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showObjects="placeholders" filterPrivacy="1" codeName="ThisWorkbook"/>
  <xr:revisionPtr revIDLastSave="0" documentId="13_ncr:1_{25144041-067E-4F3E-A1D8-F04244D7DE13}" xr6:coauthVersionLast="44" xr6:coauthVersionMax="44" xr10:uidLastSave="{00000000-0000-0000-0000-000000000000}"/>
  <bookViews>
    <workbookView xWindow="-108" yWindow="-108" windowWidth="23256" windowHeight="12576" tabRatio="862" activeTab="12" xr2:uid="{00000000-000D-0000-FFFF-FFFF00000000}"/>
  </bookViews>
  <sheets>
    <sheet name="Solieu" sheetId="26" r:id="rId1"/>
    <sheet name="DG" sheetId="15" r:id="rId2"/>
    <sheet name="chitiet" sheetId="1" r:id="rId3"/>
    <sheet name="Cap ngam" sheetId="49" state="hidden" r:id="rId4"/>
    <sheet name="CT_tram" sheetId="23" r:id="rId5"/>
    <sheet name="kl" sheetId="2" r:id="rId6"/>
    <sheet name="pp3p_NC2M-3M" sheetId="70" state="hidden" r:id="rId7"/>
    <sheet name="pp3p2m " sheetId="17" state="hidden" r:id="rId8"/>
    <sheet name="ppCN" sheetId="63" state="hidden" r:id="rId9"/>
    <sheet name="PPHTCS" sheetId="61" state="hidden" r:id="rId10"/>
    <sheet name="BK DEN CS" sheetId="45" state="hidden" r:id="rId11"/>
    <sheet name="pptt_NC" sheetId="16" state="hidden" r:id="rId12"/>
    <sheet name="pp3p1m" sheetId="41" r:id="rId13"/>
    <sheet name="pp1p" sheetId="18" state="hidden" r:id="rId14"/>
    <sheet name="ppht" sheetId="20" state="hidden" r:id="rId15"/>
    <sheet name="ppht_NC" sheetId="77" state="hidden" r:id="rId16"/>
  </sheets>
  <definedNames>
    <definedName name="_xlnm._FilterDatabase" localSheetId="3" hidden="1">'Cap ngam'!$A$14:$A$735</definedName>
    <definedName name="_xlnm._FilterDatabase" localSheetId="2" hidden="1">chitiet!$A$9:$U$630</definedName>
    <definedName name="_xlnm._FilterDatabase" localSheetId="4" hidden="1">CT_tram!$A$26:$A$3558</definedName>
    <definedName name="_xlnm._FilterDatabase" localSheetId="1" hidden="1">DG!$A$1:$Z$1652</definedName>
    <definedName name="_xlnm._FilterDatabase" localSheetId="5" hidden="1">kl!$A$4:$A$390</definedName>
    <definedName name="_xlnm._FilterDatabase" localSheetId="13" hidden="1">pp1p!$A$5:$CW$181</definedName>
    <definedName name="_xlnm._FilterDatabase" localSheetId="12" hidden="1">pp3p1m!$A$5:$JG$5</definedName>
    <definedName name="_xlnm._FilterDatabase" localSheetId="14" hidden="1">ppht!$A$5:$EY$112</definedName>
    <definedName name="_xlnm._FilterDatabase" localSheetId="15" hidden="1">ppht_NC!$A$7:$JQ$13</definedName>
    <definedName name="_hsl1">chitiet!$R$3</definedName>
    <definedName name="_hsl2">chitiet!$R$2</definedName>
    <definedName name="BTLT1pm">pp1p!$K$5:$S$86</definedName>
    <definedName name="BTLT3p1m" localSheetId="6">'pp3p_NC2M-3M'!$E$5:$L$24</definedName>
    <definedName name="BTLT3p1m">pp3p1m!$H$5:$P$10</definedName>
    <definedName name="BTLT3pm">'pp3p2m '!$L$6:$P$45</definedName>
    <definedName name="btltct">pptt_NC!$P$5:$W$41</definedName>
    <definedName name="BTLTHTCS">PPHTCS!$M$5:$Q$69</definedName>
    <definedName name="btlthtdl">ppht!$AJ$5:$AM$14</definedName>
    <definedName name="btlththh">ppht_NC!$AY$5:$BF$14</definedName>
    <definedName name="CandenHTCS">PPHTCS!$Z$5:$AC$69</definedName>
    <definedName name="capdat">Solieu!$F$23</definedName>
    <definedName name="chang1pm">pp1p!$AQ$5:$BD$86</definedName>
    <definedName name="chang3p1m" localSheetId="6">'pp3p_NC2M-3M'!$AZ$5:$BL$33</definedName>
    <definedName name="chang3p1m">pp3p1m!$AK$5:$AW$19</definedName>
    <definedName name="chang3pm">'pp3p2m '!$AS$6:$BE$45</definedName>
    <definedName name="changct">pptt_NC!$AR$5:$BD$41</definedName>
    <definedName name="changht" localSheetId="15">ppht_NC!$BW$5:$CI$14</definedName>
    <definedName name="changHTDL">ppht!$BO$5:$BW$6</definedName>
    <definedName name="changhthh">ppht_NC!$BW$5:$CI$14</definedName>
    <definedName name="CPDP">Solieu!$F$26</definedName>
    <definedName name="dgiatru">DG!$K$5:$U$27</definedName>
    <definedName name="DGNC">DG!$L$17:$Q$61</definedName>
    <definedName name="dgth">chitiet!$A$13:$U$2359</definedName>
    <definedName name="dongia" localSheetId="1">DG!$A$5:$I$1609</definedName>
    <definedName name="dongia1">DG!$A$5:$I$1609</definedName>
    <definedName name="DSPK1pm">chitiet!$B$1805:$G$1903</definedName>
    <definedName name="DSPK3p1m">chitiet!$B$1458:$G$1715</definedName>
    <definedName name="DSPK3pm">chitiet!$B$1248:$G$1456</definedName>
    <definedName name="DSPKhtdl">chitiet!$B$1904:$G$2024</definedName>
    <definedName name="DSPKhthh">chitiet!$B$2025:$G$2141</definedName>
    <definedName name="Euro">Solieu!$Q$23</definedName>
    <definedName name="hsdc">chitiet!$F$3</definedName>
    <definedName name="hsdn">chitiet!$T$2</definedName>
    <definedName name="hshc">Solieu!$Q$21</definedName>
    <definedName name="hskd">chitiet!$F$4</definedName>
    <definedName name="hsks">Solieu!$Q$24</definedName>
    <definedName name="hsks3">Solieu!$S$24</definedName>
    <definedName name="hslfco">chitiet!$R$5</definedName>
    <definedName name="hslm">chitiet!$R$4</definedName>
    <definedName name="hslnt">Solieu!$F$24</definedName>
    <definedName name="hslx">chitiet!$F$1</definedName>
    <definedName name="hslxh">chitiet!$F$2</definedName>
    <definedName name="hsntt">Solieu!$F$25</definedName>
    <definedName name="HSQD">DG!$L$1</definedName>
    <definedName name="KLTH1pm">#REF!</definedName>
    <definedName name="KLTH3p1m">#REF!</definedName>
    <definedName name="KLTH3pct">#REF!</definedName>
    <definedName name="KLTH3pm">#REF!</definedName>
    <definedName name="KLTHhtdl">#REF!</definedName>
    <definedName name="KLTHhthh">#REF!</definedName>
    <definedName name="laplaivt">pptt_NC!$IQ$5:$KP$41</definedName>
    <definedName name="laplaivtht">ppht_NC!$IF$5:$JO$14</definedName>
    <definedName name="lapxacaitao">pptt_NC!$IX$5:$JS$41</definedName>
    <definedName name="ld">DG!$F$97</definedName>
    <definedName name="ldl">DG!$F$98</definedName>
    <definedName name="Lmk" localSheetId="1">DG!$F$3</definedName>
    <definedName name="LmkT">DG!$F$2</definedName>
    <definedName name="mong1pm">pp1p!$T$5:$AP$86</definedName>
    <definedName name="mong3p1m" localSheetId="6">'pp3p_NC2M-3M'!$M$5:$AY$24</definedName>
    <definedName name="mong3p1m">pp3p1m!$Q$5:$AJ$10</definedName>
    <definedName name="mong3pm">'pp3p2m '!$Q$6:$AR$45</definedName>
    <definedName name="mongct">pptt_NC!$X$5:$AQ$41</definedName>
    <definedName name="mongHTCS">PPHTCS!$R$5:$Y$69</definedName>
    <definedName name="mongHTDL">ppht!$AN$5:$BN$6</definedName>
    <definedName name="monghthh">ppht_NC!$BG$5:$BV$14</definedName>
    <definedName name="mongneo1pm">pp1p!$BE$5:$BP$86</definedName>
    <definedName name="mongneo3p1m" localSheetId="6">'pp3p_NC2M-3M'!$BM$5:$BX$24</definedName>
    <definedName name="mongneo3p1m">pp3p1m!$AX$5:$BI$10</definedName>
    <definedName name="mongneo3pm">'pp3p2m '!$BF$6:$BR$45</definedName>
    <definedName name="mongneoct">pptt_NC!$BE$5:$BP$41</definedName>
    <definedName name="mongneoht" localSheetId="15">ppht_NC!$CJ$5:$CS$14</definedName>
    <definedName name="mongneoHTDL">ppht!$BX$5:$CG$6</definedName>
    <definedName name="mongneoHTHH">ppht!$BX$5:$CG$14</definedName>
    <definedName name="MTCCS">Solieu!$Q$20</definedName>
    <definedName name="MTCDD">Solieu!$Q$13</definedName>
    <definedName name="MTCDD3">Solieu!$S$13</definedName>
    <definedName name="MTCTBA">Solieu!$Q$15</definedName>
    <definedName name="MTCTBA3">Solieu!$S$15</definedName>
    <definedName name="MTCTN">Solieu!$Q$18</definedName>
    <definedName name="MTCTN3">Solieu!$S$18</definedName>
    <definedName name="NCCS">Solieu!$Q$19</definedName>
    <definedName name="NCDD">Solieu!$Q$12</definedName>
    <definedName name="NCDD3">Solieu!$S$12</definedName>
    <definedName name="NCTBA">Solieu!$Q$14</definedName>
    <definedName name="NCTBA3">Solieu!$S$14</definedName>
    <definedName name="NCTN">Solieu!$Q$17</definedName>
    <definedName name="NCTN3">Solieu!$S$17</definedName>
    <definedName name="pp_3XDM" localSheetId="7">'pp3p2m '!$K$70:$DR$88</definedName>
    <definedName name="_xlnm.Print_Area" localSheetId="10">'BK DEN CS'!$A$2:$AC$37</definedName>
    <definedName name="_xlnm.Print_Area" localSheetId="3">'Cap ngam'!$C$11:$P$723</definedName>
    <definedName name="_xlnm.Print_Area" localSheetId="2">chitiet!$D$6:$U$2304</definedName>
    <definedName name="_xlnm.Print_Area" localSheetId="4">CT_tram!$C$26:$P$2786</definedName>
    <definedName name="_xlnm.Print_Area" localSheetId="1">DG!$A$4:$I$1383</definedName>
    <definedName name="_xlnm.Print_Area" localSheetId="5">kl!$C$2:$F$385</definedName>
    <definedName name="_xlnm.Print_Area" localSheetId="13">pp1p!$A$2:$DL$86</definedName>
    <definedName name="_xlnm.Print_Area" localSheetId="6">'pp3p_NC2M-3M'!$A$2:$GV$25</definedName>
    <definedName name="_xlnm.Print_Area" localSheetId="12">pp3p1m!$A$1:$JC$10</definedName>
    <definedName name="_xlnm.Print_Area" localSheetId="7">'pp3p2m '!$A$4:$EH$45</definedName>
    <definedName name="_xlnm.Print_Area" localSheetId="8">ppCN!$A$1:$BI$40</definedName>
    <definedName name="_xlnm.Print_Area" localSheetId="14">ppht!$A$2:$GG$14</definedName>
    <definedName name="_xlnm.Print_Area" localSheetId="15">ppht_NC!$A$2:$JQ$14</definedName>
    <definedName name="_xlnm.Print_Area" localSheetId="9">PPHTCS!$A$2:$BN$69</definedName>
    <definedName name="_xlnm.Print_Area" localSheetId="11">pptt_NC!$A$4:$KQ$41</definedName>
    <definedName name="_xlnm.Print_Titles" localSheetId="3">'Cap ngam'!$13:$14</definedName>
    <definedName name="_xlnm.Print_Titles" localSheetId="2">chitiet!$9:$10</definedName>
    <definedName name="_xlnm.Print_Titles" localSheetId="4">CT_tram!$2591:$2592</definedName>
    <definedName name="_xlnm.Print_Titles" localSheetId="5">kl!$4:$4</definedName>
    <definedName name="_xlnm.Print_Titles" localSheetId="13">pp1p!$4:$5</definedName>
    <definedName name="_xlnm.Print_Titles" localSheetId="6">'pp3p_NC2M-3M'!$4:$5</definedName>
    <definedName name="_xlnm.Print_Titles" localSheetId="12">pp3p1m!$4:$5</definedName>
    <definedName name="_xlnm.Print_Titles" localSheetId="7">'pp3p2m '!$5:$6</definedName>
    <definedName name="_xlnm.Print_Titles" localSheetId="8">ppCN!$3:$5</definedName>
    <definedName name="_xlnm.Print_Titles" localSheetId="14">ppht!$4:$5</definedName>
    <definedName name="_xlnm.Print_Titles" localSheetId="15">ppht_NC!$4:$5</definedName>
    <definedName name="_xlnm.Print_Titles" localSheetId="11">pptt_NC!$A:$B,pptt_NC!$4:$5</definedName>
    <definedName name="slBTLT1pm">pp1p!$K$86:$S$86</definedName>
    <definedName name="slBTLT3p1m" localSheetId="6">'pp3p_NC2M-3M'!$E$24:$L$24</definedName>
    <definedName name="slBTLT3p1m">pp3p1m!$H$10:$P$10</definedName>
    <definedName name="slBTLT3pm">'pp3p2m '!$L$45:$P$45</definedName>
    <definedName name="SLBTLTCT">pptt_NC!$P$41:$W$41</definedName>
    <definedName name="slBTLTHTCS">PPHTCS!$M$69:$Q$69</definedName>
    <definedName name="slbtlthtdl">ppht!$AJ$14:$AM$14</definedName>
    <definedName name="slbtlththh">ppht_NC!$AY$14:$BF$14</definedName>
    <definedName name="slCandenHTCS">PPHTCS!$Z$69:$AC$69</definedName>
    <definedName name="slchang1pm">pp1p!$AQ$86:$BD$86</definedName>
    <definedName name="slchang3p1m" localSheetId="6">'pp3p_NC2M-3M'!$AZ$24:$BL$24</definedName>
    <definedName name="slchang3p1m">pp3p1m!$AK$10:$AW$10</definedName>
    <definedName name="slchang3pm">'pp3p2m '!$AS$45:$BE$45</definedName>
    <definedName name="slchangct">pptt_NC!$AR$41:$BD$41</definedName>
    <definedName name="slchanght" localSheetId="15">ppht_NC!$BW$14:$CI$14</definedName>
    <definedName name="Slchanghtdl" localSheetId="15">ppht_NC!$BW$14:$CI$14</definedName>
    <definedName name="Slchanghtdl">ppht!$BO$14:$BW$14</definedName>
    <definedName name="slchanghthh">ppht_NC!$BW$14:$CI$14</definedName>
    <definedName name="sllaplaivt">pptt_NC!$IQ$41:$KP$41</definedName>
    <definedName name="sllaplaivtht">ppht_NC!$IF$14:$JO$14</definedName>
    <definedName name="sllapxacaitao">pptt_NC!$IX$41:$JS$41</definedName>
    <definedName name="slmong1pm">pp1p!$T$86:$AP$86</definedName>
    <definedName name="slmong3p1m" localSheetId="6">'pp3p_NC2M-3M'!$M$24:$AY$24</definedName>
    <definedName name="slmong3p1m">pp3p1m!$Q$10:$AJ$10</definedName>
    <definedName name="slmong3pm">'pp3p2m '!$Q$45:$AR$45</definedName>
    <definedName name="slmongct">pptt_NC!$X$41:$AQ$41</definedName>
    <definedName name="slmongHTCS">PPHTCS!$R$69:$Y$69</definedName>
    <definedName name="SLmongHTDL">ppht!$AN$14:$BN$14</definedName>
    <definedName name="slmonghthh">ppht_NC!$BG$14:$BV$14</definedName>
    <definedName name="slmongneo1pm">pp1p!$BE$86:$BP$86</definedName>
    <definedName name="slmongneo3p1m" localSheetId="6">'pp3p_NC2M-3M'!$BM$24:$BX$24</definedName>
    <definedName name="slmongneo3p1m">pp3p1m!$AX$10:$BI$10</definedName>
    <definedName name="slmongneo3pm">'pp3p2m '!$BF$45:$BR$45</definedName>
    <definedName name="SLMONGNEOCT">pptt_NC!$BE$41:$BP$41</definedName>
    <definedName name="slmongneohtdl">ppht!$BX$14:$CG$14</definedName>
    <definedName name="slmongneohthh">ppht_NC!$CJ$14:$CS$14</definedName>
    <definedName name="sltdll1pm">pp1p!$BQ$86:$BX$86</definedName>
    <definedName name="sltdll3p1m" localSheetId="6">'pp3p_NC2M-3M'!$BY$24:$CG$24</definedName>
    <definedName name="sltdll3p1m">pp3p1m!$BJ$10:$BR$10</definedName>
    <definedName name="sltdll3pm">'pp3p2m '!$BS$45:$BW$45</definedName>
    <definedName name="sltdllct">pptt_NC!$BQ$41:$BX$41</definedName>
    <definedName name="sltdllHTCS">PPHTCS!$AE$69:$AH$69</definedName>
    <definedName name="sltdllhtdl">ppht!$CJ$14:$CO$14</definedName>
    <definedName name="sltdllhthh">ppht_NC!$CV$14:$DB$14</definedName>
    <definedName name="slthaohavt">pptt_NC!$FC$41:$HZ$41</definedName>
    <definedName name="slthaohavtht">ppht_NC!$GU$14:$HT$14</definedName>
    <definedName name="slxa1pm">pp1p!$BY$86:$CH$86</definedName>
    <definedName name="slxa3p1m" localSheetId="6">'pp3p_NC2M-3M'!$CH$24:$DI$24</definedName>
    <definedName name="slxa3p1m">pp3p1m!$BS$10:$CO$10</definedName>
    <definedName name="slxa3pm">'pp3p2m '!$BX$45:$CR$45</definedName>
    <definedName name="slxact">pptt_NC!$BY$41:$CW$41</definedName>
    <definedName name="SmkT">DG!$F$2</definedName>
    <definedName name="tdll1pm">pp1p!$BQ$4:$BX$86</definedName>
    <definedName name="tdll3p1m" localSheetId="6">'pp3p_NC2M-3M'!$BY$4:$CG$24</definedName>
    <definedName name="tdll3p1m">pp3p1m!$BJ$4:$BR$10</definedName>
    <definedName name="tdll3pm">'pp3p2m '!$BS$5:$BW$45</definedName>
    <definedName name="tdllct">pptt_NC!$BQ$4:$BX$41</definedName>
    <definedName name="tdllHTCS">PPHTCS!$AE$4:$AH$69</definedName>
    <definedName name="tdllHTDL">ppht!$CJ$4:$CN$6</definedName>
    <definedName name="tdllHTHH">ppht_NC!$CV$4:$DB$14</definedName>
    <definedName name="thaohavt">pptt_NC!$FC$5:$HZ$41</definedName>
    <definedName name="thaohavtht">ppht_NC!$GU$5:$HT$14</definedName>
    <definedName name="TienLuong">#REF!</definedName>
    <definedName name="ttronmk" localSheetId="1">DG!$F$1</definedName>
    <definedName name="USD">Solieu!$Q$22</definedName>
    <definedName name="xa1pm">pp1p!$BY$5:$CH$86</definedName>
    <definedName name="xa3p1m" localSheetId="6">'pp3p_NC2M-3M'!$CH$5:$DI$24</definedName>
    <definedName name="xa3p1m">pp3p1m!$BS$5:$CO$10</definedName>
    <definedName name="xa3pm">'pp3p2m '!$BX$6:$CR$45</definedName>
    <definedName name="xact">pptt_NC!$BY$5:$CW$41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37" i="45" l="1"/>
  <c r="AB37" i="45"/>
  <c r="AA37" i="45"/>
  <c r="Z37" i="45"/>
  <c r="Y37" i="45"/>
  <c r="X37" i="45"/>
  <c r="W37" i="45"/>
  <c r="V37" i="45"/>
  <c r="U37" i="45"/>
  <c r="T37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G37" i="45"/>
  <c r="F37" i="45"/>
  <c r="B40" i="45" s="1"/>
  <c r="E37" i="45"/>
  <c r="D37" i="45"/>
  <c r="B41" i="45" s="1"/>
  <c r="C37" i="45"/>
  <c r="B43" i="45" s="1"/>
  <c r="B37" i="45"/>
  <c r="B44" i="45" s="1"/>
  <c r="BF69" i="61"/>
  <c r="AX69" i="61"/>
  <c r="AP69" i="61"/>
  <c r="AH69" i="61"/>
  <c r="Z69" i="61"/>
  <c r="R69" i="61"/>
  <c r="O69" i="61"/>
  <c r="N69" i="61"/>
  <c r="BM67" i="61"/>
  <c r="BL67" i="61"/>
  <c r="BK67" i="61"/>
  <c r="BJ67" i="61"/>
  <c r="BI67" i="61"/>
  <c r="BH67" i="61"/>
  <c r="BG67" i="61"/>
  <c r="BF67" i="61"/>
  <c r="BE67" i="61"/>
  <c r="BD67" i="61"/>
  <c r="BC67" i="61"/>
  <c r="BB67" i="61"/>
  <c r="BA67" i="61"/>
  <c r="AZ67" i="61"/>
  <c r="AY67" i="61"/>
  <c r="AX67" i="61"/>
  <c r="AW67" i="61"/>
  <c r="AV67" i="61"/>
  <c r="AU67" i="61"/>
  <c r="AT67" i="61"/>
  <c r="AS67" i="61"/>
  <c r="AR67" i="61"/>
  <c r="AQ67" i="61"/>
  <c r="AP67" i="61"/>
  <c r="AO67" i="61"/>
  <c r="AN67" i="61"/>
  <c r="AM67" i="61"/>
  <c r="AL67" i="61"/>
  <c r="AK67" i="61"/>
  <c r="AJ67" i="61"/>
  <c r="AI67" i="61"/>
  <c r="AH67" i="61"/>
  <c r="AG67" i="61"/>
  <c r="AF67" i="61"/>
  <c r="AE67" i="61"/>
  <c r="AD67" i="61"/>
  <c r="AC67" i="61"/>
  <c r="AB67" i="61"/>
  <c r="AA67" i="61"/>
  <c r="Z67" i="61"/>
  <c r="Y67" i="61"/>
  <c r="X67" i="61"/>
  <c r="W67" i="61"/>
  <c r="V67" i="61"/>
  <c r="U67" i="61"/>
  <c r="T67" i="61"/>
  <c r="S67" i="61"/>
  <c r="R67" i="61"/>
  <c r="Q67" i="61"/>
  <c r="P67" i="61"/>
  <c r="M67" i="61"/>
  <c r="I67" i="61"/>
  <c r="H67" i="61"/>
  <c r="G67" i="61"/>
  <c r="E67" i="61"/>
  <c r="D67" i="61"/>
  <c r="C67" i="61"/>
  <c r="F38" i="6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BM35" i="61"/>
  <c r="BM69" i="61" s="1"/>
  <c r="BL35" i="61"/>
  <c r="BL69" i="61" s="1"/>
  <c r="BK35" i="61"/>
  <c r="BK69" i="61" s="1"/>
  <c r="BJ35" i="61"/>
  <c r="BJ69" i="61" s="1"/>
  <c r="BI35" i="61"/>
  <c r="BI69" i="61" s="1"/>
  <c r="BH35" i="61"/>
  <c r="BH69" i="61" s="1"/>
  <c r="BG35" i="61"/>
  <c r="BG69" i="61" s="1"/>
  <c r="BF35" i="61"/>
  <c r="BE35" i="61"/>
  <c r="BE69" i="61" s="1"/>
  <c r="BD35" i="61"/>
  <c r="BD69" i="61" s="1"/>
  <c r="BC35" i="61"/>
  <c r="BC69" i="61" s="1"/>
  <c r="BB35" i="61"/>
  <c r="BB69" i="61" s="1"/>
  <c r="BA35" i="61"/>
  <c r="BA69" i="61" s="1"/>
  <c r="AZ35" i="61"/>
  <c r="AZ69" i="61" s="1"/>
  <c r="AY35" i="61"/>
  <c r="AY69" i="61" s="1"/>
  <c r="AX35" i="61"/>
  <c r="AW35" i="61"/>
  <c r="AW69" i="61" s="1"/>
  <c r="AV35" i="61"/>
  <c r="AV69" i="61" s="1"/>
  <c r="AU35" i="61"/>
  <c r="AU69" i="61" s="1"/>
  <c r="AT35" i="61"/>
  <c r="AT69" i="61" s="1"/>
  <c r="AS35" i="61"/>
  <c r="AS69" i="61" s="1"/>
  <c r="AR35" i="61"/>
  <c r="AR69" i="61" s="1"/>
  <c r="AQ35" i="61"/>
  <c r="AQ69" i="61" s="1"/>
  <c r="AP35" i="61"/>
  <c r="AO35" i="61"/>
  <c r="AO69" i="61" s="1"/>
  <c r="AN35" i="61"/>
  <c r="AN69" i="61" s="1"/>
  <c r="AM35" i="61"/>
  <c r="AM69" i="61" s="1"/>
  <c r="AL35" i="61"/>
  <c r="AL69" i="61" s="1"/>
  <c r="AK35" i="61"/>
  <c r="AK69" i="61" s="1"/>
  <c r="AJ35" i="61"/>
  <c r="AJ69" i="61" s="1"/>
  <c r="AI35" i="61"/>
  <c r="AI69" i="61" s="1"/>
  <c r="AH35" i="61"/>
  <c r="AG35" i="61"/>
  <c r="AG69" i="61" s="1"/>
  <c r="AF35" i="61"/>
  <c r="AF69" i="61" s="1"/>
  <c r="AE35" i="61"/>
  <c r="AE69" i="61" s="1"/>
  <c r="AD35" i="61"/>
  <c r="AD69" i="61" s="1"/>
  <c r="AC35" i="61"/>
  <c r="AC69" i="61" s="1"/>
  <c r="AB35" i="61"/>
  <c r="AB69" i="61" s="1"/>
  <c r="AA35" i="61"/>
  <c r="AA69" i="61" s="1"/>
  <c r="Z35" i="61"/>
  <c r="Y35" i="61"/>
  <c r="Y69" i="61" s="1"/>
  <c r="X35" i="61"/>
  <c r="X69" i="61" s="1"/>
  <c r="W35" i="61"/>
  <c r="W69" i="61" s="1"/>
  <c r="V35" i="61"/>
  <c r="V69" i="61" s="1"/>
  <c r="U35" i="61"/>
  <c r="U69" i="61" s="1"/>
  <c r="T35" i="61"/>
  <c r="T69" i="61" s="1"/>
  <c r="S35" i="61"/>
  <c r="S69" i="61" s="1"/>
  <c r="R35" i="61"/>
  <c r="Q35" i="61"/>
  <c r="Q69" i="61" s="1"/>
  <c r="P35" i="61"/>
  <c r="P69" i="61" s="1"/>
  <c r="M35" i="61"/>
  <c r="M69" i="61" s="1"/>
  <c r="K35" i="61"/>
  <c r="J35" i="61"/>
  <c r="I35" i="61"/>
  <c r="I69" i="61" s="1"/>
  <c r="C77" i="61" s="1"/>
  <c r="H35" i="61"/>
  <c r="H69" i="61" s="1"/>
  <c r="C76" i="61" s="1"/>
  <c r="E35" i="61"/>
  <c r="E69" i="61" s="1"/>
  <c r="C73" i="61" s="1"/>
  <c r="D35" i="61"/>
  <c r="D69" i="61" s="1"/>
  <c r="C35" i="61"/>
  <c r="C69" i="61" s="1"/>
  <c r="F8" i="61"/>
  <c r="F9" i="61" s="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69" i="61" s="1"/>
  <c r="C74" i="61" s="1"/>
  <c r="G9" i="61"/>
  <c r="G10" i="61" s="1"/>
  <c r="G11" i="61" s="1"/>
  <c r="G12" i="61" s="1"/>
  <c r="G13" i="61" s="1"/>
  <c r="G14" i="61" s="1"/>
  <c r="G15" i="61" s="1"/>
  <c r="G16" i="61" s="1"/>
  <c r="G18" i="61" s="1"/>
  <c r="G19" i="61" s="1"/>
  <c r="G20" i="61" s="1"/>
  <c r="G21" i="61" s="1"/>
  <c r="G22" i="61" s="1"/>
  <c r="G23" i="61" s="1"/>
  <c r="G24" i="61" s="1"/>
  <c r="G25" i="61" s="1"/>
  <c r="G26" i="61" s="1"/>
  <c r="G27" i="61" s="1"/>
  <c r="G28" i="61" s="1"/>
  <c r="G29" i="61" s="1"/>
  <c r="G30" i="61" s="1"/>
  <c r="G31" i="61" s="1"/>
  <c r="G32" i="61" s="1"/>
  <c r="G33" i="61" s="1"/>
  <c r="G34" i="61" s="1"/>
  <c r="G35" i="61" s="1"/>
  <c r="G69" i="61" s="1"/>
  <c r="C75" i="61" s="1"/>
  <c r="A3" i="61"/>
  <c r="CU86" i="17"/>
  <c r="CU85" i="17"/>
  <c r="DX69" i="17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49" i="17"/>
  <c r="P47" i="17"/>
  <c r="K45" i="17"/>
  <c r="J45" i="17"/>
  <c r="I45" i="17"/>
  <c r="H45" i="17"/>
  <c r="G45" i="17"/>
  <c r="C45" i="17"/>
  <c r="B45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N45" i="17" s="1"/>
  <c r="M44" i="17"/>
  <c r="M45" i="17" s="1"/>
  <c r="L44" i="17"/>
  <c r="L45" i="17" s="1"/>
  <c r="F44" i="17"/>
  <c r="E44" i="17"/>
  <c r="D44" i="17"/>
  <c r="EG40" i="17"/>
  <c r="EF40" i="17"/>
  <c r="EE40" i="17"/>
  <c r="ED40" i="17"/>
  <c r="EC40" i="17"/>
  <c r="EB40" i="17"/>
  <c r="EA40" i="17"/>
  <c r="DZ40" i="17"/>
  <c r="DY40" i="17"/>
  <c r="DX40" i="17"/>
  <c r="DW40" i="17"/>
  <c r="DV40" i="17"/>
  <c r="DU40" i="17"/>
  <c r="DT40" i="17"/>
  <c r="DS40" i="17"/>
  <c r="DR40" i="17"/>
  <c r="DQ40" i="17"/>
  <c r="DP40" i="17"/>
  <c r="DO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F40" i="17"/>
  <c r="EG24" i="17"/>
  <c r="EG45" i="17" s="1"/>
  <c r="EF24" i="17"/>
  <c r="EF45" i="17" s="1"/>
  <c r="EE24" i="17"/>
  <c r="EE45" i="17" s="1"/>
  <c r="ED24" i="17"/>
  <c r="ED45" i="17" s="1"/>
  <c r="EC24" i="17"/>
  <c r="EC45" i="17" s="1"/>
  <c r="EB24" i="17"/>
  <c r="EB45" i="17" s="1"/>
  <c r="EA24" i="17"/>
  <c r="EA45" i="17" s="1"/>
  <c r="DZ24" i="17"/>
  <c r="DZ45" i="17" s="1"/>
  <c r="DY24" i="17"/>
  <c r="DY45" i="17" s="1"/>
  <c r="DX24" i="17"/>
  <c r="DX45" i="17" s="1"/>
  <c r="DW24" i="17"/>
  <c r="DW45" i="17" s="1"/>
  <c r="DV24" i="17"/>
  <c r="DV45" i="17" s="1"/>
  <c r="DU24" i="17"/>
  <c r="DU45" i="17" s="1"/>
  <c r="DT24" i="17"/>
  <c r="DT45" i="17" s="1"/>
  <c r="DS24" i="17"/>
  <c r="DS45" i="17" s="1"/>
  <c r="DR24" i="17"/>
  <c r="DR45" i="17" s="1"/>
  <c r="DQ24" i="17"/>
  <c r="DQ45" i="17" s="1"/>
  <c r="DP24" i="17"/>
  <c r="DP45" i="17" s="1"/>
  <c r="DO24" i="17"/>
  <c r="DO45" i="17" s="1"/>
  <c r="DN24" i="17"/>
  <c r="DN45" i="17" s="1"/>
  <c r="DM24" i="17"/>
  <c r="DM45" i="17" s="1"/>
  <c r="DL24" i="17"/>
  <c r="DL45" i="17" s="1"/>
  <c r="DK24" i="17"/>
  <c r="DK45" i="17" s="1"/>
  <c r="DJ24" i="17"/>
  <c r="DJ45" i="17" s="1"/>
  <c r="DI24" i="17"/>
  <c r="DI45" i="17" s="1"/>
  <c r="DH24" i="17"/>
  <c r="DH45" i="17" s="1"/>
  <c r="DG24" i="17"/>
  <c r="DG45" i="17" s="1"/>
  <c r="DF24" i="17"/>
  <c r="DF45" i="17" s="1"/>
  <c r="DE24" i="17"/>
  <c r="DE45" i="17" s="1"/>
  <c r="DD24" i="17"/>
  <c r="DD45" i="17" s="1"/>
  <c r="DC24" i="17"/>
  <c r="DC45" i="17" s="1"/>
  <c r="DB24" i="17"/>
  <c r="DB45" i="17" s="1"/>
  <c r="DA24" i="17"/>
  <c r="DA45" i="17" s="1"/>
  <c r="CZ24" i="17"/>
  <c r="CZ45" i="17" s="1"/>
  <c r="CY24" i="17"/>
  <c r="CY45" i="17" s="1"/>
  <c r="CX24" i="17"/>
  <c r="CX45" i="17" s="1"/>
  <c r="CW24" i="17"/>
  <c r="CW45" i="17" s="1"/>
  <c r="CV24" i="17"/>
  <c r="CV45" i="17" s="1"/>
  <c r="CU24" i="17"/>
  <c r="CU45" i="17" s="1"/>
  <c r="CT24" i="17"/>
  <c r="CT45" i="17" s="1"/>
  <c r="CS24" i="17"/>
  <c r="CS45" i="17" s="1"/>
  <c r="CR24" i="17"/>
  <c r="CR45" i="17" s="1"/>
  <c r="CQ24" i="17"/>
  <c r="CQ45" i="17" s="1"/>
  <c r="CP24" i="17"/>
  <c r="CP45" i="17" s="1"/>
  <c r="CO24" i="17"/>
  <c r="CO45" i="17" s="1"/>
  <c r="CN24" i="17"/>
  <c r="CN45" i="17" s="1"/>
  <c r="CM24" i="17"/>
  <c r="CM45" i="17" s="1"/>
  <c r="CL24" i="17"/>
  <c r="CL45" i="17" s="1"/>
  <c r="CK24" i="17"/>
  <c r="CK45" i="17" s="1"/>
  <c r="CJ24" i="17"/>
  <c r="CJ45" i="17" s="1"/>
  <c r="CI24" i="17"/>
  <c r="CI45" i="17" s="1"/>
  <c r="CH24" i="17"/>
  <c r="CH45" i="17" s="1"/>
  <c r="CG24" i="17"/>
  <c r="CG45" i="17" s="1"/>
  <c r="CF24" i="17"/>
  <c r="CF45" i="17" s="1"/>
  <c r="CE24" i="17"/>
  <c r="CE45" i="17" s="1"/>
  <c r="CD24" i="17"/>
  <c r="CD45" i="17" s="1"/>
  <c r="CC24" i="17"/>
  <c r="CC45" i="17" s="1"/>
  <c r="CB24" i="17"/>
  <c r="CB45" i="17" s="1"/>
  <c r="CA24" i="17"/>
  <c r="CA45" i="17" s="1"/>
  <c r="BZ24" i="17"/>
  <c r="BZ45" i="17" s="1"/>
  <c r="BY24" i="17"/>
  <c r="BY45" i="17" s="1"/>
  <c r="BX24" i="17"/>
  <c r="BX45" i="17" s="1"/>
  <c r="BW24" i="17"/>
  <c r="BW45" i="17" s="1"/>
  <c r="BV24" i="17"/>
  <c r="BV45" i="17" s="1"/>
  <c r="BU24" i="17"/>
  <c r="BU45" i="17" s="1"/>
  <c r="BT24" i="17"/>
  <c r="BT45" i="17" s="1"/>
  <c r="BS24" i="17"/>
  <c r="BS45" i="17" s="1"/>
  <c r="BR24" i="17"/>
  <c r="BR45" i="17" s="1"/>
  <c r="BQ24" i="17"/>
  <c r="BQ45" i="17" s="1"/>
  <c r="BP24" i="17"/>
  <c r="BP45" i="17" s="1"/>
  <c r="BO24" i="17"/>
  <c r="BO45" i="17" s="1"/>
  <c r="BN24" i="17"/>
  <c r="BN45" i="17" s="1"/>
  <c r="BM24" i="17"/>
  <c r="BM45" i="17" s="1"/>
  <c r="BL24" i="17"/>
  <c r="BL45" i="17" s="1"/>
  <c r="BK24" i="17"/>
  <c r="BK45" i="17" s="1"/>
  <c r="BJ24" i="17"/>
  <c r="BJ45" i="17" s="1"/>
  <c r="BI24" i="17"/>
  <c r="BI45" i="17" s="1"/>
  <c r="BH24" i="17"/>
  <c r="BH45" i="17" s="1"/>
  <c r="BG24" i="17"/>
  <c r="BG45" i="17" s="1"/>
  <c r="BF24" i="17"/>
  <c r="BF45" i="17" s="1"/>
  <c r="BE24" i="17"/>
  <c r="BE45" i="17" s="1"/>
  <c r="BD24" i="17"/>
  <c r="BD45" i="17" s="1"/>
  <c r="BC24" i="17"/>
  <c r="BC45" i="17" s="1"/>
  <c r="BB24" i="17"/>
  <c r="BB45" i="17" s="1"/>
  <c r="BA24" i="17"/>
  <c r="BA45" i="17" s="1"/>
  <c r="AZ24" i="17"/>
  <c r="AZ45" i="17" s="1"/>
  <c r="AY24" i="17"/>
  <c r="AY45" i="17" s="1"/>
  <c r="AX24" i="17"/>
  <c r="AX45" i="17" s="1"/>
  <c r="AW24" i="17"/>
  <c r="AW45" i="17" s="1"/>
  <c r="AV24" i="17"/>
  <c r="AV45" i="17" s="1"/>
  <c r="AU24" i="17"/>
  <c r="AU45" i="17" s="1"/>
  <c r="AT24" i="17"/>
  <c r="AT45" i="17" s="1"/>
  <c r="AS24" i="17"/>
  <c r="AS45" i="17" s="1"/>
  <c r="AR24" i="17"/>
  <c r="AR45" i="17" s="1"/>
  <c r="AQ24" i="17"/>
  <c r="AQ45" i="17" s="1"/>
  <c r="AP24" i="17"/>
  <c r="AP45" i="17" s="1"/>
  <c r="AO24" i="17"/>
  <c r="AO45" i="17" s="1"/>
  <c r="AN24" i="17"/>
  <c r="AN45" i="17" s="1"/>
  <c r="AM24" i="17"/>
  <c r="AM45" i="17" s="1"/>
  <c r="AL24" i="17"/>
  <c r="AL45" i="17" s="1"/>
  <c r="AK24" i="17"/>
  <c r="AK45" i="17" s="1"/>
  <c r="AJ24" i="17"/>
  <c r="AJ45" i="17" s="1"/>
  <c r="AI24" i="17"/>
  <c r="AI45" i="17" s="1"/>
  <c r="AH24" i="17"/>
  <c r="AH45" i="17" s="1"/>
  <c r="AG24" i="17"/>
  <c r="AG45" i="17" s="1"/>
  <c r="AF24" i="17"/>
  <c r="AF45" i="17" s="1"/>
  <c r="AE24" i="17"/>
  <c r="AE45" i="17" s="1"/>
  <c r="AD24" i="17"/>
  <c r="AD45" i="17" s="1"/>
  <c r="AC24" i="17"/>
  <c r="AC45" i="17" s="1"/>
  <c r="AB24" i="17"/>
  <c r="AB45" i="17" s="1"/>
  <c r="AA24" i="17"/>
  <c r="AA45" i="17" s="1"/>
  <c r="Z24" i="17"/>
  <c r="Z45" i="17" s="1"/>
  <c r="Y24" i="17"/>
  <c r="Y45" i="17" s="1"/>
  <c r="X24" i="17"/>
  <c r="X45" i="17" s="1"/>
  <c r="W24" i="17"/>
  <c r="W45" i="17" s="1"/>
  <c r="V24" i="17"/>
  <c r="V45" i="17" s="1"/>
  <c r="U24" i="17"/>
  <c r="U45" i="17" s="1"/>
  <c r="T24" i="17"/>
  <c r="T45" i="17" s="1"/>
  <c r="S24" i="17"/>
  <c r="S45" i="17" s="1"/>
  <c r="R24" i="17"/>
  <c r="R45" i="17" s="1"/>
  <c r="Q24" i="17"/>
  <c r="Q45" i="17" s="1"/>
  <c r="P24" i="17"/>
  <c r="P45" i="17" s="1"/>
  <c r="O24" i="17"/>
  <c r="O45" i="17" s="1"/>
  <c r="F24" i="17"/>
  <c r="F45" i="17" s="1"/>
  <c r="E24" i="17"/>
  <c r="E45" i="17" s="1"/>
  <c r="D24" i="17"/>
  <c r="D45" i="17" s="1"/>
  <c r="EK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GZ34" i="70"/>
  <c r="GZ35" i="70" s="1"/>
  <c r="GZ36" i="70" s="1"/>
  <c r="GZ33" i="70"/>
  <c r="B30" i="70"/>
  <c r="B28" i="70"/>
  <c r="GU22" i="70"/>
  <c r="GT22" i="70"/>
  <c r="GS22" i="70"/>
  <c r="GR22" i="70"/>
  <c r="GQ22" i="70"/>
  <c r="GP22" i="70"/>
  <c r="GO22" i="70"/>
  <c r="GN22" i="70"/>
  <c r="GM22" i="70"/>
  <c r="GL22" i="70"/>
  <c r="GK22" i="70"/>
  <c r="GJ22" i="70"/>
  <c r="GI22" i="70"/>
  <c r="GH22" i="70"/>
  <c r="GG22" i="70"/>
  <c r="GF22" i="70"/>
  <c r="GE22" i="70"/>
  <c r="GD22" i="70"/>
  <c r="GC22" i="70"/>
  <c r="GB22" i="70"/>
  <c r="GA22" i="70"/>
  <c r="FZ22" i="70"/>
  <c r="FY22" i="70"/>
  <c r="FX22" i="70"/>
  <c r="FW22" i="70"/>
  <c r="FV22" i="70"/>
  <c r="FU22" i="70"/>
  <c r="FT22" i="70"/>
  <c r="FS22" i="70"/>
  <c r="FR22" i="70"/>
  <c r="FQ22" i="70"/>
  <c r="FP22" i="70"/>
  <c r="FN22" i="70"/>
  <c r="FL22" i="70"/>
  <c r="FK22" i="70"/>
  <c r="FJ22" i="70"/>
  <c r="FI22" i="70"/>
  <c r="FH22" i="70"/>
  <c r="FG22" i="70"/>
  <c r="FF22" i="70"/>
  <c r="FE22" i="70"/>
  <c r="FD22" i="70"/>
  <c r="FC22" i="70"/>
  <c r="FB22" i="70"/>
  <c r="FA22" i="70"/>
  <c r="EZ22" i="70"/>
  <c r="EY22" i="70"/>
  <c r="EX22" i="70"/>
  <c r="EW22" i="70"/>
  <c r="EV22" i="70"/>
  <c r="EU22" i="70"/>
  <c r="ET22" i="70"/>
  <c r="ES22" i="70"/>
  <c r="ER22" i="70"/>
  <c r="EQ22" i="70"/>
  <c r="EP22" i="70"/>
  <c r="EO22" i="70"/>
  <c r="EN22" i="70"/>
  <c r="EM22" i="70"/>
  <c r="EL22" i="70"/>
  <c r="EK22" i="70"/>
  <c r="EJ22" i="70"/>
  <c r="EI22" i="70"/>
  <c r="EH22" i="70"/>
  <c r="EG22" i="70"/>
  <c r="EF22" i="70"/>
  <c r="EE22" i="70"/>
  <c r="ED22" i="70"/>
  <c r="EC22" i="70"/>
  <c r="EB22" i="70"/>
  <c r="EA22" i="70"/>
  <c r="DZ22" i="70"/>
  <c r="DY22" i="70"/>
  <c r="DX22" i="70"/>
  <c r="DW22" i="70"/>
  <c r="DV22" i="70"/>
  <c r="DU22" i="70"/>
  <c r="DT22" i="70"/>
  <c r="DS22" i="70"/>
  <c r="DR22" i="70"/>
  <c r="DQ22" i="70"/>
  <c r="DP22" i="70"/>
  <c r="DO22" i="70"/>
  <c r="DN22" i="70"/>
  <c r="DM22" i="70"/>
  <c r="DL22" i="70"/>
  <c r="DK22" i="70"/>
  <c r="DJ22" i="70"/>
  <c r="DI22" i="70"/>
  <c r="DH22" i="70"/>
  <c r="DG22" i="70"/>
  <c r="DF22" i="70"/>
  <c r="DE22" i="70"/>
  <c r="DD22" i="70"/>
  <c r="DC22" i="70"/>
  <c r="DB22" i="70"/>
  <c r="DA22" i="70"/>
  <c r="CZ22" i="70"/>
  <c r="CY22" i="70"/>
  <c r="CX22" i="70"/>
  <c r="CW22" i="70"/>
  <c r="CV22" i="70"/>
  <c r="CU22" i="70"/>
  <c r="CT22" i="70"/>
  <c r="CS22" i="70"/>
  <c r="CR22" i="70"/>
  <c r="CQ22" i="70"/>
  <c r="CP22" i="70"/>
  <c r="CO22" i="70"/>
  <c r="CN22" i="70"/>
  <c r="CM22" i="70"/>
  <c r="CL22" i="70"/>
  <c r="CK22" i="70"/>
  <c r="CJ22" i="70"/>
  <c r="CI22" i="70"/>
  <c r="CH22" i="70"/>
  <c r="CG22" i="70"/>
  <c r="CF22" i="70"/>
  <c r="CE22" i="70"/>
  <c r="CD22" i="70"/>
  <c r="CC22" i="70"/>
  <c r="CB22" i="70"/>
  <c r="CA22" i="70"/>
  <c r="BZ22" i="70"/>
  <c r="BY22" i="70"/>
  <c r="BX22" i="70"/>
  <c r="BW22" i="70"/>
  <c r="BV22" i="70"/>
  <c r="BU22" i="70"/>
  <c r="BT22" i="70"/>
  <c r="BS22" i="70"/>
  <c r="BR22" i="70"/>
  <c r="BQ22" i="70"/>
  <c r="BP22" i="70"/>
  <c r="BL22" i="70"/>
  <c r="BK22" i="70"/>
  <c r="BJ22" i="70"/>
  <c r="BI22" i="70"/>
  <c r="BH22" i="70"/>
  <c r="BG22" i="70"/>
  <c r="BF22" i="70"/>
  <c r="BE22" i="70"/>
  <c r="BD22" i="70"/>
  <c r="BC22" i="70"/>
  <c r="BB22" i="70"/>
  <c r="BA22" i="70"/>
  <c r="AZ22" i="70"/>
  <c r="AY22" i="70"/>
  <c r="AX22" i="70"/>
  <c r="AW22" i="70"/>
  <c r="AV22" i="70"/>
  <c r="AU22" i="70"/>
  <c r="AT22" i="70"/>
  <c r="AS22" i="70"/>
  <c r="AR22" i="70"/>
  <c r="AQ22" i="70"/>
  <c r="AP22" i="70"/>
  <c r="AO22" i="70"/>
  <c r="AM22" i="70"/>
  <c r="AL22" i="70"/>
  <c r="AK22" i="70"/>
  <c r="AJ22" i="70"/>
  <c r="AI22" i="70"/>
  <c r="AH22" i="70"/>
  <c r="AG22" i="70"/>
  <c r="AF22" i="70"/>
  <c r="AE22" i="70"/>
  <c r="AD22" i="70"/>
  <c r="AC22" i="70"/>
  <c r="AB22" i="70"/>
  <c r="AA22" i="70"/>
  <c r="Z22" i="70"/>
  <c r="Y22" i="70"/>
  <c r="X22" i="70"/>
  <c r="W22" i="70"/>
  <c r="V22" i="70"/>
  <c r="U22" i="70"/>
  <c r="T22" i="70"/>
  <c r="S22" i="70"/>
  <c r="R22" i="70"/>
  <c r="Q22" i="70"/>
  <c r="P22" i="70"/>
  <c r="O22" i="70"/>
  <c r="N22" i="70"/>
  <c r="M22" i="70"/>
  <c r="L22" i="70"/>
  <c r="K22" i="70"/>
  <c r="J22" i="70"/>
  <c r="I22" i="70"/>
  <c r="H22" i="70"/>
  <c r="G22" i="70"/>
  <c r="E22" i="70"/>
  <c r="B22" i="70"/>
  <c r="FO21" i="70"/>
  <c r="FO20" i="70"/>
  <c r="FO19" i="70"/>
  <c r="FO18" i="70"/>
  <c r="FO17" i="70"/>
  <c r="FO16" i="70"/>
  <c r="FO15" i="70"/>
  <c r="FO14" i="70"/>
  <c r="FO13" i="70"/>
  <c r="FO12" i="70"/>
  <c r="FO22" i="70" s="1"/>
  <c r="FO11" i="70"/>
  <c r="FO10" i="70"/>
  <c r="FO9" i="70"/>
  <c r="FO8" i="70"/>
  <c r="FO7" i="70"/>
  <c r="AN21" i="70"/>
  <c r="AN20" i="70"/>
  <c r="AN19" i="70"/>
  <c r="AN18" i="70"/>
  <c r="AN17" i="70"/>
  <c r="C8" i="70"/>
  <c r="C9" i="70" s="1"/>
  <c r="C10" i="70" s="1"/>
  <c r="C11" i="70" s="1"/>
  <c r="C12" i="70" s="1"/>
  <c r="C13" i="70" s="1"/>
  <c r="C14" i="70" s="1"/>
  <c r="C15" i="70" s="1"/>
  <c r="C16" i="70" s="1"/>
  <c r="C17" i="70" s="1"/>
  <c r="C18" i="70" s="1"/>
  <c r="C19" i="70" s="1"/>
  <c r="C20" i="70" s="1"/>
  <c r="C21" i="70" s="1"/>
  <c r="C22" i="70" s="1"/>
  <c r="C7" i="70"/>
  <c r="AN14" i="70"/>
  <c r="AN13" i="70"/>
  <c r="AN12" i="70"/>
  <c r="AN11" i="70"/>
  <c r="AN10" i="70"/>
  <c r="AN9" i="70"/>
  <c r="AN8" i="70"/>
  <c r="AN7" i="70"/>
  <c r="AN22" i="70" s="1"/>
  <c r="BO21" i="70"/>
  <c r="BN21" i="70"/>
  <c r="BM21" i="70"/>
  <c r="BO20" i="70"/>
  <c r="BN20" i="70"/>
  <c r="BM20" i="70"/>
  <c r="BO19" i="70"/>
  <c r="BN19" i="70"/>
  <c r="BM19" i="70"/>
  <c r="BO18" i="70"/>
  <c r="BN18" i="70"/>
  <c r="BM18" i="70"/>
  <c r="BO17" i="70"/>
  <c r="BN17" i="70"/>
  <c r="BM17" i="70"/>
  <c r="BO16" i="70"/>
  <c r="BN16" i="70"/>
  <c r="BM16" i="70"/>
  <c r="BO15" i="70"/>
  <c r="BN15" i="70"/>
  <c r="BM15" i="70"/>
  <c r="BO14" i="70"/>
  <c r="BN14" i="70"/>
  <c r="BN22" i="70" s="1"/>
  <c r="BM14" i="70"/>
  <c r="BO13" i="70"/>
  <c r="BN13" i="70"/>
  <c r="BM13" i="70"/>
  <c r="BO12" i="70"/>
  <c r="BN12" i="70"/>
  <c r="BM12" i="70"/>
  <c r="BM22" i="70" s="1"/>
  <c r="BO11" i="70"/>
  <c r="BO10" i="70"/>
  <c r="BO9" i="70"/>
  <c r="BO8" i="70"/>
  <c r="BO22" i="70" s="1"/>
  <c r="A3" i="70"/>
  <c r="C72" i="61" l="1"/>
  <c r="C71" i="61"/>
  <c r="C50" i="17"/>
  <c r="P50" i="17" s="1"/>
  <c r="C48" i="17"/>
  <c r="P48" i="17" s="1"/>
  <c r="E2603" i="23"/>
  <c r="E2596" i="23"/>
  <c r="E2267" i="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G1132" i="1" s="1"/>
  <c r="AB10" i="41"/>
  <c r="AC10" i="41"/>
  <c r="AD10" i="41"/>
  <c r="AE10" i="41"/>
  <c r="AF10" i="41"/>
  <c r="AG10" i="41"/>
  <c r="AH10" i="41"/>
  <c r="AI10" i="41"/>
  <c r="AJ10" i="41"/>
  <c r="AK10" i="41"/>
  <c r="AL10" i="41"/>
  <c r="AM10" i="41"/>
  <c r="AN10" i="41"/>
  <c r="AO10" i="41"/>
  <c r="AP10" i="41"/>
  <c r="G911" i="1" s="1"/>
  <c r="AQ10" i="41"/>
  <c r="AR10" i="41"/>
  <c r="AS10" i="41"/>
  <c r="AT10" i="41"/>
  <c r="AU10" i="41"/>
  <c r="AV10" i="41"/>
  <c r="AW10" i="41"/>
  <c r="AX10" i="41"/>
  <c r="AY10" i="41"/>
  <c r="AZ10" i="41"/>
  <c r="BA10" i="41"/>
  <c r="BB10" i="41"/>
  <c r="BC10" i="41"/>
  <c r="BD10" i="41"/>
  <c r="BE10" i="41"/>
  <c r="BF10" i="41"/>
  <c r="BG10" i="41"/>
  <c r="BH10" i="41"/>
  <c r="BI10" i="41"/>
  <c r="BJ10" i="41"/>
  <c r="BK10" i="41"/>
  <c r="BL10" i="41"/>
  <c r="BM10" i="41"/>
  <c r="BN10" i="41"/>
  <c r="BO10" i="41"/>
  <c r="BP10" i="41"/>
  <c r="BQ10" i="41"/>
  <c r="BR10" i="41"/>
  <c r="BS10" i="41"/>
  <c r="BT10" i="41"/>
  <c r="BU10" i="41"/>
  <c r="BV10" i="41"/>
  <c r="BW10" i="41"/>
  <c r="BX10" i="41"/>
  <c r="BY10" i="41"/>
  <c r="G751" i="1" s="1"/>
  <c r="BZ10" i="41"/>
  <c r="CA10" i="41"/>
  <c r="CB10" i="41"/>
  <c r="CC10" i="41"/>
  <c r="G679" i="1" s="1"/>
  <c r="CD10" i="41"/>
  <c r="CE10" i="41"/>
  <c r="CF10" i="41"/>
  <c r="CG10" i="41"/>
  <c r="CH10" i="41"/>
  <c r="CI10" i="41"/>
  <c r="CJ10" i="41"/>
  <c r="CK10" i="41"/>
  <c r="G774" i="1" s="1"/>
  <c r="CL10" i="41"/>
  <c r="CM10" i="41"/>
  <c r="CN10" i="41"/>
  <c r="CO10" i="41"/>
  <c r="CP10" i="41"/>
  <c r="CQ10" i="41"/>
  <c r="CR10" i="41"/>
  <c r="G1306" i="1" s="1"/>
  <c r="G1309" i="1" s="1"/>
  <c r="CS10" i="41"/>
  <c r="CT10" i="41"/>
  <c r="CU10" i="41"/>
  <c r="CV10" i="41"/>
  <c r="CW10" i="41"/>
  <c r="CX10" i="41"/>
  <c r="CY10" i="41"/>
  <c r="CZ10" i="41"/>
  <c r="DA10" i="41"/>
  <c r="DB10" i="41"/>
  <c r="DC10" i="41"/>
  <c r="DD10" i="41"/>
  <c r="DE10" i="41"/>
  <c r="DF10" i="41"/>
  <c r="DG10" i="41"/>
  <c r="DH10" i="41"/>
  <c r="DI10" i="41"/>
  <c r="DJ10" i="41"/>
  <c r="DK10" i="41"/>
  <c r="DL10" i="41"/>
  <c r="DM10" i="41"/>
  <c r="DO10" i="41"/>
  <c r="DP10" i="41"/>
  <c r="DQ10" i="41"/>
  <c r="DR10" i="41"/>
  <c r="DS10" i="41"/>
  <c r="DT10" i="41"/>
  <c r="DU10" i="41"/>
  <c r="DV10" i="41"/>
  <c r="DW10" i="41"/>
  <c r="DX10" i="41"/>
  <c r="DY10" i="41"/>
  <c r="DZ10" i="41"/>
  <c r="EA10" i="41"/>
  <c r="EB10" i="41"/>
  <c r="EC10" i="41"/>
  <c r="ED10" i="41"/>
  <c r="EE10" i="41"/>
  <c r="EF10" i="41"/>
  <c r="EG10" i="41"/>
  <c r="EH10" i="41"/>
  <c r="EI10" i="41"/>
  <c r="EJ10" i="41"/>
  <c r="EK10" i="41"/>
  <c r="EL10" i="41"/>
  <c r="EM10" i="41"/>
  <c r="EN10" i="41"/>
  <c r="EO10" i="41"/>
  <c r="J10" i="41"/>
  <c r="G300" i="1" l="1"/>
  <c r="G600" i="1"/>
  <c r="B10" i="41"/>
  <c r="C10" i="41" s="1"/>
  <c r="G1258" i="1" l="1"/>
  <c r="D10" i="41"/>
  <c r="G1249" i="1" s="1"/>
  <c r="E2598" i="23"/>
  <c r="E1258" i="1" l="1"/>
  <c r="G1424" i="1" l="1"/>
  <c r="G1350" i="1"/>
  <c r="G1298" i="1"/>
  <c r="G1336" i="1"/>
  <c r="G1324" i="1" s="1"/>
  <c r="G1302" i="1"/>
  <c r="E10" i="41"/>
  <c r="F10" i="41"/>
  <c r="G10" i="41"/>
  <c r="H10" i="41"/>
  <c r="I10" i="41"/>
  <c r="EP10" i="41"/>
  <c r="EQ10" i="41"/>
  <c r="ER10" i="41"/>
  <c r="ES10" i="41"/>
  <c r="ET10" i="41"/>
  <c r="EU10" i="41"/>
  <c r="EV10" i="41"/>
  <c r="EW10" i="41"/>
  <c r="EX10" i="41"/>
  <c r="EY10" i="41"/>
  <c r="EZ10" i="41"/>
  <c r="FA10" i="41"/>
  <c r="FB10" i="41"/>
  <c r="FC10" i="41"/>
  <c r="FD10" i="41"/>
  <c r="FE10" i="41"/>
  <c r="FF10" i="41"/>
  <c r="FG10" i="41"/>
  <c r="FH10" i="41"/>
  <c r="FI10" i="41"/>
  <c r="FJ10" i="41"/>
  <c r="FK10" i="41"/>
  <c r="FL10" i="41"/>
  <c r="FM10" i="41"/>
  <c r="FN10" i="41"/>
  <c r="FO10" i="41"/>
  <c r="FP10" i="41"/>
  <c r="FQ10" i="41"/>
  <c r="FR10" i="41"/>
  <c r="FS10" i="41"/>
  <c r="FT10" i="41"/>
  <c r="FU10" i="41"/>
  <c r="FV10" i="41"/>
  <c r="FW10" i="41"/>
  <c r="FX10" i="41"/>
  <c r="FY10" i="41"/>
  <c r="FZ10" i="41"/>
  <c r="GA10" i="41"/>
  <c r="GB10" i="41"/>
  <c r="GC10" i="41"/>
  <c r="GD10" i="41"/>
  <c r="GE10" i="41"/>
  <c r="GF10" i="41"/>
  <c r="GG10" i="41"/>
  <c r="GH10" i="41"/>
  <c r="GI10" i="41"/>
  <c r="GJ10" i="41"/>
  <c r="GK10" i="41"/>
  <c r="GL10" i="41"/>
  <c r="GM10" i="41"/>
  <c r="GN10" i="41"/>
  <c r="GO10" i="41"/>
  <c r="GP10" i="41"/>
  <c r="GQ10" i="41"/>
  <c r="GR10" i="41"/>
  <c r="GS10" i="41"/>
  <c r="GT10" i="41"/>
  <c r="GU10" i="41"/>
  <c r="GV10" i="41"/>
  <c r="GW10" i="41"/>
  <c r="GX10" i="41"/>
  <c r="GY10" i="41"/>
  <c r="GZ10" i="41"/>
  <c r="HA10" i="41"/>
  <c r="HB10" i="41"/>
  <c r="HC10" i="41"/>
  <c r="HD10" i="41"/>
  <c r="HE10" i="41"/>
  <c r="HF10" i="41"/>
  <c r="HG10" i="41"/>
  <c r="HH10" i="41"/>
  <c r="HI10" i="41"/>
  <c r="HJ10" i="41"/>
  <c r="HK10" i="41"/>
  <c r="HL10" i="41"/>
  <c r="HM10" i="41"/>
  <c r="HN10" i="41"/>
  <c r="HO10" i="41"/>
  <c r="HP10" i="41"/>
  <c r="HQ10" i="41"/>
  <c r="HR10" i="41"/>
  <c r="HS10" i="41"/>
  <c r="HT10" i="41"/>
  <c r="HU10" i="41"/>
  <c r="HV10" i="41"/>
  <c r="HW10" i="41"/>
  <c r="HX10" i="41"/>
  <c r="HY10" i="41"/>
  <c r="HZ10" i="41"/>
  <c r="IA10" i="41"/>
  <c r="IB10" i="41"/>
  <c r="IC10" i="41"/>
  <c r="ID10" i="41"/>
  <c r="IE10" i="41"/>
  <c r="IF10" i="41"/>
  <c r="IG10" i="41"/>
  <c r="IH10" i="41"/>
  <c r="II10" i="41"/>
  <c r="IJ10" i="41"/>
  <c r="IK10" i="41"/>
  <c r="IL10" i="41"/>
  <c r="IM10" i="41"/>
  <c r="IN10" i="41"/>
  <c r="IO10" i="41"/>
  <c r="IP10" i="41"/>
  <c r="IQ10" i="41"/>
  <c r="IR10" i="41"/>
  <c r="IS10" i="41"/>
  <c r="IT10" i="41"/>
  <c r="IU10" i="41"/>
  <c r="IV10" i="41"/>
  <c r="IW10" i="41"/>
  <c r="IX10" i="41"/>
  <c r="IY10" i="41"/>
  <c r="IZ10" i="41"/>
  <c r="JA10" i="41"/>
  <c r="JB10" i="41"/>
  <c r="G1426" i="1"/>
  <c r="G1420" i="1" l="1"/>
  <c r="E1421" i="1"/>
  <c r="K2765" i="23" l="1"/>
  <c r="J2765" i="23"/>
  <c r="H2765" i="23"/>
  <c r="F2765" i="23"/>
  <c r="E2765" i="23"/>
  <c r="E2773" i="23"/>
  <c r="T1426" i="1" l="1"/>
  <c r="G1344" i="1"/>
  <c r="G757" i="1"/>
  <c r="G687" i="1"/>
  <c r="G358" i="1"/>
  <c r="G612" i="1"/>
  <c r="G616" i="1"/>
  <c r="G205" i="1"/>
  <c r="G496" i="1"/>
  <c r="G663" i="1"/>
  <c r="JC10" i="41"/>
  <c r="G2620" i="23" l="1"/>
  <c r="G2619" i="23"/>
  <c r="A77" i="2"/>
  <c r="D45" i="2"/>
  <c r="E45" i="2"/>
  <c r="G45" i="2"/>
  <c r="G2712" i="23"/>
  <c r="M2712" i="23" s="1"/>
  <c r="E2712" i="23"/>
  <c r="F2712" i="23"/>
  <c r="H2712" i="23"/>
  <c r="J2712" i="23"/>
  <c r="N2712" i="23" s="1"/>
  <c r="K2712" i="23"/>
  <c r="A2713" i="23"/>
  <c r="E2722" i="23"/>
  <c r="G2624" i="23"/>
  <c r="G2623" i="23"/>
  <c r="O2623" i="23" s="1"/>
  <c r="G2622" i="23"/>
  <c r="G2621" i="23"/>
  <c r="O2621" i="23" s="1"/>
  <c r="G2618" i="23"/>
  <c r="J2619" i="23"/>
  <c r="J2620" i="23"/>
  <c r="J2621" i="23"/>
  <c r="J2622" i="23"/>
  <c r="H2619" i="23"/>
  <c r="H2620" i="23"/>
  <c r="H2623" i="23"/>
  <c r="H2624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G2974" i="23"/>
  <c r="G2945" i="23"/>
  <c r="G2950" i="23" s="1"/>
  <c r="L2712" i="23" l="1"/>
  <c r="A2712" i="23"/>
  <c r="O2712" i="23"/>
  <c r="M2624" i="23"/>
  <c r="N2621" i="23"/>
  <c r="O2624" i="23"/>
  <c r="O2620" i="23"/>
  <c r="M2622" i="23"/>
  <c r="O2622" i="23"/>
  <c r="M2621" i="23"/>
  <c r="N2622" i="23"/>
  <c r="G2949" i="23"/>
  <c r="O2619" i="23"/>
  <c r="N2619" i="23"/>
  <c r="M2619" i="23"/>
  <c r="M2620" i="23"/>
  <c r="M2623" i="23"/>
  <c r="E514" i="1"/>
  <c r="G514" i="1"/>
  <c r="N2620" i="23" l="1"/>
  <c r="G497" i="1"/>
  <c r="H3" i="23"/>
  <c r="E497" i="1"/>
  <c r="C1339" i="1"/>
  <c r="C1341" i="1"/>
  <c r="C1342" i="1"/>
  <c r="C1343" i="1"/>
  <c r="C2281" i="1" l="1"/>
  <c r="C2297" i="1"/>
  <c r="G689" i="1"/>
  <c r="G688" i="1"/>
  <c r="G681" i="1"/>
  <c r="G680" i="1"/>
  <c r="G2765" i="23"/>
  <c r="N2765" i="23" l="1"/>
  <c r="O2765" i="23"/>
  <c r="L2765" i="23"/>
  <c r="G1020" i="15"/>
  <c r="G1224" i="1"/>
  <c r="G1223" i="1"/>
  <c r="G753" i="1"/>
  <c r="G752" i="1"/>
  <c r="F71" i="15"/>
  <c r="O70" i="15"/>
  <c r="P70" i="15" s="1"/>
  <c r="F70" i="15"/>
  <c r="Q1623" i="1"/>
  <c r="Q1626" i="1"/>
  <c r="Q1650" i="1"/>
  <c r="Q1649" i="1"/>
  <c r="Q1652" i="1"/>
  <c r="F427" i="15"/>
  <c r="F1248" i="15" l="1"/>
  <c r="F1247" i="15"/>
  <c r="F1246" i="15"/>
  <c r="K2762" i="23"/>
  <c r="K2761" i="23"/>
  <c r="K2760" i="23"/>
  <c r="K2759" i="23"/>
  <c r="K2758" i="23"/>
  <c r="K2757" i="23"/>
  <c r="K2756" i="23"/>
  <c r="K2755" i="23"/>
  <c r="K2754" i="23"/>
  <c r="K2753" i="23"/>
  <c r="K2752" i="23"/>
  <c r="K2751" i="23"/>
  <c r="K2750" i="23"/>
  <c r="K2749" i="23"/>
  <c r="K2740" i="23"/>
  <c r="J2758" i="23"/>
  <c r="J2757" i="23"/>
  <c r="J2756" i="23"/>
  <c r="J2755" i="23"/>
  <c r="J2754" i="23"/>
  <c r="J2753" i="23"/>
  <c r="J2752" i="23"/>
  <c r="J2751" i="23"/>
  <c r="H2762" i="23"/>
  <c r="H2760" i="23"/>
  <c r="H2759" i="23"/>
  <c r="H2758" i="23"/>
  <c r="H2755" i="23"/>
  <c r="H2754" i="23"/>
  <c r="H2749" i="23"/>
  <c r="J2742" i="23"/>
  <c r="N2742" i="23" s="1"/>
  <c r="J2741" i="23"/>
  <c r="N2741" i="23" s="1"/>
  <c r="J2740" i="23"/>
  <c r="K2745" i="23"/>
  <c r="O2745" i="23" s="1"/>
  <c r="K2744" i="23"/>
  <c r="O2744" i="23" s="1"/>
  <c r="K2743" i="23"/>
  <c r="O2743" i="23" s="1"/>
  <c r="K2742" i="23"/>
  <c r="O2742" i="23" s="1"/>
  <c r="K2741" i="23"/>
  <c r="O2741" i="23" s="1"/>
  <c r="H2745" i="23"/>
  <c r="L2745" i="23" s="1"/>
  <c r="H2743" i="23"/>
  <c r="L2743" i="23" s="1"/>
  <c r="H2742" i="23"/>
  <c r="L2742" i="23" s="1"/>
  <c r="H2740" i="23"/>
  <c r="K2598" i="23"/>
  <c r="C634" i="1"/>
  <c r="J634" i="1"/>
  <c r="U1228" i="1"/>
  <c r="F1225" i="1"/>
  <c r="E1225" i="1"/>
  <c r="F1232" i="1"/>
  <c r="E1232" i="1"/>
  <c r="F1231" i="1"/>
  <c r="E1231" i="1"/>
  <c r="G1230" i="1"/>
  <c r="S1230" i="1" s="1"/>
  <c r="F1230" i="1"/>
  <c r="E1230" i="1"/>
  <c r="G1229" i="1"/>
  <c r="S1229" i="1" s="1"/>
  <c r="F1229" i="1"/>
  <c r="E1229" i="1"/>
  <c r="T1222" i="1"/>
  <c r="E1224" i="1"/>
  <c r="E1223" i="1"/>
  <c r="F1227" i="1"/>
  <c r="E1227" i="1"/>
  <c r="F1226" i="1"/>
  <c r="E1226" i="1"/>
  <c r="S1224" i="1"/>
  <c r="F1224" i="1"/>
  <c r="S1223" i="1"/>
  <c r="F1223" i="1"/>
  <c r="E1214" i="1"/>
  <c r="E1213" i="1"/>
  <c r="E1207" i="1"/>
  <c r="T1212" i="1"/>
  <c r="P1212" i="1"/>
  <c r="F1218" i="1"/>
  <c r="E1218" i="1"/>
  <c r="F1217" i="1"/>
  <c r="E1217" i="1"/>
  <c r="F1216" i="1"/>
  <c r="E1216" i="1"/>
  <c r="F1215" i="1"/>
  <c r="E1215" i="1"/>
  <c r="G1214" i="1"/>
  <c r="F1214" i="1"/>
  <c r="G1213" i="1"/>
  <c r="F1213" i="1"/>
  <c r="U1239" i="1" l="1"/>
  <c r="U1238" i="1"/>
  <c r="U1237" i="1"/>
  <c r="U1236" i="1"/>
  <c r="U1235" i="1"/>
  <c r="U1234" i="1"/>
  <c r="U1233" i="1"/>
  <c r="U1222" i="1"/>
  <c r="U1221" i="1"/>
  <c r="U1220" i="1"/>
  <c r="U1219" i="1"/>
  <c r="T1238" i="1"/>
  <c r="T1237" i="1"/>
  <c r="T1236" i="1"/>
  <c r="T1235" i="1"/>
  <c r="T1234" i="1"/>
  <c r="T1233" i="1"/>
  <c r="T1228" i="1" s="1"/>
  <c r="T1221" i="1"/>
  <c r="T1220" i="1"/>
  <c r="T1219" i="1"/>
  <c r="T1205" i="1"/>
  <c r="T1204" i="1"/>
  <c r="T1203" i="1"/>
  <c r="Q1660" i="1"/>
  <c r="Q1661" i="1"/>
  <c r="Q1662" i="1"/>
  <c r="Q1663" i="1"/>
  <c r="Q1664" i="1"/>
  <c r="Q1668" i="1"/>
  <c r="Q1669" i="1"/>
  <c r="Q1670" i="1"/>
  <c r="Q1671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4" i="1"/>
  <c r="Q1695" i="1"/>
  <c r="Q1696" i="1"/>
  <c r="Q1702" i="1"/>
  <c r="Q1705" i="1"/>
  <c r="Q1706" i="1"/>
  <c r="Q1707" i="1"/>
  <c r="Q1709" i="1"/>
  <c r="Q1710" i="1"/>
  <c r="Q1711" i="1"/>
  <c r="Q1712" i="1"/>
  <c r="Q1714" i="1"/>
  <c r="Q1715" i="1"/>
  <c r="Q1439" i="1"/>
  <c r="Q1440" i="1"/>
  <c r="Q1441" i="1"/>
  <c r="Q1442" i="1"/>
  <c r="Q1443" i="1"/>
  <c r="Q1444" i="1"/>
  <c r="Q1447" i="1"/>
  <c r="Q1426" i="1"/>
  <c r="Q1427" i="1"/>
  <c r="Q1428" i="1"/>
  <c r="Q1429" i="1"/>
  <c r="Q1430" i="1"/>
  <c r="Q1434" i="1"/>
  <c r="Q1435" i="1"/>
  <c r="Q1436" i="1"/>
  <c r="Q1437" i="1"/>
  <c r="Q1438" i="1"/>
  <c r="E1208" i="1"/>
  <c r="P1208" i="1"/>
  <c r="S1208" i="1" s="1"/>
  <c r="P1207" i="1"/>
  <c r="S1207" i="1" s="1"/>
  <c r="U1211" i="1"/>
  <c r="Q1211" i="1"/>
  <c r="T1211" i="1" s="1"/>
  <c r="U1210" i="1"/>
  <c r="Q1210" i="1"/>
  <c r="T1210" i="1" s="1"/>
  <c r="U1209" i="1"/>
  <c r="Q1209" i="1"/>
  <c r="T1209" i="1" s="1"/>
  <c r="U1208" i="1"/>
  <c r="Q1208" i="1"/>
  <c r="T1208" i="1" s="1"/>
  <c r="U1207" i="1"/>
  <c r="Q1207" i="1"/>
  <c r="T1207" i="1" s="1"/>
  <c r="F1211" i="1"/>
  <c r="E1211" i="1"/>
  <c r="F1210" i="1"/>
  <c r="E1210" i="1"/>
  <c r="F1209" i="1"/>
  <c r="E1209" i="1"/>
  <c r="F1208" i="1"/>
  <c r="F1207" i="1"/>
  <c r="E41" i="16" l="1"/>
  <c r="F41" i="16"/>
  <c r="G41" i="16"/>
  <c r="H41" i="16"/>
  <c r="I41" i="16"/>
  <c r="D41" i="16"/>
  <c r="O44" i="15"/>
  <c r="P44" i="15" s="1"/>
  <c r="O45" i="15"/>
  <c r="P45" i="15" s="1"/>
  <c r="O46" i="15"/>
  <c r="P46" i="15" s="1"/>
  <c r="O47" i="15"/>
  <c r="P47" i="15" s="1"/>
  <c r="O48" i="15"/>
  <c r="P48" i="15" s="1"/>
  <c r="O49" i="15"/>
  <c r="P49" i="15" s="1"/>
  <c r="O50" i="15"/>
  <c r="P50" i="15" s="1"/>
  <c r="O51" i="15"/>
  <c r="P51" i="15" s="1"/>
  <c r="O52" i="15"/>
  <c r="P52" i="15" s="1"/>
  <c r="O53" i="15"/>
  <c r="P53" i="15" s="1"/>
  <c r="O54" i="15"/>
  <c r="P54" i="15" s="1"/>
  <c r="O55" i="15"/>
  <c r="P55" i="15" s="1"/>
  <c r="O56" i="15"/>
  <c r="P56" i="15" s="1"/>
  <c r="O57" i="15"/>
  <c r="P57" i="15" s="1"/>
  <c r="O58" i="15"/>
  <c r="P58" i="15" s="1"/>
  <c r="O59" i="15"/>
  <c r="P59" i="15" s="1"/>
  <c r="O17" i="15"/>
  <c r="P17" i="15" s="1"/>
  <c r="O18" i="15"/>
  <c r="P18" i="15" s="1"/>
  <c r="O19" i="15"/>
  <c r="P19" i="15" s="1"/>
  <c r="O20" i="15"/>
  <c r="P20" i="15" s="1"/>
  <c r="O21" i="15"/>
  <c r="P21" i="15" s="1"/>
  <c r="O22" i="15"/>
  <c r="P22" i="15" s="1"/>
  <c r="O23" i="15"/>
  <c r="P23" i="15" s="1"/>
  <c r="O24" i="15"/>
  <c r="P24" i="15" s="1"/>
  <c r="O25" i="15"/>
  <c r="P25" i="15" s="1"/>
  <c r="O26" i="15"/>
  <c r="P26" i="15" s="1"/>
  <c r="G6" i="15" s="1"/>
  <c r="O27" i="15"/>
  <c r="P27" i="15" s="1"/>
  <c r="O28" i="15"/>
  <c r="P28" i="15" s="1"/>
  <c r="O29" i="15"/>
  <c r="P29" i="15" s="1"/>
  <c r="O30" i="15"/>
  <c r="P30" i="15" s="1"/>
  <c r="O31" i="15"/>
  <c r="P31" i="15" s="1"/>
  <c r="O32" i="15"/>
  <c r="P32" i="15" s="1"/>
  <c r="O33" i="15"/>
  <c r="P33" i="15" s="1"/>
  <c r="O34" i="15"/>
  <c r="P34" i="15" s="1"/>
  <c r="O35" i="15"/>
  <c r="P35" i="15" s="1"/>
  <c r="O36" i="15"/>
  <c r="P36" i="15" s="1"/>
  <c r="O16" i="15"/>
  <c r="P16" i="15" s="1"/>
  <c r="O38" i="15"/>
  <c r="P38" i="15" s="1"/>
  <c r="O39" i="15"/>
  <c r="P39" i="15" s="1"/>
  <c r="O40" i="15"/>
  <c r="P40" i="15" s="1"/>
  <c r="O41" i="15"/>
  <c r="P41" i="15" s="1"/>
  <c r="O42" i="15"/>
  <c r="P42" i="15" s="1"/>
  <c r="O43" i="15"/>
  <c r="P43" i="15" s="1"/>
  <c r="G1146" i="15" l="1"/>
  <c r="J2598" i="23" s="1"/>
  <c r="G1019" i="15"/>
  <c r="G1036" i="15"/>
  <c r="G782" i="15"/>
  <c r="G777" i="15"/>
  <c r="G781" i="15"/>
  <c r="G761" i="15"/>
  <c r="G780" i="15"/>
  <c r="G760" i="15"/>
  <c r="Q1206" i="1" s="1"/>
  <c r="T1206" i="1" s="1"/>
  <c r="JQ41" i="16"/>
  <c r="JR41" i="16"/>
  <c r="JS41" i="16"/>
  <c r="JT41" i="16"/>
  <c r="JU41" i="16"/>
  <c r="JV41" i="16"/>
  <c r="JW41" i="16"/>
  <c r="JX41" i="16"/>
  <c r="JY41" i="16"/>
  <c r="JZ41" i="16"/>
  <c r="KA41" i="16"/>
  <c r="KB41" i="16"/>
  <c r="KC41" i="16"/>
  <c r="KD41" i="16"/>
  <c r="KE41" i="16"/>
  <c r="KF41" i="16"/>
  <c r="KG41" i="16"/>
  <c r="KH41" i="16"/>
  <c r="KI41" i="16"/>
  <c r="KJ41" i="16"/>
  <c r="KK41" i="16"/>
  <c r="KL41" i="16"/>
  <c r="KM41" i="16"/>
  <c r="KN41" i="16"/>
  <c r="KO41" i="16"/>
  <c r="KP41" i="16"/>
  <c r="JD41" i="16"/>
  <c r="JE41" i="16"/>
  <c r="JF41" i="16"/>
  <c r="JG41" i="16"/>
  <c r="JH41" i="16"/>
  <c r="JI41" i="16"/>
  <c r="JJ41" i="16"/>
  <c r="JK41" i="16"/>
  <c r="JL41" i="16"/>
  <c r="JM41" i="16"/>
  <c r="JN41" i="16"/>
  <c r="JO41" i="16"/>
  <c r="JP41" i="16"/>
  <c r="FW41" i="16"/>
  <c r="FX41" i="16"/>
  <c r="FY41" i="16"/>
  <c r="FZ41" i="16"/>
  <c r="GA41" i="16"/>
  <c r="GB41" i="16"/>
  <c r="GC41" i="16"/>
  <c r="GD41" i="16"/>
  <c r="GE41" i="16"/>
  <c r="GF41" i="16"/>
  <c r="GG41" i="16"/>
  <c r="GH41" i="16"/>
  <c r="GI41" i="16"/>
  <c r="GJ41" i="16"/>
  <c r="GK41" i="16"/>
  <c r="GL41" i="16"/>
  <c r="GM41" i="16"/>
  <c r="GN41" i="16"/>
  <c r="GO41" i="16"/>
  <c r="GP41" i="16"/>
  <c r="GQ41" i="16"/>
  <c r="GR41" i="16"/>
  <c r="GS41" i="16"/>
  <c r="GT41" i="16"/>
  <c r="GU41" i="16"/>
  <c r="GV41" i="16"/>
  <c r="GW41" i="16"/>
  <c r="GX41" i="16"/>
  <c r="GY41" i="16"/>
  <c r="GZ41" i="16"/>
  <c r="HA41" i="16"/>
  <c r="HB41" i="16"/>
  <c r="HC41" i="16"/>
  <c r="HD41" i="16"/>
  <c r="HE41" i="16"/>
  <c r="HF41" i="16"/>
  <c r="HG41" i="16"/>
  <c r="HH41" i="16"/>
  <c r="HI41" i="16"/>
  <c r="HJ41" i="16"/>
  <c r="HK41" i="16"/>
  <c r="HL41" i="16"/>
  <c r="HM41" i="16"/>
  <c r="HN41" i="16"/>
  <c r="HO41" i="16"/>
  <c r="HP41" i="16"/>
  <c r="HQ41" i="16"/>
  <c r="HR41" i="16"/>
  <c r="HS41" i="16"/>
  <c r="HT41" i="16"/>
  <c r="HU41" i="16"/>
  <c r="HV41" i="16"/>
  <c r="HW41" i="16"/>
  <c r="HX41" i="16"/>
  <c r="HY41" i="16"/>
  <c r="HZ41" i="16"/>
  <c r="IA41" i="16"/>
  <c r="IB41" i="16"/>
  <c r="IC41" i="16"/>
  <c r="ID41" i="16"/>
  <c r="IE41" i="16"/>
  <c r="IF41" i="16"/>
  <c r="IG41" i="16"/>
  <c r="IH41" i="16"/>
  <c r="II41" i="16"/>
  <c r="IK41" i="16"/>
  <c r="IL41" i="16"/>
  <c r="IM41" i="16"/>
  <c r="IN41" i="16"/>
  <c r="IO41" i="16"/>
  <c r="IP41" i="16"/>
  <c r="IQ41" i="16"/>
  <c r="IR41" i="16"/>
  <c r="IS41" i="16"/>
  <c r="IT41" i="16"/>
  <c r="IU41" i="16"/>
  <c r="IV41" i="16"/>
  <c r="IW41" i="16"/>
  <c r="IX41" i="16"/>
  <c r="IY41" i="16"/>
  <c r="IZ41" i="16"/>
  <c r="JA41" i="16"/>
  <c r="JB41" i="16"/>
  <c r="JC41" i="16"/>
  <c r="C41" i="16"/>
  <c r="FO41" i="16"/>
  <c r="FP41" i="16"/>
  <c r="FQ41" i="16"/>
  <c r="FR41" i="16"/>
  <c r="FS41" i="16"/>
  <c r="FT41" i="16"/>
  <c r="FU41" i="16"/>
  <c r="FV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FF41" i="16"/>
  <c r="FG41" i="16"/>
  <c r="FH41" i="16"/>
  <c r="FI41" i="16"/>
  <c r="FJ41" i="16"/>
  <c r="FK41" i="16"/>
  <c r="FL41" i="16"/>
  <c r="FM41" i="16"/>
  <c r="AI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K41" i="16"/>
  <c r="L41" i="16"/>
  <c r="M41" i="16"/>
  <c r="N41" i="16"/>
  <c r="G1693" i="1" l="1"/>
  <c r="G2250" i="1"/>
  <c r="G1700" i="1"/>
  <c r="IJ41" i="16"/>
  <c r="FN41" i="16"/>
  <c r="AJ41" i="16"/>
  <c r="E2239" i="1"/>
  <c r="IJ43" i="16" l="1"/>
  <c r="G1648" i="1"/>
  <c r="P1648" i="1"/>
  <c r="F1648" i="1"/>
  <c r="E1648" i="1"/>
  <c r="H1648" i="1" l="1"/>
  <c r="S1648" i="1"/>
  <c r="U1648" i="1"/>
  <c r="G508" i="1" l="1"/>
  <c r="G507" i="1"/>
  <c r="G504" i="1"/>
  <c r="R2239" i="1" l="1"/>
  <c r="Q2239" i="1"/>
  <c r="P2239" i="1"/>
  <c r="F2239" i="1"/>
  <c r="E2238" i="1"/>
  <c r="A3" i="16" l="1"/>
  <c r="H1653" i="1"/>
  <c r="G297" i="1"/>
  <c r="G309" i="1"/>
  <c r="T305" i="1"/>
  <c r="O305" i="1"/>
  <c r="N305" i="1"/>
  <c r="F305" i="1"/>
  <c r="E305" i="1"/>
  <c r="D305" i="1"/>
  <c r="T304" i="1"/>
  <c r="O304" i="1"/>
  <c r="N304" i="1"/>
  <c r="F304" i="1"/>
  <c r="E304" i="1"/>
  <c r="D304" i="1"/>
  <c r="G759" i="1"/>
  <c r="G758" i="1"/>
  <c r="T763" i="1"/>
  <c r="T762" i="1"/>
  <c r="U757" i="1"/>
  <c r="U694" i="1"/>
  <c r="U693" i="1"/>
  <c r="U692" i="1"/>
  <c r="T693" i="1"/>
  <c r="J41" i="16" l="1"/>
  <c r="E7" i="41"/>
  <c r="G1419" i="1" l="1"/>
  <c r="P1309" i="1" l="1"/>
  <c r="F1309" i="1"/>
  <c r="E1309" i="1"/>
  <c r="K634" i="1" l="1"/>
  <c r="G1406" i="1"/>
  <c r="D1263" i="1" l="1"/>
  <c r="H138" i="49" l="1"/>
  <c r="H137" i="49"/>
  <c r="H136" i="49"/>
  <c r="H135" i="49"/>
  <c r="H134" i="49"/>
  <c r="H133" i="49"/>
  <c r="H132" i="49"/>
  <c r="H131" i="49"/>
  <c r="H129" i="49"/>
  <c r="H128" i="49"/>
  <c r="D2750" i="23" l="1"/>
  <c r="E2750" i="23"/>
  <c r="F2750" i="23"/>
  <c r="D2751" i="23"/>
  <c r="E2751" i="23"/>
  <c r="F2751" i="23"/>
  <c r="D2752" i="23"/>
  <c r="E2752" i="23"/>
  <c r="F2752" i="23"/>
  <c r="D2753" i="23"/>
  <c r="E2753" i="23"/>
  <c r="F2753" i="23"/>
  <c r="D2754" i="23"/>
  <c r="E2754" i="23"/>
  <c r="F2754" i="23"/>
  <c r="D2755" i="23"/>
  <c r="E2755" i="23"/>
  <c r="F2755" i="23"/>
  <c r="D2756" i="23"/>
  <c r="E2756" i="23"/>
  <c r="F2756" i="23"/>
  <c r="D2757" i="23"/>
  <c r="E2757" i="23"/>
  <c r="F2757" i="23"/>
  <c r="D2758" i="23"/>
  <c r="E2758" i="23"/>
  <c r="F2758" i="23"/>
  <c r="D2759" i="23"/>
  <c r="E2759" i="23"/>
  <c r="F2759" i="23"/>
  <c r="D2760" i="23"/>
  <c r="E2760" i="23"/>
  <c r="F2760" i="23"/>
  <c r="D2761" i="23"/>
  <c r="E2761" i="23"/>
  <c r="F2761" i="23"/>
  <c r="F2749" i="23"/>
  <c r="E2749" i="23"/>
  <c r="D2749" i="23"/>
  <c r="D2741" i="23"/>
  <c r="E2741" i="23"/>
  <c r="F2741" i="23"/>
  <c r="D2742" i="23"/>
  <c r="E2742" i="23"/>
  <c r="F2742" i="23"/>
  <c r="D2743" i="23"/>
  <c r="E2743" i="23"/>
  <c r="F2743" i="23"/>
  <c r="D2744" i="23"/>
  <c r="E2744" i="23"/>
  <c r="F2744" i="23"/>
  <c r="D2745" i="23"/>
  <c r="E2745" i="23"/>
  <c r="F2745" i="23"/>
  <c r="F2740" i="23"/>
  <c r="E2740" i="23"/>
  <c r="D2740" i="23"/>
  <c r="F2736" i="23"/>
  <c r="E2736" i="23"/>
  <c r="D2736" i="23"/>
  <c r="F2735" i="23"/>
  <c r="E2735" i="23"/>
  <c r="D2735" i="23"/>
  <c r="F2734" i="23"/>
  <c r="E2734" i="23"/>
  <c r="D2734" i="23"/>
  <c r="F2733" i="23"/>
  <c r="E2733" i="23"/>
  <c r="D2733" i="23"/>
  <c r="K2717" i="23"/>
  <c r="J2717" i="23"/>
  <c r="H2717" i="23"/>
  <c r="F2717" i="23"/>
  <c r="E2717" i="23"/>
  <c r="D2717" i="23"/>
  <c r="F1107" i="15"/>
  <c r="E2649" i="23"/>
  <c r="E2641" i="23"/>
  <c r="K2636" i="23"/>
  <c r="J2636" i="23"/>
  <c r="F2636" i="23"/>
  <c r="E2636" i="23"/>
  <c r="D2636" i="23"/>
  <c r="D2633" i="23"/>
  <c r="E2633" i="23"/>
  <c r="F2633" i="23"/>
  <c r="H2633" i="23"/>
  <c r="J2633" i="23"/>
  <c r="K2633" i="23"/>
  <c r="D2634" i="23"/>
  <c r="E2634" i="23"/>
  <c r="F2634" i="23"/>
  <c r="H2634" i="23"/>
  <c r="J2634" i="23"/>
  <c r="K2634" i="23"/>
  <c r="A2738" i="23"/>
  <c r="A2741" i="23"/>
  <c r="A2742" i="23"/>
  <c r="A2743" i="23"/>
  <c r="A2744" i="23"/>
  <c r="A2745" i="23"/>
  <c r="A2747" i="23"/>
  <c r="K2785" i="23" l="1"/>
  <c r="J2785" i="23"/>
  <c r="H2785" i="23"/>
  <c r="F2785" i="23"/>
  <c r="E2785" i="23"/>
  <c r="K2784" i="23"/>
  <c r="J2784" i="23"/>
  <c r="F2784" i="23"/>
  <c r="E2784" i="23"/>
  <c r="K2783" i="23"/>
  <c r="J2783" i="23"/>
  <c r="H2783" i="23"/>
  <c r="F2783" i="23"/>
  <c r="E2783" i="23"/>
  <c r="D2783" i="23"/>
  <c r="K2782" i="23"/>
  <c r="J2782" i="23"/>
  <c r="H2782" i="23"/>
  <c r="F2782" i="23"/>
  <c r="E2782" i="23"/>
  <c r="D2782" i="23"/>
  <c r="K2781" i="23"/>
  <c r="J2781" i="23"/>
  <c r="H2781" i="23"/>
  <c r="F2781" i="23"/>
  <c r="E2781" i="23"/>
  <c r="D2781" i="23"/>
  <c r="K2780" i="23"/>
  <c r="J2780" i="23"/>
  <c r="H2780" i="23"/>
  <c r="F2780" i="23"/>
  <c r="E2780" i="23"/>
  <c r="D2780" i="23"/>
  <c r="K2779" i="23"/>
  <c r="J2779" i="23"/>
  <c r="H2779" i="23"/>
  <c r="F2779" i="23"/>
  <c r="E2779" i="23"/>
  <c r="D2779" i="23"/>
  <c r="K2778" i="23"/>
  <c r="J2778" i="23"/>
  <c r="H2778" i="23"/>
  <c r="F2778" i="23"/>
  <c r="E2778" i="23"/>
  <c r="D2778" i="23"/>
  <c r="K2777" i="23"/>
  <c r="J2777" i="23"/>
  <c r="H2777" i="23"/>
  <c r="F2777" i="23"/>
  <c r="E2777" i="23"/>
  <c r="D2777" i="23"/>
  <c r="K2776" i="23"/>
  <c r="J2776" i="23"/>
  <c r="H2776" i="23"/>
  <c r="F2776" i="23"/>
  <c r="E2776" i="23"/>
  <c r="D2776" i="23"/>
  <c r="K2775" i="23"/>
  <c r="J2775" i="23"/>
  <c r="H2775" i="23"/>
  <c r="F2775" i="23"/>
  <c r="E2775" i="23"/>
  <c r="D2775" i="23"/>
  <c r="K2774" i="23"/>
  <c r="J2774" i="23"/>
  <c r="H2774" i="23"/>
  <c r="F2774" i="23"/>
  <c r="E2774" i="23"/>
  <c r="D2774" i="23"/>
  <c r="K2773" i="23"/>
  <c r="J2773" i="23"/>
  <c r="H2773" i="23"/>
  <c r="F2773" i="23"/>
  <c r="D2773" i="23"/>
  <c r="K2772" i="23"/>
  <c r="J2772" i="23"/>
  <c r="H2772" i="23"/>
  <c r="F2772" i="23"/>
  <c r="E2772" i="23"/>
  <c r="D2772" i="23"/>
  <c r="K2771" i="23"/>
  <c r="J2771" i="23"/>
  <c r="H2771" i="23"/>
  <c r="F2771" i="23"/>
  <c r="E2771" i="23"/>
  <c r="D2771" i="23"/>
  <c r="K2770" i="23"/>
  <c r="J2770" i="23"/>
  <c r="H2770" i="23"/>
  <c r="F2770" i="23"/>
  <c r="E2770" i="23"/>
  <c r="D2770" i="23"/>
  <c r="H2769" i="23"/>
  <c r="F2769" i="23"/>
  <c r="E2769" i="23"/>
  <c r="D2769" i="23"/>
  <c r="K2768" i="23"/>
  <c r="J2768" i="23"/>
  <c r="H2768" i="23"/>
  <c r="F2768" i="23"/>
  <c r="E2768" i="23"/>
  <c r="D2768" i="23"/>
  <c r="K2767" i="23"/>
  <c r="J2767" i="23"/>
  <c r="H2767" i="23"/>
  <c r="F2767" i="23"/>
  <c r="E2767" i="23"/>
  <c r="K2766" i="23"/>
  <c r="J2766" i="23"/>
  <c r="F2766" i="23"/>
  <c r="E2766" i="23"/>
  <c r="D2765" i="23"/>
  <c r="K2667" i="23"/>
  <c r="K2663" i="23"/>
  <c r="J2663" i="23"/>
  <c r="K2662" i="23"/>
  <c r="J2662" i="23"/>
  <c r="K2661" i="23"/>
  <c r="J2661" i="23"/>
  <c r="K2660" i="23"/>
  <c r="J2660" i="23"/>
  <c r="K2659" i="23"/>
  <c r="J2659" i="23"/>
  <c r="K2658" i="23"/>
  <c r="J2658" i="23"/>
  <c r="K2657" i="23"/>
  <c r="J2657" i="23"/>
  <c r="K2654" i="23"/>
  <c r="J2654" i="23"/>
  <c r="K2653" i="23"/>
  <c r="J2653" i="23"/>
  <c r="K2652" i="23"/>
  <c r="J2652" i="23"/>
  <c r="K2651" i="23"/>
  <c r="J2651" i="23"/>
  <c r="K2650" i="23"/>
  <c r="J2650" i="23"/>
  <c r="K2649" i="23"/>
  <c r="J2649" i="23"/>
  <c r="K2648" i="23"/>
  <c r="J2648" i="23"/>
  <c r="K2645" i="23"/>
  <c r="J2645" i="23"/>
  <c r="K2644" i="23"/>
  <c r="J2644" i="23"/>
  <c r="K2643" i="23"/>
  <c r="J2643" i="23"/>
  <c r="K2642" i="23"/>
  <c r="J2642" i="23"/>
  <c r="K2641" i="23"/>
  <c r="J2641" i="23"/>
  <c r="K2640" i="23"/>
  <c r="J2640" i="23"/>
  <c r="K2637" i="23"/>
  <c r="J2637" i="23"/>
  <c r="K2635" i="23"/>
  <c r="J2635" i="23"/>
  <c r="K2632" i="23"/>
  <c r="J2632" i="23"/>
  <c r="I2605" i="23"/>
  <c r="H2605" i="23"/>
  <c r="F2605" i="23"/>
  <c r="E2605" i="23"/>
  <c r="D2605" i="23"/>
  <c r="K2604" i="23"/>
  <c r="J2604" i="23"/>
  <c r="I2604" i="23"/>
  <c r="H2604" i="23"/>
  <c r="F2604" i="23"/>
  <c r="E2604" i="23"/>
  <c r="D2604" i="23"/>
  <c r="E1077" i="15"/>
  <c r="E23" i="23"/>
  <c r="H2442" i="23" l="1"/>
  <c r="K139" i="49" l="1"/>
  <c r="K138" i="49"/>
  <c r="K136" i="49"/>
  <c r="K135" i="49"/>
  <c r="K134" i="49"/>
  <c r="K133" i="49"/>
  <c r="K132" i="49"/>
  <c r="K131" i="49"/>
  <c r="K130" i="49"/>
  <c r="K129" i="49"/>
  <c r="K128" i="49"/>
  <c r="E1319" i="15"/>
  <c r="F125" i="49"/>
  <c r="E125" i="49"/>
  <c r="D125" i="49"/>
  <c r="F124" i="49"/>
  <c r="E124" i="49"/>
  <c r="D124" i="49"/>
  <c r="F123" i="49"/>
  <c r="E123" i="49"/>
  <c r="D123" i="49"/>
  <c r="F122" i="49"/>
  <c r="E122" i="49"/>
  <c r="D122" i="49"/>
  <c r="K121" i="49"/>
  <c r="F121" i="49"/>
  <c r="E121" i="49"/>
  <c r="D121" i="49"/>
  <c r="K120" i="49"/>
  <c r="J120" i="49"/>
  <c r="H120" i="49"/>
  <c r="F120" i="49"/>
  <c r="E120" i="49"/>
  <c r="D120" i="49"/>
  <c r="F119" i="49"/>
  <c r="E119" i="49"/>
  <c r="F118" i="49"/>
  <c r="E118" i="49"/>
  <c r="F117" i="49"/>
  <c r="E117" i="49"/>
  <c r="F116" i="49"/>
  <c r="E116" i="49"/>
  <c r="F115" i="49"/>
  <c r="E115" i="49"/>
  <c r="F114" i="49"/>
  <c r="E114" i="49"/>
  <c r="A113" i="49"/>
  <c r="G112" i="49"/>
  <c r="G119" i="49" s="1"/>
  <c r="L119" i="49" s="1"/>
  <c r="K99" i="49"/>
  <c r="F99" i="49"/>
  <c r="E99" i="49"/>
  <c r="D99" i="49"/>
  <c r="J68" i="49"/>
  <c r="H68" i="49"/>
  <c r="F68" i="49"/>
  <c r="E68" i="49"/>
  <c r="H48" i="49"/>
  <c r="E48" i="49"/>
  <c r="E35" i="49"/>
  <c r="G114" i="49" l="1"/>
  <c r="O114" i="49" s="1"/>
  <c r="A112" i="49"/>
  <c r="G115" i="49"/>
  <c r="L115" i="49" s="1"/>
  <c r="O119" i="49"/>
  <c r="G121" i="49"/>
  <c r="L121" i="49" s="1"/>
  <c r="N119" i="49"/>
  <c r="A119" i="49"/>
  <c r="G120" i="49"/>
  <c r="A120" i="49" s="1"/>
  <c r="G116" i="49"/>
  <c r="L116" i="49" s="1"/>
  <c r="G117" i="49"/>
  <c r="L117" i="49" s="1"/>
  <c r="G118" i="49"/>
  <c r="L118" i="49" s="1"/>
  <c r="N2457" i="23"/>
  <c r="N2458" i="23"/>
  <c r="N2465" i="23"/>
  <c r="N2466" i="23"/>
  <c r="N2475" i="23"/>
  <c r="N2487" i="23"/>
  <c r="N2488" i="23"/>
  <c r="N2494" i="23"/>
  <c r="N2498" i="23"/>
  <c r="N2499" i="23"/>
  <c r="N2508" i="23"/>
  <c r="N2509" i="23"/>
  <c r="N2517" i="23"/>
  <c r="N2518" i="23"/>
  <c r="N2532" i="23"/>
  <c r="N2543" i="23"/>
  <c r="N2544" i="23"/>
  <c r="N2550" i="23"/>
  <c r="N2565" i="23"/>
  <c r="J2473" i="23"/>
  <c r="J2464" i="23"/>
  <c r="K2586" i="23"/>
  <c r="J2586" i="23"/>
  <c r="H2586" i="23"/>
  <c r="F2586" i="23"/>
  <c r="E2586" i="23"/>
  <c r="K2585" i="23"/>
  <c r="J2585" i="23"/>
  <c r="F2585" i="23"/>
  <c r="E2585" i="23"/>
  <c r="K2584" i="23"/>
  <c r="J2584" i="23"/>
  <c r="H2584" i="23"/>
  <c r="F2584" i="23"/>
  <c r="E2584" i="23"/>
  <c r="D2584" i="23"/>
  <c r="K2583" i="23"/>
  <c r="J2583" i="23"/>
  <c r="H2583" i="23"/>
  <c r="F2583" i="23"/>
  <c r="E2583" i="23"/>
  <c r="D2583" i="23"/>
  <c r="K2582" i="23"/>
  <c r="J2582" i="23"/>
  <c r="H2582" i="23"/>
  <c r="F2582" i="23"/>
  <c r="E2582" i="23"/>
  <c r="D2582" i="23"/>
  <c r="K2581" i="23"/>
  <c r="J2581" i="23"/>
  <c r="H2581" i="23"/>
  <c r="F2581" i="23"/>
  <c r="E2581" i="23"/>
  <c r="D2581" i="23"/>
  <c r="K2580" i="23"/>
  <c r="J2580" i="23"/>
  <c r="H2580" i="23"/>
  <c r="F2580" i="23"/>
  <c r="E2580" i="23"/>
  <c r="D2580" i="23"/>
  <c r="K2579" i="23"/>
  <c r="J2579" i="23"/>
  <c r="H2579" i="23"/>
  <c r="F2579" i="23"/>
  <c r="E2579" i="23"/>
  <c r="D2579" i="23"/>
  <c r="K2578" i="23"/>
  <c r="J2578" i="23"/>
  <c r="H2578" i="23"/>
  <c r="F2578" i="23"/>
  <c r="E2578" i="23"/>
  <c r="D2578" i="23"/>
  <c r="K2577" i="23"/>
  <c r="J2577" i="23"/>
  <c r="H2577" i="23"/>
  <c r="F2577" i="23"/>
  <c r="E2577" i="23"/>
  <c r="D2577" i="23"/>
  <c r="K2576" i="23"/>
  <c r="J2576" i="23"/>
  <c r="H2576" i="23"/>
  <c r="F2576" i="23"/>
  <c r="E2576" i="23"/>
  <c r="D2576" i="23"/>
  <c r="K2575" i="23"/>
  <c r="J2575" i="23"/>
  <c r="H2575" i="23"/>
  <c r="F2575" i="23"/>
  <c r="E2575" i="23"/>
  <c r="D2575" i="23"/>
  <c r="K2574" i="23"/>
  <c r="J2574" i="23"/>
  <c r="H2574" i="23"/>
  <c r="F2574" i="23"/>
  <c r="E2574" i="23"/>
  <c r="D2574" i="23"/>
  <c r="K2573" i="23"/>
  <c r="J2573" i="23"/>
  <c r="H2573" i="23"/>
  <c r="F2573" i="23"/>
  <c r="E2573" i="23"/>
  <c r="D2573" i="23"/>
  <c r="K2572" i="23"/>
  <c r="J2572" i="23"/>
  <c r="H2572" i="23"/>
  <c r="F2572" i="23"/>
  <c r="E2572" i="23"/>
  <c r="D2572" i="23"/>
  <c r="K2571" i="23"/>
  <c r="J2571" i="23"/>
  <c r="H2571" i="23"/>
  <c r="F2571" i="23"/>
  <c r="E2571" i="23"/>
  <c r="D2571" i="23"/>
  <c r="H2570" i="23"/>
  <c r="F2570" i="23"/>
  <c r="E2570" i="23"/>
  <c r="D2570" i="23"/>
  <c r="K2569" i="23"/>
  <c r="J2569" i="23"/>
  <c r="H2569" i="23"/>
  <c r="F2569" i="23"/>
  <c r="E2569" i="23"/>
  <c r="D2569" i="23"/>
  <c r="K2568" i="23"/>
  <c r="J2568" i="23"/>
  <c r="H2568" i="23"/>
  <c r="F2568" i="23"/>
  <c r="E2568" i="23"/>
  <c r="K2567" i="23"/>
  <c r="J2567" i="23"/>
  <c r="F2567" i="23"/>
  <c r="E2567" i="23"/>
  <c r="K2566" i="23"/>
  <c r="J2566" i="23"/>
  <c r="H2566" i="23"/>
  <c r="F2566" i="23"/>
  <c r="E2566" i="23"/>
  <c r="D2566" i="23"/>
  <c r="N2446" i="23"/>
  <c r="N2447" i="23"/>
  <c r="N2452" i="23"/>
  <c r="J2448" i="23"/>
  <c r="J2449" i="23"/>
  <c r="J2450" i="23"/>
  <c r="J2453" i="23"/>
  <c r="J2454" i="23"/>
  <c r="J2455" i="23"/>
  <c r="J2456" i="23"/>
  <c r="J2445" i="23"/>
  <c r="J2444" i="23"/>
  <c r="J2443" i="23"/>
  <c r="J2442" i="23"/>
  <c r="J2439" i="23"/>
  <c r="J2438" i="23"/>
  <c r="J2437" i="23"/>
  <c r="J2436" i="23"/>
  <c r="J2435" i="23"/>
  <c r="J2430" i="23"/>
  <c r="J2431" i="23"/>
  <c r="J2432" i="23"/>
  <c r="N2432" i="23" s="1"/>
  <c r="F1418" i="15"/>
  <c r="F1417" i="15"/>
  <c r="F1416" i="15"/>
  <c r="F1415" i="15"/>
  <c r="F1413" i="15"/>
  <c r="F1414" i="15"/>
  <c r="O115" i="49" l="1"/>
  <c r="N114" i="49"/>
  <c r="A114" i="49"/>
  <c r="G122" i="49"/>
  <c r="L122" i="49" s="1"/>
  <c r="A122" i="49"/>
  <c r="N115" i="49"/>
  <c r="O121" i="49"/>
  <c r="A115" i="49"/>
  <c r="L120" i="49"/>
  <c r="O118" i="49"/>
  <c r="G125" i="49"/>
  <c r="L125" i="49" s="1"/>
  <c r="N118" i="49"/>
  <c r="A118" i="49"/>
  <c r="O116" i="49"/>
  <c r="G123" i="49"/>
  <c r="L123" i="49" s="1"/>
  <c r="N116" i="49"/>
  <c r="A116" i="49"/>
  <c r="O120" i="49"/>
  <c r="M121" i="49"/>
  <c r="A121" i="49"/>
  <c r="G124" i="49"/>
  <c r="L124" i="49" s="1"/>
  <c r="O117" i="49"/>
  <c r="N117" i="49"/>
  <c r="A117" i="49"/>
  <c r="N120" i="49"/>
  <c r="F3" i="15"/>
  <c r="K2400" i="23"/>
  <c r="J2400" i="23"/>
  <c r="I2400" i="23"/>
  <c r="H2400" i="23"/>
  <c r="F2400" i="23"/>
  <c r="E2400" i="23"/>
  <c r="D2400" i="23"/>
  <c r="E1078" i="15"/>
  <c r="E1019" i="15"/>
  <c r="BD28" i="63"/>
  <c r="BD18" i="63"/>
  <c r="R47" i="63"/>
  <c r="R49" i="63" s="1"/>
  <c r="R46" i="63"/>
  <c r="R28" i="63"/>
  <c r="R18" i="63"/>
  <c r="Y28" i="63"/>
  <c r="Y18" i="63"/>
  <c r="Y40" i="63" s="1"/>
  <c r="I28" i="63"/>
  <c r="I18" i="63"/>
  <c r="C28" i="63"/>
  <c r="C18" i="63"/>
  <c r="O122" i="49" l="1"/>
  <c r="N122" i="49"/>
  <c r="C40" i="63"/>
  <c r="I40" i="63"/>
  <c r="R40" i="63"/>
  <c r="G48" i="49" s="1"/>
  <c r="O48" i="49" s="1"/>
  <c r="BD40" i="63"/>
  <c r="F7" i="49" s="1"/>
  <c r="F296" i="15"/>
  <c r="H2752" i="23" s="1"/>
  <c r="F295" i="15"/>
  <c r="H2751" i="23" s="1"/>
  <c r="G68" i="49"/>
  <c r="G126" i="49"/>
  <c r="G134" i="49" s="1"/>
  <c r="N123" i="49"/>
  <c r="O123" i="49"/>
  <c r="A123" i="49"/>
  <c r="N125" i="49"/>
  <c r="O125" i="49"/>
  <c r="A125" i="49"/>
  <c r="O124" i="49"/>
  <c r="A124" i="49"/>
  <c r="N124" i="49"/>
  <c r="M48" i="49" l="1"/>
  <c r="L48" i="49"/>
  <c r="G99" i="49"/>
  <c r="M99" i="49" s="1"/>
  <c r="A48" i="49"/>
  <c r="N48" i="49"/>
  <c r="O99" i="49"/>
  <c r="A99" i="49"/>
  <c r="L99" i="49"/>
  <c r="M68" i="49"/>
  <c r="N68" i="49"/>
  <c r="O68" i="49"/>
  <c r="A68" i="49"/>
  <c r="L68" i="49"/>
  <c r="E1632" i="23"/>
  <c r="H1638" i="23" l="1"/>
  <c r="H1632" i="23"/>
  <c r="H18" i="49" l="1"/>
  <c r="E1878" i="23" l="1"/>
  <c r="E368" i="49"/>
  <c r="E22" i="49"/>
  <c r="K1173" i="15"/>
  <c r="G368" i="49"/>
  <c r="G366" i="49"/>
  <c r="G363" i="49"/>
  <c r="K357" i="49"/>
  <c r="J357" i="49"/>
  <c r="F357" i="49"/>
  <c r="E357" i="49"/>
  <c r="D357" i="49"/>
  <c r="K356" i="49"/>
  <c r="J356" i="49"/>
  <c r="F356" i="49"/>
  <c r="E356" i="49"/>
  <c r="D356" i="49"/>
  <c r="G355" i="49"/>
  <c r="G351" i="49"/>
  <c r="G357" i="49" s="1"/>
  <c r="K352" i="49"/>
  <c r="J352" i="49"/>
  <c r="H352" i="49"/>
  <c r="F352" i="49"/>
  <c r="E352" i="49"/>
  <c r="D352" i="49"/>
  <c r="K351" i="49"/>
  <c r="J351" i="49"/>
  <c r="H351" i="49"/>
  <c r="F351" i="49"/>
  <c r="E351" i="49"/>
  <c r="D351" i="49"/>
  <c r="G358" i="49"/>
  <c r="G353" i="49"/>
  <c r="G354" i="49" s="1"/>
  <c r="J362" i="49"/>
  <c r="J363" i="49"/>
  <c r="J365" i="49"/>
  <c r="J366" i="49"/>
  <c r="J367" i="49"/>
  <c r="J368" i="49"/>
  <c r="F457" i="15"/>
  <c r="F458" i="15"/>
  <c r="K354" i="49"/>
  <c r="J354" i="49"/>
  <c r="F354" i="49"/>
  <c r="E354" i="49"/>
  <c r="D354" i="49"/>
  <c r="F570" i="15"/>
  <c r="H47" i="49" s="1"/>
  <c r="E47" i="49"/>
  <c r="K25" i="49"/>
  <c r="J25" i="49"/>
  <c r="K20" i="49"/>
  <c r="H20" i="49"/>
  <c r="E20" i="49"/>
  <c r="D20" i="49"/>
  <c r="F1118" i="15"/>
  <c r="P28" i="63"/>
  <c r="P18" i="63"/>
  <c r="AA28" i="63"/>
  <c r="AA18" i="63"/>
  <c r="AA40" i="63" l="1"/>
  <c r="G19" i="49" s="1"/>
  <c r="G20" i="49" s="1"/>
  <c r="G26" i="49" s="1"/>
  <c r="P40" i="63"/>
  <c r="G47" i="49" s="1"/>
  <c r="O47" i="49" s="1"/>
  <c r="M357" i="49"/>
  <c r="A357" i="49"/>
  <c r="N357" i="49"/>
  <c r="G362" i="49"/>
  <c r="G356" i="49"/>
  <c r="O356" i="49" s="1"/>
  <c r="O357" i="49"/>
  <c r="M354" i="49"/>
  <c r="A354" i="49"/>
  <c r="O354" i="49"/>
  <c r="N354" i="49"/>
  <c r="O20" i="49" l="1"/>
  <c r="G21" i="49"/>
  <c r="A20" i="49"/>
  <c r="G24" i="49"/>
  <c r="G25" i="49" s="1"/>
  <c r="L20" i="49"/>
  <c r="M47" i="49"/>
  <c r="L47" i="49"/>
  <c r="N47" i="49"/>
  <c r="A47" i="49"/>
  <c r="M356" i="49"/>
  <c r="A356" i="49"/>
  <c r="N356" i="49"/>
  <c r="E64" i="49" l="1"/>
  <c r="F64" i="49"/>
  <c r="H64" i="49"/>
  <c r="J64" i="49"/>
  <c r="E65" i="49"/>
  <c r="F65" i="49"/>
  <c r="H65" i="49"/>
  <c r="J65" i="49"/>
  <c r="U28" i="63"/>
  <c r="U18" i="63"/>
  <c r="U40" i="63" l="1"/>
  <c r="G64" i="49" l="1"/>
  <c r="M64" i="49" s="1"/>
  <c r="O64" i="49" l="1"/>
  <c r="N64" i="49"/>
  <c r="A64" i="49"/>
  <c r="L64" i="49"/>
  <c r="G65" i="49"/>
  <c r="O65" i="49" s="1"/>
  <c r="G81" i="49"/>
  <c r="N65" i="49" l="1"/>
  <c r="L65" i="49"/>
  <c r="A65" i="49"/>
  <c r="M65" i="49"/>
  <c r="D1635" i="23" l="1"/>
  <c r="D1643" i="23"/>
  <c r="D1642" i="23"/>
  <c r="D1641" i="23"/>
  <c r="D1640" i="23"/>
  <c r="D1638" i="23"/>
  <c r="Q279" i="49"/>
  <c r="K279" i="49"/>
  <c r="H279" i="49"/>
  <c r="F279" i="49"/>
  <c r="E279" i="49"/>
  <c r="D279" i="49"/>
  <c r="D87" i="49"/>
  <c r="D90" i="49"/>
  <c r="Q1753" i="23"/>
  <c r="D1829" i="23"/>
  <c r="E1829" i="23"/>
  <c r="F1829" i="23"/>
  <c r="H1829" i="23"/>
  <c r="K1829" i="23"/>
  <c r="Q1763" i="23"/>
  <c r="Q1761" i="23"/>
  <c r="E1069" i="15"/>
  <c r="A1633" i="23"/>
  <c r="A1637" i="23"/>
  <c r="A1639" i="23"/>
  <c r="F460" i="15"/>
  <c r="H1690" i="23" s="1"/>
  <c r="F459" i="15"/>
  <c r="F452" i="15"/>
  <c r="H354" i="49" s="1"/>
  <c r="L354" i="49" s="1"/>
  <c r="N1689" i="23"/>
  <c r="J1696" i="23"/>
  <c r="J1695" i="23"/>
  <c r="N1695" i="23" s="1"/>
  <c r="J1694" i="23"/>
  <c r="N1694" i="23" s="1"/>
  <c r="J1693" i="23"/>
  <c r="J1692" i="23"/>
  <c r="J1691" i="23"/>
  <c r="J1690" i="23"/>
  <c r="J1687" i="23"/>
  <c r="J1686" i="23"/>
  <c r="J1685" i="23"/>
  <c r="J1684" i="23"/>
  <c r="J1683" i="23"/>
  <c r="J1682" i="23"/>
  <c r="J1675" i="23"/>
  <c r="J1676" i="23"/>
  <c r="J1677" i="23"/>
  <c r="J1678" i="23"/>
  <c r="F1696" i="23"/>
  <c r="F1695" i="23"/>
  <c r="F1694" i="23"/>
  <c r="F1693" i="23"/>
  <c r="F1692" i="23"/>
  <c r="F1691" i="23"/>
  <c r="F1690" i="23"/>
  <c r="F1687" i="23"/>
  <c r="F1686" i="23"/>
  <c r="F1685" i="23"/>
  <c r="F1684" i="23"/>
  <c r="F1683" i="23"/>
  <c r="F1682" i="23"/>
  <c r="E1696" i="23"/>
  <c r="D1696" i="23"/>
  <c r="H1695" i="23"/>
  <c r="E1695" i="23"/>
  <c r="D1695" i="23"/>
  <c r="H1694" i="23"/>
  <c r="E1694" i="23"/>
  <c r="D1694" i="23"/>
  <c r="E1693" i="23"/>
  <c r="D1693" i="23"/>
  <c r="E1692" i="23"/>
  <c r="D1692" i="23"/>
  <c r="H1691" i="23"/>
  <c r="E1691" i="23"/>
  <c r="D1691" i="23"/>
  <c r="E1690" i="23"/>
  <c r="D1690" i="23"/>
  <c r="O1689" i="23"/>
  <c r="M1689" i="23"/>
  <c r="L1689" i="23"/>
  <c r="E1687" i="23"/>
  <c r="D1687" i="23"/>
  <c r="E1686" i="23"/>
  <c r="D1686" i="23"/>
  <c r="E1685" i="23"/>
  <c r="D1685" i="23"/>
  <c r="E1684" i="23"/>
  <c r="D1684" i="23"/>
  <c r="H1683" i="23"/>
  <c r="E1683" i="23"/>
  <c r="D1683" i="23"/>
  <c r="E1682" i="23"/>
  <c r="D1682" i="23"/>
  <c r="O1681" i="23"/>
  <c r="N1681" i="23"/>
  <c r="M1681" i="23"/>
  <c r="L1681" i="23"/>
  <c r="K1842" i="23"/>
  <c r="J1842" i="23"/>
  <c r="H1842" i="23"/>
  <c r="F1842" i="23"/>
  <c r="E1842" i="23"/>
  <c r="K1841" i="23"/>
  <c r="J1841" i="23"/>
  <c r="F1841" i="23"/>
  <c r="E1841" i="23"/>
  <c r="K1840" i="23"/>
  <c r="J1840" i="23"/>
  <c r="H1840" i="23"/>
  <c r="F1840" i="23"/>
  <c r="E1840" i="23"/>
  <c r="D1840" i="23"/>
  <c r="K1839" i="23"/>
  <c r="J1839" i="23"/>
  <c r="H1839" i="23"/>
  <c r="F1839" i="23"/>
  <c r="E1839" i="23"/>
  <c r="D1839" i="23"/>
  <c r="K1838" i="23"/>
  <c r="J1838" i="23"/>
  <c r="H1838" i="23"/>
  <c r="F1838" i="23"/>
  <c r="E1838" i="23"/>
  <c r="D1838" i="23"/>
  <c r="K1837" i="23"/>
  <c r="J1837" i="23"/>
  <c r="H1837" i="23"/>
  <c r="F1837" i="23"/>
  <c r="E1837" i="23"/>
  <c r="D1837" i="23"/>
  <c r="K1836" i="23"/>
  <c r="J1836" i="23"/>
  <c r="H1836" i="23"/>
  <c r="F1836" i="23"/>
  <c r="E1836" i="23"/>
  <c r="D1836" i="23"/>
  <c r="K1835" i="23"/>
  <c r="J1835" i="23"/>
  <c r="H1835" i="23"/>
  <c r="F1835" i="23"/>
  <c r="E1835" i="23"/>
  <c r="D1835" i="23"/>
  <c r="K1834" i="23"/>
  <c r="J1834" i="23"/>
  <c r="H1834" i="23"/>
  <c r="F1834" i="23"/>
  <c r="E1834" i="23"/>
  <c r="D1834" i="23"/>
  <c r="K1833" i="23"/>
  <c r="J1833" i="23"/>
  <c r="H1833" i="23"/>
  <c r="F1833" i="23"/>
  <c r="E1833" i="23"/>
  <c r="D1833" i="23"/>
  <c r="K1832" i="23"/>
  <c r="J1832" i="23"/>
  <c r="H1832" i="23"/>
  <c r="F1832" i="23"/>
  <c r="E1832" i="23"/>
  <c r="D1832" i="23"/>
  <c r="K1831" i="23"/>
  <c r="J1831" i="23"/>
  <c r="H1831" i="23"/>
  <c r="F1831" i="23"/>
  <c r="E1831" i="23"/>
  <c r="D1831" i="23"/>
  <c r="K1830" i="23"/>
  <c r="J1830" i="23"/>
  <c r="H1830" i="23"/>
  <c r="F1830" i="23"/>
  <c r="E1830" i="23"/>
  <c r="D1830" i="23"/>
  <c r="K1828" i="23"/>
  <c r="J1828" i="23"/>
  <c r="H1828" i="23"/>
  <c r="F1828" i="23"/>
  <c r="E1828" i="23"/>
  <c r="D1828" i="23"/>
  <c r="K1827" i="23"/>
  <c r="J1827" i="23"/>
  <c r="H1827" i="23"/>
  <c r="F1827" i="23"/>
  <c r="E1827" i="23"/>
  <c r="D1827" i="23"/>
  <c r="K1826" i="23"/>
  <c r="J1826" i="23"/>
  <c r="H1826" i="23"/>
  <c r="F1826" i="23"/>
  <c r="E1826" i="23"/>
  <c r="D1826" i="23"/>
  <c r="H1825" i="23"/>
  <c r="F1825" i="23"/>
  <c r="E1825" i="23"/>
  <c r="D1825" i="23"/>
  <c r="K1824" i="23"/>
  <c r="J1824" i="23"/>
  <c r="H1824" i="23"/>
  <c r="F1824" i="23"/>
  <c r="E1824" i="23"/>
  <c r="D1824" i="23"/>
  <c r="K1823" i="23"/>
  <c r="J1823" i="23"/>
  <c r="H1823" i="23"/>
  <c r="F1823" i="23"/>
  <c r="E1823" i="23"/>
  <c r="K1822" i="23"/>
  <c r="J1822" i="23"/>
  <c r="F1822" i="23"/>
  <c r="E1822" i="23"/>
  <c r="K1821" i="23"/>
  <c r="J1821" i="23"/>
  <c r="H1821" i="23"/>
  <c r="F1821" i="23"/>
  <c r="E1821" i="23"/>
  <c r="D1821" i="23"/>
  <c r="D292" i="49"/>
  <c r="D291" i="49"/>
  <c r="D290" i="49"/>
  <c r="D289" i="49"/>
  <c r="D288" i="49"/>
  <c r="D287" i="49"/>
  <c r="D286" i="49"/>
  <c r="D285" i="49"/>
  <c r="D284" i="49"/>
  <c r="E285" i="49"/>
  <c r="F285" i="49"/>
  <c r="H285" i="49"/>
  <c r="K285" i="49"/>
  <c r="E286" i="49"/>
  <c r="F286" i="49"/>
  <c r="H286" i="49"/>
  <c r="K286" i="49"/>
  <c r="E287" i="49"/>
  <c r="F287" i="49"/>
  <c r="H287" i="49"/>
  <c r="K287" i="49"/>
  <c r="E288" i="49"/>
  <c r="F288" i="49"/>
  <c r="H288" i="49"/>
  <c r="K288" i="49"/>
  <c r="E289" i="49"/>
  <c r="F289" i="49"/>
  <c r="H289" i="49"/>
  <c r="K289" i="49"/>
  <c r="E290" i="49"/>
  <c r="F290" i="49"/>
  <c r="H290" i="49"/>
  <c r="K290" i="49"/>
  <c r="E291" i="49"/>
  <c r="F291" i="49"/>
  <c r="H291" i="49"/>
  <c r="K291" i="49"/>
  <c r="E292" i="49"/>
  <c r="F292" i="49"/>
  <c r="K292" i="49"/>
  <c r="K284" i="49"/>
  <c r="H284" i="49"/>
  <c r="F284" i="49"/>
  <c r="E284" i="49"/>
  <c r="O283" i="49"/>
  <c r="N283" i="49"/>
  <c r="M283" i="49"/>
  <c r="L283" i="49"/>
  <c r="D380" i="49"/>
  <c r="D392" i="49"/>
  <c r="D393" i="49"/>
  <c r="D394" i="49"/>
  <c r="D395" i="49"/>
  <c r="D396" i="49"/>
  <c r="D397" i="49"/>
  <c r="D398" i="49"/>
  <c r="D399" i="49"/>
  <c r="J134" i="49"/>
  <c r="F134" i="49"/>
  <c r="E134" i="49"/>
  <c r="D134" i="49"/>
  <c r="H36" i="49"/>
  <c r="F36" i="49"/>
  <c r="E36" i="49"/>
  <c r="W28" i="63"/>
  <c r="W18" i="63"/>
  <c r="H58" i="49"/>
  <c r="F58" i="49"/>
  <c r="E58" i="49"/>
  <c r="D58" i="49"/>
  <c r="E34" i="49"/>
  <c r="H45" i="49"/>
  <c r="F563" i="15"/>
  <c r="H46" i="49" s="1"/>
  <c r="J339" i="49"/>
  <c r="E330" i="49"/>
  <c r="BE28" i="63"/>
  <c r="BE18" i="63"/>
  <c r="BE8" i="63"/>
  <c r="Z28" i="63"/>
  <c r="Z18" i="63"/>
  <c r="X28" i="63"/>
  <c r="X18" i="63"/>
  <c r="AC28" i="63"/>
  <c r="AC18" i="63"/>
  <c r="AC40" i="63" s="1"/>
  <c r="J28" i="63"/>
  <c r="J18" i="63"/>
  <c r="E28" i="63"/>
  <c r="E18" i="63"/>
  <c r="D28" i="63"/>
  <c r="D18" i="63"/>
  <c r="E1070" i="15"/>
  <c r="E1071" i="15" s="1"/>
  <c r="Q1877" i="23"/>
  <c r="K1813" i="23"/>
  <c r="H1813" i="23"/>
  <c r="F1813" i="23"/>
  <c r="E1813" i="23"/>
  <c r="D1813" i="23"/>
  <c r="K1812" i="23"/>
  <c r="H1812" i="23"/>
  <c r="F1812" i="23"/>
  <c r="E1812" i="23"/>
  <c r="D1812" i="23"/>
  <c r="K1811" i="23"/>
  <c r="J1811" i="23"/>
  <c r="H1811" i="23"/>
  <c r="G1811" i="23"/>
  <c r="M1811" i="23" s="1"/>
  <c r="F1811" i="23"/>
  <c r="E1811" i="23"/>
  <c r="D1811" i="23"/>
  <c r="K1805" i="23"/>
  <c r="J1805" i="23"/>
  <c r="H1805" i="23"/>
  <c r="F1805" i="23"/>
  <c r="E1805" i="23"/>
  <c r="D1805" i="23"/>
  <c r="K1806" i="23"/>
  <c r="J1806" i="23"/>
  <c r="H1806" i="23"/>
  <c r="F1806" i="23"/>
  <c r="E1806" i="23"/>
  <c r="D1806" i="23"/>
  <c r="K1810" i="23"/>
  <c r="J1810" i="23"/>
  <c r="H1810" i="23"/>
  <c r="F1810" i="23"/>
  <c r="E1810" i="23"/>
  <c r="D1810" i="23"/>
  <c r="K1804" i="23"/>
  <c r="J1804" i="23"/>
  <c r="D1804" i="23"/>
  <c r="E1804" i="23"/>
  <c r="F1804" i="23"/>
  <c r="H1804" i="23"/>
  <c r="D1807" i="23"/>
  <c r="E1807" i="23"/>
  <c r="F1807" i="23"/>
  <c r="H1807" i="23"/>
  <c r="J1807" i="23"/>
  <c r="K1807" i="23"/>
  <c r="D1808" i="23"/>
  <c r="E1808" i="23"/>
  <c r="F1808" i="23"/>
  <c r="J1808" i="23"/>
  <c r="K1808" i="23"/>
  <c r="D1809" i="23"/>
  <c r="E1809" i="23"/>
  <c r="F1809" i="23"/>
  <c r="H1809" i="23"/>
  <c r="J1809" i="23"/>
  <c r="K1809" i="23"/>
  <c r="J1703" i="23"/>
  <c r="J1702" i="23"/>
  <c r="N1702" i="23" s="1"/>
  <c r="J1701" i="23"/>
  <c r="J1700" i="23"/>
  <c r="J1699" i="23"/>
  <c r="A1702" i="23"/>
  <c r="D1700" i="23"/>
  <c r="E1700" i="23"/>
  <c r="F1700" i="23"/>
  <c r="D1701" i="23"/>
  <c r="E1701" i="23"/>
  <c r="F1701" i="23"/>
  <c r="D1702" i="23"/>
  <c r="E1702" i="23"/>
  <c r="F1702" i="23"/>
  <c r="M1702" i="23"/>
  <c r="O1702" i="23"/>
  <c r="D1703" i="23"/>
  <c r="E1703" i="23"/>
  <c r="F1703" i="23"/>
  <c r="D1704" i="23"/>
  <c r="E1704" i="23"/>
  <c r="F1704" i="23"/>
  <c r="H1704" i="23"/>
  <c r="D1676" i="23"/>
  <c r="E1676" i="23"/>
  <c r="F1676" i="23"/>
  <c r="H1676" i="23"/>
  <c r="F1699" i="23"/>
  <c r="E1699" i="23"/>
  <c r="D1699" i="23"/>
  <c r="O1698" i="23"/>
  <c r="N1698" i="23"/>
  <c r="M1698" i="23"/>
  <c r="L1698" i="23"/>
  <c r="H1679" i="23"/>
  <c r="F1679" i="23"/>
  <c r="E1679" i="23"/>
  <c r="D1679" i="23"/>
  <c r="K1678" i="23"/>
  <c r="F1678" i="23"/>
  <c r="E1678" i="23"/>
  <c r="D1678" i="23"/>
  <c r="H1677" i="23"/>
  <c r="F1677" i="23"/>
  <c r="E1677" i="23"/>
  <c r="D1677" i="23"/>
  <c r="H1675" i="23"/>
  <c r="F1675" i="23"/>
  <c r="E1675" i="23"/>
  <c r="D1675" i="23"/>
  <c r="O1674" i="23"/>
  <c r="N1674" i="23"/>
  <c r="M1674" i="23"/>
  <c r="L1674" i="23"/>
  <c r="F1102" i="15"/>
  <c r="Q1635" i="23"/>
  <c r="E1020" i="15"/>
  <c r="W40" i="63" l="1"/>
  <c r="G36" i="49" s="1"/>
  <c r="O36" i="49" s="1"/>
  <c r="H1682" i="23"/>
  <c r="J40" i="63"/>
  <c r="G327" i="49" s="1"/>
  <c r="G329" i="49" s="1"/>
  <c r="G330" i="49" s="1"/>
  <c r="N36" i="49"/>
  <c r="L36" i="49"/>
  <c r="BE40" i="63"/>
  <c r="G154" i="49" s="1"/>
  <c r="L1811" i="23"/>
  <c r="A36" i="49"/>
  <c r="M36" i="49"/>
  <c r="E40" i="63"/>
  <c r="G282" i="49" s="1"/>
  <c r="Z40" i="63"/>
  <c r="G16" i="49" s="1"/>
  <c r="G22" i="49" s="1"/>
  <c r="D40" i="63"/>
  <c r="G275" i="49" s="1"/>
  <c r="G279" i="49" s="1"/>
  <c r="X40" i="63"/>
  <c r="G34" i="49" s="1"/>
  <c r="G91" i="49" s="1"/>
  <c r="A1811" i="23"/>
  <c r="O1811" i="23"/>
  <c r="N1811" i="23"/>
  <c r="E1004" i="15"/>
  <c r="M279" i="49" l="1"/>
  <c r="A279" i="49"/>
  <c r="L279" i="49"/>
  <c r="G289" i="49"/>
  <c r="A289" i="49" s="1"/>
  <c r="O279" i="49"/>
  <c r="G290" i="49"/>
  <c r="A290" i="49" s="1"/>
  <c r="A282" i="49"/>
  <c r="A283" i="49" s="1"/>
  <c r="G288" i="49"/>
  <c r="A288" i="49" s="1"/>
  <c r="G292" i="49"/>
  <c r="G285" i="49" s="1"/>
  <c r="G287" i="49"/>
  <c r="L287" i="49" s="1"/>
  <c r="G286" i="49"/>
  <c r="H1633" i="23"/>
  <c r="A59" i="49"/>
  <c r="A63" i="49"/>
  <c r="A76" i="49"/>
  <c r="A78" i="49"/>
  <c r="A79" i="49"/>
  <c r="A83" i="49"/>
  <c r="A88" i="49"/>
  <c r="A89" i="49"/>
  <c r="A102" i="49"/>
  <c r="A127" i="49"/>
  <c r="A141" i="49"/>
  <c r="A154" i="49"/>
  <c r="A155" i="49"/>
  <c r="A157" i="49"/>
  <c r="A159" i="49"/>
  <c r="A160" i="49"/>
  <c r="A161" i="49"/>
  <c r="A162" i="49"/>
  <c r="A163" i="49"/>
  <c r="A175" i="49"/>
  <c r="A189" i="49"/>
  <c r="A198" i="49"/>
  <c r="A199" i="49"/>
  <c r="A200" i="49"/>
  <c r="A202" i="49"/>
  <c r="A212" i="49"/>
  <c r="A222" i="49"/>
  <c r="A231" i="49"/>
  <c r="A232" i="49"/>
  <c r="A234" i="49"/>
  <c r="A235" i="49"/>
  <c r="A236" i="49"/>
  <c r="A237" i="49"/>
  <c r="A238" i="49"/>
  <c r="A240" i="49"/>
  <c r="A241" i="49"/>
  <c r="A242" i="49"/>
  <c r="A244" i="49"/>
  <c r="A251" i="49"/>
  <c r="A253" i="49"/>
  <c r="A254" i="49"/>
  <c r="A263" i="49"/>
  <c r="A265" i="49"/>
  <c r="A269" i="49"/>
  <c r="A274" i="49"/>
  <c r="J251" i="49"/>
  <c r="N251" i="49" s="1"/>
  <c r="F250" i="49"/>
  <c r="F251" i="49"/>
  <c r="F252" i="49"/>
  <c r="E250" i="49"/>
  <c r="E251" i="49"/>
  <c r="E252" i="49"/>
  <c r="D252" i="49"/>
  <c r="D266" i="49"/>
  <c r="D267" i="49"/>
  <c r="D268" i="49"/>
  <c r="D269" i="49"/>
  <c r="D270" i="49"/>
  <c r="D271" i="49"/>
  <c r="E273" i="49"/>
  <c r="M274" i="49"/>
  <c r="L274" i="49"/>
  <c r="K274" i="49"/>
  <c r="O274" i="49" s="1"/>
  <c r="F274" i="49"/>
  <c r="E274" i="49"/>
  <c r="D274" i="49"/>
  <c r="S273" i="49"/>
  <c r="R273" i="49"/>
  <c r="Q273" i="49"/>
  <c r="K273" i="49"/>
  <c r="F273" i="49"/>
  <c r="D273" i="49"/>
  <c r="K272" i="49"/>
  <c r="F272" i="49"/>
  <c r="E272" i="49"/>
  <c r="D272" i="49"/>
  <c r="K271" i="49"/>
  <c r="F271" i="49"/>
  <c r="E271" i="49"/>
  <c r="H270" i="49"/>
  <c r="F270" i="49"/>
  <c r="E270" i="49"/>
  <c r="M269" i="49"/>
  <c r="K269" i="49"/>
  <c r="O269" i="49" s="1"/>
  <c r="J269" i="49"/>
  <c r="N269" i="49" s="1"/>
  <c r="H269" i="49"/>
  <c r="L269" i="49" s="1"/>
  <c r="F269" i="49"/>
  <c r="E269" i="49"/>
  <c r="K268" i="49"/>
  <c r="J268" i="49"/>
  <c r="H268" i="49"/>
  <c r="F268" i="49"/>
  <c r="E268" i="49"/>
  <c r="K267" i="49"/>
  <c r="J267" i="49"/>
  <c r="H267" i="49"/>
  <c r="F267" i="49"/>
  <c r="E267" i="49"/>
  <c r="K266" i="49"/>
  <c r="J266" i="49"/>
  <c r="F266" i="49"/>
  <c r="E266" i="49"/>
  <c r="E1853" i="23"/>
  <c r="E130" i="49"/>
  <c r="E129" i="49"/>
  <c r="E128" i="49"/>
  <c r="F128" i="49"/>
  <c r="F129" i="49"/>
  <c r="F130" i="49"/>
  <c r="F131" i="49"/>
  <c r="F132" i="49"/>
  <c r="F133" i="49"/>
  <c r="E131" i="49"/>
  <c r="E132" i="49"/>
  <c r="E133" i="49"/>
  <c r="F139" i="49"/>
  <c r="E139" i="49"/>
  <c r="D139" i="49"/>
  <c r="F138" i="49"/>
  <c r="E138" i="49"/>
  <c r="D138" i="49"/>
  <c r="F137" i="49"/>
  <c r="E137" i="49"/>
  <c r="D137" i="49"/>
  <c r="F136" i="49"/>
  <c r="E136" i="49"/>
  <c r="D136" i="49"/>
  <c r="F135" i="49"/>
  <c r="E135" i="49"/>
  <c r="D135" i="49"/>
  <c r="E105" i="49"/>
  <c r="E45" i="49"/>
  <c r="E46" i="49"/>
  <c r="E44" i="49"/>
  <c r="E39" i="49"/>
  <c r="T685" i="1"/>
  <c r="T684" i="1"/>
  <c r="H1700" i="23"/>
  <c r="H1699" i="23"/>
  <c r="AE28" i="63"/>
  <c r="AE18" i="63"/>
  <c r="BC28" i="63"/>
  <c r="BC18" i="63"/>
  <c r="AN46" i="63"/>
  <c r="AT28" i="63"/>
  <c r="AS28" i="63"/>
  <c r="AR28" i="63"/>
  <c r="AQ28" i="63"/>
  <c r="AP28" i="63"/>
  <c r="AO28" i="63"/>
  <c r="AN28" i="63"/>
  <c r="AT18" i="63"/>
  <c r="AS18" i="63"/>
  <c r="AR18" i="63"/>
  <c r="AQ18" i="63"/>
  <c r="AP18" i="63"/>
  <c r="AO18" i="63"/>
  <c r="AN18" i="63"/>
  <c r="Q47" i="63"/>
  <c r="Q49" i="63" s="1"/>
  <c r="Q46" i="63"/>
  <c r="Q28" i="63"/>
  <c r="O28" i="63"/>
  <c r="Q18" i="63"/>
  <c r="O18" i="63"/>
  <c r="D722" i="49"/>
  <c r="E722" i="49"/>
  <c r="F722" i="49"/>
  <c r="U722" i="49"/>
  <c r="V722" i="49"/>
  <c r="W722" i="49"/>
  <c r="U1456" i="1"/>
  <c r="K1771" i="23"/>
  <c r="H1771" i="23"/>
  <c r="F1771" i="23"/>
  <c r="E1771" i="23"/>
  <c r="D1771" i="23"/>
  <c r="E1770" i="23"/>
  <c r="K1770" i="23"/>
  <c r="J1770" i="23"/>
  <c r="H1770" i="23"/>
  <c r="F1770" i="23"/>
  <c r="D1770" i="23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J795" i="15"/>
  <c r="G796" i="15"/>
  <c r="J796" i="15"/>
  <c r="G799" i="15"/>
  <c r="G800" i="15"/>
  <c r="F941" i="15"/>
  <c r="A3" i="41"/>
  <c r="A1774" i="23"/>
  <c r="D1775" i="23"/>
  <c r="E1775" i="23"/>
  <c r="F1775" i="23"/>
  <c r="K1775" i="23"/>
  <c r="H1764" i="23"/>
  <c r="A1766" i="23"/>
  <c r="D1766" i="23"/>
  <c r="E1766" i="23"/>
  <c r="F1766" i="23"/>
  <c r="H1766" i="23"/>
  <c r="J1766" i="23"/>
  <c r="K1766" i="23"/>
  <c r="K1756" i="23"/>
  <c r="H1756" i="23"/>
  <c r="F1756" i="23"/>
  <c r="E1756" i="23"/>
  <c r="D1756" i="23"/>
  <c r="K1752" i="23"/>
  <c r="J1752" i="23"/>
  <c r="H1752" i="23"/>
  <c r="F1752" i="23"/>
  <c r="E1752" i="23"/>
  <c r="D1752" i="23"/>
  <c r="E40" i="15"/>
  <c r="F40" i="15" s="1"/>
  <c r="D1768" i="23"/>
  <c r="E1768" i="23"/>
  <c r="F1768" i="23"/>
  <c r="J1768" i="23"/>
  <c r="K1768" i="23"/>
  <c r="E1767" i="23"/>
  <c r="D1767" i="23"/>
  <c r="F1767" i="23"/>
  <c r="H1767" i="23"/>
  <c r="J1767" i="23"/>
  <c r="K1767" i="23"/>
  <c r="K1764" i="23"/>
  <c r="J1764" i="23"/>
  <c r="F1764" i="23"/>
  <c r="E1764" i="23"/>
  <c r="D1764" i="23"/>
  <c r="E1765" i="23"/>
  <c r="F1765" i="23"/>
  <c r="J1765" i="23"/>
  <c r="K1765" i="23"/>
  <c r="D1763" i="23"/>
  <c r="D1765" i="23"/>
  <c r="F753" i="15"/>
  <c r="H2750" i="23" s="1"/>
  <c r="G585" i="15"/>
  <c r="S1774" i="23"/>
  <c r="R1774" i="23"/>
  <c r="Q1774" i="23"/>
  <c r="K1774" i="23"/>
  <c r="F1774" i="23"/>
  <c r="E1774" i="23"/>
  <c r="D1774" i="23"/>
  <c r="S1773" i="23"/>
  <c r="R1773" i="23"/>
  <c r="Q1773" i="23"/>
  <c r="K1773" i="23"/>
  <c r="F1773" i="23"/>
  <c r="E1773" i="23"/>
  <c r="D1773" i="23"/>
  <c r="K1772" i="23"/>
  <c r="H1772" i="23"/>
  <c r="F1772" i="23"/>
  <c r="E1772" i="23"/>
  <c r="D1772" i="23"/>
  <c r="K1763" i="23"/>
  <c r="J1763" i="23"/>
  <c r="H1763" i="23"/>
  <c r="F1763" i="23"/>
  <c r="E1763" i="23"/>
  <c r="K1762" i="23"/>
  <c r="F1762" i="23"/>
  <c r="E1762" i="23"/>
  <c r="D1762" i="23"/>
  <c r="K1761" i="23"/>
  <c r="H1761" i="23"/>
  <c r="F1761" i="23"/>
  <c r="E1761" i="23"/>
  <c r="D1761" i="23"/>
  <c r="O1760" i="23"/>
  <c r="N1760" i="23"/>
  <c r="M1760" i="23"/>
  <c r="L1760" i="23"/>
  <c r="S1758" i="23"/>
  <c r="R1758" i="23"/>
  <c r="Q1758" i="23"/>
  <c r="K1758" i="23"/>
  <c r="F1758" i="23"/>
  <c r="E1758" i="23"/>
  <c r="D1758" i="23"/>
  <c r="K1751" i="23"/>
  <c r="J1751" i="23"/>
  <c r="H1751" i="23"/>
  <c r="F1751" i="23"/>
  <c r="E1751" i="23"/>
  <c r="D1751" i="23"/>
  <c r="K2769" i="23"/>
  <c r="F842" i="15"/>
  <c r="F834" i="15"/>
  <c r="E1847" i="23"/>
  <c r="E1845" i="23"/>
  <c r="M1869" i="23"/>
  <c r="L1869" i="23"/>
  <c r="K1869" i="23"/>
  <c r="O1869" i="23" s="1"/>
  <c r="J1869" i="23"/>
  <c r="N1869" i="23" s="1"/>
  <c r="F1869" i="23"/>
  <c r="E1869" i="23"/>
  <c r="D1869" i="23"/>
  <c r="A1869" i="23"/>
  <c r="K1868" i="23"/>
  <c r="G1868" i="23"/>
  <c r="L1868" i="23" s="1"/>
  <c r="F1868" i="23"/>
  <c r="E1868" i="23"/>
  <c r="D1868" i="23"/>
  <c r="F1867" i="23"/>
  <c r="E1867" i="23"/>
  <c r="D1867" i="23"/>
  <c r="M1866" i="23"/>
  <c r="L1866" i="23"/>
  <c r="A1866" i="23"/>
  <c r="K1865" i="23"/>
  <c r="H1865" i="23"/>
  <c r="F1865" i="23"/>
  <c r="E1865" i="23"/>
  <c r="D1865" i="23"/>
  <c r="G1864" i="23"/>
  <c r="M1864" i="23" s="1"/>
  <c r="K1863" i="23"/>
  <c r="H1863" i="23"/>
  <c r="G1863" i="23"/>
  <c r="A1863" i="23" s="1"/>
  <c r="F1863" i="23"/>
  <c r="E1863" i="23"/>
  <c r="K1862" i="23"/>
  <c r="J1862" i="23"/>
  <c r="H1862" i="23"/>
  <c r="G1862" i="23"/>
  <c r="G1865" i="23" s="1"/>
  <c r="A1865" i="23" s="1"/>
  <c r="F1862" i="23"/>
  <c r="E1862" i="23"/>
  <c r="M1861" i="23"/>
  <c r="K1861" i="23"/>
  <c r="O1861" i="23" s="1"/>
  <c r="J1861" i="23"/>
  <c r="N1861" i="23" s="1"/>
  <c r="H1861" i="23"/>
  <c r="L1861" i="23" s="1"/>
  <c r="F1861" i="23"/>
  <c r="E1861" i="23"/>
  <c r="A1861" i="23"/>
  <c r="M1860" i="23"/>
  <c r="K1860" i="23"/>
  <c r="O1860" i="23" s="1"/>
  <c r="J1860" i="23"/>
  <c r="N1860" i="23" s="1"/>
  <c r="H1860" i="23"/>
  <c r="L1860" i="23" s="1"/>
  <c r="F1860" i="23"/>
  <c r="E1860" i="23"/>
  <c r="A1860" i="23"/>
  <c r="M1859" i="23"/>
  <c r="K1859" i="23"/>
  <c r="O1859" i="23" s="1"/>
  <c r="J1859" i="23"/>
  <c r="N1859" i="23" s="1"/>
  <c r="H1859" i="23"/>
  <c r="L1859" i="23" s="1"/>
  <c r="F1859" i="23"/>
  <c r="E1859" i="23"/>
  <c r="A1859" i="23"/>
  <c r="K1858" i="23"/>
  <c r="J1858" i="23"/>
  <c r="H1858" i="23"/>
  <c r="G1858" i="23"/>
  <c r="G1867" i="23" s="1"/>
  <c r="F1858" i="23"/>
  <c r="E1858" i="23"/>
  <c r="O1856" i="23"/>
  <c r="N1856" i="23"/>
  <c r="M1856" i="23"/>
  <c r="L1856" i="23"/>
  <c r="A1856" i="23"/>
  <c r="A1857" i="23" s="1"/>
  <c r="K1855" i="23"/>
  <c r="F1855" i="23"/>
  <c r="E1855" i="23"/>
  <c r="D1855" i="23"/>
  <c r="K1854" i="23"/>
  <c r="F1854" i="23"/>
  <c r="E1854" i="23"/>
  <c r="D1854" i="23"/>
  <c r="F1853" i="23"/>
  <c r="D1853" i="23"/>
  <c r="K1852" i="23"/>
  <c r="H1852" i="23"/>
  <c r="F1852" i="23"/>
  <c r="E1852" i="23"/>
  <c r="D1852" i="23"/>
  <c r="K1850" i="23"/>
  <c r="H1850" i="23"/>
  <c r="F1850" i="23"/>
  <c r="E1850" i="23"/>
  <c r="K1849" i="23"/>
  <c r="J1849" i="23"/>
  <c r="H1849" i="23"/>
  <c r="F1849" i="23"/>
  <c r="E1849" i="23"/>
  <c r="K1847" i="23"/>
  <c r="J1847" i="23"/>
  <c r="H1847" i="23"/>
  <c r="F1847" i="23"/>
  <c r="M1846" i="23"/>
  <c r="K1846" i="23"/>
  <c r="O1846" i="23" s="1"/>
  <c r="J1846" i="23"/>
  <c r="N1846" i="23" s="1"/>
  <c r="H1846" i="23"/>
  <c r="L1846" i="23" s="1"/>
  <c r="F1846" i="23"/>
  <c r="E1846" i="23"/>
  <c r="A1846" i="23"/>
  <c r="K1845" i="23"/>
  <c r="J1845" i="23"/>
  <c r="H1845" i="23"/>
  <c r="F1845" i="23"/>
  <c r="K1782" i="23"/>
  <c r="J1782" i="23"/>
  <c r="H1782" i="23"/>
  <c r="F1782" i="23"/>
  <c r="E1782" i="23"/>
  <c r="D1782" i="23"/>
  <c r="F1106" i="15"/>
  <c r="K2666" i="23"/>
  <c r="E1081" i="15"/>
  <c r="L1637" i="23"/>
  <c r="K1172" i="15"/>
  <c r="F1093" i="15"/>
  <c r="G558" i="15"/>
  <c r="G834" i="15"/>
  <c r="G753" i="15"/>
  <c r="O77" i="15"/>
  <c r="P77" i="15" s="1"/>
  <c r="O76" i="15"/>
  <c r="P76" i="15" s="1"/>
  <c r="O75" i="15"/>
  <c r="P75" i="15" s="1"/>
  <c r="O74" i="15"/>
  <c r="P74" i="15" s="1"/>
  <c r="O73" i="15"/>
  <c r="P73" i="15" s="1"/>
  <c r="O72" i="15"/>
  <c r="P72" i="15" s="1"/>
  <c r="O71" i="15"/>
  <c r="P71" i="15" s="1"/>
  <c r="O69" i="15"/>
  <c r="P69" i="15" s="1"/>
  <c r="O68" i="15"/>
  <c r="P68" i="15" s="1"/>
  <c r="F1092" i="15"/>
  <c r="O40" i="63" l="1"/>
  <c r="G45" i="49" s="1"/>
  <c r="H1762" i="23"/>
  <c r="A1868" i="23"/>
  <c r="H2744" i="23"/>
  <c r="L2744" i="23" s="1"/>
  <c r="H2761" i="23"/>
  <c r="H266" i="49"/>
  <c r="H2741" i="23"/>
  <c r="L2741" i="23" s="1"/>
  <c r="H2757" i="23"/>
  <c r="H1768" i="23"/>
  <c r="H2756" i="23"/>
  <c r="J2761" i="23"/>
  <c r="J2744" i="23"/>
  <c r="N2744" i="23" s="1"/>
  <c r="J1762" i="23"/>
  <c r="J2750" i="23"/>
  <c r="H139" i="49"/>
  <c r="H130" i="49"/>
  <c r="J1855" i="23"/>
  <c r="J139" i="49"/>
  <c r="Q694" i="1"/>
  <c r="T694" i="1" s="1"/>
  <c r="Q686" i="1"/>
  <c r="T686" i="1" s="1"/>
  <c r="G1077" i="15"/>
  <c r="G1007" i="15"/>
  <c r="K1853" i="23"/>
  <c r="K137" i="49"/>
  <c r="G815" i="15"/>
  <c r="J99" i="49" s="1"/>
  <c r="N99" i="49" s="1"/>
  <c r="G1265" i="15"/>
  <c r="G1249" i="15"/>
  <c r="G1118" i="15"/>
  <c r="J20" i="49" s="1"/>
  <c r="N20" i="49" s="1"/>
  <c r="G1025" i="15"/>
  <c r="G1026" i="15"/>
  <c r="G1069" i="15"/>
  <c r="G1031" i="15"/>
  <c r="G1015" i="15"/>
  <c r="K1825" i="23"/>
  <c r="K2570" i="23"/>
  <c r="G291" i="49"/>
  <c r="A291" i="49" s="1"/>
  <c r="N289" i="49"/>
  <c r="L288" i="49"/>
  <c r="A45" i="49"/>
  <c r="M288" i="49"/>
  <c r="N288" i="49"/>
  <c r="O288" i="49"/>
  <c r="L289" i="49"/>
  <c r="O289" i="49"/>
  <c r="M289" i="49"/>
  <c r="A287" i="49"/>
  <c r="N287" i="49"/>
  <c r="J722" i="49"/>
  <c r="H292" i="49"/>
  <c r="AO40" i="63"/>
  <c r="AS40" i="63"/>
  <c r="O287" i="49"/>
  <c r="M287" i="49"/>
  <c r="A292" i="49"/>
  <c r="G284" i="49"/>
  <c r="M285" i="49"/>
  <c r="L285" i="49"/>
  <c r="A285" i="49"/>
  <c r="N285" i="49"/>
  <c r="O285" i="49"/>
  <c r="M286" i="49"/>
  <c r="L286" i="49"/>
  <c r="A286" i="49"/>
  <c r="O286" i="49"/>
  <c r="N286" i="49"/>
  <c r="M290" i="49"/>
  <c r="O290" i="49"/>
  <c r="L290" i="49"/>
  <c r="N290" i="49"/>
  <c r="AE40" i="63"/>
  <c r="G264" i="49" s="1"/>
  <c r="M264" i="49" s="1"/>
  <c r="G841" i="15"/>
  <c r="G625" i="15"/>
  <c r="G839" i="15"/>
  <c r="G621" i="15"/>
  <c r="J138" i="49" s="1"/>
  <c r="G844" i="15"/>
  <c r="G735" i="15"/>
  <c r="G586" i="15"/>
  <c r="G588" i="15"/>
  <c r="G732" i="15"/>
  <c r="J2667" i="23" s="1"/>
  <c r="G959" i="15"/>
  <c r="G1154" i="15"/>
  <c r="G752" i="15"/>
  <c r="G751" i="15"/>
  <c r="G750" i="15"/>
  <c r="G749" i="15"/>
  <c r="Q615" i="1" s="1"/>
  <c r="G748" i="15"/>
  <c r="G747" i="15"/>
  <c r="G746" i="15"/>
  <c r="G616" i="15"/>
  <c r="J273" i="49" s="1"/>
  <c r="G618" i="15"/>
  <c r="G607" i="15"/>
  <c r="J2623" i="23" s="1"/>
  <c r="N2623" i="23" s="1"/>
  <c r="G619" i="15"/>
  <c r="J1863" i="23"/>
  <c r="N1863" i="23" s="1"/>
  <c r="J1850" i="23"/>
  <c r="G880" i="15"/>
  <c r="G1102" i="15"/>
  <c r="G1070" i="15"/>
  <c r="G1253" i="15"/>
  <c r="AT40" i="63"/>
  <c r="A1864" i="23"/>
  <c r="J271" i="49"/>
  <c r="K722" i="49"/>
  <c r="K270" i="49"/>
  <c r="J252" i="49"/>
  <c r="O1863" i="23"/>
  <c r="AQ40" i="63"/>
  <c r="C39" i="49" s="1"/>
  <c r="C44" i="49" s="1"/>
  <c r="AP40" i="63"/>
  <c r="BC40" i="63"/>
  <c r="Q40" i="63"/>
  <c r="G46" i="49" s="1"/>
  <c r="G60" i="49" s="1"/>
  <c r="AN40" i="63"/>
  <c r="AR40" i="63"/>
  <c r="G1261" i="15"/>
  <c r="G587" i="15"/>
  <c r="G935" i="15"/>
  <c r="G1220" i="15"/>
  <c r="Q1648" i="1" s="1"/>
  <c r="T1648" i="1" s="1"/>
  <c r="G1236" i="15"/>
  <c r="G1232" i="15" s="1"/>
  <c r="G591" i="15"/>
  <c r="G1228" i="15"/>
  <c r="G1244" i="15"/>
  <c r="G592" i="15"/>
  <c r="G943" i="15"/>
  <c r="G1081" i="15"/>
  <c r="G1218" i="15"/>
  <c r="G1226" i="15"/>
  <c r="G1234" i="15"/>
  <c r="G1242" i="15"/>
  <c r="G1251" i="15"/>
  <c r="G1259" i="15"/>
  <c r="G872" i="15"/>
  <c r="G916" i="15"/>
  <c r="G1224" i="15"/>
  <c r="G1240" i="15"/>
  <c r="G1248" i="15"/>
  <c r="G1257" i="15"/>
  <c r="G1092" i="15"/>
  <c r="G1222" i="15"/>
  <c r="G1238" i="15"/>
  <c r="G1246" i="15"/>
  <c r="G1255" i="15"/>
  <c r="G1263" i="15"/>
  <c r="G881" i="15"/>
  <c r="G941" i="15"/>
  <c r="G920" i="15"/>
  <c r="G627" i="15"/>
  <c r="J137" i="49" s="1"/>
  <c r="G924" i="15"/>
  <c r="G1140" i="15"/>
  <c r="G912" i="15"/>
  <c r="G871" i="15"/>
  <c r="G940" i="15"/>
  <c r="O1862" i="23"/>
  <c r="G840" i="15"/>
  <c r="G1219" i="15"/>
  <c r="G1221" i="15"/>
  <c r="G1223" i="15"/>
  <c r="G1225" i="15"/>
  <c r="G1227" i="15"/>
  <c r="G1229" i="15"/>
  <c r="G1233" i="15"/>
  <c r="G1235" i="15"/>
  <c r="G1231" i="15" s="1"/>
  <c r="J2769" i="23" s="1"/>
  <c r="G1237" i="15"/>
  <c r="G1239" i="15"/>
  <c r="G1241" i="15"/>
  <c r="G1243" i="15"/>
  <c r="G1245" i="15"/>
  <c r="G1247" i="15"/>
  <c r="G1250" i="15"/>
  <c r="G1252" i="15"/>
  <c r="G1254" i="15"/>
  <c r="G1256" i="15"/>
  <c r="G1258" i="15"/>
  <c r="G1260" i="15"/>
  <c r="G1262" i="15"/>
  <c r="G1264" i="15"/>
  <c r="G589" i="15"/>
  <c r="G593" i="15"/>
  <c r="G879" i="15"/>
  <c r="G1093" i="15"/>
  <c r="G1106" i="15"/>
  <c r="G811" i="15"/>
  <c r="G590" i="15"/>
  <c r="G594" i="15"/>
  <c r="K1867" i="23"/>
  <c r="O1867" i="23" s="1"/>
  <c r="J1773" i="23"/>
  <c r="M1867" i="23"/>
  <c r="A1867" i="23"/>
  <c r="A1858" i="23"/>
  <c r="L1858" i="23"/>
  <c r="M1862" i="23"/>
  <c r="M1863" i="23"/>
  <c r="M1858" i="23"/>
  <c r="N1858" i="23"/>
  <c r="A1862" i="23"/>
  <c r="L1862" i="23"/>
  <c r="L1863" i="23"/>
  <c r="O1868" i="23"/>
  <c r="M1868" i="23"/>
  <c r="O1858" i="23"/>
  <c r="N1862" i="23"/>
  <c r="G1143" i="15"/>
  <c r="G733" i="15"/>
  <c r="G836" i="15"/>
  <c r="G957" i="15"/>
  <c r="G913" i="15"/>
  <c r="G917" i="15"/>
  <c r="G921" i="15"/>
  <c r="G634" i="15"/>
  <c r="G914" i="15"/>
  <c r="G918" i="15"/>
  <c r="G922" i="15"/>
  <c r="J274" i="49" s="1"/>
  <c r="N274" i="49" s="1"/>
  <c r="G958" i="15"/>
  <c r="G636" i="15"/>
  <c r="G911" i="15"/>
  <c r="J1829" i="23" s="1"/>
  <c r="G915" i="15"/>
  <c r="G919" i="15"/>
  <c r="G923" i="15"/>
  <c r="G833" i="15"/>
  <c r="J2624" i="23" s="1"/>
  <c r="N2624" i="23" s="1"/>
  <c r="G635" i="15"/>
  <c r="G737" i="15"/>
  <c r="J2666" i="23" s="1"/>
  <c r="G837" i="15"/>
  <c r="G631" i="15"/>
  <c r="G838" i="15"/>
  <c r="G633" i="15"/>
  <c r="J430" i="23" s="1"/>
  <c r="G638" i="15"/>
  <c r="J136" i="49" s="1"/>
  <c r="G832" i="15"/>
  <c r="J2745" i="23" s="1"/>
  <c r="N2745" i="23" s="1"/>
  <c r="O1865" i="23"/>
  <c r="L1867" i="23"/>
  <c r="L1865" i="23"/>
  <c r="M1865" i="23"/>
  <c r="Q1672" i="1" l="1"/>
  <c r="Q1424" i="1"/>
  <c r="G267" i="49"/>
  <c r="G270" i="49" s="1"/>
  <c r="A270" i="49" s="1"/>
  <c r="Q1665" i="1"/>
  <c r="Q1431" i="1"/>
  <c r="J1772" i="23"/>
  <c r="J2760" i="23"/>
  <c r="J1812" i="23"/>
  <c r="Q1445" i="1"/>
  <c r="Q1691" i="1"/>
  <c r="Q1701" i="1"/>
  <c r="Q1698" i="1"/>
  <c r="Q1693" i="1"/>
  <c r="Q1699" i="1"/>
  <c r="Q1446" i="1"/>
  <c r="Q1692" i="1"/>
  <c r="Q1666" i="1"/>
  <c r="Q1432" i="1"/>
  <c r="J1771" i="23"/>
  <c r="J2759" i="23"/>
  <c r="J1775" i="23"/>
  <c r="J2762" i="23"/>
  <c r="Q1697" i="1"/>
  <c r="Q1700" i="1"/>
  <c r="Q1433" i="1"/>
  <c r="Q1667" i="1"/>
  <c r="Q1425" i="1"/>
  <c r="Q1659" i="1"/>
  <c r="Q1713" i="1"/>
  <c r="Q1703" i="1"/>
  <c r="Q1704" i="1"/>
  <c r="Q1708" i="1"/>
  <c r="J1761" i="23"/>
  <c r="J2749" i="23"/>
  <c r="J1756" i="23"/>
  <c r="J2743" i="23"/>
  <c r="N2743" i="23" s="1"/>
  <c r="J135" i="49"/>
  <c r="J121" i="49"/>
  <c r="N121" i="49" s="1"/>
  <c r="J1813" i="23"/>
  <c r="Q1658" i="1"/>
  <c r="N264" i="49"/>
  <c r="Q1452" i="1"/>
  <c r="G268" i="49"/>
  <c r="A268" i="49" s="1"/>
  <c r="O291" i="49"/>
  <c r="G273" i="49"/>
  <c r="A273" i="49" s="1"/>
  <c r="M291" i="49"/>
  <c r="N291" i="49"/>
  <c r="L291" i="49"/>
  <c r="J2485" i="23"/>
  <c r="J428" i="23"/>
  <c r="J2486" i="23"/>
  <c r="J427" i="23"/>
  <c r="J1825" i="23"/>
  <c r="J2570" i="23"/>
  <c r="J58" i="49"/>
  <c r="J364" i="49"/>
  <c r="G98" i="49"/>
  <c r="A98" i="49" s="1"/>
  <c r="J272" i="49"/>
  <c r="J279" i="49"/>
  <c r="N279" i="49" s="1"/>
  <c r="A284" i="49"/>
  <c r="M284" i="49"/>
  <c r="N284" i="49"/>
  <c r="O284" i="49"/>
  <c r="L284" i="49"/>
  <c r="O264" i="49"/>
  <c r="M292" i="49"/>
  <c r="O292" i="49"/>
  <c r="L292" i="49"/>
  <c r="N292" i="49"/>
  <c r="L46" i="49"/>
  <c r="G272" i="49"/>
  <c r="A272" i="49" s="1"/>
  <c r="A264" i="49"/>
  <c r="L264" i="49"/>
  <c r="G266" i="49"/>
  <c r="N266" i="49" s="1"/>
  <c r="O268" i="49"/>
  <c r="J1868" i="23"/>
  <c r="N1868" i="23" s="1"/>
  <c r="J1854" i="23"/>
  <c r="M46" i="49"/>
  <c r="A46" i="49"/>
  <c r="N46" i="49"/>
  <c r="O46" i="49"/>
  <c r="O273" i="49"/>
  <c r="J1867" i="23"/>
  <c r="N1867" i="23" s="1"/>
  <c r="J270" i="49"/>
  <c r="N267" i="49"/>
  <c r="J1853" i="23"/>
  <c r="J1774" i="23"/>
  <c r="J1758" i="23"/>
  <c r="J1865" i="23"/>
  <c r="N1865" i="23" s="1"/>
  <c r="J1852" i="23"/>
  <c r="M267" i="49" l="1"/>
  <c r="A267" i="49"/>
  <c r="L267" i="49"/>
  <c r="N270" i="49"/>
  <c r="L270" i="49"/>
  <c r="O267" i="49"/>
  <c r="O270" i="49"/>
  <c r="M270" i="49"/>
  <c r="M273" i="49"/>
  <c r="N273" i="49"/>
  <c r="L273" i="49"/>
  <c r="L268" i="49"/>
  <c r="M268" i="49"/>
  <c r="N268" i="49"/>
  <c r="O134" i="49"/>
  <c r="N134" i="49"/>
  <c r="A266" i="49"/>
  <c r="L266" i="49"/>
  <c r="O266" i="49"/>
  <c r="G271" i="49"/>
  <c r="M266" i="49"/>
  <c r="A126" i="49"/>
  <c r="G133" i="49"/>
  <c r="G131" i="49"/>
  <c r="G128" i="49"/>
  <c r="G129" i="49"/>
  <c r="G132" i="49"/>
  <c r="G130" i="49"/>
  <c r="M272" i="49"/>
  <c r="L272" i="49"/>
  <c r="N272" i="49"/>
  <c r="O272" i="49"/>
  <c r="N132" i="49" l="1"/>
  <c r="O132" i="49"/>
  <c r="L132" i="49"/>
  <c r="N130" i="49"/>
  <c r="O130" i="49"/>
  <c r="L130" i="49"/>
  <c r="N129" i="49"/>
  <c r="O129" i="49"/>
  <c r="L129" i="49"/>
  <c r="N131" i="49"/>
  <c r="L131" i="49"/>
  <c r="O131" i="49"/>
  <c r="N128" i="49"/>
  <c r="O128" i="49"/>
  <c r="L128" i="49"/>
  <c r="G135" i="49"/>
  <c r="N133" i="49"/>
  <c r="O133" i="49"/>
  <c r="L133" i="49"/>
  <c r="A134" i="49"/>
  <c r="A271" i="49"/>
  <c r="O271" i="49"/>
  <c r="M271" i="49"/>
  <c r="L271" i="49"/>
  <c r="N271" i="49"/>
  <c r="A130" i="49"/>
  <c r="G137" i="49"/>
  <c r="G138" i="49"/>
  <c r="A131" i="49"/>
  <c r="A129" i="49"/>
  <c r="G136" i="49"/>
  <c r="A132" i="49"/>
  <c r="G139" i="49"/>
  <c r="A128" i="49"/>
  <c r="A133" i="49"/>
  <c r="F1091" i="15"/>
  <c r="L138" i="49" l="1"/>
  <c r="N138" i="49"/>
  <c r="O138" i="49"/>
  <c r="L135" i="49"/>
  <c r="O135" i="49"/>
  <c r="N135" i="49"/>
  <c r="L139" i="49"/>
  <c r="N139" i="49"/>
  <c r="O139" i="49"/>
  <c r="L136" i="49"/>
  <c r="O136" i="49"/>
  <c r="N136" i="49"/>
  <c r="L137" i="49"/>
  <c r="O137" i="49"/>
  <c r="N137" i="49"/>
  <c r="A135" i="49"/>
  <c r="M135" i="49"/>
  <c r="A136" i="49"/>
  <c r="A138" i="49"/>
  <c r="A139" i="49"/>
  <c r="A137" i="49"/>
  <c r="C10" i="26"/>
  <c r="G521" i="1" l="1"/>
  <c r="G944" i="1" l="1"/>
  <c r="G878" i="23" l="1"/>
  <c r="E867" i="23"/>
  <c r="H1652" i="15" l="1"/>
  <c r="G1652" i="15"/>
  <c r="F1651" i="15"/>
  <c r="H1651" i="15" s="1"/>
  <c r="E1651" i="15"/>
  <c r="G1651" i="15" s="1"/>
  <c r="F1650" i="15"/>
  <c r="H1650" i="15" s="1"/>
  <c r="E1650" i="15"/>
  <c r="G1650" i="15" s="1"/>
  <c r="F1649" i="15"/>
  <c r="H1649" i="15" s="1"/>
  <c r="E1649" i="15"/>
  <c r="G1649" i="15" s="1"/>
  <c r="F1648" i="15"/>
  <c r="H1648" i="15" s="1"/>
  <c r="E1648" i="15"/>
  <c r="G1648" i="15" s="1"/>
  <c r="F1647" i="15"/>
  <c r="H1647" i="15" s="1"/>
  <c r="E1647" i="15"/>
  <c r="G1647" i="15" s="1"/>
  <c r="F1646" i="15"/>
  <c r="H1646" i="15" s="1"/>
  <c r="E1646" i="15"/>
  <c r="G1646" i="15" s="1"/>
  <c r="F1645" i="15"/>
  <c r="H1645" i="15" s="1"/>
  <c r="E1645" i="15"/>
  <c r="G1645" i="15" s="1"/>
  <c r="F1644" i="15"/>
  <c r="H1644" i="15" s="1"/>
  <c r="E1644" i="15"/>
  <c r="G1644" i="15" s="1"/>
  <c r="F1643" i="15"/>
  <c r="H1643" i="15" s="1"/>
  <c r="E1643" i="15"/>
  <c r="G1643" i="15" s="1"/>
  <c r="H1642" i="15"/>
  <c r="G1642" i="15"/>
  <c r="F1641" i="15"/>
  <c r="H1641" i="15" s="1"/>
  <c r="E1641" i="15"/>
  <c r="G1641" i="15" s="1"/>
  <c r="F1640" i="15"/>
  <c r="H1640" i="15" s="1"/>
  <c r="E1640" i="15"/>
  <c r="G1640" i="15" s="1"/>
  <c r="F1639" i="15"/>
  <c r="H1639" i="15" s="1"/>
  <c r="E1639" i="15"/>
  <c r="G1639" i="15" s="1"/>
  <c r="F1638" i="15"/>
  <c r="H1638" i="15" s="1"/>
  <c r="E1638" i="15"/>
  <c r="G1638" i="15" s="1"/>
  <c r="F1637" i="15"/>
  <c r="H1637" i="15" s="1"/>
  <c r="E1637" i="15"/>
  <c r="G1637" i="15" s="1"/>
  <c r="F1636" i="15"/>
  <c r="H1636" i="15" s="1"/>
  <c r="E1636" i="15"/>
  <c r="G1636" i="15" s="1"/>
  <c r="F1635" i="15"/>
  <c r="H1635" i="15" s="1"/>
  <c r="E1635" i="15"/>
  <c r="G1635" i="15" s="1"/>
  <c r="F1634" i="15"/>
  <c r="H1634" i="15" s="1"/>
  <c r="E1634" i="15"/>
  <c r="G1634" i="15" s="1"/>
  <c r="F1633" i="15"/>
  <c r="H1633" i="15" s="1"/>
  <c r="E1633" i="15"/>
  <c r="G1633" i="15" s="1"/>
  <c r="H1632" i="15"/>
  <c r="G1632" i="15"/>
  <c r="F1631" i="15"/>
  <c r="H1631" i="15" s="1"/>
  <c r="E1631" i="15"/>
  <c r="G1631" i="15" s="1"/>
  <c r="F1630" i="15"/>
  <c r="H1630" i="15" s="1"/>
  <c r="E1630" i="15"/>
  <c r="G1630" i="15" s="1"/>
  <c r="F1629" i="15"/>
  <c r="H1629" i="15" s="1"/>
  <c r="E1629" i="15"/>
  <c r="G1629" i="15" s="1"/>
  <c r="F1628" i="15"/>
  <c r="H1628" i="15" s="1"/>
  <c r="E1628" i="15"/>
  <c r="G1628" i="15" s="1"/>
  <c r="F1627" i="15"/>
  <c r="H1627" i="15" s="1"/>
  <c r="E1627" i="15"/>
  <c r="G1627" i="15" s="1"/>
  <c r="F1626" i="15"/>
  <c r="H1626" i="15" s="1"/>
  <c r="E1626" i="15"/>
  <c r="G1626" i="15" s="1"/>
  <c r="F1625" i="15"/>
  <c r="H1625" i="15" s="1"/>
  <c r="E1625" i="15"/>
  <c r="G1625" i="15" s="1"/>
  <c r="F1624" i="15"/>
  <c r="H1624" i="15" s="1"/>
  <c r="E1624" i="15"/>
  <c r="G1624" i="15" s="1"/>
  <c r="F1623" i="15"/>
  <c r="H1623" i="15" s="1"/>
  <c r="E1623" i="15"/>
  <c r="G1623" i="15" s="1"/>
  <c r="H1622" i="15"/>
  <c r="G1622" i="15"/>
  <c r="F1621" i="15"/>
  <c r="H1621" i="15" s="1"/>
  <c r="E1621" i="15"/>
  <c r="G1621" i="15" s="1"/>
  <c r="F1620" i="15"/>
  <c r="H1620" i="15" s="1"/>
  <c r="E1620" i="15"/>
  <c r="G1620" i="15" s="1"/>
  <c r="F1619" i="15"/>
  <c r="H1619" i="15" s="1"/>
  <c r="E1619" i="15"/>
  <c r="G1619" i="15" s="1"/>
  <c r="F1618" i="15"/>
  <c r="H1618" i="15" s="1"/>
  <c r="E1618" i="15"/>
  <c r="G1618" i="15" s="1"/>
  <c r="F1617" i="15"/>
  <c r="H1617" i="15" s="1"/>
  <c r="E1617" i="15"/>
  <c r="G1617" i="15" s="1"/>
  <c r="F1616" i="15"/>
  <c r="H1616" i="15" s="1"/>
  <c r="E1616" i="15"/>
  <c r="G1616" i="15" s="1"/>
  <c r="F1615" i="15"/>
  <c r="H1615" i="15" s="1"/>
  <c r="E1615" i="15"/>
  <c r="G1615" i="15" s="1"/>
  <c r="F1614" i="15"/>
  <c r="H1614" i="15" s="1"/>
  <c r="E1614" i="15"/>
  <c r="G1614" i="15" s="1"/>
  <c r="F1613" i="15"/>
  <c r="H1613" i="15" s="1"/>
  <c r="E1613" i="15"/>
  <c r="G1613" i="15" s="1"/>
  <c r="H1612" i="15"/>
  <c r="G1612" i="15"/>
  <c r="F1611" i="15"/>
  <c r="H1611" i="15" s="1"/>
  <c r="E1611" i="15"/>
  <c r="G1611" i="15" s="1"/>
  <c r="F1610" i="15"/>
  <c r="H1610" i="15" s="1"/>
  <c r="E1610" i="15"/>
  <c r="G1610" i="15" s="1"/>
  <c r="F1609" i="15"/>
  <c r="H1609" i="15" s="1"/>
  <c r="E1609" i="15"/>
  <c r="G1609" i="15" s="1"/>
  <c r="F1608" i="15"/>
  <c r="H1608" i="15" s="1"/>
  <c r="E1608" i="15"/>
  <c r="G1608" i="15" s="1"/>
  <c r="F1607" i="15"/>
  <c r="H1607" i="15" s="1"/>
  <c r="E1607" i="15"/>
  <c r="G1607" i="15" s="1"/>
  <c r="F1606" i="15"/>
  <c r="H1606" i="15" s="1"/>
  <c r="E1606" i="15"/>
  <c r="G1606" i="15" s="1"/>
  <c r="F1605" i="15"/>
  <c r="H1605" i="15" s="1"/>
  <c r="E1605" i="15"/>
  <c r="G1605" i="15" s="1"/>
  <c r="F1604" i="15"/>
  <c r="H1604" i="15" s="1"/>
  <c r="E1604" i="15"/>
  <c r="G1604" i="15" s="1"/>
  <c r="F1603" i="15"/>
  <c r="H1603" i="15" s="1"/>
  <c r="E1603" i="15"/>
  <c r="G1603" i="15" s="1"/>
  <c r="H1602" i="15"/>
  <c r="G1602" i="15"/>
  <c r="H1601" i="15"/>
  <c r="G1601" i="15"/>
  <c r="G1595" i="15"/>
  <c r="G1594" i="15"/>
  <c r="G1593" i="15"/>
  <c r="G1592" i="15"/>
  <c r="G1590" i="15"/>
  <c r="G1589" i="15"/>
  <c r="G1588" i="15"/>
  <c r="G1587" i="15"/>
  <c r="G1585" i="15"/>
  <c r="G1584" i="15"/>
  <c r="G1583" i="15"/>
  <c r="G1582" i="15"/>
  <c r="G1580" i="15"/>
  <c r="G1579" i="15"/>
  <c r="G1578" i="15"/>
  <c r="G1577" i="15"/>
  <c r="G1576" i="15"/>
  <c r="G1575" i="15"/>
  <c r="G1573" i="15"/>
  <c r="G1572" i="15"/>
  <c r="G1571" i="15"/>
  <c r="G1570" i="15"/>
  <c r="G1569" i="15"/>
  <c r="G1568" i="15"/>
  <c r="G1566" i="15"/>
  <c r="G1565" i="15"/>
  <c r="G1564" i="15"/>
  <c r="G1563" i="15"/>
  <c r="G1562" i="15"/>
  <c r="H1561" i="15"/>
  <c r="G1561" i="15"/>
  <c r="H1560" i="15"/>
  <c r="G1560" i="15"/>
  <c r="H1559" i="15"/>
  <c r="G1559" i="15"/>
  <c r="H1558" i="15"/>
  <c r="G1558" i="15"/>
  <c r="G1557" i="15"/>
  <c r="G1556" i="15"/>
  <c r="H1555" i="15"/>
  <c r="G1555" i="15"/>
  <c r="H1554" i="15"/>
  <c r="G1554" i="15"/>
  <c r="G1527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380" i="15"/>
  <c r="F1374" i="15"/>
  <c r="F1318" i="15"/>
  <c r="F1176" i="15"/>
  <c r="H1808" i="23" s="1"/>
  <c r="F1121" i="15"/>
  <c r="H1080" i="15"/>
  <c r="G1080" i="15"/>
  <c r="E1080" i="15"/>
  <c r="G1034" i="15"/>
  <c r="G1024" i="15"/>
  <c r="G1023" i="15"/>
  <c r="G1022" i="15"/>
  <c r="G1021" i="15"/>
  <c r="G1018" i="15"/>
  <c r="G1017" i="15"/>
  <c r="G963" i="15"/>
  <c r="G962" i="15"/>
  <c r="G936" i="15"/>
  <c r="G808" i="15"/>
  <c r="G807" i="15"/>
  <c r="G806" i="15"/>
  <c r="G801" i="15"/>
  <c r="G779" i="15"/>
  <c r="G776" i="15"/>
  <c r="G775" i="15"/>
  <c r="G774" i="15"/>
  <c r="G773" i="15"/>
  <c r="G805" i="15" s="1"/>
  <c r="G772" i="15"/>
  <c r="Q1212" i="1" s="1"/>
  <c r="G771" i="15"/>
  <c r="J1704" i="23" s="1"/>
  <c r="G770" i="15"/>
  <c r="G769" i="15"/>
  <c r="L768" i="15"/>
  <c r="G768" i="15"/>
  <c r="G767" i="15"/>
  <c r="Q764" i="1" s="1"/>
  <c r="T764" i="1" s="1"/>
  <c r="G766" i="15"/>
  <c r="Q756" i="1" s="1"/>
  <c r="G765" i="15"/>
  <c r="G764" i="15"/>
  <c r="G763" i="15"/>
  <c r="G762" i="15"/>
  <c r="G759" i="15"/>
  <c r="G758" i="15"/>
  <c r="J796" i="23" s="1"/>
  <c r="G757" i="15"/>
  <c r="H754" i="15"/>
  <c r="G754" i="15"/>
  <c r="L706" i="15"/>
  <c r="F474" i="15"/>
  <c r="F473" i="15"/>
  <c r="F472" i="15"/>
  <c r="F471" i="15"/>
  <c r="F456" i="15"/>
  <c r="H2453" i="23" s="1"/>
  <c r="F455" i="15"/>
  <c r="F451" i="15"/>
  <c r="H2784" i="23" s="1"/>
  <c r="F450" i="15"/>
  <c r="F449" i="15"/>
  <c r="F448" i="15"/>
  <c r="F447" i="15"/>
  <c r="F446" i="15"/>
  <c r="F445" i="15"/>
  <c r="F444" i="15"/>
  <c r="F443" i="15"/>
  <c r="F442" i="15"/>
  <c r="F441" i="15"/>
  <c r="F430" i="15"/>
  <c r="F429" i="15"/>
  <c r="F428" i="15"/>
  <c r="M280" i="15"/>
  <c r="M1474" i="15" s="1"/>
  <c r="L280" i="15"/>
  <c r="G279" i="15"/>
  <c r="F112" i="15"/>
  <c r="F110" i="15"/>
  <c r="F109" i="15"/>
  <c r="F95" i="15"/>
  <c r="F94" i="15"/>
  <c r="F93" i="15"/>
  <c r="E92" i="15"/>
  <c r="F92" i="15" s="1"/>
  <c r="F91" i="15"/>
  <c r="F90" i="15"/>
  <c r="F89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69" i="15"/>
  <c r="F68" i="15"/>
  <c r="F67" i="15"/>
  <c r="F66" i="15"/>
  <c r="F65" i="15"/>
  <c r="P1217" i="1" s="1"/>
  <c r="S1217" i="1" s="1"/>
  <c r="F64" i="15"/>
  <c r="F63" i="15"/>
  <c r="F62" i="15"/>
  <c r="F61" i="15"/>
  <c r="F60" i="15"/>
  <c r="F59" i="15"/>
  <c r="H1702" i="23" s="1"/>
  <c r="L1702" i="23" s="1"/>
  <c r="F58" i="15"/>
  <c r="F57" i="15"/>
  <c r="F56" i="15"/>
  <c r="F55" i="15"/>
  <c r="E54" i="15"/>
  <c r="F54" i="15" s="1"/>
  <c r="F53" i="15"/>
  <c r="P1211" i="1" s="1"/>
  <c r="S1211" i="1" s="1"/>
  <c r="F52" i="15"/>
  <c r="P1215" i="1" s="1"/>
  <c r="S1215" i="1" s="1"/>
  <c r="F51" i="15"/>
  <c r="F50" i="15"/>
  <c r="F49" i="15"/>
  <c r="F48" i="15"/>
  <c r="F47" i="15"/>
  <c r="F46" i="15"/>
  <c r="F45" i="15"/>
  <c r="F44" i="15"/>
  <c r="H357" i="49" s="1"/>
  <c r="L357" i="49" s="1"/>
  <c r="F43" i="15"/>
  <c r="F42" i="15"/>
  <c r="F41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H2766" i="23" s="1"/>
  <c r="L1" i="15"/>
  <c r="D899" i="23"/>
  <c r="D898" i="23"/>
  <c r="D897" i="23"/>
  <c r="M856" i="23"/>
  <c r="K856" i="23"/>
  <c r="O856" i="23" s="1"/>
  <c r="J856" i="23"/>
  <c r="N856" i="23" s="1"/>
  <c r="H856" i="23"/>
  <c r="L856" i="23" s="1"/>
  <c r="F856" i="23"/>
  <c r="E856" i="23"/>
  <c r="D856" i="23"/>
  <c r="A856" i="23"/>
  <c r="M855" i="23"/>
  <c r="K855" i="23"/>
  <c r="O855" i="23" s="1"/>
  <c r="J855" i="23"/>
  <c r="N855" i="23" s="1"/>
  <c r="H855" i="23"/>
  <c r="L855" i="23" s="1"/>
  <c r="F855" i="23"/>
  <c r="E855" i="23"/>
  <c r="D855" i="23"/>
  <c r="A855" i="23"/>
  <c r="M854" i="23"/>
  <c r="K854" i="23"/>
  <c r="O854" i="23" s="1"/>
  <c r="J854" i="23"/>
  <c r="N854" i="23" s="1"/>
  <c r="H854" i="23"/>
  <c r="L854" i="23" s="1"/>
  <c r="F854" i="23"/>
  <c r="E854" i="23"/>
  <c r="D854" i="23"/>
  <c r="A854" i="23"/>
  <c r="M844" i="23"/>
  <c r="K844" i="23"/>
  <c r="O844" i="23" s="1"/>
  <c r="J844" i="23"/>
  <c r="N844" i="23" s="1"/>
  <c r="H844" i="23"/>
  <c r="L844" i="23" s="1"/>
  <c r="F844" i="23"/>
  <c r="E844" i="23"/>
  <c r="D844" i="23"/>
  <c r="A844" i="23"/>
  <c r="M843" i="23"/>
  <c r="K843" i="23"/>
  <c r="O843" i="23" s="1"/>
  <c r="J843" i="23"/>
  <c r="N843" i="23" s="1"/>
  <c r="H843" i="23"/>
  <c r="L843" i="23" s="1"/>
  <c r="F843" i="23"/>
  <c r="E843" i="23"/>
  <c r="D843" i="23"/>
  <c r="A843" i="23"/>
  <c r="N783" i="23"/>
  <c r="J783" i="23"/>
  <c r="P304" i="1" l="1"/>
  <c r="S304" i="1" s="1"/>
  <c r="H2621" i="23"/>
  <c r="P305" i="1"/>
  <c r="S305" i="1" s="1"/>
  <c r="H2622" i="23"/>
  <c r="H1765" i="23"/>
  <c r="H2753" i="23"/>
  <c r="P1216" i="1"/>
  <c r="S1216" i="1" s="1"/>
  <c r="S1212" i="1" s="1"/>
  <c r="P1210" i="1"/>
  <c r="S1210" i="1" s="1"/>
  <c r="H356" i="49"/>
  <c r="L356" i="49" s="1"/>
  <c r="P1232" i="1"/>
  <c r="S1232" i="1" s="1"/>
  <c r="P1227" i="1"/>
  <c r="S1227" i="1" s="1"/>
  <c r="P1218" i="1"/>
  <c r="S1218" i="1" s="1"/>
  <c r="P1231" i="1"/>
  <c r="S1231" i="1" s="1"/>
  <c r="P1226" i="1"/>
  <c r="S1226" i="1" s="1"/>
  <c r="H1686" i="23"/>
  <c r="P1225" i="1"/>
  <c r="S1225" i="1" s="1"/>
  <c r="H2636" i="23"/>
  <c r="P1209" i="1"/>
  <c r="S1209" i="1" s="1"/>
  <c r="H1822" i="23"/>
  <c r="H2567" i="23"/>
  <c r="H1841" i="23"/>
  <c r="H2585" i="23"/>
  <c r="H1701" i="23"/>
  <c r="H1684" i="23"/>
  <c r="H1703" i="23"/>
  <c r="H1693" i="23"/>
  <c r="H1685" i="23"/>
  <c r="H1678" i="23"/>
  <c r="H1692" i="23"/>
  <c r="J1679" i="23"/>
  <c r="Q780" i="1"/>
  <c r="T780" i="1" s="1"/>
  <c r="L1474" i="15"/>
  <c r="A784" i="23"/>
  <c r="M784" i="23"/>
  <c r="M767" i="23"/>
  <c r="K767" i="23"/>
  <c r="O767" i="23" s="1"/>
  <c r="J767" i="23"/>
  <c r="N767" i="23" s="1"/>
  <c r="H767" i="23"/>
  <c r="L767" i="23" s="1"/>
  <c r="F767" i="23"/>
  <c r="E767" i="23"/>
  <c r="D767" i="23"/>
  <c r="A767" i="23"/>
  <c r="M766" i="23"/>
  <c r="K766" i="23"/>
  <c r="O766" i="23" s="1"/>
  <c r="J766" i="23"/>
  <c r="N766" i="23" s="1"/>
  <c r="H766" i="23"/>
  <c r="L766" i="23" s="1"/>
  <c r="F766" i="23"/>
  <c r="E766" i="23"/>
  <c r="D766" i="23"/>
  <c r="A766" i="23"/>
  <c r="M765" i="23"/>
  <c r="K765" i="23"/>
  <c r="O765" i="23" s="1"/>
  <c r="J765" i="23"/>
  <c r="N765" i="23" s="1"/>
  <c r="H765" i="23"/>
  <c r="L765" i="23" s="1"/>
  <c r="F765" i="23"/>
  <c r="E765" i="23"/>
  <c r="D765" i="23"/>
  <c r="A765" i="23"/>
  <c r="M764" i="23"/>
  <c r="K764" i="23"/>
  <c r="O764" i="23" s="1"/>
  <c r="J764" i="23"/>
  <c r="N764" i="23" s="1"/>
  <c r="H764" i="23"/>
  <c r="L764" i="23" s="1"/>
  <c r="F764" i="23"/>
  <c r="E764" i="23"/>
  <c r="D764" i="23"/>
  <c r="A764" i="23"/>
  <c r="M763" i="23"/>
  <c r="K763" i="23"/>
  <c r="O763" i="23" s="1"/>
  <c r="J763" i="23"/>
  <c r="N763" i="23" s="1"/>
  <c r="H763" i="23"/>
  <c r="L763" i="23" s="1"/>
  <c r="F763" i="23"/>
  <c r="E763" i="23"/>
  <c r="D763" i="23"/>
  <c r="A763" i="23"/>
  <c r="M762" i="23"/>
  <c r="K762" i="23"/>
  <c r="O762" i="23" s="1"/>
  <c r="J762" i="23"/>
  <c r="N762" i="23" s="1"/>
  <c r="H762" i="23"/>
  <c r="L762" i="23" s="1"/>
  <c r="F762" i="23"/>
  <c r="E762" i="23"/>
  <c r="D762" i="23"/>
  <c r="A762" i="23"/>
  <c r="S1206" i="1" l="1"/>
  <c r="S1222" i="1"/>
  <c r="E887" i="23"/>
  <c r="E884" i="23" l="1"/>
  <c r="M886" i="23"/>
  <c r="K886" i="23"/>
  <c r="O886" i="23" s="1"/>
  <c r="J886" i="23"/>
  <c r="N886" i="23" s="1"/>
  <c r="H886" i="23"/>
  <c r="L886" i="23" s="1"/>
  <c r="F886" i="23"/>
  <c r="E886" i="23"/>
  <c r="A886" i="23"/>
  <c r="M885" i="23"/>
  <c r="K885" i="23"/>
  <c r="O885" i="23" s="1"/>
  <c r="J885" i="23"/>
  <c r="N885" i="23" s="1"/>
  <c r="H885" i="23"/>
  <c r="L885" i="23" s="1"/>
  <c r="F885" i="23"/>
  <c r="E885" i="23"/>
  <c r="A885" i="23"/>
  <c r="M887" i="23"/>
  <c r="K887" i="23"/>
  <c r="O887" i="23" s="1"/>
  <c r="J887" i="23"/>
  <c r="N887" i="23" s="1"/>
  <c r="F887" i="23"/>
  <c r="A887" i="23"/>
  <c r="M884" i="23"/>
  <c r="K884" i="23"/>
  <c r="O884" i="23" s="1"/>
  <c r="J884" i="23"/>
  <c r="N884" i="23" s="1"/>
  <c r="H884" i="23"/>
  <c r="L884" i="23" s="1"/>
  <c r="F884" i="23"/>
  <c r="A884" i="23"/>
  <c r="E861" i="23" l="1"/>
  <c r="M892" i="23"/>
  <c r="K892" i="23"/>
  <c r="O892" i="23" s="1"/>
  <c r="J892" i="23"/>
  <c r="N892" i="23" s="1"/>
  <c r="F892" i="23"/>
  <c r="E892" i="23"/>
  <c r="A892" i="23"/>
  <c r="M883" i="23"/>
  <c r="K883" i="23"/>
  <c r="O883" i="23" s="1"/>
  <c r="J883" i="23"/>
  <c r="N883" i="23" s="1"/>
  <c r="H883" i="23"/>
  <c r="L883" i="23" s="1"/>
  <c r="F883" i="23"/>
  <c r="E883" i="23"/>
  <c r="A883" i="23"/>
  <c r="M882" i="23"/>
  <c r="K882" i="23"/>
  <c r="O882" i="23" s="1"/>
  <c r="J882" i="23"/>
  <c r="N882" i="23" s="1"/>
  <c r="F882" i="23"/>
  <c r="E882" i="23"/>
  <c r="A882" i="23"/>
  <c r="K881" i="23"/>
  <c r="O881" i="23" s="1"/>
  <c r="J881" i="23"/>
  <c r="N881" i="23" s="1"/>
  <c r="H881" i="23"/>
  <c r="L881" i="23" s="1"/>
  <c r="M881" i="23"/>
  <c r="F881" i="23"/>
  <c r="E881" i="23"/>
  <c r="A881" i="23"/>
  <c r="E889" i="23"/>
  <c r="M894" i="23" l="1"/>
  <c r="K894" i="23"/>
  <c r="O894" i="23" s="1"/>
  <c r="J894" i="23"/>
  <c r="N894" i="23" s="1"/>
  <c r="H894" i="23"/>
  <c r="L894" i="23" s="1"/>
  <c r="F894" i="23"/>
  <c r="E894" i="23"/>
  <c r="A894" i="23"/>
  <c r="M893" i="23"/>
  <c r="K893" i="23"/>
  <c r="O893" i="23" s="1"/>
  <c r="J893" i="23"/>
  <c r="N893" i="23" s="1"/>
  <c r="H893" i="23"/>
  <c r="L893" i="23" s="1"/>
  <c r="F893" i="23"/>
  <c r="E893" i="23"/>
  <c r="A893" i="23"/>
  <c r="M891" i="23"/>
  <c r="K891" i="23"/>
  <c r="O891" i="23" s="1"/>
  <c r="J891" i="23"/>
  <c r="N891" i="23" s="1"/>
  <c r="F891" i="23"/>
  <c r="E891" i="23"/>
  <c r="A891" i="23"/>
  <c r="M866" i="23"/>
  <c r="K866" i="23"/>
  <c r="O866" i="23" s="1"/>
  <c r="J866" i="23"/>
  <c r="H866" i="23"/>
  <c r="L866" i="23" s="1"/>
  <c r="F866" i="23"/>
  <c r="E866" i="23"/>
  <c r="D866" i="23"/>
  <c r="A866" i="23"/>
  <c r="K878" i="23"/>
  <c r="F878" i="23"/>
  <c r="E878" i="23"/>
  <c r="D878" i="23"/>
  <c r="E852" i="23"/>
  <c r="E851" i="23"/>
  <c r="E850" i="23"/>
  <c r="K872" i="23"/>
  <c r="N866" i="23" l="1"/>
  <c r="M846" i="23"/>
  <c r="J846" i="23"/>
  <c r="N846" i="23" s="1"/>
  <c r="H846" i="23"/>
  <c r="L846" i="23" s="1"/>
  <c r="F846" i="23"/>
  <c r="E846" i="23"/>
  <c r="D846" i="23"/>
  <c r="A846" i="23"/>
  <c r="M845" i="23"/>
  <c r="J845" i="23"/>
  <c r="N845" i="23" s="1"/>
  <c r="H845" i="23"/>
  <c r="L845" i="23" s="1"/>
  <c r="F845" i="23"/>
  <c r="E845" i="23"/>
  <c r="D845" i="23"/>
  <c r="A845" i="23"/>
  <c r="M814" i="23"/>
  <c r="K814" i="23"/>
  <c r="O814" i="23" s="1"/>
  <c r="J814" i="23"/>
  <c r="N814" i="23" s="1"/>
  <c r="F814" i="23"/>
  <c r="E814" i="23"/>
  <c r="D814" i="23"/>
  <c r="A814" i="23"/>
  <c r="J812" i="23"/>
  <c r="N812" i="23" s="1"/>
  <c r="H812" i="23"/>
  <c r="L812" i="23" s="1"/>
  <c r="M812" i="23"/>
  <c r="F812" i="23"/>
  <c r="E812" i="23"/>
  <c r="D812" i="23"/>
  <c r="A812" i="23"/>
  <c r="K813" i="23"/>
  <c r="J813" i="23"/>
  <c r="H813" i="23"/>
  <c r="F813" i="23"/>
  <c r="E813" i="23"/>
  <c r="D813" i="23"/>
  <c r="K846" i="23"/>
  <c r="O846" i="23" s="1"/>
  <c r="K845" i="23"/>
  <c r="O845" i="23" s="1"/>
  <c r="J878" i="23"/>
  <c r="N878" i="23" s="1"/>
  <c r="H891" i="23"/>
  <c r="L891" i="23" s="1"/>
  <c r="H892" i="23"/>
  <c r="L892" i="23" s="1"/>
  <c r="H814" i="23"/>
  <c r="L814" i="23" s="1"/>
  <c r="H887" i="23" l="1"/>
  <c r="L887" i="23" s="1"/>
  <c r="H882" i="23"/>
  <c r="L882" i="23" s="1"/>
  <c r="K812" i="23"/>
  <c r="O812" i="23" s="1"/>
  <c r="M870" i="23"/>
  <c r="K870" i="23"/>
  <c r="O870" i="23" s="1"/>
  <c r="J870" i="23"/>
  <c r="N870" i="23" s="1"/>
  <c r="H870" i="23"/>
  <c r="L870" i="23" s="1"/>
  <c r="F870" i="23"/>
  <c r="E870" i="23"/>
  <c r="D870" i="23"/>
  <c r="A870" i="23"/>
  <c r="M869" i="23"/>
  <c r="K869" i="23"/>
  <c r="O869" i="23" s="1"/>
  <c r="J869" i="23"/>
  <c r="N869" i="23" s="1"/>
  <c r="H869" i="23"/>
  <c r="L869" i="23" s="1"/>
  <c r="F869" i="23"/>
  <c r="E869" i="23"/>
  <c r="D869" i="23"/>
  <c r="A869" i="23"/>
  <c r="K868" i="23"/>
  <c r="O868" i="23" s="1"/>
  <c r="J868" i="23"/>
  <c r="N868" i="23" s="1"/>
  <c r="H868" i="23"/>
  <c r="L868" i="23" s="1"/>
  <c r="M868" i="23"/>
  <c r="F868" i="23"/>
  <c r="E868" i="23"/>
  <c r="D868" i="23"/>
  <c r="A868" i="23"/>
  <c r="M783" i="23" l="1"/>
  <c r="K783" i="23"/>
  <c r="O783" i="23" s="1"/>
  <c r="F783" i="23"/>
  <c r="E783" i="23"/>
  <c r="D783" i="23"/>
  <c r="A783" i="23"/>
  <c r="M787" i="23"/>
  <c r="K787" i="23"/>
  <c r="O787" i="23" s="1"/>
  <c r="J787" i="23"/>
  <c r="N787" i="23" s="1"/>
  <c r="H787" i="23"/>
  <c r="L787" i="23" s="1"/>
  <c r="F787" i="23"/>
  <c r="E787" i="23"/>
  <c r="D787" i="23"/>
  <c r="A787" i="23"/>
  <c r="M786" i="23"/>
  <c r="K786" i="23"/>
  <c r="O786" i="23" s="1"/>
  <c r="J786" i="23"/>
  <c r="N786" i="23" s="1"/>
  <c r="L786" i="23"/>
  <c r="F786" i="23"/>
  <c r="E786" i="23"/>
  <c r="D786" i="23"/>
  <c r="A786" i="23"/>
  <c r="M785" i="23"/>
  <c r="K785" i="23"/>
  <c r="O785" i="23" s="1"/>
  <c r="J785" i="23"/>
  <c r="N785" i="23" s="1"/>
  <c r="L785" i="23"/>
  <c r="F785" i="23"/>
  <c r="E785" i="23"/>
  <c r="D785" i="23"/>
  <c r="A785" i="23"/>
  <c r="M782" i="23"/>
  <c r="K782" i="23"/>
  <c r="O782" i="23" s="1"/>
  <c r="J782" i="23"/>
  <c r="N782" i="23" s="1"/>
  <c r="L782" i="23"/>
  <c r="F782" i="23"/>
  <c r="E782" i="23"/>
  <c r="D782" i="23"/>
  <c r="A782" i="23"/>
  <c r="M781" i="23"/>
  <c r="K781" i="23"/>
  <c r="O781" i="23" s="1"/>
  <c r="J781" i="23"/>
  <c r="N781" i="23" s="1"/>
  <c r="L781" i="23"/>
  <c r="F781" i="23"/>
  <c r="E781" i="23"/>
  <c r="D781" i="23"/>
  <c r="A781" i="23"/>
  <c r="M780" i="23"/>
  <c r="K780" i="23"/>
  <c r="O780" i="23" s="1"/>
  <c r="J780" i="23"/>
  <c r="N780" i="23" s="1"/>
  <c r="L780" i="23"/>
  <c r="F780" i="23"/>
  <c r="E780" i="23"/>
  <c r="D780" i="23"/>
  <c r="A780" i="23"/>
  <c r="M779" i="23"/>
  <c r="K779" i="23"/>
  <c r="O779" i="23" s="1"/>
  <c r="J779" i="23"/>
  <c r="N779" i="23" s="1"/>
  <c r="L779" i="23"/>
  <c r="F779" i="23"/>
  <c r="D779" i="23"/>
  <c r="A779" i="23"/>
  <c r="M778" i="23"/>
  <c r="K778" i="23"/>
  <c r="O778" i="23" s="1"/>
  <c r="J778" i="23"/>
  <c r="N778" i="23" s="1"/>
  <c r="L778" i="23"/>
  <c r="F778" i="23"/>
  <c r="E778" i="23"/>
  <c r="D778" i="23"/>
  <c r="A778" i="23"/>
  <c r="B776" i="23"/>
  <c r="J776" i="23" s="1"/>
  <c r="B775" i="23"/>
  <c r="J775" i="23" s="1"/>
  <c r="K774" i="23"/>
  <c r="J774" i="23"/>
  <c r="H774" i="23"/>
  <c r="F774" i="23"/>
  <c r="E774" i="23"/>
  <c r="D774" i="23"/>
  <c r="K773" i="23"/>
  <c r="J773" i="23"/>
  <c r="H773" i="23"/>
  <c r="F773" i="23"/>
  <c r="E773" i="23"/>
  <c r="D773" i="23"/>
  <c r="O772" i="23"/>
  <c r="N772" i="23"/>
  <c r="M772" i="23"/>
  <c r="L772" i="23"/>
  <c r="G776" i="23"/>
  <c r="L51" i="23"/>
  <c r="M51" i="23"/>
  <c r="N51" i="23"/>
  <c r="O51" i="23"/>
  <c r="B54" i="23"/>
  <c r="B55" i="23"/>
  <c r="D55" i="23" s="1"/>
  <c r="G55" i="23"/>
  <c r="A55" i="23" s="1"/>
  <c r="G52" i="23"/>
  <c r="G53" i="23"/>
  <c r="G54" i="23"/>
  <c r="D775" i="23" l="1"/>
  <c r="H775" i="23"/>
  <c r="A771" i="23"/>
  <c r="A772" i="23" s="1"/>
  <c r="F775" i="23"/>
  <c r="K775" i="23"/>
  <c r="M776" i="23"/>
  <c r="A776" i="23"/>
  <c r="N776" i="23"/>
  <c r="J55" i="23"/>
  <c r="N55" i="23" s="1"/>
  <c r="E55" i="23"/>
  <c r="L771" i="23"/>
  <c r="N771" i="23"/>
  <c r="E775" i="23"/>
  <c r="G775" i="23"/>
  <c r="D776" i="23"/>
  <c r="F776" i="23"/>
  <c r="H776" i="23"/>
  <c r="L776" i="23" s="1"/>
  <c r="K776" i="23"/>
  <c r="O776" i="23" s="1"/>
  <c r="M771" i="23"/>
  <c r="O771" i="23"/>
  <c r="G773" i="23"/>
  <c r="G774" i="23"/>
  <c r="E776" i="23"/>
  <c r="M55" i="23"/>
  <c r="K55" i="23"/>
  <c r="O55" i="23" s="1"/>
  <c r="H55" i="23"/>
  <c r="L55" i="23" s="1"/>
  <c r="F55" i="23"/>
  <c r="L773" i="23" l="1"/>
  <c r="A773" i="23"/>
  <c r="M773" i="23"/>
  <c r="L774" i="23"/>
  <c r="A774" i="23"/>
  <c r="M774" i="23"/>
  <c r="M775" i="23"/>
  <c r="A775" i="23"/>
  <c r="N775" i="23"/>
  <c r="N773" i="23"/>
  <c r="L775" i="23"/>
  <c r="O773" i="23"/>
  <c r="O775" i="23"/>
  <c r="N774" i="23"/>
  <c r="O774" i="23"/>
  <c r="M897" i="23" l="1"/>
  <c r="K897" i="23"/>
  <c r="O897" i="23" s="1"/>
  <c r="J897" i="23"/>
  <c r="N897" i="23" s="1"/>
  <c r="H897" i="23"/>
  <c r="L897" i="23" s="1"/>
  <c r="F897" i="23"/>
  <c r="E897" i="23"/>
  <c r="A897" i="23"/>
  <c r="K864" i="23" l="1"/>
  <c r="J864" i="23"/>
  <c r="H864" i="23"/>
  <c r="L864" i="23" s="1"/>
  <c r="M864" i="23"/>
  <c r="F864" i="23"/>
  <c r="E864" i="23"/>
  <c r="D864" i="23"/>
  <c r="A864" i="23"/>
  <c r="K858" i="23"/>
  <c r="O858" i="23" s="1"/>
  <c r="J858" i="23"/>
  <c r="N858" i="23" s="1"/>
  <c r="H858" i="23"/>
  <c r="L858" i="23" s="1"/>
  <c r="M858" i="23"/>
  <c r="F858" i="23"/>
  <c r="E858" i="23"/>
  <c r="D858" i="23"/>
  <c r="A858" i="23"/>
  <c r="M861" i="23"/>
  <c r="K861" i="23"/>
  <c r="O861" i="23" s="1"/>
  <c r="J861" i="23"/>
  <c r="H861" i="23"/>
  <c r="F861" i="23"/>
  <c r="D861" i="23"/>
  <c r="A861" i="23" l="1"/>
  <c r="L861" i="23"/>
  <c r="N864" i="23"/>
  <c r="O864" i="23"/>
  <c r="N861" i="23"/>
  <c r="H783" i="23"/>
  <c r="L783" i="23" s="1"/>
  <c r="H889" i="23"/>
  <c r="K898" i="23"/>
  <c r="J898" i="23"/>
  <c r="H898" i="23"/>
  <c r="F898" i="23"/>
  <c r="E898" i="23"/>
  <c r="K896" i="23"/>
  <c r="J896" i="23"/>
  <c r="H896" i="23"/>
  <c r="F896" i="23"/>
  <c r="E896" i="23"/>
  <c r="E879" i="23"/>
  <c r="K879" i="23"/>
  <c r="J879" i="23"/>
  <c r="H879" i="23"/>
  <c r="F879" i="23"/>
  <c r="K889" i="23"/>
  <c r="J889" i="23"/>
  <c r="F889" i="23"/>
  <c r="K890" i="23"/>
  <c r="J890" i="23"/>
  <c r="H890" i="23"/>
  <c r="F890" i="23"/>
  <c r="E890" i="23"/>
  <c r="K895" i="23"/>
  <c r="J895" i="23"/>
  <c r="H895" i="23"/>
  <c r="F895" i="23"/>
  <c r="E895" i="23"/>
  <c r="K899" i="23"/>
  <c r="J899" i="23"/>
  <c r="H899" i="23"/>
  <c r="F899" i="23"/>
  <c r="E899" i="23"/>
  <c r="K860" i="23"/>
  <c r="J860" i="23"/>
  <c r="H860" i="23"/>
  <c r="F860" i="23"/>
  <c r="E860" i="23"/>
  <c r="D860" i="23"/>
  <c r="K857" i="23"/>
  <c r="J857" i="23"/>
  <c r="H857" i="23"/>
  <c r="F857" i="23"/>
  <c r="E857" i="23"/>
  <c r="D857" i="23"/>
  <c r="K839" i="23"/>
  <c r="J839" i="23"/>
  <c r="H839" i="23"/>
  <c r="F839" i="23"/>
  <c r="E839" i="23"/>
  <c r="D839" i="23"/>
  <c r="K278" i="23"/>
  <c r="J278" i="23"/>
  <c r="H278" i="23"/>
  <c r="F278" i="23"/>
  <c r="E278" i="23"/>
  <c r="D278" i="23"/>
  <c r="E276" i="23"/>
  <c r="E275" i="23"/>
  <c r="K275" i="23"/>
  <c r="J275" i="23"/>
  <c r="H275" i="23"/>
  <c r="F275" i="23"/>
  <c r="D275" i="23"/>
  <c r="K276" i="23"/>
  <c r="J276" i="23"/>
  <c r="H276" i="23"/>
  <c r="F276" i="23"/>
  <c r="D276" i="23"/>
  <c r="E274" i="23"/>
  <c r="K274" i="23"/>
  <c r="J274" i="23"/>
  <c r="H274" i="23"/>
  <c r="F274" i="23"/>
  <c r="D274" i="23"/>
  <c r="K277" i="23"/>
  <c r="J277" i="23"/>
  <c r="H277" i="23"/>
  <c r="F277" i="23"/>
  <c r="E277" i="23"/>
  <c r="D277" i="23"/>
  <c r="E272" i="23"/>
  <c r="E271" i="23"/>
  <c r="K262" i="23" l="1"/>
  <c r="J262" i="23"/>
  <c r="H262" i="23"/>
  <c r="F262" i="23"/>
  <c r="E262" i="23"/>
  <c r="D262" i="23"/>
  <c r="K263" i="23"/>
  <c r="J263" i="23"/>
  <c r="H263" i="23"/>
  <c r="F263" i="23"/>
  <c r="E263" i="23"/>
  <c r="D263" i="23"/>
  <c r="K264" i="23"/>
  <c r="J264" i="23"/>
  <c r="H264" i="23"/>
  <c r="F264" i="23"/>
  <c r="E264" i="23"/>
  <c r="D264" i="23"/>
  <c r="K265" i="23"/>
  <c r="J265" i="23"/>
  <c r="H265" i="23"/>
  <c r="F265" i="23"/>
  <c r="E265" i="23"/>
  <c r="D265" i="23"/>
  <c r="G1277" i="1" l="1"/>
  <c r="E400" i="23"/>
  <c r="K453" i="23"/>
  <c r="J453" i="23"/>
  <c r="H453" i="23"/>
  <c r="F453" i="23"/>
  <c r="E453" i="23"/>
  <c r="D453" i="23"/>
  <c r="E451" i="23"/>
  <c r="K451" i="23"/>
  <c r="J451" i="23"/>
  <c r="H451" i="23"/>
  <c r="F451" i="23"/>
  <c r="D451" i="23"/>
  <c r="K452" i="23"/>
  <c r="J452" i="23"/>
  <c r="H452" i="23"/>
  <c r="F452" i="23"/>
  <c r="E452" i="23"/>
  <c r="D452" i="23"/>
  <c r="E449" i="23"/>
  <c r="E448" i="23"/>
  <c r="H383" i="23"/>
  <c r="E415" i="23"/>
  <c r="K410" i="23"/>
  <c r="J410" i="23"/>
  <c r="H410" i="23"/>
  <c r="F410" i="23"/>
  <c r="E410" i="23"/>
  <c r="D410" i="23"/>
  <c r="A993" i="23"/>
  <c r="K1345" i="23"/>
  <c r="J1345" i="23"/>
  <c r="H1345" i="23"/>
  <c r="F1345" i="23"/>
  <c r="E1345" i="23"/>
  <c r="D1345" i="23"/>
  <c r="K1346" i="23"/>
  <c r="J1346" i="23"/>
  <c r="H1346" i="23"/>
  <c r="F1346" i="23"/>
  <c r="E1346" i="23"/>
  <c r="D1346" i="23"/>
  <c r="H1344" i="23"/>
  <c r="F1344" i="23"/>
  <c r="E1344" i="23"/>
  <c r="K1343" i="23"/>
  <c r="J1343" i="23"/>
  <c r="H1343" i="23"/>
  <c r="F1343" i="23"/>
  <c r="E1343" i="23"/>
  <c r="D1343" i="23"/>
  <c r="K1351" i="23" l="1"/>
  <c r="J1351" i="23"/>
  <c r="H1351" i="23"/>
  <c r="F1351" i="23"/>
  <c r="E1351" i="23"/>
  <c r="D1351" i="23"/>
  <c r="U778" i="1" l="1"/>
  <c r="T778" i="1"/>
  <c r="P778" i="1"/>
  <c r="S778" i="1" s="1"/>
  <c r="O778" i="1"/>
  <c r="N778" i="1"/>
  <c r="F778" i="1"/>
  <c r="E778" i="1"/>
  <c r="AM316" i="2"/>
  <c r="AM315" i="2"/>
  <c r="AX315" i="2" s="1"/>
  <c r="AM314" i="2"/>
  <c r="AZ314" i="2" s="1"/>
  <c r="AM313" i="2"/>
  <c r="AZ313" i="2" s="1"/>
  <c r="AM312" i="2"/>
  <c r="AZ312" i="2" s="1"/>
  <c r="AM310" i="2"/>
  <c r="AM309" i="2"/>
  <c r="AZ309" i="2" s="1"/>
  <c r="AM308" i="2"/>
  <c r="AZ308" i="2" s="1"/>
  <c r="D308" i="2"/>
  <c r="AZ315" i="2"/>
  <c r="E315" i="2"/>
  <c r="D315" i="2"/>
  <c r="E314" i="2"/>
  <c r="D314" i="2"/>
  <c r="AZ311" i="2"/>
  <c r="AX311" i="2"/>
  <c r="E311" i="2"/>
  <c r="D311" i="2"/>
  <c r="E312" i="2"/>
  <c r="D312" i="2"/>
  <c r="E313" i="2"/>
  <c r="D313" i="2"/>
  <c r="E308" i="2"/>
  <c r="AX309" i="2"/>
  <c r="E309" i="2"/>
  <c r="D309" i="2"/>
  <c r="AZ307" i="2"/>
  <c r="AX307" i="2"/>
  <c r="E307" i="2"/>
  <c r="D307" i="2"/>
  <c r="AX312" i="2" l="1"/>
  <c r="AX314" i="2"/>
  <c r="AX308" i="2"/>
  <c r="AX313" i="2"/>
  <c r="G283" i="1"/>
  <c r="G282" i="1"/>
  <c r="G281" i="1"/>
  <c r="G273" i="1"/>
  <c r="G272" i="1"/>
  <c r="G271" i="1"/>
  <c r="G926" i="1"/>
  <c r="G915" i="1"/>
  <c r="E759" i="1"/>
  <c r="E753" i="1"/>
  <c r="E681" i="1"/>
  <c r="U1151" i="1"/>
  <c r="S1151" i="1"/>
  <c r="Q1151" i="1"/>
  <c r="T1151" i="1" s="1"/>
  <c r="O1151" i="1"/>
  <c r="F1151" i="1"/>
  <c r="E1151" i="1"/>
  <c r="U1145" i="1"/>
  <c r="S1145" i="1"/>
  <c r="Q1145" i="1"/>
  <c r="T1145" i="1" s="1"/>
  <c r="O1145" i="1"/>
  <c r="F1145" i="1"/>
  <c r="E1145" i="1"/>
  <c r="E1388" i="1" l="1"/>
  <c r="E1277" i="1"/>
  <c r="E1263" i="1"/>
  <c r="D1309" i="23" l="1"/>
  <c r="K1290" i="23"/>
  <c r="K1289" i="23"/>
  <c r="J1289" i="23"/>
  <c r="H1289" i="23"/>
  <c r="F1289" i="23"/>
  <c r="E1289" i="23"/>
  <c r="D1289" i="23"/>
  <c r="K982" i="23"/>
  <c r="K981" i="23"/>
  <c r="K951" i="23" l="1"/>
  <c r="J951" i="23"/>
  <c r="H951" i="23"/>
  <c r="F951" i="23"/>
  <c r="E951" i="23"/>
  <c r="D951" i="23"/>
  <c r="K921" i="23"/>
  <c r="J921" i="23"/>
  <c r="H921" i="23"/>
  <c r="F921" i="23"/>
  <c r="E921" i="23"/>
  <c r="D921" i="23"/>
  <c r="H911" i="23"/>
  <c r="R1398" i="1" l="1"/>
  <c r="R1454" i="1"/>
  <c r="R1453" i="1"/>
  <c r="R1452" i="1"/>
  <c r="R1446" i="1"/>
  <c r="R1431" i="1"/>
  <c r="R1424" i="1"/>
  <c r="G285" i="1"/>
  <c r="G284" i="1"/>
  <c r="G275" i="1"/>
  <c r="G274" i="1"/>
  <c r="E1708" i="1" l="1"/>
  <c r="E1704" i="1"/>
  <c r="F1887" i="1"/>
  <c r="E1887" i="1"/>
  <c r="P1887" i="1"/>
  <c r="E1449" i="1" l="1"/>
  <c r="E1448" i="1"/>
  <c r="Q1449" i="1"/>
  <c r="F1449" i="1"/>
  <c r="Q1448" i="1"/>
  <c r="F1448" i="1"/>
  <c r="F1656" i="1"/>
  <c r="E1656" i="1"/>
  <c r="F1655" i="1"/>
  <c r="E1655" i="1"/>
  <c r="P1890" i="1"/>
  <c r="F1890" i="1"/>
  <c r="E1890" i="1"/>
  <c r="P1889" i="1"/>
  <c r="F1889" i="1"/>
  <c r="E1889" i="1"/>
  <c r="P1421" i="1"/>
  <c r="F1421" i="1"/>
  <c r="P1420" i="1"/>
  <c r="F1420" i="1"/>
  <c r="P1653" i="1"/>
  <c r="F1653" i="1"/>
  <c r="E1653" i="1"/>
  <c r="P1652" i="1"/>
  <c r="F1652" i="1"/>
  <c r="E1652" i="1"/>
  <c r="P1656" i="1" l="1"/>
  <c r="P1655" i="1"/>
  <c r="F1712" i="1" l="1"/>
  <c r="F1713" i="1"/>
  <c r="F1708" i="1"/>
  <c r="E1711" i="1"/>
  <c r="E1710" i="1"/>
  <c r="E1709" i="1"/>
  <c r="F1711" i="1"/>
  <c r="F1710" i="1"/>
  <c r="F1709" i="1"/>
  <c r="E1702" i="1"/>
  <c r="E1701" i="1"/>
  <c r="P1702" i="1"/>
  <c r="F1702" i="1"/>
  <c r="E1487" i="1"/>
  <c r="E1522" i="1"/>
  <c r="P1522" i="1"/>
  <c r="F1522" i="1"/>
  <c r="E1693" i="1"/>
  <c r="E1699" i="1"/>
  <c r="F1693" i="1"/>
  <c r="E1672" i="1"/>
  <c r="R1672" i="1"/>
  <c r="P1672" i="1"/>
  <c r="F1672" i="1"/>
  <c r="E2251" i="1"/>
  <c r="E2250" i="1"/>
  <c r="E2249" i="1"/>
  <c r="E2248" i="1"/>
  <c r="E2247" i="1"/>
  <c r="E2246" i="1"/>
  <c r="E2245" i="1"/>
  <c r="R2251" i="1"/>
  <c r="Q2251" i="1"/>
  <c r="P2251" i="1"/>
  <c r="H2251" i="1"/>
  <c r="F2251" i="1"/>
  <c r="C2251" i="1"/>
  <c r="R2250" i="1"/>
  <c r="Q2250" i="1"/>
  <c r="F2250" i="1"/>
  <c r="R2249" i="1"/>
  <c r="Q2249" i="1"/>
  <c r="F2249" i="1"/>
  <c r="R2248" i="1"/>
  <c r="Q2248" i="1"/>
  <c r="F2248" i="1"/>
  <c r="R2247" i="1"/>
  <c r="Q2247" i="1"/>
  <c r="F2247" i="1"/>
  <c r="R2246" i="1"/>
  <c r="Q2246" i="1"/>
  <c r="F2246" i="1"/>
  <c r="R2245" i="1"/>
  <c r="Q2245" i="1"/>
  <c r="F2245" i="1"/>
  <c r="U1693" i="1" l="1"/>
  <c r="U2251" i="1"/>
  <c r="T2251" i="1"/>
  <c r="J2251" i="1"/>
  <c r="S2251" i="1"/>
  <c r="J1693" i="1" l="1"/>
  <c r="S1693" i="1"/>
  <c r="T1693" i="1"/>
  <c r="G1522" i="1"/>
  <c r="U1522" i="1" s="1"/>
  <c r="H1693" i="1"/>
  <c r="J1522" i="1" l="1"/>
  <c r="H1522" i="1"/>
  <c r="T1522" i="1"/>
  <c r="S1522" i="1"/>
  <c r="E1690" i="1"/>
  <c r="P1690" i="1"/>
  <c r="F1690" i="1"/>
  <c r="G826" i="1" l="1"/>
  <c r="G1690" i="1" l="1"/>
  <c r="G833" i="1"/>
  <c r="T1690" i="1" l="1"/>
  <c r="S1690" i="1"/>
  <c r="H1690" i="1"/>
  <c r="U1690" i="1"/>
  <c r="J1690" i="1"/>
  <c r="T736" i="1" l="1"/>
  <c r="S736" i="1"/>
  <c r="Q736" i="1"/>
  <c r="G1707" i="1" l="1"/>
  <c r="G1702" i="1"/>
  <c r="O48" i="16"/>
  <c r="G2236" i="1"/>
  <c r="G1706" i="1" l="1"/>
  <c r="G1656" i="1"/>
  <c r="G1705" i="1"/>
  <c r="G1655" i="1"/>
  <c r="O44" i="16"/>
  <c r="O46" i="16"/>
  <c r="O45" i="16"/>
  <c r="O47" i="16"/>
  <c r="O43" i="16"/>
  <c r="G1713" i="1"/>
  <c r="S1702" i="1"/>
  <c r="T1702" i="1"/>
  <c r="U1702" i="1"/>
  <c r="J1702" i="1"/>
  <c r="H1702" i="1"/>
  <c r="G2245" i="1"/>
  <c r="G2247" i="1"/>
  <c r="AZ322" i="2"/>
  <c r="AX322" i="2"/>
  <c r="E322" i="2"/>
  <c r="D322" i="2"/>
  <c r="AZ321" i="2"/>
  <c r="AX321" i="2"/>
  <c r="E321" i="2"/>
  <c r="D321" i="2"/>
  <c r="G1623" i="1" l="1"/>
  <c r="U1623" i="1" s="1"/>
  <c r="T1656" i="1"/>
  <c r="J1656" i="1"/>
  <c r="S1656" i="1"/>
  <c r="H1656" i="1"/>
  <c r="U1656" i="1"/>
  <c r="U1655" i="1"/>
  <c r="T1655" i="1"/>
  <c r="H1655" i="1"/>
  <c r="S1655" i="1"/>
  <c r="J1655" i="1"/>
  <c r="S1713" i="1"/>
  <c r="U1713" i="1"/>
  <c r="H1713" i="1"/>
  <c r="J1713" i="1"/>
  <c r="T1713" i="1"/>
  <c r="J2245" i="1"/>
  <c r="S2245" i="1"/>
  <c r="T2245" i="1"/>
  <c r="H2245" i="1"/>
  <c r="U2245" i="1"/>
  <c r="H2247" i="1"/>
  <c r="U2247" i="1"/>
  <c r="T2247" i="1"/>
  <c r="S2247" i="1"/>
  <c r="J2247" i="1"/>
  <c r="AZ279" i="2"/>
  <c r="AX279" i="2"/>
  <c r="E279" i="2"/>
  <c r="D279" i="2"/>
  <c r="AZ278" i="2"/>
  <c r="AX278" i="2"/>
  <c r="E278" i="2"/>
  <c r="D278" i="2"/>
  <c r="AZ277" i="2"/>
  <c r="AX277" i="2"/>
  <c r="E277" i="2"/>
  <c r="D277" i="2"/>
  <c r="AZ276" i="2"/>
  <c r="AX276" i="2"/>
  <c r="E276" i="2"/>
  <c r="D276" i="2"/>
  <c r="BP51" i="2"/>
  <c r="BO51" i="2"/>
  <c r="AZ51" i="2"/>
  <c r="AX51" i="2"/>
  <c r="E51" i="2"/>
  <c r="D51" i="2"/>
  <c r="AZ294" i="2"/>
  <c r="AX294" i="2"/>
  <c r="E294" i="2"/>
  <c r="D294" i="2"/>
  <c r="AZ306" i="2"/>
  <c r="AX306" i="2"/>
  <c r="E306" i="2"/>
  <c r="D306" i="2"/>
  <c r="AZ305" i="2"/>
  <c r="AX305" i="2"/>
  <c r="E305" i="2"/>
  <c r="D305" i="2"/>
  <c r="AZ304" i="2"/>
  <c r="AX304" i="2"/>
  <c r="E304" i="2"/>
  <c r="D304" i="2"/>
  <c r="AZ303" i="2"/>
  <c r="AX303" i="2"/>
  <c r="E303" i="2"/>
  <c r="D303" i="2"/>
  <c r="AZ220" i="2"/>
  <c r="AX220" i="2"/>
  <c r="E220" i="2"/>
  <c r="D220" i="2"/>
  <c r="AZ222" i="2"/>
  <c r="AX222" i="2"/>
  <c r="E222" i="2"/>
  <c r="D222" i="2"/>
  <c r="AZ245" i="2"/>
  <c r="AX245" i="2"/>
  <c r="E245" i="2"/>
  <c r="D245" i="2"/>
  <c r="AZ275" i="2"/>
  <c r="AX275" i="2"/>
  <c r="E275" i="2"/>
  <c r="D275" i="2"/>
  <c r="Q1867" i="1"/>
  <c r="P1867" i="1"/>
  <c r="F1867" i="1"/>
  <c r="E1867" i="1"/>
  <c r="E1407" i="1"/>
  <c r="F1407" i="1"/>
  <c r="P1407" i="1"/>
  <c r="E1883" i="1"/>
  <c r="F1883" i="1"/>
  <c r="P1883" i="1"/>
  <c r="Q1883" i="1"/>
  <c r="E1877" i="1"/>
  <c r="F1877" i="1"/>
  <c r="P1877" i="1"/>
  <c r="E1650" i="1"/>
  <c r="F1650" i="1"/>
  <c r="P1650" i="1"/>
  <c r="E1513" i="1"/>
  <c r="G977" i="1"/>
  <c r="D33" i="2"/>
  <c r="E33" i="2"/>
  <c r="AX33" i="2"/>
  <c r="AZ33" i="2"/>
  <c r="BO33" i="2"/>
  <c r="BP33" i="2"/>
  <c r="D374" i="2"/>
  <c r="E374" i="2"/>
  <c r="AX374" i="2"/>
  <c r="AZ374" i="2"/>
  <c r="AZ372" i="2"/>
  <c r="AX372" i="2"/>
  <c r="E372" i="2"/>
  <c r="D372" i="2"/>
  <c r="AF63" i="2"/>
  <c r="J1409" i="23"/>
  <c r="J1415" i="23"/>
  <c r="J508" i="23"/>
  <c r="J412" i="23"/>
  <c r="K1281" i="23"/>
  <c r="J1281" i="23"/>
  <c r="K1269" i="23"/>
  <c r="J1269" i="23"/>
  <c r="K1264" i="23"/>
  <c r="J1264" i="23"/>
  <c r="E1264" i="23"/>
  <c r="J523" i="23"/>
  <c r="J521" i="23"/>
  <c r="J517" i="23"/>
  <c r="J513" i="23"/>
  <c r="J459" i="23"/>
  <c r="E469" i="23"/>
  <c r="K1469" i="23"/>
  <c r="J1469" i="23"/>
  <c r="H1469" i="23"/>
  <c r="F1469" i="23"/>
  <c r="E1469" i="23"/>
  <c r="D1469" i="23"/>
  <c r="D974" i="23"/>
  <c r="E974" i="23"/>
  <c r="F974" i="23"/>
  <c r="H974" i="23"/>
  <c r="J974" i="23"/>
  <c r="K974" i="23"/>
  <c r="K444" i="23"/>
  <c r="J444" i="23"/>
  <c r="H444" i="23"/>
  <c r="F444" i="23"/>
  <c r="E444" i="23"/>
  <c r="D444" i="23"/>
  <c r="K442" i="23"/>
  <c r="J442" i="23"/>
  <c r="K441" i="23"/>
  <c r="J441" i="23"/>
  <c r="H442" i="23"/>
  <c r="F442" i="23"/>
  <c r="E442" i="23"/>
  <c r="D442" i="23"/>
  <c r="H441" i="23"/>
  <c r="F441" i="23"/>
  <c r="E441" i="23"/>
  <c r="D441" i="23"/>
  <c r="K540" i="23"/>
  <c r="J540" i="23"/>
  <c r="H540" i="23"/>
  <c r="F540" i="23"/>
  <c r="E540" i="23"/>
  <c r="D540" i="23"/>
  <c r="K443" i="23"/>
  <c r="J443" i="23"/>
  <c r="H443" i="23"/>
  <c r="F443" i="23"/>
  <c r="E443" i="23"/>
  <c r="D443" i="23"/>
  <c r="Q1430" i="23"/>
  <c r="J1431" i="23"/>
  <c r="B1430" i="23"/>
  <c r="B1429" i="23"/>
  <c r="J1428" i="23"/>
  <c r="J1427" i="23"/>
  <c r="J1426" i="23"/>
  <c r="J1425" i="23"/>
  <c r="J1424" i="23"/>
  <c r="J1423" i="23"/>
  <c r="H1428" i="23"/>
  <c r="F1428" i="23"/>
  <c r="E1428" i="23"/>
  <c r="D1428" i="23"/>
  <c r="H1427" i="23"/>
  <c r="F1427" i="23"/>
  <c r="E1427" i="23"/>
  <c r="D1427" i="23"/>
  <c r="H1426" i="23"/>
  <c r="F1426" i="23"/>
  <c r="E1426" i="23"/>
  <c r="D1426" i="23"/>
  <c r="H1425" i="23"/>
  <c r="F1425" i="23"/>
  <c r="E1425" i="23"/>
  <c r="D1425" i="23"/>
  <c r="H1424" i="23"/>
  <c r="F1424" i="23"/>
  <c r="E1424" i="23"/>
  <c r="D1424" i="23"/>
  <c r="H1423" i="23"/>
  <c r="F1423" i="23"/>
  <c r="E1423" i="23"/>
  <c r="D1423" i="23"/>
  <c r="B960" i="23"/>
  <c r="J960" i="23" s="1"/>
  <c r="D948" i="23"/>
  <c r="E948" i="23"/>
  <c r="F948" i="23"/>
  <c r="H948" i="23"/>
  <c r="J948" i="23"/>
  <c r="K948" i="23"/>
  <c r="D952" i="23"/>
  <c r="E952" i="23"/>
  <c r="F952" i="23"/>
  <c r="H952" i="23"/>
  <c r="J952" i="23"/>
  <c r="K952" i="23"/>
  <c r="D953" i="23"/>
  <c r="E953" i="23"/>
  <c r="F953" i="23"/>
  <c r="J953" i="23"/>
  <c r="K953" i="23"/>
  <c r="D954" i="23"/>
  <c r="E954" i="23"/>
  <c r="F954" i="23"/>
  <c r="H954" i="23"/>
  <c r="J954" i="23"/>
  <c r="K954" i="23"/>
  <c r="D955" i="23"/>
  <c r="E955" i="23"/>
  <c r="F955" i="23"/>
  <c r="H955" i="23"/>
  <c r="J955" i="23"/>
  <c r="K955" i="23"/>
  <c r="E947" i="23"/>
  <c r="K520" i="23"/>
  <c r="J520" i="23"/>
  <c r="K519" i="23"/>
  <c r="J519" i="23"/>
  <c r="H520" i="23"/>
  <c r="F520" i="23"/>
  <c r="E520" i="23"/>
  <c r="D520" i="23"/>
  <c r="H519" i="23"/>
  <c r="F519" i="23"/>
  <c r="E519" i="23"/>
  <c r="D519" i="23"/>
  <c r="K518" i="23"/>
  <c r="J518" i="23"/>
  <c r="K517" i="23"/>
  <c r="F518" i="23"/>
  <c r="E518" i="23"/>
  <c r="D518" i="23"/>
  <c r="H517" i="23"/>
  <c r="F517" i="23"/>
  <c r="E517" i="23"/>
  <c r="D517" i="23"/>
  <c r="E514" i="23"/>
  <c r="K514" i="23"/>
  <c r="J514" i="23"/>
  <c r="H514" i="23"/>
  <c r="F514" i="23"/>
  <c r="D514" i="23"/>
  <c r="E1294" i="23"/>
  <c r="E1293" i="23"/>
  <c r="E1292" i="23"/>
  <c r="E1291" i="23"/>
  <c r="J1288" i="23"/>
  <c r="F1288" i="23"/>
  <c r="E1288" i="23"/>
  <c r="D1288" i="23"/>
  <c r="E1290" i="23"/>
  <c r="D1293" i="23"/>
  <c r="F1293" i="23"/>
  <c r="H1293" i="23"/>
  <c r="J1293" i="23"/>
  <c r="K1293" i="23"/>
  <c r="D1294" i="23"/>
  <c r="F1294" i="23"/>
  <c r="H1294" i="23"/>
  <c r="J1294" i="23"/>
  <c r="K1294" i="23"/>
  <c r="D1290" i="23"/>
  <c r="F1290" i="23"/>
  <c r="H1290" i="23"/>
  <c r="J1290" i="23"/>
  <c r="D418" i="23"/>
  <c r="E418" i="23"/>
  <c r="F418" i="23"/>
  <c r="H418" i="23"/>
  <c r="J418" i="23"/>
  <c r="K418" i="23"/>
  <c r="E422" i="23"/>
  <c r="D422" i="23"/>
  <c r="F422" i="23"/>
  <c r="J422" i="23"/>
  <c r="K422" i="23"/>
  <c r="D423" i="23"/>
  <c r="E423" i="23"/>
  <c r="F423" i="23"/>
  <c r="H423" i="23"/>
  <c r="J423" i="23"/>
  <c r="K423" i="23"/>
  <c r="D424" i="23"/>
  <c r="E424" i="23"/>
  <c r="F424" i="23"/>
  <c r="H424" i="23"/>
  <c r="J424" i="23"/>
  <c r="K424" i="23"/>
  <c r="D421" i="23"/>
  <c r="E421" i="23"/>
  <c r="F421" i="23"/>
  <c r="H421" i="23"/>
  <c r="J421" i="23"/>
  <c r="K421" i="23"/>
  <c r="AZ95" i="2"/>
  <c r="AX95" i="2"/>
  <c r="E95" i="2"/>
  <c r="D95" i="2"/>
  <c r="D92" i="2"/>
  <c r="AZ92" i="2"/>
  <c r="AX92" i="2"/>
  <c r="E92" i="2"/>
  <c r="AZ90" i="2"/>
  <c r="AX90" i="2"/>
  <c r="E90" i="2"/>
  <c r="D90" i="2"/>
  <c r="AZ93" i="2"/>
  <c r="AX93" i="2"/>
  <c r="E93" i="2"/>
  <c r="D93" i="2"/>
  <c r="D351" i="2"/>
  <c r="E351" i="2"/>
  <c r="AX351" i="2"/>
  <c r="AZ351" i="2"/>
  <c r="D62" i="2"/>
  <c r="E62" i="2"/>
  <c r="AX62" i="2"/>
  <c r="AZ62" i="2"/>
  <c r="BO62" i="2"/>
  <c r="BP62" i="2"/>
  <c r="D63" i="2"/>
  <c r="E63" i="2"/>
  <c r="AX63" i="2"/>
  <c r="AZ63" i="2"/>
  <c r="BO63" i="2"/>
  <c r="BP63" i="2"/>
  <c r="K957" i="23"/>
  <c r="J957" i="23"/>
  <c r="H957" i="23"/>
  <c r="F957" i="23"/>
  <c r="E957" i="23"/>
  <c r="D957" i="23"/>
  <c r="K522" i="23"/>
  <c r="J522" i="23"/>
  <c r="H522" i="23"/>
  <c r="F522" i="23"/>
  <c r="E522" i="23"/>
  <c r="D522" i="23"/>
  <c r="K426" i="23"/>
  <c r="J426" i="23"/>
  <c r="H426" i="23"/>
  <c r="F426" i="23"/>
  <c r="E426" i="23"/>
  <c r="D426" i="23"/>
  <c r="H1452" i="23"/>
  <c r="K1317" i="23"/>
  <c r="J1317" i="23"/>
  <c r="H1317" i="23"/>
  <c r="F1317" i="23"/>
  <c r="E1317" i="23"/>
  <c r="D1317" i="23"/>
  <c r="U1153" i="1"/>
  <c r="S1153" i="1"/>
  <c r="Q1153" i="1"/>
  <c r="T1153" i="1" s="1"/>
  <c r="O1153" i="1"/>
  <c r="F1153" i="1"/>
  <c r="E1153" i="1"/>
  <c r="U1152" i="1"/>
  <c r="S1152" i="1"/>
  <c r="Q1152" i="1"/>
  <c r="T1152" i="1" s="1"/>
  <c r="O1152" i="1"/>
  <c r="F1152" i="1"/>
  <c r="E1152" i="1"/>
  <c r="U1150" i="1"/>
  <c r="T1150" i="1"/>
  <c r="P1150" i="1"/>
  <c r="S1150" i="1" s="1"/>
  <c r="O1150" i="1"/>
  <c r="F1150" i="1"/>
  <c r="E1150" i="1"/>
  <c r="U1149" i="1"/>
  <c r="T1149" i="1"/>
  <c r="P1149" i="1"/>
  <c r="S1149" i="1" s="1"/>
  <c r="O1149" i="1"/>
  <c r="F1149" i="1"/>
  <c r="E1149" i="1"/>
  <c r="N1148" i="1"/>
  <c r="U1147" i="1"/>
  <c r="S1147" i="1"/>
  <c r="Q1147" i="1"/>
  <c r="T1147" i="1" s="1"/>
  <c r="O1147" i="1"/>
  <c r="F1147" i="1"/>
  <c r="E1147" i="1"/>
  <c r="U1146" i="1"/>
  <c r="S1146" i="1"/>
  <c r="Q1146" i="1"/>
  <c r="T1146" i="1" s="1"/>
  <c r="O1146" i="1"/>
  <c r="F1146" i="1"/>
  <c r="E1146" i="1"/>
  <c r="U1144" i="1"/>
  <c r="T1144" i="1"/>
  <c r="P1144" i="1"/>
  <c r="S1144" i="1" s="1"/>
  <c r="O1144" i="1"/>
  <c r="F1144" i="1"/>
  <c r="E1144" i="1"/>
  <c r="U1143" i="1"/>
  <c r="T1143" i="1"/>
  <c r="P1143" i="1"/>
  <c r="S1143" i="1" s="1"/>
  <c r="O1143" i="1"/>
  <c r="F1143" i="1"/>
  <c r="E1143" i="1"/>
  <c r="N1142" i="1"/>
  <c r="G352" i="1"/>
  <c r="T830" i="1"/>
  <c r="T832" i="1"/>
  <c r="T837" i="1"/>
  <c r="U837" i="1"/>
  <c r="U830" i="1"/>
  <c r="Q837" i="1"/>
  <c r="Q830" i="1"/>
  <c r="P837" i="1"/>
  <c r="S837" i="1" s="1"/>
  <c r="O837" i="1"/>
  <c r="N837" i="1"/>
  <c r="F837" i="1"/>
  <c r="E837" i="1"/>
  <c r="U836" i="1"/>
  <c r="T836" i="1"/>
  <c r="P836" i="1"/>
  <c r="S836" i="1" s="1"/>
  <c r="O836" i="1"/>
  <c r="N836" i="1"/>
  <c r="F836" i="1"/>
  <c r="E836" i="1"/>
  <c r="U835" i="1"/>
  <c r="T835" i="1"/>
  <c r="O835" i="1"/>
  <c r="N835" i="1"/>
  <c r="F835" i="1"/>
  <c r="E835" i="1"/>
  <c r="U834" i="1"/>
  <c r="T834" i="1"/>
  <c r="O834" i="1"/>
  <c r="N834" i="1"/>
  <c r="F834" i="1"/>
  <c r="E834" i="1"/>
  <c r="U833" i="1"/>
  <c r="P833" i="1"/>
  <c r="S833" i="1" s="1"/>
  <c r="O833" i="1"/>
  <c r="F833" i="1"/>
  <c r="E833" i="1"/>
  <c r="U832" i="1"/>
  <c r="P832" i="1"/>
  <c r="S832" i="1" s="1"/>
  <c r="O832" i="1"/>
  <c r="N832" i="1"/>
  <c r="F832" i="1"/>
  <c r="E832" i="1"/>
  <c r="P830" i="1"/>
  <c r="S830" i="1" s="1"/>
  <c r="O830" i="1"/>
  <c r="N830" i="1"/>
  <c r="F830" i="1"/>
  <c r="E830" i="1"/>
  <c r="U829" i="1"/>
  <c r="T829" i="1"/>
  <c r="O829" i="1"/>
  <c r="N829" i="1"/>
  <c r="F829" i="1"/>
  <c r="E829" i="1"/>
  <c r="U828" i="1"/>
  <c r="T828" i="1"/>
  <c r="O828" i="1"/>
  <c r="N828" i="1"/>
  <c r="F828" i="1"/>
  <c r="E828" i="1"/>
  <c r="U827" i="1"/>
  <c r="T827" i="1"/>
  <c r="O827" i="1"/>
  <c r="N827" i="1"/>
  <c r="F827" i="1"/>
  <c r="E827" i="1"/>
  <c r="U826" i="1"/>
  <c r="T826" i="1"/>
  <c r="P826" i="1"/>
  <c r="S826" i="1" s="1"/>
  <c r="O826" i="1"/>
  <c r="N826" i="1"/>
  <c r="F826" i="1"/>
  <c r="E826" i="1"/>
  <c r="U825" i="1"/>
  <c r="T825" i="1"/>
  <c r="P825" i="1"/>
  <c r="S825" i="1" s="1"/>
  <c r="O825" i="1"/>
  <c r="N825" i="1"/>
  <c r="F825" i="1"/>
  <c r="E825" i="1"/>
  <c r="AE86" i="18" l="1"/>
  <c r="BI86" i="18"/>
  <c r="H960" i="23"/>
  <c r="E960" i="23"/>
  <c r="K960" i="23"/>
  <c r="F960" i="23"/>
  <c r="D960" i="23"/>
  <c r="S1148" i="1"/>
  <c r="AD86" i="18"/>
  <c r="AH86" i="18"/>
  <c r="AL86" i="18"/>
  <c r="AT86" i="18"/>
  <c r="AX86" i="18"/>
  <c r="AF86" i="18"/>
  <c r="AJ86" i="18"/>
  <c r="AR86" i="18"/>
  <c r="AV86" i="18"/>
  <c r="BL86" i="18"/>
  <c r="BX86" i="18"/>
  <c r="CV86" i="18"/>
  <c r="G1888" i="1" s="1"/>
  <c r="BM86" i="18"/>
  <c r="BK86" i="18"/>
  <c r="BO86" i="18"/>
  <c r="O86" i="18"/>
  <c r="AI86" i="18"/>
  <c r="AM86" i="18"/>
  <c r="AU86" i="18"/>
  <c r="BJ86" i="18"/>
  <c r="BN86" i="18"/>
  <c r="CT86" i="18"/>
  <c r="G1883" i="1" s="1"/>
  <c r="I86" i="18"/>
  <c r="Q86" i="18"/>
  <c r="AC86" i="18"/>
  <c r="AG86" i="18"/>
  <c r="AK86" i="18"/>
  <c r="AS86" i="18"/>
  <c r="AW86" i="18"/>
  <c r="P86" i="18"/>
  <c r="BW86" i="18"/>
  <c r="CU86" i="18"/>
  <c r="S1142" i="1"/>
  <c r="U1148" i="1"/>
  <c r="T1142" i="1"/>
  <c r="T1148" i="1"/>
  <c r="U1142" i="1"/>
  <c r="BG86" i="18"/>
  <c r="BH86" i="18"/>
  <c r="U824" i="1"/>
  <c r="T824" i="1"/>
  <c r="J824" i="1"/>
  <c r="U831" i="1"/>
  <c r="N833" i="1"/>
  <c r="T833" i="1"/>
  <c r="T831" i="1" s="1"/>
  <c r="G1711" i="1" l="1"/>
  <c r="G1709" i="1"/>
  <c r="G1710" i="1"/>
  <c r="G2249" i="1"/>
  <c r="J828" i="1"/>
  <c r="J827" i="1"/>
  <c r="J830" i="1"/>
  <c r="J826" i="1"/>
  <c r="J825" i="1"/>
  <c r="J829" i="1"/>
  <c r="J1142" i="1"/>
  <c r="J1148" i="1"/>
  <c r="J831" i="1"/>
  <c r="G1712" i="1" l="1"/>
  <c r="S1709" i="1"/>
  <c r="U1709" i="1"/>
  <c r="T1709" i="1"/>
  <c r="J1709" i="1"/>
  <c r="H1709" i="1"/>
  <c r="U1710" i="1"/>
  <c r="J1710" i="1"/>
  <c r="S1710" i="1"/>
  <c r="T1710" i="1"/>
  <c r="H1710" i="1"/>
  <c r="S1711" i="1"/>
  <c r="T1711" i="1"/>
  <c r="H1711" i="1"/>
  <c r="U1711" i="1"/>
  <c r="J1711" i="1"/>
  <c r="G1708" i="1"/>
  <c r="G2248" i="1"/>
  <c r="H2250" i="1"/>
  <c r="U2250" i="1"/>
  <c r="S2250" i="1"/>
  <c r="T2250" i="1"/>
  <c r="J2250" i="1"/>
  <c r="J2249" i="1"/>
  <c r="U2249" i="1"/>
  <c r="S2249" i="1"/>
  <c r="T2249" i="1"/>
  <c r="H2249" i="1"/>
  <c r="G2246" i="1"/>
  <c r="J835" i="1"/>
  <c r="J836" i="1"/>
  <c r="J834" i="1"/>
  <c r="J837" i="1"/>
  <c r="J833" i="1"/>
  <c r="J832" i="1"/>
  <c r="U1712" i="1" l="1"/>
  <c r="T1712" i="1"/>
  <c r="S1712" i="1"/>
  <c r="H1712" i="1"/>
  <c r="U1708" i="1"/>
  <c r="S1708" i="1"/>
  <c r="H1708" i="1"/>
  <c r="T1708" i="1"/>
  <c r="J1708" i="1"/>
  <c r="H2248" i="1"/>
  <c r="U2248" i="1"/>
  <c r="S2248" i="1"/>
  <c r="T2248" i="1"/>
  <c r="J2248" i="1"/>
  <c r="S2246" i="1"/>
  <c r="H2246" i="1"/>
  <c r="J2246" i="1"/>
  <c r="T2246" i="1"/>
  <c r="U2246" i="1"/>
  <c r="G978" i="1"/>
  <c r="E974" i="1"/>
  <c r="AZ132" i="2" l="1"/>
  <c r="AX132" i="2"/>
  <c r="E132" i="2"/>
  <c r="D132" i="2"/>
  <c r="G1672" i="1" l="1"/>
  <c r="U286" i="1"/>
  <c r="U289" i="1"/>
  <c r="S289" i="1"/>
  <c r="Q289" i="1"/>
  <c r="T289" i="1" s="1"/>
  <c r="O289" i="1"/>
  <c r="F289" i="1"/>
  <c r="E289" i="1"/>
  <c r="U288" i="1"/>
  <c r="S288" i="1"/>
  <c r="Q288" i="1"/>
  <c r="T288" i="1" s="1"/>
  <c r="O288" i="1"/>
  <c r="F288" i="1"/>
  <c r="E288" i="1"/>
  <c r="U287" i="1"/>
  <c r="Q287" i="1"/>
  <c r="P287" i="1"/>
  <c r="F287" i="1"/>
  <c r="E287" i="1"/>
  <c r="Q286" i="1"/>
  <c r="P286" i="1"/>
  <c r="F286" i="1"/>
  <c r="E286" i="1"/>
  <c r="Q285" i="1"/>
  <c r="P285" i="1"/>
  <c r="U285" i="1"/>
  <c r="F285" i="1"/>
  <c r="E285" i="1"/>
  <c r="Q284" i="1"/>
  <c r="P284" i="1"/>
  <c r="U284" i="1"/>
  <c r="F284" i="1"/>
  <c r="E284" i="1"/>
  <c r="Q283" i="1"/>
  <c r="P283" i="1"/>
  <c r="F283" i="1"/>
  <c r="E283" i="1"/>
  <c r="Q282" i="1"/>
  <c r="P282" i="1"/>
  <c r="F282" i="1"/>
  <c r="E282" i="1"/>
  <c r="Q281" i="1"/>
  <c r="P281" i="1"/>
  <c r="F281" i="1"/>
  <c r="E281" i="1"/>
  <c r="N280" i="1"/>
  <c r="M280" i="1"/>
  <c r="U277" i="1"/>
  <c r="Q278" i="1"/>
  <c r="U271" i="1"/>
  <c r="E267" i="1"/>
  <c r="U275" i="1"/>
  <c r="U274" i="1"/>
  <c r="U279" i="1"/>
  <c r="S279" i="1"/>
  <c r="Q279" i="1"/>
  <c r="T279" i="1" s="1"/>
  <c r="O279" i="1"/>
  <c r="F279" i="1"/>
  <c r="E279" i="1"/>
  <c r="U278" i="1"/>
  <c r="F278" i="1"/>
  <c r="E278" i="1"/>
  <c r="Q277" i="1"/>
  <c r="P277" i="1"/>
  <c r="F277" i="1"/>
  <c r="E277" i="1"/>
  <c r="U276" i="1"/>
  <c r="Q276" i="1"/>
  <c r="T276" i="1" s="1"/>
  <c r="P276" i="1"/>
  <c r="S276" i="1" s="1"/>
  <c r="O276" i="1"/>
  <c r="F276" i="1"/>
  <c r="E276" i="1"/>
  <c r="Q275" i="1"/>
  <c r="P275" i="1"/>
  <c r="O275" i="1"/>
  <c r="F275" i="1"/>
  <c r="E275" i="1"/>
  <c r="Q274" i="1"/>
  <c r="P274" i="1"/>
  <c r="F274" i="1"/>
  <c r="E274" i="1"/>
  <c r="Q273" i="1"/>
  <c r="P273" i="1"/>
  <c r="U273" i="1"/>
  <c r="F273" i="1"/>
  <c r="E273" i="1"/>
  <c r="Q272" i="1"/>
  <c r="P272" i="1"/>
  <c r="F272" i="1"/>
  <c r="E272" i="1"/>
  <c r="Q271" i="1"/>
  <c r="P271" i="1"/>
  <c r="F271" i="1"/>
  <c r="E271" i="1"/>
  <c r="N270" i="1"/>
  <c r="M270" i="1"/>
  <c r="H1672" i="1" l="1"/>
  <c r="T1672" i="1"/>
  <c r="J1672" i="1"/>
  <c r="S1672" i="1"/>
  <c r="U1672" i="1"/>
  <c r="O274" i="1"/>
  <c r="O286" i="1"/>
  <c r="S286" i="1"/>
  <c r="T282" i="1"/>
  <c r="S285" i="1"/>
  <c r="S274" i="1"/>
  <c r="S287" i="1"/>
  <c r="S271" i="1"/>
  <c r="S273" i="1"/>
  <c r="T281" i="1"/>
  <c r="T283" i="1"/>
  <c r="T285" i="1"/>
  <c r="T287" i="1"/>
  <c r="J280" i="1"/>
  <c r="J270" i="1"/>
  <c r="U281" i="1"/>
  <c r="S281" i="1"/>
  <c r="U282" i="1"/>
  <c r="U283" i="1"/>
  <c r="S283" i="1"/>
  <c r="T286" i="1"/>
  <c r="S282" i="1"/>
  <c r="O284" i="1"/>
  <c r="T284" i="1"/>
  <c r="T272" i="1"/>
  <c r="O281" i="1"/>
  <c r="O283" i="1"/>
  <c r="S284" i="1"/>
  <c r="O287" i="1"/>
  <c r="O282" i="1"/>
  <c r="O285" i="1"/>
  <c r="U272" i="1"/>
  <c r="U270" i="1" s="1"/>
  <c r="S277" i="1"/>
  <c r="T271" i="1"/>
  <c r="S275" i="1"/>
  <c r="T273" i="1"/>
  <c r="T274" i="1"/>
  <c r="T275" i="1"/>
  <c r="T278" i="1"/>
  <c r="S278" i="1"/>
  <c r="O277" i="1"/>
  <c r="T277" i="1"/>
  <c r="S272" i="1"/>
  <c r="O271" i="1"/>
  <c r="O273" i="1"/>
  <c r="O278" i="1"/>
  <c r="O272" i="1"/>
  <c r="T280" i="1" l="1"/>
  <c r="T270" i="1"/>
  <c r="U280" i="1"/>
  <c r="S280" i="1"/>
  <c r="S270" i="1"/>
  <c r="E2048" i="1" l="1"/>
  <c r="F2048" i="1"/>
  <c r="G2048" i="1" l="1"/>
  <c r="U2048" i="1" s="1"/>
  <c r="M2048" i="1" l="1"/>
  <c r="T2048" i="1"/>
  <c r="H2048" i="1"/>
  <c r="C2053" i="23"/>
  <c r="E2124" i="1"/>
  <c r="F2124" i="1"/>
  <c r="P2124" i="1"/>
  <c r="E2122" i="1"/>
  <c r="F2122" i="1"/>
  <c r="P2122" i="1"/>
  <c r="G2122" i="1" l="1"/>
  <c r="S2122" i="1" s="1"/>
  <c r="E2095" i="1"/>
  <c r="F2095" i="1"/>
  <c r="P2095" i="1"/>
  <c r="G2061" i="23"/>
  <c r="G2059" i="23"/>
  <c r="L2059" i="23" s="1"/>
  <c r="G2058" i="23"/>
  <c r="G2062" i="23" s="1"/>
  <c r="A2062" i="23" s="1"/>
  <c r="K2208" i="23"/>
  <c r="J2208" i="23"/>
  <c r="H2208" i="23"/>
  <c r="F2208" i="23"/>
  <c r="E2208" i="23"/>
  <c r="D2208" i="23"/>
  <c r="K2207" i="23"/>
  <c r="J2207" i="23"/>
  <c r="H2207" i="23"/>
  <c r="F2207" i="23"/>
  <c r="E2207" i="23"/>
  <c r="D2207" i="23"/>
  <c r="K2206" i="23"/>
  <c r="J2206" i="23"/>
  <c r="H2206" i="23"/>
  <c r="F2206" i="23"/>
  <c r="E2206" i="23"/>
  <c r="D2206" i="23"/>
  <c r="K2205" i="23"/>
  <c r="J2205" i="23"/>
  <c r="H2205" i="23"/>
  <c r="F2205" i="23"/>
  <c r="E2205" i="23"/>
  <c r="D2205" i="23"/>
  <c r="K2204" i="23"/>
  <c r="J2204" i="23"/>
  <c r="H2204" i="23"/>
  <c r="F2204" i="23"/>
  <c r="E2204" i="23"/>
  <c r="D2204" i="23"/>
  <c r="K2203" i="23"/>
  <c r="J2203" i="23"/>
  <c r="H2203" i="23"/>
  <c r="F2203" i="23"/>
  <c r="E2203" i="23"/>
  <c r="D2203" i="23"/>
  <c r="K2202" i="23"/>
  <c r="J2202" i="23"/>
  <c r="H2202" i="23"/>
  <c r="F2202" i="23"/>
  <c r="E2202" i="23"/>
  <c r="D2202" i="23"/>
  <c r="K2201" i="23"/>
  <c r="J2201" i="23"/>
  <c r="H2201" i="23"/>
  <c r="F2201" i="23"/>
  <c r="E2201" i="23"/>
  <c r="D2201" i="23"/>
  <c r="K2200" i="23"/>
  <c r="J2200" i="23"/>
  <c r="H2200" i="23"/>
  <c r="F2200" i="23"/>
  <c r="E2200" i="23"/>
  <c r="D2200" i="23"/>
  <c r="K2199" i="23"/>
  <c r="J2199" i="23"/>
  <c r="H2199" i="23"/>
  <c r="F2199" i="23"/>
  <c r="E2199" i="23"/>
  <c r="D2199" i="23"/>
  <c r="K2198" i="23"/>
  <c r="J2198" i="23"/>
  <c r="H2198" i="23"/>
  <c r="F2198" i="23"/>
  <c r="E2198" i="23"/>
  <c r="D2198" i="23"/>
  <c r="K2197" i="23"/>
  <c r="J2197" i="23"/>
  <c r="H2197" i="23"/>
  <c r="F2197" i="23"/>
  <c r="E2197" i="23"/>
  <c r="D2197" i="23"/>
  <c r="K2196" i="23"/>
  <c r="J2196" i="23"/>
  <c r="H2196" i="23"/>
  <c r="F2196" i="23"/>
  <c r="E2196" i="23"/>
  <c r="D2196" i="23"/>
  <c r="K2195" i="23"/>
  <c r="J2195" i="23"/>
  <c r="H2195" i="23"/>
  <c r="F2195" i="23"/>
  <c r="E2195" i="23"/>
  <c r="D2195" i="23"/>
  <c r="K2194" i="23"/>
  <c r="J2194" i="23"/>
  <c r="H2194" i="23"/>
  <c r="F2194" i="23"/>
  <c r="E2194" i="23"/>
  <c r="D2194" i="23"/>
  <c r="K2193" i="23"/>
  <c r="J2193" i="23"/>
  <c r="H2193" i="23"/>
  <c r="F2193" i="23"/>
  <c r="E2193" i="23"/>
  <c r="D2193" i="23"/>
  <c r="K2192" i="23"/>
  <c r="J2192" i="23"/>
  <c r="H2192" i="23"/>
  <c r="F2192" i="23"/>
  <c r="E2192" i="23"/>
  <c r="D2192" i="23"/>
  <c r="K2189" i="23"/>
  <c r="J2189" i="23"/>
  <c r="H2189" i="23"/>
  <c r="F2189" i="23"/>
  <c r="E2189" i="23"/>
  <c r="D2189" i="23"/>
  <c r="K2188" i="23"/>
  <c r="J2188" i="23"/>
  <c r="H2188" i="23"/>
  <c r="F2188" i="23"/>
  <c r="E2188" i="23"/>
  <c r="D2188" i="23"/>
  <c r="K2187" i="23"/>
  <c r="J2187" i="23"/>
  <c r="H2187" i="23"/>
  <c r="F2187" i="23"/>
  <c r="E2187" i="23"/>
  <c r="D2187" i="23"/>
  <c r="K2186" i="23"/>
  <c r="J2186" i="23"/>
  <c r="H2186" i="23"/>
  <c r="F2186" i="23"/>
  <c r="E2186" i="23"/>
  <c r="D2186" i="23"/>
  <c r="J2183" i="23"/>
  <c r="F2183" i="23"/>
  <c r="E2183" i="23"/>
  <c r="D2183" i="23"/>
  <c r="J2182" i="23"/>
  <c r="F2182" i="23"/>
  <c r="E2182" i="23"/>
  <c r="D2182" i="23"/>
  <c r="K2181" i="23"/>
  <c r="J2181" i="23"/>
  <c r="H2181" i="23"/>
  <c r="F2181" i="23"/>
  <c r="E2181" i="23"/>
  <c r="D2181" i="23"/>
  <c r="K2180" i="23"/>
  <c r="J2180" i="23"/>
  <c r="H2180" i="23"/>
  <c r="F2180" i="23"/>
  <c r="E2180" i="23"/>
  <c r="D2180" i="23"/>
  <c r="K2179" i="23"/>
  <c r="J2179" i="23"/>
  <c r="H2179" i="23"/>
  <c r="F2179" i="23"/>
  <c r="E2179" i="23"/>
  <c r="K2178" i="23"/>
  <c r="J2178" i="23"/>
  <c r="H2178" i="23"/>
  <c r="F2178" i="23"/>
  <c r="E2178" i="23"/>
  <c r="D2178" i="23"/>
  <c r="K2177" i="23"/>
  <c r="J2177" i="23"/>
  <c r="H2177" i="23"/>
  <c r="F2177" i="23"/>
  <c r="E2177" i="23"/>
  <c r="D2177" i="23"/>
  <c r="K2176" i="23"/>
  <c r="J2176" i="23"/>
  <c r="H2176" i="23"/>
  <c r="F2176" i="23"/>
  <c r="E2176" i="23"/>
  <c r="D2176" i="23"/>
  <c r="K2175" i="23"/>
  <c r="J2175" i="23"/>
  <c r="H2175" i="23"/>
  <c r="F2175" i="23"/>
  <c r="E2175" i="23"/>
  <c r="D2175" i="23"/>
  <c r="K2174" i="23"/>
  <c r="J2174" i="23"/>
  <c r="H2174" i="23"/>
  <c r="F2174" i="23"/>
  <c r="E2174" i="23"/>
  <c r="D2174" i="23"/>
  <c r="K2173" i="23"/>
  <c r="J2173" i="23"/>
  <c r="H2173" i="23"/>
  <c r="F2173" i="23"/>
  <c r="E2173" i="23"/>
  <c r="D2173" i="23"/>
  <c r="K2170" i="23"/>
  <c r="J2170" i="23"/>
  <c r="H2170" i="23"/>
  <c r="F2170" i="23"/>
  <c r="E2170" i="23"/>
  <c r="D2170" i="23"/>
  <c r="K2169" i="23"/>
  <c r="J2169" i="23"/>
  <c r="H2169" i="23"/>
  <c r="F2169" i="23"/>
  <c r="E2169" i="23"/>
  <c r="D2169" i="23"/>
  <c r="K2168" i="23"/>
  <c r="J2168" i="23"/>
  <c r="H2168" i="23"/>
  <c r="F2168" i="23"/>
  <c r="E2168" i="23"/>
  <c r="D2168" i="23"/>
  <c r="K2167" i="23"/>
  <c r="J2167" i="23"/>
  <c r="H2167" i="23"/>
  <c r="F2167" i="23"/>
  <c r="E2167" i="23"/>
  <c r="D2167" i="23"/>
  <c r="K2166" i="23"/>
  <c r="J2166" i="23"/>
  <c r="H2166" i="23"/>
  <c r="F2166" i="23"/>
  <c r="E2166" i="23"/>
  <c r="D2166" i="23"/>
  <c r="K2165" i="23"/>
  <c r="J2165" i="23"/>
  <c r="H2165" i="23"/>
  <c r="F2165" i="23"/>
  <c r="E2165" i="23"/>
  <c r="D2165" i="23"/>
  <c r="K2164" i="23"/>
  <c r="J2164" i="23"/>
  <c r="H2164" i="23"/>
  <c r="F2164" i="23"/>
  <c r="E2164" i="23"/>
  <c r="D2164" i="23"/>
  <c r="K2163" i="23"/>
  <c r="J2163" i="23"/>
  <c r="H2163" i="23"/>
  <c r="F2163" i="23"/>
  <c r="E2163" i="23"/>
  <c r="D2163" i="23"/>
  <c r="K2162" i="23"/>
  <c r="J2162" i="23"/>
  <c r="H2162" i="23"/>
  <c r="F2162" i="23"/>
  <c r="E2162" i="23"/>
  <c r="D2162" i="23"/>
  <c r="K2161" i="23"/>
  <c r="J2161" i="23"/>
  <c r="H2161" i="23"/>
  <c r="F2161" i="23"/>
  <c r="E2161" i="23"/>
  <c r="D2161" i="23"/>
  <c r="K2160" i="23"/>
  <c r="J2160" i="23"/>
  <c r="H2160" i="23"/>
  <c r="F2160" i="23"/>
  <c r="E2160" i="23"/>
  <c r="D2160" i="23"/>
  <c r="K2159" i="23"/>
  <c r="J2159" i="23"/>
  <c r="H2159" i="23"/>
  <c r="F2159" i="23"/>
  <c r="E2159" i="23"/>
  <c r="D2159" i="23"/>
  <c r="K2158" i="23"/>
  <c r="J2158" i="23"/>
  <c r="H2158" i="23"/>
  <c r="F2158" i="23"/>
  <c r="E2158" i="23"/>
  <c r="D2158" i="23"/>
  <c r="K2157" i="23"/>
  <c r="J2157" i="23"/>
  <c r="H2157" i="23"/>
  <c r="F2157" i="23"/>
  <c r="E2157" i="23"/>
  <c r="D2157" i="23"/>
  <c r="K2156" i="23"/>
  <c r="J2156" i="23"/>
  <c r="H2156" i="23"/>
  <c r="F2156" i="23"/>
  <c r="E2156" i="23"/>
  <c r="D2156" i="23"/>
  <c r="K2155" i="23"/>
  <c r="J2155" i="23"/>
  <c r="H2155" i="23"/>
  <c r="F2155" i="23"/>
  <c r="E2155" i="23"/>
  <c r="D2155" i="23"/>
  <c r="K2152" i="23"/>
  <c r="J2152" i="23"/>
  <c r="H2152" i="23"/>
  <c r="F2152" i="23"/>
  <c r="E2152" i="23"/>
  <c r="D2152" i="23"/>
  <c r="K2151" i="23"/>
  <c r="J2151" i="23"/>
  <c r="H2151" i="23"/>
  <c r="F2151" i="23"/>
  <c r="E2151" i="23"/>
  <c r="D2151" i="23"/>
  <c r="K2150" i="23"/>
  <c r="J2150" i="23"/>
  <c r="H2150" i="23"/>
  <c r="F2150" i="23"/>
  <c r="E2150" i="23"/>
  <c r="D2150" i="23"/>
  <c r="K2149" i="23"/>
  <c r="J2149" i="23"/>
  <c r="H2149" i="23"/>
  <c r="F2149" i="23"/>
  <c r="E2149" i="23"/>
  <c r="D2149" i="23"/>
  <c r="O2148" i="23"/>
  <c r="N2148" i="23"/>
  <c r="M2148" i="23"/>
  <c r="L2148" i="23"/>
  <c r="K2146" i="23"/>
  <c r="J2146" i="23"/>
  <c r="H2146" i="23"/>
  <c r="F2146" i="23"/>
  <c r="E2146" i="23"/>
  <c r="D2146" i="23"/>
  <c r="K2145" i="23"/>
  <c r="J2145" i="23"/>
  <c r="H2145" i="23"/>
  <c r="E2145" i="23"/>
  <c r="D2145" i="23"/>
  <c r="J2144" i="23"/>
  <c r="H2144" i="23"/>
  <c r="F2144" i="23"/>
  <c r="E2144" i="23"/>
  <c r="D2144" i="23"/>
  <c r="J2143" i="23"/>
  <c r="H2143" i="23"/>
  <c r="F2143" i="23"/>
  <c r="E2143" i="23"/>
  <c r="D2143" i="23"/>
  <c r="J2142" i="23"/>
  <c r="H2142" i="23"/>
  <c r="F2142" i="23"/>
  <c r="E2142" i="23"/>
  <c r="D2142" i="23"/>
  <c r="J2141" i="23"/>
  <c r="H2141" i="23"/>
  <c r="F2141" i="23"/>
  <c r="E2141" i="23"/>
  <c r="D2141" i="23"/>
  <c r="J2140" i="23"/>
  <c r="H2140" i="23"/>
  <c r="F2140" i="23"/>
  <c r="E2140" i="23"/>
  <c r="D2140" i="23"/>
  <c r="J2139" i="23"/>
  <c r="H2139" i="23"/>
  <c r="F2139" i="23"/>
  <c r="E2139" i="23"/>
  <c r="D2139" i="23"/>
  <c r="J2137" i="23"/>
  <c r="H2137" i="23"/>
  <c r="F2137" i="23"/>
  <c r="E2137" i="23"/>
  <c r="D2137" i="23"/>
  <c r="J2135" i="23"/>
  <c r="H2135" i="23"/>
  <c r="F2135" i="23"/>
  <c r="E2135" i="23"/>
  <c r="D2135" i="23"/>
  <c r="J2134" i="23"/>
  <c r="H2134" i="23"/>
  <c r="F2134" i="23"/>
  <c r="E2134" i="23"/>
  <c r="D2134" i="23"/>
  <c r="J2133" i="23"/>
  <c r="H2133" i="23"/>
  <c r="F2133" i="23"/>
  <c r="E2133" i="23"/>
  <c r="D2133" i="23"/>
  <c r="J2132" i="23"/>
  <c r="H2132" i="23"/>
  <c r="F2132" i="23"/>
  <c r="E2132" i="23"/>
  <c r="D2132" i="23"/>
  <c r="J2131" i="23"/>
  <c r="H2131" i="23"/>
  <c r="F2131" i="23"/>
  <c r="E2131" i="23"/>
  <c r="D2131" i="23"/>
  <c r="J2130" i="23"/>
  <c r="H2130" i="23"/>
  <c r="F2130" i="23"/>
  <c r="E2130" i="23"/>
  <c r="D2130" i="23"/>
  <c r="J2129" i="23"/>
  <c r="H2129" i="23"/>
  <c r="F2129" i="23"/>
  <c r="E2129" i="23"/>
  <c r="D2129" i="23"/>
  <c r="K2128" i="23"/>
  <c r="J2128" i="23"/>
  <c r="H2128" i="23"/>
  <c r="F2128" i="23"/>
  <c r="E2128" i="23"/>
  <c r="D2128" i="23"/>
  <c r="K2127" i="23"/>
  <c r="J2127" i="23"/>
  <c r="H2127" i="23"/>
  <c r="F2127" i="23"/>
  <c r="E2127" i="23"/>
  <c r="D2127" i="23"/>
  <c r="K2126" i="23"/>
  <c r="J2126" i="23"/>
  <c r="H2126" i="23"/>
  <c r="F2126" i="23"/>
  <c r="E2126" i="23"/>
  <c r="D2126" i="23"/>
  <c r="O2125" i="23"/>
  <c r="N2125" i="23"/>
  <c r="M2125" i="23"/>
  <c r="L2125" i="23"/>
  <c r="H2123" i="23"/>
  <c r="F2123" i="23"/>
  <c r="E2123" i="23"/>
  <c r="D2123" i="23"/>
  <c r="F2122" i="23"/>
  <c r="E2122" i="23"/>
  <c r="D2122" i="23"/>
  <c r="F2121" i="23"/>
  <c r="E2121" i="23"/>
  <c r="D2121" i="23"/>
  <c r="H2120" i="23"/>
  <c r="F2120" i="23"/>
  <c r="E2120" i="23"/>
  <c r="D2120" i="23"/>
  <c r="H2119" i="23"/>
  <c r="F2119" i="23"/>
  <c r="E2119" i="23"/>
  <c r="D2119" i="23"/>
  <c r="O2118" i="23"/>
  <c r="N2118" i="23"/>
  <c r="M2118" i="23"/>
  <c r="L2118" i="23"/>
  <c r="J2116" i="23"/>
  <c r="H2116" i="23"/>
  <c r="F2116" i="23"/>
  <c r="E2116" i="23"/>
  <c r="D2116" i="23"/>
  <c r="F2115" i="23"/>
  <c r="E2115" i="23"/>
  <c r="D2115" i="23"/>
  <c r="F2114" i="23"/>
  <c r="E2114" i="23"/>
  <c r="D2114" i="23"/>
  <c r="H2113" i="23"/>
  <c r="F2113" i="23"/>
  <c r="E2113" i="23"/>
  <c r="D2113" i="23"/>
  <c r="H2112" i="23"/>
  <c r="F2112" i="23"/>
  <c r="E2112" i="23"/>
  <c r="D2112" i="23"/>
  <c r="H2111" i="23"/>
  <c r="F2111" i="23"/>
  <c r="E2111" i="23"/>
  <c r="D2111" i="23"/>
  <c r="O2110" i="23"/>
  <c r="N2110" i="23"/>
  <c r="M2110" i="23"/>
  <c r="L2110" i="23"/>
  <c r="K2108" i="23"/>
  <c r="H2108" i="23"/>
  <c r="F2108" i="23"/>
  <c r="E2108" i="23"/>
  <c r="D2108" i="23"/>
  <c r="M2107" i="23"/>
  <c r="K2107" i="23"/>
  <c r="O2107" i="23" s="1"/>
  <c r="F2107" i="23"/>
  <c r="E2107" i="23"/>
  <c r="D2107" i="23"/>
  <c r="A2107" i="23"/>
  <c r="M2106" i="23"/>
  <c r="K2106" i="23"/>
  <c r="O2106" i="23" s="1"/>
  <c r="F2106" i="23"/>
  <c r="E2106" i="23"/>
  <c r="D2106" i="23"/>
  <c r="A2106" i="23"/>
  <c r="K2105" i="23"/>
  <c r="F2105" i="23"/>
  <c r="E2105" i="23"/>
  <c r="D2105" i="23"/>
  <c r="K2104" i="23"/>
  <c r="F2104" i="23"/>
  <c r="E2104" i="23"/>
  <c r="D2104" i="23"/>
  <c r="K2103" i="23"/>
  <c r="F2103" i="23"/>
  <c r="E2103" i="23"/>
  <c r="D2103" i="23"/>
  <c r="K2102" i="23"/>
  <c r="F2102" i="23"/>
  <c r="E2102" i="23"/>
  <c r="D2102" i="23"/>
  <c r="K2101" i="23"/>
  <c r="F2101" i="23"/>
  <c r="E2101" i="23"/>
  <c r="D2101" i="23"/>
  <c r="K2100" i="23"/>
  <c r="F2100" i="23"/>
  <c r="E2100" i="23"/>
  <c r="D2100" i="23"/>
  <c r="K2099" i="23"/>
  <c r="F2099" i="23"/>
  <c r="E2099" i="23"/>
  <c r="D2099" i="23"/>
  <c r="K2098" i="23"/>
  <c r="F2098" i="23"/>
  <c r="E2098" i="23"/>
  <c r="D2098" i="23"/>
  <c r="K2097" i="23"/>
  <c r="F2097" i="23"/>
  <c r="E2097" i="23"/>
  <c r="D2097" i="23"/>
  <c r="K2096" i="23"/>
  <c r="F2096" i="23"/>
  <c r="E2096" i="23"/>
  <c r="D2096" i="23"/>
  <c r="K2095" i="23"/>
  <c r="F2095" i="23"/>
  <c r="E2095" i="23"/>
  <c r="D2095" i="23"/>
  <c r="K2094" i="23"/>
  <c r="F2094" i="23"/>
  <c r="E2094" i="23"/>
  <c r="D2094" i="23"/>
  <c r="K2093" i="23"/>
  <c r="F2093" i="23"/>
  <c r="E2093" i="23"/>
  <c r="D2093" i="23"/>
  <c r="K2092" i="23"/>
  <c r="F2092" i="23"/>
  <c r="E2092" i="23"/>
  <c r="D2092" i="23"/>
  <c r="K2091" i="23"/>
  <c r="F2091" i="23"/>
  <c r="E2091" i="23"/>
  <c r="D2091" i="23"/>
  <c r="B2088" i="23"/>
  <c r="H2088" i="23" s="1"/>
  <c r="B2087" i="23"/>
  <c r="H2087" i="23" s="1"/>
  <c r="F2086" i="23"/>
  <c r="E2086" i="23"/>
  <c r="J2085" i="23"/>
  <c r="H2085" i="23"/>
  <c r="F2085" i="23"/>
  <c r="E2085" i="23"/>
  <c r="D2085" i="23"/>
  <c r="B2083" i="23"/>
  <c r="J2083" i="23" s="1"/>
  <c r="B2082" i="23"/>
  <c r="H2082" i="23" s="1"/>
  <c r="F2081" i="23"/>
  <c r="E2081" i="23"/>
  <c r="J2080" i="23"/>
  <c r="H2080" i="23"/>
  <c r="F2080" i="23"/>
  <c r="E2080" i="23"/>
  <c r="D2080" i="23"/>
  <c r="G2079" i="23"/>
  <c r="G2080" i="23" s="1"/>
  <c r="O2080" i="23" s="1"/>
  <c r="K2078" i="23"/>
  <c r="J2078" i="23"/>
  <c r="F2078" i="23"/>
  <c r="E2078" i="23"/>
  <c r="D2078" i="23"/>
  <c r="H2077" i="23"/>
  <c r="F2077" i="23"/>
  <c r="E2077" i="23"/>
  <c r="H2076" i="23"/>
  <c r="F2076" i="23"/>
  <c r="E2076" i="23"/>
  <c r="K2074" i="23"/>
  <c r="J2074" i="23"/>
  <c r="F2074" i="23"/>
  <c r="E2074" i="23"/>
  <c r="D2074" i="23"/>
  <c r="H2073" i="23"/>
  <c r="F2073" i="23"/>
  <c r="E2073" i="23"/>
  <c r="H2072" i="23"/>
  <c r="G2072" i="23"/>
  <c r="N2072" i="23" s="1"/>
  <c r="F2072" i="23"/>
  <c r="E2072" i="23"/>
  <c r="C2071" i="23"/>
  <c r="C2079" i="23" s="1"/>
  <c r="A2071" i="23"/>
  <c r="K2068" i="23"/>
  <c r="J2068" i="23"/>
  <c r="I2068" i="23"/>
  <c r="H2068" i="23"/>
  <c r="F2068" i="23"/>
  <c r="E2068" i="23"/>
  <c r="D2068" i="23"/>
  <c r="K2067" i="23"/>
  <c r="J2067" i="23"/>
  <c r="I2067" i="23"/>
  <c r="H2067" i="23"/>
  <c r="F2067" i="23"/>
  <c r="E2067" i="23"/>
  <c r="D2067" i="23"/>
  <c r="K2066" i="23"/>
  <c r="J2066" i="23"/>
  <c r="I2066" i="23"/>
  <c r="H2066" i="23"/>
  <c r="F2066" i="23"/>
  <c r="E2066" i="23"/>
  <c r="D2066" i="23"/>
  <c r="I2065" i="23"/>
  <c r="F2065" i="23"/>
  <c r="E2065" i="23"/>
  <c r="D2065" i="23"/>
  <c r="K2064" i="23"/>
  <c r="J2064" i="23"/>
  <c r="I2064" i="23"/>
  <c r="H2064" i="23"/>
  <c r="F2064" i="23"/>
  <c r="E2064" i="23"/>
  <c r="D2064" i="23"/>
  <c r="K2063" i="23"/>
  <c r="J2063" i="23"/>
  <c r="I2063" i="23"/>
  <c r="H2063" i="23"/>
  <c r="F2063" i="23"/>
  <c r="E2063" i="23"/>
  <c r="D2063" i="23"/>
  <c r="G2060" i="23"/>
  <c r="A2060" i="23" s="1"/>
  <c r="M2057" i="23"/>
  <c r="C2057" i="23"/>
  <c r="E2087" i="23" l="1"/>
  <c r="A2059" i="23"/>
  <c r="G1490" i="1"/>
  <c r="T2122" i="1"/>
  <c r="M2122" i="1"/>
  <c r="U2122" i="1"/>
  <c r="H2122" i="1"/>
  <c r="G2095" i="1"/>
  <c r="H2095" i="1" s="1"/>
  <c r="D2082" i="23"/>
  <c r="F2083" i="23"/>
  <c r="E2088" i="23"/>
  <c r="L2062" i="23"/>
  <c r="J2082" i="23"/>
  <c r="E2083" i="23"/>
  <c r="E2082" i="23"/>
  <c r="H2083" i="23"/>
  <c r="F2087" i="23"/>
  <c r="F2088" i="23"/>
  <c r="F2082" i="23"/>
  <c r="D2083" i="23"/>
  <c r="J2087" i="23"/>
  <c r="J2088" i="23"/>
  <c r="M2072" i="23"/>
  <c r="G2124" i="23"/>
  <c r="G2117" i="23"/>
  <c r="G2171" i="23"/>
  <c r="G2153" i="23"/>
  <c r="G2147" i="23"/>
  <c r="G2109" i="23"/>
  <c r="G2089" i="23"/>
  <c r="G2067" i="23"/>
  <c r="G2064" i="23"/>
  <c r="N2064" i="23" s="1"/>
  <c r="G2066" i="23"/>
  <c r="O2066" i="23" s="1"/>
  <c r="G2068" i="23"/>
  <c r="G2075" i="23"/>
  <c r="G2073" i="23"/>
  <c r="O2072" i="23"/>
  <c r="A2072" i="23"/>
  <c r="M2080" i="23"/>
  <c r="A2080" i="23"/>
  <c r="L2080" i="23"/>
  <c r="G2082" i="23"/>
  <c r="L2082" i="23" s="1"/>
  <c r="A2057" i="23"/>
  <c r="G2063" i="23"/>
  <c r="G2065" i="23"/>
  <c r="L2072" i="23"/>
  <c r="G2074" i="23"/>
  <c r="N2080" i="23"/>
  <c r="G2081" i="23"/>
  <c r="A2079" i="23"/>
  <c r="G2083" i="23"/>
  <c r="D2087" i="23"/>
  <c r="D2088" i="23"/>
  <c r="T2095" i="1" l="1"/>
  <c r="S2095" i="1"/>
  <c r="U2095" i="1"/>
  <c r="M2095" i="1"/>
  <c r="O2064" i="23"/>
  <c r="M2065" i="23"/>
  <c r="A2083" i="23"/>
  <c r="O2083" i="23"/>
  <c r="M2083" i="23"/>
  <c r="N2083" i="23"/>
  <c r="O2081" i="23"/>
  <c r="A2081" i="23"/>
  <c r="M2081" i="23"/>
  <c r="N2081" i="23"/>
  <c r="A2063" i="23"/>
  <c r="L2083" i="23"/>
  <c r="O2068" i="23"/>
  <c r="N2068" i="23"/>
  <c r="A2068" i="23"/>
  <c r="A2067" i="23"/>
  <c r="G2169" i="23"/>
  <c r="G2168" i="23"/>
  <c r="G2167" i="23"/>
  <c r="G2166" i="23"/>
  <c r="G2164" i="23"/>
  <c r="G2163" i="23"/>
  <c r="G2162" i="23"/>
  <c r="G2160" i="23"/>
  <c r="G2159" i="23"/>
  <c r="G2157" i="23"/>
  <c r="G2155" i="23"/>
  <c r="A2153" i="23"/>
  <c r="A2154" i="23" s="1"/>
  <c r="N2063" i="23"/>
  <c r="M2068" i="23"/>
  <c r="C2058" i="23"/>
  <c r="A2058" i="23"/>
  <c r="N2073" i="23"/>
  <c r="O2073" i="23"/>
  <c r="A2073" i="23"/>
  <c r="M2073" i="23"/>
  <c r="L2073" i="23"/>
  <c r="N2066" i="23"/>
  <c r="A2066" i="23"/>
  <c r="G2184" i="23"/>
  <c r="G2102" i="23"/>
  <c r="G2098" i="23"/>
  <c r="G2094" i="23"/>
  <c r="C2089" i="23"/>
  <c r="C2117" i="23" s="1"/>
  <c r="C2124" i="23" s="1"/>
  <c r="C2147" i="23" s="1"/>
  <c r="C2153" i="23" s="1"/>
  <c r="C2171" i="23" s="1"/>
  <c r="G2104" i="23"/>
  <c r="G2101" i="23"/>
  <c r="G2099" i="23"/>
  <c r="G2095" i="23"/>
  <c r="G2091" i="23"/>
  <c r="A2089" i="23"/>
  <c r="A2090" i="23" s="1"/>
  <c r="G2096" i="23"/>
  <c r="G2092" i="23"/>
  <c r="G2105" i="23"/>
  <c r="G2103" i="23"/>
  <c r="G2100" i="23"/>
  <c r="G2097" i="23"/>
  <c r="G2093" i="23"/>
  <c r="G2180" i="23"/>
  <c r="G2179" i="23"/>
  <c r="G2178" i="23"/>
  <c r="G2177" i="23"/>
  <c r="G2173" i="23"/>
  <c r="A2171" i="23"/>
  <c r="A2172" i="23" s="1"/>
  <c r="G2176" i="23"/>
  <c r="G2174" i="23"/>
  <c r="N2067" i="23"/>
  <c r="M2067" i="23"/>
  <c r="M2063" i="23"/>
  <c r="M2066" i="23"/>
  <c r="A2082" i="23"/>
  <c r="O2082" i="23"/>
  <c r="M2082" i="23"/>
  <c r="N2082" i="23"/>
  <c r="L2068" i="23"/>
  <c r="A2075" i="23"/>
  <c r="G2084" i="23"/>
  <c r="G2076" i="23"/>
  <c r="C2075" i="23"/>
  <c r="A2064" i="23"/>
  <c r="N2109" i="23"/>
  <c r="G2115" i="23"/>
  <c r="G2113" i="23"/>
  <c r="G2114" i="23"/>
  <c r="O2109" i="23"/>
  <c r="A2109" i="23"/>
  <c r="A2110" i="23" s="1"/>
  <c r="M2109" i="23"/>
  <c r="G2116" i="23"/>
  <c r="G2112" i="23"/>
  <c r="G2111" i="23"/>
  <c r="L2109" i="23"/>
  <c r="G2122" i="23"/>
  <c r="G2120" i="23"/>
  <c r="O2117" i="23"/>
  <c r="N2117" i="23"/>
  <c r="G2121" i="23"/>
  <c r="M2117" i="23"/>
  <c r="L2117" i="23"/>
  <c r="G2119" i="23"/>
  <c r="A2117" i="23"/>
  <c r="A2118" i="23" s="1"/>
  <c r="O2067" i="23"/>
  <c r="M2064" i="23"/>
  <c r="L2064" i="23"/>
  <c r="L2066" i="23"/>
  <c r="L2074" i="23"/>
  <c r="N2074" i="23"/>
  <c r="A2074" i="23"/>
  <c r="M2074" i="23"/>
  <c r="A2065" i="23"/>
  <c r="O2074" i="23"/>
  <c r="A2061" i="23"/>
  <c r="G2190" i="23"/>
  <c r="N2147" i="23"/>
  <c r="G2152" i="23"/>
  <c r="G2151" i="23"/>
  <c r="G2150" i="23"/>
  <c r="G2149" i="23"/>
  <c r="M2147" i="23"/>
  <c r="A2147" i="23"/>
  <c r="A2148" i="23" s="1"/>
  <c r="L2147" i="23"/>
  <c r="O2147" i="23"/>
  <c r="O2124" i="23"/>
  <c r="G2137" i="23"/>
  <c r="G2132" i="23"/>
  <c r="G2130" i="23"/>
  <c r="N2124" i="23"/>
  <c r="G2143" i="23"/>
  <c r="G2139" i="23"/>
  <c r="G2133" i="23"/>
  <c r="G2135" i="23" s="1"/>
  <c r="G2129" i="23"/>
  <c r="G2128" i="23"/>
  <c r="M2124" i="23"/>
  <c r="A2124" i="23"/>
  <c r="A2125" i="23" s="1"/>
  <c r="G2140" i="23"/>
  <c r="L2124" i="23"/>
  <c r="L2067" i="23"/>
  <c r="L2063" i="23"/>
  <c r="O2063" i="23"/>
  <c r="C2109" i="23" l="1"/>
  <c r="C2060" i="23"/>
  <c r="C2061" i="23" s="1"/>
  <c r="C2059" i="23"/>
  <c r="O2140" i="23"/>
  <c r="N2140" i="23"/>
  <c r="M2140" i="23"/>
  <c r="A2140" i="23"/>
  <c r="L2140" i="23"/>
  <c r="G2131" i="23"/>
  <c r="M2128" i="23"/>
  <c r="L2128" i="23"/>
  <c r="A2128" i="23"/>
  <c r="N2128" i="23"/>
  <c r="O2128" i="23"/>
  <c r="O2143" i="23"/>
  <c r="M2143" i="23"/>
  <c r="A2143" i="23"/>
  <c r="G2144" i="23"/>
  <c r="L2143" i="23"/>
  <c r="N2143" i="23"/>
  <c r="N2132" i="23"/>
  <c r="M2132" i="23"/>
  <c r="A2132" i="23"/>
  <c r="O2132" i="23"/>
  <c r="L2132" i="23"/>
  <c r="M2149" i="23"/>
  <c r="A2149" i="23"/>
  <c r="O2149" i="23"/>
  <c r="N2149" i="23"/>
  <c r="L2149" i="23"/>
  <c r="O2121" i="23"/>
  <c r="A2121" i="23"/>
  <c r="N2121" i="23"/>
  <c r="M2121" i="23"/>
  <c r="N2120" i="23"/>
  <c r="A2120" i="23"/>
  <c r="M2120" i="23"/>
  <c r="O2120" i="23"/>
  <c r="L2120" i="23"/>
  <c r="M2112" i="23"/>
  <c r="O2112" i="23"/>
  <c r="N2112" i="23"/>
  <c r="A2112" i="23"/>
  <c r="L2112" i="23"/>
  <c r="A2176" i="23"/>
  <c r="M2176" i="23"/>
  <c r="O2176" i="23"/>
  <c r="L2176" i="23"/>
  <c r="N2176" i="23"/>
  <c r="L2178" i="23"/>
  <c r="A2178" i="23"/>
  <c r="M2178" i="23"/>
  <c r="O2178" i="23"/>
  <c r="N2178" i="23"/>
  <c r="M2097" i="23"/>
  <c r="A2097" i="23"/>
  <c r="O2097" i="23"/>
  <c r="O2092" i="23"/>
  <c r="M2092" i="23"/>
  <c r="A2092" i="23"/>
  <c r="O2095" i="23"/>
  <c r="M2095" i="23"/>
  <c r="A2095" i="23"/>
  <c r="G2188" i="23"/>
  <c r="G2187" i="23"/>
  <c r="G2186" i="23"/>
  <c r="A2184" i="23"/>
  <c r="A2185" i="23" s="1"/>
  <c r="C2184" i="23"/>
  <c r="C2190" i="23" s="1"/>
  <c r="A2162" i="23"/>
  <c r="N2162" i="23"/>
  <c r="M2162" i="23"/>
  <c r="O2162" i="23"/>
  <c r="L2162" i="23"/>
  <c r="A2167" i="23"/>
  <c r="M2167" i="23"/>
  <c r="L2167" i="23"/>
  <c r="N2167" i="23"/>
  <c r="O2167" i="23"/>
  <c r="A2129" i="23"/>
  <c r="L2129" i="23"/>
  <c r="N2129" i="23"/>
  <c r="G2141" i="23"/>
  <c r="N2137" i="23"/>
  <c r="M2137" i="23"/>
  <c r="A2137" i="23"/>
  <c r="L2137" i="23"/>
  <c r="O2137" i="23"/>
  <c r="M2150" i="23"/>
  <c r="A2150" i="23"/>
  <c r="N2150" i="23"/>
  <c r="L2150" i="23"/>
  <c r="O2150" i="23"/>
  <c r="O2119" i="23"/>
  <c r="N2119" i="23"/>
  <c r="M2119" i="23"/>
  <c r="G2123" i="23"/>
  <c r="A2119" i="23"/>
  <c r="L2119" i="23"/>
  <c r="N2122" i="23"/>
  <c r="A2122" i="23"/>
  <c r="M2122" i="23"/>
  <c r="O2122" i="23"/>
  <c r="N2116" i="23"/>
  <c r="A2116" i="23"/>
  <c r="L2116" i="23"/>
  <c r="M2114" i="23"/>
  <c r="A2114" i="23"/>
  <c r="O2114" i="23"/>
  <c r="N2114" i="23"/>
  <c r="G2077" i="23"/>
  <c r="O2076" i="23"/>
  <c r="A2076" i="23"/>
  <c r="N2076" i="23"/>
  <c r="M2076" i="23"/>
  <c r="G2078" i="23"/>
  <c r="L2076" i="23"/>
  <c r="A2179" i="23"/>
  <c r="M2179" i="23"/>
  <c r="N2179" i="23"/>
  <c r="L2179" i="23"/>
  <c r="O2179" i="23"/>
  <c r="O2100" i="23"/>
  <c r="M2100" i="23"/>
  <c r="A2100" i="23"/>
  <c r="O2096" i="23"/>
  <c r="M2096" i="23"/>
  <c r="A2096" i="23"/>
  <c r="M2099" i="23"/>
  <c r="A2099" i="23"/>
  <c r="O2099" i="23"/>
  <c r="M2094" i="23"/>
  <c r="A2094" i="23"/>
  <c r="O2094" i="23"/>
  <c r="A2157" i="23"/>
  <c r="O2157" i="23"/>
  <c r="M2157" i="23"/>
  <c r="N2157" i="23"/>
  <c r="L2157" i="23"/>
  <c r="A2163" i="23"/>
  <c r="M2163" i="23"/>
  <c r="N2163" i="23"/>
  <c r="O2163" i="23"/>
  <c r="L2163" i="23"/>
  <c r="A2168" i="23"/>
  <c r="M2168" i="23"/>
  <c r="L2168" i="23"/>
  <c r="N2168" i="23"/>
  <c r="O2168" i="23"/>
  <c r="O2133" i="23"/>
  <c r="M2133" i="23"/>
  <c r="A2133" i="23"/>
  <c r="G2134" i="23"/>
  <c r="L2133" i="23"/>
  <c r="N2133" i="23"/>
  <c r="M2151" i="23"/>
  <c r="A2151" i="23"/>
  <c r="N2151" i="23"/>
  <c r="O2151" i="23"/>
  <c r="L2151" i="23"/>
  <c r="G2204" i="23"/>
  <c r="G2203" i="23"/>
  <c r="G2201" i="23"/>
  <c r="G2200" i="23"/>
  <c r="G2199" i="23"/>
  <c r="G2198" i="23"/>
  <c r="G2195" i="23"/>
  <c r="G2194" i="23"/>
  <c r="G2193" i="23"/>
  <c r="G2192" i="23"/>
  <c r="A2190" i="23"/>
  <c r="A2191" i="23" s="1"/>
  <c r="O2113" i="23"/>
  <c r="N2113" i="23"/>
  <c r="A2113" i="23"/>
  <c r="M2113" i="23"/>
  <c r="L2113" i="23"/>
  <c r="G2088" i="23"/>
  <c r="A2084" i="23"/>
  <c r="G2085" i="23"/>
  <c r="C2084" i="23"/>
  <c r="G2183" i="23"/>
  <c r="A2173" i="23"/>
  <c r="N2173" i="23"/>
  <c r="M2173" i="23"/>
  <c r="O2173" i="23"/>
  <c r="L2173" i="23"/>
  <c r="G2181" i="23"/>
  <c r="A2180" i="23"/>
  <c r="O2180" i="23"/>
  <c r="N2180" i="23"/>
  <c r="M2180" i="23"/>
  <c r="L2180" i="23"/>
  <c r="M2103" i="23"/>
  <c r="A2103" i="23"/>
  <c r="O2103" i="23"/>
  <c r="O2101" i="23"/>
  <c r="A2101" i="23"/>
  <c r="M2101" i="23"/>
  <c r="M2098" i="23"/>
  <c r="A2098" i="23"/>
  <c r="O2098" i="23"/>
  <c r="A2159" i="23"/>
  <c r="M2159" i="23"/>
  <c r="N2159" i="23"/>
  <c r="O2159" i="23"/>
  <c r="L2159" i="23"/>
  <c r="G2165" i="23"/>
  <c r="A2164" i="23"/>
  <c r="M2164" i="23"/>
  <c r="N2164" i="23"/>
  <c r="O2164" i="23"/>
  <c r="L2164" i="23"/>
  <c r="A2169" i="23"/>
  <c r="M2169" i="23"/>
  <c r="N2169" i="23"/>
  <c r="O2169" i="23"/>
  <c r="L2169" i="23"/>
  <c r="O2139" i="23"/>
  <c r="M2139" i="23"/>
  <c r="A2139" i="23"/>
  <c r="L2139" i="23"/>
  <c r="N2139" i="23"/>
  <c r="A2130" i="23"/>
  <c r="N2130" i="23"/>
  <c r="L2130" i="23"/>
  <c r="M2135" i="23"/>
  <c r="A2135" i="23"/>
  <c r="O2135" i="23"/>
  <c r="N2135" i="23"/>
  <c r="L2135" i="23"/>
  <c r="M2152" i="23"/>
  <c r="A2152" i="23"/>
  <c r="O2152" i="23"/>
  <c r="N2152" i="23"/>
  <c r="L2152" i="23"/>
  <c r="O2111" i="23"/>
  <c r="N2111" i="23"/>
  <c r="M2111" i="23"/>
  <c r="L2111" i="23"/>
  <c r="A2111" i="23"/>
  <c r="O2115" i="23"/>
  <c r="N2115" i="23"/>
  <c r="A2115" i="23"/>
  <c r="M2115" i="23"/>
  <c r="M2174" i="23"/>
  <c r="L2174" i="23"/>
  <c r="A2174" i="23"/>
  <c r="G2175" i="23"/>
  <c r="N2174" i="23"/>
  <c r="O2174" i="23"/>
  <c r="A2177" i="23"/>
  <c r="M2177" i="23"/>
  <c r="N2177" i="23"/>
  <c r="O2177" i="23"/>
  <c r="L2177" i="23"/>
  <c r="O2093" i="23"/>
  <c r="M2093" i="23"/>
  <c r="A2093" i="23"/>
  <c r="M2105" i="23"/>
  <c r="A2105" i="23"/>
  <c r="O2105" i="23"/>
  <c r="G2108" i="23"/>
  <c r="O2091" i="23"/>
  <c r="M2091" i="23"/>
  <c r="A2091" i="23"/>
  <c r="O2104" i="23"/>
  <c r="M2104" i="23"/>
  <c r="A2104" i="23"/>
  <c r="M2102" i="23"/>
  <c r="A2102" i="23"/>
  <c r="O2102" i="23"/>
  <c r="G2158" i="23"/>
  <c r="G2156" i="23"/>
  <c r="M2155" i="23"/>
  <c r="A2155" i="23"/>
  <c r="O2155" i="23"/>
  <c r="L2155" i="23"/>
  <c r="N2155" i="23"/>
  <c r="A2160" i="23"/>
  <c r="M2160" i="23"/>
  <c r="L2160" i="23"/>
  <c r="N2160" i="23"/>
  <c r="O2160" i="23"/>
  <c r="A2166" i="23"/>
  <c r="N2166" i="23"/>
  <c r="M2166" i="23"/>
  <c r="L2166" i="23"/>
  <c r="O2166" i="23"/>
  <c r="C2063" i="23" l="1"/>
  <c r="C2064" i="23" s="1"/>
  <c r="C2065" i="23" s="1"/>
  <c r="C2066" i="23" s="1"/>
  <c r="C2067" i="23" s="1"/>
  <c r="C2068" i="23" s="1"/>
  <c r="C2062" i="23"/>
  <c r="G2182" i="23"/>
  <c r="A2181" i="23"/>
  <c r="N2181" i="23"/>
  <c r="M2181" i="23"/>
  <c r="O2181" i="23"/>
  <c r="L2181" i="23"/>
  <c r="G2087" i="23"/>
  <c r="N2085" i="23"/>
  <c r="M2085" i="23"/>
  <c r="A2085" i="23"/>
  <c r="G2086" i="23"/>
  <c r="O2085" i="23"/>
  <c r="L2085" i="23"/>
  <c r="G2196" i="23"/>
  <c r="A2194" i="23"/>
  <c r="M2194" i="23"/>
  <c r="L2194" i="23"/>
  <c r="O2194" i="23"/>
  <c r="N2194" i="23"/>
  <c r="A2200" i="23"/>
  <c r="O2200" i="23"/>
  <c r="N2200" i="23"/>
  <c r="M2200" i="23"/>
  <c r="L2200" i="23"/>
  <c r="L2078" i="23"/>
  <c r="A2078" i="23"/>
  <c r="M2078" i="23"/>
  <c r="N2078" i="23"/>
  <c r="O2078" i="23"/>
  <c r="A2186" i="23"/>
  <c r="N2186" i="23"/>
  <c r="M2186" i="23"/>
  <c r="O2186" i="23"/>
  <c r="L2186" i="23"/>
  <c r="O2144" i="23"/>
  <c r="N2144" i="23"/>
  <c r="M2144" i="23"/>
  <c r="A2144" i="23"/>
  <c r="L2144" i="23"/>
  <c r="M2108" i="23"/>
  <c r="L2108" i="23"/>
  <c r="A2108" i="23"/>
  <c r="O2108" i="23"/>
  <c r="M2175" i="23"/>
  <c r="L2175" i="23"/>
  <c r="A2175" i="23"/>
  <c r="N2175" i="23"/>
  <c r="O2175" i="23"/>
  <c r="A2165" i="23"/>
  <c r="M2165" i="23"/>
  <c r="N2165" i="23"/>
  <c r="O2165" i="23"/>
  <c r="L2165" i="23"/>
  <c r="G2197" i="23"/>
  <c r="A2195" i="23"/>
  <c r="O2195" i="23"/>
  <c r="M2195" i="23"/>
  <c r="N2195" i="23"/>
  <c r="L2195" i="23"/>
  <c r="G2202" i="23"/>
  <c r="A2201" i="23"/>
  <c r="N2201" i="23"/>
  <c r="M2201" i="23"/>
  <c r="L2201" i="23"/>
  <c r="O2201" i="23"/>
  <c r="N2077" i="23"/>
  <c r="O2077" i="23"/>
  <c r="A2077" i="23"/>
  <c r="L2077" i="23"/>
  <c r="M2077" i="23"/>
  <c r="L2123" i="23"/>
  <c r="A2123" i="23"/>
  <c r="A2187" i="23"/>
  <c r="M2187" i="23"/>
  <c r="L2187" i="23"/>
  <c r="O2187" i="23"/>
  <c r="N2187" i="23"/>
  <c r="M2131" i="23"/>
  <c r="A2131" i="23"/>
  <c r="O2131" i="23"/>
  <c r="L2131" i="23"/>
  <c r="N2131" i="23"/>
  <c r="L2183" i="23"/>
  <c r="M2183" i="23"/>
  <c r="O2183" i="23"/>
  <c r="A2183" i="23"/>
  <c r="N2183" i="23"/>
  <c r="M2088" i="23"/>
  <c r="A2088" i="23"/>
  <c r="O2088" i="23"/>
  <c r="L2088" i="23"/>
  <c r="N2088" i="23"/>
  <c r="G2207" i="23"/>
  <c r="A2192" i="23"/>
  <c r="O2192" i="23"/>
  <c r="N2192" i="23"/>
  <c r="M2192" i="23"/>
  <c r="L2192" i="23"/>
  <c r="A2198" i="23"/>
  <c r="M2198" i="23"/>
  <c r="N2198" i="23"/>
  <c r="L2198" i="23"/>
  <c r="O2198" i="23"/>
  <c r="A2203" i="23"/>
  <c r="M2203" i="23"/>
  <c r="L2203" i="23"/>
  <c r="N2203" i="23"/>
  <c r="O2203" i="23"/>
  <c r="G2189" i="23"/>
  <c r="A2188" i="23"/>
  <c r="M2188" i="23"/>
  <c r="O2188" i="23"/>
  <c r="L2188" i="23"/>
  <c r="N2188" i="23"/>
  <c r="A2158" i="23"/>
  <c r="N2158" i="23"/>
  <c r="M2158" i="23"/>
  <c r="O2158" i="23"/>
  <c r="L2158" i="23"/>
  <c r="G2161" i="23"/>
  <c r="A2156" i="23"/>
  <c r="M2156" i="23"/>
  <c r="O2156" i="23"/>
  <c r="L2156" i="23"/>
  <c r="N2156" i="23"/>
  <c r="G2208" i="23"/>
  <c r="A2193" i="23"/>
  <c r="N2193" i="23"/>
  <c r="M2193" i="23"/>
  <c r="O2193" i="23"/>
  <c r="L2193" i="23"/>
  <c r="A2199" i="23"/>
  <c r="M2199" i="23"/>
  <c r="L2199" i="23"/>
  <c r="O2199" i="23"/>
  <c r="N2199" i="23"/>
  <c r="M2204" i="23"/>
  <c r="G2205" i="23"/>
  <c r="A2204" i="23"/>
  <c r="L2204" i="23"/>
  <c r="N2204" i="23"/>
  <c r="O2204" i="23"/>
  <c r="O2134" i="23"/>
  <c r="N2134" i="23"/>
  <c r="M2134" i="23"/>
  <c r="A2134" i="23"/>
  <c r="L2134" i="23"/>
  <c r="M2141" i="23"/>
  <c r="A2141" i="23"/>
  <c r="G2142" i="23"/>
  <c r="O2141" i="23"/>
  <c r="N2141" i="23"/>
  <c r="L2141" i="23"/>
  <c r="M2205" i="23" l="1"/>
  <c r="G2206" i="23"/>
  <c r="A2205" i="23"/>
  <c r="L2205" i="23"/>
  <c r="N2205" i="23"/>
  <c r="O2205" i="23"/>
  <c r="A2182" i="23"/>
  <c r="O2182" i="23"/>
  <c r="M2182" i="23"/>
  <c r="L2182" i="23"/>
  <c r="N2182" i="23"/>
  <c r="A2189" i="23"/>
  <c r="O2189" i="23"/>
  <c r="N2189" i="23"/>
  <c r="M2189" i="23"/>
  <c r="L2189" i="23"/>
  <c r="M2208" i="23"/>
  <c r="A2208" i="23"/>
  <c r="L2208" i="23"/>
  <c r="O2208" i="23"/>
  <c r="N2208" i="23"/>
  <c r="A2202" i="23"/>
  <c r="M2202" i="23"/>
  <c r="O2202" i="23"/>
  <c r="N2202" i="23"/>
  <c r="L2202" i="23"/>
  <c r="M2207" i="23"/>
  <c r="A2207" i="23"/>
  <c r="N2207" i="23"/>
  <c r="L2207" i="23"/>
  <c r="O2207" i="23"/>
  <c r="G2170" i="23"/>
  <c r="A2161" i="23"/>
  <c r="M2161" i="23"/>
  <c r="L2161" i="23"/>
  <c r="N2161" i="23"/>
  <c r="O2161" i="23"/>
  <c r="A2197" i="23"/>
  <c r="N2197" i="23"/>
  <c r="M2197" i="23"/>
  <c r="O2197" i="23"/>
  <c r="L2197" i="23"/>
  <c r="M2086" i="23"/>
  <c r="N2086" i="23"/>
  <c r="O2086" i="23"/>
  <c r="A2086" i="23"/>
  <c r="M2087" i="23"/>
  <c r="A2087" i="23"/>
  <c r="O2087" i="23"/>
  <c r="L2087" i="23"/>
  <c r="N2087" i="23"/>
  <c r="N2142" i="23"/>
  <c r="M2142" i="23"/>
  <c r="A2142" i="23"/>
  <c r="L2142" i="23"/>
  <c r="O2142" i="23"/>
  <c r="A2196" i="23"/>
  <c r="O2196" i="23"/>
  <c r="N2196" i="23"/>
  <c r="M2196" i="23"/>
  <c r="L2196" i="23"/>
  <c r="M2206" i="23" l="1"/>
  <c r="A2206" i="23"/>
  <c r="O2206" i="23"/>
  <c r="L2206" i="23"/>
  <c r="N2206" i="23"/>
  <c r="A2170" i="23"/>
  <c r="N2170" i="23"/>
  <c r="M2170" i="23"/>
  <c r="O2170" i="23"/>
  <c r="L2170" i="23"/>
  <c r="E1624" i="1" l="1"/>
  <c r="F1624" i="1"/>
  <c r="P1624" i="1"/>
  <c r="Q1624" i="1"/>
  <c r="G1624" i="1"/>
  <c r="H1624" i="1" l="1"/>
  <c r="S1624" i="1"/>
  <c r="J1624" i="1"/>
  <c r="T1624" i="1"/>
  <c r="U1624" i="1"/>
  <c r="P1406" i="1"/>
  <c r="F1406" i="1"/>
  <c r="E1406" i="1"/>
  <c r="G2123" i="1" l="1"/>
  <c r="E1623" i="1"/>
  <c r="F1623" i="1"/>
  <c r="P1623" i="1"/>
  <c r="E1622" i="1"/>
  <c r="F1622" i="1"/>
  <c r="P1622" i="1"/>
  <c r="Q1622" i="1"/>
  <c r="R1585" i="1"/>
  <c r="P1585" i="1"/>
  <c r="F1585" i="1"/>
  <c r="E1585" i="1"/>
  <c r="R1584" i="1"/>
  <c r="P1584" i="1"/>
  <c r="F1584" i="1"/>
  <c r="E1584" i="1"/>
  <c r="G1585" i="1"/>
  <c r="G1584" i="1"/>
  <c r="G1614" i="1" l="1"/>
  <c r="G1615" i="1"/>
  <c r="G1613" i="1"/>
  <c r="G1612" i="1"/>
  <c r="G1616" i="1"/>
  <c r="J1623" i="1" l="1"/>
  <c r="H1623" i="1"/>
  <c r="S1623" i="1"/>
  <c r="T1623" i="1"/>
  <c r="BJ386" i="2"/>
  <c r="AZ384" i="2"/>
  <c r="AX384" i="2"/>
  <c r="AZ383" i="2"/>
  <c r="AX383" i="2"/>
  <c r="AZ382" i="2"/>
  <c r="AX382" i="2"/>
  <c r="AZ381" i="2"/>
  <c r="AX381" i="2"/>
  <c r="AZ380" i="2"/>
  <c r="AX380" i="2"/>
  <c r="AZ379" i="2"/>
  <c r="AX379" i="2"/>
  <c r="AZ378" i="2"/>
  <c r="AX378" i="2"/>
  <c r="AZ377" i="2"/>
  <c r="AX377" i="2"/>
  <c r="AZ376" i="2"/>
  <c r="AX376" i="2"/>
  <c r="AZ375" i="2"/>
  <c r="AX375" i="2"/>
  <c r="AZ373" i="2"/>
  <c r="AX373" i="2"/>
  <c r="AZ371" i="2"/>
  <c r="AX371" i="2"/>
  <c r="AZ370" i="2"/>
  <c r="AX370" i="2"/>
  <c r="AZ369" i="2"/>
  <c r="AX369" i="2"/>
  <c r="AZ368" i="2"/>
  <c r="AX368" i="2"/>
  <c r="AZ367" i="2"/>
  <c r="AX367" i="2"/>
  <c r="AZ366" i="2"/>
  <c r="AX366" i="2"/>
  <c r="AZ365" i="2"/>
  <c r="AX365" i="2"/>
  <c r="AZ364" i="2"/>
  <c r="AX364" i="2"/>
  <c r="AZ363" i="2"/>
  <c r="AX363" i="2"/>
  <c r="AZ362" i="2"/>
  <c r="AX362" i="2"/>
  <c r="AZ361" i="2"/>
  <c r="AX361" i="2"/>
  <c r="AZ360" i="2"/>
  <c r="AX360" i="2"/>
  <c r="AZ359" i="2"/>
  <c r="AX359" i="2"/>
  <c r="AZ358" i="2"/>
  <c r="AX358" i="2"/>
  <c r="AZ357" i="2"/>
  <c r="AX357" i="2"/>
  <c r="AZ356" i="2"/>
  <c r="AX356" i="2"/>
  <c r="AZ355" i="2"/>
  <c r="AX355" i="2"/>
  <c r="AZ354" i="2"/>
  <c r="AX354" i="2"/>
  <c r="AZ353" i="2"/>
  <c r="AX353" i="2"/>
  <c r="AZ352" i="2"/>
  <c r="AX352" i="2"/>
  <c r="AZ350" i="2"/>
  <c r="AX350" i="2"/>
  <c r="AZ349" i="2"/>
  <c r="AX349" i="2"/>
  <c r="AZ348" i="2"/>
  <c r="AX348" i="2"/>
  <c r="AZ347" i="2"/>
  <c r="AX347" i="2"/>
  <c r="AZ346" i="2"/>
  <c r="AX346" i="2"/>
  <c r="AZ345" i="2"/>
  <c r="AX345" i="2"/>
  <c r="AZ344" i="2"/>
  <c r="AX344" i="2"/>
  <c r="AZ343" i="2"/>
  <c r="AX343" i="2"/>
  <c r="AZ342" i="2"/>
  <c r="AX342" i="2"/>
  <c r="AZ341" i="2"/>
  <c r="AX341" i="2"/>
  <c r="AZ340" i="2"/>
  <c r="AX340" i="2"/>
  <c r="AZ339" i="2"/>
  <c r="AX339" i="2"/>
  <c r="AZ338" i="2"/>
  <c r="AX338" i="2"/>
  <c r="AZ337" i="2"/>
  <c r="AX337" i="2"/>
  <c r="AZ336" i="2"/>
  <c r="AX336" i="2"/>
  <c r="AZ335" i="2"/>
  <c r="AX335" i="2"/>
  <c r="AZ334" i="2"/>
  <c r="AX334" i="2"/>
  <c r="AZ333" i="2"/>
  <c r="AX333" i="2"/>
  <c r="AZ332" i="2"/>
  <c r="AX332" i="2"/>
  <c r="AZ331" i="2"/>
  <c r="AX331" i="2"/>
  <c r="AZ330" i="2"/>
  <c r="AX330" i="2"/>
  <c r="AZ329" i="2"/>
  <c r="AX329" i="2"/>
  <c r="AZ328" i="2"/>
  <c r="AX328" i="2"/>
  <c r="AZ327" i="2"/>
  <c r="AX327" i="2"/>
  <c r="AZ326" i="2"/>
  <c r="AX326" i="2"/>
  <c r="AZ325" i="2"/>
  <c r="AX325" i="2"/>
  <c r="AZ324" i="2"/>
  <c r="AX324" i="2"/>
  <c r="AZ323" i="2"/>
  <c r="AX323" i="2"/>
  <c r="AZ320" i="2"/>
  <c r="AX320" i="2"/>
  <c r="AZ319" i="2"/>
  <c r="AX319" i="2"/>
  <c r="AZ318" i="2"/>
  <c r="AX318" i="2"/>
  <c r="AZ317" i="2"/>
  <c r="AX317" i="2"/>
  <c r="AZ316" i="2"/>
  <c r="AX316" i="2"/>
  <c r="AZ310" i="2"/>
  <c r="AX310" i="2"/>
  <c r="AZ302" i="2"/>
  <c r="AX302" i="2"/>
  <c r="AZ301" i="2"/>
  <c r="AX301" i="2"/>
  <c r="AZ300" i="2"/>
  <c r="AX300" i="2"/>
  <c r="AZ299" i="2"/>
  <c r="AX299" i="2"/>
  <c r="AZ298" i="2"/>
  <c r="AX298" i="2"/>
  <c r="AZ297" i="2"/>
  <c r="AX297" i="2"/>
  <c r="AZ296" i="2"/>
  <c r="AX296" i="2"/>
  <c r="AZ295" i="2"/>
  <c r="AX295" i="2"/>
  <c r="AZ293" i="2"/>
  <c r="AX293" i="2"/>
  <c r="AZ292" i="2"/>
  <c r="AX292" i="2"/>
  <c r="AZ291" i="2"/>
  <c r="AX291" i="2"/>
  <c r="AZ290" i="2"/>
  <c r="AX290" i="2"/>
  <c r="AZ289" i="2"/>
  <c r="AX289" i="2"/>
  <c r="AZ288" i="2"/>
  <c r="AX288" i="2"/>
  <c r="AZ287" i="2"/>
  <c r="AX287" i="2"/>
  <c r="AZ286" i="2"/>
  <c r="AX286" i="2"/>
  <c r="AZ285" i="2"/>
  <c r="AX285" i="2"/>
  <c r="AZ284" i="2"/>
  <c r="AX284" i="2"/>
  <c r="AZ283" i="2"/>
  <c r="AX283" i="2"/>
  <c r="AZ282" i="2"/>
  <c r="AX282" i="2"/>
  <c r="AZ281" i="2"/>
  <c r="AX281" i="2"/>
  <c r="AZ280" i="2"/>
  <c r="AX280" i="2"/>
  <c r="AZ274" i="2"/>
  <c r="AX274" i="2"/>
  <c r="AZ273" i="2"/>
  <c r="AX273" i="2"/>
  <c r="AZ272" i="2"/>
  <c r="AX272" i="2"/>
  <c r="AZ271" i="2"/>
  <c r="AX271" i="2"/>
  <c r="AZ270" i="2"/>
  <c r="AX270" i="2"/>
  <c r="AZ269" i="2"/>
  <c r="AX269" i="2"/>
  <c r="AZ268" i="2"/>
  <c r="AX268" i="2"/>
  <c r="AZ267" i="2"/>
  <c r="AX267" i="2"/>
  <c r="AZ266" i="2"/>
  <c r="AX266" i="2"/>
  <c r="AZ265" i="2"/>
  <c r="AX265" i="2"/>
  <c r="AZ264" i="2"/>
  <c r="AX264" i="2"/>
  <c r="AZ263" i="2"/>
  <c r="AX263" i="2"/>
  <c r="AZ262" i="2"/>
  <c r="AX262" i="2"/>
  <c r="AZ261" i="2"/>
  <c r="AX261" i="2"/>
  <c r="AZ260" i="2"/>
  <c r="AX260" i="2"/>
  <c r="AZ259" i="2"/>
  <c r="AX259" i="2"/>
  <c r="AZ258" i="2"/>
  <c r="AX258" i="2"/>
  <c r="AZ257" i="2"/>
  <c r="AX257" i="2"/>
  <c r="AZ256" i="2"/>
  <c r="AX256" i="2"/>
  <c r="AZ255" i="2"/>
  <c r="AX255" i="2"/>
  <c r="AZ254" i="2"/>
  <c r="AX254" i="2"/>
  <c r="AZ253" i="2"/>
  <c r="AX253" i="2"/>
  <c r="AZ252" i="2"/>
  <c r="AX252" i="2"/>
  <c r="AZ251" i="2"/>
  <c r="AX251" i="2"/>
  <c r="AZ250" i="2"/>
  <c r="AX250" i="2"/>
  <c r="AZ249" i="2"/>
  <c r="AX249" i="2"/>
  <c r="AZ248" i="2"/>
  <c r="AX248" i="2"/>
  <c r="AZ247" i="2"/>
  <c r="AX247" i="2"/>
  <c r="AZ246" i="2"/>
  <c r="AX246" i="2"/>
  <c r="AZ244" i="2"/>
  <c r="AX244" i="2"/>
  <c r="AZ243" i="2"/>
  <c r="AX243" i="2"/>
  <c r="AZ242" i="2"/>
  <c r="AX242" i="2"/>
  <c r="AZ241" i="2"/>
  <c r="AX241" i="2"/>
  <c r="AZ240" i="2"/>
  <c r="AX240" i="2"/>
  <c r="AZ239" i="2"/>
  <c r="AX239" i="2"/>
  <c r="AZ238" i="2"/>
  <c r="AX238" i="2"/>
  <c r="AZ237" i="2"/>
  <c r="AX237" i="2"/>
  <c r="AZ236" i="2"/>
  <c r="AX236" i="2"/>
  <c r="AZ235" i="2"/>
  <c r="AX235" i="2"/>
  <c r="AZ234" i="2"/>
  <c r="AX234" i="2"/>
  <c r="AZ233" i="2"/>
  <c r="AX233" i="2"/>
  <c r="AZ232" i="2"/>
  <c r="AX232" i="2"/>
  <c r="AZ231" i="2"/>
  <c r="AX231" i="2"/>
  <c r="AZ230" i="2"/>
  <c r="AX230" i="2"/>
  <c r="AZ229" i="2"/>
  <c r="AX229" i="2"/>
  <c r="AZ228" i="2"/>
  <c r="AX228" i="2"/>
  <c r="AZ227" i="2"/>
  <c r="AX227" i="2"/>
  <c r="AZ226" i="2"/>
  <c r="AX226" i="2"/>
  <c r="AZ225" i="2"/>
  <c r="AX225" i="2"/>
  <c r="AZ224" i="2"/>
  <c r="AX224" i="2"/>
  <c r="AZ223" i="2"/>
  <c r="AX223" i="2"/>
  <c r="AZ221" i="2"/>
  <c r="AX221" i="2"/>
  <c r="AZ219" i="2"/>
  <c r="AX219" i="2"/>
  <c r="AZ218" i="2"/>
  <c r="AX218" i="2"/>
  <c r="AZ217" i="2"/>
  <c r="AX217" i="2"/>
  <c r="AZ216" i="2"/>
  <c r="AX216" i="2"/>
  <c r="AZ215" i="2"/>
  <c r="AX215" i="2"/>
  <c r="AZ214" i="2"/>
  <c r="AX214" i="2"/>
  <c r="AZ213" i="2"/>
  <c r="AX213" i="2"/>
  <c r="AZ212" i="2"/>
  <c r="AX212" i="2"/>
  <c r="AZ211" i="2"/>
  <c r="AX211" i="2"/>
  <c r="AZ210" i="2"/>
  <c r="AX210" i="2"/>
  <c r="AZ209" i="2"/>
  <c r="AX209" i="2"/>
  <c r="AZ208" i="2"/>
  <c r="AX208" i="2"/>
  <c r="AZ207" i="2"/>
  <c r="AX207" i="2"/>
  <c r="AZ206" i="2"/>
  <c r="AX206" i="2"/>
  <c r="AZ205" i="2"/>
  <c r="AX205" i="2"/>
  <c r="AZ204" i="2"/>
  <c r="AX204" i="2"/>
  <c r="AZ203" i="2"/>
  <c r="AX203" i="2"/>
  <c r="AZ202" i="2"/>
  <c r="AX202" i="2"/>
  <c r="AZ201" i="2"/>
  <c r="AX201" i="2"/>
  <c r="AZ200" i="2"/>
  <c r="AX200" i="2"/>
  <c r="AZ199" i="2"/>
  <c r="AX199" i="2"/>
  <c r="AZ198" i="2"/>
  <c r="AX198" i="2"/>
  <c r="AZ197" i="2"/>
  <c r="AX197" i="2"/>
  <c r="AZ196" i="2"/>
  <c r="AX196" i="2"/>
  <c r="AZ195" i="2"/>
  <c r="AX195" i="2"/>
  <c r="AZ194" i="2"/>
  <c r="AX194" i="2"/>
  <c r="AZ193" i="2"/>
  <c r="AX193" i="2"/>
  <c r="AZ192" i="2"/>
  <c r="AX192" i="2"/>
  <c r="AZ191" i="2"/>
  <c r="AX191" i="2"/>
  <c r="AZ190" i="2"/>
  <c r="AX190" i="2"/>
  <c r="AZ189" i="2"/>
  <c r="AX189" i="2"/>
  <c r="AZ188" i="2"/>
  <c r="AX188" i="2"/>
  <c r="AZ187" i="2"/>
  <c r="AX187" i="2"/>
  <c r="AZ186" i="2"/>
  <c r="AX186" i="2"/>
  <c r="AZ185" i="2"/>
  <c r="AX185" i="2"/>
  <c r="AZ184" i="2"/>
  <c r="AX184" i="2"/>
  <c r="AZ183" i="2"/>
  <c r="AX183" i="2"/>
  <c r="AZ182" i="2"/>
  <c r="AX182" i="2"/>
  <c r="AZ181" i="2"/>
  <c r="AX181" i="2"/>
  <c r="AZ180" i="2"/>
  <c r="AX180" i="2"/>
  <c r="AZ179" i="2"/>
  <c r="AX179" i="2"/>
  <c r="AZ178" i="2"/>
  <c r="AX178" i="2"/>
  <c r="AZ177" i="2"/>
  <c r="AX177" i="2"/>
  <c r="AZ176" i="2"/>
  <c r="AX176" i="2"/>
  <c r="AZ175" i="2"/>
  <c r="AX175" i="2"/>
  <c r="AZ174" i="2"/>
  <c r="AX174" i="2"/>
  <c r="AZ173" i="2"/>
  <c r="AX173" i="2"/>
  <c r="AZ170" i="2"/>
  <c r="AX170" i="2"/>
  <c r="AZ169" i="2"/>
  <c r="AX169" i="2"/>
  <c r="AZ168" i="2"/>
  <c r="AX168" i="2"/>
  <c r="AZ167" i="2"/>
  <c r="AX167" i="2"/>
  <c r="AZ166" i="2"/>
  <c r="AX166" i="2"/>
  <c r="AZ165" i="2"/>
  <c r="AX165" i="2"/>
  <c r="AZ164" i="2"/>
  <c r="AX164" i="2"/>
  <c r="AZ163" i="2"/>
  <c r="AX163" i="2"/>
  <c r="AZ162" i="2"/>
  <c r="AX162" i="2"/>
  <c r="AZ161" i="2"/>
  <c r="AX161" i="2"/>
  <c r="AZ160" i="2"/>
  <c r="AX160" i="2"/>
  <c r="AZ159" i="2"/>
  <c r="AX159" i="2"/>
  <c r="AZ158" i="2"/>
  <c r="AX158" i="2"/>
  <c r="AZ157" i="2"/>
  <c r="AX157" i="2"/>
  <c r="AZ156" i="2"/>
  <c r="AX156" i="2"/>
  <c r="AZ155" i="2"/>
  <c r="AX155" i="2"/>
  <c r="AZ154" i="2"/>
  <c r="AX154" i="2"/>
  <c r="AZ153" i="2"/>
  <c r="AX153" i="2"/>
  <c r="AZ152" i="2"/>
  <c r="AX152" i="2"/>
  <c r="AZ151" i="2"/>
  <c r="AX151" i="2"/>
  <c r="AZ150" i="2"/>
  <c r="AX150" i="2"/>
  <c r="AZ149" i="2"/>
  <c r="AX149" i="2"/>
  <c r="AZ148" i="2"/>
  <c r="AX148" i="2"/>
  <c r="AZ147" i="2"/>
  <c r="AX147" i="2"/>
  <c r="AZ146" i="2"/>
  <c r="AX146" i="2"/>
  <c r="AZ145" i="2"/>
  <c r="AX145" i="2"/>
  <c r="AZ143" i="2"/>
  <c r="AX143" i="2"/>
  <c r="AZ141" i="2"/>
  <c r="AX141" i="2"/>
  <c r="AZ140" i="2"/>
  <c r="AX140" i="2"/>
  <c r="AZ139" i="2"/>
  <c r="AX139" i="2"/>
  <c r="AZ138" i="2"/>
  <c r="AX138" i="2"/>
  <c r="AZ137" i="2"/>
  <c r="AX137" i="2"/>
  <c r="AZ136" i="2"/>
  <c r="AX136" i="2"/>
  <c r="AZ135" i="2"/>
  <c r="AX135" i="2"/>
  <c r="AZ134" i="2"/>
  <c r="AX134" i="2"/>
  <c r="AZ133" i="2"/>
  <c r="AX133" i="2"/>
  <c r="AZ131" i="2"/>
  <c r="AX131" i="2"/>
  <c r="AZ130" i="2"/>
  <c r="AX130" i="2"/>
  <c r="AZ129" i="2"/>
  <c r="AX129" i="2"/>
  <c r="AZ128" i="2"/>
  <c r="AX128" i="2"/>
  <c r="AZ127" i="2"/>
  <c r="AX127" i="2"/>
  <c r="AZ126" i="2"/>
  <c r="AX126" i="2"/>
  <c r="AZ125" i="2"/>
  <c r="AX125" i="2"/>
  <c r="AZ124" i="2"/>
  <c r="AX124" i="2"/>
  <c r="AZ123" i="2"/>
  <c r="AX123" i="2"/>
  <c r="AZ122" i="2"/>
  <c r="AX122" i="2"/>
  <c r="AZ121" i="2"/>
  <c r="AX121" i="2"/>
  <c r="AZ120" i="2"/>
  <c r="AX120" i="2"/>
  <c r="AZ119" i="2"/>
  <c r="AX119" i="2"/>
  <c r="AZ118" i="2"/>
  <c r="AX118" i="2"/>
  <c r="AZ117" i="2"/>
  <c r="AX117" i="2"/>
  <c r="AZ116" i="2"/>
  <c r="AX116" i="2"/>
  <c r="AZ115" i="2"/>
  <c r="AX115" i="2"/>
  <c r="AZ114" i="2"/>
  <c r="AX114" i="2"/>
  <c r="AZ113" i="2"/>
  <c r="AX113" i="2"/>
  <c r="AZ112" i="2"/>
  <c r="AX112" i="2"/>
  <c r="AZ111" i="2"/>
  <c r="AX111" i="2"/>
  <c r="AZ110" i="2"/>
  <c r="AX110" i="2"/>
  <c r="AZ109" i="2"/>
  <c r="AX109" i="2"/>
  <c r="AZ108" i="2"/>
  <c r="AX108" i="2"/>
  <c r="AZ107" i="2"/>
  <c r="AX107" i="2"/>
  <c r="AZ106" i="2"/>
  <c r="AX106" i="2"/>
  <c r="AZ105" i="2"/>
  <c r="AX105" i="2"/>
  <c r="AZ104" i="2"/>
  <c r="AX104" i="2"/>
  <c r="AZ103" i="2"/>
  <c r="AX103" i="2"/>
  <c r="AZ102" i="2"/>
  <c r="AX102" i="2"/>
  <c r="AZ101" i="2"/>
  <c r="AX101" i="2"/>
  <c r="AZ100" i="2"/>
  <c r="AX100" i="2"/>
  <c r="AZ99" i="2"/>
  <c r="AX99" i="2"/>
  <c r="AZ98" i="2"/>
  <c r="AX98" i="2"/>
  <c r="AZ97" i="2"/>
  <c r="AX97" i="2"/>
  <c r="AZ96" i="2"/>
  <c r="AX96" i="2"/>
  <c r="AZ94" i="2"/>
  <c r="AX94" i="2"/>
  <c r="AZ91" i="2"/>
  <c r="AX91" i="2"/>
  <c r="AZ89" i="2"/>
  <c r="AX89" i="2"/>
  <c r="AZ88" i="2"/>
  <c r="AX88" i="2"/>
  <c r="AZ87" i="2"/>
  <c r="AX87" i="2"/>
  <c r="AZ86" i="2"/>
  <c r="AX86" i="2"/>
  <c r="AZ85" i="2"/>
  <c r="AX85" i="2"/>
  <c r="AZ84" i="2"/>
  <c r="AX84" i="2"/>
  <c r="AZ83" i="2"/>
  <c r="AX83" i="2"/>
  <c r="AZ82" i="2"/>
  <c r="AX82" i="2"/>
  <c r="AZ81" i="2"/>
  <c r="AX81" i="2"/>
  <c r="AZ80" i="2"/>
  <c r="AX80" i="2"/>
  <c r="AZ79" i="2"/>
  <c r="AX79" i="2"/>
  <c r="AZ78" i="2"/>
  <c r="AX78" i="2"/>
  <c r="AZ76" i="2"/>
  <c r="AX76" i="2"/>
  <c r="AZ75" i="2"/>
  <c r="AX75" i="2"/>
  <c r="AZ74" i="2"/>
  <c r="AX74" i="2"/>
  <c r="AZ73" i="2"/>
  <c r="AX73" i="2"/>
  <c r="AZ72" i="2"/>
  <c r="AX72" i="2"/>
  <c r="AZ71" i="2"/>
  <c r="AX71" i="2"/>
  <c r="AZ70" i="2"/>
  <c r="AX70" i="2"/>
  <c r="AZ69" i="2"/>
  <c r="AX69" i="2"/>
  <c r="AZ68" i="2"/>
  <c r="AX68" i="2"/>
  <c r="AZ67" i="2"/>
  <c r="AX67" i="2"/>
  <c r="AZ66" i="2"/>
  <c r="AX66" i="2"/>
  <c r="AZ65" i="2"/>
  <c r="AX65" i="2"/>
  <c r="AZ64" i="2"/>
  <c r="AX64" i="2"/>
  <c r="AZ61" i="2"/>
  <c r="AX61" i="2"/>
  <c r="AZ60" i="2"/>
  <c r="AX60" i="2"/>
  <c r="AZ59" i="2"/>
  <c r="AX59" i="2"/>
  <c r="AZ58" i="2"/>
  <c r="AX58" i="2"/>
  <c r="AZ57" i="2"/>
  <c r="AX57" i="2"/>
  <c r="AZ56" i="2"/>
  <c r="AX56" i="2"/>
  <c r="AZ55" i="2"/>
  <c r="AX55" i="2"/>
  <c r="AZ54" i="2"/>
  <c r="AX54" i="2"/>
  <c r="AZ53" i="2"/>
  <c r="AX53" i="2"/>
  <c r="AZ52" i="2"/>
  <c r="AX52" i="2"/>
  <c r="AZ50" i="2"/>
  <c r="AX50" i="2"/>
  <c r="AZ49" i="2"/>
  <c r="AX49" i="2"/>
  <c r="AZ48" i="2"/>
  <c r="AX48" i="2"/>
  <c r="AZ47" i="2"/>
  <c r="AX47" i="2"/>
  <c r="AZ46" i="2"/>
  <c r="AX46" i="2"/>
  <c r="AZ44" i="2"/>
  <c r="AX44" i="2"/>
  <c r="AZ43" i="2"/>
  <c r="AX43" i="2"/>
  <c r="AZ42" i="2"/>
  <c r="AX42" i="2"/>
  <c r="AZ41" i="2"/>
  <c r="AX41" i="2"/>
  <c r="AZ40" i="2"/>
  <c r="AX40" i="2"/>
  <c r="AZ39" i="2"/>
  <c r="AX39" i="2"/>
  <c r="AZ38" i="2"/>
  <c r="AX38" i="2"/>
  <c r="AZ37" i="2"/>
  <c r="AX37" i="2"/>
  <c r="AZ36" i="2"/>
  <c r="AX36" i="2"/>
  <c r="AZ35" i="2"/>
  <c r="AX35" i="2"/>
  <c r="AZ34" i="2"/>
  <c r="AX34" i="2"/>
  <c r="AZ32" i="2"/>
  <c r="AX32" i="2"/>
  <c r="AZ31" i="2"/>
  <c r="AX31" i="2"/>
  <c r="AZ30" i="2"/>
  <c r="AX30" i="2"/>
  <c r="AZ29" i="2"/>
  <c r="AX29" i="2"/>
  <c r="AZ28" i="2"/>
  <c r="AX28" i="2"/>
  <c r="AZ27" i="2"/>
  <c r="AX27" i="2"/>
  <c r="AZ26" i="2"/>
  <c r="AX26" i="2"/>
  <c r="AZ25" i="2"/>
  <c r="AX25" i="2"/>
  <c r="AZ24" i="2"/>
  <c r="AX24" i="2"/>
  <c r="AZ23" i="2"/>
  <c r="AX23" i="2"/>
  <c r="AZ22" i="2"/>
  <c r="AX22" i="2"/>
  <c r="AZ21" i="2"/>
  <c r="AX21" i="2"/>
  <c r="AZ20" i="2"/>
  <c r="AX20" i="2"/>
  <c r="AZ19" i="2"/>
  <c r="AX19" i="2"/>
  <c r="AZ18" i="2"/>
  <c r="AX18" i="2"/>
  <c r="AZ17" i="2"/>
  <c r="AX17" i="2"/>
  <c r="AZ16" i="2"/>
  <c r="AX16" i="2"/>
  <c r="AZ15" i="2"/>
  <c r="AX15" i="2"/>
  <c r="AZ14" i="2"/>
  <c r="AX14" i="2"/>
  <c r="AZ13" i="2"/>
  <c r="AX13" i="2"/>
  <c r="AZ12" i="2"/>
  <c r="AX12" i="2"/>
  <c r="AZ11" i="2"/>
  <c r="AX11" i="2"/>
  <c r="AZ10" i="2"/>
  <c r="AX10" i="2"/>
  <c r="AZ9" i="2"/>
  <c r="AX9" i="2"/>
  <c r="AZ8" i="2"/>
  <c r="AX8" i="2"/>
  <c r="AZ7" i="2"/>
  <c r="AX7" i="2"/>
  <c r="AZ6" i="2"/>
  <c r="AX6" i="2"/>
  <c r="BO13" i="2"/>
  <c r="BP13" i="2"/>
  <c r="AX389" i="2" l="1"/>
  <c r="AZ386" i="2"/>
  <c r="AX386" i="2"/>
  <c r="AX388" i="2"/>
  <c r="AZ388" i="2"/>
  <c r="AZ389" i="2"/>
  <c r="AM144" i="2" l="1"/>
  <c r="AM142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AM172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57" i="2"/>
  <c r="E157" i="2"/>
  <c r="D158" i="2"/>
  <c r="E158" i="2"/>
  <c r="D160" i="2"/>
  <c r="E160" i="2"/>
  <c r="BN386" i="2"/>
  <c r="BM386" i="2"/>
  <c r="BL386" i="2"/>
  <c r="BK386" i="2"/>
  <c r="BI386" i="2"/>
  <c r="BH386" i="2"/>
  <c r="AM171" i="2" l="1"/>
  <c r="AX172" i="2"/>
  <c r="AZ172" i="2"/>
  <c r="AZ144" i="2"/>
  <c r="AX144" i="2"/>
  <c r="AX142" i="2"/>
  <c r="AZ142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114" i="2"/>
  <c r="AX171" i="2" l="1"/>
  <c r="AX387" i="2" s="1"/>
  <c r="AZ171" i="2"/>
  <c r="AZ387" i="2" s="1"/>
  <c r="J1958" i="23"/>
  <c r="K1672" i="23"/>
  <c r="H1672" i="23"/>
  <c r="F1672" i="23"/>
  <c r="E1672" i="23"/>
  <c r="D1672" i="23"/>
  <c r="J1710" i="23"/>
  <c r="D1893" i="23"/>
  <c r="E1893" i="23"/>
  <c r="F1893" i="23"/>
  <c r="H1893" i="23"/>
  <c r="J1893" i="23"/>
  <c r="K1893" i="23"/>
  <c r="K2049" i="23"/>
  <c r="J2049" i="23"/>
  <c r="H2049" i="23"/>
  <c r="F2049" i="23"/>
  <c r="E2049" i="23"/>
  <c r="D2049" i="23"/>
  <c r="K2050" i="23"/>
  <c r="J2050" i="23"/>
  <c r="H2050" i="23"/>
  <c r="F2050" i="23"/>
  <c r="E2050" i="23"/>
  <c r="D2050" i="23"/>
  <c r="K2048" i="23"/>
  <c r="J2048" i="23"/>
  <c r="H2048" i="23"/>
  <c r="F2048" i="23"/>
  <c r="E2048" i="23"/>
  <c r="D2048" i="23"/>
  <c r="K2047" i="23"/>
  <c r="J2047" i="23"/>
  <c r="H2047" i="23"/>
  <c r="F2047" i="23"/>
  <c r="E2047" i="23"/>
  <c r="D2047" i="23"/>
  <c r="K2046" i="23"/>
  <c r="J2046" i="23"/>
  <c r="H2046" i="23"/>
  <c r="F2046" i="23"/>
  <c r="E2046" i="23"/>
  <c r="D2046" i="23"/>
  <c r="K2045" i="23"/>
  <c r="J2045" i="23"/>
  <c r="H2045" i="23"/>
  <c r="F2045" i="23"/>
  <c r="E2045" i="23"/>
  <c r="D2045" i="23"/>
  <c r="K2044" i="23"/>
  <c r="J2044" i="23"/>
  <c r="H2044" i="23"/>
  <c r="F2044" i="23"/>
  <c r="E2044" i="23"/>
  <c r="D2044" i="23"/>
  <c r="K2043" i="23"/>
  <c r="J2043" i="23"/>
  <c r="H2043" i="23"/>
  <c r="F2043" i="23"/>
  <c r="E2043" i="23"/>
  <c r="D2043" i="23"/>
  <c r="K2042" i="23"/>
  <c r="J2042" i="23"/>
  <c r="H2042" i="23"/>
  <c r="F2042" i="23"/>
  <c r="E2042" i="23"/>
  <c r="D2042" i="23"/>
  <c r="K2041" i="23"/>
  <c r="J2041" i="23"/>
  <c r="H2041" i="23"/>
  <c r="F2041" i="23"/>
  <c r="E2041" i="23"/>
  <c r="D2041" i="23"/>
  <c r="K2040" i="23"/>
  <c r="J2040" i="23"/>
  <c r="H2040" i="23"/>
  <c r="F2040" i="23"/>
  <c r="E2040" i="23"/>
  <c r="D2040" i="23"/>
  <c r="K2039" i="23"/>
  <c r="J2039" i="23"/>
  <c r="H2039" i="23"/>
  <c r="F2039" i="23"/>
  <c r="E2039" i="23"/>
  <c r="D2039" i="23"/>
  <c r="K2038" i="23"/>
  <c r="J2038" i="23"/>
  <c r="H2038" i="23"/>
  <c r="F2038" i="23"/>
  <c r="E2038" i="23"/>
  <c r="D2038" i="23"/>
  <c r="K2036" i="23"/>
  <c r="J2036" i="23"/>
  <c r="H2036" i="23"/>
  <c r="F2036" i="23"/>
  <c r="E2036" i="23"/>
  <c r="D2036" i="23"/>
  <c r="K2035" i="23"/>
  <c r="J2035" i="23"/>
  <c r="H2035" i="23"/>
  <c r="F2035" i="23"/>
  <c r="E2035" i="23"/>
  <c r="D2035" i="23"/>
  <c r="K2034" i="23"/>
  <c r="J2034" i="23"/>
  <c r="H2034" i="23"/>
  <c r="F2034" i="23"/>
  <c r="E2034" i="23"/>
  <c r="D2034" i="23"/>
  <c r="D1998" i="23"/>
  <c r="E1998" i="23"/>
  <c r="F1998" i="23"/>
  <c r="H1998" i="23"/>
  <c r="J1998" i="23"/>
  <c r="K1998" i="23"/>
  <c r="D1999" i="23"/>
  <c r="E1999" i="23"/>
  <c r="F1999" i="23"/>
  <c r="H1999" i="23"/>
  <c r="J1999" i="23"/>
  <c r="K1999" i="23"/>
  <c r="D2000" i="23"/>
  <c r="E2000" i="23"/>
  <c r="F2000" i="23"/>
  <c r="H2000" i="23"/>
  <c r="J2000" i="23"/>
  <c r="K2000" i="23"/>
  <c r="D2001" i="23"/>
  <c r="E2001" i="23"/>
  <c r="F2001" i="23"/>
  <c r="H2001" i="23"/>
  <c r="J2001" i="23"/>
  <c r="K2001" i="23"/>
  <c r="D2002" i="23"/>
  <c r="E2002" i="23"/>
  <c r="F2002" i="23"/>
  <c r="H2002" i="23"/>
  <c r="J2002" i="23"/>
  <c r="K2002" i="23"/>
  <c r="D2003" i="23"/>
  <c r="E2003" i="23"/>
  <c r="F2003" i="23"/>
  <c r="H2003" i="23"/>
  <c r="J2003" i="23"/>
  <c r="K2003" i="23"/>
  <c r="D2004" i="23"/>
  <c r="E2004" i="23"/>
  <c r="F2004" i="23"/>
  <c r="H2004" i="23"/>
  <c r="J2004" i="23"/>
  <c r="K2004" i="23"/>
  <c r="D2005" i="23"/>
  <c r="E2005" i="23"/>
  <c r="F2005" i="23"/>
  <c r="H2005" i="23"/>
  <c r="J2005" i="23"/>
  <c r="K2005" i="23"/>
  <c r="D2006" i="23"/>
  <c r="E2006" i="23"/>
  <c r="F2006" i="23"/>
  <c r="H2006" i="23"/>
  <c r="J2006" i="23"/>
  <c r="K2006" i="23"/>
  <c r="D2007" i="23"/>
  <c r="E2007" i="23"/>
  <c r="F2007" i="23"/>
  <c r="H2007" i="23"/>
  <c r="J2007" i="23"/>
  <c r="K2007" i="23"/>
  <c r="D2008" i="23"/>
  <c r="E2008" i="23"/>
  <c r="F2008" i="23"/>
  <c r="H2008" i="23"/>
  <c r="J2008" i="23"/>
  <c r="K2008" i="23"/>
  <c r="D2009" i="23"/>
  <c r="E2009" i="23"/>
  <c r="F2009" i="23"/>
  <c r="H2009" i="23"/>
  <c r="J2009" i="23"/>
  <c r="K2009" i="23"/>
  <c r="D2010" i="23"/>
  <c r="E2010" i="23"/>
  <c r="F2010" i="23"/>
  <c r="H2010" i="23"/>
  <c r="J2010" i="23"/>
  <c r="K2010" i="23"/>
  <c r="D2011" i="23"/>
  <c r="E2011" i="23"/>
  <c r="F2011" i="23"/>
  <c r="H2011" i="23"/>
  <c r="J2011" i="23"/>
  <c r="K2011" i="23"/>
  <c r="D2012" i="23"/>
  <c r="E2012" i="23"/>
  <c r="F2012" i="23"/>
  <c r="H2012" i="23"/>
  <c r="J2012" i="23"/>
  <c r="K2012" i="23"/>
  <c r="D1794" i="23"/>
  <c r="E1794" i="23"/>
  <c r="F1794" i="23"/>
  <c r="H1794" i="23"/>
  <c r="J1794" i="23"/>
  <c r="K1794" i="23"/>
  <c r="D1795" i="23"/>
  <c r="E1795" i="23"/>
  <c r="F1795" i="23"/>
  <c r="H1795" i="23"/>
  <c r="J1795" i="23"/>
  <c r="K1795" i="23"/>
  <c r="D1796" i="23"/>
  <c r="E1796" i="23"/>
  <c r="F1796" i="23"/>
  <c r="H1796" i="23"/>
  <c r="J1796" i="23"/>
  <c r="K1796" i="23"/>
  <c r="D1797" i="23"/>
  <c r="E1797" i="23"/>
  <c r="F1797" i="23"/>
  <c r="H1797" i="23"/>
  <c r="J1797" i="23"/>
  <c r="K1797" i="23"/>
  <c r="D1798" i="23"/>
  <c r="E1798" i="23"/>
  <c r="F1798" i="23"/>
  <c r="H1798" i="23"/>
  <c r="J1798" i="23"/>
  <c r="K1798" i="23"/>
  <c r="D1790" i="23"/>
  <c r="E1790" i="23"/>
  <c r="F1790" i="23"/>
  <c r="H1790" i="23"/>
  <c r="J1790" i="23"/>
  <c r="K1790" i="23"/>
  <c r="D1791" i="23"/>
  <c r="E1791" i="23"/>
  <c r="F1791" i="23"/>
  <c r="H1791" i="23"/>
  <c r="J1791" i="23"/>
  <c r="K1791" i="23"/>
  <c r="D1792" i="23"/>
  <c r="E1792" i="23"/>
  <c r="F1792" i="23"/>
  <c r="H1792" i="23"/>
  <c r="J1792" i="23"/>
  <c r="K1792" i="23"/>
  <c r="D1793" i="23"/>
  <c r="E1793" i="23"/>
  <c r="F1793" i="23"/>
  <c r="H1793" i="23"/>
  <c r="J1793" i="23"/>
  <c r="K1793" i="23"/>
  <c r="D1799" i="23"/>
  <c r="E1799" i="23"/>
  <c r="F1799" i="23"/>
  <c r="H1799" i="23"/>
  <c r="J1799" i="23"/>
  <c r="K1799" i="23"/>
  <c r="D1800" i="23"/>
  <c r="E1800" i="23"/>
  <c r="F1800" i="23"/>
  <c r="H1800" i="23"/>
  <c r="J1800" i="23"/>
  <c r="K1800" i="23"/>
  <c r="D1801" i="23"/>
  <c r="E1801" i="23"/>
  <c r="F1801" i="23"/>
  <c r="H1801" i="23"/>
  <c r="J1801" i="23"/>
  <c r="K1801" i="23"/>
  <c r="AZ385" i="2" l="1"/>
  <c r="AX385" i="2"/>
  <c r="E1999" i="1"/>
  <c r="F1999" i="1"/>
  <c r="P1999" i="1"/>
  <c r="Q1999" i="1"/>
  <c r="E2121" i="1"/>
  <c r="F2121" i="1"/>
  <c r="P2121" i="1"/>
  <c r="E2002" i="1"/>
  <c r="F2002" i="1"/>
  <c r="P2002" i="1"/>
  <c r="Q2002" i="1"/>
  <c r="E1927" i="1"/>
  <c r="F1927" i="1"/>
  <c r="Q1927" i="1"/>
  <c r="E1926" i="1"/>
  <c r="F1926" i="1"/>
  <c r="Q1926" i="1"/>
  <c r="G1982" i="1"/>
  <c r="C1982" i="1" s="1"/>
  <c r="G1981" i="1"/>
  <c r="E1985" i="1"/>
  <c r="F1985" i="1"/>
  <c r="P1985" i="1"/>
  <c r="E1986" i="1"/>
  <c r="F1986" i="1"/>
  <c r="P1986" i="1"/>
  <c r="E1987" i="1"/>
  <c r="F1987" i="1"/>
  <c r="P1987" i="1"/>
  <c r="E1982" i="1"/>
  <c r="F1982" i="1"/>
  <c r="P1982" i="1"/>
  <c r="E1983" i="1"/>
  <c r="F1983" i="1"/>
  <c r="P1983" i="1"/>
  <c r="E1984" i="1"/>
  <c r="F1984" i="1"/>
  <c r="P1984" i="1"/>
  <c r="E2132" i="1"/>
  <c r="E2119" i="1"/>
  <c r="F2119" i="1"/>
  <c r="P2119" i="1"/>
  <c r="E2047" i="1"/>
  <c r="F2047" i="1"/>
  <c r="C2049" i="1"/>
  <c r="E2049" i="1"/>
  <c r="F2049" i="1"/>
  <c r="M2049" i="1"/>
  <c r="H2049" i="1"/>
  <c r="T2049" i="1"/>
  <c r="H2350" i="1"/>
  <c r="H2351" i="1"/>
  <c r="H2352" i="1"/>
  <c r="E2114" i="1"/>
  <c r="F2114" i="1"/>
  <c r="P2114" i="1"/>
  <c r="P2105" i="1"/>
  <c r="F2105" i="1"/>
  <c r="E2105" i="1"/>
  <c r="E2104" i="1"/>
  <c r="F2104" i="1"/>
  <c r="P2104" i="1"/>
  <c r="C2177" i="1"/>
  <c r="C2141" i="1"/>
  <c r="C2132" i="1"/>
  <c r="C2094" i="1"/>
  <c r="G2118" i="1" l="1"/>
  <c r="C2118" i="1" s="1"/>
  <c r="H2081" i="23"/>
  <c r="L2081" i="23" s="1"/>
  <c r="H2086" i="23"/>
  <c r="L2086" i="23" s="1"/>
  <c r="G1999" i="1"/>
  <c r="H1999" i="1" s="1"/>
  <c r="G2119" i="1"/>
  <c r="U2119" i="1" s="1"/>
  <c r="G2108" i="1"/>
  <c r="G2107" i="1"/>
  <c r="G1996" i="1"/>
  <c r="G2023" i="1"/>
  <c r="S2023" i="1" s="1"/>
  <c r="G1997" i="1"/>
  <c r="G1992" i="1"/>
  <c r="N1982" i="1"/>
  <c r="G2002" i="1"/>
  <c r="N2002" i="1" s="1"/>
  <c r="T1982" i="1"/>
  <c r="G1926" i="1"/>
  <c r="N1926" i="1" s="1"/>
  <c r="H1982" i="1"/>
  <c r="G1991" i="1"/>
  <c r="G1985" i="1"/>
  <c r="S1985" i="1" s="1"/>
  <c r="S1982" i="1"/>
  <c r="G1986" i="1"/>
  <c r="U1986" i="1" s="1"/>
  <c r="G1995" i="1"/>
  <c r="U1982" i="1"/>
  <c r="G2047" i="1"/>
  <c r="T2047" i="1" s="1"/>
  <c r="U2049" i="1"/>
  <c r="U1999" i="1" l="1"/>
  <c r="N1999" i="1"/>
  <c r="T1999" i="1"/>
  <c r="S1999" i="1"/>
  <c r="H2119" i="1"/>
  <c r="S2119" i="1"/>
  <c r="T2119" i="1"/>
  <c r="M2119" i="1"/>
  <c r="U2023" i="1"/>
  <c r="H2023" i="1"/>
  <c r="T2023" i="1"/>
  <c r="U1926" i="1"/>
  <c r="H1926" i="1"/>
  <c r="S2002" i="1"/>
  <c r="T1926" i="1"/>
  <c r="C1926" i="1"/>
  <c r="U2002" i="1"/>
  <c r="T2002" i="1"/>
  <c r="H2002" i="1"/>
  <c r="H2047" i="1"/>
  <c r="T1985" i="1"/>
  <c r="H1985" i="1"/>
  <c r="U1985" i="1"/>
  <c r="N1985" i="1"/>
  <c r="S1986" i="1"/>
  <c r="N1986" i="1"/>
  <c r="T1986" i="1"/>
  <c r="H1986" i="1"/>
  <c r="M2047" i="1"/>
  <c r="U2047" i="1"/>
  <c r="G2121" i="1" l="1"/>
  <c r="G2124" i="1" l="1"/>
  <c r="T2121" i="1"/>
  <c r="S2121" i="1"/>
  <c r="M2121" i="1"/>
  <c r="U2121" i="1"/>
  <c r="H2121" i="1"/>
  <c r="G2113" i="1"/>
  <c r="G2114" i="1"/>
  <c r="G2103" i="1"/>
  <c r="G2105" i="1"/>
  <c r="G2109" i="1"/>
  <c r="G2110" i="1" s="1"/>
  <c r="E1278" i="1"/>
  <c r="U2124" i="1" l="1"/>
  <c r="H2124" i="1"/>
  <c r="M2124" i="1"/>
  <c r="T2124" i="1"/>
  <c r="S2124" i="1"/>
  <c r="G1989" i="1"/>
  <c r="G1990" i="1" s="1"/>
  <c r="G1983" i="1"/>
  <c r="M2114" i="1"/>
  <c r="H2114" i="1"/>
  <c r="S2114" i="1"/>
  <c r="U2114" i="1"/>
  <c r="T2114" i="1"/>
  <c r="T2105" i="1"/>
  <c r="M2105" i="1"/>
  <c r="U2105" i="1"/>
  <c r="C2105" i="1"/>
  <c r="S2105" i="1"/>
  <c r="H2105" i="1"/>
  <c r="G2106" i="1"/>
  <c r="G2104" i="1"/>
  <c r="G2111" i="1"/>
  <c r="G2112" i="1" s="1"/>
  <c r="G1987" i="1"/>
  <c r="C1897" i="23"/>
  <c r="D1962" i="23"/>
  <c r="E1962" i="23"/>
  <c r="F1962" i="23"/>
  <c r="H1962" i="23"/>
  <c r="D1963" i="23"/>
  <c r="E1963" i="23"/>
  <c r="F1963" i="23"/>
  <c r="D1964" i="23"/>
  <c r="E1964" i="23"/>
  <c r="F1964" i="23"/>
  <c r="D1957" i="23"/>
  <c r="E1957" i="23"/>
  <c r="F1957" i="23"/>
  <c r="D1954" i="23"/>
  <c r="E1954" i="23"/>
  <c r="F1954" i="23"/>
  <c r="H1954" i="23"/>
  <c r="H2102" i="23"/>
  <c r="L2102" i="23" s="1"/>
  <c r="Q2102" i="23" s="1"/>
  <c r="P828" i="1"/>
  <c r="S828" i="1" s="1"/>
  <c r="H2103" i="23"/>
  <c r="L2103" i="23" s="1"/>
  <c r="Q2103" i="23" s="1"/>
  <c r="P835" i="1"/>
  <c r="S835" i="1" s="1"/>
  <c r="H2101" i="23"/>
  <c r="L2101" i="23" s="1"/>
  <c r="Q2101" i="23" s="1"/>
  <c r="P2048" i="1"/>
  <c r="S2048" i="1" s="1"/>
  <c r="H2104" i="23"/>
  <c r="L2104" i="23" s="1"/>
  <c r="Q2104" i="23" s="1"/>
  <c r="H2121" i="23"/>
  <c r="L2121" i="23" s="1"/>
  <c r="H2100" i="23"/>
  <c r="L2100" i="23" s="1"/>
  <c r="Q2100" i="23" s="1"/>
  <c r="H2099" i="23"/>
  <c r="L2099" i="23" s="1"/>
  <c r="Q2099" i="23" s="1"/>
  <c r="H2098" i="23"/>
  <c r="L2098" i="23" s="1"/>
  <c r="Q2098" i="23" s="1"/>
  <c r="H2097" i="23"/>
  <c r="L2097" i="23" s="1"/>
  <c r="Q2097" i="23" s="1"/>
  <c r="H2096" i="23"/>
  <c r="L2096" i="23" s="1"/>
  <c r="Q2096" i="23" s="1"/>
  <c r="H2095" i="23"/>
  <c r="L2095" i="23" s="1"/>
  <c r="Q2095" i="23" s="1"/>
  <c r="H2094" i="23"/>
  <c r="L2094" i="23" s="1"/>
  <c r="Q2094" i="23" s="1"/>
  <c r="H2093" i="23"/>
  <c r="L2093" i="23" s="1"/>
  <c r="Q2093" i="23" s="1"/>
  <c r="H2092" i="23"/>
  <c r="L2092" i="23" s="1"/>
  <c r="Q2092" i="23" s="1"/>
  <c r="H2091" i="23"/>
  <c r="L2091" i="23" s="1"/>
  <c r="Q2091" i="23" s="1"/>
  <c r="E1949" i="23"/>
  <c r="E1948" i="23"/>
  <c r="D1934" i="23"/>
  <c r="E1934" i="23"/>
  <c r="F1934" i="23"/>
  <c r="H1934" i="23"/>
  <c r="K1934" i="23"/>
  <c r="D1935" i="23"/>
  <c r="E1935" i="23"/>
  <c r="F1935" i="23"/>
  <c r="K1935" i="23"/>
  <c r="D1936" i="23"/>
  <c r="E1936" i="23"/>
  <c r="F1936" i="23"/>
  <c r="H1936" i="23"/>
  <c r="K1936" i="23"/>
  <c r="D1937" i="23"/>
  <c r="E1937" i="23"/>
  <c r="F1937" i="23"/>
  <c r="K1937" i="23"/>
  <c r="D1938" i="23"/>
  <c r="E1938" i="23"/>
  <c r="F1938" i="23"/>
  <c r="K1938" i="23"/>
  <c r="D1939" i="23"/>
  <c r="E1939" i="23"/>
  <c r="F1939" i="23"/>
  <c r="H1939" i="23"/>
  <c r="K1939" i="23"/>
  <c r="D1940" i="23"/>
  <c r="E1940" i="23"/>
  <c r="F1940" i="23"/>
  <c r="K1940" i="23"/>
  <c r="D1941" i="23"/>
  <c r="E1941" i="23"/>
  <c r="F1941" i="23"/>
  <c r="K1941" i="23"/>
  <c r="D1942" i="23"/>
  <c r="E1942" i="23"/>
  <c r="F1942" i="23"/>
  <c r="H1942" i="23"/>
  <c r="K1942" i="23"/>
  <c r="D1943" i="23"/>
  <c r="E1943" i="23"/>
  <c r="F1943" i="23"/>
  <c r="K1943" i="23"/>
  <c r="D1944" i="23"/>
  <c r="E1944" i="23"/>
  <c r="F1944" i="23"/>
  <c r="K1944" i="23"/>
  <c r="D1945" i="23"/>
  <c r="E1945" i="23"/>
  <c r="F1945" i="23"/>
  <c r="K1945" i="23"/>
  <c r="D1946" i="23"/>
  <c r="E1946" i="23"/>
  <c r="F1946" i="23"/>
  <c r="H1946" i="23"/>
  <c r="K1946" i="23"/>
  <c r="D1947" i="23"/>
  <c r="E1947" i="23"/>
  <c r="F1947" i="23"/>
  <c r="H1947" i="23"/>
  <c r="K1947" i="23"/>
  <c r="E1933" i="23"/>
  <c r="H1944" i="23" l="1"/>
  <c r="H1937" i="23"/>
  <c r="H953" i="23"/>
  <c r="H518" i="23"/>
  <c r="H1288" i="23"/>
  <c r="H422" i="23"/>
  <c r="H1940" i="23"/>
  <c r="H2107" i="23"/>
  <c r="L2107" i="23" s="1"/>
  <c r="P829" i="1"/>
  <c r="S829" i="1" s="1"/>
  <c r="P834" i="1"/>
  <c r="S834" i="1" s="1"/>
  <c r="S831" i="1" s="1"/>
  <c r="P827" i="1"/>
  <c r="S827" i="1" s="1"/>
  <c r="H2114" i="23"/>
  <c r="L2114" i="23" s="1"/>
  <c r="H2106" i="23"/>
  <c r="L2106" i="23" s="1"/>
  <c r="Q2106" i="23" s="1"/>
  <c r="H1964" i="23"/>
  <c r="H2105" i="23"/>
  <c r="L2105" i="23" s="1"/>
  <c r="Q2105" i="23" s="1"/>
  <c r="H2122" i="23"/>
  <c r="L2122" i="23" s="1"/>
  <c r="H1945" i="23"/>
  <c r="H1941" i="23"/>
  <c r="H1938" i="23"/>
  <c r="H1957" i="23"/>
  <c r="H2115" i="23"/>
  <c r="L2115" i="23" s="1"/>
  <c r="H1943" i="23"/>
  <c r="H1935" i="23"/>
  <c r="H1963" i="23"/>
  <c r="P1926" i="1"/>
  <c r="S1926" i="1" s="1"/>
  <c r="P2047" i="1"/>
  <c r="S2047" i="1" s="1"/>
  <c r="P2049" i="1"/>
  <c r="S2049" i="1" s="1"/>
  <c r="P1927" i="1"/>
  <c r="H1987" i="1"/>
  <c r="T1987" i="1"/>
  <c r="G1988" i="1"/>
  <c r="G1993" i="1" s="1"/>
  <c r="S1987" i="1"/>
  <c r="N1987" i="1"/>
  <c r="U1987" i="1"/>
  <c r="H1983" i="1"/>
  <c r="U1983" i="1"/>
  <c r="C1983" i="1"/>
  <c r="N1983" i="1"/>
  <c r="T1983" i="1"/>
  <c r="S1983" i="1"/>
  <c r="T2104" i="1"/>
  <c r="H2104" i="1"/>
  <c r="M2104" i="1"/>
  <c r="U2104" i="1"/>
  <c r="S2104" i="1"/>
  <c r="G1901" i="23"/>
  <c r="G1995" i="23" s="1"/>
  <c r="K2037" i="23"/>
  <c r="J2037" i="23"/>
  <c r="H2037" i="23"/>
  <c r="F2037" i="23"/>
  <c r="E2037" i="23"/>
  <c r="D2037" i="23"/>
  <c r="K2031" i="23"/>
  <c r="J2031" i="23"/>
  <c r="H2031" i="23"/>
  <c r="F2031" i="23"/>
  <c r="E2031" i="23"/>
  <c r="D2031" i="23"/>
  <c r="K2030" i="23"/>
  <c r="J2030" i="23"/>
  <c r="H2030" i="23"/>
  <c r="F2030" i="23"/>
  <c r="E2030" i="23"/>
  <c r="D2030" i="23"/>
  <c r="K2029" i="23"/>
  <c r="J2029" i="23"/>
  <c r="H2029" i="23"/>
  <c r="F2029" i="23"/>
  <c r="E2029" i="23"/>
  <c r="D2029" i="23"/>
  <c r="K2028" i="23"/>
  <c r="J2028" i="23"/>
  <c r="H2028" i="23"/>
  <c r="F2028" i="23"/>
  <c r="E2028" i="23"/>
  <c r="D2028" i="23"/>
  <c r="J2025" i="23"/>
  <c r="F2025" i="23"/>
  <c r="E2025" i="23"/>
  <c r="D2025" i="23"/>
  <c r="J2024" i="23"/>
  <c r="F2024" i="23"/>
  <c r="E2024" i="23"/>
  <c r="D2024" i="23"/>
  <c r="K2023" i="23"/>
  <c r="J2023" i="23"/>
  <c r="H2023" i="23"/>
  <c r="F2023" i="23"/>
  <c r="E2023" i="23"/>
  <c r="D2023" i="23"/>
  <c r="K2022" i="23"/>
  <c r="J2022" i="23"/>
  <c r="H2022" i="23"/>
  <c r="F2022" i="23"/>
  <c r="E2022" i="23"/>
  <c r="D2022" i="23"/>
  <c r="K2021" i="23"/>
  <c r="J2021" i="23"/>
  <c r="H2021" i="23"/>
  <c r="F2021" i="23"/>
  <c r="E2021" i="23"/>
  <c r="K2020" i="23"/>
  <c r="J2020" i="23"/>
  <c r="H2020" i="23"/>
  <c r="F2020" i="23"/>
  <c r="E2020" i="23"/>
  <c r="D2020" i="23"/>
  <c r="K2019" i="23"/>
  <c r="J2019" i="23"/>
  <c r="H2019" i="23"/>
  <c r="F2019" i="23"/>
  <c r="E2019" i="23"/>
  <c r="D2019" i="23"/>
  <c r="K2018" i="23"/>
  <c r="J2018" i="23"/>
  <c r="H2018" i="23"/>
  <c r="F2018" i="23"/>
  <c r="E2018" i="23"/>
  <c r="D2018" i="23"/>
  <c r="K2017" i="23"/>
  <c r="J2017" i="23"/>
  <c r="H2017" i="23"/>
  <c r="F2017" i="23"/>
  <c r="E2017" i="23"/>
  <c r="D2017" i="23"/>
  <c r="K2016" i="23"/>
  <c r="J2016" i="23"/>
  <c r="H2016" i="23"/>
  <c r="F2016" i="23"/>
  <c r="E2016" i="23"/>
  <c r="D2016" i="23"/>
  <c r="K2015" i="23"/>
  <c r="J2015" i="23"/>
  <c r="H2015" i="23"/>
  <c r="F2015" i="23"/>
  <c r="E2015" i="23"/>
  <c r="D2015" i="23"/>
  <c r="K1997" i="23"/>
  <c r="J1997" i="23"/>
  <c r="H1997" i="23"/>
  <c r="F1997" i="23"/>
  <c r="E1997" i="23"/>
  <c r="D1997" i="23"/>
  <c r="K1994" i="23"/>
  <c r="J1994" i="23"/>
  <c r="H1994" i="23"/>
  <c r="F1994" i="23"/>
  <c r="E1994" i="23"/>
  <c r="D1994" i="23"/>
  <c r="K1993" i="23"/>
  <c r="J1993" i="23"/>
  <c r="H1993" i="23"/>
  <c r="F1993" i="23"/>
  <c r="E1993" i="23"/>
  <c r="D1993" i="23"/>
  <c r="K1992" i="23"/>
  <c r="J1992" i="23"/>
  <c r="H1992" i="23"/>
  <c r="F1992" i="23"/>
  <c r="E1992" i="23"/>
  <c r="D1992" i="23"/>
  <c r="K1991" i="23"/>
  <c r="J1991" i="23"/>
  <c r="H1991" i="23"/>
  <c r="F1991" i="23"/>
  <c r="E1991" i="23"/>
  <c r="D1991" i="23"/>
  <c r="O1990" i="23"/>
  <c r="N1990" i="23"/>
  <c r="M1990" i="23"/>
  <c r="L1990" i="23"/>
  <c r="K1988" i="23"/>
  <c r="J1988" i="23"/>
  <c r="H1988" i="23"/>
  <c r="F1988" i="23"/>
  <c r="E1988" i="23"/>
  <c r="D1988" i="23"/>
  <c r="K1987" i="23"/>
  <c r="J1987" i="23"/>
  <c r="H1987" i="23"/>
  <c r="E1987" i="23"/>
  <c r="D1987" i="23"/>
  <c r="J1986" i="23"/>
  <c r="H1986" i="23"/>
  <c r="F1986" i="23"/>
  <c r="E1986" i="23"/>
  <c r="D1986" i="23"/>
  <c r="J1985" i="23"/>
  <c r="H1985" i="23"/>
  <c r="F1985" i="23"/>
  <c r="E1985" i="23"/>
  <c r="D1985" i="23"/>
  <c r="J1984" i="23"/>
  <c r="H1984" i="23"/>
  <c r="F1984" i="23"/>
  <c r="E1984" i="23"/>
  <c r="D1984" i="23"/>
  <c r="J1983" i="23"/>
  <c r="H1983" i="23"/>
  <c r="F1983" i="23"/>
  <c r="E1983" i="23"/>
  <c r="D1983" i="23"/>
  <c r="J1982" i="23"/>
  <c r="H1982" i="23"/>
  <c r="F1982" i="23"/>
  <c r="E1982" i="23"/>
  <c r="D1982" i="23"/>
  <c r="J1981" i="23"/>
  <c r="H1981" i="23"/>
  <c r="F1981" i="23"/>
  <c r="E1981" i="23"/>
  <c r="D1981" i="23"/>
  <c r="J1979" i="23"/>
  <c r="H1979" i="23"/>
  <c r="F1979" i="23"/>
  <c r="E1979" i="23"/>
  <c r="D1979" i="23"/>
  <c r="J1977" i="23"/>
  <c r="H1977" i="23"/>
  <c r="F1977" i="23"/>
  <c r="E1977" i="23"/>
  <c r="D1977" i="23"/>
  <c r="J1976" i="23"/>
  <c r="H1976" i="23"/>
  <c r="F1976" i="23"/>
  <c r="E1976" i="23"/>
  <c r="D1976" i="23"/>
  <c r="J1975" i="23"/>
  <c r="H1975" i="23"/>
  <c r="F1975" i="23"/>
  <c r="E1975" i="23"/>
  <c r="D1975" i="23"/>
  <c r="J1974" i="23"/>
  <c r="H1974" i="23"/>
  <c r="F1974" i="23"/>
  <c r="E1974" i="23"/>
  <c r="D1974" i="23"/>
  <c r="J1973" i="23"/>
  <c r="H1973" i="23"/>
  <c r="F1973" i="23"/>
  <c r="E1973" i="23"/>
  <c r="D1973" i="23"/>
  <c r="J1972" i="23"/>
  <c r="H1972" i="23"/>
  <c r="F1972" i="23"/>
  <c r="E1972" i="23"/>
  <c r="D1972" i="23"/>
  <c r="J1971" i="23"/>
  <c r="H1971" i="23"/>
  <c r="F1971" i="23"/>
  <c r="E1971" i="23"/>
  <c r="D1971" i="23"/>
  <c r="K1970" i="23"/>
  <c r="J1970" i="23"/>
  <c r="H1970" i="23"/>
  <c r="F1970" i="23"/>
  <c r="E1970" i="23"/>
  <c r="D1970" i="23"/>
  <c r="K1969" i="23"/>
  <c r="J1969" i="23"/>
  <c r="H1969" i="23"/>
  <c r="F1969" i="23"/>
  <c r="E1969" i="23"/>
  <c r="D1969" i="23"/>
  <c r="K1968" i="23"/>
  <c r="J1968" i="23"/>
  <c r="H1968" i="23"/>
  <c r="F1968" i="23"/>
  <c r="E1968" i="23"/>
  <c r="D1968" i="23"/>
  <c r="O1967" i="23"/>
  <c r="N1967" i="23"/>
  <c r="M1967" i="23"/>
  <c r="L1967" i="23"/>
  <c r="H1965" i="23"/>
  <c r="F1965" i="23"/>
  <c r="E1965" i="23"/>
  <c r="D1965" i="23"/>
  <c r="H1961" i="23"/>
  <c r="F1961" i="23"/>
  <c r="E1961" i="23"/>
  <c r="D1961" i="23"/>
  <c r="O1960" i="23"/>
  <c r="N1960" i="23"/>
  <c r="M1960" i="23"/>
  <c r="L1960" i="23"/>
  <c r="H1958" i="23"/>
  <c r="F1958" i="23"/>
  <c r="E1958" i="23"/>
  <c r="D1958" i="23"/>
  <c r="H1956" i="23"/>
  <c r="F1956" i="23"/>
  <c r="E1956" i="23"/>
  <c r="D1956" i="23"/>
  <c r="H1955" i="23"/>
  <c r="F1955" i="23"/>
  <c r="E1955" i="23"/>
  <c r="D1955" i="23"/>
  <c r="H1953" i="23"/>
  <c r="F1953" i="23"/>
  <c r="E1953" i="23"/>
  <c r="D1953" i="23"/>
  <c r="O1952" i="23"/>
  <c r="N1952" i="23"/>
  <c r="M1952" i="23"/>
  <c r="L1952" i="23"/>
  <c r="K1950" i="23"/>
  <c r="H1950" i="23"/>
  <c r="F1950" i="23"/>
  <c r="E1950" i="23"/>
  <c r="D1950" i="23"/>
  <c r="K1949" i="23"/>
  <c r="H1949" i="23"/>
  <c r="F1949" i="23"/>
  <c r="D1949" i="23"/>
  <c r="K1948" i="23"/>
  <c r="H1948" i="23"/>
  <c r="F1948" i="23"/>
  <c r="D1948" i="23"/>
  <c r="K1933" i="23"/>
  <c r="H1933" i="23"/>
  <c r="F1933" i="23"/>
  <c r="D1933" i="23"/>
  <c r="B1930" i="23"/>
  <c r="H1930" i="23" s="1"/>
  <c r="B1929" i="23"/>
  <c r="H1929" i="23" s="1"/>
  <c r="H1928" i="23"/>
  <c r="F1928" i="23"/>
  <c r="E1928" i="23"/>
  <c r="J1927" i="23"/>
  <c r="H1927" i="23"/>
  <c r="F1927" i="23"/>
  <c r="E1927" i="23"/>
  <c r="D1927" i="23"/>
  <c r="B1925" i="23"/>
  <c r="J1925" i="23" s="1"/>
  <c r="B1924" i="23"/>
  <c r="J1924" i="23" s="1"/>
  <c r="H1923" i="23"/>
  <c r="F1923" i="23"/>
  <c r="E1923" i="23"/>
  <c r="J1922" i="23"/>
  <c r="H1922" i="23"/>
  <c r="F1922" i="23"/>
  <c r="E1922" i="23"/>
  <c r="D1922" i="23"/>
  <c r="G1921" i="23"/>
  <c r="K1920" i="23"/>
  <c r="J1920" i="23"/>
  <c r="F1920" i="23"/>
  <c r="E1920" i="23"/>
  <c r="D1920" i="23"/>
  <c r="H1919" i="23"/>
  <c r="F1919" i="23"/>
  <c r="E1919" i="23"/>
  <c r="H1918" i="23"/>
  <c r="F1918" i="23"/>
  <c r="E1918" i="23"/>
  <c r="K1916" i="23"/>
  <c r="J1916" i="23"/>
  <c r="F1916" i="23"/>
  <c r="E1916" i="23"/>
  <c r="D1916" i="23"/>
  <c r="H1915" i="23"/>
  <c r="F1915" i="23"/>
  <c r="E1915" i="23"/>
  <c r="H1914" i="23"/>
  <c r="G1914" i="23"/>
  <c r="F1914" i="23"/>
  <c r="E1914" i="23"/>
  <c r="C1913" i="23"/>
  <c r="A1913" i="23"/>
  <c r="K1910" i="23"/>
  <c r="J1910" i="23"/>
  <c r="I1910" i="23"/>
  <c r="H1910" i="23"/>
  <c r="F1910" i="23"/>
  <c r="E1910" i="23"/>
  <c r="D1910" i="23"/>
  <c r="K1909" i="23"/>
  <c r="J1909" i="23"/>
  <c r="I1909" i="23"/>
  <c r="H1909" i="23"/>
  <c r="F1909" i="23"/>
  <c r="E1909" i="23"/>
  <c r="D1909" i="23"/>
  <c r="K1908" i="23"/>
  <c r="J1908" i="23"/>
  <c r="I1908" i="23"/>
  <c r="H1908" i="23"/>
  <c r="F1908" i="23"/>
  <c r="E1908" i="23"/>
  <c r="D1908" i="23"/>
  <c r="I1907" i="23"/>
  <c r="F1907" i="23"/>
  <c r="E1907" i="23"/>
  <c r="D1907" i="23"/>
  <c r="K1906" i="23"/>
  <c r="J1906" i="23"/>
  <c r="I1906" i="23"/>
  <c r="H1906" i="23"/>
  <c r="F1906" i="23"/>
  <c r="E1906" i="23"/>
  <c r="D1906" i="23"/>
  <c r="K1905" i="23"/>
  <c r="J1905" i="23"/>
  <c r="I1905" i="23"/>
  <c r="H1905" i="23"/>
  <c r="F1905" i="23"/>
  <c r="E1905" i="23"/>
  <c r="D1905" i="23"/>
  <c r="S824" i="1" l="1"/>
  <c r="M1901" i="23"/>
  <c r="N1914" i="23"/>
  <c r="G1922" i="23"/>
  <c r="O1922" i="23" s="1"/>
  <c r="G2010" i="23"/>
  <c r="G2006" i="23"/>
  <c r="G2002" i="23"/>
  <c r="G2009" i="23"/>
  <c r="G2005" i="23"/>
  <c r="G2001" i="23"/>
  <c r="G1997" i="23"/>
  <c r="G2008" i="23"/>
  <c r="G2004" i="23"/>
  <c r="G2011" i="23"/>
  <c r="G1999" i="23"/>
  <c r="A1995" i="23"/>
  <c r="A1996" i="23" s="1"/>
  <c r="G1907" i="23"/>
  <c r="G1910" i="23"/>
  <c r="G1931" i="23"/>
  <c r="G1947" i="23" s="1"/>
  <c r="G1966" i="23"/>
  <c r="G1985" i="23" s="1"/>
  <c r="G1989" i="23"/>
  <c r="G2032" i="23" s="1"/>
  <c r="G2013" i="23"/>
  <c r="G2021" i="23" s="1"/>
  <c r="M2021" i="23" s="1"/>
  <c r="G1903" i="23"/>
  <c r="G1905" i="23"/>
  <c r="M1905" i="23" s="1"/>
  <c r="G1951" i="23"/>
  <c r="M1951" i="23" s="1"/>
  <c r="G1906" i="23"/>
  <c r="G1908" i="23"/>
  <c r="M1908" i="23" s="1"/>
  <c r="G1909" i="23"/>
  <c r="G1917" i="23"/>
  <c r="G1902" i="23"/>
  <c r="A1901" i="23"/>
  <c r="C1901" i="23"/>
  <c r="G1959" i="23"/>
  <c r="G1962" i="23" s="1"/>
  <c r="G1904" i="23"/>
  <c r="F1924" i="23"/>
  <c r="M1914" i="23"/>
  <c r="L1914" i="23"/>
  <c r="A1914" i="23"/>
  <c r="A1921" i="23"/>
  <c r="F1925" i="23"/>
  <c r="G1925" i="23"/>
  <c r="C1921" i="23"/>
  <c r="O1914" i="23"/>
  <c r="G1915" i="23"/>
  <c r="G1916" i="23"/>
  <c r="D1924" i="23"/>
  <c r="H1924" i="23"/>
  <c r="D1925" i="23"/>
  <c r="H1925" i="23"/>
  <c r="E1929" i="23"/>
  <c r="J1929" i="23"/>
  <c r="E1930" i="23"/>
  <c r="J1930" i="23"/>
  <c r="O1948" i="23"/>
  <c r="E1924" i="23"/>
  <c r="E1925" i="23"/>
  <c r="F1929" i="23"/>
  <c r="F1930" i="23"/>
  <c r="D1929" i="23"/>
  <c r="D1930" i="23"/>
  <c r="G501" i="1"/>
  <c r="G500" i="1"/>
  <c r="G499" i="1"/>
  <c r="G468" i="1"/>
  <c r="G467" i="1"/>
  <c r="G466" i="1"/>
  <c r="J1454" i="23"/>
  <c r="J1452" i="23"/>
  <c r="H1454" i="23"/>
  <c r="O1908" i="23" l="1"/>
  <c r="L1989" i="23"/>
  <c r="A1951" i="23"/>
  <c r="A1952" i="23" s="1"/>
  <c r="N1922" i="23"/>
  <c r="A1959" i="23"/>
  <c r="A1960" i="23" s="1"/>
  <c r="O1951" i="23"/>
  <c r="N1951" i="23"/>
  <c r="N1989" i="23"/>
  <c r="G1970" i="23"/>
  <c r="L1970" i="23" s="1"/>
  <c r="G1937" i="23"/>
  <c r="G1979" i="23"/>
  <c r="N1979" i="23" s="1"/>
  <c r="A1922" i="23"/>
  <c r="G1936" i="23"/>
  <c r="O1936" i="23" s="1"/>
  <c r="G1938" i="23"/>
  <c r="L1938" i="23" s="1"/>
  <c r="Q1938" i="23" s="1"/>
  <c r="N1908" i="23"/>
  <c r="G1940" i="23"/>
  <c r="L1940" i="23" s="1"/>
  <c r="Q1940" i="23" s="1"/>
  <c r="G1946" i="23"/>
  <c r="L1946" i="23" s="1"/>
  <c r="Q1946" i="23" s="1"/>
  <c r="A1931" i="23"/>
  <c r="A1932" i="23" s="1"/>
  <c r="L1908" i="23"/>
  <c r="G1941" i="23"/>
  <c r="L2021" i="23"/>
  <c r="G1944" i="23"/>
  <c r="L1944" i="23" s="1"/>
  <c r="Q1944" i="23" s="1"/>
  <c r="G1945" i="23"/>
  <c r="G1935" i="23"/>
  <c r="A1935" i="23" s="1"/>
  <c r="G1933" i="23"/>
  <c r="A1933" i="23" s="1"/>
  <c r="G1934" i="23"/>
  <c r="M1934" i="23" s="1"/>
  <c r="G1939" i="23"/>
  <c r="O2021" i="23"/>
  <c r="A2021" i="23"/>
  <c r="G2016" i="23"/>
  <c r="N2016" i="23" s="1"/>
  <c r="N2021" i="23"/>
  <c r="G2022" i="23"/>
  <c r="L2022" i="23" s="1"/>
  <c r="G2035" i="23"/>
  <c r="G2034" i="23"/>
  <c r="G1923" i="23"/>
  <c r="M1923" i="23" s="1"/>
  <c r="L1922" i="23"/>
  <c r="M1922" i="23"/>
  <c r="A1962" i="23"/>
  <c r="L1962" i="23"/>
  <c r="M1962" i="23"/>
  <c r="O1962" i="23"/>
  <c r="N1962" i="23"/>
  <c r="G1924" i="23"/>
  <c r="N1924" i="23" s="1"/>
  <c r="O1916" i="23"/>
  <c r="G1942" i="23"/>
  <c r="L1942" i="23" s="1"/>
  <c r="Q1942" i="23" s="1"/>
  <c r="A1909" i="23"/>
  <c r="L1966" i="23"/>
  <c r="L1915" i="23"/>
  <c r="O1925" i="23"/>
  <c r="A1908" i="23"/>
  <c r="A1903" i="23"/>
  <c r="G2026" i="23"/>
  <c r="G2030" i="23" s="1"/>
  <c r="O1970" i="23"/>
  <c r="A1902" i="23"/>
  <c r="A1906" i="23"/>
  <c r="G2018" i="23"/>
  <c r="M2018" i="23" s="1"/>
  <c r="A1910" i="23"/>
  <c r="G2007" i="23"/>
  <c r="G2040" i="23"/>
  <c r="L1985" i="23"/>
  <c r="C1931" i="23"/>
  <c r="G1964" i="23"/>
  <c r="N1964" i="23" s="1"/>
  <c r="G1918" i="23"/>
  <c r="L1918" i="23" s="1"/>
  <c r="G1953" i="23"/>
  <c r="A1953" i="23" s="1"/>
  <c r="O1989" i="23"/>
  <c r="A1907" i="23"/>
  <c r="G1943" i="23"/>
  <c r="A1904" i="23"/>
  <c r="A1905" i="23"/>
  <c r="N1906" i="23"/>
  <c r="A2013" i="23"/>
  <c r="A2014" i="23" s="1"/>
  <c r="G2019" i="23"/>
  <c r="G2015" i="23"/>
  <c r="G2020" i="23"/>
  <c r="M2020" i="23" s="1"/>
  <c r="G1982" i="23"/>
  <c r="A1982" i="23" s="1"/>
  <c r="G1971" i="23"/>
  <c r="N1966" i="23"/>
  <c r="O1966" i="23"/>
  <c r="A1966" i="23"/>
  <c r="A1967" i="23" s="1"/>
  <c r="G1975" i="23"/>
  <c r="L1975" i="23" s="1"/>
  <c r="G1972" i="23"/>
  <c r="N1905" i="23"/>
  <c r="M1966" i="23"/>
  <c r="G1981" i="23"/>
  <c r="G1974" i="23"/>
  <c r="L1909" i="23"/>
  <c r="M1909" i="23"/>
  <c r="G1958" i="23"/>
  <c r="G2043" i="23"/>
  <c r="G2036" i="23"/>
  <c r="G2046" i="23"/>
  <c r="G2042" i="23"/>
  <c r="G2045" i="23"/>
  <c r="G2041" i="23"/>
  <c r="G2037" i="23"/>
  <c r="M1906" i="23"/>
  <c r="M1910" i="23"/>
  <c r="L1910" i="23"/>
  <c r="L1906" i="23"/>
  <c r="G1998" i="23"/>
  <c r="G2000" i="23"/>
  <c r="O1910" i="23"/>
  <c r="N1910" i="23"/>
  <c r="M1989" i="23"/>
  <c r="O1909" i="23"/>
  <c r="N1909" i="23"/>
  <c r="A2002" i="23"/>
  <c r="M2002" i="23"/>
  <c r="N2002" i="23"/>
  <c r="O2002" i="23"/>
  <c r="L2002" i="23"/>
  <c r="L1959" i="23"/>
  <c r="N1959" i="23"/>
  <c r="O1905" i="23"/>
  <c r="L1905" i="23"/>
  <c r="A2010" i="23"/>
  <c r="M2010" i="23"/>
  <c r="N2010" i="23"/>
  <c r="O2010" i="23"/>
  <c r="L2010" i="23"/>
  <c r="O2008" i="23"/>
  <c r="L2008" i="23"/>
  <c r="A2008" i="23"/>
  <c r="M2008" i="23"/>
  <c r="N2008" i="23"/>
  <c r="G1991" i="23"/>
  <c r="G1994" i="23"/>
  <c r="G1993" i="23"/>
  <c r="G1992" i="23"/>
  <c r="A2001" i="23"/>
  <c r="M2001" i="23"/>
  <c r="N2001" i="23"/>
  <c r="O2001" i="23"/>
  <c r="L2001" i="23"/>
  <c r="N1999" i="23"/>
  <c r="O1999" i="23"/>
  <c r="L1999" i="23"/>
  <c r="A1999" i="23"/>
  <c r="M1999" i="23"/>
  <c r="A2009" i="23"/>
  <c r="M2009" i="23"/>
  <c r="N2009" i="23"/>
  <c r="O2009" i="23"/>
  <c r="L2009" i="23"/>
  <c r="N2011" i="23"/>
  <c r="O2011" i="23"/>
  <c r="L2011" i="23"/>
  <c r="A2011" i="23"/>
  <c r="M2011" i="23"/>
  <c r="L1951" i="23"/>
  <c r="G1926" i="23"/>
  <c r="C1917" i="23"/>
  <c r="A1989" i="23"/>
  <c r="A1990" i="23" s="1"/>
  <c r="G1956" i="23"/>
  <c r="M1956" i="23" s="1"/>
  <c r="G1955" i="23"/>
  <c r="A1917" i="23"/>
  <c r="M1907" i="23"/>
  <c r="O1906" i="23"/>
  <c r="G1957" i="23"/>
  <c r="G1954" i="23"/>
  <c r="C1902" i="23"/>
  <c r="G1961" i="23"/>
  <c r="M1961" i="23" s="1"/>
  <c r="M1959" i="23"/>
  <c r="O1959" i="23"/>
  <c r="G1963" i="23"/>
  <c r="L1997" i="23"/>
  <c r="L1925" i="23"/>
  <c r="O1997" i="23"/>
  <c r="M1916" i="23"/>
  <c r="A1916" i="23"/>
  <c r="L1916" i="23"/>
  <c r="M1925" i="23"/>
  <c r="A1925" i="23"/>
  <c r="N1925" i="23"/>
  <c r="M1915" i="23"/>
  <c r="O1915" i="23"/>
  <c r="N1915" i="23"/>
  <c r="A1915" i="23"/>
  <c r="N1916" i="23"/>
  <c r="O1985" i="23"/>
  <c r="M1985" i="23"/>
  <c r="A1985" i="23"/>
  <c r="G1986" i="23"/>
  <c r="A2032" i="23"/>
  <c r="A2033" i="23" s="1"/>
  <c r="N1985" i="23"/>
  <c r="M1949" i="23"/>
  <c r="A1949" i="23"/>
  <c r="O1949" i="23"/>
  <c r="L1948" i="23"/>
  <c r="Q1948" i="23" s="1"/>
  <c r="M1948" i="23"/>
  <c r="A1948" i="23"/>
  <c r="L1949" i="23"/>
  <c r="A1997" i="23"/>
  <c r="N1997" i="23"/>
  <c r="M1997" i="23"/>
  <c r="Q310" i="1"/>
  <c r="P307" i="1"/>
  <c r="P306" i="1"/>
  <c r="Q298" i="1"/>
  <c r="P295" i="1"/>
  <c r="P294" i="1"/>
  <c r="Q171" i="1"/>
  <c r="P168" i="1"/>
  <c r="P167" i="1"/>
  <c r="P98" i="1"/>
  <c r="P97" i="1"/>
  <c r="Q91" i="1"/>
  <c r="P88" i="1"/>
  <c r="P87" i="1"/>
  <c r="O1923" i="23" l="1"/>
  <c r="A1970" i="23"/>
  <c r="O1946" i="23"/>
  <c r="M1979" i="23"/>
  <c r="N1970" i="23"/>
  <c r="L1936" i="23"/>
  <c r="Q1936" i="23" s="1"/>
  <c r="M1936" i="23"/>
  <c r="G1973" i="23"/>
  <c r="A1973" i="23" s="1"/>
  <c r="A1946" i="23"/>
  <c r="O1944" i="23"/>
  <c r="M1933" i="23"/>
  <c r="M1970" i="23"/>
  <c r="A1936" i="23"/>
  <c r="M1946" i="23"/>
  <c r="L1933" i="23"/>
  <c r="Q1933" i="23" s="1"/>
  <c r="O1933" i="23"/>
  <c r="L1982" i="23"/>
  <c r="O1953" i="23"/>
  <c r="A1975" i="23"/>
  <c r="A1940" i="23"/>
  <c r="M1938" i="23"/>
  <c r="M2016" i="23"/>
  <c r="L1953" i="23"/>
  <c r="L2018" i="23"/>
  <c r="L1935" i="23"/>
  <c r="Q1935" i="23" s="1"/>
  <c r="M1953" i="23"/>
  <c r="O2016" i="23"/>
  <c r="A1934" i="23"/>
  <c r="M1940" i="23"/>
  <c r="A1938" i="23"/>
  <c r="L1934" i="23"/>
  <c r="Q1934" i="23" s="1"/>
  <c r="M1944" i="23"/>
  <c r="G2017" i="23"/>
  <c r="M2017" i="23" s="1"/>
  <c r="L2016" i="23"/>
  <c r="O1938" i="23"/>
  <c r="O1934" i="23"/>
  <c r="A1944" i="23"/>
  <c r="A2016" i="23"/>
  <c r="M1924" i="23"/>
  <c r="O1924" i="23"/>
  <c r="L1924" i="23"/>
  <c r="A1979" i="23"/>
  <c r="A1923" i="23"/>
  <c r="L1979" i="23"/>
  <c r="A2022" i="23"/>
  <c r="A1924" i="23"/>
  <c r="O1979" i="23"/>
  <c r="N1923" i="23"/>
  <c r="N1982" i="23"/>
  <c r="O1940" i="23"/>
  <c r="N1918" i="23"/>
  <c r="L1923" i="23"/>
  <c r="M1964" i="23"/>
  <c r="M1918" i="23"/>
  <c r="G2023" i="23"/>
  <c r="G2024" i="23" s="1"/>
  <c r="L2020" i="23"/>
  <c r="L1964" i="23"/>
  <c r="N2022" i="23"/>
  <c r="O2022" i="23"/>
  <c r="M1935" i="23"/>
  <c r="A1964" i="23"/>
  <c r="O1935" i="23"/>
  <c r="O1964" i="23"/>
  <c r="M2022" i="23"/>
  <c r="G2029" i="23"/>
  <c r="L2029" i="23" s="1"/>
  <c r="N1953" i="23"/>
  <c r="A2018" i="23"/>
  <c r="O1942" i="23"/>
  <c r="G2028" i="23"/>
  <c r="N2028" i="23" s="1"/>
  <c r="N2018" i="23"/>
  <c r="A2026" i="23"/>
  <c r="A2027" i="23" s="1"/>
  <c r="A1918" i="23"/>
  <c r="G1930" i="23"/>
  <c r="O1930" i="23" s="1"/>
  <c r="M2030" i="23"/>
  <c r="G2039" i="23"/>
  <c r="O2039" i="23" s="1"/>
  <c r="G2047" i="23"/>
  <c r="L1981" i="23"/>
  <c r="G1976" i="23"/>
  <c r="O1976" i="23" s="1"/>
  <c r="N1971" i="23"/>
  <c r="N2019" i="23"/>
  <c r="M1942" i="23"/>
  <c r="M1957" i="23"/>
  <c r="C1959" i="23"/>
  <c r="L1956" i="23"/>
  <c r="O1918" i="23"/>
  <c r="N1992" i="23"/>
  <c r="G1920" i="23"/>
  <c r="N1920" i="23" s="1"/>
  <c r="G2050" i="23"/>
  <c r="G2038" i="23"/>
  <c r="M1982" i="23"/>
  <c r="O2018" i="23"/>
  <c r="O1954" i="23"/>
  <c r="O1955" i="23"/>
  <c r="O1991" i="23"/>
  <c r="G2049" i="23"/>
  <c r="A1942" i="23"/>
  <c r="C1951" i="23"/>
  <c r="G1965" i="23"/>
  <c r="A1965" i="23" s="1"/>
  <c r="M2000" i="23"/>
  <c r="G2044" i="23"/>
  <c r="O2020" i="23"/>
  <c r="G1950" i="23"/>
  <c r="A1963" i="23"/>
  <c r="C1903" i="23"/>
  <c r="M1994" i="23"/>
  <c r="G2003" i="23"/>
  <c r="N2003" i="23" s="1"/>
  <c r="M1974" i="23"/>
  <c r="A1972" i="23"/>
  <c r="O2015" i="23"/>
  <c r="G1919" i="23"/>
  <c r="M2015" i="23"/>
  <c r="N2020" i="23"/>
  <c r="A2020" i="23"/>
  <c r="N1974" i="23"/>
  <c r="M1975" i="23"/>
  <c r="L1971" i="23"/>
  <c r="O1982" i="23"/>
  <c r="N1981" i="23"/>
  <c r="A2000" i="23"/>
  <c r="G1983" i="23"/>
  <c r="L1983" i="23" s="1"/>
  <c r="M2019" i="23"/>
  <c r="A1958" i="23"/>
  <c r="N1958" i="23"/>
  <c r="A1981" i="23"/>
  <c r="A2015" i="23"/>
  <c r="N1972" i="23"/>
  <c r="O1974" i="23"/>
  <c r="L1972" i="23"/>
  <c r="L2015" i="23"/>
  <c r="N1975" i="23"/>
  <c r="G2025" i="23"/>
  <c r="L2025" i="23" s="1"/>
  <c r="A1971" i="23"/>
  <c r="L2030" i="23"/>
  <c r="A2019" i="23"/>
  <c r="M1981" i="23"/>
  <c r="A1974" i="23"/>
  <c r="G1977" i="23"/>
  <c r="O1977" i="23" s="1"/>
  <c r="O1975" i="23"/>
  <c r="O2019" i="23"/>
  <c r="O2030" i="23"/>
  <c r="L1974" i="23"/>
  <c r="O1981" i="23"/>
  <c r="N2015" i="23"/>
  <c r="A2030" i="23"/>
  <c r="L2019" i="23"/>
  <c r="M1991" i="23"/>
  <c r="L2000" i="23"/>
  <c r="N1998" i="23"/>
  <c r="N1991" i="23"/>
  <c r="G1927" i="23"/>
  <c r="N1927" i="23" s="1"/>
  <c r="A1991" i="23"/>
  <c r="O1994" i="23"/>
  <c r="L1994" i="23"/>
  <c r="G2031" i="23"/>
  <c r="L2031" i="23" s="1"/>
  <c r="L1991" i="23"/>
  <c r="L1958" i="23"/>
  <c r="N2030" i="23"/>
  <c r="N2000" i="23"/>
  <c r="O2000" i="23"/>
  <c r="M1954" i="23"/>
  <c r="A1992" i="23"/>
  <c r="L1998" i="23"/>
  <c r="A1998" i="23"/>
  <c r="M2041" i="23"/>
  <c r="A2041" i="23"/>
  <c r="O2041" i="23"/>
  <c r="L2041" i="23"/>
  <c r="N2041" i="23"/>
  <c r="O1956" i="23"/>
  <c r="N1956" i="23"/>
  <c r="A1956" i="23"/>
  <c r="O1998" i="23"/>
  <c r="M1998" i="23"/>
  <c r="N1994" i="23"/>
  <c r="M2046" i="23"/>
  <c r="A2046" i="23"/>
  <c r="O2046" i="23"/>
  <c r="N2046" i="23"/>
  <c r="L2046" i="23"/>
  <c r="M2036" i="23"/>
  <c r="A2036" i="23"/>
  <c r="L2036" i="23"/>
  <c r="N2036" i="23"/>
  <c r="O2036" i="23"/>
  <c r="A1994" i="23"/>
  <c r="M2034" i="23"/>
  <c r="A2034" i="23"/>
  <c r="L2034" i="23"/>
  <c r="N2034" i="23"/>
  <c r="O2034" i="23"/>
  <c r="M2040" i="23"/>
  <c r="A2040" i="23"/>
  <c r="L2040" i="23"/>
  <c r="N2040" i="23"/>
  <c r="O2040" i="23"/>
  <c r="M2043" i="23"/>
  <c r="A2043" i="23"/>
  <c r="O2043" i="23"/>
  <c r="N2043" i="23"/>
  <c r="L2043" i="23"/>
  <c r="M2045" i="23"/>
  <c r="A2045" i="23"/>
  <c r="L2045" i="23"/>
  <c r="N2045" i="23"/>
  <c r="O2045" i="23"/>
  <c r="N1961" i="23"/>
  <c r="M2042" i="23"/>
  <c r="A2042" i="23"/>
  <c r="L2042" i="23"/>
  <c r="N2042" i="23"/>
  <c r="O2042" i="23"/>
  <c r="M2035" i="23"/>
  <c r="A2035" i="23"/>
  <c r="N2035" i="23"/>
  <c r="L2035" i="23"/>
  <c r="O2035" i="23"/>
  <c r="A2005" i="23"/>
  <c r="M2005" i="23"/>
  <c r="N2005" i="23"/>
  <c r="O2005" i="23"/>
  <c r="L2005" i="23"/>
  <c r="O1992" i="23"/>
  <c r="A1954" i="23"/>
  <c r="O2004" i="23"/>
  <c r="L2004" i="23"/>
  <c r="A2004" i="23"/>
  <c r="M2004" i="23"/>
  <c r="N2004" i="23"/>
  <c r="A1993" i="23"/>
  <c r="M1993" i="23"/>
  <c r="L1993" i="23"/>
  <c r="O1993" i="23"/>
  <c r="N1993" i="23"/>
  <c r="A2006" i="23"/>
  <c r="M2006" i="23"/>
  <c r="N2006" i="23"/>
  <c r="O2006" i="23"/>
  <c r="L2006" i="23"/>
  <c r="M1992" i="23"/>
  <c r="N1954" i="23"/>
  <c r="L1992" i="23"/>
  <c r="A1957" i="23"/>
  <c r="A1926" i="23"/>
  <c r="L1954" i="23"/>
  <c r="L1957" i="23"/>
  <c r="O1957" i="23"/>
  <c r="M1955" i="23"/>
  <c r="C1926" i="23"/>
  <c r="N1957" i="23"/>
  <c r="N1955" i="23"/>
  <c r="A1955" i="23"/>
  <c r="L1955" i="23"/>
  <c r="L1961" i="23"/>
  <c r="N1963" i="23"/>
  <c r="O1961" i="23"/>
  <c r="A1961" i="23"/>
  <c r="L1963" i="23"/>
  <c r="M1963" i="23"/>
  <c r="O1963" i="23"/>
  <c r="L1937" i="23"/>
  <c r="Q1937" i="23" s="1"/>
  <c r="A1937" i="23"/>
  <c r="M1937" i="23"/>
  <c r="O1937" i="23"/>
  <c r="A2037" i="23"/>
  <c r="M2037" i="23"/>
  <c r="L2037" i="23"/>
  <c r="N2037" i="23"/>
  <c r="O2037" i="23"/>
  <c r="O1986" i="23"/>
  <c r="N1986" i="23"/>
  <c r="M1986" i="23"/>
  <c r="A1986" i="23"/>
  <c r="L1986" i="23"/>
  <c r="AC23" i="77"/>
  <c r="O1973" i="23" l="1"/>
  <c r="L1973" i="23"/>
  <c r="N1973" i="23"/>
  <c r="M1973" i="23"/>
  <c r="N2017" i="23"/>
  <c r="N1976" i="23"/>
  <c r="O1927" i="23"/>
  <c r="M2023" i="23"/>
  <c r="M2039" i="23"/>
  <c r="L2023" i="23"/>
  <c r="O2023" i="23"/>
  <c r="A2023" i="23"/>
  <c r="O2017" i="23"/>
  <c r="L2028" i="23"/>
  <c r="N2029" i="23"/>
  <c r="L2017" i="23"/>
  <c r="A2017" i="23"/>
  <c r="L1930" i="23"/>
  <c r="M1976" i="23"/>
  <c r="A1976" i="23"/>
  <c r="L1976" i="23"/>
  <c r="N2023" i="23"/>
  <c r="O2029" i="23"/>
  <c r="A2029" i="23"/>
  <c r="M2029" i="23"/>
  <c r="N1977" i="23"/>
  <c r="O2028" i="23"/>
  <c r="L1977" i="23"/>
  <c r="L2003" i="23"/>
  <c r="A2028" i="23"/>
  <c r="M1977" i="23"/>
  <c r="M2028" i="23"/>
  <c r="A1977" i="23"/>
  <c r="A2039" i="23"/>
  <c r="L1920" i="23"/>
  <c r="C1904" i="23"/>
  <c r="N1930" i="23"/>
  <c r="A1930" i="23"/>
  <c r="M2003" i="23"/>
  <c r="L2039" i="23"/>
  <c r="M1919" i="23"/>
  <c r="O1919" i="23"/>
  <c r="N1919" i="23"/>
  <c r="A1919" i="23"/>
  <c r="L1919" i="23"/>
  <c r="C1966" i="23"/>
  <c r="O2025" i="23"/>
  <c r="G2012" i="23"/>
  <c r="A2012" i="23" s="1"/>
  <c r="O1920" i="23"/>
  <c r="O2003" i="23"/>
  <c r="A1920" i="23"/>
  <c r="L1965" i="23"/>
  <c r="M1930" i="23"/>
  <c r="M1920" i="23"/>
  <c r="A2003" i="23"/>
  <c r="N2039" i="23"/>
  <c r="A2031" i="23"/>
  <c r="A1927" i="23"/>
  <c r="M1983" i="23"/>
  <c r="N2025" i="23"/>
  <c r="M2025" i="23"/>
  <c r="N1983" i="23"/>
  <c r="A1983" i="23"/>
  <c r="A2025" i="23"/>
  <c r="M1927" i="23"/>
  <c r="G1929" i="23"/>
  <c r="L1929" i="23" s="1"/>
  <c r="N2031" i="23"/>
  <c r="G1984" i="23"/>
  <c r="L1984" i="23" s="1"/>
  <c r="L1927" i="23"/>
  <c r="M2031" i="23"/>
  <c r="O2031" i="23"/>
  <c r="O1983" i="23"/>
  <c r="G1928" i="23"/>
  <c r="N1928" i="23" s="1"/>
  <c r="M2044" i="23"/>
  <c r="A2044" i="23"/>
  <c r="L2044" i="23"/>
  <c r="N2044" i="23"/>
  <c r="O2044" i="23"/>
  <c r="M2050" i="23"/>
  <c r="A2050" i="23"/>
  <c r="L2050" i="23"/>
  <c r="O2050" i="23"/>
  <c r="N2050" i="23"/>
  <c r="M2038" i="23"/>
  <c r="A2038" i="23"/>
  <c r="N2038" i="23"/>
  <c r="O2038" i="23"/>
  <c r="L2038" i="23"/>
  <c r="G2048" i="23"/>
  <c r="M2047" i="23"/>
  <c r="A2047" i="23"/>
  <c r="O2047" i="23"/>
  <c r="L2047" i="23"/>
  <c r="N2047" i="23"/>
  <c r="N2007" i="23"/>
  <c r="O2007" i="23"/>
  <c r="L2007" i="23"/>
  <c r="A2007" i="23"/>
  <c r="M2007" i="23"/>
  <c r="A1939" i="23"/>
  <c r="M1939" i="23"/>
  <c r="L1939" i="23"/>
  <c r="Q1939" i="23" s="1"/>
  <c r="O1939" i="23"/>
  <c r="A2024" i="23"/>
  <c r="M2024" i="23"/>
  <c r="L2024" i="23"/>
  <c r="O2024" i="23"/>
  <c r="N2024" i="23"/>
  <c r="P2113" i="1"/>
  <c r="F2113" i="1"/>
  <c r="E2113" i="1"/>
  <c r="P1995" i="1"/>
  <c r="F1995" i="1"/>
  <c r="E1995" i="1"/>
  <c r="L1928" i="23" l="1"/>
  <c r="O1928" i="23"/>
  <c r="N1984" i="23"/>
  <c r="A1929" i="23"/>
  <c r="C1989" i="23"/>
  <c r="L2012" i="23"/>
  <c r="M1928" i="23"/>
  <c r="N2012" i="23"/>
  <c r="O2012" i="23"/>
  <c r="M1984" i="23"/>
  <c r="C1905" i="23"/>
  <c r="O1929" i="23"/>
  <c r="A1928" i="23"/>
  <c r="M2012" i="23"/>
  <c r="O1984" i="23"/>
  <c r="A1984" i="23"/>
  <c r="M1929" i="23"/>
  <c r="N1929" i="23"/>
  <c r="M2049" i="23"/>
  <c r="A2049" i="23"/>
  <c r="L2049" i="23"/>
  <c r="N2049" i="23"/>
  <c r="O2049" i="23"/>
  <c r="M2048" i="23"/>
  <c r="A2048" i="23"/>
  <c r="N2048" i="23"/>
  <c r="L2048" i="23"/>
  <c r="O2048" i="23"/>
  <c r="L1941" i="23"/>
  <c r="Q1941" i="23" s="1"/>
  <c r="A1941" i="23"/>
  <c r="M1941" i="23"/>
  <c r="O1941" i="23"/>
  <c r="AM30" i="77"/>
  <c r="AD30" i="77"/>
  <c r="AC30" i="77"/>
  <c r="C1906" i="23" l="1"/>
  <c r="C1995" i="23"/>
  <c r="A1943" i="23"/>
  <c r="M1943" i="23"/>
  <c r="L1943" i="23"/>
  <c r="Q1943" i="23" s="1"/>
  <c r="O1943" i="23"/>
  <c r="P2097" i="1"/>
  <c r="F2097" i="1"/>
  <c r="E2097" i="1"/>
  <c r="C2013" i="23" l="1"/>
  <c r="C1907" i="23"/>
  <c r="L1945" i="23"/>
  <c r="Q1945" i="23" s="1"/>
  <c r="A1945" i="23"/>
  <c r="M1945" i="23"/>
  <c r="O1945" i="23"/>
  <c r="C1908" i="23" l="1"/>
  <c r="C2026" i="23"/>
  <c r="A1950" i="23"/>
  <c r="L1950" i="23"/>
  <c r="O1950" i="23"/>
  <c r="M1950" i="23"/>
  <c r="A1947" i="23"/>
  <c r="M1947" i="23"/>
  <c r="L1947" i="23"/>
  <c r="Q1947" i="23" s="1"/>
  <c r="O1947" i="23"/>
  <c r="P2012" i="1"/>
  <c r="P2014" i="1"/>
  <c r="C2032" i="23" l="1"/>
  <c r="C1909" i="23"/>
  <c r="C1000" i="23"/>
  <c r="L1009" i="23"/>
  <c r="A1009" i="23"/>
  <c r="L1006" i="23"/>
  <c r="C1910" i="23" l="1"/>
  <c r="M1009" i="23"/>
  <c r="G1008" i="23"/>
  <c r="A1006" i="23"/>
  <c r="M1006" i="23"/>
  <c r="G1005" i="23"/>
  <c r="M2376" i="23"/>
  <c r="K2376" i="23"/>
  <c r="O2376" i="23" s="1"/>
  <c r="J2376" i="23"/>
  <c r="N2376" i="23" s="1"/>
  <c r="H2376" i="23"/>
  <c r="L2376" i="23" s="1"/>
  <c r="F2376" i="23"/>
  <c r="E2376" i="23"/>
  <c r="D2376" i="23"/>
  <c r="A2376" i="23"/>
  <c r="M2375" i="23"/>
  <c r="K2375" i="23"/>
  <c r="O2375" i="23" s="1"/>
  <c r="J2375" i="23"/>
  <c r="N2375" i="23" s="1"/>
  <c r="H2375" i="23"/>
  <c r="L2375" i="23" s="1"/>
  <c r="F2375" i="23"/>
  <c r="E2375" i="23"/>
  <c r="D2375" i="23"/>
  <c r="A2375" i="23"/>
  <c r="K1886" i="23"/>
  <c r="J1886" i="23"/>
  <c r="H1886" i="23"/>
  <c r="F1886" i="23"/>
  <c r="E1886" i="23"/>
  <c r="D1886" i="23"/>
  <c r="K1885" i="23"/>
  <c r="J1885" i="23"/>
  <c r="H1885" i="23"/>
  <c r="F1885" i="23"/>
  <c r="E1885" i="23"/>
  <c r="D1885" i="23"/>
  <c r="K1494" i="23"/>
  <c r="J1494" i="23"/>
  <c r="H1494" i="23"/>
  <c r="F1494" i="23"/>
  <c r="E1494" i="23"/>
  <c r="D1494" i="23"/>
  <c r="P2118" i="1" l="1"/>
  <c r="U2118" i="1"/>
  <c r="F2118" i="1"/>
  <c r="E2118" i="1"/>
  <c r="H2118" i="1" l="1"/>
  <c r="T2118" i="1"/>
  <c r="S2118" i="1"/>
  <c r="M2118" i="1"/>
  <c r="H1496" i="23" l="1"/>
  <c r="P1356" i="1"/>
  <c r="P1347" i="1"/>
  <c r="H1407" i="23"/>
  <c r="P1357" i="1"/>
  <c r="P1348" i="1"/>
  <c r="P1339" i="1" l="1"/>
  <c r="G477" i="1" l="1"/>
  <c r="G464" i="1" l="1"/>
  <c r="G476" i="1" s="1"/>
  <c r="E464" i="1"/>
  <c r="D373" i="2"/>
  <c r="E373" i="2"/>
  <c r="G1968" i="23" l="1"/>
  <c r="M1968" i="23" s="1"/>
  <c r="G2126" i="23"/>
  <c r="A1968" i="23" l="1"/>
  <c r="L1968" i="23"/>
  <c r="N1968" i="23"/>
  <c r="G1988" i="23"/>
  <c r="N1988" i="23" s="1"/>
  <c r="O1968" i="23"/>
  <c r="M2126" i="23"/>
  <c r="O2126" i="23"/>
  <c r="A2126" i="23"/>
  <c r="G2146" i="23"/>
  <c r="N2126" i="23"/>
  <c r="L2126" i="23"/>
  <c r="A1988" i="23"/>
  <c r="T1647" i="1"/>
  <c r="P1647" i="1"/>
  <c r="S1647" i="1" s="1"/>
  <c r="F1647" i="1"/>
  <c r="E1647" i="1"/>
  <c r="P1419" i="1"/>
  <c r="F1419" i="1"/>
  <c r="E1419" i="1"/>
  <c r="U1646" i="1"/>
  <c r="T1646" i="1"/>
  <c r="P1646" i="1"/>
  <c r="S1646" i="1" s="1"/>
  <c r="K1646" i="1"/>
  <c r="H1646" i="1"/>
  <c r="F1646" i="1"/>
  <c r="E1646" i="1"/>
  <c r="P1410" i="1"/>
  <c r="F1410" i="1"/>
  <c r="E1410" i="1"/>
  <c r="P1645" i="1"/>
  <c r="S1645" i="1" s="1"/>
  <c r="F1645" i="1"/>
  <c r="E1645" i="1"/>
  <c r="Q508" i="1"/>
  <c r="T508" i="1" s="1"/>
  <c r="Q507" i="1"/>
  <c r="T507" i="1" s="1"/>
  <c r="Q506" i="1"/>
  <c r="T506" i="1" s="1"/>
  <c r="Q505" i="1"/>
  <c r="T505" i="1" s="1"/>
  <c r="Q504" i="1"/>
  <c r="T504" i="1" s="1"/>
  <c r="Q503" i="1"/>
  <c r="T503" i="1" s="1"/>
  <c r="Q502" i="1"/>
  <c r="T502" i="1" s="1"/>
  <c r="Q501" i="1"/>
  <c r="T501" i="1" s="1"/>
  <c r="Q500" i="1"/>
  <c r="Q499" i="1"/>
  <c r="T499" i="1" s="1"/>
  <c r="Q498" i="1"/>
  <c r="Q497" i="1"/>
  <c r="U508" i="1"/>
  <c r="P508" i="1"/>
  <c r="S508" i="1" s="1"/>
  <c r="F508" i="1"/>
  <c r="E508" i="1"/>
  <c r="U507" i="1"/>
  <c r="P507" i="1"/>
  <c r="S507" i="1" s="1"/>
  <c r="F507" i="1"/>
  <c r="E507" i="1"/>
  <c r="U506" i="1"/>
  <c r="P506" i="1"/>
  <c r="S506" i="1" s="1"/>
  <c r="F506" i="1"/>
  <c r="E506" i="1"/>
  <c r="U505" i="1"/>
  <c r="P505" i="1"/>
  <c r="S505" i="1" s="1"/>
  <c r="F505" i="1"/>
  <c r="E505" i="1"/>
  <c r="U504" i="1"/>
  <c r="F504" i="1"/>
  <c r="E504" i="1"/>
  <c r="U503" i="1"/>
  <c r="P503" i="1"/>
  <c r="S503" i="1" s="1"/>
  <c r="F503" i="1"/>
  <c r="E503" i="1"/>
  <c r="U502" i="1"/>
  <c r="P502" i="1"/>
  <c r="S502" i="1" s="1"/>
  <c r="F502" i="1"/>
  <c r="E502" i="1"/>
  <c r="U501" i="1"/>
  <c r="P501" i="1"/>
  <c r="S501" i="1" s="1"/>
  <c r="F501" i="1"/>
  <c r="E501" i="1"/>
  <c r="U500" i="1"/>
  <c r="P500" i="1"/>
  <c r="S500" i="1" s="1"/>
  <c r="F500" i="1"/>
  <c r="E500" i="1"/>
  <c r="U499" i="1"/>
  <c r="P499" i="1"/>
  <c r="S499" i="1" s="1"/>
  <c r="F499" i="1"/>
  <c r="E499" i="1"/>
  <c r="U467" i="1"/>
  <c r="Q473" i="1"/>
  <c r="Q472" i="1"/>
  <c r="Q471" i="1"/>
  <c r="T471" i="1" s="1"/>
  <c r="Q470" i="1"/>
  <c r="T470" i="1" s="1"/>
  <c r="Q469" i="1"/>
  <c r="T469" i="1" s="1"/>
  <c r="Q468" i="1"/>
  <c r="T468" i="1" s="1"/>
  <c r="Q467" i="1"/>
  <c r="Q466" i="1"/>
  <c r="T466" i="1" s="1"/>
  <c r="Q465" i="1"/>
  <c r="Q464" i="1"/>
  <c r="U471" i="1"/>
  <c r="F471" i="1"/>
  <c r="E471" i="1"/>
  <c r="U470" i="1"/>
  <c r="P470" i="1"/>
  <c r="S470" i="1" s="1"/>
  <c r="F470" i="1"/>
  <c r="E470" i="1"/>
  <c r="U469" i="1"/>
  <c r="P469" i="1"/>
  <c r="S469" i="1" s="1"/>
  <c r="F469" i="1"/>
  <c r="E469" i="1"/>
  <c r="U468" i="1"/>
  <c r="P468" i="1"/>
  <c r="S468" i="1" s="1"/>
  <c r="F468" i="1"/>
  <c r="E468" i="1"/>
  <c r="P467" i="1"/>
  <c r="F467" i="1"/>
  <c r="E467" i="1"/>
  <c r="U466" i="1"/>
  <c r="P466" i="1"/>
  <c r="S466" i="1" s="1"/>
  <c r="F466" i="1"/>
  <c r="E466" i="1"/>
  <c r="M2351" i="23"/>
  <c r="E2351" i="23"/>
  <c r="F2351" i="23"/>
  <c r="H2351" i="23"/>
  <c r="J2351" i="23"/>
  <c r="N2351" i="23" s="1"/>
  <c r="K2351" i="23"/>
  <c r="K1075" i="23"/>
  <c r="J1075" i="23"/>
  <c r="H1075" i="23"/>
  <c r="F1075" i="23"/>
  <c r="E1075" i="23"/>
  <c r="O1988" i="23" l="1"/>
  <c r="L1988" i="23"/>
  <c r="M1988" i="23"/>
  <c r="A2146" i="23"/>
  <c r="N2146" i="23"/>
  <c r="L2146" i="23"/>
  <c r="O2146" i="23"/>
  <c r="M2146" i="23"/>
  <c r="L2351" i="23"/>
  <c r="A2351" i="23"/>
  <c r="T500" i="1"/>
  <c r="K1647" i="1"/>
  <c r="U1647" i="1"/>
  <c r="H1647" i="1"/>
  <c r="K1645" i="1"/>
  <c r="U1645" i="1"/>
  <c r="H1645" i="1"/>
  <c r="T1645" i="1"/>
  <c r="S467" i="1"/>
  <c r="T467" i="1"/>
  <c r="O2351" i="23"/>
  <c r="D2310" i="23" l="1"/>
  <c r="E2310" i="23"/>
  <c r="F2310" i="23"/>
  <c r="H2310" i="23"/>
  <c r="J2310" i="23"/>
  <c r="K2310" i="23"/>
  <c r="D2320" i="23"/>
  <c r="E2320" i="23"/>
  <c r="F2320" i="23"/>
  <c r="J2320" i="23"/>
  <c r="D1736" i="23"/>
  <c r="E1736" i="23"/>
  <c r="F1736" i="23"/>
  <c r="J1736" i="23"/>
  <c r="D1728" i="23"/>
  <c r="E1728" i="23"/>
  <c r="F1728" i="23"/>
  <c r="H1728" i="23"/>
  <c r="J1728" i="23"/>
  <c r="K1436" i="23"/>
  <c r="J1436" i="23"/>
  <c r="F1436" i="23"/>
  <c r="E1436" i="23"/>
  <c r="D1436" i="23"/>
  <c r="H2320" i="23"/>
  <c r="D1422" i="23"/>
  <c r="E1422" i="23"/>
  <c r="F1422" i="23"/>
  <c r="H1422" i="23"/>
  <c r="J1422" i="23"/>
  <c r="H1436" i="23" l="1"/>
  <c r="P471" i="1"/>
  <c r="S471" i="1" s="1"/>
  <c r="P504" i="1"/>
  <c r="S504" i="1" s="1"/>
  <c r="H1736" i="23"/>
  <c r="E473" i="1"/>
  <c r="F473" i="1"/>
  <c r="P473" i="1"/>
  <c r="S473" i="1" s="1"/>
  <c r="T473" i="1"/>
  <c r="U473" i="1"/>
  <c r="F1691" i="1" l="1"/>
  <c r="E1691" i="1"/>
  <c r="E1445" i="1"/>
  <c r="F1445" i="1"/>
  <c r="E1486" i="1"/>
  <c r="E1550" i="1"/>
  <c r="F1550" i="1"/>
  <c r="P1550" i="1"/>
  <c r="G1984" i="1" l="1"/>
  <c r="G1994" i="1" s="1"/>
  <c r="G1979" i="1"/>
  <c r="G1980" i="1"/>
  <c r="G1927" i="1"/>
  <c r="N1927" i="1" l="1"/>
  <c r="U1927" i="1"/>
  <c r="T1927" i="1"/>
  <c r="H1927" i="1"/>
  <c r="C1927" i="1"/>
  <c r="S1927" i="1"/>
  <c r="N1984" i="1"/>
  <c r="C1984" i="1"/>
  <c r="H1984" i="1"/>
  <c r="T1984" i="1"/>
  <c r="S1984" i="1"/>
  <c r="U1984" i="1"/>
  <c r="E2120" i="1"/>
  <c r="F2120" i="1"/>
  <c r="P2120" i="1"/>
  <c r="G2120" i="1" l="1"/>
  <c r="U2132" i="1"/>
  <c r="P2132" i="1"/>
  <c r="F2132" i="1"/>
  <c r="G2046" i="1"/>
  <c r="H2132" i="1" l="1"/>
  <c r="T2132" i="1"/>
  <c r="S2132" i="1"/>
  <c r="M2132" i="1"/>
  <c r="E1362" i="1" l="1"/>
  <c r="F1362" i="1"/>
  <c r="U1361" i="1"/>
  <c r="T1361" i="1"/>
  <c r="P1361" i="1"/>
  <c r="S1361" i="1" s="1"/>
  <c r="K1361" i="1"/>
  <c r="F1361" i="1"/>
  <c r="E1361" i="1"/>
  <c r="C1361" i="1"/>
  <c r="U1360" i="1"/>
  <c r="T1360" i="1"/>
  <c r="P1360" i="1"/>
  <c r="S1360" i="1" s="1"/>
  <c r="K1360" i="1"/>
  <c r="F1360" i="1"/>
  <c r="E1360" i="1"/>
  <c r="C1360" i="1"/>
  <c r="U1359" i="1"/>
  <c r="T1359" i="1"/>
  <c r="P1359" i="1"/>
  <c r="S1359" i="1" s="1"/>
  <c r="K1359" i="1"/>
  <c r="F1359" i="1"/>
  <c r="E1359" i="1"/>
  <c r="R1358" i="1"/>
  <c r="P1358" i="1"/>
  <c r="F1358" i="1"/>
  <c r="E1358" i="1"/>
  <c r="F1357" i="1"/>
  <c r="E1357" i="1"/>
  <c r="F1356" i="1"/>
  <c r="E1356" i="1"/>
  <c r="P1355" i="1"/>
  <c r="F1355" i="1"/>
  <c r="E1355" i="1"/>
  <c r="P1354" i="1"/>
  <c r="F1354" i="1"/>
  <c r="E1354" i="1"/>
  <c r="K2370" i="23"/>
  <c r="J2370" i="23"/>
  <c r="H2370" i="23"/>
  <c r="F2370" i="23"/>
  <c r="E2370" i="23"/>
  <c r="D2370" i="23"/>
  <c r="K2368" i="23"/>
  <c r="J2368" i="23"/>
  <c r="H2368" i="23"/>
  <c r="F2368" i="23"/>
  <c r="E2368" i="23"/>
  <c r="D2368" i="23"/>
  <c r="K2373" i="23"/>
  <c r="J2373" i="23"/>
  <c r="H2373" i="23"/>
  <c r="F2373" i="23"/>
  <c r="E2373" i="23"/>
  <c r="D2373" i="23"/>
  <c r="K2366" i="23"/>
  <c r="J2366" i="23"/>
  <c r="H2366" i="23"/>
  <c r="F2366" i="23"/>
  <c r="E2366" i="23"/>
  <c r="D2366" i="23"/>
  <c r="D1882" i="23"/>
  <c r="E1882" i="23"/>
  <c r="F1882" i="23"/>
  <c r="H1882" i="23"/>
  <c r="J1882" i="23"/>
  <c r="K1882" i="23"/>
  <c r="D1880" i="23"/>
  <c r="E1880" i="23"/>
  <c r="F1880" i="23"/>
  <c r="H1880" i="23"/>
  <c r="J1880" i="23"/>
  <c r="K1880" i="23"/>
  <c r="Y17" i="77" l="1"/>
  <c r="U1358" i="1" l="1"/>
  <c r="T1358" i="1" l="1"/>
  <c r="K1358" i="1"/>
  <c r="S1358" i="1"/>
  <c r="D369" i="2" l="1"/>
  <c r="E369" i="2"/>
  <c r="D367" i="2"/>
  <c r="E367" i="2"/>
  <c r="K1423" i="1"/>
  <c r="K1399" i="1"/>
  <c r="K1377" i="1"/>
  <c r="K1376" i="1"/>
  <c r="K1375" i="1"/>
  <c r="K1374" i="1"/>
  <c r="K1372" i="1"/>
  <c r="K1371" i="1"/>
  <c r="K1370" i="1"/>
  <c r="K1369" i="1"/>
  <c r="K1368" i="1"/>
  <c r="K1367" i="1"/>
  <c r="K1366" i="1"/>
  <c r="K1365" i="1"/>
  <c r="K1364" i="1"/>
  <c r="K1363" i="1"/>
  <c r="K1352" i="1"/>
  <c r="K1351" i="1"/>
  <c r="K1350" i="1"/>
  <c r="K1343" i="1"/>
  <c r="K1342" i="1"/>
  <c r="K1341" i="1"/>
  <c r="K1333" i="1"/>
  <c r="K1327" i="1"/>
  <c r="K1326" i="1"/>
  <c r="K1325" i="1"/>
  <c r="K1456" i="1"/>
  <c r="D102" i="2"/>
  <c r="E102" i="2"/>
  <c r="D103" i="2"/>
  <c r="E103" i="2"/>
  <c r="D104" i="2"/>
  <c r="E104" i="2"/>
  <c r="D53" i="2"/>
  <c r="E53" i="2"/>
  <c r="BO53" i="2"/>
  <c r="BP53" i="2"/>
  <c r="D54" i="2"/>
  <c r="E54" i="2"/>
  <c r="BO54" i="2"/>
  <c r="BP54" i="2"/>
  <c r="D36" i="2"/>
  <c r="E36" i="2"/>
  <c r="BO36" i="2"/>
  <c r="BP36" i="2"/>
  <c r="D39" i="2"/>
  <c r="E39" i="2"/>
  <c r="BO39" i="2"/>
  <c r="BP39" i="2"/>
  <c r="D37" i="2"/>
  <c r="E37" i="2"/>
  <c r="BO37" i="2"/>
  <c r="BP37" i="2"/>
  <c r="E323" i="2"/>
  <c r="D323" i="2"/>
  <c r="D2369" i="23"/>
  <c r="E2369" i="23"/>
  <c r="F2369" i="23"/>
  <c r="H2369" i="23"/>
  <c r="J2369" i="23"/>
  <c r="K2369" i="23"/>
  <c r="G1032" i="23"/>
  <c r="M1032" i="23" s="1"/>
  <c r="A998" i="23"/>
  <c r="A1000" i="23" s="1"/>
  <c r="A1001" i="23" s="1"/>
  <c r="A1002" i="23" s="1"/>
  <c r="A1003" i="23" s="1"/>
  <c r="D1059" i="23"/>
  <c r="E1059" i="23"/>
  <c r="F1059" i="23"/>
  <c r="H1059" i="23"/>
  <c r="J1059" i="23"/>
  <c r="K1059" i="23"/>
  <c r="G1061" i="23"/>
  <c r="G1065" i="23" s="1"/>
  <c r="G1055" i="23"/>
  <c r="N1055" i="23" s="1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0" i="23"/>
  <c r="E1060" i="23"/>
  <c r="D1060" i="23"/>
  <c r="F1058" i="23"/>
  <c r="E1058" i="23"/>
  <c r="D1058" i="23"/>
  <c r="F1057" i="23"/>
  <c r="E1057" i="23"/>
  <c r="D1057" i="23"/>
  <c r="K1066" i="23"/>
  <c r="J1066" i="23"/>
  <c r="H1066" i="23"/>
  <c r="K1065" i="23"/>
  <c r="J1065" i="23"/>
  <c r="H1065" i="23"/>
  <c r="L1065" i="23" s="1"/>
  <c r="K1064" i="23"/>
  <c r="J1064" i="23"/>
  <c r="H1064" i="23"/>
  <c r="K1063" i="23"/>
  <c r="J1063" i="23"/>
  <c r="H1063" i="23"/>
  <c r="A1062" i="23"/>
  <c r="A1061" i="23"/>
  <c r="K1060" i="23"/>
  <c r="J1060" i="23"/>
  <c r="H1060" i="23"/>
  <c r="D1048" i="23"/>
  <c r="E1048" i="23"/>
  <c r="F1048" i="23"/>
  <c r="H1048" i="23"/>
  <c r="J1048" i="23"/>
  <c r="K1048" i="23"/>
  <c r="E1004" i="23"/>
  <c r="K1097" i="23"/>
  <c r="J1097" i="23"/>
  <c r="H1097" i="23"/>
  <c r="F1097" i="23"/>
  <c r="E1097" i="23"/>
  <c r="K1096" i="23"/>
  <c r="J1096" i="23"/>
  <c r="F1096" i="23"/>
  <c r="E1096" i="23"/>
  <c r="D1096" i="23"/>
  <c r="K1095" i="23"/>
  <c r="J1095" i="23"/>
  <c r="F1095" i="23"/>
  <c r="E1095" i="23"/>
  <c r="D1095" i="23"/>
  <c r="K1094" i="23"/>
  <c r="J1094" i="23"/>
  <c r="H1094" i="23"/>
  <c r="F1094" i="23"/>
  <c r="E1094" i="23"/>
  <c r="D1094" i="23"/>
  <c r="K1093" i="23"/>
  <c r="J1093" i="23"/>
  <c r="H1093" i="23"/>
  <c r="F1093" i="23"/>
  <c r="E1093" i="23"/>
  <c r="D1093" i="23"/>
  <c r="K1092" i="23"/>
  <c r="J1092" i="23"/>
  <c r="H1092" i="23"/>
  <c r="F1092" i="23"/>
  <c r="E1092" i="23"/>
  <c r="D1092" i="23"/>
  <c r="K1091" i="23"/>
  <c r="J1091" i="23"/>
  <c r="H1091" i="23"/>
  <c r="F1091" i="23"/>
  <c r="E1091" i="23"/>
  <c r="D1091" i="23"/>
  <c r="K1090" i="23"/>
  <c r="J1090" i="23"/>
  <c r="H1090" i="23"/>
  <c r="F1090" i="23"/>
  <c r="E1090" i="23"/>
  <c r="D1090" i="23"/>
  <c r="K1089" i="23"/>
  <c r="J1089" i="23"/>
  <c r="H1089" i="23"/>
  <c r="F1089" i="23"/>
  <c r="E1089" i="23"/>
  <c r="D1089" i="23"/>
  <c r="K1088" i="23"/>
  <c r="J1088" i="23"/>
  <c r="H1088" i="23"/>
  <c r="F1088" i="23"/>
  <c r="E1088" i="23"/>
  <c r="D1088" i="23"/>
  <c r="K1087" i="23"/>
  <c r="J1087" i="23"/>
  <c r="H1087" i="23"/>
  <c r="F1087" i="23"/>
  <c r="E1087" i="23"/>
  <c r="D1087" i="23"/>
  <c r="K1086" i="23"/>
  <c r="J1086" i="23"/>
  <c r="H1086" i="23"/>
  <c r="F1086" i="23"/>
  <c r="E1086" i="23"/>
  <c r="D1086" i="23"/>
  <c r="K1085" i="23"/>
  <c r="J1085" i="23"/>
  <c r="H1085" i="23"/>
  <c r="F1085" i="23"/>
  <c r="E1085" i="23"/>
  <c r="D1085" i="23"/>
  <c r="K1084" i="23"/>
  <c r="J1084" i="23"/>
  <c r="H1084" i="23"/>
  <c r="F1084" i="23"/>
  <c r="E1084" i="23"/>
  <c r="D1084" i="23"/>
  <c r="K1083" i="23"/>
  <c r="J1083" i="23"/>
  <c r="H1083" i="23"/>
  <c r="F1083" i="23"/>
  <c r="E1083" i="23"/>
  <c r="D1083" i="23"/>
  <c r="K1082" i="23"/>
  <c r="J1082" i="23"/>
  <c r="H1082" i="23"/>
  <c r="F1082" i="23"/>
  <c r="E1082" i="23"/>
  <c r="D1082" i="23"/>
  <c r="K1081" i="23"/>
  <c r="J1081" i="23"/>
  <c r="H1081" i="23"/>
  <c r="F1081" i="23"/>
  <c r="E1081" i="23"/>
  <c r="D1081" i="23"/>
  <c r="K1080" i="23"/>
  <c r="J1080" i="23"/>
  <c r="H1080" i="23"/>
  <c r="F1080" i="23"/>
  <c r="E1080" i="23"/>
  <c r="D1080" i="23"/>
  <c r="O1079" i="23"/>
  <c r="N1079" i="23"/>
  <c r="M1079" i="23"/>
  <c r="L1079" i="23"/>
  <c r="K1077" i="23"/>
  <c r="J1077" i="23"/>
  <c r="H1077" i="23"/>
  <c r="F1077" i="23"/>
  <c r="E1077" i="23"/>
  <c r="D1077" i="23"/>
  <c r="K1076" i="23"/>
  <c r="J1076" i="23"/>
  <c r="H1076" i="23"/>
  <c r="F1076" i="23"/>
  <c r="E1076" i="23"/>
  <c r="D1076" i="23"/>
  <c r="K1074" i="23"/>
  <c r="J1074" i="23"/>
  <c r="H1074" i="23"/>
  <c r="F1074" i="23"/>
  <c r="E1074" i="23"/>
  <c r="D1074" i="23"/>
  <c r="K1073" i="23"/>
  <c r="J1073" i="23"/>
  <c r="H1073" i="23"/>
  <c r="F1073" i="23"/>
  <c r="E1073" i="23"/>
  <c r="D1073" i="23"/>
  <c r="K1072" i="23"/>
  <c r="J1072" i="23"/>
  <c r="H1072" i="23"/>
  <c r="F1072" i="23"/>
  <c r="E1072" i="23"/>
  <c r="D1072" i="23"/>
  <c r="K1071" i="23"/>
  <c r="J1071" i="23"/>
  <c r="H1071" i="23"/>
  <c r="F1071" i="23"/>
  <c r="E1071" i="23"/>
  <c r="D1071" i="23"/>
  <c r="K1070" i="23"/>
  <c r="J1070" i="23"/>
  <c r="H1070" i="23"/>
  <c r="F1070" i="23"/>
  <c r="E1070" i="23"/>
  <c r="D1070" i="23"/>
  <c r="K1069" i="23"/>
  <c r="J1069" i="23"/>
  <c r="H1069" i="23"/>
  <c r="F1069" i="23"/>
  <c r="E1069" i="23"/>
  <c r="D1069" i="23"/>
  <c r="O1068" i="23"/>
  <c r="N1068" i="23"/>
  <c r="M1068" i="23"/>
  <c r="L1068" i="23"/>
  <c r="K1058" i="23"/>
  <c r="J1058" i="23"/>
  <c r="H1058" i="23"/>
  <c r="K1057" i="23"/>
  <c r="J1057" i="23"/>
  <c r="H1057" i="23"/>
  <c r="O1056" i="23"/>
  <c r="N1056" i="23"/>
  <c r="M1056" i="23"/>
  <c r="L1056" i="23"/>
  <c r="K1054" i="23"/>
  <c r="J1054" i="23"/>
  <c r="H1054" i="23"/>
  <c r="F1054" i="23"/>
  <c r="E1054" i="23"/>
  <c r="D1054" i="23"/>
  <c r="J1053" i="23"/>
  <c r="H1053" i="23"/>
  <c r="F1053" i="23"/>
  <c r="E1053" i="23"/>
  <c r="D1053" i="23"/>
  <c r="B1052" i="23"/>
  <c r="F1052" i="23" s="1"/>
  <c r="B1051" i="23"/>
  <c r="J1051" i="23" s="1"/>
  <c r="K1050" i="23"/>
  <c r="J1050" i="23"/>
  <c r="H1050" i="23"/>
  <c r="F1050" i="23"/>
  <c r="E1050" i="23"/>
  <c r="D1050" i="23"/>
  <c r="K1049" i="23"/>
  <c r="J1049" i="23"/>
  <c r="H1049" i="23"/>
  <c r="F1049" i="23"/>
  <c r="E1049" i="23"/>
  <c r="D1049" i="23"/>
  <c r="K1047" i="23"/>
  <c r="J1047" i="23"/>
  <c r="H1047" i="23"/>
  <c r="F1047" i="23"/>
  <c r="E1047" i="23"/>
  <c r="D1047" i="23"/>
  <c r="K1046" i="23"/>
  <c r="J1046" i="23"/>
  <c r="H1046" i="23"/>
  <c r="F1046" i="23"/>
  <c r="E1046" i="23"/>
  <c r="D1046" i="23"/>
  <c r="K1045" i="23"/>
  <c r="J1045" i="23"/>
  <c r="H1045" i="23"/>
  <c r="F1045" i="23"/>
  <c r="E1045" i="23"/>
  <c r="D1045" i="23"/>
  <c r="K1044" i="23"/>
  <c r="J1044" i="23"/>
  <c r="H1044" i="23"/>
  <c r="F1044" i="23"/>
  <c r="E1044" i="23"/>
  <c r="D1044" i="23"/>
  <c r="K1043" i="23"/>
  <c r="J1043" i="23"/>
  <c r="H1043" i="23"/>
  <c r="F1043" i="23"/>
  <c r="E1043" i="23"/>
  <c r="D1043" i="23"/>
  <c r="O1042" i="23"/>
  <c r="N1042" i="23"/>
  <c r="M1042" i="23"/>
  <c r="L1042" i="23"/>
  <c r="K1040" i="23"/>
  <c r="J1040" i="23"/>
  <c r="H1040" i="23"/>
  <c r="F1040" i="23"/>
  <c r="E1040" i="23"/>
  <c r="D1040" i="23"/>
  <c r="K1039" i="23"/>
  <c r="J1039" i="23"/>
  <c r="H1039" i="23"/>
  <c r="F1039" i="23"/>
  <c r="E1039" i="23"/>
  <c r="D1039" i="23"/>
  <c r="K1038" i="23"/>
  <c r="J1038" i="23"/>
  <c r="H1038" i="23"/>
  <c r="F1038" i="23"/>
  <c r="E1038" i="23"/>
  <c r="D1038" i="23"/>
  <c r="K1037" i="23"/>
  <c r="J1037" i="23"/>
  <c r="H1037" i="23"/>
  <c r="F1037" i="23"/>
  <c r="E1037" i="23"/>
  <c r="D1037" i="23"/>
  <c r="K1036" i="23"/>
  <c r="J1036" i="23"/>
  <c r="H1036" i="23"/>
  <c r="F1036" i="23"/>
  <c r="E1036" i="23"/>
  <c r="D1036" i="23"/>
  <c r="K1035" i="23"/>
  <c r="J1035" i="23"/>
  <c r="H1035" i="23"/>
  <c r="F1035" i="23"/>
  <c r="E1035" i="23"/>
  <c r="D1035" i="23"/>
  <c r="K1034" i="23"/>
  <c r="J1034" i="23"/>
  <c r="H1034" i="23"/>
  <c r="F1034" i="23"/>
  <c r="E1034" i="23"/>
  <c r="D1034" i="23"/>
  <c r="O1033" i="23"/>
  <c r="N1033" i="23"/>
  <c r="M1033" i="23"/>
  <c r="L1033" i="23"/>
  <c r="N1032" i="23"/>
  <c r="B1031" i="23"/>
  <c r="H1031" i="23" s="1"/>
  <c r="B1030" i="23"/>
  <c r="D1030" i="23" s="1"/>
  <c r="K1029" i="23"/>
  <c r="J1029" i="23"/>
  <c r="H1029" i="23"/>
  <c r="F1029" i="23"/>
  <c r="E1029" i="23"/>
  <c r="D1029" i="23"/>
  <c r="K1028" i="23"/>
  <c r="J1028" i="23"/>
  <c r="H1028" i="23"/>
  <c r="F1028" i="23"/>
  <c r="E1028" i="23"/>
  <c r="D1028" i="23"/>
  <c r="O1027" i="23"/>
  <c r="N1027" i="23"/>
  <c r="M1027" i="23"/>
  <c r="L1027" i="23"/>
  <c r="G1026" i="23"/>
  <c r="G1031" i="23" s="1"/>
  <c r="M1031" i="23" s="1"/>
  <c r="K1025" i="23"/>
  <c r="J1025" i="23"/>
  <c r="H1025" i="23"/>
  <c r="F1025" i="23"/>
  <c r="E1025" i="23"/>
  <c r="K1024" i="23"/>
  <c r="J1024" i="23"/>
  <c r="H1024" i="23"/>
  <c r="F1024" i="23"/>
  <c r="E1024" i="23"/>
  <c r="K1023" i="23"/>
  <c r="J1023" i="23"/>
  <c r="H1023" i="23"/>
  <c r="G1023" i="23"/>
  <c r="M1023" i="23" s="1"/>
  <c r="F1023" i="23"/>
  <c r="E1023" i="23"/>
  <c r="D1023" i="23"/>
  <c r="O1022" i="23"/>
  <c r="N1022" i="23"/>
  <c r="M1022" i="23"/>
  <c r="L1022" i="23"/>
  <c r="O1021" i="23"/>
  <c r="N1021" i="23"/>
  <c r="M1021" i="23"/>
  <c r="L1021" i="23"/>
  <c r="A1021" i="23"/>
  <c r="A1022" i="23" s="1"/>
  <c r="K1020" i="23"/>
  <c r="J1020" i="23"/>
  <c r="H1020" i="23"/>
  <c r="F1020" i="23"/>
  <c r="E1020" i="23"/>
  <c r="D1020" i="23"/>
  <c r="K1019" i="23"/>
  <c r="J1019" i="23"/>
  <c r="H1019" i="23"/>
  <c r="F1019" i="23"/>
  <c r="E1019" i="23"/>
  <c r="D1019" i="23"/>
  <c r="K1018" i="23"/>
  <c r="J1018" i="23"/>
  <c r="H1018" i="23"/>
  <c r="F1018" i="23"/>
  <c r="E1018" i="23"/>
  <c r="D1018" i="23"/>
  <c r="K1013" i="23"/>
  <c r="J1013" i="23"/>
  <c r="H1013" i="23"/>
  <c r="F1013" i="23"/>
  <c r="E1013" i="23"/>
  <c r="D1013" i="23"/>
  <c r="K1012" i="23"/>
  <c r="K1011" i="23"/>
  <c r="J1011" i="23"/>
  <c r="H1011" i="23"/>
  <c r="F1011" i="23"/>
  <c r="E1011" i="23"/>
  <c r="D1011" i="23"/>
  <c r="K1010" i="23"/>
  <c r="O1010" i="23" s="1"/>
  <c r="J1010" i="23"/>
  <c r="H1010" i="23"/>
  <c r="F1010" i="23"/>
  <c r="E1010" i="23"/>
  <c r="D1010" i="23"/>
  <c r="B1007" i="23"/>
  <c r="K1007" i="23" s="1"/>
  <c r="K2380" i="23"/>
  <c r="J2380" i="23"/>
  <c r="H2380" i="23"/>
  <c r="F2380" i="23"/>
  <c r="E2380" i="23"/>
  <c r="D2380" i="23"/>
  <c r="F2344" i="23"/>
  <c r="E2344" i="23"/>
  <c r="D2344" i="23"/>
  <c r="F2343" i="23"/>
  <c r="E2343" i="23"/>
  <c r="D2343" i="23"/>
  <c r="F2342" i="23"/>
  <c r="E2342" i="23"/>
  <c r="D2342" i="23"/>
  <c r="F2341" i="23"/>
  <c r="E2341" i="23"/>
  <c r="D2341" i="23"/>
  <c r="F2338" i="23"/>
  <c r="E2338" i="23"/>
  <c r="D2338" i="23"/>
  <c r="F2337" i="23"/>
  <c r="E2337" i="23"/>
  <c r="D2337" i="23"/>
  <c r="F2336" i="23"/>
  <c r="E2336" i="23"/>
  <c r="D2336" i="23"/>
  <c r="F2335" i="23"/>
  <c r="E2335" i="23"/>
  <c r="D2335" i="23"/>
  <c r="H2338" i="23"/>
  <c r="J2338" i="23"/>
  <c r="K2338" i="23"/>
  <c r="H2341" i="23"/>
  <c r="J2341" i="23"/>
  <c r="K2341" i="23"/>
  <c r="H2342" i="23"/>
  <c r="J2342" i="23"/>
  <c r="K2342" i="23"/>
  <c r="H2343" i="23"/>
  <c r="J2343" i="23"/>
  <c r="K2343" i="23"/>
  <c r="H2344" i="23"/>
  <c r="J2344" i="23"/>
  <c r="K2344" i="23"/>
  <c r="F2326" i="23"/>
  <c r="E2326" i="23"/>
  <c r="D2326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21" i="23"/>
  <c r="E2321" i="23"/>
  <c r="D2321" i="23"/>
  <c r="F2319" i="23"/>
  <c r="E2319" i="23"/>
  <c r="D2319" i="23"/>
  <c r="F2317" i="23"/>
  <c r="E2317" i="23"/>
  <c r="D2317" i="23"/>
  <c r="F2315" i="23"/>
  <c r="E2315" i="23"/>
  <c r="D2315" i="23"/>
  <c r="F2314" i="23"/>
  <c r="E2314" i="23"/>
  <c r="D2314" i="23"/>
  <c r="F2313" i="23"/>
  <c r="E2313" i="23"/>
  <c r="D2313" i="23"/>
  <c r="F2312" i="23"/>
  <c r="E2312" i="23"/>
  <c r="D2312" i="23"/>
  <c r="F2311" i="23"/>
  <c r="E2311" i="23"/>
  <c r="D2311" i="23"/>
  <c r="F2309" i="23"/>
  <c r="E2309" i="23"/>
  <c r="D2309" i="23"/>
  <c r="F2308" i="23"/>
  <c r="E2308" i="23"/>
  <c r="D2308" i="23"/>
  <c r="F2307" i="23"/>
  <c r="E2307" i="23"/>
  <c r="D2307" i="23"/>
  <c r="F2306" i="23"/>
  <c r="E2306" i="23"/>
  <c r="D2306" i="23"/>
  <c r="K2314" i="23"/>
  <c r="J2314" i="23"/>
  <c r="H2314" i="23"/>
  <c r="K2313" i="23"/>
  <c r="J2313" i="23"/>
  <c r="H2313" i="23"/>
  <c r="K2312" i="23"/>
  <c r="J2312" i="23"/>
  <c r="H2312" i="23"/>
  <c r="K2311" i="23"/>
  <c r="J2311" i="23"/>
  <c r="H2311" i="23"/>
  <c r="K2309" i="23"/>
  <c r="J2309" i="23"/>
  <c r="H2309" i="23"/>
  <c r="K2308" i="23"/>
  <c r="J2308" i="23"/>
  <c r="H2308" i="23"/>
  <c r="K2307" i="23"/>
  <c r="J2307" i="23"/>
  <c r="H2307" i="23"/>
  <c r="K2306" i="23"/>
  <c r="J2306" i="23"/>
  <c r="H2306" i="23"/>
  <c r="K1889" i="23"/>
  <c r="J1889" i="23"/>
  <c r="H1889" i="23"/>
  <c r="F1889" i="23"/>
  <c r="E1889" i="23"/>
  <c r="D1889" i="23"/>
  <c r="K1788" i="23"/>
  <c r="J1788" i="23"/>
  <c r="H1788" i="23"/>
  <c r="F1788" i="23"/>
  <c r="E1788" i="23"/>
  <c r="D1788" i="23"/>
  <c r="K1459" i="23"/>
  <c r="J1459" i="23"/>
  <c r="H1459" i="23"/>
  <c r="F1459" i="23"/>
  <c r="E1459" i="23"/>
  <c r="D1459" i="23"/>
  <c r="K1789" i="23"/>
  <c r="J1789" i="23"/>
  <c r="H1789" i="23"/>
  <c r="F1789" i="23"/>
  <c r="E1789" i="23"/>
  <c r="D1789" i="23"/>
  <c r="K1787" i="23"/>
  <c r="J1787" i="23"/>
  <c r="H1787" i="23"/>
  <c r="F1787" i="23"/>
  <c r="E1787" i="23"/>
  <c r="D1787" i="23"/>
  <c r="K1786" i="23"/>
  <c r="J1786" i="23"/>
  <c r="H1786" i="23"/>
  <c r="F1786" i="23"/>
  <c r="E1786" i="23"/>
  <c r="D1786" i="23"/>
  <c r="K1781" i="23"/>
  <c r="J1781" i="23"/>
  <c r="H1781" i="23"/>
  <c r="F1781" i="23"/>
  <c r="E1781" i="23"/>
  <c r="D1781" i="23"/>
  <c r="J1740" i="23"/>
  <c r="H1740" i="23"/>
  <c r="F1740" i="23"/>
  <c r="E1740" i="23"/>
  <c r="D1740" i="23"/>
  <c r="J1739" i="23"/>
  <c r="H1739" i="23"/>
  <c r="F1739" i="23"/>
  <c r="E1739" i="23"/>
  <c r="D1739" i="23"/>
  <c r="J1738" i="23"/>
  <c r="H1738" i="23"/>
  <c r="F1738" i="23"/>
  <c r="E1738" i="23"/>
  <c r="D1738" i="23"/>
  <c r="J1737" i="23"/>
  <c r="H1737" i="23"/>
  <c r="F1737" i="23"/>
  <c r="E1737" i="23"/>
  <c r="D1737" i="23"/>
  <c r="J1735" i="23"/>
  <c r="H1735" i="23"/>
  <c r="F1735" i="23"/>
  <c r="E1735" i="23"/>
  <c r="D1735" i="23"/>
  <c r="J1734" i="23"/>
  <c r="H1734" i="23"/>
  <c r="F1734" i="23"/>
  <c r="E1734" i="23"/>
  <c r="D1734" i="23"/>
  <c r="J1733" i="23"/>
  <c r="H1733" i="23"/>
  <c r="F1733" i="23"/>
  <c r="E1733" i="23"/>
  <c r="D1733" i="23"/>
  <c r="J1732" i="23"/>
  <c r="H1732" i="23"/>
  <c r="F1732" i="23"/>
  <c r="E1732" i="23"/>
  <c r="D1732" i="23"/>
  <c r="J1731" i="23"/>
  <c r="H1731" i="23"/>
  <c r="F1731" i="23"/>
  <c r="E1731" i="23"/>
  <c r="D1731" i="23"/>
  <c r="J1730" i="23"/>
  <c r="H1730" i="23"/>
  <c r="F1730" i="23"/>
  <c r="E1730" i="23"/>
  <c r="D1730" i="23"/>
  <c r="J1721" i="23"/>
  <c r="K1499" i="23"/>
  <c r="J1499" i="23"/>
  <c r="H1499" i="23"/>
  <c r="F1499" i="23"/>
  <c r="E1499" i="23"/>
  <c r="D1499" i="23"/>
  <c r="K1460" i="23"/>
  <c r="J1460" i="23"/>
  <c r="H1460" i="23"/>
  <c r="F1460" i="23"/>
  <c r="E1460" i="23"/>
  <c r="D1460" i="23"/>
  <c r="K1458" i="23"/>
  <c r="J1458" i="23"/>
  <c r="H1458" i="23"/>
  <c r="F1458" i="23"/>
  <c r="E1458" i="23"/>
  <c r="D1458" i="23"/>
  <c r="K1457" i="23"/>
  <c r="J1457" i="23"/>
  <c r="H1457" i="23"/>
  <c r="F1457" i="23"/>
  <c r="E1457" i="23"/>
  <c r="D1457" i="23"/>
  <c r="O1456" i="23"/>
  <c r="N1456" i="23"/>
  <c r="M1456" i="23"/>
  <c r="L1456" i="23"/>
  <c r="D1454" i="23"/>
  <c r="E1454" i="23"/>
  <c r="F1454" i="23"/>
  <c r="K1454" i="23"/>
  <c r="J1404" i="23"/>
  <c r="J1397" i="23"/>
  <c r="P1997" i="1"/>
  <c r="F1997" i="1"/>
  <c r="E1997" i="1"/>
  <c r="P1996" i="1"/>
  <c r="F1996" i="1"/>
  <c r="E1996" i="1"/>
  <c r="F1994" i="1"/>
  <c r="E1994" i="1"/>
  <c r="F1993" i="1"/>
  <c r="E1993" i="1"/>
  <c r="P1992" i="1"/>
  <c r="F1992" i="1"/>
  <c r="E1992" i="1"/>
  <c r="P1991" i="1"/>
  <c r="F1991" i="1"/>
  <c r="E1991" i="1"/>
  <c r="F1990" i="1"/>
  <c r="E1990" i="1"/>
  <c r="F1989" i="1"/>
  <c r="E1989" i="1"/>
  <c r="P1988" i="1"/>
  <c r="F1988" i="1"/>
  <c r="E1988" i="1"/>
  <c r="P1981" i="1"/>
  <c r="F1981" i="1"/>
  <c r="E1981" i="1"/>
  <c r="F1980" i="1"/>
  <c r="E1980" i="1"/>
  <c r="P1979" i="1"/>
  <c r="F1979" i="1"/>
  <c r="E1979" i="1"/>
  <c r="E2110" i="1"/>
  <c r="F2110" i="1"/>
  <c r="P2110" i="1"/>
  <c r="E2108" i="1"/>
  <c r="F2108" i="1"/>
  <c r="P2108" i="1"/>
  <c r="E2109" i="1"/>
  <c r="F2109" i="1"/>
  <c r="P2109" i="1"/>
  <c r="E2103" i="1"/>
  <c r="F2103" i="1"/>
  <c r="P2103" i="1"/>
  <c r="E2106" i="1"/>
  <c r="F2106" i="1"/>
  <c r="P2106" i="1"/>
  <c r="E2102" i="1"/>
  <c r="F2102" i="1"/>
  <c r="G2101" i="1"/>
  <c r="E1972" i="1"/>
  <c r="F1972" i="1"/>
  <c r="P1972" i="1"/>
  <c r="Q1972" i="1"/>
  <c r="E1700" i="1"/>
  <c r="F1699" i="1"/>
  <c r="F1704" i="1"/>
  <c r="E1703" i="1"/>
  <c r="F1700" i="1"/>
  <c r="F1701" i="1"/>
  <c r="E1583" i="1"/>
  <c r="E2286" i="23"/>
  <c r="E2285" i="23"/>
  <c r="E1404" i="23"/>
  <c r="E1398" i="23"/>
  <c r="E1397" i="23"/>
  <c r="Q789" i="1"/>
  <c r="Q750" i="1"/>
  <c r="Q478" i="1"/>
  <c r="F478" i="1"/>
  <c r="E478" i="1"/>
  <c r="Q477" i="1"/>
  <c r="U477" i="1"/>
  <c r="F477" i="1"/>
  <c r="E477" i="1"/>
  <c r="G485" i="1"/>
  <c r="G486" i="1" s="1"/>
  <c r="E485" i="1"/>
  <c r="F485" i="1"/>
  <c r="Q485" i="1"/>
  <c r="E486" i="1"/>
  <c r="F486" i="1"/>
  <c r="Q486" i="1"/>
  <c r="G479" i="1"/>
  <c r="S479" i="1" s="1"/>
  <c r="K1438" i="23"/>
  <c r="J1438" i="23"/>
  <c r="H1438" i="23"/>
  <c r="F1438" i="23"/>
  <c r="E1438" i="23"/>
  <c r="D1438" i="23"/>
  <c r="K1437" i="23"/>
  <c r="J1437" i="23"/>
  <c r="H1437" i="23"/>
  <c r="F1437" i="23"/>
  <c r="E1437" i="23"/>
  <c r="D1437" i="23"/>
  <c r="K1435" i="23"/>
  <c r="J1435" i="23"/>
  <c r="H1435" i="23"/>
  <c r="F1435" i="23"/>
  <c r="E1435" i="23"/>
  <c r="D1435" i="23"/>
  <c r="K1434" i="23"/>
  <c r="J1434" i="23"/>
  <c r="H1434" i="23"/>
  <c r="F1434" i="23"/>
  <c r="E1434" i="23"/>
  <c r="D1434" i="23"/>
  <c r="K1433" i="23"/>
  <c r="J1433" i="23"/>
  <c r="H1433" i="23"/>
  <c r="F1433" i="23"/>
  <c r="E1433" i="23"/>
  <c r="D1433" i="23"/>
  <c r="K1432" i="23"/>
  <c r="J1432" i="23"/>
  <c r="H1432" i="23"/>
  <c r="F1432" i="23"/>
  <c r="E1432" i="23"/>
  <c r="D1432" i="23"/>
  <c r="Q2137" i="1"/>
  <c r="Q2018" i="1"/>
  <c r="Q2017" i="1"/>
  <c r="Q2016" i="1"/>
  <c r="Q2015" i="1"/>
  <c r="Q2014" i="1"/>
  <c r="Q2013" i="1"/>
  <c r="T1689" i="1"/>
  <c r="T1688" i="1"/>
  <c r="T1687" i="1"/>
  <c r="T1686" i="1"/>
  <c r="T1685" i="1"/>
  <c r="T1684" i="1"/>
  <c r="T1683" i="1"/>
  <c r="T1682" i="1"/>
  <c r="T1681" i="1"/>
  <c r="T1680" i="1"/>
  <c r="U1326" i="1"/>
  <c r="T1326" i="1"/>
  <c r="P1326" i="1"/>
  <c r="S1326" i="1" s="1"/>
  <c r="F1326" i="1"/>
  <c r="E1326" i="1"/>
  <c r="C1326" i="1"/>
  <c r="U1325" i="1"/>
  <c r="T1325" i="1"/>
  <c r="P1325" i="1"/>
  <c r="S1325" i="1" s="1"/>
  <c r="F1325" i="1"/>
  <c r="E1325" i="1"/>
  <c r="C1325" i="1"/>
  <c r="P1324" i="1"/>
  <c r="F1324" i="1"/>
  <c r="E1324" i="1"/>
  <c r="R1323" i="1"/>
  <c r="P1323" i="1"/>
  <c r="F1323" i="1"/>
  <c r="E1323" i="1"/>
  <c r="U1343" i="1"/>
  <c r="T1343" i="1"/>
  <c r="P1343" i="1"/>
  <c r="S1343" i="1" s="1"/>
  <c r="F1343" i="1"/>
  <c r="E1343" i="1"/>
  <c r="U1342" i="1"/>
  <c r="T1342" i="1"/>
  <c r="P1342" i="1"/>
  <c r="S1342" i="1" s="1"/>
  <c r="F1342" i="1"/>
  <c r="E1342" i="1"/>
  <c r="U1341" i="1"/>
  <c r="T1341" i="1"/>
  <c r="P1341" i="1"/>
  <c r="S1341" i="1" s="1"/>
  <c r="F1341" i="1"/>
  <c r="E1341" i="1"/>
  <c r="R1340" i="1"/>
  <c r="P1340" i="1"/>
  <c r="F1340" i="1"/>
  <c r="E1340" i="1"/>
  <c r="P1352" i="1"/>
  <c r="S1352" i="1" s="1"/>
  <c r="F1352" i="1"/>
  <c r="E1352" i="1"/>
  <c r="U1351" i="1"/>
  <c r="T1351" i="1"/>
  <c r="P1351" i="1"/>
  <c r="S1351" i="1" s="1"/>
  <c r="F1351" i="1"/>
  <c r="E1351" i="1"/>
  <c r="C1351" i="1"/>
  <c r="U1350" i="1"/>
  <c r="T1350" i="1"/>
  <c r="P1350" i="1"/>
  <c r="S1350" i="1" s="1"/>
  <c r="F1350" i="1"/>
  <c r="E1350" i="1"/>
  <c r="R1349" i="1"/>
  <c r="P1349" i="1"/>
  <c r="F1349" i="1"/>
  <c r="E1349" i="1"/>
  <c r="P1570" i="1"/>
  <c r="F1570" i="1"/>
  <c r="E1570" i="1"/>
  <c r="U1569" i="1"/>
  <c r="T1569" i="1"/>
  <c r="P1569" i="1"/>
  <c r="S1569" i="1" s="1"/>
  <c r="J1569" i="1"/>
  <c r="H1569" i="1"/>
  <c r="F1569" i="1"/>
  <c r="E1569" i="1"/>
  <c r="C1569" i="1"/>
  <c r="U1568" i="1"/>
  <c r="T1568" i="1"/>
  <c r="P1568" i="1"/>
  <c r="S1568" i="1" s="1"/>
  <c r="J1568" i="1"/>
  <c r="H1568" i="1"/>
  <c r="F1568" i="1"/>
  <c r="E1568" i="1"/>
  <c r="C1568" i="1"/>
  <c r="R1567" i="1"/>
  <c r="P1567" i="1"/>
  <c r="F1567" i="1"/>
  <c r="E1567" i="1"/>
  <c r="P1559" i="1"/>
  <c r="F1559" i="1"/>
  <c r="E1559" i="1"/>
  <c r="U1558" i="1"/>
  <c r="T1558" i="1"/>
  <c r="P1558" i="1"/>
  <c r="S1558" i="1" s="1"/>
  <c r="J1558" i="1"/>
  <c r="H1558" i="1"/>
  <c r="F1558" i="1"/>
  <c r="E1558" i="1"/>
  <c r="C1558" i="1"/>
  <c r="U1557" i="1"/>
  <c r="T1557" i="1"/>
  <c r="P1557" i="1"/>
  <c r="S1557" i="1" s="1"/>
  <c r="J1557" i="1"/>
  <c r="H1557" i="1"/>
  <c r="F1557" i="1"/>
  <c r="E1557" i="1"/>
  <c r="C1557" i="1"/>
  <c r="P1549" i="1"/>
  <c r="F1549" i="1"/>
  <c r="E1549" i="1"/>
  <c r="P1548" i="1"/>
  <c r="S1548" i="1" s="1"/>
  <c r="F1548" i="1"/>
  <c r="E1548" i="1"/>
  <c r="P1547" i="1"/>
  <c r="F1547" i="1"/>
  <c r="E1547" i="1"/>
  <c r="P1546" i="1"/>
  <c r="F1546" i="1"/>
  <c r="E1546" i="1"/>
  <c r="R1322" i="1"/>
  <c r="F1322" i="1"/>
  <c r="E1322" i="1"/>
  <c r="R1321" i="1"/>
  <c r="P1321" i="1"/>
  <c r="F1321" i="1"/>
  <c r="E1321" i="1"/>
  <c r="R1320" i="1"/>
  <c r="P1320" i="1"/>
  <c r="F1320" i="1"/>
  <c r="E1320" i="1"/>
  <c r="P1319" i="1"/>
  <c r="F1319" i="1"/>
  <c r="E1319" i="1"/>
  <c r="G2038" i="1"/>
  <c r="C2038" i="1" s="1"/>
  <c r="G2131" i="1"/>
  <c r="D20" i="77"/>
  <c r="D19" i="77"/>
  <c r="D16" i="77"/>
  <c r="G2244" i="1"/>
  <c r="C2244" i="1" s="1"/>
  <c r="G2240" i="1"/>
  <c r="G1592" i="1"/>
  <c r="G1975" i="1"/>
  <c r="G1945" i="1"/>
  <c r="G1963" i="1"/>
  <c r="C1963" i="1" s="1"/>
  <c r="G1953" i="1"/>
  <c r="N1953" i="1" s="1"/>
  <c r="G1943" i="1"/>
  <c r="U1943" i="1" s="1"/>
  <c r="U1212" i="1"/>
  <c r="P1238" i="1"/>
  <c r="S1238" i="1" s="1"/>
  <c r="T627" i="1"/>
  <c r="T630" i="1"/>
  <c r="S630" i="1"/>
  <c r="T629" i="1"/>
  <c r="S629" i="1"/>
  <c r="T628" i="1"/>
  <c r="S628" i="1"/>
  <c r="S627" i="1"/>
  <c r="T626" i="1"/>
  <c r="S626" i="1"/>
  <c r="T625" i="1"/>
  <c r="S625" i="1"/>
  <c r="Q629" i="1"/>
  <c r="R630" i="1"/>
  <c r="U630" i="1" s="1"/>
  <c r="R629" i="1"/>
  <c r="U629" i="1" s="1"/>
  <c r="R628" i="1"/>
  <c r="U628" i="1" s="1"/>
  <c r="R627" i="1"/>
  <c r="U627" i="1" s="1"/>
  <c r="R626" i="1"/>
  <c r="U626" i="1" s="1"/>
  <c r="R625" i="1"/>
  <c r="U625" i="1" s="1"/>
  <c r="Q630" i="1"/>
  <c r="Q628" i="1"/>
  <c r="Q627" i="1"/>
  <c r="Q626" i="1"/>
  <c r="Q62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28" i="1"/>
  <c r="F1222" i="1"/>
  <c r="F1221" i="1"/>
  <c r="F1220" i="1"/>
  <c r="F1219" i="1"/>
  <c r="F1212" i="1"/>
  <c r="F1206" i="1"/>
  <c r="F1205" i="1"/>
  <c r="F1204" i="1"/>
  <c r="F1203" i="1"/>
  <c r="T1240" i="1"/>
  <c r="T1239" i="1"/>
  <c r="U1244" i="1"/>
  <c r="T1244" i="1"/>
  <c r="P1244" i="1"/>
  <c r="S1244" i="1" s="1"/>
  <c r="O1244" i="1"/>
  <c r="U1243" i="1"/>
  <c r="T1243" i="1"/>
  <c r="P1243" i="1"/>
  <c r="S1243" i="1" s="1"/>
  <c r="O1243" i="1"/>
  <c r="U1242" i="1"/>
  <c r="T1242" i="1"/>
  <c r="P1242" i="1"/>
  <c r="S1242" i="1" s="1"/>
  <c r="O1242" i="1"/>
  <c r="U1241" i="1"/>
  <c r="T1241" i="1"/>
  <c r="P1241" i="1"/>
  <c r="S1241" i="1" s="1"/>
  <c r="O1241" i="1"/>
  <c r="U1240" i="1"/>
  <c r="P1240" i="1"/>
  <c r="S1240" i="1" s="1"/>
  <c r="O1240" i="1"/>
  <c r="P1239" i="1"/>
  <c r="S1239" i="1" s="1"/>
  <c r="O1239" i="1"/>
  <c r="O1238" i="1"/>
  <c r="P1237" i="1"/>
  <c r="S1237" i="1" s="1"/>
  <c r="O1237" i="1"/>
  <c r="P1236" i="1"/>
  <c r="S1236" i="1" s="1"/>
  <c r="O1236" i="1"/>
  <c r="P1235" i="1"/>
  <c r="S1235" i="1" s="1"/>
  <c r="O1235" i="1"/>
  <c r="P1234" i="1"/>
  <c r="S1234" i="1" s="1"/>
  <c r="O1234" i="1"/>
  <c r="P1233" i="1"/>
  <c r="S1233" i="1" s="1"/>
  <c r="O1233" i="1"/>
  <c r="P1228" i="1"/>
  <c r="O1228" i="1"/>
  <c r="P1222" i="1"/>
  <c r="O1222" i="1"/>
  <c r="P1221" i="1"/>
  <c r="S1221" i="1" s="1"/>
  <c r="O1221" i="1"/>
  <c r="P1220" i="1"/>
  <c r="S1220" i="1" s="1"/>
  <c r="O1220" i="1"/>
  <c r="P1219" i="1"/>
  <c r="S1219" i="1" s="1"/>
  <c r="O1219" i="1"/>
  <c r="O1212" i="1"/>
  <c r="P1206" i="1"/>
  <c r="O1206" i="1"/>
  <c r="P1205" i="1"/>
  <c r="S1205" i="1" s="1"/>
  <c r="O1205" i="1"/>
  <c r="P1204" i="1"/>
  <c r="S1204" i="1" s="1"/>
  <c r="O1204" i="1"/>
  <c r="P1203" i="1"/>
  <c r="S1203" i="1" s="1"/>
  <c r="O1203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28" i="1"/>
  <c r="E1222" i="1"/>
  <c r="E1221" i="1"/>
  <c r="E1220" i="1"/>
  <c r="E1219" i="1"/>
  <c r="E1212" i="1"/>
  <c r="E1206" i="1"/>
  <c r="E1205" i="1"/>
  <c r="E1204" i="1"/>
  <c r="E1203" i="1"/>
  <c r="F2146" i="1"/>
  <c r="F2147" i="1"/>
  <c r="Q2176" i="1"/>
  <c r="Q2174" i="1"/>
  <c r="F2174" i="1"/>
  <c r="Q2173" i="1"/>
  <c r="F2173" i="1"/>
  <c r="Q2162" i="1"/>
  <c r="F2162" i="1"/>
  <c r="Q2161" i="1"/>
  <c r="F2161" i="1"/>
  <c r="Q2160" i="1"/>
  <c r="F2160" i="1"/>
  <c r="Q2159" i="1"/>
  <c r="F2159" i="1"/>
  <c r="Q2158" i="1"/>
  <c r="F2158" i="1"/>
  <c r="Q2157" i="1"/>
  <c r="F2157" i="1"/>
  <c r="Q2156" i="1"/>
  <c r="F2156" i="1"/>
  <c r="Q2155" i="1"/>
  <c r="F2155" i="1"/>
  <c r="Q2154" i="1"/>
  <c r="F2154" i="1"/>
  <c r="Q2153" i="1"/>
  <c r="F2153" i="1"/>
  <c r="Q2152" i="1"/>
  <c r="F2152" i="1"/>
  <c r="Q2151" i="1"/>
  <c r="F2151" i="1"/>
  <c r="Q2150" i="1"/>
  <c r="F2150" i="1"/>
  <c r="Q2149" i="1"/>
  <c r="F2149" i="1"/>
  <c r="Q2145" i="1"/>
  <c r="F2145" i="1"/>
  <c r="Q2144" i="1"/>
  <c r="F2144" i="1"/>
  <c r="Q2143" i="1"/>
  <c r="F2143" i="1"/>
  <c r="Q2142" i="1"/>
  <c r="F2142" i="1"/>
  <c r="M539" i="1"/>
  <c r="M612" i="1"/>
  <c r="E1952" i="1"/>
  <c r="F1952" i="1"/>
  <c r="P1952" i="1"/>
  <c r="Q1952" i="1"/>
  <c r="E2073" i="1"/>
  <c r="F2073" i="1"/>
  <c r="P2073" i="1"/>
  <c r="E2125" i="1"/>
  <c r="F2125" i="1"/>
  <c r="Q2125" i="1"/>
  <c r="E2126" i="1"/>
  <c r="F2126" i="1"/>
  <c r="Q2126" i="1"/>
  <c r="E2127" i="1"/>
  <c r="F2127" i="1"/>
  <c r="Q2127" i="1"/>
  <c r="E2128" i="1"/>
  <c r="F2128" i="1"/>
  <c r="Q2128" i="1"/>
  <c r="E2129" i="1"/>
  <c r="F2129" i="1"/>
  <c r="Q2129" i="1"/>
  <c r="E2130" i="1"/>
  <c r="F2130" i="1"/>
  <c r="Q2130" i="1"/>
  <c r="E2131" i="1"/>
  <c r="F2131" i="1"/>
  <c r="Q2131" i="1"/>
  <c r="E2133" i="1"/>
  <c r="F2133" i="1"/>
  <c r="Q2133" i="1"/>
  <c r="E2134" i="1"/>
  <c r="F2134" i="1"/>
  <c r="Q2134" i="1"/>
  <c r="E2135" i="1"/>
  <c r="F2135" i="1"/>
  <c r="Q2135" i="1"/>
  <c r="E2136" i="1"/>
  <c r="F2136" i="1"/>
  <c r="Q2136" i="1"/>
  <c r="E2051" i="1"/>
  <c r="F2051" i="1"/>
  <c r="E2052" i="1"/>
  <c r="F2052" i="1"/>
  <c r="E2053" i="1"/>
  <c r="F2053" i="1"/>
  <c r="P2053" i="1"/>
  <c r="E2054" i="1"/>
  <c r="F2054" i="1"/>
  <c r="P2054" i="1"/>
  <c r="E2055" i="1"/>
  <c r="F2055" i="1"/>
  <c r="P2055" i="1"/>
  <c r="E2056" i="1"/>
  <c r="F2056" i="1"/>
  <c r="P2056" i="1"/>
  <c r="E2057" i="1"/>
  <c r="F2057" i="1"/>
  <c r="P2057" i="1"/>
  <c r="E2058" i="1"/>
  <c r="F2058" i="1"/>
  <c r="P2058" i="1"/>
  <c r="E2059" i="1"/>
  <c r="F2059" i="1"/>
  <c r="P2059" i="1"/>
  <c r="E2060" i="1"/>
  <c r="F2060" i="1"/>
  <c r="P2060" i="1"/>
  <c r="E2061" i="1"/>
  <c r="F2061" i="1"/>
  <c r="P2061" i="1"/>
  <c r="E2062" i="1"/>
  <c r="F2062" i="1"/>
  <c r="P2062" i="1"/>
  <c r="E2063" i="1"/>
  <c r="F2063" i="1"/>
  <c r="P2063" i="1"/>
  <c r="E2064" i="1"/>
  <c r="F2064" i="1"/>
  <c r="E2065" i="1"/>
  <c r="F2065" i="1"/>
  <c r="P2065" i="1"/>
  <c r="E2066" i="1"/>
  <c r="F2066" i="1"/>
  <c r="P2066" i="1"/>
  <c r="E2067" i="1"/>
  <c r="F2067" i="1"/>
  <c r="P2067" i="1"/>
  <c r="E2068" i="1"/>
  <c r="F2068" i="1"/>
  <c r="E2069" i="1"/>
  <c r="F2069" i="1"/>
  <c r="P2069" i="1"/>
  <c r="E2070" i="1"/>
  <c r="F2070" i="1"/>
  <c r="P2070" i="1"/>
  <c r="E2071" i="1"/>
  <c r="F2071" i="1"/>
  <c r="P2071" i="1"/>
  <c r="E2072" i="1"/>
  <c r="F2072" i="1"/>
  <c r="P2072" i="1"/>
  <c r="E2074" i="1"/>
  <c r="F2074" i="1"/>
  <c r="P2074" i="1"/>
  <c r="E2075" i="1"/>
  <c r="F2075" i="1"/>
  <c r="P2075" i="1"/>
  <c r="E2076" i="1"/>
  <c r="F2076" i="1"/>
  <c r="P2076" i="1"/>
  <c r="E2077" i="1"/>
  <c r="F2077" i="1"/>
  <c r="P2077" i="1"/>
  <c r="E2078" i="1"/>
  <c r="F2078" i="1"/>
  <c r="P2078" i="1"/>
  <c r="E2079" i="1"/>
  <c r="F2079" i="1"/>
  <c r="P2079" i="1"/>
  <c r="E2080" i="1"/>
  <c r="F2080" i="1"/>
  <c r="P2080" i="1"/>
  <c r="E2081" i="1"/>
  <c r="F2081" i="1"/>
  <c r="P2081" i="1"/>
  <c r="E2082" i="1"/>
  <c r="F2082" i="1"/>
  <c r="P2082" i="1"/>
  <c r="E2083" i="1"/>
  <c r="F2083" i="1"/>
  <c r="P2083" i="1"/>
  <c r="E2084" i="1"/>
  <c r="F2084" i="1"/>
  <c r="P2084" i="1"/>
  <c r="E2085" i="1"/>
  <c r="F2085" i="1"/>
  <c r="P2085" i="1"/>
  <c r="E2086" i="1"/>
  <c r="F2086" i="1"/>
  <c r="P2086" i="1"/>
  <c r="E2087" i="1"/>
  <c r="F2087" i="1"/>
  <c r="P2087" i="1"/>
  <c r="E2088" i="1"/>
  <c r="F2088" i="1"/>
  <c r="P2088" i="1"/>
  <c r="E2089" i="1"/>
  <c r="F2089" i="1"/>
  <c r="P2089" i="1"/>
  <c r="E2090" i="1"/>
  <c r="F2090" i="1"/>
  <c r="P2090" i="1"/>
  <c r="E2091" i="1"/>
  <c r="F2091" i="1"/>
  <c r="E2092" i="1"/>
  <c r="F2092" i="1"/>
  <c r="E2093" i="1"/>
  <c r="F2093" i="1"/>
  <c r="P2093" i="1"/>
  <c r="E2094" i="1"/>
  <c r="F2094" i="1"/>
  <c r="P2094" i="1"/>
  <c r="E2096" i="1"/>
  <c r="F2096" i="1"/>
  <c r="P2096" i="1"/>
  <c r="E2098" i="1"/>
  <c r="F2098" i="1"/>
  <c r="P2098" i="1"/>
  <c r="E2099" i="1"/>
  <c r="F2099" i="1"/>
  <c r="P2099" i="1"/>
  <c r="E2100" i="1"/>
  <c r="F2100" i="1"/>
  <c r="P2100" i="1"/>
  <c r="E2101" i="1"/>
  <c r="F2101" i="1"/>
  <c r="P2101" i="1"/>
  <c r="E2107" i="1"/>
  <c r="F2107" i="1"/>
  <c r="P2107" i="1"/>
  <c r="E2111" i="1"/>
  <c r="F2111" i="1"/>
  <c r="E2112" i="1"/>
  <c r="F2112" i="1"/>
  <c r="E2115" i="1"/>
  <c r="F2115" i="1"/>
  <c r="P2115" i="1"/>
  <c r="E2116" i="1"/>
  <c r="F2116" i="1"/>
  <c r="P2116" i="1"/>
  <c r="E2117" i="1"/>
  <c r="F2117" i="1"/>
  <c r="P2117" i="1"/>
  <c r="E2123" i="1"/>
  <c r="F2123" i="1"/>
  <c r="P2123" i="1"/>
  <c r="E2044" i="1"/>
  <c r="F2044" i="1"/>
  <c r="P2044" i="1"/>
  <c r="E2045" i="1"/>
  <c r="F2045" i="1"/>
  <c r="P2045" i="1"/>
  <c r="E2046" i="1"/>
  <c r="F2046" i="1"/>
  <c r="P2046" i="1"/>
  <c r="E2050" i="1"/>
  <c r="F2050" i="1"/>
  <c r="E2033" i="1"/>
  <c r="F2033" i="1"/>
  <c r="P2033" i="1"/>
  <c r="E2034" i="1"/>
  <c r="F2034" i="1"/>
  <c r="P2034" i="1"/>
  <c r="E2035" i="1"/>
  <c r="F2035" i="1"/>
  <c r="P2035" i="1"/>
  <c r="E2036" i="1"/>
  <c r="F2036" i="1"/>
  <c r="P2036" i="1"/>
  <c r="E2037" i="1"/>
  <c r="F2037" i="1"/>
  <c r="P2037" i="1"/>
  <c r="E2038" i="1"/>
  <c r="F2038" i="1"/>
  <c r="P2038" i="1"/>
  <c r="E2027" i="1"/>
  <c r="F2027" i="1"/>
  <c r="P2027" i="1"/>
  <c r="E2028" i="1"/>
  <c r="F2028" i="1"/>
  <c r="P2028" i="1"/>
  <c r="E2029" i="1"/>
  <c r="F2029" i="1"/>
  <c r="P2029" i="1"/>
  <c r="E2030" i="1"/>
  <c r="F2030" i="1"/>
  <c r="P2030" i="1"/>
  <c r="E2031" i="1"/>
  <c r="F2031" i="1"/>
  <c r="P2031" i="1"/>
  <c r="E2032" i="1"/>
  <c r="F2032" i="1"/>
  <c r="P2032" i="1"/>
  <c r="E2039" i="1"/>
  <c r="F2039" i="1"/>
  <c r="P2039" i="1"/>
  <c r="E2040" i="1"/>
  <c r="F2040" i="1"/>
  <c r="P2040" i="1"/>
  <c r="E2019" i="1"/>
  <c r="F2019" i="1"/>
  <c r="P2019" i="1"/>
  <c r="Q2019" i="1"/>
  <c r="E2001" i="1"/>
  <c r="E2000" i="1"/>
  <c r="E1998" i="1"/>
  <c r="E1978" i="1"/>
  <c r="E1977" i="1"/>
  <c r="E1976" i="1"/>
  <c r="E1975" i="1"/>
  <c r="E1974" i="1"/>
  <c r="E1973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31" i="1"/>
  <c r="E1930" i="1"/>
  <c r="E1929" i="1"/>
  <c r="E1928" i="1"/>
  <c r="E1925" i="1"/>
  <c r="E1924" i="1"/>
  <c r="E1923" i="1"/>
  <c r="E1922" i="1"/>
  <c r="E1921" i="1"/>
  <c r="E1920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F1922" i="1"/>
  <c r="P1922" i="1"/>
  <c r="Q1922" i="1"/>
  <c r="F1923" i="1"/>
  <c r="P1923" i="1"/>
  <c r="Q1923" i="1"/>
  <c r="F1924" i="1"/>
  <c r="P1924" i="1"/>
  <c r="Q1924" i="1"/>
  <c r="F1925" i="1"/>
  <c r="P1925" i="1"/>
  <c r="Q1925" i="1"/>
  <c r="F1928" i="1"/>
  <c r="P1928" i="1"/>
  <c r="Q1928" i="1"/>
  <c r="F1929" i="1"/>
  <c r="Q1929" i="1"/>
  <c r="F1930" i="1"/>
  <c r="Q1930" i="1"/>
  <c r="F1931" i="1"/>
  <c r="Q1931" i="1"/>
  <c r="F1932" i="1"/>
  <c r="P1932" i="1"/>
  <c r="Q1932" i="1"/>
  <c r="F1933" i="1"/>
  <c r="P1933" i="1"/>
  <c r="Q1933" i="1"/>
  <c r="F1934" i="1"/>
  <c r="P1934" i="1"/>
  <c r="Q1934" i="1"/>
  <c r="F1935" i="1"/>
  <c r="P1935" i="1"/>
  <c r="Q1935" i="1"/>
  <c r="F1936" i="1"/>
  <c r="P1936" i="1"/>
  <c r="Q1936" i="1"/>
  <c r="F1937" i="1"/>
  <c r="P1937" i="1"/>
  <c r="Q1937" i="1"/>
  <c r="F1938" i="1"/>
  <c r="P1938" i="1"/>
  <c r="Q1938" i="1"/>
  <c r="F1939" i="1"/>
  <c r="P1939" i="1"/>
  <c r="Q1939" i="1"/>
  <c r="F1940" i="1"/>
  <c r="P1940" i="1"/>
  <c r="Q1940" i="1"/>
  <c r="F1941" i="1"/>
  <c r="P1941" i="1"/>
  <c r="Q1941" i="1"/>
  <c r="F1942" i="1"/>
  <c r="P1942" i="1"/>
  <c r="Q1942" i="1"/>
  <c r="F1943" i="1"/>
  <c r="Q1943" i="1"/>
  <c r="F1944" i="1"/>
  <c r="P1944" i="1"/>
  <c r="Q1944" i="1"/>
  <c r="F1945" i="1"/>
  <c r="P1945" i="1"/>
  <c r="Q1945" i="1"/>
  <c r="F1946" i="1"/>
  <c r="P1946" i="1"/>
  <c r="Q1946" i="1"/>
  <c r="F1947" i="1"/>
  <c r="Q1947" i="1"/>
  <c r="F1948" i="1"/>
  <c r="P1948" i="1"/>
  <c r="Q1948" i="1"/>
  <c r="F1949" i="1"/>
  <c r="P1949" i="1"/>
  <c r="Q1949" i="1"/>
  <c r="F1950" i="1"/>
  <c r="P1950" i="1"/>
  <c r="Q1950" i="1"/>
  <c r="F1951" i="1"/>
  <c r="P1951" i="1"/>
  <c r="Q1951" i="1"/>
  <c r="F1953" i="1"/>
  <c r="P1953" i="1"/>
  <c r="Q1953" i="1"/>
  <c r="F1954" i="1"/>
  <c r="P1954" i="1"/>
  <c r="Q1954" i="1"/>
  <c r="F1955" i="1"/>
  <c r="P1955" i="1"/>
  <c r="Q1955" i="1"/>
  <c r="F1956" i="1"/>
  <c r="P1956" i="1"/>
  <c r="Q1956" i="1"/>
  <c r="F1957" i="1"/>
  <c r="P1957" i="1"/>
  <c r="Q1957" i="1"/>
  <c r="F1958" i="1"/>
  <c r="P1958" i="1"/>
  <c r="Q1958" i="1"/>
  <c r="F1959" i="1"/>
  <c r="P1959" i="1"/>
  <c r="Q1959" i="1"/>
  <c r="F1960" i="1"/>
  <c r="P1960" i="1"/>
  <c r="Q1960" i="1"/>
  <c r="F1961" i="1"/>
  <c r="P1961" i="1"/>
  <c r="Q1961" i="1"/>
  <c r="F1962" i="1"/>
  <c r="P1962" i="1"/>
  <c r="Q1962" i="1"/>
  <c r="F1963" i="1"/>
  <c r="P1963" i="1"/>
  <c r="Q1963" i="1"/>
  <c r="F1964" i="1"/>
  <c r="P1964" i="1"/>
  <c r="Q1964" i="1"/>
  <c r="F1965" i="1"/>
  <c r="P1965" i="1"/>
  <c r="Q1965" i="1"/>
  <c r="F1966" i="1"/>
  <c r="P1966" i="1"/>
  <c r="Q1966" i="1"/>
  <c r="F1967" i="1"/>
  <c r="P1967" i="1"/>
  <c r="Q1967" i="1"/>
  <c r="F1968" i="1"/>
  <c r="P1968" i="1"/>
  <c r="Q1968" i="1"/>
  <c r="F1969" i="1"/>
  <c r="P1969" i="1"/>
  <c r="Q1969" i="1"/>
  <c r="F1970" i="1"/>
  <c r="Q1970" i="1"/>
  <c r="F1971" i="1"/>
  <c r="Q1971" i="1"/>
  <c r="F1973" i="1"/>
  <c r="P1973" i="1"/>
  <c r="Q1973" i="1"/>
  <c r="F1974" i="1"/>
  <c r="P1974" i="1"/>
  <c r="Q1974" i="1"/>
  <c r="F1975" i="1"/>
  <c r="P1975" i="1"/>
  <c r="Q1975" i="1"/>
  <c r="F1976" i="1"/>
  <c r="P1976" i="1"/>
  <c r="Q1976" i="1"/>
  <c r="F1977" i="1"/>
  <c r="P1977" i="1"/>
  <c r="Q1977" i="1"/>
  <c r="F1978" i="1"/>
  <c r="P1978" i="1"/>
  <c r="F1998" i="1"/>
  <c r="P1998" i="1"/>
  <c r="Q1998" i="1"/>
  <c r="F2000" i="1"/>
  <c r="P2000" i="1"/>
  <c r="Q2000" i="1"/>
  <c r="F2001" i="1"/>
  <c r="P2001" i="1"/>
  <c r="Q2001" i="1"/>
  <c r="Q2006" i="1"/>
  <c r="Q2005" i="1"/>
  <c r="T2005" i="1" s="1"/>
  <c r="Q2004" i="1"/>
  <c r="Q2003" i="1"/>
  <c r="Q1921" i="1"/>
  <c r="Q1920" i="1"/>
  <c r="P2018" i="1"/>
  <c r="F2018" i="1"/>
  <c r="E2018" i="1"/>
  <c r="E2020" i="1"/>
  <c r="F2020" i="1"/>
  <c r="P2020" i="1"/>
  <c r="Q2020" i="1"/>
  <c r="E2021" i="1"/>
  <c r="F2021" i="1"/>
  <c r="Q2021" i="1"/>
  <c r="E2022" i="1"/>
  <c r="F2022" i="1"/>
  <c r="P2022" i="1"/>
  <c r="Q2022" i="1"/>
  <c r="C2024" i="1"/>
  <c r="E2024" i="1"/>
  <c r="F2024" i="1"/>
  <c r="P2024" i="1"/>
  <c r="S2024" i="1" s="1"/>
  <c r="Q2024" i="1"/>
  <c r="T2024" i="1" s="1"/>
  <c r="U2024" i="1"/>
  <c r="E2011" i="1"/>
  <c r="F2011" i="1"/>
  <c r="P2011" i="1"/>
  <c r="Q2011" i="1"/>
  <c r="E2008" i="1"/>
  <c r="F2008" i="1"/>
  <c r="P2008" i="1"/>
  <c r="Q2008" i="1"/>
  <c r="E2009" i="1"/>
  <c r="F2009" i="1"/>
  <c r="P2009" i="1"/>
  <c r="Q2009" i="1"/>
  <c r="E2010" i="1"/>
  <c r="F2010" i="1"/>
  <c r="P2010" i="1"/>
  <c r="Q2010" i="1"/>
  <c r="G1464" i="1"/>
  <c r="G1463" i="1"/>
  <c r="G1462" i="1"/>
  <c r="G1460" i="1"/>
  <c r="G1459" i="1"/>
  <c r="E1918" i="1"/>
  <c r="F1918" i="1"/>
  <c r="P1918" i="1"/>
  <c r="E1919" i="1"/>
  <c r="F1919" i="1"/>
  <c r="P1919" i="1"/>
  <c r="E1906" i="1"/>
  <c r="F1906" i="1"/>
  <c r="P1906" i="1"/>
  <c r="E1907" i="1"/>
  <c r="F1907" i="1"/>
  <c r="P1907" i="1"/>
  <c r="E1908" i="1"/>
  <c r="F1908" i="1"/>
  <c r="P1908" i="1"/>
  <c r="E1909" i="1"/>
  <c r="F1909" i="1"/>
  <c r="P1909" i="1"/>
  <c r="E1910" i="1"/>
  <c r="F1910" i="1"/>
  <c r="P1910" i="1"/>
  <c r="H1456" i="1"/>
  <c r="H1715" i="1"/>
  <c r="H1714" i="1"/>
  <c r="H1707" i="1"/>
  <c r="H1706" i="1"/>
  <c r="H1705" i="1"/>
  <c r="H1680" i="1"/>
  <c r="H1681" i="1"/>
  <c r="H1682" i="1"/>
  <c r="H1683" i="1"/>
  <c r="H1684" i="1"/>
  <c r="H1685" i="1"/>
  <c r="H1686" i="1"/>
  <c r="H1687" i="1"/>
  <c r="H1688" i="1"/>
  <c r="H1689" i="1"/>
  <c r="E1698" i="1"/>
  <c r="F1698" i="1"/>
  <c r="G1696" i="1"/>
  <c r="H1696" i="1" s="1"/>
  <c r="G1695" i="1"/>
  <c r="H1695" i="1" s="1"/>
  <c r="G1666" i="1"/>
  <c r="C1666" i="1" s="1"/>
  <c r="G1667" i="1"/>
  <c r="H1667" i="1" s="1"/>
  <c r="G1668" i="1"/>
  <c r="H1668" i="1" s="1"/>
  <c r="G1669" i="1"/>
  <c r="H1669" i="1" s="1"/>
  <c r="G1670" i="1"/>
  <c r="H1670" i="1" s="1"/>
  <c r="G1679" i="1"/>
  <c r="H1679" i="1" s="1"/>
  <c r="G1678" i="1"/>
  <c r="C1678" i="1" s="1"/>
  <c r="G1677" i="1"/>
  <c r="C1677" i="1" s="1"/>
  <c r="G1676" i="1"/>
  <c r="U1676" i="1" s="1"/>
  <c r="G1675" i="1"/>
  <c r="H1675" i="1" s="1"/>
  <c r="G1674" i="1"/>
  <c r="H1674" i="1" s="1"/>
  <c r="G1673" i="1"/>
  <c r="H1673" i="1" s="1"/>
  <c r="E1665" i="1"/>
  <c r="F1665" i="1"/>
  <c r="P1665" i="1"/>
  <c r="E1666" i="1"/>
  <c r="F1666" i="1"/>
  <c r="P1666" i="1"/>
  <c r="E1667" i="1"/>
  <c r="F1667" i="1"/>
  <c r="P1667" i="1"/>
  <c r="E1668" i="1"/>
  <c r="F1668" i="1"/>
  <c r="P1668" i="1"/>
  <c r="E1669" i="1"/>
  <c r="F1669" i="1"/>
  <c r="P1669" i="1"/>
  <c r="E1670" i="1"/>
  <c r="F1670" i="1"/>
  <c r="P1670" i="1"/>
  <c r="E1671" i="1"/>
  <c r="F1671" i="1"/>
  <c r="P1671" i="1"/>
  <c r="E1673" i="1"/>
  <c r="F1673" i="1"/>
  <c r="P1673" i="1"/>
  <c r="S1673" i="1" s="1"/>
  <c r="E1674" i="1"/>
  <c r="F1674" i="1"/>
  <c r="P1674" i="1"/>
  <c r="E1675" i="1"/>
  <c r="F1675" i="1"/>
  <c r="P1675" i="1"/>
  <c r="E1676" i="1"/>
  <c r="F1676" i="1"/>
  <c r="P1676" i="1"/>
  <c r="E1677" i="1"/>
  <c r="F1677" i="1"/>
  <c r="P1677" i="1"/>
  <c r="E1678" i="1"/>
  <c r="F1678" i="1"/>
  <c r="P1678" i="1"/>
  <c r="E1679" i="1"/>
  <c r="F1679" i="1"/>
  <c r="P1679" i="1"/>
  <c r="G1659" i="1"/>
  <c r="H1659" i="1" s="1"/>
  <c r="G1660" i="1"/>
  <c r="H1660" i="1" s="1"/>
  <c r="G1662" i="1"/>
  <c r="H1662" i="1" s="1"/>
  <c r="G1663" i="1"/>
  <c r="J1663" i="1" s="1"/>
  <c r="G1664" i="1"/>
  <c r="J1664" i="1" s="1"/>
  <c r="E2244" i="1"/>
  <c r="F2244" i="1"/>
  <c r="P2244" i="1"/>
  <c r="R2244" i="1"/>
  <c r="R2308" i="1"/>
  <c r="U2308" i="1" s="1"/>
  <c r="R2307" i="1"/>
  <c r="U2307" i="1" s="1"/>
  <c r="R2306" i="1"/>
  <c r="U2306" i="1" s="1"/>
  <c r="R2305" i="1"/>
  <c r="U2305" i="1" s="1"/>
  <c r="R2303" i="1"/>
  <c r="R2302" i="1"/>
  <c r="R2262" i="1"/>
  <c r="U2262" i="1" s="1"/>
  <c r="R2261" i="1"/>
  <c r="R2260" i="1"/>
  <c r="U2260" i="1" s="1"/>
  <c r="R2259" i="1"/>
  <c r="R2258" i="1"/>
  <c r="R2257" i="1"/>
  <c r="U2257" i="1" s="1"/>
  <c r="R2256" i="1"/>
  <c r="U2256" i="1" s="1"/>
  <c r="R2255" i="1"/>
  <c r="U2255" i="1" s="1"/>
  <c r="R2254" i="1"/>
  <c r="U2254" i="1" s="1"/>
  <c r="R2275" i="1"/>
  <c r="R2274" i="1"/>
  <c r="R2272" i="1"/>
  <c r="R2271" i="1"/>
  <c r="R2267" i="1"/>
  <c r="R2266" i="1"/>
  <c r="R2265" i="1"/>
  <c r="R2264" i="1"/>
  <c r="R2243" i="1"/>
  <c r="R2242" i="1"/>
  <c r="R2241" i="1"/>
  <c r="R2240" i="1"/>
  <c r="R2238" i="1"/>
  <c r="R2237" i="1"/>
  <c r="R2236" i="1"/>
  <c r="R2235" i="1"/>
  <c r="O332" i="1"/>
  <c r="O333" i="1" s="1"/>
  <c r="E1610" i="1"/>
  <c r="F1610" i="1"/>
  <c r="P1610" i="1"/>
  <c r="Q1610" i="1"/>
  <c r="R1610" i="1"/>
  <c r="C1611" i="1"/>
  <c r="E1611" i="1"/>
  <c r="F1611" i="1"/>
  <c r="H1611" i="1"/>
  <c r="J1611" i="1"/>
  <c r="P1611" i="1"/>
  <c r="S1611" i="1" s="1"/>
  <c r="Q1611" i="1"/>
  <c r="T1611" i="1" s="1"/>
  <c r="R1611" i="1"/>
  <c r="U1611" i="1" s="1"/>
  <c r="E1612" i="1"/>
  <c r="F1612" i="1"/>
  <c r="H1612" i="1"/>
  <c r="J1612" i="1"/>
  <c r="P1612" i="1"/>
  <c r="S1612" i="1" s="1"/>
  <c r="Q1612" i="1"/>
  <c r="T1612" i="1" s="1"/>
  <c r="R1612" i="1"/>
  <c r="U1612" i="1" s="1"/>
  <c r="E1613" i="1"/>
  <c r="F1613" i="1"/>
  <c r="H1613" i="1"/>
  <c r="J1613" i="1"/>
  <c r="P1613" i="1"/>
  <c r="S1613" i="1" s="1"/>
  <c r="Q1613" i="1"/>
  <c r="T1613" i="1" s="1"/>
  <c r="R1613" i="1"/>
  <c r="U1613" i="1" s="1"/>
  <c r="E1614" i="1"/>
  <c r="F1614" i="1"/>
  <c r="H1614" i="1"/>
  <c r="J1614" i="1"/>
  <c r="P1614" i="1"/>
  <c r="S1614" i="1" s="1"/>
  <c r="Q1614" i="1"/>
  <c r="T1614" i="1" s="1"/>
  <c r="R1614" i="1"/>
  <c r="U1614" i="1" s="1"/>
  <c r="E1615" i="1"/>
  <c r="F1615" i="1"/>
  <c r="H1615" i="1"/>
  <c r="J1615" i="1"/>
  <c r="P1615" i="1"/>
  <c r="S1615" i="1" s="1"/>
  <c r="Q1615" i="1"/>
  <c r="T1615" i="1" s="1"/>
  <c r="R1615" i="1"/>
  <c r="U1615" i="1" s="1"/>
  <c r="E1607" i="1"/>
  <c r="F1607" i="1"/>
  <c r="P1607" i="1"/>
  <c r="Q1607" i="1"/>
  <c r="R1607" i="1"/>
  <c r="E1608" i="1"/>
  <c r="F1608" i="1"/>
  <c r="P1608" i="1"/>
  <c r="Q1608" i="1"/>
  <c r="R1608" i="1"/>
  <c r="E1554" i="1"/>
  <c r="F1554" i="1"/>
  <c r="P1554" i="1"/>
  <c r="R1554" i="1"/>
  <c r="R1556" i="1"/>
  <c r="P1556" i="1"/>
  <c r="F1556" i="1"/>
  <c r="E1556" i="1"/>
  <c r="R1555" i="1"/>
  <c r="P1555" i="1"/>
  <c r="F1555" i="1"/>
  <c r="E1555" i="1"/>
  <c r="R1553" i="1"/>
  <c r="P1553" i="1"/>
  <c r="F1553" i="1"/>
  <c r="E1553" i="1"/>
  <c r="P1552" i="1"/>
  <c r="F1552" i="1"/>
  <c r="E1552" i="1"/>
  <c r="F1277" i="1"/>
  <c r="P1277" i="1"/>
  <c r="S1277" i="1" s="1"/>
  <c r="F1278" i="1"/>
  <c r="P1278" i="1"/>
  <c r="E1279" i="1"/>
  <c r="F1279" i="1"/>
  <c r="G1279" i="1"/>
  <c r="K1279" i="1" s="1"/>
  <c r="P1279" i="1"/>
  <c r="E1280" i="1"/>
  <c r="F1280" i="1"/>
  <c r="G1280" i="1"/>
  <c r="K1280" i="1" s="1"/>
  <c r="P1280" i="1"/>
  <c r="E1281" i="1"/>
  <c r="F1281" i="1"/>
  <c r="G1281" i="1"/>
  <c r="K1281" i="1" s="1"/>
  <c r="P1281" i="1"/>
  <c r="E1282" i="1"/>
  <c r="F1282" i="1"/>
  <c r="G1282" i="1"/>
  <c r="K1282" i="1" s="1"/>
  <c r="P1282" i="1"/>
  <c r="E1283" i="1"/>
  <c r="F1283" i="1"/>
  <c r="G1283" i="1"/>
  <c r="K1283" i="1" s="1"/>
  <c r="P1283" i="1"/>
  <c r="E1284" i="1"/>
  <c r="F1284" i="1"/>
  <c r="G1284" i="1"/>
  <c r="K1284" i="1" s="1"/>
  <c r="P1284" i="1"/>
  <c r="F1487" i="1"/>
  <c r="P1487" i="1"/>
  <c r="E1488" i="1"/>
  <c r="F1488" i="1"/>
  <c r="G1488" i="1"/>
  <c r="H1488" i="1" s="1"/>
  <c r="P1488" i="1"/>
  <c r="E1489" i="1"/>
  <c r="F1489" i="1"/>
  <c r="G1489" i="1"/>
  <c r="P1489" i="1"/>
  <c r="E1490" i="1"/>
  <c r="F1490" i="1"/>
  <c r="J1490" i="1"/>
  <c r="P1490" i="1"/>
  <c r="E1491" i="1"/>
  <c r="F1491" i="1"/>
  <c r="G1491" i="1"/>
  <c r="P1491" i="1"/>
  <c r="E1492" i="1"/>
  <c r="F1492" i="1"/>
  <c r="G1492" i="1"/>
  <c r="T1492" i="1" s="1"/>
  <c r="P1492" i="1"/>
  <c r="E1479" i="1"/>
  <c r="F1479" i="1"/>
  <c r="G1479" i="1"/>
  <c r="U1479" i="1" s="1"/>
  <c r="P1479" i="1"/>
  <c r="E1480" i="1"/>
  <c r="F1480" i="1"/>
  <c r="G1480" i="1"/>
  <c r="T1480" i="1" s="1"/>
  <c r="P1480" i="1"/>
  <c r="E1481" i="1"/>
  <c r="F1481" i="1"/>
  <c r="G1481" i="1"/>
  <c r="T1481" i="1" s="1"/>
  <c r="P1481" i="1"/>
  <c r="E1482" i="1"/>
  <c r="F1482" i="1"/>
  <c r="G1482" i="1"/>
  <c r="J1482" i="1" s="1"/>
  <c r="P1482" i="1"/>
  <c r="E1483" i="1"/>
  <c r="F1483" i="1"/>
  <c r="G1483" i="1"/>
  <c r="H1483" i="1" s="1"/>
  <c r="P1483" i="1"/>
  <c r="E1484" i="1"/>
  <c r="F1484" i="1"/>
  <c r="G1484" i="1"/>
  <c r="U1484" i="1" s="1"/>
  <c r="P1484" i="1"/>
  <c r="P1473" i="1"/>
  <c r="G1473" i="1"/>
  <c r="U1473" i="1" s="1"/>
  <c r="F1473" i="1"/>
  <c r="E1473" i="1"/>
  <c r="P1472" i="1"/>
  <c r="F1472" i="1"/>
  <c r="E1472" i="1"/>
  <c r="P1471" i="1"/>
  <c r="G1471" i="1"/>
  <c r="H1471" i="1" s="1"/>
  <c r="F1471" i="1"/>
  <c r="E1471" i="1"/>
  <c r="P1470" i="1"/>
  <c r="G1470" i="1"/>
  <c r="T1470" i="1" s="1"/>
  <c r="F1470" i="1"/>
  <c r="E1470" i="1"/>
  <c r="P1469" i="1"/>
  <c r="G1469" i="1"/>
  <c r="H1469" i="1" s="1"/>
  <c r="F1469" i="1"/>
  <c r="E1469" i="1"/>
  <c r="P1468" i="1"/>
  <c r="G1468" i="1"/>
  <c r="T1468" i="1" s="1"/>
  <c r="F1468" i="1"/>
  <c r="E1468" i="1"/>
  <c r="P1467" i="1"/>
  <c r="G1467" i="1"/>
  <c r="H1467" i="1" s="1"/>
  <c r="F1467" i="1"/>
  <c r="E1467" i="1"/>
  <c r="P1466" i="1"/>
  <c r="G1466" i="1"/>
  <c r="T1466" i="1" s="1"/>
  <c r="F1466" i="1"/>
  <c r="E1466" i="1"/>
  <c r="P1465" i="1"/>
  <c r="F1465" i="1"/>
  <c r="E1465" i="1"/>
  <c r="E1459" i="1"/>
  <c r="F1459" i="1"/>
  <c r="P1459" i="1"/>
  <c r="E1460" i="1"/>
  <c r="F1460" i="1"/>
  <c r="P1460" i="1"/>
  <c r="E1461" i="1"/>
  <c r="F1461" i="1"/>
  <c r="P1461" i="1"/>
  <c r="E1462" i="1"/>
  <c r="F1462" i="1"/>
  <c r="P1462" i="1"/>
  <c r="E1463" i="1"/>
  <c r="F1463" i="1"/>
  <c r="P1463" i="1"/>
  <c r="J1500" i="1"/>
  <c r="J1503" i="1"/>
  <c r="J1515" i="1"/>
  <c r="J1531" i="1"/>
  <c r="J1537" i="1"/>
  <c r="J1538" i="1"/>
  <c r="J1565" i="1"/>
  <c r="J1566" i="1"/>
  <c r="J1571" i="1"/>
  <c r="J1574" i="1"/>
  <c r="J1575" i="1"/>
  <c r="J1576" i="1"/>
  <c r="J1577" i="1"/>
  <c r="J1578" i="1"/>
  <c r="J1579" i="1"/>
  <c r="J1580" i="1"/>
  <c r="J1581" i="1"/>
  <c r="J1582" i="1"/>
  <c r="J1586" i="1"/>
  <c r="J1587" i="1"/>
  <c r="J1588" i="1"/>
  <c r="J1589" i="1"/>
  <c r="J1590" i="1"/>
  <c r="J1598" i="1"/>
  <c r="J1599" i="1"/>
  <c r="J1600" i="1"/>
  <c r="J1601" i="1"/>
  <c r="J1602" i="1"/>
  <c r="J1617" i="1"/>
  <c r="J1625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57" i="1"/>
  <c r="J1680" i="1"/>
  <c r="J1681" i="1"/>
  <c r="J1682" i="1"/>
  <c r="J1683" i="1"/>
  <c r="J1684" i="1"/>
  <c r="J1685" i="1"/>
  <c r="J1686" i="1"/>
  <c r="J1687" i="1"/>
  <c r="J1688" i="1"/>
  <c r="J1689" i="1"/>
  <c r="J1705" i="1"/>
  <c r="J1706" i="1"/>
  <c r="J1707" i="1"/>
  <c r="J1714" i="1"/>
  <c r="J1715" i="1"/>
  <c r="T1701" i="1"/>
  <c r="E1453" i="1"/>
  <c r="F1453" i="1"/>
  <c r="G1450" i="1"/>
  <c r="H1450" i="1" s="1"/>
  <c r="G1444" i="1"/>
  <c r="K1444" i="1" s="1"/>
  <c r="G1439" i="1"/>
  <c r="G1440" i="1"/>
  <c r="H1440" i="1" s="1"/>
  <c r="G1441" i="1"/>
  <c r="H1441" i="1" s="1"/>
  <c r="G1442" i="1"/>
  <c r="H1442" i="1" s="1"/>
  <c r="G1443" i="1"/>
  <c r="K1443" i="1" s="1"/>
  <c r="G1438" i="1"/>
  <c r="H1438" i="1" s="1"/>
  <c r="G1432" i="1"/>
  <c r="T1432" i="1" s="1"/>
  <c r="G1433" i="1"/>
  <c r="H1433" i="1" s="1"/>
  <c r="G1434" i="1"/>
  <c r="H1434" i="1" s="1"/>
  <c r="G1435" i="1"/>
  <c r="K1435" i="1" s="1"/>
  <c r="G1436" i="1"/>
  <c r="H1436" i="1" s="1"/>
  <c r="G1437" i="1"/>
  <c r="H1437" i="1" s="1"/>
  <c r="K1425" i="1"/>
  <c r="H1426" i="1"/>
  <c r="G1427" i="1"/>
  <c r="H1427" i="1" s="1"/>
  <c r="G1428" i="1"/>
  <c r="H1428" i="1" s="1"/>
  <c r="G1429" i="1"/>
  <c r="K1429" i="1" s="1"/>
  <c r="G1430" i="1"/>
  <c r="H1430" i="1" s="1"/>
  <c r="G1271" i="1"/>
  <c r="T1271" i="1" s="1"/>
  <c r="G1272" i="1"/>
  <c r="K1272" i="1" s="1"/>
  <c r="G1273" i="1"/>
  <c r="K1273" i="1" s="1"/>
  <c r="G1274" i="1"/>
  <c r="K1274" i="1" s="1"/>
  <c r="G1275" i="1"/>
  <c r="U1275" i="1" s="1"/>
  <c r="G1276" i="1"/>
  <c r="K1276" i="1" s="1"/>
  <c r="G1270" i="1"/>
  <c r="K1270" i="1" s="1"/>
  <c r="G1257" i="1"/>
  <c r="K1257" i="1" s="1"/>
  <c r="G1259" i="1"/>
  <c r="K1259" i="1" s="1"/>
  <c r="G1260" i="1"/>
  <c r="K1260" i="1" s="1"/>
  <c r="G1261" i="1"/>
  <c r="U1261" i="1" s="1"/>
  <c r="G1262" i="1"/>
  <c r="T1262" i="1" s="1"/>
  <c r="G1264" i="1"/>
  <c r="C1264" i="1" s="1"/>
  <c r="G1265" i="1"/>
  <c r="K1265" i="1" s="1"/>
  <c r="G1266" i="1"/>
  <c r="T1266" i="1" s="1"/>
  <c r="G1267" i="1"/>
  <c r="U1267" i="1" s="1"/>
  <c r="G1268" i="1"/>
  <c r="K1268" i="1" s="1"/>
  <c r="G1269" i="1"/>
  <c r="K1269" i="1" s="1"/>
  <c r="G1255" i="1"/>
  <c r="K1255" i="1" s="1"/>
  <c r="G1254" i="1"/>
  <c r="C1254" i="1" s="1"/>
  <c r="G1253" i="1"/>
  <c r="K1253" i="1" s="1"/>
  <c r="G1252" i="1"/>
  <c r="K1252" i="1" s="1"/>
  <c r="G1251" i="1"/>
  <c r="K1251" i="1" s="1"/>
  <c r="G1250" i="1"/>
  <c r="T1250" i="1" s="1"/>
  <c r="P1269" i="1"/>
  <c r="F1269" i="1"/>
  <c r="E1269" i="1"/>
  <c r="P1268" i="1"/>
  <c r="F1268" i="1"/>
  <c r="E1268" i="1"/>
  <c r="P1267" i="1"/>
  <c r="F1267" i="1"/>
  <c r="E1267" i="1"/>
  <c r="P1266" i="1"/>
  <c r="F1266" i="1"/>
  <c r="E1266" i="1"/>
  <c r="P1265" i="1"/>
  <c r="F1265" i="1"/>
  <c r="E1265" i="1"/>
  <c r="P1264" i="1"/>
  <c r="F1264" i="1"/>
  <c r="E1264" i="1"/>
  <c r="P1263" i="1"/>
  <c r="F1263" i="1"/>
  <c r="E1257" i="1"/>
  <c r="F1257" i="1"/>
  <c r="P1257" i="1"/>
  <c r="F1258" i="1"/>
  <c r="P1258" i="1"/>
  <c r="E1259" i="1"/>
  <c r="F1259" i="1"/>
  <c r="P1259" i="1"/>
  <c r="E1260" i="1"/>
  <c r="F1260" i="1"/>
  <c r="P1260" i="1"/>
  <c r="E1261" i="1"/>
  <c r="F1261" i="1"/>
  <c r="P1261" i="1"/>
  <c r="E1262" i="1"/>
  <c r="F1262" i="1"/>
  <c r="P1262" i="1"/>
  <c r="P1437" i="1"/>
  <c r="F1437" i="1"/>
  <c r="E1437" i="1"/>
  <c r="P1436" i="1"/>
  <c r="F1436" i="1"/>
  <c r="E1436" i="1"/>
  <c r="P1435" i="1"/>
  <c r="F1435" i="1"/>
  <c r="E1435" i="1"/>
  <c r="P1434" i="1"/>
  <c r="F1434" i="1"/>
  <c r="E1434" i="1"/>
  <c r="P1433" i="1"/>
  <c r="F1433" i="1"/>
  <c r="E1433" i="1"/>
  <c r="P1432" i="1"/>
  <c r="F1432" i="1"/>
  <c r="E1432" i="1"/>
  <c r="P1431" i="1"/>
  <c r="F1431" i="1"/>
  <c r="E1431" i="1"/>
  <c r="P1438" i="1"/>
  <c r="F1438" i="1"/>
  <c r="E1438" i="1"/>
  <c r="Q1392" i="1"/>
  <c r="P1392" i="1"/>
  <c r="F1392" i="1"/>
  <c r="E1392" i="1"/>
  <c r="P1391" i="1"/>
  <c r="F1391" i="1"/>
  <c r="E1391" i="1"/>
  <c r="E1389" i="1"/>
  <c r="F1389" i="1"/>
  <c r="P1389" i="1"/>
  <c r="E1386" i="1"/>
  <c r="F1386" i="1"/>
  <c r="P1386" i="1"/>
  <c r="E1387" i="1"/>
  <c r="F1387" i="1"/>
  <c r="P1387" i="1"/>
  <c r="E1381" i="1"/>
  <c r="F1381" i="1"/>
  <c r="P1381" i="1"/>
  <c r="E1382" i="1"/>
  <c r="F1382" i="1"/>
  <c r="P1382" i="1"/>
  <c r="E1383" i="1"/>
  <c r="F1383" i="1"/>
  <c r="P1383" i="1"/>
  <c r="E1384" i="1"/>
  <c r="F1384" i="1"/>
  <c r="P1384" i="1"/>
  <c r="E1347" i="1"/>
  <c r="F1347" i="1"/>
  <c r="E1348" i="1"/>
  <c r="F1348" i="1"/>
  <c r="P1346" i="1"/>
  <c r="F1346" i="1"/>
  <c r="E1346" i="1"/>
  <c r="P1345" i="1"/>
  <c r="F1345" i="1"/>
  <c r="E1345" i="1"/>
  <c r="P1297" i="1"/>
  <c r="F1297" i="1"/>
  <c r="E1297" i="1"/>
  <c r="P1296" i="1"/>
  <c r="F1296" i="1"/>
  <c r="E1296" i="1"/>
  <c r="P1295" i="1"/>
  <c r="F1295" i="1"/>
  <c r="E1295" i="1"/>
  <c r="F1305" i="1"/>
  <c r="E1305" i="1"/>
  <c r="P1304" i="1"/>
  <c r="F1304" i="1"/>
  <c r="E1304" i="1"/>
  <c r="P1303" i="1"/>
  <c r="F1303" i="1"/>
  <c r="E1303" i="1"/>
  <c r="P1290" i="1"/>
  <c r="F1290" i="1"/>
  <c r="E1290" i="1"/>
  <c r="P1289" i="1"/>
  <c r="F1289" i="1"/>
  <c r="E1289" i="1"/>
  <c r="BR86" i="18"/>
  <c r="BS86" i="18"/>
  <c r="BT86" i="18"/>
  <c r="BU86" i="18"/>
  <c r="BV86" i="18"/>
  <c r="D2255" i="23"/>
  <c r="E2255" i="23"/>
  <c r="F2255" i="23"/>
  <c r="H2255" i="23"/>
  <c r="I2255" i="23"/>
  <c r="J2255" i="23"/>
  <c r="K2255" i="23"/>
  <c r="D2248" i="23"/>
  <c r="E2248" i="23"/>
  <c r="F2248" i="23"/>
  <c r="H2248" i="23"/>
  <c r="I2248" i="23"/>
  <c r="J2248" i="23"/>
  <c r="K2248" i="23"/>
  <c r="E2249" i="23"/>
  <c r="E2247" i="23"/>
  <c r="E1642" i="23"/>
  <c r="F1642" i="23"/>
  <c r="H1642" i="23"/>
  <c r="I1642" i="23"/>
  <c r="D1639" i="23"/>
  <c r="E1639" i="23"/>
  <c r="F1639" i="23"/>
  <c r="H1639" i="23"/>
  <c r="L1639" i="23" s="1"/>
  <c r="I1639" i="23"/>
  <c r="K1639" i="23"/>
  <c r="H1393" i="23"/>
  <c r="H1392" i="23"/>
  <c r="H1391" i="23"/>
  <c r="E3496" i="23"/>
  <c r="E3324" i="23"/>
  <c r="E3020" i="23"/>
  <c r="D1367" i="23"/>
  <c r="E1367" i="23"/>
  <c r="F1367" i="23"/>
  <c r="H1367" i="23"/>
  <c r="I1367" i="23"/>
  <c r="J1367" i="23"/>
  <c r="K1367" i="23"/>
  <c r="D1364" i="23"/>
  <c r="E1364" i="23"/>
  <c r="F1364" i="23"/>
  <c r="H1364" i="23"/>
  <c r="I1364" i="23"/>
  <c r="J1364" i="23"/>
  <c r="K1364" i="23"/>
  <c r="P1970" i="1"/>
  <c r="P2016" i="1"/>
  <c r="P2015" i="1"/>
  <c r="P2013" i="1"/>
  <c r="E2014" i="1"/>
  <c r="F2014" i="1"/>
  <c r="P1929" i="1"/>
  <c r="P1931" i="1"/>
  <c r="E1916" i="1"/>
  <c r="F1916" i="1"/>
  <c r="P1916" i="1"/>
  <c r="E483" i="49"/>
  <c r="B29" i="26"/>
  <c r="P1943" i="1"/>
  <c r="P1994" i="1"/>
  <c r="P1993" i="1"/>
  <c r="H485" i="49"/>
  <c r="J2065" i="23"/>
  <c r="N2065" i="23" s="1"/>
  <c r="H2065" i="23"/>
  <c r="L2065" i="23" s="1"/>
  <c r="Q2244" i="1"/>
  <c r="S789" i="1"/>
  <c r="T784" i="1"/>
  <c r="S784" i="1"/>
  <c r="Q784" i="1"/>
  <c r="S780" i="1"/>
  <c r="E472" i="1"/>
  <c r="U1256" i="23"/>
  <c r="P787" i="1"/>
  <c r="S787" i="1" s="1"/>
  <c r="P788" i="1"/>
  <c r="S788" i="1" s="1"/>
  <c r="P786" i="1"/>
  <c r="D1231" i="23"/>
  <c r="F1231" i="23"/>
  <c r="I1231" i="23"/>
  <c r="J1231" i="23"/>
  <c r="K1231" i="23"/>
  <c r="E1235" i="23"/>
  <c r="E496" i="49"/>
  <c r="E495" i="49"/>
  <c r="E500" i="49"/>
  <c r="E487" i="49"/>
  <c r="K489" i="49"/>
  <c r="J489" i="49"/>
  <c r="F489" i="49"/>
  <c r="E489" i="49"/>
  <c r="D489" i="49"/>
  <c r="K488" i="49"/>
  <c r="J488" i="49"/>
  <c r="H488" i="49"/>
  <c r="F488" i="49"/>
  <c r="E488" i="49"/>
  <c r="D488" i="49"/>
  <c r="K487" i="49"/>
  <c r="J487" i="49"/>
  <c r="H487" i="49"/>
  <c r="F487" i="49"/>
  <c r="D487" i="49"/>
  <c r="K486" i="49"/>
  <c r="J486" i="49"/>
  <c r="H486" i="49"/>
  <c r="F486" i="49"/>
  <c r="E486" i="49"/>
  <c r="D486" i="49"/>
  <c r="K485" i="49"/>
  <c r="J485" i="49"/>
  <c r="F485" i="49"/>
  <c r="E485" i="49"/>
  <c r="D485" i="49"/>
  <c r="K484" i="49"/>
  <c r="J484" i="49"/>
  <c r="H484" i="49"/>
  <c r="F484" i="49"/>
  <c r="E484" i="49"/>
  <c r="K483" i="49"/>
  <c r="J483" i="49"/>
  <c r="H483" i="49"/>
  <c r="F483" i="49"/>
  <c r="K482" i="49"/>
  <c r="J482" i="49"/>
  <c r="H482" i="49"/>
  <c r="F482" i="49"/>
  <c r="E482" i="49"/>
  <c r="K481" i="49"/>
  <c r="J481" i="49"/>
  <c r="H481" i="49"/>
  <c r="F481" i="49"/>
  <c r="E481" i="49"/>
  <c r="K480" i="49"/>
  <c r="J480" i="49"/>
  <c r="H480" i="49"/>
  <c r="F480" i="49"/>
  <c r="E480" i="49"/>
  <c r="K479" i="49"/>
  <c r="J479" i="49"/>
  <c r="H479" i="49"/>
  <c r="F479" i="49"/>
  <c r="E479" i="49"/>
  <c r="G427" i="49"/>
  <c r="D418" i="49"/>
  <c r="E418" i="49"/>
  <c r="F418" i="49"/>
  <c r="H418" i="49"/>
  <c r="J418" i="49"/>
  <c r="K418" i="49"/>
  <c r="D417" i="49"/>
  <c r="E417" i="49"/>
  <c r="F417" i="49"/>
  <c r="H417" i="49"/>
  <c r="J417" i="49"/>
  <c r="K417" i="49"/>
  <c r="D421" i="49"/>
  <c r="E421" i="49"/>
  <c r="F421" i="49"/>
  <c r="H421" i="49"/>
  <c r="J421" i="49"/>
  <c r="K421" i="49"/>
  <c r="D416" i="49"/>
  <c r="E416" i="49"/>
  <c r="F416" i="49"/>
  <c r="H416" i="49"/>
  <c r="J416" i="49"/>
  <c r="K416" i="49"/>
  <c r="D419" i="49"/>
  <c r="E419" i="49"/>
  <c r="F419" i="49"/>
  <c r="H419" i="49"/>
  <c r="J419" i="49"/>
  <c r="K419" i="49"/>
  <c r="D425" i="49"/>
  <c r="E425" i="49"/>
  <c r="F425" i="49"/>
  <c r="H425" i="49"/>
  <c r="J425" i="49"/>
  <c r="K425" i="49"/>
  <c r="G410" i="49"/>
  <c r="A410" i="49" s="1"/>
  <c r="G409" i="49"/>
  <c r="A409" i="49" s="1"/>
  <c r="G411" i="49"/>
  <c r="E408" i="49"/>
  <c r="F408" i="49"/>
  <c r="H408" i="49"/>
  <c r="J408" i="49"/>
  <c r="K408" i="49"/>
  <c r="E409" i="49"/>
  <c r="F409" i="49"/>
  <c r="H409" i="49"/>
  <c r="J409" i="49"/>
  <c r="K409" i="49"/>
  <c r="E410" i="49"/>
  <c r="F410" i="49"/>
  <c r="H410" i="49"/>
  <c r="J410" i="49"/>
  <c r="K410" i="49"/>
  <c r="E411" i="49"/>
  <c r="F411" i="49"/>
  <c r="H411" i="49"/>
  <c r="J411" i="49"/>
  <c r="K411" i="49"/>
  <c r="G2352" i="1"/>
  <c r="U2352" i="1" s="1"/>
  <c r="G2351" i="1"/>
  <c r="U2351" i="1" s="1"/>
  <c r="G2350" i="1"/>
  <c r="S2350" i="1" s="1"/>
  <c r="G2349" i="1"/>
  <c r="S2349" i="1" s="1"/>
  <c r="G2348" i="1"/>
  <c r="U2348" i="1" s="1"/>
  <c r="G2347" i="1"/>
  <c r="U2347" i="1" s="1"/>
  <c r="G2346" i="1"/>
  <c r="K2346" i="1" s="1"/>
  <c r="G2345" i="1"/>
  <c r="I2345" i="1" s="1"/>
  <c r="G2344" i="1"/>
  <c r="J2344" i="1" s="1"/>
  <c r="G2343" i="1"/>
  <c r="J2343" i="1" s="1"/>
  <c r="G2342" i="1"/>
  <c r="J2342" i="1" s="1"/>
  <c r="G2341" i="1"/>
  <c r="I2341" i="1" s="1"/>
  <c r="G2340" i="1"/>
  <c r="K2340" i="1" s="1"/>
  <c r="G2339" i="1"/>
  <c r="G2337" i="1"/>
  <c r="U2337" i="1" s="1"/>
  <c r="G2336" i="1"/>
  <c r="J2336" i="1" s="1"/>
  <c r="G2335" i="1"/>
  <c r="G2334" i="1"/>
  <c r="K2334" i="1" s="1"/>
  <c r="G2333" i="1"/>
  <c r="I2333" i="1" s="1"/>
  <c r="G2332" i="1"/>
  <c r="K2332" i="1" s="1"/>
  <c r="G2331" i="1"/>
  <c r="I2331" i="1" s="1"/>
  <c r="G2330" i="1"/>
  <c r="K2330" i="1" s="1"/>
  <c r="G2329" i="1"/>
  <c r="K2329" i="1" s="1"/>
  <c r="G2328" i="1"/>
  <c r="U2328" i="1" s="1"/>
  <c r="G2327" i="1"/>
  <c r="K2327" i="1" s="1"/>
  <c r="G2326" i="1"/>
  <c r="K2326" i="1" s="1"/>
  <c r="G2325" i="1"/>
  <c r="I2325" i="1" s="1"/>
  <c r="G2323" i="1"/>
  <c r="U2323" i="1" s="1"/>
  <c r="G2322" i="1"/>
  <c r="K2322" i="1" s="1"/>
  <c r="G2321" i="1"/>
  <c r="G2320" i="1"/>
  <c r="K2320" i="1" s="1"/>
  <c r="G2319" i="1"/>
  <c r="I2319" i="1" s="1"/>
  <c r="G2318" i="1"/>
  <c r="K2318" i="1" s="1"/>
  <c r="G2317" i="1"/>
  <c r="J2317" i="1" s="1"/>
  <c r="G2316" i="1"/>
  <c r="K2316" i="1" s="1"/>
  <c r="G2315" i="1"/>
  <c r="I2315" i="1" s="1"/>
  <c r="G2314" i="1"/>
  <c r="J2314" i="1" s="1"/>
  <c r="G2313" i="1"/>
  <c r="I2313" i="1" s="1"/>
  <c r="G2311" i="1"/>
  <c r="J2311" i="1" s="1"/>
  <c r="E1276" i="1"/>
  <c r="F1276" i="1"/>
  <c r="P1276" i="1"/>
  <c r="F86" i="18"/>
  <c r="G86" i="18"/>
  <c r="H86" i="18"/>
  <c r="E1809" i="1"/>
  <c r="F1809" i="1"/>
  <c r="P1809" i="1"/>
  <c r="E1810" i="1"/>
  <c r="F1810" i="1"/>
  <c r="P1810" i="1"/>
  <c r="E1811" i="1"/>
  <c r="F1811" i="1"/>
  <c r="P1811" i="1"/>
  <c r="E721" i="49"/>
  <c r="E718" i="49"/>
  <c r="E705" i="49"/>
  <c r="E685" i="49"/>
  <c r="E645" i="49"/>
  <c r="E625" i="49"/>
  <c r="E624" i="49"/>
  <c r="E616" i="49"/>
  <c r="E615" i="49"/>
  <c r="E614" i="49"/>
  <c r="E608" i="49"/>
  <c r="E605" i="49"/>
  <c r="E602" i="49"/>
  <c r="E578" i="49"/>
  <c r="E570" i="49"/>
  <c r="G188" i="49"/>
  <c r="G201" i="49"/>
  <c r="A201" i="49" s="1"/>
  <c r="G9" i="49"/>
  <c r="H9" i="49"/>
  <c r="E661" i="49"/>
  <c r="E633" i="49"/>
  <c r="E634" i="49"/>
  <c r="E636" i="49"/>
  <c r="E637" i="49"/>
  <c r="E215" i="49"/>
  <c r="E224" i="49"/>
  <c r="E67" i="49"/>
  <c r="F67" i="49"/>
  <c r="H67" i="49"/>
  <c r="J67" i="49"/>
  <c r="E54" i="49"/>
  <c r="E53" i="49"/>
  <c r="E52" i="49"/>
  <c r="E51" i="49"/>
  <c r="E50" i="49"/>
  <c r="E20" i="1"/>
  <c r="C160" i="1"/>
  <c r="C1327" i="1"/>
  <c r="C1333" i="1"/>
  <c r="C1364" i="1"/>
  <c r="C1365" i="1"/>
  <c r="C1366" i="1"/>
  <c r="C1367" i="1"/>
  <c r="C1368" i="1"/>
  <c r="C1369" i="1"/>
  <c r="C1370" i="1"/>
  <c r="C1371" i="1"/>
  <c r="C1372" i="1"/>
  <c r="C1374" i="1"/>
  <c r="C1375" i="1"/>
  <c r="C1376" i="1"/>
  <c r="C1377" i="1"/>
  <c r="C1456" i="1"/>
  <c r="C1531" i="1"/>
  <c r="C1537" i="1"/>
  <c r="C1538" i="1"/>
  <c r="C1566" i="1"/>
  <c r="C1571" i="1"/>
  <c r="C1575" i="1"/>
  <c r="C1576" i="1"/>
  <c r="C1577" i="1"/>
  <c r="C1578" i="1"/>
  <c r="C1579" i="1"/>
  <c r="C1580" i="1"/>
  <c r="C1581" i="1"/>
  <c r="C1586" i="1"/>
  <c r="C1587" i="1"/>
  <c r="C1588" i="1"/>
  <c r="C1589" i="1"/>
  <c r="C1590" i="1"/>
  <c r="C1601" i="1"/>
  <c r="C1635" i="1"/>
  <c r="C1636" i="1"/>
  <c r="C1637" i="1"/>
  <c r="C1638" i="1"/>
  <c r="C1639" i="1"/>
  <c r="C1640" i="1"/>
  <c r="C1714" i="1"/>
  <c r="C1715" i="1"/>
  <c r="C1719" i="1"/>
  <c r="C1722" i="1"/>
  <c r="C1729" i="1"/>
  <c r="C1733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60" i="1"/>
  <c r="C1761" i="1"/>
  <c r="C1762" i="1"/>
  <c r="C1765" i="1"/>
  <c r="C1766" i="1"/>
  <c r="C1767" i="1"/>
  <c r="C1768" i="1"/>
  <c r="C1769" i="1"/>
  <c r="C1770" i="1"/>
  <c r="C1778" i="1"/>
  <c r="C1803" i="1"/>
  <c r="C1804" i="1"/>
  <c r="C1859" i="1"/>
  <c r="C1892" i="1"/>
  <c r="C1902" i="1"/>
  <c r="C1903" i="1"/>
  <c r="C2005" i="1"/>
  <c r="C2190" i="1"/>
  <c r="C2202" i="1"/>
  <c r="C2205" i="1"/>
  <c r="C2213" i="1"/>
  <c r="C2214" i="1"/>
  <c r="C2215" i="1"/>
  <c r="C2227" i="1"/>
  <c r="C2228" i="1"/>
  <c r="C2229" i="1"/>
  <c r="C2230" i="1"/>
  <c r="C2231" i="1"/>
  <c r="C2232" i="1"/>
  <c r="C2233" i="1"/>
  <c r="C2254" i="1"/>
  <c r="C2255" i="1"/>
  <c r="C2256" i="1"/>
  <c r="C2257" i="1"/>
  <c r="C2260" i="1"/>
  <c r="C2262" i="1"/>
  <c r="C2305" i="1"/>
  <c r="C2306" i="1"/>
  <c r="C2307" i="1"/>
  <c r="C2308" i="1"/>
  <c r="C2309" i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E697" i="1"/>
  <c r="E689" i="1"/>
  <c r="E667" i="1"/>
  <c r="E665" i="1"/>
  <c r="E673" i="1"/>
  <c r="E981" i="1"/>
  <c r="E993" i="1"/>
  <c r="E1007" i="1"/>
  <c r="E1008" i="1"/>
  <c r="E1059" i="1"/>
  <c r="E1047" i="1"/>
  <c r="E1046" i="1"/>
  <c r="E1032" i="1"/>
  <c r="E1020" i="1"/>
  <c r="H2339" i="1"/>
  <c r="L2339" i="1" s="1"/>
  <c r="H2325" i="1"/>
  <c r="L2325" i="1" s="1"/>
  <c r="H2311" i="1"/>
  <c r="L2311" i="1" s="1"/>
  <c r="H2317" i="1"/>
  <c r="L2317" i="1" s="1"/>
  <c r="H2308" i="1"/>
  <c r="H2307" i="1"/>
  <c r="H2306" i="1"/>
  <c r="H2305" i="1"/>
  <c r="AC71" i="2" s="1"/>
  <c r="E1759" i="1"/>
  <c r="E1758" i="1"/>
  <c r="O1200" i="1"/>
  <c r="O1199" i="1"/>
  <c r="O1198" i="1"/>
  <c r="O1197" i="1"/>
  <c r="O1196" i="1"/>
  <c r="O1194" i="1"/>
  <c r="O1193" i="1"/>
  <c r="O1192" i="1"/>
  <c r="O1191" i="1"/>
  <c r="O1190" i="1"/>
  <c r="O1188" i="1"/>
  <c r="O1187" i="1"/>
  <c r="O1186" i="1"/>
  <c r="O1185" i="1"/>
  <c r="O1184" i="1"/>
  <c r="O1182" i="1"/>
  <c r="O1181" i="1"/>
  <c r="O1180" i="1"/>
  <c r="O1179" i="1"/>
  <c r="O1178" i="1"/>
  <c r="O1176" i="1"/>
  <c r="O1175" i="1"/>
  <c r="O1174" i="1"/>
  <c r="O1173" i="1"/>
  <c r="O1172" i="1"/>
  <c r="O1170" i="1"/>
  <c r="O1169" i="1"/>
  <c r="O1168" i="1"/>
  <c r="O1167" i="1"/>
  <c r="O1166" i="1"/>
  <c r="O1164" i="1"/>
  <c r="O1163" i="1"/>
  <c r="O1162" i="1"/>
  <c r="O1161" i="1"/>
  <c r="O1160" i="1"/>
  <c r="O1158" i="1"/>
  <c r="O1157" i="1"/>
  <c r="O1156" i="1"/>
  <c r="O1155" i="1"/>
  <c r="O1141" i="1"/>
  <c r="O1140" i="1"/>
  <c r="O1139" i="1"/>
  <c r="O1138" i="1"/>
  <c r="O1136" i="1"/>
  <c r="O1135" i="1"/>
  <c r="O1134" i="1"/>
  <c r="O1133" i="1"/>
  <c r="O1131" i="1"/>
  <c r="O1130" i="1"/>
  <c r="O1129" i="1"/>
  <c r="O1128" i="1"/>
  <c r="O1127" i="1"/>
  <c r="O1126" i="1"/>
  <c r="O1125" i="1"/>
  <c r="O1124" i="1"/>
  <c r="O1123" i="1"/>
  <c r="O1122" i="1"/>
  <c r="O1120" i="1"/>
  <c r="O1118" i="1"/>
  <c r="O1117" i="1"/>
  <c r="O1116" i="1"/>
  <c r="O1115" i="1"/>
  <c r="O1114" i="1"/>
  <c r="O1113" i="1"/>
  <c r="O1112" i="1"/>
  <c r="O1111" i="1"/>
  <c r="O1109" i="1"/>
  <c r="O1107" i="1"/>
  <c r="O1106" i="1"/>
  <c r="O1105" i="1"/>
  <c r="O1104" i="1"/>
  <c r="O1103" i="1"/>
  <c r="O1102" i="1"/>
  <c r="O1101" i="1"/>
  <c r="O1100" i="1"/>
  <c r="O1099" i="1"/>
  <c r="O1097" i="1"/>
  <c r="O1095" i="1"/>
  <c r="O1094" i="1"/>
  <c r="O1093" i="1"/>
  <c r="O1092" i="1"/>
  <c r="O1091" i="1"/>
  <c r="O1089" i="1"/>
  <c r="O1088" i="1"/>
  <c r="O1087" i="1"/>
  <c r="O1086" i="1"/>
  <c r="E1087" i="1"/>
  <c r="E1086" i="1"/>
  <c r="E1071" i="1"/>
  <c r="O1083" i="1"/>
  <c r="O1081" i="1"/>
  <c r="O1080" i="1"/>
  <c r="O1079" i="1"/>
  <c r="O1078" i="1"/>
  <c r="O1077" i="1"/>
  <c r="O1076" i="1"/>
  <c r="O1075" i="1"/>
  <c r="O1074" i="1"/>
  <c r="O1073" i="1"/>
  <c r="O1072" i="1"/>
  <c r="O1071" i="1"/>
  <c r="O1069" i="1"/>
  <c r="O1067" i="1"/>
  <c r="O1066" i="1"/>
  <c r="O1065" i="1"/>
  <c r="O1064" i="1"/>
  <c r="O1063" i="1"/>
  <c r="O1062" i="1"/>
  <c r="O1061" i="1"/>
  <c r="O1060" i="1"/>
  <c r="O1059" i="1"/>
  <c r="O1057" i="1"/>
  <c r="O1055" i="1"/>
  <c r="O1054" i="1"/>
  <c r="O1053" i="1"/>
  <c r="O1052" i="1"/>
  <c r="O1051" i="1"/>
  <c r="O1050" i="1"/>
  <c r="O1049" i="1"/>
  <c r="O1048" i="1"/>
  <c r="O1047" i="1"/>
  <c r="O1046" i="1"/>
  <c r="O1043" i="1"/>
  <c r="O1041" i="1"/>
  <c r="O1040" i="1"/>
  <c r="O1039" i="1"/>
  <c r="O1038" i="1"/>
  <c r="O1037" i="1"/>
  <c r="O1036" i="1"/>
  <c r="O1035" i="1"/>
  <c r="O1034" i="1"/>
  <c r="O1033" i="1"/>
  <c r="O1032" i="1"/>
  <c r="O1030" i="1"/>
  <c r="O1028" i="1"/>
  <c r="O1027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1" i="1"/>
  <c r="O990" i="1"/>
  <c r="O989" i="1"/>
  <c r="O988" i="1"/>
  <c r="O987" i="1"/>
  <c r="O986" i="1"/>
  <c r="O985" i="1"/>
  <c r="O984" i="1"/>
  <c r="O983" i="1"/>
  <c r="O982" i="1"/>
  <c r="O981" i="1"/>
  <c r="O979" i="1"/>
  <c r="O978" i="1"/>
  <c r="O977" i="1"/>
  <c r="O976" i="1"/>
  <c r="O975" i="1"/>
  <c r="O974" i="1"/>
  <c r="O972" i="1"/>
  <c r="O971" i="1"/>
  <c r="O970" i="1"/>
  <c r="O969" i="1"/>
  <c r="O968" i="1"/>
  <c r="O967" i="1"/>
  <c r="O965" i="1"/>
  <c r="O964" i="1"/>
  <c r="O963" i="1"/>
  <c r="O962" i="1"/>
  <c r="O961" i="1"/>
  <c r="O960" i="1"/>
  <c r="O959" i="1"/>
  <c r="O957" i="1"/>
  <c r="O956" i="1"/>
  <c r="O955" i="1"/>
  <c r="O954" i="1"/>
  <c r="O953" i="1"/>
  <c r="O952" i="1"/>
  <c r="O951" i="1"/>
  <c r="O950" i="1"/>
  <c r="O949" i="1"/>
  <c r="O946" i="1"/>
  <c r="O945" i="1"/>
  <c r="O944" i="1"/>
  <c r="O943" i="1"/>
  <c r="O942" i="1"/>
  <c r="O941" i="1"/>
  <c r="O939" i="1"/>
  <c r="O938" i="1"/>
  <c r="O937" i="1"/>
  <c r="O936" i="1"/>
  <c r="O935" i="1"/>
  <c r="O934" i="1"/>
  <c r="O933" i="1"/>
  <c r="O931" i="1"/>
  <c r="O930" i="1"/>
  <c r="O929" i="1"/>
  <c r="O928" i="1"/>
  <c r="O927" i="1"/>
  <c r="O925" i="1"/>
  <c r="O924" i="1"/>
  <c r="O923" i="1"/>
  <c r="O921" i="1"/>
  <c r="O920" i="1"/>
  <c r="O917" i="1"/>
  <c r="O916" i="1"/>
  <c r="O914" i="1"/>
  <c r="O913" i="1"/>
  <c r="O912" i="1"/>
  <c r="O910" i="1"/>
  <c r="O909" i="1"/>
  <c r="O906" i="1"/>
  <c r="O905" i="1"/>
  <c r="O904" i="1"/>
  <c r="O903" i="1"/>
  <c r="O902" i="1"/>
  <c r="O901" i="1"/>
  <c r="O897" i="1"/>
  <c r="O896" i="1"/>
  <c r="O895" i="1"/>
  <c r="O893" i="1"/>
  <c r="O892" i="1"/>
  <c r="O891" i="1"/>
  <c r="O888" i="1"/>
  <c r="O887" i="1"/>
  <c r="O885" i="1"/>
  <c r="O884" i="1"/>
  <c r="O883" i="1"/>
  <c r="O879" i="1"/>
  <c r="O878" i="1"/>
  <c r="O877" i="1"/>
  <c r="O876" i="1"/>
  <c r="O875" i="1"/>
  <c r="O874" i="1"/>
  <c r="O873" i="1"/>
  <c r="O871" i="1"/>
  <c r="O870" i="1"/>
  <c r="O867" i="1"/>
  <c r="O866" i="1"/>
  <c r="O865" i="1"/>
  <c r="O864" i="1"/>
  <c r="O863" i="1"/>
  <c r="O862" i="1"/>
  <c r="O860" i="1"/>
  <c r="N860" i="1"/>
  <c r="O859" i="1"/>
  <c r="N859" i="1"/>
  <c r="O858" i="1"/>
  <c r="N858" i="1"/>
  <c r="O856" i="1"/>
  <c r="N856" i="1"/>
  <c r="O855" i="1"/>
  <c r="N855" i="1"/>
  <c r="O854" i="1"/>
  <c r="N854" i="1"/>
  <c r="O851" i="1"/>
  <c r="N851" i="1"/>
  <c r="O850" i="1"/>
  <c r="N850" i="1"/>
  <c r="O849" i="1"/>
  <c r="N849" i="1"/>
  <c r="O848" i="1"/>
  <c r="N848" i="1"/>
  <c r="O847" i="1"/>
  <c r="N847" i="1"/>
  <c r="O844" i="1"/>
  <c r="N844" i="1"/>
  <c r="O843" i="1"/>
  <c r="N843" i="1"/>
  <c r="O842" i="1"/>
  <c r="N842" i="1"/>
  <c r="O841" i="1"/>
  <c r="N841" i="1"/>
  <c r="O840" i="1"/>
  <c r="N840" i="1"/>
  <c r="O823" i="1"/>
  <c r="N823" i="1"/>
  <c r="O822" i="1"/>
  <c r="N822" i="1"/>
  <c r="O821" i="1"/>
  <c r="N821" i="1"/>
  <c r="O820" i="1"/>
  <c r="N820" i="1"/>
  <c r="O816" i="1"/>
  <c r="N816" i="1"/>
  <c r="O815" i="1"/>
  <c r="N815" i="1"/>
  <c r="O814" i="1"/>
  <c r="N814" i="1"/>
  <c r="O810" i="1"/>
  <c r="N810" i="1"/>
  <c r="O809" i="1"/>
  <c r="N809" i="1"/>
  <c r="O808" i="1"/>
  <c r="N808" i="1"/>
  <c r="O803" i="1"/>
  <c r="N803" i="1"/>
  <c r="O802" i="1"/>
  <c r="N802" i="1"/>
  <c r="O801" i="1"/>
  <c r="N801" i="1"/>
  <c r="O800" i="1"/>
  <c r="N800" i="1"/>
  <c r="O796" i="1"/>
  <c r="N796" i="1"/>
  <c r="O795" i="1"/>
  <c r="N795" i="1"/>
  <c r="O794" i="1"/>
  <c r="N794" i="1"/>
  <c r="O789" i="1"/>
  <c r="N789" i="1"/>
  <c r="O788" i="1"/>
  <c r="N788" i="1"/>
  <c r="O787" i="1"/>
  <c r="N787" i="1"/>
  <c r="O784" i="1"/>
  <c r="N784" i="1"/>
  <c r="O783" i="1"/>
  <c r="N783" i="1"/>
  <c r="O780" i="1"/>
  <c r="N780" i="1"/>
  <c r="O779" i="1"/>
  <c r="N779" i="1"/>
  <c r="O777" i="1"/>
  <c r="N777" i="1"/>
  <c r="O776" i="1"/>
  <c r="N776" i="1"/>
  <c r="O775" i="1"/>
  <c r="N775" i="1"/>
  <c r="O773" i="1"/>
  <c r="N773" i="1"/>
  <c r="O772" i="1"/>
  <c r="N772" i="1"/>
  <c r="O771" i="1"/>
  <c r="N771" i="1"/>
  <c r="O768" i="1"/>
  <c r="N768" i="1"/>
  <c r="O767" i="1"/>
  <c r="N767" i="1"/>
  <c r="O764" i="1"/>
  <c r="N764" i="1"/>
  <c r="O763" i="1"/>
  <c r="N763" i="1"/>
  <c r="O762" i="1"/>
  <c r="N762" i="1"/>
  <c r="O761" i="1"/>
  <c r="N761" i="1"/>
  <c r="O760" i="1"/>
  <c r="N760" i="1"/>
  <c r="O756" i="1"/>
  <c r="N756" i="1"/>
  <c r="O755" i="1"/>
  <c r="N755" i="1"/>
  <c r="O754" i="1"/>
  <c r="N754" i="1"/>
  <c r="O750" i="1"/>
  <c r="N750" i="1"/>
  <c r="O749" i="1"/>
  <c r="N749" i="1"/>
  <c r="O748" i="1"/>
  <c r="N748" i="1"/>
  <c r="O747" i="1"/>
  <c r="N747" i="1"/>
  <c r="O742" i="1"/>
  <c r="N742" i="1"/>
  <c r="O741" i="1"/>
  <c r="N741" i="1"/>
  <c r="O740" i="1"/>
  <c r="N740" i="1"/>
  <c r="O736" i="1"/>
  <c r="N736" i="1"/>
  <c r="O735" i="1"/>
  <c r="N735" i="1"/>
  <c r="O734" i="1"/>
  <c r="N734" i="1"/>
  <c r="O733" i="1"/>
  <c r="N733" i="1"/>
  <c r="O732" i="1"/>
  <c r="N732" i="1"/>
  <c r="O730" i="1"/>
  <c r="N730" i="1"/>
  <c r="O729" i="1"/>
  <c r="N729" i="1"/>
  <c r="O728" i="1"/>
  <c r="N728" i="1"/>
  <c r="O727" i="1"/>
  <c r="N727" i="1"/>
  <c r="O723" i="1"/>
  <c r="N723" i="1"/>
  <c r="O722" i="1"/>
  <c r="N722" i="1"/>
  <c r="O721" i="1"/>
  <c r="N721" i="1"/>
  <c r="N717" i="1"/>
  <c r="O717" i="1"/>
  <c r="O715" i="1"/>
  <c r="N715" i="1"/>
  <c r="O714" i="1"/>
  <c r="N714" i="1"/>
  <c r="O713" i="1"/>
  <c r="N713" i="1"/>
  <c r="O712" i="1"/>
  <c r="N712" i="1"/>
  <c r="O708" i="1"/>
  <c r="N708" i="1"/>
  <c r="O707" i="1"/>
  <c r="N707" i="1"/>
  <c r="O706" i="1"/>
  <c r="N706" i="1"/>
  <c r="O702" i="1"/>
  <c r="N702" i="1"/>
  <c r="O701" i="1"/>
  <c r="N701" i="1"/>
  <c r="O700" i="1"/>
  <c r="N700" i="1"/>
  <c r="O699" i="1"/>
  <c r="N699" i="1"/>
  <c r="O698" i="1"/>
  <c r="N698" i="1"/>
  <c r="O694" i="1"/>
  <c r="N694" i="1"/>
  <c r="O693" i="1"/>
  <c r="N693" i="1"/>
  <c r="O692" i="1"/>
  <c r="N692" i="1"/>
  <c r="O691" i="1"/>
  <c r="N691" i="1"/>
  <c r="O690" i="1"/>
  <c r="N690" i="1"/>
  <c r="O686" i="1"/>
  <c r="N686" i="1"/>
  <c r="O685" i="1"/>
  <c r="N685" i="1"/>
  <c r="O684" i="1"/>
  <c r="N684" i="1"/>
  <c r="O683" i="1"/>
  <c r="N683" i="1"/>
  <c r="O682" i="1"/>
  <c r="N682" i="1"/>
  <c r="N678" i="1"/>
  <c r="O676" i="1"/>
  <c r="N676" i="1"/>
  <c r="O675" i="1"/>
  <c r="N675" i="1"/>
  <c r="O674" i="1"/>
  <c r="N674" i="1"/>
  <c r="O670" i="1"/>
  <c r="N670" i="1"/>
  <c r="O669" i="1"/>
  <c r="N669" i="1"/>
  <c r="O668" i="1"/>
  <c r="N668" i="1"/>
  <c r="O667" i="1"/>
  <c r="N667" i="1"/>
  <c r="O666" i="1"/>
  <c r="N666" i="1"/>
  <c r="O662" i="1"/>
  <c r="N662" i="1"/>
  <c r="O661" i="1"/>
  <c r="N661" i="1"/>
  <c r="O660" i="1"/>
  <c r="N660" i="1"/>
  <c r="O659" i="1"/>
  <c r="N659" i="1"/>
  <c r="O658" i="1"/>
  <c r="N658" i="1"/>
  <c r="O654" i="1"/>
  <c r="N654" i="1"/>
  <c r="O653" i="1"/>
  <c r="N653" i="1"/>
  <c r="O652" i="1"/>
  <c r="N652" i="1"/>
  <c r="O648" i="1"/>
  <c r="N648" i="1"/>
  <c r="O647" i="1"/>
  <c r="N647" i="1"/>
  <c r="O646" i="1"/>
  <c r="N646" i="1"/>
  <c r="O645" i="1"/>
  <c r="N645" i="1"/>
  <c r="O641" i="1"/>
  <c r="N641" i="1"/>
  <c r="O640" i="1"/>
  <c r="N640" i="1"/>
  <c r="O639" i="1"/>
  <c r="N639" i="1"/>
  <c r="O638" i="1"/>
  <c r="N638" i="1"/>
  <c r="O623" i="1"/>
  <c r="N623" i="1"/>
  <c r="O622" i="1"/>
  <c r="N622" i="1"/>
  <c r="O621" i="1"/>
  <c r="N621" i="1"/>
  <c r="O619" i="1"/>
  <c r="O618" i="1"/>
  <c r="O617" i="1"/>
  <c r="O579" i="1"/>
  <c r="O578" i="1"/>
  <c r="O577" i="1"/>
  <c r="O573" i="1"/>
  <c r="O570" i="1"/>
  <c r="O569" i="1"/>
  <c r="O568" i="1"/>
  <c r="O567" i="1"/>
  <c r="O566" i="1"/>
  <c r="O565" i="1"/>
  <c r="O564" i="1"/>
  <c r="O561" i="1"/>
  <c r="O560" i="1"/>
  <c r="O559" i="1"/>
  <c r="O558" i="1"/>
  <c r="O557" i="1"/>
  <c r="O552" i="1"/>
  <c r="O550" i="1"/>
  <c r="O549" i="1"/>
  <c r="O546" i="1"/>
  <c r="O544" i="1"/>
  <c r="O543" i="1"/>
  <c r="O542" i="1"/>
  <c r="O541" i="1"/>
  <c r="O536" i="1"/>
  <c r="O535" i="1"/>
  <c r="O534" i="1"/>
  <c r="O533" i="1"/>
  <c r="O528" i="1"/>
  <c r="O527" i="1"/>
  <c r="O526" i="1"/>
  <c r="O525" i="1"/>
  <c r="O524" i="1"/>
  <c r="O448" i="1"/>
  <c r="O447" i="1"/>
  <c r="O445" i="1"/>
  <c r="O444" i="1"/>
  <c r="O443" i="1"/>
  <c r="O441" i="1"/>
  <c r="O435" i="1"/>
  <c r="O434" i="1"/>
  <c r="O432" i="1"/>
  <c r="O431" i="1"/>
  <c r="O430" i="1"/>
  <c r="O428" i="1"/>
  <c r="O419" i="1"/>
  <c r="O420" i="1"/>
  <c r="O421" i="1"/>
  <c r="O422" i="1"/>
  <c r="O409" i="1"/>
  <c r="O410" i="1"/>
  <c r="O411" i="1"/>
  <c r="O412" i="1"/>
  <c r="O413" i="1"/>
  <c r="O414" i="1"/>
  <c r="O417" i="1"/>
  <c r="O404" i="1"/>
  <c r="O405" i="1"/>
  <c r="O406" i="1"/>
  <c r="O407" i="1"/>
  <c r="O398" i="1"/>
  <c r="O399" i="1"/>
  <c r="O400" i="1"/>
  <c r="O401" i="1"/>
  <c r="O402" i="1"/>
  <c r="O392" i="1"/>
  <c r="O393" i="1"/>
  <c r="O394" i="1"/>
  <c r="O395" i="1"/>
  <c r="O396" i="1"/>
  <c r="O383" i="1"/>
  <c r="O380" i="1"/>
  <c r="O381" i="1"/>
  <c r="O382" i="1"/>
  <c r="O385" i="1"/>
  <c r="O386" i="1"/>
  <c r="O387" i="1"/>
  <c r="O388" i="1"/>
  <c r="O389" i="1"/>
  <c r="O390" i="1"/>
  <c r="O374" i="1"/>
  <c r="O375" i="1"/>
  <c r="O376" i="1"/>
  <c r="O377" i="1"/>
  <c r="O378" i="1"/>
  <c r="O369" i="1"/>
  <c r="O370" i="1"/>
  <c r="O371" i="1"/>
  <c r="O372" i="1"/>
  <c r="O359" i="1"/>
  <c r="O360" i="1"/>
  <c r="O361" i="1"/>
  <c r="O362" i="1"/>
  <c r="O363" i="1"/>
  <c r="O364" i="1"/>
  <c r="O365" i="1"/>
  <c r="O367" i="1"/>
  <c r="O349" i="1"/>
  <c r="O350" i="1"/>
  <c r="O351" i="1"/>
  <c r="O352" i="1"/>
  <c r="O353" i="1"/>
  <c r="O354" i="1"/>
  <c r="O355" i="1"/>
  <c r="O357" i="1"/>
  <c r="O344" i="1"/>
  <c r="O345" i="1"/>
  <c r="O346" i="1"/>
  <c r="O347" i="1"/>
  <c r="O339" i="1"/>
  <c r="O340" i="1"/>
  <c r="O341" i="1"/>
  <c r="O342" i="1"/>
  <c r="O335" i="1"/>
  <c r="O336" i="1"/>
  <c r="O337" i="1"/>
  <c r="O326" i="1"/>
  <c r="O327" i="1"/>
  <c r="O328" i="1"/>
  <c r="O329" i="1"/>
  <c r="O330" i="1"/>
  <c r="O313" i="1"/>
  <c r="O314" i="1"/>
  <c r="O315" i="1"/>
  <c r="O316" i="1"/>
  <c r="O317" i="1"/>
  <c r="O318" i="1"/>
  <c r="O319" i="1"/>
  <c r="O320" i="1"/>
  <c r="O321" i="1"/>
  <c r="O322" i="1"/>
  <c r="O324" i="1"/>
  <c r="O306" i="1"/>
  <c r="O307" i="1"/>
  <c r="O308" i="1"/>
  <c r="O309" i="1"/>
  <c r="O311" i="1"/>
  <c r="O294" i="1"/>
  <c r="O295" i="1"/>
  <c r="O296" i="1"/>
  <c r="O299" i="1"/>
  <c r="O267" i="1"/>
  <c r="O268" i="1"/>
  <c r="O269" i="1"/>
  <c r="O261" i="1"/>
  <c r="O262" i="1"/>
  <c r="O263" i="1"/>
  <c r="O264" i="1"/>
  <c r="O265" i="1"/>
  <c r="O255" i="1"/>
  <c r="O256" i="1"/>
  <c r="O257" i="1"/>
  <c r="O258" i="1"/>
  <c r="O259" i="1"/>
  <c r="O250" i="1"/>
  <c r="O251" i="1"/>
  <c r="O252" i="1"/>
  <c r="O253" i="1"/>
  <c r="O245" i="1"/>
  <c r="O246" i="1"/>
  <c r="O247" i="1"/>
  <c r="O248" i="1"/>
  <c r="O239" i="1"/>
  <c r="O240" i="1"/>
  <c r="O241" i="1"/>
  <c r="O242" i="1"/>
  <c r="O243" i="1"/>
  <c r="O234" i="1"/>
  <c r="O235" i="1"/>
  <c r="O236" i="1"/>
  <c r="O237" i="1"/>
  <c r="O228" i="1"/>
  <c r="O229" i="1"/>
  <c r="O230" i="1"/>
  <c r="O231" i="1"/>
  <c r="O232" i="1"/>
  <c r="O223" i="1"/>
  <c r="O224" i="1"/>
  <c r="O225" i="1"/>
  <c r="O226" i="1"/>
  <c r="O218" i="1"/>
  <c r="O219" i="1"/>
  <c r="O220" i="1"/>
  <c r="O221" i="1"/>
  <c r="O213" i="1"/>
  <c r="O214" i="1"/>
  <c r="O215" i="1"/>
  <c r="O216" i="1"/>
  <c r="O209" i="1"/>
  <c r="O210" i="1"/>
  <c r="O211" i="1"/>
  <c r="O206" i="1"/>
  <c r="O201" i="1"/>
  <c r="O202" i="1"/>
  <c r="O203" i="1"/>
  <c r="O204" i="1"/>
  <c r="O196" i="1"/>
  <c r="O197" i="1"/>
  <c r="O198" i="1"/>
  <c r="O199" i="1"/>
  <c r="O190" i="1"/>
  <c r="O191" i="1"/>
  <c r="O192" i="1"/>
  <c r="O193" i="1"/>
  <c r="O194" i="1"/>
  <c r="F1846" i="1"/>
  <c r="F1848" i="1"/>
  <c r="F1849" i="1"/>
  <c r="F1842" i="1"/>
  <c r="F1843" i="1"/>
  <c r="F1823" i="1"/>
  <c r="F1822" i="1"/>
  <c r="F1821" i="1"/>
  <c r="F1820" i="1"/>
  <c r="F1792" i="1"/>
  <c r="F1793" i="1"/>
  <c r="F1794" i="1"/>
  <c r="F1795" i="1"/>
  <c r="F1796" i="1"/>
  <c r="E1639" i="1"/>
  <c r="E1638" i="1"/>
  <c r="E1637" i="1"/>
  <c r="E1636" i="1"/>
  <c r="E1640" i="1"/>
  <c r="F1566" i="1"/>
  <c r="F784" i="1"/>
  <c r="F783" i="1"/>
  <c r="F782" i="1"/>
  <c r="F789" i="1"/>
  <c r="F788" i="1"/>
  <c r="F787" i="1"/>
  <c r="E1122" i="1"/>
  <c r="E1111" i="1"/>
  <c r="E1099" i="1"/>
  <c r="E789" i="1"/>
  <c r="E788" i="1"/>
  <c r="E787" i="1"/>
  <c r="E786" i="1"/>
  <c r="E784" i="1"/>
  <c r="E783" i="1"/>
  <c r="E782" i="1"/>
  <c r="F590" i="1"/>
  <c r="E415" i="1"/>
  <c r="E2196" i="1"/>
  <c r="E2195" i="1"/>
  <c r="E2185" i="1"/>
  <c r="E2184" i="1"/>
  <c r="E1777" i="1"/>
  <c r="E1770" i="1"/>
  <c r="E1769" i="1"/>
  <c r="E1768" i="1"/>
  <c r="E1767" i="1"/>
  <c r="E1766" i="1"/>
  <c r="E1654" i="1"/>
  <c r="E1627" i="1"/>
  <c r="E1626" i="1"/>
  <c r="F1493" i="1"/>
  <c r="F1486" i="1"/>
  <c r="E711" i="1"/>
  <c r="E705" i="1"/>
  <c r="P2267" i="1"/>
  <c r="E3556" i="23"/>
  <c r="E3176" i="23"/>
  <c r="E3175" i="23"/>
  <c r="E3173" i="23"/>
  <c r="E3172" i="23"/>
  <c r="E3158" i="23"/>
  <c r="E3075" i="23"/>
  <c r="E2432" i="23"/>
  <c r="E2431" i="23"/>
  <c r="E2427" i="23"/>
  <c r="E2426" i="23"/>
  <c r="E2425" i="23"/>
  <c r="E2281" i="23"/>
  <c r="E2280" i="23"/>
  <c r="E2279" i="23"/>
  <c r="E1668" i="23"/>
  <c r="E1667" i="23"/>
  <c r="E1666" i="23"/>
  <c r="E1548" i="23"/>
  <c r="E1547" i="23"/>
  <c r="E1543" i="23"/>
  <c r="E1542" i="23"/>
  <c r="E1541" i="23"/>
  <c r="E1393" i="23"/>
  <c r="E1392" i="23"/>
  <c r="E1391" i="23"/>
  <c r="E1260" i="23"/>
  <c r="E1259" i="23"/>
  <c r="E1258" i="23"/>
  <c r="E1142" i="23"/>
  <c r="E1141" i="23"/>
  <c r="E1137" i="23"/>
  <c r="E1136" i="23"/>
  <c r="E1135" i="23"/>
  <c r="H747" i="23"/>
  <c r="E639" i="23"/>
  <c r="E188" i="23"/>
  <c r="E1478" i="23"/>
  <c r="E107" i="23"/>
  <c r="E106" i="23"/>
  <c r="E105" i="23"/>
  <c r="E104" i="23"/>
  <c r="D49" i="23"/>
  <c r="J49" i="23"/>
  <c r="J817" i="23"/>
  <c r="D640" i="1"/>
  <c r="D639" i="1"/>
  <c r="D638" i="1"/>
  <c r="D637" i="1"/>
  <c r="D636" i="1"/>
  <c r="D758" i="23"/>
  <c r="D759" i="23"/>
  <c r="D760" i="23"/>
  <c r="F449" i="23"/>
  <c r="H448" i="23"/>
  <c r="D2710" i="23"/>
  <c r="E2710" i="23"/>
  <c r="F2710" i="23"/>
  <c r="H2710" i="23"/>
  <c r="J2710" i="23"/>
  <c r="K2710" i="23"/>
  <c r="D2711" i="23"/>
  <c r="E2711" i="23"/>
  <c r="F2711" i="23"/>
  <c r="H2711" i="23"/>
  <c r="J2711" i="23"/>
  <c r="K2711" i="23"/>
  <c r="H2637" i="23"/>
  <c r="F2637" i="23"/>
  <c r="E2637" i="23"/>
  <c r="D2637" i="23"/>
  <c r="F2635" i="23"/>
  <c r="E2635" i="23"/>
  <c r="D2635" i="23"/>
  <c r="F2632" i="23"/>
  <c r="E2632" i="23"/>
  <c r="D2632" i="23"/>
  <c r="O2631" i="23"/>
  <c r="N2631" i="23"/>
  <c r="M2631" i="23"/>
  <c r="L2631" i="23"/>
  <c r="K2432" i="23"/>
  <c r="H2432" i="23"/>
  <c r="F2432" i="23"/>
  <c r="D2432" i="23"/>
  <c r="K2431" i="23"/>
  <c r="H2431" i="23"/>
  <c r="F2431" i="23"/>
  <c r="D2431" i="23"/>
  <c r="K2286" i="23"/>
  <c r="O2286" i="23" s="1"/>
  <c r="J2286" i="23"/>
  <c r="H2286" i="23"/>
  <c r="L2286" i="23" s="1"/>
  <c r="F2286" i="23"/>
  <c r="D2286" i="23"/>
  <c r="K2285" i="23"/>
  <c r="H2285" i="23"/>
  <c r="F2285" i="23"/>
  <c r="D2285" i="23"/>
  <c r="K1548" i="23"/>
  <c r="J1548" i="23"/>
  <c r="H1548" i="23"/>
  <c r="F1548" i="23"/>
  <c r="D1548" i="23"/>
  <c r="K1547" i="23"/>
  <c r="J1547" i="23"/>
  <c r="H1547" i="23"/>
  <c r="F1547" i="23"/>
  <c r="D1547" i="23"/>
  <c r="K1398" i="23"/>
  <c r="F1398" i="23"/>
  <c r="D1398" i="23"/>
  <c r="K1397" i="23"/>
  <c r="H1397" i="23"/>
  <c r="F1397" i="23"/>
  <c r="D1397" i="23"/>
  <c r="H1264" i="23"/>
  <c r="F1264" i="23"/>
  <c r="D1264" i="23"/>
  <c r="J1142" i="23"/>
  <c r="D1142" i="23"/>
  <c r="F1142" i="23"/>
  <c r="H1142" i="23"/>
  <c r="K1142" i="23"/>
  <c r="K2536" i="23"/>
  <c r="J2536" i="23"/>
  <c r="H2536" i="23"/>
  <c r="F2536" i="23"/>
  <c r="E2536" i="23"/>
  <c r="D2536" i="23"/>
  <c r="K2535" i="23"/>
  <c r="J2535" i="23"/>
  <c r="H2535" i="23"/>
  <c r="F2535" i="23"/>
  <c r="E2535" i="23"/>
  <c r="D2535" i="23"/>
  <c r="K2534" i="23"/>
  <c r="J2534" i="23"/>
  <c r="H2534" i="23"/>
  <c r="F2534" i="23"/>
  <c r="E2534" i="23"/>
  <c r="D2534" i="23"/>
  <c r="H2445" i="23"/>
  <c r="F2445" i="23"/>
  <c r="E2445" i="23"/>
  <c r="D2445" i="23"/>
  <c r="K2444" i="23"/>
  <c r="F2444" i="23"/>
  <c r="E2444" i="23"/>
  <c r="D2444" i="23"/>
  <c r="H2443" i="23"/>
  <c r="F2443" i="23"/>
  <c r="E2443" i="23"/>
  <c r="D2443" i="23"/>
  <c r="F2442" i="23"/>
  <c r="E2442" i="23"/>
  <c r="D2442" i="23"/>
  <c r="O2441" i="23"/>
  <c r="N2441" i="23"/>
  <c r="M2441" i="23"/>
  <c r="L2441" i="23"/>
  <c r="K2350" i="23"/>
  <c r="J2350" i="23"/>
  <c r="H2350" i="23"/>
  <c r="F2350" i="23"/>
  <c r="E2350" i="23"/>
  <c r="D2350" i="23"/>
  <c r="K2349" i="23"/>
  <c r="J2349" i="23"/>
  <c r="H2349" i="23"/>
  <c r="F2349" i="23"/>
  <c r="E2349" i="23"/>
  <c r="D2349" i="23"/>
  <c r="K2348" i="23"/>
  <c r="J2348" i="23"/>
  <c r="H2348" i="23"/>
  <c r="F2348" i="23"/>
  <c r="E2348" i="23"/>
  <c r="D2348" i="23"/>
  <c r="J2292" i="23"/>
  <c r="H2292" i="23"/>
  <c r="F2292" i="23"/>
  <c r="E2292" i="23"/>
  <c r="D2292" i="23"/>
  <c r="K2291" i="23"/>
  <c r="J2291" i="23"/>
  <c r="F2291" i="23"/>
  <c r="E2291" i="23"/>
  <c r="D2291" i="23"/>
  <c r="H2290" i="23"/>
  <c r="F2290" i="23"/>
  <c r="E2290" i="23"/>
  <c r="D2290" i="23"/>
  <c r="F2289" i="23"/>
  <c r="E2289" i="23"/>
  <c r="D2289" i="23"/>
  <c r="O2288" i="23"/>
  <c r="N2288" i="23"/>
  <c r="M2288" i="23"/>
  <c r="L2288" i="23"/>
  <c r="K1818" i="23"/>
  <c r="J1818" i="23"/>
  <c r="H1818" i="23"/>
  <c r="F1818" i="23"/>
  <c r="E1818" i="23"/>
  <c r="D1818" i="23"/>
  <c r="K1817" i="23"/>
  <c r="J1817" i="23"/>
  <c r="H1817" i="23"/>
  <c r="F1817" i="23"/>
  <c r="E1817" i="23"/>
  <c r="D1817" i="23"/>
  <c r="H1710" i="23"/>
  <c r="F1710" i="23"/>
  <c r="E1710" i="23"/>
  <c r="D1710" i="23"/>
  <c r="K1709" i="23"/>
  <c r="J1709" i="23"/>
  <c r="F1709" i="23"/>
  <c r="E1709" i="23"/>
  <c r="D1709" i="23"/>
  <c r="H1708" i="23"/>
  <c r="F1708" i="23"/>
  <c r="E1708" i="23"/>
  <c r="D1708" i="23"/>
  <c r="F1707" i="23"/>
  <c r="E1707" i="23"/>
  <c r="D1707" i="23"/>
  <c r="O1706" i="23"/>
  <c r="N1706" i="23"/>
  <c r="M1706" i="23"/>
  <c r="L1706" i="23"/>
  <c r="K1597" i="23"/>
  <c r="J1597" i="23"/>
  <c r="H1597" i="23"/>
  <c r="F1597" i="23"/>
  <c r="E1597" i="23"/>
  <c r="D1597" i="23"/>
  <c r="K1596" i="23"/>
  <c r="J1596" i="23"/>
  <c r="H1596" i="23"/>
  <c r="F1596" i="23"/>
  <c r="E1596" i="23"/>
  <c r="D1596" i="23"/>
  <c r="K1595" i="23"/>
  <c r="J1595" i="23"/>
  <c r="H1595" i="23"/>
  <c r="F1595" i="23"/>
  <c r="E1595" i="23"/>
  <c r="D1595" i="23"/>
  <c r="J1554" i="23"/>
  <c r="H1554" i="23"/>
  <c r="F1554" i="23"/>
  <c r="E1554" i="23"/>
  <c r="D1554" i="23"/>
  <c r="K1553" i="23"/>
  <c r="J1553" i="23"/>
  <c r="F1553" i="23"/>
  <c r="E1553" i="23"/>
  <c r="D1553" i="23"/>
  <c r="H1552" i="23"/>
  <c r="F1552" i="23"/>
  <c r="E1552" i="23"/>
  <c r="D1552" i="23"/>
  <c r="F1551" i="23"/>
  <c r="E1551" i="23"/>
  <c r="D1551" i="23"/>
  <c r="O1550" i="23"/>
  <c r="N1550" i="23"/>
  <c r="M1550" i="23"/>
  <c r="L1550" i="23"/>
  <c r="K1141" i="23"/>
  <c r="J1141" i="23"/>
  <c r="H1141" i="23"/>
  <c r="F1141" i="23"/>
  <c r="D1141" i="23"/>
  <c r="D1315" i="23"/>
  <c r="E1315" i="23"/>
  <c r="F1315" i="23"/>
  <c r="H1315" i="23"/>
  <c r="J1315" i="23"/>
  <c r="K1315" i="23"/>
  <c r="D1316" i="23"/>
  <c r="E1316" i="23"/>
  <c r="F1316" i="23"/>
  <c r="H1316" i="23"/>
  <c r="J1316" i="23"/>
  <c r="K1316" i="23"/>
  <c r="J1275" i="23"/>
  <c r="H1275" i="23"/>
  <c r="F1275" i="23"/>
  <c r="E1275" i="23"/>
  <c r="D1275" i="23"/>
  <c r="K1274" i="23"/>
  <c r="J1274" i="23"/>
  <c r="F1274" i="23"/>
  <c r="E1274" i="23"/>
  <c r="D1274" i="23"/>
  <c r="H1273" i="23"/>
  <c r="F1273" i="23"/>
  <c r="E1273" i="23"/>
  <c r="D1273" i="23"/>
  <c r="F1272" i="23"/>
  <c r="E1272" i="23"/>
  <c r="D1272" i="23"/>
  <c r="O1271" i="23"/>
  <c r="N1271" i="23"/>
  <c r="M1271" i="23"/>
  <c r="L1271" i="23"/>
  <c r="D1467" i="23"/>
  <c r="E1467" i="23"/>
  <c r="F1467" i="23"/>
  <c r="H1467" i="23"/>
  <c r="J1467" i="23"/>
  <c r="K1467" i="23"/>
  <c r="D1468" i="23"/>
  <c r="E1468" i="23"/>
  <c r="F1468" i="23"/>
  <c r="H1468" i="23"/>
  <c r="J1468" i="23"/>
  <c r="K1468" i="23"/>
  <c r="H1404" i="23"/>
  <c r="F1404" i="23"/>
  <c r="D1404" i="23"/>
  <c r="K1403" i="23"/>
  <c r="J1403" i="23"/>
  <c r="F1403" i="23"/>
  <c r="E1403" i="23"/>
  <c r="D1403" i="23"/>
  <c r="H1402" i="23"/>
  <c r="F1402" i="23"/>
  <c r="E1402" i="23"/>
  <c r="D1402" i="23"/>
  <c r="F1401" i="23"/>
  <c r="E1401" i="23"/>
  <c r="D1401" i="23"/>
  <c r="O1400" i="23"/>
  <c r="N1400" i="23"/>
  <c r="M1400" i="23"/>
  <c r="L1400" i="23"/>
  <c r="D1188" i="23"/>
  <c r="E1188" i="23"/>
  <c r="F1188" i="23"/>
  <c r="H1188" i="23"/>
  <c r="J1188" i="23"/>
  <c r="K1188" i="23"/>
  <c r="D1189" i="23"/>
  <c r="E1189" i="23"/>
  <c r="F1189" i="23"/>
  <c r="H1189" i="23"/>
  <c r="J1189" i="23"/>
  <c r="K1189" i="23"/>
  <c r="D1190" i="23"/>
  <c r="E1190" i="23"/>
  <c r="F1190" i="23"/>
  <c r="H1190" i="23"/>
  <c r="J1190" i="23"/>
  <c r="K1190" i="23"/>
  <c r="K1147" i="23"/>
  <c r="J1147" i="23"/>
  <c r="F1147" i="23"/>
  <c r="E1147" i="23"/>
  <c r="D1147" i="23"/>
  <c r="J1148" i="23"/>
  <c r="H1148" i="23"/>
  <c r="F1148" i="23"/>
  <c r="E1148" i="23"/>
  <c r="D1148" i="23"/>
  <c r="H1146" i="23"/>
  <c r="F1146" i="23"/>
  <c r="E1146" i="23"/>
  <c r="D1146" i="23"/>
  <c r="F1145" i="23"/>
  <c r="E1145" i="23"/>
  <c r="D1145" i="23"/>
  <c r="O1144" i="23"/>
  <c r="N1144" i="23"/>
  <c r="M1144" i="23"/>
  <c r="L1144" i="23"/>
  <c r="B1107" i="23"/>
  <c r="H1107" i="23" s="1"/>
  <c r="K1219" i="23"/>
  <c r="J1219" i="23"/>
  <c r="H1219" i="23"/>
  <c r="F1219" i="23"/>
  <c r="E1219" i="23"/>
  <c r="D1219" i="23"/>
  <c r="K1218" i="23"/>
  <c r="J1218" i="23"/>
  <c r="H1218" i="23"/>
  <c r="F1218" i="23"/>
  <c r="E1218" i="23"/>
  <c r="D1218" i="23"/>
  <c r="K1217" i="23"/>
  <c r="J1217" i="23"/>
  <c r="H1217" i="23"/>
  <c r="F1217" i="23"/>
  <c r="E1217" i="23"/>
  <c r="D1217" i="23"/>
  <c r="H1216" i="23"/>
  <c r="F1216" i="23"/>
  <c r="E1216" i="23"/>
  <c r="K1215" i="23"/>
  <c r="J1215" i="23"/>
  <c r="H1215" i="23"/>
  <c r="F1215" i="23"/>
  <c r="E1215" i="23"/>
  <c r="D1215" i="23"/>
  <c r="K1214" i="23"/>
  <c r="J1214" i="23"/>
  <c r="H1214" i="23"/>
  <c r="F1214" i="23"/>
  <c r="E1214" i="23"/>
  <c r="D1214" i="23"/>
  <c r="K1213" i="23"/>
  <c r="J1213" i="23"/>
  <c r="H1213" i="23"/>
  <c r="F1213" i="23"/>
  <c r="E1213" i="23"/>
  <c r="D1213" i="23"/>
  <c r="K1212" i="23"/>
  <c r="J1212" i="23"/>
  <c r="H1212" i="23"/>
  <c r="F1212" i="23"/>
  <c r="E1212" i="23"/>
  <c r="D1212" i="23"/>
  <c r="K1211" i="23"/>
  <c r="J1211" i="23"/>
  <c r="H1211" i="23"/>
  <c r="F1211" i="23"/>
  <c r="E1211" i="23"/>
  <c r="D1211" i="23"/>
  <c r="K1210" i="23"/>
  <c r="J1210" i="23"/>
  <c r="H1210" i="23"/>
  <c r="F1210" i="23"/>
  <c r="E1210" i="23"/>
  <c r="D1210" i="23"/>
  <c r="K1209" i="23"/>
  <c r="J1209" i="23"/>
  <c r="H1209" i="23"/>
  <c r="F1209" i="23"/>
  <c r="E1209" i="23"/>
  <c r="D1209" i="23"/>
  <c r="K1208" i="23"/>
  <c r="H1208" i="23"/>
  <c r="F1208" i="23"/>
  <c r="E1208" i="23"/>
  <c r="D1208" i="23"/>
  <c r="K1207" i="23"/>
  <c r="H1207" i="23"/>
  <c r="F1207" i="23"/>
  <c r="E1207" i="23"/>
  <c r="D1207" i="23"/>
  <c r="K1206" i="23"/>
  <c r="J1206" i="23"/>
  <c r="H1206" i="23"/>
  <c r="F1206" i="23"/>
  <c r="E1206" i="23"/>
  <c r="D1206" i="23"/>
  <c r="K1205" i="23"/>
  <c r="J1205" i="23"/>
  <c r="H1205" i="23"/>
  <c r="F1205" i="23"/>
  <c r="E1205" i="23"/>
  <c r="D1205" i="23"/>
  <c r="K1204" i="23"/>
  <c r="J1204" i="23"/>
  <c r="H1204" i="23"/>
  <c r="F1204" i="23"/>
  <c r="E1204" i="23"/>
  <c r="D1204" i="23"/>
  <c r="K1201" i="23"/>
  <c r="J1201" i="23"/>
  <c r="H1201" i="23"/>
  <c r="F1201" i="23"/>
  <c r="E1201" i="23"/>
  <c r="D1201" i="23"/>
  <c r="K1200" i="23"/>
  <c r="J1200" i="23"/>
  <c r="H1200" i="23"/>
  <c r="F1200" i="23"/>
  <c r="E1200" i="23"/>
  <c r="D1200" i="23"/>
  <c r="K1199" i="23"/>
  <c r="J1199" i="23"/>
  <c r="H1199" i="23"/>
  <c r="F1199" i="23"/>
  <c r="E1199" i="23"/>
  <c r="D1199" i="23"/>
  <c r="K1198" i="23"/>
  <c r="J1198" i="23"/>
  <c r="H1198" i="23"/>
  <c r="F1198" i="23"/>
  <c r="E1198" i="23"/>
  <c r="D1198" i="23"/>
  <c r="J1195" i="23"/>
  <c r="F1195" i="23"/>
  <c r="E1195" i="23"/>
  <c r="D1195" i="23"/>
  <c r="J1194" i="23"/>
  <c r="F1194" i="23"/>
  <c r="E1194" i="23"/>
  <c r="D1194" i="23"/>
  <c r="K1193" i="23"/>
  <c r="J1193" i="23"/>
  <c r="H1193" i="23"/>
  <c r="F1193" i="23"/>
  <c r="E1193" i="23"/>
  <c r="D1193" i="23"/>
  <c r="K1192" i="23"/>
  <c r="J1192" i="23"/>
  <c r="H1192" i="23"/>
  <c r="F1192" i="23"/>
  <c r="E1192" i="23"/>
  <c r="D1192" i="23"/>
  <c r="K1191" i="23"/>
  <c r="J1191" i="23"/>
  <c r="H1191" i="23"/>
  <c r="F1191" i="23"/>
  <c r="E1191" i="23"/>
  <c r="D1191" i="23"/>
  <c r="K1187" i="23"/>
  <c r="J1187" i="23"/>
  <c r="H1187" i="23"/>
  <c r="F1187" i="23"/>
  <c r="E1187" i="23"/>
  <c r="D1187" i="23"/>
  <c r="K1186" i="23"/>
  <c r="J1186" i="23"/>
  <c r="H1186" i="23"/>
  <c r="F1186" i="23"/>
  <c r="E1186" i="23"/>
  <c r="D1186" i="23"/>
  <c r="K1183" i="23"/>
  <c r="J1183" i="23"/>
  <c r="F1183" i="23"/>
  <c r="E1183" i="23"/>
  <c r="D1183" i="23"/>
  <c r="K1182" i="23"/>
  <c r="J1182" i="23"/>
  <c r="H1182" i="23"/>
  <c r="F1182" i="23"/>
  <c r="E1182" i="23"/>
  <c r="D1182" i="23"/>
  <c r="K1181" i="23"/>
  <c r="J1181" i="23"/>
  <c r="F1181" i="23"/>
  <c r="E1181" i="23"/>
  <c r="D1181" i="23"/>
  <c r="O1180" i="23"/>
  <c r="N1180" i="23"/>
  <c r="M1180" i="23"/>
  <c r="L1180" i="23"/>
  <c r="S1178" i="23"/>
  <c r="R1178" i="23"/>
  <c r="Q1178" i="23"/>
  <c r="K1178" i="23"/>
  <c r="J1178" i="23"/>
  <c r="F1178" i="23"/>
  <c r="E1178" i="23"/>
  <c r="D1178" i="23"/>
  <c r="K1177" i="23"/>
  <c r="J1177" i="23"/>
  <c r="H1177" i="23"/>
  <c r="F1177" i="23"/>
  <c r="E1177" i="23"/>
  <c r="D1177" i="23"/>
  <c r="K1176" i="23"/>
  <c r="J1176" i="23"/>
  <c r="H1176" i="23"/>
  <c r="F1176" i="23"/>
  <c r="E1176" i="23"/>
  <c r="D1176" i="23"/>
  <c r="K1175" i="23"/>
  <c r="J1175" i="23"/>
  <c r="H1175" i="23"/>
  <c r="F1175" i="23"/>
  <c r="E1175" i="23"/>
  <c r="D1175" i="23"/>
  <c r="O1174" i="23"/>
  <c r="N1174" i="23"/>
  <c r="M1174" i="23"/>
  <c r="L1174" i="23"/>
  <c r="K1172" i="23"/>
  <c r="H1172" i="23"/>
  <c r="F1172" i="23"/>
  <c r="E1172" i="23"/>
  <c r="D1172" i="23"/>
  <c r="H1171" i="23"/>
  <c r="F1171" i="23"/>
  <c r="E1171" i="23"/>
  <c r="D1171" i="23"/>
  <c r="B1170" i="23"/>
  <c r="J1170" i="23" s="1"/>
  <c r="B1169" i="23"/>
  <c r="J1169" i="23" s="1"/>
  <c r="K1168" i="23"/>
  <c r="O1168" i="23" s="1"/>
  <c r="J1168" i="23"/>
  <c r="N1168" i="23" s="1"/>
  <c r="H1168" i="23"/>
  <c r="L1168" i="23" s="1"/>
  <c r="F1168" i="23"/>
  <c r="E1168" i="23"/>
  <c r="D1168" i="23"/>
  <c r="K1167" i="23"/>
  <c r="J1167" i="23"/>
  <c r="H1167" i="23"/>
  <c r="F1167" i="23"/>
  <c r="E1167" i="23"/>
  <c r="D1167" i="23"/>
  <c r="K1166" i="23"/>
  <c r="H1166" i="23"/>
  <c r="F1166" i="23"/>
  <c r="E1166" i="23"/>
  <c r="D1166" i="23"/>
  <c r="J1165" i="23"/>
  <c r="H1165" i="23"/>
  <c r="F1165" i="23"/>
  <c r="E1165" i="23"/>
  <c r="D1165" i="23"/>
  <c r="J1164" i="23"/>
  <c r="H1164" i="23"/>
  <c r="F1164" i="23"/>
  <c r="E1164" i="23"/>
  <c r="D1164" i="23"/>
  <c r="K1163" i="23"/>
  <c r="J1163" i="23"/>
  <c r="F1163" i="23"/>
  <c r="E1163" i="23"/>
  <c r="D1163" i="23"/>
  <c r="K1162" i="23"/>
  <c r="J1162" i="23"/>
  <c r="H1162" i="23"/>
  <c r="F1162" i="23"/>
  <c r="E1162" i="23"/>
  <c r="D1162" i="23"/>
  <c r="O1161" i="23"/>
  <c r="N1161" i="23"/>
  <c r="M1161" i="23"/>
  <c r="L1161" i="23"/>
  <c r="J1159" i="23"/>
  <c r="H1159" i="23"/>
  <c r="F1159" i="23"/>
  <c r="E1159" i="23"/>
  <c r="D1159" i="23"/>
  <c r="F1158" i="23"/>
  <c r="E1158" i="23"/>
  <c r="D1158" i="23"/>
  <c r="F1157" i="23"/>
  <c r="E1157" i="23"/>
  <c r="D1157" i="23"/>
  <c r="H1156" i="23"/>
  <c r="F1156" i="23"/>
  <c r="E1156" i="23"/>
  <c r="D1156" i="23"/>
  <c r="O1155" i="23"/>
  <c r="N1155" i="23"/>
  <c r="M1155" i="23"/>
  <c r="L1155" i="23"/>
  <c r="J1153" i="23"/>
  <c r="H1153" i="23"/>
  <c r="F1153" i="23"/>
  <c r="E1153" i="23"/>
  <c r="D1153" i="23"/>
  <c r="F1152" i="23"/>
  <c r="E1152" i="23"/>
  <c r="D1152" i="23"/>
  <c r="H1151" i="23"/>
  <c r="F1151" i="23"/>
  <c r="E1151" i="23"/>
  <c r="D1151" i="23"/>
  <c r="O1150" i="23"/>
  <c r="N1150" i="23"/>
  <c r="M1150" i="23"/>
  <c r="L1150" i="23"/>
  <c r="K1140" i="23"/>
  <c r="J1140" i="23"/>
  <c r="F1140" i="23"/>
  <c r="E1140" i="23"/>
  <c r="D1140" i="23"/>
  <c r="K1139" i="23"/>
  <c r="J1139" i="23"/>
  <c r="F1139" i="23"/>
  <c r="E1139" i="23"/>
  <c r="D1139" i="23"/>
  <c r="K1138" i="23"/>
  <c r="J1138" i="23"/>
  <c r="F1138" i="23"/>
  <c r="E1138" i="23"/>
  <c r="D1138" i="23"/>
  <c r="K1137" i="23"/>
  <c r="F1137" i="23"/>
  <c r="D1137" i="23"/>
  <c r="K1136" i="23"/>
  <c r="F1136" i="23"/>
  <c r="D1136" i="23"/>
  <c r="K1135" i="23"/>
  <c r="F1135" i="23"/>
  <c r="D1135" i="23"/>
  <c r="B1132" i="23"/>
  <c r="D1132" i="23" s="1"/>
  <c r="B1131" i="23"/>
  <c r="J1131" i="23" s="1"/>
  <c r="F1130" i="23"/>
  <c r="E1130" i="23"/>
  <c r="J1129" i="23"/>
  <c r="H1129" i="23"/>
  <c r="F1129" i="23"/>
  <c r="E1129" i="23"/>
  <c r="D1129" i="23"/>
  <c r="B1127" i="23"/>
  <c r="J1127" i="23" s="1"/>
  <c r="B1126" i="23"/>
  <c r="J1126" i="23" s="1"/>
  <c r="F1125" i="23"/>
  <c r="E1125" i="23"/>
  <c r="J1124" i="23"/>
  <c r="H1124" i="23"/>
  <c r="F1124" i="23"/>
  <c r="E1124" i="23"/>
  <c r="D1124" i="23"/>
  <c r="F1122" i="23"/>
  <c r="E1122" i="23"/>
  <c r="D1122" i="23"/>
  <c r="H1121" i="23"/>
  <c r="F1121" i="23"/>
  <c r="E1121" i="23"/>
  <c r="H1120" i="23"/>
  <c r="F1120" i="23"/>
  <c r="E1120" i="23"/>
  <c r="F1118" i="23"/>
  <c r="E1118" i="23"/>
  <c r="D1118" i="23"/>
  <c r="H1117" i="23"/>
  <c r="F1117" i="23"/>
  <c r="E1117" i="23"/>
  <c r="H1116" i="23"/>
  <c r="F1116" i="23"/>
  <c r="E1116" i="23"/>
  <c r="K1112" i="23"/>
  <c r="J1112" i="23"/>
  <c r="I1112" i="23"/>
  <c r="H1112" i="23"/>
  <c r="F1112" i="23"/>
  <c r="E1112" i="23"/>
  <c r="D1112" i="23"/>
  <c r="K1111" i="23"/>
  <c r="J1111" i="23"/>
  <c r="I1111" i="23"/>
  <c r="H1111" i="23"/>
  <c r="F1111" i="23"/>
  <c r="E1111" i="23"/>
  <c r="D1111" i="23"/>
  <c r="K1110" i="23"/>
  <c r="J1110" i="23"/>
  <c r="I1110" i="23"/>
  <c r="H1110" i="23"/>
  <c r="F1110" i="23"/>
  <c r="E1110" i="23"/>
  <c r="D1110" i="23"/>
  <c r="K1109" i="23"/>
  <c r="J1109" i="23"/>
  <c r="I1109" i="23"/>
  <c r="H1109" i="23"/>
  <c r="F1109" i="23"/>
  <c r="E1109" i="23"/>
  <c r="D1109" i="23"/>
  <c r="F1107" i="23"/>
  <c r="K973" i="23"/>
  <c r="J973" i="23"/>
  <c r="H973" i="23"/>
  <c r="F973" i="23"/>
  <c r="E973" i="23"/>
  <c r="D973" i="23"/>
  <c r="K972" i="23"/>
  <c r="J972" i="23"/>
  <c r="H972" i="23"/>
  <c r="F972" i="23"/>
  <c r="E972" i="23"/>
  <c r="D972" i="23"/>
  <c r="K971" i="23"/>
  <c r="J971" i="23"/>
  <c r="H971" i="23"/>
  <c r="F971" i="23"/>
  <c r="E971" i="23"/>
  <c r="D971" i="23"/>
  <c r="K942" i="23"/>
  <c r="J942" i="23"/>
  <c r="H942" i="23"/>
  <c r="F942" i="23"/>
  <c r="E942" i="23"/>
  <c r="D942" i="23"/>
  <c r="K941" i="23"/>
  <c r="J941" i="23"/>
  <c r="F941" i="23"/>
  <c r="E941" i="23"/>
  <c r="D941" i="23"/>
  <c r="K940" i="23"/>
  <c r="J940" i="23"/>
  <c r="F940" i="23"/>
  <c r="E940" i="23"/>
  <c r="D940" i="23"/>
  <c r="K939" i="23"/>
  <c r="J939" i="23"/>
  <c r="F939" i="23"/>
  <c r="E939" i="23"/>
  <c r="D939" i="23"/>
  <c r="K938" i="23"/>
  <c r="J938" i="23"/>
  <c r="H938" i="23"/>
  <c r="F938" i="23"/>
  <c r="E938" i="23"/>
  <c r="D938" i="23"/>
  <c r="K937" i="23"/>
  <c r="J937" i="23"/>
  <c r="H937" i="23"/>
  <c r="F937" i="23"/>
  <c r="E937" i="23"/>
  <c r="D937" i="23"/>
  <c r="K936" i="23"/>
  <c r="J936" i="23"/>
  <c r="H936" i="23"/>
  <c r="F936" i="23"/>
  <c r="E936" i="23"/>
  <c r="D936" i="23"/>
  <c r="O935" i="23"/>
  <c r="N935" i="23"/>
  <c r="M935" i="23"/>
  <c r="L935" i="23"/>
  <c r="K842" i="23"/>
  <c r="J842" i="23"/>
  <c r="H842" i="23"/>
  <c r="F842" i="23"/>
  <c r="E842" i="23"/>
  <c r="D842" i="23"/>
  <c r="K841" i="23"/>
  <c r="J841" i="23"/>
  <c r="H841" i="23"/>
  <c r="F841" i="23"/>
  <c r="E841" i="23"/>
  <c r="D841" i="23"/>
  <c r="K840" i="23"/>
  <c r="J840" i="23"/>
  <c r="H840" i="23"/>
  <c r="F840" i="23"/>
  <c r="E840" i="23"/>
  <c r="D840" i="23"/>
  <c r="K796" i="23"/>
  <c r="H796" i="23"/>
  <c r="F796" i="23"/>
  <c r="E796" i="23"/>
  <c r="D796" i="23"/>
  <c r="K795" i="23"/>
  <c r="J795" i="23"/>
  <c r="F795" i="23"/>
  <c r="E795" i="23"/>
  <c r="D795" i="23"/>
  <c r="K794" i="23"/>
  <c r="J794" i="23"/>
  <c r="F794" i="23"/>
  <c r="E794" i="23"/>
  <c r="D794" i="23"/>
  <c r="K793" i="23"/>
  <c r="J793" i="23"/>
  <c r="F793" i="23"/>
  <c r="E793" i="23"/>
  <c r="D793" i="23"/>
  <c r="K792" i="23"/>
  <c r="J792" i="23"/>
  <c r="H792" i="23"/>
  <c r="F792" i="23"/>
  <c r="E792" i="23"/>
  <c r="D792" i="23"/>
  <c r="K791" i="23"/>
  <c r="J791" i="23"/>
  <c r="H791" i="23"/>
  <c r="F791" i="23"/>
  <c r="E791" i="23"/>
  <c r="D791" i="23"/>
  <c r="K790" i="23"/>
  <c r="J790" i="23"/>
  <c r="H790" i="23"/>
  <c r="F790" i="23"/>
  <c r="E790" i="23"/>
  <c r="D790" i="23"/>
  <c r="O789" i="23"/>
  <c r="N789" i="23"/>
  <c r="M789" i="23"/>
  <c r="L789" i="23"/>
  <c r="K635" i="23"/>
  <c r="J635" i="23"/>
  <c r="H635" i="23"/>
  <c r="F635" i="23"/>
  <c r="E635" i="23"/>
  <c r="D635" i="23"/>
  <c r="D718" i="23"/>
  <c r="E718" i="23"/>
  <c r="F718" i="23"/>
  <c r="H718" i="23"/>
  <c r="J718" i="23"/>
  <c r="K718" i="23"/>
  <c r="D719" i="23"/>
  <c r="E719" i="23"/>
  <c r="F719" i="23"/>
  <c r="H719" i="23"/>
  <c r="J719" i="23"/>
  <c r="K719" i="23"/>
  <c r="D720" i="23"/>
  <c r="E720" i="23"/>
  <c r="F720" i="23"/>
  <c r="H720" i="23"/>
  <c r="J720" i="23"/>
  <c r="K720" i="23"/>
  <c r="D692" i="23"/>
  <c r="E692" i="23"/>
  <c r="F692" i="23"/>
  <c r="J692" i="23"/>
  <c r="K692" i="23"/>
  <c r="D631" i="23"/>
  <c r="E631" i="23"/>
  <c r="F631" i="23"/>
  <c r="H631" i="23"/>
  <c r="J631" i="23"/>
  <c r="K631" i="23"/>
  <c r="D632" i="23"/>
  <c r="E632" i="23"/>
  <c r="F632" i="23"/>
  <c r="H632" i="23"/>
  <c r="J632" i="23"/>
  <c r="K632" i="23"/>
  <c r="D633" i="23"/>
  <c r="E633" i="23"/>
  <c r="F633" i="23"/>
  <c r="H633" i="23"/>
  <c r="J633" i="23"/>
  <c r="K633" i="23"/>
  <c r="D596" i="23"/>
  <c r="E596" i="23"/>
  <c r="F596" i="23"/>
  <c r="J596" i="23"/>
  <c r="K596" i="23"/>
  <c r="K598" i="23"/>
  <c r="J598" i="23"/>
  <c r="H598" i="23"/>
  <c r="F598" i="23"/>
  <c r="E598" i="23"/>
  <c r="D598" i="23"/>
  <c r="D593" i="23"/>
  <c r="E593" i="23"/>
  <c r="F593" i="23"/>
  <c r="H593" i="23"/>
  <c r="J593" i="23"/>
  <c r="K593" i="23"/>
  <c r="D594" i="23"/>
  <c r="E594" i="23"/>
  <c r="F594" i="23"/>
  <c r="H594" i="23"/>
  <c r="J594" i="23"/>
  <c r="K594" i="23"/>
  <c r="D595" i="23"/>
  <c r="E595" i="23"/>
  <c r="F595" i="23"/>
  <c r="J595" i="23"/>
  <c r="K595" i="23"/>
  <c r="D597" i="23"/>
  <c r="E597" i="23"/>
  <c r="F597" i="23"/>
  <c r="J597" i="23"/>
  <c r="K597" i="23"/>
  <c r="K592" i="23"/>
  <c r="J592" i="23"/>
  <c r="H592" i="23"/>
  <c r="F592" i="23"/>
  <c r="E592" i="23"/>
  <c r="D592" i="23"/>
  <c r="E505" i="23"/>
  <c r="F505" i="23"/>
  <c r="H505" i="23"/>
  <c r="J505" i="23"/>
  <c r="K505" i="23"/>
  <c r="E508" i="23"/>
  <c r="F508" i="23"/>
  <c r="H508" i="23"/>
  <c r="K508" i="23"/>
  <c r="D537" i="23"/>
  <c r="E537" i="23"/>
  <c r="F537" i="23"/>
  <c r="H537" i="23"/>
  <c r="J537" i="23"/>
  <c r="K537" i="23"/>
  <c r="D538" i="23"/>
  <c r="E538" i="23"/>
  <c r="F538" i="23"/>
  <c r="H538" i="23"/>
  <c r="J538" i="23"/>
  <c r="K538" i="23"/>
  <c r="D539" i="23"/>
  <c r="E539" i="23"/>
  <c r="F539" i="23"/>
  <c r="H539" i="23"/>
  <c r="J539" i="23"/>
  <c r="K539" i="23"/>
  <c r="E506" i="23"/>
  <c r="F506" i="23"/>
  <c r="J506" i="23"/>
  <c r="K506" i="23"/>
  <c r="K23" i="23"/>
  <c r="E609" i="1"/>
  <c r="T611" i="1"/>
  <c r="S611" i="1"/>
  <c r="R611" i="1"/>
  <c r="U611" i="1" s="1"/>
  <c r="Q611" i="1"/>
  <c r="F611" i="1"/>
  <c r="E611" i="1"/>
  <c r="D611" i="1"/>
  <c r="U610" i="1"/>
  <c r="T610" i="1"/>
  <c r="P610" i="1"/>
  <c r="S610" i="1" s="1"/>
  <c r="F610" i="1"/>
  <c r="E610" i="1"/>
  <c r="U609" i="1"/>
  <c r="T609" i="1"/>
  <c r="P609" i="1"/>
  <c r="S609" i="1" s="1"/>
  <c r="F609" i="1"/>
  <c r="E518" i="1"/>
  <c r="F518" i="1"/>
  <c r="P518" i="1"/>
  <c r="S518" i="1" s="1"/>
  <c r="T518" i="1"/>
  <c r="U518" i="1"/>
  <c r="H1183" i="23"/>
  <c r="E337" i="1"/>
  <c r="D337" i="1"/>
  <c r="F337" i="1"/>
  <c r="Q337" i="1"/>
  <c r="T337" i="1" s="1"/>
  <c r="U337" i="1"/>
  <c r="U336" i="1"/>
  <c r="Q336" i="1"/>
  <c r="T336" i="1" s="1"/>
  <c r="P336" i="1"/>
  <c r="S336" i="1" s="1"/>
  <c r="F336" i="1"/>
  <c r="E336" i="1"/>
  <c r="U335" i="1"/>
  <c r="Q335" i="1"/>
  <c r="T335" i="1" s="1"/>
  <c r="P335" i="1"/>
  <c r="S335" i="1" s="1"/>
  <c r="F335" i="1"/>
  <c r="E335" i="1"/>
  <c r="E211" i="1"/>
  <c r="F211" i="1"/>
  <c r="Q211" i="1"/>
  <c r="T211" i="1" s="1"/>
  <c r="Q210" i="1"/>
  <c r="T210" i="1" s="1"/>
  <c r="U209" i="1"/>
  <c r="Q209" i="1"/>
  <c r="T209" i="1" s="1"/>
  <c r="U141" i="1"/>
  <c r="T141" i="1"/>
  <c r="F141" i="1"/>
  <c r="E141" i="1"/>
  <c r="G70" i="1"/>
  <c r="S70" i="1" s="1"/>
  <c r="S71" i="1"/>
  <c r="R71" i="1"/>
  <c r="U71" i="1" s="1"/>
  <c r="Q71" i="1"/>
  <c r="T71" i="1" s="1"/>
  <c r="F71" i="1"/>
  <c r="E71" i="1"/>
  <c r="R70" i="1"/>
  <c r="F70" i="1"/>
  <c r="E70" i="1"/>
  <c r="R69" i="1"/>
  <c r="U69" i="1" s="1"/>
  <c r="Q69" i="1"/>
  <c r="T69" i="1" s="1"/>
  <c r="P69" i="1"/>
  <c r="S69" i="1" s="1"/>
  <c r="F69" i="1"/>
  <c r="E69" i="1"/>
  <c r="R68" i="1"/>
  <c r="U68" i="1" s="1"/>
  <c r="Q68" i="1"/>
  <c r="T68" i="1" s="1"/>
  <c r="P68" i="1"/>
  <c r="S68" i="1" s="1"/>
  <c r="F68" i="1"/>
  <c r="E68" i="1"/>
  <c r="R67" i="1"/>
  <c r="U67" i="1" s="1"/>
  <c r="Q67" i="1"/>
  <c r="T67" i="1" s="1"/>
  <c r="P67" i="1"/>
  <c r="S67" i="1" s="1"/>
  <c r="F67" i="1"/>
  <c r="E67" i="1"/>
  <c r="D67" i="1"/>
  <c r="R66" i="1"/>
  <c r="U66" i="1" s="1"/>
  <c r="Q66" i="1"/>
  <c r="T66" i="1" s="1"/>
  <c r="P66" i="1"/>
  <c r="S66" i="1" s="1"/>
  <c r="F66" i="1"/>
  <c r="E66" i="1"/>
  <c r="D66" i="1"/>
  <c r="R65" i="1"/>
  <c r="U65" i="1" s="1"/>
  <c r="Q65" i="1"/>
  <c r="T65" i="1" s="1"/>
  <c r="P65" i="1"/>
  <c r="S65" i="1" s="1"/>
  <c r="F65" i="1"/>
  <c r="E65" i="1"/>
  <c r="D65" i="1"/>
  <c r="R64" i="1"/>
  <c r="U64" i="1" s="1"/>
  <c r="Q64" i="1"/>
  <c r="T64" i="1" s="1"/>
  <c r="P64" i="1"/>
  <c r="S64" i="1" s="1"/>
  <c r="F64" i="1"/>
  <c r="E64" i="1"/>
  <c r="D64" i="1"/>
  <c r="R63" i="1"/>
  <c r="U63" i="1" s="1"/>
  <c r="Q63" i="1"/>
  <c r="T63" i="1" s="1"/>
  <c r="P63" i="1"/>
  <c r="S63" i="1" s="1"/>
  <c r="F63" i="1"/>
  <c r="E63" i="1"/>
  <c r="D63" i="1"/>
  <c r="G60" i="1"/>
  <c r="S60" i="1" s="1"/>
  <c r="S61" i="1"/>
  <c r="R61" i="1"/>
  <c r="U61" i="1" s="1"/>
  <c r="Q61" i="1"/>
  <c r="T61" i="1" s="1"/>
  <c r="F61" i="1"/>
  <c r="E61" i="1"/>
  <c r="R60" i="1"/>
  <c r="F60" i="1"/>
  <c r="E60" i="1"/>
  <c r="R59" i="1"/>
  <c r="U59" i="1" s="1"/>
  <c r="Q59" i="1"/>
  <c r="T59" i="1" s="1"/>
  <c r="P59" i="1"/>
  <c r="S59" i="1" s="1"/>
  <c r="F59" i="1"/>
  <c r="E59" i="1"/>
  <c r="R58" i="1"/>
  <c r="U58" i="1" s="1"/>
  <c r="Q58" i="1"/>
  <c r="T58" i="1" s="1"/>
  <c r="P58" i="1"/>
  <c r="S58" i="1" s="1"/>
  <c r="F58" i="1"/>
  <c r="E58" i="1"/>
  <c r="R57" i="1"/>
  <c r="U57" i="1" s="1"/>
  <c r="Q57" i="1"/>
  <c r="T57" i="1" s="1"/>
  <c r="P57" i="1"/>
  <c r="S57" i="1" s="1"/>
  <c r="F57" i="1"/>
  <c r="E57" i="1"/>
  <c r="D57" i="1"/>
  <c r="R56" i="1"/>
  <c r="U56" i="1" s="1"/>
  <c r="Q56" i="1"/>
  <c r="T56" i="1" s="1"/>
  <c r="P56" i="1"/>
  <c r="S56" i="1" s="1"/>
  <c r="F56" i="1"/>
  <c r="E56" i="1"/>
  <c r="D56" i="1"/>
  <c r="R55" i="1"/>
  <c r="U55" i="1" s="1"/>
  <c r="Q55" i="1"/>
  <c r="T55" i="1" s="1"/>
  <c r="P55" i="1"/>
  <c r="S55" i="1" s="1"/>
  <c r="F55" i="1"/>
  <c r="E55" i="1"/>
  <c r="D55" i="1"/>
  <c r="R54" i="1"/>
  <c r="U54" i="1" s="1"/>
  <c r="Q54" i="1"/>
  <c r="T54" i="1" s="1"/>
  <c r="P54" i="1"/>
  <c r="S54" i="1" s="1"/>
  <c r="F54" i="1"/>
  <c r="E54" i="1"/>
  <c r="D54" i="1"/>
  <c r="R53" i="1"/>
  <c r="U53" i="1" s="1"/>
  <c r="Q53" i="1"/>
  <c r="T53" i="1" s="1"/>
  <c r="P53" i="1"/>
  <c r="S53" i="1" s="1"/>
  <c r="F53" i="1"/>
  <c r="E53" i="1"/>
  <c r="D53" i="1"/>
  <c r="D20" i="1"/>
  <c r="F20" i="1"/>
  <c r="Q20" i="1"/>
  <c r="T20" i="1" s="1"/>
  <c r="S20" i="1"/>
  <c r="U20" i="1"/>
  <c r="U134" i="1"/>
  <c r="S134" i="1"/>
  <c r="F134" i="1"/>
  <c r="U133" i="1"/>
  <c r="S133" i="1"/>
  <c r="Q133" i="1"/>
  <c r="T133" i="1" s="1"/>
  <c r="U132" i="1"/>
  <c r="T132" i="1"/>
  <c r="F132" i="1"/>
  <c r="E132" i="1"/>
  <c r="U131" i="1"/>
  <c r="Q131" i="1"/>
  <c r="T131" i="1" s="1"/>
  <c r="P131" i="1"/>
  <c r="S131" i="1" s="1"/>
  <c r="F131" i="1"/>
  <c r="E131" i="1"/>
  <c r="E116" i="1"/>
  <c r="F116" i="1"/>
  <c r="P116" i="1"/>
  <c r="S116" i="1" s="1"/>
  <c r="Q116" i="1"/>
  <c r="T116" i="1" s="1"/>
  <c r="U116" i="1"/>
  <c r="U77" i="1"/>
  <c r="E77" i="1"/>
  <c r="U76" i="1"/>
  <c r="S76" i="1"/>
  <c r="F76" i="1"/>
  <c r="U19" i="1"/>
  <c r="S19" i="1"/>
  <c r="F19" i="1"/>
  <c r="U18" i="1"/>
  <c r="S18" i="1"/>
  <c r="F18" i="1"/>
  <c r="U51" i="1"/>
  <c r="S51" i="1"/>
  <c r="F51" i="1"/>
  <c r="U50" i="1"/>
  <c r="S50" i="1"/>
  <c r="F50" i="1"/>
  <c r="U49" i="1"/>
  <c r="T49" i="1"/>
  <c r="F49" i="1"/>
  <c r="E49" i="1"/>
  <c r="U48" i="1"/>
  <c r="Q48" i="1"/>
  <c r="T48" i="1" s="1"/>
  <c r="P48" i="1"/>
  <c r="S48" i="1" s="1"/>
  <c r="F48" i="1"/>
  <c r="E48" i="1"/>
  <c r="H2632" i="23"/>
  <c r="H1158" i="23"/>
  <c r="H506" i="23"/>
  <c r="H1138" i="23"/>
  <c r="P211" i="1"/>
  <c r="S211" i="1" s="1"/>
  <c r="H1163" i="23"/>
  <c r="J1172" i="23"/>
  <c r="J1171" i="23"/>
  <c r="J1118" i="23"/>
  <c r="K1118" i="23"/>
  <c r="J1122" i="23"/>
  <c r="K1122" i="23"/>
  <c r="Q70" i="1"/>
  <c r="H1181" i="23"/>
  <c r="J1208" i="23"/>
  <c r="J1207" i="23"/>
  <c r="J1166" i="23"/>
  <c r="H1135" i="23"/>
  <c r="E666" i="1"/>
  <c r="BO6" i="2"/>
  <c r="BP6" i="2"/>
  <c r="BO7" i="2"/>
  <c r="BP7" i="2"/>
  <c r="BO8" i="2"/>
  <c r="BP8" i="2"/>
  <c r="BO9" i="2"/>
  <c r="BP9" i="2"/>
  <c r="BO10" i="2"/>
  <c r="BP10" i="2"/>
  <c r="BO11" i="2"/>
  <c r="BP11" i="2"/>
  <c r="BO12" i="2"/>
  <c r="BP12" i="2"/>
  <c r="BO14" i="2"/>
  <c r="BP14" i="2"/>
  <c r="D15" i="2"/>
  <c r="E15" i="2"/>
  <c r="BO15" i="2"/>
  <c r="BP15" i="2"/>
  <c r="BO16" i="2"/>
  <c r="BP16" i="2"/>
  <c r="BO17" i="2"/>
  <c r="BP17" i="2"/>
  <c r="BO18" i="2"/>
  <c r="BP18" i="2"/>
  <c r="B19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D25" i="2"/>
  <c r="E25" i="2"/>
  <c r="BO25" i="2"/>
  <c r="BP25" i="2"/>
  <c r="D26" i="2"/>
  <c r="E26" i="2"/>
  <c r="BO26" i="2"/>
  <c r="BP26" i="2"/>
  <c r="D27" i="2"/>
  <c r="E27" i="2"/>
  <c r="BO27" i="2"/>
  <c r="BP27" i="2"/>
  <c r="D28" i="2"/>
  <c r="E28" i="2"/>
  <c r="BO28" i="2"/>
  <c r="BP28" i="2"/>
  <c r="D29" i="2"/>
  <c r="E29" i="2"/>
  <c r="BO29" i="2"/>
  <c r="BP29" i="2"/>
  <c r="D30" i="2"/>
  <c r="E30" i="2"/>
  <c r="BO30" i="2"/>
  <c r="BP30" i="2"/>
  <c r="D31" i="2"/>
  <c r="E31" i="2"/>
  <c r="BO31" i="2"/>
  <c r="BP31" i="2"/>
  <c r="D32" i="2"/>
  <c r="E32" i="2"/>
  <c r="BO32" i="2"/>
  <c r="BP32" i="2"/>
  <c r="D34" i="2"/>
  <c r="E34" i="2"/>
  <c r="BO34" i="2"/>
  <c r="BP34" i="2"/>
  <c r="D35" i="2"/>
  <c r="E35" i="2"/>
  <c r="BO35" i="2"/>
  <c r="BP35" i="2"/>
  <c r="D38" i="2"/>
  <c r="E38" i="2"/>
  <c r="BO38" i="2"/>
  <c r="BP38" i="2"/>
  <c r="D40" i="2"/>
  <c r="E40" i="2"/>
  <c r="BO40" i="2"/>
  <c r="BP40" i="2"/>
  <c r="D41" i="2"/>
  <c r="E41" i="2"/>
  <c r="BO41" i="2"/>
  <c r="BP41" i="2"/>
  <c r="D42" i="2"/>
  <c r="E42" i="2"/>
  <c r="BO42" i="2"/>
  <c r="BP42" i="2"/>
  <c r="D43" i="2"/>
  <c r="E43" i="2"/>
  <c r="BO43" i="2"/>
  <c r="BP43" i="2"/>
  <c r="D44" i="2"/>
  <c r="E44" i="2"/>
  <c r="BO44" i="2"/>
  <c r="BP44" i="2"/>
  <c r="D46" i="2"/>
  <c r="E46" i="2"/>
  <c r="BO46" i="2"/>
  <c r="BP46" i="2"/>
  <c r="D47" i="2"/>
  <c r="E47" i="2"/>
  <c r="BO47" i="2"/>
  <c r="BP47" i="2"/>
  <c r="D48" i="2"/>
  <c r="E48" i="2"/>
  <c r="BO48" i="2"/>
  <c r="BP48" i="2"/>
  <c r="D49" i="2"/>
  <c r="E49" i="2"/>
  <c r="BO49" i="2"/>
  <c r="BP49" i="2"/>
  <c r="D50" i="2"/>
  <c r="E50" i="2"/>
  <c r="BO50" i="2"/>
  <c r="BP50" i="2"/>
  <c r="D52" i="2"/>
  <c r="E52" i="2"/>
  <c r="BO52" i="2"/>
  <c r="BP52" i="2"/>
  <c r="D55" i="2"/>
  <c r="E55" i="2"/>
  <c r="BO55" i="2"/>
  <c r="BP55" i="2"/>
  <c r="D56" i="2"/>
  <c r="E56" i="2"/>
  <c r="BO56" i="2"/>
  <c r="BP56" i="2"/>
  <c r="D57" i="2"/>
  <c r="E57" i="2"/>
  <c r="BO57" i="2"/>
  <c r="BP57" i="2"/>
  <c r="D58" i="2"/>
  <c r="E58" i="2"/>
  <c r="BO58" i="2"/>
  <c r="BP58" i="2"/>
  <c r="D59" i="2"/>
  <c r="E59" i="2"/>
  <c r="BO59" i="2"/>
  <c r="BP59" i="2"/>
  <c r="D60" i="2"/>
  <c r="E60" i="2"/>
  <c r="BO60" i="2"/>
  <c r="BP60" i="2"/>
  <c r="D61" i="2"/>
  <c r="E61" i="2"/>
  <c r="BO61" i="2"/>
  <c r="BP61" i="2"/>
  <c r="D64" i="2"/>
  <c r="E64" i="2"/>
  <c r="BO64" i="2"/>
  <c r="BP64" i="2"/>
  <c r="D65" i="2"/>
  <c r="E65" i="2"/>
  <c r="BO65" i="2"/>
  <c r="BP65" i="2"/>
  <c r="D66" i="2"/>
  <c r="E66" i="2"/>
  <c r="BO66" i="2"/>
  <c r="BP66" i="2"/>
  <c r="D67" i="2"/>
  <c r="E67" i="2"/>
  <c r="BO67" i="2"/>
  <c r="BP67" i="2"/>
  <c r="D68" i="2"/>
  <c r="E68" i="2"/>
  <c r="BO68" i="2"/>
  <c r="BP68" i="2"/>
  <c r="D69" i="2"/>
  <c r="E69" i="2"/>
  <c r="BO69" i="2"/>
  <c r="BP69" i="2"/>
  <c r="D70" i="2"/>
  <c r="E70" i="2"/>
  <c r="BO70" i="2"/>
  <c r="BP70" i="2"/>
  <c r="D71" i="2"/>
  <c r="E71" i="2"/>
  <c r="BO71" i="2"/>
  <c r="BP71" i="2"/>
  <c r="D72" i="2"/>
  <c r="E72" i="2"/>
  <c r="AC72" i="2"/>
  <c r="BO72" i="2"/>
  <c r="BP72" i="2"/>
  <c r="D73" i="2"/>
  <c r="E73" i="2"/>
  <c r="AC73" i="2"/>
  <c r="BO73" i="2"/>
  <c r="BP73" i="2"/>
  <c r="D74" i="2"/>
  <c r="E74" i="2"/>
  <c r="AD74" i="2"/>
  <c r="BO74" i="2"/>
  <c r="BP74" i="2"/>
  <c r="D75" i="2"/>
  <c r="E75" i="2"/>
  <c r="BO75" i="2"/>
  <c r="BP75" i="2"/>
  <c r="D76" i="2"/>
  <c r="E76" i="2"/>
  <c r="BO76" i="2"/>
  <c r="BP76" i="2"/>
  <c r="D78" i="2"/>
  <c r="E78" i="2"/>
  <c r="D79" i="2"/>
  <c r="E79" i="2"/>
  <c r="D80" i="2"/>
  <c r="E80" i="2"/>
  <c r="D81" i="2"/>
  <c r="E81" i="2"/>
  <c r="D82" i="2"/>
  <c r="E82" i="2"/>
  <c r="BK82" i="2"/>
  <c r="D83" i="2"/>
  <c r="E83" i="2"/>
  <c r="BK83" i="2"/>
  <c r="D84" i="2"/>
  <c r="E84" i="2"/>
  <c r="D85" i="2"/>
  <c r="E85" i="2"/>
  <c r="D86" i="2"/>
  <c r="E86" i="2"/>
  <c r="D87" i="2"/>
  <c r="E87" i="2"/>
  <c r="D88" i="2"/>
  <c r="E88" i="2"/>
  <c r="D89" i="2"/>
  <c r="E89" i="2"/>
  <c r="D91" i="2"/>
  <c r="E91" i="2"/>
  <c r="D94" i="2"/>
  <c r="E94" i="2"/>
  <c r="D96" i="2"/>
  <c r="E96" i="2"/>
  <c r="D97" i="2"/>
  <c r="E97" i="2"/>
  <c r="D98" i="2"/>
  <c r="E98" i="2"/>
  <c r="D99" i="2"/>
  <c r="E99" i="2"/>
  <c r="D100" i="2"/>
  <c r="E100" i="2"/>
  <c r="D101" i="2"/>
  <c r="E101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9" i="2"/>
  <c r="E159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1" i="2"/>
  <c r="E221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10" i="2"/>
  <c r="E310" i="2"/>
  <c r="D316" i="2"/>
  <c r="E316" i="2"/>
  <c r="D317" i="2"/>
  <c r="E317" i="2"/>
  <c r="D318" i="2"/>
  <c r="E318" i="2"/>
  <c r="D319" i="2"/>
  <c r="E319" i="2"/>
  <c r="D320" i="2"/>
  <c r="E320" i="2"/>
  <c r="D324" i="2"/>
  <c r="E324" i="2"/>
  <c r="D325" i="2"/>
  <c r="E325" i="2"/>
  <c r="D326" i="2"/>
  <c r="E32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BJ361" i="2"/>
  <c r="D362" i="2"/>
  <c r="E362" i="2"/>
  <c r="D363" i="2"/>
  <c r="E363" i="2"/>
  <c r="D364" i="2"/>
  <c r="E364" i="2"/>
  <c r="D365" i="2"/>
  <c r="E365" i="2"/>
  <c r="D366" i="2"/>
  <c r="E366" i="2"/>
  <c r="D368" i="2"/>
  <c r="E368" i="2"/>
  <c r="D370" i="2"/>
  <c r="E370" i="2"/>
  <c r="D371" i="2"/>
  <c r="E371" i="2"/>
  <c r="D375" i="2"/>
  <c r="E375" i="2"/>
  <c r="D376" i="2"/>
  <c r="E376" i="2"/>
  <c r="D377" i="2"/>
  <c r="E377" i="2"/>
  <c r="BK377" i="2"/>
  <c r="D378" i="2"/>
  <c r="E378" i="2"/>
  <c r="BK378" i="2"/>
  <c r="D379" i="2"/>
  <c r="E379" i="2"/>
  <c r="BK379" i="2"/>
  <c r="D380" i="2"/>
  <c r="E380" i="2"/>
  <c r="BK380" i="2"/>
  <c r="D381" i="2"/>
  <c r="E381" i="2"/>
  <c r="BK381" i="2"/>
  <c r="D382" i="2"/>
  <c r="E382" i="2"/>
  <c r="BK382" i="2"/>
  <c r="D383" i="2"/>
  <c r="E383" i="2"/>
  <c r="D384" i="2"/>
  <c r="E384" i="2"/>
  <c r="G646" i="49"/>
  <c r="G639" i="49"/>
  <c r="A3" i="18"/>
  <c r="B86" i="18"/>
  <c r="J86" i="18"/>
  <c r="K86" i="18"/>
  <c r="L86" i="18"/>
  <c r="M86" i="18"/>
  <c r="N86" i="18"/>
  <c r="R86" i="18"/>
  <c r="S86" i="18"/>
  <c r="U86" i="18"/>
  <c r="V86" i="18"/>
  <c r="W86" i="18"/>
  <c r="X86" i="18"/>
  <c r="Y86" i="18"/>
  <c r="Z86" i="18"/>
  <c r="AA86" i="18"/>
  <c r="AB86" i="18"/>
  <c r="AN86" i="18"/>
  <c r="AO86" i="18"/>
  <c r="AP86" i="18"/>
  <c r="AQ86" i="18"/>
  <c r="AY86" i="18"/>
  <c r="AZ86" i="18"/>
  <c r="BA86" i="18"/>
  <c r="BB86" i="18"/>
  <c r="BC86" i="18"/>
  <c r="BE86" i="18"/>
  <c r="BF86" i="18"/>
  <c r="BP86" i="18"/>
  <c r="BQ86" i="18"/>
  <c r="BY86" i="18"/>
  <c r="BZ86" i="18"/>
  <c r="CA86" i="18"/>
  <c r="CB86" i="18"/>
  <c r="CC86" i="18"/>
  <c r="CD86" i="18"/>
  <c r="CE86" i="18"/>
  <c r="CF86" i="18"/>
  <c r="CG86" i="18"/>
  <c r="CH86" i="18"/>
  <c r="CI86" i="18"/>
  <c r="CJ86" i="18"/>
  <c r="CK86" i="18"/>
  <c r="CM86" i="18"/>
  <c r="G1845" i="1" s="1"/>
  <c r="CO86" i="18"/>
  <c r="CQ86" i="18"/>
  <c r="CR86" i="18"/>
  <c r="CS86" i="18"/>
  <c r="CX86" i="18"/>
  <c r="CZ86" i="18"/>
  <c r="DC86" i="18"/>
  <c r="DD86" i="18"/>
  <c r="DF86" i="18"/>
  <c r="DH86" i="18"/>
  <c r="DK86" i="18"/>
  <c r="B8" i="63"/>
  <c r="BF8" i="63"/>
  <c r="BG8" i="63"/>
  <c r="BH8" i="63"/>
  <c r="B18" i="63"/>
  <c r="F18" i="63"/>
  <c r="G18" i="63"/>
  <c r="H18" i="63"/>
  <c r="K18" i="63"/>
  <c r="L18" i="63"/>
  <c r="M18" i="63"/>
  <c r="N18" i="63"/>
  <c r="S18" i="63"/>
  <c r="T18" i="63"/>
  <c r="V18" i="63"/>
  <c r="AB18" i="63"/>
  <c r="AD18" i="63"/>
  <c r="AF18" i="63"/>
  <c r="AG18" i="63"/>
  <c r="AH18" i="63"/>
  <c r="AI18" i="63"/>
  <c r="AJ18" i="63"/>
  <c r="AK18" i="63"/>
  <c r="AL18" i="63"/>
  <c r="AM18" i="63"/>
  <c r="AU18" i="63"/>
  <c r="AV18" i="63"/>
  <c r="AW18" i="63"/>
  <c r="AX18" i="63"/>
  <c r="AY18" i="63"/>
  <c r="AZ18" i="63"/>
  <c r="BA18" i="63"/>
  <c r="BB18" i="63"/>
  <c r="BF18" i="63"/>
  <c r="B28" i="63"/>
  <c r="F28" i="63"/>
  <c r="G28" i="63"/>
  <c r="H28" i="63"/>
  <c r="K28" i="63"/>
  <c r="L28" i="63"/>
  <c r="M28" i="63"/>
  <c r="N28" i="63"/>
  <c r="S28" i="63"/>
  <c r="T28" i="63"/>
  <c r="V28" i="63"/>
  <c r="AB28" i="63"/>
  <c r="AD28" i="63"/>
  <c r="AF28" i="63"/>
  <c r="AG28" i="63"/>
  <c r="AH28" i="63"/>
  <c r="AI28" i="63"/>
  <c r="AJ28" i="63"/>
  <c r="AK28" i="63"/>
  <c r="AL28" i="63"/>
  <c r="AM28" i="63"/>
  <c r="AU28" i="63"/>
  <c r="AV28" i="63"/>
  <c r="AW28" i="63"/>
  <c r="AX28" i="63"/>
  <c r="AY28" i="63"/>
  <c r="AZ28" i="63"/>
  <c r="BA28" i="63"/>
  <c r="BB28" i="63"/>
  <c r="BF28" i="63"/>
  <c r="BG28" i="63"/>
  <c r="BH28" i="63"/>
  <c r="N46" i="63"/>
  <c r="AG46" i="63"/>
  <c r="N47" i="63"/>
  <c r="N49" i="63" s="1"/>
  <c r="U43" i="16"/>
  <c r="U45" i="16"/>
  <c r="U46" i="16"/>
  <c r="W46" i="16"/>
  <c r="H2" i="23"/>
  <c r="G2127" i="23" s="1"/>
  <c r="L3" i="23"/>
  <c r="E4" i="23"/>
  <c r="L4" i="23"/>
  <c r="F6" i="23"/>
  <c r="H6" i="23"/>
  <c r="K6" i="23"/>
  <c r="H7" i="23"/>
  <c r="I7" i="23" s="1"/>
  <c r="K7" i="23"/>
  <c r="F8" i="23"/>
  <c r="H8" i="23"/>
  <c r="K8" i="23"/>
  <c r="H9" i="23"/>
  <c r="K9" i="23"/>
  <c r="H10" i="23"/>
  <c r="G381" i="23" s="1"/>
  <c r="K10" i="23"/>
  <c r="L10" i="23" s="1"/>
  <c r="H11" i="23"/>
  <c r="C474" i="23" s="1"/>
  <c r="K11" i="23"/>
  <c r="K12" i="23"/>
  <c r="K13" i="23"/>
  <c r="C1628" i="23" s="1"/>
  <c r="K14" i="23"/>
  <c r="K15" i="23"/>
  <c r="K16" i="23"/>
  <c r="K17" i="23"/>
  <c r="L18" i="23"/>
  <c r="K19" i="23"/>
  <c r="K20" i="23"/>
  <c r="J21" i="23"/>
  <c r="K21" i="23"/>
  <c r="K22" i="23"/>
  <c r="B36" i="23"/>
  <c r="J36" i="23" s="1"/>
  <c r="B38" i="23"/>
  <c r="D38" i="23" s="1"/>
  <c r="D39" i="23"/>
  <c r="E39" i="23"/>
  <c r="F39" i="23"/>
  <c r="D40" i="23"/>
  <c r="E40" i="23"/>
  <c r="F40" i="23"/>
  <c r="D41" i="23"/>
  <c r="E41" i="23"/>
  <c r="F41" i="23"/>
  <c r="E44" i="23"/>
  <c r="F44" i="23"/>
  <c r="H44" i="23"/>
  <c r="K44" i="23"/>
  <c r="L46" i="23"/>
  <c r="M46" i="23"/>
  <c r="N46" i="23"/>
  <c r="O46" i="23"/>
  <c r="D47" i="23"/>
  <c r="E47" i="23"/>
  <c r="F47" i="23"/>
  <c r="H47" i="23"/>
  <c r="J47" i="23"/>
  <c r="K47" i="23"/>
  <c r="E48" i="23"/>
  <c r="F48" i="23"/>
  <c r="H48" i="23"/>
  <c r="J48" i="23"/>
  <c r="K48" i="23"/>
  <c r="E49" i="23"/>
  <c r="F49" i="23"/>
  <c r="H49" i="23"/>
  <c r="K49" i="23"/>
  <c r="D52" i="23"/>
  <c r="E52" i="23"/>
  <c r="F52" i="23"/>
  <c r="H52" i="23"/>
  <c r="J52" i="23"/>
  <c r="K52" i="23"/>
  <c r="D53" i="23"/>
  <c r="E53" i="23"/>
  <c r="F53" i="23"/>
  <c r="H53" i="23"/>
  <c r="J53" i="23"/>
  <c r="K53" i="23"/>
  <c r="D54" i="23"/>
  <c r="L57" i="23"/>
  <c r="M57" i="23"/>
  <c r="N57" i="23"/>
  <c r="O57" i="23"/>
  <c r="D58" i="23"/>
  <c r="E58" i="23"/>
  <c r="F58" i="23"/>
  <c r="H58" i="23"/>
  <c r="J58" i="23"/>
  <c r="K58" i="23"/>
  <c r="E59" i="23"/>
  <c r="F59" i="23"/>
  <c r="H59" i="23"/>
  <c r="J59" i="23"/>
  <c r="K59" i="23"/>
  <c r="E60" i="23"/>
  <c r="F60" i="23"/>
  <c r="H60" i="23"/>
  <c r="J60" i="23"/>
  <c r="K60" i="23"/>
  <c r="E61" i="23"/>
  <c r="F61" i="23"/>
  <c r="H61" i="23"/>
  <c r="J61" i="23"/>
  <c r="K61" i="23"/>
  <c r="E62" i="23"/>
  <c r="F62" i="23"/>
  <c r="H62" i="23"/>
  <c r="J62" i="23"/>
  <c r="K62" i="23"/>
  <c r="E63" i="23"/>
  <c r="F63" i="23"/>
  <c r="H63" i="23"/>
  <c r="J63" i="23"/>
  <c r="K63" i="23"/>
  <c r="E64" i="23"/>
  <c r="F64" i="23"/>
  <c r="H64" i="23"/>
  <c r="J64" i="23"/>
  <c r="K64" i="23"/>
  <c r="D65" i="23"/>
  <c r="E65" i="23"/>
  <c r="F65" i="23"/>
  <c r="H65" i="23"/>
  <c r="J65" i="23"/>
  <c r="K65" i="23"/>
  <c r="L67" i="23"/>
  <c r="M67" i="23"/>
  <c r="N67" i="23"/>
  <c r="O67" i="23"/>
  <c r="B68" i="23"/>
  <c r="F68" i="23" s="1"/>
  <c r="D69" i="23"/>
  <c r="E69" i="23"/>
  <c r="F69" i="23"/>
  <c r="H69" i="23"/>
  <c r="J69" i="23"/>
  <c r="K69" i="23"/>
  <c r="D70" i="23"/>
  <c r="E70" i="23"/>
  <c r="F70" i="23"/>
  <c r="H70" i="23"/>
  <c r="J70" i="23"/>
  <c r="K70" i="23"/>
  <c r="D71" i="23"/>
  <c r="E71" i="23"/>
  <c r="F71" i="23"/>
  <c r="H71" i="23"/>
  <c r="J71" i="23"/>
  <c r="K71" i="23"/>
  <c r="D72" i="23"/>
  <c r="E72" i="23"/>
  <c r="F72" i="23"/>
  <c r="H72" i="23"/>
  <c r="J72" i="23"/>
  <c r="K72" i="23"/>
  <c r="D73" i="23"/>
  <c r="E73" i="23"/>
  <c r="F73" i="23"/>
  <c r="H73" i="23"/>
  <c r="K73" i="23"/>
  <c r="D74" i="23"/>
  <c r="E74" i="23"/>
  <c r="F74" i="23"/>
  <c r="H74" i="23"/>
  <c r="K74" i="23"/>
  <c r="D75" i="23"/>
  <c r="E75" i="23"/>
  <c r="F75" i="23"/>
  <c r="H75" i="23"/>
  <c r="K75" i="23"/>
  <c r="D76" i="23"/>
  <c r="E76" i="23"/>
  <c r="F76" i="23"/>
  <c r="G76" i="23"/>
  <c r="N76" i="23" s="1"/>
  <c r="J76" i="23"/>
  <c r="K76" i="23"/>
  <c r="D77" i="23"/>
  <c r="E77" i="23"/>
  <c r="F77" i="23"/>
  <c r="H77" i="23"/>
  <c r="J77" i="23"/>
  <c r="K77" i="23"/>
  <c r="D78" i="23"/>
  <c r="E78" i="23"/>
  <c r="F78" i="23"/>
  <c r="J78" i="23"/>
  <c r="K78" i="23"/>
  <c r="D79" i="23"/>
  <c r="E79" i="23"/>
  <c r="F79" i="23"/>
  <c r="J79" i="23"/>
  <c r="K79" i="23"/>
  <c r="B80" i="23"/>
  <c r="F80" i="23" s="1"/>
  <c r="B81" i="23"/>
  <c r="D81" i="23" s="1"/>
  <c r="L83" i="23"/>
  <c r="M83" i="23"/>
  <c r="N83" i="23"/>
  <c r="O83" i="23"/>
  <c r="D84" i="23"/>
  <c r="E84" i="23"/>
  <c r="F84" i="23"/>
  <c r="H84" i="23"/>
  <c r="J84" i="23"/>
  <c r="K84" i="23"/>
  <c r="E85" i="23"/>
  <c r="F85" i="23"/>
  <c r="H85" i="23"/>
  <c r="J85" i="23"/>
  <c r="K85" i="23"/>
  <c r="E86" i="23"/>
  <c r="F86" i="23"/>
  <c r="H86" i="23"/>
  <c r="J86" i="23"/>
  <c r="K86" i="23"/>
  <c r="L88" i="23"/>
  <c r="M88" i="23"/>
  <c r="N88" i="23"/>
  <c r="O88" i="23"/>
  <c r="B89" i="23"/>
  <c r="D89" i="23" s="1"/>
  <c r="D90" i="23"/>
  <c r="E90" i="23"/>
  <c r="F90" i="23"/>
  <c r="H90" i="23"/>
  <c r="J90" i="23"/>
  <c r="K90" i="23"/>
  <c r="D91" i="23"/>
  <c r="E91" i="23"/>
  <c r="F91" i="23"/>
  <c r="H91" i="23"/>
  <c r="J91" i="23"/>
  <c r="K91" i="23"/>
  <c r="D92" i="23"/>
  <c r="E92" i="23"/>
  <c r="F92" i="23"/>
  <c r="H92" i="23"/>
  <c r="J92" i="23"/>
  <c r="K92" i="23"/>
  <c r="L94" i="23"/>
  <c r="M94" i="23"/>
  <c r="N94" i="23"/>
  <c r="O94" i="23"/>
  <c r="D97" i="23"/>
  <c r="E97" i="23"/>
  <c r="F97" i="23"/>
  <c r="H97" i="23"/>
  <c r="J97" i="23"/>
  <c r="K97" i="23"/>
  <c r="D102" i="23"/>
  <c r="E102" i="23"/>
  <c r="F102" i="23"/>
  <c r="H102" i="23"/>
  <c r="J102" i="23"/>
  <c r="K102" i="23"/>
  <c r="D103" i="23"/>
  <c r="E103" i="23"/>
  <c r="F103" i="23"/>
  <c r="H103" i="23"/>
  <c r="J103" i="23"/>
  <c r="K103" i="23"/>
  <c r="D104" i="23"/>
  <c r="F104" i="23"/>
  <c r="H104" i="23"/>
  <c r="K104" i="23"/>
  <c r="D105" i="23"/>
  <c r="F105" i="23"/>
  <c r="H105" i="23"/>
  <c r="K105" i="23"/>
  <c r="D106" i="23"/>
  <c r="F106" i="23"/>
  <c r="H106" i="23"/>
  <c r="K106" i="23"/>
  <c r="D107" i="23"/>
  <c r="F107" i="23"/>
  <c r="J107" i="23"/>
  <c r="K107" i="23"/>
  <c r="D108" i="23"/>
  <c r="E108" i="23"/>
  <c r="F108" i="23"/>
  <c r="H108" i="23"/>
  <c r="J108" i="23"/>
  <c r="K108" i="23"/>
  <c r="D109" i="23"/>
  <c r="E109" i="23"/>
  <c r="F109" i="23"/>
  <c r="H109" i="23"/>
  <c r="J109" i="23"/>
  <c r="K109" i="23"/>
  <c r="D110" i="23"/>
  <c r="E110" i="23"/>
  <c r="F110" i="23"/>
  <c r="H110" i="23"/>
  <c r="J110" i="23"/>
  <c r="K110" i="23"/>
  <c r="D111" i="23"/>
  <c r="E111" i="23"/>
  <c r="F111" i="23"/>
  <c r="H111" i="23"/>
  <c r="J111" i="23"/>
  <c r="K111" i="23"/>
  <c r="D112" i="23"/>
  <c r="E112" i="23"/>
  <c r="F112" i="23"/>
  <c r="H112" i="23"/>
  <c r="J112" i="23"/>
  <c r="K112" i="23"/>
  <c r="D113" i="23"/>
  <c r="E113" i="23"/>
  <c r="F113" i="23"/>
  <c r="J113" i="23"/>
  <c r="K113" i="23"/>
  <c r="D114" i="23"/>
  <c r="E114" i="23"/>
  <c r="F114" i="23"/>
  <c r="H114" i="23"/>
  <c r="J114" i="23"/>
  <c r="K114" i="23"/>
  <c r="E115" i="23"/>
  <c r="F115" i="23"/>
  <c r="H115" i="23"/>
  <c r="J115" i="23"/>
  <c r="K115" i="23"/>
  <c r="D126" i="23"/>
  <c r="E126" i="23"/>
  <c r="F126" i="23"/>
  <c r="H126" i="23"/>
  <c r="J126" i="23"/>
  <c r="K126" i="23"/>
  <c r="D127" i="23"/>
  <c r="E127" i="23"/>
  <c r="F127" i="23"/>
  <c r="H127" i="23"/>
  <c r="J127" i="23"/>
  <c r="K127" i="23"/>
  <c r="D128" i="23"/>
  <c r="E128" i="23"/>
  <c r="F128" i="23"/>
  <c r="H128" i="23"/>
  <c r="J128" i="23"/>
  <c r="K128" i="23"/>
  <c r="A129" i="23"/>
  <c r="D129" i="23"/>
  <c r="E129" i="23"/>
  <c r="F129" i="23"/>
  <c r="J129" i="23"/>
  <c r="N129" i="23" s="1"/>
  <c r="K129" i="23"/>
  <c r="O129" i="23" s="1"/>
  <c r="L129" i="23"/>
  <c r="M129" i="23"/>
  <c r="A130" i="23"/>
  <c r="D130" i="23"/>
  <c r="E130" i="23"/>
  <c r="F130" i="23"/>
  <c r="J130" i="23"/>
  <c r="N130" i="23" s="1"/>
  <c r="K130" i="23"/>
  <c r="O130" i="23" s="1"/>
  <c r="L130" i="23"/>
  <c r="M130" i="23"/>
  <c r="D133" i="23"/>
  <c r="E133" i="23"/>
  <c r="F133" i="23"/>
  <c r="H133" i="23"/>
  <c r="J133" i="23"/>
  <c r="K133" i="23"/>
  <c r="L135" i="23"/>
  <c r="M135" i="23"/>
  <c r="N135" i="23"/>
  <c r="O135" i="23"/>
  <c r="D136" i="23"/>
  <c r="E136" i="23"/>
  <c r="F136" i="23"/>
  <c r="H136" i="23"/>
  <c r="J136" i="23"/>
  <c r="K136" i="23"/>
  <c r="E137" i="23"/>
  <c r="F137" i="23"/>
  <c r="H137" i="23"/>
  <c r="J137" i="23"/>
  <c r="K137" i="23"/>
  <c r="E138" i="23"/>
  <c r="F138" i="23"/>
  <c r="H138" i="23"/>
  <c r="J138" i="23"/>
  <c r="K138" i="23"/>
  <c r="L140" i="23"/>
  <c r="M140" i="23"/>
  <c r="N140" i="23"/>
  <c r="O140" i="23"/>
  <c r="D141" i="23"/>
  <c r="E141" i="23"/>
  <c r="F141" i="23"/>
  <c r="H141" i="23"/>
  <c r="J141" i="23"/>
  <c r="K141" i="23"/>
  <c r="D142" i="23"/>
  <c r="E142" i="23"/>
  <c r="F142" i="23"/>
  <c r="H142" i="23"/>
  <c r="J142" i="23"/>
  <c r="K142" i="23"/>
  <c r="B143" i="23"/>
  <c r="D143" i="23" s="1"/>
  <c r="B144" i="23"/>
  <c r="D144" i="23" s="1"/>
  <c r="L146" i="23"/>
  <c r="M146" i="23"/>
  <c r="N146" i="23"/>
  <c r="O146" i="23"/>
  <c r="D147" i="23"/>
  <c r="E147" i="23"/>
  <c r="F147" i="23"/>
  <c r="H147" i="23"/>
  <c r="J147" i="23"/>
  <c r="K147" i="23"/>
  <c r="D148" i="23"/>
  <c r="E148" i="23"/>
  <c r="F148" i="23"/>
  <c r="H148" i="23"/>
  <c r="J148" i="23"/>
  <c r="K148" i="23"/>
  <c r="D149" i="23"/>
  <c r="E149" i="23"/>
  <c r="F149" i="23"/>
  <c r="H149" i="23"/>
  <c r="J149" i="23"/>
  <c r="K149" i="23"/>
  <c r="D150" i="23"/>
  <c r="E150" i="23"/>
  <c r="F150" i="23"/>
  <c r="H150" i="23"/>
  <c r="J150" i="23"/>
  <c r="K150" i="23"/>
  <c r="D151" i="23"/>
  <c r="E151" i="23"/>
  <c r="F151" i="23"/>
  <c r="H151" i="23"/>
  <c r="J151" i="23"/>
  <c r="K151" i="23"/>
  <c r="D152" i="23"/>
  <c r="E152" i="23"/>
  <c r="F152" i="23"/>
  <c r="H152" i="23"/>
  <c r="J152" i="23"/>
  <c r="K152" i="23"/>
  <c r="D153" i="23"/>
  <c r="E153" i="23"/>
  <c r="F153" i="23"/>
  <c r="H153" i="23"/>
  <c r="J153" i="23"/>
  <c r="K153" i="23"/>
  <c r="D154" i="23"/>
  <c r="E154" i="23"/>
  <c r="F154" i="23"/>
  <c r="H154" i="23"/>
  <c r="J154" i="23"/>
  <c r="K154" i="23"/>
  <c r="L156" i="23"/>
  <c r="M156" i="23"/>
  <c r="N156" i="23"/>
  <c r="O156" i="23"/>
  <c r="B157" i="23"/>
  <c r="D157" i="23" s="1"/>
  <c r="D158" i="23"/>
  <c r="E158" i="23"/>
  <c r="F158" i="23"/>
  <c r="H158" i="23"/>
  <c r="J158" i="23"/>
  <c r="K158" i="23"/>
  <c r="D159" i="23"/>
  <c r="E159" i="23"/>
  <c r="F159" i="23"/>
  <c r="H159" i="23"/>
  <c r="K159" i="23"/>
  <c r="D160" i="23"/>
  <c r="E160" i="23"/>
  <c r="F160" i="23"/>
  <c r="H160" i="23"/>
  <c r="J160" i="23"/>
  <c r="K160" i="23"/>
  <c r="D161" i="23"/>
  <c r="E161" i="23"/>
  <c r="F161" i="23"/>
  <c r="H161" i="23"/>
  <c r="J161" i="23"/>
  <c r="K161" i="23"/>
  <c r="D162" i="23"/>
  <c r="E162" i="23"/>
  <c r="F162" i="23"/>
  <c r="H162" i="23"/>
  <c r="J162" i="23"/>
  <c r="K162" i="23"/>
  <c r="E163" i="23"/>
  <c r="F163" i="23"/>
  <c r="H163" i="23"/>
  <c r="K163" i="23"/>
  <c r="E164" i="23"/>
  <c r="F164" i="23"/>
  <c r="H164" i="23"/>
  <c r="K164" i="23"/>
  <c r="D165" i="23"/>
  <c r="E165" i="23"/>
  <c r="F165" i="23"/>
  <c r="H165" i="23"/>
  <c r="J165" i="23"/>
  <c r="K165" i="23"/>
  <c r="D166" i="23"/>
  <c r="E166" i="23"/>
  <c r="F166" i="23"/>
  <c r="H166" i="23"/>
  <c r="J166" i="23"/>
  <c r="K166" i="23"/>
  <c r="D167" i="23"/>
  <c r="E167" i="23"/>
  <c r="F167" i="23"/>
  <c r="H167" i="23"/>
  <c r="J167" i="23"/>
  <c r="K167" i="23"/>
  <c r="B168" i="23"/>
  <c r="D168" i="23" s="1"/>
  <c r="B169" i="23"/>
  <c r="J169" i="23" s="1"/>
  <c r="L171" i="23"/>
  <c r="M171" i="23"/>
  <c r="N171" i="23"/>
  <c r="O171" i="23"/>
  <c r="D172" i="23"/>
  <c r="E172" i="23"/>
  <c r="F172" i="23"/>
  <c r="H172" i="23"/>
  <c r="J172" i="23"/>
  <c r="K172" i="23"/>
  <c r="D173" i="23"/>
  <c r="E173" i="23"/>
  <c r="F173" i="23"/>
  <c r="H173" i="23"/>
  <c r="J173" i="23"/>
  <c r="K173" i="23"/>
  <c r="D174" i="23"/>
  <c r="E174" i="23"/>
  <c r="F174" i="23"/>
  <c r="H174" i="23"/>
  <c r="J174" i="23"/>
  <c r="K174" i="23"/>
  <c r="D175" i="23"/>
  <c r="E175" i="23"/>
  <c r="F175" i="23"/>
  <c r="H175" i="23"/>
  <c r="J175" i="23"/>
  <c r="K175" i="23"/>
  <c r="A177" i="23"/>
  <c r="L177" i="23"/>
  <c r="M177" i="23"/>
  <c r="N177" i="23"/>
  <c r="O177" i="23"/>
  <c r="B178" i="23"/>
  <c r="D178" i="23" s="1"/>
  <c r="A179" i="23"/>
  <c r="D179" i="23"/>
  <c r="E179" i="23"/>
  <c r="F179" i="23"/>
  <c r="H179" i="23"/>
  <c r="L179" i="23" s="1"/>
  <c r="J179" i="23"/>
  <c r="N179" i="23" s="1"/>
  <c r="K179" i="23"/>
  <c r="O179" i="23" s="1"/>
  <c r="M179" i="23"/>
  <c r="D180" i="23"/>
  <c r="E180" i="23"/>
  <c r="F180" i="23"/>
  <c r="H180" i="23"/>
  <c r="J180" i="23"/>
  <c r="K180" i="23"/>
  <c r="D181" i="23"/>
  <c r="E181" i="23"/>
  <c r="F181" i="23"/>
  <c r="H181" i="23"/>
  <c r="J181" i="23"/>
  <c r="K181" i="23"/>
  <c r="D182" i="23"/>
  <c r="E182" i="23"/>
  <c r="F182" i="23"/>
  <c r="H182" i="23"/>
  <c r="J182" i="23"/>
  <c r="K182" i="23"/>
  <c r="D183" i="23"/>
  <c r="E183" i="23"/>
  <c r="F183" i="23"/>
  <c r="H183" i="23"/>
  <c r="J183" i="23"/>
  <c r="K183" i="23"/>
  <c r="D184" i="23"/>
  <c r="E184" i="23"/>
  <c r="F184" i="23"/>
  <c r="J184" i="23"/>
  <c r="K184" i="23"/>
  <c r="D185" i="23"/>
  <c r="E185" i="23"/>
  <c r="F185" i="23"/>
  <c r="H185" i="23"/>
  <c r="J185" i="23"/>
  <c r="K185" i="23"/>
  <c r="L187" i="23"/>
  <c r="M187" i="23"/>
  <c r="N187" i="23"/>
  <c r="O187" i="23"/>
  <c r="D188" i="23"/>
  <c r="F188" i="23"/>
  <c r="H188" i="23"/>
  <c r="J188" i="23"/>
  <c r="K188" i="23"/>
  <c r="D189" i="23"/>
  <c r="E189" i="23"/>
  <c r="F189" i="23"/>
  <c r="H189" i="23"/>
  <c r="J189" i="23"/>
  <c r="K189" i="23"/>
  <c r="B190" i="23"/>
  <c r="D190" i="23" s="1"/>
  <c r="B191" i="23"/>
  <c r="D191" i="23" s="1"/>
  <c r="D192" i="23"/>
  <c r="E192" i="23"/>
  <c r="F192" i="23"/>
  <c r="H192" i="23"/>
  <c r="J192" i="23"/>
  <c r="K192" i="23"/>
  <c r="D193" i="23"/>
  <c r="E193" i="23"/>
  <c r="F193" i="23"/>
  <c r="H193" i="23"/>
  <c r="J193" i="23"/>
  <c r="K193" i="23"/>
  <c r="D194" i="23"/>
  <c r="E194" i="23"/>
  <c r="F194" i="23"/>
  <c r="H194" i="23"/>
  <c r="K194" i="23"/>
  <c r="D195" i="23"/>
  <c r="E195" i="23"/>
  <c r="F195" i="23"/>
  <c r="H195" i="23"/>
  <c r="J195" i="23"/>
  <c r="K195" i="23"/>
  <c r="D196" i="23"/>
  <c r="E196" i="23"/>
  <c r="F196" i="23"/>
  <c r="H196" i="23"/>
  <c r="J196" i="23"/>
  <c r="K196" i="23"/>
  <c r="D197" i="23"/>
  <c r="E197" i="23"/>
  <c r="F197" i="23"/>
  <c r="H197" i="23"/>
  <c r="J197" i="23"/>
  <c r="K197" i="23"/>
  <c r="D198" i="23"/>
  <c r="E198" i="23"/>
  <c r="F198" i="23"/>
  <c r="H198" i="23"/>
  <c r="J198" i="23"/>
  <c r="K198" i="23"/>
  <c r="D199" i="23"/>
  <c r="E199" i="23"/>
  <c r="F199" i="23"/>
  <c r="H199" i="23"/>
  <c r="J199" i="23"/>
  <c r="K199" i="23"/>
  <c r="D200" i="23"/>
  <c r="E200" i="23"/>
  <c r="F200" i="23"/>
  <c r="H200" i="23"/>
  <c r="J200" i="23"/>
  <c r="K200" i="23"/>
  <c r="D201" i="23"/>
  <c r="E201" i="23"/>
  <c r="F201" i="23"/>
  <c r="H201" i="23"/>
  <c r="J201" i="23"/>
  <c r="K201" i="23"/>
  <c r="D202" i="23"/>
  <c r="E202" i="23"/>
  <c r="F202" i="23"/>
  <c r="H202" i="23"/>
  <c r="J202" i="23"/>
  <c r="K202" i="23"/>
  <c r="D203" i="23"/>
  <c r="E203" i="23"/>
  <c r="F203" i="23"/>
  <c r="H203" i="23"/>
  <c r="J203" i="23"/>
  <c r="K203" i="23"/>
  <c r="E204" i="23"/>
  <c r="F204" i="23"/>
  <c r="H204" i="23"/>
  <c r="J204" i="23"/>
  <c r="K204" i="23"/>
  <c r="D215" i="23"/>
  <c r="E215" i="23"/>
  <c r="F215" i="23"/>
  <c r="H215" i="23"/>
  <c r="J215" i="23"/>
  <c r="K215" i="23"/>
  <c r="D216" i="23"/>
  <c r="E216" i="23"/>
  <c r="F216" i="23"/>
  <c r="H216" i="23"/>
  <c r="J216" i="23"/>
  <c r="K216" i="23"/>
  <c r="D217" i="23"/>
  <c r="E217" i="23"/>
  <c r="F217" i="23"/>
  <c r="H217" i="23"/>
  <c r="J217" i="23"/>
  <c r="K217" i="23"/>
  <c r="E220" i="23"/>
  <c r="F220" i="23"/>
  <c r="H220" i="23"/>
  <c r="J220" i="23"/>
  <c r="K220" i="23"/>
  <c r="L222" i="23"/>
  <c r="M222" i="23"/>
  <c r="N222" i="23"/>
  <c r="O222" i="23"/>
  <c r="D223" i="23"/>
  <c r="E223" i="23"/>
  <c r="F223" i="23"/>
  <c r="H223" i="23"/>
  <c r="J223" i="23"/>
  <c r="K223" i="23"/>
  <c r="E224" i="23"/>
  <c r="F224" i="23"/>
  <c r="H224" i="23"/>
  <c r="J224" i="23"/>
  <c r="K224" i="23"/>
  <c r="E225" i="23"/>
  <c r="F225" i="23"/>
  <c r="H225" i="23"/>
  <c r="J225" i="23"/>
  <c r="K225" i="23"/>
  <c r="L227" i="23"/>
  <c r="M227" i="23"/>
  <c r="N227" i="23"/>
  <c r="O227" i="23"/>
  <c r="D228" i="23"/>
  <c r="E228" i="23"/>
  <c r="F228" i="23"/>
  <c r="H228" i="23"/>
  <c r="J228" i="23"/>
  <c r="K228" i="23"/>
  <c r="D229" i="23"/>
  <c r="E229" i="23"/>
  <c r="F229" i="23"/>
  <c r="H229" i="23"/>
  <c r="J229" i="23"/>
  <c r="K229" i="23"/>
  <c r="B230" i="23"/>
  <c r="D230" i="23" s="1"/>
  <c r="B231" i="23"/>
  <c r="E231" i="23" s="1"/>
  <c r="L233" i="23"/>
  <c r="M233" i="23"/>
  <c r="N233" i="23"/>
  <c r="O233" i="23"/>
  <c r="D234" i="23"/>
  <c r="E234" i="23"/>
  <c r="F234" i="23"/>
  <c r="H234" i="23"/>
  <c r="J234" i="23"/>
  <c r="K234" i="23"/>
  <c r="D235" i="23"/>
  <c r="E235" i="23"/>
  <c r="F235" i="23"/>
  <c r="H235" i="23"/>
  <c r="J235" i="23"/>
  <c r="K235" i="23"/>
  <c r="D236" i="23"/>
  <c r="E236" i="23"/>
  <c r="F236" i="23"/>
  <c r="H236" i="23"/>
  <c r="J236" i="23"/>
  <c r="K236" i="23"/>
  <c r="D237" i="23"/>
  <c r="E237" i="23"/>
  <c r="F237" i="23"/>
  <c r="H237" i="23"/>
  <c r="J237" i="23"/>
  <c r="K237" i="23"/>
  <c r="D238" i="23"/>
  <c r="E238" i="23"/>
  <c r="F238" i="23"/>
  <c r="H238" i="23"/>
  <c r="J238" i="23"/>
  <c r="K238" i="23"/>
  <c r="D239" i="23"/>
  <c r="E239" i="23"/>
  <c r="F239" i="23"/>
  <c r="H239" i="23"/>
  <c r="J239" i="23"/>
  <c r="K239" i="23"/>
  <c r="D240" i="23"/>
  <c r="E240" i="23"/>
  <c r="F240" i="23"/>
  <c r="H240" i="23"/>
  <c r="J240" i="23"/>
  <c r="K240" i="23"/>
  <c r="D241" i="23"/>
  <c r="E241" i="23"/>
  <c r="F241" i="23"/>
  <c r="H241" i="23"/>
  <c r="J241" i="23"/>
  <c r="K241" i="23"/>
  <c r="L243" i="23"/>
  <c r="M243" i="23"/>
  <c r="N243" i="23"/>
  <c r="O243" i="23"/>
  <c r="B244" i="23"/>
  <c r="E244" i="23" s="1"/>
  <c r="D245" i="23"/>
  <c r="E245" i="23"/>
  <c r="F245" i="23"/>
  <c r="H245" i="23"/>
  <c r="J245" i="23"/>
  <c r="K245" i="23"/>
  <c r="D246" i="23"/>
  <c r="E246" i="23"/>
  <c r="F246" i="23"/>
  <c r="H246" i="23"/>
  <c r="J246" i="23"/>
  <c r="K246" i="23"/>
  <c r="D247" i="23"/>
  <c r="E247" i="23"/>
  <c r="F247" i="23"/>
  <c r="H247" i="23"/>
  <c r="J247" i="23"/>
  <c r="K247" i="23"/>
  <c r="D248" i="23"/>
  <c r="E248" i="23"/>
  <c r="F248" i="23"/>
  <c r="H248" i="23"/>
  <c r="J248" i="23"/>
  <c r="K248" i="23"/>
  <c r="D249" i="23"/>
  <c r="E249" i="23"/>
  <c r="F249" i="23"/>
  <c r="H249" i="23"/>
  <c r="J249" i="23"/>
  <c r="K249" i="23"/>
  <c r="D250" i="23"/>
  <c r="E250" i="23"/>
  <c r="F250" i="23"/>
  <c r="H250" i="23"/>
  <c r="J250" i="23"/>
  <c r="K250" i="23"/>
  <c r="D251" i="23"/>
  <c r="E251" i="23"/>
  <c r="F251" i="23"/>
  <c r="H251" i="23"/>
  <c r="J251" i="23"/>
  <c r="K251" i="23"/>
  <c r="B252" i="23"/>
  <c r="F252" i="23" s="1"/>
  <c r="E253" i="23"/>
  <c r="L255" i="23"/>
  <c r="M255" i="23"/>
  <c r="N255" i="23"/>
  <c r="O255" i="23"/>
  <c r="D256" i="23"/>
  <c r="E256" i="23"/>
  <c r="F256" i="23"/>
  <c r="H256" i="23"/>
  <c r="J256" i="23"/>
  <c r="K256" i="23"/>
  <c r="D257" i="23"/>
  <c r="E257" i="23"/>
  <c r="F257" i="23"/>
  <c r="H257" i="23"/>
  <c r="J257" i="23"/>
  <c r="K257" i="23"/>
  <c r="D258" i="23"/>
  <c r="E258" i="23"/>
  <c r="F258" i="23"/>
  <c r="H258" i="23"/>
  <c r="J258" i="23"/>
  <c r="K258" i="23"/>
  <c r="L260" i="23"/>
  <c r="M260" i="23"/>
  <c r="N260" i="23"/>
  <c r="O260" i="23"/>
  <c r="B261" i="23"/>
  <c r="E261" i="23" s="1"/>
  <c r="D266" i="23"/>
  <c r="E266" i="23"/>
  <c r="F266" i="23"/>
  <c r="H266" i="23"/>
  <c r="J266" i="23"/>
  <c r="K266" i="23"/>
  <c r="E267" i="23"/>
  <c r="F267" i="23"/>
  <c r="H267" i="23"/>
  <c r="K267" i="23"/>
  <c r="D268" i="23"/>
  <c r="E268" i="23"/>
  <c r="F268" i="23"/>
  <c r="H268" i="23"/>
  <c r="J268" i="23"/>
  <c r="K268" i="23"/>
  <c r="L270" i="23"/>
  <c r="M270" i="23"/>
  <c r="N270" i="23"/>
  <c r="O270" i="23"/>
  <c r="D273" i="23"/>
  <c r="E273" i="23"/>
  <c r="F273" i="23"/>
  <c r="H273" i="23"/>
  <c r="J273" i="23"/>
  <c r="K273" i="23"/>
  <c r="D279" i="23"/>
  <c r="E279" i="23"/>
  <c r="F279" i="23"/>
  <c r="H279" i="23"/>
  <c r="J279" i="23"/>
  <c r="K279" i="23"/>
  <c r="D280" i="23"/>
  <c r="E280" i="23"/>
  <c r="F280" i="23"/>
  <c r="H280" i="23"/>
  <c r="J280" i="23"/>
  <c r="K280" i="23"/>
  <c r="D281" i="23"/>
  <c r="E281" i="23"/>
  <c r="F281" i="23"/>
  <c r="H281" i="23"/>
  <c r="J281" i="23"/>
  <c r="D282" i="23"/>
  <c r="E282" i="23"/>
  <c r="F282" i="23"/>
  <c r="H282" i="23"/>
  <c r="J282" i="23"/>
  <c r="K282" i="23"/>
  <c r="D283" i="23"/>
  <c r="E283" i="23"/>
  <c r="F283" i="23"/>
  <c r="H283" i="23"/>
  <c r="J283" i="23"/>
  <c r="K283" i="23"/>
  <c r="D284" i="23"/>
  <c r="E284" i="23"/>
  <c r="F284" i="23"/>
  <c r="H284" i="23"/>
  <c r="J284" i="23"/>
  <c r="K284" i="23"/>
  <c r="D285" i="23"/>
  <c r="E285" i="23"/>
  <c r="F285" i="23"/>
  <c r="H285" i="23"/>
  <c r="J285" i="23"/>
  <c r="K285" i="23"/>
  <c r="D286" i="23"/>
  <c r="E286" i="23"/>
  <c r="F286" i="23"/>
  <c r="H286" i="23"/>
  <c r="J286" i="23"/>
  <c r="K286" i="23"/>
  <c r="D287" i="23"/>
  <c r="E287" i="23"/>
  <c r="F287" i="23"/>
  <c r="H287" i="23"/>
  <c r="J287" i="23"/>
  <c r="K287" i="23"/>
  <c r="D288" i="23"/>
  <c r="E288" i="23"/>
  <c r="F288" i="23"/>
  <c r="H288" i="23"/>
  <c r="J288" i="23"/>
  <c r="K288" i="23"/>
  <c r="D289" i="23"/>
  <c r="E289" i="23"/>
  <c r="F289" i="23"/>
  <c r="H289" i="23"/>
  <c r="J289" i="23"/>
  <c r="K289" i="23"/>
  <c r="D290" i="23"/>
  <c r="E290" i="23"/>
  <c r="F290" i="23"/>
  <c r="H290" i="23"/>
  <c r="J290" i="23"/>
  <c r="K290" i="23"/>
  <c r="D291" i="23"/>
  <c r="E291" i="23"/>
  <c r="F291" i="23"/>
  <c r="J291" i="23"/>
  <c r="K291" i="23"/>
  <c r="D292" i="23"/>
  <c r="E292" i="23"/>
  <c r="F292" i="23"/>
  <c r="J292" i="23"/>
  <c r="K292" i="23"/>
  <c r="E293" i="23"/>
  <c r="F293" i="23"/>
  <c r="H293" i="23"/>
  <c r="K293" i="23"/>
  <c r="D304" i="23"/>
  <c r="E304" i="23"/>
  <c r="F304" i="23"/>
  <c r="H304" i="23"/>
  <c r="J304" i="23"/>
  <c r="K304" i="23"/>
  <c r="D305" i="23"/>
  <c r="E305" i="23"/>
  <c r="F305" i="23"/>
  <c r="H305" i="23"/>
  <c r="J305" i="23"/>
  <c r="K305" i="23"/>
  <c r="D306" i="23"/>
  <c r="E306" i="23"/>
  <c r="F306" i="23"/>
  <c r="H306" i="23"/>
  <c r="J306" i="23"/>
  <c r="K306" i="23"/>
  <c r="D307" i="23"/>
  <c r="E307" i="23"/>
  <c r="F307" i="23"/>
  <c r="J307" i="23"/>
  <c r="K307" i="23"/>
  <c r="D308" i="23"/>
  <c r="E308" i="23"/>
  <c r="F308" i="23"/>
  <c r="J308" i="23"/>
  <c r="K308" i="23"/>
  <c r="E311" i="23"/>
  <c r="F311" i="23"/>
  <c r="H311" i="23"/>
  <c r="J311" i="23"/>
  <c r="K311" i="23"/>
  <c r="L313" i="23"/>
  <c r="M313" i="23"/>
  <c r="N313" i="23"/>
  <c r="O313" i="23"/>
  <c r="D314" i="23"/>
  <c r="E314" i="23"/>
  <c r="F314" i="23"/>
  <c r="H314" i="23"/>
  <c r="J314" i="23"/>
  <c r="K314" i="23"/>
  <c r="E315" i="23"/>
  <c r="F315" i="23"/>
  <c r="H315" i="23"/>
  <c r="J315" i="23"/>
  <c r="K315" i="23"/>
  <c r="E316" i="23"/>
  <c r="F316" i="23"/>
  <c r="H316" i="23"/>
  <c r="J316" i="23"/>
  <c r="K316" i="23"/>
  <c r="L318" i="23"/>
  <c r="M318" i="23"/>
  <c r="N318" i="23"/>
  <c r="O318" i="23"/>
  <c r="D319" i="23"/>
  <c r="E319" i="23"/>
  <c r="F319" i="23"/>
  <c r="H319" i="23"/>
  <c r="J319" i="23"/>
  <c r="K319" i="23"/>
  <c r="D320" i="23"/>
  <c r="E320" i="23"/>
  <c r="F320" i="23"/>
  <c r="H320" i="23"/>
  <c r="J320" i="23"/>
  <c r="K320" i="23"/>
  <c r="B321" i="23"/>
  <c r="F321" i="23" s="1"/>
  <c r="B322" i="23"/>
  <c r="H322" i="23" s="1"/>
  <c r="L324" i="23"/>
  <c r="M324" i="23"/>
  <c r="N324" i="23"/>
  <c r="O324" i="23"/>
  <c r="D325" i="23"/>
  <c r="E325" i="23"/>
  <c r="F325" i="23"/>
  <c r="H325" i="23"/>
  <c r="J325" i="23"/>
  <c r="K325" i="23"/>
  <c r="D326" i="23"/>
  <c r="E326" i="23"/>
  <c r="F326" i="23"/>
  <c r="H326" i="23"/>
  <c r="J326" i="23"/>
  <c r="K326" i="23"/>
  <c r="D327" i="23"/>
  <c r="E327" i="23"/>
  <c r="F327" i="23"/>
  <c r="H327" i="23"/>
  <c r="J327" i="23"/>
  <c r="K327" i="23"/>
  <c r="D328" i="23"/>
  <c r="E328" i="23"/>
  <c r="F328" i="23"/>
  <c r="H328" i="23"/>
  <c r="J328" i="23"/>
  <c r="K328" i="23"/>
  <c r="D329" i="23"/>
  <c r="E329" i="23"/>
  <c r="F329" i="23"/>
  <c r="H329" i="23"/>
  <c r="J329" i="23"/>
  <c r="K329" i="23"/>
  <c r="D330" i="23"/>
  <c r="E330" i="23"/>
  <c r="F330" i="23"/>
  <c r="H330" i="23"/>
  <c r="J330" i="23"/>
  <c r="K330" i="23"/>
  <c r="D331" i="23"/>
  <c r="E331" i="23"/>
  <c r="F331" i="23"/>
  <c r="H331" i="23"/>
  <c r="J331" i="23"/>
  <c r="K331" i="23"/>
  <c r="D332" i="23"/>
  <c r="E332" i="23"/>
  <c r="F332" i="23"/>
  <c r="H332" i="23"/>
  <c r="J332" i="23"/>
  <c r="K332" i="23"/>
  <c r="L334" i="23"/>
  <c r="M334" i="23"/>
  <c r="N334" i="23"/>
  <c r="O334" i="23"/>
  <c r="B335" i="23"/>
  <c r="D335" i="23" s="1"/>
  <c r="D336" i="23"/>
  <c r="E336" i="23"/>
  <c r="F336" i="23"/>
  <c r="H336" i="23"/>
  <c r="J336" i="23"/>
  <c r="K336" i="23"/>
  <c r="D337" i="23"/>
  <c r="E337" i="23"/>
  <c r="F337" i="23"/>
  <c r="H337" i="23"/>
  <c r="J337" i="23"/>
  <c r="K337" i="23"/>
  <c r="D338" i="23"/>
  <c r="E338" i="23"/>
  <c r="F338" i="23"/>
  <c r="H338" i="23"/>
  <c r="J338" i="23"/>
  <c r="K338" i="23"/>
  <c r="D339" i="23"/>
  <c r="E339" i="23"/>
  <c r="F339" i="23"/>
  <c r="H339" i="23"/>
  <c r="J339" i="23"/>
  <c r="K339" i="23"/>
  <c r="D340" i="23"/>
  <c r="E340" i="23"/>
  <c r="F340" i="23"/>
  <c r="H340" i="23"/>
  <c r="J340" i="23"/>
  <c r="K340" i="23"/>
  <c r="D341" i="23"/>
  <c r="E341" i="23"/>
  <c r="F341" i="23"/>
  <c r="H341" i="23"/>
  <c r="J341" i="23"/>
  <c r="K341" i="23"/>
  <c r="D342" i="23"/>
  <c r="E342" i="23"/>
  <c r="F342" i="23"/>
  <c r="H342" i="23"/>
  <c r="J342" i="23"/>
  <c r="K342" i="23"/>
  <c r="B343" i="23"/>
  <c r="K343" i="23" s="1"/>
  <c r="B344" i="23"/>
  <c r="D344" i="23" s="1"/>
  <c r="L346" i="23"/>
  <c r="M346" i="23"/>
  <c r="N346" i="23"/>
  <c r="O346" i="23"/>
  <c r="D347" i="23"/>
  <c r="E347" i="23"/>
  <c r="F347" i="23"/>
  <c r="H347" i="23"/>
  <c r="J347" i="23"/>
  <c r="K347" i="23"/>
  <c r="D348" i="23"/>
  <c r="E348" i="23"/>
  <c r="F348" i="23"/>
  <c r="H348" i="23"/>
  <c r="J348" i="23"/>
  <c r="K348" i="23"/>
  <c r="D349" i="23"/>
  <c r="E349" i="23"/>
  <c r="F349" i="23"/>
  <c r="H349" i="23"/>
  <c r="J349" i="23"/>
  <c r="K349" i="23"/>
  <c r="L351" i="23"/>
  <c r="M351" i="23"/>
  <c r="N351" i="23"/>
  <c r="O351" i="23"/>
  <c r="D352" i="23"/>
  <c r="E352" i="23"/>
  <c r="F352" i="23"/>
  <c r="H352" i="23"/>
  <c r="J352" i="23"/>
  <c r="K352" i="23"/>
  <c r="D353" i="23"/>
  <c r="E353" i="23"/>
  <c r="F353" i="23"/>
  <c r="H353" i="23"/>
  <c r="J353" i="23"/>
  <c r="K353" i="23"/>
  <c r="D354" i="23"/>
  <c r="E354" i="23"/>
  <c r="F354" i="23"/>
  <c r="H354" i="23"/>
  <c r="J354" i="23"/>
  <c r="K354" i="23"/>
  <c r="D355" i="23"/>
  <c r="E355" i="23"/>
  <c r="F355" i="23"/>
  <c r="H355" i="23"/>
  <c r="J355" i="23"/>
  <c r="K355" i="23"/>
  <c r="L357" i="23"/>
  <c r="M357" i="23"/>
  <c r="N357" i="23"/>
  <c r="O357" i="23"/>
  <c r="D359" i="23"/>
  <c r="E359" i="23"/>
  <c r="F359" i="23"/>
  <c r="H359" i="23"/>
  <c r="J359" i="23"/>
  <c r="K359" i="23"/>
  <c r="D360" i="23"/>
  <c r="E360" i="23"/>
  <c r="F360" i="23"/>
  <c r="H360" i="23"/>
  <c r="J360" i="23"/>
  <c r="K360" i="23"/>
  <c r="D361" i="23"/>
  <c r="E361" i="23"/>
  <c r="F361" i="23"/>
  <c r="H361" i="23"/>
  <c r="J361" i="23"/>
  <c r="K361" i="23"/>
  <c r="D362" i="23"/>
  <c r="E362" i="23"/>
  <c r="F362" i="23"/>
  <c r="H362" i="23"/>
  <c r="J362" i="23"/>
  <c r="K362" i="23"/>
  <c r="D363" i="23"/>
  <c r="E363" i="23"/>
  <c r="F363" i="23"/>
  <c r="H363" i="23"/>
  <c r="J363" i="23"/>
  <c r="K363" i="23"/>
  <c r="D364" i="23"/>
  <c r="E364" i="23"/>
  <c r="F364" i="23"/>
  <c r="H364" i="23"/>
  <c r="J364" i="23"/>
  <c r="K364" i="23"/>
  <c r="D365" i="23"/>
  <c r="E365" i="23"/>
  <c r="F365" i="23"/>
  <c r="H365" i="23"/>
  <c r="J365" i="23"/>
  <c r="K365" i="23"/>
  <c r="D366" i="23"/>
  <c r="E366" i="23"/>
  <c r="F366" i="23"/>
  <c r="H366" i="23"/>
  <c r="J366" i="23"/>
  <c r="K366" i="23"/>
  <c r="D367" i="23"/>
  <c r="E367" i="23"/>
  <c r="F367" i="23"/>
  <c r="H367" i="23"/>
  <c r="J367" i="23"/>
  <c r="K367" i="23"/>
  <c r="D368" i="23"/>
  <c r="E368" i="23"/>
  <c r="F368" i="23"/>
  <c r="H368" i="23"/>
  <c r="J368" i="23"/>
  <c r="K368" i="23"/>
  <c r="D369" i="23"/>
  <c r="E369" i="23"/>
  <c r="F369" i="23"/>
  <c r="H369" i="23"/>
  <c r="J369" i="23"/>
  <c r="K369" i="23"/>
  <c r="D370" i="23"/>
  <c r="E370" i="23"/>
  <c r="F370" i="23"/>
  <c r="H370" i="23"/>
  <c r="J370" i="23"/>
  <c r="K370" i="23"/>
  <c r="E371" i="23"/>
  <c r="F371" i="23"/>
  <c r="H371" i="23"/>
  <c r="J371" i="23"/>
  <c r="K371" i="23"/>
  <c r="D372" i="23"/>
  <c r="E372" i="23"/>
  <c r="F372" i="23"/>
  <c r="J372" i="23"/>
  <c r="K372" i="23"/>
  <c r="D373" i="23"/>
  <c r="E373" i="23"/>
  <c r="F373" i="23"/>
  <c r="J373" i="23"/>
  <c r="K373" i="23"/>
  <c r="E374" i="23"/>
  <c r="F374" i="23"/>
  <c r="H374" i="23"/>
  <c r="J374" i="23"/>
  <c r="K374" i="23"/>
  <c r="D385" i="23"/>
  <c r="E385" i="23"/>
  <c r="F385" i="23"/>
  <c r="H385" i="23"/>
  <c r="J385" i="23"/>
  <c r="K385" i="23"/>
  <c r="D386" i="23"/>
  <c r="E386" i="23"/>
  <c r="F386" i="23"/>
  <c r="K386" i="23"/>
  <c r="D387" i="23"/>
  <c r="E387" i="23"/>
  <c r="F387" i="23"/>
  <c r="H387" i="23"/>
  <c r="J387" i="23"/>
  <c r="K387" i="23"/>
  <c r="D388" i="23"/>
  <c r="E388" i="23"/>
  <c r="F388" i="23"/>
  <c r="J388" i="23"/>
  <c r="K388" i="23"/>
  <c r="D389" i="23"/>
  <c r="E389" i="23"/>
  <c r="F389" i="23"/>
  <c r="J389" i="23"/>
  <c r="K389" i="23"/>
  <c r="E392" i="23"/>
  <c r="F392" i="23"/>
  <c r="H392" i="23"/>
  <c r="J392" i="23"/>
  <c r="K392" i="23"/>
  <c r="L394" i="23"/>
  <c r="M394" i="23"/>
  <c r="N394" i="23"/>
  <c r="O394" i="23"/>
  <c r="D395" i="23"/>
  <c r="E395" i="23"/>
  <c r="F395" i="23"/>
  <c r="H395" i="23"/>
  <c r="J395" i="23"/>
  <c r="K395" i="23"/>
  <c r="E396" i="23"/>
  <c r="F396" i="23"/>
  <c r="H396" i="23"/>
  <c r="J396" i="23"/>
  <c r="K396" i="23"/>
  <c r="E397" i="23"/>
  <c r="F397" i="23"/>
  <c r="H397" i="23"/>
  <c r="J397" i="23"/>
  <c r="K397" i="23"/>
  <c r="L399" i="23"/>
  <c r="M399" i="23"/>
  <c r="N399" i="23"/>
  <c r="O399" i="23"/>
  <c r="D400" i="23"/>
  <c r="F400" i="23"/>
  <c r="H400" i="23"/>
  <c r="J400" i="23"/>
  <c r="K400" i="23"/>
  <c r="D401" i="23"/>
  <c r="E401" i="23"/>
  <c r="F401" i="23"/>
  <c r="H401" i="23"/>
  <c r="J401" i="23"/>
  <c r="K401" i="23"/>
  <c r="H402" i="23"/>
  <c r="B403" i="23"/>
  <c r="D403" i="23" s="1"/>
  <c r="L405" i="23"/>
  <c r="M405" i="23"/>
  <c r="N405" i="23"/>
  <c r="O405" i="23"/>
  <c r="D406" i="23"/>
  <c r="E406" i="23"/>
  <c r="F406" i="23"/>
  <c r="H406" i="23"/>
  <c r="J406" i="23"/>
  <c r="K406" i="23"/>
  <c r="D407" i="23"/>
  <c r="E407" i="23"/>
  <c r="F407" i="23"/>
  <c r="H407" i="23"/>
  <c r="J407" i="23"/>
  <c r="K407" i="23"/>
  <c r="D408" i="23"/>
  <c r="E408" i="23"/>
  <c r="F408" i="23"/>
  <c r="H408" i="23"/>
  <c r="J408" i="23"/>
  <c r="K408" i="23"/>
  <c r="D409" i="23"/>
  <c r="E409" i="23"/>
  <c r="F409" i="23"/>
  <c r="H409" i="23"/>
  <c r="J409" i="23"/>
  <c r="K409" i="23"/>
  <c r="D411" i="23"/>
  <c r="E411" i="23"/>
  <c r="F411" i="23"/>
  <c r="H411" i="23"/>
  <c r="J411" i="23"/>
  <c r="K411" i="23"/>
  <c r="D412" i="23"/>
  <c r="E412" i="23"/>
  <c r="F412" i="23"/>
  <c r="H412" i="23"/>
  <c r="K412" i="23"/>
  <c r="L414" i="23"/>
  <c r="M414" i="23"/>
  <c r="N414" i="23"/>
  <c r="O414" i="23"/>
  <c r="D415" i="23"/>
  <c r="F415" i="23"/>
  <c r="H415" i="23"/>
  <c r="J415" i="23"/>
  <c r="K415" i="23"/>
  <c r="D416" i="23"/>
  <c r="E416" i="23"/>
  <c r="F416" i="23"/>
  <c r="H416" i="23"/>
  <c r="J416" i="23"/>
  <c r="K416" i="23"/>
  <c r="D417" i="23"/>
  <c r="E417" i="23"/>
  <c r="F417" i="23"/>
  <c r="H417" i="23"/>
  <c r="K417" i="23"/>
  <c r="D419" i="23"/>
  <c r="E419" i="23"/>
  <c r="F419" i="23"/>
  <c r="H419" i="23"/>
  <c r="J419" i="23"/>
  <c r="K419" i="23"/>
  <c r="D420" i="23"/>
  <c r="E420" i="23"/>
  <c r="F420" i="23"/>
  <c r="H420" i="23"/>
  <c r="J420" i="23"/>
  <c r="K420" i="23"/>
  <c r="D425" i="23"/>
  <c r="E425" i="23"/>
  <c r="F425" i="23"/>
  <c r="H425" i="23"/>
  <c r="J425" i="23"/>
  <c r="K425" i="23"/>
  <c r="D427" i="23"/>
  <c r="E427" i="23"/>
  <c r="F427" i="23"/>
  <c r="H427" i="23"/>
  <c r="K427" i="23"/>
  <c r="D428" i="23"/>
  <c r="E428" i="23"/>
  <c r="F428" i="23"/>
  <c r="H428" i="23"/>
  <c r="K428" i="23"/>
  <c r="B429" i="23"/>
  <c r="J429" i="23" s="1"/>
  <c r="F430" i="23"/>
  <c r="L432" i="23"/>
  <c r="M432" i="23"/>
  <c r="N432" i="23"/>
  <c r="O432" i="23"/>
  <c r="D433" i="23"/>
  <c r="E433" i="23"/>
  <c r="F433" i="23"/>
  <c r="H433" i="23"/>
  <c r="J433" i="23"/>
  <c r="K433" i="23"/>
  <c r="D434" i="23"/>
  <c r="E434" i="23"/>
  <c r="F434" i="23"/>
  <c r="H434" i="23"/>
  <c r="J434" i="23"/>
  <c r="K434" i="23"/>
  <c r="D435" i="23"/>
  <c r="E435" i="23"/>
  <c r="F435" i="23"/>
  <c r="H435" i="23"/>
  <c r="J435" i="23"/>
  <c r="K435" i="23"/>
  <c r="L437" i="23"/>
  <c r="M437" i="23"/>
  <c r="N437" i="23"/>
  <c r="O437" i="23"/>
  <c r="D438" i="23"/>
  <c r="E438" i="23"/>
  <c r="F438" i="23"/>
  <c r="H438" i="23"/>
  <c r="J438" i="23"/>
  <c r="K438" i="23"/>
  <c r="D439" i="23"/>
  <c r="E439" i="23"/>
  <c r="F439" i="23"/>
  <c r="H439" i="23"/>
  <c r="J439" i="23"/>
  <c r="K439" i="23"/>
  <c r="E440" i="23"/>
  <c r="F440" i="23"/>
  <c r="H440" i="23"/>
  <c r="K440" i="23"/>
  <c r="D445" i="23"/>
  <c r="E445" i="23"/>
  <c r="F445" i="23"/>
  <c r="H445" i="23"/>
  <c r="J445" i="23"/>
  <c r="K445" i="23"/>
  <c r="L447" i="23"/>
  <c r="M447" i="23"/>
  <c r="N447" i="23"/>
  <c r="O447" i="23"/>
  <c r="D448" i="23"/>
  <c r="F448" i="23"/>
  <c r="J448" i="23"/>
  <c r="K448" i="23"/>
  <c r="D450" i="23"/>
  <c r="E450" i="23"/>
  <c r="F450" i="23"/>
  <c r="H450" i="23"/>
  <c r="J450" i="23"/>
  <c r="K450" i="23"/>
  <c r="D454" i="23"/>
  <c r="E454" i="23"/>
  <c r="F454" i="23"/>
  <c r="H454" i="23"/>
  <c r="J454" i="23"/>
  <c r="K454" i="23"/>
  <c r="D455" i="23"/>
  <c r="E455" i="23"/>
  <c r="F455" i="23"/>
  <c r="H455" i="23"/>
  <c r="J455" i="23"/>
  <c r="K455" i="23"/>
  <c r="D456" i="23"/>
  <c r="E456" i="23"/>
  <c r="F456" i="23"/>
  <c r="H456" i="23"/>
  <c r="J456" i="23"/>
  <c r="K456" i="23"/>
  <c r="D457" i="23"/>
  <c r="E457" i="23"/>
  <c r="F457" i="23"/>
  <c r="H457" i="23"/>
  <c r="J457" i="23"/>
  <c r="K457" i="23"/>
  <c r="D458" i="23"/>
  <c r="E458" i="23"/>
  <c r="F458" i="23"/>
  <c r="H458" i="23"/>
  <c r="J458" i="23"/>
  <c r="K458" i="23"/>
  <c r="D459" i="23"/>
  <c r="E459" i="23"/>
  <c r="F459" i="23"/>
  <c r="H459" i="23"/>
  <c r="K459" i="23"/>
  <c r="D460" i="23"/>
  <c r="E460" i="23"/>
  <c r="F460" i="23"/>
  <c r="H460" i="23"/>
  <c r="K460" i="23"/>
  <c r="D461" i="23"/>
  <c r="E461" i="23"/>
  <c r="F461" i="23"/>
  <c r="H461" i="23"/>
  <c r="J461" i="23"/>
  <c r="K461" i="23"/>
  <c r="D462" i="23"/>
  <c r="E462" i="23"/>
  <c r="F462" i="23"/>
  <c r="H462" i="23"/>
  <c r="J462" i="23"/>
  <c r="K462" i="23"/>
  <c r="D463" i="23"/>
  <c r="E463" i="23"/>
  <c r="F463" i="23"/>
  <c r="H463" i="23"/>
  <c r="J463" i="23"/>
  <c r="K463" i="23"/>
  <c r="D464" i="23"/>
  <c r="E464" i="23"/>
  <c r="F464" i="23"/>
  <c r="H464" i="23"/>
  <c r="J464" i="23"/>
  <c r="K464" i="23"/>
  <c r="D465" i="23"/>
  <c r="E465" i="23"/>
  <c r="F465" i="23"/>
  <c r="H465" i="23"/>
  <c r="J465" i="23"/>
  <c r="K465" i="23"/>
  <c r="D466" i="23"/>
  <c r="E466" i="23"/>
  <c r="F466" i="23"/>
  <c r="H466" i="23"/>
  <c r="J466" i="23"/>
  <c r="K466" i="23"/>
  <c r="D467" i="23"/>
  <c r="E467" i="23"/>
  <c r="F467" i="23"/>
  <c r="H467" i="23"/>
  <c r="J467" i="23"/>
  <c r="K467" i="23"/>
  <c r="E468" i="23"/>
  <c r="F468" i="23"/>
  <c r="H468" i="23"/>
  <c r="J468" i="23"/>
  <c r="K468" i="23"/>
  <c r="D469" i="23"/>
  <c r="F469" i="23"/>
  <c r="J469" i="23"/>
  <c r="K469" i="23"/>
  <c r="D470" i="23"/>
  <c r="E470" i="23"/>
  <c r="F470" i="23"/>
  <c r="J470" i="23"/>
  <c r="K470" i="23"/>
  <c r="E471" i="23"/>
  <c r="F471" i="23"/>
  <c r="H471" i="23"/>
  <c r="K471" i="23"/>
  <c r="D482" i="23"/>
  <c r="E482" i="23"/>
  <c r="F482" i="23"/>
  <c r="H482" i="23"/>
  <c r="J482" i="23"/>
  <c r="K482" i="23"/>
  <c r="D483" i="23"/>
  <c r="E483" i="23"/>
  <c r="F483" i="23"/>
  <c r="H483" i="23"/>
  <c r="J483" i="23"/>
  <c r="K483" i="23"/>
  <c r="D484" i="23"/>
  <c r="E484" i="23"/>
  <c r="F484" i="23"/>
  <c r="H484" i="23"/>
  <c r="J484" i="23"/>
  <c r="K484" i="23"/>
  <c r="D485" i="23"/>
  <c r="E485" i="23"/>
  <c r="F485" i="23"/>
  <c r="J485" i="23"/>
  <c r="K485" i="23"/>
  <c r="D486" i="23"/>
  <c r="E486" i="23"/>
  <c r="F486" i="23"/>
  <c r="J486" i="23"/>
  <c r="K486" i="23"/>
  <c r="E489" i="23"/>
  <c r="F489" i="23"/>
  <c r="H489" i="23"/>
  <c r="J489" i="23"/>
  <c r="K489" i="23"/>
  <c r="L491" i="23"/>
  <c r="M491" i="23"/>
  <c r="N491" i="23"/>
  <c r="O491" i="23"/>
  <c r="D492" i="23"/>
  <c r="E492" i="23"/>
  <c r="F492" i="23"/>
  <c r="H492" i="23"/>
  <c r="J492" i="23"/>
  <c r="K492" i="23"/>
  <c r="E493" i="23"/>
  <c r="F493" i="23"/>
  <c r="H493" i="23"/>
  <c r="J493" i="23"/>
  <c r="K493" i="23"/>
  <c r="E494" i="23"/>
  <c r="F494" i="23"/>
  <c r="H494" i="23"/>
  <c r="J494" i="23"/>
  <c r="K494" i="23"/>
  <c r="L496" i="23"/>
  <c r="M496" i="23"/>
  <c r="N496" i="23"/>
  <c r="O496" i="23"/>
  <c r="D497" i="23"/>
  <c r="E497" i="23"/>
  <c r="F497" i="23"/>
  <c r="H497" i="23"/>
  <c r="J497" i="23"/>
  <c r="K497" i="23"/>
  <c r="D498" i="23"/>
  <c r="E498" i="23"/>
  <c r="F498" i="23"/>
  <c r="H498" i="23"/>
  <c r="J498" i="23"/>
  <c r="K498" i="23"/>
  <c r="B499" i="23"/>
  <c r="D499" i="23" s="1"/>
  <c r="B500" i="23"/>
  <c r="D500" i="23" s="1"/>
  <c r="L502" i="23"/>
  <c r="M502" i="23"/>
  <c r="N502" i="23"/>
  <c r="O502" i="23"/>
  <c r="D503" i="23"/>
  <c r="E503" i="23"/>
  <c r="F503" i="23"/>
  <c r="H503" i="23"/>
  <c r="J503" i="23"/>
  <c r="K503" i="23"/>
  <c r="E504" i="23"/>
  <c r="F504" i="23"/>
  <c r="H504" i="23"/>
  <c r="J504" i="23"/>
  <c r="K504" i="23"/>
  <c r="E507" i="23"/>
  <c r="F507" i="23"/>
  <c r="H507" i="23"/>
  <c r="J507" i="23"/>
  <c r="K507" i="23"/>
  <c r="L510" i="23"/>
  <c r="M510" i="23"/>
  <c r="N510" i="23"/>
  <c r="O510" i="23"/>
  <c r="D511" i="23"/>
  <c r="E511" i="23"/>
  <c r="F511" i="23"/>
  <c r="H511" i="23"/>
  <c r="J511" i="23"/>
  <c r="K511" i="23"/>
  <c r="D512" i="23"/>
  <c r="E512" i="23"/>
  <c r="F512" i="23"/>
  <c r="H512" i="23"/>
  <c r="J512" i="23"/>
  <c r="K512" i="23"/>
  <c r="D513" i="23"/>
  <c r="E513" i="23"/>
  <c r="F513" i="23"/>
  <c r="H513" i="23"/>
  <c r="K513" i="23"/>
  <c r="D515" i="23"/>
  <c r="E515" i="23"/>
  <c r="F515" i="23"/>
  <c r="H515" i="23"/>
  <c r="J515" i="23"/>
  <c r="K515" i="23"/>
  <c r="D516" i="23"/>
  <c r="E516" i="23"/>
  <c r="F516" i="23"/>
  <c r="H516" i="23"/>
  <c r="J516" i="23"/>
  <c r="K516" i="23"/>
  <c r="D521" i="23"/>
  <c r="E521" i="23"/>
  <c r="F521" i="23"/>
  <c r="H521" i="23"/>
  <c r="K521" i="23"/>
  <c r="D523" i="23"/>
  <c r="E523" i="23"/>
  <c r="F523" i="23"/>
  <c r="H523" i="23"/>
  <c r="K523" i="23"/>
  <c r="D524" i="23"/>
  <c r="E524" i="23"/>
  <c r="F524" i="23"/>
  <c r="H524" i="23"/>
  <c r="J524" i="23"/>
  <c r="K524" i="23"/>
  <c r="B525" i="23"/>
  <c r="D525" i="23" s="1"/>
  <c r="B526" i="23"/>
  <c r="L528" i="23"/>
  <c r="M528" i="23"/>
  <c r="N528" i="23"/>
  <c r="O528" i="23"/>
  <c r="D529" i="23"/>
  <c r="E529" i="23"/>
  <c r="F529" i="23"/>
  <c r="H529" i="23"/>
  <c r="J529" i="23"/>
  <c r="K529" i="23"/>
  <c r="D530" i="23"/>
  <c r="E530" i="23"/>
  <c r="F530" i="23"/>
  <c r="H530" i="23"/>
  <c r="J530" i="23"/>
  <c r="K530" i="23"/>
  <c r="D531" i="23"/>
  <c r="E531" i="23"/>
  <c r="F531" i="23"/>
  <c r="H531" i="23"/>
  <c r="J531" i="23"/>
  <c r="K531" i="23"/>
  <c r="L533" i="23"/>
  <c r="M533" i="23"/>
  <c r="N533" i="23"/>
  <c r="O533" i="23"/>
  <c r="D534" i="23"/>
  <c r="E534" i="23"/>
  <c r="F534" i="23"/>
  <c r="H534" i="23"/>
  <c r="J534" i="23"/>
  <c r="K534" i="23"/>
  <c r="D535" i="23"/>
  <c r="E535" i="23"/>
  <c r="F535" i="23"/>
  <c r="H535" i="23"/>
  <c r="J535" i="23"/>
  <c r="K535" i="23"/>
  <c r="D536" i="23"/>
  <c r="E536" i="23"/>
  <c r="F536" i="23"/>
  <c r="H536" i="23"/>
  <c r="J536" i="23"/>
  <c r="K536" i="23"/>
  <c r="D541" i="23"/>
  <c r="E541" i="23"/>
  <c r="F541" i="23"/>
  <c r="H541" i="23"/>
  <c r="J541" i="23"/>
  <c r="K541" i="23"/>
  <c r="L543" i="23"/>
  <c r="M543" i="23"/>
  <c r="N543" i="23"/>
  <c r="O543" i="23"/>
  <c r="D544" i="23"/>
  <c r="E544" i="23"/>
  <c r="F544" i="23"/>
  <c r="H544" i="23"/>
  <c r="J544" i="23"/>
  <c r="K544" i="23"/>
  <c r="D545" i="23"/>
  <c r="E545" i="23"/>
  <c r="F545" i="23"/>
  <c r="H545" i="23"/>
  <c r="J545" i="23"/>
  <c r="K545" i="23"/>
  <c r="D546" i="23"/>
  <c r="E546" i="23"/>
  <c r="F546" i="23"/>
  <c r="H546" i="23"/>
  <c r="J546" i="23"/>
  <c r="K546" i="23"/>
  <c r="D549" i="23"/>
  <c r="E549" i="23"/>
  <c r="F549" i="23"/>
  <c r="H549" i="23"/>
  <c r="J549" i="23"/>
  <c r="K549" i="23"/>
  <c r="D550" i="23"/>
  <c r="E550" i="23"/>
  <c r="F550" i="23"/>
  <c r="H550" i="23"/>
  <c r="J550" i="23"/>
  <c r="K550" i="23"/>
  <c r="D551" i="23"/>
  <c r="E551" i="23"/>
  <c r="F551" i="23"/>
  <c r="H551" i="23"/>
  <c r="J551" i="23"/>
  <c r="K551" i="23"/>
  <c r="D552" i="23"/>
  <c r="E552" i="23"/>
  <c r="F552" i="23"/>
  <c r="H552" i="23"/>
  <c r="J552" i="23"/>
  <c r="K552" i="23"/>
  <c r="D553" i="23"/>
  <c r="E553" i="23"/>
  <c r="F553" i="23"/>
  <c r="H553" i="23"/>
  <c r="J553" i="23"/>
  <c r="K553" i="23"/>
  <c r="D554" i="23"/>
  <c r="E554" i="23"/>
  <c r="F554" i="23"/>
  <c r="H554" i="23"/>
  <c r="J554" i="23"/>
  <c r="K554" i="23"/>
  <c r="D555" i="23"/>
  <c r="E555" i="23"/>
  <c r="F555" i="23"/>
  <c r="H555" i="23"/>
  <c r="J555" i="23"/>
  <c r="K555" i="23"/>
  <c r="D556" i="23"/>
  <c r="E556" i="23"/>
  <c r="F556" i="23"/>
  <c r="H556" i="23"/>
  <c r="J556" i="23"/>
  <c r="K556" i="23"/>
  <c r="E557" i="23"/>
  <c r="F557" i="23"/>
  <c r="H557" i="23"/>
  <c r="J557" i="23"/>
  <c r="K557" i="23"/>
  <c r="D558" i="23"/>
  <c r="E558" i="23"/>
  <c r="F558" i="23"/>
  <c r="J558" i="23"/>
  <c r="K558" i="23"/>
  <c r="D559" i="23"/>
  <c r="E559" i="23"/>
  <c r="F559" i="23"/>
  <c r="J559" i="23"/>
  <c r="K559" i="23"/>
  <c r="E560" i="23"/>
  <c r="F560" i="23"/>
  <c r="H560" i="23"/>
  <c r="J560" i="23"/>
  <c r="K560" i="23"/>
  <c r="D571" i="23"/>
  <c r="E571" i="23"/>
  <c r="F571" i="23"/>
  <c r="H571" i="23"/>
  <c r="J571" i="23"/>
  <c r="K571" i="23"/>
  <c r="D572" i="23"/>
  <c r="E572" i="23"/>
  <c r="F572" i="23"/>
  <c r="K572" i="23"/>
  <c r="D577" i="23"/>
  <c r="E577" i="23"/>
  <c r="F577" i="23"/>
  <c r="H577" i="23"/>
  <c r="J577" i="23"/>
  <c r="K577" i="23"/>
  <c r="D578" i="23"/>
  <c r="E578" i="23"/>
  <c r="F578" i="23"/>
  <c r="H578" i="23"/>
  <c r="J578" i="23"/>
  <c r="K578" i="23"/>
  <c r="D579" i="23"/>
  <c r="E579" i="23"/>
  <c r="F579" i="23"/>
  <c r="H579" i="23"/>
  <c r="J579" i="23"/>
  <c r="K579" i="23"/>
  <c r="A580" i="23"/>
  <c r="A581" i="23" s="1"/>
  <c r="L580" i="23"/>
  <c r="M580" i="23"/>
  <c r="N580" i="23"/>
  <c r="O580" i="23"/>
  <c r="L581" i="23"/>
  <c r="M581" i="23"/>
  <c r="N581" i="23"/>
  <c r="O581" i="23"/>
  <c r="D582" i="23"/>
  <c r="E582" i="23"/>
  <c r="F582" i="23"/>
  <c r="G582" i="23"/>
  <c r="A582" i="23" s="1"/>
  <c r="H582" i="23"/>
  <c r="J582" i="23"/>
  <c r="K582" i="23"/>
  <c r="E583" i="23"/>
  <c r="F583" i="23"/>
  <c r="H583" i="23"/>
  <c r="J583" i="23"/>
  <c r="K583" i="23"/>
  <c r="E584" i="23"/>
  <c r="F584" i="23"/>
  <c r="H584" i="23"/>
  <c r="J584" i="23"/>
  <c r="K584" i="23"/>
  <c r="A585" i="23"/>
  <c r="A586" i="23" s="1"/>
  <c r="L585" i="23"/>
  <c r="M585" i="23"/>
  <c r="N585" i="23"/>
  <c r="O585" i="23"/>
  <c r="L586" i="23"/>
  <c r="M586" i="23"/>
  <c r="N586" i="23"/>
  <c r="O586" i="23"/>
  <c r="D587" i="23"/>
  <c r="E587" i="23"/>
  <c r="F587" i="23"/>
  <c r="G587" i="23"/>
  <c r="H587" i="23"/>
  <c r="J587" i="23"/>
  <c r="K587" i="23"/>
  <c r="D588" i="23"/>
  <c r="E588" i="23"/>
  <c r="F588" i="23"/>
  <c r="G588" i="23"/>
  <c r="H588" i="23"/>
  <c r="J588" i="23"/>
  <c r="K588" i="23"/>
  <c r="B589" i="23"/>
  <c r="J589" i="23" s="1"/>
  <c r="G589" i="23"/>
  <c r="B590" i="23"/>
  <c r="H590" i="23" s="1"/>
  <c r="G590" i="23"/>
  <c r="A590" i="23" s="1"/>
  <c r="L600" i="23"/>
  <c r="M600" i="23"/>
  <c r="N600" i="23"/>
  <c r="O600" i="23"/>
  <c r="D601" i="23"/>
  <c r="E601" i="23"/>
  <c r="F601" i="23"/>
  <c r="H601" i="23"/>
  <c r="J601" i="23"/>
  <c r="K601" i="23"/>
  <c r="D602" i="23"/>
  <c r="E602" i="23"/>
  <c r="F602" i="23"/>
  <c r="H602" i="23"/>
  <c r="J602" i="23"/>
  <c r="K602" i="23"/>
  <c r="D603" i="23"/>
  <c r="E603" i="23"/>
  <c r="F603" i="23"/>
  <c r="H603" i="23"/>
  <c r="J603" i="23"/>
  <c r="K603" i="23"/>
  <c r="D604" i="23"/>
  <c r="E604" i="23"/>
  <c r="F604" i="23"/>
  <c r="H604" i="23"/>
  <c r="J604" i="23"/>
  <c r="K604" i="23"/>
  <c r="D605" i="23"/>
  <c r="E605" i="23"/>
  <c r="F605" i="23"/>
  <c r="H605" i="23"/>
  <c r="J605" i="23"/>
  <c r="K605" i="23"/>
  <c r="L607" i="23"/>
  <c r="M607" i="23"/>
  <c r="N607" i="23"/>
  <c r="O607" i="23"/>
  <c r="B608" i="23"/>
  <c r="J608" i="23" s="1"/>
  <c r="D609" i="23"/>
  <c r="E609" i="23"/>
  <c r="F609" i="23"/>
  <c r="H609" i="23"/>
  <c r="J609" i="23"/>
  <c r="K609" i="23"/>
  <c r="D610" i="23"/>
  <c r="E610" i="23"/>
  <c r="F610" i="23"/>
  <c r="H610" i="23"/>
  <c r="J610" i="23"/>
  <c r="K610" i="23"/>
  <c r="D611" i="23"/>
  <c r="E611" i="23"/>
  <c r="F611" i="23"/>
  <c r="H611" i="23"/>
  <c r="J611" i="23"/>
  <c r="K611" i="23"/>
  <c r="D612" i="23"/>
  <c r="E612" i="23"/>
  <c r="F612" i="23"/>
  <c r="H612" i="23"/>
  <c r="J612" i="23"/>
  <c r="K612" i="23"/>
  <c r="E613" i="23"/>
  <c r="F613" i="23"/>
  <c r="H613" i="23"/>
  <c r="J613" i="23"/>
  <c r="K613" i="23"/>
  <c r="D614" i="23"/>
  <c r="E614" i="23"/>
  <c r="F614" i="23"/>
  <c r="H614" i="23"/>
  <c r="J614" i="23"/>
  <c r="K614" i="23"/>
  <c r="D615" i="23"/>
  <c r="E615" i="23"/>
  <c r="F615" i="23"/>
  <c r="G615" i="23"/>
  <c r="A615" i="23" s="1"/>
  <c r="H615" i="23"/>
  <c r="J615" i="23"/>
  <c r="K615" i="23"/>
  <c r="D616" i="23"/>
  <c r="E616" i="23"/>
  <c r="F616" i="23"/>
  <c r="H616" i="23"/>
  <c r="J616" i="23"/>
  <c r="K616" i="23"/>
  <c r="D617" i="23"/>
  <c r="E617" i="23"/>
  <c r="F617" i="23"/>
  <c r="H617" i="23"/>
  <c r="J617" i="23"/>
  <c r="K617" i="23"/>
  <c r="D618" i="23"/>
  <c r="E618" i="23"/>
  <c r="F618" i="23"/>
  <c r="H618" i="23"/>
  <c r="J618" i="23"/>
  <c r="K618" i="23"/>
  <c r="D619" i="23"/>
  <c r="E619" i="23"/>
  <c r="F619" i="23"/>
  <c r="H619" i="23"/>
  <c r="J619" i="23"/>
  <c r="K619" i="23"/>
  <c r="L621" i="23"/>
  <c r="M621" i="23"/>
  <c r="N621" i="23"/>
  <c r="O621" i="23"/>
  <c r="D622" i="23"/>
  <c r="E622" i="23"/>
  <c r="F622" i="23"/>
  <c r="H622" i="23"/>
  <c r="J622" i="23"/>
  <c r="K622" i="23"/>
  <c r="E623" i="23"/>
  <c r="F623" i="23"/>
  <c r="H623" i="23"/>
  <c r="K623" i="23"/>
  <c r="D624" i="23"/>
  <c r="E624" i="23"/>
  <c r="F624" i="23"/>
  <c r="H624" i="23"/>
  <c r="J624" i="23"/>
  <c r="K624" i="23"/>
  <c r="D625" i="23"/>
  <c r="E625" i="23"/>
  <c r="F625" i="23"/>
  <c r="H625" i="23"/>
  <c r="J625" i="23"/>
  <c r="K625" i="23"/>
  <c r="D626" i="23"/>
  <c r="E626" i="23"/>
  <c r="F626" i="23"/>
  <c r="H626" i="23"/>
  <c r="J626" i="23"/>
  <c r="K626" i="23"/>
  <c r="L628" i="23"/>
  <c r="M628" i="23"/>
  <c r="N628" i="23"/>
  <c r="O628" i="23"/>
  <c r="D629" i="23"/>
  <c r="E629" i="23"/>
  <c r="F629" i="23"/>
  <c r="H629" i="23"/>
  <c r="J629" i="23"/>
  <c r="K629" i="23"/>
  <c r="D630" i="23"/>
  <c r="E630" i="23"/>
  <c r="F630" i="23"/>
  <c r="H630" i="23"/>
  <c r="J630" i="23"/>
  <c r="K630" i="23"/>
  <c r="D634" i="23"/>
  <c r="E634" i="23"/>
  <c r="F634" i="23"/>
  <c r="H634" i="23"/>
  <c r="J634" i="23"/>
  <c r="K634" i="23"/>
  <c r="L637" i="23"/>
  <c r="M637" i="23"/>
  <c r="N637" i="23"/>
  <c r="O637" i="23"/>
  <c r="D638" i="23"/>
  <c r="E638" i="23"/>
  <c r="F638" i="23"/>
  <c r="H638" i="23"/>
  <c r="J638" i="23"/>
  <c r="K638" i="23"/>
  <c r="D639" i="23"/>
  <c r="F639" i="23"/>
  <c r="H639" i="23"/>
  <c r="J639" i="23"/>
  <c r="K639" i="23"/>
  <c r="D640" i="23"/>
  <c r="E640" i="23"/>
  <c r="F640" i="23"/>
  <c r="H640" i="23"/>
  <c r="J640" i="23"/>
  <c r="K640" i="23"/>
  <c r="D641" i="23"/>
  <c r="E641" i="23"/>
  <c r="F641" i="23"/>
  <c r="H641" i="23"/>
  <c r="J641" i="23"/>
  <c r="K641" i="23"/>
  <c r="D642" i="23"/>
  <c r="E642" i="23"/>
  <c r="F642" i="23"/>
  <c r="H642" i="23"/>
  <c r="J642" i="23"/>
  <c r="K642" i="23"/>
  <c r="D643" i="23"/>
  <c r="E643" i="23"/>
  <c r="F643" i="23"/>
  <c r="H643" i="23"/>
  <c r="J643" i="23"/>
  <c r="K643" i="23"/>
  <c r="D644" i="23"/>
  <c r="E644" i="23"/>
  <c r="F644" i="23"/>
  <c r="G644" i="23"/>
  <c r="A644" i="23" s="1"/>
  <c r="H644" i="23"/>
  <c r="J644" i="23"/>
  <c r="K644" i="23"/>
  <c r="D645" i="23"/>
  <c r="E645" i="23"/>
  <c r="F645" i="23"/>
  <c r="H645" i="23"/>
  <c r="J645" i="23"/>
  <c r="K645" i="23"/>
  <c r="D646" i="23"/>
  <c r="E646" i="23"/>
  <c r="F646" i="23"/>
  <c r="H646" i="23"/>
  <c r="J646" i="23"/>
  <c r="K646" i="23"/>
  <c r="D647" i="23"/>
  <c r="E647" i="23"/>
  <c r="F647" i="23"/>
  <c r="H647" i="23"/>
  <c r="J647" i="23"/>
  <c r="K647" i="23"/>
  <c r="D648" i="23"/>
  <c r="E648" i="23"/>
  <c r="F648" i="23"/>
  <c r="H648" i="23"/>
  <c r="J648" i="23"/>
  <c r="K648" i="23"/>
  <c r="D649" i="23"/>
  <c r="E649" i="23"/>
  <c r="F649" i="23"/>
  <c r="H649" i="23"/>
  <c r="J649" i="23"/>
  <c r="K649" i="23"/>
  <c r="D650" i="23"/>
  <c r="E650" i="23"/>
  <c r="F650" i="23"/>
  <c r="H650" i="23"/>
  <c r="J650" i="23"/>
  <c r="K650" i="23"/>
  <c r="D651" i="23"/>
  <c r="E651" i="23"/>
  <c r="F651" i="23"/>
  <c r="J651" i="23"/>
  <c r="K651" i="23"/>
  <c r="D652" i="23"/>
  <c r="E652" i="23"/>
  <c r="F652" i="23"/>
  <c r="J652" i="23"/>
  <c r="K652" i="23"/>
  <c r="E653" i="23"/>
  <c r="F653" i="23"/>
  <c r="H653" i="23"/>
  <c r="J653" i="23"/>
  <c r="K653" i="23"/>
  <c r="B665" i="23"/>
  <c r="D666" i="23"/>
  <c r="E666" i="23"/>
  <c r="F666" i="23"/>
  <c r="K666" i="23"/>
  <c r="D667" i="23"/>
  <c r="E667" i="23"/>
  <c r="F667" i="23"/>
  <c r="K667" i="23"/>
  <c r="D672" i="23"/>
  <c r="E672" i="23"/>
  <c r="F672" i="23"/>
  <c r="H672" i="23"/>
  <c r="J672" i="23"/>
  <c r="K672" i="23"/>
  <c r="E673" i="23"/>
  <c r="F673" i="23"/>
  <c r="H673" i="23"/>
  <c r="J673" i="23"/>
  <c r="K673" i="23"/>
  <c r="E674" i="23"/>
  <c r="F674" i="23"/>
  <c r="H674" i="23"/>
  <c r="J674" i="23"/>
  <c r="K674" i="23"/>
  <c r="L676" i="23"/>
  <c r="M676" i="23"/>
  <c r="N676" i="23"/>
  <c r="O676" i="23"/>
  <c r="D677" i="23"/>
  <c r="E677" i="23"/>
  <c r="F677" i="23"/>
  <c r="H677" i="23"/>
  <c r="J677" i="23"/>
  <c r="K677" i="23"/>
  <c r="E678" i="23"/>
  <c r="F678" i="23"/>
  <c r="H678" i="23"/>
  <c r="J678" i="23"/>
  <c r="K678" i="23"/>
  <c r="E679" i="23"/>
  <c r="F679" i="23"/>
  <c r="H679" i="23"/>
  <c r="J679" i="23"/>
  <c r="K679" i="23"/>
  <c r="L681" i="23"/>
  <c r="M681" i="23"/>
  <c r="N681" i="23"/>
  <c r="O681" i="23"/>
  <c r="D682" i="23"/>
  <c r="E682" i="23"/>
  <c r="F682" i="23"/>
  <c r="H682" i="23"/>
  <c r="J682" i="23"/>
  <c r="K682" i="23"/>
  <c r="D683" i="23"/>
  <c r="E683" i="23"/>
  <c r="F683" i="23"/>
  <c r="H683" i="23"/>
  <c r="J683" i="23"/>
  <c r="K683" i="23"/>
  <c r="B684" i="23"/>
  <c r="E684" i="23" s="1"/>
  <c r="B685" i="23"/>
  <c r="D685" i="23" s="1"/>
  <c r="L687" i="23"/>
  <c r="M687" i="23"/>
  <c r="N687" i="23"/>
  <c r="O687" i="23"/>
  <c r="D688" i="23"/>
  <c r="E688" i="23"/>
  <c r="F688" i="23"/>
  <c r="H688" i="23"/>
  <c r="J688" i="23"/>
  <c r="K688" i="23"/>
  <c r="D689" i="23"/>
  <c r="E689" i="23"/>
  <c r="F689" i="23"/>
  <c r="H689" i="23"/>
  <c r="J689" i="23"/>
  <c r="K689" i="23"/>
  <c r="D690" i="23"/>
  <c r="E690" i="23"/>
  <c r="F690" i="23"/>
  <c r="H690" i="23"/>
  <c r="J690" i="23"/>
  <c r="K690" i="23"/>
  <c r="D691" i="23"/>
  <c r="E691" i="23"/>
  <c r="F691" i="23"/>
  <c r="H691" i="23"/>
  <c r="J691" i="23"/>
  <c r="K691" i="23"/>
  <c r="D693" i="23"/>
  <c r="E693" i="23"/>
  <c r="F693" i="23"/>
  <c r="H693" i="23"/>
  <c r="J693" i="23"/>
  <c r="K693" i="23"/>
  <c r="D694" i="23"/>
  <c r="E694" i="23"/>
  <c r="F694" i="23"/>
  <c r="H694" i="23"/>
  <c r="J694" i="23"/>
  <c r="K694" i="23"/>
  <c r="L696" i="23"/>
  <c r="M696" i="23"/>
  <c r="N696" i="23"/>
  <c r="O696" i="23"/>
  <c r="B697" i="23"/>
  <c r="H697" i="23" s="1"/>
  <c r="D698" i="23"/>
  <c r="E698" i="23"/>
  <c r="F698" i="23"/>
  <c r="H698" i="23"/>
  <c r="J698" i="23"/>
  <c r="K698" i="23"/>
  <c r="D699" i="23"/>
  <c r="E699" i="23"/>
  <c r="F699" i="23"/>
  <c r="H699" i="23"/>
  <c r="L699" i="23" s="1"/>
  <c r="J699" i="23"/>
  <c r="N699" i="23" s="1"/>
  <c r="K699" i="23"/>
  <c r="O699" i="23" s="1"/>
  <c r="D700" i="23"/>
  <c r="E700" i="23"/>
  <c r="F700" i="23"/>
  <c r="H700" i="23"/>
  <c r="J700" i="23"/>
  <c r="K700" i="23"/>
  <c r="D701" i="23"/>
  <c r="E701" i="23"/>
  <c r="F701" i="23"/>
  <c r="H701" i="23"/>
  <c r="J701" i="23"/>
  <c r="K701" i="23"/>
  <c r="D702" i="23"/>
  <c r="E702" i="23"/>
  <c r="F702" i="23"/>
  <c r="H702" i="23"/>
  <c r="L702" i="23" s="1"/>
  <c r="J702" i="23"/>
  <c r="K702" i="23"/>
  <c r="O702" i="23" s="1"/>
  <c r="D703" i="23"/>
  <c r="E703" i="23"/>
  <c r="F703" i="23"/>
  <c r="H703" i="23"/>
  <c r="J703" i="23"/>
  <c r="K703" i="23"/>
  <c r="D704" i="23"/>
  <c r="E704" i="23"/>
  <c r="F704" i="23"/>
  <c r="H704" i="23"/>
  <c r="J704" i="23"/>
  <c r="K704" i="23"/>
  <c r="D705" i="23"/>
  <c r="E705" i="23"/>
  <c r="F705" i="23"/>
  <c r="H705" i="23"/>
  <c r="J705" i="23"/>
  <c r="K705" i="23"/>
  <c r="D706" i="23"/>
  <c r="E706" i="23"/>
  <c r="F706" i="23"/>
  <c r="H706" i="23"/>
  <c r="J706" i="23"/>
  <c r="K706" i="23"/>
  <c r="L708" i="23"/>
  <c r="M708" i="23"/>
  <c r="N708" i="23"/>
  <c r="O708" i="23"/>
  <c r="D709" i="23"/>
  <c r="E709" i="23"/>
  <c r="F709" i="23"/>
  <c r="H709" i="23"/>
  <c r="J709" i="23"/>
  <c r="K709" i="23"/>
  <c r="E710" i="23"/>
  <c r="F710" i="23"/>
  <c r="H710" i="23"/>
  <c r="J710" i="23"/>
  <c r="K710" i="23"/>
  <c r="E711" i="23"/>
  <c r="F711" i="23"/>
  <c r="H711" i="23"/>
  <c r="J711" i="23"/>
  <c r="K711" i="23"/>
  <c r="L713" i="23"/>
  <c r="M713" i="23"/>
  <c r="N713" i="23"/>
  <c r="O713" i="23"/>
  <c r="B714" i="23"/>
  <c r="D714" i="23" s="1"/>
  <c r="D715" i="23"/>
  <c r="E715" i="23"/>
  <c r="F715" i="23"/>
  <c r="H715" i="23"/>
  <c r="J715" i="23"/>
  <c r="K715" i="23"/>
  <c r="D716" i="23"/>
  <c r="E716" i="23"/>
  <c r="F716" i="23"/>
  <c r="H716" i="23"/>
  <c r="J716" i="23"/>
  <c r="K716" i="23"/>
  <c r="D717" i="23"/>
  <c r="E717" i="23"/>
  <c r="F717" i="23"/>
  <c r="H717" i="23"/>
  <c r="J717" i="23"/>
  <c r="K717" i="23"/>
  <c r="D721" i="23"/>
  <c r="E721" i="23"/>
  <c r="F721" i="23"/>
  <c r="H721" i="23"/>
  <c r="J721" i="23"/>
  <c r="K721" i="23"/>
  <c r="L723" i="23"/>
  <c r="M723" i="23"/>
  <c r="N723" i="23"/>
  <c r="O723" i="23"/>
  <c r="D724" i="23"/>
  <c r="E724" i="23"/>
  <c r="F724" i="23"/>
  <c r="H724" i="23"/>
  <c r="J724" i="23"/>
  <c r="K724" i="23"/>
  <c r="D725" i="23"/>
  <c r="E725" i="23"/>
  <c r="F725" i="23"/>
  <c r="H725" i="23"/>
  <c r="J725" i="23"/>
  <c r="K725" i="23"/>
  <c r="D726" i="23"/>
  <c r="E726" i="23"/>
  <c r="F726" i="23"/>
  <c r="H726" i="23"/>
  <c r="J726" i="23"/>
  <c r="K726" i="23"/>
  <c r="D727" i="23"/>
  <c r="E727" i="23"/>
  <c r="F727" i="23"/>
  <c r="H727" i="23"/>
  <c r="J727" i="23"/>
  <c r="K727" i="23"/>
  <c r="D728" i="23"/>
  <c r="E728" i="23"/>
  <c r="F728" i="23"/>
  <c r="H728" i="23"/>
  <c r="J728" i="23"/>
  <c r="K728" i="23"/>
  <c r="D729" i="23"/>
  <c r="E729" i="23"/>
  <c r="F729" i="23"/>
  <c r="H729" i="23"/>
  <c r="J729" i="23"/>
  <c r="K729" i="23"/>
  <c r="D730" i="23"/>
  <c r="E730" i="23"/>
  <c r="F730" i="23"/>
  <c r="H730" i="23"/>
  <c r="J730" i="23"/>
  <c r="K730" i="23"/>
  <c r="D731" i="23"/>
  <c r="E731" i="23"/>
  <c r="F731" i="23"/>
  <c r="H731" i="23"/>
  <c r="J731" i="23"/>
  <c r="K731" i="23"/>
  <c r="D732" i="23"/>
  <c r="E732" i="23"/>
  <c r="F732" i="23"/>
  <c r="H732" i="23"/>
  <c r="J732" i="23"/>
  <c r="K732" i="23"/>
  <c r="D733" i="23"/>
  <c r="E733" i="23"/>
  <c r="F733" i="23"/>
  <c r="H733" i="23"/>
  <c r="J733" i="23"/>
  <c r="K733" i="23"/>
  <c r="D734" i="23"/>
  <c r="E734" i="23"/>
  <c r="F734" i="23"/>
  <c r="H734" i="23"/>
  <c r="J734" i="23"/>
  <c r="K734" i="23"/>
  <c r="D735" i="23"/>
  <c r="E735" i="23"/>
  <c r="F735" i="23"/>
  <c r="H735" i="23"/>
  <c r="J735" i="23"/>
  <c r="K735" i="23"/>
  <c r="D736" i="23"/>
  <c r="E736" i="23"/>
  <c r="F736" i="23"/>
  <c r="J736" i="23"/>
  <c r="K736" i="23"/>
  <c r="D737" i="23"/>
  <c r="E737" i="23"/>
  <c r="F737" i="23"/>
  <c r="J737" i="23"/>
  <c r="K737" i="23"/>
  <c r="F738" i="23"/>
  <c r="H738" i="23"/>
  <c r="J738" i="23"/>
  <c r="K738" i="23"/>
  <c r="D747" i="23"/>
  <c r="E747" i="23"/>
  <c r="F747" i="23"/>
  <c r="J747" i="23"/>
  <c r="K747" i="23"/>
  <c r="B749" i="23"/>
  <c r="D749" i="23" s="1"/>
  <c r="D750" i="23"/>
  <c r="E750" i="23"/>
  <c r="F750" i="23"/>
  <c r="J750" i="23"/>
  <c r="K750" i="23"/>
  <c r="D751" i="23"/>
  <c r="E751" i="23"/>
  <c r="F751" i="23"/>
  <c r="H751" i="23"/>
  <c r="J751" i="23"/>
  <c r="K751" i="23"/>
  <c r="D752" i="23"/>
  <c r="E752" i="23"/>
  <c r="F752" i="23"/>
  <c r="H752" i="23"/>
  <c r="J752" i="23"/>
  <c r="K752" i="23"/>
  <c r="D757" i="23"/>
  <c r="E757" i="23"/>
  <c r="F757" i="23"/>
  <c r="H757" i="23"/>
  <c r="J757" i="23"/>
  <c r="K757" i="23"/>
  <c r="E758" i="23"/>
  <c r="F758" i="23"/>
  <c r="H758" i="23"/>
  <c r="J758" i="23"/>
  <c r="K758" i="23"/>
  <c r="E759" i="23"/>
  <c r="F759" i="23"/>
  <c r="H759" i="23"/>
  <c r="J759" i="23"/>
  <c r="K759" i="23"/>
  <c r="E760" i="23"/>
  <c r="F760" i="23"/>
  <c r="H760" i="23"/>
  <c r="J760" i="23"/>
  <c r="K760" i="23"/>
  <c r="D769" i="23"/>
  <c r="E769" i="23"/>
  <c r="F769" i="23"/>
  <c r="H769" i="23"/>
  <c r="J769" i="23"/>
  <c r="K769" i="23"/>
  <c r="E770" i="23"/>
  <c r="L798" i="23"/>
  <c r="M798" i="23"/>
  <c r="N798" i="23"/>
  <c r="O798" i="23"/>
  <c r="D799" i="23"/>
  <c r="E799" i="23"/>
  <c r="F799" i="23"/>
  <c r="H799" i="23"/>
  <c r="J799" i="23"/>
  <c r="K799" i="23"/>
  <c r="D800" i="23"/>
  <c r="E800" i="23"/>
  <c r="F800" i="23"/>
  <c r="H800" i="23"/>
  <c r="J800" i="23"/>
  <c r="K800" i="23"/>
  <c r="D801" i="23"/>
  <c r="E801" i="23"/>
  <c r="F801" i="23"/>
  <c r="H801" i="23"/>
  <c r="J801" i="23"/>
  <c r="K801" i="23"/>
  <c r="D802" i="23"/>
  <c r="E802" i="23"/>
  <c r="F802" i="23"/>
  <c r="H802" i="23"/>
  <c r="J802" i="23"/>
  <c r="K802" i="23"/>
  <c r="D803" i="23"/>
  <c r="E803" i="23"/>
  <c r="F803" i="23"/>
  <c r="H803" i="23"/>
  <c r="J803" i="23"/>
  <c r="K803" i="23"/>
  <c r="L805" i="23"/>
  <c r="M805" i="23"/>
  <c r="N805" i="23"/>
  <c r="O805" i="23"/>
  <c r="B806" i="23"/>
  <c r="E806" i="23" s="1"/>
  <c r="D807" i="23"/>
  <c r="E807" i="23"/>
  <c r="F807" i="23"/>
  <c r="H807" i="23"/>
  <c r="J807" i="23"/>
  <c r="K807" i="23"/>
  <c r="D808" i="23"/>
  <c r="E808" i="23"/>
  <c r="F808" i="23"/>
  <c r="H808" i="23"/>
  <c r="J808" i="23"/>
  <c r="K808" i="23"/>
  <c r="D809" i="23"/>
  <c r="E809" i="23"/>
  <c r="F809" i="23"/>
  <c r="H809" i="23"/>
  <c r="K809" i="23"/>
  <c r="D810" i="23"/>
  <c r="E810" i="23"/>
  <c r="F810" i="23"/>
  <c r="H810" i="23"/>
  <c r="J810" i="23"/>
  <c r="K810" i="23"/>
  <c r="D811" i="23"/>
  <c r="E811" i="23"/>
  <c r="F811" i="23"/>
  <c r="H811" i="23"/>
  <c r="J811" i="23"/>
  <c r="K811" i="23"/>
  <c r="D815" i="23"/>
  <c r="E815" i="23"/>
  <c r="F815" i="23"/>
  <c r="H815" i="23"/>
  <c r="J815" i="23"/>
  <c r="K815" i="23"/>
  <c r="D816" i="23"/>
  <c r="E816" i="23"/>
  <c r="F816" i="23"/>
  <c r="H816" i="23"/>
  <c r="J816" i="23"/>
  <c r="K816" i="23"/>
  <c r="D817" i="23"/>
  <c r="E817" i="23"/>
  <c r="F817" i="23"/>
  <c r="H817" i="23"/>
  <c r="K817" i="23"/>
  <c r="D818" i="23"/>
  <c r="E818" i="23"/>
  <c r="F818" i="23"/>
  <c r="H818" i="23"/>
  <c r="J818" i="23"/>
  <c r="K818" i="23"/>
  <c r="A820" i="23"/>
  <c r="L820" i="23"/>
  <c r="M820" i="23"/>
  <c r="N820" i="23"/>
  <c r="O820" i="23"/>
  <c r="D821" i="23"/>
  <c r="E821" i="23"/>
  <c r="F821" i="23"/>
  <c r="H821" i="23"/>
  <c r="J821" i="23"/>
  <c r="K821" i="23"/>
  <c r="E822" i="23"/>
  <c r="F822" i="23"/>
  <c r="H822" i="23"/>
  <c r="J822" i="23"/>
  <c r="K822" i="23"/>
  <c r="E823" i="23"/>
  <c r="F823" i="23"/>
  <c r="H823" i="23"/>
  <c r="J823" i="23"/>
  <c r="K823" i="23"/>
  <c r="L825" i="23"/>
  <c r="M825" i="23"/>
  <c r="N825" i="23"/>
  <c r="O825" i="23"/>
  <c r="D826" i="23"/>
  <c r="E826" i="23"/>
  <c r="F826" i="23"/>
  <c r="H826" i="23"/>
  <c r="J826" i="23"/>
  <c r="K826" i="23"/>
  <c r="D827" i="23"/>
  <c r="E827" i="23"/>
  <c r="F827" i="23"/>
  <c r="H827" i="23"/>
  <c r="J827" i="23"/>
  <c r="K827" i="23"/>
  <c r="D828" i="23"/>
  <c r="E828" i="23"/>
  <c r="F828" i="23"/>
  <c r="H828" i="23"/>
  <c r="J828" i="23"/>
  <c r="K828" i="23"/>
  <c r="D829" i="23"/>
  <c r="E829" i="23"/>
  <c r="F829" i="23"/>
  <c r="J829" i="23"/>
  <c r="K829" i="23"/>
  <c r="Q829" i="23"/>
  <c r="R829" i="23"/>
  <c r="S829" i="23"/>
  <c r="D832" i="23"/>
  <c r="E832" i="23"/>
  <c r="F832" i="23"/>
  <c r="H832" i="23"/>
  <c r="J832" i="23"/>
  <c r="K832" i="23"/>
  <c r="D833" i="23"/>
  <c r="E833" i="23"/>
  <c r="F833" i="23"/>
  <c r="H833" i="23"/>
  <c r="J833" i="23"/>
  <c r="K833" i="23"/>
  <c r="L835" i="23"/>
  <c r="M835" i="23"/>
  <c r="N835" i="23"/>
  <c r="O835" i="23"/>
  <c r="B836" i="23"/>
  <c r="D837" i="23"/>
  <c r="E837" i="23"/>
  <c r="F837" i="23"/>
  <c r="H837" i="23"/>
  <c r="J837" i="23"/>
  <c r="K837" i="23"/>
  <c r="E838" i="23"/>
  <c r="F838" i="23"/>
  <c r="H838" i="23"/>
  <c r="K838" i="23"/>
  <c r="D847" i="23"/>
  <c r="E847" i="23"/>
  <c r="F847" i="23"/>
  <c r="H847" i="23"/>
  <c r="J847" i="23"/>
  <c r="K847" i="23"/>
  <c r="L849" i="23"/>
  <c r="M849" i="23"/>
  <c r="N849" i="23"/>
  <c r="O849" i="23"/>
  <c r="D851" i="23"/>
  <c r="F851" i="23"/>
  <c r="H851" i="23"/>
  <c r="J851" i="23"/>
  <c r="K851" i="23"/>
  <c r="E853" i="23"/>
  <c r="F853" i="23"/>
  <c r="H853" i="23"/>
  <c r="J853" i="23"/>
  <c r="K853" i="23"/>
  <c r="D859" i="23"/>
  <c r="E859" i="23"/>
  <c r="F859" i="23"/>
  <c r="H859" i="23"/>
  <c r="J859" i="23"/>
  <c r="K859" i="23"/>
  <c r="D852" i="23"/>
  <c r="F852" i="23"/>
  <c r="H852" i="23"/>
  <c r="J852" i="23"/>
  <c r="K852" i="23"/>
  <c r="D863" i="23"/>
  <c r="E863" i="23"/>
  <c r="F863" i="23"/>
  <c r="H863" i="23"/>
  <c r="J863" i="23"/>
  <c r="K863" i="23"/>
  <c r="D865" i="23"/>
  <c r="E865" i="23"/>
  <c r="F865" i="23"/>
  <c r="H865" i="23"/>
  <c r="J865" i="23"/>
  <c r="K865" i="23"/>
  <c r="D867" i="23"/>
  <c r="F867" i="23"/>
  <c r="H867" i="23"/>
  <c r="J867" i="23"/>
  <c r="K867" i="23"/>
  <c r="D871" i="23"/>
  <c r="E871" i="23"/>
  <c r="F871" i="23"/>
  <c r="H871" i="23"/>
  <c r="J871" i="23"/>
  <c r="K871" i="23"/>
  <c r="D872" i="23"/>
  <c r="E872" i="23"/>
  <c r="F872" i="23"/>
  <c r="H872" i="23"/>
  <c r="J872" i="23"/>
  <c r="D873" i="23"/>
  <c r="E873" i="23"/>
  <c r="F873" i="23"/>
  <c r="H873" i="23"/>
  <c r="J873" i="23"/>
  <c r="K873" i="23"/>
  <c r="D874" i="23"/>
  <c r="E874" i="23"/>
  <c r="F874" i="23"/>
  <c r="H874" i="23"/>
  <c r="J874" i="23"/>
  <c r="K874" i="23"/>
  <c r="D875" i="23"/>
  <c r="E875" i="23"/>
  <c r="F875" i="23"/>
  <c r="H875" i="23"/>
  <c r="J875" i="23"/>
  <c r="K875" i="23"/>
  <c r="D862" i="23"/>
  <c r="E862" i="23"/>
  <c r="F862" i="23"/>
  <c r="H862" i="23"/>
  <c r="J862" i="23"/>
  <c r="K862" i="23"/>
  <c r="D876" i="23"/>
  <c r="E876" i="23"/>
  <c r="F876" i="23"/>
  <c r="J876" i="23"/>
  <c r="K876" i="23"/>
  <c r="D877" i="23"/>
  <c r="E877" i="23"/>
  <c r="F877" i="23"/>
  <c r="J877" i="23"/>
  <c r="K877" i="23"/>
  <c r="D911" i="23"/>
  <c r="E911" i="23"/>
  <c r="F911" i="23"/>
  <c r="K911" i="23"/>
  <c r="D912" i="23"/>
  <c r="E912" i="23"/>
  <c r="F912" i="23"/>
  <c r="H912" i="23"/>
  <c r="J912" i="23"/>
  <c r="K912" i="23"/>
  <c r="D914" i="23"/>
  <c r="E914" i="23"/>
  <c r="F914" i="23"/>
  <c r="H914" i="23"/>
  <c r="J914" i="23"/>
  <c r="K914" i="23"/>
  <c r="D919" i="23"/>
  <c r="E919" i="23"/>
  <c r="F919" i="23"/>
  <c r="H919" i="23"/>
  <c r="K919" i="23"/>
  <c r="D920" i="23"/>
  <c r="E920" i="23"/>
  <c r="F920" i="23"/>
  <c r="H920" i="23"/>
  <c r="J920" i="23"/>
  <c r="K920" i="23"/>
  <c r="D922" i="23"/>
  <c r="E922" i="23"/>
  <c r="F922" i="23"/>
  <c r="H922" i="23"/>
  <c r="J922" i="23"/>
  <c r="K922" i="23"/>
  <c r="A923" i="23"/>
  <c r="A924" i="23" s="1"/>
  <c r="L923" i="23"/>
  <c r="M923" i="23"/>
  <c r="N923" i="23"/>
  <c r="O923" i="23"/>
  <c r="L924" i="23"/>
  <c r="M924" i="23"/>
  <c r="N924" i="23"/>
  <c r="O924" i="23"/>
  <c r="D925" i="23"/>
  <c r="E925" i="23"/>
  <c r="F925" i="23"/>
  <c r="G925" i="23"/>
  <c r="G927" i="23" s="1"/>
  <c r="H925" i="23"/>
  <c r="J925" i="23"/>
  <c r="K925" i="23"/>
  <c r="E926" i="23"/>
  <c r="F926" i="23"/>
  <c r="H926" i="23"/>
  <c r="J926" i="23"/>
  <c r="K926" i="23"/>
  <c r="E927" i="23"/>
  <c r="F927" i="23"/>
  <c r="H927" i="23"/>
  <c r="J927" i="23"/>
  <c r="K927" i="23"/>
  <c r="G928" i="23"/>
  <c r="N928" i="23" s="1"/>
  <c r="L929" i="23"/>
  <c r="M929" i="23"/>
  <c r="N929" i="23"/>
  <c r="O929" i="23"/>
  <c r="D930" i="23"/>
  <c r="E930" i="23"/>
  <c r="F930" i="23"/>
  <c r="H930" i="23"/>
  <c r="J930" i="23"/>
  <c r="K930" i="23"/>
  <c r="D931" i="23"/>
  <c r="E931" i="23"/>
  <c r="F931" i="23"/>
  <c r="H931" i="23"/>
  <c r="J931" i="23"/>
  <c r="K931" i="23"/>
  <c r="B932" i="23"/>
  <c r="E932" i="23" s="1"/>
  <c r="B933" i="23"/>
  <c r="H933" i="23" s="1"/>
  <c r="L944" i="23"/>
  <c r="M944" i="23"/>
  <c r="N944" i="23"/>
  <c r="O944" i="23"/>
  <c r="D945" i="23"/>
  <c r="E945" i="23"/>
  <c r="F945" i="23"/>
  <c r="H945" i="23"/>
  <c r="J945" i="23"/>
  <c r="K945" i="23"/>
  <c r="D946" i="23"/>
  <c r="E946" i="23"/>
  <c r="F946" i="23"/>
  <c r="H946" i="23"/>
  <c r="J946" i="23"/>
  <c r="K946" i="23"/>
  <c r="D947" i="23"/>
  <c r="F947" i="23"/>
  <c r="H947" i="23"/>
  <c r="J947" i="23"/>
  <c r="K947" i="23"/>
  <c r="D949" i="23"/>
  <c r="E949" i="23"/>
  <c r="F949" i="23"/>
  <c r="H949" i="23"/>
  <c r="J949" i="23"/>
  <c r="K949" i="23"/>
  <c r="D950" i="23"/>
  <c r="E950" i="23"/>
  <c r="F950" i="23"/>
  <c r="H950" i="23"/>
  <c r="J950" i="23"/>
  <c r="K950" i="23"/>
  <c r="D956" i="23"/>
  <c r="E956" i="23"/>
  <c r="F956" i="23"/>
  <c r="H956" i="23"/>
  <c r="J956" i="23"/>
  <c r="K956" i="23"/>
  <c r="J958" i="23"/>
  <c r="D959" i="23"/>
  <c r="E959" i="23"/>
  <c r="F959" i="23"/>
  <c r="H959" i="23"/>
  <c r="J959" i="23"/>
  <c r="D962" i="23"/>
  <c r="E962" i="23"/>
  <c r="F962" i="23"/>
  <c r="H962" i="23"/>
  <c r="J962" i="23"/>
  <c r="K962" i="23"/>
  <c r="D963" i="23"/>
  <c r="E963" i="23"/>
  <c r="F963" i="23"/>
  <c r="H963" i="23"/>
  <c r="J963" i="23"/>
  <c r="K963" i="23"/>
  <c r="E964" i="23"/>
  <c r="F964" i="23"/>
  <c r="H964" i="23"/>
  <c r="J964" i="23"/>
  <c r="K964" i="23"/>
  <c r="L966" i="23"/>
  <c r="M966" i="23"/>
  <c r="N966" i="23"/>
  <c r="O966" i="23"/>
  <c r="D967" i="23"/>
  <c r="E967" i="23"/>
  <c r="F967" i="23"/>
  <c r="H967" i="23"/>
  <c r="J967" i="23"/>
  <c r="K967" i="23"/>
  <c r="D968" i="23"/>
  <c r="E968" i="23"/>
  <c r="F968" i="23"/>
  <c r="H968" i="23"/>
  <c r="J968" i="23"/>
  <c r="K968" i="23"/>
  <c r="D969" i="23"/>
  <c r="E969" i="23"/>
  <c r="F969" i="23"/>
  <c r="H969" i="23"/>
  <c r="J969" i="23"/>
  <c r="K969" i="23"/>
  <c r="E970" i="23"/>
  <c r="F970" i="23"/>
  <c r="H970" i="23"/>
  <c r="K970" i="23"/>
  <c r="D975" i="23"/>
  <c r="E975" i="23"/>
  <c r="F975" i="23"/>
  <c r="H975" i="23"/>
  <c r="J975" i="23"/>
  <c r="K975" i="23"/>
  <c r="L977" i="23"/>
  <c r="M977" i="23"/>
  <c r="N977" i="23"/>
  <c r="O977" i="23"/>
  <c r="D978" i="23"/>
  <c r="E978" i="23"/>
  <c r="F978" i="23"/>
  <c r="H978" i="23"/>
  <c r="J978" i="23"/>
  <c r="K978" i="23"/>
  <c r="D979" i="23"/>
  <c r="E979" i="23"/>
  <c r="F979" i="23"/>
  <c r="H979" i="23"/>
  <c r="J979" i="23"/>
  <c r="K979" i="23"/>
  <c r="E980" i="23"/>
  <c r="F980" i="23"/>
  <c r="H980" i="23"/>
  <c r="J980" i="23"/>
  <c r="K980" i="23"/>
  <c r="D981" i="23"/>
  <c r="E981" i="23"/>
  <c r="F981" i="23"/>
  <c r="H981" i="23"/>
  <c r="J981" i="23"/>
  <c r="D982" i="23"/>
  <c r="E982" i="23"/>
  <c r="F982" i="23"/>
  <c r="H982" i="23"/>
  <c r="J982" i="23"/>
  <c r="D983" i="23"/>
  <c r="E983" i="23"/>
  <c r="F983" i="23"/>
  <c r="H983" i="23"/>
  <c r="J983" i="23"/>
  <c r="K983" i="23"/>
  <c r="D984" i="23"/>
  <c r="E984" i="23"/>
  <c r="F984" i="23"/>
  <c r="H984" i="23"/>
  <c r="J984" i="23"/>
  <c r="K984" i="23"/>
  <c r="D985" i="23"/>
  <c r="E985" i="23"/>
  <c r="F985" i="23"/>
  <c r="H985" i="23"/>
  <c r="J985" i="23"/>
  <c r="K985" i="23"/>
  <c r="D986" i="23"/>
  <c r="E986" i="23"/>
  <c r="F986" i="23"/>
  <c r="H986" i="23"/>
  <c r="J986" i="23"/>
  <c r="K986" i="23"/>
  <c r="D987" i="23"/>
  <c r="E987" i="23"/>
  <c r="F987" i="23"/>
  <c r="H987" i="23"/>
  <c r="J987" i="23"/>
  <c r="K987" i="23"/>
  <c r="D988" i="23"/>
  <c r="E988" i="23"/>
  <c r="F988" i="23"/>
  <c r="H988" i="23"/>
  <c r="J988" i="23"/>
  <c r="K988" i="23"/>
  <c r="D989" i="23"/>
  <c r="E989" i="23"/>
  <c r="F989" i="23"/>
  <c r="H989" i="23"/>
  <c r="J989" i="23"/>
  <c r="K989" i="23"/>
  <c r="D990" i="23"/>
  <c r="E990" i="23"/>
  <c r="F990" i="23"/>
  <c r="H990" i="23"/>
  <c r="J990" i="23"/>
  <c r="K990" i="23"/>
  <c r="D991" i="23"/>
  <c r="E991" i="23"/>
  <c r="F991" i="23"/>
  <c r="H991" i="23"/>
  <c r="J991" i="23"/>
  <c r="K991" i="23"/>
  <c r="D992" i="23"/>
  <c r="E992" i="23"/>
  <c r="F992" i="23"/>
  <c r="H992" i="23"/>
  <c r="J992" i="23"/>
  <c r="K992" i="23"/>
  <c r="D993" i="23"/>
  <c r="E993" i="23"/>
  <c r="F993" i="23"/>
  <c r="J993" i="23"/>
  <c r="K993" i="23"/>
  <c r="D994" i="23"/>
  <c r="E994" i="23"/>
  <c r="F994" i="23"/>
  <c r="J994" i="23"/>
  <c r="K994" i="23"/>
  <c r="E995" i="23"/>
  <c r="F995" i="23"/>
  <c r="H995" i="23"/>
  <c r="K995" i="23"/>
  <c r="I1229" i="23"/>
  <c r="D1232" i="23"/>
  <c r="E1232" i="23"/>
  <c r="F1232" i="23"/>
  <c r="H1232" i="23"/>
  <c r="I1232" i="23"/>
  <c r="K1232" i="23"/>
  <c r="D1233" i="23"/>
  <c r="E1233" i="23"/>
  <c r="F1233" i="23"/>
  <c r="H1233" i="23"/>
  <c r="I1233" i="23"/>
  <c r="J1233" i="23"/>
  <c r="K1233" i="23"/>
  <c r="D1234" i="23"/>
  <c r="E1234" i="23"/>
  <c r="F1234" i="23"/>
  <c r="H1234" i="23"/>
  <c r="I1234" i="23"/>
  <c r="J1234" i="23"/>
  <c r="K1234" i="23"/>
  <c r="D1235" i="23"/>
  <c r="F1235" i="23"/>
  <c r="H1235" i="23"/>
  <c r="I1235" i="23"/>
  <c r="J1235" i="23"/>
  <c r="K1235" i="23"/>
  <c r="E1239" i="23"/>
  <c r="F1239" i="23"/>
  <c r="H1239" i="23"/>
  <c r="E1240" i="23"/>
  <c r="F1240" i="23"/>
  <c r="H1240" i="23"/>
  <c r="D1241" i="23"/>
  <c r="E1241" i="23"/>
  <c r="F1241" i="23"/>
  <c r="J1241" i="23"/>
  <c r="K1241" i="23"/>
  <c r="E1243" i="23"/>
  <c r="F1243" i="23"/>
  <c r="H1243" i="23"/>
  <c r="E1244" i="23"/>
  <c r="F1244" i="23"/>
  <c r="H1244" i="23"/>
  <c r="D1245" i="23"/>
  <c r="E1245" i="23"/>
  <c r="F1245" i="23"/>
  <c r="J1245" i="23"/>
  <c r="K1245" i="23"/>
  <c r="D1247" i="23"/>
  <c r="E1247" i="23"/>
  <c r="F1247" i="23"/>
  <c r="H1247" i="23"/>
  <c r="J1247" i="23"/>
  <c r="E1248" i="23"/>
  <c r="F1248" i="23"/>
  <c r="H1248" i="23"/>
  <c r="B1249" i="23"/>
  <c r="E1249" i="23" s="1"/>
  <c r="B1250" i="23"/>
  <c r="D1250" i="23" s="1"/>
  <c r="D1252" i="23"/>
  <c r="E1252" i="23"/>
  <c r="F1252" i="23"/>
  <c r="H1252" i="23"/>
  <c r="J1252" i="23"/>
  <c r="E1253" i="23"/>
  <c r="F1253" i="23"/>
  <c r="H1253" i="23"/>
  <c r="B1254" i="23"/>
  <c r="D1254" i="23" s="1"/>
  <c r="B1255" i="23"/>
  <c r="J1255" i="23" s="1"/>
  <c r="D1258" i="23"/>
  <c r="F1258" i="23"/>
  <c r="H1258" i="23"/>
  <c r="K1258" i="23"/>
  <c r="D1259" i="23"/>
  <c r="F1259" i="23"/>
  <c r="K1259" i="23"/>
  <c r="D1260" i="23"/>
  <c r="F1260" i="23"/>
  <c r="K1260" i="23"/>
  <c r="D1261" i="23"/>
  <c r="E1261" i="23"/>
  <c r="F1261" i="23"/>
  <c r="H1261" i="23"/>
  <c r="J1261" i="23"/>
  <c r="K1261" i="23"/>
  <c r="D1262" i="23"/>
  <c r="E1262" i="23"/>
  <c r="F1262" i="23"/>
  <c r="H1262" i="23"/>
  <c r="J1262" i="23"/>
  <c r="K1262" i="23"/>
  <c r="D1263" i="23"/>
  <c r="E1263" i="23"/>
  <c r="F1263" i="23"/>
  <c r="H1263" i="23"/>
  <c r="J1263" i="23"/>
  <c r="K1263" i="23"/>
  <c r="L1266" i="23"/>
  <c r="M1266" i="23"/>
  <c r="N1266" i="23"/>
  <c r="O1266" i="23"/>
  <c r="D1267" i="23"/>
  <c r="E1267" i="23"/>
  <c r="F1267" i="23"/>
  <c r="H1267" i="23"/>
  <c r="D1268" i="23"/>
  <c r="E1268" i="23"/>
  <c r="F1268" i="23"/>
  <c r="H1268" i="23"/>
  <c r="D1269" i="23"/>
  <c r="E1269" i="23"/>
  <c r="F1269" i="23"/>
  <c r="H1269" i="23"/>
  <c r="L1277" i="23"/>
  <c r="M1277" i="23"/>
  <c r="N1277" i="23"/>
  <c r="O1277" i="23"/>
  <c r="T1276" i="23" s="1"/>
  <c r="D1278" i="23"/>
  <c r="E1278" i="23"/>
  <c r="F1278" i="23"/>
  <c r="H1278" i="23"/>
  <c r="D1279" i="23"/>
  <c r="E1279" i="23"/>
  <c r="F1279" i="23"/>
  <c r="H1279" i="23"/>
  <c r="D1280" i="23"/>
  <c r="E1280" i="23"/>
  <c r="F1280" i="23"/>
  <c r="H1280" i="23"/>
  <c r="D1281" i="23"/>
  <c r="E1281" i="23"/>
  <c r="F1281" i="23"/>
  <c r="H1281" i="23"/>
  <c r="L1283" i="23"/>
  <c r="M1283" i="23"/>
  <c r="N1283" i="23"/>
  <c r="O1283" i="23"/>
  <c r="D1284" i="23"/>
  <c r="E1284" i="23"/>
  <c r="F1284" i="23"/>
  <c r="H1284" i="23"/>
  <c r="J1284" i="23"/>
  <c r="K1284" i="23"/>
  <c r="D1285" i="23"/>
  <c r="E1285" i="23"/>
  <c r="F1285" i="23"/>
  <c r="H1285" i="23"/>
  <c r="J1285" i="23"/>
  <c r="K1285" i="23"/>
  <c r="D1286" i="23"/>
  <c r="E1286" i="23"/>
  <c r="F1286" i="23"/>
  <c r="H1286" i="23"/>
  <c r="J1286" i="23"/>
  <c r="D1287" i="23"/>
  <c r="E1287" i="23"/>
  <c r="F1287" i="23"/>
  <c r="H1287" i="23"/>
  <c r="J1287" i="23"/>
  <c r="D1291" i="23"/>
  <c r="F1291" i="23"/>
  <c r="H1291" i="23"/>
  <c r="J1291" i="23"/>
  <c r="K1291" i="23"/>
  <c r="D1292" i="23"/>
  <c r="F1292" i="23"/>
  <c r="H1292" i="23"/>
  <c r="J1292" i="23"/>
  <c r="K1292" i="23"/>
  <c r="D1295" i="23"/>
  <c r="E1295" i="23"/>
  <c r="F1295" i="23"/>
  <c r="H1295" i="23"/>
  <c r="J1295" i="23"/>
  <c r="K1295" i="23"/>
  <c r="B1296" i="23"/>
  <c r="D1296" i="23" s="1"/>
  <c r="D1298" i="23"/>
  <c r="E1298" i="23"/>
  <c r="F1298" i="23"/>
  <c r="H1298" i="23"/>
  <c r="J1298" i="23"/>
  <c r="D1299" i="23"/>
  <c r="E1299" i="23"/>
  <c r="F1299" i="23"/>
  <c r="H1299" i="23"/>
  <c r="J1299" i="23"/>
  <c r="K1299" i="23"/>
  <c r="L1301" i="23"/>
  <c r="M1301" i="23"/>
  <c r="N1301" i="23"/>
  <c r="O1301" i="23"/>
  <c r="D1302" i="23"/>
  <c r="E1302" i="23"/>
  <c r="F1302" i="23"/>
  <c r="H1302" i="23"/>
  <c r="J1302" i="23"/>
  <c r="K1302" i="23"/>
  <c r="D1303" i="23"/>
  <c r="E1303" i="23"/>
  <c r="F1303" i="23"/>
  <c r="H1303" i="23"/>
  <c r="J1303" i="23"/>
  <c r="K1303" i="23"/>
  <c r="D1304" i="23"/>
  <c r="E1304" i="23"/>
  <c r="F1304" i="23"/>
  <c r="H1304" i="23"/>
  <c r="J1304" i="23"/>
  <c r="K1304" i="23"/>
  <c r="D1305" i="23"/>
  <c r="E1305" i="23"/>
  <c r="F1305" i="23"/>
  <c r="J1305" i="23"/>
  <c r="K1305" i="23"/>
  <c r="R1305" i="23"/>
  <c r="L1307" i="23"/>
  <c r="M1307" i="23"/>
  <c r="N1307" i="23"/>
  <c r="O1307" i="23"/>
  <c r="E1308" i="23"/>
  <c r="F1308" i="23"/>
  <c r="H1308" i="23"/>
  <c r="E1309" i="23"/>
  <c r="F1309" i="23"/>
  <c r="H1309" i="23"/>
  <c r="J1309" i="23"/>
  <c r="K1309" i="23"/>
  <c r="E1310" i="23"/>
  <c r="F1310" i="23"/>
  <c r="H1310" i="23"/>
  <c r="K1310" i="23"/>
  <c r="D1313" i="23"/>
  <c r="E1313" i="23"/>
  <c r="F1313" i="23"/>
  <c r="H1313" i="23"/>
  <c r="J1313" i="23"/>
  <c r="K1313" i="23"/>
  <c r="D1314" i="23"/>
  <c r="E1314" i="23"/>
  <c r="F1314" i="23"/>
  <c r="H1314" i="23"/>
  <c r="J1314" i="23"/>
  <c r="K1314" i="23"/>
  <c r="D1318" i="23"/>
  <c r="E1318" i="23"/>
  <c r="F1318" i="23"/>
  <c r="H1318" i="23"/>
  <c r="J1318" i="23"/>
  <c r="K1318" i="23"/>
  <c r="E1319" i="23"/>
  <c r="F1319" i="23"/>
  <c r="H1319" i="23"/>
  <c r="K1319" i="23"/>
  <c r="D1320" i="23"/>
  <c r="E1320" i="23"/>
  <c r="F1320" i="23"/>
  <c r="H1320" i="23"/>
  <c r="J1320" i="23"/>
  <c r="K1320" i="23"/>
  <c r="D1321" i="23"/>
  <c r="E1321" i="23"/>
  <c r="F1321" i="23"/>
  <c r="H1321" i="23"/>
  <c r="J1321" i="23"/>
  <c r="K1321" i="23"/>
  <c r="D1322" i="23"/>
  <c r="E1322" i="23"/>
  <c r="F1322" i="23"/>
  <c r="J1322" i="23"/>
  <c r="D1323" i="23"/>
  <c r="E1323" i="23"/>
  <c r="F1323" i="23"/>
  <c r="J1323" i="23"/>
  <c r="D1326" i="23"/>
  <c r="E1326" i="23"/>
  <c r="F1326" i="23"/>
  <c r="H1326" i="23"/>
  <c r="J1326" i="23"/>
  <c r="K1326" i="23"/>
  <c r="D1327" i="23"/>
  <c r="E1327" i="23"/>
  <c r="F1327" i="23"/>
  <c r="H1327" i="23"/>
  <c r="J1327" i="23"/>
  <c r="K1327" i="23"/>
  <c r="D1328" i="23"/>
  <c r="E1328" i="23"/>
  <c r="F1328" i="23"/>
  <c r="H1328" i="23"/>
  <c r="J1328" i="23"/>
  <c r="K1328" i="23"/>
  <c r="D1329" i="23"/>
  <c r="E1329" i="23"/>
  <c r="F1329" i="23"/>
  <c r="H1329" i="23"/>
  <c r="J1329" i="23"/>
  <c r="K1329" i="23"/>
  <c r="D1332" i="23"/>
  <c r="E1332" i="23"/>
  <c r="F1332" i="23"/>
  <c r="H1332" i="23"/>
  <c r="J1332" i="23"/>
  <c r="K1332" i="23"/>
  <c r="D1333" i="23"/>
  <c r="E1333" i="23"/>
  <c r="F1333" i="23"/>
  <c r="H1333" i="23"/>
  <c r="J1333" i="23"/>
  <c r="K1333" i="23"/>
  <c r="E1334" i="23"/>
  <c r="F1334" i="23"/>
  <c r="H1334" i="23"/>
  <c r="J1334" i="23"/>
  <c r="K1334" i="23"/>
  <c r="D1335" i="23"/>
  <c r="E1335" i="23"/>
  <c r="F1335" i="23"/>
  <c r="H1335" i="23"/>
  <c r="J1335" i="23"/>
  <c r="K1335" i="23"/>
  <c r="D1336" i="23"/>
  <c r="E1336" i="23"/>
  <c r="F1336" i="23"/>
  <c r="H1336" i="23"/>
  <c r="J1336" i="23"/>
  <c r="K1336" i="23"/>
  <c r="D1337" i="23"/>
  <c r="E1337" i="23"/>
  <c r="F1337" i="23"/>
  <c r="H1337" i="23"/>
  <c r="J1337" i="23"/>
  <c r="K1337" i="23"/>
  <c r="D1338" i="23"/>
  <c r="E1338" i="23"/>
  <c r="F1338" i="23"/>
  <c r="H1338" i="23"/>
  <c r="J1338" i="23"/>
  <c r="K1338" i="23"/>
  <c r="D1339" i="23"/>
  <c r="E1339" i="23"/>
  <c r="F1339" i="23"/>
  <c r="H1339" i="23"/>
  <c r="J1339" i="23"/>
  <c r="K1339" i="23"/>
  <c r="D1340" i="23"/>
  <c r="E1340" i="23"/>
  <c r="F1340" i="23"/>
  <c r="H1340" i="23"/>
  <c r="J1340" i="23"/>
  <c r="K1340" i="23"/>
  <c r="D1341" i="23"/>
  <c r="E1341" i="23"/>
  <c r="F1341" i="23"/>
  <c r="H1341" i="23"/>
  <c r="J1341" i="23"/>
  <c r="K1341" i="23"/>
  <c r="D1342" i="23"/>
  <c r="E1342" i="23"/>
  <c r="F1342" i="23"/>
  <c r="H1342" i="23"/>
  <c r="J1342" i="23"/>
  <c r="K1342" i="23"/>
  <c r="D1347" i="23"/>
  <c r="E1347" i="23"/>
  <c r="F1347" i="23"/>
  <c r="H1347" i="23"/>
  <c r="J1347" i="23"/>
  <c r="K1347" i="23"/>
  <c r="E1348" i="23"/>
  <c r="F1348" i="23"/>
  <c r="H1348" i="23"/>
  <c r="D1349" i="23"/>
  <c r="E1349" i="23"/>
  <c r="F1349" i="23"/>
  <c r="H1349" i="23"/>
  <c r="J1349" i="23"/>
  <c r="K1349" i="23"/>
  <c r="D1350" i="23"/>
  <c r="E1350" i="23"/>
  <c r="F1350" i="23"/>
  <c r="H1350" i="23"/>
  <c r="J1350" i="23"/>
  <c r="K1350" i="23"/>
  <c r="D1352" i="23"/>
  <c r="E1352" i="23"/>
  <c r="F1352" i="23"/>
  <c r="H1352" i="23"/>
  <c r="J1352" i="23"/>
  <c r="K1352" i="23"/>
  <c r="D1361" i="23"/>
  <c r="D1363" i="23"/>
  <c r="E1363" i="23"/>
  <c r="F1363" i="23"/>
  <c r="H1363" i="23"/>
  <c r="I1363" i="23"/>
  <c r="J1363" i="23"/>
  <c r="K1363" i="23"/>
  <c r="D1365" i="23"/>
  <c r="E1365" i="23"/>
  <c r="F1365" i="23"/>
  <c r="H1365" i="23"/>
  <c r="I1365" i="23"/>
  <c r="J1365" i="23"/>
  <c r="K1365" i="23"/>
  <c r="D1366" i="23"/>
  <c r="E1366" i="23"/>
  <c r="F1366" i="23"/>
  <c r="H1366" i="23"/>
  <c r="I1366" i="23"/>
  <c r="J1366" i="23"/>
  <c r="K1366" i="23"/>
  <c r="D1368" i="23"/>
  <c r="E1368" i="23"/>
  <c r="F1368" i="23"/>
  <c r="H1368" i="23"/>
  <c r="I1368" i="23"/>
  <c r="J1368" i="23"/>
  <c r="K1368" i="23"/>
  <c r="E1372" i="23"/>
  <c r="F1372" i="23"/>
  <c r="H1372" i="23"/>
  <c r="E1373" i="23"/>
  <c r="F1373" i="23"/>
  <c r="H1373" i="23"/>
  <c r="D1374" i="23"/>
  <c r="E1374" i="23"/>
  <c r="F1374" i="23"/>
  <c r="J1374" i="23"/>
  <c r="K1374" i="23"/>
  <c r="E1376" i="23"/>
  <c r="F1376" i="23"/>
  <c r="H1376" i="23"/>
  <c r="E1377" i="23"/>
  <c r="F1377" i="23"/>
  <c r="H1377" i="23"/>
  <c r="D1378" i="23"/>
  <c r="E1378" i="23"/>
  <c r="F1378" i="23"/>
  <c r="J1378" i="23"/>
  <c r="K1378" i="23"/>
  <c r="D1380" i="23"/>
  <c r="E1380" i="23"/>
  <c r="F1380" i="23"/>
  <c r="H1380" i="23"/>
  <c r="J1380" i="23"/>
  <c r="E1381" i="23"/>
  <c r="F1381" i="23"/>
  <c r="H1381" i="23"/>
  <c r="B1382" i="23"/>
  <c r="B1383" i="23"/>
  <c r="H1383" i="23" s="1"/>
  <c r="D1385" i="23"/>
  <c r="E1385" i="23"/>
  <c r="F1385" i="23"/>
  <c r="H1385" i="23"/>
  <c r="J1385" i="23"/>
  <c r="E1386" i="23"/>
  <c r="F1386" i="23"/>
  <c r="H1386" i="23"/>
  <c r="B1387" i="23"/>
  <c r="J1387" i="23" s="1"/>
  <c r="B1388" i="23"/>
  <c r="D1388" i="23" s="1"/>
  <c r="D1391" i="23"/>
  <c r="F1391" i="23"/>
  <c r="K1391" i="23"/>
  <c r="Q1391" i="23"/>
  <c r="D1392" i="23"/>
  <c r="F1392" i="23"/>
  <c r="K1392" i="23"/>
  <c r="Q1392" i="23"/>
  <c r="D1393" i="23"/>
  <c r="F1393" i="23"/>
  <c r="K1393" i="23"/>
  <c r="Q1393" i="23"/>
  <c r="D1394" i="23"/>
  <c r="E1394" i="23"/>
  <c r="F1394" i="23"/>
  <c r="H1394" i="23"/>
  <c r="J1394" i="23"/>
  <c r="K1394" i="23"/>
  <c r="D1395" i="23"/>
  <c r="E1395" i="23"/>
  <c r="F1395" i="23"/>
  <c r="H1395" i="23"/>
  <c r="J1395" i="23"/>
  <c r="K1395" i="23"/>
  <c r="D1396" i="23"/>
  <c r="E1396" i="23"/>
  <c r="F1396" i="23"/>
  <c r="H1396" i="23"/>
  <c r="J1396" i="23"/>
  <c r="K1396" i="23"/>
  <c r="L1406" i="23"/>
  <c r="M1406" i="23"/>
  <c r="N1406" i="23"/>
  <c r="O1406" i="23"/>
  <c r="D1407" i="23"/>
  <c r="E1407" i="23"/>
  <c r="F1407" i="23"/>
  <c r="D1408" i="23"/>
  <c r="E1408" i="23"/>
  <c r="F1408" i="23"/>
  <c r="H1408" i="23"/>
  <c r="D1409" i="23"/>
  <c r="E1409" i="23"/>
  <c r="F1409" i="23"/>
  <c r="H1409" i="23"/>
  <c r="L1411" i="23"/>
  <c r="M1411" i="23"/>
  <c r="N1411" i="23"/>
  <c r="O1411" i="23"/>
  <c r="D1412" i="23"/>
  <c r="E1412" i="23"/>
  <c r="F1412" i="23"/>
  <c r="H1412" i="23"/>
  <c r="D1413" i="23"/>
  <c r="E1413" i="23"/>
  <c r="F1413" i="23"/>
  <c r="H1413" i="23"/>
  <c r="D1414" i="23"/>
  <c r="E1414" i="23"/>
  <c r="F1414" i="23"/>
  <c r="H1414" i="23"/>
  <c r="D1415" i="23"/>
  <c r="E1415" i="23"/>
  <c r="F1415" i="23"/>
  <c r="H1415" i="23"/>
  <c r="L1417" i="23"/>
  <c r="M1417" i="23"/>
  <c r="N1417" i="23"/>
  <c r="O1417" i="23"/>
  <c r="D1418" i="23"/>
  <c r="E1418" i="23"/>
  <c r="F1418" i="23"/>
  <c r="H1418" i="23"/>
  <c r="J1418" i="23"/>
  <c r="K1418" i="23"/>
  <c r="D1419" i="23"/>
  <c r="E1419" i="23"/>
  <c r="F1419" i="23"/>
  <c r="H1419" i="23"/>
  <c r="J1419" i="23"/>
  <c r="K1419" i="23"/>
  <c r="D1420" i="23"/>
  <c r="E1420" i="23"/>
  <c r="F1420" i="23"/>
  <c r="H1420" i="23"/>
  <c r="J1420" i="23"/>
  <c r="K1420" i="23"/>
  <c r="D1421" i="23"/>
  <c r="E1421" i="23"/>
  <c r="F1421" i="23"/>
  <c r="H1421" i="23"/>
  <c r="J1421" i="23"/>
  <c r="D1429" i="23"/>
  <c r="E1429" i="23"/>
  <c r="F1429" i="23"/>
  <c r="H1429" i="23"/>
  <c r="J1429" i="23"/>
  <c r="D1430" i="23"/>
  <c r="E1430" i="23"/>
  <c r="F1430" i="23"/>
  <c r="H1430" i="23"/>
  <c r="J1430" i="23"/>
  <c r="K1430" i="23"/>
  <c r="D1431" i="23"/>
  <c r="E1431" i="23"/>
  <c r="F1431" i="23"/>
  <c r="H1431" i="23"/>
  <c r="B1439" i="23"/>
  <c r="F1439" i="23" s="1"/>
  <c r="B1440" i="23"/>
  <c r="E1440" i="23" s="1"/>
  <c r="D1441" i="23"/>
  <c r="E1441" i="23"/>
  <c r="F1441" i="23"/>
  <c r="H1441" i="23"/>
  <c r="J1441" i="23"/>
  <c r="D1442" i="23"/>
  <c r="E1442" i="23"/>
  <c r="F1442" i="23"/>
  <c r="H1442" i="23"/>
  <c r="J1442" i="23"/>
  <c r="K1442" i="23"/>
  <c r="L1444" i="23"/>
  <c r="M1444" i="23"/>
  <c r="N1444" i="23"/>
  <c r="O1444" i="23"/>
  <c r="D1445" i="23"/>
  <c r="E1445" i="23"/>
  <c r="F1445" i="23"/>
  <c r="H1445" i="23"/>
  <c r="J1445" i="23"/>
  <c r="K1445" i="23"/>
  <c r="D1446" i="23"/>
  <c r="E1446" i="23"/>
  <c r="F1446" i="23"/>
  <c r="H1446" i="23"/>
  <c r="J1446" i="23"/>
  <c r="K1446" i="23"/>
  <c r="D1447" i="23"/>
  <c r="E1447" i="23"/>
  <c r="F1447" i="23"/>
  <c r="H1447" i="23"/>
  <c r="J1447" i="23"/>
  <c r="K1447" i="23"/>
  <c r="D1448" i="23"/>
  <c r="E1448" i="23"/>
  <c r="F1448" i="23"/>
  <c r="J1448" i="23"/>
  <c r="K1448" i="23"/>
  <c r="Q1448" i="23"/>
  <c r="R1448" i="23"/>
  <c r="S1448" i="23"/>
  <c r="L1450" i="23"/>
  <c r="M1450" i="23"/>
  <c r="N1450" i="23"/>
  <c r="O1450" i="23"/>
  <c r="D1451" i="23"/>
  <c r="E1451" i="23"/>
  <c r="F1451" i="23"/>
  <c r="H1451" i="23"/>
  <c r="J1451" i="23"/>
  <c r="K1451" i="23"/>
  <c r="D1452" i="23"/>
  <c r="E1452" i="23"/>
  <c r="F1452" i="23"/>
  <c r="K1452" i="23"/>
  <c r="D1453" i="23"/>
  <c r="E1453" i="23"/>
  <c r="F1453" i="23"/>
  <c r="H1453" i="23"/>
  <c r="J1453" i="23"/>
  <c r="K1453" i="23"/>
  <c r="D1463" i="23"/>
  <c r="E1463" i="23"/>
  <c r="F1463" i="23"/>
  <c r="H1463" i="23"/>
  <c r="J1463" i="23"/>
  <c r="K1463" i="23"/>
  <c r="D1464" i="23"/>
  <c r="E1464" i="23"/>
  <c r="F1464" i="23"/>
  <c r="H1464" i="23"/>
  <c r="J1464" i="23"/>
  <c r="K1464" i="23"/>
  <c r="D1465" i="23"/>
  <c r="E1465" i="23"/>
  <c r="F1465" i="23"/>
  <c r="H1465" i="23"/>
  <c r="J1465" i="23"/>
  <c r="K1465" i="23"/>
  <c r="D1466" i="23"/>
  <c r="E1466" i="23"/>
  <c r="F1466" i="23"/>
  <c r="H1466" i="23"/>
  <c r="J1466" i="23"/>
  <c r="K1466" i="23"/>
  <c r="D1470" i="23"/>
  <c r="E1470" i="23"/>
  <c r="F1470" i="23"/>
  <c r="H1470" i="23"/>
  <c r="J1470" i="23"/>
  <c r="K1470" i="23"/>
  <c r="D1471" i="23"/>
  <c r="E1471" i="23"/>
  <c r="F1471" i="23"/>
  <c r="H1471" i="23"/>
  <c r="J1471" i="23"/>
  <c r="K1471" i="23"/>
  <c r="D1472" i="23"/>
  <c r="E1472" i="23"/>
  <c r="F1472" i="23"/>
  <c r="H1472" i="23"/>
  <c r="J1472" i="23"/>
  <c r="K1472" i="23"/>
  <c r="D1473" i="23"/>
  <c r="E1473" i="23"/>
  <c r="F1473" i="23"/>
  <c r="J1473" i="23"/>
  <c r="D1476" i="23"/>
  <c r="E1476" i="23"/>
  <c r="F1476" i="23"/>
  <c r="H1476" i="23"/>
  <c r="J1476" i="23"/>
  <c r="K1476" i="23"/>
  <c r="D1477" i="23"/>
  <c r="E1477" i="23"/>
  <c r="F1477" i="23"/>
  <c r="H1477" i="23"/>
  <c r="J1477" i="23"/>
  <c r="K1477" i="23"/>
  <c r="D1478" i="23"/>
  <c r="F1478" i="23"/>
  <c r="H1478" i="23"/>
  <c r="J1478" i="23"/>
  <c r="K1478" i="23"/>
  <c r="D1479" i="23"/>
  <c r="E1479" i="23"/>
  <c r="F1479" i="23"/>
  <c r="H1479" i="23"/>
  <c r="J1479" i="23"/>
  <c r="K1479" i="23"/>
  <c r="D1480" i="23"/>
  <c r="E1480" i="23"/>
  <c r="F1480" i="23"/>
  <c r="H1480" i="23"/>
  <c r="J1480" i="23"/>
  <c r="K1480" i="23"/>
  <c r="D1481" i="23"/>
  <c r="E1481" i="23"/>
  <c r="F1481" i="23"/>
  <c r="H1481" i="23"/>
  <c r="J1481" i="23"/>
  <c r="K1481" i="23"/>
  <c r="D1482" i="23"/>
  <c r="E1482" i="23"/>
  <c r="F1482" i="23"/>
  <c r="H1482" i="23"/>
  <c r="J1482" i="23"/>
  <c r="K1482" i="23"/>
  <c r="D1483" i="23"/>
  <c r="E1483" i="23"/>
  <c r="F1483" i="23"/>
  <c r="H1483" i="23"/>
  <c r="J1483" i="23"/>
  <c r="K1483" i="23"/>
  <c r="D1486" i="23"/>
  <c r="E1486" i="23"/>
  <c r="F1486" i="23"/>
  <c r="H1486" i="23"/>
  <c r="J1486" i="23"/>
  <c r="K1486" i="23"/>
  <c r="D1487" i="23"/>
  <c r="E1487" i="23"/>
  <c r="F1487" i="23"/>
  <c r="H1487" i="23"/>
  <c r="J1487" i="23"/>
  <c r="K1487" i="23"/>
  <c r="D1488" i="23"/>
  <c r="E1488" i="23"/>
  <c r="F1488" i="23"/>
  <c r="H1488" i="23"/>
  <c r="J1488" i="23"/>
  <c r="K1488" i="23"/>
  <c r="D1489" i="23"/>
  <c r="E1489" i="23"/>
  <c r="F1489" i="23"/>
  <c r="H1489" i="23"/>
  <c r="J1489" i="23"/>
  <c r="K1489" i="23"/>
  <c r="D1490" i="23"/>
  <c r="E1490" i="23"/>
  <c r="F1490" i="23"/>
  <c r="H1490" i="23"/>
  <c r="J1490" i="23"/>
  <c r="K1490" i="23"/>
  <c r="D1491" i="23"/>
  <c r="E1491" i="23"/>
  <c r="F1491" i="23"/>
  <c r="H1491" i="23"/>
  <c r="J1491" i="23"/>
  <c r="K1491" i="23"/>
  <c r="D1492" i="23"/>
  <c r="E1492" i="23"/>
  <c r="F1492" i="23"/>
  <c r="H1492" i="23"/>
  <c r="J1492" i="23"/>
  <c r="K1492" i="23"/>
  <c r="D1493" i="23"/>
  <c r="E1493" i="23"/>
  <c r="F1493" i="23"/>
  <c r="H1493" i="23"/>
  <c r="J1493" i="23"/>
  <c r="K1493" i="23"/>
  <c r="D1495" i="23"/>
  <c r="E1495" i="23"/>
  <c r="F1495" i="23"/>
  <c r="H1495" i="23"/>
  <c r="J1495" i="23"/>
  <c r="K1495" i="23"/>
  <c r="D1496" i="23"/>
  <c r="E1496" i="23"/>
  <c r="F1496" i="23"/>
  <c r="J1496" i="23"/>
  <c r="K1496" i="23"/>
  <c r="Q1496" i="23"/>
  <c r="D1497" i="23"/>
  <c r="E1497" i="23"/>
  <c r="F1497" i="23"/>
  <c r="H1497" i="23"/>
  <c r="J1497" i="23"/>
  <c r="K1497" i="23"/>
  <c r="D1498" i="23"/>
  <c r="E1498" i="23"/>
  <c r="F1498" i="23"/>
  <c r="H1498" i="23"/>
  <c r="J1498" i="23"/>
  <c r="K1498" i="23"/>
  <c r="D1500" i="23"/>
  <c r="E1500" i="23"/>
  <c r="F1500" i="23"/>
  <c r="H1500" i="23"/>
  <c r="J1500" i="23"/>
  <c r="K1500" i="23"/>
  <c r="E1501" i="23"/>
  <c r="F1501" i="23"/>
  <c r="H1501" i="23"/>
  <c r="D1502" i="23"/>
  <c r="E1502" i="23"/>
  <c r="F1502" i="23"/>
  <c r="H1502" i="23"/>
  <c r="J1502" i="23"/>
  <c r="K1502" i="23"/>
  <c r="D1503" i="23"/>
  <c r="E1503" i="23"/>
  <c r="F1503" i="23"/>
  <c r="H1503" i="23"/>
  <c r="J1503" i="23"/>
  <c r="K1503" i="23"/>
  <c r="D1504" i="23"/>
  <c r="E1504" i="23"/>
  <c r="F1504" i="23"/>
  <c r="H1504" i="23"/>
  <c r="J1504" i="23"/>
  <c r="K1504" i="23"/>
  <c r="D1515" i="23"/>
  <c r="E1515" i="23"/>
  <c r="F1515" i="23"/>
  <c r="H1515" i="23"/>
  <c r="I1515" i="23"/>
  <c r="J1515" i="23"/>
  <c r="K1515" i="23"/>
  <c r="D1516" i="23"/>
  <c r="E1516" i="23"/>
  <c r="F1516" i="23"/>
  <c r="H1516" i="23"/>
  <c r="I1516" i="23"/>
  <c r="J1516" i="23"/>
  <c r="K1516" i="23"/>
  <c r="D1517" i="23"/>
  <c r="E1517" i="23"/>
  <c r="F1517" i="23"/>
  <c r="H1517" i="23"/>
  <c r="I1517" i="23"/>
  <c r="J1517" i="23"/>
  <c r="K1517" i="23"/>
  <c r="D1518" i="23"/>
  <c r="E1518" i="23"/>
  <c r="F1518" i="23"/>
  <c r="H1518" i="23"/>
  <c r="I1518" i="23"/>
  <c r="J1518" i="23"/>
  <c r="K1518" i="23"/>
  <c r="E1522" i="23"/>
  <c r="F1522" i="23"/>
  <c r="H1522" i="23"/>
  <c r="E1523" i="23"/>
  <c r="F1523" i="23"/>
  <c r="H1523" i="23"/>
  <c r="D1524" i="23"/>
  <c r="E1524" i="23"/>
  <c r="F1524" i="23"/>
  <c r="J1524" i="23"/>
  <c r="K1524" i="23"/>
  <c r="E1526" i="23"/>
  <c r="F1526" i="23"/>
  <c r="H1526" i="23"/>
  <c r="E1527" i="23"/>
  <c r="F1527" i="23"/>
  <c r="H1527" i="23"/>
  <c r="D1528" i="23"/>
  <c r="E1528" i="23"/>
  <c r="F1528" i="23"/>
  <c r="J1528" i="23"/>
  <c r="K1528" i="23"/>
  <c r="D1530" i="23"/>
  <c r="E1530" i="23"/>
  <c r="F1530" i="23"/>
  <c r="H1530" i="23"/>
  <c r="J1530" i="23"/>
  <c r="E1531" i="23"/>
  <c r="F1531" i="23"/>
  <c r="H1531" i="23"/>
  <c r="B1532" i="23"/>
  <c r="D1532" i="23" s="1"/>
  <c r="B1533" i="23"/>
  <c r="H1533" i="23" s="1"/>
  <c r="D1535" i="23"/>
  <c r="E1535" i="23"/>
  <c r="F1535" i="23"/>
  <c r="H1535" i="23"/>
  <c r="J1535" i="23"/>
  <c r="E1536" i="23"/>
  <c r="F1536" i="23"/>
  <c r="H1536" i="23"/>
  <c r="B1537" i="23"/>
  <c r="H1537" i="23" s="1"/>
  <c r="B1538" i="23"/>
  <c r="H1538" i="23" s="1"/>
  <c r="D1541" i="23"/>
  <c r="F1541" i="23"/>
  <c r="H1541" i="23"/>
  <c r="K1541" i="23"/>
  <c r="D1542" i="23"/>
  <c r="F1542" i="23"/>
  <c r="K1542" i="23"/>
  <c r="D1543" i="23"/>
  <c r="F1543" i="23"/>
  <c r="K1543" i="23"/>
  <c r="D1544" i="23"/>
  <c r="E1544" i="23"/>
  <c r="F1544" i="23"/>
  <c r="H1544" i="23"/>
  <c r="J1544" i="23"/>
  <c r="K1544" i="23"/>
  <c r="D1545" i="23"/>
  <c r="E1545" i="23"/>
  <c r="F1545" i="23"/>
  <c r="H1545" i="23"/>
  <c r="J1545" i="23"/>
  <c r="K1545" i="23"/>
  <c r="D1546" i="23"/>
  <c r="E1546" i="23"/>
  <c r="F1546" i="23"/>
  <c r="H1546" i="23"/>
  <c r="J1546" i="23"/>
  <c r="K1546" i="23"/>
  <c r="L1556" i="23"/>
  <c r="M1556" i="23"/>
  <c r="N1556" i="23"/>
  <c r="O1556" i="23"/>
  <c r="D1557" i="23"/>
  <c r="E1557" i="23"/>
  <c r="F1557" i="23"/>
  <c r="H1557" i="23"/>
  <c r="D1558" i="23"/>
  <c r="E1558" i="23"/>
  <c r="F1558" i="23"/>
  <c r="H1558" i="23"/>
  <c r="D1559" i="23"/>
  <c r="E1559" i="23"/>
  <c r="F1559" i="23"/>
  <c r="H1559" i="23"/>
  <c r="J1559" i="23"/>
  <c r="L1561" i="23"/>
  <c r="M1561" i="23"/>
  <c r="N1561" i="23"/>
  <c r="O1561" i="23"/>
  <c r="D1562" i="23"/>
  <c r="E1562" i="23"/>
  <c r="F1562" i="23"/>
  <c r="H1562" i="23"/>
  <c r="D1563" i="23"/>
  <c r="E1563" i="23"/>
  <c r="F1563" i="23"/>
  <c r="H1563" i="23"/>
  <c r="D1564" i="23"/>
  <c r="E1564" i="23"/>
  <c r="F1564" i="23"/>
  <c r="H1564" i="23"/>
  <c r="D1565" i="23"/>
  <c r="E1565" i="23"/>
  <c r="F1565" i="23"/>
  <c r="H1565" i="23"/>
  <c r="J1565" i="23"/>
  <c r="L1567" i="23"/>
  <c r="M1567" i="23"/>
  <c r="N1567" i="23"/>
  <c r="O1567" i="23"/>
  <c r="D1568" i="23"/>
  <c r="E1568" i="23"/>
  <c r="F1568" i="23"/>
  <c r="H1568" i="23"/>
  <c r="J1568" i="23"/>
  <c r="K1568" i="23"/>
  <c r="D1569" i="23"/>
  <c r="E1569" i="23"/>
  <c r="F1569" i="23"/>
  <c r="H1569" i="23"/>
  <c r="J1569" i="23"/>
  <c r="K1569" i="23"/>
  <c r="D1570" i="23"/>
  <c r="E1570" i="23"/>
  <c r="F1570" i="23"/>
  <c r="H1570" i="23"/>
  <c r="J1570" i="23"/>
  <c r="K1570" i="23"/>
  <c r="D1571" i="23"/>
  <c r="E1571" i="23"/>
  <c r="F1571" i="23"/>
  <c r="H1571" i="23"/>
  <c r="J1571" i="23"/>
  <c r="D1572" i="23"/>
  <c r="E1572" i="23"/>
  <c r="F1572" i="23"/>
  <c r="H1572" i="23"/>
  <c r="J1572" i="23"/>
  <c r="D1573" i="23"/>
  <c r="E1573" i="23"/>
  <c r="F1573" i="23"/>
  <c r="H1573" i="23"/>
  <c r="J1573" i="23"/>
  <c r="K1573" i="23"/>
  <c r="D1574" i="23"/>
  <c r="E1574" i="23"/>
  <c r="F1574" i="23"/>
  <c r="H1574" i="23"/>
  <c r="J1574" i="23"/>
  <c r="K1574" i="23"/>
  <c r="B1575" i="23"/>
  <c r="E1575" i="23" s="1"/>
  <c r="B1576" i="23"/>
  <c r="J1576" i="23" s="1"/>
  <c r="D1577" i="23"/>
  <c r="E1577" i="23"/>
  <c r="F1577" i="23"/>
  <c r="H1577" i="23"/>
  <c r="J1577" i="23"/>
  <c r="D1578" i="23"/>
  <c r="E1578" i="23"/>
  <c r="F1578" i="23"/>
  <c r="H1578" i="23"/>
  <c r="J1578" i="23"/>
  <c r="K1578" i="23"/>
  <c r="L1580" i="23"/>
  <c r="M1580" i="23"/>
  <c r="N1580" i="23"/>
  <c r="O1580" i="23"/>
  <c r="D1581" i="23"/>
  <c r="E1581" i="23"/>
  <c r="F1581" i="23"/>
  <c r="H1581" i="23"/>
  <c r="J1581" i="23"/>
  <c r="K1581" i="23"/>
  <c r="D1582" i="23"/>
  <c r="E1582" i="23"/>
  <c r="F1582" i="23"/>
  <c r="H1582" i="23"/>
  <c r="J1582" i="23"/>
  <c r="K1582" i="23"/>
  <c r="D1583" i="23"/>
  <c r="E1583" i="23"/>
  <c r="F1583" i="23"/>
  <c r="H1583" i="23"/>
  <c r="J1583" i="23"/>
  <c r="K1583" i="23"/>
  <c r="D1584" i="23"/>
  <c r="E1584" i="23"/>
  <c r="F1584" i="23"/>
  <c r="J1584" i="23"/>
  <c r="K1584" i="23"/>
  <c r="Q1584" i="23"/>
  <c r="R1584" i="23"/>
  <c r="S1584" i="23"/>
  <c r="L1586" i="23"/>
  <c r="M1586" i="23"/>
  <c r="N1586" i="23"/>
  <c r="O1586" i="23"/>
  <c r="D1587" i="23"/>
  <c r="E1587" i="23"/>
  <c r="F1587" i="23"/>
  <c r="H1587" i="23"/>
  <c r="J1587" i="23"/>
  <c r="K1587" i="23"/>
  <c r="D1588" i="23"/>
  <c r="E1588" i="23"/>
  <c r="F1588" i="23"/>
  <c r="H1588" i="23"/>
  <c r="J1588" i="23"/>
  <c r="K1588" i="23"/>
  <c r="D1589" i="23"/>
  <c r="E1589" i="23"/>
  <c r="F1589" i="23"/>
  <c r="H1589" i="23"/>
  <c r="J1589" i="23"/>
  <c r="K1589" i="23"/>
  <c r="D1592" i="23"/>
  <c r="E1592" i="23"/>
  <c r="F1592" i="23"/>
  <c r="H1592" i="23"/>
  <c r="J1592" i="23"/>
  <c r="K1592" i="23"/>
  <c r="D1593" i="23"/>
  <c r="E1593" i="23"/>
  <c r="F1593" i="23"/>
  <c r="H1593" i="23"/>
  <c r="J1593" i="23"/>
  <c r="K1593" i="23"/>
  <c r="D1594" i="23"/>
  <c r="E1594" i="23"/>
  <c r="F1594" i="23"/>
  <c r="H1594" i="23"/>
  <c r="J1594" i="23"/>
  <c r="K1594" i="23"/>
  <c r="D1598" i="23"/>
  <c r="E1598" i="23"/>
  <c r="F1598" i="23"/>
  <c r="H1598" i="23"/>
  <c r="J1598" i="23"/>
  <c r="K1598" i="23"/>
  <c r="D1599" i="23"/>
  <c r="E1599" i="23"/>
  <c r="F1599" i="23"/>
  <c r="H1599" i="23"/>
  <c r="J1599" i="23"/>
  <c r="K1599" i="23"/>
  <c r="D1600" i="23"/>
  <c r="E1600" i="23"/>
  <c r="F1600" i="23"/>
  <c r="J1600" i="23"/>
  <c r="D1601" i="23"/>
  <c r="E1601" i="23"/>
  <c r="F1601" i="23"/>
  <c r="J1601" i="23"/>
  <c r="D1604" i="23"/>
  <c r="E1604" i="23"/>
  <c r="F1604" i="23"/>
  <c r="H1604" i="23"/>
  <c r="J1604" i="23"/>
  <c r="K1604" i="23"/>
  <c r="D1605" i="23"/>
  <c r="E1605" i="23"/>
  <c r="F1605" i="23"/>
  <c r="H1605" i="23"/>
  <c r="J1605" i="23"/>
  <c r="K1605" i="23"/>
  <c r="D1606" i="23"/>
  <c r="E1606" i="23"/>
  <c r="F1606" i="23"/>
  <c r="H1606" i="23"/>
  <c r="J1606" i="23"/>
  <c r="K1606" i="23"/>
  <c r="D1607" i="23"/>
  <c r="E1607" i="23"/>
  <c r="F1607" i="23"/>
  <c r="H1607" i="23"/>
  <c r="J1607" i="23"/>
  <c r="K1607" i="23"/>
  <c r="D1610" i="23"/>
  <c r="E1610" i="23"/>
  <c r="F1610" i="23"/>
  <c r="H1610" i="23"/>
  <c r="J1610" i="23"/>
  <c r="K1610" i="23"/>
  <c r="D1611" i="23"/>
  <c r="E1611" i="23"/>
  <c r="F1611" i="23"/>
  <c r="H1611" i="23"/>
  <c r="J1611" i="23"/>
  <c r="K1611" i="23"/>
  <c r="D1612" i="23"/>
  <c r="E1612" i="23"/>
  <c r="F1612" i="23"/>
  <c r="H1612" i="23"/>
  <c r="J1612" i="23"/>
  <c r="K1612" i="23"/>
  <c r="D1613" i="23"/>
  <c r="E1613" i="23"/>
  <c r="F1613" i="23"/>
  <c r="H1613" i="23"/>
  <c r="J1613" i="23"/>
  <c r="K1613" i="23"/>
  <c r="D1614" i="23"/>
  <c r="E1614" i="23"/>
  <c r="F1614" i="23"/>
  <c r="H1614" i="23"/>
  <c r="J1614" i="23"/>
  <c r="K1614" i="23"/>
  <c r="D1615" i="23"/>
  <c r="E1615" i="23"/>
  <c r="F1615" i="23"/>
  <c r="H1615" i="23"/>
  <c r="J1615" i="23"/>
  <c r="K1615" i="23"/>
  <c r="D1616" i="23"/>
  <c r="E1616" i="23"/>
  <c r="F1616" i="23"/>
  <c r="H1616" i="23"/>
  <c r="J1616" i="23"/>
  <c r="K1616" i="23"/>
  <c r="D1617" i="23"/>
  <c r="E1617" i="23"/>
  <c r="F1617" i="23"/>
  <c r="H1617" i="23"/>
  <c r="J1617" i="23"/>
  <c r="K1617" i="23"/>
  <c r="D1618" i="23"/>
  <c r="E1618" i="23"/>
  <c r="F1618" i="23"/>
  <c r="H1618" i="23"/>
  <c r="J1618" i="23"/>
  <c r="K1618" i="23"/>
  <c r="D1619" i="23"/>
  <c r="E1619" i="23"/>
  <c r="F1619" i="23"/>
  <c r="H1619" i="23"/>
  <c r="J1619" i="23"/>
  <c r="K1619" i="23"/>
  <c r="D1620" i="23"/>
  <c r="E1620" i="23"/>
  <c r="F1620" i="23"/>
  <c r="H1620" i="23"/>
  <c r="J1620" i="23"/>
  <c r="K1620" i="23"/>
  <c r="D1621" i="23"/>
  <c r="E1621" i="23"/>
  <c r="F1621" i="23"/>
  <c r="H1621" i="23"/>
  <c r="J1621" i="23"/>
  <c r="K1621" i="23"/>
  <c r="E1622" i="23"/>
  <c r="F1622" i="23"/>
  <c r="H1622" i="23"/>
  <c r="D1623" i="23"/>
  <c r="E1623" i="23"/>
  <c r="F1623" i="23"/>
  <c r="H1623" i="23"/>
  <c r="J1623" i="23"/>
  <c r="K1623" i="23"/>
  <c r="D1624" i="23"/>
  <c r="E1624" i="23"/>
  <c r="F1624" i="23"/>
  <c r="H1624" i="23"/>
  <c r="J1624" i="23"/>
  <c r="K1624" i="23"/>
  <c r="D1625" i="23"/>
  <c r="E1625" i="23"/>
  <c r="F1625" i="23"/>
  <c r="H1625" i="23"/>
  <c r="J1625" i="23"/>
  <c r="K1625" i="23"/>
  <c r="E1638" i="23"/>
  <c r="F1638" i="23"/>
  <c r="I1638" i="23"/>
  <c r="K1638" i="23"/>
  <c r="E1640" i="23"/>
  <c r="F1640" i="23"/>
  <c r="I1640" i="23"/>
  <c r="K1640" i="23"/>
  <c r="E1641" i="23"/>
  <c r="F1641" i="23"/>
  <c r="H1641" i="23"/>
  <c r="I1641" i="23"/>
  <c r="J1641" i="23"/>
  <c r="K1641" i="23"/>
  <c r="E1643" i="23"/>
  <c r="F1643" i="23"/>
  <c r="H1643" i="23"/>
  <c r="I1643" i="23"/>
  <c r="J1643" i="23"/>
  <c r="K1643" i="23"/>
  <c r="E1647" i="23"/>
  <c r="F1647" i="23"/>
  <c r="H1647" i="23"/>
  <c r="E1648" i="23"/>
  <c r="F1648" i="23"/>
  <c r="H1648" i="23"/>
  <c r="D1649" i="23"/>
  <c r="E1649" i="23"/>
  <c r="F1649" i="23"/>
  <c r="J1649" i="23"/>
  <c r="K1649" i="23"/>
  <c r="E1651" i="23"/>
  <c r="F1651" i="23"/>
  <c r="H1651" i="23"/>
  <c r="E1652" i="23"/>
  <c r="F1652" i="23"/>
  <c r="H1652" i="23"/>
  <c r="D1653" i="23"/>
  <c r="E1653" i="23"/>
  <c r="F1653" i="23"/>
  <c r="J1653" i="23"/>
  <c r="K1653" i="23"/>
  <c r="D1655" i="23"/>
  <c r="E1655" i="23"/>
  <c r="F1655" i="23"/>
  <c r="H1655" i="23"/>
  <c r="J1655" i="23"/>
  <c r="E1656" i="23"/>
  <c r="F1656" i="23"/>
  <c r="H1656" i="23"/>
  <c r="B1657" i="23"/>
  <c r="D1657" i="23" s="1"/>
  <c r="B1658" i="23"/>
  <c r="D1658" i="23" s="1"/>
  <c r="D1660" i="23"/>
  <c r="E1660" i="23"/>
  <c r="F1660" i="23"/>
  <c r="H1660" i="23"/>
  <c r="J1660" i="23"/>
  <c r="E1661" i="23"/>
  <c r="F1661" i="23"/>
  <c r="H1661" i="23"/>
  <c r="B1662" i="23"/>
  <c r="D1662" i="23" s="1"/>
  <c r="B1663" i="23"/>
  <c r="F1663" i="23" s="1"/>
  <c r="D1666" i="23"/>
  <c r="F1666" i="23"/>
  <c r="K1666" i="23"/>
  <c r="D1667" i="23"/>
  <c r="F1667" i="23"/>
  <c r="K1667" i="23"/>
  <c r="D1668" i="23"/>
  <c r="F1668" i="23"/>
  <c r="K1668" i="23"/>
  <c r="D1669" i="23"/>
  <c r="E1669" i="23"/>
  <c r="F1669" i="23"/>
  <c r="H1669" i="23"/>
  <c r="J1669" i="23"/>
  <c r="K1669" i="23"/>
  <c r="D1670" i="23"/>
  <c r="E1670" i="23"/>
  <c r="F1670" i="23"/>
  <c r="H1670" i="23"/>
  <c r="J1670" i="23"/>
  <c r="K1670" i="23"/>
  <c r="D1671" i="23"/>
  <c r="E1671" i="23"/>
  <c r="F1671" i="23"/>
  <c r="H1671" i="23"/>
  <c r="J1671" i="23"/>
  <c r="K1671" i="23"/>
  <c r="L1712" i="23"/>
  <c r="M1712" i="23"/>
  <c r="N1712" i="23"/>
  <c r="O1712" i="23"/>
  <c r="D1713" i="23"/>
  <c r="E1713" i="23"/>
  <c r="F1713" i="23"/>
  <c r="H1713" i="23"/>
  <c r="D1714" i="23"/>
  <c r="E1714" i="23"/>
  <c r="F1714" i="23"/>
  <c r="H1714" i="23"/>
  <c r="D1715" i="23"/>
  <c r="E1715" i="23"/>
  <c r="F1715" i="23"/>
  <c r="H1715" i="23"/>
  <c r="L1717" i="23"/>
  <c r="M1717" i="23"/>
  <c r="N1717" i="23"/>
  <c r="O1717" i="23"/>
  <c r="D1718" i="23"/>
  <c r="E1718" i="23"/>
  <c r="F1718" i="23"/>
  <c r="H1718" i="23"/>
  <c r="D1719" i="23"/>
  <c r="E1719" i="23"/>
  <c r="F1719" i="23"/>
  <c r="H1719" i="23"/>
  <c r="D1720" i="23"/>
  <c r="E1720" i="23"/>
  <c r="F1720" i="23"/>
  <c r="H1720" i="23"/>
  <c r="D1721" i="23"/>
  <c r="E1721" i="23"/>
  <c r="F1721" i="23"/>
  <c r="H1721" i="23"/>
  <c r="L1723" i="23"/>
  <c r="M1723" i="23"/>
  <c r="N1723" i="23"/>
  <c r="O1723" i="23"/>
  <c r="D1724" i="23"/>
  <c r="E1724" i="23"/>
  <c r="F1724" i="23"/>
  <c r="H1724" i="23"/>
  <c r="J1724" i="23"/>
  <c r="K1724" i="23"/>
  <c r="D1725" i="23"/>
  <c r="E1725" i="23"/>
  <c r="F1725" i="23"/>
  <c r="H1725" i="23"/>
  <c r="J1725" i="23"/>
  <c r="K1725" i="23"/>
  <c r="D1726" i="23"/>
  <c r="E1726" i="23"/>
  <c r="F1726" i="23"/>
  <c r="H1726" i="23"/>
  <c r="J1726" i="23"/>
  <c r="K1726" i="23"/>
  <c r="D1727" i="23"/>
  <c r="E1727" i="23"/>
  <c r="F1727" i="23"/>
  <c r="H1727" i="23"/>
  <c r="J1727" i="23"/>
  <c r="D1729" i="23"/>
  <c r="E1729" i="23"/>
  <c r="F1729" i="23"/>
  <c r="H1729" i="23"/>
  <c r="J1729" i="23"/>
  <c r="D1741" i="23"/>
  <c r="E1741" i="23"/>
  <c r="H1741" i="23"/>
  <c r="J1741" i="23"/>
  <c r="K1741" i="23"/>
  <c r="D1742" i="23"/>
  <c r="E1742" i="23"/>
  <c r="F1742" i="23"/>
  <c r="H1742" i="23"/>
  <c r="J1742" i="23"/>
  <c r="K1742" i="23"/>
  <c r="L1744" i="23"/>
  <c r="M1744" i="23"/>
  <c r="N1744" i="23"/>
  <c r="O1744" i="23"/>
  <c r="D1745" i="23"/>
  <c r="E1745" i="23"/>
  <c r="F1745" i="23"/>
  <c r="H1745" i="23"/>
  <c r="J1745" i="23"/>
  <c r="K1745" i="23"/>
  <c r="D1746" i="23"/>
  <c r="E1746" i="23"/>
  <c r="F1746" i="23"/>
  <c r="H1746" i="23"/>
  <c r="J1746" i="23"/>
  <c r="K1746" i="23"/>
  <c r="D1747" i="23"/>
  <c r="E1747" i="23"/>
  <c r="F1747" i="23"/>
  <c r="H1747" i="23"/>
  <c r="J1747" i="23"/>
  <c r="K1747" i="23"/>
  <c r="D1748" i="23"/>
  <c r="E1748" i="23"/>
  <c r="F1748" i="23"/>
  <c r="J1748" i="23"/>
  <c r="K1748" i="23"/>
  <c r="Q1748" i="23"/>
  <c r="R1748" i="23"/>
  <c r="S1748" i="23"/>
  <c r="L1750" i="23"/>
  <c r="M1750" i="23"/>
  <c r="N1750" i="23"/>
  <c r="O1750" i="23"/>
  <c r="D1753" i="23"/>
  <c r="E1753" i="23"/>
  <c r="F1753" i="23"/>
  <c r="H1753" i="23"/>
  <c r="J1753" i="23"/>
  <c r="K1753" i="23"/>
  <c r="D1754" i="23"/>
  <c r="E1754" i="23"/>
  <c r="F1754" i="23"/>
  <c r="H1754" i="23"/>
  <c r="J1754" i="23"/>
  <c r="K1754" i="23"/>
  <c r="D1755" i="23"/>
  <c r="E1755" i="23"/>
  <c r="F1755" i="23"/>
  <c r="H1755" i="23"/>
  <c r="J1755" i="23"/>
  <c r="K1755" i="23"/>
  <c r="D1757" i="23"/>
  <c r="E1757" i="23"/>
  <c r="F1757" i="23"/>
  <c r="J1757" i="23"/>
  <c r="K1757" i="23"/>
  <c r="Q1757" i="23"/>
  <c r="R1757" i="23"/>
  <c r="S1757" i="23"/>
  <c r="L1777" i="23"/>
  <c r="M1777" i="23"/>
  <c r="N1777" i="23"/>
  <c r="O1777" i="23"/>
  <c r="D1778" i="23"/>
  <c r="E1778" i="23"/>
  <c r="F1778" i="23"/>
  <c r="H1778" i="23"/>
  <c r="J1778" i="23"/>
  <c r="K1778" i="23"/>
  <c r="D1779" i="23"/>
  <c r="E1779" i="23"/>
  <c r="F1779" i="23"/>
  <c r="H1779" i="23"/>
  <c r="K1779" i="23"/>
  <c r="D1780" i="23"/>
  <c r="E1780" i="23"/>
  <c r="F1780" i="23"/>
  <c r="H1780" i="23"/>
  <c r="J1780" i="23"/>
  <c r="K1780" i="23"/>
  <c r="D1814" i="23"/>
  <c r="E1814" i="23"/>
  <c r="F1814" i="23"/>
  <c r="H1814" i="23"/>
  <c r="J1814" i="23"/>
  <c r="K1814" i="23"/>
  <c r="D1815" i="23"/>
  <c r="E1815" i="23"/>
  <c r="F1815" i="23"/>
  <c r="H1815" i="23"/>
  <c r="J1815" i="23"/>
  <c r="K1815" i="23"/>
  <c r="D1816" i="23"/>
  <c r="E1816" i="23"/>
  <c r="F1816" i="23"/>
  <c r="H1816" i="23"/>
  <c r="J1816" i="23"/>
  <c r="K1816" i="23"/>
  <c r="D1872" i="23"/>
  <c r="E1872" i="23"/>
  <c r="F1872" i="23"/>
  <c r="H1872" i="23"/>
  <c r="J1872" i="23"/>
  <c r="K1872" i="23"/>
  <c r="D1873" i="23"/>
  <c r="E1873" i="23"/>
  <c r="F1873" i="23"/>
  <c r="H1873" i="23"/>
  <c r="J1873" i="23"/>
  <c r="K1873" i="23"/>
  <c r="D1874" i="23"/>
  <c r="E1874" i="23"/>
  <c r="F1874" i="23"/>
  <c r="H1874" i="23"/>
  <c r="J1874" i="23"/>
  <c r="K1874" i="23"/>
  <c r="D1875" i="23"/>
  <c r="E1875" i="23"/>
  <c r="F1875" i="23"/>
  <c r="H1875" i="23"/>
  <c r="J1875" i="23"/>
  <c r="K1875" i="23"/>
  <c r="D1878" i="23"/>
  <c r="F1878" i="23"/>
  <c r="H1878" i="23"/>
  <c r="J1878" i="23"/>
  <c r="K1878" i="23"/>
  <c r="D1879" i="23"/>
  <c r="E1879" i="23"/>
  <c r="F1879" i="23"/>
  <c r="H1879" i="23"/>
  <c r="J1879" i="23"/>
  <c r="K1879" i="23"/>
  <c r="D1881" i="23"/>
  <c r="E1881" i="23"/>
  <c r="F1881" i="23"/>
  <c r="H1881" i="23"/>
  <c r="J1881" i="23"/>
  <c r="K1881" i="23"/>
  <c r="D1883" i="23"/>
  <c r="E1883" i="23"/>
  <c r="F1883" i="23"/>
  <c r="H1883" i="23"/>
  <c r="J1883" i="23"/>
  <c r="K1883" i="23"/>
  <c r="D1884" i="23"/>
  <c r="E1884" i="23"/>
  <c r="F1884" i="23"/>
  <c r="H1884" i="23"/>
  <c r="J1884" i="23"/>
  <c r="K1884" i="23"/>
  <c r="D1887" i="23"/>
  <c r="E1887" i="23"/>
  <c r="H1887" i="23"/>
  <c r="J1887" i="23"/>
  <c r="K1887" i="23"/>
  <c r="D1888" i="23"/>
  <c r="E1888" i="23"/>
  <c r="F1888" i="23"/>
  <c r="H1888" i="23"/>
  <c r="J1888" i="23"/>
  <c r="K1888" i="23"/>
  <c r="D1890" i="23"/>
  <c r="E1890" i="23"/>
  <c r="F1890" i="23"/>
  <c r="H1890" i="23"/>
  <c r="J1890" i="23"/>
  <c r="K1890" i="23"/>
  <c r="E1891" i="23"/>
  <c r="F1891" i="23"/>
  <c r="H1891" i="23"/>
  <c r="D1892" i="23"/>
  <c r="E1892" i="23"/>
  <c r="F1892" i="23"/>
  <c r="H1892" i="23"/>
  <c r="J1892" i="23"/>
  <c r="K1892" i="23"/>
  <c r="D1894" i="23"/>
  <c r="E1894" i="23"/>
  <c r="F1894" i="23"/>
  <c r="H1894" i="23"/>
  <c r="J1894" i="23"/>
  <c r="K1894" i="23"/>
  <c r="D2247" i="23"/>
  <c r="F2247" i="23"/>
  <c r="H2247" i="23"/>
  <c r="I2247" i="23"/>
  <c r="J2247" i="23"/>
  <c r="K2247" i="23"/>
  <c r="A2249" i="23"/>
  <c r="D2249" i="23"/>
  <c r="F2249" i="23"/>
  <c r="H2249" i="23"/>
  <c r="L2249" i="23" s="1"/>
  <c r="I2249" i="23"/>
  <c r="M2249" i="23" s="1"/>
  <c r="J2249" i="23"/>
  <c r="N2249" i="23" s="1"/>
  <c r="K2249" i="23"/>
  <c r="O2249" i="23" s="1"/>
  <c r="A2250" i="23"/>
  <c r="D2250" i="23"/>
  <c r="E2250" i="23"/>
  <c r="F2250" i="23"/>
  <c r="H2250" i="23"/>
  <c r="L2250" i="23" s="1"/>
  <c r="I2250" i="23"/>
  <c r="M2250" i="23" s="1"/>
  <c r="J2250" i="23"/>
  <c r="N2250" i="23" s="1"/>
  <c r="K2250" i="23"/>
  <c r="O2250" i="23" s="1"/>
  <c r="A2251" i="23"/>
  <c r="D2251" i="23"/>
  <c r="E2251" i="23"/>
  <c r="F2251" i="23"/>
  <c r="H2251" i="23"/>
  <c r="L2251" i="23" s="1"/>
  <c r="I2251" i="23"/>
  <c r="M2251" i="23" s="1"/>
  <c r="J2251" i="23"/>
  <c r="N2251" i="23" s="1"/>
  <c r="K2251" i="23"/>
  <c r="O2251" i="23" s="1"/>
  <c r="A2252" i="23"/>
  <c r="D2252" i="23"/>
  <c r="E2252" i="23"/>
  <c r="F2252" i="23"/>
  <c r="H2252" i="23"/>
  <c r="L2252" i="23" s="1"/>
  <c r="I2252" i="23"/>
  <c r="M2252" i="23" s="1"/>
  <c r="J2252" i="23"/>
  <c r="N2252" i="23" s="1"/>
  <c r="K2252" i="23"/>
  <c r="O2252" i="23" s="1"/>
  <c r="D2253" i="23"/>
  <c r="E2253" i="23"/>
  <c r="F2253" i="23"/>
  <c r="H2253" i="23"/>
  <c r="I2253" i="23"/>
  <c r="J2253" i="23"/>
  <c r="K2253" i="23"/>
  <c r="D2254" i="23"/>
  <c r="E2254" i="23"/>
  <c r="F2254" i="23"/>
  <c r="H2254" i="23"/>
  <c r="I2254" i="23"/>
  <c r="J2254" i="23"/>
  <c r="K2254" i="23"/>
  <c r="D2256" i="23"/>
  <c r="E2256" i="23"/>
  <c r="F2256" i="23"/>
  <c r="H2256" i="23"/>
  <c r="I2256" i="23"/>
  <c r="J2256" i="23"/>
  <c r="K2256" i="23"/>
  <c r="E2260" i="23"/>
  <c r="F2260" i="23"/>
  <c r="H2260" i="23"/>
  <c r="E2261" i="23"/>
  <c r="F2261" i="23"/>
  <c r="H2261" i="23"/>
  <c r="D2262" i="23"/>
  <c r="E2262" i="23"/>
  <c r="F2262" i="23"/>
  <c r="J2262" i="23"/>
  <c r="K2262" i="23"/>
  <c r="E2264" i="23"/>
  <c r="F2264" i="23"/>
  <c r="H2264" i="23"/>
  <c r="E2265" i="23"/>
  <c r="F2265" i="23"/>
  <c r="H2265" i="23"/>
  <c r="D2266" i="23"/>
  <c r="E2266" i="23"/>
  <c r="F2266" i="23"/>
  <c r="J2266" i="23"/>
  <c r="K2266" i="23"/>
  <c r="D2268" i="23"/>
  <c r="E2268" i="23"/>
  <c r="F2268" i="23"/>
  <c r="H2268" i="23"/>
  <c r="J2268" i="23"/>
  <c r="E2269" i="23"/>
  <c r="F2269" i="23"/>
  <c r="H2269" i="23"/>
  <c r="B2270" i="23"/>
  <c r="B2271" i="23"/>
  <c r="E2271" i="23" s="1"/>
  <c r="D2273" i="23"/>
  <c r="E2273" i="23"/>
  <c r="F2273" i="23"/>
  <c r="H2273" i="23"/>
  <c r="J2273" i="23"/>
  <c r="E2274" i="23"/>
  <c r="F2274" i="23"/>
  <c r="H2274" i="23"/>
  <c r="B2275" i="23"/>
  <c r="D2275" i="23" s="1"/>
  <c r="B2276" i="23"/>
  <c r="H2276" i="23" s="1"/>
  <c r="D2279" i="23"/>
  <c r="F2279" i="23"/>
  <c r="K2279" i="23"/>
  <c r="D2280" i="23"/>
  <c r="F2280" i="23"/>
  <c r="K2280" i="23"/>
  <c r="D2281" i="23"/>
  <c r="F2281" i="23"/>
  <c r="K2281" i="23"/>
  <c r="D2282" i="23"/>
  <c r="E2282" i="23"/>
  <c r="F2282" i="23"/>
  <c r="H2282" i="23"/>
  <c r="J2282" i="23"/>
  <c r="K2282" i="23"/>
  <c r="D2283" i="23"/>
  <c r="E2283" i="23"/>
  <c r="F2283" i="23"/>
  <c r="H2283" i="23"/>
  <c r="J2283" i="23"/>
  <c r="K2283" i="23"/>
  <c r="D2284" i="23"/>
  <c r="E2284" i="23"/>
  <c r="F2284" i="23"/>
  <c r="H2284" i="23"/>
  <c r="J2284" i="23"/>
  <c r="K2284" i="23"/>
  <c r="L2294" i="23"/>
  <c r="M2294" i="23"/>
  <c r="N2294" i="23"/>
  <c r="O2294" i="23"/>
  <c r="D2295" i="23"/>
  <c r="E2295" i="23"/>
  <c r="F2295" i="23"/>
  <c r="H2295" i="23"/>
  <c r="D2296" i="23"/>
  <c r="E2296" i="23"/>
  <c r="F2296" i="23"/>
  <c r="H2296" i="23"/>
  <c r="D2297" i="23"/>
  <c r="E2297" i="23"/>
  <c r="F2297" i="23"/>
  <c r="L2299" i="23"/>
  <c r="M2299" i="23"/>
  <c r="N2299" i="23"/>
  <c r="O2299" i="23"/>
  <c r="D2300" i="23"/>
  <c r="E2300" i="23"/>
  <c r="F2300" i="23"/>
  <c r="H2300" i="23"/>
  <c r="D2301" i="23"/>
  <c r="E2301" i="23"/>
  <c r="F2301" i="23"/>
  <c r="H2301" i="23"/>
  <c r="D2302" i="23"/>
  <c r="E2302" i="23"/>
  <c r="F2302" i="23"/>
  <c r="H2302" i="23"/>
  <c r="D2303" i="23"/>
  <c r="E2303" i="23"/>
  <c r="F2303" i="23"/>
  <c r="L2305" i="23"/>
  <c r="M2305" i="23"/>
  <c r="N2305" i="23"/>
  <c r="O2305" i="23"/>
  <c r="H2315" i="23"/>
  <c r="J2315" i="23"/>
  <c r="K2315" i="23"/>
  <c r="H2317" i="23"/>
  <c r="J2317" i="23"/>
  <c r="K2317" i="23"/>
  <c r="H2319" i="23"/>
  <c r="J2319" i="23"/>
  <c r="H2321" i="23"/>
  <c r="J2321" i="23"/>
  <c r="K2321" i="23"/>
  <c r="H2322" i="23"/>
  <c r="J2322" i="23"/>
  <c r="K2322" i="23"/>
  <c r="H2325" i="23"/>
  <c r="J2325" i="23"/>
  <c r="H2326" i="23"/>
  <c r="J2326" i="23"/>
  <c r="K2326" i="23"/>
  <c r="L2328" i="23"/>
  <c r="M2328" i="23"/>
  <c r="N2328" i="23"/>
  <c r="O2328" i="23"/>
  <c r="D2329" i="23"/>
  <c r="E2329" i="23"/>
  <c r="F2329" i="23"/>
  <c r="H2329" i="23"/>
  <c r="J2329" i="23"/>
  <c r="K2329" i="23"/>
  <c r="D2330" i="23"/>
  <c r="E2330" i="23"/>
  <c r="F2330" i="23"/>
  <c r="H2330" i="23"/>
  <c r="J2330" i="23"/>
  <c r="K2330" i="23"/>
  <c r="D2331" i="23"/>
  <c r="E2331" i="23"/>
  <c r="F2331" i="23"/>
  <c r="H2331" i="23"/>
  <c r="J2331" i="23"/>
  <c r="K2331" i="23"/>
  <c r="D2332" i="23"/>
  <c r="E2332" i="23"/>
  <c r="F2332" i="23"/>
  <c r="J2332" i="23"/>
  <c r="K2332" i="23"/>
  <c r="Q2332" i="23"/>
  <c r="R2332" i="23"/>
  <c r="S2332" i="23"/>
  <c r="L2334" i="23"/>
  <c r="M2334" i="23"/>
  <c r="N2334" i="23"/>
  <c r="O2334" i="23"/>
  <c r="H2335" i="23"/>
  <c r="J2335" i="23"/>
  <c r="K2335" i="23"/>
  <c r="H2336" i="23"/>
  <c r="J2336" i="23"/>
  <c r="K2336" i="23"/>
  <c r="H2337" i="23"/>
  <c r="L2337" i="23" s="1"/>
  <c r="J2337" i="23"/>
  <c r="N2337" i="23" s="1"/>
  <c r="K2337" i="23"/>
  <c r="O2337" i="23" s="1"/>
  <c r="D2347" i="23"/>
  <c r="E2347" i="23"/>
  <c r="F2347" i="23"/>
  <c r="H2347" i="23"/>
  <c r="J2347" i="23"/>
  <c r="K2347" i="23"/>
  <c r="D2352" i="23"/>
  <c r="E2352" i="23"/>
  <c r="F2352" i="23"/>
  <c r="H2352" i="23"/>
  <c r="J2352" i="23"/>
  <c r="K2352" i="23"/>
  <c r="D2353" i="23"/>
  <c r="E2353" i="23"/>
  <c r="F2353" i="23"/>
  <c r="H2353" i="23"/>
  <c r="J2353" i="23"/>
  <c r="K2353" i="23"/>
  <c r="D2354" i="23"/>
  <c r="E2354" i="23"/>
  <c r="F2354" i="23"/>
  <c r="H2354" i="23"/>
  <c r="J2354" i="23"/>
  <c r="K2354" i="23"/>
  <c r="D2355" i="23"/>
  <c r="E2355" i="23"/>
  <c r="F2355" i="23"/>
  <c r="H2355" i="23"/>
  <c r="J2355" i="23"/>
  <c r="K2355" i="23"/>
  <c r="D2356" i="23"/>
  <c r="E2356" i="23"/>
  <c r="F2356" i="23"/>
  <c r="J2356" i="23"/>
  <c r="D2357" i="23"/>
  <c r="E2357" i="23"/>
  <c r="F2357" i="23"/>
  <c r="J2357" i="23"/>
  <c r="D2360" i="23"/>
  <c r="E2360" i="23"/>
  <c r="F2360" i="23"/>
  <c r="H2360" i="23"/>
  <c r="J2360" i="23"/>
  <c r="K2360" i="23"/>
  <c r="D2361" i="23"/>
  <c r="E2361" i="23"/>
  <c r="F2361" i="23"/>
  <c r="H2361" i="23"/>
  <c r="J2361" i="23"/>
  <c r="K2361" i="23"/>
  <c r="D2362" i="23"/>
  <c r="E2362" i="23"/>
  <c r="F2362" i="23"/>
  <c r="H2362" i="23"/>
  <c r="J2362" i="23"/>
  <c r="K2362" i="23"/>
  <c r="D2363" i="23"/>
  <c r="E2363" i="23"/>
  <c r="F2363" i="23"/>
  <c r="H2363" i="23"/>
  <c r="J2363" i="23"/>
  <c r="K2363" i="23"/>
  <c r="D2367" i="23"/>
  <c r="E2367" i="23"/>
  <c r="F2367" i="23"/>
  <c r="H2367" i="23"/>
  <c r="J2367" i="23"/>
  <c r="K2367" i="23"/>
  <c r="D2371" i="23"/>
  <c r="E2371" i="23"/>
  <c r="F2371" i="23"/>
  <c r="H2371" i="23"/>
  <c r="J2371" i="23"/>
  <c r="K2371" i="23"/>
  <c r="D2372" i="23"/>
  <c r="E2372" i="23"/>
  <c r="F2372" i="23"/>
  <c r="H2372" i="23"/>
  <c r="J2372" i="23"/>
  <c r="K2372" i="23"/>
  <c r="D2374" i="23"/>
  <c r="E2374" i="23"/>
  <c r="F2374" i="23"/>
  <c r="H2374" i="23"/>
  <c r="J2374" i="23"/>
  <c r="K2374" i="23"/>
  <c r="D2377" i="23"/>
  <c r="E2377" i="23"/>
  <c r="F2377" i="23"/>
  <c r="H2377" i="23"/>
  <c r="J2377" i="23"/>
  <c r="K2377" i="23"/>
  <c r="D2378" i="23"/>
  <c r="E2378" i="23"/>
  <c r="F2378" i="23"/>
  <c r="H2378" i="23"/>
  <c r="J2378" i="23"/>
  <c r="K2378" i="23"/>
  <c r="D2379" i="23"/>
  <c r="E2379" i="23"/>
  <c r="F2379" i="23"/>
  <c r="H2379" i="23"/>
  <c r="J2379" i="23"/>
  <c r="K2379" i="23"/>
  <c r="D2381" i="23"/>
  <c r="E2381" i="23"/>
  <c r="F2381" i="23"/>
  <c r="H2381" i="23"/>
  <c r="J2381" i="23"/>
  <c r="K2381" i="23"/>
  <c r="E2382" i="23"/>
  <c r="F2382" i="23"/>
  <c r="H2382" i="23"/>
  <c r="D2383" i="23"/>
  <c r="E2383" i="23"/>
  <c r="F2383" i="23"/>
  <c r="H2383" i="23"/>
  <c r="J2383" i="23"/>
  <c r="K2383" i="23"/>
  <c r="D2384" i="23"/>
  <c r="E2384" i="23"/>
  <c r="F2384" i="23"/>
  <c r="H2384" i="23"/>
  <c r="J2384" i="23"/>
  <c r="K2384" i="23"/>
  <c r="G2391" i="23"/>
  <c r="D2395" i="23"/>
  <c r="E2395" i="23"/>
  <c r="F2395" i="23"/>
  <c r="H2395" i="23"/>
  <c r="I2395" i="23"/>
  <c r="J2395" i="23"/>
  <c r="K2395" i="23"/>
  <c r="D2396" i="23"/>
  <c r="E2396" i="23"/>
  <c r="F2396" i="23"/>
  <c r="H2396" i="23"/>
  <c r="I2396" i="23"/>
  <c r="J2396" i="23"/>
  <c r="K2396" i="23"/>
  <c r="D2397" i="23"/>
  <c r="E2397" i="23"/>
  <c r="F2397" i="23"/>
  <c r="H2397" i="23"/>
  <c r="I2397" i="23"/>
  <c r="J2397" i="23"/>
  <c r="K2397" i="23"/>
  <c r="D2398" i="23"/>
  <c r="E2398" i="23"/>
  <c r="F2398" i="23"/>
  <c r="H2398" i="23"/>
  <c r="I2398" i="23"/>
  <c r="J2398" i="23"/>
  <c r="K2398" i="23"/>
  <c r="D2399" i="23"/>
  <c r="E2399" i="23"/>
  <c r="F2399" i="23"/>
  <c r="H2399" i="23"/>
  <c r="I2399" i="23"/>
  <c r="J2399" i="23"/>
  <c r="K2399" i="23"/>
  <c r="D2401" i="23"/>
  <c r="E2401" i="23"/>
  <c r="F2401" i="23"/>
  <c r="H2401" i="23"/>
  <c r="I2401" i="23"/>
  <c r="D2402" i="23"/>
  <c r="E2402" i="23"/>
  <c r="F2402" i="23"/>
  <c r="H2402" i="23"/>
  <c r="I2402" i="23"/>
  <c r="J2402" i="23"/>
  <c r="K2402" i="23"/>
  <c r="E2406" i="23"/>
  <c r="F2406" i="23"/>
  <c r="H2406" i="23"/>
  <c r="E2407" i="23"/>
  <c r="F2407" i="23"/>
  <c r="H2407" i="23"/>
  <c r="D2408" i="23"/>
  <c r="E2408" i="23"/>
  <c r="F2408" i="23"/>
  <c r="J2408" i="23"/>
  <c r="K2408" i="23"/>
  <c r="E2410" i="23"/>
  <c r="F2410" i="23"/>
  <c r="H2410" i="23"/>
  <c r="E2411" i="23"/>
  <c r="F2411" i="23"/>
  <c r="H2411" i="23"/>
  <c r="D2412" i="23"/>
  <c r="E2412" i="23"/>
  <c r="F2412" i="23"/>
  <c r="J2412" i="23"/>
  <c r="K2412" i="23"/>
  <c r="D2414" i="23"/>
  <c r="E2414" i="23"/>
  <c r="F2414" i="23"/>
  <c r="H2414" i="23"/>
  <c r="J2414" i="23"/>
  <c r="E2415" i="23"/>
  <c r="F2415" i="23"/>
  <c r="H2415" i="23"/>
  <c r="B2416" i="23"/>
  <c r="D2416" i="23" s="1"/>
  <c r="B2417" i="23"/>
  <c r="H2417" i="23" s="1"/>
  <c r="D2419" i="23"/>
  <c r="E2419" i="23"/>
  <c r="F2419" i="23"/>
  <c r="H2419" i="23"/>
  <c r="J2419" i="23"/>
  <c r="E2420" i="23"/>
  <c r="F2420" i="23"/>
  <c r="H2420" i="23"/>
  <c r="B2421" i="23"/>
  <c r="B2422" i="23"/>
  <c r="H2422" i="23" s="1"/>
  <c r="D2425" i="23"/>
  <c r="F2425" i="23"/>
  <c r="K2425" i="23"/>
  <c r="D2426" i="23"/>
  <c r="F2426" i="23"/>
  <c r="K2426" i="23"/>
  <c r="D2427" i="23"/>
  <c r="F2427" i="23"/>
  <c r="K2427" i="23"/>
  <c r="D2428" i="23"/>
  <c r="E2428" i="23"/>
  <c r="F2428" i="23"/>
  <c r="H2428" i="23"/>
  <c r="J2428" i="23"/>
  <c r="K2428" i="23"/>
  <c r="D2429" i="23"/>
  <c r="E2429" i="23"/>
  <c r="F2429" i="23"/>
  <c r="H2429" i="23"/>
  <c r="J2429" i="23"/>
  <c r="K2429" i="23"/>
  <c r="D2430" i="23"/>
  <c r="E2430" i="23"/>
  <c r="F2430" i="23"/>
  <c r="H2430" i="23"/>
  <c r="K2430" i="23"/>
  <c r="L2434" i="23"/>
  <c r="M2434" i="23"/>
  <c r="N2434" i="23"/>
  <c r="O2434" i="23"/>
  <c r="D2435" i="23"/>
  <c r="E2435" i="23"/>
  <c r="F2435" i="23"/>
  <c r="H2435" i="23"/>
  <c r="D2436" i="23"/>
  <c r="E2436" i="23"/>
  <c r="F2436" i="23"/>
  <c r="H2436" i="23"/>
  <c r="D2437" i="23"/>
  <c r="E2437" i="23"/>
  <c r="F2437" i="23"/>
  <c r="H2437" i="23"/>
  <c r="D2438" i="23"/>
  <c r="E2438" i="23"/>
  <c r="F2438" i="23"/>
  <c r="H2438" i="23"/>
  <c r="D2439" i="23"/>
  <c r="E2439" i="23"/>
  <c r="F2439" i="23"/>
  <c r="L2447" i="23"/>
  <c r="M2447" i="23"/>
  <c r="O2447" i="23"/>
  <c r="D2448" i="23"/>
  <c r="E2448" i="23"/>
  <c r="F2448" i="23"/>
  <c r="H2448" i="23"/>
  <c r="D2449" i="23"/>
  <c r="E2449" i="23"/>
  <c r="F2449" i="23"/>
  <c r="H2449" i="23"/>
  <c r="D2450" i="23"/>
  <c r="E2450" i="23"/>
  <c r="F2450" i="23"/>
  <c r="H2450" i="23"/>
  <c r="L2452" i="23"/>
  <c r="M2452" i="23"/>
  <c r="O2452" i="23"/>
  <c r="D2453" i="23"/>
  <c r="E2453" i="23"/>
  <c r="F2453" i="23"/>
  <c r="D2454" i="23"/>
  <c r="E2454" i="23"/>
  <c r="F2454" i="23"/>
  <c r="H2454" i="23"/>
  <c r="D2455" i="23"/>
  <c r="E2455" i="23"/>
  <c r="F2455" i="23"/>
  <c r="H2455" i="23"/>
  <c r="D2456" i="23"/>
  <c r="E2456" i="23"/>
  <c r="F2456" i="23"/>
  <c r="G2456" i="23"/>
  <c r="H2456" i="23"/>
  <c r="L2458" i="23"/>
  <c r="M2458" i="23"/>
  <c r="O2458" i="23"/>
  <c r="D2459" i="23"/>
  <c r="E2459" i="23"/>
  <c r="H2459" i="23"/>
  <c r="D2460" i="23"/>
  <c r="E2460" i="23"/>
  <c r="H2460" i="23"/>
  <c r="D2461" i="23"/>
  <c r="E2461" i="23"/>
  <c r="H2461" i="23"/>
  <c r="D2462" i="23"/>
  <c r="E2462" i="23"/>
  <c r="H2462" i="23"/>
  <c r="D2463" i="23"/>
  <c r="E2463" i="23"/>
  <c r="H2463" i="23"/>
  <c r="D2464" i="23"/>
  <c r="E2464" i="23"/>
  <c r="L2466" i="23"/>
  <c r="M2466" i="23"/>
  <c r="O2466" i="23"/>
  <c r="D2467" i="23"/>
  <c r="E2467" i="23"/>
  <c r="H2467" i="23"/>
  <c r="D2468" i="23"/>
  <c r="E2468" i="23"/>
  <c r="H2468" i="23"/>
  <c r="D2469" i="23"/>
  <c r="E2469" i="23"/>
  <c r="H2469" i="23"/>
  <c r="D2470" i="23"/>
  <c r="E2470" i="23"/>
  <c r="H2470" i="23"/>
  <c r="D2471" i="23"/>
  <c r="E2471" i="23"/>
  <c r="H2471" i="23"/>
  <c r="D2472" i="23"/>
  <c r="E2472" i="23"/>
  <c r="H2472" i="23"/>
  <c r="D2473" i="23"/>
  <c r="E2473" i="23"/>
  <c r="L2475" i="23"/>
  <c r="M2475" i="23"/>
  <c r="O2475" i="23"/>
  <c r="D2476" i="23"/>
  <c r="E2476" i="23"/>
  <c r="F2476" i="23"/>
  <c r="H2476" i="23"/>
  <c r="J2476" i="23"/>
  <c r="K2476" i="23"/>
  <c r="D2477" i="23"/>
  <c r="E2477" i="23"/>
  <c r="F2477" i="23"/>
  <c r="H2477" i="23"/>
  <c r="J2477" i="23"/>
  <c r="K2477" i="23"/>
  <c r="D2478" i="23"/>
  <c r="E2478" i="23"/>
  <c r="F2478" i="23"/>
  <c r="H2478" i="23"/>
  <c r="J2478" i="23"/>
  <c r="K2478" i="23"/>
  <c r="D2479" i="23"/>
  <c r="E2479" i="23"/>
  <c r="F2479" i="23"/>
  <c r="H2479" i="23"/>
  <c r="J2479" i="23"/>
  <c r="D2480" i="23"/>
  <c r="E2480" i="23"/>
  <c r="F2480" i="23"/>
  <c r="H2480" i="23"/>
  <c r="J2480" i="23"/>
  <c r="D2481" i="23"/>
  <c r="E2481" i="23"/>
  <c r="F2481" i="23"/>
  <c r="H2481" i="23"/>
  <c r="J2481" i="23"/>
  <c r="K2481" i="23"/>
  <c r="D2482" i="23"/>
  <c r="E2482" i="23"/>
  <c r="F2482" i="23"/>
  <c r="H2482" i="23"/>
  <c r="J2482" i="23"/>
  <c r="K2482" i="23"/>
  <c r="B2483" i="23"/>
  <c r="B2484" i="23"/>
  <c r="D2485" i="23"/>
  <c r="E2485" i="23"/>
  <c r="F2485" i="23"/>
  <c r="H2485" i="23"/>
  <c r="D2486" i="23"/>
  <c r="E2486" i="23"/>
  <c r="F2486" i="23"/>
  <c r="H2486" i="23"/>
  <c r="K2486" i="23"/>
  <c r="L2488" i="23"/>
  <c r="M2488" i="23"/>
  <c r="O2488" i="23"/>
  <c r="D2489" i="23"/>
  <c r="E2489" i="23"/>
  <c r="F2489" i="23"/>
  <c r="H2489" i="23"/>
  <c r="J2489" i="23"/>
  <c r="K2489" i="23"/>
  <c r="D2490" i="23"/>
  <c r="E2490" i="23"/>
  <c r="F2490" i="23"/>
  <c r="H2490" i="23"/>
  <c r="J2490" i="23"/>
  <c r="K2490" i="23"/>
  <c r="D2491" i="23"/>
  <c r="E2491" i="23"/>
  <c r="F2491" i="23"/>
  <c r="H2491" i="23"/>
  <c r="J2491" i="23"/>
  <c r="K2491" i="23"/>
  <c r="D2492" i="23"/>
  <c r="E2492" i="23"/>
  <c r="F2492" i="23"/>
  <c r="J2492" i="23"/>
  <c r="K2492" i="23"/>
  <c r="Q2492" i="23"/>
  <c r="R2492" i="23"/>
  <c r="S2492" i="23"/>
  <c r="L2494" i="23"/>
  <c r="M2494" i="23"/>
  <c r="O2494" i="23"/>
  <c r="D2495" i="23"/>
  <c r="E2495" i="23"/>
  <c r="F2495" i="23"/>
  <c r="H2495" i="23"/>
  <c r="J2495" i="23"/>
  <c r="K2495" i="23"/>
  <c r="D2496" i="23"/>
  <c r="E2496" i="23"/>
  <c r="F2496" i="23"/>
  <c r="H2496" i="23"/>
  <c r="J2496" i="23"/>
  <c r="K2496" i="23"/>
  <c r="D2497" i="23"/>
  <c r="E2497" i="23"/>
  <c r="F2497" i="23"/>
  <c r="H2497" i="23"/>
  <c r="J2497" i="23"/>
  <c r="K2497" i="23"/>
  <c r="L2499" i="23"/>
  <c r="M2499" i="23"/>
  <c r="O2499" i="23"/>
  <c r="D2500" i="23"/>
  <c r="E2500" i="23"/>
  <c r="F2500" i="23"/>
  <c r="H2500" i="23"/>
  <c r="J2500" i="23"/>
  <c r="K2500" i="23"/>
  <c r="D2501" i="23"/>
  <c r="E2501" i="23"/>
  <c r="F2501" i="23"/>
  <c r="H2501" i="23"/>
  <c r="J2501" i="23"/>
  <c r="K2501" i="23"/>
  <c r="D2502" i="23"/>
  <c r="E2502" i="23"/>
  <c r="F2502" i="23"/>
  <c r="H2502" i="23"/>
  <c r="J2502" i="23"/>
  <c r="K2502" i="23"/>
  <c r="D2503" i="23"/>
  <c r="E2503" i="23"/>
  <c r="F2503" i="23"/>
  <c r="H2503" i="23"/>
  <c r="J2503" i="23"/>
  <c r="K2503" i="23"/>
  <c r="D2504" i="23"/>
  <c r="E2504" i="23"/>
  <c r="F2504" i="23"/>
  <c r="J2504" i="23"/>
  <c r="K2504" i="23"/>
  <c r="D2505" i="23"/>
  <c r="E2505" i="23"/>
  <c r="F2505" i="23"/>
  <c r="H2505" i="23"/>
  <c r="J2505" i="23"/>
  <c r="K2505" i="23"/>
  <c r="D2506" i="23"/>
  <c r="E2506" i="23"/>
  <c r="F2506" i="23"/>
  <c r="H2506" i="23"/>
  <c r="J2506" i="23"/>
  <c r="K2506" i="23"/>
  <c r="D2507" i="23"/>
  <c r="E2507" i="23"/>
  <c r="F2507" i="23"/>
  <c r="H2507" i="23"/>
  <c r="J2507" i="23"/>
  <c r="K2507" i="23"/>
  <c r="L2509" i="23"/>
  <c r="M2509" i="23"/>
  <c r="O2509" i="23"/>
  <c r="D2510" i="23"/>
  <c r="E2510" i="23"/>
  <c r="F2510" i="23"/>
  <c r="H2510" i="23"/>
  <c r="J2510" i="23"/>
  <c r="K2510" i="23"/>
  <c r="D2511" i="23"/>
  <c r="E2511" i="23"/>
  <c r="F2511" i="23"/>
  <c r="H2511" i="23"/>
  <c r="J2511" i="23"/>
  <c r="K2511" i="23"/>
  <c r="D2512" i="23"/>
  <c r="E2512" i="23"/>
  <c r="F2512" i="23"/>
  <c r="H2512" i="23"/>
  <c r="J2512" i="23"/>
  <c r="K2512" i="23"/>
  <c r="D2513" i="23"/>
  <c r="E2513" i="23"/>
  <c r="F2513" i="23"/>
  <c r="H2513" i="23"/>
  <c r="J2513" i="23"/>
  <c r="K2513" i="23"/>
  <c r="D2514" i="23"/>
  <c r="E2514" i="23"/>
  <c r="F2514" i="23"/>
  <c r="H2514" i="23"/>
  <c r="J2514" i="23"/>
  <c r="K2514" i="23"/>
  <c r="D2515" i="23"/>
  <c r="E2515" i="23"/>
  <c r="F2515" i="23"/>
  <c r="H2515" i="23"/>
  <c r="J2515" i="23"/>
  <c r="K2515" i="23"/>
  <c r="D2516" i="23"/>
  <c r="E2516" i="23"/>
  <c r="F2516" i="23"/>
  <c r="H2516" i="23"/>
  <c r="J2516" i="23"/>
  <c r="K2516" i="23"/>
  <c r="D2519" i="23"/>
  <c r="E2519" i="23"/>
  <c r="F2519" i="23"/>
  <c r="H2519" i="23"/>
  <c r="J2519" i="23"/>
  <c r="K2519" i="23"/>
  <c r="D2520" i="23"/>
  <c r="E2520" i="23"/>
  <c r="F2520" i="23"/>
  <c r="H2520" i="23"/>
  <c r="J2520" i="23"/>
  <c r="K2520" i="23"/>
  <c r="D2521" i="23"/>
  <c r="E2521" i="23"/>
  <c r="F2521" i="23"/>
  <c r="H2521" i="23"/>
  <c r="J2521" i="23"/>
  <c r="K2521" i="23"/>
  <c r="D2522" i="23"/>
  <c r="E2522" i="23"/>
  <c r="F2522" i="23"/>
  <c r="H2522" i="23"/>
  <c r="J2522" i="23"/>
  <c r="K2522" i="23"/>
  <c r="D2523" i="23"/>
  <c r="E2523" i="23"/>
  <c r="F2523" i="23"/>
  <c r="H2523" i="23"/>
  <c r="J2523" i="23"/>
  <c r="K2523" i="23"/>
  <c r="D2524" i="23"/>
  <c r="E2524" i="23"/>
  <c r="F2524" i="23"/>
  <c r="H2524" i="23"/>
  <c r="J2524" i="23"/>
  <c r="K2524" i="23"/>
  <c r="D2525" i="23"/>
  <c r="E2525" i="23"/>
  <c r="F2525" i="23"/>
  <c r="H2525" i="23"/>
  <c r="J2525" i="23"/>
  <c r="K2525" i="23"/>
  <c r="D2526" i="23"/>
  <c r="E2526" i="23"/>
  <c r="F2526" i="23"/>
  <c r="H2526" i="23"/>
  <c r="J2526" i="23"/>
  <c r="K2526" i="23"/>
  <c r="D2527" i="23"/>
  <c r="E2527" i="23"/>
  <c r="F2527" i="23"/>
  <c r="H2527" i="23"/>
  <c r="J2527" i="23"/>
  <c r="K2527" i="23"/>
  <c r="D2528" i="23"/>
  <c r="E2528" i="23"/>
  <c r="F2528" i="23"/>
  <c r="H2528" i="23"/>
  <c r="J2528" i="23"/>
  <c r="K2528" i="23"/>
  <c r="D2529" i="23"/>
  <c r="E2529" i="23"/>
  <c r="F2529" i="23"/>
  <c r="H2529" i="23"/>
  <c r="J2529" i="23"/>
  <c r="K2529" i="23"/>
  <c r="D2530" i="23"/>
  <c r="E2530" i="23"/>
  <c r="F2530" i="23"/>
  <c r="H2530" i="23"/>
  <c r="J2530" i="23"/>
  <c r="K2530" i="23"/>
  <c r="D2533" i="23"/>
  <c r="E2533" i="23"/>
  <c r="F2533" i="23"/>
  <c r="H2533" i="23"/>
  <c r="J2533" i="23"/>
  <c r="K2533" i="23"/>
  <c r="D2537" i="23"/>
  <c r="E2537" i="23"/>
  <c r="F2537" i="23"/>
  <c r="H2537" i="23"/>
  <c r="J2537" i="23"/>
  <c r="N2537" i="23" s="1"/>
  <c r="K2537" i="23"/>
  <c r="D2538" i="23"/>
  <c r="E2538" i="23"/>
  <c r="F2538" i="23"/>
  <c r="H2538" i="23"/>
  <c r="J2538" i="23"/>
  <c r="N2538" i="23" s="1"/>
  <c r="K2538" i="23"/>
  <c r="D2539" i="23"/>
  <c r="E2539" i="23"/>
  <c r="F2539" i="23"/>
  <c r="H2539" i="23"/>
  <c r="J2539" i="23"/>
  <c r="K2539" i="23"/>
  <c r="D2540" i="23"/>
  <c r="E2540" i="23"/>
  <c r="F2540" i="23"/>
  <c r="H2540" i="23"/>
  <c r="J2540" i="23"/>
  <c r="K2540" i="23"/>
  <c r="D2541" i="23"/>
  <c r="E2541" i="23"/>
  <c r="F2541" i="23"/>
  <c r="J2541" i="23"/>
  <c r="D2542" i="23"/>
  <c r="E2542" i="23"/>
  <c r="F2542" i="23"/>
  <c r="J2542" i="23"/>
  <c r="D2545" i="23"/>
  <c r="E2545" i="23"/>
  <c r="F2545" i="23"/>
  <c r="H2545" i="23"/>
  <c r="J2545" i="23"/>
  <c r="K2545" i="23"/>
  <c r="D2546" i="23"/>
  <c r="E2546" i="23"/>
  <c r="F2546" i="23"/>
  <c r="H2546" i="23"/>
  <c r="J2546" i="23"/>
  <c r="K2546" i="23"/>
  <c r="D2547" i="23"/>
  <c r="E2547" i="23"/>
  <c r="F2547" i="23"/>
  <c r="H2547" i="23"/>
  <c r="J2547" i="23"/>
  <c r="K2547" i="23"/>
  <c r="D2548" i="23"/>
  <c r="E2548" i="23"/>
  <c r="F2548" i="23"/>
  <c r="H2548" i="23"/>
  <c r="J2548" i="23"/>
  <c r="K2548" i="23"/>
  <c r="D2551" i="23"/>
  <c r="E2551" i="23"/>
  <c r="F2551" i="23"/>
  <c r="H2551" i="23"/>
  <c r="J2551" i="23"/>
  <c r="K2551" i="23"/>
  <c r="D2552" i="23"/>
  <c r="E2552" i="23"/>
  <c r="F2552" i="23"/>
  <c r="H2552" i="23"/>
  <c r="J2552" i="23"/>
  <c r="N2552" i="23" s="1"/>
  <c r="K2552" i="23"/>
  <c r="D2553" i="23"/>
  <c r="E2553" i="23"/>
  <c r="F2553" i="23"/>
  <c r="H2553" i="23"/>
  <c r="J2553" i="23"/>
  <c r="K2553" i="23"/>
  <c r="D2554" i="23"/>
  <c r="E2554" i="23"/>
  <c r="F2554" i="23"/>
  <c r="H2554" i="23"/>
  <c r="J2554" i="23"/>
  <c r="K2554" i="23"/>
  <c r="D2555" i="23"/>
  <c r="E2555" i="23"/>
  <c r="F2555" i="23"/>
  <c r="H2555" i="23"/>
  <c r="J2555" i="23"/>
  <c r="K2555" i="23"/>
  <c r="D2556" i="23"/>
  <c r="E2556" i="23"/>
  <c r="F2556" i="23"/>
  <c r="H2556" i="23"/>
  <c r="J2556" i="23"/>
  <c r="K2556" i="23"/>
  <c r="D2557" i="23"/>
  <c r="E2557" i="23"/>
  <c r="F2557" i="23"/>
  <c r="H2557" i="23"/>
  <c r="J2557" i="23"/>
  <c r="K2557" i="23"/>
  <c r="D2558" i="23"/>
  <c r="E2558" i="23"/>
  <c r="F2558" i="23"/>
  <c r="H2558" i="23"/>
  <c r="J2558" i="23"/>
  <c r="K2558" i="23"/>
  <c r="D2559" i="23"/>
  <c r="E2559" i="23"/>
  <c r="F2559" i="23"/>
  <c r="H2559" i="23"/>
  <c r="J2559" i="23"/>
  <c r="K2559" i="23"/>
  <c r="E2560" i="23"/>
  <c r="F2560" i="23"/>
  <c r="H2560" i="23"/>
  <c r="D2561" i="23"/>
  <c r="E2561" i="23"/>
  <c r="F2561" i="23"/>
  <c r="H2561" i="23"/>
  <c r="J2561" i="23"/>
  <c r="K2561" i="23"/>
  <c r="D2562" i="23"/>
  <c r="E2562" i="23"/>
  <c r="F2562" i="23"/>
  <c r="H2562" i="23"/>
  <c r="J2562" i="23"/>
  <c r="K2562" i="23"/>
  <c r="D2563" i="23"/>
  <c r="E2563" i="23"/>
  <c r="F2563" i="23"/>
  <c r="H2563" i="23"/>
  <c r="J2563" i="23"/>
  <c r="K2563" i="23"/>
  <c r="D2594" i="23"/>
  <c r="E2594" i="23"/>
  <c r="F2594" i="23"/>
  <c r="H2594" i="23"/>
  <c r="J2594" i="23"/>
  <c r="K2594" i="23"/>
  <c r="D2598" i="23"/>
  <c r="F2598" i="23"/>
  <c r="H2598" i="23"/>
  <c r="I2598" i="23"/>
  <c r="D2599" i="23"/>
  <c r="E2599" i="23"/>
  <c r="F2599" i="23"/>
  <c r="H2599" i="23"/>
  <c r="I2599" i="23"/>
  <c r="J2599" i="23"/>
  <c r="K2599" i="23"/>
  <c r="D2600" i="23"/>
  <c r="E2600" i="23"/>
  <c r="F2600" i="23"/>
  <c r="H2600" i="23"/>
  <c r="I2600" i="23"/>
  <c r="J2600" i="23"/>
  <c r="K2600" i="23"/>
  <c r="D2601" i="23"/>
  <c r="E2601" i="23"/>
  <c r="F2601" i="23"/>
  <c r="H2601" i="23"/>
  <c r="I2601" i="23"/>
  <c r="J2601" i="23"/>
  <c r="K2601" i="23"/>
  <c r="A2602" i="23"/>
  <c r="D2602" i="23"/>
  <c r="E2602" i="23"/>
  <c r="F2602" i="23"/>
  <c r="H2602" i="23"/>
  <c r="L2602" i="23" s="1"/>
  <c r="I2602" i="23"/>
  <c r="M2602" i="23" s="1"/>
  <c r="J2602" i="23"/>
  <c r="N2602" i="23" s="1"/>
  <c r="K2602" i="23"/>
  <c r="O2602" i="23" s="1"/>
  <c r="D2603" i="23"/>
  <c r="F2603" i="23"/>
  <c r="H2603" i="23"/>
  <c r="I2603" i="23"/>
  <c r="J2603" i="23"/>
  <c r="K2603" i="23"/>
  <c r="D2606" i="23"/>
  <c r="E2606" i="23"/>
  <c r="F2606" i="23"/>
  <c r="H2606" i="23"/>
  <c r="I2606" i="23"/>
  <c r="J2606" i="23"/>
  <c r="K2606" i="23"/>
  <c r="E2610" i="23"/>
  <c r="F2610" i="23"/>
  <c r="H2610" i="23"/>
  <c r="E2611" i="23"/>
  <c r="F2611" i="23"/>
  <c r="H2611" i="23"/>
  <c r="D2612" i="23"/>
  <c r="E2612" i="23"/>
  <c r="F2612" i="23"/>
  <c r="J2612" i="23"/>
  <c r="K2612" i="23"/>
  <c r="E2614" i="23"/>
  <c r="F2614" i="23"/>
  <c r="H2614" i="23"/>
  <c r="E2615" i="23"/>
  <c r="F2615" i="23"/>
  <c r="H2615" i="23"/>
  <c r="D2616" i="23"/>
  <c r="E2616" i="23"/>
  <c r="F2616" i="23"/>
  <c r="J2616" i="23"/>
  <c r="K2616" i="23"/>
  <c r="D2618" i="23"/>
  <c r="E2618" i="23"/>
  <c r="F2618" i="23"/>
  <c r="H2618" i="23"/>
  <c r="J2618" i="23"/>
  <c r="D2620" i="23"/>
  <c r="D2626" i="23"/>
  <c r="E2626" i="23"/>
  <c r="F2626" i="23"/>
  <c r="H2626" i="23"/>
  <c r="J2626" i="23"/>
  <c r="E2627" i="23"/>
  <c r="F2627" i="23"/>
  <c r="H2627" i="23"/>
  <c r="B2628" i="23"/>
  <c r="D2628" i="23" s="1"/>
  <c r="B2629" i="23"/>
  <c r="E2629" i="23" s="1"/>
  <c r="L2639" i="23"/>
  <c r="M2639" i="23"/>
  <c r="N2639" i="23"/>
  <c r="O2639" i="23"/>
  <c r="D2640" i="23"/>
  <c r="E2640" i="23"/>
  <c r="H2640" i="23"/>
  <c r="D2641" i="23"/>
  <c r="H2641" i="23"/>
  <c r="D2642" i="23"/>
  <c r="E2642" i="23"/>
  <c r="H2642" i="23"/>
  <c r="D2643" i="23"/>
  <c r="E2643" i="23"/>
  <c r="H2643" i="23"/>
  <c r="D2644" i="23"/>
  <c r="E2644" i="23"/>
  <c r="H2644" i="23"/>
  <c r="D2645" i="23"/>
  <c r="E2645" i="23"/>
  <c r="L2647" i="23"/>
  <c r="M2647" i="23"/>
  <c r="N2647" i="23"/>
  <c r="O2647" i="23"/>
  <c r="D2648" i="23"/>
  <c r="E2648" i="23"/>
  <c r="H2648" i="23"/>
  <c r="D2649" i="23"/>
  <c r="H2649" i="23"/>
  <c r="D2650" i="23"/>
  <c r="E2650" i="23"/>
  <c r="H2650" i="23"/>
  <c r="D2651" i="23"/>
  <c r="E2651" i="23"/>
  <c r="H2651" i="23"/>
  <c r="D2652" i="23"/>
  <c r="E2652" i="23"/>
  <c r="H2652" i="23"/>
  <c r="D2653" i="23"/>
  <c r="E2653" i="23"/>
  <c r="H2653" i="23"/>
  <c r="D2654" i="23"/>
  <c r="E2654" i="23"/>
  <c r="L2656" i="23"/>
  <c r="M2656" i="23"/>
  <c r="N2656" i="23"/>
  <c r="O2656" i="23"/>
  <c r="D2657" i="23"/>
  <c r="E2657" i="23"/>
  <c r="F2657" i="23"/>
  <c r="H2657" i="23"/>
  <c r="D2658" i="23"/>
  <c r="E2658" i="23"/>
  <c r="F2658" i="23"/>
  <c r="H2658" i="23"/>
  <c r="D2659" i="23"/>
  <c r="E2659" i="23"/>
  <c r="F2659" i="23"/>
  <c r="H2659" i="23"/>
  <c r="D2660" i="23"/>
  <c r="E2660" i="23"/>
  <c r="F2660" i="23"/>
  <c r="H2660" i="23"/>
  <c r="D2661" i="23"/>
  <c r="E2661" i="23"/>
  <c r="F2661" i="23"/>
  <c r="H2661" i="23"/>
  <c r="D2662" i="23"/>
  <c r="E2662" i="23"/>
  <c r="F2662" i="23"/>
  <c r="H2662" i="23"/>
  <c r="D2663" i="23"/>
  <c r="E2663" i="23"/>
  <c r="F2663" i="23"/>
  <c r="H2663" i="23"/>
  <c r="B2664" i="23"/>
  <c r="B2665" i="23"/>
  <c r="D2666" i="23"/>
  <c r="E2666" i="23"/>
  <c r="F2666" i="23"/>
  <c r="H2666" i="23"/>
  <c r="D2667" i="23"/>
  <c r="E2667" i="23"/>
  <c r="F2667" i="23"/>
  <c r="H2667" i="23"/>
  <c r="L2669" i="23"/>
  <c r="M2669" i="23"/>
  <c r="N2669" i="23"/>
  <c r="O2669" i="23"/>
  <c r="D2670" i="23"/>
  <c r="E2670" i="23"/>
  <c r="F2670" i="23"/>
  <c r="H2670" i="23"/>
  <c r="J2670" i="23"/>
  <c r="K2670" i="23"/>
  <c r="D2671" i="23"/>
  <c r="E2671" i="23"/>
  <c r="F2671" i="23"/>
  <c r="H2671" i="23"/>
  <c r="J2671" i="23"/>
  <c r="K2671" i="23"/>
  <c r="D2672" i="23"/>
  <c r="E2672" i="23"/>
  <c r="F2672" i="23"/>
  <c r="H2672" i="23"/>
  <c r="J2672" i="23"/>
  <c r="K2672" i="23"/>
  <c r="L2674" i="23"/>
  <c r="M2674" i="23"/>
  <c r="N2674" i="23"/>
  <c r="O2674" i="23"/>
  <c r="D2675" i="23"/>
  <c r="E2675" i="23"/>
  <c r="F2675" i="23"/>
  <c r="H2675" i="23"/>
  <c r="J2675" i="23"/>
  <c r="K2675" i="23"/>
  <c r="D2676" i="23"/>
  <c r="E2676" i="23"/>
  <c r="F2676" i="23"/>
  <c r="H2676" i="23"/>
  <c r="J2676" i="23"/>
  <c r="K2676" i="23"/>
  <c r="D2677" i="23"/>
  <c r="E2677" i="23"/>
  <c r="F2677" i="23"/>
  <c r="H2677" i="23"/>
  <c r="J2677" i="23"/>
  <c r="K2677" i="23"/>
  <c r="D2678" i="23"/>
  <c r="E2678" i="23"/>
  <c r="F2678" i="23"/>
  <c r="H2678" i="23"/>
  <c r="J2678" i="23"/>
  <c r="K2678" i="23"/>
  <c r="D2679" i="23"/>
  <c r="E2679" i="23"/>
  <c r="F2679" i="23"/>
  <c r="H2679" i="23"/>
  <c r="J2679" i="23"/>
  <c r="K2679" i="23"/>
  <c r="D2680" i="23"/>
  <c r="E2680" i="23"/>
  <c r="F2680" i="23"/>
  <c r="H2680" i="23"/>
  <c r="J2680" i="23"/>
  <c r="K2680" i="23"/>
  <c r="D2681" i="23"/>
  <c r="E2681" i="23"/>
  <c r="F2681" i="23"/>
  <c r="H2681" i="23"/>
  <c r="J2681" i="23"/>
  <c r="K2681" i="23"/>
  <c r="D2682" i="23"/>
  <c r="E2682" i="23"/>
  <c r="F2682" i="23"/>
  <c r="H2682" i="23"/>
  <c r="J2682" i="23"/>
  <c r="K2682" i="23"/>
  <c r="L2684" i="23"/>
  <c r="M2684" i="23"/>
  <c r="N2684" i="23"/>
  <c r="O2684" i="23"/>
  <c r="D2685" i="23"/>
  <c r="E2685" i="23"/>
  <c r="F2685" i="23"/>
  <c r="H2685" i="23"/>
  <c r="J2685" i="23"/>
  <c r="K2685" i="23"/>
  <c r="D2686" i="23"/>
  <c r="E2686" i="23"/>
  <c r="F2686" i="23"/>
  <c r="H2686" i="23"/>
  <c r="J2686" i="23"/>
  <c r="K2686" i="23"/>
  <c r="D2687" i="23"/>
  <c r="E2687" i="23"/>
  <c r="F2687" i="23"/>
  <c r="H2687" i="23"/>
  <c r="J2687" i="23"/>
  <c r="K2687" i="23"/>
  <c r="D2688" i="23"/>
  <c r="E2688" i="23"/>
  <c r="F2688" i="23"/>
  <c r="H2688" i="23"/>
  <c r="J2688" i="23"/>
  <c r="K2688" i="23"/>
  <c r="D2689" i="23"/>
  <c r="E2689" i="23"/>
  <c r="F2689" i="23"/>
  <c r="H2689" i="23"/>
  <c r="J2689" i="23"/>
  <c r="K2689" i="23"/>
  <c r="D2690" i="23"/>
  <c r="E2690" i="23"/>
  <c r="F2690" i="23"/>
  <c r="H2690" i="23"/>
  <c r="J2690" i="23"/>
  <c r="K2690" i="23"/>
  <c r="D2691" i="23"/>
  <c r="E2691" i="23"/>
  <c r="F2691" i="23"/>
  <c r="H2691" i="23"/>
  <c r="J2691" i="23"/>
  <c r="K2691" i="23"/>
  <c r="D2694" i="23"/>
  <c r="E2694" i="23"/>
  <c r="F2694" i="23"/>
  <c r="H2694" i="23"/>
  <c r="J2694" i="23"/>
  <c r="K2694" i="23"/>
  <c r="D2695" i="23"/>
  <c r="E2695" i="23"/>
  <c r="F2695" i="23"/>
  <c r="H2695" i="23"/>
  <c r="J2695" i="23"/>
  <c r="K2695" i="23"/>
  <c r="D2696" i="23"/>
  <c r="E2696" i="23"/>
  <c r="F2696" i="23"/>
  <c r="H2696" i="23"/>
  <c r="J2696" i="23"/>
  <c r="K2696" i="23"/>
  <c r="D2697" i="23"/>
  <c r="E2697" i="23"/>
  <c r="F2697" i="23"/>
  <c r="H2697" i="23"/>
  <c r="J2697" i="23"/>
  <c r="K2697" i="23"/>
  <c r="D2698" i="23"/>
  <c r="E2698" i="23"/>
  <c r="F2698" i="23"/>
  <c r="H2698" i="23"/>
  <c r="J2698" i="23"/>
  <c r="K2698" i="23"/>
  <c r="D2699" i="23"/>
  <c r="E2699" i="23"/>
  <c r="F2699" i="23"/>
  <c r="H2699" i="23"/>
  <c r="J2699" i="23"/>
  <c r="K2699" i="23"/>
  <c r="D2700" i="23"/>
  <c r="E2700" i="23"/>
  <c r="F2700" i="23"/>
  <c r="H2700" i="23"/>
  <c r="J2700" i="23"/>
  <c r="K2700" i="23"/>
  <c r="D2701" i="23"/>
  <c r="E2701" i="23"/>
  <c r="F2701" i="23"/>
  <c r="H2701" i="23"/>
  <c r="J2701" i="23"/>
  <c r="K2701" i="23"/>
  <c r="D2702" i="23"/>
  <c r="E2702" i="23"/>
  <c r="F2702" i="23"/>
  <c r="H2702" i="23"/>
  <c r="J2702" i="23"/>
  <c r="K2702" i="23"/>
  <c r="D2703" i="23"/>
  <c r="E2703" i="23"/>
  <c r="F2703" i="23"/>
  <c r="H2703" i="23"/>
  <c r="J2703" i="23"/>
  <c r="K2703" i="23"/>
  <c r="D2704" i="23"/>
  <c r="E2704" i="23"/>
  <c r="F2704" i="23"/>
  <c r="H2704" i="23"/>
  <c r="J2704" i="23"/>
  <c r="K2704" i="23"/>
  <c r="D2705" i="23"/>
  <c r="E2705" i="23"/>
  <c r="F2705" i="23"/>
  <c r="H2705" i="23"/>
  <c r="J2705" i="23"/>
  <c r="K2705" i="23"/>
  <c r="D2708" i="23"/>
  <c r="E2708" i="23"/>
  <c r="F2708" i="23"/>
  <c r="H2708" i="23"/>
  <c r="J2708" i="23"/>
  <c r="K2708" i="23"/>
  <c r="D2709" i="23"/>
  <c r="E2709" i="23"/>
  <c r="F2709" i="23"/>
  <c r="H2709" i="23"/>
  <c r="J2709" i="23"/>
  <c r="K2709" i="23"/>
  <c r="D2713" i="23"/>
  <c r="E2713" i="23"/>
  <c r="F2713" i="23"/>
  <c r="H2713" i="23"/>
  <c r="J2713" i="23"/>
  <c r="K2713" i="23"/>
  <c r="D2714" i="23"/>
  <c r="E2714" i="23"/>
  <c r="F2714" i="23"/>
  <c r="H2714" i="23"/>
  <c r="J2714" i="23"/>
  <c r="K2714" i="23"/>
  <c r="D2715" i="23"/>
  <c r="E2715" i="23"/>
  <c r="F2715" i="23"/>
  <c r="H2715" i="23"/>
  <c r="J2715" i="23"/>
  <c r="K2715" i="23"/>
  <c r="D2716" i="23"/>
  <c r="E2716" i="23"/>
  <c r="F2716" i="23"/>
  <c r="H2716" i="23"/>
  <c r="J2716" i="23"/>
  <c r="K2716" i="23"/>
  <c r="D2718" i="23"/>
  <c r="E2718" i="23"/>
  <c r="F2718" i="23"/>
  <c r="J2718" i="23"/>
  <c r="D2719" i="23"/>
  <c r="E2719" i="23"/>
  <c r="F2719" i="23"/>
  <c r="J2719" i="23"/>
  <c r="D2722" i="23"/>
  <c r="F2722" i="23"/>
  <c r="H2722" i="23"/>
  <c r="J2722" i="23"/>
  <c r="K2722" i="23"/>
  <c r="D2723" i="23"/>
  <c r="E2723" i="23"/>
  <c r="F2723" i="23"/>
  <c r="H2723" i="23"/>
  <c r="J2723" i="23"/>
  <c r="K2723" i="23"/>
  <c r="D2724" i="23"/>
  <c r="E2724" i="23"/>
  <c r="F2724" i="23"/>
  <c r="H2724" i="23"/>
  <c r="J2724" i="23"/>
  <c r="K2724" i="23"/>
  <c r="D2725" i="23"/>
  <c r="E2725" i="23"/>
  <c r="F2725" i="23"/>
  <c r="H2725" i="23"/>
  <c r="J2725" i="23"/>
  <c r="K2725" i="23"/>
  <c r="D2726" i="23"/>
  <c r="E2726" i="23"/>
  <c r="F2726" i="23"/>
  <c r="H2726" i="23"/>
  <c r="J2726" i="23"/>
  <c r="K2726" i="23"/>
  <c r="E2727" i="23"/>
  <c r="F2727" i="23"/>
  <c r="H2727" i="23"/>
  <c r="D2728" i="23"/>
  <c r="E2728" i="23"/>
  <c r="F2728" i="23"/>
  <c r="H2728" i="23"/>
  <c r="J2728" i="23"/>
  <c r="K2728" i="23"/>
  <c r="D2729" i="23"/>
  <c r="E2729" i="23"/>
  <c r="F2729" i="23"/>
  <c r="H2729" i="23"/>
  <c r="J2729" i="23"/>
  <c r="K2729" i="23"/>
  <c r="D2730" i="23"/>
  <c r="E2730" i="23"/>
  <c r="F2730" i="23"/>
  <c r="H2730" i="23"/>
  <c r="J2730" i="23"/>
  <c r="K2730" i="23"/>
  <c r="D2794" i="23"/>
  <c r="E2794" i="23"/>
  <c r="F2794" i="23"/>
  <c r="H2794" i="23"/>
  <c r="I2794" i="23"/>
  <c r="J2794" i="23"/>
  <c r="K2794" i="23"/>
  <c r="D2797" i="23"/>
  <c r="E2797" i="23"/>
  <c r="F2797" i="23"/>
  <c r="H2797" i="23"/>
  <c r="I2797" i="23"/>
  <c r="J2797" i="23"/>
  <c r="K2797" i="23"/>
  <c r="D2798" i="23"/>
  <c r="E2798" i="23"/>
  <c r="F2798" i="23"/>
  <c r="H2798" i="23"/>
  <c r="I2798" i="23"/>
  <c r="J2798" i="23"/>
  <c r="K2798" i="23"/>
  <c r="D2799" i="23"/>
  <c r="E2799" i="23"/>
  <c r="F2799" i="23"/>
  <c r="H2799" i="23"/>
  <c r="I2799" i="23"/>
  <c r="J2799" i="23"/>
  <c r="K2799" i="23"/>
  <c r="D2800" i="23"/>
  <c r="E2800" i="23"/>
  <c r="F2800" i="23"/>
  <c r="H2800" i="23"/>
  <c r="I2800" i="23"/>
  <c r="J2800" i="23"/>
  <c r="K2800" i="23"/>
  <c r="E2804" i="23"/>
  <c r="F2804" i="23"/>
  <c r="H2804" i="23"/>
  <c r="E2805" i="23"/>
  <c r="F2805" i="23"/>
  <c r="H2805" i="23"/>
  <c r="D2806" i="23"/>
  <c r="E2806" i="23"/>
  <c r="F2806" i="23"/>
  <c r="J2806" i="23"/>
  <c r="K2806" i="23"/>
  <c r="E2808" i="23"/>
  <c r="F2808" i="23"/>
  <c r="H2808" i="23"/>
  <c r="E2809" i="23"/>
  <c r="F2809" i="23"/>
  <c r="H2809" i="23"/>
  <c r="D2810" i="23"/>
  <c r="E2810" i="23"/>
  <c r="F2810" i="23"/>
  <c r="J2810" i="23"/>
  <c r="K2810" i="23"/>
  <c r="D2812" i="23"/>
  <c r="E2812" i="23"/>
  <c r="F2812" i="23"/>
  <c r="H2812" i="23"/>
  <c r="J2812" i="23"/>
  <c r="E2813" i="23"/>
  <c r="F2813" i="23"/>
  <c r="H2813" i="23"/>
  <c r="B2814" i="23"/>
  <c r="E2814" i="23" s="1"/>
  <c r="B2815" i="23"/>
  <c r="F2815" i="23" s="1"/>
  <c r="D2817" i="23"/>
  <c r="E2817" i="23"/>
  <c r="F2817" i="23"/>
  <c r="H2817" i="23"/>
  <c r="J2817" i="23"/>
  <c r="E2818" i="23"/>
  <c r="F2818" i="23"/>
  <c r="H2818" i="23"/>
  <c r="B2819" i="23"/>
  <c r="F2819" i="23" s="1"/>
  <c r="B2820" i="23"/>
  <c r="A2821" i="23"/>
  <c r="A2822" i="23" s="1"/>
  <c r="L2821" i="23"/>
  <c r="M2821" i="23"/>
  <c r="N2821" i="23"/>
  <c r="O2821" i="23"/>
  <c r="L2822" i="23"/>
  <c r="M2822" i="23"/>
  <c r="N2822" i="23"/>
  <c r="O2822" i="23"/>
  <c r="D2823" i="23"/>
  <c r="E2823" i="23"/>
  <c r="F2823" i="23"/>
  <c r="G2823" i="23"/>
  <c r="A2823" i="23" s="1"/>
  <c r="H2823" i="23"/>
  <c r="D2824" i="23"/>
  <c r="E2824" i="23"/>
  <c r="F2824" i="23"/>
  <c r="G2824" i="23"/>
  <c r="A2824" i="23" s="1"/>
  <c r="H2824" i="23"/>
  <c r="D2825" i="23"/>
  <c r="E2825" i="23"/>
  <c r="F2825" i="23"/>
  <c r="G2825" i="23"/>
  <c r="G2826" i="23" s="1"/>
  <c r="N2826" i="23" s="1"/>
  <c r="H2825" i="23"/>
  <c r="D2826" i="23"/>
  <c r="E2826" i="23"/>
  <c r="F2826" i="23"/>
  <c r="H2826" i="23"/>
  <c r="D2827" i="23"/>
  <c r="E2827" i="23"/>
  <c r="F2827" i="23"/>
  <c r="G2827" i="23"/>
  <c r="A2827" i="23" s="1"/>
  <c r="J2827" i="23"/>
  <c r="L2829" i="23"/>
  <c r="M2829" i="23"/>
  <c r="N2829" i="23"/>
  <c r="O2829" i="23"/>
  <c r="D2830" i="23"/>
  <c r="E2830" i="23"/>
  <c r="F2830" i="23"/>
  <c r="H2830" i="23"/>
  <c r="D2831" i="23"/>
  <c r="E2831" i="23"/>
  <c r="F2831" i="23"/>
  <c r="H2831" i="23"/>
  <c r="D2832" i="23"/>
  <c r="E2832" i="23"/>
  <c r="F2832" i="23"/>
  <c r="H2832" i="23"/>
  <c r="D2833" i="23"/>
  <c r="E2833" i="23"/>
  <c r="F2833" i="23"/>
  <c r="H2833" i="23"/>
  <c r="D2834" i="23"/>
  <c r="E2834" i="23"/>
  <c r="F2834" i="23"/>
  <c r="H2834" i="23"/>
  <c r="J2834" i="23"/>
  <c r="L2836" i="23"/>
  <c r="M2836" i="23"/>
  <c r="N2836" i="23"/>
  <c r="O2836" i="23"/>
  <c r="D2837" i="23"/>
  <c r="E2837" i="23"/>
  <c r="H2837" i="23"/>
  <c r="D2838" i="23"/>
  <c r="E2838" i="23"/>
  <c r="H2838" i="23"/>
  <c r="D2839" i="23"/>
  <c r="E2839" i="23"/>
  <c r="H2839" i="23"/>
  <c r="D2840" i="23"/>
  <c r="E2840" i="23"/>
  <c r="H2840" i="23"/>
  <c r="D2841" i="23"/>
  <c r="E2841" i="23"/>
  <c r="H2841" i="23"/>
  <c r="D2842" i="23"/>
  <c r="E2842" i="23"/>
  <c r="J2842" i="23"/>
  <c r="L2844" i="23"/>
  <c r="M2844" i="23"/>
  <c r="N2844" i="23"/>
  <c r="O2844" i="23"/>
  <c r="D2845" i="23"/>
  <c r="E2845" i="23"/>
  <c r="H2845" i="23"/>
  <c r="D2846" i="23"/>
  <c r="E2846" i="23"/>
  <c r="H2846" i="23"/>
  <c r="D2847" i="23"/>
  <c r="E2847" i="23"/>
  <c r="H2847" i="23"/>
  <c r="D2848" i="23"/>
  <c r="E2848" i="23"/>
  <c r="H2848" i="23"/>
  <c r="D2849" i="23"/>
  <c r="E2849" i="23"/>
  <c r="H2849" i="23"/>
  <c r="D2850" i="23"/>
  <c r="E2850" i="23"/>
  <c r="H2850" i="23"/>
  <c r="D2851" i="23"/>
  <c r="E2851" i="23"/>
  <c r="J2851" i="23"/>
  <c r="L2853" i="23"/>
  <c r="M2853" i="23"/>
  <c r="N2853" i="23"/>
  <c r="O2853" i="23"/>
  <c r="D2854" i="23"/>
  <c r="E2854" i="23"/>
  <c r="F2854" i="23"/>
  <c r="H2854" i="23"/>
  <c r="J2854" i="23"/>
  <c r="K2854" i="23"/>
  <c r="D2855" i="23"/>
  <c r="E2855" i="23"/>
  <c r="F2855" i="23"/>
  <c r="H2855" i="23"/>
  <c r="J2855" i="23"/>
  <c r="K2855" i="23"/>
  <c r="D2856" i="23"/>
  <c r="E2856" i="23"/>
  <c r="F2856" i="23"/>
  <c r="H2856" i="23"/>
  <c r="J2856" i="23"/>
  <c r="K2856" i="23"/>
  <c r="D2857" i="23"/>
  <c r="E2857" i="23"/>
  <c r="F2857" i="23"/>
  <c r="H2857" i="23"/>
  <c r="J2857" i="23"/>
  <c r="D2858" i="23"/>
  <c r="E2858" i="23"/>
  <c r="F2858" i="23"/>
  <c r="H2858" i="23"/>
  <c r="J2858" i="23"/>
  <c r="D2859" i="23"/>
  <c r="E2859" i="23"/>
  <c r="F2859" i="23"/>
  <c r="H2859" i="23"/>
  <c r="J2859" i="23"/>
  <c r="K2859" i="23"/>
  <c r="D2860" i="23"/>
  <c r="E2860" i="23"/>
  <c r="F2860" i="23"/>
  <c r="H2860" i="23"/>
  <c r="J2860" i="23"/>
  <c r="K2860" i="23"/>
  <c r="B2861" i="23"/>
  <c r="J2861" i="23" s="1"/>
  <c r="B2862" i="23"/>
  <c r="E2862" i="23" s="1"/>
  <c r="D2863" i="23"/>
  <c r="E2863" i="23"/>
  <c r="F2863" i="23"/>
  <c r="H2863" i="23"/>
  <c r="J2863" i="23"/>
  <c r="D2864" i="23"/>
  <c r="E2864" i="23"/>
  <c r="F2864" i="23"/>
  <c r="H2864" i="23"/>
  <c r="J2864" i="23"/>
  <c r="K2864" i="23"/>
  <c r="L2866" i="23"/>
  <c r="M2866" i="23"/>
  <c r="N2866" i="23"/>
  <c r="O2866" i="23"/>
  <c r="D2867" i="23"/>
  <c r="E2867" i="23"/>
  <c r="F2867" i="23"/>
  <c r="H2867" i="23"/>
  <c r="J2867" i="23"/>
  <c r="K2867" i="23"/>
  <c r="D2868" i="23"/>
  <c r="E2868" i="23"/>
  <c r="F2868" i="23"/>
  <c r="H2868" i="23"/>
  <c r="J2868" i="23"/>
  <c r="K2868" i="23"/>
  <c r="D2869" i="23"/>
  <c r="E2869" i="23"/>
  <c r="F2869" i="23"/>
  <c r="H2869" i="23"/>
  <c r="J2869" i="23"/>
  <c r="K2869" i="23"/>
  <c r="L2871" i="23"/>
  <c r="M2871" i="23"/>
  <c r="N2871" i="23"/>
  <c r="O2871" i="23"/>
  <c r="D2872" i="23"/>
  <c r="E2872" i="23"/>
  <c r="F2872" i="23"/>
  <c r="H2872" i="23"/>
  <c r="J2872" i="23"/>
  <c r="K2872" i="23"/>
  <c r="D2873" i="23"/>
  <c r="E2873" i="23"/>
  <c r="F2873" i="23"/>
  <c r="H2873" i="23"/>
  <c r="J2873" i="23"/>
  <c r="K2873" i="23"/>
  <c r="D2874" i="23"/>
  <c r="E2874" i="23"/>
  <c r="F2874" i="23"/>
  <c r="H2874" i="23"/>
  <c r="J2874" i="23"/>
  <c r="K2874" i="23"/>
  <c r="D2875" i="23"/>
  <c r="E2875" i="23"/>
  <c r="F2875" i="23"/>
  <c r="H2875" i="23"/>
  <c r="J2875" i="23"/>
  <c r="K2875" i="23"/>
  <c r="D2876" i="23"/>
  <c r="E2876" i="23"/>
  <c r="F2876" i="23"/>
  <c r="H2876" i="23"/>
  <c r="J2876" i="23"/>
  <c r="K2876" i="23"/>
  <c r="D2877" i="23"/>
  <c r="E2877" i="23"/>
  <c r="F2877" i="23"/>
  <c r="H2877" i="23"/>
  <c r="J2877" i="23"/>
  <c r="K2877" i="23"/>
  <c r="D2878" i="23"/>
  <c r="E2878" i="23"/>
  <c r="F2878" i="23"/>
  <c r="H2878" i="23"/>
  <c r="J2878" i="23"/>
  <c r="K2878" i="23"/>
  <c r="D2879" i="23"/>
  <c r="E2879" i="23"/>
  <c r="F2879" i="23"/>
  <c r="H2879" i="23"/>
  <c r="J2879" i="23"/>
  <c r="K2879" i="23"/>
  <c r="L2881" i="23"/>
  <c r="M2881" i="23"/>
  <c r="N2881" i="23"/>
  <c r="O2881" i="23"/>
  <c r="D2882" i="23"/>
  <c r="E2882" i="23"/>
  <c r="F2882" i="23"/>
  <c r="H2882" i="23"/>
  <c r="J2882" i="23"/>
  <c r="K2882" i="23"/>
  <c r="D2883" i="23"/>
  <c r="E2883" i="23"/>
  <c r="F2883" i="23"/>
  <c r="H2883" i="23"/>
  <c r="J2883" i="23"/>
  <c r="K2883" i="23"/>
  <c r="D2884" i="23"/>
  <c r="E2884" i="23"/>
  <c r="F2884" i="23"/>
  <c r="H2884" i="23"/>
  <c r="J2884" i="23"/>
  <c r="K2884" i="23"/>
  <c r="D2885" i="23"/>
  <c r="E2885" i="23"/>
  <c r="F2885" i="23"/>
  <c r="H2885" i="23"/>
  <c r="J2885" i="23"/>
  <c r="K2885" i="23"/>
  <c r="D2886" i="23"/>
  <c r="E2886" i="23"/>
  <c r="F2886" i="23"/>
  <c r="H2886" i="23"/>
  <c r="J2886" i="23"/>
  <c r="K2886" i="23"/>
  <c r="D2887" i="23"/>
  <c r="E2887" i="23"/>
  <c r="F2887" i="23"/>
  <c r="H2887" i="23"/>
  <c r="J2887" i="23"/>
  <c r="K2887" i="23"/>
  <c r="D2888" i="23"/>
  <c r="E2888" i="23"/>
  <c r="F2888" i="23"/>
  <c r="H2888" i="23"/>
  <c r="J2888" i="23"/>
  <c r="K2888" i="23"/>
  <c r="D2891" i="23"/>
  <c r="E2891" i="23"/>
  <c r="F2891" i="23"/>
  <c r="H2891" i="23"/>
  <c r="J2891" i="23"/>
  <c r="K2891" i="23"/>
  <c r="D2892" i="23"/>
  <c r="E2892" i="23"/>
  <c r="F2892" i="23"/>
  <c r="H2892" i="23"/>
  <c r="J2892" i="23"/>
  <c r="K2892" i="23"/>
  <c r="D2893" i="23"/>
  <c r="E2893" i="23"/>
  <c r="F2893" i="23"/>
  <c r="H2893" i="23"/>
  <c r="J2893" i="23"/>
  <c r="K2893" i="23"/>
  <c r="D2894" i="23"/>
  <c r="E2894" i="23"/>
  <c r="F2894" i="23"/>
  <c r="H2894" i="23"/>
  <c r="J2894" i="23"/>
  <c r="K2894" i="23"/>
  <c r="D2895" i="23"/>
  <c r="E2895" i="23"/>
  <c r="F2895" i="23"/>
  <c r="H2895" i="23"/>
  <c r="J2895" i="23"/>
  <c r="K2895" i="23"/>
  <c r="D2896" i="23"/>
  <c r="E2896" i="23"/>
  <c r="F2896" i="23"/>
  <c r="H2896" i="23"/>
  <c r="J2896" i="23"/>
  <c r="K2896" i="23"/>
  <c r="D2897" i="23"/>
  <c r="E2897" i="23"/>
  <c r="F2897" i="23"/>
  <c r="H2897" i="23"/>
  <c r="J2897" i="23"/>
  <c r="K2897" i="23"/>
  <c r="D2898" i="23"/>
  <c r="E2898" i="23"/>
  <c r="F2898" i="23"/>
  <c r="H2898" i="23"/>
  <c r="J2898" i="23"/>
  <c r="K2898" i="23"/>
  <c r="D2899" i="23"/>
  <c r="E2899" i="23"/>
  <c r="F2899" i="23"/>
  <c r="H2899" i="23"/>
  <c r="J2899" i="23"/>
  <c r="K2899" i="23"/>
  <c r="D2900" i="23"/>
  <c r="E2900" i="23"/>
  <c r="F2900" i="23"/>
  <c r="H2900" i="23"/>
  <c r="J2900" i="23"/>
  <c r="K2900" i="23"/>
  <c r="D2901" i="23"/>
  <c r="E2901" i="23"/>
  <c r="F2901" i="23"/>
  <c r="H2901" i="23"/>
  <c r="J2901" i="23"/>
  <c r="K2901" i="23"/>
  <c r="D2902" i="23"/>
  <c r="E2902" i="23"/>
  <c r="F2902" i="23"/>
  <c r="H2902" i="23"/>
  <c r="J2902" i="23"/>
  <c r="K2902" i="23"/>
  <c r="D2905" i="23"/>
  <c r="E2905" i="23"/>
  <c r="F2905" i="23"/>
  <c r="H2905" i="23"/>
  <c r="J2905" i="23"/>
  <c r="K2905" i="23"/>
  <c r="D2906" i="23"/>
  <c r="E2906" i="23"/>
  <c r="F2906" i="23"/>
  <c r="H2906" i="23"/>
  <c r="J2906" i="23"/>
  <c r="K2906" i="23"/>
  <c r="D2907" i="23"/>
  <c r="E2907" i="23"/>
  <c r="F2907" i="23"/>
  <c r="H2907" i="23"/>
  <c r="J2907" i="23"/>
  <c r="K2907" i="23"/>
  <c r="D2908" i="23"/>
  <c r="E2908" i="23"/>
  <c r="F2908" i="23"/>
  <c r="H2908" i="23"/>
  <c r="J2908" i="23"/>
  <c r="K2908" i="23"/>
  <c r="D2909" i="23"/>
  <c r="E2909" i="23"/>
  <c r="F2909" i="23"/>
  <c r="H2909" i="23"/>
  <c r="J2909" i="23"/>
  <c r="K2909" i="23"/>
  <c r="D2910" i="23"/>
  <c r="E2910" i="23"/>
  <c r="F2910" i="23"/>
  <c r="H2910" i="23"/>
  <c r="J2910" i="23"/>
  <c r="K2910" i="23"/>
  <c r="D2911" i="23"/>
  <c r="E2911" i="23"/>
  <c r="F2911" i="23"/>
  <c r="J2911" i="23"/>
  <c r="D2912" i="23"/>
  <c r="E2912" i="23"/>
  <c r="F2912" i="23"/>
  <c r="J2912" i="23"/>
  <c r="D2915" i="23"/>
  <c r="E2915" i="23"/>
  <c r="F2915" i="23"/>
  <c r="H2915" i="23"/>
  <c r="J2915" i="23"/>
  <c r="K2915" i="23"/>
  <c r="D2916" i="23"/>
  <c r="E2916" i="23"/>
  <c r="F2916" i="23"/>
  <c r="H2916" i="23"/>
  <c r="J2916" i="23"/>
  <c r="K2916" i="23"/>
  <c r="D2917" i="23"/>
  <c r="E2917" i="23"/>
  <c r="F2917" i="23"/>
  <c r="H2917" i="23"/>
  <c r="J2917" i="23"/>
  <c r="K2917" i="23"/>
  <c r="D2918" i="23"/>
  <c r="E2918" i="23"/>
  <c r="F2918" i="23"/>
  <c r="H2918" i="23"/>
  <c r="J2918" i="23"/>
  <c r="K2918" i="23"/>
  <c r="D2919" i="23"/>
  <c r="E2919" i="23"/>
  <c r="F2919" i="23"/>
  <c r="H2919" i="23"/>
  <c r="J2919" i="23"/>
  <c r="K2919" i="23"/>
  <c r="D2920" i="23"/>
  <c r="E2920" i="23"/>
  <c r="F2920" i="23"/>
  <c r="H2920" i="23"/>
  <c r="J2920" i="23"/>
  <c r="K2920" i="23"/>
  <c r="E2921" i="23"/>
  <c r="F2921" i="23"/>
  <c r="H2921" i="23"/>
  <c r="D2922" i="23"/>
  <c r="E2922" i="23"/>
  <c r="F2922" i="23"/>
  <c r="H2922" i="23"/>
  <c r="J2922" i="23"/>
  <c r="K2922" i="23"/>
  <c r="D2923" i="23"/>
  <c r="E2923" i="23"/>
  <c r="F2923" i="23"/>
  <c r="H2923" i="23"/>
  <c r="J2923" i="23"/>
  <c r="K2923" i="23"/>
  <c r="D2924" i="23"/>
  <c r="E2924" i="23"/>
  <c r="F2924" i="23"/>
  <c r="H2924" i="23"/>
  <c r="J2924" i="23"/>
  <c r="K2924" i="23"/>
  <c r="D2933" i="23"/>
  <c r="E2933" i="23"/>
  <c r="F2933" i="23"/>
  <c r="H2933" i="23"/>
  <c r="I2933" i="23"/>
  <c r="J2933" i="23"/>
  <c r="K2933" i="23"/>
  <c r="D2934" i="23"/>
  <c r="E2934" i="23"/>
  <c r="F2934" i="23"/>
  <c r="H2934" i="23"/>
  <c r="I2934" i="23"/>
  <c r="J2934" i="23"/>
  <c r="K2934" i="23"/>
  <c r="D2938" i="23"/>
  <c r="E2938" i="23"/>
  <c r="F2938" i="23"/>
  <c r="H2938" i="23"/>
  <c r="I2938" i="23"/>
  <c r="J2938" i="23"/>
  <c r="K2938" i="23"/>
  <c r="D2939" i="23"/>
  <c r="E2939" i="23"/>
  <c r="F2939" i="23"/>
  <c r="H2939" i="23"/>
  <c r="I2939" i="23"/>
  <c r="J2939" i="23"/>
  <c r="K2939" i="23"/>
  <c r="B2941" i="23"/>
  <c r="K2941" i="23" s="1"/>
  <c r="D2942" i="23"/>
  <c r="E2942" i="23"/>
  <c r="F2942" i="23"/>
  <c r="H2942" i="23"/>
  <c r="I2942" i="23"/>
  <c r="J2942" i="23"/>
  <c r="K2942" i="23"/>
  <c r="E2946" i="23"/>
  <c r="F2946" i="23"/>
  <c r="H2946" i="23"/>
  <c r="E2947" i="23"/>
  <c r="F2947" i="23"/>
  <c r="H2947" i="23"/>
  <c r="D2948" i="23"/>
  <c r="E2948" i="23"/>
  <c r="F2948" i="23"/>
  <c r="J2948" i="23"/>
  <c r="K2948" i="23"/>
  <c r="E2949" i="23"/>
  <c r="F2949" i="23"/>
  <c r="H2949" i="23"/>
  <c r="J2949" i="23"/>
  <c r="K2949" i="23"/>
  <c r="D2950" i="23"/>
  <c r="E2950" i="23"/>
  <c r="F2950" i="23"/>
  <c r="J2950" i="23"/>
  <c r="K2950" i="23"/>
  <c r="D2952" i="23"/>
  <c r="E2952" i="23"/>
  <c r="F2952" i="23"/>
  <c r="H2952" i="23"/>
  <c r="J2952" i="23"/>
  <c r="E2953" i="23"/>
  <c r="F2953" i="23"/>
  <c r="H2953" i="23"/>
  <c r="D2954" i="23"/>
  <c r="E2954" i="23"/>
  <c r="F2954" i="23"/>
  <c r="H2954" i="23"/>
  <c r="J2954" i="23"/>
  <c r="E2955" i="23"/>
  <c r="F2955" i="23"/>
  <c r="H2955" i="23"/>
  <c r="D2956" i="23"/>
  <c r="E2956" i="23"/>
  <c r="F2956" i="23"/>
  <c r="H2956" i="23"/>
  <c r="J2956" i="23"/>
  <c r="B2957" i="23"/>
  <c r="D2958" i="23"/>
  <c r="E2958" i="23"/>
  <c r="F2958" i="23"/>
  <c r="H2958" i="23"/>
  <c r="J2958" i="23"/>
  <c r="A2959" i="23"/>
  <c r="A2960" i="23" s="1"/>
  <c r="L2959" i="23"/>
  <c r="M2959" i="23"/>
  <c r="N2959" i="23"/>
  <c r="O2959" i="23"/>
  <c r="L2960" i="23"/>
  <c r="M2960" i="23"/>
  <c r="N2960" i="23"/>
  <c r="O2960" i="23"/>
  <c r="E2961" i="23"/>
  <c r="G2961" i="23"/>
  <c r="E2962" i="23"/>
  <c r="G2962" i="23"/>
  <c r="A2962" i="23" s="1"/>
  <c r="E2963" i="23"/>
  <c r="G2963" i="23"/>
  <c r="G2964" i="23" s="1"/>
  <c r="E2964" i="23"/>
  <c r="E2965" i="23"/>
  <c r="G2965" i="23"/>
  <c r="N2965" i="23" s="1"/>
  <c r="J2965" i="23"/>
  <c r="L2967" i="23"/>
  <c r="M2967" i="23"/>
  <c r="N2967" i="23"/>
  <c r="O2967" i="23"/>
  <c r="E2968" i="23"/>
  <c r="E2969" i="23"/>
  <c r="E2970" i="23"/>
  <c r="E2971" i="23"/>
  <c r="E2972" i="23"/>
  <c r="E2973" i="23"/>
  <c r="J2973" i="23"/>
  <c r="L2975" i="23"/>
  <c r="M2975" i="23"/>
  <c r="N2975" i="23"/>
  <c r="O2975" i="23"/>
  <c r="E2976" i="23"/>
  <c r="H2976" i="23"/>
  <c r="E2977" i="23"/>
  <c r="H2977" i="23"/>
  <c r="E2978" i="23"/>
  <c r="H2978" i="23"/>
  <c r="E2979" i="23"/>
  <c r="H2979" i="23"/>
  <c r="E2980" i="23"/>
  <c r="H2980" i="23"/>
  <c r="J2980" i="23"/>
  <c r="E2981" i="23"/>
  <c r="J2981" i="23"/>
  <c r="L2983" i="23"/>
  <c r="M2983" i="23"/>
  <c r="N2983" i="23"/>
  <c r="O2983" i="23"/>
  <c r="D2984" i="23"/>
  <c r="E2984" i="23"/>
  <c r="F2984" i="23"/>
  <c r="H2984" i="23"/>
  <c r="J2984" i="23"/>
  <c r="K2984" i="23"/>
  <c r="D2985" i="23"/>
  <c r="E2985" i="23"/>
  <c r="F2985" i="23"/>
  <c r="H2985" i="23"/>
  <c r="J2985" i="23"/>
  <c r="K2985" i="23"/>
  <c r="D2986" i="23"/>
  <c r="E2986" i="23"/>
  <c r="F2986" i="23"/>
  <c r="H2986" i="23"/>
  <c r="J2986" i="23"/>
  <c r="K2986" i="23"/>
  <c r="D2987" i="23"/>
  <c r="E2987" i="23"/>
  <c r="F2987" i="23"/>
  <c r="H2987" i="23"/>
  <c r="J2987" i="23"/>
  <c r="D2988" i="23"/>
  <c r="E2988" i="23"/>
  <c r="F2988" i="23"/>
  <c r="H2988" i="23"/>
  <c r="J2988" i="23"/>
  <c r="D2989" i="23"/>
  <c r="E2989" i="23"/>
  <c r="F2989" i="23"/>
  <c r="H2989" i="23"/>
  <c r="J2989" i="23"/>
  <c r="K2989" i="23"/>
  <c r="D2990" i="23"/>
  <c r="E2990" i="23"/>
  <c r="F2990" i="23"/>
  <c r="H2990" i="23"/>
  <c r="J2990" i="23"/>
  <c r="K2990" i="23"/>
  <c r="D2991" i="23"/>
  <c r="E2991" i="23"/>
  <c r="H2991" i="23"/>
  <c r="J2991" i="23"/>
  <c r="D2992" i="23"/>
  <c r="E2992" i="23"/>
  <c r="H2992" i="23"/>
  <c r="J2992" i="23"/>
  <c r="D2993" i="23"/>
  <c r="E2993" i="23"/>
  <c r="H2993" i="23"/>
  <c r="J2993" i="23"/>
  <c r="D2994" i="23"/>
  <c r="E2994" i="23"/>
  <c r="F2994" i="23"/>
  <c r="H2994" i="23"/>
  <c r="J2994" i="23"/>
  <c r="K2994" i="23"/>
  <c r="L2996" i="23"/>
  <c r="M2996" i="23"/>
  <c r="N2996" i="23"/>
  <c r="O2996" i="23"/>
  <c r="D2997" i="23"/>
  <c r="E2997" i="23"/>
  <c r="F2997" i="23"/>
  <c r="H2997" i="23"/>
  <c r="J2997" i="23"/>
  <c r="K2997" i="23"/>
  <c r="D2998" i="23"/>
  <c r="E2998" i="23"/>
  <c r="F2998" i="23"/>
  <c r="H2998" i="23"/>
  <c r="J2998" i="23"/>
  <c r="K2998" i="23"/>
  <c r="A2999" i="23"/>
  <c r="A3000" i="23" s="1"/>
  <c r="L2999" i="23"/>
  <c r="M2999" i="23"/>
  <c r="N2999" i="23"/>
  <c r="O2999" i="23"/>
  <c r="L3000" i="23"/>
  <c r="M3000" i="23"/>
  <c r="N3000" i="23"/>
  <c r="O3000" i="23"/>
  <c r="D3001" i="23"/>
  <c r="E3001" i="23"/>
  <c r="F3001" i="23"/>
  <c r="G3001" i="23"/>
  <c r="H3001" i="23"/>
  <c r="J3001" i="23"/>
  <c r="K3001" i="23"/>
  <c r="D3002" i="23"/>
  <c r="E3002" i="23"/>
  <c r="F3002" i="23"/>
  <c r="G3002" i="23"/>
  <c r="A3002" i="23" s="1"/>
  <c r="H3002" i="23"/>
  <c r="J3002" i="23"/>
  <c r="K3002" i="23"/>
  <c r="D3003" i="23"/>
  <c r="E3003" i="23"/>
  <c r="F3003" i="23"/>
  <c r="G3003" i="23"/>
  <c r="H3003" i="23"/>
  <c r="J3003" i="23"/>
  <c r="K3003" i="23"/>
  <c r="D3004" i="23"/>
  <c r="E3004" i="23"/>
  <c r="F3004" i="23"/>
  <c r="G3004" i="23"/>
  <c r="A3004" i="23" s="1"/>
  <c r="H3004" i="23"/>
  <c r="J3004" i="23"/>
  <c r="K3004" i="23"/>
  <c r="D3005" i="23"/>
  <c r="E3005" i="23"/>
  <c r="F3005" i="23"/>
  <c r="G3005" i="23"/>
  <c r="A3005" i="23" s="1"/>
  <c r="H3005" i="23"/>
  <c r="J3005" i="23"/>
  <c r="K3005" i="23"/>
  <c r="D3006" i="23"/>
  <c r="E3006" i="23"/>
  <c r="F3006" i="23"/>
  <c r="H3006" i="23"/>
  <c r="J3006" i="23"/>
  <c r="K3006" i="23"/>
  <c r="D3007" i="23"/>
  <c r="E3007" i="23"/>
  <c r="F3007" i="23"/>
  <c r="G3007" i="23"/>
  <c r="A3007" i="23" s="1"/>
  <c r="H3007" i="23"/>
  <c r="J3007" i="23"/>
  <c r="K3007" i="23"/>
  <c r="D3008" i="23"/>
  <c r="E3008" i="23"/>
  <c r="F3008" i="23"/>
  <c r="G3008" i="23"/>
  <c r="H3008" i="23"/>
  <c r="J3008" i="23"/>
  <c r="K3008" i="23"/>
  <c r="A3009" i="23"/>
  <c r="A3010" i="23" s="1"/>
  <c r="L3009" i="23"/>
  <c r="M3009" i="23"/>
  <c r="N3009" i="23"/>
  <c r="O3009" i="23"/>
  <c r="L3010" i="23"/>
  <c r="M3010" i="23"/>
  <c r="N3010" i="23"/>
  <c r="O3010" i="23"/>
  <c r="D3011" i="23"/>
  <c r="E3011" i="23"/>
  <c r="F3011" i="23"/>
  <c r="G3011" i="23"/>
  <c r="H3011" i="23"/>
  <c r="J3011" i="23"/>
  <c r="K3011" i="23"/>
  <c r="D3012" i="23"/>
  <c r="E3012" i="23"/>
  <c r="F3012" i="23"/>
  <c r="G3012" i="23"/>
  <c r="A3012" i="23" s="1"/>
  <c r="H3012" i="23"/>
  <c r="J3012" i="23"/>
  <c r="K3012" i="23"/>
  <c r="D3013" i="23"/>
  <c r="E3013" i="23"/>
  <c r="F3013" i="23"/>
  <c r="G3013" i="23"/>
  <c r="A3013" i="23" s="1"/>
  <c r="H3013" i="23"/>
  <c r="J3013" i="23"/>
  <c r="K3013" i="23"/>
  <c r="D3014" i="23"/>
  <c r="E3014" i="23"/>
  <c r="F3014" i="23"/>
  <c r="G3014" i="23"/>
  <c r="H3014" i="23"/>
  <c r="J3014" i="23"/>
  <c r="K3014" i="23"/>
  <c r="D3015" i="23"/>
  <c r="E3015" i="23"/>
  <c r="F3015" i="23"/>
  <c r="G3015" i="23"/>
  <c r="A3015" i="23" s="1"/>
  <c r="H3015" i="23"/>
  <c r="J3015" i="23"/>
  <c r="K3015" i="23"/>
  <c r="D3016" i="23"/>
  <c r="E3016" i="23"/>
  <c r="F3016" i="23"/>
  <c r="H3016" i="23"/>
  <c r="J3016" i="23"/>
  <c r="K3016" i="23"/>
  <c r="D3017" i="23"/>
  <c r="E3017" i="23"/>
  <c r="F3017" i="23"/>
  <c r="G3017" i="23"/>
  <c r="A3017" i="23" s="1"/>
  <c r="H3017" i="23"/>
  <c r="J3017" i="23"/>
  <c r="K3017" i="23"/>
  <c r="A3018" i="23"/>
  <c r="A3019" i="23" s="1"/>
  <c r="D3020" i="23"/>
  <c r="F3020" i="23"/>
  <c r="G3020" i="23"/>
  <c r="H3020" i="23"/>
  <c r="J3020" i="23"/>
  <c r="K3020" i="23"/>
  <c r="D3021" i="23"/>
  <c r="E3021" i="23"/>
  <c r="F3021" i="23"/>
  <c r="G3021" i="23"/>
  <c r="A3021" i="23" s="1"/>
  <c r="H3021" i="23"/>
  <c r="J3021" i="23"/>
  <c r="K3021" i="23"/>
  <c r="D3022" i="23"/>
  <c r="E3022" i="23"/>
  <c r="F3022" i="23"/>
  <c r="G3022" i="23"/>
  <c r="H3022" i="23"/>
  <c r="J3022" i="23"/>
  <c r="K3022" i="23"/>
  <c r="D3023" i="23"/>
  <c r="E3023" i="23"/>
  <c r="F3023" i="23"/>
  <c r="G3023" i="23"/>
  <c r="H3023" i="23"/>
  <c r="J3023" i="23"/>
  <c r="K3023" i="23"/>
  <c r="D3024" i="23"/>
  <c r="E3024" i="23"/>
  <c r="F3024" i="23"/>
  <c r="H3024" i="23"/>
  <c r="J3024" i="23"/>
  <c r="K3024" i="23"/>
  <c r="D3025" i="23"/>
  <c r="E3025" i="23"/>
  <c r="F3025" i="23"/>
  <c r="G3025" i="23"/>
  <c r="A3025" i="23" s="1"/>
  <c r="H3025" i="23"/>
  <c r="J3025" i="23"/>
  <c r="K3025" i="23"/>
  <c r="D3026" i="23"/>
  <c r="E3026" i="23"/>
  <c r="F3026" i="23"/>
  <c r="H3026" i="23"/>
  <c r="J3026" i="23"/>
  <c r="K3026" i="23"/>
  <c r="D3027" i="23"/>
  <c r="E3027" i="23"/>
  <c r="F3027" i="23"/>
  <c r="H3027" i="23"/>
  <c r="J3027" i="23"/>
  <c r="K3027" i="23"/>
  <c r="D3028" i="23"/>
  <c r="E3028" i="23"/>
  <c r="F3028" i="23"/>
  <c r="H3028" i="23"/>
  <c r="J3028" i="23"/>
  <c r="K3028" i="23"/>
  <c r="D3029" i="23"/>
  <c r="E3029" i="23"/>
  <c r="F3029" i="23"/>
  <c r="G3029" i="23"/>
  <c r="A3029" i="23" s="1"/>
  <c r="H3029" i="23"/>
  <c r="J3029" i="23"/>
  <c r="K3029" i="23"/>
  <c r="D3032" i="23"/>
  <c r="E3032" i="23"/>
  <c r="F3032" i="23"/>
  <c r="H3032" i="23"/>
  <c r="J3032" i="23"/>
  <c r="K3032" i="23"/>
  <c r="D3033" i="23"/>
  <c r="E3033" i="23"/>
  <c r="F3033" i="23"/>
  <c r="H3033" i="23"/>
  <c r="J3033" i="23"/>
  <c r="K3033" i="23"/>
  <c r="D3034" i="23"/>
  <c r="E3034" i="23"/>
  <c r="F3034" i="23"/>
  <c r="H3034" i="23"/>
  <c r="J3034" i="23"/>
  <c r="K3034" i="23"/>
  <c r="D3035" i="23"/>
  <c r="E3035" i="23"/>
  <c r="F3035" i="23"/>
  <c r="H3035" i="23"/>
  <c r="J3035" i="23"/>
  <c r="K3035" i="23"/>
  <c r="D3036" i="23"/>
  <c r="E3036" i="23"/>
  <c r="F3036" i="23"/>
  <c r="H3036" i="23"/>
  <c r="J3036" i="23"/>
  <c r="K3036" i="23"/>
  <c r="D3037" i="23"/>
  <c r="E3037" i="23"/>
  <c r="F3037" i="23"/>
  <c r="H3037" i="23"/>
  <c r="J3037" i="23"/>
  <c r="K3037" i="23"/>
  <c r="D3038" i="23"/>
  <c r="E3038" i="23"/>
  <c r="F3038" i="23"/>
  <c r="H3038" i="23"/>
  <c r="J3038" i="23"/>
  <c r="K3038" i="23"/>
  <c r="E3041" i="23"/>
  <c r="F3041" i="23"/>
  <c r="H3041" i="23"/>
  <c r="J3041" i="23"/>
  <c r="K3041" i="23"/>
  <c r="R3041" i="23"/>
  <c r="D3042" i="23"/>
  <c r="E3042" i="23"/>
  <c r="F3042" i="23"/>
  <c r="H3042" i="23"/>
  <c r="J3042" i="23"/>
  <c r="K3042" i="23"/>
  <c r="D3043" i="23"/>
  <c r="E3043" i="23"/>
  <c r="F3043" i="23"/>
  <c r="H3043" i="23"/>
  <c r="J3043" i="23"/>
  <c r="K3043" i="23"/>
  <c r="D3044" i="23"/>
  <c r="E3044" i="23"/>
  <c r="F3044" i="23"/>
  <c r="H3044" i="23"/>
  <c r="J3044" i="23"/>
  <c r="K3044" i="23"/>
  <c r="D3045" i="23"/>
  <c r="E3045" i="23"/>
  <c r="F3045" i="23"/>
  <c r="H3045" i="23"/>
  <c r="J3045" i="23"/>
  <c r="K3045" i="23"/>
  <c r="D3046" i="23"/>
  <c r="E3046" i="23"/>
  <c r="F3046" i="23"/>
  <c r="H3046" i="23"/>
  <c r="J3046" i="23"/>
  <c r="K3046" i="23"/>
  <c r="D3047" i="23"/>
  <c r="E3047" i="23"/>
  <c r="F3047" i="23"/>
  <c r="H3047" i="23"/>
  <c r="J3047" i="23"/>
  <c r="K3047" i="23"/>
  <c r="D3048" i="23"/>
  <c r="E3048" i="23"/>
  <c r="F3048" i="23"/>
  <c r="H3048" i="23"/>
  <c r="J3048" i="23"/>
  <c r="K3048" i="23"/>
  <c r="D3049" i="23"/>
  <c r="E3049" i="23"/>
  <c r="F3049" i="23"/>
  <c r="H3049" i="23"/>
  <c r="J3049" i="23"/>
  <c r="K3049" i="23"/>
  <c r="A3050" i="23"/>
  <c r="E3050" i="23"/>
  <c r="F3050" i="23"/>
  <c r="H3050" i="23"/>
  <c r="L3050" i="23" s="1"/>
  <c r="M3050" i="23"/>
  <c r="N3050" i="23"/>
  <c r="O3050" i="23"/>
  <c r="D3051" i="23"/>
  <c r="E3051" i="23"/>
  <c r="F3051" i="23"/>
  <c r="H3051" i="23"/>
  <c r="J3051" i="23"/>
  <c r="K3051" i="23"/>
  <c r="D3052" i="23"/>
  <c r="E3052" i="23"/>
  <c r="F3052" i="23"/>
  <c r="H3052" i="23"/>
  <c r="J3052" i="23"/>
  <c r="K3052" i="23"/>
  <c r="D3053" i="23"/>
  <c r="E3053" i="23"/>
  <c r="F3053" i="23"/>
  <c r="H3053" i="23"/>
  <c r="J3053" i="23"/>
  <c r="K3053" i="23"/>
  <c r="D3056" i="23"/>
  <c r="E3056" i="23"/>
  <c r="F3056" i="23"/>
  <c r="H3056" i="23"/>
  <c r="J3056" i="23"/>
  <c r="K3056" i="23"/>
  <c r="E3057" i="23"/>
  <c r="F3057" i="23"/>
  <c r="H3057" i="23"/>
  <c r="J3057" i="23"/>
  <c r="K3057" i="23"/>
  <c r="E3058" i="23"/>
  <c r="F3058" i="23"/>
  <c r="H3058" i="23"/>
  <c r="J3058" i="23"/>
  <c r="K3058" i="23"/>
  <c r="D3059" i="23"/>
  <c r="E3059" i="23"/>
  <c r="F3059" i="23"/>
  <c r="H3059" i="23"/>
  <c r="J3059" i="23"/>
  <c r="K3059" i="23"/>
  <c r="D3060" i="23"/>
  <c r="E3060" i="23"/>
  <c r="F3060" i="23"/>
  <c r="H3060" i="23"/>
  <c r="J3060" i="23"/>
  <c r="K3060" i="23"/>
  <c r="D3061" i="23"/>
  <c r="E3061" i="23"/>
  <c r="F3061" i="23"/>
  <c r="H3061" i="23"/>
  <c r="J3061" i="23"/>
  <c r="K3061" i="23"/>
  <c r="D3062" i="23"/>
  <c r="E3062" i="23"/>
  <c r="F3062" i="23"/>
  <c r="H3062" i="23"/>
  <c r="J3062" i="23"/>
  <c r="K3062" i="23"/>
  <c r="D3063" i="23"/>
  <c r="E3063" i="23"/>
  <c r="F3063" i="23"/>
  <c r="H3063" i="23"/>
  <c r="J3063" i="23"/>
  <c r="K3063" i="23"/>
  <c r="D3064" i="23"/>
  <c r="E3064" i="23"/>
  <c r="F3064" i="23"/>
  <c r="H3064" i="23"/>
  <c r="J3064" i="23"/>
  <c r="K3064" i="23"/>
  <c r="D3065" i="23"/>
  <c r="E3065" i="23"/>
  <c r="F3065" i="23"/>
  <c r="H3065" i="23"/>
  <c r="J3065" i="23"/>
  <c r="K3065" i="23"/>
  <c r="D3066" i="23"/>
  <c r="E3066" i="23"/>
  <c r="F3066" i="23"/>
  <c r="H3066" i="23"/>
  <c r="J3066" i="23"/>
  <c r="K3066" i="23"/>
  <c r="D3067" i="23"/>
  <c r="E3067" i="23"/>
  <c r="F3067" i="23"/>
  <c r="H3067" i="23"/>
  <c r="J3067" i="23"/>
  <c r="K3067" i="23"/>
  <c r="D3068" i="23"/>
  <c r="E3068" i="23"/>
  <c r="F3068" i="23"/>
  <c r="H3068" i="23"/>
  <c r="J3068" i="23"/>
  <c r="K3068" i="23"/>
  <c r="D3069" i="23"/>
  <c r="E3069" i="23"/>
  <c r="F3069" i="23"/>
  <c r="H3069" i="23"/>
  <c r="J3069" i="23"/>
  <c r="K3069" i="23"/>
  <c r="D3070" i="23"/>
  <c r="E3070" i="23"/>
  <c r="F3070" i="23"/>
  <c r="H3070" i="23"/>
  <c r="J3070" i="23"/>
  <c r="K3070" i="23"/>
  <c r="D3071" i="23"/>
  <c r="E3071" i="23"/>
  <c r="F3071" i="23"/>
  <c r="H3071" i="23"/>
  <c r="J3071" i="23"/>
  <c r="K3071" i="23"/>
  <c r="D3072" i="23"/>
  <c r="E3072" i="23"/>
  <c r="F3072" i="23"/>
  <c r="H3072" i="23"/>
  <c r="J3072" i="23"/>
  <c r="K3072" i="23"/>
  <c r="D3073" i="23"/>
  <c r="E3073" i="23"/>
  <c r="F3073" i="23"/>
  <c r="H3073" i="23"/>
  <c r="J3073" i="23"/>
  <c r="K3073" i="23"/>
  <c r="D3074" i="23"/>
  <c r="E3074" i="23"/>
  <c r="F3074" i="23"/>
  <c r="H3074" i="23"/>
  <c r="J3074" i="23"/>
  <c r="K3074" i="23"/>
  <c r="F3075" i="23"/>
  <c r="H3075" i="23"/>
  <c r="J3075" i="23"/>
  <c r="K3075" i="23"/>
  <c r="E3076" i="23"/>
  <c r="F3076" i="23"/>
  <c r="H3076" i="23"/>
  <c r="J3076" i="23"/>
  <c r="K3076" i="23"/>
  <c r="G3084" i="23"/>
  <c r="G3085" i="23" s="1"/>
  <c r="D3085" i="23"/>
  <c r="E3085" i="23"/>
  <c r="F3085" i="23"/>
  <c r="H3085" i="23"/>
  <c r="I3085" i="23"/>
  <c r="J3085" i="23"/>
  <c r="K3085" i="23"/>
  <c r="D3086" i="23"/>
  <c r="E3086" i="23"/>
  <c r="F3086" i="23"/>
  <c r="H3086" i="23"/>
  <c r="I3086" i="23"/>
  <c r="J3086" i="23"/>
  <c r="K3086" i="23"/>
  <c r="D3090" i="23"/>
  <c r="E3090" i="23"/>
  <c r="F3090" i="23"/>
  <c r="H3090" i="23"/>
  <c r="I3090" i="23"/>
  <c r="J3090" i="23"/>
  <c r="K3090" i="23"/>
  <c r="D3091" i="23"/>
  <c r="E3091" i="23"/>
  <c r="F3091" i="23"/>
  <c r="H3091" i="23"/>
  <c r="I3091" i="23"/>
  <c r="J3091" i="23"/>
  <c r="K3091" i="23"/>
  <c r="D3094" i="23"/>
  <c r="E3094" i="23"/>
  <c r="F3094" i="23"/>
  <c r="H3094" i="23"/>
  <c r="I3094" i="23"/>
  <c r="J3094" i="23"/>
  <c r="K3094" i="23"/>
  <c r="E3098" i="23"/>
  <c r="F3098" i="23"/>
  <c r="H3098" i="23"/>
  <c r="E3099" i="23"/>
  <c r="F3099" i="23"/>
  <c r="H3099" i="23"/>
  <c r="D3100" i="23"/>
  <c r="E3100" i="23"/>
  <c r="F3100" i="23"/>
  <c r="J3100" i="23"/>
  <c r="K3100" i="23"/>
  <c r="E3101" i="23"/>
  <c r="F3101" i="23"/>
  <c r="H3101" i="23"/>
  <c r="J3101" i="23"/>
  <c r="K3101" i="23"/>
  <c r="D3102" i="23"/>
  <c r="E3102" i="23"/>
  <c r="F3102" i="23"/>
  <c r="J3102" i="23"/>
  <c r="K3102" i="23"/>
  <c r="D3104" i="23"/>
  <c r="E3104" i="23"/>
  <c r="F3104" i="23"/>
  <c r="H3104" i="23"/>
  <c r="J3104" i="23"/>
  <c r="E3105" i="23"/>
  <c r="F3105" i="23"/>
  <c r="H3105" i="23"/>
  <c r="D3106" i="23"/>
  <c r="E3106" i="23"/>
  <c r="F3106" i="23"/>
  <c r="H3106" i="23"/>
  <c r="J3106" i="23"/>
  <c r="E3107" i="23"/>
  <c r="F3107" i="23"/>
  <c r="H3107" i="23"/>
  <c r="D3108" i="23"/>
  <c r="E3108" i="23"/>
  <c r="F3108" i="23"/>
  <c r="H3108" i="23"/>
  <c r="J3108" i="23"/>
  <c r="B3109" i="23"/>
  <c r="E3109" i="23" s="1"/>
  <c r="D3110" i="23"/>
  <c r="E3110" i="23"/>
  <c r="F3110" i="23"/>
  <c r="H3110" i="23"/>
  <c r="J3110" i="23"/>
  <c r="A3111" i="23"/>
  <c r="A3112" i="23" s="1"/>
  <c r="L3111" i="23"/>
  <c r="M3111" i="23"/>
  <c r="N3111" i="23"/>
  <c r="O3111" i="23"/>
  <c r="L3112" i="23"/>
  <c r="M3112" i="23"/>
  <c r="N3112" i="23"/>
  <c r="O3112" i="23"/>
  <c r="E3113" i="23"/>
  <c r="G3113" i="23"/>
  <c r="N3113" i="23" s="1"/>
  <c r="E3114" i="23"/>
  <c r="G3114" i="23"/>
  <c r="M3114" i="23" s="1"/>
  <c r="E3115" i="23"/>
  <c r="G3115" i="23"/>
  <c r="G3116" i="23" s="1"/>
  <c r="E3116" i="23"/>
  <c r="E3117" i="23"/>
  <c r="G3117" i="23"/>
  <c r="A3117" i="23" s="1"/>
  <c r="J3117" i="23"/>
  <c r="L3119" i="23"/>
  <c r="M3119" i="23"/>
  <c r="N3119" i="23"/>
  <c r="O3119" i="23"/>
  <c r="E3120" i="23"/>
  <c r="E3121" i="23"/>
  <c r="E3122" i="23"/>
  <c r="E3123" i="23"/>
  <c r="E3124" i="23"/>
  <c r="E3125" i="23"/>
  <c r="J3125" i="23"/>
  <c r="L3127" i="23"/>
  <c r="M3127" i="23"/>
  <c r="N3127" i="23"/>
  <c r="O3127" i="23"/>
  <c r="E3128" i="23"/>
  <c r="H3128" i="23"/>
  <c r="E3129" i="23"/>
  <c r="H3129" i="23"/>
  <c r="E3130" i="23"/>
  <c r="H3130" i="23"/>
  <c r="E3131" i="23"/>
  <c r="H3131" i="23"/>
  <c r="E3132" i="23"/>
  <c r="H3132" i="23"/>
  <c r="J3132" i="23"/>
  <c r="E3133" i="23"/>
  <c r="J3133" i="23"/>
  <c r="L3135" i="23"/>
  <c r="M3135" i="23"/>
  <c r="N3135" i="23"/>
  <c r="O3135" i="23"/>
  <c r="D3136" i="23"/>
  <c r="E3136" i="23"/>
  <c r="F3136" i="23"/>
  <c r="H3136" i="23"/>
  <c r="J3136" i="23"/>
  <c r="K3136" i="23"/>
  <c r="D3137" i="23"/>
  <c r="E3137" i="23"/>
  <c r="F3137" i="23"/>
  <c r="H3137" i="23"/>
  <c r="J3137" i="23"/>
  <c r="K3137" i="23"/>
  <c r="D3138" i="23"/>
  <c r="E3138" i="23"/>
  <c r="F3138" i="23"/>
  <c r="H3138" i="23"/>
  <c r="J3138" i="23"/>
  <c r="K3138" i="23"/>
  <c r="D3139" i="23"/>
  <c r="E3139" i="23"/>
  <c r="F3139" i="23"/>
  <c r="H3139" i="23"/>
  <c r="J3139" i="23"/>
  <c r="D3140" i="23"/>
  <c r="E3140" i="23"/>
  <c r="F3140" i="23"/>
  <c r="H3140" i="23"/>
  <c r="J3140" i="23"/>
  <c r="D3141" i="23"/>
  <c r="E3141" i="23"/>
  <c r="F3141" i="23"/>
  <c r="H3141" i="23"/>
  <c r="J3141" i="23"/>
  <c r="K3141" i="23"/>
  <c r="D3142" i="23"/>
  <c r="E3142" i="23"/>
  <c r="F3142" i="23"/>
  <c r="H3142" i="23"/>
  <c r="J3142" i="23"/>
  <c r="K3142" i="23"/>
  <c r="D3143" i="23"/>
  <c r="E3143" i="23"/>
  <c r="H3143" i="23"/>
  <c r="J3143" i="23"/>
  <c r="D3144" i="23"/>
  <c r="E3144" i="23"/>
  <c r="H3144" i="23"/>
  <c r="J3144" i="23"/>
  <c r="D3145" i="23"/>
  <c r="E3145" i="23"/>
  <c r="H3145" i="23"/>
  <c r="J3145" i="23"/>
  <c r="D3146" i="23"/>
  <c r="E3146" i="23"/>
  <c r="F3146" i="23"/>
  <c r="H3146" i="23"/>
  <c r="J3146" i="23"/>
  <c r="K3146" i="23"/>
  <c r="L3148" i="23"/>
  <c r="M3148" i="23"/>
  <c r="N3148" i="23"/>
  <c r="O3148" i="23"/>
  <c r="D3149" i="23"/>
  <c r="E3149" i="23"/>
  <c r="F3149" i="23"/>
  <c r="H3149" i="23"/>
  <c r="J3149" i="23"/>
  <c r="K3149" i="23"/>
  <c r="D3150" i="23"/>
  <c r="E3150" i="23"/>
  <c r="F3150" i="23"/>
  <c r="H3150" i="23"/>
  <c r="J3150" i="23"/>
  <c r="K3150" i="23"/>
  <c r="A3151" i="23"/>
  <c r="A3152" i="23" s="1"/>
  <c r="L3151" i="23"/>
  <c r="M3151" i="23"/>
  <c r="N3151" i="23"/>
  <c r="O3151" i="23"/>
  <c r="L3152" i="23"/>
  <c r="M3152" i="23"/>
  <c r="N3152" i="23"/>
  <c r="O3152" i="23"/>
  <c r="D3153" i="23"/>
  <c r="E3153" i="23"/>
  <c r="F3153" i="23"/>
  <c r="G3153" i="23"/>
  <c r="A3153" i="23" s="1"/>
  <c r="H3153" i="23"/>
  <c r="J3153" i="23"/>
  <c r="K3153" i="23"/>
  <c r="D3154" i="23"/>
  <c r="E3154" i="23"/>
  <c r="F3154" i="23"/>
  <c r="G3154" i="23"/>
  <c r="H3154" i="23"/>
  <c r="J3154" i="23"/>
  <c r="K3154" i="23"/>
  <c r="D3155" i="23"/>
  <c r="E3155" i="23"/>
  <c r="F3155" i="23"/>
  <c r="G3155" i="23"/>
  <c r="A3155" i="23" s="1"/>
  <c r="H3155" i="23"/>
  <c r="J3155" i="23"/>
  <c r="K3155" i="23"/>
  <c r="D3156" i="23"/>
  <c r="E3156" i="23"/>
  <c r="F3156" i="23"/>
  <c r="G3156" i="23"/>
  <c r="A3156" i="23" s="1"/>
  <c r="H3156" i="23"/>
  <c r="J3156" i="23"/>
  <c r="K3156" i="23"/>
  <c r="D3157" i="23"/>
  <c r="E3157" i="23"/>
  <c r="F3157" i="23"/>
  <c r="G3157" i="23"/>
  <c r="A3157" i="23" s="1"/>
  <c r="H3157" i="23"/>
  <c r="J3157" i="23"/>
  <c r="K3157" i="23"/>
  <c r="D3158" i="23"/>
  <c r="F3158" i="23"/>
  <c r="H3158" i="23"/>
  <c r="J3158" i="23"/>
  <c r="K3158" i="23"/>
  <c r="D3159" i="23"/>
  <c r="E3159" i="23"/>
  <c r="F3159" i="23"/>
  <c r="G3159" i="23"/>
  <c r="M3159" i="23" s="1"/>
  <c r="H3159" i="23"/>
  <c r="J3159" i="23"/>
  <c r="K3159" i="23"/>
  <c r="D3160" i="23"/>
  <c r="E3160" i="23"/>
  <c r="F3160" i="23"/>
  <c r="G3160" i="23"/>
  <c r="A3160" i="23" s="1"/>
  <c r="H3160" i="23"/>
  <c r="J3160" i="23"/>
  <c r="K3160" i="23"/>
  <c r="A3161" i="23"/>
  <c r="A3162" i="23" s="1"/>
  <c r="L3161" i="23"/>
  <c r="M3161" i="23"/>
  <c r="N3161" i="23"/>
  <c r="O3161" i="23"/>
  <c r="L3162" i="23"/>
  <c r="M3162" i="23"/>
  <c r="N3162" i="23"/>
  <c r="O3162" i="23"/>
  <c r="D3163" i="23"/>
  <c r="E3163" i="23"/>
  <c r="F3163" i="23"/>
  <c r="G3163" i="23"/>
  <c r="A3163" i="23" s="1"/>
  <c r="H3163" i="23"/>
  <c r="J3163" i="23"/>
  <c r="K3163" i="23"/>
  <c r="D3164" i="23"/>
  <c r="E3164" i="23"/>
  <c r="F3164" i="23"/>
  <c r="G3164" i="23"/>
  <c r="A3164" i="23" s="1"/>
  <c r="H3164" i="23"/>
  <c r="J3164" i="23"/>
  <c r="K3164" i="23"/>
  <c r="D3165" i="23"/>
  <c r="E3165" i="23"/>
  <c r="F3165" i="23"/>
  <c r="G3165" i="23"/>
  <c r="A3165" i="23" s="1"/>
  <c r="H3165" i="23"/>
  <c r="J3165" i="23"/>
  <c r="K3165" i="23"/>
  <c r="D3166" i="23"/>
  <c r="E3166" i="23"/>
  <c r="F3166" i="23"/>
  <c r="G3166" i="23"/>
  <c r="G3168" i="23" s="1"/>
  <c r="A3168" i="23" s="1"/>
  <c r="H3166" i="23"/>
  <c r="J3166" i="23"/>
  <c r="K3166" i="23"/>
  <c r="D3167" i="23"/>
  <c r="E3167" i="23"/>
  <c r="F3167" i="23"/>
  <c r="G3167" i="23"/>
  <c r="A3167" i="23" s="1"/>
  <c r="H3167" i="23"/>
  <c r="J3167" i="23"/>
  <c r="K3167" i="23"/>
  <c r="D3168" i="23"/>
  <c r="E3168" i="23"/>
  <c r="F3168" i="23"/>
  <c r="H3168" i="23"/>
  <c r="J3168" i="23"/>
  <c r="K3168" i="23"/>
  <c r="D3169" i="23"/>
  <c r="E3169" i="23"/>
  <c r="F3169" i="23"/>
  <c r="G3169" i="23"/>
  <c r="H3169" i="23"/>
  <c r="J3169" i="23"/>
  <c r="K3169" i="23"/>
  <c r="A3170" i="23"/>
  <c r="A3171" i="23" s="1"/>
  <c r="D3172" i="23"/>
  <c r="F3172" i="23"/>
  <c r="G3172" i="23"/>
  <c r="A3172" i="23" s="1"/>
  <c r="H3172" i="23"/>
  <c r="J3172" i="23"/>
  <c r="K3172" i="23"/>
  <c r="D3173" i="23"/>
  <c r="F3173" i="23"/>
  <c r="G3173" i="23"/>
  <c r="A3173" i="23" s="1"/>
  <c r="H3173" i="23"/>
  <c r="J3173" i="23"/>
  <c r="K3173" i="23"/>
  <c r="D3174" i="23"/>
  <c r="E3174" i="23"/>
  <c r="F3174" i="23"/>
  <c r="G3174" i="23"/>
  <c r="A3174" i="23" s="1"/>
  <c r="H3174" i="23"/>
  <c r="J3174" i="23"/>
  <c r="K3174" i="23"/>
  <c r="D3175" i="23"/>
  <c r="F3175" i="23"/>
  <c r="G3175" i="23"/>
  <c r="G3176" i="23" s="1"/>
  <c r="M3176" i="23" s="1"/>
  <c r="H3175" i="23"/>
  <c r="J3175" i="23"/>
  <c r="K3175" i="23"/>
  <c r="D3176" i="23"/>
  <c r="F3176" i="23"/>
  <c r="H3176" i="23"/>
  <c r="J3176" i="23"/>
  <c r="K3176" i="23"/>
  <c r="D3177" i="23"/>
  <c r="E3177" i="23"/>
  <c r="F3177" i="23"/>
  <c r="G3177" i="23"/>
  <c r="A3177" i="23" s="1"/>
  <c r="H3177" i="23"/>
  <c r="J3177" i="23"/>
  <c r="K3177" i="23"/>
  <c r="D3178" i="23"/>
  <c r="E3178" i="23"/>
  <c r="F3178" i="23"/>
  <c r="H3178" i="23"/>
  <c r="J3178" i="23"/>
  <c r="K3178" i="23"/>
  <c r="D3179" i="23"/>
  <c r="E3179" i="23"/>
  <c r="F3179" i="23"/>
  <c r="H3179" i="23"/>
  <c r="J3179" i="23"/>
  <c r="K3179" i="23"/>
  <c r="D3180" i="23"/>
  <c r="E3180" i="23"/>
  <c r="F3180" i="23"/>
  <c r="H3180" i="23"/>
  <c r="J3180" i="23"/>
  <c r="K3180" i="23"/>
  <c r="D3181" i="23"/>
  <c r="E3181" i="23"/>
  <c r="F3181" i="23"/>
  <c r="G3181" i="23"/>
  <c r="M3181" i="23" s="1"/>
  <c r="H3181" i="23"/>
  <c r="J3181" i="23"/>
  <c r="K3181" i="23"/>
  <c r="D3184" i="23"/>
  <c r="E3184" i="23"/>
  <c r="F3184" i="23"/>
  <c r="H3184" i="23"/>
  <c r="J3184" i="23"/>
  <c r="K3184" i="23"/>
  <c r="D3185" i="23"/>
  <c r="E3185" i="23"/>
  <c r="F3185" i="23"/>
  <c r="H3185" i="23"/>
  <c r="J3185" i="23"/>
  <c r="K3185" i="23"/>
  <c r="D3186" i="23"/>
  <c r="E3186" i="23"/>
  <c r="F3186" i="23"/>
  <c r="H3186" i="23"/>
  <c r="J3186" i="23"/>
  <c r="K3186" i="23"/>
  <c r="D3187" i="23"/>
  <c r="E3187" i="23"/>
  <c r="F3187" i="23"/>
  <c r="H3187" i="23"/>
  <c r="J3187" i="23"/>
  <c r="K3187" i="23"/>
  <c r="D3188" i="23"/>
  <c r="E3188" i="23"/>
  <c r="F3188" i="23"/>
  <c r="H3188" i="23"/>
  <c r="J3188" i="23"/>
  <c r="K3188" i="23"/>
  <c r="D3189" i="23"/>
  <c r="E3189" i="23"/>
  <c r="F3189" i="23"/>
  <c r="H3189" i="23"/>
  <c r="J3189" i="23"/>
  <c r="K3189" i="23"/>
  <c r="D3190" i="23"/>
  <c r="E3190" i="23"/>
  <c r="F3190" i="23"/>
  <c r="H3190" i="23"/>
  <c r="J3190" i="23"/>
  <c r="K3190" i="23"/>
  <c r="E3193" i="23"/>
  <c r="F3193" i="23"/>
  <c r="H3193" i="23"/>
  <c r="J3193" i="23"/>
  <c r="K3193" i="23"/>
  <c r="R3193" i="23"/>
  <c r="D3194" i="23"/>
  <c r="E3194" i="23"/>
  <c r="F3194" i="23"/>
  <c r="H3194" i="23"/>
  <c r="J3194" i="23"/>
  <c r="K3194" i="23"/>
  <c r="D3195" i="23"/>
  <c r="E3195" i="23"/>
  <c r="F3195" i="23"/>
  <c r="H3195" i="23"/>
  <c r="J3195" i="23"/>
  <c r="K3195" i="23"/>
  <c r="D3196" i="23"/>
  <c r="E3196" i="23"/>
  <c r="F3196" i="23"/>
  <c r="H3196" i="23"/>
  <c r="J3196" i="23"/>
  <c r="K3196" i="23"/>
  <c r="D3197" i="23"/>
  <c r="E3197" i="23"/>
  <c r="F3197" i="23"/>
  <c r="H3197" i="23"/>
  <c r="J3197" i="23"/>
  <c r="K3197" i="23"/>
  <c r="D3198" i="23"/>
  <c r="E3198" i="23"/>
  <c r="F3198" i="23"/>
  <c r="H3198" i="23"/>
  <c r="J3198" i="23"/>
  <c r="K3198" i="23"/>
  <c r="D3199" i="23"/>
  <c r="E3199" i="23"/>
  <c r="F3199" i="23"/>
  <c r="H3199" i="23"/>
  <c r="J3199" i="23"/>
  <c r="K3199" i="23"/>
  <c r="D3200" i="23"/>
  <c r="E3200" i="23"/>
  <c r="F3200" i="23"/>
  <c r="H3200" i="23"/>
  <c r="J3200" i="23"/>
  <c r="K3200" i="23"/>
  <c r="D3201" i="23"/>
  <c r="E3201" i="23"/>
  <c r="F3201" i="23"/>
  <c r="H3201" i="23"/>
  <c r="J3201" i="23"/>
  <c r="K3201" i="23"/>
  <c r="A3202" i="23"/>
  <c r="E3202" i="23"/>
  <c r="F3202" i="23"/>
  <c r="H3202" i="23"/>
  <c r="L3202" i="23" s="1"/>
  <c r="M3202" i="23"/>
  <c r="N3202" i="23"/>
  <c r="O3202" i="23"/>
  <c r="D3203" i="23"/>
  <c r="E3203" i="23"/>
  <c r="F3203" i="23"/>
  <c r="H3203" i="23"/>
  <c r="J3203" i="23"/>
  <c r="K3203" i="23"/>
  <c r="D3204" i="23"/>
  <c r="E3204" i="23"/>
  <c r="F3204" i="23"/>
  <c r="H3204" i="23"/>
  <c r="J3204" i="23"/>
  <c r="K3204" i="23"/>
  <c r="D3205" i="23"/>
  <c r="E3205" i="23"/>
  <c r="F3205" i="23"/>
  <c r="H3205" i="23"/>
  <c r="J3205" i="23"/>
  <c r="K3205" i="23"/>
  <c r="D3208" i="23"/>
  <c r="E3208" i="23"/>
  <c r="F3208" i="23"/>
  <c r="H3208" i="23"/>
  <c r="J3208" i="23"/>
  <c r="K3208" i="23"/>
  <c r="E3209" i="23"/>
  <c r="F3209" i="23"/>
  <c r="H3209" i="23"/>
  <c r="J3209" i="23"/>
  <c r="K3209" i="23"/>
  <c r="E3210" i="23"/>
  <c r="F3210" i="23"/>
  <c r="H3210" i="23"/>
  <c r="J3210" i="23"/>
  <c r="K3210" i="23"/>
  <c r="D3211" i="23"/>
  <c r="E3211" i="23"/>
  <c r="F3211" i="23"/>
  <c r="H3211" i="23"/>
  <c r="J3211" i="23"/>
  <c r="K3211" i="23"/>
  <c r="D3212" i="23"/>
  <c r="E3212" i="23"/>
  <c r="F3212" i="23"/>
  <c r="H3212" i="23"/>
  <c r="J3212" i="23"/>
  <c r="K3212" i="23"/>
  <c r="D3213" i="23"/>
  <c r="E3213" i="23"/>
  <c r="F3213" i="23"/>
  <c r="H3213" i="23"/>
  <c r="J3213" i="23"/>
  <c r="K3213" i="23"/>
  <c r="D3214" i="23"/>
  <c r="E3214" i="23"/>
  <c r="F3214" i="23"/>
  <c r="H3214" i="23"/>
  <c r="J3214" i="23"/>
  <c r="K3214" i="23"/>
  <c r="D3215" i="23"/>
  <c r="E3215" i="23"/>
  <c r="F3215" i="23"/>
  <c r="H3215" i="23"/>
  <c r="J3215" i="23"/>
  <c r="K3215" i="23"/>
  <c r="D3216" i="23"/>
  <c r="E3216" i="23"/>
  <c r="F3216" i="23"/>
  <c r="H3216" i="23"/>
  <c r="J3216" i="23"/>
  <c r="K3216" i="23"/>
  <c r="D3217" i="23"/>
  <c r="E3217" i="23"/>
  <c r="F3217" i="23"/>
  <c r="H3217" i="23"/>
  <c r="J3217" i="23"/>
  <c r="K3217" i="23"/>
  <c r="D3218" i="23"/>
  <c r="E3218" i="23"/>
  <c r="F3218" i="23"/>
  <c r="H3218" i="23"/>
  <c r="J3218" i="23"/>
  <c r="K3218" i="23"/>
  <c r="D3219" i="23"/>
  <c r="E3219" i="23"/>
  <c r="F3219" i="23"/>
  <c r="H3219" i="23"/>
  <c r="J3219" i="23"/>
  <c r="K3219" i="23"/>
  <c r="D3220" i="23"/>
  <c r="E3220" i="23"/>
  <c r="F3220" i="23"/>
  <c r="H3220" i="23"/>
  <c r="J3220" i="23"/>
  <c r="K3220" i="23"/>
  <c r="D3221" i="23"/>
  <c r="E3221" i="23"/>
  <c r="F3221" i="23"/>
  <c r="H3221" i="23"/>
  <c r="J3221" i="23"/>
  <c r="K3221" i="23"/>
  <c r="D3222" i="23"/>
  <c r="E3222" i="23"/>
  <c r="F3222" i="23"/>
  <c r="H3222" i="23"/>
  <c r="J3222" i="23"/>
  <c r="K3222" i="23"/>
  <c r="D3223" i="23"/>
  <c r="E3223" i="23"/>
  <c r="F3223" i="23"/>
  <c r="H3223" i="23"/>
  <c r="J3223" i="23"/>
  <c r="K3223" i="23"/>
  <c r="D3224" i="23"/>
  <c r="E3224" i="23"/>
  <c r="F3224" i="23"/>
  <c r="H3224" i="23"/>
  <c r="J3224" i="23"/>
  <c r="K3224" i="23"/>
  <c r="D3225" i="23"/>
  <c r="E3225" i="23"/>
  <c r="F3225" i="23"/>
  <c r="H3225" i="23"/>
  <c r="J3225" i="23"/>
  <c r="K3225" i="23"/>
  <c r="D3226" i="23"/>
  <c r="E3226" i="23"/>
  <c r="F3226" i="23"/>
  <c r="H3226" i="23"/>
  <c r="J3226" i="23"/>
  <c r="K3226" i="23"/>
  <c r="E3227" i="23"/>
  <c r="F3227" i="23"/>
  <c r="H3227" i="23"/>
  <c r="J3227" i="23"/>
  <c r="K3227" i="23"/>
  <c r="E3228" i="23"/>
  <c r="F3228" i="23"/>
  <c r="H3228" i="23"/>
  <c r="J3228" i="23"/>
  <c r="K3228" i="23"/>
  <c r="D3237" i="23"/>
  <c r="E3237" i="23"/>
  <c r="F3237" i="23"/>
  <c r="H3237" i="23"/>
  <c r="I3237" i="23"/>
  <c r="J3237" i="23"/>
  <c r="K3237" i="23"/>
  <c r="D3238" i="23"/>
  <c r="E3238" i="23"/>
  <c r="F3238" i="23"/>
  <c r="H3238" i="23"/>
  <c r="I3238" i="23"/>
  <c r="J3238" i="23"/>
  <c r="K3238" i="23"/>
  <c r="D3242" i="23"/>
  <c r="E3242" i="23"/>
  <c r="F3242" i="23"/>
  <c r="H3242" i="23"/>
  <c r="I3242" i="23"/>
  <c r="J3242" i="23"/>
  <c r="K3242" i="23"/>
  <c r="D3243" i="23"/>
  <c r="E3243" i="23"/>
  <c r="F3243" i="23"/>
  <c r="H3243" i="23"/>
  <c r="I3243" i="23"/>
  <c r="J3243" i="23"/>
  <c r="K3243" i="23"/>
  <c r="D3246" i="23"/>
  <c r="E3246" i="23"/>
  <c r="F3246" i="23"/>
  <c r="H3246" i="23"/>
  <c r="I3246" i="23"/>
  <c r="J3246" i="23"/>
  <c r="K3246" i="23"/>
  <c r="E3250" i="23"/>
  <c r="F3250" i="23"/>
  <c r="H3250" i="23"/>
  <c r="E3251" i="23"/>
  <c r="F3251" i="23"/>
  <c r="H3251" i="23"/>
  <c r="D3252" i="23"/>
  <c r="E3252" i="23"/>
  <c r="F3252" i="23"/>
  <c r="J3252" i="23"/>
  <c r="K3252" i="23"/>
  <c r="E3253" i="23"/>
  <c r="F3253" i="23"/>
  <c r="H3253" i="23"/>
  <c r="J3253" i="23"/>
  <c r="K3253" i="23"/>
  <c r="D3254" i="23"/>
  <c r="E3254" i="23"/>
  <c r="F3254" i="23"/>
  <c r="J3254" i="23"/>
  <c r="K3254" i="23"/>
  <c r="D3256" i="23"/>
  <c r="E3256" i="23"/>
  <c r="F3256" i="23"/>
  <c r="H3256" i="23"/>
  <c r="J3256" i="23"/>
  <c r="E3257" i="23"/>
  <c r="F3257" i="23"/>
  <c r="H3257" i="23"/>
  <c r="D3258" i="23"/>
  <c r="E3258" i="23"/>
  <c r="F3258" i="23"/>
  <c r="H3258" i="23"/>
  <c r="J3258" i="23"/>
  <c r="E3259" i="23"/>
  <c r="F3259" i="23"/>
  <c r="H3259" i="23"/>
  <c r="D3260" i="23"/>
  <c r="E3260" i="23"/>
  <c r="F3260" i="23"/>
  <c r="H3260" i="23"/>
  <c r="J3260" i="23"/>
  <c r="B3261" i="23"/>
  <c r="F3261" i="23" s="1"/>
  <c r="D3262" i="23"/>
  <c r="E3262" i="23"/>
  <c r="F3262" i="23"/>
  <c r="H3262" i="23"/>
  <c r="J3262" i="23"/>
  <c r="A3263" i="23"/>
  <c r="A3264" i="23" s="1"/>
  <c r="L3263" i="23"/>
  <c r="M3263" i="23"/>
  <c r="N3263" i="23"/>
  <c r="O3263" i="23"/>
  <c r="L3264" i="23"/>
  <c r="M3264" i="23"/>
  <c r="N3264" i="23"/>
  <c r="O3264" i="23"/>
  <c r="E3265" i="23"/>
  <c r="G3265" i="23"/>
  <c r="A3265" i="23" s="1"/>
  <c r="E3266" i="23"/>
  <c r="G3266" i="23"/>
  <c r="A3266" i="23" s="1"/>
  <c r="E3267" i="23"/>
  <c r="G3267" i="23"/>
  <c r="G3268" i="23" s="1"/>
  <c r="E3268" i="23"/>
  <c r="E3269" i="23"/>
  <c r="G3269" i="23"/>
  <c r="A3269" i="23" s="1"/>
  <c r="J3269" i="23"/>
  <c r="L3271" i="23"/>
  <c r="M3271" i="23"/>
  <c r="N3271" i="23"/>
  <c r="O3271" i="23"/>
  <c r="E3272" i="23"/>
  <c r="H3272" i="23"/>
  <c r="E3273" i="23"/>
  <c r="H3273" i="23"/>
  <c r="E3274" i="23"/>
  <c r="H3274" i="23"/>
  <c r="E3275" i="23"/>
  <c r="H3275" i="23"/>
  <c r="E3276" i="23"/>
  <c r="H3276" i="23"/>
  <c r="E3277" i="23"/>
  <c r="J3277" i="23"/>
  <c r="L3279" i="23"/>
  <c r="M3279" i="23"/>
  <c r="N3279" i="23"/>
  <c r="O3279" i="23"/>
  <c r="E3280" i="23"/>
  <c r="H3280" i="23"/>
  <c r="E3281" i="23"/>
  <c r="H3281" i="23"/>
  <c r="E3282" i="23"/>
  <c r="H3282" i="23"/>
  <c r="E3283" i="23"/>
  <c r="H3283" i="23"/>
  <c r="E3284" i="23"/>
  <c r="H3284" i="23"/>
  <c r="J3284" i="23"/>
  <c r="E3285" i="23"/>
  <c r="J3285" i="23"/>
  <c r="L3287" i="23"/>
  <c r="M3287" i="23"/>
  <c r="N3287" i="23"/>
  <c r="O3287" i="23"/>
  <c r="D3288" i="23"/>
  <c r="E3288" i="23"/>
  <c r="F3288" i="23"/>
  <c r="H3288" i="23"/>
  <c r="J3288" i="23"/>
  <c r="K3288" i="23"/>
  <c r="D3289" i="23"/>
  <c r="E3289" i="23"/>
  <c r="F3289" i="23"/>
  <c r="H3289" i="23"/>
  <c r="J3289" i="23"/>
  <c r="K3289" i="23"/>
  <c r="D3290" i="23"/>
  <c r="E3290" i="23"/>
  <c r="F3290" i="23"/>
  <c r="H3290" i="23"/>
  <c r="J3290" i="23"/>
  <c r="K3290" i="23"/>
  <c r="D3291" i="23"/>
  <c r="E3291" i="23"/>
  <c r="F3291" i="23"/>
  <c r="H3291" i="23"/>
  <c r="J3291" i="23"/>
  <c r="D3292" i="23"/>
  <c r="E3292" i="23"/>
  <c r="F3292" i="23"/>
  <c r="H3292" i="23"/>
  <c r="J3292" i="23"/>
  <c r="D3293" i="23"/>
  <c r="E3293" i="23"/>
  <c r="F3293" i="23"/>
  <c r="H3293" i="23"/>
  <c r="J3293" i="23"/>
  <c r="K3293" i="23"/>
  <c r="D3294" i="23"/>
  <c r="E3294" i="23"/>
  <c r="F3294" i="23"/>
  <c r="H3294" i="23"/>
  <c r="J3294" i="23"/>
  <c r="K3294" i="23"/>
  <c r="D3295" i="23"/>
  <c r="E3295" i="23"/>
  <c r="H3295" i="23"/>
  <c r="J3295" i="23"/>
  <c r="D3296" i="23"/>
  <c r="E3296" i="23"/>
  <c r="H3296" i="23"/>
  <c r="J3296" i="23"/>
  <c r="D3297" i="23"/>
  <c r="E3297" i="23"/>
  <c r="H3297" i="23"/>
  <c r="J3297" i="23"/>
  <c r="D3298" i="23"/>
  <c r="E3298" i="23"/>
  <c r="F3298" i="23"/>
  <c r="H3298" i="23"/>
  <c r="J3298" i="23"/>
  <c r="K3298" i="23"/>
  <c r="L3300" i="23"/>
  <c r="M3300" i="23"/>
  <c r="N3300" i="23"/>
  <c r="O3300" i="23"/>
  <c r="D3301" i="23"/>
  <c r="E3301" i="23"/>
  <c r="F3301" i="23"/>
  <c r="H3301" i="23"/>
  <c r="J3301" i="23"/>
  <c r="K3301" i="23"/>
  <c r="D3302" i="23"/>
  <c r="E3302" i="23"/>
  <c r="F3302" i="23"/>
  <c r="H3302" i="23"/>
  <c r="J3302" i="23"/>
  <c r="K3302" i="23"/>
  <c r="A3303" i="23"/>
  <c r="A3304" i="23" s="1"/>
  <c r="L3303" i="23"/>
  <c r="M3303" i="23"/>
  <c r="N3303" i="23"/>
  <c r="O3303" i="23"/>
  <c r="L3304" i="23"/>
  <c r="M3304" i="23"/>
  <c r="N3304" i="23"/>
  <c r="O3304" i="23"/>
  <c r="D3305" i="23"/>
  <c r="E3305" i="23"/>
  <c r="F3305" i="23"/>
  <c r="G3305" i="23"/>
  <c r="H3305" i="23"/>
  <c r="J3305" i="23"/>
  <c r="K3305" i="23"/>
  <c r="D3306" i="23"/>
  <c r="E3306" i="23"/>
  <c r="F3306" i="23"/>
  <c r="G3306" i="23"/>
  <c r="H3306" i="23"/>
  <c r="J3306" i="23"/>
  <c r="K3306" i="23"/>
  <c r="D3307" i="23"/>
  <c r="E3307" i="23"/>
  <c r="F3307" i="23"/>
  <c r="G3307" i="23"/>
  <c r="A3307" i="23" s="1"/>
  <c r="H3307" i="23"/>
  <c r="J3307" i="23"/>
  <c r="K3307" i="23"/>
  <c r="D3308" i="23"/>
  <c r="E3308" i="23"/>
  <c r="F3308" i="23"/>
  <c r="G3308" i="23"/>
  <c r="A3308" i="23" s="1"/>
  <c r="H3308" i="23"/>
  <c r="J3308" i="23"/>
  <c r="K3308" i="23"/>
  <c r="D3309" i="23"/>
  <c r="E3309" i="23"/>
  <c r="F3309" i="23"/>
  <c r="G3309" i="23"/>
  <c r="A3309" i="23" s="1"/>
  <c r="H3309" i="23"/>
  <c r="J3309" i="23"/>
  <c r="K3309" i="23"/>
  <c r="D3310" i="23"/>
  <c r="E3310" i="23"/>
  <c r="F3310" i="23"/>
  <c r="H3310" i="23"/>
  <c r="J3310" i="23"/>
  <c r="K3310" i="23"/>
  <c r="D3311" i="23"/>
  <c r="E3311" i="23"/>
  <c r="F3311" i="23"/>
  <c r="G3311" i="23"/>
  <c r="A3311" i="23" s="1"/>
  <c r="H3311" i="23"/>
  <c r="J3311" i="23"/>
  <c r="K3311" i="23"/>
  <c r="D3312" i="23"/>
  <c r="E3312" i="23"/>
  <c r="F3312" i="23"/>
  <c r="G3312" i="23"/>
  <c r="H3312" i="23"/>
  <c r="J3312" i="23"/>
  <c r="K3312" i="23"/>
  <c r="A3313" i="23"/>
  <c r="A3314" i="23" s="1"/>
  <c r="L3313" i="23"/>
  <c r="M3313" i="23"/>
  <c r="N3313" i="23"/>
  <c r="O3313" i="23"/>
  <c r="L3314" i="23"/>
  <c r="M3314" i="23"/>
  <c r="N3314" i="23"/>
  <c r="O3314" i="23"/>
  <c r="D3315" i="23"/>
  <c r="E3315" i="23"/>
  <c r="F3315" i="23"/>
  <c r="G3315" i="23"/>
  <c r="A3315" i="23" s="1"/>
  <c r="H3315" i="23"/>
  <c r="J3315" i="23"/>
  <c r="K3315" i="23"/>
  <c r="D3316" i="23"/>
  <c r="E3316" i="23"/>
  <c r="F3316" i="23"/>
  <c r="G3316" i="23"/>
  <c r="A3316" i="23" s="1"/>
  <c r="H3316" i="23"/>
  <c r="J3316" i="23"/>
  <c r="K3316" i="23"/>
  <c r="D3317" i="23"/>
  <c r="E3317" i="23"/>
  <c r="F3317" i="23"/>
  <c r="G3317" i="23"/>
  <c r="M3317" i="23" s="1"/>
  <c r="H3317" i="23"/>
  <c r="J3317" i="23"/>
  <c r="K3317" i="23"/>
  <c r="D3318" i="23"/>
  <c r="E3318" i="23"/>
  <c r="F3318" i="23"/>
  <c r="G3318" i="23"/>
  <c r="G3320" i="23" s="1"/>
  <c r="A3320" i="23" s="1"/>
  <c r="H3318" i="23"/>
  <c r="J3318" i="23"/>
  <c r="K3318" i="23"/>
  <c r="D3319" i="23"/>
  <c r="E3319" i="23"/>
  <c r="F3319" i="23"/>
  <c r="G3319" i="23"/>
  <c r="H3319" i="23"/>
  <c r="J3319" i="23"/>
  <c r="K3319" i="23"/>
  <c r="D3320" i="23"/>
  <c r="E3320" i="23"/>
  <c r="F3320" i="23"/>
  <c r="H3320" i="23"/>
  <c r="J3320" i="23"/>
  <c r="K3320" i="23"/>
  <c r="D3321" i="23"/>
  <c r="E3321" i="23"/>
  <c r="F3321" i="23"/>
  <c r="G3321" i="23"/>
  <c r="M3321" i="23" s="1"/>
  <c r="H3321" i="23"/>
  <c r="J3321" i="23"/>
  <c r="K3321" i="23"/>
  <c r="A3322" i="23"/>
  <c r="A3323" i="23" s="1"/>
  <c r="D3324" i="23"/>
  <c r="F3324" i="23"/>
  <c r="G3324" i="23"/>
  <c r="H3324" i="23"/>
  <c r="J3324" i="23"/>
  <c r="K3324" i="23"/>
  <c r="D3325" i="23"/>
  <c r="E3325" i="23"/>
  <c r="F3325" i="23"/>
  <c r="G3325" i="23"/>
  <c r="H3325" i="23"/>
  <c r="J3325" i="23"/>
  <c r="K3325" i="23"/>
  <c r="D3326" i="23"/>
  <c r="E3326" i="23"/>
  <c r="F3326" i="23"/>
  <c r="G3326" i="23"/>
  <c r="A3326" i="23" s="1"/>
  <c r="H3326" i="23"/>
  <c r="J3326" i="23"/>
  <c r="K3326" i="23"/>
  <c r="D3327" i="23"/>
  <c r="E3327" i="23"/>
  <c r="F3327" i="23"/>
  <c r="G3327" i="23"/>
  <c r="M3327" i="23" s="1"/>
  <c r="H3327" i="23"/>
  <c r="J3327" i="23"/>
  <c r="K3327" i="23"/>
  <c r="D3328" i="23"/>
  <c r="E3328" i="23"/>
  <c r="F3328" i="23"/>
  <c r="H3328" i="23"/>
  <c r="J3328" i="23"/>
  <c r="K3328" i="23"/>
  <c r="D3329" i="23"/>
  <c r="E3329" i="23"/>
  <c r="F3329" i="23"/>
  <c r="G3329" i="23"/>
  <c r="H3329" i="23"/>
  <c r="J3329" i="23"/>
  <c r="K3329" i="23"/>
  <c r="D3330" i="23"/>
  <c r="E3330" i="23"/>
  <c r="F3330" i="23"/>
  <c r="H3330" i="23"/>
  <c r="J3330" i="23"/>
  <c r="K3330" i="23"/>
  <c r="D3331" i="23"/>
  <c r="E3331" i="23"/>
  <c r="F3331" i="23"/>
  <c r="H3331" i="23"/>
  <c r="J3331" i="23"/>
  <c r="K3331" i="23"/>
  <c r="D3332" i="23"/>
  <c r="E3332" i="23"/>
  <c r="F3332" i="23"/>
  <c r="H3332" i="23"/>
  <c r="J3332" i="23"/>
  <c r="K3332" i="23"/>
  <c r="D3333" i="23"/>
  <c r="E3333" i="23"/>
  <c r="F3333" i="23"/>
  <c r="G3333" i="23"/>
  <c r="A3333" i="23" s="1"/>
  <c r="H3333" i="23"/>
  <c r="J3333" i="23"/>
  <c r="K3333" i="23"/>
  <c r="D3336" i="23"/>
  <c r="E3336" i="23"/>
  <c r="F3336" i="23"/>
  <c r="H3336" i="23"/>
  <c r="J3336" i="23"/>
  <c r="K3336" i="23"/>
  <c r="D3337" i="23"/>
  <c r="E3337" i="23"/>
  <c r="F3337" i="23"/>
  <c r="H3337" i="23"/>
  <c r="J3337" i="23"/>
  <c r="K3337" i="23"/>
  <c r="D3338" i="23"/>
  <c r="E3338" i="23"/>
  <c r="F3338" i="23"/>
  <c r="H3338" i="23"/>
  <c r="J3338" i="23"/>
  <c r="K3338" i="23"/>
  <c r="D3339" i="23"/>
  <c r="E3339" i="23"/>
  <c r="F3339" i="23"/>
  <c r="H3339" i="23"/>
  <c r="J3339" i="23"/>
  <c r="K3339" i="23"/>
  <c r="D3340" i="23"/>
  <c r="E3340" i="23"/>
  <c r="F3340" i="23"/>
  <c r="H3340" i="23"/>
  <c r="J3340" i="23"/>
  <c r="K3340" i="23"/>
  <c r="D3341" i="23"/>
  <c r="E3341" i="23"/>
  <c r="F3341" i="23"/>
  <c r="H3341" i="23"/>
  <c r="J3341" i="23"/>
  <c r="K3341" i="23"/>
  <c r="D3342" i="23"/>
  <c r="E3342" i="23"/>
  <c r="F3342" i="23"/>
  <c r="H3342" i="23"/>
  <c r="J3342" i="23"/>
  <c r="K3342" i="23"/>
  <c r="D3343" i="23"/>
  <c r="E3343" i="23"/>
  <c r="F3343" i="23"/>
  <c r="H3343" i="23"/>
  <c r="J3343" i="23"/>
  <c r="K3343" i="23"/>
  <c r="E3346" i="23"/>
  <c r="F3346" i="23"/>
  <c r="H3346" i="23"/>
  <c r="J3346" i="23"/>
  <c r="K3346" i="23"/>
  <c r="R3346" i="23"/>
  <c r="D3347" i="23"/>
  <c r="E3347" i="23"/>
  <c r="F3347" i="23"/>
  <c r="H3347" i="23"/>
  <c r="J3347" i="23"/>
  <c r="K3347" i="23"/>
  <c r="D3348" i="23"/>
  <c r="E3348" i="23"/>
  <c r="F3348" i="23"/>
  <c r="H3348" i="23"/>
  <c r="J3348" i="23"/>
  <c r="K3348" i="23"/>
  <c r="D3349" i="23"/>
  <c r="E3349" i="23"/>
  <c r="F3349" i="23"/>
  <c r="H3349" i="23"/>
  <c r="J3349" i="23"/>
  <c r="K3349" i="23"/>
  <c r="D3350" i="23"/>
  <c r="E3350" i="23"/>
  <c r="F3350" i="23"/>
  <c r="H3350" i="23"/>
  <c r="J3350" i="23"/>
  <c r="K3350" i="23"/>
  <c r="D3351" i="23"/>
  <c r="E3351" i="23"/>
  <c r="F3351" i="23"/>
  <c r="H3351" i="23"/>
  <c r="J3351" i="23"/>
  <c r="K3351" i="23"/>
  <c r="D3352" i="23"/>
  <c r="E3352" i="23"/>
  <c r="F3352" i="23"/>
  <c r="H3352" i="23"/>
  <c r="J3352" i="23"/>
  <c r="K3352" i="23"/>
  <c r="D3353" i="23"/>
  <c r="E3353" i="23"/>
  <c r="F3353" i="23"/>
  <c r="H3353" i="23"/>
  <c r="J3353" i="23"/>
  <c r="K3353" i="23"/>
  <c r="D3354" i="23"/>
  <c r="E3354" i="23"/>
  <c r="F3354" i="23"/>
  <c r="H3354" i="23"/>
  <c r="J3354" i="23"/>
  <c r="K3354" i="23"/>
  <c r="A3355" i="23"/>
  <c r="E3355" i="23"/>
  <c r="F3355" i="23"/>
  <c r="H3355" i="23"/>
  <c r="L3355" i="23" s="1"/>
  <c r="M3355" i="23"/>
  <c r="N3355" i="23"/>
  <c r="O3355" i="23"/>
  <c r="D3356" i="23"/>
  <c r="E3356" i="23"/>
  <c r="F3356" i="23"/>
  <c r="H3356" i="23"/>
  <c r="J3356" i="23"/>
  <c r="K3356" i="23"/>
  <c r="D3357" i="23"/>
  <c r="E3357" i="23"/>
  <c r="F3357" i="23"/>
  <c r="H3357" i="23"/>
  <c r="J3357" i="23"/>
  <c r="K3357" i="23"/>
  <c r="D3358" i="23"/>
  <c r="E3358" i="23"/>
  <c r="F3358" i="23"/>
  <c r="H3358" i="23"/>
  <c r="J3358" i="23"/>
  <c r="K3358" i="23"/>
  <c r="D3361" i="23"/>
  <c r="E3361" i="23"/>
  <c r="F3361" i="23"/>
  <c r="H3361" i="23"/>
  <c r="J3361" i="23"/>
  <c r="K3361" i="23"/>
  <c r="E3362" i="23"/>
  <c r="F3362" i="23"/>
  <c r="H3362" i="23"/>
  <c r="J3362" i="23"/>
  <c r="K3362" i="23"/>
  <c r="E3363" i="23"/>
  <c r="F3363" i="23"/>
  <c r="H3363" i="23"/>
  <c r="J3363" i="23"/>
  <c r="K3363" i="23"/>
  <c r="D3364" i="23"/>
  <c r="E3364" i="23"/>
  <c r="F3364" i="23"/>
  <c r="H3364" i="23"/>
  <c r="J3364" i="23"/>
  <c r="K3364" i="23"/>
  <c r="D3365" i="23"/>
  <c r="E3365" i="23"/>
  <c r="F3365" i="23"/>
  <c r="H3365" i="23"/>
  <c r="J3365" i="23"/>
  <c r="K3365" i="23"/>
  <c r="D3366" i="23"/>
  <c r="E3366" i="23"/>
  <c r="F3366" i="23"/>
  <c r="H3366" i="23"/>
  <c r="J3366" i="23"/>
  <c r="K3366" i="23"/>
  <c r="D3367" i="23"/>
  <c r="E3367" i="23"/>
  <c r="F3367" i="23"/>
  <c r="H3367" i="23"/>
  <c r="J3367" i="23"/>
  <c r="K3367" i="23"/>
  <c r="D3368" i="23"/>
  <c r="E3368" i="23"/>
  <c r="F3368" i="23"/>
  <c r="H3368" i="23"/>
  <c r="J3368" i="23"/>
  <c r="K3368" i="23"/>
  <c r="D3369" i="23"/>
  <c r="E3369" i="23"/>
  <c r="F3369" i="23"/>
  <c r="H3369" i="23"/>
  <c r="J3369" i="23"/>
  <c r="K3369" i="23"/>
  <c r="D3370" i="23"/>
  <c r="E3370" i="23"/>
  <c r="F3370" i="23"/>
  <c r="H3370" i="23"/>
  <c r="J3370" i="23"/>
  <c r="K3370" i="23"/>
  <c r="D3371" i="23"/>
  <c r="E3371" i="23"/>
  <c r="F3371" i="23"/>
  <c r="H3371" i="23"/>
  <c r="J3371" i="23"/>
  <c r="K3371" i="23"/>
  <c r="D3372" i="23"/>
  <c r="E3372" i="23"/>
  <c r="F3372" i="23"/>
  <c r="H3372" i="23"/>
  <c r="J3372" i="23"/>
  <c r="K3372" i="23"/>
  <c r="D3373" i="23"/>
  <c r="E3373" i="23"/>
  <c r="F3373" i="23"/>
  <c r="H3373" i="23"/>
  <c r="J3373" i="23"/>
  <c r="K3373" i="23"/>
  <c r="D3374" i="23"/>
  <c r="E3374" i="23"/>
  <c r="F3374" i="23"/>
  <c r="H3374" i="23"/>
  <c r="J3374" i="23"/>
  <c r="K3374" i="23"/>
  <c r="D3375" i="23"/>
  <c r="E3375" i="23"/>
  <c r="F3375" i="23"/>
  <c r="H3375" i="23"/>
  <c r="J3375" i="23"/>
  <c r="K3375" i="23"/>
  <c r="D3376" i="23"/>
  <c r="E3376" i="23"/>
  <c r="F3376" i="23"/>
  <c r="H3376" i="23"/>
  <c r="J3376" i="23"/>
  <c r="K3376" i="23"/>
  <c r="D3377" i="23"/>
  <c r="E3377" i="23"/>
  <c r="F3377" i="23"/>
  <c r="H3377" i="23"/>
  <c r="J3377" i="23"/>
  <c r="K3377" i="23"/>
  <c r="D3378" i="23"/>
  <c r="E3378" i="23"/>
  <c r="F3378" i="23"/>
  <c r="H3378" i="23"/>
  <c r="J3378" i="23"/>
  <c r="K3378" i="23"/>
  <c r="D3379" i="23"/>
  <c r="E3379" i="23"/>
  <c r="F3379" i="23"/>
  <c r="H3379" i="23"/>
  <c r="J3379" i="23"/>
  <c r="K3379" i="23"/>
  <c r="E3380" i="23"/>
  <c r="F3380" i="23"/>
  <c r="H3380" i="23"/>
  <c r="J3380" i="23"/>
  <c r="K3380" i="23"/>
  <c r="E3381" i="23"/>
  <c r="F3381" i="23"/>
  <c r="H3381" i="23"/>
  <c r="J3381" i="23"/>
  <c r="K3381" i="23"/>
  <c r="B3389" i="23"/>
  <c r="D3390" i="23"/>
  <c r="E3390" i="23"/>
  <c r="F3390" i="23"/>
  <c r="H3390" i="23"/>
  <c r="I3390" i="23"/>
  <c r="J3390" i="23"/>
  <c r="K3390" i="23"/>
  <c r="D3391" i="23"/>
  <c r="E3391" i="23"/>
  <c r="F3391" i="23"/>
  <c r="H3391" i="23"/>
  <c r="I3391" i="23"/>
  <c r="J3391" i="23"/>
  <c r="K3391" i="23"/>
  <c r="B3392" i="23"/>
  <c r="F3392" i="23" s="1"/>
  <c r="D3393" i="23"/>
  <c r="E3393" i="23"/>
  <c r="F3393" i="23"/>
  <c r="H3393" i="23"/>
  <c r="I3393" i="23"/>
  <c r="J3393" i="23"/>
  <c r="K3393" i="23"/>
  <c r="D3395" i="23"/>
  <c r="E3395" i="23"/>
  <c r="F3395" i="23"/>
  <c r="H3395" i="23"/>
  <c r="I3395" i="23"/>
  <c r="J3395" i="23"/>
  <c r="K3395" i="23"/>
  <c r="D3396" i="23"/>
  <c r="E3396" i="23"/>
  <c r="F3396" i="23"/>
  <c r="I3396" i="23"/>
  <c r="J3396" i="23"/>
  <c r="K3396" i="23"/>
  <c r="D3397" i="23"/>
  <c r="E3397" i="23"/>
  <c r="F3397" i="23"/>
  <c r="H3397" i="23"/>
  <c r="I3397" i="23"/>
  <c r="J3397" i="23"/>
  <c r="K3397" i="23"/>
  <c r="D3398" i="23"/>
  <c r="E3398" i="23"/>
  <c r="F3398" i="23"/>
  <c r="H3398" i="23"/>
  <c r="J3398" i="23"/>
  <c r="K3398" i="23"/>
  <c r="D3399" i="23"/>
  <c r="E3399" i="23"/>
  <c r="F3399" i="23"/>
  <c r="H3399" i="23"/>
  <c r="I3399" i="23"/>
  <c r="J3399" i="23"/>
  <c r="K3399" i="23"/>
  <c r="E3403" i="23"/>
  <c r="F3403" i="23"/>
  <c r="H3403" i="23"/>
  <c r="E3404" i="23"/>
  <c r="F3404" i="23"/>
  <c r="H3404" i="23"/>
  <c r="D3405" i="23"/>
  <c r="E3405" i="23"/>
  <c r="F3405" i="23"/>
  <c r="J3405" i="23"/>
  <c r="K3405" i="23"/>
  <c r="E3406" i="23"/>
  <c r="F3406" i="23"/>
  <c r="H3406" i="23"/>
  <c r="J3406" i="23"/>
  <c r="K3406" i="23"/>
  <c r="D3407" i="23"/>
  <c r="E3407" i="23"/>
  <c r="F3407" i="23"/>
  <c r="J3407" i="23"/>
  <c r="K3407" i="23"/>
  <c r="D3409" i="23"/>
  <c r="E3409" i="23"/>
  <c r="F3409" i="23"/>
  <c r="H3409" i="23"/>
  <c r="J3409" i="23"/>
  <c r="E3410" i="23"/>
  <c r="F3410" i="23"/>
  <c r="H3410" i="23"/>
  <c r="B3411" i="23"/>
  <c r="E3411" i="23" s="1"/>
  <c r="B3412" i="23"/>
  <c r="D3415" i="23"/>
  <c r="E3415" i="23"/>
  <c r="F3415" i="23"/>
  <c r="H3415" i="23"/>
  <c r="J3415" i="23"/>
  <c r="K3415" i="23"/>
  <c r="D3416" i="23"/>
  <c r="E3416" i="23"/>
  <c r="F3416" i="23"/>
  <c r="J3416" i="23"/>
  <c r="K3416" i="23"/>
  <c r="D3417" i="23"/>
  <c r="E3417" i="23"/>
  <c r="F3417" i="23"/>
  <c r="J3417" i="23"/>
  <c r="K3417" i="23"/>
  <c r="D3418" i="23"/>
  <c r="E3418" i="23"/>
  <c r="F3418" i="23"/>
  <c r="H3418" i="23"/>
  <c r="J3418" i="23"/>
  <c r="K3418" i="23"/>
  <c r="D3419" i="23"/>
  <c r="E3419" i="23"/>
  <c r="F3419" i="23"/>
  <c r="H3419" i="23"/>
  <c r="J3419" i="23"/>
  <c r="K3419" i="23"/>
  <c r="D3420" i="23"/>
  <c r="E3420" i="23"/>
  <c r="F3420" i="23"/>
  <c r="H3420" i="23"/>
  <c r="J3420" i="23"/>
  <c r="K3420" i="23"/>
  <c r="L3422" i="23"/>
  <c r="M3422" i="23"/>
  <c r="N3422" i="23"/>
  <c r="O3422" i="23"/>
  <c r="E3423" i="23"/>
  <c r="H3423" i="23"/>
  <c r="E3424" i="23"/>
  <c r="H3424" i="23"/>
  <c r="E3425" i="23"/>
  <c r="H3425" i="23"/>
  <c r="E3426" i="23"/>
  <c r="H3426" i="23"/>
  <c r="E3427" i="23"/>
  <c r="J3427" i="23"/>
  <c r="L3429" i="23"/>
  <c r="M3429" i="23"/>
  <c r="N3429" i="23"/>
  <c r="O3429" i="23"/>
  <c r="E3430" i="23"/>
  <c r="H3430" i="23"/>
  <c r="E3431" i="23"/>
  <c r="H3431" i="23"/>
  <c r="E3432" i="23"/>
  <c r="H3432" i="23"/>
  <c r="E3433" i="23"/>
  <c r="H3433" i="23"/>
  <c r="E3434" i="23"/>
  <c r="J3434" i="23"/>
  <c r="L3436" i="23"/>
  <c r="M3436" i="23"/>
  <c r="N3436" i="23"/>
  <c r="O3436" i="23"/>
  <c r="E3437" i="23"/>
  <c r="H3437" i="23"/>
  <c r="E3438" i="23"/>
  <c r="H3438" i="23"/>
  <c r="E3439" i="23"/>
  <c r="H3439" i="23"/>
  <c r="J3439" i="23"/>
  <c r="E3440" i="23"/>
  <c r="H3440" i="23"/>
  <c r="E3441" i="23"/>
  <c r="H3441" i="23"/>
  <c r="L3443" i="23"/>
  <c r="M3443" i="23"/>
  <c r="N3443" i="23"/>
  <c r="O3443" i="23"/>
  <c r="E3444" i="23"/>
  <c r="H3444" i="23"/>
  <c r="E3445" i="23"/>
  <c r="H3445" i="23"/>
  <c r="E3446" i="23"/>
  <c r="H3446" i="23"/>
  <c r="E3447" i="23"/>
  <c r="H3447" i="23"/>
  <c r="E3448" i="23"/>
  <c r="H3448" i="23"/>
  <c r="E3449" i="23"/>
  <c r="J3449" i="23"/>
  <c r="L3451" i="23"/>
  <c r="M3451" i="23"/>
  <c r="N3451" i="23"/>
  <c r="O3451" i="23"/>
  <c r="E3452" i="23"/>
  <c r="H3452" i="23"/>
  <c r="E3453" i="23"/>
  <c r="H3453" i="23"/>
  <c r="E3454" i="23"/>
  <c r="H3454" i="23"/>
  <c r="E3455" i="23"/>
  <c r="H3455" i="23"/>
  <c r="E3456" i="23"/>
  <c r="H3456" i="23"/>
  <c r="E3457" i="23"/>
  <c r="J3457" i="23"/>
  <c r="L3459" i="23"/>
  <c r="M3459" i="23"/>
  <c r="N3459" i="23"/>
  <c r="O3459" i="23"/>
  <c r="D3460" i="23"/>
  <c r="E3460" i="23"/>
  <c r="F3460" i="23"/>
  <c r="H3460" i="23"/>
  <c r="J3460" i="23"/>
  <c r="K3460" i="23"/>
  <c r="D3461" i="23"/>
  <c r="E3461" i="23"/>
  <c r="F3461" i="23"/>
  <c r="H3461" i="23"/>
  <c r="J3461" i="23"/>
  <c r="K3461" i="23"/>
  <c r="D3462" i="23"/>
  <c r="E3462" i="23"/>
  <c r="F3462" i="23"/>
  <c r="H3462" i="23"/>
  <c r="J3462" i="23"/>
  <c r="K3462" i="23"/>
  <c r="D3463" i="23"/>
  <c r="E3463" i="23"/>
  <c r="F3463" i="23"/>
  <c r="H3463" i="23"/>
  <c r="J3463" i="23"/>
  <c r="D3464" i="23"/>
  <c r="E3464" i="23"/>
  <c r="F3464" i="23"/>
  <c r="H3464" i="23"/>
  <c r="J3464" i="23"/>
  <c r="D3465" i="23"/>
  <c r="E3465" i="23"/>
  <c r="F3465" i="23"/>
  <c r="H3465" i="23"/>
  <c r="J3465" i="23"/>
  <c r="K3465" i="23"/>
  <c r="D3466" i="23"/>
  <c r="E3466" i="23"/>
  <c r="F3466" i="23"/>
  <c r="H3466" i="23"/>
  <c r="J3466" i="23"/>
  <c r="K3466" i="23"/>
  <c r="D3467" i="23"/>
  <c r="E3467" i="23"/>
  <c r="H3467" i="23"/>
  <c r="J3467" i="23"/>
  <c r="D3468" i="23"/>
  <c r="E3468" i="23"/>
  <c r="H3468" i="23"/>
  <c r="J3468" i="23"/>
  <c r="D3469" i="23"/>
  <c r="E3469" i="23"/>
  <c r="H3469" i="23"/>
  <c r="J3469" i="23"/>
  <c r="D3470" i="23"/>
  <c r="E3470" i="23"/>
  <c r="F3470" i="23"/>
  <c r="H3470" i="23"/>
  <c r="J3470" i="23"/>
  <c r="K3470" i="23"/>
  <c r="L3472" i="23"/>
  <c r="M3472" i="23"/>
  <c r="N3472" i="23"/>
  <c r="O3472" i="23"/>
  <c r="D3473" i="23"/>
  <c r="E3473" i="23"/>
  <c r="F3473" i="23"/>
  <c r="H3473" i="23"/>
  <c r="J3473" i="23"/>
  <c r="K3473" i="23"/>
  <c r="D3474" i="23"/>
  <c r="E3474" i="23"/>
  <c r="F3474" i="23"/>
  <c r="H3474" i="23"/>
  <c r="J3474" i="23"/>
  <c r="K3474" i="23"/>
  <c r="A3475" i="23"/>
  <c r="A3476" i="23" s="1"/>
  <c r="L3475" i="23"/>
  <c r="M3475" i="23"/>
  <c r="N3475" i="23"/>
  <c r="O3475" i="23"/>
  <c r="L3476" i="23"/>
  <c r="M3476" i="23"/>
  <c r="N3476" i="23"/>
  <c r="O3476" i="23"/>
  <c r="D3477" i="23"/>
  <c r="E3477" i="23"/>
  <c r="F3477" i="23"/>
  <c r="G3477" i="23"/>
  <c r="H3477" i="23"/>
  <c r="J3477" i="23"/>
  <c r="K3477" i="23"/>
  <c r="D3478" i="23"/>
  <c r="E3478" i="23"/>
  <c r="F3478" i="23"/>
  <c r="G3478" i="23"/>
  <c r="H3478" i="23"/>
  <c r="J3478" i="23"/>
  <c r="K3478" i="23"/>
  <c r="D3479" i="23"/>
  <c r="E3479" i="23"/>
  <c r="F3479" i="23"/>
  <c r="G3479" i="23"/>
  <c r="M3479" i="23" s="1"/>
  <c r="H3479" i="23"/>
  <c r="J3479" i="23"/>
  <c r="K3479" i="23"/>
  <c r="D3480" i="23"/>
  <c r="E3480" i="23"/>
  <c r="F3480" i="23"/>
  <c r="G3480" i="23"/>
  <c r="M3480" i="23" s="1"/>
  <c r="H3480" i="23"/>
  <c r="J3480" i="23"/>
  <c r="K3480" i="23"/>
  <c r="D3481" i="23"/>
  <c r="E3481" i="23"/>
  <c r="F3481" i="23"/>
  <c r="G3481" i="23"/>
  <c r="H3481" i="23"/>
  <c r="J3481" i="23"/>
  <c r="K3481" i="23"/>
  <c r="D3482" i="23"/>
  <c r="E3482" i="23"/>
  <c r="F3482" i="23"/>
  <c r="H3482" i="23"/>
  <c r="J3482" i="23"/>
  <c r="K3482" i="23"/>
  <c r="D3483" i="23"/>
  <c r="E3483" i="23"/>
  <c r="F3483" i="23"/>
  <c r="G3483" i="23"/>
  <c r="A3483" i="23" s="1"/>
  <c r="H3483" i="23"/>
  <c r="J3483" i="23"/>
  <c r="K3483" i="23"/>
  <c r="D3484" i="23"/>
  <c r="E3484" i="23"/>
  <c r="F3484" i="23"/>
  <c r="G3484" i="23"/>
  <c r="A3484" i="23" s="1"/>
  <c r="H3484" i="23"/>
  <c r="J3484" i="23"/>
  <c r="K3484" i="23"/>
  <c r="L3486" i="23"/>
  <c r="M3486" i="23"/>
  <c r="N3486" i="23"/>
  <c r="O3486" i="23"/>
  <c r="D3487" i="23"/>
  <c r="E3487" i="23"/>
  <c r="F3487" i="23"/>
  <c r="H3487" i="23"/>
  <c r="J3487" i="23"/>
  <c r="K3487" i="23"/>
  <c r="D3488" i="23"/>
  <c r="E3488" i="23"/>
  <c r="F3488" i="23"/>
  <c r="H3488" i="23"/>
  <c r="J3488" i="23"/>
  <c r="K3488" i="23"/>
  <c r="D3489" i="23"/>
  <c r="E3489" i="23"/>
  <c r="F3489" i="23"/>
  <c r="H3489" i="23"/>
  <c r="J3489" i="23"/>
  <c r="K3489" i="23"/>
  <c r="D3490" i="23"/>
  <c r="E3490" i="23"/>
  <c r="F3490" i="23"/>
  <c r="H3490" i="23"/>
  <c r="J3490" i="23"/>
  <c r="K3490" i="23"/>
  <c r="D3491" i="23"/>
  <c r="E3491" i="23"/>
  <c r="F3491" i="23"/>
  <c r="H3491" i="23"/>
  <c r="J3491" i="23"/>
  <c r="K3491" i="23"/>
  <c r="D3492" i="23"/>
  <c r="E3492" i="23"/>
  <c r="F3492" i="23"/>
  <c r="H3492" i="23"/>
  <c r="J3492" i="23"/>
  <c r="K3492" i="23"/>
  <c r="D3493" i="23"/>
  <c r="E3493" i="23"/>
  <c r="F3493" i="23"/>
  <c r="H3493" i="23"/>
  <c r="J3493" i="23"/>
  <c r="K3493" i="23"/>
  <c r="D3496" i="23"/>
  <c r="F3496" i="23"/>
  <c r="H3496" i="23"/>
  <c r="J3496" i="23"/>
  <c r="K3496" i="23"/>
  <c r="D3497" i="23"/>
  <c r="E3497" i="23"/>
  <c r="F3497" i="23"/>
  <c r="H3497" i="23"/>
  <c r="J3497" i="23"/>
  <c r="K3497" i="23"/>
  <c r="D3498" i="23"/>
  <c r="E3498" i="23"/>
  <c r="F3498" i="23"/>
  <c r="H3498" i="23"/>
  <c r="J3498" i="23"/>
  <c r="K3498" i="23"/>
  <c r="D3499" i="23"/>
  <c r="E3499" i="23"/>
  <c r="F3499" i="23"/>
  <c r="H3499" i="23"/>
  <c r="J3499" i="23"/>
  <c r="K3499" i="23"/>
  <c r="D3500" i="23"/>
  <c r="E3500" i="23"/>
  <c r="F3500" i="23"/>
  <c r="H3500" i="23"/>
  <c r="J3500" i="23"/>
  <c r="K3500" i="23"/>
  <c r="D3501" i="23"/>
  <c r="E3501" i="23"/>
  <c r="F3501" i="23"/>
  <c r="H3501" i="23"/>
  <c r="J3501" i="23"/>
  <c r="K3501" i="23"/>
  <c r="D3502" i="23"/>
  <c r="E3502" i="23"/>
  <c r="F3502" i="23"/>
  <c r="H3502" i="23"/>
  <c r="J3502" i="23"/>
  <c r="K3502" i="23"/>
  <c r="D3503" i="23"/>
  <c r="E3503" i="23"/>
  <c r="F3503" i="23"/>
  <c r="H3503" i="23"/>
  <c r="J3503" i="23"/>
  <c r="K3503" i="23"/>
  <c r="D3504" i="23"/>
  <c r="E3504" i="23"/>
  <c r="F3504" i="23"/>
  <c r="H3504" i="23"/>
  <c r="J3504" i="23"/>
  <c r="K3504" i="23"/>
  <c r="D3505" i="23"/>
  <c r="E3505" i="23"/>
  <c r="F3505" i="23"/>
  <c r="H3505" i="23"/>
  <c r="J3505" i="23"/>
  <c r="K3505" i="23"/>
  <c r="D3508" i="23"/>
  <c r="E3508" i="23"/>
  <c r="F3508" i="23"/>
  <c r="H3508" i="23"/>
  <c r="J3508" i="23"/>
  <c r="K3508" i="23"/>
  <c r="D3509" i="23"/>
  <c r="E3509" i="23"/>
  <c r="F3509" i="23"/>
  <c r="H3509" i="23"/>
  <c r="J3509" i="23"/>
  <c r="K3509" i="23"/>
  <c r="D3510" i="23"/>
  <c r="E3510" i="23"/>
  <c r="F3510" i="23"/>
  <c r="H3510" i="23"/>
  <c r="J3510" i="23"/>
  <c r="K3510" i="23"/>
  <c r="D3511" i="23"/>
  <c r="E3511" i="23"/>
  <c r="F3511" i="23"/>
  <c r="H3511" i="23"/>
  <c r="J3511" i="23"/>
  <c r="K3511" i="23"/>
  <c r="D3512" i="23"/>
  <c r="E3512" i="23"/>
  <c r="F3512" i="23"/>
  <c r="H3512" i="23"/>
  <c r="J3512" i="23"/>
  <c r="K3512" i="23"/>
  <c r="D3513" i="23"/>
  <c r="E3513" i="23"/>
  <c r="F3513" i="23"/>
  <c r="H3513" i="23"/>
  <c r="J3513" i="23"/>
  <c r="K3513" i="23"/>
  <c r="D3514" i="23"/>
  <c r="E3514" i="23"/>
  <c r="F3514" i="23"/>
  <c r="H3514" i="23"/>
  <c r="J3514" i="23"/>
  <c r="K3514" i="23"/>
  <c r="D3515" i="23"/>
  <c r="E3515" i="23"/>
  <c r="F3515" i="23"/>
  <c r="H3515" i="23"/>
  <c r="J3515" i="23"/>
  <c r="K3515" i="23"/>
  <c r="D3518" i="23"/>
  <c r="E3518" i="23"/>
  <c r="F3518" i="23"/>
  <c r="H3518" i="23"/>
  <c r="J3518" i="23"/>
  <c r="K3518" i="23"/>
  <c r="D3519" i="23"/>
  <c r="E3519" i="23"/>
  <c r="F3519" i="23"/>
  <c r="H3519" i="23"/>
  <c r="J3519" i="23"/>
  <c r="K3519" i="23"/>
  <c r="E3522" i="23"/>
  <c r="F3522" i="23"/>
  <c r="H3522" i="23"/>
  <c r="J3522" i="23"/>
  <c r="K3522" i="23"/>
  <c r="R3522" i="23"/>
  <c r="D3523" i="23"/>
  <c r="E3523" i="23"/>
  <c r="F3523" i="23"/>
  <c r="H3523" i="23"/>
  <c r="J3523" i="23"/>
  <c r="K3523" i="23"/>
  <c r="D3524" i="23"/>
  <c r="E3524" i="23"/>
  <c r="F3524" i="23"/>
  <c r="H3524" i="23"/>
  <c r="J3524" i="23"/>
  <c r="K3524" i="23"/>
  <c r="D3525" i="23"/>
  <c r="E3525" i="23"/>
  <c r="F3525" i="23"/>
  <c r="H3525" i="23"/>
  <c r="J3525" i="23"/>
  <c r="K3525" i="23"/>
  <c r="D3526" i="23"/>
  <c r="E3526" i="23"/>
  <c r="F3526" i="23"/>
  <c r="H3526" i="23"/>
  <c r="J3526" i="23"/>
  <c r="K3526" i="23"/>
  <c r="D3527" i="23"/>
  <c r="E3527" i="23"/>
  <c r="F3527" i="23"/>
  <c r="H3527" i="23"/>
  <c r="J3527" i="23"/>
  <c r="K3527" i="23"/>
  <c r="D3528" i="23"/>
  <c r="E3528" i="23"/>
  <c r="F3528" i="23"/>
  <c r="H3528" i="23"/>
  <c r="J3528" i="23"/>
  <c r="K3528" i="23"/>
  <c r="D3529" i="23"/>
  <c r="E3529" i="23"/>
  <c r="F3529" i="23"/>
  <c r="H3529" i="23"/>
  <c r="J3529" i="23"/>
  <c r="K3529" i="23"/>
  <c r="D3530" i="23"/>
  <c r="E3530" i="23"/>
  <c r="F3530" i="23"/>
  <c r="H3530" i="23"/>
  <c r="J3530" i="23"/>
  <c r="K3530" i="23"/>
  <c r="A3531" i="23"/>
  <c r="E3531" i="23"/>
  <c r="F3531" i="23"/>
  <c r="H3531" i="23"/>
  <c r="L3531" i="23" s="1"/>
  <c r="M3531" i="23"/>
  <c r="N3531" i="23"/>
  <c r="O3531" i="23"/>
  <c r="D3532" i="23"/>
  <c r="E3532" i="23"/>
  <c r="F3532" i="23"/>
  <c r="H3532" i="23"/>
  <c r="J3532" i="23"/>
  <c r="K3532" i="23"/>
  <c r="D3533" i="23"/>
  <c r="E3533" i="23"/>
  <c r="F3533" i="23"/>
  <c r="H3533" i="23"/>
  <c r="J3533" i="23"/>
  <c r="K3533" i="23"/>
  <c r="D3534" i="23"/>
  <c r="E3534" i="23"/>
  <c r="F3534" i="23"/>
  <c r="H3534" i="23"/>
  <c r="J3534" i="23"/>
  <c r="K3534" i="23"/>
  <c r="D3537" i="23"/>
  <c r="E3537" i="23"/>
  <c r="F3537" i="23"/>
  <c r="H3537" i="23"/>
  <c r="J3537" i="23"/>
  <c r="K3537" i="23"/>
  <c r="E3538" i="23"/>
  <c r="F3538" i="23"/>
  <c r="H3538" i="23"/>
  <c r="J3538" i="23"/>
  <c r="K3538" i="23"/>
  <c r="E3539" i="23"/>
  <c r="F3539" i="23"/>
  <c r="H3539" i="23"/>
  <c r="J3539" i="23"/>
  <c r="K3539" i="23"/>
  <c r="D3540" i="23"/>
  <c r="E3540" i="23"/>
  <c r="F3540" i="23"/>
  <c r="H3540" i="23"/>
  <c r="J3540" i="23"/>
  <c r="K3540" i="23"/>
  <c r="D3541" i="23"/>
  <c r="E3541" i="23"/>
  <c r="F3541" i="23"/>
  <c r="H3541" i="23"/>
  <c r="J3541" i="23"/>
  <c r="K3541" i="23"/>
  <c r="D3542" i="23"/>
  <c r="E3542" i="23"/>
  <c r="F3542" i="23"/>
  <c r="H3542" i="23"/>
  <c r="J3542" i="23"/>
  <c r="K3542" i="23"/>
  <c r="D3543" i="23"/>
  <c r="E3543" i="23"/>
  <c r="F3543" i="23"/>
  <c r="H3543" i="23"/>
  <c r="J3543" i="23"/>
  <c r="K3543" i="23"/>
  <c r="D3544" i="23"/>
  <c r="E3544" i="23"/>
  <c r="F3544" i="23"/>
  <c r="H3544" i="23"/>
  <c r="J3544" i="23"/>
  <c r="K3544" i="23"/>
  <c r="D3545" i="23"/>
  <c r="E3545" i="23"/>
  <c r="F3545" i="23"/>
  <c r="H3545" i="23"/>
  <c r="J3545" i="23"/>
  <c r="K3545" i="23"/>
  <c r="D3546" i="23"/>
  <c r="E3546" i="23"/>
  <c r="F3546" i="23"/>
  <c r="H3546" i="23"/>
  <c r="J3546" i="23"/>
  <c r="K3546" i="23"/>
  <c r="D3547" i="23"/>
  <c r="E3547" i="23"/>
  <c r="F3547" i="23"/>
  <c r="H3547" i="23"/>
  <c r="J3547" i="23"/>
  <c r="K3547" i="23"/>
  <c r="D3548" i="23"/>
  <c r="E3548" i="23"/>
  <c r="F3548" i="23"/>
  <c r="H3548" i="23"/>
  <c r="J3548" i="23"/>
  <c r="K3548" i="23"/>
  <c r="D3549" i="23"/>
  <c r="E3549" i="23"/>
  <c r="F3549" i="23"/>
  <c r="H3549" i="23"/>
  <c r="J3549" i="23"/>
  <c r="K3549" i="23"/>
  <c r="D3550" i="23"/>
  <c r="E3550" i="23"/>
  <c r="F3550" i="23"/>
  <c r="H3550" i="23"/>
  <c r="J3550" i="23"/>
  <c r="K3550" i="23"/>
  <c r="D3551" i="23"/>
  <c r="E3551" i="23"/>
  <c r="F3551" i="23"/>
  <c r="H3551" i="23"/>
  <c r="J3551" i="23"/>
  <c r="K3551" i="23"/>
  <c r="D3552" i="23"/>
  <c r="E3552" i="23"/>
  <c r="F3552" i="23"/>
  <c r="H3552" i="23"/>
  <c r="J3552" i="23"/>
  <c r="K3552" i="23"/>
  <c r="D3553" i="23"/>
  <c r="E3553" i="23"/>
  <c r="F3553" i="23"/>
  <c r="H3553" i="23"/>
  <c r="J3553" i="23"/>
  <c r="K3553" i="23"/>
  <c r="D3554" i="23"/>
  <c r="E3554" i="23"/>
  <c r="F3554" i="23"/>
  <c r="H3554" i="23"/>
  <c r="J3554" i="23"/>
  <c r="K3554" i="23"/>
  <c r="D3555" i="23"/>
  <c r="E3555" i="23"/>
  <c r="F3555" i="23"/>
  <c r="H3555" i="23"/>
  <c r="J3555" i="23"/>
  <c r="K3555" i="23"/>
  <c r="F3556" i="23"/>
  <c r="H3556" i="23"/>
  <c r="J3556" i="23"/>
  <c r="K3556" i="23"/>
  <c r="E3557" i="23"/>
  <c r="F3557" i="23"/>
  <c r="H3557" i="23"/>
  <c r="J3557" i="23"/>
  <c r="K3557" i="23"/>
  <c r="A16" i="49"/>
  <c r="C16" i="49"/>
  <c r="D16" i="49"/>
  <c r="E16" i="49"/>
  <c r="H16" i="49"/>
  <c r="L16" i="49" s="1"/>
  <c r="J16" i="49"/>
  <c r="N16" i="49" s="1"/>
  <c r="K16" i="49"/>
  <c r="O16" i="49" s="1"/>
  <c r="A17" i="49"/>
  <c r="C17" i="49"/>
  <c r="D17" i="49"/>
  <c r="E17" i="49"/>
  <c r="H17" i="49"/>
  <c r="L17" i="49" s="1"/>
  <c r="J17" i="49"/>
  <c r="N17" i="49" s="1"/>
  <c r="K17" i="49"/>
  <c r="O17" i="49" s="1"/>
  <c r="M17" i="49"/>
  <c r="D18" i="49"/>
  <c r="E18" i="49"/>
  <c r="J18" i="49"/>
  <c r="K18" i="49"/>
  <c r="D19" i="49"/>
  <c r="E19" i="49"/>
  <c r="H19" i="49"/>
  <c r="L19" i="49" s="1"/>
  <c r="J19" i="49"/>
  <c r="K19" i="49"/>
  <c r="A21" i="49"/>
  <c r="D21" i="49"/>
  <c r="E21" i="49"/>
  <c r="H21" i="49"/>
  <c r="L21" i="49" s="1"/>
  <c r="J21" i="49"/>
  <c r="N21" i="49" s="1"/>
  <c r="K21" i="49"/>
  <c r="O21" i="49" s="1"/>
  <c r="D22" i="49"/>
  <c r="H22" i="49"/>
  <c r="J22" i="49"/>
  <c r="K22" i="49"/>
  <c r="D23" i="49"/>
  <c r="E23" i="49"/>
  <c r="H23" i="49"/>
  <c r="J23" i="49"/>
  <c r="K23" i="49"/>
  <c r="A24" i="49"/>
  <c r="D24" i="49"/>
  <c r="E24" i="49"/>
  <c r="L24" i="49"/>
  <c r="M24" i="49"/>
  <c r="D25" i="49"/>
  <c r="E25" i="49"/>
  <c r="H25" i="49"/>
  <c r="D26" i="49"/>
  <c r="E26" i="49"/>
  <c r="A26" i="49"/>
  <c r="H26" i="49"/>
  <c r="J26" i="49"/>
  <c r="K26" i="49"/>
  <c r="A27" i="49"/>
  <c r="C27" i="49"/>
  <c r="D27" i="49"/>
  <c r="E27" i="49"/>
  <c r="H27" i="49"/>
  <c r="L27" i="49" s="1"/>
  <c r="I27" i="49"/>
  <c r="M27" i="49" s="1"/>
  <c r="J27" i="49"/>
  <c r="N27" i="49" s="1"/>
  <c r="K27" i="49"/>
  <c r="O27" i="49" s="1"/>
  <c r="A28" i="49"/>
  <c r="C28" i="49"/>
  <c r="D28" i="49"/>
  <c r="E28" i="49"/>
  <c r="H28" i="49"/>
  <c r="L28" i="49" s="1"/>
  <c r="I28" i="49"/>
  <c r="M28" i="49" s="1"/>
  <c r="J28" i="49"/>
  <c r="N28" i="49" s="1"/>
  <c r="K28" i="49"/>
  <c r="O28" i="49" s="1"/>
  <c r="A31" i="49"/>
  <c r="F34" i="49"/>
  <c r="H34" i="49"/>
  <c r="F35" i="49"/>
  <c r="H35" i="49"/>
  <c r="E37" i="49"/>
  <c r="F37" i="49"/>
  <c r="H37" i="49"/>
  <c r="K37" i="49"/>
  <c r="E38" i="49"/>
  <c r="F38" i="49"/>
  <c r="H38" i="49"/>
  <c r="K38" i="49"/>
  <c r="F39" i="49"/>
  <c r="H39" i="49"/>
  <c r="K39" i="49"/>
  <c r="E40" i="49"/>
  <c r="F40" i="49"/>
  <c r="H40" i="49"/>
  <c r="K40" i="49"/>
  <c r="E41" i="49"/>
  <c r="F41" i="49"/>
  <c r="H41" i="49"/>
  <c r="E42" i="49"/>
  <c r="F42" i="49"/>
  <c r="H42" i="49"/>
  <c r="K42" i="49"/>
  <c r="E43" i="49"/>
  <c r="F43" i="49"/>
  <c r="H43" i="49"/>
  <c r="K43" i="49"/>
  <c r="F44" i="49"/>
  <c r="H44" i="49"/>
  <c r="D49" i="49"/>
  <c r="E49" i="49"/>
  <c r="F49" i="49"/>
  <c r="H49" i="49"/>
  <c r="J49" i="49"/>
  <c r="K49" i="49"/>
  <c r="D50" i="49"/>
  <c r="F50" i="49"/>
  <c r="H50" i="49"/>
  <c r="D51" i="49"/>
  <c r="F51" i="49"/>
  <c r="H51" i="49"/>
  <c r="D52" i="49"/>
  <c r="F52" i="49"/>
  <c r="H52" i="49"/>
  <c r="D53" i="49"/>
  <c r="F53" i="49"/>
  <c r="H53" i="49"/>
  <c r="D54" i="49"/>
  <c r="F54" i="49"/>
  <c r="H54" i="49"/>
  <c r="D55" i="49"/>
  <c r="E55" i="49"/>
  <c r="F55" i="49"/>
  <c r="H55" i="49"/>
  <c r="J55" i="49"/>
  <c r="K55" i="49"/>
  <c r="D56" i="49"/>
  <c r="E56" i="49"/>
  <c r="F56" i="49"/>
  <c r="H56" i="49"/>
  <c r="J56" i="49"/>
  <c r="K56" i="49"/>
  <c r="D57" i="49"/>
  <c r="E57" i="49"/>
  <c r="F57" i="49"/>
  <c r="H57" i="49"/>
  <c r="J57" i="49"/>
  <c r="H59" i="49"/>
  <c r="J59" i="49"/>
  <c r="E60" i="49"/>
  <c r="F60" i="49"/>
  <c r="H60" i="49"/>
  <c r="J60" i="49"/>
  <c r="E61" i="49"/>
  <c r="F61" i="49"/>
  <c r="H61" i="49"/>
  <c r="J61" i="49"/>
  <c r="E62" i="49"/>
  <c r="F62" i="49"/>
  <c r="H62" i="49"/>
  <c r="J62" i="49"/>
  <c r="E63" i="49"/>
  <c r="F63" i="49"/>
  <c r="H63" i="49"/>
  <c r="L63" i="49" s="1"/>
  <c r="J63" i="49"/>
  <c r="N63" i="49" s="1"/>
  <c r="M63" i="49"/>
  <c r="O63" i="49"/>
  <c r="E66" i="49"/>
  <c r="F66" i="49"/>
  <c r="H66" i="49"/>
  <c r="J66" i="49"/>
  <c r="E69" i="49"/>
  <c r="F69" i="49"/>
  <c r="H69" i="49"/>
  <c r="J69" i="49"/>
  <c r="K69" i="49"/>
  <c r="E70" i="49"/>
  <c r="F70" i="49"/>
  <c r="G70" i="49"/>
  <c r="A70" i="49" s="1"/>
  <c r="J70" i="49"/>
  <c r="K70" i="49"/>
  <c r="E71" i="49"/>
  <c r="F71" i="49"/>
  <c r="H71" i="49"/>
  <c r="J71" i="49"/>
  <c r="K71" i="49"/>
  <c r="E72" i="49"/>
  <c r="F72" i="49"/>
  <c r="G72" i="49"/>
  <c r="A72" i="49" s="1"/>
  <c r="H72" i="49"/>
  <c r="J72" i="49"/>
  <c r="K72" i="49"/>
  <c r="E73" i="49"/>
  <c r="F73" i="49"/>
  <c r="H73" i="49"/>
  <c r="J73" i="49"/>
  <c r="E74" i="49"/>
  <c r="F74" i="49"/>
  <c r="H74" i="49"/>
  <c r="J74" i="49"/>
  <c r="E75" i="49"/>
  <c r="F75" i="49"/>
  <c r="J75" i="49"/>
  <c r="K75" i="49"/>
  <c r="E76" i="49"/>
  <c r="F76" i="49"/>
  <c r="H76" i="49"/>
  <c r="L76" i="49" s="1"/>
  <c r="J76" i="49"/>
  <c r="N76" i="49" s="1"/>
  <c r="K76" i="49"/>
  <c r="O76" i="49" s="1"/>
  <c r="M76" i="49"/>
  <c r="E77" i="49"/>
  <c r="F77" i="49"/>
  <c r="H77" i="49"/>
  <c r="J77" i="49"/>
  <c r="K77" i="49"/>
  <c r="E78" i="49"/>
  <c r="F78" i="49"/>
  <c r="J78" i="49"/>
  <c r="N78" i="49" s="1"/>
  <c r="K78" i="49"/>
  <c r="O78" i="49" s="1"/>
  <c r="M78" i="49"/>
  <c r="E79" i="49"/>
  <c r="F79" i="49"/>
  <c r="H79" i="49"/>
  <c r="L79" i="49" s="1"/>
  <c r="J79" i="49"/>
  <c r="N79" i="49" s="1"/>
  <c r="K79" i="49"/>
  <c r="O79" i="49" s="1"/>
  <c r="M79" i="49"/>
  <c r="E80" i="49"/>
  <c r="F80" i="49"/>
  <c r="H80" i="49"/>
  <c r="J80" i="49"/>
  <c r="K80" i="49"/>
  <c r="D81" i="49"/>
  <c r="E81" i="49"/>
  <c r="F81" i="49"/>
  <c r="J81" i="49"/>
  <c r="K81" i="49"/>
  <c r="D82" i="49"/>
  <c r="E82" i="49"/>
  <c r="F82" i="49"/>
  <c r="J82" i="49"/>
  <c r="K82" i="49"/>
  <c r="D83" i="49"/>
  <c r="E83" i="49"/>
  <c r="F83" i="49"/>
  <c r="J83" i="49"/>
  <c r="K83" i="49"/>
  <c r="D84" i="49"/>
  <c r="E84" i="49"/>
  <c r="F84" i="49"/>
  <c r="J84" i="49"/>
  <c r="K84" i="49"/>
  <c r="D85" i="49"/>
  <c r="E85" i="49"/>
  <c r="F85" i="49"/>
  <c r="J85" i="49"/>
  <c r="K85" i="49"/>
  <c r="D86" i="49"/>
  <c r="E86" i="49"/>
  <c r="F86" i="49"/>
  <c r="J86" i="49"/>
  <c r="K86" i="49"/>
  <c r="E87" i="49"/>
  <c r="F87" i="49"/>
  <c r="J87" i="49"/>
  <c r="K87" i="49"/>
  <c r="E88" i="49"/>
  <c r="F88" i="49"/>
  <c r="J88" i="49"/>
  <c r="K88" i="49"/>
  <c r="E89" i="49"/>
  <c r="F89" i="49"/>
  <c r="J89" i="49"/>
  <c r="K89" i="49"/>
  <c r="E90" i="49"/>
  <c r="F90" i="49"/>
  <c r="J90" i="49"/>
  <c r="K90" i="49"/>
  <c r="D91" i="49"/>
  <c r="E91" i="49"/>
  <c r="F91" i="49"/>
  <c r="J91" i="49"/>
  <c r="K91" i="49"/>
  <c r="D92" i="49"/>
  <c r="E92" i="49"/>
  <c r="F92" i="49"/>
  <c r="J92" i="49"/>
  <c r="K92" i="49"/>
  <c r="D93" i="49"/>
  <c r="E93" i="49"/>
  <c r="F93" i="49"/>
  <c r="J93" i="49"/>
  <c r="K93" i="49"/>
  <c r="D94" i="49"/>
  <c r="E94" i="49"/>
  <c r="F94" i="49"/>
  <c r="J94" i="49"/>
  <c r="K94" i="49"/>
  <c r="D95" i="49"/>
  <c r="E95" i="49"/>
  <c r="F95" i="49"/>
  <c r="J95" i="49"/>
  <c r="K95" i="49"/>
  <c r="D96" i="49"/>
  <c r="E96" i="49"/>
  <c r="F96" i="49"/>
  <c r="J96" i="49"/>
  <c r="K96" i="49"/>
  <c r="D97" i="49"/>
  <c r="E97" i="49"/>
  <c r="F97" i="49"/>
  <c r="J97" i="49"/>
  <c r="K97" i="49"/>
  <c r="D98" i="49"/>
  <c r="E98" i="49"/>
  <c r="F98" i="49"/>
  <c r="J98" i="49"/>
  <c r="N98" i="49" s="1"/>
  <c r="K98" i="49"/>
  <c r="O98" i="49" s="1"/>
  <c r="L98" i="49"/>
  <c r="M98" i="49"/>
  <c r="D100" i="49"/>
  <c r="E100" i="49"/>
  <c r="F100" i="49"/>
  <c r="J100" i="49"/>
  <c r="K100" i="49"/>
  <c r="E103" i="49"/>
  <c r="F103" i="49"/>
  <c r="H103" i="49"/>
  <c r="K103" i="49"/>
  <c r="E104" i="49"/>
  <c r="F104" i="49"/>
  <c r="H104" i="49"/>
  <c r="K104" i="49"/>
  <c r="F105" i="49"/>
  <c r="H105" i="49"/>
  <c r="K105" i="49"/>
  <c r="E106" i="49"/>
  <c r="F106" i="49"/>
  <c r="H106" i="49"/>
  <c r="K106" i="49"/>
  <c r="D107" i="49"/>
  <c r="E107" i="49"/>
  <c r="F107" i="49"/>
  <c r="J107" i="49"/>
  <c r="K107" i="49"/>
  <c r="D108" i="49"/>
  <c r="E108" i="49"/>
  <c r="F108" i="49"/>
  <c r="J108" i="49"/>
  <c r="K108" i="49"/>
  <c r="D109" i="49"/>
  <c r="E109" i="49"/>
  <c r="F109" i="49"/>
  <c r="J109" i="49"/>
  <c r="K109" i="49"/>
  <c r="D110" i="49"/>
  <c r="E110" i="49"/>
  <c r="F110" i="49"/>
  <c r="J110" i="49"/>
  <c r="K110" i="49"/>
  <c r="D111" i="49"/>
  <c r="E111" i="49"/>
  <c r="F111" i="49"/>
  <c r="J111" i="49"/>
  <c r="K111" i="49"/>
  <c r="E142" i="49"/>
  <c r="F142" i="49"/>
  <c r="H142" i="49"/>
  <c r="J142" i="49"/>
  <c r="K142" i="49"/>
  <c r="E143" i="49"/>
  <c r="F143" i="49"/>
  <c r="H143" i="49"/>
  <c r="J143" i="49"/>
  <c r="K143" i="49"/>
  <c r="E144" i="49"/>
  <c r="F144" i="49"/>
  <c r="H144" i="49"/>
  <c r="J144" i="49"/>
  <c r="K144" i="49"/>
  <c r="E145" i="49"/>
  <c r="F145" i="49"/>
  <c r="H145" i="49"/>
  <c r="J145" i="49"/>
  <c r="K145" i="49"/>
  <c r="E146" i="49"/>
  <c r="F146" i="49"/>
  <c r="H146" i="49"/>
  <c r="J146" i="49"/>
  <c r="K146" i="49"/>
  <c r="E147" i="49"/>
  <c r="F147" i="49"/>
  <c r="H147" i="49"/>
  <c r="J147" i="49"/>
  <c r="K147" i="49"/>
  <c r="D148" i="49"/>
  <c r="E148" i="49"/>
  <c r="F148" i="49"/>
  <c r="H148" i="49"/>
  <c r="J148" i="49"/>
  <c r="K148" i="49"/>
  <c r="D149" i="49"/>
  <c r="E149" i="49"/>
  <c r="F149" i="49"/>
  <c r="H149" i="49"/>
  <c r="J149" i="49"/>
  <c r="K149" i="49"/>
  <c r="D150" i="49"/>
  <c r="E150" i="49"/>
  <c r="F150" i="49"/>
  <c r="L134" i="49"/>
  <c r="J150" i="49"/>
  <c r="K150" i="49"/>
  <c r="D151" i="49"/>
  <c r="E151" i="49"/>
  <c r="F151" i="49"/>
  <c r="H151" i="49"/>
  <c r="J151" i="49"/>
  <c r="K151" i="49"/>
  <c r="D152" i="49"/>
  <c r="E152" i="49"/>
  <c r="F152" i="49"/>
  <c r="H152" i="49"/>
  <c r="J152" i="49"/>
  <c r="K152" i="49"/>
  <c r="D153" i="49"/>
  <c r="E153" i="49"/>
  <c r="F153" i="49"/>
  <c r="H153" i="49"/>
  <c r="J153" i="49"/>
  <c r="K153" i="49"/>
  <c r="L154" i="49"/>
  <c r="M154" i="49"/>
  <c r="N154" i="49"/>
  <c r="O154" i="49"/>
  <c r="D156" i="49"/>
  <c r="E156" i="49"/>
  <c r="F156" i="49"/>
  <c r="G156" i="49"/>
  <c r="H156" i="49"/>
  <c r="J156" i="49"/>
  <c r="K156" i="49"/>
  <c r="D157" i="49"/>
  <c r="E157" i="49"/>
  <c r="F157" i="49"/>
  <c r="H157" i="49"/>
  <c r="L157" i="49" s="1"/>
  <c r="J157" i="49"/>
  <c r="N157" i="49" s="1"/>
  <c r="K157" i="49"/>
  <c r="O157" i="49" s="1"/>
  <c r="M157" i="49"/>
  <c r="G158" i="49"/>
  <c r="K158" i="49"/>
  <c r="D159" i="49"/>
  <c r="E159" i="49"/>
  <c r="F159" i="49"/>
  <c r="H159" i="49"/>
  <c r="L159" i="49" s="1"/>
  <c r="J159" i="49"/>
  <c r="N159" i="49" s="1"/>
  <c r="K159" i="49"/>
  <c r="O159" i="49" s="1"/>
  <c r="M159" i="49"/>
  <c r="D160" i="49"/>
  <c r="E160" i="49"/>
  <c r="F160" i="49"/>
  <c r="H160" i="49"/>
  <c r="L160" i="49" s="1"/>
  <c r="J160" i="49"/>
  <c r="N160" i="49" s="1"/>
  <c r="K160" i="49"/>
  <c r="O160" i="49" s="1"/>
  <c r="M160" i="49"/>
  <c r="D161" i="49"/>
  <c r="E161" i="49"/>
  <c r="F161" i="49"/>
  <c r="H161" i="49"/>
  <c r="L161" i="49" s="1"/>
  <c r="J161" i="49"/>
  <c r="N161" i="49" s="1"/>
  <c r="K161" i="49"/>
  <c r="O161" i="49" s="1"/>
  <c r="M161" i="49"/>
  <c r="E164" i="49"/>
  <c r="F164" i="49"/>
  <c r="H164" i="49"/>
  <c r="J164" i="49"/>
  <c r="K164" i="49"/>
  <c r="E165" i="49"/>
  <c r="F165" i="49"/>
  <c r="H165" i="49"/>
  <c r="J165" i="49"/>
  <c r="K165" i="49"/>
  <c r="E166" i="49"/>
  <c r="F166" i="49"/>
  <c r="H166" i="49"/>
  <c r="J166" i="49"/>
  <c r="K166" i="49"/>
  <c r="E167" i="49"/>
  <c r="F167" i="49"/>
  <c r="H167" i="49"/>
  <c r="J167" i="49"/>
  <c r="K167" i="49"/>
  <c r="E168" i="49"/>
  <c r="F168" i="49"/>
  <c r="H168" i="49"/>
  <c r="J168" i="49"/>
  <c r="K168" i="49"/>
  <c r="D169" i="49"/>
  <c r="E169" i="49"/>
  <c r="F169" i="49"/>
  <c r="H169" i="49"/>
  <c r="J169" i="49"/>
  <c r="K169" i="49"/>
  <c r="D170" i="49"/>
  <c r="E170" i="49"/>
  <c r="F170" i="49"/>
  <c r="H170" i="49"/>
  <c r="J170" i="49"/>
  <c r="K170" i="49"/>
  <c r="D171" i="49"/>
  <c r="E171" i="49"/>
  <c r="F171" i="49"/>
  <c r="H171" i="49"/>
  <c r="J171" i="49"/>
  <c r="K171" i="49"/>
  <c r="D172" i="49"/>
  <c r="E172" i="49"/>
  <c r="F172" i="49"/>
  <c r="H172" i="49"/>
  <c r="J172" i="49"/>
  <c r="K172" i="49"/>
  <c r="D173" i="49"/>
  <c r="E173" i="49"/>
  <c r="F173" i="49"/>
  <c r="H173" i="49"/>
  <c r="J173" i="49"/>
  <c r="K173" i="49"/>
  <c r="E176" i="49"/>
  <c r="F176" i="49"/>
  <c r="H176" i="49"/>
  <c r="J176" i="49"/>
  <c r="K176" i="49"/>
  <c r="E177" i="49"/>
  <c r="F177" i="49"/>
  <c r="H177" i="49"/>
  <c r="J177" i="49"/>
  <c r="K177" i="49"/>
  <c r="E178" i="49"/>
  <c r="F178" i="49"/>
  <c r="H178" i="49"/>
  <c r="J178" i="49"/>
  <c r="K178" i="49"/>
  <c r="E179" i="49"/>
  <c r="F179" i="49"/>
  <c r="H179" i="49"/>
  <c r="J179" i="49"/>
  <c r="K179" i="49"/>
  <c r="E180" i="49"/>
  <c r="F180" i="49"/>
  <c r="H180" i="49"/>
  <c r="J180" i="49"/>
  <c r="K180" i="49"/>
  <c r="E181" i="49"/>
  <c r="F181" i="49"/>
  <c r="H181" i="49"/>
  <c r="J181" i="49"/>
  <c r="K181" i="49"/>
  <c r="D182" i="49"/>
  <c r="E182" i="49"/>
  <c r="F182" i="49"/>
  <c r="H182" i="49"/>
  <c r="J182" i="49"/>
  <c r="K182" i="49"/>
  <c r="D183" i="49"/>
  <c r="E183" i="49"/>
  <c r="F183" i="49"/>
  <c r="H183" i="49"/>
  <c r="J183" i="49"/>
  <c r="K183" i="49"/>
  <c r="D184" i="49"/>
  <c r="E184" i="49"/>
  <c r="F184" i="49"/>
  <c r="H184" i="49"/>
  <c r="J184" i="49"/>
  <c r="K184" i="49"/>
  <c r="D185" i="49"/>
  <c r="E185" i="49"/>
  <c r="F185" i="49"/>
  <c r="H185" i="49"/>
  <c r="J185" i="49"/>
  <c r="K185" i="49"/>
  <c r="D186" i="49"/>
  <c r="E186" i="49"/>
  <c r="F186" i="49"/>
  <c r="H186" i="49"/>
  <c r="J186" i="49"/>
  <c r="K186" i="49"/>
  <c r="D187" i="49"/>
  <c r="E187" i="49"/>
  <c r="F187" i="49"/>
  <c r="H187" i="49"/>
  <c r="J187" i="49"/>
  <c r="K187" i="49"/>
  <c r="E190" i="49"/>
  <c r="F190" i="49"/>
  <c r="H190" i="49"/>
  <c r="K190" i="49"/>
  <c r="E191" i="49"/>
  <c r="F191" i="49"/>
  <c r="H191" i="49"/>
  <c r="K191" i="49"/>
  <c r="E192" i="49"/>
  <c r="F192" i="49"/>
  <c r="H192" i="49"/>
  <c r="K192" i="49"/>
  <c r="E193" i="49"/>
  <c r="F193" i="49"/>
  <c r="H193" i="49"/>
  <c r="K193" i="49"/>
  <c r="D194" i="49"/>
  <c r="E194" i="49"/>
  <c r="F194" i="49"/>
  <c r="J194" i="49"/>
  <c r="K194" i="49"/>
  <c r="D195" i="49"/>
  <c r="E195" i="49"/>
  <c r="F195" i="49"/>
  <c r="J195" i="49"/>
  <c r="K195" i="49"/>
  <c r="D196" i="49"/>
  <c r="E196" i="49"/>
  <c r="F196" i="49"/>
  <c r="J196" i="49"/>
  <c r="K196" i="49"/>
  <c r="D197" i="49"/>
  <c r="E197" i="49"/>
  <c r="F197" i="49"/>
  <c r="J197" i="49"/>
  <c r="K197" i="49"/>
  <c r="D198" i="49"/>
  <c r="E198" i="49"/>
  <c r="F198" i="49"/>
  <c r="H198" i="49"/>
  <c r="L198" i="49" s="1"/>
  <c r="J198" i="49"/>
  <c r="N198" i="49" s="1"/>
  <c r="K198" i="49"/>
  <c r="O198" i="49" s="1"/>
  <c r="M198" i="49"/>
  <c r="D199" i="49"/>
  <c r="E199" i="49"/>
  <c r="F199" i="49"/>
  <c r="H199" i="49"/>
  <c r="L199" i="49" s="1"/>
  <c r="J199" i="49"/>
  <c r="N199" i="49" s="1"/>
  <c r="K199" i="49"/>
  <c r="O199" i="49" s="1"/>
  <c r="M199" i="49"/>
  <c r="D200" i="49"/>
  <c r="E200" i="49"/>
  <c r="F200" i="49"/>
  <c r="H200" i="49"/>
  <c r="L200" i="49" s="1"/>
  <c r="J200" i="49"/>
  <c r="N200" i="49" s="1"/>
  <c r="K200" i="49"/>
  <c r="O200" i="49" s="1"/>
  <c r="M200" i="49"/>
  <c r="M201" i="49"/>
  <c r="E203" i="49"/>
  <c r="F203" i="49"/>
  <c r="H203" i="49"/>
  <c r="K203" i="49"/>
  <c r="E204" i="49"/>
  <c r="F204" i="49"/>
  <c r="H204" i="49"/>
  <c r="K204" i="49"/>
  <c r="E205" i="49"/>
  <c r="F205" i="49"/>
  <c r="H205" i="49"/>
  <c r="K205" i="49"/>
  <c r="E206" i="49"/>
  <c r="F206" i="49"/>
  <c r="H206" i="49"/>
  <c r="K206" i="49"/>
  <c r="D207" i="49"/>
  <c r="E207" i="49"/>
  <c r="F207" i="49"/>
  <c r="J207" i="49"/>
  <c r="K207" i="49"/>
  <c r="D208" i="49"/>
  <c r="E208" i="49"/>
  <c r="F208" i="49"/>
  <c r="J208" i="49"/>
  <c r="K208" i="49"/>
  <c r="D209" i="49"/>
  <c r="E209" i="49"/>
  <c r="F209" i="49"/>
  <c r="J209" i="49"/>
  <c r="K209" i="49"/>
  <c r="D210" i="49"/>
  <c r="E210" i="49"/>
  <c r="F210" i="49"/>
  <c r="J210" i="49"/>
  <c r="K210" i="49"/>
  <c r="E213" i="49"/>
  <c r="F213" i="49"/>
  <c r="H213" i="49"/>
  <c r="K213" i="49"/>
  <c r="E214" i="49"/>
  <c r="F214" i="49"/>
  <c r="H214" i="49"/>
  <c r="K214" i="49"/>
  <c r="F215" i="49"/>
  <c r="H215" i="49"/>
  <c r="K215" i="49"/>
  <c r="E216" i="49"/>
  <c r="F216" i="49"/>
  <c r="H216" i="49"/>
  <c r="K216" i="49"/>
  <c r="D217" i="49"/>
  <c r="E217" i="49"/>
  <c r="F217" i="49"/>
  <c r="J217" i="49"/>
  <c r="K217" i="49"/>
  <c r="D218" i="49"/>
  <c r="E218" i="49"/>
  <c r="F218" i="49"/>
  <c r="J218" i="49"/>
  <c r="K218" i="49"/>
  <c r="D219" i="49"/>
  <c r="E219" i="49"/>
  <c r="F219" i="49"/>
  <c r="J219" i="49"/>
  <c r="K219" i="49"/>
  <c r="D220" i="49"/>
  <c r="E220" i="49"/>
  <c r="F220" i="49"/>
  <c r="J220" i="49"/>
  <c r="K220" i="49"/>
  <c r="D223" i="49"/>
  <c r="E223" i="49"/>
  <c r="F223" i="49"/>
  <c r="H223" i="49"/>
  <c r="J223" i="49"/>
  <c r="K223" i="49"/>
  <c r="D224" i="49"/>
  <c r="F224" i="49"/>
  <c r="H224" i="49"/>
  <c r="J224" i="49"/>
  <c r="K224" i="49"/>
  <c r="D225" i="49"/>
  <c r="E225" i="49"/>
  <c r="F225" i="49"/>
  <c r="H225" i="49"/>
  <c r="J225" i="49"/>
  <c r="K225" i="49"/>
  <c r="D226" i="49"/>
  <c r="E226" i="49"/>
  <c r="F226" i="49"/>
  <c r="H226" i="49"/>
  <c r="J226" i="49"/>
  <c r="K226" i="49"/>
  <c r="D227" i="49"/>
  <c r="E227" i="49"/>
  <c r="F227" i="49"/>
  <c r="J227" i="49"/>
  <c r="K227" i="49"/>
  <c r="D228" i="49"/>
  <c r="E228" i="49"/>
  <c r="F228" i="49"/>
  <c r="H228" i="49"/>
  <c r="J228" i="49"/>
  <c r="K228" i="49"/>
  <c r="D229" i="49"/>
  <c r="E229" i="49"/>
  <c r="F229" i="49"/>
  <c r="H229" i="49"/>
  <c r="J229" i="49"/>
  <c r="K229" i="49"/>
  <c r="D230" i="49"/>
  <c r="E230" i="49"/>
  <c r="F230" i="49"/>
  <c r="H230" i="49"/>
  <c r="J230" i="49"/>
  <c r="K230" i="49"/>
  <c r="L231" i="49"/>
  <c r="M231" i="49"/>
  <c r="N231" i="49"/>
  <c r="O231" i="49"/>
  <c r="D233" i="49"/>
  <c r="F233" i="49"/>
  <c r="G233" i="49"/>
  <c r="A233" i="49" s="1"/>
  <c r="J233" i="49"/>
  <c r="K233" i="49"/>
  <c r="D234" i="49"/>
  <c r="E234" i="49"/>
  <c r="F234" i="49"/>
  <c r="H234" i="49"/>
  <c r="L234" i="49" s="1"/>
  <c r="J234" i="49"/>
  <c r="N234" i="49" s="1"/>
  <c r="K234" i="49"/>
  <c r="O234" i="49" s="1"/>
  <c r="M234" i="49"/>
  <c r="D235" i="49"/>
  <c r="E235" i="49"/>
  <c r="F235" i="49"/>
  <c r="H235" i="49"/>
  <c r="L235" i="49" s="1"/>
  <c r="J235" i="49"/>
  <c r="N235" i="49" s="1"/>
  <c r="K235" i="49"/>
  <c r="O235" i="49" s="1"/>
  <c r="M235" i="49"/>
  <c r="D236" i="49"/>
  <c r="E236" i="49"/>
  <c r="F236" i="49"/>
  <c r="H236" i="49"/>
  <c r="L236" i="49" s="1"/>
  <c r="J236" i="49"/>
  <c r="N236" i="49" s="1"/>
  <c r="K236" i="49"/>
  <c r="O236" i="49" s="1"/>
  <c r="M236" i="49"/>
  <c r="C237" i="49"/>
  <c r="L237" i="49"/>
  <c r="M237" i="49"/>
  <c r="N237" i="49"/>
  <c r="O237" i="49"/>
  <c r="D239" i="49"/>
  <c r="F239" i="49"/>
  <c r="G239" i="49"/>
  <c r="A239" i="49" s="1"/>
  <c r="J239" i="49"/>
  <c r="K239" i="49"/>
  <c r="D240" i="49"/>
  <c r="E240" i="49"/>
  <c r="F240" i="49"/>
  <c r="H240" i="49"/>
  <c r="L240" i="49" s="1"/>
  <c r="J240" i="49"/>
  <c r="N240" i="49" s="1"/>
  <c r="K240" i="49"/>
  <c r="O240" i="49" s="1"/>
  <c r="M240" i="49"/>
  <c r="D241" i="49"/>
  <c r="E241" i="49"/>
  <c r="F241" i="49"/>
  <c r="H241" i="49"/>
  <c r="L241" i="49" s="1"/>
  <c r="J241" i="49"/>
  <c r="N241" i="49" s="1"/>
  <c r="K241" i="49"/>
  <c r="O241" i="49" s="1"/>
  <c r="M241" i="49"/>
  <c r="D242" i="49"/>
  <c r="E242" i="49"/>
  <c r="F242" i="49"/>
  <c r="H242" i="49"/>
  <c r="L242" i="49" s="1"/>
  <c r="J242" i="49"/>
  <c r="N242" i="49" s="1"/>
  <c r="K242" i="49"/>
  <c r="O242" i="49" s="1"/>
  <c r="M242" i="49"/>
  <c r="E245" i="49"/>
  <c r="F245" i="49"/>
  <c r="H245" i="49"/>
  <c r="J245" i="49"/>
  <c r="K245" i="49"/>
  <c r="E246" i="49"/>
  <c r="F246" i="49"/>
  <c r="H246" i="49"/>
  <c r="J246" i="49"/>
  <c r="K246" i="49"/>
  <c r="E247" i="49"/>
  <c r="F247" i="49"/>
  <c r="H247" i="49"/>
  <c r="J247" i="49"/>
  <c r="K247" i="49"/>
  <c r="E248" i="49"/>
  <c r="F248" i="49"/>
  <c r="H248" i="49"/>
  <c r="J248" i="49"/>
  <c r="K248" i="49"/>
  <c r="E249" i="49"/>
  <c r="F249" i="49"/>
  <c r="H249" i="49"/>
  <c r="J249" i="49"/>
  <c r="K249" i="49"/>
  <c r="H250" i="49"/>
  <c r="J250" i="49"/>
  <c r="K250" i="49"/>
  <c r="K251" i="49"/>
  <c r="Q252" i="49"/>
  <c r="R252" i="49"/>
  <c r="S252" i="49"/>
  <c r="L253" i="49"/>
  <c r="M253" i="49"/>
  <c r="N253" i="49"/>
  <c r="O253" i="49"/>
  <c r="E255" i="49"/>
  <c r="F255" i="49"/>
  <c r="H255" i="49"/>
  <c r="J255" i="49"/>
  <c r="K255" i="49"/>
  <c r="E256" i="49"/>
  <c r="F256" i="49"/>
  <c r="H256" i="49"/>
  <c r="J256" i="49"/>
  <c r="K256" i="49"/>
  <c r="E257" i="49"/>
  <c r="F257" i="49"/>
  <c r="H257" i="49"/>
  <c r="J257" i="49"/>
  <c r="K257" i="49"/>
  <c r="E258" i="49"/>
  <c r="F258" i="49"/>
  <c r="G258" i="49"/>
  <c r="A258" i="49" s="1"/>
  <c r="H258" i="49"/>
  <c r="J258" i="49"/>
  <c r="K258" i="49"/>
  <c r="E259" i="49"/>
  <c r="F259" i="49"/>
  <c r="G259" i="49"/>
  <c r="A259" i="49" s="1"/>
  <c r="H259" i="49"/>
  <c r="J259" i="49"/>
  <c r="K259" i="49"/>
  <c r="E260" i="49"/>
  <c r="F260" i="49"/>
  <c r="G260" i="49"/>
  <c r="H260" i="49"/>
  <c r="J260" i="49"/>
  <c r="K260" i="49"/>
  <c r="D261" i="49"/>
  <c r="E261" i="49"/>
  <c r="F261" i="49"/>
  <c r="J261" i="49"/>
  <c r="K261" i="49"/>
  <c r="D262" i="49"/>
  <c r="E262" i="49"/>
  <c r="F262" i="49"/>
  <c r="G262" i="49"/>
  <c r="A262" i="49" s="1"/>
  <c r="J262" i="49"/>
  <c r="K262" i="49"/>
  <c r="Q262" i="49"/>
  <c r="R262" i="49"/>
  <c r="S262" i="49"/>
  <c r="D263" i="49"/>
  <c r="E263" i="49"/>
  <c r="F263" i="49"/>
  <c r="J263" i="49"/>
  <c r="N263" i="49" s="1"/>
  <c r="K263" i="49"/>
  <c r="O263" i="49" s="1"/>
  <c r="L263" i="49"/>
  <c r="M263" i="49"/>
  <c r="L276" i="49"/>
  <c r="M276" i="49"/>
  <c r="N276" i="49"/>
  <c r="O276" i="49"/>
  <c r="E277" i="49"/>
  <c r="F277" i="49"/>
  <c r="H277" i="49"/>
  <c r="E278" i="49"/>
  <c r="F278" i="49"/>
  <c r="H278" i="49"/>
  <c r="K278" i="49"/>
  <c r="D280" i="49"/>
  <c r="E280" i="49"/>
  <c r="F280" i="49"/>
  <c r="J280" i="49"/>
  <c r="K280" i="49"/>
  <c r="D281" i="49"/>
  <c r="E281" i="49"/>
  <c r="F281" i="49"/>
  <c r="J281" i="49"/>
  <c r="K281" i="49"/>
  <c r="L294" i="49"/>
  <c r="M294" i="49"/>
  <c r="N294" i="49"/>
  <c r="O294" i="49"/>
  <c r="E295" i="49"/>
  <c r="F295" i="49"/>
  <c r="H295" i="49"/>
  <c r="K295" i="49"/>
  <c r="E296" i="49"/>
  <c r="F296" i="49"/>
  <c r="H296" i="49"/>
  <c r="K296" i="49"/>
  <c r="D297" i="49"/>
  <c r="E297" i="49"/>
  <c r="F297" i="49"/>
  <c r="J297" i="49"/>
  <c r="K297" i="49"/>
  <c r="D298" i="49"/>
  <c r="E298" i="49"/>
  <c r="F298" i="49"/>
  <c r="J298" i="49"/>
  <c r="K298" i="49"/>
  <c r="D299" i="49"/>
  <c r="E299" i="49"/>
  <c r="F299" i="49"/>
  <c r="J299" i="49"/>
  <c r="K299" i="49"/>
  <c r="L301" i="49"/>
  <c r="M301" i="49"/>
  <c r="N301" i="49"/>
  <c r="O301" i="49"/>
  <c r="E302" i="49"/>
  <c r="F302" i="49"/>
  <c r="H302" i="49"/>
  <c r="K302" i="49"/>
  <c r="E303" i="49"/>
  <c r="F303" i="49"/>
  <c r="H303" i="49"/>
  <c r="K303" i="49"/>
  <c r="D304" i="49"/>
  <c r="E304" i="49"/>
  <c r="F304" i="49"/>
  <c r="J304" i="49"/>
  <c r="K304" i="49"/>
  <c r="D305" i="49"/>
  <c r="E305" i="49"/>
  <c r="F305" i="49"/>
  <c r="J305" i="49"/>
  <c r="K305" i="49"/>
  <c r="D306" i="49"/>
  <c r="E306" i="49"/>
  <c r="F306" i="49"/>
  <c r="J306" i="49"/>
  <c r="K306" i="49"/>
  <c r="L308" i="49"/>
  <c r="M308" i="49"/>
  <c r="N308" i="49"/>
  <c r="O308" i="49"/>
  <c r="E309" i="49"/>
  <c r="F309" i="49"/>
  <c r="H309" i="49"/>
  <c r="K309" i="49"/>
  <c r="E310" i="49"/>
  <c r="F310" i="49"/>
  <c r="H310" i="49"/>
  <c r="K310" i="49"/>
  <c r="D311" i="49"/>
  <c r="E311" i="49"/>
  <c r="F311" i="49"/>
  <c r="J311" i="49"/>
  <c r="K311" i="49"/>
  <c r="D312" i="49"/>
  <c r="E312" i="49"/>
  <c r="F312" i="49"/>
  <c r="J312" i="49"/>
  <c r="K312" i="49"/>
  <c r="D313" i="49"/>
  <c r="E313" i="49"/>
  <c r="F313" i="49"/>
  <c r="J313" i="49"/>
  <c r="K313" i="49"/>
  <c r="L315" i="49"/>
  <c r="M315" i="49"/>
  <c r="N315" i="49"/>
  <c r="O315" i="49"/>
  <c r="E316" i="49"/>
  <c r="F316" i="49"/>
  <c r="H316" i="49"/>
  <c r="K316" i="49"/>
  <c r="E317" i="49"/>
  <c r="F317" i="49"/>
  <c r="H317" i="49"/>
  <c r="K317" i="49"/>
  <c r="E318" i="49"/>
  <c r="F318" i="49"/>
  <c r="H318" i="49"/>
  <c r="K318" i="49"/>
  <c r="E319" i="49"/>
  <c r="F319" i="49"/>
  <c r="H319" i="49"/>
  <c r="K319" i="49"/>
  <c r="E320" i="49"/>
  <c r="F320" i="49"/>
  <c r="H320" i="49"/>
  <c r="K320" i="49"/>
  <c r="A321" i="49"/>
  <c r="D321" i="49"/>
  <c r="E321" i="49"/>
  <c r="F321" i="49"/>
  <c r="H321" i="49"/>
  <c r="L321" i="49" s="1"/>
  <c r="J321" i="49"/>
  <c r="N321" i="49" s="1"/>
  <c r="K321" i="49"/>
  <c r="O321" i="49" s="1"/>
  <c r="M321" i="49"/>
  <c r="A322" i="49"/>
  <c r="D322" i="49"/>
  <c r="E322" i="49"/>
  <c r="F322" i="49"/>
  <c r="H322" i="49"/>
  <c r="L322" i="49" s="1"/>
  <c r="J322" i="49"/>
  <c r="N322" i="49" s="1"/>
  <c r="K322" i="49"/>
  <c r="O322" i="49" s="1"/>
  <c r="M322" i="49"/>
  <c r="A323" i="49"/>
  <c r="D323" i="49"/>
  <c r="E323" i="49"/>
  <c r="F323" i="49"/>
  <c r="H323" i="49"/>
  <c r="L323" i="49" s="1"/>
  <c r="J323" i="49"/>
  <c r="N323" i="49" s="1"/>
  <c r="K323" i="49"/>
  <c r="O323" i="49" s="1"/>
  <c r="M323" i="49"/>
  <c r="A324" i="49"/>
  <c r="D324" i="49"/>
  <c r="E324" i="49"/>
  <c r="F324" i="49"/>
  <c r="H324" i="49"/>
  <c r="L324" i="49" s="1"/>
  <c r="J324" i="49"/>
  <c r="N324" i="49" s="1"/>
  <c r="K324" i="49"/>
  <c r="O324" i="49" s="1"/>
  <c r="M324" i="49"/>
  <c r="A325" i="49"/>
  <c r="D325" i="49"/>
  <c r="E325" i="49"/>
  <c r="F325" i="49"/>
  <c r="H325" i="49"/>
  <c r="L325" i="49" s="1"/>
  <c r="J325" i="49"/>
  <c r="N325" i="49" s="1"/>
  <c r="K325" i="49"/>
  <c r="O325" i="49" s="1"/>
  <c r="M325" i="49"/>
  <c r="D326" i="49"/>
  <c r="E326" i="49"/>
  <c r="F326" i="49"/>
  <c r="J326" i="49"/>
  <c r="K326" i="49"/>
  <c r="L328" i="49"/>
  <c r="M328" i="49"/>
  <c r="N328" i="49"/>
  <c r="O328" i="49"/>
  <c r="E329" i="49"/>
  <c r="F329" i="49"/>
  <c r="H329" i="49"/>
  <c r="K329" i="49"/>
  <c r="A330" i="49"/>
  <c r="D330" i="49"/>
  <c r="F330" i="49"/>
  <c r="H330" i="49"/>
  <c r="L330" i="49" s="1"/>
  <c r="J330" i="49"/>
  <c r="N330" i="49" s="1"/>
  <c r="K330" i="49"/>
  <c r="O330" i="49" s="1"/>
  <c r="M330" i="49"/>
  <c r="E331" i="49"/>
  <c r="F331" i="49"/>
  <c r="H331" i="49"/>
  <c r="K331" i="49"/>
  <c r="D332" i="49"/>
  <c r="E332" i="49"/>
  <c r="F332" i="49"/>
  <c r="H332" i="49"/>
  <c r="J332" i="49"/>
  <c r="K332" i="49"/>
  <c r="E333" i="49"/>
  <c r="F333" i="49"/>
  <c r="H333" i="49"/>
  <c r="K333" i="49"/>
  <c r="A334" i="49"/>
  <c r="D334" i="49"/>
  <c r="E334" i="49"/>
  <c r="F334" i="49"/>
  <c r="H334" i="49"/>
  <c r="L334" i="49" s="1"/>
  <c r="J334" i="49"/>
  <c r="N334" i="49" s="1"/>
  <c r="K334" i="49"/>
  <c r="O334" i="49" s="1"/>
  <c r="M334" i="49"/>
  <c r="A335" i="49"/>
  <c r="D335" i="49"/>
  <c r="E335" i="49"/>
  <c r="F335" i="49"/>
  <c r="H335" i="49"/>
  <c r="L335" i="49" s="1"/>
  <c r="J335" i="49"/>
  <c r="N335" i="49" s="1"/>
  <c r="K335" i="49"/>
  <c r="O335" i="49" s="1"/>
  <c r="M335" i="49"/>
  <c r="A336" i="49"/>
  <c r="D336" i="49"/>
  <c r="E336" i="49"/>
  <c r="F336" i="49"/>
  <c r="H336" i="49"/>
  <c r="L336" i="49" s="1"/>
  <c r="J336" i="49"/>
  <c r="N336" i="49" s="1"/>
  <c r="K336" i="49"/>
  <c r="O336" i="49" s="1"/>
  <c r="M336" i="49"/>
  <c r="A337" i="49"/>
  <c r="D337" i="49"/>
  <c r="E337" i="49"/>
  <c r="F337" i="49"/>
  <c r="H337" i="49"/>
  <c r="L337" i="49" s="1"/>
  <c r="J337" i="49"/>
  <c r="N337" i="49" s="1"/>
  <c r="K337" i="49"/>
  <c r="O337" i="49" s="1"/>
  <c r="M337" i="49"/>
  <c r="A338" i="49"/>
  <c r="D338" i="49"/>
  <c r="E338" i="49"/>
  <c r="F338" i="49"/>
  <c r="H338" i="49"/>
  <c r="L338" i="49" s="1"/>
  <c r="J338" i="49"/>
  <c r="N338" i="49" s="1"/>
  <c r="K338" i="49"/>
  <c r="O338" i="49" s="1"/>
  <c r="M338" i="49"/>
  <c r="D339" i="49"/>
  <c r="E339" i="49"/>
  <c r="F339" i="49"/>
  <c r="K339" i="49"/>
  <c r="L341" i="49"/>
  <c r="M341" i="49"/>
  <c r="N341" i="49"/>
  <c r="O341" i="49"/>
  <c r="E342" i="49"/>
  <c r="F342" i="49"/>
  <c r="H342" i="49"/>
  <c r="K342" i="49"/>
  <c r="F343" i="49"/>
  <c r="H343" i="49"/>
  <c r="K343" i="49"/>
  <c r="F344" i="49"/>
  <c r="H344" i="49"/>
  <c r="K344" i="49"/>
  <c r="E345" i="49"/>
  <c r="F345" i="49"/>
  <c r="H345" i="49"/>
  <c r="K345" i="49"/>
  <c r="A346" i="49"/>
  <c r="E346" i="49"/>
  <c r="F346" i="49"/>
  <c r="H346" i="49"/>
  <c r="L346" i="49" s="1"/>
  <c r="K346" i="49"/>
  <c r="O346" i="49" s="1"/>
  <c r="M346" i="49"/>
  <c r="N346" i="49"/>
  <c r="F347" i="49"/>
  <c r="K347" i="49"/>
  <c r="D348" i="49"/>
  <c r="E348" i="49"/>
  <c r="F348" i="49"/>
  <c r="J348" i="49"/>
  <c r="K348" i="49"/>
  <c r="A349" i="49"/>
  <c r="A350" i="49" s="1"/>
  <c r="L349" i="49"/>
  <c r="M349" i="49"/>
  <c r="N349" i="49"/>
  <c r="O349" i="49"/>
  <c r="L350" i="49"/>
  <c r="M350" i="49"/>
  <c r="N350" i="49"/>
  <c r="O350" i="49"/>
  <c r="D353" i="49"/>
  <c r="E353" i="49"/>
  <c r="F353" i="49"/>
  <c r="H353" i="49"/>
  <c r="J353" i="49"/>
  <c r="K353" i="49"/>
  <c r="D355" i="49"/>
  <c r="E355" i="49"/>
  <c r="F355" i="49"/>
  <c r="H355" i="49"/>
  <c r="J355" i="49"/>
  <c r="K355" i="49"/>
  <c r="D358" i="49"/>
  <c r="E358" i="49"/>
  <c r="F358" i="49"/>
  <c r="A358" i="49"/>
  <c r="H358" i="49"/>
  <c r="J358" i="49"/>
  <c r="K358" i="49"/>
  <c r="D359" i="49"/>
  <c r="E359" i="49"/>
  <c r="F359" i="49"/>
  <c r="M359" i="49"/>
  <c r="H359" i="49"/>
  <c r="J359" i="49"/>
  <c r="K359" i="49"/>
  <c r="D360" i="49"/>
  <c r="E360" i="49"/>
  <c r="F360" i="49"/>
  <c r="H360" i="49"/>
  <c r="J360" i="49"/>
  <c r="K360" i="49"/>
  <c r="D361" i="49"/>
  <c r="E361" i="49"/>
  <c r="F361" i="49"/>
  <c r="H361" i="49"/>
  <c r="J361" i="49"/>
  <c r="K361" i="49"/>
  <c r="D362" i="49"/>
  <c r="E362" i="49"/>
  <c r="F362" i="49"/>
  <c r="N362" i="49"/>
  <c r="H362" i="49"/>
  <c r="K362" i="49"/>
  <c r="D363" i="49"/>
  <c r="E363" i="49"/>
  <c r="F363" i="49"/>
  <c r="M363" i="49"/>
  <c r="H363" i="49"/>
  <c r="K363" i="49"/>
  <c r="D364" i="49"/>
  <c r="E364" i="49"/>
  <c r="F364" i="49"/>
  <c r="M364" i="49"/>
  <c r="H364" i="49"/>
  <c r="K364" i="49"/>
  <c r="D365" i="49"/>
  <c r="E365" i="49"/>
  <c r="F365" i="49"/>
  <c r="H365" i="49"/>
  <c r="K365" i="49"/>
  <c r="D366" i="49"/>
  <c r="E366" i="49"/>
  <c r="F366" i="49"/>
  <c r="H366" i="49"/>
  <c r="K366" i="49"/>
  <c r="D367" i="49"/>
  <c r="E367" i="49"/>
  <c r="F367" i="49"/>
  <c r="G367" i="49"/>
  <c r="M367" i="49" s="1"/>
  <c r="H367" i="49"/>
  <c r="K367" i="49"/>
  <c r="D368" i="49"/>
  <c r="F368" i="49"/>
  <c r="A368" i="49"/>
  <c r="H368" i="49"/>
  <c r="K368" i="49"/>
  <c r="D369" i="49"/>
  <c r="E369" i="49"/>
  <c r="F369" i="49"/>
  <c r="G369" i="49"/>
  <c r="M369" i="49" s="1"/>
  <c r="H369" i="49"/>
  <c r="J369" i="49"/>
  <c r="K369" i="49"/>
  <c r="A370" i="49"/>
  <c r="D370" i="49"/>
  <c r="E370" i="49"/>
  <c r="F370" i="49"/>
  <c r="H370" i="49"/>
  <c r="L370" i="49" s="1"/>
  <c r="J370" i="49"/>
  <c r="N370" i="49" s="1"/>
  <c r="K370" i="49"/>
  <c r="O370" i="49" s="1"/>
  <c r="M370" i="49"/>
  <c r="D371" i="49"/>
  <c r="E371" i="49"/>
  <c r="F371" i="49"/>
  <c r="G371" i="49"/>
  <c r="H371" i="49"/>
  <c r="J371" i="49"/>
  <c r="K371" i="49"/>
  <c r="A372" i="49"/>
  <c r="A373" i="49" s="1"/>
  <c r="L372" i="49"/>
  <c r="M372" i="49"/>
  <c r="N372" i="49"/>
  <c r="O372" i="49"/>
  <c r="L373" i="49"/>
  <c r="M373" i="49"/>
  <c r="N373" i="49"/>
  <c r="O373" i="49"/>
  <c r="E374" i="49"/>
  <c r="F374" i="49"/>
  <c r="G374" i="49"/>
  <c r="H374" i="49"/>
  <c r="K374" i="49"/>
  <c r="E375" i="49"/>
  <c r="F375" i="49"/>
  <c r="G375" i="49"/>
  <c r="A375" i="49" s="1"/>
  <c r="H375" i="49"/>
  <c r="K375" i="49"/>
  <c r="A376" i="49"/>
  <c r="D376" i="49"/>
  <c r="E376" i="49"/>
  <c r="F376" i="49"/>
  <c r="H376" i="49"/>
  <c r="L376" i="49" s="1"/>
  <c r="J376" i="49"/>
  <c r="N376" i="49" s="1"/>
  <c r="K376" i="49"/>
  <c r="O376" i="49" s="1"/>
  <c r="M376" i="49"/>
  <c r="A377" i="49"/>
  <c r="D377" i="49"/>
  <c r="E377" i="49"/>
  <c r="F377" i="49"/>
  <c r="H377" i="49"/>
  <c r="L377" i="49" s="1"/>
  <c r="J377" i="49"/>
  <c r="N377" i="49" s="1"/>
  <c r="K377" i="49"/>
  <c r="O377" i="49" s="1"/>
  <c r="M377" i="49"/>
  <c r="E378" i="49"/>
  <c r="F378" i="49"/>
  <c r="G378" i="49"/>
  <c r="A378" i="49" s="1"/>
  <c r="H378" i="49"/>
  <c r="K378" i="49"/>
  <c r="A379" i="49"/>
  <c r="D379" i="49"/>
  <c r="E379" i="49"/>
  <c r="F379" i="49"/>
  <c r="H379" i="49"/>
  <c r="L379" i="49" s="1"/>
  <c r="J379" i="49"/>
  <c r="N379" i="49" s="1"/>
  <c r="K379" i="49"/>
  <c r="O379" i="49" s="1"/>
  <c r="M379" i="49"/>
  <c r="E380" i="49"/>
  <c r="J380" i="49"/>
  <c r="K380" i="49"/>
  <c r="D381" i="49"/>
  <c r="E381" i="49"/>
  <c r="F381" i="49"/>
  <c r="J381" i="49"/>
  <c r="K381" i="49"/>
  <c r="D382" i="49"/>
  <c r="E382" i="49"/>
  <c r="F382" i="49"/>
  <c r="G382" i="49"/>
  <c r="J382" i="49"/>
  <c r="K382" i="49"/>
  <c r="D383" i="49"/>
  <c r="E383" i="49"/>
  <c r="F383" i="49"/>
  <c r="J383" i="49"/>
  <c r="L385" i="49"/>
  <c r="M385" i="49"/>
  <c r="N385" i="49"/>
  <c r="O385" i="49"/>
  <c r="E386" i="49"/>
  <c r="F386" i="49"/>
  <c r="H386" i="49"/>
  <c r="K386" i="49"/>
  <c r="E387" i="49"/>
  <c r="F387" i="49"/>
  <c r="H387" i="49"/>
  <c r="K387" i="49"/>
  <c r="D388" i="49"/>
  <c r="E388" i="49"/>
  <c r="F388" i="49"/>
  <c r="H388" i="49"/>
  <c r="J388" i="49"/>
  <c r="K388" i="49"/>
  <c r="A389" i="49"/>
  <c r="D389" i="49"/>
  <c r="E389" i="49"/>
  <c r="F389" i="49"/>
  <c r="H389" i="49"/>
  <c r="L389" i="49" s="1"/>
  <c r="J389" i="49"/>
  <c r="N389" i="49" s="1"/>
  <c r="K389" i="49"/>
  <c r="O389" i="49" s="1"/>
  <c r="M389" i="49"/>
  <c r="E390" i="49"/>
  <c r="F390" i="49"/>
  <c r="H390" i="49"/>
  <c r="K390" i="49"/>
  <c r="D391" i="49"/>
  <c r="E391" i="49"/>
  <c r="F391" i="49"/>
  <c r="H391" i="49"/>
  <c r="J391" i="49"/>
  <c r="K391" i="49"/>
  <c r="E392" i="49"/>
  <c r="F392" i="49"/>
  <c r="J392" i="49"/>
  <c r="K392" i="49"/>
  <c r="E393" i="49"/>
  <c r="F393" i="49"/>
  <c r="J393" i="49"/>
  <c r="K393" i="49"/>
  <c r="E394" i="49"/>
  <c r="F394" i="49"/>
  <c r="H394" i="49"/>
  <c r="J394" i="49"/>
  <c r="K394" i="49"/>
  <c r="A395" i="49"/>
  <c r="E395" i="49"/>
  <c r="F395" i="49"/>
  <c r="H395" i="49"/>
  <c r="L395" i="49" s="1"/>
  <c r="J395" i="49"/>
  <c r="N395" i="49" s="1"/>
  <c r="K395" i="49"/>
  <c r="O395" i="49" s="1"/>
  <c r="M395" i="49"/>
  <c r="A396" i="49"/>
  <c r="E396" i="49"/>
  <c r="F396" i="49"/>
  <c r="H396" i="49"/>
  <c r="L396" i="49" s="1"/>
  <c r="J396" i="49"/>
  <c r="N396" i="49" s="1"/>
  <c r="K396" i="49"/>
  <c r="O396" i="49" s="1"/>
  <c r="M396" i="49"/>
  <c r="A397" i="49"/>
  <c r="E397" i="49"/>
  <c r="F397" i="49"/>
  <c r="H397" i="49"/>
  <c r="L397" i="49" s="1"/>
  <c r="J397" i="49"/>
  <c r="N397" i="49" s="1"/>
  <c r="K397" i="49"/>
  <c r="O397" i="49" s="1"/>
  <c r="M397" i="49"/>
  <c r="E398" i="49"/>
  <c r="J398" i="49"/>
  <c r="K398" i="49"/>
  <c r="E399" i="49"/>
  <c r="F399" i="49"/>
  <c r="J399" i="49"/>
  <c r="K399" i="49"/>
  <c r="C402" i="49"/>
  <c r="C437" i="49" s="1"/>
  <c r="C450" i="49" s="1"/>
  <c r="C464" i="49" s="1"/>
  <c r="E404" i="49"/>
  <c r="F404" i="49"/>
  <c r="H404" i="49"/>
  <c r="J404" i="49"/>
  <c r="K404" i="49"/>
  <c r="E405" i="49"/>
  <c r="F405" i="49"/>
  <c r="G405" i="49"/>
  <c r="H405" i="49"/>
  <c r="J405" i="49"/>
  <c r="K405" i="49"/>
  <c r="E406" i="49"/>
  <c r="F406" i="49"/>
  <c r="H406" i="49"/>
  <c r="J406" i="49"/>
  <c r="K406" i="49"/>
  <c r="E407" i="49"/>
  <c r="F407" i="49"/>
  <c r="H407" i="49"/>
  <c r="J407" i="49"/>
  <c r="K407" i="49"/>
  <c r="D412" i="49"/>
  <c r="E412" i="49"/>
  <c r="F412" i="49"/>
  <c r="H412" i="49"/>
  <c r="J412" i="49"/>
  <c r="K412" i="49"/>
  <c r="D413" i="49"/>
  <c r="E413" i="49"/>
  <c r="F413" i="49"/>
  <c r="H413" i="49"/>
  <c r="J413" i="49"/>
  <c r="K413" i="49"/>
  <c r="A414" i="49"/>
  <c r="D414" i="49"/>
  <c r="E414" i="49"/>
  <c r="F414" i="49"/>
  <c r="H414" i="49"/>
  <c r="L414" i="49" s="1"/>
  <c r="J414" i="49"/>
  <c r="N414" i="49" s="1"/>
  <c r="K414" i="49"/>
  <c r="O414" i="49" s="1"/>
  <c r="M414" i="49"/>
  <c r="D415" i="49"/>
  <c r="E415" i="49"/>
  <c r="F415" i="49"/>
  <c r="H415" i="49"/>
  <c r="J415" i="49"/>
  <c r="K415" i="49"/>
  <c r="D420" i="49"/>
  <c r="E420" i="49"/>
  <c r="F420" i="49"/>
  <c r="H420" i="49"/>
  <c r="J420" i="49"/>
  <c r="K420" i="49"/>
  <c r="D422" i="49"/>
  <c r="E422" i="49"/>
  <c r="F422" i="49"/>
  <c r="M422" i="49"/>
  <c r="H422" i="49"/>
  <c r="L422" i="49" s="1"/>
  <c r="J422" i="49"/>
  <c r="N422" i="49" s="1"/>
  <c r="K422" i="49"/>
  <c r="O422" i="49" s="1"/>
  <c r="D423" i="49"/>
  <c r="E423" i="49"/>
  <c r="F423" i="49"/>
  <c r="H423" i="49"/>
  <c r="J423" i="49"/>
  <c r="K423" i="49"/>
  <c r="D424" i="49"/>
  <c r="E424" i="49"/>
  <c r="F424" i="49"/>
  <c r="H424" i="49"/>
  <c r="J424" i="49"/>
  <c r="K424" i="49"/>
  <c r="A426" i="49"/>
  <c r="D426" i="49"/>
  <c r="E426" i="49"/>
  <c r="F426" i="49"/>
  <c r="H426" i="49"/>
  <c r="L426" i="49" s="1"/>
  <c r="J426" i="49"/>
  <c r="N426" i="49" s="1"/>
  <c r="K426" i="49"/>
  <c r="O426" i="49" s="1"/>
  <c r="M426" i="49"/>
  <c r="D427" i="49"/>
  <c r="E427" i="49"/>
  <c r="F427" i="49"/>
  <c r="H427" i="49"/>
  <c r="L427" i="49" s="1"/>
  <c r="J427" i="49"/>
  <c r="K427" i="49"/>
  <c r="A428" i="49"/>
  <c r="D428" i="49"/>
  <c r="E428" i="49"/>
  <c r="F428" i="49"/>
  <c r="H428" i="49"/>
  <c r="L428" i="49" s="1"/>
  <c r="J428" i="49"/>
  <c r="N428" i="49" s="1"/>
  <c r="K428" i="49"/>
  <c r="O428" i="49" s="1"/>
  <c r="M428" i="49"/>
  <c r="D429" i="49"/>
  <c r="E429" i="49"/>
  <c r="F429" i="49"/>
  <c r="G429" i="49"/>
  <c r="M429" i="49" s="1"/>
  <c r="H429" i="49"/>
  <c r="J429" i="49"/>
  <c r="K429" i="49"/>
  <c r="D430" i="49"/>
  <c r="E430" i="49"/>
  <c r="F430" i="49"/>
  <c r="H430" i="49"/>
  <c r="J430" i="49"/>
  <c r="K430" i="49"/>
  <c r="D431" i="49"/>
  <c r="E431" i="49"/>
  <c r="F431" i="49"/>
  <c r="H431" i="49"/>
  <c r="J431" i="49"/>
  <c r="K431" i="49"/>
  <c r="D432" i="49"/>
  <c r="E432" i="49"/>
  <c r="F432" i="49"/>
  <c r="H432" i="49"/>
  <c r="J432" i="49"/>
  <c r="K432" i="49"/>
  <c r="A433" i="49"/>
  <c r="D433" i="49"/>
  <c r="E433" i="49"/>
  <c r="F433" i="49"/>
  <c r="H433" i="49"/>
  <c r="L433" i="49" s="1"/>
  <c r="J433" i="49"/>
  <c r="N433" i="49" s="1"/>
  <c r="K433" i="49"/>
  <c r="O433" i="49" s="1"/>
  <c r="M433" i="49"/>
  <c r="D434" i="49"/>
  <c r="E434" i="49"/>
  <c r="F434" i="49"/>
  <c r="H434" i="49"/>
  <c r="J434" i="49"/>
  <c r="K434" i="49"/>
  <c r="D435" i="49"/>
  <c r="E435" i="49"/>
  <c r="F435" i="49"/>
  <c r="H435" i="49"/>
  <c r="J435" i="49"/>
  <c r="K435" i="49"/>
  <c r="D436" i="49"/>
  <c r="E436" i="49"/>
  <c r="F436" i="49"/>
  <c r="H436" i="49"/>
  <c r="J436" i="49"/>
  <c r="K436" i="49"/>
  <c r="E439" i="49"/>
  <c r="F439" i="49"/>
  <c r="H439" i="49"/>
  <c r="J439" i="49"/>
  <c r="K439" i="49"/>
  <c r="A440" i="49"/>
  <c r="E440" i="49"/>
  <c r="F440" i="49"/>
  <c r="H440" i="49"/>
  <c r="L440" i="49" s="1"/>
  <c r="J440" i="49"/>
  <c r="N440" i="49" s="1"/>
  <c r="K440" i="49"/>
  <c r="O440" i="49" s="1"/>
  <c r="M440" i="49"/>
  <c r="A441" i="49"/>
  <c r="E441" i="49"/>
  <c r="F441" i="49"/>
  <c r="H441" i="49"/>
  <c r="L441" i="49" s="1"/>
  <c r="J441" i="49"/>
  <c r="N441" i="49" s="1"/>
  <c r="K441" i="49"/>
  <c r="O441" i="49" s="1"/>
  <c r="M441" i="49"/>
  <c r="A442" i="49"/>
  <c r="E442" i="49"/>
  <c r="F442" i="49"/>
  <c r="H442" i="49"/>
  <c r="L442" i="49" s="1"/>
  <c r="J442" i="49"/>
  <c r="N442" i="49" s="1"/>
  <c r="K442" i="49"/>
  <c r="O442" i="49" s="1"/>
  <c r="M442" i="49"/>
  <c r="E443" i="49"/>
  <c r="F443" i="49"/>
  <c r="H443" i="49"/>
  <c r="J443" i="49"/>
  <c r="K443" i="49"/>
  <c r="E444" i="49"/>
  <c r="F444" i="49"/>
  <c r="H444" i="49"/>
  <c r="J444" i="49"/>
  <c r="K444" i="49"/>
  <c r="D445" i="49"/>
  <c r="E445" i="49"/>
  <c r="F445" i="49"/>
  <c r="H445" i="49"/>
  <c r="J445" i="49"/>
  <c r="K445" i="49"/>
  <c r="D446" i="49"/>
  <c r="E446" i="49"/>
  <c r="F446" i="49"/>
  <c r="H446" i="49"/>
  <c r="J446" i="49"/>
  <c r="K446" i="49"/>
  <c r="D447" i="49"/>
  <c r="E447" i="49"/>
  <c r="F447" i="49"/>
  <c r="J447" i="49"/>
  <c r="K447" i="49"/>
  <c r="D448" i="49"/>
  <c r="E448" i="49"/>
  <c r="F448" i="49"/>
  <c r="J448" i="49"/>
  <c r="K448" i="49"/>
  <c r="A449" i="49"/>
  <c r="D449" i="49"/>
  <c r="E449" i="49"/>
  <c r="F449" i="49"/>
  <c r="J449" i="49"/>
  <c r="N449" i="49" s="1"/>
  <c r="K449" i="49"/>
  <c r="O449" i="49" s="1"/>
  <c r="L449" i="49"/>
  <c r="M449" i="49"/>
  <c r="M450" i="49"/>
  <c r="E452" i="49"/>
  <c r="F452" i="49"/>
  <c r="H452" i="49"/>
  <c r="J452" i="49"/>
  <c r="K452" i="49"/>
  <c r="A453" i="49"/>
  <c r="E453" i="49"/>
  <c r="F453" i="49"/>
  <c r="H453" i="49"/>
  <c r="L453" i="49" s="1"/>
  <c r="J453" i="49"/>
  <c r="N453" i="49" s="1"/>
  <c r="K453" i="49"/>
  <c r="O453" i="49" s="1"/>
  <c r="M453" i="49"/>
  <c r="A454" i="49"/>
  <c r="E454" i="49"/>
  <c r="F454" i="49"/>
  <c r="H454" i="49"/>
  <c r="L454" i="49" s="1"/>
  <c r="J454" i="49"/>
  <c r="N454" i="49" s="1"/>
  <c r="K454" i="49"/>
  <c r="O454" i="49" s="1"/>
  <c r="M454" i="49"/>
  <c r="A455" i="49"/>
  <c r="E455" i="49"/>
  <c r="F455" i="49"/>
  <c r="H455" i="49"/>
  <c r="L455" i="49" s="1"/>
  <c r="J455" i="49"/>
  <c r="N455" i="49" s="1"/>
  <c r="K455" i="49"/>
  <c r="O455" i="49" s="1"/>
  <c r="M455" i="49"/>
  <c r="E456" i="49"/>
  <c r="F456" i="49"/>
  <c r="H456" i="49"/>
  <c r="J456" i="49"/>
  <c r="K456" i="49"/>
  <c r="E457" i="49"/>
  <c r="F457" i="49"/>
  <c r="H457" i="49"/>
  <c r="J457" i="49"/>
  <c r="K457" i="49"/>
  <c r="D458" i="49"/>
  <c r="E458" i="49"/>
  <c r="F458" i="49"/>
  <c r="H458" i="49"/>
  <c r="J458" i="49"/>
  <c r="K458" i="49"/>
  <c r="D459" i="49"/>
  <c r="E459" i="49"/>
  <c r="F459" i="49"/>
  <c r="H459" i="49"/>
  <c r="J459" i="49"/>
  <c r="K459" i="49"/>
  <c r="A460" i="49"/>
  <c r="D460" i="49"/>
  <c r="E460" i="49"/>
  <c r="F460" i="49"/>
  <c r="J460" i="49"/>
  <c r="N460" i="49" s="1"/>
  <c r="K460" i="49"/>
  <c r="O460" i="49" s="1"/>
  <c r="L460" i="49"/>
  <c r="M460" i="49"/>
  <c r="D461" i="49"/>
  <c r="E461" i="49"/>
  <c r="F461" i="49"/>
  <c r="J461" i="49"/>
  <c r="K461" i="49"/>
  <c r="D462" i="49"/>
  <c r="E462" i="49"/>
  <c r="F462" i="49"/>
  <c r="J462" i="49"/>
  <c r="K462" i="49"/>
  <c r="A463" i="49"/>
  <c r="D463" i="49"/>
  <c r="E463" i="49"/>
  <c r="F463" i="49"/>
  <c r="J463" i="49"/>
  <c r="N463" i="49" s="1"/>
  <c r="K463" i="49"/>
  <c r="O463" i="49" s="1"/>
  <c r="L463" i="49"/>
  <c r="M463" i="49"/>
  <c r="A464" i="49"/>
  <c r="A465" i="49" s="1"/>
  <c r="E466" i="49"/>
  <c r="F466" i="49"/>
  <c r="H466" i="49"/>
  <c r="J466" i="49"/>
  <c r="K466" i="49"/>
  <c r="A467" i="49"/>
  <c r="E467" i="49"/>
  <c r="F467" i="49"/>
  <c r="H467" i="49"/>
  <c r="L467" i="49" s="1"/>
  <c r="J467" i="49"/>
  <c r="N467" i="49" s="1"/>
  <c r="K467" i="49"/>
  <c r="O467" i="49" s="1"/>
  <c r="M467" i="49"/>
  <c r="A468" i="49"/>
  <c r="E468" i="49"/>
  <c r="F468" i="49"/>
  <c r="H468" i="49"/>
  <c r="L468" i="49" s="1"/>
  <c r="J468" i="49"/>
  <c r="N468" i="49" s="1"/>
  <c r="K468" i="49"/>
  <c r="O468" i="49" s="1"/>
  <c r="M468" i="49"/>
  <c r="A469" i="49"/>
  <c r="E469" i="49"/>
  <c r="F469" i="49"/>
  <c r="H469" i="49"/>
  <c r="L469" i="49" s="1"/>
  <c r="J469" i="49"/>
  <c r="N469" i="49" s="1"/>
  <c r="K469" i="49"/>
  <c r="O469" i="49" s="1"/>
  <c r="M469" i="49"/>
  <c r="E470" i="49"/>
  <c r="F470" i="49"/>
  <c r="H470" i="49"/>
  <c r="J470" i="49"/>
  <c r="K470" i="49"/>
  <c r="E471" i="49"/>
  <c r="F471" i="49"/>
  <c r="H471" i="49"/>
  <c r="J471" i="49"/>
  <c r="K471" i="49"/>
  <c r="D472" i="49"/>
  <c r="E472" i="49"/>
  <c r="F472" i="49"/>
  <c r="H472" i="49"/>
  <c r="J472" i="49"/>
  <c r="K472" i="49"/>
  <c r="D473" i="49"/>
  <c r="E473" i="49"/>
  <c r="F473" i="49"/>
  <c r="H473" i="49"/>
  <c r="J473" i="49"/>
  <c r="K473" i="49"/>
  <c r="D474" i="49"/>
  <c r="E474" i="49"/>
  <c r="F474" i="49"/>
  <c r="J474" i="49"/>
  <c r="K474" i="49"/>
  <c r="D475" i="49"/>
  <c r="E475" i="49"/>
  <c r="F475" i="49"/>
  <c r="J475" i="49"/>
  <c r="K475" i="49"/>
  <c r="A476" i="49"/>
  <c r="D476" i="49"/>
  <c r="E476" i="49"/>
  <c r="F476" i="49"/>
  <c r="J476" i="49"/>
  <c r="N476" i="49" s="1"/>
  <c r="K476" i="49"/>
  <c r="O476" i="49" s="1"/>
  <c r="L476" i="49"/>
  <c r="M476" i="49"/>
  <c r="E492" i="49"/>
  <c r="F492" i="49"/>
  <c r="H492" i="49"/>
  <c r="J492" i="49"/>
  <c r="K492" i="49"/>
  <c r="E493" i="49"/>
  <c r="F493" i="49"/>
  <c r="H493" i="49"/>
  <c r="J493" i="49"/>
  <c r="K493" i="49"/>
  <c r="E494" i="49"/>
  <c r="F494" i="49"/>
  <c r="H494" i="49"/>
  <c r="J494" i="49"/>
  <c r="K494" i="49"/>
  <c r="F495" i="49"/>
  <c r="H495" i="49"/>
  <c r="J495" i="49"/>
  <c r="K495" i="49"/>
  <c r="F496" i="49"/>
  <c r="H496" i="49"/>
  <c r="J496" i="49"/>
  <c r="K496" i="49"/>
  <c r="E497" i="49"/>
  <c r="F497" i="49"/>
  <c r="H497" i="49"/>
  <c r="J497" i="49"/>
  <c r="K497" i="49"/>
  <c r="D498" i="49"/>
  <c r="E498" i="49"/>
  <c r="F498" i="49"/>
  <c r="H498" i="49"/>
  <c r="J498" i="49"/>
  <c r="K498" i="49"/>
  <c r="D499" i="49"/>
  <c r="E499" i="49"/>
  <c r="F499" i="49"/>
  <c r="H499" i="49"/>
  <c r="J499" i="49"/>
  <c r="K499" i="49"/>
  <c r="D500" i="49"/>
  <c r="F500" i="49"/>
  <c r="H500" i="49"/>
  <c r="J500" i="49"/>
  <c r="K500" i="49"/>
  <c r="D501" i="49"/>
  <c r="E501" i="49"/>
  <c r="F501" i="49"/>
  <c r="H501" i="49"/>
  <c r="J501" i="49"/>
  <c r="K501" i="49"/>
  <c r="D502" i="49"/>
  <c r="E502" i="49"/>
  <c r="F502" i="49"/>
  <c r="J502" i="49"/>
  <c r="K502" i="49"/>
  <c r="E505" i="49"/>
  <c r="F505" i="49"/>
  <c r="H505" i="49"/>
  <c r="J505" i="49"/>
  <c r="K505" i="49"/>
  <c r="E506" i="49"/>
  <c r="F506" i="49"/>
  <c r="H506" i="49"/>
  <c r="J506" i="49"/>
  <c r="K506" i="49"/>
  <c r="E507" i="49"/>
  <c r="F507" i="49"/>
  <c r="H507" i="49"/>
  <c r="J507" i="49"/>
  <c r="K507" i="49"/>
  <c r="E508" i="49"/>
  <c r="F508" i="49"/>
  <c r="H508" i="49"/>
  <c r="J508" i="49"/>
  <c r="K508" i="49"/>
  <c r="E509" i="49"/>
  <c r="F509" i="49"/>
  <c r="H509" i="49"/>
  <c r="J509" i="49"/>
  <c r="K509" i="49"/>
  <c r="E510" i="49"/>
  <c r="F510" i="49"/>
  <c r="H510" i="49"/>
  <c r="J510" i="49"/>
  <c r="K510" i="49"/>
  <c r="D511" i="49"/>
  <c r="E511" i="49"/>
  <c r="F511" i="49"/>
  <c r="H511" i="49"/>
  <c r="J511" i="49"/>
  <c r="K511" i="49"/>
  <c r="D512" i="49"/>
  <c r="E512" i="49"/>
  <c r="F512" i="49"/>
  <c r="H512" i="49"/>
  <c r="J512" i="49"/>
  <c r="K512" i="49"/>
  <c r="D513" i="49"/>
  <c r="E513" i="49"/>
  <c r="F513" i="49"/>
  <c r="H513" i="49"/>
  <c r="J513" i="49"/>
  <c r="K513" i="49"/>
  <c r="D514" i="49"/>
  <c r="E514" i="49"/>
  <c r="F514" i="49"/>
  <c r="H514" i="49"/>
  <c r="J514" i="49"/>
  <c r="K514" i="49"/>
  <c r="D515" i="49"/>
  <c r="E515" i="49"/>
  <c r="F515" i="49"/>
  <c r="J515" i="49"/>
  <c r="K515" i="49"/>
  <c r="A516" i="49"/>
  <c r="A517" i="49" s="1"/>
  <c r="E518" i="49"/>
  <c r="F518" i="49"/>
  <c r="H518" i="49"/>
  <c r="J518" i="49"/>
  <c r="K518" i="49"/>
  <c r="A519" i="49"/>
  <c r="E519" i="49"/>
  <c r="F519" i="49"/>
  <c r="H519" i="49"/>
  <c r="L519" i="49" s="1"/>
  <c r="J519" i="49"/>
  <c r="N519" i="49" s="1"/>
  <c r="K519" i="49"/>
  <c r="O519" i="49" s="1"/>
  <c r="M519" i="49"/>
  <c r="A520" i="49"/>
  <c r="E520" i="49"/>
  <c r="F520" i="49"/>
  <c r="H520" i="49"/>
  <c r="L520" i="49" s="1"/>
  <c r="J520" i="49"/>
  <c r="N520" i="49" s="1"/>
  <c r="K520" i="49"/>
  <c r="O520" i="49" s="1"/>
  <c r="M520" i="49"/>
  <c r="A521" i="49"/>
  <c r="E521" i="49"/>
  <c r="F521" i="49"/>
  <c r="H521" i="49"/>
  <c r="L521" i="49" s="1"/>
  <c r="J521" i="49"/>
  <c r="N521" i="49" s="1"/>
  <c r="K521" i="49"/>
  <c r="O521" i="49" s="1"/>
  <c r="M521" i="49"/>
  <c r="E522" i="49"/>
  <c r="F522" i="49"/>
  <c r="H522" i="49"/>
  <c r="J522" i="49"/>
  <c r="K522" i="49"/>
  <c r="E523" i="49"/>
  <c r="F523" i="49"/>
  <c r="H523" i="49"/>
  <c r="J523" i="49"/>
  <c r="K523" i="49"/>
  <c r="D524" i="49"/>
  <c r="E524" i="49"/>
  <c r="F524" i="49"/>
  <c r="H524" i="49"/>
  <c r="J524" i="49"/>
  <c r="K524" i="49"/>
  <c r="D525" i="49"/>
  <c r="E525" i="49"/>
  <c r="F525" i="49"/>
  <c r="H525" i="49"/>
  <c r="J525" i="49"/>
  <c r="K525" i="49"/>
  <c r="D526" i="49"/>
  <c r="E526" i="49"/>
  <c r="F526" i="49"/>
  <c r="H526" i="49"/>
  <c r="J526" i="49"/>
  <c r="K526" i="49"/>
  <c r="D527" i="49"/>
  <c r="E527" i="49"/>
  <c r="F527" i="49"/>
  <c r="H527" i="49"/>
  <c r="J527" i="49"/>
  <c r="K527" i="49"/>
  <c r="D528" i="49"/>
  <c r="E528" i="49"/>
  <c r="F528" i="49"/>
  <c r="H528" i="49"/>
  <c r="J528" i="49"/>
  <c r="K528" i="49"/>
  <c r="C529" i="49"/>
  <c r="E531" i="49"/>
  <c r="F531" i="49"/>
  <c r="H531" i="49"/>
  <c r="J531" i="49"/>
  <c r="K531" i="49"/>
  <c r="A532" i="49"/>
  <c r="E532" i="49"/>
  <c r="F532" i="49"/>
  <c r="H532" i="49"/>
  <c r="L532" i="49" s="1"/>
  <c r="J532" i="49"/>
  <c r="N532" i="49" s="1"/>
  <c r="K532" i="49"/>
  <c r="O532" i="49" s="1"/>
  <c r="M532" i="49"/>
  <c r="A533" i="49"/>
  <c r="E533" i="49"/>
  <c r="F533" i="49"/>
  <c r="H533" i="49"/>
  <c r="L533" i="49" s="1"/>
  <c r="J533" i="49"/>
  <c r="N533" i="49" s="1"/>
  <c r="K533" i="49"/>
  <c r="O533" i="49" s="1"/>
  <c r="M533" i="49"/>
  <c r="A534" i="49"/>
  <c r="E534" i="49"/>
  <c r="F534" i="49"/>
  <c r="H534" i="49"/>
  <c r="L534" i="49" s="1"/>
  <c r="J534" i="49"/>
  <c r="N534" i="49" s="1"/>
  <c r="K534" i="49"/>
  <c r="O534" i="49" s="1"/>
  <c r="M534" i="49"/>
  <c r="E535" i="49"/>
  <c r="F535" i="49"/>
  <c r="H535" i="49"/>
  <c r="J535" i="49"/>
  <c r="K535" i="49"/>
  <c r="E536" i="49"/>
  <c r="F536" i="49"/>
  <c r="H536" i="49"/>
  <c r="J536" i="49"/>
  <c r="K536" i="49"/>
  <c r="D537" i="49"/>
  <c r="E537" i="49"/>
  <c r="F537" i="49"/>
  <c r="H537" i="49"/>
  <c r="J537" i="49"/>
  <c r="K537" i="49"/>
  <c r="D538" i="49"/>
  <c r="E538" i="49"/>
  <c r="F538" i="49"/>
  <c r="H538" i="49"/>
  <c r="J538" i="49"/>
  <c r="K538" i="49"/>
  <c r="D539" i="49"/>
  <c r="E539" i="49"/>
  <c r="F539" i="49"/>
  <c r="J539" i="49"/>
  <c r="K539" i="49"/>
  <c r="D540" i="49"/>
  <c r="E540" i="49"/>
  <c r="F540" i="49"/>
  <c r="J540" i="49"/>
  <c r="K540" i="49"/>
  <c r="A541" i="49"/>
  <c r="D541" i="49"/>
  <c r="E541" i="49"/>
  <c r="F541" i="49"/>
  <c r="J541" i="49"/>
  <c r="N541" i="49" s="1"/>
  <c r="K541" i="49"/>
  <c r="O541" i="49" s="1"/>
  <c r="L541" i="49"/>
  <c r="M541" i="49"/>
  <c r="A542" i="49"/>
  <c r="A543" i="49" s="1"/>
  <c r="L542" i="49"/>
  <c r="M542" i="49"/>
  <c r="N542" i="49"/>
  <c r="O542" i="49"/>
  <c r="E544" i="49"/>
  <c r="F544" i="49"/>
  <c r="G544" i="49"/>
  <c r="A544" i="49" s="1"/>
  <c r="H544" i="49"/>
  <c r="J544" i="49"/>
  <c r="K544" i="49"/>
  <c r="E545" i="49"/>
  <c r="F545" i="49"/>
  <c r="G545" i="49"/>
  <c r="A545" i="49" s="1"/>
  <c r="H545" i="49"/>
  <c r="J545" i="49"/>
  <c r="K545" i="49"/>
  <c r="E546" i="49"/>
  <c r="F546" i="49"/>
  <c r="G546" i="49"/>
  <c r="A546" i="49" s="1"/>
  <c r="H546" i="49"/>
  <c r="J546" i="49"/>
  <c r="K546" i="49"/>
  <c r="E547" i="49"/>
  <c r="F547" i="49"/>
  <c r="G547" i="49"/>
  <c r="H547" i="49"/>
  <c r="J547" i="49"/>
  <c r="K547" i="49"/>
  <c r="E548" i="49"/>
  <c r="F548" i="49"/>
  <c r="G548" i="49"/>
  <c r="M548" i="49" s="1"/>
  <c r="H548" i="49"/>
  <c r="J548" i="49"/>
  <c r="K548" i="49"/>
  <c r="E549" i="49"/>
  <c r="F549" i="49"/>
  <c r="G549" i="49"/>
  <c r="H549" i="49"/>
  <c r="J549" i="49"/>
  <c r="K549" i="49"/>
  <c r="D550" i="49"/>
  <c r="E550" i="49"/>
  <c r="F550" i="49"/>
  <c r="G550" i="49"/>
  <c r="M550" i="49" s="1"/>
  <c r="H550" i="49"/>
  <c r="J550" i="49"/>
  <c r="K550" i="49"/>
  <c r="D551" i="49"/>
  <c r="E551" i="49"/>
  <c r="F551" i="49"/>
  <c r="H551" i="49"/>
  <c r="J551" i="49"/>
  <c r="K551" i="49"/>
  <c r="D552" i="49"/>
  <c r="E552" i="49"/>
  <c r="F552" i="49"/>
  <c r="J552" i="49"/>
  <c r="K552" i="49"/>
  <c r="D553" i="49"/>
  <c r="E553" i="49"/>
  <c r="F553" i="49"/>
  <c r="G553" i="49"/>
  <c r="A553" i="49" s="1"/>
  <c r="J553" i="49"/>
  <c r="K553" i="49"/>
  <c r="D554" i="49"/>
  <c r="E554" i="49"/>
  <c r="F554" i="49"/>
  <c r="G554" i="49"/>
  <c r="A554" i="49" s="1"/>
  <c r="J554" i="49"/>
  <c r="K554" i="49"/>
  <c r="A555" i="49"/>
  <c r="A556" i="49" s="1"/>
  <c r="E557" i="49"/>
  <c r="F557" i="49"/>
  <c r="H557" i="49"/>
  <c r="J557" i="49"/>
  <c r="K557" i="49"/>
  <c r="E558" i="49"/>
  <c r="F558" i="49"/>
  <c r="H558" i="49"/>
  <c r="J558" i="49"/>
  <c r="K558" i="49"/>
  <c r="E559" i="49"/>
  <c r="F559" i="49"/>
  <c r="H559" i="49"/>
  <c r="J559" i="49"/>
  <c r="K559" i="49"/>
  <c r="E560" i="49"/>
  <c r="F560" i="49"/>
  <c r="H560" i="49"/>
  <c r="J560" i="49"/>
  <c r="K560" i="49"/>
  <c r="E561" i="49"/>
  <c r="F561" i="49"/>
  <c r="J561" i="49"/>
  <c r="K561" i="49"/>
  <c r="D562" i="49"/>
  <c r="E562" i="49"/>
  <c r="F562" i="49"/>
  <c r="J562" i="49"/>
  <c r="K562" i="49"/>
  <c r="D563" i="49"/>
  <c r="E563" i="49"/>
  <c r="F563" i="49"/>
  <c r="J563" i="49"/>
  <c r="K563" i="49"/>
  <c r="D564" i="49"/>
  <c r="E564" i="49"/>
  <c r="F564" i="49"/>
  <c r="J564" i="49"/>
  <c r="K564" i="49"/>
  <c r="Q564" i="49"/>
  <c r="R564" i="49"/>
  <c r="S564" i="49"/>
  <c r="E567" i="49"/>
  <c r="F567" i="49"/>
  <c r="H567" i="49"/>
  <c r="J567" i="49"/>
  <c r="K567" i="49"/>
  <c r="E568" i="49"/>
  <c r="F568" i="49"/>
  <c r="H568" i="49"/>
  <c r="J568" i="49"/>
  <c r="K568" i="49"/>
  <c r="E569" i="49"/>
  <c r="F569" i="49"/>
  <c r="H569" i="49"/>
  <c r="J569" i="49"/>
  <c r="K569" i="49"/>
  <c r="F570" i="49"/>
  <c r="H570" i="49"/>
  <c r="J570" i="49"/>
  <c r="K570" i="49"/>
  <c r="E571" i="49"/>
  <c r="F571" i="49"/>
  <c r="H571" i="49"/>
  <c r="J571" i="49"/>
  <c r="K571" i="49"/>
  <c r="E572" i="49"/>
  <c r="F572" i="49"/>
  <c r="H572" i="49"/>
  <c r="J572" i="49"/>
  <c r="K572" i="49"/>
  <c r="D573" i="49"/>
  <c r="E573" i="49"/>
  <c r="F573" i="49"/>
  <c r="J573" i="49"/>
  <c r="K573" i="49"/>
  <c r="D574" i="49"/>
  <c r="E574" i="49"/>
  <c r="F574" i="49"/>
  <c r="J574" i="49"/>
  <c r="K574" i="49"/>
  <c r="Q574" i="49"/>
  <c r="R574" i="49"/>
  <c r="S574" i="49"/>
  <c r="L576" i="49"/>
  <c r="M576" i="49"/>
  <c r="N576" i="49"/>
  <c r="O576" i="49"/>
  <c r="E577" i="49"/>
  <c r="F577" i="49"/>
  <c r="H577" i="49"/>
  <c r="J577" i="49"/>
  <c r="K577" i="49"/>
  <c r="F578" i="49"/>
  <c r="H578" i="49"/>
  <c r="J578" i="49"/>
  <c r="K578" i="49"/>
  <c r="D579" i="49"/>
  <c r="E579" i="49"/>
  <c r="F579" i="49"/>
  <c r="H579" i="49"/>
  <c r="J579" i="49"/>
  <c r="K579" i="49"/>
  <c r="D580" i="49"/>
  <c r="E580" i="49"/>
  <c r="F580" i="49"/>
  <c r="H580" i="49"/>
  <c r="J580" i="49"/>
  <c r="K580" i="49"/>
  <c r="D581" i="49"/>
  <c r="E581" i="49"/>
  <c r="F581" i="49"/>
  <c r="H581" i="49"/>
  <c r="J581" i="49"/>
  <c r="K581" i="49"/>
  <c r="D582" i="49"/>
  <c r="E582" i="49"/>
  <c r="F582" i="49"/>
  <c r="H582" i="49"/>
  <c r="J582" i="49"/>
  <c r="K582" i="49"/>
  <c r="L584" i="49"/>
  <c r="M584" i="49"/>
  <c r="N584" i="49"/>
  <c r="O584" i="49"/>
  <c r="E585" i="49"/>
  <c r="F585" i="49"/>
  <c r="H585" i="49"/>
  <c r="E586" i="49"/>
  <c r="F586" i="49"/>
  <c r="H586" i="49"/>
  <c r="E587" i="49"/>
  <c r="F587" i="49"/>
  <c r="H587" i="49"/>
  <c r="E588" i="49"/>
  <c r="F588" i="49"/>
  <c r="H588" i="49"/>
  <c r="E589" i="49"/>
  <c r="F589" i="49"/>
  <c r="H589" i="49"/>
  <c r="E590" i="49"/>
  <c r="F590" i="49"/>
  <c r="H590" i="49"/>
  <c r="E591" i="49"/>
  <c r="F591" i="49"/>
  <c r="H591" i="49"/>
  <c r="D592" i="49"/>
  <c r="E592" i="49"/>
  <c r="F592" i="49"/>
  <c r="J592" i="49"/>
  <c r="K592" i="49"/>
  <c r="D593" i="49"/>
  <c r="E593" i="49"/>
  <c r="F593" i="49"/>
  <c r="J593" i="49"/>
  <c r="K593" i="49"/>
  <c r="D594" i="49"/>
  <c r="E594" i="49"/>
  <c r="F594" i="49"/>
  <c r="J594" i="49"/>
  <c r="K594" i="49"/>
  <c r="D595" i="49"/>
  <c r="E595" i="49"/>
  <c r="F595" i="49"/>
  <c r="J595" i="49"/>
  <c r="K595" i="49"/>
  <c r="D596" i="49"/>
  <c r="E596" i="49"/>
  <c r="F596" i="49"/>
  <c r="J596" i="49"/>
  <c r="K596" i="49"/>
  <c r="D597" i="49"/>
  <c r="E597" i="49"/>
  <c r="F597" i="49"/>
  <c r="J597" i="49"/>
  <c r="K597" i="49"/>
  <c r="D598" i="49"/>
  <c r="E598" i="49"/>
  <c r="F598" i="49"/>
  <c r="J598" i="49"/>
  <c r="K598" i="49"/>
  <c r="U598" i="49"/>
  <c r="V598" i="49"/>
  <c r="W598" i="49"/>
  <c r="D599" i="49"/>
  <c r="E599" i="49"/>
  <c r="F599" i="49"/>
  <c r="J599" i="49"/>
  <c r="K599" i="49"/>
  <c r="R599" i="49"/>
  <c r="U599" i="49"/>
  <c r="V599" i="49"/>
  <c r="W599" i="49"/>
  <c r="M600" i="49"/>
  <c r="R600" i="49"/>
  <c r="L601" i="49"/>
  <c r="M601" i="49"/>
  <c r="N601" i="49"/>
  <c r="O601" i="49"/>
  <c r="D602" i="49"/>
  <c r="F602" i="49"/>
  <c r="H602" i="49"/>
  <c r="J602" i="49"/>
  <c r="K602" i="49"/>
  <c r="A603" i="49"/>
  <c r="A604" i="49" s="1"/>
  <c r="R603" i="49"/>
  <c r="L604" i="49"/>
  <c r="M604" i="49"/>
  <c r="N604" i="49"/>
  <c r="O604" i="49"/>
  <c r="D605" i="49"/>
  <c r="F605" i="49"/>
  <c r="H605" i="49"/>
  <c r="J605" i="49"/>
  <c r="K605" i="49"/>
  <c r="R606" i="49"/>
  <c r="L607" i="49"/>
  <c r="M607" i="49"/>
  <c r="N607" i="49"/>
  <c r="O607" i="49"/>
  <c r="D608" i="49"/>
  <c r="F608" i="49"/>
  <c r="H608" i="49"/>
  <c r="J608" i="49"/>
  <c r="K608" i="49"/>
  <c r="D609" i="49"/>
  <c r="F609" i="49"/>
  <c r="J609" i="49"/>
  <c r="K609" i="49"/>
  <c r="D610" i="49"/>
  <c r="E610" i="49"/>
  <c r="F610" i="49"/>
  <c r="H610" i="49"/>
  <c r="J610" i="49"/>
  <c r="K610" i="49"/>
  <c r="D611" i="49"/>
  <c r="E611" i="49"/>
  <c r="F611" i="49"/>
  <c r="H611" i="49"/>
  <c r="J611" i="49"/>
  <c r="K611" i="49"/>
  <c r="D612" i="49"/>
  <c r="E612" i="49"/>
  <c r="F612" i="49"/>
  <c r="H612" i="49"/>
  <c r="J612" i="49"/>
  <c r="K612" i="49"/>
  <c r="A613" i="49"/>
  <c r="D613" i="49"/>
  <c r="E613" i="49"/>
  <c r="F613" i="49"/>
  <c r="H613" i="49"/>
  <c r="L613" i="49" s="1"/>
  <c r="J613" i="49"/>
  <c r="N613" i="49" s="1"/>
  <c r="K613" i="49"/>
  <c r="O613" i="49" s="1"/>
  <c r="M613" i="49"/>
  <c r="A614" i="49"/>
  <c r="D614" i="49"/>
  <c r="F614" i="49"/>
  <c r="H614" i="49"/>
  <c r="L614" i="49" s="1"/>
  <c r="J614" i="49"/>
  <c r="N614" i="49" s="1"/>
  <c r="K614" i="49"/>
  <c r="O614" i="49" s="1"/>
  <c r="M614" i="49"/>
  <c r="A615" i="49"/>
  <c r="D615" i="49"/>
  <c r="F615" i="49"/>
  <c r="H615" i="49"/>
  <c r="L615" i="49" s="1"/>
  <c r="J615" i="49"/>
  <c r="N615" i="49" s="1"/>
  <c r="K615" i="49"/>
  <c r="O615" i="49" s="1"/>
  <c r="M615" i="49"/>
  <c r="A616" i="49"/>
  <c r="D616" i="49"/>
  <c r="F616" i="49"/>
  <c r="H616" i="49"/>
  <c r="L616" i="49" s="1"/>
  <c r="J616" i="49"/>
  <c r="N616" i="49" s="1"/>
  <c r="K616" i="49"/>
  <c r="O616" i="49" s="1"/>
  <c r="M616" i="49"/>
  <c r="D617" i="49"/>
  <c r="E617" i="49"/>
  <c r="F617" i="49"/>
  <c r="H617" i="49"/>
  <c r="J617" i="49"/>
  <c r="K617" i="49"/>
  <c r="D618" i="49"/>
  <c r="E618" i="49"/>
  <c r="F618" i="49"/>
  <c r="H618" i="49"/>
  <c r="J618" i="49"/>
  <c r="K618" i="49"/>
  <c r="A619" i="49"/>
  <c r="D619" i="49"/>
  <c r="E619" i="49"/>
  <c r="F619" i="49"/>
  <c r="H619" i="49"/>
  <c r="L619" i="49" s="1"/>
  <c r="J619" i="49"/>
  <c r="N619" i="49" s="1"/>
  <c r="K619" i="49"/>
  <c r="O619" i="49" s="1"/>
  <c r="M619" i="49"/>
  <c r="A620" i="49"/>
  <c r="D620" i="49"/>
  <c r="E620" i="49"/>
  <c r="F620" i="49"/>
  <c r="H620" i="49"/>
  <c r="L620" i="49" s="1"/>
  <c r="J620" i="49"/>
  <c r="N620" i="49" s="1"/>
  <c r="K620" i="49"/>
  <c r="O620" i="49" s="1"/>
  <c r="M620" i="49"/>
  <c r="A621" i="49"/>
  <c r="D621" i="49"/>
  <c r="E621" i="49"/>
  <c r="F621" i="49"/>
  <c r="H621" i="49"/>
  <c r="L621" i="49" s="1"/>
  <c r="J621" i="49"/>
  <c r="N621" i="49" s="1"/>
  <c r="K621" i="49"/>
  <c r="O621" i="49" s="1"/>
  <c r="M621" i="49"/>
  <c r="A622" i="49"/>
  <c r="D622" i="49"/>
  <c r="E622" i="49"/>
  <c r="F622" i="49"/>
  <c r="H622" i="49"/>
  <c r="L622" i="49" s="1"/>
  <c r="J622" i="49"/>
  <c r="N622" i="49" s="1"/>
  <c r="K622" i="49"/>
  <c r="O622" i="49" s="1"/>
  <c r="M622" i="49"/>
  <c r="E623" i="49"/>
  <c r="F623" i="49"/>
  <c r="H623" i="49"/>
  <c r="J623" i="49"/>
  <c r="K623" i="49"/>
  <c r="D624" i="49"/>
  <c r="F624" i="49"/>
  <c r="H624" i="49"/>
  <c r="J624" i="49"/>
  <c r="K624" i="49"/>
  <c r="D625" i="49"/>
  <c r="F625" i="49"/>
  <c r="H625" i="49"/>
  <c r="J625" i="49"/>
  <c r="K625" i="49"/>
  <c r="D626" i="49"/>
  <c r="E626" i="49"/>
  <c r="F626" i="49"/>
  <c r="H626" i="49"/>
  <c r="J626" i="49"/>
  <c r="K626" i="49"/>
  <c r="D627" i="49"/>
  <c r="E627" i="49"/>
  <c r="F627" i="49"/>
  <c r="H627" i="49"/>
  <c r="J627" i="49"/>
  <c r="K627" i="49"/>
  <c r="D628" i="49"/>
  <c r="E628" i="49"/>
  <c r="F628" i="49"/>
  <c r="H628" i="49"/>
  <c r="J628" i="49"/>
  <c r="K628" i="49"/>
  <c r="A631" i="49"/>
  <c r="A632" i="49" s="1"/>
  <c r="C631" i="49"/>
  <c r="F633" i="49"/>
  <c r="H633" i="49"/>
  <c r="K633" i="49"/>
  <c r="F634" i="49"/>
  <c r="H634" i="49"/>
  <c r="K634" i="49"/>
  <c r="C635" i="49"/>
  <c r="G635" i="49" s="1"/>
  <c r="E635" i="49"/>
  <c r="F635" i="49"/>
  <c r="H635" i="49"/>
  <c r="K635" i="49"/>
  <c r="F636" i="49"/>
  <c r="G636" i="49"/>
  <c r="M636" i="49" s="1"/>
  <c r="H636" i="49"/>
  <c r="K636" i="49"/>
  <c r="F637" i="49"/>
  <c r="H637" i="49"/>
  <c r="J637" i="49"/>
  <c r="K637" i="49"/>
  <c r="E638" i="49"/>
  <c r="F638" i="49"/>
  <c r="G638" i="49"/>
  <c r="A638" i="49" s="1"/>
  <c r="H638" i="49"/>
  <c r="J638" i="49"/>
  <c r="K638" i="49"/>
  <c r="E639" i="49"/>
  <c r="F639" i="49"/>
  <c r="H639" i="49"/>
  <c r="J639" i="49"/>
  <c r="K639" i="49"/>
  <c r="E640" i="49"/>
  <c r="F640" i="49"/>
  <c r="G640" i="49"/>
  <c r="A640" i="49" s="1"/>
  <c r="H640" i="49"/>
  <c r="J640" i="49"/>
  <c r="K640" i="49"/>
  <c r="E641" i="49"/>
  <c r="F641" i="49"/>
  <c r="G641" i="49"/>
  <c r="A641" i="49" s="1"/>
  <c r="H641" i="49"/>
  <c r="J641" i="49"/>
  <c r="K641" i="49"/>
  <c r="E642" i="49"/>
  <c r="F642" i="49"/>
  <c r="H642" i="49"/>
  <c r="J642" i="49"/>
  <c r="K642" i="49"/>
  <c r="E643" i="49"/>
  <c r="F643" i="49"/>
  <c r="H643" i="49"/>
  <c r="J643" i="49"/>
  <c r="K643" i="49"/>
  <c r="E644" i="49"/>
  <c r="F644" i="49"/>
  <c r="H644" i="49"/>
  <c r="J644" i="49"/>
  <c r="K644" i="49"/>
  <c r="F645" i="49"/>
  <c r="H645" i="49"/>
  <c r="J645" i="49"/>
  <c r="K645" i="49"/>
  <c r="E646" i="49"/>
  <c r="F646" i="49"/>
  <c r="H646" i="49"/>
  <c r="J646" i="49"/>
  <c r="K646" i="49"/>
  <c r="E647" i="49"/>
  <c r="F647" i="49"/>
  <c r="G647" i="49"/>
  <c r="H647" i="49"/>
  <c r="J647" i="49"/>
  <c r="K647" i="49"/>
  <c r="E648" i="49"/>
  <c r="F648" i="49"/>
  <c r="G648" i="49"/>
  <c r="A648" i="49" s="1"/>
  <c r="H648" i="49"/>
  <c r="J648" i="49"/>
  <c r="K648" i="49"/>
  <c r="E649" i="49"/>
  <c r="F649" i="49"/>
  <c r="H649" i="49"/>
  <c r="J649" i="49"/>
  <c r="K649" i="49"/>
  <c r="D650" i="49"/>
  <c r="E650" i="49"/>
  <c r="F650" i="49"/>
  <c r="J650" i="49"/>
  <c r="K650" i="49"/>
  <c r="D651" i="49"/>
  <c r="E651" i="49"/>
  <c r="F651" i="49"/>
  <c r="J651" i="49"/>
  <c r="K651" i="49"/>
  <c r="D652" i="49"/>
  <c r="E652" i="49"/>
  <c r="F652" i="49"/>
  <c r="J652" i="49"/>
  <c r="K652" i="49"/>
  <c r="D653" i="49"/>
  <c r="E653" i="49"/>
  <c r="F653" i="49"/>
  <c r="J653" i="49"/>
  <c r="K653" i="49"/>
  <c r="D654" i="49"/>
  <c r="E654" i="49"/>
  <c r="F654" i="49"/>
  <c r="J654" i="49"/>
  <c r="K654" i="49"/>
  <c r="D655" i="49"/>
  <c r="E655" i="49"/>
  <c r="F655" i="49"/>
  <c r="J655" i="49"/>
  <c r="K655" i="49"/>
  <c r="D656" i="49"/>
  <c r="E656" i="49"/>
  <c r="F656" i="49"/>
  <c r="H656" i="49"/>
  <c r="J656" i="49"/>
  <c r="K656" i="49"/>
  <c r="D657" i="49"/>
  <c r="E657" i="49"/>
  <c r="F657" i="49"/>
  <c r="J657" i="49"/>
  <c r="K657" i="49"/>
  <c r="D658" i="49"/>
  <c r="E658" i="49"/>
  <c r="F658" i="49"/>
  <c r="J658" i="49"/>
  <c r="K658" i="49"/>
  <c r="G659" i="49"/>
  <c r="M659" i="49" s="1"/>
  <c r="L660" i="49"/>
  <c r="M660" i="49"/>
  <c r="N660" i="49"/>
  <c r="O660" i="49"/>
  <c r="D661" i="49"/>
  <c r="F661" i="49"/>
  <c r="H661" i="49"/>
  <c r="J661" i="49"/>
  <c r="K661" i="49"/>
  <c r="E662" i="49"/>
  <c r="F662" i="49"/>
  <c r="H662" i="49"/>
  <c r="E663" i="49"/>
  <c r="F663" i="49"/>
  <c r="H663" i="49"/>
  <c r="D664" i="49"/>
  <c r="E664" i="49"/>
  <c r="F664" i="49"/>
  <c r="H664" i="49"/>
  <c r="J664" i="49"/>
  <c r="K664" i="49"/>
  <c r="D665" i="49"/>
  <c r="E665" i="49"/>
  <c r="F665" i="49"/>
  <c r="H665" i="49"/>
  <c r="J665" i="49"/>
  <c r="K665" i="49"/>
  <c r="L667" i="49"/>
  <c r="M667" i="49"/>
  <c r="N667" i="49"/>
  <c r="O667" i="49"/>
  <c r="E668" i="49"/>
  <c r="F668" i="49"/>
  <c r="H668" i="49"/>
  <c r="E669" i="49"/>
  <c r="F669" i="49"/>
  <c r="H669" i="49"/>
  <c r="E670" i="49"/>
  <c r="F670" i="49"/>
  <c r="H670" i="49"/>
  <c r="E671" i="49"/>
  <c r="F671" i="49"/>
  <c r="H671" i="49"/>
  <c r="E672" i="49"/>
  <c r="F672" i="49"/>
  <c r="H672" i="49"/>
  <c r="E673" i="49"/>
  <c r="F673" i="49"/>
  <c r="H673" i="49"/>
  <c r="E674" i="49"/>
  <c r="F674" i="49"/>
  <c r="H674" i="49"/>
  <c r="D675" i="49"/>
  <c r="E675" i="49"/>
  <c r="F675" i="49"/>
  <c r="H675" i="49"/>
  <c r="J675" i="49"/>
  <c r="K675" i="49"/>
  <c r="D676" i="49"/>
  <c r="E676" i="49"/>
  <c r="F676" i="49"/>
  <c r="H676" i="49"/>
  <c r="J676" i="49"/>
  <c r="K676" i="49"/>
  <c r="D677" i="49"/>
  <c r="E677" i="49"/>
  <c r="F677" i="49"/>
  <c r="J677" i="49"/>
  <c r="K677" i="49"/>
  <c r="U677" i="49"/>
  <c r="V677" i="49"/>
  <c r="W677" i="49"/>
  <c r="G678" i="49"/>
  <c r="L678" i="49" s="1"/>
  <c r="L679" i="49"/>
  <c r="M679" i="49"/>
  <c r="N679" i="49"/>
  <c r="O679" i="49"/>
  <c r="E680" i="49"/>
  <c r="F680" i="49"/>
  <c r="H680" i="49"/>
  <c r="E681" i="49"/>
  <c r="F681" i="49"/>
  <c r="H681" i="49"/>
  <c r="E682" i="49"/>
  <c r="F682" i="49"/>
  <c r="H682" i="49"/>
  <c r="E683" i="49"/>
  <c r="F683" i="49"/>
  <c r="H683" i="49"/>
  <c r="E684" i="49"/>
  <c r="F684" i="49"/>
  <c r="H684" i="49"/>
  <c r="F685" i="49"/>
  <c r="H685" i="49"/>
  <c r="E686" i="49"/>
  <c r="F686" i="49"/>
  <c r="H686" i="49"/>
  <c r="E687" i="49"/>
  <c r="F687" i="49"/>
  <c r="H687" i="49"/>
  <c r="E688" i="49"/>
  <c r="F688" i="49"/>
  <c r="H688" i="49"/>
  <c r="D689" i="49"/>
  <c r="E689" i="49"/>
  <c r="F689" i="49"/>
  <c r="H689" i="49"/>
  <c r="K689" i="49"/>
  <c r="D690" i="49"/>
  <c r="E690" i="49"/>
  <c r="F690" i="49"/>
  <c r="H690" i="49"/>
  <c r="J690" i="49"/>
  <c r="K690" i="49"/>
  <c r="D691" i="49"/>
  <c r="E691" i="49"/>
  <c r="F691" i="49"/>
  <c r="H691" i="49"/>
  <c r="J691" i="49"/>
  <c r="K691" i="49"/>
  <c r="D692" i="49"/>
  <c r="E692" i="49"/>
  <c r="F692" i="49"/>
  <c r="H692" i="49"/>
  <c r="J692" i="49"/>
  <c r="K692" i="49"/>
  <c r="D693" i="49"/>
  <c r="E693" i="49"/>
  <c r="F693" i="49"/>
  <c r="J693" i="49"/>
  <c r="K693" i="49"/>
  <c r="U693" i="49"/>
  <c r="V693" i="49"/>
  <c r="W693" i="49"/>
  <c r="E696" i="49"/>
  <c r="F696" i="49"/>
  <c r="H696" i="49"/>
  <c r="J696" i="49"/>
  <c r="K696" i="49"/>
  <c r="E697" i="49"/>
  <c r="F697" i="49"/>
  <c r="H697" i="49"/>
  <c r="J697" i="49"/>
  <c r="K697" i="49"/>
  <c r="E698" i="49"/>
  <c r="F698" i="49"/>
  <c r="H698" i="49"/>
  <c r="J698" i="49"/>
  <c r="K698" i="49"/>
  <c r="E699" i="49"/>
  <c r="F699" i="49"/>
  <c r="H699" i="49"/>
  <c r="J699" i="49"/>
  <c r="K699" i="49"/>
  <c r="E700" i="49"/>
  <c r="F700" i="49"/>
  <c r="H700" i="49"/>
  <c r="J700" i="49"/>
  <c r="K700" i="49"/>
  <c r="E701" i="49"/>
  <c r="F701" i="49"/>
  <c r="H701" i="49"/>
  <c r="J701" i="49"/>
  <c r="K701" i="49"/>
  <c r="E702" i="49"/>
  <c r="F702" i="49"/>
  <c r="H702" i="49"/>
  <c r="J702" i="49"/>
  <c r="K702" i="49"/>
  <c r="D703" i="49"/>
  <c r="E703" i="49"/>
  <c r="F703" i="49"/>
  <c r="H703" i="49"/>
  <c r="K703" i="49"/>
  <c r="D704" i="49"/>
  <c r="E704" i="49"/>
  <c r="F704" i="49"/>
  <c r="J704" i="49"/>
  <c r="K704" i="49"/>
  <c r="D705" i="49"/>
  <c r="F705" i="49"/>
  <c r="J705" i="49"/>
  <c r="K705" i="49"/>
  <c r="D706" i="49"/>
  <c r="E706" i="49"/>
  <c r="F706" i="49"/>
  <c r="J706" i="49"/>
  <c r="K706" i="49"/>
  <c r="D707" i="49"/>
  <c r="E707" i="49"/>
  <c r="F707" i="49"/>
  <c r="J707" i="49"/>
  <c r="K707" i="49"/>
  <c r="D708" i="49"/>
  <c r="E708" i="49"/>
  <c r="F708" i="49"/>
  <c r="J708" i="49"/>
  <c r="K708" i="49"/>
  <c r="L710" i="49"/>
  <c r="M710" i="49"/>
  <c r="N710" i="49"/>
  <c r="O710" i="49"/>
  <c r="E711" i="49"/>
  <c r="F711" i="49"/>
  <c r="H711" i="49"/>
  <c r="E712" i="49"/>
  <c r="F712" i="49"/>
  <c r="H712" i="49"/>
  <c r="E713" i="49"/>
  <c r="F713" i="49"/>
  <c r="H713" i="49"/>
  <c r="E714" i="49"/>
  <c r="F714" i="49"/>
  <c r="H714" i="49"/>
  <c r="E715" i="49"/>
  <c r="F715" i="49"/>
  <c r="H715" i="49"/>
  <c r="E716" i="49"/>
  <c r="F716" i="49"/>
  <c r="H716" i="49"/>
  <c r="E717" i="49"/>
  <c r="F717" i="49"/>
  <c r="H717" i="49"/>
  <c r="F718" i="49"/>
  <c r="H718" i="49"/>
  <c r="D719" i="49"/>
  <c r="E719" i="49"/>
  <c r="F719" i="49"/>
  <c r="H719" i="49"/>
  <c r="J719" i="49"/>
  <c r="K719" i="49"/>
  <c r="D720" i="49"/>
  <c r="E720" i="49"/>
  <c r="F720" i="49"/>
  <c r="H720" i="49"/>
  <c r="J720" i="49"/>
  <c r="K720" i="49"/>
  <c r="D721" i="49"/>
  <c r="F721" i="49"/>
  <c r="J721" i="49"/>
  <c r="K721" i="49"/>
  <c r="U721" i="49"/>
  <c r="V721" i="49"/>
  <c r="W721" i="49"/>
  <c r="A724" i="49"/>
  <c r="A725" i="49"/>
  <c r="A726" i="49"/>
  <c r="A727" i="49"/>
  <c r="A728" i="49"/>
  <c r="A729" i="49"/>
  <c r="A730" i="49"/>
  <c r="A731" i="49"/>
  <c r="A732" i="49"/>
  <c r="A733" i="49"/>
  <c r="A734" i="49"/>
  <c r="A735" i="49"/>
  <c r="S15" i="1"/>
  <c r="U15" i="1"/>
  <c r="S16" i="1"/>
  <c r="U16" i="1"/>
  <c r="E22" i="1"/>
  <c r="F22" i="1"/>
  <c r="P22" i="1"/>
  <c r="S22" i="1" s="1"/>
  <c r="Q22" i="1"/>
  <c r="T22" i="1" s="1"/>
  <c r="U22" i="1"/>
  <c r="E23" i="1"/>
  <c r="F23" i="1"/>
  <c r="P23" i="1"/>
  <c r="S23" i="1" s="1"/>
  <c r="T23" i="1"/>
  <c r="U23" i="1"/>
  <c r="S24" i="1"/>
  <c r="U24" i="1"/>
  <c r="S25" i="1"/>
  <c r="U25" i="1"/>
  <c r="E26" i="1"/>
  <c r="F26" i="1"/>
  <c r="Q26" i="1"/>
  <c r="T26" i="1" s="1"/>
  <c r="S26" i="1"/>
  <c r="U26" i="1"/>
  <c r="E28" i="1"/>
  <c r="F28" i="1"/>
  <c r="P28" i="1"/>
  <c r="S28" i="1" s="1"/>
  <c r="Q28" i="1"/>
  <c r="T28" i="1" s="1"/>
  <c r="U28" i="1"/>
  <c r="E29" i="1"/>
  <c r="F29" i="1"/>
  <c r="P29" i="1"/>
  <c r="S29" i="1" s="1"/>
  <c r="T29" i="1"/>
  <c r="U29" i="1"/>
  <c r="S30" i="1"/>
  <c r="U30" i="1"/>
  <c r="S31" i="1"/>
  <c r="U31" i="1"/>
  <c r="E33" i="1"/>
  <c r="F33" i="1"/>
  <c r="P33" i="1"/>
  <c r="S33" i="1" s="1"/>
  <c r="Q33" i="1"/>
  <c r="T33" i="1" s="1"/>
  <c r="U33" i="1"/>
  <c r="E34" i="1"/>
  <c r="F34" i="1"/>
  <c r="P34" i="1"/>
  <c r="S34" i="1" s="1"/>
  <c r="T34" i="1"/>
  <c r="U34" i="1"/>
  <c r="S35" i="1"/>
  <c r="U35" i="1"/>
  <c r="S36" i="1"/>
  <c r="U36" i="1"/>
  <c r="E38" i="1"/>
  <c r="F38" i="1"/>
  <c r="P38" i="1"/>
  <c r="S38" i="1" s="1"/>
  <c r="Q38" i="1"/>
  <c r="T38" i="1" s="1"/>
  <c r="U38" i="1"/>
  <c r="E39" i="1"/>
  <c r="F39" i="1"/>
  <c r="P39" i="1"/>
  <c r="S39" i="1" s="1"/>
  <c r="T39" i="1"/>
  <c r="U39" i="1"/>
  <c r="S40" i="1"/>
  <c r="U40" i="1"/>
  <c r="S41" i="1"/>
  <c r="U41" i="1"/>
  <c r="E43" i="1"/>
  <c r="F43" i="1"/>
  <c r="P43" i="1"/>
  <c r="S43" i="1" s="1"/>
  <c r="Q43" i="1"/>
  <c r="T43" i="1" s="1"/>
  <c r="U43" i="1"/>
  <c r="E44" i="1"/>
  <c r="F44" i="1"/>
  <c r="P44" i="1"/>
  <c r="S44" i="1" s="1"/>
  <c r="T44" i="1"/>
  <c r="U44" i="1"/>
  <c r="S45" i="1"/>
  <c r="U45" i="1"/>
  <c r="S46" i="1"/>
  <c r="U46" i="1"/>
  <c r="S73" i="1"/>
  <c r="U73" i="1"/>
  <c r="G74" i="1"/>
  <c r="U74" i="1" s="1"/>
  <c r="E79" i="1"/>
  <c r="F79" i="1"/>
  <c r="P79" i="1"/>
  <c r="S79" i="1" s="1"/>
  <c r="Q79" i="1"/>
  <c r="T79" i="1" s="1"/>
  <c r="U79" i="1"/>
  <c r="E80" i="1"/>
  <c r="F80" i="1"/>
  <c r="P80" i="1"/>
  <c r="S80" i="1" s="1"/>
  <c r="T80" i="1"/>
  <c r="U80" i="1"/>
  <c r="S81" i="1"/>
  <c r="U81" i="1"/>
  <c r="S82" i="1"/>
  <c r="U82" i="1"/>
  <c r="E84" i="1"/>
  <c r="F84" i="1"/>
  <c r="P84" i="1"/>
  <c r="S84" i="1" s="1"/>
  <c r="Q84" i="1"/>
  <c r="T84" i="1" s="1"/>
  <c r="R84" i="1"/>
  <c r="U84" i="1" s="1"/>
  <c r="E85" i="1"/>
  <c r="F85" i="1"/>
  <c r="P85" i="1"/>
  <c r="S85" i="1" s="1"/>
  <c r="Q85" i="1"/>
  <c r="T85" i="1" s="1"/>
  <c r="R85" i="1"/>
  <c r="U85" i="1" s="1"/>
  <c r="E86" i="1"/>
  <c r="F86" i="1"/>
  <c r="P86" i="1"/>
  <c r="S86" i="1" s="1"/>
  <c r="Q86" i="1"/>
  <c r="T86" i="1" s="1"/>
  <c r="R86" i="1"/>
  <c r="U86" i="1" s="1"/>
  <c r="E87" i="1"/>
  <c r="F87" i="1"/>
  <c r="S87" i="1"/>
  <c r="Q87" i="1"/>
  <c r="T87" i="1" s="1"/>
  <c r="R87" i="1"/>
  <c r="U87" i="1" s="1"/>
  <c r="E88" i="1"/>
  <c r="F88" i="1"/>
  <c r="S88" i="1"/>
  <c r="Q88" i="1"/>
  <c r="T88" i="1" s="1"/>
  <c r="R88" i="1"/>
  <c r="U88" i="1" s="1"/>
  <c r="E89" i="1"/>
  <c r="F89" i="1"/>
  <c r="P89" i="1"/>
  <c r="S89" i="1" s="1"/>
  <c r="Q89" i="1"/>
  <c r="T89" i="1" s="1"/>
  <c r="R89" i="1"/>
  <c r="U89" i="1" s="1"/>
  <c r="E90" i="1"/>
  <c r="F90" i="1"/>
  <c r="P90" i="1"/>
  <c r="S90" i="1" s="1"/>
  <c r="Q90" i="1"/>
  <c r="T90" i="1" s="1"/>
  <c r="R90" i="1"/>
  <c r="U90" i="1" s="1"/>
  <c r="E91" i="1"/>
  <c r="F91" i="1"/>
  <c r="G91" i="1"/>
  <c r="R91" i="1"/>
  <c r="E92" i="1"/>
  <c r="F92" i="1"/>
  <c r="Q92" i="1"/>
  <c r="T92" i="1" s="1"/>
  <c r="R92" i="1"/>
  <c r="U92" i="1" s="1"/>
  <c r="S92" i="1"/>
  <c r="D94" i="1"/>
  <c r="E94" i="1"/>
  <c r="F94" i="1"/>
  <c r="P94" i="1"/>
  <c r="S94" i="1" s="1"/>
  <c r="Q94" i="1"/>
  <c r="T94" i="1" s="1"/>
  <c r="R94" i="1"/>
  <c r="U94" i="1" s="1"/>
  <c r="D95" i="1"/>
  <c r="E95" i="1"/>
  <c r="F95" i="1"/>
  <c r="P95" i="1"/>
  <c r="S95" i="1" s="1"/>
  <c r="Q95" i="1"/>
  <c r="T95" i="1" s="1"/>
  <c r="R95" i="1"/>
  <c r="U95" i="1" s="1"/>
  <c r="D96" i="1"/>
  <c r="E96" i="1"/>
  <c r="F96" i="1"/>
  <c r="P96" i="1"/>
  <c r="S96" i="1" s="1"/>
  <c r="Q96" i="1"/>
  <c r="T96" i="1" s="1"/>
  <c r="R96" i="1"/>
  <c r="U96" i="1" s="1"/>
  <c r="D97" i="1"/>
  <c r="E97" i="1"/>
  <c r="F97" i="1"/>
  <c r="S97" i="1"/>
  <c r="Q97" i="1"/>
  <c r="T97" i="1" s="1"/>
  <c r="R97" i="1"/>
  <c r="U97" i="1" s="1"/>
  <c r="D98" i="1"/>
  <c r="E98" i="1"/>
  <c r="F98" i="1"/>
  <c r="S98" i="1"/>
  <c r="Q98" i="1"/>
  <c r="T98" i="1" s="1"/>
  <c r="R98" i="1"/>
  <c r="U98" i="1" s="1"/>
  <c r="E99" i="1"/>
  <c r="F99" i="1"/>
  <c r="P99" i="1"/>
  <c r="S99" i="1" s="1"/>
  <c r="Q99" i="1"/>
  <c r="T99" i="1" s="1"/>
  <c r="R99" i="1"/>
  <c r="U99" i="1" s="1"/>
  <c r="E100" i="1"/>
  <c r="F100" i="1"/>
  <c r="P100" i="1"/>
  <c r="S100" i="1" s="1"/>
  <c r="Q100" i="1"/>
  <c r="T100" i="1" s="1"/>
  <c r="R100" i="1"/>
  <c r="U100" i="1" s="1"/>
  <c r="E101" i="1"/>
  <c r="F101" i="1"/>
  <c r="G101" i="1"/>
  <c r="S101" i="1" s="1"/>
  <c r="Q101" i="1"/>
  <c r="R101" i="1"/>
  <c r="E102" i="1"/>
  <c r="F102" i="1"/>
  <c r="Q102" i="1"/>
  <c r="T102" i="1" s="1"/>
  <c r="R102" i="1"/>
  <c r="U102" i="1" s="1"/>
  <c r="S102" i="1"/>
  <c r="E104" i="1"/>
  <c r="F104" i="1"/>
  <c r="P104" i="1"/>
  <c r="S104" i="1" s="1"/>
  <c r="Q104" i="1"/>
  <c r="T104" i="1" s="1"/>
  <c r="U104" i="1"/>
  <c r="E105" i="1"/>
  <c r="F105" i="1"/>
  <c r="P105" i="1"/>
  <c r="S105" i="1" s="1"/>
  <c r="T105" i="1"/>
  <c r="U105" i="1"/>
  <c r="S106" i="1"/>
  <c r="U106" i="1"/>
  <c r="S107" i="1"/>
  <c r="U107" i="1"/>
  <c r="E108" i="1"/>
  <c r="F108" i="1"/>
  <c r="Q108" i="1"/>
  <c r="T108" i="1" s="1"/>
  <c r="S108" i="1"/>
  <c r="U108" i="1"/>
  <c r="E110" i="1"/>
  <c r="F110" i="1"/>
  <c r="P110" i="1"/>
  <c r="S110" i="1" s="1"/>
  <c r="Q110" i="1"/>
  <c r="T110" i="1" s="1"/>
  <c r="U110" i="1"/>
  <c r="E111" i="1"/>
  <c r="F111" i="1"/>
  <c r="P111" i="1"/>
  <c r="S111" i="1" s="1"/>
  <c r="T111" i="1"/>
  <c r="U111" i="1"/>
  <c r="S112" i="1"/>
  <c r="U112" i="1"/>
  <c r="S113" i="1"/>
  <c r="U113" i="1"/>
  <c r="E115" i="1"/>
  <c r="F115" i="1"/>
  <c r="P115" i="1"/>
  <c r="S115" i="1" s="1"/>
  <c r="Q115" i="1"/>
  <c r="T115" i="1" s="1"/>
  <c r="U115" i="1"/>
  <c r="E117" i="1"/>
  <c r="F117" i="1"/>
  <c r="P117" i="1"/>
  <c r="S117" i="1" s="1"/>
  <c r="T117" i="1"/>
  <c r="U117" i="1"/>
  <c r="E118" i="1"/>
  <c r="S118" i="1"/>
  <c r="U118" i="1"/>
  <c r="E119" i="1"/>
  <c r="S119" i="1"/>
  <c r="U119" i="1"/>
  <c r="E121" i="1"/>
  <c r="F121" i="1"/>
  <c r="P121" i="1"/>
  <c r="S121" i="1" s="1"/>
  <c r="Q121" i="1"/>
  <c r="T121" i="1" s="1"/>
  <c r="U121" i="1"/>
  <c r="E122" i="1"/>
  <c r="F122" i="1"/>
  <c r="P122" i="1"/>
  <c r="S122" i="1" s="1"/>
  <c r="T122" i="1"/>
  <c r="U122" i="1"/>
  <c r="S123" i="1"/>
  <c r="U123" i="1"/>
  <c r="S124" i="1"/>
  <c r="U124" i="1"/>
  <c r="E126" i="1"/>
  <c r="F126" i="1"/>
  <c r="P126" i="1"/>
  <c r="S126" i="1" s="1"/>
  <c r="Q126" i="1"/>
  <c r="T126" i="1" s="1"/>
  <c r="U126" i="1"/>
  <c r="E127" i="1"/>
  <c r="F127" i="1"/>
  <c r="P127" i="1"/>
  <c r="S127" i="1" s="1"/>
  <c r="T127" i="1"/>
  <c r="U127" i="1"/>
  <c r="S128" i="1"/>
  <c r="U128" i="1"/>
  <c r="S129" i="1"/>
  <c r="U129" i="1"/>
  <c r="E136" i="1"/>
  <c r="F136" i="1"/>
  <c r="G136" i="1"/>
  <c r="G137" i="1" s="1"/>
  <c r="P136" i="1"/>
  <c r="Q136" i="1"/>
  <c r="E137" i="1"/>
  <c r="F137" i="1"/>
  <c r="P137" i="1"/>
  <c r="Q137" i="1"/>
  <c r="E139" i="1"/>
  <c r="F139" i="1"/>
  <c r="G139" i="1"/>
  <c r="G140" i="1" s="1"/>
  <c r="P139" i="1"/>
  <c r="Q139" i="1"/>
  <c r="E140" i="1"/>
  <c r="F140" i="1"/>
  <c r="P140" i="1"/>
  <c r="Q140" i="1"/>
  <c r="E143" i="1"/>
  <c r="F143" i="1"/>
  <c r="P143" i="1"/>
  <c r="S143" i="1" s="1"/>
  <c r="Q143" i="1"/>
  <c r="T143" i="1" s="1"/>
  <c r="U143" i="1"/>
  <c r="E144" i="1"/>
  <c r="F144" i="1"/>
  <c r="P144" i="1"/>
  <c r="S144" i="1" s="1"/>
  <c r="T144" i="1"/>
  <c r="U144" i="1"/>
  <c r="S145" i="1"/>
  <c r="U145" i="1"/>
  <c r="S146" i="1"/>
  <c r="U146" i="1"/>
  <c r="E148" i="1"/>
  <c r="F148" i="1"/>
  <c r="P148" i="1"/>
  <c r="S148" i="1" s="1"/>
  <c r="Q148" i="1"/>
  <c r="T148" i="1" s="1"/>
  <c r="U148" i="1"/>
  <c r="E149" i="1"/>
  <c r="F149" i="1"/>
  <c r="P149" i="1"/>
  <c r="S149" i="1" s="1"/>
  <c r="T149" i="1"/>
  <c r="U149" i="1"/>
  <c r="E150" i="1"/>
  <c r="S150" i="1"/>
  <c r="U150" i="1"/>
  <c r="E151" i="1"/>
  <c r="S151" i="1"/>
  <c r="U151" i="1"/>
  <c r="D153" i="1"/>
  <c r="E153" i="1"/>
  <c r="F153" i="1"/>
  <c r="P153" i="1"/>
  <c r="S153" i="1" s="1"/>
  <c r="Q153" i="1"/>
  <c r="T153" i="1" s="1"/>
  <c r="U153" i="1"/>
  <c r="D154" i="1"/>
  <c r="E154" i="1"/>
  <c r="F154" i="1"/>
  <c r="P154" i="1"/>
  <c r="S154" i="1" s="1"/>
  <c r="Q154" i="1"/>
  <c r="T154" i="1" s="1"/>
  <c r="U154" i="1"/>
  <c r="D155" i="1"/>
  <c r="E155" i="1"/>
  <c r="F155" i="1"/>
  <c r="P155" i="1"/>
  <c r="S155" i="1" s="1"/>
  <c r="Q155" i="1"/>
  <c r="T155" i="1" s="1"/>
  <c r="U155" i="1"/>
  <c r="D156" i="1"/>
  <c r="E156" i="1"/>
  <c r="F156" i="1"/>
  <c r="P156" i="1"/>
  <c r="S156" i="1" s="1"/>
  <c r="Q156" i="1"/>
  <c r="T156" i="1" s="1"/>
  <c r="U156" i="1"/>
  <c r="D157" i="1"/>
  <c r="E157" i="1"/>
  <c r="F157" i="1"/>
  <c r="P157" i="1"/>
  <c r="S157" i="1" s="1"/>
  <c r="Q157" i="1"/>
  <c r="T157" i="1" s="1"/>
  <c r="U157" i="1"/>
  <c r="E158" i="1"/>
  <c r="F158" i="1"/>
  <c r="P158" i="1"/>
  <c r="S158" i="1" s="1"/>
  <c r="Q158" i="1"/>
  <c r="T158" i="1" s="1"/>
  <c r="U158" i="1"/>
  <c r="E159" i="1"/>
  <c r="U159" i="1"/>
  <c r="E160" i="1"/>
  <c r="F160" i="1"/>
  <c r="P160" i="1"/>
  <c r="S160" i="1" s="1"/>
  <c r="Q160" i="1"/>
  <c r="T160" i="1" s="1"/>
  <c r="U160" i="1"/>
  <c r="E161" i="1"/>
  <c r="F161" i="1"/>
  <c r="G161" i="1"/>
  <c r="S161" i="1" s="1"/>
  <c r="Q161" i="1"/>
  <c r="R161" i="1"/>
  <c r="E162" i="1"/>
  <c r="F162" i="1"/>
  <c r="Q162" i="1"/>
  <c r="T162" i="1" s="1"/>
  <c r="R162" i="1"/>
  <c r="U162" i="1" s="1"/>
  <c r="S162" i="1"/>
  <c r="E164" i="1"/>
  <c r="F164" i="1"/>
  <c r="P164" i="1"/>
  <c r="S164" i="1" s="1"/>
  <c r="Q164" i="1"/>
  <c r="T164" i="1" s="1"/>
  <c r="U164" i="1"/>
  <c r="E165" i="1"/>
  <c r="F165" i="1"/>
  <c r="P165" i="1"/>
  <c r="S165" i="1" s="1"/>
  <c r="Q165" i="1"/>
  <c r="T165" i="1" s="1"/>
  <c r="U165" i="1"/>
  <c r="E166" i="1"/>
  <c r="F166" i="1"/>
  <c r="P166" i="1"/>
  <c r="S166" i="1" s="1"/>
  <c r="Q166" i="1"/>
  <c r="T166" i="1" s="1"/>
  <c r="U166" i="1"/>
  <c r="E167" i="1"/>
  <c r="F167" i="1"/>
  <c r="S167" i="1"/>
  <c r="Q167" i="1"/>
  <c r="T167" i="1" s="1"/>
  <c r="U167" i="1"/>
  <c r="E168" i="1"/>
  <c r="F168" i="1"/>
  <c r="S168" i="1"/>
  <c r="Q168" i="1"/>
  <c r="T168" i="1" s="1"/>
  <c r="U168" i="1"/>
  <c r="U169" i="1"/>
  <c r="E170" i="1"/>
  <c r="F170" i="1"/>
  <c r="P170" i="1"/>
  <c r="S170" i="1" s="1"/>
  <c r="Q170" i="1"/>
  <c r="T170" i="1" s="1"/>
  <c r="U170" i="1"/>
  <c r="E171" i="1"/>
  <c r="F171" i="1"/>
  <c r="G171" i="1"/>
  <c r="S171" i="1" s="1"/>
  <c r="E172" i="1"/>
  <c r="F172" i="1"/>
  <c r="Q172" i="1"/>
  <c r="T172" i="1" s="1"/>
  <c r="S172" i="1"/>
  <c r="U172" i="1"/>
  <c r="E174" i="1"/>
  <c r="F174" i="1"/>
  <c r="P174" i="1"/>
  <c r="S174" i="1" s="1"/>
  <c r="Q174" i="1"/>
  <c r="T174" i="1" s="1"/>
  <c r="U174" i="1"/>
  <c r="E175" i="1"/>
  <c r="F175" i="1"/>
  <c r="P175" i="1"/>
  <c r="S175" i="1" s="1"/>
  <c r="T175" i="1"/>
  <c r="U175" i="1"/>
  <c r="S176" i="1"/>
  <c r="U176" i="1"/>
  <c r="S177" i="1"/>
  <c r="U177" i="1"/>
  <c r="E179" i="1"/>
  <c r="F179" i="1"/>
  <c r="P179" i="1"/>
  <c r="S179" i="1" s="1"/>
  <c r="Q179" i="1"/>
  <c r="T179" i="1" s="1"/>
  <c r="U179" i="1"/>
  <c r="E180" i="1"/>
  <c r="F180" i="1"/>
  <c r="P180" i="1"/>
  <c r="S180" i="1" s="1"/>
  <c r="Q180" i="1"/>
  <c r="T180" i="1" s="1"/>
  <c r="U180" i="1"/>
  <c r="E181" i="1"/>
  <c r="F181" i="1"/>
  <c r="P181" i="1"/>
  <c r="S181" i="1" s="1"/>
  <c r="T181" i="1"/>
  <c r="U181" i="1"/>
  <c r="S182" i="1"/>
  <c r="U182" i="1"/>
  <c r="S183" i="1"/>
  <c r="U183" i="1"/>
  <c r="E185" i="1"/>
  <c r="F185" i="1"/>
  <c r="P185" i="1"/>
  <c r="S185" i="1" s="1"/>
  <c r="Q185" i="1"/>
  <c r="T185" i="1" s="1"/>
  <c r="U185" i="1"/>
  <c r="E186" i="1"/>
  <c r="F186" i="1"/>
  <c r="P186" i="1"/>
  <c r="S186" i="1" s="1"/>
  <c r="T186" i="1"/>
  <c r="U186" i="1"/>
  <c r="Q187" i="1"/>
  <c r="T187" i="1" s="1"/>
  <c r="S187" i="1"/>
  <c r="U187" i="1"/>
  <c r="Q188" i="1"/>
  <c r="T188" i="1" s="1"/>
  <c r="S188" i="1"/>
  <c r="U188" i="1"/>
  <c r="E190" i="1"/>
  <c r="F190" i="1"/>
  <c r="P190" i="1"/>
  <c r="S190" i="1" s="1"/>
  <c r="Q190" i="1"/>
  <c r="T190" i="1" s="1"/>
  <c r="U190" i="1"/>
  <c r="E191" i="1"/>
  <c r="F191" i="1"/>
  <c r="P191" i="1"/>
  <c r="S191" i="1" s="1"/>
  <c r="Q191" i="1"/>
  <c r="T191" i="1" s="1"/>
  <c r="U191" i="1"/>
  <c r="E192" i="1"/>
  <c r="F192" i="1"/>
  <c r="P192" i="1"/>
  <c r="S192" i="1" s="1"/>
  <c r="T192" i="1"/>
  <c r="U192" i="1"/>
  <c r="S193" i="1"/>
  <c r="U193" i="1"/>
  <c r="S194" i="1"/>
  <c r="U194" i="1"/>
  <c r="E196" i="1"/>
  <c r="F196" i="1"/>
  <c r="P196" i="1"/>
  <c r="S196" i="1" s="1"/>
  <c r="Q196" i="1"/>
  <c r="T196" i="1" s="1"/>
  <c r="U196" i="1"/>
  <c r="E197" i="1"/>
  <c r="F197" i="1"/>
  <c r="P197" i="1"/>
  <c r="S197" i="1" s="1"/>
  <c r="T197" i="1"/>
  <c r="U197" i="1"/>
  <c r="S198" i="1"/>
  <c r="U198" i="1"/>
  <c r="S199" i="1"/>
  <c r="U199" i="1"/>
  <c r="E201" i="1"/>
  <c r="F201" i="1"/>
  <c r="P201" i="1"/>
  <c r="S201" i="1" s="1"/>
  <c r="Q201" i="1"/>
  <c r="T201" i="1" s="1"/>
  <c r="U201" i="1"/>
  <c r="E202" i="1"/>
  <c r="F202" i="1"/>
  <c r="P202" i="1"/>
  <c r="S202" i="1" s="1"/>
  <c r="T202" i="1"/>
  <c r="U202" i="1"/>
  <c r="S203" i="1"/>
  <c r="U203" i="1"/>
  <c r="S204" i="1"/>
  <c r="U204" i="1"/>
  <c r="E206" i="1"/>
  <c r="U206" i="1"/>
  <c r="O207" i="1"/>
  <c r="E213" i="1"/>
  <c r="F213" i="1"/>
  <c r="P213" i="1"/>
  <c r="S213" i="1" s="1"/>
  <c r="Q213" i="1"/>
  <c r="T213" i="1" s="1"/>
  <c r="U213" i="1"/>
  <c r="E214" i="1"/>
  <c r="F214" i="1"/>
  <c r="P214" i="1"/>
  <c r="S214" i="1" s="1"/>
  <c r="T214" i="1"/>
  <c r="U214" i="1"/>
  <c r="U215" i="1"/>
  <c r="P216" i="1"/>
  <c r="S216" i="1" s="1"/>
  <c r="U216" i="1"/>
  <c r="E218" i="1"/>
  <c r="F218" i="1"/>
  <c r="P218" i="1"/>
  <c r="S218" i="1" s="1"/>
  <c r="Q218" i="1"/>
  <c r="T218" i="1" s="1"/>
  <c r="U218" i="1"/>
  <c r="E219" i="1"/>
  <c r="F219" i="1"/>
  <c r="P219" i="1"/>
  <c r="S219" i="1" s="1"/>
  <c r="T219" i="1"/>
  <c r="U219" i="1"/>
  <c r="P220" i="1"/>
  <c r="S220" i="1" s="1"/>
  <c r="U220" i="1"/>
  <c r="U221" i="1"/>
  <c r="E223" i="1"/>
  <c r="F223" i="1"/>
  <c r="P223" i="1"/>
  <c r="S223" i="1" s="1"/>
  <c r="Q223" i="1"/>
  <c r="T223" i="1" s="1"/>
  <c r="U223" i="1"/>
  <c r="E224" i="1"/>
  <c r="F224" i="1"/>
  <c r="P224" i="1"/>
  <c r="S224" i="1" s="1"/>
  <c r="T224" i="1"/>
  <c r="U224" i="1"/>
  <c r="U225" i="1"/>
  <c r="U226" i="1"/>
  <c r="E228" i="1"/>
  <c r="F228" i="1"/>
  <c r="P228" i="1"/>
  <c r="S228" i="1" s="1"/>
  <c r="Q228" i="1"/>
  <c r="T228" i="1" s="1"/>
  <c r="U228" i="1"/>
  <c r="E229" i="1"/>
  <c r="F229" i="1"/>
  <c r="P229" i="1"/>
  <c r="S229" i="1" s="1"/>
  <c r="Q229" i="1"/>
  <c r="T229" i="1" s="1"/>
  <c r="U229" i="1"/>
  <c r="E230" i="1"/>
  <c r="F230" i="1"/>
  <c r="P230" i="1"/>
  <c r="S230" i="1" s="1"/>
  <c r="T230" i="1"/>
  <c r="U230" i="1"/>
  <c r="U231" i="1"/>
  <c r="U232" i="1"/>
  <c r="E234" i="1"/>
  <c r="F234" i="1"/>
  <c r="P234" i="1"/>
  <c r="S234" i="1" s="1"/>
  <c r="Q234" i="1"/>
  <c r="T234" i="1" s="1"/>
  <c r="U234" i="1"/>
  <c r="E235" i="1"/>
  <c r="F235" i="1"/>
  <c r="P235" i="1"/>
  <c r="S235" i="1" s="1"/>
  <c r="T235" i="1"/>
  <c r="U235" i="1"/>
  <c r="U236" i="1"/>
  <c r="P237" i="1"/>
  <c r="S237" i="1" s="1"/>
  <c r="U237" i="1"/>
  <c r="E239" i="1"/>
  <c r="F239" i="1"/>
  <c r="P239" i="1"/>
  <c r="S239" i="1" s="1"/>
  <c r="Q239" i="1"/>
  <c r="T239" i="1" s="1"/>
  <c r="U239" i="1"/>
  <c r="E240" i="1"/>
  <c r="F240" i="1"/>
  <c r="P240" i="1"/>
  <c r="S240" i="1" s="1"/>
  <c r="Q240" i="1"/>
  <c r="T240" i="1" s="1"/>
  <c r="U240" i="1"/>
  <c r="E241" i="1"/>
  <c r="F241" i="1"/>
  <c r="P241" i="1"/>
  <c r="S241" i="1" s="1"/>
  <c r="T241" i="1"/>
  <c r="U241" i="1"/>
  <c r="S242" i="1"/>
  <c r="U242" i="1"/>
  <c r="S243" i="1"/>
  <c r="U243" i="1"/>
  <c r="E245" i="1"/>
  <c r="F245" i="1"/>
  <c r="P245" i="1"/>
  <c r="S245" i="1" s="1"/>
  <c r="Q245" i="1"/>
  <c r="T245" i="1" s="1"/>
  <c r="U245" i="1"/>
  <c r="E246" i="1"/>
  <c r="F246" i="1"/>
  <c r="P246" i="1"/>
  <c r="S246" i="1" s="1"/>
  <c r="T246" i="1"/>
  <c r="U246" i="1"/>
  <c r="S247" i="1"/>
  <c r="U247" i="1"/>
  <c r="S248" i="1"/>
  <c r="U248" i="1"/>
  <c r="E250" i="1"/>
  <c r="F250" i="1"/>
  <c r="P250" i="1"/>
  <c r="S250" i="1" s="1"/>
  <c r="Q250" i="1"/>
  <c r="T250" i="1" s="1"/>
  <c r="U250" i="1"/>
  <c r="E251" i="1"/>
  <c r="F251" i="1"/>
  <c r="P251" i="1"/>
  <c r="S251" i="1" s="1"/>
  <c r="T251" i="1"/>
  <c r="U251" i="1"/>
  <c r="S252" i="1"/>
  <c r="U252" i="1"/>
  <c r="S253" i="1"/>
  <c r="U253" i="1"/>
  <c r="E255" i="1"/>
  <c r="F255" i="1"/>
  <c r="P255" i="1"/>
  <c r="S255" i="1" s="1"/>
  <c r="Q255" i="1"/>
  <c r="T255" i="1" s="1"/>
  <c r="U255" i="1"/>
  <c r="E256" i="1"/>
  <c r="F256" i="1"/>
  <c r="Q256" i="1"/>
  <c r="T256" i="1" s="1"/>
  <c r="S256" i="1"/>
  <c r="U256" i="1"/>
  <c r="E257" i="1"/>
  <c r="F257" i="1"/>
  <c r="P257" i="1"/>
  <c r="S257" i="1" s="1"/>
  <c r="T257" i="1"/>
  <c r="U257" i="1"/>
  <c r="S258" i="1"/>
  <c r="U258" i="1"/>
  <c r="S259" i="1"/>
  <c r="U259" i="1"/>
  <c r="E261" i="1"/>
  <c r="F261" i="1"/>
  <c r="P261" i="1"/>
  <c r="S261" i="1" s="1"/>
  <c r="Q261" i="1"/>
  <c r="T261" i="1" s="1"/>
  <c r="U261" i="1"/>
  <c r="E262" i="1"/>
  <c r="F262" i="1"/>
  <c r="Q262" i="1"/>
  <c r="T262" i="1" s="1"/>
  <c r="S262" i="1"/>
  <c r="U262" i="1"/>
  <c r="E263" i="1"/>
  <c r="F263" i="1"/>
  <c r="P263" i="1"/>
  <c r="S263" i="1" s="1"/>
  <c r="T263" i="1"/>
  <c r="U263" i="1"/>
  <c r="S264" i="1"/>
  <c r="U264" i="1"/>
  <c r="S265" i="1"/>
  <c r="U265" i="1"/>
  <c r="F267" i="1"/>
  <c r="Q267" i="1"/>
  <c r="T267" i="1" s="1"/>
  <c r="S267" i="1"/>
  <c r="U267" i="1"/>
  <c r="E268" i="1"/>
  <c r="F268" i="1"/>
  <c r="Q268" i="1"/>
  <c r="T268" i="1" s="1"/>
  <c r="S268" i="1"/>
  <c r="U268" i="1"/>
  <c r="E269" i="1"/>
  <c r="F269" i="1"/>
  <c r="Q269" i="1"/>
  <c r="T269" i="1" s="1"/>
  <c r="S269" i="1"/>
  <c r="U269" i="1"/>
  <c r="D291" i="1"/>
  <c r="E291" i="1"/>
  <c r="F291" i="1"/>
  <c r="U291" i="1"/>
  <c r="P291" i="1"/>
  <c r="Q291" i="1"/>
  <c r="D292" i="1"/>
  <c r="E292" i="1"/>
  <c r="F292" i="1"/>
  <c r="O292" i="1"/>
  <c r="P292" i="1"/>
  <c r="Q292" i="1"/>
  <c r="D293" i="1"/>
  <c r="E293" i="1"/>
  <c r="F293" i="1"/>
  <c r="O293" i="1"/>
  <c r="P293" i="1"/>
  <c r="Q293" i="1"/>
  <c r="D294" i="1"/>
  <c r="E294" i="1"/>
  <c r="F294" i="1"/>
  <c r="S294" i="1"/>
  <c r="Q294" i="1"/>
  <c r="T294" i="1" s="1"/>
  <c r="U294" i="1"/>
  <c r="D295" i="1"/>
  <c r="E295" i="1"/>
  <c r="F295" i="1"/>
  <c r="S295" i="1"/>
  <c r="Q295" i="1"/>
  <c r="T295" i="1" s="1"/>
  <c r="U295" i="1"/>
  <c r="U296" i="1"/>
  <c r="E297" i="1"/>
  <c r="F297" i="1"/>
  <c r="P297" i="1"/>
  <c r="Q297" i="1"/>
  <c r="E298" i="1"/>
  <c r="F298" i="1"/>
  <c r="S298" i="1"/>
  <c r="E299" i="1"/>
  <c r="F299" i="1"/>
  <c r="Q299" i="1"/>
  <c r="T299" i="1" s="1"/>
  <c r="S299" i="1"/>
  <c r="U299" i="1"/>
  <c r="D301" i="1"/>
  <c r="E301" i="1"/>
  <c r="F301" i="1"/>
  <c r="P301" i="1"/>
  <c r="Q301" i="1"/>
  <c r="D302" i="1"/>
  <c r="E302" i="1"/>
  <c r="F302" i="1"/>
  <c r="P302" i="1"/>
  <c r="Q302" i="1"/>
  <c r="D303" i="1"/>
  <c r="E303" i="1"/>
  <c r="F303" i="1"/>
  <c r="O303" i="1"/>
  <c r="P303" i="1"/>
  <c r="Q303" i="1"/>
  <c r="D306" i="1"/>
  <c r="E306" i="1"/>
  <c r="F306" i="1"/>
  <c r="S306" i="1"/>
  <c r="Q306" i="1"/>
  <c r="T306" i="1" s="1"/>
  <c r="U306" i="1"/>
  <c r="D307" i="1"/>
  <c r="E307" i="1"/>
  <c r="F307" i="1"/>
  <c r="S307" i="1"/>
  <c r="Q307" i="1"/>
  <c r="T307" i="1" s="1"/>
  <c r="U307" i="1"/>
  <c r="E309" i="1"/>
  <c r="F309" i="1"/>
  <c r="P309" i="1"/>
  <c r="S309" i="1" s="1"/>
  <c r="Q309" i="1"/>
  <c r="T309" i="1" s="1"/>
  <c r="E310" i="1"/>
  <c r="F310" i="1"/>
  <c r="S310" i="1"/>
  <c r="E311" i="1"/>
  <c r="F311" i="1"/>
  <c r="Q311" i="1"/>
  <c r="T311" i="1" s="1"/>
  <c r="S311" i="1"/>
  <c r="D313" i="1"/>
  <c r="E313" i="1"/>
  <c r="F313" i="1"/>
  <c r="P313" i="1"/>
  <c r="S313" i="1" s="1"/>
  <c r="Q313" i="1"/>
  <c r="T313" i="1" s="1"/>
  <c r="U313" i="1"/>
  <c r="D314" i="1"/>
  <c r="E314" i="1"/>
  <c r="F314" i="1"/>
  <c r="P314" i="1"/>
  <c r="S314" i="1" s="1"/>
  <c r="Q314" i="1"/>
  <c r="T314" i="1" s="1"/>
  <c r="U314" i="1"/>
  <c r="D315" i="1"/>
  <c r="E315" i="1"/>
  <c r="F315" i="1"/>
  <c r="P315" i="1"/>
  <c r="S315" i="1" s="1"/>
  <c r="Q315" i="1"/>
  <c r="T315" i="1" s="1"/>
  <c r="U315" i="1"/>
  <c r="D316" i="1"/>
  <c r="E316" i="1"/>
  <c r="F316" i="1"/>
  <c r="P316" i="1"/>
  <c r="S316" i="1" s="1"/>
  <c r="Q316" i="1"/>
  <c r="T316" i="1" s="1"/>
  <c r="U316" i="1"/>
  <c r="D317" i="1"/>
  <c r="E317" i="1"/>
  <c r="F317" i="1"/>
  <c r="P317" i="1"/>
  <c r="S317" i="1" s="1"/>
  <c r="Q317" i="1"/>
  <c r="T317" i="1" s="1"/>
  <c r="U317" i="1"/>
  <c r="D318" i="1"/>
  <c r="E318" i="1"/>
  <c r="F318" i="1"/>
  <c r="P318" i="1"/>
  <c r="S318" i="1" s="1"/>
  <c r="Q318" i="1"/>
  <c r="T318" i="1" s="1"/>
  <c r="U318" i="1"/>
  <c r="D319" i="1"/>
  <c r="E319" i="1"/>
  <c r="F319" i="1"/>
  <c r="P319" i="1"/>
  <c r="S319" i="1" s="1"/>
  <c r="Q319" i="1"/>
  <c r="T319" i="1" s="1"/>
  <c r="U319" i="1"/>
  <c r="E320" i="1"/>
  <c r="F320" i="1"/>
  <c r="P320" i="1"/>
  <c r="S320" i="1" s="1"/>
  <c r="U320" i="1"/>
  <c r="E321" i="1"/>
  <c r="F321" i="1"/>
  <c r="P321" i="1"/>
  <c r="S321" i="1" s="1"/>
  <c r="U321" i="1"/>
  <c r="U322" i="1"/>
  <c r="E323" i="1"/>
  <c r="F323" i="1"/>
  <c r="G323" i="1"/>
  <c r="O323" i="1" s="1"/>
  <c r="Q323" i="1"/>
  <c r="E324" i="1"/>
  <c r="F324" i="1"/>
  <c r="Q324" i="1"/>
  <c r="T324" i="1" s="1"/>
  <c r="S324" i="1"/>
  <c r="U324" i="1"/>
  <c r="E326" i="1"/>
  <c r="F326" i="1"/>
  <c r="P326" i="1"/>
  <c r="S326" i="1" s="1"/>
  <c r="Q326" i="1"/>
  <c r="T326" i="1" s="1"/>
  <c r="U326" i="1"/>
  <c r="E327" i="1"/>
  <c r="F327" i="1"/>
  <c r="P327" i="1"/>
  <c r="S327" i="1" s="1"/>
  <c r="Q327" i="1"/>
  <c r="T327" i="1" s="1"/>
  <c r="U327" i="1"/>
  <c r="E328" i="1"/>
  <c r="F328" i="1"/>
  <c r="P328" i="1"/>
  <c r="S328" i="1" s="1"/>
  <c r="Q328" i="1"/>
  <c r="T328" i="1" s="1"/>
  <c r="U328" i="1"/>
  <c r="E329" i="1"/>
  <c r="F329" i="1"/>
  <c r="P329" i="1"/>
  <c r="S329" i="1" s="1"/>
  <c r="Q329" i="1"/>
  <c r="T329" i="1" s="1"/>
  <c r="U329" i="1"/>
  <c r="E330" i="1"/>
  <c r="F330" i="1"/>
  <c r="P330" i="1"/>
  <c r="S330" i="1" s="1"/>
  <c r="Q330" i="1"/>
  <c r="T330" i="1" s="1"/>
  <c r="U330" i="1"/>
  <c r="E332" i="1"/>
  <c r="F332" i="1"/>
  <c r="P332" i="1"/>
  <c r="S332" i="1" s="1"/>
  <c r="Q332" i="1"/>
  <c r="T332" i="1" s="1"/>
  <c r="U332" i="1"/>
  <c r="E333" i="1"/>
  <c r="F333" i="1"/>
  <c r="P333" i="1"/>
  <c r="S333" i="1" s="1"/>
  <c r="Q333" i="1"/>
  <c r="T333" i="1" s="1"/>
  <c r="U333" i="1"/>
  <c r="E339" i="1"/>
  <c r="F339" i="1"/>
  <c r="P339" i="1"/>
  <c r="S339" i="1" s="1"/>
  <c r="T339" i="1"/>
  <c r="U339" i="1"/>
  <c r="E340" i="1"/>
  <c r="F340" i="1"/>
  <c r="P340" i="1"/>
  <c r="S340" i="1" s="1"/>
  <c r="T340" i="1"/>
  <c r="U340" i="1"/>
  <c r="U341" i="1"/>
  <c r="U342" i="1"/>
  <c r="E344" i="1"/>
  <c r="F344" i="1"/>
  <c r="P344" i="1"/>
  <c r="S344" i="1" s="1"/>
  <c r="Q344" i="1"/>
  <c r="T344" i="1" s="1"/>
  <c r="U344" i="1"/>
  <c r="E345" i="1"/>
  <c r="F345" i="1"/>
  <c r="P345" i="1"/>
  <c r="S345" i="1" s="1"/>
  <c r="T345" i="1"/>
  <c r="U345" i="1"/>
  <c r="P346" i="1"/>
  <c r="S346" i="1" s="1"/>
  <c r="U346" i="1"/>
  <c r="U347" i="1"/>
  <c r="D349" i="1"/>
  <c r="E349" i="1"/>
  <c r="F349" i="1"/>
  <c r="P349" i="1"/>
  <c r="S349" i="1" s="1"/>
  <c r="Q349" i="1"/>
  <c r="T349" i="1" s="1"/>
  <c r="U349" i="1"/>
  <c r="D350" i="1"/>
  <c r="E350" i="1"/>
  <c r="F350" i="1"/>
  <c r="P350" i="1"/>
  <c r="S350" i="1" s="1"/>
  <c r="Q350" i="1"/>
  <c r="T350" i="1" s="1"/>
  <c r="U350" i="1"/>
  <c r="D351" i="1"/>
  <c r="E351" i="1"/>
  <c r="F351" i="1"/>
  <c r="P351" i="1"/>
  <c r="S351" i="1" s="1"/>
  <c r="Q351" i="1"/>
  <c r="T351" i="1" s="1"/>
  <c r="U351" i="1"/>
  <c r="D352" i="1"/>
  <c r="E352" i="1"/>
  <c r="F352" i="1"/>
  <c r="P352" i="1"/>
  <c r="S352" i="1" s="1"/>
  <c r="Q352" i="1"/>
  <c r="T352" i="1" s="1"/>
  <c r="U352" i="1"/>
  <c r="D353" i="1"/>
  <c r="E353" i="1"/>
  <c r="F353" i="1"/>
  <c r="P353" i="1"/>
  <c r="S353" i="1" s="1"/>
  <c r="Q353" i="1"/>
  <c r="T353" i="1" s="1"/>
  <c r="U353" i="1"/>
  <c r="E354" i="1"/>
  <c r="F354" i="1"/>
  <c r="P354" i="1"/>
  <c r="S354" i="1" s="1"/>
  <c r="Q354" i="1"/>
  <c r="T354" i="1" s="1"/>
  <c r="U354" i="1"/>
  <c r="E355" i="1"/>
  <c r="F355" i="1"/>
  <c r="P355" i="1"/>
  <c r="S355" i="1" s="1"/>
  <c r="Q355" i="1"/>
  <c r="T355" i="1" s="1"/>
  <c r="U355" i="1"/>
  <c r="E356" i="1"/>
  <c r="F356" i="1"/>
  <c r="G356" i="1"/>
  <c r="S356" i="1" s="1"/>
  <c r="Q356" i="1"/>
  <c r="E357" i="1"/>
  <c r="F357" i="1"/>
  <c r="Q357" i="1"/>
  <c r="T357" i="1" s="1"/>
  <c r="S357" i="1"/>
  <c r="U357" i="1"/>
  <c r="E359" i="1"/>
  <c r="F359" i="1"/>
  <c r="P359" i="1"/>
  <c r="S359" i="1" s="1"/>
  <c r="Q359" i="1"/>
  <c r="T359" i="1" s="1"/>
  <c r="U359" i="1"/>
  <c r="E360" i="1"/>
  <c r="F360" i="1"/>
  <c r="P360" i="1"/>
  <c r="S360" i="1" s="1"/>
  <c r="Q360" i="1"/>
  <c r="T360" i="1" s="1"/>
  <c r="U360" i="1"/>
  <c r="E361" i="1"/>
  <c r="F361" i="1"/>
  <c r="P361" i="1"/>
  <c r="S361" i="1" s="1"/>
  <c r="Q361" i="1"/>
  <c r="T361" i="1" s="1"/>
  <c r="U361" i="1"/>
  <c r="E362" i="1"/>
  <c r="F362" i="1"/>
  <c r="P362" i="1"/>
  <c r="S362" i="1" s="1"/>
  <c r="Q362" i="1"/>
  <c r="T362" i="1" s="1"/>
  <c r="U362" i="1"/>
  <c r="E363" i="1"/>
  <c r="F363" i="1"/>
  <c r="P363" i="1"/>
  <c r="S363" i="1" s="1"/>
  <c r="Q363" i="1"/>
  <c r="T363" i="1" s="1"/>
  <c r="U363" i="1"/>
  <c r="E364" i="1"/>
  <c r="F364" i="1"/>
  <c r="P364" i="1"/>
  <c r="S364" i="1" s="1"/>
  <c r="Q364" i="1"/>
  <c r="T364" i="1" s="1"/>
  <c r="U364" i="1"/>
  <c r="E365" i="1"/>
  <c r="F365" i="1"/>
  <c r="P365" i="1"/>
  <c r="S365" i="1" s="1"/>
  <c r="Q365" i="1"/>
  <c r="T365" i="1" s="1"/>
  <c r="U365" i="1"/>
  <c r="E366" i="1"/>
  <c r="F366" i="1"/>
  <c r="G366" i="1"/>
  <c r="S366" i="1" s="1"/>
  <c r="Q366" i="1"/>
  <c r="E367" i="1"/>
  <c r="F367" i="1"/>
  <c r="Q367" i="1"/>
  <c r="T367" i="1" s="1"/>
  <c r="S367" i="1"/>
  <c r="U367" i="1"/>
  <c r="E369" i="1"/>
  <c r="F369" i="1"/>
  <c r="P369" i="1"/>
  <c r="S369" i="1" s="1"/>
  <c r="Q369" i="1"/>
  <c r="T369" i="1" s="1"/>
  <c r="U369" i="1"/>
  <c r="E370" i="1"/>
  <c r="F370" i="1"/>
  <c r="P370" i="1"/>
  <c r="S370" i="1" s="1"/>
  <c r="T370" i="1"/>
  <c r="U370" i="1"/>
  <c r="P371" i="1"/>
  <c r="S371" i="1" s="1"/>
  <c r="U371" i="1"/>
  <c r="E372" i="1"/>
  <c r="U372" i="1"/>
  <c r="E374" i="1"/>
  <c r="F374" i="1"/>
  <c r="P374" i="1"/>
  <c r="S374" i="1" s="1"/>
  <c r="Q374" i="1"/>
  <c r="T374" i="1" s="1"/>
  <c r="U374" i="1"/>
  <c r="E375" i="1"/>
  <c r="F375" i="1"/>
  <c r="P375" i="1"/>
  <c r="S375" i="1" s="1"/>
  <c r="Q375" i="1"/>
  <c r="T375" i="1" s="1"/>
  <c r="U375" i="1"/>
  <c r="E376" i="1"/>
  <c r="F376" i="1"/>
  <c r="P376" i="1"/>
  <c r="S376" i="1" s="1"/>
  <c r="T376" i="1"/>
  <c r="U376" i="1"/>
  <c r="E377" i="1"/>
  <c r="U377" i="1"/>
  <c r="P378" i="1"/>
  <c r="S378" i="1" s="1"/>
  <c r="U378" i="1"/>
  <c r="E380" i="1"/>
  <c r="F380" i="1"/>
  <c r="P380" i="1"/>
  <c r="S380" i="1" s="1"/>
  <c r="Q380" i="1"/>
  <c r="T380" i="1" s="1"/>
  <c r="U380" i="1"/>
  <c r="E381" i="1"/>
  <c r="F381" i="1"/>
  <c r="P381" i="1"/>
  <c r="S381" i="1" s="1"/>
  <c r="T381" i="1"/>
  <c r="U381" i="1"/>
  <c r="P382" i="1"/>
  <c r="S382" i="1" s="1"/>
  <c r="U382" i="1"/>
  <c r="P383" i="1"/>
  <c r="S383" i="1" s="1"/>
  <c r="U383" i="1"/>
  <c r="E385" i="1"/>
  <c r="F385" i="1"/>
  <c r="P385" i="1"/>
  <c r="S385" i="1" s="1"/>
  <c r="Q385" i="1"/>
  <c r="T385" i="1" s="1"/>
  <c r="U385" i="1"/>
  <c r="E386" i="1"/>
  <c r="F386" i="1"/>
  <c r="P386" i="1"/>
  <c r="S386" i="1" s="1"/>
  <c r="Q386" i="1"/>
  <c r="T386" i="1" s="1"/>
  <c r="U386" i="1"/>
  <c r="E387" i="1"/>
  <c r="F387" i="1"/>
  <c r="P387" i="1"/>
  <c r="S387" i="1" s="1"/>
  <c r="T387" i="1"/>
  <c r="U387" i="1"/>
  <c r="E388" i="1"/>
  <c r="F388" i="1"/>
  <c r="P388" i="1"/>
  <c r="S388" i="1" s="1"/>
  <c r="T388" i="1"/>
  <c r="U388" i="1"/>
  <c r="Q389" i="1"/>
  <c r="T389" i="1" s="1"/>
  <c r="S389" i="1"/>
  <c r="U389" i="1"/>
  <c r="Q390" i="1"/>
  <c r="T390" i="1" s="1"/>
  <c r="S390" i="1"/>
  <c r="U390" i="1"/>
  <c r="E392" i="1"/>
  <c r="F392" i="1"/>
  <c r="P392" i="1"/>
  <c r="S392" i="1" s="1"/>
  <c r="Q392" i="1"/>
  <c r="T392" i="1" s="1"/>
  <c r="U392" i="1"/>
  <c r="E393" i="1"/>
  <c r="F393" i="1"/>
  <c r="P393" i="1"/>
  <c r="S393" i="1" s="1"/>
  <c r="T393" i="1"/>
  <c r="U393" i="1"/>
  <c r="E394" i="1"/>
  <c r="F394" i="1"/>
  <c r="P394" i="1"/>
  <c r="S394" i="1" s="1"/>
  <c r="Q394" i="1"/>
  <c r="T394" i="1" s="1"/>
  <c r="U394" i="1"/>
  <c r="Q395" i="1"/>
  <c r="T395" i="1" s="1"/>
  <c r="S395" i="1"/>
  <c r="U395" i="1"/>
  <c r="Q396" i="1"/>
  <c r="T396" i="1" s="1"/>
  <c r="S396" i="1"/>
  <c r="U396" i="1"/>
  <c r="E398" i="1"/>
  <c r="F398" i="1"/>
  <c r="P398" i="1"/>
  <c r="S398" i="1" s="1"/>
  <c r="Q398" i="1"/>
  <c r="T398" i="1" s="1"/>
  <c r="U398" i="1"/>
  <c r="E399" i="1"/>
  <c r="F399" i="1"/>
  <c r="P399" i="1"/>
  <c r="S399" i="1" s="1"/>
  <c r="T399" i="1"/>
  <c r="U399" i="1"/>
  <c r="E400" i="1"/>
  <c r="F400" i="1"/>
  <c r="P400" i="1"/>
  <c r="S400" i="1" s="1"/>
  <c r="Q400" i="1"/>
  <c r="T400" i="1" s="1"/>
  <c r="U400" i="1"/>
  <c r="Q401" i="1"/>
  <c r="T401" i="1" s="1"/>
  <c r="S401" i="1"/>
  <c r="U401" i="1"/>
  <c r="Q402" i="1"/>
  <c r="T402" i="1" s="1"/>
  <c r="S402" i="1"/>
  <c r="U402" i="1"/>
  <c r="E404" i="1"/>
  <c r="F404" i="1"/>
  <c r="P404" i="1"/>
  <c r="S404" i="1" s="1"/>
  <c r="Q404" i="1"/>
  <c r="T404" i="1" s="1"/>
  <c r="U404" i="1"/>
  <c r="E405" i="1"/>
  <c r="F405" i="1"/>
  <c r="P405" i="1"/>
  <c r="S405" i="1" s="1"/>
  <c r="T405" i="1"/>
  <c r="U405" i="1"/>
  <c r="S406" i="1"/>
  <c r="U406" i="1"/>
  <c r="E407" i="1"/>
  <c r="S407" i="1"/>
  <c r="U407" i="1"/>
  <c r="E409" i="1"/>
  <c r="F409" i="1"/>
  <c r="P409" i="1"/>
  <c r="S409" i="1" s="1"/>
  <c r="Q409" i="1"/>
  <c r="T409" i="1" s="1"/>
  <c r="U409" i="1"/>
  <c r="E410" i="1"/>
  <c r="F410" i="1"/>
  <c r="P410" i="1"/>
  <c r="S410" i="1" s="1"/>
  <c r="Q410" i="1"/>
  <c r="T410" i="1" s="1"/>
  <c r="U410" i="1"/>
  <c r="E411" i="1"/>
  <c r="F411" i="1"/>
  <c r="P411" i="1"/>
  <c r="S411" i="1" s="1"/>
  <c r="T411" i="1"/>
  <c r="U411" i="1"/>
  <c r="E412" i="1"/>
  <c r="F412" i="1"/>
  <c r="P412" i="1"/>
  <c r="S412" i="1" s="1"/>
  <c r="T412" i="1"/>
  <c r="U412" i="1"/>
  <c r="S413" i="1"/>
  <c r="U413" i="1"/>
  <c r="S414" i="1"/>
  <c r="U414" i="1"/>
  <c r="F415" i="1"/>
  <c r="G415" i="1"/>
  <c r="U415" i="1" s="1"/>
  <c r="Q415" i="1"/>
  <c r="E416" i="1"/>
  <c r="F416" i="1"/>
  <c r="G416" i="1"/>
  <c r="O416" i="1" s="1"/>
  <c r="P416" i="1"/>
  <c r="Q416" i="1"/>
  <c r="E417" i="1"/>
  <c r="F417" i="1"/>
  <c r="Q417" i="1"/>
  <c r="T417" i="1" s="1"/>
  <c r="S417" i="1"/>
  <c r="U417" i="1"/>
  <c r="E419" i="1"/>
  <c r="F419" i="1"/>
  <c r="P419" i="1"/>
  <c r="S419" i="1" s="1"/>
  <c r="Q419" i="1"/>
  <c r="T419" i="1" s="1"/>
  <c r="U419" i="1"/>
  <c r="E420" i="1"/>
  <c r="F420" i="1"/>
  <c r="P420" i="1"/>
  <c r="S420" i="1" s="1"/>
  <c r="T420" i="1"/>
  <c r="U420" i="1"/>
  <c r="Q421" i="1"/>
  <c r="T421" i="1" s="1"/>
  <c r="S421" i="1"/>
  <c r="U421" i="1"/>
  <c r="Q422" i="1"/>
  <c r="T422" i="1" s="1"/>
  <c r="S422" i="1"/>
  <c r="U422" i="1"/>
  <c r="E424" i="1"/>
  <c r="F424" i="1"/>
  <c r="P424" i="1"/>
  <c r="E425" i="1"/>
  <c r="F425" i="1"/>
  <c r="P425" i="1"/>
  <c r="E426" i="1"/>
  <c r="F426" i="1"/>
  <c r="P426" i="1"/>
  <c r="E427" i="1"/>
  <c r="F427" i="1"/>
  <c r="P427" i="1"/>
  <c r="E428" i="1"/>
  <c r="F428" i="1"/>
  <c r="P428" i="1"/>
  <c r="S428" i="1" s="1"/>
  <c r="T428" i="1"/>
  <c r="U428" i="1"/>
  <c r="E429" i="1"/>
  <c r="F429" i="1"/>
  <c r="P429" i="1"/>
  <c r="Q429" i="1"/>
  <c r="E430" i="1"/>
  <c r="F430" i="1"/>
  <c r="P430" i="1"/>
  <c r="S430" i="1" s="1"/>
  <c r="Q430" i="1"/>
  <c r="T430" i="1" s="1"/>
  <c r="U430" i="1"/>
  <c r="E431" i="1"/>
  <c r="F431" i="1"/>
  <c r="P431" i="1"/>
  <c r="S431" i="1" s="1"/>
  <c r="Q431" i="1"/>
  <c r="T431" i="1" s="1"/>
  <c r="U431" i="1"/>
  <c r="E432" i="1"/>
  <c r="F432" i="1"/>
  <c r="P432" i="1"/>
  <c r="S432" i="1" s="1"/>
  <c r="Q432" i="1"/>
  <c r="T432" i="1" s="1"/>
  <c r="U432" i="1"/>
  <c r="E433" i="1"/>
  <c r="F433" i="1"/>
  <c r="G433" i="1"/>
  <c r="O433" i="1" s="1"/>
  <c r="P433" i="1"/>
  <c r="Q433" i="1"/>
  <c r="E434" i="1"/>
  <c r="F434" i="1"/>
  <c r="P434" i="1"/>
  <c r="S434" i="1" s="1"/>
  <c r="Q434" i="1"/>
  <c r="T434" i="1" s="1"/>
  <c r="U434" i="1"/>
  <c r="E435" i="1"/>
  <c r="F435" i="1"/>
  <c r="P435" i="1"/>
  <c r="S435" i="1" s="1"/>
  <c r="Q435" i="1"/>
  <c r="T435" i="1" s="1"/>
  <c r="U435" i="1"/>
  <c r="E437" i="1"/>
  <c r="F437" i="1"/>
  <c r="P437" i="1"/>
  <c r="E438" i="1"/>
  <c r="F438" i="1"/>
  <c r="P438" i="1"/>
  <c r="E439" i="1"/>
  <c r="F439" i="1"/>
  <c r="P439" i="1"/>
  <c r="E440" i="1"/>
  <c r="F440" i="1"/>
  <c r="P440" i="1"/>
  <c r="E441" i="1"/>
  <c r="F441" i="1"/>
  <c r="P441" i="1"/>
  <c r="S441" i="1" s="1"/>
  <c r="T441" i="1"/>
  <c r="U441" i="1"/>
  <c r="E442" i="1"/>
  <c r="F442" i="1"/>
  <c r="U442" i="1"/>
  <c r="P442" i="1"/>
  <c r="Q442" i="1"/>
  <c r="E443" i="1"/>
  <c r="F443" i="1"/>
  <c r="P443" i="1"/>
  <c r="S443" i="1" s="1"/>
  <c r="Q443" i="1"/>
  <c r="T443" i="1" s="1"/>
  <c r="U443" i="1"/>
  <c r="E444" i="1"/>
  <c r="F444" i="1"/>
  <c r="P444" i="1"/>
  <c r="S444" i="1" s="1"/>
  <c r="Q444" i="1"/>
  <c r="T444" i="1" s="1"/>
  <c r="U444" i="1"/>
  <c r="E445" i="1"/>
  <c r="F445" i="1"/>
  <c r="P445" i="1"/>
  <c r="S445" i="1" s="1"/>
  <c r="Q445" i="1"/>
  <c r="T445" i="1" s="1"/>
  <c r="U445" i="1"/>
  <c r="E446" i="1"/>
  <c r="F446" i="1"/>
  <c r="G446" i="1"/>
  <c r="O446" i="1" s="1"/>
  <c r="P446" i="1"/>
  <c r="Q446" i="1"/>
  <c r="E447" i="1"/>
  <c r="F447" i="1"/>
  <c r="P447" i="1"/>
  <c r="S447" i="1" s="1"/>
  <c r="Q447" i="1"/>
  <c r="T447" i="1" s="1"/>
  <c r="U447" i="1"/>
  <c r="E448" i="1"/>
  <c r="F448" i="1"/>
  <c r="P448" i="1"/>
  <c r="S448" i="1" s="1"/>
  <c r="Q448" i="1"/>
  <c r="T448" i="1" s="1"/>
  <c r="U448" i="1"/>
  <c r="U439" i="1"/>
  <c r="E450" i="1"/>
  <c r="F450" i="1"/>
  <c r="P450" i="1"/>
  <c r="S450" i="1" s="1"/>
  <c r="T450" i="1"/>
  <c r="U450" i="1"/>
  <c r="E451" i="1"/>
  <c r="F451" i="1"/>
  <c r="P451" i="1"/>
  <c r="S451" i="1" s="1"/>
  <c r="T451" i="1"/>
  <c r="U451" i="1"/>
  <c r="E452" i="1"/>
  <c r="F452" i="1"/>
  <c r="P452" i="1"/>
  <c r="S452" i="1" s="1"/>
  <c r="T452" i="1"/>
  <c r="U452" i="1"/>
  <c r="E453" i="1"/>
  <c r="F453" i="1"/>
  <c r="G453" i="1"/>
  <c r="S453" i="1" s="1"/>
  <c r="Q453" i="1"/>
  <c r="E454" i="1"/>
  <c r="F454" i="1"/>
  <c r="Q454" i="1"/>
  <c r="T454" i="1" s="1"/>
  <c r="S454" i="1"/>
  <c r="U454" i="1"/>
  <c r="E456" i="1"/>
  <c r="F456" i="1"/>
  <c r="G456" i="1"/>
  <c r="T456" i="1" s="1"/>
  <c r="P456" i="1"/>
  <c r="E457" i="1"/>
  <c r="F457" i="1"/>
  <c r="P457" i="1"/>
  <c r="S457" i="1" s="1"/>
  <c r="T457" i="1"/>
  <c r="U457" i="1"/>
  <c r="E458" i="1"/>
  <c r="F458" i="1"/>
  <c r="P458" i="1"/>
  <c r="S458" i="1" s="1"/>
  <c r="T458" i="1"/>
  <c r="U458" i="1"/>
  <c r="E459" i="1"/>
  <c r="F459" i="1"/>
  <c r="P459" i="1"/>
  <c r="S459" i="1" s="1"/>
  <c r="T459" i="1"/>
  <c r="U459" i="1"/>
  <c r="E460" i="1"/>
  <c r="F460" i="1"/>
  <c r="P460" i="1"/>
  <c r="S460" i="1" s="1"/>
  <c r="T460" i="1"/>
  <c r="U460" i="1"/>
  <c r="E461" i="1"/>
  <c r="F461" i="1"/>
  <c r="Q461" i="1"/>
  <c r="E462" i="1"/>
  <c r="F462" i="1"/>
  <c r="Q462" i="1"/>
  <c r="T462" i="1" s="1"/>
  <c r="S462" i="1"/>
  <c r="U462" i="1"/>
  <c r="F464" i="1"/>
  <c r="P464" i="1"/>
  <c r="S464" i="1" s="1"/>
  <c r="E465" i="1"/>
  <c r="F465" i="1"/>
  <c r="P465" i="1"/>
  <c r="S465" i="1" s="1"/>
  <c r="T465" i="1"/>
  <c r="U465" i="1"/>
  <c r="F472" i="1"/>
  <c r="P472" i="1"/>
  <c r="S472" i="1" s="1"/>
  <c r="T472" i="1"/>
  <c r="U472" i="1"/>
  <c r="E474" i="1"/>
  <c r="F474" i="1"/>
  <c r="P474" i="1"/>
  <c r="S474" i="1" s="1"/>
  <c r="Q474" i="1"/>
  <c r="T474" i="1" s="1"/>
  <c r="R474" i="1"/>
  <c r="U474" i="1" s="1"/>
  <c r="E475" i="1"/>
  <c r="F475" i="1"/>
  <c r="P475" i="1"/>
  <c r="S475" i="1" s="1"/>
  <c r="T475" i="1"/>
  <c r="U475" i="1"/>
  <c r="E476" i="1"/>
  <c r="F476" i="1"/>
  <c r="Q476" i="1"/>
  <c r="E479" i="1"/>
  <c r="F479" i="1"/>
  <c r="Q479" i="1"/>
  <c r="E481" i="1"/>
  <c r="F481" i="1"/>
  <c r="G481" i="1"/>
  <c r="T481" i="1" s="1"/>
  <c r="P481" i="1"/>
  <c r="E482" i="1"/>
  <c r="F482" i="1"/>
  <c r="P482" i="1"/>
  <c r="S482" i="1" s="1"/>
  <c r="T482" i="1"/>
  <c r="U482" i="1"/>
  <c r="E483" i="1"/>
  <c r="F483" i="1"/>
  <c r="P483" i="1"/>
  <c r="S483" i="1" s="1"/>
  <c r="T483" i="1"/>
  <c r="U483" i="1"/>
  <c r="E484" i="1"/>
  <c r="F484" i="1"/>
  <c r="Q484" i="1"/>
  <c r="E487" i="1"/>
  <c r="F487" i="1"/>
  <c r="Q487" i="1"/>
  <c r="T487" i="1" s="1"/>
  <c r="S487" i="1"/>
  <c r="U487" i="1"/>
  <c r="E489" i="1"/>
  <c r="F489" i="1"/>
  <c r="G489" i="1"/>
  <c r="G494" i="1" s="1"/>
  <c r="U494" i="1" s="1"/>
  <c r="P489" i="1"/>
  <c r="E490" i="1"/>
  <c r="F490" i="1"/>
  <c r="P490" i="1"/>
  <c r="S490" i="1" s="1"/>
  <c r="T490" i="1"/>
  <c r="U490" i="1"/>
  <c r="E491" i="1"/>
  <c r="F491" i="1"/>
  <c r="P491" i="1"/>
  <c r="S491" i="1" s="1"/>
  <c r="T491" i="1"/>
  <c r="U491" i="1"/>
  <c r="E492" i="1"/>
  <c r="F492" i="1"/>
  <c r="P492" i="1"/>
  <c r="S492" i="1" s="1"/>
  <c r="Q492" i="1"/>
  <c r="T492" i="1" s="1"/>
  <c r="R492" i="1"/>
  <c r="U492" i="1" s="1"/>
  <c r="E493" i="1"/>
  <c r="F493" i="1"/>
  <c r="P493" i="1"/>
  <c r="S493" i="1" s="1"/>
  <c r="T493" i="1"/>
  <c r="U493" i="1"/>
  <c r="E494" i="1"/>
  <c r="F494" i="1"/>
  <c r="Q494" i="1"/>
  <c r="E495" i="1"/>
  <c r="F495" i="1"/>
  <c r="G495" i="1"/>
  <c r="Q495" i="1"/>
  <c r="F497" i="1"/>
  <c r="G509" i="1"/>
  <c r="S509" i="1" s="1"/>
  <c r="P497" i="1"/>
  <c r="S497" i="1" s="1"/>
  <c r="E498" i="1"/>
  <c r="F498" i="1"/>
  <c r="P498" i="1"/>
  <c r="S498" i="1" s="1"/>
  <c r="T498" i="1"/>
  <c r="U498" i="1"/>
  <c r="E509" i="1"/>
  <c r="F509" i="1"/>
  <c r="Q509" i="1"/>
  <c r="E510" i="1"/>
  <c r="F510" i="1"/>
  <c r="Q510" i="1"/>
  <c r="E511" i="1"/>
  <c r="F511" i="1"/>
  <c r="Q511" i="1"/>
  <c r="E512" i="1"/>
  <c r="F512" i="1"/>
  <c r="G512" i="1"/>
  <c r="U512" i="1" s="1"/>
  <c r="Q512" i="1"/>
  <c r="F514" i="1"/>
  <c r="P514" i="1"/>
  <c r="S514" i="1" s="1"/>
  <c r="E515" i="1"/>
  <c r="F515" i="1"/>
  <c r="P515" i="1"/>
  <c r="S515" i="1" s="1"/>
  <c r="T515" i="1"/>
  <c r="U515" i="1"/>
  <c r="E516" i="1"/>
  <c r="F516" i="1"/>
  <c r="P516" i="1"/>
  <c r="S516" i="1" s="1"/>
  <c r="T516" i="1"/>
  <c r="U516" i="1"/>
  <c r="E517" i="1"/>
  <c r="F517" i="1"/>
  <c r="P517" i="1"/>
  <c r="S517" i="1" s="1"/>
  <c r="T517" i="1"/>
  <c r="U517" i="1"/>
  <c r="E519" i="1"/>
  <c r="F519" i="1"/>
  <c r="Q519" i="1"/>
  <c r="E520" i="1"/>
  <c r="F520" i="1"/>
  <c r="Q520" i="1"/>
  <c r="T520" i="1" s="1"/>
  <c r="S520" i="1"/>
  <c r="U520" i="1"/>
  <c r="E521" i="1"/>
  <c r="F521" i="1"/>
  <c r="S521" i="1"/>
  <c r="Q521" i="1"/>
  <c r="E523" i="1"/>
  <c r="F523" i="1"/>
  <c r="O523" i="1"/>
  <c r="P523" i="1"/>
  <c r="E524" i="1"/>
  <c r="F524" i="1"/>
  <c r="P524" i="1"/>
  <c r="S524" i="1" s="1"/>
  <c r="T524" i="1"/>
  <c r="U524" i="1"/>
  <c r="E525" i="1"/>
  <c r="F525" i="1"/>
  <c r="P525" i="1"/>
  <c r="S525" i="1" s="1"/>
  <c r="T525" i="1"/>
  <c r="U525" i="1"/>
  <c r="E526" i="1"/>
  <c r="F526" i="1"/>
  <c r="P526" i="1"/>
  <c r="S526" i="1" s="1"/>
  <c r="Q526" i="1"/>
  <c r="T526" i="1" s="1"/>
  <c r="R526" i="1"/>
  <c r="U526" i="1" s="1"/>
  <c r="E527" i="1"/>
  <c r="F527" i="1"/>
  <c r="P527" i="1"/>
  <c r="S527" i="1" s="1"/>
  <c r="T527" i="1"/>
  <c r="U527" i="1"/>
  <c r="E528" i="1"/>
  <c r="F528" i="1"/>
  <c r="P528" i="1"/>
  <c r="S528" i="1" s="1"/>
  <c r="T528" i="1"/>
  <c r="U528" i="1"/>
  <c r="E529" i="1"/>
  <c r="F529" i="1"/>
  <c r="Q529" i="1"/>
  <c r="E530" i="1"/>
  <c r="F530" i="1"/>
  <c r="G530" i="1"/>
  <c r="O530" i="1" s="1"/>
  <c r="Q530" i="1"/>
  <c r="E532" i="1"/>
  <c r="F532" i="1"/>
  <c r="G532" i="1"/>
  <c r="O532" i="1" s="1"/>
  <c r="P532" i="1"/>
  <c r="E533" i="1"/>
  <c r="F533" i="1"/>
  <c r="P533" i="1"/>
  <c r="S533" i="1" s="1"/>
  <c r="T533" i="1"/>
  <c r="U533" i="1"/>
  <c r="E534" i="1"/>
  <c r="F534" i="1"/>
  <c r="P534" i="1"/>
  <c r="S534" i="1" s="1"/>
  <c r="T534" i="1"/>
  <c r="U534" i="1"/>
  <c r="E535" i="1"/>
  <c r="F535" i="1"/>
  <c r="P535" i="1"/>
  <c r="S535" i="1" s="1"/>
  <c r="T535" i="1"/>
  <c r="U535" i="1"/>
  <c r="E536" i="1"/>
  <c r="F536" i="1"/>
  <c r="P536" i="1"/>
  <c r="S536" i="1" s="1"/>
  <c r="T536" i="1"/>
  <c r="U536" i="1"/>
  <c r="E537" i="1"/>
  <c r="F537" i="1"/>
  <c r="Q537" i="1"/>
  <c r="E538" i="1"/>
  <c r="F538" i="1"/>
  <c r="G538" i="1"/>
  <c r="O538" i="1" s="1"/>
  <c r="Q538" i="1"/>
  <c r="E540" i="1"/>
  <c r="F540" i="1"/>
  <c r="G540" i="1"/>
  <c r="U540" i="1" s="1"/>
  <c r="P540" i="1"/>
  <c r="E541" i="1"/>
  <c r="F541" i="1"/>
  <c r="P541" i="1"/>
  <c r="S541" i="1" s="1"/>
  <c r="T541" i="1"/>
  <c r="U541" i="1"/>
  <c r="E542" i="1"/>
  <c r="F542" i="1"/>
  <c r="P542" i="1"/>
  <c r="S542" i="1" s="1"/>
  <c r="T542" i="1"/>
  <c r="U542" i="1"/>
  <c r="E543" i="1"/>
  <c r="F543" i="1"/>
  <c r="P543" i="1"/>
  <c r="S543" i="1" s="1"/>
  <c r="Q543" i="1"/>
  <c r="T543" i="1" s="1"/>
  <c r="R543" i="1"/>
  <c r="U543" i="1" s="1"/>
  <c r="E544" i="1"/>
  <c r="F544" i="1"/>
  <c r="P544" i="1"/>
  <c r="S544" i="1" s="1"/>
  <c r="T544" i="1"/>
  <c r="U544" i="1"/>
  <c r="E545" i="1"/>
  <c r="F545" i="1"/>
  <c r="Q545" i="1"/>
  <c r="E546" i="1"/>
  <c r="F546" i="1"/>
  <c r="Q546" i="1"/>
  <c r="T546" i="1" s="1"/>
  <c r="S546" i="1"/>
  <c r="U546" i="1"/>
  <c r="E548" i="1"/>
  <c r="F548" i="1"/>
  <c r="G548" i="1"/>
  <c r="G551" i="1" s="1"/>
  <c r="S551" i="1" s="1"/>
  <c r="P548" i="1"/>
  <c r="E549" i="1"/>
  <c r="F549" i="1"/>
  <c r="P549" i="1"/>
  <c r="S549" i="1" s="1"/>
  <c r="T549" i="1"/>
  <c r="U549" i="1"/>
  <c r="E550" i="1"/>
  <c r="F550" i="1"/>
  <c r="P550" i="1"/>
  <c r="S550" i="1" s="1"/>
  <c r="T550" i="1"/>
  <c r="U550" i="1"/>
  <c r="D551" i="1"/>
  <c r="E551" i="1"/>
  <c r="F551" i="1"/>
  <c r="Q551" i="1"/>
  <c r="D552" i="1"/>
  <c r="E552" i="1"/>
  <c r="F552" i="1"/>
  <c r="Q552" i="1"/>
  <c r="T552" i="1" s="1"/>
  <c r="S552" i="1"/>
  <c r="U552" i="1"/>
  <c r="E554" i="1"/>
  <c r="F554" i="1"/>
  <c r="G554" i="1"/>
  <c r="T554" i="1" s="1"/>
  <c r="P554" i="1"/>
  <c r="E555" i="1"/>
  <c r="F555" i="1"/>
  <c r="G555" i="1"/>
  <c r="G556" i="1" s="1"/>
  <c r="T556" i="1" s="1"/>
  <c r="P555" i="1"/>
  <c r="E556" i="1"/>
  <c r="F556" i="1"/>
  <c r="P556" i="1"/>
  <c r="E557" i="1"/>
  <c r="F557" i="1"/>
  <c r="P557" i="1"/>
  <c r="S557" i="1" s="1"/>
  <c r="T557" i="1"/>
  <c r="U557" i="1"/>
  <c r="E558" i="1"/>
  <c r="F558" i="1"/>
  <c r="P558" i="1"/>
  <c r="S558" i="1" s="1"/>
  <c r="T558" i="1"/>
  <c r="U558" i="1"/>
  <c r="E559" i="1"/>
  <c r="F559" i="1"/>
  <c r="P559" i="1"/>
  <c r="S559" i="1" s="1"/>
  <c r="T559" i="1"/>
  <c r="U559" i="1"/>
  <c r="D560" i="1"/>
  <c r="E560" i="1"/>
  <c r="F560" i="1"/>
  <c r="Q560" i="1"/>
  <c r="T560" i="1" s="1"/>
  <c r="S560" i="1"/>
  <c r="U560" i="1"/>
  <c r="D561" i="1"/>
  <c r="E561" i="1"/>
  <c r="F561" i="1"/>
  <c r="Q561" i="1"/>
  <c r="T561" i="1" s="1"/>
  <c r="S561" i="1"/>
  <c r="U561" i="1"/>
  <c r="E563" i="1"/>
  <c r="F563" i="1"/>
  <c r="G563" i="1"/>
  <c r="P563" i="1"/>
  <c r="E564" i="1"/>
  <c r="F564" i="1"/>
  <c r="P564" i="1"/>
  <c r="S564" i="1" s="1"/>
  <c r="T564" i="1"/>
  <c r="U564" i="1"/>
  <c r="E565" i="1"/>
  <c r="F565" i="1"/>
  <c r="P565" i="1"/>
  <c r="S565" i="1" s="1"/>
  <c r="T565" i="1"/>
  <c r="U565" i="1"/>
  <c r="E566" i="1"/>
  <c r="F566" i="1"/>
  <c r="P566" i="1"/>
  <c r="S566" i="1" s="1"/>
  <c r="T566" i="1"/>
  <c r="U566" i="1"/>
  <c r="E567" i="1"/>
  <c r="F567" i="1"/>
  <c r="P567" i="1"/>
  <c r="S567" i="1" s="1"/>
  <c r="T567" i="1"/>
  <c r="U567" i="1"/>
  <c r="E568" i="1"/>
  <c r="F568" i="1"/>
  <c r="P568" i="1"/>
  <c r="S568" i="1" s="1"/>
  <c r="T568" i="1"/>
  <c r="U568" i="1"/>
  <c r="E569" i="1"/>
  <c r="F569" i="1"/>
  <c r="P569" i="1"/>
  <c r="S569" i="1" s="1"/>
  <c r="T569" i="1"/>
  <c r="U569" i="1"/>
  <c r="E570" i="1"/>
  <c r="F570" i="1"/>
  <c r="P570" i="1"/>
  <c r="S570" i="1" s="1"/>
  <c r="T570" i="1"/>
  <c r="U570" i="1"/>
  <c r="E571" i="1"/>
  <c r="F571" i="1"/>
  <c r="Q571" i="1"/>
  <c r="E572" i="1"/>
  <c r="F572" i="1"/>
  <c r="G572" i="1"/>
  <c r="S572" i="1" s="1"/>
  <c r="Q572" i="1"/>
  <c r="E573" i="1"/>
  <c r="F573" i="1"/>
  <c r="Q573" i="1"/>
  <c r="T573" i="1" s="1"/>
  <c r="S573" i="1"/>
  <c r="U573" i="1"/>
  <c r="E574" i="1"/>
  <c r="F574" i="1"/>
  <c r="G574" i="1"/>
  <c r="S574" i="1" s="1"/>
  <c r="Q574" i="1"/>
  <c r="S575" i="1"/>
  <c r="T575" i="1"/>
  <c r="U575" i="1"/>
  <c r="E577" i="1"/>
  <c r="F577" i="1"/>
  <c r="P577" i="1"/>
  <c r="S577" i="1" s="1"/>
  <c r="T577" i="1"/>
  <c r="U577" i="1"/>
  <c r="E578" i="1"/>
  <c r="F578" i="1"/>
  <c r="P578" i="1"/>
  <c r="S578" i="1" s="1"/>
  <c r="T578" i="1"/>
  <c r="U578" i="1"/>
  <c r="E579" i="1"/>
  <c r="F579" i="1"/>
  <c r="Q579" i="1"/>
  <c r="R579" i="1"/>
  <c r="U579" i="1" s="1"/>
  <c r="S579" i="1"/>
  <c r="T579" i="1"/>
  <c r="E581" i="1"/>
  <c r="F581" i="1"/>
  <c r="P581" i="1"/>
  <c r="S581" i="1" s="1"/>
  <c r="T581" i="1"/>
  <c r="U581" i="1"/>
  <c r="E582" i="1"/>
  <c r="F582" i="1"/>
  <c r="P582" i="1"/>
  <c r="S582" i="1" s="1"/>
  <c r="T582" i="1"/>
  <c r="U582" i="1"/>
  <c r="E583" i="1"/>
  <c r="F583" i="1"/>
  <c r="Q583" i="1"/>
  <c r="R583" i="1"/>
  <c r="U583" i="1" s="1"/>
  <c r="S583" i="1"/>
  <c r="T583" i="1"/>
  <c r="E585" i="1"/>
  <c r="F585" i="1"/>
  <c r="P585" i="1"/>
  <c r="S585" i="1" s="1"/>
  <c r="T585" i="1"/>
  <c r="U585" i="1"/>
  <c r="E586" i="1"/>
  <c r="F586" i="1"/>
  <c r="P586" i="1"/>
  <c r="S586" i="1" s="1"/>
  <c r="T586" i="1"/>
  <c r="U586" i="1"/>
  <c r="E587" i="1"/>
  <c r="F587" i="1"/>
  <c r="Q587" i="1"/>
  <c r="T587" i="1" s="1"/>
  <c r="R587" i="1"/>
  <c r="U587" i="1" s="1"/>
  <c r="S587" i="1"/>
  <c r="P589" i="1"/>
  <c r="S589" i="1" s="1"/>
  <c r="T589" i="1"/>
  <c r="U589" i="1"/>
  <c r="Q590" i="1"/>
  <c r="R590" i="1"/>
  <c r="U590" i="1" s="1"/>
  <c r="S590" i="1"/>
  <c r="T590" i="1"/>
  <c r="F592" i="1"/>
  <c r="P592" i="1"/>
  <c r="S592" i="1" s="1"/>
  <c r="T592" i="1"/>
  <c r="U592" i="1"/>
  <c r="F593" i="1"/>
  <c r="Q593" i="1"/>
  <c r="R593" i="1"/>
  <c r="U593" i="1" s="1"/>
  <c r="S593" i="1"/>
  <c r="T593" i="1"/>
  <c r="E594" i="1"/>
  <c r="F594" i="1"/>
  <c r="P594" i="1"/>
  <c r="S594" i="1" s="1"/>
  <c r="T594" i="1"/>
  <c r="U594" i="1"/>
  <c r="E595" i="1"/>
  <c r="F595" i="1"/>
  <c r="Q595" i="1"/>
  <c r="R595" i="1"/>
  <c r="U595" i="1" s="1"/>
  <c r="S595" i="1"/>
  <c r="T595" i="1"/>
  <c r="E597" i="1"/>
  <c r="F597" i="1"/>
  <c r="P597" i="1"/>
  <c r="S597" i="1" s="1"/>
  <c r="T597" i="1"/>
  <c r="U597" i="1"/>
  <c r="E598" i="1"/>
  <c r="F598" i="1"/>
  <c r="P598" i="1"/>
  <c r="S598" i="1" s="1"/>
  <c r="T598" i="1"/>
  <c r="U598" i="1"/>
  <c r="E599" i="1"/>
  <c r="F599" i="1"/>
  <c r="Q599" i="1"/>
  <c r="T599" i="1" s="1"/>
  <c r="R599" i="1"/>
  <c r="U599" i="1" s="1"/>
  <c r="S599" i="1"/>
  <c r="E601" i="1"/>
  <c r="F601" i="1"/>
  <c r="P601" i="1"/>
  <c r="S601" i="1" s="1"/>
  <c r="T601" i="1"/>
  <c r="U601" i="1"/>
  <c r="E602" i="1"/>
  <c r="F602" i="1"/>
  <c r="P602" i="1"/>
  <c r="S602" i="1" s="1"/>
  <c r="T602" i="1"/>
  <c r="U602" i="1"/>
  <c r="E603" i="1"/>
  <c r="F603" i="1"/>
  <c r="Q603" i="1"/>
  <c r="R603" i="1"/>
  <c r="U603" i="1" s="1"/>
  <c r="S603" i="1"/>
  <c r="T603" i="1"/>
  <c r="E605" i="1"/>
  <c r="F605" i="1"/>
  <c r="P605" i="1"/>
  <c r="S605" i="1" s="1"/>
  <c r="T605" i="1"/>
  <c r="U605" i="1"/>
  <c r="E606" i="1"/>
  <c r="F606" i="1"/>
  <c r="P606" i="1"/>
  <c r="S606" i="1" s="1"/>
  <c r="T606" i="1"/>
  <c r="U606" i="1"/>
  <c r="E607" i="1"/>
  <c r="F607" i="1"/>
  <c r="Q607" i="1"/>
  <c r="R607" i="1"/>
  <c r="U607" i="1" s="1"/>
  <c r="S607" i="1"/>
  <c r="T607" i="1"/>
  <c r="E613" i="1"/>
  <c r="F613" i="1"/>
  <c r="P613" i="1"/>
  <c r="S613" i="1" s="1"/>
  <c r="T613" i="1"/>
  <c r="U613" i="1"/>
  <c r="E614" i="1"/>
  <c r="F614" i="1"/>
  <c r="P614" i="1"/>
  <c r="S614" i="1" s="1"/>
  <c r="T614" i="1"/>
  <c r="U614" i="1"/>
  <c r="E615" i="1"/>
  <c r="F615" i="1"/>
  <c r="R615" i="1"/>
  <c r="U615" i="1" s="1"/>
  <c r="S615" i="1"/>
  <c r="T615" i="1"/>
  <c r="E617" i="1"/>
  <c r="F617" i="1"/>
  <c r="P617" i="1"/>
  <c r="S617" i="1" s="1"/>
  <c r="T617" i="1"/>
  <c r="U617" i="1"/>
  <c r="E618" i="1"/>
  <c r="F618" i="1"/>
  <c r="P618" i="1"/>
  <c r="S618" i="1" s="1"/>
  <c r="T618" i="1"/>
  <c r="U618" i="1"/>
  <c r="E619" i="1"/>
  <c r="F619" i="1"/>
  <c r="Q619" i="1"/>
  <c r="R619" i="1"/>
  <c r="U619" i="1" s="1"/>
  <c r="S619" i="1"/>
  <c r="T619" i="1"/>
  <c r="E621" i="1"/>
  <c r="F621" i="1"/>
  <c r="P621" i="1"/>
  <c r="S621" i="1" s="1"/>
  <c r="T621" i="1"/>
  <c r="U621" i="1"/>
  <c r="E622" i="1"/>
  <c r="F622" i="1"/>
  <c r="P622" i="1"/>
  <c r="S622" i="1" s="1"/>
  <c r="T622" i="1"/>
  <c r="U622" i="1"/>
  <c r="E623" i="1"/>
  <c r="F623" i="1"/>
  <c r="Q623" i="1"/>
  <c r="R623" i="1"/>
  <c r="U623" i="1" s="1"/>
  <c r="S623" i="1"/>
  <c r="T623" i="1"/>
  <c r="E636" i="1"/>
  <c r="F636" i="1"/>
  <c r="G636" i="1"/>
  <c r="T636" i="1" s="1"/>
  <c r="P636" i="1"/>
  <c r="E637" i="1"/>
  <c r="F637" i="1"/>
  <c r="G637" i="1"/>
  <c r="U637" i="1" s="1"/>
  <c r="P637" i="1"/>
  <c r="E638" i="1"/>
  <c r="F638" i="1"/>
  <c r="P638" i="1"/>
  <c r="S638" i="1" s="1"/>
  <c r="T638" i="1"/>
  <c r="U638" i="1"/>
  <c r="E639" i="1"/>
  <c r="F639" i="1"/>
  <c r="P639" i="1"/>
  <c r="S639" i="1" s="1"/>
  <c r="T639" i="1"/>
  <c r="U639" i="1"/>
  <c r="E640" i="1"/>
  <c r="F640" i="1"/>
  <c r="P640" i="1"/>
  <c r="S640" i="1" s="1"/>
  <c r="T640" i="1"/>
  <c r="U640" i="1"/>
  <c r="E641" i="1"/>
  <c r="F641" i="1"/>
  <c r="Q641" i="1"/>
  <c r="S641" i="1"/>
  <c r="T641" i="1"/>
  <c r="U641" i="1"/>
  <c r="E643" i="1"/>
  <c r="F643" i="1"/>
  <c r="G643" i="1"/>
  <c r="T643" i="1" s="1"/>
  <c r="P643" i="1"/>
  <c r="E644" i="1"/>
  <c r="F644" i="1"/>
  <c r="G644" i="1"/>
  <c r="T644" i="1" s="1"/>
  <c r="P644" i="1"/>
  <c r="E645" i="1"/>
  <c r="F645" i="1"/>
  <c r="P645" i="1"/>
  <c r="S645" i="1" s="1"/>
  <c r="T645" i="1"/>
  <c r="U645" i="1"/>
  <c r="E646" i="1"/>
  <c r="F646" i="1"/>
  <c r="P646" i="1"/>
  <c r="S646" i="1" s="1"/>
  <c r="T646" i="1"/>
  <c r="U646" i="1"/>
  <c r="E647" i="1"/>
  <c r="F647" i="1"/>
  <c r="P647" i="1"/>
  <c r="S647" i="1" s="1"/>
  <c r="T647" i="1"/>
  <c r="U647" i="1"/>
  <c r="E648" i="1"/>
  <c r="F648" i="1"/>
  <c r="Q648" i="1"/>
  <c r="S648" i="1"/>
  <c r="T648" i="1"/>
  <c r="U648" i="1"/>
  <c r="E650" i="1"/>
  <c r="F650" i="1"/>
  <c r="G650" i="1"/>
  <c r="O650" i="1" s="1"/>
  <c r="P650" i="1"/>
  <c r="E651" i="1"/>
  <c r="F651" i="1"/>
  <c r="G651" i="1"/>
  <c r="O651" i="1" s="1"/>
  <c r="P651" i="1"/>
  <c r="E652" i="1"/>
  <c r="F652" i="1"/>
  <c r="P652" i="1"/>
  <c r="S652" i="1" s="1"/>
  <c r="T652" i="1"/>
  <c r="U652" i="1"/>
  <c r="E653" i="1"/>
  <c r="F653" i="1"/>
  <c r="P653" i="1"/>
  <c r="S653" i="1" s="1"/>
  <c r="T653" i="1"/>
  <c r="U653" i="1"/>
  <c r="E654" i="1"/>
  <c r="F654" i="1"/>
  <c r="Q654" i="1"/>
  <c r="S654" i="1"/>
  <c r="T654" i="1"/>
  <c r="U654" i="1"/>
  <c r="E656" i="1"/>
  <c r="F656" i="1"/>
  <c r="G656" i="1"/>
  <c r="U656" i="1" s="1"/>
  <c r="P656" i="1"/>
  <c r="E657" i="1"/>
  <c r="F657" i="1"/>
  <c r="G657" i="1"/>
  <c r="U657" i="1" s="1"/>
  <c r="P657" i="1"/>
  <c r="E658" i="1"/>
  <c r="F658" i="1"/>
  <c r="P658" i="1"/>
  <c r="S658" i="1" s="1"/>
  <c r="T658" i="1"/>
  <c r="U658" i="1"/>
  <c r="E659" i="1"/>
  <c r="F659" i="1"/>
  <c r="P659" i="1"/>
  <c r="S659" i="1" s="1"/>
  <c r="T659" i="1"/>
  <c r="U659" i="1"/>
  <c r="E660" i="1"/>
  <c r="F660" i="1"/>
  <c r="P660" i="1"/>
  <c r="S660" i="1" s="1"/>
  <c r="T660" i="1"/>
  <c r="U660" i="1"/>
  <c r="E661" i="1"/>
  <c r="F661" i="1"/>
  <c r="P661" i="1"/>
  <c r="S661" i="1" s="1"/>
  <c r="T661" i="1"/>
  <c r="U661" i="1"/>
  <c r="E662" i="1"/>
  <c r="F662" i="1"/>
  <c r="Q662" i="1"/>
  <c r="S662" i="1"/>
  <c r="T662" i="1"/>
  <c r="U662" i="1"/>
  <c r="E664" i="1"/>
  <c r="F664" i="1"/>
  <c r="G664" i="1"/>
  <c r="T664" i="1" s="1"/>
  <c r="P664" i="1"/>
  <c r="F665" i="1"/>
  <c r="G665" i="1"/>
  <c r="T665" i="1" s="1"/>
  <c r="P665" i="1"/>
  <c r="F666" i="1"/>
  <c r="P666" i="1"/>
  <c r="S666" i="1" s="1"/>
  <c r="Q666" i="1"/>
  <c r="T666" i="1" s="1"/>
  <c r="U666" i="1"/>
  <c r="F667" i="1"/>
  <c r="P667" i="1"/>
  <c r="S667" i="1" s="1"/>
  <c r="Q667" i="1"/>
  <c r="T667" i="1" s="1"/>
  <c r="U667" i="1"/>
  <c r="E668" i="1"/>
  <c r="F668" i="1"/>
  <c r="P668" i="1"/>
  <c r="S668" i="1" s="1"/>
  <c r="T668" i="1"/>
  <c r="U668" i="1"/>
  <c r="E669" i="1"/>
  <c r="F669" i="1"/>
  <c r="P669" i="1"/>
  <c r="S669" i="1" s="1"/>
  <c r="T669" i="1"/>
  <c r="U669" i="1"/>
  <c r="E670" i="1"/>
  <c r="F670" i="1"/>
  <c r="Q670" i="1"/>
  <c r="S670" i="1"/>
  <c r="T670" i="1"/>
  <c r="U670" i="1"/>
  <c r="E672" i="1"/>
  <c r="F672" i="1"/>
  <c r="G672" i="1"/>
  <c r="O672" i="1" s="1"/>
  <c r="P672" i="1"/>
  <c r="F673" i="1"/>
  <c r="G673" i="1"/>
  <c r="O673" i="1" s="1"/>
  <c r="P673" i="1"/>
  <c r="E674" i="1"/>
  <c r="F674" i="1"/>
  <c r="P674" i="1"/>
  <c r="S674" i="1" s="1"/>
  <c r="T674" i="1"/>
  <c r="U674" i="1"/>
  <c r="E675" i="1"/>
  <c r="F675" i="1"/>
  <c r="P675" i="1"/>
  <c r="S675" i="1" s="1"/>
  <c r="T675" i="1"/>
  <c r="U675" i="1"/>
  <c r="E676" i="1"/>
  <c r="F676" i="1"/>
  <c r="Q676" i="1"/>
  <c r="S676" i="1"/>
  <c r="T676" i="1"/>
  <c r="U676" i="1"/>
  <c r="E678" i="1"/>
  <c r="F678" i="1"/>
  <c r="P678" i="1"/>
  <c r="S678" i="1" s="1"/>
  <c r="S677" i="1" s="1"/>
  <c r="Q678" i="1"/>
  <c r="T678" i="1"/>
  <c r="T677" i="1" s="1"/>
  <c r="U678" i="1"/>
  <c r="U677" i="1" s="1"/>
  <c r="E680" i="1"/>
  <c r="F680" i="1"/>
  <c r="O680" i="1"/>
  <c r="P680" i="1"/>
  <c r="F681" i="1"/>
  <c r="N681" i="1"/>
  <c r="P681" i="1"/>
  <c r="E682" i="1"/>
  <c r="F682" i="1"/>
  <c r="P682" i="1"/>
  <c r="S682" i="1" s="1"/>
  <c r="T682" i="1"/>
  <c r="U682" i="1"/>
  <c r="E683" i="1"/>
  <c r="F683" i="1"/>
  <c r="P683" i="1"/>
  <c r="S683" i="1" s="1"/>
  <c r="T683" i="1"/>
  <c r="U683" i="1"/>
  <c r="E684" i="1"/>
  <c r="F684" i="1"/>
  <c r="P684" i="1"/>
  <c r="S684" i="1" s="1"/>
  <c r="U684" i="1"/>
  <c r="E685" i="1"/>
  <c r="F685" i="1"/>
  <c r="P685" i="1"/>
  <c r="S685" i="1" s="1"/>
  <c r="U685" i="1"/>
  <c r="E686" i="1"/>
  <c r="F686" i="1"/>
  <c r="S686" i="1"/>
  <c r="U686" i="1"/>
  <c r="E688" i="1"/>
  <c r="F688" i="1"/>
  <c r="N688" i="1"/>
  <c r="P688" i="1"/>
  <c r="F689" i="1"/>
  <c r="O689" i="1"/>
  <c r="P689" i="1"/>
  <c r="E690" i="1"/>
  <c r="F690" i="1"/>
  <c r="P690" i="1"/>
  <c r="S690" i="1" s="1"/>
  <c r="T690" i="1"/>
  <c r="U690" i="1"/>
  <c r="E691" i="1"/>
  <c r="F691" i="1"/>
  <c r="P691" i="1"/>
  <c r="S691" i="1" s="1"/>
  <c r="T691" i="1"/>
  <c r="U691" i="1"/>
  <c r="E692" i="1"/>
  <c r="F692" i="1"/>
  <c r="P692" i="1"/>
  <c r="S692" i="1" s="1"/>
  <c r="T692" i="1"/>
  <c r="E693" i="1"/>
  <c r="F693" i="1"/>
  <c r="P693" i="1"/>
  <c r="S693" i="1" s="1"/>
  <c r="E694" i="1"/>
  <c r="F694" i="1"/>
  <c r="S694" i="1"/>
  <c r="E696" i="1"/>
  <c r="F696" i="1"/>
  <c r="G696" i="1"/>
  <c r="O696" i="1" s="1"/>
  <c r="P696" i="1"/>
  <c r="F697" i="1"/>
  <c r="G697" i="1"/>
  <c r="N697" i="1" s="1"/>
  <c r="P697" i="1"/>
  <c r="E698" i="1"/>
  <c r="F698" i="1"/>
  <c r="P698" i="1"/>
  <c r="S698" i="1" s="1"/>
  <c r="T698" i="1"/>
  <c r="U698" i="1"/>
  <c r="E699" i="1"/>
  <c r="F699" i="1"/>
  <c r="P699" i="1"/>
  <c r="S699" i="1" s="1"/>
  <c r="T699" i="1"/>
  <c r="U699" i="1"/>
  <c r="E700" i="1"/>
  <c r="F700" i="1"/>
  <c r="P700" i="1"/>
  <c r="S700" i="1" s="1"/>
  <c r="T700" i="1"/>
  <c r="U700" i="1"/>
  <c r="E701" i="1"/>
  <c r="F701" i="1"/>
  <c r="P701" i="1"/>
  <c r="S701" i="1" s="1"/>
  <c r="T701" i="1"/>
  <c r="U701" i="1"/>
  <c r="E702" i="1"/>
  <c r="F702" i="1"/>
  <c r="Q702" i="1"/>
  <c r="S702" i="1"/>
  <c r="T702" i="1"/>
  <c r="U702" i="1"/>
  <c r="E704" i="1"/>
  <c r="F704" i="1"/>
  <c r="G704" i="1"/>
  <c r="N704" i="1" s="1"/>
  <c r="P704" i="1"/>
  <c r="F705" i="1"/>
  <c r="G705" i="1"/>
  <c r="O705" i="1" s="1"/>
  <c r="P705" i="1"/>
  <c r="E706" i="1"/>
  <c r="F706" i="1"/>
  <c r="P706" i="1"/>
  <c r="S706" i="1" s="1"/>
  <c r="T706" i="1"/>
  <c r="U706" i="1"/>
  <c r="E707" i="1"/>
  <c r="F707" i="1"/>
  <c r="P707" i="1"/>
  <c r="S707" i="1" s="1"/>
  <c r="T707" i="1"/>
  <c r="U707" i="1"/>
  <c r="E708" i="1"/>
  <c r="F708" i="1"/>
  <c r="Q708" i="1"/>
  <c r="S708" i="1"/>
  <c r="T708" i="1"/>
  <c r="U708" i="1"/>
  <c r="E710" i="1"/>
  <c r="F710" i="1"/>
  <c r="G710" i="1"/>
  <c r="N710" i="1" s="1"/>
  <c r="P710" i="1"/>
  <c r="F711" i="1"/>
  <c r="G711" i="1"/>
  <c r="N711" i="1" s="1"/>
  <c r="P711" i="1"/>
  <c r="E712" i="1"/>
  <c r="F712" i="1"/>
  <c r="P712" i="1"/>
  <c r="S712" i="1" s="1"/>
  <c r="T712" i="1"/>
  <c r="U712" i="1"/>
  <c r="E713" i="1"/>
  <c r="F713" i="1"/>
  <c r="P713" i="1"/>
  <c r="S713" i="1" s="1"/>
  <c r="T713" i="1"/>
  <c r="U713" i="1"/>
  <c r="E714" i="1"/>
  <c r="F714" i="1"/>
  <c r="P714" i="1"/>
  <c r="S714" i="1" s="1"/>
  <c r="T714" i="1"/>
  <c r="U714" i="1"/>
  <c r="E715" i="1"/>
  <c r="F715" i="1"/>
  <c r="Q715" i="1"/>
  <c r="S715" i="1"/>
  <c r="T715" i="1"/>
  <c r="U715" i="1"/>
  <c r="E717" i="1"/>
  <c r="F717" i="1"/>
  <c r="Q717" i="1"/>
  <c r="S717" i="1"/>
  <c r="S716" i="1" s="1"/>
  <c r="T717" i="1"/>
  <c r="T716" i="1" s="1"/>
  <c r="U717" i="1"/>
  <c r="U716" i="1" s="1"/>
  <c r="E719" i="1"/>
  <c r="F719" i="1"/>
  <c r="G719" i="1"/>
  <c r="O719" i="1" s="1"/>
  <c r="P719" i="1"/>
  <c r="E720" i="1"/>
  <c r="F720" i="1"/>
  <c r="G720" i="1"/>
  <c r="O720" i="1" s="1"/>
  <c r="P720" i="1"/>
  <c r="E721" i="1"/>
  <c r="F721" i="1"/>
  <c r="P721" i="1"/>
  <c r="S721" i="1" s="1"/>
  <c r="T721" i="1"/>
  <c r="U721" i="1"/>
  <c r="E722" i="1"/>
  <c r="F722" i="1"/>
  <c r="P722" i="1"/>
  <c r="S722" i="1" s="1"/>
  <c r="T722" i="1"/>
  <c r="U722" i="1"/>
  <c r="E723" i="1"/>
  <c r="F723" i="1"/>
  <c r="Q723" i="1"/>
  <c r="S723" i="1"/>
  <c r="T723" i="1"/>
  <c r="U723" i="1"/>
  <c r="E725" i="1"/>
  <c r="F725" i="1"/>
  <c r="G725" i="1"/>
  <c r="T725" i="1" s="1"/>
  <c r="P725" i="1"/>
  <c r="E726" i="1"/>
  <c r="F726" i="1"/>
  <c r="G726" i="1"/>
  <c r="O726" i="1" s="1"/>
  <c r="P726" i="1"/>
  <c r="E727" i="1"/>
  <c r="F727" i="1"/>
  <c r="P727" i="1"/>
  <c r="S727" i="1" s="1"/>
  <c r="T727" i="1"/>
  <c r="U727" i="1"/>
  <c r="E728" i="1"/>
  <c r="F728" i="1"/>
  <c r="P728" i="1"/>
  <c r="S728" i="1" s="1"/>
  <c r="T728" i="1"/>
  <c r="U728" i="1"/>
  <c r="E729" i="1"/>
  <c r="F729" i="1"/>
  <c r="P729" i="1"/>
  <c r="S729" i="1" s="1"/>
  <c r="T729" i="1"/>
  <c r="U729" i="1"/>
  <c r="E730" i="1"/>
  <c r="F730" i="1"/>
  <c r="Q730" i="1"/>
  <c r="S730" i="1"/>
  <c r="T730" i="1"/>
  <c r="U730" i="1"/>
  <c r="E732" i="1"/>
  <c r="F732" i="1"/>
  <c r="P732" i="1"/>
  <c r="S732" i="1" s="1"/>
  <c r="T732" i="1"/>
  <c r="U732" i="1"/>
  <c r="E733" i="1"/>
  <c r="F733" i="1"/>
  <c r="P733" i="1"/>
  <c r="S733" i="1" s="1"/>
  <c r="T733" i="1"/>
  <c r="U733" i="1"/>
  <c r="E734" i="1"/>
  <c r="F734" i="1"/>
  <c r="P734" i="1"/>
  <c r="S734" i="1" s="1"/>
  <c r="T734" i="1"/>
  <c r="U734" i="1"/>
  <c r="E735" i="1"/>
  <c r="F735" i="1"/>
  <c r="P735" i="1"/>
  <c r="S735" i="1" s="1"/>
  <c r="T735" i="1"/>
  <c r="U735" i="1"/>
  <c r="E736" i="1"/>
  <c r="F736" i="1"/>
  <c r="U736" i="1"/>
  <c r="E738" i="1"/>
  <c r="F738" i="1"/>
  <c r="O738" i="1"/>
  <c r="P738" i="1"/>
  <c r="E739" i="1"/>
  <c r="F739" i="1"/>
  <c r="N739" i="1"/>
  <c r="P739" i="1"/>
  <c r="E740" i="1"/>
  <c r="F740" i="1"/>
  <c r="P740" i="1"/>
  <c r="S740" i="1" s="1"/>
  <c r="T740" i="1"/>
  <c r="U740" i="1"/>
  <c r="E741" i="1"/>
  <c r="F741" i="1"/>
  <c r="P741" i="1"/>
  <c r="S741" i="1" s="1"/>
  <c r="T741" i="1"/>
  <c r="U741" i="1"/>
  <c r="E742" i="1"/>
  <c r="F742" i="1"/>
  <c r="Q742" i="1"/>
  <c r="S742" i="1"/>
  <c r="T742" i="1"/>
  <c r="U742" i="1"/>
  <c r="E744" i="1"/>
  <c r="F744" i="1"/>
  <c r="G744" i="1"/>
  <c r="P744" i="1"/>
  <c r="E745" i="1"/>
  <c r="F745" i="1"/>
  <c r="G745" i="1"/>
  <c r="O745" i="1" s="1"/>
  <c r="P745" i="1"/>
  <c r="E746" i="1"/>
  <c r="F746" i="1"/>
  <c r="N746" i="1"/>
  <c r="P746" i="1"/>
  <c r="S746" i="1" s="1"/>
  <c r="E747" i="1"/>
  <c r="F747" i="1"/>
  <c r="P747" i="1"/>
  <c r="S747" i="1" s="1"/>
  <c r="T747" i="1"/>
  <c r="U747" i="1"/>
  <c r="E748" i="1"/>
  <c r="F748" i="1"/>
  <c r="P748" i="1"/>
  <c r="S748" i="1" s="1"/>
  <c r="T748" i="1"/>
  <c r="U748" i="1"/>
  <c r="E749" i="1"/>
  <c r="F749" i="1"/>
  <c r="P749" i="1"/>
  <c r="S749" i="1" s="1"/>
  <c r="T749" i="1"/>
  <c r="U749" i="1"/>
  <c r="E750" i="1"/>
  <c r="F750" i="1"/>
  <c r="S750" i="1"/>
  <c r="T750" i="1"/>
  <c r="U750" i="1"/>
  <c r="E752" i="1"/>
  <c r="F752" i="1"/>
  <c r="P752" i="1"/>
  <c r="F753" i="1"/>
  <c r="N753" i="1"/>
  <c r="P753" i="1"/>
  <c r="E754" i="1"/>
  <c r="F754" i="1"/>
  <c r="P754" i="1"/>
  <c r="S754" i="1" s="1"/>
  <c r="T754" i="1"/>
  <c r="U754" i="1"/>
  <c r="E755" i="1"/>
  <c r="F755" i="1"/>
  <c r="P755" i="1"/>
  <c r="S755" i="1" s="1"/>
  <c r="T755" i="1"/>
  <c r="U755" i="1"/>
  <c r="E756" i="1"/>
  <c r="F756" i="1"/>
  <c r="S756" i="1"/>
  <c r="T756" i="1"/>
  <c r="U756" i="1"/>
  <c r="E758" i="1"/>
  <c r="F758" i="1"/>
  <c r="N758" i="1"/>
  <c r="P758" i="1"/>
  <c r="F759" i="1"/>
  <c r="N759" i="1"/>
  <c r="P759" i="1"/>
  <c r="E760" i="1"/>
  <c r="F760" i="1"/>
  <c r="P760" i="1"/>
  <c r="S760" i="1" s="1"/>
  <c r="T760" i="1"/>
  <c r="U760" i="1"/>
  <c r="E761" i="1"/>
  <c r="F761" i="1"/>
  <c r="P761" i="1"/>
  <c r="S761" i="1" s="1"/>
  <c r="T761" i="1"/>
  <c r="U761" i="1"/>
  <c r="E762" i="1"/>
  <c r="F762" i="1"/>
  <c r="P762" i="1"/>
  <c r="S762" i="1" s="1"/>
  <c r="U762" i="1"/>
  <c r="E763" i="1"/>
  <c r="F763" i="1"/>
  <c r="P763" i="1"/>
  <c r="S763" i="1" s="1"/>
  <c r="U763" i="1"/>
  <c r="E764" i="1"/>
  <c r="F764" i="1"/>
  <c r="S764" i="1"/>
  <c r="U764" i="1"/>
  <c r="E766" i="1"/>
  <c r="F766" i="1"/>
  <c r="G766" i="1"/>
  <c r="O766" i="1" s="1"/>
  <c r="P766" i="1"/>
  <c r="E767" i="1"/>
  <c r="F767" i="1"/>
  <c r="P767" i="1"/>
  <c r="S767" i="1" s="1"/>
  <c r="T767" i="1"/>
  <c r="U767" i="1"/>
  <c r="E768" i="1"/>
  <c r="F768" i="1"/>
  <c r="P768" i="1"/>
  <c r="S768" i="1" s="1"/>
  <c r="Q768" i="1"/>
  <c r="T768" i="1"/>
  <c r="U768" i="1"/>
  <c r="E770" i="1"/>
  <c r="F770" i="1"/>
  <c r="G770" i="1"/>
  <c r="O770" i="1" s="1"/>
  <c r="P770" i="1"/>
  <c r="E771" i="1"/>
  <c r="F771" i="1"/>
  <c r="P771" i="1"/>
  <c r="S771" i="1" s="1"/>
  <c r="T771" i="1"/>
  <c r="U771" i="1"/>
  <c r="E772" i="1"/>
  <c r="F772" i="1"/>
  <c r="P772" i="1"/>
  <c r="S772" i="1" s="1"/>
  <c r="T772" i="1"/>
  <c r="U772" i="1"/>
  <c r="E773" i="1"/>
  <c r="F773" i="1"/>
  <c r="P773" i="1"/>
  <c r="S773" i="1" s="1"/>
  <c r="Q773" i="1"/>
  <c r="T773" i="1"/>
  <c r="U773" i="1"/>
  <c r="E775" i="1"/>
  <c r="F775" i="1"/>
  <c r="P775" i="1"/>
  <c r="S775" i="1" s="1"/>
  <c r="T775" i="1"/>
  <c r="U775" i="1"/>
  <c r="E776" i="1"/>
  <c r="F776" i="1"/>
  <c r="P776" i="1"/>
  <c r="S776" i="1" s="1"/>
  <c r="T776" i="1"/>
  <c r="U776" i="1"/>
  <c r="E777" i="1"/>
  <c r="F777" i="1"/>
  <c r="P777" i="1"/>
  <c r="S777" i="1" s="1"/>
  <c r="T777" i="1"/>
  <c r="U777" i="1"/>
  <c r="E779" i="1"/>
  <c r="F779" i="1"/>
  <c r="P779" i="1"/>
  <c r="S779" i="1" s="1"/>
  <c r="T779" i="1"/>
  <c r="U779" i="1"/>
  <c r="E780" i="1"/>
  <c r="F780" i="1"/>
  <c r="U780" i="1"/>
  <c r="G782" i="1"/>
  <c r="N782" i="1" s="1"/>
  <c r="S783" i="1"/>
  <c r="T783" i="1"/>
  <c r="U783" i="1"/>
  <c r="U784" i="1"/>
  <c r="G786" i="1"/>
  <c r="O786" i="1" s="1"/>
  <c r="T787" i="1"/>
  <c r="U787" i="1"/>
  <c r="T788" i="1"/>
  <c r="U788" i="1"/>
  <c r="U789" i="1"/>
  <c r="E791" i="1"/>
  <c r="F791" i="1"/>
  <c r="G791" i="1"/>
  <c r="T791" i="1" s="1"/>
  <c r="P791" i="1"/>
  <c r="E792" i="1"/>
  <c r="F792" i="1"/>
  <c r="G792" i="1"/>
  <c r="N792" i="1" s="1"/>
  <c r="P792" i="1"/>
  <c r="F793" i="1"/>
  <c r="G793" i="1"/>
  <c r="O793" i="1" s="1"/>
  <c r="P793" i="1"/>
  <c r="E794" i="1"/>
  <c r="F794" i="1"/>
  <c r="P794" i="1"/>
  <c r="S794" i="1" s="1"/>
  <c r="T794" i="1"/>
  <c r="U794" i="1"/>
  <c r="E795" i="1"/>
  <c r="F795" i="1"/>
  <c r="P795" i="1"/>
  <c r="S795" i="1" s="1"/>
  <c r="T795" i="1"/>
  <c r="U795" i="1"/>
  <c r="E796" i="1"/>
  <c r="F796" i="1"/>
  <c r="P796" i="1"/>
  <c r="S796" i="1" s="1"/>
  <c r="Q796" i="1"/>
  <c r="T796" i="1"/>
  <c r="U796" i="1"/>
  <c r="E798" i="1"/>
  <c r="F798" i="1"/>
  <c r="G798" i="1"/>
  <c r="O798" i="1" s="1"/>
  <c r="P798" i="1"/>
  <c r="E799" i="1"/>
  <c r="F799" i="1"/>
  <c r="G799" i="1"/>
  <c r="N799" i="1" s="1"/>
  <c r="P799" i="1"/>
  <c r="E800" i="1"/>
  <c r="F800" i="1"/>
  <c r="P800" i="1"/>
  <c r="S800" i="1" s="1"/>
  <c r="T800" i="1"/>
  <c r="U800" i="1"/>
  <c r="E801" i="1"/>
  <c r="F801" i="1"/>
  <c r="P801" i="1"/>
  <c r="S801" i="1" s="1"/>
  <c r="T801" i="1"/>
  <c r="U801" i="1"/>
  <c r="E802" i="1"/>
  <c r="F802" i="1"/>
  <c r="P802" i="1"/>
  <c r="S802" i="1" s="1"/>
  <c r="T802" i="1"/>
  <c r="U802" i="1"/>
  <c r="E803" i="1"/>
  <c r="F803" i="1"/>
  <c r="P803" i="1"/>
  <c r="S803" i="1" s="1"/>
  <c r="Q803" i="1"/>
  <c r="T803" i="1"/>
  <c r="U803" i="1"/>
  <c r="E805" i="1"/>
  <c r="F805" i="1"/>
  <c r="G805" i="1"/>
  <c r="O805" i="1" s="1"/>
  <c r="P805" i="1"/>
  <c r="E806" i="1"/>
  <c r="F806" i="1"/>
  <c r="G806" i="1"/>
  <c r="O806" i="1" s="1"/>
  <c r="P806" i="1"/>
  <c r="E807" i="1"/>
  <c r="F807" i="1"/>
  <c r="G807" i="1"/>
  <c r="O807" i="1" s="1"/>
  <c r="P807" i="1"/>
  <c r="E808" i="1"/>
  <c r="F808" i="1"/>
  <c r="P808" i="1"/>
  <c r="S808" i="1" s="1"/>
  <c r="T808" i="1"/>
  <c r="U808" i="1"/>
  <c r="E809" i="1"/>
  <c r="F809" i="1"/>
  <c r="P809" i="1"/>
  <c r="S809" i="1" s="1"/>
  <c r="T809" i="1"/>
  <c r="U809" i="1"/>
  <c r="E810" i="1"/>
  <c r="F810" i="1"/>
  <c r="Q810" i="1"/>
  <c r="S810" i="1"/>
  <c r="T810" i="1"/>
  <c r="U810" i="1"/>
  <c r="E812" i="1"/>
  <c r="F812" i="1"/>
  <c r="G812" i="1"/>
  <c r="U812" i="1" s="1"/>
  <c r="P812" i="1"/>
  <c r="E813" i="1"/>
  <c r="F813" i="1"/>
  <c r="G813" i="1"/>
  <c r="U813" i="1" s="1"/>
  <c r="P813" i="1"/>
  <c r="E814" i="1"/>
  <c r="F814" i="1"/>
  <c r="P814" i="1"/>
  <c r="S814" i="1" s="1"/>
  <c r="T814" i="1"/>
  <c r="U814" i="1"/>
  <c r="E815" i="1"/>
  <c r="F815" i="1"/>
  <c r="P815" i="1"/>
  <c r="S815" i="1" s="1"/>
  <c r="T815" i="1"/>
  <c r="U815" i="1"/>
  <c r="E816" i="1"/>
  <c r="F816" i="1"/>
  <c r="P816" i="1"/>
  <c r="S816" i="1" s="1"/>
  <c r="Q816" i="1"/>
  <c r="T816" i="1"/>
  <c r="U816" i="1"/>
  <c r="E818" i="1"/>
  <c r="F818" i="1"/>
  <c r="G818" i="1"/>
  <c r="N818" i="1" s="1"/>
  <c r="P818" i="1"/>
  <c r="E819" i="1"/>
  <c r="F819" i="1"/>
  <c r="G819" i="1"/>
  <c r="O819" i="1" s="1"/>
  <c r="P819" i="1"/>
  <c r="E820" i="1"/>
  <c r="F820" i="1"/>
  <c r="P820" i="1"/>
  <c r="S820" i="1" s="1"/>
  <c r="T820" i="1"/>
  <c r="U820" i="1"/>
  <c r="E821" i="1"/>
  <c r="F821" i="1"/>
  <c r="P821" i="1"/>
  <c r="S821" i="1" s="1"/>
  <c r="T821" i="1"/>
  <c r="U821" i="1"/>
  <c r="E822" i="1"/>
  <c r="F822" i="1"/>
  <c r="P822" i="1"/>
  <c r="S822" i="1" s="1"/>
  <c r="T822" i="1"/>
  <c r="U822" i="1"/>
  <c r="E823" i="1"/>
  <c r="F823" i="1"/>
  <c r="P823" i="1"/>
  <c r="S823" i="1" s="1"/>
  <c r="Q823" i="1"/>
  <c r="T823" i="1"/>
  <c r="U823" i="1"/>
  <c r="E839" i="1"/>
  <c r="F839" i="1"/>
  <c r="U839" i="1"/>
  <c r="P839" i="1"/>
  <c r="E840" i="1"/>
  <c r="F840" i="1"/>
  <c r="P840" i="1"/>
  <c r="S840" i="1" s="1"/>
  <c r="T840" i="1"/>
  <c r="U840" i="1"/>
  <c r="E841" i="1"/>
  <c r="F841" i="1"/>
  <c r="P841" i="1"/>
  <c r="S841" i="1" s="1"/>
  <c r="T841" i="1"/>
  <c r="U841" i="1"/>
  <c r="E842" i="1"/>
  <c r="F842" i="1"/>
  <c r="P842" i="1"/>
  <c r="S842" i="1" s="1"/>
  <c r="T842" i="1"/>
  <c r="U842" i="1"/>
  <c r="E843" i="1"/>
  <c r="F843" i="1"/>
  <c r="P843" i="1"/>
  <c r="S843" i="1" s="1"/>
  <c r="T843" i="1"/>
  <c r="U843" i="1"/>
  <c r="E844" i="1"/>
  <c r="F844" i="1"/>
  <c r="P844" i="1"/>
  <c r="S844" i="1" s="1"/>
  <c r="Q844" i="1"/>
  <c r="T844" i="1"/>
  <c r="U844" i="1"/>
  <c r="E846" i="1"/>
  <c r="F846" i="1"/>
  <c r="G846" i="1"/>
  <c r="U846" i="1" s="1"/>
  <c r="P846" i="1"/>
  <c r="E847" i="1"/>
  <c r="F847" i="1"/>
  <c r="P847" i="1"/>
  <c r="S847" i="1" s="1"/>
  <c r="T847" i="1"/>
  <c r="U847" i="1"/>
  <c r="E848" i="1"/>
  <c r="F848" i="1"/>
  <c r="P848" i="1"/>
  <c r="S848" i="1" s="1"/>
  <c r="T848" i="1"/>
  <c r="U848" i="1"/>
  <c r="E849" i="1"/>
  <c r="F849" i="1"/>
  <c r="P849" i="1"/>
  <c r="S849" i="1" s="1"/>
  <c r="T849" i="1"/>
  <c r="U849" i="1"/>
  <c r="E850" i="1"/>
  <c r="F850" i="1"/>
  <c r="P850" i="1"/>
  <c r="S850" i="1" s="1"/>
  <c r="T850" i="1"/>
  <c r="U850" i="1"/>
  <c r="E851" i="1"/>
  <c r="F851" i="1"/>
  <c r="P851" i="1"/>
  <c r="S851" i="1" s="1"/>
  <c r="Q851" i="1"/>
  <c r="T851" i="1"/>
  <c r="U851" i="1"/>
  <c r="E853" i="1"/>
  <c r="F853" i="1"/>
  <c r="G853" i="1"/>
  <c r="N853" i="1" s="1"/>
  <c r="P853" i="1"/>
  <c r="E854" i="1"/>
  <c r="F854" i="1"/>
  <c r="P854" i="1"/>
  <c r="S854" i="1" s="1"/>
  <c r="T854" i="1"/>
  <c r="U854" i="1"/>
  <c r="E855" i="1"/>
  <c r="F855" i="1"/>
  <c r="P855" i="1"/>
  <c r="S855" i="1" s="1"/>
  <c r="T855" i="1"/>
  <c r="U855" i="1"/>
  <c r="E856" i="1"/>
  <c r="F856" i="1"/>
  <c r="P856" i="1"/>
  <c r="S856" i="1" s="1"/>
  <c r="Q856" i="1"/>
  <c r="T856" i="1"/>
  <c r="U856" i="1"/>
  <c r="E858" i="1"/>
  <c r="F858" i="1"/>
  <c r="P858" i="1"/>
  <c r="S858" i="1" s="1"/>
  <c r="T858" i="1"/>
  <c r="U858" i="1"/>
  <c r="E859" i="1"/>
  <c r="F859" i="1"/>
  <c r="P859" i="1"/>
  <c r="S859" i="1" s="1"/>
  <c r="T859" i="1"/>
  <c r="U859" i="1"/>
  <c r="E860" i="1"/>
  <c r="F860" i="1"/>
  <c r="P860" i="1"/>
  <c r="S860" i="1" s="1"/>
  <c r="Q860" i="1"/>
  <c r="T860" i="1"/>
  <c r="U860" i="1"/>
  <c r="E862" i="1"/>
  <c r="F862" i="1"/>
  <c r="P862" i="1"/>
  <c r="S862" i="1" s="1"/>
  <c r="T862" i="1"/>
  <c r="U862" i="1"/>
  <c r="E863" i="1"/>
  <c r="F863" i="1"/>
  <c r="P863" i="1"/>
  <c r="S863" i="1" s="1"/>
  <c r="T863" i="1"/>
  <c r="U863" i="1"/>
  <c r="E864" i="1"/>
  <c r="F864" i="1"/>
  <c r="P864" i="1"/>
  <c r="S864" i="1" s="1"/>
  <c r="T864" i="1"/>
  <c r="U864" i="1"/>
  <c r="E865" i="1"/>
  <c r="F865" i="1"/>
  <c r="P865" i="1"/>
  <c r="S865" i="1" s="1"/>
  <c r="T865" i="1"/>
  <c r="U865" i="1"/>
  <c r="E866" i="1"/>
  <c r="F866" i="1"/>
  <c r="P866" i="1"/>
  <c r="S866" i="1" s="1"/>
  <c r="T866" i="1"/>
  <c r="U866" i="1"/>
  <c r="E867" i="1"/>
  <c r="F867" i="1"/>
  <c r="P867" i="1"/>
  <c r="S867" i="1" s="1"/>
  <c r="T867" i="1"/>
  <c r="U867" i="1"/>
  <c r="E868" i="1"/>
  <c r="F868" i="1"/>
  <c r="G868" i="1"/>
  <c r="O868" i="1" s="1"/>
  <c r="Q868" i="1"/>
  <c r="P870" i="1"/>
  <c r="S870" i="1" s="1"/>
  <c r="Q870" i="1"/>
  <c r="T870" i="1" s="1"/>
  <c r="U870" i="1"/>
  <c r="P871" i="1"/>
  <c r="S871" i="1" s="1"/>
  <c r="Q871" i="1"/>
  <c r="T871" i="1" s="1"/>
  <c r="U871" i="1"/>
  <c r="E873" i="1"/>
  <c r="F873" i="1"/>
  <c r="P873" i="1"/>
  <c r="S873" i="1" s="1"/>
  <c r="T873" i="1"/>
  <c r="U873" i="1"/>
  <c r="E874" i="1"/>
  <c r="F874" i="1"/>
  <c r="P874" i="1"/>
  <c r="S874" i="1" s="1"/>
  <c r="T874" i="1"/>
  <c r="U874" i="1"/>
  <c r="E875" i="1"/>
  <c r="F875" i="1"/>
  <c r="P875" i="1"/>
  <c r="S875" i="1" s="1"/>
  <c r="T875" i="1"/>
  <c r="U875" i="1"/>
  <c r="E876" i="1"/>
  <c r="F876" i="1"/>
  <c r="P876" i="1"/>
  <c r="S876" i="1" s="1"/>
  <c r="T876" i="1"/>
  <c r="U876" i="1"/>
  <c r="E877" i="1"/>
  <c r="F877" i="1"/>
  <c r="P877" i="1"/>
  <c r="S877" i="1" s="1"/>
  <c r="T877" i="1"/>
  <c r="U877" i="1"/>
  <c r="E878" i="1"/>
  <c r="F878" i="1"/>
  <c r="P878" i="1"/>
  <c r="S878" i="1" s="1"/>
  <c r="T878" i="1"/>
  <c r="U878" i="1"/>
  <c r="E879" i="1"/>
  <c r="F879" i="1"/>
  <c r="P879" i="1"/>
  <c r="S879" i="1" s="1"/>
  <c r="T879" i="1"/>
  <c r="U879" i="1"/>
  <c r="E880" i="1"/>
  <c r="F880" i="1"/>
  <c r="G880" i="1"/>
  <c r="O880" i="1" s="1"/>
  <c r="Q880" i="1"/>
  <c r="E881" i="1"/>
  <c r="F881" i="1"/>
  <c r="Q881" i="1"/>
  <c r="E883" i="1"/>
  <c r="F883" i="1"/>
  <c r="P883" i="1"/>
  <c r="S883" i="1" s="1"/>
  <c r="T883" i="1"/>
  <c r="U883" i="1"/>
  <c r="E884" i="1"/>
  <c r="F884" i="1"/>
  <c r="P884" i="1"/>
  <c r="S884" i="1" s="1"/>
  <c r="T884" i="1"/>
  <c r="U884" i="1"/>
  <c r="E885" i="1"/>
  <c r="F885" i="1"/>
  <c r="P885" i="1"/>
  <c r="S885" i="1" s="1"/>
  <c r="T885" i="1"/>
  <c r="U885" i="1"/>
  <c r="E886" i="1"/>
  <c r="F886" i="1"/>
  <c r="G886" i="1"/>
  <c r="T886" i="1" s="1"/>
  <c r="P886" i="1"/>
  <c r="E887" i="1"/>
  <c r="F887" i="1"/>
  <c r="P887" i="1"/>
  <c r="S887" i="1" s="1"/>
  <c r="T887" i="1"/>
  <c r="U887" i="1"/>
  <c r="E888" i="1"/>
  <c r="F888" i="1"/>
  <c r="P888" i="1"/>
  <c r="S888" i="1" s="1"/>
  <c r="T888" i="1"/>
  <c r="U888" i="1"/>
  <c r="E889" i="1"/>
  <c r="F889" i="1"/>
  <c r="G889" i="1"/>
  <c r="Q889" i="1"/>
  <c r="E891" i="1"/>
  <c r="F891" i="1"/>
  <c r="P891" i="1"/>
  <c r="S891" i="1" s="1"/>
  <c r="T891" i="1"/>
  <c r="U891" i="1"/>
  <c r="E892" i="1"/>
  <c r="F892" i="1"/>
  <c r="P892" i="1"/>
  <c r="S892" i="1" s="1"/>
  <c r="T892" i="1"/>
  <c r="U892" i="1"/>
  <c r="E893" i="1"/>
  <c r="F893" i="1"/>
  <c r="P893" i="1"/>
  <c r="S893" i="1" s="1"/>
  <c r="T893" i="1"/>
  <c r="U893" i="1"/>
  <c r="E894" i="1"/>
  <c r="F894" i="1"/>
  <c r="G894" i="1"/>
  <c r="O894" i="1" s="1"/>
  <c r="P894" i="1"/>
  <c r="E895" i="1"/>
  <c r="F895" i="1"/>
  <c r="P895" i="1"/>
  <c r="S895" i="1" s="1"/>
  <c r="T895" i="1"/>
  <c r="U895" i="1"/>
  <c r="E896" i="1"/>
  <c r="F896" i="1"/>
  <c r="P896" i="1"/>
  <c r="S896" i="1" s="1"/>
  <c r="T896" i="1"/>
  <c r="U896" i="1"/>
  <c r="E897" i="1"/>
  <c r="F897" i="1"/>
  <c r="P897" i="1"/>
  <c r="S897" i="1" s="1"/>
  <c r="T897" i="1"/>
  <c r="U897" i="1"/>
  <c r="E898" i="1"/>
  <c r="F898" i="1"/>
  <c r="G898" i="1"/>
  <c r="S898" i="1" s="1"/>
  <c r="Q898" i="1"/>
  <c r="E899" i="1"/>
  <c r="F899" i="1"/>
  <c r="Q899" i="1"/>
  <c r="E901" i="1"/>
  <c r="F901" i="1"/>
  <c r="P901" i="1"/>
  <c r="S901" i="1" s="1"/>
  <c r="T901" i="1"/>
  <c r="U901" i="1"/>
  <c r="E902" i="1"/>
  <c r="F902" i="1"/>
  <c r="P902" i="1"/>
  <c r="S902" i="1" s="1"/>
  <c r="T902" i="1"/>
  <c r="U902" i="1"/>
  <c r="E903" i="1"/>
  <c r="F903" i="1"/>
  <c r="P903" i="1"/>
  <c r="S903" i="1" s="1"/>
  <c r="T903" i="1"/>
  <c r="U903" i="1"/>
  <c r="E904" i="1"/>
  <c r="F904" i="1"/>
  <c r="P904" i="1"/>
  <c r="S904" i="1" s="1"/>
  <c r="T904" i="1"/>
  <c r="U904" i="1"/>
  <c r="E905" i="1"/>
  <c r="F905" i="1"/>
  <c r="P905" i="1"/>
  <c r="S905" i="1" s="1"/>
  <c r="T905" i="1"/>
  <c r="U905" i="1"/>
  <c r="E906" i="1"/>
  <c r="F906" i="1"/>
  <c r="P906" i="1"/>
  <c r="S906" i="1" s="1"/>
  <c r="T906" i="1"/>
  <c r="U906" i="1"/>
  <c r="E907" i="1"/>
  <c r="F907" i="1"/>
  <c r="G907" i="1"/>
  <c r="O907" i="1" s="1"/>
  <c r="Q907" i="1"/>
  <c r="F909" i="1"/>
  <c r="P909" i="1"/>
  <c r="S909" i="1" s="1"/>
  <c r="Q909" i="1"/>
  <c r="T909" i="1" s="1"/>
  <c r="U909" i="1"/>
  <c r="E910" i="1"/>
  <c r="F910" i="1"/>
  <c r="P910" i="1"/>
  <c r="S910" i="1" s="1"/>
  <c r="Q910" i="1"/>
  <c r="T910" i="1" s="1"/>
  <c r="U910" i="1"/>
  <c r="E912" i="1"/>
  <c r="F912" i="1"/>
  <c r="P912" i="1"/>
  <c r="S912" i="1" s="1"/>
  <c r="T912" i="1"/>
  <c r="U912" i="1"/>
  <c r="E913" i="1"/>
  <c r="F913" i="1"/>
  <c r="P913" i="1"/>
  <c r="S913" i="1" s="1"/>
  <c r="T913" i="1"/>
  <c r="U913" i="1"/>
  <c r="E914" i="1"/>
  <c r="F914" i="1"/>
  <c r="P914" i="1"/>
  <c r="S914" i="1" s="1"/>
  <c r="T914" i="1"/>
  <c r="U914" i="1"/>
  <c r="E915" i="1"/>
  <c r="F915" i="1"/>
  <c r="O915" i="1"/>
  <c r="P915" i="1"/>
  <c r="E916" i="1"/>
  <c r="F916" i="1"/>
  <c r="P916" i="1"/>
  <c r="S916" i="1" s="1"/>
  <c r="T916" i="1"/>
  <c r="U916" i="1"/>
  <c r="E917" i="1"/>
  <c r="F917" i="1"/>
  <c r="P917" i="1"/>
  <c r="S917" i="1" s="1"/>
  <c r="T917" i="1"/>
  <c r="U917" i="1"/>
  <c r="E918" i="1"/>
  <c r="F918" i="1"/>
  <c r="G918" i="1"/>
  <c r="O918" i="1" s="1"/>
  <c r="P918" i="1"/>
  <c r="Q918" i="1"/>
  <c r="E920" i="1"/>
  <c r="F920" i="1"/>
  <c r="P920" i="1"/>
  <c r="S920" i="1" s="1"/>
  <c r="Q920" i="1"/>
  <c r="T920" i="1" s="1"/>
  <c r="U920" i="1"/>
  <c r="E921" i="1"/>
  <c r="F921" i="1"/>
  <c r="P921" i="1"/>
  <c r="S921" i="1" s="1"/>
  <c r="Q921" i="1"/>
  <c r="T921" i="1" s="1"/>
  <c r="U921" i="1"/>
  <c r="E923" i="1"/>
  <c r="F923" i="1"/>
  <c r="P923" i="1"/>
  <c r="S923" i="1" s="1"/>
  <c r="T923" i="1"/>
  <c r="U923" i="1"/>
  <c r="E924" i="1"/>
  <c r="F924" i="1"/>
  <c r="P924" i="1"/>
  <c r="S924" i="1" s="1"/>
  <c r="T924" i="1"/>
  <c r="U924" i="1"/>
  <c r="E925" i="1"/>
  <c r="F925" i="1"/>
  <c r="P925" i="1"/>
  <c r="S925" i="1" s="1"/>
  <c r="T925" i="1"/>
  <c r="U925" i="1"/>
  <c r="E926" i="1"/>
  <c r="F926" i="1"/>
  <c r="O926" i="1"/>
  <c r="P926" i="1"/>
  <c r="E927" i="1"/>
  <c r="F927" i="1"/>
  <c r="P927" i="1"/>
  <c r="S927" i="1" s="1"/>
  <c r="T927" i="1"/>
  <c r="U927" i="1"/>
  <c r="E928" i="1"/>
  <c r="F928" i="1"/>
  <c r="P928" i="1"/>
  <c r="S928" i="1" s="1"/>
  <c r="T928" i="1"/>
  <c r="U928" i="1"/>
  <c r="E929" i="1"/>
  <c r="F929" i="1"/>
  <c r="P929" i="1"/>
  <c r="S929" i="1" s="1"/>
  <c r="T929" i="1"/>
  <c r="U929" i="1"/>
  <c r="E930" i="1"/>
  <c r="F930" i="1"/>
  <c r="Q930" i="1"/>
  <c r="T930" i="1" s="1"/>
  <c r="S930" i="1"/>
  <c r="U930" i="1"/>
  <c r="E931" i="1"/>
  <c r="F931" i="1"/>
  <c r="Q931" i="1"/>
  <c r="T931" i="1" s="1"/>
  <c r="S931" i="1"/>
  <c r="U931" i="1"/>
  <c r="E933" i="1"/>
  <c r="F933" i="1"/>
  <c r="P933" i="1"/>
  <c r="S933" i="1" s="1"/>
  <c r="T933" i="1"/>
  <c r="U933" i="1"/>
  <c r="E934" i="1"/>
  <c r="F934" i="1"/>
  <c r="P934" i="1"/>
  <c r="S934" i="1" s="1"/>
  <c r="T934" i="1"/>
  <c r="U934" i="1"/>
  <c r="E935" i="1"/>
  <c r="F935" i="1"/>
  <c r="P935" i="1"/>
  <c r="S935" i="1" s="1"/>
  <c r="T935" i="1"/>
  <c r="U935" i="1"/>
  <c r="E936" i="1"/>
  <c r="F936" i="1"/>
  <c r="P936" i="1"/>
  <c r="S936" i="1" s="1"/>
  <c r="T936" i="1"/>
  <c r="U936" i="1"/>
  <c r="E937" i="1"/>
  <c r="F937" i="1"/>
  <c r="P937" i="1"/>
  <c r="S937" i="1" s="1"/>
  <c r="T937" i="1"/>
  <c r="U937" i="1"/>
  <c r="E938" i="1"/>
  <c r="F938" i="1"/>
  <c r="P938" i="1"/>
  <c r="S938" i="1" s="1"/>
  <c r="T938" i="1"/>
  <c r="U938" i="1"/>
  <c r="E939" i="1"/>
  <c r="F939" i="1"/>
  <c r="Q939" i="1"/>
  <c r="T939" i="1" s="1"/>
  <c r="S939" i="1"/>
  <c r="U939" i="1"/>
  <c r="E941" i="1"/>
  <c r="F941" i="1"/>
  <c r="P941" i="1"/>
  <c r="S941" i="1" s="1"/>
  <c r="T941" i="1"/>
  <c r="U941" i="1"/>
  <c r="E942" i="1"/>
  <c r="F942" i="1"/>
  <c r="P942" i="1"/>
  <c r="S942" i="1" s="1"/>
  <c r="T942" i="1"/>
  <c r="U942" i="1"/>
  <c r="E943" i="1"/>
  <c r="F943" i="1"/>
  <c r="P943" i="1"/>
  <c r="S943" i="1" s="1"/>
  <c r="T943" i="1"/>
  <c r="U943" i="1"/>
  <c r="E944" i="1"/>
  <c r="F944" i="1"/>
  <c r="P944" i="1"/>
  <c r="S944" i="1" s="1"/>
  <c r="T944" i="1"/>
  <c r="U944" i="1"/>
  <c r="E945" i="1"/>
  <c r="F945" i="1"/>
  <c r="P945" i="1"/>
  <c r="S945" i="1" s="1"/>
  <c r="T945" i="1"/>
  <c r="U945" i="1"/>
  <c r="E946" i="1"/>
  <c r="F946" i="1"/>
  <c r="P946" i="1"/>
  <c r="S946" i="1" s="1"/>
  <c r="T946" i="1"/>
  <c r="U946" i="1"/>
  <c r="E947" i="1"/>
  <c r="F947" i="1"/>
  <c r="G947" i="1"/>
  <c r="O947" i="1" s="1"/>
  <c r="Q947" i="1"/>
  <c r="E949" i="1"/>
  <c r="F949" i="1"/>
  <c r="P949" i="1"/>
  <c r="S949" i="1" s="1"/>
  <c r="T949" i="1"/>
  <c r="U949" i="1"/>
  <c r="E950" i="1"/>
  <c r="F950" i="1"/>
  <c r="P950" i="1"/>
  <c r="S950" i="1" s="1"/>
  <c r="T950" i="1"/>
  <c r="U950" i="1"/>
  <c r="E951" i="1"/>
  <c r="F951" i="1"/>
  <c r="P951" i="1"/>
  <c r="S951" i="1" s="1"/>
  <c r="T951" i="1"/>
  <c r="U951" i="1"/>
  <c r="E952" i="1"/>
  <c r="F952" i="1"/>
  <c r="P952" i="1"/>
  <c r="S952" i="1" s="1"/>
  <c r="T952" i="1"/>
  <c r="U952" i="1"/>
  <c r="E953" i="1"/>
  <c r="F953" i="1"/>
  <c r="P953" i="1"/>
  <c r="S953" i="1" s="1"/>
  <c r="T953" i="1"/>
  <c r="U953" i="1"/>
  <c r="E954" i="1"/>
  <c r="F954" i="1"/>
  <c r="P954" i="1"/>
  <c r="S954" i="1" s="1"/>
  <c r="T954" i="1"/>
  <c r="U954" i="1"/>
  <c r="E955" i="1"/>
  <c r="F955" i="1"/>
  <c r="P955" i="1"/>
  <c r="S955" i="1" s="1"/>
  <c r="T955" i="1"/>
  <c r="U955" i="1"/>
  <c r="E956" i="1"/>
  <c r="F956" i="1"/>
  <c r="Q956" i="1"/>
  <c r="T956" i="1" s="1"/>
  <c r="S956" i="1"/>
  <c r="U956" i="1"/>
  <c r="E957" i="1"/>
  <c r="F957" i="1"/>
  <c r="Q957" i="1"/>
  <c r="T957" i="1" s="1"/>
  <c r="S957" i="1"/>
  <c r="U957" i="1"/>
  <c r="E959" i="1"/>
  <c r="F959" i="1"/>
  <c r="P959" i="1"/>
  <c r="S959" i="1" s="1"/>
  <c r="T959" i="1"/>
  <c r="U959" i="1"/>
  <c r="E960" i="1"/>
  <c r="F960" i="1"/>
  <c r="P960" i="1"/>
  <c r="S960" i="1" s="1"/>
  <c r="T960" i="1"/>
  <c r="U960" i="1"/>
  <c r="E961" i="1"/>
  <c r="F961" i="1"/>
  <c r="P961" i="1"/>
  <c r="S961" i="1" s="1"/>
  <c r="T961" i="1"/>
  <c r="U961" i="1"/>
  <c r="E962" i="1"/>
  <c r="F962" i="1"/>
  <c r="P962" i="1"/>
  <c r="S962" i="1" s="1"/>
  <c r="T962" i="1"/>
  <c r="U962" i="1"/>
  <c r="E963" i="1"/>
  <c r="F963" i="1"/>
  <c r="P963" i="1"/>
  <c r="S963" i="1" s="1"/>
  <c r="T963" i="1"/>
  <c r="U963" i="1"/>
  <c r="E964" i="1"/>
  <c r="F964" i="1"/>
  <c r="P964" i="1"/>
  <c r="S964" i="1" s="1"/>
  <c r="T964" i="1"/>
  <c r="U964" i="1"/>
  <c r="E965" i="1"/>
  <c r="F965" i="1"/>
  <c r="Q965" i="1"/>
  <c r="T965" i="1" s="1"/>
  <c r="S965" i="1"/>
  <c r="U965" i="1"/>
  <c r="E967" i="1"/>
  <c r="F967" i="1"/>
  <c r="P967" i="1"/>
  <c r="S967" i="1" s="1"/>
  <c r="T967" i="1"/>
  <c r="U967" i="1"/>
  <c r="E968" i="1"/>
  <c r="F968" i="1"/>
  <c r="P968" i="1"/>
  <c r="S968" i="1" s="1"/>
  <c r="T968" i="1"/>
  <c r="U968" i="1"/>
  <c r="E969" i="1"/>
  <c r="F969" i="1"/>
  <c r="P969" i="1"/>
  <c r="S969" i="1" s="1"/>
  <c r="T969" i="1"/>
  <c r="U969" i="1"/>
  <c r="E970" i="1"/>
  <c r="F970" i="1"/>
  <c r="P970" i="1"/>
  <c r="S970" i="1" s="1"/>
  <c r="T970" i="1"/>
  <c r="U970" i="1"/>
  <c r="E971" i="1"/>
  <c r="F971" i="1"/>
  <c r="P971" i="1"/>
  <c r="S971" i="1" s="1"/>
  <c r="T971" i="1"/>
  <c r="U971" i="1"/>
  <c r="E972" i="1"/>
  <c r="F972" i="1"/>
  <c r="Q972" i="1"/>
  <c r="T972" i="1" s="1"/>
  <c r="S972" i="1"/>
  <c r="U972" i="1"/>
  <c r="F974" i="1"/>
  <c r="P974" i="1"/>
  <c r="S974" i="1" s="1"/>
  <c r="T974" i="1"/>
  <c r="U974" i="1"/>
  <c r="E975" i="1"/>
  <c r="F975" i="1"/>
  <c r="P975" i="1"/>
  <c r="S975" i="1" s="1"/>
  <c r="T975" i="1"/>
  <c r="U975" i="1"/>
  <c r="E976" i="1"/>
  <c r="F976" i="1"/>
  <c r="P976" i="1"/>
  <c r="S976" i="1" s="1"/>
  <c r="T976" i="1"/>
  <c r="U976" i="1"/>
  <c r="E977" i="1"/>
  <c r="F977" i="1"/>
  <c r="P977" i="1"/>
  <c r="S977" i="1" s="1"/>
  <c r="T977" i="1"/>
  <c r="U977" i="1"/>
  <c r="E978" i="1"/>
  <c r="F978" i="1"/>
  <c r="P978" i="1"/>
  <c r="S978" i="1" s="1"/>
  <c r="T978" i="1"/>
  <c r="U978" i="1"/>
  <c r="E979" i="1"/>
  <c r="F979" i="1"/>
  <c r="Q979" i="1"/>
  <c r="T979" i="1" s="1"/>
  <c r="S979" i="1"/>
  <c r="U979" i="1"/>
  <c r="F981" i="1"/>
  <c r="P981" i="1"/>
  <c r="S981" i="1" s="1"/>
  <c r="T981" i="1"/>
  <c r="U981" i="1"/>
  <c r="E982" i="1"/>
  <c r="F982" i="1"/>
  <c r="P982" i="1"/>
  <c r="S982" i="1" s="1"/>
  <c r="T982" i="1"/>
  <c r="U982" i="1"/>
  <c r="E983" i="1"/>
  <c r="F983" i="1"/>
  <c r="P983" i="1"/>
  <c r="S983" i="1" s="1"/>
  <c r="T983" i="1"/>
  <c r="U983" i="1"/>
  <c r="T984" i="1"/>
  <c r="U984" i="1"/>
  <c r="E985" i="1"/>
  <c r="F985" i="1"/>
  <c r="P985" i="1"/>
  <c r="S985" i="1" s="1"/>
  <c r="T985" i="1"/>
  <c r="U985" i="1"/>
  <c r="E986" i="1"/>
  <c r="F986" i="1"/>
  <c r="P986" i="1"/>
  <c r="S986" i="1" s="1"/>
  <c r="T986" i="1"/>
  <c r="U986" i="1"/>
  <c r="E987" i="1"/>
  <c r="F987" i="1"/>
  <c r="P987" i="1"/>
  <c r="S987" i="1" s="1"/>
  <c r="Q987" i="1"/>
  <c r="T987" i="1" s="1"/>
  <c r="U987" i="1"/>
  <c r="E988" i="1"/>
  <c r="F988" i="1"/>
  <c r="P988" i="1"/>
  <c r="S988" i="1" s="1"/>
  <c r="T988" i="1"/>
  <c r="U988" i="1"/>
  <c r="E989" i="1"/>
  <c r="F989" i="1"/>
  <c r="P989" i="1"/>
  <c r="S989" i="1" s="1"/>
  <c r="T989" i="1"/>
  <c r="U989" i="1"/>
  <c r="E990" i="1"/>
  <c r="F990" i="1"/>
  <c r="Q990" i="1"/>
  <c r="T990" i="1" s="1"/>
  <c r="S990" i="1"/>
  <c r="U990" i="1"/>
  <c r="E991" i="1"/>
  <c r="F991" i="1"/>
  <c r="Q991" i="1"/>
  <c r="T991" i="1" s="1"/>
  <c r="S991" i="1"/>
  <c r="U991" i="1"/>
  <c r="F993" i="1"/>
  <c r="P993" i="1"/>
  <c r="S993" i="1" s="1"/>
  <c r="T993" i="1"/>
  <c r="U993" i="1"/>
  <c r="E994" i="1"/>
  <c r="F994" i="1"/>
  <c r="P994" i="1"/>
  <c r="S994" i="1" s="1"/>
  <c r="T994" i="1"/>
  <c r="U994" i="1"/>
  <c r="E995" i="1"/>
  <c r="F995" i="1"/>
  <c r="P995" i="1"/>
  <c r="S995" i="1" s="1"/>
  <c r="T995" i="1"/>
  <c r="U995" i="1"/>
  <c r="T996" i="1"/>
  <c r="U996" i="1"/>
  <c r="E997" i="1"/>
  <c r="F997" i="1"/>
  <c r="P997" i="1"/>
  <c r="S997" i="1" s="1"/>
  <c r="T997" i="1"/>
  <c r="U997" i="1"/>
  <c r="E998" i="1"/>
  <c r="F998" i="1"/>
  <c r="P998" i="1"/>
  <c r="S998" i="1" s="1"/>
  <c r="T998" i="1"/>
  <c r="U998" i="1"/>
  <c r="E999" i="1"/>
  <c r="F999" i="1"/>
  <c r="P999" i="1"/>
  <c r="S999" i="1" s="1"/>
  <c r="T999" i="1"/>
  <c r="U999" i="1"/>
  <c r="E1000" i="1"/>
  <c r="F1000" i="1"/>
  <c r="P1000" i="1"/>
  <c r="S1000" i="1" s="1"/>
  <c r="Q1000" i="1"/>
  <c r="T1000" i="1" s="1"/>
  <c r="U1000" i="1"/>
  <c r="E1001" i="1"/>
  <c r="F1001" i="1"/>
  <c r="P1001" i="1"/>
  <c r="S1001" i="1" s="1"/>
  <c r="T1001" i="1"/>
  <c r="U1001" i="1"/>
  <c r="E1002" i="1"/>
  <c r="F1002" i="1"/>
  <c r="P1002" i="1"/>
  <c r="S1002" i="1" s="1"/>
  <c r="T1002" i="1"/>
  <c r="U1002" i="1"/>
  <c r="E1003" i="1"/>
  <c r="F1003" i="1"/>
  <c r="Q1003" i="1"/>
  <c r="T1003" i="1" s="1"/>
  <c r="S1003" i="1"/>
  <c r="U1003" i="1"/>
  <c r="E1004" i="1"/>
  <c r="F1004" i="1"/>
  <c r="Q1004" i="1"/>
  <c r="T1004" i="1" s="1"/>
  <c r="S1004" i="1"/>
  <c r="U1004" i="1"/>
  <c r="E1005" i="1"/>
  <c r="F1005" i="1"/>
  <c r="Q1005" i="1"/>
  <c r="T1005" i="1" s="1"/>
  <c r="S1005" i="1"/>
  <c r="U1005" i="1"/>
  <c r="F1007" i="1"/>
  <c r="P1007" i="1"/>
  <c r="S1007" i="1" s="1"/>
  <c r="T1007" i="1"/>
  <c r="U1007" i="1"/>
  <c r="F1008" i="1"/>
  <c r="P1008" i="1"/>
  <c r="S1008" i="1" s="1"/>
  <c r="T1008" i="1"/>
  <c r="U1008" i="1"/>
  <c r="E1009" i="1"/>
  <c r="F1009" i="1"/>
  <c r="P1009" i="1"/>
  <c r="S1009" i="1" s="1"/>
  <c r="T1009" i="1"/>
  <c r="U1009" i="1"/>
  <c r="E1010" i="1"/>
  <c r="F1010" i="1"/>
  <c r="P1010" i="1"/>
  <c r="S1010" i="1" s="1"/>
  <c r="T1010" i="1"/>
  <c r="U1010" i="1"/>
  <c r="T1011" i="1"/>
  <c r="U1011" i="1"/>
  <c r="E1012" i="1"/>
  <c r="F1012" i="1"/>
  <c r="P1012" i="1"/>
  <c r="S1012" i="1" s="1"/>
  <c r="T1012" i="1"/>
  <c r="U1012" i="1"/>
  <c r="E1013" i="1"/>
  <c r="F1013" i="1"/>
  <c r="P1013" i="1"/>
  <c r="S1013" i="1" s="1"/>
  <c r="T1013" i="1"/>
  <c r="U1013" i="1"/>
  <c r="E1014" i="1"/>
  <c r="F1014" i="1"/>
  <c r="P1014" i="1"/>
  <c r="S1014" i="1" s="1"/>
  <c r="Q1014" i="1"/>
  <c r="T1014" i="1" s="1"/>
  <c r="U1014" i="1"/>
  <c r="E1015" i="1"/>
  <c r="F1015" i="1"/>
  <c r="P1015" i="1"/>
  <c r="S1015" i="1" s="1"/>
  <c r="T1015" i="1"/>
  <c r="U1015" i="1"/>
  <c r="E1016" i="1"/>
  <c r="F1016" i="1"/>
  <c r="P1016" i="1"/>
  <c r="S1016" i="1" s="1"/>
  <c r="T1016" i="1"/>
  <c r="U1016" i="1"/>
  <c r="E1017" i="1"/>
  <c r="F1017" i="1"/>
  <c r="Q1017" i="1"/>
  <c r="T1017" i="1" s="1"/>
  <c r="S1017" i="1"/>
  <c r="U1017" i="1"/>
  <c r="E1018" i="1"/>
  <c r="F1018" i="1"/>
  <c r="Q1018" i="1"/>
  <c r="T1018" i="1" s="1"/>
  <c r="S1018" i="1"/>
  <c r="U1018" i="1"/>
  <c r="F1020" i="1"/>
  <c r="P1020" i="1"/>
  <c r="S1020" i="1" s="1"/>
  <c r="T1020" i="1"/>
  <c r="U1020" i="1"/>
  <c r="E1021" i="1"/>
  <c r="F1021" i="1"/>
  <c r="P1021" i="1"/>
  <c r="S1021" i="1" s="1"/>
  <c r="T1021" i="1"/>
  <c r="U1021" i="1"/>
  <c r="E1022" i="1"/>
  <c r="F1022" i="1"/>
  <c r="P1022" i="1"/>
  <c r="S1022" i="1" s="1"/>
  <c r="T1022" i="1"/>
  <c r="U1022" i="1"/>
  <c r="T1023" i="1"/>
  <c r="U1023" i="1"/>
  <c r="E1024" i="1"/>
  <c r="F1024" i="1"/>
  <c r="P1024" i="1"/>
  <c r="S1024" i="1" s="1"/>
  <c r="T1024" i="1"/>
  <c r="U1024" i="1"/>
  <c r="E1025" i="1"/>
  <c r="F1025" i="1"/>
  <c r="P1025" i="1"/>
  <c r="S1025" i="1" s="1"/>
  <c r="T1025" i="1"/>
  <c r="U1025" i="1"/>
  <c r="E1026" i="1"/>
  <c r="F1026" i="1"/>
  <c r="P1026" i="1"/>
  <c r="S1026" i="1" s="1"/>
  <c r="Q1026" i="1"/>
  <c r="T1026" i="1" s="1"/>
  <c r="U1026" i="1"/>
  <c r="E1027" i="1"/>
  <c r="F1027" i="1"/>
  <c r="P1027" i="1"/>
  <c r="S1027" i="1" s="1"/>
  <c r="T1027" i="1"/>
  <c r="U1027" i="1"/>
  <c r="E1028" i="1"/>
  <c r="F1028" i="1"/>
  <c r="P1028" i="1"/>
  <c r="S1028" i="1" s="1"/>
  <c r="T1028" i="1"/>
  <c r="U1028" i="1"/>
  <c r="E1029" i="1"/>
  <c r="F1029" i="1"/>
  <c r="G1029" i="1"/>
  <c r="O1029" i="1" s="1"/>
  <c r="Q1029" i="1"/>
  <c r="E1030" i="1"/>
  <c r="F1030" i="1"/>
  <c r="Q1030" i="1"/>
  <c r="T1030" i="1" s="1"/>
  <c r="S1030" i="1"/>
  <c r="U1030" i="1"/>
  <c r="F1032" i="1"/>
  <c r="P1032" i="1"/>
  <c r="S1032" i="1" s="1"/>
  <c r="T1032" i="1"/>
  <c r="U1032" i="1"/>
  <c r="E1033" i="1"/>
  <c r="F1033" i="1"/>
  <c r="P1033" i="1"/>
  <c r="S1033" i="1" s="1"/>
  <c r="T1033" i="1"/>
  <c r="U1033" i="1"/>
  <c r="E1034" i="1"/>
  <c r="F1034" i="1"/>
  <c r="P1034" i="1"/>
  <c r="S1034" i="1" s="1"/>
  <c r="T1034" i="1"/>
  <c r="U1034" i="1"/>
  <c r="T1035" i="1"/>
  <c r="U1035" i="1"/>
  <c r="E1036" i="1"/>
  <c r="F1036" i="1"/>
  <c r="P1036" i="1"/>
  <c r="S1036" i="1" s="1"/>
  <c r="T1036" i="1"/>
  <c r="U1036" i="1"/>
  <c r="E1037" i="1"/>
  <c r="F1037" i="1"/>
  <c r="P1037" i="1"/>
  <c r="S1037" i="1" s="1"/>
  <c r="T1037" i="1"/>
  <c r="U1037" i="1"/>
  <c r="E1038" i="1"/>
  <c r="F1038" i="1"/>
  <c r="P1038" i="1"/>
  <c r="S1038" i="1" s="1"/>
  <c r="T1038" i="1"/>
  <c r="U1038" i="1"/>
  <c r="E1039" i="1"/>
  <c r="F1039" i="1"/>
  <c r="P1039" i="1"/>
  <c r="S1039" i="1" s="1"/>
  <c r="Q1039" i="1"/>
  <c r="T1039" i="1" s="1"/>
  <c r="U1039" i="1"/>
  <c r="E1040" i="1"/>
  <c r="F1040" i="1"/>
  <c r="P1040" i="1"/>
  <c r="S1040" i="1" s="1"/>
  <c r="T1040" i="1"/>
  <c r="U1040" i="1"/>
  <c r="E1041" i="1"/>
  <c r="F1041" i="1"/>
  <c r="P1041" i="1"/>
  <c r="S1041" i="1" s="1"/>
  <c r="T1041" i="1"/>
  <c r="U1041" i="1"/>
  <c r="E1042" i="1"/>
  <c r="F1042" i="1"/>
  <c r="G1042" i="1"/>
  <c r="O1042" i="1" s="1"/>
  <c r="Q1042" i="1"/>
  <c r="E1043" i="1"/>
  <c r="F1043" i="1"/>
  <c r="Q1043" i="1"/>
  <c r="T1043" i="1" s="1"/>
  <c r="S1043" i="1"/>
  <c r="U1043" i="1"/>
  <c r="E1044" i="1"/>
  <c r="F1044" i="1"/>
  <c r="Q1044" i="1"/>
  <c r="F1046" i="1"/>
  <c r="P1046" i="1"/>
  <c r="S1046" i="1" s="1"/>
  <c r="T1046" i="1"/>
  <c r="U1046" i="1"/>
  <c r="F1047" i="1"/>
  <c r="P1047" i="1"/>
  <c r="S1047" i="1" s="1"/>
  <c r="T1047" i="1"/>
  <c r="U1047" i="1"/>
  <c r="E1048" i="1"/>
  <c r="F1048" i="1"/>
  <c r="P1048" i="1"/>
  <c r="S1048" i="1" s="1"/>
  <c r="T1048" i="1"/>
  <c r="U1048" i="1"/>
  <c r="E1049" i="1"/>
  <c r="F1049" i="1"/>
  <c r="P1049" i="1"/>
  <c r="S1049" i="1" s="1"/>
  <c r="T1049" i="1"/>
  <c r="U1049" i="1"/>
  <c r="T1050" i="1"/>
  <c r="U1050" i="1"/>
  <c r="E1051" i="1"/>
  <c r="F1051" i="1"/>
  <c r="P1051" i="1"/>
  <c r="S1051" i="1" s="1"/>
  <c r="T1051" i="1"/>
  <c r="U1051" i="1"/>
  <c r="E1052" i="1"/>
  <c r="F1052" i="1"/>
  <c r="P1052" i="1"/>
  <c r="S1052" i="1" s="1"/>
  <c r="T1052" i="1"/>
  <c r="U1052" i="1"/>
  <c r="E1053" i="1"/>
  <c r="F1053" i="1"/>
  <c r="P1053" i="1"/>
  <c r="S1053" i="1" s="1"/>
  <c r="Q1053" i="1"/>
  <c r="T1053" i="1" s="1"/>
  <c r="U1053" i="1"/>
  <c r="E1054" i="1"/>
  <c r="F1054" i="1"/>
  <c r="P1054" i="1"/>
  <c r="S1054" i="1" s="1"/>
  <c r="T1054" i="1"/>
  <c r="U1054" i="1"/>
  <c r="E1055" i="1"/>
  <c r="F1055" i="1"/>
  <c r="P1055" i="1"/>
  <c r="S1055" i="1" s="1"/>
  <c r="T1055" i="1"/>
  <c r="U1055" i="1"/>
  <c r="E1056" i="1"/>
  <c r="F1056" i="1"/>
  <c r="G1056" i="1"/>
  <c r="O1056" i="1" s="1"/>
  <c r="Q1056" i="1"/>
  <c r="E1057" i="1"/>
  <c r="F1057" i="1"/>
  <c r="Q1057" i="1"/>
  <c r="T1057" i="1" s="1"/>
  <c r="S1057" i="1"/>
  <c r="U1057" i="1"/>
  <c r="F1059" i="1"/>
  <c r="P1059" i="1"/>
  <c r="S1059" i="1" s="1"/>
  <c r="T1059" i="1"/>
  <c r="U1059" i="1"/>
  <c r="E1060" i="1"/>
  <c r="F1060" i="1"/>
  <c r="P1060" i="1"/>
  <c r="S1060" i="1" s="1"/>
  <c r="T1060" i="1"/>
  <c r="U1060" i="1"/>
  <c r="E1061" i="1"/>
  <c r="F1061" i="1"/>
  <c r="P1061" i="1"/>
  <c r="S1061" i="1" s="1"/>
  <c r="T1061" i="1"/>
  <c r="U1061" i="1"/>
  <c r="T1062" i="1"/>
  <c r="U1062" i="1"/>
  <c r="E1063" i="1"/>
  <c r="F1063" i="1"/>
  <c r="P1063" i="1"/>
  <c r="S1063" i="1" s="1"/>
  <c r="T1063" i="1"/>
  <c r="U1063" i="1"/>
  <c r="E1064" i="1"/>
  <c r="F1064" i="1"/>
  <c r="P1064" i="1"/>
  <c r="S1064" i="1" s="1"/>
  <c r="T1064" i="1"/>
  <c r="U1064" i="1"/>
  <c r="E1065" i="1"/>
  <c r="F1065" i="1"/>
  <c r="P1065" i="1"/>
  <c r="S1065" i="1" s="1"/>
  <c r="Q1065" i="1"/>
  <c r="T1065" i="1" s="1"/>
  <c r="U1065" i="1"/>
  <c r="E1066" i="1"/>
  <c r="F1066" i="1"/>
  <c r="P1066" i="1"/>
  <c r="S1066" i="1" s="1"/>
  <c r="T1066" i="1"/>
  <c r="U1066" i="1"/>
  <c r="E1067" i="1"/>
  <c r="F1067" i="1"/>
  <c r="P1067" i="1"/>
  <c r="S1067" i="1" s="1"/>
  <c r="T1067" i="1"/>
  <c r="U1067" i="1"/>
  <c r="E1068" i="1"/>
  <c r="F1068" i="1"/>
  <c r="G1068" i="1"/>
  <c r="U1068" i="1" s="1"/>
  <c r="Q1068" i="1"/>
  <c r="E1069" i="1"/>
  <c r="F1069" i="1"/>
  <c r="Q1069" i="1"/>
  <c r="T1069" i="1" s="1"/>
  <c r="S1069" i="1"/>
  <c r="U1069" i="1"/>
  <c r="F1071" i="1"/>
  <c r="P1071" i="1"/>
  <c r="S1071" i="1" s="1"/>
  <c r="T1071" i="1"/>
  <c r="U1071" i="1"/>
  <c r="E1072" i="1"/>
  <c r="F1072" i="1"/>
  <c r="P1072" i="1"/>
  <c r="S1072" i="1" s="1"/>
  <c r="T1072" i="1"/>
  <c r="U1072" i="1"/>
  <c r="E1073" i="1"/>
  <c r="F1073" i="1"/>
  <c r="P1073" i="1"/>
  <c r="S1073" i="1" s="1"/>
  <c r="T1073" i="1"/>
  <c r="U1073" i="1"/>
  <c r="T1074" i="1"/>
  <c r="U1074" i="1"/>
  <c r="E1075" i="1"/>
  <c r="F1075" i="1"/>
  <c r="P1075" i="1"/>
  <c r="S1075" i="1" s="1"/>
  <c r="T1075" i="1"/>
  <c r="U1075" i="1"/>
  <c r="E1076" i="1"/>
  <c r="F1076" i="1"/>
  <c r="P1076" i="1"/>
  <c r="S1076" i="1" s="1"/>
  <c r="T1076" i="1"/>
  <c r="U1076" i="1"/>
  <c r="E1077" i="1"/>
  <c r="F1077" i="1"/>
  <c r="P1077" i="1"/>
  <c r="S1077" i="1" s="1"/>
  <c r="T1077" i="1"/>
  <c r="U1077" i="1"/>
  <c r="E1078" i="1"/>
  <c r="F1078" i="1"/>
  <c r="P1078" i="1"/>
  <c r="S1078" i="1" s="1"/>
  <c r="Q1078" i="1"/>
  <c r="T1078" i="1" s="1"/>
  <c r="U1078" i="1"/>
  <c r="E1079" i="1"/>
  <c r="F1079" i="1"/>
  <c r="P1079" i="1"/>
  <c r="S1079" i="1" s="1"/>
  <c r="Q1079" i="1"/>
  <c r="T1079" i="1" s="1"/>
  <c r="U1079" i="1"/>
  <c r="E1080" i="1"/>
  <c r="F1080" i="1"/>
  <c r="P1080" i="1"/>
  <c r="S1080" i="1" s="1"/>
  <c r="T1080" i="1"/>
  <c r="U1080" i="1"/>
  <c r="E1081" i="1"/>
  <c r="F1081" i="1"/>
  <c r="P1081" i="1"/>
  <c r="S1081" i="1" s="1"/>
  <c r="T1081" i="1"/>
  <c r="U1081" i="1"/>
  <c r="E1082" i="1"/>
  <c r="F1082" i="1"/>
  <c r="G1082" i="1"/>
  <c r="S1082" i="1" s="1"/>
  <c r="Q1082" i="1"/>
  <c r="E1083" i="1"/>
  <c r="F1083" i="1"/>
  <c r="Q1083" i="1"/>
  <c r="T1083" i="1" s="1"/>
  <c r="S1083" i="1"/>
  <c r="U1083" i="1"/>
  <c r="E1084" i="1"/>
  <c r="F1084" i="1"/>
  <c r="Q1084" i="1"/>
  <c r="F1086" i="1"/>
  <c r="P1086" i="1"/>
  <c r="S1086" i="1" s="1"/>
  <c r="T1086" i="1"/>
  <c r="U1086" i="1"/>
  <c r="F1087" i="1"/>
  <c r="P1087" i="1"/>
  <c r="S1087" i="1" s="1"/>
  <c r="T1087" i="1"/>
  <c r="U1087" i="1"/>
  <c r="E1088" i="1"/>
  <c r="F1088" i="1"/>
  <c r="P1088" i="1"/>
  <c r="S1088" i="1" s="1"/>
  <c r="T1088" i="1"/>
  <c r="U1088" i="1"/>
  <c r="E1089" i="1"/>
  <c r="F1089" i="1"/>
  <c r="P1089" i="1"/>
  <c r="S1089" i="1" s="1"/>
  <c r="T1089" i="1"/>
  <c r="U1089" i="1"/>
  <c r="E1090" i="1"/>
  <c r="F1090" i="1"/>
  <c r="G1090" i="1"/>
  <c r="U1090" i="1" s="1"/>
  <c r="P1090" i="1"/>
  <c r="E1091" i="1"/>
  <c r="F1091" i="1"/>
  <c r="P1091" i="1"/>
  <c r="S1091" i="1" s="1"/>
  <c r="T1091" i="1"/>
  <c r="U1091" i="1"/>
  <c r="E1092" i="1"/>
  <c r="F1092" i="1"/>
  <c r="P1092" i="1"/>
  <c r="S1092" i="1" s="1"/>
  <c r="T1092" i="1"/>
  <c r="U1092" i="1"/>
  <c r="E1093" i="1"/>
  <c r="F1093" i="1"/>
  <c r="P1093" i="1"/>
  <c r="S1093" i="1" s="1"/>
  <c r="Q1093" i="1"/>
  <c r="T1093" i="1" s="1"/>
  <c r="U1093" i="1"/>
  <c r="E1094" i="1"/>
  <c r="F1094" i="1"/>
  <c r="P1094" i="1"/>
  <c r="S1094" i="1" s="1"/>
  <c r="T1094" i="1"/>
  <c r="U1094" i="1"/>
  <c r="E1095" i="1"/>
  <c r="F1095" i="1"/>
  <c r="P1095" i="1"/>
  <c r="S1095" i="1" s="1"/>
  <c r="T1095" i="1"/>
  <c r="U1095" i="1"/>
  <c r="E1096" i="1"/>
  <c r="F1096" i="1"/>
  <c r="G1096" i="1"/>
  <c r="Q1096" i="1"/>
  <c r="E1097" i="1"/>
  <c r="F1097" i="1"/>
  <c r="Q1097" i="1"/>
  <c r="T1097" i="1" s="1"/>
  <c r="S1097" i="1"/>
  <c r="U1097" i="1"/>
  <c r="F1099" i="1"/>
  <c r="P1099" i="1"/>
  <c r="S1099" i="1" s="1"/>
  <c r="T1099" i="1"/>
  <c r="U1099" i="1"/>
  <c r="E1100" i="1"/>
  <c r="F1100" i="1"/>
  <c r="P1100" i="1"/>
  <c r="S1100" i="1" s="1"/>
  <c r="T1100" i="1"/>
  <c r="U1100" i="1"/>
  <c r="E1101" i="1"/>
  <c r="F1101" i="1"/>
  <c r="P1101" i="1"/>
  <c r="S1101" i="1" s="1"/>
  <c r="T1101" i="1"/>
  <c r="U1101" i="1"/>
  <c r="E1102" i="1"/>
  <c r="F1102" i="1"/>
  <c r="P1102" i="1"/>
  <c r="S1102" i="1" s="1"/>
  <c r="T1102" i="1"/>
  <c r="U1102" i="1"/>
  <c r="E1103" i="1"/>
  <c r="F1103" i="1"/>
  <c r="P1103" i="1"/>
  <c r="S1103" i="1" s="1"/>
  <c r="T1103" i="1"/>
  <c r="U1103" i="1"/>
  <c r="E1104" i="1"/>
  <c r="F1104" i="1"/>
  <c r="P1104" i="1"/>
  <c r="S1104" i="1" s="1"/>
  <c r="T1104" i="1"/>
  <c r="U1104" i="1"/>
  <c r="E1105" i="1"/>
  <c r="F1105" i="1"/>
  <c r="P1105" i="1"/>
  <c r="S1105" i="1" s="1"/>
  <c r="Q1105" i="1"/>
  <c r="T1105" i="1" s="1"/>
  <c r="U1105" i="1"/>
  <c r="E1106" i="1"/>
  <c r="F1106" i="1"/>
  <c r="P1106" i="1"/>
  <c r="S1106" i="1" s="1"/>
  <c r="T1106" i="1"/>
  <c r="U1106" i="1"/>
  <c r="E1107" i="1"/>
  <c r="F1107" i="1"/>
  <c r="P1107" i="1"/>
  <c r="S1107" i="1" s="1"/>
  <c r="T1107" i="1"/>
  <c r="U1107" i="1"/>
  <c r="E1108" i="1"/>
  <c r="F1108" i="1"/>
  <c r="G1108" i="1"/>
  <c r="S1108" i="1" s="1"/>
  <c r="Q1108" i="1"/>
  <c r="E1109" i="1"/>
  <c r="F1109" i="1"/>
  <c r="Q1109" i="1"/>
  <c r="T1109" i="1" s="1"/>
  <c r="S1109" i="1"/>
  <c r="U1109" i="1"/>
  <c r="F1111" i="1"/>
  <c r="P1111" i="1"/>
  <c r="S1111" i="1" s="1"/>
  <c r="T1111" i="1"/>
  <c r="U1111" i="1"/>
  <c r="E1112" i="1"/>
  <c r="F1112" i="1"/>
  <c r="P1112" i="1"/>
  <c r="S1112" i="1" s="1"/>
  <c r="T1112" i="1"/>
  <c r="U1112" i="1"/>
  <c r="E1113" i="1"/>
  <c r="F1113" i="1"/>
  <c r="P1113" i="1"/>
  <c r="S1113" i="1" s="1"/>
  <c r="T1113" i="1"/>
  <c r="U1113" i="1"/>
  <c r="T1114" i="1"/>
  <c r="U1114" i="1"/>
  <c r="E1115" i="1"/>
  <c r="F1115" i="1"/>
  <c r="P1115" i="1"/>
  <c r="S1115" i="1" s="1"/>
  <c r="T1115" i="1"/>
  <c r="U1115" i="1"/>
  <c r="E1116" i="1"/>
  <c r="F1116" i="1"/>
  <c r="P1116" i="1"/>
  <c r="S1116" i="1" s="1"/>
  <c r="T1116" i="1"/>
  <c r="U1116" i="1"/>
  <c r="E1117" i="1"/>
  <c r="F1117" i="1"/>
  <c r="P1117" i="1"/>
  <c r="S1117" i="1" s="1"/>
  <c r="Q1117" i="1"/>
  <c r="T1117" i="1" s="1"/>
  <c r="U1117" i="1"/>
  <c r="E1118" i="1"/>
  <c r="F1118" i="1"/>
  <c r="P1118" i="1"/>
  <c r="S1118" i="1" s="1"/>
  <c r="T1118" i="1"/>
  <c r="U1118" i="1"/>
  <c r="E1119" i="1"/>
  <c r="F1119" i="1"/>
  <c r="G1119" i="1"/>
  <c r="U1119" i="1" s="1"/>
  <c r="Q1119" i="1"/>
  <c r="E1120" i="1"/>
  <c r="F1120" i="1"/>
  <c r="Q1120" i="1"/>
  <c r="T1120" i="1" s="1"/>
  <c r="S1120" i="1"/>
  <c r="U1120" i="1"/>
  <c r="F1122" i="1"/>
  <c r="P1122" i="1"/>
  <c r="S1122" i="1" s="1"/>
  <c r="T1122" i="1"/>
  <c r="U1122" i="1"/>
  <c r="E1123" i="1"/>
  <c r="F1123" i="1"/>
  <c r="P1123" i="1"/>
  <c r="S1123" i="1" s="1"/>
  <c r="T1123" i="1"/>
  <c r="U1123" i="1"/>
  <c r="E1124" i="1"/>
  <c r="F1124" i="1"/>
  <c r="P1124" i="1"/>
  <c r="S1124" i="1" s="1"/>
  <c r="T1124" i="1"/>
  <c r="U1124" i="1"/>
  <c r="T1125" i="1"/>
  <c r="U1125" i="1"/>
  <c r="E1126" i="1"/>
  <c r="F1126" i="1"/>
  <c r="P1126" i="1"/>
  <c r="S1126" i="1" s="1"/>
  <c r="T1126" i="1"/>
  <c r="U1126" i="1"/>
  <c r="E1127" i="1"/>
  <c r="F1127" i="1"/>
  <c r="P1127" i="1"/>
  <c r="S1127" i="1" s="1"/>
  <c r="T1127" i="1"/>
  <c r="U1127" i="1"/>
  <c r="E1128" i="1"/>
  <c r="F1128" i="1"/>
  <c r="P1128" i="1"/>
  <c r="S1128" i="1" s="1"/>
  <c r="Q1128" i="1"/>
  <c r="T1128" i="1" s="1"/>
  <c r="U1128" i="1"/>
  <c r="E1129" i="1"/>
  <c r="F1129" i="1"/>
  <c r="P1129" i="1"/>
  <c r="S1129" i="1" s="1"/>
  <c r="T1129" i="1"/>
  <c r="U1129" i="1"/>
  <c r="E1130" i="1"/>
  <c r="F1130" i="1"/>
  <c r="Q1130" i="1"/>
  <c r="T1130" i="1" s="1"/>
  <c r="S1130" i="1"/>
  <c r="U1130" i="1"/>
  <c r="E1131" i="1"/>
  <c r="F1131" i="1"/>
  <c r="Q1131" i="1"/>
  <c r="T1131" i="1" s="1"/>
  <c r="S1131" i="1"/>
  <c r="U1131" i="1"/>
  <c r="E1133" i="1"/>
  <c r="F1133" i="1"/>
  <c r="P1133" i="1"/>
  <c r="S1133" i="1" s="1"/>
  <c r="T1133" i="1"/>
  <c r="U1133" i="1"/>
  <c r="E1134" i="1"/>
  <c r="F1134" i="1"/>
  <c r="P1134" i="1"/>
  <c r="S1134" i="1" s="1"/>
  <c r="T1134" i="1"/>
  <c r="U1134" i="1"/>
  <c r="S1135" i="1"/>
  <c r="U1135" i="1"/>
  <c r="S1136" i="1"/>
  <c r="U1136" i="1"/>
  <c r="E1138" i="1"/>
  <c r="F1138" i="1"/>
  <c r="P1138" i="1"/>
  <c r="S1138" i="1" s="1"/>
  <c r="T1138" i="1"/>
  <c r="U1138" i="1"/>
  <c r="E1139" i="1"/>
  <c r="F1139" i="1"/>
  <c r="P1139" i="1"/>
  <c r="S1139" i="1" s="1"/>
  <c r="T1139" i="1"/>
  <c r="U1139" i="1"/>
  <c r="S1140" i="1"/>
  <c r="U1140" i="1"/>
  <c r="S1141" i="1"/>
  <c r="U1141" i="1"/>
  <c r="E1155" i="1"/>
  <c r="F1155" i="1"/>
  <c r="P1155" i="1"/>
  <c r="S1155" i="1" s="1"/>
  <c r="T1155" i="1"/>
  <c r="U1155" i="1"/>
  <c r="E1156" i="1"/>
  <c r="F1156" i="1"/>
  <c r="P1156" i="1"/>
  <c r="S1156" i="1" s="1"/>
  <c r="T1156" i="1"/>
  <c r="U1156" i="1"/>
  <c r="Q1157" i="1"/>
  <c r="T1157" i="1" s="1"/>
  <c r="S1157" i="1"/>
  <c r="U1157" i="1"/>
  <c r="Q1158" i="1"/>
  <c r="T1158" i="1" s="1"/>
  <c r="S1158" i="1"/>
  <c r="U1158" i="1"/>
  <c r="E1160" i="1"/>
  <c r="F1160" i="1"/>
  <c r="P1160" i="1"/>
  <c r="S1160" i="1" s="1"/>
  <c r="T1160" i="1"/>
  <c r="U1160" i="1"/>
  <c r="E1161" i="1"/>
  <c r="F1161" i="1"/>
  <c r="P1161" i="1"/>
  <c r="S1161" i="1" s="1"/>
  <c r="T1161" i="1"/>
  <c r="U1161" i="1"/>
  <c r="E1162" i="1"/>
  <c r="F1162" i="1"/>
  <c r="P1162" i="1"/>
  <c r="S1162" i="1" s="1"/>
  <c r="Q1162" i="1"/>
  <c r="T1162" i="1" s="1"/>
  <c r="U1162" i="1"/>
  <c r="S1163" i="1"/>
  <c r="U1163" i="1"/>
  <c r="E1164" i="1"/>
  <c r="S1164" i="1"/>
  <c r="U1164" i="1"/>
  <c r="E1166" i="1"/>
  <c r="F1166" i="1"/>
  <c r="P1166" i="1"/>
  <c r="S1166" i="1" s="1"/>
  <c r="T1166" i="1"/>
  <c r="U1166" i="1"/>
  <c r="E1167" i="1"/>
  <c r="F1167" i="1"/>
  <c r="P1167" i="1"/>
  <c r="S1167" i="1" s="1"/>
  <c r="Q1167" i="1"/>
  <c r="T1167" i="1" s="1"/>
  <c r="U1167" i="1"/>
  <c r="E1168" i="1"/>
  <c r="F1168" i="1"/>
  <c r="P1168" i="1"/>
  <c r="S1168" i="1" s="1"/>
  <c r="Q1168" i="1"/>
  <c r="T1168" i="1" s="1"/>
  <c r="U1168" i="1"/>
  <c r="S1169" i="1"/>
  <c r="U1169" i="1"/>
  <c r="S1170" i="1"/>
  <c r="U1170" i="1"/>
  <c r="E1172" i="1"/>
  <c r="F1172" i="1"/>
  <c r="P1172" i="1"/>
  <c r="S1172" i="1" s="1"/>
  <c r="T1172" i="1"/>
  <c r="U1172" i="1"/>
  <c r="E1173" i="1"/>
  <c r="F1173" i="1"/>
  <c r="P1173" i="1"/>
  <c r="S1173" i="1" s="1"/>
  <c r="Q1173" i="1"/>
  <c r="T1173" i="1" s="1"/>
  <c r="U1173" i="1"/>
  <c r="E1174" i="1"/>
  <c r="F1174" i="1"/>
  <c r="P1174" i="1"/>
  <c r="S1174" i="1" s="1"/>
  <c r="Q1174" i="1"/>
  <c r="T1174" i="1" s="1"/>
  <c r="U1174" i="1"/>
  <c r="S1175" i="1"/>
  <c r="U1175" i="1"/>
  <c r="S1176" i="1"/>
  <c r="U1176" i="1"/>
  <c r="E1178" i="1"/>
  <c r="F1178" i="1"/>
  <c r="P1178" i="1"/>
  <c r="S1178" i="1" s="1"/>
  <c r="T1178" i="1"/>
  <c r="U1178" i="1"/>
  <c r="E1179" i="1"/>
  <c r="F1179" i="1"/>
  <c r="P1179" i="1"/>
  <c r="S1179" i="1" s="1"/>
  <c r="Q1179" i="1"/>
  <c r="T1179" i="1" s="1"/>
  <c r="U1179" i="1"/>
  <c r="E1180" i="1"/>
  <c r="F1180" i="1"/>
  <c r="P1180" i="1"/>
  <c r="S1180" i="1" s="1"/>
  <c r="Q1180" i="1"/>
  <c r="T1180" i="1" s="1"/>
  <c r="U1180" i="1"/>
  <c r="S1181" i="1"/>
  <c r="U1181" i="1"/>
  <c r="Q1182" i="1"/>
  <c r="T1182" i="1" s="1"/>
  <c r="S1182" i="1"/>
  <c r="U1182" i="1"/>
  <c r="E1184" i="1"/>
  <c r="F1184" i="1"/>
  <c r="P1184" i="1"/>
  <c r="S1184" i="1" s="1"/>
  <c r="T1184" i="1"/>
  <c r="U1184" i="1"/>
  <c r="E1185" i="1"/>
  <c r="F1185" i="1"/>
  <c r="P1185" i="1"/>
  <c r="S1185" i="1" s="1"/>
  <c r="Q1185" i="1"/>
  <c r="T1185" i="1" s="1"/>
  <c r="U1185" i="1"/>
  <c r="E1186" i="1"/>
  <c r="F1186" i="1"/>
  <c r="P1186" i="1"/>
  <c r="S1186" i="1" s="1"/>
  <c r="Q1186" i="1"/>
  <c r="T1186" i="1" s="1"/>
  <c r="U1186" i="1"/>
  <c r="S1187" i="1"/>
  <c r="U1187" i="1"/>
  <c r="S1188" i="1"/>
  <c r="U1188" i="1"/>
  <c r="E1190" i="1"/>
  <c r="F1190" i="1"/>
  <c r="P1190" i="1"/>
  <c r="S1190" i="1" s="1"/>
  <c r="T1190" i="1"/>
  <c r="U1190" i="1"/>
  <c r="E1191" i="1"/>
  <c r="F1191" i="1"/>
  <c r="P1191" i="1"/>
  <c r="S1191" i="1" s="1"/>
  <c r="Q1191" i="1"/>
  <c r="T1191" i="1" s="1"/>
  <c r="U1191" i="1"/>
  <c r="E1192" i="1"/>
  <c r="F1192" i="1"/>
  <c r="P1192" i="1"/>
  <c r="S1192" i="1" s="1"/>
  <c r="Q1192" i="1"/>
  <c r="T1192" i="1" s="1"/>
  <c r="U1192" i="1"/>
  <c r="S1193" i="1"/>
  <c r="U1193" i="1"/>
  <c r="S1194" i="1"/>
  <c r="U1194" i="1"/>
  <c r="E1196" i="1"/>
  <c r="F1196" i="1"/>
  <c r="P1196" i="1"/>
  <c r="S1196" i="1" s="1"/>
  <c r="T1196" i="1"/>
  <c r="U1196" i="1"/>
  <c r="E1197" i="1"/>
  <c r="F1197" i="1"/>
  <c r="P1197" i="1"/>
  <c r="S1197" i="1" s="1"/>
  <c r="Q1197" i="1"/>
  <c r="T1197" i="1" s="1"/>
  <c r="U1197" i="1"/>
  <c r="E1198" i="1"/>
  <c r="F1198" i="1"/>
  <c r="P1198" i="1"/>
  <c r="S1198" i="1" s="1"/>
  <c r="Q1198" i="1"/>
  <c r="T1198" i="1" s="1"/>
  <c r="U1198" i="1"/>
  <c r="S1199" i="1"/>
  <c r="U1199" i="1"/>
  <c r="S1200" i="1"/>
  <c r="U1200" i="1"/>
  <c r="E1249" i="1"/>
  <c r="F1249" i="1"/>
  <c r="P1249" i="1"/>
  <c r="E1250" i="1"/>
  <c r="F1250" i="1"/>
  <c r="P1250" i="1"/>
  <c r="E1251" i="1"/>
  <c r="F1251" i="1"/>
  <c r="P1251" i="1"/>
  <c r="E1252" i="1"/>
  <c r="F1252" i="1"/>
  <c r="P1252" i="1"/>
  <c r="E1253" i="1"/>
  <c r="F1253" i="1"/>
  <c r="P1253" i="1"/>
  <c r="E1254" i="1"/>
  <c r="F1254" i="1"/>
  <c r="P1254" i="1"/>
  <c r="E1255" i="1"/>
  <c r="F1255" i="1"/>
  <c r="P1255" i="1"/>
  <c r="E1256" i="1"/>
  <c r="F1256" i="1"/>
  <c r="P1256" i="1"/>
  <c r="E1270" i="1"/>
  <c r="F1270" i="1"/>
  <c r="P1270" i="1"/>
  <c r="E1271" i="1"/>
  <c r="F1271" i="1"/>
  <c r="P1271" i="1"/>
  <c r="E1272" i="1"/>
  <c r="F1272" i="1"/>
  <c r="P1272" i="1"/>
  <c r="E1273" i="1"/>
  <c r="F1273" i="1"/>
  <c r="P1273" i="1"/>
  <c r="E1274" i="1"/>
  <c r="F1274" i="1"/>
  <c r="P1274" i="1"/>
  <c r="E1275" i="1"/>
  <c r="F1275" i="1"/>
  <c r="P1275" i="1"/>
  <c r="E1286" i="1"/>
  <c r="F1286" i="1"/>
  <c r="P1286" i="1"/>
  <c r="E1287" i="1"/>
  <c r="F1287" i="1"/>
  <c r="P1287" i="1"/>
  <c r="E1292" i="1"/>
  <c r="F1292" i="1"/>
  <c r="P1292" i="1"/>
  <c r="E1293" i="1"/>
  <c r="F1293" i="1"/>
  <c r="P1293" i="1"/>
  <c r="E1299" i="1"/>
  <c r="F1299" i="1"/>
  <c r="P1299" i="1"/>
  <c r="E1300" i="1"/>
  <c r="F1300" i="1"/>
  <c r="P1300" i="1"/>
  <c r="E1301" i="1"/>
  <c r="F1301" i="1"/>
  <c r="P1301" i="1"/>
  <c r="E1307" i="1"/>
  <c r="F1307" i="1"/>
  <c r="P1307" i="1"/>
  <c r="E1308" i="1"/>
  <c r="F1308" i="1"/>
  <c r="P1308" i="1"/>
  <c r="E1311" i="1"/>
  <c r="F1311" i="1"/>
  <c r="P1311" i="1"/>
  <c r="E1312" i="1"/>
  <c r="F1312" i="1"/>
  <c r="P1312" i="1"/>
  <c r="E1313" i="1"/>
  <c r="F1313" i="1"/>
  <c r="P1313" i="1"/>
  <c r="E1315" i="1"/>
  <c r="F1315" i="1"/>
  <c r="P1315" i="1"/>
  <c r="E1316" i="1"/>
  <c r="F1316" i="1"/>
  <c r="P1316" i="1"/>
  <c r="E1317" i="1"/>
  <c r="F1317" i="1"/>
  <c r="P1317" i="1"/>
  <c r="T1327" i="1"/>
  <c r="U1327" i="1"/>
  <c r="E1328" i="1"/>
  <c r="F1328" i="1"/>
  <c r="G1328" i="1"/>
  <c r="C1328" i="1" s="1"/>
  <c r="P1328" i="1"/>
  <c r="E1329" i="1"/>
  <c r="F1329" i="1"/>
  <c r="G1329" i="1"/>
  <c r="C1329" i="1" s="1"/>
  <c r="P1329" i="1"/>
  <c r="E1330" i="1"/>
  <c r="F1330" i="1"/>
  <c r="G1330" i="1"/>
  <c r="P1330" i="1"/>
  <c r="E1331" i="1"/>
  <c r="F1331" i="1"/>
  <c r="G1331" i="1"/>
  <c r="P1331" i="1"/>
  <c r="E1332" i="1"/>
  <c r="F1332" i="1"/>
  <c r="G1332" i="1"/>
  <c r="C1332" i="1" s="1"/>
  <c r="P1332" i="1"/>
  <c r="S1333" i="1"/>
  <c r="T1333" i="1"/>
  <c r="U1333" i="1"/>
  <c r="E1334" i="1"/>
  <c r="F1334" i="1"/>
  <c r="G1334" i="1"/>
  <c r="U1334" i="1" s="1"/>
  <c r="P1334" i="1"/>
  <c r="E1335" i="1"/>
  <c r="F1335" i="1"/>
  <c r="G1335" i="1"/>
  <c r="P1335" i="1"/>
  <c r="E1337" i="1"/>
  <c r="F1337" i="1"/>
  <c r="P1337" i="1"/>
  <c r="E1338" i="1"/>
  <c r="F1338" i="1"/>
  <c r="P1338" i="1"/>
  <c r="E1339" i="1"/>
  <c r="F1339" i="1"/>
  <c r="E1364" i="1"/>
  <c r="F1364" i="1"/>
  <c r="P1364" i="1"/>
  <c r="S1364" i="1" s="1"/>
  <c r="T1364" i="1"/>
  <c r="U1364" i="1"/>
  <c r="E1365" i="1"/>
  <c r="F1365" i="1"/>
  <c r="P1365" i="1"/>
  <c r="S1365" i="1" s="1"/>
  <c r="T1365" i="1"/>
  <c r="U1365" i="1"/>
  <c r="E1366" i="1"/>
  <c r="F1366" i="1"/>
  <c r="P1366" i="1"/>
  <c r="S1366" i="1" s="1"/>
  <c r="T1366" i="1"/>
  <c r="U1366" i="1"/>
  <c r="E1367" i="1"/>
  <c r="F1367" i="1"/>
  <c r="P1367" i="1"/>
  <c r="S1367" i="1" s="1"/>
  <c r="T1367" i="1"/>
  <c r="U1367" i="1"/>
  <c r="E1368" i="1"/>
  <c r="F1368" i="1"/>
  <c r="P1368" i="1"/>
  <c r="S1368" i="1" s="1"/>
  <c r="T1368" i="1"/>
  <c r="U1368" i="1"/>
  <c r="E1369" i="1"/>
  <c r="F1369" i="1"/>
  <c r="P1369" i="1"/>
  <c r="S1369" i="1" s="1"/>
  <c r="T1369" i="1"/>
  <c r="U1369" i="1"/>
  <c r="E1370" i="1"/>
  <c r="F1370" i="1"/>
  <c r="P1370" i="1"/>
  <c r="S1370" i="1" s="1"/>
  <c r="T1370" i="1"/>
  <c r="U1370" i="1"/>
  <c r="E1371" i="1"/>
  <c r="F1371" i="1"/>
  <c r="P1371" i="1"/>
  <c r="S1371" i="1" s="1"/>
  <c r="T1371" i="1"/>
  <c r="U1371" i="1"/>
  <c r="E1372" i="1"/>
  <c r="F1372" i="1"/>
  <c r="P1372" i="1"/>
  <c r="S1372" i="1" s="1"/>
  <c r="T1372" i="1"/>
  <c r="U1372" i="1"/>
  <c r="E1373" i="1"/>
  <c r="F1373" i="1"/>
  <c r="P1373" i="1"/>
  <c r="E1374" i="1"/>
  <c r="F1374" i="1"/>
  <c r="P1374" i="1"/>
  <c r="S1374" i="1" s="1"/>
  <c r="T1374" i="1"/>
  <c r="U1374" i="1"/>
  <c r="E1375" i="1"/>
  <c r="F1375" i="1"/>
  <c r="P1375" i="1"/>
  <c r="S1375" i="1" s="1"/>
  <c r="T1375" i="1"/>
  <c r="U1375" i="1"/>
  <c r="E1376" i="1"/>
  <c r="F1376" i="1"/>
  <c r="P1376" i="1"/>
  <c r="S1376" i="1" s="1"/>
  <c r="T1376" i="1"/>
  <c r="U1376" i="1"/>
  <c r="E1377" i="1"/>
  <c r="F1377" i="1"/>
  <c r="P1377" i="1"/>
  <c r="S1377" i="1" s="1"/>
  <c r="T1377" i="1"/>
  <c r="U1377" i="1"/>
  <c r="E1378" i="1"/>
  <c r="F1378" i="1"/>
  <c r="P1378" i="1"/>
  <c r="E1379" i="1"/>
  <c r="F1379" i="1"/>
  <c r="E1380" i="1"/>
  <c r="F1380" i="1"/>
  <c r="P1380" i="1"/>
  <c r="E1385" i="1"/>
  <c r="F1385" i="1"/>
  <c r="P1385" i="1"/>
  <c r="F1388" i="1"/>
  <c r="P1388" i="1"/>
  <c r="E1390" i="1"/>
  <c r="F1390" i="1"/>
  <c r="P1390" i="1"/>
  <c r="E1393" i="1"/>
  <c r="F1393" i="1"/>
  <c r="P1393" i="1"/>
  <c r="Q1393" i="1"/>
  <c r="E1394" i="1"/>
  <c r="F1394" i="1"/>
  <c r="P1394" i="1"/>
  <c r="Q1394" i="1"/>
  <c r="E1395" i="1"/>
  <c r="F1395" i="1"/>
  <c r="P1395" i="1"/>
  <c r="Q1395" i="1"/>
  <c r="E1396" i="1"/>
  <c r="F1396" i="1"/>
  <c r="P1396" i="1"/>
  <c r="Q1396" i="1"/>
  <c r="E1397" i="1"/>
  <c r="F1397" i="1"/>
  <c r="P1397" i="1"/>
  <c r="Q1397" i="1"/>
  <c r="E1398" i="1"/>
  <c r="F1398" i="1"/>
  <c r="P1398" i="1"/>
  <c r="Q1398" i="1"/>
  <c r="E1399" i="1"/>
  <c r="F1399" i="1"/>
  <c r="P1399" i="1"/>
  <c r="S1399" i="1" s="1"/>
  <c r="Q1399" i="1"/>
  <c r="T1399" i="1" s="1"/>
  <c r="E1400" i="1"/>
  <c r="F1400" i="1"/>
  <c r="P1400" i="1"/>
  <c r="E1401" i="1"/>
  <c r="F1401" i="1"/>
  <c r="P1401" i="1"/>
  <c r="E1402" i="1"/>
  <c r="F1402" i="1"/>
  <c r="P1402" i="1"/>
  <c r="E1403" i="1"/>
  <c r="F1403" i="1"/>
  <c r="P1403" i="1"/>
  <c r="E1404" i="1"/>
  <c r="F1404" i="1"/>
  <c r="P1404" i="1"/>
  <c r="E1405" i="1"/>
  <c r="F1405" i="1"/>
  <c r="P1405" i="1"/>
  <c r="E1408" i="1"/>
  <c r="F1408" i="1"/>
  <c r="P1408" i="1"/>
  <c r="E1409" i="1"/>
  <c r="F1409" i="1"/>
  <c r="P1409" i="1"/>
  <c r="E1411" i="1"/>
  <c r="F1411" i="1"/>
  <c r="P1411" i="1"/>
  <c r="E1412" i="1"/>
  <c r="F1412" i="1"/>
  <c r="P1412" i="1"/>
  <c r="E1413" i="1"/>
  <c r="F1413" i="1"/>
  <c r="P1413" i="1"/>
  <c r="E1414" i="1"/>
  <c r="F1414" i="1"/>
  <c r="P1414" i="1"/>
  <c r="E1415" i="1"/>
  <c r="F1415" i="1"/>
  <c r="P1415" i="1"/>
  <c r="E1416" i="1"/>
  <c r="F1416" i="1"/>
  <c r="P1416" i="1"/>
  <c r="E1417" i="1"/>
  <c r="F1417" i="1"/>
  <c r="P1417" i="1"/>
  <c r="E1418" i="1"/>
  <c r="F1418" i="1"/>
  <c r="P1418" i="1"/>
  <c r="E1422" i="1"/>
  <c r="F1422" i="1"/>
  <c r="P1422" i="1"/>
  <c r="E1423" i="1"/>
  <c r="F1423" i="1"/>
  <c r="P1423" i="1"/>
  <c r="S1423" i="1" s="1"/>
  <c r="E1424" i="1"/>
  <c r="F1424" i="1"/>
  <c r="P1424" i="1"/>
  <c r="E1425" i="1"/>
  <c r="F1425" i="1"/>
  <c r="P1425" i="1"/>
  <c r="E1426" i="1"/>
  <c r="F1426" i="1"/>
  <c r="P1426" i="1"/>
  <c r="E1427" i="1"/>
  <c r="F1427" i="1"/>
  <c r="P1427" i="1"/>
  <c r="E1428" i="1"/>
  <c r="F1428" i="1"/>
  <c r="P1428" i="1"/>
  <c r="E1429" i="1"/>
  <c r="F1429" i="1"/>
  <c r="P1429" i="1"/>
  <c r="E1430" i="1"/>
  <c r="F1430" i="1"/>
  <c r="P1430" i="1"/>
  <c r="E1439" i="1"/>
  <c r="F1439" i="1"/>
  <c r="P1439" i="1"/>
  <c r="E1440" i="1"/>
  <c r="F1440" i="1"/>
  <c r="P1440" i="1"/>
  <c r="E1441" i="1"/>
  <c r="F1441" i="1"/>
  <c r="P1441" i="1"/>
  <c r="E1442" i="1"/>
  <c r="F1442" i="1"/>
  <c r="P1442" i="1"/>
  <c r="E1443" i="1"/>
  <c r="F1443" i="1"/>
  <c r="P1443" i="1"/>
  <c r="E1444" i="1"/>
  <c r="F1444" i="1"/>
  <c r="P1444" i="1"/>
  <c r="E1446" i="1"/>
  <c r="F1446" i="1"/>
  <c r="E1447" i="1"/>
  <c r="F1447" i="1"/>
  <c r="E1450" i="1"/>
  <c r="F1450" i="1"/>
  <c r="Q1450" i="1"/>
  <c r="E1451" i="1"/>
  <c r="F1451" i="1"/>
  <c r="Q1451" i="1"/>
  <c r="E1452" i="1"/>
  <c r="F1452" i="1"/>
  <c r="E1454" i="1"/>
  <c r="F1454" i="1"/>
  <c r="Q1454" i="1"/>
  <c r="E1455" i="1"/>
  <c r="F1455" i="1"/>
  <c r="Q1455" i="1"/>
  <c r="E1456" i="1"/>
  <c r="F1456" i="1"/>
  <c r="Q1456" i="1"/>
  <c r="T1456" i="1" s="1"/>
  <c r="S1456" i="1"/>
  <c r="E1458" i="1"/>
  <c r="F1458" i="1"/>
  <c r="P1458" i="1"/>
  <c r="E1464" i="1"/>
  <c r="F1464" i="1"/>
  <c r="P1464" i="1"/>
  <c r="E1474" i="1"/>
  <c r="F1474" i="1"/>
  <c r="G1474" i="1"/>
  <c r="P1474" i="1"/>
  <c r="E1475" i="1"/>
  <c r="F1475" i="1"/>
  <c r="G1475" i="1"/>
  <c r="U1475" i="1" s="1"/>
  <c r="P1475" i="1"/>
  <c r="E1476" i="1"/>
  <c r="F1476" i="1"/>
  <c r="G1476" i="1"/>
  <c r="T1476" i="1" s="1"/>
  <c r="P1476" i="1"/>
  <c r="E1477" i="1"/>
  <c r="F1477" i="1"/>
  <c r="G1477" i="1"/>
  <c r="J1477" i="1" s="1"/>
  <c r="P1477" i="1"/>
  <c r="E1478" i="1"/>
  <c r="F1478" i="1"/>
  <c r="P1478" i="1"/>
  <c r="E1485" i="1"/>
  <c r="F1485" i="1"/>
  <c r="G1485" i="1"/>
  <c r="C1485" i="1" s="1"/>
  <c r="P1485" i="1"/>
  <c r="P1486" i="1"/>
  <c r="E1493" i="1"/>
  <c r="G1493" i="1"/>
  <c r="C1493" i="1" s="1"/>
  <c r="P1493" i="1"/>
  <c r="E1495" i="1"/>
  <c r="F1495" i="1"/>
  <c r="P1495" i="1"/>
  <c r="E1496" i="1"/>
  <c r="F1496" i="1"/>
  <c r="P1496" i="1"/>
  <c r="E1498" i="1"/>
  <c r="F1498" i="1"/>
  <c r="P1498" i="1"/>
  <c r="E1499" i="1"/>
  <c r="F1499" i="1"/>
  <c r="P1499" i="1"/>
  <c r="E1501" i="1"/>
  <c r="F1501" i="1"/>
  <c r="P1501" i="1"/>
  <c r="E1502" i="1"/>
  <c r="F1502" i="1"/>
  <c r="P1502" i="1"/>
  <c r="E1504" i="1"/>
  <c r="F1504" i="1"/>
  <c r="P1504" i="1"/>
  <c r="E1505" i="1"/>
  <c r="F1505" i="1"/>
  <c r="P1505" i="1"/>
  <c r="E1506" i="1"/>
  <c r="F1506" i="1"/>
  <c r="P1506" i="1"/>
  <c r="E1508" i="1"/>
  <c r="F1508" i="1"/>
  <c r="P1508" i="1"/>
  <c r="E1509" i="1"/>
  <c r="F1509" i="1"/>
  <c r="P1509" i="1"/>
  <c r="E1510" i="1"/>
  <c r="F1510" i="1"/>
  <c r="P1510" i="1"/>
  <c r="E1512" i="1"/>
  <c r="F1512" i="1"/>
  <c r="P1512" i="1"/>
  <c r="F1513" i="1"/>
  <c r="P1513" i="1"/>
  <c r="E1514" i="1"/>
  <c r="F1514" i="1"/>
  <c r="P1514" i="1"/>
  <c r="E1516" i="1"/>
  <c r="F1516" i="1"/>
  <c r="P1516" i="1"/>
  <c r="E1517" i="1"/>
  <c r="F1517" i="1"/>
  <c r="P1517" i="1"/>
  <c r="E1518" i="1"/>
  <c r="F1518" i="1"/>
  <c r="P1518" i="1"/>
  <c r="E1520" i="1"/>
  <c r="F1520" i="1"/>
  <c r="P1520" i="1"/>
  <c r="E1521" i="1"/>
  <c r="F1521" i="1"/>
  <c r="P1521" i="1"/>
  <c r="E1524" i="1"/>
  <c r="F1524" i="1"/>
  <c r="P1524" i="1"/>
  <c r="E1525" i="1"/>
  <c r="F1525" i="1"/>
  <c r="P1525" i="1"/>
  <c r="E1526" i="1"/>
  <c r="F1526" i="1"/>
  <c r="P1526" i="1"/>
  <c r="E1528" i="1"/>
  <c r="F1528" i="1"/>
  <c r="P1528" i="1"/>
  <c r="E1529" i="1"/>
  <c r="F1529" i="1"/>
  <c r="P1529" i="1"/>
  <c r="E1530" i="1"/>
  <c r="F1530" i="1"/>
  <c r="P1530" i="1"/>
  <c r="H1531" i="1"/>
  <c r="T1531" i="1"/>
  <c r="U1531" i="1"/>
  <c r="E1532" i="1"/>
  <c r="F1532" i="1"/>
  <c r="G1532" i="1"/>
  <c r="J1532" i="1" s="1"/>
  <c r="P1532" i="1"/>
  <c r="E1533" i="1"/>
  <c r="F1533" i="1"/>
  <c r="G1533" i="1"/>
  <c r="J1533" i="1" s="1"/>
  <c r="P1533" i="1"/>
  <c r="E1534" i="1"/>
  <c r="F1534" i="1"/>
  <c r="G1534" i="1"/>
  <c r="J1534" i="1" s="1"/>
  <c r="P1534" i="1"/>
  <c r="E1535" i="1"/>
  <c r="F1535" i="1"/>
  <c r="G1535" i="1"/>
  <c r="J1535" i="1" s="1"/>
  <c r="P1535" i="1"/>
  <c r="E1536" i="1"/>
  <c r="F1536" i="1"/>
  <c r="G1536" i="1"/>
  <c r="J1536" i="1" s="1"/>
  <c r="P1536" i="1"/>
  <c r="H1537" i="1"/>
  <c r="S1537" i="1"/>
  <c r="T1537" i="1"/>
  <c r="U1537" i="1"/>
  <c r="E1538" i="1"/>
  <c r="F1538" i="1"/>
  <c r="H1538" i="1"/>
  <c r="P1538" i="1"/>
  <c r="S1538" i="1" s="1"/>
  <c r="T1538" i="1"/>
  <c r="U1538" i="1"/>
  <c r="E1539" i="1"/>
  <c r="F1539" i="1"/>
  <c r="G1539" i="1"/>
  <c r="C1539" i="1" s="1"/>
  <c r="P1539" i="1"/>
  <c r="E1541" i="1"/>
  <c r="F1541" i="1"/>
  <c r="P1541" i="1"/>
  <c r="E1542" i="1"/>
  <c r="F1542" i="1"/>
  <c r="P1542" i="1"/>
  <c r="R1542" i="1"/>
  <c r="E1543" i="1"/>
  <c r="F1543" i="1"/>
  <c r="P1543" i="1"/>
  <c r="R1543" i="1"/>
  <c r="E1544" i="1"/>
  <c r="F1544" i="1"/>
  <c r="P1544" i="1"/>
  <c r="S1544" i="1" s="1"/>
  <c r="R1544" i="1"/>
  <c r="U1544" i="1" s="1"/>
  <c r="E1545" i="1"/>
  <c r="F1545" i="1"/>
  <c r="P1545" i="1"/>
  <c r="S1545" i="1" s="1"/>
  <c r="R1545" i="1"/>
  <c r="U1545" i="1" s="1"/>
  <c r="E1561" i="1"/>
  <c r="F1561" i="1"/>
  <c r="P1561" i="1"/>
  <c r="E1562" i="1"/>
  <c r="F1562" i="1"/>
  <c r="P1562" i="1"/>
  <c r="R1562" i="1"/>
  <c r="E1563" i="1"/>
  <c r="F1563" i="1"/>
  <c r="P1563" i="1"/>
  <c r="R1563" i="1"/>
  <c r="E1564" i="1"/>
  <c r="F1564" i="1"/>
  <c r="P1564" i="1"/>
  <c r="R1564" i="1"/>
  <c r="E1565" i="1"/>
  <c r="P1565" i="1"/>
  <c r="S1565" i="1" s="1"/>
  <c r="R1565" i="1"/>
  <c r="U1565" i="1" s="1"/>
  <c r="E1566" i="1"/>
  <c r="H1566" i="1"/>
  <c r="P1566" i="1"/>
  <c r="S1566" i="1" s="1"/>
  <c r="R1566" i="1"/>
  <c r="U1566" i="1" s="1"/>
  <c r="T1566" i="1"/>
  <c r="E1572" i="1"/>
  <c r="F1572" i="1"/>
  <c r="G1572" i="1"/>
  <c r="J1572" i="1" s="1"/>
  <c r="P1572" i="1"/>
  <c r="R1572" i="1"/>
  <c r="E1573" i="1"/>
  <c r="F1573" i="1"/>
  <c r="G1573" i="1"/>
  <c r="J1573" i="1" s="1"/>
  <c r="P1573" i="1"/>
  <c r="R1573" i="1"/>
  <c r="E1575" i="1"/>
  <c r="F1575" i="1"/>
  <c r="H1575" i="1"/>
  <c r="P1575" i="1"/>
  <c r="S1575" i="1" s="1"/>
  <c r="R1575" i="1"/>
  <c r="U1575" i="1" s="1"/>
  <c r="T1575" i="1"/>
  <c r="E1576" i="1"/>
  <c r="F1576" i="1"/>
  <c r="H1576" i="1"/>
  <c r="P1576" i="1"/>
  <c r="S1576" i="1" s="1"/>
  <c r="R1576" i="1"/>
  <c r="U1576" i="1" s="1"/>
  <c r="T1576" i="1"/>
  <c r="E1577" i="1"/>
  <c r="F1577" i="1"/>
  <c r="H1577" i="1"/>
  <c r="P1577" i="1"/>
  <c r="S1577" i="1" s="1"/>
  <c r="R1577" i="1"/>
  <c r="U1577" i="1" s="1"/>
  <c r="T1577" i="1"/>
  <c r="E1578" i="1"/>
  <c r="F1578" i="1"/>
  <c r="H1578" i="1"/>
  <c r="P1578" i="1"/>
  <c r="S1578" i="1" s="1"/>
  <c r="R1578" i="1"/>
  <c r="U1578" i="1" s="1"/>
  <c r="T1578" i="1"/>
  <c r="E1579" i="1"/>
  <c r="F1579" i="1"/>
  <c r="H1579" i="1"/>
  <c r="P1579" i="1"/>
  <c r="S1579" i="1" s="1"/>
  <c r="R1579" i="1"/>
  <c r="U1579" i="1" s="1"/>
  <c r="T1579" i="1"/>
  <c r="E1580" i="1"/>
  <c r="F1580" i="1"/>
  <c r="H1580" i="1"/>
  <c r="P1580" i="1"/>
  <c r="S1580" i="1" s="1"/>
  <c r="R1580" i="1"/>
  <c r="U1580" i="1" s="1"/>
  <c r="T1580" i="1"/>
  <c r="E1581" i="1"/>
  <c r="F1581" i="1"/>
  <c r="H1581" i="1"/>
  <c r="P1581" i="1"/>
  <c r="S1581" i="1" s="1"/>
  <c r="R1581" i="1"/>
  <c r="U1581" i="1" s="1"/>
  <c r="T1581" i="1"/>
  <c r="E1582" i="1"/>
  <c r="F1582" i="1"/>
  <c r="C1582" i="1"/>
  <c r="P1582" i="1"/>
  <c r="S1582" i="1" s="1"/>
  <c r="R1582" i="1"/>
  <c r="U1582" i="1" s="1"/>
  <c r="F1583" i="1"/>
  <c r="P1583" i="1"/>
  <c r="R1583" i="1"/>
  <c r="E1586" i="1"/>
  <c r="F1586" i="1"/>
  <c r="H1586" i="1"/>
  <c r="P1586" i="1"/>
  <c r="S1586" i="1" s="1"/>
  <c r="R1586" i="1"/>
  <c r="U1586" i="1" s="1"/>
  <c r="T1586" i="1"/>
  <c r="E1587" i="1"/>
  <c r="F1587" i="1"/>
  <c r="H1587" i="1"/>
  <c r="P1587" i="1"/>
  <c r="S1587" i="1" s="1"/>
  <c r="R1587" i="1"/>
  <c r="U1587" i="1" s="1"/>
  <c r="T1587" i="1"/>
  <c r="E1588" i="1"/>
  <c r="F1588" i="1"/>
  <c r="H1588" i="1"/>
  <c r="P1588" i="1"/>
  <c r="S1588" i="1" s="1"/>
  <c r="R1588" i="1"/>
  <c r="U1588" i="1" s="1"/>
  <c r="T1588" i="1"/>
  <c r="E1589" i="1"/>
  <c r="F1589" i="1"/>
  <c r="H1589" i="1"/>
  <c r="P1589" i="1"/>
  <c r="S1589" i="1" s="1"/>
  <c r="R1589" i="1"/>
  <c r="U1589" i="1" s="1"/>
  <c r="T1589" i="1"/>
  <c r="E1590" i="1"/>
  <c r="F1590" i="1"/>
  <c r="H1590" i="1"/>
  <c r="P1590" i="1"/>
  <c r="S1590" i="1" s="1"/>
  <c r="R1590" i="1"/>
  <c r="U1590" i="1" s="1"/>
  <c r="T1590" i="1"/>
  <c r="E1591" i="1"/>
  <c r="F1591" i="1"/>
  <c r="P1591" i="1"/>
  <c r="R1591" i="1"/>
  <c r="E1592" i="1"/>
  <c r="F1592" i="1"/>
  <c r="P1592" i="1"/>
  <c r="R1592" i="1"/>
  <c r="E1593" i="1"/>
  <c r="F1593" i="1"/>
  <c r="P1593" i="1"/>
  <c r="R1593" i="1"/>
  <c r="E1594" i="1"/>
  <c r="F1594" i="1"/>
  <c r="P1594" i="1"/>
  <c r="R1594" i="1"/>
  <c r="E1595" i="1"/>
  <c r="F1595" i="1"/>
  <c r="P1595" i="1"/>
  <c r="R1595" i="1"/>
  <c r="E1596" i="1"/>
  <c r="F1596" i="1"/>
  <c r="P1596" i="1"/>
  <c r="R1596" i="1"/>
  <c r="E1597" i="1"/>
  <c r="F1597" i="1"/>
  <c r="P1597" i="1"/>
  <c r="R1597" i="1"/>
  <c r="E1598" i="1"/>
  <c r="F1598" i="1"/>
  <c r="P1598" i="1"/>
  <c r="S1598" i="1" s="1"/>
  <c r="R1598" i="1"/>
  <c r="U1598" i="1" s="1"/>
  <c r="E1599" i="1"/>
  <c r="F1599" i="1"/>
  <c r="R1599" i="1"/>
  <c r="U1599" i="1" s="1"/>
  <c r="E1600" i="1"/>
  <c r="F1600" i="1"/>
  <c r="P1600" i="1"/>
  <c r="S1600" i="1" s="1"/>
  <c r="R1600" i="1"/>
  <c r="U1600" i="1" s="1"/>
  <c r="E1601" i="1"/>
  <c r="F1601" i="1"/>
  <c r="H1601" i="1"/>
  <c r="P1601" i="1"/>
  <c r="S1601" i="1" s="1"/>
  <c r="R1601" i="1"/>
  <c r="U1601" i="1" s="1"/>
  <c r="T1601" i="1"/>
  <c r="E1602" i="1"/>
  <c r="F1602" i="1"/>
  <c r="P1602" i="1"/>
  <c r="S1602" i="1" s="1"/>
  <c r="R1602" i="1"/>
  <c r="U1602" i="1" s="1"/>
  <c r="E1603" i="1"/>
  <c r="F1603" i="1"/>
  <c r="P1603" i="1"/>
  <c r="Q1603" i="1"/>
  <c r="R1603" i="1"/>
  <c r="E1604" i="1"/>
  <c r="F1604" i="1"/>
  <c r="P1604" i="1"/>
  <c r="Q1604" i="1"/>
  <c r="R1604" i="1"/>
  <c r="E1605" i="1"/>
  <c r="F1605" i="1"/>
  <c r="P1605" i="1"/>
  <c r="Q1605" i="1"/>
  <c r="R1605" i="1"/>
  <c r="E1606" i="1"/>
  <c r="F1606" i="1"/>
  <c r="P1606" i="1"/>
  <c r="Q1606" i="1"/>
  <c r="R1606" i="1"/>
  <c r="E1609" i="1"/>
  <c r="F1609" i="1"/>
  <c r="P1609" i="1"/>
  <c r="Q1609" i="1"/>
  <c r="R1609" i="1"/>
  <c r="E1616" i="1"/>
  <c r="F1616" i="1"/>
  <c r="P1616" i="1"/>
  <c r="Q1616" i="1"/>
  <c r="R1616" i="1"/>
  <c r="E1617" i="1"/>
  <c r="F1617" i="1"/>
  <c r="P1617" i="1"/>
  <c r="S1617" i="1" s="1"/>
  <c r="Q1617" i="1"/>
  <c r="T1617" i="1" s="1"/>
  <c r="E1618" i="1"/>
  <c r="F1618" i="1"/>
  <c r="P1618" i="1"/>
  <c r="Q1618" i="1"/>
  <c r="E1619" i="1"/>
  <c r="F1619" i="1"/>
  <c r="P1619" i="1"/>
  <c r="Q1619" i="1"/>
  <c r="E1620" i="1"/>
  <c r="F1620" i="1"/>
  <c r="P1620" i="1"/>
  <c r="Q1620" i="1"/>
  <c r="E1621" i="1"/>
  <c r="F1621" i="1"/>
  <c r="P1621" i="1"/>
  <c r="Q1621" i="1"/>
  <c r="E1625" i="1"/>
  <c r="F1625" i="1"/>
  <c r="P1625" i="1"/>
  <c r="S1625" i="1" s="1"/>
  <c r="R1625" i="1"/>
  <c r="U1625" i="1" s="1"/>
  <c r="F1626" i="1"/>
  <c r="P1626" i="1"/>
  <c r="F1627" i="1"/>
  <c r="C1627" i="1"/>
  <c r="P1627" i="1"/>
  <c r="S1627" i="1" s="1"/>
  <c r="E1628" i="1"/>
  <c r="F1628" i="1"/>
  <c r="C1628" i="1"/>
  <c r="P1628" i="1"/>
  <c r="S1628" i="1" s="1"/>
  <c r="E1629" i="1"/>
  <c r="F1629" i="1"/>
  <c r="C1629" i="1"/>
  <c r="P1629" i="1"/>
  <c r="S1629" i="1" s="1"/>
  <c r="E1630" i="1"/>
  <c r="F1630" i="1"/>
  <c r="C1630" i="1"/>
  <c r="P1630" i="1"/>
  <c r="S1630" i="1" s="1"/>
  <c r="E1631" i="1"/>
  <c r="F1631" i="1"/>
  <c r="C1631" i="1"/>
  <c r="P1631" i="1"/>
  <c r="S1631" i="1" s="1"/>
  <c r="E1632" i="1"/>
  <c r="F1632" i="1"/>
  <c r="C1632" i="1"/>
  <c r="P1632" i="1"/>
  <c r="S1632" i="1" s="1"/>
  <c r="E1633" i="1"/>
  <c r="F1633" i="1"/>
  <c r="P1633" i="1"/>
  <c r="S1633" i="1" s="1"/>
  <c r="E1634" i="1"/>
  <c r="F1634" i="1"/>
  <c r="C1634" i="1"/>
  <c r="P1634" i="1"/>
  <c r="S1634" i="1" s="1"/>
  <c r="E1635" i="1"/>
  <c r="F1635" i="1"/>
  <c r="H1635" i="1"/>
  <c r="P1635" i="1"/>
  <c r="S1635" i="1" s="1"/>
  <c r="Q1635" i="1"/>
  <c r="T1635" i="1" s="1"/>
  <c r="U1635" i="1"/>
  <c r="F1636" i="1"/>
  <c r="H1636" i="1"/>
  <c r="P1636" i="1"/>
  <c r="S1636" i="1" s="1"/>
  <c r="R1636" i="1"/>
  <c r="U1636" i="1" s="1"/>
  <c r="T1636" i="1"/>
  <c r="F1637" i="1"/>
  <c r="H1637" i="1"/>
  <c r="P1637" i="1"/>
  <c r="S1637" i="1" s="1"/>
  <c r="T1637" i="1"/>
  <c r="U1637" i="1"/>
  <c r="F1638" i="1"/>
  <c r="H1638" i="1"/>
  <c r="P1638" i="1"/>
  <c r="S1638" i="1" s="1"/>
  <c r="T1638" i="1"/>
  <c r="U1638" i="1"/>
  <c r="F1639" i="1"/>
  <c r="H1639" i="1"/>
  <c r="P1639" i="1"/>
  <c r="S1639" i="1" s="1"/>
  <c r="T1639" i="1"/>
  <c r="U1639" i="1"/>
  <c r="F1640" i="1"/>
  <c r="H1640" i="1"/>
  <c r="P1640" i="1"/>
  <c r="S1640" i="1" s="1"/>
  <c r="T1640" i="1"/>
  <c r="U1640" i="1"/>
  <c r="E1641" i="1"/>
  <c r="F1641" i="1"/>
  <c r="P1641" i="1"/>
  <c r="S1641" i="1" s="1"/>
  <c r="E1642" i="1"/>
  <c r="F1642" i="1"/>
  <c r="P1642" i="1"/>
  <c r="S1642" i="1" s="1"/>
  <c r="E1643" i="1"/>
  <c r="F1643" i="1"/>
  <c r="P1643" i="1"/>
  <c r="S1643" i="1" s="1"/>
  <c r="E1644" i="1"/>
  <c r="F1644" i="1"/>
  <c r="P1644" i="1"/>
  <c r="S1644" i="1" s="1"/>
  <c r="E1649" i="1"/>
  <c r="F1649" i="1"/>
  <c r="P1649" i="1"/>
  <c r="E1651" i="1"/>
  <c r="F1651" i="1"/>
  <c r="P1651" i="1"/>
  <c r="F1654" i="1"/>
  <c r="P1654" i="1"/>
  <c r="E1657" i="1"/>
  <c r="F1657" i="1"/>
  <c r="P1657" i="1"/>
  <c r="S1657" i="1" s="1"/>
  <c r="E1658" i="1"/>
  <c r="F1658" i="1"/>
  <c r="P1658" i="1"/>
  <c r="R1658" i="1"/>
  <c r="E1659" i="1"/>
  <c r="F1659" i="1"/>
  <c r="P1659" i="1"/>
  <c r="E1660" i="1"/>
  <c r="F1660" i="1"/>
  <c r="P1660" i="1"/>
  <c r="E1661" i="1"/>
  <c r="F1661" i="1"/>
  <c r="P1661" i="1"/>
  <c r="E1662" i="1"/>
  <c r="F1662" i="1"/>
  <c r="P1662" i="1"/>
  <c r="E1663" i="1"/>
  <c r="F1663" i="1"/>
  <c r="P1663" i="1"/>
  <c r="E1664" i="1"/>
  <c r="F1664" i="1"/>
  <c r="P1664" i="1"/>
  <c r="E1680" i="1"/>
  <c r="F1680" i="1"/>
  <c r="C1680" i="1"/>
  <c r="P1680" i="1"/>
  <c r="S1680" i="1" s="1"/>
  <c r="E1681" i="1"/>
  <c r="F1681" i="1"/>
  <c r="C1681" i="1"/>
  <c r="P1681" i="1"/>
  <c r="S1681" i="1" s="1"/>
  <c r="E1682" i="1"/>
  <c r="F1682" i="1"/>
  <c r="C1682" i="1"/>
  <c r="P1682" i="1"/>
  <c r="S1682" i="1" s="1"/>
  <c r="E1683" i="1"/>
  <c r="F1683" i="1"/>
  <c r="P1683" i="1"/>
  <c r="S1683" i="1" s="1"/>
  <c r="E1684" i="1"/>
  <c r="F1684" i="1"/>
  <c r="C1684" i="1"/>
  <c r="P1684" i="1"/>
  <c r="S1684" i="1" s="1"/>
  <c r="E1685" i="1"/>
  <c r="F1685" i="1"/>
  <c r="C1685" i="1"/>
  <c r="P1685" i="1"/>
  <c r="S1685" i="1" s="1"/>
  <c r="E1686" i="1"/>
  <c r="F1686" i="1"/>
  <c r="C1686" i="1"/>
  <c r="P1686" i="1"/>
  <c r="S1686" i="1" s="1"/>
  <c r="E1687" i="1"/>
  <c r="F1687" i="1"/>
  <c r="P1687" i="1"/>
  <c r="S1687" i="1" s="1"/>
  <c r="E1688" i="1"/>
  <c r="F1688" i="1"/>
  <c r="C1688" i="1"/>
  <c r="P1688" i="1"/>
  <c r="S1688" i="1" s="1"/>
  <c r="E1689" i="1"/>
  <c r="F1689" i="1"/>
  <c r="C1689" i="1"/>
  <c r="P1689" i="1"/>
  <c r="S1689" i="1" s="1"/>
  <c r="E1692" i="1"/>
  <c r="F1692" i="1"/>
  <c r="E1694" i="1"/>
  <c r="F1694" i="1"/>
  <c r="E1695" i="1"/>
  <c r="F1695" i="1"/>
  <c r="E1696" i="1"/>
  <c r="F1696" i="1"/>
  <c r="E1697" i="1"/>
  <c r="F1697" i="1"/>
  <c r="F1703" i="1"/>
  <c r="E1705" i="1"/>
  <c r="F1705" i="1"/>
  <c r="T1705" i="1"/>
  <c r="E1706" i="1"/>
  <c r="F1706" i="1"/>
  <c r="T1706" i="1"/>
  <c r="E1707" i="1"/>
  <c r="F1707" i="1"/>
  <c r="T1707" i="1"/>
  <c r="E1714" i="1"/>
  <c r="F1714" i="1"/>
  <c r="T1714" i="1"/>
  <c r="S1714" i="1"/>
  <c r="U1714" i="1"/>
  <c r="E1715" i="1"/>
  <c r="F1715" i="1"/>
  <c r="T1715" i="1"/>
  <c r="S1715" i="1"/>
  <c r="U1715" i="1"/>
  <c r="G1780" i="1"/>
  <c r="T1780" i="1" s="1"/>
  <c r="E1717" i="1"/>
  <c r="F1717" i="1"/>
  <c r="P1717" i="1"/>
  <c r="G1718" i="1"/>
  <c r="H1718" i="1" s="1"/>
  <c r="E1718" i="1"/>
  <c r="F1718" i="1"/>
  <c r="P1718" i="1"/>
  <c r="H1719" i="1"/>
  <c r="E1720" i="1"/>
  <c r="F1720" i="1"/>
  <c r="G1720" i="1"/>
  <c r="P1720" i="1"/>
  <c r="E1721" i="1"/>
  <c r="F1721" i="1"/>
  <c r="G1721" i="1"/>
  <c r="C1721" i="1" s="1"/>
  <c r="P1721" i="1"/>
  <c r="H1722" i="1"/>
  <c r="E1723" i="1"/>
  <c r="F1723" i="1"/>
  <c r="G1723" i="1"/>
  <c r="H1723" i="1" s="1"/>
  <c r="P1723" i="1"/>
  <c r="E1724" i="1"/>
  <c r="F1724" i="1"/>
  <c r="G1724" i="1"/>
  <c r="H1724" i="1" s="1"/>
  <c r="P1724" i="1"/>
  <c r="E1725" i="1"/>
  <c r="F1725" i="1"/>
  <c r="G1725" i="1"/>
  <c r="T1725" i="1" s="1"/>
  <c r="P1725" i="1"/>
  <c r="G1726" i="1"/>
  <c r="C1726" i="1" s="1"/>
  <c r="E1727" i="1"/>
  <c r="F1727" i="1"/>
  <c r="P1727" i="1"/>
  <c r="E1728" i="1"/>
  <c r="F1728" i="1"/>
  <c r="P1728" i="1"/>
  <c r="H1729" i="1"/>
  <c r="T1729" i="1"/>
  <c r="U1729" i="1"/>
  <c r="E1730" i="1"/>
  <c r="F1730" i="1"/>
  <c r="G1730" i="1"/>
  <c r="C1730" i="1" s="1"/>
  <c r="P1730" i="1"/>
  <c r="E1731" i="1"/>
  <c r="F1731" i="1"/>
  <c r="G1731" i="1"/>
  <c r="C1731" i="1" s="1"/>
  <c r="P1731" i="1"/>
  <c r="E1732" i="1"/>
  <c r="F1732" i="1"/>
  <c r="G1732" i="1"/>
  <c r="C1732" i="1" s="1"/>
  <c r="P1732" i="1"/>
  <c r="H1733" i="1"/>
  <c r="T1733" i="1"/>
  <c r="U1733" i="1"/>
  <c r="E1734" i="1"/>
  <c r="F1734" i="1"/>
  <c r="G1734" i="1"/>
  <c r="U1734" i="1" s="1"/>
  <c r="P1734" i="1"/>
  <c r="E1735" i="1"/>
  <c r="F1735" i="1"/>
  <c r="G1735" i="1"/>
  <c r="C1735" i="1" s="1"/>
  <c r="P1735" i="1"/>
  <c r="E1736" i="1"/>
  <c r="F1736" i="1"/>
  <c r="G1736" i="1"/>
  <c r="H1736" i="1" s="1"/>
  <c r="P1736" i="1"/>
  <c r="G1737" i="1"/>
  <c r="G1738" i="1" s="1"/>
  <c r="E1738" i="1"/>
  <c r="F1738" i="1"/>
  <c r="P1738" i="1"/>
  <c r="E1739" i="1"/>
  <c r="F1739" i="1"/>
  <c r="P1739" i="1"/>
  <c r="R1739" i="1"/>
  <c r="E1740" i="1"/>
  <c r="F1740" i="1"/>
  <c r="P1740" i="1"/>
  <c r="R1740" i="1"/>
  <c r="E1741" i="1"/>
  <c r="F1741" i="1"/>
  <c r="P1741" i="1"/>
  <c r="R1741" i="1"/>
  <c r="E1742" i="1"/>
  <c r="F1742" i="1"/>
  <c r="P1742" i="1"/>
  <c r="R1742" i="1"/>
  <c r="E1744" i="1"/>
  <c r="F1744" i="1"/>
  <c r="G1744" i="1"/>
  <c r="C1744" i="1" s="1"/>
  <c r="P1744" i="1"/>
  <c r="R1744" i="1"/>
  <c r="E1745" i="1"/>
  <c r="F1745" i="1"/>
  <c r="G1745" i="1"/>
  <c r="T1745" i="1" s="1"/>
  <c r="P1745" i="1"/>
  <c r="R1745" i="1"/>
  <c r="E1746" i="1"/>
  <c r="F1746" i="1"/>
  <c r="H1746" i="1"/>
  <c r="P1746" i="1"/>
  <c r="S1746" i="1" s="1"/>
  <c r="Q1746" i="1"/>
  <c r="T1746" i="1" s="1"/>
  <c r="R1746" i="1"/>
  <c r="U1746" i="1" s="1"/>
  <c r="E1747" i="1"/>
  <c r="F1747" i="1"/>
  <c r="H1747" i="1"/>
  <c r="P1747" i="1"/>
  <c r="S1747" i="1" s="1"/>
  <c r="Q1747" i="1"/>
  <c r="T1747" i="1" s="1"/>
  <c r="R1747" i="1"/>
  <c r="U1747" i="1" s="1"/>
  <c r="E1748" i="1"/>
  <c r="F1748" i="1"/>
  <c r="H1748" i="1"/>
  <c r="P1748" i="1"/>
  <c r="S1748" i="1" s="1"/>
  <c r="Q1748" i="1"/>
  <c r="T1748" i="1" s="1"/>
  <c r="R1748" i="1"/>
  <c r="U1748" i="1" s="1"/>
  <c r="E1749" i="1"/>
  <c r="F1749" i="1"/>
  <c r="H1749" i="1"/>
  <c r="P1749" i="1"/>
  <c r="S1749" i="1" s="1"/>
  <c r="Q1749" i="1"/>
  <c r="T1749" i="1" s="1"/>
  <c r="R1749" i="1"/>
  <c r="U1749" i="1" s="1"/>
  <c r="E1750" i="1"/>
  <c r="F1750" i="1"/>
  <c r="H1750" i="1"/>
  <c r="P1750" i="1"/>
  <c r="S1750" i="1" s="1"/>
  <c r="Q1750" i="1"/>
  <c r="T1750" i="1" s="1"/>
  <c r="R1750" i="1"/>
  <c r="U1750" i="1" s="1"/>
  <c r="E1751" i="1"/>
  <c r="F1751" i="1"/>
  <c r="H1751" i="1"/>
  <c r="P1751" i="1"/>
  <c r="S1751" i="1" s="1"/>
  <c r="Q1751" i="1"/>
  <c r="T1751" i="1" s="1"/>
  <c r="R1751" i="1"/>
  <c r="U1751" i="1" s="1"/>
  <c r="E1752" i="1"/>
  <c r="F1752" i="1"/>
  <c r="H1752" i="1"/>
  <c r="P1752" i="1"/>
  <c r="S1752" i="1" s="1"/>
  <c r="Q1752" i="1"/>
  <c r="T1752" i="1" s="1"/>
  <c r="U1752" i="1"/>
  <c r="E1753" i="1"/>
  <c r="F1753" i="1"/>
  <c r="H1753" i="1"/>
  <c r="P1753" i="1"/>
  <c r="S1753" i="1" s="1"/>
  <c r="Q1753" i="1"/>
  <c r="T1753" i="1" s="1"/>
  <c r="U1753" i="1"/>
  <c r="E1754" i="1"/>
  <c r="F1754" i="1"/>
  <c r="H1754" i="1"/>
  <c r="P1754" i="1"/>
  <c r="S1754" i="1" s="1"/>
  <c r="Q1754" i="1"/>
  <c r="T1754" i="1" s="1"/>
  <c r="U1754" i="1"/>
  <c r="E1755" i="1"/>
  <c r="F1755" i="1"/>
  <c r="H1755" i="1"/>
  <c r="P1755" i="1"/>
  <c r="S1755" i="1" s="1"/>
  <c r="Q1755" i="1"/>
  <c r="T1755" i="1" s="1"/>
  <c r="U1755" i="1"/>
  <c r="E1756" i="1"/>
  <c r="F1756" i="1"/>
  <c r="H1756" i="1"/>
  <c r="P1756" i="1"/>
  <c r="S1756" i="1" s="1"/>
  <c r="Q1756" i="1"/>
  <c r="T1756" i="1" s="1"/>
  <c r="U1756" i="1"/>
  <c r="E1757" i="1"/>
  <c r="F1757" i="1"/>
  <c r="H1757" i="1"/>
  <c r="P1757" i="1"/>
  <c r="S1757" i="1" s="1"/>
  <c r="R1757" i="1"/>
  <c r="U1757" i="1" s="1"/>
  <c r="T1757" i="1"/>
  <c r="F1758" i="1"/>
  <c r="G1758" i="1"/>
  <c r="T1758" i="1" s="1"/>
  <c r="P1758" i="1"/>
  <c r="F1759" i="1"/>
  <c r="G1759" i="1"/>
  <c r="P1759" i="1"/>
  <c r="E1760" i="1"/>
  <c r="F1760" i="1"/>
  <c r="H1760" i="1"/>
  <c r="P1760" i="1"/>
  <c r="S1760" i="1" s="1"/>
  <c r="T1760" i="1"/>
  <c r="U1760" i="1"/>
  <c r="E1761" i="1"/>
  <c r="F1761" i="1"/>
  <c r="H1761" i="1"/>
  <c r="P1761" i="1"/>
  <c r="S1761" i="1" s="1"/>
  <c r="T1761" i="1"/>
  <c r="U1761" i="1"/>
  <c r="E1762" i="1"/>
  <c r="F1762" i="1"/>
  <c r="H1762" i="1"/>
  <c r="P1762" i="1"/>
  <c r="S1762" i="1" s="1"/>
  <c r="T1762" i="1"/>
  <c r="U1762" i="1"/>
  <c r="E1763" i="1"/>
  <c r="F1763" i="1"/>
  <c r="P1763" i="1"/>
  <c r="E1764" i="1"/>
  <c r="F1764" i="1"/>
  <c r="P1764" i="1"/>
  <c r="E1765" i="1"/>
  <c r="F1765" i="1"/>
  <c r="H1765" i="1"/>
  <c r="P1765" i="1"/>
  <c r="S1765" i="1" s="1"/>
  <c r="Q1765" i="1"/>
  <c r="T1765" i="1" s="1"/>
  <c r="U1765" i="1"/>
  <c r="F1766" i="1"/>
  <c r="H1766" i="1"/>
  <c r="P1766" i="1"/>
  <c r="S1766" i="1" s="1"/>
  <c r="R1766" i="1"/>
  <c r="U1766" i="1" s="1"/>
  <c r="T1766" i="1"/>
  <c r="F1767" i="1"/>
  <c r="H1767" i="1"/>
  <c r="P1767" i="1"/>
  <c r="S1767" i="1" s="1"/>
  <c r="T1767" i="1"/>
  <c r="U1767" i="1"/>
  <c r="F1768" i="1"/>
  <c r="H1768" i="1"/>
  <c r="P1768" i="1"/>
  <c r="S1768" i="1" s="1"/>
  <c r="T1768" i="1"/>
  <c r="U1768" i="1"/>
  <c r="F1769" i="1"/>
  <c r="H1769" i="1"/>
  <c r="P1769" i="1"/>
  <c r="S1769" i="1" s="1"/>
  <c r="T1769" i="1"/>
  <c r="U1769" i="1"/>
  <c r="F1770" i="1"/>
  <c r="H1770" i="1"/>
  <c r="P1770" i="1"/>
  <c r="S1770" i="1" s="1"/>
  <c r="T1770" i="1"/>
  <c r="U1770" i="1"/>
  <c r="E1771" i="1"/>
  <c r="F1771" i="1"/>
  <c r="G1771" i="1"/>
  <c r="H1771" i="1" s="1"/>
  <c r="P1771" i="1"/>
  <c r="E1772" i="1"/>
  <c r="F1772" i="1"/>
  <c r="G1772" i="1"/>
  <c r="U1772" i="1" s="1"/>
  <c r="P1772" i="1"/>
  <c r="E1773" i="1"/>
  <c r="F1773" i="1"/>
  <c r="G1773" i="1"/>
  <c r="H1773" i="1" s="1"/>
  <c r="P1773" i="1"/>
  <c r="E1774" i="1"/>
  <c r="F1774" i="1"/>
  <c r="P1774" i="1"/>
  <c r="E1775" i="1"/>
  <c r="F1775" i="1"/>
  <c r="G1775" i="1"/>
  <c r="T1775" i="1" s="1"/>
  <c r="P1775" i="1"/>
  <c r="E1776" i="1"/>
  <c r="F1776" i="1"/>
  <c r="G1776" i="1"/>
  <c r="T1776" i="1" s="1"/>
  <c r="P1776" i="1"/>
  <c r="F1777" i="1"/>
  <c r="P1777" i="1"/>
  <c r="E1778" i="1"/>
  <c r="F1778" i="1"/>
  <c r="H1778" i="1"/>
  <c r="P1778" i="1"/>
  <c r="S1778" i="1" s="1"/>
  <c r="T1778" i="1"/>
  <c r="U1778" i="1"/>
  <c r="E1779" i="1"/>
  <c r="F1779" i="1"/>
  <c r="P1779" i="1"/>
  <c r="Q1779" i="1"/>
  <c r="E1780" i="1"/>
  <c r="F1780" i="1"/>
  <c r="P1780" i="1"/>
  <c r="Q1780" i="1"/>
  <c r="F1781" i="1"/>
  <c r="G1781" i="1"/>
  <c r="S1781" i="1" s="1"/>
  <c r="Q1781" i="1"/>
  <c r="F1782" i="1"/>
  <c r="G1782" i="1"/>
  <c r="S1782" i="1" s="1"/>
  <c r="Q1782" i="1"/>
  <c r="E1783" i="1"/>
  <c r="F1783" i="1"/>
  <c r="Q1783" i="1"/>
  <c r="E1784" i="1"/>
  <c r="F1784" i="1"/>
  <c r="G1784" i="1"/>
  <c r="Q1784" i="1"/>
  <c r="F1785" i="1"/>
  <c r="G1785" i="1"/>
  <c r="U1785" i="1" s="1"/>
  <c r="Q1785" i="1"/>
  <c r="E1786" i="1"/>
  <c r="F1786" i="1"/>
  <c r="Q1786" i="1"/>
  <c r="E1787" i="1"/>
  <c r="F1787" i="1"/>
  <c r="Q1787" i="1"/>
  <c r="F1788" i="1"/>
  <c r="G1788" i="1"/>
  <c r="U1788" i="1" s="1"/>
  <c r="F1789" i="1"/>
  <c r="G1789" i="1"/>
  <c r="C1789" i="1" s="1"/>
  <c r="F1790" i="1"/>
  <c r="G1790" i="1"/>
  <c r="C1790" i="1" s="1"/>
  <c r="G1791" i="1"/>
  <c r="U1791" i="1" s="1"/>
  <c r="G1792" i="1"/>
  <c r="Q1792" i="1"/>
  <c r="G1793" i="1"/>
  <c r="C1793" i="1" s="1"/>
  <c r="Q1793" i="1"/>
  <c r="G1794" i="1"/>
  <c r="S1794" i="1" s="1"/>
  <c r="Q1794" i="1"/>
  <c r="G1795" i="1"/>
  <c r="S1795" i="1" s="1"/>
  <c r="Q1795" i="1"/>
  <c r="G1796" i="1"/>
  <c r="U1796" i="1" s="1"/>
  <c r="Q1796" i="1"/>
  <c r="E1797" i="1"/>
  <c r="F1797" i="1"/>
  <c r="G1797" i="1"/>
  <c r="S1797" i="1" s="1"/>
  <c r="Q1797" i="1"/>
  <c r="E1798" i="1"/>
  <c r="F1798" i="1"/>
  <c r="Q1798" i="1"/>
  <c r="F1799" i="1"/>
  <c r="G1799" i="1"/>
  <c r="S1799" i="1" s="1"/>
  <c r="Q1799" i="1"/>
  <c r="E1800" i="1"/>
  <c r="F1800" i="1"/>
  <c r="Q1800" i="1"/>
  <c r="F1801" i="1"/>
  <c r="G1801" i="1"/>
  <c r="C1801" i="1" s="1"/>
  <c r="Q1801" i="1"/>
  <c r="E1802" i="1"/>
  <c r="F1802" i="1"/>
  <c r="Q1802" i="1"/>
  <c r="E1803" i="1"/>
  <c r="F1803" i="1"/>
  <c r="Q1803" i="1"/>
  <c r="T1803" i="1" s="1"/>
  <c r="S1803" i="1"/>
  <c r="U1803" i="1"/>
  <c r="E1804" i="1"/>
  <c r="F1804" i="1"/>
  <c r="Q1804" i="1"/>
  <c r="T1804" i="1" s="1"/>
  <c r="S1804" i="1"/>
  <c r="U1804" i="1"/>
  <c r="E1806" i="1"/>
  <c r="F1806" i="1"/>
  <c r="P1806" i="1"/>
  <c r="E1807" i="1"/>
  <c r="F1807" i="1"/>
  <c r="P1807" i="1"/>
  <c r="E1808" i="1"/>
  <c r="F1808" i="1"/>
  <c r="P1808" i="1"/>
  <c r="E1813" i="1"/>
  <c r="F1813" i="1"/>
  <c r="P1813" i="1"/>
  <c r="E1814" i="1"/>
  <c r="F1814" i="1"/>
  <c r="P1814" i="1"/>
  <c r="E1816" i="1"/>
  <c r="F1816" i="1"/>
  <c r="P1816" i="1"/>
  <c r="E1817" i="1"/>
  <c r="F1817" i="1"/>
  <c r="P1817" i="1"/>
  <c r="E1818" i="1"/>
  <c r="F1818" i="1"/>
  <c r="P1818" i="1"/>
  <c r="E1820" i="1"/>
  <c r="P1820" i="1"/>
  <c r="E1821" i="1"/>
  <c r="P1821" i="1"/>
  <c r="E1822" i="1"/>
  <c r="P1822" i="1"/>
  <c r="E1823" i="1"/>
  <c r="P1823" i="1"/>
  <c r="E1825" i="1"/>
  <c r="F1825" i="1"/>
  <c r="P1825" i="1"/>
  <c r="E1826" i="1"/>
  <c r="F1826" i="1"/>
  <c r="P1826" i="1"/>
  <c r="E1828" i="1"/>
  <c r="F1828" i="1"/>
  <c r="P1828" i="1"/>
  <c r="E1829" i="1"/>
  <c r="F1829" i="1"/>
  <c r="P1829" i="1"/>
  <c r="E1830" i="1"/>
  <c r="F1830" i="1"/>
  <c r="P1830" i="1"/>
  <c r="E1832" i="1"/>
  <c r="F1832" i="1"/>
  <c r="P1832" i="1"/>
  <c r="E1833" i="1"/>
  <c r="F1833" i="1"/>
  <c r="P1833" i="1"/>
  <c r="E1834" i="1"/>
  <c r="F1834" i="1"/>
  <c r="P1834" i="1"/>
  <c r="E1836" i="1"/>
  <c r="F1836" i="1"/>
  <c r="P1836" i="1"/>
  <c r="E1837" i="1"/>
  <c r="F1837" i="1"/>
  <c r="P1837" i="1"/>
  <c r="E1838" i="1"/>
  <c r="F1838" i="1"/>
  <c r="P1838" i="1"/>
  <c r="E1839" i="1"/>
  <c r="F1839" i="1"/>
  <c r="P1839" i="1"/>
  <c r="E1840" i="1"/>
  <c r="F1840" i="1"/>
  <c r="P1840" i="1"/>
  <c r="E1842" i="1"/>
  <c r="P1842" i="1"/>
  <c r="E1843" i="1"/>
  <c r="P1843" i="1"/>
  <c r="E1844" i="1"/>
  <c r="F1844" i="1"/>
  <c r="P1844" i="1"/>
  <c r="E1846" i="1"/>
  <c r="P1846" i="1"/>
  <c r="E1847" i="1"/>
  <c r="F1847" i="1"/>
  <c r="P1847" i="1"/>
  <c r="E1848" i="1"/>
  <c r="P1848" i="1"/>
  <c r="E1849" i="1"/>
  <c r="P1849" i="1"/>
  <c r="E1850" i="1"/>
  <c r="F1850" i="1"/>
  <c r="P1850" i="1"/>
  <c r="E1852" i="1"/>
  <c r="F1852" i="1"/>
  <c r="P1852" i="1"/>
  <c r="E1853" i="1"/>
  <c r="F1853" i="1"/>
  <c r="P1853" i="1"/>
  <c r="E1854" i="1"/>
  <c r="F1854" i="1"/>
  <c r="P1854" i="1"/>
  <c r="E1855" i="1"/>
  <c r="F1855" i="1"/>
  <c r="P1855" i="1"/>
  <c r="L1856" i="1"/>
  <c r="E1857" i="1"/>
  <c r="F1857" i="1"/>
  <c r="G1857" i="1"/>
  <c r="T1857" i="1" s="1"/>
  <c r="P1857" i="1"/>
  <c r="E1858" i="1"/>
  <c r="F1858" i="1"/>
  <c r="P1858" i="1"/>
  <c r="E1859" i="1"/>
  <c r="F1859" i="1"/>
  <c r="H1859" i="1"/>
  <c r="L1859" i="1" s="1"/>
  <c r="P1859" i="1"/>
  <c r="S1859" i="1" s="1"/>
  <c r="T1859" i="1"/>
  <c r="U1859" i="1"/>
  <c r="E1860" i="1"/>
  <c r="F1860" i="1"/>
  <c r="P1860" i="1"/>
  <c r="E1861" i="1"/>
  <c r="F1861" i="1"/>
  <c r="P1861" i="1"/>
  <c r="E1862" i="1"/>
  <c r="F1862" i="1"/>
  <c r="P1862" i="1"/>
  <c r="E1863" i="1"/>
  <c r="F1863" i="1"/>
  <c r="P1863" i="1"/>
  <c r="E1864" i="1"/>
  <c r="F1864" i="1"/>
  <c r="P1864" i="1"/>
  <c r="E1865" i="1"/>
  <c r="F1865" i="1"/>
  <c r="P1865" i="1"/>
  <c r="E1866" i="1"/>
  <c r="F1866" i="1"/>
  <c r="P1866" i="1"/>
  <c r="E1868" i="1"/>
  <c r="F1868" i="1"/>
  <c r="P1868" i="1"/>
  <c r="Q1868" i="1"/>
  <c r="E1869" i="1"/>
  <c r="F1869" i="1"/>
  <c r="P1869" i="1"/>
  <c r="Q1869" i="1"/>
  <c r="E1870" i="1"/>
  <c r="F1870" i="1"/>
  <c r="P1870" i="1"/>
  <c r="Q1870" i="1"/>
  <c r="E1871" i="1"/>
  <c r="F1871" i="1"/>
  <c r="P1871" i="1"/>
  <c r="Q1871" i="1"/>
  <c r="E1872" i="1"/>
  <c r="F1872" i="1"/>
  <c r="P1872" i="1"/>
  <c r="Q1872" i="1"/>
  <c r="E1873" i="1"/>
  <c r="F1873" i="1"/>
  <c r="P1873" i="1"/>
  <c r="Q1873" i="1"/>
  <c r="E1874" i="1"/>
  <c r="F1874" i="1"/>
  <c r="P1874" i="1"/>
  <c r="Q1874" i="1"/>
  <c r="E1875" i="1"/>
  <c r="F1875" i="1"/>
  <c r="P1875" i="1"/>
  <c r="S1875" i="1" s="1"/>
  <c r="Q1875" i="1"/>
  <c r="T1875" i="1" s="1"/>
  <c r="E1876" i="1"/>
  <c r="F1876" i="1"/>
  <c r="P1876" i="1"/>
  <c r="E1878" i="1"/>
  <c r="F1878" i="1"/>
  <c r="P1878" i="1"/>
  <c r="E1879" i="1"/>
  <c r="F1879" i="1"/>
  <c r="P1879" i="1"/>
  <c r="E1880" i="1"/>
  <c r="F1880" i="1"/>
  <c r="G1880" i="1"/>
  <c r="H1880" i="1" s="1"/>
  <c r="P1880" i="1"/>
  <c r="E1881" i="1"/>
  <c r="F1881" i="1"/>
  <c r="P1881" i="1"/>
  <c r="Q1881" i="1"/>
  <c r="E1882" i="1"/>
  <c r="F1882" i="1"/>
  <c r="P1882" i="1"/>
  <c r="Q1882" i="1"/>
  <c r="E1884" i="1"/>
  <c r="F1884" i="1"/>
  <c r="P1884" i="1"/>
  <c r="E1885" i="1"/>
  <c r="F1885" i="1"/>
  <c r="P1885" i="1"/>
  <c r="E1886" i="1"/>
  <c r="F1886" i="1"/>
  <c r="P1886" i="1"/>
  <c r="E1888" i="1"/>
  <c r="F1888" i="1"/>
  <c r="P1888" i="1"/>
  <c r="E1891" i="1"/>
  <c r="F1891" i="1"/>
  <c r="P1891" i="1"/>
  <c r="E1892" i="1"/>
  <c r="F1892" i="1"/>
  <c r="H1892" i="1"/>
  <c r="L1892" i="1" s="1"/>
  <c r="P1892" i="1"/>
  <c r="S1892" i="1" s="1"/>
  <c r="T1892" i="1"/>
  <c r="U1892" i="1"/>
  <c r="E1893" i="1"/>
  <c r="F1893" i="1"/>
  <c r="P1893" i="1"/>
  <c r="Q1893" i="1"/>
  <c r="E1894" i="1"/>
  <c r="F1894" i="1"/>
  <c r="P1894" i="1"/>
  <c r="Q1894" i="1"/>
  <c r="E1895" i="1"/>
  <c r="F1895" i="1"/>
  <c r="P1895" i="1"/>
  <c r="Q1895" i="1"/>
  <c r="E1896" i="1"/>
  <c r="F1896" i="1"/>
  <c r="P1896" i="1"/>
  <c r="Q1896" i="1"/>
  <c r="E1897" i="1"/>
  <c r="F1897" i="1"/>
  <c r="Q1897" i="1"/>
  <c r="E1898" i="1"/>
  <c r="F1898" i="1"/>
  <c r="Q1898" i="1"/>
  <c r="E1899" i="1"/>
  <c r="F1899" i="1"/>
  <c r="Q1899" i="1"/>
  <c r="E1900" i="1"/>
  <c r="F1900" i="1"/>
  <c r="Q1900" i="1"/>
  <c r="E1901" i="1"/>
  <c r="F1901" i="1"/>
  <c r="Q1901" i="1"/>
  <c r="E1902" i="1"/>
  <c r="F1902" i="1"/>
  <c r="Q1902" i="1"/>
  <c r="T1902" i="1" s="1"/>
  <c r="S1902" i="1"/>
  <c r="U1902" i="1"/>
  <c r="F1903" i="1"/>
  <c r="Q1903" i="1"/>
  <c r="T1903" i="1" s="1"/>
  <c r="S1903" i="1"/>
  <c r="U1903" i="1"/>
  <c r="R1904" i="1"/>
  <c r="E1905" i="1"/>
  <c r="F1905" i="1"/>
  <c r="P1905" i="1"/>
  <c r="E1911" i="1"/>
  <c r="F1911" i="1"/>
  <c r="P1911" i="1"/>
  <c r="E1912" i="1"/>
  <c r="F1912" i="1"/>
  <c r="P1912" i="1"/>
  <c r="E1913" i="1"/>
  <c r="F1913" i="1"/>
  <c r="P1913" i="1"/>
  <c r="E1914" i="1"/>
  <c r="F1914" i="1"/>
  <c r="P1914" i="1"/>
  <c r="E1915" i="1"/>
  <c r="F1915" i="1"/>
  <c r="P1915" i="1"/>
  <c r="E1917" i="1"/>
  <c r="F1917" i="1"/>
  <c r="P1917" i="1"/>
  <c r="F1920" i="1"/>
  <c r="P1920" i="1"/>
  <c r="F1921" i="1"/>
  <c r="P1921" i="1"/>
  <c r="E2003" i="1"/>
  <c r="F2003" i="1"/>
  <c r="P2003" i="1"/>
  <c r="E2004" i="1"/>
  <c r="F2004" i="1"/>
  <c r="P2004" i="1"/>
  <c r="E2005" i="1"/>
  <c r="F2005" i="1"/>
  <c r="H2005" i="1"/>
  <c r="N2005" i="1"/>
  <c r="P2005" i="1"/>
  <c r="S2005" i="1" s="1"/>
  <c r="U2005" i="1"/>
  <c r="E2006" i="1"/>
  <c r="F2006" i="1"/>
  <c r="P2006" i="1"/>
  <c r="E2007" i="1"/>
  <c r="F2007" i="1"/>
  <c r="P2007" i="1"/>
  <c r="Q2007" i="1"/>
  <c r="E2012" i="1"/>
  <c r="F2012" i="1"/>
  <c r="Q2012" i="1"/>
  <c r="E2013" i="1"/>
  <c r="F2013" i="1"/>
  <c r="E2015" i="1"/>
  <c r="F2015" i="1"/>
  <c r="E2016" i="1"/>
  <c r="F2016" i="1"/>
  <c r="E2017" i="1"/>
  <c r="F2017" i="1"/>
  <c r="P2017" i="1"/>
  <c r="E2026" i="1"/>
  <c r="F2026" i="1"/>
  <c r="P2026" i="1"/>
  <c r="E2041" i="1"/>
  <c r="F2041" i="1"/>
  <c r="P2041" i="1"/>
  <c r="E2042" i="1"/>
  <c r="F2042" i="1"/>
  <c r="E2043" i="1"/>
  <c r="F2043" i="1"/>
  <c r="P2043" i="1"/>
  <c r="E2137" i="1"/>
  <c r="F2137" i="1"/>
  <c r="E2138" i="1"/>
  <c r="F2138" i="1"/>
  <c r="P2138" i="1"/>
  <c r="Q2138" i="1"/>
  <c r="E2139" i="1"/>
  <c r="F2139" i="1"/>
  <c r="Q2139" i="1"/>
  <c r="E2140" i="1"/>
  <c r="F2140" i="1"/>
  <c r="Q2140" i="1"/>
  <c r="E2141" i="1"/>
  <c r="F2141" i="1"/>
  <c r="Q2141" i="1"/>
  <c r="T2141" i="1" s="1"/>
  <c r="E2179" i="1"/>
  <c r="F2179" i="1"/>
  <c r="P2179" i="1"/>
  <c r="Q2179" i="1"/>
  <c r="R2179" i="1"/>
  <c r="E2180" i="1"/>
  <c r="F2180" i="1"/>
  <c r="P2180" i="1"/>
  <c r="Q2180" i="1"/>
  <c r="R2180" i="1"/>
  <c r="E2181" i="1"/>
  <c r="F2181" i="1"/>
  <c r="P2181" i="1"/>
  <c r="Q2181" i="1"/>
  <c r="R2181" i="1"/>
  <c r="E2182" i="1"/>
  <c r="F2182" i="1"/>
  <c r="P2182" i="1"/>
  <c r="Q2182" i="1"/>
  <c r="R2182" i="1"/>
  <c r="E2183" i="1"/>
  <c r="F2183" i="1"/>
  <c r="G2183" i="1"/>
  <c r="C2183" i="1" s="1"/>
  <c r="P2183" i="1"/>
  <c r="Q2183" i="1"/>
  <c r="R2183" i="1"/>
  <c r="F2184" i="1"/>
  <c r="P2184" i="1"/>
  <c r="Q2184" i="1"/>
  <c r="R2184" i="1"/>
  <c r="F2185" i="1"/>
  <c r="P2185" i="1"/>
  <c r="Q2185" i="1"/>
  <c r="R2185" i="1"/>
  <c r="E2186" i="1"/>
  <c r="F2186" i="1"/>
  <c r="P2186" i="1"/>
  <c r="Q2186" i="1"/>
  <c r="R2186" i="1"/>
  <c r="E2187" i="1"/>
  <c r="F2187" i="1"/>
  <c r="P2187" i="1"/>
  <c r="Q2187" i="1"/>
  <c r="R2187" i="1"/>
  <c r="E2188" i="1"/>
  <c r="F2188" i="1"/>
  <c r="P2188" i="1"/>
  <c r="Q2188" i="1"/>
  <c r="R2188" i="1"/>
  <c r="E2189" i="1"/>
  <c r="F2189" i="1"/>
  <c r="P2189" i="1"/>
  <c r="Q2189" i="1"/>
  <c r="R2189" i="1"/>
  <c r="E2190" i="1"/>
  <c r="F2190" i="1"/>
  <c r="H2190" i="1"/>
  <c r="P2190" i="1"/>
  <c r="S2190" i="1" s="1"/>
  <c r="Q2190" i="1"/>
  <c r="T2190" i="1" s="1"/>
  <c r="U2190" i="1"/>
  <c r="E2191" i="1"/>
  <c r="F2191" i="1"/>
  <c r="G2191" i="1"/>
  <c r="T2191" i="1" s="1"/>
  <c r="P2191" i="1"/>
  <c r="R2191" i="1"/>
  <c r="E2192" i="1"/>
  <c r="F2192" i="1"/>
  <c r="G2192" i="1"/>
  <c r="C2192" i="1" s="1"/>
  <c r="P2192" i="1"/>
  <c r="R2192" i="1"/>
  <c r="E2193" i="1"/>
  <c r="F2193" i="1"/>
  <c r="G2193" i="1"/>
  <c r="C2193" i="1" s="1"/>
  <c r="P2193" i="1"/>
  <c r="Q2193" i="1"/>
  <c r="R2193" i="1"/>
  <c r="E2194" i="1"/>
  <c r="F2194" i="1"/>
  <c r="G2194" i="1"/>
  <c r="C2194" i="1" s="1"/>
  <c r="P2194" i="1"/>
  <c r="Q2194" i="1"/>
  <c r="R2194" i="1"/>
  <c r="F2195" i="1"/>
  <c r="G2195" i="1"/>
  <c r="H2195" i="1" s="1"/>
  <c r="P2195" i="1"/>
  <c r="Q2195" i="1"/>
  <c r="R2195" i="1"/>
  <c r="F2196" i="1"/>
  <c r="P2196" i="1"/>
  <c r="Q2196" i="1"/>
  <c r="R2196" i="1"/>
  <c r="E2197" i="1"/>
  <c r="F2197" i="1"/>
  <c r="G2197" i="1"/>
  <c r="C2197" i="1" s="1"/>
  <c r="P2197" i="1"/>
  <c r="Q2197" i="1"/>
  <c r="R2197" i="1"/>
  <c r="E2198" i="1"/>
  <c r="F2198" i="1"/>
  <c r="P2198" i="1"/>
  <c r="Q2198" i="1"/>
  <c r="R2198" i="1"/>
  <c r="E2199" i="1"/>
  <c r="F2199" i="1"/>
  <c r="P2199" i="1"/>
  <c r="Q2199" i="1"/>
  <c r="R2199" i="1"/>
  <c r="E2200" i="1"/>
  <c r="F2200" i="1"/>
  <c r="G2200" i="1"/>
  <c r="C2200" i="1" s="1"/>
  <c r="P2200" i="1"/>
  <c r="Q2200" i="1"/>
  <c r="R2200" i="1"/>
  <c r="E2201" i="1"/>
  <c r="F2201" i="1"/>
  <c r="P2201" i="1"/>
  <c r="Q2201" i="1"/>
  <c r="R2201" i="1"/>
  <c r="E2202" i="1"/>
  <c r="F2202" i="1"/>
  <c r="H2202" i="1"/>
  <c r="P2202" i="1"/>
  <c r="S2202" i="1" s="1"/>
  <c r="Q2202" i="1"/>
  <c r="T2202" i="1" s="1"/>
  <c r="R2202" i="1"/>
  <c r="U2202" i="1" s="1"/>
  <c r="E2203" i="1"/>
  <c r="F2203" i="1"/>
  <c r="P2203" i="1"/>
  <c r="R2203" i="1"/>
  <c r="E2204" i="1"/>
  <c r="F2204" i="1"/>
  <c r="P2204" i="1"/>
  <c r="Q2204" i="1"/>
  <c r="R2204" i="1"/>
  <c r="E2205" i="1"/>
  <c r="F2205" i="1"/>
  <c r="H2205" i="1"/>
  <c r="P2205" i="1"/>
  <c r="S2205" i="1" s="1"/>
  <c r="Q2205" i="1"/>
  <c r="T2205" i="1" s="1"/>
  <c r="R2205" i="1"/>
  <c r="U2205" i="1" s="1"/>
  <c r="E2206" i="1"/>
  <c r="F2206" i="1"/>
  <c r="P2206" i="1"/>
  <c r="Q2206" i="1"/>
  <c r="R2206" i="1"/>
  <c r="E2207" i="1"/>
  <c r="F2207" i="1"/>
  <c r="P2207" i="1"/>
  <c r="Q2207" i="1"/>
  <c r="R2207" i="1"/>
  <c r="E2208" i="1"/>
  <c r="F2208" i="1"/>
  <c r="P2208" i="1"/>
  <c r="Q2208" i="1"/>
  <c r="R2208" i="1"/>
  <c r="E2209" i="1"/>
  <c r="F2209" i="1"/>
  <c r="P2209" i="1"/>
  <c r="Q2209" i="1"/>
  <c r="R2209" i="1"/>
  <c r="E2210" i="1"/>
  <c r="F2210" i="1"/>
  <c r="P2210" i="1"/>
  <c r="Q2210" i="1"/>
  <c r="R2210" i="1"/>
  <c r="E2211" i="1"/>
  <c r="F2211" i="1"/>
  <c r="P2211" i="1"/>
  <c r="Q2211" i="1"/>
  <c r="R2211" i="1"/>
  <c r="E2212" i="1"/>
  <c r="F2212" i="1"/>
  <c r="P2212" i="1"/>
  <c r="Q2212" i="1"/>
  <c r="R2212" i="1"/>
  <c r="E2213" i="1"/>
  <c r="F2213" i="1"/>
  <c r="H2213" i="1"/>
  <c r="P2213" i="1"/>
  <c r="S2213" i="1" s="1"/>
  <c r="R2213" i="1"/>
  <c r="U2213" i="1" s="1"/>
  <c r="T2213" i="1"/>
  <c r="E2214" i="1"/>
  <c r="F2214" i="1"/>
  <c r="H2214" i="1"/>
  <c r="P2214" i="1"/>
  <c r="S2214" i="1" s="1"/>
  <c r="R2214" i="1"/>
  <c r="U2214" i="1" s="1"/>
  <c r="T2214" i="1"/>
  <c r="E2215" i="1"/>
  <c r="F2215" i="1"/>
  <c r="H2215" i="1"/>
  <c r="P2215" i="1"/>
  <c r="S2215" i="1" s="1"/>
  <c r="R2215" i="1"/>
  <c r="U2215" i="1" s="1"/>
  <c r="T2215" i="1"/>
  <c r="E2216" i="1"/>
  <c r="F2216" i="1"/>
  <c r="G2216" i="1"/>
  <c r="H2216" i="1" s="1"/>
  <c r="P2216" i="1"/>
  <c r="R2216" i="1"/>
  <c r="E2217" i="1"/>
  <c r="F2217" i="1"/>
  <c r="P2217" i="1"/>
  <c r="Q2217" i="1"/>
  <c r="R2217" i="1"/>
  <c r="E2218" i="1"/>
  <c r="F2218" i="1"/>
  <c r="G2218" i="1"/>
  <c r="H2218" i="1" s="1"/>
  <c r="P2218" i="1"/>
  <c r="Q2218" i="1"/>
  <c r="R2218" i="1"/>
  <c r="E2219" i="1"/>
  <c r="F2219" i="1"/>
  <c r="P2219" i="1"/>
  <c r="Q2219" i="1"/>
  <c r="R2219" i="1"/>
  <c r="E2220" i="1"/>
  <c r="F2220" i="1"/>
  <c r="P2220" i="1"/>
  <c r="Q2220" i="1"/>
  <c r="R2220" i="1"/>
  <c r="E2221" i="1"/>
  <c r="F2221" i="1"/>
  <c r="P2221" i="1"/>
  <c r="Q2221" i="1"/>
  <c r="R2221" i="1"/>
  <c r="E2222" i="1"/>
  <c r="F2222" i="1"/>
  <c r="P2222" i="1"/>
  <c r="Q2222" i="1"/>
  <c r="R2222" i="1"/>
  <c r="E2223" i="1"/>
  <c r="F2223" i="1"/>
  <c r="P2223" i="1"/>
  <c r="Q2223" i="1"/>
  <c r="R2223" i="1"/>
  <c r="E2224" i="1"/>
  <c r="F2224" i="1"/>
  <c r="P2224" i="1"/>
  <c r="Q2224" i="1"/>
  <c r="R2224" i="1"/>
  <c r="E2225" i="1"/>
  <c r="F2225" i="1"/>
  <c r="P2225" i="1"/>
  <c r="Q2225" i="1"/>
  <c r="R2225" i="1"/>
  <c r="E2227" i="1"/>
  <c r="F2227" i="1"/>
  <c r="H2227" i="1"/>
  <c r="J2227" i="1"/>
  <c r="P2227" i="1"/>
  <c r="Q2227" i="1"/>
  <c r="R2227" i="1"/>
  <c r="S2227" i="1"/>
  <c r="T2227" i="1"/>
  <c r="U2227" i="1"/>
  <c r="E2228" i="1"/>
  <c r="F2228" i="1"/>
  <c r="H2228" i="1"/>
  <c r="J2228" i="1"/>
  <c r="P2228" i="1"/>
  <c r="Q2228" i="1"/>
  <c r="R2228" i="1"/>
  <c r="S2228" i="1"/>
  <c r="T2228" i="1"/>
  <c r="U2228" i="1"/>
  <c r="E2229" i="1"/>
  <c r="F2229" i="1"/>
  <c r="H2229" i="1"/>
  <c r="J2229" i="1"/>
  <c r="P2229" i="1"/>
  <c r="Q2229" i="1"/>
  <c r="R2229" i="1"/>
  <c r="S2229" i="1"/>
  <c r="T2229" i="1"/>
  <c r="U2229" i="1"/>
  <c r="E2230" i="1"/>
  <c r="F2230" i="1"/>
  <c r="H2230" i="1"/>
  <c r="J2230" i="1"/>
  <c r="P2230" i="1"/>
  <c r="Q2230" i="1"/>
  <c r="R2230" i="1"/>
  <c r="S2230" i="1"/>
  <c r="T2230" i="1"/>
  <c r="U2230" i="1"/>
  <c r="E2231" i="1"/>
  <c r="F2231" i="1"/>
  <c r="H2231" i="1"/>
  <c r="J2231" i="1"/>
  <c r="P2231" i="1"/>
  <c r="Q2231" i="1"/>
  <c r="R2231" i="1"/>
  <c r="S2231" i="1"/>
  <c r="T2231" i="1"/>
  <c r="U2231" i="1"/>
  <c r="E2232" i="1"/>
  <c r="F2232" i="1"/>
  <c r="H2232" i="1"/>
  <c r="J2232" i="1"/>
  <c r="P2232" i="1"/>
  <c r="Q2232" i="1"/>
  <c r="R2232" i="1"/>
  <c r="S2232" i="1"/>
  <c r="T2232" i="1"/>
  <c r="U2232" i="1"/>
  <c r="E2233" i="1"/>
  <c r="F2233" i="1"/>
  <c r="H2233" i="1"/>
  <c r="J2233" i="1"/>
  <c r="P2233" i="1"/>
  <c r="Q2233" i="1"/>
  <c r="R2233" i="1"/>
  <c r="S2233" i="1"/>
  <c r="T2233" i="1"/>
  <c r="U2233" i="1"/>
  <c r="E2235" i="1"/>
  <c r="F2235" i="1"/>
  <c r="P2235" i="1"/>
  <c r="Q2235" i="1"/>
  <c r="E2237" i="1"/>
  <c r="F2238" i="1"/>
  <c r="P2238" i="1"/>
  <c r="Q2238" i="1"/>
  <c r="E2240" i="1"/>
  <c r="F2240" i="1"/>
  <c r="P2240" i="1"/>
  <c r="Q2240" i="1"/>
  <c r="E2241" i="1"/>
  <c r="F2241" i="1"/>
  <c r="P2241" i="1"/>
  <c r="Q2241" i="1"/>
  <c r="E2242" i="1"/>
  <c r="F2242" i="1"/>
  <c r="P2242" i="1"/>
  <c r="Q2242" i="1"/>
  <c r="E2243" i="1"/>
  <c r="F2243" i="1"/>
  <c r="P2243" i="1"/>
  <c r="Q2243" i="1"/>
  <c r="E2253" i="1"/>
  <c r="F2253" i="1"/>
  <c r="P2253" i="1"/>
  <c r="Q2253" i="1"/>
  <c r="R2253" i="1"/>
  <c r="H2254" i="1"/>
  <c r="I2254" i="1"/>
  <c r="E2255" i="1"/>
  <c r="H2255" i="1"/>
  <c r="I2255" i="1"/>
  <c r="H2256" i="1"/>
  <c r="AC61" i="2" s="1"/>
  <c r="I2256" i="1"/>
  <c r="E2257" i="1"/>
  <c r="F2257" i="1"/>
  <c r="H2257" i="1"/>
  <c r="I2257" i="1"/>
  <c r="P2257" i="1"/>
  <c r="S2257" i="1" s="1"/>
  <c r="Q2257" i="1"/>
  <c r="T2257" i="1" s="1"/>
  <c r="E2258" i="1"/>
  <c r="F2258" i="1"/>
  <c r="P2258" i="1"/>
  <c r="Q2258" i="1"/>
  <c r="E2259" i="1"/>
  <c r="F2259" i="1"/>
  <c r="P2259" i="1"/>
  <c r="Q2259" i="1"/>
  <c r="E2260" i="1"/>
  <c r="F2260" i="1"/>
  <c r="H2260" i="1"/>
  <c r="AC70" i="2" s="1"/>
  <c r="I2260" i="1"/>
  <c r="P2260" i="1"/>
  <c r="S2260" i="1" s="1"/>
  <c r="Q2260" i="1"/>
  <c r="T2260" i="1" s="1"/>
  <c r="E2261" i="1"/>
  <c r="F2261" i="1"/>
  <c r="P2261" i="1"/>
  <c r="Q2261" i="1"/>
  <c r="E2262" i="1"/>
  <c r="F2262" i="1"/>
  <c r="H2262" i="1"/>
  <c r="I2262" i="1"/>
  <c r="P2262" i="1"/>
  <c r="S2262" i="1" s="1"/>
  <c r="Q2262" i="1"/>
  <c r="T2262" i="1" s="1"/>
  <c r="E2264" i="1"/>
  <c r="F2264" i="1"/>
  <c r="P2264" i="1"/>
  <c r="Q2264" i="1"/>
  <c r="P2265" i="1"/>
  <c r="F2267" i="1"/>
  <c r="Q2267" i="1"/>
  <c r="E2269" i="1"/>
  <c r="F2269" i="1"/>
  <c r="P2269" i="1"/>
  <c r="Q2269" i="1"/>
  <c r="R2269" i="1"/>
  <c r="E2270" i="1"/>
  <c r="F2270" i="1"/>
  <c r="P2270" i="1"/>
  <c r="Q2270" i="1"/>
  <c r="R2270" i="1"/>
  <c r="E2271" i="1"/>
  <c r="F2271" i="1"/>
  <c r="P2271" i="1"/>
  <c r="Q2271" i="1"/>
  <c r="E2272" i="1"/>
  <c r="F2272" i="1"/>
  <c r="P2272" i="1"/>
  <c r="Q2272" i="1"/>
  <c r="E2273" i="1"/>
  <c r="F2273" i="1"/>
  <c r="P2273" i="1"/>
  <c r="Q2273" i="1"/>
  <c r="R2273" i="1"/>
  <c r="E2274" i="1"/>
  <c r="F2274" i="1"/>
  <c r="P2274" i="1"/>
  <c r="Q2274" i="1"/>
  <c r="E2275" i="1"/>
  <c r="F2275" i="1"/>
  <c r="P2275" i="1"/>
  <c r="Q2275" i="1"/>
  <c r="G2276" i="1"/>
  <c r="E2277" i="1"/>
  <c r="F2277" i="1"/>
  <c r="P2277" i="1"/>
  <c r="Q2277" i="1"/>
  <c r="R2277" i="1"/>
  <c r="E2278" i="1"/>
  <c r="F2278" i="1"/>
  <c r="P2278" i="1"/>
  <c r="Q2278" i="1"/>
  <c r="R2278" i="1"/>
  <c r="E2279" i="1"/>
  <c r="F2279" i="1"/>
  <c r="P2279" i="1"/>
  <c r="Q2279" i="1"/>
  <c r="R2279" i="1"/>
  <c r="E2280" i="1"/>
  <c r="F2280" i="1"/>
  <c r="P2280" i="1"/>
  <c r="Q2280" i="1"/>
  <c r="R2280" i="1"/>
  <c r="E2281" i="1"/>
  <c r="F2281" i="1"/>
  <c r="P2281" i="1"/>
  <c r="Q2281" i="1"/>
  <c r="R2281" i="1"/>
  <c r="E2282" i="1"/>
  <c r="F2282" i="1"/>
  <c r="P2282" i="1"/>
  <c r="Q2282" i="1"/>
  <c r="R2282" i="1"/>
  <c r="E2283" i="1"/>
  <c r="F2283" i="1"/>
  <c r="P2283" i="1"/>
  <c r="Q2283" i="1"/>
  <c r="R2283" i="1"/>
  <c r="E2284" i="1"/>
  <c r="F2284" i="1"/>
  <c r="P2284" i="1"/>
  <c r="Q2284" i="1"/>
  <c r="R2284" i="1"/>
  <c r="E2285" i="1"/>
  <c r="F2285" i="1"/>
  <c r="P2285" i="1"/>
  <c r="Q2285" i="1"/>
  <c r="R2285" i="1"/>
  <c r="E2286" i="1"/>
  <c r="F2286" i="1"/>
  <c r="P2286" i="1"/>
  <c r="Q2286" i="1"/>
  <c r="R2286" i="1"/>
  <c r="E2287" i="1"/>
  <c r="F2287" i="1"/>
  <c r="P2287" i="1"/>
  <c r="Q2287" i="1"/>
  <c r="R2287" i="1"/>
  <c r="E2288" i="1"/>
  <c r="F2288" i="1"/>
  <c r="P2288" i="1"/>
  <c r="Q2288" i="1"/>
  <c r="R2288" i="1"/>
  <c r="E2289" i="1"/>
  <c r="F2289" i="1"/>
  <c r="P2289" i="1"/>
  <c r="Q2289" i="1"/>
  <c r="R2289" i="1"/>
  <c r="E2290" i="1"/>
  <c r="F2290" i="1"/>
  <c r="P2290" i="1"/>
  <c r="Q2290" i="1"/>
  <c r="R2290" i="1"/>
  <c r="E2291" i="1"/>
  <c r="F2291" i="1"/>
  <c r="P2291" i="1"/>
  <c r="Q2291" i="1"/>
  <c r="R2291" i="1"/>
  <c r="E2292" i="1"/>
  <c r="F2292" i="1"/>
  <c r="P2292" i="1"/>
  <c r="Q2292" i="1"/>
  <c r="R2292" i="1"/>
  <c r="E2293" i="1"/>
  <c r="F2293" i="1"/>
  <c r="P2293" i="1"/>
  <c r="Q2293" i="1"/>
  <c r="R2293" i="1"/>
  <c r="E2294" i="1"/>
  <c r="F2294" i="1"/>
  <c r="P2294" i="1"/>
  <c r="Q2294" i="1"/>
  <c r="R2294" i="1"/>
  <c r="E2295" i="1"/>
  <c r="F2295" i="1"/>
  <c r="P2295" i="1"/>
  <c r="Q2295" i="1"/>
  <c r="R2295" i="1"/>
  <c r="E2296" i="1"/>
  <c r="F2296" i="1"/>
  <c r="P2296" i="1"/>
  <c r="Q2296" i="1"/>
  <c r="R2296" i="1"/>
  <c r="E2297" i="1"/>
  <c r="F2297" i="1"/>
  <c r="P2297" i="1"/>
  <c r="Q2297" i="1"/>
  <c r="R2297" i="1"/>
  <c r="E2298" i="1"/>
  <c r="F2298" i="1"/>
  <c r="P2298" i="1"/>
  <c r="Q2298" i="1"/>
  <c r="R2298" i="1"/>
  <c r="E2299" i="1"/>
  <c r="F2299" i="1"/>
  <c r="P2299" i="1"/>
  <c r="Q2299" i="1"/>
  <c r="R2299" i="1"/>
  <c r="E2300" i="1"/>
  <c r="F2300" i="1"/>
  <c r="P2300" i="1"/>
  <c r="Q2300" i="1"/>
  <c r="R2300" i="1"/>
  <c r="E2303" i="1"/>
  <c r="F2303" i="1"/>
  <c r="P2303" i="1"/>
  <c r="Q2303" i="1"/>
  <c r="G2304" i="1"/>
  <c r="C2304" i="1" s="1"/>
  <c r="E2305" i="1"/>
  <c r="F2305" i="1"/>
  <c r="L2305" i="1"/>
  <c r="P2305" i="1"/>
  <c r="S2305" i="1" s="1"/>
  <c r="Q2305" i="1"/>
  <c r="T2305" i="1" s="1"/>
  <c r="E2306" i="1"/>
  <c r="F2306" i="1"/>
  <c r="L2306" i="1"/>
  <c r="P2306" i="1"/>
  <c r="S2306" i="1" s="1"/>
  <c r="Q2306" i="1"/>
  <c r="T2306" i="1" s="1"/>
  <c r="E2307" i="1"/>
  <c r="F2307" i="1"/>
  <c r="L2307" i="1"/>
  <c r="P2307" i="1"/>
  <c r="S2307" i="1" s="1"/>
  <c r="Q2307" i="1"/>
  <c r="T2307" i="1" s="1"/>
  <c r="E2308" i="1"/>
  <c r="F2308" i="1"/>
  <c r="L2308" i="1"/>
  <c r="P2308" i="1"/>
  <c r="S2308" i="1" s="1"/>
  <c r="Q2308" i="1"/>
  <c r="T2308" i="1" s="1"/>
  <c r="E2311" i="1"/>
  <c r="F2311" i="1"/>
  <c r="P2311" i="1"/>
  <c r="Q2311" i="1"/>
  <c r="E2312" i="1"/>
  <c r="F2312" i="1"/>
  <c r="H2312" i="1"/>
  <c r="L2312" i="1" s="1"/>
  <c r="I2312" i="1"/>
  <c r="K2312" i="1"/>
  <c r="P2312" i="1"/>
  <c r="S2312" i="1" s="1"/>
  <c r="Q2312" i="1"/>
  <c r="T2312" i="1" s="1"/>
  <c r="U2312" i="1"/>
  <c r="E2313" i="1"/>
  <c r="F2313" i="1"/>
  <c r="H2313" i="1"/>
  <c r="L2313" i="1" s="1"/>
  <c r="P2313" i="1"/>
  <c r="Q2313" i="1"/>
  <c r="E2314" i="1"/>
  <c r="F2314" i="1"/>
  <c r="H2314" i="1"/>
  <c r="L2314" i="1" s="1"/>
  <c r="P2314" i="1"/>
  <c r="Q2314" i="1"/>
  <c r="E2315" i="1"/>
  <c r="F2315" i="1"/>
  <c r="H2315" i="1"/>
  <c r="L2315" i="1" s="1"/>
  <c r="P2315" i="1"/>
  <c r="Q2315" i="1"/>
  <c r="E2316" i="1"/>
  <c r="F2316" i="1"/>
  <c r="H2316" i="1"/>
  <c r="L2316" i="1" s="1"/>
  <c r="P2316" i="1"/>
  <c r="Q2316" i="1"/>
  <c r="E2317" i="1"/>
  <c r="F2317" i="1"/>
  <c r="P2317" i="1"/>
  <c r="Q2317" i="1"/>
  <c r="E2318" i="1"/>
  <c r="F2318" i="1"/>
  <c r="H2318" i="1"/>
  <c r="L2318" i="1" s="1"/>
  <c r="P2318" i="1"/>
  <c r="Q2318" i="1"/>
  <c r="E2319" i="1"/>
  <c r="F2319" i="1"/>
  <c r="H2319" i="1"/>
  <c r="L2319" i="1" s="1"/>
  <c r="P2319" i="1"/>
  <c r="Q2319" i="1"/>
  <c r="E2320" i="1"/>
  <c r="F2320" i="1"/>
  <c r="H2320" i="1"/>
  <c r="L2320" i="1" s="1"/>
  <c r="P2320" i="1"/>
  <c r="Q2320" i="1"/>
  <c r="E2321" i="1"/>
  <c r="F2321" i="1"/>
  <c r="H2321" i="1"/>
  <c r="P2321" i="1"/>
  <c r="Q2321" i="1"/>
  <c r="R2321" i="1"/>
  <c r="E2322" i="1"/>
  <c r="F2322" i="1"/>
  <c r="H2322" i="1"/>
  <c r="L2322" i="1" s="1"/>
  <c r="P2322" i="1"/>
  <c r="Q2322" i="1"/>
  <c r="E2323" i="1"/>
  <c r="F2323" i="1"/>
  <c r="H2323" i="1"/>
  <c r="P2323" i="1"/>
  <c r="Q2323" i="1"/>
  <c r="E2325" i="1"/>
  <c r="F2325" i="1"/>
  <c r="P2325" i="1"/>
  <c r="Q2325" i="1"/>
  <c r="E2326" i="1"/>
  <c r="F2326" i="1"/>
  <c r="H2326" i="1"/>
  <c r="L2326" i="1" s="1"/>
  <c r="P2326" i="1"/>
  <c r="Q2326" i="1"/>
  <c r="E2327" i="1"/>
  <c r="F2327" i="1"/>
  <c r="H2327" i="1"/>
  <c r="L2327" i="1" s="1"/>
  <c r="P2327" i="1"/>
  <c r="Q2327" i="1"/>
  <c r="E2328" i="1"/>
  <c r="F2328" i="1"/>
  <c r="H2328" i="1"/>
  <c r="L2328" i="1" s="1"/>
  <c r="P2328" i="1"/>
  <c r="Q2328" i="1"/>
  <c r="E2329" i="1"/>
  <c r="F2329" i="1"/>
  <c r="H2329" i="1"/>
  <c r="L2329" i="1" s="1"/>
  <c r="P2329" i="1"/>
  <c r="Q2329" i="1"/>
  <c r="E2330" i="1"/>
  <c r="F2330" i="1"/>
  <c r="H2330" i="1"/>
  <c r="L2330" i="1" s="1"/>
  <c r="P2330" i="1"/>
  <c r="Q2330" i="1"/>
  <c r="E2331" i="1"/>
  <c r="F2331" i="1"/>
  <c r="H2331" i="1"/>
  <c r="L2331" i="1" s="1"/>
  <c r="P2331" i="1"/>
  <c r="Q2331" i="1"/>
  <c r="E2332" i="1"/>
  <c r="F2332" i="1"/>
  <c r="H2332" i="1"/>
  <c r="L2332" i="1" s="1"/>
  <c r="P2332" i="1"/>
  <c r="Q2332" i="1"/>
  <c r="E2333" i="1"/>
  <c r="F2333" i="1"/>
  <c r="H2333" i="1"/>
  <c r="L2333" i="1" s="1"/>
  <c r="P2333" i="1"/>
  <c r="Q2333" i="1"/>
  <c r="E2334" i="1"/>
  <c r="F2334" i="1"/>
  <c r="H2334" i="1"/>
  <c r="L2334" i="1" s="1"/>
  <c r="P2334" i="1"/>
  <c r="Q2334" i="1"/>
  <c r="E2335" i="1"/>
  <c r="F2335" i="1"/>
  <c r="H2335" i="1"/>
  <c r="P2335" i="1"/>
  <c r="Q2335" i="1"/>
  <c r="R2335" i="1"/>
  <c r="E2336" i="1"/>
  <c r="F2336" i="1"/>
  <c r="H2336" i="1"/>
  <c r="L2336" i="1" s="1"/>
  <c r="P2336" i="1"/>
  <c r="Q2336" i="1"/>
  <c r="R2336" i="1"/>
  <c r="E2337" i="1"/>
  <c r="F2337" i="1"/>
  <c r="H2337" i="1"/>
  <c r="P2337" i="1"/>
  <c r="Q2337" i="1"/>
  <c r="E2339" i="1"/>
  <c r="F2339" i="1"/>
  <c r="P2339" i="1"/>
  <c r="Q2339" i="1"/>
  <c r="E2340" i="1"/>
  <c r="F2340" i="1"/>
  <c r="H2340" i="1"/>
  <c r="L2340" i="1" s="1"/>
  <c r="P2340" i="1"/>
  <c r="Q2340" i="1"/>
  <c r="E2341" i="1"/>
  <c r="F2341" i="1"/>
  <c r="H2341" i="1"/>
  <c r="L2341" i="1" s="1"/>
  <c r="P2341" i="1"/>
  <c r="Q2341" i="1"/>
  <c r="E2342" i="1"/>
  <c r="F2342" i="1"/>
  <c r="H2342" i="1"/>
  <c r="L2342" i="1" s="1"/>
  <c r="P2342" i="1"/>
  <c r="Q2342" i="1"/>
  <c r="E2343" i="1"/>
  <c r="F2343" i="1"/>
  <c r="H2343" i="1"/>
  <c r="L2343" i="1" s="1"/>
  <c r="P2343" i="1"/>
  <c r="Q2343" i="1"/>
  <c r="E2344" i="1"/>
  <c r="F2344" i="1"/>
  <c r="H2344" i="1"/>
  <c r="L2344" i="1" s="1"/>
  <c r="P2344" i="1"/>
  <c r="Q2344" i="1"/>
  <c r="E2345" i="1"/>
  <c r="F2345" i="1"/>
  <c r="H2345" i="1"/>
  <c r="L2345" i="1" s="1"/>
  <c r="P2345" i="1"/>
  <c r="Q2345" i="1"/>
  <c r="E2346" i="1"/>
  <c r="F2346" i="1"/>
  <c r="H2346" i="1"/>
  <c r="L2346" i="1" s="1"/>
  <c r="P2346" i="1"/>
  <c r="Q2346" i="1"/>
  <c r="E2347" i="1"/>
  <c r="F2347" i="1"/>
  <c r="H2347" i="1"/>
  <c r="P2347" i="1"/>
  <c r="Q2347" i="1"/>
  <c r="E2348" i="1"/>
  <c r="F2348" i="1"/>
  <c r="H2348" i="1"/>
  <c r="P2348" i="1"/>
  <c r="Q2348" i="1"/>
  <c r="E2349" i="1"/>
  <c r="F2349" i="1"/>
  <c r="H2349" i="1"/>
  <c r="Q2349" i="1"/>
  <c r="R2349" i="1"/>
  <c r="E2350" i="1"/>
  <c r="F2350" i="1"/>
  <c r="Q2350" i="1"/>
  <c r="E2351" i="1"/>
  <c r="F2351" i="1"/>
  <c r="Q2351" i="1"/>
  <c r="E2352" i="1"/>
  <c r="F2352" i="1"/>
  <c r="P2352" i="1"/>
  <c r="Q2352" i="1"/>
  <c r="B95" i="23"/>
  <c r="E95" i="23" s="1"/>
  <c r="K909" i="23"/>
  <c r="B358" i="23"/>
  <c r="G1415" i="1"/>
  <c r="K1415" i="1" s="1"/>
  <c r="G1413" i="1"/>
  <c r="T1413" i="1" s="1"/>
  <c r="A600" i="49"/>
  <c r="A601" i="49" s="1"/>
  <c r="A529" i="49"/>
  <c r="A530" i="49" s="1"/>
  <c r="A450" i="49"/>
  <c r="A451" i="49" s="1"/>
  <c r="A422" i="49"/>
  <c r="A363" i="49"/>
  <c r="G605" i="49"/>
  <c r="A605" i="49" s="1"/>
  <c r="N603" i="49"/>
  <c r="L603" i="49"/>
  <c r="G602" i="49"/>
  <c r="N600" i="49"/>
  <c r="L600" i="49"/>
  <c r="G537" i="49"/>
  <c r="G536" i="49"/>
  <c r="G531" i="49"/>
  <c r="M531" i="49" s="1"/>
  <c r="N529" i="49"/>
  <c r="L529" i="49"/>
  <c r="G458" i="49"/>
  <c r="G457" i="49"/>
  <c r="A457" i="49" s="1"/>
  <c r="G452" i="49"/>
  <c r="N450" i="49"/>
  <c r="L450" i="49"/>
  <c r="A437" i="49"/>
  <c r="A438" i="49" s="1"/>
  <c r="G257" i="49"/>
  <c r="A257" i="49" s="1"/>
  <c r="G210" i="49"/>
  <c r="G206" i="49"/>
  <c r="G205" i="49"/>
  <c r="G204" i="49"/>
  <c r="A204" i="49" s="1"/>
  <c r="G203" i="49"/>
  <c r="N201" i="49"/>
  <c r="L201" i="49"/>
  <c r="F1125" i="1"/>
  <c r="Q206" i="1"/>
  <c r="T206" i="1" s="1"/>
  <c r="Q145" i="1"/>
  <c r="T145" i="1" s="1"/>
  <c r="Q30" i="1"/>
  <c r="T30" i="1" s="1"/>
  <c r="Q15" i="1"/>
  <c r="T15" i="1" s="1"/>
  <c r="Q151" i="1"/>
  <c r="T151" i="1" s="1"/>
  <c r="Q146" i="1"/>
  <c r="T146" i="1" s="1"/>
  <c r="E18" i="1"/>
  <c r="E76" i="1"/>
  <c r="Q76" i="1"/>
  <c r="T76" i="1" s="1"/>
  <c r="F77" i="1"/>
  <c r="Q77" i="1"/>
  <c r="T77" i="1" s="1"/>
  <c r="F206" i="1"/>
  <c r="P169" i="1"/>
  <c r="S169" i="1" s="1"/>
  <c r="Q150" i="1"/>
  <c r="T150" i="1" s="1"/>
  <c r="E146" i="1"/>
  <c r="E145" i="1"/>
  <c r="Q31" i="1"/>
  <c r="T31" i="1" s="1"/>
  <c r="Q16" i="1"/>
  <c r="T16" i="1" s="1"/>
  <c r="Q18" i="1"/>
  <c r="T18" i="1" s="1"/>
  <c r="S77" i="1"/>
  <c r="E19" i="1"/>
  <c r="Q19" i="1"/>
  <c r="T19" i="1" s="1"/>
  <c r="P206" i="1"/>
  <c r="S206" i="1" s="1"/>
  <c r="Q204" i="1"/>
  <c r="T204" i="1" s="1"/>
  <c r="Q199" i="1"/>
  <c r="T199" i="1" s="1"/>
  <c r="Q182" i="1"/>
  <c r="T182" i="1" s="1"/>
  <c r="E169" i="1"/>
  <c r="F146" i="1"/>
  <c r="F145" i="1"/>
  <c r="Q128" i="1"/>
  <c r="T128" i="1" s="1"/>
  <c r="E31" i="1"/>
  <c r="E30" i="1"/>
  <c r="Q25" i="1"/>
  <c r="T25" i="1" s="1"/>
  <c r="E16" i="1"/>
  <c r="E15" i="1"/>
  <c r="P2237" i="1"/>
  <c r="F2237" i="1"/>
  <c r="T1582" i="1"/>
  <c r="Q1136" i="1"/>
  <c r="T1136" i="1" s="1"/>
  <c r="P1125" i="1"/>
  <c r="S1125" i="1" s="1"/>
  <c r="P225" i="1"/>
  <c r="S225" i="1" s="1"/>
  <c r="Q45" i="1"/>
  <c r="T45" i="1" s="1"/>
  <c r="T637" i="1"/>
  <c r="P215" i="1"/>
  <c r="S215" i="1" s="1"/>
  <c r="E51" i="1"/>
  <c r="Q51" i="1"/>
  <c r="T51" i="1" s="1"/>
  <c r="E1193" i="1"/>
  <c r="E1181" i="1"/>
  <c r="Q1175" i="1"/>
  <c r="T1175" i="1" s="1"/>
  <c r="E1163" i="1"/>
  <c r="Q1163" i="1"/>
  <c r="T1163" i="1" s="1"/>
  <c r="Q1141" i="1"/>
  <c r="T1141" i="1" s="1"/>
  <c r="Q2255" i="1"/>
  <c r="T2255" i="1" s="1"/>
  <c r="Q1199" i="1"/>
  <c r="T1199" i="1" s="1"/>
  <c r="Q1194" i="1"/>
  <c r="T1194" i="1" s="1"/>
  <c r="Q1193" i="1"/>
  <c r="T1193" i="1" s="1"/>
  <c r="E1182" i="1"/>
  <c r="Q1181" i="1"/>
  <c r="T1181" i="1" s="1"/>
  <c r="Q413" i="1"/>
  <c r="T413" i="1" s="1"/>
  <c r="P377" i="1"/>
  <c r="S377" i="1" s="1"/>
  <c r="P347" i="1"/>
  <c r="S347" i="1" s="1"/>
  <c r="Q265" i="1"/>
  <c r="T265" i="1" s="1"/>
  <c r="E215" i="1"/>
  <c r="Q123" i="1"/>
  <c r="T123" i="1" s="1"/>
  <c r="Q118" i="1"/>
  <c r="T118" i="1" s="1"/>
  <c r="Q113" i="1"/>
  <c r="T113" i="1" s="1"/>
  <c r="E50" i="1"/>
  <c r="Q50" i="1"/>
  <c r="T50" i="1" s="1"/>
  <c r="Q46" i="1"/>
  <c r="T46" i="1" s="1"/>
  <c r="P2236" i="1"/>
  <c r="E2236" i="1"/>
  <c r="Q1791" i="1"/>
  <c r="Q1164" i="1"/>
  <c r="T1164" i="1" s="1"/>
  <c r="Q1140" i="1"/>
  <c r="T1140" i="1" s="1"/>
  <c r="P1074" i="1"/>
  <c r="S1074" i="1" s="1"/>
  <c r="P1035" i="1"/>
  <c r="S1035" i="1" s="1"/>
  <c r="F1035" i="1"/>
  <c r="P984" i="1"/>
  <c r="S984" i="1" s="1"/>
  <c r="T719" i="1"/>
  <c r="U782" i="1"/>
  <c r="P372" i="1"/>
  <c r="S372" i="1" s="1"/>
  <c r="E347" i="1"/>
  <c r="P342" i="1"/>
  <c r="S342" i="1" s="1"/>
  <c r="Q264" i="1"/>
  <c r="T264" i="1" s="1"/>
  <c r="Q252" i="1"/>
  <c r="T252" i="1" s="1"/>
  <c r="Q248" i="1"/>
  <c r="T248" i="1" s="1"/>
  <c r="P236" i="1"/>
  <c r="S236" i="1" s="1"/>
  <c r="P231" i="1"/>
  <c r="S231" i="1" s="1"/>
  <c r="E225" i="1"/>
  <c r="Q193" i="1"/>
  <c r="T193" i="1" s="1"/>
  <c r="Q183" i="1"/>
  <c r="T183" i="1" s="1"/>
  <c r="Q112" i="1"/>
  <c r="T112" i="1" s="1"/>
  <c r="Q73" i="1"/>
  <c r="T73" i="1" s="1"/>
  <c r="E46" i="1"/>
  <c r="E45" i="1"/>
  <c r="E2265" i="1"/>
  <c r="F2265" i="1"/>
  <c r="E2254" i="1"/>
  <c r="Q2254" i="1"/>
  <c r="T2254" i="1" s="1"/>
  <c r="E2302" i="1"/>
  <c r="F2268" i="1"/>
  <c r="E2256" i="1"/>
  <c r="Q2256" i="1"/>
  <c r="T2256" i="1" s="1"/>
  <c r="Q1170" i="1"/>
  <c r="T1170" i="1" s="1"/>
  <c r="E1141" i="1"/>
  <c r="E1140" i="1"/>
  <c r="Q1135" i="1"/>
  <c r="T1135" i="1" s="1"/>
  <c r="U636" i="1"/>
  <c r="U1680" i="1"/>
  <c r="E1194" i="1"/>
  <c r="Q1188" i="1"/>
  <c r="T1188" i="1" s="1"/>
  <c r="F1074" i="1"/>
  <c r="P1050" i="1"/>
  <c r="S1050" i="1" s="1"/>
  <c r="F1050" i="1"/>
  <c r="Q414" i="1"/>
  <c r="T414" i="1" s="1"/>
  <c r="Q347" i="1"/>
  <c r="T347" i="1" s="1"/>
  <c r="F347" i="1"/>
  <c r="E342" i="1"/>
  <c r="P322" i="1"/>
  <c r="S322" i="1" s="1"/>
  <c r="P296" i="1"/>
  <c r="S296" i="1" s="1"/>
  <c r="E265" i="1"/>
  <c r="E264" i="1"/>
  <c r="Q259" i="1"/>
  <c r="T259" i="1" s="1"/>
  <c r="Q242" i="1"/>
  <c r="T242" i="1" s="1"/>
  <c r="Q198" i="1"/>
  <c r="T198" i="1" s="1"/>
  <c r="Q194" i="1"/>
  <c r="T194" i="1" s="1"/>
  <c r="E183" i="1"/>
  <c r="E182" i="1"/>
  <c r="Q169" i="1"/>
  <c r="T169" i="1" s="1"/>
  <c r="F169" i="1"/>
  <c r="E113" i="1"/>
  <c r="E112" i="1"/>
  <c r="Q107" i="1"/>
  <c r="T107" i="1" s="1"/>
  <c r="F2256" i="1"/>
  <c r="F2254" i="1"/>
  <c r="Q1187" i="1"/>
  <c r="T1187" i="1" s="1"/>
  <c r="Q1789" i="1"/>
  <c r="U1681" i="1"/>
  <c r="T1630" i="1"/>
  <c r="T1628" i="1"/>
  <c r="T1627" i="1"/>
  <c r="F1182" i="1"/>
  <c r="F1181" i="1"/>
  <c r="Q1176" i="1"/>
  <c r="T1176" i="1" s="1"/>
  <c r="Q1169" i="1"/>
  <c r="T1169" i="1" s="1"/>
  <c r="E1136" i="1"/>
  <c r="E1135" i="1"/>
  <c r="F984" i="1"/>
  <c r="U739" i="1"/>
  <c r="T705" i="1"/>
  <c r="T672" i="1"/>
  <c r="U644" i="1"/>
  <c r="Q258" i="1"/>
  <c r="T258" i="1" s="1"/>
  <c r="Q243" i="1"/>
  <c r="T243" i="1" s="1"/>
  <c r="E232" i="1"/>
  <c r="P226" i="1"/>
  <c r="S226" i="1" s="1"/>
  <c r="F220" i="1"/>
  <c r="Q220" i="1"/>
  <c r="T220" i="1" s="1"/>
  <c r="E414" i="1"/>
  <c r="E413" i="1"/>
  <c r="Q406" i="1"/>
  <c r="T406" i="1" s="1"/>
  <c r="Q342" i="1"/>
  <c r="T342" i="1" s="1"/>
  <c r="F342" i="1"/>
  <c r="E322" i="1"/>
  <c r="P308" i="1"/>
  <c r="S308" i="1" s="1"/>
  <c r="Q253" i="1"/>
  <c r="T253" i="1" s="1"/>
  <c r="Q247" i="1"/>
  <c r="T247" i="1" s="1"/>
  <c r="E237" i="1"/>
  <c r="P232" i="1"/>
  <c r="S232" i="1" s="1"/>
  <c r="E220" i="1"/>
  <c r="E199" i="1"/>
  <c r="E198" i="1"/>
  <c r="E194" i="1"/>
  <c r="E193" i="1"/>
  <c r="F183" i="1"/>
  <c r="F182" i="1"/>
  <c r="Q176" i="1"/>
  <c r="T176" i="1" s="1"/>
  <c r="Q129" i="1"/>
  <c r="T129" i="1" s="1"/>
  <c r="Q124" i="1"/>
  <c r="T124" i="1" s="1"/>
  <c r="Q106" i="1"/>
  <c r="T106" i="1" s="1"/>
  <c r="Q81" i="1"/>
  <c r="T81" i="1" s="1"/>
  <c r="E74" i="1"/>
  <c r="E73" i="1"/>
  <c r="F46" i="1"/>
  <c r="F45" i="1"/>
  <c r="Q40" i="1"/>
  <c r="T40" i="1" s="1"/>
  <c r="Q36" i="1"/>
  <c r="T36" i="1" s="1"/>
  <c r="Q2302" i="1"/>
  <c r="F2302" i="1"/>
  <c r="P2266" i="1"/>
  <c r="E2266" i="1"/>
  <c r="F2255" i="1"/>
  <c r="Q1790" i="1"/>
  <c r="Q1788" i="1"/>
  <c r="E1176" i="1"/>
  <c r="E1175" i="1"/>
  <c r="E1170" i="1"/>
  <c r="E1169" i="1"/>
  <c r="F1141" i="1"/>
  <c r="F1140" i="1"/>
  <c r="F1136" i="1"/>
  <c r="F1135" i="1"/>
  <c r="P1023" i="1"/>
  <c r="S1023" i="1" s="1"/>
  <c r="F1023" i="1"/>
  <c r="P1011" i="1"/>
  <c r="S1011" i="1" s="1"/>
  <c r="F1011" i="1"/>
  <c r="T798" i="1"/>
  <c r="U1682" i="1"/>
  <c r="T1634" i="1"/>
  <c r="T1632" i="1"/>
  <c r="T1631" i="1"/>
  <c r="U1630" i="1"/>
  <c r="H1630" i="1"/>
  <c r="Q1200" i="1"/>
  <c r="T1200" i="1" s="1"/>
  <c r="E1188" i="1"/>
  <c r="E1187" i="1"/>
  <c r="S782" i="1"/>
  <c r="U738" i="1"/>
  <c r="U720" i="1"/>
  <c r="U719" i="1"/>
  <c r="U548" i="1"/>
  <c r="F414" i="1"/>
  <c r="F413" i="1"/>
  <c r="Q407" i="1"/>
  <c r="T407" i="1" s="1"/>
  <c r="E406" i="1"/>
  <c r="F377" i="1"/>
  <c r="Q377" i="1"/>
  <c r="T377" i="1" s="1"/>
  <c r="P341" i="1"/>
  <c r="S341" i="1" s="1"/>
  <c r="E308" i="1"/>
  <c r="E259" i="1"/>
  <c r="E258" i="1"/>
  <c r="E253" i="1"/>
  <c r="E252" i="1"/>
  <c r="E248" i="1"/>
  <c r="E247" i="1"/>
  <c r="E243" i="1"/>
  <c r="E242" i="1"/>
  <c r="E236" i="1"/>
  <c r="E231" i="1"/>
  <c r="Q225" i="1"/>
  <c r="T225" i="1" s="1"/>
  <c r="F225" i="1"/>
  <c r="P221" i="1"/>
  <c r="S221" i="1" s="1"/>
  <c r="E188" i="1"/>
  <c r="E216" i="1"/>
  <c r="Q203" i="1"/>
  <c r="T203" i="1" s="1"/>
  <c r="E187" i="1"/>
  <c r="Q177" i="1"/>
  <c r="T177" i="1" s="1"/>
  <c r="Q159" i="1"/>
  <c r="T159" i="1" s="1"/>
  <c r="E129" i="1"/>
  <c r="E128" i="1"/>
  <c r="E124" i="1"/>
  <c r="E123" i="1"/>
  <c r="Q119" i="1"/>
  <c r="T119" i="1" s="1"/>
  <c r="E107" i="1"/>
  <c r="E106" i="1"/>
  <c r="Q82" i="1"/>
  <c r="T82" i="1" s="1"/>
  <c r="Q41" i="1"/>
  <c r="T41" i="1" s="1"/>
  <c r="Q35" i="1"/>
  <c r="T35" i="1" s="1"/>
  <c r="Q24" i="1"/>
  <c r="T24" i="1" s="1"/>
  <c r="Q2266" i="1"/>
  <c r="F2266" i="1"/>
  <c r="P2256" i="1"/>
  <c r="S2256" i="1" s="1"/>
  <c r="P2255" i="1"/>
  <c r="S2255" i="1" s="1"/>
  <c r="P2254" i="1"/>
  <c r="S2254" i="1" s="1"/>
  <c r="Q2236" i="1"/>
  <c r="F2236" i="1"/>
  <c r="U1632" i="1"/>
  <c r="H1632" i="1"/>
  <c r="T1629" i="1"/>
  <c r="U1628" i="1"/>
  <c r="H1628" i="1"/>
  <c r="G1416" i="1"/>
  <c r="C1416" i="1" s="1"/>
  <c r="G1412" i="1"/>
  <c r="K1412" i="1" s="1"/>
  <c r="E1200" i="1"/>
  <c r="E1199" i="1"/>
  <c r="F1176" i="1"/>
  <c r="F1175" i="1"/>
  <c r="F1170" i="1"/>
  <c r="F1169" i="1"/>
  <c r="P1062" i="1"/>
  <c r="S1062" i="1" s="1"/>
  <c r="F1062" i="1"/>
  <c r="T782" i="1"/>
  <c r="T689" i="1"/>
  <c r="U651" i="1"/>
  <c r="T548" i="1"/>
  <c r="F382" i="1"/>
  <c r="Q382" i="1"/>
  <c r="T382" i="1" s="1"/>
  <c r="F371" i="1"/>
  <c r="Q371" i="1"/>
  <c r="T371" i="1" s="1"/>
  <c r="U456" i="1"/>
  <c r="F406" i="1"/>
  <c r="E382" i="1"/>
  <c r="E371" i="1"/>
  <c r="E346" i="1"/>
  <c r="E341" i="1"/>
  <c r="Q322" i="1"/>
  <c r="T322" i="1" s="1"/>
  <c r="F322" i="1"/>
  <c r="Q308" i="1"/>
  <c r="T308" i="1" s="1"/>
  <c r="F308" i="1"/>
  <c r="E296" i="1"/>
  <c r="F248" i="1"/>
  <c r="F247" i="1"/>
  <c r="Q237" i="1"/>
  <c r="T237" i="1" s="1"/>
  <c r="F237" i="1"/>
  <c r="Q231" i="1"/>
  <c r="T231" i="1" s="1"/>
  <c r="F231" i="1"/>
  <c r="E226" i="1"/>
  <c r="E221" i="1"/>
  <c r="Q216" i="1"/>
  <c r="T216" i="1" s="1"/>
  <c r="F216" i="1"/>
  <c r="P207" i="1"/>
  <c r="E207" i="1"/>
  <c r="E204" i="1"/>
  <c r="E203" i="1"/>
  <c r="F188" i="1"/>
  <c r="F187" i="1"/>
  <c r="E177" i="1"/>
  <c r="E176" i="1"/>
  <c r="F151" i="1"/>
  <c r="F150" i="1"/>
  <c r="F129" i="1"/>
  <c r="F128" i="1"/>
  <c r="F124" i="1"/>
  <c r="F123" i="1"/>
  <c r="F113" i="1"/>
  <c r="F112" i="1"/>
  <c r="E82" i="1"/>
  <c r="E81" i="1"/>
  <c r="E41" i="1"/>
  <c r="E40" i="1"/>
  <c r="E36" i="1"/>
  <c r="E35" i="1"/>
  <c r="F31" i="1"/>
  <c r="F30" i="1"/>
  <c r="E25" i="1"/>
  <c r="E24" i="1"/>
  <c r="F16" i="1"/>
  <c r="F15" i="1"/>
  <c r="Q2265" i="1"/>
  <c r="Q2237" i="1"/>
  <c r="H1582" i="1"/>
  <c r="F1158" i="1"/>
  <c r="F1157" i="1"/>
  <c r="E996" i="1"/>
  <c r="P996" i="1"/>
  <c r="S996" i="1" s="1"/>
  <c r="U1689" i="1"/>
  <c r="U1688" i="1"/>
  <c r="U1687" i="1"/>
  <c r="U1686" i="1"/>
  <c r="U1685" i="1"/>
  <c r="U1684" i="1"/>
  <c r="U1634" i="1"/>
  <c r="H1634" i="1"/>
  <c r="U1631" i="1"/>
  <c r="H1631" i="1"/>
  <c r="U1629" i="1"/>
  <c r="H1629" i="1"/>
  <c r="U1627" i="1"/>
  <c r="H1627" i="1"/>
  <c r="F1200" i="1"/>
  <c r="F1199" i="1"/>
  <c r="F1194" i="1"/>
  <c r="F1193" i="1"/>
  <c r="F1188" i="1"/>
  <c r="F1187" i="1"/>
  <c r="F1164" i="1"/>
  <c r="F1163" i="1"/>
  <c r="E1158" i="1"/>
  <c r="E1157" i="1"/>
  <c r="E1114" i="1"/>
  <c r="P1114" i="1"/>
  <c r="S1114" i="1" s="1"/>
  <c r="T711" i="1"/>
  <c r="T697" i="1"/>
  <c r="U853" i="1"/>
  <c r="U766" i="1"/>
  <c r="T746" i="1"/>
  <c r="T738" i="1"/>
  <c r="U711" i="1"/>
  <c r="T704" i="1"/>
  <c r="U514" i="1"/>
  <c r="T555" i="1"/>
  <c r="U511" i="1"/>
  <c r="U510" i="1"/>
  <c r="T497" i="1"/>
  <c r="F422" i="1"/>
  <c r="F421" i="1"/>
  <c r="F402" i="1"/>
  <c r="F401" i="1"/>
  <c r="F396" i="1"/>
  <c r="F395" i="1"/>
  <c r="F390" i="1"/>
  <c r="F389" i="1"/>
  <c r="F383" i="1"/>
  <c r="Q383" i="1"/>
  <c r="T383" i="1" s="1"/>
  <c r="F378" i="1"/>
  <c r="Q378" i="1"/>
  <c r="T378" i="1" s="1"/>
  <c r="T464" i="1"/>
  <c r="E422" i="1"/>
  <c r="E421" i="1"/>
  <c r="F407" i="1"/>
  <c r="E402" i="1"/>
  <c r="E401" i="1"/>
  <c r="E396" i="1"/>
  <c r="E395" i="1"/>
  <c r="E390" i="1"/>
  <c r="E389" i="1"/>
  <c r="E383" i="1"/>
  <c r="E378" i="1"/>
  <c r="F372" i="1"/>
  <c r="Q372" i="1"/>
  <c r="T372" i="1" s="1"/>
  <c r="Q346" i="1"/>
  <c r="T346" i="1" s="1"/>
  <c r="F346" i="1"/>
  <c r="Q341" i="1"/>
  <c r="T341" i="1" s="1"/>
  <c r="F341" i="1"/>
  <c r="U297" i="1"/>
  <c r="Q296" i="1"/>
  <c r="T296" i="1" s="1"/>
  <c r="F296" i="1"/>
  <c r="F265" i="1"/>
  <c r="F264" i="1"/>
  <c r="F259" i="1"/>
  <c r="F258" i="1"/>
  <c r="F253" i="1"/>
  <c r="F252" i="1"/>
  <c r="F243" i="1"/>
  <c r="F242" i="1"/>
  <c r="Q236" i="1"/>
  <c r="T236" i="1" s="1"/>
  <c r="F236" i="1"/>
  <c r="Q232" i="1"/>
  <c r="T232" i="1" s="1"/>
  <c r="F232" i="1"/>
  <c r="Q226" i="1"/>
  <c r="T226" i="1" s="1"/>
  <c r="F226" i="1"/>
  <c r="Q221" i="1"/>
  <c r="T221" i="1" s="1"/>
  <c r="F221" i="1"/>
  <c r="Q215" i="1"/>
  <c r="T215" i="1" s="1"/>
  <c r="F215" i="1"/>
  <c r="Q207" i="1"/>
  <c r="T207" i="1" s="1"/>
  <c r="F207" i="1"/>
  <c r="F204" i="1"/>
  <c r="F203" i="1"/>
  <c r="F199" i="1"/>
  <c r="F198" i="1"/>
  <c r="F194" i="1"/>
  <c r="F193" i="1"/>
  <c r="F177" i="1"/>
  <c r="F176" i="1"/>
  <c r="F159" i="1"/>
  <c r="P159" i="1"/>
  <c r="S159" i="1" s="1"/>
  <c r="F119" i="1"/>
  <c r="F118" i="1"/>
  <c r="F107" i="1"/>
  <c r="F106" i="1"/>
  <c r="F82" i="1"/>
  <c r="F81" i="1"/>
  <c r="Q74" i="1"/>
  <c r="F74" i="1"/>
  <c r="F73" i="1"/>
  <c r="F41" i="1"/>
  <c r="F40" i="1"/>
  <c r="F36" i="1"/>
  <c r="F35" i="1"/>
  <c r="F25" i="1"/>
  <c r="F24" i="1"/>
  <c r="F209" i="1"/>
  <c r="E210" i="1"/>
  <c r="P209" i="1"/>
  <c r="S209" i="1" s="1"/>
  <c r="P210" i="1"/>
  <c r="S210" i="1" s="1"/>
  <c r="U211" i="1"/>
  <c r="U210" i="1"/>
  <c r="E209" i="1"/>
  <c r="F210" i="1"/>
  <c r="U746" i="1"/>
  <c r="T532" i="1"/>
  <c r="U497" i="1"/>
  <c r="U464" i="1"/>
  <c r="F133" i="1"/>
  <c r="E134" i="1"/>
  <c r="Q134" i="1"/>
  <c r="T134" i="1" s="1"/>
  <c r="E133" i="1"/>
  <c r="U926" i="1"/>
  <c r="T915" i="1"/>
  <c r="T799" i="1"/>
  <c r="T514" i="1"/>
  <c r="M582" i="23"/>
  <c r="J24" i="49"/>
  <c r="N24" i="49" s="1"/>
  <c r="P2042" i="1"/>
  <c r="P132" i="1"/>
  <c r="S132" i="1" s="1"/>
  <c r="P141" i="1"/>
  <c r="S141" i="1" s="1"/>
  <c r="P337" i="1"/>
  <c r="S337" i="1" s="1"/>
  <c r="P49" i="1"/>
  <c r="S49" i="1" s="1"/>
  <c r="P1599" i="1"/>
  <c r="S1599" i="1" s="1"/>
  <c r="K1361" i="23"/>
  <c r="I1361" i="23"/>
  <c r="F1361" i="23"/>
  <c r="F1229" i="23"/>
  <c r="O188" i="49"/>
  <c r="N464" i="49"/>
  <c r="M188" i="49"/>
  <c r="O565" i="49"/>
  <c r="G562" i="49"/>
  <c r="L562" i="49" s="1"/>
  <c r="N555" i="49"/>
  <c r="G535" i="49"/>
  <c r="A535" i="49" s="1"/>
  <c r="G472" i="49"/>
  <c r="A472" i="49" s="1"/>
  <c r="G466" i="49"/>
  <c r="G474" i="49" s="1"/>
  <c r="L464" i="49"/>
  <c r="G456" i="49"/>
  <c r="O450" i="49"/>
  <c r="K24" i="49"/>
  <c r="O24" i="49" s="1"/>
  <c r="G475" i="49"/>
  <c r="G471" i="49"/>
  <c r="G470" i="49"/>
  <c r="A470" i="49" s="1"/>
  <c r="O464" i="49"/>
  <c r="M464" i="49"/>
  <c r="G625" i="49"/>
  <c r="A625" i="49" s="1"/>
  <c r="G609" i="49"/>
  <c r="L609" i="49" s="1"/>
  <c r="O600" i="49"/>
  <c r="L555" i="49"/>
  <c r="G524" i="49"/>
  <c r="A524" i="49" s="1"/>
  <c r="O516" i="49"/>
  <c r="G209" i="49"/>
  <c r="A209" i="49" s="1"/>
  <c r="O201" i="49"/>
  <c r="P1379" i="1"/>
  <c r="H3396" i="23"/>
  <c r="N685" i="49"/>
  <c r="G564" i="49"/>
  <c r="M564" i="49" s="1"/>
  <c r="G563" i="49"/>
  <c r="A563" i="49" s="1"/>
  <c r="G560" i="49"/>
  <c r="A560" i="49" s="1"/>
  <c r="O555" i="49"/>
  <c r="M555" i="49"/>
  <c r="M529" i="49"/>
  <c r="G445" i="49"/>
  <c r="M445" i="49" s="1"/>
  <c r="N437" i="49"/>
  <c r="M25" i="49"/>
  <c r="A25" i="49"/>
  <c r="O603" i="49"/>
  <c r="G528" i="49"/>
  <c r="A528" i="49" s="1"/>
  <c r="M516" i="49"/>
  <c r="G448" i="49"/>
  <c r="L448" i="49" s="1"/>
  <c r="G444" i="49"/>
  <c r="A444" i="49" s="1"/>
  <c r="G443" i="49"/>
  <c r="G439" i="49"/>
  <c r="L437" i="49"/>
  <c r="M603" i="49"/>
  <c r="G540" i="49"/>
  <c r="L540" i="49" s="1"/>
  <c r="O529" i="49"/>
  <c r="G527" i="49"/>
  <c r="M527" i="49" s="1"/>
  <c r="G523" i="49"/>
  <c r="M523" i="49" s="1"/>
  <c r="G522" i="49"/>
  <c r="M522" i="49" s="1"/>
  <c r="G518" i="49"/>
  <c r="M518" i="49" s="1"/>
  <c r="N516" i="49"/>
  <c r="L516" i="49"/>
  <c r="O437" i="49"/>
  <c r="M437" i="49"/>
  <c r="A427" i="49"/>
  <c r="N188" i="49"/>
  <c r="L188" i="49"/>
  <c r="Q60" i="1"/>
  <c r="H75" i="49"/>
  <c r="H70" i="49"/>
  <c r="H78" i="49"/>
  <c r="L78" i="49" s="1"/>
  <c r="F1170" i="23"/>
  <c r="D1127" i="23"/>
  <c r="H1127" i="23"/>
  <c r="D1170" i="23"/>
  <c r="H1170" i="23"/>
  <c r="B34" i="23"/>
  <c r="B1105" i="23"/>
  <c r="E1131" i="23"/>
  <c r="L23" i="23"/>
  <c r="B1106" i="23"/>
  <c r="F1131" i="23"/>
  <c r="D1131" i="23"/>
  <c r="E1126" i="23"/>
  <c r="E1170" i="23"/>
  <c r="H525" i="23"/>
  <c r="H335" i="23"/>
  <c r="H2323" i="23"/>
  <c r="J1361" i="23"/>
  <c r="H143" i="23"/>
  <c r="H89" i="23"/>
  <c r="E525" i="23"/>
  <c r="E89" i="23"/>
  <c r="B35" i="23"/>
  <c r="K697" i="23"/>
  <c r="K335" i="23"/>
  <c r="K143" i="23"/>
  <c r="E143" i="23"/>
  <c r="F89" i="23"/>
  <c r="J81" i="23"/>
  <c r="E1361" i="23"/>
  <c r="H403" i="23"/>
  <c r="J143" i="23"/>
  <c r="F143" i="23"/>
  <c r="H2324" i="23"/>
  <c r="E958" i="23"/>
  <c r="K958" i="23"/>
  <c r="K402" i="23"/>
  <c r="J335" i="23"/>
  <c r="H144" i="23"/>
  <c r="H1361" i="23"/>
  <c r="E81" i="23"/>
  <c r="E54" i="23"/>
  <c r="E38" i="23"/>
  <c r="L21" i="23"/>
  <c r="J697" i="23"/>
  <c r="F344" i="23"/>
  <c r="K178" i="23"/>
  <c r="E178" i="23"/>
  <c r="J2324" i="23"/>
  <c r="J2323" i="23"/>
  <c r="J932" i="23"/>
  <c r="F178" i="23"/>
  <c r="K81" i="23"/>
  <c r="F81" i="23"/>
  <c r="H68" i="23"/>
  <c r="J54" i="23"/>
  <c r="J38" i="23"/>
  <c r="G34" i="23"/>
  <c r="L15" i="23"/>
  <c r="L12" i="23"/>
  <c r="L11" i="23"/>
  <c r="L9" i="23"/>
  <c r="I8" i="23"/>
  <c r="I6" i="23"/>
  <c r="M1168" i="23"/>
  <c r="A1168" i="23"/>
  <c r="B122" i="23"/>
  <c r="L22" i="23"/>
  <c r="G1359" i="23"/>
  <c r="G1410" i="23" s="1"/>
  <c r="B213" i="23"/>
  <c r="J213" i="23" s="1"/>
  <c r="B123" i="23"/>
  <c r="J123" i="23" s="1"/>
  <c r="A702" i="23"/>
  <c r="A699" i="23"/>
  <c r="M699" i="23"/>
  <c r="M702" i="23"/>
  <c r="B913" i="23"/>
  <c r="D913" i="23" s="1"/>
  <c r="D272" i="23"/>
  <c r="H271" i="23"/>
  <c r="G745" i="23"/>
  <c r="G751" i="23" s="1"/>
  <c r="G567" i="23"/>
  <c r="G575" i="23" s="1"/>
  <c r="G579" i="23" s="1"/>
  <c r="G462" i="49"/>
  <c r="L462" i="49" s="1"/>
  <c r="M368" i="49"/>
  <c r="H2635" i="23"/>
  <c r="H2444" i="23"/>
  <c r="H1274" i="23"/>
  <c r="H1403" i="23"/>
  <c r="H1140" i="23"/>
  <c r="H940" i="23"/>
  <c r="H692" i="23"/>
  <c r="H595" i="23"/>
  <c r="H2291" i="23"/>
  <c r="H1709" i="23"/>
  <c r="H1553" i="23"/>
  <c r="H1147" i="23"/>
  <c r="H794" i="23"/>
  <c r="H939" i="23"/>
  <c r="H597" i="23"/>
  <c r="H793" i="23"/>
  <c r="H1130" i="23"/>
  <c r="H1125" i="23"/>
  <c r="H1139" i="23"/>
  <c r="H1157" i="23"/>
  <c r="H1152" i="23"/>
  <c r="H941" i="23"/>
  <c r="H596" i="23"/>
  <c r="H795" i="23"/>
  <c r="B96" i="23"/>
  <c r="F96" i="23" s="1"/>
  <c r="G1647" i="23"/>
  <c r="H1707" i="23"/>
  <c r="H1272" i="23"/>
  <c r="H1551" i="23"/>
  <c r="H2289" i="23"/>
  <c r="H1145" i="23"/>
  <c r="H1401" i="23"/>
  <c r="J689" i="49"/>
  <c r="J703" i="49"/>
  <c r="H1666" i="23"/>
  <c r="H2279" i="23"/>
  <c r="H2425" i="23"/>
  <c r="H1260" i="23"/>
  <c r="H1668" i="23"/>
  <c r="H2281" i="23"/>
  <c r="H1137" i="23"/>
  <c r="H1543" i="23"/>
  <c r="H2427" i="23"/>
  <c r="H3417" i="23"/>
  <c r="H1136" i="23"/>
  <c r="H1542" i="23"/>
  <c r="H2426" i="23"/>
  <c r="H1259" i="23"/>
  <c r="H1667" i="23"/>
  <c r="H2280" i="23"/>
  <c r="H3416" i="23"/>
  <c r="F1114" i="1"/>
  <c r="E1050" i="1"/>
  <c r="E1035" i="1"/>
  <c r="E1125" i="1"/>
  <c r="E1074" i="1"/>
  <c r="F996" i="1"/>
  <c r="Q2268" i="1"/>
  <c r="P2268" i="1"/>
  <c r="R2268" i="1"/>
  <c r="E2268" i="1"/>
  <c r="O297" i="1"/>
  <c r="G519" i="1"/>
  <c r="U519" i="1" s="1"/>
  <c r="O664" i="1"/>
  <c r="N650" i="1"/>
  <c r="N643" i="1"/>
  <c r="O637" i="1"/>
  <c r="O548" i="1"/>
  <c r="G545" i="1"/>
  <c r="U545" i="1" s="1"/>
  <c r="S476" i="1"/>
  <c r="F1791" i="1"/>
  <c r="P2302" i="1"/>
  <c r="E1062" i="1"/>
  <c r="E1023" i="1"/>
  <c r="E1011" i="1"/>
  <c r="E984" i="1"/>
  <c r="M427" i="49"/>
  <c r="L565" i="49"/>
  <c r="G574" i="49"/>
  <c r="M565" i="49"/>
  <c r="A565" i="49"/>
  <c r="A566" i="49" s="1"/>
  <c r="G572" i="49"/>
  <c r="A572" i="49" s="1"/>
  <c r="G571" i="49"/>
  <c r="F1565" i="1"/>
  <c r="U1683" i="1"/>
  <c r="C1683" i="1"/>
  <c r="C1687" i="1"/>
  <c r="U819" i="1"/>
  <c r="U799" i="1"/>
  <c r="T926" i="1"/>
  <c r="U818" i="1"/>
  <c r="U793" i="1"/>
  <c r="U770" i="1"/>
  <c r="O688" i="1"/>
  <c r="N719" i="1"/>
  <c r="N738" i="1"/>
  <c r="O739" i="1"/>
  <c r="O744" i="1"/>
  <c r="O746" i="1"/>
  <c r="N752" i="1"/>
  <c r="N766" i="1"/>
  <c r="N798" i="1"/>
  <c r="O799" i="1"/>
  <c r="O839" i="1"/>
  <c r="O1090" i="1"/>
  <c r="G190" i="49"/>
  <c r="G192" i="49"/>
  <c r="A192" i="49" s="1"/>
  <c r="G197" i="49"/>
  <c r="A197" i="49" s="1"/>
  <c r="N565" i="49"/>
  <c r="O411" i="49"/>
  <c r="C1646" i="23"/>
  <c r="G1654" i="23"/>
  <c r="A1646" i="23"/>
  <c r="M410" i="49"/>
  <c r="N410" i="49"/>
  <c r="M411" i="49"/>
  <c r="A411" i="49"/>
  <c r="C408" i="49"/>
  <c r="G408" i="49" s="1"/>
  <c r="M408" i="49" s="1"/>
  <c r="C406" i="49"/>
  <c r="G406" i="49" s="1"/>
  <c r="G490" i="49"/>
  <c r="G493" i="49" s="1"/>
  <c r="M493" i="49" s="1"/>
  <c r="C1875" i="1"/>
  <c r="U1875" i="1"/>
  <c r="H1875" i="1"/>
  <c r="L1875" i="1" s="1"/>
  <c r="T807" i="1"/>
  <c r="S510" i="1"/>
  <c r="G2258" i="1"/>
  <c r="G2253" i="1"/>
  <c r="BH40" i="63"/>
  <c r="BF40" i="63"/>
  <c r="F3" i="49" s="1"/>
  <c r="G101" i="49" s="1"/>
  <c r="BA40" i="63"/>
  <c r="AY40" i="63"/>
  <c r="I3" i="49" s="1"/>
  <c r="G211" i="49" s="1"/>
  <c r="AV40" i="63"/>
  <c r="H1599" i="1"/>
  <c r="G1373" i="1"/>
  <c r="K1373" i="1" s="1"/>
  <c r="AU40" i="63"/>
  <c r="AL40" i="63"/>
  <c r="AJ40" i="63"/>
  <c r="G41" i="49" s="1"/>
  <c r="A41" i="49" s="1"/>
  <c r="AH40" i="63"/>
  <c r="AF40" i="63"/>
  <c r="G23" i="49" s="1"/>
  <c r="G35" i="49" s="1"/>
  <c r="G92" i="49" s="1"/>
  <c r="A92" i="49" s="1"/>
  <c r="AB40" i="63"/>
  <c r="T40" i="63"/>
  <c r="G384" i="49" s="1"/>
  <c r="G387" i="49" s="1"/>
  <c r="A387" i="49" s="1"/>
  <c r="N40" i="63"/>
  <c r="G73" i="49" s="1"/>
  <c r="A73" i="49" s="1"/>
  <c r="G317" i="49"/>
  <c r="A317" i="49" s="1"/>
  <c r="G40" i="63"/>
  <c r="G300" i="49" s="1"/>
  <c r="G305" i="49" s="1"/>
  <c r="L305" i="49" s="1"/>
  <c r="B40" i="63"/>
  <c r="G2179" i="1"/>
  <c r="G413" i="49"/>
  <c r="M413" i="49" s="1"/>
  <c r="G191" i="49"/>
  <c r="A191" i="49" s="1"/>
  <c r="G193" i="49"/>
  <c r="A193" i="49" s="1"/>
  <c r="U915" i="1"/>
  <c r="AW40" i="63"/>
  <c r="B124" i="23"/>
  <c r="E124" i="23" s="1"/>
  <c r="AZ40" i="63"/>
  <c r="BB40" i="63"/>
  <c r="AM40" i="63"/>
  <c r="AD40" i="63"/>
  <c r="F40" i="63"/>
  <c r="G293" i="49" s="1"/>
  <c r="N17" i="1"/>
  <c r="N20" i="1" s="1"/>
  <c r="N21" i="1"/>
  <c r="N24" i="1" s="1"/>
  <c r="C1355" i="23"/>
  <c r="C1600" i="1"/>
  <c r="T1600" i="1"/>
  <c r="H1600" i="1"/>
  <c r="C3385" i="23"/>
  <c r="C2387" i="23"/>
  <c r="C1602" i="1"/>
  <c r="T1602" i="1"/>
  <c r="H1602" i="1"/>
  <c r="T1565" i="1"/>
  <c r="U1644" i="1"/>
  <c r="C1641" i="1"/>
  <c r="H1641" i="1"/>
  <c r="T1625" i="1"/>
  <c r="H1625" i="1"/>
  <c r="C1625" i="1"/>
  <c r="G1502" i="1"/>
  <c r="C1500" i="1"/>
  <c r="T1633" i="1"/>
  <c r="L410" i="49"/>
  <c r="U1641" i="1"/>
  <c r="T1599" i="1"/>
  <c r="T1641" i="1"/>
  <c r="C1599" i="1"/>
  <c r="G1414" i="1"/>
  <c r="T1414" i="1" s="1"/>
  <c r="C1633" i="1"/>
  <c r="U1633" i="1"/>
  <c r="H1633" i="1"/>
  <c r="J2312" i="1"/>
  <c r="T766" i="1"/>
  <c r="U1707" i="1"/>
  <c r="C1644" i="1"/>
  <c r="H1644" i="1"/>
  <c r="H1642" i="1"/>
  <c r="T1642" i="1"/>
  <c r="C1598" i="1"/>
  <c r="T1598" i="1"/>
  <c r="H1598" i="1"/>
  <c r="U1642" i="1"/>
  <c r="T1644" i="1"/>
  <c r="H1500" i="1"/>
  <c r="G1501" i="1"/>
  <c r="C1501" i="1" s="1"/>
  <c r="S1707" i="1"/>
  <c r="U1705" i="1"/>
  <c r="S1705" i="1"/>
  <c r="C1642" i="1"/>
  <c r="C1643" i="1"/>
  <c r="H1643" i="1"/>
  <c r="U1643" i="1"/>
  <c r="T1643" i="1"/>
  <c r="C1565" i="1"/>
  <c r="H1565" i="1"/>
  <c r="U1399" i="1"/>
  <c r="H1399" i="1"/>
  <c r="U1423" i="1"/>
  <c r="G1516" i="1"/>
  <c r="T1516" i="1" s="1"/>
  <c r="C1515" i="1"/>
  <c r="G1518" i="1"/>
  <c r="J1518" i="1" s="1"/>
  <c r="G1517" i="1"/>
  <c r="H1515" i="1"/>
  <c r="H1503" i="1"/>
  <c r="C1503" i="1"/>
  <c r="G1505" i="1"/>
  <c r="T1505" i="1" s="1"/>
  <c r="G1506" i="1"/>
  <c r="J1506" i="1" s="1"/>
  <c r="G1504" i="1"/>
  <c r="T1504" i="1" s="1"/>
  <c r="H1617" i="1"/>
  <c r="C1617" i="1"/>
  <c r="U1617" i="1"/>
  <c r="T1423" i="1"/>
  <c r="S1706" i="1"/>
  <c r="U1706" i="1"/>
  <c r="H1423" i="1"/>
  <c r="H1657" i="1"/>
  <c r="T1657" i="1"/>
  <c r="C1657" i="1"/>
  <c r="U1657" i="1"/>
  <c r="C1399" i="1"/>
  <c r="N1121" i="1"/>
  <c r="N1131" i="1" s="1"/>
  <c r="N513" i="1"/>
  <c r="N518" i="1" s="1"/>
  <c r="N52" i="1"/>
  <c r="N56" i="1" s="1"/>
  <c r="N130" i="1"/>
  <c r="N134" i="1" s="1"/>
  <c r="N178" i="1"/>
  <c r="N182" i="1" s="1"/>
  <c r="N208" i="1"/>
  <c r="N227" i="1"/>
  <c r="N231" i="1" s="1"/>
  <c r="N249" i="1"/>
  <c r="N253" i="1" s="1"/>
  <c r="N260" i="1"/>
  <c r="N263" i="1" s="1"/>
  <c r="N290" i="1"/>
  <c r="N312" i="1"/>
  <c r="N318" i="1" s="1"/>
  <c r="N331" i="1"/>
  <c r="N332" i="1" s="1"/>
  <c r="N333" i="1" s="1"/>
  <c r="N338" i="1"/>
  <c r="N342" i="1" s="1"/>
  <c r="N348" i="1"/>
  <c r="N352" i="1" s="1"/>
  <c r="N368" i="1"/>
  <c r="N371" i="1" s="1"/>
  <c r="N379" i="1"/>
  <c r="N380" i="1" s="1"/>
  <c r="N391" i="1"/>
  <c r="N394" i="1" s="1"/>
  <c r="N403" i="1"/>
  <c r="N418" i="1"/>
  <c r="N421" i="1" s="1"/>
  <c r="N436" i="1"/>
  <c r="N448" i="1" s="1"/>
  <c r="N869" i="1"/>
  <c r="N871" i="1" s="1"/>
  <c r="N900" i="1"/>
  <c r="N908" i="1"/>
  <c r="N940" i="1"/>
  <c r="N980" i="1"/>
  <c r="N987" i="1" s="1"/>
  <c r="N992" i="1"/>
  <c r="N994" i="1" s="1"/>
  <c r="N1006" i="1"/>
  <c r="N1010" i="1" s="1"/>
  <c r="N1019" i="1"/>
  <c r="N1031" i="1"/>
  <c r="N1032" i="1" s="1"/>
  <c r="N1045" i="1"/>
  <c r="N1057" i="1" s="1"/>
  <c r="N1058" i="1"/>
  <c r="N1070" i="1"/>
  <c r="N1078" i="1" s="1"/>
  <c r="N47" i="1"/>
  <c r="N49" i="1" s="1"/>
  <c r="N75" i="1"/>
  <c r="N932" i="1"/>
  <c r="N937" i="1" s="1"/>
  <c r="N522" i="1"/>
  <c r="N528" i="1" s="1"/>
  <c r="N539" i="1"/>
  <c r="N547" i="1"/>
  <c r="N553" i="1"/>
  <c r="N554" i="1" s="1"/>
  <c r="N562" i="1"/>
  <c r="N42" i="1"/>
  <c r="N44" i="1" s="1"/>
  <c r="N138" i="1"/>
  <c r="N163" i="1"/>
  <c r="N166" i="1" s="1"/>
  <c r="N205" i="1"/>
  <c r="N206" i="1" s="1"/>
  <c r="N244" i="1"/>
  <c r="N246" i="1" s="1"/>
  <c r="N254" i="1"/>
  <c r="N259" i="1" s="1"/>
  <c r="N266" i="1"/>
  <c r="N267" i="1" s="1"/>
  <c r="N300" i="1"/>
  <c r="N325" i="1"/>
  <c r="N334" i="1"/>
  <c r="N343" i="1"/>
  <c r="N344" i="1" s="1"/>
  <c r="N358" i="1"/>
  <c r="N359" i="1" s="1"/>
  <c r="N373" i="1"/>
  <c r="N374" i="1" s="1"/>
  <c r="N384" i="1"/>
  <c r="N397" i="1"/>
  <c r="N399" i="1" s="1"/>
  <c r="N408" i="1"/>
  <c r="N413" i="1" s="1"/>
  <c r="N423" i="1"/>
  <c r="N496" i="1"/>
  <c r="N958" i="1"/>
  <c r="N962" i="1" s="1"/>
  <c r="N531" i="1"/>
  <c r="N532" i="1" s="1"/>
  <c r="N37" i="1"/>
  <c r="N40" i="1" s="1"/>
  <c r="N62" i="1"/>
  <c r="N68" i="1" s="1"/>
  <c r="N135" i="1"/>
  <c r="N136" i="1" s="1"/>
  <c r="N152" i="1"/>
  <c r="N158" i="1" s="1"/>
  <c r="N919" i="1"/>
  <c r="N920" i="1" s="1"/>
  <c r="N948" i="1"/>
  <c r="N957" i="1" s="1"/>
  <c r="N1085" i="1"/>
  <c r="N1098" i="1"/>
  <c r="N1110" i="1"/>
  <c r="N1118" i="1" s="1"/>
  <c r="S2141" i="1"/>
  <c r="M553" i="1"/>
  <c r="M600" i="1"/>
  <c r="M616" i="1"/>
  <c r="M531" i="1"/>
  <c r="M562" i="1"/>
  <c r="M588" i="1"/>
  <c r="M604" i="1"/>
  <c r="M620" i="1"/>
  <c r="M576" i="1"/>
  <c r="M591" i="1"/>
  <c r="M608" i="1"/>
  <c r="M436" i="1"/>
  <c r="M513" i="1"/>
  <c r="M47" i="1"/>
  <c r="M48" i="1" s="1"/>
  <c r="M75" i="1"/>
  <c r="M125" i="1"/>
  <c r="M126" i="1" s="1"/>
  <c r="M173" i="1"/>
  <c r="M174" i="1" s="1"/>
  <c r="M195" i="1"/>
  <c r="M199" i="1" s="1"/>
  <c r="M233" i="1"/>
  <c r="M234" i="1" s="1"/>
  <c r="M254" i="1"/>
  <c r="M257" i="1" s="1"/>
  <c r="M334" i="1"/>
  <c r="M358" i="1"/>
  <c r="M367" i="1" s="1"/>
  <c r="M384" i="1"/>
  <c r="M408" i="1"/>
  <c r="M52" i="1"/>
  <c r="M109" i="1"/>
  <c r="M113" i="1" s="1"/>
  <c r="M130" i="1"/>
  <c r="M131" i="1" s="1"/>
  <c r="M178" i="1"/>
  <c r="M183" i="1" s="1"/>
  <c r="M200" i="1"/>
  <c r="M238" i="1"/>
  <c r="M239" i="1" s="1"/>
  <c r="M260" i="1"/>
  <c r="M263" i="1" s="1"/>
  <c r="M312" i="1"/>
  <c r="M338" i="1"/>
  <c r="M368" i="1"/>
  <c r="M391" i="1"/>
  <c r="M418" i="1"/>
  <c r="M17" i="1"/>
  <c r="M20" i="1" s="1"/>
  <c r="M37" i="1"/>
  <c r="M41" i="1" s="1"/>
  <c r="M62" i="1"/>
  <c r="M67" i="1" s="1"/>
  <c r="M114" i="1"/>
  <c r="M119" i="1" s="1"/>
  <c r="M135" i="1"/>
  <c r="M184" i="1"/>
  <c r="M186" i="1" s="1"/>
  <c r="M205" i="1"/>
  <c r="M206" i="1" s="1"/>
  <c r="M222" i="1"/>
  <c r="M244" i="1"/>
  <c r="M248" i="1" s="1"/>
  <c r="M266" i="1"/>
  <c r="M325" i="1"/>
  <c r="M329" i="1" s="1"/>
  <c r="M343" i="1"/>
  <c r="M345" i="1" s="1"/>
  <c r="M373" i="1"/>
  <c r="M397" i="1"/>
  <c r="M423" i="1"/>
  <c r="M21" i="1"/>
  <c r="M23" i="1" s="1"/>
  <c r="M42" i="1"/>
  <c r="M120" i="1"/>
  <c r="M123" i="1" s="1"/>
  <c r="M138" i="1"/>
  <c r="M141" i="1" s="1"/>
  <c r="M189" i="1"/>
  <c r="M192" i="1" s="1"/>
  <c r="M208" i="1"/>
  <c r="M209" i="1" s="1"/>
  <c r="M227" i="1"/>
  <c r="M229" i="1" s="1"/>
  <c r="M249" i="1"/>
  <c r="M251" i="1" s="1"/>
  <c r="M331" i="1"/>
  <c r="M332" i="1" s="1"/>
  <c r="M333" i="1" s="1"/>
  <c r="M348" i="1"/>
  <c r="M353" i="1" s="1"/>
  <c r="M379" i="1"/>
  <c r="M403" i="1"/>
  <c r="P2050" i="1"/>
  <c r="P2052" i="1"/>
  <c r="U2141" i="1"/>
  <c r="H2141" i="1"/>
  <c r="P2051" i="1"/>
  <c r="P1930" i="1"/>
  <c r="N604" i="1"/>
  <c r="N605" i="1" s="1"/>
  <c r="N576" i="1"/>
  <c r="M547" i="1"/>
  <c r="N600" i="1"/>
  <c r="N616" i="1"/>
  <c r="N619" i="1" s="1"/>
  <c r="N612" i="1"/>
  <c r="N615" i="1" s="1"/>
  <c r="N588" i="1"/>
  <c r="N591" i="1"/>
  <c r="N592" i="1" s="1"/>
  <c r="N608" i="1"/>
  <c r="N610" i="1" s="1"/>
  <c r="G2032" i="1"/>
  <c r="C2032" i="1" s="1"/>
  <c r="C407" i="49"/>
  <c r="G407" i="49" s="1"/>
  <c r="M407" i="49" s="1"/>
  <c r="P1947" i="1"/>
  <c r="P2068" i="1"/>
  <c r="P2092" i="1"/>
  <c r="P1971" i="1"/>
  <c r="G606" i="49"/>
  <c r="M606" i="49" s="1"/>
  <c r="G416" i="49"/>
  <c r="A416" i="49" s="1"/>
  <c r="G419" i="49"/>
  <c r="M419" i="49" s="1"/>
  <c r="Q1453" i="1"/>
  <c r="G1919" i="1"/>
  <c r="C1919" i="1" s="1"/>
  <c r="N580" i="1"/>
  <c r="N582" i="1" s="1"/>
  <c r="N14" i="1"/>
  <c r="N16" i="1" s="1"/>
  <c r="N78" i="1"/>
  <c r="N82" i="1" s="1"/>
  <c r="N142" i="1"/>
  <c r="N143" i="1" s="1"/>
  <c r="N922" i="1"/>
  <c r="N929" i="1" s="1"/>
  <c r="N1132" i="1"/>
  <c r="N1145" i="1" s="1"/>
  <c r="N463" i="1"/>
  <c r="G1932" i="1"/>
  <c r="H1932" i="1" s="1"/>
  <c r="G1936" i="1"/>
  <c r="N1936" i="1" s="1"/>
  <c r="G1940" i="1"/>
  <c r="G1944" i="1"/>
  <c r="C1944" i="1" s="1"/>
  <c r="G1948" i="1"/>
  <c r="G1952" i="1"/>
  <c r="H1952" i="1" s="1"/>
  <c r="G1956" i="1"/>
  <c r="G1959" i="1"/>
  <c r="G1962" i="1"/>
  <c r="G1966" i="1"/>
  <c r="G1970" i="1"/>
  <c r="G1971" i="1"/>
  <c r="G1976" i="1"/>
  <c r="G2001" i="1"/>
  <c r="G2147" i="1"/>
  <c r="C2147" i="1" s="1"/>
  <c r="N1165" i="1"/>
  <c r="G2000" i="1"/>
  <c r="H2000" i="1" s="1"/>
  <c r="G1978" i="1"/>
  <c r="N1978" i="1" s="1"/>
  <c r="G1929" i="1"/>
  <c r="U1929" i="1" s="1"/>
  <c r="U1352" i="1"/>
  <c r="T1352" i="1"/>
  <c r="P1305" i="1"/>
  <c r="P2091" i="1"/>
  <c r="T1544" i="1"/>
  <c r="C1352" i="1"/>
  <c r="U1548" i="1"/>
  <c r="J1548" i="1"/>
  <c r="T1548" i="1"/>
  <c r="H1548" i="1"/>
  <c r="C1548" i="1"/>
  <c r="C1544" i="1"/>
  <c r="J1544" i="1"/>
  <c r="C1545" i="1"/>
  <c r="T1545" i="1"/>
  <c r="J1545" i="1"/>
  <c r="H1545" i="1"/>
  <c r="O791" i="1"/>
  <c r="AI40" i="63"/>
  <c r="H40" i="63"/>
  <c r="G307" i="49" s="1"/>
  <c r="A307" i="49" s="1"/>
  <c r="A308" i="49" s="1"/>
  <c r="G2089" i="1"/>
  <c r="G2093" i="1"/>
  <c r="G2087" i="1"/>
  <c r="G2162" i="1"/>
  <c r="C2162" i="1" s="1"/>
  <c r="G2168" i="1"/>
  <c r="C2168" i="1" s="1"/>
  <c r="G2050" i="1"/>
  <c r="H2050" i="1" s="1"/>
  <c r="G2067" i="1"/>
  <c r="G2069" i="1"/>
  <c r="C2069" i="1" s="1"/>
  <c r="G2071" i="1"/>
  <c r="C2071" i="1" s="1"/>
  <c r="G2073" i="1"/>
  <c r="C2073" i="1" s="1"/>
  <c r="G2075" i="1"/>
  <c r="U2075" i="1" s="1"/>
  <c r="G2077" i="1"/>
  <c r="G2081" i="1"/>
  <c r="G2083" i="1"/>
  <c r="G2165" i="1"/>
  <c r="G2169" i="1"/>
  <c r="C2169" i="1" s="1"/>
  <c r="G2009" i="1"/>
  <c r="T2009" i="1" s="1"/>
  <c r="B211" i="23"/>
  <c r="H211" i="23" s="1"/>
  <c r="B300" i="23"/>
  <c r="B301" i="23"/>
  <c r="J301" i="23" s="1"/>
  <c r="B382" i="23"/>
  <c r="E383" i="23"/>
  <c r="B479" i="23"/>
  <c r="F479" i="23" s="1"/>
  <c r="G2261" i="1"/>
  <c r="H2261" i="1" s="1"/>
  <c r="G575" i="49"/>
  <c r="L575" i="49" s="1"/>
  <c r="G1497" i="1"/>
  <c r="P2064" i="1"/>
  <c r="A2337" i="23"/>
  <c r="N2286" i="23"/>
  <c r="M2286" i="23"/>
  <c r="A2286" i="23"/>
  <c r="G478" i="1"/>
  <c r="S478" i="1" s="1"/>
  <c r="S477" i="1"/>
  <c r="G1507" i="1"/>
  <c r="H1701" i="1"/>
  <c r="J1701" i="1"/>
  <c r="U1701" i="1"/>
  <c r="S1701" i="1"/>
  <c r="C1701" i="1"/>
  <c r="C2106" i="1"/>
  <c r="G2039" i="1"/>
  <c r="C2039" i="1" s="1"/>
  <c r="G2040" i="1"/>
  <c r="C2040" i="1" s="1"/>
  <c r="G2037" i="1"/>
  <c r="C2037" i="1" s="1"/>
  <c r="G2159" i="1"/>
  <c r="G2061" i="1"/>
  <c r="G2086" i="1"/>
  <c r="G2062" i="1"/>
  <c r="G2079" i="1"/>
  <c r="G2072" i="1"/>
  <c r="G2076" i="1"/>
  <c r="G2084" i="1"/>
  <c r="C2084" i="1" s="1"/>
  <c r="G2088" i="1"/>
  <c r="C2088" i="1" s="1"/>
  <c r="G2092" i="1"/>
  <c r="C2092" i="1" s="1"/>
  <c r="G2052" i="1"/>
  <c r="G2056" i="1"/>
  <c r="G2060" i="1"/>
  <c r="C2060" i="1" s="1"/>
  <c r="G2175" i="1"/>
  <c r="C2175" i="1" s="1"/>
  <c r="N189" i="1"/>
  <c r="N190" i="1" s="1"/>
  <c r="N212" i="1"/>
  <c r="N335" i="1" s="1"/>
  <c r="H1943" i="1"/>
  <c r="G1038" i="23"/>
  <c r="N1038" i="23" s="1"/>
  <c r="M1065" i="23"/>
  <c r="J1031" i="23"/>
  <c r="N1031" i="23" s="1"/>
  <c r="N1023" i="23"/>
  <c r="D1031" i="23"/>
  <c r="E1051" i="23"/>
  <c r="G1025" i="23"/>
  <c r="F1031" i="23"/>
  <c r="K1051" i="23"/>
  <c r="G1024" i="23"/>
  <c r="A1024" i="23" s="1"/>
  <c r="L1026" i="23"/>
  <c r="G1028" i="23"/>
  <c r="M1028" i="23" s="1"/>
  <c r="M1026" i="23"/>
  <c r="G1029" i="23"/>
  <c r="M1029" i="23" s="1"/>
  <c r="K1052" i="23"/>
  <c r="A1026" i="23"/>
  <c r="A1027" i="23" s="1"/>
  <c r="N1026" i="23"/>
  <c r="G1030" i="23"/>
  <c r="A1030" i="23" s="1"/>
  <c r="J1007" i="23"/>
  <c r="D1007" i="23"/>
  <c r="E1031" i="23"/>
  <c r="K1031" i="23"/>
  <c r="O1031" i="23" s="1"/>
  <c r="F1051" i="23"/>
  <c r="E1007" i="23"/>
  <c r="H1051" i="23"/>
  <c r="D1051" i="23"/>
  <c r="H1030" i="23"/>
  <c r="J1030" i="23"/>
  <c r="F1007" i="23"/>
  <c r="D1012" i="23"/>
  <c r="H1012" i="23"/>
  <c r="E1030" i="23"/>
  <c r="A1031" i="23"/>
  <c r="G1097" i="23"/>
  <c r="A1097" i="23" s="1"/>
  <c r="A1098" i="23" s="1"/>
  <c r="E1012" i="23"/>
  <c r="J1012" i="23"/>
  <c r="F1012" i="23"/>
  <c r="O1026" i="23"/>
  <c r="N109" i="1"/>
  <c r="N112" i="1" s="1"/>
  <c r="N1189" i="1"/>
  <c r="N1191" i="1" s="1"/>
  <c r="D1107" i="23"/>
  <c r="I1107" i="23"/>
  <c r="M2337" i="23"/>
  <c r="N872" i="1"/>
  <c r="N233" i="1"/>
  <c r="N234" i="1" s="1"/>
  <c r="V40" i="63"/>
  <c r="G62" i="49" s="1"/>
  <c r="S40" i="63"/>
  <c r="C633" i="49"/>
  <c r="P2111" i="1"/>
  <c r="P2112" i="1"/>
  <c r="P1980" i="1"/>
  <c r="P2102" i="1"/>
  <c r="G1947" i="1"/>
  <c r="N1947" i="1" s="1"/>
  <c r="N173" i="1"/>
  <c r="N176" i="1" s="1"/>
  <c r="G1921" i="1"/>
  <c r="G1937" i="1"/>
  <c r="G1964" i="1"/>
  <c r="G1973" i="1"/>
  <c r="G1977" i="1"/>
  <c r="G1957" i="1"/>
  <c r="N114" i="1"/>
  <c r="N119" i="1" s="1"/>
  <c r="N238" i="1"/>
  <c r="N242" i="1" s="1"/>
  <c r="G1949" i="1"/>
  <c r="G1955" i="1"/>
  <c r="N1955" i="1" s="1"/>
  <c r="G1969" i="1"/>
  <c r="G1974" i="1"/>
  <c r="U1974" i="1" s="1"/>
  <c r="G1930" i="1"/>
  <c r="G1938" i="1"/>
  <c r="G1942" i="1"/>
  <c r="G1950" i="1"/>
  <c r="G1917" i="1"/>
  <c r="H1917" i="1" s="1"/>
  <c r="G2051" i="1"/>
  <c r="J1398" i="23"/>
  <c r="D1004" i="23"/>
  <c r="K1004" i="23"/>
  <c r="O1004" i="23" s="1"/>
  <c r="F1004" i="23"/>
  <c r="J1004" i="23"/>
  <c r="N1004" i="23" s="1"/>
  <c r="N882" i="1"/>
  <c r="N887" i="1" s="1"/>
  <c r="N596" i="1"/>
  <c r="N597" i="1" s="1"/>
  <c r="N1195" i="1"/>
  <c r="N1199" i="1" s="1"/>
  <c r="N966" i="1"/>
  <c r="N971" i="1" s="1"/>
  <c r="N83" i="1"/>
  <c r="N92" i="1" s="1"/>
  <c r="L1004" i="23"/>
  <c r="M1004" i="23"/>
  <c r="C1004" i="23"/>
  <c r="G1041" i="23"/>
  <c r="O1041" i="23" s="1"/>
  <c r="G1016" i="23"/>
  <c r="G1078" i="23" s="1"/>
  <c r="G1087" i="23" s="1"/>
  <c r="G1012" i="23"/>
  <c r="A1012" i="23" s="1"/>
  <c r="M1005" i="23"/>
  <c r="A1004" i="23"/>
  <c r="A1014" i="23" s="1"/>
  <c r="G1011" i="23"/>
  <c r="A1011" i="23" s="1"/>
  <c r="M1010" i="23"/>
  <c r="A1010" i="23"/>
  <c r="L1010" i="23"/>
  <c r="L1055" i="23"/>
  <c r="O1055" i="23"/>
  <c r="A1055" i="23"/>
  <c r="A1056" i="23" s="1"/>
  <c r="M1055" i="23"/>
  <c r="U476" i="1"/>
  <c r="S576" i="1" l="1"/>
  <c r="U139" i="1"/>
  <c r="U786" i="1"/>
  <c r="U785" i="1" s="1"/>
  <c r="O3320" i="23"/>
  <c r="G2594" i="23"/>
  <c r="G2646" i="23" s="1"/>
  <c r="C2590" i="23"/>
  <c r="G2277" i="1"/>
  <c r="C2277" i="1" s="1"/>
  <c r="G2288" i="1"/>
  <c r="C2288" i="1" s="1"/>
  <c r="G2300" i="1"/>
  <c r="C2300" i="1" s="1"/>
  <c r="G2279" i="1"/>
  <c r="C2279" i="1" s="1"/>
  <c r="G2293" i="1"/>
  <c r="C2293" i="1" s="1"/>
  <c r="G2286" i="1"/>
  <c r="C2286" i="1" s="1"/>
  <c r="S1669" i="1"/>
  <c r="L634" i="1"/>
  <c r="G804" i="23"/>
  <c r="T212" i="1"/>
  <c r="S1228" i="1"/>
  <c r="S440" i="1"/>
  <c r="S427" i="1"/>
  <c r="G2737" i="23"/>
  <c r="G2746" i="23" s="1"/>
  <c r="C659" i="49"/>
  <c r="A2731" i="23"/>
  <c r="A2732" i="23" s="1"/>
  <c r="F2664" i="23"/>
  <c r="J2664" i="23"/>
  <c r="K2664" i="23"/>
  <c r="D2665" i="23"/>
  <c r="J2665" i="23"/>
  <c r="K2665" i="23"/>
  <c r="F2484" i="23"/>
  <c r="J2484" i="23"/>
  <c r="H2483" i="23"/>
  <c r="J2483" i="23"/>
  <c r="A2456" i="23"/>
  <c r="N2456" i="23"/>
  <c r="G2401" i="23"/>
  <c r="M2401" i="23" s="1"/>
  <c r="G2400" i="23"/>
  <c r="G2405" i="23"/>
  <c r="G656" i="49"/>
  <c r="A656" i="49" s="1"/>
  <c r="G390" i="49"/>
  <c r="A390" i="49" s="1"/>
  <c r="G295" i="49"/>
  <c r="L295" i="49" s="1"/>
  <c r="G394" i="49"/>
  <c r="N384" i="49"/>
  <c r="G424" i="49"/>
  <c r="M424" i="49" s="1"/>
  <c r="A62" i="49"/>
  <c r="G90" i="49"/>
  <c r="A90" i="49" s="1"/>
  <c r="B2059" i="23"/>
  <c r="B1634" i="23"/>
  <c r="O101" i="49"/>
  <c r="A101" i="49"/>
  <c r="G196" i="49"/>
  <c r="A188" i="49"/>
  <c r="M211" i="49"/>
  <c r="A211" i="49"/>
  <c r="G434" i="49"/>
  <c r="A434" i="49" s="1"/>
  <c r="N190" i="49"/>
  <c r="A190" i="49"/>
  <c r="M203" i="49"/>
  <c r="A203" i="49"/>
  <c r="G208" i="49"/>
  <c r="A208" i="49" s="1"/>
  <c r="A205" i="49"/>
  <c r="N206" i="49"/>
  <c r="A206" i="49"/>
  <c r="L210" i="49"/>
  <c r="A210" i="49"/>
  <c r="M260" i="49"/>
  <c r="A260" i="49"/>
  <c r="M158" i="49"/>
  <c r="A158" i="49"/>
  <c r="M156" i="49"/>
  <c r="A156" i="49"/>
  <c r="G66" i="49"/>
  <c r="A66" i="49" s="1"/>
  <c r="G690" i="49"/>
  <c r="M690" i="49" s="1"/>
  <c r="H1455" i="1"/>
  <c r="U1455" i="1"/>
  <c r="C1459" i="1"/>
  <c r="U1459" i="1"/>
  <c r="J1460" i="1"/>
  <c r="U1460" i="1"/>
  <c r="J1462" i="1"/>
  <c r="U1462" i="1"/>
  <c r="C1463" i="1"/>
  <c r="U1463" i="1"/>
  <c r="J1464" i="1"/>
  <c r="U1464" i="1"/>
  <c r="I591" i="1"/>
  <c r="I592" i="1" s="1"/>
  <c r="U424" i="1"/>
  <c r="N637" i="1"/>
  <c r="N651" i="1"/>
  <c r="N672" i="1"/>
  <c r="U807" i="1"/>
  <c r="U672" i="1"/>
  <c r="U643" i="1"/>
  <c r="U642" i="1" s="1"/>
  <c r="I463" i="1"/>
  <c r="I467" i="1" s="1"/>
  <c r="U425" i="1"/>
  <c r="A424" i="49"/>
  <c r="O424" i="49"/>
  <c r="I600" i="1"/>
  <c r="I601" i="1" s="1"/>
  <c r="I488" i="1"/>
  <c r="I493" i="1" s="1"/>
  <c r="G256" i="49"/>
  <c r="K40" i="63"/>
  <c r="A327" i="49" s="1"/>
  <c r="A328" i="49" s="1"/>
  <c r="L40" i="63"/>
  <c r="G340" i="49" s="1"/>
  <c r="G415" i="49"/>
  <c r="L415" i="49" s="1"/>
  <c r="J850" i="23"/>
  <c r="J806" i="23"/>
  <c r="G385" i="23"/>
  <c r="L385" i="23" s="1"/>
  <c r="G398" i="23"/>
  <c r="G402" i="23" s="1"/>
  <c r="D382" i="23"/>
  <c r="H382" i="23"/>
  <c r="L1031" i="23"/>
  <c r="G1827" i="1"/>
  <c r="G1830" i="1" s="1"/>
  <c r="S1830" i="1" s="1"/>
  <c r="G1889" i="1"/>
  <c r="G1890" i="1"/>
  <c r="CJ87" i="18"/>
  <c r="J91" i="18"/>
  <c r="J87" i="18"/>
  <c r="J89" i="18"/>
  <c r="J92" i="18"/>
  <c r="J88" i="18"/>
  <c r="J90" i="18"/>
  <c r="A381" i="23"/>
  <c r="A1023" i="23"/>
  <c r="K190" i="23"/>
  <c r="H190" i="23"/>
  <c r="E190" i="23"/>
  <c r="G537" i="1"/>
  <c r="T537" i="1" s="1"/>
  <c r="T806" i="1"/>
  <c r="O846" i="1"/>
  <c r="N805" i="1"/>
  <c r="N786" i="1"/>
  <c r="T792" i="1"/>
  <c r="T673" i="1"/>
  <c r="T671" i="1" s="1"/>
  <c r="C1775" i="1"/>
  <c r="U791" i="1"/>
  <c r="N673" i="1"/>
  <c r="U753" i="1"/>
  <c r="T786" i="1"/>
  <c r="N846" i="1"/>
  <c r="N807" i="1"/>
  <c r="N791" i="1"/>
  <c r="N689" i="1"/>
  <c r="U532" i="1"/>
  <c r="N665" i="1"/>
  <c r="U673" i="1"/>
  <c r="T753" i="1"/>
  <c r="U894" i="1"/>
  <c r="U665" i="1"/>
  <c r="U759" i="1"/>
  <c r="T894" i="1"/>
  <c r="N812" i="1"/>
  <c r="O753" i="1"/>
  <c r="N705" i="1"/>
  <c r="O636" i="1"/>
  <c r="N664" i="1"/>
  <c r="T846" i="1"/>
  <c r="T845" i="1" s="1"/>
  <c r="T805" i="1"/>
  <c r="U705" i="1"/>
  <c r="T818" i="1"/>
  <c r="T651" i="1"/>
  <c r="T745" i="1"/>
  <c r="U664" i="1"/>
  <c r="C2253" i="1"/>
  <c r="M409" i="49"/>
  <c r="M544" i="49"/>
  <c r="N409" i="49"/>
  <c r="L409" i="49"/>
  <c r="M70" i="49"/>
  <c r="U1953" i="1"/>
  <c r="L682" i="49"/>
  <c r="A384" i="49"/>
  <c r="A385" i="49" s="1"/>
  <c r="A550" i="49"/>
  <c r="G484" i="1"/>
  <c r="S484" i="1" s="1"/>
  <c r="N819" i="1"/>
  <c r="O656" i="1"/>
  <c r="U136" i="1"/>
  <c r="H1775" i="1"/>
  <c r="T726" i="1"/>
  <c r="T724" i="1" s="1"/>
  <c r="T1090" i="1"/>
  <c r="O886" i="1"/>
  <c r="O643" i="1"/>
  <c r="T523" i="1"/>
  <c r="U680" i="1"/>
  <c r="U696" i="1"/>
  <c r="T656" i="1"/>
  <c r="T696" i="1"/>
  <c r="T695" i="1" s="1"/>
  <c r="E211" i="23"/>
  <c r="B13" i="2"/>
  <c r="E13" i="2" s="1"/>
  <c r="F300" i="23"/>
  <c r="K122" i="23"/>
  <c r="C1266" i="1"/>
  <c r="U2320" i="1"/>
  <c r="U2311" i="1"/>
  <c r="T1255" i="1"/>
  <c r="G387" i="23"/>
  <c r="J499" i="23"/>
  <c r="J1250" i="23"/>
  <c r="D932" i="23"/>
  <c r="C3080" i="23"/>
  <c r="C563" i="23"/>
  <c r="G1511" i="23"/>
  <c r="G1512" i="23" s="1"/>
  <c r="G1513" i="23" s="1"/>
  <c r="A1513" i="23" s="1"/>
  <c r="I10" i="23"/>
  <c r="L16" i="23"/>
  <c r="D68" i="23"/>
  <c r="F144" i="23"/>
  <c r="K54" i="23"/>
  <c r="K403" i="23"/>
  <c r="J68" i="23"/>
  <c r="K89" i="23"/>
  <c r="G446" i="23"/>
  <c r="G448" i="23" s="1"/>
  <c r="G443" i="23"/>
  <c r="H1052" i="23"/>
  <c r="K1030" i="23"/>
  <c r="O1030" i="23" s="1"/>
  <c r="D1169" i="23"/>
  <c r="D1126" i="23"/>
  <c r="C1101" i="23"/>
  <c r="E589" i="23"/>
  <c r="E1169" i="23"/>
  <c r="F684" i="23"/>
  <c r="F1388" i="23"/>
  <c r="J500" i="23"/>
  <c r="H589" i="23"/>
  <c r="L589" i="23" s="1"/>
  <c r="H1169" i="23"/>
  <c r="F933" i="23"/>
  <c r="H1126" i="23"/>
  <c r="G1105" i="23"/>
  <c r="G1184" i="23" s="1"/>
  <c r="G1186" i="23" s="1"/>
  <c r="L1186" i="23" s="1"/>
  <c r="F1254" i="23"/>
  <c r="H1229" i="23"/>
  <c r="K500" i="23"/>
  <c r="E1229" i="23"/>
  <c r="F1126" i="23"/>
  <c r="G661" i="23"/>
  <c r="C661" i="23" s="1"/>
  <c r="J480" i="23"/>
  <c r="B302" i="23"/>
  <c r="D302" i="23" s="1"/>
  <c r="B1227" i="23"/>
  <c r="J1227" i="23" s="1"/>
  <c r="C29" i="23"/>
  <c r="F38" i="23"/>
  <c r="M6" i="23"/>
  <c r="J402" i="23"/>
  <c r="F2417" i="23"/>
  <c r="E1388" i="23"/>
  <c r="H38" i="23"/>
  <c r="K344" i="23"/>
  <c r="J525" i="23"/>
  <c r="K525" i="23"/>
  <c r="J1229" i="23"/>
  <c r="G3389" i="23"/>
  <c r="G3402" i="23" s="1"/>
  <c r="G3406" i="23" s="1"/>
  <c r="B2932" i="23"/>
  <c r="K2932" i="23" s="1"/>
  <c r="J157" i="23"/>
  <c r="F1250" i="23"/>
  <c r="H1250" i="23"/>
  <c r="G3236" i="23"/>
  <c r="G3270" i="23" s="1"/>
  <c r="G3275" i="23" s="1"/>
  <c r="A3275" i="23" s="1"/>
  <c r="F231" i="23"/>
  <c r="J261" i="23"/>
  <c r="J1052" i="23"/>
  <c r="F1030" i="23"/>
  <c r="C3232" i="23"/>
  <c r="E252" i="23"/>
  <c r="F1537" i="23"/>
  <c r="K157" i="23"/>
  <c r="F429" i="23"/>
  <c r="D958" i="23"/>
  <c r="H231" i="23"/>
  <c r="H168" i="23"/>
  <c r="F1658" i="23"/>
  <c r="J933" i="23"/>
  <c r="K589" i="23"/>
  <c r="O589" i="23" s="1"/>
  <c r="H1658" i="23"/>
  <c r="H500" i="23"/>
  <c r="F1169" i="23"/>
  <c r="M925" i="23"/>
  <c r="E1383" i="23"/>
  <c r="E68" i="23"/>
  <c r="C1507" i="23"/>
  <c r="C377" i="23"/>
  <c r="L6" i="23"/>
  <c r="L19" i="23"/>
  <c r="F54" i="23"/>
  <c r="K68" i="23"/>
  <c r="J144" i="23"/>
  <c r="F714" i="23"/>
  <c r="K144" i="23"/>
  <c r="J230" i="23"/>
  <c r="H54" i="23"/>
  <c r="H932" i="23"/>
  <c r="J89" i="23"/>
  <c r="H1249" i="23"/>
  <c r="J1575" i="23"/>
  <c r="B569" i="23"/>
  <c r="F569" i="23" s="1"/>
  <c r="F402" i="23"/>
  <c r="F1296" i="23"/>
  <c r="E1662" i="23"/>
  <c r="F335" i="23"/>
  <c r="E344" i="23"/>
  <c r="E2815" i="23"/>
  <c r="B2936" i="23"/>
  <c r="F2936" i="23" s="1"/>
  <c r="B2595" i="23"/>
  <c r="F2595" i="23" s="1"/>
  <c r="B1513" i="23"/>
  <c r="E1513" i="23" s="1"/>
  <c r="F157" i="23"/>
  <c r="J749" i="23"/>
  <c r="K321" i="23"/>
  <c r="H608" i="23"/>
  <c r="C2789" i="23"/>
  <c r="C741" i="23"/>
  <c r="D252" i="23"/>
  <c r="K168" i="23"/>
  <c r="E1052" i="23"/>
  <c r="D1052" i="23"/>
  <c r="L17" i="23"/>
  <c r="F749" i="23"/>
  <c r="J2416" i="23"/>
  <c r="E749" i="23"/>
  <c r="H157" i="23"/>
  <c r="H321" i="23"/>
  <c r="H429" i="23"/>
  <c r="E590" i="23"/>
  <c r="F1576" i="23"/>
  <c r="E1127" i="23"/>
  <c r="H1131" i="23"/>
  <c r="F1127" i="23"/>
  <c r="G525" i="49"/>
  <c r="M525" i="49" s="1"/>
  <c r="M72" i="49"/>
  <c r="G213" i="49"/>
  <c r="A213" i="49" s="1"/>
  <c r="U1426" i="1"/>
  <c r="T1673" i="1"/>
  <c r="K1266" i="1"/>
  <c r="U1266" i="1"/>
  <c r="AC67" i="2"/>
  <c r="AC63" i="2"/>
  <c r="L1142" i="1"/>
  <c r="L1148" i="1"/>
  <c r="J191" i="23"/>
  <c r="K191" i="23"/>
  <c r="H2861" i="23"/>
  <c r="H2815" i="23"/>
  <c r="J2276" i="23"/>
  <c r="H2275" i="23"/>
  <c r="D261" i="23"/>
  <c r="F499" i="23"/>
  <c r="E157" i="23"/>
  <c r="E321" i="23"/>
  <c r="E714" i="23"/>
  <c r="F1575" i="23"/>
  <c r="H499" i="23"/>
  <c r="G2392" i="23"/>
  <c r="G122" i="23"/>
  <c r="A117" i="23" s="1"/>
  <c r="A118" i="23" s="1"/>
  <c r="A119" i="23" s="1"/>
  <c r="A120" i="23" s="1"/>
  <c r="A121" i="23" s="1"/>
  <c r="L20" i="23"/>
  <c r="F1657" i="23"/>
  <c r="J168" i="23"/>
  <c r="F608" i="23"/>
  <c r="F1249" i="23"/>
  <c r="K608" i="23"/>
  <c r="K429" i="23"/>
  <c r="E168" i="23"/>
  <c r="E499" i="23"/>
  <c r="H1388" i="23"/>
  <c r="H1007" i="23"/>
  <c r="A804" i="23"/>
  <c r="A805" i="23" s="1"/>
  <c r="G2433" i="23"/>
  <c r="A2433" i="23" s="1"/>
  <c r="A2434" i="23" s="1"/>
  <c r="L8" i="23"/>
  <c r="F261" i="23"/>
  <c r="K261" i="23"/>
  <c r="J714" i="23"/>
  <c r="F1538" i="23"/>
  <c r="F168" i="23"/>
  <c r="E1657" i="23"/>
  <c r="H261" i="23"/>
  <c r="F590" i="23"/>
  <c r="H714" i="23"/>
  <c r="A2398" i="23"/>
  <c r="K230" i="23"/>
  <c r="H684" i="23"/>
  <c r="F230" i="23"/>
  <c r="E403" i="23"/>
  <c r="F770" i="23"/>
  <c r="E230" i="23"/>
  <c r="H770" i="23"/>
  <c r="H230" i="23"/>
  <c r="F403" i="23"/>
  <c r="F1533" i="23"/>
  <c r="H2665" i="23"/>
  <c r="G1399" i="23"/>
  <c r="L1399" i="23" s="1"/>
  <c r="G1455" i="23"/>
  <c r="M1455" i="23" s="1"/>
  <c r="G1364" i="23"/>
  <c r="G1449" i="23"/>
  <c r="G1484" i="23" s="1"/>
  <c r="G1487" i="23" s="1"/>
  <c r="G1366" i="23"/>
  <c r="L1366" i="23" s="1"/>
  <c r="L1025" i="23"/>
  <c r="F932" i="23"/>
  <c r="F1662" i="23"/>
  <c r="F2629" i="23"/>
  <c r="J344" i="23"/>
  <c r="J1254" i="23"/>
  <c r="J1383" i="23"/>
  <c r="J2275" i="23"/>
  <c r="F2422" i="23"/>
  <c r="E933" i="23"/>
  <c r="E2275" i="23"/>
  <c r="K932" i="23"/>
  <c r="E1250" i="23"/>
  <c r="E335" i="23"/>
  <c r="H344" i="23"/>
  <c r="F525" i="23"/>
  <c r="E1576" i="23"/>
  <c r="G848" i="23"/>
  <c r="L848" i="23" s="1"/>
  <c r="J190" i="23"/>
  <c r="L76" i="23"/>
  <c r="F190" i="23"/>
  <c r="G1227" i="23"/>
  <c r="L1227" i="23" s="1"/>
  <c r="C903" i="23"/>
  <c r="G1226" i="23"/>
  <c r="G1330" i="23" s="1"/>
  <c r="G1340" i="23" s="1"/>
  <c r="N1340" i="23" s="1"/>
  <c r="C1222" i="23"/>
  <c r="U805" i="1"/>
  <c r="O792" i="1"/>
  <c r="N745" i="1"/>
  <c r="O704" i="1"/>
  <c r="U792" i="1"/>
  <c r="N636" i="1"/>
  <c r="N656" i="1"/>
  <c r="T489" i="1"/>
  <c r="T688" i="1"/>
  <c r="T687" i="1" s="1"/>
  <c r="U745" i="1"/>
  <c r="U704" i="1"/>
  <c r="U489" i="1"/>
  <c r="U688" i="1"/>
  <c r="U726" i="1"/>
  <c r="N1133" i="1"/>
  <c r="N1143" i="1"/>
  <c r="N1147" i="1"/>
  <c r="N1146" i="1"/>
  <c r="N1144" i="1"/>
  <c r="DB86" i="18"/>
  <c r="G1865" i="1" s="1"/>
  <c r="DG86" i="18"/>
  <c r="G1871" i="1" s="1"/>
  <c r="CY86" i="18"/>
  <c r="G1862" i="1" s="1"/>
  <c r="CN86" i="18"/>
  <c r="G1835" i="1" s="1"/>
  <c r="BD86" i="18"/>
  <c r="G1885" i="1" s="1"/>
  <c r="U1885" i="1" s="1"/>
  <c r="C86" i="18"/>
  <c r="C88" i="18" s="1"/>
  <c r="D86" i="18"/>
  <c r="C89" i="18" s="1"/>
  <c r="G1810" i="1" s="1"/>
  <c r="H1810" i="1" s="1"/>
  <c r="L1810" i="1" s="1"/>
  <c r="DJ86" i="18"/>
  <c r="G2302" i="1" s="1"/>
  <c r="G1867" i="1" s="1"/>
  <c r="DI86" i="18"/>
  <c r="G1873" i="1" s="1"/>
  <c r="DE86" i="18"/>
  <c r="G1869" i="1" s="1"/>
  <c r="DA86" i="18"/>
  <c r="G1864" i="1" s="1"/>
  <c r="CW86" i="18"/>
  <c r="G1860" i="1" s="1"/>
  <c r="CP86" i="18"/>
  <c r="G1812" i="1" s="1"/>
  <c r="CL86" i="18"/>
  <c r="G1841" i="1" s="1"/>
  <c r="T86" i="18"/>
  <c r="L266" i="1" s="1"/>
  <c r="E86" i="18"/>
  <c r="C90" i="18" s="1"/>
  <c r="G1809" i="1" s="1"/>
  <c r="G1872" i="1"/>
  <c r="H1872" i="1" s="1"/>
  <c r="L1872" i="1" s="1"/>
  <c r="U1270" i="1"/>
  <c r="G1861" i="1"/>
  <c r="H1861" i="1" s="1"/>
  <c r="L1861" i="1" s="1"/>
  <c r="C93" i="18"/>
  <c r="G1894" i="1" s="1"/>
  <c r="G1870" i="1"/>
  <c r="U1870" i="1" s="1"/>
  <c r="G1815" i="1"/>
  <c r="G1818" i="1" s="1"/>
  <c r="T1818" i="1" s="1"/>
  <c r="G1868" i="1"/>
  <c r="C1868" i="1" s="1"/>
  <c r="G1863" i="1"/>
  <c r="T1863" i="1" s="1"/>
  <c r="G1866" i="1"/>
  <c r="C1866" i="1" s="1"/>
  <c r="G1819" i="1"/>
  <c r="G1821" i="1" s="1"/>
  <c r="G1831" i="1"/>
  <c r="T1831" i="1" s="1"/>
  <c r="S1132" i="1"/>
  <c r="S1154" i="1"/>
  <c r="T266" i="1"/>
  <c r="S774" i="1"/>
  <c r="S973" i="1"/>
  <c r="T635" i="1"/>
  <c r="S1137" i="1"/>
  <c r="T663" i="1"/>
  <c r="U1667" i="1"/>
  <c r="G654" i="49"/>
  <c r="A654" i="49" s="1"/>
  <c r="M648" i="49"/>
  <c r="M641" i="49"/>
  <c r="G103" i="49"/>
  <c r="A103" i="49" s="1"/>
  <c r="C1696" i="1"/>
  <c r="M553" i="49"/>
  <c r="N101" i="49"/>
  <c r="M101" i="49"/>
  <c r="L101" i="49"/>
  <c r="G110" i="49"/>
  <c r="A110" i="49" s="1"/>
  <c r="G106" i="49"/>
  <c r="J1696" i="1"/>
  <c r="T1281" i="1"/>
  <c r="M2963" i="23"/>
  <c r="N2827" i="23"/>
  <c r="M3174" i="23"/>
  <c r="M2823" i="23"/>
  <c r="N2824" i="23"/>
  <c r="M3007" i="23"/>
  <c r="K1433" i="1"/>
  <c r="H1468" i="1"/>
  <c r="T1268" i="1"/>
  <c r="U1668" i="1"/>
  <c r="N286" i="1"/>
  <c r="N287" i="1"/>
  <c r="N283" i="1"/>
  <c r="N281" i="1"/>
  <c r="N289" i="1"/>
  <c r="N288" i="1"/>
  <c r="N284" i="1"/>
  <c r="N285" i="1"/>
  <c r="N282" i="1"/>
  <c r="H2197" i="1"/>
  <c r="M546" i="49"/>
  <c r="M358" i="49"/>
  <c r="N378" i="49"/>
  <c r="O678" i="49"/>
  <c r="M378" i="49"/>
  <c r="O384" i="49"/>
  <c r="L553" i="49"/>
  <c r="L2827" i="23"/>
  <c r="N2963" i="23"/>
  <c r="G75" i="49"/>
  <c r="G105" i="49"/>
  <c r="G386" i="49"/>
  <c r="M386" i="49" s="1"/>
  <c r="A364" i="49"/>
  <c r="L590" i="23"/>
  <c r="N277" i="1"/>
  <c r="N279" i="1"/>
  <c r="N275" i="1"/>
  <c r="N276" i="1"/>
  <c r="N272" i="1"/>
  <c r="N278" i="1"/>
  <c r="N274" i="1"/>
  <c r="N273" i="1"/>
  <c r="N271" i="1"/>
  <c r="K1442" i="1"/>
  <c r="S1845" i="1"/>
  <c r="G1717" i="1"/>
  <c r="H1717" i="1" s="1"/>
  <c r="T1463" i="1"/>
  <c r="C1444" i="1"/>
  <c r="S530" i="1"/>
  <c r="U1253" i="1"/>
  <c r="S1470" i="1"/>
  <c r="T1675" i="1"/>
  <c r="J1459" i="1"/>
  <c r="U1679" i="1"/>
  <c r="U1660" i="1"/>
  <c r="G1551" i="1"/>
  <c r="J1551" i="1" s="1"/>
  <c r="M639" i="49"/>
  <c r="A639" i="49"/>
  <c r="K1907" i="23"/>
  <c r="O1907" i="23" s="1"/>
  <c r="K2065" i="23"/>
  <c r="O2065" i="23" s="1"/>
  <c r="J2108" i="23"/>
  <c r="N2108" i="23" s="1"/>
  <c r="J2123" i="23"/>
  <c r="N2123" i="23" s="1"/>
  <c r="J1672" i="23"/>
  <c r="T813" i="1"/>
  <c r="G255" i="49"/>
  <c r="O555" i="1"/>
  <c r="O644" i="1"/>
  <c r="G529" i="1"/>
  <c r="N529" i="1" s="1"/>
  <c r="N657" i="1"/>
  <c r="E2422" i="23"/>
  <c r="L262" i="49"/>
  <c r="U481" i="1"/>
  <c r="U523" i="1"/>
  <c r="U555" i="1"/>
  <c r="T680" i="1"/>
  <c r="G392" i="49"/>
  <c r="G393" i="49" s="1"/>
  <c r="A393" i="49" s="1"/>
  <c r="G2209" i="1"/>
  <c r="S2209" i="1" s="1"/>
  <c r="T853" i="1"/>
  <c r="T852" i="1" s="1"/>
  <c r="O813" i="1"/>
  <c r="N770" i="1"/>
  <c r="O725" i="1"/>
  <c r="N696" i="1"/>
  <c r="N680" i="1"/>
  <c r="A3175" i="23"/>
  <c r="M262" i="49"/>
  <c r="U697" i="1"/>
  <c r="T839" i="1"/>
  <c r="T838" i="1" s="1"/>
  <c r="N813" i="1"/>
  <c r="N548" i="1"/>
  <c r="N839" i="1"/>
  <c r="U798" i="1"/>
  <c r="U797" i="1" s="1"/>
  <c r="O853" i="1"/>
  <c r="O818" i="1"/>
  <c r="N793" i="1"/>
  <c r="O782" i="1"/>
  <c r="O758" i="1"/>
  <c r="N726" i="1"/>
  <c r="O711" i="1"/>
  <c r="O697" i="1"/>
  <c r="O554" i="1"/>
  <c r="N644" i="1"/>
  <c r="O665" i="1"/>
  <c r="O657" i="1"/>
  <c r="J685" i="23"/>
  <c r="K685" i="23"/>
  <c r="E1533" i="23"/>
  <c r="F2941" i="23"/>
  <c r="K749" i="23"/>
  <c r="K714" i="23"/>
  <c r="K499" i="23"/>
  <c r="G109" i="49"/>
  <c r="A109" i="49" s="1"/>
  <c r="L2962" i="23"/>
  <c r="T819" i="1"/>
  <c r="T793" i="1"/>
  <c r="G461" i="1"/>
  <c r="S461" i="1" s="1"/>
  <c r="T770" i="1"/>
  <c r="T769" i="1" s="1"/>
  <c r="U886" i="1"/>
  <c r="T739" i="1"/>
  <c r="T737" i="1" s="1"/>
  <c r="U554" i="1"/>
  <c r="U689" i="1"/>
  <c r="U758" i="1"/>
  <c r="T758" i="1"/>
  <c r="T657" i="1"/>
  <c r="G104" i="49"/>
  <c r="A104" i="49" s="1"/>
  <c r="G693" i="49"/>
  <c r="O693" i="49" s="1"/>
  <c r="A367" i="49"/>
  <c r="A429" i="49"/>
  <c r="G709" i="49"/>
  <c r="N427" i="49"/>
  <c r="G694" i="49"/>
  <c r="G698" i="49" s="1"/>
  <c r="G1494" i="1"/>
  <c r="G1495" i="1" s="1"/>
  <c r="J2297" i="23"/>
  <c r="J96" i="23"/>
  <c r="B2061" i="23"/>
  <c r="E2061" i="23" s="1"/>
  <c r="B2062" i="23"/>
  <c r="D2059" i="23"/>
  <c r="J2059" i="23"/>
  <c r="N2059" i="23" s="1"/>
  <c r="E2059" i="23"/>
  <c r="K2059" i="23"/>
  <c r="O2059" i="23" s="1"/>
  <c r="F2059" i="23"/>
  <c r="I2059" i="23"/>
  <c r="M2059" i="23" s="1"/>
  <c r="G2145" i="23"/>
  <c r="M2127" i="23"/>
  <c r="L2127" i="23"/>
  <c r="A2127" i="23"/>
  <c r="N2127" i="23"/>
  <c r="O2127" i="23"/>
  <c r="B2058" i="23"/>
  <c r="B2060" i="23"/>
  <c r="B2057" i="23"/>
  <c r="G1596" i="1"/>
  <c r="U1596" i="1" s="1"/>
  <c r="G1605" i="1"/>
  <c r="C1605" i="1" s="1"/>
  <c r="G1609" i="1"/>
  <c r="H1609" i="1" s="1"/>
  <c r="H2270" i="1"/>
  <c r="G2399" i="23"/>
  <c r="N2399" i="23" s="1"/>
  <c r="G2460" i="23"/>
  <c r="N2460" i="23" s="1"/>
  <c r="G404" i="23"/>
  <c r="G471" i="23" s="1"/>
  <c r="A471" i="23" s="1"/>
  <c r="G2474" i="23"/>
  <c r="M2474" i="23" s="1"/>
  <c r="G2414" i="23"/>
  <c r="O2414" i="23" s="1"/>
  <c r="G2531" i="23"/>
  <c r="N2531" i="23" s="1"/>
  <c r="G303" i="49"/>
  <c r="A303" i="49" s="1"/>
  <c r="M563" i="49"/>
  <c r="N387" i="49"/>
  <c r="N205" i="49"/>
  <c r="M605" i="49"/>
  <c r="N390" i="49"/>
  <c r="M457" i="49"/>
  <c r="G399" i="49"/>
  <c r="N399" i="49" s="1"/>
  <c r="M210" i="49"/>
  <c r="G1779" i="1"/>
  <c r="S1779" i="1" s="1"/>
  <c r="BP386" i="2"/>
  <c r="BO386" i="2"/>
  <c r="BK388" i="2"/>
  <c r="M3311" i="23"/>
  <c r="M462" i="49"/>
  <c r="A462" i="49"/>
  <c r="G1658" i="23"/>
  <c r="O1658" i="23" s="1"/>
  <c r="M3021" i="23"/>
  <c r="O2824" i="23"/>
  <c r="M3012" i="23"/>
  <c r="J124" i="23"/>
  <c r="A523" i="49"/>
  <c r="M257" i="49"/>
  <c r="M472" i="49"/>
  <c r="O641" i="49"/>
  <c r="H1640" i="23"/>
  <c r="H1907" i="23"/>
  <c r="L1907" i="23" s="1"/>
  <c r="P1989" i="1"/>
  <c r="J1640" i="23"/>
  <c r="J1907" i="23"/>
  <c r="N1907" i="23" s="1"/>
  <c r="M540" i="49"/>
  <c r="M625" i="49"/>
  <c r="M434" i="49"/>
  <c r="J2303" i="23"/>
  <c r="J1965" i="23"/>
  <c r="N1965" i="23" s="1"/>
  <c r="J1950" i="23"/>
  <c r="N1950" i="23" s="1"/>
  <c r="P1990" i="1"/>
  <c r="N648" i="49"/>
  <c r="N641" i="49"/>
  <c r="N639" i="49"/>
  <c r="O553" i="49"/>
  <c r="L648" i="49"/>
  <c r="M3175" i="23"/>
  <c r="G3178" i="23"/>
  <c r="A3178" i="23" s="1"/>
  <c r="M3155" i="23"/>
  <c r="L14" i="23"/>
  <c r="C2239" i="23"/>
  <c r="M3484" i="23"/>
  <c r="U1845" i="1"/>
  <c r="N191" i="49"/>
  <c r="N192" i="49"/>
  <c r="S523" i="1"/>
  <c r="T297" i="1"/>
  <c r="T136" i="1"/>
  <c r="S456" i="1"/>
  <c r="U437" i="1"/>
  <c r="H2076" i="1"/>
  <c r="M2079" i="1"/>
  <c r="C2079" i="1"/>
  <c r="M2072" i="1"/>
  <c r="C2072" i="1"/>
  <c r="M2062" i="1"/>
  <c r="U2077" i="1"/>
  <c r="S2087" i="1"/>
  <c r="M2086" i="1"/>
  <c r="M2056" i="1"/>
  <c r="C2056" i="1"/>
  <c r="M2061" i="1"/>
  <c r="C2061" i="1"/>
  <c r="M2083" i="1"/>
  <c r="C2083" i="1"/>
  <c r="M2093" i="1"/>
  <c r="C2093" i="1"/>
  <c r="S2165" i="1"/>
  <c r="C2165" i="1"/>
  <c r="H2131" i="1"/>
  <c r="C2131" i="1"/>
  <c r="S2159" i="1"/>
  <c r="C2159" i="1"/>
  <c r="G302" i="49"/>
  <c r="G304" i="49" s="1"/>
  <c r="M304" i="49" s="1"/>
  <c r="M191" i="49"/>
  <c r="A300" i="49"/>
  <c r="A301" i="49" s="1"/>
  <c r="L548" i="49"/>
  <c r="L429" i="49"/>
  <c r="L378" i="49"/>
  <c r="N490" i="49"/>
  <c r="N367" i="49"/>
  <c r="O490" i="49"/>
  <c r="G492" i="49"/>
  <c r="L492" i="49" s="1"/>
  <c r="G499" i="49"/>
  <c r="A499" i="49" s="1"/>
  <c r="E382" i="23"/>
  <c r="B1009" i="23"/>
  <c r="F1009" i="23" s="1"/>
  <c r="B1904" i="23"/>
  <c r="E3" i="23"/>
  <c r="H4" i="23" s="1"/>
  <c r="G1969" i="23"/>
  <c r="B1006" i="23"/>
  <c r="K1006" i="23" s="1"/>
  <c r="O1006" i="23" s="1"/>
  <c r="B1903" i="23"/>
  <c r="B1902" i="23"/>
  <c r="B1901" i="23"/>
  <c r="L209" i="49"/>
  <c r="S915" i="1"/>
  <c r="S297" i="1"/>
  <c r="N364" i="49"/>
  <c r="N25" i="49"/>
  <c r="G2208" i="1"/>
  <c r="C2208" i="1" s="1"/>
  <c r="G418" i="49"/>
  <c r="N418" i="49" s="1"/>
  <c r="O314" i="49"/>
  <c r="G320" i="49"/>
  <c r="M320" i="49" s="1"/>
  <c r="G526" i="49"/>
  <c r="L526" i="49" s="1"/>
  <c r="M209" i="49"/>
  <c r="S1090" i="1"/>
  <c r="S799" i="1"/>
  <c r="S798" i="1"/>
  <c r="S793" i="1"/>
  <c r="S532" i="1"/>
  <c r="U438" i="1"/>
  <c r="N544" i="49"/>
  <c r="N531" i="49"/>
  <c r="N452" i="49"/>
  <c r="N429" i="49"/>
  <c r="L368" i="49"/>
  <c r="L364" i="49"/>
  <c r="L358" i="49"/>
  <c r="N262" i="49"/>
  <c r="L260" i="49"/>
  <c r="L258" i="49"/>
  <c r="N233" i="49"/>
  <c r="L72" i="49"/>
  <c r="L25" i="49"/>
  <c r="I616" i="1"/>
  <c r="I618" i="1" s="1"/>
  <c r="O364" i="49"/>
  <c r="O204" i="49"/>
  <c r="H1418" i="1"/>
  <c r="L411" i="49"/>
  <c r="O409" i="49"/>
  <c r="N1943" i="1"/>
  <c r="N1963" i="1"/>
  <c r="G1632" i="23"/>
  <c r="L13" i="23"/>
  <c r="T1282" i="1"/>
  <c r="U1428" i="1"/>
  <c r="G2143" i="1"/>
  <c r="C2143" i="1" s="1"/>
  <c r="H1953" i="1"/>
  <c r="C1953" i="1"/>
  <c r="G1511" i="1"/>
  <c r="G1607" i="1"/>
  <c r="J1607" i="1" s="1"/>
  <c r="G2237" i="1"/>
  <c r="G2239" i="1" s="1"/>
  <c r="G2242" i="1"/>
  <c r="C2242" i="1" s="1"/>
  <c r="G1523" i="1"/>
  <c r="G1526" i="1" s="1"/>
  <c r="G1595" i="1"/>
  <c r="H1595" i="1" s="1"/>
  <c r="G1604" i="1"/>
  <c r="S1604" i="1" s="1"/>
  <c r="K591" i="1"/>
  <c r="G1519" i="1"/>
  <c r="G1593" i="1"/>
  <c r="J1593" i="1" s="1"/>
  <c r="G1591" i="1"/>
  <c r="U1591" i="1" s="1"/>
  <c r="G2235" i="1"/>
  <c r="T1428" i="1"/>
  <c r="U1793" i="1"/>
  <c r="C1799" i="1"/>
  <c r="U1799" i="1"/>
  <c r="T1790" i="1"/>
  <c r="U1790" i="1"/>
  <c r="C1788" i="1"/>
  <c r="K1436" i="1"/>
  <c r="C1260" i="1"/>
  <c r="C1432" i="1"/>
  <c r="S1696" i="1"/>
  <c r="U1696" i="1"/>
  <c r="T1438" i="1"/>
  <c r="U2131" i="1"/>
  <c r="S1678" i="1"/>
  <c r="J1662" i="1"/>
  <c r="U1678" i="1"/>
  <c r="S1462" i="1"/>
  <c r="H1678" i="1"/>
  <c r="U1438" i="1"/>
  <c r="U1268" i="1"/>
  <c r="T2348" i="1"/>
  <c r="T2131" i="1"/>
  <c r="T1668" i="1"/>
  <c r="T1678" i="1"/>
  <c r="J1674" i="1"/>
  <c r="C1668" i="1"/>
  <c r="H1463" i="1"/>
  <c r="J1673" i="1"/>
  <c r="U2340" i="1"/>
  <c r="T2335" i="1"/>
  <c r="I2322" i="1"/>
  <c r="T479" i="1"/>
  <c r="G2176" i="1"/>
  <c r="J627" i="1"/>
  <c r="O574" i="1"/>
  <c r="U1468" i="1"/>
  <c r="H1459" i="1"/>
  <c r="U1279" i="1"/>
  <c r="T1660" i="1"/>
  <c r="J1660" i="1"/>
  <c r="U1470" i="1"/>
  <c r="U1282" i="1"/>
  <c r="C1281" i="1"/>
  <c r="C1679" i="1"/>
  <c r="T1269" i="1"/>
  <c r="C1464" i="1"/>
  <c r="T1464" i="1"/>
  <c r="U1450" i="1"/>
  <c r="C1660" i="1"/>
  <c r="K2313" i="1"/>
  <c r="T1679" i="1"/>
  <c r="J1675" i="1"/>
  <c r="C1470" i="1"/>
  <c r="T1471" i="1"/>
  <c r="J1667" i="1"/>
  <c r="O1023" i="23"/>
  <c r="M3308" i="23"/>
  <c r="A3321" i="23"/>
  <c r="C1438" i="1"/>
  <c r="C1276" i="1"/>
  <c r="U1440" i="1"/>
  <c r="U1272" i="1"/>
  <c r="K2344" i="1"/>
  <c r="T1953" i="1"/>
  <c r="T1259" i="1"/>
  <c r="J2331" i="1"/>
  <c r="S2322" i="1"/>
  <c r="U2318" i="1"/>
  <c r="U2314" i="1"/>
  <c r="S1953" i="1"/>
  <c r="K1426" i="1"/>
  <c r="K1264" i="1"/>
  <c r="U1276" i="1"/>
  <c r="U1259" i="1"/>
  <c r="U1264" i="1"/>
  <c r="K2331" i="1"/>
  <c r="S2327" i="1"/>
  <c r="I2314" i="1"/>
  <c r="S1253" i="1"/>
  <c r="K1450" i="1"/>
  <c r="T1436" i="1"/>
  <c r="U1675" i="1"/>
  <c r="T1469" i="1"/>
  <c r="C1436" i="1"/>
  <c r="T1265" i="1"/>
  <c r="C1441" i="1"/>
  <c r="S1255" i="1"/>
  <c r="S1251" i="1"/>
  <c r="U427" i="1"/>
  <c r="S2131" i="1"/>
  <c r="H1432" i="1"/>
  <c r="U1466" i="1"/>
  <c r="C1466" i="1"/>
  <c r="T1459" i="1"/>
  <c r="C1284" i="1"/>
  <c r="T1283" i="1"/>
  <c r="S1667" i="1"/>
  <c r="K1427" i="1"/>
  <c r="T427" i="1"/>
  <c r="T1667" i="1"/>
  <c r="J1679" i="1"/>
  <c r="J1471" i="1"/>
  <c r="T1467" i="1"/>
  <c r="C1279" i="1"/>
  <c r="C1675" i="1"/>
  <c r="S1269" i="1"/>
  <c r="H1464" i="1"/>
  <c r="S1450" i="1"/>
  <c r="S2326" i="1"/>
  <c r="T1696" i="1"/>
  <c r="S1660" i="1"/>
  <c r="S1464" i="1"/>
  <c r="G568" i="49"/>
  <c r="L568" i="49" s="1"/>
  <c r="M574" i="49"/>
  <c r="L574" i="49"/>
  <c r="M635" i="49"/>
  <c r="G651" i="49"/>
  <c r="O651" i="49" s="1"/>
  <c r="I547" i="1"/>
  <c r="I550" i="1" s="1"/>
  <c r="I513" i="1"/>
  <c r="I521" i="1" s="1"/>
  <c r="I449" i="1"/>
  <c r="I452" i="1" s="1"/>
  <c r="I455" i="1"/>
  <c r="I457" i="1" s="1"/>
  <c r="I522" i="1"/>
  <c r="I527" i="1" s="1"/>
  <c r="I576" i="1"/>
  <c r="I578" i="1" s="1"/>
  <c r="L490" i="49"/>
  <c r="U356" i="1"/>
  <c r="U348" i="1" s="1"/>
  <c r="H1744" i="1"/>
  <c r="T1744" i="1"/>
  <c r="U563" i="1"/>
  <c r="T563" i="1"/>
  <c r="I562" i="1"/>
  <c r="I567" i="1" s="1"/>
  <c r="G569" i="49"/>
  <c r="G220" i="49"/>
  <c r="A220" i="49" s="1"/>
  <c r="O563" i="1"/>
  <c r="I480" i="1"/>
  <c r="I485" i="1" s="1"/>
  <c r="I539" i="1"/>
  <c r="I546" i="1" s="1"/>
  <c r="I531" i="1"/>
  <c r="I532" i="1" s="1"/>
  <c r="G326" i="49"/>
  <c r="L326" i="49" s="1"/>
  <c r="A574" i="49"/>
  <c r="M626" i="1"/>
  <c r="M628" i="1"/>
  <c r="G567" i="49"/>
  <c r="M567" i="49" s="1"/>
  <c r="C1794" i="1"/>
  <c r="U1794" i="1"/>
  <c r="H1734" i="1"/>
  <c r="M656" i="49"/>
  <c r="G571" i="1"/>
  <c r="U571" i="1" s="1"/>
  <c r="U1758" i="1"/>
  <c r="I553" i="1"/>
  <c r="I554" i="1" s="1"/>
  <c r="I496" i="1"/>
  <c r="I507" i="1" s="1"/>
  <c r="G1461" i="23"/>
  <c r="G1464" i="23" s="1"/>
  <c r="G1469" i="23" s="1"/>
  <c r="I604" i="1"/>
  <c r="I606" i="1" s="1"/>
  <c r="I580" i="1"/>
  <c r="I583" i="1" s="1"/>
  <c r="I588" i="1"/>
  <c r="I590" i="1" s="1"/>
  <c r="G318" i="49"/>
  <c r="A318" i="49" s="1"/>
  <c r="L314" i="49"/>
  <c r="G501" i="49"/>
  <c r="M501" i="49" s="1"/>
  <c r="A490" i="49"/>
  <c r="A491" i="49" s="1"/>
  <c r="O540" i="1"/>
  <c r="G459" i="49"/>
  <c r="O459" i="49" s="1"/>
  <c r="M456" i="49"/>
  <c r="G538" i="49"/>
  <c r="A538" i="49" s="1"/>
  <c r="M535" i="49"/>
  <c r="T540" i="1"/>
  <c r="H1735" i="1"/>
  <c r="U298" i="1"/>
  <c r="U1789" i="1"/>
  <c r="U1775" i="1"/>
  <c r="O429" i="1"/>
  <c r="U429" i="1"/>
  <c r="L656" i="49"/>
  <c r="O574" i="49"/>
  <c r="O562" i="49"/>
  <c r="L554" i="49"/>
  <c r="M554" i="49"/>
  <c r="O812" i="1"/>
  <c r="T812" i="1"/>
  <c r="S759" i="1"/>
  <c r="S753" i="1"/>
  <c r="O752" i="1"/>
  <c r="U752" i="1"/>
  <c r="T752" i="1"/>
  <c r="S745" i="1"/>
  <c r="S744" i="1"/>
  <c r="N725" i="1"/>
  <c r="U725" i="1"/>
  <c r="S720" i="1"/>
  <c r="S719" i="1"/>
  <c r="S710" i="1"/>
  <c r="S704" i="1"/>
  <c r="S688" i="1"/>
  <c r="O681" i="1"/>
  <c r="T681" i="1"/>
  <c r="U681" i="1"/>
  <c r="S672" i="1"/>
  <c r="S664" i="1"/>
  <c r="S651" i="1"/>
  <c r="S650" i="1"/>
  <c r="S637" i="1"/>
  <c r="S636" i="1"/>
  <c r="C1776" i="1"/>
  <c r="U1776" i="1"/>
  <c r="N806" i="1"/>
  <c r="U806" i="1"/>
  <c r="O759" i="1"/>
  <c r="T759" i="1"/>
  <c r="N744" i="1"/>
  <c r="T744" i="1"/>
  <c r="U744" i="1"/>
  <c r="N720" i="1"/>
  <c r="T720" i="1"/>
  <c r="T718" i="1" s="1"/>
  <c r="O710" i="1"/>
  <c r="T710" i="1"/>
  <c r="T709" i="1" s="1"/>
  <c r="U710" i="1"/>
  <c r="U709" i="1" s="1"/>
  <c r="T650" i="1"/>
  <c r="U650" i="1"/>
  <c r="U649" i="1" s="1"/>
  <c r="N458" i="49"/>
  <c r="L456" i="49"/>
  <c r="L374" i="49"/>
  <c r="L371" i="49"/>
  <c r="L366" i="49"/>
  <c r="G383" i="49"/>
  <c r="M383" i="49" s="1"/>
  <c r="L382" i="49"/>
  <c r="G380" i="49"/>
  <c r="N380" i="49" s="1"/>
  <c r="M374" i="49"/>
  <c r="L362" i="49"/>
  <c r="L353" i="49"/>
  <c r="L259" i="49"/>
  <c r="O206" i="49"/>
  <c r="L156" i="49"/>
  <c r="N70" i="49"/>
  <c r="L26" i="49"/>
  <c r="I2596" i="23"/>
  <c r="D2393" i="23"/>
  <c r="B2243" i="23"/>
  <c r="H2243" i="23" s="1"/>
  <c r="D1633" i="23"/>
  <c r="B1228" i="23"/>
  <c r="J1228" i="23" s="1"/>
  <c r="N424" i="49"/>
  <c r="B3240" i="23"/>
  <c r="J3240" i="23" s="1"/>
  <c r="B3093" i="23"/>
  <c r="D3093" i="23" s="1"/>
  <c r="B3088" i="23"/>
  <c r="I3088" i="23" s="1"/>
  <c r="B2940" i="23"/>
  <c r="I2940" i="23" s="1"/>
  <c r="B2935" i="23"/>
  <c r="E2935" i="23" s="1"/>
  <c r="B2391" i="23"/>
  <c r="B1512" i="23"/>
  <c r="J1512" i="23" s="1"/>
  <c r="B1360" i="23"/>
  <c r="E1360" i="23" s="1"/>
  <c r="G907" i="23"/>
  <c r="G911" i="23" s="1"/>
  <c r="A911" i="23" s="1"/>
  <c r="G2203" i="1"/>
  <c r="H2203" i="1" s="1"/>
  <c r="G417" i="49"/>
  <c r="N1010" i="23"/>
  <c r="S1776" i="1"/>
  <c r="S1775" i="1"/>
  <c r="O427" i="49"/>
  <c r="L424" i="49"/>
  <c r="B3244" i="23"/>
  <c r="D3244" i="23" s="1"/>
  <c r="B3239" i="23"/>
  <c r="F3239" i="23" s="1"/>
  <c r="B3236" i="23"/>
  <c r="J3236" i="23" s="1"/>
  <c r="B3092" i="23"/>
  <c r="H3092" i="23" s="1"/>
  <c r="B3087" i="23"/>
  <c r="K3087" i="23" s="1"/>
  <c r="B3084" i="23"/>
  <c r="F3084" i="23" s="1"/>
  <c r="B2795" i="23"/>
  <c r="E2795" i="23" s="1"/>
  <c r="B2793" i="23"/>
  <c r="J2793" i="23" s="1"/>
  <c r="B2245" i="23"/>
  <c r="F2245" i="23" s="1"/>
  <c r="B1359" i="23"/>
  <c r="E1359" i="23" s="1"/>
  <c r="B663" i="23"/>
  <c r="D663" i="23" s="1"/>
  <c r="G2259" i="1"/>
  <c r="C2259" i="1" s="1"/>
  <c r="AX40" i="63"/>
  <c r="I8" i="49" s="1"/>
  <c r="G95" i="49" s="1"/>
  <c r="M95" i="49" s="1"/>
  <c r="G2212" i="1"/>
  <c r="H2212" i="1" s="1"/>
  <c r="G2210" i="1"/>
  <c r="T2210" i="1" s="1"/>
  <c r="N411" i="49"/>
  <c r="T789" i="1"/>
  <c r="T1943" i="1"/>
  <c r="S1943" i="1"/>
  <c r="C1857" i="1"/>
  <c r="G1763" i="1"/>
  <c r="C1763" i="1" s="1"/>
  <c r="U1857" i="1"/>
  <c r="C1782" i="1"/>
  <c r="G1764" i="1"/>
  <c r="C1764" i="1" s="1"/>
  <c r="K1438" i="1"/>
  <c r="T1430" i="1"/>
  <c r="C1535" i="1"/>
  <c r="C1435" i="1"/>
  <c r="T1276" i="1"/>
  <c r="C1259" i="1"/>
  <c r="U1430" i="1"/>
  <c r="T1272" i="1"/>
  <c r="C1253" i="1"/>
  <c r="T1253" i="1"/>
  <c r="S2352" i="1"/>
  <c r="S2340" i="1"/>
  <c r="T2331" i="1"/>
  <c r="I2327" i="1"/>
  <c r="U2322" i="1"/>
  <c r="S2318" i="1"/>
  <c r="K1430" i="1"/>
  <c r="K1440" i="1"/>
  <c r="T1440" i="1"/>
  <c r="T1435" i="1"/>
  <c r="T1264" i="1"/>
  <c r="S1438" i="1"/>
  <c r="U1435" i="1"/>
  <c r="C1272" i="1"/>
  <c r="S1259" i="1"/>
  <c r="C1430" i="1"/>
  <c r="J2318" i="1"/>
  <c r="C1440" i="1"/>
  <c r="T2344" i="1"/>
  <c r="I2340" i="1"/>
  <c r="U2327" i="1"/>
  <c r="I2318" i="1"/>
  <c r="S2314" i="1"/>
  <c r="O439" i="1"/>
  <c r="S74" i="1"/>
  <c r="S72" i="1" s="1"/>
  <c r="U310" i="1"/>
  <c r="S1276" i="1"/>
  <c r="S1463" i="1"/>
  <c r="S494" i="1"/>
  <c r="T1669" i="1"/>
  <c r="U1251" i="1"/>
  <c r="U1663" i="1"/>
  <c r="S2342" i="1"/>
  <c r="S1428" i="1"/>
  <c r="J1669" i="1"/>
  <c r="T1462" i="1"/>
  <c r="H1663" i="1"/>
  <c r="S1437" i="1"/>
  <c r="S538" i="1"/>
  <c r="S2040" i="1"/>
  <c r="T1663" i="1"/>
  <c r="C1669" i="1"/>
  <c r="C1673" i="1"/>
  <c r="J1473" i="1"/>
  <c r="H1473" i="1"/>
  <c r="U1673" i="1"/>
  <c r="U1444" i="1"/>
  <c r="C1433" i="1"/>
  <c r="U1274" i="1"/>
  <c r="T1257" i="1"/>
  <c r="U1257" i="1"/>
  <c r="S415" i="1"/>
  <c r="T1251" i="1"/>
  <c r="C1442" i="1"/>
  <c r="T2333" i="1"/>
  <c r="U249" i="1"/>
  <c r="M3483" i="23"/>
  <c r="M3309" i="23"/>
  <c r="G1075" i="23"/>
  <c r="N1075" i="23" s="1"/>
  <c r="G1059" i="23"/>
  <c r="O1059" i="23" s="1"/>
  <c r="G1057" i="23"/>
  <c r="O1057" i="23" s="1"/>
  <c r="G1060" i="23"/>
  <c r="E909" i="23"/>
  <c r="L3177" i="23"/>
  <c r="L3175" i="23"/>
  <c r="L3164" i="23"/>
  <c r="L3155" i="23"/>
  <c r="L1023" i="23"/>
  <c r="N1065" i="23"/>
  <c r="B1005" i="23"/>
  <c r="H1005" i="23" s="1"/>
  <c r="L1005" i="23" s="1"/>
  <c r="N582" i="23"/>
  <c r="B910" i="23"/>
  <c r="J910" i="23" s="1"/>
  <c r="B1637" i="23"/>
  <c r="J1637" i="23" s="1"/>
  <c r="M3320" i="23"/>
  <c r="E191" i="23"/>
  <c r="G584" i="23"/>
  <c r="L584" i="23" s="1"/>
  <c r="N2823" i="23"/>
  <c r="M3156" i="23"/>
  <c r="A3318" i="23"/>
  <c r="H191" i="23"/>
  <c r="O3113" i="23"/>
  <c r="F191" i="23"/>
  <c r="G3331" i="23"/>
  <c r="N3331" i="23" s="1"/>
  <c r="K1441" i="1"/>
  <c r="T1674" i="1"/>
  <c r="U1674" i="1"/>
  <c r="J1467" i="1"/>
  <c r="S1466" i="1"/>
  <c r="S1281" i="1"/>
  <c r="S1284" i="1"/>
  <c r="C1471" i="1"/>
  <c r="U1471" i="1"/>
  <c r="J1668" i="1"/>
  <c r="U1427" i="1"/>
  <c r="T1252" i="1"/>
  <c r="U1260" i="1"/>
  <c r="S1265" i="1"/>
  <c r="U1273" i="1"/>
  <c r="U1662" i="1"/>
  <c r="C1662" i="1"/>
  <c r="S1679" i="1"/>
  <c r="S1270" i="1"/>
  <c r="U479" i="1"/>
  <c r="J2328" i="1"/>
  <c r="T2332" i="1"/>
  <c r="S2323" i="1"/>
  <c r="K2319" i="1"/>
  <c r="T2315" i="1"/>
  <c r="O551" i="1"/>
  <c r="H1730" i="1"/>
  <c r="S2328" i="1"/>
  <c r="T1659" i="1"/>
  <c r="U293" i="1"/>
  <c r="K2341" i="1"/>
  <c r="K2336" i="1"/>
  <c r="S2332" i="1"/>
  <c r="K2328" i="1"/>
  <c r="S1429" i="1"/>
  <c r="S519" i="1"/>
  <c r="S513" i="1" s="1"/>
  <c r="J2332" i="1"/>
  <c r="J2341" i="1"/>
  <c r="U509" i="1"/>
  <c r="U496" i="1" s="1"/>
  <c r="K2345" i="1"/>
  <c r="I2328" i="1"/>
  <c r="K2315" i="1"/>
  <c r="U1258" i="1"/>
  <c r="J2345" i="1"/>
  <c r="U2336" i="1"/>
  <c r="I2336" i="1"/>
  <c r="I2332" i="1"/>
  <c r="T2319" i="1"/>
  <c r="O425" i="1"/>
  <c r="K1414" i="1"/>
  <c r="T425" i="1"/>
  <c r="J2319" i="1"/>
  <c r="H1732" i="1"/>
  <c r="T1735" i="1"/>
  <c r="U2345" i="1"/>
  <c r="T2341" i="1"/>
  <c r="T2336" i="1"/>
  <c r="T2323" i="1"/>
  <c r="O2825" i="23"/>
  <c r="L3265" i="23"/>
  <c r="N589" i="23"/>
  <c r="M644" i="23"/>
  <c r="M3164" i="23"/>
  <c r="M3025" i="23"/>
  <c r="M3177" i="23"/>
  <c r="M3167" i="23"/>
  <c r="G1416" i="23"/>
  <c r="G1429" i="23" s="1"/>
  <c r="G1430" i="23" s="1"/>
  <c r="G3442" i="23"/>
  <c r="G3447" i="23" s="1"/>
  <c r="E2416" i="23"/>
  <c r="H2416" i="23"/>
  <c r="J178" i="23"/>
  <c r="J403" i="23"/>
  <c r="F685" i="23"/>
  <c r="J1537" i="23"/>
  <c r="J1658" i="23"/>
  <c r="F2665" i="23"/>
  <c r="E144" i="23"/>
  <c r="E685" i="23"/>
  <c r="F2416" i="23"/>
  <c r="J2941" i="23"/>
  <c r="H178" i="23"/>
  <c r="K933" i="23"/>
  <c r="E1658" i="23"/>
  <c r="F2483" i="23"/>
  <c r="D933" i="23"/>
  <c r="E2483" i="23"/>
  <c r="H685" i="23"/>
  <c r="H749" i="23"/>
  <c r="F500" i="23"/>
  <c r="E500" i="23"/>
  <c r="F211" i="23"/>
  <c r="J343" i="23"/>
  <c r="B748" i="23"/>
  <c r="J748" i="23" s="1"/>
  <c r="B100" i="23"/>
  <c r="F100" i="23" s="1"/>
  <c r="F2628" i="23"/>
  <c r="F2814" i="23"/>
  <c r="H3411" i="23"/>
  <c r="E169" i="23"/>
  <c r="B8" i="2"/>
  <c r="B37" i="23"/>
  <c r="J37" i="23" s="1"/>
  <c r="F253" i="23"/>
  <c r="K253" i="23"/>
  <c r="E322" i="23"/>
  <c r="H123" i="23"/>
  <c r="F36" i="23"/>
  <c r="J1532" i="23"/>
  <c r="F2862" i="23"/>
  <c r="H2628" i="23"/>
  <c r="E1663" i="23"/>
  <c r="D122" i="23"/>
  <c r="F343" i="23"/>
  <c r="J2862" i="23"/>
  <c r="E2628" i="23"/>
  <c r="M2826" i="23"/>
  <c r="O2826" i="23"/>
  <c r="A3022" i="23"/>
  <c r="M3022" i="23"/>
  <c r="G3026" i="23"/>
  <c r="L3026" i="23" s="1"/>
  <c r="A3003" i="23"/>
  <c r="M3003" i="23"/>
  <c r="A2825" i="23"/>
  <c r="N2825" i="23"/>
  <c r="M2825" i="23"/>
  <c r="D1663" i="23"/>
  <c r="H1663" i="23"/>
  <c r="J1663" i="23"/>
  <c r="A1065" i="23"/>
  <c r="O1065" i="23"/>
  <c r="G1037" i="23"/>
  <c r="O1037" i="23" s="1"/>
  <c r="L1032" i="23"/>
  <c r="G1039" i="23"/>
  <c r="A1039" i="23" s="1"/>
  <c r="D383" i="23"/>
  <c r="M3333" i="23"/>
  <c r="A3159" i="23"/>
  <c r="M567" i="23"/>
  <c r="C567" i="23"/>
  <c r="G2423" i="23"/>
  <c r="G1367" i="23"/>
  <c r="L1367" i="23" s="1"/>
  <c r="G1389" i="23"/>
  <c r="G2440" i="23"/>
  <c r="M3316" i="23"/>
  <c r="F806" i="23"/>
  <c r="F1440" i="23"/>
  <c r="J2628" i="23"/>
  <c r="D95" i="23"/>
  <c r="H2664" i="23"/>
  <c r="H806" i="23"/>
  <c r="H2629" i="23"/>
  <c r="K169" i="23"/>
  <c r="H2941" i="23"/>
  <c r="M3115" i="23"/>
  <c r="M3013" i="23"/>
  <c r="M3005" i="23"/>
  <c r="M3084" i="23"/>
  <c r="B6" i="2"/>
  <c r="J34" i="23"/>
  <c r="N34" i="23" s="1"/>
  <c r="F480" i="23"/>
  <c r="K480" i="23"/>
  <c r="K302" i="23"/>
  <c r="B101" i="23"/>
  <c r="K96" i="23"/>
  <c r="G2436" i="23"/>
  <c r="N2436" i="23" s="1"/>
  <c r="L2433" i="23"/>
  <c r="F909" i="23"/>
  <c r="J2819" i="23"/>
  <c r="H2819" i="23"/>
  <c r="G3118" i="23"/>
  <c r="L3118" i="23" s="1"/>
  <c r="M3315" i="23"/>
  <c r="L3483" i="23"/>
  <c r="A3327" i="23"/>
  <c r="G3328" i="23"/>
  <c r="L3174" i="23"/>
  <c r="L3169" i="23"/>
  <c r="L3166" i="23"/>
  <c r="L3159" i="23"/>
  <c r="L3157" i="23"/>
  <c r="L3153" i="23"/>
  <c r="A3020" i="23"/>
  <c r="G3027" i="23"/>
  <c r="N3027" i="23" s="1"/>
  <c r="A3011" i="23"/>
  <c r="M3011" i="23"/>
  <c r="D123" i="23"/>
  <c r="A2826" i="23"/>
  <c r="H909" i="23"/>
  <c r="J909" i="23"/>
  <c r="L3333" i="23"/>
  <c r="L3325" i="23"/>
  <c r="L3316" i="23"/>
  <c r="L3306" i="23"/>
  <c r="G3310" i="23"/>
  <c r="A3267" i="23"/>
  <c r="N3267" i="23"/>
  <c r="M3267" i="23"/>
  <c r="L3025" i="23"/>
  <c r="L3022" i="23"/>
  <c r="A2391" i="23"/>
  <c r="G2402" i="23"/>
  <c r="M2402" i="23" s="1"/>
  <c r="M2465" i="23"/>
  <c r="G2493" i="23"/>
  <c r="N2493" i="23" s="1"/>
  <c r="G2502" i="23"/>
  <c r="N2502" i="23" s="1"/>
  <c r="F2271" i="23"/>
  <c r="J2271" i="23"/>
  <c r="D1383" i="23"/>
  <c r="F1383" i="23"/>
  <c r="D1249" i="23"/>
  <c r="J1249" i="23"/>
  <c r="H958" i="23"/>
  <c r="F958" i="23"/>
  <c r="D684" i="23"/>
  <c r="K684" i="23"/>
  <c r="J684" i="23"/>
  <c r="D590" i="23"/>
  <c r="K590" i="23"/>
  <c r="O590" i="23" s="1"/>
  <c r="J590" i="23"/>
  <c r="N590" i="23" s="1"/>
  <c r="O2823" i="23"/>
  <c r="L3327" i="23"/>
  <c r="L3321" i="23"/>
  <c r="L3308" i="23"/>
  <c r="L3020" i="23"/>
  <c r="L3015" i="23"/>
  <c r="L3011" i="23"/>
  <c r="L3008" i="23"/>
  <c r="L3005" i="23"/>
  <c r="L3001" i="23"/>
  <c r="L2823" i="23"/>
  <c r="F2270" i="23"/>
  <c r="E2270" i="23"/>
  <c r="J2270" i="23"/>
  <c r="D1382" i="23"/>
  <c r="J1382" i="23"/>
  <c r="D1255" i="23"/>
  <c r="H1255" i="23"/>
  <c r="E1255" i="23"/>
  <c r="F1255" i="23"/>
  <c r="D665" i="23"/>
  <c r="K665" i="23"/>
  <c r="H665" i="23"/>
  <c r="E665" i="23"/>
  <c r="F665" i="23"/>
  <c r="A587" i="23"/>
  <c r="M587" i="23"/>
  <c r="D322" i="23"/>
  <c r="K322" i="23"/>
  <c r="J322" i="23"/>
  <c r="F322" i="23"/>
  <c r="D253" i="23"/>
  <c r="H253" i="23"/>
  <c r="J253" i="23"/>
  <c r="D169" i="23"/>
  <c r="H169" i="23"/>
  <c r="O2949" i="23"/>
  <c r="C2928" i="23"/>
  <c r="G300" i="23"/>
  <c r="I9" i="23"/>
  <c r="D19" i="2"/>
  <c r="E19" i="2"/>
  <c r="J1132" i="23"/>
  <c r="H1132" i="23"/>
  <c r="F1132" i="23"/>
  <c r="E1132" i="23"/>
  <c r="J1107" i="23"/>
  <c r="E1107" i="23"/>
  <c r="N1029" i="23"/>
  <c r="G1036" i="23"/>
  <c r="O1032" i="23"/>
  <c r="A1032" i="23"/>
  <c r="A1033" i="23" s="1"/>
  <c r="G1034" i="23"/>
  <c r="A1034" i="23" s="1"/>
  <c r="N1647" i="23"/>
  <c r="O1647" i="23"/>
  <c r="A3478" i="23"/>
  <c r="M3478" i="23"/>
  <c r="D2421" i="23"/>
  <c r="E2421" i="23"/>
  <c r="F2421" i="23"/>
  <c r="D1440" i="23"/>
  <c r="H1440" i="23"/>
  <c r="L928" i="23"/>
  <c r="G932" i="23"/>
  <c r="N932" i="23" s="1"/>
  <c r="G930" i="23"/>
  <c r="M930" i="23" s="1"/>
  <c r="M928" i="23"/>
  <c r="O928" i="23"/>
  <c r="H836" i="23"/>
  <c r="K836" i="23"/>
  <c r="E836" i="23"/>
  <c r="A589" i="23"/>
  <c r="M589" i="23"/>
  <c r="D526" i="23"/>
  <c r="H526" i="23"/>
  <c r="K526" i="23"/>
  <c r="F526" i="23"/>
  <c r="E526" i="23"/>
  <c r="D430" i="23"/>
  <c r="K430" i="23"/>
  <c r="H430" i="23"/>
  <c r="E430" i="23"/>
  <c r="D343" i="23"/>
  <c r="H343" i="23"/>
  <c r="D244" i="23"/>
  <c r="J244" i="23"/>
  <c r="H244" i="23"/>
  <c r="K244" i="23"/>
  <c r="F244" i="23"/>
  <c r="D80" i="23"/>
  <c r="J80" i="23"/>
  <c r="E80" i="23"/>
  <c r="K80" i="23"/>
  <c r="D36" i="23"/>
  <c r="E36" i="23"/>
  <c r="H36" i="23"/>
  <c r="G2243" i="23"/>
  <c r="A2243" i="23" s="1"/>
  <c r="G478" i="23"/>
  <c r="G482" i="23" s="1"/>
  <c r="I11" i="23"/>
  <c r="C657" i="23"/>
  <c r="L7" i="23"/>
  <c r="B1008" i="23"/>
  <c r="H1008" i="23" s="1"/>
  <c r="B1636" i="23"/>
  <c r="B1108" i="23"/>
  <c r="J1108" i="23" s="1"/>
  <c r="B384" i="23"/>
  <c r="B1514" i="23"/>
  <c r="K1514" i="23" s="1"/>
  <c r="B2394" i="23"/>
  <c r="B2796" i="23"/>
  <c r="E2796" i="23" s="1"/>
  <c r="B2937" i="23"/>
  <c r="H2937" i="23" s="1"/>
  <c r="B303" i="23"/>
  <c r="B570" i="23"/>
  <c r="F570" i="23" s="1"/>
  <c r="B1230" i="23"/>
  <c r="J1230" i="23" s="1"/>
  <c r="B664" i="23"/>
  <c r="E664" i="23" s="1"/>
  <c r="B3089" i="23"/>
  <c r="J3089" i="23" s="1"/>
  <c r="B214" i="23"/>
  <c r="E214" i="23" s="1"/>
  <c r="B2597" i="23"/>
  <c r="C296" i="23"/>
  <c r="B481" i="23"/>
  <c r="F169" i="23"/>
  <c r="J665" i="23"/>
  <c r="F836" i="23"/>
  <c r="J1440" i="23"/>
  <c r="E343" i="23"/>
  <c r="D836" i="23"/>
  <c r="B125" i="23"/>
  <c r="K125" i="23" s="1"/>
  <c r="H1382" i="23"/>
  <c r="G931" i="23"/>
  <c r="O931" i="23" s="1"/>
  <c r="G933" i="23"/>
  <c r="O2964" i="23"/>
  <c r="A2964" i="23"/>
  <c r="A3023" i="23"/>
  <c r="G3024" i="23"/>
  <c r="A3014" i="23"/>
  <c r="M3014" i="23"/>
  <c r="G3016" i="23"/>
  <c r="L3016" i="23" s="1"/>
  <c r="A2963" i="23"/>
  <c r="L2963" i="23"/>
  <c r="O2963" i="23"/>
  <c r="A2961" i="23"/>
  <c r="L2961" i="23"/>
  <c r="M2961" i="23"/>
  <c r="O2961" i="23"/>
  <c r="F850" i="23"/>
  <c r="F3411" i="23"/>
  <c r="H1105" i="23"/>
  <c r="E1105" i="23"/>
  <c r="D1297" i="23"/>
  <c r="H1297" i="23"/>
  <c r="E1297" i="23"/>
  <c r="J1297" i="23"/>
  <c r="F1297" i="23"/>
  <c r="M1030" i="23"/>
  <c r="E301" i="23"/>
  <c r="A1647" i="23"/>
  <c r="A1038" i="23"/>
  <c r="M1038" i="23"/>
  <c r="G1655" i="23"/>
  <c r="M2433" i="23"/>
  <c r="F1105" i="23"/>
  <c r="J526" i="23"/>
  <c r="J836" i="23"/>
  <c r="G3482" i="23"/>
  <c r="O3482" i="23" s="1"/>
  <c r="F1382" i="23"/>
  <c r="J2421" i="23"/>
  <c r="E1382" i="23"/>
  <c r="H2421" i="23"/>
  <c r="A928" i="23"/>
  <c r="A929" i="23" s="1"/>
  <c r="M615" i="23"/>
  <c r="A3481" i="23"/>
  <c r="M3481" i="23"/>
  <c r="L3478" i="23"/>
  <c r="A3477" i="23"/>
  <c r="M3477" i="23"/>
  <c r="B3394" i="23"/>
  <c r="M3319" i="23"/>
  <c r="A3319" i="23"/>
  <c r="A3305" i="23"/>
  <c r="M3305" i="23"/>
  <c r="M3173" i="23"/>
  <c r="G3180" i="23"/>
  <c r="M3180" i="23" s="1"/>
  <c r="A3115" i="23"/>
  <c r="L3115" i="23"/>
  <c r="O3115" i="23"/>
  <c r="A3113" i="23"/>
  <c r="L3113" i="23"/>
  <c r="A3325" i="23"/>
  <c r="G3332" i="23"/>
  <c r="M3325" i="23"/>
  <c r="A3306" i="23"/>
  <c r="M3306" i="23"/>
  <c r="L3269" i="23"/>
  <c r="N3269" i="23"/>
  <c r="B3241" i="23"/>
  <c r="A3169" i="23"/>
  <c r="M3169" i="23"/>
  <c r="A3166" i="23"/>
  <c r="M3166" i="23"/>
  <c r="A3008" i="23"/>
  <c r="M3008" i="23"/>
  <c r="A3001" i="23"/>
  <c r="M3001" i="23"/>
  <c r="A2965" i="23"/>
  <c r="L2965" i="23"/>
  <c r="D2484" i="23"/>
  <c r="E2484" i="23"/>
  <c r="D1439" i="23"/>
  <c r="H1439" i="23"/>
  <c r="E1439" i="23"/>
  <c r="D1229" i="23"/>
  <c r="K1229" i="23"/>
  <c r="O644" i="23"/>
  <c r="O615" i="23"/>
  <c r="D589" i="23"/>
  <c r="F589" i="23"/>
  <c r="A588" i="23"/>
  <c r="M588" i="23"/>
  <c r="O587" i="23"/>
  <c r="D429" i="23"/>
  <c r="E429" i="23"/>
  <c r="L3117" i="23"/>
  <c r="M3020" i="23"/>
  <c r="N3117" i="23"/>
  <c r="M3157" i="23"/>
  <c r="N3481" i="23"/>
  <c r="O3478" i="23"/>
  <c r="N3477" i="23"/>
  <c r="O3325" i="23"/>
  <c r="N3324" i="23"/>
  <c r="N3319" i="23"/>
  <c r="N3312" i="23"/>
  <c r="O3174" i="23"/>
  <c r="N3156" i="23"/>
  <c r="D1575" i="23"/>
  <c r="H1575" i="23"/>
  <c r="D1537" i="23"/>
  <c r="E1537" i="23"/>
  <c r="N3484" i="23"/>
  <c r="O3333" i="23"/>
  <c r="N3309" i="23"/>
  <c r="O3306" i="23"/>
  <c r="D211" i="23"/>
  <c r="N1410" i="23"/>
  <c r="G1363" i="23"/>
  <c r="G1368" i="23"/>
  <c r="N1368" i="23" s="1"/>
  <c r="M3160" i="23"/>
  <c r="J1439" i="23"/>
  <c r="H1635" i="23"/>
  <c r="J1388" i="23"/>
  <c r="E1538" i="23"/>
  <c r="E2665" i="23"/>
  <c r="E2417" i="23"/>
  <c r="H2484" i="23"/>
  <c r="M3307" i="23"/>
  <c r="O3266" i="23"/>
  <c r="M3015" i="23"/>
  <c r="M3153" i="23"/>
  <c r="D2862" i="23"/>
  <c r="H2862" i="23"/>
  <c r="D2819" i="23"/>
  <c r="E2819" i="23"/>
  <c r="C2391" i="23"/>
  <c r="G2395" i="23"/>
  <c r="A2395" i="23" s="1"/>
  <c r="M2391" i="23"/>
  <c r="N3014" i="23"/>
  <c r="O3011" i="23"/>
  <c r="N3004" i="23"/>
  <c r="N644" i="23"/>
  <c r="N615" i="23"/>
  <c r="O588" i="23"/>
  <c r="N587" i="23"/>
  <c r="L3309" i="23"/>
  <c r="L3168" i="23"/>
  <c r="L3014" i="23"/>
  <c r="G2793" i="23"/>
  <c r="G2800" i="23" s="1"/>
  <c r="O2800" i="23" s="1"/>
  <c r="L644" i="23"/>
  <c r="L615" i="23"/>
  <c r="N588" i="23"/>
  <c r="L587" i="23"/>
  <c r="H1484" i="1"/>
  <c r="U1416" i="1"/>
  <c r="J2315" i="1"/>
  <c r="G2220" i="1"/>
  <c r="C2220" i="1" s="1"/>
  <c r="T1485" i="1"/>
  <c r="U538" i="1"/>
  <c r="G881" i="1"/>
  <c r="N881" i="1" s="1"/>
  <c r="U1664" i="1"/>
  <c r="U1534" i="1"/>
  <c r="T2349" i="1"/>
  <c r="T2345" i="1"/>
  <c r="S2341" i="1"/>
  <c r="U2332" i="1"/>
  <c r="U2319" i="1"/>
  <c r="U2315" i="1"/>
  <c r="T1450" i="1"/>
  <c r="U189" i="1"/>
  <c r="U147" i="1"/>
  <c r="U101" i="1"/>
  <c r="U93" i="1" s="1"/>
  <c r="C1414" i="1"/>
  <c r="J1485" i="1"/>
  <c r="H2194" i="1"/>
  <c r="A304" i="49"/>
  <c r="A647" i="49"/>
  <c r="M647" i="49"/>
  <c r="M239" i="49"/>
  <c r="A3154" i="23"/>
  <c r="G3158" i="23"/>
  <c r="O3158" i="23" s="1"/>
  <c r="L419" i="49"/>
  <c r="M2962" i="23"/>
  <c r="A359" i="49"/>
  <c r="L625" i="49"/>
  <c r="M1025" i="23"/>
  <c r="N1024" i="23"/>
  <c r="O419" i="49"/>
  <c r="S1793" i="1"/>
  <c r="G207" i="49"/>
  <c r="A3181" i="23"/>
  <c r="G360" i="49"/>
  <c r="N360" i="49" s="1"/>
  <c r="L158" i="49"/>
  <c r="G3179" i="23"/>
  <c r="L3179" i="23" s="1"/>
  <c r="G381" i="49"/>
  <c r="O381" i="49" s="1"/>
  <c r="G652" i="49"/>
  <c r="L652" i="49" s="1"/>
  <c r="N2962" i="23"/>
  <c r="L3266" i="23"/>
  <c r="N3266" i="23"/>
  <c r="O2962" i="23"/>
  <c r="M3326" i="23"/>
  <c r="M3002" i="23"/>
  <c r="M3172" i="23"/>
  <c r="M638" i="49"/>
  <c r="A3317" i="23"/>
  <c r="A369" i="49"/>
  <c r="M365" i="49"/>
  <c r="A365" i="49"/>
  <c r="A3329" i="23"/>
  <c r="M3329" i="23"/>
  <c r="M190" i="49"/>
  <c r="N158" i="49"/>
  <c r="M375" i="49"/>
  <c r="O647" i="49"/>
  <c r="L635" i="49"/>
  <c r="A419" i="49"/>
  <c r="O1024" i="23"/>
  <c r="O2433" i="23"/>
  <c r="G39" i="23"/>
  <c r="S1789" i="1"/>
  <c r="G473" i="49"/>
  <c r="M473" i="49" s="1"/>
  <c r="A3479" i="23"/>
  <c r="M2824" i="23"/>
  <c r="L239" i="49"/>
  <c r="M3266" i="23"/>
  <c r="G3006" i="23"/>
  <c r="T1726" i="1"/>
  <c r="M3029" i="23"/>
  <c r="M545" i="49"/>
  <c r="G643" i="49"/>
  <c r="O643" i="49" s="1"/>
  <c r="O2594" i="23"/>
  <c r="N927" i="23"/>
  <c r="A925" i="23"/>
  <c r="G926" i="23"/>
  <c r="O926" i="23" s="1"/>
  <c r="N470" i="49"/>
  <c r="A3114" i="23"/>
  <c r="L3114" i="23"/>
  <c r="N3114" i="23"/>
  <c r="G115" i="23"/>
  <c r="N115" i="23" s="1"/>
  <c r="G361" i="49"/>
  <c r="G3028" i="23"/>
  <c r="N375" i="49"/>
  <c r="G552" i="49"/>
  <c r="M552" i="49" s="1"/>
  <c r="G3330" i="23"/>
  <c r="A3330" i="23" s="1"/>
  <c r="M3163" i="23"/>
  <c r="O654" i="49"/>
  <c r="O545" i="49"/>
  <c r="N413" i="49"/>
  <c r="O365" i="49"/>
  <c r="M259" i="49"/>
  <c r="L206" i="49"/>
  <c r="L203" i="49"/>
  <c r="O190" i="49"/>
  <c r="O3326" i="23"/>
  <c r="O3181" i="23"/>
  <c r="O925" i="23"/>
  <c r="O582" i="23"/>
  <c r="J2285" i="23"/>
  <c r="O602" i="49"/>
  <c r="N574" i="49"/>
  <c r="N562" i="49"/>
  <c r="N549" i="49"/>
  <c r="N547" i="49"/>
  <c r="L536" i="49"/>
  <c r="N535" i="49"/>
  <c r="N524" i="49"/>
  <c r="O471" i="49"/>
  <c r="O375" i="49"/>
  <c r="N369" i="49"/>
  <c r="N365" i="49"/>
  <c r="N359" i="49"/>
  <c r="O239" i="49"/>
  <c r="N209" i="49"/>
  <c r="O196" i="49"/>
  <c r="L193" i="49"/>
  <c r="O26" i="49"/>
  <c r="O3483" i="23"/>
  <c r="O3480" i="23"/>
  <c r="N3479" i="23"/>
  <c r="N3329" i="23"/>
  <c r="O3327" i="23"/>
  <c r="N3326" i="23"/>
  <c r="O3321" i="23"/>
  <c r="N3320" i="23"/>
  <c r="O3318" i="23"/>
  <c r="N3317" i="23"/>
  <c r="O3311" i="23"/>
  <c r="O3308" i="23"/>
  <c r="N3307" i="23"/>
  <c r="N3181" i="23"/>
  <c r="O3177" i="23"/>
  <c r="O3175" i="23"/>
  <c r="N3172" i="23"/>
  <c r="N3167" i="23"/>
  <c r="O3164" i="23"/>
  <c r="N3163" i="23"/>
  <c r="O3155" i="23"/>
  <c r="N3154" i="23"/>
  <c r="N3029" i="23"/>
  <c r="O3025" i="23"/>
  <c r="O3022" i="23"/>
  <c r="N3021" i="23"/>
  <c r="O3013" i="23"/>
  <c r="N3012" i="23"/>
  <c r="O3003" i="23"/>
  <c r="N3002" i="23"/>
  <c r="L2825" i="23"/>
  <c r="N925" i="23"/>
  <c r="L588" i="23"/>
  <c r="L70" i="49"/>
  <c r="G583" i="23"/>
  <c r="M583" i="23" s="1"/>
  <c r="T1789" i="1"/>
  <c r="M590" i="23"/>
  <c r="G94" i="49"/>
  <c r="N94" i="49" s="1"/>
  <c r="N640" i="49"/>
  <c r="O625" i="49"/>
  <c r="O605" i="49"/>
  <c r="O554" i="49"/>
  <c r="N550" i="49"/>
  <c r="L545" i="49"/>
  <c r="O531" i="49"/>
  <c r="L524" i="49"/>
  <c r="O470" i="49"/>
  <c r="L443" i="49"/>
  <c r="O382" i="49"/>
  <c r="L375" i="49"/>
  <c r="L365" i="49"/>
  <c r="O363" i="49"/>
  <c r="L359" i="49"/>
  <c r="N353" i="49"/>
  <c r="N196" i="49"/>
  <c r="O3481" i="23"/>
  <c r="O3477" i="23"/>
  <c r="L3329" i="23"/>
  <c r="N3321" i="23"/>
  <c r="L3320" i="23"/>
  <c r="N3318" i="23"/>
  <c r="O3315" i="23"/>
  <c r="O3312" i="23"/>
  <c r="O3309" i="23"/>
  <c r="L3307" i="23"/>
  <c r="L3181" i="23"/>
  <c r="N3177" i="23"/>
  <c r="N3175" i="23"/>
  <c r="O3173" i="23"/>
  <c r="L3172" i="23"/>
  <c r="O3168" i="23"/>
  <c r="N3164" i="23"/>
  <c r="O3156" i="23"/>
  <c r="L3029" i="23"/>
  <c r="O3023" i="23"/>
  <c r="N3022" i="23"/>
  <c r="O3014" i="23"/>
  <c r="N3013" i="23"/>
  <c r="L3012" i="23"/>
  <c r="O3004" i="23"/>
  <c r="L3002" i="23"/>
  <c r="L2824" i="23"/>
  <c r="L2456" i="23"/>
  <c r="L925" i="23"/>
  <c r="L582" i="23"/>
  <c r="O76" i="23"/>
  <c r="O410" i="49"/>
  <c r="J1715" i="23"/>
  <c r="O440" i="1"/>
  <c r="J2320" i="1"/>
  <c r="U907" i="1"/>
  <c r="U900" i="1" s="1"/>
  <c r="H1533" i="1"/>
  <c r="I2329" i="1"/>
  <c r="T2325" i="1"/>
  <c r="U2316" i="1"/>
  <c r="S1275" i="1"/>
  <c r="S1675" i="1"/>
  <c r="T1880" i="1"/>
  <c r="C1532" i="1"/>
  <c r="O356" i="1"/>
  <c r="U1415" i="1"/>
  <c r="M323" i="1"/>
  <c r="T1488" i="1"/>
  <c r="U947" i="1"/>
  <c r="U940" i="1" s="1"/>
  <c r="U572" i="1"/>
  <c r="U416" i="1"/>
  <c r="U408" i="1" s="1"/>
  <c r="H1532" i="1"/>
  <c r="U453" i="1"/>
  <c r="U449" i="1" s="1"/>
  <c r="T2350" i="1"/>
  <c r="T907" i="1"/>
  <c r="T900" i="1" s="1"/>
  <c r="S426" i="1"/>
  <c r="L62" i="49"/>
  <c r="T137" i="1"/>
  <c r="O751" i="23"/>
  <c r="S120" i="1"/>
  <c r="O579" i="23"/>
  <c r="L320" i="49"/>
  <c r="N518" i="49"/>
  <c r="T545" i="1"/>
  <c r="O439" i="49"/>
  <c r="N560" i="49"/>
  <c r="O475" i="49"/>
  <c r="O472" i="49"/>
  <c r="N571" i="49"/>
  <c r="N702" i="23"/>
  <c r="C1943" i="1"/>
  <c r="S1952" i="1"/>
  <c r="S1963" i="1"/>
  <c r="G2161" i="1"/>
  <c r="D17" i="77"/>
  <c r="G2174" i="1"/>
  <c r="G2149" i="1"/>
  <c r="G2026" i="1"/>
  <c r="C2026" i="1" s="1"/>
  <c r="G2091" i="1"/>
  <c r="G2097" i="1" s="1"/>
  <c r="H1412" i="1"/>
  <c r="D34" i="23"/>
  <c r="S17" i="1"/>
  <c r="M406" i="49"/>
  <c r="A406" i="49"/>
  <c r="O1029" i="23"/>
  <c r="G2157" i="1"/>
  <c r="G18" i="49"/>
  <c r="F5" i="49"/>
  <c r="F9" i="49" s="1"/>
  <c r="I5" i="49"/>
  <c r="U325" i="1"/>
  <c r="U72" i="1"/>
  <c r="I1137" i="1"/>
  <c r="G477" i="49"/>
  <c r="G480" i="49" s="1"/>
  <c r="N480" i="49" s="1"/>
  <c r="S894" i="1"/>
  <c r="S846" i="1"/>
  <c r="S845" i="1" s="1"/>
  <c r="S807" i="1"/>
  <c r="S806" i="1"/>
  <c r="S805" i="1"/>
  <c r="S792" i="1"/>
  <c r="S791" i="1"/>
  <c r="S758" i="1"/>
  <c r="S752" i="1"/>
  <c r="S726" i="1"/>
  <c r="S725" i="1"/>
  <c r="S697" i="1"/>
  <c r="S681" i="1"/>
  <c r="S657" i="1"/>
  <c r="S656" i="1"/>
  <c r="S563" i="1"/>
  <c r="S540" i="1"/>
  <c r="S489" i="1"/>
  <c r="S481" i="1"/>
  <c r="S139" i="1"/>
  <c r="L640" i="49"/>
  <c r="O639" i="49"/>
  <c r="O635" i="49"/>
  <c r="N553" i="49"/>
  <c r="O550" i="49"/>
  <c r="N545" i="49"/>
  <c r="L544" i="49"/>
  <c r="BG40" i="63"/>
  <c r="G1851" i="1"/>
  <c r="G1824" i="1"/>
  <c r="G2206" i="1"/>
  <c r="H2206" i="1" s="1"/>
  <c r="G2188" i="1"/>
  <c r="S2188" i="1" s="1"/>
  <c r="G2207" i="1"/>
  <c r="U2207" i="1" s="1"/>
  <c r="G2187" i="1"/>
  <c r="C2187" i="1" s="1"/>
  <c r="C634" i="49"/>
  <c r="G634" i="49" s="1"/>
  <c r="O634" i="49" s="1"/>
  <c r="L190" i="49"/>
  <c r="G503" i="49"/>
  <c r="G412" i="49"/>
  <c r="S1432" i="1"/>
  <c r="T477" i="1"/>
  <c r="T1794" i="1"/>
  <c r="S886" i="1"/>
  <c r="S705" i="1"/>
  <c r="S554" i="1"/>
  <c r="S136" i="1"/>
  <c r="L641" i="49"/>
  <c r="L639" i="49"/>
  <c r="N554" i="49"/>
  <c r="L550" i="49"/>
  <c r="L369" i="49"/>
  <c r="N366" i="49"/>
  <c r="N239" i="49"/>
  <c r="O158" i="49"/>
  <c r="N3483" i="23"/>
  <c r="L3479" i="23"/>
  <c r="L3326" i="23"/>
  <c r="L3317" i="23"/>
  <c r="N3311" i="23"/>
  <c r="N3308" i="23"/>
  <c r="L3160" i="23"/>
  <c r="N3155" i="23"/>
  <c r="L3154" i="23"/>
  <c r="N3025" i="23"/>
  <c r="L3021" i="23"/>
  <c r="N3003" i="23"/>
  <c r="G2204" i="1"/>
  <c r="U2204" i="1" s="1"/>
  <c r="G2186" i="1"/>
  <c r="T2186" i="1" s="1"/>
  <c r="U334" i="1"/>
  <c r="G420" i="49"/>
  <c r="O420" i="49" s="1"/>
  <c r="S786" i="1"/>
  <c r="S785" i="1" s="1"/>
  <c r="K1437" i="1"/>
  <c r="K1261" i="1"/>
  <c r="T1442" i="1"/>
  <c r="N424" i="1"/>
  <c r="U1437" i="1"/>
  <c r="C1255" i="1"/>
  <c r="T1274" i="1"/>
  <c r="C1261" i="1"/>
  <c r="J2313" i="1"/>
  <c r="C1663" i="1"/>
  <c r="S588" i="1"/>
  <c r="U379" i="1"/>
  <c r="U368" i="1"/>
  <c r="U238" i="1"/>
  <c r="U42" i="1"/>
  <c r="U27" i="1"/>
  <c r="U608" i="1"/>
  <c r="S1261" i="1"/>
  <c r="T1938" i="1"/>
  <c r="J1695" i="1"/>
  <c r="T1677" i="1"/>
  <c r="T1433" i="1"/>
  <c r="H1462" i="1"/>
  <c r="S1677" i="1"/>
  <c r="N545" i="1"/>
  <c r="S1433" i="1"/>
  <c r="U1442" i="1"/>
  <c r="U1042" i="1"/>
  <c r="O302" i="1"/>
  <c r="O366" i="1"/>
  <c r="S1042" i="1"/>
  <c r="S1695" i="1"/>
  <c r="H1475" i="1"/>
  <c r="C1428" i="1"/>
  <c r="T1329" i="1"/>
  <c r="T1573" i="1"/>
  <c r="T1332" i="1"/>
  <c r="T2347" i="1"/>
  <c r="S2334" i="1"/>
  <c r="S1442" i="1"/>
  <c r="C1251" i="1"/>
  <c r="U992" i="1"/>
  <c r="K1330" i="1"/>
  <c r="K1428" i="1"/>
  <c r="U1516" i="1"/>
  <c r="S439" i="1"/>
  <c r="T1437" i="1"/>
  <c r="T1444" i="1"/>
  <c r="U1669" i="1"/>
  <c r="C1462" i="1"/>
  <c r="T1473" i="1"/>
  <c r="C1534" i="1"/>
  <c r="C1572" i="1"/>
  <c r="C1473" i="1"/>
  <c r="J1677" i="1"/>
  <c r="U1677" i="1"/>
  <c r="H1677" i="1"/>
  <c r="U1433" i="1"/>
  <c r="C1437" i="1"/>
  <c r="U1255" i="1"/>
  <c r="T1261" i="1"/>
  <c r="C1257" i="1"/>
  <c r="J2330" i="1"/>
  <c r="C1274" i="1"/>
  <c r="U1474" i="1"/>
  <c r="U811" i="1"/>
  <c r="U1056" i="1"/>
  <c r="U1045" i="1" s="1"/>
  <c r="T302" i="1"/>
  <c r="T1724" i="1"/>
  <c r="G2201" i="1"/>
  <c r="C2201" i="1" s="1"/>
  <c r="U718" i="1"/>
  <c r="T1532" i="1"/>
  <c r="T1572" i="1"/>
  <c r="U1695" i="1"/>
  <c r="H1493" i="1"/>
  <c r="T1493" i="1"/>
  <c r="H2192" i="1"/>
  <c r="S2343" i="1"/>
  <c r="S2330" i="1"/>
  <c r="S2321" i="1"/>
  <c r="K2317" i="1"/>
  <c r="J2326" i="1"/>
  <c r="C1695" i="1"/>
  <c r="S1663" i="1"/>
  <c r="S1274" i="1"/>
  <c r="U857" i="1"/>
  <c r="T1695" i="1"/>
  <c r="S1444" i="1"/>
  <c r="T70" i="1"/>
  <c r="T62" i="1" s="1"/>
  <c r="U70" i="1"/>
  <c r="U62" i="1" s="1"/>
  <c r="S1266" i="1"/>
  <c r="S1473" i="1"/>
  <c r="T1429" i="1"/>
  <c r="J1666" i="1"/>
  <c r="H1490" i="1"/>
  <c r="S1267" i="1"/>
  <c r="S1056" i="1"/>
  <c r="S1045" i="1" s="1"/>
  <c r="O291" i="1"/>
  <c r="T60" i="1"/>
  <c r="T52" i="1" s="1"/>
  <c r="S334" i="1"/>
  <c r="S880" i="1"/>
  <c r="T1474" i="1"/>
  <c r="H1477" i="1"/>
  <c r="U207" i="1"/>
  <c r="U205" i="1" s="1"/>
  <c r="U918" i="1"/>
  <c r="U911" i="1" s="1"/>
  <c r="U530" i="1"/>
  <c r="U2350" i="1"/>
  <c r="U2346" i="1"/>
  <c r="I2320" i="1"/>
  <c r="S1477" i="1"/>
  <c r="S1476" i="1"/>
  <c r="S1475" i="1"/>
  <c r="T1082" i="1"/>
  <c r="T1056" i="1"/>
  <c r="T1045" i="1" s="1"/>
  <c r="T947" i="1"/>
  <c r="T940" i="1" s="1"/>
  <c r="T880" i="1"/>
  <c r="U731" i="1"/>
  <c r="T620" i="1"/>
  <c r="T604" i="1"/>
  <c r="T574" i="1"/>
  <c r="T530" i="1"/>
  <c r="S1455" i="1"/>
  <c r="J1501" i="1"/>
  <c r="C1573" i="1"/>
  <c r="U1490" i="1"/>
  <c r="T1482" i="1"/>
  <c r="U1434" i="1"/>
  <c r="J1474" i="1"/>
  <c r="O1082" i="1"/>
  <c r="S1068" i="1"/>
  <c r="S1058" i="1" s="1"/>
  <c r="S947" i="1"/>
  <c r="S940" i="1" s="1"/>
  <c r="U1477" i="1"/>
  <c r="S207" i="1"/>
  <c r="S205" i="1" s="1"/>
  <c r="U1880" i="1"/>
  <c r="U171" i="1"/>
  <c r="U163" i="1" s="1"/>
  <c r="I2346" i="1"/>
  <c r="U2342" i="1"/>
  <c r="K2333" i="1"/>
  <c r="K2325" i="1"/>
  <c r="S2320" i="1"/>
  <c r="S2316" i="1"/>
  <c r="S2311" i="1"/>
  <c r="K1413" i="1"/>
  <c r="O545" i="1"/>
  <c r="S2081" i="1"/>
  <c r="T2162" i="1"/>
  <c r="U1480" i="1"/>
  <c r="H1460" i="1"/>
  <c r="S1460" i="1"/>
  <c r="J1479" i="1"/>
  <c r="S1676" i="1"/>
  <c r="N947" i="1"/>
  <c r="J2316" i="1"/>
  <c r="S907" i="1"/>
  <c r="S900" i="1" s="1"/>
  <c r="U574" i="1"/>
  <c r="T205" i="1"/>
  <c r="U765" i="1"/>
  <c r="U1082" i="1"/>
  <c r="H1476" i="1"/>
  <c r="U1029" i="1"/>
  <c r="U1019" i="1" s="1"/>
  <c r="T171" i="1"/>
  <c r="T163" i="1" s="1"/>
  <c r="S75" i="1"/>
  <c r="U2349" i="1"/>
  <c r="S2346" i="1"/>
  <c r="S2345" i="1"/>
  <c r="I2342" i="1"/>
  <c r="U2341" i="1"/>
  <c r="T2337" i="1"/>
  <c r="S2336" i="1"/>
  <c r="U2329" i="1"/>
  <c r="T2328" i="1"/>
  <c r="S2319" i="1"/>
  <c r="S2315" i="1"/>
  <c r="U2200" i="1"/>
  <c r="S1735" i="1"/>
  <c r="S1734" i="1"/>
  <c r="S1272" i="1"/>
  <c r="U1154" i="1"/>
  <c r="U919" i="1"/>
  <c r="U588" i="1"/>
  <c r="S266" i="1"/>
  <c r="U212" i="1"/>
  <c r="T161" i="1"/>
  <c r="T152" i="1" s="1"/>
  <c r="U37" i="1"/>
  <c r="U14" i="1"/>
  <c r="S512" i="1"/>
  <c r="U880" i="1"/>
  <c r="S2329" i="1"/>
  <c r="I2316" i="1"/>
  <c r="U973" i="1"/>
  <c r="U338" i="1"/>
  <c r="S293" i="1"/>
  <c r="S291" i="1"/>
  <c r="U222" i="1"/>
  <c r="U125" i="1"/>
  <c r="T101" i="1"/>
  <c r="T93" i="1" s="1"/>
  <c r="S1573" i="1"/>
  <c r="S918" i="1"/>
  <c r="U600" i="1"/>
  <c r="T512" i="1"/>
  <c r="S416" i="1"/>
  <c r="J2329" i="1"/>
  <c r="S1029" i="1"/>
  <c r="S1019" i="1" s="1"/>
  <c r="H1474" i="1"/>
  <c r="T416" i="1"/>
  <c r="S1440" i="1"/>
  <c r="S1426" i="1"/>
  <c r="T918" i="1"/>
  <c r="T911" i="1" s="1"/>
  <c r="T293" i="1"/>
  <c r="T291" i="1"/>
  <c r="S1435" i="1"/>
  <c r="S1459" i="1"/>
  <c r="H1963" i="1"/>
  <c r="U1963" i="1"/>
  <c r="T1963" i="1"/>
  <c r="U1944" i="1"/>
  <c r="G2284" i="1"/>
  <c r="C2284" i="1" s="1"/>
  <c r="T869" i="1"/>
  <c r="T2093" i="1"/>
  <c r="C1796" i="1"/>
  <c r="G2278" i="1"/>
  <c r="G2280" i="1"/>
  <c r="C2280" i="1" s="1"/>
  <c r="T75" i="1"/>
  <c r="U1782" i="1"/>
  <c r="G2290" i="1"/>
  <c r="C2290" i="1" s="1"/>
  <c r="S1790" i="1"/>
  <c r="N569" i="49"/>
  <c r="N406" i="49"/>
  <c r="A474" i="49"/>
  <c r="O474" i="49"/>
  <c r="M474" i="49"/>
  <c r="N474" i="49"/>
  <c r="L1024" i="23"/>
  <c r="L1097" i="23"/>
  <c r="N19" i="49"/>
  <c r="U2093" i="1"/>
  <c r="L211" i="49"/>
  <c r="G608" i="49"/>
  <c r="L608" i="49" s="1"/>
  <c r="G74" i="49"/>
  <c r="G219" i="49"/>
  <c r="M524" i="49"/>
  <c r="M390" i="49"/>
  <c r="L475" i="49"/>
  <c r="M560" i="49"/>
  <c r="U1744" i="1"/>
  <c r="L522" i="49"/>
  <c r="N472" i="49"/>
  <c r="O429" i="49"/>
  <c r="O203" i="49"/>
  <c r="O72" i="49"/>
  <c r="O25" i="49"/>
  <c r="L3318" i="23"/>
  <c r="L3013" i="23"/>
  <c r="L3003" i="23"/>
  <c r="O1025" i="23"/>
  <c r="G579" i="49"/>
  <c r="A579" i="49" s="1"/>
  <c r="C34" i="23"/>
  <c r="A571" i="49"/>
  <c r="M745" i="23"/>
  <c r="A527" i="49"/>
  <c r="S600" i="1"/>
  <c r="S301" i="1"/>
  <c r="S62" i="1"/>
  <c r="S1262" i="1"/>
  <c r="S1481" i="1"/>
  <c r="O394" i="49"/>
  <c r="M1024" i="23"/>
  <c r="M1097" i="23"/>
  <c r="G80" i="49"/>
  <c r="A19" i="49"/>
  <c r="U2081" i="1"/>
  <c r="N73" i="49"/>
  <c r="M73" i="49"/>
  <c r="O211" i="49"/>
  <c r="T1845" i="1"/>
  <c r="M444" i="49"/>
  <c r="T17" i="1"/>
  <c r="S580" i="1"/>
  <c r="S32" i="1"/>
  <c r="L605" i="49"/>
  <c r="L546" i="49"/>
  <c r="L535" i="49"/>
  <c r="O527" i="49"/>
  <c r="O233" i="49"/>
  <c r="L73" i="49"/>
  <c r="N72" i="49"/>
  <c r="S130" i="1"/>
  <c r="U1780" i="1"/>
  <c r="H1505" i="1"/>
  <c r="U551" i="1"/>
  <c r="U547" i="1" s="1"/>
  <c r="C1780" i="1"/>
  <c r="S1415" i="1"/>
  <c r="M2032" i="1"/>
  <c r="K1432" i="1"/>
  <c r="O427" i="1"/>
  <c r="T1662" i="1"/>
  <c r="T1443" i="1"/>
  <c r="H1415" i="1"/>
  <c r="C1674" i="1"/>
  <c r="J1678" i="1"/>
  <c r="J1468" i="1"/>
  <c r="J1469" i="1"/>
  <c r="H1466" i="1"/>
  <c r="J1463" i="1"/>
  <c r="S1469" i="1"/>
  <c r="S1480" i="1"/>
  <c r="C1536" i="1"/>
  <c r="U1284" i="1"/>
  <c r="T1280" i="1"/>
  <c r="U1467" i="1"/>
  <c r="S1282" i="1"/>
  <c r="C1282" i="1"/>
  <c r="C1482" i="1"/>
  <c r="C1280" i="1"/>
  <c r="U1281" i="1"/>
  <c r="S1488" i="1"/>
  <c r="U1283" i="1"/>
  <c r="S1668" i="1"/>
  <c r="C1427" i="1"/>
  <c r="J2325" i="1"/>
  <c r="S1434" i="1"/>
  <c r="U1436" i="1"/>
  <c r="S1260" i="1"/>
  <c r="C1269" i="1"/>
  <c r="U1269" i="1"/>
  <c r="J1493" i="1"/>
  <c r="C1880" i="1"/>
  <c r="J2322" i="1"/>
  <c r="H1725" i="1"/>
  <c r="J2340" i="1"/>
  <c r="U769" i="1"/>
  <c r="O301" i="1"/>
  <c r="O310" i="1"/>
  <c r="S1273" i="1"/>
  <c r="S47" i="1"/>
  <c r="H1485" i="1"/>
  <c r="U1485" i="1"/>
  <c r="H1536" i="1"/>
  <c r="U1731" i="1"/>
  <c r="U1535" i="1"/>
  <c r="T1731" i="1"/>
  <c r="U1539" i="1"/>
  <c r="T1723" i="1"/>
  <c r="U1493" i="1"/>
  <c r="U366" i="1"/>
  <c r="U358" i="1" s="1"/>
  <c r="U781" i="1"/>
  <c r="T1535" i="1"/>
  <c r="T1533" i="1"/>
  <c r="T2352" i="1"/>
  <c r="S2348" i="1"/>
  <c r="T2346" i="1"/>
  <c r="U2344" i="1"/>
  <c r="I2344" i="1"/>
  <c r="K2342" i="1"/>
  <c r="S2337" i="1"/>
  <c r="S2335" i="1"/>
  <c r="S2333" i="1"/>
  <c r="S2331" i="1"/>
  <c r="T2329" i="1"/>
  <c r="T2327" i="1"/>
  <c r="U2325" i="1"/>
  <c r="T2322" i="1"/>
  <c r="T2320" i="1"/>
  <c r="T2318" i="1"/>
  <c r="K2314" i="1"/>
  <c r="T2311" i="1"/>
  <c r="S1732" i="1"/>
  <c r="S1731" i="1"/>
  <c r="S1493" i="1"/>
  <c r="S1425" i="1"/>
  <c r="T908" i="1"/>
  <c r="T580" i="1"/>
  <c r="U60" i="1"/>
  <c r="U52" i="1" s="1"/>
  <c r="S1279" i="1"/>
  <c r="S1674" i="1"/>
  <c r="K2311" i="1"/>
  <c r="T439" i="1"/>
  <c r="T1441" i="1"/>
  <c r="T1427" i="1"/>
  <c r="S1730" i="1"/>
  <c r="J2333" i="1"/>
  <c r="U1432" i="1"/>
  <c r="J1470" i="1"/>
  <c r="J1466" i="1"/>
  <c r="H1470" i="1"/>
  <c r="C1468" i="1"/>
  <c r="S1468" i="1"/>
  <c r="S1471" i="1"/>
  <c r="S1467" i="1"/>
  <c r="C1533" i="1"/>
  <c r="C1469" i="1"/>
  <c r="U1280" i="1"/>
  <c r="U1469" i="1"/>
  <c r="C1467" i="1"/>
  <c r="T1284" i="1"/>
  <c r="S1283" i="1"/>
  <c r="S1280" i="1"/>
  <c r="T1279" i="1"/>
  <c r="C1283" i="1"/>
  <c r="S1490" i="1"/>
  <c r="C1670" i="1"/>
  <c r="S1670" i="1"/>
  <c r="N303" i="1"/>
  <c r="N1029" i="1"/>
  <c r="J2327" i="1"/>
  <c r="C1252" i="1"/>
  <c r="S1436" i="1"/>
  <c r="T1260" i="1"/>
  <c r="C1265" i="1"/>
  <c r="U1265" i="1"/>
  <c r="U1441" i="1"/>
  <c r="U1252" i="1"/>
  <c r="C1725" i="1"/>
  <c r="J2346" i="1"/>
  <c r="O898" i="1"/>
  <c r="O572" i="1"/>
  <c r="T1273" i="1"/>
  <c r="T1254" i="1"/>
  <c r="T74" i="1"/>
  <c r="T72" i="1" s="1"/>
  <c r="AC60" i="2"/>
  <c r="G1044" i="1"/>
  <c r="T1044" i="1" s="1"/>
  <c r="H1534" i="1"/>
  <c r="S781" i="1"/>
  <c r="U898" i="1"/>
  <c r="T1270" i="1"/>
  <c r="T1732" i="1"/>
  <c r="T2192" i="1"/>
  <c r="S2344" i="1"/>
  <c r="T2342" i="1"/>
  <c r="T2340" i="1"/>
  <c r="U2335" i="1"/>
  <c r="U2333" i="1"/>
  <c r="U2331" i="1"/>
  <c r="S2325" i="1"/>
  <c r="T2316" i="1"/>
  <c r="T2314" i="1"/>
  <c r="I2311" i="1"/>
  <c r="S1662" i="1"/>
  <c r="C1450" i="1"/>
  <c r="S1441" i="1"/>
  <c r="S1427" i="1"/>
  <c r="C1273" i="1"/>
  <c r="S1271" i="1"/>
  <c r="C1270" i="1"/>
  <c r="S1252" i="1"/>
  <c r="U1137" i="1"/>
  <c r="T1119" i="1"/>
  <c r="T1110" i="1" s="1"/>
  <c r="T1108" i="1"/>
  <c r="T1098" i="1" s="1"/>
  <c r="T1068" i="1"/>
  <c r="T1058" i="1" s="1"/>
  <c r="T1029" i="1"/>
  <c r="T1019" i="1" s="1"/>
  <c r="U908" i="1"/>
  <c r="T898" i="1"/>
  <c r="U869" i="1"/>
  <c r="T774" i="1"/>
  <c r="T584" i="1"/>
  <c r="U580" i="1"/>
  <c r="T576" i="1"/>
  <c r="T572" i="1"/>
  <c r="S429" i="1"/>
  <c r="S14" i="1"/>
  <c r="U1725" i="1"/>
  <c r="U2192" i="1"/>
  <c r="T509" i="1"/>
  <c r="T429" i="1"/>
  <c r="T14" i="1"/>
  <c r="G1846" i="1"/>
  <c r="T1846" i="1" s="1"/>
  <c r="H1929" i="1"/>
  <c r="S2083" i="1"/>
  <c r="T379" i="1"/>
  <c r="T125" i="1"/>
  <c r="T195" i="1"/>
  <c r="S233" i="1"/>
  <c r="U1771" i="1"/>
  <c r="G1787" i="1"/>
  <c r="S1787" i="1" s="1"/>
  <c r="T120" i="1"/>
  <c r="S249" i="1"/>
  <c r="T1455" i="1"/>
  <c r="S908" i="1"/>
  <c r="S620" i="1"/>
  <c r="T765" i="1"/>
  <c r="O493" i="49"/>
  <c r="S1502" i="1"/>
  <c r="O560" i="49"/>
  <c r="T343" i="1"/>
  <c r="L470" i="49"/>
  <c r="M470" i="49"/>
  <c r="M206" i="49"/>
  <c r="C2276" i="1"/>
  <c r="G2299" i="1"/>
  <c r="C2299" i="1" s="1"/>
  <c r="G2291" i="1"/>
  <c r="C2291" i="1" s="1"/>
  <c r="G1898" i="1"/>
  <c r="C1898" i="1" s="1"/>
  <c r="H1857" i="1"/>
  <c r="L1857" i="1" s="1"/>
  <c r="C1785" i="1"/>
  <c r="S1785" i="1"/>
  <c r="G1786" i="1"/>
  <c r="T1786" i="1" s="1"/>
  <c r="A531" i="49"/>
  <c r="G539" i="49"/>
  <c r="N539" i="49" s="1"/>
  <c r="C1745" i="1"/>
  <c r="H1745" i="1"/>
  <c r="N1952" i="1"/>
  <c r="J1700" i="1"/>
  <c r="A567" i="23"/>
  <c r="M3168" i="23"/>
  <c r="S1857" i="1"/>
  <c r="L528" i="49"/>
  <c r="M528" i="49"/>
  <c r="A609" i="49"/>
  <c r="O609" i="49"/>
  <c r="A3324" i="23"/>
  <c r="M3324" i="23"/>
  <c r="A3312" i="23"/>
  <c r="M3312" i="23"/>
  <c r="O3267" i="23"/>
  <c r="L3267" i="23"/>
  <c r="N3265" i="23"/>
  <c r="O3265" i="23"/>
  <c r="M3265" i="23"/>
  <c r="C575" i="23"/>
  <c r="C580" i="23" s="1"/>
  <c r="C585" i="23" s="1"/>
  <c r="C1936" i="1"/>
  <c r="L471" i="49"/>
  <c r="M471" i="49"/>
  <c r="A471" i="49"/>
  <c r="A635" i="49"/>
  <c r="N635" i="49"/>
  <c r="A548" i="49"/>
  <c r="G551" i="49"/>
  <c r="A551" i="49" s="1"/>
  <c r="M384" i="49"/>
  <c r="G391" i="49"/>
  <c r="O391" i="49" s="1"/>
  <c r="L384" i="49"/>
  <c r="G388" i="49"/>
  <c r="L388" i="49" s="1"/>
  <c r="M355" i="49"/>
  <c r="A355" i="49"/>
  <c r="O355" i="49"/>
  <c r="L1041" i="23"/>
  <c r="N493" i="49"/>
  <c r="G571" i="23"/>
  <c r="N571" i="23" s="1"/>
  <c r="N419" i="49"/>
  <c r="O19" i="49"/>
  <c r="G636" i="23"/>
  <c r="O636" i="23" s="1"/>
  <c r="L1012" i="23"/>
  <c r="U2083" i="1"/>
  <c r="T1952" i="1"/>
  <c r="G1850" i="1"/>
  <c r="T1850" i="1" s="1"/>
  <c r="O191" i="49"/>
  <c r="G495" i="49"/>
  <c r="M495" i="49" s="1"/>
  <c r="T1373" i="1"/>
  <c r="M609" i="49"/>
  <c r="N528" i="49"/>
  <c r="M109" i="49"/>
  <c r="N609" i="49"/>
  <c r="N527" i="49"/>
  <c r="N471" i="49"/>
  <c r="L459" i="49"/>
  <c r="L457" i="49"/>
  <c r="L444" i="49"/>
  <c r="O209" i="49"/>
  <c r="L205" i="49"/>
  <c r="N3176" i="23"/>
  <c r="L2826" i="23"/>
  <c r="M3113" i="23"/>
  <c r="M3017" i="23"/>
  <c r="M3165" i="23"/>
  <c r="T1791" i="1"/>
  <c r="N2961" i="23"/>
  <c r="M3004" i="23"/>
  <c r="M3023" i="23"/>
  <c r="N3115" i="23"/>
  <c r="M640" i="49"/>
  <c r="T1793" i="1"/>
  <c r="S1745" i="1"/>
  <c r="U331" i="1"/>
  <c r="G649" i="49"/>
  <c r="N649" i="49" s="1"/>
  <c r="N457" i="49"/>
  <c r="L452" i="49"/>
  <c r="O406" i="49"/>
  <c r="O378" i="49"/>
  <c r="O369" i="49"/>
  <c r="N368" i="49"/>
  <c r="L367" i="49"/>
  <c r="L363" i="49"/>
  <c r="O359" i="49"/>
  <c r="N358" i="49"/>
  <c r="L355" i="49"/>
  <c r="O70" i="49"/>
  <c r="L3484" i="23"/>
  <c r="L3481" i="23"/>
  <c r="O3479" i="23"/>
  <c r="N3478" i="23"/>
  <c r="L3477" i="23"/>
  <c r="N3333" i="23"/>
  <c r="O3329" i="23"/>
  <c r="N3325" i="23"/>
  <c r="L3324" i="23"/>
  <c r="L3319" i="23"/>
  <c r="O3317" i="23"/>
  <c r="N3316" i="23"/>
  <c r="L3315" i="23"/>
  <c r="L3312" i="23"/>
  <c r="O3307" i="23"/>
  <c r="N3306" i="23"/>
  <c r="L3305" i="23"/>
  <c r="O3176" i="23"/>
  <c r="N3174" i="23"/>
  <c r="L3173" i="23"/>
  <c r="O3172" i="23"/>
  <c r="N3169" i="23"/>
  <c r="O3167" i="23"/>
  <c r="N3166" i="23"/>
  <c r="L3165" i="23"/>
  <c r="O3163" i="23"/>
  <c r="O3160" i="23"/>
  <c r="N3159" i="23"/>
  <c r="N3157" i="23"/>
  <c r="L3156" i="23"/>
  <c r="O3154" i="23"/>
  <c r="N3153" i="23"/>
  <c r="L3023" i="23"/>
  <c r="N3020" i="23"/>
  <c r="L3017" i="23"/>
  <c r="N3015" i="23"/>
  <c r="O3012" i="23"/>
  <c r="N3011" i="23"/>
  <c r="N3008" i="23"/>
  <c r="L3007" i="23"/>
  <c r="N3005" i="23"/>
  <c r="L3004" i="23"/>
  <c r="O3002" i="23"/>
  <c r="N3001" i="23"/>
  <c r="H2504" i="23"/>
  <c r="N656" i="49"/>
  <c r="O648" i="49"/>
  <c r="L647" i="49"/>
  <c r="O640" i="49"/>
  <c r="O638" i="49"/>
  <c r="N605" i="49"/>
  <c r="L602" i="49"/>
  <c r="O563" i="49"/>
  <c r="L560" i="49"/>
  <c r="N548" i="49"/>
  <c r="N546" i="49"/>
  <c r="O544" i="49"/>
  <c r="O462" i="49"/>
  <c r="L445" i="49"/>
  <c r="O444" i="49"/>
  <c r="O434" i="49"/>
  <c r="L394" i="49"/>
  <c r="O390" i="49"/>
  <c r="O368" i="49"/>
  <c r="N363" i="49"/>
  <c r="O358" i="49"/>
  <c r="N355" i="49"/>
  <c r="O262" i="49"/>
  <c r="N259" i="49"/>
  <c r="N257" i="49"/>
  <c r="N156" i="49"/>
  <c r="O23" i="49"/>
  <c r="O3316" i="23"/>
  <c r="N3315" i="23"/>
  <c r="N3305" i="23"/>
  <c r="N3173" i="23"/>
  <c r="O3169" i="23"/>
  <c r="O3166" i="23"/>
  <c r="N3165" i="23"/>
  <c r="O3159" i="23"/>
  <c r="O3157" i="23"/>
  <c r="O3153" i="23"/>
  <c r="N3023" i="23"/>
  <c r="O3020" i="23"/>
  <c r="N3017" i="23"/>
  <c r="O3015" i="23"/>
  <c r="O3008" i="23"/>
  <c r="N3007" i="23"/>
  <c r="O3005" i="23"/>
  <c r="O3001" i="23"/>
  <c r="J980" i="1"/>
  <c r="J981" i="1" s="1"/>
  <c r="G1603" i="1"/>
  <c r="T1603" i="1" s="1"/>
  <c r="O656" i="49"/>
  <c r="N654" i="49"/>
  <c r="N647" i="49"/>
  <c r="N602" i="49"/>
  <c r="O548" i="49"/>
  <c r="O546" i="49"/>
  <c r="O535" i="49"/>
  <c r="L531" i="49"/>
  <c r="O528" i="49"/>
  <c r="L527" i="49"/>
  <c r="O524" i="49"/>
  <c r="L523" i="49"/>
  <c r="N522" i="49"/>
  <c r="L406" i="49"/>
  <c r="O367" i="49"/>
  <c r="O259" i="49"/>
  <c r="L192" i="49"/>
  <c r="L191" i="49"/>
  <c r="O156" i="49"/>
  <c r="N75" i="49"/>
  <c r="O3484" i="23"/>
  <c r="O3324" i="23"/>
  <c r="O3319" i="23"/>
  <c r="O3305" i="23"/>
  <c r="O3165" i="23"/>
  <c r="O3017" i="23"/>
  <c r="O3007" i="23"/>
  <c r="G1619" i="1"/>
  <c r="G2241" i="1"/>
  <c r="G1608" i="1"/>
  <c r="S2194" i="1"/>
  <c r="U1183" i="1"/>
  <c r="T731" i="1"/>
  <c r="T538" i="1"/>
  <c r="U403" i="1"/>
  <c r="U266" i="1"/>
  <c r="U195" i="1"/>
  <c r="U109" i="1"/>
  <c r="U78" i="1"/>
  <c r="U32" i="1"/>
  <c r="U1171" i="1"/>
  <c r="U966" i="1"/>
  <c r="U397" i="1"/>
  <c r="U391" i="1"/>
  <c r="U343" i="1"/>
  <c r="U260" i="1"/>
  <c r="U254" i="1"/>
  <c r="U244" i="1"/>
  <c r="U233" i="1"/>
  <c r="U120" i="1"/>
  <c r="S1474" i="1"/>
  <c r="S604" i="1"/>
  <c r="S591" i="1"/>
  <c r="S584" i="1"/>
  <c r="S853" i="1"/>
  <c r="S852" i="1" s="1"/>
  <c r="S839" i="1"/>
  <c r="S838" i="1" s="1"/>
  <c r="S766" i="1"/>
  <c r="S765" i="1" s="1"/>
  <c r="S739" i="1"/>
  <c r="S738" i="1"/>
  <c r="S711" i="1"/>
  <c r="S689" i="1"/>
  <c r="S673" i="1"/>
  <c r="S665" i="1"/>
  <c r="S555" i="1"/>
  <c r="S548" i="1"/>
  <c r="S547" i="1" s="1"/>
  <c r="T510" i="1"/>
  <c r="S303" i="1"/>
  <c r="U227" i="1"/>
  <c r="U200" i="1"/>
  <c r="U184" i="1"/>
  <c r="U178" i="1"/>
  <c r="U173" i="1"/>
  <c r="S926" i="1"/>
  <c r="S922" i="1" s="1"/>
  <c r="S857" i="1"/>
  <c r="S819" i="1"/>
  <c r="S818" i="1"/>
  <c r="S813" i="1"/>
  <c r="S812" i="1"/>
  <c r="S770" i="1"/>
  <c r="S769" i="1" s="1"/>
  <c r="S696" i="1"/>
  <c r="S680" i="1"/>
  <c r="S644" i="1"/>
  <c r="S643" i="1"/>
  <c r="T303" i="1"/>
  <c r="T301" i="1"/>
  <c r="T139" i="1"/>
  <c r="U655" i="1"/>
  <c r="T189" i="1"/>
  <c r="S2270" i="1"/>
  <c r="T2258" i="1"/>
  <c r="T2197" i="1"/>
  <c r="T2194" i="1"/>
  <c r="S2193" i="1"/>
  <c r="S1772" i="1"/>
  <c r="U1745" i="1"/>
  <c r="S1516" i="1"/>
  <c r="S1177" i="1"/>
  <c r="T1159" i="1"/>
  <c r="U620" i="1"/>
  <c r="U616" i="1"/>
  <c r="T588" i="1"/>
  <c r="S449" i="1"/>
  <c r="S403" i="1"/>
  <c r="S384" i="1"/>
  <c r="T338" i="1"/>
  <c r="T331" i="1"/>
  <c r="S195" i="1"/>
  <c r="S184" i="1"/>
  <c r="S173" i="1"/>
  <c r="S109" i="1"/>
  <c r="T27" i="1"/>
  <c r="S21" i="1"/>
  <c r="N507" i="1"/>
  <c r="N505" i="1"/>
  <c r="N503" i="1"/>
  <c r="N501" i="1"/>
  <c r="N499" i="1"/>
  <c r="N508" i="1"/>
  <c r="N506" i="1"/>
  <c r="N504" i="1"/>
  <c r="N502" i="1"/>
  <c r="N500" i="1"/>
  <c r="T178" i="1"/>
  <c r="S2200" i="1"/>
  <c r="U2197" i="1"/>
  <c r="U2194" i="1"/>
  <c r="S1880" i="1"/>
  <c r="T1801" i="1"/>
  <c r="T1799" i="1"/>
  <c r="T1797" i="1"/>
  <c r="T1795" i="1"/>
  <c r="T1782" i="1"/>
  <c r="T1781" i="1"/>
  <c r="S1759" i="1"/>
  <c r="S1725" i="1"/>
  <c r="S1724" i="1"/>
  <c r="S1723" i="1"/>
  <c r="S1572" i="1"/>
  <c r="S1536" i="1"/>
  <c r="S1535" i="1"/>
  <c r="S1534" i="1"/>
  <c r="S1533" i="1"/>
  <c r="S1532" i="1"/>
  <c r="S1505" i="1"/>
  <c r="S1485" i="1"/>
  <c r="T1137" i="1"/>
  <c r="T1042" i="1"/>
  <c r="T932" i="1"/>
  <c r="U612" i="1"/>
  <c r="S612" i="1"/>
  <c r="S596" i="1"/>
  <c r="T591" i="1"/>
  <c r="T476" i="1"/>
  <c r="S446" i="1"/>
  <c r="S418" i="1"/>
  <c r="T366" i="1"/>
  <c r="T358" i="1" s="1"/>
  <c r="T310" i="1"/>
  <c r="T238" i="1"/>
  <c r="S212" i="1"/>
  <c r="U161" i="1"/>
  <c r="U152" i="1" s="1"/>
  <c r="S142" i="1"/>
  <c r="S114" i="1"/>
  <c r="T109" i="1"/>
  <c r="S37" i="1"/>
  <c r="T21" i="1"/>
  <c r="U1572" i="1"/>
  <c r="S42" i="1"/>
  <c r="U47" i="1"/>
  <c r="U17" i="1"/>
  <c r="U75" i="1"/>
  <c r="U130" i="1"/>
  <c r="S1257" i="1"/>
  <c r="S1264" i="1"/>
  <c r="S1268" i="1"/>
  <c r="G1800" i="1"/>
  <c r="U1800" i="1" s="1"/>
  <c r="S1416" i="1"/>
  <c r="U1165" i="1"/>
  <c r="U1159" i="1"/>
  <c r="U1132" i="1"/>
  <c r="U1121" i="1"/>
  <c r="U1006" i="1"/>
  <c r="U980" i="1"/>
  <c r="U958" i="1"/>
  <c r="U635" i="1"/>
  <c r="U634" i="1" s="1"/>
  <c r="T494" i="1"/>
  <c r="U384" i="1"/>
  <c r="U373" i="1"/>
  <c r="U217" i="1"/>
  <c r="U114" i="1"/>
  <c r="U21" i="1"/>
  <c r="S189" i="1"/>
  <c r="T217" i="1"/>
  <c r="T1195" i="1"/>
  <c r="T78" i="1"/>
  <c r="T1121" i="1"/>
  <c r="S163" i="1"/>
  <c r="L472" i="49"/>
  <c r="T103" i="1"/>
  <c r="T37" i="1"/>
  <c r="N462" i="49"/>
  <c r="T403" i="1"/>
  <c r="O192" i="49"/>
  <c r="L571" i="49"/>
  <c r="T140" i="1"/>
  <c r="T368" i="1"/>
  <c r="T222" i="1"/>
  <c r="T1132" i="1"/>
  <c r="O457" i="49"/>
  <c r="U2304" i="1"/>
  <c r="S2304" i="1"/>
  <c r="S1334" i="1"/>
  <c r="S1331" i="1"/>
  <c r="S1189" i="1"/>
  <c r="T1189" i="1"/>
  <c r="S1183" i="1"/>
  <c r="T1183" i="1"/>
  <c r="S1171" i="1"/>
  <c r="T1171" i="1"/>
  <c r="S1165" i="1"/>
  <c r="T1154" i="1"/>
  <c r="T992" i="1"/>
  <c r="T980" i="1"/>
  <c r="T973" i="1"/>
  <c r="T966" i="1"/>
  <c r="S958" i="1"/>
  <c r="T948" i="1"/>
  <c r="S919" i="1"/>
  <c r="T919" i="1"/>
  <c r="S731" i="1"/>
  <c r="S616" i="1"/>
  <c r="U604" i="1"/>
  <c r="T600" i="1"/>
  <c r="U596" i="1"/>
  <c r="U576" i="1"/>
  <c r="T442" i="1"/>
  <c r="T418" i="1"/>
  <c r="S397" i="1"/>
  <c r="T397" i="1"/>
  <c r="S391" i="1"/>
  <c r="T373" i="1"/>
  <c r="S348" i="1"/>
  <c r="S338" i="1"/>
  <c r="S331" i="1"/>
  <c r="T325" i="1"/>
  <c r="S260" i="1"/>
  <c r="S254" i="1"/>
  <c r="T254" i="1"/>
  <c r="T249" i="1"/>
  <c r="S244" i="1"/>
  <c r="S227" i="1"/>
  <c r="S222" i="1"/>
  <c r="T200" i="1"/>
  <c r="T184" i="1"/>
  <c r="S178" i="1"/>
  <c r="S147" i="1"/>
  <c r="T147" i="1"/>
  <c r="T142" i="1"/>
  <c r="S103" i="1"/>
  <c r="S93" i="1"/>
  <c r="T42" i="1"/>
  <c r="S27" i="1"/>
  <c r="T47" i="1"/>
  <c r="S52" i="1"/>
  <c r="T334" i="1"/>
  <c r="T608" i="1"/>
  <c r="S608" i="1"/>
  <c r="S1501" i="1"/>
  <c r="T173" i="1"/>
  <c r="T857" i="1"/>
  <c r="C1738" i="1"/>
  <c r="G1740" i="1"/>
  <c r="T1740" i="1" s="1"/>
  <c r="U1738" i="1"/>
  <c r="T1738" i="1"/>
  <c r="H2191" i="1"/>
  <c r="S2191" i="1"/>
  <c r="U1096" i="1"/>
  <c r="U1085" i="1" s="1"/>
  <c r="O1096" i="1"/>
  <c r="I2343" i="1"/>
  <c r="U2343" i="1"/>
  <c r="J1484" i="1"/>
  <c r="C1484" i="1"/>
  <c r="C1483" i="1"/>
  <c r="J1483" i="1"/>
  <c r="C1481" i="1"/>
  <c r="H1481" i="1"/>
  <c r="J1480" i="1"/>
  <c r="C1480" i="1"/>
  <c r="C1479" i="1"/>
  <c r="S1479" i="1"/>
  <c r="J1492" i="1"/>
  <c r="C1492" i="1"/>
  <c r="J1491" i="1"/>
  <c r="U1491" i="1"/>
  <c r="H1491" i="1"/>
  <c r="C1489" i="1"/>
  <c r="U1489" i="1"/>
  <c r="J1488" i="1"/>
  <c r="S992" i="1"/>
  <c r="T612" i="1"/>
  <c r="U103" i="1"/>
  <c r="S1517" i="1"/>
  <c r="T1517" i="1"/>
  <c r="T1720" i="1"/>
  <c r="C1720" i="1"/>
  <c r="S1720" i="1"/>
  <c r="O889" i="1"/>
  <c r="G899" i="1"/>
  <c r="S889" i="1"/>
  <c r="S91" i="1"/>
  <c r="S83" i="1" s="1"/>
  <c r="T91" i="1"/>
  <c r="T83" i="1" s="1"/>
  <c r="U91" i="1"/>
  <c r="U83" i="1" s="1"/>
  <c r="I2339" i="1"/>
  <c r="U2339" i="1"/>
  <c r="K1250" i="1"/>
  <c r="U1250" i="1"/>
  <c r="K1254" i="1"/>
  <c r="K1267" i="1"/>
  <c r="T1267" i="1"/>
  <c r="K1262" i="1"/>
  <c r="U1262" i="1"/>
  <c r="K1258" i="1"/>
  <c r="K1275" i="1"/>
  <c r="C1275" i="1"/>
  <c r="K1271" i="1"/>
  <c r="C1271" i="1"/>
  <c r="H1429" i="1"/>
  <c r="U1429" i="1"/>
  <c r="H1425" i="1"/>
  <c r="T1425" i="1"/>
  <c r="H1443" i="1"/>
  <c r="C1443" i="1"/>
  <c r="U1443" i="1"/>
  <c r="H1439" i="1"/>
  <c r="C1439" i="1"/>
  <c r="H1664" i="1"/>
  <c r="C1664" i="1"/>
  <c r="J1659" i="1"/>
  <c r="C1659" i="1"/>
  <c r="U1659" i="1"/>
  <c r="H1676" i="1"/>
  <c r="J1676" i="1"/>
  <c r="T1676" i="1"/>
  <c r="H1666" i="1"/>
  <c r="S1666" i="1"/>
  <c r="T1666" i="1"/>
  <c r="O424" i="1"/>
  <c r="S424" i="1"/>
  <c r="T424" i="1"/>
  <c r="K1416" i="1"/>
  <c r="T1416" i="1"/>
  <c r="T2209" i="1"/>
  <c r="H2200" i="1"/>
  <c r="G2225" i="1"/>
  <c r="T2225" i="1" s="1"/>
  <c r="U1801" i="1"/>
  <c r="S1801" i="1"/>
  <c r="C1797" i="1"/>
  <c r="U1797" i="1"/>
  <c r="U1795" i="1"/>
  <c r="C1795" i="1"/>
  <c r="S1788" i="1"/>
  <c r="T1788" i="1"/>
  <c r="U1781" i="1"/>
  <c r="C1781" i="1"/>
  <c r="T1759" i="1"/>
  <c r="U1759" i="1"/>
  <c r="C1759" i="1"/>
  <c r="C1724" i="1"/>
  <c r="U1724" i="1"/>
  <c r="C1723" i="1"/>
  <c r="U1723" i="1"/>
  <c r="U446" i="1"/>
  <c r="T446" i="1"/>
  <c r="U1195" i="1"/>
  <c r="S1006" i="1"/>
  <c r="U774" i="1"/>
  <c r="J1505" i="1"/>
  <c r="U140" i="1"/>
  <c r="K1439" i="1"/>
  <c r="K1328" i="1"/>
  <c r="K1434" i="1"/>
  <c r="K1334" i="1"/>
  <c r="K1329" i="1"/>
  <c r="T1501" i="1"/>
  <c r="S545" i="1"/>
  <c r="H1518" i="1"/>
  <c r="U1936" i="1"/>
  <c r="T440" i="1"/>
  <c r="T1664" i="1"/>
  <c r="T1434" i="1"/>
  <c r="T1670" i="1"/>
  <c r="T1415" i="1"/>
  <c r="T1096" i="1"/>
  <c r="U1670" i="1"/>
  <c r="G1798" i="1"/>
  <c r="S1798" i="1" s="1"/>
  <c r="S1796" i="1"/>
  <c r="G2282" i="1"/>
  <c r="C2282" i="1" s="1"/>
  <c r="G2294" i="1"/>
  <c r="C2294" i="1" s="1"/>
  <c r="G2296" i="1"/>
  <c r="C2296" i="1" s="1"/>
  <c r="S1771" i="1"/>
  <c r="S2216" i="1"/>
  <c r="C1771" i="1"/>
  <c r="C1772" i="1"/>
  <c r="J1670" i="1"/>
  <c r="U1666" i="1"/>
  <c r="T1460" i="1"/>
  <c r="U1482" i="1"/>
  <c r="C1460" i="1"/>
  <c r="H1479" i="1"/>
  <c r="U1483" i="1"/>
  <c r="U1492" i="1"/>
  <c r="J1481" i="1"/>
  <c r="H1480" i="1"/>
  <c r="S1491" i="1"/>
  <c r="S1489" i="1"/>
  <c r="T1491" i="1"/>
  <c r="S1484" i="1"/>
  <c r="T1483" i="1"/>
  <c r="H1489" i="1"/>
  <c r="C1676" i="1"/>
  <c r="N1096" i="1"/>
  <c r="T1275" i="1"/>
  <c r="U1271" i="1"/>
  <c r="J2334" i="1"/>
  <c r="T1258" i="1"/>
  <c r="C1434" i="1"/>
  <c r="C1262" i="1"/>
  <c r="C1267" i="1"/>
  <c r="C1429" i="1"/>
  <c r="U1425" i="1"/>
  <c r="U845" i="1"/>
  <c r="H1720" i="1"/>
  <c r="C2191" i="1"/>
  <c r="J2339" i="1"/>
  <c r="U1439" i="1"/>
  <c r="U323" i="1"/>
  <c r="U312" i="1" s="1"/>
  <c r="U311" i="1" s="1"/>
  <c r="O442" i="1"/>
  <c r="T889" i="1"/>
  <c r="T882" i="1" s="1"/>
  <c r="S1254" i="1"/>
  <c r="U1721" i="1"/>
  <c r="S433" i="1"/>
  <c r="U852" i="1"/>
  <c r="U1058" i="1"/>
  <c r="U1328" i="1"/>
  <c r="H1721" i="1"/>
  <c r="G2196" i="1"/>
  <c r="T2196" i="1" s="1"/>
  <c r="U292" i="1"/>
  <c r="G1739" i="1"/>
  <c r="S1739" i="1" s="1"/>
  <c r="T1328" i="1"/>
  <c r="T433" i="1"/>
  <c r="U521" i="1"/>
  <c r="U513" i="1" s="1"/>
  <c r="S2351" i="1"/>
  <c r="T2343" i="1"/>
  <c r="K2339" i="1"/>
  <c r="S2218" i="1"/>
  <c r="S2183" i="1"/>
  <c r="T1792" i="1"/>
  <c r="S1773" i="1"/>
  <c r="T616" i="1"/>
  <c r="T596" i="1"/>
  <c r="U591" i="1"/>
  <c r="U584" i="1"/>
  <c r="T521" i="1"/>
  <c r="T495" i="1"/>
  <c r="T453" i="1"/>
  <c r="T449" i="1" s="1"/>
  <c r="S442" i="1"/>
  <c r="C1792" i="1"/>
  <c r="S1792" i="1"/>
  <c r="K1335" i="1"/>
  <c r="U1335" i="1"/>
  <c r="C1334" i="1"/>
  <c r="G1451" i="1"/>
  <c r="K1451" i="1" s="1"/>
  <c r="C1331" i="1"/>
  <c r="U1331" i="1"/>
  <c r="C1330" i="1"/>
  <c r="U1330" i="1"/>
  <c r="S495" i="1"/>
  <c r="U495" i="1"/>
  <c r="U426" i="1"/>
  <c r="T426" i="1"/>
  <c r="H2268" i="1"/>
  <c r="G2285" i="1"/>
  <c r="C2285" i="1" s="1"/>
  <c r="G2289" i="1"/>
  <c r="C2289" i="1" s="1"/>
  <c r="G2287" i="1"/>
  <c r="C2287" i="1" s="1"/>
  <c r="C1791" i="1"/>
  <c r="S1791" i="1"/>
  <c r="C1784" i="1"/>
  <c r="U1784" i="1"/>
  <c r="S1784" i="1"/>
  <c r="T1784" i="1"/>
  <c r="C1758" i="1"/>
  <c r="H1758" i="1"/>
  <c r="C1736" i="1"/>
  <c r="T1736" i="1"/>
  <c r="U1736" i="1"/>
  <c r="S1736" i="1"/>
  <c r="T1734" i="1"/>
  <c r="C1734" i="1"/>
  <c r="C1477" i="1"/>
  <c r="T1477" i="1"/>
  <c r="C1476" i="1"/>
  <c r="U1476" i="1"/>
  <c r="J1476" i="1"/>
  <c r="C1475" i="1"/>
  <c r="T1475" i="1"/>
  <c r="J1475" i="1"/>
  <c r="K1455" i="1"/>
  <c r="C1455" i="1"/>
  <c r="U948" i="1"/>
  <c r="U418" i="1"/>
  <c r="K1332" i="1"/>
  <c r="K1331" i="1"/>
  <c r="U539" i="1"/>
  <c r="U440" i="1"/>
  <c r="S2195" i="1"/>
  <c r="S1721" i="1"/>
  <c r="U1792" i="1"/>
  <c r="G1774" i="1"/>
  <c r="S1774" i="1" s="1"/>
  <c r="C2216" i="1"/>
  <c r="S1328" i="1"/>
  <c r="U2218" i="1"/>
  <c r="S323" i="1"/>
  <c r="S312" i="1" s="1"/>
  <c r="S868" i="1"/>
  <c r="S861" i="1" s="1"/>
  <c r="U1332" i="1"/>
  <c r="G2217" i="1"/>
  <c r="H2217" i="1" s="1"/>
  <c r="T1331" i="1"/>
  <c r="S2339" i="1"/>
  <c r="U2334" i="1"/>
  <c r="I2334" i="1"/>
  <c r="U2330" i="1"/>
  <c r="I2330" i="1"/>
  <c r="U2326" i="1"/>
  <c r="I2326" i="1"/>
  <c r="U2321" i="1"/>
  <c r="T2317" i="1"/>
  <c r="T2313" i="1"/>
  <c r="T2218" i="1"/>
  <c r="U2216" i="1"/>
  <c r="T2195" i="1"/>
  <c r="T2193" i="1"/>
  <c r="U2191" i="1"/>
  <c r="T2183" i="1"/>
  <c r="U2179" i="1"/>
  <c r="S1664" i="1"/>
  <c r="S1443" i="1"/>
  <c r="C1773" i="1"/>
  <c r="G1802" i="1"/>
  <c r="T1802" i="1" s="1"/>
  <c r="C1737" i="1"/>
  <c r="T1737" i="1"/>
  <c r="S1737" i="1"/>
  <c r="M2081" i="1"/>
  <c r="H2081" i="1"/>
  <c r="T511" i="1"/>
  <c r="S511" i="1"/>
  <c r="J1539" i="1"/>
  <c r="H1539" i="1"/>
  <c r="O1119" i="1"/>
  <c r="S1119" i="1"/>
  <c r="S1110" i="1" s="1"/>
  <c r="O1108" i="1"/>
  <c r="U1108" i="1"/>
  <c r="U1098" i="1" s="1"/>
  <c r="O1068" i="1"/>
  <c r="G1084" i="1"/>
  <c r="N1084" i="1" s="1"/>
  <c r="S966" i="1"/>
  <c r="U142" i="1"/>
  <c r="C1502" i="1"/>
  <c r="H1772" i="1"/>
  <c r="T1773" i="1"/>
  <c r="C2195" i="1"/>
  <c r="C2218" i="1"/>
  <c r="S1096" i="1"/>
  <c r="U889" i="1"/>
  <c r="T130" i="1"/>
  <c r="U433" i="1"/>
  <c r="T1330" i="1"/>
  <c r="U1737" i="1"/>
  <c r="T1439" i="1"/>
  <c r="U2183" i="1"/>
  <c r="O426" i="1"/>
  <c r="T2216" i="1"/>
  <c r="T1771" i="1"/>
  <c r="T1772" i="1"/>
  <c r="U1773" i="1"/>
  <c r="U1481" i="1"/>
  <c r="U1488" i="1"/>
  <c r="S1483" i="1"/>
  <c r="T1796" i="1"/>
  <c r="H1492" i="1"/>
  <c r="T1490" i="1"/>
  <c r="T1484" i="1"/>
  <c r="T1479" i="1"/>
  <c r="S1482" i="1"/>
  <c r="H1482" i="1"/>
  <c r="C1491" i="1"/>
  <c r="S1492" i="1"/>
  <c r="T1489" i="1"/>
  <c r="J1489" i="1"/>
  <c r="C1250" i="1"/>
  <c r="S1439" i="1"/>
  <c r="S1258" i="1"/>
  <c r="U868" i="1"/>
  <c r="U861" i="1" s="1"/>
  <c r="T519" i="1"/>
  <c r="O298" i="1"/>
  <c r="U1254" i="1"/>
  <c r="H2183" i="1"/>
  <c r="U1329" i="1"/>
  <c r="T1335" i="1"/>
  <c r="H1737" i="1"/>
  <c r="S343" i="1"/>
  <c r="T1334" i="1"/>
  <c r="S2347" i="1"/>
  <c r="K2343" i="1"/>
  <c r="T2339" i="1"/>
  <c r="U2317" i="1"/>
  <c r="I2317" i="1"/>
  <c r="U2313" i="1"/>
  <c r="U1189" i="1"/>
  <c r="U1177" i="1"/>
  <c r="T1165" i="1"/>
  <c r="U1110" i="1"/>
  <c r="T1006" i="1"/>
  <c r="T958" i="1"/>
  <c r="U932" i="1"/>
  <c r="T922" i="1"/>
  <c r="U838" i="1"/>
  <c r="T391" i="1"/>
  <c r="T384" i="1"/>
  <c r="S373" i="1"/>
  <c r="T356" i="1"/>
  <c r="T348" i="1" s="1"/>
  <c r="S325" i="1"/>
  <c r="T323" i="1"/>
  <c r="T312" i="1" s="1"/>
  <c r="T298" i="1"/>
  <c r="S292" i="1"/>
  <c r="S238" i="1"/>
  <c r="S125" i="1"/>
  <c r="S78" i="1"/>
  <c r="N471" i="1"/>
  <c r="N469" i="1"/>
  <c r="N467" i="1"/>
  <c r="N466" i="1"/>
  <c r="N470" i="1"/>
  <c r="N468" i="1"/>
  <c r="O415" i="1"/>
  <c r="N298" i="1"/>
  <c r="U817" i="1"/>
  <c r="U922" i="1"/>
  <c r="T781" i="1"/>
  <c r="U1532" i="1"/>
  <c r="U1536" i="1"/>
  <c r="S368" i="1"/>
  <c r="U1533" i="1"/>
  <c r="T2351" i="1"/>
  <c r="T2334" i="1"/>
  <c r="T2330" i="1"/>
  <c r="T2326" i="1"/>
  <c r="T2321" i="1"/>
  <c r="S2317" i="1"/>
  <c r="S2313" i="1"/>
  <c r="T2200" i="1"/>
  <c r="U2195" i="1"/>
  <c r="U2193" i="1"/>
  <c r="S2192" i="1"/>
  <c r="T1785" i="1"/>
  <c r="S1758" i="1"/>
  <c r="S1744" i="1"/>
  <c r="U1573" i="1"/>
  <c r="S1430" i="1"/>
  <c r="S1335" i="1"/>
  <c r="S1332" i="1"/>
  <c r="S1330" i="1"/>
  <c r="S1329" i="1"/>
  <c r="S1250" i="1"/>
  <c r="T868" i="1"/>
  <c r="T861" i="1" s="1"/>
  <c r="T415" i="1"/>
  <c r="S302" i="1"/>
  <c r="T292" i="1"/>
  <c r="S1659" i="1"/>
  <c r="G1360" i="23"/>
  <c r="G1371" i="23"/>
  <c r="G1372" i="23" s="1"/>
  <c r="A1354" i="23"/>
  <c r="G1365" i="23"/>
  <c r="N1365" i="23" s="1"/>
  <c r="E300" i="23"/>
  <c r="F383" i="23"/>
  <c r="H479" i="23"/>
  <c r="J479" i="23"/>
  <c r="J272" i="23"/>
  <c r="G1405" i="23"/>
  <c r="O1405" i="23" s="1"/>
  <c r="G145" i="23"/>
  <c r="G154" i="23" s="1"/>
  <c r="L154" i="23" s="1"/>
  <c r="H480" i="23"/>
  <c r="G1119" i="23"/>
  <c r="A1119" i="23" s="1"/>
  <c r="F124" i="23"/>
  <c r="M1359" i="23"/>
  <c r="G1133" i="23"/>
  <c r="G1140" i="23" s="1"/>
  <c r="H96" i="23"/>
  <c r="C745" i="23"/>
  <c r="D909" i="23"/>
  <c r="H449" i="23"/>
  <c r="O50" i="23"/>
  <c r="E123" i="23"/>
  <c r="F123" i="23"/>
  <c r="K123" i="23"/>
  <c r="B7" i="2"/>
  <c r="E122" i="23"/>
  <c r="G35" i="23"/>
  <c r="G37" i="23" s="1"/>
  <c r="G44" i="23"/>
  <c r="A44" i="23" s="1"/>
  <c r="G66" i="23"/>
  <c r="G75" i="23" s="1"/>
  <c r="G93" i="23"/>
  <c r="G100" i="23" s="1"/>
  <c r="A100" i="23" s="1"/>
  <c r="A376" i="23"/>
  <c r="M381" i="23"/>
  <c r="C381" i="23"/>
  <c r="G382" i="23"/>
  <c r="G383" i="23" s="1"/>
  <c r="G392" i="23"/>
  <c r="G386" i="23"/>
  <c r="G393" i="23"/>
  <c r="D301" i="23"/>
  <c r="J2957" i="23"/>
  <c r="E2957" i="23"/>
  <c r="H2957" i="23"/>
  <c r="H2820" i="23"/>
  <c r="E2820" i="23"/>
  <c r="O45" i="23"/>
  <c r="C44" i="23"/>
  <c r="C45" i="23" s="1"/>
  <c r="C50" i="23" s="1"/>
  <c r="G749" i="23"/>
  <c r="G755" i="23"/>
  <c r="G1181" i="23"/>
  <c r="O1181" i="23" s="1"/>
  <c r="A818" i="23"/>
  <c r="E480" i="23"/>
  <c r="D480" i="23"/>
  <c r="F1227" i="23"/>
  <c r="D96" i="23"/>
  <c r="B99" i="23"/>
  <c r="E96" i="23"/>
  <c r="G568" i="23"/>
  <c r="G569" i="23" s="1"/>
  <c r="A562" i="23"/>
  <c r="F271" i="23"/>
  <c r="J271" i="23"/>
  <c r="A1359" i="23"/>
  <c r="C1359" i="23"/>
  <c r="G1375" i="23"/>
  <c r="G1376" i="23" s="1"/>
  <c r="G1378" i="23" s="1"/>
  <c r="A1378" i="23" s="1"/>
  <c r="J3109" i="23"/>
  <c r="G127" i="23"/>
  <c r="A127" i="23" s="1"/>
  <c r="G1179" i="23"/>
  <c r="A1179" i="23" s="1"/>
  <c r="A1180" i="23" s="1"/>
  <c r="A3389" i="23"/>
  <c r="F2820" i="23"/>
  <c r="J449" i="23"/>
  <c r="D449" i="23"/>
  <c r="G211" i="23"/>
  <c r="G221" i="23" s="1"/>
  <c r="K449" i="23"/>
  <c r="A655" i="23"/>
  <c r="A657" i="23" s="1"/>
  <c r="A658" i="23" s="1"/>
  <c r="A659" i="23" s="1"/>
  <c r="A660" i="23" s="1"/>
  <c r="A668" i="23" s="1"/>
  <c r="A669" i="23" s="1"/>
  <c r="F34" i="23"/>
  <c r="G662" i="23"/>
  <c r="A662" i="23" s="1"/>
  <c r="F1532" i="23"/>
  <c r="F2275" i="23"/>
  <c r="E1532" i="23"/>
  <c r="H1532" i="23"/>
  <c r="J3093" i="23"/>
  <c r="C3402" i="23"/>
  <c r="F358" i="23"/>
  <c r="K358" i="23"/>
  <c r="E358" i="23"/>
  <c r="D3412" i="23"/>
  <c r="H3412" i="23"/>
  <c r="F3412" i="23"/>
  <c r="J3412" i="23"/>
  <c r="E3412" i="23"/>
  <c r="I3392" i="23"/>
  <c r="D3392" i="23"/>
  <c r="H3392" i="23"/>
  <c r="K3392" i="23"/>
  <c r="E3392" i="23"/>
  <c r="B24" i="2"/>
  <c r="F3389" i="23"/>
  <c r="J3389" i="23"/>
  <c r="N3389" i="23" s="1"/>
  <c r="K3389" i="23"/>
  <c r="O3389" i="23" s="1"/>
  <c r="D3389" i="23"/>
  <c r="H3389" i="23"/>
  <c r="L3389" i="23" s="1"/>
  <c r="K383" i="23"/>
  <c r="B9" i="2"/>
  <c r="K300" i="23"/>
  <c r="H300" i="23"/>
  <c r="D213" i="23"/>
  <c r="F213" i="23"/>
  <c r="K213" i="23"/>
  <c r="G2598" i="23"/>
  <c r="O2598" i="23" s="1"/>
  <c r="M2594" i="23"/>
  <c r="G2706" i="23"/>
  <c r="O2683" i="23"/>
  <c r="G2595" i="23"/>
  <c r="G2655" i="23"/>
  <c r="G2664" i="23" s="1"/>
  <c r="C2609" i="23"/>
  <c r="F35" i="23"/>
  <c r="H35" i="23"/>
  <c r="E35" i="23"/>
  <c r="J383" i="23"/>
  <c r="A2589" i="23"/>
  <c r="A2590" i="23" s="1"/>
  <c r="J300" i="23"/>
  <c r="D300" i="23"/>
  <c r="G2629" i="23"/>
  <c r="M2629" i="23" s="1"/>
  <c r="E213" i="23"/>
  <c r="G3397" i="23"/>
  <c r="L3397" i="23" s="1"/>
  <c r="E3389" i="23"/>
  <c r="N751" i="23"/>
  <c r="M751" i="23"/>
  <c r="A751" i="23"/>
  <c r="G3535" i="23"/>
  <c r="G3548" i="23" s="1"/>
  <c r="G3494" i="23"/>
  <c r="G3413" i="23"/>
  <c r="G3416" i="23" s="1"/>
  <c r="G3516" i="23"/>
  <c r="G3518" i="23" s="1"/>
  <c r="G3471" i="23"/>
  <c r="G3450" i="23"/>
  <c r="M3389" i="23"/>
  <c r="G3392" i="23"/>
  <c r="A3384" i="23"/>
  <c r="G3394" i="23"/>
  <c r="A3394" i="23" s="1"/>
  <c r="G3458" i="23"/>
  <c r="G3390" i="23"/>
  <c r="I1106" i="23"/>
  <c r="H1106" i="23"/>
  <c r="A3085" i="23"/>
  <c r="N3085" i="23"/>
  <c r="H213" i="23"/>
  <c r="G591" i="23"/>
  <c r="M591" i="23" s="1"/>
  <c r="G606" i="23"/>
  <c r="L606" i="23" s="1"/>
  <c r="G2696" i="23"/>
  <c r="L751" i="23"/>
  <c r="L2594" i="23"/>
  <c r="J3392" i="23"/>
  <c r="H3261" i="23"/>
  <c r="J3261" i="23"/>
  <c r="D3261" i="23"/>
  <c r="D3109" i="23"/>
  <c r="F3109" i="23"/>
  <c r="H3109" i="23"/>
  <c r="J3087" i="23"/>
  <c r="E3087" i="23"/>
  <c r="K3092" i="23"/>
  <c r="A3079" i="23"/>
  <c r="G3126" i="23"/>
  <c r="G3092" i="23"/>
  <c r="C3084" i="23"/>
  <c r="C3085" i="23" s="1"/>
  <c r="G3182" i="23"/>
  <c r="G3185" i="23" s="1"/>
  <c r="G3089" i="23"/>
  <c r="G3134" i="23"/>
  <c r="G3086" i="23"/>
  <c r="L3086" i="23" s="1"/>
  <c r="A3084" i="23"/>
  <c r="G3147" i="23"/>
  <c r="H2940" i="23"/>
  <c r="K3244" i="23"/>
  <c r="F3244" i="23"/>
  <c r="E3261" i="23"/>
  <c r="G3090" i="23"/>
  <c r="L3090" i="23" s="1"/>
  <c r="G3097" i="23"/>
  <c r="M3085" i="23"/>
  <c r="F272" i="23"/>
  <c r="K272" i="23"/>
  <c r="D271" i="23"/>
  <c r="K271" i="23"/>
  <c r="H272" i="23"/>
  <c r="G746" i="23"/>
  <c r="A746" i="23" s="1"/>
  <c r="H34" i="23"/>
  <c r="L34" i="23" s="1"/>
  <c r="J3244" i="23"/>
  <c r="G3087" i="23"/>
  <c r="I3087" i="23"/>
  <c r="G3094" i="23"/>
  <c r="M3094" i="23" s="1"/>
  <c r="D2957" i="23"/>
  <c r="F2957" i="23"/>
  <c r="D2820" i="23"/>
  <c r="J2820" i="23"/>
  <c r="D2621" i="23"/>
  <c r="D2422" i="23"/>
  <c r="J2422" i="23"/>
  <c r="J2393" i="23"/>
  <c r="H2393" i="23"/>
  <c r="H1662" i="23"/>
  <c r="J1662" i="23"/>
  <c r="D1387" i="23"/>
  <c r="H1387" i="23"/>
  <c r="E1387" i="23"/>
  <c r="F1387" i="23"/>
  <c r="D2814" i="23"/>
  <c r="H2814" i="23"/>
  <c r="D2595" i="23"/>
  <c r="J2595" i="23"/>
  <c r="D2483" i="23"/>
  <c r="D2276" i="23"/>
  <c r="E2276" i="23"/>
  <c r="F2276" i="23"/>
  <c r="H2245" i="23"/>
  <c r="J2245" i="23"/>
  <c r="D1533" i="23"/>
  <c r="J1533" i="23"/>
  <c r="D697" i="23"/>
  <c r="E697" i="23"/>
  <c r="F697" i="23"/>
  <c r="E663" i="23"/>
  <c r="D402" i="23"/>
  <c r="E402" i="23"/>
  <c r="D2941" i="23"/>
  <c r="E2941" i="23"/>
  <c r="D2861" i="23"/>
  <c r="E2861" i="23"/>
  <c r="F2861" i="23"/>
  <c r="D2815" i="23"/>
  <c r="J2815" i="23"/>
  <c r="D2664" i="23"/>
  <c r="E2664" i="23"/>
  <c r="D2629" i="23"/>
  <c r="J2629" i="23"/>
  <c r="D2596" i="23"/>
  <c r="F2596" i="23"/>
  <c r="D2417" i="23"/>
  <c r="J2417" i="23"/>
  <c r="B18" i="2"/>
  <c r="D2391" i="23"/>
  <c r="H2270" i="23"/>
  <c r="D2270" i="23"/>
  <c r="H1657" i="23"/>
  <c r="J1657" i="23"/>
  <c r="D321" i="23"/>
  <c r="J321" i="23"/>
  <c r="H252" i="23"/>
  <c r="J252" i="23"/>
  <c r="K252" i="23"/>
  <c r="D231" i="23"/>
  <c r="K231" i="23"/>
  <c r="J231" i="23"/>
  <c r="N3160" i="23"/>
  <c r="D3411" i="23"/>
  <c r="J3411" i="23"/>
  <c r="A2386" i="23"/>
  <c r="G2410" i="23"/>
  <c r="A2410" i="23" s="1"/>
  <c r="A2508" i="23"/>
  <c r="A2509" i="23" s="1"/>
  <c r="D2271" i="23"/>
  <c r="H2271" i="23"/>
  <c r="I1635" i="23"/>
  <c r="E1635" i="23"/>
  <c r="D1576" i="23"/>
  <c r="H1576" i="23"/>
  <c r="D1538" i="23"/>
  <c r="J1538" i="23"/>
  <c r="D806" i="23"/>
  <c r="K806" i="23"/>
  <c r="D770" i="23"/>
  <c r="K770" i="23"/>
  <c r="J770" i="23"/>
  <c r="D608" i="23"/>
  <c r="E608" i="23"/>
  <c r="D569" i="23"/>
  <c r="H569" i="23"/>
  <c r="J2814" i="23"/>
  <c r="B381" i="23"/>
  <c r="H381" i="23" s="1"/>
  <c r="B908" i="23"/>
  <c r="H908" i="23" s="1"/>
  <c r="B745" i="23"/>
  <c r="H745" i="23" s="1"/>
  <c r="B661" i="23"/>
  <c r="B567" i="23"/>
  <c r="J1296" i="23"/>
  <c r="N3168" i="23"/>
  <c r="E1296" i="23"/>
  <c r="E1254" i="23"/>
  <c r="H1254" i="23"/>
  <c r="H1296" i="23"/>
  <c r="B3245" i="23"/>
  <c r="B2392" i="23"/>
  <c r="H2392" i="23" s="1"/>
  <c r="B2244" i="23"/>
  <c r="B1511" i="23"/>
  <c r="B1226" i="23"/>
  <c r="H1226" i="23" s="1"/>
  <c r="B907" i="23"/>
  <c r="H907" i="23" s="1"/>
  <c r="B746" i="23"/>
  <c r="B662" i="23"/>
  <c r="B568" i="23"/>
  <c r="B212" i="23"/>
  <c r="M818" i="23"/>
  <c r="O1028" i="23"/>
  <c r="A1028" i="23"/>
  <c r="M572" i="49"/>
  <c r="L572" i="49"/>
  <c r="O572" i="49"/>
  <c r="N572" i="49"/>
  <c r="O3268" i="23"/>
  <c r="M3268" i="23"/>
  <c r="A3268" i="23"/>
  <c r="L3268" i="23"/>
  <c r="N3268" i="23"/>
  <c r="S2226" i="1"/>
  <c r="S1159" i="1"/>
  <c r="S1098" i="1"/>
  <c r="U2226" i="1"/>
  <c r="N22" i="49"/>
  <c r="A22" i="49"/>
  <c r="O22" i="49"/>
  <c r="L22" i="49"/>
  <c r="M537" i="49"/>
  <c r="O537" i="49"/>
  <c r="L537" i="49"/>
  <c r="A537" i="49"/>
  <c r="N537" i="49"/>
  <c r="G432" i="49"/>
  <c r="N408" i="49"/>
  <c r="O408" i="49"/>
  <c r="A408" i="49"/>
  <c r="L408" i="49"/>
  <c r="O197" i="49"/>
  <c r="L197" i="49"/>
  <c r="N197" i="49"/>
  <c r="M197" i="49"/>
  <c r="T2304" i="1"/>
  <c r="S1195" i="1"/>
  <c r="J382" i="23"/>
  <c r="K382" i="23"/>
  <c r="F382" i="23"/>
  <c r="K211" i="23"/>
  <c r="O606" i="49"/>
  <c r="G583" i="49"/>
  <c r="G1560" i="23"/>
  <c r="J913" i="23"/>
  <c r="F913" i="23"/>
  <c r="E913" i="23"/>
  <c r="G2630" i="23"/>
  <c r="G2682" i="23"/>
  <c r="G2668" i="23"/>
  <c r="A2594" i="23"/>
  <c r="C2594" i="23"/>
  <c r="N2594" i="23"/>
  <c r="G2600" i="23"/>
  <c r="G134" i="23"/>
  <c r="M134" i="23" s="1"/>
  <c r="G123" i="23"/>
  <c r="N123" i="23" s="1"/>
  <c r="G186" i="23"/>
  <c r="G191" i="23" s="1"/>
  <c r="G192" i="23"/>
  <c r="G126" i="23"/>
  <c r="G128" i="23"/>
  <c r="O128" i="23" s="1"/>
  <c r="A122" i="23"/>
  <c r="A131" i="23" s="1"/>
  <c r="A132" i="23" s="1"/>
  <c r="A205" i="23" s="1"/>
  <c r="D1106" i="23"/>
  <c r="F1106" i="23"/>
  <c r="J1106" i="23"/>
  <c r="E1106" i="23"/>
  <c r="K1106" i="23"/>
  <c r="O2401" i="23"/>
  <c r="S932" i="1"/>
  <c r="M193" i="49"/>
  <c r="G194" i="49"/>
  <c r="O193" i="49"/>
  <c r="N193" i="49"/>
  <c r="A413" i="49"/>
  <c r="O413" i="49"/>
  <c r="L413" i="49"/>
  <c r="O305" i="49"/>
  <c r="M305" i="49"/>
  <c r="A305" i="49"/>
  <c r="N682" i="49"/>
  <c r="N1025" i="23"/>
  <c r="O1097" i="23"/>
  <c r="A493" i="49"/>
  <c r="J211" i="23"/>
  <c r="K913" i="23"/>
  <c r="N416" i="49"/>
  <c r="A569" i="49"/>
  <c r="N66" i="49"/>
  <c r="N208" i="49"/>
  <c r="S948" i="1"/>
  <c r="A1025" i="23"/>
  <c r="N1097" i="23"/>
  <c r="M1012" i="23"/>
  <c r="L493" i="49"/>
  <c r="M122" i="23"/>
  <c r="G1559" i="23"/>
  <c r="L1559" i="23" s="1"/>
  <c r="G133" i="23"/>
  <c r="N133" i="23" s="1"/>
  <c r="H913" i="23"/>
  <c r="N448" i="49"/>
  <c r="O448" i="49"/>
  <c r="A448" i="49"/>
  <c r="M448" i="49"/>
  <c r="O445" i="49"/>
  <c r="N445" i="49"/>
  <c r="A445" i="49"/>
  <c r="G559" i="49"/>
  <c r="G557" i="49"/>
  <c r="A557" i="49" s="1"/>
  <c r="G570" i="49"/>
  <c r="A564" i="49"/>
  <c r="L564" i="49"/>
  <c r="O564" i="49"/>
  <c r="N564" i="49"/>
  <c r="G558" i="49"/>
  <c r="A685" i="49"/>
  <c r="G692" i="49"/>
  <c r="L685" i="49"/>
  <c r="M685" i="49"/>
  <c r="O685" i="49"/>
  <c r="N475" i="49"/>
  <c r="M475" i="49"/>
  <c r="A475" i="49"/>
  <c r="K479" i="23"/>
  <c r="D479" i="23"/>
  <c r="E479" i="23"/>
  <c r="F301" i="23"/>
  <c r="H301" i="23"/>
  <c r="K301" i="23"/>
  <c r="N62" i="49"/>
  <c r="M62" i="49"/>
  <c r="N314" i="49"/>
  <c r="G319" i="49"/>
  <c r="G1648" i="23"/>
  <c r="L1647" i="23"/>
  <c r="M1647" i="23"/>
  <c r="K850" i="23"/>
  <c r="M1105" i="23"/>
  <c r="M439" i="49"/>
  <c r="A439" i="49"/>
  <c r="G447" i="49"/>
  <c r="N439" i="49"/>
  <c r="G665" i="23"/>
  <c r="L927" i="23"/>
  <c r="M927" i="23"/>
  <c r="O927" i="23"/>
  <c r="A927" i="23"/>
  <c r="J384" i="23"/>
  <c r="O518" i="49"/>
  <c r="L518" i="49"/>
  <c r="A518" i="49"/>
  <c r="G446" i="49"/>
  <c r="N443" i="49"/>
  <c r="A443" i="49"/>
  <c r="M443" i="49"/>
  <c r="M385" i="23"/>
  <c r="M2964" i="23"/>
  <c r="N2964" i="23"/>
  <c r="L2964" i="23"/>
  <c r="L3085" i="23"/>
  <c r="O3085" i="23"/>
  <c r="O3116" i="23"/>
  <c r="A3116" i="23"/>
  <c r="L3116" i="23"/>
  <c r="M3116" i="23"/>
  <c r="N3116" i="23"/>
  <c r="O75" i="49"/>
  <c r="M75" i="49"/>
  <c r="N203" i="49"/>
  <c r="N210" i="49"/>
  <c r="N434" i="49"/>
  <c r="L434" i="49"/>
  <c r="A452" i="49"/>
  <c r="G461" i="49"/>
  <c r="M452" i="49"/>
  <c r="O452" i="49"/>
  <c r="D358" i="23"/>
  <c r="H358" i="23"/>
  <c r="A678" i="49"/>
  <c r="A679" i="49" s="1"/>
  <c r="G691" i="49"/>
  <c r="G688" i="49"/>
  <c r="M678" i="49"/>
  <c r="G666" i="49"/>
  <c r="O659" i="49"/>
  <c r="A659" i="49"/>
  <c r="A660" i="49" s="1"/>
  <c r="N659" i="49"/>
  <c r="G663" i="49"/>
  <c r="A646" i="49"/>
  <c r="M646" i="49"/>
  <c r="N646" i="49"/>
  <c r="A636" i="49"/>
  <c r="N636" i="49"/>
  <c r="A549" i="49"/>
  <c r="L549" i="49"/>
  <c r="A547" i="49"/>
  <c r="M547" i="49"/>
  <c r="L547" i="49"/>
  <c r="O547" i="49"/>
  <c r="S358" i="1"/>
  <c r="O571" i="49"/>
  <c r="L466" i="49"/>
  <c r="M458" i="49"/>
  <c r="L458" i="49"/>
  <c r="A458" i="49"/>
  <c r="O536" i="49"/>
  <c r="M536" i="49"/>
  <c r="A536" i="49"/>
  <c r="B98" i="23"/>
  <c r="J95" i="23"/>
  <c r="K95" i="23"/>
  <c r="F95" i="23"/>
  <c r="H95" i="23"/>
  <c r="T2226" i="1"/>
  <c r="O295" i="49"/>
  <c r="N295" i="49"/>
  <c r="G298" i="49"/>
  <c r="O298" i="49" s="1"/>
  <c r="A293" i="49"/>
  <c r="A294" i="49" s="1"/>
  <c r="N23" i="49"/>
  <c r="A1654" i="23"/>
  <c r="C1654" i="23"/>
  <c r="J122" i="23"/>
  <c r="N122" i="23" s="1"/>
  <c r="H122" i="23"/>
  <c r="L122" i="23" s="1"/>
  <c r="F122" i="23"/>
  <c r="D35" i="23"/>
  <c r="J35" i="23"/>
  <c r="J1105" i="23"/>
  <c r="D1105" i="23"/>
  <c r="K1105" i="23"/>
  <c r="A522" i="49"/>
  <c r="O522" i="49"/>
  <c r="O540" i="49"/>
  <c r="N540" i="49"/>
  <c r="A540" i="49"/>
  <c r="L563" i="49"/>
  <c r="N563" i="49"/>
  <c r="O466" i="49"/>
  <c r="A466" i="49"/>
  <c r="M466" i="49"/>
  <c r="N466" i="49"/>
  <c r="N204" i="49"/>
  <c r="L204" i="49"/>
  <c r="M204" i="49"/>
  <c r="L257" i="49"/>
  <c r="O257" i="49"/>
  <c r="M602" i="49"/>
  <c r="G623" i="49"/>
  <c r="M623" i="49" s="1"/>
  <c r="A602" i="49"/>
  <c r="G626" i="49"/>
  <c r="G2017" i="1"/>
  <c r="U2017" i="1" s="1"/>
  <c r="G52" i="49"/>
  <c r="A52" i="49" s="1"/>
  <c r="N536" i="49"/>
  <c r="O210" i="49"/>
  <c r="J358" i="23"/>
  <c r="O636" i="49"/>
  <c r="L659" i="49"/>
  <c r="G661" i="49"/>
  <c r="N661" i="49" s="1"/>
  <c r="L646" i="49"/>
  <c r="S1412" i="1"/>
  <c r="M549" i="49"/>
  <c r="L636" i="49"/>
  <c r="O646" i="49"/>
  <c r="N678" i="49"/>
  <c r="A405" i="49"/>
  <c r="O405" i="49"/>
  <c r="L405" i="49"/>
  <c r="N405" i="49"/>
  <c r="M405" i="49"/>
  <c r="A382" i="49"/>
  <c r="N382" i="49"/>
  <c r="M382" i="49"/>
  <c r="A374" i="49"/>
  <c r="N374" i="49"/>
  <c r="O374" i="49"/>
  <c r="A371" i="49"/>
  <c r="N371" i="49"/>
  <c r="M371" i="49"/>
  <c r="M366" i="49"/>
  <c r="A366" i="49"/>
  <c r="O366" i="49"/>
  <c r="M362" i="49"/>
  <c r="A362" i="49"/>
  <c r="O362" i="49"/>
  <c r="M353" i="49"/>
  <c r="A353" i="49"/>
  <c r="O353" i="49"/>
  <c r="N260" i="49"/>
  <c r="O258" i="49"/>
  <c r="N258" i="49"/>
  <c r="M258" i="49"/>
  <c r="L233" i="49"/>
  <c r="M233" i="49"/>
  <c r="O458" i="49"/>
  <c r="O443" i="49"/>
  <c r="L439" i="49"/>
  <c r="A3176" i="23"/>
  <c r="L3176" i="23"/>
  <c r="N456" i="49"/>
  <c r="A456" i="49"/>
  <c r="O456" i="49"/>
  <c r="L386" i="49"/>
  <c r="N394" i="49"/>
  <c r="M394" i="49"/>
  <c r="A394" i="49"/>
  <c r="S2240" i="1"/>
  <c r="G431" i="49"/>
  <c r="O371" i="49"/>
  <c r="S217" i="1"/>
  <c r="S980" i="1"/>
  <c r="T1177" i="1"/>
  <c r="O260" i="49"/>
  <c r="O549" i="49"/>
  <c r="N26" i="49"/>
  <c r="A3480" i="23"/>
  <c r="L3480" i="23"/>
  <c r="N3480" i="23"/>
  <c r="G3395" i="23"/>
  <c r="G3399" i="23"/>
  <c r="G3506" i="23"/>
  <c r="G3391" i="23"/>
  <c r="C3389" i="23"/>
  <c r="K34" i="23"/>
  <c r="O34" i="23" s="1"/>
  <c r="E34" i="23"/>
  <c r="O523" i="49"/>
  <c r="N523" i="49"/>
  <c r="A562" i="49"/>
  <c r="M562" i="49"/>
  <c r="M205" i="49"/>
  <c r="O205" i="49"/>
  <c r="O387" i="49"/>
  <c r="L387" i="49"/>
  <c r="M387" i="49"/>
  <c r="M26" i="49"/>
  <c r="S425" i="1"/>
  <c r="C1055" i="23"/>
  <c r="M3318" i="23"/>
  <c r="N638" i="49"/>
  <c r="N3327" i="23"/>
  <c r="L390" i="49"/>
  <c r="N444" i="49"/>
  <c r="L638" i="49"/>
  <c r="G653" i="49"/>
  <c r="L3163" i="23"/>
  <c r="L3167" i="23"/>
  <c r="N625" i="49"/>
  <c r="L3311" i="23"/>
  <c r="G642" i="49"/>
  <c r="O3114" i="23"/>
  <c r="S140" i="1"/>
  <c r="S1121" i="1"/>
  <c r="O3021" i="23"/>
  <c r="O3029" i="23"/>
  <c r="M3154" i="23"/>
  <c r="B2246" i="23"/>
  <c r="B1362" i="23"/>
  <c r="N945" i="1"/>
  <c r="N183" i="1"/>
  <c r="N250" i="1"/>
  <c r="C2009" i="1"/>
  <c r="U2009" i="1"/>
  <c r="H1416" i="1"/>
  <c r="G1915" i="1"/>
  <c r="T1915" i="1" s="1"/>
  <c r="T1592" i="1"/>
  <c r="N2000" i="1"/>
  <c r="T2089" i="1"/>
  <c r="C2240" i="1"/>
  <c r="H1592" i="1"/>
  <c r="H2089" i="1"/>
  <c r="S2261" i="1"/>
  <c r="T553" i="1"/>
  <c r="T642" i="1"/>
  <c r="M211" i="1"/>
  <c r="A575" i="23"/>
  <c r="A576" i="23" s="1"/>
  <c r="L45" i="23"/>
  <c r="G47" i="23"/>
  <c r="L47" i="23" s="1"/>
  <c r="M45" i="23"/>
  <c r="N1012" i="23"/>
  <c r="L1029" i="23"/>
  <c r="A1029" i="23"/>
  <c r="L1038" i="23"/>
  <c r="O1038" i="23"/>
  <c r="A34" i="23"/>
  <c r="O608" i="49"/>
  <c r="G1054" i="23"/>
  <c r="O1054" i="23" s="1"/>
  <c r="G1048" i="23"/>
  <c r="M1048" i="23" s="1"/>
  <c r="N1041" i="23"/>
  <c r="O62" i="49"/>
  <c r="M317" i="49"/>
  <c r="O317" i="49"/>
  <c r="N526" i="49"/>
  <c r="M1041" i="23"/>
  <c r="A23" i="49"/>
  <c r="K124" i="23"/>
  <c r="L23" i="49"/>
  <c r="G102" i="23"/>
  <c r="L361" i="49"/>
  <c r="M34" i="23"/>
  <c r="A28" i="23"/>
  <c r="A29" i="23" s="1"/>
  <c r="A31" i="23" s="1"/>
  <c r="A32" i="23" s="1"/>
  <c r="A33" i="23" s="1"/>
  <c r="G38" i="23"/>
  <c r="P1322" i="1"/>
  <c r="P1362" i="1"/>
  <c r="N1011" i="23"/>
  <c r="N1030" i="23"/>
  <c r="G1649" i="23"/>
  <c r="O1007" i="23"/>
  <c r="G1043" i="23"/>
  <c r="O1043" i="23" s="1"/>
  <c r="G1051" i="23"/>
  <c r="A1051" i="23" s="1"/>
  <c r="H2244" i="1"/>
  <c r="N479" i="1"/>
  <c r="N473" i="1"/>
  <c r="T2079" i="1"/>
  <c r="U2050" i="1"/>
  <c r="M2103" i="1"/>
  <c r="U2244" i="1"/>
  <c r="J1517" i="1"/>
  <c r="S2000" i="1"/>
  <c r="J1592" i="1"/>
  <c r="J2244" i="1"/>
  <c r="H1845" i="1"/>
  <c r="L1845" i="1" s="1"/>
  <c r="U2079" i="1"/>
  <c r="T2000" i="1"/>
  <c r="T1932" i="1"/>
  <c r="S2077" i="1"/>
  <c r="I2261" i="1"/>
  <c r="T2077" i="1"/>
  <c r="H2062" i="1"/>
  <c r="N1929" i="1"/>
  <c r="T1929" i="1"/>
  <c r="H1506" i="1"/>
  <c r="U2270" i="1"/>
  <c r="U2240" i="1"/>
  <c r="S1929" i="1"/>
  <c r="J1497" i="1"/>
  <c r="U1506" i="1"/>
  <c r="M2106" i="1"/>
  <c r="H2079" i="1"/>
  <c r="T2038" i="1"/>
  <c r="T2240" i="1"/>
  <c r="S2079" i="1"/>
  <c r="H1497" i="1"/>
  <c r="H1947" i="1"/>
  <c r="T1944" i="1"/>
  <c r="N986" i="1"/>
  <c r="N1944" i="1"/>
  <c r="G1907" i="1"/>
  <c r="U1907" i="1" s="1"/>
  <c r="T1936" i="1"/>
  <c r="T1948" i="1"/>
  <c r="C1948" i="1"/>
  <c r="U1948" i="1"/>
  <c r="N1948" i="1"/>
  <c r="S1948" i="1"/>
  <c r="H1948" i="1"/>
  <c r="C1956" i="1"/>
  <c r="T1956" i="1"/>
  <c r="N1956" i="1"/>
  <c r="U1956" i="1"/>
  <c r="H1956" i="1"/>
  <c r="S1956" i="1"/>
  <c r="G2011" i="1"/>
  <c r="C2011" i="1" s="1"/>
  <c r="G1909" i="1"/>
  <c r="S1909" i="1" s="1"/>
  <c r="N1932" i="1"/>
  <c r="T1976" i="1"/>
  <c r="N1976" i="1"/>
  <c r="S1976" i="1"/>
  <c r="U1976" i="1"/>
  <c r="H1976" i="1"/>
  <c r="C1976" i="1"/>
  <c r="S1962" i="1"/>
  <c r="N1962" i="1"/>
  <c r="T1962" i="1"/>
  <c r="U1962" i="1"/>
  <c r="H1962" i="1"/>
  <c r="C1962" i="1"/>
  <c r="C1969" i="1"/>
  <c r="H1969" i="1"/>
  <c r="S1969" i="1"/>
  <c r="U1969" i="1"/>
  <c r="N1971" i="1"/>
  <c r="C1971" i="1"/>
  <c r="T1971" i="1"/>
  <c r="H1971" i="1"/>
  <c r="U1971" i="1"/>
  <c r="H1940" i="1"/>
  <c r="T1940" i="1"/>
  <c r="U1940" i="1"/>
  <c r="C1940" i="1"/>
  <c r="S1970" i="1"/>
  <c r="U1970" i="1"/>
  <c r="H1970" i="1"/>
  <c r="C1970" i="1"/>
  <c r="N1970" i="1"/>
  <c r="T1970" i="1"/>
  <c r="G2013" i="1"/>
  <c r="G1911" i="1"/>
  <c r="S1911" i="1" s="1"/>
  <c r="T1945" i="1"/>
  <c r="S1945" i="1"/>
  <c r="N1945" i="1"/>
  <c r="H1945" i="1"/>
  <c r="U1945" i="1"/>
  <c r="C1945" i="1"/>
  <c r="N1950" i="1"/>
  <c r="U1950" i="1"/>
  <c r="N1949" i="1"/>
  <c r="C1949" i="1"/>
  <c r="S1949" i="1"/>
  <c r="H1949" i="1"/>
  <c r="S2001" i="1"/>
  <c r="C2001" i="1"/>
  <c r="T1966" i="1"/>
  <c r="N1966" i="1"/>
  <c r="U1966" i="1"/>
  <c r="C1975" i="1"/>
  <c r="N1975" i="1"/>
  <c r="U1975" i="1"/>
  <c r="S1975" i="1"/>
  <c r="H1975" i="1"/>
  <c r="T1975" i="1"/>
  <c r="G1998" i="1"/>
  <c r="N1998" i="1" s="1"/>
  <c r="U1947" i="1"/>
  <c r="S1938" i="1"/>
  <c r="C1947" i="1"/>
  <c r="S1978" i="1"/>
  <c r="H1978" i="1"/>
  <c r="T1978" i="1"/>
  <c r="U1978" i="1"/>
  <c r="U737" i="1"/>
  <c r="S1942" i="1"/>
  <c r="U1942" i="1"/>
  <c r="H1942" i="1"/>
  <c r="N50" i="1"/>
  <c r="N341" i="1"/>
  <c r="M207" i="1"/>
  <c r="N395" i="1"/>
  <c r="N1040" i="1"/>
  <c r="M328" i="1"/>
  <c r="M327" i="1"/>
  <c r="N261" i="1"/>
  <c r="N1041" i="1"/>
  <c r="N262" i="1"/>
  <c r="N1042" i="1"/>
  <c r="M264" i="1"/>
  <c r="N609" i="1"/>
  <c r="G1081" i="23"/>
  <c r="L1081" i="23" s="1"/>
  <c r="N1078" i="23"/>
  <c r="A1008" i="23"/>
  <c r="A1005" i="23"/>
  <c r="N50" i="23"/>
  <c r="M1011" i="23"/>
  <c r="A50" i="23"/>
  <c r="A51" i="23" s="1"/>
  <c r="H1930" i="1"/>
  <c r="N1930" i="1"/>
  <c r="T1930" i="1"/>
  <c r="S1930" i="1"/>
  <c r="S2009" i="1"/>
  <c r="H1414" i="1"/>
  <c r="U1517" i="1"/>
  <c r="H1517" i="1"/>
  <c r="U1501" i="1"/>
  <c r="U1504" i="1"/>
  <c r="T2175" i="1"/>
  <c r="C1505" i="1"/>
  <c r="C1517" i="1"/>
  <c r="S152" i="1"/>
  <c r="U1955" i="1"/>
  <c r="M2050" i="1"/>
  <c r="T2050" i="1"/>
  <c r="T2001" i="1"/>
  <c r="H2001" i="1"/>
  <c r="G1651" i="1"/>
  <c r="C1651" i="1" s="1"/>
  <c r="T2244" i="1"/>
  <c r="S2244" i="1"/>
  <c r="C1974" i="1"/>
  <c r="U1949" i="1"/>
  <c r="T1949" i="1"/>
  <c r="U1930" i="1"/>
  <c r="U1938" i="1"/>
  <c r="S1947" i="1"/>
  <c r="T1947" i="1"/>
  <c r="T1969" i="1"/>
  <c r="T1942" i="1"/>
  <c r="N1942" i="1"/>
  <c r="M2087" i="1"/>
  <c r="U2087" i="1"/>
  <c r="I2253" i="1"/>
  <c r="S2253" i="1"/>
  <c r="U2253" i="1"/>
  <c r="T1718" i="1"/>
  <c r="U1718" i="1"/>
  <c r="U137" i="1"/>
  <c r="S137" i="1"/>
  <c r="H1950" i="1"/>
  <c r="N1969" i="1"/>
  <c r="U1592" i="1"/>
  <c r="S1592" i="1"/>
  <c r="C1952" i="1"/>
  <c r="U1952" i="1"/>
  <c r="H1944" i="1"/>
  <c r="S1944" i="1"/>
  <c r="J1502" i="1"/>
  <c r="U1502" i="1"/>
  <c r="G1499" i="1"/>
  <c r="T1499" i="1" s="1"/>
  <c r="C1415" i="1"/>
  <c r="U1413" i="1"/>
  <c r="N171" i="1"/>
  <c r="N137" i="1"/>
  <c r="H1919" i="1"/>
  <c r="U1919" i="1"/>
  <c r="N140" i="1"/>
  <c r="S463" i="1"/>
  <c r="H1936" i="1"/>
  <c r="H1974" i="1"/>
  <c r="N1938" i="1"/>
  <c r="U2089" i="1"/>
  <c r="H2093" i="1"/>
  <c r="T2087" i="1"/>
  <c r="S1936" i="1"/>
  <c r="S2089" i="1"/>
  <c r="H2087" i="1"/>
  <c r="S2093" i="1"/>
  <c r="U2001" i="1"/>
  <c r="U2062" i="1"/>
  <c r="N181" i="1"/>
  <c r="N247" i="1"/>
  <c r="G2030" i="1"/>
  <c r="C2030" i="1" s="1"/>
  <c r="G2129" i="1"/>
  <c r="S2072" i="1"/>
  <c r="G2145" i="1"/>
  <c r="T2076" i="1"/>
  <c r="U2076" i="1"/>
  <c r="H2072" i="1"/>
  <c r="M356" i="1"/>
  <c r="S2062" i="1"/>
  <c r="S2061" i="1"/>
  <c r="M241" i="1"/>
  <c r="M242" i="1"/>
  <c r="M51" i="1"/>
  <c r="N57" i="1"/>
  <c r="M2067" i="1"/>
  <c r="S2067" i="1"/>
  <c r="U2067" i="1"/>
  <c r="H2067" i="1"/>
  <c r="T2067" i="1"/>
  <c r="M2101" i="1"/>
  <c r="S2101" i="1"/>
  <c r="H2101" i="1"/>
  <c r="U2101" i="1"/>
  <c r="T2101" i="1"/>
  <c r="M2071" i="1"/>
  <c r="U2071" i="1"/>
  <c r="T2071" i="1"/>
  <c r="H2071" i="1"/>
  <c r="S2071" i="1"/>
  <c r="H2075" i="1"/>
  <c r="U2040" i="1"/>
  <c r="H2106" i="1"/>
  <c r="H2083" i="1"/>
  <c r="M630" i="1"/>
  <c r="N1193" i="1"/>
  <c r="H2086" i="1"/>
  <c r="N1194" i="1"/>
  <c r="M2040" i="1"/>
  <c r="N364" i="1"/>
  <c r="N251" i="1"/>
  <c r="H2056" i="1"/>
  <c r="N366" i="1"/>
  <c r="N55" i="1"/>
  <c r="N611" i="1"/>
  <c r="T2083" i="1"/>
  <c r="S2075" i="1"/>
  <c r="H1507" i="1"/>
  <c r="G1508" i="1"/>
  <c r="T1508" i="1" s="1"/>
  <c r="G1509" i="1"/>
  <c r="J1509" i="1" s="1"/>
  <c r="N1024" i="1"/>
  <c r="N536" i="1"/>
  <c r="N414" i="1"/>
  <c r="N1074" i="1"/>
  <c r="N310" i="1"/>
  <c r="M2069" i="1"/>
  <c r="H2069" i="1"/>
  <c r="T2069" i="1"/>
  <c r="S2069" i="1"/>
  <c r="U2069" i="1"/>
  <c r="U2037" i="1"/>
  <c r="M2073" i="1"/>
  <c r="T2073" i="1"/>
  <c r="S2073" i="1"/>
  <c r="H2073" i="1"/>
  <c r="U2073" i="1"/>
  <c r="H2147" i="1"/>
  <c r="M1244" i="1"/>
  <c r="S2086" i="1"/>
  <c r="H2040" i="1"/>
  <c r="T2056" i="1"/>
  <c r="U2086" i="1"/>
  <c r="M359" i="1"/>
  <c r="M197" i="1"/>
  <c r="M124" i="1"/>
  <c r="M231" i="1"/>
  <c r="N1046" i="1"/>
  <c r="M2037" i="1"/>
  <c r="S2037" i="1"/>
  <c r="U478" i="1"/>
  <c r="T478" i="1"/>
  <c r="S1780" i="1"/>
  <c r="H2032" i="1"/>
  <c r="T2032" i="1"/>
  <c r="U2032" i="1"/>
  <c r="M224" i="1"/>
  <c r="M226" i="1"/>
  <c r="S1414" i="1"/>
  <c r="U1414" i="1"/>
  <c r="T797" i="1"/>
  <c r="N933" i="1"/>
  <c r="H1501" i="1"/>
  <c r="S208" i="1"/>
  <c r="T32" i="1"/>
  <c r="S2038" i="1"/>
  <c r="H2038" i="1"/>
  <c r="H1502" i="1"/>
  <c r="N595" i="1"/>
  <c r="N594" i="1"/>
  <c r="K2270" i="1"/>
  <c r="T2270" i="1"/>
  <c r="T1502" i="1"/>
  <c r="C1718" i="1"/>
  <c r="S1718" i="1"/>
  <c r="N1100" i="1"/>
  <c r="N1103" i="1"/>
  <c r="N565" i="1"/>
  <c r="N573" i="1"/>
  <c r="S1518" i="1"/>
  <c r="U1518" i="1"/>
  <c r="M57" i="1"/>
  <c r="M56" i="1"/>
  <c r="U556" i="1"/>
  <c r="S556" i="1"/>
  <c r="O556" i="1"/>
  <c r="N498" i="1"/>
  <c r="N510" i="1"/>
  <c r="N999" i="1"/>
  <c r="N996" i="1"/>
  <c r="T1506" i="1"/>
  <c r="C1506" i="1"/>
  <c r="S1506" i="1"/>
  <c r="J1516" i="1"/>
  <c r="H1516" i="1"/>
  <c r="H1738" i="1"/>
  <c r="C1413" i="1"/>
  <c r="T551" i="1"/>
  <c r="T547" i="1" s="1"/>
  <c r="S1738" i="1"/>
  <c r="G1741" i="1"/>
  <c r="U1412" i="1"/>
  <c r="C1412" i="1"/>
  <c r="S1413" i="1"/>
  <c r="T1412" i="1"/>
  <c r="H1413" i="1"/>
  <c r="N382" i="1"/>
  <c r="N446" i="1"/>
  <c r="N1104" i="1"/>
  <c r="M250" i="1"/>
  <c r="M68" i="1"/>
  <c r="M133" i="1"/>
  <c r="N530" i="1"/>
  <c r="N1073" i="1"/>
  <c r="N306" i="1"/>
  <c r="N133" i="1"/>
  <c r="N411" i="1"/>
  <c r="N444" i="1"/>
  <c r="N1027" i="1"/>
  <c r="N1028" i="1"/>
  <c r="N527" i="1"/>
  <c r="N311" i="1"/>
  <c r="N417" i="1"/>
  <c r="N153" i="1"/>
  <c r="N1106" i="1"/>
  <c r="N207" i="1"/>
  <c r="N23" i="1"/>
  <c r="N942" i="1"/>
  <c r="N563" i="1"/>
  <c r="N26" i="1"/>
  <c r="M70" i="1"/>
  <c r="M132" i="1"/>
  <c r="N1076" i="1"/>
  <c r="N309" i="1"/>
  <c r="N1102" i="1"/>
  <c r="N131" i="1"/>
  <c r="N252" i="1"/>
  <c r="N161" i="1"/>
  <c r="N946" i="1"/>
  <c r="N1021" i="1"/>
  <c r="N1079" i="1"/>
  <c r="N524" i="1"/>
  <c r="N570" i="1"/>
  <c r="N365" i="1"/>
  <c r="N409" i="1"/>
  <c r="N159" i="1"/>
  <c r="N25" i="1"/>
  <c r="M66" i="1"/>
  <c r="N441" i="1"/>
  <c r="N439" i="1"/>
  <c r="M65" i="1"/>
  <c r="M63" i="1"/>
  <c r="N574" i="1"/>
  <c r="M252" i="1"/>
  <c r="M236" i="1"/>
  <c r="N301" i="1"/>
  <c r="N1101" i="1"/>
  <c r="N162" i="1"/>
  <c r="N381" i="1"/>
  <c r="N383" i="1"/>
  <c r="N442" i="1"/>
  <c r="N943" i="1"/>
  <c r="N1025" i="1"/>
  <c r="N1077" i="1"/>
  <c r="N525" i="1"/>
  <c r="N569" i="1"/>
  <c r="N361" i="1"/>
  <c r="N535" i="1"/>
  <c r="N154" i="1"/>
  <c r="N308" i="1"/>
  <c r="N1107" i="1"/>
  <c r="N1099" i="1"/>
  <c r="N367" i="1"/>
  <c r="N155" i="1"/>
  <c r="N416" i="1"/>
  <c r="N1020" i="1"/>
  <c r="N1026" i="1"/>
  <c r="N1081" i="1"/>
  <c r="N1075" i="1"/>
  <c r="N526" i="1"/>
  <c r="N568" i="1"/>
  <c r="N567" i="1"/>
  <c r="N302" i="1"/>
  <c r="N360" i="1"/>
  <c r="N363" i="1"/>
  <c r="N410" i="1"/>
  <c r="N538" i="1"/>
  <c r="N156" i="1"/>
  <c r="N1108" i="1"/>
  <c r="N941" i="1"/>
  <c r="M235" i="1"/>
  <c r="M134" i="1"/>
  <c r="M261" i="1"/>
  <c r="M139" i="1"/>
  <c r="M265" i="1"/>
  <c r="N1083" i="1"/>
  <c r="N1109" i="1"/>
  <c r="N534" i="1"/>
  <c r="N533" i="1"/>
  <c r="N447" i="1"/>
  <c r="N944" i="1"/>
  <c r="N1030" i="1"/>
  <c r="N1022" i="1"/>
  <c r="N1023" i="1"/>
  <c r="N1080" i="1"/>
  <c r="N1072" i="1"/>
  <c r="N523" i="1"/>
  <c r="N566" i="1"/>
  <c r="N564" i="1"/>
  <c r="N307" i="1"/>
  <c r="N362" i="1"/>
  <c r="N412" i="1"/>
  <c r="N160" i="1"/>
  <c r="N157" i="1"/>
  <c r="N1105" i="1"/>
  <c r="N1082" i="1"/>
  <c r="M262" i="1"/>
  <c r="N445" i="1"/>
  <c r="N1071" i="1"/>
  <c r="N340" i="1"/>
  <c r="N989" i="1"/>
  <c r="N264" i="1"/>
  <c r="N396" i="1"/>
  <c r="N984" i="1"/>
  <c r="N1043" i="1"/>
  <c r="N1038" i="1"/>
  <c r="N1112" i="1"/>
  <c r="M128" i="1"/>
  <c r="M259" i="1"/>
  <c r="N435" i="1"/>
  <c r="N1126" i="1"/>
  <c r="N1039" i="1"/>
  <c r="N51" i="1"/>
  <c r="M317" i="1"/>
  <c r="N1033" i="1"/>
  <c r="N41" i="1"/>
  <c r="N991" i="1"/>
  <c r="N265" i="1"/>
  <c r="N393" i="1"/>
  <c r="N985" i="1"/>
  <c r="N48" i="1"/>
  <c r="H2165" i="1"/>
  <c r="N1035" i="1"/>
  <c r="N1034" i="1"/>
  <c r="U2159" i="1"/>
  <c r="N1036" i="1"/>
  <c r="N1117" i="1"/>
  <c r="N339" i="1"/>
  <c r="N988" i="1"/>
  <c r="N1037" i="1"/>
  <c r="N1119" i="1"/>
  <c r="N110" i="1"/>
  <c r="M314" i="1"/>
  <c r="M194" i="1"/>
  <c r="U1959" i="1"/>
  <c r="N1959" i="1"/>
  <c r="H1959" i="1"/>
  <c r="T1959" i="1"/>
  <c r="S1959" i="1"/>
  <c r="N544" i="1"/>
  <c r="N464" i="1"/>
  <c r="N474" i="1"/>
  <c r="N921" i="1"/>
  <c r="N376" i="1"/>
  <c r="N425" i="1"/>
  <c r="N1114" i="1"/>
  <c r="M127" i="1"/>
  <c r="M24" i="1"/>
  <c r="M193" i="1"/>
  <c r="N430" i="1"/>
  <c r="M115" i="1"/>
  <c r="N541" i="1"/>
  <c r="M319" i="1"/>
  <c r="N81" i="1"/>
  <c r="N426" i="1"/>
  <c r="M225" i="1"/>
  <c r="M25" i="1"/>
  <c r="M223" i="1"/>
  <c r="M116" i="1"/>
  <c r="M179" i="1"/>
  <c r="M181" i="1"/>
  <c r="N39" i="1"/>
  <c r="N248" i="1"/>
  <c r="N375" i="1"/>
  <c r="M129" i="1"/>
  <c r="M322" i="1"/>
  <c r="M321" i="1"/>
  <c r="M316" i="1"/>
  <c r="M44" i="1"/>
  <c r="M46" i="1"/>
  <c r="M202" i="1"/>
  <c r="M201" i="1"/>
  <c r="N70" i="1"/>
  <c r="N65" i="1"/>
  <c r="N67" i="1"/>
  <c r="N63" i="1"/>
  <c r="N71" i="1"/>
  <c r="N69" i="1"/>
  <c r="N549" i="1"/>
  <c r="N551" i="1"/>
  <c r="N552" i="1"/>
  <c r="N901" i="1"/>
  <c r="N903" i="1"/>
  <c r="N906" i="1"/>
  <c r="N904" i="1"/>
  <c r="N905" i="1"/>
  <c r="N902" i="1"/>
  <c r="N353" i="1"/>
  <c r="N356" i="1"/>
  <c r="N350" i="1"/>
  <c r="N351" i="1"/>
  <c r="N349" i="1"/>
  <c r="N357" i="1"/>
  <c r="M53" i="1"/>
  <c r="N1047" i="1"/>
  <c r="N514" i="1"/>
  <c r="N953" i="1"/>
  <c r="N385" i="1"/>
  <c r="N388" i="1"/>
  <c r="N387" i="1"/>
  <c r="N389" i="1"/>
  <c r="N386" i="1"/>
  <c r="N76" i="1"/>
  <c r="N77" i="1"/>
  <c r="N211" i="1"/>
  <c r="N210" i="1"/>
  <c r="N209" i="1"/>
  <c r="M210" i="1"/>
  <c r="N355" i="1"/>
  <c r="M59" i="1"/>
  <c r="M176" i="1"/>
  <c r="N880" i="1"/>
  <c r="N550" i="1"/>
  <c r="N907" i="1"/>
  <c r="N66" i="1"/>
  <c r="M351" i="1"/>
  <c r="M355" i="1"/>
  <c r="M339" i="1"/>
  <c r="M340" i="1"/>
  <c r="N257" i="1"/>
  <c r="N258" i="1"/>
  <c r="N256" i="1"/>
  <c r="N1048" i="1"/>
  <c r="N1053" i="1"/>
  <c r="N1050" i="1"/>
  <c r="N1051" i="1"/>
  <c r="N1052" i="1"/>
  <c r="N1049" i="1"/>
  <c r="N1054" i="1"/>
  <c r="N299" i="1"/>
  <c r="N294" i="1"/>
  <c r="N297" i="1"/>
  <c r="N295" i="1"/>
  <c r="N296" i="1"/>
  <c r="N292" i="1"/>
  <c r="N293" i="1"/>
  <c r="N291" i="1"/>
  <c r="N19" i="1"/>
  <c r="N18" i="1"/>
  <c r="M54" i="1"/>
  <c r="M58" i="1"/>
  <c r="N954" i="1"/>
  <c r="N949" i="1"/>
  <c r="N951" i="1"/>
  <c r="N952" i="1"/>
  <c r="N955" i="1"/>
  <c r="N956" i="1"/>
  <c r="N497" i="1"/>
  <c r="N511" i="1"/>
  <c r="N509" i="1"/>
  <c r="N139" i="1"/>
  <c r="N141" i="1"/>
  <c r="N1005" i="1"/>
  <c r="N1003" i="1"/>
  <c r="N1001" i="1"/>
  <c r="N995" i="1"/>
  <c r="N993" i="1"/>
  <c r="N1002" i="1"/>
  <c r="N1004" i="1"/>
  <c r="N997" i="1"/>
  <c r="N998" i="1"/>
  <c r="N407" i="1"/>
  <c r="N405" i="1"/>
  <c r="N404" i="1"/>
  <c r="N406" i="1"/>
  <c r="N515" i="1"/>
  <c r="N521" i="1"/>
  <c r="N517" i="1"/>
  <c r="N520" i="1"/>
  <c r="N516" i="1"/>
  <c r="N519" i="1"/>
  <c r="M55" i="1"/>
  <c r="N390" i="1"/>
  <c r="N64" i="1"/>
  <c r="N255" i="1"/>
  <c r="N950" i="1"/>
  <c r="N1055" i="1"/>
  <c r="N1000" i="1"/>
  <c r="N354" i="1"/>
  <c r="N1056" i="1"/>
  <c r="N512" i="1"/>
  <c r="M354" i="1"/>
  <c r="H2168" i="1"/>
  <c r="U2168" i="1"/>
  <c r="N1170" i="1"/>
  <c r="N1166" i="1"/>
  <c r="N465" i="1"/>
  <c r="N476" i="1"/>
  <c r="N472" i="1"/>
  <c r="N1134" i="1"/>
  <c r="N1136" i="1"/>
  <c r="N1135" i="1"/>
  <c r="N79" i="1"/>
  <c r="N80" i="1"/>
  <c r="T2159" i="1"/>
  <c r="H2159" i="1"/>
  <c r="N214" i="1"/>
  <c r="N415" i="1"/>
  <c r="N579" i="23"/>
  <c r="L579" i="23"/>
  <c r="A1041" i="23"/>
  <c r="A1042" i="23" s="1"/>
  <c r="G1047" i="23"/>
  <c r="A1047" i="23" s="1"/>
  <c r="G1049" i="23"/>
  <c r="M1049" i="23" s="1"/>
  <c r="C1016" i="23"/>
  <c r="C1021" i="23" s="1"/>
  <c r="C1026" i="23" s="1"/>
  <c r="C1032" i="23" s="1"/>
  <c r="C1041" i="23" s="1"/>
  <c r="G1019" i="23"/>
  <c r="N1019" i="23" s="1"/>
  <c r="G1018" i="23"/>
  <c r="G1020" i="23"/>
  <c r="N1016" i="1"/>
  <c r="N61" i="1"/>
  <c r="M49" i="1"/>
  <c r="M230" i="1"/>
  <c r="M366" i="1"/>
  <c r="N607" i="1"/>
  <c r="N316" i="1"/>
  <c r="N1086" i="1"/>
  <c r="N15" i="1"/>
  <c r="N606" i="1"/>
  <c r="N926" i="1"/>
  <c r="N1090" i="1"/>
  <c r="N924" i="1"/>
  <c r="N561" i="1"/>
  <c r="N169" i="1"/>
  <c r="N1095" i="1"/>
  <c r="M185" i="1"/>
  <c r="M363" i="1"/>
  <c r="M38" i="1"/>
  <c r="M362" i="1"/>
  <c r="M364" i="1"/>
  <c r="N322" i="1"/>
  <c r="N145" i="1"/>
  <c r="N315" i="1"/>
  <c r="N420" i="1"/>
  <c r="N58" i="1"/>
  <c r="N614" i="1"/>
  <c r="S2162" i="1"/>
  <c r="N925" i="1"/>
  <c r="N1088" i="1"/>
  <c r="N54" i="1"/>
  <c r="M50" i="1"/>
  <c r="M110" i="1"/>
  <c r="N964" i="1"/>
  <c r="O1011" i="23"/>
  <c r="G1089" i="23"/>
  <c r="A1089" i="23" s="1"/>
  <c r="L1011" i="23"/>
  <c r="T1917" i="1"/>
  <c r="C1917" i="1"/>
  <c r="A45" i="23"/>
  <c r="A46" i="23" s="1"/>
  <c r="N45" i="23"/>
  <c r="O569" i="49"/>
  <c r="L499" i="49"/>
  <c r="G618" i="49"/>
  <c r="N606" i="49"/>
  <c r="L317" i="49"/>
  <c r="C19" i="49"/>
  <c r="M295" i="49"/>
  <c r="G617" i="49"/>
  <c r="G312" i="49"/>
  <c r="C1061" i="23"/>
  <c r="G1063" i="23"/>
  <c r="L1063" i="23" s="1"/>
  <c r="A295" i="49"/>
  <c r="N317" i="49"/>
  <c r="L474" i="49"/>
  <c r="G195" i="49"/>
  <c r="A1057" i="23"/>
  <c r="A579" i="23"/>
  <c r="G577" i="23"/>
  <c r="G578" i="23"/>
  <c r="G620" i="23"/>
  <c r="L620" i="23" s="1"/>
  <c r="N577" i="23"/>
  <c r="G627" i="23"/>
  <c r="A627" i="23" s="1"/>
  <c r="A628" i="23" s="1"/>
  <c r="G599" i="23"/>
  <c r="O1012" i="23"/>
  <c r="M579" i="23"/>
  <c r="M50" i="23"/>
  <c r="L50" i="23"/>
  <c r="G1040" i="23"/>
  <c r="T2040" i="1"/>
  <c r="S1917" i="1"/>
  <c r="U1917" i="1"/>
  <c r="N1917" i="1"/>
  <c r="N1190" i="1"/>
  <c r="N1192" i="1"/>
  <c r="S1919" i="1"/>
  <c r="T1919" i="1"/>
  <c r="N1919" i="1"/>
  <c r="T1950" i="1"/>
  <c r="C1950" i="1"/>
  <c r="S1950" i="1"/>
  <c r="C1938" i="1"/>
  <c r="H1938" i="1"/>
  <c r="N1974" i="1"/>
  <c r="S1974" i="1"/>
  <c r="T1974" i="1"/>
  <c r="S1955" i="1"/>
  <c r="H1955" i="1"/>
  <c r="T1955" i="1"/>
  <c r="M2038" i="1"/>
  <c r="U2038" i="1"/>
  <c r="T486" i="1"/>
  <c r="S486" i="1"/>
  <c r="U486" i="1"/>
  <c r="T2086" i="1"/>
  <c r="T2037" i="1"/>
  <c r="T2061" i="1"/>
  <c r="U2056" i="1"/>
  <c r="U2103" i="1"/>
  <c r="S1966" i="1"/>
  <c r="S485" i="1"/>
  <c r="U2061" i="1"/>
  <c r="T485" i="1"/>
  <c r="U485" i="1"/>
  <c r="H2037" i="1"/>
  <c r="H2061" i="1"/>
  <c r="S2056" i="1"/>
  <c r="T2081" i="1"/>
  <c r="U208" i="1"/>
  <c r="H1435" i="1"/>
  <c r="U2106" i="1"/>
  <c r="S2060" i="1"/>
  <c r="H2060" i="1"/>
  <c r="G2007" i="1"/>
  <c r="S2007" i="1" s="1"/>
  <c r="G1905" i="1"/>
  <c r="G2116" i="1"/>
  <c r="G1510" i="1"/>
  <c r="S1510" i="1" s="1"/>
  <c r="J1507" i="1"/>
  <c r="C2261" i="1"/>
  <c r="T2261" i="1"/>
  <c r="U2261" i="1"/>
  <c r="G2036" i="1"/>
  <c r="C2036" i="1" s="1"/>
  <c r="G2136" i="1"/>
  <c r="C2136" i="1" s="1"/>
  <c r="M2077" i="1"/>
  <c r="H2077" i="1"/>
  <c r="S2050" i="1"/>
  <c r="U2000" i="1"/>
  <c r="G1498" i="1"/>
  <c r="S1498" i="1" s="1"/>
  <c r="S2032" i="1"/>
  <c r="N2001" i="1"/>
  <c r="S2197" i="1"/>
  <c r="T208" i="1"/>
  <c r="N236" i="1"/>
  <c r="M1078" i="23"/>
  <c r="G1092" i="23"/>
  <c r="O1092" i="23" s="1"/>
  <c r="G1080" i="23"/>
  <c r="L1080" i="23" s="1"/>
  <c r="G1083" i="23"/>
  <c r="L1083" i="23" s="1"/>
  <c r="F910" i="23"/>
  <c r="D124" i="23"/>
  <c r="D850" i="23"/>
  <c r="E910" i="23"/>
  <c r="H850" i="23"/>
  <c r="A745" i="23"/>
  <c r="A740" i="23"/>
  <c r="A741" i="23" s="1"/>
  <c r="G2439" i="23"/>
  <c r="N2439" i="23" s="1"/>
  <c r="G2437" i="23"/>
  <c r="N2437" i="23" s="1"/>
  <c r="H124" i="23"/>
  <c r="G82" i="23"/>
  <c r="L1028" i="23"/>
  <c r="N1028" i="23"/>
  <c r="L1030" i="23"/>
  <c r="N177" i="1"/>
  <c r="N337" i="1"/>
  <c r="N213" i="1"/>
  <c r="N599" i="1"/>
  <c r="N194" i="1"/>
  <c r="U2175" i="1"/>
  <c r="S2175" i="1"/>
  <c r="H2175" i="1"/>
  <c r="T2165" i="1"/>
  <c r="U2165" i="1"/>
  <c r="N111" i="1"/>
  <c r="N113" i="1"/>
  <c r="N237" i="1"/>
  <c r="N235" i="1"/>
  <c r="N216" i="1"/>
  <c r="N215" i="1"/>
  <c r="N336" i="1"/>
  <c r="T227" i="1"/>
  <c r="T114" i="1"/>
  <c r="N84" i="1"/>
  <c r="N873" i="1"/>
  <c r="N879" i="1"/>
  <c r="T233" i="1"/>
  <c r="N86" i="1"/>
  <c r="N876" i="1"/>
  <c r="N875" i="1"/>
  <c r="N874" i="1"/>
  <c r="N878" i="1"/>
  <c r="N243" i="1"/>
  <c r="N132" i="1"/>
  <c r="N117" i="1"/>
  <c r="N1197" i="1"/>
  <c r="N241" i="1"/>
  <c r="N967" i="1"/>
  <c r="N969" i="1"/>
  <c r="N1168" i="1"/>
  <c r="N1167" i="1"/>
  <c r="N1169" i="1"/>
  <c r="N581" i="1"/>
  <c r="N583" i="1"/>
  <c r="N617" i="1"/>
  <c r="N618" i="1"/>
  <c r="N577" i="1"/>
  <c r="N579" i="1"/>
  <c r="N578" i="1"/>
  <c r="M228" i="1"/>
  <c r="M232" i="1"/>
  <c r="M190" i="1"/>
  <c r="M191" i="1"/>
  <c r="M121" i="1"/>
  <c r="M122" i="1"/>
  <c r="M22" i="1"/>
  <c r="M26" i="1"/>
  <c r="M346" i="1"/>
  <c r="M347" i="1"/>
  <c r="M268" i="1"/>
  <c r="M267" i="1"/>
  <c r="M269" i="1"/>
  <c r="M187" i="1"/>
  <c r="M188" i="1"/>
  <c r="M117" i="1"/>
  <c r="M118" i="1"/>
  <c r="M39" i="1"/>
  <c r="M40" i="1"/>
  <c r="M320" i="1"/>
  <c r="M313" i="1"/>
  <c r="M324" i="1"/>
  <c r="M318" i="1"/>
  <c r="M240" i="1"/>
  <c r="M243" i="1"/>
  <c r="M182" i="1"/>
  <c r="M180" i="1"/>
  <c r="M111" i="1"/>
  <c r="M112" i="1"/>
  <c r="M361" i="1"/>
  <c r="M365" i="1"/>
  <c r="M360" i="1"/>
  <c r="M255" i="1"/>
  <c r="M256" i="1"/>
  <c r="M258" i="1"/>
  <c r="M196" i="1"/>
  <c r="M198" i="1"/>
  <c r="N1115" i="1"/>
  <c r="N1111" i="1"/>
  <c r="N960" i="1"/>
  <c r="N961" i="1"/>
  <c r="N427" i="1"/>
  <c r="N429" i="1"/>
  <c r="N327" i="1"/>
  <c r="N328" i="1"/>
  <c r="N329" i="1"/>
  <c r="N46" i="1"/>
  <c r="N45" i="1"/>
  <c r="N540" i="1"/>
  <c r="N543" i="1"/>
  <c r="N1059" i="1"/>
  <c r="N1063" i="1"/>
  <c r="N1069" i="1"/>
  <c r="N1018" i="1"/>
  <c r="N1017" i="1"/>
  <c r="N981" i="1"/>
  <c r="N983" i="1"/>
  <c r="N910" i="1"/>
  <c r="N909" i="1"/>
  <c r="N319" i="1"/>
  <c r="N321" i="1"/>
  <c r="N324" i="1"/>
  <c r="N313" i="1"/>
  <c r="N230" i="1"/>
  <c r="N232" i="1"/>
  <c r="N179" i="1"/>
  <c r="N180" i="1"/>
  <c r="N60" i="1"/>
  <c r="N59" i="1"/>
  <c r="N53" i="1"/>
  <c r="N1129" i="1"/>
  <c r="N1128" i="1"/>
  <c r="N1125" i="1"/>
  <c r="N146" i="1"/>
  <c r="N144" i="1"/>
  <c r="N91" i="1"/>
  <c r="N1196" i="1"/>
  <c r="N240" i="1"/>
  <c r="N118" i="1"/>
  <c r="N885" i="1"/>
  <c r="H2162" i="1"/>
  <c r="U2162" i="1"/>
  <c r="N928" i="1"/>
  <c r="N923" i="1"/>
  <c r="M315" i="1"/>
  <c r="N314" i="1"/>
  <c r="N1062" i="1"/>
  <c r="N1093" i="1"/>
  <c r="N347" i="1"/>
  <c r="N245" i="1"/>
  <c r="N1087" i="1"/>
  <c r="N392" i="1"/>
  <c r="N377" i="1"/>
  <c r="N556" i="1"/>
  <c r="N1012" i="1"/>
  <c r="N165" i="1"/>
  <c r="N598" i="1"/>
  <c r="N927" i="1"/>
  <c r="N931" i="1"/>
  <c r="N930" i="1"/>
  <c r="M344" i="1"/>
  <c r="N593" i="1"/>
  <c r="N1127" i="1"/>
  <c r="N378" i="1"/>
  <c r="N560" i="1"/>
  <c r="N1014" i="1"/>
  <c r="N170" i="1"/>
  <c r="N555" i="1"/>
  <c r="N970" i="1"/>
  <c r="N968" i="1"/>
  <c r="N972" i="1"/>
  <c r="N877" i="1"/>
  <c r="N590" i="1"/>
  <c r="N589" i="1"/>
  <c r="M204" i="1"/>
  <c r="M203" i="1"/>
  <c r="T2168" i="1"/>
  <c r="S2168" i="1"/>
  <c r="N440" i="1"/>
  <c r="N443" i="1"/>
  <c r="N572" i="1"/>
  <c r="T244" i="1"/>
  <c r="T260" i="1"/>
  <c r="S869" i="1"/>
  <c r="S379" i="1"/>
  <c r="N175" i="1"/>
  <c r="N88" i="1"/>
  <c r="N87" i="1"/>
  <c r="N1200" i="1"/>
  <c r="N239" i="1"/>
  <c r="N884" i="1"/>
  <c r="N174" i="1"/>
  <c r="L1087" i="23"/>
  <c r="M1087" i="23"/>
  <c r="L1078" i="23"/>
  <c r="O1078" i="23"/>
  <c r="G1082" i="23"/>
  <c r="N1082" i="23" s="1"/>
  <c r="G1084" i="23"/>
  <c r="L1084" i="23" s="1"/>
  <c r="G1088" i="23"/>
  <c r="N1088" i="23" s="1"/>
  <c r="G1090" i="23"/>
  <c r="L1090" i="23" s="1"/>
  <c r="G1094" i="23"/>
  <c r="O1094" i="23" s="1"/>
  <c r="M2052" i="1"/>
  <c r="H2052" i="1"/>
  <c r="M575" i="49"/>
  <c r="A575" i="49"/>
  <c r="A576" i="49" s="1"/>
  <c r="G578" i="49"/>
  <c r="N575" i="49"/>
  <c r="G577" i="49"/>
  <c r="A577" i="49" s="1"/>
  <c r="G582" i="49"/>
  <c r="T2179" i="1"/>
  <c r="S2179" i="1"/>
  <c r="H2179" i="1"/>
  <c r="C2179" i="1"/>
  <c r="M41" i="49"/>
  <c r="N41" i="49"/>
  <c r="L41" i="49"/>
  <c r="M340" i="49"/>
  <c r="O340" i="49"/>
  <c r="N340" i="49"/>
  <c r="G345" i="49"/>
  <c r="L340" i="49"/>
  <c r="A340" i="49"/>
  <c r="A341" i="49" s="1"/>
  <c r="G343" i="49"/>
  <c r="G342" i="49"/>
  <c r="U2258" i="1"/>
  <c r="S2258" i="1"/>
  <c r="H2258" i="1"/>
  <c r="I612" i="1"/>
  <c r="I596" i="1"/>
  <c r="I584" i="1"/>
  <c r="I620" i="1"/>
  <c r="I608" i="1"/>
  <c r="C1504" i="1"/>
  <c r="H1504" i="1"/>
  <c r="C404" i="49"/>
  <c r="G404" i="49" s="1"/>
  <c r="S2210" i="1"/>
  <c r="U1720" i="1"/>
  <c r="T703" i="1"/>
  <c r="T1721" i="1"/>
  <c r="H1726" i="1"/>
  <c r="G1728" i="1"/>
  <c r="H1731" i="1"/>
  <c r="H1535" i="1"/>
  <c r="T1536" i="1"/>
  <c r="G1727" i="1"/>
  <c r="U1730" i="1"/>
  <c r="H1759" i="1"/>
  <c r="S1539" i="1"/>
  <c r="U1726" i="1"/>
  <c r="U1732" i="1"/>
  <c r="U1735" i="1"/>
  <c r="T1730" i="1"/>
  <c r="H2193" i="1"/>
  <c r="T1534" i="1"/>
  <c r="T1539" i="1"/>
  <c r="G2211" i="1"/>
  <c r="G2189" i="1"/>
  <c r="O612" i="1"/>
  <c r="G2182" i="1"/>
  <c r="C91" i="18"/>
  <c r="G1811" i="1" s="1"/>
  <c r="C1268" i="1"/>
  <c r="H1444" i="1"/>
  <c r="G1618" i="1"/>
  <c r="AK40" i="63"/>
  <c r="AG40" i="63"/>
  <c r="M40" i="63"/>
  <c r="G77" i="49" s="1"/>
  <c r="A77" i="49" s="1"/>
  <c r="G1881" i="1"/>
  <c r="G1884" i="1" s="1"/>
  <c r="G2180" i="1"/>
  <c r="G1597" i="1"/>
  <c r="G1606" i="1"/>
  <c r="J1219" i="1"/>
  <c r="N1154" i="1"/>
  <c r="G1920" i="1"/>
  <c r="G1967" i="1"/>
  <c r="G2243" i="1"/>
  <c r="M300" i="1"/>
  <c r="G1560" i="1"/>
  <c r="N89" i="1"/>
  <c r="N85" i="1"/>
  <c r="N90" i="1"/>
  <c r="M2051" i="1"/>
  <c r="H2051" i="1"/>
  <c r="S2051" i="1"/>
  <c r="T2051" i="1"/>
  <c r="U2051" i="1"/>
  <c r="M2092" i="1"/>
  <c r="U2092" i="1"/>
  <c r="T2092" i="1"/>
  <c r="H2092" i="1"/>
  <c r="M2084" i="1"/>
  <c r="S2084" i="1"/>
  <c r="U2084" i="1"/>
  <c r="H2084" i="1"/>
  <c r="T2084" i="1"/>
  <c r="M2039" i="1"/>
  <c r="S2039" i="1"/>
  <c r="H2039" i="1"/>
  <c r="U2039" i="1"/>
  <c r="T2039" i="1"/>
  <c r="N115" i="1"/>
  <c r="N116" i="1"/>
  <c r="M2088" i="1"/>
  <c r="T2088" i="1"/>
  <c r="S2088" i="1"/>
  <c r="H2088" i="1"/>
  <c r="U2088" i="1"/>
  <c r="S2106" i="1"/>
  <c r="T2106" i="1"/>
  <c r="S2103" i="1"/>
  <c r="T2103" i="1"/>
  <c r="T2062" i="1"/>
  <c r="U2072" i="1"/>
  <c r="S2052" i="1"/>
  <c r="T2060" i="1"/>
  <c r="U2052" i="1"/>
  <c r="T2072" i="1"/>
  <c r="T1518" i="1"/>
  <c r="C1335" i="1"/>
  <c r="S200" i="1"/>
  <c r="G2117" i="1"/>
  <c r="G2098" i="1"/>
  <c r="C2098" i="1" s="1"/>
  <c r="G2082" i="1"/>
  <c r="G2041" i="1"/>
  <c r="C2041" i="1" s="1"/>
  <c r="G2043" i="1"/>
  <c r="C2043" i="1" s="1"/>
  <c r="G2045" i="1"/>
  <c r="C2045" i="1" s="1"/>
  <c r="G2053" i="1"/>
  <c r="C2053" i="1" s="1"/>
  <c r="G2055" i="1"/>
  <c r="C2055" i="1" s="1"/>
  <c r="G2057" i="1"/>
  <c r="C2057" i="1" s="1"/>
  <c r="G2063" i="1"/>
  <c r="C2063" i="1" s="1"/>
  <c r="G2099" i="1"/>
  <c r="C2099" i="1" s="1"/>
  <c r="N1198" i="1"/>
  <c r="N888" i="1"/>
  <c r="N883" i="1"/>
  <c r="N886" i="1"/>
  <c r="N889" i="1"/>
  <c r="N192" i="1"/>
  <c r="N191" i="1"/>
  <c r="N193" i="1"/>
  <c r="T2169" i="1"/>
  <c r="S2169" i="1"/>
  <c r="N1094" i="1"/>
  <c r="M237" i="1"/>
  <c r="N475" i="1"/>
  <c r="N613" i="1"/>
  <c r="M140" i="1"/>
  <c r="M253" i="1"/>
  <c r="N602" i="1"/>
  <c r="N601" i="1"/>
  <c r="N603" i="1"/>
  <c r="M357" i="1"/>
  <c r="M350" i="1"/>
  <c r="M352" i="1"/>
  <c r="M349" i="1"/>
  <c r="M45" i="1"/>
  <c r="M43" i="1"/>
  <c r="M326" i="1"/>
  <c r="M330" i="1"/>
  <c r="M247" i="1"/>
  <c r="M245" i="1"/>
  <c r="M246" i="1"/>
  <c r="M136" i="1"/>
  <c r="M137" i="1"/>
  <c r="M69" i="1"/>
  <c r="M71" i="1"/>
  <c r="M64" i="1"/>
  <c r="M18" i="1"/>
  <c r="M19" i="1"/>
  <c r="M342" i="1"/>
  <c r="M341" i="1"/>
  <c r="M60" i="1"/>
  <c r="M61" i="1"/>
  <c r="M177" i="1"/>
  <c r="M175" i="1"/>
  <c r="M76" i="1"/>
  <c r="M77" i="1"/>
  <c r="N1120" i="1"/>
  <c r="N1116" i="1"/>
  <c r="N1113" i="1"/>
  <c r="N1091" i="1"/>
  <c r="N1092" i="1"/>
  <c r="N1097" i="1"/>
  <c r="N1089" i="1"/>
  <c r="N433" i="1"/>
  <c r="N431" i="1"/>
  <c r="N428" i="1"/>
  <c r="N326" i="1"/>
  <c r="N330" i="1"/>
  <c r="N432" i="1"/>
  <c r="N38" i="1"/>
  <c r="N43" i="1"/>
  <c r="N434" i="1"/>
  <c r="N965" i="1"/>
  <c r="N939" i="1"/>
  <c r="N1007" i="1"/>
  <c r="N870" i="1"/>
  <c r="N1066" i="1"/>
  <c r="N1060" i="1"/>
  <c r="N400" i="1"/>
  <c r="N320" i="1"/>
  <c r="N959" i="1"/>
  <c r="N963" i="1"/>
  <c r="N401" i="1"/>
  <c r="N398" i="1"/>
  <c r="N402" i="1"/>
  <c r="N346" i="1"/>
  <c r="N345" i="1"/>
  <c r="N269" i="1"/>
  <c r="N268" i="1"/>
  <c r="N168" i="1"/>
  <c r="N164" i="1"/>
  <c r="N167" i="1"/>
  <c r="N172" i="1"/>
  <c r="N559" i="1"/>
  <c r="N557" i="1"/>
  <c r="N558" i="1"/>
  <c r="N542" i="1"/>
  <c r="N546" i="1"/>
  <c r="N938" i="1"/>
  <c r="N936" i="1"/>
  <c r="N935" i="1"/>
  <c r="N934" i="1"/>
  <c r="N1067" i="1"/>
  <c r="N1064" i="1"/>
  <c r="N1061" i="1"/>
  <c r="N1068" i="1"/>
  <c r="N1065" i="1"/>
  <c r="N1009" i="1"/>
  <c r="N1013" i="1"/>
  <c r="N1015" i="1"/>
  <c r="N1008" i="1"/>
  <c r="N1011" i="1"/>
  <c r="N990" i="1"/>
  <c r="N982" i="1"/>
  <c r="N419" i="1"/>
  <c r="N422" i="1"/>
  <c r="N372" i="1"/>
  <c r="N369" i="1"/>
  <c r="N370" i="1"/>
  <c r="N323" i="1"/>
  <c r="N317" i="1"/>
  <c r="N229" i="1"/>
  <c r="N228" i="1"/>
  <c r="N1122" i="1"/>
  <c r="N1123" i="1"/>
  <c r="N1130" i="1"/>
  <c r="N1124" i="1"/>
  <c r="N22" i="1"/>
  <c r="H2169" i="1"/>
  <c r="U2169" i="1"/>
  <c r="N1171" i="1"/>
  <c r="G1918" i="1"/>
  <c r="N455" i="1"/>
  <c r="G1941" i="1"/>
  <c r="G1951" i="1"/>
  <c r="G1910" i="1"/>
  <c r="G1923" i="1"/>
  <c r="G1925" i="1"/>
  <c r="G1933" i="1"/>
  <c r="G1939" i="1"/>
  <c r="G1954" i="1"/>
  <c r="G1958" i="1"/>
  <c r="G1960" i="1"/>
  <c r="G1924" i="1"/>
  <c r="G1928" i="1"/>
  <c r="G1934" i="1"/>
  <c r="N449" i="1"/>
  <c r="G1961" i="1"/>
  <c r="G1965" i="1"/>
  <c r="C1005" i="23"/>
  <c r="G1067" i="23"/>
  <c r="H1957" i="1"/>
  <c r="C1957" i="1"/>
  <c r="S1957" i="1"/>
  <c r="T1957" i="1"/>
  <c r="N1957" i="1"/>
  <c r="U1957" i="1"/>
  <c r="C1973" i="1"/>
  <c r="T1973" i="1"/>
  <c r="N1973" i="1"/>
  <c r="H1973" i="1"/>
  <c r="U1973" i="1"/>
  <c r="S1973" i="1"/>
  <c r="S1937" i="1"/>
  <c r="C1937" i="1"/>
  <c r="H1937" i="1"/>
  <c r="N1937" i="1"/>
  <c r="T1937" i="1"/>
  <c r="U1937" i="1"/>
  <c r="C637" i="49"/>
  <c r="G637" i="49" s="1"/>
  <c r="G633" i="49"/>
  <c r="G645" i="49"/>
  <c r="N1988" i="1"/>
  <c r="T1988" i="1"/>
  <c r="H1988" i="1"/>
  <c r="U1988" i="1"/>
  <c r="S1988" i="1"/>
  <c r="G1046" i="23"/>
  <c r="G1050" i="23"/>
  <c r="H1977" i="1"/>
  <c r="S1977" i="1"/>
  <c r="C1977" i="1"/>
  <c r="U1977" i="1"/>
  <c r="T1977" i="1"/>
  <c r="N1977" i="1"/>
  <c r="S1964" i="1"/>
  <c r="T1964" i="1"/>
  <c r="H1964" i="1"/>
  <c r="U1964" i="1"/>
  <c r="N1964" i="1"/>
  <c r="C1921" i="1"/>
  <c r="G2019" i="1"/>
  <c r="T1921" i="1"/>
  <c r="H1921" i="1"/>
  <c r="N1921" i="1"/>
  <c r="S1921" i="1"/>
  <c r="U1921" i="1"/>
  <c r="M2060" i="1"/>
  <c r="U2060" i="1"/>
  <c r="M2076" i="1"/>
  <c r="S2076" i="1"/>
  <c r="J2240" i="1"/>
  <c r="H2240" i="1"/>
  <c r="AD67" i="2" s="1"/>
  <c r="G2181" i="1"/>
  <c r="L407" i="49"/>
  <c r="A407" i="49"/>
  <c r="N407" i="49"/>
  <c r="O407" i="49"/>
  <c r="O575" i="49"/>
  <c r="M2075" i="1"/>
  <c r="T2075" i="1"/>
  <c r="M2089" i="1"/>
  <c r="G310" i="49"/>
  <c r="G309" i="49"/>
  <c r="N305" i="49"/>
  <c r="G306" i="49"/>
  <c r="G2155" i="1"/>
  <c r="C2155" i="1" s="1"/>
  <c r="C1966" i="1"/>
  <c r="H1966" i="1"/>
  <c r="N1940" i="1"/>
  <c r="S1940" i="1"/>
  <c r="S1932" i="1"/>
  <c r="C1932" i="1"/>
  <c r="U1932" i="1"/>
  <c r="L416" i="49"/>
  <c r="M416" i="49"/>
  <c r="O416" i="49"/>
  <c r="A606" i="49"/>
  <c r="A607" i="49" s="1"/>
  <c r="G610" i="49"/>
  <c r="L606" i="49"/>
  <c r="G612" i="49"/>
  <c r="G611" i="49"/>
  <c r="S1971" i="1"/>
  <c r="S2092" i="1"/>
  <c r="G277" i="49"/>
  <c r="G278" i="49" s="1"/>
  <c r="A275" i="49"/>
  <c r="A276" i="49" s="1"/>
  <c r="M314" i="49"/>
  <c r="A314" i="49"/>
  <c r="A315" i="49" s="1"/>
  <c r="G316" i="49"/>
  <c r="T2052" i="1"/>
  <c r="H2103" i="1"/>
  <c r="G2166" i="1"/>
  <c r="C2166" i="1" s="1"/>
  <c r="O73" i="49"/>
  <c r="G214" i="49"/>
  <c r="A214" i="49" s="1"/>
  <c r="N211" i="49"/>
  <c r="G215" i="49"/>
  <c r="A215" i="49" s="1"/>
  <c r="G216" i="49"/>
  <c r="A216" i="49" s="1"/>
  <c r="G498" i="49"/>
  <c r="M490" i="49"/>
  <c r="G496" i="49"/>
  <c r="G494" i="49"/>
  <c r="C490" i="49"/>
  <c r="G497" i="49"/>
  <c r="G488" i="49"/>
  <c r="G348" i="49"/>
  <c r="M23" i="49"/>
  <c r="M192" i="49"/>
  <c r="S1373" i="1"/>
  <c r="H2253" i="1"/>
  <c r="AC66" i="2" s="1"/>
  <c r="G1848" i="1"/>
  <c r="U1505" i="1"/>
  <c r="C1516" i="1"/>
  <c r="J1504" i="1"/>
  <c r="U1373" i="1"/>
  <c r="I2258" i="1"/>
  <c r="G1829" i="1"/>
  <c r="S1504" i="1"/>
  <c r="C1518" i="1"/>
  <c r="O41" i="49"/>
  <c r="T2253" i="1"/>
  <c r="C2258" i="1"/>
  <c r="C1373" i="1"/>
  <c r="G296" i="49"/>
  <c r="M571" i="49"/>
  <c r="G436" i="49"/>
  <c r="K1418" i="1"/>
  <c r="K1107" i="23"/>
  <c r="G421" i="49"/>
  <c r="G2018" i="1"/>
  <c r="G1922" i="1"/>
  <c r="G1931" i="1"/>
  <c r="G1935" i="1"/>
  <c r="G1946" i="1"/>
  <c r="G1968" i="1"/>
  <c r="G1527" i="1"/>
  <c r="G1540" i="1"/>
  <c r="G1546" i="1" s="1"/>
  <c r="G1594" i="1"/>
  <c r="D21" i="77"/>
  <c r="M522" i="1"/>
  <c r="G2066" i="1"/>
  <c r="C2066" i="1" s="1"/>
  <c r="D18" i="77"/>
  <c r="G2074" i="1"/>
  <c r="C2074" i="1" s="1"/>
  <c r="G2065" i="1"/>
  <c r="C2065" i="1" s="1"/>
  <c r="G2096" i="1"/>
  <c r="C2096" i="1" s="1"/>
  <c r="G2085" i="1"/>
  <c r="M290" i="1"/>
  <c r="M480" i="1"/>
  <c r="G2042" i="1"/>
  <c r="C2042" i="1" s="1"/>
  <c r="G2044" i="1"/>
  <c r="C2044" i="1" s="1"/>
  <c r="G2054" i="1"/>
  <c r="C2054" i="1" s="1"/>
  <c r="G2058" i="1"/>
  <c r="C2058" i="1" s="1"/>
  <c r="G2070" i="1"/>
  <c r="C2070" i="1" s="1"/>
  <c r="G2078" i="1"/>
  <c r="G2090" i="1"/>
  <c r="G2100" i="1"/>
  <c r="C2100" i="1" s="1"/>
  <c r="G2080" i="1"/>
  <c r="G2102" i="1"/>
  <c r="G704" i="49" l="1"/>
  <c r="A704" i="49" s="1"/>
  <c r="T2207" i="1"/>
  <c r="T2188" i="1"/>
  <c r="M110" i="49"/>
  <c r="L501" i="49"/>
  <c r="F3093" i="23"/>
  <c r="G1828" i="1"/>
  <c r="S1828" i="1" s="1"/>
  <c r="H1827" i="1"/>
  <c r="L1827" i="1" s="1"/>
  <c r="K2793" i="23"/>
  <c r="S2286" i="1"/>
  <c r="U138" i="1"/>
  <c r="S537" i="1"/>
  <c r="G3403" i="23"/>
  <c r="G2648" i="23"/>
  <c r="G2649" i="23"/>
  <c r="J3088" i="23"/>
  <c r="H1830" i="1"/>
  <c r="L1830" i="1" s="1"/>
  <c r="T2286" i="1"/>
  <c r="K2286" i="1"/>
  <c r="U2286" i="1"/>
  <c r="H2286" i="1"/>
  <c r="I634" i="1"/>
  <c r="I2061" i="23"/>
  <c r="M2061" i="23" s="1"/>
  <c r="G2634" i="23"/>
  <c r="O2634" i="23" s="1"/>
  <c r="G2636" i="23"/>
  <c r="G2298" i="1"/>
  <c r="C2298" i="1" s="1"/>
  <c r="C2278" i="1"/>
  <c r="I1151" i="1"/>
  <c r="T2285" i="1"/>
  <c r="T2291" i="1"/>
  <c r="H2290" i="1"/>
  <c r="K2280" i="1"/>
  <c r="H2284" i="1"/>
  <c r="K2287" i="1"/>
  <c r="H2297" i="1"/>
  <c r="U2296" i="1"/>
  <c r="K2299" i="1"/>
  <c r="K2278" i="1"/>
  <c r="T2288" i="1"/>
  <c r="T2294" i="1"/>
  <c r="S2300" i="1"/>
  <c r="H2279" i="1"/>
  <c r="U2289" i="1"/>
  <c r="T2282" i="1"/>
  <c r="T2281" i="1"/>
  <c r="T1830" i="1"/>
  <c r="U537" i="1"/>
  <c r="U531" i="1" s="1"/>
  <c r="O537" i="1"/>
  <c r="U529" i="1"/>
  <c r="U522" i="1" s="1"/>
  <c r="G2740" i="23"/>
  <c r="O2740" i="23" s="1"/>
  <c r="G1232" i="23"/>
  <c r="G1282" i="23"/>
  <c r="G2665" i="23"/>
  <c r="T634" i="1"/>
  <c r="T300" i="1"/>
  <c r="G2759" i="23"/>
  <c r="A2759" i="23" s="1"/>
  <c r="G2755" i="23"/>
  <c r="G2753" i="23"/>
  <c r="A2753" i="23" s="1"/>
  <c r="G2751" i="23"/>
  <c r="A2751" i="23" s="1"/>
  <c r="G2749" i="23"/>
  <c r="A2749" i="23" s="1"/>
  <c r="G2756" i="23"/>
  <c r="A2756" i="23" s="1"/>
  <c r="G2754" i="23"/>
  <c r="A2754" i="23" s="1"/>
  <c r="G2752" i="23"/>
  <c r="U1546" i="1"/>
  <c r="T1546" i="1"/>
  <c r="J1546" i="1"/>
  <c r="H1546" i="1"/>
  <c r="S1546" i="1"/>
  <c r="U1618" i="1"/>
  <c r="G1622" i="1"/>
  <c r="U1622" i="1" s="1"/>
  <c r="G2662" i="23"/>
  <c r="A2662" i="23" s="1"/>
  <c r="G2659" i="23"/>
  <c r="U309" i="1"/>
  <c r="U308" i="1" s="1"/>
  <c r="U305" i="1" s="1"/>
  <c r="U304" i="1" s="1"/>
  <c r="U303" i="1" s="1"/>
  <c r="U302" i="1" s="1"/>
  <c r="U301" i="1" s="1"/>
  <c r="U300" i="1" s="1"/>
  <c r="G2758" i="23"/>
  <c r="G2762" i="23"/>
  <c r="G2757" i="23"/>
  <c r="O2603" i="23"/>
  <c r="G2736" i="23"/>
  <c r="A2736" i="23" s="1"/>
  <c r="G1106" i="23"/>
  <c r="N2401" i="23"/>
  <c r="G1518" i="23"/>
  <c r="A1184" i="23"/>
  <c r="A1185" i="23" s="1"/>
  <c r="F1512" i="23"/>
  <c r="D1228" i="23"/>
  <c r="G3143" i="23"/>
  <c r="G2708" i="23"/>
  <c r="H3239" i="23"/>
  <c r="D2243" i="23"/>
  <c r="G1189" i="23"/>
  <c r="N1189" i="23" s="1"/>
  <c r="H3240" i="23"/>
  <c r="O1105" i="23"/>
  <c r="N1105" i="23"/>
  <c r="G664" i="23"/>
  <c r="G1143" i="23"/>
  <c r="M1143" i="23" s="1"/>
  <c r="G1160" i="23"/>
  <c r="G1164" i="23" s="1"/>
  <c r="A1512" i="23"/>
  <c r="A2401" i="23"/>
  <c r="L2634" i="23"/>
  <c r="G808" i="23"/>
  <c r="G1585" i="23"/>
  <c r="G1608" i="23" s="1"/>
  <c r="G1517" i="23"/>
  <c r="K2243" i="23"/>
  <c r="K1228" i="23"/>
  <c r="F2932" i="23"/>
  <c r="J3084" i="23"/>
  <c r="N3084" i="23" s="1"/>
  <c r="D3088" i="23"/>
  <c r="G1516" i="23"/>
  <c r="M1516" i="23" s="1"/>
  <c r="G1515" i="23"/>
  <c r="N1515" i="23" s="1"/>
  <c r="M1511" i="23"/>
  <c r="C1105" i="23"/>
  <c r="H2793" i="23"/>
  <c r="E3084" i="23"/>
  <c r="G1191" i="23"/>
  <c r="N1191" i="23" s="1"/>
  <c r="G1111" i="23"/>
  <c r="N1111" i="23" s="1"/>
  <c r="K1512" i="23"/>
  <c r="O1512" i="23" s="1"/>
  <c r="L1105" i="23"/>
  <c r="O2646" i="23"/>
  <c r="M2638" i="23"/>
  <c r="G2632" i="23"/>
  <c r="G2633" i="23" s="1"/>
  <c r="A2633" i="23" s="1"/>
  <c r="E37" i="23"/>
  <c r="G1190" i="23"/>
  <c r="M1190" i="23" s="1"/>
  <c r="G1154" i="23"/>
  <c r="G1156" i="23" s="1"/>
  <c r="M661" i="23"/>
  <c r="A661" i="23"/>
  <c r="G670" i="23"/>
  <c r="G722" i="23" s="1"/>
  <c r="G1110" i="23"/>
  <c r="G1115" i="23"/>
  <c r="G1202" i="23"/>
  <c r="G1207" i="23" s="1"/>
  <c r="G1187" i="23"/>
  <c r="N1187" i="23" s="1"/>
  <c r="G1192" i="23"/>
  <c r="G1193" i="23" s="1"/>
  <c r="A1193" i="23" s="1"/>
  <c r="L2401" i="23"/>
  <c r="C1511" i="23"/>
  <c r="C1512" i="23" s="1"/>
  <c r="C1513" i="23" s="1"/>
  <c r="A1506" i="23"/>
  <c r="A1520" i="23" s="1"/>
  <c r="A1511" i="23"/>
  <c r="G1521" i="23"/>
  <c r="G1525" i="23"/>
  <c r="C1525" i="23" s="1"/>
  <c r="G1188" i="23"/>
  <c r="O1188" i="23" s="1"/>
  <c r="H1512" i="23"/>
  <c r="L1512" i="23" s="1"/>
  <c r="D1512" i="23"/>
  <c r="B17" i="2"/>
  <c r="D17" i="2" s="1"/>
  <c r="E2937" i="23"/>
  <c r="F2793" i="23"/>
  <c r="F3092" i="23"/>
  <c r="H3088" i="23"/>
  <c r="I3092" i="23"/>
  <c r="K3084" i="23"/>
  <c r="O3084" i="23" s="1"/>
  <c r="G1539" i="23"/>
  <c r="G1545" i="23" s="1"/>
  <c r="O1545" i="23" s="1"/>
  <c r="E748" i="23"/>
  <c r="G1566" i="23"/>
  <c r="G1574" i="23" s="1"/>
  <c r="M1574" i="23" s="1"/>
  <c r="O804" i="23"/>
  <c r="G1590" i="23"/>
  <c r="G1596" i="23" s="1"/>
  <c r="M1596" i="23" s="1"/>
  <c r="G1549" i="23"/>
  <c r="G1551" i="23" s="1"/>
  <c r="A1551" i="23" s="1"/>
  <c r="A1105" i="23"/>
  <c r="A1104" i="23" s="1"/>
  <c r="G1109" i="23"/>
  <c r="O1109" i="23" s="1"/>
  <c r="E302" i="23"/>
  <c r="G1112" i="23"/>
  <c r="A1112" i="23" s="1"/>
  <c r="I1512" i="23"/>
  <c r="M1512" i="23" s="1"/>
  <c r="J302" i="23"/>
  <c r="F302" i="23"/>
  <c r="H302" i="23"/>
  <c r="A2737" i="23"/>
  <c r="A2739" i="23" s="1"/>
  <c r="A2746" i="23"/>
  <c r="A2748" i="23" s="1"/>
  <c r="O1186" i="23"/>
  <c r="O93" i="23"/>
  <c r="H1230" i="23"/>
  <c r="B20" i="2"/>
  <c r="E3088" i="23"/>
  <c r="K3088" i="23"/>
  <c r="F3088" i="23"/>
  <c r="D3092" i="23"/>
  <c r="J3092" i="23"/>
  <c r="E3092" i="23"/>
  <c r="G3467" i="23"/>
  <c r="O3467" i="23" s="1"/>
  <c r="E3239" i="23"/>
  <c r="F37" i="23"/>
  <c r="C122" i="23"/>
  <c r="C123" i="23" s="1"/>
  <c r="G2435" i="23"/>
  <c r="O2435" i="23" s="1"/>
  <c r="E1512" i="23"/>
  <c r="E2793" i="23"/>
  <c r="N2433" i="23"/>
  <c r="J1009" i="23"/>
  <c r="N1009" i="23" s="1"/>
  <c r="A2392" i="23"/>
  <c r="G2394" i="23"/>
  <c r="A2394" i="23" s="1"/>
  <c r="N2474" i="23"/>
  <c r="G2477" i="23"/>
  <c r="N2477" i="23" s="1"/>
  <c r="A2440" i="23"/>
  <c r="A2441" i="23" s="1"/>
  <c r="A2400" i="23"/>
  <c r="L2400" i="23"/>
  <c r="M2400" i="23"/>
  <c r="N2400" i="23"/>
  <c r="O2400" i="23"/>
  <c r="G2547" i="23"/>
  <c r="N2547" i="23" s="1"/>
  <c r="G2431" i="23"/>
  <c r="N2431" i="23" s="1"/>
  <c r="G2534" i="23"/>
  <c r="A2534" i="23" s="1"/>
  <c r="G2533" i="23"/>
  <c r="N2533" i="23" s="1"/>
  <c r="G2479" i="23"/>
  <c r="L2479" i="23" s="1"/>
  <c r="G2481" i="23"/>
  <c r="N2481" i="23" s="1"/>
  <c r="K2391" i="23"/>
  <c r="O2391" i="23" s="1"/>
  <c r="E2391" i="23"/>
  <c r="A93" i="23"/>
  <c r="A94" i="23" s="1"/>
  <c r="L2398" i="23"/>
  <c r="G107" i="23"/>
  <c r="N933" i="23"/>
  <c r="C21" i="49"/>
  <c r="L18" i="49"/>
  <c r="L29" i="49" s="1"/>
  <c r="G96" i="23"/>
  <c r="G97" i="23"/>
  <c r="A97" i="23" s="1"/>
  <c r="N1039" i="23"/>
  <c r="G104" i="23"/>
  <c r="A104" i="23" s="1"/>
  <c r="G700" i="49"/>
  <c r="L700" i="49" s="1"/>
  <c r="C26" i="49"/>
  <c r="C23" i="49"/>
  <c r="O404" i="23"/>
  <c r="L2487" i="23"/>
  <c r="C22" i="49"/>
  <c r="G110" i="23"/>
  <c r="M110" i="23" s="1"/>
  <c r="G2406" i="23"/>
  <c r="N2406" i="23" s="1"/>
  <c r="L383" i="49"/>
  <c r="N109" i="49"/>
  <c r="K3093" i="23"/>
  <c r="F1230" i="23"/>
  <c r="A404" i="23"/>
  <c r="A405" i="23" s="1"/>
  <c r="A2399" i="23"/>
  <c r="L2399" i="23"/>
  <c r="H3093" i="23"/>
  <c r="F2391" i="23"/>
  <c r="J2796" i="23"/>
  <c r="D1513" i="23"/>
  <c r="I2393" i="23"/>
  <c r="B21" i="2"/>
  <c r="E3244" i="23"/>
  <c r="C2405" i="23"/>
  <c r="F3087" i="23"/>
  <c r="H3087" i="23"/>
  <c r="D3087" i="23"/>
  <c r="M804" i="23"/>
  <c r="H2936" i="23"/>
  <c r="O122" i="23"/>
  <c r="C25" i="49"/>
  <c r="C24" i="49"/>
  <c r="O34" i="49"/>
  <c r="C20" i="49"/>
  <c r="G486" i="49"/>
  <c r="M480" i="49"/>
  <c r="G1404" i="23"/>
  <c r="A1404" i="23" s="1"/>
  <c r="M1059" i="23"/>
  <c r="M1039" i="23"/>
  <c r="M66" i="49"/>
  <c r="A478" i="23"/>
  <c r="G297" i="49"/>
  <c r="A690" i="49"/>
  <c r="L208" i="49"/>
  <c r="G406" i="23"/>
  <c r="N406" i="23" s="1"/>
  <c r="G409" i="23"/>
  <c r="C392" i="23"/>
  <c r="C393" i="23" s="1"/>
  <c r="M2399" i="23"/>
  <c r="O2399" i="23"/>
  <c r="N804" i="23"/>
  <c r="L804" i="23"/>
  <c r="A2405" i="23"/>
  <c r="L404" i="23"/>
  <c r="G815" i="23"/>
  <c r="G807" i="23"/>
  <c r="A807" i="23" s="1"/>
  <c r="M90" i="49"/>
  <c r="N690" i="49"/>
  <c r="N95" i="49"/>
  <c r="G243" i="49"/>
  <c r="A243" i="49" s="1"/>
  <c r="A1642" i="23"/>
  <c r="A1643" i="23"/>
  <c r="G1685" i="23"/>
  <c r="N1685" i="23" s="1"/>
  <c r="A1680" i="23"/>
  <c r="A1681" i="23" s="1"/>
  <c r="G1822" i="23"/>
  <c r="A1641" i="23"/>
  <c r="O95" i="49"/>
  <c r="L477" i="49"/>
  <c r="G485" i="49"/>
  <c r="L66" i="49"/>
  <c r="O499" i="49"/>
  <c r="M499" i="49"/>
  <c r="M526" i="49"/>
  <c r="O109" i="49"/>
  <c r="M652" i="49"/>
  <c r="N383" i="49"/>
  <c r="A383" i="49"/>
  <c r="M459" i="49"/>
  <c r="O690" i="49"/>
  <c r="L690" i="49"/>
  <c r="M208" i="49"/>
  <c r="O66" i="49"/>
  <c r="L480" i="49"/>
  <c r="O320" i="49"/>
  <c r="O213" i="49"/>
  <c r="O208" i="49"/>
  <c r="L109" i="49"/>
  <c r="N213" i="49"/>
  <c r="O383" i="49"/>
  <c r="N415" i="49"/>
  <c r="O415" i="49"/>
  <c r="U751" i="1"/>
  <c r="M1673" i="23"/>
  <c r="H1634" i="23"/>
  <c r="J1634" i="23"/>
  <c r="I1634" i="23"/>
  <c r="M1634" i="23" s="1"/>
  <c r="L95" i="49"/>
  <c r="A95" i="49"/>
  <c r="A196" i="49"/>
  <c r="L196" i="49"/>
  <c r="M196" i="49"/>
  <c r="G1749" i="23"/>
  <c r="O1749" i="23" s="1"/>
  <c r="A1636" i="23"/>
  <c r="A1634" i="23"/>
  <c r="M195" i="49"/>
  <c r="A195" i="49"/>
  <c r="O194" i="49"/>
  <c r="A194" i="49"/>
  <c r="L80" i="49"/>
  <c r="A80" i="49"/>
  <c r="M219" i="49"/>
  <c r="A219" i="49"/>
  <c r="N74" i="49"/>
  <c r="A74" i="49"/>
  <c r="L94" i="49"/>
  <c r="A94" i="49"/>
  <c r="O207" i="49"/>
  <c r="A207" i="49"/>
  <c r="O255" i="49"/>
  <c r="A255" i="49"/>
  <c r="G111" i="49"/>
  <c r="M111" i="49" s="1"/>
  <c r="A105" i="49"/>
  <c r="L75" i="49"/>
  <c r="A75" i="49"/>
  <c r="G107" i="49"/>
  <c r="L107" i="49" s="1"/>
  <c r="A106" i="49"/>
  <c r="G261" i="49"/>
  <c r="L261" i="49" s="1"/>
  <c r="A256" i="49"/>
  <c r="I595" i="1"/>
  <c r="I594" i="1"/>
  <c r="I593" i="1"/>
  <c r="N110" i="49"/>
  <c r="G716" i="49"/>
  <c r="G722" i="49"/>
  <c r="L495" i="49"/>
  <c r="M2662" i="23"/>
  <c r="U671" i="1"/>
  <c r="M608" i="49"/>
  <c r="N704" i="49"/>
  <c r="A608" i="49"/>
  <c r="N608" i="49"/>
  <c r="N579" i="49"/>
  <c r="M256" i="49"/>
  <c r="G3239" i="23"/>
  <c r="G715" i="49"/>
  <c r="O715" i="49" s="1"/>
  <c r="L89" i="49"/>
  <c r="A583" i="23"/>
  <c r="U135" i="1"/>
  <c r="M105" i="49"/>
  <c r="A552" i="49"/>
  <c r="M255" i="49"/>
  <c r="N525" i="49"/>
  <c r="G3237" i="23"/>
  <c r="O3237" i="23" s="1"/>
  <c r="L709" i="49"/>
  <c r="N392" i="49"/>
  <c r="M1364" i="23"/>
  <c r="L473" i="49"/>
  <c r="G1335" i="23"/>
  <c r="G1337" i="23" s="1"/>
  <c r="A1337" i="23" s="1"/>
  <c r="N256" i="49"/>
  <c r="O393" i="49"/>
  <c r="C1226" i="23"/>
  <c r="N88" i="49"/>
  <c r="L104" i="49"/>
  <c r="A709" i="49"/>
  <c r="A710" i="49" s="1"/>
  <c r="D3240" i="23"/>
  <c r="D748" i="23"/>
  <c r="J1513" i="23"/>
  <c r="N1513" i="23" s="1"/>
  <c r="A901" i="23"/>
  <c r="A903" i="23" s="1"/>
  <c r="A904" i="23" s="1"/>
  <c r="A905" i="23" s="1"/>
  <c r="A906" i="23" s="1"/>
  <c r="L3270" i="23"/>
  <c r="H1513" i="23"/>
  <c r="L1513" i="23" s="1"/>
  <c r="D2935" i="23"/>
  <c r="G2966" i="23"/>
  <c r="G2969" i="23" s="1"/>
  <c r="A2969" i="23" s="1"/>
  <c r="F748" i="23"/>
  <c r="N446" i="23"/>
  <c r="H2932" i="23"/>
  <c r="L2932" i="23" s="1"/>
  <c r="I1513" i="23"/>
  <c r="M1513" i="23" s="1"/>
  <c r="E2932" i="23"/>
  <c r="G2934" i="23"/>
  <c r="A2934" i="23" s="1"/>
  <c r="K748" i="23"/>
  <c r="J2932" i="23"/>
  <c r="N2932" i="23" s="1"/>
  <c r="A907" i="23"/>
  <c r="A501" i="49"/>
  <c r="G1336" i="23"/>
  <c r="G1338" i="23" s="1"/>
  <c r="A1338" i="23" s="1"/>
  <c r="M94" i="49"/>
  <c r="L256" i="49"/>
  <c r="A567" i="49"/>
  <c r="A392" i="49"/>
  <c r="G1235" i="23"/>
  <c r="M1235" i="23" s="1"/>
  <c r="N255" i="49"/>
  <c r="A360" i="49"/>
  <c r="G3242" i="23"/>
  <c r="O3242" i="23" s="1"/>
  <c r="G3246" i="23"/>
  <c r="C3236" i="23"/>
  <c r="G466" i="23"/>
  <c r="G3273" i="23"/>
  <c r="L3273" i="23" s="1"/>
  <c r="L105" i="49"/>
  <c r="N567" i="49"/>
  <c r="M327" i="49"/>
  <c r="O327" i="49"/>
  <c r="N393" i="49"/>
  <c r="L393" i="49"/>
  <c r="G720" i="49"/>
  <c r="L720" i="49" s="1"/>
  <c r="A568" i="49"/>
  <c r="O2457" i="23"/>
  <c r="N18" i="49"/>
  <c r="N29" i="49" s="1"/>
  <c r="G573" i="49"/>
  <c r="O573" i="49" s="1"/>
  <c r="G1333" i="23"/>
  <c r="L1333" i="23" s="1"/>
  <c r="O105" i="49"/>
  <c r="O256" i="49"/>
  <c r="O94" i="49"/>
  <c r="G3276" i="23"/>
  <c r="L392" i="49"/>
  <c r="G1334" i="23"/>
  <c r="A1334" i="23" s="1"/>
  <c r="M1226" i="23"/>
  <c r="G1341" i="23"/>
  <c r="N1341" i="23" s="1"/>
  <c r="M360" i="49"/>
  <c r="N3270" i="23"/>
  <c r="G3244" i="23"/>
  <c r="G3245" i="23" s="1"/>
  <c r="M3245" i="23" s="1"/>
  <c r="A3231" i="23"/>
  <c r="A3382" i="23" s="1"/>
  <c r="M3236" i="23"/>
  <c r="L255" i="49"/>
  <c r="G721" i="49"/>
  <c r="L721" i="49" s="1"/>
  <c r="O418" i="49"/>
  <c r="G3238" i="23"/>
  <c r="N3238" i="23" s="1"/>
  <c r="N568" i="49"/>
  <c r="O568" i="49"/>
  <c r="G100" i="49"/>
  <c r="M568" i="49"/>
  <c r="O392" i="49"/>
  <c r="M392" i="49"/>
  <c r="A931" i="23"/>
  <c r="G1256" i="23"/>
  <c r="G1276" i="23" s="1"/>
  <c r="G3299" i="23"/>
  <c r="G3286" i="23"/>
  <c r="L3286" i="23" s="1"/>
  <c r="O329" i="49"/>
  <c r="L327" i="49"/>
  <c r="O104" i="49"/>
  <c r="A1226" i="23"/>
  <c r="L446" i="23"/>
  <c r="N105" i="49"/>
  <c r="A2927" i="23"/>
  <c r="A3077" i="23" s="1"/>
  <c r="K3239" i="23"/>
  <c r="D3084" i="23"/>
  <c r="E2243" i="23"/>
  <c r="G1238" i="23"/>
  <c r="G1246" i="23" s="1"/>
  <c r="G1250" i="23" s="1"/>
  <c r="L1111" i="23"/>
  <c r="F125" i="23"/>
  <c r="G2430" i="23"/>
  <c r="N2430" i="23" s="1"/>
  <c r="N211" i="23"/>
  <c r="G2425" i="23"/>
  <c r="G2427" i="23"/>
  <c r="B22" i="2"/>
  <c r="D3239" i="23"/>
  <c r="I3239" i="23"/>
  <c r="H3084" i="23"/>
  <c r="L3084" i="23" s="1"/>
  <c r="G1755" i="23"/>
  <c r="D1108" i="23"/>
  <c r="H748" i="23"/>
  <c r="D2936" i="23"/>
  <c r="D2932" i="23"/>
  <c r="G1638" i="23"/>
  <c r="M1638" i="23" s="1"/>
  <c r="G1640" i="23"/>
  <c r="M1640" i="23" s="1"/>
  <c r="M694" i="49"/>
  <c r="G479" i="49"/>
  <c r="L479" i="49" s="1"/>
  <c r="G484" i="49"/>
  <c r="L1059" i="23"/>
  <c r="A3442" i="23"/>
  <c r="A3443" i="23" s="1"/>
  <c r="A2474" i="23"/>
  <c r="A2475" i="23" s="1"/>
  <c r="G3274" i="23"/>
  <c r="L3274" i="23" s="1"/>
  <c r="O106" i="49"/>
  <c r="G339" i="49"/>
  <c r="A339" i="49" s="1"/>
  <c r="N327" i="49"/>
  <c r="G3249" i="23"/>
  <c r="G3255" i="23" s="1"/>
  <c r="G3334" i="23"/>
  <c r="G3341" i="23" s="1"/>
  <c r="O3341" i="23" s="1"/>
  <c r="G2486" i="23"/>
  <c r="M2486" i="23" s="1"/>
  <c r="N3236" i="23"/>
  <c r="O2662" i="23"/>
  <c r="L2662" i="23"/>
  <c r="N326" i="49"/>
  <c r="A3236" i="23"/>
  <c r="G3278" i="23"/>
  <c r="N499" i="49"/>
  <c r="G3241" i="23"/>
  <c r="A3241" i="23" s="1"/>
  <c r="G331" i="49"/>
  <c r="G333" i="49"/>
  <c r="L333" i="49" s="1"/>
  <c r="O3270" i="23"/>
  <c r="M3270" i="23"/>
  <c r="G2464" i="23"/>
  <c r="N2464" i="23" s="1"/>
  <c r="L3275" i="23"/>
  <c r="A3270" i="23"/>
  <c r="A3271" i="23" s="1"/>
  <c r="O446" i="23"/>
  <c r="A446" i="23"/>
  <c r="A447" i="23" s="1"/>
  <c r="G2462" i="23"/>
  <c r="A2462" i="23" s="1"/>
  <c r="M1399" i="23"/>
  <c r="L2498" i="23"/>
  <c r="G2461" i="23"/>
  <c r="G3272" i="23"/>
  <c r="L3272" i="23" s="1"/>
  <c r="D13" i="2"/>
  <c r="M3178" i="23"/>
  <c r="O2534" i="23"/>
  <c r="G2393" i="23"/>
  <c r="L2393" i="23" s="1"/>
  <c r="G3277" i="23"/>
  <c r="N3277" i="23" s="1"/>
  <c r="O600" i="1"/>
  <c r="O602" i="1" s="1"/>
  <c r="O580" i="1"/>
  <c r="O583" i="1" s="1"/>
  <c r="T804" i="1"/>
  <c r="U2212" i="1"/>
  <c r="U2188" i="1"/>
  <c r="U1830" i="1"/>
  <c r="U1827" i="1"/>
  <c r="T1827" i="1"/>
  <c r="I603" i="1"/>
  <c r="I491" i="1"/>
  <c r="I472" i="1"/>
  <c r="I468" i="1"/>
  <c r="I469" i="1"/>
  <c r="I464" i="1"/>
  <c r="I471" i="1"/>
  <c r="I479" i="1"/>
  <c r="I473" i="1"/>
  <c r="I466" i="1"/>
  <c r="I475" i="1"/>
  <c r="I474" i="1"/>
  <c r="I470" i="1"/>
  <c r="I465" i="1"/>
  <c r="I476" i="1"/>
  <c r="I602" i="1"/>
  <c r="O74" i="49"/>
  <c r="N3158" i="23"/>
  <c r="E3093" i="23"/>
  <c r="M1658" i="23"/>
  <c r="E2595" i="23"/>
  <c r="H2595" i="23"/>
  <c r="L2595" i="23" s="1"/>
  <c r="J569" i="23"/>
  <c r="N569" i="23" s="1"/>
  <c r="O138" i="1"/>
  <c r="O141" i="1" s="1"/>
  <c r="O83" i="1"/>
  <c r="O88" i="1" s="1"/>
  <c r="I831" i="1"/>
  <c r="I835" i="1" s="1"/>
  <c r="I3089" i="23"/>
  <c r="M3089" i="23" s="1"/>
  <c r="G2828" i="23"/>
  <c r="G2830" i="23" s="1"/>
  <c r="N2830" i="23" s="1"/>
  <c r="J2391" i="23"/>
  <c r="N2391" i="23" s="1"/>
  <c r="I2595" i="23"/>
  <c r="M2595" i="23" s="1"/>
  <c r="K2595" i="23"/>
  <c r="O2595" i="23" s="1"/>
  <c r="O3406" i="23"/>
  <c r="L3406" i="23"/>
  <c r="N3406" i="23"/>
  <c r="G1403" i="23"/>
  <c r="L1403" i="23" s="1"/>
  <c r="G3445" i="23"/>
  <c r="L3445" i="23" s="1"/>
  <c r="G1401" i="23"/>
  <c r="A1401" i="23" s="1"/>
  <c r="G2459" i="23"/>
  <c r="A3402" i="23"/>
  <c r="L1658" i="23"/>
  <c r="I492" i="1"/>
  <c r="G1402" i="23"/>
  <c r="M1402" i="23" s="1"/>
  <c r="M66" i="23"/>
  <c r="L2457" i="23"/>
  <c r="N1059" i="23"/>
  <c r="I489" i="1"/>
  <c r="A1399" i="23"/>
  <c r="A1400" i="23" s="1"/>
  <c r="A2531" i="23"/>
  <c r="A2532" i="23" s="1"/>
  <c r="N1399" i="23"/>
  <c r="G2504" i="23"/>
  <c r="G2539" i="23"/>
  <c r="G80" i="23"/>
  <c r="L80" i="23" s="1"/>
  <c r="M2534" i="23"/>
  <c r="A2457" i="23"/>
  <c r="A2458" i="23" s="1"/>
  <c r="M2457" i="23"/>
  <c r="G3407" i="23"/>
  <c r="A3407" i="23" s="1"/>
  <c r="A1658" i="23"/>
  <c r="G2536" i="23"/>
  <c r="N2536" i="23" s="1"/>
  <c r="G2535" i="23"/>
  <c r="A1059" i="23"/>
  <c r="O1399" i="23"/>
  <c r="G2463" i="23"/>
  <c r="G3408" i="23"/>
  <c r="G3412" i="23" s="1"/>
  <c r="G1514" i="23"/>
  <c r="A1514" i="23" s="1"/>
  <c r="N1512" i="23"/>
  <c r="I490" i="1"/>
  <c r="I495" i="1"/>
  <c r="I494" i="1"/>
  <c r="G806" i="23"/>
  <c r="M806" i="23" s="1"/>
  <c r="I270" i="1"/>
  <c r="G851" i="23"/>
  <c r="G850" i="23"/>
  <c r="L850" i="23" s="1"/>
  <c r="G1887" i="1"/>
  <c r="T1887" i="1" s="1"/>
  <c r="M415" i="49"/>
  <c r="A415" i="49"/>
  <c r="I1142" i="1"/>
  <c r="I280" i="1"/>
  <c r="I824" i="1"/>
  <c r="I1148" i="1"/>
  <c r="A813" i="23"/>
  <c r="M813" i="23"/>
  <c r="O813" i="23"/>
  <c r="L813" i="23"/>
  <c r="N813" i="23"/>
  <c r="G859" i="23"/>
  <c r="G865" i="23" s="1"/>
  <c r="O865" i="23" s="1"/>
  <c r="G853" i="23"/>
  <c r="O853" i="23" s="1"/>
  <c r="G824" i="23"/>
  <c r="G834" i="23"/>
  <c r="G836" i="23" s="1"/>
  <c r="G810" i="23"/>
  <c r="A816" i="23"/>
  <c r="G809" i="23"/>
  <c r="M809" i="23" s="1"/>
  <c r="L811" i="23"/>
  <c r="G757" i="23"/>
  <c r="G797" i="23"/>
  <c r="M749" i="23"/>
  <c r="G750" i="23"/>
  <c r="M750" i="23" s="1"/>
  <c r="N90" i="49"/>
  <c r="N404" i="23"/>
  <c r="G410" i="23"/>
  <c r="G411" i="23"/>
  <c r="L411" i="23" s="1"/>
  <c r="O3397" i="23"/>
  <c r="L1109" i="23"/>
  <c r="N66" i="23"/>
  <c r="A2498" i="23"/>
  <c r="A2499" i="23" s="1"/>
  <c r="G459" i="23"/>
  <c r="N459" i="23" s="1"/>
  <c r="G455" i="23"/>
  <c r="G457" i="23" s="1"/>
  <c r="G462" i="23"/>
  <c r="A462" i="23" s="1"/>
  <c r="G458" i="23"/>
  <c r="M458" i="23" s="1"/>
  <c r="G454" i="23"/>
  <c r="G456" i="23" s="1"/>
  <c r="M456" i="23" s="1"/>
  <c r="G401" i="23"/>
  <c r="G400" i="23"/>
  <c r="G451" i="23"/>
  <c r="A451" i="23" s="1"/>
  <c r="G453" i="23"/>
  <c r="G452" i="23"/>
  <c r="F384" i="23"/>
  <c r="H384" i="23"/>
  <c r="G467" i="23"/>
  <c r="O467" i="23" s="1"/>
  <c r="G450" i="23"/>
  <c r="M450" i="23" s="1"/>
  <c r="G449" i="23"/>
  <c r="O449" i="23" s="1"/>
  <c r="N606" i="23"/>
  <c r="G2697" i="23"/>
  <c r="L2697" i="23" s="1"/>
  <c r="G95" i="23"/>
  <c r="O95" i="23" s="1"/>
  <c r="G105" i="23"/>
  <c r="O105" i="23" s="1"/>
  <c r="M100" i="23"/>
  <c r="D1230" i="23"/>
  <c r="K1230" i="23"/>
  <c r="L211" i="23"/>
  <c r="N1181" i="23"/>
  <c r="M93" i="23"/>
  <c r="G101" i="23"/>
  <c r="M101" i="23" s="1"/>
  <c r="G108" i="23"/>
  <c r="A108" i="23" s="1"/>
  <c r="K2796" i="23"/>
  <c r="G2803" i="23"/>
  <c r="G2804" i="23" s="1"/>
  <c r="O2804" i="23" s="1"/>
  <c r="K1108" i="23"/>
  <c r="G1349" i="23"/>
  <c r="A1349" i="23" s="1"/>
  <c r="G1347" i="23"/>
  <c r="G1345" i="23"/>
  <c r="G1343" i="23"/>
  <c r="G1350" i="23"/>
  <c r="O1350" i="23" s="1"/>
  <c r="G1348" i="23"/>
  <c r="A1348" i="23" s="1"/>
  <c r="G1346" i="23"/>
  <c r="G1344" i="23"/>
  <c r="K910" i="23"/>
  <c r="H910" i="23"/>
  <c r="T743" i="1"/>
  <c r="U663" i="1"/>
  <c r="A1364" i="23"/>
  <c r="G1332" i="23"/>
  <c r="A1332" i="23" s="1"/>
  <c r="A1100" i="23"/>
  <c r="A1353" i="23" s="1"/>
  <c r="G1291" i="23"/>
  <c r="A1330" i="23"/>
  <c r="A1331" i="23" s="1"/>
  <c r="M1367" i="23"/>
  <c r="G1234" i="23"/>
  <c r="O1234" i="23" s="1"/>
  <c r="G1468" i="23"/>
  <c r="L1468" i="23" s="1"/>
  <c r="N1364" i="23"/>
  <c r="G1339" i="23"/>
  <c r="O1339" i="23" s="1"/>
  <c r="G1228" i="23"/>
  <c r="G1270" i="23"/>
  <c r="G1275" i="23" s="1"/>
  <c r="G1242" i="23"/>
  <c r="G1251" i="23" s="1"/>
  <c r="C1251" i="23" s="1"/>
  <c r="G1311" i="23"/>
  <c r="G1315" i="23" s="1"/>
  <c r="A1315" i="23" s="1"/>
  <c r="T751" i="1"/>
  <c r="T1889" i="1"/>
  <c r="J1889" i="1"/>
  <c r="U1889" i="1"/>
  <c r="S1889" i="1"/>
  <c r="J1890" i="1"/>
  <c r="T1890" i="1"/>
  <c r="U1890" i="1"/>
  <c r="S1890" i="1"/>
  <c r="A1376" i="23"/>
  <c r="M2603" i="23"/>
  <c r="G79" i="23"/>
  <c r="A79" i="23" s="1"/>
  <c r="O1367" i="23"/>
  <c r="C1375" i="23"/>
  <c r="O818" i="23"/>
  <c r="I3240" i="23"/>
  <c r="G398" i="49"/>
  <c r="M704" i="49"/>
  <c r="L110" i="49"/>
  <c r="O2398" i="23"/>
  <c r="O110" i="49"/>
  <c r="A682" i="49"/>
  <c r="O90" i="49"/>
  <c r="A1109" i="23"/>
  <c r="M1109" i="23"/>
  <c r="L66" i="23"/>
  <c r="M213" i="49"/>
  <c r="L818" i="23"/>
  <c r="D2795" i="23"/>
  <c r="G917" i="23"/>
  <c r="D1514" i="23"/>
  <c r="I2935" i="23"/>
  <c r="E3240" i="23"/>
  <c r="G2935" i="23"/>
  <c r="A2935" i="23" s="1"/>
  <c r="M2932" i="23"/>
  <c r="E2936" i="23"/>
  <c r="G2476" i="23"/>
  <c r="N2476" i="23" s="1"/>
  <c r="G2482" i="23"/>
  <c r="D1227" i="23"/>
  <c r="O399" i="49"/>
  <c r="M303" i="49"/>
  <c r="G908" i="23"/>
  <c r="M908" i="23" s="1"/>
  <c r="J2936" i="23"/>
  <c r="G699" i="49"/>
  <c r="L687" i="49"/>
  <c r="N386" i="49"/>
  <c r="G737" i="49"/>
  <c r="A66" i="23"/>
  <c r="A67" i="23" s="1"/>
  <c r="G74" i="23"/>
  <c r="N74" i="23" s="1"/>
  <c r="N818" i="23"/>
  <c r="N145" i="23"/>
  <c r="A694" i="49"/>
  <c r="A695" i="49" s="1"/>
  <c r="O871" i="23"/>
  <c r="N2398" i="23"/>
  <c r="O538" i="49"/>
  <c r="L90" i="49"/>
  <c r="N693" i="49"/>
  <c r="N1367" i="23"/>
  <c r="G69" i="23"/>
  <c r="O69" i="23" s="1"/>
  <c r="G68" i="23"/>
  <c r="M68" i="23" s="1"/>
  <c r="G2417" i="23"/>
  <c r="M2417" i="23" s="1"/>
  <c r="G943" i="23"/>
  <c r="G952" i="23" s="1"/>
  <c r="G2940" i="23"/>
  <c r="G2941" i="23" s="1"/>
  <c r="K3240" i="23"/>
  <c r="G2933" i="23"/>
  <c r="O2933" i="23" s="1"/>
  <c r="N2974" i="23"/>
  <c r="K2936" i="23"/>
  <c r="O2474" i="23"/>
  <c r="G2478" i="23"/>
  <c r="B23" i="2"/>
  <c r="D23" i="2" s="1"/>
  <c r="G2938" i="23"/>
  <c r="O2938" i="23" s="1"/>
  <c r="K2935" i="23"/>
  <c r="J2935" i="23"/>
  <c r="L694" i="49"/>
  <c r="N651" i="49"/>
  <c r="C2212" i="1"/>
  <c r="M848" i="23"/>
  <c r="F3240" i="23"/>
  <c r="G73" i="23"/>
  <c r="M73" i="23" s="1"/>
  <c r="O386" i="49"/>
  <c r="L704" i="49"/>
  <c r="L2934" i="23"/>
  <c r="A652" i="49"/>
  <c r="A871" i="23"/>
  <c r="M2398" i="23"/>
  <c r="L329" i="49"/>
  <c r="A693" i="49"/>
  <c r="A1367" i="23"/>
  <c r="G77" i="23"/>
  <c r="O77" i="23" s="1"/>
  <c r="L213" i="49"/>
  <c r="O2932" i="23"/>
  <c r="F1633" i="23"/>
  <c r="G2995" i="23"/>
  <c r="L2995" i="23" s="1"/>
  <c r="I2936" i="23"/>
  <c r="G2483" i="23"/>
  <c r="L2474" i="23"/>
  <c r="K1227" i="23"/>
  <c r="O1227" i="23" s="1"/>
  <c r="H2935" i="23"/>
  <c r="F2935" i="23"/>
  <c r="O652" i="49"/>
  <c r="M399" i="49"/>
  <c r="C907" i="23"/>
  <c r="L24" i="23"/>
  <c r="G913" i="23"/>
  <c r="A913" i="23" s="1"/>
  <c r="A386" i="49"/>
  <c r="M1227" i="23"/>
  <c r="M446" i="23"/>
  <c r="C1227" i="23"/>
  <c r="A468" i="23"/>
  <c r="G1626" i="1"/>
  <c r="U1626" i="1" s="1"/>
  <c r="U695" i="1"/>
  <c r="U703" i="1"/>
  <c r="T785" i="1"/>
  <c r="T649" i="1"/>
  <c r="T790" i="1"/>
  <c r="N537" i="1"/>
  <c r="O529" i="1"/>
  <c r="U790" i="1"/>
  <c r="T817" i="1"/>
  <c r="U2209" i="1"/>
  <c r="G1610" i="1"/>
  <c r="G2238" i="1"/>
  <c r="G1650" i="1"/>
  <c r="U1650" i="1" s="1"/>
  <c r="H1519" i="1"/>
  <c r="T1519" i="1"/>
  <c r="U1519" i="1"/>
  <c r="T1085" i="1"/>
  <c r="T437" i="1"/>
  <c r="O437" i="1"/>
  <c r="N437" i="1"/>
  <c r="S437" i="1"/>
  <c r="N381" i="49"/>
  <c r="G108" i="49"/>
  <c r="A108" i="49" s="1"/>
  <c r="M393" i="49"/>
  <c r="N318" i="49"/>
  <c r="N304" i="49"/>
  <c r="O304" i="49"/>
  <c r="L525" i="49"/>
  <c r="M339" i="49"/>
  <c r="N643" i="49"/>
  <c r="N459" i="49"/>
  <c r="O103" i="49"/>
  <c r="M654" i="49"/>
  <c r="N329" i="49"/>
  <c r="L219" i="49"/>
  <c r="O682" i="49"/>
  <c r="M302" i="49"/>
  <c r="A320" i="49"/>
  <c r="L693" i="49"/>
  <c r="A681" i="49"/>
  <c r="N320" i="49"/>
  <c r="O525" i="49"/>
  <c r="M326" i="49"/>
  <c r="O326" i="49"/>
  <c r="N303" i="49"/>
  <c r="O302" i="49"/>
  <c r="N302" i="49"/>
  <c r="A651" i="49"/>
  <c r="N106" i="49"/>
  <c r="L106" i="49"/>
  <c r="L103" i="49"/>
  <c r="A302" i="49"/>
  <c r="O680" i="49"/>
  <c r="M693" i="49"/>
  <c r="L303" i="49"/>
  <c r="N103" i="49"/>
  <c r="M106" i="49"/>
  <c r="N219" i="49"/>
  <c r="A525" i="49"/>
  <c r="N473" i="49"/>
  <c r="L643" i="49"/>
  <c r="A459" i="49"/>
  <c r="M103" i="49"/>
  <c r="L654" i="49"/>
  <c r="M107" i="49"/>
  <c r="M318" i="49"/>
  <c r="M682" i="49"/>
  <c r="A326" i="49"/>
  <c r="O473" i="49"/>
  <c r="O303" i="49"/>
  <c r="L399" i="49"/>
  <c r="U804" i="1"/>
  <c r="U679" i="1"/>
  <c r="S1867" i="1"/>
  <c r="H1867" i="1"/>
  <c r="L1867" i="1" s="1"/>
  <c r="U1867" i="1"/>
  <c r="T1867" i="1"/>
  <c r="A399" i="49"/>
  <c r="S1085" i="1"/>
  <c r="T655" i="1"/>
  <c r="U484" i="1"/>
  <c r="U480" i="1" s="1"/>
  <c r="G2252" i="1"/>
  <c r="C2252" i="1" s="1"/>
  <c r="T484" i="1"/>
  <c r="T480" i="1" s="1"/>
  <c r="U724" i="1"/>
  <c r="C1861" i="1"/>
  <c r="U2210" i="1"/>
  <c r="H1883" i="1"/>
  <c r="L1883" i="1" s="1"/>
  <c r="S1883" i="1"/>
  <c r="U1883" i="1"/>
  <c r="T1883" i="1"/>
  <c r="J2236" i="1"/>
  <c r="J1511" i="1"/>
  <c r="G1514" i="1"/>
  <c r="J1514" i="1" s="1"/>
  <c r="C2210" i="1"/>
  <c r="H2210" i="1"/>
  <c r="S1418" i="1"/>
  <c r="N194" i="49"/>
  <c r="U1418" i="1"/>
  <c r="B14" i="2"/>
  <c r="E14" i="2" s="1"/>
  <c r="H2391" i="23"/>
  <c r="L2391" i="23" s="1"/>
  <c r="A473" i="49"/>
  <c r="U743" i="1"/>
  <c r="S751" i="1"/>
  <c r="G484" i="23"/>
  <c r="G461" i="23"/>
  <c r="O461" i="23" s="1"/>
  <c r="G464" i="23"/>
  <c r="O464" i="23" s="1"/>
  <c r="A448" i="23"/>
  <c r="G463" i="23"/>
  <c r="M1469" i="23"/>
  <c r="A1469" i="23"/>
  <c r="O1469" i="23"/>
  <c r="L1469" i="23"/>
  <c r="N1469" i="23"/>
  <c r="F2061" i="23"/>
  <c r="G489" i="23"/>
  <c r="L489" i="23" s="1"/>
  <c r="G539" i="23"/>
  <c r="M907" i="23"/>
  <c r="G973" i="23"/>
  <c r="G934" i="23"/>
  <c r="A382" i="23"/>
  <c r="G441" i="23"/>
  <c r="L930" i="23"/>
  <c r="J3239" i="23"/>
  <c r="M852" i="23"/>
  <c r="L852" i="23"/>
  <c r="O852" i="23"/>
  <c r="N852" i="23"/>
  <c r="A852" i="23"/>
  <c r="N848" i="23"/>
  <c r="H2061" i="23"/>
  <c r="L2061" i="23" s="1"/>
  <c r="G873" i="23"/>
  <c r="D2061" i="23"/>
  <c r="K2061" i="23"/>
  <c r="O2061" i="23" s="1"/>
  <c r="G1427" i="23"/>
  <c r="G1423" i="23"/>
  <c r="G1419" i="23"/>
  <c r="G1431" i="23" s="1"/>
  <c r="A1431" i="23" s="1"/>
  <c r="G1428" i="23"/>
  <c r="G1424" i="23"/>
  <c r="G1420" i="23"/>
  <c r="O1420" i="23" s="1"/>
  <c r="G1425" i="23"/>
  <c r="G1421" i="23"/>
  <c r="G1426" i="23"/>
  <c r="G1422" i="23"/>
  <c r="L1422" i="23" s="1"/>
  <c r="G1418" i="23"/>
  <c r="G1432" i="23" s="1"/>
  <c r="A1432" i="23" s="1"/>
  <c r="M1368" i="23"/>
  <c r="G1128" i="23"/>
  <c r="A1128" i="23" s="1"/>
  <c r="G1231" i="23"/>
  <c r="G1306" i="23"/>
  <c r="N1306" i="23" s="1"/>
  <c r="E569" i="23"/>
  <c r="K569" i="23"/>
  <c r="O569" i="23" s="1"/>
  <c r="F1513" i="23"/>
  <c r="K1513" i="23"/>
  <c r="O1513" i="23" s="1"/>
  <c r="N477" i="49"/>
  <c r="U687" i="1"/>
  <c r="U488" i="1"/>
  <c r="S743" i="1"/>
  <c r="S671" i="1"/>
  <c r="S529" i="1"/>
  <c r="S522" i="1" s="1"/>
  <c r="T529" i="1"/>
  <c r="T522" i="1" s="1"/>
  <c r="C1865" i="1"/>
  <c r="U1865" i="1"/>
  <c r="H1864" i="1"/>
  <c r="L1864" i="1" s="1"/>
  <c r="T1864" i="1"/>
  <c r="U1864" i="1"/>
  <c r="C1870" i="1"/>
  <c r="H1870" i="1"/>
  <c r="L1870" i="1" s="1"/>
  <c r="G1439" i="23"/>
  <c r="G1440" i="23" s="1"/>
  <c r="L1416" i="23"/>
  <c r="G1433" i="23"/>
  <c r="N1433" i="23" s="1"/>
  <c r="G1435" i="23"/>
  <c r="N1435" i="23" s="1"/>
  <c r="G1436" i="23"/>
  <c r="M1436" i="23" s="1"/>
  <c r="C1371" i="23"/>
  <c r="L1464" i="23"/>
  <c r="N134" i="23"/>
  <c r="J2061" i="23"/>
  <c r="N2061" i="23" s="1"/>
  <c r="G1233" i="23"/>
  <c r="L1233" i="23" s="1"/>
  <c r="G1486" i="23"/>
  <c r="G1493" i="23"/>
  <c r="G1494" i="23"/>
  <c r="G1489" i="23"/>
  <c r="G1491" i="23" s="1"/>
  <c r="G1496" i="23"/>
  <c r="G1490" i="23"/>
  <c r="G1492" i="23" s="1"/>
  <c r="L1449" i="23"/>
  <c r="G1453" i="23"/>
  <c r="O848" i="23"/>
  <c r="A848" i="23"/>
  <c r="G384" i="23"/>
  <c r="N384" i="23" s="1"/>
  <c r="A385" i="23"/>
  <c r="L382" i="23"/>
  <c r="O385" i="23"/>
  <c r="N385" i="23"/>
  <c r="G431" i="23"/>
  <c r="M431" i="23" s="1"/>
  <c r="G408" i="23"/>
  <c r="O408" i="23" s="1"/>
  <c r="N382" i="23"/>
  <c r="A1227" i="23"/>
  <c r="N1227" i="23"/>
  <c r="G412" i="23"/>
  <c r="N412" i="23" s="1"/>
  <c r="G413" i="23"/>
  <c r="M413" i="23" s="1"/>
  <c r="M404" i="23"/>
  <c r="U1810" i="1"/>
  <c r="S2187" i="1"/>
  <c r="T2212" i="1"/>
  <c r="S2212" i="1"/>
  <c r="S2203" i="1"/>
  <c r="S2259" i="1"/>
  <c r="S2252" i="1" s="1"/>
  <c r="U2259" i="1"/>
  <c r="U2252" i="1" s="1"/>
  <c r="T1418" i="1"/>
  <c r="I1139" i="1"/>
  <c r="I1153" i="1"/>
  <c r="I1152" i="1"/>
  <c r="I1150" i="1"/>
  <c r="I1149" i="1"/>
  <c r="C2204" i="1"/>
  <c r="U2203" i="1"/>
  <c r="S2207" i="1"/>
  <c r="H2259" i="1"/>
  <c r="I2259" i="1"/>
  <c r="C2203" i="1"/>
  <c r="T2203" i="1"/>
  <c r="T2259" i="1"/>
  <c r="T2252" i="1" s="1"/>
  <c r="U1873" i="1"/>
  <c r="C1873" i="1"/>
  <c r="S1873" i="1"/>
  <c r="H1873" i="1"/>
  <c r="L1873" i="1" s="1"/>
  <c r="T1873" i="1"/>
  <c r="G1814" i="1"/>
  <c r="H1812" i="1"/>
  <c r="L1812" i="1" s="1"/>
  <c r="G1813" i="1"/>
  <c r="U1813" i="1" s="1"/>
  <c r="C1862" i="1"/>
  <c r="S1862" i="1"/>
  <c r="C1864" i="1"/>
  <c r="S1863" i="1"/>
  <c r="S1818" i="1"/>
  <c r="S1885" i="1"/>
  <c r="T1810" i="1"/>
  <c r="H1863" i="1"/>
  <c r="L1863" i="1" s="1"/>
  <c r="S1810" i="1"/>
  <c r="S1864" i="1"/>
  <c r="C1809" i="1"/>
  <c r="T1809" i="1"/>
  <c r="U1809" i="1"/>
  <c r="S1809" i="1"/>
  <c r="H1809" i="1"/>
  <c r="L1809" i="1" s="1"/>
  <c r="H2302" i="1"/>
  <c r="AF61" i="2" s="1"/>
  <c r="L2302" i="1"/>
  <c r="G1876" i="1"/>
  <c r="H1876" i="1" s="1"/>
  <c r="U2302" i="1"/>
  <c r="T2302" i="1"/>
  <c r="S2302" i="1"/>
  <c r="G2303" i="1"/>
  <c r="H2303" i="1" s="1"/>
  <c r="G1895" i="1"/>
  <c r="G1808" i="1"/>
  <c r="C1808" i="1" s="1"/>
  <c r="G1843" i="1"/>
  <c r="G1842" i="1"/>
  <c r="T1842" i="1" s="1"/>
  <c r="H1841" i="1"/>
  <c r="L1841" i="1" s="1"/>
  <c r="S1841" i="1"/>
  <c r="G1900" i="1"/>
  <c r="T1900" i="1" s="1"/>
  <c r="G1844" i="1"/>
  <c r="H1844" i="1" s="1"/>
  <c r="L1844" i="1" s="1"/>
  <c r="T1841" i="1"/>
  <c r="U1841" i="1"/>
  <c r="G1836" i="1"/>
  <c r="T1835" i="1"/>
  <c r="G1839" i="1"/>
  <c r="C1839" i="1" s="1"/>
  <c r="U1835" i="1"/>
  <c r="H1835" i="1"/>
  <c r="L1835" i="1" s="1"/>
  <c r="G1838" i="1"/>
  <c r="S1838" i="1" s="1"/>
  <c r="G1837" i="1"/>
  <c r="H1837" i="1" s="1"/>
  <c r="L1837" i="1" s="1"/>
  <c r="C1835" i="1"/>
  <c r="G1840" i="1"/>
  <c r="C1840" i="1" s="1"/>
  <c r="U1860" i="1"/>
  <c r="S1860" i="1"/>
  <c r="H1860" i="1"/>
  <c r="L1860" i="1" s="1"/>
  <c r="T1860" i="1"/>
  <c r="H1871" i="1"/>
  <c r="L1871" i="1" s="1"/>
  <c r="T1871" i="1"/>
  <c r="C1871" i="1"/>
  <c r="S1871" i="1"/>
  <c r="U1871" i="1"/>
  <c r="U1869" i="1"/>
  <c r="S1869" i="1"/>
  <c r="C1869" i="1"/>
  <c r="H1869" i="1"/>
  <c r="L1869" i="1" s="1"/>
  <c r="T1869" i="1"/>
  <c r="C1885" i="1"/>
  <c r="T1862" i="1"/>
  <c r="T1885" i="1"/>
  <c r="S1865" i="1"/>
  <c r="U1821" i="1"/>
  <c r="T1865" i="1"/>
  <c r="T513" i="1"/>
  <c r="H1818" i="1"/>
  <c r="L1818" i="1" s="1"/>
  <c r="G1858" i="1"/>
  <c r="G1899" i="1" s="1"/>
  <c r="U1899" i="1" s="1"/>
  <c r="U1862" i="1"/>
  <c r="H1865" i="1"/>
  <c r="L1865" i="1" s="1"/>
  <c r="H1821" i="1"/>
  <c r="L1821" i="1" s="1"/>
  <c r="S1861" i="1"/>
  <c r="H1862" i="1"/>
  <c r="L1862" i="1" s="1"/>
  <c r="H1885" i="1"/>
  <c r="L1885" i="1" s="1"/>
  <c r="T757" i="1"/>
  <c r="C1815" i="1"/>
  <c r="C1818" i="1"/>
  <c r="G1816" i="1"/>
  <c r="T1816" i="1" s="1"/>
  <c r="G1817" i="1"/>
  <c r="T1817" i="1" s="1"/>
  <c r="H1815" i="1"/>
  <c r="L1815" i="1" s="1"/>
  <c r="G1823" i="1"/>
  <c r="H1823" i="1" s="1"/>
  <c r="L1823" i="1" s="1"/>
  <c r="S1851" i="1"/>
  <c r="S1821" i="1"/>
  <c r="U1818" i="1"/>
  <c r="T1821" i="1"/>
  <c r="L580" i="1"/>
  <c r="L581" i="1" s="1"/>
  <c r="T1872" i="1"/>
  <c r="H1868" i="1"/>
  <c r="L1868" i="1" s="1"/>
  <c r="T1870" i="1"/>
  <c r="G1854" i="1"/>
  <c r="U1854" i="1" s="1"/>
  <c r="G1806" i="1"/>
  <c r="H1806" i="1" s="1"/>
  <c r="L1806" i="1" s="1"/>
  <c r="U1831" i="1"/>
  <c r="T1851" i="1"/>
  <c r="G1852" i="1"/>
  <c r="H1852" i="1" s="1"/>
  <c r="L1852" i="1" s="1"/>
  <c r="U1861" i="1"/>
  <c r="C1851" i="1"/>
  <c r="G1832" i="1"/>
  <c r="H1832" i="1" s="1"/>
  <c r="L1832" i="1" s="1"/>
  <c r="L270" i="1"/>
  <c r="L1165" i="1"/>
  <c r="L1169" i="1" s="1"/>
  <c r="H1831" i="1"/>
  <c r="L1831" i="1" s="1"/>
  <c r="T1861" i="1"/>
  <c r="L687" i="1"/>
  <c r="L591" i="1"/>
  <c r="L593" i="1" s="1"/>
  <c r="L620" i="1"/>
  <c r="L622" i="1" s="1"/>
  <c r="L576" i="1"/>
  <c r="L577" i="1" s="1"/>
  <c r="U1872" i="1"/>
  <c r="S1872" i="1"/>
  <c r="T1868" i="1"/>
  <c r="S1868" i="1"/>
  <c r="L612" i="1"/>
  <c r="L614" i="1" s="1"/>
  <c r="L604" i="1"/>
  <c r="L607" i="1" s="1"/>
  <c r="L596" i="1"/>
  <c r="L597" i="1" s="1"/>
  <c r="L608" i="1"/>
  <c r="L611" i="1" s="1"/>
  <c r="L600" i="1"/>
  <c r="L602" i="1" s="1"/>
  <c r="C1872" i="1"/>
  <c r="G1874" i="1"/>
  <c r="H1874" i="1" s="1"/>
  <c r="L1874" i="1" s="1"/>
  <c r="U1868" i="1"/>
  <c r="L616" i="1"/>
  <c r="L618" i="1" s="1"/>
  <c r="L584" i="1"/>
  <c r="L587" i="1" s="1"/>
  <c r="L588" i="1"/>
  <c r="L589" i="1" s="1"/>
  <c r="L539" i="1"/>
  <c r="L541" i="1" s="1"/>
  <c r="L831" i="1"/>
  <c r="S1870" i="1"/>
  <c r="G1833" i="1"/>
  <c r="T1833" i="1" s="1"/>
  <c r="C1863" i="1"/>
  <c r="U1863" i="1"/>
  <c r="G1834" i="1"/>
  <c r="H1834" i="1" s="1"/>
  <c r="L1834" i="1" s="1"/>
  <c r="L280" i="1"/>
  <c r="L824" i="1"/>
  <c r="T1866" i="1"/>
  <c r="S1866" i="1"/>
  <c r="L709" i="1"/>
  <c r="L710" i="1" s="1"/>
  <c r="H1819" i="1"/>
  <c r="L1819" i="1" s="1"/>
  <c r="G1820" i="1"/>
  <c r="U1820" i="1" s="1"/>
  <c r="U1866" i="1"/>
  <c r="H1866" i="1"/>
  <c r="L1866" i="1" s="1"/>
  <c r="T2237" i="1"/>
  <c r="G2198" i="1"/>
  <c r="H2198" i="1" s="1"/>
  <c r="S911" i="1"/>
  <c r="H2237" i="1"/>
  <c r="U1779" i="1"/>
  <c r="U1764" i="1"/>
  <c r="U1717" i="1"/>
  <c r="S687" i="1"/>
  <c r="T679" i="1"/>
  <c r="T290" i="1"/>
  <c r="T1764" i="1"/>
  <c r="S757" i="1"/>
  <c r="T1523" i="1"/>
  <c r="S1764" i="1"/>
  <c r="C1779" i="1"/>
  <c r="T1779" i="1"/>
  <c r="G1777" i="1"/>
  <c r="T1777" i="1" s="1"/>
  <c r="H1523" i="1"/>
  <c r="J1523" i="1"/>
  <c r="U2237" i="1"/>
  <c r="J2237" i="1"/>
  <c r="T1596" i="1"/>
  <c r="G1525" i="1"/>
  <c r="G1524" i="1"/>
  <c r="H1524" i="1" s="1"/>
  <c r="G1552" i="1"/>
  <c r="J1552" i="1" s="1"/>
  <c r="U1523" i="1"/>
  <c r="H2236" i="1"/>
  <c r="S2237" i="1"/>
  <c r="S1551" i="1"/>
  <c r="U1609" i="1"/>
  <c r="M298" i="49"/>
  <c r="C1717" i="1"/>
  <c r="T1717" i="1"/>
  <c r="G1716" i="1"/>
  <c r="C1716" i="1" s="1"/>
  <c r="U463" i="1"/>
  <c r="S1717" i="1"/>
  <c r="G1513" i="1"/>
  <c r="S1513" i="1" s="1"/>
  <c r="S1605" i="1"/>
  <c r="S1596" i="1"/>
  <c r="S2242" i="1"/>
  <c r="G1521" i="1"/>
  <c r="H1521" i="1" s="1"/>
  <c r="T1494" i="1"/>
  <c r="M911" i="23"/>
  <c r="O911" i="23"/>
  <c r="S455" i="1"/>
  <c r="H1764" i="1"/>
  <c r="U553" i="1"/>
  <c r="T461" i="1"/>
  <c r="T455" i="1" s="1"/>
  <c r="T811" i="1"/>
  <c r="U461" i="1"/>
  <c r="U455" i="1" s="1"/>
  <c r="H1551" i="1"/>
  <c r="J1596" i="1"/>
  <c r="H1596" i="1"/>
  <c r="T1609" i="1"/>
  <c r="G1554" i="1"/>
  <c r="H1554" i="1" s="1"/>
  <c r="U1551" i="1"/>
  <c r="S1609" i="1"/>
  <c r="M287" i="1"/>
  <c r="M283" i="1"/>
  <c r="M281" i="1"/>
  <c r="M289" i="1"/>
  <c r="M288" i="1"/>
  <c r="M284" i="1"/>
  <c r="M285" i="1"/>
  <c r="M282" i="1"/>
  <c r="M286" i="1"/>
  <c r="H2204" i="1"/>
  <c r="H1494" i="1"/>
  <c r="T2204" i="1"/>
  <c r="G1703" i="1"/>
  <c r="H1604" i="1"/>
  <c r="S797" i="1"/>
  <c r="N104" i="49"/>
  <c r="M104" i="49"/>
  <c r="O571" i="1"/>
  <c r="S438" i="1"/>
  <c r="C1604" i="1"/>
  <c r="U882" i="1"/>
  <c r="U2208" i="1"/>
  <c r="H2208" i="1"/>
  <c r="M278" i="1"/>
  <c r="M277" i="1"/>
  <c r="M272" i="1"/>
  <c r="M279" i="1"/>
  <c r="M275" i="1"/>
  <c r="M274" i="1"/>
  <c r="M273" i="1"/>
  <c r="M271" i="1"/>
  <c r="M276" i="1"/>
  <c r="G1512" i="1"/>
  <c r="U1512" i="1" s="1"/>
  <c r="N438" i="1"/>
  <c r="T438" i="1"/>
  <c r="S571" i="1"/>
  <c r="S562" i="1" s="1"/>
  <c r="H1511" i="1"/>
  <c r="T571" i="1"/>
  <c r="T562" i="1" s="1"/>
  <c r="T2208" i="1"/>
  <c r="O438" i="1"/>
  <c r="S2208" i="1"/>
  <c r="S408" i="1"/>
  <c r="H1763" i="1"/>
  <c r="T135" i="1"/>
  <c r="J1609" i="1"/>
  <c r="J436" i="1"/>
  <c r="J446" i="1" s="1"/>
  <c r="G1472" i="1"/>
  <c r="J1045" i="1"/>
  <c r="J1051" i="1" s="1"/>
  <c r="J1243" i="1"/>
  <c r="J1132" i="1"/>
  <c r="J1145" i="1" s="1"/>
  <c r="J1085" i="1"/>
  <c r="J1094" i="1" s="1"/>
  <c r="G1698" i="1"/>
  <c r="T1698" i="1" s="1"/>
  <c r="T1551" i="1"/>
  <c r="J358" i="1"/>
  <c r="J365" i="1" s="1"/>
  <c r="J1494" i="1"/>
  <c r="U1494" i="1"/>
  <c r="H1605" i="1"/>
  <c r="S2236" i="1"/>
  <c r="U1605" i="1"/>
  <c r="J781" i="1"/>
  <c r="J782" i="1" s="1"/>
  <c r="J1058" i="1"/>
  <c r="J1064" i="1" s="1"/>
  <c r="J932" i="1"/>
  <c r="J939" i="1" s="1"/>
  <c r="J580" i="1"/>
  <c r="J581" i="1" s="1"/>
  <c r="J189" i="1"/>
  <c r="J194" i="1" s="1"/>
  <c r="J1242" i="1"/>
  <c r="J522" i="1"/>
  <c r="J530" i="1" s="1"/>
  <c r="J973" i="1"/>
  <c r="J975" i="1" s="1"/>
  <c r="J919" i="1"/>
  <c r="J920" i="1" s="1"/>
  <c r="G1553" i="1"/>
  <c r="H1553" i="1" s="1"/>
  <c r="J620" i="1"/>
  <c r="J623" i="1" s="1"/>
  <c r="G1496" i="1"/>
  <c r="U1496" i="1" s="1"/>
  <c r="J1605" i="1"/>
  <c r="T1605" i="1"/>
  <c r="J958" i="1"/>
  <c r="J962" i="1" s="1"/>
  <c r="J1019" i="1"/>
  <c r="J1026" i="1" s="1"/>
  <c r="J612" i="1"/>
  <c r="J613" i="1" s="1"/>
  <c r="M2091" i="1"/>
  <c r="C2209" i="1"/>
  <c r="H2209" i="1"/>
  <c r="N195" i="49"/>
  <c r="O125" i="1"/>
  <c r="O129" i="1" s="1"/>
  <c r="L496" i="1"/>
  <c r="L502" i="1" s="1"/>
  <c r="G1141" i="23"/>
  <c r="M1141" i="23" s="1"/>
  <c r="G1384" i="23"/>
  <c r="G1385" i="23" s="1"/>
  <c r="M1385" i="23" s="1"/>
  <c r="M3246" i="23"/>
  <c r="G1377" i="23"/>
  <c r="M1377" i="23" s="1"/>
  <c r="G1196" i="23"/>
  <c r="A1196" i="23" s="1"/>
  <c r="A1197" i="23" s="1"/>
  <c r="A495" i="49"/>
  <c r="G2698" i="23"/>
  <c r="L2698" i="23" s="1"/>
  <c r="L579" i="49"/>
  <c r="A2413" i="23"/>
  <c r="H2187" i="1"/>
  <c r="T2187" i="1"/>
  <c r="G2221" i="1"/>
  <c r="T2221" i="1" s="1"/>
  <c r="L1075" i="23"/>
  <c r="G502" i="49"/>
  <c r="N502" i="49" s="1"/>
  <c r="L304" i="49"/>
  <c r="F1360" i="23"/>
  <c r="D2793" i="23"/>
  <c r="E2940" i="23"/>
  <c r="G718" i="49"/>
  <c r="M709" i="49"/>
  <c r="O709" i="49"/>
  <c r="N709" i="49"/>
  <c r="G719" i="49"/>
  <c r="L838" i="1"/>
  <c r="L840" i="1" s="1"/>
  <c r="L703" i="1"/>
  <c r="L706" i="1" s="1"/>
  <c r="O184" i="1"/>
  <c r="O188" i="1" s="1"/>
  <c r="N591" i="23"/>
  <c r="A1188" i="23"/>
  <c r="G592" i="23"/>
  <c r="G597" i="23" s="1"/>
  <c r="O597" i="23" s="1"/>
  <c r="A1375" i="23"/>
  <c r="G2691" i="23"/>
  <c r="A2691" i="23" s="1"/>
  <c r="O579" i="49"/>
  <c r="G2503" i="23"/>
  <c r="G2199" i="1"/>
  <c r="T2199" i="1" s="1"/>
  <c r="U2186" i="1"/>
  <c r="O360" i="49"/>
  <c r="O694" i="49"/>
  <c r="G706" i="49"/>
  <c r="G696" i="49"/>
  <c r="G701" i="49"/>
  <c r="G697" i="49"/>
  <c r="G702" i="49"/>
  <c r="N694" i="49"/>
  <c r="L790" i="1"/>
  <c r="L792" i="1" s="1"/>
  <c r="O109" i="1"/>
  <c r="O110" i="1" s="1"/>
  <c r="L562" i="1"/>
  <c r="L564" i="1" s="1"/>
  <c r="G594" i="23"/>
  <c r="M594" i="23" s="1"/>
  <c r="N495" i="49"/>
  <c r="U2187" i="1"/>
  <c r="G1853" i="1"/>
  <c r="C1853" i="1" s="1"/>
  <c r="G2184" i="1"/>
  <c r="H2184" i="1" s="1"/>
  <c r="S2186" i="1"/>
  <c r="O318" i="49"/>
  <c r="A1075" i="23"/>
  <c r="L318" i="49"/>
  <c r="L302" i="49"/>
  <c r="T2091" i="1"/>
  <c r="I2062" i="23"/>
  <c r="M2062" i="23" s="1"/>
  <c r="D2062" i="23"/>
  <c r="J2062" i="23"/>
  <c r="N2062" i="23" s="1"/>
  <c r="E2062" i="23"/>
  <c r="K2062" i="23"/>
  <c r="O2062" i="23" s="1"/>
  <c r="F2062" i="23"/>
  <c r="J2057" i="23"/>
  <c r="N2057" i="23" s="1"/>
  <c r="E2057" i="23"/>
  <c r="H2057" i="23"/>
  <c r="L2057" i="23" s="1"/>
  <c r="D2057" i="23"/>
  <c r="K2057" i="23"/>
  <c r="O2057" i="23" s="1"/>
  <c r="F2057" i="23"/>
  <c r="M2145" i="23"/>
  <c r="M2209" i="23" s="1"/>
  <c r="A2145" i="23"/>
  <c r="N2145" i="23"/>
  <c r="N2209" i="23" s="1"/>
  <c r="O2145" i="23"/>
  <c r="O2209" i="23" s="1"/>
  <c r="L2145" i="23"/>
  <c r="L2209" i="23" s="1"/>
  <c r="H2060" i="23"/>
  <c r="L2060" i="23" s="1"/>
  <c r="D2060" i="23"/>
  <c r="K2060" i="23"/>
  <c r="O2060" i="23" s="1"/>
  <c r="J2060" i="23"/>
  <c r="N2060" i="23" s="1"/>
  <c r="F2060" i="23"/>
  <c r="I2060" i="23"/>
  <c r="M2060" i="23" s="1"/>
  <c r="E2060" i="23"/>
  <c r="K2058" i="23"/>
  <c r="O2058" i="23" s="1"/>
  <c r="J2058" i="23"/>
  <c r="N2058" i="23" s="1"/>
  <c r="F2058" i="23"/>
  <c r="I2058" i="23"/>
  <c r="M2058" i="23" s="1"/>
  <c r="E2058" i="23"/>
  <c r="H2058" i="23"/>
  <c r="L2058" i="23" s="1"/>
  <c r="D2058" i="23"/>
  <c r="J1519" i="1"/>
  <c r="H1547" i="1"/>
  <c r="J1547" i="1"/>
  <c r="T1547" i="1"/>
  <c r="U1547" i="1"/>
  <c r="S1547" i="1"/>
  <c r="S2268" i="1"/>
  <c r="G1458" i="1"/>
  <c r="T2235" i="1"/>
  <c r="C2235" i="1"/>
  <c r="O115" i="23"/>
  <c r="C1006" i="23"/>
  <c r="E7" i="2"/>
  <c r="G57" i="49"/>
  <c r="O649" i="49"/>
  <c r="J100" i="23"/>
  <c r="N100" i="23" s="1"/>
  <c r="A1430" i="23"/>
  <c r="O2934" i="23"/>
  <c r="O3330" i="23"/>
  <c r="N3178" i="23"/>
  <c r="M1075" i="23"/>
  <c r="O584" i="23"/>
  <c r="M568" i="23"/>
  <c r="N2603" i="23"/>
  <c r="G1467" i="23"/>
  <c r="A1467" i="23" s="1"/>
  <c r="G612" i="23"/>
  <c r="A612" i="23" s="1"/>
  <c r="L3178" i="23"/>
  <c r="A3158" i="23"/>
  <c r="G3122" i="23"/>
  <c r="L3122" i="23" s="1"/>
  <c r="M1034" i="23"/>
  <c r="O1075" i="23"/>
  <c r="C2392" i="23"/>
  <c r="H100" i="23"/>
  <c r="L100" i="23" s="1"/>
  <c r="N1034" i="23"/>
  <c r="N2934" i="23"/>
  <c r="O3178" i="23"/>
  <c r="M931" i="23"/>
  <c r="G1466" i="23"/>
  <c r="O3026" i="23"/>
  <c r="O3016" i="23"/>
  <c r="I619" i="1"/>
  <c r="D8" i="2"/>
  <c r="D7" i="2"/>
  <c r="L571" i="23"/>
  <c r="N816" i="23"/>
  <c r="O583" i="23"/>
  <c r="C2413" i="23"/>
  <c r="C2423" i="23" s="1"/>
  <c r="C2433" i="23" s="1"/>
  <c r="C2440" i="23" s="1"/>
  <c r="C2446" i="23" s="1"/>
  <c r="A930" i="23"/>
  <c r="G2687" i="23"/>
  <c r="A2687" i="23" s="1"/>
  <c r="O930" i="23"/>
  <c r="N1658" i="23"/>
  <c r="N930" i="23"/>
  <c r="A1455" i="23"/>
  <c r="A1456" i="23" s="1"/>
  <c r="O1368" i="23"/>
  <c r="N749" i="23"/>
  <c r="A571" i="23"/>
  <c r="L1364" i="23"/>
  <c r="L1112" i="23"/>
  <c r="M1037" i="23"/>
  <c r="O35" i="23"/>
  <c r="L1455" i="23"/>
  <c r="O1364" i="23"/>
  <c r="A1368" i="23"/>
  <c r="O933" i="23"/>
  <c r="L931" i="23"/>
  <c r="E1006" i="23"/>
  <c r="C3086" i="23"/>
  <c r="C3087" i="23" s="1"/>
  <c r="D1009" i="23"/>
  <c r="G1035" i="23"/>
  <c r="A568" i="23"/>
  <c r="L145" i="23"/>
  <c r="A2683" i="23"/>
  <c r="A2684" i="23" s="1"/>
  <c r="A811" i="23"/>
  <c r="A1416" i="23"/>
  <c r="A1417" i="23" s="1"/>
  <c r="A2598" i="23"/>
  <c r="O1179" i="23"/>
  <c r="O3118" i="23"/>
  <c r="E8" i="2"/>
  <c r="K100" i="23"/>
  <c r="O100" i="23" s="1"/>
  <c r="N931" i="23"/>
  <c r="M2598" i="23"/>
  <c r="O2406" i="23"/>
  <c r="O1034" i="23"/>
  <c r="O145" i="23"/>
  <c r="L1179" i="23"/>
  <c r="N3016" i="23"/>
  <c r="G570" i="23"/>
  <c r="A570" i="23" s="1"/>
  <c r="M145" i="23"/>
  <c r="C1119" i="23"/>
  <c r="L1191" i="23"/>
  <c r="D100" i="23"/>
  <c r="N1416" i="23"/>
  <c r="G2689" i="23"/>
  <c r="N2689" i="23" s="1"/>
  <c r="L1034" i="23"/>
  <c r="C3408" i="23"/>
  <c r="C3413" i="23" s="1"/>
  <c r="A3447" i="23"/>
  <c r="L3447" i="23"/>
  <c r="F664" i="23"/>
  <c r="G3295" i="23"/>
  <c r="A3295" i="23" s="1"/>
  <c r="G2645" i="23"/>
  <c r="N2645" i="23" s="1"/>
  <c r="M3086" i="23"/>
  <c r="D384" i="23"/>
  <c r="H1359" i="23"/>
  <c r="L1359" i="23" s="1"/>
  <c r="G2843" i="23"/>
  <c r="G2845" i="23" s="1"/>
  <c r="G2870" i="23"/>
  <c r="K2795" i="23"/>
  <c r="D910" i="23"/>
  <c r="D2940" i="23"/>
  <c r="G2443" i="23"/>
  <c r="N2443" i="23" s="1"/>
  <c r="K3236" i="23"/>
  <c r="O3236" i="23" s="1"/>
  <c r="H3236" i="23"/>
  <c r="L3236" i="23" s="1"/>
  <c r="O2793" i="23"/>
  <c r="L2793" i="23"/>
  <c r="L2440" i="23"/>
  <c r="D664" i="23"/>
  <c r="I1360" i="23"/>
  <c r="M1360" i="23" s="1"/>
  <c r="D1360" i="23"/>
  <c r="K2940" i="23"/>
  <c r="F2940" i="23"/>
  <c r="F1006" i="23"/>
  <c r="K1009" i="23"/>
  <c r="O1009" i="23" s="1"/>
  <c r="O386" i="23"/>
  <c r="G747" i="23"/>
  <c r="A747" i="23" s="1"/>
  <c r="A2664" i="23"/>
  <c r="G748" i="23"/>
  <c r="E384" i="23"/>
  <c r="A3086" i="23"/>
  <c r="A3090" i="23"/>
  <c r="K384" i="23"/>
  <c r="C2409" i="23"/>
  <c r="G2506" i="23"/>
  <c r="G2798" i="23"/>
  <c r="M2798" i="23" s="1"/>
  <c r="I2937" i="23"/>
  <c r="G2865" i="23"/>
  <c r="L2865" i="23" s="1"/>
  <c r="G2794" i="23"/>
  <c r="M2794" i="23" s="1"/>
  <c r="J2940" i="23"/>
  <c r="G3449" i="23"/>
  <c r="A3449" i="23" s="1"/>
  <c r="N2440" i="23"/>
  <c r="G3446" i="23"/>
  <c r="L3446" i="23" s="1"/>
  <c r="E3236" i="23"/>
  <c r="F3236" i="23"/>
  <c r="H1360" i="23"/>
  <c r="L1360" i="23" s="1"/>
  <c r="J1360" i="23"/>
  <c r="N1360" i="23" s="1"/>
  <c r="D1006" i="23"/>
  <c r="J1006" i="23"/>
  <c r="N1006" i="23" s="1"/>
  <c r="E1009" i="23"/>
  <c r="N2662" i="23"/>
  <c r="A1186" i="23"/>
  <c r="M3090" i="23"/>
  <c r="G2640" i="23"/>
  <c r="A2640" i="23" s="1"/>
  <c r="G2507" i="23"/>
  <c r="N2507" i="23" s="1"/>
  <c r="G2835" i="23"/>
  <c r="G2840" i="23" s="1"/>
  <c r="A2423" i="23"/>
  <c r="A2424" i="23" s="1"/>
  <c r="D3236" i="23"/>
  <c r="E100" i="23"/>
  <c r="K1360" i="23"/>
  <c r="O1360" i="23" s="1"/>
  <c r="M2414" i="23"/>
  <c r="N652" i="49"/>
  <c r="A2502" i="23"/>
  <c r="M2502" i="23"/>
  <c r="O2502" i="23"/>
  <c r="L2502" i="23"/>
  <c r="A1181" i="23"/>
  <c r="M1181" i="23"/>
  <c r="O749" i="23"/>
  <c r="G752" i="23"/>
  <c r="O752" i="23" s="1"/>
  <c r="A749" i="23"/>
  <c r="M3330" i="23"/>
  <c r="N3330" i="23"/>
  <c r="L3330" i="23"/>
  <c r="O361" i="49"/>
  <c r="N361" i="49"/>
  <c r="M361" i="49"/>
  <c r="M3006" i="23"/>
  <c r="A3006" i="23"/>
  <c r="N3006" i="23"/>
  <c r="A862" i="23"/>
  <c r="O862" i="23"/>
  <c r="A3482" i="23"/>
  <c r="M3482" i="23"/>
  <c r="L3482" i="23"/>
  <c r="O3024" i="23"/>
  <c r="L3024" i="23"/>
  <c r="M3024" i="23"/>
  <c r="A933" i="23"/>
  <c r="L933" i="23"/>
  <c r="L2536" i="23"/>
  <c r="O1416" i="23"/>
  <c r="O1429" i="23"/>
  <c r="M1416" i="23"/>
  <c r="M584" i="23"/>
  <c r="A584" i="23"/>
  <c r="N584" i="23"/>
  <c r="M538" i="49"/>
  <c r="N538" i="49"/>
  <c r="L538" i="49"/>
  <c r="L1372" i="23"/>
  <c r="G1374" i="23"/>
  <c r="M1374" i="23" s="1"/>
  <c r="M1372" i="23"/>
  <c r="A361" i="49"/>
  <c r="G61" i="23"/>
  <c r="O61" i="23" s="1"/>
  <c r="G1195" i="23"/>
  <c r="N1195" i="23" s="1"/>
  <c r="M816" i="23"/>
  <c r="A473" i="23"/>
  <c r="A474" i="23" s="1"/>
  <c r="A475" i="23" s="1"/>
  <c r="A476" i="23" s="1"/>
  <c r="A477" i="23" s="1"/>
  <c r="L3006" i="23"/>
  <c r="M933" i="23"/>
  <c r="N35" i="23"/>
  <c r="A3516" i="23"/>
  <c r="A3517" i="23" s="1"/>
  <c r="N3024" i="23"/>
  <c r="M207" i="49"/>
  <c r="L1181" i="23"/>
  <c r="G3420" i="23"/>
  <c r="O3420" i="23" s="1"/>
  <c r="G3417" i="23"/>
  <c r="M3417" i="23" s="1"/>
  <c r="G663" i="23"/>
  <c r="C662" i="23"/>
  <c r="O466" i="23"/>
  <c r="N3482" i="23"/>
  <c r="O219" i="49"/>
  <c r="O567" i="49"/>
  <c r="L552" i="49"/>
  <c r="N552" i="49"/>
  <c r="O552" i="49"/>
  <c r="N388" i="49"/>
  <c r="A388" i="49"/>
  <c r="A3024" i="23"/>
  <c r="G3289" i="23"/>
  <c r="O3289" i="23" s="1"/>
  <c r="G2976" i="23"/>
  <c r="G1379" i="23"/>
  <c r="G1383" i="23" s="1"/>
  <c r="N1383" i="23" s="1"/>
  <c r="O480" i="49"/>
  <c r="A480" i="49"/>
  <c r="L567" i="49"/>
  <c r="L3158" i="23"/>
  <c r="M3158" i="23"/>
  <c r="M492" i="49"/>
  <c r="O492" i="49"/>
  <c r="A492" i="49"/>
  <c r="N492" i="49"/>
  <c r="N2606" i="23"/>
  <c r="A2606" i="23"/>
  <c r="C755" i="23"/>
  <c r="C761" i="23" s="1"/>
  <c r="C768" i="23" s="1"/>
  <c r="C771" i="23" s="1"/>
  <c r="C777" i="23" s="1"/>
  <c r="C784" i="23" s="1"/>
  <c r="G758" i="23"/>
  <c r="L758" i="23" s="1"/>
  <c r="A1111" i="23"/>
  <c r="M1111" i="23"/>
  <c r="L551" i="49"/>
  <c r="O551" i="49"/>
  <c r="M551" i="49"/>
  <c r="N551" i="49"/>
  <c r="O539" i="49"/>
  <c r="M539" i="49"/>
  <c r="L207" i="49"/>
  <c r="N207" i="49"/>
  <c r="M2395" i="23"/>
  <c r="M932" i="23"/>
  <c r="O932" i="23"/>
  <c r="A932" i="23"/>
  <c r="L932" i="23"/>
  <c r="G2501" i="23"/>
  <c r="M2498" i="23"/>
  <c r="O2498" i="23"/>
  <c r="G2500" i="23"/>
  <c r="N2500" i="23" s="1"/>
  <c r="L3310" i="23"/>
  <c r="N3310" i="23"/>
  <c r="O3310" i="23"/>
  <c r="G2442" i="23"/>
  <c r="M2440" i="23"/>
  <c r="O2440" i="23"/>
  <c r="G2451" i="23"/>
  <c r="N2451" i="23" s="1"/>
  <c r="G2426" i="23"/>
  <c r="G2429" i="23"/>
  <c r="G2428" i="23"/>
  <c r="O1039" i="23"/>
  <c r="L1039" i="23"/>
  <c r="A3026" i="23"/>
  <c r="N3026" i="23"/>
  <c r="M3026" i="23"/>
  <c r="N3442" i="23"/>
  <c r="L3442" i="23"/>
  <c r="O3442" i="23"/>
  <c r="M3442" i="23"/>
  <c r="G3448" i="23"/>
  <c r="M3448" i="23" s="1"/>
  <c r="G3444" i="23"/>
  <c r="A3444" i="23" s="1"/>
  <c r="A3331" i="23"/>
  <c r="O3331" i="23"/>
  <c r="M3331" i="23"/>
  <c r="L3331" i="23"/>
  <c r="M1057" i="23"/>
  <c r="N1057" i="23"/>
  <c r="L380" i="49"/>
  <c r="O380" i="49"/>
  <c r="A380" i="49"/>
  <c r="M380" i="49"/>
  <c r="N501" i="49"/>
  <c r="O501" i="49"/>
  <c r="O220" i="49"/>
  <c r="N220" i="49"/>
  <c r="M569" i="49"/>
  <c r="L569" i="49"/>
  <c r="A526" i="49"/>
  <c r="O526" i="49"/>
  <c r="C3390" i="23"/>
  <c r="C3391" i="23" s="1"/>
  <c r="C3392" i="23" s="1"/>
  <c r="M2410" i="23"/>
  <c r="I617" i="1"/>
  <c r="S2204" i="1"/>
  <c r="T2145" i="1"/>
  <c r="C2145" i="1"/>
  <c r="H2129" i="1"/>
  <c r="C2129" i="1"/>
  <c r="S2161" i="1"/>
  <c r="C2161" i="1"/>
  <c r="S2176" i="1"/>
  <c r="C2176" i="1"/>
  <c r="U2149" i="1"/>
  <c r="C2149" i="1"/>
  <c r="T2174" i="1"/>
  <c r="U2116" i="1"/>
  <c r="T2107" i="1"/>
  <c r="T2157" i="1"/>
  <c r="C2157" i="1"/>
  <c r="G50" i="49"/>
  <c r="A50" i="49" s="1"/>
  <c r="G643" i="23"/>
  <c r="N643" i="23" s="1"/>
  <c r="L360" i="49"/>
  <c r="J1902" i="23"/>
  <c r="N1902" i="23" s="1"/>
  <c r="F1902" i="23"/>
  <c r="H1902" i="23"/>
  <c r="L1902" i="23" s="1"/>
  <c r="D1902" i="23"/>
  <c r="K1902" i="23"/>
  <c r="O1902" i="23" s="1"/>
  <c r="I1902" i="23"/>
  <c r="M1902" i="23" s="1"/>
  <c r="E1902" i="23"/>
  <c r="J1903" i="23"/>
  <c r="N1903" i="23" s="1"/>
  <c r="F1903" i="23"/>
  <c r="H1903" i="23"/>
  <c r="L1903" i="23" s="1"/>
  <c r="D1903" i="23"/>
  <c r="K1903" i="23"/>
  <c r="O1903" i="23" s="1"/>
  <c r="I1903" i="23"/>
  <c r="M1903" i="23" s="1"/>
  <c r="E1903" i="23"/>
  <c r="K1904" i="23"/>
  <c r="O1904" i="23" s="1"/>
  <c r="I1904" i="23"/>
  <c r="M1904" i="23" s="1"/>
  <c r="E1904" i="23"/>
  <c r="H1904" i="23"/>
  <c r="L1904" i="23" s="1"/>
  <c r="D1904" i="23"/>
  <c r="J1904" i="23"/>
  <c r="N1904" i="23" s="1"/>
  <c r="F1904" i="23"/>
  <c r="H1901" i="23"/>
  <c r="L1901" i="23" s="1"/>
  <c r="K1901" i="23"/>
  <c r="O1901" i="23" s="1"/>
  <c r="E1901" i="23"/>
  <c r="D1901" i="23"/>
  <c r="J1901" i="23"/>
  <c r="N1901" i="23" s="1"/>
  <c r="F1901" i="23"/>
  <c r="G1987" i="23"/>
  <c r="M1969" i="23"/>
  <c r="L1969" i="23"/>
  <c r="A1969" i="23"/>
  <c r="O1969" i="23"/>
  <c r="N1969" i="23"/>
  <c r="A418" i="49"/>
  <c r="L418" i="49"/>
  <c r="M418" i="49"/>
  <c r="O78" i="1"/>
  <c r="O79" i="1" s="1"/>
  <c r="O75" i="1"/>
  <c r="O76" i="1" s="1"/>
  <c r="L488" i="1"/>
  <c r="L495" i="1" s="1"/>
  <c r="O495" i="49"/>
  <c r="G51" i="49"/>
  <c r="N80" i="49"/>
  <c r="M74" i="49"/>
  <c r="N2793" i="23"/>
  <c r="O120" i="1"/>
  <c r="O124" i="1" s="1"/>
  <c r="O173" i="1"/>
  <c r="O174" i="1" s="1"/>
  <c r="O152" i="1"/>
  <c r="O155" i="1" s="1"/>
  <c r="O103" i="1"/>
  <c r="O105" i="1" s="1"/>
  <c r="G1470" i="23"/>
  <c r="L1470" i="23" s="1"/>
  <c r="A1627" i="23"/>
  <c r="A1645" i="23" s="1"/>
  <c r="G1554" i="23"/>
  <c r="N1554" i="23" s="1"/>
  <c r="G1463" i="23"/>
  <c r="L1463" i="23" s="1"/>
  <c r="A1461" i="23"/>
  <c r="A1462" i="23" s="1"/>
  <c r="A1549" i="23"/>
  <c r="A1550" i="23" s="1"/>
  <c r="G1722" i="23"/>
  <c r="M1366" i="23"/>
  <c r="O1366" i="23"/>
  <c r="G1459" i="23"/>
  <c r="N1459" i="23" s="1"/>
  <c r="O1365" i="23"/>
  <c r="C1360" i="23"/>
  <c r="C1632" i="23"/>
  <c r="G1786" i="23"/>
  <c r="M1786" i="23" s="1"/>
  <c r="M1632" i="23"/>
  <c r="A1632" i="23"/>
  <c r="A1635" i="23"/>
  <c r="O1455" i="23"/>
  <c r="L1365" i="23"/>
  <c r="G1650" i="23"/>
  <c r="C1650" i="23" s="1"/>
  <c r="O2243" i="23"/>
  <c r="G1802" i="23"/>
  <c r="G1716" i="23"/>
  <c r="L2243" i="23"/>
  <c r="N571" i="1"/>
  <c r="T539" i="1"/>
  <c r="S2279" i="1"/>
  <c r="S2143" i="1"/>
  <c r="U2143" i="1"/>
  <c r="H2143" i="1"/>
  <c r="T2143" i="1"/>
  <c r="G1520" i="1"/>
  <c r="U1593" i="1"/>
  <c r="S1591" i="1"/>
  <c r="T1595" i="1"/>
  <c r="U2242" i="1"/>
  <c r="H1593" i="1"/>
  <c r="J1591" i="1"/>
  <c r="H2242" i="1"/>
  <c r="AD73" i="2" s="1"/>
  <c r="S1595" i="1"/>
  <c r="J890" i="1"/>
  <c r="J893" i="1" s="1"/>
  <c r="T1593" i="1"/>
  <c r="C1595" i="1"/>
  <c r="T2242" i="1"/>
  <c r="U1595" i="1"/>
  <c r="S1593" i="1"/>
  <c r="J1595" i="1"/>
  <c r="J2242" i="1"/>
  <c r="J1604" i="1"/>
  <c r="U1604" i="1"/>
  <c r="T1604" i="1"/>
  <c r="J626" i="1"/>
  <c r="U1607" i="1"/>
  <c r="H1607" i="1"/>
  <c r="S1607" i="1"/>
  <c r="G1699" i="1"/>
  <c r="H1699" i="1" s="1"/>
  <c r="T1607" i="1"/>
  <c r="U2235" i="1"/>
  <c r="H2235" i="1"/>
  <c r="AD66" i="2" s="1"/>
  <c r="J2235" i="1"/>
  <c r="J635" i="1"/>
  <c r="J636" i="1" s="1"/>
  <c r="J72" i="1"/>
  <c r="J73" i="1" s="1"/>
  <c r="J27" i="1"/>
  <c r="J30" i="1" s="1"/>
  <c r="J1154" i="1"/>
  <c r="J1155" i="1" s="1"/>
  <c r="J208" i="1"/>
  <c r="J209" i="1" s="1"/>
  <c r="J1212" i="1"/>
  <c r="J1206" i="1"/>
  <c r="J513" i="1"/>
  <c r="J769" i="1"/>
  <c r="J773" i="1" s="1"/>
  <c r="J37" i="1"/>
  <c r="J41" i="1" s="1"/>
  <c r="J233" i="1"/>
  <c r="J234" i="1" s="1"/>
  <c r="J130" i="1"/>
  <c r="J134" i="1" s="1"/>
  <c r="J797" i="1"/>
  <c r="J801" i="1" s="1"/>
  <c r="J47" i="1"/>
  <c r="J51" i="1" s="1"/>
  <c r="J811" i="1"/>
  <c r="J815" i="1" s="1"/>
  <c r="J163" i="1"/>
  <c r="J166" i="1" s="1"/>
  <c r="J1221" i="1"/>
  <c r="J93" i="1"/>
  <c r="J97" i="1" s="1"/>
  <c r="J184" i="1"/>
  <c r="J186" i="1" s="1"/>
  <c r="J908" i="1"/>
  <c r="J909" i="1" s="1"/>
  <c r="J408" i="1"/>
  <c r="J411" i="1" s="1"/>
  <c r="J774" i="1"/>
  <c r="J948" i="1"/>
  <c r="J951" i="1" s="1"/>
  <c r="J1189" i="1"/>
  <c r="J1193" i="1" s="1"/>
  <c r="J1238" i="1"/>
  <c r="J663" i="1"/>
  <c r="J670" i="1" s="1"/>
  <c r="J109" i="1"/>
  <c r="J113" i="1" s="1"/>
  <c r="J649" i="1"/>
  <c r="J651" i="1" s="1"/>
  <c r="J765" i="1"/>
  <c r="J767" i="1" s="1"/>
  <c r="J455" i="1"/>
  <c r="J458" i="1" s="1"/>
  <c r="J449" i="1"/>
  <c r="J454" i="1" s="1"/>
  <c r="J547" i="1"/>
  <c r="J552" i="1" s="1"/>
  <c r="J1228" i="1"/>
  <c r="J249" i="1"/>
  <c r="J250" i="1" s="1"/>
  <c r="J671" i="1"/>
  <c r="J674" i="1" s="1"/>
  <c r="J992" i="1"/>
  <c r="J205" i="1"/>
  <c r="J488" i="1"/>
  <c r="J872" i="1"/>
  <c r="J881" i="1" s="1"/>
  <c r="J1098" i="1"/>
  <c r="J861" i="1"/>
  <c r="J463" i="1"/>
  <c r="J480" i="1"/>
  <c r="J1235" i="1"/>
  <c r="J423" i="1"/>
  <c r="J200" i="1"/>
  <c r="J238" i="1"/>
  <c r="J260" i="1"/>
  <c r="J173" i="1"/>
  <c r="J17" i="1"/>
  <c r="J20" i="1" s="1"/>
  <c r="J222" i="1"/>
  <c r="J225" i="1" s="1"/>
  <c r="J312" i="1"/>
  <c r="J319" i="1" s="1"/>
  <c r="J1159" i="1"/>
  <c r="J1164" i="1" s="1"/>
  <c r="J724" i="1"/>
  <c r="J727" i="1" s="1"/>
  <c r="J178" i="1"/>
  <c r="J183" i="1" s="1"/>
  <c r="J52" i="1"/>
  <c r="J59" i="1" s="1"/>
  <c r="J1236" i="1"/>
  <c r="J709" i="1"/>
  <c r="J712" i="1" s="1"/>
  <c r="J391" i="1"/>
  <c r="J396" i="1" s="1"/>
  <c r="J325" i="1"/>
  <c r="J329" i="1" s="1"/>
  <c r="J379" i="1"/>
  <c r="J383" i="1" s="1"/>
  <c r="J562" i="1"/>
  <c r="J566" i="1" s="1"/>
  <c r="J737" i="1"/>
  <c r="J738" i="1" s="1"/>
  <c r="J695" i="1"/>
  <c r="J701" i="1" s="1"/>
  <c r="J103" i="1"/>
  <c r="J743" i="1"/>
  <c r="J745" i="1" s="1"/>
  <c r="H1591" i="1"/>
  <c r="J584" i="1"/>
  <c r="J587" i="1" s="1"/>
  <c r="T1591" i="1"/>
  <c r="J1205" i="1"/>
  <c r="J62" i="1"/>
  <c r="J69" i="1" s="1"/>
  <c r="J845" i="1"/>
  <c r="J846" i="1" s="1"/>
  <c r="J227" i="1"/>
  <c r="J230" i="1" s="1"/>
  <c r="J21" i="1"/>
  <c r="J22" i="1" s="1"/>
  <c r="J384" i="1"/>
  <c r="J389" i="1" s="1"/>
  <c r="J75" i="1"/>
  <c r="J76" i="1" s="1"/>
  <c r="J418" i="1"/>
  <c r="J420" i="1" s="1"/>
  <c r="J1220" i="1"/>
  <c r="J751" i="1"/>
  <c r="J755" i="1" s="1"/>
  <c r="J1244" i="1"/>
  <c r="J1137" i="1"/>
  <c r="J1151" i="1" s="1"/>
  <c r="J531" i="1"/>
  <c r="J535" i="1" s="1"/>
  <c r="J900" i="1"/>
  <c r="J902" i="1" s="1"/>
  <c r="J343" i="1"/>
  <c r="J346" i="1" s="1"/>
  <c r="J940" i="1"/>
  <c r="J941" i="1" s="1"/>
  <c r="J1165" i="1"/>
  <c r="J1167" i="1" s="1"/>
  <c r="J142" i="1"/>
  <c r="J146" i="1" s="1"/>
  <c r="J1237" i="1"/>
  <c r="J591" i="1"/>
  <c r="J594" i="1" s="1"/>
  <c r="J922" i="1"/>
  <c r="J928" i="1" s="1"/>
  <c r="J588" i="1"/>
  <c r="J589" i="1" s="1"/>
  <c r="J114" i="1"/>
  <c r="J116" i="1" s="1"/>
  <c r="J1070" i="1"/>
  <c r="J1081" i="1" s="1"/>
  <c r="J1203" i="1"/>
  <c r="J1177" i="1"/>
  <c r="J1182" i="1" s="1"/>
  <c r="J338" i="1"/>
  <c r="J341" i="1" s="1"/>
  <c r="J966" i="1"/>
  <c r="J971" i="1" s="1"/>
  <c r="J254" i="1"/>
  <c r="J257" i="1" s="1"/>
  <c r="J852" i="1"/>
  <c r="J856" i="1" s="1"/>
  <c r="J642" i="1"/>
  <c r="J648" i="1" s="1"/>
  <c r="J857" i="1"/>
  <c r="J1121" i="1"/>
  <c r="J911" i="1"/>
  <c r="J1031" i="1"/>
  <c r="J1044" i="1" s="1"/>
  <c r="J785" i="1"/>
  <c r="J1006" i="1"/>
  <c r="J135" i="1"/>
  <c r="J677" i="1"/>
  <c r="J678" i="1" s="1"/>
  <c r="J373" i="1"/>
  <c r="J376" i="1" s="1"/>
  <c r="J838" i="1"/>
  <c r="J840" i="1" s="1"/>
  <c r="J804" i="1"/>
  <c r="J808" i="1" s="1"/>
  <c r="J1233" i="1"/>
  <c r="J120" i="1"/>
  <c r="J121" i="1" s="1"/>
  <c r="J403" i="1"/>
  <c r="J406" i="1" s="1"/>
  <c r="J716" i="1"/>
  <c r="J717" i="1" s="1"/>
  <c r="J42" i="1"/>
  <c r="J45" i="1" s="1"/>
  <c r="J368" i="1"/>
  <c r="J371" i="1" s="1"/>
  <c r="J138" i="1"/>
  <c r="J141" i="1" s="1"/>
  <c r="J195" i="1"/>
  <c r="J198" i="1" s="1"/>
  <c r="J397" i="1"/>
  <c r="J402" i="1" s="1"/>
  <c r="J1241" i="1"/>
  <c r="J32" i="1"/>
  <c r="J36" i="1" s="1"/>
  <c r="J600" i="1"/>
  <c r="J603" i="1" s="1"/>
  <c r="J655" i="1"/>
  <c r="J658" i="1" s="1"/>
  <c r="J608" i="1"/>
  <c r="J609" i="1" s="1"/>
  <c r="J14" i="1"/>
  <c r="J15" i="1" s="1"/>
  <c r="J244" i="1"/>
  <c r="J248" i="1" s="1"/>
  <c r="J266" i="1"/>
  <c r="J269" i="1" s="1"/>
  <c r="J718" i="1"/>
  <c r="J723" i="1" s="1"/>
  <c r="J290" i="1"/>
  <c r="J616" i="1"/>
  <c r="J619" i="1" s="1"/>
  <c r="J334" i="1"/>
  <c r="J496" i="1"/>
  <c r="J506" i="1" s="1"/>
  <c r="J576" i="1"/>
  <c r="J577" i="1" s="1"/>
  <c r="J1110" i="1"/>
  <c r="J1120" i="1" s="1"/>
  <c r="J869" i="1"/>
  <c r="J870" i="1" s="1"/>
  <c r="J125" i="1"/>
  <c r="J126" i="1" s="1"/>
  <c r="J217" i="1"/>
  <c r="J219" i="1" s="1"/>
  <c r="J790" i="1"/>
  <c r="J793" i="1" s="1"/>
  <c r="J553" i="1"/>
  <c r="J557" i="1" s="1"/>
  <c r="J1204" i="1"/>
  <c r="J679" i="1"/>
  <c r="S2235" i="1"/>
  <c r="J1234" i="1"/>
  <c r="J1239" i="1"/>
  <c r="J604" i="1"/>
  <c r="T1700" i="1"/>
  <c r="G1649" i="1"/>
  <c r="U1649" i="1" s="1"/>
  <c r="T2236" i="1"/>
  <c r="U2236" i="1"/>
  <c r="S2289" i="1"/>
  <c r="H2225" i="1"/>
  <c r="T2289" i="1"/>
  <c r="H2176" i="1"/>
  <c r="U2176" i="1"/>
  <c r="T2176" i="1"/>
  <c r="H1700" i="1"/>
  <c r="S1700" i="1"/>
  <c r="U1700" i="1"/>
  <c r="G2292" i="1"/>
  <c r="C2292" i="1" s="1"/>
  <c r="C1798" i="1"/>
  <c r="S1740" i="1"/>
  <c r="K2291" i="1"/>
  <c r="U2291" i="1"/>
  <c r="S709" i="1"/>
  <c r="N3180" i="23"/>
  <c r="N2673" i="23"/>
  <c r="G3418" i="23"/>
  <c r="M3418" i="23" s="1"/>
  <c r="O2655" i="23"/>
  <c r="A2786" i="23"/>
  <c r="G2663" i="23"/>
  <c r="A2663" i="23" s="1"/>
  <c r="O591" i="23"/>
  <c r="A591" i="23"/>
  <c r="O2659" i="23"/>
  <c r="G2660" i="23"/>
  <c r="A2638" i="23"/>
  <c r="A2639" i="23" s="1"/>
  <c r="L2603" i="23"/>
  <c r="N911" i="23"/>
  <c r="S635" i="1"/>
  <c r="S718" i="1"/>
  <c r="S663" i="1"/>
  <c r="S649" i="1"/>
  <c r="S703" i="1"/>
  <c r="S679" i="1"/>
  <c r="I497" i="1"/>
  <c r="I545" i="1"/>
  <c r="I533" i="1"/>
  <c r="I582" i="1"/>
  <c r="I551" i="1"/>
  <c r="I530" i="1"/>
  <c r="I508" i="1"/>
  <c r="I515" i="1"/>
  <c r="I523" i="1"/>
  <c r="I514" i="1"/>
  <c r="I556" i="1"/>
  <c r="I581" i="1"/>
  <c r="I557" i="1"/>
  <c r="I461" i="1"/>
  <c r="I482" i="1"/>
  <c r="I552" i="1"/>
  <c r="I529" i="1"/>
  <c r="U2285" i="1"/>
  <c r="T2279" i="1"/>
  <c r="I504" i="1"/>
  <c r="I510" i="1"/>
  <c r="T1763" i="1"/>
  <c r="T2293" i="1"/>
  <c r="U1763" i="1"/>
  <c r="U2279" i="1"/>
  <c r="I501" i="1"/>
  <c r="I524" i="1"/>
  <c r="I511" i="1"/>
  <c r="H2293" i="1"/>
  <c r="U1451" i="1"/>
  <c r="S1763" i="1"/>
  <c r="S1651" i="1"/>
  <c r="I589" i="1"/>
  <c r="K2289" i="1"/>
  <c r="U2268" i="1"/>
  <c r="K2279" i="1"/>
  <c r="S496" i="1"/>
  <c r="I500" i="1"/>
  <c r="I505" i="1"/>
  <c r="I518" i="1"/>
  <c r="I517" i="1"/>
  <c r="I478" i="1"/>
  <c r="I555" i="1"/>
  <c r="I459" i="1"/>
  <c r="I536" i="1"/>
  <c r="I540" i="1"/>
  <c r="I544" i="1"/>
  <c r="I450" i="1"/>
  <c r="I558" i="1"/>
  <c r="I535" i="1"/>
  <c r="I538" i="1"/>
  <c r="I559" i="1"/>
  <c r="I487" i="1"/>
  <c r="I534" i="1"/>
  <c r="I548" i="1"/>
  <c r="I560" i="1"/>
  <c r="I537" i="1"/>
  <c r="I525" i="1"/>
  <c r="I561" i="1"/>
  <c r="I549" i="1"/>
  <c r="I451" i="1"/>
  <c r="I528" i="1"/>
  <c r="I526" i="1"/>
  <c r="I543" i="1"/>
  <c r="I509" i="1"/>
  <c r="I516" i="1"/>
  <c r="I520" i="1"/>
  <c r="I579" i="1"/>
  <c r="I506" i="1"/>
  <c r="I503" i="1"/>
  <c r="I564" i="1"/>
  <c r="I605" i="1"/>
  <c r="I498" i="1"/>
  <c r="I519" i="1"/>
  <c r="I512" i="1"/>
  <c r="I568" i="1"/>
  <c r="I577" i="1"/>
  <c r="I502" i="1"/>
  <c r="I499" i="1"/>
  <c r="I563" i="1"/>
  <c r="I572" i="1"/>
  <c r="I542" i="1"/>
  <c r="I571" i="1"/>
  <c r="I607" i="1"/>
  <c r="I453" i="1"/>
  <c r="I460" i="1"/>
  <c r="I570" i="1"/>
  <c r="I477" i="1"/>
  <c r="I484" i="1"/>
  <c r="I569" i="1"/>
  <c r="I458" i="1"/>
  <c r="I574" i="1"/>
  <c r="I541" i="1"/>
  <c r="I481" i="1"/>
  <c r="I486" i="1"/>
  <c r="I454" i="1"/>
  <c r="I462" i="1"/>
  <c r="I456" i="1"/>
  <c r="I483" i="1"/>
  <c r="I566" i="1"/>
  <c r="I565" i="1"/>
  <c r="I573" i="1"/>
  <c r="L391" i="49"/>
  <c r="B11" i="2"/>
  <c r="J478" i="23"/>
  <c r="N478" i="23" s="1"/>
  <c r="H478" i="23"/>
  <c r="L478" i="23" s="1"/>
  <c r="F478" i="23"/>
  <c r="D478" i="23"/>
  <c r="E478" i="23"/>
  <c r="K478" i="23"/>
  <c r="O478" i="23" s="1"/>
  <c r="E2245" i="23"/>
  <c r="K2245" i="23"/>
  <c r="D2245" i="23"/>
  <c r="I2245" i="23"/>
  <c r="H3244" i="23"/>
  <c r="I3244" i="23"/>
  <c r="K1633" i="23"/>
  <c r="I1633" i="23"/>
  <c r="E1633" i="23"/>
  <c r="J1633" i="23"/>
  <c r="G707" i="49"/>
  <c r="M108" i="49"/>
  <c r="K663" i="23"/>
  <c r="H663" i="23"/>
  <c r="F663" i="23"/>
  <c r="J663" i="23"/>
  <c r="J2243" i="23"/>
  <c r="N2243" i="23" s="1"/>
  <c r="F2243" i="23"/>
  <c r="M651" i="49"/>
  <c r="L651" i="49"/>
  <c r="G2068" i="1"/>
  <c r="S2068" i="1" s="1"/>
  <c r="D1359" i="23"/>
  <c r="K1359" i="23"/>
  <c r="O1359" i="23" s="1"/>
  <c r="F1359" i="23"/>
  <c r="J1359" i="23"/>
  <c r="N1359" i="23" s="1"/>
  <c r="I2795" i="23"/>
  <c r="F2795" i="23"/>
  <c r="J2795" i="23"/>
  <c r="H2795" i="23"/>
  <c r="N417" i="49"/>
  <c r="A417" i="49"/>
  <c r="O417" i="49"/>
  <c r="M417" i="49"/>
  <c r="L417" i="49"/>
  <c r="F2393" i="23"/>
  <c r="E2393" i="23"/>
  <c r="K2393" i="23"/>
  <c r="M220" i="49"/>
  <c r="L220" i="49"/>
  <c r="F1635" i="23"/>
  <c r="K1635" i="23"/>
  <c r="J1635" i="23"/>
  <c r="J882" i="1"/>
  <c r="I1228" i="23"/>
  <c r="F1228" i="23"/>
  <c r="E1228" i="23"/>
  <c r="H1228" i="23"/>
  <c r="J2596" i="23"/>
  <c r="K2596" i="23"/>
  <c r="H2596" i="23"/>
  <c r="U2113" i="1"/>
  <c r="S2113" i="1"/>
  <c r="M2113" i="1"/>
  <c r="T2113" i="1"/>
  <c r="H2113" i="1"/>
  <c r="H2091" i="1"/>
  <c r="T2206" i="1"/>
  <c r="U2206" i="1"/>
  <c r="S2206" i="1"/>
  <c r="C2206" i="1"/>
  <c r="S2217" i="1"/>
  <c r="O881" i="1"/>
  <c r="H1850" i="1"/>
  <c r="L1850" i="1" s="1"/>
  <c r="S531" i="1"/>
  <c r="S2281" i="1"/>
  <c r="U562" i="1"/>
  <c r="T1084" i="1"/>
  <c r="T1070" i="1" s="1"/>
  <c r="S2220" i="1"/>
  <c r="S2116" i="1"/>
  <c r="H2300" i="1"/>
  <c r="S135" i="1"/>
  <c r="S2297" i="1"/>
  <c r="S790" i="1"/>
  <c r="G1070" i="23"/>
  <c r="G1071" i="23"/>
  <c r="G1072" i="23" s="1"/>
  <c r="G1069" i="23"/>
  <c r="G2510" i="23"/>
  <c r="N1192" i="23"/>
  <c r="M1007" i="23"/>
  <c r="G1058" i="23"/>
  <c r="M1058" i="23" s="1"/>
  <c r="L1057" i="23"/>
  <c r="L1160" i="23"/>
  <c r="G630" i="23"/>
  <c r="M630" i="23" s="1"/>
  <c r="O1051" i="23"/>
  <c r="D1637" i="23"/>
  <c r="I1637" i="23"/>
  <c r="E1637" i="23"/>
  <c r="F1637" i="23"/>
  <c r="K1637" i="23"/>
  <c r="F1634" i="23"/>
  <c r="K1634" i="23"/>
  <c r="O1634" i="23" s="1"/>
  <c r="D1634" i="23"/>
  <c r="E1634" i="23"/>
  <c r="L1008" i="23"/>
  <c r="G1096" i="23"/>
  <c r="L1096" i="23" s="1"/>
  <c r="F1005" i="23"/>
  <c r="J1005" i="23"/>
  <c r="N1005" i="23" s="1"/>
  <c r="E1005" i="23"/>
  <c r="K1005" i="23"/>
  <c r="O1005" i="23" s="1"/>
  <c r="D1005" i="23"/>
  <c r="I23" i="23"/>
  <c r="I24" i="23" s="1"/>
  <c r="C591" i="23"/>
  <c r="N2395" i="23"/>
  <c r="L911" i="23"/>
  <c r="G3505" i="23"/>
  <c r="M3505" i="23" s="1"/>
  <c r="G3485" i="23"/>
  <c r="L3485" i="23" s="1"/>
  <c r="G3497" i="23"/>
  <c r="O3497" i="23" s="1"/>
  <c r="A2613" i="23"/>
  <c r="G2614" i="23"/>
  <c r="N2614" i="23" s="1"/>
  <c r="G1578" i="23"/>
  <c r="L1578" i="23" s="1"/>
  <c r="O606" i="23"/>
  <c r="G608" i="23"/>
  <c r="M608" i="23" s="1"/>
  <c r="G2610" i="23"/>
  <c r="C2613" i="23"/>
  <c r="G3102" i="23"/>
  <c r="N3102" i="23" s="1"/>
  <c r="G3103" i="23"/>
  <c r="G3104" i="23" s="1"/>
  <c r="O3104" i="23" s="1"/>
  <c r="L3134" i="23"/>
  <c r="G3141" i="23"/>
  <c r="M3141" i="23" s="1"/>
  <c r="G1547" i="23"/>
  <c r="N1547" i="23" s="1"/>
  <c r="G3520" i="23"/>
  <c r="G3523" i="23" s="1"/>
  <c r="N1405" i="23"/>
  <c r="L1405" i="23"/>
  <c r="M1655" i="23"/>
  <c r="G1657" i="23"/>
  <c r="M1657" i="23" s="1"/>
  <c r="L1655" i="23"/>
  <c r="O1655" i="23"/>
  <c r="N1655" i="23"/>
  <c r="N2402" i="23"/>
  <c r="O2402" i="23"/>
  <c r="A2402" i="23"/>
  <c r="A3027" i="23"/>
  <c r="L3027" i="23"/>
  <c r="M3027" i="23"/>
  <c r="O3027" i="23"/>
  <c r="A3328" i="23"/>
  <c r="M3328" i="23"/>
  <c r="O3328" i="23"/>
  <c r="N3328" i="23"/>
  <c r="L3328" i="23"/>
  <c r="H101" i="23"/>
  <c r="F101" i="23"/>
  <c r="K101" i="23"/>
  <c r="E101" i="23"/>
  <c r="J101" i="23"/>
  <c r="D101" i="23"/>
  <c r="D6" i="2"/>
  <c r="E6" i="2"/>
  <c r="G2522" i="23"/>
  <c r="N2522" i="23" s="1"/>
  <c r="G2525" i="23"/>
  <c r="N2525" i="23" s="1"/>
  <c r="G2530" i="23"/>
  <c r="N2530" i="23" s="1"/>
  <c r="G2519" i="23"/>
  <c r="G2523" i="23"/>
  <c r="G2524" i="23"/>
  <c r="G2521" i="23"/>
  <c r="N2521" i="23" s="1"/>
  <c r="G609" i="23"/>
  <c r="G614" i="23"/>
  <c r="N614" i="23" s="1"/>
  <c r="G613" i="23"/>
  <c r="M613" i="23" s="1"/>
  <c r="M606" i="23"/>
  <c r="G611" i="23"/>
  <c r="A611" i="23" s="1"/>
  <c r="G610" i="23"/>
  <c r="N610" i="23" s="1"/>
  <c r="G616" i="23"/>
  <c r="O616" i="23" s="1"/>
  <c r="G1571" i="23"/>
  <c r="A1571" i="23" s="1"/>
  <c r="G3501" i="23"/>
  <c r="O3501" i="23" s="1"/>
  <c r="G1273" i="23"/>
  <c r="A1273" i="23" s="1"/>
  <c r="O471" i="23"/>
  <c r="M471" i="23"/>
  <c r="L471" i="23"/>
  <c r="N471" i="23"/>
  <c r="G2709" i="23"/>
  <c r="M2709" i="23" s="1"/>
  <c r="G618" i="23"/>
  <c r="O618" i="23" s="1"/>
  <c r="A606" i="23"/>
  <c r="A607" i="23" s="1"/>
  <c r="A2706" i="23"/>
  <c r="A2707" i="23" s="1"/>
  <c r="A2625" i="23"/>
  <c r="G1407" i="23"/>
  <c r="O1407" i="23" s="1"/>
  <c r="G3498" i="23"/>
  <c r="M3498" i="23" s="1"/>
  <c r="M392" i="23"/>
  <c r="O392" i="23"/>
  <c r="N1186" i="23"/>
  <c r="M1186" i="23"/>
  <c r="G1136" i="23"/>
  <c r="O1136" i="23" s="1"/>
  <c r="A1133" i="23"/>
  <c r="A1134" i="23" s="1"/>
  <c r="G1149" i="23"/>
  <c r="N1149" i="23" s="1"/>
  <c r="A1311" i="23"/>
  <c r="A1312" i="23" s="1"/>
  <c r="G1314" i="23"/>
  <c r="G1313" i="23"/>
  <c r="O1313" i="23" s="1"/>
  <c r="L2402" i="23"/>
  <c r="A2517" i="23"/>
  <c r="A2518" i="23" s="1"/>
  <c r="L1106" i="23"/>
  <c r="C599" i="23"/>
  <c r="C606" i="23" s="1"/>
  <c r="C620" i="23" s="1"/>
  <c r="C627" i="23" s="1"/>
  <c r="C636" i="23" s="1"/>
  <c r="M2934" i="23"/>
  <c r="C746" i="23"/>
  <c r="G645" i="23"/>
  <c r="O3180" i="23"/>
  <c r="L3180" i="23"/>
  <c r="A3180" i="23"/>
  <c r="J1651" i="1"/>
  <c r="O1089" i="23"/>
  <c r="L1092" i="23"/>
  <c r="K2281" i="1"/>
  <c r="G1373" i="23"/>
  <c r="N1372" i="23"/>
  <c r="U2217" i="1"/>
  <c r="H2281" i="1"/>
  <c r="N1090" i="23"/>
  <c r="O1080" i="23"/>
  <c r="G1052" i="23"/>
  <c r="L1052" i="23" s="1"/>
  <c r="M1051" i="23"/>
  <c r="M1340" i="23"/>
  <c r="A1340" i="23"/>
  <c r="O1403" i="23"/>
  <c r="L1054" i="23"/>
  <c r="M1054" i="23"/>
  <c r="U2281" i="1"/>
  <c r="U2299" i="1"/>
  <c r="O1235" i="23"/>
  <c r="A1405" i="23"/>
  <c r="A1406" i="23" s="1"/>
  <c r="O1372" i="23"/>
  <c r="G1408" i="23"/>
  <c r="O1408" i="23" s="1"/>
  <c r="A1372" i="23"/>
  <c r="A1049" i="23"/>
  <c r="C1451" i="1"/>
  <c r="H1774" i="1"/>
  <c r="U1774" i="1"/>
  <c r="U1850" i="1"/>
  <c r="C2217" i="1"/>
  <c r="S2291" i="1"/>
  <c r="H2277" i="1"/>
  <c r="K2293" i="1"/>
  <c r="U2293" i="1"/>
  <c r="S1850" i="1"/>
  <c r="T488" i="1"/>
  <c r="U290" i="1"/>
  <c r="T1774" i="1"/>
  <c r="H2291" i="1"/>
  <c r="K2285" i="1"/>
  <c r="C1774" i="1"/>
  <c r="K2290" i="1"/>
  <c r="S2293" i="1"/>
  <c r="S488" i="1"/>
  <c r="U423" i="1"/>
  <c r="U2297" i="1"/>
  <c r="S2280" i="1"/>
  <c r="T2290" i="1"/>
  <c r="U881" i="1"/>
  <c r="U872" i="1" s="1"/>
  <c r="U1828" i="1"/>
  <c r="T1828" i="1"/>
  <c r="H2280" i="1"/>
  <c r="U2280" i="1"/>
  <c r="U2282" i="1"/>
  <c r="T2280" i="1"/>
  <c r="S2290" i="1"/>
  <c r="T463" i="1"/>
  <c r="U2290" i="1"/>
  <c r="T881" i="1"/>
  <c r="T872" i="1" s="1"/>
  <c r="S695" i="1"/>
  <c r="S881" i="1"/>
  <c r="S872" i="1" s="1"/>
  <c r="H1828" i="1"/>
  <c r="L1828" i="1" s="1"/>
  <c r="T1031" i="1"/>
  <c r="A3185" i="23"/>
  <c r="O3185" i="23"/>
  <c r="O3244" i="23"/>
  <c r="L749" i="23"/>
  <c r="G634" i="23"/>
  <c r="A634" i="23" s="1"/>
  <c r="G124" i="23"/>
  <c r="N124" i="23" s="1"/>
  <c r="L128" i="23"/>
  <c r="G2651" i="23"/>
  <c r="A2651" i="23" s="1"/>
  <c r="G2596" i="23"/>
  <c r="A2596" i="23" s="1"/>
  <c r="M382" i="23"/>
  <c r="A636" i="23"/>
  <c r="A637" i="23" s="1"/>
  <c r="G1552" i="23"/>
  <c r="M115" i="23"/>
  <c r="G2946" i="23"/>
  <c r="N2946" i="23" s="1"/>
  <c r="N1366" i="23"/>
  <c r="N93" i="23"/>
  <c r="M746" i="23"/>
  <c r="L93" i="23"/>
  <c r="G111" i="23"/>
  <c r="N111" i="23" s="1"/>
  <c r="G99" i="23"/>
  <c r="M99" i="23" s="1"/>
  <c r="O627" i="23"/>
  <c r="O1048" i="23"/>
  <c r="N1080" i="23"/>
  <c r="G674" i="23"/>
  <c r="A674" i="23" s="1"/>
  <c r="A1366" i="23"/>
  <c r="O382" i="23"/>
  <c r="A2595" i="23"/>
  <c r="N2629" i="23"/>
  <c r="G109" i="23"/>
  <c r="O109" i="23" s="1"/>
  <c r="G98" i="23"/>
  <c r="M98" i="23" s="1"/>
  <c r="G112" i="23"/>
  <c r="A112" i="23" s="1"/>
  <c r="G103" i="23"/>
  <c r="M103" i="23" s="1"/>
  <c r="O2395" i="23"/>
  <c r="O3392" i="23"/>
  <c r="A115" i="23"/>
  <c r="A116" i="23" s="1"/>
  <c r="L2395" i="23"/>
  <c r="L115" i="23"/>
  <c r="O2465" i="23"/>
  <c r="G2468" i="23"/>
  <c r="G2472" i="23"/>
  <c r="G2470" i="23"/>
  <c r="L2465" i="23"/>
  <c r="G2473" i="23"/>
  <c r="N2473" i="23" s="1"/>
  <c r="G2469" i="23"/>
  <c r="N2469" i="23" s="1"/>
  <c r="A2465" i="23"/>
  <c r="A2466" i="23" s="1"/>
  <c r="G3123" i="23"/>
  <c r="G3121" i="23"/>
  <c r="A3121" i="23" s="1"/>
  <c r="G3124" i="23"/>
  <c r="A3124" i="23" s="1"/>
  <c r="G3125" i="23"/>
  <c r="N3125" i="23" s="1"/>
  <c r="G48" i="23"/>
  <c r="L48" i="23" s="1"/>
  <c r="A3118" i="23"/>
  <c r="A3119" i="23" s="1"/>
  <c r="N3118" i="23"/>
  <c r="A1101" i="23"/>
  <c r="A761" i="23"/>
  <c r="G788" i="23"/>
  <c r="N788" i="23" s="1"/>
  <c r="N862" i="23"/>
  <c r="L862" i="23"/>
  <c r="M862" i="23"/>
  <c r="H3394" i="23"/>
  <c r="L3394" i="23" s="1"/>
  <c r="D3394" i="23"/>
  <c r="J3394" i="23"/>
  <c r="N3394" i="23" s="1"/>
  <c r="E3394" i="23"/>
  <c r="H125" i="23"/>
  <c r="E125" i="23"/>
  <c r="D125" i="23"/>
  <c r="J125" i="23"/>
  <c r="F303" i="23"/>
  <c r="E303" i="23"/>
  <c r="J303" i="23"/>
  <c r="G2293" i="23"/>
  <c r="G2295" i="23" s="1"/>
  <c r="G2263" i="23"/>
  <c r="G2277" i="23"/>
  <c r="M1191" i="23"/>
  <c r="G136" i="23"/>
  <c r="O136" i="23" s="1"/>
  <c r="A145" i="23"/>
  <c r="A146" i="23" s="1"/>
  <c r="M620" i="23"/>
  <c r="G2546" i="23"/>
  <c r="M1154" i="23"/>
  <c r="O1193" i="23"/>
  <c r="A1160" i="23"/>
  <c r="A1161" i="23" s="1"/>
  <c r="C133" i="23"/>
  <c r="C134" i="23" s="1"/>
  <c r="G2635" i="23"/>
  <c r="N2635" i="23" s="1"/>
  <c r="A1339" i="23"/>
  <c r="G3537" i="23"/>
  <c r="L3537" i="23" s="1"/>
  <c r="G2516" i="23"/>
  <c r="M3118" i="23"/>
  <c r="A3134" i="23"/>
  <c r="A3135" i="23" s="1"/>
  <c r="G3139" i="23"/>
  <c r="A3139" i="23" s="1"/>
  <c r="A1103" i="23"/>
  <c r="G1182" i="23"/>
  <c r="M1182" i="23" s="1"/>
  <c r="N1179" i="23"/>
  <c r="G1414" i="23"/>
  <c r="A1414" i="23" s="1"/>
  <c r="N1449" i="23"/>
  <c r="G1451" i="23"/>
  <c r="M1270" i="23"/>
  <c r="A1191" i="23"/>
  <c r="G3540" i="23"/>
  <c r="O3540" i="23" s="1"/>
  <c r="O1191" i="23"/>
  <c r="G624" i="23"/>
  <c r="N624" i="23" s="1"/>
  <c r="L1192" i="23"/>
  <c r="M1193" i="23"/>
  <c r="C2625" i="23"/>
  <c r="C2630" i="23" s="1"/>
  <c r="C2638" i="23" s="1"/>
  <c r="C2646" i="23" s="1"/>
  <c r="L1335" i="23"/>
  <c r="O1315" i="23"/>
  <c r="G170" i="23"/>
  <c r="N170" i="23" s="1"/>
  <c r="M1188" i="23"/>
  <c r="G147" i="23"/>
  <c r="N147" i="23" s="1"/>
  <c r="G153" i="23"/>
  <c r="M153" i="23" s="1"/>
  <c r="G3552" i="23"/>
  <c r="O3552" i="23" s="1"/>
  <c r="G2511" i="23"/>
  <c r="G3120" i="23"/>
  <c r="L3120" i="23" s="1"/>
  <c r="G2471" i="23"/>
  <c r="K3394" i="23"/>
  <c r="O3394" i="23" s="1"/>
  <c r="I3394" i="23"/>
  <c r="M3394" i="23" s="1"/>
  <c r="G2467" i="23"/>
  <c r="G70" i="23"/>
  <c r="N70" i="23" s="1"/>
  <c r="O66" i="23"/>
  <c r="G72" i="23"/>
  <c r="A72" i="23" s="1"/>
  <c r="A75" i="23" s="1"/>
  <c r="G71" i="23"/>
  <c r="L71" i="23" s="1"/>
  <c r="A3097" i="23"/>
  <c r="G2979" i="23"/>
  <c r="A2979" i="23" s="1"/>
  <c r="C2595" i="23"/>
  <c r="C382" i="23"/>
  <c r="C383" i="23" s="1"/>
  <c r="N1549" i="23"/>
  <c r="N300" i="23"/>
  <c r="G1120" i="23"/>
  <c r="L1120" i="23" s="1"/>
  <c r="L300" i="23"/>
  <c r="G912" i="23"/>
  <c r="L1368" i="23"/>
  <c r="O300" i="23"/>
  <c r="H37" i="23"/>
  <c r="L37" i="23" s="1"/>
  <c r="D37" i="23"/>
  <c r="F3394" i="23"/>
  <c r="M1410" i="23"/>
  <c r="N853" i="23"/>
  <c r="O2629" i="23"/>
  <c r="N2414" i="23"/>
  <c r="A1192" i="23"/>
  <c r="N186" i="23"/>
  <c r="N1193" i="23"/>
  <c r="A80" i="23"/>
  <c r="M1192" i="23"/>
  <c r="A186" i="23"/>
  <c r="A187" i="23" s="1"/>
  <c r="A1410" i="23"/>
  <c r="A1411" i="23" s="1"/>
  <c r="G1412" i="23"/>
  <c r="G1415" i="23" s="1"/>
  <c r="N1415" i="23" s="1"/>
  <c r="L2414" i="23"/>
  <c r="G200" i="23"/>
  <c r="L200" i="23" s="1"/>
  <c r="N1154" i="23"/>
  <c r="G2492" i="23"/>
  <c r="O1192" i="23"/>
  <c r="A1626" i="23"/>
  <c r="L3094" i="23"/>
  <c r="M2974" i="23"/>
  <c r="O2606" i="23"/>
  <c r="O1410" i="23"/>
  <c r="G1413" i="23"/>
  <c r="C568" i="23"/>
  <c r="C569" i="23" s="1"/>
  <c r="M1189" i="23"/>
  <c r="G629" i="23"/>
  <c r="A629" i="23" s="1"/>
  <c r="G2415" i="23"/>
  <c r="M2415" i="23" s="1"/>
  <c r="G2677" i="23"/>
  <c r="A2677" i="23" s="1"/>
  <c r="G188" i="23"/>
  <c r="G203" i="23" s="1"/>
  <c r="O203" i="23" s="1"/>
  <c r="G2626" i="23"/>
  <c r="L2626" i="23" s="1"/>
  <c r="G2679" i="23"/>
  <c r="N2679" i="23" s="1"/>
  <c r="A2414" i="23"/>
  <c r="L1187" i="23"/>
  <c r="A3246" i="23"/>
  <c r="N2595" i="23"/>
  <c r="O1111" i="23"/>
  <c r="F481" i="23"/>
  <c r="H481" i="23"/>
  <c r="D481" i="23"/>
  <c r="E481" i="23"/>
  <c r="H570" i="23"/>
  <c r="E570" i="23"/>
  <c r="J570" i="23"/>
  <c r="K570" i="23"/>
  <c r="D2394" i="23"/>
  <c r="K2394" i="23"/>
  <c r="D1636" i="23"/>
  <c r="H1636" i="23"/>
  <c r="K1636" i="23"/>
  <c r="A2436" i="23"/>
  <c r="L2436" i="23"/>
  <c r="O2436" i="23"/>
  <c r="A1389" i="23"/>
  <c r="A1390" i="23" s="1"/>
  <c r="G1391" i="23"/>
  <c r="G1474" i="23"/>
  <c r="G1482" i="23" s="1"/>
  <c r="G1397" i="23"/>
  <c r="M1397" i="23" s="1"/>
  <c r="G1395" i="23"/>
  <c r="G1393" i="23"/>
  <c r="G1392" i="23"/>
  <c r="O1189" i="23"/>
  <c r="A1081" i="23"/>
  <c r="N1047" i="23"/>
  <c r="O1083" i="23"/>
  <c r="M599" i="23"/>
  <c r="G1394" i="23"/>
  <c r="L1394" i="23" s="1"/>
  <c r="A1087" i="23"/>
  <c r="N1087" i="23"/>
  <c r="O68" i="23"/>
  <c r="D570" i="23"/>
  <c r="A1232" i="23"/>
  <c r="O1232" i="23"/>
  <c r="L1232" i="23"/>
  <c r="N1232" i="23"/>
  <c r="M1232" i="23"/>
  <c r="G2497" i="23"/>
  <c r="N2497" i="23" s="1"/>
  <c r="M2493" i="23"/>
  <c r="O2493" i="23"/>
  <c r="L2493" i="23"/>
  <c r="A2493" i="23"/>
  <c r="A2494" i="23" s="1"/>
  <c r="G2549" i="23"/>
  <c r="M1081" i="23"/>
  <c r="N128" i="23"/>
  <c r="A128" i="23"/>
  <c r="A123" i="23"/>
  <c r="G150" i="23"/>
  <c r="L150" i="23" s="1"/>
  <c r="M123" i="23"/>
  <c r="G125" i="23"/>
  <c r="A125" i="23" s="1"/>
  <c r="G149" i="23"/>
  <c r="L149" i="23" s="1"/>
  <c r="G2540" i="23"/>
  <c r="N2540" i="23" s="1"/>
  <c r="A3471" i="23"/>
  <c r="A3472" i="23" s="1"/>
  <c r="N3471" i="23"/>
  <c r="G3473" i="23"/>
  <c r="G3542" i="23"/>
  <c r="G3541" i="23"/>
  <c r="O3541" i="23" s="1"/>
  <c r="G3551" i="23"/>
  <c r="A3551" i="23" s="1"/>
  <c r="G3555" i="23"/>
  <c r="A3555" i="23" s="1"/>
  <c r="G3549" i="23"/>
  <c r="L3549" i="23" s="1"/>
  <c r="G3553" i="23"/>
  <c r="M3553" i="23" s="1"/>
  <c r="G3550" i="23"/>
  <c r="M3550" i="23" s="1"/>
  <c r="A664" i="23"/>
  <c r="M664" i="23"/>
  <c r="M3028" i="23"/>
  <c r="O3028" i="23"/>
  <c r="L3028" i="23"/>
  <c r="N3028" i="23"/>
  <c r="G40" i="23"/>
  <c r="A39" i="23"/>
  <c r="L39" i="23"/>
  <c r="M39" i="23"/>
  <c r="L1363" i="23"/>
  <c r="A1363" i="23"/>
  <c r="O1081" i="23"/>
  <c r="G2496" i="23"/>
  <c r="G602" i="23"/>
  <c r="O602" i="23" s="1"/>
  <c r="A3028" i="23"/>
  <c r="N39" i="23"/>
  <c r="G1396" i="23"/>
  <c r="N1396" i="23" s="1"/>
  <c r="N1081" i="23"/>
  <c r="O123" i="23"/>
  <c r="G2495" i="23"/>
  <c r="L123" i="23"/>
  <c r="M128" i="23"/>
  <c r="O1049" i="23"/>
  <c r="A1080" i="23"/>
  <c r="M1080" i="23"/>
  <c r="O39" i="23"/>
  <c r="M2436" i="23"/>
  <c r="G1146" i="23"/>
  <c r="L1146" i="23" s="1"/>
  <c r="G1147" i="23"/>
  <c r="M1147" i="23" s="1"/>
  <c r="A1143" i="23"/>
  <c r="A1144" i="23" s="1"/>
  <c r="G1172" i="23"/>
  <c r="N1172" i="23" s="1"/>
  <c r="G1166" i="23"/>
  <c r="A1166" i="23" s="1"/>
  <c r="G1163" i="23"/>
  <c r="M1163" i="23" s="1"/>
  <c r="O1231" i="23"/>
  <c r="L44" i="23"/>
  <c r="G56" i="23"/>
  <c r="G58" i="23" s="1"/>
  <c r="A393" i="23"/>
  <c r="A394" i="23" s="1"/>
  <c r="L393" i="23"/>
  <c r="L3238" i="23"/>
  <c r="N2949" i="23"/>
  <c r="M2949" i="23"/>
  <c r="G3101" i="23"/>
  <c r="M3101" i="23" s="1"/>
  <c r="G2699" i="23"/>
  <c r="G2705" i="23"/>
  <c r="L2705" i="23" s="1"/>
  <c r="G2597" i="23"/>
  <c r="A2597" i="23" s="1"/>
  <c r="G1135" i="23"/>
  <c r="G1137" i="23"/>
  <c r="G1138" i="23"/>
  <c r="L1138" i="23" s="1"/>
  <c r="G1139" i="23"/>
  <c r="M1139" i="23" s="1"/>
  <c r="G1320" i="23"/>
  <c r="G1318" i="23"/>
  <c r="G1316" i="23"/>
  <c r="L1316" i="23" s="1"/>
  <c r="G152" i="23"/>
  <c r="G155" i="23"/>
  <c r="A155" i="23" s="1"/>
  <c r="A156" i="23" s="1"/>
  <c r="G204" i="23"/>
  <c r="L204" i="23" s="1"/>
  <c r="M636" i="23"/>
  <c r="G650" i="23"/>
  <c r="M650" i="23" s="1"/>
  <c r="G639" i="23"/>
  <c r="L636" i="23"/>
  <c r="G646" i="23"/>
  <c r="G642" i="23"/>
  <c r="N636" i="23"/>
  <c r="G649" i="23"/>
  <c r="O649" i="23" s="1"/>
  <c r="O1112" i="23"/>
  <c r="M3179" i="23"/>
  <c r="A3179" i="23"/>
  <c r="O3179" i="23"/>
  <c r="N3179" i="23"/>
  <c r="A1043" i="23"/>
  <c r="L1043" i="23"/>
  <c r="L1193" i="23"/>
  <c r="G1194" i="23"/>
  <c r="L1194" i="23" s="1"/>
  <c r="G199" i="23"/>
  <c r="G201" i="23" s="1"/>
  <c r="G194" i="23"/>
  <c r="G196" i="23" s="1"/>
  <c r="M2487" i="23"/>
  <c r="O2487" i="23"/>
  <c r="G1563" i="23"/>
  <c r="L1563" i="23" s="1"/>
  <c r="M1560" i="23"/>
  <c r="G2512" i="23"/>
  <c r="N2512" i="23" s="1"/>
  <c r="O2508" i="23"/>
  <c r="G2939" i="23"/>
  <c r="M2938" i="23"/>
  <c r="M1179" i="23"/>
  <c r="G1183" i="23"/>
  <c r="O1183" i="23" s="1"/>
  <c r="A1505" i="23"/>
  <c r="A1370" i="23"/>
  <c r="L1549" i="23"/>
  <c r="A1371" i="23"/>
  <c r="M1405" i="23"/>
  <c r="C35" i="23"/>
  <c r="L1037" i="23"/>
  <c r="N1037" i="23"/>
  <c r="A1037" i="23"/>
  <c r="M3310" i="23"/>
  <c r="A3310" i="23"/>
  <c r="G2444" i="23"/>
  <c r="N2444" i="23" s="1"/>
  <c r="G2445" i="23"/>
  <c r="N2445" i="23" s="1"/>
  <c r="N620" i="23"/>
  <c r="L1048" i="23"/>
  <c r="M1083" i="23"/>
  <c r="M1430" i="23"/>
  <c r="A1007" i="23"/>
  <c r="G1013" i="23"/>
  <c r="A1013" i="23" s="1"/>
  <c r="A1015" i="23" s="1"/>
  <c r="A1016" i="23" s="1"/>
  <c r="A1017" i="23" s="1"/>
  <c r="O133" i="23"/>
  <c r="O2673" i="23"/>
  <c r="G2676" i="23"/>
  <c r="O2676" i="23" s="1"/>
  <c r="A2692" i="23"/>
  <c r="A2693" i="23" s="1"/>
  <c r="G2700" i="23"/>
  <c r="C1007" i="23"/>
  <c r="N1051" i="23"/>
  <c r="L1007" i="23"/>
  <c r="N1054" i="23"/>
  <c r="A1054" i="23"/>
  <c r="M1160" i="23"/>
  <c r="G1167" i="23"/>
  <c r="O1167" i="23" s="1"/>
  <c r="L1051" i="23"/>
  <c r="N1007" i="23"/>
  <c r="G3137" i="23"/>
  <c r="M3137" i="23" s="1"/>
  <c r="N3134" i="23"/>
  <c r="N3089" i="23"/>
  <c r="O1363" i="23"/>
  <c r="O448" i="23"/>
  <c r="N926" i="23"/>
  <c r="A926" i="23"/>
  <c r="M926" i="23"/>
  <c r="O1449" i="23"/>
  <c r="M393" i="23"/>
  <c r="M3238" i="23"/>
  <c r="N1363" i="23"/>
  <c r="M1363" i="23"/>
  <c r="M3332" i="23"/>
  <c r="L3332" i="23"/>
  <c r="O3332" i="23"/>
  <c r="A3332" i="23"/>
  <c r="N3332" i="23"/>
  <c r="L2435" i="23"/>
  <c r="K481" i="23"/>
  <c r="J481" i="23"/>
  <c r="F214" i="23"/>
  <c r="H214" i="23"/>
  <c r="D214" i="23"/>
  <c r="J214" i="23"/>
  <c r="J2394" i="23"/>
  <c r="I2394" i="23"/>
  <c r="E2394" i="23"/>
  <c r="F2394" i="23"/>
  <c r="H2394" i="23"/>
  <c r="E1636" i="23"/>
  <c r="I1636" i="23"/>
  <c r="F1636" i="23"/>
  <c r="J1636" i="23"/>
  <c r="G2416" i="23"/>
  <c r="O2416" i="23" s="1"/>
  <c r="G198" i="23"/>
  <c r="M198" i="23" s="1"/>
  <c r="M2655" i="23"/>
  <c r="L2638" i="23"/>
  <c r="M662" i="23"/>
  <c r="O211" i="23"/>
  <c r="O3238" i="23"/>
  <c r="K214" i="23"/>
  <c r="L35" i="23"/>
  <c r="L1410" i="23"/>
  <c r="O3006" i="23"/>
  <c r="M859" i="23"/>
  <c r="M3016" i="23"/>
  <c r="A3016" i="23"/>
  <c r="D2597" i="23"/>
  <c r="E2597" i="23"/>
  <c r="F2597" i="23"/>
  <c r="I2597" i="23"/>
  <c r="H2597" i="23"/>
  <c r="J2597" i="23"/>
  <c r="K2597" i="23"/>
  <c r="E1230" i="23"/>
  <c r="I1230" i="23"/>
  <c r="D2796" i="23"/>
  <c r="H2796" i="23"/>
  <c r="F2796" i="23"/>
  <c r="I2796" i="23"/>
  <c r="E1108" i="23"/>
  <c r="H1108" i="23"/>
  <c r="I1108" i="23"/>
  <c r="F1108" i="23"/>
  <c r="C478" i="23"/>
  <c r="G490" i="23"/>
  <c r="G501" i="23"/>
  <c r="G483" i="23"/>
  <c r="M478" i="23"/>
  <c r="G542" i="23"/>
  <c r="G479" i="23"/>
  <c r="C2932" i="23"/>
  <c r="G2982" i="23"/>
  <c r="G3030" i="23"/>
  <c r="G2942" i="23"/>
  <c r="A2932" i="23"/>
  <c r="G2937" i="23"/>
  <c r="A2937" i="23" s="1"/>
  <c r="G2903" i="23"/>
  <c r="A2788" i="23"/>
  <c r="G2799" i="23"/>
  <c r="M2793" i="23"/>
  <c r="C2793" i="23"/>
  <c r="G2797" i="23"/>
  <c r="G2889" i="23"/>
  <c r="G2852" i="23"/>
  <c r="A2793" i="23"/>
  <c r="G2807" i="23"/>
  <c r="G1656" i="23"/>
  <c r="A1655" i="23"/>
  <c r="D3089" i="23"/>
  <c r="K3089" i="23"/>
  <c r="O3089" i="23" s="1"/>
  <c r="H3089" i="23"/>
  <c r="L3089" i="23" s="1"/>
  <c r="E3089" i="23"/>
  <c r="F3089" i="23"/>
  <c r="H303" i="23"/>
  <c r="D303" i="23"/>
  <c r="K303" i="23"/>
  <c r="J1514" i="23"/>
  <c r="E1514" i="23"/>
  <c r="I1514" i="23"/>
  <c r="F1514" i="23"/>
  <c r="H1514" i="23"/>
  <c r="K1008" i="23"/>
  <c r="O1008" i="23" s="1"/>
  <c r="D1008" i="23"/>
  <c r="E1008" i="23"/>
  <c r="J1008" i="23"/>
  <c r="N1008" i="23" s="1"/>
  <c r="F1008" i="23"/>
  <c r="G2339" i="23"/>
  <c r="G2304" i="23"/>
  <c r="M2243" i="23"/>
  <c r="G2254" i="23"/>
  <c r="G2333" i="23"/>
  <c r="G2336" i="23" s="1"/>
  <c r="G2255" i="23"/>
  <c r="G2244" i="23"/>
  <c r="G2287" i="23"/>
  <c r="G2247" i="23"/>
  <c r="G2259" i="23"/>
  <c r="G2345" i="23"/>
  <c r="G2248" i="23"/>
  <c r="G2256" i="23"/>
  <c r="C2243" i="23"/>
  <c r="G2253" i="23"/>
  <c r="G2298" i="23"/>
  <c r="G364" i="23"/>
  <c r="A300" i="23"/>
  <c r="G356" i="23"/>
  <c r="G312" i="23"/>
  <c r="G311" i="23"/>
  <c r="G304" i="23"/>
  <c r="M300" i="23"/>
  <c r="A295" i="23"/>
  <c r="G305" i="23"/>
  <c r="G301" i="23"/>
  <c r="C300" i="23"/>
  <c r="G323" i="23"/>
  <c r="D3241" i="23"/>
  <c r="I3241" i="23"/>
  <c r="F3241" i="23"/>
  <c r="J3241" i="23"/>
  <c r="H3241" i="23"/>
  <c r="L3241" i="23" s="1"/>
  <c r="K3241" i="23"/>
  <c r="E3241" i="23"/>
  <c r="J664" i="23"/>
  <c r="N664" i="23" s="1"/>
  <c r="H664" i="23"/>
  <c r="L664" i="23" s="1"/>
  <c r="K664" i="23"/>
  <c r="O664" i="23" s="1"/>
  <c r="D2937" i="23"/>
  <c r="J2937" i="23"/>
  <c r="K2937" i="23"/>
  <c r="F2937" i="23"/>
  <c r="C1907" i="1"/>
  <c r="K2282" i="1"/>
  <c r="N1044" i="1"/>
  <c r="S1800" i="1"/>
  <c r="T1898" i="1"/>
  <c r="C1915" i="1"/>
  <c r="S138" i="1"/>
  <c r="T2297" i="1"/>
  <c r="U2284" i="1"/>
  <c r="H2220" i="1"/>
  <c r="T1907" i="1"/>
  <c r="S553" i="1"/>
  <c r="S423" i="1"/>
  <c r="T2284" i="1"/>
  <c r="S2284" i="1"/>
  <c r="S811" i="1"/>
  <c r="U2220" i="1"/>
  <c r="U2129" i="1"/>
  <c r="S2017" i="1"/>
  <c r="H2282" i="1"/>
  <c r="S2282" i="1"/>
  <c r="T408" i="1"/>
  <c r="T2220" i="1"/>
  <c r="U436" i="1"/>
  <c r="S655" i="1"/>
  <c r="S724" i="1"/>
  <c r="S882" i="1"/>
  <c r="S804" i="1"/>
  <c r="T2338" i="1"/>
  <c r="L583" i="23"/>
  <c r="N583" i="23"/>
  <c r="M643" i="49"/>
  <c r="G644" i="49"/>
  <c r="A643" i="49"/>
  <c r="S642" i="1"/>
  <c r="N420" i="49"/>
  <c r="L926" i="23"/>
  <c r="A381" i="49"/>
  <c r="M381" i="49"/>
  <c r="L381" i="49"/>
  <c r="M720" i="49"/>
  <c r="G3250" i="23"/>
  <c r="T2287" i="1"/>
  <c r="S2287" i="1"/>
  <c r="H1846" i="1"/>
  <c r="L1846" i="1" s="1"/>
  <c r="S1802" i="1"/>
  <c r="S2225" i="1"/>
  <c r="G2295" i="1"/>
  <c r="C2295" i="1" s="1"/>
  <c r="S1786" i="1"/>
  <c r="U1739" i="1"/>
  <c r="K2297" i="1"/>
  <c r="C1740" i="1"/>
  <c r="H1740" i="1"/>
  <c r="G2283" i="1"/>
  <c r="C2283" i="1" s="1"/>
  <c r="U2300" i="1"/>
  <c r="T2300" i="1"/>
  <c r="U2201" i="1"/>
  <c r="S1846" i="1"/>
  <c r="T1800" i="1"/>
  <c r="T531" i="1"/>
  <c r="U2225" i="1"/>
  <c r="U2294" i="1"/>
  <c r="C1739" i="1"/>
  <c r="G1847" i="1"/>
  <c r="S1847" i="1" s="1"/>
  <c r="U1740" i="1"/>
  <c r="H2287" i="1"/>
  <c r="S2285" i="1"/>
  <c r="U2278" i="1"/>
  <c r="C1800" i="1"/>
  <c r="T2201" i="1"/>
  <c r="T2278" i="1"/>
  <c r="S737" i="1"/>
  <c r="H2278" i="1"/>
  <c r="U1508" i="1"/>
  <c r="C2225" i="1"/>
  <c r="S2278" i="1"/>
  <c r="K2300" i="1"/>
  <c r="K2294" i="1"/>
  <c r="U1846" i="1"/>
  <c r="T2217" i="1"/>
  <c r="S2174" i="1"/>
  <c r="S300" i="1"/>
  <c r="S290" i="1"/>
  <c r="T496" i="1"/>
  <c r="S539" i="1"/>
  <c r="S2149" i="1"/>
  <c r="T2149" i="1"/>
  <c r="H2161" i="1"/>
  <c r="H2174" i="1"/>
  <c r="U2174" i="1"/>
  <c r="H1907" i="1"/>
  <c r="U2161" i="1"/>
  <c r="T2161" i="1"/>
  <c r="U2091" i="1"/>
  <c r="H2149" i="1"/>
  <c r="G2126" i="1"/>
  <c r="C2126" i="1" s="1"/>
  <c r="S2091" i="1"/>
  <c r="M463" i="1"/>
  <c r="M152" i="1"/>
  <c r="M155" i="1" s="1"/>
  <c r="G2125" i="1"/>
  <c r="M163" i="1"/>
  <c r="M169" i="1" s="1"/>
  <c r="M83" i="1"/>
  <c r="M90" i="1" s="1"/>
  <c r="I1141" i="1"/>
  <c r="I1140" i="1"/>
  <c r="I1138" i="1"/>
  <c r="U2157" i="1"/>
  <c r="S2157" i="1"/>
  <c r="H2157" i="1"/>
  <c r="S817" i="1"/>
  <c r="M455" i="1"/>
  <c r="M78" i="1"/>
  <c r="M80" i="1" s="1"/>
  <c r="M93" i="1"/>
  <c r="M95" i="1" s="1"/>
  <c r="J348" i="1"/>
  <c r="G425" i="49"/>
  <c r="M412" i="49"/>
  <c r="G423" i="49"/>
  <c r="A412" i="49"/>
  <c r="G435" i="49"/>
  <c r="O412" i="49"/>
  <c r="L634" i="49"/>
  <c r="N634" i="49"/>
  <c r="A634" i="49"/>
  <c r="M634" i="49"/>
  <c r="C2188" i="1"/>
  <c r="H2188" i="1"/>
  <c r="G2185" i="1"/>
  <c r="G1826" i="1"/>
  <c r="G1825" i="1"/>
  <c r="T1824" i="1"/>
  <c r="U1824" i="1"/>
  <c r="C1824" i="1"/>
  <c r="H1824" i="1"/>
  <c r="L1824" i="1" s="1"/>
  <c r="J1195" i="1"/>
  <c r="L412" i="49"/>
  <c r="O18" i="49"/>
  <c r="O29" i="49" s="1"/>
  <c r="C18" i="49"/>
  <c r="A18" i="49"/>
  <c r="J300" i="1"/>
  <c r="C2186" i="1"/>
  <c r="H2186" i="1"/>
  <c r="N412" i="49"/>
  <c r="O503" i="49"/>
  <c r="N503" i="49"/>
  <c r="G508" i="49"/>
  <c r="G511" i="49"/>
  <c r="G506" i="49"/>
  <c r="G505" i="49"/>
  <c r="L503" i="49"/>
  <c r="G507" i="49"/>
  <c r="G514" i="49"/>
  <c r="G509" i="49"/>
  <c r="M503" i="49"/>
  <c r="A503" i="49"/>
  <c r="A504" i="49" s="1"/>
  <c r="G510" i="49"/>
  <c r="G1855" i="1"/>
  <c r="U1851" i="1"/>
  <c r="H1851" i="1"/>
  <c r="L1851" i="1" s="1"/>
  <c r="I1189" i="1"/>
  <c r="I1132" i="1"/>
  <c r="I1145" i="1" s="1"/>
  <c r="I1171" i="1"/>
  <c r="I1165" i="1"/>
  <c r="I1195" i="1"/>
  <c r="O496" i="1"/>
  <c r="O463" i="1"/>
  <c r="O513" i="1"/>
  <c r="O455" i="1"/>
  <c r="O480" i="1"/>
  <c r="O449" i="1"/>
  <c r="O488" i="1"/>
  <c r="G249" i="49"/>
  <c r="A249" i="49" s="1"/>
  <c r="M243" i="49"/>
  <c r="G252" i="49"/>
  <c r="G248" i="49"/>
  <c r="A248" i="49" s="1"/>
  <c r="N243" i="49"/>
  <c r="G250" i="49"/>
  <c r="A250" i="49" s="1"/>
  <c r="L243" i="49"/>
  <c r="O243" i="49"/>
  <c r="C477" i="49"/>
  <c r="A477" i="49"/>
  <c r="A478" i="49" s="1"/>
  <c r="G482" i="49"/>
  <c r="M477" i="49"/>
  <c r="G483" i="49"/>
  <c r="O477" i="49"/>
  <c r="G481" i="49"/>
  <c r="G221" i="49"/>
  <c r="A221" i="49" s="1"/>
  <c r="I9" i="49"/>
  <c r="J9" i="49" s="1"/>
  <c r="I1154" i="1"/>
  <c r="I1183" i="1"/>
  <c r="L420" i="49"/>
  <c r="M420" i="49"/>
  <c r="A420" i="49"/>
  <c r="C2207" i="1"/>
  <c r="H2207" i="1"/>
  <c r="C37" i="49"/>
  <c r="C38" i="49"/>
  <c r="C40" i="49"/>
  <c r="I1177" i="1"/>
  <c r="I1159" i="1"/>
  <c r="K2284" i="1"/>
  <c r="H2201" i="1"/>
  <c r="S2201" i="1"/>
  <c r="J982" i="1"/>
  <c r="H1911" i="1"/>
  <c r="H2285" i="1"/>
  <c r="S2310" i="1"/>
  <c r="T423" i="1"/>
  <c r="S2338" i="1"/>
  <c r="T138" i="1"/>
  <c r="G580" i="49"/>
  <c r="M579" i="49"/>
  <c r="O1087" i="23"/>
  <c r="G1095" i="23"/>
  <c r="L1095" i="23" s="1"/>
  <c r="H1915" i="1"/>
  <c r="M329" i="49"/>
  <c r="A329" i="49"/>
  <c r="M80" i="49"/>
  <c r="O80" i="49"/>
  <c r="L1049" i="23"/>
  <c r="N1049" i="23"/>
  <c r="L339" i="49"/>
  <c r="O339" i="49"/>
  <c r="N339" i="49"/>
  <c r="S2324" i="1"/>
  <c r="L74" i="49"/>
  <c r="U1044" i="1"/>
  <c r="U1031" i="1" s="1"/>
  <c r="S1044" i="1"/>
  <c r="S1031" i="1" s="1"/>
  <c r="O1044" i="1"/>
  <c r="T1510" i="1"/>
  <c r="U2007" i="1"/>
  <c r="J1508" i="1"/>
  <c r="S1508" i="1"/>
  <c r="T2299" i="1"/>
  <c r="C1787" i="1"/>
  <c r="S1915" i="1"/>
  <c r="H2289" i="1"/>
  <c r="J986" i="1"/>
  <c r="J989" i="1"/>
  <c r="T1798" i="1"/>
  <c r="C1510" i="1"/>
  <c r="T2007" i="1"/>
  <c r="U1798" i="1"/>
  <c r="S2277" i="1"/>
  <c r="U2288" i="1"/>
  <c r="S2299" i="1"/>
  <c r="T2017" i="1"/>
  <c r="H2299" i="1"/>
  <c r="U1787" i="1"/>
  <c r="J988" i="1"/>
  <c r="J985" i="1"/>
  <c r="T1787" i="1"/>
  <c r="C2007" i="1"/>
  <c r="K2277" i="1"/>
  <c r="T2277" i="1"/>
  <c r="H1508" i="1"/>
  <c r="U2277" i="1"/>
  <c r="S2288" i="1"/>
  <c r="J991" i="1"/>
  <c r="J990" i="1"/>
  <c r="J987" i="1"/>
  <c r="J983" i="1"/>
  <c r="J984" i="1"/>
  <c r="G1620" i="1"/>
  <c r="U1620" i="1" s="1"/>
  <c r="J1618" i="1"/>
  <c r="H1618" i="1"/>
  <c r="T1608" i="1"/>
  <c r="J1608" i="1"/>
  <c r="H1608" i="1"/>
  <c r="S1608" i="1"/>
  <c r="U1608" i="1"/>
  <c r="G1621" i="1"/>
  <c r="J1619" i="1"/>
  <c r="H1619" i="1"/>
  <c r="U1619" i="1"/>
  <c r="J731" i="1"/>
  <c r="M649" i="49"/>
  <c r="L649" i="49"/>
  <c r="G657" i="49"/>
  <c r="A649" i="49"/>
  <c r="G648" i="23"/>
  <c r="G638" i="23"/>
  <c r="G640" i="23"/>
  <c r="M388" i="49"/>
  <c r="O388" i="49"/>
  <c r="O716" i="49"/>
  <c r="C1786" i="1"/>
  <c r="U1786" i="1"/>
  <c r="S1898" i="1"/>
  <c r="U1898" i="1"/>
  <c r="L1094" i="23"/>
  <c r="U1499" i="1"/>
  <c r="C1911" i="1"/>
  <c r="C1909" i="1"/>
  <c r="T1911" i="1"/>
  <c r="M1008" i="23"/>
  <c r="U1911" i="1"/>
  <c r="C2017" i="1"/>
  <c r="C1998" i="1"/>
  <c r="U1915" i="1"/>
  <c r="J2241" i="1"/>
  <c r="S2241" i="1"/>
  <c r="H2241" i="1"/>
  <c r="C2241" i="1"/>
  <c r="U2241" i="1"/>
  <c r="M51" i="49"/>
  <c r="O571" i="23"/>
  <c r="M571" i="23"/>
  <c r="G714" i="49"/>
  <c r="N50" i="49"/>
  <c r="O50" i="49"/>
  <c r="L1082" i="23"/>
  <c r="O1084" i="23"/>
  <c r="N1089" i="23"/>
  <c r="H1909" i="1"/>
  <c r="N1915" i="1"/>
  <c r="S1618" i="1"/>
  <c r="J1240" i="1"/>
  <c r="C1603" i="1"/>
  <c r="J1603" i="1"/>
  <c r="H1603" i="1"/>
  <c r="J78" i="1"/>
  <c r="M57" i="49"/>
  <c r="M391" i="49"/>
  <c r="N391" i="49"/>
  <c r="A391" i="49"/>
  <c r="T1618" i="1"/>
  <c r="U1603" i="1"/>
  <c r="S1619" i="1"/>
  <c r="J703" i="1"/>
  <c r="J147" i="1"/>
  <c r="L539" i="49"/>
  <c r="A539" i="49"/>
  <c r="T2241" i="1"/>
  <c r="O704" i="49"/>
  <c r="T1619" i="1"/>
  <c r="S1603" i="1"/>
  <c r="U2338" i="1"/>
  <c r="T2324" i="1"/>
  <c r="S2111" i="1"/>
  <c r="S480" i="1"/>
  <c r="T1909" i="1"/>
  <c r="U2324" i="1"/>
  <c r="T2310" i="1"/>
  <c r="U1084" i="1"/>
  <c r="U1070" i="1" s="1"/>
  <c r="O1084" i="1"/>
  <c r="S1084" i="1"/>
  <c r="S1070" i="1" s="1"/>
  <c r="K2268" i="1"/>
  <c r="T2268" i="1"/>
  <c r="H1739" i="1"/>
  <c r="T1739" i="1"/>
  <c r="S2294" i="1"/>
  <c r="H2294" i="1"/>
  <c r="U2310" i="1"/>
  <c r="H2288" i="1"/>
  <c r="K2288" i="1"/>
  <c r="K2296" i="1"/>
  <c r="T2296" i="1"/>
  <c r="S2296" i="1"/>
  <c r="H2296" i="1"/>
  <c r="U2287" i="1"/>
  <c r="S2196" i="1"/>
  <c r="C2196" i="1"/>
  <c r="H2196" i="1"/>
  <c r="U2196" i="1"/>
  <c r="U899" i="1"/>
  <c r="U890" i="1" s="1"/>
  <c r="T899" i="1"/>
  <c r="T890" i="1" s="1"/>
  <c r="S899" i="1"/>
  <c r="S890" i="1" s="1"/>
  <c r="O899" i="1"/>
  <c r="U1802" i="1"/>
  <c r="C1802" i="1"/>
  <c r="S1451" i="1"/>
  <c r="H1451" i="1"/>
  <c r="T1451" i="1"/>
  <c r="A1365" i="23"/>
  <c r="M1365" i="23"/>
  <c r="G1443" i="23"/>
  <c r="G1362" i="23"/>
  <c r="G1361" i="23"/>
  <c r="A1360" i="23"/>
  <c r="N1430" i="23"/>
  <c r="A1464" i="23"/>
  <c r="A592" i="23"/>
  <c r="G1169" i="23"/>
  <c r="O1187" i="23"/>
  <c r="G1162" i="23"/>
  <c r="M1162" i="23" s="1"/>
  <c r="N3392" i="23"/>
  <c r="N1455" i="23"/>
  <c r="G1457" i="23"/>
  <c r="G1460" i="23" s="1"/>
  <c r="M1449" i="23"/>
  <c r="A1449" i="23"/>
  <c r="A1450" i="23" s="1"/>
  <c r="A1356" i="23"/>
  <c r="A1357" i="23" s="1"/>
  <c r="A1358" i="23" s="1"/>
  <c r="A1369" i="23"/>
  <c r="A1355" i="23"/>
  <c r="C1549" i="23"/>
  <c r="O816" i="23"/>
  <c r="L816" i="23"/>
  <c r="H99" i="23"/>
  <c r="D99" i="23"/>
  <c r="E99" i="23"/>
  <c r="K99" i="23"/>
  <c r="J99" i="23"/>
  <c r="F99" i="23"/>
  <c r="G395" i="23"/>
  <c r="O393" i="23"/>
  <c r="N393" i="23"/>
  <c r="N392" i="23"/>
  <c r="L392" i="23"/>
  <c r="A392" i="23"/>
  <c r="A472" i="23"/>
  <c r="A377" i="23"/>
  <c r="A378" i="23" s="1"/>
  <c r="A379" i="23" s="1"/>
  <c r="A380" i="23" s="1"/>
  <c r="A390" i="23"/>
  <c r="A391" i="23" s="1"/>
  <c r="G36" i="23"/>
  <c r="M35" i="23"/>
  <c r="A35" i="23"/>
  <c r="G215" i="23"/>
  <c r="G232" i="23"/>
  <c r="G240" i="23" s="1"/>
  <c r="A206" i="23"/>
  <c r="A207" i="23" s="1"/>
  <c r="A208" i="23" s="1"/>
  <c r="A209" i="23" s="1"/>
  <c r="A210" i="23" s="1"/>
  <c r="G217" i="23"/>
  <c r="G216" i="23"/>
  <c r="C211" i="23"/>
  <c r="G269" i="23"/>
  <c r="G212" i="23"/>
  <c r="G220" i="23"/>
  <c r="A211" i="23"/>
  <c r="A218" i="23" s="1"/>
  <c r="A219" i="23" s="1"/>
  <c r="A294" i="23" s="1"/>
  <c r="G283" i="23"/>
  <c r="M211" i="23"/>
  <c r="N127" i="23"/>
  <c r="O127" i="23"/>
  <c r="M127" i="23"/>
  <c r="L127" i="23"/>
  <c r="G759" i="23"/>
  <c r="A755" i="23"/>
  <c r="A756" i="23" s="1"/>
  <c r="A757" i="23" s="1"/>
  <c r="A758" i="23" s="1"/>
  <c r="A759" i="23" s="1"/>
  <c r="G819" i="23"/>
  <c r="M386" i="23"/>
  <c r="A386" i="23"/>
  <c r="L386" i="23"/>
  <c r="N386" i="23"/>
  <c r="N1376" i="23"/>
  <c r="L1376" i="23"/>
  <c r="M1376" i="23"/>
  <c r="O1376" i="23"/>
  <c r="M3087" i="23"/>
  <c r="O3092" i="23"/>
  <c r="A563" i="23"/>
  <c r="A564" i="23" s="1"/>
  <c r="A565" i="23" s="1"/>
  <c r="A566" i="23" s="1"/>
  <c r="A573" i="23"/>
  <c r="A574" i="23" s="1"/>
  <c r="N468" i="23"/>
  <c r="M468" i="23"/>
  <c r="O468" i="23"/>
  <c r="M466" i="23"/>
  <c r="D662" i="23"/>
  <c r="F662" i="23"/>
  <c r="K662" i="23"/>
  <c r="O662" i="23" s="1"/>
  <c r="E662" i="23"/>
  <c r="H662" i="23"/>
  <c r="L662" i="23" s="1"/>
  <c r="J662" i="23"/>
  <c r="N662" i="23" s="1"/>
  <c r="D1511" i="23"/>
  <c r="K1511" i="23"/>
  <c r="O1511" i="23" s="1"/>
  <c r="J1511" i="23"/>
  <c r="N1511" i="23" s="1"/>
  <c r="E1511" i="23"/>
  <c r="H1511" i="23"/>
  <c r="L1511" i="23" s="1"/>
  <c r="F1511" i="23"/>
  <c r="J3245" i="23"/>
  <c r="N3245" i="23" s="1"/>
  <c r="E3245" i="23"/>
  <c r="D3245" i="23"/>
  <c r="H3245" i="23"/>
  <c r="F3245" i="23"/>
  <c r="K3245" i="23"/>
  <c r="J567" i="23"/>
  <c r="N567" i="23" s="1"/>
  <c r="H567" i="23"/>
  <c r="K567" i="23"/>
  <c r="O567" i="23" s="1"/>
  <c r="F567" i="23"/>
  <c r="D567" i="23"/>
  <c r="E567" i="23"/>
  <c r="E381" i="23"/>
  <c r="D381" i="23"/>
  <c r="J381" i="23"/>
  <c r="N381" i="23" s="1"/>
  <c r="K381" i="23"/>
  <c r="O381" i="23" s="1"/>
  <c r="B10" i="2"/>
  <c r="F381" i="23"/>
  <c r="L381" i="23"/>
  <c r="A2387" i="23"/>
  <c r="A2404" i="23"/>
  <c r="A2403" i="23"/>
  <c r="A2388" i="23"/>
  <c r="A2389" i="23" s="1"/>
  <c r="A2390" i="23" s="1"/>
  <c r="A2587" i="23"/>
  <c r="N458" i="23"/>
  <c r="D20" i="2"/>
  <c r="E20" i="2"/>
  <c r="G3091" i="23"/>
  <c r="O3090" i="23"/>
  <c r="A3232" i="23"/>
  <c r="G2970" i="23"/>
  <c r="A2928" i="23"/>
  <c r="A2944" i="23"/>
  <c r="M3147" i="23"/>
  <c r="G3149" i="23"/>
  <c r="L3147" i="23"/>
  <c r="O3147" i="23"/>
  <c r="G3150" i="23"/>
  <c r="A3147" i="23"/>
  <c r="A3148" i="23" s="1"/>
  <c r="N3147" i="23"/>
  <c r="A3089" i="23"/>
  <c r="G3132" i="23"/>
  <c r="G3129" i="23"/>
  <c r="G3130" i="23"/>
  <c r="O3126" i="23"/>
  <c r="A3126" i="23"/>
  <c r="A3127" i="23" s="1"/>
  <c r="G3133" i="23"/>
  <c r="M3126" i="23"/>
  <c r="G3131" i="23"/>
  <c r="N3126" i="23"/>
  <c r="L3126" i="23"/>
  <c r="G3128" i="23"/>
  <c r="A3385" i="23"/>
  <c r="A3386" i="23"/>
  <c r="A3387" i="23" s="1"/>
  <c r="A3388" i="23" s="1"/>
  <c r="A3400" i="23"/>
  <c r="A3401" i="23"/>
  <c r="A3558" i="23"/>
  <c r="M3471" i="23"/>
  <c r="O3471" i="23"/>
  <c r="L3471" i="23"/>
  <c r="G3474" i="23"/>
  <c r="G3547" i="23"/>
  <c r="G3545" i="23"/>
  <c r="A3535" i="23"/>
  <c r="A3536" i="23" s="1"/>
  <c r="G3556" i="23"/>
  <c r="G3546" i="23"/>
  <c r="G3557" i="23"/>
  <c r="G3538" i="23"/>
  <c r="G3554" i="23"/>
  <c r="G3543" i="23"/>
  <c r="N3397" i="23"/>
  <c r="A3397" i="23"/>
  <c r="M3397" i="23"/>
  <c r="G3398" i="23"/>
  <c r="O1515" i="23"/>
  <c r="A1515" i="23"/>
  <c r="G1573" i="23"/>
  <c r="G1570" i="23"/>
  <c r="G2710" i="23"/>
  <c r="G2711" i="23"/>
  <c r="D24" i="2"/>
  <c r="E24" i="2"/>
  <c r="L3407" i="23"/>
  <c r="M3467" i="23"/>
  <c r="N3092" i="23"/>
  <c r="D568" i="23"/>
  <c r="K568" i="23"/>
  <c r="O568" i="23" s="1"/>
  <c r="J568" i="23"/>
  <c r="N568" i="23" s="1"/>
  <c r="E568" i="23"/>
  <c r="H568" i="23"/>
  <c r="L568" i="23" s="1"/>
  <c r="F568" i="23"/>
  <c r="B12" i="2"/>
  <c r="L1226" i="23"/>
  <c r="E1226" i="23"/>
  <c r="J1226" i="23"/>
  <c r="N1226" i="23" s="1"/>
  <c r="D1226" i="23"/>
  <c r="K1226" i="23"/>
  <c r="O1226" i="23" s="1"/>
  <c r="F1226" i="23"/>
  <c r="D2392" i="23"/>
  <c r="F2392" i="23"/>
  <c r="I2392" i="23"/>
  <c r="M2392" i="23" s="1"/>
  <c r="J2392" i="23"/>
  <c r="N2392" i="23" s="1"/>
  <c r="L2392" i="23"/>
  <c r="K2392" i="23"/>
  <c r="O2392" i="23" s="1"/>
  <c r="E2392" i="23"/>
  <c r="D908" i="23"/>
  <c r="E908" i="23"/>
  <c r="K908" i="23"/>
  <c r="F908" i="23"/>
  <c r="J908" i="23"/>
  <c r="E17" i="2"/>
  <c r="A2409" i="23"/>
  <c r="G919" i="23"/>
  <c r="G2831" i="23"/>
  <c r="O2828" i="23"/>
  <c r="G3359" i="23"/>
  <c r="O3134" i="23"/>
  <c r="G3138" i="23"/>
  <c r="M3134" i="23"/>
  <c r="G3136" i="23"/>
  <c r="G3142" i="23"/>
  <c r="A3092" i="23"/>
  <c r="G3093" i="23"/>
  <c r="L3092" i="23"/>
  <c r="M1403" i="23"/>
  <c r="G3456" i="23"/>
  <c r="A3450" i="23"/>
  <c r="A3451" i="23" s="1"/>
  <c r="N3450" i="23"/>
  <c r="G3457" i="23"/>
  <c r="G3452" i="23"/>
  <c r="G3455" i="23"/>
  <c r="G3454" i="23"/>
  <c r="O3450" i="23"/>
  <c r="L3450" i="23"/>
  <c r="M3450" i="23"/>
  <c r="G3453" i="23"/>
  <c r="G3496" i="23"/>
  <c r="A3494" i="23"/>
  <c r="A3495" i="23" s="1"/>
  <c r="G3499" i="23"/>
  <c r="A2591" i="23"/>
  <c r="A2592" i="23" s="1"/>
  <c r="A2593" i="23" s="1"/>
  <c r="O1340" i="23"/>
  <c r="L1340" i="23"/>
  <c r="N2683" i="23"/>
  <c r="G2685" i="23"/>
  <c r="G2686" i="23"/>
  <c r="L2683" i="23"/>
  <c r="M2683" i="23"/>
  <c r="G2688" i="23"/>
  <c r="N2598" i="23"/>
  <c r="L2598" i="23"/>
  <c r="D9" i="2"/>
  <c r="E9" i="2"/>
  <c r="G3409" i="23"/>
  <c r="M3406" i="23"/>
  <c r="A3406" i="23"/>
  <c r="M3092" i="23"/>
  <c r="N3090" i="23"/>
  <c r="L3392" i="23"/>
  <c r="D212" i="23"/>
  <c r="F212" i="23"/>
  <c r="K212" i="23"/>
  <c r="E212" i="23"/>
  <c r="H212" i="23"/>
  <c r="J212" i="23"/>
  <c r="D907" i="23"/>
  <c r="K907" i="23"/>
  <c r="O907" i="23" s="1"/>
  <c r="J907" i="23"/>
  <c r="N907" i="23" s="1"/>
  <c r="L907" i="23"/>
  <c r="E907" i="23"/>
  <c r="F907" i="23"/>
  <c r="I2244" i="23"/>
  <c r="K2244" i="23"/>
  <c r="E2244" i="23"/>
  <c r="H2244" i="23"/>
  <c r="D2244" i="23"/>
  <c r="J2244" i="23"/>
  <c r="F2244" i="23"/>
  <c r="K745" i="23"/>
  <c r="O745" i="23" s="1"/>
  <c r="E745" i="23"/>
  <c r="F745" i="23"/>
  <c r="D745" i="23"/>
  <c r="J745" i="23"/>
  <c r="N745" i="23" s="1"/>
  <c r="G2514" i="23"/>
  <c r="N2514" i="23" s="1"/>
  <c r="G2513" i="23"/>
  <c r="N2513" i="23" s="1"/>
  <c r="M2508" i="23"/>
  <c r="L2508" i="23"/>
  <c r="L450" i="23"/>
  <c r="A943" i="23"/>
  <c r="A944" i="23" s="1"/>
  <c r="N943" i="23"/>
  <c r="M943" i="23"/>
  <c r="O943" i="23"/>
  <c r="L943" i="23"/>
  <c r="A2800" i="23"/>
  <c r="N2800" i="23"/>
  <c r="M2800" i="23"/>
  <c r="L2800" i="23"/>
  <c r="N3094" i="23"/>
  <c r="A3094" i="23"/>
  <c r="O3094" i="23"/>
  <c r="G3206" i="23"/>
  <c r="G3088" i="23"/>
  <c r="A3087" i="23"/>
  <c r="O3087" i="23"/>
  <c r="M1749" i="23"/>
  <c r="G2545" i="23"/>
  <c r="N2545" i="23" s="1"/>
  <c r="A2543" i="23"/>
  <c r="A2544" i="23" s="1"/>
  <c r="G2981" i="23"/>
  <c r="G2977" i="23"/>
  <c r="G2980" i="23"/>
  <c r="O3086" i="23"/>
  <c r="N3086" i="23"/>
  <c r="E22" i="2"/>
  <c r="D22" i="2"/>
  <c r="G1555" i="23"/>
  <c r="A1539" i="23"/>
  <c r="A1540" i="23" s="1"/>
  <c r="G1544" i="23"/>
  <c r="G1542" i="23"/>
  <c r="G598" i="23"/>
  <c r="L591" i="23"/>
  <c r="O3458" i="23"/>
  <c r="M3458" i="23"/>
  <c r="A3458" i="23"/>
  <c r="G3462" i="23"/>
  <c r="G3461" i="23"/>
  <c r="G3465" i="23"/>
  <c r="N3458" i="23"/>
  <c r="G3463" i="23"/>
  <c r="L3458" i="23"/>
  <c r="G3466" i="23"/>
  <c r="G3460" i="23"/>
  <c r="G3435" i="23"/>
  <c r="G3421" i="23"/>
  <c r="G3415" i="23"/>
  <c r="A3413" i="23"/>
  <c r="A3414" i="23" s="1"/>
  <c r="G3419" i="23"/>
  <c r="G3428" i="23"/>
  <c r="G2480" i="23"/>
  <c r="N2480" i="23" s="1"/>
  <c r="A2477" i="23"/>
  <c r="O1516" i="23"/>
  <c r="L1516" i="23"/>
  <c r="A1516" i="23"/>
  <c r="M2482" i="23"/>
  <c r="O811" i="23"/>
  <c r="M811" i="23"/>
  <c r="N811" i="23"/>
  <c r="N3403" i="23"/>
  <c r="G3404" i="23"/>
  <c r="L3403" i="23"/>
  <c r="G3405" i="23"/>
  <c r="O3403" i="23"/>
  <c r="A3403" i="23"/>
  <c r="M3403" i="23"/>
  <c r="N1332" i="23"/>
  <c r="M154" i="23"/>
  <c r="N3087" i="23"/>
  <c r="N3407" i="23"/>
  <c r="D746" i="23"/>
  <c r="F746" i="23"/>
  <c r="H746" i="23"/>
  <c r="L746" i="23" s="1"/>
  <c r="E746" i="23"/>
  <c r="J746" i="23"/>
  <c r="N746" i="23" s="1"/>
  <c r="K746" i="23"/>
  <c r="O746" i="23" s="1"/>
  <c r="B16" i="2"/>
  <c r="K1632" i="23"/>
  <c r="O1632" i="23" s="1"/>
  <c r="F1632" i="23"/>
  <c r="L1632" i="23"/>
  <c r="J1632" i="23"/>
  <c r="N1632" i="23" s="1"/>
  <c r="D1632" i="23"/>
  <c r="D661" i="23"/>
  <c r="J661" i="23"/>
  <c r="N661" i="23" s="1"/>
  <c r="K661" i="23"/>
  <c r="O661" i="23" s="1"/>
  <c r="E661" i="23"/>
  <c r="H661" i="23"/>
  <c r="F661" i="23"/>
  <c r="O2397" i="23"/>
  <c r="A2397" i="23"/>
  <c r="L2397" i="23"/>
  <c r="M2397" i="23"/>
  <c r="N2397" i="23"/>
  <c r="A455" i="23"/>
  <c r="D18" i="2"/>
  <c r="E18" i="2"/>
  <c r="E21" i="2"/>
  <c r="D21" i="2"/>
  <c r="G3098" i="23"/>
  <c r="C3097" i="23"/>
  <c r="G3294" i="23"/>
  <c r="O3286" i="23"/>
  <c r="G3291" i="23"/>
  <c r="G2951" i="23"/>
  <c r="A2945" i="23"/>
  <c r="C2945" i="23"/>
  <c r="A3182" i="23"/>
  <c r="A3183" i="23" s="1"/>
  <c r="G3188" i="23"/>
  <c r="G3186" i="23"/>
  <c r="G3191" i="23"/>
  <c r="G3184" i="23"/>
  <c r="A3081" i="23"/>
  <c r="A3082" i="23" s="1"/>
  <c r="A3083" i="23" s="1"/>
  <c r="A3096" i="23"/>
  <c r="A3080" i="23"/>
  <c r="A3095" i="23"/>
  <c r="A3229" i="23"/>
  <c r="L3390" i="23"/>
  <c r="M3390" i="23"/>
  <c r="A3390" i="23"/>
  <c r="N3390" i="23"/>
  <c r="G3393" i="23"/>
  <c r="A3392" i="23"/>
  <c r="O2599" i="23"/>
  <c r="L2599" i="23"/>
  <c r="N2599" i="23"/>
  <c r="A2599" i="23"/>
  <c r="M2599" i="23"/>
  <c r="M2606" i="23"/>
  <c r="L2606" i="23"/>
  <c r="L2478" i="23"/>
  <c r="A2655" i="23"/>
  <c r="A2656" i="23" s="1"/>
  <c r="N2655" i="23"/>
  <c r="G2657" i="23"/>
  <c r="G2667" i="23" s="1"/>
  <c r="N2667" i="23" s="1"/>
  <c r="L2655" i="23"/>
  <c r="G2641" i="23"/>
  <c r="O2638" i="23"/>
  <c r="N2638" i="23"/>
  <c r="G2643" i="23"/>
  <c r="G2642" i="23"/>
  <c r="G2644" i="23"/>
  <c r="L2460" i="23"/>
  <c r="A2460" i="23"/>
  <c r="G1593" i="23"/>
  <c r="G1592" i="23"/>
  <c r="G1598" i="23"/>
  <c r="A1590" i="23"/>
  <c r="A1591" i="23" s="1"/>
  <c r="G1595" i="23"/>
  <c r="N154" i="23"/>
  <c r="L3087" i="23"/>
  <c r="O3390" i="23"/>
  <c r="M3392" i="23"/>
  <c r="O642" i="49"/>
  <c r="M642" i="49"/>
  <c r="A642" i="49"/>
  <c r="L642" i="49"/>
  <c r="N642" i="49"/>
  <c r="A561" i="23"/>
  <c r="G3510" i="23"/>
  <c r="A3506" i="23"/>
  <c r="A3507" i="23" s="1"/>
  <c r="G3509" i="23"/>
  <c r="G3513" i="23"/>
  <c r="G3508" i="23"/>
  <c r="G3511" i="23"/>
  <c r="L2949" i="23"/>
  <c r="A2949" i="23"/>
  <c r="M383" i="23"/>
  <c r="A383" i="23"/>
  <c r="N688" i="49"/>
  <c r="A688" i="49"/>
  <c r="L688" i="49"/>
  <c r="O688" i="49"/>
  <c r="M688" i="49"/>
  <c r="G695" i="23"/>
  <c r="G675" i="23"/>
  <c r="C670" i="23"/>
  <c r="G686" i="23"/>
  <c r="G712" i="23"/>
  <c r="A670" i="23"/>
  <c r="A671" i="23" s="1"/>
  <c r="G673" i="23"/>
  <c r="M3485" i="23"/>
  <c r="N447" i="49"/>
  <c r="A447" i="49"/>
  <c r="M447" i="49"/>
  <c r="L447" i="49"/>
  <c r="O447" i="49"/>
  <c r="A1110" i="23"/>
  <c r="N1110" i="23"/>
  <c r="G1173" i="23"/>
  <c r="O1110" i="23"/>
  <c r="L1110" i="23"/>
  <c r="M1110" i="23"/>
  <c r="G1204" i="23"/>
  <c r="G1211" i="23"/>
  <c r="G1216" i="23"/>
  <c r="G1213" i="23"/>
  <c r="G1208" i="23"/>
  <c r="G1217" i="23"/>
  <c r="A1202" i="23"/>
  <c r="A1203" i="23" s="1"/>
  <c r="G1212" i="23"/>
  <c r="G1215" i="23"/>
  <c r="G1218" i="23"/>
  <c r="L3416" i="23"/>
  <c r="O3416" i="23"/>
  <c r="M3416" i="23"/>
  <c r="N3416" i="23"/>
  <c r="A3416" i="23"/>
  <c r="O1377" i="23"/>
  <c r="A1377" i="23"/>
  <c r="N1377" i="23"/>
  <c r="A692" i="49"/>
  <c r="N692" i="49"/>
  <c r="O692" i="49"/>
  <c r="L692" i="49"/>
  <c r="M692" i="49"/>
  <c r="O557" i="49"/>
  <c r="L557" i="49"/>
  <c r="N557" i="49"/>
  <c r="M557" i="49"/>
  <c r="A1559" i="23"/>
  <c r="N1559" i="23"/>
  <c r="A1235" i="23"/>
  <c r="O1270" i="23"/>
  <c r="G1274" i="23"/>
  <c r="A1270" i="23"/>
  <c r="A1271" i="23" s="1"/>
  <c r="G1272" i="23"/>
  <c r="G1265" i="23"/>
  <c r="G1263" i="23"/>
  <c r="G1262" i="23"/>
  <c r="O192" i="23"/>
  <c r="M192" i="23"/>
  <c r="L192" i="23"/>
  <c r="A192" i="23"/>
  <c r="N192" i="23"/>
  <c r="O2533" i="23"/>
  <c r="L2533" i="23"/>
  <c r="A2668" i="23"/>
  <c r="A2669" i="23" s="1"/>
  <c r="G2670" i="23"/>
  <c r="G2671" i="23"/>
  <c r="O2668" i="23"/>
  <c r="G2672" i="23"/>
  <c r="L2668" i="23"/>
  <c r="M2668" i="23"/>
  <c r="N2668" i="23"/>
  <c r="G2720" i="23"/>
  <c r="L1517" i="23"/>
  <c r="N1517" i="23"/>
  <c r="M1517" i="23"/>
  <c r="O1517" i="23"/>
  <c r="A1517" i="23"/>
  <c r="O89" i="49"/>
  <c r="A1246" i="23"/>
  <c r="G1247" i="23"/>
  <c r="O75" i="23"/>
  <c r="N75" i="23"/>
  <c r="L75" i="23"/>
  <c r="L752" i="23"/>
  <c r="N383" i="23"/>
  <c r="D1362" i="23"/>
  <c r="K1362" i="23"/>
  <c r="J1362" i="23"/>
  <c r="I1362" i="23"/>
  <c r="E1362" i="23"/>
  <c r="F1362" i="23"/>
  <c r="H1362" i="23"/>
  <c r="L698" i="49"/>
  <c r="A698" i="49"/>
  <c r="N698" i="49"/>
  <c r="M698" i="49"/>
  <c r="A653" i="49"/>
  <c r="M653" i="49"/>
  <c r="N653" i="49"/>
  <c r="O653" i="49"/>
  <c r="L653" i="49"/>
  <c r="O3391" i="23"/>
  <c r="N3391" i="23"/>
  <c r="M3391" i="23"/>
  <c r="L3391" i="23"/>
  <c r="A3391" i="23"/>
  <c r="M384" i="23"/>
  <c r="L3185" i="23"/>
  <c r="N3185" i="23"/>
  <c r="A623" i="49"/>
  <c r="G624" i="49"/>
  <c r="G628" i="49"/>
  <c r="L623" i="49"/>
  <c r="O623" i="49"/>
  <c r="N623" i="49"/>
  <c r="O3276" i="23"/>
  <c r="M3276" i="23"/>
  <c r="O35" i="49"/>
  <c r="A35" i="49"/>
  <c r="M35" i="49"/>
  <c r="L35" i="49"/>
  <c r="N35" i="49"/>
  <c r="G667" i="23"/>
  <c r="N665" i="23"/>
  <c r="G666" i="23"/>
  <c r="L665" i="23"/>
  <c r="A665" i="23"/>
  <c r="O665" i="23"/>
  <c r="M665" i="23"/>
  <c r="G1148" i="23"/>
  <c r="O1143" i="23"/>
  <c r="N1143" i="23"/>
  <c r="G1145" i="23"/>
  <c r="L1143" i="23"/>
  <c r="O1160" i="23"/>
  <c r="N1160" i="23"/>
  <c r="N3417" i="23"/>
  <c r="A1648" i="23"/>
  <c r="N1648" i="23"/>
  <c r="L1648" i="23"/>
  <c r="O1648" i="23"/>
  <c r="M1648" i="23"/>
  <c r="N1378" i="23"/>
  <c r="L1378" i="23"/>
  <c r="M1378" i="23"/>
  <c r="O1378" i="23"/>
  <c r="L570" i="49"/>
  <c r="M570" i="49"/>
  <c r="N570" i="49"/>
  <c r="A570" i="49"/>
  <c r="O570" i="49"/>
  <c r="A133" i="23"/>
  <c r="M133" i="23"/>
  <c r="L133" i="23"/>
  <c r="L1231" i="23"/>
  <c r="G1342" i="23"/>
  <c r="L194" i="49"/>
  <c r="M194" i="49"/>
  <c r="N126" i="23"/>
  <c r="L126" i="23"/>
  <c r="A126" i="23"/>
  <c r="O126" i="23"/>
  <c r="M126" i="23"/>
  <c r="A134" i="23"/>
  <c r="A135" i="23" s="1"/>
  <c r="G139" i="23"/>
  <c r="O134" i="23"/>
  <c r="L134" i="23"/>
  <c r="N2600" i="23"/>
  <c r="O2600" i="23"/>
  <c r="A2600" i="23"/>
  <c r="M2600" i="23"/>
  <c r="L2600" i="23"/>
  <c r="M2630" i="23"/>
  <c r="N2630" i="23"/>
  <c r="A2630" i="23"/>
  <c r="A2631" i="23" s="1"/>
  <c r="O2630" i="23"/>
  <c r="L2630" i="23"/>
  <c r="G2637" i="23"/>
  <c r="N2637" i="23" s="1"/>
  <c r="M1585" i="23"/>
  <c r="L1585" i="23"/>
  <c r="G1588" i="23"/>
  <c r="G1589" i="23"/>
  <c r="O1585" i="23"/>
  <c r="A1585" i="23"/>
  <c r="A1586" i="23" s="1"/>
  <c r="N1585" i="23"/>
  <c r="N1188" i="23"/>
  <c r="L1188" i="23"/>
  <c r="M680" i="49"/>
  <c r="N680" i="49"/>
  <c r="A680" i="49"/>
  <c r="L680" i="49"/>
  <c r="G708" i="49"/>
  <c r="O700" i="49"/>
  <c r="N700" i="49"/>
  <c r="M700" i="49"/>
  <c r="A700" i="49"/>
  <c r="L2830" i="23"/>
  <c r="G3396" i="23"/>
  <c r="L3395" i="23"/>
  <c r="M3395" i="23"/>
  <c r="O3395" i="23"/>
  <c r="A3395" i="23"/>
  <c r="N3395" i="23"/>
  <c r="L661" i="49"/>
  <c r="G662" i="49"/>
  <c r="O661" i="49"/>
  <c r="M661" i="49"/>
  <c r="A661" i="49"/>
  <c r="L52" i="49"/>
  <c r="N52" i="49"/>
  <c r="O52" i="49"/>
  <c r="M52" i="49"/>
  <c r="M3548" i="23"/>
  <c r="O3548" i="23"/>
  <c r="A3548" i="23"/>
  <c r="N3548" i="23"/>
  <c r="L3548" i="23"/>
  <c r="N758" i="23"/>
  <c r="J98" i="23"/>
  <c r="E98" i="23"/>
  <c r="D98" i="23"/>
  <c r="K98" i="23"/>
  <c r="F98" i="23"/>
  <c r="H98" i="23"/>
  <c r="O686" i="49"/>
  <c r="M686" i="49"/>
  <c r="G689" i="49"/>
  <c r="N686" i="49"/>
  <c r="L686" i="49"/>
  <c r="A686" i="49"/>
  <c r="O691" i="49"/>
  <c r="L691" i="49"/>
  <c r="A691" i="49"/>
  <c r="M691" i="49"/>
  <c r="N691" i="49"/>
  <c r="L461" i="49"/>
  <c r="M461" i="49"/>
  <c r="N461" i="49"/>
  <c r="A461" i="49"/>
  <c r="O461" i="49"/>
  <c r="M446" i="49"/>
  <c r="L446" i="49"/>
  <c r="A446" i="49"/>
  <c r="N446" i="49"/>
  <c r="O446" i="49"/>
  <c r="G1116" i="23"/>
  <c r="G1123" i="23"/>
  <c r="C1115" i="23"/>
  <c r="A1115" i="23"/>
  <c r="O558" i="49"/>
  <c r="G561" i="49"/>
  <c r="N558" i="49"/>
  <c r="A558" i="49"/>
  <c r="M558" i="49"/>
  <c r="L558" i="49"/>
  <c r="A2504" i="23"/>
  <c r="M2504" i="23"/>
  <c r="M1282" i="23"/>
  <c r="A1282" i="23"/>
  <c r="A1283" i="23" s="1"/>
  <c r="M1466" i="23"/>
  <c r="O406" i="23"/>
  <c r="M406" i="23"/>
  <c r="L406" i="23"/>
  <c r="O409" i="23"/>
  <c r="M2539" i="23"/>
  <c r="L2539" i="23"/>
  <c r="M2646" i="23"/>
  <c r="G2650" i="23"/>
  <c r="G2654" i="23"/>
  <c r="N2654" i="23" s="1"/>
  <c r="L2646" i="23"/>
  <c r="A2646" i="23"/>
  <c r="A2647" i="23" s="1"/>
  <c r="N2646" i="23"/>
  <c r="O808" i="23"/>
  <c r="N808" i="23"/>
  <c r="L808" i="23"/>
  <c r="A808" i="23"/>
  <c r="A1507" i="23"/>
  <c r="A1508" i="23"/>
  <c r="A1509" i="23" s="1"/>
  <c r="A1510" i="23" s="1"/>
  <c r="A1519" i="23"/>
  <c r="G1522" i="23"/>
  <c r="A1521" i="23"/>
  <c r="C1521" i="23"/>
  <c r="G1529" i="23"/>
  <c r="A2629" i="23"/>
  <c r="L2629" i="23"/>
  <c r="O681" i="49"/>
  <c r="M681" i="49"/>
  <c r="N681" i="49"/>
  <c r="N750" i="23"/>
  <c r="O698" i="49"/>
  <c r="H2246" i="23"/>
  <c r="F2246" i="23"/>
  <c r="J2246" i="23"/>
  <c r="D2246" i="23"/>
  <c r="E2246" i="23"/>
  <c r="K2246" i="23"/>
  <c r="I2246" i="23"/>
  <c r="N1060" i="23"/>
  <c r="L1060" i="23"/>
  <c r="M1060" i="23"/>
  <c r="A1060" i="23"/>
  <c r="O1060" i="23"/>
  <c r="M3399" i="23"/>
  <c r="N3399" i="23"/>
  <c r="A3399" i="23"/>
  <c r="O3399" i="23"/>
  <c r="L3399" i="23"/>
  <c r="O431" i="49"/>
  <c r="N431" i="49"/>
  <c r="L431" i="49"/>
  <c r="A431" i="49"/>
  <c r="M431" i="49"/>
  <c r="O398" i="49"/>
  <c r="L398" i="49"/>
  <c r="A398" i="49"/>
  <c r="M398" i="49"/>
  <c r="N398" i="49"/>
  <c r="M626" i="49"/>
  <c r="L626" i="49"/>
  <c r="O626" i="49"/>
  <c r="N626" i="49"/>
  <c r="A626" i="49"/>
  <c r="N298" i="49"/>
  <c r="L298" i="49"/>
  <c r="A298" i="49"/>
  <c r="G299" i="49"/>
  <c r="N663" i="49"/>
  <c r="O663" i="49"/>
  <c r="M663" i="49"/>
  <c r="L663" i="49"/>
  <c r="A663" i="49"/>
  <c r="G665" i="49"/>
  <c r="C666" i="49"/>
  <c r="C678" i="49" s="1"/>
  <c r="C694" i="49" s="1"/>
  <c r="C709" i="49" s="1"/>
  <c r="L666" i="49"/>
  <c r="G675" i="49"/>
  <c r="G677" i="49"/>
  <c r="A666" i="49"/>
  <c r="A667" i="49" s="1"/>
  <c r="G674" i="49"/>
  <c r="N666" i="49"/>
  <c r="G676" i="49"/>
  <c r="M666" i="49"/>
  <c r="O666" i="49"/>
  <c r="N684" i="49"/>
  <c r="M684" i="49"/>
  <c r="L684" i="49"/>
  <c r="A684" i="49"/>
  <c r="O684" i="49"/>
  <c r="A2976" i="23"/>
  <c r="L2976" i="23"/>
  <c r="N1106" i="23"/>
  <c r="C1106" i="23"/>
  <c r="A1106" i="23"/>
  <c r="G1108" i="23"/>
  <c r="G1107" i="23"/>
  <c r="O1107" i="23" s="1"/>
  <c r="L3418" i="23"/>
  <c r="M3518" i="23"/>
  <c r="A3518" i="23"/>
  <c r="G3519" i="23"/>
  <c r="O3518" i="23"/>
  <c r="N3518" i="23"/>
  <c r="L3518" i="23"/>
  <c r="G2412" i="23"/>
  <c r="L2410" i="23"/>
  <c r="O2410" i="23"/>
  <c r="G2411" i="23"/>
  <c r="N2410" i="23"/>
  <c r="L319" i="49"/>
  <c r="O319" i="49"/>
  <c r="A319" i="49"/>
  <c r="M319" i="49"/>
  <c r="N319" i="49"/>
  <c r="A559" i="49"/>
  <c r="L559" i="49"/>
  <c r="M559" i="49"/>
  <c r="N559" i="49"/>
  <c r="O559" i="49"/>
  <c r="N1339" i="23"/>
  <c r="G1200" i="23"/>
  <c r="M88" i="49"/>
  <c r="A3122" i="23"/>
  <c r="O411" i="23"/>
  <c r="G189" i="23"/>
  <c r="G193" i="23"/>
  <c r="G190" i="23"/>
  <c r="M186" i="23"/>
  <c r="G197" i="23"/>
  <c r="L186" i="23"/>
  <c r="O186" i="23"/>
  <c r="A2487" i="23"/>
  <c r="A2488" i="23" s="1"/>
  <c r="G2675" i="23"/>
  <c r="L2673" i="23"/>
  <c r="A2673" i="23"/>
  <c r="A2674" i="23" s="1"/>
  <c r="G2678" i="23"/>
  <c r="M2673" i="23"/>
  <c r="G2681" i="23"/>
  <c r="G2694" i="23"/>
  <c r="A2601" i="23"/>
  <c r="O2601" i="23"/>
  <c r="L2601" i="23"/>
  <c r="M2601" i="23"/>
  <c r="N2601" i="23"/>
  <c r="A1518" i="23"/>
  <c r="N1518" i="23"/>
  <c r="L1518" i="23"/>
  <c r="M1518" i="23"/>
  <c r="O1518" i="23"/>
  <c r="O1560" i="23"/>
  <c r="G1564" i="23"/>
  <c r="G1562" i="23"/>
  <c r="A1560" i="23"/>
  <c r="A1561" i="23" s="1"/>
  <c r="G1565" i="23"/>
  <c r="N1560" i="23"/>
  <c r="L1560" i="23"/>
  <c r="A1525" i="23"/>
  <c r="G1534" i="23"/>
  <c r="G1526" i="23"/>
  <c r="G591" i="49"/>
  <c r="M583" i="49"/>
  <c r="G598" i="49"/>
  <c r="O583" i="49"/>
  <c r="G593" i="49"/>
  <c r="G599" i="49"/>
  <c r="N583" i="49"/>
  <c r="L583" i="49"/>
  <c r="G592" i="49"/>
  <c r="A583" i="49"/>
  <c r="A584" i="49" s="1"/>
  <c r="G589" i="49"/>
  <c r="L432" i="49"/>
  <c r="O432" i="49"/>
  <c r="A432" i="49"/>
  <c r="N432" i="49"/>
  <c r="M432" i="49"/>
  <c r="L683" i="49"/>
  <c r="A683" i="49"/>
  <c r="O683" i="49"/>
  <c r="N683" i="49"/>
  <c r="M683" i="49"/>
  <c r="O80" i="23"/>
  <c r="A68" i="23"/>
  <c r="L107" i="23"/>
  <c r="O107" i="23"/>
  <c r="A107" i="23"/>
  <c r="N107" i="23"/>
  <c r="O110" i="23"/>
  <c r="A110" i="23"/>
  <c r="N110" i="23"/>
  <c r="M97" i="23"/>
  <c r="L97" i="23"/>
  <c r="L383" i="23"/>
  <c r="O383" i="23"/>
  <c r="O1106" i="23"/>
  <c r="M1106" i="23"/>
  <c r="O154" i="23"/>
  <c r="A154" i="23"/>
  <c r="L2713" i="23"/>
  <c r="A2714" i="23"/>
  <c r="O2713" i="23"/>
  <c r="N2713" i="23"/>
  <c r="M2713" i="23"/>
  <c r="N1336" i="23"/>
  <c r="M469" i="23"/>
  <c r="O469" i="23"/>
  <c r="L469" i="23"/>
  <c r="N469" i="23"/>
  <c r="A469" i="23"/>
  <c r="A1333" i="23"/>
  <c r="N1333" i="23"/>
  <c r="O1333" i="23"/>
  <c r="M1333" i="23"/>
  <c r="A1164" i="23"/>
  <c r="L1164" i="23"/>
  <c r="N1164" i="23"/>
  <c r="A3467" i="23"/>
  <c r="A1385" i="23"/>
  <c r="G49" i="23"/>
  <c r="A47" i="23"/>
  <c r="N47" i="23"/>
  <c r="M47" i="23"/>
  <c r="O47" i="23"/>
  <c r="L1315" i="23"/>
  <c r="M1315" i="23"/>
  <c r="N1315" i="23"/>
  <c r="M1545" i="23"/>
  <c r="N1545" i="23"/>
  <c r="L1545" i="23"/>
  <c r="A1545" i="23"/>
  <c r="O1439" i="23"/>
  <c r="N1464" i="23"/>
  <c r="O1464" i="23"/>
  <c r="M1464" i="23"/>
  <c r="G1465" i="23"/>
  <c r="M38" i="23"/>
  <c r="O38" i="23"/>
  <c r="N38" i="23"/>
  <c r="L38" i="23"/>
  <c r="A38" i="23"/>
  <c r="O1435" i="23"/>
  <c r="G1159" i="23"/>
  <c r="G1157" i="23"/>
  <c r="O1154" i="23"/>
  <c r="A1154" i="23"/>
  <c r="A1155" i="23" s="1"/>
  <c r="L1154" i="23"/>
  <c r="G1158" i="23"/>
  <c r="N573" i="49"/>
  <c r="M573" i="49"/>
  <c r="L573" i="49"/>
  <c r="A1048" i="23"/>
  <c r="N1048" i="23"/>
  <c r="L102" i="23"/>
  <c r="A102" i="23"/>
  <c r="O102" i="23"/>
  <c r="M102" i="23"/>
  <c r="N102" i="23"/>
  <c r="M2632" i="23"/>
  <c r="A2632" i="23"/>
  <c r="N2632" i="23"/>
  <c r="O2632" i="23"/>
  <c r="L2632" i="23"/>
  <c r="L1596" i="23"/>
  <c r="N1596" i="23"/>
  <c r="A1596" i="23"/>
  <c r="N1337" i="23"/>
  <c r="N1649" i="23"/>
  <c r="A1649" i="23"/>
  <c r="O1649" i="23"/>
  <c r="L1649" i="23"/>
  <c r="M1649" i="23"/>
  <c r="O2682" i="23"/>
  <c r="M2682" i="23"/>
  <c r="N2682" i="23"/>
  <c r="L2682" i="23"/>
  <c r="A2682" i="23"/>
  <c r="A1140" i="23"/>
  <c r="M1140" i="23"/>
  <c r="L1140" i="23"/>
  <c r="O1140" i="23"/>
  <c r="N1140" i="23"/>
  <c r="A1429" i="23"/>
  <c r="L594" i="23"/>
  <c r="O594" i="23"/>
  <c r="L1430" i="23"/>
  <c r="O1430" i="23"/>
  <c r="N1043" i="23"/>
  <c r="M1043" i="23"/>
  <c r="G595" i="23"/>
  <c r="S1509" i="1"/>
  <c r="H1509" i="1"/>
  <c r="T1509" i="1"/>
  <c r="U1509" i="1"/>
  <c r="H1550" i="1"/>
  <c r="U1550" i="1"/>
  <c r="J1550" i="1"/>
  <c r="T1550" i="1"/>
  <c r="S1550" i="1"/>
  <c r="G1486" i="1"/>
  <c r="T1277" i="1"/>
  <c r="U1277" i="1"/>
  <c r="K1277" i="1"/>
  <c r="U1909" i="1"/>
  <c r="N1909" i="1"/>
  <c r="N1911" i="1"/>
  <c r="S1907" i="1"/>
  <c r="N1907" i="1"/>
  <c r="U2011" i="1"/>
  <c r="S2011" i="1"/>
  <c r="T2011" i="1"/>
  <c r="C2013" i="1"/>
  <c r="S2013" i="1"/>
  <c r="U2013" i="1"/>
  <c r="T2013" i="1"/>
  <c r="T1998" i="1"/>
  <c r="H1998" i="1"/>
  <c r="U1998" i="1"/>
  <c r="S1998" i="1"/>
  <c r="M95" i="23"/>
  <c r="N95" i="23"/>
  <c r="L95" i="23"/>
  <c r="L1338" i="23"/>
  <c r="N104" i="23"/>
  <c r="L104" i="23"/>
  <c r="M104" i="23"/>
  <c r="M54" i="23"/>
  <c r="N54" i="23"/>
  <c r="O54" i="23"/>
  <c r="L54" i="23"/>
  <c r="A54" i="23"/>
  <c r="M52" i="23"/>
  <c r="A52" i="23"/>
  <c r="L52" i="23"/>
  <c r="O52" i="23"/>
  <c r="N52" i="23"/>
  <c r="L96" i="23"/>
  <c r="O96" i="23"/>
  <c r="M96" i="23"/>
  <c r="N96" i="23"/>
  <c r="A96" i="23"/>
  <c r="M53" i="23"/>
  <c r="A53" i="23"/>
  <c r="N53" i="23"/>
  <c r="O53" i="23"/>
  <c r="L53" i="23"/>
  <c r="S1499" i="1"/>
  <c r="J1499" i="1"/>
  <c r="H1499" i="1"/>
  <c r="T1651" i="1"/>
  <c r="U1651" i="1"/>
  <c r="H2145" i="1"/>
  <c r="S2145" i="1"/>
  <c r="U2145" i="1"/>
  <c r="T2129" i="1"/>
  <c r="S2129" i="1"/>
  <c r="H1616" i="1"/>
  <c r="S1616" i="1"/>
  <c r="J1616" i="1"/>
  <c r="U1616" i="1"/>
  <c r="T1616" i="1"/>
  <c r="H2111" i="1"/>
  <c r="M2111" i="1"/>
  <c r="M2030" i="1"/>
  <c r="U2030" i="1"/>
  <c r="T2030" i="1"/>
  <c r="S2030" i="1"/>
  <c r="H2030" i="1"/>
  <c r="U2111" i="1"/>
  <c r="T2111" i="1"/>
  <c r="G1704" i="1"/>
  <c r="C1741" i="1"/>
  <c r="U1741" i="1"/>
  <c r="G1742" i="1"/>
  <c r="S1741" i="1"/>
  <c r="T1741" i="1"/>
  <c r="M1047" i="23"/>
  <c r="O1047" i="23"/>
  <c r="L1047" i="23"/>
  <c r="A1189" i="23"/>
  <c r="L1189" i="23"/>
  <c r="N1190" i="23"/>
  <c r="O1190" i="23"/>
  <c r="A1190" i="23"/>
  <c r="M1089" i="23"/>
  <c r="L1089" i="23"/>
  <c r="L195" i="49"/>
  <c r="O195" i="49"/>
  <c r="M34" i="49"/>
  <c r="A91" i="49"/>
  <c r="N34" i="49"/>
  <c r="A34" i="49"/>
  <c r="L34" i="49"/>
  <c r="M100" i="49"/>
  <c r="G1066" i="23"/>
  <c r="M1063" i="23"/>
  <c r="G1064" i="23"/>
  <c r="O1063" i="23"/>
  <c r="A1063" i="23"/>
  <c r="N1063" i="23"/>
  <c r="N618" i="49"/>
  <c r="A618" i="49"/>
  <c r="L618" i="49"/>
  <c r="M618" i="49"/>
  <c r="O618" i="49"/>
  <c r="O1432" i="23"/>
  <c r="M1467" i="23"/>
  <c r="L312" i="49"/>
  <c r="G313" i="49"/>
  <c r="O312" i="49"/>
  <c r="M312" i="49"/>
  <c r="A312" i="49"/>
  <c r="N312" i="49"/>
  <c r="M617" i="49"/>
  <c r="O617" i="49"/>
  <c r="N617" i="49"/>
  <c r="A617" i="49"/>
  <c r="L617" i="49"/>
  <c r="M1040" i="23"/>
  <c r="L1040" i="23"/>
  <c r="O1040" i="23"/>
  <c r="A1040" i="23"/>
  <c r="N1040" i="23"/>
  <c r="L627" i="23"/>
  <c r="M627" i="23"/>
  <c r="N627" i="23"/>
  <c r="L577" i="23"/>
  <c r="O577" i="23"/>
  <c r="M577" i="23"/>
  <c r="A577" i="23"/>
  <c r="O620" i="23"/>
  <c r="G623" i="23"/>
  <c r="G626" i="23"/>
  <c r="A620" i="23"/>
  <c r="A621" i="23" s="1"/>
  <c r="G625" i="23"/>
  <c r="G622" i="23"/>
  <c r="N1036" i="23"/>
  <c r="A1036" i="23"/>
  <c r="M1036" i="23"/>
  <c r="O1036" i="23"/>
  <c r="L1036" i="23"/>
  <c r="G605" i="23"/>
  <c r="G601" i="23"/>
  <c r="G604" i="23"/>
  <c r="O599" i="23"/>
  <c r="G653" i="23"/>
  <c r="G603" i="23"/>
  <c r="A599" i="23"/>
  <c r="A600" i="23" s="1"/>
  <c r="L599" i="23"/>
  <c r="N599" i="23"/>
  <c r="O578" i="23"/>
  <c r="N578" i="23"/>
  <c r="L578" i="23"/>
  <c r="M578" i="23"/>
  <c r="A578" i="23"/>
  <c r="H2036" i="1"/>
  <c r="T2036" i="1"/>
  <c r="M2036" i="1"/>
  <c r="U2036" i="1"/>
  <c r="S2036" i="1"/>
  <c r="H1905" i="1"/>
  <c r="S1905" i="1"/>
  <c r="T1905" i="1"/>
  <c r="N1905" i="1"/>
  <c r="U1905" i="1"/>
  <c r="C1905" i="1"/>
  <c r="U1498" i="1"/>
  <c r="H1498" i="1"/>
  <c r="T1498" i="1"/>
  <c r="J1498" i="1"/>
  <c r="U1510" i="1"/>
  <c r="H1510" i="1"/>
  <c r="J1510" i="1"/>
  <c r="U2136" i="1"/>
  <c r="T2136" i="1"/>
  <c r="H2136" i="1"/>
  <c r="S2136" i="1"/>
  <c r="M2116" i="1"/>
  <c r="H2116" i="1"/>
  <c r="T2116" i="1"/>
  <c r="G2806" i="23"/>
  <c r="A1019" i="23"/>
  <c r="M1019" i="23"/>
  <c r="O1019" i="23"/>
  <c r="L1019" i="23"/>
  <c r="A1083" i="23"/>
  <c r="G1085" i="23"/>
  <c r="N1083" i="23"/>
  <c r="G1093" i="23"/>
  <c r="N1092" i="23"/>
  <c r="M1092" i="23"/>
  <c r="A1092" i="23"/>
  <c r="M570" i="23"/>
  <c r="L1156" i="23"/>
  <c r="A1156" i="23"/>
  <c r="G572" i="23"/>
  <c r="L569" i="23"/>
  <c r="A569" i="23"/>
  <c r="M569" i="23"/>
  <c r="O3295" i="23"/>
  <c r="N747" i="23"/>
  <c r="A2696" i="23"/>
  <c r="O2696" i="23"/>
  <c r="N2696" i="23"/>
  <c r="L2696" i="23"/>
  <c r="G2704" i="23"/>
  <c r="M2696" i="23"/>
  <c r="A2439" i="23"/>
  <c r="L2439" i="23"/>
  <c r="L82" i="23"/>
  <c r="N82" i="23"/>
  <c r="G85" i="23"/>
  <c r="G86" i="23"/>
  <c r="A82" i="23"/>
  <c r="A83" i="23" s="1"/>
  <c r="G84" i="23"/>
  <c r="G87" i="23"/>
  <c r="O82" i="23"/>
  <c r="M82" i="23"/>
  <c r="G3144" i="23"/>
  <c r="A3143" i="23"/>
  <c r="L3143" i="23"/>
  <c r="N3143" i="23"/>
  <c r="O3143" i="23"/>
  <c r="M3143" i="23"/>
  <c r="A742" i="23"/>
  <c r="A743" i="23" s="1"/>
  <c r="A744" i="23" s="1"/>
  <c r="A753" i="23"/>
  <c r="G735" i="23"/>
  <c r="O722" i="23"/>
  <c r="G728" i="23"/>
  <c r="G734" i="23"/>
  <c r="G729" i="23"/>
  <c r="M722" i="23"/>
  <c r="N722" i="23"/>
  <c r="G724" i="23"/>
  <c r="G726" i="23"/>
  <c r="L722" i="23"/>
  <c r="G731" i="23"/>
  <c r="G725" i="23"/>
  <c r="G730" i="23"/>
  <c r="A722" i="23"/>
  <c r="A723" i="23" s="1"/>
  <c r="G733" i="23"/>
  <c r="O2437" i="23"/>
  <c r="L2437" i="23"/>
  <c r="M2437" i="23"/>
  <c r="G2438" i="23"/>
  <c r="N2438" i="23" s="1"/>
  <c r="A2437" i="23"/>
  <c r="O2430" i="23"/>
  <c r="L2430" i="23"/>
  <c r="A2430" i="23"/>
  <c r="M2430" i="23"/>
  <c r="O2547" i="23"/>
  <c r="M2547" i="23"/>
  <c r="A2547" i="23"/>
  <c r="L2547" i="23"/>
  <c r="M191" i="23"/>
  <c r="N191" i="23"/>
  <c r="L191" i="23"/>
  <c r="A191" i="23"/>
  <c r="O191" i="23"/>
  <c r="O2427" i="23"/>
  <c r="L2427" i="23"/>
  <c r="N1404" i="23"/>
  <c r="L2431" i="23"/>
  <c r="M2431" i="23"/>
  <c r="O2431" i="23"/>
  <c r="A2431" i="23"/>
  <c r="G2450" i="23"/>
  <c r="N2450" i="23" s="1"/>
  <c r="M2446" i="23"/>
  <c r="G2448" i="23"/>
  <c r="N2448" i="23" s="1"/>
  <c r="G2449" i="23"/>
  <c r="N2449" i="23" s="1"/>
  <c r="O2446" i="23"/>
  <c r="L2446" i="23"/>
  <c r="A2446" i="23"/>
  <c r="A2447" i="23" s="1"/>
  <c r="O1468" i="23"/>
  <c r="N1468" i="23"/>
  <c r="M1468" i="23"/>
  <c r="A2425" i="23"/>
  <c r="N1035" i="23"/>
  <c r="L1035" i="23"/>
  <c r="M1035" i="23"/>
  <c r="O1035" i="23"/>
  <c r="A1035" i="23"/>
  <c r="N1980" i="1"/>
  <c r="U1980" i="1"/>
  <c r="H1980" i="1"/>
  <c r="T1980" i="1"/>
  <c r="T1560" i="1"/>
  <c r="U1560" i="1"/>
  <c r="G1563" i="1"/>
  <c r="S1560" i="1"/>
  <c r="J1560" i="1"/>
  <c r="G1564" i="1"/>
  <c r="G1561" i="1"/>
  <c r="G1562" i="1"/>
  <c r="H1560" i="1"/>
  <c r="M1243" i="1"/>
  <c r="G2170" i="1"/>
  <c r="C2170" i="1" s="1"/>
  <c r="M302" i="1"/>
  <c r="M309" i="1"/>
  <c r="M306" i="1"/>
  <c r="M311" i="1"/>
  <c r="M303" i="1"/>
  <c r="M310" i="1"/>
  <c r="M307" i="1"/>
  <c r="M301" i="1"/>
  <c r="M308" i="1"/>
  <c r="J2243" i="1"/>
  <c r="H2243" i="1"/>
  <c r="T2243" i="1"/>
  <c r="S2243" i="1"/>
  <c r="U2243" i="1"/>
  <c r="C2243" i="1"/>
  <c r="J152" i="1"/>
  <c r="J596" i="1"/>
  <c r="U1967" i="1"/>
  <c r="T1967" i="1"/>
  <c r="S1967" i="1"/>
  <c r="C1967" i="1"/>
  <c r="N1967" i="1"/>
  <c r="H1967" i="1"/>
  <c r="N222" i="1"/>
  <c r="N184" i="1"/>
  <c r="N93" i="1"/>
  <c r="J625" i="1"/>
  <c r="J1222" i="1"/>
  <c r="H1597" i="1"/>
  <c r="T1597" i="1"/>
  <c r="S1597" i="1"/>
  <c r="J1597" i="1"/>
  <c r="U1597" i="1"/>
  <c r="S2180" i="1"/>
  <c r="U2180" i="1"/>
  <c r="C2180" i="1"/>
  <c r="T2180" i="1"/>
  <c r="H2180" i="1"/>
  <c r="U1881" i="1"/>
  <c r="T1881" i="1"/>
  <c r="H1881" i="1"/>
  <c r="L1881" i="1" s="1"/>
  <c r="G1882" i="1"/>
  <c r="S1881" i="1"/>
  <c r="J212" i="1"/>
  <c r="L522" i="1"/>
  <c r="O596" i="1"/>
  <c r="O608" i="1"/>
  <c r="O604" i="1"/>
  <c r="O584" i="1"/>
  <c r="O588" i="1"/>
  <c r="C2189" i="1"/>
  <c r="G2222" i="1"/>
  <c r="H2189" i="1"/>
  <c r="T2189" i="1"/>
  <c r="U2189" i="1"/>
  <c r="S2189" i="1"/>
  <c r="C2211" i="1"/>
  <c r="U2211" i="1"/>
  <c r="H2211" i="1"/>
  <c r="S2211" i="1"/>
  <c r="T2211" i="1"/>
  <c r="L958" i="1"/>
  <c r="L861" i="1"/>
  <c r="L922" i="1"/>
  <c r="L1019" i="1"/>
  <c r="L1006" i="1"/>
  <c r="L1098" i="1"/>
  <c r="L1031" i="1"/>
  <c r="L940" i="1"/>
  <c r="L882" i="1"/>
  <c r="L890" i="1"/>
  <c r="L1110" i="1"/>
  <c r="L992" i="1"/>
  <c r="L869" i="1"/>
  <c r="L932" i="1"/>
  <c r="L911" i="1"/>
  <c r="L900" i="1"/>
  <c r="L966" i="1"/>
  <c r="L1121" i="1"/>
  <c r="L919" i="1"/>
  <c r="L908" i="1"/>
  <c r="L1045" i="1"/>
  <c r="L980" i="1"/>
  <c r="L948" i="1"/>
  <c r="L1070" i="1"/>
  <c r="L1058" i="1"/>
  <c r="L872" i="1"/>
  <c r="L1085" i="1"/>
  <c r="L553" i="1"/>
  <c r="L480" i="1"/>
  <c r="L513" i="1"/>
  <c r="L463" i="1"/>
  <c r="L455" i="1"/>
  <c r="L531" i="1"/>
  <c r="L547" i="1"/>
  <c r="L449" i="1"/>
  <c r="I1110" i="1"/>
  <c r="I861" i="1"/>
  <c r="I869" i="1"/>
  <c r="I1045" i="1"/>
  <c r="I1085" i="1"/>
  <c r="I1019" i="1"/>
  <c r="I992" i="1"/>
  <c r="I973" i="1"/>
  <c r="I940" i="1"/>
  <c r="I919" i="1"/>
  <c r="I890" i="1"/>
  <c r="I1121" i="1"/>
  <c r="I872" i="1"/>
  <c r="I958" i="1"/>
  <c r="I882" i="1"/>
  <c r="I911" i="1"/>
  <c r="I1070" i="1"/>
  <c r="I1031" i="1"/>
  <c r="I1058" i="1"/>
  <c r="I1006" i="1"/>
  <c r="I980" i="1"/>
  <c r="I966" i="1"/>
  <c r="I922" i="1"/>
  <c r="I900" i="1"/>
  <c r="I908" i="1"/>
  <c r="I948" i="1"/>
  <c r="I1098" i="1"/>
  <c r="I932" i="1"/>
  <c r="I724" i="1"/>
  <c r="I804" i="1"/>
  <c r="I671" i="1"/>
  <c r="I852" i="1"/>
  <c r="I635" i="1"/>
  <c r="I718" i="1"/>
  <c r="I703" i="1"/>
  <c r="I781" i="1"/>
  <c r="I743" i="1"/>
  <c r="I838" i="1"/>
  <c r="I731" i="1"/>
  <c r="I774" i="1"/>
  <c r="I769" i="1"/>
  <c r="I663" i="1"/>
  <c r="I716" i="1"/>
  <c r="I785" i="1"/>
  <c r="I642" i="1"/>
  <c r="I687" i="1"/>
  <c r="I709" i="1"/>
  <c r="I655" i="1"/>
  <c r="I737" i="1"/>
  <c r="I757" i="1"/>
  <c r="I797" i="1"/>
  <c r="I679" i="1"/>
  <c r="I817" i="1"/>
  <c r="I811" i="1"/>
  <c r="I751" i="1"/>
  <c r="I695" i="1"/>
  <c r="I677" i="1"/>
  <c r="I857" i="1"/>
  <c r="I845" i="1"/>
  <c r="I649" i="1"/>
  <c r="I765" i="1"/>
  <c r="H1728" i="1"/>
  <c r="S1728" i="1"/>
  <c r="T1728" i="1"/>
  <c r="U1728" i="1"/>
  <c r="C1728" i="1"/>
  <c r="C92" i="18"/>
  <c r="O591" i="1"/>
  <c r="I610" i="1"/>
  <c r="I609" i="1"/>
  <c r="I611" i="1"/>
  <c r="I587" i="1"/>
  <c r="I585" i="1"/>
  <c r="I586" i="1"/>
  <c r="I615" i="1"/>
  <c r="I614" i="1"/>
  <c r="I613" i="1"/>
  <c r="AC68" i="2"/>
  <c r="N343" i="49"/>
  <c r="A343" i="49"/>
  <c r="O343" i="49"/>
  <c r="M343" i="49"/>
  <c r="L343" i="49"/>
  <c r="G344" i="49"/>
  <c r="G347" i="49" s="1"/>
  <c r="M582" i="49"/>
  <c r="A582" i="49"/>
  <c r="L582" i="49"/>
  <c r="O582" i="49"/>
  <c r="N582" i="49"/>
  <c r="S1495" i="1"/>
  <c r="J1495" i="1"/>
  <c r="H1495" i="1"/>
  <c r="U1495" i="1"/>
  <c r="T1495" i="1"/>
  <c r="K1349" i="1"/>
  <c r="S1349" i="1"/>
  <c r="T1349" i="1"/>
  <c r="U1349" i="1"/>
  <c r="S1980" i="1"/>
  <c r="I790" i="1"/>
  <c r="M1094" i="23"/>
  <c r="N1094" i="23"/>
  <c r="A1094" i="23"/>
  <c r="M1088" i="23"/>
  <c r="A1088" i="23"/>
  <c r="L1088" i="23"/>
  <c r="O1088" i="23"/>
  <c r="A1082" i="23"/>
  <c r="O1082" i="23"/>
  <c r="M1082" i="23"/>
  <c r="G2172" i="1"/>
  <c r="C2172" i="1" s="1"/>
  <c r="G2164" i="1"/>
  <c r="C2164" i="1" s="1"/>
  <c r="G2127" i="1"/>
  <c r="C2127" i="1" s="1"/>
  <c r="G2028" i="1"/>
  <c r="C2028" i="1" s="1"/>
  <c r="J757" i="1"/>
  <c r="J331" i="1"/>
  <c r="J332" i="1" s="1"/>
  <c r="J333" i="1" s="1"/>
  <c r="J83" i="1"/>
  <c r="N27" i="1"/>
  <c r="H1920" i="1"/>
  <c r="N1920" i="1"/>
  <c r="U1920" i="1"/>
  <c r="C1920" i="1"/>
  <c r="T1920" i="1"/>
  <c r="S1920" i="1"/>
  <c r="N973" i="1"/>
  <c r="N195" i="1"/>
  <c r="N147" i="1"/>
  <c r="S1606" i="1"/>
  <c r="T1606" i="1"/>
  <c r="U1606" i="1"/>
  <c r="H1606" i="1"/>
  <c r="J1606" i="1"/>
  <c r="J1171" i="1"/>
  <c r="O21" i="1"/>
  <c r="O14" i="1"/>
  <c r="O147" i="1"/>
  <c r="O72" i="1"/>
  <c r="O37" i="1"/>
  <c r="O163" i="1"/>
  <c r="O114" i="1"/>
  <c r="O62" i="1"/>
  <c r="O130" i="1"/>
  <c r="O52" i="1"/>
  <c r="O27" i="1"/>
  <c r="O17" i="1"/>
  <c r="O142" i="1"/>
  <c r="O47" i="1"/>
  <c r="O32" i="1"/>
  <c r="O135" i="1"/>
  <c r="O93" i="1"/>
  <c r="O42" i="1"/>
  <c r="O178" i="1"/>
  <c r="L781" i="1"/>
  <c r="L663" i="1"/>
  <c r="L716" i="1"/>
  <c r="L717" i="1" s="1"/>
  <c r="L845" i="1"/>
  <c r="L769" i="1"/>
  <c r="L677" i="1"/>
  <c r="L678" i="1" s="1"/>
  <c r="L774" i="1"/>
  <c r="L778" i="1" s="1"/>
  <c r="L679" i="1"/>
  <c r="L804" i="1"/>
  <c r="L857" i="1"/>
  <c r="L811" i="1"/>
  <c r="L655" i="1"/>
  <c r="L743" i="1"/>
  <c r="L797" i="1"/>
  <c r="L695" i="1"/>
  <c r="L817" i="1"/>
  <c r="L718" i="1"/>
  <c r="L649" i="1"/>
  <c r="L731" i="1"/>
  <c r="L737" i="1"/>
  <c r="L642" i="1"/>
  <c r="L765" i="1"/>
  <c r="L724" i="1"/>
  <c r="L635" i="1"/>
  <c r="L671" i="1"/>
  <c r="L852" i="1"/>
  <c r="L785" i="1"/>
  <c r="M77" i="49"/>
  <c r="O77" i="49"/>
  <c r="N77" i="49"/>
  <c r="G54" i="49"/>
  <c r="A54" i="49" s="1"/>
  <c r="G53" i="49"/>
  <c r="A53" i="49" s="1"/>
  <c r="L77" i="49"/>
  <c r="J687" i="1"/>
  <c r="U1811" i="1"/>
  <c r="T1811" i="1"/>
  <c r="H1811" i="1"/>
  <c r="L1811" i="1" s="1"/>
  <c r="S1811" i="1"/>
  <c r="C1811" i="1"/>
  <c r="C2182" i="1"/>
  <c r="H2182" i="1"/>
  <c r="S2182" i="1"/>
  <c r="T2182" i="1"/>
  <c r="U2182" i="1"/>
  <c r="L195" i="1"/>
  <c r="L163" i="1"/>
  <c r="L125" i="1"/>
  <c r="L72" i="1"/>
  <c r="L227" i="1"/>
  <c r="L244" i="1"/>
  <c r="L368" i="1"/>
  <c r="L403" i="1"/>
  <c r="L384" i="1"/>
  <c r="L47" i="1"/>
  <c r="L338" i="1"/>
  <c r="L391" i="1"/>
  <c r="L42" i="1"/>
  <c r="L120" i="1"/>
  <c r="L397" i="1"/>
  <c r="L260" i="1"/>
  <c r="L334" i="1"/>
  <c r="L358" i="1"/>
  <c r="L205" i="1"/>
  <c r="L249" i="1"/>
  <c r="L200" i="1"/>
  <c r="L348" i="1"/>
  <c r="L208" i="1"/>
  <c r="L184" i="1"/>
  <c r="L21" i="1"/>
  <c r="L14" i="1"/>
  <c r="L17" i="1"/>
  <c r="L189" i="1"/>
  <c r="L436" i="1"/>
  <c r="L138" i="1"/>
  <c r="L130" i="1"/>
  <c r="L312" i="1"/>
  <c r="L78" i="1"/>
  <c r="L142" i="1"/>
  <c r="L331" i="1"/>
  <c r="L332" i="1" s="1"/>
  <c r="L333" i="1" s="1"/>
  <c r="L423" i="1"/>
  <c r="L325" i="1"/>
  <c r="L75" i="1"/>
  <c r="L178" i="1"/>
  <c r="L290" i="1"/>
  <c r="L212" i="1"/>
  <c r="L109" i="1"/>
  <c r="L52" i="1"/>
  <c r="L62" i="1"/>
  <c r="L379" i="1"/>
  <c r="L152" i="1"/>
  <c r="L254" i="1"/>
  <c r="L233" i="1"/>
  <c r="L83" i="1"/>
  <c r="L32" i="1"/>
  <c r="L37" i="1"/>
  <c r="L173" i="1"/>
  <c r="L300" i="1"/>
  <c r="L93" i="1"/>
  <c r="L343" i="1"/>
  <c r="L147" i="1"/>
  <c r="L114" i="1"/>
  <c r="L103" i="1"/>
  <c r="L373" i="1"/>
  <c r="L222" i="1"/>
  <c r="L238" i="1"/>
  <c r="L27" i="1"/>
  <c r="L217" i="1"/>
  <c r="L418" i="1"/>
  <c r="L408" i="1"/>
  <c r="L135" i="1"/>
  <c r="L1132" i="1"/>
  <c r="L1145" i="1" s="1"/>
  <c r="L1195" i="1"/>
  <c r="L1154" i="1"/>
  <c r="L1137" i="1"/>
  <c r="L1151" i="1" s="1"/>
  <c r="L1159" i="1"/>
  <c r="L1177" i="1"/>
  <c r="L1183" i="1"/>
  <c r="I195" i="1"/>
  <c r="I331" i="1"/>
  <c r="I62" i="1"/>
  <c r="I103" i="1"/>
  <c r="I290" i="1"/>
  <c r="I227" i="1"/>
  <c r="I300" i="1"/>
  <c r="I312" i="1"/>
  <c r="I217" i="1"/>
  <c r="I93" i="1"/>
  <c r="I178" i="1"/>
  <c r="I147" i="1"/>
  <c r="I17" i="1"/>
  <c r="I379" i="1"/>
  <c r="I208" i="1"/>
  <c r="I249" i="1"/>
  <c r="I338" i="1"/>
  <c r="I205" i="1"/>
  <c r="I75" i="1"/>
  <c r="I325" i="1"/>
  <c r="I135" i="1"/>
  <c r="I436" i="1"/>
  <c r="I125" i="1"/>
  <c r="I142" i="1"/>
  <c r="I403" i="1"/>
  <c r="I130" i="1"/>
  <c r="I114" i="1"/>
  <c r="I189" i="1"/>
  <c r="I120" i="1"/>
  <c r="I238" i="1"/>
  <c r="I42" i="1"/>
  <c r="I233" i="1"/>
  <c r="I373" i="1"/>
  <c r="I260" i="1"/>
  <c r="I408" i="1"/>
  <c r="I109" i="1"/>
  <c r="I152" i="1"/>
  <c r="I397" i="1"/>
  <c r="I78" i="1"/>
  <c r="I418" i="1"/>
  <c r="I14" i="1"/>
  <c r="I184" i="1"/>
  <c r="I266" i="1"/>
  <c r="I72" i="1"/>
  <c r="I254" i="1"/>
  <c r="I163" i="1"/>
  <c r="I32" i="1"/>
  <c r="I138" i="1"/>
  <c r="I384" i="1"/>
  <c r="I368" i="1"/>
  <c r="I391" i="1"/>
  <c r="I21" i="1"/>
  <c r="I334" i="1"/>
  <c r="I244" i="1"/>
  <c r="I47" i="1"/>
  <c r="I222" i="1"/>
  <c r="I423" i="1"/>
  <c r="I212" i="1"/>
  <c r="I348" i="1"/>
  <c r="I52" i="1"/>
  <c r="I27" i="1"/>
  <c r="I200" i="1"/>
  <c r="I83" i="1"/>
  <c r="I358" i="1"/>
  <c r="I37" i="1"/>
  <c r="I173" i="1"/>
  <c r="G1783" i="1"/>
  <c r="U1727" i="1"/>
  <c r="H1727" i="1"/>
  <c r="T1727" i="1"/>
  <c r="S1727" i="1"/>
  <c r="C1727" i="1"/>
  <c r="L1189" i="1"/>
  <c r="L1171" i="1"/>
  <c r="L757" i="1"/>
  <c r="L751" i="1"/>
  <c r="I621" i="1"/>
  <c r="I623" i="1"/>
  <c r="I622" i="1"/>
  <c r="I598" i="1"/>
  <c r="I597" i="1"/>
  <c r="I599" i="1"/>
  <c r="M342" i="49"/>
  <c r="O342" i="49"/>
  <c r="A342" i="49"/>
  <c r="N342" i="49"/>
  <c r="L342" i="49"/>
  <c r="L345" i="49"/>
  <c r="N345" i="49"/>
  <c r="M345" i="49"/>
  <c r="A345" i="49"/>
  <c r="O345" i="49"/>
  <c r="U1894" i="1"/>
  <c r="C1894" i="1"/>
  <c r="T1894" i="1"/>
  <c r="S1894" i="1"/>
  <c r="L973" i="1"/>
  <c r="L577" i="49"/>
  <c r="O577" i="49"/>
  <c r="N577" i="49"/>
  <c r="M577" i="49"/>
  <c r="G581" i="49"/>
  <c r="O578" i="49"/>
  <c r="N578" i="49"/>
  <c r="L578" i="49"/>
  <c r="M578" i="49"/>
  <c r="A578" i="49"/>
  <c r="I343" i="1"/>
  <c r="A1090" i="23"/>
  <c r="G1091" i="23"/>
  <c r="M1090" i="23"/>
  <c r="O1090" i="23"/>
  <c r="A1084" i="23"/>
  <c r="M1084" i="23"/>
  <c r="G1086" i="23"/>
  <c r="N1084" i="23"/>
  <c r="M2063" i="1"/>
  <c r="U2063" i="1"/>
  <c r="T2063" i="1"/>
  <c r="H2063" i="1"/>
  <c r="S2063" i="1"/>
  <c r="M2055" i="1"/>
  <c r="U2055" i="1"/>
  <c r="T2055" i="1"/>
  <c r="H2055" i="1"/>
  <c r="S2055" i="1"/>
  <c r="M2043" i="1"/>
  <c r="G2138" i="1"/>
  <c r="C2138" i="1" s="1"/>
  <c r="H2043" i="1"/>
  <c r="S2043" i="1"/>
  <c r="T2043" i="1"/>
  <c r="U2043" i="1"/>
  <c r="M596" i="1"/>
  <c r="M2082" i="1"/>
  <c r="H2082" i="1"/>
  <c r="T2082" i="1"/>
  <c r="U2082" i="1"/>
  <c r="S2082" i="1"/>
  <c r="M449" i="1"/>
  <c r="M72" i="1"/>
  <c r="M584" i="1"/>
  <c r="G2160" i="1"/>
  <c r="C2160" i="1" s="1"/>
  <c r="G2151" i="1"/>
  <c r="C2151" i="1" s="1"/>
  <c r="M2094" i="1"/>
  <c r="S2094" i="1"/>
  <c r="U2094" i="1"/>
  <c r="T2094" i="1"/>
  <c r="H2094" i="1"/>
  <c r="M2107" i="1"/>
  <c r="H2107" i="1"/>
  <c r="S2107" i="1"/>
  <c r="U2107" i="1"/>
  <c r="S2109" i="1"/>
  <c r="H2109" i="1"/>
  <c r="T2109" i="1"/>
  <c r="M2109" i="1"/>
  <c r="U2109" i="1"/>
  <c r="M2099" i="1"/>
  <c r="U2099" i="1"/>
  <c r="S2099" i="1"/>
  <c r="T2099" i="1"/>
  <c r="H2099" i="1"/>
  <c r="M2057" i="1"/>
  <c r="T2057" i="1"/>
  <c r="H2057" i="1"/>
  <c r="S2057" i="1"/>
  <c r="U2057" i="1"/>
  <c r="M2053" i="1"/>
  <c r="H2053" i="1"/>
  <c r="T2053" i="1"/>
  <c r="U2053" i="1"/>
  <c r="S2053" i="1"/>
  <c r="M2045" i="1"/>
  <c r="H2045" i="1"/>
  <c r="S2045" i="1"/>
  <c r="G2140" i="1"/>
  <c r="C2140" i="1" s="1"/>
  <c r="U2045" i="1"/>
  <c r="T2045" i="1"/>
  <c r="M2041" i="1"/>
  <c r="H2041" i="1"/>
  <c r="U2041" i="1"/>
  <c r="G2137" i="1"/>
  <c r="C2137" i="1" s="1"/>
  <c r="S2041" i="1"/>
  <c r="T2041" i="1"/>
  <c r="M14" i="1"/>
  <c r="G2156" i="1"/>
  <c r="C2156" i="1" s="1"/>
  <c r="M217" i="1"/>
  <c r="M147" i="1"/>
  <c r="M103" i="1"/>
  <c r="G2153" i="1"/>
  <c r="C2153" i="1" s="1"/>
  <c r="M2098" i="1"/>
  <c r="T2098" i="1"/>
  <c r="H2098" i="1"/>
  <c r="S2098" i="1"/>
  <c r="U2098" i="1"/>
  <c r="H2108" i="1"/>
  <c r="T2108" i="1"/>
  <c r="S2108" i="1"/>
  <c r="U2108" i="1"/>
  <c r="M2108" i="1"/>
  <c r="T1965" i="1"/>
  <c r="S1965" i="1"/>
  <c r="N1965" i="1"/>
  <c r="U1965" i="1"/>
  <c r="H1965" i="1"/>
  <c r="N103" i="1"/>
  <c r="N488" i="1"/>
  <c r="N200" i="1"/>
  <c r="T1934" i="1"/>
  <c r="C1934" i="1"/>
  <c r="N1934" i="1"/>
  <c r="S1934" i="1"/>
  <c r="H1934" i="1"/>
  <c r="U1934" i="1"/>
  <c r="T1924" i="1"/>
  <c r="S1924" i="1"/>
  <c r="H1924" i="1"/>
  <c r="U1924" i="1"/>
  <c r="C1924" i="1"/>
  <c r="G2022" i="1"/>
  <c r="N1924" i="1"/>
  <c r="H1958" i="1"/>
  <c r="T1958" i="1"/>
  <c r="U1958" i="1"/>
  <c r="C1958" i="1"/>
  <c r="N1958" i="1"/>
  <c r="S1958" i="1"/>
  <c r="C1939" i="1"/>
  <c r="U1939" i="1"/>
  <c r="H1939" i="1"/>
  <c r="T1939" i="1"/>
  <c r="N1939" i="1"/>
  <c r="S1939" i="1"/>
  <c r="T1925" i="1"/>
  <c r="H1925" i="1"/>
  <c r="U1925" i="1"/>
  <c r="S1925" i="1"/>
  <c r="N1925" i="1"/>
  <c r="N1177" i="1"/>
  <c r="N1137" i="1"/>
  <c r="N1151" i="1" s="1"/>
  <c r="U1910" i="1"/>
  <c r="S1910" i="1"/>
  <c r="H1910" i="1"/>
  <c r="G2004" i="1"/>
  <c r="C1910" i="1"/>
  <c r="N1910" i="1"/>
  <c r="G2003" i="1"/>
  <c r="T1910" i="1"/>
  <c r="H1941" i="1"/>
  <c r="U1941" i="1"/>
  <c r="T1941" i="1"/>
  <c r="S1941" i="1"/>
  <c r="N1941" i="1"/>
  <c r="C1941" i="1"/>
  <c r="N480" i="1"/>
  <c r="N861" i="1"/>
  <c r="N890" i="1"/>
  <c r="H1961" i="1"/>
  <c r="U1961" i="1"/>
  <c r="T1961" i="1"/>
  <c r="N1961" i="1"/>
  <c r="C1961" i="1"/>
  <c r="S1961" i="1"/>
  <c r="N125" i="1"/>
  <c r="N72" i="1"/>
  <c r="N452" i="1"/>
  <c r="N454" i="1"/>
  <c r="N453" i="1"/>
  <c r="N451" i="1"/>
  <c r="N450" i="1"/>
  <c r="G2008" i="1"/>
  <c r="G1906" i="1"/>
  <c r="H1928" i="1"/>
  <c r="T1928" i="1"/>
  <c r="S1928" i="1"/>
  <c r="N1928" i="1"/>
  <c r="U1928" i="1"/>
  <c r="C1928" i="1"/>
  <c r="T1960" i="1"/>
  <c r="H1960" i="1"/>
  <c r="S1960" i="1"/>
  <c r="N1960" i="1"/>
  <c r="C1960" i="1"/>
  <c r="U1960" i="1"/>
  <c r="U1954" i="1"/>
  <c r="T1954" i="1"/>
  <c r="N1954" i="1"/>
  <c r="S1954" i="1"/>
  <c r="H1954" i="1"/>
  <c r="T1933" i="1"/>
  <c r="C1933" i="1"/>
  <c r="U1933" i="1"/>
  <c r="H1933" i="1"/>
  <c r="N1933" i="1"/>
  <c r="S1933" i="1"/>
  <c r="N1923" i="1"/>
  <c r="G2021" i="1"/>
  <c r="H1923" i="1"/>
  <c r="T1923" i="1"/>
  <c r="C1923" i="1"/>
  <c r="S1923" i="1"/>
  <c r="U1923" i="1"/>
  <c r="N1159" i="1"/>
  <c r="G1913" i="1"/>
  <c r="G2015" i="1"/>
  <c r="G2010" i="1"/>
  <c r="G1908" i="1"/>
  <c r="T1951" i="1"/>
  <c r="C1951" i="1"/>
  <c r="S1951" i="1"/>
  <c r="N1951" i="1"/>
  <c r="U1951" i="1"/>
  <c r="H1951" i="1"/>
  <c r="N460" i="1"/>
  <c r="N462" i="1"/>
  <c r="N459" i="1"/>
  <c r="N458" i="1"/>
  <c r="N461" i="1"/>
  <c r="N457" i="1"/>
  <c r="N456" i="1"/>
  <c r="S1918" i="1"/>
  <c r="C1918" i="1"/>
  <c r="H1918" i="1"/>
  <c r="T1918" i="1"/>
  <c r="U1918" i="1"/>
  <c r="N1918" i="1"/>
  <c r="N1174" i="1"/>
  <c r="N1172" i="1"/>
  <c r="N1176" i="1"/>
  <c r="N1173" i="1"/>
  <c r="N1175" i="1"/>
  <c r="N1158" i="1"/>
  <c r="N1155" i="1"/>
  <c r="N1156" i="1"/>
  <c r="N1157" i="1"/>
  <c r="M2123" i="1"/>
  <c r="H2123" i="1"/>
  <c r="S2123" i="1"/>
  <c r="U2123" i="1"/>
  <c r="T2123" i="1"/>
  <c r="M2102" i="1"/>
  <c r="T2102" i="1"/>
  <c r="H2102" i="1"/>
  <c r="U2102" i="1"/>
  <c r="S2102" i="1"/>
  <c r="N1981" i="1"/>
  <c r="H1981" i="1"/>
  <c r="T1981" i="1"/>
  <c r="U1981" i="1"/>
  <c r="S1981" i="1"/>
  <c r="G2064" i="1"/>
  <c r="G2173" i="1"/>
  <c r="C2173" i="1" s="1"/>
  <c r="G2167" i="1"/>
  <c r="C2167" i="1" s="1"/>
  <c r="M627" i="1"/>
  <c r="M2100" i="1"/>
  <c r="T2100" i="1"/>
  <c r="S2100" i="1"/>
  <c r="H2100" i="1"/>
  <c r="U2100" i="1"/>
  <c r="M2078" i="1"/>
  <c r="H2078" i="1"/>
  <c r="S2078" i="1"/>
  <c r="T2078" i="1"/>
  <c r="U2078" i="1"/>
  <c r="M2058" i="1"/>
  <c r="S2058" i="1"/>
  <c r="H2058" i="1"/>
  <c r="T2058" i="1"/>
  <c r="U2058" i="1"/>
  <c r="M2044" i="1"/>
  <c r="T2044" i="1"/>
  <c r="H2044" i="1"/>
  <c r="G2139" i="1"/>
  <c r="C2139" i="1" s="1"/>
  <c r="U2044" i="1"/>
  <c r="S2044" i="1"/>
  <c r="M496" i="1"/>
  <c r="M32" i="1"/>
  <c r="M629" i="1"/>
  <c r="G2148" i="1"/>
  <c r="G2142" i="1"/>
  <c r="C2142" i="1" s="1"/>
  <c r="M2065" i="1"/>
  <c r="T2065" i="1"/>
  <c r="H2065" i="1"/>
  <c r="S2065" i="1"/>
  <c r="U2065" i="1"/>
  <c r="M2046" i="1"/>
  <c r="H2046" i="1"/>
  <c r="U2046" i="1"/>
  <c r="T2046" i="1"/>
  <c r="S2046" i="1"/>
  <c r="G2035" i="1"/>
  <c r="G2135" i="1"/>
  <c r="M142" i="1"/>
  <c r="G2152" i="1"/>
  <c r="C2152" i="1" s="1"/>
  <c r="M2066" i="1"/>
  <c r="S2066" i="1"/>
  <c r="U2066" i="1"/>
  <c r="H2066" i="1"/>
  <c r="T2066" i="1"/>
  <c r="M488" i="1"/>
  <c r="J628" i="1"/>
  <c r="T1594" i="1"/>
  <c r="U1594" i="1"/>
  <c r="S1594" i="1"/>
  <c r="H1594" i="1"/>
  <c r="J1594" i="1"/>
  <c r="J1527" i="1"/>
  <c r="T1527" i="1"/>
  <c r="H1527" i="1"/>
  <c r="G1530" i="1"/>
  <c r="U1527" i="1"/>
  <c r="G1529" i="1"/>
  <c r="G1528" i="1"/>
  <c r="J1183" i="1"/>
  <c r="U1968" i="1"/>
  <c r="N1968" i="1"/>
  <c r="H1968" i="1"/>
  <c r="C1968" i="1"/>
  <c r="T1968" i="1"/>
  <c r="S1968" i="1"/>
  <c r="G1972" i="1"/>
  <c r="T1935" i="1"/>
  <c r="U1935" i="1"/>
  <c r="H1935" i="1"/>
  <c r="N1935" i="1"/>
  <c r="C1935" i="1"/>
  <c r="S1935" i="1"/>
  <c r="H1922" i="1"/>
  <c r="N1922" i="1"/>
  <c r="S1922" i="1"/>
  <c r="C1922" i="1"/>
  <c r="T1922" i="1"/>
  <c r="G2020" i="1"/>
  <c r="U1922" i="1"/>
  <c r="N1183" i="1"/>
  <c r="N120" i="1"/>
  <c r="N584" i="1"/>
  <c r="G1916" i="1"/>
  <c r="G2059" i="1"/>
  <c r="J539" i="1"/>
  <c r="A421" i="49"/>
  <c r="N421" i="49"/>
  <c r="O421" i="49"/>
  <c r="M421" i="49"/>
  <c r="L421" i="49"/>
  <c r="M296" i="49"/>
  <c r="A296" i="49"/>
  <c r="O296" i="49"/>
  <c r="L296" i="49"/>
  <c r="N296" i="49"/>
  <c r="M37" i="23"/>
  <c r="G62" i="23"/>
  <c r="A37" i="23"/>
  <c r="O37" i="23"/>
  <c r="M61" i="23"/>
  <c r="A61" i="23"/>
  <c r="L488" i="49"/>
  <c r="A488" i="49"/>
  <c r="O488" i="49"/>
  <c r="M488" i="49"/>
  <c r="N488" i="49"/>
  <c r="N486" i="49"/>
  <c r="O486" i="49"/>
  <c r="A486" i="49"/>
  <c r="L486" i="49"/>
  <c r="G489" i="49"/>
  <c r="M486" i="49"/>
  <c r="O497" i="49"/>
  <c r="M497" i="49"/>
  <c r="L497" i="49"/>
  <c r="N497" i="49"/>
  <c r="A497" i="49"/>
  <c r="A494" i="49"/>
  <c r="L494" i="49"/>
  <c r="M494" i="49"/>
  <c r="N494" i="49"/>
  <c r="O494" i="49"/>
  <c r="G500" i="49"/>
  <c r="O215" i="49"/>
  <c r="M215" i="49"/>
  <c r="L215" i="49"/>
  <c r="N215" i="49"/>
  <c r="G218" i="49"/>
  <c r="A218" i="49" s="1"/>
  <c r="N214" i="49"/>
  <c r="O214" i="49"/>
  <c r="M214" i="49"/>
  <c r="L214" i="49"/>
  <c r="N37" i="23"/>
  <c r="L316" i="49"/>
  <c r="M316" i="49"/>
  <c r="N316" i="49"/>
  <c r="A316" i="49"/>
  <c r="O316" i="49"/>
  <c r="O277" i="49"/>
  <c r="L277" i="49"/>
  <c r="M277" i="49"/>
  <c r="G281" i="49"/>
  <c r="N277" i="49"/>
  <c r="A277" i="49"/>
  <c r="M611" i="49"/>
  <c r="O611" i="49"/>
  <c r="L611" i="49"/>
  <c r="N611" i="49"/>
  <c r="A611" i="49"/>
  <c r="T2155" i="1"/>
  <c r="H2155" i="1"/>
  <c r="S2155" i="1"/>
  <c r="U2155" i="1"/>
  <c r="T2181" i="1"/>
  <c r="U2181" i="1"/>
  <c r="H2181" i="1"/>
  <c r="G2219" i="1"/>
  <c r="C2181" i="1"/>
  <c r="S2181" i="1"/>
  <c r="T2019" i="1"/>
  <c r="S2019" i="1"/>
  <c r="U2019" i="1"/>
  <c r="C2019" i="1"/>
  <c r="A1050" i="23"/>
  <c r="N1050" i="23"/>
  <c r="L1050" i="23"/>
  <c r="M1050" i="23"/>
  <c r="O1050" i="23"/>
  <c r="M633" i="49"/>
  <c r="L633" i="49"/>
  <c r="N633" i="49"/>
  <c r="A633" i="49"/>
  <c r="O633" i="49"/>
  <c r="G650" i="49"/>
  <c r="T2026" i="1"/>
  <c r="U2026" i="1"/>
  <c r="M2026" i="1"/>
  <c r="S2026" i="1"/>
  <c r="H2026" i="1"/>
  <c r="O1195" i="23"/>
  <c r="M1020" i="23"/>
  <c r="O1020" i="23"/>
  <c r="L1020" i="23"/>
  <c r="A1020" i="23"/>
  <c r="N1020" i="23"/>
  <c r="N1979" i="1"/>
  <c r="H1979" i="1"/>
  <c r="S1979" i="1"/>
  <c r="T1979" i="1"/>
  <c r="U1979" i="1"/>
  <c r="G2034" i="1"/>
  <c r="G2134" i="1"/>
  <c r="M2080" i="1"/>
  <c r="U2080" i="1"/>
  <c r="S2080" i="1"/>
  <c r="H2080" i="1"/>
  <c r="T2080" i="1"/>
  <c r="G2171" i="1"/>
  <c r="C2171" i="1" s="1"/>
  <c r="G2163" i="1"/>
  <c r="C2163" i="1" s="1"/>
  <c r="G2146" i="1"/>
  <c r="C2146" i="1" s="1"/>
  <c r="M2090" i="1"/>
  <c r="H2090" i="1"/>
  <c r="S2090" i="1"/>
  <c r="U2090" i="1"/>
  <c r="T2090" i="1"/>
  <c r="M2070" i="1"/>
  <c r="S2070" i="1"/>
  <c r="U2070" i="1"/>
  <c r="T2070" i="1"/>
  <c r="H2070" i="1"/>
  <c r="M2054" i="1"/>
  <c r="U2054" i="1"/>
  <c r="T2054" i="1"/>
  <c r="H2054" i="1"/>
  <c r="S2054" i="1"/>
  <c r="M2042" i="1"/>
  <c r="H2042" i="1"/>
  <c r="S2042" i="1"/>
  <c r="U2042" i="1"/>
  <c r="T2042" i="1"/>
  <c r="M294" i="1"/>
  <c r="M297" i="1"/>
  <c r="M291" i="1"/>
  <c r="M296" i="1"/>
  <c r="M298" i="1"/>
  <c r="M295" i="1"/>
  <c r="M299" i="1"/>
  <c r="M293" i="1"/>
  <c r="M292" i="1"/>
  <c r="M2085" i="1"/>
  <c r="U2085" i="1"/>
  <c r="T2085" i="1"/>
  <c r="H2085" i="1"/>
  <c r="S2085" i="1"/>
  <c r="G2158" i="1"/>
  <c r="C2158" i="1" s="1"/>
  <c r="G2144" i="1"/>
  <c r="C2144" i="1" s="1"/>
  <c r="M2096" i="1"/>
  <c r="H2096" i="1"/>
  <c r="S2096" i="1"/>
  <c r="T2096" i="1"/>
  <c r="U2096" i="1"/>
  <c r="M580" i="1"/>
  <c r="M2074" i="1"/>
  <c r="U2074" i="1"/>
  <c r="S2074" i="1"/>
  <c r="T2074" i="1"/>
  <c r="H2074" i="1"/>
  <c r="M27" i="1"/>
  <c r="G2130" i="1"/>
  <c r="C2130" i="1" s="1"/>
  <c r="G2031" i="1"/>
  <c r="C2031" i="1" s="1"/>
  <c r="M212" i="1"/>
  <c r="G2154" i="1"/>
  <c r="C2154" i="1" s="1"/>
  <c r="G2150" i="1"/>
  <c r="C2150" i="1" s="1"/>
  <c r="J1540" i="1"/>
  <c r="G1697" i="1"/>
  <c r="T1697" i="1" s="1"/>
  <c r="G1542" i="1"/>
  <c r="G1541" i="1"/>
  <c r="H1540" i="1"/>
  <c r="J817" i="1"/>
  <c r="N1946" i="1"/>
  <c r="S1946" i="1"/>
  <c r="C1946" i="1"/>
  <c r="H1946" i="1"/>
  <c r="T1946" i="1"/>
  <c r="U1946" i="1"/>
  <c r="N1931" i="1"/>
  <c r="H1931" i="1"/>
  <c r="U1931" i="1"/>
  <c r="T1931" i="1"/>
  <c r="S1931" i="1"/>
  <c r="N911" i="1"/>
  <c r="N217" i="1"/>
  <c r="N32" i="1"/>
  <c r="G1914" i="1"/>
  <c r="G2016" i="1"/>
  <c r="K595" i="1"/>
  <c r="K592" i="1"/>
  <c r="K593" i="1"/>
  <c r="K594" i="1"/>
  <c r="M436" i="49"/>
  <c r="A436" i="49"/>
  <c r="L436" i="49"/>
  <c r="O436" i="49"/>
  <c r="N436" i="49"/>
  <c r="T1829" i="1"/>
  <c r="S1829" i="1"/>
  <c r="H1829" i="1"/>
  <c r="L1829" i="1" s="1"/>
  <c r="U1829" i="1"/>
  <c r="T1848" i="1"/>
  <c r="U1848" i="1"/>
  <c r="G1849" i="1"/>
  <c r="H1848" i="1"/>
  <c r="L1848" i="1" s="1"/>
  <c r="S1848" i="1"/>
  <c r="O348" i="49"/>
  <c r="N348" i="49"/>
  <c r="L348" i="49"/>
  <c r="A348" i="49"/>
  <c r="M348" i="49"/>
  <c r="M479" i="49"/>
  <c r="A485" i="49"/>
  <c r="O485" i="49"/>
  <c r="M485" i="49"/>
  <c r="L485" i="49"/>
  <c r="N485" i="49"/>
  <c r="M484" i="49"/>
  <c r="O484" i="49"/>
  <c r="L484" i="49"/>
  <c r="A484" i="49"/>
  <c r="N484" i="49"/>
  <c r="C503" i="49"/>
  <c r="C516" i="49"/>
  <c r="O496" i="49"/>
  <c r="M496" i="49"/>
  <c r="N496" i="49"/>
  <c r="A496" i="49"/>
  <c r="L496" i="49"/>
  <c r="A498" i="49"/>
  <c r="L498" i="49"/>
  <c r="N498" i="49"/>
  <c r="M498" i="49"/>
  <c r="O498" i="49"/>
  <c r="N216" i="49"/>
  <c r="M216" i="49"/>
  <c r="G217" i="49"/>
  <c r="A217" i="49" s="1"/>
  <c r="O216" i="49"/>
  <c r="L216" i="49"/>
  <c r="T2166" i="1"/>
  <c r="S2166" i="1"/>
  <c r="H2166" i="1"/>
  <c r="U2166" i="1"/>
  <c r="O615" i="1"/>
  <c r="O614" i="1"/>
  <c r="O613" i="1"/>
  <c r="A404" i="49"/>
  <c r="G430" i="49"/>
  <c r="L404" i="49"/>
  <c r="O404" i="49"/>
  <c r="N404" i="49"/>
  <c r="M404" i="49"/>
  <c r="L612" i="49"/>
  <c r="A612" i="49"/>
  <c r="O612" i="49"/>
  <c r="M612" i="49"/>
  <c r="N612" i="49"/>
  <c r="A610" i="49"/>
  <c r="N610" i="49"/>
  <c r="L610" i="49"/>
  <c r="M610" i="49"/>
  <c r="O610" i="49"/>
  <c r="A306" i="49"/>
  <c r="O306" i="49"/>
  <c r="L306" i="49"/>
  <c r="M306" i="49"/>
  <c r="N306" i="49"/>
  <c r="G311" i="49"/>
  <c r="N309" i="49"/>
  <c r="O309" i="49"/>
  <c r="L309" i="49"/>
  <c r="M309" i="49"/>
  <c r="A309" i="49"/>
  <c r="O310" i="49"/>
  <c r="M310" i="49"/>
  <c r="L310" i="49"/>
  <c r="N310" i="49"/>
  <c r="A310" i="49"/>
  <c r="J1555" i="1"/>
  <c r="U1555" i="1"/>
  <c r="S1555" i="1"/>
  <c r="H1555" i="1"/>
  <c r="T1555" i="1"/>
  <c r="S1559" i="1"/>
  <c r="T1559" i="1"/>
  <c r="J1559" i="1"/>
  <c r="H1559" i="1"/>
  <c r="U1559" i="1"/>
  <c r="S1526" i="1"/>
  <c r="U1526" i="1"/>
  <c r="J1526" i="1"/>
  <c r="T1526" i="1"/>
  <c r="H1526" i="1"/>
  <c r="AD72" i="2"/>
  <c r="A610" i="23"/>
  <c r="A630" i="23"/>
  <c r="M1046" i="23"/>
  <c r="O1046" i="23"/>
  <c r="A1046" i="23"/>
  <c r="N1046" i="23"/>
  <c r="L1046" i="23"/>
  <c r="N1993" i="1"/>
  <c r="T1993" i="1"/>
  <c r="S1993" i="1"/>
  <c r="U1993" i="1"/>
  <c r="H1993" i="1"/>
  <c r="H1990" i="1"/>
  <c r="T1990" i="1"/>
  <c r="N1990" i="1"/>
  <c r="U1990" i="1"/>
  <c r="S1990" i="1"/>
  <c r="G655" i="49"/>
  <c r="O645" i="49"/>
  <c r="M645" i="49"/>
  <c r="N645" i="49"/>
  <c r="A645" i="49"/>
  <c r="L645" i="49"/>
  <c r="M637" i="49"/>
  <c r="L637" i="49"/>
  <c r="A637" i="49"/>
  <c r="O637" i="49"/>
  <c r="G658" i="49"/>
  <c r="N637" i="49"/>
  <c r="A1018" i="23"/>
  <c r="O1018" i="23"/>
  <c r="M1018" i="23"/>
  <c r="N1018" i="23"/>
  <c r="L1018" i="23"/>
  <c r="G1073" i="23"/>
  <c r="G1074" i="23"/>
  <c r="M1067" i="23"/>
  <c r="C1067" i="23"/>
  <c r="C1078" i="23" s="1"/>
  <c r="C1097" i="23" s="1"/>
  <c r="L1067" i="23"/>
  <c r="A1067" i="23"/>
  <c r="A1068" i="23" s="1"/>
  <c r="O1067" i="23"/>
  <c r="N1067" i="23"/>
  <c r="G1602" i="23" l="1"/>
  <c r="G1546" i="23"/>
  <c r="G1579" i="23"/>
  <c r="N1516" i="23"/>
  <c r="G1541" i="23"/>
  <c r="M1541" i="23" s="1"/>
  <c r="G2548" i="23"/>
  <c r="N2548" i="23" s="1"/>
  <c r="G1587" i="23"/>
  <c r="G1205" i="23"/>
  <c r="A1205" i="23" s="1"/>
  <c r="G1206" i="23"/>
  <c r="M3237" i="23"/>
  <c r="O3093" i="23"/>
  <c r="M1515" i="23"/>
  <c r="O1549" i="23"/>
  <c r="L110" i="23"/>
  <c r="L1515" i="23"/>
  <c r="M1551" i="23"/>
  <c r="M1112" i="23"/>
  <c r="N1112" i="23"/>
  <c r="M1549" i="23"/>
  <c r="G1553" i="23"/>
  <c r="M1553" i="23" s="1"/>
  <c r="C1228" i="23"/>
  <c r="O1551" i="23"/>
  <c r="N1551" i="23"/>
  <c r="G2733" i="23"/>
  <c r="A2733" i="23" s="1"/>
  <c r="O107" i="49"/>
  <c r="L1551" i="23"/>
  <c r="N2634" i="23"/>
  <c r="G2722" i="23"/>
  <c r="G2723" i="23"/>
  <c r="A2740" i="23"/>
  <c r="A2711" i="23"/>
  <c r="M2711" i="23"/>
  <c r="A2710" i="23"/>
  <c r="M2710" i="23"/>
  <c r="G2734" i="23"/>
  <c r="A2734" i="23" s="1"/>
  <c r="M2634" i="23"/>
  <c r="M2636" i="23"/>
  <c r="A2636" i="23"/>
  <c r="N2636" i="23"/>
  <c r="O2636" i="23"/>
  <c r="L2636" i="23"/>
  <c r="G2725" i="23"/>
  <c r="L2740" i="23"/>
  <c r="G2957" i="23"/>
  <c r="G2954" i="23"/>
  <c r="G2953" i="23"/>
  <c r="G2952" i="23"/>
  <c r="G2958" i="23"/>
  <c r="O2935" i="23"/>
  <c r="N2740" i="23"/>
  <c r="N68" i="23"/>
  <c r="L68" i="23"/>
  <c r="I778" i="1"/>
  <c r="H2298" i="1"/>
  <c r="H2295" i="1"/>
  <c r="U2292" i="1"/>
  <c r="L748" i="23"/>
  <c r="N3467" i="23"/>
  <c r="G3468" i="23"/>
  <c r="N3468" i="23" s="1"/>
  <c r="O1566" i="23"/>
  <c r="G2978" i="23"/>
  <c r="L2978" i="23" s="1"/>
  <c r="N1109" i="23"/>
  <c r="A2762" i="23"/>
  <c r="O2762" i="23"/>
  <c r="L2762" i="23"/>
  <c r="N2762" i="23"/>
  <c r="A2758" i="23"/>
  <c r="N2758" i="23"/>
  <c r="O2758" i="23"/>
  <c r="L2758" i="23"/>
  <c r="G2750" i="23"/>
  <c r="L2749" i="23"/>
  <c r="O2749" i="23"/>
  <c r="N2749" i="23"/>
  <c r="O2759" i="23"/>
  <c r="L2759" i="23"/>
  <c r="N2759" i="23"/>
  <c r="M1566" i="23"/>
  <c r="O2974" i="23"/>
  <c r="A2752" i="23"/>
  <c r="O2752" i="23"/>
  <c r="N2752" i="23"/>
  <c r="L2752" i="23"/>
  <c r="N2751" i="23"/>
  <c r="O2751" i="23"/>
  <c r="L2751" i="23"/>
  <c r="L2974" i="23"/>
  <c r="N2757" i="23"/>
  <c r="L2757" i="23"/>
  <c r="O2757" i="23"/>
  <c r="N2754" i="23"/>
  <c r="O2754" i="23"/>
  <c r="L2754" i="23"/>
  <c r="O2753" i="23"/>
  <c r="N2753" i="23"/>
  <c r="L2753" i="23"/>
  <c r="O2756" i="23"/>
  <c r="N2756" i="23"/>
  <c r="L2756" i="23"/>
  <c r="O2755" i="23"/>
  <c r="N2755" i="23"/>
  <c r="L2755" i="23"/>
  <c r="N2664" i="23"/>
  <c r="S634" i="1"/>
  <c r="G2735" i="23"/>
  <c r="A2735" i="23" s="1"/>
  <c r="T2239" i="1"/>
  <c r="U2239" i="1"/>
  <c r="S2239" i="1"/>
  <c r="J2239" i="1"/>
  <c r="H2239" i="1"/>
  <c r="S1622" i="1"/>
  <c r="J1622" i="1"/>
  <c r="T1622" i="1"/>
  <c r="H1622" i="1"/>
  <c r="G1465" i="1"/>
  <c r="U1465" i="1" s="1"/>
  <c r="G1665" i="1"/>
  <c r="U1665" i="1" s="1"/>
  <c r="H1520" i="1"/>
  <c r="G1652" i="1"/>
  <c r="U1652" i="1" s="1"/>
  <c r="I304" i="1"/>
  <c r="I305" i="1"/>
  <c r="J305" i="1"/>
  <c r="J304" i="1"/>
  <c r="L694" i="1"/>
  <c r="L305" i="1"/>
  <c r="L304" i="1"/>
  <c r="S1626" i="1"/>
  <c r="S1703" i="1"/>
  <c r="U1703" i="1"/>
  <c r="G2760" i="23"/>
  <c r="A2755" i="23"/>
  <c r="G2761" i="23"/>
  <c r="A2757" i="23"/>
  <c r="L2486" i="23"/>
  <c r="G1351" i="23"/>
  <c r="N2633" i="23"/>
  <c r="M2633" i="23"/>
  <c r="O2633" i="23"/>
  <c r="L2633" i="23"/>
  <c r="M2715" i="23"/>
  <c r="A2715" i="23"/>
  <c r="M2708" i="23"/>
  <c r="A2708" i="23"/>
  <c r="G1471" i="23"/>
  <c r="A1147" i="23"/>
  <c r="A2720" i="23"/>
  <c r="A2721" i="23" s="1"/>
  <c r="L2938" i="23"/>
  <c r="A3274" i="23"/>
  <c r="M2435" i="23"/>
  <c r="A2435" i="23"/>
  <c r="O807" i="23"/>
  <c r="A2938" i="23"/>
  <c r="N2938" i="23"/>
  <c r="L3467" i="23"/>
  <c r="A1187" i="23"/>
  <c r="G672" i="23"/>
  <c r="A672" i="23" s="1"/>
  <c r="O2486" i="23"/>
  <c r="M1187" i="23"/>
  <c r="O1596" i="23"/>
  <c r="A1102" i="23"/>
  <c r="L1190" i="23"/>
  <c r="L1566" i="23"/>
  <c r="L2709" i="23"/>
  <c r="A2709" i="23"/>
  <c r="N1566" i="23"/>
  <c r="G1543" i="23"/>
  <c r="A1543" i="23" s="1"/>
  <c r="G1575" i="23"/>
  <c r="O1575" i="23" s="1"/>
  <c r="A1566" i="23"/>
  <c r="A1567" i="23" s="1"/>
  <c r="G1568" i="23"/>
  <c r="O1568" i="23" s="1"/>
  <c r="G1569" i="23"/>
  <c r="O1569" i="23" s="1"/>
  <c r="G2407" i="23"/>
  <c r="O2407" i="23" s="1"/>
  <c r="G1597" i="23"/>
  <c r="O1597" i="23" s="1"/>
  <c r="N2435" i="23"/>
  <c r="A2604" i="23"/>
  <c r="O2604" i="23"/>
  <c r="N2604" i="23"/>
  <c r="M2604" i="23"/>
  <c r="L2604" i="23"/>
  <c r="N2605" i="23"/>
  <c r="O2605" i="23"/>
  <c r="A2605" i="23"/>
  <c r="L2605" i="23"/>
  <c r="M2605" i="23"/>
  <c r="M1167" i="23"/>
  <c r="M2496" i="23"/>
  <c r="N2496" i="23"/>
  <c r="M2492" i="23"/>
  <c r="N2492" i="23"/>
  <c r="A2471" i="23"/>
  <c r="N2471" i="23"/>
  <c r="M2546" i="23"/>
  <c r="N2546" i="23"/>
  <c r="L2472" i="23"/>
  <c r="N2472" i="23"/>
  <c r="M2524" i="23"/>
  <c r="N2524" i="23"/>
  <c r="L2519" i="23"/>
  <c r="N2519" i="23"/>
  <c r="A2510" i="23"/>
  <c r="N2510" i="23"/>
  <c r="L2506" i="23"/>
  <c r="N2506" i="23"/>
  <c r="L2503" i="23"/>
  <c r="N2503" i="23"/>
  <c r="A2483" i="23"/>
  <c r="N2483" i="23"/>
  <c r="O2463" i="23"/>
  <c r="N2463" i="23"/>
  <c r="A2539" i="23"/>
  <c r="N2539" i="23"/>
  <c r="L2459" i="23"/>
  <c r="N2459" i="23"/>
  <c r="A2486" i="23"/>
  <c r="N2486" i="23"/>
  <c r="A2495" i="23"/>
  <c r="N2495" i="23"/>
  <c r="G2551" i="23"/>
  <c r="N2551" i="23" s="1"/>
  <c r="G2564" i="23"/>
  <c r="G2553" i="23"/>
  <c r="N2553" i="23" s="1"/>
  <c r="N2549" i="23"/>
  <c r="L2467" i="23"/>
  <c r="N2467" i="23"/>
  <c r="O2511" i="23"/>
  <c r="N2511" i="23"/>
  <c r="L2516" i="23"/>
  <c r="N2516" i="23"/>
  <c r="A2470" i="23"/>
  <c r="N2470" i="23"/>
  <c r="A2468" i="23"/>
  <c r="N2468" i="23"/>
  <c r="M2523" i="23"/>
  <c r="N2523" i="23"/>
  <c r="M2501" i="23"/>
  <c r="N2501" i="23"/>
  <c r="M2478" i="23"/>
  <c r="N2478" i="23"/>
  <c r="L2482" i="23"/>
  <c r="N2482" i="23"/>
  <c r="M2535" i="23"/>
  <c r="N2535" i="23"/>
  <c r="L2504" i="23"/>
  <c r="N2504" i="23"/>
  <c r="A2461" i="23"/>
  <c r="N2461" i="23"/>
  <c r="L2462" i="23"/>
  <c r="N2462" i="23"/>
  <c r="A2479" i="23"/>
  <c r="N2479" i="23"/>
  <c r="L2534" i="23"/>
  <c r="N2534" i="23"/>
  <c r="L2429" i="23"/>
  <c r="N2429" i="23"/>
  <c r="M2427" i="23"/>
  <c r="N2427" i="23"/>
  <c r="L2428" i="23"/>
  <c r="N2428" i="23"/>
  <c r="M2426" i="23"/>
  <c r="N2426" i="23"/>
  <c r="O2442" i="23"/>
  <c r="N2442" i="23"/>
  <c r="L2425" i="23"/>
  <c r="N2425" i="23"/>
  <c r="O748" i="23"/>
  <c r="A1195" i="23"/>
  <c r="L1404" i="23"/>
  <c r="A2427" i="23"/>
  <c r="G2491" i="23"/>
  <c r="O2491" i="23" s="1"/>
  <c r="G3296" i="23"/>
  <c r="G2805" i="23"/>
  <c r="L2805" i="23" s="1"/>
  <c r="G1606" i="23"/>
  <c r="N1432" i="23"/>
  <c r="M79" i="23"/>
  <c r="O104" i="23"/>
  <c r="G114" i="23"/>
  <c r="A95" i="23"/>
  <c r="O97" i="23"/>
  <c r="N97" i="23"/>
  <c r="N80" i="23"/>
  <c r="L1459" i="23"/>
  <c r="M411" i="23"/>
  <c r="O3418" i="23"/>
  <c r="A3418" i="23"/>
  <c r="A406" i="23"/>
  <c r="G407" i="23"/>
  <c r="G1255" i="23"/>
  <c r="O2504" i="23"/>
  <c r="M2830" i="23"/>
  <c r="O2830" i="23"/>
  <c r="N413" i="23"/>
  <c r="O108" i="23"/>
  <c r="O1419" i="23"/>
  <c r="A2501" i="23"/>
  <c r="A865" i="23"/>
  <c r="A1256" i="23"/>
  <c r="A1257" i="23" s="1"/>
  <c r="G1261" i="23"/>
  <c r="L1261" i="23" s="1"/>
  <c r="N1235" i="23"/>
  <c r="N3242" i="23"/>
  <c r="C1128" i="23"/>
  <c r="C1143" i="23" s="1"/>
  <c r="L3448" i="23"/>
  <c r="G3293" i="23"/>
  <c r="G3290" i="23"/>
  <c r="N3286" i="23"/>
  <c r="O2477" i="23"/>
  <c r="C3421" i="23"/>
  <c r="M2933" i="23"/>
  <c r="N1749" i="23"/>
  <c r="O450" i="23"/>
  <c r="A450" i="23"/>
  <c r="L3242" i="23"/>
  <c r="A2828" i="23"/>
  <c r="A2829" i="23" s="1"/>
  <c r="G2832" i="23"/>
  <c r="M2832" i="23" s="1"/>
  <c r="A3244" i="23"/>
  <c r="O3245" i="23"/>
  <c r="O1514" i="23"/>
  <c r="O1519" i="23" s="1"/>
  <c r="L2535" i="23"/>
  <c r="A2535" i="23"/>
  <c r="L807" i="23"/>
  <c r="M2506" i="23"/>
  <c r="G81" i="23"/>
  <c r="M81" i="23" s="1"/>
  <c r="O2535" i="23"/>
  <c r="A3245" i="23"/>
  <c r="L1235" i="23"/>
  <c r="L2461" i="23"/>
  <c r="L3244" i="23"/>
  <c r="M2406" i="23"/>
  <c r="M1401" i="23"/>
  <c r="G2485" i="23"/>
  <c r="N2485" i="23" s="1"/>
  <c r="L2477" i="23"/>
  <c r="A1238" i="23"/>
  <c r="A2406" i="23"/>
  <c r="L2406" i="23"/>
  <c r="G2408" i="23"/>
  <c r="L2408" i="23" s="1"/>
  <c r="G1816" i="23"/>
  <c r="G1814" i="23"/>
  <c r="L3245" i="23"/>
  <c r="L1514" i="23"/>
  <c r="M1514" i="23"/>
  <c r="N1514" i="23"/>
  <c r="N1519" i="23" s="1"/>
  <c r="G2891" i="23"/>
  <c r="A3238" i="23"/>
  <c r="O1638" i="23"/>
  <c r="M807" i="23"/>
  <c r="G1308" i="23"/>
  <c r="L1308" i="23" s="1"/>
  <c r="L458" i="23"/>
  <c r="M80" i="23"/>
  <c r="A2830" i="23"/>
  <c r="N3244" i="23"/>
  <c r="M2483" i="23"/>
  <c r="M1350" i="23"/>
  <c r="N1401" i="23"/>
  <c r="M2477" i="23"/>
  <c r="M3244" i="23"/>
  <c r="O1401" i="23"/>
  <c r="L1401" i="23"/>
  <c r="A3286" i="23"/>
  <c r="A3287" i="23" s="1"/>
  <c r="M3286" i="23"/>
  <c r="G1239" i="23"/>
  <c r="O1239" i="23" s="1"/>
  <c r="C1238" i="23"/>
  <c r="C1246" i="23" s="1"/>
  <c r="C1256" i="23" s="1"/>
  <c r="C1265" i="23" s="1"/>
  <c r="C1276" i="23" s="1"/>
  <c r="C1282" i="23" s="1"/>
  <c r="O1306" i="23"/>
  <c r="G3288" i="23"/>
  <c r="O3288" i="23" s="1"/>
  <c r="C1514" i="23"/>
  <c r="C1515" i="23" s="1"/>
  <c r="C1516" i="23" s="1"/>
  <c r="C1517" i="23" s="1"/>
  <c r="C1518" i="23" s="1"/>
  <c r="G352" i="49"/>
  <c r="M351" i="49"/>
  <c r="A351" i="49"/>
  <c r="N351" i="49"/>
  <c r="L351" i="49"/>
  <c r="O351" i="49"/>
  <c r="N333" i="49"/>
  <c r="N1634" i="23"/>
  <c r="M2443" i="23"/>
  <c r="A2443" i="23"/>
  <c r="L2870" i="23"/>
  <c r="G2875" i="23"/>
  <c r="A1466" i="23"/>
  <c r="N1466" i="23"/>
  <c r="A57" i="49"/>
  <c r="N57" i="49"/>
  <c r="O57" i="49"/>
  <c r="G84" i="49"/>
  <c r="A84" i="49" s="1"/>
  <c r="L2481" i="23"/>
  <c r="A2481" i="23"/>
  <c r="L1347" i="23"/>
  <c r="M1347" i="23"/>
  <c r="G830" i="23"/>
  <c r="A830" i="23" s="1"/>
  <c r="A831" i="23" s="1"/>
  <c r="L824" i="23"/>
  <c r="M2536" i="23"/>
  <c r="A2536" i="23"/>
  <c r="M2537" i="23"/>
  <c r="A2533" i="23"/>
  <c r="G2542" i="23"/>
  <c r="N2542" i="23" s="1"/>
  <c r="M2533" i="23"/>
  <c r="A2464" i="23"/>
  <c r="L331" i="49"/>
  <c r="O331" i="49"/>
  <c r="M331" i="49"/>
  <c r="G3284" i="23"/>
  <c r="G3285" i="23"/>
  <c r="G3280" i="23"/>
  <c r="L3239" i="23"/>
  <c r="A3239" i="23"/>
  <c r="O3239" i="23"/>
  <c r="M716" i="49"/>
  <c r="L716" i="49"/>
  <c r="A716" i="49"/>
  <c r="G1682" i="23"/>
  <c r="G1683" i="23" s="1"/>
  <c r="O1680" i="23"/>
  <c r="G1686" i="23"/>
  <c r="N1686" i="23" s="1"/>
  <c r="G1684" i="23"/>
  <c r="N1684" i="23" s="1"/>
  <c r="L1680" i="23"/>
  <c r="M815" i="23"/>
  <c r="A815" i="23"/>
  <c r="N815" i="23"/>
  <c r="L409" i="23"/>
  <c r="N409" i="23"/>
  <c r="N297" i="49"/>
  <c r="M297" i="49"/>
  <c r="A297" i="49"/>
  <c r="N1402" i="23"/>
  <c r="L3295" i="23"/>
  <c r="M3295" i="23"/>
  <c r="N3295" i="23"/>
  <c r="L809" i="23"/>
  <c r="N594" i="23"/>
  <c r="A594" i="23"/>
  <c r="O2539" i="23"/>
  <c r="M409" i="23"/>
  <c r="A409" i="23"/>
  <c r="O297" i="49"/>
  <c r="G3240" i="23"/>
  <c r="L3240" i="23" s="1"/>
  <c r="A3408" i="23"/>
  <c r="A3445" i="23"/>
  <c r="G2879" i="23"/>
  <c r="A3272" i="23"/>
  <c r="L57" i="49"/>
  <c r="N716" i="49"/>
  <c r="N454" i="23"/>
  <c r="G2701" i="23"/>
  <c r="N2393" i="23"/>
  <c r="O815" i="23"/>
  <c r="O1641" i="23"/>
  <c r="A467" i="23"/>
  <c r="A2500" i="23"/>
  <c r="L2500" i="23"/>
  <c r="O2396" i="23"/>
  <c r="A2396" i="23"/>
  <c r="O2536" i="23"/>
  <c r="L815" i="23"/>
  <c r="L297" i="49"/>
  <c r="N1231" i="23"/>
  <c r="M1231" i="23"/>
  <c r="N3239" i="23"/>
  <c r="O699" i="49"/>
  <c r="M699" i="49"/>
  <c r="M2476" i="23"/>
  <c r="A2476" i="23"/>
  <c r="G976" i="23"/>
  <c r="G965" i="23"/>
  <c r="G3344" i="23"/>
  <c r="G3336" i="23"/>
  <c r="M3336" i="23" s="1"/>
  <c r="N261" i="49"/>
  <c r="M3239" i="23"/>
  <c r="A2929" i="23"/>
  <c r="A2930" i="23" s="1"/>
  <c r="A2931" i="23" s="1"/>
  <c r="A2943" i="23"/>
  <c r="L3299" i="23"/>
  <c r="O3299" i="23"/>
  <c r="A3233" i="23"/>
  <c r="A3234" i="23" s="1"/>
  <c r="A3235" i="23" s="1"/>
  <c r="A3247" i="23"/>
  <c r="A3248" i="23"/>
  <c r="L1341" i="23"/>
  <c r="M1341" i="23"/>
  <c r="O1341" i="23"/>
  <c r="A1341" i="23"/>
  <c r="L3276" i="23"/>
  <c r="N3276" i="23"/>
  <c r="A3276" i="23"/>
  <c r="N720" i="49"/>
  <c r="O720" i="49"/>
  <c r="A720" i="49"/>
  <c r="N466" i="23"/>
  <c r="A466" i="23"/>
  <c r="L466" i="23"/>
  <c r="O3246" i="23"/>
  <c r="N3246" i="23"/>
  <c r="L3246" i="23"/>
  <c r="M261" i="49"/>
  <c r="N3237" i="23"/>
  <c r="L3237" i="23"/>
  <c r="A3237" i="23"/>
  <c r="C3237" i="23"/>
  <c r="C3238" i="23" s="1"/>
  <c r="C3239" i="23" s="1"/>
  <c r="N1680" i="23"/>
  <c r="M1680" i="23"/>
  <c r="L2394" i="23"/>
  <c r="N2394" i="23"/>
  <c r="O2394" i="23"/>
  <c r="O101" i="23"/>
  <c r="L2935" i="23"/>
  <c r="G817" i="23"/>
  <c r="N807" i="23"/>
  <c r="A573" i="49"/>
  <c r="O601" i="1"/>
  <c r="G1753" i="23"/>
  <c r="G1757" i="23" s="1"/>
  <c r="G1752" i="23"/>
  <c r="G1756" i="23" s="1"/>
  <c r="G1754" i="23"/>
  <c r="G1758" i="23" s="1"/>
  <c r="M1758" i="23" s="1"/>
  <c r="G1759" i="23"/>
  <c r="G1767" i="23" s="1"/>
  <c r="A1640" i="23"/>
  <c r="L1638" i="23"/>
  <c r="A1638" i="23"/>
  <c r="G1676" i="23"/>
  <c r="O1676" i="23" s="1"/>
  <c r="G1696" i="23"/>
  <c r="N1696" i="23" s="1"/>
  <c r="A1685" i="23"/>
  <c r="L1685" i="23"/>
  <c r="G1839" i="23"/>
  <c r="G1838" i="23"/>
  <c r="G1828" i="23" s="1"/>
  <c r="G1829" i="23" s="1"/>
  <c r="G1837" i="23"/>
  <c r="G1836" i="23"/>
  <c r="G1835" i="23"/>
  <c r="G1834" i="23"/>
  <c r="G1833" i="23"/>
  <c r="G1832" i="23"/>
  <c r="G1831" i="23"/>
  <c r="G1830" i="23"/>
  <c r="G1827" i="23"/>
  <c r="G1825" i="23"/>
  <c r="G1821" i="23"/>
  <c r="A1819" i="23"/>
  <c r="A1820" i="23" s="1"/>
  <c r="A715" i="49"/>
  <c r="N331" i="49"/>
  <c r="G332" i="49"/>
  <c r="L1673" i="23"/>
  <c r="A81" i="49"/>
  <c r="L108" i="49"/>
  <c r="A331" i="49"/>
  <c r="G1677" i="23"/>
  <c r="N1677" i="23" s="1"/>
  <c r="G1675" i="23"/>
  <c r="O1675" i="23" s="1"/>
  <c r="G1813" i="23"/>
  <c r="A1813" i="23" s="1"/>
  <c r="A1805" i="23"/>
  <c r="G1743" i="23"/>
  <c r="G1679" i="23"/>
  <c r="N1679" i="23" s="1"/>
  <c r="A1806" i="23"/>
  <c r="O1673" i="23"/>
  <c r="A1673" i="23"/>
  <c r="A1674" i="23" s="1"/>
  <c r="N1673" i="23"/>
  <c r="G1678" i="23"/>
  <c r="M1678" i="23" s="1"/>
  <c r="A1809" i="23"/>
  <c r="G1810" i="23"/>
  <c r="A1810" i="23" s="1"/>
  <c r="G1815" i="23"/>
  <c r="A1815" i="23" s="1"/>
  <c r="A1808" i="23"/>
  <c r="A1807" i="23"/>
  <c r="G1703" i="23"/>
  <c r="G1700" i="23"/>
  <c r="N1697" i="23"/>
  <c r="L1697" i="23"/>
  <c r="A1697" i="23"/>
  <c r="A1698" i="23" s="1"/>
  <c r="G1704" i="23"/>
  <c r="G1701" i="23"/>
  <c r="G1699" i="23"/>
  <c r="O1697" i="23"/>
  <c r="M1697" i="23"/>
  <c r="O111" i="49"/>
  <c r="N111" i="49"/>
  <c r="G1776" i="23"/>
  <c r="G1734" i="23"/>
  <c r="A1734" i="23" s="1"/>
  <c r="G1727" i="23"/>
  <c r="G1735" i="23"/>
  <c r="A1735" i="23" s="1"/>
  <c r="N252" i="49"/>
  <c r="A252" i="49"/>
  <c r="L51" i="49"/>
  <c r="A51" i="49"/>
  <c r="O100" i="49"/>
  <c r="A100" i="49"/>
  <c r="O261" i="49"/>
  <c r="A261" i="49"/>
  <c r="N107" i="49"/>
  <c r="A107" i="49"/>
  <c r="L111" i="49"/>
  <c r="A111" i="49"/>
  <c r="O582" i="1"/>
  <c r="N721" i="49"/>
  <c r="A722" i="49"/>
  <c r="M722" i="49"/>
  <c r="N722" i="49"/>
  <c r="L722" i="49"/>
  <c r="O722" i="49"/>
  <c r="H1458" i="1"/>
  <c r="U1458" i="1"/>
  <c r="O603" i="1"/>
  <c r="N479" i="49"/>
  <c r="M2425" i="23"/>
  <c r="L1402" i="23"/>
  <c r="L672" i="23"/>
  <c r="L100" i="49"/>
  <c r="O74" i="23"/>
  <c r="M1433" i="23"/>
  <c r="O1338" i="23"/>
  <c r="M1335" i="23"/>
  <c r="A411" i="23"/>
  <c r="L88" i="49"/>
  <c r="A750" i="23"/>
  <c r="L750" i="23"/>
  <c r="N489" i="23"/>
  <c r="L108" i="23"/>
  <c r="M89" i="49"/>
  <c r="N89" i="49"/>
  <c r="L865" i="23"/>
  <c r="G3301" i="23"/>
  <c r="M3299" i="23"/>
  <c r="N2794" i="23"/>
  <c r="O2482" i="23"/>
  <c r="M3242" i="23"/>
  <c r="G2971" i="23"/>
  <c r="L2971" i="23" s="1"/>
  <c r="N2870" i="23"/>
  <c r="O2870" i="23"/>
  <c r="C1384" i="23"/>
  <c r="M1338" i="23"/>
  <c r="M1337" i="23"/>
  <c r="A1335" i="23"/>
  <c r="M1334" i="23"/>
  <c r="A2870" i="23"/>
  <c r="A2871" i="23" s="1"/>
  <c r="A1350" i="23"/>
  <c r="L1350" i="23"/>
  <c r="A1336" i="23"/>
  <c r="A3446" i="23"/>
  <c r="L2689" i="23"/>
  <c r="G1129" i="23"/>
  <c r="N1334" i="23"/>
  <c r="M2966" i="23"/>
  <c r="A721" i="49"/>
  <c r="N715" i="49"/>
  <c r="M715" i="49"/>
  <c r="L715" i="49"/>
  <c r="A479" i="49"/>
  <c r="O2425" i="23"/>
  <c r="O1402" i="23"/>
  <c r="N100" i="49"/>
  <c r="L74" i="23"/>
  <c r="L1433" i="23"/>
  <c r="L3104" i="23"/>
  <c r="L1337" i="23"/>
  <c r="O1335" i="23"/>
  <c r="N411" i="23"/>
  <c r="O88" i="49"/>
  <c r="O750" i="23"/>
  <c r="O1578" i="23"/>
  <c r="M1149" i="23"/>
  <c r="A489" i="23"/>
  <c r="O2537" i="23"/>
  <c r="L412" i="23"/>
  <c r="L2969" i="23"/>
  <c r="M865" i="23"/>
  <c r="N3299" i="23"/>
  <c r="G3302" i="23"/>
  <c r="A2393" i="23"/>
  <c r="L2794" i="23"/>
  <c r="A2482" i="23"/>
  <c r="A3242" i="23"/>
  <c r="G2968" i="23"/>
  <c r="L2968" i="23" s="1"/>
  <c r="M2870" i="23"/>
  <c r="G2873" i="23"/>
  <c r="N1338" i="23"/>
  <c r="M721" i="49"/>
  <c r="M2393" i="23"/>
  <c r="O1337" i="23"/>
  <c r="G3253" i="23"/>
  <c r="O1334" i="23"/>
  <c r="O458" i="23"/>
  <c r="N1335" i="23"/>
  <c r="G2876" i="23"/>
  <c r="O2876" i="23" s="1"/>
  <c r="O2481" i="23"/>
  <c r="O1336" i="23"/>
  <c r="N2966" i="23"/>
  <c r="O2393" i="23"/>
  <c r="G2972" i="23"/>
  <c r="C2393" i="23"/>
  <c r="C2394" i="23" s="1"/>
  <c r="C2395" i="23" s="1"/>
  <c r="C2399" i="23" s="1"/>
  <c r="C2401" i="23" s="1"/>
  <c r="C2402" i="23" s="1"/>
  <c r="N865" i="23"/>
  <c r="G1260" i="23"/>
  <c r="O479" i="49"/>
  <c r="A1402" i="23"/>
  <c r="A2407" i="23"/>
  <c r="L1385" i="23"/>
  <c r="M1336" i="23"/>
  <c r="L1554" i="23"/>
  <c r="O1149" i="23"/>
  <c r="G3106" i="23"/>
  <c r="A2537" i="23"/>
  <c r="A3299" i="23"/>
  <c r="A3300" i="23" s="1"/>
  <c r="G2795" i="23"/>
  <c r="G3243" i="23"/>
  <c r="L2966" i="23"/>
  <c r="G2874" i="23"/>
  <c r="A458" i="23"/>
  <c r="L1336" i="23"/>
  <c r="G487" i="49"/>
  <c r="C3249" i="23"/>
  <c r="C3255" i="23" s="1"/>
  <c r="C3263" i="23" s="1"/>
  <c r="C3270" i="23" s="1"/>
  <c r="C3278" i="23" s="1"/>
  <c r="C3286" i="23" s="1"/>
  <c r="C3299" i="23" s="1"/>
  <c r="C3303" i="23" s="1"/>
  <c r="C3313" i="23" s="1"/>
  <c r="C3322" i="23" s="1"/>
  <c r="C3334" i="23" s="1"/>
  <c r="A859" i="23"/>
  <c r="N1350" i="23"/>
  <c r="M2394" i="23"/>
  <c r="G3254" i="23"/>
  <c r="L1334" i="23"/>
  <c r="N859" i="23"/>
  <c r="M2463" i="23"/>
  <c r="N108" i="23"/>
  <c r="M2481" i="23"/>
  <c r="L2537" i="23"/>
  <c r="A2463" i="23"/>
  <c r="G1848" i="23"/>
  <c r="A1848" i="23" s="1"/>
  <c r="G2973" i="23"/>
  <c r="N2973" i="23" s="1"/>
  <c r="G711" i="49"/>
  <c r="O711" i="49" s="1"/>
  <c r="G1769" i="23"/>
  <c r="A1769" i="23" s="1"/>
  <c r="L2546" i="23"/>
  <c r="N1163" i="23"/>
  <c r="M2935" i="23"/>
  <c r="G3260" i="23"/>
  <c r="L3260" i="23" s="1"/>
  <c r="A3255" i="23"/>
  <c r="N711" i="49"/>
  <c r="O630" i="23"/>
  <c r="O634" i="23"/>
  <c r="M200" i="23"/>
  <c r="A200" i="23"/>
  <c r="A3249" i="23"/>
  <c r="O455" i="23"/>
  <c r="O2966" i="23"/>
  <c r="M624" i="23"/>
  <c r="L2679" i="23"/>
  <c r="N672" i="23"/>
  <c r="N450" i="23"/>
  <c r="O2940" i="23"/>
  <c r="A3273" i="23"/>
  <c r="A2803" i="23"/>
  <c r="A2459" i="23"/>
  <c r="A2966" i="23"/>
  <c r="A2967" i="23" s="1"/>
  <c r="L2464" i="23"/>
  <c r="L618" i="23"/>
  <c r="L1541" i="23"/>
  <c r="M748" i="23"/>
  <c r="M643" i="23"/>
  <c r="O629" i="23"/>
  <c r="A748" i="23"/>
  <c r="G1259" i="23"/>
  <c r="G1258" i="23"/>
  <c r="A1258" i="23" s="1"/>
  <c r="G1324" i="23"/>
  <c r="L1439" i="23"/>
  <c r="A2974" i="23"/>
  <c r="A2975" i="23" s="1"/>
  <c r="M459" i="23"/>
  <c r="L624" i="23"/>
  <c r="A3549" i="23"/>
  <c r="G3258" i="23"/>
  <c r="G1659" i="23"/>
  <c r="C1659" i="23" s="1"/>
  <c r="A3520" i="23"/>
  <c r="A3521" i="23" s="1"/>
  <c r="M1641" i="23"/>
  <c r="G1651" i="23"/>
  <c r="O592" i="23"/>
  <c r="N1058" i="23"/>
  <c r="L2540" i="23"/>
  <c r="A487" i="23"/>
  <c r="A488" i="23" s="1"/>
  <c r="N1641" i="23"/>
  <c r="O2426" i="23"/>
  <c r="N1141" i="23"/>
  <c r="L570" i="23"/>
  <c r="A597" i="23"/>
  <c r="O48" i="23"/>
  <c r="N3420" i="23"/>
  <c r="N3449" i="23"/>
  <c r="L612" i="23"/>
  <c r="O2689" i="23"/>
  <c r="L2645" i="23"/>
  <c r="L3141" i="23"/>
  <c r="M2507" i="23"/>
  <c r="N752" i="23"/>
  <c r="L3449" i="23"/>
  <c r="A2429" i="23"/>
  <c r="L2507" i="23"/>
  <c r="O2507" i="23"/>
  <c r="L3444" i="23"/>
  <c r="A752" i="23"/>
  <c r="N3289" i="23"/>
  <c r="O1657" i="23"/>
  <c r="A2507" i="23"/>
  <c r="N913" i="23"/>
  <c r="O2503" i="23"/>
  <c r="N108" i="49"/>
  <c r="O913" i="23"/>
  <c r="M2679" i="23"/>
  <c r="L913" i="23"/>
  <c r="O108" i="49"/>
  <c r="M913" i="23"/>
  <c r="G713" i="49"/>
  <c r="G717" i="49"/>
  <c r="O721" i="49"/>
  <c r="G712" i="49"/>
  <c r="G631" i="23"/>
  <c r="A624" i="23"/>
  <c r="O624" i="23"/>
  <c r="A2679" i="23"/>
  <c r="O2679" i="23"/>
  <c r="L2676" i="23"/>
  <c r="M1172" i="23"/>
  <c r="L1058" i="23"/>
  <c r="N2407" i="23"/>
  <c r="G159" i="23"/>
  <c r="A159" i="23" s="1"/>
  <c r="O1436" i="23"/>
  <c r="N748" i="23"/>
  <c r="M3420" i="23"/>
  <c r="A3448" i="23"/>
  <c r="G2796" i="23"/>
  <c r="O2796" i="23" s="1"/>
  <c r="N1403" i="23"/>
  <c r="M2828" i="23"/>
  <c r="N2828" i="23"/>
  <c r="N3241" i="23"/>
  <c r="C2794" i="23"/>
  <c r="A461" i="23"/>
  <c r="G3337" i="23"/>
  <c r="O3337" i="23" s="1"/>
  <c r="G3338" i="23"/>
  <c r="A3338" i="23" s="1"/>
  <c r="O570" i="23"/>
  <c r="L3420" i="23"/>
  <c r="G3349" i="23"/>
  <c r="G3283" i="23"/>
  <c r="L3283" i="23" s="1"/>
  <c r="A2794" i="23"/>
  <c r="A1418" i="23"/>
  <c r="O1418" i="23"/>
  <c r="N1633" i="23"/>
  <c r="A3277" i="23"/>
  <c r="N3278" i="23"/>
  <c r="L3278" i="23"/>
  <c r="M449" i="23"/>
  <c r="O3278" i="23"/>
  <c r="A3334" i="23"/>
  <c r="A3335" i="23" s="1"/>
  <c r="N570" i="23"/>
  <c r="C570" i="23"/>
  <c r="C571" i="23" s="1"/>
  <c r="A3278" i="23"/>
  <c r="A3279" i="23" s="1"/>
  <c r="A2442" i="23"/>
  <c r="A1403" i="23"/>
  <c r="M461" i="23"/>
  <c r="N1436" i="23"/>
  <c r="N1419" i="23"/>
  <c r="G2833" i="23"/>
  <c r="O3448" i="23"/>
  <c r="O2794" i="23"/>
  <c r="G2834" i="23"/>
  <c r="A2834" i="23" s="1"/>
  <c r="L2828" i="23"/>
  <c r="A1384" i="23"/>
  <c r="O3241" i="23"/>
  <c r="M3241" i="23"/>
  <c r="M3278" i="23"/>
  <c r="O2506" i="23"/>
  <c r="G3339" i="23"/>
  <c r="O3339" i="23" s="1"/>
  <c r="G460" i="23"/>
  <c r="G3281" i="23"/>
  <c r="A3281" i="23" s="1"/>
  <c r="M2442" i="23"/>
  <c r="L3277" i="23"/>
  <c r="G3282" i="23"/>
  <c r="O1759" i="23"/>
  <c r="A1172" i="23"/>
  <c r="L1635" i="23"/>
  <c r="L1172" i="23"/>
  <c r="O1172" i="23"/>
  <c r="G176" i="23"/>
  <c r="L176" i="23" s="1"/>
  <c r="M2635" i="23"/>
  <c r="L3139" i="23"/>
  <c r="O70" i="23"/>
  <c r="O611" i="23"/>
  <c r="N611" i="23"/>
  <c r="G1851" i="23"/>
  <c r="A1843" i="23"/>
  <c r="A1844" i="23" s="1"/>
  <c r="O333" i="49"/>
  <c r="M333" i="49"/>
  <c r="A333" i="49"/>
  <c r="O581" i="1"/>
  <c r="G1724" i="23"/>
  <c r="L1724" i="23" s="1"/>
  <c r="G1731" i="23"/>
  <c r="L1731" i="23" s="1"/>
  <c r="A149" i="23"/>
  <c r="A1167" i="23"/>
  <c r="O98" i="23"/>
  <c r="A98" i="23"/>
  <c r="N204" i="23"/>
  <c r="N613" i="23"/>
  <c r="N48" i="23"/>
  <c r="M2677" i="23"/>
  <c r="L1167" i="23"/>
  <c r="O2709" i="23"/>
  <c r="O3101" i="23"/>
  <c r="M3551" i="23"/>
  <c r="L806" i="23"/>
  <c r="O610" i="23"/>
  <c r="M136" i="23"/>
  <c r="O2510" i="23"/>
  <c r="N2804" i="23"/>
  <c r="M2804" i="23"/>
  <c r="A170" i="23"/>
  <c r="A171" i="23" s="1"/>
  <c r="A809" i="23"/>
  <c r="O809" i="23"/>
  <c r="A3468" i="23"/>
  <c r="L105" i="23"/>
  <c r="L73" i="23"/>
  <c r="M1597" i="23"/>
  <c r="L188" i="23"/>
  <c r="N2698" i="23"/>
  <c r="A1546" i="23"/>
  <c r="L1546" i="23"/>
  <c r="L3289" i="23"/>
  <c r="M2835" i="23"/>
  <c r="N806" i="23"/>
  <c r="A1597" i="23"/>
  <c r="N2691" i="23"/>
  <c r="O824" i="23"/>
  <c r="N824" i="23"/>
  <c r="G1725" i="23"/>
  <c r="C908" i="23"/>
  <c r="G2811" i="23"/>
  <c r="G2627" i="23"/>
  <c r="A2408" i="23"/>
  <c r="L2510" i="23"/>
  <c r="A2804" i="23"/>
  <c r="L2804" i="23"/>
  <c r="N809" i="23"/>
  <c r="M3468" i="23"/>
  <c r="L1139" i="23"/>
  <c r="O1546" i="23"/>
  <c r="A1228" i="23"/>
  <c r="A1222" i="23"/>
  <c r="A69" i="23"/>
  <c r="M3289" i="23"/>
  <c r="A3289" i="23"/>
  <c r="L2940" i="23"/>
  <c r="G2839" i="23"/>
  <c r="L2839" i="23" s="1"/>
  <c r="O2428" i="23"/>
  <c r="M2396" i="23"/>
  <c r="L2691" i="23"/>
  <c r="M824" i="23"/>
  <c r="A2659" i="23"/>
  <c r="O2691" i="23"/>
  <c r="N1722" i="23"/>
  <c r="L77" i="23"/>
  <c r="A806" i="23"/>
  <c r="M1633" i="23"/>
  <c r="N2940" i="23"/>
  <c r="C2803" i="23"/>
  <c r="O3468" i="23"/>
  <c r="N79" i="23"/>
  <c r="A608" i="23"/>
  <c r="A1237" i="23"/>
  <c r="G3292" i="23"/>
  <c r="L2835" i="23"/>
  <c r="N2396" i="23"/>
  <c r="L69" i="23"/>
  <c r="M69" i="23"/>
  <c r="A824" i="23"/>
  <c r="A825" i="23" s="1"/>
  <c r="O806" i="23"/>
  <c r="A1628" i="23"/>
  <c r="O1633" i="23"/>
  <c r="L2463" i="23"/>
  <c r="G877" i="23"/>
  <c r="U1887" i="1"/>
  <c r="O139" i="1"/>
  <c r="O140" i="1"/>
  <c r="O89" i="1"/>
  <c r="O85" i="1"/>
  <c r="O86" i="1"/>
  <c r="O90" i="1"/>
  <c r="O92" i="1"/>
  <c r="O84" i="1"/>
  <c r="O87" i="1"/>
  <c r="O91" i="1"/>
  <c r="I832" i="1"/>
  <c r="L1722" i="23"/>
  <c r="H1887" i="1"/>
  <c r="L1887" i="1" s="1"/>
  <c r="I837" i="1"/>
  <c r="S1887" i="1"/>
  <c r="I833" i="1"/>
  <c r="I836" i="1"/>
  <c r="M2659" i="23"/>
  <c r="A1629" i="23"/>
  <c r="A1630" i="23" s="1"/>
  <c r="A1631" i="23" s="1"/>
  <c r="N1635" i="23"/>
  <c r="I834" i="1"/>
  <c r="M3407" i="23"/>
  <c r="O3407" i="23"/>
  <c r="A797" i="23"/>
  <c r="G790" i="23"/>
  <c r="O790" i="23" s="1"/>
  <c r="C788" i="23"/>
  <c r="C797" i="23" s="1"/>
  <c r="C804" i="23" s="1"/>
  <c r="M878" i="23"/>
  <c r="L878" i="23"/>
  <c r="A878" i="23"/>
  <c r="O878" i="23"/>
  <c r="C1633" i="23"/>
  <c r="C1635" i="23" s="1"/>
  <c r="I829" i="1"/>
  <c r="I827" i="1"/>
  <c r="I828" i="1"/>
  <c r="I830" i="1"/>
  <c r="I825" i="1"/>
  <c r="I826" i="1"/>
  <c r="L611" i="23"/>
  <c r="M611" i="23"/>
  <c r="L61" i="23"/>
  <c r="N61" i="23"/>
  <c r="N616" i="23"/>
  <c r="O200" i="23"/>
  <c r="N200" i="23"/>
  <c r="N136" i="23"/>
  <c r="G2489" i="23"/>
  <c r="N2489" i="23" s="1"/>
  <c r="N2697" i="23"/>
  <c r="L747" i="23"/>
  <c r="M1635" i="23"/>
  <c r="O1541" i="23"/>
  <c r="M2407" i="23"/>
  <c r="M2408" i="23"/>
  <c r="O170" i="23"/>
  <c r="O1058" i="23"/>
  <c r="A1058" i="23"/>
  <c r="L3468" i="23"/>
  <c r="O79" i="23"/>
  <c r="A105" i="23"/>
  <c r="N73" i="23"/>
  <c r="O2697" i="23"/>
  <c r="L2677" i="23"/>
  <c r="A2698" i="23"/>
  <c r="M2698" i="23"/>
  <c r="G1199" i="23"/>
  <c r="L1199" i="23" s="1"/>
  <c r="N3418" i="23"/>
  <c r="A99" i="23"/>
  <c r="G1252" i="23"/>
  <c r="M1252" i="23" s="1"/>
  <c r="M1228" i="23"/>
  <c r="G1230" i="23"/>
  <c r="N1230" i="23" s="1"/>
  <c r="A2511" i="23"/>
  <c r="A3420" i="23"/>
  <c r="O758" i="23"/>
  <c r="M3537" i="23"/>
  <c r="N109" i="23"/>
  <c r="A1231" i="23"/>
  <c r="A1223" i="23"/>
  <c r="A1224" i="23" s="1"/>
  <c r="A1225" i="23" s="1"/>
  <c r="L1182" i="23"/>
  <c r="G78" i="23"/>
  <c r="O78" i="23" s="1"/>
  <c r="M2940" i="23"/>
  <c r="N3448" i="23"/>
  <c r="A2995" i="23"/>
  <c r="A2996" i="23" s="1"/>
  <c r="A2940" i="23"/>
  <c r="M2865" i="23"/>
  <c r="G3262" i="23"/>
  <c r="O3262" i="23" s="1"/>
  <c r="G3259" i="23"/>
  <c r="O3259" i="23" s="1"/>
  <c r="N2933" i="23"/>
  <c r="A1749" i="23"/>
  <c r="A1750" i="23" s="1"/>
  <c r="G2838" i="23"/>
  <c r="A2838" i="23" s="1"/>
  <c r="G2842" i="23"/>
  <c r="L2842" i="23" s="1"/>
  <c r="G2837" i="23"/>
  <c r="A2837" i="23" s="1"/>
  <c r="N2798" i="23"/>
  <c r="E23" i="2"/>
  <c r="G961" i="23"/>
  <c r="A961" i="23" s="1"/>
  <c r="M462" i="23"/>
  <c r="G2846" i="23"/>
  <c r="L2846" i="23" s="1"/>
  <c r="L2396" i="23"/>
  <c r="O612" i="23"/>
  <c r="A454" i="23"/>
  <c r="O1332" i="23"/>
  <c r="N2417" i="23"/>
  <c r="M2500" i="23"/>
  <c r="O2500" i="23"/>
  <c r="A1650" i="23"/>
  <c r="O2798" i="23"/>
  <c r="A1141" i="23"/>
  <c r="L592" i="23"/>
  <c r="G1736" i="23"/>
  <c r="M1722" i="23"/>
  <c r="A1347" i="23"/>
  <c r="G1728" i="23"/>
  <c r="A1728" i="23" s="1"/>
  <c r="L597" i="23"/>
  <c r="G1730" i="23"/>
  <c r="L1730" i="23" s="1"/>
  <c r="A1722" i="23"/>
  <c r="A1723" i="23" s="1"/>
  <c r="O1722" i="23"/>
  <c r="G1739" i="23"/>
  <c r="O1739" i="23" s="1"/>
  <c r="L2442" i="23"/>
  <c r="L1234" i="23"/>
  <c r="L2417" i="23"/>
  <c r="M1233" i="23"/>
  <c r="A1644" i="23"/>
  <c r="O2687" i="23"/>
  <c r="N101" i="23"/>
  <c r="L101" i="23"/>
  <c r="N592" i="23"/>
  <c r="O2995" i="23"/>
  <c r="L462" i="23"/>
  <c r="O462" i="23"/>
  <c r="A2503" i="23"/>
  <c r="G2484" i="23"/>
  <c r="L464" i="23"/>
  <c r="A1435" i="23"/>
  <c r="L1633" i="23"/>
  <c r="N2935" i="23"/>
  <c r="N630" i="23"/>
  <c r="L630" i="23"/>
  <c r="M610" i="23"/>
  <c r="L610" i="23"/>
  <c r="L1195" i="23"/>
  <c r="M1195" i="23"/>
  <c r="A1463" i="23"/>
  <c r="O1470" i="23"/>
  <c r="O672" i="23"/>
  <c r="M672" i="23"/>
  <c r="M2697" i="23"/>
  <c r="O747" i="23"/>
  <c r="M747" i="23"/>
  <c r="A1541" i="23"/>
  <c r="L2407" i="23"/>
  <c r="O2408" i="23"/>
  <c r="M2510" i="23"/>
  <c r="A48" i="23"/>
  <c r="M48" i="23"/>
  <c r="L155" i="23"/>
  <c r="L170" i="23"/>
  <c r="G174" i="23"/>
  <c r="G173" i="23"/>
  <c r="N173" i="23" s="1"/>
  <c r="L1432" i="23"/>
  <c r="M1432" i="23"/>
  <c r="L79" i="23"/>
  <c r="N105" i="23"/>
  <c r="O1433" i="23"/>
  <c r="O73" i="23"/>
  <c r="A2697" i="23"/>
  <c r="O194" i="23"/>
  <c r="O2540" i="23"/>
  <c r="L198" i="23"/>
  <c r="O2677" i="23"/>
  <c r="N2677" i="23"/>
  <c r="N1439" i="23"/>
  <c r="N2610" i="23"/>
  <c r="O2698" i="23"/>
  <c r="L1348" i="23"/>
  <c r="G1198" i="23"/>
  <c r="N1198" i="23" s="1"/>
  <c r="N71" i="23"/>
  <c r="A1251" i="23"/>
  <c r="N1228" i="23"/>
  <c r="G1229" i="23"/>
  <c r="A1229" i="23" s="1"/>
  <c r="O1228" i="23"/>
  <c r="O2516" i="23"/>
  <c r="M758" i="23"/>
  <c r="M489" i="23"/>
  <c r="O489" i="23"/>
  <c r="N3124" i="23"/>
  <c r="A1236" i="23"/>
  <c r="A3417" i="23"/>
  <c r="L3417" i="23"/>
  <c r="L3497" i="23"/>
  <c r="A101" i="23"/>
  <c r="N69" i="23"/>
  <c r="A56" i="23"/>
  <c r="A57" i="23" s="1"/>
  <c r="L1419" i="23"/>
  <c r="A1419" i="23"/>
  <c r="O1347" i="23"/>
  <c r="N1347" i="23"/>
  <c r="O2501" i="23"/>
  <c r="L2663" i="23"/>
  <c r="A3102" i="23"/>
  <c r="G3140" i="23"/>
  <c r="M3140" i="23" s="1"/>
  <c r="G1132" i="23"/>
  <c r="N1132" i="23" s="1"/>
  <c r="M2995" i="23"/>
  <c r="N2995" i="23"/>
  <c r="M2429" i="23"/>
  <c r="O2429" i="23"/>
  <c r="G2868" i="23"/>
  <c r="A2868" i="23" s="1"/>
  <c r="O2476" i="23"/>
  <c r="L2476" i="23"/>
  <c r="G3261" i="23"/>
  <c r="L3261" i="23" s="1"/>
  <c r="G3256" i="23"/>
  <c r="G3257" i="23"/>
  <c r="O3257" i="23" s="1"/>
  <c r="L2933" i="23"/>
  <c r="A2933" i="23"/>
  <c r="G2841" i="23"/>
  <c r="N2835" i="23"/>
  <c r="A2835" i="23"/>
  <c r="A2836" i="23" s="1"/>
  <c r="O2835" i="23"/>
  <c r="A2798" i="23"/>
  <c r="G2936" i="23"/>
  <c r="M2936" i="23" s="1"/>
  <c r="D14" i="2"/>
  <c r="G920" i="23"/>
  <c r="L920" i="23" s="1"/>
  <c r="C917" i="23"/>
  <c r="C923" i="23" s="1"/>
  <c r="C928" i="23" s="1"/>
  <c r="C934" i="23" s="1"/>
  <c r="C943" i="23" s="1"/>
  <c r="N462" i="23"/>
  <c r="L908" i="23"/>
  <c r="M1332" i="23"/>
  <c r="M2843" i="23"/>
  <c r="A2843" i="23"/>
  <c r="A2844" i="23" s="1"/>
  <c r="A2467" i="23"/>
  <c r="A2472" i="23"/>
  <c r="N2665" i="23"/>
  <c r="M592" i="23"/>
  <c r="N612" i="23"/>
  <c r="L1141" i="23"/>
  <c r="G596" i="23"/>
  <c r="M596" i="23" s="1"/>
  <c r="M612" i="23"/>
  <c r="O454" i="23"/>
  <c r="L454" i="23"/>
  <c r="M454" i="23"/>
  <c r="C2933" i="23"/>
  <c r="C2934" i="23" s="1"/>
  <c r="C2935" i="23" s="1"/>
  <c r="N461" i="23"/>
  <c r="M2691" i="23"/>
  <c r="N77" i="23"/>
  <c r="G470" i="23"/>
  <c r="O470" i="23" s="1"/>
  <c r="A2417" i="23"/>
  <c r="L2798" i="23"/>
  <c r="L2483" i="23"/>
  <c r="N597" i="23"/>
  <c r="L467" i="23"/>
  <c r="L1640" i="23"/>
  <c r="O1141" i="23"/>
  <c r="G593" i="23"/>
  <c r="A593" i="23" s="1"/>
  <c r="L461" i="23"/>
  <c r="A1242" i="23"/>
  <c r="G1243" i="23"/>
  <c r="A1243" i="23" s="1"/>
  <c r="M1234" i="23"/>
  <c r="G2998" i="23"/>
  <c r="M2998" i="23" s="1"/>
  <c r="G2997" i="23"/>
  <c r="L2997" i="23" s="1"/>
  <c r="O2417" i="23"/>
  <c r="N1418" i="23"/>
  <c r="C747" i="23"/>
  <c r="C748" i="23" s="1"/>
  <c r="C749" i="23" s="1"/>
  <c r="C750" i="23" s="1"/>
  <c r="C751" i="23" s="1"/>
  <c r="C752" i="23" s="1"/>
  <c r="O2483" i="23"/>
  <c r="M9" i="23"/>
  <c r="M597" i="23"/>
  <c r="C1242" i="23"/>
  <c r="L1228" i="23"/>
  <c r="N467" i="23"/>
  <c r="M467" i="23"/>
  <c r="M2503" i="23"/>
  <c r="A908" i="23"/>
  <c r="G879" i="23"/>
  <c r="N871" i="23"/>
  <c r="M871" i="23"/>
  <c r="L871" i="23"/>
  <c r="G955" i="23"/>
  <c r="N955" i="23" s="1"/>
  <c r="L788" i="23"/>
  <c r="G971" i="23"/>
  <c r="A839" i="23"/>
  <c r="G837" i="23"/>
  <c r="G838" i="23" s="1"/>
  <c r="G829" i="23"/>
  <c r="M810" i="23"/>
  <c r="L810" i="23"/>
  <c r="A810" i="23"/>
  <c r="N810" i="23"/>
  <c r="O810" i="23"/>
  <c r="G285" i="23"/>
  <c r="G278" i="23"/>
  <c r="G288" i="23"/>
  <c r="G279" i="23"/>
  <c r="G289" i="23"/>
  <c r="G280" i="23"/>
  <c r="G284" i="23"/>
  <c r="G274" i="23"/>
  <c r="G275" i="23"/>
  <c r="G276" i="23"/>
  <c r="G277" i="23"/>
  <c r="G272" i="23"/>
  <c r="G271" i="23"/>
  <c r="G273" i="23"/>
  <c r="N451" i="23"/>
  <c r="A410" i="23"/>
  <c r="M410" i="23"/>
  <c r="N410" i="23"/>
  <c r="O410" i="23"/>
  <c r="L410" i="23"/>
  <c r="M451" i="23"/>
  <c r="M452" i="23"/>
  <c r="A452" i="23"/>
  <c r="N452" i="23"/>
  <c r="O452" i="23"/>
  <c r="L452" i="23"/>
  <c r="M453" i="23"/>
  <c r="A453" i="23"/>
  <c r="O453" i="23"/>
  <c r="L453" i="23"/>
  <c r="N453" i="23"/>
  <c r="O451" i="23"/>
  <c r="L451" i="23"/>
  <c r="G421" i="23"/>
  <c r="G429" i="23"/>
  <c r="G430" i="23" s="1"/>
  <c r="G420" i="23"/>
  <c r="N420" i="23" s="1"/>
  <c r="G416" i="23"/>
  <c r="G428" i="23" s="1"/>
  <c r="N428" i="23" s="1"/>
  <c r="G417" i="23"/>
  <c r="A417" i="23" s="1"/>
  <c r="A418" i="23" s="1"/>
  <c r="G415" i="23"/>
  <c r="G427" i="23" s="1"/>
  <c r="G1267" i="23"/>
  <c r="G1269" i="23"/>
  <c r="A1346" i="23"/>
  <c r="M1346" i="23"/>
  <c r="O1346" i="23"/>
  <c r="N1346" i="23"/>
  <c r="L1346" i="23"/>
  <c r="A1345" i="23"/>
  <c r="M1345" i="23"/>
  <c r="N1345" i="23"/>
  <c r="O1345" i="23"/>
  <c r="L1345" i="23"/>
  <c r="L1332" i="23"/>
  <c r="G1352" i="23"/>
  <c r="M1352" i="23" s="1"/>
  <c r="M1351" i="23"/>
  <c r="A1351" i="23"/>
  <c r="O1351" i="23"/>
  <c r="L1351" i="23"/>
  <c r="N1351" i="23"/>
  <c r="J776" i="1"/>
  <c r="J778" i="1"/>
  <c r="G1294" i="23"/>
  <c r="M1294" i="23" s="1"/>
  <c r="G1296" i="23"/>
  <c r="G1297" i="23" s="1"/>
  <c r="G1293" i="23"/>
  <c r="L1293" i="23" s="1"/>
  <c r="L1306" i="23"/>
  <c r="G1309" i="23"/>
  <c r="A1309" i="23" s="1"/>
  <c r="G922" i="23"/>
  <c r="M922" i="23" s="1"/>
  <c r="G921" i="23"/>
  <c r="G1290" i="23"/>
  <c r="O1290" i="23" s="1"/>
  <c r="G1287" i="23"/>
  <c r="N1287" i="23" s="1"/>
  <c r="G1284" i="23"/>
  <c r="G1299" i="23" s="1"/>
  <c r="G1289" i="23"/>
  <c r="G1288" i="23"/>
  <c r="A1288" i="23" s="1"/>
  <c r="G1285" i="23"/>
  <c r="G987" i="23"/>
  <c r="A987" i="23" s="1"/>
  <c r="G960" i="23"/>
  <c r="G946" i="23"/>
  <c r="G959" i="23" s="1"/>
  <c r="G947" i="23"/>
  <c r="O947" i="23" s="1"/>
  <c r="G945" i="23"/>
  <c r="G958" i="23" s="1"/>
  <c r="L958" i="23" s="1"/>
  <c r="G953" i="23"/>
  <c r="A953" i="23" s="1"/>
  <c r="G950" i="23"/>
  <c r="O950" i="23" s="1"/>
  <c r="N1234" i="23"/>
  <c r="A1234" i="23"/>
  <c r="C1379" i="23"/>
  <c r="C1389" i="23" s="1"/>
  <c r="C1405" i="23" s="1"/>
  <c r="C1410" i="23" s="1"/>
  <c r="C1416" i="23" s="1"/>
  <c r="C1443" i="23" s="1"/>
  <c r="C1449" i="23" s="1"/>
  <c r="N1275" i="23"/>
  <c r="L1275" i="23"/>
  <c r="A1468" i="23"/>
  <c r="N1467" i="23"/>
  <c r="A1422" i="23"/>
  <c r="G1386" i="23"/>
  <c r="L1386" i="23" s="1"/>
  <c r="A1459" i="23"/>
  <c r="N1348" i="23"/>
  <c r="L1339" i="23"/>
  <c r="L1282" i="23"/>
  <c r="N1270" i="23"/>
  <c r="L1270" i="23"/>
  <c r="L1377" i="23"/>
  <c r="N908" i="23"/>
  <c r="M1349" i="23"/>
  <c r="M1306" i="23"/>
  <c r="M1295" i="23"/>
  <c r="G1286" i="23"/>
  <c r="N1286" i="23" s="1"/>
  <c r="M1435" i="23"/>
  <c r="M1459" i="23"/>
  <c r="M1348" i="23"/>
  <c r="L1466" i="23"/>
  <c r="N1282" i="23"/>
  <c r="O1282" i="23"/>
  <c r="C1270" i="23"/>
  <c r="O908" i="23"/>
  <c r="G1388" i="23"/>
  <c r="N1388" i="23" s="1"/>
  <c r="N1349" i="23"/>
  <c r="N1422" i="23"/>
  <c r="O1349" i="23"/>
  <c r="L1349" i="23"/>
  <c r="M1339" i="23"/>
  <c r="G1310" i="23"/>
  <c r="O1348" i="23"/>
  <c r="A1306" i="23"/>
  <c r="A1307" i="23" s="1"/>
  <c r="G909" i="23"/>
  <c r="G910" i="23"/>
  <c r="J1626" i="1"/>
  <c r="H1626" i="1"/>
  <c r="A853" i="23"/>
  <c r="M853" i="23"/>
  <c r="L853" i="23"/>
  <c r="A952" i="23"/>
  <c r="T1626" i="1"/>
  <c r="O859" i="23"/>
  <c r="L859" i="23"/>
  <c r="N699" i="49"/>
  <c r="A699" i="49"/>
  <c r="L699" i="49"/>
  <c r="L468" i="23"/>
  <c r="N948" i="23"/>
  <c r="M874" i="23"/>
  <c r="N874" i="23"/>
  <c r="O874" i="23"/>
  <c r="A874" i="23"/>
  <c r="L874" i="23"/>
  <c r="A2478" i="23"/>
  <c r="O2478" i="23"/>
  <c r="M687" i="49"/>
  <c r="A687" i="49"/>
  <c r="O687" i="49"/>
  <c r="G949" i="23"/>
  <c r="L949" i="23" s="1"/>
  <c r="O956" i="23"/>
  <c r="N687" i="49"/>
  <c r="G967" i="23"/>
  <c r="A965" i="23"/>
  <c r="G436" i="23"/>
  <c r="L436" i="23" s="1"/>
  <c r="G435" i="23"/>
  <c r="M434" i="23"/>
  <c r="L1239" i="23"/>
  <c r="A431" i="23"/>
  <c r="A432" i="23" s="1"/>
  <c r="M455" i="23"/>
  <c r="G465" i="23"/>
  <c r="N465" i="23" s="1"/>
  <c r="M464" i="23"/>
  <c r="G1300" i="23"/>
  <c r="L1300" i="23" s="1"/>
  <c r="A1239" i="23"/>
  <c r="G1241" i="23"/>
  <c r="O1241" i="23" s="1"/>
  <c r="M412" i="23"/>
  <c r="L408" i="23"/>
  <c r="O431" i="23"/>
  <c r="L448" i="23"/>
  <c r="M448" i="23"/>
  <c r="N449" i="23"/>
  <c r="A412" i="23"/>
  <c r="N464" i="23"/>
  <c r="G968" i="23"/>
  <c r="M1239" i="23"/>
  <c r="G433" i="23"/>
  <c r="O433" i="23" s="1"/>
  <c r="L431" i="23"/>
  <c r="N455" i="23"/>
  <c r="L449" i="23"/>
  <c r="N1233" i="23"/>
  <c r="G1240" i="23"/>
  <c r="O1240" i="23" s="1"/>
  <c r="O412" i="23"/>
  <c r="N408" i="23"/>
  <c r="N431" i="23"/>
  <c r="L455" i="23"/>
  <c r="N448" i="23"/>
  <c r="A449" i="23"/>
  <c r="M457" i="23"/>
  <c r="O1233" i="23"/>
  <c r="O459" i="23"/>
  <c r="G544" i="23"/>
  <c r="G554" i="23"/>
  <c r="T436" i="1"/>
  <c r="S436" i="1"/>
  <c r="G705" i="49"/>
  <c r="L705" i="49" s="1"/>
  <c r="L711" i="49"/>
  <c r="L681" i="49"/>
  <c r="N51" i="49"/>
  <c r="O51" i="49"/>
  <c r="S2303" i="1"/>
  <c r="S2301" i="1" s="1"/>
  <c r="T2303" i="1"/>
  <c r="T2301" i="1" s="1"/>
  <c r="U1838" i="1"/>
  <c r="G2301" i="1"/>
  <c r="C2301" i="1" s="1"/>
  <c r="C2302" i="1" s="1"/>
  <c r="C1838" i="1"/>
  <c r="T1838" i="1"/>
  <c r="U1876" i="1"/>
  <c r="G1878" i="1"/>
  <c r="T1878" i="1" s="1"/>
  <c r="G1879" i="1"/>
  <c r="S1879" i="1" s="1"/>
  <c r="G1877" i="1"/>
  <c r="H1649" i="1"/>
  <c r="T2238" i="1"/>
  <c r="AD61" i="2"/>
  <c r="AD63" i="2"/>
  <c r="A464" i="23"/>
  <c r="L1264" i="23"/>
  <c r="A2506" i="23"/>
  <c r="S1816" i="1"/>
  <c r="N72" i="23"/>
  <c r="G3493" i="23"/>
  <c r="M3493" i="23" s="1"/>
  <c r="A1233" i="23"/>
  <c r="L459" i="23"/>
  <c r="A459" i="23"/>
  <c r="A463" i="23"/>
  <c r="O463" i="23"/>
  <c r="N463" i="23"/>
  <c r="M463" i="23"/>
  <c r="L463" i="23"/>
  <c r="O850" i="23"/>
  <c r="G942" i="23"/>
  <c r="G951" i="23" s="1"/>
  <c r="O934" i="23"/>
  <c r="A934" i="23"/>
  <c r="A935" i="23" s="1"/>
  <c r="G940" i="23"/>
  <c r="G941" i="23"/>
  <c r="L934" i="23"/>
  <c r="N934" i="23"/>
  <c r="G936" i="23"/>
  <c r="G938" i="23"/>
  <c r="G939" i="23"/>
  <c r="M934" i="23"/>
  <c r="L479" i="23"/>
  <c r="G537" i="23"/>
  <c r="M441" i="23"/>
  <c r="A441" i="23"/>
  <c r="N441" i="23"/>
  <c r="L441" i="23"/>
  <c r="O441" i="23"/>
  <c r="A384" i="23"/>
  <c r="G442" i="23"/>
  <c r="N442" i="23" s="1"/>
  <c r="L2443" i="23"/>
  <c r="M872" i="23"/>
  <c r="N872" i="23"/>
  <c r="L872" i="23"/>
  <c r="O872" i="23"/>
  <c r="A872" i="23"/>
  <c r="G418" i="23"/>
  <c r="L418" i="23" s="1"/>
  <c r="A873" i="23"/>
  <c r="M873" i="23"/>
  <c r="N873" i="23"/>
  <c r="L873" i="23"/>
  <c r="O873" i="23"/>
  <c r="A851" i="23"/>
  <c r="L851" i="23"/>
  <c r="M851" i="23"/>
  <c r="N851" i="23"/>
  <c r="O851" i="23"/>
  <c r="M1431" i="23"/>
  <c r="O1431" i="23"/>
  <c r="N1431" i="23"/>
  <c r="L1431" i="23"/>
  <c r="A1426" i="23"/>
  <c r="N1426" i="23"/>
  <c r="L1426" i="23"/>
  <c r="A1424" i="23"/>
  <c r="L1424" i="23"/>
  <c r="N1424" i="23"/>
  <c r="A1427" i="23"/>
  <c r="N1427" i="23"/>
  <c r="L1427" i="23"/>
  <c r="A1423" i="23"/>
  <c r="N1423" i="23"/>
  <c r="L1423" i="23"/>
  <c r="A1425" i="23"/>
  <c r="N1425" i="23"/>
  <c r="L1425" i="23"/>
  <c r="A1428" i="23"/>
  <c r="L1428" i="23"/>
  <c r="N1428" i="23"/>
  <c r="N954" i="23"/>
  <c r="A954" i="23"/>
  <c r="M954" i="23"/>
  <c r="L954" i="23"/>
  <c r="O954" i="23"/>
  <c r="A948" i="23"/>
  <c r="U2303" i="1"/>
  <c r="U2301" i="1" s="1"/>
  <c r="T1876" i="1"/>
  <c r="U1842" i="1"/>
  <c r="U2198" i="1"/>
  <c r="U1844" i="1"/>
  <c r="T1844" i="1"/>
  <c r="S1876" i="1"/>
  <c r="S1842" i="1"/>
  <c r="H1838" i="1"/>
  <c r="L1838" i="1" s="1"/>
  <c r="H1816" i="1"/>
  <c r="L1816" i="1" s="1"/>
  <c r="U1816" i="1"/>
  <c r="L2303" i="1"/>
  <c r="H1842" i="1"/>
  <c r="L1842" i="1" s="1"/>
  <c r="S1844" i="1"/>
  <c r="U2184" i="1"/>
  <c r="C1816" i="1"/>
  <c r="H1858" i="1"/>
  <c r="L1858" i="1" s="1"/>
  <c r="T1813" i="1"/>
  <c r="C1858" i="1"/>
  <c r="U1858" i="1"/>
  <c r="T1839" i="1"/>
  <c r="T1837" i="1"/>
  <c r="G1442" i="23"/>
  <c r="N1421" i="23"/>
  <c r="G1441" i="23"/>
  <c r="L1441" i="23" s="1"/>
  <c r="G1437" i="23"/>
  <c r="G1438" i="23" s="1"/>
  <c r="A957" i="23"/>
  <c r="M957" i="23"/>
  <c r="N957" i="23"/>
  <c r="O957" i="23"/>
  <c r="L957" i="23"/>
  <c r="A1453" i="23"/>
  <c r="M1453" i="23"/>
  <c r="N1453" i="23"/>
  <c r="L1453" i="23"/>
  <c r="O1453" i="23"/>
  <c r="O1451" i="23"/>
  <c r="G1452" i="23"/>
  <c r="O1452" i="23" s="1"/>
  <c r="A875" i="23"/>
  <c r="L875" i="23"/>
  <c r="N875" i="23"/>
  <c r="M875" i="23"/>
  <c r="O875" i="23"/>
  <c r="O1318" i="23"/>
  <c r="G1317" i="23"/>
  <c r="A867" i="23"/>
  <c r="O867" i="23"/>
  <c r="L867" i="23"/>
  <c r="M867" i="23"/>
  <c r="N867" i="23"/>
  <c r="N850" i="23"/>
  <c r="A850" i="23"/>
  <c r="M850" i="23"/>
  <c r="A849" i="23"/>
  <c r="G969" i="23"/>
  <c r="G974" i="23" s="1"/>
  <c r="G970" i="23"/>
  <c r="G545" i="23"/>
  <c r="G547" i="23"/>
  <c r="G549" i="23" s="1"/>
  <c r="G548" i="23"/>
  <c r="G550" i="23" s="1"/>
  <c r="G419" i="23"/>
  <c r="A1547" i="23"/>
  <c r="A1275" i="23"/>
  <c r="A413" i="23"/>
  <c r="A414" i="23" s="1"/>
  <c r="L413" i="23"/>
  <c r="O413" i="23"/>
  <c r="A408" i="23"/>
  <c r="A1313" i="23"/>
  <c r="L384" i="23"/>
  <c r="O384" i="23"/>
  <c r="C384" i="23"/>
  <c r="C385" i="23" s="1"/>
  <c r="C386" i="23" s="1"/>
  <c r="C387" i="23" s="1"/>
  <c r="S2184" i="1"/>
  <c r="U1839" i="1"/>
  <c r="U1837" i="1"/>
  <c r="S1837" i="1"/>
  <c r="N1153" i="1"/>
  <c r="N1152" i="1"/>
  <c r="N1150" i="1"/>
  <c r="N1149" i="1"/>
  <c r="L1147" i="1"/>
  <c r="L1146" i="1"/>
  <c r="L1144" i="1"/>
  <c r="L1143" i="1"/>
  <c r="H1900" i="1"/>
  <c r="S1840" i="1"/>
  <c r="L1153" i="1"/>
  <c r="L1152" i="1"/>
  <c r="L1150" i="1"/>
  <c r="L1149" i="1"/>
  <c r="J1141" i="1"/>
  <c r="J1149" i="1"/>
  <c r="J1153" i="1"/>
  <c r="J1152" i="1"/>
  <c r="J1150" i="1"/>
  <c r="J1136" i="1"/>
  <c r="J1146" i="1"/>
  <c r="J1144" i="1"/>
  <c r="J1143" i="1"/>
  <c r="J1147" i="1"/>
  <c r="I1143" i="1"/>
  <c r="I1147" i="1"/>
  <c r="I1146" i="1"/>
  <c r="I1144" i="1"/>
  <c r="S1900" i="1"/>
  <c r="T1808" i="1"/>
  <c r="H1813" i="1"/>
  <c r="L1813" i="1" s="1"/>
  <c r="S1813" i="1"/>
  <c r="S1858" i="1"/>
  <c r="U1832" i="1"/>
  <c r="L579" i="1"/>
  <c r="C1806" i="1"/>
  <c r="C1899" i="1"/>
  <c r="T1899" i="1"/>
  <c r="S1899" i="1"/>
  <c r="T1858" i="1"/>
  <c r="T1814" i="1"/>
  <c r="U1814" i="1"/>
  <c r="H1814" i="1"/>
  <c r="L1814" i="1" s="1"/>
  <c r="S1814" i="1"/>
  <c r="U1874" i="1"/>
  <c r="S1839" i="1"/>
  <c r="H1839" i="1"/>
  <c r="L1839" i="1" s="1"/>
  <c r="T1840" i="1"/>
  <c r="T1823" i="1"/>
  <c r="U1900" i="1"/>
  <c r="C1837" i="1"/>
  <c r="U1840" i="1"/>
  <c r="H1840" i="1"/>
  <c r="L1840" i="1" s="1"/>
  <c r="T1895" i="1"/>
  <c r="S1895" i="1"/>
  <c r="H1895" i="1"/>
  <c r="U1895" i="1"/>
  <c r="C1895" i="1"/>
  <c r="H1808" i="1"/>
  <c r="L1808" i="1" s="1"/>
  <c r="C2184" i="1"/>
  <c r="H1817" i="1"/>
  <c r="L1817" i="1" s="1"/>
  <c r="U1836" i="1"/>
  <c r="C1836" i="1"/>
  <c r="T1836" i="1"/>
  <c r="H1836" i="1"/>
  <c r="L1836" i="1" s="1"/>
  <c r="S1836" i="1"/>
  <c r="T1843" i="1"/>
  <c r="U1843" i="1"/>
  <c r="H1843" i="1"/>
  <c r="L1843" i="1" s="1"/>
  <c r="S1843" i="1"/>
  <c r="S1808" i="1"/>
  <c r="T2184" i="1"/>
  <c r="S1817" i="1"/>
  <c r="U1808" i="1"/>
  <c r="C1777" i="1"/>
  <c r="T1854" i="1"/>
  <c r="G1901" i="1"/>
  <c r="H1901" i="1" s="1"/>
  <c r="S1823" i="1"/>
  <c r="U1823" i="1"/>
  <c r="S1806" i="1"/>
  <c r="T1852" i="1"/>
  <c r="L583" i="1"/>
  <c r="C2303" i="1"/>
  <c r="U1817" i="1"/>
  <c r="C1817" i="1"/>
  <c r="L689" i="1"/>
  <c r="L582" i="1"/>
  <c r="U1806" i="1"/>
  <c r="H1888" i="1"/>
  <c r="L1888" i="1" s="1"/>
  <c r="H1820" i="1"/>
  <c r="L1820" i="1" s="1"/>
  <c r="T1820" i="1"/>
  <c r="L690" i="1"/>
  <c r="L1166" i="1"/>
  <c r="S1820" i="1"/>
  <c r="G1822" i="1"/>
  <c r="U1822" i="1" s="1"/>
  <c r="T1806" i="1"/>
  <c r="S1834" i="1"/>
  <c r="T1874" i="1"/>
  <c r="L601" i="1"/>
  <c r="S1854" i="1"/>
  <c r="S1852" i="1"/>
  <c r="L1167" i="1"/>
  <c r="U1852" i="1"/>
  <c r="C1854" i="1"/>
  <c r="C1852" i="1"/>
  <c r="L578" i="1"/>
  <c r="L692" i="1"/>
  <c r="L598" i="1"/>
  <c r="L688" i="1"/>
  <c r="L693" i="1"/>
  <c r="L691" i="1"/>
  <c r="L610" i="1"/>
  <c r="L609" i="1"/>
  <c r="L603" i="1"/>
  <c r="H1854" i="1"/>
  <c r="L1854" i="1" s="1"/>
  <c r="L595" i="1"/>
  <c r="L613" i="1"/>
  <c r="L615" i="1"/>
  <c r="L590" i="1"/>
  <c r="L592" i="1"/>
  <c r="L594" i="1"/>
  <c r="T1834" i="1"/>
  <c r="L599" i="1"/>
  <c r="S1833" i="1"/>
  <c r="L1168" i="1"/>
  <c r="L617" i="1"/>
  <c r="L585" i="1"/>
  <c r="L619" i="1"/>
  <c r="L623" i="1"/>
  <c r="L606" i="1"/>
  <c r="C1874" i="1"/>
  <c r="S1832" i="1"/>
  <c r="L1170" i="1"/>
  <c r="L712" i="1"/>
  <c r="U1834" i="1"/>
  <c r="L605" i="1"/>
  <c r="L621" i="1"/>
  <c r="L586" i="1"/>
  <c r="T1832" i="1"/>
  <c r="G1896" i="1"/>
  <c r="T1896" i="1" s="1"/>
  <c r="S1874" i="1"/>
  <c r="L542" i="1"/>
  <c r="S2198" i="1"/>
  <c r="T2198" i="1"/>
  <c r="C2198" i="1"/>
  <c r="L545" i="1"/>
  <c r="L546" i="1"/>
  <c r="L543" i="1"/>
  <c r="L544" i="1"/>
  <c r="L714" i="1"/>
  <c r="L540" i="1"/>
  <c r="L711" i="1"/>
  <c r="H1833" i="1"/>
  <c r="L1833" i="1" s="1"/>
  <c r="G1897" i="1"/>
  <c r="S1897" i="1" s="1"/>
  <c r="U1833" i="1"/>
  <c r="L713" i="1"/>
  <c r="L715" i="1"/>
  <c r="U1525" i="1"/>
  <c r="L836" i="1"/>
  <c r="L834" i="1"/>
  <c r="L832" i="1"/>
  <c r="L830" i="1"/>
  <c r="L828" i="1"/>
  <c r="L826" i="1"/>
  <c r="L837" i="1"/>
  <c r="L835" i="1"/>
  <c r="L833" i="1"/>
  <c r="L829" i="1"/>
  <c r="L827" i="1"/>
  <c r="L825" i="1"/>
  <c r="T1513" i="1"/>
  <c r="S1514" i="1"/>
  <c r="U1552" i="1"/>
  <c r="H2221" i="1"/>
  <c r="H1513" i="1"/>
  <c r="S1512" i="1"/>
  <c r="U1513" i="1"/>
  <c r="G1556" i="1"/>
  <c r="J1556" i="1" s="1"/>
  <c r="U1514" i="1"/>
  <c r="T1514" i="1"/>
  <c r="H1514" i="1"/>
  <c r="H1552" i="1"/>
  <c r="T1552" i="1"/>
  <c r="T1703" i="1"/>
  <c r="G1487" i="1"/>
  <c r="S1777" i="1"/>
  <c r="S2199" i="1"/>
  <c r="H2199" i="1"/>
  <c r="H1777" i="1"/>
  <c r="U1777" i="1"/>
  <c r="U1524" i="1"/>
  <c r="S1552" i="1"/>
  <c r="J1554" i="1"/>
  <c r="T1524" i="1"/>
  <c r="S1524" i="1"/>
  <c r="J1524" i="1"/>
  <c r="G1694" i="1"/>
  <c r="C1694" i="1" s="1"/>
  <c r="T1525" i="1"/>
  <c r="H1703" i="1"/>
  <c r="J1525" i="1"/>
  <c r="H1525" i="1"/>
  <c r="S1525" i="1"/>
  <c r="H1698" i="1"/>
  <c r="T1521" i="1"/>
  <c r="J1521" i="1"/>
  <c r="S1521" i="1"/>
  <c r="U1521" i="1"/>
  <c r="J1513" i="1"/>
  <c r="L1273" i="23"/>
  <c r="A1433" i="23"/>
  <c r="O1467" i="23"/>
  <c r="L1429" i="23"/>
  <c r="N1420" i="23"/>
  <c r="L1435" i="23"/>
  <c r="A1439" i="23"/>
  <c r="O1385" i="23"/>
  <c r="N1385" i="23"/>
  <c r="O1459" i="23"/>
  <c r="O1466" i="23"/>
  <c r="A1379" i="23"/>
  <c r="L1467" i="23"/>
  <c r="N1429" i="23"/>
  <c r="M1429" i="23"/>
  <c r="M1439" i="23"/>
  <c r="G1387" i="23"/>
  <c r="N1387" i="23" s="1"/>
  <c r="G1380" i="23"/>
  <c r="L1380" i="23" s="1"/>
  <c r="O1635" i="23"/>
  <c r="G1788" i="23"/>
  <c r="O1788" i="23" s="1"/>
  <c r="U1554" i="1"/>
  <c r="T1554" i="1"/>
  <c r="S1554" i="1"/>
  <c r="J1496" i="1"/>
  <c r="I287" i="1"/>
  <c r="I283" i="1"/>
  <c r="I281" i="1"/>
  <c r="I289" i="1"/>
  <c r="I288" i="1"/>
  <c r="I284" i="1"/>
  <c r="I285" i="1"/>
  <c r="I282" i="1"/>
  <c r="I286" i="1"/>
  <c r="L289" i="1"/>
  <c r="L288" i="1"/>
  <c r="L284" i="1"/>
  <c r="L285" i="1"/>
  <c r="L282" i="1"/>
  <c r="L286" i="1"/>
  <c r="L287" i="1"/>
  <c r="L283" i="1"/>
  <c r="L281" i="1"/>
  <c r="J286" i="1"/>
  <c r="J287" i="1"/>
  <c r="J283" i="1"/>
  <c r="J281" i="1"/>
  <c r="J289" i="1"/>
  <c r="J288" i="1"/>
  <c r="J284" i="1"/>
  <c r="J285" i="1"/>
  <c r="J282" i="1"/>
  <c r="U1553" i="1"/>
  <c r="J1703" i="1"/>
  <c r="G1658" i="1"/>
  <c r="O2443" i="23"/>
  <c r="O3485" i="23"/>
  <c r="L663" i="23"/>
  <c r="J1472" i="1"/>
  <c r="T1472" i="1"/>
  <c r="H1472" i="1"/>
  <c r="U1472" i="1"/>
  <c r="J1512" i="1"/>
  <c r="U2199" i="1"/>
  <c r="J295" i="1"/>
  <c r="J277" i="1"/>
  <c r="J279" i="1"/>
  <c r="J275" i="1"/>
  <c r="J276" i="1"/>
  <c r="J272" i="1"/>
  <c r="J278" i="1"/>
  <c r="J274" i="1"/>
  <c r="J273" i="1"/>
  <c r="J271" i="1"/>
  <c r="H1512" i="1"/>
  <c r="C2199" i="1"/>
  <c r="L279" i="1"/>
  <c r="L278" i="1"/>
  <c r="L275" i="1"/>
  <c r="L274" i="1"/>
  <c r="L273" i="1"/>
  <c r="L276" i="1"/>
  <c r="L272" i="1"/>
  <c r="L271" i="1"/>
  <c r="L277" i="1"/>
  <c r="I278" i="1"/>
  <c r="I277" i="1"/>
  <c r="I272" i="1"/>
  <c r="I279" i="1"/>
  <c r="I275" i="1"/>
  <c r="I274" i="1"/>
  <c r="I273" i="1"/>
  <c r="I271" i="1"/>
  <c r="I276" i="1"/>
  <c r="S1553" i="1"/>
  <c r="T1512" i="1"/>
  <c r="T1553" i="1"/>
  <c r="J1553" i="1"/>
  <c r="G2224" i="1"/>
  <c r="U2224" i="1" s="1"/>
  <c r="J525" i="1"/>
  <c r="J1093" i="1"/>
  <c r="J1087" i="1"/>
  <c r="J1091" i="1"/>
  <c r="J1057" i="1"/>
  <c r="S2221" i="1"/>
  <c r="U1853" i="1"/>
  <c r="J1048" i="1"/>
  <c r="C2221" i="1"/>
  <c r="J360" i="1"/>
  <c r="H1853" i="1"/>
  <c r="L1853" i="1" s="1"/>
  <c r="J1056" i="1"/>
  <c r="J784" i="1"/>
  <c r="U2221" i="1"/>
  <c r="J1052" i="1"/>
  <c r="J364" i="1"/>
  <c r="J1047" i="1"/>
  <c r="J582" i="1"/>
  <c r="J961" i="1"/>
  <c r="J527" i="1"/>
  <c r="J447" i="1"/>
  <c r="J444" i="1"/>
  <c r="J1134" i="1"/>
  <c r="J622" i="1"/>
  <c r="J192" i="1"/>
  <c r="J439" i="1"/>
  <c r="J438" i="1"/>
  <c r="J445" i="1"/>
  <c r="J448" i="1"/>
  <c r="J1066" i="1"/>
  <c r="J1069" i="1"/>
  <c r="J963" i="1"/>
  <c r="J965" i="1"/>
  <c r="J1059" i="1"/>
  <c r="J621" i="1"/>
  <c r="J191" i="1"/>
  <c r="J190" i="1"/>
  <c r="J959" i="1"/>
  <c r="J1068" i="1"/>
  <c r="J1065" i="1"/>
  <c r="J1063" i="1"/>
  <c r="J1060" i="1"/>
  <c r="J193" i="1"/>
  <c r="J964" i="1"/>
  <c r="J960" i="1"/>
  <c r="J1061" i="1"/>
  <c r="J1062" i="1"/>
  <c r="J1067" i="1"/>
  <c r="J921" i="1"/>
  <c r="J1698" i="1"/>
  <c r="J1089" i="1"/>
  <c r="S1472" i="1"/>
  <c r="J437" i="1"/>
  <c r="J442" i="1"/>
  <c r="J441" i="1"/>
  <c r="H1496" i="1"/>
  <c r="J936" i="1"/>
  <c r="J1458" i="1"/>
  <c r="J1053" i="1"/>
  <c r="J1050" i="1"/>
  <c r="J1046" i="1"/>
  <c r="J974" i="1"/>
  <c r="J615" i="1"/>
  <c r="U1698" i="1"/>
  <c r="J1092" i="1"/>
  <c r="J1090" i="1"/>
  <c r="J443" i="1"/>
  <c r="J440" i="1"/>
  <c r="J362" i="1"/>
  <c r="J361" i="1"/>
  <c r="S1458" i="1"/>
  <c r="T1458" i="1"/>
  <c r="J1054" i="1"/>
  <c r="J979" i="1"/>
  <c r="J1049" i="1"/>
  <c r="J1055" i="1"/>
  <c r="J783" i="1"/>
  <c r="J1133" i="1"/>
  <c r="J529" i="1"/>
  <c r="J938" i="1"/>
  <c r="J1030" i="1"/>
  <c r="J528" i="1"/>
  <c r="J1028" i="1"/>
  <c r="J1135" i="1"/>
  <c r="J583" i="1"/>
  <c r="J523" i="1"/>
  <c r="J524" i="1"/>
  <c r="J935" i="1"/>
  <c r="J526" i="1"/>
  <c r="S1698" i="1"/>
  <c r="J1096" i="1"/>
  <c r="J1088" i="1"/>
  <c r="J1086" i="1"/>
  <c r="T1496" i="1"/>
  <c r="J366" i="1"/>
  <c r="J363" i="1"/>
  <c r="J933" i="1"/>
  <c r="J937" i="1"/>
  <c r="J977" i="1"/>
  <c r="J614" i="1"/>
  <c r="J1021" i="1"/>
  <c r="J1020" i="1"/>
  <c r="J1027" i="1"/>
  <c r="J1029" i="1"/>
  <c r="J1022" i="1"/>
  <c r="J1024" i="1"/>
  <c r="J1095" i="1"/>
  <c r="J1097" i="1"/>
  <c r="S1496" i="1"/>
  <c r="S1699" i="1"/>
  <c r="J359" i="1"/>
  <c r="J367" i="1"/>
  <c r="J934" i="1"/>
  <c r="J976" i="1"/>
  <c r="J978" i="1"/>
  <c r="J1023" i="1"/>
  <c r="J1025" i="1"/>
  <c r="S1520" i="1"/>
  <c r="G1692" i="1"/>
  <c r="T1692" i="1" s="1"/>
  <c r="T1520" i="1"/>
  <c r="O157" i="1"/>
  <c r="O187" i="1"/>
  <c r="O113" i="1"/>
  <c r="L500" i="1"/>
  <c r="L569" i="1"/>
  <c r="L563" i="1"/>
  <c r="L844" i="1"/>
  <c r="L841" i="1"/>
  <c r="L498" i="1"/>
  <c r="L501" i="1"/>
  <c r="L793" i="1"/>
  <c r="O127" i="1"/>
  <c r="L794" i="1"/>
  <c r="L512" i="1"/>
  <c r="L708" i="1"/>
  <c r="L497" i="1"/>
  <c r="O111" i="1"/>
  <c r="L508" i="1"/>
  <c r="L574" i="1"/>
  <c r="L568" i="1"/>
  <c r="L567" i="1"/>
  <c r="L573" i="1"/>
  <c r="L707" i="1"/>
  <c r="L795" i="1"/>
  <c r="O154" i="1"/>
  <c r="L705" i="1"/>
  <c r="O126" i="1"/>
  <c r="L842" i="1"/>
  <c r="L504" i="1"/>
  <c r="O185" i="1"/>
  <c r="L505" i="1"/>
  <c r="L565" i="1"/>
  <c r="L570" i="1"/>
  <c r="L571" i="1"/>
  <c r="O161" i="1"/>
  <c r="L704" i="1"/>
  <c r="L791" i="1"/>
  <c r="O128" i="1"/>
  <c r="L566" i="1"/>
  <c r="L572" i="1"/>
  <c r="O81" i="1"/>
  <c r="L796" i="1"/>
  <c r="L839" i="1"/>
  <c r="L509" i="1"/>
  <c r="O186" i="1"/>
  <c r="O112" i="1"/>
  <c r="L499" i="1"/>
  <c r="L507" i="1"/>
  <c r="L506" i="1"/>
  <c r="L843" i="1"/>
  <c r="L511" i="1"/>
  <c r="L510" i="1"/>
  <c r="L503" i="1"/>
  <c r="S1853" i="1"/>
  <c r="T1853" i="1"/>
  <c r="M697" i="49"/>
  <c r="L697" i="49"/>
  <c r="O697" i="49"/>
  <c r="A697" i="49"/>
  <c r="N697" i="49"/>
  <c r="M702" i="49"/>
  <c r="A702" i="49"/>
  <c r="O702" i="49"/>
  <c r="L702" i="49"/>
  <c r="N702" i="49"/>
  <c r="A706" i="49"/>
  <c r="M706" i="49"/>
  <c r="O706" i="49"/>
  <c r="L706" i="49"/>
  <c r="N706" i="49"/>
  <c r="A719" i="49"/>
  <c r="M719" i="49"/>
  <c r="N719" i="49"/>
  <c r="L719" i="49"/>
  <c r="O719" i="49"/>
  <c r="A718" i="49"/>
  <c r="L718" i="49"/>
  <c r="M718" i="49"/>
  <c r="O718" i="49"/>
  <c r="N718" i="49"/>
  <c r="A696" i="49"/>
  <c r="O696" i="49"/>
  <c r="M696" i="49"/>
  <c r="N696" i="49"/>
  <c r="L696" i="49"/>
  <c r="A701" i="49"/>
  <c r="O701" i="49"/>
  <c r="N701" i="49"/>
  <c r="L701" i="49"/>
  <c r="G703" i="49"/>
  <c r="M701" i="49"/>
  <c r="M502" i="49"/>
  <c r="O502" i="49"/>
  <c r="A502" i="49"/>
  <c r="L502" i="49"/>
  <c r="O176" i="1"/>
  <c r="G2033" i="1"/>
  <c r="AC16" i="77"/>
  <c r="M2069" i="23"/>
  <c r="A1362" i="23"/>
  <c r="L2069" i="23"/>
  <c r="O1639" i="23"/>
  <c r="O2069" i="23"/>
  <c r="N2069" i="23"/>
  <c r="U1584" i="1"/>
  <c r="T1584" i="1"/>
  <c r="J1584" i="1"/>
  <c r="S1584" i="1"/>
  <c r="H1584" i="1"/>
  <c r="U1585" i="1"/>
  <c r="T1585" i="1"/>
  <c r="J1585" i="1"/>
  <c r="S1585" i="1"/>
  <c r="H1585" i="1"/>
  <c r="L661" i="23"/>
  <c r="L567" i="23"/>
  <c r="L745" i="23"/>
  <c r="C1008" i="23"/>
  <c r="C1009" i="23" s="1"/>
  <c r="M2512" i="23"/>
  <c r="M788" i="23"/>
  <c r="L491" i="1"/>
  <c r="L494" i="1"/>
  <c r="O123" i="1"/>
  <c r="L489" i="1"/>
  <c r="O122" i="1"/>
  <c r="L493" i="1"/>
  <c r="L490" i="1"/>
  <c r="O121" i="1"/>
  <c r="L492" i="1"/>
  <c r="M1463" i="23"/>
  <c r="N1463" i="23"/>
  <c r="O149" i="23"/>
  <c r="L2496" i="23"/>
  <c r="A1470" i="23"/>
  <c r="A1420" i="23"/>
  <c r="N2676" i="23"/>
  <c r="M2676" i="23"/>
  <c r="L1436" i="23"/>
  <c r="M1313" i="23"/>
  <c r="O188" i="23"/>
  <c r="N3498" i="23"/>
  <c r="M1308" i="23"/>
  <c r="N3505" i="23"/>
  <c r="O3102" i="23"/>
  <c r="L3552" i="23"/>
  <c r="C2451" i="23"/>
  <c r="C2457" i="23" s="1"/>
  <c r="C2465" i="23" s="1"/>
  <c r="C2474" i="23" s="1"/>
  <c r="C2487" i="23" s="1"/>
  <c r="C2493" i="23" s="1"/>
  <c r="C2498" i="23" s="1"/>
  <c r="C2508" i="23" s="1"/>
  <c r="C2517" i="23" s="1"/>
  <c r="C2531" i="23" s="1"/>
  <c r="C2543" i="23" s="1"/>
  <c r="C2549" i="23" s="1"/>
  <c r="A1802" i="23"/>
  <c r="A1803" i="23" s="1"/>
  <c r="G2869" i="23"/>
  <c r="O2869" i="23" s="1"/>
  <c r="N2865" i="23"/>
  <c r="G2848" i="23"/>
  <c r="A2848" i="23" s="1"/>
  <c r="G2851" i="23"/>
  <c r="L2851" i="23" s="1"/>
  <c r="M2293" i="23"/>
  <c r="L1313" i="23"/>
  <c r="O2664" i="23"/>
  <c r="M2664" i="23"/>
  <c r="O1547" i="23"/>
  <c r="M1129" i="23"/>
  <c r="G1473" i="23"/>
  <c r="M1473" i="23" s="1"/>
  <c r="O1463" i="23"/>
  <c r="N149" i="23"/>
  <c r="M1470" i="23"/>
  <c r="N1470" i="23"/>
  <c r="G3532" i="23"/>
  <c r="L3532" i="23" s="1"/>
  <c r="M1420" i="23"/>
  <c r="L1420" i="23"/>
  <c r="A2676" i="23"/>
  <c r="A1436" i="23"/>
  <c r="N1313" i="23"/>
  <c r="L3498" i="23"/>
  <c r="G1319" i="23"/>
  <c r="O1319" i="23" s="1"/>
  <c r="L3102" i="23"/>
  <c r="L3550" i="23"/>
  <c r="O1815" i="23"/>
  <c r="G2913" i="23"/>
  <c r="G2920" i="23" s="1"/>
  <c r="G2867" i="23"/>
  <c r="M2867" i="23" s="1"/>
  <c r="N2843" i="23"/>
  <c r="L2843" i="23"/>
  <c r="G2850" i="23"/>
  <c r="L2850" i="23" s="1"/>
  <c r="L2687" i="23"/>
  <c r="A614" i="23"/>
  <c r="A616" i="23" s="1"/>
  <c r="A617" i="23" s="1"/>
  <c r="L2664" i="23"/>
  <c r="M2687" i="23"/>
  <c r="N2687" i="23"/>
  <c r="O204" i="23"/>
  <c r="M1396" i="23"/>
  <c r="G1323" i="23"/>
  <c r="N1323" i="23" s="1"/>
  <c r="N188" i="23"/>
  <c r="O3505" i="23"/>
  <c r="O3551" i="23"/>
  <c r="O2614" i="23"/>
  <c r="M3102" i="23"/>
  <c r="A2865" i="23"/>
  <c r="A2866" i="23" s="1"/>
  <c r="O2865" i="23"/>
  <c r="O2843" i="23"/>
  <c r="L1547" i="23"/>
  <c r="O3498" i="23"/>
  <c r="L2640" i="23"/>
  <c r="O162" i="1"/>
  <c r="O156" i="1"/>
  <c r="O80" i="1"/>
  <c r="S2292" i="1"/>
  <c r="K2292" i="1"/>
  <c r="T2292" i="1"/>
  <c r="H2292" i="1"/>
  <c r="O77" i="1"/>
  <c r="O177" i="1"/>
  <c r="O175" i="1"/>
  <c r="O106" i="1"/>
  <c r="G2283" i="23"/>
  <c r="L2283" i="23" s="1"/>
  <c r="A2263" i="23"/>
  <c r="A2293" i="23"/>
  <c r="A2294" i="23" s="1"/>
  <c r="M634" i="23"/>
  <c r="N634" i="23"/>
  <c r="A136" i="23"/>
  <c r="G138" i="23"/>
  <c r="A138" i="23" s="1"/>
  <c r="G1787" i="23"/>
  <c r="G1792" i="23" s="1"/>
  <c r="L1786" i="23"/>
  <c r="M2540" i="23"/>
  <c r="N199" i="23"/>
  <c r="M3549" i="23"/>
  <c r="N3549" i="23"/>
  <c r="A2946" i="23"/>
  <c r="M71" i="23"/>
  <c r="M2511" i="23"/>
  <c r="M2516" i="23"/>
  <c r="L650" i="23"/>
  <c r="L634" i="23"/>
  <c r="G137" i="23"/>
  <c r="L136" i="23"/>
  <c r="M674" i="23"/>
  <c r="O1786" i="23"/>
  <c r="G2541" i="23"/>
  <c r="N2541" i="23" s="1"/>
  <c r="A2540" i="23"/>
  <c r="O3549" i="23"/>
  <c r="N3540" i="23"/>
  <c r="N3139" i="23"/>
  <c r="C2617" i="23"/>
  <c r="C2655" i="23" s="1"/>
  <c r="C2668" i="23" s="1"/>
  <c r="C2673" i="23" s="1"/>
  <c r="C2683" i="23" s="1"/>
  <c r="C2692" i="23" s="1"/>
  <c r="C2706" i="23" s="1"/>
  <c r="C2720" i="23" s="1"/>
  <c r="C2731" i="23" s="1"/>
  <c r="C2737" i="23" s="1"/>
  <c r="C2746" i="23" s="1"/>
  <c r="C2763" i="23" s="1"/>
  <c r="O71" i="23"/>
  <c r="L2511" i="23"/>
  <c r="A2516" i="23"/>
  <c r="A3125" i="23"/>
  <c r="A2998" i="23"/>
  <c r="N1786" i="23"/>
  <c r="A1786" i="23"/>
  <c r="O199" i="23"/>
  <c r="L2946" i="23"/>
  <c r="A71" i="23"/>
  <c r="A74" i="23" s="1"/>
  <c r="A2512" i="23"/>
  <c r="O2523" i="23"/>
  <c r="G1876" i="23"/>
  <c r="G1789" i="23"/>
  <c r="M1789" i="23" s="1"/>
  <c r="O1651" i="23"/>
  <c r="L1641" i="23"/>
  <c r="G1726" i="23"/>
  <c r="A1657" i="23"/>
  <c r="G1714" i="23"/>
  <c r="O1714" i="23" s="1"/>
  <c r="M1730" i="23"/>
  <c r="C1664" i="23"/>
  <c r="C1673" i="23" s="1"/>
  <c r="C1680" i="23" s="1"/>
  <c r="C1688" i="23" s="1"/>
  <c r="C1697" i="23" s="1"/>
  <c r="C1705" i="23" s="1"/>
  <c r="C1711" i="23" s="1"/>
  <c r="C1716" i="23" s="1"/>
  <c r="C1722" i="23" s="1"/>
  <c r="N1643" i="23"/>
  <c r="O674" i="23"/>
  <c r="M1273" i="23"/>
  <c r="G2719" i="23"/>
  <c r="A2719" i="23" s="1"/>
  <c r="G2948" i="23"/>
  <c r="N2948" i="23" s="1"/>
  <c r="A1578" i="23"/>
  <c r="L1149" i="23"/>
  <c r="G1152" i="23"/>
  <c r="G3108" i="23"/>
  <c r="M3108" i="23" s="1"/>
  <c r="N98" i="23"/>
  <c r="M3124" i="23"/>
  <c r="N3497" i="23"/>
  <c r="G3504" i="23"/>
  <c r="A3504" i="23" s="1"/>
  <c r="N3551" i="23"/>
  <c r="G60" i="23"/>
  <c r="A60" i="23" s="1"/>
  <c r="A3550" i="23"/>
  <c r="N398" i="23"/>
  <c r="O2708" i="23"/>
  <c r="L2708" i="23"/>
  <c r="M1636" i="23"/>
  <c r="A2689" i="23"/>
  <c r="L1421" i="23"/>
  <c r="N1374" i="23"/>
  <c r="L2501" i="23"/>
  <c r="G1778" i="23"/>
  <c r="L674" i="23"/>
  <c r="O1273" i="23"/>
  <c r="A613" i="23"/>
  <c r="N1183" i="23"/>
  <c r="G2947" i="23"/>
  <c r="A2947" i="23" s="1"/>
  <c r="O2946" i="23"/>
  <c r="G1151" i="23"/>
  <c r="M1151" i="23" s="1"/>
  <c r="A1149" i="23"/>
  <c r="A1150" i="23" s="1"/>
  <c r="O3124" i="23"/>
  <c r="L3124" i="23"/>
  <c r="A3497" i="23"/>
  <c r="L3551" i="23"/>
  <c r="N56" i="23"/>
  <c r="N3550" i="23"/>
  <c r="O3550" i="23"/>
  <c r="N1636" i="23"/>
  <c r="A1421" i="23"/>
  <c r="O1636" i="23"/>
  <c r="L1374" i="23"/>
  <c r="O3417" i="23"/>
  <c r="A1776" i="23"/>
  <c r="A1777" i="23" s="1"/>
  <c r="M2689" i="23"/>
  <c r="N674" i="23"/>
  <c r="N1273" i="23"/>
  <c r="N2708" i="23"/>
  <c r="M2946" i="23"/>
  <c r="G1153" i="23"/>
  <c r="A1153" i="23" s="1"/>
  <c r="L98" i="23"/>
  <c r="M3497" i="23"/>
  <c r="C56" i="23"/>
  <c r="C66" i="23" s="1"/>
  <c r="C82" i="23" s="1"/>
  <c r="C87" i="23" s="1"/>
  <c r="C93" i="23" s="1"/>
  <c r="C115" i="23" s="1"/>
  <c r="G3343" i="23"/>
  <c r="M3343" i="23" s="1"/>
  <c r="G1434" i="23"/>
  <c r="L1434" i="23" s="1"/>
  <c r="M1419" i="23"/>
  <c r="G2505" i="23"/>
  <c r="M1578" i="23"/>
  <c r="L1636" i="23"/>
  <c r="A2645" i="23"/>
  <c r="M752" i="23"/>
  <c r="L212" i="23"/>
  <c r="G2872" i="23"/>
  <c r="G2878" i="23"/>
  <c r="G1790" i="23"/>
  <c r="G1794" i="23"/>
  <c r="G1793" i="23"/>
  <c r="O1793" i="23" s="1"/>
  <c r="G1795" i="23"/>
  <c r="G2849" i="23"/>
  <c r="G2847" i="23"/>
  <c r="G1779" i="23"/>
  <c r="O153" i="1"/>
  <c r="O159" i="1"/>
  <c r="O160" i="1"/>
  <c r="O82" i="1"/>
  <c r="O158" i="1"/>
  <c r="G1798" i="23"/>
  <c r="A1798" i="23" s="1"/>
  <c r="G1800" i="23"/>
  <c r="G1799" i="23"/>
  <c r="G1797" i="23"/>
  <c r="N1797" i="23" s="1"/>
  <c r="O108" i="1"/>
  <c r="O104" i="1"/>
  <c r="O107" i="1"/>
  <c r="C1361" i="23"/>
  <c r="C572" i="23"/>
  <c r="L2471" i="23"/>
  <c r="G175" i="23"/>
  <c r="A175" i="23" s="1"/>
  <c r="L616" i="23"/>
  <c r="O2496" i="23"/>
  <c r="G168" i="23"/>
  <c r="G169" i="23" s="1"/>
  <c r="G158" i="23"/>
  <c r="G166" i="23" s="1"/>
  <c r="G1171" i="23"/>
  <c r="O1171" i="23" s="1"/>
  <c r="L1163" i="23"/>
  <c r="N608" i="23"/>
  <c r="A194" i="23"/>
  <c r="M1736" i="23"/>
  <c r="A3141" i="23"/>
  <c r="G1663" i="23"/>
  <c r="N1663" i="23" s="1"/>
  <c r="L3125" i="23"/>
  <c r="L3505" i="23"/>
  <c r="G2615" i="23"/>
  <c r="M2615" i="23" s="1"/>
  <c r="G2616" i="23"/>
  <c r="N2616" i="23" s="1"/>
  <c r="L2998" i="23"/>
  <c r="N761" i="23"/>
  <c r="M2519" i="23"/>
  <c r="M112" i="23"/>
  <c r="N2659" i="23"/>
  <c r="O663" i="23"/>
  <c r="L124" i="23"/>
  <c r="A2546" i="23"/>
  <c r="M616" i="23"/>
  <c r="A2496" i="23"/>
  <c r="G164" i="23"/>
  <c r="G165" i="23" s="1"/>
  <c r="O155" i="23"/>
  <c r="O1163" i="23"/>
  <c r="G195" i="23"/>
  <c r="O195" i="23" s="1"/>
  <c r="L194" i="23"/>
  <c r="O608" i="23"/>
  <c r="A1163" i="23"/>
  <c r="N3141" i="23"/>
  <c r="A1136" i="23"/>
  <c r="A3505" i="23"/>
  <c r="A2614" i="23"/>
  <c r="M2614" i="23"/>
  <c r="N2998" i="23"/>
  <c r="L2470" i="23"/>
  <c r="G2281" i="23"/>
  <c r="A2281" i="23" s="1"/>
  <c r="L2659" i="23"/>
  <c r="N663" i="23"/>
  <c r="O2546" i="23"/>
  <c r="L2495" i="23"/>
  <c r="N155" i="23"/>
  <c r="G163" i="23"/>
  <c r="A163" i="23" s="1"/>
  <c r="G1165" i="23"/>
  <c r="L608" i="23"/>
  <c r="O1147" i="23"/>
  <c r="O3141" i="23"/>
  <c r="L2614" i="23"/>
  <c r="N99" i="23"/>
  <c r="L99" i="23"/>
  <c r="G1131" i="23"/>
  <c r="M1131" i="23" s="1"/>
  <c r="C663" i="23"/>
  <c r="A2426" i="23"/>
  <c r="L2426" i="23"/>
  <c r="M1418" i="23"/>
  <c r="L1418" i="23"/>
  <c r="O2451" i="23"/>
  <c r="A2451" i="23"/>
  <c r="A2452" i="23" s="1"/>
  <c r="L2451" i="23"/>
  <c r="G2454" i="23"/>
  <c r="N2454" i="23" s="1"/>
  <c r="G2455" i="23"/>
  <c r="N2455" i="23" s="1"/>
  <c r="G2453" i="23"/>
  <c r="N2453" i="23" s="1"/>
  <c r="M2451" i="23"/>
  <c r="A663" i="23"/>
  <c r="M663" i="23"/>
  <c r="M2428" i="23"/>
  <c r="A2428" i="23"/>
  <c r="A1374" i="23"/>
  <c r="O1374" i="23"/>
  <c r="G1791" i="23"/>
  <c r="A1784" i="23"/>
  <c r="A1785" i="23" s="1"/>
  <c r="A1711" i="23"/>
  <c r="A1712" i="23" s="1"/>
  <c r="L1711" i="23"/>
  <c r="O1711" i="23"/>
  <c r="U2068" i="1"/>
  <c r="G2115" i="1"/>
  <c r="S2115" i="1" s="1"/>
  <c r="S2125" i="1"/>
  <c r="C2125" i="1"/>
  <c r="M50" i="49"/>
  <c r="L50" i="49"/>
  <c r="N1657" i="23"/>
  <c r="O153" i="23"/>
  <c r="N1096" i="23"/>
  <c r="A153" i="23"/>
  <c r="O112" i="23"/>
  <c r="N112" i="23"/>
  <c r="N2709" i="23"/>
  <c r="L112" i="23"/>
  <c r="L1657" i="23"/>
  <c r="L2415" i="23"/>
  <c r="M170" i="23"/>
  <c r="G2520" i="23"/>
  <c r="N2415" i="23"/>
  <c r="A2519" i="23"/>
  <c r="O2519" i="23"/>
  <c r="A643" i="23"/>
  <c r="L643" i="23"/>
  <c r="O643" i="23"/>
  <c r="L1911" i="23"/>
  <c r="N1711" i="23"/>
  <c r="M1987" i="23"/>
  <c r="M2051" i="23" s="1"/>
  <c r="A1987" i="23"/>
  <c r="L1987" i="23"/>
  <c r="L2051" i="23" s="1"/>
  <c r="N1987" i="23"/>
  <c r="N2051" i="23" s="1"/>
  <c r="O1987" i="23"/>
  <c r="O2051" i="23" s="1"/>
  <c r="O1911" i="23"/>
  <c r="N1911" i="23"/>
  <c r="M1911" i="23"/>
  <c r="M1711" i="23"/>
  <c r="G1713" i="23"/>
  <c r="O1713" i="23" s="1"/>
  <c r="H2068" i="1"/>
  <c r="M2068" i="1"/>
  <c r="A1474" i="23"/>
  <c r="A1475" i="23" s="1"/>
  <c r="J231" i="1"/>
  <c r="J1158" i="1"/>
  <c r="M1643" i="23"/>
  <c r="G1478" i="23"/>
  <c r="A1478" i="23" s="1"/>
  <c r="M1575" i="23"/>
  <c r="N1578" i="23"/>
  <c r="M1408" i="23"/>
  <c r="O1643" i="23"/>
  <c r="L1643" i="23"/>
  <c r="G1671" i="23"/>
  <c r="N1671" i="23" s="1"/>
  <c r="A1554" i="23"/>
  <c r="G2282" i="23"/>
  <c r="O2282" i="23" s="1"/>
  <c r="O1640" i="23"/>
  <c r="N1640" i="23"/>
  <c r="G2264" i="23"/>
  <c r="O2264" i="23" s="1"/>
  <c r="L1414" i="23"/>
  <c r="A1664" i="23"/>
  <c r="A1665" i="23" s="1"/>
  <c r="N1408" i="23"/>
  <c r="M1642" i="23"/>
  <c r="L1642" i="23"/>
  <c r="O1642" i="23"/>
  <c r="N1642" i="23"/>
  <c r="G1668" i="23"/>
  <c r="G1870" i="23"/>
  <c r="L1705" i="23"/>
  <c r="O1705" i="23"/>
  <c r="M1705" i="23"/>
  <c r="G1710" i="23"/>
  <c r="G1707" i="23"/>
  <c r="G1708" i="23"/>
  <c r="N1705" i="23"/>
  <c r="A1705" i="23"/>
  <c r="A1706" i="23" s="1"/>
  <c r="G1709" i="23"/>
  <c r="M1543" i="23"/>
  <c r="M1547" i="23"/>
  <c r="G1669" i="23"/>
  <c r="M1669" i="23" s="1"/>
  <c r="G1666" i="23"/>
  <c r="G1719" i="23"/>
  <c r="G1720" i="23"/>
  <c r="A1716" i="23"/>
  <c r="A1717" i="23" s="1"/>
  <c r="N1716" i="23"/>
  <c r="O1716" i="23"/>
  <c r="M1716" i="23"/>
  <c r="L1716" i="23"/>
  <c r="G1718" i="23"/>
  <c r="M1639" i="23"/>
  <c r="L1749" i="23"/>
  <c r="G1667" i="23"/>
  <c r="A1667" i="23" s="1"/>
  <c r="G1670" i="23"/>
  <c r="J747" i="1"/>
  <c r="J145" i="1"/>
  <c r="J768" i="1"/>
  <c r="J744" i="1"/>
  <c r="J536" i="1"/>
  <c r="J380" i="1"/>
  <c r="G2027" i="1"/>
  <c r="S2027" i="1" s="1"/>
  <c r="J729" i="1"/>
  <c r="J48" i="1"/>
  <c r="J574" i="1"/>
  <c r="J235" i="1"/>
  <c r="J570" i="1"/>
  <c r="J1520" i="1"/>
  <c r="J728" i="1"/>
  <c r="J224" i="1"/>
  <c r="U1520" i="1"/>
  <c r="J236" i="1"/>
  <c r="J50" i="1"/>
  <c r="J223" i="1"/>
  <c r="J568" i="1"/>
  <c r="H591" i="1"/>
  <c r="H595" i="1" s="1"/>
  <c r="J237" i="1"/>
  <c r="J398" i="1"/>
  <c r="J652" i="1"/>
  <c r="J388" i="1"/>
  <c r="J725" i="1"/>
  <c r="J401" i="1"/>
  <c r="J400" i="1"/>
  <c r="J910" i="1"/>
  <c r="J650" i="1"/>
  <c r="J77" i="1"/>
  <c r="J618" i="1"/>
  <c r="J347" i="1"/>
  <c r="J590" i="1"/>
  <c r="J855" i="1"/>
  <c r="J1156" i="1"/>
  <c r="J533" i="1"/>
  <c r="J345" i="1"/>
  <c r="J854" i="1"/>
  <c r="J924" i="1"/>
  <c r="J666" i="1"/>
  <c r="J777" i="1"/>
  <c r="J1190" i="1"/>
  <c r="J382" i="1"/>
  <c r="J1113" i="1"/>
  <c r="J899" i="1"/>
  <c r="J891" i="1"/>
  <c r="J497" i="1"/>
  <c r="J810" i="1"/>
  <c r="J894" i="1"/>
  <c r="J70" i="1"/>
  <c r="J25" i="1"/>
  <c r="J639" i="1"/>
  <c r="J555" i="1"/>
  <c r="J896" i="1"/>
  <c r="J898" i="1"/>
  <c r="J291" i="1"/>
  <c r="J638" i="1"/>
  <c r="J676" i="1"/>
  <c r="J895" i="1"/>
  <c r="J897" i="1"/>
  <c r="J809" i="1"/>
  <c r="J807" i="1"/>
  <c r="J23" i="1"/>
  <c r="J199" i="1"/>
  <c r="J196" i="1"/>
  <c r="J611" i="1"/>
  <c r="J949" i="1"/>
  <c r="J561" i="1"/>
  <c r="J504" i="1"/>
  <c r="J554" i="1"/>
  <c r="J698" i="1"/>
  <c r="J892" i="1"/>
  <c r="J805" i="1"/>
  <c r="J806" i="1"/>
  <c r="J63" i="1"/>
  <c r="J1163" i="1"/>
  <c r="J210" i="1"/>
  <c r="J610" i="1"/>
  <c r="J292" i="1"/>
  <c r="J499" i="1"/>
  <c r="J512" i="1"/>
  <c r="J128" i="1"/>
  <c r="J129" i="1"/>
  <c r="J700" i="1"/>
  <c r="J593" i="1"/>
  <c r="J71" i="1"/>
  <c r="J167" i="1"/>
  <c r="J170" i="1"/>
  <c r="J168" i="1"/>
  <c r="J422" i="1"/>
  <c r="J197" i="1"/>
  <c r="J955" i="1"/>
  <c r="J296" i="1"/>
  <c r="J715" i="1"/>
  <c r="J507" i="1"/>
  <c r="J127" i="1"/>
  <c r="J394" i="1"/>
  <c r="J675" i="1"/>
  <c r="J377" i="1"/>
  <c r="J796" i="1"/>
  <c r="J180" i="1"/>
  <c r="J320" i="1"/>
  <c r="J1140" i="1"/>
  <c r="J602" i="1"/>
  <c r="J770" i="1"/>
  <c r="J850" i="1"/>
  <c r="J324" i="1"/>
  <c r="J1138" i="1"/>
  <c r="J412" i="1"/>
  <c r="J330" i="1"/>
  <c r="J771" i="1"/>
  <c r="J847" i="1"/>
  <c r="J370" i="1"/>
  <c r="J232" i="1"/>
  <c r="J851" i="1"/>
  <c r="J131" i="1"/>
  <c r="J29" i="1"/>
  <c r="J132" i="1"/>
  <c r="J848" i="1"/>
  <c r="J99" i="1"/>
  <c r="J1157" i="1"/>
  <c r="J98" i="1"/>
  <c r="J55" i="1"/>
  <c r="J53" i="1"/>
  <c r="J775" i="1"/>
  <c r="J267" i="1"/>
  <c r="J1166" i="1"/>
  <c r="J143" i="1"/>
  <c r="J1191" i="1"/>
  <c r="J792" i="1"/>
  <c r="J742" i="1"/>
  <c r="J551" i="1"/>
  <c r="J668" i="1"/>
  <c r="J133" i="1"/>
  <c r="J317" i="1"/>
  <c r="J374" i="1"/>
  <c r="J375" i="1"/>
  <c r="J1084" i="1"/>
  <c r="J410" i="1"/>
  <c r="J417" i="1"/>
  <c r="J601" i="1"/>
  <c r="J268" i="1"/>
  <c r="J586" i="1"/>
  <c r="J749" i="1"/>
  <c r="J849" i="1"/>
  <c r="J369" i="1"/>
  <c r="J323" i="1"/>
  <c r="J378" i="1"/>
  <c r="J372" i="1"/>
  <c r="J1139" i="1"/>
  <c r="J57" i="1"/>
  <c r="J211" i="1"/>
  <c r="J780" i="1"/>
  <c r="J60" i="1"/>
  <c r="J344" i="1"/>
  <c r="J54" i="1"/>
  <c r="J537" i="1"/>
  <c r="J144" i="1"/>
  <c r="J294" i="1"/>
  <c r="J713" i="1"/>
  <c r="J1168" i="1"/>
  <c r="J298" i="1"/>
  <c r="J500" i="1"/>
  <c r="J559" i="1"/>
  <c r="J794" i="1"/>
  <c r="J739" i="1"/>
  <c r="J1073" i="1"/>
  <c r="J853" i="1"/>
  <c r="J665" i="1"/>
  <c r="J453" i="1"/>
  <c r="J800" i="1"/>
  <c r="J24" i="1"/>
  <c r="J26" i="1"/>
  <c r="J799" i="1"/>
  <c r="J165" i="1"/>
  <c r="J171" i="1"/>
  <c r="J67" i="1"/>
  <c r="J798" i="1"/>
  <c r="J1162" i="1"/>
  <c r="J19" i="1"/>
  <c r="J844" i="1"/>
  <c r="J188" i="1"/>
  <c r="J957" i="1"/>
  <c r="J954" i="1"/>
  <c r="J710" i="1"/>
  <c r="J1116" i="1"/>
  <c r="J699" i="1"/>
  <c r="J395" i="1"/>
  <c r="J644" i="1"/>
  <c r="J457" i="1"/>
  <c r="J461" i="1"/>
  <c r="J460" i="1"/>
  <c r="J697" i="1"/>
  <c r="J456" i="1"/>
  <c r="J1699" i="1"/>
  <c r="J65" i="1"/>
  <c r="J64" i="1"/>
  <c r="J39" i="1"/>
  <c r="J40" i="1"/>
  <c r="J169" i="1"/>
  <c r="J66" i="1"/>
  <c r="J18" i="1"/>
  <c r="J1160" i="1"/>
  <c r="U1699" i="1"/>
  <c r="J943" i="1"/>
  <c r="J187" i="1"/>
  <c r="J952" i="1"/>
  <c r="J950" i="1"/>
  <c r="J711" i="1"/>
  <c r="J393" i="1"/>
  <c r="J696" i="1"/>
  <c r="J702" i="1"/>
  <c r="J1181" i="1"/>
  <c r="T1699" i="1"/>
  <c r="J68" i="1"/>
  <c r="J421" i="1"/>
  <c r="J419" i="1"/>
  <c r="J802" i="1"/>
  <c r="J172" i="1"/>
  <c r="J38" i="1"/>
  <c r="J803" i="1"/>
  <c r="J164" i="1"/>
  <c r="J1161" i="1"/>
  <c r="J185" i="1"/>
  <c r="J956" i="1"/>
  <c r="J953" i="1"/>
  <c r="J293" i="1"/>
  <c r="J297" i="1"/>
  <c r="J714" i="1"/>
  <c r="J299" i="1"/>
  <c r="J560" i="1"/>
  <c r="J501" i="1"/>
  <c r="J511" i="1"/>
  <c r="J578" i="1"/>
  <c r="J392" i="1"/>
  <c r="J1072" i="1"/>
  <c r="J672" i="1"/>
  <c r="J673" i="1"/>
  <c r="J585" i="1"/>
  <c r="J772" i="1"/>
  <c r="J746" i="1"/>
  <c r="J229" i="1"/>
  <c r="J730" i="1"/>
  <c r="J28" i="1"/>
  <c r="J44" i="1"/>
  <c r="J43" i="1"/>
  <c r="J399" i="1"/>
  <c r="J139" i="1"/>
  <c r="J123" i="1"/>
  <c r="J641" i="1"/>
  <c r="J226" i="1"/>
  <c r="J754" i="1"/>
  <c r="J752" i="1"/>
  <c r="J659" i="1"/>
  <c r="J906" i="1"/>
  <c r="J34" i="1"/>
  <c r="J903" i="1"/>
  <c r="J33" i="1"/>
  <c r="J532" i="1"/>
  <c r="J656" i="1"/>
  <c r="J56" i="1"/>
  <c r="J16" i="1"/>
  <c r="J901" i="1"/>
  <c r="J534" i="1"/>
  <c r="J1169" i="1"/>
  <c r="J1194" i="1"/>
  <c r="J1170" i="1"/>
  <c r="J221" i="1"/>
  <c r="J218" i="1"/>
  <c r="J220" i="1"/>
  <c r="J567" i="1"/>
  <c r="J564" i="1"/>
  <c r="J1074" i="1"/>
  <c r="J766" i="1"/>
  <c r="J252" i="1"/>
  <c r="J669" i="1"/>
  <c r="J572" i="1"/>
  <c r="J563" i="1"/>
  <c r="J548" i="1"/>
  <c r="J748" i="1"/>
  <c r="J750" i="1"/>
  <c r="J228" i="1"/>
  <c r="J49" i="1"/>
  <c r="J31" i="1"/>
  <c r="J726" i="1"/>
  <c r="J122" i="1"/>
  <c r="J753" i="1"/>
  <c r="J640" i="1"/>
  <c r="J124" i="1"/>
  <c r="J756" i="1"/>
  <c r="J637" i="1"/>
  <c r="J46" i="1"/>
  <c r="J58" i="1"/>
  <c r="J61" i="1"/>
  <c r="J35" i="1"/>
  <c r="J779" i="1"/>
  <c r="J538" i="1"/>
  <c r="J722" i="1"/>
  <c r="J1192" i="1"/>
  <c r="J1115" i="1"/>
  <c r="J565" i="1"/>
  <c r="J1077" i="1"/>
  <c r="J1078" i="1"/>
  <c r="J550" i="1"/>
  <c r="J667" i="1"/>
  <c r="J664" i="1"/>
  <c r="J381" i="1"/>
  <c r="J549" i="1"/>
  <c r="J505" i="1"/>
  <c r="J503" i="1"/>
  <c r="J510" i="1"/>
  <c r="J1035" i="1"/>
  <c r="J1037" i="1"/>
  <c r="J1041" i="1"/>
  <c r="J1042" i="1"/>
  <c r="J1034" i="1"/>
  <c r="J1033" i="1"/>
  <c r="J1040" i="1"/>
  <c r="J1032" i="1"/>
  <c r="J1043" i="1"/>
  <c r="J1039" i="1"/>
  <c r="J1036" i="1"/>
  <c r="J1038" i="1"/>
  <c r="J858" i="1"/>
  <c r="J860" i="1"/>
  <c r="J859" i="1"/>
  <c r="J342" i="1"/>
  <c r="J339" i="1"/>
  <c r="J340" i="1"/>
  <c r="J118" i="1"/>
  <c r="J119" i="1"/>
  <c r="J117" i="1"/>
  <c r="J115" i="1"/>
  <c r="J595" i="1"/>
  <c r="J592" i="1"/>
  <c r="J239" i="1"/>
  <c r="J242" i="1"/>
  <c r="J243" i="1"/>
  <c r="J241" i="1"/>
  <c r="J240" i="1"/>
  <c r="J482" i="1"/>
  <c r="J478" i="1"/>
  <c r="J487" i="1"/>
  <c r="J485" i="1"/>
  <c r="J477" i="1"/>
  <c r="J486" i="1"/>
  <c r="J484" i="1"/>
  <c r="J481" i="1"/>
  <c r="J483" i="1"/>
  <c r="J1101" i="1"/>
  <c r="J1100" i="1"/>
  <c r="J1108" i="1"/>
  <c r="J1105" i="1"/>
  <c r="J1109" i="1"/>
  <c r="J1102" i="1"/>
  <c r="J1103" i="1"/>
  <c r="J1099" i="1"/>
  <c r="J1104" i="1"/>
  <c r="J1106" i="1"/>
  <c r="J1107" i="1"/>
  <c r="J251" i="1"/>
  <c r="J253" i="1"/>
  <c r="J387" i="1"/>
  <c r="J385" i="1"/>
  <c r="J386" i="1"/>
  <c r="J313" i="1"/>
  <c r="J842" i="1"/>
  <c r="J95" i="1"/>
  <c r="J100" i="1"/>
  <c r="J1649" i="1"/>
  <c r="J409" i="1"/>
  <c r="J904" i="1"/>
  <c r="J179" i="1"/>
  <c r="J946" i="1"/>
  <c r="J944" i="1"/>
  <c r="J660" i="1"/>
  <c r="J416" i="1"/>
  <c r="J945" i="1"/>
  <c r="J415" i="1"/>
  <c r="J719" i="1"/>
  <c r="J1118" i="1"/>
  <c r="J1111" i="1"/>
  <c r="J326" i="1"/>
  <c r="J327" i="1"/>
  <c r="J787" i="1"/>
  <c r="J786" i="1"/>
  <c r="J789" i="1"/>
  <c r="J788" i="1"/>
  <c r="J1129" i="1"/>
  <c r="J1128" i="1"/>
  <c r="J1123" i="1"/>
  <c r="J1126" i="1"/>
  <c r="J1130" i="1"/>
  <c r="J1125" i="1"/>
  <c r="J1122" i="1"/>
  <c r="J1124" i="1"/>
  <c r="J1131" i="1"/>
  <c r="J1127" i="1"/>
  <c r="J255" i="1"/>
  <c r="J258" i="1"/>
  <c r="J259" i="1"/>
  <c r="J1075" i="1"/>
  <c r="J1076" i="1"/>
  <c r="J1071" i="1"/>
  <c r="J1080" i="1"/>
  <c r="J1082" i="1"/>
  <c r="J1083" i="1"/>
  <c r="J1079" i="1"/>
  <c r="J261" i="1"/>
  <c r="J263" i="1"/>
  <c r="J265" i="1"/>
  <c r="J264" i="1"/>
  <c r="J262" i="1"/>
  <c r="J206" i="1"/>
  <c r="J207" i="1"/>
  <c r="J462" i="1"/>
  <c r="J459" i="1"/>
  <c r="J517" i="1"/>
  <c r="J520" i="1"/>
  <c r="J518" i="1"/>
  <c r="J514" i="1"/>
  <c r="J519" i="1"/>
  <c r="J516" i="1"/>
  <c r="J521" i="1"/>
  <c r="J515" i="1"/>
  <c r="J812" i="1"/>
  <c r="J404" i="1"/>
  <c r="J316" i="1"/>
  <c r="J318" i="1"/>
  <c r="J322" i="1"/>
  <c r="J816" i="1"/>
  <c r="J843" i="1"/>
  <c r="J841" i="1"/>
  <c r="J839" i="1"/>
  <c r="S1649" i="1"/>
  <c r="J414" i="1"/>
  <c r="J413" i="1"/>
  <c r="J905" i="1"/>
  <c r="J942" i="1"/>
  <c r="J246" i="1"/>
  <c r="J907" i="1"/>
  <c r="J181" i="1"/>
  <c r="J662" i="1"/>
  <c r="J1117" i="1"/>
  <c r="J740" i="1"/>
  <c r="J328" i="1"/>
  <c r="J1178" i="1"/>
  <c r="J451" i="1"/>
  <c r="J741" i="1"/>
  <c r="J110" i="1"/>
  <c r="J452" i="1"/>
  <c r="J450" i="1"/>
  <c r="J795" i="1"/>
  <c r="J791" i="1"/>
  <c r="J1016" i="1"/>
  <c r="J1009" i="1"/>
  <c r="J1017" i="1"/>
  <c r="J1013" i="1"/>
  <c r="J1011" i="1"/>
  <c r="J1018" i="1"/>
  <c r="J1010" i="1"/>
  <c r="J1008" i="1"/>
  <c r="J1014" i="1"/>
  <c r="J1007" i="1"/>
  <c r="J1012" i="1"/>
  <c r="J1015" i="1"/>
  <c r="J967" i="1"/>
  <c r="J972" i="1"/>
  <c r="J969" i="1"/>
  <c r="J968" i="1"/>
  <c r="J970" i="1"/>
  <c r="J931" i="1"/>
  <c r="J923" i="1"/>
  <c r="J926" i="1"/>
  <c r="J930" i="1"/>
  <c r="J929" i="1"/>
  <c r="J925" i="1"/>
  <c r="J927" i="1"/>
  <c r="J105" i="1"/>
  <c r="J106" i="1"/>
  <c r="J107" i="1"/>
  <c r="J108" i="1"/>
  <c r="J104" i="1"/>
  <c r="J573" i="1"/>
  <c r="J569" i="1"/>
  <c r="J571" i="1"/>
  <c r="J434" i="1"/>
  <c r="J427" i="1"/>
  <c r="J430" i="1"/>
  <c r="J435" i="1"/>
  <c r="J431" i="1"/>
  <c r="J424" i="1"/>
  <c r="J432" i="1"/>
  <c r="J433" i="1"/>
  <c r="J425" i="1"/>
  <c r="J429" i="1"/>
  <c r="J428" i="1"/>
  <c r="J426" i="1"/>
  <c r="J866" i="1"/>
  <c r="J862" i="1"/>
  <c r="J863" i="1"/>
  <c r="J868" i="1"/>
  <c r="J865" i="1"/>
  <c r="J867" i="1"/>
  <c r="J864" i="1"/>
  <c r="J490" i="1"/>
  <c r="J492" i="1"/>
  <c r="J489" i="1"/>
  <c r="J495" i="1"/>
  <c r="J494" i="1"/>
  <c r="J491" i="1"/>
  <c r="J493" i="1"/>
  <c r="J653" i="1"/>
  <c r="J654" i="1"/>
  <c r="T1649" i="1"/>
  <c r="J813" i="1"/>
  <c r="J814" i="1"/>
  <c r="J390" i="1"/>
  <c r="J407" i="1"/>
  <c r="J315" i="1"/>
  <c r="J321" i="1"/>
  <c r="J314" i="1"/>
  <c r="J140" i="1"/>
  <c r="J405" i="1"/>
  <c r="J74" i="1"/>
  <c r="J102" i="1"/>
  <c r="J101" i="1"/>
  <c r="J94" i="1"/>
  <c r="J96" i="1"/>
  <c r="J245" i="1"/>
  <c r="J947" i="1"/>
  <c r="J657" i="1"/>
  <c r="J247" i="1"/>
  <c r="J182" i="1"/>
  <c r="J661" i="1"/>
  <c r="J720" i="1"/>
  <c r="J617" i="1"/>
  <c r="J721" i="1"/>
  <c r="J508" i="1"/>
  <c r="J871" i="1"/>
  <c r="J1114" i="1"/>
  <c r="J556" i="1"/>
  <c r="J509" i="1"/>
  <c r="J502" i="1"/>
  <c r="J579" i="1"/>
  <c r="J498" i="1"/>
  <c r="J1112" i="1"/>
  <c r="J558" i="1"/>
  <c r="J1119" i="1"/>
  <c r="J256" i="1"/>
  <c r="J111" i="1"/>
  <c r="J112" i="1"/>
  <c r="J605" i="1"/>
  <c r="J606" i="1"/>
  <c r="J607" i="1"/>
  <c r="J682" i="1"/>
  <c r="J685" i="1"/>
  <c r="J680" i="1"/>
  <c r="J686" i="1"/>
  <c r="J684" i="1"/>
  <c r="J681" i="1"/>
  <c r="J683" i="1"/>
  <c r="J136" i="1"/>
  <c r="J137" i="1"/>
  <c r="J916" i="1"/>
  <c r="J914" i="1"/>
  <c r="J912" i="1"/>
  <c r="J917" i="1"/>
  <c r="J915" i="1"/>
  <c r="J918" i="1"/>
  <c r="J913" i="1"/>
  <c r="J646" i="1"/>
  <c r="J643" i="1"/>
  <c r="J647" i="1"/>
  <c r="J645" i="1"/>
  <c r="J1180" i="1"/>
  <c r="J1179" i="1"/>
  <c r="J175" i="1"/>
  <c r="J176" i="1"/>
  <c r="J177" i="1"/>
  <c r="J174" i="1"/>
  <c r="J203" i="1"/>
  <c r="J204" i="1"/>
  <c r="J201" i="1"/>
  <c r="J202" i="1"/>
  <c r="J470" i="1"/>
  <c r="J467" i="1"/>
  <c r="J479" i="1"/>
  <c r="J474" i="1"/>
  <c r="J469" i="1"/>
  <c r="J475" i="1"/>
  <c r="J472" i="1"/>
  <c r="J464" i="1"/>
  <c r="J466" i="1"/>
  <c r="J468" i="1"/>
  <c r="J476" i="1"/>
  <c r="J471" i="1"/>
  <c r="J473" i="1"/>
  <c r="J465" i="1"/>
  <c r="J873" i="1"/>
  <c r="J876" i="1"/>
  <c r="J875" i="1"/>
  <c r="J874" i="1"/>
  <c r="J880" i="1"/>
  <c r="J877" i="1"/>
  <c r="J878" i="1"/>
  <c r="J879" i="1"/>
  <c r="J1000" i="1"/>
  <c r="J994" i="1"/>
  <c r="J1003" i="1"/>
  <c r="J995" i="1"/>
  <c r="J999" i="1"/>
  <c r="J996" i="1"/>
  <c r="J998" i="1"/>
  <c r="J1005" i="1"/>
  <c r="J1002" i="1"/>
  <c r="J1001" i="1"/>
  <c r="J1004" i="1"/>
  <c r="J993" i="1"/>
  <c r="J997" i="1"/>
  <c r="T2068" i="1"/>
  <c r="T2125" i="1"/>
  <c r="FZ16" i="77"/>
  <c r="G2012" i="1"/>
  <c r="S2012" i="1" s="1"/>
  <c r="G1912" i="1"/>
  <c r="S1912" i="1" s="1"/>
  <c r="N2660" i="23"/>
  <c r="L2660" i="23"/>
  <c r="A2660" i="23"/>
  <c r="O2663" i="23"/>
  <c r="G2658" i="23"/>
  <c r="N2663" i="23"/>
  <c r="M2663" i="23"/>
  <c r="L614" i="23"/>
  <c r="A124" i="23"/>
  <c r="A1052" i="23"/>
  <c r="A2626" i="23"/>
  <c r="G3528" i="23"/>
  <c r="O3528" i="23" s="1"/>
  <c r="G3526" i="23"/>
  <c r="M3526" i="23" s="1"/>
  <c r="G3525" i="23"/>
  <c r="L3525" i="23" s="1"/>
  <c r="N1194" i="23"/>
  <c r="G2490" i="23"/>
  <c r="N2490" i="23" s="1"/>
  <c r="K2298" i="1"/>
  <c r="N3104" i="23"/>
  <c r="L2635" i="23"/>
  <c r="A2635" i="23"/>
  <c r="G1576" i="23"/>
  <c r="O1576" i="23" s="1"/>
  <c r="O2610" i="23"/>
  <c r="L2610" i="23"/>
  <c r="L3540" i="23"/>
  <c r="G3110" i="23"/>
  <c r="G3109" i="23"/>
  <c r="N3109" i="23" s="1"/>
  <c r="N3537" i="23"/>
  <c r="O1182" i="23"/>
  <c r="N1651" i="23"/>
  <c r="M56" i="23"/>
  <c r="G65" i="23"/>
  <c r="N65" i="23" s="1"/>
  <c r="A3120" i="23"/>
  <c r="N1138" i="23"/>
  <c r="G3145" i="23"/>
  <c r="M3145" i="23" s="1"/>
  <c r="C3103" i="23"/>
  <c r="C3111" i="23" s="1"/>
  <c r="C3118" i="23" s="1"/>
  <c r="C3126" i="23" s="1"/>
  <c r="C3134" i="23" s="1"/>
  <c r="C3147" i="23" s="1"/>
  <c r="C3151" i="23" s="1"/>
  <c r="C3161" i="23" s="1"/>
  <c r="C3170" i="23" s="1"/>
  <c r="C3182" i="23" s="1"/>
  <c r="C3191" i="23" s="1"/>
  <c r="C3206" i="23" s="1"/>
  <c r="A1575" i="23"/>
  <c r="G2284" i="23"/>
  <c r="A2284" i="23" s="1"/>
  <c r="G2280" i="23"/>
  <c r="A2280" i="23" s="1"/>
  <c r="O614" i="23"/>
  <c r="O147" i="23"/>
  <c r="M147" i="23"/>
  <c r="A1569" i="23"/>
  <c r="L2523" i="23"/>
  <c r="N1575" i="23"/>
  <c r="A147" i="23"/>
  <c r="O1543" i="23"/>
  <c r="G1454" i="23"/>
  <c r="N1454" i="23" s="1"/>
  <c r="M629" i="23"/>
  <c r="N629" i="23"/>
  <c r="A618" i="23"/>
  <c r="N618" i="23"/>
  <c r="G635" i="23"/>
  <c r="L635" i="23" s="1"/>
  <c r="L629" i="23"/>
  <c r="M618" i="23"/>
  <c r="G619" i="23"/>
  <c r="O619" i="23" s="1"/>
  <c r="O124" i="23"/>
  <c r="A602" i="23"/>
  <c r="C124" i="23"/>
  <c r="C125" i="23" s="1"/>
  <c r="C126" i="23" s="1"/>
  <c r="C127" i="23" s="1"/>
  <c r="C128" i="23" s="1"/>
  <c r="C129" i="23" s="1"/>
  <c r="C130" i="23" s="1"/>
  <c r="G3522" i="23"/>
  <c r="O3522" i="23" s="1"/>
  <c r="G3527" i="23"/>
  <c r="M3527" i="23" s="1"/>
  <c r="G3530" i="23"/>
  <c r="L3530" i="23" s="1"/>
  <c r="M1194" i="23"/>
  <c r="O2492" i="23"/>
  <c r="L2492" i="23"/>
  <c r="U2298" i="1"/>
  <c r="A3104" i="23"/>
  <c r="M3104" i="23"/>
  <c r="O2635" i="23"/>
  <c r="L1575" i="23"/>
  <c r="M2610" i="23"/>
  <c r="A3540" i="23"/>
  <c r="M3540" i="23"/>
  <c r="A3103" i="23"/>
  <c r="A3537" i="23"/>
  <c r="O3537" i="23"/>
  <c r="G64" i="23"/>
  <c r="N64" i="23" s="1"/>
  <c r="O56" i="23"/>
  <c r="G59" i="23"/>
  <c r="A59" i="23" s="1"/>
  <c r="L2979" i="23"/>
  <c r="M2244" i="23"/>
  <c r="G2279" i="23"/>
  <c r="A2277" i="23"/>
  <c r="A2278" i="23" s="1"/>
  <c r="L1569" i="23"/>
  <c r="A1407" i="23"/>
  <c r="N1407" i="23"/>
  <c r="O1096" i="23"/>
  <c r="G1409" i="23"/>
  <c r="N1409" i="23" s="1"/>
  <c r="G2527" i="23"/>
  <c r="N2527" i="23" s="1"/>
  <c r="N125" i="23"/>
  <c r="N131" i="23" s="1"/>
  <c r="M124" i="23"/>
  <c r="G3533" i="23"/>
  <c r="A3533" i="23" s="1"/>
  <c r="A2492" i="23"/>
  <c r="L2651" i="23"/>
  <c r="L111" i="23"/>
  <c r="G3107" i="23"/>
  <c r="M3107" i="23" s="1"/>
  <c r="G3105" i="23"/>
  <c r="N3105" i="23" s="1"/>
  <c r="G63" i="23"/>
  <c r="A63" i="23" s="1"/>
  <c r="L56" i="23"/>
  <c r="A457" i="23"/>
  <c r="O761" i="23"/>
  <c r="N1120" i="23"/>
  <c r="G2358" i="23"/>
  <c r="G2362" i="23" s="1"/>
  <c r="L1407" i="23"/>
  <c r="G148" i="23"/>
  <c r="A148" i="23" s="1"/>
  <c r="O1316" i="23"/>
  <c r="M1096" i="23"/>
  <c r="A2523" i="23"/>
  <c r="L147" i="23"/>
  <c r="M1407" i="23"/>
  <c r="M614" i="23"/>
  <c r="N1571" i="23"/>
  <c r="L1571" i="23"/>
  <c r="T2298" i="1"/>
  <c r="S2298" i="1"/>
  <c r="A707" i="49"/>
  <c r="L707" i="49"/>
  <c r="O707" i="49"/>
  <c r="M707" i="49"/>
  <c r="N707" i="49"/>
  <c r="J885" i="1"/>
  <c r="J883" i="1"/>
  <c r="J887" i="1"/>
  <c r="J884" i="1"/>
  <c r="J888" i="1"/>
  <c r="J889" i="1"/>
  <c r="J886" i="1"/>
  <c r="E11" i="2"/>
  <c r="D11" i="2"/>
  <c r="U2097" i="1"/>
  <c r="S2097" i="1"/>
  <c r="T2097" i="1"/>
  <c r="H2097" i="1"/>
  <c r="M2097" i="1"/>
  <c r="U1995" i="1"/>
  <c r="S1995" i="1"/>
  <c r="N1995" i="1"/>
  <c r="T1995" i="1"/>
  <c r="H1995" i="1"/>
  <c r="M649" i="23"/>
  <c r="A3498" i="23"/>
  <c r="O1637" i="23"/>
  <c r="N1637" i="23"/>
  <c r="L1634" i="23"/>
  <c r="G3502" i="23"/>
  <c r="O3502" i="23" s="1"/>
  <c r="M645" i="23"/>
  <c r="A645" i="23"/>
  <c r="L645" i="23"/>
  <c r="A1314" i="23"/>
  <c r="N1314" i="23"/>
  <c r="M1314" i="23"/>
  <c r="O1314" i="23"/>
  <c r="L1314" i="23"/>
  <c r="M1136" i="23"/>
  <c r="L1136" i="23"/>
  <c r="G2716" i="23"/>
  <c r="N2715" i="23"/>
  <c r="L2524" i="23"/>
  <c r="A2524" i="23"/>
  <c r="A2525" i="23"/>
  <c r="O2525" i="23"/>
  <c r="L2525" i="23"/>
  <c r="M2525" i="23"/>
  <c r="N1574" i="23"/>
  <c r="L1574" i="23"/>
  <c r="A1574" i="23"/>
  <c r="A3485" i="23"/>
  <c r="A3486" i="23" s="1"/>
  <c r="G3490" i="23"/>
  <c r="M2495" i="23"/>
  <c r="L602" i="23"/>
  <c r="N2626" i="23"/>
  <c r="A204" i="23"/>
  <c r="A1394" i="23"/>
  <c r="L613" i="23"/>
  <c r="G151" i="23"/>
  <c r="L151" i="23" s="1"/>
  <c r="N1146" i="23"/>
  <c r="N1728" i="23"/>
  <c r="N1730" i="23"/>
  <c r="N1166" i="23"/>
  <c r="N1162" i="23"/>
  <c r="M3501" i="23"/>
  <c r="M111" i="23"/>
  <c r="L1451" i="23"/>
  <c r="N1451" i="23"/>
  <c r="N1318" i="23"/>
  <c r="L1318" i="23"/>
  <c r="A3101" i="23"/>
  <c r="N3101" i="23"/>
  <c r="M3541" i="23"/>
  <c r="O1574" i="23"/>
  <c r="N457" i="23"/>
  <c r="L2512" i="23"/>
  <c r="G3491" i="23"/>
  <c r="O3491" i="23" s="1"/>
  <c r="L3137" i="23"/>
  <c r="A3137" i="23"/>
  <c r="G1122" i="23"/>
  <c r="N1122" i="23" s="1"/>
  <c r="G2272" i="23"/>
  <c r="G2276" i="23" s="1"/>
  <c r="L2468" i="23"/>
  <c r="N645" i="23"/>
  <c r="A1563" i="23"/>
  <c r="G3342" i="23"/>
  <c r="N3342" i="23" s="1"/>
  <c r="G172" i="23"/>
  <c r="G3489" i="23"/>
  <c r="L2522" i="23"/>
  <c r="M2522" i="23"/>
  <c r="G2526" i="23"/>
  <c r="N2526" i="23" s="1"/>
  <c r="O2522" i="23"/>
  <c r="A2522" i="23"/>
  <c r="O2495" i="23"/>
  <c r="N1052" i="23"/>
  <c r="N602" i="23"/>
  <c r="O2626" i="23"/>
  <c r="G2628" i="23"/>
  <c r="A2628" i="23" s="1"/>
  <c r="M204" i="23"/>
  <c r="O1394" i="23"/>
  <c r="O613" i="23"/>
  <c r="O125" i="23"/>
  <c r="A1146" i="23"/>
  <c r="L1728" i="23"/>
  <c r="A1730" i="23"/>
  <c r="O1730" i="23"/>
  <c r="M1166" i="23"/>
  <c r="N3501" i="23"/>
  <c r="G3544" i="23"/>
  <c r="O3544" i="23" s="1"/>
  <c r="A111" i="23"/>
  <c r="O111" i="23"/>
  <c r="M1451" i="23"/>
  <c r="A1318" i="23"/>
  <c r="M1318" i="23"/>
  <c r="L3101" i="23"/>
  <c r="L457" i="23"/>
  <c r="O2512" i="23"/>
  <c r="G3487" i="23"/>
  <c r="N3487" i="23" s="1"/>
  <c r="N3137" i="23"/>
  <c r="O3137" i="23"/>
  <c r="L2715" i="23"/>
  <c r="L761" i="23"/>
  <c r="C2263" i="23"/>
  <c r="L3121" i="23"/>
  <c r="O645" i="23"/>
  <c r="O2715" i="23"/>
  <c r="G3488" i="23"/>
  <c r="L109" i="23"/>
  <c r="O1052" i="23"/>
  <c r="N609" i="23"/>
  <c r="A609" i="23"/>
  <c r="O609" i="23"/>
  <c r="L609" i="23"/>
  <c r="G617" i="23"/>
  <c r="M609" i="23"/>
  <c r="G2612" i="23"/>
  <c r="G2611" i="23"/>
  <c r="M1052" i="23"/>
  <c r="M602" i="23"/>
  <c r="M2626" i="23"/>
  <c r="M1394" i="23"/>
  <c r="A3501" i="23"/>
  <c r="L3501" i="23"/>
  <c r="A3553" i="23"/>
  <c r="A1451" i="23"/>
  <c r="M109" i="23"/>
  <c r="G1142" i="23"/>
  <c r="L1142" i="23" s="1"/>
  <c r="O457" i="23"/>
  <c r="N3485" i="23"/>
  <c r="O2524" i="23"/>
  <c r="A109" i="23"/>
  <c r="A2521" i="23"/>
  <c r="M2521" i="23"/>
  <c r="L2521" i="23"/>
  <c r="G2529" i="23"/>
  <c r="N2529" i="23" s="1"/>
  <c r="O2521" i="23"/>
  <c r="A2530" i="23"/>
  <c r="M2530" i="23"/>
  <c r="O2530" i="23"/>
  <c r="L2530" i="23"/>
  <c r="O1396" i="23"/>
  <c r="A1408" i="23"/>
  <c r="L1408" i="23"/>
  <c r="G1748" i="23"/>
  <c r="G1747" i="23" s="1"/>
  <c r="A1396" i="23"/>
  <c r="M1095" i="23"/>
  <c r="L1396" i="23"/>
  <c r="N1373" i="23"/>
  <c r="M1373" i="23"/>
  <c r="A1373" i="23"/>
  <c r="L1373" i="23"/>
  <c r="O1373" i="23"/>
  <c r="H1847" i="1"/>
  <c r="L1847" i="1" s="1"/>
  <c r="A103" i="23"/>
  <c r="N103" i="23"/>
  <c r="O103" i="23"/>
  <c r="G1045" i="23"/>
  <c r="G1044" i="23"/>
  <c r="M2596" i="23"/>
  <c r="O2596" i="23"/>
  <c r="G161" i="23"/>
  <c r="A161" i="23" s="1"/>
  <c r="G160" i="23"/>
  <c r="M160" i="23" s="1"/>
  <c r="G157" i="23"/>
  <c r="L157" i="23" s="1"/>
  <c r="O150" i="23"/>
  <c r="O198" i="23"/>
  <c r="O1162" i="23"/>
  <c r="O3555" i="23"/>
  <c r="N3552" i="23"/>
  <c r="M70" i="23"/>
  <c r="G2296" i="23"/>
  <c r="A2296" i="23" s="1"/>
  <c r="A2876" i="23"/>
  <c r="L2596" i="23"/>
  <c r="M1183" i="23"/>
  <c r="N150" i="23"/>
  <c r="L199" i="23"/>
  <c r="A1162" i="23"/>
  <c r="L3555" i="23"/>
  <c r="O2293" i="23"/>
  <c r="C2596" i="23"/>
  <c r="C2597" i="23" s="1"/>
  <c r="C2599" i="23" s="1"/>
  <c r="C2601" i="23" s="1"/>
  <c r="C2603" i="23" s="1"/>
  <c r="C2605" i="23" s="1"/>
  <c r="L103" i="23"/>
  <c r="N198" i="23"/>
  <c r="L1162" i="23"/>
  <c r="C3393" i="23"/>
  <c r="C3394" i="23" s="1"/>
  <c r="C3395" i="23" s="1"/>
  <c r="C3397" i="23" s="1"/>
  <c r="C3399" i="23" s="1"/>
  <c r="N3555" i="23"/>
  <c r="M3552" i="23"/>
  <c r="N2596" i="23"/>
  <c r="A3552" i="23"/>
  <c r="G113" i="23"/>
  <c r="N1552" i="23"/>
  <c r="L1552" i="23"/>
  <c r="M1552" i="23"/>
  <c r="A1552" i="23"/>
  <c r="O1552" i="23"/>
  <c r="L70" i="23"/>
  <c r="A70" i="23"/>
  <c r="A73" i="23" s="1"/>
  <c r="M2876" i="23"/>
  <c r="N2876" i="23"/>
  <c r="M761" i="23"/>
  <c r="A2473" i="23"/>
  <c r="L2473" i="23"/>
  <c r="N153" i="23"/>
  <c r="L153" i="23"/>
  <c r="N2293" i="23"/>
  <c r="L2293" i="23"/>
  <c r="L3123" i="23"/>
  <c r="A3123" i="23"/>
  <c r="M72" i="23"/>
  <c r="L72" i="23"/>
  <c r="O72" i="23"/>
  <c r="A1182" i="23"/>
  <c r="N1182" i="23"/>
  <c r="A912" i="23"/>
  <c r="N912" i="23"/>
  <c r="L912" i="23"/>
  <c r="O912" i="23"/>
  <c r="M912" i="23"/>
  <c r="O1120" i="23"/>
  <c r="A1120" i="23"/>
  <c r="G1121" i="23"/>
  <c r="M1120" i="23"/>
  <c r="A3280" i="23"/>
  <c r="L3280" i="23"/>
  <c r="G796" i="23"/>
  <c r="N796" i="23" s="1"/>
  <c r="A788" i="23"/>
  <c r="A789" i="23" s="1"/>
  <c r="G795" i="23"/>
  <c r="O788" i="23"/>
  <c r="G792" i="23"/>
  <c r="G794" i="23"/>
  <c r="G793" i="23"/>
  <c r="L2469" i="23"/>
  <c r="A2469" i="23"/>
  <c r="A1412" i="23"/>
  <c r="L1412" i="23"/>
  <c r="O1362" i="23"/>
  <c r="N2937" i="23"/>
  <c r="A456" i="23"/>
  <c r="O212" i="23"/>
  <c r="O402" i="23"/>
  <c r="L1413" i="23"/>
  <c r="A1413" i="23"/>
  <c r="O398" i="23"/>
  <c r="O2705" i="23"/>
  <c r="M2705" i="23"/>
  <c r="N203" i="23"/>
  <c r="A203" i="23"/>
  <c r="A2665" i="23"/>
  <c r="A596" i="23"/>
  <c r="N1316" i="23"/>
  <c r="M1388" i="23"/>
  <c r="L2665" i="23"/>
  <c r="C2396" i="23"/>
  <c r="C2398" i="23" s="1"/>
  <c r="C2400" i="23" s="1"/>
  <c r="M188" i="23"/>
  <c r="A649" i="23"/>
  <c r="L2597" i="23"/>
  <c r="M203" i="23"/>
  <c r="A188" i="23"/>
  <c r="L203" i="23"/>
  <c r="A2415" i="23"/>
  <c r="O2415" i="23"/>
  <c r="O646" i="23"/>
  <c r="M646" i="23"/>
  <c r="L646" i="23"/>
  <c r="A646" i="23"/>
  <c r="G647" i="23"/>
  <c r="N646" i="23"/>
  <c r="A1138" i="23"/>
  <c r="M1138" i="23"/>
  <c r="N1308" i="23"/>
  <c r="L40" i="23"/>
  <c r="A40" i="23"/>
  <c r="N40" i="23"/>
  <c r="M40" i="23"/>
  <c r="O40" i="23"/>
  <c r="G41" i="23"/>
  <c r="A3473" i="23"/>
  <c r="N3473" i="23"/>
  <c r="A1393" i="23"/>
  <c r="M1393" i="23"/>
  <c r="O1393" i="23"/>
  <c r="L1393" i="23"/>
  <c r="M1391" i="23"/>
  <c r="A1391" i="23"/>
  <c r="O1391" i="23"/>
  <c r="G1398" i="23"/>
  <c r="L1391" i="23"/>
  <c r="G167" i="23"/>
  <c r="O167" i="23" s="1"/>
  <c r="M155" i="23"/>
  <c r="N1394" i="23"/>
  <c r="A1183" i="23"/>
  <c r="A150" i="23"/>
  <c r="A198" i="23"/>
  <c r="M1146" i="23"/>
  <c r="O1146" i="23"/>
  <c r="A199" i="23"/>
  <c r="N2705" i="23"/>
  <c r="O1166" i="23"/>
  <c r="N1167" i="23"/>
  <c r="M3555" i="23"/>
  <c r="O1308" i="23"/>
  <c r="O1138" i="23"/>
  <c r="N2244" i="23"/>
  <c r="O2244" i="23"/>
  <c r="M398" i="23"/>
  <c r="A2705" i="23"/>
  <c r="M1316" i="23"/>
  <c r="M3473" i="23"/>
  <c r="O2937" i="23"/>
  <c r="M2597" i="23"/>
  <c r="A2445" i="23"/>
  <c r="L2445" i="23"/>
  <c r="L649" i="23"/>
  <c r="N649" i="23"/>
  <c r="O1137" i="23"/>
  <c r="M1137" i="23"/>
  <c r="L1137" i="23"/>
  <c r="A1137" i="23"/>
  <c r="A3339" i="23"/>
  <c r="A2549" i="23"/>
  <c r="A2550" i="23" s="1"/>
  <c r="G2562" i="23"/>
  <c r="N2562" i="23" s="1"/>
  <c r="G2557" i="23"/>
  <c r="N2557" i="23" s="1"/>
  <c r="G2556" i="23"/>
  <c r="N2556" i="23" s="1"/>
  <c r="G2555" i="23"/>
  <c r="N2555" i="23" s="1"/>
  <c r="A1395" i="23"/>
  <c r="N1395" i="23"/>
  <c r="L1395" i="23"/>
  <c r="M1395" i="23"/>
  <c r="O1395" i="23"/>
  <c r="M1362" i="23"/>
  <c r="L3473" i="23"/>
  <c r="O2597" i="23"/>
  <c r="M2444" i="23"/>
  <c r="O2444" i="23"/>
  <c r="L2444" i="23"/>
  <c r="A2444" i="23"/>
  <c r="N2939" i="23"/>
  <c r="O2939" i="23"/>
  <c r="M2939" i="23"/>
  <c r="L2939" i="23"/>
  <c r="A2939" i="23"/>
  <c r="N639" i="23"/>
  <c r="O639" i="23"/>
  <c r="L639" i="23"/>
  <c r="A639" i="23"/>
  <c r="M639" i="23"/>
  <c r="M1320" i="23"/>
  <c r="L1320" i="23"/>
  <c r="O1320" i="23"/>
  <c r="A1320" i="23"/>
  <c r="N1320" i="23"/>
  <c r="G1321" i="23"/>
  <c r="O1135" i="23"/>
  <c r="A1135" i="23"/>
  <c r="L1135" i="23"/>
  <c r="M1135" i="23"/>
  <c r="M3341" i="23"/>
  <c r="L3341" i="23"/>
  <c r="N3553" i="23"/>
  <c r="O3553" i="23"/>
  <c r="L3541" i="23"/>
  <c r="A3541" i="23"/>
  <c r="N3541" i="23"/>
  <c r="M125" i="23"/>
  <c r="L125" i="23"/>
  <c r="G1652" i="23"/>
  <c r="M1651" i="23"/>
  <c r="A1651" i="23"/>
  <c r="G1653" i="23"/>
  <c r="O1397" i="23"/>
  <c r="L1397" i="23"/>
  <c r="A1397" i="23"/>
  <c r="M1383" i="23"/>
  <c r="L1383" i="23"/>
  <c r="L1183" i="23"/>
  <c r="M199" i="23"/>
  <c r="L1166" i="23"/>
  <c r="L3553" i="23"/>
  <c r="L1362" i="23"/>
  <c r="N1362" i="23"/>
  <c r="L1651" i="23"/>
  <c r="O1383" i="23"/>
  <c r="L2244" i="23"/>
  <c r="A398" i="23"/>
  <c r="A399" i="23" s="1"/>
  <c r="N1397" i="23"/>
  <c r="A1383" i="23"/>
  <c r="O3473" i="23"/>
  <c r="A3341" i="23"/>
  <c r="N2597" i="23"/>
  <c r="N3341" i="23"/>
  <c r="A1316" i="23"/>
  <c r="O1194" i="23"/>
  <c r="A1194" i="23"/>
  <c r="A642" i="23"/>
  <c r="N642" i="23"/>
  <c r="M642" i="23"/>
  <c r="L642" i="23"/>
  <c r="G651" i="23"/>
  <c r="O642" i="23"/>
  <c r="N650" i="23"/>
  <c r="O650" i="23"/>
  <c r="A650" i="23"/>
  <c r="N152" i="23"/>
  <c r="M152" i="23"/>
  <c r="O152" i="23"/>
  <c r="L152" i="23"/>
  <c r="A152" i="23"/>
  <c r="A1139" i="23"/>
  <c r="N1139" i="23"/>
  <c r="O1139" i="23"/>
  <c r="A2699" i="23"/>
  <c r="N2699" i="23"/>
  <c r="L2699" i="23"/>
  <c r="M2699" i="23"/>
  <c r="O2699" i="23"/>
  <c r="L1147" i="23"/>
  <c r="N1147" i="23"/>
  <c r="L3542" i="23"/>
  <c r="M3542" i="23"/>
  <c r="A3542" i="23"/>
  <c r="N3542" i="23"/>
  <c r="O3542" i="23"/>
  <c r="L2497" i="23"/>
  <c r="A2497" i="23"/>
  <c r="O2497" i="23"/>
  <c r="M2497" i="23"/>
  <c r="O1392" i="23"/>
  <c r="A1392" i="23"/>
  <c r="L1392" i="23"/>
  <c r="M1392" i="23"/>
  <c r="G1480" i="23"/>
  <c r="G1476" i="23"/>
  <c r="G1479" i="23"/>
  <c r="G1477" i="23"/>
  <c r="G333" i="23"/>
  <c r="N323" i="23"/>
  <c r="M323" i="23"/>
  <c r="G374" i="23"/>
  <c r="G332" i="23"/>
  <c r="C311" i="23"/>
  <c r="C312" i="23" s="1"/>
  <c r="G325" i="23"/>
  <c r="G330" i="23"/>
  <c r="L323" i="23"/>
  <c r="G345" i="23"/>
  <c r="A323" i="23"/>
  <c r="A324" i="23" s="1"/>
  <c r="O323" i="23"/>
  <c r="G327" i="23"/>
  <c r="G331" i="23"/>
  <c r="A296" i="23"/>
  <c r="A297" i="23" s="1"/>
  <c r="A298" i="23" s="1"/>
  <c r="A299" i="23" s="1"/>
  <c r="A309" i="23"/>
  <c r="A310" i="23" s="1"/>
  <c r="A375" i="23"/>
  <c r="L312" i="23"/>
  <c r="A312" i="23"/>
  <c r="A313" i="23" s="1"/>
  <c r="M312" i="23"/>
  <c r="G314" i="23"/>
  <c r="O312" i="23"/>
  <c r="N312" i="23"/>
  <c r="G317" i="23"/>
  <c r="N2298" i="23"/>
  <c r="M2298" i="23"/>
  <c r="A2298" i="23"/>
  <c r="A2299" i="23" s="1"/>
  <c r="G2301" i="23"/>
  <c r="L2298" i="23"/>
  <c r="G2300" i="23"/>
  <c r="G2302" i="23"/>
  <c r="O2298" i="23"/>
  <c r="N2256" i="23"/>
  <c r="O2256" i="23"/>
  <c r="M2256" i="23"/>
  <c r="A2256" i="23"/>
  <c r="L2256" i="23"/>
  <c r="A2247" i="23"/>
  <c r="N2247" i="23"/>
  <c r="M2247" i="23"/>
  <c r="L2247" i="23"/>
  <c r="O2247" i="23"/>
  <c r="M2333" i="23"/>
  <c r="L2333" i="23"/>
  <c r="A2333" i="23"/>
  <c r="A2334" i="23" s="1"/>
  <c r="G2335" i="23"/>
  <c r="G2338" i="23" s="1"/>
  <c r="O2333" i="23"/>
  <c r="G2364" i="23"/>
  <c r="G2374" i="23" s="1"/>
  <c r="N2333" i="23"/>
  <c r="G2323" i="23"/>
  <c r="G2309" i="23"/>
  <c r="G2307" i="23"/>
  <c r="G2313" i="23"/>
  <c r="G2315" i="23" s="1"/>
  <c r="G2317" i="23"/>
  <c r="L2304" i="23"/>
  <c r="G2319" i="23"/>
  <c r="G2310" i="23"/>
  <c r="G2306" i="23"/>
  <c r="O2304" i="23"/>
  <c r="G2308" i="23"/>
  <c r="G2320" i="23"/>
  <c r="A2304" i="23"/>
  <c r="A2305" i="23" s="1"/>
  <c r="N2304" i="23"/>
  <c r="M2304" i="23"/>
  <c r="G2312" i="23"/>
  <c r="G2816" i="23"/>
  <c r="C2807" i="23"/>
  <c r="A2807" i="23"/>
  <c r="G2808" i="23"/>
  <c r="L2797" i="23"/>
  <c r="N2797" i="23"/>
  <c r="M2797" i="23"/>
  <c r="A2797" i="23"/>
  <c r="O2797" i="23"/>
  <c r="A2801" i="23"/>
  <c r="A2925" i="23"/>
  <c r="A2789" i="23"/>
  <c r="A2802" i="23"/>
  <c r="A2790" i="23"/>
  <c r="A2791" i="23" s="1"/>
  <c r="A2792" i="23" s="1"/>
  <c r="M483" i="23"/>
  <c r="A483" i="23"/>
  <c r="O483" i="23"/>
  <c r="N483" i="23"/>
  <c r="L483" i="23"/>
  <c r="M863" i="23"/>
  <c r="A863" i="23"/>
  <c r="N863" i="23"/>
  <c r="L863" i="23"/>
  <c r="O863" i="23"/>
  <c r="L2667" i="23"/>
  <c r="M2667" i="23"/>
  <c r="O2667" i="23"/>
  <c r="A2667" i="23"/>
  <c r="N356" i="23"/>
  <c r="G370" i="23"/>
  <c r="G366" i="23"/>
  <c r="A356" i="23"/>
  <c r="A357" i="23" s="1"/>
  <c r="L356" i="23"/>
  <c r="G360" i="23"/>
  <c r="G369" i="23"/>
  <c r="O356" i="23"/>
  <c r="M356" i="23"/>
  <c r="G359" i="23"/>
  <c r="G358" i="23"/>
  <c r="G368" i="23"/>
  <c r="G365" i="23"/>
  <c r="G367" i="23"/>
  <c r="G361" i="23"/>
  <c r="G371" i="23"/>
  <c r="G2327" i="23"/>
  <c r="A2253" i="23"/>
  <c r="L2253" i="23"/>
  <c r="M2253" i="23"/>
  <c r="O2253" i="23"/>
  <c r="N2253" i="23"/>
  <c r="M2248" i="23"/>
  <c r="L2248" i="23"/>
  <c r="O2248" i="23"/>
  <c r="A2248" i="23"/>
  <c r="N2248" i="23"/>
  <c r="G2291" i="23"/>
  <c r="G2290" i="23"/>
  <c r="M2287" i="23"/>
  <c r="G2292" i="23"/>
  <c r="N2287" i="23"/>
  <c r="G2289" i="23"/>
  <c r="A2287" i="23"/>
  <c r="A2288" i="23" s="1"/>
  <c r="O2287" i="23"/>
  <c r="L2287" i="23"/>
  <c r="N2254" i="23"/>
  <c r="A2254" i="23"/>
  <c r="L2254" i="23"/>
  <c r="O2254" i="23"/>
  <c r="M2254" i="23"/>
  <c r="G2341" i="23"/>
  <c r="G2344" i="23" s="1"/>
  <c r="G2343" i="23"/>
  <c r="A2339" i="23"/>
  <c r="A2340" i="23" s="1"/>
  <c r="L1656" i="23"/>
  <c r="A1656" i="23"/>
  <c r="M1656" i="23"/>
  <c r="N1656" i="23"/>
  <c r="O1656" i="23"/>
  <c r="G2909" i="23"/>
  <c r="G2905" i="23"/>
  <c r="G2907" i="23"/>
  <c r="A2903" i="23"/>
  <c r="A2904" i="23" s="1"/>
  <c r="G2906" i="23"/>
  <c r="G3054" i="23"/>
  <c r="G3056" i="23" s="1"/>
  <c r="M2942" i="23"/>
  <c r="L2942" i="23"/>
  <c r="O2942" i="23"/>
  <c r="N2942" i="23"/>
  <c r="A2942" i="23"/>
  <c r="G480" i="23"/>
  <c r="A479" i="23"/>
  <c r="M479" i="23"/>
  <c r="C479" i="23"/>
  <c r="O482" i="23"/>
  <c r="N482" i="23"/>
  <c r="A482" i="23"/>
  <c r="L482" i="23"/>
  <c r="M482" i="23"/>
  <c r="L2937" i="23"/>
  <c r="O479" i="23"/>
  <c r="O3254" i="23"/>
  <c r="L2700" i="23"/>
  <c r="M2700" i="23"/>
  <c r="N2700" i="23"/>
  <c r="A2700" i="23"/>
  <c r="O2700" i="23"/>
  <c r="A301" i="23"/>
  <c r="G328" i="23"/>
  <c r="G302" i="23"/>
  <c r="G303" i="23"/>
  <c r="O303" i="23" s="1"/>
  <c r="C301" i="23"/>
  <c r="M301" i="23"/>
  <c r="N301" i="23"/>
  <c r="N304" i="23"/>
  <c r="A304" i="23"/>
  <c r="O304" i="23"/>
  <c r="L304" i="23"/>
  <c r="M304" i="23"/>
  <c r="G2349" i="23"/>
  <c r="G2347" i="23"/>
  <c r="G2350" i="23"/>
  <c r="G2352" i="23"/>
  <c r="A2345" i="23"/>
  <c r="A2346" i="23" s="1"/>
  <c r="G2348" i="23"/>
  <c r="G2354" i="23"/>
  <c r="A2244" i="23"/>
  <c r="G2245" i="23"/>
  <c r="C2244" i="23"/>
  <c r="G2246" i="23"/>
  <c r="G2860" i="23"/>
  <c r="O2852" i="23"/>
  <c r="G2861" i="23"/>
  <c r="G2854" i="23"/>
  <c r="N2852" i="23"/>
  <c r="G2857" i="23"/>
  <c r="G2856" i="23"/>
  <c r="G2855" i="23"/>
  <c r="G2864" i="23"/>
  <c r="L2852" i="23"/>
  <c r="G2859" i="23"/>
  <c r="A2852" i="23"/>
  <c r="A2853" i="23" s="1"/>
  <c r="M2852" i="23"/>
  <c r="N479" i="23"/>
  <c r="G3039" i="23"/>
  <c r="G3044" i="23" s="1"/>
  <c r="G3033" i="23"/>
  <c r="G3032" i="23"/>
  <c r="G3036" i="23"/>
  <c r="G3034" i="23"/>
  <c r="A3030" i="23"/>
  <c r="A3031" i="23" s="1"/>
  <c r="G553" i="23"/>
  <c r="O542" i="23"/>
  <c r="A542" i="23"/>
  <c r="A543" i="23" s="1"/>
  <c r="B548" i="23"/>
  <c r="G557" i="23"/>
  <c r="G546" i="23"/>
  <c r="G556" i="23"/>
  <c r="G552" i="23"/>
  <c r="G551" i="23"/>
  <c r="G555" i="23"/>
  <c r="N542" i="23"/>
  <c r="L542" i="23"/>
  <c r="M542" i="23"/>
  <c r="L501" i="23"/>
  <c r="G560" i="23"/>
  <c r="G503" i="23"/>
  <c r="C489" i="23"/>
  <c r="C490" i="23" s="1"/>
  <c r="O501" i="23"/>
  <c r="G509" i="23"/>
  <c r="G525" i="23" s="1"/>
  <c r="G526" i="23" s="1"/>
  <c r="N501" i="23"/>
  <c r="G504" i="23"/>
  <c r="G507" i="23" s="1"/>
  <c r="M501" i="23"/>
  <c r="A501" i="23"/>
  <c r="A502" i="23" s="1"/>
  <c r="G527" i="23"/>
  <c r="G531" i="23" s="1"/>
  <c r="L3253" i="23"/>
  <c r="L301" i="23"/>
  <c r="N2416" i="23"/>
  <c r="L2416" i="23"/>
  <c r="A2416" i="23"/>
  <c r="M2416" i="23"/>
  <c r="M2937" i="23"/>
  <c r="L398" i="23"/>
  <c r="C398" i="23"/>
  <c r="C404" i="23" s="1"/>
  <c r="C413" i="23" s="1"/>
  <c r="C431" i="23" s="1"/>
  <c r="C436" i="23" s="1"/>
  <c r="C446" i="23" s="1"/>
  <c r="C471" i="23" s="1"/>
  <c r="O301" i="23"/>
  <c r="M1013" i="23"/>
  <c r="N1013" i="23"/>
  <c r="N1014" i="23" s="1"/>
  <c r="L1013" i="23"/>
  <c r="L1014" i="23" s="1"/>
  <c r="O1013" i="23"/>
  <c r="O1014" i="23" s="1"/>
  <c r="C3428" i="23"/>
  <c r="C3435" i="23" s="1"/>
  <c r="C3442" i="23" s="1"/>
  <c r="C3450" i="23" s="1"/>
  <c r="C3458" i="23" s="1"/>
  <c r="C3471" i="23" s="1"/>
  <c r="C3475" i="23" s="1"/>
  <c r="C3485" i="23" s="1"/>
  <c r="C3494" i="23" s="1"/>
  <c r="C3506" i="23" s="1"/>
  <c r="C3516" i="23" s="1"/>
  <c r="C3520" i="23" s="1"/>
  <c r="C3535" i="23" s="1"/>
  <c r="M305" i="23"/>
  <c r="G306" i="23"/>
  <c r="O305" i="23"/>
  <c r="N305" i="23"/>
  <c r="A305" i="23"/>
  <c r="L305" i="23"/>
  <c r="N311" i="23"/>
  <c r="L311" i="23"/>
  <c r="M311" i="23"/>
  <c r="A311" i="23"/>
  <c r="O311" i="23"/>
  <c r="O364" i="23"/>
  <c r="L364" i="23"/>
  <c r="N364" i="23"/>
  <c r="M364" i="23"/>
  <c r="A364" i="23"/>
  <c r="G2267" i="23"/>
  <c r="C2259" i="23"/>
  <c r="G2260" i="23"/>
  <c r="A2259" i="23"/>
  <c r="O2255" i="23"/>
  <c r="L2255" i="23"/>
  <c r="A2255" i="23"/>
  <c r="M2255" i="23"/>
  <c r="N2255" i="23"/>
  <c r="A2889" i="23"/>
  <c r="A2890" i="23" s="1"/>
  <c r="G2896" i="23"/>
  <c r="G2894" i="23"/>
  <c r="G2880" i="23"/>
  <c r="G2902" i="23"/>
  <c r="G2895" i="23"/>
  <c r="G2897" i="23"/>
  <c r="G2893" i="23"/>
  <c r="N2799" i="23"/>
  <c r="L2799" i="23"/>
  <c r="A2799" i="23"/>
  <c r="M2799" i="23"/>
  <c r="O2799" i="23"/>
  <c r="L2982" i="23"/>
  <c r="O2982" i="23"/>
  <c r="A2982" i="23"/>
  <c r="A2983" i="23" s="1"/>
  <c r="G2984" i="23"/>
  <c r="N2982" i="23"/>
  <c r="M2982" i="23"/>
  <c r="G2989" i="23"/>
  <c r="G2990" i="23"/>
  <c r="G2985" i="23"/>
  <c r="G2991" i="23"/>
  <c r="G2986" i="23"/>
  <c r="G2987" i="23"/>
  <c r="M490" i="23"/>
  <c r="L490" i="23"/>
  <c r="A490" i="23"/>
  <c r="A491" i="23" s="1"/>
  <c r="O490" i="23"/>
  <c r="N490" i="23"/>
  <c r="G495" i="23"/>
  <c r="G492" i="23"/>
  <c r="A3336" i="23"/>
  <c r="L3250" i="23"/>
  <c r="O3250" i="23"/>
  <c r="G3251" i="23"/>
  <c r="A3250" i="23"/>
  <c r="N3250" i="23"/>
  <c r="M3250" i="23"/>
  <c r="G3252" i="23"/>
  <c r="N212" i="23"/>
  <c r="M2665" i="23"/>
  <c r="M644" i="49"/>
  <c r="L644" i="49"/>
  <c r="N644" i="49"/>
  <c r="A644" i="49"/>
  <c r="O644" i="49"/>
  <c r="S2283" i="1"/>
  <c r="T2283" i="1"/>
  <c r="H2283" i="1"/>
  <c r="S2295" i="1"/>
  <c r="H2125" i="1"/>
  <c r="T2295" i="1"/>
  <c r="U2283" i="1"/>
  <c r="K2295" i="1"/>
  <c r="K2283" i="1"/>
  <c r="U2295" i="1"/>
  <c r="T1847" i="1"/>
  <c r="U1847" i="1"/>
  <c r="M86" i="1"/>
  <c r="M91" i="1"/>
  <c r="M85" i="1"/>
  <c r="M154" i="1"/>
  <c r="M168" i="1"/>
  <c r="M92" i="1"/>
  <c r="M87" i="1"/>
  <c r="M165" i="1"/>
  <c r="M156" i="1"/>
  <c r="M160" i="1"/>
  <c r="M157" i="1"/>
  <c r="M84" i="1"/>
  <c r="M89" i="1"/>
  <c r="M88" i="1"/>
  <c r="M162" i="1"/>
  <c r="M153" i="1"/>
  <c r="M99" i="1"/>
  <c r="M161" i="1"/>
  <c r="M159" i="1"/>
  <c r="M158" i="1"/>
  <c r="M101" i="1"/>
  <c r="M172" i="1"/>
  <c r="M171" i="1"/>
  <c r="U2125" i="1"/>
  <c r="M166" i="1"/>
  <c r="M167" i="1"/>
  <c r="M170" i="1"/>
  <c r="M164" i="1"/>
  <c r="M94" i="1"/>
  <c r="M98" i="1"/>
  <c r="M100" i="1"/>
  <c r="M97" i="1"/>
  <c r="M102" i="1"/>
  <c r="M96" i="1"/>
  <c r="M82" i="1"/>
  <c r="G2014" i="1"/>
  <c r="G2006" i="1" s="1"/>
  <c r="M79" i="1"/>
  <c r="M81" i="1"/>
  <c r="L1519" i="23"/>
  <c r="A29" i="49"/>
  <c r="I1156" i="1"/>
  <c r="I1158" i="1"/>
  <c r="I1155" i="1"/>
  <c r="I1157" i="1"/>
  <c r="M248" i="49"/>
  <c r="L248" i="49"/>
  <c r="N248" i="49"/>
  <c r="O248" i="49"/>
  <c r="O492" i="1"/>
  <c r="O491" i="1"/>
  <c r="O490" i="1"/>
  <c r="O489" i="1"/>
  <c r="O495" i="1"/>
  <c r="O494" i="1"/>
  <c r="O493" i="1"/>
  <c r="O514" i="1"/>
  <c r="O520" i="1"/>
  <c r="O519" i="1"/>
  <c r="O516" i="1"/>
  <c r="O521" i="1"/>
  <c r="O517" i="1"/>
  <c r="O518" i="1"/>
  <c r="O515" i="1"/>
  <c r="I1134" i="1"/>
  <c r="I1136" i="1"/>
  <c r="I1135" i="1"/>
  <c r="I1133" i="1"/>
  <c r="T1855" i="1"/>
  <c r="C1855" i="1"/>
  <c r="S1855" i="1"/>
  <c r="U1855" i="1"/>
  <c r="H1855" i="1"/>
  <c r="L1855" i="1" s="1"/>
  <c r="O509" i="49"/>
  <c r="M509" i="49"/>
  <c r="A509" i="49"/>
  <c r="G512" i="49"/>
  <c r="L509" i="49"/>
  <c r="N509" i="49"/>
  <c r="O505" i="49"/>
  <c r="G513" i="49"/>
  <c r="L505" i="49"/>
  <c r="N505" i="49"/>
  <c r="M505" i="49"/>
  <c r="A505" i="49"/>
  <c r="G1478" i="1"/>
  <c r="G1671" i="1"/>
  <c r="G32" i="49"/>
  <c r="L483" i="49"/>
  <c r="A483" i="49"/>
  <c r="O483" i="49"/>
  <c r="M483" i="49"/>
  <c r="N483" i="49"/>
  <c r="M250" i="49"/>
  <c r="L250" i="49"/>
  <c r="N250" i="49"/>
  <c r="O250" i="49"/>
  <c r="G247" i="49"/>
  <c r="A247" i="49" s="1"/>
  <c r="M252" i="49"/>
  <c r="G245" i="49"/>
  <c r="A245" i="49" s="1"/>
  <c r="O252" i="49"/>
  <c r="L252" i="49"/>
  <c r="G246" i="49"/>
  <c r="A246" i="49" s="1"/>
  <c r="O450" i="1"/>
  <c r="O452" i="1"/>
  <c r="O454" i="1"/>
  <c r="O453" i="1"/>
  <c r="O451" i="1"/>
  <c r="O469" i="1"/>
  <c r="O473" i="1"/>
  <c r="O470" i="1"/>
  <c r="O467" i="1"/>
  <c r="O472" i="1"/>
  <c r="O466" i="1"/>
  <c r="O468" i="1"/>
  <c r="O471" i="1"/>
  <c r="O476" i="1"/>
  <c r="O474" i="1"/>
  <c r="O465" i="1"/>
  <c r="O479" i="1"/>
  <c r="O464" i="1"/>
  <c r="O475" i="1"/>
  <c r="I1236" i="1"/>
  <c r="I1242" i="1"/>
  <c r="I1239" i="1"/>
  <c r="I1196" i="1"/>
  <c r="I1228" i="1"/>
  <c r="I1237" i="1"/>
  <c r="I1204" i="1"/>
  <c r="I1234" i="1"/>
  <c r="I1244" i="1"/>
  <c r="I1205" i="1"/>
  <c r="I1206" i="1"/>
  <c r="I1235" i="1"/>
  <c r="I1197" i="1"/>
  <c r="I1221" i="1"/>
  <c r="I1200" i="1"/>
  <c r="I1212" i="1"/>
  <c r="I1222" i="1"/>
  <c r="I1233" i="1"/>
  <c r="I1199" i="1"/>
  <c r="I1220" i="1"/>
  <c r="I1238" i="1"/>
  <c r="I1243" i="1"/>
  <c r="I1240" i="1"/>
  <c r="I1241" i="1"/>
  <c r="I1219" i="1"/>
  <c r="I1203" i="1"/>
  <c r="I1198" i="1"/>
  <c r="I1194" i="1"/>
  <c r="I1191" i="1"/>
  <c r="I1190" i="1"/>
  <c r="I1193" i="1"/>
  <c r="I1192" i="1"/>
  <c r="O510" i="49"/>
  <c r="A510" i="49"/>
  <c r="L510" i="49"/>
  <c r="M510" i="49"/>
  <c r="N510" i="49"/>
  <c r="O514" i="49"/>
  <c r="N514" i="49"/>
  <c r="M514" i="49"/>
  <c r="L514" i="49"/>
  <c r="A514" i="49"/>
  <c r="N506" i="49"/>
  <c r="M506" i="49"/>
  <c r="L506" i="49"/>
  <c r="A506" i="49"/>
  <c r="O506" i="49"/>
  <c r="J307" i="1"/>
  <c r="J310" i="1"/>
  <c r="J302" i="1"/>
  <c r="J311" i="1"/>
  <c r="J309" i="1"/>
  <c r="J306" i="1"/>
  <c r="J303" i="1"/>
  <c r="J301" i="1"/>
  <c r="J308" i="1"/>
  <c r="T1825" i="1"/>
  <c r="S1825" i="1"/>
  <c r="U1825" i="1"/>
  <c r="C1825" i="1"/>
  <c r="H1825" i="1"/>
  <c r="L1825" i="1" s="1"/>
  <c r="N423" i="49"/>
  <c r="O423" i="49"/>
  <c r="L423" i="49"/>
  <c r="M423" i="49"/>
  <c r="A423" i="49"/>
  <c r="G1661" i="1"/>
  <c r="G1461" i="1"/>
  <c r="U1461" i="1" s="1"/>
  <c r="I1164" i="1"/>
  <c r="I1160" i="1"/>
  <c r="I1163" i="1"/>
  <c r="I1162" i="1"/>
  <c r="I1161" i="1"/>
  <c r="G224" i="49"/>
  <c r="A224" i="49" s="1"/>
  <c r="O221" i="49"/>
  <c r="L221" i="49"/>
  <c r="G229" i="49"/>
  <c r="A229" i="49" s="1"/>
  <c r="G225" i="49"/>
  <c r="A225" i="49" s="1"/>
  <c r="G230" i="49"/>
  <c r="A230" i="49" s="1"/>
  <c r="G226" i="49"/>
  <c r="A226" i="49" s="1"/>
  <c r="N221" i="49"/>
  <c r="M221" i="49"/>
  <c r="G223" i="49"/>
  <c r="A223" i="49" s="1"/>
  <c r="O481" i="1"/>
  <c r="O483" i="1"/>
  <c r="O486" i="1"/>
  <c r="O477" i="1"/>
  <c r="O485" i="1"/>
  <c r="O484" i="1"/>
  <c r="O478" i="1"/>
  <c r="O487" i="1"/>
  <c r="O482" i="1"/>
  <c r="O505" i="1"/>
  <c r="O508" i="1"/>
  <c r="O500" i="1"/>
  <c r="O503" i="1"/>
  <c r="O506" i="1"/>
  <c r="O510" i="1"/>
  <c r="O501" i="1"/>
  <c r="O504" i="1"/>
  <c r="O507" i="1"/>
  <c r="O499" i="1"/>
  <c r="O502" i="1"/>
  <c r="O511" i="1"/>
  <c r="O498" i="1"/>
  <c r="O512" i="1"/>
  <c r="O509" i="1"/>
  <c r="O497" i="1"/>
  <c r="I1168" i="1"/>
  <c r="I1166" i="1"/>
  <c r="I1170" i="1"/>
  <c r="I1169" i="1"/>
  <c r="I1167" i="1"/>
  <c r="M507" i="49"/>
  <c r="A507" i="49"/>
  <c r="L507" i="49"/>
  <c r="N507" i="49"/>
  <c r="O507" i="49"/>
  <c r="L511" i="49"/>
  <c r="M511" i="49"/>
  <c r="O511" i="49"/>
  <c r="N511" i="49"/>
  <c r="A511" i="49"/>
  <c r="U1826" i="1"/>
  <c r="T1826" i="1"/>
  <c r="S1826" i="1"/>
  <c r="H1826" i="1"/>
  <c r="L1826" i="1" s="1"/>
  <c r="C1826" i="1"/>
  <c r="J356" i="1"/>
  <c r="J349" i="1"/>
  <c r="J350" i="1"/>
  <c r="J355" i="1"/>
  <c r="J351" i="1"/>
  <c r="J357" i="1"/>
  <c r="J354" i="1"/>
  <c r="J352" i="1"/>
  <c r="J353" i="1"/>
  <c r="I1179" i="1"/>
  <c r="I1182" i="1"/>
  <c r="I1178" i="1"/>
  <c r="I1180" i="1"/>
  <c r="I1181" i="1"/>
  <c r="I1188" i="1"/>
  <c r="I1185" i="1"/>
  <c r="I1184" i="1"/>
  <c r="I1186" i="1"/>
  <c r="I1187" i="1"/>
  <c r="M481" i="49"/>
  <c r="O481" i="49"/>
  <c r="L481" i="49"/>
  <c r="A481" i="49"/>
  <c r="N481" i="49"/>
  <c r="A482" i="49"/>
  <c r="L482" i="49"/>
  <c r="N482" i="49"/>
  <c r="O482" i="49"/>
  <c r="M482" i="49"/>
  <c r="M251" i="49"/>
  <c r="L251" i="49"/>
  <c r="O251" i="49"/>
  <c r="L249" i="49"/>
  <c r="O249" i="49"/>
  <c r="M249" i="49"/>
  <c r="N249" i="49"/>
  <c r="O456" i="1"/>
  <c r="O457" i="1"/>
  <c r="O461" i="1"/>
  <c r="O459" i="1"/>
  <c r="O460" i="1"/>
  <c r="O462" i="1"/>
  <c r="O458" i="1"/>
  <c r="I1175" i="1"/>
  <c r="I1172" i="1"/>
  <c r="I1174" i="1"/>
  <c r="I1173" i="1"/>
  <c r="I1176" i="1"/>
  <c r="O508" i="49"/>
  <c r="L508" i="49"/>
  <c r="M508" i="49"/>
  <c r="A508" i="49"/>
  <c r="N508" i="49"/>
  <c r="J1199" i="1"/>
  <c r="J1196" i="1"/>
  <c r="J1200" i="1"/>
  <c r="J1197" i="1"/>
  <c r="J1198" i="1"/>
  <c r="C2185" i="1"/>
  <c r="G2223" i="1"/>
  <c r="H2185" i="1"/>
  <c r="T2185" i="1"/>
  <c r="S2185" i="1"/>
  <c r="U2185" i="1"/>
  <c r="M435" i="49"/>
  <c r="A435" i="49"/>
  <c r="N435" i="49"/>
  <c r="L435" i="49"/>
  <c r="O435" i="49"/>
  <c r="L425" i="49"/>
  <c r="A425" i="49"/>
  <c r="N425" i="49"/>
  <c r="O425" i="49"/>
  <c r="M425" i="49"/>
  <c r="O1095" i="23"/>
  <c r="N1095" i="23"/>
  <c r="M580" i="49"/>
  <c r="A580" i="49"/>
  <c r="L580" i="49"/>
  <c r="N580" i="49"/>
  <c r="O580" i="49"/>
  <c r="M84" i="49"/>
  <c r="L84" i="49"/>
  <c r="O84" i="49"/>
  <c r="N84" i="49"/>
  <c r="J1620" i="1"/>
  <c r="H1620" i="1"/>
  <c r="T1620" i="1"/>
  <c r="S1620" i="1"/>
  <c r="O456" i="23"/>
  <c r="L456" i="23"/>
  <c r="N456" i="23"/>
  <c r="J151" i="1"/>
  <c r="J150" i="1"/>
  <c r="J149" i="1"/>
  <c r="J148" i="1"/>
  <c r="N714" i="49"/>
  <c r="M714" i="49"/>
  <c r="A714" i="49"/>
  <c r="L714" i="49"/>
  <c r="O714" i="49"/>
  <c r="L648" i="23"/>
  <c r="M648" i="23"/>
  <c r="N648" i="23"/>
  <c r="O648" i="23"/>
  <c r="A648" i="23"/>
  <c r="J706" i="1"/>
  <c r="J708" i="1"/>
  <c r="J705" i="1"/>
  <c r="J704" i="1"/>
  <c r="J707" i="1"/>
  <c r="J80" i="1"/>
  <c r="J81" i="1"/>
  <c r="J82" i="1"/>
  <c r="J79" i="1"/>
  <c r="AD68" i="2"/>
  <c r="AD69" i="2"/>
  <c r="L638" i="23"/>
  <c r="G652" i="23"/>
  <c r="N638" i="23"/>
  <c r="M638" i="23"/>
  <c r="A638" i="23"/>
  <c r="O638" i="23"/>
  <c r="J1621" i="1"/>
  <c r="U1621" i="1"/>
  <c r="H1621" i="1"/>
  <c r="T1621" i="1"/>
  <c r="S1621" i="1"/>
  <c r="M81" i="49"/>
  <c r="O81" i="49"/>
  <c r="L81" i="49"/>
  <c r="N81" i="49"/>
  <c r="M640" i="23"/>
  <c r="G641" i="23"/>
  <c r="A640" i="23"/>
  <c r="L640" i="23"/>
  <c r="N640" i="23"/>
  <c r="O640" i="23"/>
  <c r="A657" i="49"/>
  <c r="N657" i="49"/>
  <c r="M657" i="49"/>
  <c r="O657" i="49"/>
  <c r="L657" i="49"/>
  <c r="J736" i="1"/>
  <c r="J732" i="1"/>
  <c r="J733" i="1"/>
  <c r="J735" i="1"/>
  <c r="J734" i="1"/>
  <c r="S2269" i="1"/>
  <c r="U2269" i="1"/>
  <c r="H2269" i="1"/>
  <c r="K2269" i="1"/>
  <c r="T2269" i="1"/>
  <c r="L473" i="1"/>
  <c r="L471" i="1"/>
  <c r="L467" i="1"/>
  <c r="L470" i="1"/>
  <c r="L468" i="1"/>
  <c r="L466" i="1"/>
  <c r="L469" i="1"/>
  <c r="G1498" i="23"/>
  <c r="G1497" i="23"/>
  <c r="G1502" i="23"/>
  <c r="G1501" i="23"/>
  <c r="A1484" i="23"/>
  <c r="A1485" i="23" s="1"/>
  <c r="G1499" i="23"/>
  <c r="G1503" i="23"/>
  <c r="G1500" i="23"/>
  <c r="G1488" i="23"/>
  <c r="M1457" i="23"/>
  <c r="L1457" i="23"/>
  <c r="N1457" i="23"/>
  <c r="A1457" i="23"/>
  <c r="O1457" i="23"/>
  <c r="G1458" i="23"/>
  <c r="L1443" i="23"/>
  <c r="M1443" i="23"/>
  <c r="A1443" i="23"/>
  <c r="A1444" i="23" s="1"/>
  <c r="G1448" i="23"/>
  <c r="N1443" i="23"/>
  <c r="O1443" i="23"/>
  <c r="A1169" i="23"/>
  <c r="N1169" i="23"/>
  <c r="M1169" i="23"/>
  <c r="O1169" i="23"/>
  <c r="L1169" i="23"/>
  <c r="G1170" i="23"/>
  <c r="N596" i="23"/>
  <c r="O596" i="23"/>
  <c r="L596" i="23"/>
  <c r="O1482" i="23"/>
  <c r="G1483" i="23"/>
  <c r="A1482" i="23"/>
  <c r="N1482" i="23"/>
  <c r="M1482" i="23"/>
  <c r="L1482" i="23"/>
  <c r="N1361" i="23"/>
  <c r="A1361" i="23"/>
  <c r="O1361" i="23"/>
  <c r="L1361" i="23"/>
  <c r="M1361" i="23"/>
  <c r="N760" i="23"/>
  <c r="L760" i="23"/>
  <c r="O760" i="23"/>
  <c r="A220" i="23"/>
  <c r="M220" i="23"/>
  <c r="O220" i="23"/>
  <c r="L220" i="23"/>
  <c r="N220" i="23"/>
  <c r="M216" i="23"/>
  <c r="O216" i="23"/>
  <c r="L216" i="23"/>
  <c r="A216" i="23"/>
  <c r="N216" i="23"/>
  <c r="C220" i="23"/>
  <c r="C221" i="23" s="1"/>
  <c r="G242" i="23"/>
  <c r="O232" i="23"/>
  <c r="G234" i="23"/>
  <c r="M232" i="23"/>
  <c r="G236" i="23"/>
  <c r="G254" i="23"/>
  <c r="N232" i="23"/>
  <c r="L232" i="23"/>
  <c r="G239" i="23"/>
  <c r="G241" i="23"/>
  <c r="A232" i="23"/>
  <c r="A233" i="23" s="1"/>
  <c r="G293" i="23"/>
  <c r="L395" i="23"/>
  <c r="M395" i="23"/>
  <c r="N395" i="23"/>
  <c r="G396" i="23"/>
  <c r="G397" i="23"/>
  <c r="O395" i="23"/>
  <c r="A395" i="23"/>
  <c r="M757" i="23"/>
  <c r="O757" i="23"/>
  <c r="L757" i="23"/>
  <c r="N757" i="23"/>
  <c r="G802" i="23"/>
  <c r="A802" i="23" s="1"/>
  <c r="G800" i="23"/>
  <c r="A800" i="23" s="1"/>
  <c r="O797" i="23"/>
  <c r="G799" i="23"/>
  <c r="A799" i="23" s="1"/>
  <c r="A798" i="23" s="1"/>
  <c r="G801" i="23"/>
  <c r="A801" i="23" s="1"/>
  <c r="N797" i="23"/>
  <c r="L797" i="23"/>
  <c r="M797" i="23"/>
  <c r="G803" i="23"/>
  <c r="A803" i="23" s="1"/>
  <c r="O36" i="23"/>
  <c r="A36" i="23"/>
  <c r="N36" i="23"/>
  <c r="M36" i="23"/>
  <c r="L36" i="23"/>
  <c r="C36" i="23"/>
  <c r="G840" i="23"/>
  <c r="O834" i="23"/>
  <c r="G841" i="23"/>
  <c r="G842" i="23"/>
  <c r="L834" i="23"/>
  <c r="A834" i="23"/>
  <c r="A835" i="23" s="1"/>
  <c r="A836" i="23" s="1"/>
  <c r="A837" i="23" s="1"/>
  <c r="A838" i="23" s="1"/>
  <c r="A847" i="23" s="1"/>
  <c r="N834" i="23"/>
  <c r="M834" i="23"/>
  <c r="N759" i="23"/>
  <c r="M759" i="23"/>
  <c r="O759" i="23"/>
  <c r="L759" i="23"/>
  <c r="O283" i="23"/>
  <c r="A283" i="23"/>
  <c r="M283" i="23"/>
  <c r="L283" i="23"/>
  <c r="N283" i="23"/>
  <c r="O269" i="23"/>
  <c r="L269" i="23"/>
  <c r="M269" i="23"/>
  <c r="N269" i="23"/>
  <c r="G286" i="23"/>
  <c r="A269" i="23"/>
  <c r="A270" i="23" s="1"/>
  <c r="N217" i="23"/>
  <c r="L217" i="23"/>
  <c r="M217" i="23"/>
  <c r="A217" i="23"/>
  <c r="O217" i="23"/>
  <c r="A2295" i="23"/>
  <c r="N2295" i="23"/>
  <c r="G2297" i="23"/>
  <c r="L2295" i="23"/>
  <c r="M2295" i="23"/>
  <c r="O2295" i="23"/>
  <c r="O387" i="23"/>
  <c r="N387" i="23"/>
  <c r="M387" i="23"/>
  <c r="L387" i="23"/>
  <c r="G388" i="23"/>
  <c r="A387" i="23"/>
  <c r="L819" i="23"/>
  <c r="M819" i="23"/>
  <c r="A819" i="23"/>
  <c r="O819" i="23"/>
  <c r="G821" i="23"/>
  <c r="N819" i="23"/>
  <c r="A760" i="23"/>
  <c r="A212" i="23"/>
  <c r="C212" i="23"/>
  <c r="G213" i="23"/>
  <c r="M212" i="23"/>
  <c r="G214" i="23"/>
  <c r="M221" i="23"/>
  <c r="L221" i="23"/>
  <c r="N221" i="23"/>
  <c r="G223" i="23"/>
  <c r="G226" i="23"/>
  <c r="O221" i="23"/>
  <c r="A221" i="23"/>
  <c r="A222" i="23" s="1"/>
  <c r="O215" i="23"/>
  <c r="N215" i="23"/>
  <c r="M215" i="23"/>
  <c r="A215" i="23"/>
  <c r="L215" i="23"/>
  <c r="O99" i="23"/>
  <c r="A2643" i="23"/>
  <c r="L2643" i="23"/>
  <c r="L3393" i="23"/>
  <c r="N3393" i="23"/>
  <c r="A3393" i="23"/>
  <c r="O3393" i="23"/>
  <c r="M3393" i="23"/>
  <c r="O3184" i="23"/>
  <c r="M3184" i="23"/>
  <c r="A3184" i="23"/>
  <c r="N3184" i="23"/>
  <c r="L3184" i="23"/>
  <c r="N2950" i="23"/>
  <c r="A2950" i="23"/>
  <c r="L2950" i="23"/>
  <c r="O2950" i="23"/>
  <c r="M2950" i="23"/>
  <c r="L3291" i="23"/>
  <c r="N3291" i="23"/>
  <c r="A3291" i="23"/>
  <c r="A3294" i="23"/>
  <c r="L3294" i="23"/>
  <c r="N3294" i="23"/>
  <c r="M3294" i="23"/>
  <c r="O3294" i="23"/>
  <c r="N2795" i="23"/>
  <c r="O3404" i="23"/>
  <c r="L3404" i="23"/>
  <c r="A3404" i="23"/>
  <c r="N3404" i="23"/>
  <c r="M3404" i="23"/>
  <c r="N3258" i="23"/>
  <c r="O3258" i="23"/>
  <c r="A3258" i="23"/>
  <c r="L3258" i="23"/>
  <c r="M3258" i="23"/>
  <c r="M2480" i="23"/>
  <c r="L2480" i="23"/>
  <c r="O2480" i="23"/>
  <c r="A2480" i="23"/>
  <c r="A3419" i="23"/>
  <c r="N3419" i="23"/>
  <c r="L3419" i="23"/>
  <c r="M3419" i="23"/>
  <c r="O3419" i="23"/>
  <c r="A3435" i="23"/>
  <c r="A3436" i="23" s="1"/>
  <c r="G3441" i="23"/>
  <c r="G3440" i="23"/>
  <c r="G3439" i="23"/>
  <c r="O3435" i="23"/>
  <c r="M3435" i="23"/>
  <c r="L3435" i="23"/>
  <c r="G3437" i="23"/>
  <c r="G3438" i="23"/>
  <c r="N3435" i="23"/>
  <c r="L3463" i="23"/>
  <c r="N3463" i="23"/>
  <c r="A3463" i="23"/>
  <c r="L3462" i="23"/>
  <c r="N3462" i="23"/>
  <c r="A3462" i="23"/>
  <c r="M3462" i="23"/>
  <c r="O3462" i="23"/>
  <c r="A1542" i="23"/>
  <c r="L1542" i="23"/>
  <c r="M1542" i="23"/>
  <c r="O1542" i="23"/>
  <c r="A2980" i="23"/>
  <c r="L2980" i="23"/>
  <c r="O3240" i="23"/>
  <c r="N3240" i="23"/>
  <c r="A3240" i="23"/>
  <c r="C3240" i="23"/>
  <c r="C3241" i="23" s="1"/>
  <c r="C3242" i="23" s="1"/>
  <c r="L2840" i="23"/>
  <c r="A2840" i="23"/>
  <c r="L2513" i="23"/>
  <c r="M2513" i="23"/>
  <c r="O2513" i="23"/>
  <c r="G2515" i="23"/>
  <c r="N2515" i="23" s="1"/>
  <c r="A2513" i="23"/>
  <c r="L3452" i="23"/>
  <c r="A3452" i="23"/>
  <c r="L3456" i="23"/>
  <c r="A3456" i="23"/>
  <c r="M3142" i="23"/>
  <c r="A3142" i="23"/>
  <c r="N3142" i="23"/>
  <c r="O3142" i="23"/>
  <c r="L3142" i="23"/>
  <c r="G3366" i="23"/>
  <c r="G3378" i="23"/>
  <c r="G3364" i="23"/>
  <c r="G3361" i="23"/>
  <c r="G3371" i="23"/>
  <c r="G3379" i="23"/>
  <c r="G3372" i="23"/>
  <c r="G3373" i="23"/>
  <c r="G3375" i="23"/>
  <c r="G3374" i="23"/>
  <c r="G3381" i="23"/>
  <c r="G3370" i="23"/>
  <c r="G3362" i="23"/>
  <c r="G3369" i="23"/>
  <c r="G3377" i="23"/>
  <c r="G3376" i="23"/>
  <c r="G3367" i="23"/>
  <c r="G3365" i="23"/>
  <c r="G3380" i="23"/>
  <c r="A3359" i="23"/>
  <c r="A3360" i="23" s="1"/>
  <c r="L3243" i="23"/>
  <c r="O3243" i="23"/>
  <c r="A920" i="23"/>
  <c r="M920" i="23"/>
  <c r="G992" i="23"/>
  <c r="A992" i="23" s="1"/>
  <c r="L976" i="23"/>
  <c r="O1570" i="23"/>
  <c r="N1570" i="23"/>
  <c r="L1570" i="23"/>
  <c r="M1570" i="23"/>
  <c r="A1570" i="23"/>
  <c r="O3557" i="23"/>
  <c r="L3557" i="23"/>
  <c r="A3557" i="23"/>
  <c r="M3557" i="23"/>
  <c r="N3557" i="23"/>
  <c r="A3545" i="23"/>
  <c r="M3545" i="23"/>
  <c r="O3545" i="23"/>
  <c r="L3545" i="23"/>
  <c r="N3545" i="23"/>
  <c r="L3128" i="23"/>
  <c r="A3128" i="23"/>
  <c r="A3130" i="23"/>
  <c r="L3130" i="23"/>
  <c r="M3150" i="23"/>
  <c r="O3150" i="23"/>
  <c r="L3150" i="23"/>
  <c r="N3150" i="23"/>
  <c r="A3150" i="23"/>
  <c r="N2873" i="23"/>
  <c r="D10" i="2"/>
  <c r="E10" i="2"/>
  <c r="C2795" i="23"/>
  <c r="L1595" i="23"/>
  <c r="N1595" i="23"/>
  <c r="M1595" i="23"/>
  <c r="O1595" i="23"/>
  <c r="A1595" i="23"/>
  <c r="N1593" i="23"/>
  <c r="M1593" i="23"/>
  <c r="A1593" i="23"/>
  <c r="L1593" i="23"/>
  <c r="G1594" i="23"/>
  <c r="O1593" i="23"/>
  <c r="L2642" i="23"/>
  <c r="A2642" i="23"/>
  <c r="A2641" i="23"/>
  <c r="L2641" i="23"/>
  <c r="A3188" i="23"/>
  <c r="G3190" i="23"/>
  <c r="O3188" i="23"/>
  <c r="N3188" i="23"/>
  <c r="M3188" i="23"/>
  <c r="G3189" i="23"/>
  <c r="L3188" i="23"/>
  <c r="C2951" i="23"/>
  <c r="C2959" i="23" s="1"/>
  <c r="C2966" i="23" s="1"/>
  <c r="C2974" i="23" s="1"/>
  <c r="C2982" i="23" s="1"/>
  <c r="C2995" i="23" s="1"/>
  <c r="C2999" i="23" s="1"/>
  <c r="C3009" i="23" s="1"/>
  <c r="C3018" i="23" s="1"/>
  <c r="C3030" i="23" s="1"/>
  <c r="A2951" i="23"/>
  <c r="A3290" i="23"/>
  <c r="L3290" i="23"/>
  <c r="A3302" i="23"/>
  <c r="L3302" i="23"/>
  <c r="M3302" i="23"/>
  <c r="O3302" i="23"/>
  <c r="N3302" i="23"/>
  <c r="O2941" i="23"/>
  <c r="A2941" i="23"/>
  <c r="M2941" i="23"/>
  <c r="L2941" i="23"/>
  <c r="N2941" i="23"/>
  <c r="M2796" i="23"/>
  <c r="E16" i="2"/>
  <c r="D16" i="2"/>
  <c r="M3260" i="23"/>
  <c r="A3428" i="23"/>
  <c r="A3429" i="23" s="1"/>
  <c r="L3428" i="23"/>
  <c r="O3428" i="23"/>
  <c r="N3428" i="23"/>
  <c r="G3434" i="23"/>
  <c r="G3432" i="23"/>
  <c r="G3430" i="23"/>
  <c r="G3431" i="23"/>
  <c r="M3428" i="23"/>
  <c r="G3433" i="23"/>
  <c r="A3433" i="23" s="1"/>
  <c r="M3421" i="23"/>
  <c r="G3427" i="23"/>
  <c r="A3421" i="23"/>
  <c r="A3422" i="23" s="1"/>
  <c r="N3421" i="23"/>
  <c r="L3421" i="23"/>
  <c r="G3425" i="23"/>
  <c r="O3421" i="23"/>
  <c r="G3424" i="23"/>
  <c r="G3423" i="23"/>
  <c r="M3461" i="23"/>
  <c r="G3469" i="23"/>
  <c r="O3461" i="23"/>
  <c r="A3461" i="23"/>
  <c r="L3461" i="23"/>
  <c r="N3461" i="23"/>
  <c r="G3464" i="23"/>
  <c r="A1555" i="23"/>
  <c r="A1556" i="23" s="1"/>
  <c r="N1555" i="23"/>
  <c r="G1558" i="23"/>
  <c r="L1555" i="23"/>
  <c r="G1557" i="23"/>
  <c r="O1555" i="23"/>
  <c r="M1555" i="23"/>
  <c r="O2545" i="23"/>
  <c r="M2545" i="23"/>
  <c r="A2545" i="23"/>
  <c r="L2545" i="23"/>
  <c r="A3206" i="23"/>
  <c r="A3207" i="23" s="1"/>
  <c r="G3214" i="23"/>
  <c r="G3218" i="23"/>
  <c r="G3226" i="23"/>
  <c r="G3224" i="23"/>
  <c r="G3216" i="23"/>
  <c r="G3225" i="23"/>
  <c r="G3208" i="23"/>
  <c r="G3227" i="23"/>
  <c r="G3220" i="23"/>
  <c r="G3213" i="23"/>
  <c r="G3211" i="23"/>
  <c r="G3222" i="23"/>
  <c r="G3217" i="23"/>
  <c r="G3219" i="23"/>
  <c r="G3223" i="23"/>
  <c r="G3209" i="23"/>
  <c r="G3228" i="23"/>
  <c r="G3221" i="23"/>
  <c r="G3212" i="23"/>
  <c r="N2842" i="23"/>
  <c r="A956" i="23"/>
  <c r="O3412" i="23"/>
  <c r="M3412" i="23"/>
  <c r="L3412" i="23"/>
  <c r="A3412" i="23"/>
  <c r="L2688" i="23"/>
  <c r="N2688" i="23"/>
  <c r="G2690" i="23"/>
  <c r="A2688" i="23"/>
  <c r="O2688" i="23"/>
  <c r="M2688" i="23"/>
  <c r="L2685" i="23"/>
  <c r="A2685" i="23"/>
  <c r="O2685" i="23"/>
  <c r="M2685" i="23"/>
  <c r="N2685" i="23"/>
  <c r="O3499" i="23"/>
  <c r="N3499" i="23"/>
  <c r="A3499" i="23"/>
  <c r="G3500" i="23"/>
  <c r="L3499" i="23"/>
  <c r="M3499" i="23"/>
  <c r="A3455" i="23"/>
  <c r="L3455" i="23"/>
  <c r="O3138" i="23"/>
  <c r="A3138" i="23"/>
  <c r="L3138" i="23"/>
  <c r="M3138" i="23"/>
  <c r="N3138" i="23"/>
  <c r="A919" i="23"/>
  <c r="L919" i="23"/>
  <c r="N919" i="23"/>
  <c r="M919" i="23"/>
  <c r="O919" i="23"/>
  <c r="O965" i="23"/>
  <c r="N965" i="23"/>
  <c r="M965" i="23"/>
  <c r="L965" i="23"/>
  <c r="E12" i="2"/>
  <c r="D12" i="2"/>
  <c r="L3538" i="23"/>
  <c r="G3539" i="23"/>
  <c r="M3538" i="23"/>
  <c r="O3538" i="23"/>
  <c r="A3538" i="23"/>
  <c r="N3538" i="23"/>
  <c r="A3131" i="23"/>
  <c r="L3131" i="23"/>
  <c r="A3149" i="23"/>
  <c r="M3149" i="23"/>
  <c r="L3149" i="23"/>
  <c r="N3149" i="23"/>
  <c r="O3149" i="23"/>
  <c r="M3091" i="23"/>
  <c r="O3091" i="23"/>
  <c r="A3091" i="23"/>
  <c r="N3091" i="23"/>
  <c r="L3091" i="23"/>
  <c r="A2891" i="23"/>
  <c r="A2845" i="23"/>
  <c r="L2845" i="23"/>
  <c r="O1592" i="23"/>
  <c r="G1601" i="23"/>
  <c r="L1592" i="23"/>
  <c r="A1592" i="23"/>
  <c r="N1592" i="23"/>
  <c r="M1592" i="23"/>
  <c r="A2644" i="23"/>
  <c r="L2644" i="23"/>
  <c r="O2644" i="23"/>
  <c r="M2644" i="23"/>
  <c r="N2644" i="23"/>
  <c r="N3186" i="23"/>
  <c r="L3186" i="23"/>
  <c r="G3187" i="23"/>
  <c r="M3186" i="23"/>
  <c r="O3186" i="23"/>
  <c r="A3186" i="23"/>
  <c r="A3301" i="23"/>
  <c r="M3098" i="23"/>
  <c r="G3099" i="23"/>
  <c r="L3098" i="23"/>
  <c r="O3098" i="23"/>
  <c r="G3100" i="23"/>
  <c r="N3098" i="23"/>
  <c r="A3098" i="23"/>
  <c r="L3405" i="23"/>
  <c r="O3405" i="23"/>
  <c r="N3405" i="23"/>
  <c r="M3405" i="23"/>
  <c r="A3405" i="23"/>
  <c r="L3259" i="23"/>
  <c r="A3415" i="23"/>
  <c r="N3415" i="23"/>
  <c r="M3415" i="23"/>
  <c r="O3415" i="23"/>
  <c r="L3415" i="23"/>
  <c r="L3466" i="23"/>
  <c r="M3466" i="23"/>
  <c r="N3466" i="23"/>
  <c r="O3466" i="23"/>
  <c r="A3466" i="23"/>
  <c r="O3465" i="23"/>
  <c r="A3465" i="23"/>
  <c r="N3465" i="23"/>
  <c r="L3465" i="23"/>
  <c r="M3465" i="23"/>
  <c r="A598" i="23"/>
  <c r="N598" i="23"/>
  <c r="L598" i="23"/>
  <c r="O598" i="23"/>
  <c r="M598" i="23"/>
  <c r="N2981" i="23"/>
  <c r="L2981" i="23"/>
  <c r="A2981" i="23"/>
  <c r="L3088" i="23"/>
  <c r="A3088" i="23"/>
  <c r="N3088" i="23"/>
  <c r="O3088" i="23"/>
  <c r="M3088" i="23"/>
  <c r="C3088" i="23"/>
  <c r="C3089" i="23" s="1"/>
  <c r="C3090" i="23" s="1"/>
  <c r="C3091" i="23" s="1"/>
  <c r="C3092" i="23" s="1"/>
  <c r="C3093" i="23" s="1"/>
  <c r="C3094" i="23" s="1"/>
  <c r="N3409" i="23"/>
  <c r="M3409" i="23"/>
  <c r="L3409" i="23"/>
  <c r="G3410" i="23"/>
  <c r="A3409" i="23"/>
  <c r="G3411" i="23"/>
  <c r="O3409" i="23"/>
  <c r="L2686" i="23"/>
  <c r="N2686" i="23"/>
  <c r="M2686" i="23"/>
  <c r="A2686" i="23"/>
  <c r="O2686" i="23"/>
  <c r="A3453" i="23"/>
  <c r="L3453" i="23"/>
  <c r="A3454" i="23"/>
  <c r="L3454" i="23"/>
  <c r="L402" i="23"/>
  <c r="N3093" i="23"/>
  <c r="A3093" i="23"/>
  <c r="L3093" i="23"/>
  <c r="M3093" i="23"/>
  <c r="L2936" i="23"/>
  <c r="L2834" i="23"/>
  <c r="N2710" i="23"/>
  <c r="O2710" i="23"/>
  <c r="L2710" i="23"/>
  <c r="M3554" i="23"/>
  <c r="A3554" i="23"/>
  <c r="L3554" i="23"/>
  <c r="N3554" i="23"/>
  <c r="O3554" i="23"/>
  <c r="M3556" i="23"/>
  <c r="L3556" i="23"/>
  <c r="O3556" i="23"/>
  <c r="N3556" i="23"/>
  <c r="A3556" i="23"/>
  <c r="N3474" i="23"/>
  <c r="O3474" i="23"/>
  <c r="M3474" i="23"/>
  <c r="L3474" i="23"/>
  <c r="A3474" i="23"/>
  <c r="N790" i="23"/>
  <c r="A3132" i="23"/>
  <c r="L3132" i="23"/>
  <c r="A2971" i="23"/>
  <c r="M2879" i="23"/>
  <c r="N3412" i="23"/>
  <c r="L1598" i="23"/>
  <c r="N1598" i="23"/>
  <c r="O1598" i="23"/>
  <c r="A1598" i="23"/>
  <c r="G1599" i="23"/>
  <c r="M1598" i="23"/>
  <c r="N2657" i="23"/>
  <c r="A2657" i="23"/>
  <c r="O2657" i="23"/>
  <c r="L2657" i="23"/>
  <c r="M2657" i="23"/>
  <c r="A1132" i="23"/>
  <c r="M1132" i="23"/>
  <c r="G3199" i="23"/>
  <c r="G3203" i="23"/>
  <c r="G3196" i="23"/>
  <c r="G3201" i="23"/>
  <c r="G3194" i="23"/>
  <c r="G3197" i="23"/>
  <c r="G3193" i="23"/>
  <c r="A3191" i="23"/>
  <c r="A3192" i="23" s="1"/>
  <c r="G3198" i="23"/>
  <c r="G3204" i="23"/>
  <c r="M3293" i="23"/>
  <c r="N3293" i="23"/>
  <c r="L3293" i="23"/>
  <c r="A3293" i="23"/>
  <c r="O3293" i="23"/>
  <c r="M1815" i="23"/>
  <c r="A2867" i="23"/>
  <c r="M3261" i="23"/>
  <c r="L3257" i="23"/>
  <c r="M3460" i="23"/>
  <c r="G3470" i="23"/>
  <c r="A3460" i="23"/>
  <c r="L3460" i="23"/>
  <c r="O3460" i="23"/>
  <c r="N3460" i="23"/>
  <c r="M1544" i="23"/>
  <c r="L1544" i="23"/>
  <c r="A1544" i="23"/>
  <c r="N1544" i="23"/>
  <c r="O1544" i="23"/>
  <c r="A2977" i="23"/>
  <c r="L2977" i="23"/>
  <c r="A2839" i="23"/>
  <c r="A947" i="23"/>
  <c r="L2514" i="23"/>
  <c r="O2514" i="23"/>
  <c r="A2514" i="23"/>
  <c r="M2514" i="23"/>
  <c r="C1399" i="23"/>
  <c r="O3496" i="23"/>
  <c r="M3496" i="23"/>
  <c r="L3496" i="23"/>
  <c r="N3496" i="23"/>
  <c r="A3496" i="23"/>
  <c r="G3503" i="23"/>
  <c r="L3457" i="23"/>
  <c r="N3457" i="23"/>
  <c r="A3457" i="23"/>
  <c r="M401" i="23"/>
  <c r="O401" i="23"/>
  <c r="A401" i="23"/>
  <c r="L401" i="23"/>
  <c r="N401" i="23"/>
  <c r="A3136" i="23"/>
  <c r="G3146" i="23"/>
  <c r="L3136" i="23"/>
  <c r="N3136" i="23"/>
  <c r="O3136" i="23"/>
  <c r="M3136" i="23"/>
  <c r="M2831" i="23"/>
  <c r="N2831" i="23"/>
  <c r="O2831" i="23"/>
  <c r="A2831" i="23"/>
  <c r="L2831" i="23"/>
  <c r="M961" i="23"/>
  <c r="G962" i="23"/>
  <c r="G2419" i="23"/>
  <c r="G2422" i="23"/>
  <c r="A2418" i="23"/>
  <c r="C2418" i="23"/>
  <c r="L2711" i="23"/>
  <c r="O2711" i="23"/>
  <c r="N2711" i="23"/>
  <c r="L1573" i="23"/>
  <c r="M1573" i="23"/>
  <c r="O1573" i="23"/>
  <c r="N1573" i="23"/>
  <c r="A1573" i="23"/>
  <c r="M3398" i="23"/>
  <c r="L3398" i="23"/>
  <c r="O3398" i="23"/>
  <c r="A3398" i="23"/>
  <c r="N3398" i="23"/>
  <c r="M3543" i="23"/>
  <c r="A3543" i="23"/>
  <c r="L3543" i="23"/>
  <c r="N3543" i="23"/>
  <c r="O3543" i="23"/>
  <c r="L3546" i="23"/>
  <c r="A3546" i="23"/>
  <c r="M3546" i="23"/>
  <c r="N3546" i="23"/>
  <c r="O3546" i="23"/>
  <c r="O3547" i="23"/>
  <c r="A3547" i="23"/>
  <c r="M3547" i="23"/>
  <c r="L3547" i="23"/>
  <c r="N3547" i="23"/>
  <c r="N3133" i="23"/>
  <c r="A3133" i="23"/>
  <c r="L3133" i="23"/>
  <c r="A3129" i="23"/>
  <c r="L3129" i="23"/>
  <c r="A2970" i="23"/>
  <c r="L2970" i="23"/>
  <c r="O2875" i="23"/>
  <c r="M2875" i="23"/>
  <c r="L2875" i="23"/>
  <c r="N2875" i="23"/>
  <c r="A2875" i="23"/>
  <c r="M2874" i="23"/>
  <c r="M3240" i="23"/>
  <c r="N2675" i="23"/>
  <c r="A2675" i="23"/>
  <c r="O2675" i="23"/>
  <c r="G2680" i="23"/>
  <c r="M2675" i="23"/>
  <c r="L2675" i="23"/>
  <c r="A193" i="23"/>
  <c r="M193" i="23"/>
  <c r="G202" i="23"/>
  <c r="N193" i="23"/>
  <c r="L193" i="23"/>
  <c r="O193" i="23"/>
  <c r="O2411" i="23"/>
  <c r="N2411" i="23"/>
  <c r="L2411" i="23"/>
  <c r="M2411" i="23"/>
  <c r="A2411" i="23"/>
  <c r="N1108" i="23"/>
  <c r="A1108" i="23"/>
  <c r="M1108" i="23"/>
  <c r="L1108" i="23"/>
  <c r="O1108" i="23"/>
  <c r="O1113" i="23" s="1"/>
  <c r="A672" i="49"/>
  <c r="O672" i="49"/>
  <c r="N672" i="49"/>
  <c r="M672" i="49"/>
  <c r="L672" i="49"/>
  <c r="O675" i="49"/>
  <c r="M675" i="49"/>
  <c r="N675" i="49"/>
  <c r="A675" i="49"/>
  <c r="L675" i="49"/>
  <c r="L2654" i="23"/>
  <c r="A2654" i="23"/>
  <c r="O407" i="23"/>
  <c r="L407" i="23"/>
  <c r="M407" i="23"/>
  <c r="A407" i="23"/>
  <c r="N407" i="23"/>
  <c r="G1124" i="23"/>
  <c r="A1123" i="23"/>
  <c r="G1127" i="23"/>
  <c r="C1123" i="23"/>
  <c r="C1133" i="23" s="1"/>
  <c r="C1149" i="23" s="1"/>
  <c r="C1154" i="23" s="1"/>
  <c r="C1160" i="23" s="1"/>
  <c r="C1173" i="23" s="1"/>
  <c r="C1179" i="23" s="1"/>
  <c r="C1184" i="23" s="1"/>
  <c r="C1196" i="23" s="1"/>
  <c r="C1202" i="23" s="1"/>
  <c r="A662" i="49"/>
  <c r="M662" i="49"/>
  <c r="N662" i="49"/>
  <c r="O662" i="49"/>
  <c r="L662" i="49"/>
  <c r="G664" i="49"/>
  <c r="M1587" i="23"/>
  <c r="O1587" i="23"/>
  <c r="A1587" i="23"/>
  <c r="L1587" i="23"/>
  <c r="N1587" i="23"/>
  <c r="G1618" i="23"/>
  <c r="G1612" i="23"/>
  <c r="G1610" i="23"/>
  <c r="G1617" i="23"/>
  <c r="G1614" i="23"/>
  <c r="G1613" i="23"/>
  <c r="A1608" i="23"/>
  <c r="A1609" i="23" s="1"/>
  <c r="G1623" i="23"/>
  <c r="G1611" i="23"/>
  <c r="G1619" i="23"/>
  <c r="L2637" i="23"/>
  <c r="A2637" i="23"/>
  <c r="N1342" i="23"/>
  <c r="O1342" i="23"/>
  <c r="M1342" i="23"/>
  <c r="L1342" i="23"/>
  <c r="A1342" i="23"/>
  <c r="M1250" i="23"/>
  <c r="O1250" i="23"/>
  <c r="L1250" i="23"/>
  <c r="N1250" i="23"/>
  <c r="A1250" i="23"/>
  <c r="A2725" i="23"/>
  <c r="A2726" i="23"/>
  <c r="G2729" i="23"/>
  <c r="A2729" i="23" s="1"/>
  <c r="G2727" i="23"/>
  <c r="A2727" i="23" s="1"/>
  <c r="A2722" i="23"/>
  <c r="A2723" i="23"/>
  <c r="N2672" i="23"/>
  <c r="A2672" i="23"/>
  <c r="M2672" i="23"/>
  <c r="O2672" i="23"/>
  <c r="L2672" i="23"/>
  <c r="O434" i="23"/>
  <c r="L434" i="23"/>
  <c r="N1263" i="23"/>
  <c r="M1263" i="23"/>
  <c r="L1263" i="23"/>
  <c r="O1263" i="23"/>
  <c r="A1263" i="23"/>
  <c r="M1265" i="23"/>
  <c r="N1265" i="23"/>
  <c r="A1265" i="23"/>
  <c r="A1266" i="23" s="1"/>
  <c r="O1265" i="23"/>
  <c r="L1265" i="23"/>
  <c r="G1268" i="23"/>
  <c r="L1272" i="23"/>
  <c r="A1272" i="23"/>
  <c r="O1272" i="23"/>
  <c r="M1272" i="23"/>
  <c r="N1272" i="23"/>
  <c r="A1274" i="23"/>
  <c r="N1274" i="23"/>
  <c r="L1274" i="23"/>
  <c r="M1274" i="23"/>
  <c r="O1274" i="23"/>
  <c r="M1212" i="23"/>
  <c r="L1212" i="23"/>
  <c r="A1212" i="23"/>
  <c r="O1212" i="23"/>
  <c r="N1212" i="23"/>
  <c r="L1208" i="23"/>
  <c r="N1208" i="23"/>
  <c r="O1208" i="23"/>
  <c r="G1210" i="23"/>
  <c r="M1208" i="23"/>
  <c r="A1208" i="23"/>
  <c r="L1211" i="23"/>
  <c r="M1211" i="23"/>
  <c r="O1211" i="23"/>
  <c r="A1211" i="23"/>
  <c r="N1211" i="23"/>
  <c r="A675" i="23"/>
  <c r="A676" i="23" s="1"/>
  <c r="G680" i="23"/>
  <c r="G677" i="23"/>
  <c r="M675" i="23"/>
  <c r="O675" i="23"/>
  <c r="L675" i="23"/>
  <c r="C675" i="23"/>
  <c r="N675" i="23"/>
  <c r="N3511" i="23"/>
  <c r="G3512" i="23"/>
  <c r="L3511" i="23"/>
  <c r="A3511" i="23"/>
  <c r="M3511" i="23"/>
  <c r="O3511" i="23"/>
  <c r="N592" i="49"/>
  <c r="A592" i="49"/>
  <c r="L592" i="49"/>
  <c r="M592" i="49"/>
  <c r="O592" i="49"/>
  <c r="N593" i="49"/>
  <c r="L593" i="49"/>
  <c r="A593" i="49"/>
  <c r="M593" i="49"/>
  <c r="O593" i="49"/>
  <c r="L591" i="49"/>
  <c r="A591" i="49"/>
  <c r="O591" i="49"/>
  <c r="N591" i="49"/>
  <c r="M591" i="49"/>
  <c r="C1534" i="23"/>
  <c r="G1538" i="23"/>
  <c r="G1535" i="23"/>
  <c r="A1534" i="23"/>
  <c r="A1565" i="23"/>
  <c r="L1565" i="23"/>
  <c r="N1565" i="23"/>
  <c r="L2681" i="23"/>
  <c r="O2681" i="23"/>
  <c r="N2681" i="23"/>
  <c r="A2681" i="23"/>
  <c r="M2681" i="23"/>
  <c r="M190" i="23"/>
  <c r="L190" i="23"/>
  <c r="N190" i="23"/>
  <c r="O190" i="23"/>
  <c r="A190" i="23"/>
  <c r="O1199" i="23"/>
  <c r="A1199" i="23"/>
  <c r="L2412" i="23"/>
  <c r="O2412" i="23"/>
  <c r="A2412" i="23"/>
  <c r="N2412" i="23"/>
  <c r="M2412" i="23"/>
  <c r="A3519" i="23"/>
  <c r="O3519" i="23"/>
  <c r="N3519" i="23"/>
  <c r="M3519" i="23"/>
  <c r="L3519" i="23"/>
  <c r="N1107" i="23"/>
  <c r="A1107" i="23"/>
  <c r="C1107" i="23"/>
  <c r="M1107" i="23"/>
  <c r="L1107" i="23"/>
  <c r="L677" i="49"/>
  <c r="N677" i="49"/>
  <c r="A677" i="49"/>
  <c r="O677" i="49"/>
  <c r="M677" i="49"/>
  <c r="O665" i="49"/>
  <c r="A665" i="49"/>
  <c r="N665" i="49"/>
  <c r="L665" i="49"/>
  <c r="M665" i="49"/>
  <c r="L1241" i="23"/>
  <c r="G1530" i="23"/>
  <c r="C1529" i="23"/>
  <c r="C1539" i="23" s="1"/>
  <c r="C1555" i="23" s="1"/>
  <c r="C1560" i="23" s="1"/>
  <c r="C1566" i="23" s="1"/>
  <c r="C1579" i="23" s="1"/>
  <c r="C1585" i="23" s="1"/>
  <c r="C1590" i="23" s="1"/>
  <c r="C1602" i="23" s="1"/>
  <c r="C1608" i="23" s="1"/>
  <c r="A1529" i="23"/>
  <c r="G1532" i="23"/>
  <c r="G1533" i="23"/>
  <c r="A2652" i="23"/>
  <c r="L2652" i="23"/>
  <c r="A2648" i="23"/>
  <c r="L2648" i="23"/>
  <c r="A1252" i="23"/>
  <c r="A1291" i="23"/>
  <c r="O1291" i="23"/>
  <c r="L1291" i="23"/>
  <c r="N1291" i="23"/>
  <c r="M1291" i="23"/>
  <c r="O3396" i="23"/>
  <c r="N3396" i="23"/>
  <c r="M3396" i="23"/>
  <c r="A3396" i="23"/>
  <c r="L3396" i="23"/>
  <c r="N708" i="49"/>
  <c r="A708" i="49"/>
  <c r="O708" i="49"/>
  <c r="L708" i="49"/>
  <c r="M708" i="49"/>
  <c r="A1588" i="23"/>
  <c r="N1588" i="23"/>
  <c r="L1588" i="23"/>
  <c r="O1588" i="23"/>
  <c r="M1588" i="23"/>
  <c r="A2634" i="23"/>
  <c r="N429" i="23"/>
  <c r="L1145" i="23"/>
  <c r="M1145" i="23"/>
  <c r="O1145" i="23"/>
  <c r="N1145" i="23"/>
  <c r="A1145" i="23"/>
  <c r="M666" i="23"/>
  <c r="O666" i="23"/>
  <c r="L666" i="23"/>
  <c r="N666" i="23"/>
  <c r="A666" i="23"/>
  <c r="L78" i="23"/>
  <c r="A1247" i="23"/>
  <c r="G1248" i="23"/>
  <c r="N1247" i="23"/>
  <c r="G1249" i="23"/>
  <c r="M1247" i="23"/>
  <c r="O1247" i="23"/>
  <c r="L1247" i="23"/>
  <c r="M2670" i="23"/>
  <c r="L2670" i="23"/>
  <c r="O2670" i="23"/>
  <c r="A2670" i="23"/>
  <c r="N2670" i="23"/>
  <c r="L2542" i="23"/>
  <c r="A1264" i="23"/>
  <c r="M1276" i="23"/>
  <c r="G1280" i="23"/>
  <c r="A1276" i="23"/>
  <c r="A1277" i="23" s="1"/>
  <c r="L1276" i="23"/>
  <c r="O1276" i="23"/>
  <c r="G1279" i="23"/>
  <c r="N1276" i="23"/>
  <c r="G1278" i="23"/>
  <c r="G1281" i="23" s="1"/>
  <c r="N3292" i="23"/>
  <c r="O3292" i="23"/>
  <c r="L3292" i="23"/>
  <c r="M3292" i="23"/>
  <c r="A3292" i="23"/>
  <c r="M1205" i="23"/>
  <c r="L1205" i="23"/>
  <c r="N1206" i="23"/>
  <c r="M1206" i="23"/>
  <c r="O1206" i="23"/>
  <c r="A1206" i="23"/>
  <c r="L1206" i="23"/>
  <c r="A1207" i="23"/>
  <c r="O1207" i="23"/>
  <c r="G1209" i="23"/>
  <c r="M1207" i="23"/>
  <c r="N1207" i="23"/>
  <c r="L1207" i="23"/>
  <c r="O673" i="23"/>
  <c r="L673" i="23"/>
  <c r="A673" i="23"/>
  <c r="M673" i="23"/>
  <c r="N673" i="23"/>
  <c r="O3509" i="23"/>
  <c r="N3509" i="23"/>
  <c r="A3509" i="23"/>
  <c r="L3509" i="23"/>
  <c r="L599" i="49"/>
  <c r="M599" i="49"/>
  <c r="G590" i="49"/>
  <c r="G587" i="49"/>
  <c r="O599" i="49"/>
  <c r="N599" i="49"/>
  <c r="A599" i="49"/>
  <c r="A1564" i="23"/>
  <c r="L1564" i="23"/>
  <c r="L2694" i="23"/>
  <c r="M2694" i="23"/>
  <c r="O2694" i="23"/>
  <c r="G2702" i="23"/>
  <c r="N2694" i="23"/>
  <c r="A2694" i="23"/>
  <c r="G2695" i="23"/>
  <c r="M676" i="49"/>
  <c r="N676" i="49"/>
  <c r="A676" i="49"/>
  <c r="L676" i="49"/>
  <c r="O676" i="49"/>
  <c r="M299" i="49"/>
  <c r="A299" i="49"/>
  <c r="L299" i="49"/>
  <c r="N299" i="49"/>
  <c r="O299" i="49"/>
  <c r="L1240" i="23"/>
  <c r="A1240" i="23"/>
  <c r="A1522" i="23"/>
  <c r="M1522" i="23"/>
  <c r="G1524" i="23"/>
  <c r="G1523" i="23"/>
  <c r="L1522" i="23"/>
  <c r="O1522" i="23"/>
  <c r="N1522" i="23"/>
  <c r="A2653" i="23"/>
  <c r="L2653" i="23"/>
  <c r="A1230" i="23"/>
  <c r="O705" i="49"/>
  <c r="A705" i="49"/>
  <c r="M705" i="49"/>
  <c r="O1589" i="23"/>
  <c r="N1589" i="23"/>
  <c r="M1589" i="23"/>
  <c r="A1589" i="23"/>
  <c r="L1589" i="23"/>
  <c r="M2538" i="23"/>
  <c r="L2538" i="23"/>
  <c r="A2538" i="23"/>
  <c r="O2538" i="23"/>
  <c r="M139" i="23"/>
  <c r="L139" i="23"/>
  <c r="G144" i="23"/>
  <c r="N139" i="23"/>
  <c r="G143" i="23"/>
  <c r="A139" i="23"/>
  <c r="A140" i="23" s="1"/>
  <c r="O139" i="23"/>
  <c r="G141" i="23"/>
  <c r="G142" i="23"/>
  <c r="L425" i="23"/>
  <c r="N425" i="23"/>
  <c r="A425" i="23"/>
  <c r="O425" i="23"/>
  <c r="M425" i="23"/>
  <c r="N1148" i="23"/>
  <c r="L1148" i="23"/>
  <c r="A1148" i="23"/>
  <c r="L92" i="49"/>
  <c r="N92" i="49"/>
  <c r="M92" i="49"/>
  <c r="O92" i="49"/>
  <c r="L624" i="49"/>
  <c r="O624" i="49"/>
  <c r="G627" i="49"/>
  <c r="A624" i="49"/>
  <c r="M624" i="49"/>
  <c r="N624" i="49"/>
  <c r="M58" i="23"/>
  <c r="A58" i="23"/>
  <c r="N58" i="23"/>
  <c r="L58" i="23"/>
  <c r="O58" i="23"/>
  <c r="M2671" i="23"/>
  <c r="L2671" i="23"/>
  <c r="O2671" i="23"/>
  <c r="A2671" i="23"/>
  <c r="N2671" i="23"/>
  <c r="M433" i="23"/>
  <c r="M1258" i="23"/>
  <c r="O1259" i="23"/>
  <c r="M1215" i="23"/>
  <c r="L1215" i="23"/>
  <c r="O1215" i="23"/>
  <c r="A1215" i="23"/>
  <c r="N1215" i="23"/>
  <c r="O1217" i="23"/>
  <c r="A1217" i="23"/>
  <c r="N1217" i="23"/>
  <c r="M1217" i="23"/>
  <c r="L1217" i="23"/>
  <c r="M1216" i="23"/>
  <c r="L1216" i="23"/>
  <c r="O1216" i="23"/>
  <c r="A1216" i="23"/>
  <c r="N1216" i="23"/>
  <c r="G738" i="23"/>
  <c r="O686" i="23"/>
  <c r="G688" i="23"/>
  <c r="G691" i="23"/>
  <c r="A686" i="23"/>
  <c r="A687" i="23" s="1"/>
  <c r="L686" i="23"/>
  <c r="M686" i="23"/>
  <c r="G694" i="23"/>
  <c r="N686" i="23"/>
  <c r="G690" i="23"/>
  <c r="G693" i="23"/>
  <c r="G692" i="23"/>
  <c r="L3513" i="23"/>
  <c r="N3513" i="23"/>
  <c r="O3513" i="23"/>
  <c r="A3513" i="23"/>
  <c r="M3513" i="23"/>
  <c r="G3515" i="23"/>
  <c r="G3514" i="23"/>
  <c r="N589" i="49"/>
  <c r="L589" i="49"/>
  <c r="A589" i="49"/>
  <c r="O589" i="49"/>
  <c r="M589" i="49"/>
  <c r="G597" i="49"/>
  <c r="G586" i="49"/>
  <c r="L598" i="49"/>
  <c r="G588" i="49"/>
  <c r="M598" i="49"/>
  <c r="O598" i="49"/>
  <c r="G585" i="49"/>
  <c r="N598" i="49"/>
  <c r="A598" i="49"/>
  <c r="G1527" i="23"/>
  <c r="L1526" i="23"/>
  <c r="O1526" i="23"/>
  <c r="A1526" i="23"/>
  <c r="N1526" i="23"/>
  <c r="M1526" i="23"/>
  <c r="G1528" i="23"/>
  <c r="A1562" i="23"/>
  <c r="L1562" i="23"/>
  <c r="A2678" i="23"/>
  <c r="N2678" i="23"/>
  <c r="O2678" i="23"/>
  <c r="M2678" i="23"/>
  <c r="L2678" i="23"/>
  <c r="O197" i="23"/>
  <c r="N197" i="23"/>
  <c r="A197" i="23"/>
  <c r="L197" i="23"/>
  <c r="M197" i="23"/>
  <c r="O189" i="23"/>
  <c r="N189" i="23"/>
  <c r="L189" i="23"/>
  <c r="M189" i="23"/>
  <c r="A189" i="23"/>
  <c r="A1200" i="23"/>
  <c r="M1200" i="23"/>
  <c r="L1200" i="23"/>
  <c r="G1201" i="23"/>
  <c r="O1200" i="23"/>
  <c r="N1200" i="23"/>
  <c r="L674" i="49"/>
  <c r="N674" i="49"/>
  <c r="M674" i="49"/>
  <c r="A674" i="49"/>
  <c r="O674" i="49"/>
  <c r="O2618" i="23"/>
  <c r="N2618" i="23"/>
  <c r="L2618" i="23"/>
  <c r="M2618" i="23"/>
  <c r="L2649" i="23"/>
  <c r="A2649" i="23"/>
  <c r="L2650" i="23"/>
  <c r="A2650" i="23"/>
  <c r="M1152" i="23"/>
  <c r="L1255" i="23"/>
  <c r="O1292" i="23"/>
  <c r="A1292" i="23"/>
  <c r="N1292" i="23"/>
  <c r="L1292" i="23"/>
  <c r="M1292" i="23"/>
  <c r="A561" i="49"/>
  <c r="O561" i="49"/>
  <c r="L561" i="49"/>
  <c r="N561" i="49"/>
  <c r="M561" i="49"/>
  <c r="A1116" i="23"/>
  <c r="M1116" i="23"/>
  <c r="G1118" i="23"/>
  <c r="G1117" i="23"/>
  <c r="O1116" i="23"/>
  <c r="N1116" i="23"/>
  <c r="L1116" i="23"/>
  <c r="M3110" i="23"/>
  <c r="M3106" i="23"/>
  <c r="O3106" i="23"/>
  <c r="A3106" i="23"/>
  <c r="L3106" i="23"/>
  <c r="N3106" i="23"/>
  <c r="L689" i="49"/>
  <c r="O689" i="49"/>
  <c r="N689" i="49"/>
  <c r="A689" i="49"/>
  <c r="M689" i="49"/>
  <c r="N667" i="23"/>
  <c r="L667" i="23"/>
  <c r="O667" i="23"/>
  <c r="A667" i="23"/>
  <c r="M667" i="23"/>
  <c r="O628" i="49"/>
  <c r="M628" i="49"/>
  <c r="L628" i="49"/>
  <c r="A628" i="49"/>
  <c r="N628" i="49"/>
  <c r="A1262" i="23"/>
  <c r="O1262" i="23"/>
  <c r="M1262" i="23"/>
  <c r="N1262" i="23"/>
  <c r="L1262" i="23"/>
  <c r="O1260" i="23"/>
  <c r="M1260" i="23"/>
  <c r="L1260" i="23"/>
  <c r="A1260" i="23"/>
  <c r="N1218" i="23"/>
  <c r="L1218" i="23"/>
  <c r="O1218" i="23"/>
  <c r="M1218" i="23"/>
  <c r="A1218" i="23"/>
  <c r="O1213" i="23"/>
  <c r="N1213" i="23"/>
  <c r="G1214" i="23"/>
  <c r="A1213" i="23"/>
  <c r="L1213" i="23"/>
  <c r="M1213" i="23"/>
  <c r="O1204" i="23"/>
  <c r="A1204" i="23"/>
  <c r="N1204" i="23"/>
  <c r="M1204" i="23"/>
  <c r="L1204" i="23"/>
  <c r="M1173" i="23"/>
  <c r="N1173" i="23"/>
  <c r="L1173" i="23"/>
  <c r="O1173" i="23"/>
  <c r="A1173" i="23"/>
  <c r="A1174" i="23" s="1"/>
  <c r="G1178" i="23"/>
  <c r="O712" i="23"/>
  <c r="M712" i="23"/>
  <c r="A712" i="23"/>
  <c r="A713" i="23" s="1"/>
  <c r="G716" i="23"/>
  <c r="G718" i="23"/>
  <c r="G719" i="23"/>
  <c r="N712" i="23"/>
  <c r="G720" i="23"/>
  <c r="G714" i="23"/>
  <c r="L712" i="23"/>
  <c r="G717" i="23"/>
  <c r="G700" i="23"/>
  <c r="N695" i="23"/>
  <c r="O695" i="23"/>
  <c r="A695" i="23"/>
  <c r="A696" i="23" s="1"/>
  <c r="G707" i="23"/>
  <c r="G697" i="23"/>
  <c r="M695" i="23"/>
  <c r="L695" i="23"/>
  <c r="G698" i="23"/>
  <c r="G705" i="23"/>
  <c r="G701" i="23"/>
  <c r="M3508" i="23"/>
  <c r="N3508" i="23"/>
  <c r="A3508" i="23"/>
  <c r="L3508" i="23"/>
  <c r="O3508" i="23"/>
  <c r="O3510" i="23"/>
  <c r="L3510" i="23"/>
  <c r="A3510" i="23"/>
  <c r="N3510" i="23"/>
  <c r="C139" i="23"/>
  <c r="C145" i="23" s="1"/>
  <c r="C155" i="23" s="1"/>
  <c r="C170" i="23" s="1"/>
  <c r="C176" i="23" s="1"/>
  <c r="C186" i="23" s="1"/>
  <c r="C204" i="23" s="1"/>
  <c r="M2714" i="23"/>
  <c r="L2714" i="23"/>
  <c r="N2714" i="23"/>
  <c r="O2714" i="23"/>
  <c r="O2719" i="23"/>
  <c r="A49" i="23"/>
  <c r="L49" i="23"/>
  <c r="O49" i="23"/>
  <c r="M49" i="23"/>
  <c r="N49" i="23"/>
  <c r="N1465" i="23"/>
  <c r="O1465" i="23"/>
  <c r="A1465" i="23"/>
  <c r="L1465" i="23"/>
  <c r="M1465" i="23"/>
  <c r="A1323" i="23"/>
  <c r="M201" i="23"/>
  <c r="A201" i="23"/>
  <c r="L201" i="23"/>
  <c r="N201" i="23"/>
  <c r="O201" i="23"/>
  <c r="L1440" i="23"/>
  <c r="A1440" i="23"/>
  <c r="O1440" i="23"/>
  <c r="M1440" i="23"/>
  <c r="N1440" i="23"/>
  <c r="L1158" i="23"/>
  <c r="A1158" i="23"/>
  <c r="A1157" i="23"/>
  <c r="L1157" i="23"/>
  <c r="A1159" i="23"/>
  <c r="L1159" i="23"/>
  <c r="N1159" i="23"/>
  <c r="N196" i="23"/>
  <c r="A196" i="23"/>
  <c r="L196" i="23"/>
  <c r="O196" i="23"/>
  <c r="M2541" i="23"/>
  <c r="A2541" i="23"/>
  <c r="L595" i="23"/>
  <c r="O595" i="23"/>
  <c r="M595" i="23"/>
  <c r="N595" i="23"/>
  <c r="A595" i="23"/>
  <c r="U1486" i="1"/>
  <c r="J1486" i="1"/>
  <c r="H1486" i="1"/>
  <c r="S1486" i="1"/>
  <c r="T1486" i="1"/>
  <c r="C1486" i="1"/>
  <c r="O114" i="23"/>
  <c r="M114" i="23"/>
  <c r="L114" i="23"/>
  <c r="A114" i="23"/>
  <c r="N114" i="23"/>
  <c r="H2120" i="1"/>
  <c r="T2120" i="1"/>
  <c r="U2120" i="1"/>
  <c r="S2120" i="1"/>
  <c r="M2120" i="1"/>
  <c r="M2112" i="1"/>
  <c r="U2112" i="1"/>
  <c r="T2112" i="1"/>
  <c r="S2112" i="1"/>
  <c r="H2112" i="1"/>
  <c r="T1704" i="1"/>
  <c r="U1704" i="1"/>
  <c r="H1704" i="1"/>
  <c r="J1704" i="1"/>
  <c r="S1704" i="1"/>
  <c r="T1742" i="1"/>
  <c r="C1742" i="1"/>
  <c r="S1742" i="1"/>
  <c r="H1742" i="1"/>
  <c r="U1742" i="1"/>
  <c r="N1066" i="23"/>
  <c r="O1066" i="23"/>
  <c r="A1066" i="23"/>
  <c r="M1066" i="23"/>
  <c r="L1066" i="23"/>
  <c r="O91" i="49"/>
  <c r="M91" i="49"/>
  <c r="N91" i="49"/>
  <c r="L91" i="49"/>
  <c r="L313" i="49"/>
  <c r="M313" i="49"/>
  <c r="N313" i="49"/>
  <c r="A313" i="49"/>
  <c r="O313" i="49"/>
  <c r="N1064" i="23"/>
  <c r="M1064" i="23"/>
  <c r="O1064" i="23"/>
  <c r="A1064" i="23"/>
  <c r="L1064" i="23"/>
  <c r="A603" i="23"/>
  <c r="N603" i="23"/>
  <c r="L603" i="23"/>
  <c r="M603" i="23"/>
  <c r="O603" i="23"/>
  <c r="M601" i="23"/>
  <c r="O601" i="23"/>
  <c r="A601" i="23"/>
  <c r="N601" i="23"/>
  <c r="L601" i="23"/>
  <c r="O653" i="23"/>
  <c r="A653" i="23"/>
  <c r="A654" i="23" s="1"/>
  <c r="N653" i="23"/>
  <c r="L653" i="23"/>
  <c r="M653" i="23"/>
  <c r="A605" i="23"/>
  <c r="O605" i="23"/>
  <c r="N605" i="23"/>
  <c r="L605" i="23"/>
  <c r="M605" i="23"/>
  <c r="M1781" i="23"/>
  <c r="L1781" i="23"/>
  <c r="N1781" i="23"/>
  <c r="O1781" i="23"/>
  <c r="A1781" i="23"/>
  <c r="O626" i="23"/>
  <c r="L626" i="23"/>
  <c r="A626" i="23"/>
  <c r="M626" i="23"/>
  <c r="N626" i="23"/>
  <c r="G633" i="23"/>
  <c r="O1165" i="23"/>
  <c r="L1165" i="23"/>
  <c r="M1165" i="23"/>
  <c r="N1165" i="23"/>
  <c r="A1165" i="23"/>
  <c r="M1606" i="23"/>
  <c r="G1607" i="23"/>
  <c r="L1606" i="23"/>
  <c r="N1606" i="23"/>
  <c r="O1606" i="23"/>
  <c r="A1606" i="23"/>
  <c r="O173" i="23"/>
  <c r="A173" i="23"/>
  <c r="L173" i="23"/>
  <c r="N160" i="23"/>
  <c r="N622" i="23"/>
  <c r="L622" i="23"/>
  <c r="A622" i="23"/>
  <c r="O622" i="23"/>
  <c r="M622" i="23"/>
  <c r="A623" i="23"/>
  <c r="L623" i="23"/>
  <c r="M623" i="23"/>
  <c r="N623" i="23"/>
  <c r="O623" i="23"/>
  <c r="G178" i="23"/>
  <c r="O176" i="23"/>
  <c r="M176" i="23"/>
  <c r="G181" i="23"/>
  <c r="A176" i="23"/>
  <c r="C653" i="23"/>
  <c r="O604" i="23"/>
  <c r="L604" i="23"/>
  <c r="A604" i="23"/>
  <c r="M604" i="23"/>
  <c r="N604" i="23"/>
  <c r="N159" i="23"/>
  <c r="G632" i="23"/>
  <c r="O625" i="23"/>
  <c r="L625" i="23"/>
  <c r="N625" i="23"/>
  <c r="M625" i="23"/>
  <c r="A625" i="23"/>
  <c r="A174" i="23"/>
  <c r="L174" i="23"/>
  <c r="O174" i="23"/>
  <c r="M174" i="23"/>
  <c r="N174" i="23"/>
  <c r="C1358" i="1"/>
  <c r="M2117" i="1"/>
  <c r="S2117" i="1"/>
  <c r="T2117" i="1"/>
  <c r="U2117" i="1"/>
  <c r="H2117" i="1"/>
  <c r="M1093" i="23"/>
  <c r="L1093" i="23"/>
  <c r="N1093" i="23"/>
  <c r="O1093" i="23"/>
  <c r="A1093" i="23"/>
  <c r="M1085" i="23"/>
  <c r="N1085" i="23"/>
  <c r="O1085" i="23"/>
  <c r="A1085" i="23"/>
  <c r="L1085" i="23"/>
  <c r="L2806" i="23"/>
  <c r="N2806" i="23"/>
  <c r="M2806" i="23"/>
  <c r="A2806" i="23"/>
  <c r="O2806" i="23"/>
  <c r="N2805" i="23"/>
  <c r="M2805" i="23"/>
  <c r="A2805" i="23"/>
  <c r="A2704" i="23"/>
  <c r="O2704" i="23"/>
  <c r="M2704" i="23"/>
  <c r="L2704" i="23"/>
  <c r="N2704" i="23"/>
  <c r="M572" i="23"/>
  <c r="N572" i="23"/>
  <c r="O572" i="23"/>
  <c r="L572" i="23"/>
  <c r="A572" i="23"/>
  <c r="O2701" i="23"/>
  <c r="L2701" i="23"/>
  <c r="N2701" i="23"/>
  <c r="M2701" i="23"/>
  <c r="A2701" i="23"/>
  <c r="O3296" i="23"/>
  <c r="N3296" i="23"/>
  <c r="M3296" i="23"/>
  <c r="A3296" i="23"/>
  <c r="L3296" i="23"/>
  <c r="M2489" i="23"/>
  <c r="A2489" i="23"/>
  <c r="L2489" i="23"/>
  <c r="O2489" i="23"/>
  <c r="A733" i="23"/>
  <c r="L733" i="23"/>
  <c r="N733" i="23"/>
  <c r="M733" i="23"/>
  <c r="O733" i="23"/>
  <c r="N731" i="23"/>
  <c r="M731" i="23"/>
  <c r="L731" i="23"/>
  <c r="O731" i="23"/>
  <c r="A731" i="23"/>
  <c r="G732" i="23"/>
  <c r="G736" i="23"/>
  <c r="O728" i="23"/>
  <c r="A728" i="23"/>
  <c r="N728" i="23"/>
  <c r="L728" i="23"/>
  <c r="M728" i="23"/>
  <c r="G3534" i="23"/>
  <c r="O3533" i="23"/>
  <c r="G3524" i="23"/>
  <c r="M3523" i="23"/>
  <c r="L3523" i="23"/>
  <c r="O3523" i="23"/>
  <c r="A3523" i="23"/>
  <c r="N3523" i="23"/>
  <c r="N3144" i="23"/>
  <c r="O3144" i="23"/>
  <c r="L3144" i="23"/>
  <c r="M3144" i="23"/>
  <c r="A3144" i="23"/>
  <c r="O86" i="23"/>
  <c r="A86" i="23"/>
  <c r="L86" i="23"/>
  <c r="M86" i="23"/>
  <c r="N86" i="23"/>
  <c r="A2438" i="23"/>
  <c r="L2438" i="23"/>
  <c r="M2438" i="23"/>
  <c r="O2438" i="23"/>
  <c r="O730" i="23"/>
  <c r="M730" i="23"/>
  <c r="A730" i="23"/>
  <c r="L730" i="23"/>
  <c r="N730" i="23"/>
  <c r="O726" i="23"/>
  <c r="L726" i="23"/>
  <c r="G727" i="23"/>
  <c r="N726" i="23"/>
  <c r="A726" i="23"/>
  <c r="M726" i="23"/>
  <c r="A729" i="23"/>
  <c r="N729" i="23" s="1"/>
  <c r="L729" i="23"/>
  <c r="M729" i="23"/>
  <c r="O729" i="23"/>
  <c r="A735" i="23"/>
  <c r="N735" i="23"/>
  <c r="L735" i="23"/>
  <c r="O735" i="23"/>
  <c r="M735" i="23"/>
  <c r="G90" i="23"/>
  <c r="N87" i="23"/>
  <c r="G89" i="23"/>
  <c r="L87" i="23"/>
  <c r="M87" i="23"/>
  <c r="A87" i="23"/>
  <c r="A88" i="23" s="1"/>
  <c r="O87" i="23"/>
  <c r="G91" i="23"/>
  <c r="M85" i="23"/>
  <c r="N85" i="23"/>
  <c r="L85" i="23"/>
  <c r="O85" i="23"/>
  <c r="A85" i="23"/>
  <c r="L725" i="23"/>
  <c r="M725" i="23"/>
  <c r="O725" i="23"/>
  <c r="A725" i="23"/>
  <c r="N725" i="23"/>
  <c r="O724" i="23"/>
  <c r="M724" i="23"/>
  <c r="A724" i="23"/>
  <c r="L724" i="23"/>
  <c r="N724" i="23"/>
  <c r="G737" i="23"/>
  <c r="N734" i="23"/>
  <c r="A734" i="23"/>
  <c r="O734" i="23"/>
  <c r="L734" i="23"/>
  <c r="M734" i="23"/>
  <c r="L3528" i="23"/>
  <c r="M3528" i="23"/>
  <c r="N3528" i="23"/>
  <c r="N3525" i="23"/>
  <c r="M84" i="23"/>
  <c r="L84" i="23"/>
  <c r="N84" i="23"/>
  <c r="A84" i="23"/>
  <c r="O84" i="23"/>
  <c r="N1473" i="23"/>
  <c r="L1473" i="23"/>
  <c r="L2450" i="23"/>
  <c r="A2450" i="23"/>
  <c r="G1472" i="23"/>
  <c r="L1471" i="23"/>
  <c r="M1471" i="23"/>
  <c r="N1471" i="23"/>
  <c r="A1471" i="23"/>
  <c r="O1471" i="23"/>
  <c r="A2449" i="23"/>
  <c r="L2449" i="23"/>
  <c r="M2449" i="23"/>
  <c r="O2449" i="23"/>
  <c r="N2627" i="23"/>
  <c r="L2627" i="23"/>
  <c r="O2627" i="23"/>
  <c r="A2627" i="23"/>
  <c r="M2627" i="23"/>
  <c r="M2432" i="23"/>
  <c r="A2432" i="23"/>
  <c r="L2432" i="23"/>
  <c r="O2432" i="23"/>
  <c r="A1287" i="23"/>
  <c r="L1287" i="23"/>
  <c r="M2448" i="23"/>
  <c r="L2448" i="23"/>
  <c r="O2448" i="23"/>
  <c r="A2448" i="23"/>
  <c r="M2548" i="23"/>
  <c r="L2548" i="23"/>
  <c r="O2548" i="23"/>
  <c r="A2548" i="23"/>
  <c r="M137" i="23"/>
  <c r="L137" i="23"/>
  <c r="A137" i="23"/>
  <c r="O137" i="23"/>
  <c r="N137" i="23"/>
  <c r="O347" i="49"/>
  <c r="N347" i="49"/>
  <c r="A347" i="49"/>
  <c r="L347" i="49"/>
  <c r="M347" i="49"/>
  <c r="M1091" i="23"/>
  <c r="L1091" i="23"/>
  <c r="A1091" i="23"/>
  <c r="N1091" i="23"/>
  <c r="O1091" i="23"/>
  <c r="I347" i="1"/>
  <c r="I344" i="1"/>
  <c r="I346" i="1"/>
  <c r="I345" i="1"/>
  <c r="N581" i="49"/>
  <c r="A581" i="49"/>
  <c r="O581" i="49"/>
  <c r="L581" i="49"/>
  <c r="M581" i="49"/>
  <c r="L758" i="1"/>
  <c r="L764" i="1"/>
  <c r="L761" i="1"/>
  <c r="L763" i="1"/>
  <c r="L762" i="1"/>
  <c r="L759" i="1"/>
  <c r="L760" i="1"/>
  <c r="L1176" i="1"/>
  <c r="L1175" i="1"/>
  <c r="L1172" i="1"/>
  <c r="L1173" i="1"/>
  <c r="L1174" i="1"/>
  <c r="T1783" i="1"/>
  <c r="S1783" i="1"/>
  <c r="U1783" i="1"/>
  <c r="C1783" i="1"/>
  <c r="I41" i="1"/>
  <c r="I39" i="1"/>
  <c r="I40" i="1"/>
  <c r="I38" i="1"/>
  <c r="I92" i="1"/>
  <c r="I89" i="1"/>
  <c r="I88" i="1"/>
  <c r="I84" i="1"/>
  <c r="I90" i="1"/>
  <c r="I91" i="1"/>
  <c r="I86" i="1"/>
  <c r="I85" i="1"/>
  <c r="I87" i="1"/>
  <c r="I31" i="1"/>
  <c r="I30" i="1"/>
  <c r="I28" i="1"/>
  <c r="I29" i="1"/>
  <c r="I354" i="1"/>
  <c r="I350" i="1"/>
  <c r="I355" i="1"/>
  <c r="I356" i="1"/>
  <c r="I357" i="1"/>
  <c r="I351" i="1"/>
  <c r="I353" i="1"/>
  <c r="I349" i="1"/>
  <c r="I352" i="1"/>
  <c r="I435" i="1"/>
  <c r="I431" i="1"/>
  <c r="I425" i="1"/>
  <c r="I430" i="1"/>
  <c r="I427" i="1"/>
  <c r="I432" i="1"/>
  <c r="I428" i="1"/>
  <c r="I424" i="1"/>
  <c r="I433" i="1"/>
  <c r="I429" i="1"/>
  <c r="I426" i="1"/>
  <c r="I434" i="1"/>
  <c r="I48" i="1"/>
  <c r="I51" i="1"/>
  <c r="I50" i="1"/>
  <c r="I49" i="1"/>
  <c r="I392" i="1"/>
  <c r="I396" i="1"/>
  <c r="I394" i="1"/>
  <c r="I395" i="1"/>
  <c r="I393" i="1"/>
  <c r="I389" i="1"/>
  <c r="I387" i="1"/>
  <c r="I390" i="1"/>
  <c r="I385" i="1"/>
  <c r="I388" i="1"/>
  <c r="I386" i="1"/>
  <c r="I36" i="1"/>
  <c r="I33" i="1"/>
  <c r="I35" i="1"/>
  <c r="I34" i="1"/>
  <c r="I259" i="1"/>
  <c r="I258" i="1"/>
  <c r="I255" i="1"/>
  <c r="I256" i="1"/>
  <c r="I257" i="1"/>
  <c r="I268" i="1"/>
  <c r="I267" i="1"/>
  <c r="I269" i="1"/>
  <c r="I15" i="1"/>
  <c r="I16" i="1"/>
  <c r="I79" i="1"/>
  <c r="I81" i="1"/>
  <c r="I80" i="1"/>
  <c r="I82" i="1"/>
  <c r="I154" i="1"/>
  <c r="I159" i="1"/>
  <c r="I161" i="1"/>
  <c r="I157" i="1"/>
  <c r="I155" i="1"/>
  <c r="I160" i="1"/>
  <c r="I162" i="1"/>
  <c r="I156" i="1"/>
  <c r="I153" i="1"/>
  <c r="I158" i="1"/>
  <c r="I409" i="1"/>
  <c r="I412" i="1"/>
  <c r="I414" i="1"/>
  <c r="I415" i="1"/>
  <c r="I417" i="1"/>
  <c r="I411" i="1"/>
  <c r="I410" i="1"/>
  <c r="I416" i="1"/>
  <c r="I413" i="1"/>
  <c r="I374" i="1"/>
  <c r="I377" i="1"/>
  <c r="I376" i="1"/>
  <c r="I378" i="1"/>
  <c r="I375" i="1"/>
  <c r="I45" i="1"/>
  <c r="I46" i="1"/>
  <c r="I43" i="1"/>
  <c r="I44" i="1"/>
  <c r="I123" i="1"/>
  <c r="I122" i="1"/>
  <c r="I124" i="1"/>
  <c r="I121" i="1"/>
  <c r="I115" i="1"/>
  <c r="I119" i="1"/>
  <c r="I118" i="1"/>
  <c r="I117" i="1"/>
  <c r="I116" i="1"/>
  <c r="I407" i="1"/>
  <c r="I405" i="1"/>
  <c r="I406" i="1"/>
  <c r="I404" i="1"/>
  <c r="I128" i="1"/>
  <c r="I129" i="1"/>
  <c r="I127" i="1"/>
  <c r="I126" i="1"/>
  <c r="I137" i="1"/>
  <c r="I136" i="1"/>
  <c r="I77" i="1"/>
  <c r="I76" i="1"/>
  <c r="I339" i="1"/>
  <c r="I342" i="1"/>
  <c r="I341" i="1"/>
  <c r="I340" i="1"/>
  <c r="I211" i="1"/>
  <c r="I210" i="1"/>
  <c r="I209" i="1"/>
  <c r="I19" i="1"/>
  <c r="I18" i="1"/>
  <c r="I20" i="1"/>
  <c r="I182" i="1"/>
  <c r="I181" i="1"/>
  <c r="I179" i="1"/>
  <c r="I180" i="1"/>
  <c r="I183" i="1"/>
  <c r="I219" i="1"/>
  <c r="I221" i="1"/>
  <c r="I218" i="1"/>
  <c r="I220" i="1"/>
  <c r="I302" i="1"/>
  <c r="I306" i="1"/>
  <c r="I307" i="1"/>
  <c r="I308" i="1"/>
  <c r="I310" i="1"/>
  <c r="I301" i="1"/>
  <c r="I303" i="1"/>
  <c r="I311" i="1"/>
  <c r="I309" i="1"/>
  <c r="I293" i="1"/>
  <c r="I295" i="1"/>
  <c r="I297" i="1"/>
  <c r="I294" i="1"/>
  <c r="I292" i="1"/>
  <c r="I299" i="1"/>
  <c r="I291" i="1"/>
  <c r="I298" i="1"/>
  <c r="I296" i="1"/>
  <c r="I64" i="1"/>
  <c r="I71" i="1"/>
  <c r="I70" i="1"/>
  <c r="I66" i="1"/>
  <c r="I65" i="1"/>
  <c r="I69" i="1"/>
  <c r="I63" i="1"/>
  <c r="I68" i="1"/>
  <c r="I67" i="1"/>
  <c r="I197" i="1"/>
  <c r="I198" i="1"/>
  <c r="I199" i="1"/>
  <c r="I196" i="1"/>
  <c r="L1181" i="1"/>
  <c r="L1182" i="1"/>
  <c r="L1180" i="1"/>
  <c r="L1179" i="1"/>
  <c r="L1178" i="1"/>
  <c r="L1138" i="1"/>
  <c r="L1141" i="1"/>
  <c r="L1140" i="1"/>
  <c r="L1139" i="1"/>
  <c r="L1242" i="1"/>
  <c r="L1243" i="1"/>
  <c r="L1240" i="1"/>
  <c r="L1222" i="1"/>
  <c r="L1204" i="1"/>
  <c r="L1220" i="1"/>
  <c r="L1212" i="1"/>
  <c r="L1235" i="1"/>
  <c r="L1203" i="1"/>
  <c r="L1237" i="1"/>
  <c r="L1199" i="1"/>
  <c r="L1198" i="1"/>
  <c r="L1241" i="1"/>
  <c r="L1228" i="1"/>
  <c r="L1234" i="1"/>
  <c r="L1238" i="1"/>
  <c r="L1200" i="1"/>
  <c r="L1219" i="1"/>
  <c r="L1196" i="1"/>
  <c r="L1221" i="1"/>
  <c r="L1233" i="1"/>
  <c r="L1236" i="1"/>
  <c r="L1239" i="1"/>
  <c r="L1197" i="1"/>
  <c r="L1244" i="1"/>
  <c r="L1205" i="1"/>
  <c r="L1206" i="1"/>
  <c r="L137" i="1"/>
  <c r="L136" i="1"/>
  <c r="L422" i="1"/>
  <c r="L421" i="1"/>
  <c r="L420" i="1"/>
  <c r="L419" i="1"/>
  <c r="L28" i="1"/>
  <c r="L30" i="1"/>
  <c r="L31" i="1"/>
  <c r="L29" i="1"/>
  <c r="L223" i="1"/>
  <c r="L224" i="1"/>
  <c r="L225" i="1"/>
  <c r="L226" i="1"/>
  <c r="L378" i="1"/>
  <c r="L376" i="1"/>
  <c r="L374" i="1"/>
  <c r="L375" i="1"/>
  <c r="L377" i="1"/>
  <c r="L116" i="1"/>
  <c r="L115" i="1"/>
  <c r="L117" i="1"/>
  <c r="L118" i="1"/>
  <c r="L119" i="1"/>
  <c r="L347" i="1"/>
  <c r="L345" i="1"/>
  <c r="L344" i="1"/>
  <c r="L346" i="1"/>
  <c r="L306" i="1"/>
  <c r="L308" i="1"/>
  <c r="L307" i="1"/>
  <c r="L302" i="1"/>
  <c r="L310" i="1"/>
  <c r="L309" i="1"/>
  <c r="L303" i="1"/>
  <c r="L301" i="1"/>
  <c r="L311" i="1"/>
  <c r="L33" i="1"/>
  <c r="L35" i="1"/>
  <c r="L34" i="1"/>
  <c r="L36" i="1"/>
  <c r="L235" i="1"/>
  <c r="L234" i="1"/>
  <c r="L237" i="1"/>
  <c r="L236" i="1"/>
  <c r="L158" i="1"/>
  <c r="L156" i="1"/>
  <c r="L153" i="1"/>
  <c r="L162" i="1"/>
  <c r="L159" i="1"/>
  <c r="L155" i="1"/>
  <c r="L160" i="1"/>
  <c r="L154" i="1"/>
  <c r="L157" i="1"/>
  <c r="L161" i="1"/>
  <c r="L60" i="1"/>
  <c r="L53" i="1"/>
  <c r="L54" i="1"/>
  <c r="L61" i="1"/>
  <c r="L56" i="1"/>
  <c r="L58" i="1"/>
  <c r="L59" i="1"/>
  <c r="L55" i="1"/>
  <c r="L57" i="1"/>
  <c r="L216" i="1"/>
  <c r="L336" i="1"/>
  <c r="L335" i="1"/>
  <c r="L337" i="1"/>
  <c r="L213" i="1"/>
  <c r="L214" i="1"/>
  <c r="L215" i="1"/>
  <c r="L183" i="1"/>
  <c r="L181" i="1"/>
  <c r="L182" i="1"/>
  <c r="L180" i="1"/>
  <c r="L179" i="1"/>
  <c r="L328" i="1"/>
  <c r="L326" i="1"/>
  <c r="L329" i="1"/>
  <c r="L327" i="1"/>
  <c r="L330" i="1"/>
  <c r="L143" i="1"/>
  <c r="L145" i="1"/>
  <c r="L146" i="1"/>
  <c r="L144" i="1"/>
  <c r="L80" i="1"/>
  <c r="L79" i="1"/>
  <c r="L81" i="1"/>
  <c r="L82" i="1"/>
  <c r="L133" i="1"/>
  <c r="L134" i="1"/>
  <c r="L132" i="1"/>
  <c r="L131" i="1"/>
  <c r="L443" i="1"/>
  <c r="L445" i="1"/>
  <c r="L440" i="1"/>
  <c r="L439" i="1"/>
  <c r="L448" i="1"/>
  <c r="L441" i="1"/>
  <c r="L438" i="1"/>
  <c r="L442" i="1"/>
  <c r="L447" i="1"/>
  <c r="L446" i="1"/>
  <c r="L437" i="1"/>
  <c r="L444" i="1"/>
  <c r="L19" i="1"/>
  <c r="L20" i="1"/>
  <c r="L18" i="1"/>
  <c r="L23" i="1"/>
  <c r="L24" i="1"/>
  <c r="L22" i="1"/>
  <c r="L25" i="1"/>
  <c r="L26" i="1"/>
  <c r="L211" i="1"/>
  <c r="L209" i="1"/>
  <c r="L210" i="1"/>
  <c r="L201" i="1"/>
  <c r="L203" i="1"/>
  <c r="L202" i="1"/>
  <c r="L204" i="1"/>
  <c r="L207" i="1"/>
  <c r="L206" i="1"/>
  <c r="L400" i="1"/>
  <c r="L402" i="1"/>
  <c r="L398" i="1"/>
  <c r="L399" i="1"/>
  <c r="L401" i="1"/>
  <c r="L43" i="1"/>
  <c r="L45" i="1"/>
  <c r="L44" i="1"/>
  <c r="L46" i="1"/>
  <c r="L340" i="1"/>
  <c r="L341" i="1"/>
  <c r="L342" i="1"/>
  <c r="L339" i="1"/>
  <c r="L50" i="1"/>
  <c r="L49" i="1"/>
  <c r="L51" i="1"/>
  <c r="L48" i="1"/>
  <c r="L407" i="1"/>
  <c r="L406" i="1"/>
  <c r="L404" i="1"/>
  <c r="L405" i="1"/>
  <c r="L247" i="1"/>
  <c r="L246" i="1"/>
  <c r="L245" i="1"/>
  <c r="L248" i="1"/>
  <c r="L74" i="1"/>
  <c r="L73" i="1"/>
  <c r="L171" i="1"/>
  <c r="L165" i="1"/>
  <c r="L167" i="1"/>
  <c r="L168" i="1"/>
  <c r="L166" i="1"/>
  <c r="L164" i="1"/>
  <c r="L172" i="1"/>
  <c r="L169" i="1"/>
  <c r="L170" i="1"/>
  <c r="L199" i="1"/>
  <c r="L197" i="1"/>
  <c r="L198" i="1"/>
  <c r="L196" i="1"/>
  <c r="L855" i="1"/>
  <c r="L853" i="1"/>
  <c r="L856" i="1"/>
  <c r="L854" i="1"/>
  <c r="L638" i="1"/>
  <c r="L640" i="1"/>
  <c r="L636" i="1"/>
  <c r="L639" i="1"/>
  <c r="L637" i="1"/>
  <c r="L641" i="1"/>
  <c r="L730" i="1"/>
  <c r="L725" i="1"/>
  <c r="L728" i="1"/>
  <c r="L727" i="1"/>
  <c r="L729" i="1"/>
  <c r="L726" i="1"/>
  <c r="L643" i="1"/>
  <c r="L646" i="1"/>
  <c r="L648" i="1"/>
  <c r="L644" i="1"/>
  <c r="L645" i="1"/>
  <c r="L647" i="1"/>
  <c r="L734" i="1"/>
  <c r="L735" i="1"/>
  <c r="L733" i="1"/>
  <c r="L736" i="1"/>
  <c r="L732" i="1"/>
  <c r="L722" i="1"/>
  <c r="L721" i="1"/>
  <c r="L723" i="1"/>
  <c r="L719" i="1"/>
  <c r="L720" i="1"/>
  <c r="L699" i="1"/>
  <c r="L696" i="1"/>
  <c r="L697" i="1"/>
  <c r="L698" i="1"/>
  <c r="L700" i="1"/>
  <c r="L701" i="1"/>
  <c r="L702" i="1"/>
  <c r="L744" i="1"/>
  <c r="L749" i="1"/>
  <c r="L746" i="1"/>
  <c r="L745" i="1"/>
  <c r="L748" i="1"/>
  <c r="L750" i="1"/>
  <c r="L747" i="1"/>
  <c r="L860" i="1"/>
  <c r="L858" i="1"/>
  <c r="L859" i="1"/>
  <c r="L683" i="1"/>
  <c r="L681" i="1"/>
  <c r="L680" i="1"/>
  <c r="L682" i="1"/>
  <c r="L684" i="1"/>
  <c r="L685" i="1"/>
  <c r="L686" i="1"/>
  <c r="L847" i="1"/>
  <c r="L848" i="1"/>
  <c r="L849" i="1"/>
  <c r="L850" i="1"/>
  <c r="L846" i="1"/>
  <c r="L851" i="1"/>
  <c r="L669" i="1"/>
  <c r="L670" i="1"/>
  <c r="L664" i="1"/>
  <c r="L667" i="1"/>
  <c r="L668" i="1"/>
  <c r="L665" i="1"/>
  <c r="L666" i="1"/>
  <c r="O46" i="1"/>
  <c r="O45" i="1"/>
  <c r="O44" i="1"/>
  <c r="O43" i="1"/>
  <c r="O136" i="1"/>
  <c r="O137" i="1"/>
  <c r="O49" i="1"/>
  <c r="O50" i="1"/>
  <c r="O48" i="1"/>
  <c r="O51" i="1"/>
  <c r="O19" i="1"/>
  <c r="O20" i="1"/>
  <c r="O18" i="1"/>
  <c r="O59" i="1"/>
  <c r="O57" i="1"/>
  <c r="O54" i="1"/>
  <c r="O56" i="1"/>
  <c r="O55" i="1"/>
  <c r="O53" i="1"/>
  <c r="O60" i="1"/>
  <c r="O61" i="1"/>
  <c r="O58" i="1"/>
  <c r="O69" i="1"/>
  <c r="O70" i="1"/>
  <c r="O67" i="1"/>
  <c r="O66" i="1"/>
  <c r="O65" i="1"/>
  <c r="O68" i="1"/>
  <c r="O63" i="1"/>
  <c r="O71" i="1"/>
  <c r="O64" i="1"/>
  <c r="O164" i="1"/>
  <c r="O165" i="1"/>
  <c r="O166" i="1"/>
  <c r="O171" i="1"/>
  <c r="O169" i="1"/>
  <c r="O170" i="1"/>
  <c r="O167" i="1"/>
  <c r="O168" i="1"/>
  <c r="O172" i="1"/>
  <c r="O74" i="1"/>
  <c r="O73" i="1"/>
  <c r="O16" i="1"/>
  <c r="O15" i="1"/>
  <c r="J1172" i="1"/>
  <c r="J1173" i="1"/>
  <c r="J1174" i="1"/>
  <c r="J1175" i="1"/>
  <c r="J1176" i="1"/>
  <c r="N150" i="1"/>
  <c r="N148" i="1"/>
  <c r="N151" i="1"/>
  <c r="N149" i="1"/>
  <c r="N31" i="1"/>
  <c r="N28" i="1"/>
  <c r="N29" i="1"/>
  <c r="N30" i="1"/>
  <c r="T2028" i="1"/>
  <c r="U2028" i="1"/>
  <c r="S2028" i="1"/>
  <c r="M2028" i="1"/>
  <c r="H2028" i="1"/>
  <c r="H2172" i="1"/>
  <c r="S2172" i="1"/>
  <c r="T2172" i="1"/>
  <c r="U2172" i="1"/>
  <c r="G1807" i="1"/>
  <c r="G1893" i="1"/>
  <c r="I653" i="1"/>
  <c r="I650" i="1"/>
  <c r="I651" i="1"/>
  <c r="I652" i="1"/>
  <c r="I654" i="1"/>
  <c r="I860" i="1"/>
  <c r="I858" i="1"/>
  <c r="I859" i="1"/>
  <c r="I700" i="1"/>
  <c r="I701" i="1"/>
  <c r="I702" i="1"/>
  <c r="I697" i="1"/>
  <c r="I698" i="1"/>
  <c r="I699" i="1"/>
  <c r="I696" i="1"/>
  <c r="I813" i="1"/>
  <c r="I814" i="1"/>
  <c r="I816" i="1"/>
  <c r="I815" i="1"/>
  <c r="I812" i="1"/>
  <c r="I681" i="1"/>
  <c r="I686" i="1"/>
  <c r="I683" i="1"/>
  <c r="I684" i="1"/>
  <c r="I685" i="1"/>
  <c r="I682" i="1"/>
  <c r="I680" i="1"/>
  <c r="I761" i="1"/>
  <c r="I758" i="1"/>
  <c r="I764" i="1"/>
  <c r="I759" i="1"/>
  <c r="I762" i="1"/>
  <c r="I760" i="1"/>
  <c r="I763" i="1"/>
  <c r="I659" i="1"/>
  <c r="I661" i="1"/>
  <c r="I656" i="1"/>
  <c r="I658" i="1"/>
  <c r="I662" i="1"/>
  <c r="I660" i="1"/>
  <c r="I657" i="1"/>
  <c r="I688" i="1"/>
  <c r="I692" i="1"/>
  <c r="I691" i="1"/>
  <c r="I690" i="1"/>
  <c r="I689" i="1"/>
  <c r="I694" i="1"/>
  <c r="I693" i="1"/>
  <c r="I787" i="1"/>
  <c r="I786" i="1"/>
  <c r="I788" i="1"/>
  <c r="I789" i="1"/>
  <c r="I668" i="1"/>
  <c r="I666" i="1"/>
  <c r="I669" i="1"/>
  <c r="I665" i="1"/>
  <c r="I670" i="1"/>
  <c r="I667" i="1"/>
  <c r="I664" i="1"/>
  <c r="I777" i="1"/>
  <c r="I779" i="1"/>
  <c r="I775" i="1"/>
  <c r="I780" i="1"/>
  <c r="I776" i="1"/>
  <c r="I840" i="1"/>
  <c r="I839" i="1"/>
  <c r="I843" i="1"/>
  <c r="I841" i="1"/>
  <c r="I842" i="1"/>
  <c r="I844" i="1"/>
  <c r="I784" i="1"/>
  <c r="I783" i="1"/>
  <c r="I782" i="1"/>
  <c r="I719" i="1"/>
  <c r="I721" i="1"/>
  <c r="I722" i="1"/>
  <c r="I723" i="1"/>
  <c r="I720" i="1"/>
  <c r="I854" i="1"/>
  <c r="I855" i="1"/>
  <c r="I853" i="1"/>
  <c r="I856" i="1"/>
  <c r="I805" i="1"/>
  <c r="I809" i="1"/>
  <c r="I810" i="1"/>
  <c r="I807" i="1"/>
  <c r="I806" i="1"/>
  <c r="I808" i="1"/>
  <c r="I938" i="1"/>
  <c r="I936" i="1"/>
  <c r="I933" i="1"/>
  <c r="I937" i="1"/>
  <c r="I934" i="1"/>
  <c r="I935" i="1"/>
  <c r="I939" i="1"/>
  <c r="I953" i="1"/>
  <c r="I951" i="1"/>
  <c r="I950" i="1"/>
  <c r="I955" i="1"/>
  <c r="I954" i="1"/>
  <c r="I952" i="1"/>
  <c r="I949" i="1"/>
  <c r="I956" i="1"/>
  <c r="I957" i="1"/>
  <c r="I907" i="1"/>
  <c r="I901" i="1"/>
  <c r="I903" i="1"/>
  <c r="I905" i="1"/>
  <c r="I902" i="1"/>
  <c r="I904" i="1"/>
  <c r="I906" i="1"/>
  <c r="I970" i="1"/>
  <c r="I969" i="1"/>
  <c r="I967" i="1"/>
  <c r="I972" i="1"/>
  <c r="I971" i="1"/>
  <c r="I968" i="1"/>
  <c r="I1009" i="1"/>
  <c r="I1018" i="1"/>
  <c r="I1017" i="1"/>
  <c r="I1015" i="1"/>
  <c r="I1014" i="1"/>
  <c r="I1008" i="1"/>
  <c r="I1016" i="1"/>
  <c r="I1013" i="1"/>
  <c r="I1007" i="1"/>
  <c r="I1010" i="1"/>
  <c r="I1011" i="1"/>
  <c r="I1012" i="1"/>
  <c r="I1033" i="1"/>
  <c r="I1042" i="1"/>
  <c r="I1044" i="1"/>
  <c r="I1032" i="1"/>
  <c r="I1037" i="1"/>
  <c r="I1036" i="1"/>
  <c r="I1039" i="1"/>
  <c r="I1043" i="1"/>
  <c r="I1040" i="1"/>
  <c r="I1035" i="1"/>
  <c r="I1038" i="1"/>
  <c r="I1034" i="1"/>
  <c r="I1041" i="1"/>
  <c r="I914" i="1"/>
  <c r="I917" i="1"/>
  <c r="I912" i="1"/>
  <c r="I918" i="1"/>
  <c r="I916" i="1"/>
  <c r="I915" i="1"/>
  <c r="I913" i="1"/>
  <c r="I960" i="1"/>
  <c r="I959" i="1"/>
  <c r="I961" i="1"/>
  <c r="I965" i="1"/>
  <c r="I962" i="1"/>
  <c r="I963" i="1"/>
  <c r="I964" i="1"/>
  <c r="I1128" i="1"/>
  <c r="I1131" i="1"/>
  <c r="I1123" i="1"/>
  <c r="I1122" i="1"/>
  <c r="I1124" i="1"/>
  <c r="I1129" i="1"/>
  <c r="I1127" i="1"/>
  <c r="I1125" i="1"/>
  <c r="I1130" i="1"/>
  <c r="I1126" i="1"/>
  <c r="I921" i="1"/>
  <c r="I920" i="1"/>
  <c r="I978" i="1"/>
  <c r="I979" i="1"/>
  <c r="I975" i="1"/>
  <c r="I976" i="1"/>
  <c r="I977" i="1"/>
  <c r="I974" i="1"/>
  <c r="I1029" i="1"/>
  <c r="I1027" i="1"/>
  <c r="I1030" i="1"/>
  <c r="I1024" i="1"/>
  <c r="I1025" i="1"/>
  <c r="I1021" i="1"/>
  <c r="I1028" i="1"/>
  <c r="I1022" i="1"/>
  <c r="I1023" i="1"/>
  <c r="I1026" i="1"/>
  <c r="I1020" i="1"/>
  <c r="I1049" i="1"/>
  <c r="I1055" i="1"/>
  <c r="I1051" i="1"/>
  <c r="I1048" i="1"/>
  <c r="I1052" i="1"/>
  <c r="I1056" i="1"/>
  <c r="I1050" i="1"/>
  <c r="I1053" i="1"/>
  <c r="I1047" i="1"/>
  <c r="I1054" i="1"/>
  <c r="I1057" i="1"/>
  <c r="I1046" i="1"/>
  <c r="I862" i="1"/>
  <c r="I865" i="1"/>
  <c r="I864" i="1"/>
  <c r="I868" i="1"/>
  <c r="I867" i="1"/>
  <c r="I863" i="1"/>
  <c r="I866" i="1"/>
  <c r="L550" i="1"/>
  <c r="L548" i="1"/>
  <c r="L549" i="1"/>
  <c r="L551" i="1"/>
  <c r="L552" i="1"/>
  <c r="L462" i="1"/>
  <c r="L456" i="1"/>
  <c r="L459" i="1"/>
  <c r="L461" i="1"/>
  <c r="L457" i="1"/>
  <c r="L460" i="1"/>
  <c r="L458" i="1"/>
  <c r="L518" i="1"/>
  <c r="L515" i="1"/>
  <c r="L519" i="1"/>
  <c r="L514" i="1"/>
  <c r="L521" i="1"/>
  <c r="L520" i="1"/>
  <c r="L516" i="1"/>
  <c r="L517" i="1"/>
  <c r="L559" i="1"/>
  <c r="L556" i="1"/>
  <c r="L561" i="1"/>
  <c r="L557" i="1"/>
  <c r="L558" i="1"/>
  <c r="L560" i="1"/>
  <c r="L555" i="1"/>
  <c r="L554" i="1"/>
  <c r="L1092" i="1"/>
  <c r="L1091" i="1"/>
  <c r="L1090" i="1"/>
  <c r="L1088" i="1"/>
  <c r="L1096" i="1"/>
  <c r="L1095" i="1"/>
  <c r="L1086" i="1"/>
  <c r="L1097" i="1"/>
  <c r="L1087" i="1"/>
  <c r="L1093" i="1"/>
  <c r="L1089" i="1"/>
  <c r="L1094" i="1"/>
  <c r="L1060" i="1"/>
  <c r="L1062" i="1"/>
  <c r="L1065" i="1"/>
  <c r="L1068" i="1"/>
  <c r="L1064" i="1"/>
  <c r="L1067" i="1"/>
  <c r="L1069" i="1"/>
  <c r="L1066" i="1"/>
  <c r="L1061" i="1"/>
  <c r="L1059" i="1"/>
  <c r="L1063" i="1"/>
  <c r="L953" i="1"/>
  <c r="L954" i="1"/>
  <c r="L951" i="1"/>
  <c r="L955" i="1"/>
  <c r="L957" i="1"/>
  <c r="L952" i="1"/>
  <c r="L950" i="1"/>
  <c r="L956" i="1"/>
  <c r="L949" i="1"/>
  <c r="L1047" i="1"/>
  <c r="L1049" i="1"/>
  <c r="L1057" i="1"/>
  <c r="L1056" i="1"/>
  <c r="L1050" i="1"/>
  <c r="L1054" i="1"/>
  <c r="L1052" i="1"/>
  <c r="L1055" i="1"/>
  <c r="L1051" i="1"/>
  <c r="L1053" i="1"/>
  <c r="L1046" i="1"/>
  <c r="L1048" i="1"/>
  <c r="L921" i="1"/>
  <c r="L920" i="1"/>
  <c r="L969" i="1"/>
  <c r="L971" i="1"/>
  <c r="L968" i="1"/>
  <c r="L972" i="1"/>
  <c r="L970" i="1"/>
  <c r="L967" i="1"/>
  <c r="L917" i="1"/>
  <c r="L914" i="1"/>
  <c r="L916" i="1"/>
  <c r="L913" i="1"/>
  <c r="L912" i="1"/>
  <c r="L918" i="1"/>
  <c r="L915" i="1"/>
  <c r="L870" i="1"/>
  <c r="L871" i="1"/>
  <c r="L1113" i="1"/>
  <c r="L1117" i="1"/>
  <c r="L1118" i="1"/>
  <c r="L1119" i="1"/>
  <c r="L1120" i="1"/>
  <c r="L1115" i="1"/>
  <c r="L1114" i="1"/>
  <c r="L1112" i="1"/>
  <c r="L1111" i="1"/>
  <c r="L1116" i="1"/>
  <c r="L885" i="1"/>
  <c r="L888" i="1"/>
  <c r="L889" i="1"/>
  <c r="L887" i="1"/>
  <c r="L884" i="1"/>
  <c r="L883" i="1"/>
  <c r="L886" i="1"/>
  <c r="L1039" i="1"/>
  <c r="L1038" i="1"/>
  <c r="L1042" i="1"/>
  <c r="L1033" i="1"/>
  <c r="L1041" i="1"/>
  <c r="L1044" i="1"/>
  <c r="L1037" i="1"/>
  <c r="L1035" i="1"/>
  <c r="L1036" i="1"/>
  <c r="L1034" i="1"/>
  <c r="L1043" i="1"/>
  <c r="L1040" i="1"/>
  <c r="L1032" i="1"/>
  <c r="L1017" i="1"/>
  <c r="L1014" i="1"/>
  <c r="L1015" i="1"/>
  <c r="L1009" i="1"/>
  <c r="L1010" i="1"/>
  <c r="L1018" i="1"/>
  <c r="L1013" i="1"/>
  <c r="L1012" i="1"/>
  <c r="L1011" i="1"/>
  <c r="L1008" i="1"/>
  <c r="L1016" i="1"/>
  <c r="L1007" i="1"/>
  <c r="L930" i="1"/>
  <c r="L929" i="1"/>
  <c r="L926" i="1"/>
  <c r="L931" i="1"/>
  <c r="L925" i="1"/>
  <c r="L927" i="1"/>
  <c r="L923" i="1"/>
  <c r="L928" i="1"/>
  <c r="L924" i="1"/>
  <c r="L862" i="1"/>
  <c r="L864" i="1"/>
  <c r="L863" i="1"/>
  <c r="L868" i="1"/>
  <c r="L867" i="1"/>
  <c r="L866" i="1"/>
  <c r="L865" i="1"/>
  <c r="O585" i="1"/>
  <c r="O586" i="1"/>
  <c r="O587" i="1"/>
  <c r="O611" i="1"/>
  <c r="O610" i="1"/>
  <c r="O609" i="1"/>
  <c r="J216" i="1"/>
  <c r="J214" i="1"/>
  <c r="J335" i="1"/>
  <c r="J215" i="1"/>
  <c r="J337" i="1"/>
  <c r="J336" i="1"/>
  <c r="J213" i="1"/>
  <c r="S1884" i="1"/>
  <c r="H1884" i="1"/>
  <c r="L1884" i="1" s="1"/>
  <c r="U1884" i="1"/>
  <c r="T1884" i="1"/>
  <c r="N185" i="1"/>
  <c r="N187" i="1"/>
  <c r="N186" i="1"/>
  <c r="N188" i="1"/>
  <c r="N223" i="1"/>
  <c r="N225" i="1"/>
  <c r="N226" i="1"/>
  <c r="N224" i="1"/>
  <c r="J597" i="1"/>
  <c r="J598" i="1"/>
  <c r="J599" i="1"/>
  <c r="T1561" i="1"/>
  <c r="S1561" i="1"/>
  <c r="H1561" i="1"/>
  <c r="U1561" i="1"/>
  <c r="J1561" i="1"/>
  <c r="J1564" i="1"/>
  <c r="U1564" i="1"/>
  <c r="S1564" i="1"/>
  <c r="T1564" i="1"/>
  <c r="H1564" i="1"/>
  <c r="A1086" i="23"/>
  <c r="M1086" i="23"/>
  <c r="N1086" i="23"/>
  <c r="O1086" i="23"/>
  <c r="L1086" i="23"/>
  <c r="L978" i="1"/>
  <c r="L979" i="1"/>
  <c r="L975" i="1"/>
  <c r="L977" i="1"/>
  <c r="L976" i="1"/>
  <c r="L974" i="1"/>
  <c r="L752" i="1"/>
  <c r="L756" i="1"/>
  <c r="L754" i="1"/>
  <c r="L753" i="1"/>
  <c r="L755" i="1"/>
  <c r="L1193" i="1"/>
  <c r="L1190" i="1"/>
  <c r="L1192" i="1"/>
  <c r="L1194" i="1"/>
  <c r="L1191" i="1"/>
  <c r="I175" i="1"/>
  <c r="I174" i="1"/>
  <c r="I176" i="1"/>
  <c r="I177" i="1"/>
  <c r="I361" i="1"/>
  <c r="I360" i="1"/>
  <c r="I359" i="1"/>
  <c r="I365" i="1"/>
  <c r="I364" i="1"/>
  <c r="I366" i="1"/>
  <c r="I363" i="1"/>
  <c r="I367" i="1"/>
  <c r="I362" i="1"/>
  <c r="I201" i="1"/>
  <c r="I203" i="1"/>
  <c r="I202" i="1"/>
  <c r="I204" i="1"/>
  <c r="I60" i="1"/>
  <c r="I61" i="1"/>
  <c r="I55" i="1"/>
  <c r="I57" i="1"/>
  <c r="I58" i="1"/>
  <c r="I59" i="1"/>
  <c r="I53" i="1"/>
  <c r="I54" i="1"/>
  <c r="I56" i="1"/>
  <c r="I337" i="1"/>
  <c r="I213" i="1"/>
  <c r="I336" i="1"/>
  <c r="I216" i="1"/>
  <c r="I335" i="1"/>
  <c r="I214" i="1"/>
  <c r="I215" i="1"/>
  <c r="I224" i="1"/>
  <c r="I223" i="1"/>
  <c r="I226" i="1"/>
  <c r="I225" i="1"/>
  <c r="I246" i="1"/>
  <c r="I245" i="1"/>
  <c r="I247" i="1"/>
  <c r="I248" i="1"/>
  <c r="I25" i="1"/>
  <c r="I23" i="1"/>
  <c r="I26" i="1"/>
  <c r="I22" i="1"/>
  <c r="I24" i="1"/>
  <c r="I372" i="1"/>
  <c r="I369" i="1"/>
  <c r="I371" i="1"/>
  <c r="I370" i="1"/>
  <c r="I139" i="1"/>
  <c r="I141" i="1"/>
  <c r="I140" i="1"/>
  <c r="I164" i="1"/>
  <c r="I169" i="1"/>
  <c r="I166" i="1"/>
  <c r="I165" i="1"/>
  <c r="I168" i="1"/>
  <c r="I172" i="1"/>
  <c r="I167" i="1"/>
  <c r="I171" i="1"/>
  <c r="I170" i="1"/>
  <c r="I74" i="1"/>
  <c r="I73" i="1"/>
  <c r="I185" i="1"/>
  <c r="I188" i="1"/>
  <c r="I187" i="1"/>
  <c r="I186" i="1"/>
  <c r="I419" i="1"/>
  <c r="I421" i="1"/>
  <c r="I420" i="1"/>
  <c r="I422" i="1"/>
  <c r="I401" i="1"/>
  <c r="I402" i="1"/>
  <c r="I399" i="1"/>
  <c r="I398" i="1"/>
  <c r="I400" i="1"/>
  <c r="I112" i="1"/>
  <c r="I110" i="1"/>
  <c r="I111" i="1"/>
  <c r="I113" i="1"/>
  <c r="I263" i="1"/>
  <c r="I265" i="1"/>
  <c r="I261" i="1"/>
  <c r="I262" i="1"/>
  <c r="I264" i="1"/>
  <c r="I237" i="1"/>
  <c r="I236" i="1"/>
  <c r="I234" i="1"/>
  <c r="I235" i="1"/>
  <c r="I241" i="1"/>
  <c r="I243" i="1"/>
  <c r="I242" i="1"/>
  <c r="I239" i="1"/>
  <c r="I240" i="1"/>
  <c r="I192" i="1"/>
  <c r="I193" i="1"/>
  <c r="I191" i="1"/>
  <c r="I190" i="1"/>
  <c r="I194" i="1"/>
  <c r="I132" i="1"/>
  <c r="I133" i="1"/>
  <c r="I131" i="1"/>
  <c r="I134" i="1"/>
  <c r="I146" i="1"/>
  <c r="I144" i="1"/>
  <c r="I143" i="1"/>
  <c r="I145" i="1"/>
  <c r="I437" i="1"/>
  <c r="I447" i="1"/>
  <c r="I448" i="1"/>
  <c r="I446" i="1"/>
  <c r="I445" i="1"/>
  <c r="I443" i="1"/>
  <c r="I442" i="1"/>
  <c r="I444" i="1"/>
  <c r="I438" i="1"/>
  <c r="I441" i="1"/>
  <c r="I440" i="1"/>
  <c r="I439" i="1"/>
  <c r="I328" i="1"/>
  <c r="I330" i="1"/>
  <c r="I327" i="1"/>
  <c r="I326" i="1"/>
  <c r="I329" i="1"/>
  <c r="I206" i="1"/>
  <c r="I207" i="1"/>
  <c r="I250" i="1"/>
  <c r="I253" i="1"/>
  <c r="I251" i="1"/>
  <c r="I252" i="1"/>
  <c r="I380" i="1"/>
  <c r="I382" i="1"/>
  <c r="I381" i="1"/>
  <c r="I383" i="1"/>
  <c r="I148" i="1"/>
  <c r="I149" i="1"/>
  <c r="I150" i="1"/>
  <c r="I151" i="1"/>
  <c r="I96" i="1"/>
  <c r="I99" i="1"/>
  <c r="I101" i="1"/>
  <c r="I100" i="1"/>
  <c r="I94" i="1"/>
  <c r="I95" i="1"/>
  <c r="I97" i="1"/>
  <c r="I98" i="1"/>
  <c r="I102" i="1"/>
  <c r="I319" i="1"/>
  <c r="I317" i="1"/>
  <c r="I321" i="1"/>
  <c r="I316" i="1"/>
  <c r="I320" i="1"/>
  <c r="I323" i="1"/>
  <c r="I313" i="1"/>
  <c r="I322" i="1"/>
  <c r="I324" i="1"/>
  <c r="I315" i="1"/>
  <c r="I318" i="1"/>
  <c r="I314" i="1"/>
  <c r="I228" i="1"/>
  <c r="I231" i="1"/>
  <c r="I232" i="1"/>
  <c r="I230" i="1"/>
  <c r="I229" i="1"/>
  <c r="I104" i="1"/>
  <c r="I105" i="1"/>
  <c r="I107" i="1"/>
  <c r="I106" i="1"/>
  <c r="I108" i="1"/>
  <c r="L1188" i="1"/>
  <c r="L1186" i="1"/>
  <c r="L1187" i="1"/>
  <c r="L1185" i="1"/>
  <c r="L1184" i="1"/>
  <c r="L1162" i="1"/>
  <c r="L1163" i="1"/>
  <c r="L1164" i="1"/>
  <c r="L1161" i="1"/>
  <c r="L1160" i="1"/>
  <c r="L1156" i="1"/>
  <c r="L1155" i="1"/>
  <c r="L1158" i="1"/>
  <c r="L1157" i="1"/>
  <c r="L1136" i="1"/>
  <c r="L1134" i="1"/>
  <c r="L1133" i="1"/>
  <c r="L1135" i="1"/>
  <c r="L409" i="1"/>
  <c r="L415" i="1"/>
  <c r="L416" i="1"/>
  <c r="L413" i="1"/>
  <c r="L414" i="1"/>
  <c r="L417" i="1"/>
  <c r="L410" i="1"/>
  <c r="L412" i="1"/>
  <c r="L411" i="1"/>
  <c r="L219" i="1"/>
  <c r="L218" i="1"/>
  <c r="L221" i="1"/>
  <c r="L220" i="1"/>
  <c r="L239" i="1"/>
  <c r="L243" i="1"/>
  <c r="L242" i="1"/>
  <c r="L241" i="1"/>
  <c r="L240" i="1"/>
  <c r="L104" i="1"/>
  <c r="L107" i="1"/>
  <c r="L108" i="1"/>
  <c r="L105" i="1"/>
  <c r="L106" i="1"/>
  <c r="L149" i="1"/>
  <c r="L150" i="1"/>
  <c r="L151" i="1"/>
  <c r="L148" i="1"/>
  <c r="L98" i="1"/>
  <c r="L99" i="1"/>
  <c r="L95" i="1"/>
  <c r="L101" i="1"/>
  <c r="L97" i="1"/>
  <c r="L102" i="1"/>
  <c r="L100" i="1"/>
  <c r="L94" i="1"/>
  <c r="L96" i="1"/>
  <c r="L176" i="1"/>
  <c r="L174" i="1"/>
  <c r="L177" i="1"/>
  <c r="L175" i="1"/>
  <c r="L38" i="1"/>
  <c r="L40" i="1"/>
  <c r="L39" i="1"/>
  <c r="L41" i="1"/>
  <c r="L90" i="1"/>
  <c r="L92" i="1"/>
  <c r="L85" i="1"/>
  <c r="L87" i="1"/>
  <c r="L91" i="1"/>
  <c r="L88" i="1"/>
  <c r="L86" i="1"/>
  <c r="L89" i="1"/>
  <c r="L84" i="1"/>
  <c r="L256" i="1"/>
  <c r="L259" i="1"/>
  <c r="L258" i="1"/>
  <c r="L257" i="1"/>
  <c r="L255" i="1"/>
  <c r="L382" i="1"/>
  <c r="L383" i="1"/>
  <c r="L381" i="1"/>
  <c r="L380" i="1"/>
  <c r="L70" i="1"/>
  <c r="L68" i="1"/>
  <c r="L64" i="1"/>
  <c r="L71" i="1"/>
  <c r="L66" i="1"/>
  <c r="L63" i="1"/>
  <c r="L67" i="1"/>
  <c r="L69" i="1"/>
  <c r="L65" i="1"/>
  <c r="L110" i="1"/>
  <c r="L112" i="1"/>
  <c r="L111" i="1"/>
  <c r="L113" i="1"/>
  <c r="L291" i="1"/>
  <c r="L292" i="1"/>
  <c r="L294" i="1"/>
  <c r="L297" i="1"/>
  <c r="L296" i="1"/>
  <c r="L298" i="1"/>
  <c r="L295" i="1"/>
  <c r="L293" i="1"/>
  <c r="L299" i="1"/>
  <c r="L77" i="1"/>
  <c r="L76" i="1"/>
  <c r="L429" i="1"/>
  <c r="L432" i="1"/>
  <c r="L425" i="1"/>
  <c r="L435" i="1"/>
  <c r="L433" i="1"/>
  <c r="L428" i="1"/>
  <c r="L426" i="1"/>
  <c r="L434" i="1"/>
  <c r="L431" i="1"/>
  <c r="L430" i="1"/>
  <c r="L424" i="1"/>
  <c r="L427" i="1"/>
  <c r="L324" i="1"/>
  <c r="L314" i="1"/>
  <c r="L321" i="1"/>
  <c r="L318" i="1"/>
  <c r="L319" i="1"/>
  <c r="L313" i="1"/>
  <c r="L315" i="1"/>
  <c r="L323" i="1"/>
  <c r="L316" i="1"/>
  <c r="L320" i="1"/>
  <c r="L317" i="1"/>
  <c r="L322" i="1"/>
  <c r="L141" i="1"/>
  <c r="L140" i="1"/>
  <c r="L139" i="1"/>
  <c r="L192" i="1"/>
  <c r="L193" i="1"/>
  <c r="L194" i="1"/>
  <c r="L191" i="1"/>
  <c r="L190" i="1"/>
  <c r="L16" i="1"/>
  <c r="L15" i="1"/>
  <c r="L185" i="1"/>
  <c r="L186" i="1"/>
  <c r="L188" i="1"/>
  <c r="L187" i="1"/>
  <c r="L356" i="1"/>
  <c r="L353" i="1"/>
  <c r="L354" i="1"/>
  <c r="L351" i="1"/>
  <c r="L352" i="1"/>
  <c r="L350" i="1"/>
  <c r="L355" i="1"/>
  <c r="L357" i="1"/>
  <c r="L349" i="1"/>
  <c r="L253" i="1"/>
  <c r="L252" i="1"/>
  <c r="L250" i="1"/>
  <c r="L251" i="1"/>
  <c r="L367" i="1"/>
  <c r="L360" i="1"/>
  <c r="L359" i="1"/>
  <c r="L365" i="1"/>
  <c r="L362" i="1"/>
  <c r="L366" i="1"/>
  <c r="L364" i="1"/>
  <c r="L363" i="1"/>
  <c r="L361" i="1"/>
  <c r="L264" i="1"/>
  <c r="L263" i="1"/>
  <c r="L265" i="1"/>
  <c r="L262" i="1"/>
  <c r="L261" i="1"/>
  <c r="L124" i="1"/>
  <c r="L122" i="1"/>
  <c r="L123" i="1"/>
  <c r="L121" i="1"/>
  <c r="L396" i="1"/>
  <c r="L392" i="1"/>
  <c r="L393" i="1"/>
  <c r="L394" i="1"/>
  <c r="L395" i="1"/>
  <c r="L386" i="1"/>
  <c r="L388" i="1"/>
  <c r="L390" i="1"/>
  <c r="L385" i="1"/>
  <c r="L387" i="1"/>
  <c r="L389" i="1"/>
  <c r="L370" i="1"/>
  <c r="L369" i="1"/>
  <c r="L371" i="1"/>
  <c r="L372" i="1"/>
  <c r="L231" i="1"/>
  <c r="L230" i="1"/>
  <c r="L229" i="1"/>
  <c r="L228" i="1"/>
  <c r="L232" i="1"/>
  <c r="L126" i="1"/>
  <c r="L127" i="1"/>
  <c r="L129" i="1"/>
  <c r="L128" i="1"/>
  <c r="L267" i="1"/>
  <c r="L269" i="1"/>
  <c r="L268" i="1"/>
  <c r="J688" i="1"/>
  <c r="J690" i="1"/>
  <c r="J692" i="1"/>
  <c r="J694" i="1"/>
  <c r="J691" i="1"/>
  <c r="J693" i="1"/>
  <c r="J689" i="1"/>
  <c r="O53" i="49"/>
  <c r="L53" i="49"/>
  <c r="N53" i="49"/>
  <c r="M53" i="49"/>
  <c r="N54" i="49"/>
  <c r="L54" i="49"/>
  <c r="O54" i="49"/>
  <c r="M54" i="49"/>
  <c r="L789" i="1"/>
  <c r="L787" i="1"/>
  <c r="L788" i="1"/>
  <c r="L786" i="1"/>
  <c r="L673" i="1"/>
  <c r="L674" i="1"/>
  <c r="L675" i="1"/>
  <c r="L672" i="1"/>
  <c r="L676" i="1"/>
  <c r="L768" i="1"/>
  <c r="L766" i="1"/>
  <c r="L767" i="1"/>
  <c r="L738" i="1"/>
  <c r="L739" i="1"/>
  <c r="L742" i="1"/>
  <c r="L740" i="1"/>
  <c r="L741" i="1"/>
  <c r="L652" i="1"/>
  <c r="L650" i="1"/>
  <c r="L654" i="1"/>
  <c r="L651" i="1"/>
  <c r="L653" i="1"/>
  <c r="L820" i="1"/>
  <c r="L819" i="1"/>
  <c r="L823" i="1"/>
  <c r="L818" i="1"/>
  <c r="L822" i="1"/>
  <c r="L821" i="1"/>
  <c r="L802" i="1"/>
  <c r="L798" i="1"/>
  <c r="L799" i="1"/>
  <c r="L801" i="1"/>
  <c r="L800" i="1"/>
  <c r="L803" i="1"/>
  <c r="L661" i="1"/>
  <c r="L656" i="1"/>
  <c r="L657" i="1"/>
  <c r="L662" i="1"/>
  <c r="L659" i="1"/>
  <c r="L658" i="1"/>
  <c r="L660" i="1"/>
  <c r="L816" i="1"/>
  <c r="L813" i="1"/>
  <c r="L814" i="1"/>
  <c r="L815" i="1"/>
  <c r="L812" i="1"/>
  <c r="L807" i="1"/>
  <c r="L805" i="1"/>
  <c r="L806" i="1"/>
  <c r="L808" i="1"/>
  <c r="L809" i="1"/>
  <c r="L810" i="1"/>
  <c r="L776" i="1"/>
  <c r="L775" i="1"/>
  <c r="L777" i="1"/>
  <c r="L779" i="1"/>
  <c r="L780" i="1"/>
  <c r="L771" i="1"/>
  <c r="L773" i="1"/>
  <c r="L772" i="1"/>
  <c r="L770" i="1"/>
  <c r="L782" i="1"/>
  <c r="L784" i="1"/>
  <c r="L783" i="1"/>
  <c r="O180" i="1"/>
  <c r="O182" i="1"/>
  <c r="O183" i="1"/>
  <c r="O181" i="1"/>
  <c r="O179" i="1"/>
  <c r="O99" i="1"/>
  <c r="O95" i="1"/>
  <c r="O98" i="1"/>
  <c r="O101" i="1"/>
  <c r="O102" i="1"/>
  <c r="O97" i="1"/>
  <c r="O100" i="1"/>
  <c r="O94" i="1"/>
  <c r="O96" i="1"/>
  <c r="O36" i="1"/>
  <c r="O34" i="1"/>
  <c r="O33" i="1"/>
  <c r="O35" i="1"/>
  <c r="O146" i="1"/>
  <c r="O145" i="1"/>
  <c r="O144" i="1"/>
  <c r="O143" i="1"/>
  <c r="O31" i="1"/>
  <c r="O29" i="1"/>
  <c r="O28" i="1"/>
  <c r="O30" i="1"/>
  <c r="O134" i="1"/>
  <c r="O133" i="1"/>
  <c r="O131" i="1"/>
  <c r="O132" i="1"/>
  <c r="O119" i="1"/>
  <c r="O117" i="1"/>
  <c r="O118" i="1"/>
  <c r="O116" i="1"/>
  <c r="O115" i="1"/>
  <c r="O38" i="1"/>
  <c r="O40" i="1"/>
  <c r="O41" i="1"/>
  <c r="O39" i="1"/>
  <c r="O149" i="1"/>
  <c r="O151" i="1"/>
  <c r="O148" i="1"/>
  <c r="O150" i="1"/>
  <c r="O25" i="1"/>
  <c r="O24" i="1"/>
  <c r="O23" i="1"/>
  <c r="O26" i="1"/>
  <c r="O22" i="1"/>
  <c r="N197" i="1"/>
  <c r="N198" i="1"/>
  <c r="N196" i="1"/>
  <c r="N199" i="1"/>
  <c r="N975" i="1"/>
  <c r="N979" i="1"/>
  <c r="N976" i="1"/>
  <c r="N974" i="1"/>
  <c r="N978" i="1"/>
  <c r="N977" i="1"/>
  <c r="J87" i="1"/>
  <c r="J84" i="1"/>
  <c r="J89" i="1"/>
  <c r="J92" i="1"/>
  <c r="J88" i="1"/>
  <c r="J86" i="1"/>
  <c r="J91" i="1"/>
  <c r="J90" i="1"/>
  <c r="J85" i="1"/>
  <c r="J761" i="1"/>
  <c r="J759" i="1"/>
  <c r="J758" i="1"/>
  <c r="J764" i="1"/>
  <c r="J763" i="1"/>
  <c r="J760" i="1"/>
  <c r="J762" i="1"/>
  <c r="T2127" i="1"/>
  <c r="H2127" i="1"/>
  <c r="S2127" i="1"/>
  <c r="U2127" i="1"/>
  <c r="S2164" i="1"/>
  <c r="T2164" i="1"/>
  <c r="U2164" i="1"/>
  <c r="H2164" i="1"/>
  <c r="A1095" i="23"/>
  <c r="A1096" i="23"/>
  <c r="I791" i="1"/>
  <c r="I793" i="1"/>
  <c r="I792" i="1"/>
  <c r="I794" i="1"/>
  <c r="I796" i="1"/>
  <c r="I795" i="1"/>
  <c r="A344" i="49"/>
  <c r="M344" i="49"/>
  <c r="L344" i="49"/>
  <c r="O344" i="49"/>
  <c r="N344" i="49"/>
  <c r="O595" i="1"/>
  <c r="O592" i="1"/>
  <c r="O594" i="1"/>
  <c r="O593" i="1"/>
  <c r="I766" i="1"/>
  <c r="I767" i="1"/>
  <c r="I768" i="1"/>
  <c r="I848" i="1"/>
  <c r="I850" i="1"/>
  <c r="I846" i="1"/>
  <c r="I851" i="1"/>
  <c r="I847" i="1"/>
  <c r="I849" i="1"/>
  <c r="I678" i="1"/>
  <c r="I753" i="1"/>
  <c r="I754" i="1"/>
  <c r="I752" i="1"/>
  <c r="I756" i="1"/>
  <c r="I755" i="1"/>
  <c r="I819" i="1"/>
  <c r="I822" i="1"/>
  <c r="I818" i="1"/>
  <c r="I821" i="1"/>
  <c r="I820" i="1"/>
  <c r="I823" i="1"/>
  <c r="I799" i="1"/>
  <c r="I800" i="1"/>
  <c r="I802" i="1"/>
  <c r="I803" i="1"/>
  <c r="I801" i="1"/>
  <c r="I798" i="1"/>
  <c r="I742" i="1"/>
  <c r="I740" i="1"/>
  <c r="I741" i="1"/>
  <c r="I739" i="1"/>
  <c r="I738" i="1"/>
  <c r="I714" i="1"/>
  <c r="I711" i="1"/>
  <c r="I712" i="1"/>
  <c r="I713" i="1"/>
  <c r="I715" i="1"/>
  <c r="I710" i="1"/>
  <c r="I646" i="1"/>
  <c r="I645" i="1"/>
  <c r="I643" i="1"/>
  <c r="I647" i="1"/>
  <c r="I644" i="1"/>
  <c r="I648" i="1"/>
  <c r="I717" i="1"/>
  <c r="I773" i="1"/>
  <c r="I770" i="1"/>
  <c r="I772" i="1"/>
  <c r="I771" i="1"/>
  <c r="I733" i="1"/>
  <c r="I736" i="1"/>
  <c r="I732" i="1"/>
  <c r="I734" i="1"/>
  <c r="I735" i="1"/>
  <c r="I745" i="1"/>
  <c r="I747" i="1"/>
  <c r="I744" i="1"/>
  <c r="I749" i="1"/>
  <c r="I750" i="1"/>
  <c r="I746" i="1"/>
  <c r="I748" i="1"/>
  <c r="I705" i="1"/>
  <c r="I704" i="1"/>
  <c r="I708" i="1"/>
  <c r="I707" i="1"/>
  <c r="I706" i="1"/>
  <c r="I637" i="1"/>
  <c r="I641" i="1"/>
  <c r="I639" i="1"/>
  <c r="I640" i="1"/>
  <c r="I636" i="1"/>
  <c r="I638" i="1"/>
  <c r="I673" i="1"/>
  <c r="I675" i="1"/>
  <c r="I672" i="1"/>
  <c r="I674" i="1"/>
  <c r="I676" i="1"/>
  <c r="I728" i="1"/>
  <c r="I730" i="1"/>
  <c r="I727" i="1"/>
  <c r="I726" i="1"/>
  <c r="I725" i="1"/>
  <c r="I729" i="1"/>
  <c r="I1099" i="1"/>
  <c r="I1103" i="1"/>
  <c r="I1104" i="1"/>
  <c r="I1105" i="1"/>
  <c r="I1102" i="1"/>
  <c r="I1106" i="1"/>
  <c r="I1101" i="1"/>
  <c r="I1108" i="1"/>
  <c r="I1100" i="1"/>
  <c r="I1109" i="1"/>
  <c r="I1107" i="1"/>
  <c r="I909" i="1"/>
  <c r="I910" i="1"/>
  <c r="I924" i="1"/>
  <c r="I930" i="1"/>
  <c r="I929" i="1"/>
  <c r="I927" i="1"/>
  <c r="I926" i="1"/>
  <c r="I925" i="1"/>
  <c r="I928" i="1"/>
  <c r="I923" i="1"/>
  <c r="I931" i="1"/>
  <c r="I984" i="1"/>
  <c r="I991" i="1"/>
  <c r="I983" i="1"/>
  <c r="I981" i="1"/>
  <c r="I990" i="1"/>
  <c r="I987" i="1"/>
  <c r="I986" i="1"/>
  <c r="I985" i="1"/>
  <c r="I989" i="1"/>
  <c r="I988" i="1"/>
  <c r="I982" i="1"/>
  <c r="I1059" i="1"/>
  <c r="I1064" i="1"/>
  <c r="I1063" i="1"/>
  <c r="I1069" i="1"/>
  <c r="I1060" i="1"/>
  <c r="I1067" i="1"/>
  <c r="I1066" i="1"/>
  <c r="I1062" i="1"/>
  <c r="I1065" i="1"/>
  <c r="I1061" i="1"/>
  <c r="I1068" i="1"/>
  <c r="I1072" i="1"/>
  <c r="I1075" i="1"/>
  <c r="I1076" i="1"/>
  <c r="I1078" i="1"/>
  <c r="I1074" i="1"/>
  <c r="I1081" i="1"/>
  <c r="I1077" i="1"/>
  <c r="I1071" i="1"/>
  <c r="I1084" i="1"/>
  <c r="I1080" i="1"/>
  <c r="I1079" i="1"/>
  <c r="I1083" i="1"/>
  <c r="I1082" i="1"/>
  <c r="I1073" i="1"/>
  <c r="I886" i="1"/>
  <c r="I883" i="1"/>
  <c r="I884" i="1"/>
  <c r="I885" i="1"/>
  <c r="I889" i="1"/>
  <c r="I888" i="1"/>
  <c r="I887" i="1"/>
  <c r="I880" i="1"/>
  <c r="I881" i="1"/>
  <c r="I878" i="1"/>
  <c r="I873" i="1"/>
  <c r="I879" i="1"/>
  <c r="I877" i="1"/>
  <c r="I875" i="1"/>
  <c r="I874" i="1"/>
  <c r="I876" i="1"/>
  <c r="I891" i="1"/>
  <c r="I895" i="1"/>
  <c r="I893" i="1"/>
  <c r="I892" i="1"/>
  <c r="I899" i="1"/>
  <c r="I896" i="1"/>
  <c r="I898" i="1"/>
  <c r="I897" i="1"/>
  <c r="I894" i="1"/>
  <c r="I944" i="1"/>
  <c r="I946" i="1"/>
  <c r="I945" i="1"/>
  <c r="I942" i="1"/>
  <c r="I941" i="1"/>
  <c r="I947" i="1"/>
  <c r="I943" i="1"/>
  <c r="I999" i="1"/>
  <c r="I1003" i="1"/>
  <c r="I994" i="1"/>
  <c r="I998" i="1"/>
  <c r="I1002" i="1"/>
  <c r="I1004" i="1"/>
  <c r="I1001" i="1"/>
  <c r="I995" i="1"/>
  <c r="I997" i="1"/>
  <c r="I993" i="1"/>
  <c r="I996" i="1"/>
  <c r="I1005" i="1"/>
  <c r="I1000" i="1"/>
  <c r="I1091" i="1"/>
  <c r="I1096" i="1"/>
  <c r="I1086" i="1"/>
  <c r="I1087" i="1"/>
  <c r="I1097" i="1"/>
  <c r="I1093" i="1"/>
  <c r="I1090" i="1"/>
  <c r="I1088" i="1"/>
  <c r="I1092" i="1"/>
  <c r="I1095" i="1"/>
  <c r="I1094" i="1"/>
  <c r="I1089" i="1"/>
  <c r="I871" i="1"/>
  <c r="I870" i="1"/>
  <c r="I1115" i="1"/>
  <c r="I1114" i="1"/>
  <c r="I1118" i="1"/>
  <c r="I1120" i="1"/>
  <c r="I1119" i="1"/>
  <c r="I1111" i="1"/>
  <c r="I1113" i="1"/>
  <c r="I1117" i="1"/>
  <c r="I1112" i="1"/>
  <c r="I1116" i="1"/>
  <c r="L453" i="1"/>
  <c r="L454" i="1"/>
  <c r="L452" i="1"/>
  <c r="L451" i="1"/>
  <c r="L450" i="1"/>
  <c r="L532" i="1"/>
  <c r="L536" i="1"/>
  <c r="L535" i="1"/>
  <c r="L538" i="1"/>
  <c r="L533" i="1"/>
  <c r="L534" i="1"/>
  <c r="L537" i="1"/>
  <c r="L464" i="1"/>
  <c r="L465" i="1"/>
  <c r="L474" i="1"/>
  <c r="L472" i="1"/>
  <c r="L475" i="1"/>
  <c r="L479" i="1"/>
  <c r="L476" i="1"/>
  <c r="L478" i="1"/>
  <c r="L484" i="1"/>
  <c r="L477" i="1"/>
  <c r="L487" i="1"/>
  <c r="L486" i="1"/>
  <c r="L481" i="1"/>
  <c r="L485" i="1"/>
  <c r="L482" i="1"/>
  <c r="L483" i="1"/>
  <c r="L879" i="1"/>
  <c r="L880" i="1"/>
  <c r="L874" i="1"/>
  <c r="L873" i="1"/>
  <c r="L877" i="1"/>
  <c r="L875" i="1"/>
  <c r="L876" i="1"/>
  <c r="L881" i="1"/>
  <c r="L878" i="1"/>
  <c r="L1074" i="1"/>
  <c r="L1080" i="1"/>
  <c r="L1078" i="1"/>
  <c r="L1079" i="1"/>
  <c r="L1077" i="1"/>
  <c r="L1083" i="1"/>
  <c r="L1071" i="1"/>
  <c r="L1084" i="1"/>
  <c r="L1075" i="1"/>
  <c r="L1076" i="1"/>
  <c r="L1081" i="1"/>
  <c r="L1073" i="1"/>
  <c r="L1082" i="1"/>
  <c r="L1072" i="1"/>
  <c r="L986" i="1"/>
  <c r="L990" i="1"/>
  <c r="L984" i="1"/>
  <c r="L981" i="1"/>
  <c r="L988" i="1"/>
  <c r="L983" i="1"/>
  <c r="L982" i="1"/>
  <c r="L991" i="1"/>
  <c r="L987" i="1"/>
  <c r="L985" i="1"/>
  <c r="L989" i="1"/>
  <c r="L910" i="1"/>
  <c r="L909" i="1"/>
  <c r="L1131" i="1"/>
  <c r="L1123" i="1"/>
  <c r="L1126" i="1"/>
  <c r="L1127" i="1"/>
  <c r="L1128" i="1"/>
  <c r="L1125" i="1"/>
  <c r="L1122" i="1"/>
  <c r="L1130" i="1"/>
  <c r="L1124" i="1"/>
  <c r="L1129" i="1"/>
  <c r="L907" i="1"/>
  <c r="L906" i="1"/>
  <c r="L903" i="1"/>
  <c r="L904" i="1"/>
  <c r="L905" i="1"/>
  <c r="L902" i="1"/>
  <c r="L901" i="1"/>
  <c r="L938" i="1"/>
  <c r="L937" i="1"/>
  <c r="L933" i="1"/>
  <c r="L935" i="1"/>
  <c r="L936" i="1"/>
  <c r="L934" i="1"/>
  <c r="L939" i="1"/>
  <c r="L994" i="1"/>
  <c r="L1004" i="1"/>
  <c r="L999" i="1"/>
  <c r="L1003" i="1"/>
  <c r="L1000" i="1"/>
  <c r="L993" i="1"/>
  <c r="L1005" i="1"/>
  <c r="L1001" i="1"/>
  <c r="L997" i="1"/>
  <c r="L998" i="1"/>
  <c r="L995" i="1"/>
  <c r="L1002" i="1"/>
  <c r="L996" i="1"/>
  <c r="L897" i="1"/>
  <c r="L891" i="1"/>
  <c r="L899" i="1"/>
  <c r="L898" i="1"/>
  <c r="L896" i="1"/>
  <c r="L893" i="1"/>
  <c r="L894" i="1"/>
  <c r="L895" i="1"/>
  <c r="L892" i="1"/>
  <c r="L947" i="1"/>
  <c r="L945" i="1"/>
  <c r="L943" i="1"/>
  <c r="L942" i="1"/>
  <c r="L944" i="1"/>
  <c r="L946" i="1"/>
  <c r="L941" i="1"/>
  <c r="L1107" i="1"/>
  <c r="L1099" i="1"/>
  <c r="L1101" i="1"/>
  <c r="L1102" i="1"/>
  <c r="L1106" i="1"/>
  <c r="L1105" i="1"/>
  <c r="L1108" i="1"/>
  <c r="L1109" i="1"/>
  <c r="L1103" i="1"/>
  <c r="L1104" i="1"/>
  <c r="L1100" i="1"/>
  <c r="L1025" i="1"/>
  <c r="L1023" i="1"/>
  <c r="L1028" i="1"/>
  <c r="L1024" i="1"/>
  <c r="L1027" i="1"/>
  <c r="L1030" i="1"/>
  <c r="L1022" i="1"/>
  <c r="L1021" i="1"/>
  <c r="L1029" i="1"/>
  <c r="L1026" i="1"/>
  <c r="L1020" i="1"/>
  <c r="L965" i="1"/>
  <c r="L960" i="1"/>
  <c r="L963" i="1"/>
  <c r="L959" i="1"/>
  <c r="L961" i="1"/>
  <c r="L962" i="1"/>
  <c r="L964" i="1"/>
  <c r="C2222" i="1"/>
  <c r="U2222" i="1"/>
  <c r="S2222" i="1"/>
  <c r="H2222" i="1"/>
  <c r="T2222" i="1"/>
  <c r="O590" i="1"/>
  <c r="O589" i="1"/>
  <c r="O607" i="1"/>
  <c r="O605" i="1"/>
  <c r="O606" i="1"/>
  <c r="O598" i="1"/>
  <c r="O597" i="1"/>
  <c r="O599" i="1"/>
  <c r="L530" i="1"/>
  <c r="L526" i="1"/>
  <c r="L529" i="1"/>
  <c r="L527" i="1"/>
  <c r="L523" i="1"/>
  <c r="L528" i="1"/>
  <c r="L525" i="1"/>
  <c r="L524" i="1"/>
  <c r="S1882" i="1"/>
  <c r="U1882" i="1"/>
  <c r="T1882" i="1"/>
  <c r="H1882" i="1"/>
  <c r="L1882" i="1" s="1"/>
  <c r="N95" i="1"/>
  <c r="N97" i="1"/>
  <c r="N94" i="1"/>
  <c r="N101" i="1"/>
  <c r="N102" i="1"/>
  <c r="N98" i="1"/>
  <c r="N96" i="1"/>
  <c r="N100" i="1"/>
  <c r="N99" i="1"/>
  <c r="J159" i="1"/>
  <c r="J153" i="1"/>
  <c r="J161" i="1"/>
  <c r="J155" i="1"/>
  <c r="J162" i="1"/>
  <c r="J160" i="1"/>
  <c r="J156" i="1"/>
  <c r="J157" i="1"/>
  <c r="J154" i="1"/>
  <c r="J158" i="1"/>
  <c r="AD70" i="2"/>
  <c r="AD71" i="2"/>
  <c r="T2170" i="1"/>
  <c r="S2170" i="1"/>
  <c r="H2170" i="1"/>
  <c r="U2170" i="1"/>
  <c r="T1562" i="1"/>
  <c r="H1562" i="1"/>
  <c r="S1562" i="1"/>
  <c r="U1562" i="1"/>
  <c r="J1562" i="1"/>
  <c r="J1570" i="1"/>
  <c r="T1570" i="1"/>
  <c r="H1570" i="1"/>
  <c r="U1570" i="1"/>
  <c r="S1570" i="1"/>
  <c r="H1563" i="1"/>
  <c r="S1563" i="1"/>
  <c r="T1563" i="1"/>
  <c r="U1563" i="1"/>
  <c r="J1563" i="1"/>
  <c r="G1567" i="1"/>
  <c r="H2153" i="1"/>
  <c r="S2153" i="1"/>
  <c r="U2153" i="1"/>
  <c r="T2153" i="1"/>
  <c r="M107" i="1"/>
  <c r="M105" i="1"/>
  <c r="M108" i="1"/>
  <c r="M104" i="1"/>
  <c r="M106" i="1"/>
  <c r="M151" i="1"/>
  <c r="M148" i="1"/>
  <c r="M149" i="1"/>
  <c r="M150" i="1"/>
  <c r="M220" i="1"/>
  <c r="M219" i="1"/>
  <c r="M221" i="1"/>
  <c r="M218" i="1"/>
  <c r="T2156" i="1"/>
  <c r="U2156" i="1"/>
  <c r="H2156" i="1"/>
  <c r="S2156" i="1"/>
  <c r="M15" i="1"/>
  <c r="M16" i="1"/>
  <c r="H2137" i="1"/>
  <c r="T2137" i="1"/>
  <c r="S2137" i="1"/>
  <c r="U2137" i="1"/>
  <c r="M2110" i="1"/>
  <c r="U2110" i="1"/>
  <c r="T2110" i="1"/>
  <c r="H2110" i="1"/>
  <c r="S2110" i="1"/>
  <c r="H2151" i="1"/>
  <c r="S2151" i="1"/>
  <c r="T2151" i="1"/>
  <c r="U2151" i="1"/>
  <c r="M587" i="1"/>
  <c r="M585" i="1"/>
  <c r="M586" i="1"/>
  <c r="M74" i="1"/>
  <c r="M73" i="1"/>
  <c r="M598" i="1"/>
  <c r="M599" i="1"/>
  <c r="M597" i="1"/>
  <c r="S2138" i="1"/>
  <c r="H2138" i="1"/>
  <c r="T2138" i="1"/>
  <c r="U2138" i="1"/>
  <c r="T2140" i="1"/>
  <c r="H2140" i="1"/>
  <c r="S2140" i="1"/>
  <c r="U2140" i="1"/>
  <c r="T2160" i="1"/>
  <c r="H2160" i="1"/>
  <c r="S2160" i="1"/>
  <c r="U2160" i="1"/>
  <c r="T2010" i="1"/>
  <c r="C2010" i="1"/>
  <c r="U2010" i="1"/>
  <c r="S2010" i="1"/>
  <c r="S1913" i="1"/>
  <c r="U1913" i="1"/>
  <c r="N1913" i="1"/>
  <c r="H1913" i="1"/>
  <c r="T1913" i="1"/>
  <c r="C2021" i="1"/>
  <c r="T2021" i="1"/>
  <c r="S2021" i="1"/>
  <c r="U2021" i="1"/>
  <c r="S2008" i="1"/>
  <c r="T2008" i="1"/>
  <c r="U2008" i="1"/>
  <c r="C2008" i="1"/>
  <c r="N74" i="1"/>
  <c r="N73" i="1"/>
  <c r="N899" i="1"/>
  <c r="N891" i="1"/>
  <c r="N894" i="1"/>
  <c r="N897" i="1"/>
  <c r="N895" i="1"/>
  <c r="N898" i="1"/>
  <c r="N896" i="1"/>
  <c r="N893" i="1"/>
  <c r="N892" i="1"/>
  <c r="N863" i="1"/>
  <c r="N865" i="1"/>
  <c r="N868" i="1"/>
  <c r="N864" i="1"/>
  <c r="N867" i="1"/>
  <c r="N866" i="1"/>
  <c r="N862" i="1"/>
  <c r="N481" i="1"/>
  <c r="N485" i="1"/>
  <c r="N482" i="1"/>
  <c r="N487" i="1"/>
  <c r="N484" i="1"/>
  <c r="N483" i="1"/>
  <c r="N477" i="1"/>
  <c r="N486" i="1"/>
  <c r="N478" i="1"/>
  <c r="H2003" i="1"/>
  <c r="S2003" i="1"/>
  <c r="N2003" i="1"/>
  <c r="T2003" i="1"/>
  <c r="U2003" i="1"/>
  <c r="C2003" i="1"/>
  <c r="U2022" i="1"/>
  <c r="T2022" i="1"/>
  <c r="C2022" i="1"/>
  <c r="S2022" i="1"/>
  <c r="N495" i="1"/>
  <c r="N491" i="1"/>
  <c r="N494" i="1"/>
  <c r="N493" i="1"/>
  <c r="N489" i="1"/>
  <c r="N492" i="1"/>
  <c r="N490" i="1"/>
  <c r="N105" i="1"/>
  <c r="N107" i="1"/>
  <c r="N108" i="1"/>
  <c r="N104" i="1"/>
  <c r="N106" i="1"/>
  <c r="T1908" i="1"/>
  <c r="H1908" i="1"/>
  <c r="S1908" i="1"/>
  <c r="N1908" i="1"/>
  <c r="U1908" i="1"/>
  <c r="C1908" i="1"/>
  <c r="U2015" i="1"/>
  <c r="T2015" i="1"/>
  <c r="S2015" i="1"/>
  <c r="N1164" i="1"/>
  <c r="N1161" i="1"/>
  <c r="N1160" i="1"/>
  <c r="N1163" i="1"/>
  <c r="N1162" i="1"/>
  <c r="T1906" i="1"/>
  <c r="S1906" i="1"/>
  <c r="H1906" i="1"/>
  <c r="C1906" i="1"/>
  <c r="U1906" i="1"/>
  <c r="N1906" i="1"/>
  <c r="N126" i="1"/>
  <c r="N128" i="1"/>
  <c r="N129" i="1"/>
  <c r="N127" i="1"/>
  <c r="H2004" i="1"/>
  <c r="C2004" i="1"/>
  <c r="N2004" i="1"/>
  <c r="U2004" i="1"/>
  <c r="S2004" i="1"/>
  <c r="T2004" i="1"/>
  <c r="N1139" i="1"/>
  <c r="N1141" i="1"/>
  <c r="N1140" i="1"/>
  <c r="N1138" i="1"/>
  <c r="N1181" i="1"/>
  <c r="N1180" i="1"/>
  <c r="N1182" i="1"/>
  <c r="N1179" i="1"/>
  <c r="N1178" i="1"/>
  <c r="N201" i="1"/>
  <c r="N202" i="1"/>
  <c r="N204" i="1"/>
  <c r="N203" i="1"/>
  <c r="M2064" i="1"/>
  <c r="T2064" i="1"/>
  <c r="S2064" i="1"/>
  <c r="H2064" i="1"/>
  <c r="U2064" i="1"/>
  <c r="M1076" i="23"/>
  <c r="N1076" i="23"/>
  <c r="O1076" i="23"/>
  <c r="A1076" i="23"/>
  <c r="L1076" i="23"/>
  <c r="N1072" i="23"/>
  <c r="L1072" i="23"/>
  <c r="A1072" i="23"/>
  <c r="A1078" i="23" s="1"/>
  <c r="A1079" i="23" s="1"/>
  <c r="M1072" i="23"/>
  <c r="O1072" i="23"/>
  <c r="A1074" i="23"/>
  <c r="L1074" i="23"/>
  <c r="M1074" i="23"/>
  <c r="N1074" i="23"/>
  <c r="O1074" i="23"/>
  <c r="A631" i="23"/>
  <c r="M631" i="23"/>
  <c r="N631" i="23"/>
  <c r="L631" i="23"/>
  <c r="O631" i="23"/>
  <c r="N619" i="23"/>
  <c r="N430" i="49"/>
  <c r="L430" i="49"/>
  <c r="M430" i="49"/>
  <c r="A430" i="49"/>
  <c r="O430" i="49"/>
  <c r="L217" i="49"/>
  <c r="O217" i="49"/>
  <c r="M217" i="49"/>
  <c r="N217" i="49"/>
  <c r="U1914" i="1"/>
  <c r="T1914" i="1"/>
  <c r="H1914" i="1"/>
  <c r="C1914" i="1"/>
  <c r="S1914" i="1"/>
  <c r="N1914" i="1"/>
  <c r="N34" i="1"/>
  <c r="N35" i="1"/>
  <c r="N36" i="1"/>
  <c r="N33" i="1"/>
  <c r="N918" i="1"/>
  <c r="N916" i="1"/>
  <c r="N917" i="1"/>
  <c r="N912" i="1"/>
  <c r="N914" i="1"/>
  <c r="N913" i="1"/>
  <c r="N915" i="1"/>
  <c r="U1541" i="1"/>
  <c r="T1541" i="1"/>
  <c r="J1541" i="1"/>
  <c r="H1541" i="1"/>
  <c r="S1541" i="1"/>
  <c r="T1549" i="1"/>
  <c r="U1549" i="1"/>
  <c r="J1549" i="1"/>
  <c r="S1549" i="1"/>
  <c r="H1549" i="1"/>
  <c r="T2126" i="1"/>
  <c r="U2126" i="1"/>
  <c r="S2126" i="1"/>
  <c r="H2126" i="1"/>
  <c r="U2150" i="1"/>
  <c r="T2150" i="1"/>
  <c r="H2150" i="1"/>
  <c r="S2150" i="1"/>
  <c r="T2154" i="1"/>
  <c r="U2154" i="1"/>
  <c r="H2154" i="1"/>
  <c r="S2154" i="1"/>
  <c r="U2031" i="1"/>
  <c r="H2031" i="1"/>
  <c r="T2031" i="1"/>
  <c r="S2031" i="1"/>
  <c r="M2031" i="1"/>
  <c r="S2158" i="1"/>
  <c r="T2158" i="1"/>
  <c r="H2158" i="1"/>
  <c r="U2158" i="1"/>
  <c r="H2163" i="1"/>
  <c r="T2163" i="1"/>
  <c r="U2163" i="1"/>
  <c r="S2163" i="1"/>
  <c r="H2034" i="1"/>
  <c r="S2034" i="1"/>
  <c r="U2034" i="1"/>
  <c r="M2034" i="1"/>
  <c r="T2034" i="1"/>
  <c r="M650" i="49"/>
  <c r="L650" i="49"/>
  <c r="N650" i="49"/>
  <c r="A650" i="49"/>
  <c r="O650" i="49"/>
  <c r="M218" i="49"/>
  <c r="O218" i="49"/>
  <c r="N218" i="49"/>
  <c r="L218" i="49"/>
  <c r="M2059" i="1"/>
  <c r="S2059" i="1"/>
  <c r="U2059" i="1"/>
  <c r="T2059" i="1"/>
  <c r="H2059" i="1"/>
  <c r="N1916" i="1"/>
  <c r="H1916" i="1"/>
  <c r="U1916" i="1"/>
  <c r="T1916" i="1"/>
  <c r="S1916" i="1"/>
  <c r="N121" i="1"/>
  <c r="N122" i="1"/>
  <c r="N124" i="1"/>
  <c r="N123" i="1"/>
  <c r="N1185" i="1"/>
  <c r="N1187" i="1"/>
  <c r="N1184" i="1"/>
  <c r="N1188" i="1"/>
  <c r="N1186" i="1"/>
  <c r="C2020" i="1"/>
  <c r="S2020" i="1"/>
  <c r="U2020" i="1"/>
  <c r="T2020" i="1"/>
  <c r="S1972" i="1"/>
  <c r="U1972" i="1"/>
  <c r="N1972" i="1"/>
  <c r="T1972" i="1"/>
  <c r="C1972" i="1"/>
  <c r="H1972" i="1"/>
  <c r="H1528" i="1"/>
  <c r="S1528" i="1"/>
  <c r="J1528" i="1"/>
  <c r="U1528" i="1"/>
  <c r="T1528" i="1"/>
  <c r="M2035" i="1"/>
  <c r="H2035" i="1"/>
  <c r="T2035" i="1"/>
  <c r="U2035" i="1"/>
  <c r="S2035" i="1"/>
  <c r="S2142" i="1"/>
  <c r="T2142" i="1"/>
  <c r="U2142" i="1"/>
  <c r="H2142" i="1"/>
  <c r="S2148" i="1"/>
  <c r="H2148" i="1"/>
  <c r="T2148" i="1"/>
  <c r="U2148" i="1"/>
  <c r="H2167" i="1"/>
  <c r="T2167" i="1"/>
  <c r="U2167" i="1"/>
  <c r="S2167" i="1"/>
  <c r="H2173" i="1"/>
  <c r="T2173" i="1"/>
  <c r="U2173" i="1"/>
  <c r="S2173" i="1"/>
  <c r="S1991" i="1"/>
  <c r="T1991" i="1"/>
  <c r="N1991" i="1"/>
  <c r="U1991" i="1"/>
  <c r="H1991" i="1"/>
  <c r="N1989" i="1"/>
  <c r="U1989" i="1"/>
  <c r="T1989" i="1"/>
  <c r="H1989" i="1"/>
  <c r="S1989" i="1"/>
  <c r="G1077" i="23"/>
  <c r="M1069" i="23"/>
  <c r="O1069" i="23"/>
  <c r="A1069" i="23"/>
  <c r="L1069" i="23"/>
  <c r="N1069" i="23"/>
  <c r="O1071" i="23"/>
  <c r="M1071" i="23"/>
  <c r="A1071" i="23"/>
  <c r="N1071" i="23"/>
  <c r="L1071" i="23"/>
  <c r="A1070" i="23"/>
  <c r="M1070" i="23"/>
  <c r="L1070" i="23"/>
  <c r="O1070" i="23"/>
  <c r="N1070" i="23"/>
  <c r="A1073" i="23"/>
  <c r="L1073" i="23"/>
  <c r="M1073" i="23"/>
  <c r="N1073" i="23"/>
  <c r="O1073" i="23"/>
  <c r="M658" i="49"/>
  <c r="N658" i="49"/>
  <c r="A658" i="49"/>
  <c r="O658" i="49"/>
  <c r="L658" i="49"/>
  <c r="A655" i="49"/>
  <c r="N655" i="49"/>
  <c r="M655" i="49"/>
  <c r="L655" i="49"/>
  <c r="O655" i="49"/>
  <c r="N1994" i="1"/>
  <c r="H1994" i="1"/>
  <c r="S1994" i="1"/>
  <c r="U1994" i="1"/>
  <c r="T1994" i="1"/>
  <c r="L311" i="49"/>
  <c r="N311" i="49"/>
  <c r="A311" i="49"/>
  <c r="M311" i="49"/>
  <c r="O311" i="49"/>
  <c r="C542" i="49"/>
  <c r="C555" i="49"/>
  <c r="M487" i="49"/>
  <c r="A487" i="49"/>
  <c r="N487" i="49"/>
  <c r="O487" i="49"/>
  <c r="L487" i="49"/>
  <c r="T1849" i="1"/>
  <c r="U1849" i="1"/>
  <c r="H1849" i="1"/>
  <c r="L1849" i="1" s="1"/>
  <c r="C1849" i="1"/>
  <c r="S1849" i="1"/>
  <c r="U2016" i="1"/>
  <c r="T2016" i="1"/>
  <c r="S2016" i="1"/>
  <c r="C2016" i="1"/>
  <c r="N220" i="1"/>
  <c r="N221" i="1"/>
  <c r="N218" i="1"/>
  <c r="N219" i="1"/>
  <c r="J821" i="1"/>
  <c r="J819" i="1"/>
  <c r="J818" i="1"/>
  <c r="J820" i="1"/>
  <c r="J822" i="1"/>
  <c r="J823" i="1"/>
  <c r="H1542" i="1"/>
  <c r="J1542" i="1"/>
  <c r="U1542" i="1"/>
  <c r="T1542" i="1"/>
  <c r="S1542" i="1"/>
  <c r="U1697" i="1"/>
  <c r="S1697" i="1"/>
  <c r="H1697" i="1"/>
  <c r="J1697" i="1"/>
  <c r="M336" i="1"/>
  <c r="M216" i="1"/>
  <c r="M214" i="1"/>
  <c r="M335" i="1"/>
  <c r="M213" i="1"/>
  <c r="M215" i="1"/>
  <c r="M337" i="1"/>
  <c r="H2130" i="1"/>
  <c r="S2130" i="1"/>
  <c r="T2130" i="1"/>
  <c r="U2130" i="1"/>
  <c r="M31" i="1"/>
  <c r="M28" i="1"/>
  <c r="M29" i="1"/>
  <c r="M30" i="1"/>
  <c r="H2144" i="1"/>
  <c r="U2144" i="1"/>
  <c r="S2144" i="1"/>
  <c r="T2144" i="1"/>
  <c r="H2146" i="1"/>
  <c r="S2171" i="1"/>
  <c r="U2171" i="1"/>
  <c r="H2171" i="1"/>
  <c r="T2171" i="1"/>
  <c r="T2134" i="1"/>
  <c r="S2134" i="1"/>
  <c r="H2134" i="1"/>
  <c r="U2134" i="1"/>
  <c r="C1570" i="1"/>
  <c r="C1349" i="1"/>
  <c r="T2219" i="1"/>
  <c r="H2219" i="1"/>
  <c r="U2219" i="1"/>
  <c r="C2219" i="1"/>
  <c r="S2219" i="1"/>
  <c r="A280" i="49"/>
  <c r="M280" i="49"/>
  <c r="L280" i="49"/>
  <c r="N280" i="49"/>
  <c r="O280" i="49"/>
  <c r="O278" i="49"/>
  <c r="A278" i="49"/>
  <c r="L278" i="49"/>
  <c r="N278" i="49"/>
  <c r="M278" i="49"/>
  <c r="L281" i="49"/>
  <c r="O281" i="49"/>
  <c r="M281" i="49"/>
  <c r="A281" i="49"/>
  <c r="N281" i="49"/>
  <c r="A500" i="49"/>
  <c r="L500" i="49"/>
  <c r="M500" i="49"/>
  <c r="N500" i="49"/>
  <c r="O500" i="49"/>
  <c r="M489" i="49"/>
  <c r="L489" i="49"/>
  <c r="O489" i="49"/>
  <c r="N489" i="49"/>
  <c r="A489" i="49"/>
  <c r="L62" i="23"/>
  <c r="A62" i="23"/>
  <c r="M62" i="23"/>
  <c r="N62" i="23"/>
  <c r="O62" i="23"/>
  <c r="J541" i="1"/>
  <c r="J540" i="1"/>
  <c r="J542" i="1"/>
  <c r="J543" i="1"/>
  <c r="J544" i="1"/>
  <c r="J545" i="1"/>
  <c r="J546" i="1"/>
  <c r="S2018" i="1"/>
  <c r="T2018" i="1"/>
  <c r="U2018" i="1"/>
  <c r="N585" i="1"/>
  <c r="N587" i="1"/>
  <c r="N586" i="1"/>
  <c r="J1185" i="1"/>
  <c r="J1186" i="1"/>
  <c r="J1184" i="1"/>
  <c r="J1187" i="1"/>
  <c r="J1188" i="1"/>
  <c r="J1529" i="1"/>
  <c r="S1529" i="1"/>
  <c r="H1529" i="1"/>
  <c r="T1529" i="1"/>
  <c r="U1529" i="1"/>
  <c r="J1530" i="1"/>
  <c r="U1530" i="1"/>
  <c r="H1530" i="1"/>
  <c r="T1530" i="1"/>
  <c r="S1530" i="1"/>
  <c r="G2029" i="1"/>
  <c r="C2029" i="1" s="1"/>
  <c r="G2128" i="1"/>
  <c r="C2128" i="1" s="1"/>
  <c r="H2152" i="1"/>
  <c r="T2152" i="1"/>
  <c r="S2152" i="1"/>
  <c r="U2152" i="1"/>
  <c r="M146" i="1"/>
  <c r="M144" i="1"/>
  <c r="M145" i="1"/>
  <c r="M143" i="1"/>
  <c r="T2135" i="1"/>
  <c r="S2135" i="1"/>
  <c r="U2135" i="1"/>
  <c r="H2135" i="1"/>
  <c r="M36" i="1"/>
  <c r="M35" i="1"/>
  <c r="M33" i="1"/>
  <c r="M34" i="1"/>
  <c r="H2139" i="1"/>
  <c r="U2139" i="1"/>
  <c r="S2139" i="1"/>
  <c r="T2139" i="1"/>
  <c r="S1997" i="1"/>
  <c r="U1997" i="1"/>
  <c r="N1997" i="1"/>
  <c r="H1997" i="1"/>
  <c r="T1997" i="1"/>
  <c r="N3544" i="23" l="1"/>
  <c r="A157" i="23"/>
  <c r="O2541" i="23"/>
  <c r="N1579" i="23"/>
  <c r="M1579" i="23"/>
  <c r="O1579" i="23"/>
  <c r="A1579" i="23"/>
  <c r="A1580" i="23" s="1"/>
  <c r="G1584" i="23"/>
  <c r="L1579" i="23"/>
  <c r="L2541" i="23"/>
  <c r="N1546" i="23"/>
  <c r="M1546" i="23"/>
  <c r="G1604" i="23"/>
  <c r="A1602" i="23"/>
  <c r="A1603" i="23" s="1"/>
  <c r="G1605" i="23"/>
  <c r="A1473" i="23"/>
  <c r="M2491" i="23"/>
  <c r="M1323" i="23"/>
  <c r="M1261" i="23"/>
  <c r="M1198" i="23"/>
  <c r="N1205" i="23"/>
  <c r="N415" i="23"/>
  <c r="O961" i="23"/>
  <c r="L961" i="23"/>
  <c r="M3257" i="23"/>
  <c r="A3259" i="23"/>
  <c r="M3259" i="23"/>
  <c r="N3336" i="23"/>
  <c r="A1308" i="23"/>
  <c r="G1572" i="23"/>
  <c r="A1572" i="23" s="1"/>
  <c r="L1543" i="23"/>
  <c r="M1759" i="23"/>
  <c r="L1553" i="23"/>
  <c r="O1205" i="23"/>
  <c r="C1229" i="23"/>
  <c r="N961" i="23"/>
  <c r="A3257" i="23"/>
  <c r="N2936" i="23"/>
  <c r="G1382" i="23"/>
  <c r="N3259" i="23"/>
  <c r="A2842" i="23"/>
  <c r="L3247" i="23"/>
  <c r="O3336" i="23"/>
  <c r="L3336" i="23"/>
  <c r="L3281" i="23"/>
  <c r="M1569" i="23"/>
  <c r="A1553" i="23"/>
  <c r="N1553" i="23"/>
  <c r="C961" i="23"/>
  <c r="O1473" i="23"/>
  <c r="L1323" i="23"/>
  <c r="O1323" i="23"/>
  <c r="G1219" i="23"/>
  <c r="N1261" i="23"/>
  <c r="N3257" i="23"/>
  <c r="A2936" i="23"/>
  <c r="M1380" i="23"/>
  <c r="G1548" i="23"/>
  <c r="N1569" i="23"/>
  <c r="G1577" i="23"/>
  <c r="L1577" i="23" s="1"/>
  <c r="O1553" i="23"/>
  <c r="M1519" i="23"/>
  <c r="N1676" i="23"/>
  <c r="N1597" i="23"/>
  <c r="L1758" i="23"/>
  <c r="A436" i="23"/>
  <c r="A437" i="23" s="1"/>
  <c r="A2978" i="23"/>
  <c r="G438" i="23"/>
  <c r="L1735" i="23"/>
  <c r="H1878" i="1"/>
  <c r="A1568" i="23"/>
  <c r="M1568" i="23"/>
  <c r="N1568" i="23"/>
  <c r="L1568" i="23"/>
  <c r="T1665" i="1"/>
  <c r="C2224" i="1"/>
  <c r="S2224" i="1"/>
  <c r="T2224" i="1"/>
  <c r="T2234" i="1"/>
  <c r="A2761" i="23"/>
  <c r="L2761" i="23"/>
  <c r="O2761" i="23"/>
  <c r="N2761" i="23"/>
  <c r="O2750" i="23"/>
  <c r="L2750" i="23"/>
  <c r="N2750" i="23"/>
  <c r="A2750" i="23"/>
  <c r="A1684" i="23"/>
  <c r="L1597" i="23"/>
  <c r="A2760" i="23"/>
  <c r="L2760" i="23"/>
  <c r="O2760" i="23"/>
  <c r="N2760" i="23"/>
  <c r="G2773" i="23"/>
  <c r="N2773" i="23" s="1"/>
  <c r="G2777" i="23"/>
  <c r="O2777" i="23" s="1"/>
  <c r="C3344" i="23"/>
  <c r="C3359" i="23" s="1"/>
  <c r="G2781" i="23"/>
  <c r="M2781" i="23" s="1"/>
  <c r="H1465" i="1"/>
  <c r="S1465" i="1"/>
  <c r="T1465" i="1"/>
  <c r="J1465" i="1"/>
  <c r="T1658" i="1"/>
  <c r="U1658" i="1"/>
  <c r="H1652" i="1"/>
  <c r="S1652" i="1"/>
  <c r="J1652" i="1"/>
  <c r="T1652" i="1"/>
  <c r="G1775" i="23"/>
  <c r="M1775" i="23" s="1"/>
  <c r="M1752" i="23"/>
  <c r="A2716" i="23"/>
  <c r="G2717" i="23"/>
  <c r="A2784" i="23"/>
  <c r="G2775" i="23"/>
  <c r="M2775" i="23" s="1"/>
  <c r="G2779" i="23"/>
  <c r="M2779" i="23" s="1"/>
  <c r="G2783" i="23"/>
  <c r="L2783" i="23" s="1"/>
  <c r="M1675" i="23"/>
  <c r="M1676" i="23"/>
  <c r="L1684" i="23"/>
  <c r="A2763" i="23"/>
  <c r="A2764" i="23" s="1"/>
  <c r="M2765" i="23"/>
  <c r="G2769" i="23"/>
  <c r="M2769" i="23" s="1"/>
  <c r="M2771" i="23"/>
  <c r="G2774" i="23"/>
  <c r="M2774" i="23" s="1"/>
  <c r="G2776" i="23"/>
  <c r="M2776" i="23" s="1"/>
  <c r="G2778" i="23"/>
  <c r="M2778" i="23" s="1"/>
  <c r="M2780" i="23"/>
  <c r="G2782" i="23"/>
  <c r="M2782" i="23" s="1"/>
  <c r="M2766" i="23"/>
  <c r="A2766" i="23"/>
  <c r="L2766" i="23"/>
  <c r="N2766" i="23"/>
  <c r="O2766" i="23"/>
  <c r="M2784" i="23"/>
  <c r="O2784" i="23"/>
  <c r="L2784" i="23"/>
  <c r="A2768" i="23"/>
  <c r="M2768" i="23"/>
  <c r="O2768" i="23"/>
  <c r="N2768" i="23"/>
  <c r="L2768" i="23"/>
  <c r="A2770" i="23"/>
  <c r="M2770" i="23"/>
  <c r="O2770" i="23"/>
  <c r="N2770" i="23"/>
  <c r="L2770" i="23"/>
  <c r="A2773" i="23"/>
  <c r="L2781" i="23"/>
  <c r="A2765" i="23"/>
  <c r="A2771" i="23"/>
  <c r="N2771" i="23"/>
  <c r="O2771" i="23"/>
  <c r="A2776" i="23"/>
  <c r="A2780" i="23"/>
  <c r="O2780" i="23"/>
  <c r="L2780" i="23"/>
  <c r="L2785" i="23"/>
  <c r="M2785" i="23"/>
  <c r="A2785" i="23"/>
  <c r="N2785" i="23"/>
  <c r="O2785" i="23"/>
  <c r="O2403" i="23"/>
  <c r="G67" i="49"/>
  <c r="G49" i="49"/>
  <c r="G58" i="49"/>
  <c r="N705" i="49"/>
  <c r="O2505" i="23"/>
  <c r="N2505" i="23"/>
  <c r="O2484" i="23"/>
  <c r="N2484" i="23"/>
  <c r="G2568" i="23"/>
  <c r="G2585" i="23"/>
  <c r="G2569" i="23"/>
  <c r="N2564" i="23"/>
  <c r="G2586" i="23"/>
  <c r="G2584" i="23"/>
  <c r="G2571" i="23"/>
  <c r="G2567" i="23"/>
  <c r="M2520" i="23"/>
  <c r="N2520" i="23"/>
  <c r="L2491" i="23"/>
  <c r="N2491" i="23"/>
  <c r="C965" i="23"/>
  <c r="C976" i="23" s="1"/>
  <c r="N2408" i="23"/>
  <c r="A1759" i="23"/>
  <c r="A1760" i="23" s="1"/>
  <c r="N1759" i="23"/>
  <c r="L1759" i="23"/>
  <c r="N1239" i="23"/>
  <c r="G1763" i="23"/>
  <c r="M1763" i="23" s="1"/>
  <c r="N1752" i="23"/>
  <c r="A1752" i="23"/>
  <c r="C1300" i="23"/>
  <c r="C1306" i="23" s="1"/>
  <c r="C1311" i="23" s="1"/>
  <c r="C1324" i="23" s="1"/>
  <c r="C1330" i="23" s="1"/>
  <c r="O3110" i="23"/>
  <c r="A3110" i="23"/>
  <c r="G1878" i="23"/>
  <c r="G1880" i="23"/>
  <c r="L1880" i="23" s="1"/>
  <c r="N2841" i="23"/>
  <c r="M2841" i="23"/>
  <c r="O3256" i="23"/>
  <c r="N3256" i="23"/>
  <c r="G1741" i="23"/>
  <c r="N1725" i="23"/>
  <c r="L1725" i="23"/>
  <c r="A460" i="23"/>
  <c r="O460" i="23"/>
  <c r="N460" i="23"/>
  <c r="M460" i="23"/>
  <c r="M3349" i="23"/>
  <c r="A3349" i="23"/>
  <c r="G1327" i="23"/>
  <c r="L1327" i="23" s="1"/>
  <c r="A1324" i="23"/>
  <c r="A1325" i="23" s="1"/>
  <c r="L1259" i="23"/>
  <c r="A1259" i="23"/>
  <c r="N3254" i="23"/>
  <c r="M3254" i="23"/>
  <c r="A3254" i="23"/>
  <c r="L2874" i="23"/>
  <c r="N2874" i="23"/>
  <c r="O2874" i="23"/>
  <c r="A3243" i="23"/>
  <c r="N3243" i="23"/>
  <c r="A2795" i="23"/>
  <c r="L2795" i="23"/>
  <c r="O2795" i="23"/>
  <c r="O2801" i="23" s="1"/>
  <c r="A2972" i="23"/>
  <c r="O2972" i="23"/>
  <c r="A3253" i="23"/>
  <c r="O3253" i="23"/>
  <c r="M3253" i="23"/>
  <c r="L2873" i="23"/>
  <c r="A2873" i="23"/>
  <c r="M2873" i="23"/>
  <c r="A1129" i="23"/>
  <c r="N1129" i="23"/>
  <c r="G1130" i="23"/>
  <c r="A1130" i="23" s="1"/>
  <c r="O1129" i="23"/>
  <c r="M3301" i="23"/>
  <c r="N3301" i="23"/>
  <c r="N1727" i="23"/>
  <c r="A1727" i="23"/>
  <c r="G1780" i="23"/>
  <c r="L1776" i="23"/>
  <c r="O1776" i="23"/>
  <c r="N1743" i="23"/>
  <c r="O1743" i="23"/>
  <c r="L1743" i="23"/>
  <c r="A1743" i="23"/>
  <c r="A1744" i="23" s="1"/>
  <c r="N1758" i="23"/>
  <c r="O1758" i="23"/>
  <c r="G3346" i="23"/>
  <c r="N3346" i="23" s="1"/>
  <c r="G3347" i="23"/>
  <c r="L3347" i="23" s="1"/>
  <c r="G979" i="23"/>
  <c r="A979" i="23" s="1"/>
  <c r="G985" i="23"/>
  <c r="A985" i="23" s="1"/>
  <c r="G995" i="23"/>
  <c r="M995" i="23" s="1"/>
  <c r="O976" i="23"/>
  <c r="G981" i="23"/>
  <c r="A981" i="23" s="1"/>
  <c r="G982" i="23"/>
  <c r="A982" i="23" s="1"/>
  <c r="M976" i="23"/>
  <c r="G980" i="23"/>
  <c r="A980" i="23" s="1"/>
  <c r="O2879" i="23"/>
  <c r="L2879" i="23"/>
  <c r="A2879" i="23"/>
  <c r="N3285" i="23"/>
  <c r="A3285" i="23"/>
  <c r="A2542" i="23"/>
  <c r="M2891" i="23"/>
  <c r="N2891" i="23"/>
  <c r="O2891" i="23"/>
  <c r="O2485" i="23"/>
  <c r="A2485" i="23"/>
  <c r="O81" i="23"/>
  <c r="A81" i="23"/>
  <c r="L81" i="23"/>
  <c r="N81" i="23"/>
  <c r="N2832" i="23"/>
  <c r="O2832" i="23"/>
  <c r="A2832" i="23"/>
  <c r="N3290" i="23"/>
  <c r="O3290" i="23"/>
  <c r="G3297" i="23"/>
  <c r="N3297" i="23" s="1"/>
  <c r="O1255" i="23"/>
  <c r="N1255" i="23"/>
  <c r="A3528" i="23"/>
  <c r="G3529" i="23"/>
  <c r="O3529" i="23" s="1"/>
  <c r="A2491" i="23"/>
  <c r="O2805" i="23"/>
  <c r="M159" i="23"/>
  <c r="O1261" i="23"/>
  <c r="A1261" i="23"/>
  <c r="N3110" i="23"/>
  <c r="M1255" i="23"/>
  <c r="A1255" i="23"/>
  <c r="G1326" i="23"/>
  <c r="M1259" i="23"/>
  <c r="M2542" i="23"/>
  <c r="O2542" i="23"/>
  <c r="A2874" i="23"/>
  <c r="N2879" i="23"/>
  <c r="L2868" i="23"/>
  <c r="L3301" i="23"/>
  <c r="O3301" i="23"/>
  <c r="L2891" i="23"/>
  <c r="G2892" i="23"/>
  <c r="A2968" i="23"/>
  <c r="L2832" i="23"/>
  <c r="M3290" i="23"/>
  <c r="O2873" i="23"/>
  <c r="G988" i="23"/>
  <c r="A988" i="23" s="1"/>
  <c r="G990" i="23"/>
  <c r="A990" i="23" s="1"/>
  <c r="N976" i="23"/>
  <c r="M3243" i="23"/>
  <c r="C3243" i="23"/>
  <c r="C3244" i="23" s="1"/>
  <c r="C3245" i="23" s="1"/>
  <c r="C3246" i="23" s="1"/>
  <c r="M2795" i="23"/>
  <c r="N3253" i="23"/>
  <c r="L3254" i="23"/>
  <c r="L3337" i="23"/>
  <c r="G1660" i="23"/>
  <c r="A1660" i="23" s="1"/>
  <c r="A1659" i="23"/>
  <c r="M1743" i="23"/>
  <c r="L460" i="23"/>
  <c r="L1129" i="23"/>
  <c r="L2485" i="23"/>
  <c r="N3288" i="23"/>
  <c r="A3288" i="23"/>
  <c r="O1152" i="23"/>
  <c r="A1152" i="23"/>
  <c r="C1743" i="23"/>
  <c r="C1749" i="23" s="1"/>
  <c r="C1759" i="23" s="1"/>
  <c r="C1776" i="23" s="1"/>
  <c r="M2485" i="23"/>
  <c r="L419" i="23"/>
  <c r="M419" i="23"/>
  <c r="L435" i="23"/>
  <c r="A435" i="23"/>
  <c r="G986" i="23"/>
  <c r="A986" i="23" s="1"/>
  <c r="G978" i="23"/>
  <c r="A978" i="23" s="1"/>
  <c r="M3288" i="23"/>
  <c r="L3285" i="23"/>
  <c r="L2403" i="23"/>
  <c r="A1758" i="23"/>
  <c r="G3352" i="23"/>
  <c r="L3352" i="23" s="1"/>
  <c r="G2899" i="23"/>
  <c r="O2899" i="23" s="1"/>
  <c r="L1677" i="23"/>
  <c r="G1817" i="23"/>
  <c r="L1817" i="23" s="1"/>
  <c r="A1814" i="23"/>
  <c r="G1818" i="23"/>
  <c r="A1816" i="23"/>
  <c r="L1682" i="23"/>
  <c r="L3288" i="23"/>
  <c r="G3298" i="23"/>
  <c r="A1688" i="23"/>
  <c r="A1689" i="23" s="1"/>
  <c r="L1686" i="23"/>
  <c r="M1688" i="23"/>
  <c r="G1692" i="23"/>
  <c r="N1692" i="23" s="1"/>
  <c r="A352" i="49"/>
  <c r="M352" i="49"/>
  <c r="L352" i="49"/>
  <c r="N352" i="49"/>
  <c r="O352" i="49"/>
  <c r="G61" i="49"/>
  <c r="L1752" i="23"/>
  <c r="A1677" i="23"/>
  <c r="L1676" i="23"/>
  <c r="O1752" i="23"/>
  <c r="M1686" i="23"/>
  <c r="G1687" i="23"/>
  <c r="L1687" i="23" s="1"/>
  <c r="N2403" i="23"/>
  <c r="L1683" i="23"/>
  <c r="A1683" i="23"/>
  <c r="M1677" i="23"/>
  <c r="O1677" i="23"/>
  <c r="A1686" i="23"/>
  <c r="O1686" i="23"/>
  <c r="A1682" i="23"/>
  <c r="O1688" i="23"/>
  <c r="L1688" i="23"/>
  <c r="G1693" i="23"/>
  <c r="N1693" i="23" s="1"/>
  <c r="L817" i="23"/>
  <c r="A817" i="23"/>
  <c r="O817" i="23"/>
  <c r="N817" i="23"/>
  <c r="M817" i="23"/>
  <c r="A3284" i="23"/>
  <c r="L3284" i="23"/>
  <c r="G3350" i="23"/>
  <c r="G3354" i="23"/>
  <c r="A3344" i="23"/>
  <c r="A3345" i="23" s="1"/>
  <c r="G3357" i="23"/>
  <c r="G3351" i="23"/>
  <c r="G3356" i="23"/>
  <c r="G833" i="23"/>
  <c r="G832" i="23"/>
  <c r="M1756" i="23"/>
  <c r="L1756" i="23"/>
  <c r="O1756" i="23"/>
  <c r="A1756" i="23"/>
  <c r="N1756" i="23"/>
  <c r="L1829" i="23"/>
  <c r="N1829" i="23"/>
  <c r="A1829" i="23"/>
  <c r="M1829" i="23"/>
  <c r="O1829" i="23"/>
  <c r="G1761" i="23"/>
  <c r="G1762" i="23" s="1"/>
  <c r="G1768" i="23" s="1"/>
  <c r="G1771" i="23"/>
  <c r="A1771" i="23" s="1"/>
  <c r="G1770" i="23"/>
  <c r="A1770" i="23" s="1"/>
  <c r="G1764" i="23"/>
  <c r="O1764" i="23" s="1"/>
  <c r="N1688" i="23"/>
  <c r="G1690" i="23"/>
  <c r="A1690" i="23" s="1"/>
  <c r="A1694" i="23"/>
  <c r="L1694" i="23"/>
  <c r="L1696" i="23"/>
  <c r="A1696" i="23"/>
  <c r="N1675" i="23"/>
  <c r="A1695" i="23"/>
  <c r="L1695" i="23"/>
  <c r="A1821" i="23"/>
  <c r="M1821" i="23"/>
  <c r="O1821" i="23"/>
  <c r="L1821" i="23"/>
  <c r="N1821" i="23"/>
  <c r="M1825" i="23"/>
  <c r="A1825" i="23"/>
  <c r="L1825" i="23"/>
  <c r="O1825" i="23"/>
  <c r="N1825" i="23"/>
  <c r="M1827" i="23"/>
  <c r="A1827" i="23"/>
  <c r="L1827" i="23"/>
  <c r="O1827" i="23"/>
  <c r="N1827" i="23"/>
  <c r="M1831" i="23"/>
  <c r="A1831" i="23"/>
  <c r="L1831" i="23"/>
  <c r="N1831" i="23"/>
  <c r="O1831" i="23"/>
  <c r="M1833" i="23"/>
  <c r="A1833" i="23"/>
  <c r="L1833" i="23"/>
  <c r="N1833" i="23"/>
  <c r="O1833" i="23"/>
  <c r="M1835" i="23"/>
  <c r="A1835" i="23"/>
  <c r="L1835" i="23"/>
  <c r="N1835" i="23"/>
  <c r="O1835" i="23"/>
  <c r="M1837" i="23"/>
  <c r="A1837" i="23"/>
  <c r="L1837" i="23"/>
  <c r="N1837" i="23"/>
  <c r="O1837" i="23"/>
  <c r="M1839" i="23"/>
  <c r="A1839" i="23"/>
  <c r="L1839" i="23"/>
  <c r="N1839" i="23"/>
  <c r="O1839" i="23"/>
  <c r="M1842" i="23"/>
  <c r="A1842" i="23"/>
  <c r="O1842" i="23"/>
  <c r="N1842" i="23"/>
  <c r="L1842" i="23"/>
  <c r="M1841" i="23"/>
  <c r="A1841" i="23"/>
  <c r="N1841" i="23"/>
  <c r="L1841" i="23"/>
  <c r="O1841" i="23"/>
  <c r="M1776" i="23"/>
  <c r="N1776" i="23"/>
  <c r="A1679" i="23"/>
  <c r="A1675" i="23"/>
  <c r="N1678" i="23"/>
  <c r="A1824" i="23"/>
  <c r="M1824" i="23"/>
  <c r="L1824" i="23"/>
  <c r="N1824" i="23"/>
  <c r="O1824" i="23"/>
  <c r="M1826" i="23"/>
  <c r="A1826" i="23"/>
  <c r="L1826" i="23"/>
  <c r="N1826" i="23"/>
  <c r="O1826" i="23"/>
  <c r="M1830" i="23"/>
  <c r="A1830" i="23"/>
  <c r="L1830" i="23"/>
  <c r="O1830" i="23"/>
  <c r="N1830" i="23"/>
  <c r="M1832" i="23"/>
  <c r="A1832" i="23"/>
  <c r="L1832" i="23"/>
  <c r="O1832" i="23"/>
  <c r="N1832" i="23"/>
  <c r="M1834" i="23"/>
  <c r="A1834" i="23"/>
  <c r="L1834" i="23"/>
  <c r="O1834" i="23"/>
  <c r="N1834" i="23"/>
  <c r="M1836" i="23"/>
  <c r="A1836" i="23"/>
  <c r="L1836" i="23"/>
  <c r="O1836" i="23"/>
  <c r="N1836" i="23"/>
  <c r="M1838" i="23"/>
  <c r="A1838" i="23"/>
  <c r="L1838" i="23"/>
  <c r="O1838" i="23"/>
  <c r="N1838" i="23"/>
  <c r="M1840" i="23"/>
  <c r="A1840" i="23"/>
  <c r="L1840" i="23"/>
  <c r="O1840" i="23"/>
  <c r="N1840" i="23"/>
  <c r="G1823" i="23"/>
  <c r="M1822" i="23"/>
  <c r="A1822" i="23"/>
  <c r="L1822" i="23"/>
  <c r="O1822" i="23"/>
  <c r="N1822" i="23"/>
  <c r="A1678" i="23"/>
  <c r="M49" i="49"/>
  <c r="A49" i="49"/>
  <c r="O49" i="49"/>
  <c r="A332" i="49"/>
  <c r="M332" i="49"/>
  <c r="L332" i="49"/>
  <c r="N332" i="49"/>
  <c r="O332" i="49"/>
  <c r="A2973" i="23"/>
  <c r="L2876" i="23"/>
  <c r="L1679" i="23"/>
  <c r="L1675" i="23"/>
  <c r="L1678" i="23"/>
  <c r="O1678" i="23"/>
  <c r="G1812" i="23"/>
  <c r="A1812" i="23" s="1"/>
  <c r="A1804" i="23"/>
  <c r="M1806" i="23"/>
  <c r="N1806" i="23"/>
  <c r="O1806" i="23"/>
  <c r="L1806" i="23"/>
  <c r="M1813" i="23"/>
  <c r="O1813" i="23"/>
  <c r="N1813" i="23"/>
  <c r="L1813" i="23"/>
  <c r="M1805" i="23"/>
  <c r="O1805" i="23"/>
  <c r="N1805" i="23"/>
  <c r="L1805" i="23"/>
  <c r="N1809" i="23"/>
  <c r="M1809" i="23"/>
  <c r="L1809" i="23"/>
  <c r="O1809" i="23"/>
  <c r="M1807" i="23"/>
  <c r="N1807" i="23"/>
  <c r="L1807" i="23"/>
  <c r="O1807" i="23"/>
  <c r="N1808" i="23"/>
  <c r="M1808" i="23"/>
  <c r="O1808" i="23"/>
  <c r="L1808" i="23"/>
  <c r="C2811" i="23"/>
  <c r="G1854" i="23"/>
  <c r="O1854" i="23" s="1"/>
  <c r="L1843" i="23"/>
  <c r="M1848" i="23"/>
  <c r="M1804" i="23"/>
  <c r="N1804" i="23"/>
  <c r="O1804" i="23"/>
  <c r="L1804" i="23"/>
  <c r="M1810" i="23"/>
  <c r="O1810" i="23"/>
  <c r="N1810" i="23"/>
  <c r="L1810" i="23"/>
  <c r="A1701" i="23"/>
  <c r="O1701" i="23"/>
  <c r="N1701" i="23"/>
  <c r="M1701" i="23"/>
  <c r="L1701" i="23"/>
  <c r="L1703" i="23"/>
  <c r="N1703" i="23"/>
  <c r="M1703" i="23"/>
  <c r="A1703" i="23"/>
  <c r="O1703" i="23"/>
  <c r="M1699" i="23"/>
  <c r="A1699" i="23"/>
  <c r="L1699" i="23"/>
  <c r="N1699" i="23"/>
  <c r="O1699" i="23"/>
  <c r="M1704" i="23"/>
  <c r="N1704" i="23"/>
  <c r="O1704" i="23"/>
  <c r="L1704" i="23"/>
  <c r="A1704" i="23"/>
  <c r="A1700" i="23"/>
  <c r="O1700" i="23"/>
  <c r="L1700" i="23"/>
  <c r="N1700" i="23"/>
  <c r="M1700" i="23"/>
  <c r="M2972" i="23"/>
  <c r="N2972" i="23"/>
  <c r="L2973" i="23"/>
  <c r="M1843" i="23"/>
  <c r="O1843" i="23"/>
  <c r="G1850" i="23"/>
  <c r="L1850" i="23" s="1"/>
  <c r="G1845" i="23"/>
  <c r="M1845" i="23" s="1"/>
  <c r="G1855" i="23"/>
  <c r="A1855" i="23" s="1"/>
  <c r="G1783" i="23"/>
  <c r="M1783" i="23" s="1"/>
  <c r="G1782" i="23"/>
  <c r="M1782" i="23" s="1"/>
  <c r="M2281" i="23"/>
  <c r="M1667" i="23"/>
  <c r="O1736" i="23"/>
  <c r="A1736" i="23"/>
  <c r="M2403" i="23"/>
  <c r="O573" i="23"/>
  <c r="A60" i="49"/>
  <c r="G39" i="49"/>
  <c r="G96" i="49" s="1"/>
  <c r="A61" i="49"/>
  <c r="M711" i="49"/>
  <c r="AJ94" i="2"/>
  <c r="BO94" i="2" s="1"/>
  <c r="O753" i="23"/>
  <c r="O1775" i="23"/>
  <c r="L1775" i="23"/>
  <c r="AJ196" i="2"/>
  <c r="BO196" i="2" s="1"/>
  <c r="A711" i="49"/>
  <c r="N1843" i="23"/>
  <c r="G1849" i="23"/>
  <c r="O1849" i="23" s="1"/>
  <c r="G1847" i="23"/>
  <c r="A1847" i="23" s="1"/>
  <c r="L2972" i="23"/>
  <c r="G1772" i="23"/>
  <c r="A1772" i="23" s="1"/>
  <c r="A1767" i="23"/>
  <c r="AJ146" i="2"/>
  <c r="BO146" i="2" s="1"/>
  <c r="G1773" i="23"/>
  <c r="A1773" i="23" s="1"/>
  <c r="M1769" i="23"/>
  <c r="N1171" i="23"/>
  <c r="N419" i="23"/>
  <c r="A2264" i="23"/>
  <c r="M790" i="23"/>
  <c r="L790" i="23"/>
  <c r="N2868" i="23"/>
  <c r="N3260" i="23"/>
  <c r="L2796" i="23"/>
  <c r="L945" i="23"/>
  <c r="A2841" i="23"/>
  <c r="O1731" i="23"/>
  <c r="G180" i="23"/>
  <c r="N180" i="23" s="1"/>
  <c r="N176" i="23"/>
  <c r="N1576" i="23"/>
  <c r="G1328" i="23"/>
  <c r="M1328" i="23" s="1"/>
  <c r="A1296" i="23"/>
  <c r="M1199" i="23"/>
  <c r="N1199" i="23"/>
  <c r="L1815" i="23"/>
  <c r="A2846" i="23"/>
  <c r="A790" i="23"/>
  <c r="G791" i="23"/>
  <c r="A791" i="23" s="1"/>
  <c r="N2834" i="23"/>
  <c r="O3260" i="23"/>
  <c r="A3260" i="23"/>
  <c r="A2796" i="23"/>
  <c r="M1731" i="23"/>
  <c r="M1734" i="23"/>
  <c r="G182" i="23"/>
  <c r="L182" i="23" s="1"/>
  <c r="A1387" i="23"/>
  <c r="A419" i="23"/>
  <c r="N1815" i="23"/>
  <c r="M949" i="23"/>
  <c r="M2868" i="23"/>
  <c r="N2796" i="23"/>
  <c r="N2801" i="23" s="1"/>
  <c r="A3256" i="23"/>
  <c r="C2796" i="23"/>
  <c r="C2797" i="23" s="1"/>
  <c r="C2798" i="23" s="1"/>
  <c r="C2799" i="23" s="1"/>
  <c r="C2800" i="23" s="1"/>
  <c r="N2869" i="23"/>
  <c r="G1733" i="23"/>
  <c r="N1733" i="23" s="1"/>
  <c r="A1731" i="23"/>
  <c r="M1766" i="23"/>
  <c r="N1766" i="23"/>
  <c r="L1766" i="23"/>
  <c r="O1766" i="23"/>
  <c r="L573" i="23"/>
  <c r="AJ99" i="2"/>
  <c r="BO99" i="2" s="1"/>
  <c r="L1171" i="23"/>
  <c r="A1171" i="23"/>
  <c r="L159" i="23"/>
  <c r="A1437" i="23"/>
  <c r="L3140" i="23"/>
  <c r="L1258" i="23"/>
  <c r="O420" i="23"/>
  <c r="M1229" i="23"/>
  <c r="G1254" i="23"/>
  <c r="N1254" i="23" s="1"/>
  <c r="L950" i="23"/>
  <c r="A3337" i="23"/>
  <c r="N3339" i="23"/>
  <c r="G1742" i="23"/>
  <c r="L1742" i="23" s="1"/>
  <c r="M1724" i="23"/>
  <c r="A1724" i="23"/>
  <c r="N2997" i="23"/>
  <c r="N573" i="23"/>
  <c r="M1171" i="23"/>
  <c r="O159" i="23"/>
  <c r="A3140" i="23"/>
  <c r="O1258" i="23"/>
  <c r="A1198" i="23"/>
  <c r="L1229" i="23"/>
  <c r="L1252" i="23"/>
  <c r="O1300" i="23"/>
  <c r="N3337" i="23"/>
  <c r="M3339" i="23"/>
  <c r="N1434" i="23"/>
  <c r="O1724" i="23"/>
  <c r="N3349" i="23"/>
  <c r="G3340" i="23"/>
  <c r="O3340" i="23" s="1"/>
  <c r="M1386" i="23"/>
  <c r="O1577" i="23"/>
  <c r="O3140" i="23"/>
  <c r="O1198" i="23"/>
  <c r="N60" i="23"/>
  <c r="M1284" i="23"/>
  <c r="N1252" i="23"/>
  <c r="A922" i="23"/>
  <c r="M946" i="23"/>
  <c r="L2837" i="23"/>
  <c r="L3339" i="23"/>
  <c r="L1727" i="23"/>
  <c r="A2997" i="23"/>
  <c r="N1724" i="23"/>
  <c r="AJ358" i="2"/>
  <c r="BO358" i="2" s="1"/>
  <c r="N753" i="23"/>
  <c r="M1764" i="23"/>
  <c r="AJ203" i="2"/>
  <c r="BO203" i="2" s="1"/>
  <c r="M3502" i="23"/>
  <c r="N593" i="23"/>
  <c r="L2628" i="23"/>
  <c r="M3530" i="23"/>
  <c r="M59" i="23"/>
  <c r="O955" i="23"/>
  <c r="N3347" i="23"/>
  <c r="M593" i="23"/>
  <c r="C2936" i="23"/>
  <c r="C2937" i="23" s="1"/>
  <c r="C2938" i="23" s="1"/>
  <c r="C2939" i="23" s="1"/>
  <c r="C2940" i="23" s="1"/>
  <c r="C2941" i="23" s="1"/>
  <c r="C2942" i="23" s="1"/>
  <c r="A3347" i="23"/>
  <c r="M713" i="49"/>
  <c r="O713" i="49"/>
  <c r="L713" i="49"/>
  <c r="N713" i="49"/>
  <c r="A713" i="49"/>
  <c r="O2998" i="23"/>
  <c r="O2936" i="23"/>
  <c r="O2943" i="23" s="1"/>
  <c r="N1309" i="23"/>
  <c r="M1309" i="23"/>
  <c r="L1243" i="23"/>
  <c r="N1293" i="23"/>
  <c r="M429" i="23"/>
  <c r="O717" i="49"/>
  <c r="A717" i="49"/>
  <c r="N717" i="49"/>
  <c r="M717" i="49"/>
  <c r="L717" i="49"/>
  <c r="O3338" i="23"/>
  <c r="G1732" i="23"/>
  <c r="L1732" i="23" s="1"/>
  <c r="N1731" i="23"/>
  <c r="A3283" i="23"/>
  <c r="N1243" i="23"/>
  <c r="M1243" i="23"/>
  <c r="L3338" i="23"/>
  <c r="N3338" i="23"/>
  <c r="A712" i="49"/>
  <c r="N712" i="49"/>
  <c r="M712" i="49"/>
  <c r="O712" i="49"/>
  <c r="L712" i="49"/>
  <c r="O2948" i="23"/>
  <c r="A3527" i="23"/>
  <c r="N163" i="23"/>
  <c r="M63" i="23"/>
  <c r="L1151" i="23"/>
  <c r="O1132" i="23"/>
  <c r="L3262" i="23"/>
  <c r="L2838" i="23"/>
  <c r="L2848" i="23"/>
  <c r="O920" i="23"/>
  <c r="N470" i="23"/>
  <c r="G1244" i="23"/>
  <c r="A1244" i="23" s="1"/>
  <c r="G1245" i="23"/>
  <c r="N1245" i="23" s="1"/>
  <c r="C909" i="23"/>
  <c r="C910" i="23" s="1"/>
  <c r="C911" i="23" s="1"/>
  <c r="C912" i="23" s="1"/>
  <c r="C913" i="23" s="1"/>
  <c r="L3349" i="23"/>
  <c r="O3349" i="23"/>
  <c r="M138" i="23"/>
  <c r="L1230" i="23"/>
  <c r="M3504" i="23"/>
  <c r="L3110" i="23"/>
  <c r="N3502" i="23"/>
  <c r="M78" i="23"/>
  <c r="L3107" i="23"/>
  <c r="L416" i="23"/>
  <c r="N3261" i="23"/>
  <c r="M947" i="23"/>
  <c r="O3261" i="23"/>
  <c r="L1132" i="23"/>
  <c r="M3262" i="23"/>
  <c r="N920" i="23"/>
  <c r="L470" i="23"/>
  <c r="A1895" i="23"/>
  <c r="O1243" i="23"/>
  <c r="A3282" i="23"/>
  <c r="L3282" i="23"/>
  <c r="O2833" i="23"/>
  <c r="A2833" i="23"/>
  <c r="N2833" i="23"/>
  <c r="M2833" i="23"/>
  <c r="L2833" i="23"/>
  <c r="A3261" i="23"/>
  <c r="N3262" i="23"/>
  <c r="O3343" i="23"/>
  <c r="L1388" i="23"/>
  <c r="A470" i="23"/>
  <c r="A1352" i="23"/>
  <c r="A1388" i="23"/>
  <c r="C1634" i="23"/>
  <c r="O1735" i="23"/>
  <c r="N1735" i="23"/>
  <c r="M1735" i="23"/>
  <c r="M470" i="23"/>
  <c r="M3347" i="23"/>
  <c r="L1763" i="23"/>
  <c r="A1725" i="23"/>
  <c r="G1737" i="23"/>
  <c r="A1737" i="23" s="1"/>
  <c r="O1734" i="23"/>
  <c r="L1736" i="23"/>
  <c r="O1725" i="23"/>
  <c r="N1734" i="23"/>
  <c r="N1736" i="23"/>
  <c r="M1725" i="23"/>
  <c r="L1734" i="23"/>
  <c r="G1884" i="23"/>
  <c r="G1892" i="23" s="1"/>
  <c r="L1855" i="23"/>
  <c r="O1850" i="23"/>
  <c r="A1851" i="23"/>
  <c r="M1851" i="23"/>
  <c r="L753" i="23"/>
  <c r="AJ190" i="2"/>
  <c r="BO190" i="2" s="1"/>
  <c r="G2812" i="23"/>
  <c r="A2811" i="23"/>
  <c r="G2815" i="23"/>
  <c r="AJ293" i="2"/>
  <c r="BO293" i="2" s="1"/>
  <c r="AJ81" i="2"/>
  <c r="BO81" i="2" s="1"/>
  <c r="AJ125" i="2"/>
  <c r="BO125" i="2" s="1"/>
  <c r="AJ355" i="2"/>
  <c r="BO355" i="2" s="1"/>
  <c r="AJ352" i="2"/>
  <c r="BO352" i="2" s="1"/>
  <c r="A3502" i="23"/>
  <c r="O1288" i="23"/>
  <c r="L955" i="23"/>
  <c r="AJ184" i="2"/>
  <c r="BO184" i="2" s="1"/>
  <c r="L2484" i="23"/>
  <c r="A2484" i="23"/>
  <c r="M1739" i="23"/>
  <c r="N1739" i="23"/>
  <c r="A1739" i="23"/>
  <c r="L1739" i="23"/>
  <c r="O1748" i="23"/>
  <c r="O3530" i="23"/>
  <c r="L3522" i="23"/>
  <c r="O160" i="23"/>
  <c r="A160" i="23"/>
  <c r="M173" i="23"/>
  <c r="L158" i="23"/>
  <c r="L195" i="23"/>
  <c r="N3140" i="23"/>
  <c r="N1441" i="23"/>
  <c r="N3504" i="23"/>
  <c r="O1142" i="23"/>
  <c r="L2947" i="23"/>
  <c r="O2616" i="23"/>
  <c r="A420" i="23"/>
  <c r="L420" i="23"/>
  <c r="M1230" i="23"/>
  <c r="M1296" i="23"/>
  <c r="N1240" i="23"/>
  <c r="L1198" i="23"/>
  <c r="M435" i="23"/>
  <c r="A78" i="23"/>
  <c r="N78" i="23"/>
  <c r="N1229" i="23"/>
  <c r="N1236" i="23" s="1"/>
  <c r="O1229" i="23"/>
  <c r="G1253" i="23"/>
  <c r="A1253" i="23" s="1"/>
  <c r="O1252" i="23"/>
  <c r="O1151" i="23"/>
  <c r="N1241" i="23"/>
  <c r="A2948" i="23"/>
  <c r="A3108" i="23"/>
  <c r="N1153" i="23"/>
  <c r="N1300" i="23"/>
  <c r="N922" i="23"/>
  <c r="G2915" i="23"/>
  <c r="G2924" i="23" s="1"/>
  <c r="O946" i="23"/>
  <c r="N946" i="23"/>
  <c r="O949" i="23"/>
  <c r="N950" i="23"/>
  <c r="A3262" i="23"/>
  <c r="O2868" i="23"/>
  <c r="M3256" i="23"/>
  <c r="L3256" i="23"/>
  <c r="O945" i="23"/>
  <c r="O2841" i="23"/>
  <c r="L2841" i="23"/>
  <c r="O1230" i="23"/>
  <c r="M753" i="23"/>
  <c r="A955" i="23"/>
  <c r="M2484" i="23"/>
  <c r="G1740" i="23"/>
  <c r="M2997" i="23"/>
  <c r="O2997" i="23"/>
  <c r="L593" i="23"/>
  <c r="O593" i="23"/>
  <c r="O2665" i="23"/>
  <c r="M955" i="23"/>
  <c r="L839" i="23"/>
  <c r="N839" i="23"/>
  <c r="M839" i="23"/>
  <c r="G827" i="23"/>
  <c r="N829" i="23"/>
  <c r="G828" i="23"/>
  <c r="G826" i="23"/>
  <c r="L829" i="23"/>
  <c r="M829" i="23"/>
  <c r="A829" i="23"/>
  <c r="O829" i="23"/>
  <c r="O839" i="23"/>
  <c r="G292" i="23"/>
  <c r="L3502" i="23"/>
  <c r="M2505" i="23"/>
  <c r="M2869" i="23"/>
  <c r="L63" i="23"/>
  <c r="N63" i="23"/>
  <c r="O63" i="23"/>
  <c r="O1434" i="23"/>
  <c r="M1434" i="23"/>
  <c r="O1294" i="23"/>
  <c r="G244" i="23"/>
  <c r="G250" i="23" s="1"/>
  <c r="G252" i="23"/>
  <c r="G253" i="23" s="1"/>
  <c r="G249" i="23"/>
  <c r="G248" i="23"/>
  <c r="O3526" i="23"/>
  <c r="N3533" i="23"/>
  <c r="A3530" i="23"/>
  <c r="M3522" i="23"/>
  <c r="A2490" i="23"/>
  <c r="O158" i="23"/>
  <c r="A158" i="23"/>
  <c r="N157" i="23"/>
  <c r="M157" i="23"/>
  <c r="L163" i="23"/>
  <c r="L1787" i="23"/>
  <c r="A151" i="23"/>
  <c r="N195" i="23"/>
  <c r="O438" i="23"/>
  <c r="M438" i="23"/>
  <c r="O1386" i="23"/>
  <c r="L1576" i="23"/>
  <c r="A3145" i="23"/>
  <c r="M64" i="23"/>
  <c r="O3504" i="23"/>
  <c r="N1142" i="23"/>
  <c r="L433" i="23"/>
  <c r="A433" i="23"/>
  <c r="L2616" i="23"/>
  <c r="M420" i="23"/>
  <c r="L3109" i="23"/>
  <c r="L1296" i="23"/>
  <c r="N1296" i="23"/>
  <c r="O1296" i="23"/>
  <c r="O1284" i="23"/>
  <c r="A1151" i="23"/>
  <c r="L2948" i="23"/>
  <c r="A1663" i="23"/>
  <c r="L922" i="23"/>
  <c r="O922" i="23"/>
  <c r="G2923" i="23"/>
  <c r="A2923" i="23" s="1"/>
  <c r="L946" i="23"/>
  <c r="A946" i="23"/>
  <c r="A950" i="23"/>
  <c r="M950" i="23"/>
  <c r="A2851" i="23"/>
  <c r="A945" i="23"/>
  <c r="N945" i="23"/>
  <c r="M945" i="23"/>
  <c r="L3343" i="23"/>
  <c r="O1130" i="23"/>
  <c r="O1388" i="23"/>
  <c r="N1669" i="23"/>
  <c r="AJ188" i="2"/>
  <c r="BO188" i="2" s="1"/>
  <c r="AJ192" i="2"/>
  <c r="BO192" i="2" s="1"/>
  <c r="AJ382" i="2"/>
  <c r="BO382" i="2" s="1"/>
  <c r="AJ274" i="2"/>
  <c r="BO274" i="2" s="1"/>
  <c r="AJ345" i="2"/>
  <c r="BO345" i="2" s="1"/>
  <c r="AJ98" i="2"/>
  <c r="BO98" i="2" s="1"/>
  <c r="AJ156" i="2"/>
  <c r="BO156" i="2" s="1"/>
  <c r="AJ88" i="2"/>
  <c r="BO88" i="2" s="1"/>
  <c r="AJ282" i="2"/>
  <c r="BO282" i="2" s="1"/>
  <c r="AJ103" i="2"/>
  <c r="BO103" i="2" s="1"/>
  <c r="AJ97" i="2"/>
  <c r="BO97" i="2" s="1"/>
  <c r="AJ213" i="2"/>
  <c r="BO213" i="2" s="1"/>
  <c r="AJ259" i="2"/>
  <c r="BO259" i="2" s="1"/>
  <c r="AJ139" i="2"/>
  <c r="BO139" i="2" s="1"/>
  <c r="M635" i="23"/>
  <c r="M1287" i="23"/>
  <c r="O1287" i="23"/>
  <c r="L3526" i="23"/>
  <c r="M3532" i="23"/>
  <c r="M3533" i="23"/>
  <c r="L3533" i="23"/>
  <c r="N3530" i="23"/>
  <c r="A3522" i="23"/>
  <c r="N3522" i="23"/>
  <c r="L160" i="23"/>
  <c r="M158" i="23"/>
  <c r="N158" i="23"/>
  <c r="O163" i="23"/>
  <c r="O1789" i="23"/>
  <c r="A1787" i="23"/>
  <c r="L1437" i="23"/>
  <c r="A195" i="23"/>
  <c r="L1387" i="23"/>
  <c r="M1576" i="23"/>
  <c r="N59" i="23"/>
  <c r="A64" i="23"/>
  <c r="O64" i="23"/>
  <c r="L3504" i="23"/>
  <c r="A1142" i="23"/>
  <c r="M1142" i="23"/>
  <c r="M2947" i="23"/>
  <c r="A2616" i="23"/>
  <c r="M2616" i="23"/>
  <c r="M1240" i="23"/>
  <c r="O435" i="23"/>
  <c r="N435" i="23"/>
  <c r="L60" i="23"/>
  <c r="N1151" i="23"/>
  <c r="M1241" i="23"/>
  <c r="M2948" i="23"/>
  <c r="O416" i="23"/>
  <c r="L3108" i="23"/>
  <c r="O3108" i="23"/>
  <c r="A1286" i="23"/>
  <c r="L1663" i="23"/>
  <c r="M1663" i="23"/>
  <c r="A1300" i="23"/>
  <c r="A1301" i="23" s="1"/>
  <c r="A2850" i="23"/>
  <c r="N947" i="23"/>
  <c r="L947" i="23"/>
  <c r="G2919" i="23"/>
  <c r="A2919" i="23" s="1"/>
  <c r="G2921" i="23"/>
  <c r="A2921" i="23" s="1"/>
  <c r="A949" i="23"/>
  <c r="N949" i="23"/>
  <c r="M2283" i="23"/>
  <c r="L1814" i="23"/>
  <c r="N1814" i="23"/>
  <c r="N1352" i="23"/>
  <c r="N3343" i="23"/>
  <c r="L1130" i="23"/>
  <c r="L1352" i="23"/>
  <c r="M1293" i="23"/>
  <c r="O1293" i="23"/>
  <c r="M953" i="23"/>
  <c r="O157" i="23"/>
  <c r="O161" i="23"/>
  <c r="A1576" i="23"/>
  <c r="O59" i="23"/>
  <c r="L59" i="23"/>
  <c r="L64" i="23"/>
  <c r="A3487" i="23"/>
  <c r="A3109" i="23"/>
  <c r="N3108" i="23"/>
  <c r="L1153" i="23"/>
  <c r="O1663" i="23"/>
  <c r="G2917" i="23"/>
  <c r="A2917" i="23" s="1"/>
  <c r="A2913" i="23"/>
  <c r="A2914" i="23" s="1"/>
  <c r="G2916" i="23"/>
  <c r="L2916" i="23" s="1"/>
  <c r="N402" i="23"/>
  <c r="N2851" i="23"/>
  <c r="O1814" i="23"/>
  <c r="M1814" i="23"/>
  <c r="O1352" i="23"/>
  <c r="A3343" i="23"/>
  <c r="L3493" i="23"/>
  <c r="N3493" i="23"/>
  <c r="A1293" i="23"/>
  <c r="A960" i="23"/>
  <c r="M1288" i="23"/>
  <c r="N1288" i="23"/>
  <c r="L1288" i="23"/>
  <c r="AJ308" i="2"/>
  <c r="BO308" i="2" s="1"/>
  <c r="O315" i="2"/>
  <c r="AT315" i="2" s="1"/>
  <c r="O314" i="2"/>
  <c r="AT314" i="2" s="1"/>
  <c r="AJ313" i="2"/>
  <c r="BO313" i="2" s="1"/>
  <c r="AJ307" i="2"/>
  <c r="BO307" i="2" s="1"/>
  <c r="AJ311" i="2"/>
  <c r="BO311" i="2" s="1"/>
  <c r="O311" i="2"/>
  <c r="AT311" i="2" s="1"/>
  <c r="O312" i="2"/>
  <c r="AT312" i="2" s="1"/>
  <c r="AJ314" i="2"/>
  <c r="BO314" i="2" s="1"/>
  <c r="AJ312" i="2"/>
  <c r="BO312" i="2" s="1"/>
  <c r="O313" i="2"/>
  <c r="AT313" i="2" s="1"/>
  <c r="O308" i="2"/>
  <c r="AT308" i="2" s="1"/>
  <c r="AJ309" i="2"/>
  <c r="BO309" i="2" s="1"/>
  <c r="O307" i="2"/>
  <c r="AT307" i="2" s="1"/>
  <c r="O309" i="2"/>
  <c r="AT309" i="2" s="1"/>
  <c r="AJ315" i="2"/>
  <c r="BO315" i="2" s="1"/>
  <c r="L1299" i="23"/>
  <c r="N1299" i="23"/>
  <c r="M921" i="23"/>
  <c r="A921" i="23"/>
  <c r="N921" i="23"/>
  <c r="L921" i="23"/>
  <c r="O921" i="23"/>
  <c r="A1289" i="23"/>
  <c r="O1289" i="23"/>
  <c r="M1289" i="23"/>
  <c r="L1289" i="23"/>
  <c r="N1289" i="23"/>
  <c r="N1294" i="23"/>
  <c r="M952" i="23"/>
  <c r="N960" i="23"/>
  <c r="M960" i="23"/>
  <c r="O175" i="23"/>
  <c r="G914" i="23"/>
  <c r="L914" i="23" s="1"/>
  <c r="L1294" i="23"/>
  <c r="A1294" i="23"/>
  <c r="M1290" i="23"/>
  <c r="O953" i="23"/>
  <c r="O960" i="23"/>
  <c r="L960" i="23"/>
  <c r="A951" i="23"/>
  <c r="M951" i="23"/>
  <c r="O951" i="23"/>
  <c r="L951" i="23"/>
  <c r="N951" i="23"/>
  <c r="N953" i="23"/>
  <c r="L953" i="23"/>
  <c r="O1295" i="23"/>
  <c r="M436" i="23"/>
  <c r="G439" i="23"/>
  <c r="G444" i="23" s="1"/>
  <c r="M444" i="23" s="1"/>
  <c r="N1295" i="23"/>
  <c r="G440" i="23"/>
  <c r="L909" i="23"/>
  <c r="A1290" i="23"/>
  <c r="L2296" i="23"/>
  <c r="N1290" i="23"/>
  <c r="L1290" i="23"/>
  <c r="O909" i="23"/>
  <c r="M909" i="23"/>
  <c r="A909" i="23"/>
  <c r="L1309" i="23"/>
  <c r="O1309" i="23"/>
  <c r="A1386" i="23"/>
  <c r="A1319" i="23"/>
  <c r="L1284" i="23"/>
  <c r="L1286" i="23"/>
  <c r="O1380" i="23"/>
  <c r="M956" i="23"/>
  <c r="O1299" i="23"/>
  <c r="M1299" i="23"/>
  <c r="M948" i="23"/>
  <c r="O948" i="23"/>
  <c r="O952" i="23"/>
  <c r="G972" i="23"/>
  <c r="O972" i="23" s="1"/>
  <c r="N910" i="23"/>
  <c r="A910" i="23"/>
  <c r="O910" i="23"/>
  <c r="M910" i="23"/>
  <c r="L910" i="23"/>
  <c r="O1310" i="23"/>
  <c r="L1310" i="23"/>
  <c r="G1298" i="23"/>
  <c r="O1285" i="23"/>
  <c r="N1285" i="23"/>
  <c r="L1285" i="23"/>
  <c r="A1285" i="23"/>
  <c r="M1285" i="23"/>
  <c r="N1386" i="23"/>
  <c r="A1284" i="23"/>
  <c r="N1380" i="23"/>
  <c r="A1380" i="23"/>
  <c r="L956" i="23"/>
  <c r="N1310" i="23"/>
  <c r="A1299" i="23"/>
  <c r="L948" i="23"/>
  <c r="N952" i="23"/>
  <c r="A1295" i="23"/>
  <c r="L1295" i="23"/>
  <c r="M1319" i="23"/>
  <c r="N1284" i="23"/>
  <c r="G1381" i="23"/>
  <c r="A1381" i="23" s="1"/>
  <c r="N956" i="23"/>
  <c r="A1434" i="23"/>
  <c r="M1310" i="23"/>
  <c r="A1310" i="23"/>
  <c r="N909" i="23"/>
  <c r="L952" i="23"/>
  <c r="N958" i="23"/>
  <c r="A958" i="23"/>
  <c r="M958" i="23"/>
  <c r="O958" i="23"/>
  <c r="AJ258" i="2"/>
  <c r="BO258" i="2" s="1"/>
  <c r="O436" i="23"/>
  <c r="N436" i="23"/>
  <c r="O465" i="23"/>
  <c r="M465" i="23"/>
  <c r="A465" i="23"/>
  <c r="L465" i="23"/>
  <c r="N433" i="23"/>
  <c r="M417" i="23"/>
  <c r="O419" i="23"/>
  <c r="A415" i="23"/>
  <c r="A1241" i="23"/>
  <c r="A434" i="23"/>
  <c r="M1300" i="23"/>
  <c r="L415" i="23"/>
  <c r="N434" i="23"/>
  <c r="G1305" i="23"/>
  <c r="G1303" i="23" s="1"/>
  <c r="U1654" i="1"/>
  <c r="U1692" i="1"/>
  <c r="N1264" i="23"/>
  <c r="S1256" i="23" s="1"/>
  <c r="M1264" i="23"/>
  <c r="R1256" i="23" s="1"/>
  <c r="C1241" i="1"/>
  <c r="AJ144" i="2"/>
  <c r="BO144" i="2" s="1"/>
  <c r="AJ172" i="2"/>
  <c r="BO172" i="2" s="1"/>
  <c r="AJ326" i="2"/>
  <c r="BO326" i="2" s="1"/>
  <c r="AJ266" i="2"/>
  <c r="BO266" i="2" s="1"/>
  <c r="AJ173" i="2"/>
  <c r="BO173" i="2" s="1"/>
  <c r="AJ199" i="2"/>
  <c r="BO199" i="2" s="1"/>
  <c r="AJ288" i="2"/>
  <c r="BO288" i="2" s="1"/>
  <c r="AJ302" i="2"/>
  <c r="BO302" i="2" s="1"/>
  <c r="AJ338" i="2"/>
  <c r="BO338" i="2" s="1"/>
  <c r="AJ269" i="2"/>
  <c r="BO269" i="2" s="1"/>
  <c r="AJ346" i="2"/>
  <c r="BO346" i="2" s="1"/>
  <c r="AJ267" i="2"/>
  <c r="BO267" i="2" s="1"/>
  <c r="AJ120" i="2"/>
  <c r="BO120" i="2" s="1"/>
  <c r="AJ310" i="2"/>
  <c r="BO310" i="2" s="1"/>
  <c r="AJ119" i="2"/>
  <c r="BO119" i="2" s="1"/>
  <c r="AJ82" i="2"/>
  <c r="BO82" i="2" s="1"/>
  <c r="AJ185" i="2"/>
  <c r="BO185" i="2" s="1"/>
  <c r="AJ110" i="2"/>
  <c r="BO110" i="2" s="1"/>
  <c r="AJ179" i="2"/>
  <c r="BO179" i="2" s="1"/>
  <c r="AJ143" i="2"/>
  <c r="BO143" i="2" s="1"/>
  <c r="AJ341" i="2"/>
  <c r="BO341" i="2" s="1"/>
  <c r="O635" i="23"/>
  <c r="O138" i="23"/>
  <c r="L138" i="23"/>
  <c r="A3525" i="23"/>
  <c r="O164" i="23"/>
  <c r="N168" i="23"/>
  <c r="A1789" i="23"/>
  <c r="N1437" i="23"/>
  <c r="N151" i="23"/>
  <c r="N2947" i="23"/>
  <c r="N2615" i="23"/>
  <c r="O417" i="23"/>
  <c r="O60" i="23"/>
  <c r="N1319" i="23"/>
  <c r="N3107" i="23"/>
  <c r="A3107" i="23"/>
  <c r="M65" i="23"/>
  <c r="L2867" i="23"/>
  <c r="A2869" i="23"/>
  <c r="O321" i="2"/>
  <c r="AT321" i="2" s="1"/>
  <c r="AJ283" i="2"/>
  <c r="BO283" i="2" s="1"/>
  <c r="AJ153" i="2"/>
  <c r="BO153" i="2" s="1"/>
  <c r="AJ221" i="2"/>
  <c r="BO221" i="2" s="1"/>
  <c r="AJ370" i="2"/>
  <c r="BO370" i="2" s="1"/>
  <c r="AJ256" i="2"/>
  <c r="BO256" i="2" s="1"/>
  <c r="AJ107" i="2"/>
  <c r="BO107" i="2" s="1"/>
  <c r="AJ134" i="2"/>
  <c r="BO134" i="2" s="1"/>
  <c r="AJ368" i="2"/>
  <c r="BO368" i="2" s="1"/>
  <c r="AJ287" i="2"/>
  <c r="BO287" i="2" s="1"/>
  <c r="AJ181" i="2"/>
  <c r="BO181" i="2" s="1"/>
  <c r="AJ80" i="2"/>
  <c r="BO80" i="2" s="1"/>
  <c r="AJ318" i="2"/>
  <c r="BO318" i="2" s="1"/>
  <c r="AJ176" i="2"/>
  <c r="BO176" i="2" s="1"/>
  <c r="AJ230" i="2"/>
  <c r="BO230" i="2" s="1"/>
  <c r="AJ100" i="2"/>
  <c r="BO100" i="2" s="1"/>
  <c r="N635" i="23"/>
  <c r="N138" i="23"/>
  <c r="O3525" i="23"/>
  <c r="M3525" i="23"/>
  <c r="A168" i="23"/>
  <c r="O1437" i="23"/>
  <c r="O151" i="23"/>
  <c r="O2947" i="23"/>
  <c r="N417" i="23"/>
  <c r="L417" i="23"/>
  <c r="M60" i="23"/>
  <c r="L1319" i="23"/>
  <c r="O3107" i="23"/>
  <c r="AJ111" i="2"/>
  <c r="BO111" i="2" s="1"/>
  <c r="O65" i="23"/>
  <c r="O2867" i="23"/>
  <c r="N2867" i="23"/>
  <c r="L2869" i="23"/>
  <c r="AJ150" i="2"/>
  <c r="BO150" i="2" s="1"/>
  <c r="AJ253" i="2"/>
  <c r="BO253" i="2" s="1"/>
  <c r="AJ180" i="2"/>
  <c r="BO180" i="2" s="1"/>
  <c r="AJ189" i="2"/>
  <c r="BO189" i="2" s="1"/>
  <c r="AJ86" i="2"/>
  <c r="BO86" i="2" s="1"/>
  <c r="AJ133" i="2"/>
  <c r="BO133" i="2" s="1"/>
  <c r="AJ131" i="2"/>
  <c r="BO131" i="2" s="1"/>
  <c r="AJ96" i="2"/>
  <c r="BO96" i="2" s="1"/>
  <c r="AJ216" i="2"/>
  <c r="BO216" i="2" s="1"/>
  <c r="AJ117" i="2"/>
  <c r="BO117" i="2" s="1"/>
  <c r="AJ177" i="2"/>
  <c r="BO177" i="2" s="1"/>
  <c r="AJ369" i="2"/>
  <c r="BO369" i="2" s="1"/>
  <c r="AJ186" i="2"/>
  <c r="BO186" i="2" s="1"/>
  <c r="AJ108" i="2"/>
  <c r="BO108" i="2" s="1"/>
  <c r="AJ113" i="2"/>
  <c r="BO113" i="2" s="1"/>
  <c r="AJ228" i="2"/>
  <c r="BO228" i="2" s="1"/>
  <c r="AJ339" i="2"/>
  <c r="BO339" i="2" s="1"/>
  <c r="AJ235" i="2"/>
  <c r="BO235" i="2" s="1"/>
  <c r="AJ123" i="2"/>
  <c r="BO123" i="2" s="1"/>
  <c r="AJ227" i="2"/>
  <c r="BO227" i="2" s="1"/>
  <c r="AJ135" i="2"/>
  <c r="BO135" i="2" s="1"/>
  <c r="AJ286" i="2"/>
  <c r="BO286" i="2" s="1"/>
  <c r="AJ215" i="2"/>
  <c r="BO215" i="2" s="1"/>
  <c r="AJ340" i="2"/>
  <c r="BO340" i="2" s="1"/>
  <c r="AJ152" i="2"/>
  <c r="BO152" i="2" s="1"/>
  <c r="AJ248" i="2"/>
  <c r="BO248" i="2" s="1"/>
  <c r="AJ225" i="2"/>
  <c r="BO225" i="2" s="1"/>
  <c r="AJ359" i="2"/>
  <c r="BO359" i="2" s="1"/>
  <c r="AJ104" i="2"/>
  <c r="BO104" i="2" s="1"/>
  <c r="AJ121" i="2"/>
  <c r="BO121" i="2" s="1"/>
  <c r="AJ270" i="2"/>
  <c r="BO270" i="2" s="1"/>
  <c r="AJ298" i="2"/>
  <c r="BO298" i="2" s="1"/>
  <c r="AJ130" i="2"/>
  <c r="BO130" i="2" s="1"/>
  <c r="AJ271" i="2"/>
  <c r="BO271" i="2" s="1"/>
  <c r="AJ376" i="2"/>
  <c r="BO376" i="2" s="1"/>
  <c r="AJ226" i="2"/>
  <c r="BO226" i="2" s="1"/>
  <c r="A635" i="23"/>
  <c r="N1789" i="23"/>
  <c r="M1437" i="23"/>
  <c r="L3491" i="23"/>
  <c r="A65" i="23"/>
  <c r="M1122" i="23"/>
  <c r="AJ262" i="2"/>
  <c r="BO262" i="2" s="1"/>
  <c r="AJ243" i="2"/>
  <c r="BO243" i="2" s="1"/>
  <c r="AJ337" i="2"/>
  <c r="BO337" i="2" s="1"/>
  <c r="AJ252" i="2"/>
  <c r="BO252" i="2" s="1"/>
  <c r="AJ384" i="2"/>
  <c r="BO384" i="2" s="1"/>
  <c r="AJ363" i="2"/>
  <c r="BO363" i="2" s="1"/>
  <c r="AJ371" i="2"/>
  <c r="BO371" i="2" s="1"/>
  <c r="AJ353" i="2"/>
  <c r="BO353" i="2" s="1"/>
  <c r="AJ356" i="2"/>
  <c r="BO356" i="2" s="1"/>
  <c r="AJ364" i="2"/>
  <c r="BO364" i="2" s="1"/>
  <c r="AJ124" i="2"/>
  <c r="BO124" i="2" s="1"/>
  <c r="AJ191" i="2"/>
  <c r="BO191" i="2" s="1"/>
  <c r="AJ137" i="2"/>
  <c r="BO137" i="2" s="1"/>
  <c r="AJ84" i="2"/>
  <c r="BO84" i="2" s="1"/>
  <c r="AJ295" i="2"/>
  <c r="BO295" i="2" s="1"/>
  <c r="AJ218" i="2"/>
  <c r="BO218" i="2" s="1"/>
  <c r="AJ238" i="2"/>
  <c r="BO238" i="2" s="1"/>
  <c r="AJ281" i="2"/>
  <c r="BO281" i="2" s="1"/>
  <c r="AJ154" i="2"/>
  <c r="BO154" i="2" s="1"/>
  <c r="AJ200" i="2"/>
  <c r="BO200" i="2" s="1"/>
  <c r="AJ348" i="2"/>
  <c r="BO348" i="2" s="1"/>
  <c r="AJ289" i="2"/>
  <c r="BO289" i="2" s="1"/>
  <c r="AJ89" i="2"/>
  <c r="BO89" i="2" s="1"/>
  <c r="AJ142" i="2"/>
  <c r="BO142" i="2" s="1"/>
  <c r="AJ219" i="2"/>
  <c r="BO219" i="2" s="1"/>
  <c r="AJ301" i="2"/>
  <c r="BO301" i="2" s="1"/>
  <c r="AJ175" i="2"/>
  <c r="BO175" i="2" s="1"/>
  <c r="AJ285" i="2"/>
  <c r="BO285" i="2" s="1"/>
  <c r="AJ239" i="2"/>
  <c r="BO239" i="2" s="1"/>
  <c r="AJ299" i="2"/>
  <c r="BO299" i="2" s="1"/>
  <c r="AJ254" i="2"/>
  <c r="BO254" i="2" s="1"/>
  <c r="AJ79" i="2"/>
  <c r="BO79" i="2" s="1"/>
  <c r="AJ367" i="2"/>
  <c r="BO367" i="2" s="1"/>
  <c r="AJ265" i="2"/>
  <c r="BO265" i="2" s="1"/>
  <c r="AJ349" i="2"/>
  <c r="BO349" i="2" s="1"/>
  <c r="AJ140" i="2"/>
  <c r="BO140" i="2" s="1"/>
  <c r="AJ87" i="2"/>
  <c r="BO87" i="2" s="1"/>
  <c r="AJ242" i="2"/>
  <c r="BO242" i="2" s="1"/>
  <c r="AJ233" i="2"/>
  <c r="BO233" i="2" s="1"/>
  <c r="AJ151" i="2"/>
  <c r="BO151" i="2" s="1"/>
  <c r="AJ317" i="2"/>
  <c r="BO317" i="2" s="1"/>
  <c r="AJ357" i="2"/>
  <c r="BO357" i="2" s="1"/>
  <c r="AJ324" i="2"/>
  <c r="BO324" i="2" s="1"/>
  <c r="AJ251" i="2"/>
  <c r="BO251" i="2" s="1"/>
  <c r="AJ224" i="2"/>
  <c r="BO224" i="2" s="1"/>
  <c r="AJ284" i="2"/>
  <c r="BO284" i="2" s="1"/>
  <c r="AJ320" i="2"/>
  <c r="BO320" i="2" s="1"/>
  <c r="AJ236" i="2"/>
  <c r="BO236" i="2" s="1"/>
  <c r="AJ178" i="2"/>
  <c r="BO178" i="2" s="1"/>
  <c r="AJ263" i="2"/>
  <c r="BO263" i="2" s="1"/>
  <c r="AJ316" i="2"/>
  <c r="BO316" i="2" s="1"/>
  <c r="AJ365" i="2"/>
  <c r="BO365" i="2" s="1"/>
  <c r="AJ193" i="2"/>
  <c r="BO193" i="2" s="1"/>
  <c r="AJ366" i="2"/>
  <c r="BO366" i="2" s="1"/>
  <c r="AJ85" i="2"/>
  <c r="BO85" i="2" s="1"/>
  <c r="AJ136" i="2"/>
  <c r="BO136" i="2" s="1"/>
  <c r="AJ126" i="2"/>
  <c r="BO126" i="2" s="1"/>
  <c r="AJ297" i="2"/>
  <c r="BO297" i="2" s="1"/>
  <c r="AJ145" i="2"/>
  <c r="BO145" i="2" s="1"/>
  <c r="AJ194" i="2"/>
  <c r="BO194" i="2" s="1"/>
  <c r="AJ342" i="2"/>
  <c r="BO342" i="2" s="1"/>
  <c r="AJ264" i="2"/>
  <c r="BO264" i="2" s="1"/>
  <c r="AJ378" i="2"/>
  <c r="BO378" i="2" s="1"/>
  <c r="AJ379" i="2"/>
  <c r="BO379" i="2" s="1"/>
  <c r="AJ383" i="2"/>
  <c r="BO383" i="2" s="1"/>
  <c r="AJ171" i="2"/>
  <c r="BO171" i="2" s="1"/>
  <c r="AJ214" i="2"/>
  <c r="BO214" i="2" s="1"/>
  <c r="AJ273" i="2"/>
  <c r="BO273" i="2" s="1"/>
  <c r="AJ112" i="2"/>
  <c r="BO112" i="2" s="1"/>
  <c r="AJ106" i="2"/>
  <c r="BO106" i="2" s="1"/>
  <c r="AJ201" i="2"/>
  <c r="BO201" i="2" s="1"/>
  <c r="AJ319" i="2"/>
  <c r="BO319" i="2" s="1"/>
  <c r="AJ247" i="2"/>
  <c r="BO247" i="2" s="1"/>
  <c r="AJ122" i="2"/>
  <c r="BO122" i="2" s="1"/>
  <c r="AJ217" i="2"/>
  <c r="BO217" i="2" s="1"/>
  <c r="AJ91" i="2"/>
  <c r="BO91" i="2" s="1"/>
  <c r="AJ127" i="2"/>
  <c r="BO127" i="2" s="1"/>
  <c r="AJ261" i="2"/>
  <c r="BO261" i="2" s="1"/>
  <c r="AJ198" i="2"/>
  <c r="BO198" i="2" s="1"/>
  <c r="AJ155" i="2"/>
  <c r="BO155" i="2" s="1"/>
  <c r="AJ323" i="2"/>
  <c r="BO323" i="2" s="1"/>
  <c r="AJ102" i="2"/>
  <c r="BO102" i="2" s="1"/>
  <c r="AJ257" i="2"/>
  <c r="BO257" i="2" s="1"/>
  <c r="AJ237" i="2"/>
  <c r="BO237" i="2" s="1"/>
  <c r="AJ347" i="2"/>
  <c r="BO347" i="2" s="1"/>
  <c r="AJ246" i="2"/>
  <c r="BO246" i="2" s="1"/>
  <c r="AJ260" i="2"/>
  <c r="BO260" i="2" s="1"/>
  <c r="AJ141" i="2"/>
  <c r="BO141" i="2" s="1"/>
  <c r="AJ325" i="2"/>
  <c r="BO325" i="2" s="1"/>
  <c r="AJ290" i="2"/>
  <c r="BO290" i="2" s="1"/>
  <c r="AJ182" i="2"/>
  <c r="BO182" i="2" s="1"/>
  <c r="AJ272" i="2"/>
  <c r="BO272" i="2" s="1"/>
  <c r="AJ361" i="2"/>
  <c r="BO361" i="2" s="1"/>
  <c r="AJ291" i="2"/>
  <c r="BO291" i="2" s="1"/>
  <c r="AJ375" i="2"/>
  <c r="BO375" i="2" s="1"/>
  <c r="AJ250" i="2"/>
  <c r="BO250" i="2" s="1"/>
  <c r="AJ296" i="2"/>
  <c r="BO296" i="2" s="1"/>
  <c r="AJ305" i="2"/>
  <c r="BO305" i="2" s="1"/>
  <c r="O222" i="2"/>
  <c r="AT222" i="2" s="1"/>
  <c r="O276" i="2"/>
  <c r="AT276" i="2" s="1"/>
  <c r="O304" i="2"/>
  <c r="AT304" i="2" s="1"/>
  <c r="O279" i="2"/>
  <c r="AT279" i="2" s="1"/>
  <c r="AJ222" i="2"/>
  <c r="BO222" i="2" s="1"/>
  <c r="O418" i="23"/>
  <c r="O275" i="2"/>
  <c r="AT275" i="2" s="1"/>
  <c r="O294" i="2"/>
  <c r="AT294" i="2" s="1"/>
  <c r="O220" i="2"/>
  <c r="AT220" i="2" s="1"/>
  <c r="O277" i="2"/>
  <c r="AT277" i="2" s="1"/>
  <c r="AJ277" i="2"/>
  <c r="BO277" i="2" s="1"/>
  <c r="AJ304" i="2"/>
  <c r="BO304" i="2" s="1"/>
  <c r="AJ245" i="2"/>
  <c r="BO245" i="2" s="1"/>
  <c r="AJ276" i="2"/>
  <c r="BO276" i="2" s="1"/>
  <c r="AJ294" i="2"/>
  <c r="BO294" i="2" s="1"/>
  <c r="AJ322" i="2"/>
  <c r="BO322" i="2" s="1"/>
  <c r="AJ275" i="2"/>
  <c r="BO275" i="2" s="1"/>
  <c r="O305" i="2"/>
  <c r="AT305" i="2" s="1"/>
  <c r="O245" i="2"/>
  <c r="AT245" i="2" s="1"/>
  <c r="O51" i="2"/>
  <c r="AT51" i="2" s="1"/>
  <c r="O322" i="2"/>
  <c r="AT322" i="2" s="1"/>
  <c r="AJ321" i="2"/>
  <c r="BO321" i="2" s="1"/>
  <c r="O303" i="2"/>
  <c r="AT303" i="2" s="1"/>
  <c r="O278" i="2"/>
  <c r="AT278" i="2" s="1"/>
  <c r="O306" i="2"/>
  <c r="AT306" i="2" s="1"/>
  <c r="AJ306" i="2"/>
  <c r="BO306" i="2" s="1"/>
  <c r="AJ279" i="2"/>
  <c r="BO279" i="2" s="1"/>
  <c r="AJ278" i="2"/>
  <c r="BO278" i="2" s="1"/>
  <c r="AJ220" i="2"/>
  <c r="BO220" i="2" s="1"/>
  <c r="AJ303" i="2"/>
  <c r="BO303" i="2" s="1"/>
  <c r="T1879" i="1"/>
  <c r="M418" i="23"/>
  <c r="N418" i="23"/>
  <c r="J1610" i="1"/>
  <c r="H1610" i="1"/>
  <c r="S1610" i="1"/>
  <c r="U1610" i="1"/>
  <c r="T1610" i="1"/>
  <c r="AJ372" i="2"/>
  <c r="BO372" i="2" s="1"/>
  <c r="AJ374" i="2"/>
  <c r="BO374" i="2" s="1"/>
  <c r="O33" i="2"/>
  <c r="AT33" i="2" s="1"/>
  <c r="AJ116" i="2"/>
  <c r="BO116" i="2" s="1"/>
  <c r="H1879" i="1"/>
  <c r="U1879" i="1"/>
  <c r="S1878" i="1"/>
  <c r="U1878" i="1"/>
  <c r="T1877" i="1"/>
  <c r="S1877" i="1"/>
  <c r="H1877" i="1"/>
  <c r="U1877" i="1"/>
  <c r="J1650" i="1"/>
  <c r="H1650" i="1"/>
  <c r="T1650" i="1"/>
  <c r="S1650" i="1"/>
  <c r="O374" i="2"/>
  <c r="AT374" i="2" s="1"/>
  <c r="O372" i="2"/>
  <c r="AT372" i="2" s="1"/>
  <c r="O995" i="23"/>
  <c r="O1264" i="23"/>
  <c r="H2224" i="1"/>
  <c r="M962" i="23"/>
  <c r="N962" i="23"/>
  <c r="L962" i="23"/>
  <c r="O962" i="23"/>
  <c r="A3493" i="23"/>
  <c r="O3493" i="23"/>
  <c r="M1269" i="23"/>
  <c r="N1269" i="23"/>
  <c r="L1269" i="23"/>
  <c r="N1281" i="23"/>
  <c r="S1276" i="23" s="1"/>
  <c r="M1281" i="23"/>
  <c r="R1276" i="23" s="1"/>
  <c r="L1281" i="23"/>
  <c r="O442" i="23"/>
  <c r="C388" i="23"/>
  <c r="L442" i="23"/>
  <c r="A938" i="23"/>
  <c r="M938" i="23"/>
  <c r="N938" i="23"/>
  <c r="O938" i="23"/>
  <c r="L938" i="23"/>
  <c r="A941" i="23"/>
  <c r="O941" i="23"/>
  <c r="L941" i="23"/>
  <c r="M941" i="23"/>
  <c r="N941" i="23"/>
  <c r="M942" i="23"/>
  <c r="A942" i="23"/>
  <c r="L942" i="23"/>
  <c r="O942" i="23"/>
  <c r="N942" i="23"/>
  <c r="N939" i="23"/>
  <c r="A939" i="23"/>
  <c r="M939" i="23"/>
  <c r="L939" i="23"/>
  <c r="O939" i="23"/>
  <c r="O974" i="23"/>
  <c r="N974" i="23"/>
  <c r="A974" i="23"/>
  <c r="M974" i="23"/>
  <c r="L974" i="23"/>
  <c r="L936" i="23"/>
  <c r="G937" i="23"/>
  <c r="O936" i="23"/>
  <c r="M936" i="23"/>
  <c r="N936" i="23"/>
  <c r="A936" i="23"/>
  <c r="A940" i="23"/>
  <c r="N940" i="23"/>
  <c r="O940" i="23"/>
  <c r="M940" i="23"/>
  <c r="L940" i="23"/>
  <c r="A442" i="23"/>
  <c r="M442" i="23"/>
  <c r="A439" i="23"/>
  <c r="M443" i="23"/>
  <c r="A443" i="23"/>
  <c r="N443" i="23"/>
  <c r="L443" i="23"/>
  <c r="O443" i="23"/>
  <c r="G520" i="23"/>
  <c r="G516" i="23"/>
  <c r="G512" i="23"/>
  <c r="G524" i="23" s="1"/>
  <c r="N524" i="23" s="1"/>
  <c r="G519" i="23"/>
  <c r="G515" i="23"/>
  <c r="G511" i="23"/>
  <c r="G523" i="23" s="1"/>
  <c r="G521" i="23"/>
  <c r="G517" i="23"/>
  <c r="G513" i="23"/>
  <c r="G522" i="23"/>
  <c r="G518" i="23"/>
  <c r="G514" i="23"/>
  <c r="O422" i="23"/>
  <c r="A422" i="23"/>
  <c r="N422" i="23"/>
  <c r="M422" i="23"/>
  <c r="L422" i="23"/>
  <c r="O423" i="23"/>
  <c r="N423" i="23"/>
  <c r="M423" i="23"/>
  <c r="A423" i="23"/>
  <c r="L423" i="23"/>
  <c r="O421" i="23"/>
  <c r="A421" i="23"/>
  <c r="M421" i="23"/>
  <c r="L421" i="23"/>
  <c r="N421" i="23"/>
  <c r="O424" i="23"/>
  <c r="N424" i="23"/>
  <c r="M424" i="23"/>
  <c r="A424" i="23"/>
  <c r="L424" i="23"/>
  <c r="AJ132" i="2"/>
  <c r="BO132" i="2" s="1"/>
  <c r="AJ351" i="2"/>
  <c r="BO351" i="2" s="1"/>
  <c r="AJ93" i="2"/>
  <c r="BO93" i="2" s="1"/>
  <c r="AJ90" i="2"/>
  <c r="BO90" i="2" s="1"/>
  <c r="AJ95" i="2"/>
  <c r="BO95" i="2" s="1"/>
  <c r="AJ92" i="2"/>
  <c r="BO92" i="2" s="1"/>
  <c r="O63" i="2"/>
  <c r="AT63" i="2" s="1"/>
  <c r="O351" i="2"/>
  <c r="AT351" i="2" s="1"/>
  <c r="M1748" i="23"/>
  <c r="A3526" i="23"/>
  <c r="O3532" i="23"/>
  <c r="O3527" i="23"/>
  <c r="O2490" i="23"/>
  <c r="N164" i="23"/>
  <c r="L168" i="23"/>
  <c r="N1787" i="23"/>
  <c r="N2719" i="23"/>
  <c r="L3145" i="23"/>
  <c r="O1441" i="23"/>
  <c r="L1152" i="23"/>
  <c r="A2615" i="23"/>
  <c r="M3109" i="23"/>
  <c r="L429" i="23"/>
  <c r="A429" i="23"/>
  <c r="O3105" i="23"/>
  <c r="A416" i="23"/>
  <c r="N416" i="23"/>
  <c r="M768" i="23"/>
  <c r="O2283" i="23"/>
  <c r="A2505" i="23"/>
  <c r="M1788" i="23"/>
  <c r="O92" i="2"/>
  <c r="AT92" i="2" s="1"/>
  <c r="N3526" i="23"/>
  <c r="A3532" i="23"/>
  <c r="L3527" i="23"/>
  <c r="L2490" i="23"/>
  <c r="A164" i="23"/>
  <c r="O168" i="23"/>
  <c r="M1787" i="23"/>
  <c r="L2719" i="23"/>
  <c r="M2719" i="23"/>
  <c r="N3145" i="23"/>
  <c r="M1441" i="23"/>
  <c r="N1152" i="23"/>
  <c r="L3487" i="23"/>
  <c r="O2615" i="23"/>
  <c r="L2615" i="23"/>
  <c r="O3109" i="23"/>
  <c r="O429" i="23"/>
  <c r="A3105" i="23"/>
  <c r="M416" i="23"/>
  <c r="A2272" i="23"/>
  <c r="A1788" i="23"/>
  <c r="O93" i="2"/>
  <c r="AT93" i="2" s="1"/>
  <c r="O95" i="2"/>
  <c r="AT95" i="2" s="1"/>
  <c r="N3532" i="23"/>
  <c r="N3527" i="23"/>
  <c r="M2490" i="23"/>
  <c r="L164" i="23"/>
  <c r="M168" i="23"/>
  <c r="O1787" i="23"/>
  <c r="O3145" i="23"/>
  <c r="A1441" i="23"/>
  <c r="O3487" i="23"/>
  <c r="L1788" i="23"/>
  <c r="L1671" i="23"/>
  <c r="O90" i="2"/>
  <c r="AT90" i="2" s="1"/>
  <c r="O62" i="2"/>
  <c r="AT62" i="2" s="1"/>
  <c r="T1822" i="1"/>
  <c r="H1822" i="1"/>
  <c r="L1822" i="1" s="1"/>
  <c r="T1901" i="1"/>
  <c r="S1822" i="1"/>
  <c r="U1901" i="1"/>
  <c r="S1901" i="1"/>
  <c r="O1669" i="23"/>
  <c r="C1010" i="23"/>
  <c r="C1011" i="23" s="1"/>
  <c r="C1012" i="23" s="1"/>
  <c r="C1013" i="23" s="1"/>
  <c r="M426" i="23"/>
  <c r="A426" i="23"/>
  <c r="L426" i="23"/>
  <c r="O426" i="23"/>
  <c r="N426" i="23"/>
  <c r="O1454" i="23"/>
  <c r="A1454" i="23"/>
  <c r="A876" i="23"/>
  <c r="M876" i="23"/>
  <c r="N876" i="23"/>
  <c r="O876" i="23"/>
  <c r="L876" i="23"/>
  <c r="M1317" i="23"/>
  <c r="A1317" i="23"/>
  <c r="O1317" i="23"/>
  <c r="L1317" i="23"/>
  <c r="N1317" i="23"/>
  <c r="M877" i="23"/>
  <c r="N877" i="23"/>
  <c r="L877" i="23"/>
  <c r="A877" i="23"/>
  <c r="O877" i="23"/>
  <c r="M971" i="23"/>
  <c r="N971" i="23"/>
  <c r="A971" i="23"/>
  <c r="L971" i="23"/>
  <c r="O971" i="23"/>
  <c r="O973" i="23"/>
  <c r="M973" i="23"/>
  <c r="L973" i="23"/>
  <c r="A973" i="23"/>
  <c r="N973" i="23"/>
  <c r="O132" i="2"/>
  <c r="AT132" i="2" s="1"/>
  <c r="M415" i="23"/>
  <c r="O415" i="23"/>
  <c r="T1888" i="1"/>
  <c r="H1896" i="1"/>
  <c r="U1888" i="1"/>
  <c r="S1888" i="1"/>
  <c r="H1897" i="1"/>
  <c r="U1897" i="1"/>
  <c r="U1896" i="1"/>
  <c r="S1896" i="1"/>
  <c r="T1897" i="1"/>
  <c r="S1556" i="1"/>
  <c r="C1556" i="1"/>
  <c r="G2234" i="1"/>
  <c r="U2238" i="1"/>
  <c r="J2238" i="1"/>
  <c r="S2238" i="1"/>
  <c r="H2238" i="1"/>
  <c r="T1556" i="1"/>
  <c r="U1556" i="1"/>
  <c r="G1691" i="1"/>
  <c r="T1691" i="1" s="1"/>
  <c r="T1694" i="1"/>
  <c r="J1694" i="1"/>
  <c r="H1694" i="1"/>
  <c r="S1694" i="1"/>
  <c r="U1694" i="1"/>
  <c r="H1665" i="1"/>
  <c r="S1658" i="1"/>
  <c r="H1658" i="1"/>
  <c r="M1245" i="23"/>
  <c r="O1387" i="23"/>
  <c r="M1387" i="23"/>
  <c r="L1748" i="23"/>
  <c r="A1748" i="23"/>
  <c r="O1671" i="23"/>
  <c r="N1748" i="23"/>
  <c r="G1746" i="23"/>
  <c r="N1746" i="23" s="1"/>
  <c r="L1789" i="23"/>
  <c r="N1788" i="23"/>
  <c r="G1745" i="23"/>
  <c r="M1745" i="23" s="1"/>
  <c r="J1658" i="1"/>
  <c r="M1879" i="23"/>
  <c r="L2505" i="23"/>
  <c r="N1886" i="23"/>
  <c r="S1665" i="1"/>
  <c r="J1665" i="1"/>
  <c r="U2115" i="1"/>
  <c r="U2012" i="1"/>
  <c r="T2012" i="1"/>
  <c r="G1583" i="1"/>
  <c r="T1583" i="1" s="1"/>
  <c r="H1692" i="1"/>
  <c r="J1692" i="1"/>
  <c r="S1692" i="1"/>
  <c r="A703" i="49"/>
  <c r="N703" i="49"/>
  <c r="M703" i="49"/>
  <c r="O703" i="49"/>
  <c r="L703" i="49"/>
  <c r="G2133" i="1"/>
  <c r="H2115" i="1"/>
  <c r="T2115" i="1"/>
  <c r="M2115" i="1"/>
  <c r="A1885" i="23"/>
  <c r="A2069" i="23"/>
  <c r="A1714" i="23"/>
  <c r="L1714" i="23"/>
  <c r="M1714" i="23"/>
  <c r="C1647" i="1"/>
  <c r="C664" i="23"/>
  <c r="O6" i="2"/>
  <c r="AT6" i="2" s="1"/>
  <c r="O19" i="2"/>
  <c r="AT19" i="2" s="1"/>
  <c r="O7" i="2"/>
  <c r="AT7" i="2" s="1"/>
  <c r="O23" i="2"/>
  <c r="AT23" i="2" s="1"/>
  <c r="O21" i="2"/>
  <c r="AT21" i="2" s="1"/>
  <c r="O373" i="2"/>
  <c r="AT373" i="2" s="1"/>
  <c r="O370" i="2"/>
  <c r="AT370" i="2" s="1"/>
  <c r="O331" i="2"/>
  <c r="AT331" i="2" s="1"/>
  <c r="O319" i="2"/>
  <c r="AT319" i="2" s="1"/>
  <c r="O273" i="2"/>
  <c r="AT273" i="2" s="1"/>
  <c r="O271" i="2"/>
  <c r="AT271" i="2" s="1"/>
  <c r="O265" i="2"/>
  <c r="AT265" i="2" s="1"/>
  <c r="O235" i="2"/>
  <c r="AT235" i="2" s="1"/>
  <c r="O214" i="2"/>
  <c r="AT214" i="2" s="1"/>
  <c r="O207" i="2"/>
  <c r="AT207" i="2" s="1"/>
  <c r="O204" i="2"/>
  <c r="AT204" i="2" s="1"/>
  <c r="O149" i="2"/>
  <c r="AT149" i="2" s="1"/>
  <c r="O146" i="2"/>
  <c r="AT146" i="2" s="1"/>
  <c r="O143" i="2"/>
  <c r="AT143" i="2" s="1"/>
  <c r="O123" i="2"/>
  <c r="AT123" i="2" s="1"/>
  <c r="O112" i="2"/>
  <c r="AT112" i="2" s="1"/>
  <c r="O113" i="2"/>
  <c r="AT113" i="2" s="1"/>
  <c r="O98" i="2"/>
  <c r="AT98" i="2" s="1"/>
  <c r="O31" i="2"/>
  <c r="AT31" i="2" s="1"/>
  <c r="O61" i="2"/>
  <c r="AT61" i="2" s="1"/>
  <c r="O368" i="2"/>
  <c r="AT368" i="2" s="1"/>
  <c r="O366" i="2"/>
  <c r="AT366" i="2" s="1"/>
  <c r="O327" i="2"/>
  <c r="AT327" i="2" s="1"/>
  <c r="O320" i="2"/>
  <c r="AT320" i="2" s="1"/>
  <c r="O316" i="2"/>
  <c r="AT316" i="2" s="1"/>
  <c r="O267" i="2"/>
  <c r="AT267" i="2" s="1"/>
  <c r="O261" i="2"/>
  <c r="AT261" i="2" s="1"/>
  <c r="O231" i="2"/>
  <c r="AT231" i="2" s="1"/>
  <c r="O210" i="2"/>
  <c r="AT210" i="2" s="1"/>
  <c r="O203" i="2"/>
  <c r="AT203" i="2" s="1"/>
  <c r="O200" i="2"/>
  <c r="AT200" i="2" s="1"/>
  <c r="O145" i="2"/>
  <c r="AT145" i="2" s="1"/>
  <c r="O142" i="2"/>
  <c r="AT142" i="2" s="1"/>
  <c r="O139" i="2"/>
  <c r="AT139" i="2" s="1"/>
  <c r="O115" i="2"/>
  <c r="AT115" i="2" s="1"/>
  <c r="O108" i="2"/>
  <c r="AT108" i="2" s="1"/>
  <c r="O109" i="2"/>
  <c r="AT109" i="2" s="1"/>
  <c r="O110" i="2"/>
  <c r="AT110" i="2" s="1"/>
  <c r="O44" i="2"/>
  <c r="AT44" i="2" s="1"/>
  <c r="O34" i="2"/>
  <c r="AT34" i="2" s="1"/>
  <c r="O382" i="2"/>
  <c r="AT382" i="2" s="1"/>
  <c r="O380" i="2"/>
  <c r="AT380" i="2" s="1"/>
  <c r="O339" i="2"/>
  <c r="AT339" i="2" s="1"/>
  <c r="O329" i="2"/>
  <c r="AT329" i="2" s="1"/>
  <c r="O286" i="2"/>
  <c r="AT286" i="2" s="1"/>
  <c r="O284" i="2"/>
  <c r="AT284" i="2" s="1"/>
  <c r="O243" i="2"/>
  <c r="AT243" i="2" s="1"/>
  <c r="O246" i="2"/>
  <c r="AT246" i="2" s="1"/>
  <c r="O224" i="2"/>
  <c r="AT224" i="2" s="1"/>
  <c r="O215" i="2"/>
  <c r="AT215" i="2" s="1"/>
  <c r="O212" i="2"/>
  <c r="AT212" i="2" s="1"/>
  <c r="O157" i="2"/>
  <c r="AT157" i="2" s="1"/>
  <c r="O154" i="2"/>
  <c r="AT154" i="2" s="1"/>
  <c r="O151" i="2"/>
  <c r="AT151" i="2" s="1"/>
  <c r="O144" i="2"/>
  <c r="AT144" i="2" s="1"/>
  <c r="O120" i="2"/>
  <c r="AT120" i="2" s="1"/>
  <c r="O119" i="2"/>
  <c r="AT119" i="2" s="1"/>
  <c r="O127" i="2"/>
  <c r="AT127" i="2" s="1"/>
  <c r="O52" i="2"/>
  <c r="AT52" i="2" s="1"/>
  <c r="O47" i="2"/>
  <c r="AT47" i="2" s="1"/>
  <c r="O360" i="2"/>
  <c r="AT360" i="2" s="1"/>
  <c r="O358" i="2"/>
  <c r="AT358" i="2" s="1"/>
  <c r="O344" i="2"/>
  <c r="AT344" i="2" s="1"/>
  <c r="O302" i="2"/>
  <c r="AT302" i="2" s="1"/>
  <c r="O296" i="2"/>
  <c r="AT296" i="2" s="1"/>
  <c r="O259" i="2"/>
  <c r="AT259" i="2" s="1"/>
  <c r="O253" i="2"/>
  <c r="AT253" i="2" s="1"/>
  <c r="O223" i="2"/>
  <c r="AT223" i="2" s="1"/>
  <c r="O202" i="2"/>
  <c r="AT202" i="2" s="1"/>
  <c r="O195" i="2"/>
  <c r="AT195" i="2" s="1"/>
  <c r="O192" i="2"/>
  <c r="AT192" i="2" s="1"/>
  <c r="O137" i="2"/>
  <c r="AT137" i="2" s="1"/>
  <c r="O134" i="2"/>
  <c r="AT134" i="2" s="1"/>
  <c r="O130" i="2"/>
  <c r="AT130" i="2" s="1"/>
  <c r="O107" i="2"/>
  <c r="AT107" i="2" s="1"/>
  <c r="O100" i="2"/>
  <c r="AT100" i="2" s="1"/>
  <c r="O101" i="2"/>
  <c r="AT101" i="2" s="1"/>
  <c r="O102" i="2"/>
  <c r="AT102" i="2" s="1"/>
  <c r="O36" i="2"/>
  <c r="AT36" i="2" s="1"/>
  <c r="O25" i="2"/>
  <c r="AT25" i="2" s="1"/>
  <c r="O377" i="2"/>
  <c r="AT377" i="2" s="1"/>
  <c r="O369" i="2"/>
  <c r="AT369" i="2" s="1"/>
  <c r="O342" i="2"/>
  <c r="AT342" i="2" s="1"/>
  <c r="O324" i="2"/>
  <c r="AT324" i="2" s="1"/>
  <c r="O281" i="2"/>
  <c r="AT281" i="2" s="1"/>
  <c r="O323" i="2"/>
  <c r="AT323" i="2" s="1"/>
  <c r="O268" i="2"/>
  <c r="AT268" i="2" s="1"/>
  <c r="O270" i="2"/>
  <c r="AT270" i="2" s="1"/>
  <c r="O201" i="2"/>
  <c r="AT201" i="2" s="1"/>
  <c r="O182" i="2"/>
  <c r="AT182" i="2" s="1"/>
  <c r="O238" i="2"/>
  <c r="AT238" i="2" s="1"/>
  <c r="O193" i="2"/>
  <c r="AT193" i="2" s="1"/>
  <c r="O177" i="2"/>
  <c r="AT177" i="2" s="1"/>
  <c r="O175" i="2"/>
  <c r="AT175" i="2" s="1"/>
  <c r="O168" i="2"/>
  <c r="AT168" i="2" s="1"/>
  <c r="O83" i="2"/>
  <c r="AT83" i="2" s="1"/>
  <c r="O76" i="2"/>
  <c r="AT76" i="2" s="1"/>
  <c r="O59" i="2"/>
  <c r="AT59" i="2" s="1"/>
  <c r="O60" i="2"/>
  <c r="AT60" i="2" s="1"/>
  <c r="O32" i="2"/>
  <c r="AT32" i="2" s="1"/>
  <c r="O371" i="2"/>
  <c r="AT371" i="2" s="1"/>
  <c r="O365" i="2"/>
  <c r="AT365" i="2" s="1"/>
  <c r="O338" i="2"/>
  <c r="AT338" i="2" s="1"/>
  <c r="O349" i="2"/>
  <c r="AT349" i="2" s="1"/>
  <c r="O326" i="2"/>
  <c r="AT326" i="2" s="1"/>
  <c r="O317" i="2"/>
  <c r="AT317" i="2" s="1"/>
  <c r="O264" i="2"/>
  <c r="AT264" i="2" s="1"/>
  <c r="O266" i="2"/>
  <c r="AT266" i="2" s="1"/>
  <c r="O197" i="2"/>
  <c r="AT197" i="2" s="1"/>
  <c r="O237" i="2"/>
  <c r="AT237" i="2" s="1"/>
  <c r="O234" i="2"/>
  <c r="AT234" i="2" s="1"/>
  <c r="O178" i="2"/>
  <c r="AT178" i="2" s="1"/>
  <c r="O174" i="2"/>
  <c r="AT174" i="2" s="1"/>
  <c r="O171" i="2"/>
  <c r="AT171" i="2" s="1"/>
  <c r="O164" i="2"/>
  <c r="AT164" i="2" s="1"/>
  <c r="O79" i="2"/>
  <c r="AT79" i="2" s="1"/>
  <c r="O72" i="2"/>
  <c r="AT72" i="2" s="1"/>
  <c r="O73" i="2"/>
  <c r="AT73" i="2" s="1"/>
  <c r="O74" i="2"/>
  <c r="AT74" i="2" s="1"/>
  <c r="O46" i="2"/>
  <c r="AT46" i="2" s="1"/>
  <c r="O35" i="2"/>
  <c r="AT35" i="2" s="1"/>
  <c r="O379" i="2"/>
  <c r="AT379" i="2" s="1"/>
  <c r="O350" i="2"/>
  <c r="AT350" i="2" s="1"/>
  <c r="O332" i="2"/>
  <c r="AT332" i="2" s="1"/>
  <c r="O289" i="2"/>
  <c r="AT289" i="2" s="1"/>
  <c r="O283" i="2"/>
  <c r="AT283" i="2" s="1"/>
  <c r="O247" i="2"/>
  <c r="AT247" i="2" s="1"/>
  <c r="O240" i="2"/>
  <c r="AT240" i="2" s="1"/>
  <c r="O209" i="2"/>
  <c r="AT209" i="2" s="1"/>
  <c r="O190" i="2"/>
  <c r="AT190" i="2" s="1"/>
  <c r="O183" i="2"/>
  <c r="AT183" i="2" s="1"/>
  <c r="O180" i="2"/>
  <c r="AT180" i="2" s="1"/>
  <c r="O124" i="2"/>
  <c r="AT124" i="2" s="1"/>
  <c r="O121" i="2"/>
  <c r="AT121" i="2" s="1"/>
  <c r="O189" i="2"/>
  <c r="AT189" i="2" s="1"/>
  <c r="O94" i="2"/>
  <c r="AT94" i="2" s="1"/>
  <c r="O84" i="2"/>
  <c r="AT84" i="2" s="1"/>
  <c r="O85" i="2"/>
  <c r="AT85" i="2" s="1"/>
  <c r="O86" i="2"/>
  <c r="AT86" i="2" s="1"/>
  <c r="O15" i="2"/>
  <c r="AT15" i="2" s="1"/>
  <c r="O48" i="2"/>
  <c r="AT48" i="2" s="1"/>
  <c r="O363" i="2"/>
  <c r="AT363" i="2" s="1"/>
  <c r="O357" i="2"/>
  <c r="AT357" i="2" s="1"/>
  <c r="O330" i="2"/>
  <c r="AT330" i="2" s="1"/>
  <c r="O341" i="2"/>
  <c r="AT341" i="2" s="1"/>
  <c r="O299" i="2"/>
  <c r="AT299" i="2" s="1"/>
  <c r="O297" i="2"/>
  <c r="AT297" i="2" s="1"/>
  <c r="O256" i="2"/>
  <c r="AT256" i="2" s="1"/>
  <c r="O258" i="2"/>
  <c r="AT258" i="2" s="1"/>
  <c r="O236" i="2"/>
  <c r="AT236" i="2" s="1"/>
  <c r="O229" i="2"/>
  <c r="AT229" i="2" s="1"/>
  <c r="O226" i="2"/>
  <c r="AT226" i="2" s="1"/>
  <c r="O169" i="2"/>
  <c r="AT169" i="2" s="1"/>
  <c r="O166" i="2"/>
  <c r="AT166" i="2" s="1"/>
  <c r="O163" i="2"/>
  <c r="AT163" i="2" s="1"/>
  <c r="O156" i="2"/>
  <c r="AT156" i="2" s="1"/>
  <c r="O71" i="2"/>
  <c r="AT71" i="2" s="1"/>
  <c r="O64" i="2"/>
  <c r="AT64" i="2" s="1"/>
  <c r="O65" i="2"/>
  <c r="AT65" i="2" s="1"/>
  <c r="O66" i="2"/>
  <c r="AT66" i="2" s="1"/>
  <c r="O37" i="2"/>
  <c r="AT37" i="2" s="1"/>
  <c r="O26" i="2"/>
  <c r="AT26" i="2" s="1"/>
  <c r="O359" i="2"/>
  <c r="AT359" i="2" s="1"/>
  <c r="O353" i="2"/>
  <c r="AT353" i="2" s="1"/>
  <c r="O347" i="2"/>
  <c r="AT347" i="2" s="1"/>
  <c r="O337" i="2"/>
  <c r="AT337" i="2" s="1"/>
  <c r="O295" i="2"/>
  <c r="AT295" i="2" s="1"/>
  <c r="O292" i="2"/>
  <c r="AT292" i="2" s="1"/>
  <c r="O252" i="2"/>
  <c r="AT252" i="2" s="1"/>
  <c r="O254" i="2"/>
  <c r="AT254" i="2" s="1"/>
  <c r="O232" i="2"/>
  <c r="AT232" i="2" s="1"/>
  <c r="O225" i="2"/>
  <c r="AT225" i="2" s="1"/>
  <c r="O221" i="2"/>
  <c r="AT221" i="2" s="1"/>
  <c r="O165" i="2"/>
  <c r="AT165" i="2" s="1"/>
  <c r="O162" i="2"/>
  <c r="AT162" i="2" s="1"/>
  <c r="O159" i="2"/>
  <c r="AT159" i="2" s="1"/>
  <c r="O152" i="2"/>
  <c r="AT152" i="2" s="1"/>
  <c r="O67" i="2"/>
  <c r="AT67" i="2" s="1"/>
  <c r="O58" i="2"/>
  <c r="AT58" i="2" s="1"/>
  <c r="O114" i="2"/>
  <c r="AT114" i="2" s="1"/>
  <c r="O49" i="2"/>
  <c r="AT49" i="2" s="1"/>
  <c r="O38" i="2"/>
  <c r="AT38" i="2" s="1"/>
  <c r="O355" i="2"/>
  <c r="AT355" i="2" s="1"/>
  <c r="O384" i="2"/>
  <c r="AT384" i="2" s="1"/>
  <c r="O343" i="2"/>
  <c r="AT343" i="2" s="1"/>
  <c r="O333" i="2"/>
  <c r="AT333" i="2" s="1"/>
  <c r="O290" i="2"/>
  <c r="AT290" i="2" s="1"/>
  <c r="O288" i="2"/>
  <c r="AT288" i="2" s="1"/>
  <c r="O248" i="2"/>
  <c r="AT248" i="2" s="1"/>
  <c r="O250" i="2"/>
  <c r="AT250" i="2" s="1"/>
  <c r="O228" i="2"/>
  <c r="AT228" i="2" s="1"/>
  <c r="O219" i="2"/>
  <c r="AT219" i="2" s="1"/>
  <c r="O216" i="2"/>
  <c r="AT216" i="2" s="1"/>
  <c r="O161" i="2"/>
  <c r="AT161" i="2" s="1"/>
  <c r="O158" i="2"/>
  <c r="AT158" i="2" s="1"/>
  <c r="O155" i="2"/>
  <c r="AT155" i="2" s="1"/>
  <c r="O148" i="2"/>
  <c r="AT148" i="2" s="1"/>
  <c r="O136" i="2"/>
  <c r="AT136" i="2" s="1"/>
  <c r="O140" i="2"/>
  <c r="AT140" i="2" s="1"/>
  <c r="O55" i="2"/>
  <c r="AT55" i="2" s="1"/>
  <c r="O56" i="2"/>
  <c r="AT56" i="2" s="1"/>
  <c r="O28" i="2"/>
  <c r="AT28" i="2" s="1"/>
  <c r="O367" i="2"/>
  <c r="AT367" i="2" s="1"/>
  <c r="O361" i="2"/>
  <c r="AT361" i="2" s="1"/>
  <c r="O334" i="2"/>
  <c r="AT334" i="2" s="1"/>
  <c r="O345" i="2"/>
  <c r="AT345" i="2" s="1"/>
  <c r="O310" i="2"/>
  <c r="AT310" i="2" s="1"/>
  <c r="O301" i="2"/>
  <c r="AT301" i="2" s="1"/>
  <c r="O260" i="2"/>
  <c r="AT260" i="2" s="1"/>
  <c r="O262" i="2"/>
  <c r="AT262" i="2" s="1"/>
  <c r="O239" i="2"/>
  <c r="AT239" i="2" s="1"/>
  <c r="O233" i="2"/>
  <c r="AT233" i="2" s="1"/>
  <c r="O230" i="2"/>
  <c r="AT230" i="2" s="1"/>
  <c r="O173" i="2"/>
  <c r="AT173" i="2" s="1"/>
  <c r="O170" i="2"/>
  <c r="AT170" i="2" s="1"/>
  <c r="O167" i="2"/>
  <c r="AT167" i="2" s="1"/>
  <c r="O160" i="2"/>
  <c r="AT160" i="2" s="1"/>
  <c r="O75" i="2"/>
  <c r="AT75" i="2" s="1"/>
  <c r="O68" i="2"/>
  <c r="AT68" i="2" s="1"/>
  <c r="O69" i="2"/>
  <c r="AT69" i="2" s="1"/>
  <c r="O70" i="2"/>
  <c r="AT70" i="2" s="1"/>
  <c r="O41" i="2"/>
  <c r="AT41" i="2" s="1"/>
  <c r="O30" i="2"/>
  <c r="AT30" i="2" s="1"/>
  <c r="O378" i="2"/>
  <c r="AT378" i="2" s="1"/>
  <c r="O376" i="2"/>
  <c r="AT376" i="2" s="1"/>
  <c r="O335" i="2"/>
  <c r="AT335" i="2" s="1"/>
  <c r="O325" i="2"/>
  <c r="AT325" i="2" s="1"/>
  <c r="O282" i="2"/>
  <c r="AT282" i="2" s="1"/>
  <c r="O280" i="2"/>
  <c r="AT280" i="2" s="1"/>
  <c r="O269" i="2"/>
  <c r="AT269" i="2" s="1"/>
  <c r="O241" i="2"/>
  <c r="AT241" i="2" s="1"/>
  <c r="O218" i="2"/>
  <c r="AT218" i="2" s="1"/>
  <c r="O211" i="2"/>
  <c r="AT211" i="2" s="1"/>
  <c r="O208" i="2"/>
  <c r="AT208" i="2" s="1"/>
  <c r="O153" i="2"/>
  <c r="AT153" i="2" s="1"/>
  <c r="O150" i="2"/>
  <c r="AT150" i="2" s="1"/>
  <c r="O147" i="2"/>
  <c r="AT147" i="2" s="1"/>
  <c r="O131" i="2"/>
  <c r="AT131" i="2" s="1"/>
  <c r="O116" i="2"/>
  <c r="AT116" i="2" s="1"/>
  <c r="O117" i="2"/>
  <c r="AT117" i="2" s="1"/>
  <c r="O118" i="2"/>
  <c r="AT118" i="2" s="1"/>
  <c r="O54" i="2"/>
  <c r="AT54" i="2" s="1"/>
  <c r="O42" i="2"/>
  <c r="AT42" i="2" s="1"/>
  <c r="O354" i="2"/>
  <c r="AT354" i="2" s="1"/>
  <c r="O255" i="2"/>
  <c r="AT255" i="2" s="1"/>
  <c r="O191" i="2"/>
  <c r="AT191" i="2" s="1"/>
  <c r="O126" i="2"/>
  <c r="AT126" i="2" s="1"/>
  <c r="O78" i="2"/>
  <c r="AT78" i="2" s="1"/>
  <c r="O352" i="2"/>
  <c r="AT352" i="2" s="1"/>
  <c r="O251" i="2"/>
  <c r="AT251" i="2" s="1"/>
  <c r="O187" i="2"/>
  <c r="AT187" i="2" s="1"/>
  <c r="O122" i="2"/>
  <c r="AT122" i="2" s="1"/>
  <c r="O91" i="2"/>
  <c r="AT91" i="2" s="1"/>
  <c r="O362" i="2"/>
  <c r="AT362" i="2" s="1"/>
  <c r="O263" i="2"/>
  <c r="AT263" i="2" s="1"/>
  <c r="O199" i="2"/>
  <c r="AT199" i="2" s="1"/>
  <c r="O135" i="2"/>
  <c r="AT135" i="2" s="1"/>
  <c r="O106" i="2"/>
  <c r="AT106" i="2" s="1"/>
  <c r="O375" i="2"/>
  <c r="AT375" i="2" s="1"/>
  <c r="O274" i="2"/>
  <c r="AT274" i="2" s="1"/>
  <c r="O186" i="2"/>
  <c r="AT186" i="2" s="1"/>
  <c r="O185" i="2"/>
  <c r="AT185" i="2" s="1"/>
  <c r="O81" i="2"/>
  <c r="AT81" i="2" s="1"/>
  <c r="O18" i="2"/>
  <c r="AT18" i="2" s="1"/>
  <c r="O24" i="2"/>
  <c r="AT24" i="2" s="1"/>
  <c r="O9" i="2"/>
  <c r="AT9" i="2" s="1"/>
  <c r="O13" i="2"/>
  <c r="AT13" i="2" s="1"/>
  <c r="O17" i="2"/>
  <c r="AT17" i="2" s="1"/>
  <c r="O12" i="2"/>
  <c r="AT12" i="2" s="1"/>
  <c r="O340" i="2"/>
  <c r="AT340" i="2" s="1"/>
  <c r="O249" i="2"/>
  <c r="AT249" i="2" s="1"/>
  <c r="O188" i="2"/>
  <c r="AT188" i="2" s="1"/>
  <c r="O103" i="2"/>
  <c r="AT103" i="2" s="1"/>
  <c r="O50" i="2"/>
  <c r="AT50" i="2" s="1"/>
  <c r="O336" i="2"/>
  <c r="AT336" i="2" s="1"/>
  <c r="O244" i="2"/>
  <c r="AT244" i="2" s="1"/>
  <c r="O184" i="2"/>
  <c r="AT184" i="2" s="1"/>
  <c r="O99" i="2"/>
  <c r="AT99" i="2" s="1"/>
  <c r="O27" i="2"/>
  <c r="AT27" i="2" s="1"/>
  <c r="O348" i="2"/>
  <c r="AT348" i="2" s="1"/>
  <c r="O257" i="2"/>
  <c r="AT257" i="2" s="1"/>
  <c r="O196" i="2"/>
  <c r="AT196" i="2" s="1"/>
  <c r="O111" i="2"/>
  <c r="AT111" i="2" s="1"/>
  <c r="O40" i="2"/>
  <c r="AT40" i="2" s="1"/>
  <c r="O346" i="2"/>
  <c r="AT346" i="2" s="1"/>
  <c r="O242" i="2"/>
  <c r="AT242" i="2" s="1"/>
  <c r="O179" i="2"/>
  <c r="AT179" i="2" s="1"/>
  <c r="O172" i="2"/>
  <c r="AT172" i="2" s="1"/>
  <c r="O82" i="2"/>
  <c r="AT82" i="2" s="1"/>
  <c r="O20" i="2"/>
  <c r="AT20" i="2" s="1"/>
  <c r="O8" i="2"/>
  <c r="AT8" i="2" s="1"/>
  <c r="O22" i="2"/>
  <c r="AT22" i="2" s="1"/>
  <c r="O16" i="2"/>
  <c r="AT16" i="2" s="1"/>
  <c r="O298" i="2"/>
  <c r="AT298" i="2" s="1"/>
  <c r="O217" i="2"/>
  <c r="AT217" i="2" s="1"/>
  <c r="O133" i="2"/>
  <c r="AT133" i="2" s="1"/>
  <c r="O96" i="2"/>
  <c r="AT96" i="2" s="1"/>
  <c r="O39" i="2"/>
  <c r="AT39" i="2" s="1"/>
  <c r="O293" i="2"/>
  <c r="AT293" i="2" s="1"/>
  <c r="O213" i="2"/>
  <c r="AT213" i="2" s="1"/>
  <c r="O128" i="2"/>
  <c r="AT128" i="2" s="1"/>
  <c r="O88" i="2"/>
  <c r="AT88" i="2" s="1"/>
  <c r="O57" i="2"/>
  <c r="AT57" i="2" s="1"/>
  <c r="O318" i="2"/>
  <c r="AT318" i="2" s="1"/>
  <c r="O227" i="2"/>
  <c r="AT227" i="2" s="1"/>
  <c r="O141" i="2"/>
  <c r="AT141" i="2" s="1"/>
  <c r="O104" i="2"/>
  <c r="AT104" i="2" s="1"/>
  <c r="O29" i="2"/>
  <c r="AT29" i="2" s="1"/>
  <c r="O328" i="2"/>
  <c r="AT328" i="2" s="1"/>
  <c r="O272" i="2"/>
  <c r="AT272" i="2" s="1"/>
  <c r="O176" i="2"/>
  <c r="AT176" i="2" s="1"/>
  <c r="O87" i="2"/>
  <c r="AT87" i="2" s="1"/>
  <c r="O53" i="2"/>
  <c r="AT53" i="2" s="1"/>
  <c r="O356" i="2"/>
  <c r="AT356" i="2" s="1"/>
  <c r="O291" i="2"/>
  <c r="AT291" i="2" s="1"/>
  <c r="O198" i="2"/>
  <c r="AT198" i="2" s="1"/>
  <c r="O129" i="2"/>
  <c r="AT129" i="2" s="1"/>
  <c r="O97" i="2"/>
  <c r="AT97" i="2" s="1"/>
  <c r="O383" i="2"/>
  <c r="AT383" i="2" s="1"/>
  <c r="O287" i="2"/>
  <c r="AT287" i="2" s="1"/>
  <c r="O194" i="2"/>
  <c r="AT194" i="2" s="1"/>
  <c r="O125" i="2"/>
  <c r="AT125" i="2" s="1"/>
  <c r="O89" i="2"/>
  <c r="AT89" i="2" s="1"/>
  <c r="O364" i="2"/>
  <c r="AT364" i="2" s="1"/>
  <c r="O300" i="2"/>
  <c r="AT300" i="2" s="1"/>
  <c r="O206" i="2"/>
  <c r="AT206" i="2" s="1"/>
  <c r="O138" i="2"/>
  <c r="AT138" i="2" s="1"/>
  <c r="O105" i="2"/>
  <c r="AT105" i="2" s="1"/>
  <c r="O381" i="2"/>
  <c r="AT381" i="2" s="1"/>
  <c r="O285" i="2"/>
  <c r="AT285" i="2" s="1"/>
  <c r="O205" i="2"/>
  <c r="AT205" i="2" s="1"/>
  <c r="O181" i="2"/>
  <c r="AT181" i="2" s="1"/>
  <c r="O80" i="2"/>
  <c r="AT80" i="2" s="1"/>
  <c r="O43" i="2"/>
  <c r="AT43" i="2" s="1"/>
  <c r="O14" i="2"/>
  <c r="AT14" i="2" s="1"/>
  <c r="O11" i="2"/>
  <c r="AT11" i="2" s="1"/>
  <c r="O10" i="2"/>
  <c r="AT10" i="2" s="1"/>
  <c r="L3544" i="23"/>
  <c r="N1793" i="23"/>
  <c r="C1108" i="23"/>
  <c r="A619" i="23"/>
  <c r="M619" i="23"/>
  <c r="L619" i="23"/>
  <c r="AJ210" i="2"/>
  <c r="BO210" i="2" s="1"/>
  <c r="M1793" i="23"/>
  <c r="AJ170" i="2"/>
  <c r="BO170" i="2" s="1"/>
  <c r="AJ166" i="2"/>
  <c r="BO166" i="2" s="1"/>
  <c r="AJ168" i="2"/>
  <c r="BO168" i="2" s="1"/>
  <c r="AJ327" i="2"/>
  <c r="BO327" i="2" s="1"/>
  <c r="AJ162" i="2"/>
  <c r="BO162" i="2" s="1"/>
  <c r="AJ165" i="2"/>
  <c r="BO165" i="2" s="1"/>
  <c r="AJ329" i="2"/>
  <c r="BO329" i="2" s="1"/>
  <c r="AJ161" i="2"/>
  <c r="BO161" i="2" s="1"/>
  <c r="AJ157" i="2"/>
  <c r="BO157" i="2" s="1"/>
  <c r="AJ204" i="2"/>
  <c r="BO204" i="2" s="1"/>
  <c r="AJ336" i="2"/>
  <c r="BO336" i="2" s="1"/>
  <c r="AJ209" i="2"/>
  <c r="BO209" i="2" s="1"/>
  <c r="AJ331" i="2"/>
  <c r="BO331" i="2" s="1"/>
  <c r="AJ163" i="2"/>
  <c r="BO163" i="2" s="1"/>
  <c r="AJ333" i="2"/>
  <c r="BO333" i="2" s="1"/>
  <c r="AJ205" i="2"/>
  <c r="BO205" i="2" s="1"/>
  <c r="AJ206" i="2"/>
  <c r="BO206" i="2" s="1"/>
  <c r="AJ158" i="2"/>
  <c r="BO158" i="2" s="1"/>
  <c r="AJ208" i="2"/>
  <c r="BO208" i="2" s="1"/>
  <c r="AJ332" i="2"/>
  <c r="BO332" i="2" s="1"/>
  <c r="AJ164" i="2"/>
  <c r="BO164" i="2" s="1"/>
  <c r="AJ207" i="2"/>
  <c r="BO207" i="2" s="1"/>
  <c r="AJ330" i="2"/>
  <c r="BO330" i="2" s="1"/>
  <c r="AJ169" i="2"/>
  <c r="BO169" i="2" s="1"/>
  <c r="AJ211" i="2"/>
  <c r="BO211" i="2" s="1"/>
  <c r="AJ167" i="2"/>
  <c r="BO167" i="2" s="1"/>
  <c r="AJ328" i="2"/>
  <c r="BO328" i="2" s="1"/>
  <c r="AJ334" i="2"/>
  <c r="BO334" i="2" s="1"/>
  <c r="AJ335" i="2"/>
  <c r="BO335" i="2" s="1"/>
  <c r="AJ160" i="2"/>
  <c r="BO160" i="2" s="1"/>
  <c r="AJ212" i="2"/>
  <c r="BO212" i="2" s="1"/>
  <c r="C2397" i="23"/>
  <c r="C1362" i="23"/>
  <c r="N2283" i="23"/>
  <c r="A2283" i="23"/>
  <c r="L1454" i="23"/>
  <c r="M1454" i="23"/>
  <c r="L2282" i="23"/>
  <c r="N2282" i="23"/>
  <c r="A2282" i="23"/>
  <c r="M2282" i="23"/>
  <c r="L1478" i="23"/>
  <c r="N1478" i="23"/>
  <c r="O1478" i="23"/>
  <c r="L1793" i="23"/>
  <c r="A1793" i="23"/>
  <c r="N2284" i="23"/>
  <c r="O2296" i="23"/>
  <c r="M2264" i="23"/>
  <c r="L2279" i="23"/>
  <c r="A2246" i="23"/>
  <c r="G2273" i="23"/>
  <c r="M2273" i="23" s="1"/>
  <c r="L2280" i="23"/>
  <c r="O2281" i="23"/>
  <c r="M1791" i="23"/>
  <c r="A1876" i="23"/>
  <c r="A1877" i="23" s="1"/>
  <c r="N1710" i="23"/>
  <c r="A1713" i="23"/>
  <c r="O1797" i="23"/>
  <c r="N1714" i="23"/>
  <c r="O1726" i="23"/>
  <c r="A1726" i="23"/>
  <c r="M1726" i="23"/>
  <c r="N1726" i="23"/>
  <c r="G1729" i="23"/>
  <c r="L1726" i="23"/>
  <c r="G1662" i="23"/>
  <c r="A1662" i="23" s="1"/>
  <c r="O1737" i="23"/>
  <c r="M1671" i="23"/>
  <c r="G1796" i="23"/>
  <c r="O1796" i="23" s="1"/>
  <c r="C2598" i="23"/>
  <c r="C2600" i="23" s="1"/>
  <c r="C2602" i="23" s="1"/>
  <c r="C2604" i="23" s="1"/>
  <c r="C2606" i="23" s="1"/>
  <c r="C1636" i="23"/>
  <c r="O1778" i="23"/>
  <c r="L1778" i="23"/>
  <c r="N1778" i="23"/>
  <c r="M1778" i="23"/>
  <c r="A1778" i="23"/>
  <c r="O1666" i="23"/>
  <c r="G1672" i="23"/>
  <c r="O1878" i="23"/>
  <c r="A1878" i="23"/>
  <c r="M1878" i="23"/>
  <c r="N1878" i="23"/>
  <c r="A1879" i="23"/>
  <c r="L1883" i="23"/>
  <c r="A1881" i="23"/>
  <c r="A1886" i="23"/>
  <c r="O1886" i="23"/>
  <c r="M1885" i="23"/>
  <c r="L1885" i="23"/>
  <c r="N1885" i="23"/>
  <c r="M1890" i="23"/>
  <c r="A3544" i="23"/>
  <c r="L3105" i="23"/>
  <c r="L65" i="23"/>
  <c r="L3340" i="23"/>
  <c r="N1572" i="23"/>
  <c r="A2279" i="23"/>
  <c r="N3340" i="23"/>
  <c r="L2520" i="23"/>
  <c r="G2528" i="23"/>
  <c r="N2528" i="23" s="1"/>
  <c r="O2520" i="23"/>
  <c r="M3544" i="23"/>
  <c r="M3105" i="23"/>
  <c r="L1660" i="23"/>
  <c r="A2520" i="23"/>
  <c r="N3491" i="23"/>
  <c r="M3487" i="23"/>
  <c r="L2284" i="23"/>
  <c r="L768" i="23"/>
  <c r="L2281" i="23"/>
  <c r="A1409" i="23"/>
  <c r="L131" i="23"/>
  <c r="M1797" i="23"/>
  <c r="O2284" i="23"/>
  <c r="O1644" i="23"/>
  <c r="L1797" i="23"/>
  <c r="A1797" i="23"/>
  <c r="M2284" i="23"/>
  <c r="G2361" i="23"/>
  <c r="M2361" i="23" s="1"/>
  <c r="A2849" i="23"/>
  <c r="L2849" i="23"/>
  <c r="O2878" i="23"/>
  <c r="A2878" i="23"/>
  <c r="M2878" i="23"/>
  <c r="L2878" i="23"/>
  <c r="N2878" i="23"/>
  <c r="A2872" i="23"/>
  <c r="N2872" i="23"/>
  <c r="M2872" i="23"/>
  <c r="L2872" i="23"/>
  <c r="O2872" i="23"/>
  <c r="L2847" i="23"/>
  <c r="A2847" i="23"/>
  <c r="G2877" i="23"/>
  <c r="A1792" i="23"/>
  <c r="A1780" i="23"/>
  <c r="M1780" i="23"/>
  <c r="O1780" i="23"/>
  <c r="N1780" i="23"/>
  <c r="L1780" i="23"/>
  <c r="O1779" i="23"/>
  <c r="A1779" i="23"/>
  <c r="M1779" i="23"/>
  <c r="L1779" i="23"/>
  <c r="N1779" i="23"/>
  <c r="O1792" i="23"/>
  <c r="N1792" i="23"/>
  <c r="L175" i="23"/>
  <c r="N175" i="23"/>
  <c r="O1131" i="23"/>
  <c r="N1131" i="23"/>
  <c r="L1131" i="23"/>
  <c r="A1131" i="23"/>
  <c r="L1791" i="23"/>
  <c r="A2455" i="23"/>
  <c r="L2455" i="23"/>
  <c r="N1442" i="23"/>
  <c r="O1442" i="23"/>
  <c r="L1442" i="23"/>
  <c r="M1442" i="23"/>
  <c r="A1442" i="23"/>
  <c r="M1792" i="23"/>
  <c r="L1792" i="23"/>
  <c r="G1801" i="23"/>
  <c r="A2453" i="23"/>
  <c r="L2453" i="23"/>
  <c r="L2454" i="23"/>
  <c r="A2454" i="23"/>
  <c r="O1791" i="23"/>
  <c r="A1791" i="23"/>
  <c r="N1791" i="23"/>
  <c r="O1790" i="23"/>
  <c r="N1790" i="23"/>
  <c r="M1790" i="23"/>
  <c r="L1790" i="23"/>
  <c r="A1790" i="23"/>
  <c r="M1798" i="23"/>
  <c r="N1798" i="23"/>
  <c r="O1798" i="23"/>
  <c r="L1798" i="23"/>
  <c r="A1800" i="23"/>
  <c r="M1800" i="23"/>
  <c r="N1800" i="23"/>
  <c r="L1800" i="23"/>
  <c r="O1800" i="23"/>
  <c r="M2033" i="1"/>
  <c r="M2027" i="1"/>
  <c r="C2027" i="1"/>
  <c r="A1911" i="23"/>
  <c r="AJ300" i="2"/>
  <c r="BO300" i="2" s="1"/>
  <c r="AJ147" i="2"/>
  <c r="BO147" i="2" s="1"/>
  <c r="AJ232" i="2"/>
  <c r="BO232" i="2" s="1"/>
  <c r="AJ105" i="2"/>
  <c r="BO105" i="2" s="1"/>
  <c r="AJ244" i="2"/>
  <c r="BO244" i="2" s="1"/>
  <c r="AJ280" i="2"/>
  <c r="BO280" i="2" s="1"/>
  <c r="AJ183" i="2"/>
  <c r="BO183" i="2" s="1"/>
  <c r="AJ138" i="2"/>
  <c r="BO138" i="2" s="1"/>
  <c r="AJ101" i="2"/>
  <c r="BO101" i="2" s="1"/>
  <c r="AJ360" i="2"/>
  <c r="BO360" i="2" s="1"/>
  <c r="AJ195" i="2"/>
  <c r="BO195" i="2" s="1"/>
  <c r="AJ380" i="2"/>
  <c r="BO380" i="2" s="1"/>
  <c r="AJ114" i="2"/>
  <c r="BO114" i="2" s="1"/>
  <c r="AJ268" i="2"/>
  <c r="BO268" i="2" s="1"/>
  <c r="AJ344" i="2"/>
  <c r="BO344" i="2" s="1"/>
  <c r="AJ231" i="2"/>
  <c r="BO231" i="2" s="1"/>
  <c r="AJ255" i="2"/>
  <c r="BO255" i="2" s="1"/>
  <c r="AJ241" i="2"/>
  <c r="BO241" i="2" s="1"/>
  <c r="AJ109" i="2"/>
  <c r="BO109" i="2" s="1"/>
  <c r="AJ128" i="2"/>
  <c r="BO128" i="2" s="1"/>
  <c r="AJ343" i="2"/>
  <c r="BO343" i="2" s="1"/>
  <c r="AJ118" i="2"/>
  <c r="BO118" i="2" s="1"/>
  <c r="C2272" i="23"/>
  <c r="C3039" i="23"/>
  <c r="C3054" i="23" s="1"/>
  <c r="O131" i="23"/>
  <c r="AJ292" i="2"/>
  <c r="BO292" i="2" s="1"/>
  <c r="AJ174" i="2"/>
  <c r="BO174" i="2" s="1"/>
  <c r="AJ350" i="2"/>
  <c r="BO350" i="2" s="1"/>
  <c r="AJ197" i="2"/>
  <c r="BO197" i="2" s="1"/>
  <c r="AJ377" i="2"/>
  <c r="BO377" i="2" s="1"/>
  <c r="AJ187" i="2"/>
  <c r="BO187" i="2" s="1"/>
  <c r="AJ362" i="2"/>
  <c r="BO362" i="2" s="1"/>
  <c r="AJ229" i="2"/>
  <c r="BO229" i="2" s="1"/>
  <c r="AJ249" i="2"/>
  <c r="BO249" i="2" s="1"/>
  <c r="AJ354" i="2"/>
  <c r="BO354" i="2" s="1"/>
  <c r="AJ115" i="2"/>
  <c r="BO115" i="2" s="1"/>
  <c r="AJ202" i="2"/>
  <c r="BO202" i="2" s="1"/>
  <c r="AJ129" i="2"/>
  <c r="BO129" i="2" s="1"/>
  <c r="AJ149" i="2"/>
  <c r="BO149" i="2" s="1"/>
  <c r="AJ78" i="2"/>
  <c r="BO78" i="2" s="1"/>
  <c r="AJ159" i="2"/>
  <c r="BO159" i="2" s="1"/>
  <c r="AJ234" i="2"/>
  <c r="BO234" i="2" s="1"/>
  <c r="G1715" i="23"/>
  <c r="N1715" i="23" s="1"/>
  <c r="L3342" i="23"/>
  <c r="M1713" i="23"/>
  <c r="N2607" i="23"/>
  <c r="L1666" i="23"/>
  <c r="Q1666" i="23" s="1"/>
  <c r="N1713" i="23"/>
  <c r="L1713" i="23"/>
  <c r="A1671" i="23"/>
  <c r="N1912" i="1"/>
  <c r="A1577" i="23"/>
  <c r="L2264" i="23"/>
  <c r="M2279" i="23"/>
  <c r="N2296" i="23"/>
  <c r="M1572" i="23"/>
  <c r="N1577" i="23"/>
  <c r="M1577" i="23"/>
  <c r="G2265" i="23"/>
  <c r="L2265" i="23" s="1"/>
  <c r="N2264" i="23"/>
  <c r="O2279" i="23"/>
  <c r="M2296" i="23"/>
  <c r="L1572" i="23"/>
  <c r="G2266" i="23"/>
  <c r="N2266" i="23" s="1"/>
  <c r="O1572" i="23"/>
  <c r="O1670" i="23"/>
  <c r="L1670" i="23"/>
  <c r="A1670" i="23"/>
  <c r="M1670" i="23"/>
  <c r="N1670" i="23"/>
  <c r="L1719" i="23"/>
  <c r="A1719" i="23"/>
  <c r="M1707" i="23"/>
  <c r="L1707" i="23"/>
  <c r="A1707" i="23"/>
  <c r="O1707" i="23"/>
  <c r="N1707" i="23"/>
  <c r="L1720" i="23"/>
  <c r="A1720" i="23"/>
  <c r="M1708" i="23"/>
  <c r="A1708" i="23"/>
  <c r="L1708" i="23"/>
  <c r="O1708" i="23"/>
  <c r="N1708" i="23"/>
  <c r="O2280" i="23"/>
  <c r="G2360" i="23"/>
  <c r="A2360" i="23" s="1"/>
  <c r="L1409" i="23"/>
  <c r="A1452" i="23"/>
  <c r="N1452" i="23"/>
  <c r="A1709" i="23"/>
  <c r="O1709" i="23"/>
  <c r="M1709" i="23"/>
  <c r="N1709" i="23"/>
  <c r="L1709" i="23"/>
  <c r="A1669" i="23"/>
  <c r="L1669" i="23"/>
  <c r="M1668" i="23"/>
  <c r="O1668" i="23"/>
  <c r="A1668" i="23"/>
  <c r="L1668" i="23"/>
  <c r="M2280" i="23"/>
  <c r="G2285" i="23"/>
  <c r="N2285" i="23" s="1"/>
  <c r="A2358" i="23"/>
  <c r="A2359" i="23" s="1"/>
  <c r="M1452" i="23"/>
  <c r="L1667" i="23"/>
  <c r="Q1667" i="23" s="1"/>
  <c r="O1667" i="23"/>
  <c r="A1718" i="23"/>
  <c r="G1721" i="23"/>
  <c r="L1718" i="23"/>
  <c r="M1666" i="23"/>
  <c r="A1666" i="23"/>
  <c r="A1710" i="23"/>
  <c r="L1710" i="23"/>
  <c r="G1872" i="23"/>
  <c r="G1873" i="23"/>
  <c r="G1874" i="23"/>
  <c r="A1870" i="23"/>
  <c r="A1871" i="23" s="1"/>
  <c r="N1737" i="23"/>
  <c r="L1452" i="23"/>
  <c r="S2033" i="1"/>
  <c r="T2027" i="1"/>
  <c r="T2033" i="1"/>
  <c r="H2027" i="1"/>
  <c r="U2027" i="1"/>
  <c r="H594" i="1"/>
  <c r="H593" i="1"/>
  <c r="H592" i="1"/>
  <c r="C591" i="1"/>
  <c r="C592" i="1" s="1"/>
  <c r="C593" i="1" s="1"/>
  <c r="C595" i="1" s="1"/>
  <c r="J1654" i="1"/>
  <c r="C1645" i="1"/>
  <c r="C1646" i="1"/>
  <c r="H2033" i="1"/>
  <c r="U2033" i="1"/>
  <c r="H1912" i="1"/>
  <c r="U1912" i="1"/>
  <c r="T1912" i="1"/>
  <c r="U2014" i="1"/>
  <c r="N2006" i="1"/>
  <c r="A2658" i="23"/>
  <c r="O2658" i="23"/>
  <c r="N2658" i="23"/>
  <c r="L2658" i="23"/>
  <c r="M2658" i="23"/>
  <c r="G2666" i="23"/>
  <c r="N2666" i="23" s="1"/>
  <c r="M3342" i="23"/>
  <c r="O148" i="23"/>
  <c r="M148" i="23"/>
  <c r="N148" i="23"/>
  <c r="L148" i="23"/>
  <c r="C3396" i="23"/>
  <c r="C3398" i="23" s="1"/>
  <c r="O3342" i="23"/>
  <c r="A3342" i="23"/>
  <c r="O2527" i="23"/>
  <c r="A2527" i="23"/>
  <c r="M2527" i="23"/>
  <c r="L2527" i="23"/>
  <c r="M1369" i="23"/>
  <c r="N1369" i="23"/>
  <c r="M2607" i="23"/>
  <c r="AJ223" i="2"/>
  <c r="BO223" i="2" s="1"/>
  <c r="AJ373" i="2"/>
  <c r="BO373" i="2" s="1"/>
  <c r="U2006" i="1"/>
  <c r="O2607" i="23"/>
  <c r="S2014" i="1"/>
  <c r="L2607" i="23"/>
  <c r="L1644" i="23"/>
  <c r="M1637" i="23"/>
  <c r="M1644" i="23" s="1"/>
  <c r="M2611" i="23"/>
  <c r="L2611" i="23"/>
  <c r="O2611" i="23"/>
  <c r="N2611" i="23"/>
  <c r="O2716" i="23"/>
  <c r="N2716" i="23"/>
  <c r="L2716" i="23"/>
  <c r="G2718" i="23"/>
  <c r="A2718" i="23" s="1"/>
  <c r="M2716" i="23"/>
  <c r="M2628" i="23"/>
  <c r="O2628" i="23"/>
  <c r="M161" i="23"/>
  <c r="L1737" i="23"/>
  <c r="G1738" i="23"/>
  <c r="A3491" i="23"/>
  <c r="L1122" i="23"/>
  <c r="N768" i="23"/>
  <c r="O2612" i="23"/>
  <c r="M2612" i="23"/>
  <c r="N2612" i="23"/>
  <c r="L2612" i="23"/>
  <c r="O2526" i="23"/>
  <c r="L2526" i="23"/>
  <c r="M2526" i="23"/>
  <c r="A2526" i="23"/>
  <c r="O3489" i="23"/>
  <c r="A3489" i="23"/>
  <c r="N3489" i="23"/>
  <c r="M3489" i="23"/>
  <c r="L3489" i="23"/>
  <c r="A3490" i="23"/>
  <c r="N3490" i="23"/>
  <c r="M3490" i="23"/>
  <c r="O3490" i="23"/>
  <c r="G3492" i="23"/>
  <c r="L3490" i="23"/>
  <c r="N2628" i="23"/>
  <c r="G162" i="23"/>
  <c r="N162" i="23" s="1"/>
  <c r="N161" i="23"/>
  <c r="M1737" i="23"/>
  <c r="M3491" i="23"/>
  <c r="A1122" i="23"/>
  <c r="O1122" i="23"/>
  <c r="A768" i="23"/>
  <c r="A2529" i="23"/>
  <c r="O2529" i="23"/>
  <c r="L2529" i="23"/>
  <c r="M2529" i="23"/>
  <c r="M3488" i="23"/>
  <c r="A3488" i="23"/>
  <c r="O3488" i="23"/>
  <c r="N3488" i="23"/>
  <c r="L3488" i="23"/>
  <c r="O172" i="23"/>
  <c r="N172" i="23"/>
  <c r="M172" i="23"/>
  <c r="A172" i="23"/>
  <c r="L172" i="23"/>
  <c r="L161" i="23"/>
  <c r="O768" i="23"/>
  <c r="O617" i="23"/>
  <c r="L617" i="23"/>
  <c r="N617" i="23"/>
  <c r="M617" i="23"/>
  <c r="A1742" i="23"/>
  <c r="N1742" i="23"/>
  <c r="O1369" i="23"/>
  <c r="S2276" i="1"/>
  <c r="H2006" i="1"/>
  <c r="T2006" i="1"/>
  <c r="N1045" i="23"/>
  <c r="O1045" i="23"/>
  <c r="L1045" i="23"/>
  <c r="A1045" i="23"/>
  <c r="N113" i="23"/>
  <c r="A113" i="23"/>
  <c r="O113" i="23"/>
  <c r="M113" i="23"/>
  <c r="L113" i="23"/>
  <c r="L1741" i="23"/>
  <c r="O1741" i="23"/>
  <c r="N1741" i="23"/>
  <c r="M1741" i="23"/>
  <c r="A1741" i="23"/>
  <c r="N1044" i="23"/>
  <c r="L1044" i="23"/>
  <c r="M1044" i="23"/>
  <c r="A1044" i="23"/>
  <c r="O1044" i="23"/>
  <c r="G1053" i="23"/>
  <c r="N167" i="23"/>
  <c r="M402" i="23"/>
  <c r="L793" i="23"/>
  <c r="A793" i="23"/>
  <c r="M793" i="23"/>
  <c r="N793" i="23"/>
  <c r="O793" i="23"/>
  <c r="A795" i="23"/>
  <c r="L795" i="23"/>
  <c r="M795" i="23"/>
  <c r="O795" i="23"/>
  <c r="N795" i="23"/>
  <c r="O1733" i="23"/>
  <c r="M1733" i="23"/>
  <c r="A1733" i="23"/>
  <c r="O794" i="23"/>
  <c r="L794" i="23"/>
  <c r="M794" i="23"/>
  <c r="A794" i="23"/>
  <c r="N794" i="23"/>
  <c r="A402" i="23"/>
  <c r="A792" i="23"/>
  <c r="N792" i="23"/>
  <c r="O792" i="23"/>
  <c r="M792" i="23"/>
  <c r="L792" i="23"/>
  <c r="M796" i="23"/>
  <c r="A796" i="23"/>
  <c r="O796" i="23"/>
  <c r="L796" i="23"/>
  <c r="O1121" i="23"/>
  <c r="A1121" i="23"/>
  <c r="N1121" i="23"/>
  <c r="M1121" i="23"/>
  <c r="L1121" i="23"/>
  <c r="A1732" i="23"/>
  <c r="O1732" i="23"/>
  <c r="N1732" i="23"/>
  <c r="A77" i="23"/>
  <c r="A76" i="23"/>
  <c r="M167" i="23"/>
  <c r="M2246" i="23"/>
  <c r="A1415" i="23"/>
  <c r="L1415" i="23"/>
  <c r="N1476" i="23"/>
  <c r="A1476" i="23"/>
  <c r="L1476" i="23"/>
  <c r="M1476" i="23"/>
  <c r="O1476" i="23"/>
  <c r="N1652" i="23"/>
  <c r="M1652" i="23"/>
  <c r="A1652" i="23"/>
  <c r="L1652" i="23"/>
  <c r="O1652" i="23"/>
  <c r="G1322" i="23"/>
  <c r="N1321" i="23"/>
  <c r="A1321" i="23"/>
  <c r="L1321" i="23"/>
  <c r="O1321" i="23"/>
  <c r="M1321" i="23"/>
  <c r="O2551" i="23"/>
  <c r="A2551" i="23"/>
  <c r="M2551" i="23"/>
  <c r="G2563" i="23"/>
  <c r="N2563" i="23" s="1"/>
  <c r="L2551" i="23"/>
  <c r="M2552" i="23"/>
  <c r="O2552" i="23"/>
  <c r="L2552" i="23"/>
  <c r="A2552" i="23"/>
  <c r="L167" i="23"/>
  <c r="A167" i="23"/>
  <c r="N1660" i="23"/>
  <c r="N2246" i="23"/>
  <c r="L1477" i="23"/>
  <c r="O1477" i="23"/>
  <c r="M1477" i="23"/>
  <c r="A1477" i="23"/>
  <c r="N1477" i="23"/>
  <c r="O2555" i="23"/>
  <c r="L2555" i="23"/>
  <c r="M2555" i="23"/>
  <c r="A2555" i="23"/>
  <c r="L2562" i="23"/>
  <c r="A2562" i="23"/>
  <c r="O2562" i="23"/>
  <c r="M2562" i="23"/>
  <c r="L41" i="23"/>
  <c r="L42" i="23" s="1"/>
  <c r="N41" i="23"/>
  <c r="N42" i="23" s="1"/>
  <c r="M41" i="23"/>
  <c r="M42" i="23" s="1"/>
  <c r="A41" i="23"/>
  <c r="A42" i="23" s="1"/>
  <c r="A43" i="23" s="1"/>
  <c r="O41" i="23"/>
  <c r="O42" i="23" s="1"/>
  <c r="O1660" i="23"/>
  <c r="G1661" i="23"/>
  <c r="N1661" i="23" s="1"/>
  <c r="O1479" i="23"/>
  <c r="A1479" i="23"/>
  <c r="N1479" i="23"/>
  <c r="L1479" i="23"/>
  <c r="A652" i="23"/>
  <c r="A651" i="23"/>
  <c r="N651" i="23"/>
  <c r="M651" i="23"/>
  <c r="O651" i="23"/>
  <c r="L651" i="23"/>
  <c r="M2556" i="23"/>
  <c r="L2556" i="23"/>
  <c r="A2556" i="23"/>
  <c r="O2556" i="23"/>
  <c r="L2553" i="23"/>
  <c r="G2554" i="23"/>
  <c r="N2554" i="23" s="1"/>
  <c r="A2553" i="23"/>
  <c r="O2553" i="23"/>
  <c r="M2553" i="23"/>
  <c r="L1398" i="23"/>
  <c r="A1398" i="23"/>
  <c r="O1398" i="23"/>
  <c r="M1398" i="23"/>
  <c r="N1398" i="23"/>
  <c r="L2621" i="23"/>
  <c r="M1660" i="23"/>
  <c r="M2943" i="23"/>
  <c r="L1369" i="23"/>
  <c r="L303" i="23"/>
  <c r="L1480" i="23"/>
  <c r="N1480" i="23"/>
  <c r="G1481" i="23"/>
  <c r="O1480" i="23"/>
  <c r="A1480" i="23"/>
  <c r="O1653" i="23"/>
  <c r="N1653" i="23"/>
  <c r="M1653" i="23"/>
  <c r="L1653" i="23"/>
  <c r="A1653" i="23"/>
  <c r="G2558" i="23"/>
  <c r="N2558" i="23" s="1"/>
  <c r="L2557" i="23"/>
  <c r="O2557" i="23"/>
  <c r="M2557" i="23"/>
  <c r="A2557" i="23"/>
  <c r="L647" i="23"/>
  <c r="A647" i="23"/>
  <c r="N647" i="23"/>
  <c r="O647" i="23"/>
  <c r="M647" i="23"/>
  <c r="A495" i="23"/>
  <c r="A496" i="23" s="1"/>
  <c r="M495" i="23"/>
  <c r="C495" i="23"/>
  <c r="C501" i="23" s="1"/>
  <c r="C509" i="23" s="1"/>
  <c r="C527" i="23" s="1"/>
  <c r="G497" i="23"/>
  <c r="N495" i="23"/>
  <c r="G498" i="23"/>
  <c r="G499" i="23"/>
  <c r="O495" i="23"/>
  <c r="L495" i="23"/>
  <c r="G500" i="23"/>
  <c r="A2991" i="23"/>
  <c r="O2991" i="23"/>
  <c r="G2992" i="23"/>
  <c r="L2991" i="23"/>
  <c r="N2991" i="23"/>
  <c r="M2991" i="23"/>
  <c r="N2897" i="23"/>
  <c r="O2897" i="23"/>
  <c r="A2897" i="23"/>
  <c r="L2897" i="23"/>
  <c r="M2897" i="23"/>
  <c r="N2894" i="23"/>
  <c r="M2894" i="23"/>
  <c r="A2894" i="23"/>
  <c r="L2894" i="23"/>
  <c r="O2894" i="23"/>
  <c r="G2898" i="23"/>
  <c r="G2271" i="23"/>
  <c r="A2267" i="23"/>
  <c r="G2270" i="23"/>
  <c r="G2268" i="23"/>
  <c r="M403" i="23"/>
  <c r="L403" i="23"/>
  <c r="A403" i="23"/>
  <c r="O403" i="23"/>
  <c r="N403" i="23"/>
  <c r="O509" i="23"/>
  <c r="A509" i="23"/>
  <c r="A510" i="23" s="1"/>
  <c r="N509" i="23"/>
  <c r="L509" i="23"/>
  <c r="M509" i="23"/>
  <c r="L560" i="23"/>
  <c r="O560" i="23"/>
  <c r="N560" i="23"/>
  <c r="M560" i="23"/>
  <c r="A560" i="23"/>
  <c r="M548" i="23"/>
  <c r="A548" i="23"/>
  <c r="A546" i="23"/>
  <c r="O546" i="23"/>
  <c r="L546" i="23"/>
  <c r="N546" i="23"/>
  <c r="M546" i="23"/>
  <c r="H548" i="23"/>
  <c r="L548" i="23" s="1"/>
  <c r="D548" i="23"/>
  <c r="E548" i="23"/>
  <c r="J548" i="23"/>
  <c r="N548" i="23" s="1"/>
  <c r="K548" i="23"/>
  <c r="O548" i="23" s="1"/>
  <c r="F548" i="23"/>
  <c r="L545" i="23"/>
  <c r="A545" i="23"/>
  <c r="N545" i="23"/>
  <c r="M545" i="23"/>
  <c r="O545" i="23"/>
  <c r="M3032" i="23"/>
  <c r="O3032" i="23"/>
  <c r="A3032" i="23"/>
  <c r="L3032" i="23"/>
  <c r="N3032" i="23"/>
  <c r="O2864" i="23"/>
  <c r="L2864" i="23"/>
  <c r="A2864" i="23"/>
  <c r="M2864" i="23"/>
  <c r="N2864" i="23"/>
  <c r="L2860" i="23"/>
  <c r="O2860" i="23"/>
  <c r="M2860" i="23"/>
  <c r="N2860" i="23"/>
  <c r="A2860" i="23"/>
  <c r="A2348" i="23"/>
  <c r="O2348" i="23"/>
  <c r="N2348" i="23"/>
  <c r="L2348" i="23"/>
  <c r="M2348" i="23"/>
  <c r="G2357" i="23"/>
  <c r="L2347" i="23"/>
  <c r="O2347" i="23"/>
  <c r="M2347" i="23"/>
  <c r="N2347" i="23"/>
  <c r="A2347" i="23"/>
  <c r="O302" i="23"/>
  <c r="A302" i="23"/>
  <c r="L302" i="23"/>
  <c r="N302" i="23"/>
  <c r="M302" i="23"/>
  <c r="C302" i="23"/>
  <c r="A480" i="23"/>
  <c r="O480" i="23"/>
  <c r="L480" i="23"/>
  <c r="G481" i="23"/>
  <c r="M480" i="23"/>
  <c r="N480" i="23"/>
  <c r="O2289" i="23"/>
  <c r="M2289" i="23"/>
  <c r="N2289" i="23"/>
  <c r="A2289" i="23"/>
  <c r="L2289" i="23"/>
  <c r="A2290" i="23"/>
  <c r="O2290" i="23"/>
  <c r="L2290" i="23"/>
  <c r="N2290" i="23"/>
  <c r="M2290" i="23"/>
  <c r="L361" i="23"/>
  <c r="O361" i="23"/>
  <c r="A361" i="23"/>
  <c r="N361" i="23"/>
  <c r="G363" i="23"/>
  <c r="M361" i="23"/>
  <c r="M358" i="23"/>
  <c r="A358" i="23"/>
  <c r="O358" i="23"/>
  <c r="G373" i="23"/>
  <c r="L358" i="23"/>
  <c r="N358" i="23"/>
  <c r="O369" i="23"/>
  <c r="N369" i="23"/>
  <c r="M369" i="23"/>
  <c r="A369" i="23"/>
  <c r="L369" i="23"/>
  <c r="N366" i="23"/>
  <c r="A366" i="23"/>
  <c r="O366" i="23"/>
  <c r="L366" i="23"/>
  <c r="M366" i="23"/>
  <c r="G2817" i="23"/>
  <c r="G2820" i="23"/>
  <c r="C2816" i="23"/>
  <c r="C2821" i="23" s="1"/>
  <c r="C2828" i="23" s="1"/>
  <c r="C2835" i="23" s="1"/>
  <c r="C2843" i="23" s="1"/>
  <c r="C2852" i="23" s="1"/>
  <c r="C2865" i="23" s="1"/>
  <c r="C2870" i="23" s="1"/>
  <c r="C2880" i="23" s="1"/>
  <c r="C2889" i="23" s="1"/>
  <c r="C2903" i="23" s="1"/>
  <c r="C2913" i="23" s="1"/>
  <c r="A2816" i="23"/>
  <c r="A2315" i="23"/>
  <c r="O2315" i="23"/>
  <c r="M2315" i="23"/>
  <c r="L2315" i="23"/>
  <c r="N2315" i="23"/>
  <c r="O2319" i="23"/>
  <c r="A2319" i="23"/>
  <c r="L2319" i="23"/>
  <c r="M2319" i="23"/>
  <c r="N2319" i="23"/>
  <c r="M2307" i="23"/>
  <c r="G2325" i="23"/>
  <c r="O2307" i="23"/>
  <c r="L2307" i="23"/>
  <c r="A2307" i="23"/>
  <c r="N2307" i="23"/>
  <c r="A2364" i="23"/>
  <c r="A2365" i="23" s="1"/>
  <c r="G2383" i="23"/>
  <c r="G2366" i="23"/>
  <c r="G2369" i="23"/>
  <c r="G2381" i="23"/>
  <c r="G2378" i="23"/>
  <c r="G2373" i="23"/>
  <c r="G2368" i="23"/>
  <c r="G2372" i="23"/>
  <c r="G2367" i="23"/>
  <c r="G2382" i="23"/>
  <c r="G2380" i="23"/>
  <c r="G2377" i="23"/>
  <c r="L314" i="23"/>
  <c r="N314" i="23"/>
  <c r="M314" i="23"/>
  <c r="G315" i="23"/>
  <c r="O314" i="23"/>
  <c r="A314" i="23"/>
  <c r="G316" i="23"/>
  <c r="A327" i="23"/>
  <c r="O327" i="23"/>
  <c r="L327" i="23"/>
  <c r="N327" i="23"/>
  <c r="M332" i="23"/>
  <c r="A332" i="23"/>
  <c r="L332" i="23"/>
  <c r="O332" i="23"/>
  <c r="N332" i="23"/>
  <c r="G337" i="23"/>
  <c r="G339" i="23"/>
  <c r="A333" i="23"/>
  <c r="A334" i="23" s="1"/>
  <c r="G343" i="23"/>
  <c r="G338" i="23"/>
  <c r="G335" i="23"/>
  <c r="O333" i="23"/>
  <c r="G336" i="23"/>
  <c r="G340" i="23"/>
  <c r="L333" i="23"/>
  <c r="M333" i="23"/>
  <c r="N333" i="23"/>
  <c r="L1494" i="23"/>
  <c r="A1494" i="23"/>
  <c r="N1494" i="23"/>
  <c r="O1494" i="23"/>
  <c r="L2985" i="23"/>
  <c r="G2988" i="23"/>
  <c r="M2985" i="23"/>
  <c r="A2985" i="23"/>
  <c r="N2985" i="23"/>
  <c r="O2985" i="23"/>
  <c r="G2993" i="23"/>
  <c r="N2895" i="23"/>
  <c r="A2895" i="23"/>
  <c r="O2895" i="23"/>
  <c r="M2895" i="23"/>
  <c r="L2895" i="23"/>
  <c r="N2896" i="23"/>
  <c r="O2896" i="23"/>
  <c r="L2896" i="23"/>
  <c r="M2896" i="23"/>
  <c r="A2896" i="23"/>
  <c r="M551" i="23"/>
  <c r="L551" i="23"/>
  <c r="O551" i="23"/>
  <c r="A551" i="23"/>
  <c r="N551" i="23"/>
  <c r="G558" i="23"/>
  <c r="L557" i="23"/>
  <c r="N557" i="23"/>
  <c r="M557" i="23"/>
  <c r="A557" i="23"/>
  <c r="O557" i="23"/>
  <c r="A3033" i="23"/>
  <c r="O3033" i="23"/>
  <c r="N3033" i="23"/>
  <c r="L3033" i="23"/>
  <c r="G2858" i="23"/>
  <c r="N2855" i="23"/>
  <c r="L2855" i="23"/>
  <c r="M2855" i="23"/>
  <c r="O2855" i="23"/>
  <c r="A2855" i="23"/>
  <c r="G2863" i="23"/>
  <c r="M2854" i="23"/>
  <c r="A2854" i="23"/>
  <c r="N2854" i="23"/>
  <c r="O2854" i="23"/>
  <c r="L2854" i="23"/>
  <c r="A2245" i="23"/>
  <c r="M2245" i="23"/>
  <c r="C2245" i="23"/>
  <c r="O2245" i="23"/>
  <c r="N2245" i="23"/>
  <c r="L2245" i="23"/>
  <c r="A2349" i="23"/>
  <c r="M2349" i="23"/>
  <c r="N2349" i="23"/>
  <c r="O2349" i="23"/>
  <c r="L2349" i="23"/>
  <c r="L328" i="23"/>
  <c r="N328" i="23"/>
  <c r="O328" i="23"/>
  <c r="A328" i="23"/>
  <c r="C480" i="23"/>
  <c r="L2907" i="23"/>
  <c r="M2907" i="23"/>
  <c r="A2907" i="23"/>
  <c r="O2907" i="23"/>
  <c r="G2908" i="23"/>
  <c r="N2907" i="23"/>
  <c r="A2291" i="23"/>
  <c r="O2291" i="23"/>
  <c r="M2291" i="23"/>
  <c r="L2291" i="23"/>
  <c r="N2291" i="23"/>
  <c r="M367" i="23"/>
  <c r="O367" i="23"/>
  <c r="L367" i="23"/>
  <c r="N367" i="23"/>
  <c r="A367" i="23"/>
  <c r="M359" i="23"/>
  <c r="N359" i="23"/>
  <c r="L359" i="23"/>
  <c r="A359" i="23"/>
  <c r="O359" i="23"/>
  <c r="A360" i="23"/>
  <c r="G362" i="23"/>
  <c r="O360" i="23"/>
  <c r="L360" i="23"/>
  <c r="M360" i="23"/>
  <c r="N360" i="23"/>
  <c r="M370" i="23"/>
  <c r="N370" i="23"/>
  <c r="L370" i="23"/>
  <c r="A370" i="23"/>
  <c r="O370" i="23"/>
  <c r="L2808" i="23"/>
  <c r="G2810" i="23"/>
  <c r="N2808" i="23"/>
  <c r="O2808" i="23"/>
  <c r="M2808" i="23"/>
  <c r="G2809" i="23"/>
  <c r="A2808" i="23"/>
  <c r="M2309" i="23"/>
  <c r="O2309" i="23"/>
  <c r="L2309" i="23"/>
  <c r="N2309" i="23"/>
  <c r="A2309" i="23"/>
  <c r="M2336" i="23"/>
  <c r="N2336" i="23"/>
  <c r="L2336" i="23"/>
  <c r="A2336" i="23"/>
  <c r="O2336" i="23"/>
  <c r="L2301" i="23"/>
  <c r="A2301" i="23"/>
  <c r="C317" i="23"/>
  <c r="C323" i="23" s="1"/>
  <c r="C333" i="23" s="1"/>
  <c r="C345" i="23" s="1"/>
  <c r="M317" i="23"/>
  <c r="L317" i="23"/>
  <c r="N317" i="23"/>
  <c r="O317" i="23"/>
  <c r="G321" i="23"/>
  <c r="A317" i="23"/>
  <c r="A318" i="23" s="1"/>
  <c r="G322" i="23"/>
  <c r="G319" i="23"/>
  <c r="G320" i="23"/>
  <c r="N330" i="23"/>
  <c r="L330" i="23"/>
  <c r="A330" i="23"/>
  <c r="M330" i="23"/>
  <c r="O330" i="23"/>
  <c r="N374" i="23"/>
  <c r="A374" i="23"/>
  <c r="O374" i="23"/>
  <c r="M374" i="23"/>
  <c r="L374" i="23"/>
  <c r="O2246" i="23"/>
  <c r="A2987" i="23"/>
  <c r="N2987" i="23"/>
  <c r="L2987" i="23"/>
  <c r="L2990" i="23"/>
  <c r="M2990" i="23"/>
  <c r="A2990" i="23"/>
  <c r="N2990" i="23"/>
  <c r="O2990" i="23"/>
  <c r="O2984" i="23"/>
  <c r="A2984" i="23"/>
  <c r="G2994" i="23"/>
  <c r="N2984" i="23"/>
  <c r="L2984" i="23"/>
  <c r="M2984" i="23"/>
  <c r="M2902" i="23"/>
  <c r="O2902" i="23"/>
  <c r="A2902" i="23"/>
  <c r="L2902" i="23"/>
  <c r="N2902" i="23"/>
  <c r="L2260" i="23"/>
  <c r="O2260" i="23"/>
  <c r="G2261" i="23"/>
  <c r="N2260" i="23"/>
  <c r="A2260" i="23"/>
  <c r="M2260" i="23"/>
  <c r="G2262" i="23"/>
  <c r="L400" i="23"/>
  <c r="A400" i="23"/>
  <c r="O400" i="23"/>
  <c r="M400" i="23"/>
  <c r="N400" i="23"/>
  <c r="M504" i="23"/>
  <c r="L504" i="23"/>
  <c r="A504" i="23"/>
  <c r="N504" i="23"/>
  <c r="O504" i="23"/>
  <c r="M547" i="23"/>
  <c r="A547" i="23"/>
  <c r="A552" i="23"/>
  <c r="N552" i="23"/>
  <c r="O552" i="23"/>
  <c r="M552" i="23"/>
  <c r="L552" i="23"/>
  <c r="M544" i="23"/>
  <c r="G559" i="23"/>
  <c r="L544" i="23"/>
  <c r="A544" i="23"/>
  <c r="N544" i="23"/>
  <c r="O544" i="23"/>
  <c r="G3035" i="23"/>
  <c r="M3034" i="23"/>
  <c r="A3034" i="23"/>
  <c r="N3034" i="23"/>
  <c r="L3034" i="23"/>
  <c r="O3034" i="23"/>
  <c r="G3047" i="23"/>
  <c r="G3045" i="23"/>
  <c r="G3042" i="23"/>
  <c r="A3039" i="23"/>
  <c r="A3040" i="23" s="1"/>
  <c r="G3049" i="23"/>
  <c r="G3051" i="23"/>
  <c r="G3052" i="23"/>
  <c r="G3041" i="23"/>
  <c r="G3046" i="23"/>
  <c r="N2859" i="23"/>
  <c r="L2859" i="23"/>
  <c r="M2859" i="23"/>
  <c r="A2859" i="23"/>
  <c r="O2859" i="23"/>
  <c r="N2856" i="23"/>
  <c r="L2856" i="23"/>
  <c r="O2856" i="23"/>
  <c r="M2856" i="23"/>
  <c r="A2856" i="23"/>
  <c r="M2861" i="23"/>
  <c r="N2861" i="23"/>
  <c r="A2861" i="23"/>
  <c r="G2862" i="23"/>
  <c r="L2861" i="23"/>
  <c r="O2861" i="23"/>
  <c r="M2352" i="23"/>
  <c r="L2352" i="23"/>
  <c r="A2352" i="23"/>
  <c r="N2352" i="23"/>
  <c r="G2353" i="23"/>
  <c r="O2352" i="23"/>
  <c r="M484" i="23"/>
  <c r="A484" i="23"/>
  <c r="G485" i="23"/>
  <c r="L484" i="23"/>
  <c r="O484" i="23"/>
  <c r="N484" i="23"/>
  <c r="G3059" i="23"/>
  <c r="G3060" i="23"/>
  <c r="G3070" i="23"/>
  <c r="G3066" i="23"/>
  <c r="G3062" i="23"/>
  <c r="G3076" i="23"/>
  <c r="G3068" i="23"/>
  <c r="G3064" i="23"/>
  <c r="G3071" i="23"/>
  <c r="A3054" i="23"/>
  <c r="A3055" i="23" s="1"/>
  <c r="G3073" i="23"/>
  <c r="G3074" i="23"/>
  <c r="G3067" i="23"/>
  <c r="G3065" i="23"/>
  <c r="G3061" i="23"/>
  <c r="G3069" i="23"/>
  <c r="G3075" i="23"/>
  <c r="G3057" i="23"/>
  <c r="G3072" i="23"/>
  <c r="M2905" i="23"/>
  <c r="A2905" i="23"/>
  <c r="G2912" i="23"/>
  <c r="N2905" i="23"/>
  <c r="L2905" i="23"/>
  <c r="O2905" i="23"/>
  <c r="L2343" i="23"/>
  <c r="N2343" i="23"/>
  <c r="M2343" i="23"/>
  <c r="O2343" i="23"/>
  <c r="A2343" i="23"/>
  <c r="L2292" i="23"/>
  <c r="N2292" i="23"/>
  <c r="A2292" i="23"/>
  <c r="A2327" i="23"/>
  <c r="A2328" i="23" s="1"/>
  <c r="N2327" i="23"/>
  <c r="L2327" i="23"/>
  <c r="G2332" i="23"/>
  <c r="O2327" i="23"/>
  <c r="M2327" i="23"/>
  <c r="O365" i="23"/>
  <c r="L365" i="23"/>
  <c r="A365" i="23"/>
  <c r="G372" i="23"/>
  <c r="N365" i="23"/>
  <c r="M365" i="23"/>
  <c r="N2312" i="23"/>
  <c r="M2312" i="23"/>
  <c r="O2312" i="23"/>
  <c r="L2312" i="23"/>
  <c r="A2312" i="23"/>
  <c r="O2320" i="23"/>
  <c r="L2320" i="23"/>
  <c r="N2320" i="23"/>
  <c r="M2320" i="23"/>
  <c r="A2320" i="23"/>
  <c r="L2306" i="23"/>
  <c r="M2306" i="23"/>
  <c r="A2306" i="23"/>
  <c r="N2306" i="23"/>
  <c r="O2306" i="23"/>
  <c r="G2326" i="23"/>
  <c r="A2317" i="23"/>
  <c r="L2317" i="23"/>
  <c r="N2317" i="23"/>
  <c r="O2317" i="23"/>
  <c r="M2317" i="23"/>
  <c r="G2321" i="23"/>
  <c r="A2323" i="23"/>
  <c r="L2323" i="23"/>
  <c r="O2323" i="23"/>
  <c r="M2323" i="23"/>
  <c r="N2323" i="23"/>
  <c r="G2324" i="23"/>
  <c r="L2302" i="23"/>
  <c r="A2302" i="23"/>
  <c r="M325" i="23"/>
  <c r="L325" i="23"/>
  <c r="A325" i="23"/>
  <c r="O325" i="23"/>
  <c r="N325" i="23"/>
  <c r="G326" i="23"/>
  <c r="L2943" i="23"/>
  <c r="O492" i="23"/>
  <c r="M492" i="23"/>
  <c r="A492" i="23"/>
  <c r="N492" i="23"/>
  <c r="G493" i="23"/>
  <c r="G494" i="23"/>
  <c r="L492" i="23"/>
  <c r="N2986" i="23"/>
  <c r="A2986" i="23"/>
  <c r="M2986" i="23"/>
  <c r="O2986" i="23"/>
  <c r="L2986" i="23"/>
  <c r="O2989" i="23"/>
  <c r="M2989" i="23"/>
  <c r="A2989" i="23"/>
  <c r="N2989" i="23"/>
  <c r="L2989" i="23"/>
  <c r="G2901" i="23"/>
  <c r="M2893" i="23"/>
  <c r="O2893" i="23"/>
  <c r="A2893" i="23"/>
  <c r="L2893" i="23"/>
  <c r="N2893" i="23"/>
  <c r="N2880" i="23"/>
  <c r="G2883" i="23"/>
  <c r="G2886" i="23"/>
  <c r="G2885" i="23"/>
  <c r="A2880" i="23"/>
  <c r="A2881" i="23" s="1"/>
  <c r="L2880" i="23"/>
  <c r="O2880" i="23"/>
  <c r="M2880" i="23"/>
  <c r="G2884" i="23"/>
  <c r="G2882" i="23"/>
  <c r="G2888" i="23"/>
  <c r="C2267" i="23"/>
  <c r="L306" i="23"/>
  <c r="G307" i="23"/>
  <c r="A306" i="23"/>
  <c r="O306" i="23"/>
  <c r="N306" i="23"/>
  <c r="M306" i="23"/>
  <c r="M527" i="23"/>
  <c r="G532" i="23"/>
  <c r="G534" i="23" s="1"/>
  <c r="L527" i="23"/>
  <c r="O527" i="23"/>
  <c r="G530" i="23"/>
  <c r="G529" i="23"/>
  <c r="A527" i="23"/>
  <c r="A528" i="23" s="1"/>
  <c r="N527" i="23"/>
  <c r="A503" i="23"/>
  <c r="G506" i="23"/>
  <c r="N503" i="23"/>
  <c r="O503" i="23"/>
  <c r="G505" i="23"/>
  <c r="L503" i="23"/>
  <c r="M503" i="23"/>
  <c r="N554" i="23"/>
  <c r="L554" i="23"/>
  <c r="O554" i="23"/>
  <c r="M554" i="23"/>
  <c r="A554" i="23"/>
  <c r="A555" i="23"/>
  <c r="M555" i="23"/>
  <c r="N555" i="23"/>
  <c r="L555" i="23"/>
  <c r="O555" i="23"/>
  <c r="N556" i="23"/>
  <c r="A556" i="23"/>
  <c r="O556" i="23"/>
  <c r="L556" i="23"/>
  <c r="M556" i="23"/>
  <c r="D547" i="23"/>
  <c r="E547" i="23"/>
  <c r="H547" i="23"/>
  <c r="L547" i="23" s="1"/>
  <c r="J547" i="23"/>
  <c r="N547" i="23" s="1"/>
  <c r="K547" i="23"/>
  <c r="O547" i="23" s="1"/>
  <c r="F547" i="23"/>
  <c r="M553" i="23"/>
  <c r="A553" i="23"/>
  <c r="N553" i="23"/>
  <c r="L553" i="23"/>
  <c r="O553" i="23"/>
  <c r="N3036" i="23"/>
  <c r="O3036" i="23"/>
  <c r="M3036" i="23"/>
  <c r="G3037" i="23"/>
  <c r="G3038" i="23"/>
  <c r="L3036" i="23"/>
  <c r="A3036" i="23"/>
  <c r="L2857" i="23"/>
  <c r="N2857" i="23"/>
  <c r="A2857" i="23"/>
  <c r="O2354" i="23"/>
  <c r="N2354" i="23"/>
  <c r="M2354" i="23"/>
  <c r="A2354" i="23"/>
  <c r="G2355" i="23"/>
  <c r="L2354" i="23"/>
  <c r="N2350" i="23"/>
  <c r="O2350" i="23"/>
  <c r="L2350" i="23"/>
  <c r="M2350" i="23"/>
  <c r="A2350" i="23"/>
  <c r="M303" i="23"/>
  <c r="A303" i="23"/>
  <c r="G329" i="23"/>
  <c r="N303" i="23"/>
  <c r="A2906" i="23"/>
  <c r="L2906" i="23"/>
  <c r="O2906" i="23"/>
  <c r="N2906" i="23"/>
  <c r="A2909" i="23"/>
  <c r="G2910" i="23"/>
  <c r="L2909" i="23"/>
  <c r="N2909" i="23"/>
  <c r="M2909" i="23"/>
  <c r="O2909" i="23"/>
  <c r="L2341" i="23"/>
  <c r="M2341" i="23"/>
  <c r="O2341" i="23"/>
  <c r="N2341" i="23"/>
  <c r="G2342" i="23"/>
  <c r="A2341" i="23"/>
  <c r="L371" i="23"/>
  <c r="M371" i="23"/>
  <c r="A371" i="23"/>
  <c r="N371" i="23"/>
  <c r="O371" i="23"/>
  <c r="O368" i="23"/>
  <c r="L368" i="23"/>
  <c r="M368" i="23"/>
  <c r="N368" i="23"/>
  <c r="A368" i="23"/>
  <c r="L2246" i="23"/>
  <c r="O2308" i="23"/>
  <c r="M2308" i="23"/>
  <c r="G2311" i="23"/>
  <c r="A2308" i="23"/>
  <c r="L2308" i="23"/>
  <c r="N2308" i="23"/>
  <c r="O2310" i="23"/>
  <c r="N2310" i="23"/>
  <c r="L2310" i="23"/>
  <c r="A2310" i="23"/>
  <c r="M2310" i="23"/>
  <c r="A2313" i="23"/>
  <c r="O2313" i="23"/>
  <c r="L2313" i="23"/>
  <c r="G2314" i="23"/>
  <c r="N2313" i="23"/>
  <c r="M2313" i="23"/>
  <c r="N2335" i="23"/>
  <c r="A2335" i="23"/>
  <c r="M2335" i="23"/>
  <c r="L2335" i="23"/>
  <c r="O2335" i="23"/>
  <c r="L2300" i="23"/>
  <c r="A2300" i="23"/>
  <c r="G2303" i="23"/>
  <c r="L331" i="23"/>
  <c r="M331" i="23"/>
  <c r="O331" i="23"/>
  <c r="N331" i="23"/>
  <c r="A331" i="23"/>
  <c r="G347" i="23"/>
  <c r="G350" i="23"/>
  <c r="L345" i="23"/>
  <c r="G349" i="23"/>
  <c r="O345" i="23"/>
  <c r="M345" i="23"/>
  <c r="G348" i="23"/>
  <c r="N345" i="23"/>
  <c r="A345" i="23"/>
  <c r="A346" i="23" s="1"/>
  <c r="M3247" i="23"/>
  <c r="O3247" i="23"/>
  <c r="T2276" i="1"/>
  <c r="AJ148" i="2"/>
  <c r="BO148" i="2" s="1"/>
  <c r="AJ83" i="2"/>
  <c r="BO83" i="2" s="1"/>
  <c r="O3252" i="23"/>
  <c r="A3252" i="23"/>
  <c r="N3252" i="23"/>
  <c r="M3252" i="23"/>
  <c r="L3252" i="23"/>
  <c r="M3251" i="23"/>
  <c r="O3251" i="23"/>
  <c r="L3251" i="23"/>
  <c r="A3251" i="23"/>
  <c r="N3251" i="23"/>
  <c r="AJ240" i="2"/>
  <c r="BO240" i="2" s="1"/>
  <c r="AJ381" i="2"/>
  <c r="BO381" i="2" s="1"/>
  <c r="U2276" i="1"/>
  <c r="G1457" i="1"/>
  <c r="S1270" i="23"/>
  <c r="N2943" i="23"/>
  <c r="L3400" i="23"/>
  <c r="T2014" i="1"/>
  <c r="C1236" i="1"/>
  <c r="C1219" i="1"/>
  <c r="C1228" i="1"/>
  <c r="C1229" i="1" s="1"/>
  <c r="C1230" i="1" s="1"/>
  <c r="C1231" i="1" s="1"/>
  <c r="C1232" i="1" s="1"/>
  <c r="C1204" i="1"/>
  <c r="C1206" i="1"/>
  <c r="C1239" i="1"/>
  <c r="C1240" i="1"/>
  <c r="C1205" i="1"/>
  <c r="C1233" i="1"/>
  <c r="C1203" i="1"/>
  <c r="C1242" i="1"/>
  <c r="C1237" i="1"/>
  <c r="C1235" i="1"/>
  <c r="C1220" i="1"/>
  <c r="M3095" i="23"/>
  <c r="C37" i="23"/>
  <c r="C1243" i="1"/>
  <c r="C1221" i="1"/>
  <c r="C1244" i="1"/>
  <c r="C1238" i="1"/>
  <c r="L223" i="49"/>
  <c r="G228" i="49"/>
  <c r="A228" i="49" s="1"/>
  <c r="M223" i="49"/>
  <c r="N223" i="49"/>
  <c r="O223" i="49"/>
  <c r="C32" i="49"/>
  <c r="A140" i="49"/>
  <c r="G71" i="49"/>
  <c r="G56" i="49" s="1"/>
  <c r="G40" i="49"/>
  <c r="A40" i="49" s="1"/>
  <c r="G38" i="49"/>
  <c r="A38" i="49" s="1"/>
  <c r="G174" i="49"/>
  <c r="G55" i="49"/>
  <c r="A55" i="49" s="1"/>
  <c r="G37" i="49"/>
  <c r="A37" i="49" s="1"/>
  <c r="U1478" i="1"/>
  <c r="J1478" i="1"/>
  <c r="S1478" i="1"/>
  <c r="T1478" i="1"/>
  <c r="H1478" i="1"/>
  <c r="L230" i="49"/>
  <c r="M230" i="49"/>
  <c r="O230" i="49"/>
  <c r="N230" i="49"/>
  <c r="O245" i="49"/>
  <c r="M245" i="49"/>
  <c r="N245" i="49"/>
  <c r="L245" i="49"/>
  <c r="M247" i="49"/>
  <c r="L247" i="49"/>
  <c r="O247" i="49"/>
  <c r="N247" i="49"/>
  <c r="N513" i="49"/>
  <c r="M513" i="49"/>
  <c r="L513" i="49"/>
  <c r="A513" i="49"/>
  <c r="O513" i="49"/>
  <c r="A512" i="49"/>
  <c r="G515" i="49"/>
  <c r="M512" i="49"/>
  <c r="N512" i="49"/>
  <c r="O512" i="49"/>
  <c r="L512" i="49"/>
  <c r="L225" i="49"/>
  <c r="O225" i="49"/>
  <c r="N225" i="49"/>
  <c r="M225" i="49"/>
  <c r="M224" i="49"/>
  <c r="N224" i="49"/>
  <c r="L224" i="49"/>
  <c r="O224" i="49"/>
  <c r="H1461" i="1"/>
  <c r="J1461" i="1"/>
  <c r="T1461" i="1"/>
  <c r="S1461" i="1"/>
  <c r="N246" i="49"/>
  <c r="O246" i="49"/>
  <c r="L246" i="49"/>
  <c r="M246" i="49"/>
  <c r="U2223" i="1"/>
  <c r="U2178" i="1" s="1"/>
  <c r="C2223" i="1"/>
  <c r="T2223" i="1"/>
  <c r="H2223" i="1"/>
  <c r="S2223" i="1"/>
  <c r="S2178" i="1" s="1"/>
  <c r="N226" i="49"/>
  <c r="L226" i="49"/>
  <c r="M226" i="49"/>
  <c r="G227" i="49"/>
  <c r="A227" i="49" s="1"/>
  <c r="O226" i="49"/>
  <c r="L229" i="49"/>
  <c r="O229" i="49"/>
  <c r="N229" i="49"/>
  <c r="M229" i="49"/>
  <c r="U1661" i="1"/>
  <c r="S1661" i="1"/>
  <c r="T1661" i="1"/>
  <c r="H1661" i="1"/>
  <c r="J1661" i="1"/>
  <c r="U1671" i="1"/>
  <c r="J1671" i="1"/>
  <c r="T1671" i="1"/>
  <c r="S1671" i="1"/>
  <c r="H1671" i="1"/>
  <c r="O3095" i="23"/>
  <c r="Q1270" i="23"/>
  <c r="N3400" i="23"/>
  <c r="M1113" i="23"/>
  <c r="T1270" i="23"/>
  <c r="A641" i="23"/>
  <c r="N641" i="23"/>
  <c r="L641" i="23"/>
  <c r="M641" i="23"/>
  <c r="O641" i="23"/>
  <c r="L652" i="23"/>
  <c r="O652" i="23"/>
  <c r="N652" i="23"/>
  <c r="M652" i="23"/>
  <c r="N1490" i="23"/>
  <c r="L1490" i="23"/>
  <c r="M1490" i="23"/>
  <c r="O1490" i="23"/>
  <c r="A1490" i="23"/>
  <c r="O1493" i="23"/>
  <c r="M1493" i="23"/>
  <c r="L1493" i="23"/>
  <c r="A1493" i="23"/>
  <c r="N1493" i="23"/>
  <c r="A1489" i="23"/>
  <c r="O1489" i="23"/>
  <c r="M1489" i="23"/>
  <c r="L1489" i="23"/>
  <c r="N1489" i="23"/>
  <c r="L1498" i="23"/>
  <c r="O1498" i="23"/>
  <c r="M1498" i="23"/>
  <c r="N1498" i="23"/>
  <c r="A1498" i="23"/>
  <c r="M1448" i="23"/>
  <c r="G1447" i="23"/>
  <c r="O1448" i="23"/>
  <c r="L1448" i="23"/>
  <c r="G1445" i="23"/>
  <c r="N1448" i="23"/>
  <c r="G1446" i="23"/>
  <c r="A1448" i="23"/>
  <c r="O1460" i="23"/>
  <c r="A1460" i="23"/>
  <c r="M1460" i="23"/>
  <c r="L1460" i="23"/>
  <c r="N1460" i="23"/>
  <c r="M1500" i="23"/>
  <c r="O1500" i="23"/>
  <c r="L1500" i="23"/>
  <c r="A1500" i="23"/>
  <c r="N1500" i="23"/>
  <c r="L1503" i="23"/>
  <c r="A1503" i="23"/>
  <c r="O1503" i="23"/>
  <c r="M1503" i="23"/>
  <c r="N1503" i="23"/>
  <c r="N1497" i="23"/>
  <c r="M1497" i="23"/>
  <c r="L1497" i="23"/>
  <c r="A1497" i="23"/>
  <c r="O1497" i="23"/>
  <c r="L3095" i="23"/>
  <c r="A1483" i="23"/>
  <c r="N1483" i="23"/>
  <c r="L1483" i="23"/>
  <c r="M1483" i="23"/>
  <c r="O1483" i="23"/>
  <c r="N1170" i="23"/>
  <c r="M1170" i="23"/>
  <c r="A1170" i="23"/>
  <c r="O1170" i="23"/>
  <c r="L1170" i="23"/>
  <c r="L1458" i="23"/>
  <c r="A1458" i="23"/>
  <c r="O1458" i="23"/>
  <c r="N1458" i="23"/>
  <c r="M1458" i="23"/>
  <c r="N1488" i="23"/>
  <c r="O1488" i="23"/>
  <c r="M1488" i="23"/>
  <c r="A1488" i="23"/>
  <c r="L1488" i="23"/>
  <c r="N1496" i="23"/>
  <c r="A1496" i="23"/>
  <c r="M1496" i="23"/>
  <c r="L1496" i="23"/>
  <c r="O1496" i="23"/>
  <c r="O1499" i="23"/>
  <c r="M1499" i="23"/>
  <c r="N1499" i="23"/>
  <c r="L1499" i="23"/>
  <c r="A1499" i="23"/>
  <c r="A1502" i="23"/>
  <c r="N1502" i="23"/>
  <c r="O1502" i="23"/>
  <c r="M1502" i="23"/>
  <c r="L1502" i="23"/>
  <c r="A1495" i="23"/>
  <c r="N1495" i="23"/>
  <c r="L1495" i="23"/>
  <c r="O1495" i="23"/>
  <c r="O1487" i="23"/>
  <c r="L1487" i="23"/>
  <c r="M1487" i="23"/>
  <c r="A1487" i="23"/>
  <c r="N1487" i="23"/>
  <c r="M1486" i="23"/>
  <c r="L1486" i="23"/>
  <c r="G1504" i="23"/>
  <c r="O1486" i="23"/>
  <c r="N1486" i="23"/>
  <c r="A1486" i="23"/>
  <c r="O1501" i="23"/>
  <c r="A1501" i="23"/>
  <c r="M1501" i="23"/>
  <c r="L1501" i="23"/>
  <c r="N1501" i="23"/>
  <c r="M3400" i="23"/>
  <c r="L1113" i="23"/>
  <c r="N1113" i="23"/>
  <c r="L288" i="23"/>
  <c r="O288" i="23"/>
  <c r="A288" i="23"/>
  <c r="M288" i="23"/>
  <c r="N288" i="23"/>
  <c r="N285" i="23"/>
  <c r="O285" i="23"/>
  <c r="M285" i="23"/>
  <c r="L285" i="23"/>
  <c r="A285" i="23"/>
  <c r="A841" i="23"/>
  <c r="L841" i="23"/>
  <c r="N841" i="23"/>
  <c r="O841" i="23"/>
  <c r="M841" i="23"/>
  <c r="N840" i="23"/>
  <c r="A840" i="23"/>
  <c r="O840" i="23"/>
  <c r="L840" i="23"/>
  <c r="M840" i="23"/>
  <c r="O799" i="23"/>
  <c r="L799" i="23"/>
  <c r="N799" i="23"/>
  <c r="M799" i="23"/>
  <c r="O241" i="23"/>
  <c r="N241" i="23"/>
  <c r="L241" i="23"/>
  <c r="M241" i="23"/>
  <c r="A241" i="23"/>
  <c r="O254" i="23"/>
  <c r="N254" i="23"/>
  <c r="G259" i="23"/>
  <c r="G256" i="23"/>
  <c r="A254" i="23"/>
  <c r="A255" i="23" s="1"/>
  <c r="L254" i="23"/>
  <c r="M254" i="23"/>
  <c r="L2801" i="23"/>
  <c r="O237" i="23"/>
  <c r="L237" i="23"/>
  <c r="A237" i="23"/>
  <c r="N237" i="23"/>
  <c r="A821" i="23"/>
  <c r="L821" i="23"/>
  <c r="M821" i="23"/>
  <c r="O821" i="23"/>
  <c r="N821" i="23"/>
  <c r="M284" i="23"/>
  <c r="N284" i="23"/>
  <c r="L284" i="23"/>
  <c r="O284" i="23"/>
  <c r="A284" i="23"/>
  <c r="N273" i="23"/>
  <c r="M273" i="23"/>
  <c r="O273" i="23"/>
  <c r="A273" i="23"/>
  <c r="L273" i="23"/>
  <c r="A842" i="23"/>
  <c r="L842" i="23"/>
  <c r="N842" i="23"/>
  <c r="M842" i="23"/>
  <c r="O842" i="23"/>
  <c r="N836" i="23"/>
  <c r="G847" i="23"/>
  <c r="O836" i="23"/>
  <c r="L836" i="23"/>
  <c r="M836" i="23"/>
  <c r="O801" i="23"/>
  <c r="N801" i="23"/>
  <c r="M801" i="23"/>
  <c r="L801" i="23"/>
  <c r="N802" i="23"/>
  <c r="O802" i="23"/>
  <c r="M802" i="23"/>
  <c r="L802" i="23"/>
  <c r="O234" i="23"/>
  <c r="N234" i="23"/>
  <c r="M234" i="23"/>
  <c r="L234" i="23"/>
  <c r="G235" i="23"/>
  <c r="A234" i="23"/>
  <c r="A240" i="23"/>
  <c r="O240" i="23"/>
  <c r="M240" i="23"/>
  <c r="N240" i="23"/>
  <c r="L240" i="23"/>
  <c r="N668" i="23"/>
  <c r="G224" i="23"/>
  <c r="N223" i="23"/>
  <c r="O223" i="23"/>
  <c r="L223" i="23"/>
  <c r="G225" i="23"/>
  <c r="M223" i="23"/>
  <c r="A223" i="23"/>
  <c r="G238" i="23"/>
  <c r="M214" i="23"/>
  <c r="A214" i="23"/>
  <c r="N214" i="23"/>
  <c r="O214" i="23"/>
  <c r="L214" i="23"/>
  <c r="O271" i="23"/>
  <c r="A271" i="23"/>
  <c r="M271" i="23"/>
  <c r="N271" i="23"/>
  <c r="L271" i="23"/>
  <c r="N287" i="23"/>
  <c r="L287" i="23"/>
  <c r="M287" i="23"/>
  <c r="O287" i="23"/>
  <c r="A287" i="23"/>
  <c r="O289" i="23"/>
  <c r="N289" i="23"/>
  <c r="L289" i="23"/>
  <c r="M289" i="23"/>
  <c r="A289" i="23"/>
  <c r="M272" i="23"/>
  <c r="A272" i="23"/>
  <c r="L272" i="23"/>
  <c r="N272" i="23"/>
  <c r="O272" i="23"/>
  <c r="L837" i="23"/>
  <c r="O837" i="23"/>
  <c r="M837" i="23"/>
  <c r="N837" i="23"/>
  <c r="M803" i="23"/>
  <c r="O803" i="23"/>
  <c r="N803" i="23"/>
  <c r="L803" i="23"/>
  <c r="O800" i="23"/>
  <c r="M800" i="23"/>
  <c r="N800" i="23"/>
  <c r="L800" i="23"/>
  <c r="L396" i="23"/>
  <c r="O396" i="23"/>
  <c r="A396" i="23"/>
  <c r="M396" i="23"/>
  <c r="N396" i="23"/>
  <c r="O293" i="23"/>
  <c r="M293" i="23"/>
  <c r="A293" i="23"/>
  <c r="N293" i="23"/>
  <c r="L293" i="23"/>
  <c r="C226" i="23"/>
  <c r="C232" i="23" s="1"/>
  <c r="C242" i="23" s="1"/>
  <c r="C254" i="23" s="1"/>
  <c r="G228" i="23"/>
  <c r="N226" i="23"/>
  <c r="G229" i="23"/>
  <c r="L226" i="23"/>
  <c r="G231" i="23"/>
  <c r="O226" i="23"/>
  <c r="M226" i="23"/>
  <c r="A226" i="23"/>
  <c r="A227" i="23" s="1"/>
  <c r="G230" i="23"/>
  <c r="C213" i="23"/>
  <c r="A213" i="23"/>
  <c r="M213" i="23"/>
  <c r="N213" i="23"/>
  <c r="O213" i="23"/>
  <c r="L213" i="23"/>
  <c r="G389" i="23"/>
  <c r="A388" i="23"/>
  <c r="M388" i="23"/>
  <c r="N388" i="23"/>
  <c r="O388" i="23"/>
  <c r="L388" i="23"/>
  <c r="A2297" i="23"/>
  <c r="N2297" i="23"/>
  <c r="L2297" i="23"/>
  <c r="N290" i="23"/>
  <c r="O290" i="23"/>
  <c r="M290" i="23"/>
  <c r="A290" i="23"/>
  <c r="L290" i="23"/>
  <c r="N286" i="23"/>
  <c r="A286" i="23"/>
  <c r="O286" i="23"/>
  <c r="M286" i="23"/>
  <c r="L286" i="23"/>
  <c r="L280" i="23"/>
  <c r="N280" i="23"/>
  <c r="G282" i="23"/>
  <c r="A280" i="23"/>
  <c r="M280" i="23"/>
  <c r="O280" i="23"/>
  <c r="A279" i="23"/>
  <c r="G281" i="23"/>
  <c r="N279" i="23"/>
  <c r="O279" i="23"/>
  <c r="L279" i="23"/>
  <c r="M279" i="23"/>
  <c r="L397" i="23"/>
  <c r="M397" i="23"/>
  <c r="A397" i="23"/>
  <c r="O397" i="23"/>
  <c r="N397" i="23"/>
  <c r="A239" i="23"/>
  <c r="L239" i="23"/>
  <c r="N239" i="23"/>
  <c r="O239" i="23"/>
  <c r="M239" i="23"/>
  <c r="N236" i="23"/>
  <c r="A236" i="23"/>
  <c r="O236" i="23"/>
  <c r="L236" i="23"/>
  <c r="M242" i="23"/>
  <c r="A242" i="23"/>
  <c r="A243" i="23" s="1"/>
  <c r="G247" i="23"/>
  <c r="L242" i="23"/>
  <c r="N242" i="23"/>
  <c r="G246" i="23"/>
  <c r="O242" i="23"/>
  <c r="G245" i="23"/>
  <c r="L2419" i="23"/>
  <c r="N2419" i="23"/>
  <c r="M2419" i="23"/>
  <c r="O2419" i="23"/>
  <c r="G2421" i="23"/>
  <c r="A2419" i="23"/>
  <c r="G2420" i="23"/>
  <c r="M964" i="23"/>
  <c r="N964" i="23"/>
  <c r="O964" i="23"/>
  <c r="L964" i="23"/>
  <c r="A964" i="23"/>
  <c r="A966" i="23" s="1"/>
  <c r="L3146" i="23"/>
  <c r="N3146" i="23"/>
  <c r="A3146" i="23"/>
  <c r="O3146" i="23"/>
  <c r="M3146" i="23"/>
  <c r="L3470" i="23"/>
  <c r="A3470" i="23"/>
  <c r="M3470" i="23"/>
  <c r="O3470" i="23"/>
  <c r="N3470" i="23"/>
  <c r="A2915" i="23"/>
  <c r="M2915" i="23"/>
  <c r="N2915" i="23"/>
  <c r="M2923" i="23"/>
  <c r="N1816" i="23"/>
  <c r="O1816" i="23"/>
  <c r="M1816" i="23"/>
  <c r="L1816" i="23"/>
  <c r="L3204" i="23"/>
  <c r="M3204" i="23"/>
  <c r="O3204" i="23"/>
  <c r="N3204" i="23"/>
  <c r="A3204" i="23"/>
  <c r="N3197" i="23"/>
  <c r="M3197" i="23"/>
  <c r="O3197" i="23"/>
  <c r="L3197" i="23"/>
  <c r="A3197" i="23"/>
  <c r="O3203" i="23"/>
  <c r="A3203" i="23"/>
  <c r="L3203" i="23"/>
  <c r="M3203" i="23"/>
  <c r="N3203" i="23"/>
  <c r="N1382" i="23"/>
  <c r="M1382" i="23"/>
  <c r="A1382" i="23"/>
  <c r="L1382" i="23"/>
  <c r="O1382" i="23"/>
  <c r="O3410" i="23"/>
  <c r="A3410" i="23"/>
  <c r="N3410" i="23"/>
  <c r="L3410" i="23"/>
  <c r="M3410" i="23"/>
  <c r="L3099" i="23"/>
  <c r="O3099" i="23"/>
  <c r="M3099" i="23"/>
  <c r="N3099" i="23"/>
  <c r="A3099" i="23"/>
  <c r="A2899" i="23"/>
  <c r="L968" i="23"/>
  <c r="A968" i="23"/>
  <c r="N968" i="23"/>
  <c r="M968" i="23"/>
  <c r="O968" i="23"/>
  <c r="N969" i="23"/>
  <c r="A969" i="23"/>
  <c r="M969" i="23"/>
  <c r="L969" i="23"/>
  <c r="O969" i="23"/>
  <c r="A3212" i="23"/>
  <c r="N3212" i="23"/>
  <c r="L3212" i="23"/>
  <c r="O3212" i="23"/>
  <c r="M3212" i="23"/>
  <c r="M3223" i="23"/>
  <c r="O3223" i="23"/>
  <c r="A3223" i="23"/>
  <c r="N3223" i="23"/>
  <c r="L3223" i="23"/>
  <c r="O3211" i="23"/>
  <c r="L3211" i="23"/>
  <c r="A3211" i="23"/>
  <c r="M3211" i="23"/>
  <c r="N3211" i="23"/>
  <c r="N3208" i="23"/>
  <c r="M3208" i="23"/>
  <c r="O3208" i="23"/>
  <c r="A3208" i="23"/>
  <c r="L3208" i="23"/>
  <c r="N3226" i="23"/>
  <c r="A3226" i="23"/>
  <c r="M3226" i="23"/>
  <c r="O3226" i="23"/>
  <c r="L3226" i="23"/>
  <c r="M3423" i="23"/>
  <c r="O3423" i="23"/>
  <c r="L3423" i="23"/>
  <c r="A3423" i="23"/>
  <c r="N3423" i="23"/>
  <c r="M3430" i="23"/>
  <c r="O3430" i="23"/>
  <c r="N3430" i="23"/>
  <c r="A3430" i="23"/>
  <c r="L3430" i="23"/>
  <c r="M2954" i="23"/>
  <c r="A2954" i="23"/>
  <c r="L2954" i="23"/>
  <c r="O2954" i="23"/>
  <c r="N2954" i="23"/>
  <c r="O2958" i="23"/>
  <c r="L2958" i="23"/>
  <c r="A2958" i="23"/>
  <c r="M2958" i="23"/>
  <c r="N2958" i="23"/>
  <c r="M988" i="23"/>
  <c r="N990" i="23"/>
  <c r="O990" i="23"/>
  <c r="L990" i="23"/>
  <c r="M990" i="23"/>
  <c r="G991" i="23"/>
  <c r="A991" i="23" s="1"/>
  <c r="L985" i="23"/>
  <c r="O985" i="23"/>
  <c r="N985" i="23"/>
  <c r="M985" i="23"/>
  <c r="O3376" i="23"/>
  <c r="N3376" i="23"/>
  <c r="L3376" i="23"/>
  <c r="A3376" i="23"/>
  <c r="M3376" i="23"/>
  <c r="M3370" i="23"/>
  <c r="O3370" i="23"/>
  <c r="A3370" i="23"/>
  <c r="L3370" i="23"/>
  <c r="N3370" i="23"/>
  <c r="M3373" i="23"/>
  <c r="A3373" i="23"/>
  <c r="L3373" i="23"/>
  <c r="O3373" i="23"/>
  <c r="N3373" i="23"/>
  <c r="L3361" i="23"/>
  <c r="N3361" i="23"/>
  <c r="M3361" i="23"/>
  <c r="A3361" i="23"/>
  <c r="O3361" i="23"/>
  <c r="M3440" i="23"/>
  <c r="N3440" i="23"/>
  <c r="L3440" i="23"/>
  <c r="A3440" i="23"/>
  <c r="O3440" i="23"/>
  <c r="N3095" i="23"/>
  <c r="A2422" i="23"/>
  <c r="O2422" i="23"/>
  <c r="M2422" i="23"/>
  <c r="N2422" i="23"/>
  <c r="L2422" i="23"/>
  <c r="M2920" i="23"/>
  <c r="L2920" i="23"/>
  <c r="N2920" i="23"/>
  <c r="O2920" i="23"/>
  <c r="A2920" i="23"/>
  <c r="N3193" i="23"/>
  <c r="G3205" i="23"/>
  <c r="O3193" i="23"/>
  <c r="L3193" i="23"/>
  <c r="M3193" i="23"/>
  <c r="A3193" i="23"/>
  <c r="O3196" i="23"/>
  <c r="A3196" i="23"/>
  <c r="L3196" i="23"/>
  <c r="M3196" i="23"/>
  <c r="N3196" i="23"/>
  <c r="O791" i="23"/>
  <c r="N791" i="23"/>
  <c r="M791" i="23"/>
  <c r="A2892" i="23"/>
  <c r="O2892" i="23"/>
  <c r="M2892" i="23"/>
  <c r="N2892" i="23"/>
  <c r="G2900" i="23"/>
  <c r="L2892" i="23"/>
  <c r="N970" i="23"/>
  <c r="L970" i="23"/>
  <c r="M970" i="23"/>
  <c r="O970" i="23"/>
  <c r="A970" i="23"/>
  <c r="A976" i="23" s="1"/>
  <c r="A977" i="23" s="1"/>
  <c r="N3209" i="23"/>
  <c r="O3209" i="23"/>
  <c r="M3209" i="23"/>
  <c r="L3209" i="23"/>
  <c r="G3210" i="23"/>
  <c r="A3209" i="23"/>
  <c r="L3222" i="23"/>
  <c r="O3222" i="23"/>
  <c r="N3222" i="23"/>
  <c r="M3222" i="23"/>
  <c r="A3222" i="23"/>
  <c r="L3227" i="23"/>
  <c r="N3227" i="23"/>
  <c r="O3227" i="23"/>
  <c r="A3227" i="23"/>
  <c r="M3227" i="23"/>
  <c r="L3224" i="23"/>
  <c r="M3224" i="23"/>
  <c r="G3215" i="23"/>
  <c r="N3224" i="23"/>
  <c r="A3224" i="23"/>
  <c r="O3224" i="23"/>
  <c r="O1557" i="23"/>
  <c r="N1557" i="23"/>
  <c r="A1557" i="23"/>
  <c r="L1557" i="23"/>
  <c r="M1557" i="23"/>
  <c r="O3425" i="23"/>
  <c r="N3425" i="23"/>
  <c r="M3425" i="23"/>
  <c r="A3425" i="23"/>
  <c r="L3425" i="23"/>
  <c r="G3426" i="23"/>
  <c r="A3427" i="23"/>
  <c r="N3427" i="23"/>
  <c r="L3427" i="23"/>
  <c r="A3431" i="23"/>
  <c r="N3431" i="23"/>
  <c r="M3431" i="23"/>
  <c r="L3431" i="23"/>
  <c r="O3431" i="23"/>
  <c r="M2957" i="23"/>
  <c r="A2957" i="23"/>
  <c r="N2957" i="23"/>
  <c r="L2957" i="23"/>
  <c r="O2957" i="23"/>
  <c r="N2956" i="23"/>
  <c r="L2956" i="23"/>
  <c r="A2956" i="23"/>
  <c r="M2956" i="23"/>
  <c r="O2956" i="23"/>
  <c r="M2955" i="23"/>
  <c r="N2955" i="23"/>
  <c r="L2955" i="23"/>
  <c r="O2955" i="23"/>
  <c r="A2955" i="23"/>
  <c r="O1594" i="23"/>
  <c r="A1594" i="23"/>
  <c r="N1594" i="23"/>
  <c r="M1594" i="23"/>
  <c r="L1594" i="23"/>
  <c r="M978" i="23"/>
  <c r="O992" i="23"/>
  <c r="L992" i="23"/>
  <c r="N992" i="23"/>
  <c r="M992" i="23"/>
  <c r="M986" i="23"/>
  <c r="L986" i="23"/>
  <c r="N986" i="23"/>
  <c r="O986" i="23"/>
  <c r="A3367" i="23"/>
  <c r="L3367" i="23"/>
  <c r="N3367" i="23"/>
  <c r="O3367" i="23"/>
  <c r="M3367" i="23"/>
  <c r="A3362" i="23"/>
  <c r="M3362" i="23"/>
  <c r="O3362" i="23"/>
  <c r="G3363" i="23"/>
  <c r="N3362" i="23"/>
  <c r="L3362" i="23"/>
  <c r="L3375" i="23"/>
  <c r="N3375" i="23"/>
  <c r="A3375" i="23"/>
  <c r="M3375" i="23"/>
  <c r="O3375" i="23"/>
  <c r="A3371" i="23"/>
  <c r="M3371" i="23"/>
  <c r="O3371" i="23"/>
  <c r="N3371" i="23"/>
  <c r="L3371" i="23"/>
  <c r="A3366" i="23"/>
  <c r="O3366" i="23"/>
  <c r="M3366" i="23"/>
  <c r="L3366" i="23"/>
  <c r="N3366" i="23"/>
  <c r="L2515" i="23"/>
  <c r="O2515" i="23"/>
  <c r="M2515" i="23"/>
  <c r="A2515" i="23"/>
  <c r="A3437" i="23"/>
  <c r="L3437" i="23"/>
  <c r="A3439" i="23"/>
  <c r="N3439" i="23"/>
  <c r="L3439" i="23"/>
  <c r="O3400" i="23"/>
  <c r="N3247" i="23"/>
  <c r="M2801" i="23"/>
  <c r="O963" i="23"/>
  <c r="M963" i="23"/>
  <c r="L963" i="23"/>
  <c r="A963" i="23"/>
  <c r="N963" i="23"/>
  <c r="M3503" i="23"/>
  <c r="A3503" i="23"/>
  <c r="O3503" i="23"/>
  <c r="N3503" i="23"/>
  <c r="L3503" i="23"/>
  <c r="L2919" i="23"/>
  <c r="O2921" i="23"/>
  <c r="L2921" i="23"/>
  <c r="M3201" i="23"/>
  <c r="N3201" i="23"/>
  <c r="L3201" i="23"/>
  <c r="O3201" i="23"/>
  <c r="A3201" i="23"/>
  <c r="M1599" i="23"/>
  <c r="N1599" i="23"/>
  <c r="A1599" i="23"/>
  <c r="L1599" i="23"/>
  <c r="O1599" i="23"/>
  <c r="G1600" i="23"/>
  <c r="L1381" i="23"/>
  <c r="N3411" i="23"/>
  <c r="A3411" i="23"/>
  <c r="M3411" i="23"/>
  <c r="O3411" i="23"/>
  <c r="L3411" i="23"/>
  <c r="M3187" i="23"/>
  <c r="O3187" i="23"/>
  <c r="L3187" i="23"/>
  <c r="N3187" i="23"/>
  <c r="A3187" i="23"/>
  <c r="L1601" i="23"/>
  <c r="A1601" i="23"/>
  <c r="N1601" i="23"/>
  <c r="O1601" i="23"/>
  <c r="M1601" i="23"/>
  <c r="O3228" i="23"/>
  <c r="L3228" i="23"/>
  <c r="M3228" i="23"/>
  <c r="N3228" i="23"/>
  <c r="A3228" i="23"/>
  <c r="A3217" i="23"/>
  <c r="O3217" i="23"/>
  <c r="L3217" i="23"/>
  <c r="N3217" i="23"/>
  <c r="M3217" i="23"/>
  <c r="A3220" i="23"/>
  <c r="L3220" i="23"/>
  <c r="O3220" i="23"/>
  <c r="N3220" i="23"/>
  <c r="M3220" i="23"/>
  <c r="N3216" i="23"/>
  <c r="O3216" i="23"/>
  <c r="A3216" i="23"/>
  <c r="M3216" i="23"/>
  <c r="L3216" i="23"/>
  <c r="N3214" i="23"/>
  <c r="L3214" i="23"/>
  <c r="O3214" i="23"/>
  <c r="A3214" i="23"/>
  <c r="M3214" i="23"/>
  <c r="A3469" i="23"/>
  <c r="M3469" i="23"/>
  <c r="O3469" i="23"/>
  <c r="N3469" i="23"/>
  <c r="L3469" i="23"/>
  <c r="A3434" i="23"/>
  <c r="N3434" i="23"/>
  <c r="L3434" i="23"/>
  <c r="O2953" i="23"/>
  <c r="L2953" i="23"/>
  <c r="N2953" i="23"/>
  <c r="A2953" i="23"/>
  <c r="M2953" i="23"/>
  <c r="O987" i="23"/>
  <c r="M987" i="23"/>
  <c r="L987" i="23"/>
  <c r="N987" i="23"/>
  <c r="L979" i="23"/>
  <c r="L3365" i="23"/>
  <c r="A3365" i="23"/>
  <c r="O3365" i="23"/>
  <c r="N3365" i="23"/>
  <c r="M3365" i="23"/>
  <c r="M3369" i="23"/>
  <c r="O3369" i="23"/>
  <c r="L3369" i="23"/>
  <c r="N3369" i="23"/>
  <c r="A3369" i="23"/>
  <c r="A3374" i="23"/>
  <c r="O3374" i="23"/>
  <c r="L3374" i="23"/>
  <c r="M3374" i="23"/>
  <c r="N3374" i="23"/>
  <c r="A3379" i="23"/>
  <c r="N3379" i="23"/>
  <c r="M3379" i="23"/>
  <c r="L3379" i="23"/>
  <c r="O3379" i="23"/>
  <c r="M3378" i="23"/>
  <c r="N3378" i="23"/>
  <c r="O3378" i="23"/>
  <c r="A3378" i="23"/>
  <c r="L3378" i="23"/>
  <c r="A3438" i="23"/>
  <c r="L3438" i="23"/>
  <c r="M668" i="23"/>
  <c r="L668" i="23"/>
  <c r="A962" i="23"/>
  <c r="C1455" i="23"/>
  <c r="C1461" i="23"/>
  <c r="C1474" i="23" s="1"/>
  <c r="C1484" i="23" s="1"/>
  <c r="G2918" i="23"/>
  <c r="N2917" i="23"/>
  <c r="M3198" i="23"/>
  <c r="L3198" i="23"/>
  <c r="O3198" i="23"/>
  <c r="N3198" i="23"/>
  <c r="A3198" i="23"/>
  <c r="G3195" i="23"/>
  <c r="M3194" i="23"/>
  <c r="A3194" i="23"/>
  <c r="N3194" i="23"/>
  <c r="L3194" i="23"/>
  <c r="O3194" i="23"/>
  <c r="G3200" i="23"/>
  <c r="A3199" i="23"/>
  <c r="M3199" i="23"/>
  <c r="L3199" i="23"/>
  <c r="O3199" i="23"/>
  <c r="N3199" i="23"/>
  <c r="O959" i="23"/>
  <c r="N959" i="23"/>
  <c r="M959" i="23"/>
  <c r="A959" i="23"/>
  <c r="L959" i="23"/>
  <c r="M2276" i="23"/>
  <c r="A2276" i="23"/>
  <c r="N2276" i="23"/>
  <c r="L2276" i="23"/>
  <c r="O2276" i="23"/>
  <c r="O3100" i="23"/>
  <c r="A3100" i="23"/>
  <c r="M3100" i="23"/>
  <c r="N3100" i="23"/>
  <c r="L3100" i="23"/>
  <c r="N2362" i="23"/>
  <c r="O2362" i="23"/>
  <c r="G2363" i="23"/>
  <c r="M2362" i="23"/>
  <c r="L2362" i="23"/>
  <c r="A2362" i="23"/>
  <c r="M3539" i="23"/>
  <c r="N3539" i="23"/>
  <c r="A3539" i="23"/>
  <c r="O3539" i="23"/>
  <c r="L3539" i="23"/>
  <c r="M967" i="23"/>
  <c r="O967" i="23"/>
  <c r="L967" i="23"/>
  <c r="N967" i="23"/>
  <c r="G975" i="23"/>
  <c r="A967" i="23"/>
  <c r="N3500" i="23"/>
  <c r="A3500" i="23"/>
  <c r="M3500" i="23"/>
  <c r="L3500" i="23"/>
  <c r="O3500" i="23"/>
  <c r="L2690" i="23"/>
  <c r="O2690" i="23"/>
  <c r="A2690" i="23"/>
  <c r="M2690" i="23"/>
  <c r="N2690" i="23"/>
  <c r="O3221" i="23"/>
  <c r="L3221" i="23"/>
  <c r="A3221" i="23"/>
  <c r="N3221" i="23"/>
  <c r="M3221" i="23"/>
  <c r="L3219" i="23"/>
  <c r="N3219" i="23"/>
  <c r="A3219" i="23"/>
  <c r="O3219" i="23"/>
  <c r="M3219" i="23"/>
  <c r="O3213" i="23"/>
  <c r="N3213" i="23"/>
  <c r="A3213" i="23"/>
  <c r="M3213" i="23"/>
  <c r="L3213" i="23"/>
  <c r="O3225" i="23"/>
  <c r="A3225" i="23"/>
  <c r="M3225" i="23"/>
  <c r="N3225" i="23"/>
  <c r="L3225" i="23"/>
  <c r="O3218" i="23"/>
  <c r="N3218" i="23"/>
  <c r="L3218" i="23"/>
  <c r="M3218" i="23"/>
  <c r="A3218" i="23"/>
  <c r="A1558" i="23"/>
  <c r="M1558" i="23"/>
  <c r="L1558" i="23"/>
  <c r="O1558" i="23"/>
  <c r="N1558" i="23"/>
  <c r="O3464" i="23"/>
  <c r="M3464" i="23"/>
  <c r="L3464" i="23"/>
  <c r="N3464" i="23"/>
  <c r="A3464" i="23"/>
  <c r="M3424" i="23"/>
  <c r="O3424" i="23"/>
  <c r="L3424" i="23"/>
  <c r="N3424" i="23"/>
  <c r="A3424" i="23"/>
  <c r="N3432" i="23"/>
  <c r="O3432" i="23"/>
  <c r="M3432" i="23"/>
  <c r="A3432" i="23"/>
  <c r="L3432" i="23"/>
  <c r="O3297" i="23"/>
  <c r="M2952" i="23"/>
  <c r="N2952" i="23"/>
  <c r="L2952" i="23"/>
  <c r="O2952" i="23"/>
  <c r="A2952" i="23"/>
  <c r="L3189" i="23"/>
  <c r="N3189" i="23"/>
  <c r="A3189" i="23"/>
  <c r="M3189" i="23"/>
  <c r="O3189" i="23"/>
  <c r="A3190" i="23"/>
  <c r="O3190" i="23"/>
  <c r="M3190" i="23"/>
  <c r="L3190" i="23"/>
  <c r="N3190" i="23"/>
  <c r="M980" i="23"/>
  <c r="N980" i="23"/>
  <c r="O980" i="23"/>
  <c r="L980" i="23"/>
  <c r="L982" i="23"/>
  <c r="N982" i="23"/>
  <c r="O982" i="23"/>
  <c r="M982" i="23"/>
  <c r="G984" i="23"/>
  <c r="A984" i="23" s="1"/>
  <c r="G983" i="23"/>
  <c r="A983" i="23" s="1"/>
  <c r="M981" i="23"/>
  <c r="O3380" i="23"/>
  <c r="N3380" i="23"/>
  <c r="L3380" i="23"/>
  <c r="M3380" i="23"/>
  <c r="A3380" i="23"/>
  <c r="L3377" i="23"/>
  <c r="O3377" i="23"/>
  <c r="M3377" i="23"/>
  <c r="G3368" i="23"/>
  <c r="N3377" i="23"/>
  <c r="A3377" i="23"/>
  <c r="L3381" i="23"/>
  <c r="N3381" i="23"/>
  <c r="A3381" i="23"/>
  <c r="O3381" i="23"/>
  <c r="M3381" i="23"/>
  <c r="M3372" i="23"/>
  <c r="N3372" i="23"/>
  <c r="O3372" i="23"/>
  <c r="A3372" i="23"/>
  <c r="L3372" i="23"/>
  <c r="O3364" i="23"/>
  <c r="A3364" i="23"/>
  <c r="N3364" i="23"/>
  <c r="L3364" i="23"/>
  <c r="M3364" i="23"/>
  <c r="N1548" i="23"/>
  <c r="L1548" i="23"/>
  <c r="M1548" i="23"/>
  <c r="O1548" i="23"/>
  <c r="A1548" i="23"/>
  <c r="A3441" i="23"/>
  <c r="L3441" i="23"/>
  <c r="M3441" i="23"/>
  <c r="O3441" i="23"/>
  <c r="N3441" i="23"/>
  <c r="A701" i="23"/>
  <c r="M701" i="23"/>
  <c r="L701" i="23"/>
  <c r="O701" i="23"/>
  <c r="N701" i="23"/>
  <c r="M719" i="23"/>
  <c r="A719" i="23"/>
  <c r="N719" i="23"/>
  <c r="L719" i="23"/>
  <c r="O719" i="23"/>
  <c r="A1118" i="23"/>
  <c r="N1118" i="23"/>
  <c r="O1118" i="23"/>
  <c r="L1118" i="23"/>
  <c r="M1118" i="23"/>
  <c r="M1527" i="23"/>
  <c r="O1527" i="23"/>
  <c r="L1527" i="23"/>
  <c r="A1527" i="23"/>
  <c r="N1527" i="23"/>
  <c r="O586" i="49"/>
  <c r="M586" i="49"/>
  <c r="A586" i="49"/>
  <c r="L586" i="49"/>
  <c r="N586" i="49"/>
  <c r="G595" i="49"/>
  <c r="A3515" i="23"/>
  <c r="M3515" i="23"/>
  <c r="L3515" i="23"/>
  <c r="N3515" i="23"/>
  <c r="O3515" i="23"/>
  <c r="O693" i="23"/>
  <c r="A693" i="23"/>
  <c r="L693" i="23"/>
  <c r="N693" i="23"/>
  <c r="M693" i="23"/>
  <c r="G689" i="23"/>
  <c r="L688" i="23"/>
  <c r="N688" i="23"/>
  <c r="M688" i="23"/>
  <c r="A688" i="23"/>
  <c r="O688" i="23"/>
  <c r="O1327" i="23"/>
  <c r="N1327" i="23"/>
  <c r="L142" i="23"/>
  <c r="A142" i="23"/>
  <c r="N142" i="23"/>
  <c r="M142" i="23"/>
  <c r="O142" i="23"/>
  <c r="L143" i="23"/>
  <c r="N143" i="23"/>
  <c r="A143" i="23"/>
  <c r="M143" i="23"/>
  <c r="O143" i="23"/>
  <c r="A1297" i="23"/>
  <c r="N1297" i="23"/>
  <c r="M1297" i="23"/>
  <c r="L1297" i="23"/>
  <c r="O1297" i="23"/>
  <c r="L1523" i="23"/>
  <c r="A1523" i="23"/>
  <c r="M1523" i="23"/>
  <c r="O1523" i="23"/>
  <c r="N1523" i="23"/>
  <c r="A2695" i="23"/>
  <c r="N2695" i="23"/>
  <c r="G2703" i="23"/>
  <c r="M2695" i="23"/>
  <c r="O2695" i="23"/>
  <c r="L2695" i="23"/>
  <c r="L587" i="49"/>
  <c r="O587" i="49"/>
  <c r="A587" i="49"/>
  <c r="M587" i="49"/>
  <c r="N587" i="49"/>
  <c r="G596" i="49"/>
  <c r="M1209" i="23"/>
  <c r="A1209" i="23"/>
  <c r="N1209" i="23"/>
  <c r="O1209" i="23"/>
  <c r="L1209" i="23"/>
  <c r="A1281" i="23"/>
  <c r="A1249" i="23"/>
  <c r="O1249" i="23"/>
  <c r="L1249" i="23"/>
  <c r="N1249" i="23"/>
  <c r="M1249" i="23"/>
  <c r="N1532" i="23"/>
  <c r="A1532" i="23"/>
  <c r="M1532" i="23"/>
  <c r="O1532" i="23"/>
  <c r="L1532" i="23"/>
  <c r="M668" i="49"/>
  <c r="L668" i="49"/>
  <c r="N668" i="49"/>
  <c r="O668" i="49"/>
  <c r="A668" i="49"/>
  <c r="A1538" i="23"/>
  <c r="L1538" i="23"/>
  <c r="O1538" i="23"/>
  <c r="N1538" i="23"/>
  <c r="M1538" i="23"/>
  <c r="O3512" i="23"/>
  <c r="M3512" i="23"/>
  <c r="A3512" i="23"/>
  <c r="N3512" i="23"/>
  <c r="L3512" i="23"/>
  <c r="G682" i="23"/>
  <c r="O680" i="23"/>
  <c r="M680" i="23"/>
  <c r="A680" i="23"/>
  <c r="A681" i="23" s="1"/>
  <c r="L680" i="23"/>
  <c r="N680" i="23"/>
  <c r="G685" i="23"/>
  <c r="G683" i="23"/>
  <c r="G684" i="23"/>
  <c r="C680" i="23"/>
  <c r="C686" i="23" s="1"/>
  <c r="C695" i="23" s="1"/>
  <c r="C707" i="23" s="1"/>
  <c r="C712" i="23" s="1"/>
  <c r="C722" i="23" s="1"/>
  <c r="C738" i="23" s="1"/>
  <c r="O1268" i="23"/>
  <c r="N1268" i="23"/>
  <c r="M1268" i="23"/>
  <c r="A1268" i="23"/>
  <c r="L1268" i="23"/>
  <c r="G2730" i="23"/>
  <c r="A2730" i="23" s="1"/>
  <c r="L2722" i="23"/>
  <c r="M2722" i="23"/>
  <c r="N2722" i="23"/>
  <c r="O2722" i="23"/>
  <c r="O2726" i="23"/>
  <c r="M2726" i="23"/>
  <c r="N2726" i="23"/>
  <c r="L2726" i="23"/>
  <c r="O428" i="23"/>
  <c r="M428" i="23"/>
  <c r="L428" i="23"/>
  <c r="A428" i="23"/>
  <c r="O1611" i="23"/>
  <c r="N1611" i="23"/>
  <c r="L1611" i="23"/>
  <c r="M1611" i="23"/>
  <c r="A1611" i="23"/>
  <c r="A1614" i="23"/>
  <c r="O1614" i="23"/>
  <c r="M1614" i="23"/>
  <c r="L1614" i="23"/>
  <c r="G1616" i="23"/>
  <c r="N1614" i="23"/>
  <c r="L1618" i="23"/>
  <c r="A1618" i="23"/>
  <c r="N1618" i="23"/>
  <c r="O1618" i="23"/>
  <c r="M1618" i="23"/>
  <c r="L670" i="49"/>
  <c r="N670" i="49"/>
  <c r="O670" i="49"/>
  <c r="A670" i="49"/>
  <c r="M670" i="49"/>
  <c r="A673" i="49"/>
  <c r="M673" i="49"/>
  <c r="L673" i="49"/>
  <c r="N673" i="49"/>
  <c r="O673" i="49"/>
  <c r="O202" i="23"/>
  <c r="N202" i="23"/>
  <c r="M202" i="23"/>
  <c r="A202" i="23"/>
  <c r="L202" i="23"/>
  <c r="A717" i="23"/>
  <c r="N717" i="23"/>
  <c r="L717" i="23"/>
  <c r="M717" i="23"/>
  <c r="O717" i="23"/>
  <c r="A1178" i="23"/>
  <c r="L1178" i="23"/>
  <c r="G1175" i="23"/>
  <c r="M1178" i="23"/>
  <c r="G1176" i="23"/>
  <c r="N1178" i="23"/>
  <c r="G1177" i="23"/>
  <c r="O1178" i="23"/>
  <c r="M1117" i="23"/>
  <c r="O1117" i="23"/>
  <c r="N1117" i="23"/>
  <c r="A1117" i="23"/>
  <c r="L1117" i="23"/>
  <c r="L2620" i="23"/>
  <c r="M585" i="49"/>
  <c r="A585" i="49"/>
  <c r="L585" i="49"/>
  <c r="G594" i="49"/>
  <c r="O585" i="49"/>
  <c r="N585" i="49"/>
  <c r="O3514" i="23"/>
  <c r="M3514" i="23"/>
  <c r="A3514" i="23"/>
  <c r="N3514" i="23"/>
  <c r="L3514" i="23"/>
  <c r="M692" i="23"/>
  <c r="L692" i="23"/>
  <c r="N692" i="23"/>
  <c r="A692" i="23"/>
  <c r="O692" i="23"/>
  <c r="A694" i="23"/>
  <c r="O694" i="23"/>
  <c r="N694" i="23"/>
  <c r="M694" i="23"/>
  <c r="L694" i="23"/>
  <c r="N691" i="23"/>
  <c r="L691" i="23"/>
  <c r="O691" i="23"/>
  <c r="A691" i="23"/>
  <c r="M691" i="23"/>
  <c r="L1328" i="23"/>
  <c r="L2702" i="23"/>
  <c r="M2702" i="23"/>
  <c r="O2702" i="23"/>
  <c r="N2702" i="23"/>
  <c r="A2702" i="23"/>
  <c r="A1533" i="23"/>
  <c r="L1533" i="23"/>
  <c r="O1533" i="23"/>
  <c r="M1533" i="23"/>
  <c r="N1533" i="23"/>
  <c r="O1530" i="23"/>
  <c r="N1530" i="23"/>
  <c r="A1530" i="23"/>
  <c r="M1530" i="23"/>
  <c r="L1530" i="23"/>
  <c r="G1531" i="23"/>
  <c r="N1535" i="23"/>
  <c r="L1535" i="23"/>
  <c r="G1536" i="23"/>
  <c r="G1537" i="23"/>
  <c r="O1535" i="23"/>
  <c r="A1535" i="23"/>
  <c r="M1535" i="23"/>
  <c r="O677" i="23"/>
  <c r="A677" i="23"/>
  <c r="M677" i="23"/>
  <c r="L677" i="23"/>
  <c r="N677" i="23"/>
  <c r="G679" i="23"/>
  <c r="G678" i="23"/>
  <c r="A1269" i="23"/>
  <c r="G2724" i="23"/>
  <c r="A2724" i="23" s="1"/>
  <c r="O2723" i="23"/>
  <c r="M2723" i="23"/>
  <c r="N2723" i="23"/>
  <c r="L2723" i="23"/>
  <c r="N2729" i="23"/>
  <c r="O2729" i="23"/>
  <c r="L2729" i="23"/>
  <c r="M2729" i="23"/>
  <c r="G1620" i="23"/>
  <c r="A1619" i="23"/>
  <c r="M1619" i="23"/>
  <c r="O1619" i="23"/>
  <c r="N1619" i="23"/>
  <c r="L1619" i="23"/>
  <c r="N1613" i="23"/>
  <c r="M1613" i="23"/>
  <c r="G1615" i="23"/>
  <c r="O1613" i="23"/>
  <c r="L1613" i="23"/>
  <c r="A1613" i="23"/>
  <c r="O1612" i="23"/>
  <c r="N1612" i="23"/>
  <c r="A1612" i="23"/>
  <c r="L1612" i="23"/>
  <c r="M1612" i="23"/>
  <c r="L1127" i="23"/>
  <c r="O1127" i="23"/>
  <c r="N1127" i="23"/>
  <c r="M1127" i="23"/>
  <c r="A1127" i="23"/>
  <c r="G704" i="23"/>
  <c r="A698" i="23"/>
  <c r="A704" i="23" s="1"/>
  <c r="L698" i="23"/>
  <c r="N698" i="23"/>
  <c r="O698" i="23"/>
  <c r="M698" i="23"/>
  <c r="L707" i="23"/>
  <c r="O707" i="23"/>
  <c r="A707" i="23"/>
  <c r="A708" i="23" s="1"/>
  <c r="N707" i="23"/>
  <c r="M707" i="23"/>
  <c r="G709" i="23"/>
  <c r="L700" i="23"/>
  <c r="A700" i="23"/>
  <c r="N700" i="23"/>
  <c r="O700" i="23"/>
  <c r="M700" i="23"/>
  <c r="O720" i="23"/>
  <c r="M720" i="23"/>
  <c r="L720" i="23"/>
  <c r="A720" i="23"/>
  <c r="N720" i="23"/>
  <c r="A716" i="23"/>
  <c r="L716" i="23"/>
  <c r="N716" i="23"/>
  <c r="O716" i="23"/>
  <c r="M716" i="23"/>
  <c r="N1214" i="23"/>
  <c r="L1214" i="23"/>
  <c r="M1214" i="23"/>
  <c r="A1214" i="23"/>
  <c r="O1214" i="23"/>
  <c r="N1528" i="23"/>
  <c r="O1528" i="23"/>
  <c r="A1528" i="23"/>
  <c r="M1528" i="23"/>
  <c r="L1528" i="23"/>
  <c r="A588" i="49"/>
  <c r="O588" i="49"/>
  <c r="N588" i="49"/>
  <c r="L588" i="49"/>
  <c r="M588" i="49"/>
  <c r="A738" i="23"/>
  <c r="A739" i="23" s="1"/>
  <c r="M738" i="23"/>
  <c r="O738" i="23"/>
  <c r="N738" i="23"/>
  <c r="L738" i="23"/>
  <c r="Q1256" i="23"/>
  <c r="O144" i="23"/>
  <c r="M144" i="23"/>
  <c r="L144" i="23"/>
  <c r="N144" i="23"/>
  <c r="A144" i="23"/>
  <c r="L1278" i="23"/>
  <c r="A1278" i="23"/>
  <c r="O1248" i="23"/>
  <c r="N1248" i="23"/>
  <c r="M1248" i="23"/>
  <c r="A1248" i="23"/>
  <c r="L1248" i="23"/>
  <c r="O427" i="23"/>
  <c r="N427" i="23"/>
  <c r="L427" i="23"/>
  <c r="A427" i="23"/>
  <c r="M427" i="23"/>
  <c r="M1253" i="23"/>
  <c r="O1253" i="23"/>
  <c r="L671" i="49"/>
  <c r="A671" i="49"/>
  <c r="O671" i="49"/>
  <c r="M671" i="49"/>
  <c r="N671" i="49"/>
  <c r="N2725" i="23"/>
  <c r="L2725" i="23"/>
  <c r="M2725" i="23"/>
  <c r="O2725" i="23"/>
  <c r="A1610" i="23"/>
  <c r="G1625" i="23"/>
  <c r="L1610" i="23"/>
  <c r="M1610" i="23"/>
  <c r="O1610" i="23"/>
  <c r="N1610" i="23"/>
  <c r="L664" i="49"/>
  <c r="O664" i="49"/>
  <c r="A664" i="49"/>
  <c r="N664" i="49"/>
  <c r="M664" i="49"/>
  <c r="A1305" i="23"/>
  <c r="M705" i="23"/>
  <c r="L705" i="23"/>
  <c r="N705" i="23"/>
  <c r="G706" i="23"/>
  <c r="A705" i="23"/>
  <c r="O705" i="23"/>
  <c r="N697" i="23"/>
  <c r="M697" i="23"/>
  <c r="L697" i="23"/>
  <c r="O697" i="23"/>
  <c r="G703" i="23"/>
  <c r="A697" i="23"/>
  <c r="A703" i="23" s="1"/>
  <c r="N714" i="23"/>
  <c r="L714" i="23"/>
  <c r="M714" i="23"/>
  <c r="G721" i="23"/>
  <c r="O714" i="23"/>
  <c r="A714" i="23"/>
  <c r="M718" i="23"/>
  <c r="N718" i="23"/>
  <c r="A718" i="23"/>
  <c r="L718" i="23"/>
  <c r="O718" i="23"/>
  <c r="A1219" i="23"/>
  <c r="O1219" i="23"/>
  <c r="M1219" i="23"/>
  <c r="N1219" i="23"/>
  <c r="L1219" i="23"/>
  <c r="L2619" i="23"/>
  <c r="M1201" i="23"/>
  <c r="N1201" i="23"/>
  <c r="O1201" i="23"/>
  <c r="L1201" i="23"/>
  <c r="A1201" i="23"/>
  <c r="O597" i="49"/>
  <c r="A597" i="49"/>
  <c r="N597" i="49"/>
  <c r="L597" i="49"/>
  <c r="M597" i="49"/>
  <c r="O690" i="23"/>
  <c r="N690" i="23"/>
  <c r="L690" i="23"/>
  <c r="A690" i="23"/>
  <c r="M690" i="23"/>
  <c r="N1326" i="23"/>
  <c r="O1326" i="23"/>
  <c r="A1326" i="23"/>
  <c r="L1326" i="23"/>
  <c r="M1326" i="23"/>
  <c r="L627" i="49"/>
  <c r="M627" i="49"/>
  <c r="A627" i="49"/>
  <c r="O627" i="49"/>
  <c r="N627" i="49"/>
  <c r="L141" i="23"/>
  <c r="A141" i="23"/>
  <c r="O141" i="23"/>
  <c r="N141" i="23"/>
  <c r="M141" i="23"/>
  <c r="L1524" i="23"/>
  <c r="A1524" i="23"/>
  <c r="N1524" i="23"/>
  <c r="O1524" i="23"/>
  <c r="M1524" i="23"/>
  <c r="O590" i="49"/>
  <c r="M590" i="49"/>
  <c r="A590" i="49"/>
  <c r="L590" i="49"/>
  <c r="N590" i="49"/>
  <c r="A1279" i="23"/>
  <c r="L1279" i="23"/>
  <c r="A1280" i="23"/>
  <c r="L1280" i="23"/>
  <c r="O430" i="23"/>
  <c r="A430" i="23"/>
  <c r="N430" i="23"/>
  <c r="M430" i="23"/>
  <c r="L430" i="23"/>
  <c r="C1230" i="23"/>
  <c r="C1231" i="23"/>
  <c r="M1254" i="23"/>
  <c r="O1254" i="23"/>
  <c r="M669" i="49"/>
  <c r="N669" i="49"/>
  <c r="L669" i="49"/>
  <c r="O669" i="49"/>
  <c r="A669" i="49"/>
  <c r="A1210" i="23"/>
  <c r="O1210" i="23"/>
  <c r="N1210" i="23"/>
  <c r="M1210" i="23"/>
  <c r="L1210" i="23"/>
  <c r="M1267" i="23"/>
  <c r="N1267" i="23"/>
  <c r="O1267" i="23"/>
  <c r="L1267" i="23"/>
  <c r="A1267" i="23"/>
  <c r="M2727" i="23"/>
  <c r="N2727" i="23"/>
  <c r="L2727" i="23"/>
  <c r="O2727" i="23"/>
  <c r="G2728" i="23"/>
  <c r="A2728" i="23" s="1"/>
  <c r="O1623" i="23"/>
  <c r="L1623" i="23"/>
  <c r="A1623" i="23"/>
  <c r="M1623" i="23"/>
  <c r="N1623" i="23"/>
  <c r="L1617" i="23"/>
  <c r="M1617" i="23"/>
  <c r="O1617" i="23"/>
  <c r="A1617" i="23"/>
  <c r="N1617" i="23"/>
  <c r="A1124" i="23"/>
  <c r="G1126" i="23"/>
  <c r="G1125" i="23"/>
  <c r="O1124" i="23"/>
  <c r="N1124" i="23"/>
  <c r="L1124" i="23"/>
  <c r="M1124" i="23"/>
  <c r="M2680" i="23"/>
  <c r="O2680" i="23"/>
  <c r="L2680" i="23"/>
  <c r="A2680" i="23"/>
  <c r="N2680" i="23"/>
  <c r="O668" i="23"/>
  <c r="S1487" i="1"/>
  <c r="T1487" i="1"/>
  <c r="C1550" i="1"/>
  <c r="U1487" i="1"/>
  <c r="H1487" i="1"/>
  <c r="J1487" i="1"/>
  <c r="S1716" i="1"/>
  <c r="O1438" i="23"/>
  <c r="L1438" i="23"/>
  <c r="A1438" i="23"/>
  <c r="M1438" i="23"/>
  <c r="N1438" i="23"/>
  <c r="L165" i="23"/>
  <c r="N165" i="23"/>
  <c r="A165" i="23"/>
  <c r="O165" i="23"/>
  <c r="A180" i="23"/>
  <c r="L180" i="23"/>
  <c r="A633" i="23"/>
  <c r="M633" i="23"/>
  <c r="O633" i="23"/>
  <c r="N633" i="23"/>
  <c r="L633" i="23"/>
  <c r="A166" i="23"/>
  <c r="N166" i="23"/>
  <c r="O166" i="23"/>
  <c r="M166" i="23"/>
  <c r="L166" i="23"/>
  <c r="G183" i="23"/>
  <c r="A182" i="23"/>
  <c r="A1607" i="23"/>
  <c r="O1607" i="23"/>
  <c r="N1607" i="23"/>
  <c r="L1607" i="23"/>
  <c r="M1607" i="23"/>
  <c r="M632" i="23"/>
  <c r="O632" i="23"/>
  <c r="N632" i="23"/>
  <c r="A632" i="23"/>
  <c r="L632" i="23"/>
  <c r="N181" i="23"/>
  <c r="L181" i="23"/>
  <c r="O181" i="23"/>
  <c r="M181" i="23"/>
  <c r="A181" i="23"/>
  <c r="O178" i="23"/>
  <c r="N178" i="23"/>
  <c r="L178" i="23"/>
  <c r="A178" i="23"/>
  <c r="M178" i="23"/>
  <c r="G185" i="23"/>
  <c r="O169" i="23"/>
  <c r="M169" i="23"/>
  <c r="L169" i="23"/>
  <c r="A169" i="23"/>
  <c r="N169" i="23"/>
  <c r="U1716" i="1"/>
  <c r="A91" i="23"/>
  <c r="N91" i="23"/>
  <c r="O91" i="23"/>
  <c r="M91" i="23"/>
  <c r="L91" i="23"/>
  <c r="M3534" i="23"/>
  <c r="A3534" i="23"/>
  <c r="O3534" i="23"/>
  <c r="L3534" i="23"/>
  <c r="N3534" i="23"/>
  <c r="L736" i="23"/>
  <c r="O736" i="23"/>
  <c r="N736" i="23"/>
  <c r="M736" i="23"/>
  <c r="L3529" i="23"/>
  <c r="A3529" i="23"/>
  <c r="O89" i="23"/>
  <c r="A89" i="23"/>
  <c r="L89" i="23"/>
  <c r="G92" i="23"/>
  <c r="N89" i="23"/>
  <c r="M89" i="23"/>
  <c r="L732" i="23"/>
  <c r="O732" i="23"/>
  <c r="N732" i="23"/>
  <c r="A732" i="23"/>
  <c r="M732" i="23"/>
  <c r="N737" i="23"/>
  <c r="M737" i="23"/>
  <c r="O737" i="23"/>
  <c r="L737" i="23"/>
  <c r="L3524" i="23"/>
  <c r="M3524" i="23"/>
  <c r="N3524" i="23"/>
  <c r="A3524" i="23"/>
  <c r="O3524" i="23"/>
  <c r="M90" i="23"/>
  <c r="O90" i="23"/>
  <c r="N90" i="23"/>
  <c r="A90" i="23"/>
  <c r="L90" i="23"/>
  <c r="A737" i="23"/>
  <c r="A736" i="23"/>
  <c r="M727" i="23"/>
  <c r="O727" i="23"/>
  <c r="N727" i="23"/>
  <c r="A727" i="23"/>
  <c r="L727" i="23"/>
  <c r="A1472" i="23"/>
  <c r="O1472" i="23"/>
  <c r="L1472" i="23"/>
  <c r="N1472" i="23"/>
  <c r="M1472" i="23"/>
  <c r="A1745" i="23"/>
  <c r="L1747" i="23"/>
  <c r="O1747" i="23"/>
  <c r="A1747" i="23"/>
  <c r="N1747" i="23"/>
  <c r="M1747" i="23"/>
  <c r="T1716" i="1"/>
  <c r="S1807" i="1"/>
  <c r="G1886" i="1"/>
  <c r="T1807" i="1"/>
  <c r="U1807" i="1"/>
  <c r="H1807" i="1"/>
  <c r="L1807" i="1" s="1"/>
  <c r="G1805" i="1"/>
  <c r="C1805" i="1" s="1"/>
  <c r="C1887" i="1" s="1"/>
  <c r="C1567" i="1"/>
  <c r="J1567" i="1"/>
  <c r="T1567" i="1"/>
  <c r="S1567" i="1"/>
  <c r="U1567" i="1"/>
  <c r="T1893" i="1"/>
  <c r="H1893" i="1"/>
  <c r="U1893" i="1"/>
  <c r="S1893" i="1"/>
  <c r="G1891" i="1"/>
  <c r="I332" i="1"/>
  <c r="I333" i="1"/>
  <c r="S2029" i="1"/>
  <c r="H2029" i="1"/>
  <c r="M2029" i="1"/>
  <c r="T2029" i="1"/>
  <c r="U2029" i="1"/>
  <c r="C575" i="49"/>
  <c r="C583" i="49" s="1"/>
  <c r="C600" i="49" s="1"/>
  <c r="C565" i="49"/>
  <c r="S1996" i="1"/>
  <c r="U1996" i="1"/>
  <c r="N1996" i="1"/>
  <c r="H1996" i="1"/>
  <c r="T1996" i="1"/>
  <c r="U1992" i="1"/>
  <c r="S1992" i="1"/>
  <c r="H1992" i="1"/>
  <c r="T1992" i="1"/>
  <c r="N1992" i="1"/>
  <c r="G1904" i="1"/>
  <c r="C1904" i="1" s="1"/>
  <c r="U2128" i="1"/>
  <c r="H2128" i="1"/>
  <c r="T2128" i="1"/>
  <c r="S2128" i="1"/>
  <c r="G2025" i="1"/>
  <c r="C2025" i="1" s="1"/>
  <c r="A1077" i="23"/>
  <c r="M1077" i="23"/>
  <c r="L1077" i="23"/>
  <c r="O1077" i="23"/>
  <c r="N1077" i="23"/>
  <c r="J1543" i="1"/>
  <c r="T1543" i="1"/>
  <c r="C1543" i="1"/>
  <c r="U1543" i="1"/>
  <c r="S1543" i="1"/>
  <c r="H1543" i="1"/>
  <c r="N1584" i="23" l="1"/>
  <c r="G1581" i="23"/>
  <c r="G1582" i="23"/>
  <c r="G1583" i="23"/>
  <c r="L1584" i="23"/>
  <c r="O1584" i="23"/>
  <c r="M1584" i="23"/>
  <c r="A1584" i="23"/>
  <c r="O2257" i="23"/>
  <c r="O1605" i="23"/>
  <c r="L1605" i="23"/>
  <c r="M1605" i="23"/>
  <c r="A1605" i="23"/>
  <c r="N1605" i="23"/>
  <c r="A1604" i="23"/>
  <c r="O1604" i="23"/>
  <c r="N1604" i="23"/>
  <c r="L1604" i="23"/>
  <c r="M1604" i="23"/>
  <c r="L1762" i="23"/>
  <c r="N1762" i="23"/>
  <c r="G3348" i="23"/>
  <c r="O3348" i="23" s="1"/>
  <c r="A1761" i="23"/>
  <c r="M1130" i="23"/>
  <c r="N1130" i="23"/>
  <c r="O3347" i="23"/>
  <c r="N439" i="23"/>
  <c r="L1245" i="23"/>
  <c r="O1245" i="23"/>
  <c r="A972" i="23"/>
  <c r="A444" i="23"/>
  <c r="M1854" i="23"/>
  <c r="M1761" i="23"/>
  <c r="M439" i="23"/>
  <c r="N444" i="23"/>
  <c r="A2781" i="23"/>
  <c r="O2781" i="23"/>
  <c r="O1761" i="23"/>
  <c r="N2779" i="23"/>
  <c r="N2781" i="23"/>
  <c r="G2772" i="23"/>
  <c r="M2772" i="23" s="1"/>
  <c r="O2773" i="23"/>
  <c r="M2773" i="23"/>
  <c r="O2782" i="23"/>
  <c r="N2783" i="23"/>
  <c r="N2777" i="23"/>
  <c r="O2774" i="23"/>
  <c r="L2776" i="23"/>
  <c r="L2773" i="23"/>
  <c r="L2782" i="23"/>
  <c r="O2776" i="23"/>
  <c r="A2777" i="23"/>
  <c r="A2774" i="23"/>
  <c r="M2777" i="23"/>
  <c r="A1849" i="23"/>
  <c r="A2782" i="23"/>
  <c r="L2777" i="23"/>
  <c r="L2774" i="23"/>
  <c r="N438" i="23"/>
  <c r="L438" i="23"/>
  <c r="G445" i="23"/>
  <c r="A438" i="23"/>
  <c r="C2023" i="1"/>
  <c r="C1418" i="1"/>
  <c r="G1765" i="23"/>
  <c r="L1765" i="23" s="1"/>
  <c r="T2178" i="1"/>
  <c r="N1763" i="23"/>
  <c r="M3348" i="23"/>
  <c r="L1770" i="23"/>
  <c r="L2779" i="23"/>
  <c r="A2779" i="23"/>
  <c r="A1763" i="23"/>
  <c r="O1763" i="23"/>
  <c r="O2779" i="23"/>
  <c r="O1845" i="23"/>
  <c r="A2778" i="23"/>
  <c r="A2769" i="23"/>
  <c r="L2778" i="23"/>
  <c r="L2775" i="23"/>
  <c r="O2778" i="23"/>
  <c r="N2769" i="23"/>
  <c r="O2769" i="23"/>
  <c r="A2775" i="23"/>
  <c r="C1222" i="1"/>
  <c r="C1223" i="1" s="1"/>
  <c r="C1212" i="1"/>
  <c r="C1213" i="1" s="1"/>
  <c r="C1214" i="1" s="1"/>
  <c r="C1215" i="1" s="1"/>
  <c r="C1216" i="1" s="1"/>
  <c r="C1217" i="1" s="1"/>
  <c r="C1218" i="1" s="1"/>
  <c r="C1208" i="1"/>
  <c r="C1207" i="1"/>
  <c r="N1812" i="23"/>
  <c r="M3346" i="23"/>
  <c r="L3346" i="23"/>
  <c r="O1771" i="23"/>
  <c r="N2782" i="23"/>
  <c r="N2778" i="23"/>
  <c r="N2774" i="23"/>
  <c r="L2769" i="23"/>
  <c r="A2783" i="23"/>
  <c r="N2775" i="23"/>
  <c r="C2234" i="1"/>
  <c r="U2234" i="1"/>
  <c r="N1775" i="23"/>
  <c r="A1775" i="23"/>
  <c r="M2717" i="23"/>
  <c r="A2717" i="23"/>
  <c r="L2717" i="23"/>
  <c r="N2717" i="23"/>
  <c r="O2717" i="23"/>
  <c r="N2780" i="23"/>
  <c r="N2776" i="23"/>
  <c r="L2771" i="23"/>
  <c r="O2783" i="23"/>
  <c r="M2783" i="23"/>
  <c r="O2775" i="23"/>
  <c r="N2784" i="23"/>
  <c r="O1746" i="23"/>
  <c r="N3529" i="23"/>
  <c r="M180" i="23"/>
  <c r="O180" i="23"/>
  <c r="A1254" i="23"/>
  <c r="L1254" i="23"/>
  <c r="A1327" i="23"/>
  <c r="O981" i="23"/>
  <c r="A3297" i="23"/>
  <c r="O2916" i="23"/>
  <c r="M2917" i="23"/>
  <c r="N979" i="23"/>
  <c r="N2921" i="23"/>
  <c r="G994" i="23"/>
  <c r="L791" i="23"/>
  <c r="O988" i="23"/>
  <c r="L2899" i="23"/>
  <c r="O2915" i="23"/>
  <c r="L2915" i="23"/>
  <c r="M1732" i="23"/>
  <c r="L1733" i="23"/>
  <c r="O1742" i="23"/>
  <c r="M1742" i="23"/>
  <c r="A3340" i="23"/>
  <c r="A1880" i="23"/>
  <c r="G1882" i="23"/>
  <c r="N1882" i="23" s="1"/>
  <c r="M3340" i="23"/>
  <c r="A1245" i="23"/>
  <c r="T1256" i="23"/>
  <c r="C995" i="23"/>
  <c r="A995" i="23"/>
  <c r="A996" i="23" s="1"/>
  <c r="A1817" i="23"/>
  <c r="A1783" i="23"/>
  <c r="A1845" i="23"/>
  <c r="L1845" i="23"/>
  <c r="N1854" i="23"/>
  <c r="L1854" i="23"/>
  <c r="G3358" i="23"/>
  <c r="O3346" i="23"/>
  <c r="L1764" i="23"/>
  <c r="M2767" i="23"/>
  <c r="A2767" i="23"/>
  <c r="O2767" i="23"/>
  <c r="N2767" i="23"/>
  <c r="L2767" i="23"/>
  <c r="L1693" i="23"/>
  <c r="N1845" i="23"/>
  <c r="A1854" i="23"/>
  <c r="A1762" i="23"/>
  <c r="M1762" i="23"/>
  <c r="O1762" i="23"/>
  <c r="L1761" i="23"/>
  <c r="N1761" i="23"/>
  <c r="O1770" i="23"/>
  <c r="A1693" i="23"/>
  <c r="N1770" i="23"/>
  <c r="N2585" i="23"/>
  <c r="N2586" i="23"/>
  <c r="N2584" i="23"/>
  <c r="G2583" i="23"/>
  <c r="N2583" i="23" s="1"/>
  <c r="G2582" i="23"/>
  <c r="G2581" i="23"/>
  <c r="N2581" i="23" s="1"/>
  <c r="G2580" i="23"/>
  <c r="N2580" i="23" s="1"/>
  <c r="G2579" i="23"/>
  <c r="N2579" i="23" s="1"/>
  <c r="G2578" i="23"/>
  <c r="N2578" i="23" s="1"/>
  <c r="G2577" i="23"/>
  <c r="N2577" i="23" s="1"/>
  <c r="G2576" i="23"/>
  <c r="N2576" i="23" s="1"/>
  <c r="G2575" i="23"/>
  <c r="N2575" i="23" s="1"/>
  <c r="G2574" i="23"/>
  <c r="N2574" i="23" s="1"/>
  <c r="G2572" i="23"/>
  <c r="N2572" i="23" s="1"/>
  <c r="N2571" i="23"/>
  <c r="G2570" i="23"/>
  <c r="N2570" i="23" s="1"/>
  <c r="N2569" i="23"/>
  <c r="G2566" i="23"/>
  <c r="N2566" i="23" s="1"/>
  <c r="A2564" i="23"/>
  <c r="A2565" i="23" s="1"/>
  <c r="N2567" i="23"/>
  <c r="C2564" i="23"/>
  <c r="L49" i="49"/>
  <c r="L1745" i="23"/>
  <c r="M3529" i="23"/>
  <c r="N182" i="23"/>
  <c r="O1305" i="23"/>
  <c r="L1253" i="23"/>
  <c r="N1328" i="23"/>
  <c r="G1329" i="23"/>
  <c r="M1327" i="23"/>
  <c r="N981" i="23"/>
  <c r="L981" i="23"/>
  <c r="M3297" i="23"/>
  <c r="L3297" i="23"/>
  <c r="M2916" i="23"/>
  <c r="O2917" i="23"/>
  <c r="L2917" i="23"/>
  <c r="M979" i="23"/>
  <c r="O979" i="23"/>
  <c r="G2922" i="23"/>
  <c r="M2921" i="23"/>
  <c r="N978" i="23"/>
  <c r="L978" i="23"/>
  <c r="O978" i="23"/>
  <c r="L988" i="23"/>
  <c r="N988" i="23"/>
  <c r="G989" i="23"/>
  <c r="A989" i="23" s="1"/>
  <c r="M2899" i="23"/>
  <c r="N2899" i="23"/>
  <c r="N972" i="23"/>
  <c r="O1817" i="23"/>
  <c r="O439" i="23"/>
  <c r="L439" i="23"/>
  <c r="L444" i="23"/>
  <c r="O444" i="23"/>
  <c r="N995" i="23"/>
  <c r="L995" i="23"/>
  <c r="L1244" i="23"/>
  <c r="L1782" i="23"/>
  <c r="A3346" i="23"/>
  <c r="A1764" i="23"/>
  <c r="L1771" i="23"/>
  <c r="A1692" i="23"/>
  <c r="O3352" i="23"/>
  <c r="A3352" i="23"/>
  <c r="M3352" i="23"/>
  <c r="N3352" i="23"/>
  <c r="G3353" i="23"/>
  <c r="O1818" i="23"/>
  <c r="N1818" i="23"/>
  <c r="N1745" i="23"/>
  <c r="O1745" i="23"/>
  <c r="O182" i="23"/>
  <c r="N1253" i="23"/>
  <c r="O1328" i="23"/>
  <c r="A1328" i="23"/>
  <c r="G87" i="49"/>
  <c r="A87" i="49" s="1"/>
  <c r="M1817" i="23"/>
  <c r="N1817" i="23"/>
  <c r="A1818" i="23"/>
  <c r="M1818" i="23"/>
  <c r="L1818" i="23"/>
  <c r="O1782" i="23"/>
  <c r="A1782" i="23"/>
  <c r="G1852" i="23"/>
  <c r="L1852" i="23" s="1"/>
  <c r="O1855" i="23"/>
  <c r="N1764" i="23"/>
  <c r="N1771" i="23"/>
  <c r="L1692" i="23"/>
  <c r="L1690" i="23"/>
  <c r="M3298" i="23"/>
  <c r="O3298" i="23"/>
  <c r="A3298" i="23"/>
  <c r="L3298" i="23"/>
  <c r="N3298" i="23"/>
  <c r="N1687" i="23"/>
  <c r="A1687" i="23"/>
  <c r="O832" i="23"/>
  <c r="N832" i="23"/>
  <c r="M832" i="23"/>
  <c r="A832" i="23"/>
  <c r="L832" i="23"/>
  <c r="O3356" i="23"/>
  <c r="A3356" i="23"/>
  <c r="N3356" i="23"/>
  <c r="L3356" i="23"/>
  <c r="M3356" i="23"/>
  <c r="M3357" i="23"/>
  <c r="O3357" i="23"/>
  <c r="A3357" i="23"/>
  <c r="N3357" i="23"/>
  <c r="L3357" i="23"/>
  <c r="A3354" i="23"/>
  <c r="L3354" i="23"/>
  <c r="N3354" i="23"/>
  <c r="M3354" i="23"/>
  <c r="O3354" i="23"/>
  <c r="N833" i="23"/>
  <c r="O833" i="23"/>
  <c r="M833" i="23"/>
  <c r="A833" i="23"/>
  <c r="L833" i="23"/>
  <c r="L3351" i="23"/>
  <c r="N3351" i="23"/>
  <c r="M3351" i="23"/>
  <c r="A3351" i="23"/>
  <c r="O3351" i="23"/>
  <c r="O3350" i="23"/>
  <c r="N3350" i="23"/>
  <c r="L3350" i="23"/>
  <c r="A3350" i="23"/>
  <c r="M3350" i="23"/>
  <c r="L67" i="49"/>
  <c r="O67" i="49"/>
  <c r="A67" i="49"/>
  <c r="N67" i="49"/>
  <c r="M67" i="49"/>
  <c r="A174" i="49"/>
  <c r="O1812" i="23"/>
  <c r="N1782" i="23"/>
  <c r="N1850" i="23"/>
  <c r="N1849" i="23"/>
  <c r="M1855" i="23"/>
  <c r="G1691" i="23"/>
  <c r="N1690" i="23"/>
  <c r="L1812" i="23"/>
  <c r="M1812" i="23"/>
  <c r="M1823" i="23"/>
  <c r="A1823" i="23"/>
  <c r="L1823" i="23"/>
  <c r="O1823" i="23"/>
  <c r="N1823" i="23"/>
  <c r="M1828" i="23"/>
  <c r="A1828" i="23"/>
  <c r="L1828" i="23"/>
  <c r="N1828" i="23"/>
  <c r="O1828" i="23"/>
  <c r="O1820" i="23" s="1"/>
  <c r="A96" i="49"/>
  <c r="M96" i="49"/>
  <c r="O96" i="49"/>
  <c r="L96" i="49"/>
  <c r="N96" i="49"/>
  <c r="N49" i="49"/>
  <c r="M58" i="49"/>
  <c r="L58" i="49"/>
  <c r="O58" i="49"/>
  <c r="A58" i="49"/>
  <c r="N58" i="49"/>
  <c r="M1850" i="23"/>
  <c r="A1850" i="23"/>
  <c r="L1849" i="23"/>
  <c r="M1849" i="23"/>
  <c r="N1855" i="23"/>
  <c r="M1236" i="23"/>
  <c r="L1847" i="23"/>
  <c r="S1306" i="23"/>
  <c r="M1847" i="23"/>
  <c r="A71" i="49"/>
  <c r="G44" i="49"/>
  <c r="A39" i="49"/>
  <c r="O61" i="49"/>
  <c r="N61" i="49"/>
  <c r="M61" i="49"/>
  <c r="L61" i="49"/>
  <c r="M60" i="49"/>
  <c r="L60" i="49"/>
  <c r="O60" i="49"/>
  <c r="N60" i="49"/>
  <c r="C1457" i="1"/>
  <c r="C1574" i="1" s="1"/>
  <c r="U1457" i="1"/>
  <c r="G1853" i="23"/>
  <c r="M1853" i="23" s="1"/>
  <c r="O1847" i="23"/>
  <c r="N1847" i="23"/>
  <c r="M1768" i="23"/>
  <c r="A1768" i="23"/>
  <c r="L1878" i="23"/>
  <c r="G1894" i="23"/>
  <c r="L1768" i="23"/>
  <c r="O1768" i="23"/>
  <c r="L1236" i="23"/>
  <c r="N1768" i="23"/>
  <c r="R1306" i="23"/>
  <c r="L1746" i="23"/>
  <c r="N1765" i="23"/>
  <c r="M1746" i="23"/>
  <c r="A1746" i="23"/>
  <c r="M1767" i="23"/>
  <c r="N1767" i="23"/>
  <c r="O1767" i="23"/>
  <c r="L1767" i="23"/>
  <c r="L3348" i="23"/>
  <c r="A3348" i="23"/>
  <c r="N3348" i="23"/>
  <c r="A2916" i="23"/>
  <c r="O2919" i="23"/>
  <c r="M1244" i="23"/>
  <c r="N1244" i="23"/>
  <c r="O1244" i="23"/>
  <c r="N2916" i="23"/>
  <c r="N2919" i="23"/>
  <c r="M2919" i="23"/>
  <c r="N1774" i="23"/>
  <c r="M1774" i="23"/>
  <c r="L1774" i="23"/>
  <c r="O1774" i="23"/>
  <c r="L1773" i="23"/>
  <c r="O1773" i="23"/>
  <c r="N1773" i="23"/>
  <c r="M1773" i="23"/>
  <c r="O1772" i="23"/>
  <c r="N1772" i="23"/>
  <c r="M1772" i="23"/>
  <c r="L1772" i="23"/>
  <c r="O1751" i="23"/>
  <c r="L1751" i="23"/>
  <c r="A1751" i="23"/>
  <c r="N1751" i="23"/>
  <c r="M1751" i="23"/>
  <c r="N1883" i="23"/>
  <c r="M2815" i="23"/>
  <c r="L2815" i="23"/>
  <c r="A2815" i="23"/>
  <c r="N2815" i="23"/>
  <c r="O2815" i="23"/>
  <c r="O2812" i="23"/>
  <c r="L2812" i="23"/>
  <c r="G2813" i="23"/>
  <c r="N2812" i="23"/>
  <c r="A2812" i="23"/>
  <c r="G2814" i="23"/>
  <c r="M2812" i="23"/>
  <c r="M1381" i="23"/>
  <c r="L2273" i="23"/>
  <c r="O2923" i="23"/>
  <c r="M1886" i="23"/>
  <c r="N1381" i="23"/>
  <c r="O1381" i="23"/>
  <c r="L2923" i="23"/>
  <c r="L1886" i="23"/>
  <c r="L1662" i="23"/>
  <c r="N2923" i="23"/>
  <c r="O1236" i="23"/>
  <c r="L915" i="23"/>
  <c r="N1740" i="23"/>
  <c r="M1740" i="23"/>
  <c r="A1740" i="23"/>
  <c r="L1740" i="23"/>
  <c r="O1740" i="23"/>
  <c r="T33" i="2"/>
  <c r="AY33" i="2" s="1"/>
  <c r="O1885" i="23"/>
  <c r="O1880" i="23"/>
  <c r="O1883" i="23"/>
  <c r="M1883" i="23"/>
  <c r="A1883" i="23"/>
  <c r="A898" i="23"/>
  <c r="M898" i="23"/>
  <c r="N898" i="23"/>
  <c r="O898" i="23"/>
  <c r="L898" i="23"/>
  <c r="A896" i="23"/>
  <c r="M896" i="23"/>
  <c r="N896" i="23"/>
  <c r="O896" i="23"/>
  <c r="L896" i="23"/>
  <c r="M769" i="23"/>
  <c r="A899" i="23"/>
  <c r="M899" i="23"/>
  <c r="L899" i="23"/>
  <c r="O899" i="23"/>
  <c r="N899" i="23"/>
  <c r="N2273" i="23"/>
  <c r="M879" i="23"/>
  <c r="A879" i="23"/>
  <c r="L879" i="23"/>
  <c r="O879" i="23"/>
  <c r="N879" i="23"/>
  <c r="N1662" i="23"/>
  <c r="G2275" i="23"/>
  <c r="O770" i="23"/>
  <c r="A860" i="23"/>
  <c r="M860" i="23"/>
  <c r="L860" i="23"/>
  <c r="N860" i="23"/>
  <c r="O860" i="23"/>
  <c r="M827" i="23"/>
  <c r="O827" i="23"/>
  <c r="A827" i="23"/>
  <c r="N827" i="23"/>
  <c r="L827" i="23"/>
  <c r="A857" i="23"/>
  <c r="M857" i="23"/>
  <c r="L857" i="23"/>
  <c r="N857" i="23"/>
  <c r="O857" i="23"/>
  <c r="L828" i="23"/>
  <c r="A828" i="23"/>
  <c r="O828" i="23"/>
  <c r="M828" i="23"/>
  <c r="N828" i="23"/>
  <c r="O826" i="23"/>
  <c r="N826" i="23"/>
  <c r="A826" i="23"/>
  <c r="M826" i="23"/>
  <c r="L826" i="23"/>
  <c r="L2266" i="23"/>
  <c r="O218" i="23"/>
  <c r="L218" i="23"/>
  <c r="N218" i="23"/>
  <c r="C259" i="23"/>
  <c r="C269" i="23" s="1"/>
  <c r="C293" i="23" s="1"/>
  <c r="G264" i="23"/>
  <c r="A264" i="23" s="1"/>
  <c r="G262" i="23"/>
  <c r="G265" i="23"/>
  <c r="M265" i="23" s="1"/>
  <c r="G263" i="23"/>
  <c r="M263" i="23" s="1"/>
  <c r="N2361" i="23"/>
  <c r="AK311" i="2"/>
  <c r="BP311" i="2" s="1"/>
  <c r="O1662" i="23"/>
  <c r="M1662" i="23"/>
  <c r="O2273" i="23"/>
  <c r="G2274" i="23"/>
  <c r="A2273" i="23"/>
  <c r="N1344" i="23"/>
  <c r="O1344" i="23"/>
  <c r="M1344" i="23"/>
  <c r="A1344" i="23"/>
  <c r="L1344" i="23"/>
  <c r="M1343" i="23"/>
  <c r="A1343" i="23"/>
  <c r="O1343" i="23"/>
  <c r="N1343" i="23"/>
  <c r="L1343" i="23"/>
  <c r="AK307" i="2"/>
  <c r="BP307" i="2" s="1"/>
  <c r="T312" i="2"/>
  <c r="AY312" i="2" s="1"/>
  <c r="AK314" i="2"/>
  <c r="BP314" i="2" s="1"/>
  <c r="AK312" i="2"/>
  <c r="BP312" i="2" s="1"/>
  <c r="AK315" i="2"/>
  <c r="BP315" i="2" s="1"/>
  <c r="T313" i="2"/>
  <c r="AY313" i="2" s="1"/>
  <c r="AK309" i="2"/>
  <c r="BP309" i="2" s="1"/>
  <c r="T314" i="2"/>
  <c r="AY314" i="2" s="1"/>
  <c r="T309" i="2"/>
  <c r="AY309" i="2" s="1"/>
  <c r="T311" i="2"/>
  <c r="AY311" i="2" s="1"/>
  <c r="AK313" i="2"/>
  <c r="BP313" i="2" s="1"/>
  <c r="T315" i="2"/>
  <c r="AY315" i="2" s="1"/>
  <c r="T307" i="2"/>
  <c r="AY307" i="2" s="1"/>
  <c r="AK308" i="2"/>
  <c r="BP308" i="2" s="1"/>
  <c r="T308" i="2"/>
  <c r="AY308" i="2" s="1"/>
  <c r="O914" i="23"/>
  <c r="O915" i="23" s="1"/>
  <c r="M914" i="23"/>
  <c r="A914" i="23"/>
  <c r="A915" i="23" s="1"/>
  <c r="A916" i="23" s="1"/>
  <c r="A917" i="23" s="1"/>
  <c r="A918" i="23" s="1"/>
  <c r="N914" i="23"/>
  <c r="N915" i="23" s="1"/>
  <c r="O440" i="23"/>
  <c r="A440" i="23"/>
  <c r="N440" i="23"/>
  <c r="M440" i="23"/>
  <c r="L440" i="23"/>
  <c r="T1306" i="23"/>
  <c r="O1298" i="23"/>
  <c r="T1282" i="23" s="1"/>
  <c r="M1298" i="23"/>
  <c r="R1282" i="23" s="1"/>
  <c r="A1298" i="23"/>
  <c r="L1298" i="23"/>
  <c r="Q1282" i="23" s="1"/>
  <c r="N1298" i="23"/>
  <c r="S1282" i="23" s="1"/>
  <c r="M972" i="23"/>
  <c r="L972" i="23"/>
  <c r="Q1306" i="23"/>
  <c r="L1305" i="23"/>
  <c r="G1304" i="23"/>
  <c r="O1304" i="23" s="1"/>
  <c r="G1302" i="23"/>
  <c r="N1305" i="23"/>
  <c r="M1305" i="23"/>
  <c r="T1419" i="1"/>
  <c r="U1419" i="1"/>
  <c r="K1419" i="1"/>
  <c r="H1419" i="1"/>
  <c r="S1419" i="1"/>
  <c r="C1705" i="1"/>
  <c r="C1655" i="1"/>
  <c r="C1656" i="1"/>
  <c r="T1653" i="1"/>
  <c r="U1653" i="1"/>
  <c r="J1653" i="1"/>
  <c r="S1653" i="1"/>
  <c r="C1890" i="1"/>
  <c r="C1889" i="1"/>
  <c r="C1652" i="1"/>
  <c r="C1653" i="1"/>
  <c r="A2361" i="23"/>
  <c r="O2361" i="23"/>
  <c r="C1713" i="1"/>
  <c r="C1706" i="1"/>
  <c r="C2078" i="1"/>
  <c r="C1712" i="1"/>
  <c r="C1702" i="1"/>
  <c r="C1708" i="1"/>
  <c r="C1711" i="1"/>
  <c r="C1710" i="1"/>
  <c r="C1709" i="1"/>
  <c r="C1672" i="1"/>
  <c r="C1693" i="1"/>
  <c r="C1522" i="1"/>
  <c r="C2236" i="1"/>
  <c r="C2248" i="1"/>
  <c r="C2249" i="1"/>
  <c r="C2246" i="1"/>
  <c r="C2245" i="1"/>
  <c r="C2247" i="1"/>
  <c r="C2250" i="1"/>
  <c r="S2234" i="1"/>
  <c r="C1610" i="1"/>
  <c r="C1690" i="1"/>
  <c r="AK279" i="2"/>
  <c r="BP279" i="2" s="1"/>
  <c r="G538" i="23"/>
  <c r="AK321" i="2"/>
  <c r="BP321" i="2" s="1"/>
  <c r="AK322" i="2"/>
  <c r="BP322" i="2" s="1"/>
  <c r="AK294" i="2"/>
  <c r="BP294" i="2" s="1"/>
  <c r="AK245" i="2"/>
  <c r="BP245" i="2" s="1"/>
  <c r="AK222" i="2"/>
  <c r="BP222" i="2" s="1"/>
  <c r="AK220" i="2"/>
  <c r="BP220" i="2" s="1"/>
  <c r="AK275" i="2"/>
  <c r="BP275" i="2" s="1"/>
  <c r="AK304" i="2"/>
  <c r="BP304" i="2" s="1"/>
  <c r="AK306" i="2"/>
  <c r="BP306" i="2" s="1"/>
  <c r="AK278" i="2"/>
  <c r="BP278" i="2" s="1"/>
  <c r="AK305" i="2"/>
  <c r="BP305" i="2" s="1"/>
  <c r="AK277" i="2"/>
  <c r="BP277" i="2" s="1"/>
  <c r="AK303" i="2"/>
  <c r="BP303" i="2" s="1"/>
  <c r="AK276" i="2"/>
  <c r="BP276" i="2" s="1"/>
  <c r="T277" i="2"/>
  <c r="AY277" i="2" s="1"/>
  <c r="T275" i="2"/>
  <c r="AY275" i="2" s="1"/>
  <c r="T294" i="2"/>
  <c r="AY294" i="2" s="1"/>
  <c r="T220" i="2"/>
  <c r="AY220" i="2" s="1"/>
  <c r="T51" i="2"/>
  <c r="AY51" i="2" s="1"/>
  <c r="T322" i="2"/>
  <c r="AY322" i="2" s="1"/>
  <c r="T305" i="2"/>
  <c r="AY305" i="2" s="1"/>
  <c r="T245" i="2"/>
  <c r="AY245" i="2" s="1"/>
  <c r="T306" i="2"/>
  <c r="AY306" i="2" s="1"/>
  <c r="T321" i="2"/>
  <c r="AY321" i="2" s="1"/>
  <c r="T303" i="2"/>
  <c r="AY303" i="2" s="1"/>
  <c r="T278" i="2"/>
  <c r="AY278" i="2" s="1"/>
  <c r="T304" i="2"/>
  <c r="AY304" i="2" s="1"/>
  <c r="T279" i="2"/>
  <c r="AY279" i="2" s="1"/>
  <c r="T222" i="2"/>
  <c r="AY222" i="2" s="1"/>
  <c r="T276" i="2"/>
  <c r="AY276" i="2" s="1"/>
  <c r="C1883" i="1"/>
  <c r="C1867" i="1"/>
  <c r="C1650" i="1"/>
  <c r="C1626" i="1"/>
  <c r="C1888" i="1"/>
  <c r="C1877" i="1"/>
  <c r="T374" i="2"/>
  <c r="AY374" i="2" s="1"/>
  <c r="AK132" i="2"/>
  <c r="BP132" i="2" s="1"/>
  <c r="AK351" i="2"/>
  <c r="BP351" i="2" s="1"/>
  <c r="AK372" i="2"/>
  <c r="BP372" i="2" s="1"/>
  <c r="T372" i="2"/>
  <c r="AY372" i="2" s="1"/>
  <c r="AK374" i="2"/>
  <c r="BP374" i="2" s="1"/>
  <c r="L2361" i="23"/>
  <c r="L937" i="23"/>
  <c r="O937" i="23"/>
  <c r="A937" i="23"/>
  <c r="M937" i="23"/>
  <c r="N937" i="23"/>
  <c r="M1891" i="23"/>
  <c r="M517" i="23"/>
  <c r="A517" i="23"/>
  <c r="L517" i="23"/>
  <c r="O517" i="23"/>
  <c r="N517" i="23"/>
  <c r="L520" i="23"/>
  <c r="M520" i="23"/>
  <c r="A520" i="23"/>
  <c r="N520" i="23"/>
  <c r="O520" i="23"/>
  <c r="M514" i="23"/>
  <c r="A514" i="23"/>
  <c r="O514" i="23"/>
  <c r="L514" i="23"/>
  <c r="N514" i="23"/>
  <c r="A519" i="23"/>
  <c r="M519" i="23"/>
  <c r="O519" i="23"/>
  <c r="L519" i="23"/>
  <c r="N519" i="23"/>
  <c r="N1891" i="23"/>
  <c r="O1891" i="23"/>
  <c r="L1891" i="23"/>
  <c r="N770" i="23"/>
  <c r="A1891" i="23"/>
  <c r="AK95" i="2"/>
  <c r="BP95" i="2" s="1"/>
  <c r="AK93" i="2"/>
  <c r="BP93" i="2" s="1"/>
  <c r="AK90" i="2"/>
  <c r="BP90" i="2" s="1"/>
  <c r="AK92" i="2"/>
  <c r="BP92" i="2" s="1"/>
  <c r="T17" i="2"/>
  <c r="AY17" i="2" s="1"/>
  <c r="T95" i="2"/>
  <c r="AY95" i="2" s="1"/>
  <c r="C914" i="23"/>
  <c r="C1109" i="23"/>
  <c r="C665" i="23"/>
  <c r="C666" i="23" s="1"/>
  <c r="C667" i="23" s="1"/>
  <c r="N1890" i="23"/>
  <c r="O1890" i="23"/>
  <c r="L1890" i="23"/>
  <c r="A1890" i="23"/>
  <c r="T93" i="2"/>
  <c r="AY93" i="2" s="1"/>
  <c r="T92" i="2"/>
  <c r="AY92" i="2" s="1"/>
  <c r="T351" i="2"/>
  <c r="AY351" i="2" s="1"/>
  <c r="T90" i="2"/>
  <c r="AY90" i="2" s="1"/>
  <c r="T62" i="2"/>
  <c r="AY62" i="2" s="1"/>
  <c r="T63" i="2"/>
  <c r="AY63" i="2" s="1"/>
  <c r="L522" i="23"/>
  <c r="M522" i="23"/>
  <c r="A522" i="23"/>
  <c r="N522" i="23"/>
  <c r="O522" i="23"/>
  <c r="C1845" i="1"/>
  <c r="C1850" i="1"/>
  <c r="C1881" i="1"/>
  <c r="C1848" i="1"/>
  <c r="C1846" i="1"/>
  <c r="C1876" i="1"/>
  <c r="C1879" i="1"/>
  <c r="C1847" i="1"/>
  <c r="C1882" i="1"/>
  <c r="C1884" i="1"/>
  <c r="C1878" i="1"/>
  <c r="C1893" i="1"/>
  <c r="C1860" i="1"/>
  <c r="C1827" i="1"/>
  <c r="C1830" i="1"/>
  <c r="C1814" i="1"/>
  <c r="C1841" i="1"/>
  <c r="C1843" i="1"/>
  <c r="C1812" i="1"/>
  <c r="C1828" i="1"/>
  <c r="C1844" i="1"/>
  <c r="C1842" i="1"/>
  <c r="C1813" i="1"/>
  <c r="C1900" i="1"/>
  <c r="C1831" i="1"/>
  <c r="C1829" i="1"/>
  <c r="C1833" i="1"/>
  <c r="C1901" i="1"/>
  <c r="C1834" i="1"/>
  <c r="C1832" i="1"/>
  <c r="C1897" i="1"/>
  <c r="C1896" i="1"/>
  <c r="C1856" i="1"/>
  <c r="C1810" i="1"/>
  <c r="C1807" i="1"/>
  <c r="H1691" i="1"/>
  <c r="C1592" i="1"/>
  <c r="C1497" i="1"/>
  <c r="C1499" i="1"/>
  <c r="C1498" i="1"/>
  <c r="C2238" i="1"/>
  <c r="S1691" i="1"/>
  <c r="U1691" i="1"/>
  <c r="J1691" i="1"/>
  <c r="C1488" i="1"/>
  <c r="C1596" i="1"/>
  <c r="T132" i="2"/>
  <c r="AY132" i="2" s="1"/>
  <c r="J1583" i="1"/>
  <c r="H1583" i="1"/>
  <c r="L1879" i="23"/>
  <c r="O1879" i="23"/>
  <c r="N1879" i="23"/>
  <c r="L2360" i="23"/>
  <c r="A2285" i="23"/>
  <c r="M2265" i="23"/>
  <c r="AK364" i="2"/>
  <c r="BP364" i="2" s="1"/>
  <c r="S1583" i="1"/>
  <c r="U1583" i="1"/>
  <c r="C2048" i="1"/>
  <c r="C2082" i="1"/>
  <c r="C101" i="49"/>
  <c r="H2133" i="1"/>
  <c r="U2133" i="1"/>
  <c r="U2025" i="1" s="1"/>
  <c r="T2133" i="1"/>
  <c r="T2025" i="1" s="1"/>
  <c r="S2133" i="1"/>
  <c r="S2025" i="1" s="1"/>
  <c r="C2068" i="1"/>
  <c r="C2087" i="1"/>
  <c r="C2077" i="1"/>
  <c r="C2135" i="1"/>
  <c r="C2035" i="1"/>
  <c r="C2122" i="1"/>
  <c r="C2064" i="1"/>
  <c r="C2148" i="1"/>
  <c r="C2124" i="1"/>
  <c r="C2076" i="1"/>
  <c r="C2095" i="1"/>
  <c r="C2067" i="1"/>
  <c r="C2081" i="1"/>
  <c r="C2062" i="1"/>
  <c r="C2086" i="1"/>
  <c r="C2134" i="1"/>
  <c r="C2034" i="1"/>
  <c r="M1881" i="23"/>
  <c r="O1881" i="23"/>
  <c r="L1881" i="23"/>
  <c r="N1881" i="23"/>
  <c r="M1880" i="23"/>
  <c r="N1880" i="23"/>
  <c r="M1889" i="23"/>
  <c r="A1889" i="23"/>
  <c r="O1889" i="23"/>
  <c r="L1889" i="23"/>
  <c r="N1889" i="23"/>
  <c r="M1887" i="23"/>
  <c r="A1887" i="23"/>
  <c r="L1887" i="23"/>
  <c r="N1887" i="23"/>
  <c r="O1887" i="23"/>
  <c r="A2053" i="23"/>
  <c r="A2056" i="23"/>
  <c r="C1547" i="1"/>
  <c r="C1624" i="1"/>
  <c r="AT385" i="2"/>
  <c r="T228" i="2"/>
  <c r="AY228" i="2" s="1"/>
  <c r="T380" i="2"/>
  <c r="AY380" i="2" s="1"/>
  <c r="T65" i="2"/>
  <c r="AY65" i="2" s="1"/>
  <c r="T165" i="2"/>
  <c r="AY165" i="2" s="1"/>
  <c r="T205" i="2"/>
  <c r="AY205" i="2" s="1"/>
  <c r="T140" i="2"/>
  <c r="AY140" i="2" s="1"/>
  <c r="T224" i="2"/>
  <c r="AY224" i="2" s="1"/>
  <c r="T329" i="2"/>
  <c r="AY329" i="2" s="1"/>
  <c r="T359" i="2"/>
  <c r="AY359" i="2" s="1"/>
  <c r="T83" i="2"/>
  <c r="AY83" i="2" s="1"/>
  <c r="T26" i="2"/>
  <c r="AY26" i="2" s="1"/>
  <c r="T116" i="2"/>
  <c r="AY116" i="2" s="1"/>
  <c r="T208" i="2"/>
  <c r="AY208" i="2" s="1"/>
  <c r="T254" i="2"/>
  <c r="AY254" i="2" s="1"/>
  <c r="T319" i="2"/>
  <c r="AY319" i="2" s="1"/>
  <c r="T16" i="2"/>
  <c r="AY16" i="2" s="1"/>
  <c r="T358" i="2"/>
  <c r="AY358" i="2" s="1"/>
  <c r="T118" i="2"/>
  <c r="AY118" i="2" s="1"/>
  <c r="T152" i="2"/>
  <c r="AY152" i="2" s="1"/>
  <c r="T200" i="2"/>
  <c r="AY200" i="2" s="1"/>
  <c r="T326" i="2"/>
  <c r="AY326" i="2" s="1"/>
  <c r="T188" i="2"/>
  <c r="AY188" i="2" s="1"/>
  <c r="T201" i="2"/>
  <c r="AY201" i="2" s="1"/>
  <c r="T361" i="2"/>
  <c r="AY361" i="2" s="1"/>
  <c r="T80" i="2"/>
  <c r="AY80" i="2" s="1"/>
  <c r="T179" i="2"/>
  <c r="AY179" i="2" s="1"/>
  <c r="T98" i="2"/>
  <c r="AY98" i="2" s="1"/>
  <c r="T79" i="2"/>
  <c r="AY79" i="2" s="1"/>
  <c r="T197" i="2"/>
  <c r="AY197" i="2" s="1"/>
  <c r="T347" i="2"/>
  <c r="AY347" i="2" s="1"/>
  <c r="T375" i="2"/>
  <c r="AY375" i="2" s="1"/>
  <c r="T252" i="2"/>
  <c r="AY252" i="2" s="1"/>
  <c r="T43" i="2"/>
  <c r="AY43" i="2" s="1"/>
  <c r="T75" i="2"/>
  <c r="AY75" i="2" s="1"/>
  <c r="T229" i="2"/>
  <c r="AY229" i="2" s="1"/>
  <c r="T272" i="2"/>
  <c r="AY272" i="2" s="1"/>
  <c r="T151" i="2"/>
  <c r="AY151" i="2" s="1"/>
  <c r="T248" i="2"/>
  <c r="AY248" i="2" s="1"/>
  <c r="T376" i="2"/>
  <c r="AY376" i="2" s="1"/>
  <c r="T58" i="2"/>
  <c r="AY58" i="2" s="1"/>
  <c r="T171" i="2"/>
  <c r="AY171" i="2" s="1"/>
  <c r="T23" i="2"/>
  <c r="AY23" i="2" s="1"/>
  <c r="T125" i="2"/>
  <c r="AY125" i="2" s="1"/>
  <c r="T204" i="2"/>
  <c r="AY204" i="2" s="1"/>
  <c r="T249" i="2"/>
  <c r="AY249" i="2" s="1"/>
  <c r="T46" i="2"/>
  <c r="AY46" i="2" s="1"/>
  <c r="T111" i="2"/>
  <c r="AY111" i="2" s="1"/>
  <c r="T354" i="2"/>
  <c r="AY354" i="2" s="1"/>
  <c r="T114" i="2"/>
  <c r="AY114" i="2" s="1"/>
  <c r="T193" i="2"/>
  <c r="AY193" i="2" s="1"/>
  <c r="T244" i="2"/>
  <c r="AY244" i="2" s="1"/>
  <c r="T263" i="2"/>
  <c r="AY263" i="2" s="1"/>
  <c r="T198" i="2"/>
  <c r="AY198" i="2" s="1"/>
  <c r="T268" i="2"/>
  <c r="AY268" i="2" s="1"/>
  <c r="T38" i="2"/>
  <c r="AY38" i="2" s="1"/>
  <c r="T177" i="2"/>
  <c r="AY177" i="2" s="1"/>
  <c r="T209" i="2"/>
  <c r="AY209" i="2" s="1"/>
  <c r="T88" i="2"/>
  <c r="AY88" i="2" s="1"/>
  <c r="T167" i="2"/>
  <c r="AY167" i="2" s="1"/>
  <c r="T264" i="2"/>
  <c r="AY264" i="2" s="1"/>
  <c r="T363" i="2"/>
  <c r="AY363" i="2" s="1"/>
  <c r="T87" i="2"/>
  <c r="AY87" i="2" s="1"/>
  <c r="T8" i="2"/>
  <c r="AY8" i="2" s="1"/>
  <c r="T120" i="2"/>
  <c r="AY120" i="2" s="1"/>
  <c r="T142" i="2"/>
  <c r="AY142" i="2" s="1"/>
  <c r="T225" i="2"/>
  <c r="AY225" i="2" s="1"/>
  <c r="T267" i="2"/>
  <c r="AY267" i="2" s="1"/>
  <c r="T44" i="2"/>
  <c r="AY44" i="2" s="1"/>
  <c r="T302" i="2"/>
  <c r="AY302" i="2" s="1"/>
  <c r="T370" i="2"/>
  <c r="AY370" i="2" s="1"/>
  <c r="T127" i="2"/>
  <c r="AY127" i="2" s="1"/>
  <c r="T134" i="2"/>
  <c r="AY134" i="2" s="1"/>
  <c r="T31" i="2"/>
  <c r="AY31" i="2" s="1"/>
  <c r="T192" i="2"/>
  <c r="AY192" i="2" s="1"/>
  <c r="T214" i="2"/>
  <c r="AY214" i="2" s="1"/>
  <c r="T291" i="2"/>
  <c r="AY291" i="2" s="1"/>
  <c r="T34" i="2"/>
  <c r="AY34" i="2" s="1"/>
  <c r="T129" i="2"/>
  <c r="AY129" i="2" s="1"/>
  <c r="T102" i="2"/>
  <c r="AY102" i="2" s="1"/>
  <c r="T108" i="2"/>
  <c r="AY108" i="2" s="1"/>
  <c r="T124" i="2"/>
  <c r="AY124" i="2" s="1"/>
  <c r="T287" i="2"/>
  <c r="AY287" i="2" s="1"/>
  <c r="T29" i="2"/>
  <c r="AY29" i="2" s="1"/>
  <c r="T14" i="2"/>
  <c r="AY14" i="2" s="1"/>
  <c r="C2046" i="1"/>
  <c r="C2089" i="1"/>
  <c r="C1623" i="1"/>
  <c r="C1612" i="1"/>
  <c r="C1622" i="1"/>
  <c r="C1593" i="1"/>
  <c r="C1667" i="1"/>
  <c r="C1474" i="1"/>
  <c r="C1458" i="1"/>
  <c r="C1658" i="1"/>
  <c r="AT386" i="2"/>
  <c r="L2285" i="23"/>
  <c r="M2285" i="23"/>
  <c r="M2360" i="23"/>
  <c r="O2265" i="23"/>
  <c r="A2265" i="23"/>
  <c r="T27" i="2"/>
  <c r="AY27" i="2" s="1"/>
  <c r="T290" i="2"/>
  <c r="AY290" i="2" s="1"/>
  <c r="T253" i="2"/>
  <c r="AY253" i="2" s="1"/>
  <c r="T202" i="2"/>
  <c r="AY202" i="2" s="1"/>
  <c r="T147" i="2"/>
  <c r="AY147" i="2" s="1"/>
  <c r="T35" i="2"/>
  <c r="AY35" i="2" s="1"/>
  <c r="T323" i="2"/>
  <c r="AY323" i="2" s="1"/>
  <c r="T269" i="2"/>
  <c r="AY269" i="2" s="1"/>
  <c r="T218" i="2"/>
  <c r="AY218" i="2" s="1"/>
  <c r="T163" i="2"/>
  <c r="AY163" i="2" s="1"/>
  <c r="T57" i="2"/>
  <c r="AY57" i="2" s="1"/>
  <c r="T336" i="2"/>
  <c r="AY336" i="2" s="1"/>
  <c r="T292" i="2"/>
  <c r="AY292" i="2" s="1"/>
  <c r="T258" i="2"/>
  <c r="AY258" i="2" s="1"/>
  <c r="T185" i="2"/>
  <c r="AY185" i="2" s="1"/>
  <c r="T110" i="2"/>
  <c r="AY110" i="2" s="1"/>
  <c r="T366" i="2"/>
  <c r="AY366" i="2" s="1"/>
  <c r="T281" i="2"/>
  <c r="AY281" i="2" s="1"/>
  <c r="T242" i="2"/>
  <c r="AY242" i="2" s="1"/>
  <c r="T196" i="2"/>
  <c r="AY196" i="2" s="1"/>
  <c r="T20" i="2"/>
  <c r="AY20" i="2" s="1"/>
  <c r="T157" i="2"/>
  <c r="AY157" i="2" s="1"/>
  <c r="T122" i="2"/>
  <c r="AY122" i="2" s="1"/>
  <c r="T96" i="2"/>
  <c r="AY96" i="2" s="1"/>
  <c r="T286" i="2"/>
  <c r="AY286" i="2" s="1"/>
  <c r="T173" i="2"/>
  <c r="AY173" i="2" s="1"/>
  <c r="T139" i="2"/>
  <c r="AY139" i="2" s="1"/>
  <c r="T112" i="2"/>
  <c r="AY112" i="2" s="1"/>
  <c r="T30" i="2"/>
  <c r="AY30" i="2" s="1"/>
  <c r="T310" i="2"/>
  <c r="AY310" i="2" s="1"/>
  <c r="T187" i="2"/>
  <c r="AY187" i="2" s="1"/>
  <c r="T154" i="2"/>
  <c r="AY154" i="2" s="1"/>
  <c r="T156" i="2"/>
  <c r="AY156" i="2" s="1"/>
  <c r="T50" i="2"/>
  <c r="AY50" i="2" s="1"/>
  <c r="T332" i="2"/>
  <c r="AY332" i="2" s="1"/>
  <c r="T210" i="2"/>
  <c r="AY210" i="2" s="1"/>
  <c r="T181" i="2"/>
  <c r="AY181" i="2" s="1"/>
  <c r="T175" i="2"/>
  <c r="AY175" i="2" s="1"/>
  <c r="T106" i="2"/>
  <c r="AY106" i="2" s="1"/>
  <c r="T362" i="2"/>
  <c r="AY362" i="2" s="1"/>
  <c r="T9" i="2"/>
  <c r="AY9" i="2" s="1"/>
  <c r="T56" i="2"/>
  <c r="AY56" i="2" s="1"/>
  <c r="T339" i="2"/>
  <c r="AY339" i="2" s="1"/>
  <c r="T296" i="2"/>
  <c r="AY296" i="2" s="1"/>
  <c r="T257" i="2"/>
  <c r="AY257" i="2" s="1"/>
  <c r="T153" i="2"/>
  <c r="AY153" i="2" s="1"/>
  <c r="T74" i="2"/>
  <c r="AY74" i="2" s="1"/>
  <c r="T334" i="2"/>
  <c r="AY334" i="2" s="1"/>
  <c r="T273" i="2"/>
  <c r="AY273" i="2" s="1"/>
  <c r="T243" i="2"/>
  <c r="AY243" i="2" s="1"/>
  <c r="T169" i="2"/>
  <c r="AY169" i="2" s="1"/>
  <c r="T85" i="2"/>
  <c r="AY85" i="2" s="1"/>
  <c r="T383" i="2"/>
  <c r="AY383" i="2" s="1"/>
  <c r="T341" i="2"/>
  <c r="AY341" i="2" s="1"/>
  <c r="T297" i="2"/>
  <c r="AY297" i="2" s="1"/>
  <c r="T183" i="2"/>
  <c r="AY183" i="2" s="1"/>
  <c r="T104" i="2"/>
  <c r="AY104" i="2" s="1"/>
  <c r="T78" i="2"/>
  <c r="AY78" i="2" s="1"/>
  <c r="T338" i="2"/>
  <c r="AY338" i="2" s="1"/>
  <c r="T285" i="2"/>
  <c r="AY285" i="2" s="1"/>
  <c r="T206" i="2"/>
  <c r="AY206" i="2" s="1"/>
  <c r="T82" i="2"/>
  <c r="AY82" i="2" s="1"/>
  <c r="T219" i="2"/>
  <c r="AY219" i="2" s="1"/>
  <c r="T128" i="2"/>
  <c r="AY128" i="2" s="1"/>
  <c r="T126" i="2"/>
  <c r="AY126" i="2" s="1"/>
  <c r="T52" i="2"/>
  <c r="AY52" i="2" s="1"/>
  <c r="T335" i="2"/>
  <c r="AY335" i="2" s="1"/>
  <c r="T237" i="2"/>
  <c r="AY237" i="2" s="1"/>
  <c r="T145" i="2"/>
  <c r="AY145" i="2" s="1"/>
  <c r="T143" i="2"/>
  <c r="AY143" i="2" s="1"/>
  <c r="T70" i="2"/>
  <c r="AY70" i="2" s="1"/>
  <c r="T330" i="2"/>
  <c r="AY330" i="2" s="1"/>
  <c r="T217" i="2"/>
  <c r="AY217" i="2" s="1"/>
  <c r="T221" i="2"/>
  <c r="AY221" i="2" s="1"/>
  <c r="T158" i="2"/>
  <c r="AY158" i="2" s="1"/>
  <c r="T81" i="2"/>
  <c r="AY81" i="2" s="1"/>
  <c r="T379" i="2"/>
  <c r="AY379" i="2" s="1"/>
  <c r="T265" i="2"/>
  <c r="AY265" i="2" s="1"/>
  <c r="T182" i="2"/>
  <c r="AY182" i="2" s="1"/>
  <c r="T176" i="2"/>
  <c r="AY176" i="2" s="1"/>
  <c r="T100" i="2"/>
  <c r="AY100" i="2" s="1"/>
  <c r="T42" i="2"/>
  <c r="AY42" i="2" s="1"/>
  <c r="T15" i="2"/>
  <c r="AY15" i="2" s="1"/>
  <c r="O2285" i="23"/>
  <c r="N2360" i="23"/>
  <c r="N2265" i="23"/>
  <c r="T12" i="2"/>
  <c r="AY12" i="2" s="1"/>
  <c r="T10" i="2"/>
  <c r="AY10" i="2" s="1"/>
  <c r="T11" i="2"/>
  <c r="AY11" i="2" s="1"/>
  <c r="A162" i="23"/>
  <c r="T123" i="2"/>
  <c r="AY123" i="2" s="1"/>
  <c r="T355" i="2"/>
  <c r="AY355" i="2" s="1"/>
  <c r="T340" i="2"/>
  <c r="AY340" i="2" s="1"/>
  <c r="T300" i="2"/>
  <c r="AY300" i="2" s="1"/>
  <c r="T215" i="2"/>
  <c r="AY215" i="2" s="1"/>
  <c r="T68" i="2"/>
  <c r="AY68" i="2" s="1"/>
  <c r="T371" i="2"/>
  <c r="AY371" i="2" s="1"/>
  <c r="T327" i="2"/>
  <c r="AY327" i="2" s="1"/>
  <c r="T282" i="2"/>
  <c r="AY282" i="2" s="1"/>
  <c r="T233" i="2"/>
  <c r="AY233" i="2" s="1"/>
  <c r="T99" i="2"/>
  <c r="AY99" i="2" s="1"/>
  <c r="T55" i="2"/>
  <c r="AY55" i="2" s="1"/>
  <c r="T353" i="2"/>
  <c r="AY353" i="2" s="1"/>
  <c r="T345" i="2"/>
  <c r="AY345" i="2" s="1"/>
  <c r="T213" i="2"/>
  <c r="AY213" i="2" s="1"/>
  <c r="T135" i="2"/>
  <c r="AY135" i="2" s="1"/>
  <c r="T72" i="2"/>
  <c r="AY72" i="2" s="1"/>
  <c r="T377" i="2"/>
  <c r="AY377" i="2" s="1"/>
  <c r="T342" i="2"/>
  <c r="AY342" i="2" s="1"/>
  <c r="T261" i="2"/>
  <c r="AY261" i="2" s="1"/>
  <c r="T19" i="2"/>
  <c r="AY19" i="2" s="1"/>
  <c r="T250" i="2"/>
  <c r="AY250" i="2" s="1"/>
  <c r="T191" i="2"/>
  <c r="AY191" i="2" s="1"/>
  <c r="T133" i="2"/>
  <c r="AY133" i="2" s="1"/>
  <c r="T117" i="2"/>
  <c r="AY117" i="2" s="1"/>
  <c r="T382" i="2"/>
  <c r="AY382" i="2" s="1"/>
  <c r="T266" i="2"/>
  <c r="AY266" i="2" s="1"/>
  <c r="T207" i="2"/>
  <c r="AY207" i="2" s="1"/>
  <c r="T149" i="2"/>
  <c r="AY149" i="2" s="1"/>
  <c r="T64" i="2"/>
  <c r="AY64" i="2" s="1"/>
  <c r="T367" i="2"/>
  <c r="AY367" i="2" s="1"/>
  <c r="T251" i="2"/>
  <c r="AY251" i="2" s="1"/>
  <c r="T232" i="2"/>
  <c r="AY232" i="2" s="1"/>
  <c r="T226" i="2"/>
  <c r="AY226" i="2" s="1"/>
  <c r="T94" i="2"/>
  <c r="AY94" i="2" s="1"/>
  <c r="T39" i="2"/>
  <c r="AY39" i="2" s="1"/>
  <c r="T320" i="2"/>
  <c r="AY320" i="2" s="1"/>
  <c r="T270" i="2"/>
  <c r="AY270" i="2" s="1"/>
  <c r="T186" i="2"/>
  <c r="AY186" i="2" s="1"/>
  <c r="T130" i="2"/>
  <c r="AY130" i="2" s="1"/>
  <c r="T49" i="2"/>
  <c r="AY49" i="2" s="1"/>
  <c r="T24" i="2"/>
  <c r="AY24" i="2" s="1"/>
  <c r="T148" i="2"/>
  <c r="AY148" i="2" s="1"/>
  <c r="T89" i="2"/>
  <c r="AY89" i="2" s="1"/>
  <c r="T356" i="2"/>
  <c r="AY356" i="2" s="1"/>
  <c r="T344" i="2"/>
  <c r="AY344" i="2" s="1"/>
  <c r="T246" i="2"/>
  <c r="AY246" i="2" s="1"/>
  <c r="T164" i="2"/>
  <c r="AY164" i="2" s="1"/>
  <c r="T109" i="2"/>
  <c r="AY109" i="2" s="1"/>
  <c r="T373" i="2"/>
  <c r="AY373" i="2" s="1"/>
  <c r="T331" i="2"/>
  <c r="AY331" i="2" s="1"/>
  <c r="T262" i="2"/>
  <c r="AY262" i="2" s="1"/>
  <c r="T189" i="2"/>
  <c r="AY189" i="2" s="1"/>
  <c r="T67" i="2"/>
  <c r="AY67" i="2" s="1"/>
  <c r="T59" i="2"/>
  <c r="AY59" i="2" s="1"/>
  <c r="T357" i="2"/>
  <c r="AY357" i="2" s="1"/>
  <c r="T247" i="2"/>
  <c r="AY247" i="2" s="1"/>
  <c r="T141" i="2"/>
  <c r="AY141" i="2" s="1"/>
  <c r="T168" i="2"/>
  <c r="AY168" i="2" s="1"/>
  <c r="T76" i="2"/>
  <c r="AY76" i="2" s="1"/>
  <c r="T381" i="2"/>
  <c r="AY381" i="2" s="1"/>
  <c r="T316" i="2"/>
  <c r="AY316" i="2" s="1"/>
  <c r="T7" i="2"/>
  <c r="AY7" i="2" s="1"/>
  <c r="T288" i="2"/>
  <c r="AY288" i="2" s="1"/>
  <c r="T223" i="2"/>
  <c r="AY223" i="2" s="1"/>
  <c r="T195" i="2"/>
  <c r="AY195" i="2" s="1"/>
  <c r="T144" i="2"/>
  <c r="AY144" i="2" s="1"/>
  <c r="T41" i="2"/>
  <c r="AY41" i="2" s="1"/>
  <c r="T317" i="2"/>
  <c r="AY317" i="2" s="1"/>
  <c r="T238" i="2"/>
  <c r="AY238" i="2" s="1"/>
  <c r="T211" i="2"/>
  <c r="AY211" i="2" s="1"/>
  <c r="T160" i="2"/>
  <c r="AY160" i="2" s="1"/>
  <c r="T53" i="2"/>
  <c r="AY53" i="2" s="1"/>
  <c r="T293" i="2"/>
  <c r="AY293" i="2" s="1"/>
  <c r="T256" i="2"/>
  <c r="AY256" i="2" s="1"/>
  <c r="T236" i="2"/>
  <c r="AY236" i="2" s="1"/>
  <c r="T178" i="2"/>
  <c r="AY178" i="2" s="1"/>
  <c r="T40" i="2"/>
  <c r="AY40" i="2" s="1"/>
  <c r="T352" i="2"/>
  <c r="AY352" i="2" s="1"/>
  <c r="T274" i="2"/>
  <c r="AY274" i="2" s="1"/>
  <c r="T240" i="2"/>
  <c r="AY240" i="2" s="1"/>
  <c r="T137" i="2"/>
  <c r="AY137" i="2" s="1"/>
  <c r="T25" i="2"/>
  <c r="AY25" i="2" s="1"/>
  <c r="T28" i="2"/>
  <c r="AY28" i="2" s="1"/>
  <c r="T13" i="2"/>
  <c r="AY13" i="2" s="1"/>
  <c r="O2360" i="23"/>
  <c r="C303" i="23"/>
  <c r="C304" i="23" s="1"/>
  <c r="C305" i="23" s="1"/>
  <c r="C306" i="23" s="1"/>
  <c r="C307" i="23" s="1"/>
  <c r="T150" i="2"/>
  <c r="AY150" i="2" s="1"/>
  <c r="T103" i="2"/>
  <c r="AY103" i="2" s="1"/>
  <c r="T97" i="2"/>
  <c r="AY97" i="2" s="1"/>
  <c r="T360" i="2"/>
  <c r="AY360" i="2" s="1"/>
  <c r="T284" i="2"/>
  <c r="AY284" i="2" s="1"/>
  <c r="T166" i="2"/>
  <c r="AY166" i="2" s="1"/>
  <c r="T119" i="2"/>
  <c r="AY119" i="2" s="1"/>
  <c r="T113" i="2"/>
  <c r="AY113" i="2" s="1"/>
  <c r="T378" i="2"/>
  <c r="AY378" i="2" s="1"/>
  <c r="T301" i="2"/>
  <c r="AY301" i="2" s="1"/>
  <c r="T184" i="2"/>
  <c r="AY184" i="2" s="1"/>
  <c r="T155" i="2"/>
  <c r="AY155" i="2" s="1"/>
  <c r="T71" i="2"/>
  <c r="AY71" i="2" s="1"/>
  <c r="T48" i="2"/>
  <c r="AY48" i="2" s="1"/>
  <c r="T289" i="2"/>
  <c r="AY289" i="2" s="1"/>
  <c r="T203" i="2"/>
  <c r="AY203" i="2" s="1"/>
  <c r="T170" i="2"/>
  <c r="AY170" i="2" s="1"/>
  <c r="T172" i="2"/>
  <c r="AY172" i="2" s="1"/>
  <c r="T36" i="2"/>
  <c r="AY36" i="2" s="1"/>
  <c r="T348" i="2"/>
  <c r="AY348" i="2" s="1"/>
  <c r="T54" i="2"/>
  <c r="AY54" i="2" s="1"/>
  <c r="T337" i="2"/>
  <c r="AY337" i="2" s="1"/>
  <c r="T255" i="2"/>
  <c r="AY255" i="2" s="1"/>
  <c r="T227" i="2"/>
  <c r="AY227" i="2" s="1"/>
  <c r="T146" i="2"/>
  <c r="AY146" i="2" s="1"/>
  <c r="T37" i="2"/>
  <c r="AY37" i="2" s="1"/>
  <c r="T318" i="2"/>
  <c r="AY318" i="2" s="1"/>
  <c r="T271" i="2"/>
  <c r="AY271" i="2" s="1"/>
  <c r="T241" i="2"/>
  <c r="AY241" i="2" s="1"/>
  <c r="T162" i="2"/>
  <c r="AY162" i="2" s="1"/>
  <c r="T91" i="2"/>
  <c r="AY91" i="2" s="1"/>
  <c r="T350" i="2"/>
  <c r="AY350" i="2" s="1"/>
  <c r="T295" i="2"/>
  <c r="AY295" i="2" s="1"/>
  <c r="T260" i="2"/>
  <c r="AY260" i="2" s="1"/>
  <c r="T180" i="2"/>
  <c r="AY180" i="2" s="1"/>
  <c r="T105" i="2"/>
  <c r="AY105" i="2" s="1"/>
  <c r="T368" i="2"/>
  <c r="AY368" i="2" s="1"/>
  <c r="T324" i="2"/>
  <c r="AY324" i="2" s="1"/>
  <c r="T283" i="2"/>
  <c r="AY283" i="2" s="1"/>
  <c r="T199" i="2"/>
  <c r="AY199" i="2" s="1"/>
  <c r="T61" i="2"/>
  <c r="AY61" i="2" s="1"/>
  <c r="T18" i="2"/>
  <c r="AY18" i="2" s="1"/>
  <c r="T216" i="2"/>
  <c r="AY216" i="2" s="1"/>
  <c r="T121" i="2"/>
  <c r="AY121" i="2" s="1"/>
  <c r="T107" i="2"/>
  <c r="AY107" i="2" s="1"/>
  <c r="T47" i="2"/>
  <c r="AY47" i="2" s="1"/>
  <c r="T333" i="2"/>
  <c r="AY333" i="2" s="1"/>
  <c r="T234" i="2"/>
  <c r="AY234" i="2" s="1"/>
  <c r="T138" i="2"/>
  <c r="AY138" i="2" s="1"/>
  <c r="T136" i="2"/>
  <c r="AY136" i="2" s="1"/>
  <c r="T32" i="2"/>
  <c r="AY32" i="2" s="1"/>
  <c r="T349" i="2"/>
  <c r="AY349" i="2" s="1"/>
  <c r="T194" i="2"/>
  <c r="AY194" i="2" s="1"/>
  <c r="T161" i="2"/>
  <c r="AY161" i="2" s="1"/>
  <c r="T159" i="2"/>
  <c r="AY159" i="2" s="1"/>
  <c r="T86" i="2"/>
  <c r="AY86" i="2" s="1"/>
  <c r="T346" i="2"/>
  <c r="AY346" i="2" s="1"/>
  <c r="T235" i="2"/>
  <c r="AY235" i="2" s="1"/>
  <c r="T239" i="2"/>
  <c r="AY239" i="2" s="1"/>
  <c r="T174" i="2"/>
  <c r="AY174" i="2" s="1"/>
  <c r="T101" i="2"/>
  <c r="AY101" i="2" s="1"/>
  <c r="T364" i="2"/>
  <c r="AY364" i="2" s="1"/>
  <c r="T131" i="2"/>
  <c r="AY131" i="2" s="1"/>
  <c r="T384" i="2"/>
  <c r="AY384" i="2" s="1"/>
  <c r="T298" i="2"/>
  <c r="AY298" i="2" s="1"/>
  <c r="T259" i="2"/>
  <c r="AY259" i="2" s="1"/>
  <c r="T212" i="2"/>
  <c r="AY212" i="2" s="1"/>
  <c r="T69" i="2"/>
  <c r="AY69" i="2" s="1"/>
  <c r="T365" i="2"/>
  <c r="AY365" i="2" s="1"/>
  <c r="T325" i="2"/>
  <c r="AY325" i="2" s="1"/>
  <c r="T280" i="2"/>
  <c r="AY280" i="2" s="1"/>
  <c r="T230" i="2"/>
  <c r="AY230" i="2" s="1"/>
  <c r="T84" i="2"/>
  <c r="AY84" i="2" s="1"/>
  <c r="T60" i="2"/>
  <c r="AY60" i="2" s="1"/>
  <c r="T343" i="2"/>
  <c r="AY343" i="2" s="1"/>
  <c r="T299" i="2"/>
  <c r="AY299" i="2" s="1"/>
  <c r="T190" i="2"/>
  <c r="AY190" i="2" s="1"/>
  <c r="T115" i="2"/>
  <c r="AY115" i="2" s="1"/>
  <c r="T73" i="2"/>
  <c r="AY73" i="2" s="1"/>
  <c r="T369" i="2"/>
  <c r="AY369" i="2" s="1"/>
  <c r="T328" i="2"/>
  <c r="AY328" i="2" s="1"/>
  <c r="T231" i="2"/>
  <c r="AY231" i="2" s="1"/>
  <c r="T21" i="2"/>
  <c r="AY21" i="2" s="1"/>
  <c r="T66" i="2"/>
  <c r="AY66" i="2" s="1"/>
  <c r="T22" i="2"/>
  <c r="AY22" i="2" s="1"/>
  <c r="AT388" i="2"/>
  <c r="AT389" i="2"/>
  <c r="C214" i="23"/>
  <c r="C215" i="23" s="1"/>
  <c r="C216" i="23" s="1"/>
  <c r="C217" i="23" s="1"/>
  <c r="T6" i="2"/>
  <c r="AY6" i="2" s="1"/>
  <c r="AK167" i="2"/>
  <c r="BP167" i="2" s="1"/>
  <c r="AK291" i="2"/>
  <c r="BP291" i="2" s="1"/>
  <c r="AK158" i="2"/>
  <c r="BP158" i="2" s="1"/>
  <c r="AK82" i="2"/>
  <c r="BP82" i="2" s="1"/>
  <c r="AK169" i="2"/>
  <c r="BP169" i="2" s="1"/>
  <c r="AK160" i="2"/>
  <c r="BP160" i="2" s="1"/>
  <c r="AK334" i="2"/>
  <c r="BP334" i="2" s="1"/>
  <c r="AK204" i="2"/>
  <c r="BP204" i="2" s="1"/>
  <c r="AK164" i="2"/>
  <c r="BP164" i="2" s="1"/>
  <c r="AK157" i="2"/>
  <c r="BP157" i="2" s="1"/>
  <c r="AK335" i="2"/>
  <c r="BP335" i="2" s="1"/>
  <c r="AK211" i="2"/>
  <c r="BP211" i="2" s="1"/>
  <c r="AK329" i="2"/>
  <c r="BP329" i="2" s="1"/>
  <c r="AK332" i="2"/>
  <c r="BP332" i="2" s="1"/>
  <c r="AK212" i="2"/>
  <c r="BP212" i="2" s="1"/>
  <c r="AK333" i="2"/>
  <c r="BP333" i="2" s="1"/>
  <c r="AK161" i="2"/>
  <c r="BP161" i="2" s="1"/>
  <c r="AK139" i="2"/>
  <c r="BP139" i="2" s="1"/>
  <c r="AK209" i="2"/>
  <c r="BP209" i="2" s="1"/>
  <c r="AK166" i="2"/>
  <c r="BP166" i="2" s="1"/>
  <c r="AK163" i="2"/>
  <c r="BP163" i="2" s="1"/>
  <c r="AK165" i="2"/>
  <c r="BP165" i="2" s="1"/>
  <c r="AK331" i="2"/>
  <c r="BP331" i="2" s="1"/>
  <c r="AK330" i="2"/>
  <c r="BP330" i="2" s="1"/>
  <c r="AK336" i="2"/>
  <c r="BP336" i="2" s="1"/>
  <c r="AK88" i="2"/>
  <c r="BP88" i="2" s="1"/>
  <c r="AK208" i="2"/>
  <c r="BP208" i="2" s="1"/>
  <c r="AK168" i="2"/>
  <c r="BP168" i="2" s="1"/>
  <c r="AK327" i="2"/>
  <c r="BP327" i="2" s="1"/>
  <c r="AK170" i="2"/>
  <c r="BP170" i="2" s="1"/>
  <c r="AK162" i="2"/>
  <c r="BP162" i="2" s="1"/>
  <c r="AK205" i="2"/>
  <c r="BP205" i="2" s="1"/>
  <c r="AK206" i="2"/>
  <c r="BP206" i="2" s="1"/>
  <c r="AK328" i="2"/>
  <c r="BP328" i="2" s="1"/>
  <c r="AK207" i="2"/>
  <c r="BP207" i="2" s="1"/>
  <c r="AK210" i="2"/>
  <c r="BP210" i="2" s="1"/>
  <c r="BO388" i="2"/>
  <c r="BO389" i="2"/>
  <c r="BO385" i="2"/>
  <c r="C1232" i="23"/>
  <c r="C1233" i="23" s="1"/>
  <c r="C1234" i="23" s="1"/>
  <c r="C1235" i="23" s="1"/>
  <c r="M1796" i="23"/>
  <c r="L1796" i="23"/>
  <c r="C1363" i="23"/>
  <c r="C38" i="23"/>
  <c r="A1796" i="23"/>
  <c r="N1796" i="23"/>
  <c r="L1884" i="23"/>
  <c r="N1884" i="23"/>
  <c r="M1884" i="23"/>
  <c r="O1884" i="23"/>
  <c r="A1884" i="23"/>
  <c r="C2277" i="23"/>
  <c r="C2293" i="23" s="1"/>
  <c r="C2246" i="23"/>
  <c r="O2266" i="23"/>
  <c r="AK215" i="2"/>
  <c r="BP215" i="2" s="1"/>
  <c r="AK123" i="2"/>
  <c r="BP123" i="2" s="1"/>
  <c r="AK369" i="2"/>
  <c r="BP369" i="2" s="1"/>
  <c r="C1637" i="23"/>
  <c r="A1801" i="23"/>
  <c r="M1888" i="23"/>
  <c r="O1888" i="23"/>
  <c r="L1888" i="23"/>
  <c r="A1888" i="23"/>
  <c r="N1888" i="23"/>
  <c r="O1738" i="23"/>
  <c r="A1715" i="23"/>
  <c r="N1801" i="23"/>
  <c r="A1661" i="23"/>
  <c r="O1729" i="23"/>
  <c r="A1729" i="23"/>
  <c r="N1729" i="23"/>
  <c r="M1729" i="23"/>
  <c r="L1729" i="23"/>
  <c r="N1672" i="23"/>
  <c r="M1672" i="23"/>
  <c r="A1672" i="23"/>
  <c r="O1672" i="23"/>
  <c r="L1672" i="23"/>
  <c r="A1894" i="23"/>
  <c r="M1894" i="23"/>
  <c r="O1894" i="23"/>
  <c r="L1894" i="23"/>
  <c r="N1894" i="23"/>
  <c r="O1882" i="23"/>
  <c r="M1882" i="23"/>
  <c r="L769" i="23"/>
  <c r="M2528" i="23"/>
  <c r="O2528" i="23"/>
  <c r="A2528" i="23"/>
  <c r="L2528" i="23"/>
  <c r="A1893" i="23"/>
  <c r="M1893" i="23"/>
  <c r="N1893" i="23"/>
  <c r="O1893" i="23"/>
  <c r="L1893" i="23"/>
  <c r="L1715" i="23"/>
  <c r="N2877" i="23"/>
  <c r="L2877" i="23"/>
  <c r="O2877" i="23"/>
  <c r="M2877" i="23"/>
  <c r="A2877" i="23"/>
  <c r="AK87" i="2"/>
  <c r="BP87" i="2" s="1"/>
  <c r="AK149" i="2"/>
  <c r="BP149" i="2" s="1"/>
  <c r="AK288" i="2"/>
  <c r="BP288" i="2" s="1"/>
  <c r="AK79" i="2"/>
  <c r="BP79" i="2" s="1"/>
  <c r="AK239" i="2"/>
  <c r="BP239" i="2" s="1"/>
  <c r="AK267" i="2"/>
  <c r="BP267" i="2" s="1"/>
  <c r="AK261" i="2"/>
  <c r="BP261" i="2" s="1"/>
  <c r="AK338" i="2"/>
  <c r="BP338" i="2" s="1"/>
  <c r="AK131" i="2"/>
  <c r="BP131" i="2" s="1"/>
  <c r="M1738" i="23"/>
  <c r="M770" i="23"/>
  <c r="A2266" i="23"/>
  <c r="L1801" i="23"/>
  <c r="AK323" i="2"/>
  <c r="BP323" i="2" s="1"/>
  <c r="AK124" i="2"/>
  <c r="BP124" i="2" s="1"/>
  <c r="AK227" i="2"/>
  <c r="BP227" i="2" s="1"/>
  <c r="AK378" i="2"/>
  <c r="BP378" i="2" s="1"/>
  <c r="AK310" i="2"/>
  <c r="BP310" i="2" s="1"/>
  <c r="L162" i="23"/>
  <c r="M2266" i="23"/>
  <c r="M1801" i="23"/>
  <c r="AK138" i="2"/>
  <c r="BP138" i="2" s="1"/>
  <c r="AK159" i="2"/>
  <c r="BP159" i="2" s="1"/>
  <c r="AK94" i="2"/>
  <c r="BP94" i="2" s="1"/>
  <c r="AK318" i="2"/>
  <c r="BP318" i="2" s="1"/>
  <c r="AK343" i="2"/>
  <c r="BP343" i="2" s="1"/>
  <c r="AK376" i="2"/>
  <c r="BP376" i="2" s="1"/>
  <c r="AK78" i="2"/>
  <c r="BP78" i="2" s="1"/>
  <c r="AK185" i="2"/>
  <c r="BP185" i="2" s="1"/>
  <c r="AK268" i="2"/>
  <c r="BP268" i="2" s="1"/>
  <c r="O1801" i="23"/>
  <c r="AK379" i="2"/>
  <c r="BP379" i="2" s="1"/>
  <c r="A1794" i="23"/>
  <c r="L1794" i="23"/>
  <c r="M1794" i="23"/>
  <c r="N1794" i="23"/>
  <c r="O1794" i="23"/>
  <c r="N1795" i="23"/>
  <c r="O1795" i="23"/>
  <c r="A1795" i="23"/>
  <c r="L1795" i="23"/>
  <c r="M1795" i="23"/>
  <c r="A1799" i="23"/>
  <c r="M1799" i="23"/>
  <c r="L1799" i="23"/>
  <c r="O1799" i="23"/>
  <c r="N1799" i="23"/>
  <c r="C2121" i="1"/>
  <c r="C2103" i="1"/>
  <c r="C2113" i="1"/>
  <c r="C2101" i="1"/>
  <c r="C2109" i="1"/>
  <c r="C2107" i="1"/>
  <c r="C2116" i="1"/>
  <c r="C2110" i="1"/>
  <c r="C1986" i="1"/>
  <c r="C1999" i="1"/>
  <c r="C2002" i="1"/>
  <c r="C1965" i="1"/>
  <c r="C1955" i="1"/>
  <c r="C1925" i="1"/>
  <c r="C1985" i="1"/>
  <c r="C1987" i="1"/>
  <c r="C2119" i="1"/>
  <c r="C2117" i="1"/>
  <c r="AK326" i="2"/>
  <c r="BP326" i="2" s="1"/>
  <c r="AK107" i="2"/>
  <c r="BP107" i="2" s="1"/>
  <c r="AK197" i="2"/>
  <c r="BP197" i="2" s="1"/>
  <c r="AK199" i="2"/>
  <c r="BP199" i="2" s="1"/>
  <c r="AK238" i="2"/>
  <c r="BP238" i="2" s="1"/>
  <c r="AK234" i="2"/>
  <c r="BP234" i="2" s="1"/>
  <c r="C2114" i="1"/>
  <c r="C2047" i="1"/>
  <c r="C2108" i="1"/>
  <c r="C2112" i="1"/>
  <c r="C2111" i="1"/>
  <c r="C2115" i="1"/>
  <c r="C2033" i="1"/>
  <c r="C2104" i="1"/>
  <c r="C2102" i="1"/>
  <c r="C2090" i="1"/>
  <c r="C2050" i="1"/>
  <c r="C2085" i="1"/>
  <c r="C2120" i="1"/>
  <c r="C2091" i="1"/>
  <c r="C2080" i="1"/>
  <c r="C2052" i="1"/>
  <c r="C2075" i="1"/>
  <c r="C2059" i="1"/>
  <c r="C2051" i="1"/>
  <c r="C2123" i="1"/>
  <c r="C2174" i="1"/>
  <c r="C2097" i="1"/>
  <c r="C2133" i="1"/>
  <c r="A1897" i="23"/>
  <c r="A1900" i="23"/>
  <c r="AK106" i="2"/>
  <c r="BP106" i="2" s="1"/>
  <c r="AK249" i="2"/>
  <c r="BP249" i="2" s="1"/>
  <c r="AK263" i="2"/>
  <c r="BP263" i="2" s="1"/>
  <c r="AK187" i="2"/>
  <c r="BP187" i="2" s="1"/>
  <c r="AK285" i="2"/>
  <c r="BP285" i="2" s="1"/>
  <c r="AK84" i="2"/>
  <c r="BP84" i="2" s="1"/>
  <c r="AK182" i="2"/>
  <c r="BP182" i="2" s="1"/>
  <c r="AK133" i="2"/>
  <c r="BP133" i="2" s="1"/>
  <c r="AK302" i="2"/>
  <c r="BP302" i="2" s="1"/>
  <c r="AK256" i="2"/>
  <c r="BP256" i="2" s="1"/>
  <c r="AK297" i="2"/>
  <c r="BP297" i="2" s="1"/>
  <c r="AK172" i="2"/>
  <c r="BP172" i="2" s="1"/>
  <c r="AK251" i="2"/>
  <c r="BP251" i="2" s="1"/>
  <c r="AK319" i="2"/>
  <c r="BP319" i="2" s="1"/>
  <c r="AK125" i="2"/>
  <c r="BP125" i="2" s="1"/>
  <c r="AK150" i="2"/>
  <c r="BP150" i="2" s="1"/>
  <c r="AK287" i="2"/>
  <c r="BP287" i="2" s="1"/>
  <c r="AK214" i="2"/>
  <c r="BP214" i="2" s="1"/>
  <c r="AK81" i="2"/>
  <c r="BP81" i="2" s="1"/>
  <c r="AK178" i="2"/>
  <c r="BP178" i="2" s="1"/>
  <c r="AK347" i="2"/>
  <c r="BP347" i="2" s="1"/>
  <c r="AK320" i="2"/>
  <c r="BP320" i="2" s="1"/>
  <c r="AK176" i="2"/>
  <c r="BP176" i="2" s="1"/>
  <c r="AK216" i="2"/>
  <c r="BP216" i="2" s="1"/>
  <c r="AK324" i="2"/>
  <c r="BP324" i="2" s="1"/>
  <c r="AK342" i="2"/>
  <c r="BP342" i="2" s="1"/>
  <c r="AK196" i="2"/>
  <c r="BP196" i="2" s="1"/>
  <c r="AK258" i="2"/>
  <c r="BP258" i="2" s="1"/>
  <c r="AK105" i="2"/>
  <c r="BP105" i="2" s="1"/>
  <c r="AK224" i="2"/>
  <c r="BP224" i="2" s="1"/>
  <c r="AK174" i="2"/>
  <c r="BP174" i="2" s="1"/>
  <c r="AK148" i="2"/>
  <c r="BP148" i="2" s="1"/>
  <c r="AK186" i="2"/>
  <c r="BP186" i="2" s="1"/>
  <c r="AK370" i="2"/>
  <c r="BP370" i="2" s="1"/>
  <c r="AK116" i="2"/>
  <c r="BP116" i="2" s="1"/>
  <c r="AK317" i="2"/>
  <c r="BP317" i="2" s="1"/>
  <c r="AK316" i="2"/>
  <c r="BP316" i="2" s="1"/>
  <c r="AK154" i="2"/>
  <c r="BP154" i="2" s="1"/>
  <c r="AK190" i="2"/>
  <c r="BP190" i="2" s="1"/>
  <c r="AK112" i="2"/>
  <c r="BP112" i="2" s="1"/>
  <c r="AK217" i="2"/>
  <c r="BP217" i="2" s="1"/>
  <c r="AK280" i="2"/>
  <c r="BP280" i="2" s="1"/>
  <c r="AK135" i="2"/>
  <c r="BP135" i="2" s="1"/>
  <c r="AK273" i="2"/>
  <c r="BP273" i="2" s="1"/>
  <c r="AK363" i="2"/>
  <c r="BP363" i="2" s="1"/>
  <c r="AK301" i="2"/>
  <c r="BP301" i="2" s="1"/>
  <c r="AK232" i="2"/>
  <c r="BP232" i="2" s="1"/>
  <c r="AK101" i="2"/>
  <c r="BP101" i="2" s="1"/>
  <c r="AK115" i="2"/>
  <c r="BP115" i="2" s="1"/>
  <c r="AK191" i="2"/>
  <c r="BP191" i="2" s="1"/>
  <c r="AK259" i="2"/>
  <c r="BP259" i="2" s="1"/>
  <c r="AK274" i="2"/>
  <c r="BP274" i="2" s="1"/>
  <c r="AK383" i="2"/>
  <c r="BP383" i="2" s="1"/>
  <c r="AK113" i="2"/>
  <c r="BP113" i="2" s="1"/>
  <c r="AK365" i="2"/>
  <c r="BP365" i="2" s="1"/>
  <c r="AK244" i="2"/>
  <c r="BP244" i="2" s="1"/>
  <c r="AK127" i="2"/>
  <c r="BP127" i="2" s="1"/>
  <c r="AK348" i="2"/>
  <c r="BP348" i="2" s="1"/>
  <c r="AK108" i="2"/>
  <c r="BP108" i="2" s="1"/>
  <c r="N769" i="23"/>
  <c r="A769" i="23"/>
  <c r="AK253" i="2"/>
  <c r="BP253" i="2" s="1"/>
  <c r="AK104" i="2"/>
  <c r="BP104" i="2" s="1"/>
  <c r="AK100" i="2"/>
  <c r="BP100" i="2" s="1"/>
  <c r="AK354" i="2"/>
  <c r="BP354" i="2" s="1"/>
  <c r="AK111" i="2"/>
  <c r="BP111" i="2" s="1"/>
  <c r="AK281" i="2"/>
  <c r="BP281" i="2" s="1"/>
  <c r="AK188" i="2"/>
  <c r="BP188" i="2" s="1"/>
  <c r="AK381" i="2"/>
  <c r="BP381" i="2" s="1"/>
  <c r="AK171" i="2"/>
  <c r="BP171" i="2" s="1"/>
  <c r="AK266" i="2"/>
  <c r="BP266" i="2" s="1"/>
  <c r="AK237" i="2"/>
  <c r="BP237" i="2" s="1"/>
  <c r="AK255" i="2"/>
  <c r="BP255" i="2" s="1"/>
  <c r="AK282" i="2"/>
  <c r="BP282" i="2" s="1"/>
  <c r="AK265" i="2"/>
  <c r="BP265" i="2" s="1"/>
  <c r="AK144" i="2"/>
  <c r="BP144" i="2" s="1"/>
  <c r="AK145" i="2"/>
  <c r="BP145" i="2" s="1"/>
  <c r="AK352" i="2"/>
  <c r="BP352" i="2" s="1"/>
  <c r="AK361" i="2"/>
  <c r="BP361" i="2" s="1"/>
  <c r="AK358" i="2"/>
  <c r="BP358" i="2" s="1"/>
  <c r="AK283" i="2"/>
  <c r="BP283" i="2" s="1"/>
  <c r="AK194" i="2"/>
  <c r="BP194" i="2" s="1"/>
  <c r="AK122" i="2"/>
  <c r="BP122" i="2" s="1"/>
  <c r="AK296" i="2"/>
  <c r="BP296" i="2" s="1"/>
  <c r="AK357" i="2"/>
  <c r="BP357" i="2" s="1"/>
  <c r="AK152" i="2"/>
  <c r="BP152" i="2" s="1"/>
  <c r="AK96" i="2"/>
  <c r="BP96" i="2" s="1"/>
  <c r="AK270" i="2"/>
  <c r="BP270" i="2" s="1"/>
  <c r="AK173" i="2"/>
  <c r="BP173" i="2" s="1"/>
  <c r="AK136" i="2"/>
  <c r="BP136" i="2" s="1"/>
  <c r="AK223" i="2"/>
  <c r="BP223" i="2" s="1"/>
  <c r="AK250" i="2"/>
  <c r="BP250" i="2" s="1"/>
  <c r="AK102" i="2"/>
  <c r="BP102" i="2" s="1"/>
  <c r="AK300" i="2"/>
  <c r="BP300" i="2" s="1"/>
  <c r="AK371" i="2"/>
  <c r="BP371" i="2" s="1"/>
  <c r="AK344" i="2"/>
  <c r="BP344" i="2" s="1"/>
  <c r="AK128" i="2"/>
  <c r="BP128" i="2" s="1"/>
  <c r="AK155" i="2"/>
  <c r="BP155" i="2" s="1"/>
  <c r="AK89" i="2"/>
  <c r="BP89" i="2" s="1"/>
  <c r="AK271" i="2"/>
  <c r="BP271" i="2" s="1"/>
  <c r="AK289" i="2"/>
  <c r="BP289" i="2" s="1"/>
  <c r="AK272" i="2"/>
  <c r="BP272" i="2" s="1"/>
  <c r="AK203" i="2"/>
  <c r="BP203" i="2" s="1"/>
  <c r="AK181" i="2"/>
  <c r="BP181" i="2" s="1"/>
  <c r="AK346" i="2"/>
  <c r="BP346" i="2" s="1"/>
  <c r="AK142" i="2"/>
  <c r="BP142" i="2" s="1"/>
  <c r="AK240" i="2"/>
  <c r="BP240" i="2" s="1"/>
  <c r="AK156" i="2"/>
  <c r="BP156" i="2" s="1"/>
  <c r="AK134" i="2"/>
  <c r="BP134" i="2" s="1"/>
  <c r="AK298" i="2"/>
  <c r="BP298" i="2" s="1"/>
  <c r="O769" i="23"/>
  <c r="AK233" i="2"/>
  <c r="BP233" i="2" s="1"/>
  <c r="AK183" i="2"/>
  <c r="BP183" i="2" s="1"/>
  <c r="AK337" i="2"/>
  <c r="BP337" i="2" s="1"/>
  <c r="AK360" i="2"/>
  <c r="BP360" i="2" s="1"/>
  <c r="AK221" i="2"/>
  <c r="BP221" i="2" s="1"/>
  <c r="AK119" i="2"/>
  <c r="BP119" i="2" s="1"/>
  <c r="AK98" i="2"/>
  <c r="BP98" i="2" s="1"/>
  <c r="AK355" i="2"/>
  <c r="BP355" i="2" s="1"/>
  <c r="AK384" i="2"/>
  <c r="BP384" i="2" s="1"/>
  <c r="AK175" i="2"/>
  <c r="BP175" i="2" s="1"/>
  <c r="AK252" i="2"/>
  <c r="BP252" i="2" s="1"/>
  <c r="AK366" i="2"/>
  <c r="BP366" i="2" s="1"/>
  <c r="AK230" i="2"/>
  <c r="BP230" i="2" s="1"/>
  <c r="AK243" i="2"/>
  <c r="BP243" i="2" s="1"/>
  <c r="AK117" i="2"/>
  <c r="BP117" i="2" s="1"/>
  <c r="AK350" i="2"/>
  <c r="BP350" i="2" s="1"/>
  <c r="AK80" i="2"/>
  <c r="BP80" i="2" s="1"/>
  <c r="AK177" i="2"/>
  <c r="BP177" i="2" s="1"/>
  <c r="AK147" i="2"/>
  <c r="BP147" i="2" s="1"/>
  <c r="AK126" i="2"/>
  <c r="BP126" i="2" s="1"/>
  <c r="AK99" i="2"/>
  <c r="BP99" i="2" s="1"/>
  <c r="AK129" i="2"/>
  <c r="BP129" i="2" s="1"/>
  <c r="AK184" i="2"/>
  <c r="BP184" i="2" s="1"/>
  <c r="AK225" i="2"/>
  <c r="BP225" i="2" s="1"/>
  <c r="AK353" i="2"/>
  <c r="BP353" i="2" s="1"/>
  <c r="AK137" i="2"/>
  <c r="BP137" i="2" s="1"/>
  <c r="AK192" i="2"/>
  <c r="BP192" i="2" s="1"/>
  <c r="AK140" i="2"/>
  <c r="BP140" i="2" s="1"/>
  <c r="AK299" i="2"/>
  <c r="BP299" i="2" s="1"/>
  <c r="AK143" i="2"/>
  <c r="BP143" i="2" s="1"/>
  <c r="AK362" i="2"/>
  <c r="BP362" i="2" s="1"/>
  <c r="AK284" i="2"/>
  <c r="BP284" i="2" s="1"/>
  <c r="AK286" i="2"/>
  <c r="BP286" i="2" s="1"/>
  <c r="AK247" i="2"/>
  <c r="BP247" i="2" s="1"/>
  <c r="AK229" i="2"/>
  <c r="BP229" i="2" s="1"/>
  <c r="AK260" i="2"/>
  <c r="BP260" i="2" s="1"/>
  <c r="AK120" i="2"/>
  <c r="BP120" i="2" s="1"/>
  <c r="AK235" i="2"/>
  <c r="BP235" i="2" s="1"/>
  <c r="AK213" i="2"/>
  <c r="BP213" i="2" s="1"/>
  <c r="AK85" i="2"/>
  <c r="BP85" i="2" s="1"/>
  <c r="AK325" i="2"/>
  <c r="BP325" i="2" s="1"/>
  <c r="AK121" i="2"/>
  <c r="BP121" i="2" s="1"/>
  <c r="AK201" i="2"/>
  <c r="BP201" i="2" s="1"/>
  <c r="AK231" i="2"/>
  <c r="BP231" i="2" s="1"/>
  <c r="AK218" i="2"/>
  <c r="BP218" i="2" s="1"/>
  <c r="AK97" i="2"/>
  <c r="BP97" i="2" s="1"/>
  <c r="T1654" i="1"/>
  <c r="M723" i="49"/>
  <c r="L1738" i="23"/>
  <c r="A1738" i="23"/>
  <c r="O1874" i="23"/>
  <c r="G1875" i="23"/>
  <c r="L1874" i="23"/>
  <c r="N1874" i="23"/>
  <c r="A1874" i="23"/>
  <c r="M1874" i="23"/>
  <c r="M1872" i="23"/>
  <c r="O1872" i="23"/>
  <c r="L1872" i="23"/>
  <c r="A1872" i="23"/>
  <c r="N1872" i="23"/>
  <c r="M1873" i="23"/>
  <c r="O1873" i="23"/>
  <c r="L1873" i="23"/>
  <c r="A1873" i="23"/>
  <c r="N1873" i="23"/>
  <c r="N1721" i="23"/>
  <c r="L1721" i="23"/>
  <c r="A1721" i="23"/>
  <c r="O1754" i="23"/>
  <c r="N1754" i="23"/>
  <c r="L1754" i="23"/>
  <c r="M1754" i="23"/>
  <c r="A1754" i="23"/>
  <c r="C594" i="1"/>
  <c r="C1559" i="1"/>
  <c r="C1619" i="1"/>
  <c r="C1621" i="1"/>
  <c r="S1654" i="1"/>
  <c r="H1654" i="1"/>
  <c r="C1654" i="1"/>
  <c r="S2006" i="1"/>
  <c r="S1904" i="1" s="1"/>
  <c r="C819" i="23"/>
  <c r="C824" i="23" s="1"/>
  <c r="C830" i="23" s="1"/>
  <c r="C834" i="23" s="1"/>
  <c r="C848" i="23" s="1"/>
  <c r="A2661" i="23"/>
  <c r="L2661" i="23"/>
  <c r="N2661" i="23"/>
  <c r="O2666" i="23"/>
  <c r="L2666" i="23"/>
  <c r="M2666" i="23"/>
  <c r="A2666" i="23"/>
  <c r="L1661" i="23"/>
  <c r="L770" i="23"/>
  <c r="O162" i="23"/>
  <c r="N1738" i="23"/>
  <c r="A770" i="23"/>
  <c r="C1698" i="1"/>
  <c r="AK373" i="2"/>
  <c r="BP373" i="2" s="1"/>
  <c r="AK269" i="2"/>
  <c r="BP269" i="2" s="1"/>
  <c r="C1995" i="1"/>
  <c r="C1552" i="1"/>
  <c r="C1691" i="1"/>
  <c r="T2257" i="23"/>
  <c r="C1487" i="1"/>
  <c r="C1555" i="1"/>
  <c r="C1665" i="1"/>
  <c r="C1554" i="1"/>
  <c r="C1512" i="1"/>
  <c r="C1620" i="1"/>
  <c r="C1472" i="1"/>
  <c r="C1616" i="1"/>
  <c r="C1514" i="1"/>
  <c r="C1618" i="1"/>
  <c r="C1591" i="1"/>
  <c r="C1513" i="1"/>
  <c r="C1549" i="1"/>
  <c r="C1541" i="1"/>
  <c r="M2257" i="23"/>
  <c r="R2257" i="23" s="1"/>
  <c r="L2718" i="23"/>
  <c r="O2718" i="23"/>
  <c r="M2718" i="23"/>
  <c r="N2718" i="23"/>
  <c r="O3492" i="23"/>
  <c r="L3492" i="23"/>
  <c r="M3492" i="23"/>
  <c r="N3492" i="23"/>
  <c r="A3492" i="23"/>
  <c r="C1542" i="1"/>
  <c r="L2257" i="23"/>
  <c r="M1053" i="23"/>
  <c r="N1053" i="23"/>
  <c r="N1098" i="23" s="1"/>
  <c r="A1053" i="23"/>
  <c r="L1053" i="23"/>
  <c r="O1053" i="23"/>
  <c r="O1098" i="23" s="1"/>
  <c r="C532" i="23"/>
  <c r="C542" i="23" s="1"/>
  <c r="C560" i="23" s="1"/>
  <c r="M1661" i="23"/>
  <c r="O1661" i="23"/>
  <c r="N2257" i="23"/>
  <c r="M2554" i="23"/>
  <c r="L2554" i="23"/>
  <c r="A2554" i="23"/>
  <c r="O2554" i="23"/>
  <c r="N1322" i="23"/>
  <c r="S1311" i="23" s="1"/>
  <c r="L1322" i="23"/>
  <c r="Q1311" i="23" s="1"/>
  <c r="A1322" i="23"/>
  <c r="M1322" i="23"/>
  <c r="R1311" i="23" s="1"/>
  <c r="O1322" i="23"/>
  <c r="T1311" i="23" s="1"/>
  <c r="L2563" i="23"/>
  <c r="O2563" i="23"/>
  <c r="M2563" i="23"/>
  <c r="A2563" i="23"/>
  <c r="O2558" i="23"/>
  <c r="L2558" i="23"/>
  <c r="G2559" i="23"/>
  <c r="N2559" i="23" s="1"/>
  <c r="A2558" i="23"/>
  <c r="M2558" i="23"/>
  <c r="L1481" i="23"/>
  <c r="O1481" i="23"/>
  <c r="A1481" i="23"/>
  <c r="N1481" i="23"/>
  <c r="T1265" i="23"/>
  <c r="L348" i="23"/>
  <c r="O348" i="23"/>
  <c r="M348" i="23"/>
  <c r="A348" i="23"/>
  <c r="N348" i="23"/>
  <c r="A2303" i="23"/>
  <c r="L2303" i="23"/>
  <c r="N2303" i="23"/>
  <c r="O2344" i="23"/>
  <c r="N2344" i="23"/>
  <c r="M2344" i="23"/>
  <c r="A2344" i="23"/>
  <c r="L2344" i="23"/>
  <c r="N530" i="23"/>
  <c r="O530" i="23"/>
  <c r="A530" i="23"/>
  <c r="L530" i="23"/>
  <c r="M530" i="23"/>
  <c r="C2287" i="23"/>
  <c r="O2885" i="23"/>
  <c r="G2887" i="23"/>
  <c r="M2885" i="23"/>
  <c r="L2885" i="23"/>
  <c r="N2885" i="23"/>
  <c r="A2885" i="23"/>
  <c r="A2912" i="23"/>
  <c r="O2912" i="23"/>
  <c r="L2912" i="23"/>
  <c r="N2912" i="23"/>
  <c r="M2912" i="23"/>
  <c r="G3058" i="23"/>
  <c r="L3057" i="23"/>
  <c r="O3057" i="23"/>
  <c r="A3057" i="23"/>
  <c r="N3057" i="23"/>
  <c r="M3057" i="23"/>
  <c r="L3065" i="23"/>
  <c r="A3065" i="23"/>
  <c r="O3065" i="23"/>
  <c r="N3065" i="23"/>
  <c r="M3065" i="23"/>
  <c r="M3068" i="23"/>
  <c r="L3068" i="23"/>
  <c r="O3068" i="23"/>
  <c r="N3068" i="23"/>
  <c r="A3068" i="23"/>
  <c r="M3070" i="23"/>
  <c r="O3070" i="23"/>
  <c r="A3070" i="23"/>
  <c r="N3070" i="23"/>
  <c r="L3070" i="23"/>
  <c r="N3044" i="23"/>
  <c r="M3044" i="23"/>
  <c r="O3044" i="23"/>
  <c r="L3044" i="23"/>
  <c r="A3044" i="23"/>
  <c r="A3051" i="23"/>
  <c r="O3051" i="23"/>
  <c r="L3051" i="23"/>
  <c r="N3051" i="23"/>
  <c r="M3051" i="23"/>
  <c r="N3045" i="23"/>
  <c r="A3045" i="23"/>
  <c r="O3045" i="23"/>
  <c r="L3045" i="23"/>
  <c r="M3045" i="23"/>
  <c r="M559" i="23"/>
  <c r="O559" i="23"/>
  <c r="L559" i="23"/>
  <c r="A559" i="23"/>
  <c r="N559" i="23"/>
  <c r="L549" i="23"/>
  <c r="N549" i="23"/>
  <c r="M549" i="23"/>
  <c r="O549" i="23"/>
  <c r="A549" i="23"/>
  <c r="A2809" i="23"/>
  <c r="M2809" i="23"/>
  <c r="L2809" i="23"/>
  <c r="O2809" i="23"/>
  <c r="N2809" i="23"/>
  <c r="M2810" i="23"/>
  <c r="O2810" i="23"/>
  <c r="A2810" i="23"/>
  <c r="N2810" i="23"/>
  <c r="L2810" i="23"/>
  <c r="L336" i="23"/>
  <c r="G342" i="23"/>
  <c r="M336" i="23"/>
  <c r="O336" i="23"/>
  <c r="A336" i="23"/>
  <c r="N336" i="23"/>
  <c r="A343" i="23"/>
  <c r="M343" i="23"/>
  <c r="O343" i="23"/>
  <c r="N343" i="23"/>
  <c r="L343" i="23"/>
  <c r="G344" i="23"/>
  <c r="L315" i="23"/>
  <c r="N315" i="23"/>
  <c r="A315" i="23"/>
  <c r="O315" i="23"/>
  <c r="M315" i="23"/>
  <c r="M2377" i="23"/>
  <c r="O2377" i="23"/>
  <c r="N2377" i="23"/>
  <c r="L2377" i="23"/>
  <c r="A2377" i="23"/>
  <c r="M2372" i="23"/>
  <c r="O2372" i="23"/>
  <c r="L2372" i="23"/>
  <c r="A2372" i="23"/>
  <c r="N2372" i="23"/>
  <c r="A2381" i="23"/>
  <c r="L2381" i="23"/>
  <c r="N2381" i="23"/>
  <c r="O2381" i="23"/>
  <c r="M2381" i="23"/>
  <c r="M2383" i="23"/>
  <c r="O2383" i="23"/>
  <c r="L2383" i="23"/>
  <c r="A2383" i="23"/>
  <c r="N2383" i="23"/>
  <c r="O2820" i="23"/>
  <c r="A2820" i="23"/>
  <c r="L2820" i="23"/>
  <c r="N2820" i="23"/>
  <c r="M2820" i="23"/>
  <c r="M481" i="23"/>
  <c r="C481" i="23"/>
  <c r="C482" i="23" s="1"/>
  <c r="C483" i="23" s="1"/>
  <c r="C484" i="23" s="1"/>
  <c r="C485" i="23" s="1"/>
  <c r="L481" i="23"/>
  <c r="O481" i="23"/>
  <c r="A481" i="23"/>
  <c r="N481" i="23"/>
  <c r="A550" i="23"/>
  <c r="L550" i="23"/>
  <c r="O550" i="23"/>
  <c r="N550" i="23"/>
  <c r="M550" i="23"/>
  <c r="O515" i="23"/>
  <c r="L515" i="23"/>
  <c r="M515" i="23"/>
  <c r="N515" i="23"/>
  <c r="A515" i="23"/>
  <c r="N516" i="23"/>
  <c r="M516" i="23"/>
  <c r="L516" i="23"/>
  <c r="O516" i="23"/>
  <c r="A516" i="23"/>
  <c r="N2271" i="23"/>
  <c r="O2271" i="23"/>
  <c r="A2271" i="23"/>
  <c r="M2271" i="23"/>
  <c r="L2271" i="23"/>
  <c r="L497" i="23"/>
  <c r="M497" i="23"/>
  <c r="O497" i="23"/>
  <c r="N497" i="23"/>
  <c r="A497" i="23"/>
  <c r="N350" i="23"/>
  <c r="O350" i="23"/>
  <c r="L350" i="23"/>
  <c r="M350" i="23"/>
  <c r="G353" i="23"/>
  <c r="G352" i="23"/>
  <c r="G354" i="23"/>
  <c r="A350" i="23"/>
  <c r="A351" i="23" s="1"/>
  <c r="O2910" i="23"/>
  <c r="G2911" i="23"/>
  <c r="N2910" i="23"/>
  <c r="L2910" i="23"/>
  <c r="M2910" i="23"/>
  <c r="A2910" i="23"/>
  <c r="O329" i="23"/>
  <c r="L329" i="23"/>
  <c r="A329" i="23"/>
  <c r="N329" i="23"/>
  <c r="A3038" i="23"/>
  <c r="L3038" i="23"/>
  <c r="N3038" i="23"/>
  <c r="O3038" i="23"/>
  <c r="M3038" i="23"/>
  <c r="G508" i="23"/>
  <c r="N508" i="23" s="1"/>
  <c r="N506" i="23"/>
  <c r="L506" i="23"/>
  <c r="A506" i="23"/>
  <c r="M506" i="23"/>
  <c r="O506" i="23"/>
  <c r="N2888" i="23"/>
  <c r="A2888" i="23"/>
  <c r="L2888" i="23"/>
  <c r="M2888" i="23"/>
  <c r="O2888" i="23"/>
  <c r="A2886" i="23"/>
  <c r="L2886" i="23"/>
  <c r="O2886" i="23"/>
  <c r="M2886" i="23"/>
  <c r="N2886" i="23"/>
  <c r="A2901" i="23"/>
  <c r="N2901" i="23"/>
  <c r="L2901" i="23"/>
  <c r="M2901" i="23"/>
  <c r="O2901" i="23"/>
  <c r="A494" i="23"/>
  <c r="O494" i="23"/>
  <c r="M494" i="23"/>
  <c r="N494" i="23"/>
  <c r="L494" i="23"/>
  <c r="O326" i="23"/>
  <c r="A326" i="23"/>
  <c r="M326" i="23"/>
  <c r="N326" i="23"/>
  <c r="L326" i="23"/>
  <c r="O2324" i="23"/>
  <c r="M2324" i="23"/>
  <c r="N2324" i="23"/>
  <c r="A2324" i="23"/>
  <c r="L2324" i="23"/>
  <c r="N2326" i="23"/>
  <c r="O2326" i="23"/>
  <c r="M2326" i="23"/>
  <c r="A2326" i="23"/>
  <c r="L2326" i="23"/>
  <c r="L2332" i="23"/>
  <c r="G2331" i="23"/>
  <c r="N2332" i="23"/>
  <c r="O2332" i="23"/>
  <c r="G2330" i="23"/>
  <c r="A2332" i="23"/>
  <c r="G2329" i="23"/>
  <c r="M2332" i="23"/>
  <c r="O3075" i="23"/>
  <c r="N3075" i="23"/>
  <c r="M3075" i="23"/>
  <c r="A3075" i="23"/>
  <c r="L3075" i="23"/>
  <c r="L3067" i="23"/>
  <c r="A3067" i="23"/>
  <c r="O3067" i="23"/>
  <c r="N3067" i="23"/>
  <c r="M3067" i="23"/>
  <c r="L3056" i="23"/>
  <c r="A3056" i="23"/>
  <c r="N3056" i="23"/>
  <c r="M3056" i="23"/>
  <c r="O3056" i="23"/>
  <c r="M3076" i="23"/>
  <c r="O3076" i="23"/>
  <c r="L3076" i="23"/>
  <c r="A3076" i="23"/>
  <c r="N3076" i="23"/>
  <c r="M3060" i="23"/>
  <c r="N3060" i="23"/>
  <c r="A3060" i="23"/>
  <c r="L3060" i="23"/>
  <c r="O3060" i="23"/>
  <c r="L3046" i="23"/>
  <c r="A3046" i="23"/>
  <c r="N3046" i="23"/>
  <c r="O3046" i="23"/>
  <c r="M3046" i="23"/>
  <c r="L3049" i="23"/>
  <c r="A3049" i="23"/>
  <c r="O3049" i="23"/>
  <c r="M3049" i="23"/>
  <c r="N3049" i="23"/>
  <c r="M3047" i="23"/>
  <c r="N3047" i="23"/>
  <c r="A3047" i="23"/>
  <c r="G3048" i="23"/>
  <c r="O3047" i="23"/>
  <c r="L3047" i="23"/>
  <c r="L2994" i="23"/>
  <c r="N2994" i="23"/>
  <c r="A2994" i="23"/>
  <c r="M2994" i="23"/>
  <c r="O2994" i="23"/>
  <c r="L320" i="23"/>
  <c r="N320" i="23"/>
  <c r="M320" i="23"/>
  <c r="A320" i="23"/>
  <c r="O320" i="23"/>
  <c r="L321" i="23"/>
  <c r="N321" i="23"/>
  <c r="O321" i="23"/>
  <c r="M321" i="23"/>
  <c r="A321" i="23"/>
  <c r="N2908" i="23"/>
  <c r="L2908" i="23"/>
  <c r="A2908" i="23"/>
  <c r="M2908" i="23"/>
  <c r="O2908" i="23"/>
  <c r="L2858" i="23"/>
  <c r="N2858" i="23"/>
  <c r="A2858" i="23"/>
  <c r="L2993" i="23"/>
  <c r="N2993" i="23"/>
  <c r="O2993" i="23"/>
  <c r="M2993" i="23"/>
  <c r="A2993" i="23"/>
  <c r="M316" i="23"/>
  <c r="N316" i="23"/>
  <c r="O316" i="23"/>
  <c r="L316" i="23"/>
  <c r="A316" i="23"/>
  <c r="O2380" i="23"/>
  <c r="A2380" i="23"/>
  <c r="M2380" i="23"/>
  <c r="L2380" i="23"/>
  <c r="N2380" i="23"/>
  <c r="M2368" i="23"/>
  <c r="L2368" i="23"/>
  <c r="A2368" i="23"/>
  <c r="N2368" i="23"/>
  <c r="G2370" i="23"/>
  <c r="O2368" i="23"/>
  <c r="N2369" i="23"/>
  <c r="A2369" i="23"/>
  <c r="O2369" i="23"/>
  <c r="M2369" i="23"/>
  <c r="G2371" i="23"/>
  <c r="L2369" i="23"/>
  <c r="G2818" i="23"/>
  <c r="L2817" i="23"/>
  <c r="O2817" i="23"/>
  <c r="A2817" i="23"/>
  <c r="N2817" i="23"/>
  <c r="G2819" i="23"/>
  <c r="M2817" i="23"/>
  <c r="O511" i="23"/>
  <c r="A511" i="23"/>
  <c r="L511" i="23"/>
  <c r="M511" i="23"/>
  <c r="N511" i="23"/>
  <c r="O513" i="23"/>
  <c r="L513" i="23"/>
  <c r="M513" i="23"/>
  <c r="A513" i="23"/>
  <c r="N513" i="23"/>
  <c r="G2269" i="23"/>
  <c r="M2268" i="23"/>
  <c r="N2268" i="23"/>
  <c r="O2268" i="23"/>
  <c r="L2268" i="23"/>
  <c r="A2268" i="23"/>
  <c r="L2898" i="23"/>
  <c r="O2898" i="23"/>
  <c r="M2898" i="23"/>
  <c r="A2898" i="23"/>
  <c r="N2898" i="23"/>
  <c r="N499" i="23"/>
  <c r="M499" i="23"/>
  <c r="O499" i="23"/>
  <c r="A499" i="23"/>
  <c r="L499" i="23"/>
  <c r="M347" i="23"/>
  <c r="A347" i="23"/>
  <c r="L347" i="23"/>
  <c r="O347" i="23"/>
  <c r="N347" i="23"/>
  <c r="M3037" i="23"/>
  <c r="N3037" i="23"/>
  <c r="L3037" i="23"/>
  <c r="O3037" i="23"/>
  <c r="A3037" i="23"/>
  <c r="O505" i="23"/>
  <c r="M505" i="23"/>
  <c r="A505" i="23"/>
  <c r="N505" i="23"/>
  <c r="L505" i="23"/>
  <c r="O531" i="23"/>
  <c r="N531" i="23"/>
  <c r="A531" i="23"/>
  <c r="L531" i="23"/>
  <c r="M531" i="23"/>
  <c r="N307" i="23"/>
  <c r="O307" i="23"/>
  <c r="G308" i="23"/>
  <c r="M307" i="23"/>
  <c r="A307" i="23"/>
  <c r="L307" i="23"/>
  <c r="A2882" i="23"/>
  <c r="L2882" i="23"/>
  <c r="O2882" i="23"/>
  <c r="N2882" i="23"/>
  <c r="M2882" i="23"/>
  <c r="N2883" i="23"/>
  <c r="M2883" i="23"/>
  <c r="L2883" i="23"/>
  <c r="A2883" i="23"/>
  <c r="O2883" i="23"/>
  <c r="A493" i="23"/>
  <c r="O493" i="23"/>
  <c r="M493" i="23"/>
  <c r="L493" i="23"/>
  <c r="N493" i="23"/>
  <c r="L3069" i="23"/>
  <c r="M3069" i="23"/>
  <c r="N3069" i="23"/>
  <c r="O3069" i="23"/>
  <c r="A3069" i="23"/>
  <c r="N3074" i="23"/>
  <c r="L3074" i="23"/>
  <c r="M3074" i="23"/>
  <c r="O3074" i="23"/>
  <c r="A3074" i="23"/>
  <c r="L3071" i="23"/>
  <c r="A3071" i="23"/>
  <c r="N3071" i="23"/>
  <c r="M3071" i="23"/>
  <c r="O3071" i="23"/>
  <c r="O3062" i="23"/>
  <c r="L3062" i="23"/>
  <c r="M3062" i="23"/>
  <c r="N3062" i="23"/>
  <c r="A3062" i="23"/>
  <c r="O3059" i="23"/>
  <c r="M3059" i="23"/>
  <c r="N3059" i="23"/>
  <c r="L3059" i="23"/>
  <c r="A3059" i="23"/>
  <c r="M485" i="23"/>
  <c r="L485" i="23"/>
  <c r="O485" i="23"/>
  <c r="A485" i="23"/>
  <c r="G486" i="23"/>
  <c r="N485" i="23"/>
  <c r="M2353" i="23"/>
  <c r="N2353" i="23"/>
  <c r="O2353" i="23"/>
  <c r="L2353" i="23"/>
  <c r="A2353" i="23"/>
  <c r="O2862" i="23"/>
  <c r="A2862" i="23"/>
  <c r="L2862" i="23"/>
  <c r="M2862" i="23"/>
  <c r="N2862" i="23"/>
  <c r="G3053" i="23"/>
  <c r="N3041" i="23"/>
  <c r="L3041" i="23"/>
  <c r="M3041" i="23"/>
  <c r="A3041" i="23"/>
  <c r="O3041" i="23"/>
  <c r="N2262" i="23"/>
  <c r="O2262" i="23"/>
  <c r="A2262" i="23"/>
  <c r="M2262" i="23"/>
  <c r="L2262" i="23"/>
  <c r="A2261" i="23"/>
  <c r="O2261" i="23"/>
  <c r="M2261" i="23"/>
  <c r="L2261" i="23"/>
  <c r="N2261" i="23"/>
  <c r="L319" i="23"/>
  <c r="N319" i="23"/>
  <c r="O319" i="23"/>
  <c r="A319" i="23"/>
  <c r="M319" i="23"/>
  <c r="C350" i="23"/>
  <c r="C356" i="23" s="1"/>
  <c r="C374" i="23" s="1"/>
  <c r="A1892" i="23"/>
  <c r="M1892" i="23"/>
  <c r="O1892" i="23"/>
  <c r="L1892" i="23"/>
  <c r="N1892" i="23"/>
  <c r="A2988" i="23"/>
  <c r="L2988" i="23"/>
  <c r="N2988" i="23"/>
  <c r="O2988" i="23"/>
  <c r="M2988" i="23"/>
  <c r="L335" i="23"/>
  <c r="O335" i="23"/>
  <c r="N335" i="23"/>
  <c r="M335" i="23"/>
  <c r="A335" i="23"/>
  <c r="G341" i="23"/>
  <c r="M339" i="23"/>
  <c r="N339" i="23"/>
  <c r="O339" i="23"/>
  <c r="A339" i="23"/>
  <c r="L339" i="23"/>
  <c r="O2382" i="23"/>
  <c r="N2382" i="23"/>
  <c r="L2382" i="23"/>
  <c r="M2382" i="23"/>
  <c r="A2382" i="23"/>
  <c r="L2373" i="23"/>
  <c r="M2373" i="23"/>
  <c r="O2373" i="23"/>
  <c r="A2373" i="23"/>
  <c r="N2373" i="23"/>
  <c r="O2374" i="23"/>
  <c r="L2374" i="23"/>
  <c r="M2374" i="23"/>
  <c r="A2374" i="23"/>
  <c r="N2374" i="23"/>
  <c r="L2325" i="23"/>
  <c r="O2325" i="23"/>
  <c r="N2325" i="23"/>
  <c r="A2325" i="23"/>
  <c r="M2325" i="23"/>
  <c r="O373" i="23"/>
  <c r="L373" i="23"/>
  <c r="A373" i="23"/>
  <c r="M373" i="23"/>
  <c r="N373" i="23"/>
  <c r="O521" i="23"/>
  <c r="M521" i="23"/>
  <c r="N521" i="23"/>
  <c r="A521" i="23"/>
  <c r="L521" i="23"/>
  <c r="A525" i="23"/>
  <c r="L525" i="23"/>
  <c r="N525" i="23"/>
  <c r="O525" i="23"/>
  <c r="M525" i="23"/>
  <c r="O2270" i="23"/>
  <c r="A2270" i="23"/>
  <c r="N2270" i="23"/>
  <c r="M2270" i="23"/>
  <c r="L2270" i="23"/>
  <c r="A500" i="23"/>
  <c r="M500" i="23"/>
  <c r="N500" i="23"/>
  <c r="O500" i="23"/>
  <c r="L500" i="23"/>
  <c r="M498" i="23"/>
  <c r="A498" i="23"/>
  <c r="O498" i="23"/>
  <c r="N498" i="23"/>
  <c r="L498" i="23"/>
  <c r="O349" i="23"/>
  <c r="M349" i="23"/>
  <c r="N349" i="23"/>
  <c r="A349" i="23"/>
  <c r="L349" i="23"/>
  <c r="M2338" i="23"/>
  <c r="L2338" i="23"/>
  <c r="A2338" i="23"/>
  <c r="N2338" i="23"/>
  <c r="O2338" i="23"/>
  <c r="L2314" i="23"/>
  <c r="A2314" i="23"/>
  <c r="N2314" i="23"/>
  <c r="O2314" i="23"/>
  <c r="M2314" i="23"/>
  <c r="L2311" i="23"/>
  <c r="N2311" i="23"/>
  <c r="M2311" i="23"/>
  <c r="O2311" i="23"/>
  <c r="A2311" i="23"/>
  <c r="A2342" i="23"/>
  <c r="O2342" i="23"/>
  <c r="N2342" i="23"/>
  <c r="M2342" i="23"/>
  <c r="L2342" i="23"/>
  <c r="L2355" i="23"/>
  <c r="O2355" i="23"/>
  <c r="M2355" i="23"/>
  <c r="A2355" i="23"/>
  <c r="N2355" i="23"/>
  <c r="G2356" i="23"/>
  <c r="L529" i="23"/>
  <c r="A529" i="23"/>
  <c r="N529" i="23"/>
  <c r="O529" i="23"/>
  <c r="M529" i="23"/>
  <c r="G535" i="23"/>
  <c r="G540" i="23" s="1"/>
  <c r="L532" i="23"/>
  <c r="M532" i="23"/>
  <c r="A532" i="23"/>
  <c r="A533" i="23" s="1"/>
  <c r="O532" i="23"/>
  <c r="G536" i="23"/>
  <c r="N532" i="23"/>
  <c r="O2884" i="23"/>
  <c r="N2884" i="23"/>
  <c r="L2884" i="23"/>
  <c r="M2884" i="23"/>
  <c r="A2884" i="23"/>
  <c r="L2321" i="23"/>
  <c r="M2321" i="23"/>
  <c r="A2321" i="23"/>
  <c r="O2321" i="23"/>
  <c r="N2321" i="23"/>
  <c r="G2322" i="23"/>
  <c r="M372" i="23"/>
  <c r="O372" i="23"/>
  <c r="L372" i="23"/>
  <c r="N372" i="23"/>
  <c r="A372" i="23"/>
  <c r="A3072" i="23"/>
  <c r="O3072" i="23"/>
  <c r="M3072" i="23"/>
  <c r="N3072" i="23"/>
  <c r="G3063" i="23"/>
  <c r="L3072" i="23"/>
  <c r="N3061" i="23"/>
  <c r="M3061" i="23"/>
  <c r="L3061" i="23"/>
  <c r="O3061" i="23"/>
  <c r="A3061" i="23"/>
  <c r="L3073" i="23"/>
  <c r="A3073" i="23"/>
  <c r="N3073" i="23"/>
  <c r="O3073" i="23"/>
  <c r="M3073" i="23"/>
  <c r="A3064" i="23"/>
  <c r="O3064" i="23"/>
  <c r="M3064" i="23"/>
  <c r="L3064" i="23"/>
  <c r="N3064" i="23"/>
  <c r="A3066" i="23"/>
  <c r="N3066" i="23"/>
  <c r="O3066" i="23"/>
  <c r="M3066" i="23"/>
  <c r="L3066" i="23"/>
  <c r="M3052" i="23"/>
  <c r="A3052" i="23"/>
  <c r="N3052" i="23"/>
  <c r="L3052" i="23"/>
  <c r="O3052" i="23"/>
  <c r="L3042" i="23"/>
  <c r="A3042" i="23"/>
  <c r="O3042" i="23"/>
  <c r="N3042" i="23"/>
  <c r="M3042" i="23"/>
  <c r="G3043" i="23"/>
  <c r="A3035" i="23"/>
  <c r="N3035" i="23"/>
  <c r="L3035" i="23"/>
  <c r="O3035" i="23"/>
  <c r="M3035" i="23"/>
  <c r="O507" i="23"/>
  <c r="L507" i="23"/>
  <c r="M507" i="23"/>
  <c r="N507" i="23"/>
  <c r="A507" i="23"/>
  <c r="M322" i="23"/>
  <c r="L322" i="23"/>
  <c r="A322" i="23"/>
  <c r="N322" i="23"/>
  <c r="O322" i="23"/>
  <c r="O362" i="23"/>
  <c r="M362" i="23"/>
  <c r="A362" i="23"/>
  <c r="N362" i="23"/>
  <c r="L362" i="23"/>
  <c r="O2863" i="23"/>
  <c r="A2863" i="23"/>
  <c r="N2863" i="23"/>
  <c r="M2863" i="23"/>
  <c r="L2863" i="23"/>
  <c r="M558" i="23"/>
  <c r="L558" i="23"/>
  <c r="O558" i="23"/>
  <c r="N558" i="23"/>
  <c r="A558" i="23"/>
  <c r="M340" i="23"/>
  <c r="N340" i="23"/>
  <c r="O340" i="23"/>
  <c r="A340" i="23"/>
  <c r="L340" i="23"/>
  <c r="A338" i="23"/>
  <c r="L338" i="23"/>
  <c r="N338" i="23"/>
  <c r="M338" i="23"/>
  <c r="O338" i="23"/>
  <c r="M337" i="23"/>
  <c r="O337" i="23"/>
  <c r="A337" i="23"/>
  <c r="L337" i="23"/>
  <c r="N337" i="23"/>
  <c r="L2367" i="23"/>
  <c r="N2367" i="23"/>
  <c r="O2367" i="23"/>
  <c r="A2367" i="23"/>
  <c r="G2384" i="23"/>
  <c r="M2367" i="23"/>
  <c r="M2378" i="23"/>
  <c r="O2378" i="23"/>
  <c r="A2378" i="23"/>
  <c r="N2378" i="23"/>
  <c r="L2378" i="23"/>
  <c r="G2379" i="23"/>
  <c r="L2366" i="23"/>
  <c r="O2366" i="23"/>
  <c r="M2366" i="23"/>
  <c r="N2366" i="23"/>
  <c r="A2366" i="23"/>
  <c r="N363" i="23"/>
  <c r="L363" i="23"/>
  <c r="M363" i="23"/>
  <c r="A363" i="23"/>
  <c r="O363" i="23"/>
  <c r="M2357" i="23"/>
  <c r="L2357" i="23"/>
  <c r="N2357" i="23"/>
  <c r="O2357" i="23"/>
  <c r="A2357" i="23"/>
  <c r="L512" i="23"/>
  <c r="A512" i="23"/>
  <c r="N512" i="23"/>
  <c r="M512" i="23"/>
  <c r="O512" i="23"/>
  <c r="N2992" i="23"/>
  <c r="L2992" i="23"/>
  <c r="O2992" i="23"/>
  <c r="M2992" i="23"/>
  <c r="A2992" i="23"/>
  <c r="A1113" i="23"/>
  <c r="AK257" i="2"/>
  <c r="BP257" i="2" s="1"/>
  <c r="AK382" i="2"/>
  <c r="BP382" i="2" s="1"/>
  <c r="AK226" i="2"/>
  <c r="BP226" i="2" s="1"/>
  <c r="AK380" i="2"/>
  <c r="BP380" i="2" s="1"/>
  <c r="AK262" i="2"/>
  <c r="BP262" i="2" s="1"/>
  <c r="AK264" i="2"/>
  <c r="BP264" i="2" s="1"/>
  <c r="AK377" i="2"/>
  <c r="BP377" i="2" s="1"/>
  <c r="AK248" i="2"/>
  <c r="BP248" i="2" s="1"/>
  <c r="AK219" i="2"/>
  <c r="BP219" i="2" s="1"/>
  <c r="AK246" i="2"/>
  <c r="BP246" i="2" s="1"/>
  <c r="N723" i="49"/>
  <c r="AK141" i="2"/>
  <c r="BP141" i="2" s="1"/>
  <c r="AK91" i="2"/>
  <c r="BP91" i="2" s="1"/>
  <c r="AK86" i="2"/>
  <c r="BP86" i="2" s="1"/>
  <c r="AK356" i="2"/>
  <c r="BP356" i="2" s="1"/>
  <c r="AK83" i="2"/>
  <c r="BP83" i="2" s="1"/>
  <c r="AK368" i="2"/>
  <c r="BP368" i="2" s="1"/>
  <c r="AK179" i="2"/>
  <c r="BP179" i="2" s="1"/>
  <c r="AK295" i="2"/>
  <c r="BP295" i="2" s="1"/>
  <c r="AK114" i="2"/>
  <c r="BP114" i="2" s="1"/>
  <c r="AK292" i="2"/>
  <c r="BP292" i="2" s="1"/>
  <c r="AK118" i="2"/>
  <c r="BP118" i="2" s="1"/>
  <c r="AK345" i="2"/>
  <c r="BP345" i="2" s="1"/>
  <c r="AK180" i="2"/>
  <c r="BP180" i="2" s="1"/>
  <c r="AK290" i="2"/>
  <c r="BP290" i="2" s="1"/>
  <c r="AK375" i="2"/>
  <c r="BP375" i="2" s="1"/>
  <c r="AK339" i="2"/>
  <c r="BP339" i="2" s="1"/>
  <c r="AK254" i="2"/>
  <c r="BP254" i="2" s="1"/>
  <c r="AK293" i="2"/>
  <c r="BP293" i="2" s="1"/>
  <c r="AK189" i="2"/>
  <c r="BP189" i="2" s="1"/>
  <c r="AK228" i="2"/>
  <c r="BP228" i="2" s="1"/>
  <c r="O723" i="49"/>
  <c r="C1540" i="1"/>
  <c r="C1562" i="1"/>
  <c r="C1597" i="1"/>
  <c r="C1583" i="1"/>
  <c r="C1671" i="1"/>
  <c r="C1703" i="1"/>
  <c r="C1520" i="1"/>
  <c r="C1560" i="1"/>
  <c r="C1594" i="1"/>
  <c r="C1495" i="1"/>
  <c r="C1461" i="1"/>
  <c r="C1551" i="1"/>
  <c r="C1661" i="1"/>
  <c r="C1564" i="1"/>
  <c r="C1519" i="1"/>
  <c r="C1692" i="1"/>
  <c r="C1561" i="1"/>
  <c r="C1507" i="1"/>
  <c r="C1511" i="1"/>
  <c r="C1494" i="1"/>
  <c r="C1699" i="1"/>
  <c r="C1649" i="1"/>
  <c r="C1521" i="1"/>
  <c r="C1563" i="1"/>
  <c r="C1700" i="1"/>
  <c r="C1509" i="1"/>
  <c r="C1496" i="1"/>
  <c r="C1478" i="1"/>
  <c r="C1704" i="1"/>
  <c r="C1508" i="1"/>
  <c r="C1553" i="1"/>
  <c r="C1697" i="1"/>
  <c r="Q1265" i="23"/>
  <c r="L227" i="49"/>
  <c r="O227" i="49"/>
  <c r="M227" i="49"/>
  <c r="N227" i="49"/>
  <c r="O515" i="49"/>
  <c r="N515" i="49"/>
  <c r="A515" i="49"/>
  <c r="L515" i="49"/>
  <c r="M515" i="49"/>
  <c r="O55" i="49"/>
  <c r="N55" i="49"/>
  <c r="L55" i="49"/>
  <c r="M55" i="49"/>
  <c r="G82" i="49"/>
  <c r="A82" i="49" s="1"/>
  <c r="G43" i="49"/>
  <c r="A43" i="49" s="1"/>
  <c r="L38" i="49"/>
  <c r="M38" i="49"/>
  <c r="O38" i="49"/>
  <c r="N38" i="49"/>
  <c r="O59" i="49"/>
  <c r="G85" i="49"/>
  <c r="A85" i="49" s="1"/>
  <c r="M59" i="49"/>
  <c r="N59" i="49"/>
  <c r="L59" i="49"/>
  <c r="M45" i="49"/>
  <c r="O45" i="49"/>
  <c r="L45" i="49"/>
  <c r="N45" i="49"/>
  <c r="N40" i="49"/>
  <c r="M40" i="49"/>
  <c r="O40" i="49"/>
  <c r="L40" i="49"/>
  <c r="N39" i="49"/>
  <c r="O39" i="49"/>
  <c r="L39" i="49"/>
  <c r="M39" i="49"/>
  <c r="G181" i="49"/>
  <c r="A181" i="49" s="1"/>
  <c r="N174" i="49"/>
  <c r="O174" i="49"/>
  <c r="G179" i="49"/>
  <c r="A179" i="49" s="1"/>
  <c r="G180" i="49"/>
  <c r="A180" i="49" s="1"/>
  <c r="G177" i="49"/>
  <c r="A177" i="49" s="1"/>
  <c r="G182" i="49"/>
  <c r="A182" i="49" s="1"/>
  <c r="G186" i="49"/>
  <c r="A186" i="49" s="1"/>
  <c r="G184" i="49"/>
  <c r="A184" i="49" s="1"/>
  <c r="M174" i="49"/>
  <c r="G176" i="49"/>
  <c r="A176" i="49" s="1"/>
  <c r="G187" i="49"/>
  <c r="A187" i="49" s="1"/>
  <c r="L174" i="49"/>
  <c r="G178" i="49"/>
  <c r="A178" i="49" s="1"/>
  <c r="N71" i="49"/>
  <c r="O71" i="49"/>
  <c r="L71" i="49"/>
  <c r="M71" i="49"/>
  <c r="L228" i="49"/>
  <c r="N228" i="49"/>
  <c r="M228" i="49"/>
  <c r="O228" i="49"/>
  <c r="AK109" i="2"/>
  <c r="BP109" i="2" s="1"/>
  <c r="G69" i="49"/>
  <c r="A69" i="49" s="1"/>
  <c r="G93" i="49"/>
  <c r="A93" i="49" s="1"/>
  <c r="L37" i="49"/>
  <c r="M37" i="49"/>
  <c r="G42" i="49"/>
  <c r="A42" i="49" s="1"/>
  <c r="O37" i="49"/>
  <c r="N37" i="49"/>
  <c r="G173" i="49"/>
  <c r="A173" i="49" s="1"/>
  <c r="G168" i="49"/>
  <c r="A168" i="49" s="1"/>
  <c r="O162" i="49"/>
  <c r="N162" i="49"/>
  <c r="L162" i="49"/>
  <c r="G167" i="49"/>
  <c r="A167" i="49" s="1"/>
  <c r="G172" i="49"/>
  <c r="A172" i="49" s="1"/>
  <c r="G165" i="49"/>
  <c r="A165" i="49" s="1"/>
  <c r="G166" i="49"/>
  <c r="A166" i="49" s="1"/>
  <c r="G169" i="49"/>
  <c r="A169" i="49" s="1"/>
  <c r="G164" i="49"/>
  <c r="A164" i="49" s="1"/>
  <c r="M162" i="49"/>
  <c r="G152" i="49"/>
  <c r="A152" i="49" s="1"/>
  <c r="G153" i="49"/>
  <c r="A153" i="49" s="1"/>
  <c r="G147" i="49"/>
  <c r="A147" i="49" s="1"/>
  <c r="O140" i="49"/>
  <c r="G148" i="49"/>
  <c r="A148" i="49" s="1"/>
  <c r="G142" i="49"/>
  <c r="A142" i="49" s="1"/>
  <c r="L140" i="49"/>
  <c r="G144" i="49"/>
  <c r="A144" i="49" s="1"/>
  <c r="M140" i="49"/>
  <c r="G143" i="49"/>
  <c r="A143" i="49" s="1"/>
  <c r="G145" i="49"/>
  <c r="A145" i="49" s="1"/>
  <c r="N140" i="49"/>
  <c r="G146" i="49"/>
  <c r="A146" i="49" s="1"/>
  <c r="G150" i="49"/>
  <c r="A150" i="49" s="1"/>
  <c r="AK130" i="2"/>
  <c r="BP130" i="2" s="1"/>
  <c r="AK103" i="2"/>
  <c r="BP103" i="2" s="1"/>
  <c r="O654" i="23"/>
  <c r="A1445" i="23"/>
  <c r="O1445" i="23"/>
  <c r="M1445" i="23"/>
  <c r="L1445" i="23"/>
  <c r="N1445" i="23"/>
  <c r="N1447" i="23"/>
  <c r="O1447" i="23"/>
  <c r="L1447" i="23"/>
  <c r="M1447" i="23"/>
  <c r="A1447" i="23"/>
  <c r="O1446" i="23"/>
  <c r="M1446" i="23"/>
  <c r="L1446" i="23"/>
  <c r="A1446" i="23"/>
  <c r="N1446" i="23"/>
  <c r="L1491" i="23"/>
  <c r="M1491" i="23"/>
  <c r="A1491" i="23"/>
  <c r="N1491" i="23"/>
  <c r="O1491" i="23"/>
  <c r="M1504" i="23"/>
  <c r="O1504" i="23"/>
  <c r="N1504" i="23"/>
  <c r="A1504" i="23"/>
  <c r="L1504" i="23"/>
  <c r="A1492" i="23"/>
  <c r="L1492" i="23"/>
  <c r="O1492" i="23"/>
  <c r="M1492" i="23"/>
  <c r="N1492" i="23"/>
  <c r="L654" i="23"/>
  <c r="A246" i="23"/>
  <c r="N246" i="23"/>
  <c r="M246" i="23"/>
  <c r="O246" i="23"/>
  <c r="L246" i="23"/>
  <c r="L247" i="23"/>
  <c r="M247" i="23"/>
  <c r="N247" i="23"/>
  <c r="A247" i="23"/>
  <c r="O247" i="23"/>
  <c r="L229" i="23"/>
  <c r="N229" i="23"/>
  <c r="O229" i="23"/>
  <c r="A229" i="23"/>
  <c r="M229" i="23"/>
  <c r="N838" i="23"/>
  <c r="O838" i="23"/>
  <c r="L838" i="23"/>
  <c r="M838" i="23"/>
  <c r="N256" i="23"/>
  <c r="L256" i="23"/>
  <c r="M256" i="23"/>
  <c r="O256" i="23"/>
  <c r="A256" i="23"/>
  <c r="N258" i="23"/>
  <c r="L258" i="23"/>
  <c r="M258" i="23"/>
  <c r="A258" i="23"/>
  <c r="O258" i="23"/>
  <c r="N250" i="23"/>
  <c r="L250" i="23"/>
  <c r="A250" i="23"/>
  <c r="O250" i="23"/>
  <c r="M250" i="23"/>
  <c r="M248" i="23"/>
  <c r="A248" i="23"/>
  <c r="O248" i="23"/>
  <c r="L248" i="23"/>
  <c r="N248" i="23"/>
  <c r="M389" i="23"/>
  <c r="N389" i="23"/>
  <c r="N390" i="23" s="1"/>
  <c r="L389" i="23"/>
  <c r="L390" i="23" s="1"/>
  <c r="O389" i="23"/>
  <c r="O390" i="23" s="1"/>
  <c r="A389" i="23"/>
  <c r="C389" i="23"/>
  <c r="M33" i="2" s="1"/>
  <c r="AR33" i="2" s="1"/>
  <c r="N822" i="23"/>
  <c r="L822" i="23"/>
  <c r="M822" i="23"/>
  <c r="A822" i="23"/>
  <c r="O822" i="23"/>
  <c r="M245" i="23"/>
  <c r="L245" i="23"/>
  <c r="G251" i="23"/>
  <c r="N245" i="23"/>
  <c r="O245" i="23"/>
  <c r="A245" i="23"/>
  <c r="A249" i="23"/>
  <c r="M249" i="23"/>
  <c r="N249" i="23"/>
  <c r="O249" i="23"/>
  <c r="L249" i="23"/>
  <c r="A282" i="23"/>
  <c r="M282" i="23"/>
  <c r="L282" i="23"/>
  <c r="N282" i="23"/>
  <c r="O282" i="23"/>
  <c r="M230" i="23"/>
  <c r="O230" i="23"/>
  <c r="N230" i="23"/>
  <c r="A230" i="23"/>
  <c r="L230" i="23"/>
  <c r="N231" i="23"/>
  <c r="O231" i="23"/>
  <c r="L231" i="23"/>
  <c r="A231" i="23"/>
  <c r="M231" i="23"/>
  <c r="O228" i="23"/>
  <c r="N228" i="23"/>
  <c r="M228" i="23"/>
  <c r="A228" i="23"/>
  <c r="L228" i="23"/>
  <c r="O238" i="23"/>
  <c r="A238" i="23"/>
  <c r="N238" i="23"/>
  <c r="L238" i="23"/>
  <c r="M823" i="23"/>
  <c r="N823" i="23"/>
  <c r="O823" i="23"/>
  <c r="L823" i="23"/>
  <c r="A823" i="23"/>
  <c r="M244" i="23"/>
  <c r="L244" i="23"/>
  <c r="N244" i="23"/>
  <c r="A244" i="23"/>
  <c r="O244" i="23"/>
  <c r="A252" i="23"/>
  <c r="N252" i="23"/>
  <c r="O252" i="23"/>
  <c r="M252" i="23"/>
  <c r="L252" i="23"/>
  <c r="L281" i="23"/>
  <c r="N281" i="23"/>
  <c r="O281" i="23"/>
  <c r="A281" i="23"/>
  <c r="M281" i="23"/>
  <c r="L292" i="23"/>
  <c r="A292" i="23"/>
  <c r="N292" i="23"/>
  <c r="M292" i="23"/>
  <c r="O292" i="23"/>
  <c r="N225" i="23"/>
  <c r="A225" i="23"/>
  <c r="L225" i="23"/>
  <c r="M225" i="23"/>
  <c r="O225" i="23"/>
  <c r="N224" i="23"/>
  <c r="A224" i="23"/>
  <c r="L224" i="23"/>
  <c r="M224" i="23"/>
  <c r="O224" i="23"/>
  <c r="L235" i="23"/>
  <c r="A235" i="23"/>
  <c r="O235" i="23"/>
  <c r="M235" i="23"/>
  <c r="N235" i="23"/>
  <c r="M847" i="23"/>
  <c r="N847" i="23"/>
  <c r="L847" i="23"/>
  <c r="O847" i="23"/>
  <c r="L291" i="23"/>
  <c r="M291" i="23"/>
  <c r="A291" i="23"/>
  <c r="N291" i="23"/>
  <c r="O291" i="23"/>
  <c r="O257" i="23"/>
  <c r="L257" i="23"/>
  <c r="A257" i="23"/>
  <c r="M257" i="23"/>
  <c r="N257" i="23"/>
  <c r="M259" i="23"/>
  <c r="N259" i="23"/>
  <c r="A259" i="23"/>
  <c r="A260" i="23" s="1"/>
  <c r="O259" i="23"/>
  <c r="G267" i="23"/>
  <c r="G266" i="23"/>
  <c r="G261" i="23"/>
  <c r="L259" i="23"/>
  <c r="L983" i="23"/>
  <c r="N983" i="23"/>
  <c r="O983" i="23"/>
  <c r="M983" i="23"/>
  <c r="N975" i="23"/>
  <c r="O975" i="23"/>
  <c r="M975" i="23"/>
  <c r="L975" i="23"/>
  <c r="A975" i="23"/>
  <c r="O3195" i="23"/>
  <c r="L3195" i="23"/>
  <c r="A3195" i="23"/>
  <c r="M3195" i="23"/>
  <c r="N3195" i="23"/>
  <c r="O2922" i="23"/>
  <c r="M2922" i="23"/>
  <c r="N2922" i="23"/>
  <c r="L2922" i="23"/>
  <c r="A2922" i="23"/>
  <c r="L991" i="23"/>
  <c r="O991" i="23"/>
  <c r="N991" i="23"/>
  <c r="M991" i="23"/>
  <c r="M2918" i="23"/>
  <c r="O2918" i="23"/>
  <c r="A2918" i="23"/>
  <c r="N2918" i="23"/>
  <c r="L2918" i="23"/>
  <c r="N1600" i="23"/>
  <c r="L1600" i="23"/>
  <c r="O1600" i="23"/>
  <c r="M1600" i="23"/>
  <c r="A1600" i="23"/>
  <c r="L3363" i="23"/>
  <c r="M3363" i="23"/>
  <c r="A3363" i="23"/>
  <c r="N3363" i="23"/>
  <c r="O3363" i="23"/>
  <c r="O3215" i="23"/>
  <c r="A3215" i="23"/>
  <c r="N3215" i="23"/>
  <c r="M3215" i="23"/>
  <c r="L3215" i="23"/>
  <c r="L993" i="23"/>
  <c r="N993" i="23"/>
  <c r="M993" i="23"/>
  <c r="O993" i="23"/>
  <c r="M989" i="23"/>
  <c r="O989" i="23"/>
  <c r="L989" i="23"/>
  <c r="N989" i="23"/>
  <c r="O2274" i="23"/>
  <c r="N2274" i="23"/>
  <c r="L2274" i="23"/>
  <c r="M2274" i="23"/>
  <c r="A2274" i="23"/>
  <c r="A2924" i="23"/>
  <c r="L2924" i="23"/>
  <c r="O2924" i="23"/>
  <c r="N2924" i="23"/>
  <c r="M2924" i="23"/>
  <c r="A2421" i="23"/>
  <c r="M2421" i="23"/>
  <c r="L2421" i="23"/>
  <c r="N2421" i="23"/>
  <c r="O2421" i="23"/>
  <c r="M3368" i="23"/>
  <c r="L3368" i="23"/>
  <c r="O3368" i="23"/>
  <c r="N3368" i="23"/>
  <c r="A3368" i="23"/>
  <c r="N3200" i="23"/>
  <c r="L3200" i="23"/>
  <c r="M3200" i="23"/>
  <c r="O3200" i="23"/>
  <c r="A3200" i="23"/>
  <c r="N994" i="23"/>
  <c r="O994" i="23"/>
  <c r="N2275" i="23"/>
  <c r="A2275" i="23"/>
  <c r="L2275" i="23"/>
  <c r="O2275" i="23"/>
  <c r="M2275" i="23"/>
  <c r="N984" i="23"/>
  <c r="M984" i="23"/>
  <c r="O984" i="23"/>
  <c r="L984" i="23"/>
  <c r="A2363" i="23"/>
  <c r="O2363" i="23"/>
  <c r="N2363" i="23"/>
  <c r="L2363" i="23"/>
  <c r="M2363" i="23"/>
  <c r="O3426" i="23"/>
  <c r="A3426" i="23"/>
  <c r="L3426" i="23"/>
  <c r="M3426" i="23"/>
  <c r="N3426" i="23"/>
  <c r="A3210" i="23"/>
  <c r="L3210" i="23"/>
  <c r="M3210" i="23"/>
  <c r="N3210" i="23"/>
  <c r="O3210" i="23"/>
  <c r="O2900" i="23"/>
  <c r="M2900" i="23"/>
  <c r="A2900" i="23"/>
  <c r="L2900" i="23"/>
  <c r="N2900" i="23"/>
  <c r="N3205" i="23"/>
  <c r="A3205" i="23"/>
  <c r="O3205" i="23"/>
  <c r="L3205" i="23"/>
  <c r="M3205" i="23"/>
  <c r="A2420" i="23"/>
  <c r="N2420" i="23"/>
  <c r="M2420" i="23"/>
  <c r="O2420" i="23"/>
  <c r="L2420" i="23"/>
  <c r="L1126" i="23"/>
  <c r="N1126" i="23"/>
  <c r="A1126" i="23"/>
  <c r="O1126" i="23"/>
  <c r="M1126" i="23"/>
  <c r="L2728" i="23"/>
  <c r="O2728" i="23"/>
  <c r="M2728" i="23"/>
  <c r="N2728" i="23"/>
  <c r="N1615" i="23"/>
  <c r="L1615" i="23"/>
  <c r="O1615" i="23"/>
  <c r="M1615" i="23"/>
  <c r="A1615" i="23"/>
  <c r="A1620" i="23"/>
  <c r="L1620" i="23"/>
  <c r="N1620" i="23"/>
  <c r="O1620" i="23"/>
  <c r="M1620" i="23"/>
  <c r="G1621" i="23"/>
  <c r="L679" i="23"/>
  <c r="M679" i="23"/>
  <c r="A679" i="23"/>
  <c r="O679" i="23"/>
  <c r="N679" i="23"/>
  <c r="N1176" i="23"/>
  <c r="L1176" i="23"/>
  <c r="A1176" i="23"/>
  <c r="O1176" i="23"/>
  <c r="M1176" i="23"/>
  <c r="L685" i="23"/>
  <c r="O685" i="23"/>
  <c r="N685" i="23"/>
  <c r="A685" i="23"/>
  <c r="M685" i="23"/>
  <c r="Q1276" i="23"/>
  <c r="N1125" i="23"/>
  <c r="A1125" i="23"/>
  <c r="L1125" i="23"/>
  <c r="M1125" i="23"/>
  <c r="O1125" i="23"/>
  <c r="O703" i="23"/>
  <c r="N703" i="23"/>
  <c r="L703" i="23"/>
  <c r="M703" i="23"/>
  <c r="M1303" i="23"/>
  <c r="L1303" i="23"/>
  <c r="N1303" i="23"/>
  <c r="A1303" i="23"/>
  <c r="O1303" i="23"/>
  <c r="M2724" i="23"/>
  <c r="L2724" i="23"/>
  <c r="O2724" i="23"/>
  <c r="N2724" i="23"/>
  <c r="O678" i="23"/>
  <c r="L678" i="23"/>
  <c r="N678" i="23"/>
  <c r="A678" i="23"/>
  <c r="M678" i="23"/>
  <c r="L1329" i="23"/>
  <c r="Q1324" i="23" s="1"/>
  <c r="N1329" i="23"/>
  <c r="S1324" i="23" s="1"/>
  <c r="A1329" i="23"/>
  <c r="O1329" i="23"/>
  <c r="T1324" i="23" s="1"/>
  <c r="M1329" i="23"/>
  <c r="R1324" i="23" s="1"/>
  <c r="N683" i="23"/>
  <c r="M683" i="23"/>
  <c r="L683" i="23"/>
  <c r="A683" i="23"/>
  <c r="O683" i="23"/>
  <c r="M689" i="23"/>
  <c r="L689" i="23"/>
  <c r="A689" i="23"/>
  <c r="O689" i="23"/>
  <c r="N689" i="23"/>
  <c r="AK341" i="2"/>
  <c r="BP341" i="2" s="1"/>
  <c r="AK151" i="2"/>
  <c r="BP151" i="2" s="1"/>
  <c r="AK242" i="2"/>
  <c r="BP242" i="2" s="1"/>
  <c r="AK198" i="2"/>
  <c r="BP198" i="2" s="1"/>
  <c r="AK359" i="2"/>
  <c r="BP359" i="2" s="1"/>
  <c r="AK367" i="2"/>
  <c r="BP367" i="2" s="1"/>
  <c r="S1265" i="23"/>
  <c r="O721" i="23"/>
  <c r="L721" i="23"/>
  <c r="M721" i="23"/>
  <c r="A721" i="23"/>
  <c r="N721" i="23"/>
  <c r="A706" i="23"/>
  <c r="M706" i="23"/>
  <c r="O706" i="23"/>
  <c r="L706" i="23"/>
  <c r="N706" i="23"/>
  <c r="M1625" i="23"/>
  <c r="L1625" i="23"/>
  <c r="A1625" i="23"/>
  <c r="N1625" i="23"/>
  <c r="O1625" i="23"/>
  <c r="L709" i="23"/>
  <c r="A709" i="23"/>
  <c r="N709" i="23"/>
  <c r="O709" i="23"/>
  <c r="G710" i="23"/>
  <c r="G711" i="23"/>
  <c r="M709" i="23"/>
  <c r="M1536" i="23"/>
  <c r="A1536" i="23"/>
  <c r="L1536" i="23"/>
  <c r="N1536" i="23"/>
  <c r="O1536" i="23"/>
  <c r="M594" i="49"/>
  <c r="N594" i="49"/>
  <c r="A594" i="49"/>
  <c r="O594" i="49"/>
  <c r="L594" i="49"/>
  <c r="N1177" i="23"/>
  <c r="O1177" i="23"/>
  <c r="M1177" i="23"/>
  <c r="A1177" i="23"/>
  <c r="L1177" i="23"/>
  <c r="L1175" i="23"/>
  <c r="A1175" i="23"/>
  <c r="M1175" i="23"/>
  <c r="O1175" i="23"/>
  <c r="N1175" i="23"/>
  <c r="N1616" i="23"/>
  <c r="M1616" i="23"/>
  <c r="L1616" i="23"/>
  <c r="O1616" i="23"/>
  <c r="A1616" i="23"/>
  <c r="M2730" i="23"/>
  <c r="L2730" i="23"/>
  <c r="O2730" i="23"/>
  <c r="N2730" i="23"/>
  <c r="L684" i="23"/>
  <c r="O684" i="23"/>
  <c r="N684" i="23"/>
  <c r="M684" i="23"/>
  <c r="A684" i="23"/>
  <c r="N682" i="23"/>
  <c r="L682" i="23"/>
  <c r="M682" i="23"/>
  <c r="O682" i="23"/>
  <c r="A682" i="23"/>
  <c r="O2703" i="23"/>
  <c r="N2703" i="23"/>
  <c r="A2703" i="23"/>
  <c r="M2703" i="23"/>
  <c r="L2703" i="23"/>
  <c r="O595" i="49"/>
  <c r="A595" i="49"/>
  <c r="L595" i="49"/>
  <c r="M595" i="49"/>
  <c r="N595" i="49"/>
  <c r="R1265" i="23"/>
  <c r="N1302" i="23"/>
  <c r="L1302" i="23"/>
  <c r="O1302" i="23"/>
  <c r="A1302" i="23"/>
  <c r="M1302" i="23"/>
  <c r="O704" i="23"/>
  <c r="M704" i="23"/>
  <c r="L704" i="23"/>
  <c r="N704" i="23"/>
  <c r="L1537" i="23"/>
  <c r="M1537" i="23"/>
  <c r="A1537" i="23"/>
  <c r="N1537" i="23"/>
  <c r="O1537" i="23"/>
  <c r="N1531" i="23"/>
  <c r="L1531" i="23"/>
  <c r="M1531" i="23"/>
  <c r="O1531" i="23"/>
  <c r="A1531" i="23"/>
  <c r="A596" i="49"/>
  <c r="N596" i="49"/>
  <c r="L596" i="49"/>
  <c r="O596" i="49"/>
  <c r="M596" i="49"/>
  <c r="AK241" i="2"/>
  <c r="BP241" i="2" s="1"/>
  <c r="AK153" i="2"/>
  <c r="BP153" i="2" s="1"/>
  <c r="AK200" i="2"/>
  <c r="BP200" i="2" s="1"/>
  <c r="AK202" i="2"/>
  <c r="BP202" i="2" s="1"/>
  <c r="AK146" i="2"/>
  <c r="BP146" i="2" s="1"/>
  <c r="AK193" i="2"/>
  <c r="BP193" i="2" s="1"/>
  <c r="AK236" i="2"/>
  <c r="BP236" i="2" s="1"/>
  <c r="AK195" i="2"/>
  <c r="BP195" i="2" s="1"/>
  <c r="L723" i="49"/>
  <c r="C1913" i="1"/>
  <c r="C2015" i="1"/>
  <c r="C1942" i="1"/>
  <c r="C1931" i="1"/>
  <c r="T1904" i="1"/>
  <c r="C1992" i="1"/>
  <c r="N654" i="23"/>
  <c r="O185" i="23"/>
  <c r="L185" i="23"/>
  <c r="A185" i="23"/>
  <c r="M185" i="23"/>
  <c r="M205" i="23" s="1"/>
  <c r="N185" i="23"/>
  <c r="G184" i="23"/>
  <c r="J110" i="2" s="1"/>
  <c r="AO110" i="2" s="1"/>
  <c r="O183" i="23"/>
  <c r="L183" i="23"/>
  <c r="N183" i="23"/>
  <c r="A183" i="23"/>
  <c r="U1904" i="1"/>
  <c r="M92" i="23"/>
  <c r="G106" i="23"/>
  <c r="A92" i="23"/>
  <c r="O92" i="23"/>
  <c r="L92" i="23"/>
  <c r="N92" i="23"/>
  <c r="S1886" i="1"/>
  <c r="C1886" i="1"/>
  <c r="T1886" i="1"/>
  <c r="H1886" i="1"/>
  <c r="L1886" i="1" s="1"/>
  <c r="U1886" i="1"/>
  <c r="C1891" i="1"/>
  <c r="S1891" i="1"/>
  <c r="U1891" i="1"/>
  <c r="H1891" i="1"/>
  <c r="L1891" i="1" s="1"/>
  <c r="T1891" i="1"/>
  <c r="AK110" i="2"/>
  <c r="BP110" i="2" s="1"/>
  <c r="AK349" i="2"/>
  <c r="BP349" i="2" s="1"/>
  <c r="AK340" i="2"/>
  <c r="BP340" i="2" s="1"/>
  <c r="C1954" i="1"/>
  <c r="C1930" i="1"/>
  <c r="C1964" i="1"/>
  <c r="C1980" i="1"/>
  <c r="C1959" i="1"/>
  <c r="C2000" i="1"/>
  <c r="C1929" i="1"/>
  <c r="C1978" i="1"/>
  <c r="C1988" i="1"/>
  <c r="C1979" i="1"/>
  <c r="C1912" i="1"/>
  <c r="C1990" i="1"/>
  <c r="C1981" i="1"/>
  <c r="C2012" i="1"/>
  <c r="C1993" i="1"/>
  <c r="C1916" i="1"/>
  <c r="C1991" i="1"/>
  <c r="C1989" i="1"/>
  <c r="C2018" i="1"/>
  <c r="C1997" i="1"/>
  <c r="C2014" i="1"/>
  <c r="C1994" i="1"/>
  <c r="C2006" i="1"/>
  <c r="C1996" i="1"/>
  <c r="O1583" i="23" l="1"/>
  <c r="L1583" i="23"/>
  <c r="A1583" i="23"/>
  <c r="M1583" i="23"/>
  <c r="N1583" i="23"/>
  <c r="A1582" i="23"/>
  <c r="L1582" i="23"/>
  <c r="O1582" i="23"/>
  <c r="M1582" i="23"/>
  <c r="N1582" i="23"/>
  <c r="O1581" i="23"/>
  <c r="N1581" i="23"/>
  <c r="A1581" i="23"/>
  <c r="L1581" i="23"/>
  <c r="M1581" i="23"/>
  <c r="A1304" i="23"/>
  <c r="L2772" i="23"/>
  <c r="N2772" i="23"/>
  <c r="N2764" i="23" s="1"/>
  <c r="N2786" i="23" s="1"/>
  <c r="O2772" i="23"/>
  <c r="O1765" i="23"/>
  <c r="N1820" i="23"/>
  <c r="M1765" i="23"/>
  <c r="A2772" i="23"/>
  <c r="A1765" i="23"/>
  <c r="M264" i="23"/>
  <c r="S1330" i="23"/>
  <c r="O445" i="23"/>
  <c r="O472" i="23" s="1"/>
  <c r="A445" i="23"/>
  <c r="M445" i="23"/>
  <c r="L445" i="23"/>
  <c r="L472" i="23" s="1"/>
  <c r="N445" i="23"/>
  <c r="N472" i="23" s="1"/>
  <c r="A265" i="23"/>
  <c r="M2764" i="23"/>
  <c r="M2786" i="23" s="1"/>
  <c r="T1457" i="1"/>
  <c r="C1224" i="1"/>
  <c r="C1226" i="1" s="1"/>
  <c r="C1227" i="1" s="1"/>
  <c r="C1225" i="1"/>
  <c r="C1210" i="1"/>
  <c r="C1209" i="1"/>
  <c r="C1211" i="1" s="1"/>
  <c r="C1648" i="1"/>
  <c r="C1613" i="1"/>
  <c r="C1707" i="1"/>
  <c r="C1614" i="1"/>
  <c r="C1615" i="1"/>
  <c r="C1490" i="1"/>
  <c r="C1607" i="1"/>
  <c r="C1523" i="1"/>
  <c r="C1608" i="1"/>
  <c r="C1527" i="1"/>
  <c r="C1606" i="1"/>
  <c r="C1526" i="1"/>
  <c r="C1524" i="1"/>
  <c r="C1465" i="1"/>
  <c r="C1585" i="1"/>
  <c r="C1528" i="1"/>
  <c r="C1529" i="1"/>
  <c r="C1525" i="1"/>
  <c r="C1609" i="1"/>
  <c r="C1530" i="1"/>
  <c r="C1584" i="1"/>
  <c r="C2237" i="1"/>
  <c r="C2239" i="1"/>
  <c r="C1546" i="1"/>
  <c r="A1852" i="23"/>
  <c r="O1852" i="23"/>
  <c r="L3358" i="23"/>
  <c r="A3358" i="23"/>
  <c r="M3358" i="23"/>
  <c r="N3358" i="23"/>
  <c r="A994" i="23"/>
  <c r="R215" i="2"/>
  <c r="AW215" i="2" s="1"/>
  <c r="L994" i="23"/>
  <c r="M994" i="23"/>
  <c r="A1882" i="23"/>
  <c r="L1882" i="23"/>
  <c r="C1110" i="23"/>
  <c r="M1852" i="23"/>
  <c r="O3358" i="23"/>
  <c r="R92" i="2"/>
  <c r="AW92" i="2" s="1"/>
  <c r="N1852" i="23"/>
  <c r="C112" i="49"/>
  <c r="C126" i="49" s="1"/>
  <c r="C140" i="49" s="1"/>
  <c r="C154" i="49" s="1"/>
  <c r="C162" i="49" s="1"/>
  <c r="C174" i="49" s="1"/>
  <c r="C188" i="49" s="1"/>
  <c r="C201" i="49" s="1"/>
  <c r="C211" i="49" s="1"/>
  <c r="C221" i="49" s="1"/>
  <c r="C231" i="49" s="1"/>
  <c r="C243" i="49" s="1"/>
  <c r="A44" i="49"/>
  <c r="G97" i="49"/>
  <c r="A97" i="49" s="1"/>
  <c r="N2582" i="23"/>
  <c r="G2573" i="23"/>
  <c r="N2573" i="23" s="1"/>
  <c r="A2569" i="23"/>
  <c r="M2569" i="23"/>
  <c r="O2569" i="23"/>
  <c r="L2569" i="23"/>
  <c r="A2571" i="23"/>
  <c r="M2571" i="23"/>
  <c r="O2571" i="23"/>
  <c r="L2571" i="23"/>
  <c r="A2574" i="23"/>
  <c r="M2574" i="23"/>
  <c r="L2574" i="23"/>
  <c r="O2574" i="23"/>
  <c r="M2576" i="23"/>
  <c r="A2576" i="23"/>
  <c r="L2576" i="23"/>
  <c r="O2576" i="23"/>
  <c r="M2578" i="23"/>
  <c r="A2578" i="23"/>
  <c r="L2578" i="23"/>
  <c r="O2578" i="23"/>
  <c r="M2580" i="23"/>
  <c r="A2580" i="23"/>
  <c r="L2580" i="23"/>
  <c r="O2580" i="23"/>
  <c r="M2582" i="23"/>
  <c r="A2582" i="23"/>
  <c r="L2582" i="23"/>
  <c r="O2582" i="23"/>
  <c r="M2584" i="23"/>
  <c r="A2584" i="23"/>
  <c r="L2584" i="23"/>
  <c r="O2584" i="23"/>
  <c r="M2585" i="23"/>
  <c r="A2585" i="23"/>
  <c r="L2585" i="23"/>
  <c r="O2585" i="23"/>
  <c r="N2568" i="23"/>
  <c r="M2567" i="23"/>
  <c r="A2567" i="23"/>
  <c r="L2567" i="23"/>
  <c r="O2567" i="23"/>
  <c r="A2566" i="23"/>
  <c r="M2566" i="23"/>
  <c r="O2566" i="23"/>
  <c r="L2566" i="23"/>
  <c r="A2570" i="23"/>
  <c r="M2570" i="23"/>
  <c r="L2570" i="23"/>
  <c r="O2570" i="23"/>
  <c r="A2572" i="23"/>
  <c r="M2572" i="23"/>
  <c r="L2572" i="23"/>
  <c r="O2572" i="23"/>
  <c r="A2575" i="23"/>
  <c r="M2575" i="23"/>
  <c r="O2575" i="23"/>
  <c r="L2575" i="23"/>
  <c r="M2577" i="23"/>
  <c r="A2577" i="23"/>
  <c r="L2577" i="23"/>
  <c r="O2577" i="23"/>
  <c r="M2579" i="23"/>
  <c r="A2579" i="23"/>
  <c r="L2579" i="23"/>
  <c r="O2579" i="23"/>
  <c r="M2581" i="23"/>
  <c r="A2581" i="23"/>
  <c r="L2581" i="23"/>
  <c r="O2581" i="23"/>
  <c r="M2583" i="23"/>
  <c r="A2583" i="23"/>
  <c r="L2583" i="23"/>
  <c r="O2583" i="23"/>
  <c r="M2586" i="23"/>
  <c r="A2586" i="23"/>
  <c r="O2586" i="23"/>
  <c r="L2586" i="23"/>
  <c r="L3353" i="23"/>
  <c r="O3353" i="23"/>
  <c r="M3353" i="23"/>
  <c r="N3353" i="23"/>
  <c r="A3353" i="23"/>
  <c r="N1853" i="23"/>
  <c r="R269" i="2"/>
  <c r="AW269" i="2" s="1"/>
  <c r="O1853" i="23"/>
  <c r="L1820" i="23"/>
  <c r="M1820" i="23"/>
  <c r="L1853" i="23"/>
  <c r="A1853" i="23"/>
  <c r="N1691" i="23"/>
  <c r="A1691" i="23"/>
  <c r="L1691" i="23"/>
  <c r="A56" i="49"/>
  <c r="A86" i="49"/>
  <c r="O44" i="49"/>
  <c r="M44" i="49"/>
  <c r="N44" i="49"/>
  <c r="L44" i="49"/>
  <c r="O86" i="49"/>
  <c r="O87" i="49"/>
  <c r="N87" i="49"/>
  <c r="M87" i="49"/>
  <c r="L87" i="49"/>
  <c r="R120" i="2"/>
  <c r="AW120" i="2" s="1"/>
  <c r="R357" i="2"/>
  <c r="AW357" i="2" s="1"/>
  <c r="R27" i="2"/>
  <c r="AW27" i="2" s="1"/>
  <c r="R230" i="2"/>
  <c r="AW230" i="2" s="1"/>
  <c r="R141" i="2"/>
  <c r="AW141" i="2" s="1"/>
  <c r="R327" i="2"/>
  <c r="AW327" i="2" s="1"/>
  <c r="R101" i="2"/>
  <c r="AW101" i="2" s="1"/>
  <c r="R233" i="2"/>
  <c r="AW233" i="2" s="1"/>
  <c r="R231" i="2"/>
  <c r="AW231" i="2" s="1"/>
  <c r="R345" i="2"/>
  <c r="AW345" i="2" s="1"/>
  <c r="R105" i="2"/>
  <c r="AW105" i="2" s="1"/>
  <c r="R185" i="2"/>
  <c r="AW185" i="2" s="1"/>
  <c r="R55" i="2"/>
  <c r="AW55" i="2" s="1"/>
  <c r="R376" i="2"/>
  <c r="AW376" i="2" s="1"/>
  <c r="R375" i="2"/>
  <c r="AW375" i="2" s="1"/>
  <c r="R47" i="2"/>
  <c r="AW47" i="2" s="1"/>
  <c r="R205" i="2"/>
  <c r="AW205" i="2" s="1"/>
  <c r="R22" i="2"/>
  <c r="AW22" i="2" s="1"/>
  <c r="R298" i="2"/>
  <c r="AW298" i="2" s="1"/>
  <c r="R379" i="2"/>
  <c r="AW379" i="2" s="1"/>
  <c r="R148" i="2"/>
  <c r="AW148" i="2" s="1"/>
  <c r="R236" i="2"/>
  <c r="AW236" i="2" s="1"/>
  <c r="R30" i="2"/>
  <c r="AW30" i="2" s="1"/>
  <c r="R200" i="2"/>
  <c r="AW200" i="2" s="1"/>
  <c r="R46" i="2"/>
  <c r="AW46" i="2" s="1"/>
  <c r="R253" i="2"/>
  <c r="AW253" i="2" s="1"/>
  <c r="R218" i="2"/>
  <c r="AW218" i="2" s="1"/>
  <c r="R13" i="2"/>
  <c r="AW13" i="2" s="1"/>
  <c r="R209" i="2"/>
  <c r="AW209" i="2" s="1"/>
  <c r="R173" i="2"/>
  <c r="AW173" i="2" s="1"/>
  <c r="R135" i="2"/>
  <c r="AW135" i="2" s="1"/>
  <c r="R50" i="2"/>
  <c r="AW50" i="2" s="1"/>
  <c r="R331" i="2"/>
  <c r="AW331" i="2" s="1"/>
  <c r="R35" i="2"/>
  <c r="AW35" i="2" s="1"/>
  <c r="R226" i="2"/>
  <c r="AW226" i="2" s="1"/>
  <c r="R37" i="2"/>
  <c r="AW37" i="2" s="1"/>
  <c r="R106" i="2"/>
  <c r="AW106" i="2" s="1"/>
  <c r="R334" i="2"/>
  <c r="AW334" i="2" s="1"/>
  <c r="R370" i="2"/>
  <c r="AW370" i="2" s="1"/>
  <c r="L2813" i="23"/>
  <c r="N2813" i="23"/>
  <c r="O2813" i="23"/>
  <c r="A2813" i="23"/>
  <c r="M2813" i="23"/>
  <c r="A2814" i="23"/>
  <c r="M2814" i="23"/>
  <c r="L2814" i="23"/>
  <c r="N2814" i="23"/>
  <c r="O2814" i="23"/>
  <c r="N1304" i="23"/>
  <c r="C879" i="23"/>
  <c r="A895" i="23"/>
  <c r="M895" i="23"/>
  <c r="O895" i="23"/>
  <c r="L895" i="23"/>
  <c r="N895" i="23"/>
  <c r="A890" i="23"/>
  <c r="M890" i="23"/>
  <c r="L890" i="23"/>
  <c r="O890" i="23"/>
  <c r="N890" i="23"/>
  <c r="A889" i="23"/>
  <c r="M889" i="23"/>
  <c r="O889" i="23"/>
  <c r="N889" i="23"/>
  <c r="L889" i="23"/>
  <c r="O265" i="23"/>
  <c r="N265" i="23"/>
  <c r="L265" i="23"/>
  <c r="L264" i="23"/>
  <c r="O264" i="23"/>
  <c r="N264" i="23"/>
  <c r="A276" i="23"/>
  <c r="M276" i="23"/>
  <c r="O276" i="23"/>
  <c r="N276" i="23"/>
  <c r="L276" i="23"/>
  <c r="A275" i="23"/>
  <c r="M275" i="23"/>
  <c r="N275" i="23"/>
  <c r="O275" i="23"/>
  <c r="L275" i="23"/>
  <c r="O263" i="23"/>
  <c r="T1330" i="23"/>
  <c r="N263" i="23"/>
  <c r="M274" i="23"/>
  <c r="A274" i="23"/>
  <c r="L274" i="23"/>
  <c r="N274" i="23"/>
  <c r="O274" i="23"/>
  <c r="L263" i="23"/>
  <c r="A263" i="23"/>
  <c r="O3207" i="23"/>
  <c r="M262" i="23"/>
  <c r="A262" i="23"/>
  <c r="L262" i="23"/>
  <c r="N262" i="23"/>
  <c r="O262" i="23"/>
  <c r="R258" i="2"/>
  <c r="AW258" i="2" s="1"/>
  <c r="R344" i="2"/>
  <c r="AW344" i="2" s="1"/>
  <c r="R229" i="2"/>
  <c r="AW229" i="2" s="1"/>
  <c r="R131" i="2"/>
  <c r="AW131" i="2" s="1"/>
  <c r="R117" i="2"/>
  <c r="AW117" i="2" s="1"/>
  <c r="R361" i="2"/>
  <c r="AW361" i="2" s="1"/>
  <c r="R154" i="2"/>
  <c r="AW154" i="2" s="1"/>
  <c r="R81" i="2"/>
  <c r="AW81" i="2" s="1"/>
  <c r="R352" i="2"/>
  <c r="AW352" i="2" s="1"/>
  <c r="R134" i="2"/>
  <c r="AW134" i="2" s="1"/>
  <c r="R365" i="2"/>
  <c r="AW365" i="2" s="1"/>
  <c r="R175" i="2"/>
  <c r="AW175" i="2" s="1"/>
  <c r="R332" i="2"/>
  <c r="AW332" i="2" s="1"/>
  <c r="R201" i="2"/>
  <c r="AW201" i="2" s="1"/>
  <c r="R139" i="2"/>
  <c r="AW139" i="2" s="1"/>
  <c r="R347" i="2"/>
  <c r="AW347" i="2" s="1"/>
  <c r="R151" i="2"/>
  <c r="AW151" i="2" s="1"/>
  <c r="R49" i="2"/>
  <c r="AW49" i="2" s="1"/>
  <c r="R346" i="2"/>
  <c r="AW346" i="2" s="1"/>
  <c r="R118" i="2"/>
  <c r="AW118" i="2" s="1"/>
  <c r="R326" i="2"/>
  <c r="AW326" i="2" s="1"/>
  <c r="R98" i="2"/>
  <c r="AW98" i="2" s="1"/>
  <c r="R285" i="2"/>
  <c r="AW285" i="2" s="1"/>
  <c r="R328" i="2"/>
  <c r="AW328" i="2" s="1"/>
  <c r="R167" i="2"/>
  <c r="AW167" i="2" s="1"/>
  <c r="R340" i="2"/>
  <c r="AW340" i="2" s="1"/>
  <c r="R208" i="2"/>
  <c r="AW208" i="2" s="1"/>
  <c r="R113" i="2"/>
  <c r="AW113" i="2" s="1"/>
  <c r="R318" i="2"/>
  <c r="AW318" i="2" s="1"/>
  <c r="R166" i="2"/>
  <c r="AW166" i="2" s="1"/>
  <c r="R292" i="2"/>
  <c r="AW292" i="2" s="1"/>
  <c r="R78" i="2"/>
  <c r="AW78" i="2" s="1"/>
  <c r="R9" i="2"/>
  <c r="AW9" i="2" s="1"/>
  <c r="R281" i="2"/>
  <c r="AW281" i="2" s="1"/>
  <c r="R44" i="2"/>
  <c r="AW44" i="2" s="1"/>
  <c r="R293" i="2"/>
  <c r="AW293" i="2" s="1"/>
  <c r="R189" i="2"/>
  <c r="AW189" i="2" s="1"/>
  <c r="R43" i="2"/>
  <c r="AW43" i="2" s="1"/>
  <c r="R310" i="2"/>
  <c r="AW310" i="2" s="1"/>
  <c r="R163" i="2"/>
  <c r="AW163" i="2" s="1"/>
  <c r="R282" i="2"/>
  <c r="AW282" i="2" s="1"/>
  <c r="R71" i="2"/>
  <c r="AW71" i="2" s="1"/>
  <c r="R158" i="2"/>
  <c r="AW158" i="2" s="1"/>
  <c r="Q1330" i="23"/>
  <c r="R1330" i="23"/>
  <c r="R314" i="2"/>
  <c r="AW314" i="2" s="1"/>
  <c r="R313" i="2"/>
  <c r="AW313" i="2" s="1"/>
  <c r="V314" i="2"/>
  <c r="BA314" i="2" s="1"/>
  <c r="V307" i="2"/>
  <c r="BA307" i="2" s="1"/>
  <c r="R307" i="2"/>
  <c r="AW307" i="2" s="1"/>
  <c r="M309" i="2"/>
  <c r="AR309" i="2" s="1"/>
  <c r="J313" i="2"/>
  <c r="AO313" i="2" s="1"/>
  <c r="J308" i="2"/>
  <c r="AO308" i="2" s="1"/>
  <c r="R315" i="2"/>
  <c r="AW315" i="2" s="1"/>
  <c r="R311" i="2"/>
  <c r="AW311" i="2" s="1"/>
  <c r="V309" i="2"/>
  <c r="BA309" i="2" s="1"/>
  <c r="V311" i="2"/>
  <c r="BA311" i="2" s="1"/>
  <c r="J311" i="2"/>
  <c r="AO311" i="2" s="1"/>
  <c r="R309" i="2"/>
  <c r="AW309" i="2" s="1"/>
  <c r="V312" i="2"/>
  <c r="BA312" i="2" s="1"/>
  <c r="M311" i="2"/>
  <c r="AR311" i="2" s="1"/>
  <c r="J312" i="2"/>
  <c r="AO312" i="2" s="1"/>
  <c r="M315" i="2"/>
  <c r="AR315" i="2" s="1"/>
  <c r="J307" i="2"/>
  <c r="AO307" i="2" s="1"/>
  <c r="J314" i="2"/>
  <c r="AO314" i="2" s="1"/>
  <c r="V313" i="2"/>
  <c r="BA313" i="2" s="1"/>
  <c r="V308" i="2"/>
  <c r="BA308" i="2" s="1"/>
  <c r="M308" i="2"/>
  <c r="AR308" i="2" s="1"/>
  <c r="R312" i="2"/>
  <c r="AW312" i="2" s="1"/>
  <c r="V315" i="2"/>
  <c r="BA315" i="2" s="1"/>
  <c r="M312" i="2"/>
  <c r="AR312" i="2" s="1"/>
  <c r="J315" i="2"/>
  <c r="AO315" i="2" s="1"/>
  <c r="M314" i="2"/>
  <c r="AR314" i="2" s="1"/>
  <c r="R308" i="2"/>
  <c r="AW308" i="2" s="1"/>
  <c r="M307" i="2"/>
  <c r="AR307" i="2" s="1"/>
  <c r="J309" i="2"/>
  <c r="AO309" i="2" s="1"/>
  <c r="M313" i="2"/>
  <c r="AR313" i="2" s="1"/>
  <c r="V205" i="2"/>
  <c r="BA205" i="2" s="1"/>
  <c r="M1304" i="23"/>
  <c r="L1304" i="23"/>
  <c r="Q1300" i="23" s="1"/>
  <c r="R12" i="2"/>
  <c r="AW12" i="2" s="1"/>
  <c r="R238" i="2"/>
  <c r="AW238" i="2" s="1"/>
  <c r="R261" i="2"/>
  <c r="AW261" i="2" s="1"/>
  <c r="R155" i="2"/>
  <c r="AW155" i="2" s="1"/>
  <c r="R19" i="2"/>
  <c r="AW19" i="2" s="1"/>
  <c r="R221" i="2"/>
  <c r="AW221" i="2" s="1"/>
  <c r="R197" i="2"/>
  <c r="AW197" i="2" s="1"/>
  <c r="R142" i="2"/>
  <c r="AW142" i="2" s="1"/>
  <c r="R204" i="2"/>
  <c r="AW204" i="2" s="1"/>
  <c r="R190" i="2"/>
  <c r="AW190" i="2" s="1"/>
  <c r="R125" i="2"/>
  <c r="AW125" i="2" s="1"/>
  <c r="R228" i="2"/>
  <c r="AW228" i="2" s="1"/>
  <c r="R60" i="2"/>
  <c r="AW60" i="2" s="1"/>
  <c r="R171" i="2"/>
  <c r="AW171" i="2" s="1"/>
  <c r="R240" i="2"/>
  <c r="AW240" i="2" s="1"/>
  <c r="R127" i="2"/>
  <c r="AW127" i="2" s="1"/>
  <c r="R150" i="2"/>
  <c r="AW150" i="2" s="1"/>
  <c r="R206" i="2"/>
  <c r="AW206" i="2" s="1"/>
  <c r="R323" i="2"/>
  <c r="AW323" i="2" s="1"/>
  <c r="R40" i="2"/>
  <c r="AW40" i="2" s="1"/>
  <c r="R129" i="2"/>
  <c r="AW129" i="2" s="1"/>
  <c r="R186" i="2"/>
  <c r="AW186" i="2" s="1"/>
  <c r="R316" i="2"/>
  <c r="AW316" i="2" s="1"/>
  <c r="R18" i="2"/>
  <c r="AW18" i="2" s="1"/>
  <c r="R126" i="2"/>
  <c r="AW126" i="2" s="1"/>
  <c r="R290" i="2"/>
  <c r="AW290" i="2" s="1"/>
  <c r="R21" i="2"/>
  <c r="AW21" i="2" s="1"/>
  <c r="R211" i="2"/>
  <c r="AW211" i="2" s="1"/>
  <c r="R325" i="2"/>
  <c r="AW325" i="2" s="1"/>
  <c r="R180" i="2"/>
  <c r="AW180" i="2" s="1"/>
  <c r="R110" i="2"/>
  <c r="AW110" i="2" s="1"/>
  <c r="R225" i="2"/>
  <c r="AW225" i="2" s="1"/>
  <c r="R16" i="2"/>
  <c r="AW16" i="2" s="1"/>
  <c r="R91" i="2"/>
  <c r="AW91" i="2" s="1"/>
  <c r="R217" i="2"/>
  <c r="AW217" i="2" s="1"/>
  <c r="R94" i="2"/>
  <c r="AW94" i="2" s="1"/>
  <c r="R147" i="2"/>
  <c r="AW147" i="2" s="1"/>
  <c r="R203" i="2"/>
  <c r="AW203" i="2" s="1"/>
  <c r="R280" i="2"/>
  <c r="AW280" i="2" s="1"/>
  <c r="R34" i="2"/>
  <c r="AW34" i="2" s="1"/>
  <c r="R114" i="2"/>
  <c r="AW114" i="2" s="1"/>
  <c r="R183" i="2"/>
  <c r="AW183" i="2" s="1"/>
  <c r="R267" i="2"/>
  <c r="AW267" i="2" s="1"/>
  <c r="R354" i="2"/>
  <c r="AW354" i="2" s="1"/>
  <c r="R116" i="2"/>
  <c r="AW116" i="2" s="1"/>
  <c r="R84" i="2"/>
  <c r="AW84" i="2" s="1"/>
  <c r="R119" i="2"/>
  <c r="AW119" i="2" s="1"/>
  <c r="R178" i="2"/>
  <c r="AW178" i="2" s="1"/>
  <c r="R317" i="2"/>
  <c r="AW317" i="2" s="1"/>
  <c r="R28" i="2"/>
  <c r="AW28" i="2" s="1"/>
  <c r="R70" i="2"/>
  <c r="AW70" i="2" s="1"/>
  <c r="R288" i="2"/>
  <c r="AW288" i="2" s="1"/>
  <c r="R42" i="2"/>
  <c r="AW42" i="2" s="1"/>
  <c r="R138" i="2"/>
  <c r="AW138" i="2" s="1"/>
  <c r="R336" i="2"/>
  <c r="AW336" i="2" s="1"/>
  <c r="R57" i="2"/>
  <c r="AW57" i="2" s="1"/>
  <c r="R111" i="2"/>
  <c r="AW111" i="2" s="1"/>
  <c r="R181" i="2"/>
  <c r="AW181" i="2" s="1"/>
  <c r="R319" i="2"/>
  <c r="AW319" i="2" s="1"/>
  <c r="R32" i="2"/>
  <c r="AW32" i="2" s="1"/>
  <c r="R87" i="2"/>
  <c r="AW87" i="2" s="1"/>
  <c r="R172" i="2"/>
  <c r="AW172" i="2" s="1"/>
  <c r="R287" i="2"/>
  <c r="AW287" i="2" s="1"/>
  <c r="R58" i="2"/>
  <c r="AW58" i="2" s="1"/>
  <c r="R191" i="2"/>
  <c r="AW191" i="2" s="1"/>
  <c r="R381" i="2"/>
  <c r="AW381" i="2" s="1"/>
  <c r="R112" i="2"/>
  <c r="AW112" i="2" s="1"/>
  <c r="R86" i="2"/>
  <c r="AW86" i="2" s="1"/>
  <c r="R295" i="2"/>
  <c r="AW295" i="2" s="1"/>
  <c r="R362" i="2"/>
  <c r="AW362" i="2" s="1"/>
  <c r="R61" i="2"/>
  <c r="AW61" i="2" s="1"/>
  <c r="R273" i="2"/>
  <c r="AW273" i="2" s="1"/>
  <c r="R20" i="2"/>
  <c r="AW20" i="2" s="1"/>
  <c r="R122" i="2"/>
  <c r="AW122" i="2" s="1"/>
  <c r="R289" i="2"/>
  <c r="AW289" i="2" s="1"/>
  <c r="R371" i="2"/>
  <c r="AW371" i="2" s="1"/>
  <c r="R104" i="2"/>
  <c r="AW104" i="2" s="1"/>
  <c r="R237" i="2"/>
  <c r="AW237" i="2" s="1"/>
  <c r="R299" i="2"/>
  <c r="AW299" i="2" s="1"/>
  <c r="R382" i="2"/>
  <c r="AW382" i="2" s="1"/>
  <c r="R80" i="2"/>
  <c r="AW80" i="2" s="1"/>
  <c r="R165" i="2"/>
  <c r="AW165" i="2" s="1"/>
  <c r="R251" i="2"/>
  <c r="AW251" i="2" s="1"/>
  <c r="R65" i="2"/>
  <c r="AW65" i="2" s="1"/>
  <c r="R360" i="2"/>
  <c r="AW360" i="2" s="1"/>
  <c r="R53" i="2"/>
  <c r="AW53" i="2" s="1"/>
  <c r="R161" i="2"/>
  <c r="AW161" i="2" s="1"/>
  <c r="R10" i="2"/>
  <c r="AW10" i="2" s="1"/>
  <c r="R168" i="2"/>
  <c r="AW168" i="2" s="1"/>
  <c r="R25" i="2"/>
  <c r="AW25" i="2" s="1"/>
  <c r="R329" i="2"/>
  <c r="AW329" i="2" s="1"/>
  <c r="R301" i="2"/>
  <c r="AW301" i="2" s="1"/>
  <c r="R15" i="2"/>
  <c r="AW15" i="2" s="1"/>
  <c r="R214" i="2"/>
  <c r="AW214" i="2" s="1"/>
  <c r="R284" i="2"/>
  <c r="AW284" i="2" s="1"/>
  <c r="R38" i="2"/>
  <c r="AW38" i="2" s="1"/>
  <c r="R198" i="2"/>
  <c r="AW198" i="2" s="1"/>
  <c r="R296" i="2"/>
  <c r="AW296" i="2" s="1"/>
  <c r="R339" i="2"/>
  <c r="AW339" i="2" s="1"/>
  <c r="R182" i="2"/>
  <c r="AW182" i="2" s="1"/>
  <c r="R324" i="2"/>
  <c r="AW324" i="2" s="1"/>
  <c r="R41" i="2"/>
  <c r="AW41" i="2" s="1"/>
  <c r="R224" i="2"/>
  <c r="AW224" i="2" s="1"/>
  <c r="R270" i="2"/>
  <c r="AW270" i="2" s="1"/>
  <c r="R17" i="2"/>
  <c r="AW17" i="2" s="1"/>
  <c r="R82" i="2"/>
  <c r="AW82" i="2" s="1"/>
  <c r="R202" i="2"/>
  <c r="AW202" i="2" s="1"/>
  <c r="R250" i="2"/>
  <c r="AW250" i="2" s="1"/>
  <c r="R364" i="2"/>
  <c r="AW364" i="2" s="1"/>
  <c r="R64" i="2"/>
  <c r="AW64" i="2" s="1"/>
  <c r="R156" i="2"/>
  <c r="AW156" i="2" s="1"/>
  <c r="R359" i="2"/>
  <c r="AW359" i="2" s="1"/>
  <c r="R88" i="2"/>
  <c r="AW88" i="2" s="1"/>
  <c r="R247" i="2"/>
  <c r="AW247" i="2" s="1"/>
  <c r="R373" i="2"/>
  <c r="AW373" i="2" s="1"/>
  <c r="R72" i="2"/>
  <c r="AW72" i="2" s="1"/>
  <c r="R195" i="2"/>
  <c r="AW195" i="2" s="1"/>
  <c r="R259" i="2"/>
  <c r="AW259" i="2" s="1"/>
  <c r="R252" i="2"/>
  <c r="AW252" i="2" s="1"/>
  <c r="R179" i="2"/>
  <c r="AW179" i="2" s="1"/>
  <c r="R272" i="2"/>
  <c r="AW272" i="2" s="1"/>
  <c r="R23" i="2"/>
  <c r="AW23" i="2" s="1"/>
  <c r="R219" i="2"/>
  <c r="AW219" i="2" s="1"/>
  <c r="R268" i="2"/>
  <c r="AW268" i="2" s="1"/>
  <c r="R14" i="2"/>
  <c r="AW14" i="2" s="1"/>
  <c r="R75" i="2"/>
  <c r="AW75" i="2" s="1"/>
  <c r="R199" i="2"/>
  <c r="AW199" i="2" s="1"/>
  <c r="R248" i="2"/>
  <c r="AW248" i="2" s="1"/>
  <c r="R333" i="2"/>
  <c r="AW333" i="2" s="1"/>
  <c r="R69" i="2"/>
  <c r="AW69" i="2" s="1"/>
  <c r="R149" i="2"/>
  <c r="AW149" i="2" s="1"/>
  <c r="R355" i="2"/>
  <c r="AW355" i="2" s="1"/>
  <c r="R152" i="2"/>
  <c r="AW152" i="2" s="1"/>
  <c r="R241" i="2"/>
  <c r="AW241" i="2" s="1"/>
  <c r="R89" i="2"/>
  <c r="AW89" i="2" s="1"/>
  <c r="R103" i="2"/>
  <c r="AW103" i="2" s="1"/>
  <c r="R164" i="2"/>
  <c r="AW164" i="2" s="1"/>
  <c r="R384" i="2"/>
  <c r="AW384" i="2" s="1"/>
  <c r="R83" i="2"/>
  <c r="AW83" i="2" s="1"/>
  <c r="R210" i="2"/>
  <c r="AW210" i="2" s="1"/>
  <c r="R56" i="2"/>
  <c r="AW56" i="2" s="1"/>
  <c r="R66" i="2"/>
  <c r="AW66" i="2" s="1"/>
  <c r="R144" i="2"/>
  <c r="AW144" i="2" s="1"/>
  <c r="R320" i="2"/>
  <c r="AW320" i="2" s="1"/>
  <c r="R8" i="2"/>
  <c r="AW8" i="2" s="1"/>
  <c r="R107" i="2"/>
  <c r="AW107" i="2" s="1"/>
  <c r="R188" i="2"/>
  <c r="AW188" i="2" s="1"/>
  <c r="R265" i="2"/>
  <c r="AW265" i="2" s="1"/>
  <c r="R383" i="2"/>
  <c r="AW383" i="2" s="1"/>
  <c r="R123" i="2"/>
  <c r="AW123" i="2" s="1"/>
  <c r="R256" i="2"/>
  <c r="AW256" i="2" s="1"/>
  <c r="R286" i="2"/>
  <c r="AW286" i="2" s="1"/>
  <c r="R145" i="2"/>
  <c r="AW145" i="2" s="1"/>
  <c r="R184" i="2"/>
  <c r="AW184" i="2" s="1"/>
  <c r="R363" i="2"/>
  <c r="AW363" i="2" s="1"/>
  <c r="R96" i="2"/>
  <c r="AW96" i="2" s="1"/>
  <c r="R157" i="2"/>
  <c r="AW157" i="2" s="1"/>
  <c r="R378" i="2"/>
  <c r="AW378" i="2" s="1"/>
  <c r="R76" i="2"/>
  <c r="AW76" i="2" s="1"/>
  <c r="R207" i="2"/>
  <c r="AW207" i="2" s="1"/>
  <c r="R358" i="2"/>
  <c r="AW358" i="2" s="1"/>
  <c r="R130" i="2"/>
  <c r="AW130" i="2" s="1"/>
  <c r="R137" i="2"/>
  <c r="AW137" i="2" s="1"/>
  <c r="R271" i="2"/>
  <c r="AW271" i="2" s="1"/>
  <c r="R367" i="2"/>
  <c r="AW367" i="2" s="1"/>
  <c r="R100" i="2"/>
  <c r="AW100" i="2" s="1"/>
  <c r="R192" i="2"/>
  <c r="AW192" i="2" s="1"/>
  <c r="R196" i="2"/>
  <c r="AW196" i="2" s="1"/>
  <c r="R342" i="2"/>
  <c r="AW342" i="2" s="1"/>
  <c r="R6" i="2"/>
  <c r="AW6" i="2" s="1"/>
  <c r="R300" i="2"/>
  <c r="AW300" i="2" s="1"/>
  <c r="R67" i="2"/>
  <c r="AW67" i="2" s="1"/>
  <c r="R366" i="2"/>
  <c r="AW366" i="2" s="1"/>
  <c r="R74" i="2"/>
  <c r="AW74" i="2" s="1"/>
  <c r="R11" i="2"/>
  <c r="AW11" i="2" s="1"/>
  <c r="R121" i="2"/>
  <c r="AW121" i="2" s="1"/>
  <c r="R263" i="2"/>
  <c r="AW263" i="2" s="1"/>
  <c r="R24" i="2"/>
  <c r="AW24" i="2" s="1"/>
  <c r="R99" i="2"/>
  <c r="AW99" i="2" s="1"/>
  <c r="R283" i="2"/>
  <c r="AW283" i="2" s="1"/>
  <c r="R380" i="2"/>
  <c r="AW380" i="2" s="1"/>
  <c r="R79" i="2"/>
  <c r="AW79" i="2" s="1"/>
  <c r="R262" i="2"/>
  <c r="AW262" i="2" s="1"/>
  <c r="R356" i="2"/>
  <c r="AW356" i="2" s="1"/>
  <c r="R54" i="2"/>
  <c r="AW54" i="2" s="1"/>
  <c r="R246" i="2"/>
  <c r="AW246" i="2" s="1"/>
  <c r="R7" i="2"/>
  <c r="AW7" i="2" s="1"/>
  <c r="R115" i="2"/>
  <c r="AW115" i="2" s="1"/>
  <c r="R291" i="2"/>
  <c r="AW291" i="2" s="1"/>
  <c r="R369" i="2"/>
  <c r="AW369" i="2" s="1"/>
  <c r="R109" i="2"/>
  <c r="AW109" i="2" s="1"/>
  <c r="R177" i="2"/>
  <c r="AW177" i="2" s="1"/>
  <c r="R266" i="2"/>
  <c r="AW266" i="2" s="1"/>
  <c r="R349" i="2"/>
  <c r="AW349" i="2" s="1"/>
  <c r="R85" i="2"/>
  <c r="AW85" i="2" s="1"/>
  <c r="R162" i="2"/>
  <c r="AW162" i="2" s="1"/>
  <c r="R249" i="2"/>
  <c r="AW249" i="2" s="1"/>
  <c r="R31" i="2"/>
  <c r="AW31" i="2" s="1"/>
  <c r="R124" i="2"/>
  <c r="AW124" i="2" s="1"/>
  <c r="R338" i="2"/>
  <c r="AW338" i="2" s="1"/>
  <c r="R48" i="2"/>
  <c r="AW48" i="2" s="1"/>
  <c r="R170" i="2"/>
  <c r="AW170" i="2" s="1"/>
  <c r="R260" i="2"/>
  <c r="AW260" i="2" s="1"/>
  <c r="R350" i="2"/>
  <c r="AW350" i="2" s="1"/>
  <c r="R59" i="2"/>
  <c r="AW59" i="2" s="1"/>
  <c r="R243" i="2"/>
  <c r="AW243" i="2" s="1"/>
  <c r="R377" i="2"/>
  <c r="AW377" i="2" s="1"/>
  <c r="R108" i="2"/>
  <c r="AW108" i="2" s="1"/>
  <c r="R255" i="2"/>
  <c r="AW255" i="2" s="1"/>
  <c r="R330" i="2"/>
  <c r="AW330" i="2" s="1"/>
  <c r="R39" i="2"/>
  <c r="AW39" i="2" s="1"/>
  <c r="R169" i="2"/>
  <c r="AW169" i="2" s="1"/>
  <c r="R264" i="2"/>
  <c r="AW264" i="2" s="1"/>
  <c r="R335" i="2"/>
  <c r="AW335" i="2" s="1"/>
  <c r="R52" i="2"/>
  <c r="AW52" i="2" s="1"/>
  <c r="R159" i="2"/>
  <c r="AW159" i="2" s="1"/>
  <c r="R227" i="2"/>
  <c r="AW227" i="2" s="1"/>
  <c r="R97" i="2"/>
  <c r="AW97" i="2" s="1"/>
  <c r="R244" i="2"/>
  <c r="AW244" i="2" s="1"/>
  <c r="R341" i="2"/>
  <c r="AW341" i="2" s="1"/>
  <c r="R353" i="2"/>
  <c r="AW353" i="2" s="1"/>
  <c r="R136" i="2"/>
  <c r="AW136" i="2" s="1"/>
  <c r="R257" i="2"/>
  <c r="AW257" i="2" s="1"/>
  <c r="R187" i="2"/>
  <c r="AW187" i="2" s="1"/>
  <c r="R176" i="2"/>
  <c r="AW176" i="2" s="1"/>
  <c r="R274" i="2"/>
  <c r="AW274" i="2" s="1"/>
  <c r="R297" i="2"/>
  <c r="AW297" i="2" s="1"/>
  <c r="R160" i="2"/>
  <c r="AW160" i="2" s="1"/>
  <c r="R234" i="2"/>
  <c r="AW234" i="2" s="1"/>
  <c r="R368" i="2"/>
  <c r="AW368" i="2" s="1"/>
  <c r="R68" i="2"/>
  <c r="AW68" i="2" s="1"/>
  <c r="R140" i="2"/>
  <c r="AW140" i="2" s="1"/>
  <c r="R212" i="2"/>
  <c r="AW212" i="2" s="1"/>
  <c r="R348" i="2"/>
  <c r="AW348" i="2" s="1"/>
  <c r="R36" i="2"/>
  <c r="AW36" i="2" s="1"/>
  <c r="R146" i="2"/>
  <c r="AW146" i="2" s="1"/>
  <c r="R343" i="2"/>
  <c r="AW343" i="2" s="1"/>
  <c r="R26" i="2"/>
  <c r="AW26" i="2" s="1"/>
  <c r="R223" i="2"/>
  <c r="AW223" i="2" s="1"/>
  <c r="R239" i="2"/>
  <c r="AW239" i="2" s="1"/>
  <c r="R254" i="2"/>
  <c r="AW254" i="2" s="1"/>
  <c r="R128" i="2"/>
  <c r="AW128" i="2" s="1"/>
  <c r="R235" i="2"/>
  <c r="AW235" i="2" s="1"/>
  <c r="R102" i="2"/>
  <c r="AW102" i="2" s="1"/>
  <c r="R174" i="2"/>
  <c r="AW174" i="2" s="1"/>
  <c r="R242" i="2"/>
  <c r="AW242" i="2" s="1"/>
  <c r="R216" i="2"/>
  <c r="AW216" i="2" s="1"/>
  <c r="R153" i="2"/>
  <c r="AW153" i="2" s="1"/>
  <c r="R213" i="2"/>
  <c r="AW213" i="2" s="1"/>
  <c r="R337" i="2"/>
  <c r="AW337" i="2" s="1"/>
  <c r="R73" i="2"/>
  <c r="AW73" i="2" s="1"/>
  <c r="R133" i="2"/>
  <c r="AW133" i="2" s="1"/>
  <c r="R193" i="2"/>
  <c r="AW193" i="2" s="1"/>
  <c r="R302" i="2"/>
  <c r="AW302" i="2" s="1"/>
  <c r="R29" i="2"/>
  <c r="AW29" i="2" s="1"/>
  <c r="R143" i="2"/>
  <c r="AW143" i="2" s="1"/>
  <c r="R232" i="2"/>
  <c r="AW232" i="2" s="1"/>
  <c r="V304" i="2"/>
  <c r="BA304" i="2" s="1"/>
  <c r="J321" i="2"/>
  <c r="AO321" i="2" s="1"/>
  <c r="M51" i="2"/>
  <c r="AR51" i="2" s="1"/>
  <c r="R276" i="2"/>
  <c r="AW276" i="2" s="1"/>
  <c r="M275" i="2"/>
  <c r="AR275" i="2" s="1"/>
  <c r="R306" i="2"/>
  <c r="AW306" i="2" s="1"/>
  <c r="R322" i="2"/>
  <c r="AW322" i="2" s="1"/>
  <c r="M303" i="2"/>
  <c r="AR303" i="2" s="1"/>
  <c r="R277" i="2"/>
  <c r="AW277" i="2" s="1"/>
  <c r="M245" i="2"/>
  <c r="AR245" i="2" s="1"/>
  <c r="J245" i="2"/>
  <c r="AO245" i="2" s="1"/>
  <c r="J51" i="2"/>
  <c r="AO51" i="2" s="1"/>
  <c r="R220" i="2"/>
  <c r="AW220" i="2" s="1"/>
  <c r="J278" i="2"/>
  <c r="AO278" i="2" s="1"/>
  <c r="M321" i="2"/>
  <c r="AR321" i="2" s="1"/>
  <c r="R294" i="2"/>
  <c r="AW294" i="2" s="1"/>
  <c r="R279" i="2"/>
  <c r="AW279" i="2" s="1"/>
  <c r="M220" i="2"/>
  <c r="AR220" i="2" s="1"/>
  <c r="V279" i="2"/>
  <c r="BA279" i="2" s="1"/>
  <c r="M294" i="2"/>
  <c r="AR294" i="2" s="1"/>
  <c r="R304" i="2"/>
  <c r="AW304" i="2" s="1"/>
  <c r="J303" i="2"/>
  <c r="AO303" i="2" s="1"/>
  <c r="V277" i="2"/>
  <c r="BA277" i="2" s="1"/>
  <c r="J306" i="2"/>
  <c r="AO306" i="2" s="1"/>
  <c r="J275" i="2"/>
  <c r="AO275" i="2" s="1"/>
  <c r="R321" i="2"/>
  <c r="AW321" i="2" s="1"/>
  <c r="V321" i="2"/>
  <c r="BA321" i="2" s="1"/>
  <c r="V276" i="2"/>
  <c r="BA276" i="2" s="1"/>
  <c r="J322" i="2"/>
  <c r="AO322" i="2" s="1"/>
  <c r="R222" i="2"/>
  <c r="AW222" i="2" s="1"/>
  <c r="M306" i="2"/>
  <c r="AR306" i="2" s="1"/>
  <c r="V51" i="2"/>
  <c r="BA51" i="2" s="1"/>
  <c r="R305" i="2"/>
  <c r="AW305" i="2" s="1"/>
  <c r="M277" i="2"/>
  <c r="AR277" i="2" s="1"/>
  <c r="V222" i="2"/>
  <c r="BA222" i="2" s="1"/>
  <c r="R51" i="2"/>
  <c r="AW51" i="2" s="1"/>
  <c r="J220" i="2"/>
  <c r="AO220" i="2" s="1"/>
  <c r="V245" i="2"/>
  <c r="BA245" i="2" s="1"/>
  <c r="M305" i="2"/>
  <c r="AR305" i="2" s="1"/>
  <c r="V278" i="2"/>
  <c r="BA278" i="2" s="1"/>
  <c r="R245" i="2"/>
  <c r="AW245" i="2" s="1"/>
  <c r="R275" i="2"/>
  <c r="AW275" i="2" s="1"/>
  <c r="M304" i="2"/>
  <c r="AR304" i="2" s="1"/>
  <c r="V220" i="2"/>
  <c r="BA220" i="2" s="1"/>
  <c r="M322" i="2"/>
  <c r="AR322" i="2" s="1"/>
  <c r="V306" i="2"/>
  <c r="BA306" i="2" s="1"/>
  <c r="J294" i="2"/>
  <c r="AO294" i="2" s="1"/>
  <c r="V294" i="2"/>
  <c r="BA294" i="2" s="1"/>
  <c r="J305" i="2"/>
  <c r="AO305" i="2" s="1"/>
  <c r="V275" i="2"/>
  <c r="BA275" i="2" s="1"/>
  <c r="V305" i="2"/>
  <c r="BA305" i="2" s="1"/>
  <c r="M278" i="2"/>
  <c r="AR278" i="2" s="1"/>
  <c r="R303" i="2"/>
  <c r="AW303" i="2" s="1"/>
  <c r="J279" i="2"/>
  <c r="AO279" i="2" s="1"/>
  <c r="J276" i="2"/>
  <c r="AO276" i="2" s="1"/>
  <c r="J277" i="2"/>
  <c r="AO277" i="2" s="1"/>
  <c r="M276" i="2"/>
  <c r="AR276" i="2" s="1"/>
  <c r="V322" i="2"/>
  <c r="BA322" i="2" s="1"/>
  <c r="J222" i="2"/>
  <c r="AO222" i="2" s="1"/>
  <c r="R278" i="2"/>
  <c r="AW278" i="2" s="1"/>
  <c r="M222" i="2"/>
  <c r="AR222" i="2" s="1"/>
  <c r="J304" i="2"/>
  <c r="AO304" i="2" s="1"/>
  <c r="M279" i="2"/>
  <c r="AR279" i="2" s="1"/>
  <c r="V303" i="2"/>
  <c r="BA303" i="2" s="1"/>
  <c r="R194" i="2"/>
  <c r="AW194" i="2" s="1"/>
  <c r="R90" i="2"/>
  <c r="AW90" i="2" s="1"/>
  <c r="R62" i="2"/>
  <c r="AW62" i="2" s="1"/>
  <c r="M374" i="2"/>
  <c r="AR374" i="2" s="1"/>
  <c r="J372" i="2"/>
  <c r="AO372" i="2" s="1"/>
  <c r="V33" i="2"/>
  <c r="BA33" i="2" s="1"/>
  <c r="R132" i="2"/>
  <c r="AW132" i="2" s="1"/>
  <c r="R63" i="2"/>
  <c r="AW63" i="2" s="1"/>
  <c r="R95" i="2"/>
  <c r="AW95" i="2" s="1"/>
  <c r="R93" i="2"/>
  <c r="AW93" i="2" s="1"/>
  <c r="V374" i="2"/>
  <c r="BA374" i="2" s="1"/>
  <c r="R372" i="2"/>
  <c r="AW372" i="2" s="1"/>
  <c r="V372" i="2"/>
  <c r="BA372" i="2" s="1"/>
  <c r="R33" i="2"/>
  <c r="AW33" i="2" s="1"/>
  <c r="J33" i="2"/>
  <c r="AO33" i="2" s="1"/>
  <c r="M372" i="2"/>
  <c r="AR372" i="2" s="1"/>
  <c r="J374" i="2"/>
  <c r="AO374" i="2" s="1"/>
  <c r="R374" i="2"/>
  <c r="AW374" i="2" s="1"/>
  <c r="A540" i="23"/>
  <c r="M540" i="23"/>
  <c r="L540" i="23"/>
  <c r="N540" i="23"/>
  <c r="O540" i="23"/>
  <c r="R351" i="2"/>
  <c r="AW351" i="2" s="1"/>
  <c r="A518" i="23"/>
  <c r="M518" i="23"/>
  <c r="L518" i="23"/>
  <c r="O518" i="23"/>
  <c r="N518" i="23"/>
  <c r="J351" i="2"/>
  <c r="AO351" i="2" s="1"/>
  <c r="J90" i="2"/>
  <c r="AO90" i="2" s="1"/>
  <c r="V92" i="2"/>
  <c r="BA92" i="2" s="1"/>
  <c r="V93" i="2"/>
  <c r="BA93" i="2" s="1"/>
  <c r="V95" i="2"/>
  <c r="BA95" i="2" s="1"/>
  <c r="M351" i="2"/>
  <c r="AR351" i="2" s="1"/>
  <c r="M92" i="2"/>
  <c r="AR92" i="2" s="1"/>
  <c r="M90" i="2"/>
  <c r="AR90" i="2" s="1"/>
  <c r="M93" i="2"/>
  <c r="AR93" i="2" s="1"/>
  <c r="J93" i="2"/>
  <c r="AO93" i="2" s="1"/>
  <c r="J92" i="2"/>
  <c r="AO92" i="2" s="1"/>
  <c r="V351" i="2"/>
  <c r="BA351" i="2" s="1"/>
  <c r="V90" i="2"/>
  <c r="BA90" i="2" s="1"/>
  <c r="M95" i="2"/>
  <c r="AR95" i="2" s="1"/>
  <c r="J95" i="2"/>
  <c r="AO95" i="2" s="1"/>
  <c r="M63" i="2"/>
  <c r="AR63" i="2" s="1"/>
  <c r="M62" i="2"/>
  <c r="AR62" i="2" s="1"/>
  <c r="J62" i="2"/>
  <c r="AO62" i="2" s="1"/>
  <c r="J63" i="2"/>
  <c r="AO63" i="2" s="1"/>
  <c r="V63" i="2"/>
  <c r="BA63" i="2" s="1"/>
  <c r="V62" i="2"/>
  <c r="BA62" i="2" s="1"/>
  <c r="C1819" i="1"/>
  <c r="C1823" i="1"/>
  <c r="C1821" i="1"/>
  <c r="C1822" i="1"/>
  <c r="C1820" i="1"/>
  <c r="V132" i="2"/>
  <c r="BA132" i="2" s="1"/>
  <c r="M132" i="2"/>
  <c r="AR132" i="2" s="1"/>
  <c r="J132" i="2"/>
  <c r="AO132" i="2" s="1"/>
  <c r="S1457" i="1"/>
  <c r="V251" i="2"/>
  <c r="BA251" i="2" s="1"/>
  <c r="V353" i="2"/>
  <c r="BA353" i="2" s="1"/>
  <c r="V114" i="2"/>
  <c r="BA114" i="2" s="1"/>
  <c r="V64" i="2"/>
  <c r="BA64" i="2" s="1"/>
  <c r="V197" i="2"/>
  <c r="BA197" i="2" s="1"/>
  <c r="V141" i="2"/>
  <c r="BA141" i="2" s="1"/>
  <c r="V147" i="2"/>
  <c r="BA147" i="2" s="1"/>
  <c r="V73" i="2"/>
  <c r="BA73" i="2" s="1"/>
  <c r="V363" i="2"/>
  <c r="BA363" i="2" s="1"/>
  <c r="V218" i="2"/>
  <c r="BA218" i="2" s="1"/>
  <c r="V190" i="2"/>
  <c r="BA190" i="2" s="1"/>
  <c r="V269" i="2"/>
  <c r="BA269" i="2" s="1"/>
  <c r="V144" i="2"/>
  <c r="BA144" i="2" s="1"/>
  <c r="A2054" i="23"/>
  <c r="A2055" i="23" s="1"/>
  <c r="A2209" i="23" s="1"/>
  <c r="A2052" i="23"/>
  <c r="V58" i="2"/>
  <c r="BA58" i="2" s="1"/>
  <c r="V248" i="2"/>
  <c r="BA248" i="2" s="1"/>
  <c r="V66" i="2"/>
  <c r="BA66" i="2" s="1"/>
  <c r="V352" i="2"/>
  <c r="BA352" i="2" s="1"/>
  <c r="V285" i="2"/>
  <c r="BA285" i="2" s="1"/>
  <c r="V371" i="2"/>
  <c r="BA371" i="2" s="1"/>
  <c r="V319" i="2"/>
  <c r="BA319" i="2" s="1"/>
  <c r="V96" i="2"/>
  <c r="BA96" i="2" s="1"/>
  <c r="V375" i="2"/>
  <c r="BA375" i="2" s="1"/>
  <c r="L1098" i="23"/>
  <c r="AY385" i="2"/>
  <c r="V350" i="2"/>
  <c r="BA350" i="2" s="1"/>
  <c r="V119" i="2"/>
  <c r="BA119" i="2" s="1"/>
  <c r="V175" i="2"/>
  <c r="BA175" i="2" s="1"/>
  <c r="V193" i="2"/>
  <c r="BA193" i="2" s="1"/>
  <c r="V310" i="2"/>
  <c r="BA310" i="2" s="1"/>
  <c r="V128" i="2"/>
  <c r="BA128" i="2" s="1"/>
  <c r="V235" i="2"/>
  <c r="BA235" i="2" s="1"/>
  <c r="V229" i="2"/>
  <c r="BA229" i="2" s="1"/>
  <c r="V199" i="2"/>
  <c r="BA199" i="2" s="1"/>
  <c r="V317" i="2"/>
  <c r="BA317" i="2" s="1"/>
  <c r="V59" i="2"/>
  <c r="BA59" i="2" s="1"/>
  <c r="V32" i="2"/>
  <c r="BA32" i="2" s="1"/>
  <c r="AT387" i="2"/>
  <c r="AY388" i="2"/>
  <c r="J11" i="2"/>
  <c r="AO11" i="2" s="1"/>
  <c r="J122" i="2"/>
  <c r="AO122" i="2" s="1"/>
  <c r="J269" i="2"/>
  <c r="AO269" i="2" s="1"/>
  <c r="J384" i="2"/>
  <c r="AO384" i="2" s="1"/>
  <c r="J99" i="2"/>
  <c r="AO99" i="2" s="1"/>
  <c r="J231" i="2"/>
  <c r="AO231" i="2" s="1"/>
  <c r="J85" i="2"/>
  <c r="AO85" i="2" s="1"/>
  <c r="J86" i="2"/>
  <c r="AO86" i="2" s="1"/>
  <c r="J238" i="2"/>
  <c r="AO238" i="2" s="1"/>
  <c r="J98" i="2"/>
  <c r="AO98" i="2" s="1"/>
  <c r="J70" i="2"/>
  <c r="AO70" i="2" s="1"/>
  <c r="J252" i="2"/>
  <c r="AO252" i="2" s="1"/>
  <c r="J127" i="2"/>
  <c r="AO127" i="2" s="1"/>
  <c r="J142" i="2"/>
  <c r="AO142" i="2" s="1"/>
  <c r="J209" i="2"/>
  <c r="AO209" i="2" s="1"/>
  <c r="J331" i="2"/>
  <c r="AO331" i="2" s="1"/>
  <c r="J27" i="2"/>
  <c r="AO27" i="2" s="1"/>
  <c r="J170" i="2"/>
  <c r="AO170" i="2" s="1"/>
  <c r="J232" i="2"/>
  <c r="AO232" i="2" s="1"/>
  <c r="J274" i="2"/>
  <c r="AO274" i="2" s="1"/>
  <c r="J23" i="2"/>
  <c r="AO23" i="2" s="1"/>
  <c r="J103" i="2"/>
  <c r="AO103" i="2" s="1"/>
  <c r="J240" i="2"/>
  <c r="AO240" i="2" s="1"/>
  <c r="J364" i="2"/>
  <c r="AO364" i="2" s="1"/>
  <c r="J75" i="2"/>
  <c r="AO75" i="2" s="1"/>
  <c r="J201" i="2"/>
  <c r="AO201" i="2" s="1"/>
  <c r="J377" i="2"/>
  <c r="AO377" i="2" s="1"/>
  <c r="J126" i="2"/>
  <c r="AO126" i="2" s="1"/>
  <c r="J208" i="2"/>
  <c r="AO208" i="2" s="1"/>
  <c r="J367" i="2"/>
  <c r="AO367" i="2" s="1"/>
  <c r="J104" i="2"/>
  <c r="AO104" i="2" s="1"/>
  <c r="J235" i="2"/>
  <c r="AO235" i="2" s="1"/>
  <c r="J383" i="2"/>
  <c r="AO383" i="2" s="1"/>
  <c r="J94" i="2"/>
  <c r="AO94" i="2" s="1"/>
  <c r="J247" i="2"/>
  <c r="AO247" i="2" s="1"/>
  <c r="J378" i="2"/>
  <c r="AO378" i="2" s="1"/>
  <c r="J105" i="2"/>
  <c r="AO105" i="2" s="1"/>
  <c r="J161" i="2"/>
  <c r="AO161" i="2" s="1"/>
  <c r="J241" i="2"/>
  <c r="AO241" i="2" s="1"/>
  <c r="J361" i="2"/>
  <c r="AO361" i="2" s="1"/>
  <c r="J65" i="2"/>
  <c r="AO65" i="2" s="1"/>
  <c r="J130" i="2"/>
  <c r="AO130" i="2" s="1"/>
  <c r="J205" i="2"/>
  <c r="AO205" i="2" s="1"/>
  <c r="J281" i="2"/>
  <c r="AO281" i="2" s="1"/>
  <c r="J17" i="2"/>
  <c r="AO17" i="2" s="1"/>
  <c r="J162" i="2"/>
  <c r="AO162" i="2" s="1"/>
  <c r="J254" i="2"/>
  <c r="AO254" i="2" s="1"/>
  <c r="J335" i="2"/>
  <c r="AO335" i="2" s="1"/>
  <c r="J147" i="2"/>
  <c r="AO147" i="2" s="1"/>
  <c r="J320" i="2"/>
  <c r="AO320" i="2" s="1"/>
  <c r="J317" i="2"/>
  <c r="AO317" i="2" s="1"/>
  <c r="J129" i="2"/>
  <c r="AO129" i="2" s="1"/>
  <c r="J291" i="2"/>
  <c r="AO291" i="2" s="1"/>
  <c r="J8" i="2"/>
  <c r="AO8" i="2" s="1"/>
  <c r="J184" i="2"/>
  <c r="AO184" i="2" s="1"/>
  <c r="J340" i="2"/>
  <c r="AO340" i="2" s="1"/>
  <c r="J41" i="2"/>
  <c r="AO41" i="2" s="1"/>
  <c r="J114" i="2"/>
  <c r="AO114" i="2" s="1"/>
  <c r="J236" i="2"/>
  <c r="AO236" i="2" s="1"/>
  <c r="J347" i="2"/>
  <c r="AO347" i="2" s="1"/>
  <c r="J40" i="2"/>
  <c r="AO40" i="2" s="1"/>
  <c r="J74" i="2"/>
  <c r="AO74" i="2" s="1"/>
  <c r="J156" i="2"/>
  <c r="AO156" i="2" s="1"/>
  <c r="J258" i="2"/>
  <c r="AO258" i="2" s="1"/>
  <c r="J368" i="2"/>
  <c r="AO368" i="2" s="1"/>
  <c r="J134" i="2"/>
  <c r="AO134" i="2" s="1"/>
  <c r="J267" i="2"/>
  <c r="AO267" i="2" s="1"/>
  <c r="J18" i="2"/>
  <c r="AO18" i="2" s="1"/>
  <c r="J106" i="2"/>
  <c r="AO106" i="2" s="1"/>
  <c r="J253" i="2"/>
  <c r="AO253" i="2" s="1"/>
  <c r="J175" i="2"/>
  <c r="AO175" i="2" s="1"/>
  <c r="J167" i="2"/>
  <c r="AO167" i="2" s="1"/>
  <c r="J203" i="2"/>
  <c r="AO203" i="2" s="1"/>
  <c r="J357" i="2"/>
  <c r="AO357" i="2" s="1"/>
  <c r="J59" i="2"/>
  <c r="AO59" i="2" s="1"/>
  <c r="J190" i="2"/>
  <c r="AO190" i="2" s="1"/>
  <c r="J24" i="2"/>
  <c r="AO24" i="2" s="1"/>
  <c r="J116" i="2"/>
  <c r="AO116" i="2" s="1"/>
  <c r="J144" i="2"/>
  <c r="AO144" i="2" s="1"/>
  <c r="J263" i="2"/>
  <c r="AO263" i="2" s="1"/>
  <c r="J9" i="2"/>
  <c r="AO9" i="2" s="1"/>
  <c r="J83" i="2"/>
  <c r="AO83" i="2" s="1"/>
  <c r="J157" i="2"/>
  <c r="AO157" i="2" s="1"/>
  <c r="J223" i="2"/>
  <c r="AO223" i="2" s="1"/>
  <c r="J346" i="2"/>
  <c r="AO346" i="2" s="1"/>
  <c r="J30" i="2"/>
  <c r="AO30" i="2" s="1"/>
  <c r="M76" i="2"/>
  <c r="AR76" i="2" s="1"/>
  <c r="J297" i="2"/>
  <c r="AO297" i="2" s="1"/>
  <c r="AY389" i="2"/>
  <c r="J337" i="2"/>
  <c r="AO337" i="2" s="1"/>
  <c r="J43" i="2"/>
  <c r="AO43" i="2" s="1"/>
  <c r="J177" i="2"/>
  <c r="AO177" i="2" s="1"/>
  <c r="J80" i="2"/>
  <c r="AO80" i="2" s="1"/>
  <c r="J56" i="2"/>
  <c r="AO56" i="2" s="1"/>
  <c r="J149" i="2"/>
  <c r="AO149" i="2" s="1"/>
  <c r="J343" i="2"/>
  <c r="AO343" i="2" s="1"/>
  <c r="J36" i="2"/>
  <c r="AO36" i="2" s="1"/>
  <c r="J148" i="2"/>
  <c r="AO148" i="2" s="1"/>
  <c r="J323" i="2"/>
  <c r="AO323" i="2" s="1"/>
  <c r="J50" i="2"/>
  <c r="AO50" i="2" s="1"/>
  <c r="J187" i="2"/>
  <c r="AO187" i="2" s="1"/>
  <c r="J371" i="2"/>
  <c r="AO371" i="2" s="1"/>
  <c r="J123" i="2"/>
  <c r="AO123" i="2" s="1"/>
  <c r="J128" i="2"/>
  <c r="AO128" i="2" s="1"/>
  <c r="J265" i="2"/>
  <c r="AO265" i="2" s="1"/>
  <c r="J380" i="2"/>
  <c r="AO380" i="2" s="1"/>
  <c r="J76" i="2"/>
  <c r="AO76" i="2" s="1"/>
  <c r="J154" i="2"/>
  <c r="AO154" i="2" s="1"/>
  <c r="J214" i="2"/>
  <c r="AO214" i="2" s="1"/>
  <c r="J301" i="2"/>
  <c r="AO301" i="2" s="1"/>
  <c r="J60" i="2"/>
  <c r="AO60" i="2" s="1"/>
  <c r="J152" i="2"/>
  <c r="AO152" i="2" s="1"/>
  <c r="J325" i="2"/>
  <c r="AO325" i="2" s="1"/>
  <c r="J34" i="2"/>
  <c r="AO34" i="2" s="1"/>
  <c r="J120" i="2"/>
  <c r="AO120" i="2" s="1"/>
  <c r="J287" i="2"/>
  <c r="AO287" i="2" s="1"/>
  <c r="J246" i="2"/>
  <c r="AO246" i="2" s="1"/>
  <c r="J169" i="2"/>
  <c r="AO169" i="2" s="1"/>
  <c r="J310" i="2"/>
  <c r="AO310" i="2" s="1"/>
  <c r="J330" i="2"/>
  <c r="AO330" i="2" s="1"/>
  <c r="J153" i="2"/>
  <c r="AO153" i="2" s="1"/>
  <c r="J292" i="2"/>
  <c r="AO292" i="2" s="1"/>
  <c r="J52" i="2"/>
  <c r="AO52" i="2" s="1"/>
  <c r="J215" i="2"/>
  <c r="AO215" i="2" s="1"/>
  <c r="J262" i="2"/>
  <c r="AO262" i="2" s="1"/>
  <c r="J20" i="2"/>
  <c r="AO20" i="2" s="1"/>
  <c r="J71" i="2"/>
  <c r="AO71" i="2" s="1"/>
  <c r="J182" i="2"/>
  <c r="AO182" i="2" s="1"/>
  <c r="J259" i="2"/>
  <c r="AO259" i="2" s="1"/>
  <c r="J341" i="2"/>
  <c r="AO341" i="2" s="1"/>
  <c r="J48" i="2"/>
  <c r="AO48" i="2" s="1"/>
  <c r="J124" i="2"/>
  <c r="AO124" i="2" s="1"/>
  <c r="J217" i="2"/>
  <c r="AO217" i="2" s="1"/>
  <c r="J370" i="2"/>
  <c r="AO370" i="2" s="1"/>
  <c r="J68" i="2"/>
  <c r="AO68" i="2" s="1"/>
  <c r="J194" i="2"/>
  <c r="AO194" i="2" s="1"/>
  <c r="J353" i="2"/>
  <c r="AO353" i="2" s="1"/>
  <c r="J55" i="2"/>
  <c r="AO55" i="2" s="1"/>
  <c r="J185" i="2"/>
  <c r="AO185" i="2" s="1"/>
  <c r="J355" i="2"/>
  <c r="AO355" i="2" s="1"/>
  <c r="J109" i="2"/>
  <c r="AO109" i="2" s="1"/>
  <c r="J228" i="2"/>
  <c r="AO228" i="2" s="1"/>
  <c r="J354" i="2"/>
  <c r="AO354" i="2" s="1"/>
  <c r="J84" i="2"/>
  <c r="AO84" i="2" s="1"/>
  <c r="J249" i="2"/>
  <c r="AO249" i="2" s="1"/>
  <c r="J350" i="2"/>
  <c r="AO350" i="2" s="1"/>
  <c r="J35" i="2"/>
  <c r="AO35" i="2" s="1"/>
  <c r="J158" i="2"/>
  <c r="AO158" i="2" s="1"/>
  <c r="J243" i="2"/>
  <c r="AO243" i="2" s="1"/>
  <c r="J327" i="2"/>
  <c r="AO327" i="2" s="1"/>
  <c r="J57" i="2"/>
  <c r="AO57" i="2" s="1"/>
  <c r="J119" i="2"/>
  <c r="AO119" i="2" s="1"/>
  <c r="J198" i="2"/>
  <c r="AO198" i="2" s="1"/>
  <c r="J359" i="2"/>
  <c r="AO359" i="2" s="1"/>
  <c r="J113" i="2"/>
  <c r="AO113" i="2" s="1"/>
  <c r="J237" i="2"/>
  <c r="AO237" i="2" s="1"/>
  <c r="J174" i="2"/>
  <c r="AO174" i="2" s="1"/>
  <c r="J26" i="2"/>
  <c r="AO26" i="2" s="1"/>
  <c r="J164" i="2"/>
  <c r="AO164" i="2" s="1"/>
  <c r="J379" i="2"/>
  <c r="AO379" i="2" s="1"/>
  <c r="J326" i="2"/>
  <c r="AO326" i="2" s="1"/>
  <c r="J118" i="2"/>
  <c r="AO118" i="2" s="1"/>
  <c r="J255" i="2"/>
  <c r="AO255" i="2" s="1"/>
  <c r="J332" i="2"/>
  <c r="AO332" i="2" s="1"/>
  <c r="J180" i="2"/>
  <c r="AO180" i="2" s="1"/>
  <c r="J289" i="2"/>
  <c r="AO289" i="2" s="1"/>
  <c r="J19" i="2"/>
  <c r="AO19" i="2" s="1"/>
  <c r="J107" i="2"/>
  <c r="AO107" i="2" s="1"/>
  <c r="J233" i="2"/>
  <c r="AO233" i="2" s="1"/>
  <c r="J284" i="2"/>
  <c r="AO284" i="2" s="1"/>
  <c r="J42" i="2"/>
  <c r="AO42" i="2" s="1"/>
  <c r="J67" i="2"/>
  <c r="AO67" i="2" s="1"/>
  <c r="J141" i="2"/>
  <c r="AO141" i="2" s="1"/>
  <c r="J260" i="2"/>
  <c r="AO260" i="2" s="1"/>
  <c r="J272" i="2"/>
  <c r="AO272" i="2" s="1"/>
  <c r="J333" i="2"/>
  <c r="AO333" i="2" s="1"/>
  <c r="J82" i="2"/>
  <c r="AO82" i="2" s="1"/>
  <c r="J226" i="2"/>
  <c r="AO226" i="2" s="1"/>
  <c r="J382" i="2"/>
  <c r="AO382" i="2" s="1"/>
  <c r="J139" i="2"/>
  <c r="AO139" i="2" s="1"/>
  <c r="J239" i="2"/>
  <c r="AO239" i="2" s="1"/>
  <c r="J365" i="2"/>
  <c r="AO365" i="2" s="1"/>
  <c r="J111" i="2"/>
  <c r="AO111" i="2" s="1"/>
  <c r="J257" i="2"/>
  <c r="AO257" i="2" s="1"/>
  <c r="J342" i="2"/>
  <c r="AO342" i="2" s="1"/>
  <c r="J102" i="2"/>
  <c r="AO102" i="2" s="1"/>
  <c r="J283" i="2"/>
  <c r="AO283" i="2" s="1"/>
  <c r="J7" i="2"/>
  <c r="AO7" i="2" s="1"/>
  <c r="J100" i="2"/>
  <c r="AO100" i="2" s="1"/>
  <c r="J176" i="2"/>
  <c r="AO176" i="2" s="1"/>
  <c r="J273" i="2"/>
  <c r="AO273" i="2" s="1"/>
  <c r="J358" i="2"/>
  <c r="AO358" i="2" s="1"/>
  <c r="J58" i="2"/>
  <c r="AO58" i="2" s="1"/>
  <c r="J138" i="2"/>
  <c r="AO138" i="2" s="1"/>
  <c r="J230" i="2"/>
  <c r="AO230" i="2" s="1"/>
  <c r="J16" i="2"/>
  <c r="AO16" i="2" s="1"/>
  <c r="J115" i="2"/>
  <c r="AO115" i="2" s="1"/>
  <c r="J204" i="2"/>
  <c r="AO204" i="2" s="1"/>
  <c r="J282" i="2"/>
  <c r="AO282" i="2" s="1"/>
  <c r="J88" i="2"/>
  <c r="AO88" i="2" s="1"/>
  <c r="J224" i="2"/>
  <c r="AO224" i="2" s="1"/>
  <c r="J12" i="2"/>
  <c r="AO12" i="2" s="1"/>
  <c r="J79" i="2"/>
  <c r="AO79" i="2" s="1"/>
  <c r="J213" i="2"/>
  <c r="AO213" i="2" s="1"/>
  <c r="J44" i="2"/>
  <c r="AO44" i="2" s="1"/>
  <c r="J61" i="2"/>
  <c r="AO61" i="2" s="1"/>
  <c r="J221" i="2"/>
  <c r="AO221" i="2" s="1"/>
  <c r="J87" i="2"/>
  <c r="AO87" i="2" s="1"/>
  <c r="J143" i="2"/>
  <c r="AO143" i="2" s="1"/>
  <c r="J202" i="2"/>
  <c r="AO202" i="2" s="1"/>
  <c r="J318" i="2"/>
  <c r="AO318" i="2" s="1"/>
  <c r="J29" i="2"/>
  <c r="AO29" i="2" s="1"/>
  <c r="J171" i="2"/>
  <c r="AO171" i="2" s="1"/>
  <c r="J229" i="2"/>
  <c r="AO229" i="2" s="1"/>
  <c r="J242" i="2"/>
  <c r="AO242" i="2" s="1"/>
  <c r="J366" i="2"/>
  <c r="AO366" i="2" s="1"/>
  <c r="J96" i="2"/>
  <c r="AO96" i="2" s="1"/>
  <c r="J137" i="2"/>
  <c r="AO137" i="2" s="1"/>
  <c r="J316" i="2"/>
  <c r="AO316" i="2" s="1"/>
  <c r="J6" i="2"/>
  <c r="AO6" i="2" s="1"/>
  <c r="J188" i="2"/>
  <c r="AO188" i="2" s="1"/>
  <c r="J251" i="2"/>
  <c r="AO251" i="2" s="1"/>
  <c r="J186" i="2"/>
  <c r="AO186" i="2" s="1"/>
  <c r="J166" i="2"/>
  <c r="AO166" i="2" s="1"/>
  <c r="J266" i="2"/>
  <c r="AO266" i="2" s="1"/>
  <c r="J248" i="2"/>
  <c r="AO248" i="2" s="1"/>
  <c r="J150" i="2"/>
  <c r="AO150" i="2" s="1"/>
  <c r="J286" i="2"/>
  <c r="AO286" i="2" s="1"/>
  <c r="J288" i="2"/>
  <c r="AO288" i="2" s="1"/>
  <c r="J160" i="2"/>
  <c r="AO160" i="2" s="1"/>
  <c r="J264" i="2"/>
  <c r="AO264" i="2" s="1"/>
  <c r="J362" i="2"/>
  <c r="AO362" i="2" s="1"/>
  <c r="J64" i="2"/>
  <c r="AO64" i="2" s="1"/>
  <c r="J179" i="2"/>
  <c r="AO179" i="2" s="1"/>
  <c r="J261" i="2"/>
  <c r="AO261" i="2" s="1"/>
  <c r="J336" i="2"/>
  <c r="AO336" i="2" s="1"/>
  <c r="J37" i="2"/>
  <c r="AO37" i="2" s="1"/>
  <c r="J121" i="2"/>
  <c r="AO121" i="2" s="1"/>
  <c r="J270" i="2"/>
  <c r="AO270" i="2" s="1"/>
  <c r="J348" i="2"/>
  <c r="AO348" i="2" s="1"/>
  <c r="J163" i="2"/>
  <c r="AO163" i="2" s="1"/>
  <c r="J256" i="2"/>
  <c r="AO256" i="2" s="1"/>
  <c r="J349" i="2"/>
  <c r="AO349" i="2" s="1"/>
  <c r="J66" i="2"/>
  <c r="AO66" i="2" s="1"/>
  <c r="J271" i="2"/>
  <c r="AO271" i="2" s="1"/>
  <c r="J329" i="2"/>
  <c r="AO329" i="2" s="1"/>
  <c r="J39" i="2"/>
  <c r="AO39" i="2" s="1"/>
  <c r="J225" i="2"/>
  <c r="AO225" i="2" s="1"/>
  <c r="J360" i="2"/>
  <c r="AO360" i="2" s="1"/>
  <c r="J89" i="2"/>
  <c r="AO89" i="2" s="1"/>
  <c r="J227" i="2"/>
  <c r="AO227" i="2" s="1"/>
  <c r="J319" i="2"/>
  <c r="AO319" i="2" s="1"/>
  <c r="J15" i="2"/>
  <c r="AO15" i="2" s="1"/>
  <c r="J159" i="2"/>
  <c r="AO159" i="2" s="1"/>
  <c r="J212" i="2"/>
  <c r="AO212" i="2" s="1"/>
  <c r="J302" i="2"/>
  <c r="AO302" i="2" s="1"/>
  <c r="J25" i="2"/>
  <c r="AO25" i="2" s="1"/>
  <c r="J112" i="2"/>
  <c r="AO112" i="2" s="1"/>
  <c r="J195" i="2"/>
  <c r="AO195" i="2" s="1"/>
  <c r="M40" i="2"/>
  <c r="AR40" i="2" s="1"/>
  <c r="M125" i="2"/>
  <c r="AR125" i="2" s="1"/>
  <c r="M151" i="2"/>
  <c r="AR151" i="2" s="1"/>
  <c r="M241" i="2"/>
  <c r="AR241" i="2" s="1"/>
  <c r="M331" i="2"/>
  <c r="AR331" i="2" s="1"/>
  <c r="M15" i="2"/>
  <c r="AR15" i="2" s="1"/>
  <c r="M70" i="2"/>
  <c r="AR70" i="2" s="1"/>
  <c r="M160" i="2"/>
  <c r="AR160" i="2" s="1"/>
  <c r="M195" i="2"/>
  <c r="AR195" i="2" s="1"/>
  <c r="M297" i="2"/>
  <c r="AR297" i="2" s="1"/>
  <c r="M365" i="2"/>
  <c r="AR365" i="2" s="1"/>
  <c r="M79" i="2"/>
  <c r="AR79" i="2" s="1"/>
  <c r="M180" i="2"/>
  <c r="AR180" i="2" s="1"/>
  <c r="M192" i="2"/>
  <c r="AR192" i="2" s="1"/>
  <c r="M272" i="2"/>
  <c r="AR272" i="2" s="1"/>
  <c r="M381" i="2"/>
  <c r="AR381" i="2" s="1"/>
  <c r="M34" i="2"/>
  <c r="AR34" i="2" s="1"/>
  <c r="M113" i="2"/>
  <c r="AR113" i="2" s="1"/>
  <c r="M194" i="2"/>
  <c r="AR194" i="2" s="1"/>
  <c r="M251" i="2"/>
  <c r="AR251" i="2" s="1"/>
  <c r="M350" i="2"/>
  <c r="AR350" i="2" s="1"/>
  <c r="M54" i="2"/>
  <c r="AR54" i="2" s="1"/>
  <c r="M146" i="2"/>
  <c r="AR146" i="2" s="1"/>
  <c r="M214" i="2"/>
  <c r="AR214" i="2" s="1"/>
  <c r="M271" i="2"/>
  <c r="AR271" i="2" s="1"/>
  <c r="M341" i="2"/>
  <c r="AR341" i="2" s="1"/>
  <c r="M48" i="2"/>
  <c r="AR48" i="2" s="1"/>
  <c r="M101" i="2"/>
  <c r="AR101" i="2" s="1"/>
  <c r="M182" i="2"/>
  <c r="AR182" i="2" s="1"/>
  <c r="M273" i="2"/>
  <c r="AR273" i="2" s="1"/>
  <c r="M338" i="2"/>
  <c r="AR338" i="2" s="1"/>
  <c r="M38" i="2"/>
  <c r="AR38" i="2" s="1"/>
  <c r="M117" i="2"/>
  <c r="AR117" i="2" s="1"/>
  <c r="M198" i="2"/>
  <c r="AR198" i="2" s="1"/>
  <c r="M255" i="2"/>
  <c r="AR255" i="2" s="1"/>
  <c r="M325" i="2"/>
  <c r="AR325" i="2" s="1"/>
  <c r="M81" i="2"/>
  <c r="AR81" i="2" s="1"/>
  <c r="M50" i="2"/>
  <c r="AR50" i="2" s="1"/>
  <c r="M98" i="2"/>
  <c r="AR98" i="2" s="1"/>
  <c r="M126" i="2"/>
  <c r="AR126" i="2" s="1"/>
  <c r="M219" i="2"/>
  <c r="AR219" i="2" s="1"/>
  <c r="M291" i="2"/>
  <c r="AR291" i="2" s="1"/>
  <c r="M6" i="2"/>
  <c r="AR6" i="2" s="1"/>
  <c r="M75" i="2"/>
  <c r="AR75" i="2" s="1"/>
  <c r="M173" i="2"/>
  <c r="AR173" i="2" s="1"/>
  <c r="M188" i="2"/>
  <c r="AR188" i="2" s="1"/>
  <c r="M324" i="2"/>
  <c r="AR324" i="2" s="1"/>
  <c r="M377" i="2"/>
  <c r="AR377" i="2" s="1"/>
  <c r="M72" i="2"/>
  <c r="AR72" i="2" s="1"/>
  <c r="M332" i="2"/>
  <c r="AR332" i="2" s="1"/>
  <c r="M107" i="2"/>
  <c r="AR107" i="2" s="1"/>
  <c r="M136" i="2"/>
  <c r="AR136" i="2" s="1"/>
  <c r="M216" i="2"/>
  <c r="AR216" i="2" s="1"/>
  <c r="M302" i="2"/>
  <c r="AR302" i="2" s="1"/>
  <c r="M376" i="2"/>
  <c r="AR376" i="2" s="1"/>
  <c r="M100" i="2"/>
  <c r="AR100" i="2" s="1"/>
  <c r="M124" i="2"/>
  <c r="AR124" i="2" s="1"/>
  <c r="M193" i="2"/>
  <c r="AR193" i="2" s="1"/>
  <c r="M253" i="2"/>
  <c r="AR253" i="2" s="1"/>
  <c r="M356" i="2"/>
  <c r="AR356" i="2" s="1"/>
  <c r="M165" i="2"/>
  <c r="AR165" i="2" s="1"/>
  <c r="M21" i="2"/>
  <c r="AR21" i="2" s="1"/>
  <c r="M60" i="2"/>
  <c r="AR60" i="2" s="1"/>
  <c r="M152" i="2"/>
  <c r="AR152" i="2" s="1"/>
  <c r="M234" i="2"/>
  <c r="AR234" i="2" s="1"/>
  <c r="M288" i="2"/>
  <c r="AR288" i="2" s="1"/>
  <c r="M357" i="2"/>
  <c r="AR357" i="2" s="1"/>
  <c r="M36" i="2"/>
  <c r="AR36" i="2" s="1"/>
  <c r="M118" i="2"/>
  <c r="AR118" i="2" s="1"/>
  <c r="M147" i="2"/>
  <c r="AR147" i="2" s="1"/>
  <c r="M240" i="2"/>
  <c r="AR240" i="2" s="1"/>
  <c r="M327" i="2"/>
  <c r="AR327" i="2" s="1"/>
  <c r="M14" i="2"/>
  <c r="AR14" i="2" s="1"/>
  <c r="M164" i="2"/>
  <c r="AR164" i="2" s="1"/>
  <c r="M32" i="2"/>
  <c r="AR32" i="2" s="1"/>
  <c r="M78" i="2"/>
  <c r="AR78" i="2" s="1"/>
  <c r="M168" i="2"/>
  <c r="AR168" i="2" s="1"/>
  <c r="M203" i="2"/>
  <c r="AR203" i="2" s="1"/>
  <c r="M317" i="2"/>
  <c r="AR317" i="2" s="1"/>
  <c r="M7" i="2"/>
  <c r="AR7" i="2" s="1"/>
  <c r="M64" i="2"/>
  <c r="AR64" i="2" s="1"/>
  <c r="M154" i="2"/>
  <c r="AR154" i="2" s="1"/>
  <c r="M224" i="2"/>
  <c r="AR224" i="2" s="1"/>
  <c r="M250" i="2"/>
  <c r="AR250" i="2" s="1"/>
  <c r="M349" i="2"/>
  <c r="AR349" i="2" s="1"/>
  <c r="M12" i="2"/>
  <c r="AR12" i="2" s="1"/>
  <c r="M52" i="2"/>
  <c r="AR52" i="2" s="1"/>
  <c r="M142" i="2"/>
  <c r="AR142" i="2" s="1"/>
  <c r="M210" i="2"/>
  <c r="AR210" i="2" s="1"/>
  <c r="M267" i="2"/>
  <c r="AR267" i="2" s="1"/>
  <c r="M337" i="2"/>
  <c r="AR337" i="2" s="1"/>
  <c r="M26" i="2"/>
  <c r="AR26" i="2" s="1"/>
  <c r="M167" i="2"/>
  <c r="AR167" i="2" s="1"/>
  <c r="M252" i="2"/>
  <c r="AR252" i="2" s="1"/>
  <c r="M347" i="2"/>
  <c r="AR347" i="2" s="1"/>
  <c r="M41" i="2"/>
  <c r="AR41" i="2" s="1"/>
  <c r="M86" i="2"/>
  <c r="AR86" i="2" s="1"/>
  <c r="M176" i="2"/>
  <c r="AR176" i="2" s="1"/>
  <c r="M211" i="2"/>
  <c r="AR211" i="2" s="1"/>
  <c r="M283" i="2"/>
  <c r="AR283" i="2" s="1"/>
  <c r="M383" i="2"/>
  <c r="AR383" i="2" s="1"/>
  <c r="M104" i="2"/>
  <c r="AR104" i="2" s="1"/>
  <c r="M128" i="2"/>
  <c r="AR128" i="2" s="1"/>
  <c r="M197" i="2"/>
  <c r="AR197" i="2" s="1"/>
  <c r="M257" i="2"/>
  <c r="AR257" i="2" s="1"/>
  <c r="M360" i="2"/>
  <c r="AR360" i="2" s="1"/>
  <c r="M134" i="2"/>
  <c r="AR134" i="2" s="1"/>
  <c r="M149" i="2"/>
  <c r="AR149" i="2" s="1"/>
  <c r="M217" i="2"/>
  <c r="AR217" i="2" s="1"/>
  <c r="M286" i="2"/>
  <c r="AR286" i="2" s="1"/>
  <c r="M382" i="2"/>
  <c r="AR382" i="2" s="1"/>
  <c r="M88" i="2"/>
  <c r="AR88" i="2" s="1"/>
  <c r="M179" i="2"/>
  <c r="AR179" i="2" s="1"/>
  <c r="M185" i="2"/>
  <c r="AR185" i="2" s="1"/>
  <c r="M244" i="2"/>
  <c r="AR244" i="2" s="1"/>
  <c r="M348" i="2"/>
  <c r="AR348" i="2" s="1"/>
  <c r="M108" i="2"/>
  <c r="AR108" i="2" s="1"/>
  <c r="M133" i="2"/>
  <c r="AR133" i="2" s="1"/>
  <c r="M201" i="2"/>
  <c r="AR201" i="2" s="1"/>
  <c r="M261" i="2"/>
  <c r="AR261" i="2" s="1"/>
  <c r="M364" i="2"/>
  <c r="AR364" i="2" s="1"/>
  <c r="M171" i="2"/>
  <c r="AR171" i="2" s="1"/>
  <c r="M59" i="2"/>
  <c r="AR59" i="2" s="1"/>
  <c r="M105" i="2"/>
  <c r="AR105" i="2" s="1"/>
  <c r="M186" i="2"/>
  <c r="AR186" i="2" s="1"/>
  <c r="M242" i="2"/>
  <c r="AR242" i="2" s="1"/>
  <c r="M342" i="2"/>
  <c r="AR342" i="2" s="1"/>
  <c r="M37" i="2"/>
  <c r="AR37" i="2" s="1"/>
  <c r="M82" i="2"/>
  <c r="AR82" i="2" s="1"/>
  <c r="M172" i="2"/>
  <c r="AR172" i="2" s="1"/>
  <c r="M207" i="2"/>
  <c r="AR207" i="2" s="1"/>
  <c r="M274" i="2"/>
  <c r="AR274" i="2" s="1"/>
  <c r="M379" i="2"/>
  <c r="AR379" i="2" s="1"/>
  <c r="M162" i="2"/>
  <c r="AR162" i="2" s="1"/>
  <c r="M31" i="2"/>
  <c r="AR31" i="2" s="1"/>
  <c r="M114" i="2"/>
  <c r="AR114" i="2" s="1"/>
  <c r="M143" i="2"/>
  <c r="AR143" i="2" s="1"/>
  <c r="M237" i="2"/>
  <c r="AR237" i="2" s="1"/>
  <c r="M323" i="2"/>
  <c r="AR323" i="2" s="1"/>
  <c r="M94" i="2"/>
  <c r="AR94" i="2" s="1"/>
  <c r="M123" i="2"/>
  <c r="AR123" i="2" s="1"/>
  <c r="M204" i="2"/>
  <c r="AR204" i="2" s="1"/>
  <c r="M289" i="2"/>
  <c r="AR289" i="2" s="1"/>
  <c r="M362" i="2"/>
  <c r="AR362" i="2" s="1"/>
  <c r="M235" i="2"/>
  <c r="AR235" i="2" s="1"/>
  <c r="M49" i="2"/>
  <c r="AR49" i="2" s="1"/>
  <c r="M69" i="2"/>
  <c r="AR69" i="2" s="1"/>
  <c r="M159" i="2"/>
  <c r="AR159" i="2" s="1"/>
  <c r="M243" i="2"/>
  <c r="AR243" i="2" s="1"/>
  <c r="M339" i="2"/>
  <c r="AR339" i="2" s="1"/>
  <c r="M19" i="2"/>
  <c r="AR19" i="2" s="1"/>
  <c r="M47" i="2"/>
  <c r="AR47" i="2" s="1"/>
  <c r="M138" i="2"/>
  <c r="AR138" i="2" s="1"/>
  <c r="M206" i="2"/>
  <c r="AR206" i="2" s="1"/>
  <c r="M263" i="2"/>
  <c r="AR263" i="2" s="1"/>
  <c r="M333" i="2"/>
  <c r="AR333" i="2" s="1"/>
  <c r="M17" i="2"/>
  <c r="AR17" i="2" s="1"/>
  <c r="M199" i="2"/>
  <c r="AR199" i="2" s="1"/>
  <c r="M35" i="2"/>
  <c r="AR35" i="2" s="1"/>
  <c r="M85" i="2"/>
  <c r="AR85" i="2" s="1"/>
  <c r="M175" i="2"/>
  <c r="AR175" i="2" s="1"/>
  <c r="M260" i="2"/>
  <c r="AR260" i="2" s="1"/>
  <c r="M326" i="2"/>
  <c r="AR326" i="2" s="1"/>
  <c r="M20" i="2"/>
  <c r="AR20" i="2" s="1"/>
  <c r="M57" i="2"/>
  <c r="AR57" i="2" s="1"/>
  <c r="M157" i="2"/>
  <c r="AR157" i="2" s="1"/>
  <c r="M227" i="2"/>
  <c r="AR227" i="2" s="1"/>
  <c r="M295" i="2"/>
  <c r="AR295" i="2" s="1"/>
  <c r="M359" i="2"/>
  <c r="AR359" i="2" s="1"/>
  <c r="M11" i="2"/>
  <c r="AR11" i="2" s="1"/>
  <c r="M375" i="2"/>
  <c r="AR375" i="2" s="1"/>
  <c r="M122" i="2"/>
  <c r="AR122" i="2" s="1"/>
  <c r="M145" i="2"/>
  <c r="AR145" i="2" s="1"/>
  <c r="M213" i="2"/>
  <c r="AR213" i="2" s="1"/>
  <c r="M282" i="2"/>
  <c r="AR282" i="2" s="1"/>
  <c r="M378" i="2"/>
  <c r="AR378" i="2" s="1"/>
  <c r="M68" i="2"/>
  <c r="AR68" i="2" s="1"/>
  <c r="M158" i="2"/>
  <c r="AR158" i="2" s="1"/>
  <c r="M228" i="2"/>
  <c r="AR228" i="2" s="1"/>
  <c r="M254" i="2"/>
  <c r="AR254" i="2" s="1"/>
  <c r="M328" i="2"/>
  <c r="AR328" i="2" s="1"/>
  <c r="M43" i="2"/>
  <c r="AR43" i="2" s="1"/>
  <c r="M97" i="2"/>
  <c r="AR97" i="2" s="1"/>
  <c r="M178" i="2"/>
  <c r="AR178" i="2" s="1"/>
  <c r="M268" i="2"/>
  <c r="AR268" i="2" s="1"/>
  <c r="M334" i="2"/>
  <c r="AR334" i="2" s="1"/>
  <c r="M8" i="2"/>
  <c r="AR8" i="2" s="1"/>
  <c r="M99" i="2"/>
  <c r="AR99" i="2" s="1"/>
  <c r="M127" i="2"/>
  <c r="AR127" i="2" s="1"/>
  <c r="M208" i="2"/>
  <c r="AR208" i="2" s="1"/>
  <c r="M293" i="2"/>
  <c r="AR293" i="2" s="1"/>
  <c r="M366" i="2"/>
  <c r="AR366" i="2" s="1"/>
  <c r="M129" i="2"/>
  <c r="AR129" i="2" s="1"/>
  <c r="M148" i="2"/>
  <c r="AR148" i="2" s="1"/>
  <c r="M230" i="2"/>
  <c r="AR230" i="2" s="1"/>
  <c r="M284" i="2"/>
  <c r="AR284" i="2" s="1"/>
  <c r="M353" i="2"/>
  <c r="AR353" i="2" s="1"/>
  <c r="M83" i="2"/>
  <c r="AR83" i="2" s="1"/>
  <c r="M191" i="2"/>
  <c r="AR191" i="2" s="1"/>
  <c r="M196" i="2"/>
  <c r="AR196" i="2" s="1"/>
  <c r="M281" i="2"/>
  <c r="AR281" i="2" s="1"/>
  <c r="M354" i="2"/>
  <c r="AR354" i="2" s="1"/>
  <c r="M103" i="2"/>
  <c r="AR103" i="2" s="1"/>
  <c r="M131" i="2"/>
  <c r="AR131" i="2" s="1"/>
  <c r="M212" i="2"/>
  <c r="AR212" i="2" s="1"/>
  <c r="M298" i="2"/>
  <c r="AR298" i="2" s="1"/>
  <c r="M370" i="2"/>
  <c r="AR370" i="2" s="1"/>
  <c r="M256" i="2"/>
  <c r="AR256" i="2" s="1"/>
  <c r="M96" i="2"/>
  <c r="AR96" i="2" s="1"/>
  <c r="M120" i="2"/>
  <c r="AR120" i="2" s="1"/>
  <c r="M189" i="2"/>
  <c r="AR189" i="2" s="1"/>
  <c r="M249" i="2"/>
  <c r="AR249" i="2" s="1"/>
  <c r="M352" i="2"/>
  <c r="AR352" i="2" s="1"/>
  <c r="M39" i="2"/>
  <c r="AR39" i="2" s="1"/>
  <c r="M89" i="2"/>
  <c r="AR89" i="2" s="1"/>
  <c r="M183" i="2"/>
  <c r="AR183" i="2" s="1"/>
  <c r="M264" i="2"/>
  <c r="AR264" i="2" s="1"/>
  <c r="M330" i="2"/>
  <c r="AR330" i="2" s="1"/>
  <c r="M16" i="2"/>
  <c r="AR16" i="2" s="1"/>
  <c r="M232" i="2"/>
  <c r="AR232" i="2" s="1"/>
  <c r="M42" i="2"/>
  <c r="AR42" i="2" s="1"/>
  <c r="M121" i="2"/>
  <c r="AR121" i="2" s="1"/>
  <c r="M202" i="2"/>
  <c r="AR202" i="2" s="1"/>
  <c r="M259" i="2"/>
  <c r="AR259" i="2" s="1"/>
  <c r="M329" i="2"/>
  <c r="AR329" i="2" s="1"/>
  <c r="M55" i="2"/>
  <c r="AR55" i="2" s="1"/>
  <c r="M102" i="2"/>
  <c r="AR102" i="2" s="1"/>
  <c r="M130" i="2"/>
  <c r="AR130" i="2" s="1"/>
  <c r="M225" i="2"/>
  <c r="AR225" i="2" s="1"/>
  <c r="M296" i="2"/>
  <c r="AR296" i="2" s="1"/>
  <c r="M23" i="2"/>
  <c r="AR23" i="2" s="1"/>
  <c r="M310" i="2"/>
  <c r="AR310" i="2" s="1"/>
  <c r="M58" i="2"/>
  <c r="AR58" i="2" s="1"/>
  <c r="M150" i="2"/>
  <c r="AR150" i="2" s="1"/>
  <c r="M218" i="2"/>
  <c r="AR218" i="2" s="1"/>
  <c r="M246" i="2"/>
  <c r="AR246" i="2" s="1"/>
  <c r="M345" i="2"/>
  <c r="AR345" i="2" s="1"/>
  <c r="M24" i="2"/>
  <c r="AR24" i="2" s="1"/>
  <c r="M116" i="2"/>
  <c r="AR116" i="2" s="1"/>
  <c r="M141" i="2"/>
  <c r="AR141" i="2" s="1"/>
  <c r="M209" i="2"/>
  <c r="AR209" i="2" s="1"/>
  <c r="M269" i="2"/>
  <c r="AR269" i="2" s="1"/>
  <c r="M373" i="2"/>
  <c r="AR373" i="2" s="1"/>
  <c r="M28" i="2"/>
  <c r="AR28" i="2" s="1"/>
  <c r="M301" i="2"/>
  <c r="AR301" i="2" s="1"/>
  <c r="M166" i="2"/>
  <c r="AR166" i="2" s="1"/>
  <c r="M236" i="2"/>
  <c r="AR236" i="2" s="1"/>
  <c r="M262" i="2"/>
  <c r="AR262" i="2" s="1"/>
  <c r="M336" i="2"/>
  <c r="AR336" i="2" s="1"/>
  <c r="M13" i="2"/>
  <c r="AR13" i="2" s="1"/>
  <c r="M66" i="2"/>
  <c r="AR66" i="2" s="1"/>
  <c r="M156" i="2"/>
  <c r="AR156" i="2" s="1"/>
  <c r="M238" i="2"/>
  <c r="AR238" i="2" s="1"/>
  <c r="M292" i="2"/>
  <c r="AR292" i="2" s="1"/>
  <c r="M361" i="2"/>
  <c r="AR361" i="2" s="1"/>
  <c r="M10" i="2"/>
  <c r="AR10" i="2" s="1"/>
  <c r="M18" i="2"/>
  <c r="AR18" i="2" s="1"/>
  <c r="M115" i="2"/>
  <c r="AR115" i="2" s="1"/>
  <c r="M144" i="2"/>
  <c r="AR144" i="2" s="1"/>
  <c r="M226" i="2"/>
  <c r="AR226" i="2" s="1"/>
  <c r="M280" i="2"/>
  <c r="AR280" i="2" s="1"/>
  <c r="M384" i="2"/>
  <c r="AR384" i="2" s="1"/>
  <c r="M61" i="2"/>
  <c r="AR61" i="2" s="1"/>
  <c r="M161" i="2"/>
  <c r="AR161" i="2" s="1"/>
  <c r="M231" i="2"/>
  <c r="AR231" i="2" s="1"/>
  <c r="M299" i="2"/>
  <c r="AR299" i="2" s="1"/>
  <c r="M363" i="2"/>
  <c r="AR363" i="2" s="1"/>
  <c r="M84" i="2"/>
  <c r="AR84" i="2" s="1"/>
  <c r="M174" i="2"/>
  <c r="AR174" i="2" s="1"/>
  <c r="M181" i="2"/>
  <c r="AR181" i="2" s="1"/>
  <c r="M270" i="2"/>
  <c r="AR270" i="2" s="1"/>
  <c r="M344" i="2"/>
  <c r="AR344" i="2" s="1"/>
  <c r="M25" i="2"/>
  <c r="AR25" i="2" s="1"/>
  <c r="M106" i="2"/>
  <c r="AR106" i="2" s="1"/>
  <c r="M135" i="2"/>
  <c r="AR135" i="2" s="1"/>
  <c r="M229" i="2"/>
  <c r="AR229" i="2" s="1"/>
  <c r="M300" i="2"/>
  <c r="AR300" i="2" s="1"/>
  <c r="M44" i="2"/>
  <c r="AR44" i="2" s="1"/>
  <c r="M65" i="2"/>
  <c r="AR65" i="2" s="1"/>
  <c r="M155" i="2"/>
  <c r="AR155" i="2" s="1"/>
  <c r="M239" i="2"/>
  <c r="AR239" i="2" s="1"/>
  <c r="M335" i="2"/>
  <c r="AR335" i="2" s="1"/>
  <c r="M46" i="2"/>
  <c r="AR46" i="2" s="1"/>
  <c r="M91" i="2"/>
  <c r="AR91" i="2" s="1"/>
  <c r="M187" i="2"/>
  <c r="AR187" i="2" s="1"/>
  <c r="M215" i="2"/>
  <c r="AR215" i="2" s="1"/>
  <c r="M287" i="2"/>
  <c r="AR287" i="2" s="1"/>
  <c r="M27" i="2"/>
  <c r="AR27" i="2" s="1"/>
  <c r="M110" i="2"/>
  <c r="AR110" i="2" s="1"/>
  <c r="M139" i="2"/>
  <c r="AR139" i="2" s="1"/>
  <c r="M233" i="2"/>
  <c r="AR233" i="2" s="1"/>
  <c r="M316" i="2"/>
  <c r="AR316" i="2" s="1"/>
  <c r="M30" i="2"/>
  <c r="AR30" i="2" s="1"/>
  <c r="M320" i="2"/>
  <c r="AR320" i="2" s="1"/>
  <c r="M87" i="2"/>
  <c r="AR87" i="2" s="1"/>
  <c r="M119" i="2"/>
  <c r="AR119" i="2" s="1"/>
  <c r="M200" i="2"/>
  <c r="AR200" i="2" s="1"/>
  <c r="M285" i="2"/>
  <c r="AR285" i="2" s="1"/>
  <c r="M358" i="2"/>
  <c r="AR358" i="2" s="1"/>
  <c r="M80" i="2"/>
  <c r="AR80" i="2" s="1"/>
  <c r="M170" i="2"/>
  <c r="AR170" i="2" s="1"/>
  <c r="M177" i="2"/>
  <c r="AR177" i="2" s="1"/>
  <c r="M266" i="2"/>
  <c r="AR266" i="2" s="1"/>
  <c r="M340" i="2"/>
  <c r="AR340" i="2" s="1"/>
  <c r="M22" i="2"/>
  <c r="AR22" i="2" s="1"/>
  <c r="M258" i="2"/>
  <c r="AR258" i="2" s="1"/>
  <c r="M112" i="2"/>
  <c r="AR112" i="2" s="1"/>
  <c r="M137" i="2"/>
  <c r="AR137" i="2" s="1"/>
  <c r="M205" i="2"/>
  <c r="AR205" i="2" s="1"/>
  <c r="M265" i="2"/>
  <c r="AR265" i="2" s="1"/>
  <c r="M368" i="2"/>
  <c r="AR368" i="2" s="1"/>
  <c r="M29" i="2"/>
  <c r="AR29" i="2" s="1"/>
  <c r="M109" i="2"/>
  <c r="AR109" i="2" s="1"/>
  <c r="M190" i="2"/>
  <c r="AR190" i="2" s="1"/>
  <c r="M247" i="2"/>
  <c r="AR247" i="2" s="1"/>
  <c r="M346" i="2"/>
  <c r="AR346" i="2" s="1"/>
  <c r="M67" i="2"/>
  <c r="AR67" i="2" s="1"/>
  <c r="M367" i="2"/>
  <c r="AR367" i="2" s="1"/>
  <c r="M53" i="2"/>
  <c r="AR53" i="2" s="1"/>
  <c r="M153" i="2"/>
  <c r="AR153" i="2" s="1"/>
  <c r="M223" i="2"/>
  <c r="AR223" i="2" s="1"/>
  <c r="M290" i="2"/>
  <c r="AR290" i="2" s="1"/>
  <c r="M355" i="2"/>
  <c r="AR355" i="2" s="1"/>
  <c r="M9" i="2"/>
  <c r="AR9" i="2" s="1"/>
  <c r="M111" i="2"/>
  <c r="AR111" i="2" s="1"/>
  <c r="M140" i="2"/>
  <c r="AR140" i="2" s="1"/>
  <c r="M221" i="2"/>
  <c r="AR221" i="2" s="1"/>
  <c r="M318" i="2"/>
  <c r="AR318" i="2" s="1"/>
  <c r="M380" i="2"/>
  <c r="AR380" i="2" s="1"/>
  <c r="M74" i="2"/>
  <c r="AR74" i="2" s="1"/>
  <c r="M369" i="2"/>
  <c r="AR369" i="2" s="1"/>
  <c r="M71" i="2"/>
  <c r="AR71" i="2" s="1"/>
  <c r="M169" i="2"/>
  <c r="AR169" i="2" s="1"/>
  <c r="M184" i="2"/>
  <c r="AR184" i="2" s="1"/>
  <c r="M319" i="2"/>
  <c r="AR319" i="2" s="1"/>
  <c r="M371" i="2"/>
  <c r="AR371" i="2" s="1"/>
  <c r="M56" i="2"/>
  <c r="AR56" i="2" s="1"/>
  <c r="M73" i="2"/>
  <c r="AR73" i="2" s="1"/>
  <c r="M163" i="2"/>
  <c r="AR163" i="2" s="1"/>
  <c r="M248" i="2"/>
  <c r="AR248" i="2" s="1"/>
  <c r="M343" i="2"/>
  <c r="AR343" i="2" s="1"/>
  <c r="V142" i="2"/>
  <c r="BA142" i="2" s="1"/>
  <c r="V236" i="2"/>
  <c r="BA236" i="2" s="1"/>
  <c r="V358" i="2"/>
  <c r="BA358" i="2" s="1"/>
  <c r="V378" i="2"/>
  <c r="BA378" i="2" s="1"/>
  <c r="V226" i="2"/>
  <c r="BA226" i="2" s="1"/>
  <c r="V256" i="2"/>
  <c r="BA256" i="2" s="1"/>
  <c r="V377" i="2"/>
  <c r="BA377" i="2" s="1"/>
  <c r="V65" i="2"/>
  <c r="BA65" i="2" s="1"/>
  <c r="V369" i="2"/>
  <c r="BA369" i="2" s="1"/>
  <c r="V289" i="2"/>
  <c r="BA289" i="2" s="1"/>
  <c r="V82" i="2"/>
  <c r="BA82" i="2" s="1"/>
  <c r="V213" i="2"/>
  <c r="BA213" i="2" s="1"/>
  <c r="J338" i="2"/>
  <c r="AO338" i="2" s="1"/>
  <c r="J207" i="2"/>
  <c r="AO207" i="2" s="1"/>
  <c r="J339" i="2"/>
  <c r="AO339" i="2" s="1"/>
  <c r="J31" i="2"/>
  <c r="AO31" i="2" s="1"/>
  <c r="J136" i="2"/>
  <c r="AO136" i="2" s="1"/>
  <c r="J293" i="2"/>
  <c r="AO293" i="2" s="1"/>
  <c r="J356" i="2"/>
  <c r="AO356" i="2" s="1"/>
  <c r="J192" i="2"/>
  <c r="AO192" i="2" s="1"/>
  <c r="J324" i="2"/>
  <c r="AO324" i="2" s="1"/>
  <c r="J28" i="2"/>
  <c r="AO28" i="2" s="1"/>
  <c r="J168" i="2"/>
  <c r="AO168" i="2" s="1"/>
  <c r="J334" i="2"/>
  <c r="AO334" i="2" s="1"/>
  <c r="J49" i="2"/>
  <c r="AO49" i="2" s="1"/>
  <c r="J218" i="2"/>
  <c r="AO218" i="2" s="1"/>
  <c r="J299" i="2"/>
  <c r="AO299" i="2" s="1"/>
  <c r="J78" i="2"/>
  <c r="AO78" i="2" s="1"/>
  <c r="J189" i="2"/>
  <c r="AO189" i="2" s="1"/>
  <c r="J296" i="2"/>
  <c r="AO296" i="2" s="1"/>
  <c r="J363" i="2"/>
  <c r="AO363" i="2" s="1"/>
  <c r="J117" i="2"/>
  <c r="AO117" i="2" s="1"/>
  <c r="J140" i="2"/>
  <c r="AO140" i="2" s="1"/>
  <c r="J328" i="2"/>
  <c r="AO328" i="2" s="1"/>
  <c r="J32" i="2"/>
  <c r="AO32" i="2" s="1"/>
  <c r="J165" i="2"/>
  <c r="AO165" i="2" s="1"/>
  <c r="J290" i="2"/>
  <c r="AO290" i="2" s="1"/>
  <c r="J14" i="2"/>
  <c r="AO14" i="2" s="1"/>
  <c r="J146" i="2"/>
  <c r="AO146" i="2" s="1"/>
  <c r="J280" i="2"/>
  <c r="AO280" i="2" s="1"/>
  <c r="J38" i="2"/>
  <c r="AO38" i="2" s="1"/>
  <c r="J133" i="2"/>
  <c r="AO133" i="2" s="1"/>
  <c r="J298" i="2"/>
  <c r="AO298" i="2" s="1"/>
  <c r="J22" i="2"/>
  <c r="AO22" i="2" s="1"/>
  <c r="J131" i="2"/>
  <c r="AO131" i="2" s="1"/>
  <c r="J345" i="2"/>
  <c r="AO345" i="2" s="1"/>
  <c r="J53" i="2"/>
  <c r="AO53" i="2" s="1"/>
  <c r="J125" i="2"/>
  <c r="AO125" i="2" s="1"/>
  <c r="J200" i="2"/>
  <c r="AO200" i="2" s="1"/>
  <c r="J352" i="2"/>
  <c r="AO352" i="2" s="1"/>
  <c r="J81" i="2"/>
  <c r="AO81" i="2" s="1"/>
  <c r="J155" i="2"/>
  <c r="AO155" i="2" s="1"/>
  <c r="J211" i="2"/>
  <c r="AO211" i="2" s="1"/>
  <c r="J295" i="2"/>
  <c r="AO295" i="2" s="1"/>
  <c r="J10" i="2"/>
  <c r="AO10" i="2" s="1"/>
  <c r="J108" i="2"/>
  <c r="AO108" i="2" s="1"/>
  <c r="J181" i="2"/>
  <c r="AO181" i="2" s="1"/>
  <c r="J193" i="2"/>
  <c r="AO193" i="2" s="1"/>
  <c r="J97" i="2"/>
  <c r="AO97" i="2" s="1"/>
  <c r="J219" i="2"/>
  <c r="AO219" i="2" s="1"/>
  <c r="J376" i="2"/>
  <c r="AO376" i="2" s="1"/>
  <c r="J72" i="2"/>
  <c r="AO72" i="2" s="1"/>
  <c r="J206" i="2"/>
  <c r="AO206" i="2" s="1"/>
  <c r="J381" i="2"/>
  <c r="AO381" i="2" s="1"/>
  <c r="J54" i="2"/>
  <c r="AO54" i="2" s="1"/>
  <c r="J197" i="2"/>
  <c r="AO197" i="2" s="1"/>
  <c r="J47" i="2"/>
  <c r="AO47" i="2" s="1"/>
  <c r="J135" i="2"/>
  <c r="AO135" i="2" s="1"/>
  <c r="J199" i="2"/>
  <c r="AO199" i="2" s="1"/>
  <c r="J300" i="2"/>
  <c r="AO300" i="2" s="1"/>
  <c r="J13" i="2"/>
  <c r="AO13" i="2" s="1"/>
  <c r="J91" i="2"/>
  <c r="AO91" i="2" s="1"/>
  <c r="J172" i="2"/>
  <c r="AO172" i="2" s="1"/>
  <c r="J244" i="2"/>
  <c r="AO244" i="2" s="1"/>
  <c r="J373" i="2"/>
  <c r="AO373" i="2" s="1"/>
  <c r="J101" i="2"/>
  <c r="AO101" i="2" s="1"/>
  <c r="J210" i="2"/>
  <c r="AO210" i="2" s="1"/>
  <c r="J375" i="2"/>
  <c r="AO375" i="2" s="1"/>
  <c r="J73" i="2"/>
  <c r="AO73" i="2" s="1"/>
  <c r="J191" i="2"/>
  <c r="AO191" i="2" s="1"/>
  <c r="J344" i="2"/>
  <c r="AO344" i="2" s="1"/>
  <c r="J46" i="2"/>
  <c r="AO46" i="2" s="1"/>
  <c r="J178" i="2"/>
  <c r="AO178" i="2" s="1"/>
  <c r="J268" i="2"/>
  <c r="AO268" i="2" s="1"/>
  <c r="J183" i="2"/>
  <c r="AO183" i="2" s="1"/>
  <c r="J151" i="2"/>
  <c r="AO151" i="2" s="1"/>
  <c r="J250" i="2"/>
  <c r="AO250" i="2" s="1"/>
  <c r="J216" i="2"/>
  <c r="AO216" i="2" s="1"/>
  <c r="J145" i="2"/>
  <c r="AO145" i="2" s="1"/>
  <c r="J234" i="2"/>
  <c r="AO234" i="2" s="1"/>
  <c r="J369" i="2"/>
  <c r="AO369" i="2" s="1"/>
  <c r="J69" i="2"/>
  <c r="AO69" i="2" s="1"/>
  <c r="J173" i="2"/>
  <c r="AO173" i="2" s="1"/>
  <c r="J196" i="2"/>
  <c r="AO196" i="2" s="1"/>
  <c r="J285" i="2"/>
  <c r="AO285" i="2" s="1"/>
  <c r="J21" i="2"/>
  <c r="AO21" i="2" s="1"/>
  <c r="AY386" i="2"/>
  <c r="V68" i="2"/>
  <c r="BA68" i="2" s="1"/>
  <c r="V255" i="2"/>
  <c r="BA255" i="2" s="1"/>
  <c r="V71" i="2"/>
  <c r="BA71" i="2" s="1"/>
  <c r="V130" i="2"/>
  <c r="BA130" i="2" s="1"/>
  <c r="V341" i="2"/>
  <c r="BA341" i="2" s="1"/>
  <c r="V146" i="2"/>
  <c r="BA146" i="2" s="1"/>
  <c r="V46" i="2"/>
  <c r="BA46" i="2" s="1"/>
  <c r="V202" i="2"/>
  <c r="BA202" i="2" s="1"/>
  <c r="V76" i="2"/>
  <c r="BA76" i="2" s="1"/>
  <c r="V253" i="2"/>
  <c r="BA253" i="2" s="1"/>
  <c r="V67" i="2"/>
  <c r="BA67" i="2" s="1"/>
  <c r="V231" i="2"/>
  <c r="BA231" i="2" s="1"/>
  <c r="V98" i="2"/>
  <c r="BA98" i="2" s="1"/>
  <c r="V284" i="2"/>
  <c r="BA284" i="2" s="1"/>
  <c r="V113" i="2"/>
  <c r="BA113" i="2" s="1"/>
  <c r="V274" i="2"/>
  <c r="BA274" i="2" s="1"/>
  <c r="V159" i="2"/>
  <c r="BA159" i="2" s="1"/>
  <c r="V227" i="2"/>
  <c r="BA227" i="2" s="1"/>
  <c r="V103" i="2"/>
  <c r="BA103" i="2" s="1"/>
  <c r="V296" i="2"/>
  <c r="BA296" i="2" s="1"/>
  <c r="V110" i="2"/>
  <c r="BA110" i="2" s="1"/>
  <c r="V217" i="2"/>
  <c r="BA217" i="2" s="1"/>
  <c r="V47" i="2"/>
  <c r="BA47" i="2" s="1"/>
  <c r="V234" i="2"/>
  <c r="BA234" i="2" s="1"/>
  <c r="V117" i="2"/>
  <c r="BA117" i="2" s="1"/>
  <c r="V283" i="2"/>
  <c r="BA283" i="2" s="1"/>
  <c r="V145" i="2"/>
  <c r="BA145" i="2" s="1"/>
  <c r="V347" i="2"/>
  <c r="BA347" i="2" s="1"/>
  <c r="V136" i="2"/>
  <c r="BA136" i="2" s="1"/>
  <c r="V302" i="2"/>
  <c r="BA302" i="2" s="1"/>
  <c r="V176" i="2"/>
  <c r="BA176" i="2" s="1"/>
  <c r="V376" i="2"/>
  <c r="BA376" i="2" s="1"/>
  <c r="V122" i="2"/>
  <c r="BA122" i="2" s="1"/>
  <c r="V342" i="2"/>
  <c r="BA342" i="2" s="1"/>
  <c r="V380" i="2"/>
  <c r="BA380" i="2" s="1"/>
  <c r="V139" i="2"/>
  <c r="BA139" i="2" s="1"/>
  <c r="V179" i="2"/>
  <c r="BA179" i="2" s="1"/>
  <c r="V118" i="2"/>
  <c r="BA118" i="2" s="1"/>
  <c r="V195" i="2"/>
  <c r="BA195" i="2" s="1"/>
  <c r="V233" i="2"/>
  <c r="BA233" i="2" s="1"/>
  <c r="V35" i="2"/>
  <c r="BA35" i="2" s="1"/>
  <c r="V81" i="2"/>
  <c r="BA81" i="2" s="1"/>
  <c r="V186" i="2"/>
  <c r="BA186" i="2" s="1"/>
  <c r="V287" i="2"/>
  <c r="BA287" i="2" s="1"/>
  <c r="V133" i="2"/>
  <c r="BA133" i="2" s="1"/>
  <c r="V172" i="2"/>
  <c r="BA172" i="2" s="1"/>
  <c r="V348" i="2"/>
  <c r="BA348" i="2" s="1"/>
  <c r="V70" i="2"/>
  <c r="BA70" i="2" s="1"/>
  <c r="V257" i="2"/>
  <c r="BA257" i="2" s="1"/>
  <c r="V94" i="2"/>
  <c r="BA94" i="2" s="1"/>
  <c r="V272" i="2"/>
  <c r="BA272" i="2" s="1"/>
  <c r="V155" i="2"/>
  <c r="BA155" i="2" s="1"/>
  <c r="V366" i="2"/>
  <c r="BA366" i="2" s="1"/>
  <c r="V154" i="2"/>
  <c r="BA154" i="2" s="1"/>
  <c r="V37" i="2"/>
  <c r="BA37" i="2" s="1"/>
  <c r="V219" i="2"/>
  <c r="BA219" i="2" s="1"/>
  <c r="V31" i="2"/>
  <c r="BA31" i="2" s="1"/>
  <c r="V185" i="2"/>
  <c r="BA185" i="2" s="1"/>
  <c r="V57" i="2"/>
  <c r="BA57" i="2" s="1"/>
  <c r="V239" i="2"/>
  <c r="BA239" i="2" s="1"/>
  <c r="V52" i="2"/>
  <c r="BA52" i="2" s="1"/>
  <c r="V238" i="2"/>
  <c r="BA238" i="2" s="1"/>
  <c r="V121" i="2"/>
  <c r="BA121" i="2" s="1"/>
  <c r="V131" i="2"/>
  <c r="BA131" i="2" s="1"/>
  <c r="V382" i="2"/>
  <c r="BA382" i="2" s="1"/>
  <c r="V216" i="2"/>
  <c r="BA216" i="2" s="1"/>
  <c r="V298" i="2"/>
  <c r="BA298" i="2" s="1"/>
  <c r="V173" i="2"/>
  <c r="BA173" i="2" s="1"/>
  <c r="V367" i="2"/>
  <c r="BA367" i="2" s="1"/>
  <c r="V243" i="2"/>
  <c r="BA243" i="2" s="1"/>
  <c r="V56" i="2"/>
  <c r="BA56" i="2" s="1"/>
  <c r="V242" i="2"/>
  <c r="BA242" i="2" s="1"/>
  <c r="V109" i="2"/>
  <c r="BA109" i="2" s="1"/>
  <c r="V291" i="2"/>
  <c r="BA291" i="2" s="1"/>
  <c r="V104" i="2"/>
  <c r="BA104" i="2" s="1"/>
  <c r="V261" i="2"/>
  <c r="BA261" i="2" s="1"/>
  <c r="V127" i="2"/>
  <c r="BA127" i="2" s="1"/>
  <c r="V324" i="2"/>
  <c r="BA324" i="2" s="1"/>
  <c r="V83" i="2"/>
  <c r="BA83" i="2" s="1"/>
  <c r="V246" i="2"/>
  <c r="BA246" i="2" s="1"/>
  <c r="V180" i="2"/>
  <c r="BA180" i="2" s="1"/>
  <c r="V140" i="2"/>
  <c r="BA140" i="2" s="1"/>
  <c r="V370" i="2"/>
  <c r="BA370" i="2" s="1"/>
  <c r="V365" i="2"/>
  <c r="BA365" i="2" s="1"/>
  <c r="V54" i="2"/>
  <c r="BA54" i="2" s="1"/>
  <c r="V99" i="2"/>
  <c r="BA99" i="2" s="1"/>
  <c r="V252" i="2"/>
  <c r="BA252" i="2" s="1"/>
  <c r="V340" i="2"/>
  <c r="BA340" i="2" s="1"/>
  <c r="V268" i="2"/>
  <c r="BA268" i="2" s="1"/>
  <c r="V86" i="2"/>
  <c r="BA86" i="2" s="1"/>
  <c r="V258" i="2"/>
  <c r="BA258" i="2" s="1"/>
  <c r="V228" i="2"/>
  <c r="BA228" i="2" s="1"/>
  <c r="V69" i="2"/>
  <c r="BA69" i="2" s="1"/>
  <c r="V192" i="2"/>
  <c r="BA192" i="2" s="1"/>
  <c r="V40" i="2"/>
  <c r="BA40" i="2" s="1"/>
  <c r="V379" i="2"/>
  <c r="BA379" i="2" s="1"/>
  <c r="V194" i="2"/>
  <c r="BA194" i="2" s="1"/>
  <c r="V84" i="2"/>
  <c r="BA84" i="2" s="1"/>
  <c r="V244" i="2"/>
  <c r="BA244" i="2" s="1"/>
  <c r="V111" i="2"/>
  <c r="BA111" i="2" s="1"/>
  <c r="V293" i="2"/>
  <c r="BA293" i="2" s="1"/>
  <c r="V106" i="2"/>
  <c r="BA106" i="2" s="1"/>
  <c r="V292" i="2"/>
  <c r="BA292" i="2" s="1"/>
  <c r="V105" i="2"/>
  <c r="BA105" i="2" s="1"/>
  <c r="V344" i="2"/>
  <c r="BA344" i="2" s="1"/>
  <c r="V149" i="2"/>
  <c r="BA149" i="2" s="1"/>
  <c r="V325" i="2"/>
  <c r="BA325" i="2" s="1"/>
  <c r="V201" i="2"/>
  <c r="BA201" i="2" s="1"/>
  <c r="V38" i="2"/>
  <c r="BA38" i="2" s="1"/>
  <c r="V264" i="2"/>
  <c r="BA264" i="2" s="1"/>
  <c r="V108" i="2"/>
  <c r="BA108" i="2" s="1"/>
  <c r="V297" i="2"/>
  <c r="BA297" i="2" s="1"/>
  <c r="V75" i="2"/>
  <c r="BA75" i="2" s="1"/>
  <c r="V89" i="2"/>
  <c r="BA89" i="2" s="1"/>
  <c r="V270" i="2"/>
  <c r="BA270" i="2" s="1"/>
  <c r="V153" i="2"/>
  <c r="BA153" i="2" s="1"/>
  <c r="V339" i="2"/>
  <c r="BA339" i="2" s="1"/>
  <c r="V189" i="2"/>
  <c r="BA189" i="2" s="1"/>
  <c r="V29" i="2"/>
  <c r="BA29" i="2" s="1"/>
  <c r="V184" i="2"/>
  <c r="BA184" i="2" s="1"/>
  <c r="V384" i="2"/>
  <c r="BA384" i="2" s="1"/>
  <c r="V183" i="2"/>
  <c r="BA183" i="2" s="1"/>
  <c r="V55" i="2"/>
  <c r="BA55" i="2" s="1"/>
  <c r="V191" i="2"/>
  <c r="BA191" i="2" s="1"/>
  <c r="V323" i="2"/>
  <c r="BA323" i="2" s="1"/>
  <c r="V262" i="2"/>
  <c r="BA262" i="2" s="1"/>
  <c r="V349" i="2"/>
  <c r="BA349" i="2" s="1"/>
  <c r="V357" i="2"/>
  <c r="BA357" i="2" s="1"/>
  <c r="V171" i="2"/>
  <c r="BA171" i="2" s="1"/>
  <c r="V241" i="2"/>
  <c r="BA241" i="2" s="1"/>
  <c r="V265" i="2"/>
  <c r="BA265" i="2" s="1"/>
  <c r="V224" i="2"/>
  <c r="BA224" i="2" s="1"/>
  <c r="V267" i="2"/>
  <c r="BA267" i="2" s="1"/>
  <c r="V361" i="2"/>
  <c r="BA361" i="2" s="1"/>
  <c r="V39" i="2"/>
  <c r="BA39" i="2" s="1"/>
  <c r="V115" i="2"/>
  <c r="BA115" i="2" s="1"/>
  <c r="V237" i="2"/>
  <c r="BA237" i="2" s="1"/>
  <c r="V49" i="2"/>
  <c r="BA49" i="2" s="1"/>
  <c r="V282" i="2"/>
  <c r="BA282" i="2" s="1"/>
  <c r="V101" i="2"/>
  <c r="BA101" i="2" s="1"/>
  <c r="V138" i="2"/>
  <c r="BA138" i="2" s="1"/>
  <c r="V232" i="2"/>
  <c r="BA232" i="2" s="1"/>
  <c r="V112" i="2"/>
  <c r="BA112" i="2" s="1"/>
  <c r="V301" i="2"/>
  <c r="BA301" i="2" s="1"/>
  <c r="V215" i="2"/>
  <c r="BA215" i="2" s="1"/>
  <c r="V44" i="2"/>
  <c r="BA44" i="2" s="1"/>
  <c r="V273" i="2"/>
  <c r="BA273" i="2" s="1"/>
  <c r="V87" i="2"/>
  <c r="BA87" i="2" s="1"/>
  <c r="V318" i="2"/>
  <c r="BA318" i="2" s="1"/>
  <c r="V135" i="2"/>
  <c r="BA135" i="2" s="1"/>
  <c r="V345" i="2"/>
  <c r="BA345" i="2" s="1"/>
  <c r="V134" i="2"/>
  <c r="BA134" i="2" s="1"/>
  <c r="V300" i="2"/>
  <c r="BA300" i="2" s="1"/>
  <c r="V174" i="2"/>
  <c r="BA174" i="2" s="1"/>
  <c r="V364" i="2"/>
  <c r="BA364" i="2" s="1"/>
  <c r="V152" i="2"/>
  <c r="BA152" i="2" s="1"/>
  <c r="V53" i="2"/>
  <c r="BA53" i="2" s="1"/>
  <c r="V299" i="2"/>
  <c r="BA299" i="2" s="1"/>
  <c r="V42" i="2"/>
  <c r="BA42" i="2" s="1"/>
  <c r="V288" i="2"/>
  <c r="BA288" i="2" s="1"/>
  <c r="V30" i="2"/>
  <c r="BA30" i="2" s="1"/>
  <c r="V225" i="2"/>
  <c r="BA225" i="2" s="1"/>
  <c r="V381" i="2"/>
  <c r="BA381" i="2" s="1"/>
  <c r="V196" i="2"/>
  <c r="BA196" i="2" s="1"/>
  <c r="V368" i="2"/>
  <c r="BA368" i="2" s="1"/>
  <c r="V85" i="2"/>
  <c r="BA85" i="2" s="1"/>
  <c r="V263" i="2"/>
  <c r="BA263" i="2" s="1"/>
  <c r="V34" i="2"/>
  <c r="BA34" i="2" s="1"/>
  <c r="V107" i="2"/>
  <c r="BA107" i="2" s="1"/>
  <c r="V286" i="2"/>
  <c r="BA286" i="2" s="1"/>
  <c r="V362" i="2"/>
  <c r="BA362" i="2" s="1"/>
  <c r="V260" i="2"/>
  <c r="BA260" i="2" s="1"/>
  <c r="V74" i="2"/>
  <c r="BA74" i="2" s="1"/>
  <c r="V259" i="2"/>
  <c r="BA259" i="2" s="1"/>
  <c r="V125" i="2"/>
  <c r="BA125" i="2" s="1"/>
  <c r="V320" i="2"/>
  <c r="BA320" i="2" s="1"/>
  <c r="V120" i="2"/>
  <c r="BA120" i="2" s="1"/>
  <c r="V373" i="2"/>
  <c r="BA373" i="2" s="1"/>
  <c r="V137" i="2"/>
  <c r="BA137" i="2" s="1"/>
  <c r="V102" i="2"/>
  <c r="BA102" i="2" s="1"/>
  <c r="V290" i="2"/>
  <c r="BA290" i="2" s="1"/>
  <c r="V178" i="2"/>
  <c r="BA178" i="2" s="1"/>
  <c r="V343" i="2"/>
  <c r="BA343" i="2" s="1"/>
  <c r="V148" i="2"/>
  <c r="BA148" i="2" s="1"/>
  <c r="V271" i="2"/>
  <c r="BA271" i="2" s="1"/>
  <c r="V78" i="2"/>
  <c r="BA78" i="2" s="1"/>
  <c r="V223" i="2"/>
  <c r="BA223" i="2" s="1"/>
  <c r="V295" i="2"/>
  <c r="BA295" i="2" s="1"/>
  <c r="V72" i="2"/>
  <c r="BA72" i="2" s="1"/>
  <c r="V250" i="2"/>
  <c r="BA250" i="2" s="1"/>
  <c r="V150" i="2"/>
  <c r="BA150" i="2" s="1"/>
  <c r="V14" i="2"/>
  <c r="BA14" i="2" s="1"/>
  <c r="V61" i="2"/>
  <c r="BA61" i="2" s="1"/>
  <c r="V254" i="2"/>
  <c r="BA254" i="2" s="1"/>
  <c r="V129" i="2"/>
  <c r="BA129" i="2" s="1"/>
  <c r="V249" i="2"/>
  <c r="BA249" i="2" s="1"/>
  <c r="V79" i="2"/>
  <c r="BA79" i="2" s="1"/>
  <c r="V338" i="2"/>
  <c r="BA338" i="2" s="1"/>
  <c r="V126" i="2"/>
  <c r="BA126" i="2" s="1"/>
  <c r="V337" i="2"/>
  <c r="BA337" i="2" s="1"/>
  <c r="V187" i="2"/>
  <c r="BA187" i="2" s="1"/>
  <c r="V383" i="2"/>
  <c r="BA383" i="2" s="1"/>
  <c r="V182" i="2"/>
  <c r="BA182" i="2" s="1"/>
  <c r="V356" i="2"/>
  <c r="BA356" i="2" s="1"/>
  <c r="V214" i="2"/>
  <c r="BA214" i="2" s="1"/>
  <c r="V43" i="2"/>
  <c r="BA43" i="2" s="1"/>
  <c r="V200" i="2"/>
  <c r="BA200" i="2" s="1"/>
  <c r="V91" i="2"/>
  <c r="BA91" i="2" s="1"/>
  <c r="V280" i="2"/>
  <c r="BA280" i="2" s="1"/>
  <c r="V230" i="2"/>
  <c r="BA230" i="2" s="1"/>
  <c r="V28" i="2"/>
  <c r="BA28" i="2" s="1"/>
  <c r="V188" i="2"/>
  <c r="BA188" i="2" s="1"/>
  <c r="V36" i="2"/>
  <c r="BA36" i="2" s="1"/>
  <c r="V60" i="2"/>
  <c r="BA60" i="2" s="1"/>
  <c r="V247" i="2"/>
  <c r="BA247" i="2" s="1"/>
  <c r="V48" i="2"/>
  <c r="BA48" i="2" s="1"/>
  <c r="V156" i="2"/>
  <c r="BA156" i="2" s="1"/>
  <c r="V316" i="2"/>
  <c r="BA316" i="2" s="1"/>
  <c r="V97" i="2"/>
  <c r="BA97" i="2" s="1"/>
  <c r="V221" i="2"/>
  <c r="BA221" i="2" s="1"/>
  <c r="V346" i="2"/>
  <c r="BA346" i="2" s="1"/>
  <c r="V80" i="2"/>
  <c r="BA80" i="2" s="1"/>
  <c r="V181" i="2"/>
  <c r="BA181" i="2" s="1"/>
  <c r="V13" i="2"/>
  <c r="BA13" i="2" s="1"/>
  <c r="V151" i="2"/>
  <c r="BA151" i="2" s="1"/>
  <c r="V240" i="2"/>
  <c r="BA240" i="2" s="1"/>
  <c r="V266" i="2"/>
  <c r="BA266" i="2" s="1"/>
  <c r="V16" i="2"/>
  <c r="BA16" i="2" s="1"/>
  <c r="V26" i="2"/>
  <c r="BA26" i="2" s="1"/>
  <c r="Q2257" i="23"/>
  <c r="A2257" i="23"/>
  <c r="V50" i="2"/>
  <c r="BA50" i="2" s="1"/>
  <c r="V10" i="2"/>
  <c r="BA10" i="2" s="1"/>
  <c r="V25" i="2"/>
  <c r="BA25" i="2" s="1"/>
  <c r="V15" i="2"/>
  <c r="BA15" i="2" s="1"/>
  <c r="V281" i="2"/>
  <c r="BA281" i="2" s="1"/>
  <c r="V123" i="2"/>
  <c r="BA123" i="2" s="1"/>
  <c r="V22" i="2"/>
  <c r="BA22" i="2" s="1"/>
  <c r="V23" i="2"/>
  <c r="BA23" i="2" s="1"/>
  <c r="V20" i="2"/>
  <c r="BA20" i="2" s="1"/>
  <c r="V333" i="2"/>
  <c r="BA333" i="2" s="1"/>
  <c r="V330" i="2"/>
  <c r="BA330" i="2" s="1"/>
  <c r="V8" i="2"/>
  <c r="BA8" i="2" s="1"/>
  <c r="V331" i="2"/>
  <c r="BA331" i="2" s="1"/>
  <c r="V7" i="2"/>
  <c r="BA7" i="2" s="1"/>
  <c r="V24" i="2"/>
  <c r="BA24" i="2" s="1"/>
  <c r="V19" i="2"/>
  <c r="BA19" i="2" s="1"/>
  <c r="V116" i="2"/>
  <c r="BA116" i="2" s="1"/>
  <c r="V326" i="2"/>
  <c r="BA326" i="2" s="1"/>
  <c r="V124" i="2"/>
  <c r="BA124" i="2" s="1"/>
  <c r="V360" i="2"/>
  <c r="BA360" i="2" s="1"/>
  <c r="V177" i="2"/>
  <c r="BA177" i="2" s="1"/>
  <c r="V355" i="2"/>
  <c r="BA355" i="2" s="1"/>
  <c r="V143" i="2"/>
  <c r="BA143" i="2" s="1"/>
  <c r="V354" i="2"/>
  <c r="BA354" i="2" s="1"/>
  <c r="V203" i="2"/>
  <c r="BA203" i="2" s="1"/>
  <c r="V41" i="2"/>
  <c r="BA41" i="2" s="1"/>
  <c r="V198" i="2"/>
  <c r="BA198" i="2" s="1"/>
  <c r="V88" i="2"/>
  <c r="BA88" i="2" s="1"/>
  <c r="V100" i="2"/>
  <c r="BA100" i="2" s="1"/>
  <c r="V332" i="2"/>
  <c r="BA332" i="2" s="1"/>
  <c r="V27" i="2"/>
  <c r="BA27" i="2" s="1"/>
  <c r="V21" i="2"/>
  <c r="BA21" i="2" s="1"/>
  <c r="V336" i="2"/>
  <c r="BA336" i="2" s="1"/>
  <c r="V18" i="2"/>
  <c r="BA18" i="2" s="1"/>
  <c r="V6" i="2"/>
  <c r="BA6" i="2" s="1"/>
  <c r="V211" i="2"/>
  <c r="BA211" i="2" s="1"/>
  <c r="V359" i="2"/>
  <c r="BA359" i="2" s="1"/>
  <c r="V17" i="2"/>
  <c r="BA17" i="2" s="1"/>
  <c r="V329" i="2"/>
  <c r="BA329" i="2" s="1"/>
  <c r="V9" i="2"/>
  <c r="BA9" i="2" s="1"/>
  <c r="V327" i="2"/>
  <c r="BA327" i="2" s="1"/>
  <c r="V335" i="2"/>
  <c r="BA335" i="2" s="1"/>
  <c r="V11" i="2"/>
  <c r="BA11" i="2" s="1"/>
  <c r="V334" i="2"/>
  <c r="BA334" i="2" s="1"/>
  <c r="V157" i="2"/>
  <c r="BA157" i="2" s="1"/>
  <c r="V158" i="2"/>
  <c r="BA158" i="2" s="1"/>
  <c r="V206" i="2"/>
  <c r="BA206" i="2" s="1"/>
  <c r="V212" i="2"/>
  <c r="BA212" i="2" s="1"/>
  <c r="V169" i="2"/>
  <c r="BA169" i="2" s="1"/>
  <c r="V162" i="2"/>
  <c r="BA162" i="2" s="1"/>
  <c r="V204" i="2"/>
  <c r="BA204" i="2" s="1"/>
  <c r="V161" i="2"/>
  <c r="BA161" i="2" s="1"/>
  <c r="V170" i="2"/>
  <c r="BA170" i="2" s="1"/>
  <c r="V165" i="2"/>
  <c r="BA165" i="2" s="1"/>
  <c r="V160" i="2"/>
  <c r="BA160" i="2" s="1"/>
  <c r="V164" i="2"/>
  <c r="BA164" i="2" s="1"/>
  <c r="V207" i="2"/>
  <c r="BA207" i="2" s="1"/>
  <c r="V167" i="2"/>
  <c r="BA167" i="2" s="1"/>
  <c r="V163" i="2"/>
  <c r="BA163" i="2" s="1"/>
  <c r="V168" i="2"/>
  <c r="BA168" i="2" s="1"/>
  <c r="V208" i="2"/>
  <c r="BA208" i="2" s="1"/>
  <c r="V210" i="2"/>
  <c r="BA210" i="2" s="1"/>
  <c r="V166" i="2"/>
  <c r="BA166" i="2" s="1"/>
  <c r="V209" i="2"/>
  <c r="BA209" i="2" s="1"/>
  <c r="BP388" i="2"/>
  <c r="BP389" i="2"/>
  <c r="BO387" i="2"/>
  <c r="BP385" i="2"/>
  <c r="N3558" i="23"/>
  <c r="C39" i="23"/>
  <c r="C40" i="23" s="1"/>
  <c r="C41" i="23" s="1"/>
  <c r="I49" i="2" s="1"/>
  <c r="AN49" i="2" s="1"/>
  <c r="C1365" i="23"/>
  <c r="C1366" i="23" s="1"/>
  <c r="C1364" i="23"/>
  <c r="V328" i="2"/>
  <c r="BA328" i="2" s="1"/>
  <c r="V12" i="2"/>
  <c r="BA12" i="2" s="1"/>
  <c r="C2247" i="23"/>
  <c r="C2298" i="23"/>
  <c r="C1638" i="23"/>
  <c r="M3558" i="23"/>
  <c r="A1898" i="23"/>
  <c r="A1899" i="23" s="1"/>
  <c r="A2051" i="23" s="1"/>
  <c r="A2070" i="23" s="1"/>
  <c r="A1896" i="23"/>
  <c r="M1875" i="23"/>
  <c r="N1875" i="23"/>
  <c r="A1875" i="23"/>
  <c r="L1875" i="23"/>
  <c r="O1875" i="23"/>
  <c r="L3558" i="23"/>
  <c r="A723" i="49"/>
  <c r="O3558" i="23"/>
  <c r="L3207" i="23"/>
  <c r="L3229" i="23" s="1"/>
  <c r="A2559" i="23"/>
  <c r="L2559" i="23"/>
  <c r="M2559" i="23"/>
  <c r="G2560" i="23"/>
  <c r="N2560" i="23" s="1"/>
  <c r="O2559" i="23"/>
  <c r="M3207" i="23"/>
  <c r="M3229" i="23" s="1"/>
  <c r="N3207" i="23"/>
  <c r="N3229" i="23" s="1"/>
  <c r="M3360" i="23"/>
  <c r="M3382" i="23" s="1"/>
  <c r="L3360" i="23"/>
  <c r="L3382" i="23" s="1"/>
  <c r="N3360" i="23"/>
  <c r="N3382" i="23" s="1"/>
  <c r="N2322" i="23"/>
  <c r="L2322" i="23"/>
  <c r="M2322" i="23"/>
  <c r="A2322" i="23"/>
  <c r="O2322" i="23"/>
  <c r="L534" i="23"/>
  <c r="O534" i="23"/>
  <c r="G541" i="23"/>
  <c r="M534" i="23"/>
  <c r="N534" i="23"/>
  <c r="A534" i="23"/>
  <c r="M523" i="23"/>
  <c r="L523" i="23"/>
  <c r="O523" i="23"/>
  <c r="A523" i="23"/>
  <c r="N523" i="23"/>
  <c r="L524" i="23"/>
  <c r="O524" i="23"/>
  <c r="A524" i="23"/>
  <c r="M524" i="23"/>
  <c r="A2384" i="23"/>
  <c r="O2384" i="23"/>
  <c r="M2384" i="23"/>
  <c r="L2384" i="23"/>
  <c r="N2384" i="23"/>
  <c r="N538" i="23"/>
  <c r="L538" i="23"/>
  <c r="M538" i="23"/>
  <c r="O538" i="23"/>
  <c r="A538" i="23"/>
  <c r="A537" i="23"/>
  <c r="L537" i="23"/>
  <c r="O537" i="23"/>
  <c r="N537" i="23"/>
  <c r="M537" i="23"/>
  <c r="M3053" i="23"/>
  <c r="N3053" i="23"/>
  <c r="O3053" i="23"/>
  <c r="L3053" i="23"/>
  <c r="A3053" i="23"/>
  <c r="N486" i="23"/>
  <c r="N487" i="23" s="1"/>
  <c r="O486" i="23"/>
  <c r="O487" i="23" s="1"/>
  <c r="M486" i="23"/>
  <c r="C486" i="23"/>
  <c r="L486" i="23"/>
  <c r="L487" i="23" s="1"/>
  <c r="A486" i="23"/>
  <c r="L308" i="23"/>
  <c r="L309" i="23" s="1"/>
  <c r="O308" i="23"/>
  <c r="O309" i="23" s="1"/>
  <c r="A308" i="23"/>
  <c r="M308" i="23"/>
  <c r="C308" i="23"/>
  <c r="N308" i="23"/>
  <c r="N309" i="23" s="1"/>
  <c r="N2269" i="23"/>
  <c r="L2269" i="23"/>
  <c r="A2269" i="23"/>
  <c r="M2269" i="23"/>
  <c r="O2269" i="23"/>
  <c r="M2371" i="23"/>
  <c r="N2371" i="23"/>
  <c r="A2371" i="23"/>
  <c r="O2371" i="23"/>
  <c r="L2371" i="23"/>
  <c r="M2331" i="23"/>
  <c r="A2331" i="23"/>
  <c r="N2331" i="23"/>
  <c r="O2331" i="23"/>
  <c r="L2331" i="23"/>
  <c r="L2911" i="23"/>
  <c r="O2911" i="23"/>
  <c r="A2911" i="23"/>
  <c r="N2911" i="23"/>
  <c r="M2911" i="23"/>
  <c r="G355" i="23"/>
  <c r="O352" i="23"/>
  <c r="N352" i="23"/>
  <c r="A352" i="23"/>
  <c r="L352" i="23"/>
  <c r="M352" i="23"/>
  <c r="L344" i="23"/>
  <c r="A344" i="23"/>
  <c r="M344" i="23"/>
  <c r="O344" i="23"/>
  <c r="N344" i="23"/>
  <c r="M2329" i="23"/>
  <c r="L2329" i="23"/>
  <c r="A2329" i="23"/>
  <c r="O2329" i="23"/>
  <c r="N2329" i="23"/>
  <c r="O3360" i="23"/>
  <c r="O3382" i="23" s="1"/>
  <c r="M2379" i="23"/>
  <c r="L2379" i="23"/>
  <c r="N2379" i="23"/>
  <c r="O2379" i="23"/>
  <c r="A2379" i="23"/>
  <c r="L3043" i="23"/>
  <c r="O3043" i="23"/>
  <c r="A3043" i="23"/>
  <c r="M3043" i="23"/>
  <c r="N3043" i="23"/>
  <c r="M3063" i="23"/>
  <c r="N3063" i="23"/>
  <c r="A3063" i="23"/>
  <c r="O3063" i="23"/>
  <c r="L3063" i="23"/>
  <c r="O536" i="23"/>
  <c r="N536" i="23"/>
  <c r="M536" i="23"/>
  <c r="A536" i="23"/>
  <c r="L536" i="23"/>
  <c r="N2819" i="23"/>
  <c r="L2819" i="23"/>
  <c r="O2819" i="23"/>
  <c r="M2819" i="23"/>
  <c r="A2819" i="23"/>
  <c r="M2330" i="23"/>
  <c r="A2330" i="23"/>
  <c r="L2330" i="23"/>
  <c r="N2330" i="23"/>
  <c r="O2330" i="23"/>
  <c r="M353" i="23"/>
  <c r="L353" i="23"/>
  <c r="O353" i="23"/>
  <c r="N353" i="23"/>
  <c r="A353" i="23"/>
  <c r="N2887" i="23"/>
  <c r="L2887" i="23"/>
  <c r="O2887" i="23"/>
  <c r="A2887" i="23"/>
  <c r="M2887" i="23"/>
  <c r="M535" i="23"/>
  <c r="N535" i="23"/>
  <c r="L535" i="23"/>
  <c r="A535" i="23"/>
  <c r="O535" i="23"/>
  <c r="M341" i="23"/>
  <c r="A341" i="23"/>
  <c r="L341" i="23"/>
  <c r="N341" i="23"/>
  <c r="O341" i="23"/>
  <c r="A3048" i="23"/>
  <c r="O3048" i="23"/>
  <c r="N3048" i="23"/>
  <c r="L3048" i="23"/>
  <c r="M3048" i="23"/>
  <c r="L354" i="23"/>
  <c r="A354" i="23"/>
  <c r="N354" i="23"/>
  <c r="M354" i="23"/>
  <c r="O354" i="23"/>
  <c r="A3058" i="23"/>
  <c r="O3058" i="23"/>
  <c r="O3055" i="23" s="1"/>
  <c r="L3058" i="23"/>
  <c r="L3055" i="23" s="1"/>
  <c r="M3058" i="23"/>
  <c r="N3058" i="23"/>
  <c r="A539" i="23"/>
  <c r="L539" i="23"/>
  <c r="M539" i="23"/>
  <c r="O539" i="23"/>
  <c r="N539" i="23"/>
  <c r="L2356" i="23"/>
  <c r="O2356" i="23"/>
  <c r="N2356" i="23"/>
  <c r="A2356" i="23"/>
  <c r="M2356" i="23"/>
  <c r="O526" i="23"/>
  <c r="L526" i="23"/>
  <c r="M526" i="23"/>
  <c r="N526" i="23"/>
  <c r="A526" i="23"/>
  <c r="M2818" i="23"/>
  <c r="A2818" i="23"/>
  <c r="L2818" i="23"/>
  <c r="N2818" i="23"/>
  <c r="O2818" i="23"/>
  <c r="N2370" i="23"/>
  <c r="L2370" i="23"/>
  <c r="M2370" i="23"/>
  <c r="O2370" i="23"/>
  <c r="A2370" i="23"/>
  <c r="L508" i="23"/>
  <c r="O508" i="23"/>
  <c r="M508" i="23"/>
  <c r="A508" i="23"/>
  <c r="N342" i="23"/>
  <c r="M342" i="23"/>
  <c r="O342" i="23"/>
  <c r="L342" i="23"/>
  <c r="A342" i="23"/>
  <c r="L1505" i="23"/>
  <c r="C467" i="1"/>
  <c r="O1505" i="23"/>
  <c r="M1505" i="23"/>
  <c r="O148" i="49"/>
  <c r="M148" i="49"/>
  <c r="L148" i="49"/>
  <c r="N148" i="49"/>
  <c r="M152" i="49"/>
  <c r="L152" i="49"/>
  <c r="N152" i="49"/>
  <c r="O152" i="49"/>
  <c r="M166" i="49"/>
  <c r="O166" i="49"/>
  <c r="L166" i="49"/>
  <c r="N166" i="49"/>
  <c r="M168" i="49"/>
  <c r="N168" i="49"/>
  <c r="O168" i="49"/>
  <c r="L168" i="49"/>
  <c r="M93" i="49"/>
  <c r="N93" i="49"/>
  <c r="L93" i="49"/>
  <c r="O93" i="49"/>
  <c r="O187" i="49"/>
  <c r="M187" i="49"/>
  <c r="L187" i="49"/>
  <c r="N187" i="49"/>
  <c r="M184" i="49"/>
  <c r="L184" i="49"/>
  <c r="O184" i="49"/>
  <c r="N184" i="49"/>
  <c r="M180" i="49"/>
  <c r="N180" i="49"/>
  <c r="G183" i="49"/>
  <c r="A183" i="49" s="1"/>
  <c r="L180" i="49"/>
  <c r="O180" i="49"/>
  <c r="L181" i="49"/>
  <c r="M181" i="49"/>
  <c r="N181" i="49"/>
  <c r="O181" i="49"/>
  <c r="N85" i="49"/>
  <c r="M85" i="49"/>
  <c r="L85" i="49"/>
  <c r="O85" i="49"/>
  <c r="O82" i="49"/>
  <c r="N82" i="49"/>
  <c r="M82" i="49"/>
  <c r="L82" i="49"/>
  <c r="M144" i="49"/>
  <c r="N144" i="49"/>
  <c r="L144" i="49"/>
  <c r="O144" i="49"/>
  <c r="O165" i="49"/>
  <c r="N165" i="49"/>
  <c r="M165" i="49"/>
  <c r="L165" i="49"/>
  <c r="L173" i="49"/>
  <c r="O173" i="49"/>
  <c r="N173" i="49"/>
  <c r="M173" i="49"/>
  <c r="N42" i="49"/>
  <c r="L42" i="49"/>
  <c r="M42" i="49"/>
  <c r="O42" i="49"/>
  <c r="L69" i="49"/>
  <c r="O69" i="49"/>
  <c r="N69" i="49"/>
  <c r="M69" i="49"/>
  <c r="L56" i="49"/>
  <c r="M56" i="49"/>
  <c r="O56" i="49"/>
  <c r="N56" i="49"/>
  <c r="M176" i="49"/>
  <c r="G185" i="49"/>
  <c r="A185" i="49" s="1"/>
  <c r="O176" i="49"/>
  <c r="L176" i="49"/>
  <c r="N176" i="49"/>
  <c r="N186" i="49"/>
  <c r="L186" i="49"/>
  <c r="O186" i="49"/>
  <c r="M186" i="49"/>
  <c r="M179" i="49"/>
  <c r="O179" i="49"/>
  <c r="L179" i="49"/>
  <c r="N179" i="49"/>
  <c r="L150" i="49"/>
  <c r="O150" i="49"/>
  <c r="M150" i="49"/>
  <c r="N150" i="49"/>
  <c r="O145" i="49"/>
  <c r="N145" i="49"/>
  <c r="L145" i="49"/>
  <c r="M145" i="49"/>
  <c r="L147" i="49"/>
  <c r="N147" i="49"/>
  <c r="O147" i="49"/>
  <c r="M147" i="49"/>
  <c r="N164" i="49"/>
  <c r="M164" i="49"/>
  <c r="L164" i="49"/>
  <c r="O164" i="49"/>
  <c r="G171" i="49"/>
  <c r="A171" i="49" s="1"/>
  <c r="N172" i="49"/>
  <c r="M172" i="49"/>
  <c r="O172" i="49"/>
  <c r="L172" i="49"/>
  <c r="L178" i="49"/>
  <c r="O178" i="49"/>
  <c r="N178" i="49"/>
  <c r="M178" i="49"/>
  <c r="O182" i="49"/>
  <c r="N182" i="49"/>
  <c r="L182" i="49"/>
  <c r="M182" i="49"/>
  <c r="L146" i="49"/>
  <c r="G149" i="49"/>
  <c r="A149" i="49" s="1"/>
  <c r="N146" i="49"/>
  <c r="M146" i="49"/>
  <c r="O146" i="49"/>
  <c r="M143" i="49"/>
  <c r="O143" i="49"/>
  <c r="N143" i="49"/>
  <c r="L143" i="49"/>
  <c r="N142" i="49"/>
  <c r="G151" i="49"/>
  <c r="A151" i="49" s="1"/>
  <c r="O142" i="49"/>
  <c r="M142" i="49"/>
  <c r="L142" i="49"/>
  <c r="N153" i="49"/>
  <c r="M153" i="49"/>
  <c r="L153" i="49"/>
  <c r="O153" i="49"/>
  <c r="L169" i="49"/>
  <c r="O169" i="49"/>
  <c r="N169" i="49"/>
  <c r="M169" i="49"/>
  <c r="O167" i="49"/>
  <c r="G170" i="49"/>
  <c r="A170" i="49" s="1"/>
  <c r="L167" i="49"/>
  <c r="M167" i="49"/>
  <c r="N167" i="49"/>
  <c r="N177" i="49"/>
  <c r="L177" i="49"/>
  <c r="O177" i="49"/>
  <c r="M177" i="49"/>
  <c r="M43" i="49"/>
  <c r="N43" i="49"/>
  <c r="L43" i="49"/>
  <c r="O43" i="49"/>
  <c r="N1505" i="23"/>
  <c r="O629" i="49"/>
  <c r="L996" i="23"/>
  <c r="L261" i="23"/>
  <c r="M261" i="23"/>
  <c r="O261" i="23"/>
  <c r="A261" i="23"/>
  <c r="G268" i="23"/>
  <c r="N261" i="23"/>
  <c r="O251" i="23"/>
  <c r="L251" i="23"/>
  <c r="A251" i="23"/>
  <c r="N251" i="23"/>
  <c r="M251" i="23"/>
  <c r="L267" i="23"/>
  <c r="M267" i="23"/>
  <c r="O267" i="23"/>
  <c r="A267" i="23"/>
  <c r="N267" i="23"/>
  <c r="O996" i="23"/>
  <c r="N996" i="23"/>
  <c r="L266" i="23"/>
  <c r="O266" i="23"/>
  <c r="M266" i="23"/>
  <c r="A266" i="23"/>
  <c r="N266" i="23"/>
  <c r="O253" i="23"/>
  <c r="M253" i="23"/>
  <c r="A253" i="23"/>
  <c r="L253" i="23"/>
  <c r="N253" i="23"/>
  <c r="O3229" i="23"/>
  <c r="M1220" i="23"/>
  <c r="T1300" i="23"/>
  <c r="O1353" i="23"/>
  <c r="L711" i="23"/>
  <c r="M711" i="23"/>
  <c r="N711" i="23"/>
  <c r="G715" i="23"/>
  <c r="P309" i="2" s="1"/>
  <c r="AU309" i="2" s="1"/>
  <c r="A711" i="23"/>
  <c r="O711" i="23"/>
  <c r="A1621" i="23"/>
  <c r="G1622" i="23"/>
  <c r="L1621" i="23"/>
  <c r="O1621" i="23"/>
  <c r="M1621" i="23"/>
  <c r="N1621" i="23"/>
  <c r="N629" i="49"/>
  <c r="L1220" i="23"/>
  <c r="R1300" i="23"/>
  <c r="M1353" i="23"/>
  <c r="S1300" i="23"/>
  <c r="N1353" i="23"/>
  <c r="O1220" i="23"/>
  <c r="N1220" i="23"/>
  <c r="L1353" i="23"/>
  <c r="A710" i="23"/>
  <c r="O710" i="23"/>
  <c r="N710" i="23"/>
  <c r="M710" i="23"/>
  <c r="L710" i="23"/>
  <c r="L629" i="49"/>
  <c r="M629" i="49"/>
  <c r="S1805" i="1"/>
  <c r="T1805" i="1"/>
  <c r="N184" i="23"/>
  <c r="N205" i="23" s="1"/>
  <c r="O184" i="23"/>
  <c r="O205" i="23" s="1"/>
  <c r="L184" i="23"/>
  <c r="L205" i="23" s="1"/>
  <c r="A184" i="23"/>
  <c r="N106" i="23"/>
  <c r="N116" i="23" s="1"/>
  <c r="A106" i="23"/>
  <c r="O106" i="23"/>
  <c r="O116" i="23" s="1"/>
  <c r="L106" i="23"/>
  <c r="L116" i="23" s="1"/>
  <c r="U1805" i="1"/>
  <c r="N372" i="2" l="1"/>
  <c r="AS372" i="2" s="1"/>
  <c r="O2764" i="23"/>
  <c r="O2786" i="23" s="1"/>
  <c r="L2764" i="23"/>
  <c r="L2786" i="23" s="1"/>
  <c r="C1111" i="23"/>
  <c r="M2568" i="23"/>
  <c r="A2568" i="23"/>
  <c r="O2568" i="23"/>
  <c r="L2568" i="23"/>
  <c r="A2573" i="23"/>
  <c r="M2573" i="23"/>
  <c r="O2573" i="23"/>
  <c r="L2573" i="23"/>
  <c r="C275" i="49"/>
  <c r="C253" i="49"/>
  <c r="C264" i="49" s="1"/>
  <c r="M86" i="49"/>
  <c r="L86" i="49"/>
  <c r="N86" i="49"/>
  <c r="O97" i="49"/>
  <c r="M97" i="49"/>
  <c r="N97" i="49"/>
  <c r="L97" i="49"/>
  <c r="C880" i="23"/>
  <c r="C888" i="23" s="1"/>
  <c r="L900" i="23"/>
  <c r="N900" i="23"/>
  <c r="O900" i="23"/>
  <c r="A278" i="23"/>
  <c r="M278" i="23"/>
  <c r="L278" i="23"/>
  <c r="N278" i="23"/>
  <c r="O278" i="23"/>
  <c r="A277" i="23"/>
  <c r="M277" i="23"/>
  <c r="O277" i="23"/>
  <c r="L277" i="23"/>
  <c r="N277" i="23"/>
  <c r="L309" i="2"/>
  <c r="AQ309" i="2" s="1"/>
  <c r="K374" i="2"/>
  <c r="AP374" i="2" s="1"/>
  <c r="K315" i="2"/>
  <c r="AP315" i="2" s="1"/>
  <c r="P314" i="2"/>
  <c r="AU314" i="2" s="1"/>
  <c r="N309" i="2"/>
  <c r="AS309" i="2" s="1"/>
  <c r="I313" i="2"/>
  <c r="AN313" i="2" s="1"/>
  <c r="L307" i="2"/>
  <c r="AQ307" i="2" s="1"/>
  <c r="N315" i="2"/>
  <c r="AS315" i="2" s="1"/>
  <c r="I307" i="2"/>
  <c r="AN307" i="2" s="1"/>
  <c r="K308" i="2"/>
  <c r="AP308" i="2" s="1"/>
  <c r="L311" i="2"/>
  <c r="AQ311" i="2" s="1"/>
  <c r="I314" i="2"/>
  <c r="AN314" i="2" s="1"/>
  <c r="I312" i="2"/>
  <c r="AN312" i="2" s="1"/>
  <c r="L314" i="2"/>
  <c r="AQ314" i="2" s="1"/>
  <c r="N314" i="2"/>
  <c r="AS314" i="2" s="1"/>
  <c r="I308" i="2"/>
  <c r="AN308" i="2" s="1"/>
  <c r="I309" i="2"/>
  <c r="AN309" i="2" s="1"/>
  <c r="L315" i="2"/>
  <c r="AQ315" i="2" s="1"/>
  <c r="K313" i="2"/>
  <c r="AP313" i="2" s="1"/>
  <c r="L308" i="2"/>
  <c r="AQ308" i="2" s="1"/>
  <c r="N311" i="2"/>
  <c r="AS311" i="2" s="1"/>
  <c r="K309" i="2"/>
  <c r="AP309" i="2" s="1"/>
  <c r="L312" i="2"/>
  <c r="AQ312" i="2" s="1"/>
  <c r="I311" i="2"/>
  <c r="AN311" i="2" s="1"/>
  <c r="P294" i="2"/>
  <c r="AU294" i="2" s="1"/>
  <c r="P308" i="2"/>
  <c r="AU308" i="2" s="1"/>
  <c r="L313" i="2"/>
  <c r="AQ313" i="2" s="1"/>
  <c r="P313" i="2"/>
  <c r="AU313" i="2" s="1"/>
  <c r="N307" i="2"/>
  <c r="AS307" i="2" s="1"/>
  <c r="P315" i="2"/>
  <c r="AU315" i="2" s="1"/>
  <c r="K311" i="2"/>
  <c r="AP311" i="2" s="1"/>
  <c r="I315" i="2"/>
  <c r="AN315" i="2" s="1"/>
  <c r="N308" i="2"/>
  <c r="AS308" i="2" s="1"/>
  <c r="K307" i="2"/>
  <c r="AP307" i="2" s="1"/>
  <c r="N313" i="2"/>
  <c r="AS313" i="2" s="1"/>
  <c r="K314" i="2"/>
  <c r="AP314" i="2" s="1"/>
  <c r="P307" i="2"/>
  <c r="AU307" i="2" s="1"/>
  <c r="K312" i="2"/>
  <c r="AP312" i="2" s="1"/>
  <c r="P311" i="2"/>
  <c r="AU311" i="2" s="1"/>
  <c r="P312" i="2"/>
  <c r="AU312" i="2" s="1"/>
  <c r="N312" i="2"/>
  <c r="AS312" i="2" s="1"/>
  <c r="AW388" i="2"/>
  <c r="AW386" i="2"/>
  <c r="L372" i="2"/>
  <c r="AQ372" i="2" s="1"/>
  <c r="K245" i="2"/>
  <c r="AP245" i="2" s="1"/>
  <c r="P276" i="2"/>
  <c r="AU276" i="2" s="1"/>
  <c r="L276" i="2"/>
  <c r="AQ276" i="2" s="1"/>
  <c r="P305" i="2"/>
  <c r="AU305" i="2" s="1"/>
  <c r="N51" i="2"/>
  <c r="AS51" i="2" s="1"/>
  <c r="P279" i="2"/>
  <c r="AU279" i="2" s="1"/>
  <c r="K305" i="2"/>
  <c r="AP305" i="2" s="1"/>
  <c r="L245" i="2"/>
  <c r="AQ245" i="2" s="1"/>
  <c r="L305" i="2"/>
  <c r="AQ305" i="2" s="1"/>
  <c r="L303" i="2"/>
  <c r="AQ303" i="2" s="1"/>
  <c r="N321" i="2"/>
  <c r="AS321" i="2" s="1"/>
  <c r="P220" i="2"/>
  <c r="AU220" i="2" s="1"/>
  <c r="K276" i="2"/>
  <c r="AP276" i="2" s="1"/>
  <c r="I294" i="2"/>
  <c r="AN294" i="2" s="1"/>
  <c r="K220" i="2"/>
  <c r="AP220" i="2" s="1"/>
  <c r="I277" i="2"/>
  <c r="AN277" i="2" s="1"/>
  <c r="L279" i="2"/>
  <c r="AQ279" i="2" s="1"/>
  <c r="N305" i="2"/>
  <c r="AS305" i="2" s="1"/>
  <c r="L275" i="2"/>
  <c r="AQ275" i="2" s="1"/>
  <c r="K306" i="2"/>
  <c r="AP306" i="2" s="1"/>
  <c r="L220" i="2"/>
  <c r="AQ220" i="2" s="1"/>
  <c r="K294" i="2"/>
  <c r="AP294" i="2" s="1"/>
  <c r="N245" i="2"/>
  <c r="AS245" i="2" s="1"/>
  <c r="K303" i="2"/>
  <c r="AP303" i="2" s="1"/>
  <c r="I276" i="2"/>
  <c r="AN276" i="2" s="1"/>
  <c r="L306" i="2"/>
  <c r="AQ306" i="2" s="1"/>
  <c r="K278" i="2"/>
  <c r="AP278" i="2" s="1"/>
  <c r="N304" i="2"/>
  <c r="AS304" i="2" s="1"/>
  <c r="I304" i="2"/>
  <c r="AN304" i="2" s="1"/>
  <c r="K51" i="2"/>
  <c r="AP51" i="2" s="1"/>
  <c r="I51" i="2"/>
  <c r="AN51" i="2" s="1"/>
  <c r="I245" i="2"/>
  <c r="AN245" i="2" s="1"/>
  <c r="N222" i="2"/>
  <c r="AS222" i="2" s="1"/>
  <c r="L294" i="2"/>
  <c r="AQ294" i="2" s="1"/>
  <c r="P277" i="2"/>
  <c r="AU277" i="2" s="1"/>
  <c r="P303" i="2"/>
  <c r="AU303" i="2" s="1"/>
  <c r="I220" i="2"/>
  <c r="AN220" i="2" s="1"/>
  <c r="N306" i="2"/>
  <c r="AS306" i="2" s="1"/>
  <c r="N303" i="2"/>
  <c r="AS303" i="2" s="1"/>
  <c r="I305" i="2"/>
  <c r="AN305" i="2" s="1"/>
  <c r="L321" i="2"/>
  <c r="AQ321" i="2" s="1"/>
  <c r="L278" i="2"/>
  <c r="AQ278" i="2" s="1"/>
  <c r="P278" i="2"/>
  <c r="AU278" i="2" s="1"/>
  <c r="K275" i="2"/>
  <c r="AP275" i="2" s="1"/>
  <c r="L277" i="2"/>
  <c r="AQ277" i="2" s="1"/>
  <c r="I303" i="2"/>
  <c r="AN303" i="2" s="1"/>
  <c r="I321" i="2"/>
  <c r="AN321" i="2" s="1"/>
  <c r="N220" i="2"/>
  <c r="AS220" i="2" s="1"/>
  <c r="P51" i="2"/>
  <c r="AU51" i="2" s="1"/>
  <c r="P222" i="2"/>
  <c r="AU222" i="2" s="1"/>
  <c r="P321" i="2"/>
  <c r="AU321" i="2" s="1"/>
  <c r="P322" i="2"/>
  <c r="AU322" i="2" s="1"/>
  <c r="L304" i="2"/>
  <c r="AQ304" i="2" s="1"/>
  <c r="K222" i="2"/>
  <c r="AP222" i="2" s="1"/>
  <c r="N279" i="2"/>
  <c r="AS279" i="2" s="1"/>
  <c r="L51" i="2"/>
  <c r="AQ51" i="2" s="1"/>
  <c r="P306" i="2"/>
  <c r="AU306" i="2" s="1"/>
  <c r="K322" i="2"/>
  <c r="AP322" i="2" s="1"/>
  <c r="K279" i="2"/>
  <c r="AP279" i="2" s="1"/>
  <c r="I222" i="2"/>
  <c r="AN222" i="2" s="1"/>
  <c r="N322" i="2"/>
  <c r="AS322" i="2" s="1"/>
  <c r="K277" i="2"/>
  <c r="AP277" i="2" s="1"/>
  <c r="N294" i="2"/>
  <c r="AS294" i="2" s="1"/>
  <c r="I279" i="2"/>
  <c r="AN279" i="2" s="1"/>
  <c r="K321" i="2"/>
  <c r="AP321" i="2" s="1"/>
  <c r="P275" i="2"/>
  <c r="AU275" i="2" s="1"/>
  <c r="P304" i="2"/>
  <c r="AU304" i="2" s="1"/>
  <c r="P245" i="2"/>
  <c r="AU245" i="2" s="1"/>
  <c r="N277" i="2"/>
  <c r="AS277" i="2" s="1"/>
  <c r="K304" i="2"/>
  <c r="AP304" i="2" s="1"/>
  <c r="L322" i="2"/>
  <c r="AQ322" i="2" s="1"/>
  <c r="L222" i="2"/>
  <c r="AQ222" i="2" s="1"/>
  <c r="I278" i="2"/>
  <c r="AN278" i="2" s="1"/>
  <c r="N276" i="2"/>
  <c r="AS276" i="2" s="1"/>
  <c r="I322" i="2"/>
  <c r="AN322" i="2" s="1"/>
  <c r="I275" i="2"/>
  <c r="AN275" i="2" s="1"/>
  <c r="N275" i="2"/>
  <c r="AS275" i="2" s="1"/>
  <c r="N278" i="2"/>
  <c r="AS278" i="2" s="1"/>
  <c r="I306" i="2"/>
  <c r="AN306" i="2" s="1"/>
  <c r="AW389" i="2"/>
  <c r="N374" i="2"/>
  <c r="AS374" i="2" s="1"/>
  <c r="L33" i="2"/>
  <c r="AQ33" i="2" s="1"/>
  <c r="AW385" i="2"/>
  <c r="L374" i="2"/>
  <c r="AQ374" i="2" s="1"/>
  <c r="I372" i="2"/>
  <c r="AN372" i="2" s="1"/>
  <c r="P351" i="2"/>
  <c r="AU351" i="2" s="1"/>
  <c r="P33" i="2"/>
  <c r="AU33" i="2" s="1"/>
  <c r="P374" i="2"/>
  <c r="AU374" i="2" s="1"/>
  <c r="I374" i="2"/>
  <c r="AN374" i="2" s="1"/>
  <c r="K95" i="2"/>
  <c r="AP95" i="2" s="1"/>
  <c r="K33" i="2"/>
  <c r="AP33" i="2" s="1"/>
  <c r="I33" i="2"/>
  <c r="AN33" i="2" s="1"/>
  <c r="K372" i="2"/>
  <c r="AP372" i="2" s="1"/>
  <c r="N33" i="2"/>
  <c r="AS33" i="2" s="1"/>
  <c r="P372" i="2"/>
  <c r="AU372" i="2" s="1"/>
  <c r="N62" i="2"/>
  <c r="AS62" i="2" s="1"/>
  <c r="L95" i="2"/>
  <c r="AQ95" i="2" s="1"/>
  <c r="N92" i="2"/>
  <c r="AS92" i="2" s="1"/>
  <c r="P90" i="2"/>
  <c r="AU90" i="2" s="1"/>
  <c r="K93" i="2"/>
  <c r="AP93" i="2" s="1"/>
  <c r="P93" i="2"/>
  <c r="AU93" i="2" s="1"/>
  <c r="N351" i="2"/>
  <c r="AS351" i="2" s="1"/>
  <c r="I92" i="2"/>
  <c r="AN92" i="2" s="1"/>
  <c r="L63" i="2"/>
  <c r="AQ63" i="2" s="1"/>
  <c r="P95" i="2"/>
  <c r="AU95" i="2" s="1"/>
  <c r="L93" i="2"/>
  <c r="AQ93" i="2" s="1"/>
  <c r="N93" i="2"/>
  <c r="AS93" i="2" s="1"/>
  <c r="L92" i="2"/>
  <c r="AQ92" i="2" s="1"/>
  <c r="K90" i="2"/>
  <c r="AP90" i="2" s="1"/>
  <c r="K351" i="2"/>
  <c r="AP351" i="2" s="1"/>
  <c r="N90" i="2"/>
  <c r="AS90" i="2" s="1"/>
  <c r="I95" i="2"/>
  <c r="AN95" i="2" s="1"/>
  <c r="I90" i="2"/>
  <c r="AN90" i="2" s="1"/>
  <c r="P92" i="2"/>
  <c r="AU92" i="2" s="1"/>
  <c r="N95" i="2"/>
  <c r="AS95" i="2" s="1"/>
  <c r="L90" i="2"/>
  <c r="AQ90" i="2" s="1"/>
  <c r="I351" i="2"/>
  <c r="AN351" i="2" s="1"/>
  <c r="L351" i="2"/>
  <c r="AQ351" i="2" s="1"/>
  <c r="K92" i="2"/>
  <c r="AP92" i="2" s="1"/>
  <c r="I93" i="2"/>
  <c r="AN93" i="2" s="1"/>
  <c r="N63" i="2"/>
  <c r="AS63" i="2" s="1"/>
  <c r="I63" i="2"/>
  <c r="AN63" i="2" s="1"/>
  <c r="L62" i="2"/>
  <c r="AQ62" i="2" s="1"/>
  <c r="P6" i="2"/>
  <c r="AU6" i="2" s="1"/>
  <c r="P62" i="2"/>
  <c r="AU62" i="2" s="1"/>
  <c r="K218" i="2"/>
  <c r="AP218" i="2" s="1"/>
  <c r="K63" i="2"/>
  <c r="AP63" i="2" s="1"/>
  <c r="K62" i="2"/>
  <c r="AP62" i="2" s="1"/>
  <c r="I62" i="2"/>
  <c r="AN62" i="2" s="1"/>
  <c r="P63" i="2"/>
  <c r="AU63" i="2" s="1"/>
  <c r="N132" i="2"/>
  <c r="AS132" i="2" s="1"/>
  <c r="L132" i="2"/>
  <c r="AQ132" i="2" s="1"/>
  <c r="P132" i="2"/>
  <c r="AU132" i="2" s="1"/>
  <c r="K132" i="2"/>
  <c r="AP132" i="2" s="1"/>
  <c r="I132" i="2"/>
  <c r="AN132" i="2" s="1"/>
  <c r="BA388" i="2"/>
  <c r="N22" i="2"/>
  <c r="AS22" i="2" s="1"/>
  <c r="L369" i="2"/>
  <c r="AQ369" i="2" s="1"/>
  <c r="N6" i="2"/>
  <c r="AS6" i="2" s="1"/>
  <c r="BA389" i="2"/>
  <c r="I64" i="2"/>
  <c r="AN64" i="2" s="1"/>
  <c r="I40" i="2"/>
  <c r="AN40" i="2" s="1"/>
  <c r="I360" i="2"/>
  <c r="AN360" i="2" s="1"/>
  <c r="I296" i="2"/>
  <c r="AN296" i="2" s="1"/>
  <c r="I161" i="2"/>
  <c r="AN161" i="2" s="1"/>
  <c r="I82" i="2"/>
  <c r="AN82" i="2" s="1"/>
  <c r="I72" i="2"/>
  <c r="AN72" i="2" s="1"/>
  <c r="I39" i="2"/>
  <c r="AN39" i="2" s="1"/>
  <c r="I355" i="2"/>
  <c r="AN355" i="2" s="1"/>
  <c r="I168" i="2"/>
  <c r="AN168" i="2" s="1"/>
  <c r="I18" i="2"/>
  <c r="AN18" i="2" s="1"/>
  <c r="I110" i="2"/>
  <c r="AN110" i="2" s="1"/>
  <c r="I99" i="2"/>
  <c r="AN99" i="2" s="1"/>
  <c r="I26" i="2"/>
  <c r="AN26" i="2" s="1"/>
  <c r="I256" i="2"/>
  <c r="AN256" i="2" s="1"/>
  <c r="I7" i="2"/>
  <c r="AN7" i="2" s="1"/>
  <c r="I61" i="2"/>
  <c r="AN61" i="2" s="1"/>
  <c r="I56" i="2"/>
  <c r="AN56" i="2" s="1"/>
  <c r="I366" i="2"/>
  <c r="AN366" i="2" s="1"/>
  <c r="I338" i="2"/>
  <c r="AN338" i="2" s="1"/>
  <c r="I235" i="2"/>
  <c r="AN235" i="2" s="1"/>
  <c r="P52" i="2"/>
  <c r="AU52" i="2" s="1"/>
  <c r="P47" i="2"/>
  <c r="AU47" i="2" s="1"/>
  <c r="P382" i="2"/>
  <c r="AU382" i="2" s="1"/>
  <c r="P338" i="2"/>
  <c r="AU338" i="2" s="1"/>
  <c r="P248" i="2"/>
  <c r="AU248" i="2" s="1"/>
  <c r="P37" i="2"/>
  <c r="AU37" i="2" s="1"/>
  <c r="P310" i="2"/>
  <c r="AU310" i="2" s="1"/>
  <c r="P259" i="2"/>
  <c r="AU259" i="2" s="1"/>
  <c r="P211" i="2"/>
  <c r="AU211" i="2" s="1"/>
  <c r="P190" i="2"/>
  <c r="AU190" i="2" s="1"/>
  <c r="P10" i="2"/>
  <c r="AU10" i="2" s="1"/>
  <c r="P38" i="2"/>
  <c r="AU38" i="2" s="1"/>
  <c r="P356" i="2"/>
  <c r="AU356" i="2" s="1"/>
  <c r="P347" i="2"/>
  <c r="AU347" i="2" s="1"/>
  <c r="P300" i="2"/>
  <c r="AU300" i="2" s="1"/>
  <c r="P228" i="2"/>
  <c r="AU228" i="2" s="1"/>
  <c r="P137" i="2"/>
  <c r="AU137" i="2" s="1"/>
  <c r="P83" i="2"/>
  <c r="AU83" i="2" s="1"/>
  <c r="P7" i="2"/>
  <c r="AU7" i="2" s="1"/>
  <c r="P332" i="2"/>
  <c r="AU332" i="2" s="1"/>
  <c r="P292" i="2"/>
  <c r="AU292" i="2" s="1"/>
  <c r="N17" i="2"/>
  <c r="AS17" i="2" s="1"/>
  <c r="N252" i="2"/>
  <c r="AS252" i="2" s="1"/>
  <c r="N231" i="2"/>
  <c r="AS231" i="2" s="1"/>
  <c r="N160" i="2"/>
  <c r="AS160" i="2" s="1"/>
  <c r="N147" i="2"/>
  <c r="AS147" i="2" s="1"/>
  <c r="N101" i="2"/>
  <c r="AS101" i="2" s="1"/>
  <c r="N376" i="2"/>
  <c r="AS376" i="2" s="1"/>
  <c r="N360" i="2"/>
  <c r="AS360" i="2" s="1"/>
  <c r="N105" i="2"/>
  <c r="AS105" i="2" s="1"/>
  <c r="N261" i="2"/>
  <c r="AS261" i="2" s="1"/>
  <c r="N27" i="2"/>
  <c r="AS27" i="2" s="1"/>
  <c r="N298" i="2"/>
  <c r="AS298" i="2" s="1"/>
  <c r="N288" i="2"/>
  <c r="AS288" i="2" s="1"/>
  <c r="N177" i="2"/>
  <c r="AS177" i="2" s="1"/>
  <c r="N94" i="2"/>
  <c r="AS94" i="2" s="1"/>
  <c r="N56" i="2"/>
  <c r="AS56" i="2" s="1"/>
  <c r="N42" i="2"/>
  <c r="AS42" i="2" s="1"/>
  <c r="N270" i="2"/>
  <c r="AS270" i="2" s="1"/>
  <c r="N260" i="2"/>
  <c r="AS260" i="2" s="1"/>
  <c r="N178" i="2"/>
  <c r="AS178" i="2" s="1"/>
  <c r="N166" i="2"/>
  <c r="AS166" i="2" s="1"/>
  <c r="N124" i="2"/>
  <c r="AS124" i="2" s="1"/>
  <c r="L143" i="2"/>
  <c r="AQ143" i="2" s="1"/>
  <c r="L206" i="2"/>
  <c r="AQ206" i="2" s="1"/>
  <c r="L346" i="2"/>
  <c r="AQ346" i="2" s="1"/>
  <c r="L38" i="2"/>
  <c r="AQ38" i="2" s="1"/>
  <c r="L153" i="2"/>
  <c r="AQ153" i="2" s="1"/>
  <c r="L246" i="2"/>
  <c r="AQ246" i="2" s="1"/>
  <c r="L352" i="2"/>
  <c r="AQ352" i="2" s="1"/>
  <c r="L67" i="2"/>
  <c r="AQ67" i="2" s="1"/>
  <c r="L144" i="2"/>
  <c r="AQ144" i="2" s="1"/>
  <c r="L215" i="2"/>
  <c r="AQ215" i="2" s="1"/>
  <c r="L366" i="2"/>
  <c r="AQ366" i="2" s="1"/>
  <c r="L74" i="2"/>
  <c r="AQ74" i="2" s="1"/>
  <c r="L155" i="2"/>
  <c r="AQ155" i="2" s="1"/>
  <c r="L218" i="2"/>
  <c r="AQ218" i="2" s="1"/>
  <c r="L341" i="2"/>
  <c r="AQ341" i="2" s="1"/>
  <c r="L32" i="2"/>
  <c r="AQ32" i="2" s="1"/>
  <c r="L162" i="2"/>
  <c r="AQ162" i="2" s="1"/>
  <c r="L258" i="2"/>
  <c r="AQ258" i="2" s="1"/>
  <c r="L339" i="2"/>
  <c r="AQ339" i="2" s="1"/>
  <c r="L79" i="2"/>
  <c r="AQ79" i="2" s="1"/>
  <c r="L172" i="2"/>
  <c r="AQ172" i="2" s="1"/>
  <c r="K272" i="2"/>
  <c r="AP272" i="2" s="1"/>
  <c r="K209" i="2"/>
  <c r="AP209" i="2" s="1"/>
  <c r="K182" i="2"/>
  <c r="AP182" i="2" s="1"/>
  <c r="K10" i="2"/>
  <c r="AP10" i="2" s="1"/>
  <c r="K96" i="2"/>
  <c r="AP96" i="2" s="1"/>
  <c r="K359" i="2"/>
  <c r="AP359" i="2" s="1"/>
  <c r="K330" i="2"/>
  <c r="AP330" i="2" s="1"/>
  <c r="K341" i="2"/>
  <c r="AP341" i="2" s="1"/>
  <c r="K104" i="2"/>
  <c r="AP104" i="2" s="1"/>
  <c r="K72" i="2"/>
  <c r="AP72" i="2" s="1"/>
  <c r="K204" i="2"/>
  <c r="AP204" i="2" s="1"/>
  <c r="K376" i="2"/>
  <c r="AP376" i="2" s="1"/>
  <c r="K159" i="2"/>
  <c r="AP159" i="2" s="1"/>
  <c r="K36" i="2"/>
  <c r="AP36" i="2" s="1"/>
  <c r="K148" i="2"/>
  <c r="AP148" i="2" s="1"/>
  <c r="K194" i="2"/>
  <c r="AP194" i="2" s="1"/>
  <c r="K196" i="2"/>
  <c r="AP196" i="2" s="1"/>
  <c r="K128" i="2"/>
  <c r="AP128" i="2" s="1"/>
  <c r="K215" i="2"/>
  <c r="AP215" i="2" s="1"/>
  <c r="K49" i="2"/>
  <c r="AP49" i="2" s="1"/>
  <c r="AR389" i="2"/>
  <c r="I254" i="2"/>
  <c r="AN254" i="2" s="1"/>
  <c r="I239" i="2"/>
  <c r="AN239" i="2" s="1"/>
  <c r="I205" i="2"/>
  <c r="AN205" i="2" s="1"/>
  <c r="I160" i="2"/>
  <c r="AN160" i="2" s="1"/>
  <c r="I101" i="2"/>
  <c r="AN101" i="2" s="1"/>
  <c r="I291" i="2"/>
  <c r="AN291" i="2" s="1"/>
  <c r="I262" i="2"/>
  <c r="AN262" i="2" s="1"/>
  <c r="I264" i="2"/>
  <c r="AN264" i="2" s="1"/>
  <c r="I181" i="2"/>
  <c r="AN181" i="2" s="1"/>
  <c r="I193" i="2"/>
  <c r="AN193" i="2" s="1"/>
  <c r="I141" i="2"/>
  <c r="AN141" i="2" s="1"/>
  <c r="I327" i="2"/>
  <c r="AN327" i="2" s="1"/>
  <c r="I302" i="2"/>
  <c r="AN302" i="2" s="1"/>
  <c r="I225" i="2"/>
  <c r="AN225" i="2" s="1"/>
  <c r="I189" i="2"/>
  <c r="AN189" i="2" s="1"/>
  <c r="I115" i="2"/>
  <c r="AN115" i="2" s="1"/>
  <c r="I295" i="2"/>
  <c r="AN295" i="2" s="1"/>
  <c r="I271" i="2"/>
  <c r="AN271" i="2" s="1"/>
  <c r="I212" i="2"/>
  <c r="AN212" i="2" s="1"/>
  <c r="I163" i="2"/>
  <c r="AN163" i="2" s="1"/>
  <c r="I190" i="2"/>
  <c r="AN190" i="2" s="1"/>
  <c r="AO389" i="2"/>
  <c r="P212" i="2"/>
  <c r="AU212" i="2" s="1"/>
  <c r="P172" i="2"/>
  <c r="AU172" i="2" s="1"/>
  <c r="P149" i="2"/>
  <c r="AU149" i="2" s="1"/>
  <c r="P89" i="2"/>
  <c r="AU89" i="2" s="1"/>
  <c r="P64" i="2"/>
  <c r="AU64" i="2" s="1"/>
  <c r="P18" i="2"/>
  <c r="AU18" i="2" s="1"/>
  <c r="P165" i="2"/>
  <c r="AU165" i="2" s="1"/>
  <c r="P39" i="2"/>
  <c r="AU39" i="2" s="1"/>
  <c r="P357" i="2"/>
  <c r="AU357" i="2" s="1"/>
  <c r="P350" i="2"/>
  <c r="AU350" i="2" s="1"/>
  <c r="P258" i="2"/>
  <c r="AU258" i="2" s="1"/>
  <c r="P162" i="2"/>
  <c r="AU162" i="2" s="1"/>
  <c r="P122" i="2"/>
  <c r="AU122" i="2" s="1"/>
  <c r="P65" i="2"/>
  <c r="AU65" i="2" s="1"/>
  <c r="P111" i="2"/>
  <c r="AU111" i="2" s="1"/>
  <c r="P40" i="2"/>
  <c r="AU40" i="2" s="1"/>
  <c r="P219" i="2"/>
  <c r="AU219" i="2" s="1"/>
  <c r="P175" i="2"/>
  <c r="AU175" i="2" s="1"/>
  <c r="P144" i="2"/>
  <c r="AU144" i="2" s="1"/>
  <c r="P104" i="2"/>
  <c r="AU104" i="2" s="1"/>
  <c r="P121" i="2"/>
  <c r="AU121" i="2" s="1"/>
  <c r="P13" i="2"/>
  <c r="AU13" i="2" s="1"/>
  <c r="N292" i="2"/>
  <c r="AS292" i="2" s="1"/>
  <c r="N286" i="2"/>
  <c r="AS286" i="2" s="1"/>
  <c r="N200" i="2"/>
  <c r="AS200" i="2" s="1"/>
  <c r="N156" i="2"/>
  <c r="AS156" i="2" s="1"/>
  <c r="N46" i="2"/>
  <c r="AS46" i="2" s="1"/>
  <c r="N241" i="2"/>
  <c r="AS241" i="2" s="1"/>
  <c r="N266" i="2"/>
  <c r="AS266" i="2" s="1"/>
  <c r="N110" i="2"/>
  <c r="AS110" i="2" s="1"/>
  <c r="N113" i="2"/>
  <c r="AS113" i="2" s="1"/>
  <c r="N23" i="2"/>
  <c r="AS23" i="2" s="1"/>
  <c r="N356" i="2"/>
  <c r="AS356" i="2" s="1"/>
  <c r="N382" i="2"/>
  <c r="AS382" i="2" s="1"/>
  <c r="N186" i="2"/>
  <c r="AS186" i="2" s="1"/>
  <c r="N120" i="2"/>
  <c r="AS120" i="2" s="1"/>
  <c r="N87" i="2"/>
  <c r="AS87" i="2" s="1"/>
  <c r="N230" i="2"/>
  <c r="AS230" i="2" s="1"/>
  <c r="N330" i="2"/>
  <c r="AS330" i="2" s="1"/>
  <c r="N301" i="2"/>
  <c r="AS301" i="2" s="1"/>
  <c r="N29" i="2"/>
  <c r="AS29" i="2" s="1"/>
  <c r="N237" i="2"/>
  <c r="AS237" i="2" s="1"/>
  <c r="N135" i="2"/>
  <c r="AS135" i="2" s="1"/>
  <c r="L268" i="2"/>
  <c r="AQ268" i="2" s="1"/>
  <c r="L380" i="2"/>
  <c r="AQ380" i="2" s="1"/>
  <c r="L86" i="2"/>
  <c r="AQ86" i="2" s="1"/>
  <c r="L167" i="2"/>
  <c r="AQ167" i="2" s="1"/>
  <c r="L251" i="2"/>
  <c r="AQ251" i="2" s="1"/>
  <c r="L11" i="2"/>
  <c r="AQ11" i="2" s="1"/>
  <c r="L89" i="2"/>
  <c r="AQ89" i="2" s="1"/>
  <c r="L174" i="2"/>
  <c r="AQ174" i="2" s="1"/>
  <c r="L270" i="2"/>
  <c r="AQ270" i="2" s="1"/>
  <c r="L367" i="2"/>
  <c r="AQ367" i="2" s="1"/>
  <c r="L111" i="2"/>
  <c r="AQ111" i="2" s="1"/>
  <c r="L235" i="2"/>
  <c r="AQ235" i="2" s="1"/>
  <c r="L285" i="2"/>
  <c r="AQ285" i="2" s="1"/>
  <c r="L361" i="2"/>
  <c r="AQ361" i="2" s="1"/>
  <c r="L102" i="2"/>
  <c r="AQ102" i="2" s="1"/>
  <c r="L134" i="2"/>
  <c r="AQ134" i="2" s="1"/>
  <c r="L291" i="2"/>
  <c r="AQ291" i="2" s="1"/>
  <c r="L105" i="2"/>
  <c r="AQ105" i="2" s="1"/>
  <c r="L177" i="2"/>
  <c r="AQ177" i="2" s="1"/>
  <c r="L269" i="2"/>
  <c r="AQ269" i="2" s="1"/>
  <c r="L23" i="2"/>
  <c r="AQ23" i="2" s="1"/>
  <c r="K379" i="2"/>
  <c r="AP379" i="2" s="1"/>
  <c r="K342" i="2"/>
  <c r="AP342" i="2" s="1"/>
  <c r="K144" i="2"/>
  <c r="AP144" i="2" s="1"/>
  <c r="K32" i="2"/>
  <c r="AP32" i="2" s="1"/>
  <c r="K99" i="2"/>
  <c r="AP99" i="2" s="1"/>
  <c r="K219" i="2"/>
  <c r="AP219" i="2" s="1"/>
  <c r="K165" i="2"/>
  <c r="AP165" i="2" s="1"/>
  <c r="K150" i="2"/>
  <c r="AP150" i="2" s="1"/>
  <c r="K153" i="2"/>
  <c r="AP153" i="2" s="1"/>
  <c r="K46" i="2"/>
  <c r="AP46" i="2" s="1"/>
  <c r="K319" i="2"/>
  <c r="AP319" i="2" s="1"/>
  <c r="K284" i="2"/>
  <c r="AP284" i="2" s="1"/>
  <c r="K243" i="2"/>
  <c r="AP243" i="2" s="1"/>
  <c r="K57" i="2"/>
  <c r="AP57" i="2" s="1"/>
  <c r="K200" i="2"/>
  <c r="AP200" i="2" s="1"/>
  <c r="K15" i="2"/>
  <c r="AP15" i="2" s="1"/>
  <c r="K177" i="2"/>
  <c r="AP177" i="2" s="1"/>
  <c r="K360" i="2"/>
  <c r="AP360" i="2" s="1"/>
  <c r="K234" i="2"/>
  <c r="AP234" i="2" s="1"/>
  <c r="K86" i="2"/>
  <c r="AP86" i="2" s="1"/>
  <c r="K174" i="2"/>
  <c r="AP174" i="2" s="1"/>
  <c r="I228" i="2"/>
  <c r="AN228" i="2" s="1"/>
  <c r="I155" i="2"/>
  <c r="AN155" i="2" s="1"/>
  <c r="I133" i="2"/>
  <c r="AN133" i="2" s="1"/>
  <c r="I125" i="2"/>
  <c r="AN125" i="2" s="1"/>
  <c r="I218" i="2"/>
  <c r="AN218" i="2" s="1"/>
  <c r="I207" i="2"/>
  <c r="AN207" i="2" s="1"/>
  <c r="I236" i="2"/>
  <c r="AN236" i="2" s="1"/>
  <c r="I180" i="2"/>
  <c r="AN180" i="2" s="1"/>
  <c r="I170" i="2"/>
  <c r="AN170" i="2" s="1"/>
  <c r="I286" i="2"/>
  <c r="AN286" i="2" s="1"/>
  <c r="I200" i="2"/>
  <c r="AN200" i="2" s="1"/>
  <c r="I233" i="2"/>
  <c r="AN233" i="2" s="1"/>
  <c r="I204" i="2"/>
  <c r="AN204" i="2" s="1"/>
  <c r="I139" i="2"/>
  <c r="AN139" i="2" s="1"/>
  <c r="I191" i="2"/>
  <c r="AN191" i="2" s="1"/>
  <c r="I130" i="2"/>
  <c r="AN130" i="2" s="1"/>
  <c r="I231" i="2"/>
  <c r="AN231" i="2" s="1"/>
  <c r="I214" i="2"/>
  <c r="AN214" i="2" s="1"/>
  <c r="I140" i="2"/>
  <c r="AN140" i="2" s="1"/>
  <c r="I138" i="2"/>
  <c r="AN138" i="2" s="1"/>
  <c r="I246" i="2"/>
  <c r="AN246" i="2" s="1"/>
  <c r="P318" i="2"/>
  <c r="AU318" i="2" s="1"/>
  <c r="P266" i="2"/>
  <c r="AU266" i="2" s="1"/>
  <c r="P206" i="2"/>
  <c r="AU206" i="2" s="1"/>
  <c r="P154" i="2"/>
  <c r="AU154" i="2" s="1"/>
  <c r="P178" i="2"/>
  <c r="AU178" i="2" s="1"/>
  <c r="P249" i="2"/>
  <c r="AU249" i="2" s="1"/>
  <c r="P134" i="2"/>
  <c r="AU134" i="2" s="1"/>
  <c r="P76" i="2"/>
  <c r="AU76" i="2" s="1"/>
  <c r="P102" i="2"/>
  <c r="AU102" i="2" s="1"/>
  <c r="P42" i="2"/>
  <c r="AU42" i="2" s="1"/>
  <c r="P334" i="2"/>
  <c r="AU334" i="2" s="1"/>
  <c r="P241" i="2"/>
  <c r="AU241" i="2" s="1"/>
  <c r="P229" i="2"/>
  <c r="AU229" i="2" s="1"/>
  <c r="P192" i="2"/>
  <c r="AU192" i="2" s="1"/>
  <c r="P155" i="2"/>
  <c r="AU155" i="2" s="1"/>
  <c r="P101" i="2"/>
  <c r="AU101" i="2" s="1"/>
  <c r="P273" i="2"/>
  <c r="AU273" i="2" s="1"/>
  <c r="P268" i="2"/>
  <c r="AU268" i="2" s="1"/>
  <c r="P271" i="2"/>
  <c r="AU271" i="2" s="1"/>
  <c r="P213" i="2"/>
  <c r="AU213" i="2" s="1"/>
  <c r="P179" i="2"/>
  <c r="AU179" i="2" s="1"/>
  <c r="N258" i="2"/>
  <c r="AS258" i="2" s="1"/>
  <c r="N287" i="2"/>
  <c r="AS287" i="2" s="1"/>
  <c r="N143" i="2"/>
  <c r="AS143" i="2" s="1"/>
  <c r="N54" i="2"/>
  <c r="AS54" i="2" s="1"/>
  <c r="N19" i="2"/>
  <c r="AS19" i="2" s="1"/>
  <c r="N10" i="2"/>
  <c r="AS10" i="2" s="1"/>
  <c r="N271" i="2"/>
  <c r="AS271" i="2" s="1"/>
  <c r="N253" i="2"/>
  <c r="AS253" i="2" s="1"/>
  <c r="N207" i="2"/>
  <c r="AS207" i="2" s="1"/>
  <c r="N134" i="2"/>
  <c r="AS134" i="2" s="1"/>
  <c r="N106" i="2"/>
  <c r="AS106" i="2" s="1"/>
  <c r="N352" i="2"/>
  <c r="AS352" i="2" s="1"/>
  <c r="N338" i="2"/>
  <c r="AS338" i="2" s="1"/>
  <c r="N49" i="2"/>
  <c r="AS49" i="2" s="1"/>
  <c r="N197" i="2"/>
  <c r="AS197" i="2" s="1"/>
  <c r="N214" i="2"/>
  <c r="AS214" i="2" s="1"/>
  <c r="N281" i="2"/>
  <c r="AS281" i="2" s="1"/>
  <c r="N318" i="2"/>
  <c r="AS318" i="2" s="1"/>
  <c r="N162" i="2"/>
  <c r="AS162" i="2" s="1"/>
  <c r="N75" i="2"/>
  <c r="AS75" i="2" s="1"/>
  <c r="N36" i="2"/>
  <c r="AS36" i="2" s="1"/>
  <c r="N7" i="2"/>
  <c r="AS7" i="2" s="1"/>
  <c r="L116" i="2"/>
  <c r="AQ116" i="2" s="1"/>
  <c r="L188" i="2"/>
  <c r="AQ188" i="2" s="1"/>
  <c r="L298" i="2"/>
  <c r="AQ298" i="2" s="1"/>
  <c r="L360" i="2"/>
  <c r="AQ360" i="2" s="1"/>
  <c r="L59" i="2"/>
  <c r="AQ59" i="2" s="1"/>
  <c r="L195" i="2"/>
  <c r="AQ195" i="2" s="1"/>
  <c r="L316" i="2"/>
  <c r="AQ316" i="2" s="1"/>
  <c r="L15" i="2"/>
  <c r="AQ15" i="2" s="1"/>
  <c r="L117" i="2"/>
  <c r="AQ117" i="2" s="1"/>
  <c r="L205" i="2"/>
  <c r="AQ205" i="2" s="1"/>
  <c r="L319" i="2"/>
  <c r="AQ319" i="2" s="1"/>
  <c r="L47" i="2"/>
  <c r="AQ47" i="2" s="1"/>
  <c r="L145" i="2"/>
  <c r="AQ145" i="2" s="1"/>
  <c r="L200" i="2"/>
  <c r="AQ200" i="2" s="1"/>
  <c r="L292" i="2"/>
  <c r="AQ292" i="2" s="1"/>
  <c r="L14" i="2"/>
  <c r="AQ14" i="2" s="1"/>
  <c r="L152" i="2"/>
  <c r="AQ152" i="2" s="1"/>
  <c r="L207" i="2"/>
  <c r="AQ207" i="2" s="1"/>
  <c r="L286" i="2"/>
  <c r="AQ286" i="2" s="1"/>
  <c r="L36" i="2"/>
  <c r="AQ36" i="2" s="1"/>
  <c r="L84" i="2"/>
  <c r="AQ84" i="2" s="1"/>
  <c r="L12" i="2"/>
  <c r="AQ12" i="2" s="1"/>
  <c r="K162" i="2"/>
  <c r="AP162" i="2" s="1"/>
  <c r="K172" i="2"/>
  <c r="AP172" i="2" s="1"/>
  <c r="K349" i="2"/>
  <c r="AP349" i="2" s="1"/>
  <c r="K64" i="2"/>
  <c r="AP64" i="2" s="1"/>
  <c r="K291" i="2"/>
  <c r="AP291" i="2" s="1"/>
  <c r="K256" i="2"/>
  <c r="AP256" i="2" s="1"/>
  <c r="K236" i="2"/>
  <c r="AP236" i="2" s="1"/>
  <c r="K225" i="2"/>
  <c r="AP225" i="2" s="1"/>
  <c r="K11" i="2"/>
  <c r="AP11" i="2" s="1"/>
  <c r="K76" i="2"/>
  <c r="AP76" i="2" s="1"/>
  <c r="K373" i="2"/>
  <c r="AP373" i="2" s="1"/>
  <c r="K335" i="2"/>
  <c r="AP335" i="2" s="1"/>
  <c r="K325" i="2"/>
  <c r="AP325" i="2" s="1"/>
  <c r="K84" i="2"/>
  <c r="AP84" i="2" s="1"/>
  <c r="K23" i="2"/>
  <c r="AP23" i="2" s="1"/>
  <c r="K136" i="2"/>
  <c r="AP136" i="2" s="1"/>
  <c r="K188" i="2"/>
  <c r="AP188" i="2" s="1"/>
  <c r="K121" i="2"/>
  <c r="AP121" i="2" s="1"/>
  <c r="K185" i="2"/>
  <c r="AP185" i="2" s="1"/>
  <c r="K87" i="2"/>
  <c r="AP87" i="2" s="1"/>
  <c r="K14" i="2"/>
  <c r="AP14" i="2" s="1"/>
  <c r="I209" i="2"/>
  <c r="AN209" i="2" s="1"/>
  <c r="I194" i="2"/>
  <c r="AN194" i="2" s="1"/>
  <c r="I128" i="2"/>
  <c r="AN128" i="2" s="1"/>
  <c r="I86" i="2"/>
  <c r="AN86" i="2" s="1"/>
  <c r="I50" i="2"/>
  <c r="AN50" i="2" s="1"/>
  <c r="I252" i="2"/>
  <c r="AN252" i="2" s="1"/>
  <c r="I226" i="2"/>
  <c r="AN226" i="2" s="1"/>
  <c r="I202" i="2"/>
  <c r="AN202" i="2" s="1"/>
  <c r="I153" i="2"/>
  <c r="AN153" i="2" s="1"/>
  <c r="I29" i="2"/>
  <c r="AN29" i="2" s="1"/>
  <c r="I289" i="2"/>
  <c r="AN289" i="2" s="1"/>
  <c r="I260" i="2"/>
  <c r="AN260" i="2" s="1"/>
  <c r="I199" i="2"/>
  <c r="AN199" i="2" s="1"/>
  <c r="I178" i="2"/>
  <c r="AN178" i="2" s="1"/>
  <c r="I120" i="2"/>
  <c r="AN120" i="2" s="1"/>
  <c r="I116" i="2"/>
  <c r="AN116" i="2" s="1"/>
  <c r="I216" i="2"/>
  <c r="AN216" i="2" s="1"/>
  <c r="I197" i="2"/>
  <c r="AN197" i="2" s="1"/>
  <c r="I136" i="2"/>
  <c r="AN136" i="2" s="1"/>
  <c r="I97" i="2"/>
  <c r="AN97" i="2" s="1"/>
  <c r="I91" i="2"/>
  <c r="AN91" i="2" s="1"/>
  <c r="AO388" i="2"/>
  <c r="P238" i="2"/>
  <c r="AU238" i="2" s="1"/>
  <c r="P205" i="2"/>
  <c r="AU205" i="2" s="1"/>
  <c r="P171" i="2"/>
  <c r="AU171" i="2" s="1"/>
  <c r="P117" i="2"/>
  <c r="AU117" i="2" s="1"/>
  <c r="P94" i="2"/>
  <c r="AU94" i="2" s="1"/>
  <c r="P223" i="2"/>
  <c r="AU223" i="2" s="1"/>
  <c r="P97" i="2"/>
  <c r="AU97" i="2" s="1"/>
  <c r="P34" i="2"/>
  <c r="AU34" i="2" s="1"/>
  <c r="P383" i="2"/>
  <c r="AU383" i="2" s="1"/>
  <c r="P333" i="2"/>
  <c r="AU333" i="2" s="1"/>
  <c r="P239" i="2"/>
  <c r="AU239" i="2" s="1"/>
  <c r="P181" i="2"/>
  <c r="AU181" i="2" s="1"/>
  <c r="P147" i="2"/>
  <c r="AU147" i="2" s="1"/>
  <c r="P186" i="2"/>
  <c r="AU186" i="2" s="1"/>
  <c r="P110" i="2"/>
  <c r="AU110" i="2" s="1"/>
  <c r="P30" i="2"/>
  <c r="AU30" i="2" s="1"/>
  <c r="P198" i="2"/>
  <c r="AU198" i="2" s="1"/>
  <c r="P208" i="2"/>
  <c r="AU208" i="2" s="1"/>
  <c r="P177" i="2"/>
  <c r="AU177" i="2" s="1"/>
  <c r="P145" i="2"/>
  <c r="AU145" i="2" s="1"/>
  <c r="P82" i="2"/>
  <c r="AU82" i="2" s="1"/>
  <c r="N256" i="2"/>
  <c r="AS256" i="2" s="1"/>
  <c r="N251" i="2"/>
  <c r="AS251" i="2" s="1"/>
  <c r="N123" i="2"/>
  <c r="AS123" i="2" s="1"/>
  <c r="N59" i="2"/>
  <c r="AS59" i="2" s="1"/>
  <c r="N229" i="2"/>
  <c r="AS229" i="2" s="1"/>
  <c r="N380" i="2"/>
  <c r="AS380" i="2" s="1"/>
  <c r="N269" i="2"/>
  <c r="AS269" i="2" s="1"/>
  <c r="N209" i="2"/>
  <c r="AS209" i="2" s="1"/>
  <c r="N144" i="2"/>
  <c r="AS144" i="2" s="1"/>
  <c r="N114" i="2"/>
  <c r="AS114" i="2" s="1"/>
  <c r="N30" i="2"/>
  <c r="AS30" i="2" s="1"/>
  <c r="N346" i="2"/>
  <c r="AS346" i="2" s="1"/>
  <c r="N328" i="2"/>
  <c r="AS328" i="2" s="1"/>
  <c r="N47" i="2"/>
  <c r="AS47" i="2" s="1"/>
  <c r="N190" i="2"/>
  <c r="AS190" i="2" s="1"/>
  <c r="N142" i="2"/>
  <c r="AS142" i="2" s="1"/>
  <c r="N274" i="2"/>
  <c r="AS274" i="2" s="1"/>
  <c r="N316" i="2"/>
  <c r="AS316" i="2" s="1"/>
  <c r="N159" i="2"/>
  <c r="AS159" i="2" s="1"/>
  <c r="N72" i="2"/>
  <c r="AS72" i="2" s="1"/>
  <c r="N34" i="2"/>
  <c r="AS34" i="2" s="1"/>
  <c r="L320" i="2"/>
  <c r="AQ320" i="2" s="1"/>
  <c r="L35" i="2"/>
  <c r="AQ35" i="2" s="1"/>
  <c r="L96" i="2"/>
  <c r="AQ96" i="2" s="1"/>
  <c r="L227" i="2"/>
  <c r="AQ227" i="2" s="1"/>
  <c r="L293" i="2"/>
  <c r="AQ293" i="2" s="1"/>
  <c r="L22" i="2"/>
  <c r="AQ22" i="2" s="1"/>
  <c r="L119" i="2"/>
  <c r="AQ119" i="2" s="1"/>
  <c r="L238" i="2"/>
  <c r="AQ238" i="2" s="1"/>
  <c r="L283" i="2"/>
  <c r="AQ283" i="2" s="1"/>
  <c r="L18" i="2"/>
  <c r="AQ18" i="2" s="1"/>
  <c r="L113" i="2"/>
  <c r="AQ113" i="2" s="1"/>
  <c r="L194" i="2"/>
  <c r="AQ194" i="2" s="1"/>
  <c r="L334" i="2"/>
  <c r="AQ334" i="2" s="1"/>
  <c r="L48" i="2"/>
  <c r="AQ48" i="2" s="1"/>
  <c r="L108" i="2"/>
  <c r="AQ108" i="2" s="1"/>
  <c r="L196" i="2"/>
  <c r="AQ196" i="2" s="1"/>
  <c r="L340" i="2"/>
  <c r="AQ340" i="2" s="1"/>
  <c r="L53" i="2"/>
  <c r="AQ53" i="2" s="1"/>
  <c r="L131" i="2"/>
  <c r="AQ131" i="2" s="1"/>
  <c r="L187" i="2"/>
  <c r="AQ187" i="2" s="1"/>
  <c r="L282" i="2"/>
  <c r="AQ282" i="2" s="1"/>
  <c r="L31" i="2"/>
  <c r="AQ31" i="2" s="1"/>
  <c r="K163" i="2"/>
  <c r="AP163" i="2" s="1"/>
  <c r="K381" i="2"/>
  <c r="AP381" i="2" s="1"/>
  <c r="K266" i="2"/>
  <c r="AP266" i="2" s="1"/>
  <c r="K65" i="2"/>
  <c r="AP65" i="2" s="1"/>
  <c r="K190" i="2"/>
  <c r="AP190" i="2" s="1"/>
  <c r="K254" i="2"/>
  <c r="AP254" i="2" s="1"/>
  <c r="K229" i="2"/>
  <c r="AP229" i="2" s="1"/>
  <c r="K226" i="2"/>
  <c r="AP226" i="2" s="1"/>
  <c r="K333" i="2"/>
  <c r="AP333" i="2" s="1"/>
  <c r="K350" i="2"/>
  <c r="AP350" i="2" s="1"/>
  <c r="K271" i="2"/>
  <c r="AP271" i="2" s="1"/>
  <c r="K246" i="2"/>
  <c r="AP246" i="2" s="1"/>
  <c r="K214" i="2"/>
  <c r="AP214" i="2" s="1"/>
  <c r="K22" i="2"/>
  <c r="AP22" i="2" s="1"/>
  <c r="K67" i="2"/>
  <c r="AP67" i="2" s="1"/>
  <c r="K20" i="2"/>
  <c r="AP20" i="2" s="1"/>
  <c r="K362" i="2"/>
  <c r="AP362" i="2" s="1"/>
  <c r="K344" i="2"/>
  <c r="AP344" i="2" s="1"/>
  <c r="K75" i="2"/>
  <c r="AP75" i="2" s="1"/>
  <c r="K48" i="2"/>
  <c r="AP48" i="2" s="1"/>
  <c r="K108" i="2"/>
  <c r="AP108" i="2" s="1"/>
  <c r="I137" i="2"/>
  <c r="AN137" i="2" s="1"/>
  <c r="I105" i="2"/>
  <c r="AN105" i="2" s="1"/>
  <c r="I104" i="2"/>
  <c r="AN104" i="2" s="1"/>
  <c r="I46" i="2"/>
  <c r="AN46" i="2" s="1"/>
  <c r="I122" i="2"/>
  <c r="AN122" i="2" s="1"/>
  <c r="I167" i="2"/>
  <c r="AN167" i="2" s="1"/>
  <c r="I152" i="2"/>
  <c r="AN152" i="2" s="1"/>
  <c r="I113" i="2"/>
  <c r="AN113" i="2" s="1"/>
  <c r="I57" i="2"/>
  <c r="AN57" i="2" s="1"/>
  <c r="I146" i="2"/>
  <c r="AN146" i="2" s="1"/>
  <c r="I192" i="2"/>
  <c r="AN192" i="2" s="1"/>
  <c r="I175" i="2"/>
  <c r="AN175" i="2" s="1"/>
  <c r="I176" i="2"/>
  <c r="AN176" i="2" s="1"/>
  <c r="I85" i="2"/>
  <c r="AN85" i="2" s="1"/>
  <c r="I223" i="2"/>
  <c r="AN223" i="2" s="1"/>
  <c r="I127" i="2"/>
  <c r="AN127" i="2" s="1"/>
  <c r="I144" i="2"/>
  <c r="AN144" i="2" s="1"/>
  <c r="I124" i="2"/>
  <c r="AN124" i="2" s="1"/>
  <c r="I103" i="2"/>
  <c r="AN103" i="2" s="1"/>
  <c r="I55" i="2"/>
  <c r="AN55" i="2" s="1"/>
  <c r="I159" i="2"/>
  <c r="AN159" i="2" s="1"/>
  <c r="P160" i="2"/>
  <c r="AU160" i="2" s="1"/>
  <c r="P120" i="2"/>
  <c r="AU120" i="2" s="1"/>
  <c r="P59" i="2"/>
  <c r="AU59" i="2" s="1"/>
  <c r="P48" i="2"/>
  <c r="AU48" i="2" s="1"/>
  <c r="P359" i="2"/>
  <c r="AU359" i="2" s="1"/>
  <c r="P153" i="2"/>
  <c r="AU153" i="2" s="1"/>
  <c r="P44" i="2"/>
  <c r="AU44" i="2" s="1"/>
  <c r="P376" i="2"/>
  <c r="AU376" i="2" s="1"/>
  <c r="P287" i="2"/>
  <c r="AU287" i="2" s="1"/>
  <c r="P246" i="2"/>
  <c r="AU246" i="2" s="1"/>
  <c r="P150" i="2"/>
  <c r="AU150" i="2" s="1"/>
  <c r="P96" i="2"/>
  <c r="AU96" i="2" s="1"/>
  <c r="P118" i="2"/>
  <c r="AU118" i="2" s="1"/>
  <c r="P99" i="2"/>
  <c r="AU99" i="2" s="1"/>
  <c r="P378" i="2"/>
  <c r="AU378" i="2" s="1"/>
  <c r="P11" i="2"/>
  <c r="AU11" i="2" s="1"/>
  <c r="P163" i="2"/>
  <c r="AU163" i="2" s="1"/>
  <c r="P131" i="2"/>
  <c r="AU131" i="2" s="1"/>
  <c r="P88" i="2"/>
  <c r="AU88" i="2" s="1"/>
  <c r="P53" i="2"/>
  <c r="AU53" i="2" s="1"/>
  <c r="P365" i="2"/>
  <c r="AU365" i="2" s="1"/>
  <c r="N297" i="2"/>
  <c r="AS297" i="2" s="1"/>
  <c r="N332" i="2"/>
  <c r="AS332" i="2" s="1"/>
  <c r="N145" i="2"/>
  <c r="AS145" i="2" s="1"/>
  <c r="N66" i="2"/>
  <c r="AS66" i="2" s="1"/>
  <c r="N55" i="2"/>
  <c r="AS55" i="2" s="1"/>
  <c r="N81" i="2"/>
  <c r="AS81" i="2" s="1"/>
  <c r="N320" i="2"/>
  <c r="AS320" i="2" s="1"/>
  <c r="N300" i="2"/>
  <c r="AS300" i="2" s="1"/>
  <c r="N223" i="2"/>
  <c r="AS223" i="2" s="1"/>
  <c r="N140" i="2"/>
  <c r="AS140" i="2" s="1"/>
  <c r="N16" i="2"/>
  <c r="AS16" i="2" s="1"/>
  <c r="N235" i="2"/>
  <c r="AS235" i="2" s="1"/>
  <c r="N381" i="2"/>
  <c r="AS381" i="2" s="1"/>
  <c r="N80" i="2"/>
  <c r="AS80" i="2" s="1"/>
  <c r="N15" i="2"/>
  <c r="AS15" i="2" s="1"/>
  <c r="N61" i="2"/>
  <c r="AS61" i="2" s="1"/>
  <c r="N334" i="2"/>
  <c r="AS334" i="2" s="1"/>
  <c r="N333" i="2"/>
  <c r="AS333" i="2" s="1"/>
  <c r="N168" i="2"/>
  <c r="AS168" i="2" s="1"/>
  <c r="N167" i="2"/>
  <c r="AS167" i="2" s="1"/>
  <c r="N68" i="2"/>
  <c r="AS68" i="2" s="1"/>
  <c r="N174" i="2"/>
  <c r="AS174" i="2" s="1"/>
  <c r="L110" i="2"/>
  <c r="AQ110" i="2" s="1"/>
  <c r="L125" i="2"/>
  <c r="AQ125" i="2" s="1"/>
  <c r="L255" i="2"/>
  <c r="AQ255" i="2" s="1"/>
  <c r="L344" i="2"/>
  <c r="AQ344" i="2" s="1"/>
  <c r="L57" i="2"/>
  <c r="AQ57" i="2" s="1"/>
  <c r="L185" i="2"/>
  <c r="AQ185" i="2" s="1"/>
  <c r="L261" i="2"/>
  <c r="AQ261" i="2" s="1"/>
  <c r="L371" i="2"/>
  <c r="AQ371" i="2" s="1"/>
  <c r="L115" i="2"/>
  <c r="AQ115" i="2" s="1"/>
  <c r="L147" i="2"/>
  <c r="AQ147" i="2" s="1"/>
  <c r="L318" i="2"/>
  <c r="AQ318" i="2" s="1"/>
  <c r="L383" i="2"/>
  <c r="AQ383" i="2" s="1"/>
  <c r="L120" i="2"/>
  <c r="AQ120" i="2" s="1"/>
  <c r="L138" i="2"/>
  <c r="AQ138" i="2" s="1"/>
  <c r="L250" i="2"/>
  <c r="AQ250" i="2" s="1"/>
  <c r="L21" i="2"/>
  <c r="AQ21" i="2" s="1"/>
  <c r="L128" i="2"/>
  <c r="AQ128" i="2" s="1"/>
  <c r="L197" i="2"/>
  <c r="AQ197" i="2" s="1"/>
  <c r="L243" i="2"/>
  <c r="AQ243" i="2" s="1"/>
  <c r="L370" i="2"/>
  <c r="AQ370" i="2" s="1"/>
  <c r="L78" i="2"/>
  <c r="AQ78" i="2" s="1"/>
  <c r="K238" i="2"/>
  <c r="AP238" i="2" s="1"/>
  <c r="K170" i="2"/>
  <c r="AP170" i="2" s="1"/>
  <c r="K167" i="2"/>
  <c r="AP167" i="2" s="1"/>
  <c r="K160" i="2"/>
  <c r="AP160" i="2" s="1"/>
  <c r="K29" i="2"/>
  <c r="AP29" i="2" s="1"/>
  <c r="K290" i="2"/>
  <c r="AP290" i="2" s="1"/>
  <c r="K264" i="2"/>
  <c r="AP264" i="2" s="1"/>
  <c r="K258" i="2"/>
  <c r="AP258" i="2" s="1"/>
  <c r="K38" i="2"/>
  <c r="AP38" i="2" s="1"/>
  <c r="K126" i="2"/>
  <c r="AP126" i="2" s="1"/>
  <c r="K39" i="2"/>
  <c r="AP39" i="2" s="1"/>
  <c r="K382" i="2"/>
  <c r="AP382" i="2" s="1"/>
  <c r="K280" i="2"/>
  <c r="AP280" i="2" s="1"/>
  <c r="K91" i="2"/>
  <c r="AP91" i="2" s="1"/>
  <c r="K265" i="2"/>
  <c r="AP265" i="2" s="1"/>
  <c r="K60" i="2"/>
  <c r="AP60" i="2" s="1"/>
  <c r="K178" i="2"/>
  <c r="AP178" i="2" s="1"/>
  <c r="K24" i="2"/>
  <c r="AP24" i="2" s="1"/>
  <c r="K268" i="2"/>
  <c r="AP268" i="2" s="1"/>
  <c r="K81" i="2"/>
  <c r="AP81" i="2" s="1"/>
  <c r="K213" i="2"/>
  <c r="AP213" i="2" s="1"/>
  <c r="I368" i="2"/>
  <c r="AN368" i="2" s="1"/>
  <c r="I346" i="2"/>
  <c r="AN346" i="2" s="1"/>
  <c r="I261" i="2"/>
  <c r="AN261" i="2" s="1"/>
  <c r="I211" i="2"/>
  <c r="AN211" i="2" s="1"/>
  <c r="I221" i="2"/>
  <c r="AN221" i="2" s="1"/>
  <c r="I41" i="2"/>
  <c r="AN41" i="2" s="1"/>
  <c r="I384" i="2"/>
  <c r="AN384" i="2" s="1"/>
  <c r="I325" i="2"/>
  <c r="AN325" i="2" s="1"/>
  <c r="I290" i="2"/>
  <c r="AN290" i="2" s="1"/>
  <c r="I237" i="2"/>
  <c r="AN237" i="2" s="1"/>
  <c r="I9" i="2"/>
  <c r="AN9" i="2" s="1"/>
  <c r="I31" i="2"/>
  <c r="AN31" i="2" s="1"/>
  <c r="I379" i="2"/>
  <c r="AN379" i="2" s="1"/>
  <c r="I330" i="2"/>
  <c r="AN330" i="2" s="1"/>
  <c r="I333" i="2"/>
  <c r="AN333" i="2" s="1"/>
  <c r="I258" i="2"/>
  <c r="AN258" i="2" s="1"/>
  <c r="I376" i="2"/>
  <c r="AN376" i="2" s="1"/>
  <c r="I356" i="2"/>
  <c r="AN356" i="2" s="1"/>
  <c r="I318" i="2"/>
  <c r="AN318" i="2" s="1"/>
  <c r="I242" i="2"/>
  <c r="AN242" i="2" s="1"/>
  <c r="I288" i="2"/>
  <c r="AN288" i="2" s="1"/>
  <c r="AO386" i="2"/>
  <c r="P293" i="2"/>
  <c r="AU293" i="2" s="1"/>
  <c r="P254" i="2"/>
  <c r="AU254" i="2" s="1"/>
  <c r="P231" i="2"/>
  <c r="AU231" i="2" s="1"/>
  <c r="P142" i="2"/>
  <c r="AU142" i="2" s="1"/>
  <c r="P169" i="2"/>
  <c r="AU169" i="2" s="1"/>
  <c r="P270" i="2"/>
  <c r="AU270" i="2" s="1"/>
  <c r="P184" i="2"/>
  <c r="AU184" i="2" s="1"/>
  <c r="P133" i="2"/>
  <c r="AU133" i="2" s="1"/>
  <c r="P86" i="2"/>
  <c r="AU86" i="2" s="1"/>
  <c r="P43" i="2"/>
  <c r="AU43" i="2" s="1"/>
  <c r="P24" i="2"/>
  <c r="AU24" i="2" s="1"/>
  <c r="P263" i="2"/>
  <c r="AU263" i="2" s="1"/>
  <c r="P215" i="2"/>
  <c r="AU215" i="2" s="1"/>
  <c r="P180" i="2"/>
  <c r="AU180" i="2" s="1"/>
  <c r="P140" i="2"/>
  <c r="AU140" i="2" s="1"/>
  <c r="P85" i="2"/>
  <c r="AU85" i="2" s="1"/>
  <c r="P296" i="2"/>
  <c r="AU296" i="2" s="1"/>
  <c r="P256" i="2"/>
  <c r="AU256" i="2" s="1"/>
  <c r="P234" i="2"/>
  <c r="AU234" i="2" s="1"/>
  <c r="P201" i="2"/>
  <c r="AU201" i="2" s="1"/>
  <c r="P164" i="2"/>
  <c r="AU164" i="2" s="1"/>
  <c r="N359" i="2"/>
  <c r="AS359" i="2" s="1"/>
  <c r="N354" i="2"/>
  <c r="AS354" i="2" s="1"/>
  <c r="N218" i="2"/>
  <c r="AS218" i="2" s="1"/>
  <c r="N153" i="2"/>
  <c r="AS153" i="2" s="1"/>
  <c r="N139" i="2"/>
  <c r="AS139" i="2" s="1"/>
  <c r="N24" i="2"/>
  <c r="AS24" i="2" s="1"/>
  <c r="N368" i="2"/>
  <c r="AS368" i="2" s="1"/>
  <c r="N329" i="2"/>
  <c r="AS329" i="2" s="1"/>
  <c r="N35" i="2"/>
  <c r="AS35" i="2" s="1"/>
  <c r="N213" i="2"/>
  <c r="AS213" i="2" s="1"/>
  <c r="N227" i="2"/>
  <c r="AS227" i="2" s="1"/>
  <c r="N296" i="2"/>
  <c r="AS296" i="2" s="1"/>
  <c r="N290" i="2"/>
  <c r="AS290" i="2" s="1"/>
  <c r="N175" i="2"/>
  <c r="AS175" i="2" s="1"/>
  <c r="N88" i="2"/>
  <c r="AS88" i="2" s="1"/>
  <c r="N52" i="2"/>
  <c r="AS52" i="2" s="1"/>
  <c r="N11" i="2"/>
  <c r="AS11" i="2" s="1"/>
  <c r="N268" i="2"/>
  <c r="AS268" i="2" s="1"/>
  <c r="N212" i="2"/>
  <c r="AS212" i="2" s="1"/>
  <c r="N176" i="2"/>
  <c r="AS176" i="2" s="1"/>
  <c r="N163" i="2"/>
  <c r="AS163" i="2" s="1"/>
  <c r="N96" i="2"/>
  <c r="AS96" i="2" s="1"/>
  <c r="L208" i="2"/>
  <c r="AQ208" i="2" s="1"/>
  <c r="L284" i="2"/>
  <c r="AQ284" i="2" s="1"/>
  <c r="L364" i="2"/>
  <c r="AQ364" i="2" s="1"/>
  <c r="L65" i="2"/>
  <c r="AQ65" i="2" s="1"/>
  <c r="L166" i="2"/>
  <c r="AQ166" i="2" s="1"/>
  <c r="L295" i="2"/>
  <c r="AQ295" i="2" s="1"/>
  <c r="L44" i="2"/>
  <c r="AQ44" i="2" s="1"/>
  <c r="L76" i="2"/>
  <c r="AQ76" i="2" s="1"/>
  <c r="L209" i="2"/>
  <c r="AQ209" i="2" s="1"/>
  <c r="L272" i="2"/>
  <c r="AQ272" i="2" s="1"/>
  <c r="L8" i="2"/>
  <c r="AQ8" i="2" s="1"/>
  <c r="L165" i="2"/>
  <c r="AQ165" i="2" s="1"/>
  <c r="L221" i="2"/>
  <c r="AQ221" i="2" s="1"/>
  <c r="L297" i="2"/>
  <c r="AQ297" i="2" s="1"/>
  <c r="L24" i="2"/>
  <c r="AQ24" i="2" s="1"/>
  <c r="L97" i="2"/>
  <c r="AQ97" i="2" s="1"/>
  <c r="L229" i="2"/>
  <c r="AQ229" i="2" s="1"/>
  <c r="L323" i="2"/>
  <c r="AQ323" i="2" s="1"/>
  <c r="L30" i="2"/>
  <c r="AQ30" i="2" s="1"/>
  <c r="L88" i="2"/>
  <c r="AQ88" i="2" s="1"/>
  <c r="L180" i="2"/>
  <c r="AQ180" i="2" s="1"/>
  <c r="K324" i="2"/>
  <c r="AP324" i="2" s="1"/>
  <c r="K287" i="2"/>
  <c r="AP287" i="2" s="1"/>
  <c r="K242" i="2"/>
  <c r="AP242" i="2" s="1"/>
  <c r="K56" i="2"/>
  <c r="AP56" i="2" s="1"/>
  <c r="K206" i="2"/>
  <c r="AP206" i="2" s="1"/>
  <c r="K27" i="2"/>
  <c r="AP27" i="2" s="1"/>
  <c r="K147" i="2"/>
  <c r="AP147" i="2" s="1"/>
  <c r="K363" i="2"/>
  <c r="AP363" i="2" s="1"/>
  <c r="K197" i="2"/>
  <c r="AP197" i="2" s="1"/>
  <c r="K120" i="2"/>
  <c r="AP120" i="2" s="1"/>
  <c r="K183" i="2"/>
  <c r="AP183" i="2" s="1"/>
  <c r="K235" i="2"/>
  <c r="AP235" i="2" s="1"/>
  <c r="K211" i="2"/>
  <c r="AP211" i="2" s="1"/>
  <c r="K208" i="2"/>
  <c r="AP208" i="2" s="1"/>
  <c r="K286" i="2"/>
  <c r="AP286" i="2" s="1"/>
  <c r="K59" i="2"/>
  <c r="AP59" i="2" s="1"/>
  <c r="K354" i="2"/>
  <c r="AP354" i="2" s="1"/>
  <c r="K302" i="2"/>
  <c r="AP302" i="2" s="1"/>
  <c r="K300" i="2"/>
  <c r="AP300" i="2" s="1"/>
  <c r="K69" i="2"/>
  <c r="AP69" i="2" s="1"/>
  <c r="K318" i="2"/>
  <c r="AP318" i="2" s="1"/>
  <c r="K114" i="2"/>
  <c r="AP114" i="2" s="1"/>
  <c r="I269" i="2"/>
  <c r="AN269" i="2" s="1"/>
  <c r="I251" i="2"/>
  <c r="AN251" i="2" s="1"/>
  <c r="I201" i="2"/>
  <c r="AN201" i="2" s="1"/>
  <c r="I126" i="2"/>
  <c r="AN126" i="2" s="1"/>
  <c r="I300" i="2"/>
  <c r="AN300" i="2" s="1"/>
  <c r="I347" i="2"/>
  <c r="AN347" i="2" s="1"/>
  <c r="I292" i="2"/>
  <c r="AN292" i="2" s="1"/>
  <c r="I259" i="2"/>
  <c r="AN259" i="2" s="1"/>
  <c r="I227" i="2"/>
  <c r="AN227" i="2" s="1"/>
  <c r="I342" i="2"/>
  <c r="AN342" i="2" s="1"/>
  <c r="I381" i="2"/>
  <c r="AN381" i="2" s="1"/>
  <c r="I320" i="2"/>
  <c r="AN320" i="2" s="1"/>
  <c r="I283" i="2"/>
  <c r="AN283" i="2" s="1"/>
  <c r="I268" i="2"/>
  <c r="AN268" i="2" s="1"/>
  <c r="I52" i="2"/>
  <c r="AN52" i="2" s="1"/>
  <c r="I373" i="2"/>
  <c r="AN373" i="2" s="1"/>
  <c r="I284" i="2"/>
  <c r="AN284" i="2" s="1"/>
  <c r="I257" i="2"/>
  <c r="AN257" i="2" s="1"/>
  <c r="I208" i="2"/>
  <c r="AN208" i="2" s="1"/>
  <c r="I186" i="2"/>
  <c r="AN186" i="2" s="1"/>
  <c r="I13" i="2"/>
  <c r="AN13" i="2" s="1"/>
  <c r="P380" i="2"/>
  <c r="AU380" i="2" s="1"/>
  <c r="P336" i="2"/>
  <c r="AU336" i="2" s="1"/>
  <c r="P299" i="2"/>
  <c r="AU299" i="2" s="1"/>
  <c r="P253" i="2"/>
  <c r="AU253" i="2" s="1"/>
  <c r="P200" i="2"/>
  <c r="AU200" i="2" s="1"/>
  <c r="P327" i="2"/>
  <c r="AU327" i="2" s="1"/>
  <c r="P236" i="2"/>
  <c r="AU236" i="2" s="1"/>
  <c r="P187" i="2"/>
  <c r="AU187" i="2" s="1"/>
  <c r="P143" i="2"/>
  <c r="AU143" i="2" s="1"/>
  <c r="P100" i="2"/>
  <c r="AU100" i="2" s="1"/>
  <c r="P26" i="2"/>
  <c r="AU26" i="2" s="1"/>
  <c r="P361" i="2"/>
  <c r="AU361" i="2" s="1"/>
  <c r="P316" i="2"/>
  <c r="AU316" i="2" s="1"/>
  <c r="P264" i="2"/>
  <c r="AU264" i="2" s="1"/>
  <c r="P202" i="2"/>
  <c r="AU202" i="2" s="1"/>
  <c r="P14" i="2"/>
  <c r="AU14" i="2" s="1"/>
  <c r="P36" i="2"/>
  <c r="AU36" i="2" s="1"/>
  <c r="P381" i="2"/>
  <c r="AU381" i="2" s="1"/>
  <c r="P337" i="2"/>
  <c r="AU337" i="2" s="1"/>
  <c r="P298" i="2"/>
  <c r="AU298" i="2" s="1"/>
  <c r="P207" i="2"/>
  <c r="AU207" i="2" s="1"/>
  <c r="N355" i="2"/>
  <c r="AS355" i="2" s="1"/>
  <c r="N345" i="2"/>
  <c r="AS345" i="2" s="1"/>
  <c r="N57" i="2"/>
  <c r="AS57" i="2" s="1"/>
  <c r="N196" i="2"/>
  <c r="AS196" i="2" s="1"/>
  <c r="N12" i="2"/>
  <c r="AS12" i="2" s="1"/>
  <c r="N327" i="2"/>
  <c r="AS327" i="2" s="1"/>
  <c r="N326" i="2"/>
  <c r="AS326" i="2" s="1"/>
  <c r="N136" i="2"/>
  <c r="AS136" i="2" s="1"/>
  <c r="N118" i="2"/>
  <c r="AS118" i="2" s="1"/>
  <c r="N109" i="2"/>
  <c r="AS109" i="2" s="1"/>
  <c r="N86" i="2"/>
  <c r="AS86" i="2" s="1"/>
  <c r="N291" i="2"/>
  <c r="AS291" i="2" s="1"/>
  <c r="N247" i="2"/>
  <c r="AS247" i="2" s="1"/>
  <c r="N194" i="2"/>
  <c r="AS194" i="2" s="1"/>
  <c r="N188" i="2"/>
  <c r="AS188" i="2" s="1"/>
  <c r="N131" i="2"/>
  <c r="AS131" i="2" s="1"/>
  <c r="N217" i="2"/>
  <c r="AS217" i="2" s="1"/>
  <c r="N363" i="2"/>
  <c r="AS363" i="2" s="1"/>
  <c r="N64" i="2"/>
  <c r="AS64" i="2" s="1"/>
  <c r="N38" i="2"/>
  <c r="AS38" i="2" s="1"/>
  <c r="N58" i="2"/>
  <c r="AS58" i="2" s="1"/>
  <c r="L324" i="2"/>
  <c r="AQ324" i="2" s="1"/>
  <c r="L46" i="2"/>
  <c r="AQ46" i="2" s="1"/>
  <c r="L182" i="2"/>
  <c r="AQ182" i="2" s="1"/>
  <c r="L234" i="2"/>
  <c r="AQ234" i="2" s="1"/>
  <c r="L296" i="2"/>
  <c r="AQ296" i="2" s="1"/>
  <c r="L19" i="2"/>
  <c r="AQ19" i="2" s="1"/>
  <c r="L126" i="2"/>
  <c r="AQ126" i="2" s="1"/>
  <c r="L240" i="2"/>
  <c r="AQ240" i="2" s="1"/>
  <c r="L330" i="2"/>
  <c r="AQ330" i="2" s="1"/>
  <c r="L43" i="2"/>
  <c r="AQ43" i="2" s="1"/>
  <c r="L124" i="2"/>
  <c r="AQ124" i="2" s="1"/>
  <c r="L263" i="2"/>
  <c r="AQ263" i="2" s="1"/>
  <c r="L336" i="2"/>
  <c r="AQ336" i="2" s="1"/>
  <c r="L58" i="2"/>
  <c r="AQ58" i="2" s="1"/>
  <c r="L127" i="2"/>
  <c r="AQ127" i="2" s="1"/>
  <c r="L199" i="2"/>
  <c r="AQ199" i="2" s="1"/>
  <c r="L381" i="2"/>
  <c r="AQ381" i="2" s="1"/>
  <c r="L56" i="2"/>
  <c r="AQ56" i="2" s="1"/>
  <c r="L139" i="2"/>
  <c r="AQ139" i="2" s="1"/>
  <c r="L202" i="2"/>
  <c r="AQ202" i="2" s="1"/>
  <c r="L325" i="2"/>
  <c r="AQ325" i="2" s="1"/>
  <c r="L52" i="2"/>
  <c r="AQ52" i="2" s="1"/>
  <c r="K377" i="2"/>
  <c r="AP377" i="2" s="1"/>
  <c r="K346" i="2"/>
  <c r="AP346" i="2" s="1"/>
  <c r="K328" i="2"/>
  <c r="AP328" i="2" s="1"/>
  <c r="K124" i="2"/>
  <c r="AP124" i="2" s="1"/>
  <c r="K30" i="2"/>
  <c r="AP30" i="2" s="1"/>
  <c r="K88" i="2"/>
  <c r="AP88" i="2" s="1"/>
  <c r="K221" i="2"/>
  <c r="AP221" i="2" s="1"/>
  <c r="K154" i="2"/>
  <c r="AP154" i="2" s="1"/>
  <c r="K151" i="2"/>
  <c r="AP151" i="2" s="1"/>
  <c r="K127" i="2"/>
  <c r="AP127" i="2" s="1"/>
  <c r="K43" i="2"/>
  <c r="AP43" i="2" s="1"/>
  <c r="K326" i="2"/>
  <c r="AP326" i="2" s="1"/>
  <c r="K248" i="2"/>
  <c r="AP248" i="2" s="1"/>
  <c r="K241" i="2"/>
  <c r="AP241" i="2" s="1"/>
  <c r="K53" i="2"/>
  <c r="AP53" i="2" s="1"/>
  <c r="K152" i="2"/>
  <c r="AP152" i="2" s="1"/>
  <c r="K13" i="2"/>
  <c r="AP13" i="2" s="1"/>
  <c r="K364" i="2"/>
  <c r="AP364" i="2" s="1"/>
  <c r="K358" i="2"/>
  <c r="AP358" i="2" s="1"/>
  <c r="K164" i="2"/>
  <c r="AP164" i="2" s="1"/>
  <c r="K50" i="2"/>
  <c r="AP50" i="2" s="1"/>
  <c r="K115" i="2"/>
  <c r="AP115" i="2" s="1"/>
  <c r="I334" i="2"/>
  <c r="AN334" i="2" s="1"/>
  <c r="I310" i="2"/>
  <c r="AN310" i="2" s="1"/>
  <c r="I266" i="2"/>
  <c r="AN266" i="2" s="1"/>
  <c r="I188" i="2"/>
  <c r="AN188" i="2" s="1"/>
  <c r="I253" i="2"/>
  <c r="AN253" i="2" s="1"/>
  <c r="I213" i="2"/>
  <c r="AN213" i="2" s="1"/>
  <c r="I329" i="2"/>
  <c r="AN329" i="2" s="1"/>
  <c r="I316" i="2"/>
  <c r="AN316" i="2" s="1"/>
  <c r="I255" i="2"/>
  <c r="AN255" i="2" s="1"/>
  <c r="I196" i="2"/>
  <c r="AN196" i="2" s="1"/>
  <c r="I148" i="2"/>
  <c r="AN148" i="2" s="1"/>
  <c r="I365" i="2"/>
  <c r="AN365" i="2" s="1"/>
  <c r="I378" i="2"/>
  <c r="AN378" i="2" s="1"/>
  <c r="I323" i="2"/>
  <c r="AN323" i="2" s="1"/>
  <c r="I250" i="2"/>
  <c r="AN250" i="2" s="1"/>
  <c r="I151" i="2"/>
  <c r="AN151" i="2" s="1"/>
  <c r="I340" i="2"/>
  <c r="AN340" i="2" s="1"/>
  <c r="I274" i="2"/>
  <c r="AN274" i="2" s="1"/>
  <c r="I281" i="2"/>
  <c r="AN281" i="2" s="1"/>
  <c r="I203" i="2"/>
  <c r="AN203" i="2" s="1"/>
  <c r="I348" i="2"/>
  <c r="AN348" i="2" s="1"/>
  <c r="I273" i="2"/>
  <c r="AN273" i="2" s="1"/>
  <c r="P371" i="2"/>
  <c r="AU371" i="2" s="1"/>
  <c r="P288" i="2"/>
  <c r="AU288" i="2" s="1"/>
  <c r="P244" i="2"/>
  <c r="AU244" i="2" s="1"/>
  <c r="P218" i="2"/>
  <c r="AU218" i="2" s="1"/>
  <c r="P227" i="2"/>
  <c r="AU227" i="2" s="1"/>
  <c r="P123" i="2"/>
  <c r="AU123" i="2" s="1"/>
  <c r="P261" i="2"/>
  <c r="AU261" i="2" s="1"/>
  <c r="P146" i="2"/>
  <c r="AU146" i="2" s="1"/>
  <c r="P168" i="2"/>
  <c r="AU168" i="2" s="1"/>
  <c r="P114" i="2"/>
  <c r="AU114" i="2" s="1"/>
  <c r="P28" i="2"/>
  <c r="AU28" i="2" s="1"/>
  <c r="P346" i="2"/>
  <c r="AU346" i="2" s="1"/>
  <c r="P301" i="2"/>
  <c r="AU301" i="2" s="1"/>
  <c r="P194" i="2"/>
  <c r="AU194" i="2" s="1"/>
  <c r="P204" i="2"/>
  <c r="AU204" i="2" s="1"/>
  <c r="P167" i="2"/>
  <c r="AU167" i="2" s="1"/>
  <c r="P379" i="2"/>
  <c r="AU379" i="2" s="1"/>
  <c r="P290" i="2"/>
  <c r="AU290" i="2" s="1"/>
  <c r="P289" i="2"/>
  <c r="AU289" i="2" s="1"/>
  <c r="P250" i="2"/>
  <c r="AU250" i="2" s="1"/>
  <c r="P230" i="2"/>
  <c r="AU230" i="2" s="1"/>
  <c r="P126" i="2"/>
  <c r="AU126" i="2" s="1"/>
  <c r="N353" i="2"/>
  <c r="AS353" i="2" s="1"/>
  <c r="N331" i="2"/>
  <c r="AS331" i="2" s="1"/>
  <c r="N50" i="2"/>
  <c r="AS50" i="2" s="1"/>
  <c r="N224" i="2"/>
  <c r="AS224" i="2" s="1"/>
  <c r="N148" i="2"/>
  <c r="AS148" i="2" s="1"/>
  <c r="N280" i="2"/>
  <c r="AS280" i="2" s="1"/>
  <c r="N317" i="2"/>
  <c r="AS317" i="2" s="1"/>
  <c r="N128" i="2"/>
  <c r="AS128" i="2" s="1"/>
  <c r="N111" i="2"/>
  <c r="AS111" i="2" s="1"/>
  <c r="N39" i="2"/>
  <c r="AS39" i="2" s="1"/>
  <c r="N44" i="2"/>
  <c r="AS44" i="2" s="1"/>
  <c r="N255" i="2"/>
  <c r="AS255" i="2" s="1"/>
  <c r="N234" i="2"/>
  <c r="AS234" i="2" s="1"/>
  <c r="N191" i="2"/>
  <c r="AS191" i="2" s="1"/>
  <c r="N192" i="2"/>
  <c r="AS192" i="2" s="1"/>
  <c r="N99" i="2"/>
  <c r="AS99" i="2" s="1"/>
  <c r="N371" i="2"/>
  <c r="AS371" i="2" s="1"/>
  <c r="N361" i="2"/>
  <c r="AS361" i="2" s="1"/>
  <c r="N69" i="2"/>
  <c r="AS69" i="2" s="1"/>
  <c r="N216" i="2"/>
  <c r="AS216" i="2" s="1"/>
  <c r="N18" i="2"/>
  <c r="AS18" i="2" s="1"/>
  <c r="L228" i="2"/>
  <c r="AQ228" i="2" s="1"/>
  <c r="L333" i="2"/>
  <c r="AQ333" i="2" s="1"/>
  <c r="L64" i="2"/>
  <c r="AQ64" i="2" s="1"/>
  <c r="L157" i="2"/>
  <c r="AQ157" i="2" s="1"/>
  <c r="L230" i="2"/>
  <c r="AQ230" i="2" s="1"/>
  <c r="L347" i="2"/>
  <c r="AQ347" i="2" s="1"/>
  <c r="L87" i="2"/>
  <c r="AQ87" i="2" s="1"/>
  <c r="L164" i="2"/>
  <c r="AQ164" i="2" s="1"/>
  <c r="L219" i="2"/>
  <c r="AQ219" i="2" s="1"/>
  <c r="L326" i="2"/>
  <c r="AQ326" i="2" s="1"/>
  <c r="L39" i="2"/>
  <c r="AQ39" i="2" s="1"/>
  <c r="L175" i="2"/>
  <c r="AQ175" i="2" s="1"/>
  <c r="L242" i="2"/>
  <c r="AQ242" i="2" s="1"/>
  <c r="L345" i="2"/>
  <c r="AQ345" i="2" s="1"/>
  <c r="L37" i="2"/>
  <c r="AQ37" i="2" s="1"/>
  <c r="L123" i="2"/>
  <c r="AQ123" i="2" s="1"/>
  <c r="L249" i="2"/>
  <c r="AQ249" i="2" s="1"/>
  <c r="L359" i="2"/>
  <c r="AQ359" i="2" s="1"/>
  <c r="L103" i="2"/>
  <c r="AQ103" i="2" s="1"/>
  <c r="L176" i="2"/>
  <c r="AQ176" i="2" s="1"/>
  <c r="L198" i="2"/>
  <c r="AQ198" i="2" s="1"/>
  <c r="K369" i="2"/>
  <c r="AP369" i="2" s="1"/>
  <c r="K332" i="2"/>
  <c r="AP332" i="2" s="1"/>
  <c r="K281" i="2"/>
  <c r="AP281" i="2" s="1"/>
  <c r="K123" i="2"/>
  <c r="AP123" i="2" s="1"/>
  <c r="K368" i="2"/>
  <c r="AP368" i="2" s="1"/>
  <c r="K89" i="2"/>
  <c r="AP89" i="2" s="1"/>
  <c r="K157" i="2"/>
  <c r="AP157" i="2" s="1"/>
  <c r="K155" i="2"/>
  <c r="AP155" i="2" s="1"/>
  <c r="K371" i="2"/>
  <c r="AP371" i="2" s="1"/>
  <c r="K116" i="2"/>
  <c r="AP116" i="2" s="1"/>
  <c r="K79" i="2"/>
  <c r="AP79" i="2" s="1"/>
  <c r="K203" i="2"/>
  <c r="AP203" i="2" s="1"/>
  <c r="K149" i="2"/>
  <c r="AP149" i="2" s="1"/>
  <c r="K134" i="2"/>
  <c r="AP134" i="2" s="1"/>
  <c r="K142" i="2"/>
  <c r="AP142" i="2" s="1"/>
  <c r="K28" i="2"/>
  <c r="AP28" i="2" s="1"/>
  <c r="K293" i="2"/>
  <c r="AP293" i="2" s="1"/>
  <c r="K263" i="2"/>
  <c r="AP263" i="2" s="1"/>
  <c r="K257" i="2"/>
  <c r="AP257" i="2" s="1"/>
  <c r="K37" i="2"/>
  <c r="AP37" i="2" s="1"/>
  <c r="K137" i="2"/>
  <c r="AP137" i="2" s="1"/>
  <c r="K42" i="2"/>
  <c r="AP42" i="2" s="1"/>
  <c r="I272" i="2"/>
  <c r="AN272" i="2" s="1"/>
  <c r="P281" i="2"/>
  <c r="AU281" i="2" s="1"/>
  <c r="K16" i="2"/>
  <c r="AP16" i="2" s="1"/>
  <c r="I240" i="2"/>
  <c r="AN240" i="2" s="1"/>
  <c r="I177" i="2"/>
  <c r="AN177" i="2" s="1"/>
  <c r="I173" i="2"/>
  <c r="AN173" i="2" s="1"/>
  <c r="I382" i="2"/>
  <c r="AN382" i="2" s="1"/>
  <c r="I298" i="2"/>
  <c r="AN298" i="2" s="1"/>
  <c r="I263" i="2"/>
  <c r="AN263" i="2" s="1"/>
  <c r="I219" i="2"/>
  <c r="AN219" i="2" s="1"/>
  <c r="I198" i="2"/>
  <c r="AN198" i="2" s="1"/>
  <c r="I123" i="2"/>
  <c r="AN123" i="2" s="1"/>
  <c r="I215" i="2"/>
  <c r="AN215" i="2" s="1"/>
  <c r="I317" i="2"/>
  <c r="AN317" i="2" s="1"/>
  <c r="I282" i="2"/>
  <c r="AN282" i="2" s="1"/>
  <c r="I229" i="2"/>
  <c r="AN229" i="2" s="1"/>
  <c r="I224" i="2"/>
  <c r="AN224" i="2" s="1"/>
  <c r="I247" i="2"/>
  <c r="AN247" i="2" s="1"/>
  <c r="I244" i="2"/>
  <c r="AN244" i="2" s="1"/>
  <c r="I195" i="2"/>
  <c r="AN195" i="2" s="1"/>
  <c r="I184" i="2"/>
  <c r="AN184" i="2" s="1"/>
  <c r="I179" i="2"/>
  <c r="AN179" i="2" s="1"/>
  <c r="I96" i="2"/>
  <c r="AN96" i="2" s="1"/>
  <c r="I358" i="2"/>
  <c r="AN358" i="2" s="1"/>
  <c r="I11" i="2"/>
  <c r="AN11" i="2" s="1"/>
  <c r="P191" i="2"/>
  <c r="AU191" i="2" s="1"/>
  <c r="P217" i="2"/>
  <c r="AU217" i="2" s="1"/>
  <c r="P129" i="2"/>
  <c r="AU129" i="2" s="1"/>
  <c r="P157" i="2"/>
  <c r="AU157" i="2" s="1"/>
  <c r="P107" i="2"/>
  <c r="AU107" i="2" s="1"/>
  <c r="P235" i="2"/>
  <c r="AU235" i="2" s="1"/>
  <c r="P109" i="2"/>
  <c r="AU109" i="2" s="1"/>
  <c r="P56" i="2"/>
  <c r="AU56" i="2" s="1"/>
  <c r="P345" i="2"/>
  <c r="AU345" i="2" s="1"/>
  <c r="P251" i="2"/>
  <c r="AU251" i="2" s="1"/>
  <c r="P203" i="2"/>
  <c r="AU203" i="2" s="1"/>
  <c r="P159" i="2"/>
  <c r="AU159" i="2" s="1"/>
  <c r="P127" i="2"/>
  <c r="AU127" i="2" s="1"/>
  <c r="P73" i="2"/>
  <c r="AU73" i="2" s="1"/>
  <c r="P283" i="2"/>
  <c r="AU283" i="2" s="1"/>
  <c r="P210" i="2"/>
  <c r="AU210" i="2" s="1"/>
  <c r="P221" i="2"/>
  <c r="AU221" i="2" s="1"/>
  <c r="P189" i="2"/>
  <c r="AU189" i="2" s="1"/>
  <c r="P152" i="2"/>
  <c r="AU152" i="2" s="1"/>
  <c r="P98" i="2"/>
  <c r="AU98" i="2" s="1"/>
  <c r="N226" i="2"/>
  <c r="AS226" i="2" s="1"/>
  <c r="N384" i="2"/>
  <c r="AS384" i="2" s="1"/>
  <c r="N116" i="2"/>
  <c r="AS116" i="2" s="1"/>
  <c r="N60" i="2"/>
  <c r="AS60" i="2" s="1"/>
  <c r="N155" i="2"/>
  <c r="AS155" i="2" s="1"/>
  <c r="N373" i="2"/>
  <c r="AS373" i="2" s="1"/>
  <c r="N367" i="2"/>
  <c r="AS367" i="2" s="1"/>
  <c r="N202" i="2"/>
  <c r="AS202" i="2" s="1"/>
  <c r="N137" i="2"/>
  <c r="AS137" i="2" s="1"/>
  <c r="N107" i="2"/>
  <c r="AS107" i="2" s="1"/>
  <c r="N9" i="2"/>
  <c r="AS9" i="2" s="1"/>
  <c r="N336" i="2"/>
  <c r="AS336" i="2" s="1"/>
  <c r="N285" i="2"/>
  <c r="AS285" i="2" s="1"/>
  <c r="N244" i="2"/>
  <c r="AS244" i="2" s="1"/>
  <c r="N187" i="2"/>
  <c r="AS187" i="2" s="1"/>
  <c r="N117" i="2"/>
  <c r="AS117" i="2" s="1"/>
  <c r="N242" i="2"/>
  <c r="AS242" i="2" s="1"/>
  <c r="N267" i="2"/>
  <c r="AS267" i="2" s="1"/>
  <c r="N74" i="2"/>
  <c r="AS74" i="2" s="1"/>
  <c r="N232" i="2"/>
  <c r="AS232" i="2" s="1"/>
  <c r="L317" i="2"/>
  <c r="AQ317" i="2" s="1"/>
  <c r="L6" i="2"/>
  <c r="AQ6" i="2" s="1"/>
  <c r="L85" i="2"/>
  <c r="AQ85" i="2" s="1"/>
  <c r="L170" i="2"/>
  <c r="AQ170" i="2" s="1"/>
  <c r="L253" i="2"/>
  <c r="AQ253" i="2" s="1"/>
  <c r="L17" i="2"/>
  <c r="AQ17" i="2" s="1"/>
  <c r="L100" i="2"/>
  <c r="AQ100" i="2" s="1"/>
  <c r="L231" i="2"/>
  <c r="AQ231" i="2" s="1"/>
  <c r="L281" i="2"/>
  <c r="AQ281" i="2" s="1"/>
  <c r="L375" i="2"/>
  <c r="AQ375" i="2" s="1"/>
  <c r="L114" i="2"/>
  <c r="AQ114" i="2" s="1"/>
  <c r="L239" i="2"/>
  <c r="AQ239" i="2" s="1"/>
  <c r="L287" i="2"/>
  <c r="AQ287" i="2" s="1"/>
  <c r="L13" i="2"/>
  <c r="AQ13" i="2" s="1"/>
  <c r="L101" i="2"/>
  <c r="AQ101" i="2" s="1"/>
  <c r="L189" i="2"/>
  <c r="AQ189" i="2" s="1"/>
  <c r="L338" i="2"/>
  <c r="AQ338" i="2" s="1"/>
  <c r="L29" i="2"/>
  <c r="AQ29" i="2" s="1"/>
  <c r="L112" i="2"/>
  <c r="AQ112" i="2" s="1"/>
  <c r="L184" i="2"/>
  <c r="AQ184" i="2" s="1"/>
  <c r="L327" i="2"/>
  <c r="AQ327" i="2" s="1"/>
  <c r="L9" i="2"/>
  <c r="AQ9" i="2" s="1"/>
  <c r="K6" i="2"/>
  <c r="AP6" i="2" s="1"/>
  <c r="K375" i="2"/>
  <c r="AP375" i="2" s="1"/>
  <c r="K169" i="2"/>
  <c r="AP169" i="2" s="1"/>
  <c r="K70" i="2"/>
  <c r="AP70" i="2" s="1"/>
  <c r="K175" i="2"/>
  <c r="AP175" i="2" s="1"/>
  <c r="K228" i="2"/>
  <c r="AP228" i="2" s="1"/>
  <c r="K230" i="2"/>
  <c r="AP230" i="2" s="1"/>
  <c r="K161" i="2"/>
  <c r="AP161" i="2" s="1"/>
  <c r="K250" i="2"/>
  <c r="AP250" i="2" s="1"/>
  <c r="K82" i="2"/>
  <c r="AP82" i="2" s="1"/>
  <c r="K327" i="2"/>
  <c r="AP327" i="2" s="1"/>
  <c r="K282" i="2"/>
  <c r="AP282" i="2" s="1"/>
  <c r="K207" i="2"/>
  <c r="AP207" i="2" s="1"/>
  <c r="K355" i="2"/>
  <c r="AP355" i="2" s="1"/>
  <c r="K58" i="2"/>
  <c r="AP58" i="2" s="1"/>
  <c r="K356" i="2"/>
  <c r="AP356" i="2" s="1"/>
  <c r="K348" i="2"/>
  <c r="AP348" i="2" s="1"/>
  <c r="K298" i="2"/>
  <c r="AP298" i="2" s="1"/>
  <c r="K68" i="2"/>
  <c r="AP68" i="2" s="1"/>
  <c r="K12" i="2"/>
  <c r="AP12" i="2" s="1"/>
  <c r="K109" i="2"/>
  <c r="AP109" i="2" s="1"/>
  <c r="AR388" i="2"/>
  <c r="I6" i="2"/>
  <c r="AN6" i="2" s="1"/>
  <c r="I112" i="2"/>
  <c r="AN112" i="2" s="1"/>
  <c r="I34" i="2"/>
  <c r="AN34" i="2" s="1"/>
  <c r="I377" i="2"/>
  <c r="AN377" i="2" s="1"/>
  <c r="I73" i="2"/>
  <c r="AN73" i="2" s="1"/>
  <c r="I8" i="2"/>
  <c r="AN8" i="2" s="1"/>
  <c r="I69" i="2"/>
  <c r="AN69" i="2" s="1"/>
  <c r="I119" i="2"/>
  <c r="AN119" i="2" s="1"/>
  <c r="I42" i="2"/>
  <c r="AN42" i="2" s="1"/>
  <c r="I354" i="2"/>
  <c r="AN354" i="2" s="1"/>
  <c r="I363" i="2"/>
  <c r="AN363" i="2" s="1"/>
  <c r="I187" i="2"/>
  <c r="AN187" i="2" s="1"/>
  <c r="I74" i="2"/>
  <c r="AN74" i="2" s="1"/>
  <c r="I43" i="2"/>
  <c r="AN43" i="2" s="1"/>
  <c r="I369" i="2"/>
  <c r="AN369" i="2" s="1"/>
  <c r="I230" i="2"/>
  <c r="AN230" i="2" s="1"/>
  <c r="I111" i="2"/>
  <c r="AN111" i="2" s="1"/>
  <c r="I100" i="2"/>
  <c r="AN100" i="2" s="1"/>
  <c r="I383" i="2"/>
  <c r="AN383" i="2" s="1"/>
  <c r="I171" i="2"/>
  <c r="AN171" i="2" s="1"/>
  <c r="I20" i="2"/>
  <c r="AN20" i="2" s="1"/>
  <c r="P366" i="2"/>
  <c r="AU366" i="2" s="1"/>
  <c r="P324" i="2"/>
  <c r="AU324" i="2" s="1"/>
  <c r="P286" i="2"/>
  <c r="AU286" i="2" s="1"/>
  <c r="P242" i="2"/>
  <c r="AU242" i="2" s="1"/>
  <c r="P188" i="2"/>
  <c r="AU188" i="2" s="1"/>
  <c r="P340" i="2"/>
  <c r="AU340" i="2" s="1"/>
  <c r="P224" i="2"/>
  <c r="AU224" i="2" s="1"/>
  <c r="P170" i="2"/>
  <c r="AU170" i="2" s="1"/>
  <c r="P130" i="2"/>
  <c r="AU130" i="2" s="1"/>
  <c r="P84" i="2"/>
  <c r="AU84" i="2" s="1"/>
  <c r="P21" i="2"/>
  <c r="AU21" i="2" s="1"/>
  <c r="P329" i="2"/>
  <c r="AU329" i="2" s="1"/>
  <c r="P291" i="2"/>
  <c r="AU291" i="2" s="1"/>
  <c r="P252" i="2"/>
  <c r="AU252" i="2" s="1"/>
  <c r="P237" i="2"/>
  <c r="AU237" i="2" s="1"/>
  <c r="P138" i="2"/>
  <c r="AU138" i="2" s="1"/>
  <c r="P373" i="2"/>
  <c r="AU373" i="2" s="1"/>
  <c r="P367" i="2"/>
  <c r="AU367" i="2" s="1"/>
  <c r="P325" i="2"/>
  <c r="AU325" i="2" s="1"/>
  <c r="P272" i="2"/>
  <c r="AU272" i="2" s="1"/>
  <c r="P195" i="2"/>
  <c r="AU195" i="2" s="1"/>
  <c r="N299" i="2"/>
  <c r="AS299" i="2" s="1"/>
  <c r="N289" i="2"/>
  <c r="AS289" i="2" s="1"/>
  <c r="N146" i="2"/>
  <c r="AS146" i="2" s="1"/>
  <c r="N126" i="2"/>
  <c r="AS126" i="2" s="1"/>
  <c r="N53" i="2"/>
  <c r="AS53" i="2" s="1"/>
  <c r="N20" i="2"/>
  <c r="AS20" i="2" s="1"/>
  <c r="N273" i="2"/>
  <c r="AS273" i="2" s="1"/>
  <c r="N263" i="2"/>
  <c r="AS263" i="2" s="1"/>
  <c r="N210" i="2"/>
  <c r="AS210" i="2" s="1"/>
  <c r="N133" i="2"/>
  <c r="AS133" i="2" s="1"/>
  <c r="N195" i="2"/>
  <c r="AS195" i="2" s="1"/>
  <c r="N358" i="2"/>
  <c r="AS358" i="2" s="1"/>
  <c r="N379" i="2"/>
  <c r="AS379" i="2" s="1"/>
  <c r="N85" i="2"/>
  <c r="AS85" i="2" s="1"/>
  <c r="N238" i="2"/>
  <c r="AS238" i="2" s="1"/>
  <c r="N25" i="2"/>
  <c r="AS25" i="2" s="1"/>
  <c r="N324" i="2"/>
  <c r="AS324" i="2" s="1"/>
  <c r="N348" i="2"/>
  <c r="AS348" i="2" s="1"/>
  <c r="N161" i="2"/>
  <c r="AS161" i="2" s="1"/>
  <c r="N82" i="2"/>
  <c r="AS82" i="2" s="1"/>
  <c r="N73" i="2"/>
  <c r="AS73" i="2" s="1"/>
  <c r="N76" i="2"/>
  <c r="AS76" i="2" s="1"/>
  <c r="L136" i="2"/>
  <c r="AQ136" i="2" s="1"/>
  <c r="L191" i="2"/>
  <c r="AQ191" i="2" s="1"/>
  <c r="L300" i="2"/>
  <c r="AQ300" i="2" s="1"/>
  <c r="L25" i="2"/>
  <c r="AQ25" i="2" s="1"/>
  <c r="L68" i="2"/>
  <c r="AQ68" i="2" s="1"/>
  <c r="L210" i="2"/>
  <c r="AQ210" i="2" s="1"/>
  <c r="L350" i="2"/>
  <c r="AQ350" i="2" s="1"/>
  <c r="L42" i="2"/>
  <c r="AQ42" i="2" s="1"/>
  <c r="L141" i="2"/>
  <c r="AQ141" i="2" s="1"/>
  <c r="L212" i="2"/>
  <c r="AQ212" i="2" s="1"/>
  <c r="L331" i="2"/>
  <c r="AQ331" i="2" s="1"/>
  <c r="L71" i="2"/>
  <c r="AQ71" i="2" s="1"/>
  <c r="L148" i="2"/>
  <c r="AQ148" i="2" s="1"/>
  <c r="L203" i="2"/>
  <c r="AQ203" i="2" s="1"/>
  <c r="L299" i="2"/>
  <c r="AQ299" i="2" s="1"/>
  <c r="L49" i="2"/>
  <c r="AQ49" i="2" s="1"/>
  <c r="L159" i="2"/>
  <c r="AQ159" i="2" s="1"/>
  <c r="L224" i="2"/>
  <c r="AQ224" i="2" s="1"/>
  <c r="L329" i="2"/>
  <c r="AQ329" i="2" s="1"/>
  <c r="L54" i="2"/>
  <c r="AQ54" i="2" s="1"/>
  <c r="L169" i="2"/>
  <c r="AQ169" i="2" s="1"/>
  <c r="K270" i="2"/>
  <c r="AP270" i="2" s="1"/>
  <c r="K186" i="2"/>
  <c r="AP186" i="2" s="1"/>
  <c r="K239" i="2"/>
  <c r="AP239" i="2" s="1"/>
  <c r="K339" i="2"/>
  <c r="AP339" i="2" s="1"/>
  <c r="K97" i="2"/>
  <c r="AP97" i="2" s="1"/>
  <c r="K353" i="2"/>
  <c r="AP353" i="2" s="1"/>
  <c r="K345" i="2"/>
  <c r="AP345" i="2" s="1"/>
  <c r="K295" i="2"/>
  <c r="AP295" i="2" s="1"/>
  <c r="K105" i="2"/>
  <c r="AP105" i="2" s="1"/>
  <c r="K366" i="2"/>
  <c r="AP366" i="2" s="1"/>
  <c r="K73" i="2"/>
  <c r="AP73" i="2" s="1"/>
  <c r="K141" i="2"/>
  <c r="AP141" i="2" s="1"/>
  <c r="K139" i="2"/>
  <c r="AP139" i="2" s="1"/>
  <c r="K365" i="2"/>
  <c r="AP365" i="2" s="1"/>
  <c r="K100" i="2"/>
  <c r="AP100" i="2" s="1"/>
  <c r="K336" i="2"/>
  <c r="AP336" i="2" s="1"/>
  <c r="K255" i="2"/>
  <c r="AP255" i="2" s="1"/>
  <c r="K227" i="2"/>
  <c r="AP227" i="2" s="1"/>
  <c r="K198" i="2"/>
  <c r="AP198" i="2" s="1"/>
  <c r="K21" i="2"/>
  <c r="AP21" i="2" s="1"/>
  <c r="K112" i="2"/>
  <c r="AP112" i="2" s="1"/>
  <c r="I23" i="2"/>
  <c r="AN23" i="2" s="1"/>
  <c r="I367" i="2"/>
  <c r="AN367" i="2" s="1"/>
  <c r="I332" i="2"/>
  <c r="AN332" i="2" s="1"/>
  <c r="I285" i="2"/>
  <c r="AN285" i="2" s="1"/>
  <c r="I210" i="2"/>
  <c r="AN210" i="2" s="1"/>
  <c r="I158" i="2"/>
  <c r="AN158" i="2" s="1"/>
  <c r="I59" i="2"/>
  <c r="AN59" i="2" s="1"/>
  <c r="I19" i="2"/>
  <c r="AN19" i="2" s="1"/>
  <c r="I350" i="2"/>
  <c r="AN350" i="2" s="1"/>
  <c r="I293" i="2"/>
  <c r="AN293" i="2" s="1"/>
  <c r="I67" i="2"/>
  <c r="AN67" i="2" s="1"/>
  <c r="I83" i="2"/>
  <c r="AN83" i="2" s="1"/>
  <c r="I35" i="2"/>
  <c r="AN35" i="2" s="1"/>
  <c r="I32" i="2"/>
  <c r="AN32" i="2" s="1"/>
  <c r="I345" i="2"/>
  <c r="AN345" i="2" s="1"/>
  <c r="I66" i="2"/>
  <c r="AN66" i="2" s="1"/>
  <c r="I22" i="2"/>
  <c r="AN22" i="2" s="1"/>
  <c r="I375" i="2"/>
  <c r="AN375" i="2" s="1"/>
  <c r="I371" i="2"/>
  <c r="AN371" i="2" s="1"/>
  <c r="I287" i="2"/>
  <c r="AN287" i="2" s="1"/>
  <c r="I267" i="2"/>
  <c r="AN267" i="2" s="1"/>
  <c r="I232" i="2"/>
  <c r="AN232" i="2" s="1"/>
  <c r="P136" i="2"/>
  <c r="AU136" i="2" s="1"/>
  <c r="P78" i="2"/>
  <c r="AU78" i="2" s="1"/>
  <c r="P57" i="2"/>
  <c r="AU57" i="2" s="1"/>
  <c r="P58" i="2"/>
  <c r="AU58" i="2" s="1"/>
  <c r="P331" i="2"/>
  <c r="AU331" i="2" s="1"/>
  <c r="P8" i="2"/>
  <c r="AU8" i="2" s="1"/>
  <c r="P75" i="2"/>
  <c r="AU75" i="2" s="1"/>
  <c r="P342" i="2"/>
  <c r="AU342" i="2" s="1"/>
  <c r="P297" i="2"/>
  <c r="AU297" i="2" s="1"/>
  <c r="P255" i="2"/>
  <c r="AU255" i="2" s="1"/>
  <c r="P197" i="2"/>
  <c r="AU197" i="2" s="1"/>
  <c r="P68" i="2"/>
  <c r="AU68" i="2" s="1"/>
  <c r="P74" i="2"/>
  <c r="AU74" i="2" s="1"/>
  <c r="P31" i="2"/>
  <c r="AU31" i="2" s="1"/>
  <c r="P377" i="2"/>
  <c r="AU377" i="2" s="1"/>
  <c r="P295" i="2"/>
  <c r="AU295" i="2" s="1"/>
  <c r="P139" i="2"/>
  <c r="AU139" i="2" s="1"/>
  <c r="P81" i="2"/>
  <c r="AU81" i="2" s="1"/>
  <c r="P141" i="2"/>
  <c r="AU141" i="2" s="1"/>
  <c r="P32" i="2"/>
  <c r="AU32" i="2" s="1"/>
  <c r="P370" i="2"/>
  <c r="AU370" i="2" s="1"/>
  <c r="P20" i="2"/>
  <c r="AU20" i="2" s="1"/>
  <c r="N295" i="2"/>
  <c r="AS295" i="2" s="1"/>
  <c r="N246" i="2"/>
  <c r="AS246" i="2" s="1"/>
  <c r="N228" i="2"/>
  <c r="AS228" i="2" s="1"/>
  <c r="N149" i="2"/>
  <c r="AS149" i="2" s="1"/>
  <c r="N198" i="2"/>
  <c r="AS198" i="2" s="1"/>
  <c r="N239" i="2"/>
  <c r="AS239" i="2" s="1"/>
  <c r="N264" i="2"/>
  <c r="AS264" i="2" s="1"/>
  <c r="N103" i="2"/>
  <c r="AS103" i="2" s="1"/>
  <c r="N43" i="2"/>
  <c r="AS43" i="2" s="1"/>
  <c r="N164" i="2"/>
  <c r="AS164" i="2" s="1"/>
  <c r="N350" i="2"/>
  <c r="AS350" i="2" s="1"/>
  <c r="N349" i="2"/>
  <c r="AS349" i="2" s="1"/>
  <c r="N183" i="2"/>
  <c r="AS183" i="2" s="1"/>
  <c r="N121" i="2"/>
  <c r="AS121" i="2" s="1"/>
  <c r="N84" i="2"/>
  <c r="AS84" i="2" s="1"/>
  <c r="N173" i="2"/>
  <c r="AS173" i="2" s="1"/>
  <c r="N325" i="2"/>
  <c r="AS325" i="2" s="1"/>
  <c r="N310" i="2"/>
  <c r="AS310" i="2" s="1"/>
  <c r="N221" i="2"/>
  <c r="AS221" i="2" s="1"/>
  <c r="N172" i="2"/>
  <c r="AS172" i="2" s="1"/>
  <c r="N48" i="2"/>
  <c r="AS48" i="2" s="1"/>
  <c r="L262" i="2"/>
  <c r="AQ262" i="2" s="1"/>
  <c r="L343" i="2"/>
  <c r="AQ343" i="2" s="1"/>
  <c r="L83" i="2"/>
  <c r="AQ83" i="2" s="1"/>
  <c r="L160" i="2"/>
  <c r="AQ160" i="2" s="1"/>
  <c r="L233" i="2"/>
  <c r="AQ233" i="2" s="1"/>
  <c r="L384" i="2"/>
  <c r="AQ384" i="2" s="1"/>
  <c r="L91" i="2"/>
  <c r="AQ91" i="2" s="1"/>
  <c r="L171" i="2"/>
  <c r="AQ171" i="2" s="1"/>
  <c r="L236" i="2"/>
  <c r="AQ236" i="2" s="1"/>
  <c r="L328" i="2"/>
  <c r="AQ328" i="2" s="1"/>
  <c r="L50" i="2"/>
  <c r="AQ50" i="2" s="1"/>
  <c r="L179" i="2"/>
  <c r="AQ179" i="2" s="1"/>
  <c r="L244" i="2"/>
  <c r="AQ244" i="2" s="1"/>
  <c r="L355" i="2"/>
  <c r="AQ355" i="2" s="1"/>
  <c r="L99" i="2"/>
  <c r="AQ99" i="2" s="1"/>
  <c r="L130" i="2"/>
  <c r="AQ130" i="2" s="1"/>
  <c r="L289" i="2"/>
  <c r="AQ289" i="2" s="1"/>
  <c r="L365" i="2"/>
  <c r="AQ365" i="2" s="1"/>
  <c r="L106" i="2"/>
  <c r="AQ106" i="2" s="1"/>
  <c r="L190" i="2"/>
  <c r="AQ190" i="2" s="1"/>
  <c r="L267" i="2"/>
  <c r="AQ267" i="2" s="1"/>
  <c r="L16" i="2"/>
  <c r="AQ16" i="2" s="1"/>
  <c r="K323" i="2"/>
  <c r="AP323" i="2" s="1"/>
  <c r="K247" i="2"/>
  <c r="AP247" i="2" s="1"/>
  <c r="K240" i="2"/>
  <c r="AP240" i="2" s="1"/>
  <c r="K54" i="2"/>
  <c r="AP54" i="2" s="1"/>
  <c r="K125" i="2"/>
  <c r="AP125" i="2" s="1"/>
  <c r="K25" i="2"/>
  <c r="AP25" i="2" s="1"/>
  <c r="K367" i="2"/>
  <c r="AP367" i="2" s="1"/>
  <c r="K357" i="2"/>
  <c r="AP357" i="2" s="1"/>
  <c r="K158" i="2"/>
  <c r="AP158" i="2" s="1"/>
  <c r="K61" i="2"/>
  <c r="AP61" i="2" s="1"/>
  <c r="K176" i="2"/>
  <c r="AP176" i="2" s="1"/>
  <c r="K210" i="2"/>
  <c r="AP210" i="2" s="1"/>
  <c r="K212" i="2"/>
  <c r="AP212" i="2" s="1"/>
  <c r="K145" i="2"/>
  <c r="AP145" i="2" s="1"/>
  <c r="K224" i="2"/>
  <c r="AP224" i="2" s="1"/>
  <c r="K66" i="2"/>
  <c r="AP66" i="2" s="1"/>
  <c r="K340" i="2"/>
  <c r="AP340" i="2" s="1"/>
  <c r="K316" i="2"/>
  <c r="AP316" i="2" s="1"/>
  <c r="K259" i="2"/>
  <c r="AP259" i="2" s="1"/>
  <c r="K74" i="2"/>
  <c r="AP74" i="2" s="1"/>
  <c r="K231" i="2"/>
  <c r="AP231" i="2" s="1"/>
  <c r="K44" i="2"/>
  <c r="AP44" i="2" s="1"/>
  <c r="I48" i="2"/>
  <c r="AN48" i="2" s="1"/>
  <c r="I21" i="2"/>
  <c r="AN21" i="2" s="1"/>
  <c r="I364" i="2"/>
  <c r="AN364" i="2" s="1"/>
  <c r="I301" i="2"/>
  <c r="AN301" i="2" s="1"/>
  <c r="I331" i="2"/>
  <c r="AN331" i="2" s="1"/>
  <c r="I14" i="2"/>
  <c r="AN14" i="2" s="1"/>
  <c r="I47" i="2"/>
  <c r="AN47" i="2" s="1"/>
  <c r="I65" i="2"/>
  <c r="AN65" i="2" s="1"/>
  <c r="I336" i="2"/>
  <c r="AN336" i="2" s="1"/>
  <c r="I30" i="2"/>
  <c r="AN30" i="2" s="1"/>
  <c r="I353" i="2"/>
  <c r="AN353" i="2" s="1"/>
  <c r="I60" i="2"/>
  <c r="AN60" i="2" s="1"/>
  <c r="I129" i="2"/>
  <c r="AN129" i="2" s="1"/>
  <c r="I27" i="2"/>
  <c r="AN27" i="2" s="1"/>
  <c r="I344" i="2"/>
  <c r="AN344" i="2" s="1"/>
  <c r="I299" i="2"/>
  <c r="AN299" i="2" s="1"/>
  <c r="I84" i="2"/>
  <c r="AN84" i="2" s="1"/>
  <c r="I28" i="2"/>
  <c r="AN28" i="2" s="1"/>
  <c r="I370" i="2"/>
  <c r="AN370" i="2" s="1"/>
  <c r="I343" i="2"/>
  <c r="AN343" i="2" s="1"/>
  <c r="I15" i="2"/>
  <c r="AN15" i="2" s="1"/>
  <c r="I10" i="2"/>
  <c r="AN10" i="2" s="1"/>
  <c r="P103" i="2"/>
  <c r="AU103" i="2" s="1"/>
  <c r="P19" i="2"/>
  <c r="AU19" i="2" s="1"/>
  <c r="P348" i="2"/>
  <c r="AU348" i="2" s="1"/>
  <c r="P326" i="2"/>
  <c r="AU326" i="2" s="1"/>
  <c r="P265" i="2"/>
  <c r="AU265" i="2" s="1"/>
  <c r="P23" i="2"/>
  <c r="AU23" i="2" s="1"/>
  <c r="P339" i="2"/>
  <c r="AU339" i="2" s="1"/>
  <c r="P247" i="2"/>
  <c r="AU247" i="2" s="1"/>
  <c r="P199" i="2"/>
  <c r="AU199" i="2" s="1"/>
  <c r="P166" i="2"/>
  <c r="AU166" i="2" s="1"/>
  <c r="P112" i="2"/>
  <c r="AU112" i="2" s="1"/>
  <c r="P25" i="2"/>
  <c r="AU25" i="2" s="1"/>
  <c r="P375" i="2"/>
  <c r="AU375" i="2" s="1"/>
  <c r="P335" i="2"/>
  <c r="AU335" i="2" s="1"/>
  <c r="P285" i="2"/>
  <c r="AU285" i="2" s="1"/>
  <c r="P214" i="2"/>
  <c r="AU214" i="2" s="1"/>
  <c r="P91" i="2"/>
  <c r="AU91" i="2" s="1"/>
  <c r="P49" i="2"/>
  <c r="AU49" i="2" s="1"/>
  <c r="P362" i="2"/>
  <c r="AU362" i="2" s="1"/>
  <c r="P349" i="2"/>
  <c r="AU349" i="2" s="1"/>
  <c r="P280" i="2"/>
  <c r="AU280" i="2" s="1"/>
  <c r="P12" i="2"/>
  <c r="AU12" i="2" s="1"/>
  <c r="N254" i="2"/>
  <c r="AS254" i="2" s="1"/>
  <c r="N243" i="2"/>
  <c r="AS243" i="2" s="1"/>
  <c r="N225" i="2"/>
  <c r="AS225" i="2" s="1"/>
  <c r="N150" i="2"/>
  <c r="AS150" i="2" s="1"/>
  <c r="N125" i="2"/>
  <c r="AS125" i="2" s="1"/>
  <c r="N208" i="2"/>
  <c r="AS208" i="2" s="1"/>
  <c r="N366" i="2"/>
  <c r="AS366" i="2" s="1"/>
  <c r="N100" i="2"/>
  <c r="AS100" i="2" s="1"/>
  <c r="N41" i="2"/>
  <c r="AS41" i="2" s="1"/>
  <c r="N70" i="2"/>
  <c r="AS70" i="2" s="1"/>
  <c r="N340" i="2"/>
  <c r="AS340" i="2" s="1"/>
  <c r="N335" i="2"/>
  <c r="AS335" i="2" s="1"/>
  <c r="N180" i="2"/>
  <c r="AS180" i="2" s="1"/>
  <c r="N102" i="2"/>
  <c r="AS102" i="2" s="1"/>
  <c r="N89" i="2"/>
  <c r="AS89" i="2" s="1"/>
  <c r="N79" i="2"/>
  <c r="AS79" i="2" s="1"/>
  <c r="N272" i="2"/>
  <c r="AS272" i="2" s="1"/>
  <c r="N262" i="2"/>
  <c r="AS262" i="2" s="1"/>
  <c r="N185" i="2"/>
  <c r="AS185" i="2" s="1"/>
  <c r="N165" i="2"/>
  <c r="AS165" i="2" s="1"/>
  <c r="N205" i="2"/>
  <c r="AS205" i="2" s="1"/>
  <c r="L146" i="2"/>
  <c r="AQ146" i="2" s="1"/>
  <c r="L241" i="2"/>
  <c r="AQ241" i="2" s="1"/>
  <c r="L348" i="2"/>
  <c r="AQ348" i="2" s="1"/>
  <c r="L61" i="2"/>
  <c r="AQ61" i="2" s="1"/>
  <c r="L156" i="2"/>
  <c r="AQ156" i="2" s="1"/>
  <c r="L252" i="2"/>
  <c r="AQ252" i="2" s="1"/>
  <c r="L362" i="2"/>
  <c r="AQ362" i="2" s="1"/>
  <c r="L70" i="2"/>
  <c r="AQ70" i="2" s="1"/>
  <c r="L151" i="2"/>
  <c r="AQ151" i="2" s="1"/>
  <c r="L232" i="2"/>
  <c r="AQ232" i="2" s="1"/>
  <c r="L373" i="2"/>
  <c r="AQ373" i="2" s="1"/>
  <c r="L73" i="2"/>
  <c r="AQ73" i="2" s="1"/>
  <c r="L158" i="2"/>
  <c r="AQ158" i="2" s="1"/>
  <c r="L254" i="2"/>
  <c r="AQ254" i="2" s="1"/>
  <c r="L353" i="2"/>
  <c r="AQ353" i="2" s="1"/>
  <c r="L94" i="2"/>
  <c r="AQ94" i="2" s="1"/>
  <c r="L217" i="2"/>
  <c r="AQ217" i="2" s="1"/>
  <c r="L264" i="2"/>
  <c r="AQ264" i="2" s="1"/>
  <c r="L376" i="2"/>
  <c r="AQ376" i="2" s="1"/>
  <c r="L82" i="2"/>
  <c r="AQ82" i="2" s="1"/>
  <c r="L178" i="2"/>
  <c r="AQ178" i="2" s="1"/>
  <c r="K274" i="2"/>
  <c r="AP274" i="2" s="1"/>
  <c r="K244" i="2"/>
  <c r="AP244" i="2" s="1"/>
  <c r="K205" i="2"/>
  <c r="AP205" i="2" s="1"/>
  <c r="K19" i="2"/>
  <c r="AP19" i="2" s="1"/>
  <c r="K103" i="2"/>
  <c r="AP103" i="2" s="1"/>
  <c r="K7" i="2"/>
  <c r="AP7" i="2" s="1"/>
  <c r="K361" i="2"/>
  <c r="AP361" i="2" s="1"/>
  <c r="K347" i="2"/>
  <c r="AP347" i="2" s="1"/>
  <c r="K111" i="2"/>
  <c r="AP111" i="2" s="1"/>
  <c r="K52" i="2"/>
  <c r="AP52" i="2" s="1"/>
  <c r="K41" i="2"/>
  <c r="AP41" i="2" s="1"/>
  <c r="K130" i="2"/>
  <c r="AP130" i="2" s="1"/>
  <c r="K378" i="2"/>
  <c r="AP378" i="2" s="1"/>
  <c r="K233" i="2"/>
  <c r="AP233" i="2" s="1"/>
  <c r="K106" i="2"/>
  <c r="AP106" i="2" s="1"/>
  <c r="K184" i="2"/>
  <c r="AP184" i="2" s="1"/>
  <c r="K217" i="2"/>
  <c r="AP217" i="2" s="1"/>
  <c r="K195" i="2"/>
  <c r="AP195" i="2" s="1"/>
  <c r="K192" i="2"/>
  <c r="AP192" i="2" s="1"/>
  <c r="K288" i="2"/>
  <c r="AP288" i="2" s="1"/>
  <c r="K118" i="2"/>
  <c r="AP118" i="2" s="1"/>
  <c r="AO385" i="2"/>
  <c r="I349" i="2"/>
  <c r="AN349" i="2" s="1"/>
  <c r="I335" i="2"/>
  <c r="AN335" i="2" s="1"/>
  <c r="I265" i="2"/>
  <c r="AN265" i="2" s="1"/>
  <c r="I234" i="2"/>
  <c r="AN234" i="2" s="1"/>
  <c r="I36" i="2"/>
  <c r="AN36" i="2" s="1"/>
  <c r="I17" i="2"/>
  <c r="AN17" i="2" s="1"/>
  <c r="I328" i="2"/>
  <c r="AN328" i="2" s="1"/>
  <c r="I326" i="2"/>
  <c r="AN326" i="2" s="1"/>
  <c r="I270" i="2"/>
  <c r="AN270" i="2" s="1"/>
  <c r="I134" i="2"/>
  <c r="AN134" i="2" s="1"/>
  <c r="I68" i="2"/>
  <c r="AN68" i="2" s="1"/>
  <c r="I25" i="2"/>
  <c r="AN25" i="2" s="1"/>
  <c r="I362" i="2"/>
  <c r="AN362" i="2" s="1"/>
  <c r="I324" i="2"/>
  <c r="AN324" i="2" s="1"/>
  <c r="I249" i="2"/>
  <c r="AN249" i="2" s="1"/>
  <c r="I380" i="2"/>
  <c r="AN380" i="2" s="1"/>
  <c r="I359" i="2"/>
  <c r="AN359" i="2" s="1"/>
  <c r="I337" i="2"/>
  <c r="AN337" i="2" s="1"/>
  <c r="I280" i="2"/>
  <c r="AN280" i="2" s="1"/>
  <c r="I248" i="2"/>
  <c r="AN248" i="2" s="1"/>
  <c r="I114" i="2"/>
  <c r="AN114" i="2" s="1"/>
  <c r="P354" i="2"/>
  <c r="AU354" i="2" s="1"/>
  <c r="P341" i="2"/>
  <c r="AU341" i="2" s="1"/>
  <c r="P257" i="2"/>
  <c r="AU257" i="2" s="1"/>
  <c r="P232" i="2"/>
  <c r="AU232" i="2" s="1"/>
  <c r="P240" i="2"/>
  <c r="AU240" i="2" s="1"/>
  <c r="P328" i="2"/>
  <c r="AU328" i="2" s="1"/>
  <c r="P243" i="2"/>
  <c r="AU243" i="2" s="1"/>
  <c r="P158" i="2"/>
  <c r="AU158" i="2" s="1"/>
  <c r="P182" i="2"/>
  <c r="AU182" i="2" s="1"/>
  <c r="P72" i="2"/>
  <c r="AU72" i="2" s="1"/>
  <c r="P41" i="2"/>
  <c r="AU41" i="2" s="1"/>
  <c r="P353" i="2"/>
  <c r="AU353" i="2" s="1"/>
  <c r="P274" i="2"/>
  <c r="AU274" i="2" s="1"/>
  <c r="P269" i="2"/>
  <c r="AU269" i="2" s="1"/>
  <c r="P216" i="2"/>
  <c r="AU216" i="2" s="1"/>
  <c r="P125" i="2"/>
  <c r="AU125" i="2" s="1"/>
  <c r="P360" i="2"/>
  <c r="AU360" i="2" s="1"/>
  <c r="P355" i="2"/>
  <c r="AU355" i="2" s="1"/>
  <c r="P302" i="2"/>
  <c r="AU302" i="2" s="1"/>
  <c r="P262" i="2"/>
  <c r="AU262" i="2" s="1"/>
  <c r="P183" i="2"/>
  <c r="AU183" i="2" s="1"/>
  <c r="P16" i="2"/>
  <c r="AU16" i="2" s="1"/>
  <c r="N339" i="2"/>
  <c r="AS339" i="2" s="1"/>
  <c r="N284" i="2"/>
  <c r="AS284" i="2" s="1"/>
  <c r="N13" i="2"/>
  <c r="AS13" i="2" s="1"/>
  <c r="N219" i="2"/>
  <c r="AS219" i="2" s="1"/>
  <c r="N115" i="2"/>
  <c r="AS115" i="2" s="1"/>
  <c r="N282" i="2"/>
  <c r="AS282" i="2" s="1"/>
  <c r="N319" i="2"/>
  <c r="AS319" i="2" s="1"/>
  <c r="N129" i="2"/>
  <c r="AS129" i="2" s="1"/>
  <c r="N108" i="2"/>
  <c r="AS108" i="2" s="1"/>
  <c r="N37" i="2"/>
  <c r="AS37" i="2" s="1"/>
  <c r="N362" i="2"/>
  <c r="AS362" i="2" s="1"/>
  <c r="N193" i="2"/>
  <c r="AS193" i="2" s="1"/>
  <c r="N127" i="2"/>
  <c r="AS127" i="2" s="1"/>
  <c r="N98" i="2"/>
  <c r="AS98" i="2" s="1"/>
  <c r="N28" i="2"/>
  <c r="AS28" i="2" s="1"/>
  <c r="N369" i="2"/>
  <c r="AS369" i="2" s="1"/>
  <c r="N347" i="2"/>
  <c r="AS347" i="2" s="1"/>
  <c r="N31" i="2"/>
  <c r="AS31" i="2" s="1"/>
  <c r="N181" i="2"/>
  <c r="AS181" i="2" s="1"/>
  <c r="N211" i="2"/>
  <c r="AS211" i="2" s="1"/>
  <c r="L211" i="2"/>
  <c r="AQ211" i="2" s="1"/>
  <c r="L290" i="2"/>
  <c r="AQ290" i="2" s="1"/>
  <c r="L40" i="2"/>
  <c r="AQ40" i="2" s="1"/>
  <c r="L72" i="2"/>
  <c r="AQ72" i="2" s="1"/>
  <c r="L223" i="2"/>
  <c r="AQ223" i="2" s="1"/>
  <c r="L337" i="2"/>
  <c r="AQ337" i="2" s="1"/>
  <c r="L28" i="2"/>
  <c r="AQ28" i="2" s="1"/>
  <c r="L161" i="2"/>
  <c r="AQ161" i="2" s="1"/>
  <c r="L216" i="2"/>
  <c r="AQ216" i="2" s="1"/>
  <c r="L274" i="2"/>
  <c r="AQ274" i="2" s="1"/>
  <c r="L20" i="2"/>
  <c r="AQ20" i="2" s="1"/>
  <c r="L168" i="2"/>
  <c r="AQ168" i="2" s="1"/>
  <c r="L225" i="2"/>
  <c r="AQ225" i="2" s="1"/>
  <c r="L310" i="2"/>
  <c r="AQ310" i="2" s="1"/>
  <c r="L26" i="2"/>
  <c r="AQ26" i="2" s="1"/>
  <c r="L104" i="2"/>
  <c r="AQ104" i="2" s="1"/>
  <c r="L247" i="2"/>
  <c r="AQ247" i="2" s="1"/>
  <c r="L349" i="2"/>
  <c r="AQ349" i="2" s="1"/>
  <c r="L41" i="2"/>
  <c r="AQ41" i="2" s="1"/>
  <c r="L173" i="2"/>
  <c r="AQ173" i="2" s="1"/>
  <c r="L183" i="2"/>
  <c r="AQ183" i="2" s="1"/>
  <c r="K338" i="2"/>
  <c r="AP338" i="2" s="1"/>
  <c r="K285" i="2"/>
  <c r="AP285" i="2" s="1"/>
  <c r="K283" i="2"/>
  <c r="AP283" i="2" s="1"/>
  <c r="K140" i="2"/>
  <c r="AP140" i="2" s="1"/>
  <c r="K320" i="2"/>
  <c r="AP320" i="2" s="1"/>
  <c r="K98" i="2"/>
  <c r="AP98" i="2" s="1"/>
  <c r="K146" i="2"/>
  <c r="AP146" i="2" s="1"/>
  <c r="K156" i="2"/>
  <c r="AP156" i="2" s="1"/>
  <c r="K310" i="2"/>
  <c r="AP310" i="2" s="1"/>
  <c r="K117" i="2"/>
  <c r="AP117" i="2" s="1"/>
  <c r="K251" i="2"/>
  <c r="AP251" i="2" s="1"/>
  <c r="K269" i="2"/>
  <c r="AP269" i="2" s="1"/>
  <c r="K138" i="2"/>
  <c r="AP138" i="2" s="1"/>
  <c r="K135" i="2"/>
  <c r="AP135" i="2" s="1"/>
  <c r="K107" i="2"/>
  <c r="AP107" i="2" s="1"/>
  <c r="K26" i="2"/>
  <c r="AP26" i="2" s="1"/>
  <c r="K296" i="2"/>
  <c r="AP296" i="2" s="1"/>
  <c r="K261" i="2"/>
  <c r="AP261" i="2" s="1"/>
  <c r="K223" i="2"/>
  <c r="AP223" i="2" s="1"/>
  <c r="K35" i="2"/>
  <c r="AP35" i="2" s="1"/>
  <c r="K119" i="2"/>
  <c r="AP119" i="2" s="1"/>
  <c r="K17" i="2"/>
  <c r="AP17" i="2" s="1"/>
  <c r="AR386" i="2"/>
  <c r="AR385" i="2"/>
  <c r="I182" i="2"/>
  <c r="AN182" i="2" s="1"/>
  <c r="I165" i="2"/>
  <c r="AN165" i="2" s="1"/>
  <c r="I166" i="2"/>
  <c r="AN166" i="2" s="1"/>
  <c r="I79" i="2"/>
  <c r="AN79" i="2" s="1"/>
  <c r="I53" i="2"/>
  <c r="AN53" i="2" s="1"/>
  <c r="I357" i="2"/>
  <c r="AN357" i="2" s="1"/>
  <c r="I206" i="2"/>
  <c r="AN206" i="2" s="1"/>
  <c r="I135" i="2"/>
  <c r="AN135" i="2" s="1"/>
  <c r="I109" i="2"/>
  <c r="AN109" i="2" s="1"/>
  <c r="I87" i="2"/>
  <c r="AN87" i="2" s="1"/>
  <c r="I339" i="2"/>
  <c r="AN339" i="2" s="1"/>
  <c r="I238" i="2"/>
  <c r="AN238" i="2" s="1"/>
  <c r="I217" i="2"/>
  <c r="AN217" i="2" s="1"/>
  <c r="I143" i="2"/>
  <c r="AN143" i="2" s="1"/>
  <c r="I150" i="2"/>
  <c r="AN150" i="2" s="1"/>
  <c r="I341" i="2"/>
  <c r="AN341" i="2" s="1"/>
  <c r="I185" i="2"/>
  <c r="AN185" i="2" s="1"/>
  <c r="I172" i="2"/>
  <c r="AN172" i="2" s="1"/>
  <c r="I169" i="2"/>
  <c r="AN169" i="2" s="1"/>
  <c r="I78" i="2"/>
  <c r="AN78" i="2" s="1"/>
  <c r="I149" i="2"/>
  <c r="AN149" i="2" s="1"/>
  <c r="I94" i="2"/>
  <c r="AN94" i="2" s="1"/>
  <c r="P66" i="2"/>
  <c r="AU66" i="2" s="1"/>
  <c r="P50" i="2"/>
  <c r="AU50" i="2" s="1"/>
  <c r="P27" i="2"/>
  <c r="AU27" i="2" s="1"/>
  <c r="P344" i="2"/>
  <c r="AU344" i="2" s="1"/>
  <c r="P260" i="2"/>
  <c r="AU260" i="2" s="1"/>
  <c r="P61" i="2"/>
  <c r="AU61" i="2" s="1"/>
  <c r="P330" i="2"/>
  <c r="AU330" i="2" s="1"/>
  <c r="P284" i="2"/>
  <c r="AU284" i="2" s="1"/>
  <c r="P225" i="2"/>
  <c r="AU225" i="2" s="1"/>
  <c r="P185" i="2"/>
  <c r="AU185" i="2" s="1"/>
  <c r="P113" i="2"/>
  <c r="AU113" i="2" s="1"/>
  <c r="P15" i="2"/>
  <c r="AU15" i="2" s="1"/>
  <c r="P368" i="2"/>
  <c r="AU368" i="2" s="1"/>
  <c r="P363" i="2"/>
  <c r="AU363" i="2" s="1"/>
  <c r="P282" i="2"/>
  <c r="AU282" i="2" s="1"/>
  <c r="P22" i="2"/>
  <c r="AU22" i="2" s="1"/>
  <c r="P69" i="2"/>
  <c r="AU69" i="2" s="1"/>
  <c r="P115" i="2"/>
  <c r="AU115" i="2" s="1"/>
  <c r="P29" i="2"/>
  <c r="AU29" i="2" s="1"/>
  <c r="P358" i="2"/>
  <c r="AU358" i="2" s="1"/>
  <c r="P317" i="2"/>
  <c r="AU317" i="2" s="1"/>
  <c r="N8" i="2"/>
  <c r="AS8" i="2" s="1"/>
  <c r="N378" i="2"/>
  <c r="AS378" i="2" s="1"/>
  <c r="N119" i="2"/>
  <c r="AS119" i="2" s="1"/>
  <c r="N65" i="2"/>
  <c r="AS65" i="2" s="1"/>
  <c r="N341" i="2"/>
  <c r="AS341" i="2" s="1"/>
  <c r="N365" i="2"/>
  <c r="AS365" i="2" s="1"/>
  <c r="N199" i="2"/>
  <c r="AS199" i="2" s="1"/>
  <c r="N138" i="2"/>
  <c r="AS138" i="2" s="1"/>
  <c r="N104" i="2"/>
  <c r="AS104" i="2" s="1"/>
  <c r="N179" i="2"/>
  <c r="AS179" i="2" s="1"/>
  <c r="N293" i="2"/>
  <c r="AS293" i="2" s="1"/>
  <c r="N283" i="2"/>
  <c r="AS283" i="2" s="1"/>
  <c r="N201" i="2"/>
  <c r="AS201" i="2" s="1"/>
  <c r="N184" i="2"/>
  <c r="AS184" i="2" s="1"/>
  <c r="N249" i="2"/>
  <c r="AS249" i="2" s="1"/>
  <c r="N240" i="2"/>
  <c r="AS240" i="2" s="1"/>
  <c r="N14" i="2"/>
  <c r="AS14" i="2" s="1"/>
  <c r="N67" i="2"/>
  <c r="AS67" i="2" s="1"/>
  <c r="N40" i="2"/>
  <c r="AS40" i="2" s="1"/>
  <c r="N158" i="2"/>
  <c r="AS158" i="2" s="1"/>
  <c r="L363" i="2"/>
  <c r="AQ363" i="2" s="1"/>
  <c r="L107" i="2"/>
  <c r="AQ107" i="2" s="1"/>
  <c r="L122" i="2"/>
  <c r="AQ122" i="2" s="1"/>
  <c r="L237" i="2"/>
  <c r="AQ237" i="2" s="1"/>
  <c r="L342" i="2"/>
  <c r="AQ342" i="2" s="1"/>
  <c r="L34" i="2"/>
  <c r="AQ34" i="2" s="1"/>
  <c r="L129" i="2"/>
  <c r="AQ129" i="2" s="1"/>
  <c r="L259" i="2"/>
  <c r="AQ259" i="2" s="1"/>
  <c r="L332" i="2"/>
  <c r="AQ332" i="2" s="1"/>
  <c r="L55" i="2"/>
  <c r="AQ55" i="2" s="1"/>
  <c r="L140" i="2"/>
  <c r="AQ140" i="2" s="1"/>
  <c r="L265" i="2"/>
  <c r="AQ265" i="2" s="1"/>
  <c r="L377" i="2"/>
  <c r="AQ377" i="2" s="1"/>
  <c r="L137" i="2"/>
  <c r="AQ137" i="2" s="1"/>
  <c r="L135" i="2"/>
  <c r="AQ135" i="2" s="1"/>
  <c r="L214" i="2"/>
  <c r="AQ214" i="2" s="1"/>
  <c r="L356" i="2"/>
  <c r="AQ356" i="2" s="1"/>
  <c r="L133" i="2"/>
  <c r="AQ133" i="2" s="1"/>
  <c r="L142" i="2"/>
  <c r="AQ142" i="2" s="1"/>
  <c r="L271" i="2"/>
  <c r="AQ271" i="2" s="1"/>
  <c r="L335" i="2"/>
  <c r="AQ335" i="2" s="1"/>
  <c r="L75" i="2"/>
  <c r="AQ75" i="2" s="1"/>
  <c r="K173" i="2"/>
  <c r="AP173" i="2" s="1"/>
  <c r="K171" i="2"/>
  <c r="AP171" i="2" s="1"/>
  <c r="K168" i="2"/>
  <c r="AP168" i="2" s="1"/>
  <c r="K71" i="2"/>
  <c r="AP71" i="2" s="1"/>
  <c r="K383" i="2"/>
  <c r="AP383" i="2" s="1"/>
  <c r="K292" i="2"/>
  <c r="AP292" i="2" s="1"/>
  <c r="K262" i="2"/>
  <c r="AP262" i="2" s="1"/>
  <c r="K232" i="2"/>
  <c r="AP232" i="2" s="1"/>
  <c r="K8" i="2"/>
  <c r="AP8" i="2" s="1"/>
  <c r="K83" i="2"/>
  <c r="AP83" i="2" s="1"/>
  <c r="K9" i="2"/>
  <c r="AP9" i="2" s="1"/>
  <c r="K380" i="2"/>
  <c r="AP380" i="2" s="1"/>
  <c r="K331" i="2"/>
  <c r="AP331" i="2" s="1"/>
  <c r="K94" i="2"/>
  <c r="AP94" i="2" s="1"/>
  <c r="K34" i="2"/>
  <c r="AP34" i="2" s="1"/>
  <c r="K131" i="2"/>
  <c r="AP131" i="2" s="1"/>
  <c r="K187" i="2"/>
  <c r="AP187" i="2" s="1"/>
  <c r="K133" i="2"/>
  <c r="AP133" i="2" s="1"/>
  <c r="K181" i="2"/>
  <c r="AP181" i="2" s="1"/>
  <c r="K143" i="2"/>
  <c r="AP143" i="2" s="1"/>
  <c r="K47" i="2"/>
  <c r="AP47" i="2" s="1"/>
  <c r="I89" i="2"/>
  <c r="AN89" i="2" s="1"/>
  <c r="I71" i="2"/>
  <c r="AN71" i="2" s="1"/>
  <c r="I76" i="2"/>
  <c r="AN76" i="2" s="1"/>
  <c r="I361" i="2"/>
  <c r="AN361" i="2" s="1"/>
  <c r="I241" i="2"/>
  <c r="AN241" i="2" s="1"/>
  <c r="I121" i="2"/>
  <c r="AN121" i="2" s="1"/>
  <c r="I117" i="2"/>
  <c r="AN117" i="2" s="1"/>
  <c r="I98" i="2"/>
  <c r="AN98" i="2" s="1"/>
  <c r="I38" i="2"/>
  <c r="AN38" i="2" s="1"/>
  <c r="I352" i="2"/>
  <c r="AN352" i="2" s="1"/>
  <c r="I44" i="2"/>
  <c r="AN44" i="2" s="1"/>
  <c r="I164" i="2"/>
  <c r="AN164" i="2" s="1"/>
  <c r="I145" i="2"/>
  <c r="AN145" i="2" s="1"/>
  <c r="I106" i="2"/>
  <c r="AN106" i="2" s="1"/>
  <c r="I58" i="2"/>
  <c r="AN58" i="2" s="1"/>
  <c r="I54" i="2"/>
  <c r="AN54" i="2" s="1"/>
  <c r="I174" i="2"/>
  <c r="AN174" i="2" s="1"/>
  <c r="I70" i="2"/>
  <c r="AN70" i="2" s="1"/>
  <c r="I75" i="2"/>
  <c r="AN75" i="2" s="1"/>
  <c r="I37" i="2"/>
  <c r="AN37" i="2" s="1"/>
  <c r="I319" i="2"/>
  <c r="AN319" i="2" s="1"/>
  <c r="I156" i="2"/>
  <c r="AN156" i="2" s="1"/>
  <c r="P226" i="2"/>
  <c r="AU226" i="2" s="1"/>
  <c r="P193" i="2"/>
  <c r="AU193" i="2" s="1"/>
  <c r="P161" i="2"/>
  <c r="AU161" i="2" s="1"/>
  <c r="P105" i="2"/>
  <c r="AU105" i="2" s="1"/>
  <c r="P79" i="2"/>
  <c r="AU79" i="2" s="1"/>
  <c r="P209" i="2"/>
  <c r="AU209" i="2" s="1"/>
  <c r="P176" i="2"/>
  <c r="AU176" i="2" s="1"/>
  <c r="P55" i="2"/>
  <c r="AU55" i="2" s="1"/>
  <c r="P369" i="2"/>
  <c r="AU369" i="2" s="1"/>
  <c r="P319" i="2"/>
  <c r="AU319" i="2" s="1"/>
  <c r="P9" i="2"/>
  <c r="AU9" i="2" s="1"/>
  <c r="P174" i="2"/>
  <c r="AU174" i="2" s="1"/>
  <c r="P135" i="2"/>
  <c r="AU135" i="2" s="1"/>
  <c r="P173" i="2"/>
  <c r="AU173" i="2" s="1"/>
  <c r="P124" i="2"/>
  <c r="AU124" i="2" s="1"/>
  <c r="P54" i="2"/>
  <c r="AU54" i="2" s="1"/>
  <c r="P233" i="2"/>
  <c r="AU233" i="2" s="1"/>
  <c r="P196" i="2"/>
  <c r="AU196" i="2" s="1"/>
  <c r="P156" i="2"/>
  <c r="AU156" i="2" s="1"/>
  <c r="P116" i="2"/>
  <c r="AU116" i="2" s="1"/>
  <c r="P70" i="2"/>
  <c r="AU70" i="2" s="1"/>
  <c r="N357" i="2"/>
  <c r="AS357" i="2" s="1"/>
  <c r="N383" i="2"/>
  <c r="AS383" i="2" s="1"/>
  <c r="N215" i="2"/>
  <c r="AS215" i="2" s="1"/>
  <c r="N154" i="2"/>
  <c r="AS154" i="2" s="1"/>
  <c r="N122" i="2"/>
  <c r="AS122" i="2" s="1"/>
  <c r="N182" i="2"/>
  <c r="AS182" i="2" s="1"/>
  <c r="N337" i="2"/>
  <c r="AS337" i="2" s="1"/>
  <c r="N344" i="2"/>
  <c r="AS344" i="2" s="1"/>
  <c r="N32" i="2"/>
  <c r="AS32" i="2" s="1"/>
  <c r="N206" i="2"/>
  <c r="AS206" i="2" s="1"/>
  <c r="N141" i="2"/>
  <c r="AS141" i="2" s="1"/>
  <c r="N259" i="2"/>
  <c r="AS259" i="2" s="1"/>
  <c r="N250" i="2"/>
  <c r="AS250" i="2" s="1"/>
  <c r="N91" i="2"/>
  <c r="AS91" i="2" s="1"/>
  <c r="N97" i="2"/>
  <c r="AS97" i="2" s="1"/>
  <c r="N204" i="2"/>
  <c r="AS204" i="2" s="1"/>
  <c r="N377" i="2"/>
  <c r="AS377" i="2" s="1"/>
  <c r="N370" i="2"/>
  <c r="AS370" i="2" s="1"/>
  <c r="N236" i="2"/>
  <c r="AS236" i="2" s="1"/>
  <c r="N169" i="2"/>
  <c r="AS169" i="2" s="1"/>
  <c r="N78" i="2"/>
  <c r="AS78" i="2" s="1"/>
  <c r="N21" i="2"/>
  <c r="AS21" i="2" s="1"/>
  <c r="L201" i="2"/>
  <c r="AQ201" i="2" s="1"/>
  <c r="L248" i="2"/>
  <c r="AQ248" i="2" s="1"/>
  <c r="L358" i="2"/>
  <c r="AQ358" i="2" s="1"/>
  <c r="L66" i="2"/>
  <c r="AQ66" i="2" s="1"/>
  <c r="L163" i="2"/>
  <c r="AQ163" i="2" s="1"/>
  <c r="L288" i="2"/>
  <c r="AQ288" i="2" s="1"/>
  <c r="L368" i="2"/>
  <c r="AQ368" i="2" s="1"/>
  <c r="L69" i="2"/>
  <c r="AQ69" i="2" s="1"/>
  <c r="L154" i="2"/>
  <c r="AQ154" i="2" s="1"/>
  <c r="L266" i="2"/>
  <c r="AQ266" i="2" s="1"/>
  <c r="L7" i="2"/>
  <c r="AQ7" i="2" s="1"/>
  <c r="L80" i="2"/>
  <c r="AQ80" i="2" s="1"/>
  <c r="L213" i="2"/>
  <c r="AQ213" i="2" s="1"/>
  <c r="L260" i="2"/>
  <c r="AQ260" i="2" s="1"/>
  <c r="L357" i="2"/>
  <c r="AQ357" i="2" s="1"/>
  <c r="L98" i="2"/>
  <c r="AQ98" i="2" s="1"/>
  <c r="L226" i="2"/>
  <c r="AQ226" i="2" s="1"/>
  <c r="L301" i="2"/>
  <c r="AQ301" i="2" s="1"/>
  <c r="L382" i="2"/>
  <c r="AQ382" i="2" s="1"/>
  <c r="L81" i="2"/>
  <c r="AQ81" i="2" s="1"/>
  <c r="L186" i="2"/>
  <c r="AQ186" i="2" s="1"/>
  <c r="K201" i="2"/>
  <c r="AP201" i="2" s="1"/>
  <c r="K179" i="2"/>
  <c r="AP179" i="2" s="1"/>
  <c r="K189" i="2"/>
  <c r="AP189" i="2" s="1"/>
  <c r="K252" i="2"/>
  <c r="AP252" i="2" s="1"/>
  <c r="K102" i="2"/>
  <c r="AP102" i="2" s="1"/>
  <c r="K343" i="2"/>
  <c r="AP343" i="2" s="1"/>
  <c r="K299" i="2"/>
  <c r="AP299" i="2" s="1"/>
  <c r="K297" i="2"/>
  <c r="AP297" i="2" s="1"/>
  <c r="K110" i="2"/>
  <c r="AP110" i="2" s="1"/>
  <c r="K267" i="2"/>
  <c r="AP267" i="2" s="1"/>
  <c r="K78" i="2"/>
  <c r="AP78" i="2" s="1"/>
  <c r="K129" i="2"/>
  <c r="AP129" i="2" s="1"/>
  <c r="K18" i="2"/>
  <c r="AP18" i="2" s="1"/>
  <c r="K317" i="2"/>
  <c r="AP317" i="2" s="1"/>
  <c r="K101" i="2"/>
  <c r="AP101" i="2" s="1"/>
  <c r="K249" i="2"/>
  <c r="AP249" i="2" s="1"/>
  <c r="K253" i="2"/>
  <c r="AP253" i="2" s="1"/>
  <c r="K202" i="2"/>
  <c r="AP202" i="2" s="1"/>
  <c r="K191" i="2"/>
  <c r="AP191" i="2" s="1"/>
  <c r="K384" i="2"/>
  <c r="AP384" i="2" s="1"/>
  <c r="K113" i="2"/>
  <c r="AP113" i="2" s="1"/>
  <c r="I154" i="2"/>
  <c r="AN154" i="2" s="1"/>
  <c r="I118" i="2"/>
  <c r="AN118" i="2" s="1"/>
  <c r="I108" i="2"/>
  <c r="AN108" i="2" s="1"/>
  <c r="I16" i="2"/>
  <c r="AN16" i="2" s="1"/>
  <c r="I183" i="2"/>
  <c r="AN183" i="2" s="1"/>
  <c r="I162" i="2"/>
  <c r="AN162" i="2" s="1"/>
  <c r="I81" i="2"/>
  <c r="AN81" i="2" s="1"/>
  <c r="I80" i="2"/>
  <c r="AN80" i="2" s="1"/>
  <c r="I12" i="2"/>
  <c r="AN12" i="2" s="1"/>
  <c r="I297" i="2"/>
  <c r="AN297" i="2" s="1"/>
  <c r="I147" i="2"/>
  <c r="AN147" i="2" s="1"/>
  <c r="I131" i="2"/>
  <c r="AN131" i="2" s="1"/>
  <c r="I102" i="2"/>
  <c r="AN102" i="2" s="1"/>
  <c r="I88" i="2"/>
  <c r="AN88" i="2" s="1"/>
  <c r="I243" i="2"/>
  <c r="AN243" i="2" s="1"/>
  <c r="I157" i="2"/>
  <c r="AN157" i="2" s="1"/>
  <c r="I142" i="2"/>
  <c r="AN142" i="2" s="1"/>
  <c r="I107" i="2"/>
  <c r="AN107" i="2" s="1"/>
  <c r="I24" i="2"/>
  <c r="AN24" i="2" s="1"/>
  <c r="AY387" i="2"/>
  <c r="P148" i="2"/>
  <c r="AU148" i="2" s="1"/>
  <c r="P108" i="2"/>
  <c r="AU108" i="2" s="1"/>
  <c r="P71" i="2"/>
  <c r="AU71" i="2" s="1"/>
  <c r="P35" i="2"/>
  <c r="AU35" i="2" s="1"/>
  <c r="P343" i="2"/>
  <c r="AU343" i="2" s="1"/>
  <c r="P128" i="2"/>
  <c r="AU128" i="2" s="1"/>
  <c r="P87" i="2"/>
  <c r="AU87" i="2" s="1"/>
  <c r="P352" i="2"/>
  <c r="AU352" i="2" s="1"/>
  <c r="P323" i="2"/>
  <c r="AU323" i="2" s="1"/>
  <c r="P267" i="2"/>
  <c r="AU267" i="2" s="1"/>
  <c r="P17" i="2"/>
  <c r="AU17" i="2" s="1"/>
  <c r="P80" i="2"/>
  <c r="AU80" i="2" s="1"/>
  <c r="P106" i="2"/>
  <c r="AU106" i="2" s="1"/>
  <c r="P67" i="2"/>
  <c r="AU67" i="2" s="1"/>
  <c r="P364" i="2"/>
  <c r="AU364" i="2" s="1"/>
  <c r="P320" i="2"/>
  <c r="AU320" i="2" s="1"/>
  <c r="P151" i="2"/>
  <c r="AU151" i="2" s="1"/>
  <c r="P119" i="2"/>
  <c r="AU119" i="2" s="1"/>
  <c r="P60" i="2"/>
  <c r="AU60" i="2" s="1"/>
  <c r="P46" i="2"/>
  <c r="AU46" i="2" s="1"/>
  <c r="P384" i="2"/>
  <c r="AU384" i="2" s="1"/>
  <c r="N343" i="2"/>
  <c r="AS343" i="2" s="1"/>
  <c r="N342" i="2"/>
  <c r="AS342" i="2" s="1"/>
  <c r="N152" i="2"/>
  <c r="AS152" i="2" s="1"/>
  <c r="N151" i="2"/>
  <c r="AS151" i="2" s="1"/>
  <c r="N130" i="2"/>
  <c r="AS130" i="2" s="1"/>
  <c r="N171" i="2"/>
  <c r="AS171" i="2" s="1"/>
  <c r="N323" i="2"/>
  <c r="AS323" i="2" s="1"/>
  <c r="N302" i="2"/>
  <c r="AS302" i="2" s="1"/>
  <c r="N265" i="2"/>
  <c r="AS265" i="2" s="1"/>
  <c r="N203" i="2"/>
  <c r="AS203" i="2" s="1"/>
  <c r="N112" i="2"/>
  <c r="AS112" i="2" s="1"/>
  <c r="N257" i="2"/>
  <c r="AS257" i="2" s="1"/>
  <c r="N248" i="2"/>
  <c r="AS248" i="2" s="1"/>
  <c r="N83" i="2"/>
  <c r="AS83" i="2" s="1"/>
  <c r="N26" i="2"/>
  <c r="AS26" i="2" s="1"/>
  <c r="N157" i="2"/>
  <c r="AS157" i="2" s="1"/>
  <c r="N375" i="2"/>
  <c r="AS375" i="2" s="1"/>
  <c r="N364" i="2"/>
  <c r="AS364" i="2" s="1"/>
  <c r="N233" i="2"/>
  <c r="AS233" i="2" s="1"/>
  <c r="N170" i="2"/>
  <c r="AS170" i="2" s="1"/>
  <c r="N71" i="2"/>
  <c r="AS71" i="2" s="1"/>
  <c r="N189" i="2"/>
  <c r="AS189" i="2" s="1"/>
  <c r="L109" i="2"/>
  <c r="AQ109" i="2" s="1"/>
  <c r="L181" i="2"/>
  <c r="AQ181" i="2" s="1"/>
  <c r="L257" i="2"/>
  <c r="AQ257" i="2" s="1"/>
  <c r="L354" i="2"/>
  <c r="AQ354" i="2" s="1"/>
  <c r="L60" i="2"/>
  <c r="AQ60" i="2" s="1"/>
  <c r="L192" i="2"/>
  <c r="AQ192" i="2" s="1"/>
  <c r="L302" i="2"/>
  <c r="AQ302" i="2" s="1"/>
  <c r="L379" i="2"/>
  <c r="AQ379" i="2" s="1"/>
  <c r="L118" i="2"/>
  <c r="AQ118" i="2" s="1"/>
  <c r="L150" i="2"/>
  <c r="AQ150" i="2" s="1"/>
  <c r="L273" i="2"/>
  <c r="AQ273" i="2" s="1"/>
  <c r="L27" i="2"/>
  <c r="AQ27" i="2" s="1"/>
  <c r="L121" i="2"/>
  <c r="AQ121" i="2" s="1"/>
  <c r="L193" i="2"/>
  <c r="AQ193" i="2" s="1"/>
  <c r="L256" i="2"/>
  <c r="AQ256" i="2" s="1"/>
  <c r="L10" i="2"/>
  <c r="AQ10" i="2" s="1"/>
  <c r="L149" i="2"/>
  <c r="AQ149" i="2" s="1"/>
  <c r="L204" i="2"/>
  <c r="AQ204" i="2" s="1"/>
  <c r="L280" i="2"/>
  <c r="AQ280" i="2" s="1"/>
  <c r="L378" i="2"/>
  <c r="AQ378" i="2" s="1"/>
  <c r="K237" i="2"/>
  <c r="AP237" i="2" s="1"/>
  <c r="K180" i="2"/>
  <c r="AP180" i="2" s="1"/>
  <c r="K166" i="2"/>
  <c r="AP166" i="2" s="1"/>
  <c r="K216" i="2"/>
  <c r="AP216" i="2" s="1"/>
  <c r="K31" i="2"/>
  <c r="AP31" i="2" s="1"/>
  <c r="K337" i="2"/>
  <c r="AP337" i="2" s="1"/>
  <c r="K301" i="2"/>
  <c r="AP301" i="2" s="1"/>
  <c r="K260" i="2"/>
  <c r="AP260" i="2" s="1"/>
  <c r="K40" i="2"/>
  <c r="AP40" i="2" s="1"/>
  <c r="K199" i="2"/>
  <c r="AP199" i="2" s="1"/>
  <c r="K370" i="2"/>
  <c r="AP370" i="2" s="1"/>
  <c r="K329" i="2"/>
  <c r="AP329" i="2" s="1"/>
  <c r="K273" i="2"/>
  <c r="AP273" i="2" s="1"/>
  <c r="K85" i="2"/>
  <c r="AP85" i="2" s="1"/>
  <c r="K352" i="2"/>
  <c r="AP352" i="2" s="1"/>
  <c r="K55" i="2"/>
  <c r="AP55" i="2" s="1"/>
  <c r="K193" i="2"/>
  <c r="AP193" i="2" s="1"/>
  <c r="K122" i="2"/>
  <c r="AP122" i="2" s="1"/>
  <c r="K334" i="2"/>
  <c r="AP334" i="2" s="1"/>
  <c r="K80" i="2"/>
  <c r="AP80" i="2" s="1"/>
  <c r="K289" i="2"/>
  <c r="AP289" i="2" s="1"/>
  <c r="A2240" i="23"/>
  <c r="A2239" i="23"/>
  <c r="A2242" i="23"/>
  <c r="A2241" i="23"/>
  <c r="BA386" i="2"/>
  <c r="BP387" i="2"/>
  <c r="C1367" i="23"/>
  <c r="C1368" i="23"/>
  <c r="C2304" i="23"/>
  <c r="C2253" i="23"/>
  <c r="C2249" i="23"/>
  <c r="C2248" i="23"/>
  <c r="C1639" i="23"/>
  <c r="N2925" i="23"/>
  <c r="M2385" i="23"/>
  <c r="M2925" i="23"/>
  <c r="N3055" i="23"/>
  <c r="N3077" i="23" s="1"/>
  <c r="N2385" i="23"/>
  <c r="L2385" i="23"/>
  <c r="O2925" i="23"/>
  <c r="L2925" i="23"/>
  <c r="M3055" i="23"/>
  <c r="M3077" i="23" s="1"/>
  <c r="O2385" i="23"/>
  <c r="M2560" i="23"/>
  <c r="O2560" i="23"/>
  <c r="A2560" i="23"/>
  <c r="L2560" i="23"/>
  <c r="G2561" i="23"/>
  <c r="N2561" i="23" s="1"/>
  <c r="O3077" i="23"/>
  <c r="L3077" i="23"/>
  <c r="A541" i="23"/>
  <c r="N541" i="23"/>
  <c r="N561" i="23" s="1"/>
  <c r="L541" i="23"/>
  <c r="L561" i="23" s="1"/>
  <c r="O541" i="23"/>
  <c r="O561" i="23" s="1"/>
  <c r="M541" i="23"/>
  <c r="L355" i="23"/>
  <c r="L375" i="23" s="1"/>
  <c r="O355" i="23"/>
  <c r="O375" i="23" s="1"/>
  <c r="A355" i="23"/>
  <c r="N355" i="23"/>
  <c r="N375" i="23" s="1"/>
  <c r="M355" i="23"/>
  <c r="C468" i="1"/>
  <c r="N171" i="49"/>
  <c r="L171" i="49"/>
  <c r="M171" i="49"/>
  <c r="O171" i="49"/>
  <c r="N183" i="49"/>
  <c r="M183" i="49"/>
  <c r="O183" i="49"/>
  <c r="L183" i="49"/>
  <c r="L151" i="49"/>
  <c r="M151" i="49"/>
  <c r="N151" i="49"/>
  <c r="O151" i="49"/>
  <c r="L149" i="49"/>
  <c r="N149" i="49"/>
  <c r="M149" i="49"/>
  <c r="O149" i="49"/>
  <c r="N83" i="49"/>
  <c r="O83" i="49"/>
  <c r="M83" i="49"/>
  <c r="L83" i="49"/>
  <c r="N170" i="49"/>
  <c r="O170" i="49"/>
  <c r="M170" i="49"/>
  <c r="L170" i="49"/>
  <c r="N185" i="49"/>
  <c r="O185" i="49"/>
  <c r="M185" i="49"/>
  <c r="L185" i="49"/>
  <c r="M268" i="23"/>
  <c r="A268" i="23"/>
  <c r="L268" i="23"/>
  <c r="L294" i="23" s="1"/>
  <c r="O268" i="23"/>
  <c r="O294" i="23" s="1"/>
  <c r="N268" i="23"/>
  <c r="A629" i="49"/>
  <c r="A402" i="49" s="1"/>
  <c r="A1220" i="23"/>
  <c r="G1624" i="23"/>
  <c r="L1622" i="23"/>
  <c r="A1622" i="23"/>
  <c r="N1622" i="23"/>
  <c r="M1622" i="23"/>
  <c r="O1622" i="23"/>
  <c r="L715" i="23"/>
  <c r="L739" i="23" s="1"/>
  <c r="M715" i="23"/>
  <c r="M739" i="23" s="1"/>
  <c r="N715" i="23"/>
  <c r="N739" i="23" s="1"/>
  <c r="O715" i="23"/>
  <c r="O739" i="23" s="1"/>
  <c r="A715" i="23"/>
  <c r="M294" i="23" l="1"/>
  <c r="C1112" i="23"/>
  <c r="W138" i="2"/>
  <c r="BB138" i="2" s="1"/>
  <c r="W115" i="2"/>
  <c r="BB115" i="2" s="1"/>
  <c r="W99" i="2"/>
  <c r="BB99" i="2" s="1"/>
  <c r="W148" i="2"/>
  <c r="BB148" i="2" s="1"/>
  <c r="W177" i="2"/>
  <c r="BB177" i="2" s="1"/>
  <c r="W111" i="2"/>
  <c r="BB111" i="2" s="1"/>
  <c r="W343" i="2"/>
  <c r="BB343" i="2" s="1"/>
  <c r="W143" i="2"/>
  <c r="BB143" i="2" s="1"/>
  <c r="W141" i="2"/>
  <c r="BB141" i="2" s="1"/>
  <c r="W23" i="2"/>
  <c r="BB23" i="2" s="1"/>
  <c r="W286" i="2"/>
  <c r="BB286" i="2" s="1"/>
  <c r="W212" i="2"/>
  <c r="BB212" i="2" s="1"/>
  <c r="W126" i="2"/>
  <c r="BB126" i="2" s="1"/>
  <c r="W231" i="2"/>
  <c r="BB231" i="2" s="1"/>
  <c r="W323" i="2"/>
  <c r="BB323" i="2" s="1"/>
  <c r="W232" i="2"/>
  <c r="BB232" i="2" s="1"/>
  <c r="W57" i="2"/>
  <c r="BB57" i="2" s="1"/>
  <c r="W250" i="2"/>
  <c r="BB250" i="2" s="1"/>
  <c r="W114" i="2"/>
  <c r="BB114" i="2" s="1"/>
  <c r="W48" i="2"/>
  <c r="BB48" i="2" s="1"/>
  <c r="W325" i="2"/>
  <c r="BB325" i="2" s="1"/>
  <c r="W255" i="2"/>
  <c r="BB255" i="2" s="1"/>
  <c r="W379" i="2"/>
  <c r="BB379" i="2" s="1"/>
  <c r="W51" i="2"/>
  <c r="BB51" i="2" s="1"/>
  <c r="W305" i="2"/>
  <c r="BB305" i="2" s="1"/>
  <c r="W306" i="2"/>
  <c r="BB306" i="2" s="1"/>
  <c r="W127" i="2"/>
  <c r="BB127" i="2" s="1"/>
  <c r="W188" i="2"/>
  <c r="BB188" i="2" s="1"/>
  <c r="W298" i="2"/>
  <c r="BB298" i="2" s="1"/>
  <c r="W97" i="2"/>
  <c r="BB97" i="2" s="1"/>
  <c r="W221" i="2"/>
  <c r="BB221" i="2" s="1"/>
  <c r="W117" i="2"/>
  <c r="BB117" i="2" s="1"/>
  <c r="W304" i="2"/>
  <c r="BB304" i="2" s="1"/>
  <c r="W63" i="2"/>
  <c r="BB63" i="2" s="1"/>
  <c r="W351" i="2"/>
  <c r="BB351" i="2" s="1"/>
  <c r="M2565" i="23"/>
  <c r="L2565" i="23"/>
  <c r="O2565" i="23"/>
  <c r="M400" i="49"/>
  <c r="C282" i="49"/>
  <c r="N400" i="49"/>
  <c r="O400" i="49"/>
  <c r="N294" i="23"/>
  <c r="Q315" i="2"/>
  <c r="AV315" i="2" s="1"/>
  <c r="Q313" i="2"/>
  <c r="AV313" i="2" s="1"/>
  <c r="Q307" i="2"/>
  <c r="AV307" i="2" s="1"/>
  <c r="Q309" i="2"/>
  <c r="AV309" i="2" s="1"/>
  <c r="Q277" i="2"/>
  <c r="AV277" i="2" s="1"/>
  <c r="Q304" i="2"/>
  <c r="AV304" i="2" s="1"/>
  <c r="Q322" i="2"/>
  <c r="AV322" i="2" s="1"/>
  <c r="Q278" i="2"/>
  <c r="AV278" i="2" s="1"/>
  <c r="Q222" i="2"/>
  <c r="AV222" i="2" s="1"/>
  <c r="Q279" i="2"/>
  <c r="AV279" i="2" s="1"/>
  <c r="Q51" i="2"/>
  <c r="AV51" i="2" s="1"/>
  <c r="Q303" i="2"/>
  <c r="AV303" i="2" s="1"/>
  <c r="Q245" i="2"/>
  <c r="AV245" i="2" s="1"/>
  <c r="Q321" i="2"/>
  <c r="AV321" i="2" s="1"/>
  <c r="Q220" i="2"/>
  <c r="AV220" i="2" s="1"/>
  <c r="Q63" i="2"/>
  <c r="AV63" i="2" s="1"/>
  <c r="Q90" i="2"/>
  <c r="AV90" i="2" s="1"/>
  <c r="Q62" i="2"/>
  <c r="AV62" i="2" s="1"/>
  <c r="Q21" i="2"/>
  <c r="AV21" i="2" s="1"/>
  <c r="Q209" i="2"/>
  <c r="AV209" i="2" s="1"/>
  <c r="Q123" i="2"/>
  <c r="AV123" i="2" s="1"/>
  <c r="Q373" i="2"/>
  <c r="AV373" i="2" s="1"/>
  <c r="Q243" i="2"/>
  <c r="AV243" i="2" s="1"/>
  <c r="Q66" i="2"/>
  <c r="AV66" i="2" s="1"/>
  <c r="Q285" i="2"/>
  <c r="AV285" i="2" s="1"/>
  <c r="Q226" i="2"/>
  <c r="AV226" i="2" s="1"/>
  <c r="Q31" i="2"/>
  <c r="AV31" i="2" s="1"/>
  <c r="Q338" i="2"/>
  <c r="AV338" i="2" s="1"/>
  <c r="Q135" i="2"/>
  <c r="AV135" i="2" s="1"/>
  <c r="Q110" i="2"/>
  <c r="AV110" i="2" s="1"/>
  <c r="Q143" i="2"/>
  <c r="AV143" i="2" s="1"/>
  <c r="Q280" i="2"/>
  <c r="AV280" i="2" s="1"/>
  <c r="Q214" i="2"/>
  <c r="AV214" i="2" s="1"/>
  <c r="Q30" i="2"/>
  <c r="AV30" i="2" s="1"/>
  <c r="Q207" i="2"/>
  <c r="AV207" i="2" s="1"/>
  <c r="Q163" i="2"/>
  <c r="AV163" i="2" s="1"/>
  <c r="Q379" i="2"/>
  <c r="AV379" i="2" s="1"/>
  <c r="Q249" i="2"/>
  <c r="AV249" i="2" s="1"/>
  <c r="Q105" i="2"/>
  <c r="AV105" i="2" s="1"/>
  <c r="Q14" i="2"/>
  <c r="AV14" i="2" s="1"/>
  <c r="Q113" i="2"/>
  <c r="AV113" i="2" s="1"/>
  <c r="Q342" i="2"/>
  <c r="AV342" i="2" s="1"/>
  <c r="Q158" i="2"/>
  <c r="AV158" i="2" s="1"/>
  <c r="Q112" i="2"/>
  <c r="AV112" i="2" s="1"/>
  <c r="Q254" i="2"/>
  <c r="AV254" i="2" s="1"/>
  <c r="Q232" i="2"/>
  <c r="AV232" i="2" s="1"/>
  <c r="Q48" i="2"/>
  <c r="AV48" i="2" s="1"/>
  <c r="Q193" i="2"/>
  <c r="AV193" i="2" s="1"/>
  <c r="Q169" i="2"/>
  <c r="AV169" i="2" s="1"/>
  <c r="Q356" i="2"/>
  <c r="AV356" i="2" s="1"/>
  <c r="Q59" i="2"/>
  <c r="AV59" i="2" s="1"/>
  <c r="Q364" i="2"/>
  <c r="AV364" i="2" s="1"/>
  <c r="Q206" i="2"/>
  <c r="AV206" i="2" s="1"/>
  <c r="Q363" i="2"/>
  <c r="AV363" i="2" s="1"/>
  <c r="Q324" i="2"/>
  <c r="AV324" i="2" s="1"/>
  <c r="Q174" i="2"/>
  <c r="AV174" i="2" s="1"/>
  <c r="Q57" i="2"/>
  <c r="AV57" i="2" s="1"/>
  <c r="Q270" i="2"/>
  <c r="AV270" i="2" s="1"/>
  <c r="Q126" i="2"/>
  <c r="AV126" i="2" s="1"/>
  <c r="Q375" i="2"/>
  <c r="AV375" i="2" s="1"/>
  <c r="Q13" i="2"/>
  <c r="AV13" i="2" s="1"/>
  <c r="Q282" i="2"/>
  <c r="AV282" i="2" s="1"/>
  <c r="Q192" i="2"/>
  <c r="AV192" i="2" s="1"/>
  <c r="Q24" i="2"/>
  <c r="AV24" i="2" s="1"/>
  <c r="Q335" i="2"/>
  <c r="AV335" i="2" s="1"/>
  <c r="Q160" i="2"/>
  <c r="AV160" i="2" s="1"/>
  <c r="Q381" i="2"/>
  <c r="AV381" i="2" s="1"/>
  <c r="Q292" i="2"/>
  <c r="AV292" i="2" s="1"/>
  <c r="Q106" i="2"/>
  <c r="AV106" i="2" s="1"/>
  <c r="Q43" i="2"/>
  <c r="AV43" i="2" s="1"/>
  <c r="Q219" i="2"/>
  <c r="AV219" i="2" s="1"/>
  <c r="Q91" i="2"/>
  <c r="AV91" i="2" s="1"/>
  <c r="Q229" i="2"/>
  <c r="AV229" i="2" s="1"/>
  <c r="Q115" i="2"/>
  <c r="AV115" i="2" s="1"/>
  <c r="Q256" i="2"/>
  <c r="AV256" i="2" s="1"/>
  <c r="Q202" i="2"/>
  <c r="AV202" i="2" s="1"/>
  <c r="Q372" i="2"/>
  <c r="AV372" i="2" s="1"/>
  <c r="Q311" i="2"/>
  <c r="AV311" i="2" s="1"/>
  <c r="Q312" i="2"/>
  <c r="AV312" i="2" s="1"/>
  <c r="Q308" i="2"/>
  <c r="AV308" i="2" s="1"/>
  <c r="Q314" i="2"/>
  <c r="AV314" i="2" s="1"/>
  <c r="Q306" i="2"/>
  <c r="AV306" i="2" s="1"/>
  <c r="Q305" i="2"/>
  <c r="AV305" i="2" s="1"/>
  <c r="Q276" i="2"/>
  <c r="AV276" i="2" s="1"/>
  <c r="Q275" i="2"/>
  <c r="AV275" i="2" s="1"/>
  <c r="Q294" i="2"/>
  <c r="AV294" i="2" s="1"/>
  <c r="Q374" i="2"/>
  <c r="AV374" i="2" s="1"/>
  <c r="Q33" i="2"/>
  <c r="AV33" i="2" s="1"/>
  <c r="Q95" i="2"/>
  <c r="AV95" i="2" s="1"/>
  <c r="Q351" i="2"/>
  <c r="AV351" i="2" s="1"/>
  <c r="Q93" i="2"/>
  <c r="AV93" i="2" s="1"/>
  <c r="Q92" i="2"/>
  <c r="AV92" i="2" s="1"/>
  <c r="Q6" i="2"/>
  <c r="AV6" i="2" s="1"/>
  <c r="Q132" i="2"/>
  <c r="AV132" i="2" s="1"/>
  <c r="Q25" i="2"/>
  <c r="AV25" i="2" s="1"/>
  <c r="Q204" i="2"/>
  <c r="AV204" i="2" s="1"/>
  <c r="Q116" i="2"/>
  <c r="AV116" i="2" s="1"/>
  <c r="Q234" i="2"/>
  <c r="AV234" i="2" s="1"/>
  <c r="Q147" i="2"/>
  <c r="AV147" i="2" s="1"/>
  <c r="Q361" i="2"/>
  <c r="AV361" i="2" s="1"/>
  <c r="Q317" i="2"/>
  <c r="AV317" i="2" s="1"/>
  <c r="Q173" i="2"/>
  <c r="AV173" i="2" s="1"/>
  <c r="Q300" i="2"/>
  <c r="AV300" i="2" s="1"/>
  <c r="Q264" i="2"/>
  <c r="AV264" i="2" s="1"/>
  <c r="Q16" i="2"/>
  <c r="AV16" i="2" s="1"/>
  <c r="Q148" i="2"/>
  <c r="AV148" i="2" s="1"/>
  <c r="Q98" i="2"/>
  <c r="AV98" i="2" s="1"/>
  <c r="Q171" i="2"/>
  <c r="AV171" i="2" s="1"/>
  <c r="Q117" i="2"/>
  <c r="AV117" i="2" s="1"/>
  <c r="Q343" i="2"/>
  <c r="AV343" i="2" s="1"/>
  <c r="Q260" i="2"/>
  <c r="AV260" i="2" s="1"/>
  <c r="Q82" i="2"/>
  <c r="AV82" i="2" s="1"/>
  <c r="Q255" i="2"/>
  <c r="AV255" i="2" s="1"/>
  <c r="Q236" i="2"/>
  <c r="AV236" i="2" s="1"/>
  <c r="Q20" i="2"/>
  <c r="AV20" i="2" s="1"/>
  <c r="Q122" i="2"/>
  <c r="AV122" i="2" s="1"/>
  <c r="Q29" i="2"/>
  <c r="AV29" i="2" s="1"/>
  <c r="Q237" i="2"/>
  <c r="AV237" i="2" s="1"/>
  <c r="Q149" i="2"/>
  <c r="AV149" i="2" s="1"/>
  <c r="Q368" i="2"/>
  <c r="AV368" i="2" s="1"/>
  <c r="Q178" i="2"/>
  <c r="AV178" i="2" s="1"/>
  <c r="Q150" i="2"/>
  <c r="AV150" i="2" s="1"/>
  <c r="Q330" i="2"/>
  <c r="AV330" i="2" s="1"/>
  <c r="Q188" i="2"/>
  <c r="AV188" i="2" s="1"/>
  <c r="Q100" i="2"/>
  <c r="AV100" i="2" s="1"/>
  <c r="Q23" i="2"/>
  <c r="AV23" i="2" s="1"/>
  <c r="Q337" i="2"/>
  <c r="AV337" i="2" s="1"/>
  <c r="Q253" i="2"/>
  <c r="AV253" i="2" s="1"/>
  <c r="Q67" i="2"/>
  <c r="AV67" i="2" s="1"/>
  <c r="Q353" i="2"/>
  <c r="AV353" i="2" s="1"/>
  <c r="Q223" i="2"/>
  <c r="AV223" i="2" s="1"/>
  <c r="Q165" i="2"/>
  <c r="AV165" i="2" s="1"/>
  <c r="Q355" i="2"/>
  <c r="AV355" i="2" s="1"/>
  <c r="Q131" i="2"/>
  <c r="AV131" i="2" s="1"/>
  <c r="Q78" i="2"/>
  <c r="AV78" i="2" s="1"/>
  <c r="Q298" i="2"/>
  <c r="AV298" i="2" s="1"/>
  <c r="Q8" i="2"/>
  <c r="AV8" i="2" s="1"/>
  <c r="Q318" i="2"/>
  <c r="AV318" i="2" s="1"/>
  <c r="Q141" i="2"/>
  <c r="AV141" i="2" s="1"/>
  <c r="Q301" i="2"/>
  <c r="AV301" i="2" s="1"/>
  <c r="Q233" i="2"/>
  <c r="AV233" i="2" s="1"/>
  <c r="Q83" i="2"/>
  <c r="AV83" i="2" s="1"/>
  <c r="Q369" i="2"/>
  <c r="AV369" i="2" s="1"/>
  <c r="Q240" i="2"/>
  <c r="AV240" i="2" s="1"/>
  <c r="Q97" i="2"/>
  <c r="AV97" i="2" s="1"/>
  <c r="Q326" i="2"/>
  <c r="AV326" i="2" s="1"/>
  <c r="Q107" i="2"/>
  <c r="AV107" i="2" s="1"/>
  <c r="Q216" i="2"/>
  <c r="AV216" i="2" s="1"/>
  <c r="Q130" i="2"/>
  <c r="AV130" i="2" s="1"/>
  <c r="Q380" i="2"/>
  <c r="AV380" i="2" s="1"/>
  <c r="Q246" i="2"/>
  <c r="AV246" i="2" s="1"/>
  <c r="Q69" i="2"/>
  <c r="AV69" i="2" s="1"/>
  <c r="Q283" i="2"/>
  <c r="AV283" i="2" s="1"/>
  <c r="Q248" i="2"/>
  <c r="AV248" i="2" s="1"/>
  <c r="Q38" i="2"/>
  <c r="AV38" i="2" s="1"/>
  <c r="Q348" i="2"/>
  <c r="AV348" i="2" s="1"/>
  <c r="Q190" i="2"/>
  <c r="AV190" i="2" s="1"/>
  <c r="Q36" i="2"/>
  <c r="AV36" i="2" s="1"/>
  <c r="Q198" i="2"/>
  <c r="AV198" i="2" s="1"/>
  <c r="Q44" i="2"/>
  <c r="AV44" i="2" s="1"/>
  <c r="Q228" i="2"/>
  <c r="AV228" i="2" s="1"/>
  <c r="Q72" i="2"/>
  <c r="AV72" i="2" s="1"/>
  <c r="Q179" i="2"/>
  <c r="AV179" i="2" s="1"/>
  <c r="Q266" i="2"/>
  <c r="AV266" i="2" s="1"/>
  <c r="Q155" i="2"/>
  <c r="AV155" i="2" s="1"/>
  <c r="Q327" i="2"/>
  <c r="AV327" i="2" s="1"/>
  <c r="Q137" i="2"/>
  <c r="AV137" i="2" s="1"/>
  <c r="Q349" i="2"/>
  <c r="AV349" i="2" s="1"/>
  <c r="Q262" i="2"/>
  <c r="AV262" i="2" s="1"/>
  <c r="Q85" i="2"/>
  <c r="AV85" i="2" s="1"/>
  <c r="Q261" i="2"/>
  <c r="AV261" i="2" s="1"/>
  <c r="Q235" i="2"/>
  <c r="AV235" i="2" s="1"/>
  <c r="Q7" i="2"/>
  <c r="AV7" i="2" s="1"/>
  <c r="Q142" i="2"/>
  <c r="AV142" i="2" s="1"/>
  <c r="Q96" i="2"/>
  <c r="AV96" i="2" s="1"/>
  <c r="Q267" i="2"/>
  <c r="AV267" i="2" s="1"/>
  <c r="Q152" i="2"/>
  <c r="AV152" i="2" s="1"/>
  <c r="Q376" i="2"/>
  <c r="AV376" i="2" s="1"/>
  <c r="Q177" i="2"/>
  <c r="AV177" i="2" s="1"/>
  <c r="Q153" i="2"/>
  <c r="AV153" i="2" s="1"/>
  <c r="Q340" i="2"/>
  <c r="AV340" i="2" s="1"/>
  <c r="Q211" i="2"/>
  <c r="AV211" i="2" s="1"/>
  <c r="Q99" i="2"/>
  <c r="AV99" i="2" s="1"/>
  <c r="Q28" i="2"/>
  <c r="AV28" i="2" s="1"/>
  <c r="Q53" i="2"/>
  <c r="AV53" i="2" s="1"/>
  <c r="Q378" i="2"/>
  <c r="AV378" i="2" s="1"/>
  <c r="Q293" i="2"/>
  <c r="AV293" i="2" s="1"/>
  <c r="Q70" i="2"/>
  <c r="AV70" i="2" s="1"/>
  <c r="Q40" i="2"/>
  <c r="AV40" i="2" s="1"/>
  <c r="Q230" i="2"/>
  <c r="AV230" i="2" s="1"/>
  <c r="Q168" i="2"/>
  <c r="AV168" i="2" s="1"/>
  <c r="Q357" i="2"/>
  <c r="AV357" i="2" s="1"/>
  <c r="Q139" i="2"/>
  <c r="AV139" i="2" s="1"/>
  <c r="Q81" i="2"/>
  <c r="AV81" i="2" s="1"/>
  <c r="Q296" i="2"/>
  <c r="AV296" i="2" s="1"/>
  <c r="Q88" i="2"/>
  <c r="AV88" i="2" s="1"/>
  <c r="Q316" i="2"/>
  <c r="AV316" i="2" s="1"/>
  <c r="Q144" i="2"/>
  <c r="AV144" i="2" s="1"/>
  <c r="Q347" i="2"/>
  <c r="AV347" i="2" s="1"/>
  <c r="Q263" i="2"/>
  <c r="AV263" i="2" s="1"/>
  <c r="Q86" i="2"/>
  <c r="AV86" i="2" s="1"/>
  <c r="Q26" i="2"/>
  <c r="AV26" i="2" s="1"/>
  <c r="Q203" i="2"/>
  <c r="AV203" i="2" s="1"/>
  <c r="Q183" i="2"/>
  <c r="AV183" i="2" s="1"/>
  <c r="Q336" i="2"/>
  <c r="AV336" i="2" s="1"/>
  <c r="Q15" i="2"/>
  <c r="AV15" i="2" s="1"/>
  <c r="Q239" i="2"/>
  <c r="AV239" i="2" s="1"/>
  <c r="Q186" i="2"/>
  <c r="AV186" i="2" s="1"/>
  <c r="Q71" i="2"/>
  <c r="AV71" i="2" s="1"/>
  <c r="Q286" i="2"/>
  <c r="AV286" i="2" s="1"/>
  <c r="Q154" i="2"/>
  <c r="AV154" i="2" s="1"/>
  <c r="Q334" i="2"/>
  <c r="AV334" i="2" s="1"/>
  <c r="Q250" i="2"/>
  <c r="AV250" i="2" s="1"/>
  <c r="Q104" i="2"/>
  <c r="AV104" i="2" s="1"/>
  <c r="Q354" i="2"/>
  <c r="AV354" i="2" s="1"/>
  <c r="Q189" i="2"/>
  <c r="AV189" i="2" s="1"/>
  <c r="Q87" i="2"/>
  <c r="AV87" i="2" s="1"/>
  <c r="Q197" i="2"/>
  <c r="AV197" i="2" s="1"/>
  <c r="Q56" i="2"/>
  <c r="AV56" i="2" s="1"/>
  <c r="Q227" i="2"/>
  <c r="AV227" i="2" s="1"/>
  <c r="Q140" i="2"/>
  <c r="AV140" i="2" s="1"/>
  <c r="Q359" i="2"/>
  <c r="AV359" i="2" s="1"/>
  <c r="Q310" i="2"/>
  <c r="AV310" i="2" s="1"/>
  <c r="Q170" i="2"/>
  <c r="AV170" i="2" s="1"/>
  <c r="Q302" i="2"/>
  <c r="AV302" i="2" s="1"/>
  <c r="Q199" i="2"/>
  <c r="AV199" i="2" s="1"/>
  <c r="Q11" i="2"/>
  <c r="AV11" i="2" s="1"/>
  <c r="Q54" i="2"/>
  <c r="AV54" i="2" s="1"/>
  <c r="Q136" i="2"/>
  <c r="AV136" i="2" s="1"/>
  <c r="Q358" i="2"/>
  <c r="AV358" i="2" s="1"/>
  <c r="Q164" i="2"/>
  <c r="AV164" i="2" s="1"/>
  <c r="Q114" i="2"/>
  <c r="AV114" i="2" s="1"/>
  <c r="Q297" i="2"/>
  <c r="AV297" i="2" s="1"/>
  <c r="Q195" i="2"/>
  <c r="AV195" i="2" s="1"/>
  <c r="Q79" i="2"/>
  <c r="AV79" i="2" s="1"/>
  <c r="Q225" i="2"/>
  <c r="AV225" i="2" s="1"/>
  <c r="Q180" i="2"/>
  <c r="AV180" i="2" s="1"/>
  <c r="Q41" i="2"/>
  <c r="AV41" i="2" s="1"/>
  <c r="Q121" i="2"/>
  <c r="AV121" i="2" s="1"/>
  <c r="Q50" i="2"/>
  <c r="AV50" i="2" s="1"/>
  <c r="Q212" i="2"/>
  <c r="AV212" i="2" s="1"/>
  <c r="Q146" i="2"/>
  <c r="AV146" i="2" s="1"/>
  <c r="Q329" i="2"/>
  <c r="AV329" i="2" s="1"/>
  <c r="Q191" i="2"/>
  <c r="AV191" i="2" s="1"/>
  <c r="Q65" i="2"/>
  <c r="AV65" i="2" s="1"/>
  <c r="Q274" i="2"/>
  <c r="AV274" i="2" s="1"/>
  <c r="Q320" i="2"/>
  <c r="AV320" i="2" s="1"/>
  <c r="Q350" i="2"/>
  <c r="AV350" i="2" s="1"/>
  <c r="Q129" i="2"/>
  <c r="AV129" i="2" s="1"/>
  <c r="Q101" i="2"/>
  <c r="AV101" i="2" s="1"/>
  <c r="Q213" i="2"/>
  <c r="AV213" i="2" s="1"/>
  <c r="Q64" i="2"/>
  <c r="AV64" i="2" s="1"/>
  <c r="Q238" i="2"/>
  <c r="AV238" i="2" s="1"/>
  <c r="Q218" i="2"/>
  <c r="AV218" i="2" s="1"/>
  <c r="Q39" i="2"/>
  <c r="AV39" i="2" s="1"/>
  <c r="Q289" i="2"/>
  <c r="AV289" i="2" s="1"/>
  <c r="Q124" i="2"/>
  <c r="AV124" i="2" s="1"/>
  <c r="Q10" i="2"/>
  <c r="AV10" i="2" s="1"/>
  <c r="Q133" i="2"/>
  <c r="AV133" i="2" s="1"/>
  <c r="Q352" i="2"/>
  <c r="AV352" i="2" s="1"/>
  <c r="Q161" i="2"/>
  <c r="AV161" i="2" s="1"/>
  <c r="Q111" i="2"/>
  <c r="AV111" i="2" s="1"/>
  <c r="Q295" i="2"/>
  <c r="AV295" i="2" s="1"/>
  <c r="Q231" i="2"/>
  <c r="AV231" i="2" s="1"/>
  <c r="Q80" i="2"/>
  <c r="AV80" i="2" s="1"/>
  <c r="Q200" i="2"/>
  <c r="AV200" i="2" s="1"/>
  <c r="Q172" i="2"/>
  <c r="AV172" i="2" s="1"/>
  <c r="Q362" i="2"/>
  <c r="AV362" i="2" s="1"/>
  <c r="Q138" i="2"/>
  <c r="AV138" i="2" s="1"/>
  <c r="Q370" i="2"/>
  <c r="AV370" i="2" s="1"/>
  <c r="Q205" i="2"/>
  <c r="AV205" i="2" s="1"/>
  <c r="Q365" i="2"/>
  <c r="AV365" i="2" s="1"/>
  <c r="Q323" i="2"/>
  <c r="AV323" i="2" s="1"/>
  <c r="Q176" i="2"/>
  <c r="AV176" i="2" s="1"/>
  <c r="Q60" i="2"/>
  <c r="AV60" i="2" s="1"/>
  <c r="Q281" i="2"/>
  <c r="AV281" i="2" s="1"/>
  <c r="Q182" i="2"/>
  <c r="AV182" i="2" s="1"/>
  <c r="Q27" i="2"/>
  <c r="AV27" i="2" s="1"/>
  <c r="Q108" i="2"/>
  <c r="AV108" i="2" s="1"/>
  <c r="Q284" i="2"/>
  <c r="AV284" i="2" s="1"/>
  <c r="Q215" i="2"/>
  <c r="AV215" i="2" s="1"/>
  <c r="Q35" i="2"/>
  <c r="AV35" i="2" s="1"/>
  <c r="Q341" i="2"/>
  <c r="AV341" i="2" s="1"/>
  <c r="Q167" i="2"/>
  <c r="AV167" i="2" s="1"/>
  <c r="Q383" i="2"/>
  <c r="AV383" i="2" s="1"/>
  <c r="Q339" i="2"/>
  <c r="AV339" i="2" s="1"/>
  <c r="Q109" i="2"/>
  <c r="AV109" i="2" s="1"/>
  <c r="Q76" i="2"/>
  <c r="AV76" i="2" s="1"/>
  <c r="Q251" i="2"/>
  <c r="AV251" i="2" s="1"/>
  <c r="Q46" i="2"/>
  <c r="AV46" i="2" s="1"/>
  <c r="Q259" i="2"/>
  <c r="AV259" i="2" s="1"/>
  <c r="Q118" i="2"/>
  <c r="AV118" i="2" s="1"/>
  <c r="Q258" i="2"/>
  <c r="AV258" i="2" s="1"/>
  <c r="Q201" i="2"/>
  <c r="AV201" i="2" s="1"/>
  <c r="Q55" i="2"/>
  <c r="AV55" i="2" s="1"/>
  <c r="Q332" i="2"/>
  <c r="AV332" i="2" s="1"/>
  <c r="Q187" i="2"/>
  <c r="AV187" i="2" s="1"/>
  <c r="Q360" i="2"/>
  <c r="AV360" i="2" s="1"/>
  <c r="Q272" i="2"/>
  <c r="AV272" i="2" s="1"/>
  <c r="Q52" i="2"/>
  <c r="AV52" i="2" s="1"/>
  <c r="Q210" i="2"/>
  <c r="AV210" i="2" s="1"/>
  <c r="Q120" i="2"/>
  <c r="AV120" i="2" s="1"/>
  <c r="Q333" i="2"/>
  <c r="AV333" i="2" s="1"/>
  <c r="Q221" i="2"/>
  <c r="AV221" i="2" s="1"/>
  <c r="Q61" i="2"/>
  <c r="AV61" i="2" s="1"/>
  <c r="Q244" i="2"/>
  <c r="AV244" i="2" s="1"/>
  <c r="Q217" i="2"/>
  <c r="AV217" i="2" s="1"/>
  <c r="Q74" i="2"/>
  <c r="AV74" i="2" s="1"/>
  <c r="Q287" i="2"/>
  <c r="AV287" i="2" s="1"/>
  <c r="Q127" i="2"/>
  <c r="AV127" i="2" s="1"/>
  <c r="Q145" i="2"/>
  <c r="AV145" i="2" s="1"/>
  <c r="Q94" i="2"/>
  <c r="AV94" i="2" s="1"/>
  <c r="Q273" i="2"/>
  <c r="AV273" i="2" s="1"/>
  <c r="Q159" i="2"/>
  <c r="AV159" i="2" s="1"/>
  <c r="Q19" i="2"/>
  <c r="AV19" i="2" s="1"/>
  <c r="Q184" i="2"/>
  <c r="AV184" i="2" s="1"/>
  <c r="Q156" i="2"/>
  <c r="AV156" i="2" s="1"/>
  <c r="Q377" i="2"/>
  <c r="AV377" i="2" s="1"/>
  <c r="Q242" i="2"/>
  <c r="AV242" i="2" s="1"/>
  <c r="Q102" i="2"/>
  <c r="AV102" i="2" s="1"/>
  <c r="Q42" i="2"/>
  <c r="AV42" i="2" s="1"/>
  <c r="Q384" i="2"/>
  <c r="AV384" i="2" s="1"/>
  <c r="Q291" i="2"/>
  <c r="AV291" i="2" s="1"/>
  <c r="Q73" i="2"/>
  <c r="AV73" i="2" s="1"/>
  <c r="Q47" i="2"/>
  <c r="AV47" i="2" s="1"/>
  <c r="Q252" i="2"/>
  <c r="AV252" i="2" s="1"/>
  <c r="Q175" i="2"/>
  <c r="AV175" i="2" s="1"/>
  <c r="Q37" i="2"/>
  <c r="AV37" i="2" s="1"/>
  <c r="Q194" i="2"/>
  <c r="AV194" i="2" s="1"/>
  <c r="Q166" i="2"/>
  <c r="AV166" i="2" s="1"/>
  <c r="Q346" i="2"/>
  <c r="AV346" i="2" s="1"/>
  <c r="Q49" i="2"/>
  <c r="AV49" i="2" s="1"/>
  <c r="Q181" i="2"/>
  <c r="AV181" i="2" s="1"/>
  <c r="Q17" i="2"/>
  <c r="AV17" i="2" s="1"/>
  <c r="Q325" i="2"/>
  <c r="AV325" i="2" s="1"/>
  <c r="Q151" i="2"/>
  <c r="AV151" i="2" s="1"/>
  <c r="Q328" i="2"/>
  <c r="AV328" i="2" s="1"/>
  <c r="Q269" i="2"/>
  <c r="AV269" i="2" s="1"/>
  <c r="Q89" i="2"/>
  <c r="AV89" i="2" s="1"/>
  <c r="Q58" i="2"/>
  <c r="AV58" i="2" s="1"/>
  <c r="Q268" i="2"/>
  <c r="AV268" i="2" s="1"/>
  <c r="Q119" i="2"/>
  <c r="AV119" i="2" s="1"/>
  <c r="Q371" i="2"/>
  <c r="AV371" i="2" s="1"/>
  <c r="Q22" i="2"/>
  <c r="AV22" i="2" s="1"/>
  <c r="Q271" i="2"/>
  <c r="AV271" i="2" s="1"/>
  <c r="Q185" i="2"/>
  <c r="AV185" i="2" s="1"/>
  <c r="Q9" i="2"/>
  <c r="AV9" i="2" s="1"/>
  <c r="Q288" i="2"/>
  <c r="AV288" i="2" s="1"/>
  <c r="Q157" i="2"/>
  <c r="AV157" i="2" s="1"/>
  <c r="Q344" i="2"/>
  <c r="AV344" i="2" s="1"/>
  <c r="Q290" i="2"/>
  <c r="AV290" i="2" s="1"/>
  <c r="Q103" i="2"/>
  <c r="AV103" i="2" s="1"/>
  <c r="Q32" i="2"/>
  <c r="AV32" i="2" s="1"/>
  <c r="Q196" i="2"/>
  <c r="AV196" i="2" s="1"/>
  <c r="Q134" i="2"/>
  <c r="AV134" i="2" s="1"/>
  <c r="Q34" i="2"/>
  <c r="AV34" i="2" s="1"/>
  <c r="Q331" i="2"/>
  <c r="AV331" i="2" s="1"/>
  <c r="Q247" i="2"/>
  <c r="AV247" i="2" s="1"/>
  <c r="Q68" i="2"/>
  <c r="AV68" i="2" s="1"/>
  <c r="Q382" i="2"/>
  <c r="AV382" i="2" s="1"/>
  <c r="Q224" i="2"/>
  <c r="AV224" i="2" s="1"/>
  <c r="Q162" i="2"/>
  <c r="AV162" i="2" s="1"/>
  <c r="Q345" i="2"/>
  <c r="AV345" i="2" s="1"/>
  <c r="Q128" i="2"/>
  <c r="AV128" i="2" s="1"/>
  <c r="Q75" i="2"/>
  <c r="AV75" i="2" s="1"/>
  <c r="Q257" i="2"/>
  <c r="AV257" i="2" s="1"/>
  <c r="Q18" i="2"/>
  <c r="AV18" i="2" s="1"/>
  <c r="Q265" i="2"/>
  <c r="AV265" i="2" s="1"/>
  <c r="Q125" i="2"/>
  <c r="AV125" i="2" s="1"/>
  <c r="Q299" i="2"/>
  <c r="AV299" i="2" s="1"/>
  <c r="Q208" i="2"/>
  <c r="AV208" i="2" s="1"/>
  <c r="Q84" i="2"/>
  <c r="AV84" i="2" s="1"/>
  <c r="Q367" i="2"/>
  <c r="AV367" i="2" s="1"/>
  <c r="Q241" i="2"/>
  <c r="AV241" i="2" s="1"/>
  <c r="Q366" i="2"/>
  <c r="AV366" i="2" s="1"/>
  <c r="Q319" i="2"/>
  <c r="AV319" i="2" s="1"/>
  <c r="Q12" i="2"/>
  <c r="AV12" i="2" s="1"/>
  <c r="AB321" i="2"/>
  <c r="BG321" i="2" s="1"/>
  <c r="AB312" i="2"/>
  <c r="BG312" i="2" s="1"/>
  <c r="AB314" i="2"/>
  <c r="BG314" i="2" s="1"/>
  <c r="AB313" i="2"/>
  <c r="BG313" i="2" s="1"/>
  <c r="AB308" i="2"/>
  <c r="BG308" i="2" s="1"/>
  <c r="AB307" i="2"/>
  <c r="BG307" i="2" s="1"/>
  <c r="AB311" i="2"/>
  <c r="BG311" i="2" s="1"/>
  <c r="AB315" i="2"/>
  <c r="BG315" i="2" s="1"/>
  <c r="AB309" i="2"/>
  <c r="BG309" i="2" s="1"/>
  <c r="X311" i="2"/>
  <c r="BC311" i="2" s="1"/>
  <c r="X308" i="2"/>
  <c r="BC308" i="2" s="1"/>
  <c r="X315" i="2"/>
  <c r="BC315" i="2" s="1"/>
  <c r="X309" i="2"/>
  <c r="BC309" i="2" s="1"/>
  <c r="X307" i="2"/>
  <c r="BC307" i="2" s="1"/>
  <c r="X312" i="2"/>
  <c r="BC312" i="2" s="1"/>
  <c r="X313" i="2"/>
  <c r="BC313" i="2" s="1"/>
  <c r="X314" i="2"/>
  <c r="BC314" i="2" s="1"/>
  <c r="Y305" i="2"/>
  <c r="BD305" i="2" s="1"/>
  <c r="Y315" i="2"/>
  <c r="BD315" i="2" s="1"/>
  <c r="Y309" i="2"/>
  <c r="BD309" i="2" s="1"/>
  <c r="Y311" i="2"/>
  <c r="BD311" i="2" s="1"/>
  <c r="Y314" i="2"/>
  <c r="BD314" i="2" s="1"/>
  <c r="Y313" i="2"/>
  <c r="BD313" i="2" s="1"/>
  <c r="Y307" i="2"/>
  <c r="BD307" i="2" s="1"/>
  <c r="Y312" i="2"/>
  <c r="BD312" i="2" s="1"/>
  <c r="Y308" i="2"/>
  <c r="BD308" i="2" s="1"/>
  <c r="X321" i="2"/>
  <c r="BC321" i="2" s="1"/>
  <c r="X245" i="2"/>
  <c r="BC245" i="2" s="1"/>
  <c r="X306" i="2"/>
  <c r="BC306" i="2" s="1"/>
  <c r="Y276" i="2"/>
  <c r="BD276" i="2" s="1"/>
  <c r="Y245" i="2"/>
  <c r="BD245" i="2" s="1"/>
  <c r="AB305" i="2"/>
  <c r="BG305" i="2" s="1"/>
  <c r="AB276" i="2"/>
  <c r="BG276" i="2" s="1"/>
  <c r="AB279" i="2"/>
  <c r="BG279" i="2" s="1"/>
  <c r="X303" i="2"/>
  <c r="BC303" i="2" s="1"/>
  <c r="Y277" i="2"/>
  <c r="BD277" i="2" s="1"/>
  <c r="Y304" i="2"/>
  <c r="BD304" i="2" s="1"/>
  <c r="Y306" i="2"/>
  <c r="BD306" i="2" s="1"/>
  <c r="X220" i="2"/>
  <c r="BC220" i="2" s="1"/>
  <c r="AB304" i="2"/>
  <c r="BG304" i="2" s="1"/>
  <c r="AB51" i="2"/>
  <c r="BG51" i="2" s="1"/>
  <c r="AB303" i="2"/>
  <c r="BG303" i="2" s="1"/>
  <c r="AB306" i="2"/>
  <c r="BG306" i="2" s="1"/>
  <c r="AB220" i="2"/>
  <c r="BG220" i="2" s="1"/>
  <c r="X222" i="2"/>
  <c r="BC222" i="2" s="1"/>
  <c r="Y51" i="2"/>
  <c r="BD51" i="2" s="1"/>
  <c r="Y278" i="2"/>
  <c r="BD278" i="2" s="1"/>
  <c r="X294" i="2"/>
  <c r="BC294" i="2" s="1"/>
  <c r="X276" i="2"/>
  <c r="BC276" i="2" s="1"/>
  <c r="X275" i="2"/>
  <c r="BC275" i="2" s="1"/>
  <c r="AB275" i="2"/>
  <c r="BG275" i="2" s="1"/>
  <c r="Y303" i="2"/>
  <c r="BD303" i="2" s="1"/>
  <c r="X51" i="2"/>
  <c r="BC51" i="2" s="1"/>
  <c r="Y222" i="2"/>
  <c r="BD222" i="2" s="1"/>
  <c r="X279" i="2"/>
  <c r="BC279" i="2" s="1"/>
  <c r="X304" i="2"/>
  <c r="BC304" i="2" s="1"/>
  <c r="X278" i="2"/>
  <c r="BC278" i="2" s="1"/>
  <c r="AB294" i="2"/>
  <c r="BG294" i="2" s="1"/>
  <c r="Y294" i="2"/>
  <c r="BD294" i="2" s="1"/>
  <c r="X277" i="2"/>
  <c r="BC277" i="2" s="1"/>
  <c r="Y374" i="2"/>
  <c r="BD374" i="2" s="1"/>
  <c r="Y321" i="2"/>
  <c r="BD321" i="2" s="1"/>
  <c r="AB374" i="2"/>
  <c r="BG374" i="2" s="1"/>
  <c r="AB277" i="2"/>
  <c r="BG277" i="2" s="1"/>
  <c r="AB278" i="2"/>
  <c r="BG278" i="2" s="1"/>
  <c r="AB222" i="2"/>
  <c r="BG222" i="2" s="1"/>
  <c r="Y322" i="2"/>
  <c r="BD322" i="2" s="1"/>
  <c r="Y220" i="2"/>
  <c r="BD220" i="2" s="1"/>
  <c r="Y279" i="2"/>
  <c r="BD279" i="2" s="1"/>
  <c r="X305" i="2"/>
  <c r="BC305" i="2" s="1"/>
  <c r="AB322" i="2"/>
  <c r="BG322" i="2" s="1"/>
  <c r="X322" i="2"/>
  <c r="BC322" i="2" s="1"/>
  <c r="Y275" i="2"/>
  <c r="BD275" i="2" s="1"/>
  <c r="AB245" i="2"/>
  <c r="BG245" i="2" s="1"/>
  <c r="AW387" i="2"/>
  <c r="X372" i="2"/>
  <c r="BC372" i="2" s="1"/>
  <c r="Y372" i="2"/>
  <c r="BD372" i="2" s="1"/>
  <c r="Y33" i="2"/>
  <c r="BD33" i="2" s="1"/>
  <c r="AB92" i="2"/>
  <c r="BG92" i="2" s="1"/>
  <c r="AB33" i="2"/>
  <c r="BG33" i="2" s="1"/>
  <c r="AB372" i="2"/>
  <c r="BG372" i="2" s="1"/>
  <c r="X33" i="2"/>
  <c r="BC33" i="2" s="1"/>
  <c r="X374" i="2"/>
  <c r="BC374" i="2" s="1"/>
  <c r="X90" i="2"/>
  <c r="BC90" i="2" s="1"/>
  <c r="X93" i="2"/>
  <c r="BC93" i="2" s="1"/>
  <c r="Y62" i="2"/>
  <c r="BD62" i="2" s="1"/>
  <c r="Y90" i="2"/>
  <c r="BD90" i="2" s="1"/>
  <c r="Y93" i="2"/>
  <c r="BD93" i="2" s="1"/>
  <c r="X95" i="2"/>
  <c r="BC95" i="2" s="1"/>
  <c r="X351" i="2"/>
  <c r="BC351" i="2" s="1"/>
  <c r="AB351" i="2"/>
  <c r="BG351" i="2" s="1"/>
  <c r="X92" i="2"/>
  <c r="BC92" i="2" s="1"/>
  <c r="AB93" i="2"/>
  <c r="BG93" i="2" s="1"/>
  <c r="AB90" i="2"/>
  <c r="BG90" i="2" s="1"/>
  <c r="AB95" i="2"/>
  <c r="BG95" i="2" s="1"/>
  <c r="Y351" i="2"/>
  <c r="BD351" i="2" s="1"/>
  <c r="Y95" i="2"/>
  <c r="BD95" i="2" s="1"/>
  <c r="Y92" i="2"/>
  <c r="BD92" i="2" s="1"/>
  <c r="X63" i="2"/>
  <c r="BC63" i="2" s="1"/>
  <c r="AB132" i="2"/>
  <c r="BG132" i="2" s="1"/>
  <c r="AB63" i="2"/>
  <c r="BG63" i="2" s="1"/>
  <c r="AB62" i="2"/>
  <c r="BG62" i="2" s="1"/>
  <c r="X62" i="2"/>
  <c r="BC62" i="2" s="1"/>
  <c r="Y63" i="2"/>
  <c r="BD63" i="2" s="1"/>
  <c r="X132" i="2"/>
  <c r="BC132" i="2" s="1"/>
  <c r="Y204" i="2"/>
  <c r="BD204" i="2" s="1"/>
  <c r="Y132" i="2"/>
  <c r="BD132" i="2" s="1"/>
  <c r="AU388" i="2"/>
  <c r="AU386" i="2"/>
  <c r="AS388" i="2"/>
  <c r="AS386" i="2"/>
  <c r="X13" i="2"/>
  <c r="BC13" i="2" s="1"/>
  <c r="AN388" i="2"/>
  <c r="AQ388" i="2"/>
  <c r="AP386" i="2"/>
  <c r="AP388" i="2"/>
  <c r="AP389" i="2"/>
  <c r="AO387" i="2"/>
  <c r="AP385" i="2"/>
  <c r="AU389" i="2"/>
  <c r="AS385" i="2"/>
  <c r="AQ389" i="2"/>
  <c r="AR387" i="2"/>
  <c r="AN389" i="2"/>
  <c r="AU385" i="2"/>
  <c r="AN386" i="2"/>
  <c r="AN385" i="2"/>
  <c r="AQ386" i="2"/>
  <c r="AS389" i="2"/>
  <c r="AB13" i="2"/>
  <c r="BG13" i="2" s="1"/>
  <c r="Y13" i="2"/>
  <c r="BD13" i="2" s="1"/>
  <c r="X7" i="2"/>
  <c r="BC7" i="2" s="1"/>
  <c r="X161" i="2"/>
  <c r="BC161" i="2" s="1"/>
  <c r="X157" i="2"/>
  <c r="BC157" i="2" s="1"/>
  <c r="AB165" i="2"/>
  <c r="BG165" i="2" s="1"/>
  <c r="AB210" i="2"/>
  <c r="BG210" i="2" s="1"/>
  <c r="AB211" i="2"/>
  <c r="BG211" i="2" s="1"/>
  <c r="AB166" i="2"/>
  <c r="BG166" i="2" s="1"/>
  <c r="AB207" i="2"/>
  <c r="BG207" i="2" s="1"/>
  <c r="AB160" i="2"/>
  <c r="BG160" i="2" s="1"/>
  <c r="AB164" i="2"/>
  <c r="BG164" i="2" s="1"/>
  <c r="AB162" i="2"/>
  <c r="BG162" i="2" s="1"/>
  <c r="AB209" i="2"/>
  <c r="BG209" i="2" s="1"/>
  <c r="AB205" i="2"/>
  <c r="BG205" i="2" s="1"/>
  <c r="AB161" i="2"/>
  <c r="BG161" i="2" s="1"/>
  <c r="AB169" i="2"/>
  <c r="BG169" i="2" s="1"/>
  <c r="AB204" i="2"/>
  <c r="BG204" i="2" s="1"/>
  <c r="AB163" i="2"/>
  <c r="BG163" i="2" s="1"/>
  <c r="AB158" i="2"/>
  <c r="BG158" i="2" s="1"/>
  <c r="AB208" i="2"/>
  <c r="BG208" i="2" s="1"/>
  <c r="AB170" i="2"/>
  <c r="BG170" i="2" s="1"/>
  <c r="AB157" i="2"/>
  <c r="BG157" i="2" s="1"/>
  <c r="AB167" i="2"/>
  <c r="BG167" i="2" s="1"/>
  <c r="AB168" i="2"/>
  <c r="BG168" i="2" s="1"/>
  <c r="AB206" i="2"/>
  <c r="BG206" i="2" s="1"/>
  <c r="AB212" i="2"/>
  <c r="BG212" i="2" s="1"/>
  <c r="X6" i="2"/>
  <c r="BC6" i="2" s="1"/>
  <c r="X206" i="2"/>
  <c r="BC206" i="2" s="1"/>
  <c r="X160" i="2"/>
  <c r="BC160" i="2" s="1"/>
  <c r="X204" i="2"/>
  <c r="BC204" i="2" s="1"/>
  <c r="X167" i="2"/>
  <c r="BC167" i="2" s="1"/>
  <c r="X168" i="2"/>
  <c r="BC168" i="2" s="1"/>
  <c r="X166" i="2"/>
  <c r="BC166" i="2" s="1"/>
  <c r="X162" i="2"/>
  <c r="BC162" i="2" s="1"/>
  <c r="X158" i="2"/>
  <c r="BC158" i="2" s="1"/>
  <c r="X164" i="2"/>
  <c r="BC164" i="2" s="1"/>
  <c r="X207" i="2"/>
  <c r="BC207" i="2" s="1"/>
  <c r="X208" i="2"/>
  <c r="BC208" i="2" s="1"/>
  <c r="X212" i="2"/>
  <c r="BC212" i="2" s="1"/>
  <c r="X165" i="2"/>
  <c r="BC165" i="2" s="1"/>
  <c r="X170" i="2"/>
  <c r="BC170" i="2" s="1"/>
  <c r="X209" i="2"/>
  <c r="BC209" i="2" s="1"/>
  <c r="X211" i="2"/>
  <c r="BC211" i="2" s="1"/>
  <c r="X210" i="2"/>
  <c r="BC210" i="2" s="1"/>
  <c r="X169" i="2"/>
  <c r="BC169" i="2" s="1"/>
  <c r="X205" i="2"/>
  <c r="BC205" i="2" s="1"/>
  <c r="Y167" i="2"/>
  <c r="BD167" i="2" s="1"/>
  <c r="Y160" i="2"/>
  <c r="BD160" i="2" s="1"/>
  <c r="Y212" i="2"/>
  <c r="BD212" i="2" s="1"/>
  <c r="Y168" i="2"/>
  <c r="BD168" i="2" s="1"/>
  <c r="Y161" i="2"/>
  <c r="BD161" i="2" s="1"/>
  <c r="Y166" i="2"/>
  <c r="BD166" i="2" s="1"/>
  <c r="Y209" i="2"/>
  <c r="BD209" i="2" s="1"/>
  <c r="Y163" i="2"/>
  <c r="BD163" i="2" s="1"/>
  <c r="Y211" i="2"/>
  <c r="BD211" i="2" s="1"/>
  <c r="Y164" i="2"/>
  <c r="BD164" i="2" s="1"/>
  <c r="Y207" i="2"/>
  <c r="BD207" i="2" s="1"/>
  <c r="Y210" i="2"/>
  <c r="BD210" i="2" s="1"/>
  <c r="Y170" i="2"/>
  <c r="BD170" i="2" s="1"/>
  <c r="Y208" i="2"/>
  <c r="BD208" i="2" s="1"/>
  <c r="Y158" i="2"/>
  <c r="BD158" i="2" s="1"/>
  <c r="Y157" i="2"/>
  <c r="BD157" i="2" s="1"/>
  <c r="Y162" i="2"/>
  <c r="BD162" i="2" s="1"/>
  <c r="Y205" i="2"/>
  <c r="BD205" i="2" s="1"/>
  <c r="Y169" i="2"/>
  <c r="BD169" i="2" s="1"/>
  <c r="Y165" i="2"/>
  <c r="BD165" i="2" s="1"/>
  <c r="Y206" i="2"/>
  <c r="BD206" i="2" s="1"/>
  <c r="X163" i="2"/>
  <c r="BC163" i="2" s="1"/>
  <c r="X184" i="2"/>
  <c r="BC184" i="2" s="1"/>
  <c r="X50" i="2"/>
  <c r="BC50" i="2" s="1"/>
  <c r="X117" i="2"/>
  <c r="BC117" i="2" s="1"/>
  <c r="Y19" i="2"/>
  <c r="BD19" i="2" s="1"/>
  <c r="Y327" i="2"/>
  <c r="BD327" i="2" s="1"/>
  <c r="Y74" i="2"/>
  <c r="BD74" i="2" s="1"/>
  <c r="Y73" i="2"/>
  <c r="BD73" i="2" s="1"/>
  <c r="Y349" i="2"/>
  <c r="BD349" i="2" s="1"/>
  <c r="Y129" i="2"/>
  <c r="BD129" i="2" s="1"/>
  <c r="Y193" i="2"/>
  <c r="BD193" i="2" s="1"/>
  <c r="Y330" i="2"/>
  <c r="BD330" i="2" s="1"/>
  <c r="Y355" i="2"/>
  <c r="BD355" i="2" s="1"/>
  <c r="Y302" i="2"/>
  <c r="BD302" i="2" s="1"/>
  <c r="Y301" i="2"/>
  <c r="BD301" i="2" s="1"/>
  <c r="Y57" i="2"/>
  <c r="BD57" i="2" s="1"/>
  <c r="Y183" i="2"/>
  <c r="BD183" i="2" s="1"/>
  <c r="Y360" i="2"/>
  <c r="BD360" i="2" s="1"/>
  <c r="Y47" i="2"/>
  <c r="BD47" i="2" s="1"/>
  <c r="Y192" i="2"/>
  <c r="BD192" i="2" s="1"/>
  <c r="Y287" i="2"/>
  <c r="BD287" i="2" s="1"/>
  <c r="Y258" i="2"/>
  <c r="BD258" i="2" s="1"/>
  <c r="Y257" i="2"/>
  <c r="BD257" i="2" s="1"/>
  <c r="Y254" i="2"/>
  <c r="BD254" i="2" s="1"/>
  <c r="Y82" i="2"/>
  <c r="BD82" i="2" s="1"/>
  <c r="Y52" i="2"/>
  <c r="BD52" i="2" s="1"/>
  <c r="Y227" i="2"/>
  <c r="BD227" i="2" s="1"/>
  <c r="Y284" i="2"/>
  <c r="BD284" i="2" s="1"/>
  <c r="Y124" i="2"/>
  <c r="BD124" i="2" s="1"/>
  <c r="Y40" i="2"/>
  <c r="BD40" i="2" s="1"/>
  <c r="Y296" i="2"/>
  <c r="BD296" i="2" s="1"/>
  <c r="Y100" i="2"/>
  <c r="BD100" i="2" s="1"/>
  <c r="Y342" i="2"/>
  <c r="BD342" i="2" s="1"/>
  <c r="Y229" i="2"/>
  <c r="BD229" i="2" s="1"/>
  <c r="Y38" i="2"/>
  <c r="BD38" i="2" s="1"/>
  <c r="Y334" i="2"/>
  <c r="BD334" i="2" s="1"/>
  <c r="Y196" i="2"/>
  <c r="BD196" i="2" s="1"/>
  <c r="Y230" i="2"/>
  <c r="BD230" i="2" s="1"/>
  <c r="Y347" i="2"/>
  <c r="BD347" i="2" s="1"/>
  <c r="Y381" i="2"/>
  <c r="BD381" i="2" s="1"/>
  <c r="Y366" i="2"/>
  <c r="BD366" i="2" s="1"/>
  <c r="Y146" i="2"/>
  <c r="BD146" i="2" s="1"/>
  <c r="Y190" i="2"/>
  <c r="BD190" i="2" s="1"/>
  <c r="Y214" i="2"/>
  <c r="BD214" i="2" s="1"/>
  <c r="Y271" i="2"/>
  <c r="BD271" i="2" s="1"/>
  <c r="Y76" i="2"/>
  <c r="BD76" i="2" s="1"/>
  <c r="Y112" i="2"/>
  <c r="BD112" i="2" s="1"/>
  <c r="Y138" i="2"/>
  <c r="BD138" i="2" s="1"/>
  <c r="Y140" i="2"/>
  <c r="BD140" i="2" s="1"/>
  <c r="Y200" i="2"/>
  <c r="BD200" i="2" s="1"/>
  <c r="Y333" i="2"/>
  <c r="BD333" i="2" s="1"/>
  <c r="Y36" i="2"/>
  <c r="BD36" i="2" s="1"/>
  <c r="Y265" i="2"/>
  <c r="BD265" i="2" s="1"/>
  <c r="Y30" i="2"/>
  <c r="BD30" i="2" s="1"/>
  <c r="Y29" i="2"/>
  <c r="BD29" i="2" s="1"/>
  <c r="Y156" i="2"/>
  <c r="BD156" i="2" s="1"/>
  <c r="Y263" i="2"/>
  <c r="BD263" i="2" s="1"/>
  <c r="Y242" i="2"/>
  <c r="BD242" i="2" s="1"/>
  <c r="Y273" i="2"/>
  <c r="BD273" i="2" s="1"/>
  <c r="Y185" i="2"/>
  <c r="BD185" i="2" s="1"/>
  <c r="Y171" i="2"/>
  <c r="BD171" i="2" s="1"/>
  <c r="Y159" i="2"/>
  <c r="BD159" i="2" s="1"/>
  <c r="Y197" i="2"/>
  <c r="BD197" i="2" s="1"/>
  <c r="Y107" i="2"/>
  <c r="BD107" i="2" s="1"/>
  <c r="Y335" i="2"/>
  <c r="BD335" i="2" s="1"/>
  <c r="Y89" i="2"/>
  <c r="BD89" i="2" s="1"/>
  <c r="Y15" i="2"/>
  <c r="BD15" i="2" s="1"/>
  <c r="Y384" i="2"/>
  <c r="BD384" i="2" s="1"/>
  <c r="Y150" i="2"/>
  <c r="BD150" i="2" s="1"/>
  <c r="Y290" i="2"/>
  <c r="BD290" i="2" s="1"/>
  <c r="Y154" i="2"/>
  <c r="BD154" i="2" s="1"/>
  <c r="Y71" i="2"/>
  <c r="BD71" i="2" s="1"/>
  <c r="Y70" i="2"/>
  <c r="BD70" i="2" s="1"/>
  <c r="Y281" i="2"/>
  <c r="BD281" i="2" s="1"/>
  <c r="Y272" i="2"/>
  <c r="BD272" i="2" s="1"/>
  <c r="Y316" i="2"/>
  <c r="BD316" i="2" s="1"/>
  <c r="Y49" i="2"/>
  <c r="BD49" i="2" s="1"/>
  <c r="Y184" i="2"/>
  <c r="BD184" i="2" s="1"/>
  <c r="Y106" i="2"/>
  <c r="BD106" i="2" s="1"/>
  <c r="Y215" i="2"/>
  <c r="BD215" i="2" s="1"/>
  <c r="Y324" i="2"/>
  <c r="BD324" i="2" s="1"/>
  <c r="Y94" i="2"/>
  <c r="BD94" i="2" s="1"/>
  <c r="Y260" i="2"/>
  <c r="BD260" i="2" s="1"/>
  <c r="Y331" i="2"/>
  <c r="BD331" i="2" s="1"/>
  <c r="Y32" i="2"/>
  <c r="BD32" i="2" s="1"/>
  <c r="Y128" i="2"/>
  <c r="BD128" i="2" s="1"/>
  <c r="Y199" i="2"/>
  <c r="BD199" i="2" s="1"/>
  <c r="Y282" i="2"/>
  <c r="BD282" i="2" s="1"/>
  <c r="Y83" i="2"/>
  <c r="BD83" i="2" s="1"/>
  <c r="Y172" i="2"/>
  <c r="BD172" i="2" s="1"/>
  <c r="Y310" i="2"/>
  <c r="BD310" i="2" s="1"/>
  <c r="Y105" i="2"/>
  <c r="BD105" i="2" s="1"/>
  <c r="Y340" i="2"/>
  <c r="BD340" i="2" s="1"/>
  <c r="Y153" i="2"/>
  <c r="BD153" i="2" s="1"/>
  <c r="Y325" i="2"/>
  <c r="BD325" i="2" s="1"/>
  <c r="Y289" i="2"/>
  <c r="BD289" i="2" s="1"/>
  <c r="Y191" i="2"/>
  <c r="BD191" i="2" s="1"/>
  <c r="Y101" i="2"/>
  <c r="BD101" i="2" s="1"/>
  <c r="Y142" i="2"/>
  <c r="BD142" i="2" s="1"/>
  <c r="Y253" i="2"/>
  <c r="BD253" i="2" s="1"/>
  <c r="Y182" i="2"/>
  <c r="BD182" i="2" s="1"/>
  <c r="Y181" i="2"/>
  <c r="BD181" i="2" s="1"/>
  <c r="Y339" i="2"/>
  <c r="BD339" i="2" s="1"/>
  <c r="Y69" i="2"/>
  <c r="BD69" i="2" s="1"/>
  <c r="Y151" i="2"/>
  <c r="BD151" i="2" s="1"/>
  <c r="Y147" i="2"/>
  <c r="BD147" i="2" s="1"/>
  <c r="Y317" i="2"/>
  <c r="BD317" i="2" s="1"/>
  <c r="Y361" i="2"/>
  <c r="BD361" i="2" s="1"/>
  <c r="Y99" i="2"/>
  <c r="BD99" i="2" s="1"/>
  <c r="Y141" i="2"/>
  <c r="BD141" i="2" s="1"/>
  <c r="Y280" i="2"/>
  <c r="BD280" i="2" s="1"/>
  <c r="Y201" i="2"/>
  <c r="BD201" i="2" s="1"/>
  <c r="Y86" i="2"/>
  <c r="BD86" i="2" s="1"/>
  <c r="Y35" i="2"/>
  <c r="BD35" i="2" s="1"/>
  <c r="Y338" i="2"/>
  <c r="BD338" i="2" s="1"/>
  <c r="Y126" i="2"/>
  <c r="BD126" i="2" s="1"/>
  <c r="Y318" i="2"/>
  <c r="BD318" i="2" s="1"/>
  <c r="Y54" i="2"/>
  <c r="BD54" i="2" s="1"/>
  <c r="Y328" i="2"/>
  <c r="BD328" i="2" s="1"/>
  <c r="Y55" i="2"/>
  <c r="BD55" i="2" s="1"/>
  <c r="Y213" i="2"/>
  <c r="BD213" i="2" s="1"/>
  <c r="Y344" i="2"/>
  <c r="BD344" i="2" s="1"/>
  <c r="Y85" i="2"/>
  <c r="BD85" i="2" s="1"/>
  <c r="Y80" i="2"/>
  <c r="BD80" i="2" s="1"/>
  <c r="Y356" i="2"/>
  <c r="BD356" i="2" s="1"/>
  <c r="Y136" i="2"/>
  <c r="BD136" i="2" s="1"/>
  <c r="Y341" i="2"/>
  <c r="BD341" i="2" s="1"/>
  <c r="Y189" i="2"/>
  <c r="BD189" i="2" s="1"/>
  <c r="Y56" i="2"/>
  <c r="BD56" i="2" s="1"/>
  <c r="Y320" i="2"/>
  <c r="BD320" i="2" s="1"/>
  <c r="Y225" i="2"/>
  <c r="BD225" i="2" s="1"/>
  <c r="Y26" i="2"/>
  <c r="BD26" i="2" s="1"/>
  <c r="Y223" i="2"/>
  <c r="BD223" i="2" s="1"/>
  <c r="Y88" i="2"/>
  <c r="BD88" i="2" s="1"/>
  <c r="Y44" i="2"/>
  <c r="BD44" i="2" s="1"/>
  <c r="Y194" i="2"/>
  <c r="BD194" i="2" s="1"/>
  <c r="Y236" i="2"/>
  <c r="BD236" i="2" s="1"/>
  <c r="Y68" i="2"/>
  <c r="BD68" i="2" s="1"/>
  <c r="Y326" i="2"/>
  <c r="BD326" i="2" s="1"/>
  <c r="Y116" i="2"/>
  <c r="BD116" i="2" s="1"/>
  <c r="Y148" i="2"/>
  <c r="BD148" i="2" s="1"/>
  <c r="Y102" i="2"/>
  <c r="BD102" i="2" s="1"/>
  <c r="Y367" i="2"/>
  <c r="BD367" i="2" s="1"/>
  <c r="Y235" i="2"/>
  <c r="BD235" i="2" s="1"/>
  <c r="Y380" i="2"/>
  <c r="BD380" i="2" s="1"/>
  <c r="Y75" i="2"/>
  <c r="BD75" i="2" s="1"/>
  <c r="Y135" i="2"/>
  <c r="BD135" i="2" s="1"/>
  <c r="Y300" i="2"/>
  <c r="BD300" i="2" s="1"/>
  <c r="Y368" i="2"/>
  <c r="BD368" i="2" s="1"/>
  <c r="Y261" i="2"/>
  <c r="BD261" i="2" s="1"/>
  <c r="Y66" i="2"/>
  <c r="BD66" i="2" s="1"/>
  <c r="Y247" i="2"/>
  <c r="BD247" i="2" s="1"/>
  <c r="Y84" i="2"/>
  <c r="BD84" i="2" s="1"/>
  <c r="Y240" i="2"/>
  <c r="BD240" i="2" s="1"/>
  <c r="Y383" i="2"/>
  <c r="BD383" i="2" s="1"/>
  <c r="Y108" i="2"/>
  <c r="BD108" i="2" s="1"/>
  <c r="Y121" i="2"/>
  <c r="BD121" i="2" s="1"/>
  <c r="Y373" i="2"/>
  <c r="BD373" i="2" s="1"/>
  <c r="Y152" i="2"/>
  <c r="BD152" i="2" s="1"/>
  <c r="Y268" i="2"/>
  <c r="BD268" i="2" s="1"/>
  <c r="Y232" i="2"/>
  <c r="BD232" i="2" s="1"/>
  <c r="Y64" i="2"/>
  <c r="BD64" i="2" s="1"/>
  <c r="Y61" i="2"/>
  <c r="BD61" i="2" s="1"/>
  <c r="Y198" i="2"/>
  <c r="BD198" i="2" s="1"/>
  <c r="Y363" i="2"/>
  <c r="BD363" i="2" s="1"/>
  <c r="Y359" i="2"/>
  <c r="BD359" i="2" s="1"/>
  <c r="Y292" i="2"/>
  <c r="BD292" i="2" s="1"/>
  <c r="Y291" i="2"/>
  <c r="BD291" i="2" s="1"/>
  <c r="Y81" i="2"/>
  <c r="BD81" i="2" s="1"/>
  <c r="Y218" i="2"/>
  <c r="BD218" i="2" s="1"/>
  <c r="Y343" i="2"/>
  <c r="BD343" i="2" s="1"/>
  <c r="Y377" i="2"/>
  <c r="BD377" i="2" s="1"/>
  <c r="Y110" i="2"/>
  <c r="BD110" i="2" s="1"/>
  <c r="Y376" i="2"/>
  <c r="BD376" i="2" s="1"/>
  <c r="Y144" i="2"/>
  <c r="BD144" i="2" s="1"/>
  <c r="Y113" i="2"/>
  <c r="BD113" i="2" s="1"/>
  <c r="Y27" i="2"/>
  <c r="BD27" i="2" s="1"/>
  <c r="Y178" i="2"/>
  <c r="BD178" i="2" s="1"/>
  <c r="Y177" i="2"/>
  <c r="BD177" i="2" s="1"/>
  <c r="Y155" i="2"/>
  <c r="BD155" i="2" s="1"/>
  <c r="Y346" i="2"/>
  <c r="BD346" i="2" s="1"/>
  <c r="Y298" i="2"/>
  <c r="BD298" i="2" s="1"/>
  <c r="Y203" i="2"/>
  <c r="BD203" i="2" s="1"/>
  <c r="Y262" i="2"/>
  <c r="BD262" i="2" s="1"/>
  <c r="Y354" i="2"/>
  <c r="BD354" i="2" s="1"/>
  <c r="Y353" i="2"/>
  <c r="BD353" i="2" s="1"/>
  <c r="Y352" i="2"/>
  <c r="BD352" i="2" s="1"/>
  <c r="Y120" i="2"/>
  <c r="BD120" i="2" s="1"/>
  <c r="Y248" i="2"/>
  <c r="BD248" i="2" s="1"/>
  <c r="Y283" i="2"/>
  <c r="BD283" i="2" s="1"/>
  <c r="Y299" i="2"/>
  <c r="BD299" i="2" s="1"/>
  <c r="Y87" i="2"/>
  <c r="BD87" i="2" s="1"/>
  <c r="Y187" i="2"/>
  <c r="BD187" i="2" s="1"/>
  <c r="Y228" i="2"/>
  <c r="BD228" i="2" s="1"/>
  <c r="Y109" i="2"/>
  <c r="BD109" i="2" s="1"/>
  <c r="Y286" i="2"/>
  <c r="BD286" i="2" s="1"/>
  <c r="Y195" i="2"/>
  <c r="BD195" i="2" s="1"/>
  <c r="Y365" i="2"/>
  <c r="BD365" i="2" s="1"/>
  <c r="Y39" i="2"/>
  <c r="BD39" i="2" s="1"/>
  <c r="Y226" i="2"/>
  <c r="BD226" i="2" s="1"/>
  <c r="Y31" i="2"/>
  <c r="BD31" i="2" s="1"/>
  <c r="Y264" i="2"/>
  <c r="BD264" i="2" s="1"/>
  <c r="Y78" i="2"/>
  <c r="BD78" i="2" s="1"/>
  <c r="Y234" i="2"/>
  <c r="BD234" i="2" s="1"/>
  <c r="Y266" i="2"/>
  <c r="BD266" i="2" s="1"/>
  <c r="Y25" i="2"/>
  <c r="BD25" i="2" s="1"/>
  <c r="Y180" i="2"/>
  <c r="BD180" i="2" s="1"/>
  <c r="Y175" i="2"/>
  <c r="BD175" i="2" s="1"/>
  <c r="Y323" i="2"/>
  <c r="BD323" i="2" s="1"/>
  <c r="Y96" i="2"/>
  <c r="BD96" i="2" s="1"/>
  <c r="Y53" i="2"/>
  <c r="BD53" i="2" s="1"/>
  <c r="Y98" i="2"/>
  <c r="BD98" i="2" s="1"/>
  <c r="Y97" i="2"/>
  <c r="BD97" i="2" s="1"/>
  <c r="Y238" i="2"/>
  <c r="BD238" i="2" s="1"/>
  <c r="Y382" i="2"/>
  <c r="BD382" i="2" s="1"/>
  <c r="Y46" i="2"/>
  <c r="BD46" i="2" s="1"/>
  <c r="Y119" i="2"/>
  <c r="BD119" i="2" s="1"/>
  <c r="Y34" i="2"/>
  <c r="BD34" i="2" s="1"/>
  <c r="Y293" i="2"/>
  <c r="BD293" i="2" s="1"/>
  <c r="Y379" i="2"/>
  <c r="BD379" i="2" s="1"/>
  <c r="Y65" i="2"/>
  <c r="BD65" i="2" s="1"/>
  <c r="Y378" i="2"/>
  <c r="BD378" i="2" s="1"/>
  <c r="Y117" i="2"/>
  <c r="BD117" i="2" s="1"/>
  <c r="Y270" i="2"/>
  <c r="BD270" i="2" s="1"/>
  <c r="Y319" i="2"/>
  <c r="BD319" i="2" s="1"/>
  <c r="Y297" i="2"/>
  <c r="BD297" i="2" s="1"/>
  <c r="Y221" i="2"/>
  <c r="BD221" i="2" s="1"/>
  <c r="Y219" i="2"/>
  <c r="BD219" i="2" s="1"/>
  <c r="Y369" i="2"/>
  <c r="BD369" i="2" s="1"/>
  <c r="Y131" i="2"/>
  <c r="BD131" i="2" s="1"/>
  <c r="Y28" i="2"/>
  <c r="BD28" i="2" s="1"/>
  <c r="Y134" i="2"/>
  <c r="BD134" i="2" s="1"/>
  <c r="Y133" i="2"/>
  <c r="BD133" i="2" s="1"/>
  <c r="Y274" i="2"/>
  <c r="BD274" i="2" s="1"/>
  <c r="Y60" i="2"/>
  <c r="BD60" i="2" s="1"/>
  <c r="Y173" i="2"/>
  <c r="BD173" i="2" s="1"/>
  <c r="Y362" i="2"/>
  <c r="BD362" i="2" s="1"/>
  <c r="Y255" i="2"/>
  <c r="BD255" i="2" s="1"/>
  <c r="Y58" i="2"/>
  <c r="BD58" i="2" s="1"/>
  <c r="Y115" i="2"/>
  <c r="BD115" i="2" s="1"/>
  <c r="Y118" i="2"/>
  <c r="BD118" i="2" s="1"/>
  <c r="Y111" i="2"/>
  <c r="BD111" i="2" s="1"/>
  <c r="Y252" i="2"/>
  <c r="BD252" i="2" s="1"/>
  <c r="Y130" i="2"/>
  <c r="BD130" i="2" s="1"/>
  <c r="Y288" i="2"/>
  <c r="BD288" i="2" s="1"/>
  <c r="Y364" i="2"/>
  <c r="BD364" i="2" s="1"/>
  <c r="Y370" i="2"/>
  <c r="BD370" i="2" s="1"/>
  <c r="Y123" i="2"/>
  <c r="BD123" i="2" s="1"/>
  <c r="Y48" i="2"/>
  <c r="BD48" i="2" s="1"/>
  <c r="Y139" i="2"/>
  <c r="BD139" i="2" s="1"/>
  <c r="Y332" i="2"/>
  <c r="BD332" i="2" s="1"/>
  <c r="Y256" i="2"/>
  <c r="BD256" i="2" s="1"/>
  <c r="Y37" i="2"/>
  <c r="BD37" i="2" s="1"/>
  <c r="Y72" i="2"/>
  <c r="BD72" i="2" s="1"/>
  <c r="Y186" i="2"/>
  <c r="BD186" i="2" s="1"/>
  <c r="Y104" i="2"/>
  <c r="BD104" i="2" s="1"/>
  <c r="Y103" i="2"/>
  <c r="BD103" i="2" s="1"/>
  <c r="Y244" i="2"/>
  <c r="BD244" i="2" s="1"/>
  <c r="Y358" i="2"/>
  <c r="BD358" i="2" s="1"/>
  <c r="Y249" i="2"/>
  <c r="BD249" i="2" s="1"/>
  <c r="Y239" i="2"/>
  <c r="BD239" i="2" s="1"/>
  <c r="Y267" i="2"/>
  <c r="BD267" i="2" s="1"/>
  <c r="Y179" i="2"/>
  <c r="BD179" i="2" s="1"/>
  <c r="Y348" i="2"/>
  <c r="BD348" i="2" s="1"/>
  <c r="Y42" i="2"/>
  <c r="BD42" i="2" s="1"/>
  <c r="Y127" i="2"/>
  <c r="BD127" i="2" s="1"/>
  <c r="Y237" i="2"/>
  <c r="BD237" i="2" s="1"/>
  <c r="Y137" i="2"/>
  <c r="BD137" i="2" s="1"/>
  <c r="Y295" i="2"/>
  <c r="BD295" i="2" s="1"/>
  <c r="Y122" i="2"/>
  <c r="BD122" i="2" s="1"/>
  <c r="Y149" i="2"/>
  <c r="BD149" i="2" s="1"/>
  <c r="Y67" i="2"/>
  <c r="BD67" i="2" s="1"/>
  <c r="Y224" i="2"/>
  <c r="BD224" i="2" s="1"/>
  <c r="Y50" i="2"/>
  <c r="BD50" i="2" s="1"/>
  <c r="Y329" i="2"/>
  <c r="BD329" i="2" s="1"/>
  <c r="Y345" i="2"/>
  <c r="BD345" i="2" s="1"/>
  <c r="Y114" i="2"/>
  <c r="BD114" i="2" s="1"/>
  <c r="Y250" i="2"/>
  <c r="BD250" i="2" s="1"/>
  <c r="Y202" i="2"/>
  <c r="BD202" i="2" s="1"/>
  <c r="Y259" i="2"/>
  <c r="BD259" i="2" s="1"/>
  <c r="Y243" i="2"/>
  <c r="BD243" i="2" s="1"/>
  <c r="Y231" i="2"/>
  <c r="BD231" i="2" s="1"/>
  <c r="Y336" i="2"/>
  <c r="BD336" i="2" s="1"/>
  <c r="Y125" i="2"/>
  <c r="BD125" i="2" s="1"/>
  <c r="Y357" i="2"/>
  <c r="BD357" i="2" s="1"/>
  <c r="Y371" i="2"/>
  <c r="BD371" i="2" s="1"/>
  <c r="Y176" i="2"/>
  <c r="BD176" i="2" s="1"/>
  <c r="Y233" i="2"/>
  <c r="BD233" i="2" s="1"/>
  <c r="Y350" i="2"/>
  <c r="BD350" i="2" s="1"/>
  <c r="Y91" i="2"/>
  <c r="BD91" i="2" s="1"/>
  <c r="Y145" i="2"/>
  <c r="BD145" i="2" s="1"/>
  <c r="Y246" i="2"/>
  <c r="BD246" i="2" s="1"/>
  <c r="Y241" i="2"/>
  <c r="BD241" i="2" s="1"/>
  <c r="Y43" i="2"/>
  <c r="BD43" i="2" s="1"/>
  <c r="Y79" i="2"/>
  <c r="BD79" i="2" s="1"/>
  <c r="Y188" i="2"/>
  <c r="BD188" i="2" s="1"/>
  <c r="Y285" i="2"/>
  <c r="BD285" i="2" s="1"/>
  <c r="Y251" i="2"/>
  <c r="BD251" i="2" s="1"/>
  <c r="Y41" i="2"/>
  <c r="BD41" i="2" s="1"/>
  <c r="Y174" i="2"/>
  <c r="BD174" i="2" s="1"/>
  <c r="Y217" i="2"/>
  <c r="BD217" i="2" s="1"/>
  <c r="Y143" i="2"/>
  <c r="BD143" i="2" s="1"/>
  <c r="Y59" i="2"/>
  <c r="BD59" i="2" s="1"/>
  <c r="Y216" i="2"/>
  <c r="BD216" i="2" s="1"/>
  <c r="Y269" i="2"/>
  <c r="BD269" i="2" s="1"/>
  <c r="Y337" i="2"/>
  <c r="BD337" i="2" s="1"/>
  <c r="Y375" i="2"/>
  <c r="BD375" i="2" s="1"/>
  <c r="AB26" i="2"/>
  <c r="BG26" i="2" s="1"/>
  <c r="AB381" i="2"/>
  <c r="BG381" i="2" s="1"/>
  <c r="AB24" i="2"/>
  <c r="BG24" i="2" s="1"/>
  <c r="AB297" i="2"/>
  <c r="BG297" i="2" s="1"/>
  <c r="AB178" i="2"/>
  <c r="BG178" i="2" s="1"/>
  <c r="AB60" i="2"/>
  <c r="BG60" i="2" s="1"/>
  <c r="AB370" i="2"/>
  <c r="BG370" i="2" s="1"/>
  <c r="AB96" i="2"/>
  <c r="BG96" i="2" s="1"/>
  <c r="AB47" i="2"/>
  <c r="BG47" i="2" s="1"/>
  <c r="AB203" i="2"/>
  <c r="BG203" i="2" s="1"/>
  <c r="AB138" i="2"/>
  <c r="BG138" i="2" s="1"/>
  <c r="AB326" i="2"/>
  <c r="BG326" i="2" s="1"/>
  <c r="AB239" i="2"/>
  <c r="BG239" i="2" s="1"/>
  <c r="AB64" i="2"/>
  <c r="BG64" i="2" s="1"/>
  <c r="AB282" i="2"/>
  <c r="BG282" i="2" s="1"/>
  <c r="AB198" i="2"/>
  <c r="BG198" i="2" s="1"/>
  <c r="AB334" i="2"/>
  <c r="BG334" i="2" s="1"/>
  <c r="AB273" i="2"/>
  <c r="BG273" i="2" s="1"/>
  <c r="AB226" i="2"/>
  <c r="BG226" i="2" s="1"/>
  <c r="AB89" i="2"/>
  <c r="BG89" i="2" s="1"/>
  <c r="AB300" i="2"/>
  <c r="BG300" i="2" s="1"/>
  <c r="AB176" i="2"/>
  <c r="BG176" i="2" s="1"/>
  <c r="AB85" i="2"/>
  <c r="BG85" i="2" s="1"/>
  <c r="AB146" i="2"/>
  <c r="BG146" i="2" s="1"/>
  <c r="AB379" i="2"/>
  <c r="BG379" i="2" s="1"/>
  <c r="AB199" i="2"/>
  <c r="BG199" i="2" s="1"/>
  <c r="AB72" i="2"/>
  <c r="BG72" i="2" s="1"/>
  <c r="AB283" i="2"/>
  <c r="BG283" i="2" s="1"/>
  <c r="AB225" i="2"/>
  <c r="BG225" i="2" s="1"/>
  <c r="AB50" i="2"/>
  <c r="BG50" i="2" s="1"/>
  <c r="AB286" i="2"/>
  <c r="BG286" i="2" s="1"/>
  <c r="AB193" i="2"/>
  <c r="BG193" i="2" s="1"/>
  <c r="AB35" i="2"/>
  <c r="BG35" i="2" s="1"/>
  <c r="AB145" i="2"/>
  <c r="BG145" i="2" s="1"/>
  <c r="AB73" i="2"/>
  <c r="BG73" i="2" s="1"/>
  <c r="AB358" i="2"/>
  <c r="BG358" i="2" s="1"/>
  <c r="AB141" i="2"/>
  <c r="BG141" i="2" s="1"/>
  <c r="AB91" i="2"/>
  <c r="BG91" i="2" s="1"/>
  <c r="AB269" i="2"/>
  <c r="BG269" i="2" s="1"/>
  <c r="AB144" i="2"/>
  <c r="BG144" i="2" s="1"/>
  <c r="AB377" i="2"/>
  <c r="BG377" i="2" s="1"/>
  <c r="AB86" i="2"/>
  <c r="BG86" i="2" s="1"/>
  <c r="AB352" i="2"/>
  <c r="BG352" i="2" s="1"/>
  <c r="AB215" i="2"/>
  <c r="BG215" i="2" s="1"/>
  <c r="AB79" i="2"/>
  <c r="BG79" i="2" s="1"/>
  <c r="AB171" i="2"/>
  <c r="BG171" i="2" s="1"/>
  <c r="AB329" i="2"/>
  <c r="BG329" i="2" s="1"/>
  <c r="AB230" i="2"/>
  <c r="BG230" i="2" s="1"/>
  <c r="AB154" i="2"/>
  <c r="BG154" i="2" s="1"/>
  <c r="AB258" i="2"/>
  <c r="BG258" i="2" s="1"/>
  <c r="AB151" i="2"/>
  <c r="BG151" i="2" s="1"/>
  <c r="AB27" i="2"/>
  <c r="BG27" i="2" s="1"/>
  <c r="AB299" i="2"/>
  <c r="BG299" i="2" s="1"/>
  <c r="AB241" i="2"/>
  <c r="BG241" i="2" s="1"/>
  <c r="AB191" i="2"/>
  <c r="BG191" i="2" s="1"/>
  <c r="AB242" i="2"/>
  <c r="BG242" i="2" s="1"/>
  <c r="AB109" i="2"/>
  <c r="BG109" i="2" s="1"/>
  <c r="AB340" i="2"/>
  <c r="BG340" i="2" s="1"/>
  <c r="AB272" i="2"/>
  <c r="BG272" i="2" s="1"/>
  <c r="AB217" i="2"/>
  <c r="BG217" i="2" s="1"/>
  <c r="AB52" i="2"/>
  <c r="BG52" i="2" s="1"/>
  <c r="AB260" i="2"/>
  <c r="BG260" i="2" s="1"/>
  <c r="AB120" i="2"/>
  <c r="BG120" i="2" s="1"/>
  <c r="AB365" i="2"/>
  <c r="BG365" i="2" s="1"/>
  <c r="AB238" i="2"/>
  <c r="BG238" i="2" s="1"/>
  <c r="AB129" i="2"/>
  <c r="BG129" i="2" s="1"/>
  <c r="AB361" i="2"/>
  <c r="BG361" i="2" s="1"/>
  <c r="AB126" i="2"/>
  <c r="BG126" i="2" s="1"/>
  <c r="AB67" i="2"/>
  <c r="BG67" i="2" s="1"/>
  <c r="AB319" i="2"/>
  <c r="BG319" i="2" s="1"/>
  <c r="AB189" i="2"/>
  <c r="BG189" i="2" s="1"/>
  <c r="AB49" i="2"/>
  <c r="BG49" i="2" s="1"/>
  <c r="AB330" i="2"/>
  <c r="BG330" i="2" s="1"/>
  <c r="AB251" i="2"/>
  <c r="BG251" i="2" s="1"/>
  <c r="AB117" i="2"/>
  <c r="BG117" i="2" s="1"/>
  <c r="AB291" i="2"/>
  <c r="BG291" i="2" s="1"/>
  <c r="AB213" i="2"/>
  <c r="BG213" i="2" s="1"/>
  <c r="AB247" i="2"/>
  <c r="BG247" i="2" s="1"/>
  <c r="AB183" i="2"/>
  <c r="BG183" i="2" s="1"/>
  <c r="AB369" i="2"/>
  <c r="BG369" i="2" s="1"/>
  <c r="AB234" i="2"/>
  <c r="BG234" i="2" s="1"/>
  <c r="AB101" i="2"/>
  <c r="BG101" i="2" s="1"/>
  <c r="AB339" i="2"/>
  <c r="BG339" i="2" s="1"/>
  <c r="AB106" i="2"/>
  <c r="BG106" i="2" s="1"/>
  <c r="AB84" i="2"/>
  <c r="BG84" i="2" s="1"/>
  <c r="AB325" i="2"/>
  <c r="BG325" i="2" s="1"/>
  <c r="AB107" i="2"/>
  <c r="BG107" i="2" s="1"/>
  <c r="AB338" i="2"/>
  <c r="BG338" i="2" s="1"/>
  <c r="AB182" i="2"/>
  <c r="BG182" i="2" s="1"/>
  <c r="AB42" i="2"/>
  <c r="BG42" i="2" s="1"/>
  <c r="AB384" i="2"/>
  <c r="BG384" i="2" s="1"/>
  <c r="AB360" i="2"/>
  <c r="BG360" i="2" s="1"/>
  <c r="AB118" i="2"/>
  <c r="BG118" i="2" s="1"/>
  <c r="AB40" i="2"/>
  <c r="BG40" i="2" s="1"/>
  <c r="AB261" i="2"/>
  <c r="BG261" i="2" s="1"/>
  <c r="AB181" i="2"/>
  <c r="BG181" i="2" s="1"/>
  <c r="AB22" i="2"/>
  <c r="BG22" i="2" s="1"/>
  <c r="AB114" i="2"/>
  <c r="BG114" i="2" s="1"/>
  <c r="AB80" i="2"/>
  <c r="BG80" i="2" s="1"/>
  <c r="AB343" i="2"/>
  <c r="BG343" i="2" s="1"/>
  <c r="AB102" i="2"/>
  <c r="BG102" i="2" s="1"/>
  <c r="AB19" i="2"/>
  <c r="BG19" i="2" s="1"/>
  <c r="AB190" i="2"/>
  <c r="BG190" i="2" s="1"/>
  <c r="AB83" i="2"/>
  <c r="BG83" i="2" s="1"/>
  <c r="AB256" i="2"/>
  <c r="BG256" i="2" s="1"/>
  <c r="AB186" i="2"/>
  <c r="BG186" i="2" s="1"/>
  <c r="AB28" i="2"/>
  <c r="BG28" i="2" s="1"/>
  <c r="AB288" i="2"/>
  <c r="BG288" i="2" s="1"/>
  <c r="AB150" i="2"/>
  <c r="BG150" i="2" s="1"/>
  <c r="AB348" i="2"/>
  <c r="BG348" i="2" s="1"/>
  <c r="AB221" i="2"/>
  <c r="BG221" i="2" s="1"/>
  <c r="AB235" i="2"/>
  <c r="BG235" i="2" s="1"/>
  <c r="AB99" i="2"/>
  <c r="BG99" i="2" s="1"/>
  <c r="AB268" i="2"/>
  <c r="BG268" i="2" s="1"/>
  <c r="AB128" i="2"/>
  <c r="BG128" i="2" s="1"/>
  <c r="AB71" i="2"/>
  <c r="BG71" i="2" s="1"/>
  <c r="AB94" i="2"/>
  <c r="BG94" i="2" s="1"/>
  <c r="AB302" i="2"/>
  <c r="BG302" i="2" s="1"/>
  <c r="AB194" i="2"/>
  <c r="BG194" i="2" s="1"/>
  <c r="AB202" i="2"/>
  <c r="BG202" i="2" s="1"/>
  <c r="AB296" i="2"/>
  <c r="BG296" i="2" s="1"/>
  <c r="AB196" i="2"/>
  <c r="BG196" i="2" s="1"/>
  <c r="AB65" i="2"/>
  <c r="BG65" i="2" s="1"/>
  <c r="AB356" i="2"/>
  <c r="BG356" i="2" s="1"/>
  <c r="AB122" i="2"/>
  <c r="BG122" i="2" s="1"/>
  <c r="AB367" i="2"/>
  <c r="BG367" i="2" s="1"/>
  <c r="AB257" i="2"/>
  <c r="BG257" i="2" s="1"/>
  <c r="AB123" i="2"/>
  <c r="BG123" i="2" s="1"/>
  <c r="AB355" i="2"/>
  <c r="BG355" i="2" s="1"/>
  <c r="AB200" i="2"/>
  <c r="BG200" i="2" s="1"/>
  <c r="AB147" i="2"/>
  <c r="BG147" i="2" s="1"/>
  <c r="AB68" i="2"/>
  <c r="BG68" i="2" s="1"/>
  <c r="AB378" i="2"/>
  <c r="BG378" i="2" s="1"/>
  <c r="AB135" i="2"/>
  <c r="BG135" i="2" s="1"/>
  <c r="AB43" i="2"/>
  <c r="BG43" i="2" s="1"/>
  <c r="AB335" i="2"/>
  <c r="BG335" i="2" s="1"/>
  <c r="AB271" i="2"/>
  <c r="BG271" i="2" s="1"/>
  <c r="AB175" i="2"/>
  <c r="BG175" i="2" s="1"/>
  <c r="AB332" i="2"/>
  <c r="BG332" i="2" s="1"/>
  <c r="AB172" i="2"/>
  <c r="BG172" i="2" s="1"/>
  <c r="AB36" i="2"/>
  <c r="BG36" i="2" s="1"/>
  <c r="AB364" i="2"/>
  <c r="BG364" i="2" s="1"/>
  <c r="AB98" i="2"/>
  <c r="BG98" i="2" s="1"/>
  <c r="AB31" i="2"/>
  <c r="BG31" i="2" s="1"/>
  <c r="AB232" i="2"/>
  <c r="BG232" i="2" s="1"/>
  <c r="AB131" i="2"/>
  <c r="BG131" i="2" s="1"/>
  <c r="AB318" i="2"/>
  <c r="BG318" i="2" s="1"/>
  <c r="AB174" i="2"/>
  <c r="BG174" i="2" s="1"/>
  <c r="AB66" i="2"/>
  <c r="BG66" i="2" s="1"/>
  <c r="AB48" i="2"/>
  <c r="BG48" i="2" s="1"/>
  <c r="AB250" i="2"/>
  <c r="BG250" i="2" s="1"/>
  <c r="AB110" i="2"/>
  <c r="BG110" i="2" s="1"/>
  <c r="AB30" i="2"/>
  <c r="BG30" i="2" s="1"/>
  <c r="AB290" i="2"/>
  <c r="BG290" i="2" s="1"/>
  <c r="AB185" i="2"/>
  <c r="BG185" i="2" s="1"/>
  <c r="AB223" i="2"/>
  <c r="BG223" i="2" s="1"/>
  <c r="AB373" i="2"/>
  <c r="BG373" i="2" s="1"/>
  <c r="AB139" i="2"/>
  <c r="BG139" i="2" s="1"/>
  <c r="AB44" i="2"/>
  <c r="BG44" i="2" s="1"/>
  <c r="AB368" i="2"/>
  <c r="BG368" i="2" s="1"/>
  <c r="AB140" i="2"/>
  <c r="BG140" i="2" s="1"/>
  <c r="AB371" i="2"/>
  <c r="BG371" i="2" s="1"/>
  <c r="AB243" i="2"/>
  <c r="BG243" i="2" s="1"/>
  <c r="AB74" i="2"/>
  <c r="BG74" i="2" s="1"/>
  <c r="AB285" i="2"/>
  <c r="BG285" i="2" s="1"/>
  <c r="AB100" i="2"/>
  <c r="BG100" i="2" s="1"/>
  <c r="AB38" i="2"/>
  <c r="BG38" i="2" s="1"/>
  <c r="AB280" i="2"/>
  <c r="BG280" i="2" s="1"/>
  <c r="AB142" i="2"/>
  <c r="BG142" i="2" s="1"/>
  <c r="AB375" i="2"/>
  <c r="BG375" i="2" s="1"/>
  <c r="AB324" i="2"/>
  <c r="BG324" i="2" s="1"/>
  <c r="AB224" i="2"/>
  <c r="BG224" i="2" s="1"/>
  <c r="AB87" i="2"/>
  <c r="BG87" i="2" s="1"/>
  <c r="AB298" i="2"/>
  <c r="BG298" i="2" s="1"/>
  <c r="AB153" i="2"/>
  <c r="BG153" i="2" s="1"/>
  <c r="AB201" i="2"/>
  <c r="BG201" i="2" s="1"/>
  <c r="AB119" i="2"/>
  <c r="BG119" i="2" s="1"/>
  <c r="AB293" i="2"/>
  <c r="BG293" i="2" s="1"/>
  <c r="AB197" i="2"/>
  <c r="BG197" i="2" s="1"/>
  <c r="AB59" i="2"/>
  <c r="BG59" i="2" s="1"/>
  <c r="AB345" i="2"/>
  <c r="BG345" i="2" s="1"/>
  <c r="AB195" i="2"/>
  <c r="BG195" i="2" s="1"/>
  <c r="AB383" i="2"/>
  <c r="BG383" i="2" s="1"/>
  <c r="AB255" i="2"/>
  <c r="BG255" i="2" s="1"/>
  <c r="AB76" i="2"/>
  <c r="BG76" i="2" s="1"/>
  <c r="AB287" i="2"/>
  <c r="BG287" i="2" s="1"/>
  <c r="AB143" i="2"/>
  <c r="BG143" i="2" s="1"/>
  <c r="AB69" i="2"/>
  <c r="BG69" i="2" s="1"/>
  <c r="AB347" i="2"/>
  <c r="BG347" i="2" s="1"/>
  <c r="AB284" i="2"/>
  <c r="BG284" i="2" s="1"/>
  <c r="AB246" i="2"/>
  <c r="BG246" i="2" s="1"/>
  <c r="AB327" i="2"/>
  <c r="BG327" i="2" s="1"/>
  <c r="AB267" i="2"/>
  <c r="BG267" i="2" s="1"/>
  <c r="AB134" i="2"/>
  <c r="BG134" i="2" s="1"/>
  <c r="AB219" i="2"/>
  <c r="BG219" i="2" s="1"/>
  <c r="AB46" i="2"/>
  <c r="BG46" i="2" s="1"/>
  <c r="AB263" i="2"/>
  <c r="BG263" i="2" s="1"/>
  <c r="AB155" i="2"/>
  <c r="BG155" i="2" s="1"/>
  <c r="AB331" i="2"/>
  <c r="BG331" i="2" s="1"/>
  <c r="AB295" i="2"/>
  <c r="BG295" i="2" s="1"/>
  <c r="AB156" i="2"/>
  <c r="BG156" i="2" s="1"/>
  <c r="AB333" i="2"/>
  <c r="BG333" i="2" s="1"/>
  <c r="AB218" i="2"/>
  <c r="BG218" i="2" s="1"/>
  <c r="AB41" i="2"/>
  <c r="BG41" i="2" s="1"/>
  <c r="AB366" i="2"/>
  <c r="BG366" i="2" s="1"/>
  <c r="AB116" i="2"/>
  <c r="BG116" i="2" s="1"/>
  <c r="AB25" i="2"/>
  <c r="BG25" i="2" s="1"/>
  <c r="AB244" i="2"/>
  <c r="BG244" i="2" s="1"/>
  <c r="AB152" i="2"/>
  <c r="BG152" i="2" s="1"/>
  <c r="AB350" i="2"/>
  <c r="BG350" i="2" s="1"/>
  <c r="AB240" i="2"/>
  <c r="BG240" i="2" s="1"/>
  <c r="AB54" i="2"/>
  <c r="BG54" i="2" s="1"/>
  <c r="AB262" i="2"/>
  <c r="BG262" i="2" s="1"/>
  <c r="AB130" i="2"/>
  <c r="BG130" i="2" s="1"/>
  <c r="AB82" i="2"/>
  <c r="BG82" i="2" s="1"/>
  <c r="AB265" i="2"/>
  <c r="BG265" i="2" s="1"/>
  <c r="AB177" i="2"/>
  <c r="BG177" i="2" s="1"/>
  <c r="AB363" i="2"/>
  <c r="BG363" i="2" s="1"/>
  <c r="AB227" i="2"/>
  <c r="BG227" i="2" s="1"/>
  <c r="AB103" i="2"/>
  <c r="BG103" i="2" s="1"/>
  <c r="AB341" i="2"/>
  <c r="BG341" i="2" s="1"/>
  <c r="AB124" i="2"/>
  <c r="BG124" i="2" s="1"/>
  <c r="AB57" i="2"/>
  <c r="BG57" i="2" s="1"/>
  <c r="AB317" i="2"/>
  <c r="BG317" i="2" s="1"/>
  <c r="AB179" i="2"/>
  <c r="BG179" i="2" s="1"/>
  <c r="AB127" i="2"/>
  <c r="BG127" i="2" s="1"/>
  <c r="AB359" i="2"/>
  <c r="BG359" i="2" s="1"/>
  <c r="AB214" i="2"/>
  <c r="BG214" i="2" s="1"/>
  <c r="AB115" i="2"/>
  <c r="BG115" i="2" s="1"/>
  <c r="AB289" i="2"/>
  <c r="BG289" i="2" s="1"/>
  <c r="AB236" i="2"/>
  <c r="BG236" i="2" s="1"/>
  <c r="AB111" i="2"/>
  <c r="BG111" i="2" s="1"/>
  <c r="AB342" i="2"/>
  <c r="BG342" i="2" s="1"/>
  <c r="AB133" i="2"/>
  <c r="BG133" i="2" s="1"/>
  <c r="AB53" i="2"/>
  <c r="BG53" i="2" s="1"/>
  <c r="AB337" i="2"/>
  <c r="BG337" i="2" s="1"/>
  <c r="AB187" i="2"/>
  <c r="BG187" i="2" s="1"/>
  <c r="AB15" i="2"/>
  <c r="BG15" i="2" s="1"/>
  <c r="AB192" i="2"/>
  <c r="BG192" i="2" s="1"/>
  <c r="AB105" i="2"/>
  <c r="BG105" i="2" s="1"/>
  <c r="AB274" i="2"/>
  <c r="BG274" i="2" s="1"/>
  <c r="AB180" i="2"/>
  <c r="BG180" i="2" s="1"/>
  <c r="AB61" i="2"/>
  <c r="BG61" i="2" s="1"/>
  <c r="AB75" i="2"/>
  <c r="BG75" i="2" s="1"/>
  <c r="AB323" i="2"/>
  <c r="BG323" i="2" s="1"/>
  <c r="AB229" i="2"/>
  <c r="BG229" i="2" s="1"/>
  <c r="AB37" i="2"/>
  <c r="BG37" i="2" s="1"/>
  <c r="AB88" i="2"/>
  <c r="BG88" i="2" s="1"/>
  <c r="AB380" i="2"/>
  <c r="BG380" i="2" s="1"/>
  <c r="AB104" i="2"/>
  <c r="BG104" i="2" s="1"/>
  <c r="AB32" i="2"/>
  <c r="BG32" i="2" s="1"/>
  <c r="AB292" i="2"/>
  <c r="BG292" i="2" s="1"/>
  <c r="AB113" i="2"/>
  <c r="BG113" i="2" s="1"/>
  <c r="AB344" i="2"/>
  <c r="BG344" i="2" s="1"/>
  <c r="AB188" i="2"/>
  <c r="BG188" i="2" s="1"/>
  <c r="AB39" i="2"/>
  <c r="BG39" i="2" s="1"/>
  <c r="AB382" i="2"/>
  <c r="BG382" i="2" s="1"/>
  <c r="AB173" i="2"/>
  <c r="BG173" i="2" s="1"/>
  <c r="AB336" i="2"/>
  <c r="BG336" i="2" s="1"/>
  <c r="AB249" i="2"/>
  <c r="BG249" i="2" s="1"/>
  <c r="AB148" i="2"/>
  <c r="BG148" i="2" s="1"/>
  <c r="AB270" i="2"/>
  <c r="BG270" i="2" s="1"/>
  <c r="AB184" i="2"/>
  <c r="BG184" i="2" s="1"/>
  <c r="AB58" i="2"/>
  <c r="BG58" i="2" s="1"/>
  <c r="AB266" i="2"/>
  <c r="BG266" i="2" s="1"/>
  <c r="AB353" i="2"/>
  <c r="BG353" i="2" s="1"/>
  <c r="AB216" i="2"/>
  <c r="BG216" i="2" s="1"/>
  <c r="AB81" i="2"/>
  <c r="BG81" i="2" s="1"/>
  <c r="AB254" i="2"/>
  <c r="BG254" i="2" s="1"/>
  <c r="AB253" i="2"/>
  <c r="BG253" i="2" s="1"/>
  <c r="AB56" i="2"/>
  <c r="BG56" i="2" s="1"/>
  <c r="AB264" i="2"/>
  <c r="BG264" i="2" s="1"/>
  <c r="AB149" i="2"/>
  <c r="BG149" i="2" s="1"/>
  <c r="AB55" i="2"/>
  <c r="BG55" i="2" s="1"/>
  <c r="AB125" i="2"/>
  <c r="BG125" i="2" s="1"/>
  <c r="AB357" i="2"/>
  <c r="BG357" i="2" s="1"/>
  <c r="AB231" i="2"/>
  <c r="BG231" i="2" s="1"/>
  <c r="AB121" i="2"/>
  <c r="BG121" i="2" s="1"/>
  <c r="AB70" i="2"/>
  <c r="BG70" i="2" s="1"/>
  <c r="AB281" i="2"/>
  <c r="BG281" i="2" s="1"/>
  <c r="AB137" i="2"/>
  <c r="BG137" i="2" s="1"/>
  <c r="AB78" i="2"/>
  <c r="BG78" i="2" s="1"/>
  <c r="AB349" i="2"/>
  <c r="BG349" i="2" s="1"/>
  <c r="AB310" i="2"/>
  <c r="BG310" i="2" s="1"/>
  <c r="AB233" i="2"/>
  <c r="BG233" i="2" s="1"/>
  <c r="AB328" i="2"/>
  <c r="BG328" i="2" s="1"/>
  <c r="AB228" i="2"/>
  <c r="BG228" i="2" s="1"/>
  <c r="AB136" i="2"/>
  <c r="BG136" i="2" s="1"/>
  <c r="AB376" i="2"/>
  <c r="BG376" i="2" s="1"/>
  <c r="AB159" i="2"/>
  <c r="BG159" i="2" s="1"/>
  <c r="AB34" i="2"/>
  <c r="BG34" i="2" s="1"/>
  <c r="AB362" i="2"/>
  <c r="BG362" i="2" s="1"/>
  <c r="AB237" i="2"/>
  <c r="BG237" i="2" s="1"/>
  <c r="AB320" i="2"/>
  <c r="BG320" i="2" s="1"/>
  <c r="AB248" i="2"/>
  <c r="BG248" i="2" s="1"/>
  <c r="AB97" i="2"/>
  <c r="BG97" i="2" s="1"/>
  <c r="AB316" i="2"/>
  <c r="BG316" i="2" s="1"/>
  <c r="AB252" i="2"/>
  <c r="BG252" i="2" s="1"/>
  <c r="AB112" i="2"/>
  <c r="BG112" i="2" s="1"/>
  <c r="AB29" i="2"/>
  <c r="BG29" i="2" s="1"/>
  <c r="AB301" i="2"/>
  <c r="BG301" i="2" s="1"/>
  <c r="AB108" i="2"/>
  <c r="BG108" i="2" s="1"/>
  <c r="AB16" i="2"/>
  <c r="BG16" i="2" s="1"/>
  <c r="AB346" i="2"/>
  <c r="BG346" i="2" s="1"/>
  <c r="AB259" i="2"/>
  <c r="BG259" i="2" s="1"/>
  <c r="X37" i="2"/>
  <c r="BC37" i="2" s="1"/>
  <c r="X214" i="2"/>
  <c r="BC214" i="2" s="1"/>
  <c r="X72" i="2"/>
  <c r="BC72" i="2" s="1"/>
  <c r="X61" i="2"/>
  <c r="BC61" i="2" s="1"/>
  <c r="X253" i="2"/>
  <c r="BC253" i="2" s="1"/>
  <c r="X335" i="2"/>
  <c r="BC335" i="2" s="1"/>
  <c r="X235" i="2"/>
  <c r="BC235" i="2" s="1"/>
  <c r="X35" i="2"/>
  <c r="BC35" i="2" s="1"/>
  <c r="X60" i="2"/>
  <c r="BC60" i="2" s="1"/>
  <c r="X9" i="2"/>
  <c r="BC9" i="2" s="1"/>
  <c r="AB17" i="2"/>
  <c r="BG17" i="2" s="1"/>
  <c r="AB14" i="2"/>
  <c r="BG14" i="2" s="1"/>
  <c r="AB20" i="2"/>
  <c r="BG20" i="2" s="1"/>
  <c r="X120" i="2"/>
  <c r="BC120" i="2" s="1"/>
  <c r="X20" i="2"/>
  <c r="BC20" i="2" s="1"/>
  <c r="X195" i="2"/>
  <c r="BC195" i="2" s="1"/>
  <c r="X42" i="2"/>
  <c r="BC42" i="2" s="1"/>
  <c r="X79" i="2"/>
  <c r="BC79" i="2" s="1"/>
  <c r="X119" i="2"/>
  <c r="BC119" i="2" s="1"/>
  <c r="X46" i="2"/>
  <c r="BC46" i="2" s="1"/>
  <c r="Y14" i="2"/>
  <c r="BD14" i="2" s="1"/>
  <c r="Y20" i="2"/>
  <c r="BD20" i="2" s="1"/>
  <c r="Y7" i="2"/>
  <c r="BD7" i="2" s="1"/>
  <c r="Y22" i="2"/>
  <c r="BD22" i="2" s="1"/>
  <c r="X267" i="2"/>
  <c r="BC267" i="2" s="1"/>
  <c r="X97" i="2"/>
  <c r="BC97" i="2" s="1"/>
  <c r="X381" i="2"/>
  <c r="BC381" i="2" s="1"/>
  <c r="X122" i="2"/>
  <c r="BC122" i="2" s="1"/>
  <c r="X179" i="2"/>
  <c r="BC179" i="2" s="1"/>
  <c r="X233" i="2"/>
  <c r="BC233" i="2" s="1"/>
  <c r="X57" i="2"/>
  <c r="BC57" i="2" s="1"/>
  <c r="X316" i="2"/>
  <c r="BC316" i="2" s="1"/>
  <c r="X128" i="2"/>
  <c r="BC128" i="2" s="1"/>
  <c r="X32" i="2"/>
  <c r="BC32" i="2" s="1"/>
  <c r="X383" i="2"/>
  <c r="BC383" i="2" s="1"/>
  <c r="X178" i="2"/>
  <c r="BC178" i="2" s="1"/>
  <c r="X310" i="2"/>
  <c r="BC310" i="2" s="1"/>
  <c r="X127" i="2"/>
  <c r="BC127" i="2" s="1"/>
  <c r="X357" i="2"/>
  <c r="BC357" i="2" s="1"/>
  <c r="X382" i="2"/>
  <c r="BC382" i="2" s="1"/>
  <c r="X177" i="2"/>
  <c r="BC177" i="2" s="1"/>
  <c r="X113" i="2"/>
  <c r="BC113" i="2" s="1"/>
  <c r="X287" i="2"/>
  <c r="BC287" i="2" s="1"/>
  <c r="X217" i="2"/>
  <c r="BC217" i="2" s="1"/>
  <c r="X85" i="2"/>
  <c r="BC85" i="2" s="1"/>
  <c r="X364" i="2"/>
  <c r="BC364" i="2" s="1"/>
  <c r="X334" i="2"/>
  <c r="BC334" i="2" s="1"/>
  <c r="X229" i="2"/>
  <c r="BC229" i="2" s="1"/>
  <c r="X53" i="2"/>
  <c r="BC53" i="2" s="1"/>
  <c r="X280" i="2"/>
  <c r="BC280" i="2" s="1"/>
  <c r="X91" i="2"/>
  <c r="BC91" i="2" s="1"/>
  <c r="X248" i="2"/>
  <c r="BC248" i="2" s="1"/>
  <c r="X228" i="2"/>
  <c r="BC228" i="2" s="1"/>
  <c r="X52" i="2"/>
  <c r="BC52" i="2" s="1"/>
  <c r="X241" i="2"/>
  <c r="BC241" i="2" s="1"/>
  <c r="X332" i="2"/>
  <c r="BC332" i="2" s="1"/>
  <c r="X66" i="2"/>
  <c r="BC66" i="2" s="1"/>
  <c r="AB8" i="2"/>
  <c r="BG8" i="2" s="1"/>
  <c r="AB10" i="2"/>
  <c r="BG10" i="2" s="1"/>
  <c r="AB12" i="2"/>
  <c r="BG12" i="2" s="1"/>
  <c r="AB11" i="2"/>
  <c r="BG11" i="2" s="1"/>
  <c r="X82" i="2"/>
  <c r="BC82" i="2" s="1"/>
  <c r="X265" i="2"/>
  <c r="BC265" i="2" s="1"/>
  <c r="X352" i="2"/>
  <c r="BC352" i="2" s="1"/>
  <c r="X371" i="2"/>
  <c r="BC371" i="2" s="1"/>
  <c r="X191" i="2"/>
  <c r="BC191" i="2" s="1"/>
  <c r="X379" i="2"/>
  <c r="BC379" i="2" s="1"/>
  <c r="X289" i="2"/>
  <c r="BC289" i="2" s="1"/>
  <c r="Y12" i="2"/>
  <c r="BD12" i="2" s="1"/>
  <c r="Y11" i="2"/>
  <c r="BD11" i="2" s="1"/>
  <c r="Y24" i="2"/>
  <c r="BD24" i="2" s="1"/>
  <c r="Y21" i="2"/>
  <c r="BD21" i="2" s="1"/>
  <c r="X176" i="2"/>
  <c r="BC176" i="2" s="1"/>
  <c r="X341" i="2"/>
  <c r="BC341" i="2" s="1"/>
  <c r="X185" i="2"/>
  <c r="BC185" i="2" s="1"/>
  <c r="X344" i="2"/>
  <c r="BC344" i="2" s="1"/>
  <c r="X129" i="2"/>
  <c r="BC129" i="2" s="1"/>
  <c r="X109" i="2"/>
  <c r="BC109" i="2" s="1"/>
  <c r="X283" i="2"/>
  <c r="BC283" i="2" s="1"/>
  <c r="X187" i="2"/>
  <c r="BC187" i="2" s="1"/>
  <c r="X375" i="2"/>
  <c r="BC375" i="2" s="1"/>
  <c r="X264" i="2"/>
  <c r="BC264" i="2" s="1"/>
  <c r="X203" i="2"/>
  <c r="BC203" i="2" s="1"/>
  <c r="X376" i="2"/>
  <c r="BC376" i="2" s="1"/>
  <c r="X141" i="2"/>
  <c r="BC141" i="2" s="1"/>
  <c r="X373" i="2"/>
  <c r="BC373" i="2" s="1"/>
  <c r="X199" i="2"/>
  <c r="BC199" i="2" s="1"/>
  <c r="X105" i="2"/>
  <c r="BC105" i="2" s="1"/>
  <c r="X259" i="2"/>
  <c r="BC259" i="2" s="1"/>
  <c r="X358" i="2"/>
  <c r="BC358" i="2" s="1"/>
  <c r="X171" i="2"/>
  <c r="BC171" i="2" s="1"/>
  <c r="X34" i="2"/>
  <c r="BC34" i="2" s="1"/>
  <c r="AB23" i="2"/>
  <c r="BG23" i="2" s="1"/>
  <c r="AB18" i="2"/>
  <c r="BG18" i="2" s="1"/>
  <c r="AB7" i="2"/>
  <c r="BG7" i="2" s="1"/>
  <c r="AB354" i="2"/>
  <c r="BG354" i="2" s="1"/>
  <c r="X74" i="2"/>
  <c r="BC74" i="2" s="1"/>
  <c r="X318" i="2"/>
  <c r="BC318" i="2" s="1"/>
  <c r="X108" i="2"/>
  <c r="BC108" i="2" s="1"/>
  <c r="X131" i="2"/>
  <c r="BC131" i="2" s="1"/>
  <c r="X98" i="2"/>
  <c r="BC98" i="2" s="1"/>
  <c r="X247" i="2"/>
  <c r="BC247" i="2" s="1"/>
  <c r="X107" i="2"/>
  <c r="BC107" i="2" s="1"/>
  <c r="Y23" i="2"/>
  <c r="BD23" i="2" s="1"/>
  <c r="Y10" i="2"/>
  <c r="BD10" i="2" s="1"/>
  <c r="Y8" i="2"/>
  <c r="BD8" i="2" s="1"/>
  <c r="Y18" i="2"/>
  <c r="BD18" i="2" s="1"/>
  <c r="X333" i="2"/>
  <c r="BC333" i="2" s="1"/>
  <c r="X213" i="2"/>
  <c r="BC213" i="2" s="1"/>
  <c r="X59" i="2"/>
  <c r="BC59" i="2" s="1"/>
  <c r="X323" i="2"/>
  <c r="BC323" i="2" s="1"/>
  <c r="X384" i="2"/>
  <c r="BC384" i="2" s="1"/>
  <c r="X337" i="2"/>
  <c r="BC337" i="2" s="1"/>
  <c r="X138" i="2"/>
  <c r="BC138" i="2" s="1"/>
  <c r="X65" i="2"/>
  <c r="BC65" i="2" s="1"/>
  <c r="X226" i="2"/>
  <c r="BC226" i="2" s="1"/>
  <c r="X83" i="2"/>
  <c r="BC83" i="2" s="1"/>
  <c r="X270" i="2"/>
  <c r="BC270" i="2" s="1"/>
  <c r="X320" i="2"/>
  <c r="BC320" i="2" s="1"/>
  <c r="X369" i="2"/>
  <c r="BC369" i="2" s="1"/>
  <c r="X182" i="2"/>
  <c r="BC182" i="2" s="1"/>
  <c r="X106" i="2"/>
  <c r="BC106" i="2" s="1"/>
  <c r="X269" i="2"/>
  <c r="BC269" i="2" s="1"/>
  <c r="X319" i="2"/>
  <c r="BC319" i="2" s="1"/>
  <c r="X231" i="2"/>
  <c r="BC231" i="2" s="1"/>
  <c r="X15" i="2"/>
  <c r="BC15" i="2" s="1"/>
  <c r="X240" i="2"/>
  <c r="BC240" i="2" s="1"/>
  <c r="X258" i="2"/>
  <c r="BC258" i="2" s="1"/>
  <c r="X48" i="2"/>
  <c r="BC48" i="2" s="1"/>
  <c r="X196" i="2"/>
  <c r="BC196" i="2" s="1"/>
  <c r="X145" i="2"/>
  <c r="BC145" i="2" s="1"/>
  <c r="X36" i="2"/>
  <c r="BC36" i="2" s="1"/>
  <c r="X242" i="2"/>
  <c r="BC242" i="2" s="1"/>
  <c r="X139" i="2"/>
  <c r="BC139" i="2" s="1"/>
  <c r="X378" i="2"/>
  <c r="BC378" i="2" s="1"/>
  <c r="X202" i="2"/>
  <c r="BC202" i="2" s="1"/>
  <c r="X68" i="2"/>
  <c r="BC68" i="2" s="1"/>
  <c r="X361" i="2"/>
  <c r="BC361" i="2" s="1"/>
  <c r="X230" i="2"/>
  <c r="BC230" i="2" s="1"/>
  <c r="X110" i="2"/>
  <c r="BC110" i="2" s="1"/>
  <c r="X355" i="2"/>
  <c r="BC355" i="2" s="1"/>
  <c r="X340" i="2"/>
  <c r="BC340" i="2" s="1"/>
  <c r="X219" i="2"/>
  <c r="BC219" i="2" s="1"/>
  <c r="X339" i="2"/>
  <c r="BC339" i="2" s="1"/>
  <c r="X116" i="2"/>
  <c r="BC116" i="2" s="1"/>
  <c r="X342" i="2"/>
  <c r="BC342" i="2" s="1"/>
  <c r="X26" i="2"/>
  <c r="BC26" i="2" s="1"/>
  <c r="X88" i="2"/>
  <c r="BC88" i="2" s="1"/>
  <c r="X149" i="2"/>
  <c r="BC149" i="2" s="1"/>
  <c r="X21" i="2"/>
  <c r="BC21" i="2" s="1"/>
  <c r="X75" i="2"/>
  <c r="BC75" i="2" s="1"/>
  <c r="X300" i="2"/>
  <c r="BC300" i="2" s="1"/>
  <c r="X154" i="2"/>
  <c r="BC154" i="2" s="1"/>
  <c r="X14" i="2"/>
  <c r="BC14" i="2" s="1"/>
  <c r="X286" i="2"/>
  <c r="BC286" i="2" s="1"/>
  <c r="X124" i="2"/>
  <c r="BC124" i="2" s="1"/>
  <c r="X353" i="2"/>
  <c r="BC353" i="2" s="1"/>
  <c r="X266" i="2"/>
  <c r="BC266" i="2" s="1"/>
  <c r="X142" i="2"/>
  <c r="BC142" i="2" s="1"/>
  <c r="X370" i="2"/>
  <c r="BC370" i="2" s="1"/>
  <c r="X260" i="2"/>
  <c r="BC260" i="2" s="1"/>
  <c r="X69" i="2"/>
  <c r="BC69" i="2" s="1"/>
  <c r="X133" i="2"/>
  <c r="BC133" i="2" s="1"/>
  <c r="X328" i="2"/>
  <c r="BC328" i="2" s="1"/>
  <c r="X43" i="2"/>
  <c r="BC43" i="2" s="1"/>
  <c r="X354" i="2"/>
  <c r="BC354" i="2" s="1"/>
  <c r="X347" i="2"/>
  <c r="BC347" i="2" s="1"/>
  <c r="X156" i="2"/>
  <c r="BC156" i="2" s="1"/>
  <c r="X80" i="2"/>
  <c r="BC80" i="2" s="1"/>
  <c r="X325" i="2"/>
  <c r="BC325" i="2" s="1"/>
  <c r="X58" i="2"/>
  <c r="BC58" i="2" s="1"/>
  <c r="X349" i="2"/>
  <c r="BC349" i="2" s="1"/>
  <c r="X78" i="2"/>
  <c r="BC78" i="2" s="1"/>
  <c r="X221" i="2"/>
  <c r="BC221" i="2" s="1"/>
  <c r="X41" i="2"/>
  <c r="BC41" i="2" s="1"/>
  <c r="X81" i="2"/>
  <c r="BC81" i="2" s="1"/>
  <c r="X174" i="2"/>
  <c r="BC174" i="2" s="1"/>
  <c r="X255" i="2"/>
  <c r="BC255" i="2" s="1"/>
  <c r="X16" i="2"/>
  <c r="BC16" i="2" s="1"/>
  <c r="X331" i="2"/>
  <c r="BC331" i="2" s="1"/>
  <c r="X232" i="2"/>
  <c r="BC232" i="2" s="1"/>
  <c r="X71" i="2"/>
  <c r="BC71" i="2" s="1"/>
  <c r="X274" i="2"/>
  <c r="BC274" i="2" s="1"/>
  <c r="X239" i="2"/>
  <c r="BC239" i="2" s="1"/>
  <c r="X56" i="2"/>
  <c r="BC56" i="2" s="1"/>
  <c r="X282" i="2"/>
  <c r="BC282" i="2" s="1"/>
  <c r="X104" i="2"/>
  <c r="BC104" i="2" s="1"/>
  <c r="X39" i="2"/>
  <c r="BC39" i="2" s="1"/>
  <c r="X262" i="2"/>
  <c r="BC262" i="2" s="1"/>
  <c r="X121" i="2"/>
  <c r="BC121" i="2" s="1"/>
  <c r="X366" i="2"/>
  <c r="BC366" i="2" s="1"/>
  <c r="X183" i="2"/>
  <c r="BC183" i="2" s="1"/>
  <c r="X290" i="2"/>
  <c r="BC290" i="2" s="1"/>
  <c r="X137" i="2"/>
  <c r="BC137" i="2" s="1"/>
  <c r="X193" i="2"/>
  <c r="BC193" i="2" s="1"/>
  <c r="X257" i="2"/>
  <c r="BC257" i="2" s="1"/>
  <c r="X99" i="2"/>
  <c r="BC99" i="2" s="1"/>
  <c r="X296" i="2"/>
  <c r="BC296" i="2" s="1"/>
  <c r="X236" i="2"/>
  <c r="BC236" i="2" s="1"/>
  <c r="X350" i="2"/>
  <c r="BC350" i="2" s="1"/>
  <c r="X144" i="2"/>
  <c r="BC144" i="2" s="1"/>
  <c r="X28" i="2"/>
  <c r="BC28" i="2" s="1"/>
  <c r="X198" i="2"/>
  <c r="BC198" i="2" s="1"/>
  <c r="X151" i="2"/>
  <c r="BC151" i="2" s="1"/>
  <c r="X329" i="2"/>
  <c r="BC329" i="2" s="1"/>
  <c r="X201" i="2"/>
  <c r="BC201" i="2" s="1"/>
  <c r="X30" i="2"/>
  <c r="BC30" i="2" s="1"/>
  <c r="X360" i="2"/>
  <c r="BC360" i="2" s="1"/>
  <c r="X186" i="2"/>
  <c r="BC186" i="2" s="1"/>
  <c r="X49" i="2"/>
  <c r="BC49" i="2" s="1"/>
  <c r="X271" i="2"/>
  <c r="BC271" i="2" s="1"/>
  <c r="X225" i="2"/>
  <c r="BC225" i="2" s="1"/>
  <c r="X218" i="2"/>
  <c r="BC218" i="2" s="1"/>
  <c r="X295" i="2"/>
  <c r="BC295" i="2" s="1"/>
  <c r="X115" i="2"/>
  <c r="BC115" i="2" s="1"/>
  <c r="X103" i="2"/>
  <c r="BC103" i="2" s="1"/>
  <c r="X25" i="2"/>
  <c r="BC25" i="2" s="1"/>
  <c r="X27" i="2"/>
  <c r="BC27" i="2" s="1"/>
  <c r="X148" i="2"/>
  <c r="BC148" i="2" s="1"/>
  <c r="X76" i="2"/>
  <c r="BC76" i="2" s="1"/>
  <c r="X301" i="2"/>
  <c r="BC301" i="2" s="1"/>
  <c r="X188" i="2"/>
  <c r="BC188" i="2" s="1"/>
  <c r="X327" i="2"/>
  <c r="BC327" i="2" s="1"/>
  <c r="X284" i="2"/>
  <c r="BC284" i="2" s="1"/>
  <c r="X291" i="2"/>
  <c r="BC291" i="2" s="1"/>
  <c r="X246" i="2"/>
  <c r="BC246" i="2" s="1"/>
  <c r="X194" i="2"/>
  <c r="BC194" i="2" s="1"/>
  <c r="X244" i="2"/>
  <c r="BC244" i="2" s="1"/>
  <c r="X100" i="2"/>
  <c r="BC100" i="2" s="1"/>
  <c r="X54" i="2"/>
  <c r="BC54" i="2" s="1"/>
  <c r="X237" i="2"/>
  <c r="BC237" i="2" s="1"/>
  <c r="X23" i="2"/>
  <c r="BC23" i="2" s="1"/>
  <c r="X102" i="2"/>
  <c r="BC102" i="2" s="1"/>
  <c r="X346" i="2"/>
  <c r="BC346" i="2" s="1"/>
  <c r="X140" i="2"/>
  <c r="BC140" i="2" s="1"/>
  <c r="X368" i="2"/>
  <c r="BC368" i="2" s="1"/>
  <c r="X251" i="2"/>
  <c r="BC251" i="2" s="1"/>
  <c r="X147" i="2"/>
  <c r="BC147" i="2" s="1"/>
  <c r="X377" i="2"/>
  <c r="BC377" i="2" s="1"/>
  <c r="X293" i="2"/>
  <c r="BC293" i="2" s="1"/>
  <c r="X111" i="2"/>
  <c r="BC111" i="2" s="1"/>
  <c r="X356" i="2"/>
  <c r="BC356" i="2" s="1"/>
  <c r="X153" i="2"/>
  <c r="BC153" i="2" s="1"/>
  <c r="X44" i="2"/>
  <c r="BC44" i="2" s="1"/>
  <c r="X29" i="2"/>
  <c r="BC29" i="2" s="1"/>
  <c r="X272" i="2"/>
  <c r="BC272" i="2" s="1"/>
  <c r="X243" i="2"/>
  <c r="BC243" i="2" s="1"/>
  <c r="X216" i="2"/>
  <c r="BC216" i="2" s="1"/>
  <c r="X55" i="2"/>
  <c r="BC55" i="2" s="1"/>
  <c r="X17" i="2"/>
  <c r="BC17" i="2" s="1"/>
  <c r="X338" i="2"/>
  <c r="BC338" i="2" s="1"/>
  <c r="X22" i="2"/>
  <c r="BC22" i="2" s="1"/>
  <c r="X362" i="2"/>
  <c r="BC362" i="2" s="1"/>
  <c r="X252" i="2"/>
  <c r="BC252" i="2" s="1"/>
  <c r="X70" i="2"/>
  <c r="BC70" i="2" s="1"/>
  <c r="X273" i="2"/>
  <c r="BC273" i="2" s="1"/>
  <c r="X175" i="2"/>
  <c r="BC175" i="2" s="1"/>
  <c r="X73" i="2"/>
  <c r="BC73" i="2" s="1"/>
  <c r="X285" i="2"/>
  <c r="BC285" i="2" s="1"/>
  <c r="X223" i="2"/>
  <c r="BC223" i="2" s="1"/>
  <c r="X38" i="2"/>
  <c r="BC38" i="2" s="1"/>
  <c r="X261" i="2"/>
  <c r="BC261" i="2" s="1"/>
  <c r="X84" i="2"/>
  <c r="BC84" i="2" s="1"/>
  <c r="X367" i="2"/>
  <c r="BC367" i="2" s="1"/>
  <c r="X281" i="2"/>
  <c r="BC281" i="2" s="1"/>
  <c r="X288" i="2"/>
  <c r="BC288" i="2" s="1"/>
  <c r="X86" i="2"/>
  <c r="BC86" i="2" s="1"/>
  <c r="X250" i="2"/>
  <c r="BC250" i="2" s="1"/>
  <c r="X292" i="2"/>
  <c r="BC292" i="2" s="1"/>
  <c r="X118" i="2"/>
  <c r="BC118" i="2" s="1"/>
  <c r="X155" i="2"/>
  <c r="BC155" i="2" s="1"/>
  <c r="X8" i="2"/>
  <c r="BC8" i="2" s="1"/>
  <c r="X96" i="2"/>
  <c r="BC96" i="2" s="1"/>
  <c r="X238" i="2"/>
  <c r="BC238" i="2" s="1"/>
  <c r="X94" i="2"/>
  <c r="BC94" i="2" s="1"/>
  <c r="X101" i="2"/>
  <c r="BC101" i="2" s="1"/>
  <c r="X114" i="2"/>
  <c r="BC114" i="2" s="1"/>
  <c r="X348" i="2"/>
  <c r="BC348" i="2" s="1"/>
  <c r="X249" i="2"/>
  <c r="BC249" i="2" s="1"/>
  <c r="X150" i="2"/>
  <c r="BC150" i="2" s="1"/>
  <c r="X11" i="2"/>
  <c r="BC11" i="2" s="1"/>
  <c r="X40" i="2"/>
  <c r="BC40" i="2" s="1"/>
  <c r="X263" i="2"/>
  <c r="BC263" i="2" s="1"/>
  <c r="X143" i="2"/>
  <c r="BC143" i="2" s="1"/>
  <c r="X330" i="2"/>
  <c r="BC330" i="2" s="1"/>
  <c r="X215" i="2"/>
  <c r="BC215" i="2" s="1"/>
  <c r="X89" i="2"/>
  <c r="BC89" i="2" s="1"/>
  <c r="X297" i="2"/>
  <c r="BC297" i="2" s="1"/>
  <c r="X234" i="2"/>
  <c r="BC234" i="2" s="1"/>
  <c r="X130" i="2"/>
  <c r="BC130" i="2" s="1"/>
  <c r="X359" i="2"/>
  <c r="BC359" i="2" s="1"/>
  <c r="X152" i="2"/>
  <c r="BC152" i="2" s="1"/>
  <c r="X173" i="2"/>
  <c r="BC173" i="2" s="1"/>
  <c r="X134" i="2"/>
  <c r="BC134" i="2" s="1"/>
  <c r="X192" i="2"/>
  <c r="BC192" i="2" s="1"/>
  <c r="X365" i="2"/>
  <c r="BC365" i="2" s="1"/>
  <c r="X125" i="2"/>
  <c r="BC125" i="2" s="1"/>
  <c r="X254" i="2"/>
  <c r="BC254" i="2" s="1"/>
  <c r="X363" i="2"/>
  <c r="BC363" i="2" s="1"/>
  <c r="X64" i="2"/>
  <c r="BC64" i="2" s="1"/>
  <c r="X19" i="2"/>
  <c r="BC19" i="2" s="1"/>
  <c r="X336" i="2"/>
  <c r="BC336" i="2" s="1"/>
  <c r="X190" i="2"/>
  <c r="BC190" i="2" s="1"/>
  <c r="X87" i="2"/>
  <c r="BC87" i="2" s="1"/>
  <c r="X31" i="2"/>
  <c r="BC31" i="2" s="1"/>
  <c r="X180" i="2"/>
  <c r="BC180" i="2" s="1"/>
  <c r="X345" i="2"/>
  <c r="BC345" i="2" s="1"/>
  <c r="X189" i="2"/>
  <c r="BC189" i="2" s="1"/>
  <c r="X181" i="2"/>
  <c r="BC181" i="2" s="1"/>
  <c r="X200" i="2"/>
  <c r="BC200" i="2" s="1"/>
  <c r="X12" i="2"/>
  <c r="BC12" i="2" s="1"/>
  <c r="AB6" i="2"/>
  <c r="BG6" i="2" s="1"/>
  <c r="AB9" i="2"/>
  <c r="BG9" i="2" s="1"/>
  <c r="AB21" i="2"/>
  <c r="BG21" i="2" s="1"/>
  <c r="X299" i="2"/>
  <c r="BC299" i="2" s="1"/>
  <c r="X123" i="2"/>
  <c r="BC123" i="2" s="1"/>
  <c r="X326" i="2"/>
  <c r="BC326" i="2" s="1"/>
  <c r="X136" i="2"/>
  <c r="BC136" i="2" s="1"/>
  <c r="X224" i="2"/>
  <c r="BC224" i="2" s="1"/>
  <c r="X302" i="2"/>
  <c r="BC302" i="2" s="1"/>
  <c r="X126" i="2"/>
  <c r="BC126" i="2" s="1"/>
  <c r="Y17" i="2"/>
  <c r="BD17" i="2" s="1"/>
  <c r="Y9" i="2"/>
  <c r="BD9" i="2" s="1"/>
  <c r="Y16" i="2"/>
  <c r="BD16" i="2" s="1"/>
  <c r="Y6" i="2"/>
  <c r="BD6" i="2" s="1"/>
  <c r="X197" i="2"/>
  <c r="BC197" i="2" s="1"/>
  <c r="X135" i="2"/>
  <c r="BC135" i="2" s="1"/>
  <c r="X380" i="2"/>
  <c r="BC380" i="2" s="1"/>
  <c r="X343" i="2"/>
  <c r="BC343" i="2" s="1"/>
  <c r="X10" i="2"/>
  <c r="BC10" i="2" s="1"/>
  <c r="X227" i="2"/>
  <c r="BC227" i="2" s="1"/>
  <c r="X298" i="2"/>
  <c r="BC298" i="2" s="1"/>
  <c r="X146" i="2"/>
  <c r="BC146" i="2" s="1"/>
  <c r="X268" i="2"/>
  <c r="BC268" i="2" s="1"/>
  <c r="X159" i="2"/>
  <c r="BC159" i="2" s="1"/>
  <c r="X18" i="2"/>
  <c r="BC18" i="2" s="1"/>
  <c r="X324" i="2"/>
  <c r="BC324" i="2" s="1"/>
  <c r="X112" i="2"/>
  <c r="BC112" i="2" s="1"/>
  <c r="X172" i="2"/>
  <c r="BC172" i="2" s="1"/>
  <c r="X67" i="2"/>
  <c r="BC67" i="2" s="1"/>
  <c r="X24" i="2"/>
  <c r="BC24" i="2" s="1"/>
  <c r="X47" i="2"/>
  <c r="BC47" i="2" s="1"/>
  <c r="X317" i="2"/>
  <c r="BC317" i="2" s="1"/>
  <c r="X256" i="2"/>
  <c r="BC256" i="2" s="1"/>
  <c r="C2254" i="23"/>
  <c r="C2250" i="23"/>
  <c r="C2327" i="23"/>
  <c r="C2333" i="23" s="1"/>
  <c r="C2345" i="23" s="1"/>
  <c r="C2358" i="23" s="1"/>
  <c r="C2364" i="23" s="1"/>
  <c r="C1640" i="23"/>
  <c r="L2561" i="23"/>
  <c r="A2561" i="23"/>
  <c r="O2561" i="23"/>
  <c r="O2587" i="23" s="1"/>
  <c r="M2561" i="23"/>
  <c r="M2587" i="23" s="1"/>
  <c r="L400" i="49"/>
  <c r="A1624" i="23"/>
  <c r="O1624" i="23"/>
  <c r="O1626" i="23" s="1"/>
  <c r="M1624" i="23"/>
  <c r="M1626" i="23" s="1"/>
  <c r="L1624" i="23"/>
  <c r="L1626" i="23" s="1"/>
  <c r="N1624" i="23"/>
  <c r="N1626" i="23" s="1"/>
  <c r="A403" i="49"/>
  <c r="A401" i="49"/>
  <c r="W144" i="2" l="1"/>
  <c r="BB144" i="2" s="1"/>
  <c r="W220" i="2"/>
  <c r="BB220" i="2" s="1"/>
  <c r="W293" i="2"/>
  <c r="BB293" i="2" s="1"/>
  <c r="W107" i="2"/>
  <c r="BB107" i="2" s="1"/>
  <c r="W308" i="2"/>
  <c r="BB308" i="2" s="1"/>
  <c r="W297" i="2"/>
  <c r="BB297" i="2" s="1"/>
  <c r="W227" i="2"/>
  <c r="BB227" i="2" s="1"/>
  <c r="W196" i="2"/>
  <c r="BB196" i="2" s="1"/>
  <c r="W236" i="2"/>
  <c r="BB236" i="2" s="1"/>
  <c r="W53" i="2"/>
  <c r="BB53" i="2" s="1"/>
  <c r="W38" i="2"/>
  <c r="BB38" i="2" s="1"/>
  <c r="W371" i="2"/>
  <c r="BB371" i="2" s="1"/>
  <c r="W365" i="2"/>
  <c r="BB365" i="2" s="1"/>
  <c r="W58" i="2"/>
  <c r="BB58" i="2" s="1"/>
  <c r="W276" i="2"/>
  <c r="BB276" i="2" s="1"/>
  <c r="W291" i="2"/>
  <c r="BB291" i="2" s="1"/>
  <c r="W93" i="2"/>
  <c r="BB93" i="2" s="1"/>
  <c r="W307" i="2"/>
  <c r="BB307" i="2" s="1"/>
  <c r="W211" i="2"/>
  <c r="BB211" i="2" s="1"/>
  <c r="W273" i="2"/>
  <c r="BB273" i="2" s="1"/>
  <c r="W218" i="2"/>
  <c r="BB218" i="2" s="1"/>
  <c r="W124" i="2"/>
  <c r="BB124" i="2" s="1"/>
  <c r="W161" i="2"/>
  <c r="BB161" i="2" s="1"/>
  <c r="W80" i="2"/>
  <c r="BB80" i="2" s="1"/>
  <c r="W131" i="2"/>
  <c r="BB131" i="2" s="1"/>
  <c r="W25" i="2"/>
  <c r="BB25" i="2" s="1"/>
  <c r="W366" i="2"/>
  <c r="BB366" i="2" s="1"/>
  <c r="W279" i="2"/>
  <c r="BB279" i="2" s="1"/>
  <c r="W179" i="2"/>
  <c r="BB179" i="2" s="1"/>
  <c r="W372" i="2"/>
  <c r="BB372" i="2" s="1"/>
  <c r="W246" i="2"/>
  <c r="BB246" i="2" s="1"/>
  <c r="W151" i="2"/>
  <c r="BB151" i="2" s="1"/>
  <c r="W123" i="2"/>
  <c r="BB123" i="2" s="1"/>
  <c r="W204" i="2"/>
  <c r="BB204" i="2" s="1"/>
  <c r="W205" i="2"/>
  <c r="BB205" i="2" s="1"/>
  <c r="W42" i="2"/>
  <c r="BB42" i="2" s="1"/>
  <c r="W145" i="2"/>
  <c r="BB145" i="2" s="1"/>
  <c r="W140" i="2"/>
  <c r="BB140" i="2" s="1"/>
  <c r="W270" i="2"/>
  <c r="BB270" i="2" s="1"/>
  <c r="W176" i="2"/>
  <c r="BB176" i="2" s="1"/>
  <c r="W39" i="2"/>
  <c r="BB39" i="2" s="1"/>
  <c r="W315" i="2"/>
  <c r="BB315" i="2" s="1"/>
  <c r="W121" i="2"/>
  <c r="BB121" i="2" s="1"/>
  <c r="W339" i="2"/>
  <c r="BB339" i="2" s="1"/>
  <c r="W245" i="2"/>
  <c r="BB245" i="2" s="1"/>
  <c r="W41" i="2"/>
  <c r="BB41" i="2" s="1"/>
  <c r="W217" i="2"/>
  <c r="BB217" i="2" s="1"/>
  <c r="W210" i="2"/>
  <c r="BB210" i="2" s="1"/>
  <c r="W376" i="2"/>
  <c r="BB376" i="2" s="1"/>
  <c r="W219" i="2"/>
  <c r="BB219" i="2" s="1"/>
  <c r="W60" i="2"/>
  <c r="BB60" i="2" s="1"/>
  <c r="W76" i="2"/>
  <c r="BB76" i="2" s="1"/>
  <c r="W380" i="2"/>
  <c r="BB380" i="2" s="1"/>
  <c r="W56" i="2"/>
  <c r="BB56" i="2" s="1"/>
  <c r="W361" i="2"/>
  <c r="BB361" i="2" s="1"/>
  <c r="W91" i="2"/>
  <c r="BB91" i="2" s="1"/>
  <c r="W64" i="2"/>
  <c r="BB64" i="2" s="1"/>
  <c r="W12" i="2"/>
  <c r="BB12" i="2" s="1"/>
  <c r="W249" i="2"/>
  <c r="BB249" i="2" s="1"/>
  <c r="W333" i="2"/>
  <c r="BB333" i="2" s="1"/>
  <c r="W174" i="2"/>
  <c r="BB174" i="2" s="1"/>
  <c r="W202" i="2"/>
  <c r="BB202" i="2" s="1"/>
  <c r="W265" i="2"/>
  <c r="BB265" i="2" s="1"/>
  <c r="W154" i="2"/>
  <c r="BB154" i="2" s="1"/>
  <c r="W98" i="2"/>
  <c r="BB98" i="2" s="1"/>
  <c r="W327" i="2"/>
  <c r="BB327" i="2" s="1"/>
  <c r="W330" i="2"/>
  <c r="BB330" i="2" s="1"/>
  <c r="W52" i="2"/>
  <c r="BB52" i="2" s="1"/>
  <c r="W181" i="2"/>
  <c r="BB181" i="2" s="1"/>
  <c r="W193" i="2"/>
  <c r="BB193" i="2" s="1"/>
  <c r="W166" i="2"/>
  <c r="BB166" i="2" s="1"/>
  <c r="W285" i="2"/>
  <c r="BB285" i="2" s="1"/>
  <c r="W346" i="2"/>
  <c r="BB346" i="2" s="1"/>
  <c r="W190" i="2"/>
  <c r="BB190" i="2" s="1"/>
  <c r="W24" i="2"/>
  <c r="BB24" i="2" s="1"/>
  <c r="W313" i="2"/>
  <c r="BB313" i="2" s="1"/>
  <c r="W165" i="2"/>
  <c r="BB165" i="2" s="1"/>
  <c r="W201" i="2"/>
  <c r="BB201" i="2" s="1"/>
  <c r="W30" i="2"/>
  <c r="BB30" i="2" s="1"/>
  <c r="W26" i="2"/>
  <c r="BB26" i="2" s="1"/>
  <c r="W129" i="2"/>
  <c r="BB129" i="2" s="1"/>
  <c r="W146" i="2"/>
  <c r="BB146" i="2" s="1"/>
  <c r="W288" i="2"/>
  <c r="BB288" i="2" s="1"/>
  <c r="W122" i="2"/>
  <c r="BB122" i="2" s="1"/>
  <c r="W269" i="2"/>
  <c r="BB269" i="2" s="1"/>
  <c r="W54" i="2"/>
  <c r="BB54" i="2" s="1"/>
  <c r="W295" i="2"/>
  <c r="BB295" i="2" s="1"/>
  <c r="W320" i="2"/>
  <c r="BB320" i="2" s="1"/>
  <c r="W355" i="2"/>
  <c r="BB355" i="2" s="1"/>
  <c r="W137" i="2"/>
  <c r="BB137" i="2" s="1"/>
  <c r="W119" i="2"/>
  <c r="BB119" i="2" s="1"/>
  <c r="W29" i="2"/>
  <c r="BB29" i="2" s="1"/>
  <c r="W377" i="2"/>
  <c r="BB377" i="2" s="1"/>
  <c r="W78" i="2"/>
  <c r="BB78" i="2" s="1"/>
  <c r="W160" i="2"/>
  <c r="BB160" i="2" s="1"/>
  <c r="W75" i="2"/>
  <c r="BB75" i="2" s="1"/>
  <c r="W79" i="2"/>
  <c r="BB79" i="2" s="1"/>
  <c r="W354" i="2"/>
  <c r="BB354" i="2" s="1"/>
  <c r="W66" i="2"/>
  <c r="BB66" i="2" s="1"/>
  <c r="W248" i="2"/>
  <c r="BB248" i="2" s="1"/>
  <c r="W367" i="2"/>
  <c r="BB367" i="2" s="1"/>
  <c r="W34" i="2"/>
  <c r="BB34" i="2" s="1"/>
  <c r="W262" i="2"/>
  <c r="BB262" i="2" s="1"/>
  <c r="W135" i="2"/>
  <c r="BB135" i="2" s="1"/>
  <c r="W209" i="2"/>
  <c r="BB209" i="2" s="1"/>
  <c r="W374" i="2"/>
  <c r="BB374" i="2" s="1"/>
  <c r="W109" i="2"/>
  <c r="BB109" i="2" s="1"/>
  <c r="W94" i="2"/>
  <c r="BB94" i="2" s="1"/>
  <c r="W36" i="2"/>
  <c r="BB36" i="2" s="1"/>
  <c r="W149" i="2"/>
  <c r="BB149" i="2" s="1"/>
  <c r="W347" i="2"/>
  <c r="BB347" i="2" s="1"/>
  <c r="W47" i="2"/>
  <c r="BB47" i="2" s="1"/>
  <c r="W383" i="2"/>
  <c r="BB383" i="2" s="1"/>
  <c r="W318" i="2"/>
  <c r="BB318" i="2" s="1"/>
  <c r="W73" i="2"/>
  <c r="BB73" i="2" s="1"/>
  <c r="W263" i="2"/>
  <c r="BB263" i="2" s="1"/>
  <c r="W49" i="2"/>
  <c r="BB49" i="2" s="1"/>
  <c r="W302" i="2"/>
  <c r="BB302" i="2" s="1"/>
  <c r="W235" i="2"/>
  <c r="BB235" i="2" s="1"/>
  <c r="W110" i="2"/>
  <c r="BB110" i="2" s="1"/>
  <c r="W266" i="2"/>
  <c r="BB266" i="2" s="1"/>
  <c r="W89" i="2"/>
  <c r="BB89" i="2" s="1"/>
  <c r="W280" i="2"/>
  <c r="BB280" i="2" s="1"/>
  <c r="W287" i="2"/>
  <c r="BB287" i="2" s="1"/>
  <c r="W234" i="2"/>
  <c r="BB234" i="2" s="1"/>
  <c r="W182" i="2"/>
  <c r="BB182" i="2" s="1"/>
  <c r="W384" i="2"/>
  <c r="BB384" i="2" s="1"/>
  <c r="W274" i="2"/>
  <c r="BB274" i="2" s="1"/>
  <c r="W184" i="2"/>
  <c r="BB184" i="2" s="1"/>
  <c r="W65" i="2"/>
  <c r="BB65" i="2" s="1"/>
  <c r="W40" i="2"/>
  <c r="BB40" i="2" s="1"/>
  <c r="W96" i="2"/>
  <c r="BB96" i="2" s="1"/>
  <c r="W342" i="2"/>
  <c r="BB342" i="2" s="1"/>
  <c r="W170" i="2"/>
  <c r="BB170" i="2" s="1"/>
  <c r="W348" i="2"/>
  <c r="BB348" i="2" s="1"/>
  <c r="W381" i="2"/>
  <c r="BB381" i="2" s="1"/>
  <c r="W6" i="2"/>
  <c r="BB6" i="2" s="1"/>
  <c r="W341" i="2"/>
  <c r="BB341" i="2" s="1"/>
  <c r="W108" i="2"/>
  <c r="BB108" i="2" s="1"/>
  <c r="W264" i="2"/>
  <c r="BB264" i="2" s="1"/>
  <c r="W300" i="2"/>
  <c r="BB300" i="2" s="1"/>
  <c r="W337" i="2"/>
  <c r="BB337" i="2" s="1"/>
  <c r="W257" i="2"/>
  <c r="BB257" i="2" s="1"/>
  <c r="W189" i="2"/>
  <c r="BB189" i="2" s="1"/>
  <c r="W242" i="2"/>
  <c r="BB242" i="2" s="1"/>
  <c r="W28" i="2"/>
  <c r="BB28" i="2" s="1"/>
  <c r="W281" i="2"/>
  <c r="BB281" i="2" s="1"/>
  <c r="W259" i="2"/>
  <c r="BB259" i="2" s="1"/>
  <c r="W19" i="2"/>
  <c r="BB19" i="2" s="1"/>
  <c r="W13" i="2"/>
  <c r="BB13" i="2" s="1"/>
  <c r="W32" i="2"/>
  <c r="BB32" i="2" s="1"/>
  <c r="W340" i="2"/>
  <c r="BB340" i="2" s="1"/>
  <c r="W172" i="2"/>
  <c r="BB172" i="2" s="1"/>
  <c r="W27" i="2"/>
  <c r="BB27" i="2" s="1"/>
  <c r="W244" i="2"/>
  <c r="BB244" i="2" s="1"/>
  <c r="W120" i="2"/>
  <c r="BB120" i="2" s="1"/>
  <c r="W352" i="2"/>
  <c r="BB352" i="2" s="1"/>
  <c r="W317" i="2"/>
  <c r="BB317" i="2" s="1"/>
  <c r="W370" i="2"/>
  <c r="BB370" i="2" s="1"/>
  <c r="W356" i="2"/>
  <c r="BB356" i="2" s="1"/>
  <c r="W258" i="2"/>
  <c r="BB258" i="2" s="1"/>
  <c r="W195" i="2"/>
  <c r="BB195" i="2" s="1"/>
  <c r="W11" i="2"/>
  <c r="BB11" i="2" s="1"/>
  <c r="W290" i="2"/>
  <c r="BB290" i="2" s="1"/>
  <c r="W271" i="2"/>
  <c r="BB271" i="2" s="1"/>
  <c r="W191" i="2"/>
  <c r="BB191" i="2" s="1"/>
  <c r="W130" i="2"/>
  <c r="BB130" i="2" s="1"/>
  <c r="W46" i="2"/>
  <c r="BB46" i="2" s="1"/>
  <c r="W243" i="2"/>
  <c r="BB243" i="2" s="1"/>
  <c r="W20" i="2"/>
  <c r="BB20" i="2" s="1"/>
  <c r="W349" i="2"/>
  <c r="BB349" i="2" s="1"/>
  <c r="W260" i="2"/>
  <c r="BB260" i="2" s="1"/>
  <c r="W83" i="2"/>
  <c r="BB83" i="2" s="1"/>
  <c r="W59" i="2"/>
  <c r="BB59" i="2" s="1"/>
  <c r="W159" i="2"/>
  <c r="BB159" i="2" s="1"/>
  <c r="W254" i="2"/>
  <c r="BB254" i="2" s="1"/>
  <c r="W214" i="2"/>
  <c r="BB214" i="2" s="1"/>
  <c r="W84" i="2"/>
  <c r="BB84" i="2" s="1"/>
  <c r="W118" i="2"/>
  <c r="BB118" i="2" s="1"/>
  <c r="W142" i="2"/>
  <c r="BB142" i="2" s="1"/>
  <c r="W104" i="2"/>
  <c r="BB104" i="2" s="1"/>
  <c r="W31" i="2"/>
  <c r="BB31" i="2" s="1"/>
  <c r="W178" i="2"/>
  <c r="BB178" i="2" s="1"/>
  <c r="W382" i="2"/>
  <c r="BB382" i="2" s="1"/>
  <c r="W267" i="2"/>
  <c r="BB267" i="2" s="1"/>
  <c r="W55" i="2"/>
  <c r="BB55" i="2" s="1"/>
  <c r="W175" i="2"/>
  <c r="BB175" i="2" s="1"/>
  <c r="W113" i="2"/>
  <c r="BB113" i="2" s="1"/>
  <c r="W301" i="2"/>
  <c r="BB301" i="2" s="1"/>
  <c r="W200" i="2"/>
  <c r="BB200" i="2" s="1"/>
  <c r="W106" i="2"/>
  <c r="BB106" i="2" s="1"/>
  <c r="W16" i="2"/>
  <c r="BB16" i="2" s="1"/>
  <c r="W68" i="2"/>
  <c r="BB68" i="2" s="1"/>
  <c r="W316" i="2"/>
  <c r="BB316" i="2" s="1"/>
  <c r="W203" i="2"/>
  <c r="BB203" i="2" s="1"/>
  <c r="W256" i="2"/>
  <c r="BB256" i="2" s="1"/>
  <c r="W156" i="2"/>
  <c r="BB156" i="2" s="1"/>
  <c r="W326" i="2"/>
  <c r="BB326" i="2" s="1"/>
  <c r="W155" i="2"/>
  <c r="BB155" i="2" s="1"/>
  <c r="W310" i="2"/>
  <c r="BB310" i="2" s="1"/>
  <c r="W103" i="2"/>
  <c r="BB103" i="2" s="1"/>
  <c r="W90" i="2"/>
  <c r="BB90" i="2" s="1"/>
  <c r="W95" i="2"/>
  <c r="BB95" i="2" s="1"/>
  <c r="W33" i="2"/>
  <c r="BB33" i="2" s="1"/>
  <c r="W294" i="2"/>
  <c r="BB294" i="2" s="1"/>
  <c r="W322" i="2"/>
  <c r="BB322" i="2" s="1"/>
  <c r="W277" i="2"/>
  <c r="BB277" i="2" s="1"/>
  <c r="W314" i="2"/>
  <c r="BB314" i="2" s="1"/>
  <c r="W22" i="2"/>
  <c r="BB22" i="2" s="1"/>
  <c r="W378" i="2"/>
  <c r="BB378" i="2" s="1"/>
  <c r="W283" i="2"/>
  <c r="BB283" i="2" s="1"/>
  <c r="W125" i="2"/>
  <c r="BB125" i="2" s="1"/>
  <c r="W289" i="2"/>
  <c r="BB289" i="2" s="1"/>
  <c r="W334" i="2"/>
  <c r="BB334" i="2" s="1"/>
  <c r="W358" i="2"/>
  <c r="BB358" i="2" s="1"/>
  <c r="W282" i="2"/>
  <c r="BB282" i="2" s="1"/>
  <c r="W150" i="2"/>
  <c r="BB150" i="2" s="1"/>
  <c r="W62" i="2"/>
  <c r="BB62" i="2" s="1"/>
  <c r="W92" i="2"/>
  <c r="BB92" i="2" s="1"/>
  <c r="W321" i="2"/>
  <c r="BB321" i="2" s="1"/>
  <c r="W303" i="2"/>
  <c r="BB303" i="2" s="1"/>
  <c r="W275" i="2"/>
  <c r="BB275" i="2" s="1"/>
  <c r="W278" i="2"/>
  <c r="BB278" i="2" s="1"/>
  <c r="W222" i="2"/>
  <c r="BB222" i="2" s="1"/>
  <c r="W312" i="2"/>
  <c r="BB312" i="2" s="1"/>
  <c r="W369" i="2"/>
  <c r="BB369" i="2" s="1"/>
  <c r="W43" i="2"/>
  <c r="BB43" i="2" s="1"/>
  <c r="W37" i="2"/>
  <c r="BB37" i="2" s="1"/>
  <c r="W362" i="2"/>
  <c r="BB362" i="2" s="1"/>
  <c r="W296" i="2"/>
  <c r="BB296" i="2" s="1"/>
  <c r="W10" i="2"/>
  <c r="BB10" i="2" s="1"/>
  <c r="W336" i="2"/>
  <c r="BB336" i="2" s="1"/>
  <c r="W223" i="2"/>
  <c r="BB223" i="2" s="1"/>
  <c r="W128" i="2"/>
  <c r="BB128" i="2" s="1"/>
  <c r="W324" i="2"/>
  <c r="BB324" i="2" s="1"/>
  <c r="W240" i="2"/>
  <c r="BB240" i="2" s="1"/>
  <c r="W21" i="2"/>
  <c r="BB21" i="2" s="1"/>
  <c r="W226" i="2"/>
  <c r="BB226" i="2" s="1"/>
  <c r="W252" i="2"/>
  <c r="BB252" i="2" s="1"/>
  <c r="W147" i="2"/>
  <c r="BB147" i="2" s="1"/>
  <c r="W157" i="2"/>
  <c r="BB157" i="2" s="1"/>
  <c r="W82" i="2"/>
  <c r="BB82" i="2" s="1"/>
  <c r="W17" i="2"/>
  <c r="BB17" i="2" s="1"/>
  <c r="W152" i="2"/>
  <c r="BB152" i="2" s="1"/>
  <c r="W101" i="2"/>
  <c r="BB101" i="2" s="1"/>
  <c r="W197" i="2"/>
  <c r="BB197" i="2" s="1"/>
  <c r="W353" i="2"/>
  <c r="BB353" i="2" s="1"/>
  <c r="W229" i="2"/>
  <c r="BB229" i="2" s="1"/>
  <c r="W230" i="2"/>
  <c r="BB230" i="2" s="1"/>
  <c r="W253" i="2"/>
  <c r="BB253" i="2" s="1"/>
  <c r="W136" i="2"/>
  <c r="BB136" i="2" s="1"/>
  <c r="W213" i="2"/>
  <c r="BB213" i="2" s="1"/>
  <c r="W216" i="2"/>
  <c r="BB216" i="2" s="1"/>
  <c r="W225" i="2"/>
  <c r="BB225" i="2" s="1"/>
  <c r="W335" i="2"/>
  <c r="BB335" i="2" s="1"/>
  <c r="W168" i="2"/>
  <c r="BB168" i="2" s="1"/>
  <c r="W18" i="2"/>
  <c r="BB18" i="2" s="1"/>
  <c r="W171" i="2"/>
  <c r="BB171" i="2" s="1"/>
  <c r="W207" i="2"/>
  <c r="BB207" i="2" s="1"/>
  <c r="W169" i="2"/>
  <c r="BB169" i="2" s="1"/>
  <c r="W206" i="2"/>
  <c r="BB206" i="2" s="1"/>
  <c r="W183" i="2"/>
  <c r="BB183" i="2" s="1"/>
  <c r="W153" i="2"/>
  <c r="BB153" i="2" s="1"/>
  <c r="W173" i="2"/>
  <c r="BB173" i="2" s="1"/>
  <c r="W69" i="2"/>
  <c r="BB69" i="2" s="1"/>
  <c r="W102" i="2"/>
  <c r="BB102" i="2" s="1"/>
  <c r="W180" i="2"/>
  <c r="BB180" i="2" s="1"/>
  <c r="W194" i="2"/>
  <c r="BB194" i="2" s="1"/>
  <c r="W72" i="2"/>
  <c r="BB72" i="2" s="1"/>
  <c r="W70" i="2"/>
  <c r="BB70" i="2" s="1"/>
  <c r="W167" i="2"/>
  <c r="BB167" i="2" s="1"/>
  <c r="W247" i="2"/>
  <c r="BB247" i="2" s="1"/>
  <c r="W261" i="2"/>
  <c r="BB261" i="2" s="1"/>
  <c r="W215" i="2"/>
  <c r="BB215" i="2" s="1"/>
  <c r="W208" i="2"/>
  <c r="BB208" i="2" s="1"/>
  <c r="W332" i="2"/>
  <c r="BB332" i="2" s="1"/>
  <c r="W199" i="2"/>
  <c r="BB199" i="2" s="1"/>
  <c r="W132" i="2"/>
  <c r="BB132" i="2" s="1"/>
  <c r="W311" i="2"/>
  <c r="BB311" i="2" s="1"/>
  <c r="W309" i="2"/>
  <c r="BB309" i="2" s="1"/>
  <c r="W35" i="2"/>
  <c r="BB35" i="2" s="1"/>
  <c r="W133" i="2"/>
  <c r="BB133" i="2" s="1"/>
  <c r="W268" i="2"/>
  <c r="BB268" i="2" s="1"/>
  <c r="W163" i="2"/>
  <c r="BB163" i="2" s="1"/>
  <c r="W164" i="2"/>
  <c r="BB164" i="2" s="1"/>
  <c r="W186" i="2"/>
  <c r="BB186" i="2" s="1"/>
  <c r="W67" i="2"/>
  <c r="BB67" i="2" s="1"/>
  <c r="W192" i="2"/>
  <c r="BB192" i="2" s="1"/>
  <c r="W357" i="2"/>
  <c r="BB357" i="2" s="1"/>
  <c r="W61" i="2"/>
  <c r="BB61" i="2" s="1"/>
  <c r="W85" i="2"/>
  <c r="BB85" i="2" s="1"/>
  <c r="W224" i="2"/>
  <c r="BB224" i="2" s="1"/>
  <c r="W71" i="2"/>
  <c r="BB71" i="2" s="1"/>
  <c r="W100" i="2"/>
  <c r="BB100" i="2" s="1"/>
  <c r="W15" i="2"/>
  <c r="BB15" i="2" s="1"/>
  <c r="W364" i="2"/>
  <c r="BB364" i="2" s="1"/>
  <c r="W9" i="2"/>
  <c r="BB9" i="2" s="1"/>
  <c r="W87" i="2"/>
  <c r="BB87" i="2" s="1"/>
  <c r="W237" i="2"/>
  <c r="BB237" i="2" s="1"/>
  <c r="W350" i="2"/>
  <c r="BB350" i="2" s="1"/>
  <c r="W328" i="2"/>
  <c r="BB328" i="2" s="1"/>
  <c r="W158" i="2"/>
  <c r="BB158" i="2" s="1"/>
  <c r="W359" i="2"/>
  <c r="BB359" i="2" s="1"/>
  <c r="W360" i="2"/>
  <c r="BB360" i="2" s="1"/>
  <c r="W14" i="2"/>
  <c r="BB14" i="2" s="1"/>
  <c r="W284" i="2"/>
  <c r="BB284" i="2" s="1"/>
  <c r="W319" i="2"/>
  <c r="BB319" i="2" s="1"/>
  <c r="W238" i="2"/>
  <c r="BB238" i="2" s="1"/>
  <c r="W338" i="2"/>
  <c r="BB338" i="2" s="1"/>
  <c r="W50" i="2"/>
  <c r="BB50" i="2" s="1"/>
  <c r="W292" i="2"/>
  <c r="BB292" i="2" s="1"/>
  <c r="W116" i="2"/>
  <c r="BB116" i="2" s="1"/>
  <c r="W162" i="2"/>
  <c r="BB162" i="2" s="1"/>
  <c r="W363" i="2"/>
  <c r="BB363" i="2" s="1"/>
  <c r="W375" i="2"/>
  <c r="BB375" i="2" s="1"/>
  <c r="W44" i="2"/>
  <c r="BB44" i="2" s="1"/>
  <c r="W7" i="2"/>
  <c r="BB7" i="2" s="1"/>
  <c r="W272" i="2"/>
  <c r="BB272" i="2" s="1"/>
  <c r="W74" i="2"/>
  <c r="BB74" i="2" s="1"/>
  <c r="W241" i="2"/>
  <c r="BB241" i="2" s="1"/>
  <c r="W81" i="2"/>
  <c r="BB81" i="2" s="1"/>
  <c r="W239" i="2"/>
  <c r="BB239" i="2" s="1"/>
  <c r="W86" i="2"/>
  <c r="BB86" i="2" s="1"/>
  <c r="W187" i="2"/>
  <c r="BB187" i="2" s="1"/>
  <c r="W88" i="2"/>
  <c r="BB88" i="2" s="1"/>
  <c r="W185" i="2"/>
  <c r="BB185" i="2" s="1"/>
  <c r="W329" i="2"/>
  <c r="BB329" i="2" s="1"/>
  <c r="W368" i="2"/>
  <c r="BB368" i="2" s="1"/>
  <c r="W344" i="2"/>
  <c r="BB344" i="2" s="1"/>
  <c r="W134" i="2"/>
  <c r="BB134" i="2" s="1"/>
  <c r="W228" i="2"/>
  <c r="BB228" i="2" s="1"/>
  <c r="W373" i="2"/>
  <c r="BB373" i="2" s="1"/>
  <c r="W251" i="2"/>
  <c r="BB251" i="2" s="1"/>
  <c r="W105" i="2"/>
  <c r="BB105" i="2" s="1"/>
  <c r="W198" i="2"/>
  <c r="BB198" i="2" s="1"/>
  <c r="W299" i="2"/>
  <c r="BB299" i="2" s="1"/>
  <c r="W112" i="2"/>
  <c r="BB112" i="2" s="1"/>
  <c r="W8" i="2"/>
  <c r="BB8" i="2" s="1"/>
  <c r="W139" i="2"/>
  <c r="BB139" i="2" s="1"/>
  <c r="W233" i="2"/>
  <c r="BB233" i="2" s="1"/>
  <c r="W331" i="2"/>
  <c r="BB331" i="2" s="1"/>
  <c r="W345" i="2"/>
  <c r="BB345" i="2" s="1"/>
  <c r="N2587" i="23"/>
  <c r="L2587" i="23"/>
  <c r="C293" i="49"/>
  <c r="C300" i="49" s="1"/>
  <c r="C307" i="49" s="1"/>
  <c r="C314" i="49" s="1"/>
  <c r="C327" i="49" s="1"/>
  <c r="C340" i="49" s="1"/>
  <c r="C349" i="49" s="1"/>
  <c r="C372" i="49" s="1"/>
  <c r="C384" i="49" s="1"/>
  <c r="AL230" i="2"/>
  <c r="BQ230" i="2" s="1"/>
  <c r="AL278" i="2"/>
  <c r="BQ278" i="2" s="1"/>
  <c r="AL306" i="2"/>
  <c r="BQ306" i="2" s="1"/>
  <c r="AL341" i="2"/>
  <c r="BQ341" i="2" s="1"/>
  <c r="AL275" i="2"/>
  <c r="BQ275" i="2" s="1"/>
  <c r="AL321" i="2"/>
  <c r="BQ321" i="2" s="1"/>
  <c r="AL6" i="2"/>
  <c r="AL72" i="2"/>
  <c r="BQ72" i="2" s="1"/>
  <c r="AL325" i="2"/>
  <c r="BQ325" i="2" s="1"/>
  <c r="AL351" i="2"/>
  <c r="BQ351" i="2" s="1"/>
  <c r="AL92" i="2"/>
  <c r="BQ92" i="2" s="1"/>
  <c r="AL63" i="2"/>
  <c r="BQ63" i="2" s="1"/>
  <c r="AL237" i="2"/>
  <c r="BQ237" i="2" s="1"/>
  <c r="AL116" i="2"/>
  <c r="BQ116" i="2" s="1"/>
  <c r="AL62" i="2"/>
  <c r="AL284" i="2"/>
  <c r="BQ284" i="2" s="1"/>
  <c r="AL337" i="2"/>
  <c r="BQ337" i="2" s="1"/>
  <c r="AL123" i="2"/>
  <c r="BQ123" i="2" s="1"/>
  <c r="AL347" i="2"/>
  <c r="BQ347" i="2" s="1"/>
  <c r="AL161" i="2"/>
  <c r="BQ161" i="2" s="1"/>
  <c r="AL330" i="2"/>
  <c r="BQ330" i="2" s="1"/>
  <c r="AL169" i="2"/>
  <c r="BQ169" i="2" s="1"/>
  <c r="AL333" i="2"/>
  <c r="BQ333" i="2" s="1"/>
  <c r="AL208" i="2"/>
  <c r="BQ208" i="2" s="1"/>
  <c r="AL331" i="2"/>
  <c r="BQ331" i="2" s="1"/>
  <c r="AL163" i="2"/>
  <c r="BQ163" i="2" s="1"/>
  <c r="AL336" i="2"/>
  <c r="BQ336" i="2" s="1"/>
  <c r="AL166" i="2"/>
  <c r="BQ166" i="2" s="1"/>
  <c r="AL111" i="2"/>
  <c r="BQ111" i="2" s="1"/>
  <c r="AL55" i="2"/>
  <c r="AL128" i="2"/>
  <c r="BQ128" i="2" s="1"/>
  <c r="AL102" i="2"/>
  <c r="BQ102" i="2" s="1"/>
  <c r="AL332" i="2"/>
  <c r="BQ332" i="2" s="1"/>
  <c r="AL170" i="2"/>
  <c r="BQ170" i="2" s="1"/>
  <c r="AL328" i="2"/>
  <c r="BQ328" i="2" s="1"/>
  <c r="AL168" i="2"/>
  <c r="BQ168" i="2" s="1"/>
  <c r="AL329" i="2"/>
  <c r="BQ329" i="2" s="1"/>
  <c r="AL167" i="2"/>
  <c r="BQ167" i="2" s="1"/>
  <c r="AL327" i="2"/>
  <c r="BQ327" i="2" s="1"/>
  <c r="AL158" i="2"/>
  <c r="BQ158" i="2" s="1"/>
  <c r="AL85" i="2"/>
  <c r="BQ85" i="2" s="1"/>
  <c r="AL274" i="2"/>
  <c r="BQ274" i="2" s="1"/>
  <c r="AL70" i="2"/>
  <c r="AL135" i="2"/>
  <c r="BQ135" i="2" s="1"/>
  <c r="AL187" i="2"/>
  <c r="BQ187" i="2" s="1"/>
  <c r="AL94" i="2"/>
  <c r="BQ94" i="2" s="1"/>
  <c r="AL229" i="2"/>
  <c r="BQ229" i="2" s="1"/>
  <c r="AL56" i="2"/>
  <c r="AL358" i="2"/>
  <c r="BQ358" i="2" s="1"/>
  <c r="AL317" i="2"/>
  <c r="BQ317" i="2" s="1"/>
  <c r="AL371" i="2"/>
  <c r="BQ371" i="2" s="1"/>
  <c r="AL104" i="2"/>
  <c r="BQ104" i="2" s="1"/>
  <c r="AL41" i="2"/>
  <c r="AL20" i="2"/>
  <c r="AL342" i="2"/>
  <c r="BQ342" i="2" s="1"/>
  <c r="AL18" i="2"/>
  <c r="AL54" i="2"/>
  <c r="AL150" i="2"/>
  <c r="BQ150" i="2" s="1"/>
  <c r="AL200" i="2"/>
  <c r="BQ200" i="2" s="1"/>
  <c r="AL194" i="2"/>
  <c r="BQ194" i="2" s="1"/>
  <c r="AL101" i="2"/>
  <c r="BQ101" i="2" s="1"/>
  <c r="AL228" i="2"/>
  <c r="BQ228" i="2" s="1"/>
  <c r="AL149" i="2"/>
  <c r="BQ149" i="2" s="1"/>
  <c r="AL320" i="2"/>
  <c r="BQ320" i="2" s="1"/>
  <c r="AL139" i="2"/>
  <c r="BQ139" i="2" s="1"/>
  <c r="AL81" i="2"/>
  <c r="BQ81" i="2" s="1"/>
  <c r="AL91" i="2"/>
  <c r="BQ91" i="2" s="1"/>
  <c r="AL307" i="2"/>
  <c r="BQ307" i="2" s="1"/>
  <c r="AL308" i="2"/>
  <c r="BQ308" i="2" s="1"/>
  <c r="AL313" i="2"/>
  <c r="BQ313" i="2" s="1"/>
  <c r="AL311" i="2"/>
  <c r="BQ311" i="2" s="1"/>
  <c r="AL53" i="2"/>
  <c r="AL98" i="2"/>
  <c r="BQ98" i="2" s="1"/>
  <c r="AL369" i="2"/>
  <c r="BQ369" i="2" s="1"/>
  <c r="AL376" i="2"/>
  <c r="BQ376" i="2" s="1"/>
  <c r="AL344" i="2"/>
  <c r="BQ344" i="2" s="1"/>
  <c r="AL113" i="2"/>
  <c r="BQ113" i="2" s="1"/>
  <c r="AL174" i="2"/>
  <c r="BQ174" i="2" s="1"/>
  <c r="AL254" i="2"/>
  <c r="BQ254" i="2" s="1"/>
  <c r="AL220" i="2"/>
  <c r="BQ220" i="2" s="1"/>
  <c r="AL222" i="2"/>
  <c r="BQ222" i="2" s="1"/>
  <c r="AL294" i="2"/>
  <c r="BQ294" i="2" s="1"/>
  <c r="AL277" i="2"/>
  <c r="BQ277" i="2" s="1"/>
  <c r="AL322" i="2"/>
  <c r="BQ322" i="2" s="1"/>
  <c r="AL305" i="2"/>
  <c r="BQ305" i="2" s="1"/>
  <c r="AL245" i="2"/>
  <c r="BQ245" i="2" s="1"/>
  <c r="AL75" i="2"/>
  <c r="AL250" i="2"/>
  <c r="BQ250" i="2" s="1"/>
  <c r="AL304" i="2"/>
  <c r="BQ304" i="2" s="1"/>
  <c r="AL279" i="2"/>
  <c r="BQ279" i="2" s="1"/>
  <c r="AL276" i="2"/>
  <c r="BQ276" i="2" s="1"/>
  <c r="AL372" i="2"/>
  <c r="BQ372" i="2" s="1"/>
  <c r="AL296" i="2"/>
  <c r="BQ296" i="2" s="1"/>
  <c r="AL33" i="2"/>
  <c r="AL382" i="2"/>
  <c r="BQ382" i="2" s="1"/>
  <c r="AL374" i="2"/>
  <c r="BQ374" i="2" s="1"/>
  <c r="AL78" i="2"/>
  <c r="BQ78" i="2" s="1"/>
  <c r="AL132" i="2"/>
  <c r="BQ132" i="2" s="1"/>
  <c r="AL95" i="2"/>
  <c r="BQ95" i="2" s="1"/>
  <c r="AL90" i="2"/>
  <c r="BQ90" i="2" s="1"/>
  <c r="AL239" i="2"/>
  <c r="BQ239" i="2" s="1"/>
  <c r="AL136" i="2"/>
  <c r="BQ136" i="2" s="1"/>
  <c r="AL93" i="2"/>
  <c r="BQ93" i="2" s="1"/>
  <c r="AL88" i="2"/>
  <c r="BQ88" i="2" s="1"/>
  <c r="AL13" i="2"/>
  <c r="AL378" i="2"/>
  <c r="BQ378" i="2" s="1"/>
  <c r="AL370" i="2"/>
  <c r="BQ370" i="2" s="1"/>
  <c r="AL165" i="2"/>
  <c r="BQ165" i="2" s="1"/>
  <c r="AL211" i="2"/>
  <c r="BQ211" i="2" s="1"/>
  <c r="AL164" i="2"/>
  <c r="BQ164" i="2" s="1"/>
  <c r="AL257" i="2"/>
  <c r="BQ257" i="2" s="1"/>
  <c r="AL335" i="2"/>
  <c r="BQ335" i="2" s="1"/>
  <c r="AL160" i="2"/>
  <c r="BQ160" i="2" s="1"/>
  <c r="AL204" i="2"/>
  <c r="BQ204" i="2" s="1"/>
  <c r="AL157" i="2"/>
  <c r="BQ157" i="2" s="1"/>
  <c r="AL243" i="2"/>
  <c r="BQ243" i="2" s="1"/>
  <c r="AL324" i="2"/>
  <c r="BQ324" i="2" s="1"/>
  <c r="AL238" i="2"/>
  <c r="BQ238" i="2" s="1"/>
  <c r="AL210" i="2"/>
  <c r="BQ210" i="2" s="1"/>
  <c r="AL212" i="2"/>
  <c r="BQ212" i="2" s="1"/>
  <c r="AL209" i="2"/>
  <c r="BQ209" i="2" s="1"/>
  <c r="AL207" i="2"/>
  <c r="BQ207" i="2" s="1"/>
  <c r="AL206" i="2"/>
  <c r="BQ206" i="2" s="1"/>
  <c r="AL205" i="2"/>
  <c r="BQ205" i="2" s="1"/>
  <c r="AL334" i="2"/>
  <c r="BQ334" i="2" s="1"/>
  <c r="AL162" i="2"/>
  <c r="BQ162" i="2" s="1"/>
  <c r="AL31" i="2"/>
  <c r="AL247" i="2"/>
  <c r="BQ247" i="2" s="1"/>
  <c r="AL29" i="2"/>
  <c r="AL291" i="2"/>
  <c r="BQ291" i="2" s="1"/>
  <c r="AL44" i="2"/>
  <c r="AL124" i="2"/>
  <c r="BQ124" i="2" s="1"/>
  <c r="AL147" i="2"/>
  <c r="BQ147" i="2" s="1"/>
  <c r="AL103" i="2"/>
  <c r="BQ103" i="2" s="1"/>
  <c r="AL106" i="2"/>
  <c r="BQ106" i="2" s="1"/>
  <c r="AL76" i="2"/>
  <c r="AL178" i="2"/>
  <c r="BQ178" i="2" s="1"/>
  <c r="AL195" i="2"/>
  <c r="BQ195" i="2" s="1"/>
  <c r="AL268" i="2"/>
  <c r="BQ268" i="2" s="1"/>
  <c r="AL34" i="2"/>
  <c r="AL153" i="2"/>
  <c r="BQ153" i="2" s="1"/>
  <c r="AL298" i="2"/>
  <c r="BQ298" i="2" s="1"/>
  <c r="AL137" i="2"/>
  <c r="BQ137" i="2" s="1"/>
  <c r="AL261" i="2"/>
  <c r="BQ261" i="2" s="1"/>
  <c r="AL189" i="2"/>
  <c r="BQ189" i="2" s="1"/>
  <c r="AL138" i="2"/>
  <c r="BQ138" i="2" s="1"/>
  <c r="AL319" i="2"/>
  <c r="BQ319" i="2" s="1"/>
  <c r="AL58" i="2"/>
  <c r="AL61" i="2"/>
  <c r="BQ61" i="2" s="1"/>
  <c r="AL379" i="2"/>
  <c r="BQ379" i="2" s="1"/>
  <c r="AL32" i="2"/>
  <c r="AL265" i="2"/>
  <c r="BQ265" i="2" s="1"/>
  <c r="AL48" i="2"/>
  <c r="AL215" i="2"/>
  <c r="BQ215" i="2" s="1"/>
  <c r="AL118" i="2"/>
  <c r="BQ118" i="2" s="1"/>
  <c r="AL148" i="2"/>
  <c r="BQ148" i="2" s="1"/>
  <c r="AL19" i="2"/>
  <c r="AL126" i="2"/>
  <c r="BQ126" i="2" s="1"/>
  <c r="AL96" i="2"/>
  <c r="BQ96" i="2" s="1"/>
  <c r="AL353" i="2"/>
  <c r="BQ353" i="2" s="1"/>
  <c r="AL38" i="2"/>
  <c r="AL225" i="2"/>
  <c r="BQ225" i="2" s="1"/>
  <c r="AL318" i="2"/>
  <c r="BQ318" i="2" s="1"/>
  <c r="AL27" i="2"/>
  <c r="AL355" i="2"/>
  <c r="BQ355" i="2" s="1"/>
  <c r="AL120" i="2"/>
  <c r="BQ120" i="2" s="1"/>
  <c r="AL246" i="2"/>
  <c r="BQ246" i="2" s="1"/>
  <c r="AL381" i="2"/>
  <c r="BQ381" i="2" s="1"/>
  <c r="AL340" i="2"/>
  <c r="BQ340" i="2" s="1"/>
  <c r="AL264" i="2"/>
  <c r="BQ264" i="2" s="1"/>
  <c r="AL47" i="2"/>
  <c r="AL365" i="2"/>
  <c r="BQ365" i="2" s="1"/>
  <c r="AL301" i="2"/>
  <c r="BQ301" i="2" s="1"/>
  <c r="AL354" i="2"/>
  <c r="BQ354" i="2" s="1"/>
  <c r="AL112" i="2"/>
  <c r="BQ112" i="2" s="1"/>
  <c r="AL260" i="2"/>
  <c r="BQ260" i="2" s="1"/>
  <c r="AL248" i="2"/>
  <c r="BQ248" i="2" s="1"/>
  <c r="AL125" i="2"/>
  <c r="BQ125" i="2" s="1"/>
  <c r="AL224" i="2"/>
  <c r="BQ224" i="2" s="1"/>
  <c r="AL242" i="2"/>
  <c r="BQ242" i="2" s="1"/>
  <c r="AL173" i="2"/>
  <c r="BQ173" i="2" s="1"/>
  <c r="AL97" i="2"/>
  <c r="BQ97" i="2" s="1"/>
  <c r="AL252" i="2"/>
  <c r="BQ252" i="2" s="1"/>
  <c r="AL141" i="2"/>
  <c r="BQ141" i="2" s="1"/>
  <c r="AL302" i="2"/>
  <c r="BQ302" i="2" s="1"/>
  <c r="AL295" i="2"/>
  <c r="BQ295" i="2" s="1"/>
  <c r="AL159" i="2"/>
  <c r="BQ159" i="2" s="1"/>
  <c r="AL288" i="2"/>
  <c r="BQ288" i="2" s="1"/>
  <c r="AL14" i="2"/>
  <c r="AL177" i="2"/>
  <c r="BQ177" i="2" s="1"/>
  <c r="AL196" i="2"/>
  <c r="BQ196" i="2" s="1"/>
  <c r="AL17" i="2"/>
  <c r="AL100" i="2"/>
  <c r="BQ100" i="2" s="1"/>
  <c r="AL273" i="2"/>
  <c r="BQ273" i="2" s="1"/>
  <c r="AL122" i="2"/>
  <c r="BQ122" i="2" s="1"/>
  <c r="AL240" i="2"/>
  <c r="BQ240" i="2" s="1"/>
  <c r="AL22" i="2"/>
  <c r="AL42" i="2"/>
  <c r="AL241" i="2"/>
  <c r="BQ241" i="2" s="1"/>
  <c r="AL83" i="2"/>
  <c r="BQ83" i="2" s="1"/>
  <c r="AL193" i="2"/>
  <c r="BQ193" i="2" s="1"/>
  <c r="AL364" i="2"/>
  <c r="BQ364" i="2" s="1"/>
  <c r="AL131" i="2"/>
  <c r="BQ131" i="2" s="1"/>
  <c r="AL43" i="2"/>
  <c r="AL323" i="2"/>
  <c r="BQ323" i="2" s="1"/>
  <c r="AL37" i="2"/>
  <c r="AL292" i="2"/>
  <c r="BQ292" i="2" s="1"/>
  <c r="AL179" i="2"/>
  <c r="BQ179" i="2" s="1"/>
  <c r="AL71" i="2"/>
  <c r="BQ71" i="2" s="1"/>
  <c r="AL226" i="2"/>
  <c r="BQ226" i="2" s="1"/>
  <c r="AL39" i="2"/>
  <c r="AL235" i="2"/>
  <c r="BQ235" i="2" s="1"/>
  <c r="AL258" i="2"/>
  <c r="BQ258" i="2" s="1"/>
  <c r="AL218" i="2"/>
  <c r="BQ218" i="2" s="1"/>
  <c r="AL234" i="2"/>
  <c r="BQ234" i="2" s="1"/>
  <c r="AL262" i="2"/>
  <c r="BQ262" i="2" s="1"/>
  <c r="AL192" i="2"/>
  <c r="BQ192" i="2" s="1"/>
  <c r="AL283" i="2"/>
  <c r="BQ283" i="2" s="1"/>
  <c r="AL117" i="2"/>
  <c r="BQ117" i="2" s="1"/>
  <c r="AL350" i="2"/>
  <c r="BQ350" i="2" s="1"/>
  <c r="AL15" i="2"/>
  <c r="AL110" i="2"/>
  <c r="BQ110" i="2" s="1"/>
  <c r="AL231" i="2"/>
  <c r="BQ231" i="2" s="1"/>
  <c r="AL290" i="2"/>
  <c r="BQ290" i="2" s="1"/>
  <c r="AL60" i="2"/>
  <c r="AL127" i="2"/>
  <c r="BQ127" i="2" s="1"/>
  <c r="AL360" i="2"/>
  <c r="BQ360" i="2" s="1"/>
  <c r="AL357" i="2"/>
  <c r="BQ357" i="2" s="1"/>
  <c r="AL23" i="2"/>
  <c r="AL377" i="2"/>
  <c r="BQ377" i="2" s="1"/>
  <c r="AL46" i="2"/>
  <c r="AL366" i="2"/>
  <c r="BQ366" i="2" s="1"/>
  <c r="AL221" i="2"/>
  <c r="BQ221" i="2" s="1"/>
  <c r="AL300" i="2"/>
  <c r="BQ300" i="2" s="1"/>
  <c r="AL181" i="2"/>
  <c r="BQ181" i="2" s="1"/>
  <c r="AL25" i="2"/>
  <c r="AL7" i="2"/>
  <c r="AL346" i="2"/>
  <c r="BQ346" i="2" s="1"/>
  <c r="AL186" i="2"/>
  <c r="BQ186" i="2" s="1"/>
  <c r="AL251" i="2"/>
  <c r="BQ251" i="2" s="1"/>
  <c r="AL11" i="2"/>
  <c r="AL52" i="2"/>
  <c r="AL99" i="2"/>
  <c r="BQ99" i="2" s="1"/>
  <c r="AL65" i="2"/>
  <c r="AL109" i="2"/>
  <c r="BQ109" i="2" s="1"/>
  <c r="AL49" i="2"/>
  <c r="AL219" i="2"/>
  <c r="BQ219" i="2" s="1"/>
  <c r="AL79" i="2"/>
  <c r="BQ79" i="2" s="1"/>
  <c r="AL8" i="2"/>
  <c r="AL359" i="2"/>
  <c r="BQ359" i="2" s="1"/>
  <c r="AL26" i="2"/>
  <c r="AL66" i="2"/>
  <c r="AL183" i="2"/>
  <c r="BQ183" i="2" s="1"/>
  <c r="AL9" i="2"/>
  <c r="AL287" i="2"/>
  <c r="BQ287" i="2" s="1"/>
  <c r="AL182" i="2"/>
  <c r="BQ182" i="2" s="1"/>
  <c r="AL285" i="2"/>
  <c r="BQ285" i="2" s="1"/>
  <c r="AL270" i="2"/>
  <c r="BQ270" i="2" s="1"/>
  <c r="AL293" i="2"/>
  <c r="BQ293" i="2" s="1"/>
  <c r="AL152" i="2"/>
  <c r="BQ152" i="2" s="1"/>
  <c r="AL190" i="2"/>
  <c r="BQ190" i="2" s="1"/>
  <c r="AL140" i="2"/>
  <c r="BQ140" i="2" s="1"/>
  <c r="AL267" i="2"/>
  <c r="BQ267" i="2" s="1"/>
  <c r="AL119" i="2"/>
  <c r="BQ119" i="2" s="1"/>
  <c r="AL143" i="2"/>
  <c r="BQ143" i="2" s="1"/>
  <c r="AL227" i="2"/>
  <c r="BQ227" i="2" s="1"/>
  <c r="AL236" i="2"/>
  <c r="BQ236" i="2" s="1"/>
  <c r="AL368" i="2"/>
  <c r="BQ368" i="2" s="1"/>
  <c r="AL197" i="2"/>
  <c r="BQ197" i="2" s="1"/>
  <c r="AL84" i="2"/>
  <c r="BQ84" i="2" s="1"/>
  <c r="AL87" i="2"/>
  <c r="BQ87" i="2" s="1"/>
  <c r="AL57" i="2"/>
  <c r="AL24" i="2"/>
  <c r="AL82" i="2"/>
  <c r="BQ82" i="2" s="1"/>
  <c r="AL86" i="2"/>
  <c r="BQ86" i="2" s="1"/>
  <c r="AL21" i="2"/>
  <c r="AL144" i="2"/>
  <c r="BQ144" i="2" s="1"/>
  <c r="AL69" i="2"/>
  <c r="BQ69" i="2" s="1"/>
  <c r="AL281" i="2"/>
  <c r="BQ281" i="2" s="1"/>
  <c r="AL203" i="2"/>
  <c r="BQ203" i="2" s="1"/>
  <c r="AL80" i="2"/>
  <c r="BQ80" i="2" s="1"/>
  <c r="AL68" i="2"/>
  <c r="AL259" i="2"/>
  <c r="BQ259" i="2" s="1"/>
  <c r="AL349" i="2"/>
  <c r="BQ349" i="2" s="1"/>
  <c r="AL155" i="2"/>
  <c r="BQ155" i="2" s="1"/>
  <c r="AL198" i="2"/>
  <c r="BQ198" i="2" s="1"/>
  <c r="AL191" i="2"/>
  <c r="BQ191" i="2" s="1"/>
  <c r="AL280" i="2"/>
  <c r="BQ280" i="2" s="1"/>
  <c r="AL380" i="2"/>
  <c r="BQ380" i="2" s="1"/>
  <c r="AL172" i="2"/>
  <c r="BQ172" i="2" s="1"/>
  <c r="AL59" i="2"/>
  <c r="AL356" i="2"/>
  <c r="BQ356" i="2" s="1"/>
  <c r="AL282" i="2"/>
  <c r="BQ282" i="2" s="1"/>
  <c r="AL384" i="2"/>
  <c r="BQ384" i="2" s="1"/>
  <c r="AL263" i="2"/>
  <c r="BQ263" i="2" s="1"/>
  <c r="AL156" i="2"/>
  <c r="BQ156" i="2" s="1"/>
  <c r="AL289" i="2"/>
  <c r="BQ289" i="2" s="1"/>
  <c r="AL373" i="2"/>
  <c r="BQ373" i="2" s="1"/>
  <c r="AL105" i="2"/>
  <c r="BQ105" i="2" s="1"/>
  <c r="AL383" i="2"/>
  <c r="BQ383" i="2" s="1"/>
  <c r="AL129" i="2"/>
  <c r="BQ129" i="2" s="1"/>
  <c r="AL130" i="2"/>
  <c r="BQ130" i="2" s="1"/>
  <c r="AL272" i="2"/>
  <c r="BQ272" i="2" s="1"/>
  <c r="AL10" i="2"/>
  <c r="AL217" i="2"/>
  <c r="BQ217" i="2" s="1"/>
  <c r="AL171" i="2"/>
  <c r="BQ171" i="2" s="1"/>
  <c r="AL199" i="2"/>
  <c r="BQ199" i="2" s="1"/>
  <c r="AL175" i="2"/>
  <c r="BQ175" i="2" s="1"/>
  <c r="AL343" i="2"/>
  <c r="BQ343" i="2" s="1"/>
  <c r="AL244" i="2"/>
  <c r="BQ244" i="2" s="1"/>
  <c r="AL216" i="2"/>
  <c r="BQ216" i="2" s="1"/>
  <c r="AL362" i="2"/>
  <c r="BQ362" i="2" s="1"/>
  <c r="AL201" i="2"/>
  <c r="BQ201" i="2" s="1"/>
  <c r="AL233" i="2"/>
  <c r="BQ233" i="2" s="1"/>
  <c r="AL326" i="2"/>
  <c r="BQ326" i="2" s="1"/>
  <c r="AL115" i="2"/>
  <c r="BQ115" i="2" s="1"/>
  <c r="AL375" i="2"/>
  <c r="BQ375" i="2" s="1"/>
  <c r="AL352" i="2"/>
  <c r="BQ352" i="2" s="1"/>
  <c r="AL12" i="2"/>
  <c r="AL348" i="2"/>
  <c r="BQ348" i="2" s="1"/>
  <c r="AL363" i="2"/>
  <c r="BQ363" i="2" s="1"/>
  <c r="AL185" i="2"/>
  <c r="BQ185" i="2" s="1"/>
  <c r="AL146" i="2"/>
  <c r="BQ146" i="2" s="1"/>
  <c r="AL176" i="2"/>
  <c r="BQ176" i="2" s="1"/>
  <c r="AL338" i="2"/>
  <c r="BQ338" i="2" s="1"/>
  <c r="AL184" i="2"/>
  <c r="BQ184" i="2" s="1"/>
  <c r="AL107" i="2"/>
  <c r="BQ107" i="2" s="1"/>
  <c r="AL361" i="2"/>
  <c r="BQ361" i="2" s="1"/>
  <c r="AL255" i="2"/>
  <c r="BQ255" i="2" s="1"/>
  <c r="AL121" i="2"/>
  <c r="BQ121" i="2" s="1"/>
  <c r="AL367" i="2"/>
  <c r="BQ367" i="2" s="1"/>
  <c r="AL339" i="2"/>
  <c r="BQ339" i="2" s="1"/>
  <c r="AL108" i="2"/>
  <c r="BQ108" i="2" s="1"/>
  <c r="AL266" i="2"/>
  <c r="BQ266" i="2" s="1"/>
  <c r="AL73" i="2"/>
  <c r="BQ73" i="2" s="1"/>
  <c r="AL286" i="2"/>
  <c r="BQ286" i="2" s="1"/>
  <c r="AL145" i="2"/>
  <c r="BQ145" i="2" s="1"/>
  <c r="AL74" i="2"/>
  <c r="AL142" i="2"/>
  <c r="BQ142" i="2" s="1"/>
  <c r="AL299" i="2"/>
  <c r="BQ299" i="2" s="1"/>
  <c r="AL310" i="2"/>
  <c r="BQ310" i="2" s="1"/>
  <c r="AL214" i="2"/>
  <c r="BQ214" i="2" s="1"/>
  <c r="AL256" i="2"/>
  <c r="BQ256" i="2" s="1"/>
  <c r="AL30" i="2"/>
  <c r="AL40" i="2"/>
  <c r="AL271" i="2"/>
  <c r="BQ271" i="2" s="1"/>
  <c r="AL297" i="2"/>
  <c r="BQ297" i="2" s="1"/>
  <c r="AL269" i="2"/>
  <c r="BQ269" i="2" s="1"/>
  <c r="AL202" i="2"/>
  <c r="BQ202" i="2" s="1"/>
  <c r="AL345" i="2"/>
  <c r="BQ345" i="2" s="1"/>
  <c r="AL134" i="2"/>
  <c r="BQ134" i="2" s="1"/>
  <c r="AL28" i="2"/>
  <c r="AL316" i="2"/>
  <c r="BQ316" i="2" s="1"/>
  <c r="AL249" i="2"/>
  <c r="BQ249" i="2" s="1"/>
  <c r="AL133" i="2"/>
  <c r="BQ133" i="2" s="1"/>
  <c r="AL16" i="2"/>
  <c r="AL50" i="2"/>
  <c r="AL151" i="2"/>
  <c r="BQ151" i="2" s="1"/>
  <c r="AL64" i="2"/>
  <c r="AL67" i="2"/>
  <c r="AL154" i="2"/>
  <c r="BQ154" i="2" s="1"/>
  <c r="AL223" i="2"/>
  <c r="BQ223" i="2" s="1"/>
  <c r="AL89" i="2"/>
  <c r="BQ89" i="2" s="1"/>
  <c r="AL180" i="2"/>
  <c r="BQ180" i="2" s="1"/>
  <c r="AL188" i="2"/>
  <c r="BQ188" i="2" s="1"/>
  <c r="AV388" i="2"/>
  <c r="AV389" i="2"/>
  <c r="AV385" i="2"/>
  <c r="AV386" i="2"/>
  <c r="AQ387" i="2"/>
  <c r="AN387" i="2"/>
  <c r="AS387" i="2"/>
  <c r="AP387" i="2"/>
  <c r="AU387" i="2"/>
  <c r="AQ385" i="2"/>
  <c r="BD389" i="2"/>
  <c r="BG389" i="2"/>
  <c r="BG388" i="2"/>
  <c r="BC386" i="2"/>
  <c r="BD388" i="2"/>
  <c r="BG386" i="2"/>
  <c r="BC389" i="2"/>
  <c r="BD386" i="2"/>
  <c r="BC388" i="2"/>
  <c r="C2251" i="23"/>
  <c r="C2255" i="23"/>
  <c r="C2256" i="23"/>
  <c r="C1784" i="23"/>
  <c r="C1641" i="23"/>
  <c r="A11" i="49"/>
  <c r="A400" i="49"/>
  <c r="A32" i="49" s="1"/>
  <c r="A33" i="49" s="1"/>
  <c r="AL253" i="2" l="1"/>
  <c r="BQ253" i="2" s="1"/>
  <c r="AL309" i="2"/>
  <c r="BQ309" i="2" s="1"/>
  <c r="AL303" i="2"/>
  <c r="BQ303" i="2" s="1"/>
  <c r="AL51" i="2"/>
  <c r="G51" i="2" s="1"/>
  <c r="AL213" i="2"/>
  <c r="BQ213" i="2" s="1"/>
  <c r="AL232" i="2"/>
  <c r="BQ232" i="2" s="1"/>
  <c r="AL114" i="2"/>
  <c r="BQ114" i="2" s="1"/>
  <c r="AL314" i="2"/>
  <c r="BQ314" i="2" s="1"/>
  <c r="BB388" i="2"/>
  <c r="AL36" i="2"/>
  <c r="BQ36" i="2" s="1"/>
  <c r="AL35" i="2"/>
  <c r="BQ35" i="2" s="1"/>
  <c r="AL315" i="2"/>
  <c r="BQ315" i="2" s="1"/>
  <c r="AL312" i="2"/>
  <c r="BQ312" i="2" s="1"/>
  <c r="BB389" i="2"/>
  <c r="BB385" i="2"/>
  <c r="BB386" i="2"/>
  <c r="BQ64" i="2"/>
  <c r="G64" i="2"/>
  <c r="G50" i="2"/>
  <c r="BQ50" i="2"/>
  <c r="BQ40" i="2"/>
  <c r="G40" i="2"/>
  <c r="G12" i="2"/>
  <c r="BQ12" i="2"/>
  <c r="G59" i="2"/>
  <c r="BQ59" i="2"/>
  <c r="G24" i="2"/>
  <c r="BQ24" i="2"/>
  <c r="G26" i="2"/>
  <c r="BQ26" i="2"/>
  <c r="G8" i="2"/>
  <c r="BQ8" i="2"/>
  <c r="G11" i="2"/>
  <c r="BQ11" i="2"/>
  <c r="BQ7" i="2"/>
  <c r="G7" i="2"/>
  <c r="BQ46" i="2"/>
  <c r="G46" i="2"/>
  <c r="BQ23" i="2"/>
  <c r="G23" i="2"/>
  <c r="BQ389" i="2"/>
  <c r="BQ60" i="2"/>
  <c r="G60" i="2"/>
  <c r="BQ15" i="2"/>
  <c r="G15" i="2"/>
  <c r="BQ39" i="2"/>
  <c r="G39" i="2"/>
  <c r="G22" i="2"/>
  <c r="BQ22" i="2"/>
  <c r="G14" i="2"/>
  <c r="BQ14" i="2"/>
  <c r="G47" i="2"/>
  <c r="BQ47" i="2"/>
  <c r="BQ38" i="2"/>
  <c r="G38" i="2"/>
  <c r="G19" i="2"/>
  <c r="BQ19" i="2"/>
  <c r="BQ48" i="2"/>
  <c r="G48" i="2"/>
  <c r="G32" i="2"/>
  <c r="BQ32" i="2"/>
  <c r="G44" i="2"/>
  <c r="BQ44" i="2"/>
  <c r="G29" i="2"/>
  <c r="BQ29" i="2"/>
  <c r="G31" i="2"/>
  <c r="BQ31" i="2"/>
  <c r="G13" i="2"/>
  <c r="BQ13" i="2"/>
  <c r="BQ75" i="2"/>
  <c r="G75" i="2"/>
  <c r="BQ54" i="2"/>
  <c r="G54" i="2"/>
  <c r="G41" i="2"/>
  <c r="BQ41" i="2"/>
  <c r="BQ70" i="2"/>
  <c r="G70" i="2"/>
  <c r="BQ62" i="2"/>
  <c r="G62" i="2"/>
  <c r="G6" i="2"/>
  <c r="BQ6" i="2"/>
  <c r="G67" i="2"/>
  <c r="BQ67" i="2"/>
  <c r="BQ16" i="2"/>
  <c r="G16" i="2"/>
  <c r="G28" i="2"/>
  <c r="BQ28" i="2"/>
  <c r="G30" i="2"/>
  <c r="BQ30" i="2"/>
  <c r="BQ74" i="2"/>
  <c r="G74" i="2"/>
  <c r="G10" i="2"/>
  <c r="BQ10" i="2"/>
  <c r="BQ68" i="2"/>
  <c r="G68" i="2"/>
  <c r="BQ21" i="2"/>
  <c r="G21" i="2"/>
  <c r="G57" i="2"/>
  <c r="BQ57" i="2"/>
  <c r="G9" i="2"/>
  <c r="BQ9" i="2"/>
  <c r="BQ66" i="2"/>
  <c r="G66" i="2"/>
  <c r="BQ49" i="2"/>
  <c r="G49" i="2"/>
  <c r="G65" i="2"/>
  <c r="BQ65" i="2"/>
  <c r="BQ52" i="2"/>
  <c r="G52" i="2"/>
  <c r="BQ25" i="2"/>
  <c r="G25" i="2"/>
  <c r="BQ388" i="2"/>
  <c r="BQ37" i="2"/>
  <c r="G37" i="2"/>
  <c r="G43" i="2"/>
  <c r="BQ43" i="2"/>
  <c r="G42" i="2"/>
  <c r="BQ42" i="2"/>
  <c r="BQ17" i="2"/>
  <c r="G17" i="2"/>
  <c r="BQ27" i="2"/>
  <c r="G27" i="2"/>
  <c r="G58" i="2"/>
  <c r="BQ58" i="2"/>
  <c r="G34" i="2"/>
  <c r="BQ34" i="2"/>
  <c r="G76" i="2"/>
  <c r="BQ76" i="2"/>
  <c r="BQ33" i="2"/>
  <c r="G33" i="2"/>
  <c r="BQ53" i="2"/>
  <c r="G53" i="2"/>
  <c r="BQ18" i="2"/>
  <c r="G18" i="2"/>
  <c r="G20" i="2"/>
  <c r="BQ20" i="2"/>
  <c r="BQ56" i="2"/>
  <c r="G56" i="2"/>
  <c r="G55" i="2"/>
  <c r="BQ55" i="2"/>
  <c r="AV387" i="2"/>
  <c r="C2252" i="23"/>
  <c r="AA200" i="2" s="1"/>
  <c r="BF200" i="2" s="1"/>
  <c r="C1802" i="23"/>
  <c r="C1819" i="23" s="1"/>
  <c r="C1843" i="23" s="1"/>
  <c r="C1856" i="23" s="1"/>
  <c r="C1870" i="23" s="1"/>
  <c r="C1876" i="23" s="1"/>
  <c r="C1642" i="23"/>
  <c r="BQ51" i="2" l="1"/>
  <c r="BQ387" i="2" s="1"/>
  <c r="G35" i="2"/>
  <c r="G36" i="2"/>
  <c r="BB387" i="2"/>
  <c r="BQ386" i="2"/>
  <c r="AA313" i="2"/>
  <c r="BF313" i="2" s="1"/>
  <c r="AA311" i="2"/>
  <c r="BF311" i="2" s="1"/>
  <c r="AA312" i="2"/>
  <c r="BF312" i="2" s="1"/>
  <c r="AA314" i="2"/>
  <c r="BF314" i="2" s="1"/>
  <c r="AA307" i="2"/>
  <c r="BF307" i="2" s="1"/>
  <c r="AA315" i="2"/>
  <c r="BF315" i="2" s="1"/>
  <c r="AA309" i="2"/>
  <c r="BF309" i="2" s="1"/>
  <c r="AA308" i="2"/>
  <c r="BF308" i="2" s="1"/>
  <c r="AA303" i="2"/>
  <c r="BF303" i="2" s="1"/>
  <c r="AA278" i="2"/>
  <c r="BF278" i="2" s="1"/>
  <c r="AA321" i="2"/>
  <c r="BF321" i="2" s="1"/>
  <c r="AA305" i="2"/>
  <c r="BF305" i="2" s="1"/>
  <c r="AA220" i="2"/>
  <c r="BF220" i="2" s="1"/>
  <c r="AA306" i="2"/>
  <c r="BF306" i="2" s="1"/>
  <c r="AA275" i="2"/>
  <c r="BF275" i="2" s="1"/>
  <c r="AA304" i="2"/>
  <c r="BF304" i="2" s="1"/>
  <c r="AA51" i="2"/>
  <c r="BF51" i="2" s="1"/>
  <c r="AA279" i="2"/>
  <c r="BF279" i="2" s="1"/>
  <c r="AA276" i="2"/>
  <c r="BF276" i="2" s="1"/>
  <c r="AA222" i="2"/>
  <c r="BF222" i="2" s="1"/>
  <c r="AA245" i="2"/>
  <c r="BF245" i="2" s="1"/>
  <c r="AA322" i="2"/>
  <c r="BF322" i="2" s="1"/>
  <c r="AA294" i="2"/>
  <c r="BF294" i="2" s="1"/>
  <c r="AA277" i="2"/>
  <c r="BF277" i="2" s="1"/>
  <c r="AA374" i="2"/>
  <c r="BF374" i="2" s="1"/>
  <c r="AA372" i="2"/>
  <c r="BF372" i="2" s="1"/>
  <c r="AA33" i="2"/>
  <c r="BF33" i="2" s="1"/>
  <c r="AA93" i="2"/>
  <c r="BF93" i="2" s="1"/>
  <c r="AA90" i="2"/>
  <c r="BF90" i="2" s="1"/>
  <c r="AA351" i="2"/>
  <c r="BF351" i="2" s="1"/>
  <c r="AA62" i="2"/>
  <c r="BF62" i="2" s="1"/>
  <c r="AA95" i="2"/>
  <c r="BF95" i="2" s="1"/>
  <c r="AA92" i="2"/>
  <c r="BF92" i="2" s="1"/>
  <c r="AA63" i="2"/>
  <c r="BF63" i="2" s="1"/>
  <c r="AA132" i="2"/>
  <c r="BF132" i="2" s="1"/>
  <c r="AA13" i="2"/>
  <c r="BF13" i="2" s="1"/>
  <c r="AA157" i="2"/>
  <c r="BF157" i="2" s="1"/>
  <c r="AA168" i="2"/>
  <c r="BF168" i="2" s="1"/>
  <c r="AA169" i="2"/>
  <c r="BF169" i="2" s="1"/>
  <c r="AA164" i="2"/>
  <c r="BF164" i="2" s="1"/>
  <c r="AA163" i="2"/>
  <c r="BF163" i="2" s="1"/>
  <c r="AA167" i="2"/>
  <c r="BF167" i="2" s="1"/>
  <c r="AA206" i="2"/>
  <c r="BF206" i="2" s="1"/>
  <c r="AA209" i="2"/>
  <c r="BF209" i="2" s="1"/>
  <c r="AA160" i="2"/>
  <c r="BF160" i="2" s="1"/>
  <c r="AA210" i="2"/>
  <c r="BF210" i="2" s="1"/>
  <c r="AA165" i="2"/>
  <c r="BF165" i="2" s="1"/>
  <c r="AA211" i="2"/>
  <c r="BF211" i="2" s="1"/>
  <c r="AA205" i="2"/>
  <c r="BF205" i="2" s="1"/>
  <c r="AA161" i="2"/>
  <c r="BF161" i="2" s="1"/>
  <c r="AA204" i="2"/>
  <c r="BF204" i="2" s="1"/>
  <c r="AA162" i="2"/>
  <c r="BF162" i="2" s="1"/>
  <c r="AA170" i="2"/>
  <c r="BF170" i="2" s="1"/>
  <c r="AA212" i="2"/>
  <c r="BF212" i="2" s="1"/>
  <c r="AA158" i="2"/>
  <c r="BF158" i="2" s="1"/>
  <c r="AA166" i="2"/>
  <c r="BF166" i="2" s="1"/>
  <c r="AA208" i="2"/>
  <c r="BF208" i="2" s="1"/>
  <c r="AA207" i="2"/>
  <c r="BF207" i="2" s="1"/>
  <c r="AA154" i="2"/>
  <c r="BF154" i="2" s="1"/>
  <c r="AA288" i="2"/>
  <c r="BF288" i="2" s="1"/>
  <c r="AA81" i="2"/>
  <c r="BF81" i="2" s="1"/>
  <c r="AA53" i="2"/>
  <c r="BF53" i="2" s="1"/>
  <c r="AA272" i="2"/>
  <c r="BF272" i="2" s="1"/>
  <c r="AA346" i="2"/>
  <c r="BF346" i="2" s="1"/>
  <c r="AA60" i="2"/>
  <c r="BF60" i="2" s="1"/>
  <c r="AA134" i="2"/>
  <c r="BF134" i="2" s="1"/>
  <c r="AA345" i="2"/>
  <c r="BF345" i="2" s="1"/>
  <c r="AA182" i="2"/>
  <c r="BF182" i="2" s="1"/>
  <c r="AA216" i="2"/>
  <c r="BF216" i="2" s="1"/>
  <c r="AA20" i="2"/>
  <c r="BF20" i="2" s="1"/>
  <c r="AA284" i="2"/>
  <c r="BF284" i="2" s="1"/>
  <c r="AA113" i="2"/>
  <c r="BF113" i="2" s="1"/>
  <c r="AA59" i="2"/>
  <c r="BF59" i="2" s="1"/>
  <c r="AA94" i="2"/>
  <c r="BF94" i="2" s="1"/>
  <c r="AA264" i="2"/>
  <c r="BF264" i="2" s="1"/>
  <c r="AA183" i="2"/>
  <c r="BF183" i="2" s="1"/>
  <c r="AA354" i="2"/>
  <c r="BF354" i="2" s="1"/>
  <c r="AA246" i="2"/>
  <c r="BF246" i="2" s="1"/>
  <c r="AA40" i="2"/>
  <c r="BF40" i="2" s="1"/>
  <c r="AA30" i="2"/>
  <c r="BF30" i="2" s="1"/>
  <c r="AA184" i="2"/>
  <c r="BF184" i="2" s="1"/>
  <c r="AA227" i="2"/>
  <c r="BF227" i="2" s="1"/>
  <c r="AA188" i="2"/>
  <c r="BF188" i="2" s="1"/>
  <c r="AA178" i="2"/>
  <c r="BF178" i="2" s="1"/>
  <c r="AA369" i="2"/>
  <c r="BF369" i="2" s="1"/>
  <c r="AA175" i="2"/>
  <c r="BF175" i="2" s="1"/>
  <c r="AA78" i="2"/>
  <c r="BF78" i="2" s="1"/>
  <c r="AA268" i="2"/>
  <c r="BF268" i="2" s="1"/>
  <c r="AA252" i="2"/>
  <c r="BF252" i="2" s="1"/>
  <c r="AA262" i="2"/>
  <c r="BF262" i="2" s="1"/>
  <c r="AA142" i="2"/>
  <c r="BF142" i="2" s="1"/>
  <c r="AA320" i="2"/>
  <c r="BF320" i="2" s="1"/>
  <c r="AA31" i="2"/>
  <c r="BF31" i="2" s="1"/>
  <c r="AA98" i="2"/>
  <c r="BF98" i="2" s="1"/>
  <c r="AA375" i="2"/>
  <c r="BF375" i="2" s="1"/>
  <c r="AA103" i="2"/>
  <c r="BF103" i="2" s="1"/>
  <c r="AA49" i="2"/>
  <c r="BF49" i="2" s="1"/>
  <c r="AA66" i="2"/>
  <c r="BF66" i="2" s="1"/>
  <c r="AA373" i="2"/>
  <c r="BF373" i="2" s="1"/>
  <c r="AA186" i="2"/>
  <c r="BF186" i="2" s="1"/>
  <c r="AA260" i="2"/>
  <c r="BF260" i="2" s="1"/>
  <c r="AA47" i="2"/>
  <c r="BF47" i="2" s="1"/>
  <c r="AA97" i="2"/>
  <c r="BF97" i="2" s="1"/>
  <c r="AA148" i="2"/>
  <c r="BF148" i="2" s="1"/>
  <c r="AA376" i="2"/>
  <c r="BF376" i="2" s="1"/>
  <c r="AA11" i="2"/>
  <c r="BF11" i="2" s="1"/>
  <c r="AA149" i="2"/>
  <c r="BF149" i="2" s="1"/>
  <c r="AA171" i="2"/>
  <c r="BF171" i="2" s="1"/>
  <c r="AA366" i="2"/>
  <c r="BF366" i="2" s="1"/>
  <c r="AA141" i="2"/>
  <c r="BF141" i="2" s="1"/>
  <c r="AA137" i="2"/>
  <c r="BF137" i="2" s="1"/>
  <c r="AA68" i="2"/>
  <c r="BF68" i="2" s="1"/>
  <c r="AA109" i="2"/>
  <c r="BF109" i="2" s="1"/>
  <c r="AA21" i="2"/>
  <c r="BF21" i="2" s="1"/>
  <c r="AA241" i="2"/>
  <c r="BF241" i="2" s="1"/>
  <c r="AA24" i="2"/>
  <c r="BF24" i="2" s="1"/>
  <c r="AA111" i="2"/>
  <c r="BF111" i="2" s="1"/>
  <c r="AA123" i="2"/>
  <c r="BF123" i="2" s="1"/>
  <c r="AA256" i="2"/>
  <c r="BF256" i="2" s="1"/>
  <c r="AA57" i="2"/>
  <c r="BF57" i="2" s="1"/>
  <c r="AA300" i="2"/>
  <c r="BF300" i="2" s="1"/>
  <c r="AA377" i="2"/>
  <c r="BF377" i="2" s="1"/>
  <c r="AA126" i="2"/>
  <c r="BF126" i="2" s="1"/>
  <c r="AA89" i="2"/>
  <c r="BF89" i="2" s="1"/>
  <c r="AA19" i="2"/>
  <c r="BF19" i="2" s="1"/>
  <c r="AA150" i="2"/>
  <c r="BF150" i="2" s="1"/>
  <c r="AA254" i="2"/>
  <c r="BF254" i="2" s="1"/>
  <c r="AA8" i="2"/>
  <c r="BF8" i="2" s="1"/>
  <c r="AA189" i="2"/>
  <c r="BF189" i="2" s="1"/>
  <c r="AA194" i="2"/>
  <c r="BF194" i="2" s="1"/>
  <c r="AA221" i="2"/>
  <c r="BF221" i="2" s="1"/>
  <c r="AA85" i="2"/>
  <c r="BF85" i="2" s="1"/>
  <c r="AA52" i="2"/>
  <c r="BF52" i="2" s="1"/>
  <c r="AA349" i="2"/>
  <c r="BF349" i="2" s="1"/>
  <c r="AA361" i="2"/>
  <c r="BF361" i="2" s="1"/>
  <c r="AA340" i="2"/>
  <c r="BF340" i="2" s="1"/>
  <c r="AA273" i="2"/>
  <c r="BF273" i="2" s="1"/>
  <c r="AA80" i="2"/>
  <c r="BF80" i="2" s="1"/>
  <c r="AA124" i="2"/>
  <c r="BF124" i="2" s="1"/>
  <c r="AA257" i="2"/>
  <c r="BF257" i="2" s="1"/>
  <c r="AA125" i="2"/>
  <c r="BF125" i="2" s="1"/>
  <c r="AA316" i="2"/>
  <c r="BF316" i="2" s="1"/>
  <c r="AA359" i="2"/>
  <c r="BF359" i="2" s="1"/>
  <c r="AA146" i="2"/>
  <c r="BF146" i="2" s="1"/>
  <c r="AA336" i="2"/>
  <c r="BF336" i="2" s="1"/>
  <c r="AA326" i="2"/>
  <c r="BF326" i="2" s="1"/>
  <c r="AA215" i="2"/>
  <c r="BF215" i="2" s="1"/>
  <c r="AA370" i="2"/>
  <c r="BF370" i="2" s="1"/>
  <c r="AA152" i="2"/>
  <c r="BF152" i="2" s="1"/>
  <c r="AA105" i="2"/>
  <c r="BF105" i="2" s="1"/>
  <c r="AA180" i="2"/>
  <c r="BF180" i="2" s="1"/>
  <c r="AA114" i="2"/>
  <c r="BF114" i="2" s="1"/>
  <c r="AA118" i="2"/>
  <c r="BF118" i="2" s="1"/>
  <c r="AA271" i="2"/>
  <c r="BF271" i="2" s="1"/>
  <c r="AA76" i="2"/>
  <c r="BF76" i="2" s="1"/>
  <c r="AA74" i="2"/>
  <c r="BF74" i="2" s="1"/>
  <c r="AA201" i="2"/>
  <c r="BF201" i="2" s="1"/>
  <c r="AA342" i="2"/>
  <c r="BF342" i="2" s="1"/>
  <c r="AA130" i="2"/>
  <c r="BF130" i="2" s="1"/>
  <c r="AA156" i="2"/>
  <c r="BF156" i="2" s="1"/>
  <c r="AA18" i="2"/>
  <c r="BF18" i="2" s="1"/>
  <c r="AA280" i="2"/>
  <c r="BF280" i="2" s="1"/>
  <c r="AA110" i="2"/>
  <c r="BF110" i="2" s="1"/>
  <c r="AA25" i="2"/>
  <c r="BF25" i="2" s="1"/>
  <c r="AA96" i="2"/>
  <c r="BF96" i="2" s="1"/>
  <c r="AA249" i="2"/>
  <c r="BF249" i="2" s="1"/>
  <c r="AA329" i="2"/>
  <c r="BF329" i="2" s="1"/>
  <c r="AA332" i="2"/>
  <c r="BF332" i="2" s="1"/>
  <c r="AA325" i="2"/>
  <c r="BF325" i="2" s="1"/>
  <c r="AA138" i="2"/>
  <c r="BF138" i="2" s="1"/>
  <c r="AA86" i="2"/>
  <c r="BF86" i="2" s="1"/>
  <c r="AA179" i="2"/>
  <c r="BF179" i="2" s="1"/>
  <c r="AA330" i="2"/>
  <c r="BF330" i="2" s="1"/>
  <c r="AA43" i="2"/>
  <c r="BF43" i="2" s="1"/>
  <c r="AA112" i="2"/>
  <c r="BF112" i="2" s="1"/>
  <c r="AA338" i="2"/>
  <c r="BF338" i="2" s="1"/>
  <c r="AA72" i="2"/>
  <c r="BF72" i="2" s="1"/>
  <c r="AA236" i="2"/>
  <c r="BF236" i="2" s="1"/>
  <c r="AA181" i="2"/>
  <c r="BF181" i="2" s="1"/>
  <c r="AA281" i="2"/>
  <c r="BF281" i="2" s="1"/>
  <c r="AA120" i="2"/>
  <c r="BF120" i="2" s="1"/>
  <c r="AA365" i="2"/>
  <c r="BF365" i="2" s="1"/>
  <c r="AA88" i="2"/>
  <c r="BF88" i="2" s="1"/>
  <c r="AA87" i="2"/>
  <c r="BF87" i="2" s="1"/>
  <c r="AA6" i="2"/>
  <c r="BF6" i="2" s="1"/>
  <c r="AA54" i="2"/>
  <c r="BF54" i="2" s="1"/>
  <c r="AA259" i="2"/>
  <c r="BF259" i="2" s="1"/>
  <c r="AA333" i="2"/>
  <c r="BF333" i="2" s="1"/>
  <c r="AA274" i="2"/>
  <c r="BF274" i="2" s="1"/>
  <c r="AA258" i="2"/>
  <c r="BF258" i="2" s="1"/>
  <c r="AA145" i="2"/>
  <c r="BF145" i="2" s="1"/>
  <c r="AA242" i="2"/>
  <c r="BF242" i="2" s="1"/>
  <c r="AA381" i="2"/>
  <c r="BF381" i="2" s="1"/>
  <c r="AA360" i="2"/>
  <c r="BF360" i="2" s="1"/>
  <c r="AA42" i="2"/>
  <c r="BF42" i="2" s="1"/>
  <c r="AA263" i="2"/>
  <c r="BF263" i="2" s="1"/>
  <c r="AA269" i="2"/>
  <c r="BF269" i="2" s="1"/>
  <c r="AA244" i="2"/>
  <c r="BF244" i="2" s="1"/>
  <c r="AA14" i="2"/>
  <c r="BF14" i="2" s="1"/>
  <c r="AA129" i="2"/>
  <c r="BF129" i="2" s="1"/>
  <c r="AA38" i="2"/>
  <c r="BF38" i="2" s="1"/>
  <c r="AA12" i="2"/>
  <c r="BF12" i="2" s="1"/>
  <c r="AA356" i="2"/>
  <c r="BF356" i="2" s="1"/>
  <c r="AA226" i="2"/>
  <c r="BF226" i="2" s="1"/>
  <c r="AA107" i="2"/>
  <c r="BF107" i="2" s="1"/>
  <c r="AA218" i="2"/>
  <c r="BF218" i="2" s="1"/>
  <c r="AA214" i="2"/>
  <c r="BF214" i="2" s="1"/>
  <c r="AA147" i="2"/>
  <c r="BF147" i="2" s="1"/>
  <c r="AA253" i="2"/>
  <c r="BF253" i="2" s="1"/>
  <c r="AA133" i="2"/>
  <c r="BF133" i="2" s="1"/>
  <c r="AA270" i="2"/>
  <c r="BF270" i="2" s="1"/>
  <c r="AA10" i="2"/>
  <c r="BF10" i="2" s="1"/>
  <c r="AA233" i="2"/>
  <c r="BF233" i="2" s="1"/>
  <c r="AA219" i="2"/>
  <c r="BF219" i="2" s="1"/>
  <c r="AA295" i="2"/>
  <c r="BF295" i="2" s="1"/>
  <c r="AA32" i="2"/>
  <c r="BF32" i="2" s="1"/>
  <c r="AA22" i="2"/>
  <c r="BF22" i="2" s="1"/>
  <c r="AA247" i="2"/>
  <c r="BF247" i="2" s="1"/>
  <c r="AA384" i="2"/>
  <c r="BF384" i="2" s="1"/>
  <c r="AA217" i="2"/>
  <c r="BF217" i="2" s="1"/>
  <c r="AA234" i="2"/>
  <c r="BF234" i="2" s="1"/>
  <c r="AA67" i="2"/>
  <c r="BF67" i="2" s="1"/>
  <c r="AA46" i="2"/>
  <c r="BF46" i="2" s="1"/>
  <c r="AA7" i="2"/>
  <c r="BF7" i="2" s="1"/>
  <c r="AA239" i="2"/>
  <c r="BF239" i="2" s="1"/>
  <c r="AA319" i="2"/>
  <c r="BF319" i="2" s="1"/>
  <c r="AA196" i="2"/>
  <c r="BF196" i="2" s="1"/>
  <c r="AA37" i="2"/>
  <c r="BF37" i="2" s="1"/>
  <c r="AA347" i="2"/>
  <c r="BF347" i="2" s="1"/>
  <c r="AA350" i="2"/>
  <c r="BF350" i="2" s="1"/>
  <c r="AA29" i="2"/>
  <c r="BF29" i="2" s="1"/>
  <c r="AA286" i="2"/>
  <c r="BF286" i="2" s="1"/>
  <c r="AA176" i="2"/>
  <c r="BF176" i="2" s="1"/>
  <c r="AA73" i="2"/>
  <c r="BF73" i="2" s="1"/>
  <c r="AA230" i="2"/>
  <c r="BF230" i="2" s="1"/>
  <c r="AA102" i="2"/>
  <c r="BF102" i="2" s="1"/>
  <c r="AA337" i="2"/>
  <c r="BF337" i="2" s="1"/>
  <c r="AA9" i="2"/>
  <c r="BF9" i="2" s="1"/>
  <c r="AA202" i="2"/>
  <c r="BF202" i="2" s="1"/>
  <c r="AA240" i="2"/>
  <c r="BF240" i="2" s="1"/>
  <c r="AA56" i="2"/>
  <c r="BF56" i="2" s="1"/>
  <c r="AA364" i="2"/>
  <c r="BF364" i="2" s="1"/>
  <c r="AA203" i="2"/>
  <c r="BF203" i="2" s="1"/>
  <c r="AA192" i="2"/>
  <c r="BF192" i="2" s="1"/>
  <c r="AA70" i="2"/>
  <c r="BF70" i="2" s="1"/>
  <c r="AA335" i="2"/>
  <c r="BF335" i="2" s="1"/>
  <c r="AA135" i="2"/>
  <c r="BF135" i="2" s="1"/>
  <c r="AA100" i="2"/>
  <c r="BF100" i="2" s="1"/>
  <c r="AA197" i="2"/>
  <c r="BF197" i="2" s="1"/>
  <c r="AA143" i="2"/>
  <c r="BF143" i="2" s="1"/>
  <c r="AA48" i="2"/>
  <c r="BF48" i="2" s="1"/>
  <c r="AA34" i="2"/>
  <c r="BF34" i="2" s="1"/>
  <c r="AA334" i="2"/>
  <c r="BF334" i="2" s="1"/>
  <c r="AA185" i="2"/>
  <c r="BF185" i="2" s="1"/>
  <c r="AA44" i="2"/>
  <c r="BF44" i="2" s="1"/>
  <c r="AA191" i="2"/>
  <c r="BF191" i="2" s="1"/>
  <c r="AA267" i="2"/>
  <c r="BF267" i="2" s="1"/>
  <c r="AA116" i="2"/>
  <c r="BF116" i="2" s="1"/>
  <c r="AA198" i="2"/>
  <c r="BF198" i="2" s="1"/>
  <c r="AA310" i="2"/>
  <c r="BF310" i="2" s="1"/>
  <c r="AA50" i="2"/>
  <c r="BF50" i="2" s="1"/>
  <c r="AA232" i="2"/>
  <c r="BF232" i="2" s="1"/>
  <c r="AA231" i="2"/>
  <c r="BF231" i="2" s="1"/>
  <c r="AA328" i="2"/>
  <c r="BF328" i="2" s="1"/>
  <c r="AA55" i="2"/>
  <c r="BF55" i="2" s="1"/>
  <c r="AA383" i="2"/>
  <c r="BF383" i="2" s="1"/>
  <c r="AA363" i="2"/>
  <c r="BF363" i="2" s="1"/>
  <c r="AA199" i="2"/>
  <c r="BF199" i="2" s="1"/>
  <c r="AA41" i="2"/>
  <c r="BF41" i="2" s="1"/>
  <c r="AA117" i="2"/>
  <c r="BF117" i="2" s="1"/>
  <c r="AA26" i="2"/>
  <c r="BF26" i="2" s="1"/>
  <c r="AA348" i="2"/>
  <c r="BF348" i="2" s="1"/>
  <c r="AA266" i="2"/>
  <c r="BF266" i="2" s="1"/>
  <c r="AA380" i="2"/>
  <c r="BF380" i="2" s="1"/>
  <c r="AA65" i="2"/>
  <c r="BF65" i="2" s="1"/>
  <c r="AA292" i="2"/>
  <c r="BF292" i="2" s="1"/>
  <c r="AA174" i="2"/>
  <c r="BF174" i="2" s="1"/>
  <c r="AA224" i="2"/>
  <c r="BF224" i="2" s="1"/>
  <c r="AA367" i="2"/>
  <c r="BF367" i="2" s="1"/>
  <c r="AA91" i="2"/>
  <c r="BF91" i="2" s="1"/>
  <c r="AA378" i="2"/>
  <c r="BF378" i="2" s="1"/>
  <c r="AA237" i="2"/>
  <c r="BF237" i="2" s="1"/>
  <c r="AA238" i="2"/>
  <c r="BF238" i="2" s="1"/>
  <c r="AA341" i="2"/>
  <c r="BF341" i="2" s="1"/>
  <c r="AA243" i="2"/>
  <c r="BF243" i="2" s="1"/>
  <c r="AA84" i="2"/>
  <c r="BF84" i="2" s="1"/>
  <c r="AA195" i="2"/>
  <c r="BF195" i="2" s="1"/>
  <c r="AA27" i="2"/>
  <c r="BF27" i="2" s="1"/>
  <c r="AA251" i="2"/>
  <c r="BF251" i="2" s="1"/>
  <c r="AA228" i="2"/>
  <c r="BF228" i="2" s="1"/>
  <c r="AA131" i="2"/>
  <c r="BF131" i="2" s="1"/>
  <c r="AA159" i="2"/>
  <c r="BF159" i="2" s="1"/>
  <c r="AA357" i="2"/>
  <c r="BF357" i="2" s="1"/>
  <c r="AA99" i="2"/>
  <c r="BF99" i="2" s="1"/>
  <c r="AA64" i="2"/>
  <c r="BF64" i="2" s="1"/>
  <c r="AA82" i="2"/>
  <c r="BF82" i="2" s="1"/>
  <c r="AA331" i="2"/>
  <c r="BF331" i="2" s="1"/>
  <c r="AA136" i="2"/>
  <c r="BF136" i="2" s="1"/>
  <c r="AA248" i="2"/>
  <c r="BF248" i="2" s="1"/>
  <c r="AA58" i="2"/>
  <c r="BF58" i="2" s="1"/>
  <c r="AA290" i="2"/>
  <c r="BF290" i="2" s="1"/>
  <c r="AA317" i="2"/>
  <c r="BF317" i="2" s="1"/>
  <c r="AA327" i="2"/>
  <c r="BF327" i="2" s="1"/>
  <c r="AA36" i="2"/>
  <c r="BF36" i="2" s="1"/>
  <c r="AA153" i="2"/>
  <c r="BF153" i="2" s="1"/>
  <c r="AA368" i="2"/>
  <c r="BF368" i="2" s="1"/>
  <c r="AA121" i="2"/>
  <c r="BF121" i="2" s="1"/>
  <c r="AA122" i="2"/>
  <c r="BF122" i="2" s="1"/>
  <c r="AA298" i="2"/>
  <c r="BF298" i="2" s="1"/>
  <c r="AA187" i="2"/>
  <c r="BF187" i="2" s="1"/>
  <c r="AA301" i="2"/>
  <c r="BF301" i="2" s="1"/>
  <c r="AA23" i="2"/>
  <c r="BF23" i="2" s="1"/>
  <c r="AA193" i="2"/>
  <c r="BF193" i="2" s="1"/>
  <c r="AA223" i="2"/>
  <c r="BF223" i="2" s="1"/>
  <c r="AA213" i="2"/>
  <c r="BF213" i="2" s="1"/>
  <c r="AA379" i="2"/>
  <c r="BF379" i="2" s="1"/>
  <c r="AA115" i="2"/>
  <c r="BF115" i="2" s="1"/>
  <c r="AA108" i="2"/>
  <c r="BF108" i="2" s="1"/>
  <c r="AA261" i="2"/>
  <c r="BF261" i="2" s="1"/>
  <c r="AA119" i="2"/>
  <c r="BF119" i="2" s="1"/>
  <c r="AA282" i="2"/>
  <c r="BF282" i="2" s="1"/>
  <c r="AA15" i="2"/>
  <c r="BF15" i="2" s="1"/>
  <c r="AA324" i="2"/>
  <c r="BF324" i="2" s="1"/>
  <c r="AA128" i="2"/>
  <c r="BF128" i="2" s="1"/>
  <c r="AA83" i="2"/>
  <c r="BF83" i="2" s="1"/>
  <c r="AA289" i="2"/>
  <c r="BF289" i="2" s="1"/>
  <c r="AA358" i="2"/>
  <c r="BF358" i="2" s="1"/>
  <c r="AA382" i="2"/>
  <c r="BF382" i="2" s="1"/>
  <c r="AA71" i="2"/>
  <c r="BF71" i="2" s="1"/>
  <c r="AA352" i="2"/>
  <c r="BF352" i="2" s="1"/>
  <c r="AA172" i="2"/>
  <c r="BF172" i="2" s="1"/>
  <c r="AA177" i="2"/>
  <c r="BF177" i="2" s="1"/>
  <c r="AA255" i="2"/>
  <c r="BF255" i="2" s="1"/>
  <c r="AA339" i="2"/>
  <c r="BF339" i="2" s="1"/>
  <c r="AA75" i="2"/>
  <c r="BF75" i="2" s="1"/>
  <c r="AA16" i="2"/>
  <c r="BF16" i="2" s="1"/>
  <c r="AA344" i="2"/>
  <c r="BF344" i="2" s="1"/>
  <c r="AA140" i="2"/>
  <c r="BF140" i="2" s="1"/>
  <c r="AA283" i="2"/>
  <c r="BF283" i="2" s="1"/>
  <c r="AA362" i="2"/>
  <c r="BF362" i="2" s="1"/>
  <c r="AA371" i="2"/>
  <c r="BF371" i="2" s="1"/>
  <c r="AA323" i="2"/>
  <c r="BF323" i="2" s="1"/>
  <c r="AA318" i="2"/>
  <c r="BF318" i="2" s="1"/>
  <c r="AA173" i="2"/>
  <c r="BF173" i="2" s="1"/>
  <c r="AA35" i="2"/>
  <c r="BF35" i="2" s="1"/>
  <c r="AA296" i="2"/>
  <c r="BF296" i="2" s="1"/>
  <c r="AA287" i="2"/>
  <c r="BF287" i="2" s="1"/>
  <c r="AA127" i="2"/>
  <c r="BF127" i="2" s="1"/>
  <c r="AA353" i="2"/>
  <c r="BF353" i="2" s="1"/>
  <c r="AA61" i="2"/>
  <c r="BF61" i="2" s="1"/>
  <c r="AA28" i="2"/>
  <c r="BF28" i="2" s="1"/>
  <c r="AA190" i="2"/>
  <c r="BF190" i="2" s="1"/>
  <c r="AA104" i="2"/>
  <c r="BF104" i="2" s="1"/>
  <c r="AA155" i="2"/>
  <c r="BF155" i="2" s="1"/>
  <c r="AA139" i="2"/>
  <c r="BF139" i="2" s="1"/>
  <c r="AA17" i="2"/>
  <c r="BF17" i="2" s="1"/>
  <c r="AA297" i="2"/>
  <c r="BF297" i="2" s="1"/>
  <c r="AA250" i="2"/>
  <c r="BF250" i="2" s="1"/>
  <c r="AA151" i="2"/>
  <c r="BF151" i="2" s="1"/>
  <c r="AA79" i="2"/>
  <c r="BF79" i="2" s="1"/>
  <c r="AA299" i="2"/>
  <c r="BF299" i="2" s="1"/>
  <c r="AA69" i="2"/>
  <c r="BF69" i="2" s="1"/>
  <c r="AA144" i="2"/>
  <c r="BF144" i="2" s="1"/>
  <c r="AA355" i="2"/>
  <c r="BF355" i="2" s="1"/>
  <c r="AA343" i="2"/>
  <c r="BF343" i="2" s="1"/>
  <c r="AA285" i="2"/>
  <c r="BF285" i="2" s="1"/>
  <c r="AA106" i="2"/>
  <c r="BF106" i="2" s="1"/>
  <c r="AA39" i="2"/>
  <c r="BF39" i="2" s="1"/>
  <c r="AA101" i="2"/>
  <c r="BF101" i="2" s="1"/>
  <c r="AA229" i="2"/>
  <c r="BF229" i="2" s="1"/>
  <c r="AA291" i="2"/>
  <c r="BF291" i="2" s="1"/>
  <c r="AA293" i="2"/>
  <c r="BF293" i="2" s="1"/>
  <c r="AA235" i="2"/>
  <c r="BF235" i="2" s="1"/>
  <c r="AA225" i="2"/>
  <c r="BF225" i="2" s="1"/>
  <c r="AA265" i="2"/>
  <c r="BF265" i="2" s="1"/>
  <c r="AA302" i="2"/>
  <c r="BF302" i="2" s="1"/>
  <c r="C1643" i="23"/>
  <c r="BQ385" i="2" l="1"/>
  <c r="BF389" i="2"/>
  <c r="BF388" i="2"/>
  <c r="BF386" i="2"/>
  <c r="BA387" i="2" l="1"/>
  <c r="BA385" i="2"/>
  <c r="BC385" i="2"/>
  <c r="BC387" i="2"/>
  <c r="BF385" i="2"/>
  <c r="BF387" i="2"/>
  <c r="BG385" i="2"/>
  <c r="BG387" i="2"/>
  <c r="BD385" i="2"/>
  <c r="BD387" i="2"/>
  <c r="G2271" i="1" l="1"/>
  <c r="G2265" i="1"/>
  <c r="G1410" i="1"/>
  <c r="G1397" i="1"/>
  <c r="G1394" i="1"/>
  <c r="G1393" i="1"/>
  <c r="G1390" i="1"/>
  <c r="G1387" i="1"/>
  <c r="G1386" i="1"/>
  <c r="G1385" i="1"/>
  <c r="G1405" i="1"/>
  <c r="G1403" i="1"/>
  <c r="G1404" i="1"/>
  <c r="G1382" i="1"/>
  <c r="G1379" i="1"/>
  <c r="G1378" i="1"/>
  <c r="G1294" i="1"/>
  <c r="G1291" i="1"/>
  <c r="G1314" i="1" l="1"/>
  <c r="U1344" i="1"/>
  <c r="G1453" i="1"/>
  <c r="G1347" i="1"/>
  <c r="G1346" i="1"/>
  <c r="S1344" i="1"/>
  <c r="G1348" i="1"/>
  <c r="T1344" i="1"/>
  <c r="G1345" i="1"/>
  <c r="K1344" i="1"/>
  <c r="G1293" i="1"/>
  <c r="G1292" i="1"/>
  <c r="K1291" i="1"/>
  <c r="G1299" i="1"/>
  <c r="K1298" i="1"/>
  <c r="G1381" i="1"/>
  <c r="H1404" i="1"/>
  <c r="U1404" i="1"/>
  <c r="K1404" i="1"/>
  <c r="S1404" i="1"/>
  <c r="T1404" i="1"/>
  <c r="T1385" i="1"/>
  <c r="U1385" i="1"/>
  <c r="K1385" i="1"/>
  <c r="H1385" i="1"/>
  <c r="S1385" i="1"/>
  <c r="G1389" i="1"/>
  <c r="S1393" i="1"/>
  <c r="T1393" i="1"/>
  <c r="U1393" i="1"/>
  <c r="H1393" i="1"/>
  <c r="K1393" i="1"/>
  <c r="S1397" i="1"/>
  <c r="U1397" i="1"/>
  <c r="H1397" i="1"/>
  <c r="K1397" i="1"/>
  <c r="T1397" i="1"/>
  <c r="C1397" i="1"/>
  <c r="G2274" i="1"/>
  <c r="G2264" i="1"/>
  <c r="G1449" i="1"/>
  <c r="K1234" i="1"/>
  <c r="K584" i="1"/>
  <c r="U1306" i="1"/>
  <c r="G1308" i="1"/>
  <c r="G1307" i="1"/>
  <c r="K1306" i="1"/>
  <c r="T1306" i="1"/>
  <c r="G1357" i="1"/>
  <c r="G1362" i="1"/>
  <c r="K1353" i="1"/>
  <c r="U1353" i="1"/>
  <c r="G1355" i="1"/>
  <c r="T1353" i="1"/>
  <c r="G1354" i="1"/>
  <c r="G1356" i="1"/>
  <c r="S1353" i="1"/>
  <c r="K1378" i="1"/>
  <c r="U1378" i="1"/>
  <c r="S1378" i="1"/>
  <c r="T1378" i="1"/>
  <c r="C1378" i="1"/>
  <c r="U1386" i="1"/>
  <c r="K1386" i="1"/>
  <c r="H1386" i="1"/>
  <c r="T1386" i="1"/>
  <c r="S1386" i="1"/>
  <c r="K1390" i="1"/>
  <c r="H1390" i="1"/>
  <c r="S1390" i="1"/>
  <c r="U1390" i="1"/>
  <c r="T1390" i="1"/>
  <c r="K1410" i="1"/>
  <c r="U1410" i="1"/>
  <c r="H1410" i="1"/>
  <c r="S1410" i="1"/>
  <c r="T1410" i="1"/>
  <c r="G2275" i="1"/>
  <c r="H26" i="41"/>
  <c r="K1137" i="1"/>
  <c r="K1183" i="1"/>
  <c r="K811" i="1"/>
  <c r="K716" i="1"/>
  <c r="K677" i="1"/>
  <c r="K671" i="1"/>
  <c r="K743" i="1"/>
  <c r="G1445" i="1"/>
  <c r="G1278" i="1"/>
  <c r="K612" i="1"/>
  <c r="H612" i="1" s="1"/>
  <c r="G1310" i="1"/>
  <c r="G1318" i="1"/>
  <c r="G1288" i="1"/>
  <c r="G1380" i="1"/>
  <c r="G1402" i="1"/>
  <c r="G1388" i="1"/>
  <c r="G1392" i="1"/>
  <c r="G1396" i="1"/>
  <c r="G2266" i="1"/>
  <c r="S2266" i="1" s="1"/>
  <c r="K966" i="1"/>
  <c r="K616" i="1"/>
  <c r="K596" i="1"/>
  <c r="K882" i="1"/>
  <c r="K973" i="1"/>
  <c r="K1195" i="1"/>
  <c r="K757" i="1"/>
  <c r="K857" i="1"/>
  <c r="G1285" i="1"/>
  <c r="S1379" i="1"/>
  <c r="K1379" i="1"/>
  <c r="T1379" i="1"/>
  <c r="U1379" i="1"/>
  <c r="C1379" i="1"/>
  <c r="U1405" i="1"/>
  <c r="K1405" i="1"/>
  <c r="S1405" i="1"/>
  <c r="H1405" i="1"/>
  <c r="T1405" i="1"/>
  <c r="T1387" i="1"/>
  <c r="K1387" i="1"/>
  <c r="H1387" i="1"/>
  <c r="S1387" i="1"/>
  <c r="U1387" i="1"/>
  <c r="G1391" i="1"/>
  <c r="G1395" i="1"/>
  <c r="T2265" i="1"/>
  <c r="G1400" i="1"/>
  <c r="S2265" i="1"/>
  <c r="G2267" i="1"/>
  <c r="K2265" i="1"/>
  <c r="H2265" i="1"/>
  <c r="AE63" i="2" s="1"/>
  <c r="G63" i="2" s="1"/>
  <c r="U2265" i="1"/>
  <c r="G2272" i="1"/>
  <c r="K93" i="1"/>
  <c r="K604" i="1"/>
  <c r="K588" i="1"/>
  <c r="K600" i="1"/>
  <c r="K620" i="1"/>
  <c r="K580" i="1"/>
  <c r="K576" i="1"/>
  <c r="K142" i="1"/>
  <c r="K290" i="1"/>
  <c r="K331" i="1"/>
  <c r="K890" i="1"/>
  <c r="K932" i="1"/>
  <c r="K724" i="1"/>
  <c r="K663" i="1"/>
  <c r="K769" i="1"/>
  <c r="G1296" i="1"/>
  <c r="G1295" i="1"/>
  <c r="K1294" i="1"/>
  <c r="C1294" i="1"/>
  <c r="K1382" i="1"/>
  <c r="H1382" i="1"/>
  <c r="U1382" i="1"/>
  <c r="T1382" i="1"/>
  <c r="S1382" i="1"/>
  <c r="C1382" i="1"/>
  <c r="K1403" i="1"/>
  <c r="H1403" i="1"/>
  <c r="S1403" i="1"/>
  <c r="U1403" i="1"/>
  <c r="T1403" i="1"/>
  <c r="K1394" i="1"/>
  <c r="S1394" i="1"/>
  <c r="U1394" i="1"/>
  <c r="T1394" i="1"/>
  <c r="H1394" i="1"/>
  <c r="T2271" i="1"/>
  <c r="S2271" i="1"/>
  <c r="K2271" i="1"/>
  <c r="U2271" i="1"/>
  <c r="H2271" i="1"/>
  <c r="C2271" i="1"/>
  <c r="K553" i="1"/>
  <c r="K1151" i="1" l="1"/>
  <c r="H1137" i="1"/>
  <c r="G1338" i="1"/>
  <c r="U1309" i="1"/>
  <c r="S1309" i="1"/>
  <c r="K1309" i="1"/>
  <c r="T1309" i="1"/>
  <c r="K884" i="1"/>
  <c r="K888" i="1"/>
  <c r="K883" i="1"/>
  <c r="K889" i="1"/>
  <c r="K885" i="1"/>
  <c r="K887" i="1"/>
  <c r="K886" i="1"/>
  <c r="K556" i="1"/>
  <c r="K555" i="1"/>
  <c r="K560" i="1"/>
  <c r="K558" i="1"/>
  <c r="K561" i="1"/>
  <c r="H553" i="1"/>
  <c r="K554" i="1"/>
  <c r="K557" i="1"/>
  <c r="K559" i="1"/>
  <c r="K1296" i="1"/>
  <c r="U1296" i="1"/>
  <c r="S1296" i="1"/>
  <c r="T1296" i="1"/>
  <c r="C1296" i="1"/>
  <c r="K667" i="1"/>
  <c r="K670" i="1"/>
  <c r="K665" i="1"/>
  <c r="K669" i="1"/>
  <c r="K666" i="1"/>
  <c r="K668" i="1"/>
  <c r="K664" i="1"/>
  <c r="K145" i="1"/>
  <c r="K146" i="1"/>
  <c r="K143" i="1"/>
  <c r="K144" i="1"/>
  <c r="H142" i="1"/>
  <c r="K606" i="1"/>
  <c r="K605" i="1"/>
  <c r="K607" i="1"/>
  <c r="AE72" i="2"/>
  <c r="G72" i="2" s="1"/>
  <c r="H2272" i="1"/>
  <c r="T2272" i="1"/>
  <c r="U2272" i="1"/>
  <c r="K2272" i="1"/>
  <c r="S2272" i="1"/>
  <c r="C2272" i="1"/>
  <c r="K1395" i="1"/>
  <c r="H1395" i="1"/>
  <c r="U1395" i="1"/>
  <c r="S1395" i="1"/>
  <c r="T1395" i="1"/>
  <c r="C1395" i="1"/>
  <c r="G1337" i="1"/>
  <c r="T1336" i="1"/>
  <c r="S1336" i="1"/>
  <c r="K1336" i="1"/>
  <c r="U1336" i="1"/>
  <c r="K679" i="1"/>
  <c r="H679" i="1" s="1"/>
  <c r="C679" i="1" s="1"/>
  <c r="C680" i="1" s="1"/>
  <c r="C681" i="1" s="1"/>
  <c r="C682" i="1" s="1"/>
  <c r="C683" i="1" s="1"/>
  <c r="C684" i="1" s="1"/>
  <c r="C685" i="1" s="1"/>
  <c r="C686" i="1" s="1"/>
  <c r="K488" i="1"/>
  <c r="K979" i="1"/>
  <c r="K975" i="1"/>
  <c r="K976" i="1"/>
  <c r="K978" i="1"/>
  <c r="K974" i="1"/>
  <c r="K977" i="1"/>
  <c r="K338" i="1"/>
  <c r="K135" i="1"/>
  <c r="K391" i="1"/>
  <c r="K408" i="1"/>
  <c r="K173" i="1"/>
  <c r="K184" i="1"/>
  <c r="K260" i="1"/>
  <c r="K120" i="1"/>
  <c r="K312" i="1"/>
  <c r="K47" i="1"/>
  <c r="K195" i="1"/>
  <c r="K368" i="1"/>
  <c r="K32" i="1"/>
  <c r="K37" i="1"/>
  <c r="K325" i="1"/>
  <c r="K75" i="1"/>
  <c r="K130" i="1"/>
  <c r="K233" i="1"/>
  <c r="K109" i="1"/>
  <c r="K227" i="1"/>
  <c r="K249" i="1"/>
  <c r="K436" i="1"/>
  <c r="K379" i="1"/>
  <c r="K178" i="1"/>
  <c r="K384" i="1"/>
  <c r="K21" i="1"/>
  <c r="K42" i="1"/>
  <c r="K418" i="1"/>
  <c r="K72" i="1"/>
  <c r="K62" i="1"/>
  <c r="K78" i="1"/>
  <c r="K238" i="1"/>
  <c r="K189" i="1"/>
  <c r="K334" i="1"/>
  <c r="H334" i="1" s="1"/>
  <c r="C334" i="1" s="1"/>
  <c r="C335" i="1" s="1"/>
  <c r="C336" i="1" s="1"/>
  <c r="C337" i="1" s="1"/>
  <c r="K423" i="1"/>
  <c r="K14" i="1"/>
  <c r="K373" i="1"/>
  <c r="K397" i="1"/>
  <c r="K403" i="1"/>
  <c r="K222" i="1"/>
  <c r="K114" i="1"/>
  <c r="K17" i="1"/>
  <c r="K244" i="1"/>
  <c r="K27" i="1"/>
  <c r="K208" i="1"/>
  <c r="K200" i="1"/>
  <c r="K52" i="1"/>
  <c r="K125" i="1"/>
  <c r="K103" i="1"/>
  <c r="K254" i="1"/>
  <c r="K138" i="1"/>
  <c r="G1448" i="1"/>
  <c r="H1420" i="1" s="1"/>
  <c r="K2266" i="1"/>
  <c r="AE61" i="2" s="1"/>
  <c r="G61" i="2" s="1"/>
  <c r="H2266" i="1"/>
  <c r="U2266" i="1"/>
  <c r="T2266" i="1"/>
  <c r="T1392" i="1"/>
  <c r="S1392" i="1"/>
  <c r="K1392" i="1"/>
  <c r="U1392" i="1"/>
  <c r="H1392" i="1"/>
  <c r="U1406" i="1"/>
  <c r="H1406" i="1"/>
  <c r="S1406" i="1"/>
  <c r="K1406" i="1"/>
  <c r="T1406" i="1"/>
  <c r="K1384" i="1"/>
  <c r="S1384" i="1"/>
  <c r="H1384" i="1"/>
  <c r="U1384" i="1"/>
  <c r="T1384" i="1"/>
  <c r="K1302" i="1"/>
  <c r="G1303" i="1"/>
  <c r="G1321" i="1"/>
  <c r="S1318" i="1"/>
  <c r="G1320" i="1"/>
  <c r="U1318" i="1"/>
  <c r="K1318" i="1"/>
  <c r="T1318" i="1"/>
  <c r="G1319" i="1"/>
  <c r="G1323" i="1"/>
  <c r="G1322" i="1"/>
  <c r="C1318" i="1"/>
  <c r="K687" i="1"/>
  <c r="H687" i="1" s="1"/>
  <c r="K635" i="1"/>
  <c r="K531" i="1"/>
  <c r="K1177" i="1"/>
  <c r="K1132" i="1"/>
  <c r="K1145" i="1" s="1"/>
  <c r="K911" i="1"/>
  <c r="K343" i="1"/>
  <c r="K217" i="1"/>
  <c r="K1278" i="1"/>
  <c r="U1278" i="1"/>
  <c r="T1278" i="1"/>
  <c r="S1278" i="1"/>
  <c r="C1278" i="1"/>
  <c r="K1085" i="1"/>
  <c r="H2275" i="1"/>
  <c r="S2275" i="1"/>
  <c r="T2275" i="1"/>
  <c r="U2275" i="1"/>
  <c r="K2275" i="1"/>
  <c r="G1401" i="1"/>
  <c r="G1409" i="1"/>
  <c r="AE71" i="2"/>
  <c r="G71" i="2" s="1"/>
  <c r="T1354" i="1"/>
  <c r="U1354" i="1"/>
  <c r="S1354" i="1"/>
  <c r="K1354" i="1"/>
  <c r="U1389" i="1"/>
  <c r="S1389" i="1"/>
  <c r="H1389" i="1"/>
  <c r="K1389" i="1"/>
  <c r="T1389" i="1"/>
  <c r="C1389" i="1"/>
  <c r="U1299" i="1"/>
  <c r="G1301" i="1"/>
  <c r="T1299" i="1"/>
  <c r="K1299" i="1"/>
  <c r="S1299" i="1"/>
  <c r="S1293" i="1"/>
  <c r="K1293" i="1"/>
  <c r="U1293" i="1"/>
  <c r="T1293" i="1"/>
  <c r="T1345" i="1"/>
  <c r="U1345" i="1"/>
  <c r="S1345" i="1"/>
  <c r="K1345" i="1"/>
  <c r="K1346" i="1"/>
  <c r="S1346" i="1"/>
  <c r="T1346" i="1"/>
  <c r="U1346" i="1"/>
  <c r="K731" i="1"/>
  <c r="K900" i="1"/>
  <c r="K212" i="1"/>
  <c r="K781" i="1"/>
  <c r="K83" i="1"/>
  <c r="K642" i="1"/>
  <c r="K852" i="1"/>
  <c r="K845" i="1"/>
  <c r="K824" i="1"/>
  <c r="K463" i="1"/>
  <c r="K1159" i="1"/>
  <c r="K280" i="1"/>
  <c r="H280" i="1" s="1"/>
  <c r="H287" i="1" s="1"/>
  <c r="K703" i="1"/>
  <c r="K513" i="1"/>
  <c r="K785" i="1"/>
  <c r="K358" i="1"/>
  <c r="K622" i="1"/>
  <c r="K621" i="1"/>
  <c r="K623" i="1"/>
  <c r="K860" i="1"/>
  <c r="K859" i="1"/>
  <c r="K858" i="1"/>
  <c r="K972" i="1"/>
  <c r="K969" i="1"/>
  <c r="K968" i="1"/>
  <c r="K970" i="1"/>
  <c r="K971" i="1"/>
  <c r="K967" i="1"/>
  <c r="K746" i="1"/>
  <c r="K745" i="1"/>
  <c r="K749" i="1"/>
  <c r="K747" i="1"/>
  <c r="K750" i="1"/>
  <c r="K744" i="1"/>
  <c r="K748" i="1"/>
  <c r="K673" i="1"/>
  <c r="K676" i="1"/>
  <c r="K674" i="1"/>
  <c r="K672" i="1"/>
  <c r="K675" i="1"/>
  <c r="K678" i="1"/>
  <c r="K717" i="1"/>
  <c r="K814" i="1"/>
  <c r="K816" i="1"/>
  <c r="K812" i="1"/>
  <c r="K815" i="1"/>
  <c r="K813" i="1"/>
  <c r="K1186" i="1"/>
  <c r="K1184" i="1"/>
  <c r="K1188" i="1"/>
  <c r="K1185" i="1"/>
  <c r="K1187" i="1"/>
  <c r="K1152" i="1"/>
  <c r="K1139" i="1"/>
  <c r="K1153" i="1"/>
  <c r="K1141" i="1"/>
  <c r="K1149" i="1"/>
  <c r="K1150" i="1"/>
  <c r="K1138" i="1"/>
  <c r="K1140" i="1"/>
  <c r="T1356" i="1"/>
  <c r="U1356" i="1"/>
  <c r="S1356" i="1"/>
  <c r="K1356" i="1"/>
  <c r="K1355" i="1"/>
  <c r="S1355" i="1"/>
  <c r="T1355" i="1"/>
  <c r="U1355" i="1"/>
  <c r="U1357" i="1"/>
  <c r="S1357" i="1"/>
  <c r="T1357" i="1"/>
  <c r="K1357" i="1"/>
  <c r="U1307" i="1"/>
  <c r="S1307" i="1"/>
  <c r="T1307" i="1"/>
  <c r="K1307" i="1"/>
  <c r="K587" i="1"/>
  <c r="K586" i="1"/>
  <c r="K585" i="1"/>
  <c r="H584" i="1"/>
  <c r="U2274" i="1"/>
  <c r="H2274" i="1"/>
  <c r="K2274" i="1"/>
  <c r="T2274" i="1"/>
  <c r="AE73" i="2"/>
  <c r="G73" i="2" s="1"/>
  <c r="S2274" i="1"/>
  <c r="C2274" i="1"/>
  <c r="K1300" i="1"/>
  <c r="T1300" i="1"/>
  <c r="U1300" i="1"/>
  <c r="S1300" i="1"/>
  <c r="K1292" i="1"/>
  <c r="S1292" i="1"/>
  <c r="T1292" i="1"/>
  <c r="U1292" i="1"/>
  <c r="S1453" i="1"/>
  <c r="T1453" i="1"/>
  <c r="U1453" i="1"/>
  <c r="K1453" i="1"/>
  <c r="H1453" i="1"/>
  <c r="K608" i="1"/>
  <c r="K804" i="1"/>
  <c r="K655" i="1"/>
  <c r="K496" i="1"/>
  <c r="K922" i="1"/>
  <c r="H922" i="1" s="1"/>
  <c r="K1165" i="1"/>
  <c r="K332" i="1"/>
  <c r="K333" i="1" s="1"/>
  <c r="H331" i="1"/>
  <c r="K95" i="1"/>
  <c r="K96" i="1"/>
  <c r="H93" i="1"/>
  <c r="K97" i="1"/>
  <c r="K100" i="1"/>
  <c r="K99" i="1"/>
  <c r="K98" i="1"/>
  <c r="K101" i="1"/>
  <c r="K102" i="1"/>
  <c r="K94" i="1"/>
  <c r="U2267" i="1"/>
  <c r="T2267" i="1"/>
  <c r="K2267" i="1"/>
  <c r="S2267" i="1"/>
  <c r="H2267" i="1"/>
  <c r="K1295" i="1"/>
  <c r="T1295" i="1"/>
  <c r="G1297" i="1"/>
  <c r="S1295" i="1"/>
  <c r="U1295" i="1"/>
  <c r="C1295" i="1"/>
  <c r="K726" i="1"/>
  <c r="K728" i="1"/>
  <c r="K727" i="1"/>
  <c r="K725" i="1"/>
  <c r="K730" i="1"/>
  <c r="K729" i="1"/>
  <c r="K896" i="1"/>
  <c r="K891" i="1"/>
  <c r="K895" i="1"/>
  <c r="K897" i="1"/>
  <c r="K899" i="1"/>
  <c r="K893" i="1"/>
  <c r="K898" i="1"/>
  <c r="K892" i="1"/>
  <c r="K894" i="1"/>
  <c r="H580" i="1"/>
  <c r="K582" i="1"/>
  <c r="K581" i="1"/>
  <c r="K583" i="1"/>
  <c r="K589" i="1"/>
  <c r="K590" i="1"/>
  <c r="H588" i="1"/>
  <c r="H1391" i="1"/>
  <c r="K1391" i="1"/>
  <c r="U1391" i="1"/>
  <c r="T1391" i="1"/>
  <c r="S1391" i="1"/>
  <c r="U1383" i="1"/>
  <c r="T1383" i="1"/>
  <c r="S1383" i="1"/>
  <c r="K1383" i="1"/>
  <c r="H1383" i="1"/>
  <c r="G1454" i="1"/>
  <c r="U1454" i="1" s="1"/>
  <c r="K1285" i="1"/>
  <c r="G1286" i="1"/>
  <c r="G1422" i="1" s="1"/>
  <c r="G1287" i="1"/>
  <c r="K774" i="1"/>
  <c r="K539" i="1"/>
  <c r="K1199" i="1"/>
  <c r="K1197" i="1"/>
  <c r="K1200" i="1"/>
  <c r="K1198" i="1"/>
  <c r="K1196" i="1"/>
  <c r="K1148" i="1"/>
  <c r="K1070" i="1"/>
  <c r="K1045" i="1"/>
  <c r="K1031" i="1"/>
  <c r="K1058" i="1"/>
  <c r="K1019" i="1"/>
  <c r="K1121" i="1"/>
  <c r="K992" i="1"/>
  <c r="K1006" i="1"/>
  <c r="K1098" i="1"/>
  <c r="K861" i="1"/>
  <c r="K958" i="1"/>
  <c r="K980" i="1"/>
  <c r="K908" i="1"/>
  <c r="K919" i="1"/>
  <c r="K1110" i="1"/>
  <c r="K869" i="1"/>
  <c r="K147" i="1"/>
  <c r="K599" i="1"/>
  <c r="K597" i="1"/>
  <c r="H596" i="1"/>
  <c r="K598" i="1"/>
  <c r="G2273" i="1"/>
  <c r="S1396" i="1"/>
  <c r="T1396" i="1"/>
  <c r="K1396" i="1"/>
  <c r="H1396" i="1"/>
  <c r="U1396" i="1"/>
  <c r="C1396" i="1"/>
  <c r="S1388" i="1"/>
  <c r="U1388" i="1"/>
  <c r="H1388" i="1"/>
  <c r="K1388" i="1"/>
  <c r="T1388" i="1"/>
  <c r="S1402" i="1"/>
  <c r="U1402" i="1"/>
  <c r="T1402" i="1"/>
  <c r="U1407" i="1"/>
  <c r="K1402" i="1"/>
  <c r="H1402" i="1"/>
  <c r="U1380" i="1"/>
  <c r="T1380" i="1"/>
  <c r="S1380" i="1"/>
  <c r="K1380" i="1"/>
  <c r="C1380" i="1"/>
  <c r="G1289" i="1"/>
  <c r="K1288" i="1"/>
  <c r="G1290" i="1"/>
  <c r="G1311" i="1"/>
  <c r="T1310" i="1"/>
  <c r="U1310" i="1"/>
  <c r="G1312" i="1"/>
  <c r="G1313" i="1"/>
  <c r="K1310" i="1"/>
  <c r="K765" i="1"/>
  <c r="K737" i="1"/>
  <c r="K522" i="1"/>
  <c r="K455" i="1"/>
  <c r="K547" i="1"/>
  <c r="K480" i="1"/>
  <c r="K449" i="1"/>
  <c r="K562" i="1"/>
  <c r="K1154" i="1"/>
  <c r="K948" i="1"/>
  <c r="K270" i="1"/>
  <c r="H270" i="1" s="1"/>
  <c r="H277" i="1" s="1"/>
  <c r="K152" i="1"/>
  <c r="K614" i="1"/>
  <c r="H614" i="1" s="1"/>
  <c r="K613" i="1"/>
  <c r="H613" i="1" s="1"/>
  <c r="K615" i="1"/>
  <c r="H615" i="1" s="1"/>
  <c r="U1362" i="1"/>
  <c r="K1362" i="1"/>
  <c r="T1362" i="1"/>
  <c r="S1362" i="1"/>
  <c r="C1362" i="1"/>
  <c r="H1381" i="1"/>
  <c r="K1381" i="1"/>
  <c r="T1381" i="1"/>
  <c r="S1381" i="1"/>
  <c r="U1381" i="1"/>
  <c r="C1381" i="1"/>
  <c r="S1348" i="1"/>
  <c r="T1348" i="1"/>
  <c r="K1348" i="1"/>
  <c r="U1348" i="1"/>
  <c r="K940" i="1"/>
  <c r="K300" i="1"/>
  <c r="K872" i="1"/>
  <c r="K718" i="1"/>
  <c r="K797" i="1"/>
  <c r="K838" i="1"/>
  <c r="K348" i="1"/>
  <c r="K266" i="1"/>
  <c r="K751" i="1"/>
  <c r="H751" i="1" s="1"/>
  <c r="K1189" i="1"/>
  <c r="K1142" i="1"/>
  <c r="K695" i="1"/>
  <c r="K709" i="1"/>
  <c r="K936" i="1"/>
  <c r="K937" i="1"/>
  <c r="K934" i="1"/>
  <c r="K933" i="1"/>
  <c r="K938" i="1"/>
  <c r="K935" i="1"/>
  <c r="K939" i="1"/>
  <c r="K764" i="1"/>
  <c r="K763" i="1"/>
  <c r="K760" i="1"/>
  <c r="K761" i="1"/>
  <c r="K759" i="1"/>
  <c r="K758" i="1"/>
  <c r="K762" i="1"/>
  <c r="K771" i="1"/>
  <c r="K770" i="1"/>
  <c r="K772" i="1"/>
  <c r="K773" i="1"/>
  <c r="K286" i="1"/>
  <c r="K289" i="1"/>
  <c r="K278" i="1"/>
  <c r="K271" i="1"/>
  <c r="K282" i="1"/>
  <c r="K281" i="1"/>
  <c r="K279" i="1"/>
  <c r="K273" i="1"/>
  <c r="H290" i="1"/>
  <c r="K285" i="1"/>
  <c r="K283" i="1"/>
  <c r="K284" i="1"/>
  <c r="K272" i="1"/>
  <c r="K274" i="1"/>
  <c r="K287" i="1"/>
  <c r="K288" i="1"/>
  <c r="K276" i="1"/>
  <c r="K275" i="1"/>
  <c r="K277" i="1"/>
  <c r="K297" i="1"/>
  <c r="K291" i="1"/>
  <c r="K292" i="1"/>
  <c r="K293" i="1"/>
  <c r="K299" i="1"/>
  <c r="K294" i="1"/>
  <c r="K295" i="1"/>
  <c r="K296" i="1"/>
  <c r="K298" i="1"/>
  <c r="H576" i="1"/>
  <c r="K579" i="1"/>
  <c r="K578" i="1"/>
  <c r="K577" i="1"/>
  <c r="K601" i="1"/>
  <c r="H600" i="1"/>
  <c r="K603" i="1"/>
  <c r="K602" i="1"/>
  <c r="K1400" i="1"/>
  <c r="H1400" i="1"/>
  <c r="G1408" i="1"/>
  <c r="U1400" i="1"/>
  <c r="S1400" i="1"/>
  <c r="T1400" i="1"/>
  <c r="K617" i="1"/>
  <c r="K619" i="1"/>
  <c r="K618" i="1"/>
  <c r="U1445" i="1"/>
  <c r="H1445" i="1"/>
  <c r="S1445" i="1"/>
  <c r="K1445" i="1"/>
  <c r="T1445" i="1"/>
  <c r="K1308" i="1"/>
  <c r="U1308" i="1"/>
  <c r="T1308" i="1"/>
  <c r="S1308" i="1"/>
  <c r="C1234" i="1"/>
  <c r="U1449" i="1"/>
  <c r="K1449" i="1"/>
  <c r="S1449" i="1"/>
  <c r="T1449" i="1"/>
  <c r="H1449" i="1"/>
  <c r="C1449" i="1"/>
  <c r="U2264" i="1"/>
  <c r="T2264" i="1"/>
  <c r="K2264" i="1"/>
  <c r="H2264" i="1"/>
  <c r="S2264" i="1"/>
  <c r="G2263" i="1"/>
  <c r="C2263" i="1" s="1"/>
  <c r="C2264" i="1"/>
  <c r="K1347" i="1"/>
  <c r="T1347" i="1"/>
  <c r="S1347" i="1"/>
  <c r="U1347" i="1"/>
  <c r="T1314" i="1"/>
  <c r="G1315" i="1"/>
  <c r="G1317" i="1"/>
  <c r="G1316" i="1"/>
  <c r="U1314" i="1"/>
  <c r="K1314" i="1"/>
  <c r="C1314" i="1"/>
  <c r="K817" i="1"/>
  <c r="K1171" i="1"/>
  <c r="K790" i="1"/>
  <c r="K649" i="1"/>
  <c r="K831" i="1"/>
  <c r="K163" i="1"/>
  <c r="K205" i="1"/>
  <c r="T1324" i="1" l="1"/>
  <c r="K1324" i="1"/>
  <c r="U1324" i="1"/>
  <c r="S1324" i="1"/>
  <c r="K778" i="1"/>
  <c r="H774" i="1"/>
  <c r="C626" i="1"/>
  <c r="C624" i="1" s="1"/>
  <c r="C630" i="1"/>
  <c r="C627" i="1"/>
  <c r="C628" i="1"/>
  <c r="C625" i="1"/>
  <c r="C629" i="1"/>
  <c r="C1400" i="1"/>
  <c r="C2270" i="1"/>
  <c r="C2268" i="1"/>
  <c r="C2269" i="1"/>
  <c r="C2275" i="1"/>
  <c r="K1340" i="1"/>
  <c r="U1340" i="1"/>
  <c r="S1340" i="1"/>
  <c r="T1340" i="1"/>
  <c r="K304" i="1"/>
  <c r="K305" i="1"/>
  <c r="T1452" i="1"/>
  <c r="U1452" i="1"/>
  <c r="U1408" i="1"/>
  <c r="T1408" i="1"/>
  <c r="C1406" i="1"/>
  <c r="H1422" i="1"/>
  <c r="S1422" i="1"/>
  <c r="C2266" i="1"/>
  <c r="H163" i="1"/>
  <c r="K164" i="1"/>
  <c r="K170" i="1"/>
  <c r="K166" i="1"/>
  <c r="K172" i="1"/>
  <c r="K168" i="1"/>
  <c r="K165" i="1"/>
  <c r="K169" i="1"/>
  <c r="K171" i="1"/>
  <c r="K167" i="1"/>
  <c r="K836" i="1"/>
  <c r="K837" i="1"/>
  <c r="K832" i="1"/>
  <c r="K835" i="1"/>
  <c r="K834" i="1"/>
  <c r="K833" i="1"/>
  <c r="K791" i="1"/>
  <c r="K794" i="1"/>
  <c r="K793" i="1"/>
  <c r="K792" i="1"/>
  <c r="K795" i="1"/>
  <c r="K796" i="1"/>
  <c r="K1317" i="1"/>
  <c r="U1317" i="1"/>
  <c r="S1317" i="1"/>
  <c r="T1317" i="1"/>
  <c r="C1317" i="1"/>
  <c r="H601" i="1"/>
  <c r="C602" i="1"/>
  <c r="C1142" i="1"/>
  <c r="C1143" i="1" s="1"/>
  <c r="K349" i="1"/>
  <c r="H348" i="1"/>
  <c r="K356" i="1"/>
  <c r="K350" i="1"/>
  <c r="K357" i="1"/>
  <c r="K353" i="1"/>
  <c r="K354" i="1"/>
  <c r="K355" i="1"/>
  <c r="K352" i="1"/>
  <c r="K351" i="1"/>
  <c r="K719" i="1"/>
  <c r="K723" i="1"/>
  <c r="K720" i="1"/>
  <c r="K721" i="1"/>
  <c r="K722" i="1"/>
  <c r="K878" i="1"/>
  <c r="K876" i="1"/>
  <c r="K875" i="1"/>
  <c r="K880" i="1"/>
  <c r="K881" i="1"/>
  <c r="K877" i="1"/>
  <c r="K874" i="1"/>
  <c r="K879" i="1"/>
  <c r="K873" i="1"/>
  <c r="H547" i="1"/>
  <c r="K552" i="1"/>
  <c r="K551" i="1"/>
  <c r="K548" i="1"/>
  <c r="K550" i="1"/>
  <c r="K549" i="1"/>
  <c r="K767" i="1"/>
  <c r="K766" i="1"/>
  <c r="K768" i="1"/>
  <c r="S1312" i="1"/>
  <c r="K1312" i="1"/>
  <c r="T1312" i="1"/>
  <c r="U1312" i="1"/>
  <c r="G1447" i="1"/>
  <c r="AE69" i="2"/>
  <c r="G69" i="2" s="1"/>
  <c r="T2273" i="1"/>
  <c r="T2263" i="1" s="1"/>
  <c r="U2273" i="1"/>
  <c r="U2263" i="1" s="1"/>
  <c r="H2273" i="1"/>
  <c r="K2273" i="1"/>
  <c r="S2273" i="1"/>
  <c r="C2273" i="1"/>
  <c r="K1117" i="1"/>
  <c r="K1118" i="1"/>
  <c r="K1115" i="1"/>
  <c r="K1119" i="1"/>
  <c r="K1114" i="1"/>
  <c r="K1116" i="1"/>
  <c r="K1113" i="1"/>
  <c r="K1112" i="1"/>
  <c r="K1120" i="1"/>
  <c r="K1111" i="1"/>
  <c r="K910" i="1"/>
  <c r="K909" i="1"/>
  <c r="K1103" i="1"/>
  <c r="K1108" i="1"/>
  <c r="K1106" i="1"/>
  <c r="K1109" i="1"/>
  <c r="K1101" i="1"/>
  <c r="K1102" i="1"/>
  <c r="K1104" i="1"/>
  <c r="K1107" i="1"/>
  <c r="K1100" i="1"/>
  <c r="K1099" i="1"/>
  <c r="K1105" i="1"/>
  <c r="K1043" i="1"/>
  <c r="K1044" i="1"/>
  <c r="K1040" i="1"/>
  <c r="K1034" i="1"/>
  <c r="K1033" i="1"/>
  <c r="K1037" i="1"/>
  <c r="K1032" i="1"/>
  <c r="K1042" i="1"/>
  <c r="K1039" i="1"/>
  <c r="K1038" i="1"/>
  <c r="K1036" i="1"/>
  <c r="K1041" i="1"/>
  <c r="K1035" i="1"/>
  <c r="C1148" i="1"/>
  <c r="C1149" i="1" s="1"/>
  <c r="T1287" i="1"/>
  <c r="U1287" i="1"/>
  <c r="K1287" i="1"/>
  <c r="S1287" i="1"/>
  <c r="T1454" i="1"/>
  <c r="S1454" i="1"/>
  <c r="H1454" i="1"/>
  <c r="K1454" i="1"/>
  <c r="H98" i="1"/>
  <c r="H97" i="1"/>
  <c r="H96" i="1"/>
  <c r="H95" i="1"/>
  <c r="H100" i="1"/>
  <c r="H102" i="1"/>
  <c r="H99" i="1"/>
  <c r="H94" i="1"/>
  <c r="H101" i="1"/>
  <c r="C93" i="1"/>
  <c r="K657" i="1"/>
  <c r="K662" i="1"/>
  <c r="K661" i="1"/>
  <c r="K660" i="1"/>
  <c r="K658" i="1"/>
  <c r="K659" i="1"/>
  <c r="K656" i="1"/>
  <c r="G1417" i="1"/>
  <c r="G1256" i="1"/>
  <c r="C1137" i="1"/>
  <c r="C1138" i="1" s="1"/>
  <c r="C1139" i="1" s="1"/>
  <c r="C1140" i="1" s="1"/>
  <c r="C1141" i="1" s="1"/>
  <c r="C672" i="1"/>
  <c r="C673" i="1" s="1"/>
  <c r="C674" i="1" s="1"/>
  <c r="C675" i="1" s="1"/>
  <c r="C676" i="1" s="1"/>
  <c r="C743" i="1"/>
  <c r="C744" i="1" s="1"/>
  <c r="C745" i="1" s="1"/>
  <c r="C747" i="1" s="1"/>
  <c r="C748" i="1" s="1"/>
  <c r="C749" i="1" s="1"/>
  <c r="C750" i="1" s="1"/>
  <c r="K360" i="1"/>
  <c r="K364" i="1"/>
  <c r="K361" i="1"/>
  <c r="H358" i="1"/>
  <c r="K366" i="1"/>
  <c r="K365" i="1"/>
  <c r="K367" i="1"/>
  <c r="K359" i="1"/>
  <c r="K362" i="1"/>
  <c r="K363" i="1"/>
  <c r="K708" i="1"/>
  <c r="K704" i="1"/>
  <c r="K706" i="1"/>
  <c r="K705" i="1"/>
  <c r="K707" i="1"/>
  <c r="K473" i="1"/>
  <c r="K469" i="1"/>
  <c r="K466" i="1"/>
  <c r="K468" i="1"/>
  <c r="K471" i="1"/>
  <c r="K467" i="1"/>
  <c r="K470" i="1"/>
  <c r="K464" i="1"/>
  <c r="K465" i="1"/>
  <c r="K476" i="1"/>
  <c r="K479" i="1"/>
  <c r="K474" i="1"/>
  <c r="K475" i="1"/>
  <c r="H463" i="1"/>
  <c r="K472" i="1"/>
  <c r="K89" i="1"/>
  <c r="K91" i="1"/>
  <c r="H83" i="1"/>
  <c r="K92" i="1"/>
  <c r="K90" i="1"/>
  <c r="K84" i="1"/>
  <c r="K88" i="1"/>
  <c r="K85" i="1"/>
  <c r="K87" i="1"/>
  <c r="K86" i="1"/>
  <c r="K733" i="1"/>
  <c r="K735" i="1"/>
  <c r="K734" i="1"/>
  <c r="K736" i="1"/>
  <c r="K732" i="1"/>
  <c r="U1301" i="1"/>
  <c r="T1301" i="1"/>
  <c r="K1301" i="1"/>
  <c r="S1301" i="1"/>
  <c r="U1409" i="1"/>
  <c r="H1409" i="1"/>
  <c r="S1409" i="1"/>
  <c r="K1409" i="1"/>
  <c r="T1409" i="1"/>
  <c r="C1409" i="1"/>
  <c r="K912" i="1"/>
  <c r="K915" i="1"/>
  <c r="K918" i="1"/>
  <c r="K913" i="1"/>
  <c r="K914" i="1"/>
  <c r="K917" i="1"/>
  <c r="K916" i="1"/>
  <c r="K1178" i="1"/>
  <c r="K1180" i="1"/>
  <c r="K1181" i="1"/>
  <c r="K1182" i="1"/>
  <c r="K1179" i="1"/>
  <c r="U1322" i="1"/>
  <c r="K1322" i="1"/>
  <c r="T1322" i="1"/>
  <c r="S1322" i="1"/>
  <c r="C1322" i="1"/>
  <c r="S1304" i="1"/>
  <c r="U1304" i="1"/>
  <c r="K1304" i="1"/>
  <c r="T1304" i="1"/>
  <c r="K106" i="1"/>
  <c r="K108" i="1"/>
  <c r="K107" i="1"/>
  <c r="K105" i="1"/>
  <c r="K104" i="1"/>
  <c r="H103" i="1"/>
  <c r="K210" i="1"/>
  <c r="K209" i="1"/>
  <c r="K211" i="1"/>
  <c r="H208" i="1"/>
  <c r="K19" i="1"/>
  <c r="K18" i="1"/>
  <c r="H17" i="1"/>
  <c r="K20" i="1"/>
  <c r="K401" i="1"/>
  <c r="K398" i="1"/>
  <c r="K399" i="1"/>
  <c r="K400" i="1"/>
  <c r="H397" i="1"/>
  <c r="K402" i="1"/>
  <c r="K376" i="1"/>
  <c r="K378" i="1"/>
  <c r="K375" i="1"/>
  <c r="K374" i="1"/>
  <c r="H373" i="1"/>
  <c r="K377" i="1"/>
  <c r="K240" i="1"/>
  <c r="K239" i="1"/>
  <c r="H238" i="1"/>
  <c r="K243" i="1"/>
  <c r="K241" i="1"/>
  <c r="K242" i="1"/>
  <c r="H42" i="1"/>
  <c r="K44" i="1"/>
  <c r="K45" i="1"/>
  <c r="K43" i="1"/>
  <c r="K46" i="1"/>
  <c r="K387" i="1"/>
  <c r="K389" i="1"/>
  <c r="H384" i="1"/>
  <c r="K385" i="1"/>
  <c r="K388" i="1"/>
  <c r="K390" i="1"/>
  <c r="K386" i="1"/>
  <c r="H436" i="1"/>
  <c r="K448" i="1"/>
  <c r="K438" i="1"/>
  <c r="H438" i="1" s="1"/>
  <c r="K447" i="1"/>
  <c r="K442" i="1"/>
  <c r="H442" i="1" s="1"/>
  <c r="K446" i="1"/>
  <c r="K439" i="1"/>
  <c r="H439" i="1" s="1"/>
  <c r="K437" i="1"/>
  <c r="H437" i="1" s="1"/>
  <c r="K441" i="1"/>
  <c r="H441" i="1" s="1"/>
  <c r="K445" i="1"/>
  <c r="K443" i="1"/>
  <c r="K444" i="1"/>
  <c r="K440" i="1"/>
  <c r="H440" i="1" s="1"/>
  <c r="H109" i="1"/>
  <c r="K113" i="1"/>
  <c r="K112" i="1"/>
  <c r="K110" i="1"/>
  <c r="K111" i="1"/>
  <c r="H75" i="1"/>
  <c r="K77" i="1"/>
  <c r="K76" i="1"/>
  <c r="K35" i="1"/>
  <c r="K34" i="1"/>
  <c r="K33" i="1"/>
  <c r="K36" i="1"/>
  <c r="H32" i="1"/>
  <c r="K321" i="1"/>
  <c r="K319" i="1"/>
  <c r="K318" i="1"/>
  <c r="K314" i="1"/>
  <c r="K317" i="1"/>
  <c r="K313" i="1"/>
  <c r="K322" i="1"/>
  <c r="K324" i="1"/>
  <c r="K320" i="1"/>
  <c r="K323" i="1"/>
  <c r="H312" i="1"/>
  <c r="K315" i="1"/>
  <c r="K316" i="1"/>
  <c r="K174" i="1"/>
  <c r="K176" i="1"/>
  <c r="K175" i="1"/>
  <c r="K177" i="1"/>
  <c r="H173" i="1"/>
  <c r="H338" i="1"/>
  <c r="K340" i="1"/>
  <c r="K342" i="1"/>
  <c r="K339" i="1"/>
  <c r="K341" i="1"/>
  <c r="U1338" i="1"/>
  <c r="S1338" i="1"/>
  <c r="K1338" i="1"/>
  <c r="T1338" i="1"/>
  <c r="C604" i="1"/>
  <c r="C605" i="1" s="1"/>
  <c r="C606" i="1" s="1"/>
  <c r="C607" i="1" s="1"/>
  <c r="K207" i="1"/>
  <c r="K206" i="1"/>
  <c r="H205" i="1"/>
  <c r="K650" i="1"/>
  <c r="K653" i="1"/>
  <c r="K651" i="1"/>
  <c r="K652" i="1"/>
  <c r="K654" i="1"/>
  <c r="K823" i="1"/>
  <c r="K819" i="1"/>
  <c r="K820" i="1"/>
  <c r="K821" i="1"/>
  <c r="K818" i="1"/>
  <c r="K822" i="1"/>
  <c r="K1316" i="1"/>
  <c r="U1316" i="1"/>
  <c r="T1316" i="1"/>
  <c r="S1316" i="1"/>
  <c r="C1316" i="1"/>
  <c r="C1410" i="1"/>
  <c r="C2265" i="1"/>
  <c r="K699" i="1"/>
  <c r="K697" i="1"/>
  <c r="K696" i="1"/>
  <c r="K700" i="1"/>
  <c r="K701" i="1"/>
  <c r="K698" i="1"/>
  <c r="K702" i="1"/>
  <c r="K268" i="1"/>
  <c r="K267" i="1"/>
  <c r="H266" i="1"/>
  <c r="K269" i="1"/>
  <c r="H273" i="1"/>
  <c r="H278" i="1"/>
  <c r="C270" i="1"/>
  <c r="H276" i="1"/>
  <c r="H279" i="1"/>
  <c r="H271" i="1"/>
  <c r="H272" i="1"/>
  <c r="K1158" i="1"/>
  <c r="K1156" i="1"/>
  <c r="K1155" i="1"/>
  <c r="K1157" i="1"/>
  <c r="K484" i="1"/>
  <c r="K481" i="1"/>
  <c r="K485" i="1"/>
  <c r="K482" i="1"/>
  <c r="K477" i="1"/>
  <c r="K483" i="1"/>
  <c r="K478" i="1"/>
  <c r="K486" i="1"/>
  <c r="K487" i="1"/>
  <c r="H480" i="1"/>
  <c r="K525" i="1"/>
  <c r="K529" i="1"/>
  <c r="K524" i="1"/>
  <c r="K526" i="1"/>
  <c r="K528" i="1"/>
  <c r="K523" i="1"/>
  <c r="K527" i="1"/>
  <c r="K530" i="1"/>
  <c r="H522" i="1"/>
  <c r="K1313" i="1"/>
  <c r="T1313" i="1"/>
  <c r="U1313" i="1"/>
  <c r="S1313" i="1"/>
  <c r="U1311" i="1"/>
  <c r="K1311" i="1"/>
  <c r="T1311" i="1"/>
  <c r="S1311" i="1"/>
  <c r="T1290" i="1"/>
  <c r="S1290" i="1"/>
  <c r="U1290" i="1"/>
  <c r="K1290" i="1"/>
  <c r="S1407" i="1"/>
  <c r="K1407" i="1"/>
  <c r="T1407" i="1"/>
  <c r="H1407" i="1"/>
  <c r="C1407" i="1"/>
  <c r="K870" i="1"/>
  <c r="K871" i="1"/>
  <c r="K863" i="1"/>
  <c r="K862" i="1"/>
  <c r="K867" i="1"/>
  <c r="K866" i="1"/>
  <c r="K865" i="1"/>
  <c r="K868" i="1"/>
  <c r="K864" i="1"/>
  <c r="K1062" i="1"/>
  <c r="K1068" i="1"/>
  <c r="K1065" i="1"/>
  <c r="K1066" i="1"/>
  <c r="K1064" i="1"/>
  <c r="K1067" i="1"/>
  <c r="K1061" i="1"/>
  <c r="K1063" i="1"/>
  <c r="K1059" i="1"/>
  <c r="K1060" i="1"/>
  <c r="K1069" i="1"/>
  <c r="K542" i="1"/>
  <c r="K545" i="1"/>
  <c r="K544" i="1"/>
  <c r="K546" i="1"/>
  <c r="K540" i="1"/>
  <c r="K541" i="1"/>
  <c r="K543" i="1"/>
  <c r="H539" i="1"/>
  <c r="C580" i="1"/>
  <c r="C581" i="1" s="1"/>
  <c r="C582" i="1" s="1"/>
  <c r="C583" i="1" s="1"/>
  <c r="H582" i="1"/>
  <c r="H581" i="1"/>
  <c r="H583" i="1"/>
  <c r="C724" i="1"/>
  <c r="C725" i="1" s="1"/>
  <c r="C726" i="1" s="1"/>
  <c r="C727" i="1" s="1"/>
  <c r="C728" i="1" s="1"/>
  <c r="C729" i="1" s="1"/>
  <c r="C730" i="1" s="1"/>
  <c r="C331" i="1"/>
  <c r="C332" i="1" s="1"/>
  <c r="C333" i="1" s="1"/>
  <c r="H332" i="1"/>
  <c r="H333" i="1"/>
  <c r="K1168" i="1"/>
  <c r="K1167" i="1"/>
  <c r="K1166" i="1"/>
  <c r="K1170" i="1"/>
  <c r="K1169" i="1"/>
  <c r="K506" i="1"/>
  <c r="K507" i="1"/>
  <c r="K499" i="1"/>
  <c r="K508" i="1"/>
  <c r="K500" i="1"/>
  <c r="K501" i="1"/>
  <c r="K502" i="1"/>
  <c r="K503" i="1"/>
  <c r="H496" i="1"/>
  <c r="K505" i="1"/>
  <c r="K504" i="1"/>
  <c r="K511" i="1"/>
  <c r="K510" i="1"/>
  <c r="K512" i="1"/>
  <c r="K498" i="1"/>
  <c r="K509" i="1"/>
  <c r="K497" i="1"/>
  <c r="C677" i="1"/>
  <c r="C678" i="1" s="1"/>
  <c r="K516" i="1"/>
  <c r="H513" i="1"/>
  <c r="K514" i="1"/>
  <c r="K520" i="1"/>
  <c r="K515" i="1"/>
  <c r="K518" i="1"/>
  <c r="K519" i="1"/>
  <c r="K521" i="1"/>
  <c r="K517" i="1"/>
  <c r="K1161" i="1"/>
  <c r="K1164" i="1"/>
  <c r="K1163" i="1"/>
  <c r="K1162" i="1"/>
  <c r="K1160" i="1"/>
  <c r="K853" i="1"/>
  <c r="K855" i="1"/>
  <c r="K856" i="1"/>
  <c r="K854" i="1"/>
  <c r="K646" i="1"/>
  <c r="K647" i="1"/>
  <c r="K644" i="1"/>
  <c r="K648" i="1"/>
  <c r="K645" i="1"/>
  <c r="K643" i="1"/>
  <c r="K904" i="1"/>
  <c r="K903" i="1"/>
  <c r="K905" i="1"/>
  <c r="K902" i="1"/>
  <c r="K907" i="1"/>
  <c r="K906" i="1"/>
  <c r="K901" i="1"/>
  <c r="K1091" i="1"/>
  <c r="K1086" i="1"/>
  <c r="K1097" i="1"/>
  <c r="K1092" i="1"/>
  <c r="K1089" i="1"/>
  <c r="K1094" i="1"/>
  <c r="K1087" i="1"/>
  <c r="K1093" i="1"/>
  <c r="K1096" i="1"/>
  <c r="K1090" i="1"/>
  <c r="K1088" i="1"/>
  <c r="K1095" i="1"/>
  <c r="K218" i="1"/>
  <c r="K220" i="1"/>
  <c r="K219" i="1"/>
  <c r="K221" i="1"/>
  <c r="H217" i="1"/>
  <c r="K641" i="1"/>
  <c r="K636" i="1"/>
  <c r="K637" i="1"/>
  <c r="K638" i="1"/>
  <c r="K640" i="1"/>
  <c r="K639" i="1"/>
  <c r="G1305" i="1"/>
  <c r="K1303" i="1"/>
  <c r="T1303" i="1"/>
  <c r="S1303" i="1"/>
  <c r="U1303" i="1"/>
  <c r="K255" i="1"/>
  <c r="K258" i="1"/>
  <c r="H254" i="1"/>
  <c r="K259" i="1"/>
  <c r="K257" i="1"/>
  <c r="K256" i="1"/>
  <c r="K204" i="1"/>
  <c r="K202" i="1"/>
  <c r="K203" i="1"/>
  <c r="K201" i="1"/>
  <c r="H200" i="1"/>
  <c r="K248" i="1"/>
  <c r="H244" i="1"/>
  <c r="K245" i="1"/>
  <c r="K247" i="1"/>
  <c r="K246" i="1"/>
  <c r="H403" i="1"/>
  <c r="K404" i="1"/>
  <c r="K406" i="1"/>
  <c r="K405" i="1"/>
  <c r="K407" i="1"/>
  <c r="K428" i="1"/>
  <c r="H428" i="1" s="1"/>
  <c r="K429" i="1"/>
  <c r="H429" i="1" s="1"/>
  <c r="K427" i="1"/>
  <c r="H427" i="1" s="1"/>
  <c r="H423" i="1"/>
  <c r="K434" i="1"/>
  <c r="K426" i="1"/>
  <c r="H426" i="1" s="1"/>
  <c r="K425" i="1"/>
  <c r="H425" i="1" s="1"/>
  <c r="K424" i="1"/>
  <c r="H424" i="1" s="1"/>
  <c r="K433" i="1"/>
  <c r="H433" i="1" s="1"/>
  <c r="K435" i="1"/>
  <c r="K432" i="1"/>
  <c r="H432" i="1" s="1"/>
  <c r="K431" i="1"/>
  <c r="H431" i="1" s="1"/>
  <c r="K430" i="1"/>
  <c r="H430" i="1" s="1"/>
  <c r="K420" i="1"/>
  <c r="K419" i="1"/>
  <c r="K422" i="1"/>
  <c r="K421" i="1"/>
  <c r="H418" i="1"/>
  <c r="H21" i="1"/>
  <c r="K26" i="1"/>
  <c r="K24" i="1"/>
  <c r="K25" i="1"/>
  <c r="K22" i="1"/>
  <c r="K23" i="1"/>
  <c r="H379" i="1"/>
  <c r="K382" i="1"/>
  <c r="K380" i="1"/>
  <c r="K383" i="1"/>
  <c r="K381" i="1"/>
  <c r="H130" i="1"/>
  <c r="K132" i="1"/>
  <c r="K134" i="1"/>
  <c r="K131" i="1"/>
  <c r="K133" i="1"/>
  <c r="K39" i="1"/>
  <c r="K40" i="1"/>
  <c r="H37" i="1"/>
  <c r="K38" i="1"/>
  <c r="K41" i="1"/>
  <c r="K48" i="1"/>
  <c r="K51" i="1"/>
  <c r="K49" i="1"/>
  <c r="H47" i="1"/>
  <c r="K50" i="1"/>
  <c r="K185" i="1"/>
  <c r="K188" i="1"/>
  <c r="K187" i="1"/>
  <c r="H184" i="1"/>
  <c r="K186" i="1"/>
  <c r="K136" i="1"/>
  <c r="H135" i="1"/>
  <c r="K137" i="1"/>
  <c r="C973" i="1"/>
  <c r="C974" i="1" s="1"/>
  <c r="C975" i="1" s="1"/>
  <c r="C976" i="1" s="1"/>
  <c r="C977" i="1" s="1"/>
  <c r="C978" i="1" s="1"/>
  <c r="C979" i="1" s="1"/>
  <c r="K684" i="1"/>
  <c r="K682" i="1"/>
  <c r="K685" i="1"/>
  <c r="K681" i="1"/>
  <c r="K683" i="1"/>
  <c r="K686" i="1"/>
  <c r="K680" i="1"/>
  <c r="T1339" i="1"/>
  <c r="K1339" i="1"/>
  <c r="S1339" i="1"/>
  <c r="U1339" i="1"/>
  <c r="T1337" i="1"/>
  <c r="S1337" i="1"/>
  <c r="K1337" i="1"/>
  <c r="U1337" i="1"/>
  <c r="G1263" i="1"/>
  <c r="C2267" i="1"/>
  <c r="G1446" i="1"/>
  <c r="C932" i="1"/>
  <c r="C933" i="1" s="1"/>
  <c r="C934" i="1" s="1"/>
  <c r="C935" i="1" s="1"/>
  <c r="C936" i="1" s="1"/>
  <c r="C937" i="1" s="1"/>
  <c r="C938" i="1" s="1"/>
  <c r="C939" i="1" s="1"/>
  <c r="K715" i="1"/>
  <c r="K710" i="1"/>
  <c r="K712" i="1"/>
  <c r="K714" i="1"/>
  <c r="K713" i="1"/>
  <c r="K711" i="1"/>
  <c r="K756" i="1"/>
  <c r="K753" i="1"/>
  <c r="K755" i="1"/>
  <c r="K754" i="1"/>
  <c r="K752" i="1"/>
  <c r="K802" i="1"/>
  <c r="K798" i="1"/>
  <c r="K800" i="1"/>
  <c r="K799" i="1"/>
  <c r="K803" i="1"/>
  <c r="K801" i="1"/>
  <c r="K945" i="1"/>
  <c r="K944" i="1"/>
  <c r="K943" i="1"/>
  <c r="K946" i="1"/>
  <c r="K947" i="1"/>
  <c r="K941" i="1"/>
  <c r="K942" i="1"/>
  <c r="C614" i="1"/>
  <c r="C613" i="1"/>
  <c r="C615" i="1"/>
  <c r="C612" i="1"/>
  <c r="H449" i="1"/>
  <c r="K453" i="1"/>
  <c r="K450" i="1"/>
  <c r="K454" i="1"/>
  <c r="K451" i="1"/>
  <c r="K452" i="1"/>
  <c r="H597" i="1"/>
  <c r="H598" i="1"/>
  <c r="H599" i="1"/>
  <c r="C596" i="1"/>
  <c r="C597" i="1" s="1"/>
  <c r="C598" i="1" s="1"/>
  <c r="C599" i="1" s="1"/>
  <c r="K151" i="1"/>
  <c r="K148" i="1"/>
  <c r="K150" i="1"/>
  <c r="K149" i="1"/>
  <c r="H147" i="1"/>
  <c r="K920" i="1"/>
  <c r="K921" i="1"/>
  <c r="K959" i="1"/>
  <c r="K964" i="1"/>
  <c r="K963" i="1"/>
  <c r="K962" i="1"/>
  <c r="K965" i="1"/>
  <c r="K960" i="1"/>
  <c r="K961" i="1"/>
  <c r="K1001" i="1"/>
  <c r="K1002" i="1"/>
  <c r="K1003" i="1"/>
  <c r="K1004" i="1"/>
  <c r="K999" i="1"/>
  <c r="K993" i="1"/>
  <c r="K994" i="1"/>
  <c r="K1005" i="1"/>
  <c r="K997" i="1"/>
  <c r="K1000" i="1"/>
  <c r="K996" i="1"/>
  <c r="K998" i="1"/>
  <c r="K995" i="1"/>
  <c r="K1020" i="1"/>
  <c r="K1026" i="1"/>
  <c r="K1021" i="1"/>
  <c r="K1025" i="1"/>
  <c r="K1023" i="1"/>
  <c r="K1029" i="1"/>
  <c r="K1030" i="1"/>
  <c r="K1027" i="1"/>
  <c r="K1024" i="1"/>
  <c r="K1022" i="1"/>
  <c r="K1028" i="1"/>
  <c r="K1051" i="1"/>
  <c r="K1056" i="1"/>
  <c r="K1048" i="1"/>
  <c r="K1054" i="1"/>
  <c r="K1055" i="1"/>
  <c r="K1047" i="1"/>
  <c r="K1050" i="1"/>
  <c r="K1057" i="1"/>
  <c r="K1053" i="1"/>
  <c r="K1052" i="1"/>
  <c r="K1046" i="1"/>
  <c r="K1049" i="1"/>
  <c r="K1075" i="1"/>
  <c r="K1083" i="1"/>
  <c r="K1084" i="1"/>
  <c r="K1080" i="1"/>
  <c r="K1074" i="1"/>
  <c r="K1071" i="1"/>
  <c r="K1077" i="1"/>
  <c r="K1079" i="1"/>
  <c r="K1073" i="1"/>
  <c r="K1076" i="1"/>
  <c r="K1081" i="1"/>
  <c r="K1072" i="1"/>
  <c r="K1082" i="1"/>
  <c r="K1078" i="1"/>
  <c r="C1195" i="1"/>
  <c r="C1196" i="1" s="1"/>
  <c r="C1197" i="1" s="1"/>
  <c r="C1198" i="1" s="1"/>
  <c r="C1199" i="1" s="1"/>
  <c r="C1200" i="1" s="1"/>
  <c r="K1286" i="1"/>
  <c r="S1286" i="1"/>
  <c r="T1286" i="1"/>
  <c r="U1286" i="1"/>
  <c r="C890" i="1"/>
  <c r="C891" i="1" s="1"/>
  <c r="C892" i="1" s="1"/>
  <c r="C893" i="1" s="1"/>
  <c r="C894" i="1" s="1"/>
  <c r="C895" i="1" s="1"/>
  <c r="C896" i="1" s="1"/>
  <c r="C897" i="1" s="1"/>
  <c r="C898" i="1" s="1"/>
  <c r="C899" i="1" s="1"/>
  <c r="U1297" i="1"/>
  <c r="K1297" i="1"/>
  <c r="T1297" i="1"/>
  <c r="S1297" i="1"/>
  <c r="C1297" i="1"/>
  <c r="K928" i="1"/>
  <c r="K924" i="1"/>
  <c r="K931" i="1"/>
  <c r="K925" i="1"/>
  <c r="K926" i="1"/>
  <c r="K927" i="1"/>
  <c r="K929" i="1"/>
  <c r="K930" i="1"/>
  <c r="K923" i="1"/>
  <c r="K609" i="1"/>
  <c r="K610" i="1"/>
  <c r="K611" i="1"/>
  <c r="G1411" i="1"/>
  <c r="C621" i="1"/>
  <c r="C622" i="1" s="1"/>
  <c r="C623" i="1" s="1"/>
  <c r="C280" i="1"/>
  <c r="H289" i="1"/>
  <c r="H281" i="1"/>
  <c r="H288" i="1"/>
  <c r="H283" i="1"/>
  <c r="H286" i="1"/>
  <c r="H282" i="1"/>
  <c r="K849" i="1"/>
  <c r="K848" i="1"/>
  <c r="K847" i="1"/>
  <c r="K851" i="1"/>
  <c r="K846" i="1"/>
  <c r="K850" i="1"/>
  <c r="K337" i="1"/>
  <c r="K335" i="1"/>
  <c r="K216" i="1"/>
  <c r="K336" i="1"/>
  <c r="K215" i="1"/>
  <c r="K213" i="1"/>
  <c r="K214" i="1"/>
  <c r="H212" i="1"/>
  <c r="K694" i="1"/>
  <c r="K688" i="1"/>
  <c r="K693" i="1"/>
  <c r="K690" i="1"/>
  <c r="K689" i="1"/>
  <c r="K692" i="1"/>
  <c r="K691" i="1"/>
  <c r="T1319" i="1"/>
  <c r="U1319" i="1"/>
  <c r="K1319" i="1"/>
  <c r="S1319" i="1"/>
  <c r="C1319" i="1"/>
  <c r="K1320" i="1"/>
  <c r="U1320" i="1"/>
  <c r="S1320" i="1"/>
  <c r="T1320" i="1"/>
  <c r="C1320" i="1"/>
  <c r="H1448" i="1"/>
  <c r="U1448" i="1"/>
  <c r="K1448" i="1"/>
  <c r="T1448" i="1"/>
  <c r="S1448" i="1"/>
  <c r="C1448" i="1"/>
  <c r="H138" i="1"/>
  <c r="K141" i="1"/>
  <c r="K139" i="1"/>
  <c r="K140" i="1"/>
  <c r="H52" i="1"/>
  <c r="K53" i="1"/>
  <c r="K58" i="1"/>
  <c r="K59" i="1"/>
  <c r="K60" i="1"/>
  <c r="K54" i="1"/>
  <c r="K57" i="1"/>
  <c r="K61" i="1"/>
  <c r="K56" i="1"/>
  <c r="K55" i="1"/>
  <c r="K223" i="1"/>
  <c r="H222" i="1"/>
  <c r="K225" i="1"/>
  <c r="K224" i="1"/>
  <c r="K226" i="1"/>
  <c r="K15" i="1"/>
  <c r="K16" i="1"/>
  <c r="H14" i="1"/>
  <c r="H62" i="1"/>
  <c r="K65" i="1"/>
  <c r="K69" i="1"/>
  <c r="K70" i="1"/>
  <c r="K63" i="1"/>
  <c r="K64" i="1"/>
  <c r="K71" i="1"/>
  <c r="K66" i="1"/>
  <c r="K67" i="1"/>
  <c r="K68" i="1"/>
  <c r="H178" i="1"/>
  <c r="K179" i="1"/>
  <c r="K182" i="1"/>
  <c r="K183" i="1"/>
  <c r="K181" i="1"/>
  <c r="K180" i="1"/>
  <c r="H227" i="1"/>
  <c r="K229" i="1"/>
  <c r="K228" i="1"/>
  <c r="K231" i="1"/>
  <c r="K232" i="1"/>
  <c r="K230" i="1"/>
  <c r="H233" i="1"/>
  <c r="K237" i="1"/>
  <c r="K235" i="1"/>
  <c r="K234" i="1"/>
  <c r="K236" i="1"/>
  <c r="K328" i="1"/>
  <c r="K330" i="1"/>
  <c r="K329" i="1"/>
  <c r="K326" i="1"/>
  <c r="H325" i="1"/>
  <c r="K327" i="1"/>
  <c r="K261" i="1"/>
  <c r="K263" i="1"/>
  <c r="K264" i="1"/>
  <c r="K265" i="1"/>
  <c r="H260" i="1"/>
  <c r="K262" i="1"/>
  <c r="K393" i="1"/>
  <c r="H391" i="1"/>
  <c r="K395" i="1"/>
  <c r="K392" i="1"/>
  <c r="K394" i="1"/>
  <c r="K396" i="1"/>
  <c r="H1452" i="1"/>
  <c r="K1452" i="1"/>
  <c r="S1452" i="1"/>
  <c r="H143" i="1"/>
  <c r="H144" i="1"/>
  <c r="H146" i="1"/>
  <c r="C142" i="1"/>
  <c r="C143" i="1" s="1"/>
  <c r="C144" i="1" s="1"/>
  <c r="C145" i="1" s="1"/>
  <c r="C146" i="1" s="1"/>
  <c r="H145" i="1"/>
  <c r="K1173" i="1"/>
  <c r="K1174" i="1"/>
  <c r="K1175" i="1"/>
  <c r="K1176" i="1"/>
  <c r="K1172" i="1"/>
  <c r="K1315" i="1"/>
  <c r="U1315" i="1"/>
  <c r="T1315" i="1"/>
  <c r="S1315" i="1"/>
  <c r="C1315" i="1"/>
  <c r="H1408" i="1"/>
  <c r="S1408" i="1"/>
  <c r="K1408" i="1"/>
  <c r="C1408" i="1"/>
  <c r="H579" i="1"/>
  <c r="H578" i="1"/>
  <c r="C576" i="1"/>
  <c r="C577" i="1" s="1"/>
  <c r="C578" i="1" s="1"/>
  <c r="C579" i="1" s="1"/>
  <c r="H577" i="1"/>
  <c r="H291" i="1"/>
  <c r="H292" i="1"/>
  <c r="H299" i="1"/>
  <c r="H296" i="1"/>
  <c r="H274" i="1"/>
  <c r="H295" i="1"/>
  <c r="H293" i="1"/>
  <c r="H285" i="1"/>
  <c r="H275" i="1"/>
  <c r="H298" i="1"/>
  <c r="H284" i="1"/>
  <c r="H294" i="1"/>
  <c r="H297" i="1"/>
  <c r="C769" i="1"/>
  <c r="C770" i="1" s="1"/>
  <c r="C771" i="1" s="1"/>
  <c r="K1194" i="1"/>
  <c r="K1191" i="1"/>
  <c r="K1190" i="1"/>
  <c r="K1193" i="1"/>
  <c r="K1192" i="1"/>
  <c r="K841" i="1"/>
  <c r="K842" i="1"/>
  <c r="K840" i="1"/>
  <c r="K844" i="1"/>
  <c r="K843" i="1"/>
  <c r="K839" i="1"/>
  <c r="H300" i="1"/>
  <c r="C300" i="1" s="1"/>
  <c r="K301" i="1"/>
  <c r="K303" i="1"/>
  <c r="K308" i="1"/>
  <c r="K306" i="1"/>
  <c r="K302" i="1"/>
  <c r="K310" i="1"/>
  <c r="K307" i="1"/>
  <c r="K311" i="1"/>
  <c r="K309" i="1"/>
  <c r="K161" i="1"/>
  <c r="K158" i="1"/>
  <c r="H152" i="1"/>
  <c r="K155" i="1"/>
  <c r="K162" i="1"/>
  <c r="K159" i="1"/>
  <c r="K154" i="1"/>
  <c r="K153" i="1"/>
  <c r="K156" i="1"/>
  <c r="K157" i="1"/>
  <c r="K160" i="1"/>
  <c r="K954" i="1"/>
  <c r="K952" i="1"/>
  <c r="K957" i="1"/>
  <c r="K950" i="1"/>
  <c r="K956" i="1"/>
  <c r="K949" i="1"/>
  <c r="K951" i="1"/>
  <c r="K955" i="1"/>
  <c r="K953" i="1"/>
  <c r="H562" i="1"/>
  <c r="K565" i="1"/>
  <c r="K571" i="1"/>
  <c r="K572" i="1"/>
  <c r="K563" i="1"/>
  <c r="K573" i="1"/>
  <c r="K567" i="1"/>
  <c r="K574" i="1"/>
  <c r="K570" i="1"/>
  <c r="K569" i="1"/>
  <c r="K566" i="1"/>
  <c r="K564" i="1"/>
  <c r="K568" i="1"/>
  <c r="H455" i="1"/>
  <c r="K462" i="1"/>
  <c r="K459" i="1"/>
  <c r="K456" i="1"/>
  <c r="K460" i="1"/>
  <c r="K458" i="1"/>
  <c r="K461" i="1"/>
  <c r="K457" i="1"/>
  <c r="K740" i="1"/>
  <c r="K741" i="1"/>
  <c r="K738" i="1"/>
  <c r="K739" i="1"/>
  <c r="K742" i="1"/>
  <c r="T1289" i="1"/>
  <c r="U1289" i="1"/>
  <c r="S1289" i="1"/>
  <c r="K1289" i="1"/>
  <c r="K984" i="1"/>
  <c r="K982" i="1"/>
  <c r="K987" i="1"/>
  <c r="K991" i="1"/>
  <c r="K990" i="1"/>
  <c r="K985" i="1"/>
  <c r="K981" i="1"/>
  <c r="K989" i="1"/>
  <c r="K983" i="1"/>
  <c r="K988" i="1"/>
  <c r="K986" i="1"/>
  <c r="K1014" i="1"/>
  <c r="K1011" i="1"/>
  <c r="K1017" i="1"/>
  <c r="K1010" i="1"/>
  <c r="K1016" i="1"/>
  <c r="K1008" i="1"/>
  <c r="K1018" i="1"/>
  <c r="K1007" i="1"/>
  <c r="K1009" i="1"/>
  <c r="K1015" i="1"/>
  <c r="K1013" i="1"/>
  <c r="K1012" i="1"/>
  <c r="K1127" i="1"/>
  <c r="K1128" i="1"/>
  <c r="K1131" i="1"/>
  <c r="K1124" i="1"/>
  <c r="K1125" i="1"/>
  <c r="K1122" i="1"/>
  <c r="K1123" i="1"/>
  <c r="K1129" i="1"/>
  <c r="K1126" i="1"/>
  <c r="K1130" i="1"/>
  <c r="K775" i="1"/>
  <c r="K776" i="1"/>
  <c r="K779" i="1"/>
  <c r="K777" i="1"/>
  <c r="K780" i="1"/>
  <c r="H589" i="1"/>
  <c r="C588" i="1"/>
  <c r="H590" i="1"/>
  <c r="K807" i="1"/>
  <c r="K805" i="1"/>
  <c r="K806" i="1"/>
  <c r="K809" i="1"/>
  <c r="K808" i="1"/>
  <c r="K810" i="1"/>
  <c r="H585" i="1"/>
  <c r="H587" i="1"/>
  <c r="C584" i="1"/>
  <c r="C585" i="1" s="1"/>
  <c r="C586" i="1" s="1"/>
  <c r="C587" i="1" s="1"/>
  <c r="H586" i="1"/>
  <c r="C1183" i="1"/>
  <c r="C1184" i="1" s="1"/>
  <c r="C1185" i="1" s="1"/>
  <c r="C1186" i="1" s="1"/>
  <c r="C1187" i="1" s="1"/>
  <c r="C1188" i="1" s="1"/>
  <c r="C811" i="1"/>
  <c r="C812" i="1" s="1"/>
  <c r="C716" i="1"/>
  <c r="C717" i="1" s="1"/>
  <c r="C966" i="1"/>
  <c r="C967" i="1" s="1"/>
  <c r="C968" i="1" s="1"/>
  <c r="C969" i="1" s="1"/>
  <c r="C970" i="1" s="1"/>
  <c r="C971" i="1" s="1"/>
  <c r="C972" i="1" s="1"/>
  <c r="C857" i="1"/>
  <c r="C858" i="1" s="1"/>
  <c r="C859" i="1" s="1"/>
  <c r="C860" i="1" s="1"/>
  <c r="K789" i="1"/>
  <c r="K786" i="1"/>
  <c r="K788" i="1"/>
  <c r="K787" i="1"/>
  <c r="K825" i="1"/>
  <c r="K826" i="1"/>
  <c r="K829" i="1"/>
  <c r="K830" i="1"/>
  <c r="K827" i="1"/>
  <c r="K828" i="1"/>
  <c r="K784" i="1"/>
  <c r="K782" i="1"/>
  <c r="K783" i="1"/>
  <c r="T1401" i="1"/>
  <c r="H1401" i="1"/>
  <c r="K1401" i="1"/>
  <c r="U1401" i="1"/>
  <c r="S1401" i="1"/>
  <c r="C1401" i="1"/>
  <c r="K344" i="1"/>
  <c r="K345" i="1"/>
  <c r="K347" i="1"/>
  <c r="H343" i="1"/>
  <c r="K346" i="1"/>
  <c r="K1146" i="1"/>
  <c r="K1147" i="1"/>
  <c r="K1143" i="1"/>
  <c r="K1144" i="1"/>
  <c r="K1136" i="1"/>
  <c r="K1134" i="1"/>
  <c r="K1135" i="1"/>
  <c r="K1133" i="1"/>
  <c r="K533" i="1"/>
  <c r="H531" i="1"/>
  <c r="K534" i="1"/>
  <c r="K538" i="1"/>
  <c r="K537" i="1"/>
  <c r="K535" i="1"/>
  <c r="K532" i="1"/>
  <c r="K536" i="1"/>
  <c r="T1323" i="1"/>
  <c r="U1323" i="1"/>
  <c r="S1323" i="1"/>
  <c r="K1323" i="1"/>
  <c r="C1323" i="1"/>
  <c r="S1321" i="1"/>
  <c r="T1321" i="1"/>
  <c r="K1321" i="1"/>
  <c r="U1321" i="1"/>
  <c r="C1321" i="1"/>
  <c r="K127" i="1"/>
  <c r="K128" i="1"/>
  <c r="K126" i="1"/>
  <c r="K129" i="1"/>
  <c r="H125" i="1"/>
  <c r="K30" i="1"/>
  <c r="K29" i="1"/>
  <c r="H27" i="1"/>
  <c r="K28" i="1"/>
  <c r="K31" i="1"/>
  <c r="H114" i="1"/>
  <c r="K116" i="1"/>
  <c r="K117" i="1"/>
  <c r="K115" i="1"/>
  <c r="K119" i="1"/>
  <c r="K118" i="1"/>
  <c r="K193" i="1"/>
  <c r="K192" i="1"/>
  <c r="K191" i="1"/>
  <c r="H189" i="1"/>
  <c r="K190" i="1"/>
  <c r="K194" i="1"/>
  <c r="H78" i="1"/>
  <c r="K82" i="1"/>
  <c r="K81" i="1"/>
  <c r="K79" i="1"/>
  <c r="K80" i="1"/>
  <c r="K73" i="1"/>
  <c r="K74" i="1"/>
  <c r="H72" i="1"/>
  <c r="K253" i="1"/>
  <c r="H249" i="1"/>
  <c r="K252" i="1"/>
  <c r="K251" i="1"/>
  <c r="K250" i="1"/>
  <c r="K369" i="1"/>
  <c r="K370" i="1"/>
  <c r="K372" i="1"/>
  <c r="K371" i="1"/>
  <c r="H368" i="1"/>
  <c r="K199" i="1"/>
  <c r="K196" i="1"/>
  <c r="H195" i="1"/>
  <c r="K198" i="1"/>
  <c r="K197" i="1"/>
  <c r="K122" i="1"/>
  <c r="K124" i="1"/>
  <c r="K121" i="1"/>
  <c r="K123" i="1"/>
  <c r="H120" i="1"/>
  <c r="K414" i="1"/>
  <c r="K417" i="1"/>
  <c r="K412" i="1"/>
  <c r="K411" i="1"/>
  <c r="K415" i="1"/>
  <c r="K409" i="1"/>
  <c r="K413" i="1"/>
  <c r="H408" i="1"/>
  <c r="K410" i="1"/>
  <c r="K416" i="1"/>
  <c r="H488" i="1"/>
  <c r="K489" i="1"/>
  <c r="K492" i="1"/>
  <c r="K490" i="1"/>
  <c r="K494" i="1"/>
  <c r="K495" i="1"/>
  <c r="K491" i="1"/>
  <c r="K493" i="1"/>
  <c r="H558" i="1"/>
  <c r="H554" i="1"/>
  <c r="H557" i="1"/>
  <c r="C553" i="1"/>
  <c r="C554" i="1" s="1"/>
  <c r="C555" i="1" s="1"/>
  <c r="C556" i="1" s="1"/>
  <c r="C557" i="1" s="1"/>
  <c r="H561" i="1"/>
  <c r="H555" i="1"/>
  <c r="H560" i="1"/>
  <c r="H556" i="1"/>
  <c r="H559" i="1"/>
  <c r="C882" i="1"/>
  <c r="C883" i="1" s="1"/>
  <c r="C884" i="1" s="1"/>
  <c r="C885" i="1" s="1"/>
  <c r="C886" i="1" s="1"/>
  <c r="C887" i="1" s="1"/>
  <c r="C888" i="1" s="1"/>
  <c r="C889" i="1" s="1"/>
  <c r="S2263" i="1" l="1"/>
  <c r="H302" i="1"/>
  <c r="C302" i="1" s="1"/>
  <c r="H304" i="1"/>
  <c r="C304" i="1" s="1"/>
  <c r="H303" i="1"/>
  <c r="C303" i="1" s="1"/>
  <c r="H305" i="1"/>
  <c r="C305" i="1" s="1"/>
  <c r="T1424" i="1"/>
  <c r="U1424" i="1"/>
  <c r="C1150" i="1"/>
  <c r="C1152" i="1" s="1"/>
  <c r="C1153" i="1" s="1"/>
  <c r="C1151" i="1"/>
  <c r="C1144" i="1"/>
  <c r="C1146" i="1" s="1"/>
  <c r="C1147" i="1" s="1"/>
  <c r="C1145" i="1"/>
  <c r="C79" i="1"/>
  <c r="C80" i="1" s="1"/>
  <c r="C81" i="1" s="1"/>
  <c r="C82" i="1" s="1"/>
  <c r="H80" i="1"/>
  <c r="H82" i="1"/>
  <c r="H79" i="1"/>
  <c r="H81" i="1"/>
  <c r="C590" i="1"/>
  <c r="C589" i="1"/>
  <c r="H159" i="1"/>
  <c r="H155" i="1"/>
  <c r="H160" i="1"/>
  <c r="C152" i="1"/>
  <c r="H154" i="1"/>
  <c r="H156" i="1"/>
  <c r="H158" i="1"/>
  <c r="H153" i="1"/>
  <c r="H157" i="1"/>
  <c r="H161" i="1"/>
  <c r="H162" i="1"/>
  <c r="S1411" i="1"/>
  <c r="H1411" i="1"/>
  <c r="K1411" i="1"/>
  <c r="U1411" i="1"/>
  <c r="T1411" i="1"/>
  <c r="C958" i="1"/>
  <c r="C959" i="1" s="1"/>
  <c r="C960" i="1" s="1"/>
  <c r="C961" i="1" s="1"/>
  <c r="C962" i="1" s="1"/>
  <c r="C963" i="1" s="1"/>
  <c r="C964" i="1" s="1"/>
  <c r="C965" i="1" s="1"/>
  <c r="H49" i="1"/>
  <c r="H51" i="1"/>
  <c r="H50" i="1"/>
  <c r="H48" i="1"/>
  <c r="C47" i="1"/>
  <c r="C48" i="1" s="1"/>
  <c r="C49" i="1" s="1"/>
  <c r="H382" i="1"/>
  <c r="H381" i="1"/>
  <c r="H383" i="1"/>
  <c r="H380" i="1"/>
  <c r="C379" i="1"/>
  <c r="C380" i="1" s="1"/>
  <c r="C381" i="1" s="1"/>
  <c r="C382" i="1" s="1"/>
  <c r="C383" i="1" s="1"/>
  <c r="H407" i="1"/>
  <c r="H404" i="1"/>
  <c r="C403" i="1"/>
  <c r="C404" i="1" s="1"/>
  <c r="C405" i="1" s="1"/>
  <c r="C406" i="1" s="1"/>
  <c r="C407" i="1" s="1"/>
  <c r="H406" i="1"/>
  <c r="H405" i="1"/>
  <c r="T1305" i="1"/>
  <c r="U1305" i="1"/>
  <c r="K1305" i="1"/>
  <c r="S1305" i="1"/>
  <c r="H516" i="1"/>
  <c r="H521" i="1"/>
  <c r="H515" i="1"/>
  <c r="H514" i="1"/>
  <c r="H520" i="1"/>
  <c r="H519" i="1"/>
  <c r="H517" i="1"/>
  <c r="H518" i="1"/>
  <c r="C861" i="1"/>
  <c r="C862" i="1" s="1"/>
  <c r="C863" i="1" s="1"/>
  <c r="C864" i="1" s="1"/>
  <c r="C865" i="1" s="1"/>
  <c r="C866" i="1" s="1"/>
  <c r="C867" i="1" s="1"/>
  <c r="C868" i="1" s="1"/>
  <c r="C1154" i="1"/>
  <c r="C1155" i="1" s="1"/>
  <c r="C1156" i="1" s="1"/>
  <c r="C1157" i="1" s="1"/>
  <c r="C1158" i="1" s="1"/>
  <c r="C817" i="1"/>
  <c r="C818" i="1" s="1"/>
  <c r="H206" i="1"/>
  <c r="H207" i="1"/>
  <c r="C205" i="1"/>
  <c r="C206" i="1" s="1"/>
  <c r="C207" i="1" s="1"/>
  <c r="H176" i="1"/>
  <c r="H174" i="1"/>
  <c r="H175" i="1"/>
  <c r="H177" i="1"/>
  <c r="C173" i="1"/>
  <c r="C174" i="1" s="1"/>
  <c r="C175" i="1" s="1"/>
  <c r="C176" i="1" s="1"/>
  <c r="C177" i="1" s="1"/>
  <c r="H443" i="1"/>
  <c r="H448" i="1"/>
  <c r="H444" i="1"/>
  <c r="H447" i="1"/>
  <c r="H446" i="1"/>
  <c r="H445" i="1"/>
  <c r="C436" i="1"/>
  <c r="C437" i="1" s="1"/>
  <c r="C438" i="1" s="1"/>
  <c r="C439" i="1" s="1"/>
  <c r="H44" i="1"/>
  <c r="C42" i="1"/>
  <c r="C43" i="1" s="1"/>
  <c r="C44" i="1" s="1"/>
  <c r="C45" i="1" s="1"/>
  <c r="C46" i="1" s="1"/>
  <c r="H46" i="1"/>
  <c r="H45" i="1"/>
  <c r="H43" i="1"/>
  <c r="C731" i="1"/>
  <c r="K1256" i="1"/>
  <c r="T1256" i="1"/>
  <c r="S1256" i="1"/>
  <c r="U1256" i="1"/>
  <c r="U1447" i="1"/>
  <c r="K1447" i="1"/>
  <c r="S1447" i="1"/>
  <c r="H1447" i="1"/>
  <c r="T1447" i="1"/>
  <c r="H551" i="1"/>
  <c r="H549" i="1"/>
  <c r="H552" i="1"/>
  <c r="H550" i="1"/>
  <c r="H548" i="1"/>
  <c r="C547" i="1"/>
  <c r="C548" i="1" s="1"/>
  <c r="C549" i="1" s="1"/>
  <c r="C550" i="1" s="1"/>
  <c r="C551" i="1" s="1"/>
  <c r="C552" i="1" s="1"/>
  <c r="C872" i="1"/>
  <c r="C873" i="1" s="1"/>
  <c r="C874" i="1" s="1"/>
  <c r="C875" i="1" s="1"/>
  <c r="C876" i="1" s="1"/>
  <c r="C877" i="1" s="1"/>
  <c r="C878" i="1" s="1"/>
  <c r="C879" i="1" s="1"/>
  <c r="C880" i="1" s="1"/>
  <c r="C881" i="1" s="1"/>
  <c r="C718" i="1"/>
  <c r="C719" i="1" s="1"/>
  <c r="C720" i="1" s="1"/>
  <c r="C721" i="1" s="1"/>
  <c r="C722" i="1" s="1"/>
  <c r="C723" i="1" s="1"/>
  <c r="C790" i="1"/>
  <c r="C791" i="1" s="1"/>
  <c r="C792" i="1" s="1"/>
  <c r="C831" i="1"/>
  <c r="H171" i="1"/>
  <c r="H165" i="1"/>
  <c r="H168" i="1"/>
  <c r="H164" i="1"/>
  <c r="H166" i="1"/>
  <c r="H169" i="1"/>
  <c r="H170" i="1"/>
  <c r="H172" i="1"/>
  <c r="H167" i="1"/>
  <c r="C163" i="1"/>
  <c r="C164" i="1" s="1"/>
  <c r="C165" i="1" s="1"/>
  <c r="C166" i="1" s="1"/>
  <c r="C169" i="1" s="1"/>
  <c r="C172" i="1" s="1"/>
  <c r="C737" i="1"/>
  <c r="C738" i="1" s="1"/>
  <c r="C739" i="1" s="1"/>
  <c r="C740" i="1" s="1"/>
  <c r="C741" i="1" s="1"/>
  <c r="C742" i="1" s="1"/>
  <c r="C772" i="1"/>
  <c r="C773" i="1"/>
  <c r="S1420" i="1"/>
  <c r="J1420" i="1"/>
  <c r="U1420" i="1"/>
  <c r="T1420" i="1"/>
  <c r="H371" i="1"/>
  <c r="H369" i="1"/>
  <c r="H370" i="1"/>
  <c r="H372" i="1"/>
  <c r="C368" i="1"/>
  <c r="C369" i="1" s="1"/>
  <c r="C370" i="1" s="1"/>
  <c r="C371" i="1" s="1"/>
  <c r="C372" i="1" s="1"/>
  <c r="H192" i="1"/>
  <c r="H193" i="1"/>
  <c r="H194" i="1"/>
  <c r="H190" i="1"/>
  <c r="H191" i="1"/>
  <c r="C189" i="1"/>
  <c r="C190" i="1" s="1"/>
  <c r="C191" i="1" s="1"/>
  <c r="C192" i="1" s="1"/>
  <c r="C193" i="1" s="1"/>
  <c r="C194" i="1" s="1"/>
  <c r="H119" i="1"/>
  <c r="C114" i="1"/>
  <c r="C115" i="1" s="1"/>
  <c r="H116" i="1"/>
  <c r="H118" i="1"/>
  <c r="H115" i="1"/>
  <c r="H117" i="1"/>
  <c r="C781" i="1"/>
  <c r="C782" i="1" s="1"/>
  <c r="C783" i="1" s="1"/>
  <c r="C784" i="1" s="1"/>
  <c r="C980" i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48" i="1"/>
  <c r="C949" i="1" s="1"/>
  <c r="C950" i="1" s="1"/>
  <c r="C951" i="1" s="1"/>
  <c r="C952" i="1" s="1"/>
  <c r="C953" i="1" s="1"/>
  <c r="C954" i="1" s="1"/>
  <c r="C955" i="1" s="1"/>
  <c r="C956" i="1" s="1"/>
  <c r="C957" i="1" s="1"/>
  <c r="C838" i="1"/>
  <c r="C839" i="1" s="1"/>
  <c r="C840" i="1" s="1"/>
  <c r="C1171" i="1"/>
  <c r="C1172" i="1" s="1"/>
  <c r="C1173" i="1" s="1"/>
  <c r="C1174" i="1" s="1"/>
  <c r="C1175" i="1" s="1"/>
  <c r="C1176" i="1" s="1"/>
  <c r="H393" i="1"/>
  <c r="C391" i="1"/>
  <c r="C392" i="1" s="1"/>
  <c r="C393" i="1" s="1"/>
  <c r="H396" i="1"/>
  <c r="H392" i="1"/>
  <c r="H394" i="1"/>
  <c r="H395" i="1"/>
  <c r="H235" i="1"/>
  <c r="H236" i="1"/>
  <c r="H234" i="1"/>
  <c r="H237" i="1"/>
  <c r="C233" i="1"/>
  <c r="C234" i="1" s="1"/>
  <c r="C235" i="1" s="1"/>
  <c r="C236" i="1" s="1"/>
  <c r="C237" i="1" s="1"/>
  <c r="H182" i="1"/>
  <c r="H179" i="1"/>
  <c r="H183" i="1"/>
  <c r="H181" i="1"/>
  <c r="C178" i="1"/>
  <c r="C179" i="1" s="1"/>
  <c r="C180" i="1" s="1"/>
  <c r="C181" i="1" s="1"/>
  <c r="C182" i="1" s="1"/>
  <c r="C183" i="1" s="1"/>
  <c r="H180" i="1"/>
  <c r="H65" i="1"/>
  <c r="H70" i="1"/>
  <c r="H63" i="1"/>
  <c r="H64" i="1"/>
  <c r="H71" i="1"/>
  <c r="H67" i="1"/>
  <c r="C62" i="1"/>
  <c r="C63" i="1" s="1"/>
  <c r="C64" i="1" s="1"/>
  <c r="C65" i="1" s="1"/>
  <c r="H66" i="1"/>
  <c r="H68" i="1"/>
  <c r="H69" i="1"/>
  <c r="C845" i="1"/>
  <c r="C846" i="1" s="1"/>
  <c r="T1249" i="1"/>
  <c r="G1248" i="1"/>
  <c r="C1248" i="1" s="1"/>
  <c r="K1249" i="1"/>
  <c r="U1249" i="1"/>
  <c r="S1249" i="1"/>
  <c r="C1045" i="1"/>
  <c r="C1046" i="1" s="1"/>
  <c r="C992" i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H148" i="1"/>
  <c r="H149" i="1"/>
  <c r="C147" i="1"/>
  <c r="C148" i="1" s="1"/>
  <c r="C149" i="1" s="1"/>
  <c r="C150" i="1" s="1"/>
  <c r="C151" i="1" s="1"/>
  <c r="H150" i="1"/>
  <c r="H151" i="1"/>
  <c r="H453" i="1"/>
  <c r="H452" i="1"/>
  <c r="C449" i="1"/>
  <c r="C450" i="1" s="1"/>
  <c r="C451" i="1" s="1"/>
  <c r="C452" i="1" s="1"/>
  <c r="C453" i="1" s="1"/>
  <c r="C454" i="1" s="1"/>
  <c r="H451" i="1"/>
  <c r="H454" i="1"/>
  <c r="H450" i="1"/>
  <c r="C797" i="1"/>
  <c r="C798" i="1" s="1"/>
  <c r="C799" i="1" s="1"/>
  <c r="C756" i="1"/>
  <c r="H186" i="1"/>
  <c r="H188" i="1"/>
  <c r="C184" i="1"/>
  <c r="C185" i="1" s="1"/>
  <c r="C186" i="1" s="1"/>
  <c r="C187" i="1" s="1"/>
  <c r="C188" i="1" s="1"/>
  <c r="H187" i="1"/>
  <c r="H185" i="1"/>
  <c r="H41" i="1"/>
  <c r="H38" i="1"/>
  <c r="H40" i="1"/>
  <c r="C37" i="1"/>
  <c r="C38" i="1" s="1"/>
  <c r="C39" i="1" s="1"/>
  <c r="C40" i="1" s="1"/>
  <c r="C41" i="1" s="1"/>
  <c r="H39" i="1"/>
  <c r="H420" i="1"/>
  <c r="C418" i="1"/>
  <c r="C419" i="1" s="1"/>
  <c r="C420" i="1" s="1"/>
  <c r="C421" i="1" s="1"/>
  <c r="C422" i="1" s="1"/>
  <c r="H421" i="1"/>
  <c r="H422" i="1"/>
  <c r="H419" i="1"/>
  <c r="H435" i="1"/>
  <c r="H434" i="1"/>
  <c r="C423" i="1"/>
  <c r="C200" i="1"/>
  <c r="C201" i="1" s="1"/>
  <c r="C202" i="1" s="1"/>
  <c r="C203" i="1" s="1"/>
  <c r="C204" i="1" s="1"/>
  <c r="H201" i="1"/>
  <c r="H202" i="1"/>
  <c r="H203" i="1"/>
  <c r="H204" i="1"/>
  <c r="H257" i="1"/>
  <c r="C254" i="1"/>
  <c r="C255" i="1" s="1"/>
  <c r="H259" i="1"/>
  <c r="H255" i="1"/>
  <c r="H258" i="1"/>
  <c r="H256" i="1"/>
  <c r="C1085" i="1"/>
  <c r="C1086" i="1" s="1"/>
  <c r="C1159" i="1"/>
  <c r="C1160" i="1" s="1"/>
  <c r="C1161" i="1" s="1"/>
  <c r="C1163" i="1" s="1"/>
  <c r="C1164" i="1" s="1"/>
  <c r="C1165" i="1"/>
  <c r="C1166" i="1" s="1"/>
  <c r="C1167" i="1" s="1"/>
  <c r="C1168" i="1" s="1"/>
  <c r="C1169" i="1" s="1"/>
  <c r="C1170" i="1" s="1"/>
  <c r="C695" i="1"/>
  <c r="C696" i="1" s="1"/>
  <c r="C697" i="1" s="1"/>
  <c r="C698" i="1" s="1"/>
  <c r="C699" i="1" s="1"/>
  <c r="C700" i="1" s="1"/>
  <c r="H318" i="1"/>
  <c r="H313" i="1"/>
  <c r="H320" i="1"/>
  <c r="H321" i="1"/>
  <c r="H317" i="1"/>
  <c r="H322" i="1"/>
  <c r="H314" i="1"/>
  <c r="H323" i="1"/>
  <c r="H324" i="1"/>
  <c r="H319" i="1"/>
  <c r="C312" i="1"/>
  <c r="C313" i="1" s="1"/>
  <c r="C314" i="1" s="1"/>
  <c r="C315" i="1" s="1"/>
  <c r="C316" i="1" s="1"/>
  <c r="H316" i="1"/>
  <c r="H315" i="1"/>
  <c r="H36" i="1"/>
  <c r="H33" i="1"/>
  <c r="H35" i="1"/>
  <c r="C32" i="1"/>
  <c r="H34" i="1"/>
  <c r="H113" i="1"/>
  <c r="H112" i="1"/>
  <c r="C109" i="1"/>
  <c r="C110" i="1" s="1"/>
  <c r="C111" i="1" s="1"/>
  <c r="C112" i="1" s="1"/>
  <c r="C113" i="1" s="1"/>
  <c r="H110" i="1"/>
  <c r="H111" i="1"/>
  <c r="H400" i="1"/>
  <c r="C397" i="1"/>
  <c r="C398" i="1" s="1"/>
  <c r="C399" i="1" s="1"/>
  <c r="H401" i="1"/>
  <c r="H399" i="1"/>
  <c r="H402" i="1"/>
  <c r="H398" i="1"/>
  <c r="C918" i="1"/>
  <c r="H473" i="1"/>
  <c r="H468" i="1"/>
  <c r="H470" i="1"/>
  <c r="H467" i="1"/>
  <c r="H469" i="1"/>
  <c r="H478" i="1"/>
  <c r="C463" i="1"/>
  <c r="C464" i="1" s="1"/>
  <c r="C465" i="1" s="1"/>
  <c r="H477" i="1"/>
  <c r="H471" i="1"/>
  <c r="H474" i="1"/>
  <c r="H472" i="1"/>
  <c r="H476" i="1"/>
  <c r="H479" i="1"/>
  <c r="H466" i="1"/>
  <c r="H464" i="1"/>
  <c r="H465" i="1"/>
  <c r="H475" i="1"/>
  <c r="C1031" i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H1398" i="1"/>
  <c r="U1398" i="1"/>
  <c r="T1398" i="1"/>
  <c r="K1398" i="1"/>
  <c r="S1398" i="1"/>
  <c r="C1398" i="1"/>
  <c r="C785" i="1"/>
  <c r="C786" i="1" s="1"/>
  <c r="C787" i="1" s="1"/>
  <c r="C804" i="1"/>
  <c r="C805" i="1" s="1"/>
  <c r="C806" i="1" s="1"/>
  <c r="C1006" i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H456" i="1"/>
  <c r="H458" i="1"/>
  <c r="H459" i="1"/>
  <c r="H462" i="1"/>
  <c r="C455" i="1"/>
  <c r="C456" i="1" s="1"/>
  <c r="C457" i="1" s="1"/>
  <c r="C458" i="1" s="1"/>
  <c r="H457" i="1"/>
  <c r="H461" i="1"/>
  <c r="H460" i="1"/>
  <c r="H137" i="1"/>
  <c r="H136" i="1"/>
  <c r="C135" i="1"/>
  <c r="C136" i="1" s="1"/>
  <c r="C137" i="1" s="1"/>
  <c r="C558" i="1"/>
  <c r="C559" i="1"/>
  <c r="C560" i="1" s="1"/>
  <c r="C561" i="1" s="1"/>
  <c r="H31" i="1"/>
  <c r="H30" i="1"/>
  <c r="H28" i="1"/>
  <c r="H29" i="1"/>
  <c r="C27" i="1"/>
  <c r="C813" i="1"/>
  <c r="C814" i="1"/>
  <c r="C1189" i="1"/>
  <c r="C1190" i="1" s="1"/>
  <c r="C1191" i="1" s="1"/>
  <c r="C1192" i="1" s="1"/>
  <c r="C1193" i="1" s="1"/>
  <c r="C1194" i="1" s="1"/>
  <c r="H261" i="1"/>
  <c r="C260" i="1"/>
  <c r="C261" i="1" s="1"/>
  <c r="H263" i="1"/>
  <c r="H265" i="1"/>
  <c r="H264" i="1"/>
  <c r="H262" i="1"/>
  <c r="H327" i="1"/>
  <c r="H329" i="1"/>
  <c r="H328" i="1"/>
  <c r="C325" i="1"/>
  <c r="C326" i="1" s="1"/>
  <c r="C327" i="1" s="1"/>
  <c r="C328" i="1" s="1"/>
  <c r="C329" i="1" s="1"/>
  <c r="C330" i="1" s="1"/>
  <c r="H326" i="1"/>
  <c r="H330" i="1"/>
  <c r="H214" i="1"/>
  <c r="H335" i="1"/>
  <c r="H213" i="1"/>
  <c r="H337" i="1"/>
  <c r="H336" i="1"/>
  <c r="C212" i="1"/>
  <c r="C213" i="1" s="1"/>
  <c r="C214" i="1" s="1"/>
  <c r="C215" i="1" s="1"/>
  <c r="C216" i="1" s="1"/>
  <c r="H216" i="1"/>
  <c r="H215" i="1"/>
  <c r="K1424" i="1"/>
  <c r="S1424" i="1"/>
  <c r="H1424" i="1"/>
  <c r="C919" i="1"/>
  <c r="C920" i="1" s="1"/>
  <c r="C921" i="1" s="1"/>
  <c r="C709" i="1"/>
  <c r="C710" i="1" s="1"/>
  <c r="C711" i="1" s="1"/>
  <c r="C712" i="1" s="1"/>
  <c r="C713" i="1" s="1"/>
  <c r="C714" i="1" s="1"/>
  <c r="C715" i="1" s="1"/>
  <c r="S1263" i="1"/>
  <c r="T1263" i="1"/>
  <c r="U1263" i="1"/>
  <c r="K1263" i="1"/>
  <c r="C130" i="1"/>
  <c r="C131" i="1" s="1"/>
  <c r="C132" i="1" s="1"/>
  <c r="C133" i="1" s="1"/>
  <c r="C134" i="1" s="1"/>
  <c r="H132" i="1"/>
  <c r="H133" i="1"/>
  <c r="H131" i="1"/>
  <c r="H134" i="1"/>
  <c r="H22" i="1"/>
  <c r="C21" i="1"/>
  <c r="H24" i="1"/>
  <c r="H26" i="1"/>
  <c r="H23" i="1"/>
  <c r="H25" i="1"/>
  <c r="C635" i="1"/>
  <c r="C636" i="1" s="1"/>
  <c r="C637" i="1" s="1"/>
  <c r="C639" i="1" s="1"/>
  <c r="C640" i="1" s="1"/>
  <c r="C641" i="1" s="1"/>
  <c r="H221" i="1"/>
  <c r="H218" i="1"/>
  <c r="H220" i="1"/>
  <c r="H219" i="1"/>
  <c r="C217" i="1"/>
  <c r="C218" i="1" s="1"/>
  <c r="C219" i="1" s="1"/>
  <c r="C220" i="1" s="1"/>
  <c r="C221" i="1" s="1"/>
  <c r="C1058" i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H483" i="1"/>
  <c r="H482" i="1"/>
  <c r="C480" i="1"/>
  <c r="C481" i="1" s="1"/>
  <c r="C482" i="1" s="1"/>
  <c r="C483" i="1" s="1"/>
  <c r="C484" i="1" s="1"/>
  <c r="H484" i="1"/>
  <c r="H487" i="1"/>
  <c r="H481" i="1"/>
  <c r="H485" i="1"/>
  <c r="H486" i="1"/>
  <c r="H341" i="1"/>
  <c r="H339" i="1"/>
  <c r="H340" i="1"/>
  <c r="H342" i="1"/>
  <c r="C338" i="1"/>
  <c r="C339" i="1" s="1"/>
  <c r="C340" i="1" s="1"/>
  <c r="C341" i="1" s="1"/>
  <c r="C342" i="1" s="1"/>
  <c r="H77" i="1"/>
  <c r="H76" i="1"/>
  <c r="C75" i="1"/>
  <c r="C76" i="1" s="1"/>
  <c r="C77" i="1" s="1"/>
  <c r="H20" i="1"/>
  <c r="H19" i="1"/>
  <c r="C17" i="1"/>
  <c r="C18" i="1" s="1"/>
  <c r="C19" i="1" s="1"/>
  <c r="C20" i="1" s="1"/>
  <c r="H18" i="1"/>
  <c r="C1177" i="1"/>
  <c r="C1178" i="1" s="1"/>
  <c r="C1179" i="1" s="1"/>
  <c r="C1180" i="1" s="1"/>
  <c r="C1181" i="1" s="1"/>
  <c r="C1182" i="1" s="1"/>
  <c r="H87" i="1"/>
  <c r="H86" i="1"/>
  <c r="H84" i="1"/>
  <c r="H88" i="1"/>
  <c r="H85" i="1"/>
  <c r="H91" i="1"/>
  <c r="H89" i="1"/>
  <c r="H90" i="1"/>
  <c r="C83" i="1"/>
  <c r="H92" i="1"/>
  <c r="C703" i="1"/>
  <c r="C704" i="1" s="1"/>
  <c r="C705" i="1" s="1"/>
  <c r="C706" i="1" s="1"/>
  <c r="C707" i="1" s="1"/>
  <c r="C708" i="1" s="1"/>
  <c r="C102" i="1"/>
  <c r="C94" i="1"/>
  <c r="C95" i="1" s="1"/>
  <c r="C96" i="1" s="1"/>
  <c r="C99" i="1" s="1"/>
  <c r="C1098" i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908" i="1"/>
  <c r="C909" i="1" s="1"/>
  <c r="C910" i="1" s="1"/>
  <c r="C1110" i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765" i="1"/>
  <c r="C766" i="1" s="1"/>
  <c r="C767" i="1" s="1"/>
  <c r="C768" i="1" s="1"/>
  <c r="G1431" i="1"/>
  <c r="H197" i="1"/>
  <c r="H198" i="1"/>
  <c r="C195" i="1"/>
  <c r="C196" i="1" s="1"/>
  <c r="C197" i="1" s="1"/>
  <c r="C198" i="1" s="1"/>
  <c r="C199" i="1" s="1"/>
  <c r="H199" i="1"/>
  <c r="H196" i="1"/>
  <c r="C824" i="1"/>
  <c r="H307" i="1"/>
  <c r="H310" i="1"/>
  <c r="H308" i="1"/>
  <c r="C308" i="1" s="1"/>
  <c r="C309" i="1" s="1"/>
  <c r="C310" i="1" s="1"/>
  <c r="C311" i="1" s="1"/>
  <c r="H306" i="1"/>
  <c r="H309" i="1"/>
  <c r="H301" i="1"/>
  <c r="C301" i="1" s="1"/>
  <c r="H311" i="1"/>
  <c r="C687" i="1"/>
  <c r="C688" i="1" s="1"/>
  <c r="C689" i="1" s="1"/>
  <c r="C690" i="1" s="1"/>
  <c r="C691" i="1" s="1"/>
  <c r="C692" i="1" s="1"/>
  <c r="C693" i="1" s="1"/>
  <c r="C694" i="1" s="1"/>
  <c r="C288" i="1"/>
  <c r="C287" i="1" s="1"/>
  <c r="C281" i="1"/>
  <c r="C608" i="1"/>
  <c r="C609" i="1" s="1"/>
  <c r="C610" i="1" s="1"/>
  <c r="C611" i="1" s="1"/>
  <c r="C1070" i="1"/>
  <c r="C1071" i="1" s="1"/>
  <c r="C1072" i="1" s="1"/>
  <c r="C1073" i="1" s="1"/>
  <c r="C1074" i="1" s="1"/>
  <c r="C1075" i="1" s="1"/>
  <c r="C1076" i="1" s="1"/>
  <c r="C1077" i="1" s="1"/>
  <c r="C1078" i="1" s="1"/>
  <c r="C539" i="1"/>
  <c r="C540" i="1" s="1"/>
  <c r="C541" i="1" s="1"/>
  <c r="C542" i="1" s="1"/>
  <c r="H543" i="1"/>
  <c r="H542" i="1"/>
  <c r="H546" i="1"/>
  <c r="H540" i="1"/>
  <c r="H544" i="1"/>
  <c r="H545" i="1"/>
  <c r="H541" i="1"/>
  <c r="H494" i="1"/>
  <c r="C488" i="1"/>
  <c r="C489" i="1" s="1"/>
  <c r="C490" i="1" s="1"/>
  <c r="C491" i="1" s="1"/>
  <c r="H495" i="1"/>
  <c r="H490" i="1"/>
  <c r="H491" i="1"/>
  <c r="H493" i="1"/>
  <c r="H489" i="1"/>
  <c r="H492" i="1"/>
  <c r="H416" i="1"/>
  <c r="H417" i="1"/>
  <c r="H412" i="1"/>
  <c r="H410" i="1"/>
  <c r="H414" i="1"/>
  <c r="H409" i="1"/>
  <c r="H415" i="1"/>
  <c r="C408" i="1"/>
  <c r="C409" i="1" s="1"/>
  <c r="C410" i="1" s="1"/>
  <c r="C411" i="1" s="1"/>
  <c r="C412" i="1" s="1"/>
  <c r="C413" i="1" s="1"/>
  <c r="C414" i="1" s="1"/>
  <c r="C415" i="1" s="1"/>
  <c r="C416" i="1" s="1"/>
  <c r="C417" i="1" s="1"/>
  <c r="H413" i="1"/>
  <c r="H411" i="1"/>
  <c r="H123" i="1"/>
  <c r="H122" i="1"/>
  <c r="H121" i="1"/>
  <c r="H124" i="1"/>
  <c r="C120" i="1"/>
  <c r="C121" i="1" s="1"/>
  <c r="C122" i="1" s="1"/>
  <c r="C123" i="1" s="1"/>
  <c r="C124" i="1" s="1"/>
  <c r="H252" i="1"/>
  <c r="H250" i="1"/>
  <c r="C249" i="1"/>
  <c r="C250" i="1" s="1"/>
  <c r="C251" i="1" s="1"/>
  <c r="C252" i="1" s="1"/>
  <c r="C253" i="1" s="1"/>
  <c r="H251" i="1"/>
  <c r="H253" i="1"/>
  <c r="H73" i="1"/>
  <c r="H74" i="1"/>
  <c r="C72" i="1"/>
  <c r="C73" i="1" s="1"/>
  <c r="C74" i="1" s="1"/>
  <c r="H128" i="1"/>
  <c r="H129" i="1"/>
  <c r="H126" i="1"/>
  <c r="H127" i="1"/>
  <c r="C125" i="1"/>
  <c r="C126" i="1" s="1"/>
  <c r="C127" i="1" s="1"/>
  <c r="C128" i="1" s="1"/>
  <c r="C129" i="1" s="1"/>
  <c r="H532" i="1"/>
  <c r="H533" i="1"/>
  <c r="H538" i="1"/>
  <c r="C531" i="1"/>
  <c r="C532" i="1" s="1"/>
  <c r="C533" i="1" s="1"/>
  <c r="C534" i="1" s="1"/>
  <c r="H534" i="1"/>
  <c r="H535" i="1"/>
  <c r="H536" i="1"/>
  <c r="H537" i="1"/>
  <c r="H345" i="1"/>
  <c r="H344" i="1"/>
  <c r="C343" i="1"/>
  <c r="C344" i="1" s="1"/>
  <c r="C345" i="1" s="1"/>
  <c r="C346" i="1" s="1"/>
  <c r="C347" i="1" s="1"/>
  <c r="H347" i="1"/>
  <c r="H346" i="1"/>
  <c r="C1121" i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H574" i="1"/>
  <c r="H569" i="1"/>
  <c r="H566" i="1"/>
  <c r="H568" i="1"/>
  <c r="H571" i="1"/>
  <c r="H573" i="1"/>
  <c r="H565" i="1"/>
  <c r="H564" i="1"/>
  <c r="H572" i="1"/>
  <c r="H563" i="1"/>
  <c r="C562" i="1"/>
  <c r="C563" i="1" s="1"/>
  <c r="C564" i="1" s="1"/>
  <c r="C565" i="1" s="1"/>
  <c r="H567" i="1"/>
  <c r="H570" i="1"/>
  <c r="H230" i="1"/>
  <c r="H229" i="1"/>
  <c r="H231" i="1"/>
  <c r="H232" i="1"/>
  <c r="H228" i="1"/>
  <c r="C227" i="1"/>
  <c r="C228" i="1" s="1"/>
  <c r="C229" i="1" s="1"/>
  <c r="C230" i="1" s="1"/>
  <c r="C231" i="1" s="1"/>
  <c r="C232" i="1" s="1"/>
  <c r="H16" i="1"/>
  <c r="C14" i="1"/>
  <c r="H15" i="1"/>
  <c r="H224" i="1"/>
  <c r="C222" i="1"/>
  <c r="C223" i="1" s="1"/>
  <c r="C224" i="1" s="1"/>
  <c r="C225" i="1" s="1"/>
  <c r="C226" i="1" s="1"/>
  <c r="H226" i="1"/>
  <c r="H223" i="1"/>
  <c r="H225" i="1"/>
  <c r="C52" i="1"/>
  <c r="C53" i="1" s="1"/>
  <c r="C54" i="1" s="1"/>
  <c r="C55" i="1" s="1"/>
  <c r="C56" i="1" s="1"/>
  <c r="C57" i="1" s="1"/>
  <c r="C58" i="1" s="1"/>
  <c r="C59" i="1" s="1"/>
  <c r="C71" i="1" s="1"/>
  <c r="H61" i="1"/>
  <c r="H60" i="1"/>
  <c r="H58" i="1"/>
  <c r="H55" i="1"/>
  <c r="H54" i="1"/>
  <c r="H59" i="1"/>
  <c r="H53" i="1"/>
  <c r="H57" i="1"/>
  <c r="H56" i="1"/>
  <c r="H141" i="1"/>
  <c r="C138" i="1"/>
  <c r="C139" i="1" s="1"/>
  <c r="C140" i="1" s="1"/>
  <c r="C141" i="1" s="1"/>
  <c r="H139" i="1"/>
  <c r="H140" i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940" i="1"/>
  <c r="C941" i="1" s="1"/>
  <c r="C942" i="1" s="1"/>
  <c r="C943" i="1" s="1"/>
  <c r="C944" i="1" s="1"/>
  <c r="C945" i="1" s="1"/>
  <c r="C946" i="1" s="1"/>
  <c r="C947" i="1" s="1"/>
  <c r="T1446" i="1"/>
  <c r="H1446" i="1"/>
  <c r="U1446" i="1"/>
  <c r="K1446" i="1"/>
  <c r="S1446" i="1"/>
  <c r="H248" i="1"/>
  <c r="H245" i="1"/>
  <c r="H247" i="1"/>
  <c r="C244" i="1"/>
  <c r="C245" i="1" s="1"/>
  <c r="C246" i="1" s="1"/>
  <c r="C247" i="1" s="1"/>
  <c r="C248" i="1" s="1"/>
  <c r="H246" i="1"/>
  <c r="C900" i="1"/>
  <c r="C901" i="1" s="1"/>
  <c r="C902" i="1" s="1"/>
  <c r="C903" i="1" s="1"/>
  <c r="C904" i="1" s="1"/>
  <c r="C905" i="1" s="1"/>
  <c r="C906" i="1" s="1"/>
  <c r="C907" i="1" s="1"/>
  <c r="C642" i="1"/>
  <c r="C643" i="1" s="1"/>
  <c r="C644" i="1" s="1"/>
  <c r="C645" i="1" s="1"/>
  <c r="C852" i="1"/>
  <c r="C853" i="1" s="1"/>
  <c r="C854" i="1" s="1"/>
  <c r="H504" i="1"/>
  <c r="C504" i="1" s="1"/>
  <c r="H505" i="1"/>
  <c r="C505" i="1" s="1"/>
  <c r="H498" i="1"/>
  <c r="C498" i="1" s="1"/>
  <c r="H506" i="1"/>
  <c r="C506" i="1" s="1"/>
  <c r="H507" i="1"/>
  <c r="C507" i="1" s="1"/>
  <c r="H499" i="1"/>
  <c r="H512" i="1"/>
  <c r="C512" i="1" s="1"/>
  <c r="H497" i="1"/>
  <c r="C497" i="1" s="1"/>
  <c r="H511" i="1"/>
  <c r="C511" i="1" s="1"/>
  <c r="H508" i="1"/>
  <c r="C508" i="1" s="1"/>
  <c r="H500" i="1"/>
  <c r="H501" i="1"/>
  <c r="H510" i="1"/>
  <c r="C510" i="1" s="1"/>
  <c r="H502" i="1"/>
  <c r="C502" i="1" s="1"/>
  <c r="C496" i="1"/>
  <c r="H509" i="1"/>
  <c r="C509" i="1" s="1"/>
  <c r="H503" i="1"/>
  <c r="C503" i="1" s="1"/>
  <c r="C869" i="1"/>
  <c r="C870" i="1" s="1"/>
  <c r="C871" i="1" s="1"/>
  <c r="H525" i="1"/>
  <c r="C525" i="1" s="1"/>
  <c r="H526" i="1"/>
  <c r="C526" i="1" s="1"/>
  <c r="H528" i="1"/>
  <c r="C528" i="1" s="1"/>
  <c r="H527" i="1"/>
  <c r="C527" i="1" s="1"/>
  <c r="H524" i="1"/>
  <c r="C524" i="1" s="1"/>
  <c r="H529" i="1"/>
  <c r="C529" i="1" s="1"/>
  <c r="C522" i="1"/>
  <c r="H530" i="1"/>
  <c r="C530" i="1" s="1"/>
  <c r="H523" i="1"/>
  <c r="C523" i="1" s="1"/>
  <c r="C278" i="1"/>
  <c r="C277" i="1" s="1"/>
  <c r="C271" i="1"/>
  <c r="H267" i="1"/>
  <c r="H268" i="1"/>
  <c r="H269" i="1"/>
  <c r="C266" i="1"/>
  <c r="C267" i="1" s="1"/>
  <c r="C268" i="1" s="1"/>
  <c r="C269" i="1" s="1"/>
  <c r="H388" i="1"/>
  <c r="H387" i="1"/>
  <c r="H386" i="1"/>
  <c r="C384" i="1"/>
  <c r="C385" i="1" s="1"/>
  <c r="C386" i="1" s="1"/>
  <c r="C387" i="1" s="1"/>
  <c r="H385" i="1"/>
  <c r="H390" i="1"/>
  <c r="H389" i="1"/>
  <c r="H239" i="1"/>
  <c r="H241" i="1"/>
  <c r="H240" i="1"/>
  <c r="H243" i="1"/>
  <c r="H242" i="1"/>
  <c r="C238" i="1"/>
  <c r="C239" i="1" s="1"/>
  <c r="C240" i="1" s="1"/>
  <c r="C241" i="1" s="1"/>
  <c r="C242" i="1" s="1"/>
  <c r="C243" i="1" s="1"/>
  <c r="H375" i="1"/>
  <c r="H374" i="1"/>
  <c r="H378" i="1"/>
  <c r="H376" i="1"/>
  <c r="C373" i="1"/>
  <c r="C374" i="1" s="1"/>
  <c r="C375" i="1" s="1"/>
  <c r="C376" i="1" s="1"/>
  <c r="C377" i="1" s="1"/>
  <c r="C378" i="1" s="1"/>
  <c r="H377" i="1"/>
  <c r="H211" i="1"/>
  <c r="H209" i="1"/>
  <c r="C208" i="1"/>
  <c r="C209" i="1" s="1"/>
  <c r="C210" i="1" s="1"/>
  <c r="C211" i="1" s="1"/>
  <c r="H210" i="1"/>
  <c r="H108" i="1"/>
  <c r="H107" i="1"/>
  <c r="H105" i="1"/>
  <c r="C103" i="1"/>
  <c r="C104" i="1" s="1"/>
  <c r="C105" i="1" s="1"/>
  <c r="C106" i="1" s="1"/>
  <c r="C107" i="1" s="1"/>
  <c r="C108" i="1" s="1"/>
  <c r="H106" i="1"/>
  <c r="H104" i="1"/>
  <c r="H367" i="1"/>
  <c r="H364" i="1"/>
  <c r="H366" i="1"/>
  <c r="H361" i="1"/>
  <c r="H365" i="1"/>
  <c r="H360" i="1"/>
  <c r="H359" i="1"/>
  <c r="H362" i="1"/>
  <c r="H363" i="1"/>
  <c r="K1417" i="1"/>
  <c r="U1417" i="1"/>
  <c r="S1417" i="1"/>
  <c r="H1417" i="1"/>
  <c r="T1417" i="1"/>
  <c r="H353" i="1"/>
  <c r="H356" i="1"/>
  <c r="H354" i="1"/>
  <c r="H352" i="1"/>
  <c r="H351" i="1"/>
  <c r="H357" i="1"/>
  <c r="H349" i="1"/>
  <c r="H355" i="1"/>
  <c r="H350" i="1"/>
  <c r="C1383" i="1" l="1"/>
  <c r="C1384" i="1"/>
  <c r="C1394" i="1"/>
  <c r="C1288" i="1"/>
  <c r="C1289" i="1"/>
  <c r="C1290" i="1"/>
  <c r="C1263" i="1"/>
  <c r="C1405" i="1"/>
  <c r="C1403" i="1"/>
  <c r="T1431" i="1"/>
  <c r="U1431" i="1"/>
  <c r="C1417" i="1"/>
  <c r="C1446" i="1"/>
  <c r="C1393" i="1"/>
  <c r="C1386" i="1"/>
  <c r="C1392" i="1"/>
  <c r="C1387" i="1"/>
  <c r="C1419" i="1"/>
  <c r="C1256" i="1"/>
  <c r="C1277" i="1"/>
  <c r="C1445" i="1"/>
  <c r="H1421" i="1"/>
  <c r="C1344" i="1"/>
  <c r="C1390" i="1"/>
  <c r="C1348" i="1"/>
  <c r="C1345" i="1"/>
  <c r="C1347" i="1"/>
  <c r="C1453" i="1"/>
  <c r="C1346" i="1"/>
  <c r="C459" i="1"/>
  <c r="C460" i="1" s="1"/>
  <c r="C461" i="1"/>
  <c r="C462" i="1" s="1"/>
  <c r="C808" i="1"/>
  <c r="C809" i="1" s="1"/>
  <c r="C810" i="1" s="1"/>
  <c r="C807" i="1"/>
  <c r="C319" i="1"/>
  <c r="C322" i="1" s="1"/>
  <c r="C324" i="1" s="1"/>
  <c r="C317" i="1"/>
  <c r="C1363" i="1"/>
  <c r="C1385" i="1"/>
  <c r="C1310" i="1"/>
  <c r="C1336" i="1"/>
  <c r="C1391" i="1"/>
  <c r="C1285" i="1"/>
  <c r="C1286" i="1"/>
  <c r="C1313" i="1"/>
  <c r="C1312" i="1"/>
  <c r="C1338" i="1"/>
  <c r="C1337" i="1"/>
  <c r="C1452" i="1"/>
  <c r="C1287" i="1"/>
  <c r="C1311" i="1"/>
  <c r="C848" i="1"/>
  <c r="C849" i="1" s="1"/>
  <c r="C850" i="1" s="1"/>
  <c r="C851" i="1" s="1"/>
  <c r="C847" i="1"/>
  <c r="C820" i="1"/>
  <c r="C819" i="1"/>
  <c r="C1411" i="1"/>
  <c r="C469" i="1"/>
  <c r="C470" i="1" s="1"/>
  <c r="C471" i="1" s="1"/>
  <c r="C472" i="1"/>
  <c r="C395" i="1"/>
  <c r="C396" i="1" s="1"/>
  <c r="C394" i="1"/>
  <c r="C116" i="1"/>
  <c r="C117" i="1"/>
  <c r="C118" i="1" s="1"/>
  <c r="C119" i="1" s="1"/>
  <c r="C733" i="1"/>
  <c r="C734" i="1" s="1"/>
  <c r="C735" i="1" s="1"/>
  <c r="C736" i="1" s="1"/>
  <c r="C732" i="1"/>
  <c r="C440" i="1"/>
  <c r="C444" i="1"/>
  <c r="C445" i="1" s="1"/>
  <c r="C60" i="1"/>
  <c r="C61" i="1"/>
  <c r="C50" i="1"/>
  <c r="C51" i="1" s="1"/>
  <c r="C1080" i="1"/>
  <c r="C1081" i="1" s="1"/>
  <c r="C1082" i="1" s="1"/>
  <c r="C1083" i="1" s="1"/>
  <c r="C1084" i="1" s="1"/>
  <c r="C1079" i="1"/>
  <c r="C492" i="1"/>
  <c r="C493" i="1" s="1"/>
  <c r="C494" i="1"/>
  <c r="C495" i="1" s="1"/>
  <c r="C25" i="1"/>
  <c r="C26" i="1"/>
  <c r="C24" i="1"/>
  <c r="C22" i="1"/>
  <c r="C23" i="1" s="1"/>
  <c r="C262" i="1"/>
  <c r="C263" i="1"/>
  <c r="C264" i="1" s="1"/>
  <c r="C265" i="1" s="1"/>
  <c r="C815" i="1"/>
  <c r="C816" i="1"/>
  <c r="C571" i="1"/>
  <c r="C572" i="1" s="1"/>
  <c r="C566" i="1"/>
  <c r="C567" i="1" s="1"/>
  <c r="C568" i="1" s="1"/>
  <c r="C569" i="1"/>
  <c r="C570" i="1" s="1"/>
  <c r="C573" i="1" s="1"/>
  <c r="C574" i="1" s="1"/>
  <c r="C829" i="1"/>
  <c r="C828" i="1"/>
  <c r="C826" i="1"/>
  <c r="C827" i="1"/>
  <c r="C830" i="1"/>
  <c r="C825" i="1"/>
  <c r="C788" i="1"/>
  <c r="C789" i="1"/>
  <c r="C401" i="1"/>
  <c r="C402" i="1" s="1"/>
  <c r="C400" i="1"/>
  <c r="C36" i="1"/>
  <c r="C33" i="1"/>
  <c r="C34" i="1" s="1"/>
  <c r="C35" i="1"/>
  <c r="C257" i="1"/>
  <c r="C258" i="1" s="1"/>
  <c r="C259" i="1" s="1"/>
  <c r="C256" i="1"/>
  <c r="C448" i="1"/>
  <c r="C424" i="1"/>
  <c r="C425" i="1" s="1"/>
  <c r="C426" i="1" s="1"/>
  <c r="C1047" i="1"/>
  <c r="C1048" i="1"/>
  <c r="C1049" i="1" s="1"/>
  <c r="C1050" i="1" s="1"/>
  <c r="C1051" i="1" s="1"/>
  <c r="C1052" i="1" s="1"/>
  <c r="C1053" i="1" s="1"/>
  <c r="C1054" i="1" s="1"/>
  <c r="C1055" i="1" s="1"/>
  <c r="C1056" i="1" s="1"/>
  <c r="C1057" i="1" s="1"/>
  <c r="C796" i="1"/>
  <c r="C793" i="1"/>
  <c r="C794" i="1" s="1"/>
  <c r="C795" i="1" s="1"/>
  <c r="C1447" i="1"/>
  <c r="C15" i="1"/>
  <c r="C16" i="1" s="1"/>
  <c r="C545" i="1"/>
  <c r="C546" i="1" s="1"/>
  <c r="C543" i="1"/>
  <c r="C544" i="1" s="1"/>
  <c r="C282" i="1"/>
  <c r="C283" i="1" s="1"/>
  <c r="C286" i="1" s="1"/>
  <c r="C289" i="1"/>
  <c r="H1431" i="1"/>
  <c r="S1431" i="1"/>
  <c r="K1431" i="1"/>
  <c r="C1431" i="1"/>
  <c r="C92" i="1"/>
  <c r="C84" i="1"/>
  <c r="C85" i="1" s="1"/>
  <c r="C86" i="1" s="1"/>
  <c r="C89" i="1" s="1"/>
  <c r="C90" i="1" s="1"/>
  <c r="C487" i="1"/>
  <c r="C485" i="1"/>
  <c r="C486" i="1" s="1"/>
  <c r="U1422" i="1"/>
  <c r="C1422" i="1"/>
  <c r="T1422" i="1"/>
  <c r="K1422" i="1"/>
  <c r="C272" i="1"/>
  <c r="C273" i="1" s="1"/>
  <c r="C276" i="1" s="1"/>
  <c r="C279" i="1"/>
  <c r="C388" i="1"/>
  <c r="C389" i="1"/>
  <c r="C390" i="1" s="1"/>
  <c r="C855" i="1"/>
  <c r="C856" i="1"/>
  <c r="C646" i="1"/>
  <c r="C647" i="1"/>
  <c r="C648" i="1" s="1"/>
  <c r="U1421" i="1"/>
  <c r="J1421" i="1"/>
  <c r="S1421" i="1"/>
  <c r="T1421" i="1"/>
  <c r="C535" i="1"/>
  <c r="C536" i="1" s="1"/>
  <c r="C537" i="1"/>
  <c r="C538" i="1" s="1"/>
  <c r="C31" i="1"/>
  <c r="C28" i="1"/>
  <c r="C30" i="1"/>
  <c r="C701" i="1"/>
  <c r="C702" i="1"/>
  <c r="C1088" i="1"/>
  <c r="C1089" i="1" s="1"/>
  <c r="C1090" i="1" s="1"/>
  <c r="C1091" i="1" s="1"/>
  <c r="C1092" i="1" s="1"/>
  <c r="C1093" i="1" s="1"/>
  <c r="C1094" i="1" s="1"/>
  <c r="C1095" i="1" s="1"/>
  <c r="C1096" i="1" s="1"/>
  <c r="C1097" i="1" s="1"/>
  <c r="C1087" i="1"/>
  <c r="C800" i="1"/>
  <c r="C803" i="1"/>
  <c r="C68" i="1"/>
  <c r="C69" i="1" s="1"/>
  <c r="C66" i="1"/>
  <c r="C67" i="1" s="1"/>
  <c r="C844" i="1"/>
  <c r="C841" i="1"/>
  <c r="C842" i="1" s="1"/>
  <c r="C843" i="1" s="1"/>
  <c r="C833" i="1"/>
  <c r="C837" i="1"/>
  <c r="C832" i="1"/>
  <c r="C835" i="1"/>
  <c r="C836" i="1"/>
  <c r="C834" i="1"/>
  <c r="C162" i="1"/>
  <c r="C156" i="1"/>
  <c r="C161" i="1" s="1"/>
  <c r="C157" i="1"/>
  <c r="C153" i="1"/>
  <c r="C154" i="1" s="1"/>
  <c r="C155" i="1" s="1"/>
  <c r="C159" i="1" s="1"/>
  <c r="S1248" i="1" l="1"/>
  <c r="T1248" i="1"/>
  <c r="U1248" i="1"/>
  <c r="C29" i="1"/>
  <c r="C802" i="1"/>
  <c r="C801" i="1"/>
  <c r="C427" i="1"/>
  <c r="C435" i="1"/>
  <c r="C431" i="1"/>
  <c r="C432" i="1" s="1"/>
  <c r="C447" i="1"/>
  <c r="C443" i="1"/>
  <c r="C442" i="1"/>
  <c r="C441" i="1"/>
  <c r="C446" i="1" s="1"/>
  <c r="C473" i="1"/>
  <c r="C474" i="1" s="1"/>
  <c r="C475" i="1" s="1"/>
  <c r="C476" i="1"/>
  <c r="C821" i="1"/>
  <c r="C823" i="1"/>
  <c r="C822" i="1"/>
  <c r="C318" i="1"/>
  <c r="C320" i="1"/>
  <c r="C321" i="1" l="1"/>
  <c r="C479" i="1"/>
  <c r="C477" i="1"/>
  <c r="C478" i="1" s="1"/>
  <c r="C428" i="1"/>
  <c r="C429" i="1"/>
  <c r="C434" i="1"/>
  <c r="C433" i="1" l="1"/>
  <c r="C430" i="1"/>
  <c r="AH377" i="2" l="1"/>
  <c r="AH376" i="2"/>
  <c r="AH375" i="2"/>
  <c r="AH132" i="2"/>
  <c r="BM132" i="2" s="1"/>
  <c r="AC320" i="2"/>
  <c r="AE300" i="2"/>
  <c r="BJ300" i="2" s="1"/>
  <c r="AG91" i="2"/>
  <c r="BL91" i="2" s="1"/>
  <c r="AG192" i="2"/>
  <c r="BL192" i="2" s="1"/>
  <c r="AC223" i="2"/>
  <c r="AC354" i="2"/>
  <c r="AD188" i="2"/>
  <c r="BI188" i="2" s="1"/>
  <c r="AI147" i="2"/>
  <c r="BN147" i="2" s="1"/>
  <c r="AC150" i="2"/>
  <c r="AF267" i="2"/>
  <c r="BK267" i="2" s="1"/>
  <c r="AD167" i="2"/>
  <c r="BI167" i="2" s="1"/>
  <c r="AD287" i="2"/>
  <c r="BI287" i="2" s="1"/>
  <c r="AG89" i="2"/>
  <c r="BL89" i="2" s="1"/>
  <c r="AF270" i="2"/>
  <c r="BK270" i="2" s="1"/>
  <c r="AH107" i="2"/>
  <c r="BM107" i="2" s="1"/>
  <c r="AC185" i="2"/>
  <c r="AE237" i="2"/>
  <c r="BJ237" i="2" s="1"/>
  <c r="AC179" i="2"/>
  <c r="AD207" i="2"/>
  <c r="BI207" i="2" s="1"/>
  <c r="AC197" i="2"/>
  <c r="AH310" i="2"/>
  <c r="BM310" i="2" s="1"/>
  <c r="AD292" i="2"/>
  <c r="BI292" i="2" s="1"/>
  <c r="AD123" i="2"/>
  <c r="BI123" i="2" s="1"/>
  <c r="AE85" i="2"/>
  <c r="BJ85" i="2" s="1"/>
  <c r="AG140" i="2"/>
  <c r="BL140" i="2" s="1"/>
  <c r="AF127" i="2"/>
  <c r="BK127" i="2" s="1"/>
  <c r="AE254" i="2"/>
  <c r="BJ254" i="2" s="1"/>
  <c r="AH176" i="2"/>
  <c r="BM176" i="2" s="1"/>
  <c r="AD297" i="2"/>
  <c r="BI297" i="2" s="1"/>
  <c r="AF294" i="2"/>
  <c r="BK294" i="2" s="1"/>
  <c r="AC109" i="2"/>
  <c r="AD247" i="2"/>
  <c r="BI247" i="2" s="1"/>
  <c r="AC136" i="2"/>
  <c r="AG368" i="2"/>
  <c r="BL368" i="2" s="1"/>
  <c r="AC261" i="2"/>
  <c r="AE350" i="2"/>
  <c r="BJ350" i="2" s="1"/>
  <c r="AF362" i="2"/>
  <c r="BK362" i="2" s="1"/>
  <c r="AC351" i="2"/>
  <c r="AF205" i="2"/>
  <c r="BK205" i="2" s="1"/>
  <c r="AE217" i="2"/>
  <c r="BJ217" i="2" s="1"/>
  <c r="AF290" i="2"/>
  <c r="BK290" i="2" s="1"/>
  <c r="AI99" i="2"/>
  <c r="BN99" i="2" s="1"/>
  <c r="AG124" i="2"/>
  <c r="BL124" i="2" s="1"/>
  <c r="AF190" i="2"/>
  <c r="BK190" i="2" s="1"/>
  <c r="AI292" i="2"/>
  <c r="BN292" i="2" s="1"/>
  <c r="AI248" i="2"/>
  <c r="BN248" i="2" s="1"/>
  <c r="AI239" i="2"/>
  <c r="BN239" i="2" s="1"/>
  <c r="AD242" i="2"/>
  <c r="BI242" i="2" s="1"/>
  <c r="AG278" i="2"/>
  <c r="BL278" i="2" s="1"/>
  <c r="AI306" i="2"/>
  <c r="BN306" i="2" s="1"/>
  <c r="AI351" i="2"/>
  <c r="BN351" i="2" s="1"/>
  <c r="AC214" i="2"/>
  <c r="AG227" i="2"/>
  <c r="BL227" i="2" s="1"/>
  <c r="AI220" i="2"/>
  <c r="BN220" i="2" s="1"/>
  <c r="AI210" i="2"/>
  <c r="BN210" i="2" s="1"/>
  <c r="AE209" i="2"/>
  <c r="BJ209" i="2" s="1"/>
  <c r="AD266" i="2"/>
  <c r="BI266" i="2" s="1"/>
  <c r="AD218" i="2"/>
  <c r="BI218" i="2" s="1"/>
  <c r="AH285" i="2"/>
  <c r="BM285" i="2" s="1"/>
  <c r="AC219" i="2"/>
  <c r="AC374" i="2"/>
  <c r="AG90" i="2"/>
  <c r="BL90" i="2" s="1"/>
  <c r="AE204" i="2"/>
  <c r="BJ204" i="2" s="1"/>
  <c r="AI204" i="2"/>
  <c r="BN204" i="2" s="1"/>
  <c r="AF135" i="2"/>
  <c r="BK135" i="2" s="1"/>
  <c r="AG325" i="2"/>
  <c r="BL325" i="2" s="1"/>
  <c r="BI380" i="2"/>
  <c r="AD318" i="2"/>
  <c r="BI318" i="2" s="1"/>
  <c r="AF90" i="2"/>
  <c r="BK90" i="2" s="1"/>
  <c r="AC208" i="2"/>
  <c r="AG163" i="2"/>
  <c r="BL163" i="2" s="1"/>
  <c r="AG162" i="2"/>
  <c r="BL162" i="2" s="1"/>
  <c r="AD282" i="2"/>
  <c r="BI282" i="2" s="1"/>
  <c r="AF261" i="2"/>
  <c r="BK261" i="2" s="1"/>
  <c r="AF237" i="2"/>
  <c r="BK237" i="2" s="1"/>
  <c r="AD361" i="2"/>
  <c r="BI361" i="2" s="1"/>
  <c r="AC285" i="2"/>
  <c r="AG372" i="2"/>
  <c r="BL372" i="2" s="1"/>
  <c r="AC91" i="2"/>
  <c r="AG143" i="2"/>
  <c r="BL143" i="2" s="1"/>
  <c r="AH244" i="2"/>
  <c r="BM244" i="2" s="1"/>
  <c r="AC157" i="2"/>
  <c r="AH141" i="2"/>
  <c r="BM141" i="2" s="1"/>
  <c r="AG220" i="2"/>
  <c r="BL220" i="2" s="1"/>
  <c r="AE192" i="2"/>
  <c r="BJ192" i="2" s="1"/>
  <c r="AH269" i="2"/>
  <c r="BM269" i="2" s="1"/>
  <c r="AF147" i="2"/>
  <c r="BK147" i="2" s="1"/>
  <c r="AG340" i="2"/>
  <c r="BL340" i="2" s="1"/>
  <c r="AH277" i="2"/>
  <c r="BM277" i="2" s="1"/>
  <c r="AD92" i="2"/>
  <c r="BI92" i="2" s="1"/>
  <c r="AH299" i="2"/>
  <c r="BM299" i="2" s="1"/>
  <c r="AE293" i="2"/>
  <c r="BJ293" i="2" s="1"/>
  <c r="AF306" i="2"/>
  <c r="BK306" i="2" s="1"/>
  <c r="AI341" i="2"/>
  <c r="BN341" i="2" s="1"/>
  <c r="AI167" i="2"/>
  <c r="BN167" i="2" s="1"/>
  <c r="AE332" i="2"/>
  <c r="BJ332" i="2" s="1"/>
  <c r="AG382" i="2"/>
  <c r="BL382" i="2" s="1"/>
  <c r="AI141" i="2"/>
  <c r="BN141" i="2" s="1"/>
  <c r="AD284" i="2"/>
  <c r="BI284" i="2" s="1"/>
  <c r="AF153" i="2"/>
  <c r="BK153" i="2" s="1"/>
  <c r="AF94" i="2"/>
  <c r="BK94" i="2" s="1"/>
  <c r="AC347" i="2"/>
  <c r="AH333" i="2"/>
  <c r="BM333" i="2" s="1"/>
  <c r="AC331" i="2"/>
  <c r="AI238" i="2"/>
  <c r="BN238" i="2" s="1"/>
  <c r="AH128" i="2"/>
  <c r="BM128" i="2" s="1"/>
  <c r="AF124" i="2"/>
  <c r="BK124" i="2" s="1"/>
  <c r="AE184" i="2"/>
  <c r="BJ184" i="2" s="1"/>
  <c r="AF354" i="2"/>
  <c r="BK354" i="2" s="1"/>
  <c r="AD283" i="2"/>
  <c r="BI283" i="2" s="1"/>
  <c r="AE333" i="2"/>
  <c r="BJ333" i="2" s="1"/>
  <c r="AC260" i="2"/>
  <c r="AF202" i="2"/>
  <c r="BK202" i="2" s="1"/>
  <c r="AD173" i="2"/>
  <c r="BI173" i="2" s="1"/>
  <c r="AD316" i="2"/>
  <c r="BI316" i="2" s="1"/>
  <c r="AG178" i="2"/>
  <c r="BL178" i="2" s="1"/>
  <c r="AE116" i="2"/>
  <c r="BJ116" i="2" s="1"/>
  <c r="AE224" i="2"/>
  <c r="BJ224" i="2" s="1"/>
  <c r="AE261" i="2"/>
  <c r="BJ261" i="2" s="1"/>
  <c r="AG146" i="2"/>
  <c r="BL146" i="2" s="1"/>
  <c r="AI236" i="2"/>
  <c r="BN236" i="2" s="1"/>
  <c r="AD125" i="2"/>
  <c r="BI125" i="2" s="1"/>
  <c r="AG216" i="2"/>
  <c r="BL216" i="2" s="1"/>
  <c r="AF288" i="2"/>
  <c r="BK288" i="2" s="1"/>
  <c r="AI179" i="2"/>
  <c r="BN179" i="2" s="1"/>
  <c r="AG357" i="2"/>
  <c r="BL357" i="2" s="1"/>
  <c r="AC294" i="2"/>
  <c r="AI332" i="2"/>
  <c r="BN332" i="2" s="1"/>
  <c r="AF186" i="2"/>
  <c r="BK186" i="2" s="1"/>
  <c r="AH131" i="2"/>
  <c r="BM131" i="2" s="1"/>
  <c r="AH80" i="2"/>
  <c r="BM80" i="2" s="1"/>
  <c r="AI222" i="2"/>
  <c r="BN222" i="2" s="1"/>
  <c r="AF85" i="2"/>
  <c r="BK85" i="2" s="1"/>
  <c r="AF92" i="2"/>
  <c r="BK92" i="2" s="1"/>
  <c r="AH186" i="2"/>
  <c r="BM186" i="2" s="1"/>
  <c r="AE267" i="2"/>
  <c r="BJ267" i="2" s="1"/>
  <c r="AF276" i="2"/>
  <c r="BK276" i="2" s="1"/>
  <c r="AI305" i="2"/>
  <c r="BN305" i="2" s="1"/>
  <c r="AE135" i="2"/>
  <c r="BJ135" i="2" s="1"/>
  <c r="AD367" i="2"/>
  <c r="BI367" i="2" s="1"/>
  <c r="AD181" i="2"/>
  <c r="BI181" i="2" s="1"/>
  <c r="AD186" i="2"/>
  <c r="BI186" i="2" s="1"/>
  <c r="AI357" i="2"/>
  <c r="BN357" i="2" s="1"/>
  <c r="AD83" i="2"/>
  <c r="BI83" i="2" s="1"/>
  <c r="AG258" i="2"/>
  <c r="BL258" i="2" s="1"/>
  <c r="AG318" i="2"/>
  <c r="BL318" i="2" s="1"/>
  <c r="AE316" i="2"/>
  <c r="BJ316" i="2" s="1"/>
  <c r="AF350" i="2"/>
  <c r="BK350" i="2" s="1"/>
  <c r="AI101" i="2"/>
  <c r="BN101" i="2" s="1"/>
  <c r="AH153" i="2"/>
  <c r="BM153" i="2" s="1"/>
  <c r="AI111" i="2"/>
  <c r="BN111" i="2" s="1"/>
  <c r="AC213" i="2"/>
  <c r="AG250" i="2"/>
  <c r="BL250" i="2" s="1"/>
  <c r="AC228" i="2"/>
  <c r="AE219" i="2"/>
  <c r="BJ219" i="2" s="1"/>
  <c r="AC298" i="2"/>
  <c r="AI151" i="2"/>
  <c r="BN151" i="2" s="1"/>
  <c r="AD317" i="2"/>
  <c r="BI317" i="2" s="1"/>
  <c r="AG78" i="2"/>
  <c r="BL78" i="2" s="1"/>
  <c r="AF343" i="2"/>
  <c r="BK343" i="2" s="1"/>
  <c r="AF253" i="2"/>
  <c r="BK253" i="2" s="1"/>
  <c r="AI228" i="2"/>
  <c r="BN228" i="2" s="1"/>
  <c r="AH112" i="2"/>
  <c r="BM112" i="2" s="1"/>
  <c r="AI264" i="2"/>
  <c r="BN264" i="2" s="1"/>
  <c r="AE377" i="2"/>
  <c r="BJ377" i="2" s="1"/>
  <c r="AF268" i="2"/>
  <c r="BK268" i="2" s="1"/>
  <c r="AG359" i="2"/>
  <c r="BL359" i="2" s="1"/>
  <c r="AD277" i="2"/>
  <c r="BI277" i="2" s="1"/>
  <c r="AE158" i="2"/>
  <c r="BJ158" i="2" s="1"/>
  <c r="AI109" i="2"/>
  <c r="BN109" i="2" s="1"/>
  <c r="AD96" i="2"/>
  <c r="BI96" i="2" s="1"/>
  <c r="AC381" i="2"/>
  <c r="AI274" i="2"/>
  <c r="BN274" i="2" s="1"/>
  <c r="AH93" i="2"/>
  <c r="BM93" i="2" s="1"/>
  <c r="AC361" i="2"/>
  <c r="AH208" i="2"/>
  <c r="BM208" i="2" s="1"/>
  <c r="AE339" i="2"/>
  <c r="BJ339" i="2" s="1"/>
  <c r="AI169" i="2"/>
  <c r="BN169" i="2" s="1"/>
  <c r="AC338" i="2"/>
  <c r="AF266" i="2"/>
  <c r="BK266" i="2" s="1"/>
  <c r="AE334" i="2"/>
  <c r="BJ334" i="2" s="1"/>
  <c r="AC173" i="2"/>
  <c r="AC291" i="2"/>
  <c r="AF319" i="2"/>
  <c r="BK319" i="2" s="1"/>
  <c r="AE241" i="2"/>
  <c r="BJ241" i="2" s="1"/>
  <c r="AD81" i="2"/>
  <c r="BI81" i="2" s="1"/>
  <c r="AH350" i="2"/>
  <c r="BM350" i="2" s="1"/>
  <c r="AH327" i="2"/>
  <c r="BM327" i="2" s="1"/>
  <c r="AE335" i="2"/>
  <c r="BJ335" i="2" s="1"/>
  <c r="AI143" i="2"/>
  <c r="BN143" i="2" s="1"/>
  <c r="AG114" i="2"/>
  <c r="BL114" i="2" s="1"/>
  <c r="AE97" i="2"/>
  <c r="BJ97" i="2" s="1"/>
  <c r="AC376" i="2"/>
  <c r="AI302" i="2"/>
  <c r="BN302" i="2" s="1"/>
  <c r="AI265" i="2"/>
  <c r="BN265" i="2" s="1"/>
  <c r="AH296" i="2"/>
  <c r="BM296" i="2" s="1"/>
  <c r="AH211" i="2"/>
  <c r="BM211" i="2" s="1"/>
  <c r="AI138" i="2"/>
  <c r="BN138" i="2" s="1"/>
  <c r="AF86" i="2"/>
  <c r="BK86" i="2" s="1"/>
  <c r="AG364" i="2"/>
  <c r="BL364" i="2" s="1"/>
  <c r="AE304" i="2"/>
  <c r="BJ304" i="2" s="1"/>
  <c r="AI275" i="2"/>
  <c r="BN275" i="2" s="1"/>
  <c r="AI97" i="2"/>
  <c r="BN97" i="2" s="1"/>
  <c r="AE348" i="2"/>
  <c r="BJ348" i="2" s="1"/>
  <c r="AH121" i="2"/>
  <c r="BM121" i="2" s="1"/>
  <c r="AF194" i="2"/>
  <c r="BK194" i="2" s="1"/>
  <c r="AH281" i="2"/>
  <c r="BM281" i="2" s="1"/>
  <c r="AC203" i="2"/>
  <c r="AI384" i="2"/>
  <c r="BN384" i="2" s="1"/>
  <c r="AD154" i="2"/>
  <c r="BI154" i="2" s="1"/>
  <c r="AE150" i="2"/>
  <c r="BJ150" i="2" s="1"/>
  <c r="AE291" i="2"/>
  <c r="BJ291" i="2" s="1"/>
  <c r="AE213" i="2"/>
  <c r="BJ213" i="2" s="1"/>
  <c r="AE326" i="2"/>
  <c r="BJ326" i="2" s="1"/>
  <c r="AD368" i="2"/>
  <c r="BI368" i="2" s="1"/>
  <c r="AC283" i="2"/>
  <c r="AH298" i="2"/>
  <c r="BM298" i="2" s="1"/>
  <c r="AI353" i="2"/>
  <c r="BN353" i="2" s="1"/>
  <c r="BJ380" i="2"/>
  <c r="AG270" i="2"/>
  <c r="BL270" i="2" s="1"/>
  <c r="AE133" i="2"/>
  <c r="BJ133" i="2" s="1"/>
  <c r="AC250" i="2"/>
  <c r="AF91" i="2"/>
  <c r="BK91" i="2" s="1"/>
  <c r="AF176" i="2"/>
  <c r="BK176" i="2" s="1"/>
  <c r="AE113" i="2"/>
  <c r="BJ113" i="2" s="1"/>
  <c r="AE351" i="2"/>
  <c r="BJ351" i="2" s="1"/>
  <c r="AC152" i="2"/>
  <c r="AD375" i="2"/>
  <c r="BI375" i="2" s="1"/>
  <c r="AI188" i="2"/>
  <c r="BN188" i="2" s="1"/>
  <c r="AD99" i="2"/>
  <c r="BI99" i="2" s="1"/>
  <c r="AG135" i="2"/>
  <c r="BL135" i="2" s="1"/>
  <c r="AG365" i="2"/>
  <c r="BL365" i="2" s="1"/>
  <c r="AC279" i="2"/>
  <c r="AI278" i="2"/>
  <c r="BN278" i="2" s="1"/>
  <c r="AC245" i="2"/>
  <c r="AI233" i="2"/>
  <c r="BN233" i="2" s="1"/>
  <c r="AH187" i="2"/>
  <c r="BM187" i="2" s="1"/>
  <c r="AD87" i="2"/>
  <c r="BI87" i="2" s="1"/>
  <c r="AG273" i="2"/>
  <c r="BL273" i="2" s="1"/>
  <c r="AI355" i="2"/>
  <c r="BN355" i="2" s="1"/>
  <c r="AC235" i="2"/>
  <c r="AE109" i="2"/>
  <c r="BJ109" i="2" s="1"/>
  <c r="AG110" i="2"/>
  <c r="BL110" i="2" s="1"/>
  <c r="AG79" i="2"/>
  <c r="BL79" i="2" s="1"/>
  <c r="AG381" i="2"/>
  <c r="BL381" i="2" s="1"/>
  <c r="AF200" i="2"/>
  <c r="BK200" i="2" s="1"/>
  <c r="AF352" i="2"/>
  <c r="BK352" i="2" s="1"/>
  <c r="AF383" i="2"/>
  <c r="BK383" i="2" s="1"/>
  <c r="AE349" i="2"/>
  <c r="BJ349" i="2" s="1"/>
  <c r="AD290" i="2"/>
  <c r="BI290" i="2" s="1"/>
  <c r="AF285" i="2"/>
  <c r="BK285" i="2" s="1"/>
  <c r="AC118" i="2"/>
  <c r="AC263" i="2"/>
  <c r="AG102" i="2"/>
  <c r="BL102" i="2" s="1"/>
  <c r="AC81" i="2"/>
  <c r="AH384" i="2"/>
  <c r="BM384" i="2" s="1"/>
  <c r="AI80" i="2"/>
  <c r="BN80" i="2" s="1"/>
  <c r="AH261" i="2"/>
  <c r="BM261" i="2" s="1"/>
  <c r="AD146" i="2"/>
  <c r="BI146" i="2" s="1"/>
  <c r="AD216" i="2"/>
  <c r="BI216" i="2" s="1"/>
  <c r="AF217" i="2"/>
  <c r="BK217" i="2" s="1"/>
  <c r="AD95" i="2"/>
  <c r="BI95" i="2" s="1"/>
  <c r="AI249" i="2"/>
  <c r="BN249" i="2" s="1"/>
  <c r="BJ379" i="2"/>
  <c r="AG203" i="2"/>
  <c r="BL203" i="2" s="1"/>
  <c r="AF107" i="2"/>
  <c r="BK107" i="2" s="1"/>
  <c r="AG360" i="2"/>
  <c r="AD128" i="2"/>
  <c r="BI128" i="2" s="1"/>
  <c r="AF248" i="2"/>
  <c r="BK248" i="2" s="1"/>
  <c r="AI115" i="2"/>
  <c r="BN115" i="2" s="1"/>
  <c r="AD273" i="2"/>
  <c r="BI273" i="2" s="1"/>
  <c r="AG371" i="2"/>
  <c r="BL371" i="2" s="1"/>
  <c r="AE164" i="2"/>
  <c r="BJ164" i="2" s="1"/>
  <c r="AF376" i="2"/>
  <c r="BK376" i="2" s="1"/>
  <c r="AE201" i="2"/>
  <c r="BJ201" i="2" s="1"/>
  <c r="AF162" i="2"/>
  <c r="BK162" i="2" s="1"/>
  <c r="AC164" i="2"/>
  <c r="AF335" i="2"/>
  <c r="BK335" i="2" s="1"/>
  <c r="AH160" i="2"/>
  <c r="BM160" i="2" s="1"/>
  <c r="AE208" i="2"/>
  <c r="BJ208" i="2" s="1"/>
  <c r="AI114" i="2"/>
  <c r="BN114" i="2" s="1"/>
  <c r="AG252" i="2"/>
  <c r="BL252" i="2" s="1"/>
  <c r="AF212" i="2"/>
  <c r="BK212" i="2" s="1"/>
  <c r="AH92" i="2"/>
  <c r="BM92" i="2" s="1"/>
  <c r="AF347" i="2"/>
  <c r="BK347" i="2" s="1"/>
  <c r="AF115" i="2"/>
  <c r="BK115" i="2" s="1"/>
  <c r="AG336" i="2"/>
  <c r="BL336" i="2" s="1"/>
  <c r="AD225" i="2"/>
  <c r="BI225" i="2" s="1"/>
  <c r="AI364" i="2"/>
  <c r="BN364" i="2" s="1"/>
  <c r="AI244" i="2"/>
  <c r="BN244" i="2" s="1"/>
  <c r="AG243" i="2"/>
  <c r="BL243" i="2" s="1"/>
  <c r="AF100" i="2"/>
  <c r="BK100" i="2" s="1"/>
  <c r="AI340" i="2"/>
  <c r="BN340" i="2" s="1"/>
  <c r="AG380" i="2"/>
  <c r="BL380" i="2" s="1"/>
  <c r="AF211" i="2"/>
  <c r="BK211" i="2" s="1"/>
  <c r="AC163" i="2"/>
  <c r="AF161" i="2"/>
  <c r="BK161" i="2" s="1"/>
  <c r="AF232" i="2"/>
  <c r="BK232" i="2" s="1"/>
  <c r="AE104" i="2"/>
  <c r="BJ104" i="2" s="1"/>
  <c r="AF344" i="2"/>
  <c r="BK344" i="2" s="1"/>
  <c r="AD258" i="2"/>
  <c r="BI258" i="2" s="1"/>
  <c r="AF122" i="2"/>
  <c r="BK122" i="2" s="1"/>
  <c r="AF79" i="2"/>
  <c r="BK79" i="2" s="1"/>
  <c r="AG113" i="2"/>
  <c r="BL113" i="2" s="1"/>
  <c r="AC370" i="2"/>
  <c r="AG217" i="2"/>
  <c r="BL217" i="2" s="1"/>
  <c r="AF305" i="2"/>
  <c r="BK305" i="2" s="1"/>
  <c r="AD271" i="2"/>
  <c r="BI271" i="2" s="1"/>
  <c r="AI277" i="2"/>
  <c r="BN277" i="2" s="1"/>
  <c r="AI382" i="2"/>
  <c r="BN382" i="2" s="1"/>
  <c r="AC303" i="2"/>
  <c r="AG226" i="2"/>
  <c r="BL226" i="2" s="1"/>
  <c r="AF222" i="2"/>
  <c r="BK222" i="2" s="1"/>
  <c r="AI171" i="2"/>
  <c r="BN171" i="2" s="1"/>
  <c r="AE372" i="2"/>
  <c r="BJ372" i="2" s="1"/>
  <c r="AF78" i="2"/>
  <c r="BK78" i="2" s="1"/>
  <c r="AG265" i="2"/>
  <c r="BL265" i="2" s="1"/>
  <c r="BI378" i="2"/>
  <c r="AC373" i="2"/>
  <c r="AE125" i="2"/>
  <c r="BJ125" i="2" s="1"/>
  <c r="AE284" i="2"/>
  <c r="BJ284" i="2" s="1"/>
  <c r="AE319" i="2"/>
  <c r="BJ319" i="2" s="1"/>
  <c r="AF357" i="2"/>
  <c r="BK357" i="2" s="1"/>
  <c r="AG158" i="2"/>
  <c r="BL158" i="2" s="1"/>
  <c r="AI330" i="2"/>
  <c r="BN330" i="2" s="1"/>
  <c r="AC327" i="2"/>
  <c r="AH237" i="2"/>
  <c r="BM237" i="2" s="1"/>
  <c r="AE168" i="2"/>
  <c r="BJ168" i="2" s="1"/>
  <c r="AH125" i="2"/>
  <c r="BM125" i="2" s="1"/>
  <c r="AI368" i="2"/>
  <c r="BN368" i="2" s="1"/>
  <c r="AI172" i="2"/>
  <c r="BN172" i="2" s="1"/>
  <c r="AG346" i="2"/>
  <c r="BL346" i="2" s="1"/>
  <c r="AC287" i="2"/>
  <c r="AG301" i="2"/>
  <c r="BL301" i="2" s="1"/>
  <c r="AE342" i="2"/>
  <c r="BJ342" i="2" s="1"/>
  <c r="AD180" i="2"/>
  <c r="BI180" i="2" s="1"/>
  <c r="AI215" i="2"/>
  <c r="BN215" i="2" s="1"/>
  <c r="AC265" i="2"/>
  <c r="AF360" i="2"/>
  <c r="AH115" i="2"/>
  <c r="BM115" i="2" s="1"/>
  <c r="AH197" i="2"/>
  <c r="BM197" i="2" s="1"/>
  <c r="AG303" i="2"/>
  <c r="BL303" i="2" s="1"/>
  <c r="AH242" i="2"/>
  <c r="BM242" i="2" s="1"/>
  <c r="AG213" i="2"/>
  <c r="BL213" i="2" s="1"/>
  <c r="AD322" i="2"/>
  <c r="BI322" i="2" s="1"/>
  <c r="AI374" i="2"/>
  <c r="BN374" i="2" s="1"/>
  <c r="AF201" i="2"/>
  <c r="BK201" i="2" s="1"/>
  <c r="AC90" i="2"/>
  <c r="AI342" i="2"/>
  <c r="BN342" i="2" s="1"/>
  <c r="AG275" i="2"/>
  <c r="BL275" i="2" s="1"/>
  <c r="AC120" i="2"/>
  <c r="AF374" i="2"/>
  <c r="BK374" i="2" s="1"/>
  <c r="AD137" i="2"/>
  <c r="BI137" i="2" s="1"/>
  <c r="AD132" i="2"/>
  <c r="BI132" i="2" s="1"/>
  <c r="AC282" i="2"/>
  <c r="AG212" i="2"/>
  <c r="BL212" i="2" s="1"/>
  <c r="AG241" i="2"/>
  <c r="BL241" i="2" s="1"/>
  <c r="AI129" i="2"/>
  <c r="BN129" i="2" s="1"/>
  <c r="AH159" i="2"/>
  <c r="BM159" i="2" s="1"/>
  <c r="AF187" i="2"/>
  <c r="BK187" i="2" s="1"/>
  <c r="AH341" i="2"/>
  <c r="BM341" i="2" s="1"/>
  <c r="AH172" i="2"/>
  <c r="BM172" i="2" s="1"/>
  <c r="AF117" i="2"/>
  <c r="BK117" i="2" s="1"/>
  <c r="AI176" i="2"/>
  <c r="BN176" i="2" s="1"/>
  <c r="AH148" i="2"/>
  <c r="BM148" i="2" s="1"/>
  <c r="AH173" i="2"/>
  <c r="BM173" i="2" s="1"/>
  <c r="AG363" i="2"/>
  <c r="BL363" i="2" s="1"/>
  <c r="AF302" i="2"/>
  <c r="BK302" i="2" s="1"/>
  <c r="AF114" i="2"/>
  <c r="BK114" i="2" s="1"/>
  <c r="AD205" i="2"/>
  <c r="BI205" i="2" s="1"/>
  <c r="AF210" i="2"/>
  <c r="BK210" i="2" s="1"/>
  <c r="AF163" i="2"/>
  <c r="BK163" i="2" s="1"/>
  <c r="AG377" i="2"/>
  <c r="BL377" i="2" s="1"/>
  <c r="AF229" i="2"/>
  <c r="BK229" i="2" s="1"/>
  <c r="AH181" i="2"/>
  <c r="BM181" i="2" s="1"/>
  <c r="AG177" i="2"/>
  <c r="BL177" i="2" s="1"/>
  <c r="AH339" i="2"/>
  <c r="BM339" i="2" s="1"/>
  <c r="AH99" i="2"/>
  <c r="BM99" i="2" s="1"/>
  <c r="AD98" i="2"/>
  <c r="BI98" i="2" s="1"/>
  <c r="AI79" i="2"/>
  <c r="BN79" i="2" s="1"/>
  <c r="AC239" i="2"/>
  <c r="AE282" i="2"/>
  <c r="BJ282" i="2" s="1"/>
  <c r="AD187" i="2"/>
  <c r="BI187" i="2" s="1"/>
  <c r="AH354" i="2"/>
  <c r="BM354" i="2" s="1"/>
  <c r="AI139" i="2"/>
  <c r="BN139" i="2" s="1"/>
  <c r="AG95" i="2"/>
  <c r="BL95" i="2" s="1"/>
  <c r="AH253" i="2"/>
  <c r="BM253" i="2" s="1"/>
  <c r="AG132" i="2"/>
  <c r="BL132" i="2" s="1"/>
  <c r="AH214" i="2"/>
  <c r="BM214" i="2" s="1"/>
  <c r="AC220" i="2"/>
  <c r="AD184" i="2"/>
  <c r="BI184" i="2" s="1"/>
  <c r="AE92" i="2"/>
  <c r="BJ92" i="2" s="1"/>
  <c r="AI242" i="2"/>
  <c r="BN242" i="2" s="1"/>
  <c r="AD208" i="2"/>
  <c r="BI208" i="2" s="1"/>
  <c r="AF180" i="2"/>
  <c r="BK180" i="2" s="1"/>
  <c r="AC211" i="2"/>
  <c r="AF99" i="2"/>
  <c r="BK99" i="2" s="1"/>
  <c r="AI251" i="2"/>
  <c r="BN251" i="2" s="1"/>
  <c r="AC112" i="2"/>
  <c r="AE102" i="2"/>
  <c r="BJ102" i="2" s="1"/>
  <c r="AH226" i="2"/>
  <c r="BM226" i="2" s="1"/>
  <c r="AG128" i="2"/>
  <c r="BL128" i="2" s="1"/>
  <c r="AF148" i="2"/>
  <c r="BK148" i="2" s="1"/>
  <c r="AH143" i="2"/>
  <c r="BM143" i="2" s="1"/>
  <c r="AI258" i="2"/>
  <c r="BN258" i="2" s="1"/>
  <c r="AE131" i="2"/>
  <c r="BJ131" i="2" s="1"/>
  <c r="AI117" i="2"/>
  <c r="BN117" i="2" s="1"/>
  <c r="AE238" i="2"/>
  <c r="BJ238" i="2" s="1"/>
  <c r="AC200" i="2"/>
  <c r="AC292" i="2"/>
  <c r="AI155" i="2"/>
  <c r="BN155" i="2" s="1"/>
  <c r="AI231" i="2"/>
  <c r="BN231" i="2" s="1"/>
  <c r="AD340" i="2"/>
  <c r="BI340" i="2" s="1"/>
  <c r="AD168" i="2"/>
  <c r="BI168" i="2" s="1"/>
  <c r="AE114" i="2"/>
  <c r="BJ114" i="2" s="1"/>
  <c r="AH97" i="2"/>
  <c r="BM97" i="2" s="1"/>
  <c r="BM379" i="2"/>
  <c r="AC87" i="2"/>
  <c r="AD89" i="2"/>
  <c r="BI89" i="2" s="1"/>
  <c r="AI140" i="2"/>
  <c r="BN140" i="2" s="1"/>
  <c r="AD344" i="2"/>
  <c r="BI344" i="2" s="1"/>
  <c r="AH251" i="2"/>
  <c r="BM251" i="2" s="1"/>
  <c r="AE160" i="2"/>
  <c r="BJ160" i="2" s="1"/>
  <c r="AC189" i="2"/>
  <c r="AE122" i="2"/>
  <c r="BJ122" i="2" s="1"/>
  <c r="AI145" i="2"/>
  <c r="BN145" i="2" s="1"/>
  <c r="AI230" i="2"/>
  <c r="BN230" i="2" s="1"/>
  <c r="AE155" i="2"/>
  <c r="BJ155" i="2" s="1"/>
  <c r="AG343" i="2"/>
  <c r="BL343" i="2" s="1"/>
  <c r="AG182" i="2"/>
  <c r="BL182" i="2" s="1"/>
  <c r="AI354" i="2"/>
  <c r="BN354" i="2" s="1"/>
  <c r="AF348" i="2"/>
  <c r="BK348" i="2" s="1"/>
  <c r="AE167" i="2"/>
  <c r="BJ167" i="2" s="1"/>
  <c r="AI326" i="2"/>
  <c r="BN326" i="2" s="1"/>
  <c r="AD169" i="2"/>
  <c r="BI169" i="2" s="1"/>
  <c r="AF226" i="2"/>
  <c r="BK226" i="2" s="1"/>
  <c r="AG334" i="2"/>
  <c r="BL334" i="2" s="1"/>
  <c r="AE110" i="2"/>
  <c r="BJ110" i="2" s="1"/>
  <c r="AH330" i="2"/>
  <c r="BM330" i="2" s="1"/>
  <c r="AD196" i="2"/>
  <c r="BI196" i="2" s="1"/>
  <c r="AD285" i="2"/>
  <c r="BI285" i="2" s="1"/>
  <c r="AG106" i="2"/>
  <c r="BL106" i="2" s="1"/>
  <c r="AI291" i="2"/>
  <c r="BN291" i="2" s="1"/>
  <c r="AE186" i="2"/>
  <c r="BJ186" i="2" s="1"/>
  <c r="AF340" i="2"/>
  <c r="BK340" i="2" s="1"/>
  <c r="AI144" i="2"/>
  <c r="BN144" i="2" s="1"/>
  <c r="AC98" i="2"/>
  <c r="AE268" i="2"/>
  <c r="BJ268" i="2" s="1"/>
  <c r="AI164" i="2"/>
  <c r="BN164" i="2" s="1"/>
  <c r="AE226" i="2"/>
  <c r="BJ226" i="2" s="1"/>
  <c r="AC160" i="2"/>
  <c r="AH199" i="2"/>
  <c r="BM199" i="2" s="1"/>
  <c r="AF233" i="2"/>
  <c r="BK233" i="2" s="1"/>
  <c r="AC171" i="2"/>
  <c r="AH345" i="2"/>
  <c r="BM345" i="2" s="1"/>
  <c r="AF241" i="2"/>
  <c r="BK241" i="2" s="1"/>
  <c r="AH126" i="2"/>
  <c r="BM126" i="2" s="1"/>
  <c r="AH221" i="2"/>
  <c r="BM221" i="2" s="1"/>
  <c r="AF293" i="2"/>
  <c r="BK293" i="2" s="1"/>
  <c r="AE119" i="2"/>
  <c r="BJ119" i="2" s="1"/>
  <c r="AH282" i="2"/>
  <c r="BM282" i="2" s="1"/>
  <c r="AI289" i="2"/>
  <c r="BN289" i="2" s="1"/>
  <c r="AH109" i="2"/>
  <c r="BM109" i="2" s="1"/>
  <c r="AI257" i="2"/>
  <c r="BN257" i="2" s="1"/>
  <c r="AD262" i="2"/>
  <c r="BI262" i="2" s="1"/>
  <c r="AF252" i="2"/>
  <c r="BK252" i="2" s="1"/>
  <c r="AD84" i="2"/>
  <c r="BI84" i="2" s="1"/>
  <c r="AC248" i="2"/>
  <c r="AF273" i="2"/>
  <c r="BK273" i="2" s="1"/>
  <c r="AH223" i="2"/>
  <c r="BM223" i="2" s="1"/>
  <c r="AC142" i="2"/>
  <c r="AC124" i="2"/>
  <c r="AD103" i="2"/>
  <c r="BI103" i="2" s="1"/>
  <c r="AG103" i="2"/>
  <c r="BL103" i="2" s="1"/>
  <c r="AE105" i="2"/>
  <c r="BJ105" i="2" s="1"/>
  <c r="AC232" i="2"/>
  <c r="AC129" i="2"/>
  <c r="AG348" i="2"/>
  <c r="BL348" i="2" s="1"/>
  <c r="AG127" i="2"/>
  <c r="BL127" i="2" s="1"/>
  <c r="AC369" i="2"/>
  <c r="AC286" i="2"/>
  <c r="AI126" i="2"/>
  <c r="BN126" i="2" s="1"/>
  <c r="AH284" i="2"/>
  <c r="BM284" i="2" s="1"/>
  <c r="AF149" i="2"/>
  <c r="BK149" i="2" s="1"/>
  <c r="AH243" i="2"/>
  <c r="BM243" i="2" s="1"/>
  <c r="AC262" i="2"/>
  <c r="AD223" i="2"/>
  <c r="BI223" i="2" s="1"/>
  <c r="AF318" i="2"/>
  <c r="BK318" i="2" s="1"/>
  <c r="AH301" i="2"/>
  <c r="BM301" i="2" s="1"/>
  <c r="AE382" i="2"/>
  <c r="BJ382" i="2" s="1"/>
  <c r="AH371" i="2"/>
  <c r="BM371" i="2" s="1"/>
  <c r="AI371" i="2"/>
  <c r="BN371" i="2" s="1"/>
  <c r="AE146" i="2"/>
  <c r="BJ146" i="2" s="1"/>
  <c r="AG356" i="2"/>
  <c r="BL356" i="2" s="1"/>
  <c r="AE182" i="2"/>
  <c r="BJ182" i="2" s="1"/>
  <c r="AC301" i="2"/>
  <c r="AE185" i="2"/>
  <c r="BJ185" i="2" s="1"/>
  <c r="AI377" i="2"/>
  <c r="BN377" i="2" s="1"/>
  <c r="AI170" i="2"/>
  <c r="BN170" i="2" s="1"/>
  <c r="AG164" i="2"/>
  <c r="BL164" i="2" s="1"/>
  <c r="AG329" i="2"/>
  <c r="BL329" i="2" s="1"/>
  <c r="AH335" i="2"/>
  <c r="BM335" i="2" s="1"/>
  <c r="AI175" i="2"/>
  <c r="BN175" i="2" s="1"/>
  <c r="AD202" i="2"/>
  <c r="BI202" i="2" s="1"/>
  <c r="AE285" i="2"/>
  <c r="BJ285" i="2" s="1"/>
  <c r="AD319" i="2"/>
  <c r="BI319" i="2" s="1"/>
  <c r="AC169" i="2"/>
  <c r="AI168" i="2"/>
  <c r="BN168" i="2" s="1"/>
  <c r="AH334" i="2"/>
  <c r="BM334" i="2" s="1"/>
  <c r="AG327" i="2"/>
  <c r="BL327" i="2" s="1"/>
  <c r="AD221" i="2"/>
  <c r="BI221" i="2" s="1"/>
  <c r="AH370" i="2"/>
  <c r="BM370" i="2" s="1"/>
  <c r="AC353" i="2"/>
  <c r="AF239" i="2"/>
  <c r="BK239" i="2" s="1"/>
  <c r="AI158" i="2"/>
  <c r="BN158" i="2" s="1"/>
  <c r="AH329" i="2"/>
  <c r="BM329" i="2" s="1"/>
  <c r="AG184" i="2"/>
  <c r="BL184" i="2" s="1"/>
  <c r="AG197" i="2"/>
  <c r="BL197" i="2" s="1"/>
  <c r="AG224" i="2"/>
  <c r="BL224" i="2" s="1"/>
  <c r="AG369" i="2"/>
  <c r="BL369" i="2" s="1"/>
  <c r="AE250" i="2"/>
  <c r="BJ250" i="2" s="1"/>
  <c r="AF81" i="2"/>
  <c r="BK81" i="2" s="1"/>
  <c r="AH328" i="2"/>
  <c r="BM328" i="2" s="1"/>
  <c r="AE290" i="2"/>
  <c r="BJ290" i="2" s="1"/>
  <c r="AH171" i="2"/>
  <c r="BM171" i="2" s="1"/>
  <c r="AF109" i="2"/>
  <c r="BK109" i="2" s="1"/>
  <c r="AH167" i="2"/>
  <c r="BM167" i="2" s="1"/>
  <c r="AC334" i="2"/>
  <c r="AG138" i="2"/>
  <c r="BL138" i="2" s="1"/>
  <c r="AE383" i="2"/>
  <c r="BJ383" i="2" s="1"/>
  <c r="AD166" i="2"/>
  <c r="BI166" i="2" s="1"/>
  <c r="AD331" i="2"/>
  <c r="BI331" i="2" s="1"/>
  <c r="AI263" i="2"/>
  <c r="BN263" i="2" s="1"/>
  <c r="AC186" i="2"/>
  <c r="AC333" i="2"/>
  <c r="AE271" i="2"/>
  <c r="BJ271" i="2" s="1"/>
  <c r="AI281" i="2"/>
  <c r="BN281" i="2" s="1"/>
  <c r="AG290" i="2"/>
  <c r="BL290" i="2" s="1"/>
  <c r="AD332" i="2"/>
  <c r="BI332" i="2" s="1"/>
  <c r="AE130" i="2"/>
  <c r="BJ130" i="2" s="1"/>
  <c r="AD110" i="2"/>
  <c r="BI110" i="2" s="1"/>
  <c r="AC79" i="2"/>
  <c r="AF209" i="2"/>
  <c r="BK209" i="2" s="1"/>
  <c r="AE165" i="2"/>
  <c r="BJ165" i="2" s="1"/>
  <c r="AD126" i="2"/>
  <c r="BI126" i="2" s="1"/>
  <c r="AE99" i="2"/>
  <c r="BJ99" i="2" s="1"/>
  <c r="AI162" i="2"/>
  <c r="BN162" i="2" s="1"/>
  <c r="BN380" i="2"/>
  <c r="AD160" i="2"/>
  <c r="BI160" i="2" s="1"/>
  <c r="AG282" i="2"/>
  <c r="BL282" i="2" s="1"/>
  <c r="AF329" i="2"/>
  <c r="BK329" i="2" s="1"/>
  <c r="AE381" i="2"/>
  <c r="BJ381" i="2" s="1"/>
  <c r="AG168" i="2"/>
  <c r="BL168" i="2" s="1"/>
  <c r="AI237" i="2"/>
  <c r="BN237" i="2" s="1"/>
  <c r="AH157" i="2"/>
  <c r="BM157" i="2" s="1"/>
  <c r="AF281" i="2"/>
  <c r="BK281" i="2" s="1"/>
  <c r="AE327" i="2"/>
  <c r="BJ327" i="2" s="1"/>
  <c r="AD213" i="2"/>
  <c r="BI213" i="2" s="1"/>
  <c r="AF328" i="2"/>
  <c r="BK328" i="2" s="1"/>
  <c r="AE124" i="2"/>
  <c r="BJ124" i="2" s="1"/>
  <c r="AF310" i="2"/>
  <c r="BK310" i="2" s="1"/>
  <c r="AD111" i="2"/>
  <c r="BI111" i="2" s="1"/>
  <c r="AF110" i="2"/>
  <c r="BK110" i="2" s="1"/>
  <c r="AD156" i="2"/>
  <c r="BI156" i="2" s="1"/>
  <c r="AF304" i="2"/>
  <c r="BK304" i="2" s="1"/>
  <c r="AD374" i="2"/>
  <c r="BI374" i="2" s="1"/>
  <c r="AI83" i="2"/>
  <c r="BN83" i="2" s="1"/>
  <c r="AH278" i="2"/>
  <c r="BM278" i="2" s="1"/>
  <c r="AH304" i="2"/>
  <c r="BM304" i="2" s="1"/>
  <c r="AH270" i="2"/>
  <c r="BM270" i="2" s="1"/>
  <c r="BH378" i="2"/>
  <c r="AH331" i="2"/>
  <c r="BM331" i="2" s="1"/>
  <c r="AE292" i="2"/>
  <c r="BJ292" i="2" s="1"/>
  <c r="AF333" i="2"/>
  <c r="BK333" i="2" s="1"/>
  <c r="AI298" i="2"/>
  <c r="BN298" i="2" s="1"/>
  <c r="AF156" i="2"/>
  <c r="BK156" i="2" s="1"/>
  <c r="AH116" i="2"/>
  <c r="BM116" i="2" s="1"/>
  <c r="AI227" i="2"/>
  <c r="BN227" i="2" s="1"/>
  <c r="AC116" i="2"/>
  <c r="AC84" i="2"/>
  <c r="AH262" i="2"/>
  <c r="BM262" i="2" s="1"/>
  <c r="AI201" i="2"/>
  <c r="BN201" i="2" s="1"/>
  <c r="AI243" i="2"/>
  <c r="BN243" i="2" s="1"/>
  <c r="AF160" i="2"/>
  <c r="BK160" i="2" s="1"/>
  <c r="AE344" i="2"/>
  <c r="BJ344" i="2" s="1"/>
  <c r="AD333" i="2"/>
  <c r="BI333" i="2" s="1"/>
  <c r="AD195" i="2"/>
  <c r="BI195" i="2" s="1"/>
  <c r="AE340" i="2"/>
  <c r="BJ340" i="2" s="1"/>
  <c r="AI150" i="2"/>
  <c r="BN150" i="2" s="1"/>
  <c r="AF174" i="2"/>
  <c r="BK174" i="2" s="1"/>
  <c r="AE259" i="2"/>
  <c r="BJ259" i="2" s="1"/>
  <c r="AD241" i="2"/>
  <c r="BI241" i="2" s="1"/>
  <c r="AD280" i="2"/>
  <c r="BI280" i="2" s="1"/>
  <c r="AC215" i="2"/>
  <c r="AE297" i="2"/>
  <c r="BJ297" i="2" s="1"/>
  <c r="AG155" i="2"/>
  <c r="BL155" i="2" s="1"/>
  <c r="AD286" i="2"/>
  <c r="BI286" i="2" s="1"/>
  <c r="AC199" i="2"/>
  <c r="AH364" i="2"/>
  <c r="BM364" i="2" s="1"/>
  <c r="AH164" i="2"/>
  <c r="BM164" i="2" s="1"/>
  <c r="AD139" i="2"/>
  <c r="BI139" i="2" s="1"/>
  <c r="AD170" i="2"/>
  <c r="BI170" i="2" s="1"/>
  <c r="AH81" i="2"/>
  <c r="BM81" i="2" s="1"/>
  <c r="AD334" i="2"/>
  <c r="BI334" i="2" s="1"/>
  <c r="AD347" i="2"/>
  <c r="BI347" i="2" s="1"/>
  <c r="AD327" i="2"/>
  <c r="BI327" i="2" s="1"/>
  <c r="AE129" i="2"/>
  <c r="BJ129" i="2" s="1"/>
  <c r="AI196" i="2"/>
  <c r="BN196" i="2" s="1"/>
  <c r="AF191" i="2"/>
  <c r="BK191" i="2" s="1"/>
  <c r="AE137" i="2"/>
  <c r="BJ137" i="2" s="1"/>
  <c r="AD227" i="2"/>
  <c r="BI227" i="2" s="1"/>
  <c r="AG286" i="2"/>
  <c r="BL286" i="2" s="1"/>
  <c r="AI185" i="2"/>
  <c r="BN185" i="2" s="1"/>
  <c r="AH255" i="2"/>
  <c r="BM255" i="2" s="1"/>
  <c r="AH317" i="2"/>
  <c r="BM317" i="2" s="1"/>
  <c r="AD163" i="2"/>
  <c r="BI163" i="2" s="1"/>
  <c r="AE302" i="2"/>
  <c r="BJ302" i="2" s="1"/>
  <c r="AD158" i="2"/>
  <c r="BI158" i="2" s="1"/>
  <c r="AC126" i="2"/>
  <c r="AD328" i="2"/>
  <c r="BI328" i="2" s="1"/>
  <c r="AG347" i="2"/>
  <c r="BL347" i="2" s="1"/>
  <c r="AC336" i="2"/>
  <c r="AF120" i="2"/>
  <c r="BK120" i="2" s="1"/>
  <c r="AD249" i="2"/>
  <c r="BI249" i="2" s="1"/>
  <c r="AD159" i="2"/>
  <c r="BI159" i="2" s="1"/>
  <c r="AD299" i="2"/>
  <c r="BI299" i="2" s="1"/>
  <c r="AD178" i="2"/>
  <c r="BI178" i="2" s="1"/>
  <c r="AD267" i="2"/>
  <c r="BI267" i="2" s="1"/>
  <c r="AI226" i="2"/>
  <c r="BN226" i="2" s="1"/>
  <c r="AF171" i="2"/>
  <c r="BK171" i="2" s="1"/>
  <c r="AG171" i="2"/>
  <c r="BL171" i="2" s="1"/>
  <c r="AE329" i="2"/>
  <c r="BJ329" i="2" s="1"/>
  <c r="AG99" i="2"/>
  <c r="BL99" i="2" s="1"/>
  <c r="AG328" i="2"/>
  <c r="BL328" i="2" s="1"/>
  <c r="AF121" i="2"/>
  <c r="BK121" i="2" s="1"/>
  <c r="AD134" i="2"/>
  <c r="BI134" i="2" s="1"/>
  <c r="AF108" i="2"/>
  <c r="BK108" i="2" s="1"/>
  <c r="AE242" i="2"/>
  <c r="BJ242" i="2" s="1"/>
  <c r="AH216" i="2"/>
  <c r="BM216" i="2" s="1"/>
  <c r="AH342" i="2"/>
  <c r="BM342" i="2" s="1"/>
  <c r="AI86" i="2"/>
  <c r="BN86" i="2" s="1"/>
  <c r="AC127" i="2"/>
  <c r="AH127" i="2"/>
  <c r="BM127" i="2" s="1"/>
  <c r="AE363" i="2"/>
  <c r="BJ363" i="2" s="1"/>
  <c r="AC226" i="2"/>
  <c r="AE296" i="2"/>
  <c r="BJ296" i="2" s="1"/>
  <c r="AE174" i="2"/>
  <c r="BJ174" i="2" s="1"/>
  <c r="AD335" i="2"/>
  <c r="BI335" i="2" s="1"/>
  <c r="AC368" i="2"/>
  <c r="AI331" i="2"/>
  <c r="BN331" i="2" s="1"/>
  <c r="AH114" i="2"/>
  <c r="BM114" i="2" s="1"/>
  <c r="AH152" i="2"/>
  <c r="BM152" i="2" s="1"/>
  <c r="AH240" i="2"/>
  <c r="BM240" i="2" s="1"/>
  <c r="AG156" i="2"/>
  <c r="BL156" i="2" s="1"/>
  <c r="AC147" i="2"/>
  <c r="AF272" i="2"/>
  <c r="BK272" i="2" s="1"/>
  <c r="AE142" i="2"/>
  <c r="BJ142" i="2" s="1"/>
  <c r="AD363" i="2"/>
  <c r="BI363" i="2" s="1"/>
  <c r="AG125" i="2"/>
  <c r="BL125" i="2" s="1"/>
  <c r="AF240" i="2"/>
  <c r="BK240" i="2" s="1"/>
  <c r="BH379" i="2"/>
  <c r="AI376" i="2"/>
  <c r="BN376" i="2" s="1"/>
  <c r="AG149" i="2"/>
  <c r="BL149" i="2" s="1"/>
  <c r="AD147" i="2"/>
  <c r="BI147" i="2" s="1"/>
  <c r="AC139" i="2"/>
  <c r="AG190" i="2"/>
  <c r="BL190" i="2" s="1"/>
  <c r="AH229" i="2"/>
  <c r="BM229" i="2" s="1"/>
  <c r="AC304" i="2"/>
  <c r="AD133" i="2"/>
  <c r="BI133" i="2" s="1"/>
  <c r="AE220" i="2"/>
  <c r="BJ220" i="2" s="1"/>
  <c r="AE216" i="2"/>
  <c r="BJ216" i="2" s="1"/>
  <c r="AE384" i="2"/>
  <c r="BJ384" i="2" s="1"/>
  <c r="AI260" i="2"/>
  <c r="BN260" i="2" s="1"/>
  <c r="AF300" i="2"/>
  <c r="BK300" i="2" s="1"/>
  <c r="AG268" i="2"/>
  <c r="BL268" i="2" s="1"/>
  <c r="AC271" i="2"/>
  <c r="AC229" i="2"/>
  <c r="AF118" i="2"/>
  <c r="BK118" i="2" s="1"/>
  <c r="AH297" i="2"/>
  <c r="BM297" i="2" s="1"/>
  <c r="AG322" i="2"/>
  <c r="BL322" i="2" s="1"/>
  <c r="AC295" i="2"/>
  <c r="AD278" i="2"/>
  <c r="BI278" i="2" s="1"/>
  <c r="AF181" i="2"/>
  <c r="BK181" i="2" s="1"/>
  <c r="AD222" i="2"/>
  <c r="BI222" i="2" s="1"/>
  <c r="AD226" i="2"/>
  <c r="BI226" i="2" s="1"/>
  <c r="AI372" i="2"/>
  <c r="BN372" i="2" s="1"/>
  <c r="AG181" i="2"/>
  <c r="BL181" i="2" s="1"/>
  <c r="AF119" i="2"/>
  <c r="BK119" i="2" s="1"/>
  <c r="AH146" i="2"/>
  <c r="BM146" i="2" s="1"/>
  <c r="AF297" i="2"/>
  <c r="BK297" i="2" s="1"/>
  <c r="AI113" i="2"/>
  <c r="BN113" i="2" s="1"/>
  <c r="AE203" i="2"/>
  <c r="BJ203" i="2" s="1"/>
  <c r="AG361" i="2"/>
  <c r="BL361" i="2" s="1"/>
  <c r="AF349" i="2"/>
  <c r="BK349" i="2" s="1"/>
  <c r="AE188" i="2"/>
  <c r="BJ188" i="2" s="1"/>
  <c r="AH294" i="2"/>
  <c r="BM294" i="2" s="1"/>
  <c r="AH300" i="2"/>
  <c r="BM300" i="2" s="1"/>
  <c r="AG305" i="2"/>
  <c r="BL305" i="2" s="1"/>
  <c r="AE180" i="2"/>
  <c r="BJ180" i="2" s="1"/>
  <c r="AH90" i="2"/>
  <c r="BM90" i="2" s="1"/>
  <c r="AH202" i="2"/>
  <c r="BM202" i="2" s="1"/>
  <c r="AI132" i="2"/>
  <c r="BN132" i="2" s="1"/>
  <c r="AH94" i="2"/>
  <c r="BM94" i="2" s="1"/>
  <c r="AI324" i="2"/>
  <c r="BN324" i="2" s="1"/>
  <c r="AG242" i="2"/>
  <c r="BL242" i="2" s="1"/>
  <c r="AI348" i="2"/>
  <c r="BN348" i="2" s="1"/>
  <c r="AH140" i="2"/>
  <c r="BM140" i="2" s="1"/>
  <c r="AC344" i="2"/>
  <c r="AC225" i="2"/>
  <c r="AF155" i="2"/>
  <c r="BK155" i="2" s="1"/>
  <c r="AC88" i="2"/>
  <c r="AI180" i="2"/>
  <c r="BN180" i="2" s="1"/>
  <c r="AE138" i="2"/>
  <c r="BJ138" i="2" s="1"/>
  <c r="AC198" i="2"/>
  <c r="AG237" i="2"/>
  <c r="BL237" i="2" s="1"/>
  <c r="AI198" i="2"/>
  <c r="BN198" i="2" s="1"/>
  <c r="AD255" i="2"/>
  <c r="BI255" i="2" s="1"/>
  <c r="AI360" i="2"/>
  <c r="AI149" i="2"/>
  <c r="BN149" i="2" s="1"/>
  <c r="AD236" i="2"/>
  <c r="BI236" i="2" s="1"/>
  <c r="AF373" i="2"/>
  <c r="BK373" i="2" s="1"/>
  <c r="AE215" i="2"/>
  <c r="BJ215" i="2" s="1"/>
  <c r="AH288" i="2"/>
  <c r="BM288" i="2" s="1"/>
  <c r="AH319" i="2"/>
  <c r="BM319" i="2" s="1"/>
  <c r="AH383" i="2"/>
  <c r="BM383" i="2" s="1"/>
  <c r="AH219" i="2"/>
  <c r="BM219" i="2" s="1"/>
  <c r="AG323" i="2"/>
  <c r="BL323" i="2" s="1"/>
  <c r="AH174" i="2"/>
  <c r="BM174" i="2" s="1"/>
  <c r="AI194" i="2"/>
  <c r="BN194" i="2" s="1"/>
  <c r="AF368" i="2"/>
  <c r="BK368" i="2" s="1"/>
  <c r="AC103" i="2"/>
  <c r="AF152" i="2"/>
  <c r="BK152" i="2" s="1"/>
  <c r="AF317" i="2"/>
  <c r="BK317" i="2" s="1"/>
  <c r="AE194" i="2"/>
  <c r="BJ194" i="2" s="1"/>
  <c r="AC383" i="2"/>
  <c r="AD142" i="2"/>
  <c r="BI142" i="2" s="1"/>
  <c r="AE151" i="2"/>
  <c r="BJ151" i="2" s="1"/>
  <c r="AD185" i="2"/>
  <c r="BI185" i="2" s="1"/>
  <c r="AE153" i="2"/>
  <c r="BJ153" i="2" s="1"/>
  <c r="AH185" i="2"/>
  <c r="BM185" i="2" s="1"/>
  <c r="AD108" i="2"/>
  <c r="BI108" i="2" s="1"/>
  <c r="AG310" i="2"/>
  <c r="BL310" i="2" s="1"/>
  <c r="AC366" i="2"/>
  <c r="AH110" i="2"/>
  <c r="BM110" i="2" s="1"/>
  <c r="AI375" i="2"/>
  <c r="BN375" i="2" s="1"/>
  <c r="AI98" i="2"/>
  <c r="BN98" i="2" s="1"/>
  <c r="AE200" i="2"/>
  <c r="BJ200" i="2" s="1"/>
  <c r="AG260" i="2"/>
  <c r="BL260" i="2" s="1"/>
  <c r="AC125" i="2"/>
  <c r="AG370" i="2"/>
  <c r="BL370" i="2" s="1"/>
  <c r="AE193" i="2"/>
  <c r="BJ193" i="2" s="1"/>
  <c r="AF103" i="2"/>
  <c r="BK103" i="2" s="1"/>
  <c r="AF346" i="2"/>
  <c r="BK346" i="2" s="1"/>
  <c r="AD254" i="2"/>
  <c r="BI254" i="2" s="1"/>
  <c r="AC227" i="2"/>
  <c r="AC337" i="2"/>
  <c r="AE79" i="2"/>
  <c r="BJ79" i="2" s="1"/>
  <c r="AI225" i="2"/>
  <c r="BN225" i="2" s="1"/>
  <c r="AG353" i="2"/>
  <c r="BL353" i="2" s="1"/>
  <c r="AI205" i="2"/>
  <c r="BN205" i="2" s="1"/>
  <c r="AH162" i="2"/>
  <c r="BM162" i="2" s="1"/>
  <c r="AI232" i="2"/>
  <c r="BN232" i="2" s="1"/>
  <c r="AH103" i="2"/>
  <c r="BM103" i="2" s="1"/>
  <c r="AF170" i="2"/>
  <c r="BK170" i="2" s="1"/>
  <c r="AC330" i="2"/>
  <c r="AE367" i="2"/>
  <c r="BJ367" i="2" s="1"/>
  <c r="AD191" i="2"/>
  <c r="BI191" i="2" s="1"/>
  <c r="AI161" i="2"/>
  <c r="BN161" i="2" s="1"/>
  <c r="AE336" i="2"/>
  <c r="BJ336" i="2" s="1"/>
  <c r="AE280" i="2"/>
  <c r="BJ280" i="2" s="1"/>
  <c r="AF215" i="2"/>
  <c r="BK215" i="2" s="1"/>
  <c r="AF208" i="2"/>
  <c r="BK208" i="2" s="1"/>
  <c r="AG169" i="2"/>
  <c r="BL169" i="2" s="1"/>
  <c r="AI217" i="2"/>
  <c r="BN217" i="2" s="1"/>
  <c r="AI123" i="2"/>
  <c r="BN123" i="2" s="1"/>
  <c r="AH165" i="2"/>
  <c r="BM165" i="2" s="1"/>
  <c r="AE331" i="2"/>
  <c r="BJ331" i="2" s="1"/>
  <c r="AE231" i="2"/>
  <c r="BJ231" i="2" s="1"/>
  <c r="AC365" i="2"/>
  <c r="AG167" i="2"/>
  <c r="BL167" i="2" s="1"/>
  <c r="AD329" i="2"/>
  <c r="BI329" i="2" s="1"/>
  <c r="AE299" i="2"/>
  <c r="BJ299" i="2" s="1"/>
  <c r="AE112" i="2"/>
  <c r="BJ112" i="2" s="1"/>
  <c r="AE157" i="2"/>
  <c r="BJ157" i="2" s="1"/>
  <c r="AG235" i="2"/>
  <c r="BL235" i="2" s="1"/>
  <c r="AE365" i="2"/>
  <c r="BJ365" i="2" s="1"/>
  <c r="AI202" i="2"/>
  <c r="BN202" i="2" s="1"/>
  <c r="AC110" i="2"/>
  <c r="AC360" i="2"/>
  <c r="AG225" i="2"/>
  <c r="BL225" i="2" s="1"/>
  <c r="AD88" i="2"/>
  <c r="BI88" i="2" s="1"/>
  <c r="AG136" i="2"/>
  <c r="BL136" i="2" s="1"/>
  <c r="AD124" i="2"/>
  <c r="BI124" i="2" s="1"/>
  <c r="AH156" i="2"/>
  <c r="BM156" i="2" s="1"/>
  <c r="AI255" i="2"/>
  <c r="BN255" i="2" s="1"/>
  <c r="AG292" i="2"/>
  <c r="BL292" i="2" s="1"/>
  <c r="AE127" i="2"/>
  <c r="BJ127" i="2" s="1"/>
  <c r="AH321" i="2"/>
  <c r="BM321" i="2" s="1"/>
  <c r="AE86" i="2"/>
  <c r="BJ86" i="2" s="1"/>
  <c r="AE117" i="2"/>
  <c r="BJ117" i="2" s="1"/>
  <c r="AE369" i="2"/>
  <c r="BJ369" i="2" s="1"/>
  <c r="AG115" i="2"/>
  <c r="BL115" i="2" s="1"/>
  <c r="AI189" i="2"/>
  <c r="BN189" i="2" s="1"/>
  <c r="AF375" i="2"/>
  <c r="BK375" i="2" s="1"/>
  <c r="AF216" i="2"/>
  <c r="BK216" i="2" s="1"/>
  <c r="AC121" i="2"/>
  <c r="AC328" i="2"/>
  <c r="AE330" i="2"/>
  <c r="BJ330" i="2" s="1"/>
  <c r="AC108" i="2"/>
  <c r="AE183" i="2"/>
  <c r="BJ183" i="2" s="1"/>
  <c r="AD245" i="2"/>
  <c r="BI245" i="2" s="1"/>
  <c r="AG129" i="2"/>
  <c r="BL129" i="2" s="1"/>
  <c r="AD275" i="2"/>
  <c r="BI275" i="2" s="1"/>
  <c r="AE325" i="2"/>
  <c r="BJ325" i="2" s="1"/>
  <c r="AI212" i="2"/>
  <c r="BN212" i="2" s="1"/>
  <c r="AH178" i="2"/>
  <c r="BM178" i="2" s="1"/>
  <c r="AG210" i="2"/>
  <c r="BL210" i="2" s="1"/>
  <c r="AD119" i="2"/>
  <c r="BI119" i="2" s="1"/>
  <c r="AC280" i="2"/>
  <c r="AF265" i="2"/>
  <c r="BK265" i="2" s="1"/>
  <c r="AF289" i="2"/>
  <c r="BK289" i="2" s="1"/>
  <c r="AH280" i="2"/>
  <c r="BM280" i="2" s="1"/>
  <c r="AI108" i="2"/>
  <c r="BN108" i="2" s="1"/>
  <c r="AD224" i="2"/>
  <c r="BI224" i="2" s="1"/>
  <c r="AE287" i="2"/>
  <c r="BJ287" i="2" s="1"/>
  <c r="AI183" i="2"/>
  <c r="BN183" i="2" s="1"/>
  <c r="AC122" i="2"/>
  <c r="AC269" i="2"/>
  <c r="AF141" i="2"/>
  <c r="BK141" i="2" s="1"/>
  <c r="AD349" i="2"/>
  <c r="BI349" i="2" s="1"/>
  <c r="AG306" i="2"/>
  <c r="BL306" i="2" s="1"/>
  <c r="AE236" i="2"/>
  <c r="BJ236" i="2" s="1"/>
  <c r="AD303" i="2"/>
  <c r="BI303" i="2" s="1"/>
  <c r="AC300" i="2"/>
  <c r="AD260" i="2"/>
  <c r="BI260" i="2" s="1"/>
  <c r="AC101" i="2"/>
  <c r="AI82" i="2"/>
  <c r="BN82" i="2" s="1"/>
  <c r="AC270" i="2"/>
  <c r="AD130" i="2"/>
  <c r="BI130" i="2" s="1"/>
  <c r="AD288" i="2"/>
  <c r="BI288" i="2" s="1"/>
  <c r="AF199" i="2"/>
  <c r="BK199" i="2" s="1"/>
  <c r="AG202" i="2"/>
  <c r="BL202" i="2" s="1"/>
  <c r="AC274" i="2"/>
  <c r="AG231" i="2"/>
  <c r="BL231" i="2" s="1"/>
  <c r="AD321" i="2"/>
  <c r="BI321" i="2" s="1"/>
  <c r="AD150" i="2"/>
  <c r="BI150" i="2" s="1"/>
  <c r="AC275" i="2"/>
  <c r="AF247" i="2"/>
  <c r="BK247" i="2" s="1"/>
  <c r="AD220" i="2"/>
  <c r="BI220" i="2" s="1"/>
  <c r="AE134" i="2"/>
  <c r="BJ134" i="2" s="1"/>
  <c r="AE265" i="2"/>
  <c r="BJ265" i="2" s="1"/>
  <c r="AH273" i="2"/>
  <c r="BM273" i="2" s="1"/>
  <c r="AI224" i="2"/>
  <c r="BN224" i="2" s="1"/>
  <c r="AI361" i="2"/>
  <c r="BN361" i="2" s="1"/>
  <c r="AG200" i="2"/>
  <c r="BL200" i="2" s="1"/>
  <c r="AH360" i="2"/>
  <c r="AC145" i="2"/>
  <c r="AG150" i="2"/>
  <c r="BL150" i="2" s="1"/>
  <c r="AE278" i="2"/>
  <c r="BJ278" i="2" s="1"/>
  <c r="AG316" i="2"/>
  <c r="BL316" i="2" s="1"/>
  <c r="AI303" i="2"/>
  <c r="BN303" i="2" s="1"/>
  <c r="AG233" i="2"/>
  <c r="BL233" i="2" s="1"/>
  <c r="AC95" i="2"/>
  <c r="AD265" i="2"/>
  <c r="BI265" i="2" s="1"/>
  <c r="AE93" i="2"/>
  <c r="BJ93" i="2" s="1"/>
  <c r="AC181" i="2"/>
  <c r="AF179" i="2"/>
  <c r="BK179" i="2" s="1"/>
  <c r="AI112" i="2"/>
  <c r="BN112" i="2" s="1"/>
  <c r="AE375" i="2"/>
  <c r="BJ375" i="2" s="1"/>
  <c r="AI135" i="2"/>
  <c r="BN135" i="2" s="1"/>
  <c r="AE198" i="2"/>
  <c r="BJ198" i="2" s="1"/>
  <c r="AI318" i="2"/>
  <c r="BN318" i="2" s="1"/>
  <c r="AC290" i="2"/>
  <c r="AI214" i="2"/>
  <c r="BN214" i="2" s="1"/>
  <c r="AI304" i="2"/>
  <c r="BN304" i="2" s="1"/>
  <c r="AE341" i="2"/>
  <c r="BJ341" i="2" s="1"/>
  <c r="AF245" i="2"/>
  <c r="BK245" i="2" s="1"/>
  <c r="AC258" i="2"/>
  <c r="BH258" i="2" s="1"/>
  <c r="AH351" i="2"/>
  <c r="BM351" i="2" s="1"/>
  <c r="AG324" i="2"/>
  <c r="BL324" i="2" s="1"/>
  <c r="AC212" i="2"/>
  <c r="AF214" i="2"/>
  <c r="BK214" i="2" s="1"/>
  <c r="AI152" i="2"/>
  <c r="BN152" i="2" s="1"/>
  <c r="AE171" i="2"/>
  <c r="BJ171" i="2" s="1"/>
  <c r="AH120" i="2"/>
  <c r="BM120" i="2" s="1"/>
  <c r="AH337" i="2"/>
  <c r="BM337" i="2" s="1"/>
  <c r="AF286" i="2"/>
  <c r="BK286" i="2" s="1"/>
  <c r="AH356" i="2"/>
  <c r="BM356" i="2" s="1"/>
  <c r="AC138" i="2"/>
  <c r="AI116" i="2"/>
  <c r="BN116" i="2" s="1"/>
  <c r="AE320" i="2"/>
  <c r="BJ320" i="2" s="1"/>
  <c r="AC149" i="2"/>
  <c r="AC326" i="2"/>
  <c r="AE147" i="2"/>
  <c r="BJ147" i="2" s="1"/>
  <c r="AI234" i="2"/>
  <c r="BN234" i="2" s="1"/>
  <c r="AG214" i="2"/>
  <c r="BL214" i="2" s="1"/>
  <c r="AE128" i="2"/>
  <c r="BJ128" i="2" s="1"/>
  <c r="AD78" i="2"/>
  <c r="BI78" i="2" s="1"/>
  <c r="AC117" i="2"/>
  <c r="AF291" i="2"/>
  <c r="BK291" i="2" s="1"/>
  <c r="AD355" i="2"/>
  <c r="BI355" i="2" s="1"/>
  <c r="AD238" i="2"/>
  <c r="BI238" i="2" s="1"/>
  <c r="AC257" i="2"/>
  <c r="AF189" i="2"/>
  <c r="BK189" i="2" s="1"/>
  <c r="AG101" i="2"/>
  <c r="BL101" i="2" s="1"/>
  <c r="AG105" i="2"/>
  <c r="BL105" i="2" s="1"/>
  <c r="AF144" i="2"/>
  <c r="BK144" i="2" s="1"/>
  <c r="AD235" i="2"/>
  <c r="BI235" i="2" s="1"/>
  <c r="AE197" i="2"/>
  <c r="BJ197" i="2" s="1"/>
  <c r="AG373" i="2"/>
  <c r="BL373" i="2" s="1"/>
  <c r="AF111" i="2"/>
  <c r="BK111" i="2" s="1"/>
  <c r="AG287" i="2"/>
  <c r="BL287" i="2" s="1"/>
  <c r="AF89" i="2"/>
  <c r="BK89" i="2" s="1"/>
  <c r="AE172" i="2"/>
  <c r="BJ172" i="2" s="1"/>
  <c r="AF292" i="2"/>
  <c r="BK292" i="2" s="1"/>
  <c r="AF130" i="2"/>
  <c r="BK130" i="2" s="1"/>
  <c r="AF242" i="2"/>
  <c r="BK242" i="2" s="1"/>
  <c r="AH368" i="2"/>
  <c r="BM368" i="2" s="1"/>
  <c r="AD82" i="2"/>
  <c r="BI82" i="2" s="1"/>
  <c r="AD298" i="2"/>
  <c r="BI298" i="2" s="1"/>
  <c r="AE156" i="2"/>
  <c r="BJ156" i="2" s="1"/>
  <c r="AH266" i="2"/>
  <c r="BM266" i="2" s="1"/>
  <c r="AD383" i="2"/>
  <c r="BI383" i="2" s="1"/>
  <c r="AH232" i="2"/>
  <c r="BM232" i="2" s="1"/>
  <c r="AF188" i="2"/>
  <c r="BK188" i="2" s="1"/>
  <c r="AD79" i="2"/>
  <c r="BI79" i="2" s="1"/>
  <c r="AG188" i="2"/>
  <c r="BL188" i="2" s="1"/>
  <c r="AC143" i="2"/>
  <c r="AI133" i="2"/>
  <c r="BN133" i="2" s="1"/>
  <c r="AF254" i="2"/>
  <c r="BK254" i="2" s="1"/>
  <c r="AH340" i="2"/>
  <c r="BM340" i="2" s="1"/>
  <c r="AI136" i="2"/>
  <c r="BN136" i="2" s="1"/>
  <c r="AG376" i="2"/>
  <c r="BL376" i="2" s="1"/>
  <c r="AC362" i="2"/>
  <c r="AH246" i="2"/>
  <c r="BM246" i="2" s="1"/>
  <c r="AD246" i="2"/>
  <c r="BI246" i="2" s="1"/>
  <c r="AC119" i="2"/>
  <c r="AC102" i="2"/>
  <c r="AF227" i="2"/>
  <c r="BK227" i="2" s="1"/>
  <c r="AC146" i="2"/>
  <c r="AH217" i="2"/>
  <c r="BM217" i="2" s="1"/>
  <c r="AF184" i="2"/>
  <c r="BK184" i="2" s="1"/>
  <c r="AF280" i="2"/>
  <c r="BK280" i="2" s="1"/>
  <c r="AI105" i="2"/>
  <c r="BN105" i="2" s="1"/>
  <c r="AF129" i="2"/>
  <c r="BK129" i="2" s="1"/>
  <c r="AG281" i="2"/>
  <c r="BL281" i="2" s="1"/>
  <c r="AF140" i="2"/>
  <c r="BK140" i="2" s="1"/>
  <c r="AF183" i="2"/>
  <c r="BK183" i="2" s="1"/>
  <c r="AI299" i="2"/>
  <c r="BN299" i="2" s="1"/>
  <c r="AC234" i="2"/>
  <c r="AI137" i="2"/>
  <c r="BN137" i="2" s="1"/>
  <c r="AD194" i="2"/>
  <c r="BI194" i="2" s="1"/>
  <c r="AH259" i="2"/>
  <c r="BM259" i="2" s="1"/>
  <c r="AH154" i="2"/>
  <c r="BM154" i="2" s="1"/>
  <c r="AC151" i="2"/>
  <c r="AC350" i="2"/>
  <c r="AH228" i="2"/>
  <c r="BM228" i="2" s="1"/>
  <c r="AI252" i="2"/>
  <c r="BN252" i="2" s="1"/>
  <c r="AF96" i="2"/>
  <c r="BK96" i="2" s="1"/>
  <c r="AH241" i="2"/>
  <c r="BM241" i="2" s="1"/>
  <c r="AI261" i="2"/>
  <c r="BN261" i="2" s="1"/>
  <c r="AF106" i="2"/>
  <c r="BK106" i="2" s="1"/>
  <c r="AF359" i="2"/>
  <c r="BK359" i="2" s="1"/>
  <c r="AH257" i="2"/>
  <c r="BM257" i="2" s="1"/>
  <c r="AG249" i="2"/>
  <c r="BL249" i="2" s="1"/>
  <c r="AH201" i="2"/>
  <c r="BM201" i="2" s="1"/>
  <c r="AF321" i="2"/>
  <c r="BK321" i="2" s="1"/>
  <c r="AE277" i="2"/>
  <c r="BJ277" i="2" s="1"/>
  <c r="AI288" i="2"/>
  <c r="BN288" i="2" s="1"/>
  <c r="AF246" i="2"/>
  <c r="BK246" i="2" s="1"/>
  <c r="AH264" i="2"/>
  <c r="BM264" i="2" s="1"/>
  <c r="AC83" i="2"/>
  <c r="AH252" i="2"/>
  <c r="BM252" i="2" s="1"/>
  <c r="AI323" i="2"/>
  <c r="BN323" i="2" s="1"/>
  <c r="AF278" i="2"/>
  <c r="BK278" i="2" s="1"/>
  <c r="AC305" i="2"/>
  <c r="BH305" i="2" s="1"/>
  <c r="AG326" i="2"/>
  <c r="BL326" i="2" s="1"/>
  <c r="AD346" i="2"/>
  <c r="BI346" i="2" s="1"/>
  <c r="AF146" i="2"/>
  <c r="BK146" i="2" s="1"/>
  <c r="AF224" i="2"/>
  <c r="BK224" i="2" s="1"/>
  <c r="AI321" i="2"/>
  <c r="BN321" i="2" s="1"/>
  <c r="AH220" i="2"/>
  <c r="BM220" i="2" s="1"/>
  <c r="AG255" i="2"/>
  <c r="BL255" i="2" s="1"/>
  <c r="AE274" i="2"/>
  <c r="BJ274" i="2" s="1"/>
  <c r="AF277" i="2"/>
  <c r="BK277" i="2" s="1"/>
  <c r="AE95" i="2"/>
  <c r="BJ95" i="2" s="1"/>
  <c r="AI383" i="2"/>
  <c r="BN383" i="2" s="1"/>
  <c r="AC140" i="2"/>
  <c r="BH140" i="2" s="1"/>
  <c r="AH268" i="2"/>
  <c r="BM268" i="2" s="1"/>
  <c r="AG321" i="2"/>
  <c r="BL321" i="2" s="1"/>
  <c r="AG139" i="2"/>
  <c r="BL139" i="2" s="1"/>
  <c r="AI346" i="2"/>
  <c r="BN346" i="2" s="1"/>
  <c r="AC106" i="2"/>
  <c r="AE279" i="2"/>
  <c r="BJ279" i="2" s="1"/>
  <c r="AC94" i="2"/>
  <c r="AF185" i="2"/>
  <c r="BK185" i="2" s="1"/>
  <c r="AI267" i="2"/>
  <c r="BN267" i="2" s="1"/>
  <c r="AH245" i="2"/>
  <c r="BM245" i="2" s="1"/>
  <c r="AG198" i="2"/>
  <c r="BL198" i="2" s="1"/>
  <c r="AH139" i="2"/>
  <c r="BM139" i="2" s="1"/>
  <c r="AE178" i="2"/>
  <c r="BJ178" i="2" s="1"/>
  <c r="AH343" i="2"/>
  <c r="BM343" i="2" s="1"/>
  <c r="AC135" i="2"/>
  <c r="AE337" i="2"/>
  <c r="BJ337" i="2" s="1"/>
  <c r="AD341" i="2"/>
  <c r="BI341" i="2" s="1"/>
  <c r="AI142" i="2"/>
  <c r="BN142" i="2" s="1"/>
  <c r="AH367" i="2"/>
  <c r="BM367" i="2" s="1"/>
  <c r="AI247" i="2"/>
  <c r="BN247" i="2" s="1"/>
  <c r="AD219" i="2"/>
  <c r="BI219" i="2" s="1"/>
  <c r="AF316" i="2"/>
  <c r="BK316" i="2" s="1"/>
  <c r="AD295" i="2"/>
  <c r="BI295" i="2" s="1"/>
  <c r="AF363" i="2"/>
  <c r="BK363" i="2" s="1"/>
  <c r="AG267" i="2"/>
  <c r="BL267" i="2" s="1"/>
  <c r="AG295" i="2"/>
  <c r="BL295" i="2" s="1"/>
  <c r="AF325" i="2"/>
  <c r="BK325" i="2" s="1"/>
  <c r="AD381" i="2"/>
  <c r="BI381" i="2" s="1"/>
  <c r="AC317" i="2"/>
  <c r="AH292" i="2"/>
  <c r="BM292" i="2" s="1"/>
  <c r="AD343" i="2"/>
  <c r="BI343" i="2" s="1"/>
  <c r="AD144" i="2"/>
  <c r="BI144" i="2" s="1"/>
  <c r="AC377" i="2"/>
  <c r="AE324" i="2"/>
  <c r="BJ324" i="2" s="1"/>
  <c r="AG97" i="2"/>
  <c r="BL97" i="2" s="1"/>
  <c r="AD274" i="2"/>
  <c r="BI274" i="2" s="1"/>
  <c r="AH302" i="2"/>
  <c r="BM302" i="2" s="1"/>
  <c r="AG111" i="2"/>
  <c r="BL111" i="2" s="1"/>
  <c r="AG194" i="2"/>
  <c r="BL194" i="2" s="1"/>
  <c r="AI134" i="2"/>
  <c r="BN134" i="2" s="1"/>
  <c r="AD348" i="2"/>
  <c r="BI348" i="2" s="1"/>
  <c r="AC141" i="2"/>
  <c r="BH141" i="2" s="1"/>
  <c r="AH271" i="2"/>
  <c r="BM271" i="2" s="1"/>
  <c r="AD352" i="2"/>
  <c r="BI352" i="2" s="1"/>
  <c r="AD217" i="2"/>
  <c r="BI217" i="2" s="1"/>
  <c r="AG117" i="2"/>
  <c r="BL117" i="2" s="1"/>
  <c r="AF257" i="2"/>
  <c r="BK257" i="2" s="1"/>
  <c r="AI221" i="2"/>
  <c r="BN221" i="2" s="1"/>
  <c r="AE199" i="2"/>
  <c r="BJ199" i="2" s="1"/>
  <c r="AE101" i="2"/>
  <c r="BJ101" i="2" s="1"/>
  <c r="AD131" i="2"/>
  <c r="BI131" i="2" s="1"/>
  <c r="AH230" i="2"/>
  <c r="BM230" i="2" s="1"/>
  <c r="AF296" i="2"/>
  <c r="BK296" i="2" s="1"/>
  <c r="AE94" i="2"/>
  <c r="BJ94" i="2" s="1"/>
  <c r="AH183" i="2"/>
  <c r="BM183" i="2" s="1"/>
  <c r="AC188" i="2"/>
  <c r="BH188" i="2" s="1"/>
  <c r="AC155" i="2"/>
  <c r="AH213" i="2"/>
  <c r="BM213" i="2" s="1"/>
  <c r="AC363" i="2"/>
  <c r="AD141" i="2"/>
  <c r="BI141" i="2" s="1"/>
  <c r="AD100" i="2"/>
  <c r="BI100" i="2" s="1"/>
  <c r="AE190" i="2"/>
  <c r="BJ190" i="2" s="1"/>
  <c r="AD229" i="2"/>
  <c r="BI229" i="2" s="1"/>
  <c r="AC325" i="2"/>
  <c r="BH325" i="2" s="1"/>
  <c r="AH336" i="2"/>
  <c r="BM336" i="2" s="1"/>
  <c r="AH105" i="2"/>
  <c r="BM105" i="2" s="1"/>
  <c r="AG269" i="2"/>
  <c r="BL269" i="2" s="1"/>
  <c r="AI192" i="2"/>
  <c r="BN192" i="2" s="1"/>
  <c r="AI347" i="2"/>
  <c r="BN347" i="2" s="1"/>
  <c r="AC218" i="2"/>
  <c r="BH218" i="2" s="1"/>
  <c r="AC249" i="2"/>
  <c r="AG221" i="2"/>
  <c r="BL221" i="2" s="1"/>
  <c r="AH265" i="2"/>
  <c r="BM265" i="2" s="1"/>
  <c r="AF327" i="2"/>
  <c r="BK327" i="2" s="1"/>
  <c r="AD261" i="2"/>
  <c r="BI261" i="2" s="1"/>
  <c r="AD339" i="2"/>
  <c r="BI339" i="2" s="1"/>
  <c r="AI178" i="2"/>
  <c r="BN178" i="2" s="1"/>
  <c r="AF123" i="2"/>
  <c r="BK123" i="2" s="1"/>
  <c r="AH260" i="2"/>
  <c r="BM260" i="2" s="1"/>
  <c r="AG288" i="2"/>
  <c r="BL288" i="2" s="1"/>
  <c r="AI121" i="2"/>
  <c r="BN121" i="2" s="1"/>
  <c r="AI367" i="2"/>
  <c r="BN367" i="2" s="1"/>
  <c r="AD200" i="2"/>
  <c r="BI200" i="2" s="1"/>
  <c r="AH272" i="2"/>
  <c r="BM272" i="2" s="1"/>
  <c r="AG341" i="2"/>
  <c r="BL341" i="2" s="1"/>
  <c r="AD257" i="2"/>
  <c r="BI257" i="2" s="1"/>
  <c r="AF287" i="2"/>
  <c r="BK287" i="2" s="1"/>
  <c r="AG263" i="2"/>
  <c r="BL263" i="2" s="1"/>
  <c r="AG229" i="2"/>
  <c r="BL229" i="2" s="1"/>
  <c r="AI283" i="2"/>
  <c r="BN283" i="2" s="1"/>
  <c r="AH111" i="2"/>
  <c r="BM111" i="2" s="1"/>
  <c r="AE235" i="2"/>
  <c r="BJ235" i="2" s="1"/>
  <c r="AC253" i="2"/>
  <c r="AD382" i="2"/>
  <c r="BI382" i="2" s="1"/>
  <c r="AF151" i="2"/>
  <c r="BK151" i="2" s="1"/>
  <c r="AI301" i="2"/>
  <c r="BN301" i="2" s="1"/>
  <c r="AH100" i="2"/>
  <c r="BM100" i="2" s="1"/>
  <c r="AD326" i="2"/>
  <c r="BI326" i="2" s="1"/>
  <c r="AE374" i="2"/>
  <c r="BJ374" i="2" s="1"/>
  <c r="AC222" i="2"/>
  <c r="BH222" i="2" s="1"/>
  <c r="AD279" i="2"/>
  <c r="BI279" i="2" s="1"/>
  <c r="AH267" i="2"/>
  <c r="BM267" i="2" s="1"/>
  <c r="AH369" i="2"/>
  <c r="BM369" i="2" s="1"/>
  <c r="AC244" i="2"/>
  <c r="AH85" i="2"/>
  <c r="BM85" i="2" s="1"/>
  <c r="AH79" i="2"/>
  <c r="BM79" i="2" s="1"/>
  <c r="AI310" i="2"/>
  <c r="BN310" i="2" s="1"/>
  <c r="AH130" i="2"/>
  <c r="BM130" i="2" s="1"/>
  <c r="AE108" i="2"/>
  <c r="BJ108" i="2" s="1"/>
  <c r="AG239" i="2"/>
  <c r="BL239" i="2" s="1"/>
  <c r="AG335" i="2"/>
  <c r="BL335" i="2" s="1"/>
  <c r="AD171" i="2"/>
  <c r="BI171" i="2" s="1"/>
  <c r="AI328" i="2"/>
  <c r="BN328" i="2" s="1"/>
  <c r="AC123" i="2"/>
  <c r="BH123" i="2" s="1"/>
  <c r="AD165" i="2"/>
  <c r="BI165" i="2" s="1"/>
  <c r="AC196" i="2"/>
  <c r="BH196" i="2" s="1"/>
  <c r="AH207" i="2"/>
  <c r="BM207" i="2" s="1"/>
  <c r="AC99" i="2"/>
  <c r="G99" i="2" s="1"/>
  <c r="AC342" i="2"/>
  <c r="AC272" i="2"/>
  <c r="BH272" i="2" s="1"/>
  <c r="AI127" i="2"/>
  <c r="BN127" i="2" s="1"/>
  <c r="AI253" i="2"/>
  <c r="BN253" i="2" s="1"/>
  <c r="AE273" i="2"/>
  <c r="BJ273" i="2" s="1"/>
  <c r="AG254" i="2"/>
  <c r="BL254" i="2" s="1"/>
  <c r="AE295" i="2"/>
  <c r="BJ295" i="2" s="1"/>
  <c r="AI280" i="2"/>
  <c r="BN280" i="2" s="1"/>
  <c r="AF168" i="2"/>
  <c r="BK168" i="2" s="1"/>
  <c r="AF228" i="2"/>
  <c r="BK228" i="2" s="1"/>
  <c r="AG165" i="2"/>
  <c r="BL165" i="2" s="1"/>
  <c r="AI381" i="2"/>
  <c r="BN381" i="2" s="1"/>
  <c r="AE206" i="2"/>
  <c r="BJ206" i="2" s="1"/>
  <c r="AH289" i="2"/>
  <c r="BM289" i="2" s="1"/>
  <c r="AE207" i="2"/>
  <c r="BJ207" i="2" s="1"/>
  <c r="AG218" i="2"/>
  <c r="BL218" i="2" s="1"/>
  <c r="AH96" i="2"/>
  <c r="BM96" i="2" s="1"/>
  <c r="AI256" i="2"/>
  <c r="BN256" i="2" s="1"/>
  <c r="AF84" i="2"/>
  <c r="BK84" i="2" s="1"/>
  <c r="AF230" i="2"/>
  <c r="BK230" i="2" s="1"/>
  <c r="AH352" i="2"/>
  <c r="BM352" i="2" s="1"/>
  <c r="AC82" i="2"/>
  <c r="BH82" i="2" s="1"/>
  <c r="AF126" i="2"/>
  <c r="BK126" i="2" s="1"/>
  <c r="AE373" i="2"/>
  <c r="BJ373" i="2" s="1"/>
  <c r="AC170" i="2"/>
  <c r="AD364" i="2"/>
  <c r="BI364" i="2" s="1"/>
  <c r="AD164" i="2"/>
  <c r="BI164" i="2" s="1"/>
  <c r="AE281" i="2"/>
  <c r="BJ281" i="2" s="1"/>
  <c r="AF206" i="2"/>
  <c r="BK206" i="2" s="1"/>
  <c r="AH84" i="2"/>
  <c r="BM84" i="2" s="1"/>
  <c r="AG93" i="2"/>
  <c r="BL93" i="2" s="1"/>
  <c r="AH365" i="2"/>
  <c r="BM365" i="2" s="1"/>
  <c r="AI365" i="2"/>
  <c r="BN365" i="2" s="1"/>
  <c r="AI118" i="2"/>
  <c r="BN118" i="2" s="1"/>
  <c r="AI344" i="2"/>
  <c r="BN344" i="2" s="1"/>
  <c r="AD251" i="2"/>
  <c r="BI251" i="2" s="1"/>
  <c r="AF274" i="2"/>
  <c r="BK274" i="2" s="1"/>
  <c r="AH203" i="2"/>
  <c r="BM203" i="2" s="1"/>
  <c r="BM377" i="2"/>
  <c r="AE229" i="2"/>
  <c r="BJ229" i="2" s="1"/>
  <c r="AC332" i="2"/>
  <c r="AI96" i="2"/>
  <c r="BN96" i="2" s="1"/>
  <c r="AI334" i="2"/>
  <c r="BN334" i="2" s="1"/>
  <c r="AD177" i="2"/>
  <c r="BI177" i="2" s="1"/>
  <c r="AG157" i="2"/>
  <c r="BL157" i="2" s="1"/>
  <c r="AD198" i="2"/>
  <c r="BI198" i="2" s="1"/>
  <c r="AF166" i="2"/>
  <c r="BK166" i="2" s="1"/>
  <c r="AG293" i="2"/>
  <c r="BL293" i="2" s="1"/>
  <c r="AE89" i="2"/>
  <c r="BJ89" i="2" s="1"/>
  <c r="AH326" i="2"/>
  <c r="BM326" i="2" s="1"/>
  <c r="AC359" i="2"/>
  <c r="AD151" i="2"/>
  <c r="BI151" i="2" s="1"/>
  <c r="AH191" i="2"/>
  <c r="BM191" i="2" s="1"/>
  <c r="AF142" i="2"/>
  <c r="BK142" i="2" s="1"/>
  <c r="AE126" i="2"/>
  <c r="BJ126" i="2" s="1"/>
  <c r="AE269" i="2"/>
  <c r="BJ269" i="2" s="1"/>
  <c r="AF331" i="2"/>
  <c r="BK331" i="2" s="1"/>
  <c r="AG358" i="2"/>
  <c r="BL358" i="2" s="1"/>
  <c r="AF332" i="2"/>
  <c r="BK332" i="2" s="1"/>
  <c r="AE152" i="2"/>
  <c r="BJ152" i="2" s="1"/>
  <c r="AF169" i="2"/>
  <c r="BK169" i="2" s="1"/>
  <c r="AF369" i="2"/>
  <c r="BK369" i="2" s="1"/>
  <c r="AE163" i="2"/>
  <c r="BJ163" i="2" s="1"/>
  <c r="BN379" i="2"/>
  <c r="AE175" i="2"/>
  <c r="BJ175" i="2" s="1"/>
  <c r="AH235" i="2"/>
  <c r="BM235" i="2" s="1"/>
  <c r="AC318" i="2"/>
  <c r="AF128" i="2"/>
  <c r="BK128" i="2" s="1"/>
  <c r="AG354" i="2"/>
  <c r="BL354" i="2" s="1"/>
  <c r="AF102" i="2"/>
  <c r="BK102" i="2" s="1"/>
  <c r="AD143" i="2"/>
  <c r="BI143" i="2" s="1"/>
  <c r="AG367" i="2"/>
  <c r="BL367" i="2" s="1"/>
  <c r="AC158" i="2"/>
  <c r="AE225" i="2"/>
  <c r="BJ225" i="2" s="1"/>
  <c r="AC168" i="2"/>
  <c r="AF231" i="2"/>
  <c r="BK231" i="2" s="1"/>
  <c r="AI208" i="2"/>
  <c r="BN208" i="2" s="1"/>
  <c r="AE359" i="2"/>
  <c r="BJ359" i="2" s="1"/>
  <c r="AI207" i="2"/>
  <c r="BN207" i="2" s="1"/>
  <c r="AI78" i="2"/>
  <c r="BN78" i="2" s="1"/>
  <c r="AG116" i="2"/>
  <c r="BL116" i="2" s="1"/>
  <c r="AG119" i="2"/>
  <c r="BL119" i="2" s="1"/>
  <c r="AD114" i="2"/>
  <c r="BI114" i="2" s="1"/>
  <c r="AC89" i="2"/>
  <c r="BH89" i="2" s="1"/>
  <c r="AG180" i="2"/>
  <c r="BL180" i="2" s="1"/>
  <c r="AC96" i="2"/>
  <c r="BH96" i="2" s="1"/>
  <c r="AG88" i="2"/>
  <c r="BL88" i="2" s="1"/>
  <c r="AC183" i="2"/>
  <c r="BH183" i="2" s="1"/>
  <c r="AH168" i="2"/>
  <c r="BM168" i="2" s="1"/>
  <c r="AH104" i="2"/>
  <c r="BM104" i="2" s="1"/>
  <c r="AF167" i="2"/>
  <c r="BK167" i="2" s="1"/>
  <c r="AF218" i="2"/>
  <c r="BK218" i="2" s="1"/>
  <c r="AF207" i="2"/>
  <c r="BK207" i="2" s="1"/>
  <c r="AC367" i="2"/>
  <c r="BH367" i="2" s="1"/>
  <c r="AD209" i="2"/>
  <c r="BI209" i="2" s="1"/>
  <c r="AC345" i="2"/>
  <c r="BH345" i="2" s="1"/>
  <c r="AG355" i="2"/>
  <c r="BL355" i="2" s="1"/>
  <c r="AC178" i="2"/>
  <c r="BH178" i="2" s="1"/>
  <c r="AF136" i="2"/>
  <c r="BK136" i="2" s="1"/>
  <c r="AH196" i="2"/>
  <c r="BM196" i="2" s="1"/>
  <c r="AI345" i="2"/>
  <c r="BN345" i="2" s="1"/>
  <c r="AI186" i="2"/>
  <c r="BN186" i="2" s="1"/>
  <c r="AI213" i="2"/>
  <c r="BN213" i="2" s="1"/>
  <c r="AI193" i="2"/>
  <c r="BN193" i="2" s="1"/>
  <c r="AF213" i="2"/>
  <c r="BK213" i="2" s="1"/>
  <c r="AC255" i="2"/>
  <c r="BH255" i="2" s="1"/>
  <c r="AI146" i="2"/>
  <c r="BN146" i="2" s="1"/>
  <c r="AG196" i="2"/>
  <c r="BL196" i="2" s="1"/>
  <c r="AI90" i="2"/>
  <c r="BN90" i="2" s="1"/>
  <c r="AH227" i="2"/>
  <c r="BM227" i="2" s="1"/>
  <c r="AF95" i="2"/>
  <c r="BK95" i="2" s="1"/>
  <c r="AG247" i="2"/>
  <c r="BL247" i="2" s="1"/>
  <c r="AH303" i="2"/>
  <c r="BM303" i="2" s="1"/>
  <c r="AG240" i="2"/>
  <c r="BL240" i="2" s="1"/>
  <c r="AI279" i="2"/>
  <c r="BN279" i="2" s="1"/>
  <c r="AE360" i="2"/>
  <c r="BJ360" i="2" s="1"/>
  <c r="AH138" i="2"/>
  <c r="BM138" i="2" s="1"/>
  <c r="AD302" i="2"/>
  <c r="BI302" i="2" s="1"/>
  <c r="AC231" i="2"/>
  <c r="AD120" i="2"/>
  <c r="BI120" i="2" s="1"/>
  <c r="AH353" i="2"/>
  <c r="BM353" i="2" s="1"/>
  <c r="AH179" i="2"/>
  <c r="BM179" i="2" s="1"/>
  <c r="AG85" i="2"/>
  <c r="BL85" i="2" s="1"/>
  <c r="AD115" i="2"/>
  <c r="BI115" i="2" s="1"/>
  <c r="AF372" i="2"/>
  <c r="BK372" i="2" s="1"/>
  <c r="AG298" i="2"/>
  <c r="BL298" i="2" s="1"/>
  <c r="AG245" i="2"/>
  <c r="BL245" i="2" s="1"/>
  <c r="AH233" i="2"/>
  <c r="BM233" i="2" s="1"/>
  <c r="AC277" i="2"/>
  <c r="BH277" i="2" s="1"/>
  <c r="AG201" i="2"/>
  <c r="BL201" i="2" s="1"/>
  <c r="AH177" i="2"/>
  <c r="BM177" i="2" s="1"/>
  <c r="AC310" i="2"/>
  <c r="BH310" i="2" s="1"/>
  <c r="AF269" i="2"/>
  <c r="BK269" i="2" s="1"/>
  <c r="AI370" i="2"/>
  <c r="BN370" i="2" s="1"/>
  <c r="AD244" i="2"/>
  <c r="BI244" i="2" s="1"/>
  <c r="AH83" i="2"/>
  <c r="BM83" i="2" s="1"/>
  <c r="AG159" i="2"/>
  <c r="BL159" i="2" s="1"/>
  <c r="BM378" i="2"/>
  <c r="AF131" i="2"/>
  <c r="BK131" i="2" s="1"/>
  <c r="AC193" i="2"/>
  <c r="BH193" i="2" s="1"/>
  <c r="AH305" i="2"/>
  <c r="BM305" i="2" s="1"/>
  <c r="AG175" i="2"/>
  <c r="BL175" i="2" s="1"/>
  <c r="AI294" i="2"/>
  <c r="BN294" i="2" s="1"/>
  <c r="AI110" i="2"/>
  <c r="BN110" i="2" s="1"/>
  <c r="AD228" i="2"/>
  <c r="BI228" i="2" s="1"/>
  <c r="AE239" i="2"/>
  <c r="BJ239" i="2" s="1"/>
  <c r="AC243" i="2"/>
  <c r="AF175" i="2"/>
  <c r="BK175" i="2" s="1"/>
  <c r="AH258" i="2"/>
  <c r="BM258" i="2" s="1"/>
  <c r="AC240" i="2"/>
  <c r="BH240" i="2" s="1"/>
  <c r="AH118" i="2"/>
  <c r="BM118" i="2" s="1"/>
  <c r="AH101" i="2"/>
  <c r="BM101" i="2" s="1"/>
  <c r="AF137" i="2"/>
  <c r="BK137" i="2" s="1"/>
  <c r="AD122" i="2"/>
  <c r="BI122" i="2" s="1"/>
  <c r="AG228" i="2"/>
  <c r="BL228" i="2" s="1"/>
  <c r="AD377" i="2"/>
  <c r="BI377" i="2" s="1"/>
  <c r="AH276" i="2"/>
  <c r="BM276" i="2" s="1"/>
  <c r="AC174" i="2"/>
  <c r="BH174" i="2" s="1"/>
  <c r="AI276" i="2"/>
  <c r="BN276" i="2" s="1"/>
  <c r="AH323" i="2"/>
  <c r="BM323" i="2" s="1"/>
  <c r="AE181" i="2"/>
  <c r="BJ181" i="2" s="1"/>
  <c r="AC289" i="2"/>
  <c r="BH289" i="2" s="1"/>
  <c r="AI338" i="2"/>
  <c r="BN338" i="2" s="1"/>
  <c r="AD300" i="2"/>
  <c r="BI300" i="2" s="1"/>
  <c r="AI119" i="2"/>
  <c r="BN119" i="2" s="1"/>
  <c r="AI352" i="2"/>
  <c r="BN352" i="2" s="1"/>
  <c r="AF341" i="2"/>
  <c r="BK341" i="2" s="1"/>
  <c r="AC281" i="2"/>
  <c r="BH281" i="2" s="1"/>
  <c r="AC297" i="2"/>
  <c r="AI285" i="2"/>
  <c r="BN285" i="2" s="1"/>
  <c r="AF196" i="2"/>
  <c r="BK196" i="2" s="1"/>
  <c r="AI254" i="2"/>
  <c r="BN254" i="2" s="1"/>
  <c r="AE245" i="2"/>
  <c r="BJ245" i="2" s="1"/>
  <c r="AD105" i="2"/>
  <c r="BI105" i="2" s="1"/>
  <c r="AF303" i="2"/>
  <c r="BK303" i="2" s="1"/>
  <c r="AF88" i="2"/>
  <c r="BK88" i="2" s="1"/>
  <c r="AH322" i="2"/>
  <c r="BM322" i="2" s="1"/>
  <c r="AH225" i="2"/>
  <c r="BM225" i="2" s="1"/>
  <c r="AF295" i="2"/>
  <c r="BK295" i="2" s="1"/>
  <c r="AI320" i="2"/>
  <c r="BN320" i="2" s="1"/>
  <c r="AG280" i="2"/>
  <c r="BL280" i="2" s="1"/>
  <c r="AE376" i="2"/>
  <c r="BJ376" i="2" s="1"/>
  <c r="AE123" i="2"/>
  <c r="BJ123" i="2" s="1"/>
  <c r="AF320" i="2"/>
  <c r="BK320" i="2" s="1"/>
  <c r="AC284" i="2"/>
  <c r="AH133" i="2"/>
  <c r="BM133" i="2" s="1"/>
  <c r="AH359" i="2"/>
  <c r="BM359" i="2" s="1"/>
  <c r="AH192" i="2"/>
  <c r="BM192" i="2" s="1"/>
  <c r="AD305" i="2"/>
  <c r="BI305" i="2" s="1"/>
  <c r="AG384" i="2"/>
  <c r="BL384" i="2" s="1"/>
  <c r="AD294" i="2"/>
  <c r="BI294" i="2" s="1"/>
  <c r="AD250" i="2"/>
  <c r="BI250" i="2" s="1"/>
  <c r="AC357" i="2"/>
  <c r="BH357" i="2" s="1"/>
  <c r="AG112" i="2"/>
  <c r="BL112" i="2" s="1"/>
  <c r="AD175" i="2"/>
  <c r="BI175" i="2" s="1"/>
  <c r="AE232" i="2"/>
  <c r="BJ232" i="2" s="1"/>
  <c r="AH193" i="2"/>
  <c r="BM193" i="2" s="1"/>
  <c r="AD289" i="2"/>
  <c r="BI289" i="2" s="1"/>
  <c r="AE353" i="2"/>
  <c r="BJ353" i="2" s="1"/>
  <c r="AF282" i="2"/>
  <c r="BK282" i="2" s="1"/>
  <c r="AF125" i="2"/>
  <c r="BK125" i="2" s="1"/>
  <c r="AE228" i="2"/>
  <c r="BJ228" i="2" s="1"/>
  <c r="AG366" i="2"/>
  <c r="BL366" i="2" s="1"/>
  <c r="AI319" i="2"/>
  <c r="BN319" i="2" s="1"/>
  <c r="AC276" i="2"/>
  <c r="BH276" i="2" s="1"/>
  <c r="AG272" i="2"/>
  <c r="BL272" i="2" s="1"/>
  <c r="AC322" i="2"/>
  <c r="AC172" i="2"/>
  <c r="BH172" i="2" s="1"/>
  <c r="AH283" i="2"/>
  <c r="BM283" i="2" s="1"/>
  <c r="AC80" i="2"/>
  <c r="BH80" i="2" s="1"/>
  <c r="AG251" i="2"/>
  <c r="BL251" i="2" s="1"/>
  <c r="AC364" i="2"/>
  <c r="BH364" i="2" s="1"/>
  <c r="AH161" i="2"/>
  <c r="BM161" i="2" s="1"/>
  <c r="AC246" i="2"/>
  <c r="BH246" i="2" s="1"/>
  <c r="AF164" i="2"/>
  <c r="BK164" i="2" s="1"/>
  <c r="AG186" i="2"/>
  <c r="BL186" i="2" s="1"/>
  <c r="AI329" i="2"/>
  <c r="BN329" i="2" s="1"/>
  <c r="AG87" i="2"/>
  <c r="BL87" i="2" s="1"/>
  <c r="AI336" i="2"/>
  <c r="BN336" i="2" s="1"/>
  <c r="AH238" i="2"/>
  <c r="BM238" i="2" s="1"/>
  <c r="AG262" i="2"/>
  <c r="BL262" i="2" s="1"/>
  <c r="AD97" i="2"/>
  <c r="BI97" i="2" s="1"/>
  <c r="AI104" i="2"/>
  <c r="BN104" i="2" s="1"/>
  <c r="AH195" i="2"/>
  <c r="BM195" i="2" s="1"/>
  <c r="AF250" i="2"/>
  <c r="BK250" i="2" s="1"/>
  <c r="AH254" i="2"/>
  <c r="BM254" i="2" s="1"/>
  <c r="AH344" i="2"/>
  <c r="BM344" i="2" s="1"/>
  <c r="AH88" i="2"/>
  <c r="BM88" i="2" s="1"/>
  <c r="AC306" i="2"/>
  <c r="AE248" i="2"/>
  <c r="BJ248" i="2" s="1"/>
  <c r="AE275" i="2"/>
  <c r="BJ275" i="2" s="1"/>
  <c r="AD189" i="2"/>
  <c r="BI189" i="2" s="1"/>
  <c r="AC206" i="2"/>
  <c r="BH206" i="2" s="1"/>
  <c r="AC130" i="2"/>
  <c r="BH130" i="2" s="1"/>
  <c r="AH209" i="2"/>
  <c r="BM209" i="2" s="1"/>
  <c r="AE272" i="2"/>
  <c r="BJ272" i="2" s="1"/>
  <c r="AC115" i="2"/>
  <c r="BH115" i="2" s="1"/>
  <c r="AG291" i="2"/>
  <c r="BL291" i="2" s="1"/>
  <c r="AH358" i="2"/>
  <c r="BM358" i="2" s="1"/>
  <c r="AF367" i="2"/>
  <c r="BK367" i="2" s="1"/>
  <c r="AG81" i="2"/>
  <c r="BL81" i="2" s="1"/>
  <c r="AH250" i="2"/>
  <c r="BM250" i="2" s="1"/>
  <c r="AD145" i="2"/>
  <c r="BI145" i="2" s="1"/>
  <c r="AG122" i="2"/>
  <c r="BL122" i="2" s="1"/>
  <c r="AF220" i="2"/>
  <c r="BK220" i="2" s="1"/>
  <c r="AG98" i="2"/>
  <c r="BL98" i="2" s="1"/>
  <c r="AI95" i="2"/>
  <c r="BN95" i="2" s="1"/>
  <c r="AG141" i="2"/>
  <c r="BL141" i="2" s="1"/>
  <c r="AE212" i="2"/>
  <c r="BJ212" i="2" s="1"/>
  <c r="AI87" i="2"/>
  <c r="BN87" i="2" s="1"/>
  <c r="AE210" i="2"/>
  <c r="BJ210" i="2" s="1"/>
  <c r="AD291" i="2"/>
  <c r="BI291" i="2" s="1"/>
  <c r="AH145" i="2"/>
  <c r="BM145" i="2" s="1"/>
  <c r="AC153" i="2"/>
  <c r="BH153" i="2" s="1"/>
  <c r="AH113" i="2"/>
  <c r="BM113" i="2" s="1"/>
  <c r="AC296" i="2"/>
  <c r="BH296" i="2" s="1"/>
  <c r="AG339" i="2"/>
  <c r="BL339" i="2" s="1"/>
  <c r="AD296" i="2"/>
  <c r="BI296" i="2" s="1"/>
  <c r="AC302" i="2"/>
  <c r="AC321" i="2"/>
  <c r="BH321" i="2" s="1"/>
  <c r="AF139" i="2"/>
  <c r="BK139" i="2" s="1"/>
  <c r="AH78" i="2"/>
  <c r="BM78" i="2" s="1"/>
  <c r="AG86" i="2"/>
  <c r="BL86" i="2" s="1"/>
  <c r="AH123" i="2"/>
  <c r="BM123" i="2" s="1"/>
  <c r="AI250" i="2"/>
  <c r="BN250" i="2" s="1"/>
  <c r="AI197" i="2"/>
  <c r="BN197" i="2" s="1"/>
  <c r="AE100" i="2"/>
  <c r="BJ100" i="2" s="1"/>
  <c r="AE288" i="2"/>
  <c r="BJ288" i="2" s="1"/>
  <c r="AC192" i="2"/>
  <c r="BH192" i="2" s="1"/>
  <c r="AD252" i="2"/>
  <c r="BI252" i="2" s="1"/>
  <c r="AE177" i="2"/>
  <c r="BJ177" i="2" s="1"/>
  <c r="AC190" i="2"/>
  <c r="BH190" i="2" s="1"/>
  <c r="AE195" i="2"/>
  <c r="BJ195" i="2" s="1"/>
  <c r="AE321" i="2"/>
  <c r="BJ321" i="2" s="1"/>
  <c r="AF279" i="2"/>
  <c r="BK279" i="2" s="1"/>
  <c r="AI366" i="2"/>
  <c r="BN366" i="2" s="1"/>
  <c r="AE246" i="2"/>
  <c r="BJ246" i="2" s="1"/>
  <c r="AG362" i="2"/>
  <c r="BL362" i="2" s="1"/>
  <c r="AG137" i="2"/>
  <c r="BL137" i="2" s="1"/>
  <c r="AD116" i="2"/>
  <c r="BI116" i="2" s="1"/>
  <c r="AH144" i="2"/>
  <c r="BM144" i="2" s="1"/>
  <c r="AF259" i="2"/>
  <c r="BK259" i="2" s="1"/>
  <c r="AC323" i="2"/>
  <c r="AG104" i="2"/>
  <c r="BL104" i="2" s="1"/>
  <c r="AI272" i="2"/>
  <c r="BN272" i="2" s="1"/>
  <c r="AH155" i="2"/>
  <c r="BM155" i="2" s="1"/>
  <c r="AI102" i="2"/>
  <c r="BN102" i="2" s="1"/>
  <c r="AF172" i="2"/>
  <c r="BK172" i="2" s="1"/>
  <c r="AI211" i="2"/>
  <c r="BN211" i="2" s="1"/>
  <c r="AC382" i="2"/>
  <c r="BH382" i="2" s="1"/>
  <c r="AC93" i="2"/>
  <c r="BH93" i="2" s="1"/>
  <c r="AI163" i="2"/>
  <c r="BN163" i="2" s="1"/>
  <c r="AD183" i="2"/>
  <c r="BI183" i="2" s="1"/>
  <c r="AC182" i="2"/>
  <c r="BH182" i="2" s="1"/>
  <c r="AF339" i="2"/>
  <c r="BK339" i="2" s="1"/>
  <c r="AE310" i="2"/>
  <c r="BJ310" i="2" s="1"/>
  <c r="AI130" i="2"/>
  <c r="BN130" i="2" s="1"/>
  <c r="AC241" i="2"/>
  <c r="BH241" i="2" s="1"/>
  <c r="AG283" i="2"/>
  <c r="BL283" i="2" s="1"/>
  <c r="AE90" i="2"/>
  <c r="BJ90" i="2" s="1"/>
  <c r="AD80" i="2"/>
  <c r="BI80" i="2" s="1"/>
  <c r="AD204" i="2"/>
  <c r="BI204" i="2" s="1"/>
  <c r="AF87" i="2"/>
  <c r="BK87" i="2" s="1"/>
  <c r="AG166" i="2"/>
  <c r="BL166" i="2" s="1"/>
  <c r="AG152" i="2"/>
  <c r="BL152" i="2" s="1"/>
  <c r="AH169" i="2"/>
  <c r="BM169" i="2" s="1"/>
  <c r="AG83" i="2"/>
  <c r="BL83" i="2" s="1"/>
  <c r="AH200" i="2"/>
  <c r="BM200" i="2" s="1"/>
  <c r="AD140" i="2"/>
  <c r="BI140" i="2" s="1"/>
  <c r="AG82" i="2"/>
  <c r="BL82" i="2" s="1"/>
  <c r="AF145" i="2"/>
  <c r="BK145" i="2" s="1"/>
  <c r="AG253" i="2"/>
  <c r="BL253" i="2" s="1"/>
  <c r="AI81" i="2"/>
  <c r="BN81" i="2" s="1"/>
  <c r="AH381" i="2"/>
  <c r="BM381" i="2" s="1"/>
  <c r="AC86" i="2"/>
  <c r="BH86" i="2" s="1"/>
  <c r="AC210" i="2"/>
  <c r="BH210" i="2" s="1"/>
  <c r="AE214" i="2"/>
  <c r="BJ214" i="2" s="1"/>
  <c r="AC207" i="2"/>
  <c r="BH207" i="2" s="1"/>
  <c r="AF324" i="2"/>
  <c r="BK324" i="2" s="1"/>
  <c r="AD162" i="2"/>
  <c r="BI162" i="2" s="1"/>
  <c r="AI177" i="2"/>
  <c r="BN177" i="2" s="1"/>
  <c r="AH170" i="2"/>
  <c r="BM170" i="2" s="1"/>
  <c r="AF225" i="2"/>
  <c r="BK225" i="2" s="1"/>
  <c r="AE80" i="2"/>
  <c r="BJ80" i="2" s="1"/>
  <c r="AI268" i="2"/>
  <c r="BN268" i="2" s="1"/>
  <c r="AD179" i="2"/>
  <c r="BI179" i="2" s="1"/>
  <c r="AI190" i="2"/>
  <c r="BN190" i="2" s="1"/>
  <c r="AE118" i="2"/>
  <c r="BJ118" i="2" s="1"/>
  <c r="AG383" i="2"/>
  <c r="BL383" i="2" s="1"/>
  <c r="AI339" i="2"/>
  <c r="BN339" i="2" s="1"/>
  <c r="AI359" i="2"/>
  <c r="BN359" i="2" s="1"/>
  <c r="AD372" i="2"/>
  <c r="BI372" i="2" s="1"/>
  <c r="AC341" i="2"/>
  <c r="BH341" i="2" s="1"/>
  <c r="AG351" i="2"/>
  <c r="BL351" i="2" s="1"/>
  <c r="AC194" i="2"/>
  <c r="BH194" i="2" s="1"/>
  <c r="AG205" i="2"/>
  <c r="BL205" i="2" s="1"/>
  <c r="AC100" i="2"/>
  <c r="BH100" i="2" s="1"/>
  <c r="AH166" i="2"/>
  <c r="BM166" i="2" s="1"/>
  <c r="AI246" i="2"/>
  <c r="BN246" i="2" s="1"/>
  <c r="AH366" i="2"/>
  <c r="BM366" i="2" s="1"/>
  <c r="AE218" i="2"/>
  <c r="BJ218" i="2" s="1"/>
  <c r="AC346" i="2"/>
  <c r="BH346" i="2" s="1"/>
  <c r="AE149" i="2"/>
  <c r="BJ149" i="2" s="1"/>
  <c r="AI216" i="2"/>
  <c r="BN216" i="2" s="1"/>
  <c r="AC191" i="2"/>
  <c r="BH191" i="2" s="1"/>
  <c r="AI199" i="2"/>
  <c r="BN199" i="2" s="1"/>
  <c r="AD312" i="2"/>
  <c r="BI312" i="2" s="1"/>
  <c r="AF165" i="2"/>
  <c r="BK165" i="2" s="1"/>
  <c r="AG350" i="2"/>
  <c r="BL350" i="2" s="1"/>
  <c r="AG261" i="2"/>
  <c r="BL261" i="2" s="1"/>
  <c r="AH184" i="2"/>
  <c r="BM184" i="2" s="1"/>
  <c r="AH158" i="2"/>
  <c r="BM158" i="2" s="1"/>
  <c r="AH314" i="2"/>
  <c r="BM314" i="2" s="1"/>
  <c r="AC311" i="2"/>
  <c r="AH307" i="2"/>
  <c r="BM307" i="2" s="1"/>
  <c r="AD315" i="2"/>
  <c r="BI315" i="2" s="1"/>
  <c r="AE315" i="2"/>
  <c r="BJ315" i="2" s="1"/>
  <c r="AE313" i="2"/>
  <c r="BJ313" i="2" s="1"/>
  <c r="AG309" i="2"/>
  <c r="BL309" i="2" s="1"/>
  <c r="AH312" i="2"/>
  <c r="BM312" i="2" s="1"/>
  <c r="AG311" i="2"/>
  <c r="BL311" i="2" s="1"/>
  <c r="AF309" i="2"/>
  <c r="BK309" i="2" s="1"/>
  <c r="AH315" i="2"/>
  <c r="BM315" i="2" s="1"/>
  <c r="AI315" i="2"/>
  <c r="BN315" i="2" s="1"/>
  <c r="AI313" i="2"/>
  <c r="BN313" i="2" s="1"/>
  <c r="AD313" i="2"/>
  <c r="BI313" i="2" s="1"/>
  <c r="AF311" i="2"/>
  <c r="BK311" i="2" s="1"/>
  <c r="AC314" i="2"/>
  <c r="AC308" i="2"/>
  <c r="AE307" i="2"/>
  <c r="BJ307" i="2" s="1"/>
  <c r="AD308" i="2"/>
  <c r="BI308" i="2" s="1"/>
  <c r="AE312" i="2"/>
  <c r="BJ312" i="2" s="1"/>
  <c r="AH313" i="2"/>
  <c r="BM313" i="2" s="1"/>
  <c r="AD314" i="2"/>
  <c r="BI314" i="2" s="1"/>
  <c r="AG314" i="2"/>
  <c r="BL314" i="2" s="1"/>
  <c r="AG308" i="2"/>
  <c r="BL308" i="2" s="1"/>
  <c r="AI307" i="2"/>
  <c r="BN307" i="2" s="1"/>
  <c r="AH308" i="2"/>
  <c r="BM308" i="2" s="1"/>
  <c r="AI312" i="2"/>
  <c r="BN312" i="2" s="1"/>
  <c r="AF307" i="2"/>
  <c r="BK307" i="2" s="1"/>
  <c r="AC315" i="2"/>
  <c r="AC113" i="2"/>
  <c r="BH113" i="2" s="1"/>
  <c r="AC313" i="2"/>
  <c r="AE309" i="2"/>
  <c r="BJ309" i="2" s="1"/>
  <c r="AF312" i="2"/>
  <c r="BK312" i="2" s="1"/>
  <c r="AE311" i="2"/>
  <c r="BJ311" i="2" s="1"/>
  <c r="AD309" i="2"/>
  <c r="BI309" i="2" s="1"/>
  <c r="AF315" i="2"/>
  <c r="BK315" i="2" s="1"/>
  <c r="AG315" i="2"/>
  <c r="BL315" i="2" s="1"/>
  <c r="AG313" i="2"/>
  <c r="BL313" i="2" s="1"/>
  <c r="AI309" i="2"/>
  <c r="BN309" i="2" s="1"/>
  <c r="AD311" i="2"/>
  <c r="BI311" i="2" s="1"/>
  <c r="AI311" i="2"/>
  <c r="BN311" i="2" s="1"/>
  <c r="AH309" i="2"/>
  <c r="BM309" i="2" s="1"/>
  <c r="AC307" i="2"/>
  <c r="AC312" i="2"/>
  <c r="AF313" i="2"/>
  <c r="BK313" i="2" s="1"/>
  <c r="AH311" i="2"/>
  <c r="BM311" i="2" s="1"/>
  <c r="AE314" i="2"/>
  <c r="BJ314" i="2" s="1"/>
  <c r="AE308" i="2"/>
  <c r="BJ308" i="2" s="1"/>
  <c r="AG307" i="2"/>
  <c r="BL307" i="2" s="1"/>
  <c r="AF308" i="2"/>
  <c r="BK308" i="2" s="1"/>
  <c r="AG312" i="2"/>
  <c r="BL312" i="2" s="1"/>
  <c r="AD307" i="2"/>
  <c r="BI307" i="2" s="1"/>
  <c r="AF314" i="2"/>
  <c r="BK314" i="2" s="1"/>
  <c r="AI314" i="2"/>
  <c r="BN314" i="2" s="1"/>
  <c r="AI308" i="2"/>
  <c r="BN308" i="2" s="1"/>
  <c r="AC309" i="2"/>
  <c r="AG209" i="2"/>
  <c r="BL209" i="2" s="1"/>
  <c r="AD182" i="2"/>
  <c r="BI182" i="2" s="1"/>
  <c r="AH348" i="2"/>
  <c r="BM348" i="2" s="1"/>
  <c r="AG185" i="2"/>
  <c r="BL185" i="2" s="1"/>
  <c r="AC161" i="2"/>
  <c r="BH161" i="2" s="1"/>
  <c r="AH204" i="2"/>
  <c r="BM204" i="2" s="1"/>
  <c r="AC195" i="2"/>
  <c r="BH195" i="2" s="1"/>
  <c r="AE234" i="2"/>
  <c r="BJ234" i="2" s="1"/>
  <c r="AD256" i="2"/>
  <c r="BI256" i="2" s="1"/>
  <c r="AG256" i="2"/>
  <c r="BL256" i="2" s="1"/>
  <c r="AD201" i="2"/>
  <c r="BI201" i="2" s="1"/>
  <c r="AH293" i="2"/>
  <c r="BM293" i="2" s="1"/>
  <c r="AH338" i="2"/>
  <c r="BM338" i="2" s="1"/>
  <c r="AG154" i="2"/>
  <c r="BL154" i="2" s="1"/>
  <c r="AD85" i="2"/>
  <c r="BI85" i="2" s="1"/>
  <c r="AD324" i="2"/>
  <c r="BI324" i="2" s="1"/>
  <c r="AF298" i="2"/>
  <c r="BK298" i="2" s="1"/>
  <c r="AI322" i="2"/>
  <c r="BN322" i="2" s="1"/>
  <c r="AD101" i="2"/>
  <c r="BI101" i="2" s="1"/>
  <c r="AH263" i="2"/>
  <c r="BM263" i="2" s="1"/>
  <c r="AD232" i="2"/>
  <c r="BI232" i="2" s="1"/>
  <c r="AF263" i="2"/>
  <c r="BK263" i="2" s="1"/>
  <c r="AH325" i="2"/>
  <c r="BM325" i="2" s="1"/>
  <c r="AG144" i="2"/>
  <c r="BL144" i="2" s="1"/>
  <c r="AC343" i="2"/>
  <c r="BH343" i="2" s="1"/>
  <c r="AH205" i="2"/>
  <c r="BM205" i="2" s="1"/>
  <c r="BM375" i="2"/>
  <c r="AE148" i="2"/>
  <c r="BJ148" i="2" s="1"/>
  <c r="AI273" i="2"/>
  <c r="BN273" i="2" s="1"/>
  <c r="AI157" i="2"/>
  <c r="BN157" i="2" s="1"/>
  <c r="AH136" i="2"/>
  <c r="BM136" i="2" s="1"/>
  <c r="AC319" i="2"/>
  <c r="BH319" i="2" s="1"/>
  <c r="AI166" i="2"/>
  <c r="BN166" i="2" s="1"/>
  <c r="AG333" i="2"/>
  <c r="BL333" i="2" s="1"/>
  <c r="AI284" i="2"/>
  <c r="BN284" i="2" s="1"/>
  <c r="AG299" i="2"/>
  <c r="BL299" i="2" s="1"/>
  <c r="AD107" i="2"/>
  <c r="BI107" i="2" s="1"/>
  <c r="AD269" i="2"/>
  <c r="BI269" i="2" s="1"/>
  <c r="AG126" i="2"/>
  <c r="BL126" i="2" s="1"/>
  <c r="AC128" i="2"/>
  <c r="BH128" i="2" s="1"/>
  <c r="AC348" i="2"/>
  <c r="BH348" i="2" s="1"/>
  <c r="AD369" i="2"/>
  <c r="BI369" i="2" s="1"/>
  <c r="AG151" i="2"/>
  <c r="BL151" i="2" s="1"/>
  <c r="AC264" i="2"/>
  <c r="BH264" i="2" s="1"/>
  <c r="AD174" i="2"/>
  <c r="BI174" i="2" s="1"/>
  <c r="AE289" i="2"/>
  <c r="BJ289" i="2" s="1"/>
  <c r="AG302" i="2"/>
  <c r="BL302" i="2" s="1"/>
  <c r="AI356" i="2"/>
  <c r="BN356" i="2" s="1"/>
  <c r="AD118" i="2"/>
  <c r="BI118" i="2" s="1"/>
  <c r="AH142" i="2"/>
  <c r="BM142" i="2" s="1"/>
  <c r="AF283" i="2"/>
  <c r="BK283" i="2" s="1"/>
  <c r="AI200" i="2"/>
  <c r="BN200" i="2" s="1"/>
  <c r="AE371" i="2"/>
  <c r="BJ371" i="2" s="1"/>
  <c r="AF301" i="2"/>
  <c r="BK301" i="2" s="1"/>
  <c r="AE143" i="2"/>
  <c r="BJ143" i="2" s="1"/>
  <c r="AD276" i="2"/>
  <c r="BI276" i="2" s="1"/>
  <c r="AG294" i="2"/>
  <c r="BL294" i="2" s="1"/>
  <c r="AC266" i="2"/>
  <c r="BH266" i="2" s="1"/>
  <c r="AC144" i="2"/>
  <c r="BH144" i="2" s="1"/>
  <c r="AF219" i="2"/>
  <c r="BK219" i="2" s="1"/>
  <c r="AE298" i="2"/>
  <c r="BJ298" i="2" s="1"/>
  <c r="AD230" i="2"/>
  <c r="BI230" i="2" s="1"/>
  <c r="AG344" i="2"/>
  <c r="BL344" i="2" s="1"/>
  <c r="AG304" i="2"/>
  <c r="BL304" i="2" s="1"/>
  <c r="AD306" i="2"/>
  <c r="BI306" i="2" s="1"/>
  <c r="AD360" i="2"/>
  <c r="AC224" i="2"/>
  <c r="BH224" i="2" s="1"/>
  <c r="AH316" i="2"/>
  <c r="BM316" i="2" s="1"/>
  <c r="AD359" i="2"/>
  <c r="BI359" i="2" s="1"/>
  <c r="AH286" i="2"/>
  <c r="BM286" i="2" s="1"/>
  <c r="AH102" i="2"/>
  <c r="BM102" i="2" s="1"/>
  <c r="AC78" i="2"/>
  <c r="BH78" i="2" s="1"/>
  <c r="AC273" i="2"/>
  <c r="BH273" i="2" s="1"/>
  <c r="AF177" i="2"/>
  <c r="BK177" i="2" s="1"/>
  <c r="AG234" i="2"/>
  <c r="BL234" i="2" s="1"/>
  <c r="AH89" i="2"/>
  <c r="BM89" i="2" s="1"/>
  <c r="AI94" i="2"/>
  <c r="BN94" i="2" s="1"/>
  <c r="AD281" i="2"/>
  <c r="BI281" i="2" s="1"/>
  <c r="AD268" i="2"/>
  <c r="BI268" i="2" s="1"/>
  <c r="AI373" i="2"/>
  <c r="BN373" i="2" s="1"/>
  <c r="AE187" i="2"/>
  <c r="BJ187" i="2" s="1"/>
  <c r="AD323" i="2"/>
  <c r="BI323" i="2" s="1"/>
  <c r="AE144" i="2"/>
  <c r="BJ144" i="2" s="1"/>
  <c r="AD121" i="2"/>
  <c r="BI121" i="2" s="1"/>
  <c r="BH136" i="2"/>
  <c r="BH235" i="2"/>
  <c r="BH118" i="2"/>
  <c r="BH263" i="2"/>
  <c r="BH81" i="2"/>
  <c r="BH189" i="2"/>
  <c r="BH116" i="2"/>
  <c r="BH126" i="2"/>
  <c r="BH226" i="2"/>
  <c r="G226" i="2"/>
  <c r="BH368" i="2"/>
  <c r="BH147" i="2"/>
  <c r="BH139" i="2"/>
  <c r="BH229" i="2"/>
  <c r="BH295" i="2"/>
  <c r="BH225" i="2"/>
  <c r="BH269" i="2"/>
  <c r="BH300" i="2"/>
  <c r="BH101" i="2"/>
  <c r="BH270" i="2"/>
  <c r="BM360" i="2"/>
  <c r="BH181" i="2"/>
  <c r="BH149" i="2"/>
  <c r="BH244" i="2"/>
  <c r="AE223" i="2"/>
  <c r="BJ223" i="2" s="1"/>
  <c r="AC335" i="2"/>
  <c r="AD153" i="2"/>
  <c r="BI153" i="2" s="1"/>
  <c r="AF113" i="2"/>
  <c r="BK113" i="2" s="1"/>
  <c r="AD135" i="2"/>
  <c r="BI135" i="2" s="1"/>
  <c r="AC177" i="2"/>
  <c r="AE338" i="2"/>
  <c r="BJ338" i="2" s="1"/>
  <c r="AG317" i="2"/>
  <c r="BL317" i="2" s="1"/>
  <c r="AG176" i="2"/>
  <c r="BL176" i="2" s="1"/>
  <c r="AF334" i="2"/>
  <c r="BK334" i="2" s="1"/>
  <c r="AE87" i="2"/>
  <c r="BJ87" i="2" s="1"/>
  <c r="AD155" i="2"/>
  <c r="BI155" i="2" s="1"/>
  <c r="AG297" i="2"/>
  <c r="BL297" i="2" s="1"/>
  <c r="AH357" i="2"/>
  <c r="BM357" i="2" s="1"/>
  <c r="AD338" i="2"/>
  <c r="BI338" i="2" s="1"/>
  <c r="AF353" i="2"/>
  <c r="BK353" i="2" s="1"/>
  <c r="AE221" i="2"/>
  <c r="BJ221" i="2" s="1"/>
  <c r="AE136" i="2"/>
  <c r="BJ136" i="2" s="1"/>
  <c r="AG147" i="2"/>
  <c r="BL147" i="2" s="1"/>
  <c r="AF104" i="2"/>
  <c r="BK104" i="2" s="1"/>
  <c r="AF249" i="2"/>
  <c r="BK249" i="2" s="1"/>
  <c r="AG264" i="2"/>
  <c r="BL264" i="2" s="1"/>
  <c r="AD237" i="2"/>
  <c r="BI237" i="2" s="1"/>
  <c r="AD320" i="2"/>
  <c r="BI320" i="2" s="1"/>
  <c r="AF234" i="2"/>
  <c r="BK234" i="2" s="1"/>
  <c r="AH249" i="2"/>
  <c r="BM249" i="2" s="1"/>
  <c r="AF105" i="2"/>
  <c r="BK105" i="2" s="1"/>
  <c r="AG174" i="2"/>
  <c r="BL174" i="2" s="1"/>
  <c r="AI156" i="2"/>
  <c r="BN156" i="2" s="1"/>
  <c r="AI369" i="2"/>
  <c r="BN369" i="2" s="1"/>
  <c r="AC216" i="2"/>
  <c r="AF198" i="2"/>
  <c r="BK198" i="2" s="1"/>
  <c r="AF264" i="2"/>
  <c r="BK264" i="2" s="1"/>
  <c r="AG330" i="2"/>
  <c r="BL330" i="2" s="1"/>
  <c r="AF336" i="2"/>
  <c r="BK336" i="2" s="1"/>
  <c r="AD176" i="2"/>
  <c r="BI176" i="2" s="1"/>
  <c r="AH295" i="2"/>
  <c r="BM295" i="2" s="1"/>
  <c r="AD270" i="2"/>
  <c r="BI270" i="2" s="1"/>
  <c r="AF323" i="2"/>
  <c r="BK323" i="2" s="1"/>
  <c r="AC221" i="2"/>
  <c r="AE103" i="2"/>
  <c r="BJ103" i="2" s="1"/>
  <c r="AI335" i="2"/>
  <c r="BN335" i="2" s="1"/>
  <c r="AI191" i="2"/>
  <c r="BN191" i="2" s="1"/>
  <c r="AG266" i="2"/>
  <c r="BL266" i="2" s="1"/>
  <c r="AF337" i="2"/>
  <c r="BK337" i="2" s="1"/>
  <c r="AF178" i="2"/>
  <c r="BK178" i="2" s="1"/>
  <c r="AC238" i="2"/>
  <c r="AG189" i="2"/>
  <c r="BL189" i="2" s="1"/>
  <c r="AE343" i="2"/>
  <c r="BJ343" i="2" s="1"/>
  <c r="AH346" i="2"/>
  <c r="BM346" i="2" s="1"/>
  <c r="AD190" i="2"/>
  <c r="BI190" i="2" s="1"/>
  <c r="AE253" i="2"/>
  <c r="BJ253" i="2" s="1"/>
  <c r="AE270" i="2"/>
  <c r="BJ270" i="2" s="1"/>
  <c r="AD370" i="2"/>
  <c r="BI370" i="2" s="1"/>
  <c r="AD325" i="2"/>
  <c r="BI325" i="2" s="1"/>
  <c r="AG238" i="2"/>
  <c r="BL238" i="2" s="1"/>
  <c r="AG134" i="2"/>
  <c r="BL134" i="2" s="1"/>
  <c r="BN378" i="2"/>
  <c r="AE355" i="2"/>
  <c r="BJ355" i="2" s="1"/>
  <c r="AG349" i="2"/>
  <c r="BL349" i="2" s="1"/>
  <c r="AE263" i="2"/>
  <c r="BJ263" i="2" s="1"/>
  <c r="AI297" i="2"/>
  <c r="BN297" i="2" s="1"/>
  <c r="AF251" i="2"/>
  <c r="BK251" i="2" s="1"/>
  <c r="AG179" i="2"/>
  <c r="BL179" i="2" s="1"/>
  <c r="AG107" i="2"/>
  <c r="BL107" i="2" s="1"/>
  <c r="AD161" i="2"/>
  <c r="BI161" i="2" s="1"/>
  <c r="AC162" i="2"/>
  <c r="AC329" i="2"/>
  <c r="AF330" i="2"/>
  <c r="BK330" i="2" s="1"/>
  <c r="AE111" i="2"/>
  <c r="BJ111" i="2" s="1"/>
  <c r="AF256" i="2"/>
  <c r="BK256" i="2" s="1"/>
  <c r="AC131" i="2"/>
  <c r="AG123" i="2"/>
  <c r="BL123" i="2" s="1"/>
  <c r="AG170" i="2"/>
  <c r="BL170" i="2" s="1"/>
  <c r="AH332" i="2"/>
  <c r="BM332" i="2" s="1"/>
  <c r="AC316" i="2"/>
  <c r="AE84" i="2"/>
  <c r="BJ84" i="2" s="1"/>
  <c r="AH180" i="2"/>
  <c r="BM180" i="2" s="1"/>
  <c r="AG338" i="2"/>
  <c r="BL338" i="2" s="1"/>
  <c r="AI184" i="2"/>
  <c r="BN184" i="2" s="1"/>
  <c r="AI154" i="2"/>
  <c r="BN154" i="2" s="1"/>
  <c r="AD336" i="2"/>
  <c r="BI336" i="2" s="1"/>
  <c r="AD330" i="2"/>
  <c r="BI330" i="2" s="1"/>
  <c r="AE266" i="2"/>
  <c r="BJ266" i="2" s="1"/>
  <c r="AH361" i="2"/>
  <c r="BM361" i="2" s="1"/>
  <c r="AD358" i="2"/>
  <c r="BI358" i="2" s="1"/>
  <c r="AH134" i="2"/>
  <c r="BM134" i="2" s="1"/>
  <c r="AG94" i="2"/>
  <c r="BL94" i="2" s="1"/>
  <c r="AI358" i="2"/>
  <c r="BN358" i="2" s="1"/>
  <c r="AG332" i="2"/>
  <c r="BL332" i="2" s="1"/>
  <c r="AF345" i="2"/>
  <c r="BK345" i="2" s="1"/>
  <c r="AF366" i="2"/>
  <c r="AC187" i="2"/>
  <c r="AC251" i="2"/>
  <c r="AI286" i="2"/>
  <c r="BN286" i="2" s="1"/>
  <c r="AF138" i="2"/>
  <c r="BK138" i="2" s="1"/>
  <c r="AC356" i="2"/>
  <c r="AG160" i="2"/>
  <c r="BL160" i="2" s="1"/>
  <c r="AE328" i="2"/>
  <c r="BJ328" i="2" s="1"/>
  <c r="AC104" i="2"/>
  <c r="AC202" i="2"/>
  <c r="AF159" i="2"/>
  <c r="BK159" i="2" s="1"/>
  <c r="AE358" i="2"/>
  <c r="BJ358" i="2" s="1"/>
  <c r="AH108" i="2"/>
  <c r="BM108" i="2" s="1"/>
  <c r="AE356" i="2"/>
  <c r="BJ356" i="2" s="1"/>
  <c r="AI327" i="2"/>
  <c r="BN327" i="2" s="1"/>
  <c r="AI333" i="2"/>
  <c r="BN333" i="2" s="1"/>
  <c r="AC97" i="2"/>
  <c r="AI262" i="2"/>
  <c r="BN262" i="2" s="1"/>
  <c r="AG96" i="2"/>
  <c r="BL96" i="2" s="1"/>
  <c r="AD263" i="2"/>
  <c r="BI263" i="2" s="1"/>
  <c r="AD365" i="2"/>
  <c r="BI365" i="2" s="1"/>
  <c r="AC237" i="2"/>
  <c r="AG331" i="2"/>
  <c r="BL331" i="2" s="1"/>
  <c r="AH194" i="2"/>
  <c r="BM194" i="2" s="1"/>
  <c r="AG193" i="2"/>
  <c r="BL193" i="2" s="1"/>
  <c r="AH137" i="2"/>
  <c r="BM137" i="2" s="1"/>
  <c r="AH324" i="2"/>
  <c r="BM324" i="2" s="1"/>
  <c r="AF192" i="2"/>
  <c r="BK192" i="2" s="1"/>
  <c r="AD215" i="2"/>
  <c r="BI215" i="2" s="1"/>
  <c r="AD354" i="2"/>
  <c r="BI354" i="2" s="1"/>
  <c r="AC154" i="2"/>
  <c r="AG121" i="2"/>
  <c r="BL121" i="2" s="1"/>
  <c r="AI195" i="2"/>
  <c r="BN195" i="2" s="1"/>
  <c r="BM380" i="2"/>
  <c r="AC324" i="2"/>
  <c r="AG257" i="2"/>
  <c r="BL257" i="2" s="1"/>
  <c r="AH91" i="2"/>
  <c r="BM91" i="2" s="1"/>
  <c r="AH275" i="2"/>
  <c r="BM275" i="2" s="1"/>
  <c r="BH223" i="2"/>
  <c r="BH261" i="2"/>
  <c r="BH197" i="2"/>
  <c r="BH213" i="2"/>
  <c r="BH228" i="2"/>
  <c r="BH298" i="2"/>
  <c r="BH285" i="2"/>
  <c r="BH203" i="2"/>
  <c r="BH283" i="2"/>
  <c r="BH250" i="2"/>
  <c r="BH152" i="2"/>
  <c r="BH287" i="2"/>
  <c r="BH265" i="2"/>
  <c r="G265" i="2"/>
  <c r="BH239" i="2"/>
  <c r="BH370" i="2"/>
  <c r="BH171" i="2"/>
  <c r="G171" i="2"/>
  <c r="BH248" i="2"/>
  <c r="BH142" i="2"/>
  <c r="BH124" i="2"/>
  <c r="BH232" i="2"/>
  <c r="BH129" i="2"/>
  <c r="BH369" i="2"/>
  <c r="BH286" i="2"/>
  <c r="BH262" i="2"/>
  <c r="BH301" i="2"/>
  <c r="BH169" i="2"/>
  <c r="BH353" i="2"/>
  <c r="BH334" i="2"/>
  <c r="BH186" i="2"/>
  <c r="BH333" i="2"/>
  <c r="BH327" i="2"/>
  <c r="BH79" i="2"/>
  <c r="BH200" i="2"/>
  <c r="BH330" i="2"/>
  <c r="BH292" i="2"/>
  <c r="BH164" i="2"/>
  <c r="BH365" i="2"/>
  <c r="BH110" i="2"/>
  <c r="BH360" i="2"/>
  <c r="BH317" i="2"/>
  <c r="BH377" i="2"/>
  <c r="BH155" i="2"/>
  <c r="BH363" i="2"/>
  <c r="BH121" i="2"/>
  <c r="BH328" i="2"/>
  <c r="BH135" i="2"/>
  <c r="BH249" i="2"/>
  <c r="BH108" i="2"/>
  <c r="AE345" i="2"/>
  <c r="BJ345" i="2" s="1"/>
  <c r="AG300" i="2"/>
  <c r="BL300" i="2" s="1"/>
  <c r="AC148" i="2"/>
  <c r="AD356" i="2"/>
  <c r="BI356" i="2" s="1"/>
  <c r="AD248" i="2"/>
  <c r="BI248" i="2" s="1"/>
  <c r="AD109" i="2"/>
  <c r="BI109" i="2" s="1"/>
  <c r="AG271" i="2"/>
  <c r="BL271" i="2" s="1"/>
  <c r="AC358" i="2"/>
  <c r="AF299" i="2"/>
  <c r="BK299" i="2" s="1"/>
  <c r="AG284" i="2"/>
  <c r="BL284" i="2" s="1"/>
  <c r="AI362" i="2"/>
  <c r="BN362" i="2" s="1"/>
  <c r="AF154" i="2"/>
  <c r="BK154" i="2" s="1"/>
  <c r="AF133" i="2"/>
  <c r="BK133" i="2" s="1"/>
  <c r="AF112" i="2"/>
  <c r="BK112" i="2" s="1"/>
  <c r="AD193" i="2"/>
  <c r="BI193" i="2" s="1"/>
  <c r="AE96" i="2"/>
  <c r="BJ96" i="2" s="1"/>
  <c r="AI125" i="2"/>
  <c r="BN125" i="2" s="1"/>
  <c r="AE256" i="2"/>
  <c r="BJ256" i="2" s="1"/>
  <c r="AF262" i="2"/>
  <c r="BK262" i="2" s="1"/>
  <c r="AI92" i="2"/>
  <c r="BN92" i="2" s="1"/>
  <c r="AC205" i="2"/>
  <c r="AH212" i="2"/>
  <c r="BM212" i="2" s="1"/>
  <c r="AF244" i="2"/>
  <c r="BK244" i="2" s="1"/>
  <c r="AI287" i="2"/>
  <c r="BN287" i="2" s="1"/>
  <c r="AD353" i="2"/>
  <c r="BI353" i="2" s="1"/>
  <c r="AD90" i="2"/>
  <c r="BI90" i="2" s="1"/>
  <c r="AC132" i="2"/>
  <c r="AE161" i="2"/>
  <c r="BJ161" i="2" s="1"/>
  <c r="AC166" i="2"/>
  <c r="AI317" i="2"/>
  <c r="BN317" i="2" s="1"/>
  <c r="AC340" i="2"/>
  <c r="AI296" i="2"/>
  <c r="BN296" i="2" s="1"/>
  <c r="AD112" i="2"/>
  <c r="BI112" i="2" s="1"/>
  <c r="AD206" i="2"/>
  <c r="BI206" i="2" s="1"/>
  <c r="AD211" i="2"/>
  <c r="BI211" i="2" s="1"/>
  <c r="AE170" i="2"/>
  <c r="BJ170" i="2" s="1"/>
  <c r="AC167" i="2"/>
  <c r="AC254" i="2"/>
  <c r="AG259" i="2"/>
  <c r="BL259" i="2" s="1"/>
  <c r="AH320" i="2"/>
  <c r="BM320" i="2" s="1"/>
  <c r="AD253" i="2"/>
  <c r="BI253" i="2" s="1"/>
  <c r="AC209" i="2"/>
  <c r="AE162" i="2"/>
  <c r="BJ162" i="2" s="1"/>
  <c r="AF158" i="2"/>
  <c r="BK158" i="2" s="1"/>
  <c r="AD157" i="2"/>
  <c r="BI157" i="2" s="1"/>
  <c r="AD203" i="2"/>
  <c r="BI203" i="2" s="1"/>
  <c r="AC233" i="2"/>
  <c r="AC176" i="2"/>
  <c r="AG109" i="2"/>
  <c r="BL109" i="2" s="1"/>
  <c r="AH222" i="2"/>
  <c r="BM222" i="2" s="1"/>
  <c r="AC372" i="2"/>
  <c r="AG204" i="2"/>
  <c r="BL204" i="2" s="1"/>
  <c r="AD212" i="2"/>
  <c r="BI212" i="2" s="1"/>
  <c r="AC375" i="2"/>
  <c r="AC288" i="2"/>
  <c r="AI218" i="2"/>
  <c r="BN218" i="2" s="1"/>
  <c r="AH248" i="2"/>
  <c r="BM248" i="2" s="1"/>
  <c r="AG374" i="2"/>
  <c r="BL374" i="2" s="1"/>
  <c r="AF93" i="2"/>
  <c r="BK93" i="2" s="1"/>
  <c r="AF204" i="2"/>
  <c r="BK204" i="2" s="1"/>
  <c r="AF157" i="2"/>
  <c r="BK157" i="2" s="1"/>
  <c r="AE262" i="2"/>
  <c r="BJ262" i="2" s="1"/>
  <c r="AE98" i="2"/>
  <c r="BJ98" i="2" s="1"/>
  <c r="AG248" i="2"/>
  <c r="BL248" i="2" s="1"/>
  <c r="AD301" i="2"/>
  <c r="BI301" i="2" s="1"/>
  <c r="AE132" i="2"/>
  <c r="BJ132" i="2" s="1"/>
  <c r="AH210" i="2"/>
  <c r="BM210" i="2" s="1"/>
  <c r="AG161" i="2"/>
  <c r="BL161" i="2" s="1"/>
  <c r="AH163" i="2"/>
  <c r="BM163" i="2" s="1"/>
  <c r="AI270" i="2"/>
  <c r="BN270" i="2" s="1"/>
  <c r="AC111" i="2"/>
  <c r="AC85" i="2"/>
  <c r="AF355" i="2"/>
  <c r="BK355" i="2" s="1"/>
  <c r="AG208" i="2"/>
  <c r="BL208" i="2" s="1"/>
  <c r="AG207" i="2"/>
  <c r="BL207" i="2" s="1"/>
  <c r="AI165" i="2"/>
  <c r="BN165" i="2" s="1"/>
  <c r="AI160" i="2"/>
  <c r="BN160" i="2" s="1"/>
  <c r="AE249" i="2"/>
  <c r="BJ249" i="2" s="1"/>
  <c r="AH149" i="2"/>
  <c r="BM149" i="2" s="1"/>
  <c r="AD272" i="2"/>
  <c r="BI272" i="2" s="1"/>
  <c r="AD310" i="2"/>
  <c r="BI310" i="2" s="1"/>
  <c r="AF322" i="2"/>
  <c r="BK322" i="2" s="1"/>
  <c r="AH279" i="2"/>
  <c r="BM279" i="2" s="1"/>
  <c r="AG222" i="2"/>
  <c r="BL222" i="2" s="1"/>
  <c r="AF351" i="2"/>
  <c r="BK351" i="2" s="1"/>
  <c r="AH362" i="2"/>
  <c r="BM362" i="2" s="1"/>
  <c r="AF150" i="2"/>
  <c r="BK150" i="2" s="1"/>
  <c r="AI241" i="2"/>
  <c r="BN241" i="2" s="1"/>
  <c r="AI282" i="2"/>
  <c r="BN282" i="2" s="1"/>
  <c r="AG276" i="2"/>
  <c r="BL276" i="2" s="1"/>
  <c r="AE306" i="2"/>
  <c r="BJ306" i="2" s="1"/>
  <c r="AC92" i="2"/>
  <c r="AI93" i="2"/>
  <c r="BN93" i="2" s="1"/>
  <c r="AH363" i="2"/>
  <c r="BM363" i="2" s="1"/>
  <c r="AG285" i="2"/>
  <c r="BL285" i="2" s="1"/>
  <c r="AE247" i="2"/>
  <c r="BJ247" i="2" s="1"/>
  <c r="AF143" i="2"/>
  <c r="BK143" i="2" s="1"/>
  <c r="AH306" i="2"/>
  <c r="BM306" i="2" s="1"/>
  <c r="AH374" i="2"/>
  <c r="BM374" i="2" s="1"/>
  <c r="AE205" i="2"/>
  <c r="BJ205" i="2" s="1"/>
  <c r="AH206" i="2"/>
  <c r="BM206" i="2" s="1"/>
  <c r="AE189" i="2"/>
  <c r="BJ189" i="2" s="1"/>
  <c r="AD357" i="2"/>
  <c r="BI357" i="2" s="1"/>
  <c r="AD104" i="2"/>
  <c r="BI104" i="2" s="1"/>
  <c r="AC180" i="2"/>
  <c r="AI245" i="2"/>
  <c r="BN245" i="2" s="1"/>
  <c r="AG92" i="2"/>
  <c r="BL92" i="2" s="1"/>
  <c r="AD210" i="2"/>
  <c r="BI210" i="2" s="1"/>
  <c r="AG211" i="2"/>
  <c r="BL211" i="2" s="1"/>
  <c r="AE233" i="2"/>
  <c r="BJ233" i="2" s="1"/>
  <c r="AH82" i="2"/>
  <c r="BM82" i="2" s="1"/>
  <c r="AE357" i="2"/>
  <c r="BJ357" i="2" s="1"/>
  <c r="BM376" i="2"/>
  <c r="AD304" i="2"/>
  <c r="BI304" i="2" s="1"/>
  <c r="AF275" i="2"/>
  <c r="BK275" i="2" s="1"/>
  <c r="AD93" i="2"/>
  <c r="BI93" i="2" s="1"/>
  <c r="AC204" i="2"/>
  <c r="AI235" i="2"/>
  <c r="BN235" i="2" s="1"/>
  <c r="AH236" i="2"/>
  <c r="BM236" i="2" s="1"/>
  <c r="AD102" i="2"/>
  <c r="BI102" i="2" s="1"/>
  <c r="AI325" i="2"/>
  <c r="BN325" i="2" s="1"/>
  <c r="AE222" i="2"/>
  <c r="BJ222" i="2" s="1"/>
  <c r="AH372" i="2"/>
  <c r="BM372" i="2" s="1"/>
  <c r="AE211" i="2"/>
  <c r="BJ211" i="2" s="1"/>
  <c r="AI209" i="2"/>
  <c r="BN209" i="2" s="1"/>
  <c r="AE260" i="2"/>
  <c r="BJ260" i="2" s="1"/>
  <c r="AI290" i="2"/>
  <c r="BN290" i="2" s="1"/>
  <c r="AD172" i="2"/>
  <c r="BI172" i="2" s="1"/>
  <c r="AI148" i="2"/>
  <c r="BN148" i="2" s="1"/>
  <c r="AH95" i="2"/>
  <c r="BM95" i="2" s="1"/>
  <c r="AF132" i="2"/>
  <c r="BK132" i="2" s="1"/>
  <c r="AI206" i="2"/>
  <c r="BN206" i="2" s="1"/>
  <c r="AC165" i="2"/>
  <c r="AG230" i="2"/>
  <c r="BL230" i="2" s="1"/>
  <c r="AI107" i="2"/>
  <c r="BN107" i="2" s="1"/>
  <c r="AE252" i="2"/>
  <c r="BJ252" i="2" s="1"/>
  <c r="AH347" i="2"/>
  <c r="BM347" i="2" s="1"/>
  <c r="AD351" i="2"/>
  <c r="BI351" i="2" s="1"/>
  <c r="AG206" i="2"/>
  <c r="BL206" i="2" s="1"/>
  <c r="AE166" i="2"/>
  <c r="BJ166" i="2" s="1"/>
  <c r="AE169" i="2"/>
  <c r="BJ169" i="2" s="1"/>
  <c r="AD192" i="2"/>
  <c r="BI192" i="2" s="1"/>
  <c r="AD86" i="2"/>
  <c r="BI86" i="2" s="1"/>
  <c r="AF80" i="2"/>
  <c r="BK80" i="2" s="1"/>
  <c r="AI181" i="2"/>
  <c r="BN181" i="2" s="1"/>
  <c r="BH150" i="2"/>
  <c r="BH354" i="2"/>
  <c r="BH179" i="2"/>
  <c r="BH347" i="2"/>
  <c r="BH331" i="2"/>
  <c r="BH260" i="2"/>
  <c r="BH91" i="2"/>
  <c r="BH381" i="2"/>
  <c r="BH157" i="2"/>
  <c r="BH173" i="2"/>
  <c r="BH291" i="2"/>
  <c r="BH376" i="2"/>
  <c r="BH163" i="2"/>
  <c r="BH98" i="2"/>
  <c r="BH160" i="2"/>
  <c r="BH84" i="2"/>
  <c r="BH215" i="2"/>
  <c r="BH199" i="2"/>
  <c r="BH336" i="2"/>
  <c r="BH127" i="2"/>
  <c r="BH304" i="2"/>
  <c r="BH271" i="2"/>
  <c r="BH344" i="2"/>
  <c r="BH280" i="2"/>
  <c r="BH122" i="2"/>
  <c r="BH274" i="2"/>
  <c r="BH275" i="2"/>
  <c r="BH145" i="2"/>
  <c r="BH95" i="2"/>
  <c r="BH290" i="2"/>
  <c r="BH212" i="2"/>
  <c r="BH138" i="2"/>
  <c r="BH326" i="2"/>
  <c r="BH117" i="2"/>
  <c r="BH257" i="2"/>
  <c r="BH322" i="2"/>
  <c r="BH284" i="2"/>
  <c r="BH297" i="2"/>
  <c r="BH243" i="2"/>
  <c r="BH231" i="2"/>
  <c r="BH168" i="2"/>
  <c r="G168" i="2"/>
  <c r="BH158" i="2"/>
  <c r="BH318" i="2"/>
  <c r="BH359" i="2"/>
  <c r="BH332" i="2"/>
  <c r="BH170" i="2"/>
  <c r="BH342" i="2"/>
  <c r="BH306" i="2"/>
  <c r="AI106" i="2"/>
  <c r="BN106" i="2" s="1"/>
  <c r="AF342" i="2"/>
  <c r="BK342" i="2" s="1"/>
  <c r="BH380" i="2"/>
  <c r="AI223" i="2"/>
  <c r="BN223" i="2" s="1"/>
  <c r="AH239" i="2"/>
  <c r="BM239" i="2" s="1"/>
  <c r="AE115" i="2"/>
  <c r="BJ115" i="2" s="1"/>
  <c r="AH231" i="2"/>
  <c r="BM231" i="2" s="1"/>
  <c r="AC371" i="2"/>
  <c r="AE264" i="2"/>
  <c r="BJ264" i="2" s="1"/>
  <c r="AD337" i="2"/>
  <c r="BI337" i="2" s="1"/>
  <c r="AG108" i="2"/>
  <c r="BL108" i="2" s="1"/>
  <c r="AH182" i="2"/>
  <c r="BM182" i="2" s="1"/>
  <c r="AE81" i="2"/>
  <c r="BJ81" i="2" s="1"/>
  <c r="AE317" i="2"/>
  <c r="BJ317" i="2" s="1"/>
  <c r="AE370" i="2"/>
  <c r="BJ370" i="2" s="1"/>
  <c r="AG319" i="2"/>
  <c r="BL319" i="2" s="1"/>
  <c r="AF326" i="2"/>
  <c r="BK326" i="2" s="1"/>
  <c r="AG80" i="2"/>
  <c r="BL80" i="2" s="1"/>
  <c r="AG120" i="2"/>
  <c r="BL120" i="2" s="1"/>
  <c r="AI159" i="2"/>
  <c r="BN159" i="2" s="1"/>
  <c r="AE368" i="2"/>
  <c r="BJ368" i="2" s="1"/>
  <c r="AC252" i="2"/>
  <c r="AG277" i="2"/>
  <c r="BL277" i="2" s="1"/>
  <c r="AE276" i="2"/>
  <c r="BJ276" i="2" s="1"/>
  <c r="AG191" i="2"/>
  <c r="BL191" i="2" s="1"/>
  <c r="AC339" i="2"/>
  <c r="AE286" i="2"/>
  <c r="BJ286" i="2" s="1"/>
  <c r="AH355" i="2"/>
  <c r="BM355" i="2" s="1"/>
  <c r="AD239" i="2"/>
  <c r="BI239" i="2" s="1"/>
  <c r="AI269" i="2"/>
  <c r="BN269" i="2" s="1"/>
  <c r="AE303" i="2"/>
  <c r="BJ303" i="2" s="1"/>
  <c r="AE305" i="2"/>
  <c r="BJ305" i="2" s="1"/>
  <c r="AH318" i="2"/>
  <c r="BM318" i="2" s="1"/>
  <c r="AE145" i="2"/>
  <c r="BJ145" i="2" s="1"/>
  <c r="AE191" i="2"/>
  <c r="BJ191" i="2" s="1"/>
  <c r="AE120" i="2"/>
  <c r="BJ120" i="2" s="1"/>
  <c r="AF365" i="2"/>
  <c r="BK365" i="2" s="1"/>
  <c r="AG118" i="2"/>
  <c r="BL118" i="2" s="1"/>
  <c r="AE240" i="2"/>
  <c r="BJ240" i="2" s="1"/>
  <c r="AC133" i="2"/>
  <c r="AC384" i="2"/>
  <c r="AH234" i="2"/>
  <c r="BM234" i="2" s="1"/>
  <c r="AE107" i="2"/>
  <c r="BJ107" i="2" s="1"/>
  <c r="AH247" i="2"/>
  <c r="BM247" i="2" s="1"/>
  <c r="AD199" i="2"/>
  <c r="BI199" i="2" s="1"/>
  <c r="AD243" i="2"/>
  <c r="BI243" i="2" s="1"/>
  <c r="AD234" i="2"/>
  <c r="BI234" i="2" s="1"/>
  <c r="AF134" i="2"/>
  <c r="BK134" i="2" s="1"/>
  <c r="AG153" i="2"/>
  <c r="BL153" i="2" s="1"/>
  <c r="AI91" i="2"/>
  <c r="BN91" i="2" s="1"/>
  <c r="AH147" i="2"/>
  <c r="BM147" i="2" s="1"/>
  <c r="AE179" i="2"/>
  <c r="BJ179" i="2" s="1"/>
  <c r="AI88" i="2"/>
  <c r="BN88" i="2" s="1"/>
  <c r="AI131" i="2"/>
  <c r="BN131" i="2" s="1"/>
  <c r="AH86" i="2"/>
  <c r="BM86" i="2" s="1"/>
  <c r="AG279" i="2"/>
  <c r="BL279" i="2" s="1"/>
  <c r="AD136" i="2"/>
  <c r="BI136" i="2" s="1"/>
  <c r="AE139" i="2"/>
  <c r="BJ139" i="2" s="1"/>
  <c r="AH98" i="2"/>
  <c r="BM98" i="2" s="1"/>
  <c r="AG378" i="2"/>
  <c r="BL378" i="2" s="1"/>
  <c r="AE352" i="2"/>
  <c r="BJ352" i="2" s="1"/>
  <c r="AC156" i="2"/>
  <c r="AC278" i="2"/>
  <c r="AE294" i="2"/>
  <c r="BJ294" i="2" s="1"/>
  <c r="AE159" i="2"/>
  <c r="BJ159" i="2" s="1"/>
  <c r="AF221" i="2"/>
  <c r="BK221" i="2" s="1"/>
  <c r="AG232" i="2"/>
  <c r="BL232" i="2" s="1"/>
  <c r="AC299" i="2"/>
  <c r="AH287" i="2"/>
  <c r="BM287" i="2" s="1"/>
  <c r="AD373" i="2"/>
  <c r="BI373" i="2" s="1"/>
  <c r="AH106" i="2"/>
  <c r="BM106" i="2" s="1"/>
  <c r="AH188" i="2"/>
  <c r="BM188" i="2" s="1"/>
  <c r="AF98" i="2"/>
  <c r="BK98" i="2" s="1"/>
  <c r="AE83" i="2"/>
  <c r="BJ83" i="2" s="1"/>
  <c r="AF284" i="2"/>
  <c r="BK284" i="2" s="1"/>
  <c r="AG345" i="2"/>
  <c r="BL345" i="2" s="1"/>
  <c r="AE176" i="2"/>
  <c r="BJ176" i="2" s="1"/>
  <c r="AG244" i="2"/>
  <c r="BL244" i="2" s="1"/>
  <c r="AC159" i="2"/>
  <c r="AC230" i="2"/>
  <c r="AE251" i="2"/>
  <c r="BJ251" i="2" s="1"/>
  <c r="AI363" i="2"/>
  <c r="BN363" i="2" s="1"/>
  <c r="AD240" i="2"/>
  <c r="BI240" i="2" s="1"/>
  <c r="AI128" i="2"/>
  <c r="BN128" i="2" s="1"/>
  <c r="AI240" i="2"/>
  <c r="BN240" i="2" s="1"/>
  <c r="AG145" i="2"/>
  <c r="BL145" i="2" s="1"/>
  <c r="AD371" i="2"/>
  <c r="BI371" i="2" s="1"/>
  <c r="AE244" i="2"/>
  <c r="BJ244" i="2" s="1"/>
  <c r="AE88" i="2"/>
  <c r="BJ88" i="2" s="1"/>
  <c r="AD376" i="2"/>
  <c r="BI376" i="2" s="1"/>
  <c r="AF371" i="2"/>
  <c r="BK371" i="2" s="1"/>
  <c r="AG195" i="2"/>
  <c r="BL195" i="2" s="1"/>
  <c r="AE173" i="2"/>
  <c r="BJ173" i="2" s="1"/>
  <c r="AF101" i="2"/>
  <c r="BK101" i="2" s="1"/>
  <c r="AI187" i="2"/>
  <c r="BN187" i="2" s="1"/>
  <c r="AI219" i="2"/>
  <c r="BN219" i="2" s="1"/>
  <c r="AC107" i="2"/>
  <c r="AD138" i="2"/>
  <c r="BI138" i="2" s="1"/>
  <c r="AI103" i="2"/>
  <c r="BN103" i="2" s="1"/>
  <c r="AE301" i="2"/>
  <c r="BJ301" i="2" s="1"/>
  <c r="AE283" i="2"/>
  <c r="BJ283" i="2" s="1"/>
  <c r="AG223" i="2"/>
  <c r="BL223" i="2" s="1"/>
  <c r="AH189" i="2"/>
  <c r="BM189" i="2" s="1"/>
  <c r="AG183" i="2"/>
  <c r="BL183" i="2" s="1"/>
  <c r="AG296" i="2"/>
  <c r="BL296" i="2" s="1"/>
  <c r="AG246" i="2"/>
  <c r="BL246" i="2" s="1"/>
  <c r="AG131" i="2"/>
  <c r="BL131" i="2" s="1"/>
  <c r="AD152" i="2"/>
  <c r="BI152" i="2" s="1"/>
  <c r="AD264" i="2"/>
  <c r="BI264" i="2" s="1"/>
  <c r="AI293" i="2"/>
  <c r="BN293" i="2" s="1"/>
  <c r="AE258" i="2"/>
  <c r="BJ258" i="2" s="1"/>
  <c r="AG100" i="2"/>
  <c r="BL100" i="2" s="1"/>
  <c r="AC201" i="2"/>
  <c r="AE230" i="2"/>
  <c r="BJ230" i="2" s="1"/>
  <c r="AG375" i="2"/>
  <c r="BL375" i="2" s="1"/>
  <c r="AE227" i="2"/>
  <c r="BJ227" i="2" s="1"/>
  <c r="AD91" i="2"/>
  <c r="BI91" i="2" s="1"/>
  <c r="AE347" i="2"/>
  <c r="BJ347" i="2" s="1"/>
  <c r="AH129" i="2"/>
  <c r="BM129" i="2" s="1"/>
  <c r="AI85" i="2"/>
  <c r="BN85" i="2" s="1"/>
  <c r="AC293" i="2"/>
  <c r="AH382" i="2"/>
  <c r="BM382" i="2" s="1"/>
  <c r="AG142" i="2"/>
  <c r="BL142" i="2" s="1"/>
  <c r="AD149" i="2"/>
  <c r="BI149" i="2" s="1"/>
  <c r="AF243" i="2"/>
  <c r="BK243" i="2" s="1"/>
  <c r="AF223" i="2"/>
  <c r="BK223" i="2" s="1"/>
  <c r="AE322" i="2"/>
  <c r="BJ322" i="2" s="1"/>
  <c r="AE243" i="2"/>
  <c r="BJ243" i="2" s="1"/>
  <c r="AC175" i="2"/>
  <c r="AE196" i="2"/>
  <c r="BJ196" i="2" s="1"/>
  <c r="AE318" i="2"/>
  <c r="BJ318" i="2" s="1"/>
  <c r="AH218" i="2"/>
  <c r="BM218" i="2" s="1"/>
  <c r="BH185" i="2"/>
  <c r="BH214" i="2"/>
  <c r="BH219" i="2"/>
  <c r="BH374" i="2"/>
  <c r="BH208" i="2"/>
  <c r="BH294" i="2"/>
  <c r="BH351" i="2"/>
  <c r="BH361" i="2"/>
  <c r="BH109" i="2"/>
  <c r="BL360" i="2"/>
  <c r="BK360" i="2"/>
  <c r="BH338" i="2"/>
  <c r="BH279" i="2"/>
  <c r="BH90" i="2"/>
  <c r="BH220" i="2"/>
  <c r="BH120" i="2"/>
  <c r="BH303" i="2"/>
  <c r="BH282" i="2"/>
  <c r="BH245" i="2"/>
  <c r="BH211" i="2"/>
  <c r="BH112" i="2"/>
  <c r="BH373" i="2"/>
  <c r="BH88" i="2"/>
  <c r="BH198" i="2"/>
  <c r="BN360" i="2"/>
  <c r="BH103" i="2"/>
  <c r="BH383" i="2"/>
  <c r="BH366" i="2"/>
  <c r="BH125" i="2"/>
  <c r="BH227" i="2"/>
  <c r="BH337" i="2"/>
  <c r="BH143" i="2"/>
  <c r="BH362" i="2"/>
  <c r="BH119" i="2"/>
  <c r="BH102" i="2"/>
  <c r="BH146" i="2"/>
  <c r="G146" i="2"/>
  <c r="BH234" i="2"/>
  <c r="BH151" i="2"/>
  <c r="BH350" i="2"/>
  <c r="BH83" i="2"/>
  <c r="BH87" i="2"/>
  <c r="BH320" i="2"/>
  <c r="BH106" i="2"/>
  <c r="BH94" i="2"/>
  <c r="BH253" i="2"/>
  <c r="BH302" i="2"/>
  <c r="BH323" i="2"/>
  <c r="AF173" i="2"/>
  <c r="BK173" i="2" s="1"/>
  <c r="AG274" i="2"/>
  <c r="BL274" i="2" s="1"/>
  <c r="AC256" i="2"/>
  <c r="AC352" i="2"/>
  <c r="AC259" i="2"/>
  <c r="AE364" i="2"/>
  <c r="BJ364" i="2" s="1"/>
  <c r="AG219" i="2"/>
  <c r="BL219" i="2" s="1"/>
  <c r="AD94" i="2"/>
  <c r="BI94" i="2" s="1"/>
  <c r="AG84" i="2"/>
  <c r="BL84" i="2" s="1"/>
  <c r="AG337" i="2"/>
  <c r="BL337" i="2" s="1"/>
  <c r="AD106" i="2"/>
  <c r="BI106" i="2" s="1"/>
  <c r="AF258" i="2"/>
  <c r="BK258" i="2" s="1"/>
  <c r="AE255" i="2"/>
  <c r="BJ255" i="2" s="1"/>
  <c r="AF203" i="2"/>
  <c r="BK203" i="2" s="1"/>
  <c r="AC184" i="2"/>
  <c r="AI266" i="2"/>
  <c r="BN266" i="2" s="1"/>
  <c r="AD148" i="2"/>
  <c r="BI148" i="2" s="1"/>
  <c r="AF271" i="2"/>
  <c r="BK271" i="2" s="1"/>
  <c r="AE91" i="2"/>
  <c r="BJ91" i="2" s="1"/>
  <c r="AC137" i="2"/>
  <c r="AD113" i="2"/>
  <c r="BI113" i="2" s="1"/>
  <c r="AC236" i="2"/>
  <c r="AH87" i="2"/>
  <c r="BM87" i="2" s="1"/>
  <c r="AH274" i="2"/>
  <c r="BM274" i="2" s="1"/>
  <c r="AF370" i="2"/>
  <c r="BK370" i="2" s="1"/>
  <c r="AF338" i="2"/>
  <c r="BK338" i="2" s="1"/>
  <c r="AC114" i="2"/>
  <c r="AI124" i="2"/>
  <c r="BN124" i="2" s="1"/>
  <c r="AD345" i="2"/>
  <c r="BI345" i="2" s="1"/>
  <c r="AI173" i="2"/>
  <c r="BN173" i="2" s="1"/>
  <c r="AG320" i="2"/>
  <c r="BL320" i="2" s="1"/>
  <c r="AC267" i="2"/>
  <c r="AH215" i="2"/>
  <c r="BM215" i="2" s="1"/>
  <c r="AD117" i="2"/>
  <c r="BI117" i="2" s="1"/>
  <c r="AH124" i="2"/>
  <c r="BM124" i="2" s="1"/>
  <c r="AG130" i="2"/>
  <c r="BL130" i="2" s="1"/>
  <c r="AH256" i="2"/>
  <c r="BM256" i="2" s="1"/>
  <c r="AF193" i="2"/>
  <c r="BK193" i="2" s="1"/>
  <c r="AG215" i="2"/>
  <c r="BL215" i="2" s="1"/>
  <c r="AC105" i="2"/>
  <c r="AH150" i="2"/>
  <c r="BM150" i="2" s="1"/>
  <c r="AE106" i="2"/>
  <c r="BJ106" i="2" s="1"/>
  <c r="AH175" i="2"/>
  <c r="BM175" i="2" s="1"/>
  <c r="AE366" i="2"/>
  <c r="AE323" i="2"/>
  <c r="BJ323" i="2" s="1"/>
  <c r="AE257" i="2"/>
  <c r="BJ257" i="2" s="1"/>
  <c r="AC247" i="2"/>
  <c r="AH198" i="2"/>
  <c r="BM198" i="2" s="1"/>
  <c r="AH290" i="2"/>
  <c r="BM290" i="2" s="1"/>
  <c r="AD129" i="2"/>
  <c r="BI129" i="2" s="1"/>
  <c r="AF364" i="2"/>
  <c r="BK364" i="2" s="1"/>
  <c r="AD293" i="2"/>
  <c r="BI293" i="2" s="1"/>
  <c r="AF235" i="2"/>
  <c r="BK235" i="2" s="1"/>
  <c r="AI300" i="2"/>
  <c r="BN300" i="2" s="1"/>
  <c r="AI203" i="2"/>
  <c r="BN203" i="2" s="1"/>
  <c r="AF195" i="2"/>
  <c r="BK195" i="2" s="1"/>
  <c r="AD197" i="2"/>
  <c r="BI197" i="2" s="1"/>
  <c r="AC349" i="2"/>
  <c r="AD259" i="2"/>
  <c r="BI259" i="2" s="1"/>
  <c r="AI229" i="2"/>
  <c r="BN229" i="2" s="1"/>
  <c r="AF182" i="2"/>
  <c r="BK182" i="2" s="1"/>
  <c r="AD384" i="2"/>
  <c r="BI384" i="2" s="1"/>
  <c r="AH349" i="2"/>
  <c r="BM349" i="2" s="1"/>
  <c r="AG172" i="2"/>
  <c r="BL172" i="2" s="1"/>
  <c r="AE121" i="2"/>
  <c r="BJ121" i="2" s="1"/>
  <c r="AD233" i="2"/>
  <c r="BI233" i="2" s="1"/>
  <c r="AH224" i="2"/>
  <c r="BM224" i="2" s="1"/>
  <c r="AD350" i="2"/>
  <c r="BI350" i="2" s="1"/>
  <c r="AD366" i="2"/>
  <c r="AH119" i="2"/>
  <c r="BM119" i="2" s="1"/>
  <c r="AE141" i="2"/>
  <c r="BJ141" i="2" s="1"/>
  <c r="AD231" i="2"/>
  <c r="BI231" i="2" s="1"/>
  <c r="AE202" i="2"/>
  <c r="BJ202" i="2" s="1"/>
  <c r="AI153" i="2"/>
  <c r="BN153" i="2" s="1"/>
  <c r="AC268" i="2"/>
  <c r="AI349" i="2"/>
  <c r="BN349" i="2" s="1"/>
  <c r="AG342" i="2"/>
  <c r="BL342" i="2" s="1"/>
  <c r="AG173" i="2"/>
  <c r="BL173" i="2" s="1"/>
  <c r="AI343" i="2"/>
  <c r="BN343" i="2" s="1"/>
  <c r="AF255" i="2"/>
  <c r="BK255" i="2" s="1"/>
  <c r="AF238" i="2"/>
  <c r="BK238" i="2" s="1"/>
  <c r="AG199" i="2"/>
  <c r="BL199" i="2" s="1"/>
  <c r="AC217" i="2"/>
  <c r="AE82" i="2"/>
  <c r="BJ82" i="2" s="1"/>
  <c r="AI120" i="2"/>
  <c r="BN120" i="2" s="1"/>
  <c r="AF384" i="2"/>
  <c r="BK384" i="2" s="1"/>
  <c r="AI295" i="2"/>
  <c r="BN295" i="2" s="1"/>
  <c r="AF97" i="2"/>
  <c r="BK97" i="2" s="1"/>
  <c r="AE354" i="2"/>
  <c r="BJ354" i="2" s="1"/>
  <c r="AF197" i="2"/>
  <c r="BK197" i="2" s="1"/>
  <c r="AI122" i="2"/>
  <c r="BN122" i="2" s="1"/>
  <c r="AG352" i="2"/>
  <c r="BL352" i="2" s="1"/>
  <c r="AF236" i="2"/>
  <c r="BK236" i="2" s="1"/>
  <c r="AD342" i="2"/>
  <c r="BI342" i="2" s="1"/>
  <c r="AH190" i="2"/>
  <c r="BM190" i="2" s="1"/>
  <c r="AF356" i="2"/>
  <c r="BK356" i="2" s="1"/>
  <c r="AE140" i="2"/>
  <c r="BJ140" i="2" s="1"/>
  <c r="AF116" i="2"/>
  <c r="BK116" i="2" s="1"/>
  <c r="AI84" i="2"/>
  <c r="BN84" i="2" s="1"/>
  <c r="AC355" i="2"/>
  <c r="AG148" i="2"/>
  <c r="BL148" i="2" s="1"/>
  <c r="AH122" i="2"/>
  <c r="BM122" i="2" s="1"/>
  <c r="AG236" i="2"/>
  <c r="BL236" i="2" s="1"/>
  <c r="AC242" i="2"/>
  <c r="AI182" i="2"/>
  <c r="BN182" i="2" s="1"/>
  <c r="AF358" i="2"/>
  <c r="BK358" i="2" s="1"/>
  <c r="AD362" i="2"/>
  <c r="BI362" i="2" s="1"/>
  <c r="AG379" i="2"/>
  <c r="BL379" i="2" s="1"/>
  <c r="AH117" i="2"/>
  <c r="BM117" i="2" s="1"/>
  <c r="AF361" i="2"/>
  <c r="BK361" i="2" s="1"/>
  <c r="AI174" i="2"/>
  <c r="BN174" i="2" s="1"/>
  <c r="AD214" i="2"/>
  <c r="BI214" i="2" s="1"/>
  <c r="AI259" i="2"/>
  <c r="BN259" i="2" s="1"/>
  <c r="AH151" i="2"/>
  <c r="BM151" i="2" s="1"/>
  <c r="AC134" i="2"/>
  <c r="AI316" i="2"/>
  <c r="BN316" i="2" s="1"/>
  <c r="AG133" i="2"/>
  <c r="BL133" i="2" s="1"/>
  <c r="AG187" i="2"/>
  <c r="BL187" i="2" s="1"/>
  <c r="AI271" i="2"/>
  <c r="BN271" i="2" s="1"/>
  <c r="AE346" i="2"/>
  <c r="BJ346" i="2" s="1"/>
  <c r="AD127" i="2"/>
  <c r="BI127" i="2" s="1"/>
  <c r="AI337" i="2"/>
  <c r="BN337" i="2" s="1"/>
  <c r="AE362" i="2"/>
  <c r="BJ362" i="2" s="1"/>
  <c r="AE78" i="2"/>
  <c r="BJ78" i="2" s="1"/>
  <c r="AI100" i="2"/>
  <c r="BN100" i="2" s="1"/>
  <c r="AH135" i="2"/>
  <c r="BM135" i="2" s="1"/>
  <c r="AF260" i="2"/>
  <c r="BK260" i="2" s="1"/>
  <c r="AH291" i="2"/>
  <c r="BM291" i="2" s="1"/>
  <c r="AH373" i="2"/>
  <c r="BM373" i="2" s="1"/>
  <c r="AI350" i="2"/>
  <c r="BN350" i="2" s="1"/>
  <c r="AE154" i="2"/>
  <c r="BJ154" i="2" s="1"/>
  <c r="AI89" i="2"/>
  <c r="BN89" i="2" s="1"/>
  <c r="AG289" i="2"/>
  <c r="BL289" i="2" s="1"/>
  <c r="G213" i="2" l="1"/>
  <c r="BN388" i="2"/>
  <c r="G79" i="2"/>
  <c r="G360" i="2"/>
  <c r="G159" i="2"/>
  <c r="G132" i="2"/>
  <c r="G220" i="2"/>
  <c r="G280" i="2"/>
  <c r="G292" i="2"/>
  <c r="BH99" i="2"/>
  <c r="G321" i="2"/>
  <c r="AG387" i="2"/>
  <c r="G110" i="2"/>
  <c r="BJ378" i="2"/>
  <c r="BJ388" i="2" s="1"/>
  <c r="BI379" i="2"/>
  <c r="BI388" i="2" s="1"/>
  <c r="G144" i="2"/>
  <c r="G185" i="2"/>
  <c r="G302" i="2"/>
  <c r="G383" i="2"/>
  <c r="G164" i="2"/>
  <c r="G344" i="2"/>
  <c r="G261" i="2"/>
  <c r="G377" i="2"/>
  <c r="G228" i="2"/>
  <c r="G331" i="2"/>
  <c r="G186" i="2"/>
  <c r="AC387" i="2"/>
  <c r="G250" i="2"/>
  <c r="BI360" i="2"/>
  <c r="AI388" i="2"/>
  <c r="G367" i="2"/>
  <c r="G200" i="2"/>
  <c r="G298" i="2"/>
  <c r="G374" i="2"/>
  <c r="G297" i="2"/>
  <c r="G157" i="2"/>
  <c r="G253" i="2"/>
  <c r="G109" i="2"/>
  <c r="BM388" i="2"/>
  <c r="G359" i="2"/>
  <c r="G381" i="2"/>
  <c r="G334" i="2"/>
  <c r="G341" i="2"/>
  <c r="G225" i="2"/>
  <c r="G158" i="2"/>
  <c r="G126" i="2"/>
  <c r="G294" i="2"/>
  <c r="G125" i="2"/>
  <c r="G282" i="2"/>
  <c r="G348" i="2"/>
  <c r="G222" i="2"/>
  <c r="G90" i="2"/>
  <c r="G336" i="2"/>
  <c r="AC388" i="2"/>
  <c r="G112" i="2"/>
  <c r="G332" i="2"/>
  <c r="G155" i="2"/>
  <c r="G369" i="2"/>
  <c r="G245" i="2"/>
  <c r="BL388" i="2"/>
  <c r="G305" i="2"/>
  <c r="G102" i="2"/>
  <c r="G211" i="2"/>
  <c r="G351" i="2"/>
  <c r="G208" i="2"/>
  <c r="G170" i="2"/>
  <c r="G207" i="2"/>
  <c r="G273" i="2"/>
  <c r="AI387" i="2"/>
  <c r="G330" i="2"/>
  <c r="G333" i="2"/>
  <c r="G303" i="2"/>
  <c r="G279" i="2"/>
  <c r="BH309" i="2"/>
  <c r="G309" i="2"/>
  <c r="BH312" i="2"/>
  <c r="G312" i="2"/>
  <c r="BH314" i="2"/>
  <c r="G314" i="2"/>
  <c r="BH311" i="2"/>
  <c r="G311" i="2"/>
  <c r="BH307" i="2"/>
  <c r="G307" i="2"/>
  <c r="BH313" i="2"/>
  <c r="G313" i="2"/>
  <c r="BH315" i="2"/>
  <c r="G315" i="2"/>
  <c r="BH308" i="2"/>
  <c r="G308" i="2"/>
  <c r="G210" i="2"/>
  <c r="G143" i="2"/>
  <c r="G212" i="2"/>
  <c r="G160" i="2"/>
  <c r="G306" i="2"/>
  <c r="G163" i="2"/>
  <c r="G328" i="2"/>
  <c r="G281" i="2"/>
  <c r="G234" i="2"/>
  <c r="G161" i="2"/>
  <c r="G241" i="2"/>
  <c r="G93" i="2"/>
  <c r="G327" i="2"/>
  <c r="G83" i="2"/>
  <c r="G88" i="2"/>
  <c r="G296" i="2"/>
  <c r="G357" i="2"/>
  <c r="G227" i="2"/>
  <c r="G103" i="2"/>
  <c r="BL389" i="2"/>
  <c r="G275" i="2"/>
  <c r="BN389" i="2"/>
  <c r="BL385" i="2"/>
  <c r="BM385" i="2"/>
  <c r="G326" i="2"/>
  <c r="G206" i="2"/>
  <c r="BH134" i="2"/>
  <c r="G134" i="2"/>
  <c r="AD388" i="2"/>
  <c r="BI366" i="2"/>
  <c r="BH259" i="2"/>
  <c r="G259" i="2"/>
  <c r="BH175" i="2"/>
  <c r="G175" i="2"/>
  <c r="BH293" i="2"/>
  <c r="G293" i="2"/>
  <c r="BH156" i="2"/>
  <c r="G156" i="2"/>
  <c r="G339" i="2"/>
  <c r="BH339" i="2"/>
  <c r="BH252" i="2"/>
  <c r="G252" i="2"/>
  <c r="G92" i="2"/>
  <c r="BH92" i="2"/>
  <c r="BH85" i="2"/>
  <c r="G85" i="2"/>
  <c r="BH176" i="2"/>
  <c r="G176" i="2"/>
  <c r="BH205" i="2"/>
  <c r="G205" i="2"/>
  <c r="G358" i="2"/>
  <c r="BH358" i="2"/>
  <c r="G324" i="2"/>
  <c r="BH324" i="2"/>
  <c r="BH154" i="2"/>
  <c r="G154" i="2"/>
  <c r="G251" i="2"/>
  <c r="BH251" i="2"/>
  <c r="BH177" i="2"/>
  <c r="G177" i="2"/>
  <c r="BH335" i="2"/>
  <c r="G335" i="2"/>
  <c r="G106" i="2"/>
  <c r="G140" i="2"/>
  <c r="G350" i="2"/>
  <c r="G362" i="2"/>
  <c r="G337" i="2"/>
  <c r="AF387" i="2"/>
  <c r="G219" i="2"/>
  <c r="G319" i="2"/>
  <c r="G115" i="2"/>
  <c r="G231" i="2"/>
  <c r="G322" i="2"/>
  <c r="G117" i="2"/>
  <c r="G145" i="2"/>
  <c r="G84" i="2"/>
  <c r="G376" i="2"/>
  <c r="G347" i="2"/>
  <c r="G354" i="2"/>
  <c r="G264" i="2"/>
  <c r="G128" i="2"/>
  <c r="G192" i="2"/>
  <c r="G218" i="2"/>
  <c r="G121" i="2"/>
  <c r="G141" i="2"/>
  <c r="G317" i="2"/>
  <c r="G286" i="2"/>
  <c r="G197" i="2"/>
  <c r="G223" i="2"/>
  <c r="G89" i="2"/>
  <c r="G255" i="2"/>
  <c r="G240" i="2"/>
  <c r="AH387" i="2"/>
  <c r="G147" i="2"/>
  <c r="G116" i="2"/>
  <c r="G118" i="2"/>
  <c r="BH349" i="2"/>
  <c r="G349" i="2"/>
  <c r="BH236" i="2"/>
  <c r="G236" i="2"/>
  <c r="BH159" i="2"/>
  <c r="BH278" i="2"/>
  <c r="G278" i="2"/>
  <c r="G380" i="2"/>
  <c r="BH388" i="2"/>
  <c r="BH165" i="2"/>
  <c r="G165" i="2"/>
  <c r="BH204" i="2"/>
  <c r="G204" i="2"/>
  <c r="G180" i="2"/>
  <c r="BH180" i="2"/>
  <c r="BH167" i="2"/>
  <c r="G167" i="2"/>
  <c r="BH166" i="2"/>
  <c r="G166" i="2"/>
  <c r="BH162" i="2"/>
  <c r="G162" i="2"/>
  <c r="G238" i="2"/>
  <c r="BH238" i="2"/>
  <c r="G216" i="2"/>
  <c r="BH216" i="2"/>
  <c r="G190" i="2"/>
  <c r="G94" i="2"/>
  <c r="G87" i="2"/>
  <c r="G119" i="2"/>
  <c r="G198" i="2"/>
  <c r="G373" i="2"/>
  <c r="G346" i="2"/>
  <c r="G243" i="2"/>
  <c r="G284" i="2"/>
  <c r="AG388" i="2"/>
  <c r="G138" i="2"/>
  <c r="G290" i="2"/>
  <c r="G274" i="2"/>
  <c r="G271" i="2"/>
  <c r="G127" i="2"/>
  <c r="G199" i="2"/>
  <c r="G98" i="2"/>
  <c r="G173" i="2"/>
  <c r="G260" i="2"/>
  <c r="G378" i="2"/>
  <c r="G325" i="2"/>
  <c r="G363" i="2"/>
  <c r="G365" i="2"/>
  <c r="G353" i="2"/>
  <c r="G301" i="2"/>
  <c r="G129" i="2"/>
  <c r="G124" i="2"/>
  <c r="G248" i="2"/>
  <c r="G370" i="2"/>
  <c r="G152" i="2"/>
  <c r="G283" i="2"/>
  <c r="G285" i="2"/>
  <c r="G224" i="2"/>
  <c r="G78" i="2"/>
  <c r="G100" i="2"/>
  <c r="G130" i="2"/>
  <c r="G364" i="2"/>
  <c r="G123" i="2"/>
  <c r="G82" i="2"/>
  <c r="G183" i="2"/>
  <c r="G345" i="2"/>
  <c r="G310" i="2"/>
  <c r="G289" i="2"/>
  <c r="G172" i="2"/>
  <c r="G258" i="2"/>
  <c r="BM389" i="2"/>
  <c r="G101" i="2"/>
  <c r="G269" i="2"/>
  <c r="G295" i="2"/>
  <c r="G139" i="2"/>
  <c r="G81" i="2"/>
  <c r="G136" i="2"/>
  <c r="BH217" i="2"/>
  <c r="G217" i="2"/>
  <c r="G268" i="2"/>
  <c r="BH268" i="2"/>
  <c r="BH247" i="2"/>
  <c r="G247" i="2"/>
  <c r="G114" i="2"/>
  <c r="BH114" i="2"/>
  <c r="BH184" i="2"/>
  <c r="G184" i="2"/>
  <c r="BH256" i="2"/>
  <c r="G256" i="2"/>
  <c r="BH230" i="2"/>
  <c r="G230" i="2"/>
  <c r="BH299" i="2"/>
  <c r="G299" i="2"/>
  <c r="BH133" i="2"/>
  <c r="G133" i="2"/>
  <c r="G371" i="2"/>
  <c r="BH371" i="2"/>
  <c r="G375" i="2"/>
  <c r="BH375" i="2"/>
  <c r="BH209" i="2"/>
  <c r="G209" i="2"/>
  <c r="BH254" i="2"/>
  <c r="G254" i="2"/>
  <c r="BH97" i="2"/>
  <c r="G97" i="2"/>
  <c r="BH104" i="2"/>
  <c r="G104" i="2"/>
  <c r="BK366" i="2"/>
  <c r="AF388" i="2"/>
  <c r="BH316" i="2"/>
  <c r="G316" i="2"/>
  <c r="G131" i="2"/>
  <c r="BH131" i="2"/>
  <c r="G329" i="2"/>
  <c r="BH329" i="2"/>
  <c r="G221" i="2"/>
  <c r="BH221" i="2"/>
  <c r="G323" i="2"/>
  <c r="G320" i="2"/>
  <c r="G151" i="2"/>
  <c r="G366" i="2"/>
  <c r="G120" i="2"/>
  <c r="G361" i="2"/>
  <c r="G195" i="2"/>
  <c r="G343" i="2"/>
  <c r="G382" i="2"/>
  <c r="AH388" i="2"/>
  <c r="G182" i="2"/>
  <c r="G342" i="2"/>
  <c r="G318" i="2"/>
  <c r="G257" i="2"/>
  <c r="G122" i="2"/>
  <c r="G179" i="2"/>
  <c r="G113" i="2"/>
  <c r="G108" i="2"/>
  <c r="G135" i="2"/>
  <c r="G188" i="2"/>
  <c r="G142" i="2"/>
  <c r="G191" i="2"/>
  <c r="G86" i="2"/>
  <c r="G272" i="2"/>
  <c r="BN385" i="2"/>
  <c r="G178" i="2"/>
  <c r="AE387" i="2"/>
  <c r="G229" i="2"/>
  <c r="G263" i="2"/>
  <c r="BH242" i="2"/>
  <c r="G242" i="2"/>
  <c r="BH355" i="2"/>
  <c r="G355" i="2"/>
  <c r="AE388" i="2"/>
  <c r="BJ366" i="2"/>
  <c r="BH105" i="2"/>
  <c r="G105" i="2"/>
  <c r="BH267" i="2"/>
  <c r="G267" i="2"/>
  <c r="BH137" i="2"/>
  <c r="G137" i="2"/>
  <c r="BH352" i="2"/>
  <c r="G352" i="2"/>
  <c r="G201" i="2"/>
  <c r="BH201" i="2"/>
  <c r="G107" i="2"/>
  <c r="BH107" i="2"/>
  <c r="G384" i="2"/>
  <c r="BH384" i="2"/>
  <c r="BH111" i="2"/>
  <c r="G111" i="2"/>
  <c r="BH288" i="2"/>
  <c r="G288" i="2"/>
  <c r="G372" i="2"/>
  <c r="BH372" i="2"/>
  <c r="BH233" i="2"/>
  <c r="G233" i="2"/>
  <c r="BH340" i="2"/>
  <c r="G340" i="2"/>
  <c r="BH132" i="2"/>
  <c r="BH148" i="2"/>
  <c r="G148" i="2"/>
  <c r="BH237" i="2"/>
  <c r="G237" i="2"/>
  <c r="BH202" i="2"/>
  <c r="G202" i="2"/>
  <c r="BH356" i="2"/>
  <c r="G356" i="2"/>
  <c r="BH187" i="2"/>
  <c r="G187" i="2"/>
  <c r="AD387" i="2"/>
  <c r="G266" i="2"/>
  <c r="G153" i="2"/>
  <c r="G338" i="2"/>
  <c r="G214" i="2"/>
  <c r="G277" i="2"/>
  <c r="G276" i="2"/>
  <c r="G95" i="2"/>
  <c r="G304" i="2"/>
  <c r="G215" i="2"/>
  <c r="G291" i="2"/>
  <c r="G91" i="2"/>
  <c r="G150" i="2"/>
  <c r="G249" i="2"/>
  <c r="G169" i="2"/>
  <c r="G262" i="2"/>
  <c r="G232" i="2"/>
  <c r="G239" i="2"/>
  <c r="G287" i="2"/>
  <c r="G203" i="2"/>
  <c r="G194" i="2"/>
  <c r="G246" i="2"/>
  <c r="G244" i="2"/>
  <c r="G196" i="2"/>
  <c r="G96" i="2"/>
  <c r="G193" i="2"/>
  <c r="G174" i="2"/>
  <c r="G80" i="2"/>
  <c r="G149" i="2"/>
  <c r="G181" i="2"/>
  <c r="G270" i="2"/>
  <c r="G300" i="2"/>
  <c r="G379" i="2"/>
  <c r="G368" i="2"/>
  <c r="G189" i="2"/>
  <c r="G235" i="2"/>
  <c r="BJ385" i="2" l="1"/>
  <c r="BL387" i="2"/>
  <c r="BN387" i="2"/>
  <c r="BJ389" i="2"/>
  <c r="BJ387" i="2" s="1"/>
  <c r="BH389" i="2"/>
  <c r="BH385" i="2"/>
  <c r="BM387" i="2"/>
  <c r="BI389" i="2"/>
  <c r="BI385" i="2"/>
  <c r="BK389" i="2"/>
  <c r="BK385" i="2"/>
  <c r="BH387" i="2" l="1"/>
  <c r="BK387" i="2"/>
  <c r="BI387" i="2"/>
  <c r="A1753" i="23" l="1"/>
  <c r="L1753" i="23"/>
  <c r="O1753" i="23"/>
  <c r="N1755" i="23"/>
  <c r="L1755" i="23"/>
  <c r="A1755" i="23"/>
  <c r="M1755" i="23"/>
  <c r="O1755" i="23"/>
  <c r="O1757" i="23"/>
  <c r="N1757" i="23"/>
  <c r="A1757" i="23"/>
  <c r="M1757" i="23"/>
  <c r="L1757" i="23"/>
  <c r="M1753" i="23"/>
  <c r="N1753" i="23"/>
  <c r="M1895" i="23" l="1"/>
  <c r="J1638" i="23" l="1"/>
  <c r="N1638" i="23" s="1"/>
  <c r="J1639" i="23"/>
  <c r="N1639" i="23" s="1"/>
  <c r="J1783" i="23"/>
  <c r="N1783" i="23" s="1"/>
  <c r="F1783" i="23"/>
  <c r="D1783" i="23"/>
  <c r="K1783" i="23"/>
  <c r="O1783" i="23" s="1"/>
  <c r="K1848" i="23"/>
  <c r="O1848" i="23" s="1"/>
  <c r="E1851" i="23"/>
  <c r="K1851" i="23"/>
  <c r="O1851" i="23" s="1"/>
  <c r="F1866" i="23"/>
  <c r="K1769" i="23"/>
  <c r="O1769" i="23" s="1"/>
  <c r="E1783" i="23"/>
  <c r="F1848" i="23"/>
  <c r="F1851" i="23"/>
  <c r="D1864" i="23"/>
  <c r="H1864" i="23"/>
  <c r="L1864" i="23" s="1"/>
  <c r="J1866" i="23"/>
  <c r="N1866" i="23" s="1"/>
  <c r="E1848" i="23"/>
  <c r="H1769" i="23"/>
  <c r="L1769" i="23" s="1"/>
  <c r="H1848" i="23"/>
  <c r="L1848" i="23" s="1"/>
  <c r="H1851" i="23"/>
  <c r="L1851" i="23" s="1"/>
  <c r="E1864" i="23"/>
  <c r="J1864" i="23"/>
  <c r="N1864" i="23" s="1"/>
  <c r="D1866" i="23"/>
  <c r="K1866" i="23"/>
  <c r="O1866" i="23" s="1"/>
  <c r="F1769" i="23"/>
  <c r="H1783" i="23"/>
  <c r="L1783" i="23" s="1"/>
  <c r="J1848" i="23"/>
  <c r="N1848" i="23" s="1"/>
  <c r="D1851" i="23"/>
  <c r="J1851" i="23"/>
  <c r="N1851" i="23" s="1"/>
  <c r="F1864" i="23"/>
  <c r="K1864" i="23"/>
  <c r="O1864" i="23" s="1"/>
  <c r="E1866" i="23"/>
  <c r="D1769" i="23"/>
  <c r="J1769" i="23"/>
  <c r="N1769" i="23" s="1"/>
  <c r="E1769" i="23"/>
  <c r="H45" i="2" l="1"/>
  <c r="F45" i="2" s="1"/>
  <c r="A45" i="2" s="1"/>
  <c r="H159" i="2"/>
  <c r="F159" i="2" s="1"/>
  <c r="N1644" i="23"/>
  <c r="N1895" i="23"/>
  <c r="L1895" i="23"/>
  <c r="O1895" i="23"/>
  <c r="H96" i="2"/>
  <c r="H289" i="2"/>
  <c r="H296" i="2"/>
  <c r="H89" i="2"/>
  <c r="H113" i="2"/>
  <c r="H134" i="2"/>
  <c r="H122" i="2"/>
  <c r="H211" i="2"/>
  <c r="H106" i="2"/>
  <c r="H182" i="2"/>
  <c r="H140" i="2"/>
  <c r="H149" i="2"/>
  <c r="H253" i="2"/>
  <c r="H340" i="2"/>
  <c r="H105" i="2"/>
  <c r="H218" i="2"/>
  <c r="H192" i="2"/>
  <c r="H142" i="2"/>
  <c r="H281" i="2"/>
  <c r="H112" i="2"/>
  <c r="H178" i="2"/>
  <c r="H235" i="2"/>
  <c r="H382" i="2"/>
  <c r="H278" i="2"/>
  <c r="H180" i="2"/>
  <c r="H282" i="2"/>
  <c r="H379" i="2"/>
  <c r="H369" i="2"/>
  <c r="H272" i="2"/>
  <c r="H339" i="2"/>
  <c r="H257" i="2"/>
  <c r="H346" i="2"/>
  <c r="H154" i="2"/>
  <c r="H371" i="2"/>
  <c r="H330" i="2"/>
  <c r="H252" i="2"/>
  <c r="H217" i="2"/>
  <c r="H373" i="2"/>
  <c r="H208" i="2"/>
  <c r="H267" i="2"/>
  <c r="H104" i="2"/>
  <c r="H151" i="2"/>
  <c r="H194" i="2"/>
  <c r="H138" i="2"/>
  <c r="H277" i="2"/>
  <c r="H323" i="2"/>
  <c r="H269" i="2"/>
  <c r="H148" i="2"/>
  <c r="H314" i="2"/>
  <c r="H190" i="2"/>
  <c r="H337" i="2"/>
  <c r="H247" i="2"/>
  <c r="H299" i="2"/>
  <c r="H255" i="2"/>
  <c r="H366" i="2"/>
  <c r="H276" i="2"/>
  <c r="H232" i="2"/>
  <c r="H315" i="2"/>
  <c r="H125" i="2"/>
  <c r="H376" i="2"/>
  <c r="H119" i="2"/>
  <c r="H293" i="2"/>
  <c r="H183" i="2"/>
  <c r="H111" i="2"/>
  <c r="H368" i="2"/>
  <c r="H213" i="2"/>
  <c r="H383" i="2"/>
  <c r="H61" i="2"/>
  <c r="H9" i="2"/>
  <c r="H13" i="2"/>
  <c r="H26" i="2"/>
  <c r="H344" i="2"/>
  <c r="H212" i="2"/>
  <c r="H292" i="2"/>
  <c r="H367" i="2"/>
  <c r="H25" i="2"/>
  <c r="H360" i="2"/>
  <c r="H7" i="2"/>
  <c r="H39" i="2"/>
  <c r="H50" i="2"/>
  <c r="H53" i="2"/>
  <c r="H202" i="2"/>
  <c r="H161" i="2"/>
  <c r="H189" i="2"/>
  <c r="H153" i="2"/>
  <c r="H236" i="2"/>
  <c r="H85" i="2"/>
  <c r="H95" i="2"/>
  <c r="H132" i="2"/>
  <c r="H129" i="2"/>
  <c r="H335" i="2"/>
  <c r="H359" i="2"/>
  <c r="H324" i="2"/>
  <c r="H224" i="2"/>
  <c r="H374" i="2"/>
  <c r="H305" i="2"/>
  <c r="H123" i="2"/>
  <c r="H356" i="2"/>
  <c r="H308" i="2"/>
  <c r="H150" i="2"/>
  <c r="H384" i="2"/>
  <c r="H240" i="2"/>
  <c r="H358" i="2"/>
  <c r="H274" i="2"/>
  <c r="H158" i="2"/>
  <c r="H223" i="2"/>
  <c r="H271" i="2"/>
  <c r="H334" i="2"/>
  <c r="H219" i="2"/>
  <c r="H248" i="2"/>
  <c r="H318" i="2"/>
  <c r="H157" i="2"/>
  <c r="H370" i="2"/>
  <c r="H83" i="2"/>
  <c r="H126" i="2"/>
  <c r="H303" i="2"/>
  <c r="H215" i="2"/>
  <c r="H130" i="2"/>
  <c r="H365" i="2"/>
  <c r="H221" i="2"/>
  <c r="H332" i="2"/>
  <c r="H244" i="2"/>
  <c r="H251" i="2"/>
  <c r="H363" i="2"/>
  <c r="H362" i="2"/>
  <c r="H84" i="2"/>
  <c r="H342" i="2"/>
  <c r="H87" i="2"/>
  <c r="H345" i="2"/>
  <c r="H268" i="2"/>
  <c r="H118" i="2"/>
  <c r="H201" i="2"/>
  <c r="H174" i="2"/>
  <c r="H284" i="2"/>
  <c r="H229" i="2"/>
  <c r="H176" i="2"/>
  <c r="H328" i="2"/>
  <c r="H155" i="2"/>
  <c r="H210" i="2"/>
  <c r="H120" i="2"/>
  <c r="H152" i="2"/>
  <c r="H173" i="2"/>
  <c r="H256" i="2"/>
  <c r="H187" i="2"/>
  <c r="H287" i="2"/>
  <c r="H228" i="2"/>
  <c r="H226" i="2"/>
  <c r="H71" i="2"/>
  <c r="H15" i="2"/>
  <c r="H41" i="2"/>
  <c r="H58" i="2"/>
  <c r="H352" i="2"/>
  <c r="H306" i="2"/>
  <c r="H99" i="2"/>
  <c r="H168" i="2"/>
  <c r="H54" i="2"/>
  <c r="H36" i="2"/>
  <c r="H49" i="2"/>
  <c r="H28" i="2"/>
  <c r="H48" i="2"/>
  <c r="H145" i="2"/>
  <c r="H378" i="2"/>
  <c r="H167" i="2"/>
  <c r="H343" i="2"/>
  <c r="H294" i="2"/>
  <c r="H163" i="2"/>
  <c r="H222" i="2"/>
  <c r="H198" i="2"/>
  <c r="H179" i="2"/>
  <c r="H262" i="2"/>
  <c r="H290" i="2"/>
  <c r="H156" i="2"/>
  <c r="H127" i="2"/>
  <c r="H304" i="2"/>
  <c r="H197" i="2"/>
  <c r="H115" i="2"/>
  <c r="H196" i="2"/>
  <c r="H234" i="2"/>
  <c r="H333" i="2"/>
  <c r="H184" i="2"/>
  <c r="H239" i="2"/>
  <c r="H162" i="2"/>
  <c r="H231" i="2"/>
  <c r="H137" i="2"/>
  <c r="H354" i="2"/>
  <c r="H316" i="2"/>
  <c r="H227" i="2"/>
  <c r="H245" i="2"/>
  <c r="H108" i="2"/>
  <c r="H172" i="2"/>
  <c r="H133" i="2"/>
  <c r="H216" i="2"/>
  <c r="H264" i="2"/>
  <c r="H241" i="2"/>
  <c r="H109" i="2"/>
  <c r="H312" i="2"/>
  <c r="H258" i="2"/>
  <c r="H136" i="2"/>
  <c r="H283" i="2"/>
  <c r="H88" i="2"/>
  <c r="H199" i="2"/>
  <c r="H116" i="2"/>
  <c r="H317" i="2"/>
  <c r="H320" i="2"/>
  <c r="H165" i="2"/>
  <c r="H91" i="2"/>
  <c r="H233" i="2"/>
  <c r="H361" i="2"/>
  <c r="H135" i="2"/>
  <c r="H260" i="2"/>
  <c r="H249" i="2"/>
  <c r="H351" i="2"/>
  <c r="H353" i="2"/>
  <c r="H193" i="2"/>
  <c r="H295" i="2"/>
  <c r="H309" i="2"/>
  <c r="H90" i="2"/>
  <c r="H82" i="2"/>
  <c r="H326" i="2"/>
  <c r="H254" i="2"/>
  <c r="H121" i="2"/>
  <c r="H188" i="2"/>
  <c r="H301" i="2"/>
  <c r="H270" i="2"/>
  <c r="H110" i="2"/>
  <c r="H265" i="2"/>
  <c r="H70" i="2"/>
  <c r="H38" i="2"/>
  <c r="H34" i="2"/>
  <c r="H67" i="2"/>
  <c r="H66" i="2"/>
  <c r="H381" i="2"/>
  <c r="H302" i="2"/>
  <c r="H146" i="2"/>
  <c r="H44" i="2"/>
  <c r="H12" i="2"/>
  <c r="H19" i="2"/>
  <c r="H11" i="2"/>
  <c r="H42" i="2"/>
  <c r="H237" i="2"/>
  <c r="H214" i="2"/>
  <c r="H177" i="2"/>
  <c r="H78" i="2"/>
  <c r="H131" i="2"/>
  <c r="H93" i="2"/>
  <c r="H329" i="2"/>
  <c r="H319" i="2"/>
  <c r="H100" i="2"/>
  <c r="H242" i="2"/>
  <c r="H114" i="2"/>
  <c r="H273" i="2"/>
  <c r="H175" i="2"/>
  <c r="H205" i="2"/>
  <c r="H81" i="2"/>
  <c r="H107" i="2"/>
  <c r="H102" i="2"/>
  <c r="H313" i="2"/>
  <c r="H169" i="2"/>
  <c r="H291" i="2"/>
  <c r="H327" i="2"/>
  <c r="H297" i="2"/>
  <c r="H97" i="2"/>
  <c r="H80" i="2"/>
  <c r="H375" i="2"/>
  <c r="H147" i="2"/>
  <c r="H279" i="2"/>
  <c r="H380" i="2"/>
  <c r="H181" i="2"/>
  <c r="H311" i="2"/>
  <c r="H124" i="2"/>
  <c r="H128" i="2"/>
  <c r="H139" i="2"/>
  <c r="H259" i="2"/>
  <c r="H266" i="2"/>
  <c r="H325" i="2"/>
  <c r="H225" i="2"/>
  <c r="H275" i="2"/>
  <c r="H341" i="2"/>
  <c r="H286" i="2"/>
  <c r="H160" i="2"/>
  <c r="H300" i="2"/>
  <c r="H143" i="2"/>
  <c r="H101" i="2"/>
  <c r="H263" i="2"/>
  <c r="H238" i="2"/>
  <c r="H191" i="2"/>
  <c r="H364" i="2"/>
  <c r="H285" i="2"/>
  <c r="H86" i="2"/>
  <c r="H103" i="2"/>
  <c r="H336" i="2"/>
  <c r="H288" i="2"/>
  <c r="H310" i="2"/>
  <c r="H322" i="2"/>
  <c r="H350" i="2"/>
  <c r="H209" i="2"/>
  <c r="H195" i="2"/>
  <c r="H355" i="2"/>
  <c r="H307" i="2"/>
  <c r="H170" i="2"/>
  <c r="H230" i="2"/>
  <c r="H117" i="2"/>
  <c r="H372" i="2"/>
  <c r="H349" i="2"/>
  <c r="H338" i="2"/>
  <c r="H246" i="2"/>
  <c r="H348" i="2"/>
  <c r="H144" i="2"/>
  <c r="H185" i="2"/>
  <c r="H62" i="2"/>
  <c r="H24" i="2"/>
  <c r="H46" i="2"/>
  <c r="H207" i="2"/>
  <c r="H204" i="2"/>
  <c r="H321" i="2"/>
  <c r="H261" i="2"/>
  <c r="H69" i="2"/>
  <c r="H52" i="2"/>
  <c r="H377" i="2"/>
  <c r="H27" i="2"/>
  <c r="H35" i="2"/>
  <c r="H51" i="2"/>
  <c r="H141" i="2"/>
  <c r="H206" i="2"/>
  <c r="H79" i="2"/>
  <c r="H72" i="2"/>
  <c r="H166" i="2"/>
  <c r="H186" i="2"/>
  <c r="H73" i="2"/>
  <c r="H20" i="2"/>
  <c r="H8" i="2"/>
  <c r="H65" i="2"/>
  <c r="H37" i="2"/>
  <c r="H347" i="2"/>
  <c r="H331" i="2"/>
  <c r="Z25" i="2"/>
  <c r="BE25" i="2" s="1"/>
  <c r="H68" i="2"/>
  <c r="H55" i="2"/>
  <c r="H22" i="2"/>
  <c r="Z242" i="2"/>
  <c r="BE242" i="2" s="1"/>
  <c r="Z186" i="2"/>
  <c r="BE186" i="2" s="1"/>
  <c r="H16" i="2"/>
  <c r="Z210" i="2"/>
  <c r="BE210" i="2" s="1"/>
  <c r="Z236" i="2"/>
  <c r="BE236" i="2" s="1"/>
  <c r="Z218" i="2"/>
  <c r="BE218" i="2" s="1"/>
  <c r="Z79" i="2"/>
  <c r="BE79" i="2" s="1"/>
  <c r="Z176" i="2"/>
  <c r="BE176" i="2" s="1"/>
  <c r="Z198" i="2"/>
  <c r="BE198" i="2" s="1"/>
  <c r="Z266" i="2"/>
  <c r="BE266" i="2" s="1"/>
  <c r="Z81" i="2"/>
  <c r="BE81" i="2" s="1"/>
  <c r="Z355" i="2"/>
  <c r="BE355" i="2" s="1"/>
  <c r="Z285" i="2"/>
  <c r="BE285" i="2" s="1"/>
  <c r="Z117" i="2"/>
  <c r="BE117" i="2" s="1"/>
  <c r="Z167" i="2"/>
  <c r="BE167" i="2" s="1"/>
  <c r="Z333" i="2"/>
  <c r="BE333" i="2" s="1"/>
  <c r="Z353" i="2"/>
  <c r="BE353" i="2" s="1"/>
  <c r="Z290" i="2"/>
  <c r="BE290" i="2" s="1"/>
  <c r="Z330" i="2"/>
  <c r="BE330" i="2" s="1"/>
  <c r="Z105" i="2"/>
  <c r="BE105" i="2" s="1"/>
  <c r="Z51" i="2"/>
  <c r="BE51" i="2" s="1"/>
  <c r="Z88" i="2"/>
  <c r="BE88" i="2" s="1"/>
  <c r="Z252" i="2"/>
  <c r="BE252" i="2" s="1"/>
  <c r="Z381" i="2"/>
  <c r="BE381" i="2" s="1"/>
  <c r="Z194" i="2"/>
  <c r="BE194" i="2" s="1"/>
  <c r="Z206" i="2"/>
  <c r="BE206" i="2" s="1"/>
  <c r="Z358" i="2"/>
  <c r="BE358" i="2" s="1"/>
  <c r="Z177" i="2"/>
  <c r="BE177" i="2" s="1"/>
  <c r="Z341" i="2"/>
  <c r="BE341" i="2" s="1"/>
  <c r="Z64" i="2"/>
  <c r="BE64" i="2" s="1"/>
  <c r="Z300" i="2"/>
  <c r="BE300" i="2" s="1"/>
  <c r="Z262" i="2"/>
  <c r="BE262" i="2" s="1"/>
  <c r="Z231" i="2"/>
  <c r="BE231" i="2" s="1"/>
  <c r="Z163" i="2"/>
  <c r="BE163" i="2" s="1"/>
  <c r="Z192" i="2"/>
  <c r="BE192" i="2" s="1"/>
  <c r="Z162" i="2"/>
  <c r="BE162" i="2" s="1"/>
  <c r="Z213" i="2"/>
  <c r="BE213" i="2" s="1"/>
  <c r="Z237" i="2"/>
  <c r="BE237" i="2" s="1"/>
  <c r="Z90" i="2"/>
  <c r="BE90" i="2" s="1"/>
  <c r="Z42" i="2"/>
  <c r="BE42" i="2" s="1"/>
  <c r="Z199" i="2"/>
  <c r="BE199" i="2" s="1"/>
  <c r="Z327" i="2"/>
  <c r="BE327" i="2" s="1"/>
  <c r="Z375" i="2"/>
  <c r="BE375" i="2" s="1"/>
  <c r="Z132" i="2"/>
  <c r="BE132" i="2" s="1"/>
  <c r="Z31" i="2"/>
  <c r="BE31" i="2" s="1"/>
  <c r="Z75" i="2"/>
  <c r="BE75" i="2" s="1"/>
  <c r="Z24" i="2"/>
  <c r="BE24" i="2" s="1"/>
  <c r="Z320" i="2"/>
  <c r="BE320" i="2" s="1"/>
  <c r="Z174" i="2"/>
  <c r="BE174" i="2" s="1"/>
  <c r="Z267" i="2"/>
  <c r="BE267" i="2" s="1"/>
  <c r="Z17" i="2"/>
  <c r="BE17" i="2" s="1"/>
  <c r="H92" i="2"/>
  <c r="H298" i="2"/>
  <c r="H29" i="2"/>
  <c r="H14" i="2"/>
  <c r="H59" i="2"/>
  <c r="H171" i="2"/>
  <c r="H203" i="2"/>
  <c r="H280" i="2"/>
  <c r="Z377" i="2"/>
  <c r="BE377" i="2" s="1"/>
  <c r="H23" i="2"/>
  <c r="H47" i="2"/>
  <c r="H18" i="2"/>
  <c r="Z180" i="2"/>
  <c r="BE180" i="2" s="1"/>
  <c r="Z281" i="2"/>
  <c r="BE281" i="2" s="1"/>
  <c r="Z23" i="2"/>
  <c r="BE23" i="2" s="1"/>
  <c r="H74" i="2"/>
  <c r="Z216" i="2"/>
  <c r="BE216" i="2" s="1"/>
  <c r="Z154" i="2"/>
  <c r="BE154" i="2" s="1"/>
  <c r="Z319" i="2"/>
  <c r="BE319" i="2" s="1"/>
  <c r="Z84" i="2"/>
  <c r="BE84" i="2" s="1"/>
  <c r="Z190" i="2"/>
  <c r="BE190" i="2" s="1"/>
  <c r="Z20" i="2"/>
  <c r="BE20" i="2" s="1"/>
  <c r="Z58" i="2"/>
  <c r="BE58" i="2" s="1"/>
  <c r="Z325" i="2"/>
  <c r="BE325" i="2" s="1"/>
  <c r="Z363" i="2"/>
  <c r="BE363" i="2" s="1"/>
  <c r="Z80" i="2"/>
  <c r="BE80" i="2" s="1"/>
  <c r="Z141" i="2"/>
  <c r="BE141" i="2" s="1"/>
  <c r="Z76" i="2"/>
  <c r="BE76" i="2" s="1"/>
  <c r="Z179" i="2"/>
  <c r="BE179" i="2" s="1"/>
  <c r="Z382" i="2"/>
  <c r="BE382" i="2" s="1"/>
  <c r="Z251" i="2"/>
  <c r="BE251" i="2" s="1"/>
  <c r="Z147" i="2"/>
  <c r="BE147" i="2" s="1"/>
  <c r="Z347" i="2"/>
  <c r="BE347" i="2" s="1"/>
  <c r="Z91" i="2"/>
  <c r="BE91" i="2" s="1"/>
  <c r="Z34" i="2"/>
  <c r="BE34" i="2" s="1"/>
  <c r="Z323" i="2"/>
  <c r="BE323" i="2" s="1"/>
  <c r="Z101" i="2"/>
  <c r="BE101" i="2" s="1"/>
  <c r="Z272" i="2"/>
  <c r="BE272" i="2" s="1"/>
  <c r="Z52" i="2"/>
  <c r="BE52" i="2" s="1"/>
  <c r="Z273" i="2"/>
  <c r="BE273" i="2" s="1"/>
  <c r="Z73" i="2"/>
  <c r="BE73" i="2" s="1"/>
  <c r="Z324" i="2"/>
  <c r="BE324" i="2" s="1"/>
  <c r="Z219" i="2"/>
  <c r="BE219" i="2" s="1"/>
  <c r="Z184" i="2"/>
  <c r="BE184" i="2" s="1"/>
  <c r="Z103" i="2"/>
  <c r="BE103" i="2" s="1"/>
  <c r="Z33" i="2"/>
  <c r="BE33" i="2" s="1"/>
  <c r="Z120" i="2"/>
  <c r="BE120" i="2" s="1"/>
  <c r="Z349" i="2"/>
  <c r="BE349" i="2" s="1"/>
  <c r="Z277" i="2"/>
  <c r="BE277" i="2" s="1"/>
  <c r="Z171" i="2"/>
  <c r="BE171" i="2" s="1"/>
  <c r="Z292" i="2"/>
  <c r="BE292" i="2" s="1"/>
  <c r="Z41" i="2"/>
  <c r="BE41" i="2" s="1"/>
  <c r="Z113" i="2"/>
  <c r="BE113" i="2" s="1"/>
  <c r="Z245" i="2"/>
  <c r="BE245" i="2" s="1"/>
  <c r="Z57" i="2"/>
  <c r="BE57" i="2" s="1"/>
  <c r="Z211" i="2"/>
  <c r="BE211" i="2" s="1"/>
  <c r="Z265" i="2"/>
  <c r="BE265" i="2" s="1"/>
  <c r="Z204" i="2"/>
  <c r="BE204" i="2" s="1"/>
  <c r="Z261" i="2"/>
  <c r="BE261" i="2" s="1"/>
  <c r="Z56" i="2"/>
  <c r="BE56" i="2" s="1"/>
  <c r="Z288" i="2"/>
  <c r="BE288" i="2" s="1"/>
  <c r="Z37" i="2"/>
  <c r="BE37" i="2" s="1"/>
  <c r="Z142" i="2"/>
  <c r="BE142" i="2" s="1"/>
  <c r="Z225" i="2"/>
  <c r="BE225" i="2" s="1"/>
  <c r="Z214" i="2"/>
  <c r="BE214" i="2" s="1"/>
  <c r="Z306" i="2"/>
  <c r="BE306" i="2" s="1"/>
  <c r="Z50" i="2"/>
  <c r="BE50" i="2" s="1"/>
  <c r="Z297" i="2"/>
  <c r="BE297" i="2" s="1"/>
  <c r="Z289" i="2"/>
  <c r="BE289" i="2" s="1"/>
  <c r="Z145" i="2"/>
  <c r="BE145" i="2" s="1"/>
  <c r="Z351" i="2"/>
  <c r="BE351" i="2" s="1"/>
  <c r="Z135" i="2"/>
  <c r="BE135" i="2" s="1"/>
  <c r="Z115" i="2"/>
  <c r="BE115" i="2" s="1"/>
  <c r="Z362" i="2"/>
  <c r="BE362" i="2" s="1"/>
  <c r="Z334" i="2"/>
  <c r="BE334" i="2" s="1"/>
  <c r="Z371" i="2"/>
  <c r="BE371" i="2" s="1"/>
  <c r="Z83" i="2"/>
  <c r="BE83" i="2" s="1"/>
  <c r="Z311" i="2"/>
  <c r="BE311" i="2" s="1"/>
  <c r="Z336" i="2"/>
  <c r="BE336" i="2" s="1"/>
  <c r="Z279" i="2"/>
  <c r="BE279" i="2" s="1"/>
  <c r="Z275" i="2"/>
  <c r="BE275" i="2" s="1"/>
  <c r="Z106" i="2"/>
  <c r="BE106" i="2" s="1"/>
  <c r="Z379" i="2"/>
  <c r="BE379" i="2" s="1"/>
  <c r="Z49" i="2"/>
  <c r="BE49" i="2" s="1"/>
  <c r="Z383" i="2"/>
  <c r="BE383" i="2" s="1"/>
  <c r="H94" i="2"/>
  <c r="H250" i="2"/>
  <c r="H75" i="2"/>
  <c r="H76" i="2"/>
  <c r="H43" i="2"/>
  <c r="H243" i="2"/>
  <c r="H357" i="2"/>
  <c r="H63" i="2"/>
  <c r="H32" i="2"/>
  <c r="H40" i="2"/>
  <c r="H56" i="2"/>
  <c r="H57" i="2"/>
  <c r="Z228" i="2"/>
  <c r="BE228" i="2" s="1"/>
  <c r="Z360" i="2"/>
  <c r="BE360" i="2" s="1"/>
  <c r="Z159" i="2"/>
  <c r="BE159" i="2" s="1"/>
  <c r="Z332" i="2"/>
  <c r="BE332" i="2" s="1"/>
  <c r="Z344" i="2"/>
  <c r="BE344" i="2" s="1"/>
  <c r="Z146" i="2"/>
  <c r="BE146" i="2" s="1"/>
  <c r="Z158" i="2"/>
  <c r="BE158" i="2" s="1"/>
  <c r="Z239" i="2"/>
  <c r="BE239" i="2" s="1"/>
  <c r="Z226" i="2"/>
  <c r="BE226" i="2" s="1"/>
  <c r="Z29" i="2"/>
  <c r="BE29" i="2" s="1"/>
  <c r="Z340" i="2"/>
  <c r="BE340" i="2" s="1"/>
  <c r="Z170" i="2"/>
  <c r="BE170" i="2" s="1"/>
  <c r="Z109" i="2"/>
  <c r="BE109" i="2" s="1"/>
  <c r="Z118" i="2"/>
  <c r="BE118" i="2" s="1"/>
  <c r="Z139" i="2"/>
  <c r="BE139" i="2" s="1"/>
  <c r="Z366" i="2"/>
  <c r="BE366" i="2" s="1"/>
  <c r="Z165" i="2"/>
  <c r="BE165" i="2" s="1"/>
  <c r="Z40" i="2"/>
  <c r="BE40" i="2" s="1"/>
  <c r="Z287" i="2"/>
  <c r="BE287" i="2" s="1"/>
  <c r="Z35" i="2"/>
  <c r="BE35" i="2" s="1"/>
  <c r="Z138" i="2"/>
  <c r="BE138" i="2" s="1"/>
  <c r="Z44" i="2"/>
  <c r="BE44" i="2" s="1"/>
  <c r="Z370" i="2"/>
  <c r="BE370" i="2" s="1"/>
  <c r="Z197" i="2"/>
  <c r="BE197" i="2" s="1"/>
  <c r="Z244" i="2"/>
  <c r="BE244" i="2" s="1"/>
  <c r="Z87" i="2"/>
  <c r="BE87" i="2" s="1"/>
  <c r="Z60" i="2"/>
  <c r="BE60" i="2" s="1"/>
  <c r="Z144" i="2"/>
  <c r="BE144" i="2" s="1"/>
  <c r="Z357" i="2"/>
  <c r="BE357" i="2" s="1"/>
  <c r="Z369" i="2"/>
  <c r="BE369" i="2" s="1"/>
  <c r="Z284" i="2"/>
  <c r="BE284" i="2" s="1"/>
  <c r="Z55" i="2"/>
  <c r="BE55" i="2" s="1"/>
  <c r="Z70" i="2"/>
  <c r="BE70" i="2" s="1"/>
  <c r="Z130" i="2"/>
  <c r="BE130" i="2" s="1"/>
  <c r="Z212" i="2"/>
  <c r="BE212" i="2" s="1"/>
  <c r="Z181" i="2"/>
  <c r="BE181" i="2" s="1"/>
  <c r="Z303" i="2"/>
  <c r="BE303" i="2" s="1"/>
  <c r="Z310" i="2"/>
  <c r="BE310" i="2" s="1"/>
  <c r="Z39" i="2"/>
  <c r="BE39" i="2" s="1"/>
  <c r="Z48" i="2"/>
  <c r="BE48" i="2" s="1"/>
  <c r="Z222" i="2"/>
  <c r="BE222" i="2" s="1"/>
  <c r="Z28" i="2"/>
  <c r="BE28" i="2" s="1"/>
  <c r="Z27" i="2"/>
  <c r="BE27" i="2" s="1"/>
  <c r="Z21" i="2"/>
  <c r="BE21" i="2" s="1"/>
  <c r="Z342" i="2"/>
  <c r="BE342" i="2" s="1"/>
  <c r="Z378" i="2"/>
  <c r="BE378" i="2" s="1"/>
  <c r="Z326" i="2"/>
  <c r="BE326" i="2" s="1"/>
  <c r="Z119" i="2"/>
  <c r="BE119" i="2" s="1"/>
  <c r="Z295" i="2"/>
  <c r="BE295" i="2" s="1"/>
  <c r="Z280" i="2"/>
  <c r="BE280" i="2" s="1"/>
  <c r="Z100" i="2"/>
  <c r="BE100" i="2" s="1"/>
  <c r="Z74" i="2"/>
  <c r="BE74" i="2" s="1"/>
  <c r="Z53" i="2"/>
  <c r="BE53" i="2" s="1"/>
  <c r="Z294" i="2"/>
  <c r="BE294" i="2" s="1"/>
  <c r="H164" i="2"/>
  <c r="H200" i="2"/>
  <c r="H17" i="2"/>
  <c r="H33" i="2"/>
  <c r="H10" i="2"/>
  <c r="H6" i="2"/>
  <c r="H98" i="2"/>
  <c r="H220" i="2"/>
  <c r="H64" i="2"/>
  <c r="H60" i="2"/>
  <c r="H30" i="2"/>
  <c r="H31" i="2"/>
  <c r="Z59" i="2"/>
  <c r="BE59" i="2" s="1"/>
  <c r="Z6" i="2"/>
  <c r="BE6" i="2" s="1"/>
  <c r="Z346" i="2"/>
  <c r="BE346" i="2" s="1"/>
  <c r="Z293" i="2"/>
  <c r="BE293" i="2" s="1"/>
  <c r="Z126" i="2"/>
  <c r="BE126" i="2" s="1"/>
  <c r="Z223" i="2"/>
  <c r="BE223" i="2" s="1"/>
  <c r="Z380" i="2"/>
  <c r="BE380" i="2" s="1"/>
  <c r="Z376" i="2"/>
  <c r="BE376" i="2" s="1"/>
  <c r="Z299" i="2"/>
  <c r="BE299" i="2" s="1"/>
  <c r="Z128" i="2"/>
  <c r="BE128" i="2" s="1"/>
  <c r="Z47" i="2"/>
  <c r="BE47" i="2" s="1"/>
  <c r="Z227" i="2"/>
  <c r="BE227" i="2" s="1"/>
  <c r="Z11" i="2"/>
  <c r="BE11" i="2" s="1"/>
  <c r="Z241" i="2"/>
  <c r="BE241" i="2" s="1"/>
  <c r="Z301" i="2"/>
  <c r="BE301" i="2" s="1"/>
  <c r="Z102" i="2"/>
  <c r="BE102" i="2" s="1"/>
  <c r="Z350" i="2"/>
  <c r="BE350" i="2" s="1"/>
  <c r="Z335" i="2"/>
  <c r="BE335" i="2" s="1"/>
  <c r="Z234" i="2"/>
  <c r="BE234" i="2" s="1"/>
  <c r="Z298" i="2"/>
  <c r="BE298" i="2" s="1"/>
  <c r="Z331" i="2"/>
  <c r="BE331" i="2" s="1"/>
  <c r="Z69" i="2"/>
  <c r="BE69" i="2" s="1"/>
  <c r="Z19" i="2"/>
  <c r="BE19" i="2" s="1"/>
  <c r="Z207" i="2"/>
  <c r="BE207" i="2" s="1"/>
  <c r="Z122" i="2"/>
  <c r="BE122" i="2" s="1"/>
  <c r="Z268" i="2"/>
  <c r="BE268" i="2" s="1"/>
  <c r="Z193" i="2"/>
  <c r="BE193" i="2" s="1"/>
  <c r="Z187" i="2"/>
  <c r="BE187" i="2" s="1"/>
  <c r="Z201" i="2"/>
  <c r="BE201" i="2" s="1"/>
  <c r="Z12" i="2"/>
  <c r="BE12" i="2" s="1"/>
  <c r="Z248" i="2"/>
  <c r="BE248" i="2" s="1"/>
  <c r="Z63" i="2"/>
  <c r="BE63" i="2" s="1"/>
  <c r="Z247" i="2"/>
  <c r="BE247" i="2" s="1"/>
  <c r="Z161" i="2"/>
  <c r="BE161" i="2" s="1"/>
  <c r="Z152" i="2"/>
  <c r="BE152" i="2" s="1"/>
  <c r="Z270" i="2"/>
  <c r="BE270" i="2" s="1"/>
  <c r="Z232" i="2"/>
  <c r="BE232" i="2" s="1"/>
  <c r="Z129" i="2"/>
  <c r="BE129" i="2" s="1"/>
  <c r="Z315" i="2"/>
  <c r="BE315" i="2" s="1"/>
  <c r="Z200" i="2"/>
  <c r="BE200" i="2" s="1"/>
  <c r="Z125" i="2"/>
  <c r="BE125" i="2" s="1"/>
  <c r="Z67" i="2"/>
  <c r="BE67" i="2" s="1"/>
  <c r="Z321" i="2"/>
  <c r="BE321" i="2" s="1"/>
  <c r="Z156" i="2"/>
  <c r="BE156" i="2" s="1"/>
  <c r="Z316" i="2"/>
  <c r="BE316" i="2" s="1"/>
  <c r="Z196" i="2"/>
  <c r="BE196" i="2" s="1"/>
  <c r="Z71" i="2"/>
  <c r="BE71" i="2" s="1"/>
  <c r="Z373" i="2"/>
  <c r="BE373" i="2" s="1"/>
  <c r="Z291" i="2"/>
  <c r="BE291" i="2" s="1"/>
  <c r="Z283" i="2"/>
  <c r="BE283" i="2" s="1"/>
  <c r="Z282" i="2"/>
  <c r="BE282" i="2" s="1"/>
  <c r="Z343" i="2"/>
  <c r="BE343" i="2" s="1"/>
  <c r="Z233" i="2"/>
  <c r="BE233" i="2" s="1"/>
  <c r="Z189" i="2"/>
  <c r="BE189" i="2" s="1"/>
  <c r="Z134" i="2"/>
  <c r="BE134" i="2" s="1"/>
  <c r="Z255" i="2"/>
  <c r="BE255" i="2" s="1"/>
  <c r="Z32" i="2"/>
  <c r="BE32" i="2" s="1"/>
  <c r="Z384" i="2"/>
  <c r="BE384" i="2" s="1"/>
  <c r="Z98" i="2"/>
  <c r="BE98" i="2" s="1"/>
  <c r="Z304" i="2"/>
  <c r="BE304" i="2" s="1"/>
  <c r="Z263" i="2"/>
  <c r="BE263" i="2" s="1"/>
  <c r="Z114" i="2"/>
  <c r="BE114" i="2" s="1"/>
  <c r="Z30" i="2"/>
  <c r="BE30" i="2" s="1"/>
  <c r="Z354" i="2"/>
  <c r="BE354" i="2" s="1"/>
  <c r="Z348" i="2"/>
  <c r="BE348" i="2" s="1"/>
  <c r="Z175" i="2"/>
  <c r="BE175" i="2" s="1"/>
  <c r="Z260" i="2"/>
  <c r="BE260" i="2" s="1"/>
  <c r="Z208" i="2"/>
  <c r="BE208" i="2" s="1"/>
  <c r="Z68" i="2"/>
  <c r="BE68" i="2" s="1"/>
  <c r="Z307" i="2"/>
  <c r="BE307" i="2" s="1"/>
  <c r="Z256" i="2"/>
  <c r="BE256" i="2" s="1"/>
  <c r="Z18" i="2"/>
  <c r="BE18" i="2" s="1"/>
  <c r="Z148" i="2"/>
  <c r="BE148" i="2" s="1"/>
  <c r="Z339" i="2"/>
  <c r="BE339" i="2" s="1"/>
  <c r="Z183" i="2"/>
  <c r="BE183" i="2" s="1"/>
  <c r="Z157" i="2"/>
  <c r="BE157" i="2" s="1"/>
  <c r="Z195" i="2"/>
  <c r="BE195" i="2" s="1"/>
  <c r="Z259" i="2"/>
  <c r="BE259" i="2" s="1"/>
  <c r="Z309" i="2"/>
  <c r="BE309" i="2" s="1"/>
  <c r="Z116" i="2"/>
  <c r="BE116" i="2" s="1"/>
  <c r="Z185" i="2"/>
  <c r="BE185" i="2" s="1"/>
  <c r="Z131" i="2"/>
  <c r="BE131" i="2" s="1"/>
  <c r="Z104" i="2"/>
  <c r="BE104" i="2" s="1"/>
  <c r="Z127" i="2"/>
  <c r="BE127" i="2" s="1"/>
  <c r="Z7" i="2"/>
  <c r="BE7" i="2" s="1"/>
  <c r="Z205" i="2"/>
  <c r="BE205" i="2" s="1"/>
  <c r="Z271" i="2"/>
  <c r="BE271" i="2" s="1"/>
  <c r="Z337" i="2"/>
  <c r="BE337" i="2" s="1"/>
  <c r="Z356" i="2"/>
  <c r="BE356" i="2" s="1"/>
  <c r="Z143" i="2"/>
  <c r="BE143" i="2" s="1"/>
  <c r="Z72" i="2"/>
  <c r="BE72" i="2" s="1"/>
  <c r="Z361" i="2"/>
  <c r="BE361" i="2" s="1"/>
  <c r="Z221" i="2"/>
  <c r="BE221" i="2" s="1"/>
  <c r="Z258" i="2"/>
  <c r="BE258" i="2" s="1"/>
  <c r="Z329" i="2"/>
  <c r="BE329" i="2" s="1"/>
  <c r="Z95" i="2"/>
  <c r="BE95" i="2" s="1"/>
  <c r="Z203" i="2"/>
  <c r="BE203" i="2" s="1"/>
  <c r="Z43" i="2"/>
  <c r="BE43" i="2" s="1"/>
  <c r="Z164" i="2"/>
  <c r="BE164" i="2" s="1"/>
  <c r="Z296" i="2"/>
  <c r="BE296" i="2" s="1"/>
  <c r="Z123" i="2"/>
  <c r="BE123" i="2" s="1"/>
  <c r="Z10" i="2"/>
  <c r="BE10" i="2" s="1"/>
  <c r="Z9" i="2"/>
  <c r="BE9" i="2" s="1"/>
  <c r="Z85" i="2"/>
  <c r="BE85" i="2" s="1"/>
  <c r="Z82" i="2"/>
  <c r="BE82" i="2" s="1"/>
  <c r="Z26" i="2"/>
  <c r="BE26" i="2" s="1"/>
  <c r="Z359" i="2"/>
  <c r="BE359" i="2" s="1"/>
  <c r="Z124" i="2"/>
  <c r="BE124" i="2" s="1"/>
  <c r="Z99" i="2"/>
  <c r="BE99" i="2" s="1"/>
  <c r="Z188" i="2"/>
  <c r="BE188" i="2" s="1"/>
  <c r="Z328" i="2"/>
  <c r="BE328" i="2" s="1"/>
  <c r="Z89" i="2"/>
  <c r="BE89" i="2" s="1"/>
  <c r="Z305" i="2"/>
  <c r="BE305" i="2" s="1"/>
  <c r="Z264" i="2"/>
  <c r="BE264" i="2" s="1"/>
  <c r="Z93" i="2"/>
  <c r="BE93" i="2" s="1"/>
  <c r="Z257" i="2"/>
  <c r="BE257" i="2" s="1"/>
  <c r="Z108" i="2"/>
  <c r="BE108" i="2" s="1"/>
  <c r="Z14" i="2"/>
  <c r="BE14" i="2" s="1"/>
  <c r="Z209" i="2"/>
  <c r="BE209" i="2" s="1"/>
  <c r="Z238" i="2"/>
  <c r="BE238" i="2" s="1"/>
  <c r="Z217" i="2"/>
  <c r="BE217" i="2" s="1"/>
  <c r="Z364" i="2"/>
  <c r="BE364" i="2" s="1"/>
  <c r="Z318" i="2"/>
  <c r="BE318" i="2" s="1"/>
  <c r="Z215" i="2"/>
  <c r="BE215" i="2" s="1"/>
  <c r="Z191" i="2"/>
  <c r="BE191" i="2" s="1"/>
  <c r="Z168" i="2"/>
  <c r="BE168" i="2" s="1"/>
  <c r="Z313" i="2"/>
  <c r="BE313" i="2" s="1"/>
  <c r="Z169" i="2"/>
  <c r="BE169" i="2" s="1"/>
  <c r="Z230" i="2"/>
  <c r="BE230" i="2" s="1"/>
  <c r="Z286" i="2"/>
  <c r="BE286" i="2" s="1"/>
  <c r="Z317" i="2"/>
  <c r="BE317" i="2" s="1"/>
  <c r="Z140" i="2"/>
  <c r="BE140" i="2" s="1"/>
  <c r="Z235" i="2"/>
  <c r="BE235" i="2" s="1"/>
  <c r="Z153" i="2"/>
  <c r="BE153" i="2" s="1"/>
  <c r="Z229" i="2"/>
  <c r="BE229" i="2" s="1"/>
  <c r="Z65" i="2"/>
  <c r="BE65" i="2" s="1"/>
  <c r="Z365" i="2"/>
  <c r="BE365" i="2" s="1"/>
  <c r="Z133" i="2"/>
  <c r="BE133" i="2" s="1"/>
  <c r="Z107" i="2"/>
  <c r="BE107" i="2" s="1"/>
  <c r="Z372" i="2"/>
  <c r="BE372" i="2" s="1"/>
  <c r="Z250" i="2"/>
  <c r="BE250" i="2" s="1"/>
  <c r="Z13" i="2"/>
  <c r="BE13" i="2" s="1"/>
  <c r="Z368" i="2"/>
  <c r="BE368" i="2" s="1"/>
  <c r="Z254" i="2"/>
  <c r="BE254" i="2" s="1"/>
  <c r="Z8" i="2"/>
  <c r="BE8" i="2" s="1"/>
  <c r="Z66" i="2"/>
  <c r="BE66" i="2" s="1"/>
  <c r="Z278" i="2"/>
  <c r="BE278" i="2" s="1"/>
  <c r="Z150" i="2"/>
  <c r="BE150" i="2" s="1"/>
  <c r="Z15" i="2"/>
  <c r="BE15" i="2" s="1"/>
  <c r="Z110" i="2"/>
  <c r="BE110" i="2" s="1"/>
  <c r="Z308" i="2"/>
  <c r="BE308" i="2" s="1"/>
  <c r="Z269" i="2"/>
  <c r="BE269" i="2" s="1"/>
  <c r="Z374" i="2"/>
  <c r="BE374" i="2" s="1"/>
  <c r="Z36" i="2"/>
  <c r="BE36" i="2" s="1"/>
  <c r="Z224" i="2"/>
  <c r="BE224" i="2" s="1"/>
  <c r="Z112" i="2"/>
  <c r="BE112" i="2" s="1"/>
  <c r="Z173" i="2"/>
  <c r="BE173" i="2" s="1"/>
  <c r="Z240" i="2"/>
  <c r="BE240" i="2" s="1"/>
  <c r="Z302" i="2"/>
  <c r="BE302" i="2" s="1"/>
  <c r="Z149" i="2"/>
  <c r="BE149" i="2" s="1"/>
  <c r="Z155" i="2"/>
  <c r="BE155" i="2" s="1"/>
  <c r="Z312" i="2"/>
  <c r="BE312" i="2" s="1"/>
  <c r="Z367" i="2"/>
  <c r="BE367" i="2" s="1"/>
  <c r="Z46" i="2"/>
  <c r="BE46" i="2" s="1"/>
  <c r="Z182" i="2"/>
  <c r="BE182" i="2" s="1"/>
  <c r="Z16" i="2"/>
  <c r="BE16" i="2" s="1"/>
  <c r="Z78" i="2"/>
  <c r="BE78" i="2" s="1"/>
  <c r="Z322" i="2"/>
  <c r="BE322" i="2" s="1"/>
  <c r="Z111" i="2"/>
  <c r="BE111" i="2" s="1"/>
  <c r="Z121" i="2"/>
  <c r="BE121" i="2" s="1"/>
  <c r="Z61" i="2"/>
  <c r="BE61" i="2" s="1"/>
  <c r="Z338" i="2"/>
  <c r="BE338" i="2" s="1"/>
  <c r="Z62" i="2"/>
  <c r="BE62" i="2" s="1"/>
  <c r="Z94" i="2"/>
  <c r="BE94" i="2" s="1"/>
  <c r="Z54" i="2"/>
  <c r="BE54" i="2" s="1"/>
  <c r="Z97" i="2"/>
  <c r="BE97" i="2" s="1"/>
  <c r="Z249" i="2"/>
  <c r="BE249" i="2" s="1"/>
  <c r="Z92" i="2"/>
  <c r="BE92" i="2" s="1"/>
  <c r="Z96" i="2"/>
  <c r="BE96" i="2" s="1"/>
  <c r="Z246" i="2"/>
  <c r="BE246" i="2" s="1"/>
  <c r="Z243" i="2"/>
  <c r="BE243" i="2" s="1"/>
  <c r="Z172" i="2"/>
  <c r="BE172" i="2" s="1"/>
  <c r="Z345" i="2"/>
  <c r="BE345" i="2" s="1"/>
  <c r="Z314" i="2"/>
  <c r="BE314" i="2" s="1"/>
  <c r="Z274" i="2"/>
  <c r="BE274" i="2" s="1"/>
  <c r="Z136" i="2"/>
  <c r="BE136" i="2" s="1"/>
  <c r="Z86" i="2"/>
  <c r="BE86" i="2" s="1"/>
  <c r="Z202" i="2"/>
  <c r="BE202" i="2" s="1"/>
  <c r="Z160" i="2"/>
  <c r="BE160" i="2" s="1"/>
  <c r="Z352" i="2"/>
  <c r="BE352" i="2" s="1"/>
  <c r="Z166" i="2"/>
  <c r="BE166" i="2" s="1"/>
  <c r="Z178" i="2"/>
  <c r="BE178" i="2" s="1"/>
  <c r="Z276" i="2"/>
  <c r="BE276" i="2" s="1"/>
  <c r="Z137" i="2"/>
  <c r="BE137" i="2" s="1"/>
  <c r="Z253" i="2"/>
  <c r="BE253" i="2" s="1"/>
  <c r="Z38" i="2"/>
  <c r="BE38" i="2" s="1"/>
  <c r="Z151" i="2"/>
  <c r="BE151" i="2" s="1"/>
  <c r="Z22" i="2"/>
  <c r="BE22" i="2" s="1"/>
  <c r="Z220" i="2"/>
  <c r="BE220" i="2" s="1"/>
  <c r="S2257" i="23" l="1"/>
  <c r="BR31" i="2"/>
  <c r="F31" i="2"/>
  <c r="A31" i="2" s="1"/>
  <c r="BR220" i="2"/>
  <c r="F220" i="2"/>
  <c r="BR33" i="2"/>
  <c r="F33" i="2"/>
  <c r="A33" i="2" s="1"/>
  <c r="BE389" i="2"/>
  <c r="BR40" i="2"/>
  <c r="F40" i="2"/>
  <c r="A40" i="2" s="1"/>
  <c r="BR243" i="2"/>
  <c r="F243" i="2"/>
  <c r="F75" i="2"/>
  <c r="A75" i="2" s="1"/>
  <c r="BR75" i="2"/>
  <c r="BR74" i="2"/>
  <c r="F74" i="2"/>
  <c r="A74" i="2" s="1"/>
  <c r="BR18" i="2"/>
  <c r="F18" i="2"/>
  <c r="BR280" i="2"/>
  <c r="F280" i="2"/>
  <c r="BR14" i="2"/>
  <c r="F14" i="2"/>
  <c r="BR16" i="2"/>
  <c r="F16" i="2"/>
  <c r="BR55" i="2"/>
  <c r="F55" i="2"/>
  <c r="A55" i="2" s="1"/>
  <c r="F347" i="2"/>
  <c r="BR347" i="2"/>
  <c r="F20" i="2"/>
  <c r="BR20" i="2"/>
  <c r="F72" i="2"/>
  <c r="A72" i="2" s="1"/>
  <c r="BR72" i="2"/>
  <c r="BR51" i="2"/>
  <c r="F51" i="2"/>
  <c r="A51" i="2" s="1"/>
  <c r="BR52" i="2"/>
  <c r="F52" i="2"/>
  <c r="A52" i="2" s="1"/>
  <c r="BR204" i="2"/>
  <c r="F204" i="2"/>
  <c r="BR62" i="2"/>
  <c r="F62" i="2"/>
  <c r="A62" i="2" s="1"/>
  <c r="F246" i="2"/>
  <c r="BR246" i="2"/>
  <c r="BR117" i="2"/>
  <c r="F117" i="2"/>
  <c r="F355" i="2"/>
  <c r="BR355" i="2"/>
  <c r="BR322" i="2"/>
  <c r="F322" i="2"/>
  <c r="F103" i="2"/>
  <c r="BR103" i="2"/>
  <c r="BR191" i="2"/>
  <c r="F191" i="2"/>
  <c r="F143" i="2"/>
  <c r="BR143" i="2"/>
  <c r="F341" i="2"/>
  <c r="BR341" i="2"/>
  <c r="F266" i="2"/>
  <c r="BR266" i="2"/>
  <c r="BR124" i="2"/>
  <c r="F124" i="2"/>
  <c r="F279" i="2"/>
  <c r="BR279" i="2"/>
  <c r="BR97" i="2"/>
  <c r="F97" i="2"/>
  <c r="BR169" i="2"/>
  <c r="F169" i="2"/>
  <c r="F81" i="2"/>
  <c r="BR81" i="2"/>
  <c r="BR114" i="2"/>
  <c r="F114" i="2"/>
  <c r="F329" i="2"/>
  <c r="BR329" i="2"/>
  <c r="BR177" i="2"/>
  <c r="F177" i="2"/>
  <c r="F11" i="2"/>
  <c r="BR11" i="2"/>
  <c r="BR146" i="2"/>
  <c r="F146" i="2"/>
  <c r="BR67" i="2"/>
  <c r="F67" i="2"/>
  <c r="A67" i="2" s="1"/>
  <c r="F265" i="2"/>
  <c r="BR265" i="2"/>
  <c r="F188" i="2"/>
  <c r="BR188" i="2"/>
  <c r="F82" i="2"/>
  <c r="BR82" i="2"/>
  <c r="F193" i="2"/>
  <c r="BR193" i="2"/>
  <c r="F260" i="2"/>
  <c r="BR260" i="2"/>
  <c r="F91" i="2"/>
  <c r="BR91" i="2"/>
  <c r="BR317" i="2"/>
  <c r="F317" i="2"/>
  <c r="BR283" i="2"/>
  <c r="F283" i="2"/>
  <c r="BR109" i="2"/>
  <c r="F109" i="2"/>
  <c r="BR133" i="2"/>
  <c r="F133" i="2"/>
  <c r="BR227" i="2"/>
  <c r="F227" i="2"/>
  <c r="F231" i="2"/>
  <c r="BR231" i="2"/>
  <c r="BR333" i="2"/>
  <c r="F333" i="2"/>
  <c r="BR197" i="2"/>
  <c r="F197" i="2"/>
  <c r="BR290" i="2"/>
  <c r="F290" i="2"/>
  <c r="F222" i="2"/>
  <c r="BR222" i="2"/>
  <c r="F167" i="2"/>
  <c r="BR167" i="2"/>
  <c r="BR28" i="2"/>
  <c r="F28" i="2"/>
  <c r="BR168" i="2"/>
  <c r="F168" i="2"/>
  <c r="BR58" i="2"/>
  <c r="F58" i="2"/>
  <c r="A58" i="2" s="1"/>
  <c r="BR226" i="2"/>
  <c r="F226" i="2"/>
  <c r="BR256" i="2"/>
  <c r="F256" i="2"/>
  <c r="F210" i="2"/>
  <c r="BR210" i="2"/>
  <c r="BR229" i="2"/>
  <c r="F229" i="2"/>
  <c r="BR118" i="2"/>
  <c r="F118" i="2"/>
  <c r="BR342" i="2"/>
  <c r="F342" i="2"/>
  <c r="BR251" i="2"/>
  <c r="F251" i="2"/>
  <c r="BR365" i="2"/>
  <c r="F365" i="2"/>
  <c r="F126" i="2"/>
  <c r="BR126" i="2"/>
  <c r="BR318" i="2"/>
  <c r="F318" i="2"/>
  <c r="BR271" i="2"/>
  <c r="F271" i="2"/>
  <c r="BR358" i="2"/>
  <c r="F358" i="2"/>
  <c r="BR308" i="2"/>
  <c r="F308" i="2"/>
  <c r="F374" i="2"/>
  <c r="BR374" i="2"/>
  <c r="F335" i="2"/>
  <c r="BR335" i="2"/>
  <c r="F85" i="2"/>
  <c r="BR85" i="2"/>
  <c r="F161" i="2"/>
  <c r="BR161" i="2"/>
  <c r="BR39" i="2"/>
  <c r="F39" i="2"/>
  <c r="A39" i="2" s="1"/>
  <c r="BR367" i="2"/>
  <c r="F367" i="2"/>
  <c r="BR26" i="2"/>
  <c r="F26" i="2"/>
  <c r="BR383" i="2"/>
  <c r="F383" i="2"/>
  <c r="BR183" i="2"/>
  <c r="F183" i="2"/>
  <c r="BR125" i="2"/>
  <c r="F125" i="2"/>
  <c r="F366" i="2"/>
  <c r="BR366" i="2"/>
  <c r="F337" i="2"/>
  <c r="BR337" i="2"/>
  <c r="F269" i="2"/>
  <c r="BR269" i="2"/>
  <c r="BR194" i="2"/>
  <c r="F194" i="2"/>
  <c r="F208" i="2"/>
  <c r="BR208" i="2"/>
  <c r="F330" i="2"/>
  <c r="BR330" i="2"/>
  <c r="BR257" i="2"/>
  <c r="F257" i="2"/>
  <c r="F379" i="2"/>
  <c r="BR379" i="2"/>
  <c r="BR382" i="2"/>
  <c r="F382" i="2"/>
  <c r="BR281" i="2"/>
  <c r="F281" i="2"/>
  <c r="BR105" i="2"/>
  <c r="F105" i="2"/>
  <c r="F140" i="2"/>
  <c r="BR140" i="2"/>
  <c r="F122" i="2"/>
  <c r="BR122" i="2"/>
  <c r="BR296" i="2"/>
  <c r="F296" i="2"/>
  <c r="F30" i="2"/>
  <c r="A30" i="2" s="1"/>
  <c r="BR30" i="2"/>
  <c r="BR98" i="2"/>
  <c r="F98" i="2"/>
  <c r="BR17" i="2"/>
  <c r="F17" i="2"/>
  <c r="BR32" i="2"/>
  <c r="F32" i="2"/>
  <c r="A32" i="2" s="1"/>
  <c r="F21" i="2"/>
  <c r="BR21" i="2"/>
  <c r="BR250" i="2"/>
  <c r="F250" i="2"/>
  <c r="BR47" i="2"/>
  <c r="F47" i="2"/>
  <c r="A47" i="2" s="1"/>
  <c r="BR203" i="2"/>
  <c r="F203" i="2"/>
  <c r="F29" i="2"/>
  <c r="A29" i="2" s="1"/>
  <c r="BR29" i="2"/>
  <c r="BR68" i="2"/>
  <c r="F68" i="2"/>
  <c r="A68" i="2" s="1"/>
  <c r="F37" i="2"/>
  <c r="A37" i="2" s="1"/>
  <c r="BR37" i="2"/>
  <c r="F73" i="2"/>
  <c r="A73" i="2" s="1"/>
  <c r="BR73" i="2"/>
  <c r="F79" i="2"/>
  <c r="BR79" i="2"/>
  <c r="BR35" i="2"/>
  <c r="F35" i="2"/>
  <c r="A35" i="2" s="1"/>
  <c r="BR69" i="2"/>
  <c r="F69" i="2"/>
  <c r="A69" i="2" s="1"/>
  <c r="F207" i="2"/>
  <c r="BR207" i="2"/>
  <c r="F185" i="2"/>
  <c r="BR185" i="2"/>
  <c r="F338" i="2"/>
  <c r="BR338" i="2"/>
  <c r="BR230" i="2"/>
  <c r="F230" i="2"/>
  <c r="BR195" i="2"/>
  <c r="F195" i="2"/>
  <c r="F310" i="2"/>
  <c r="BR310" i="2"/>
  <c r="F86" i="2"/>
  <c r="BR86" i="2"/>
  <c r="BR238" i="2"/>
  <c r="F238" i="2"/>
  <c r="BR300" i="2"/>
  <c r="F300" i="2"/>
  <c r="BR275" i="2"/>
  <c r="F275" i="2"/>
  <c r="F259" i="2"/>
  <c r="BR259" i="2"/>
  <c r="F311" i="2"/>
  <c r="BR311" i="2"/>
  <c r="F147" i="2"/>
  <c r="BR147" i="2"/>
  <c r="F297" i="2"/>
  <c r="BR297" i="2"/>
  <c r="F313" i="2"/>
  <c r="BR313" i="2"/>
  <c r="F205" i="2"/>
  <c r="BR205" i="2"/>
  <c r="F242" i="2"/>
  <c r="BR242" i="2"/>
  <c r="BR93" i="2"/>
  <c r="F93" i="2"/>
  <c r="F214" i="2"/>
  <c r="BR214" i="2"/>
  <c r="BR19" i="2"/>
  <c r="F19" i="2"/>
  <c r="F302" i="2"/>
  <c r="BR302" i="2"/>
  <c r="BR34" i="2"/>
  <c r="F34" i="2"/>
  <c r="A34" i="2" s="1"/>
  <c r="BR110" i="2"/>
  <c r="F110" i="2"/>
  <c r="F121" i="2"/>
  <c r="BR121" i="2"/>
  <c r="BR90" i="2"/>
  <c r="F90" i="2"/>
  <c r="BR353" i="2"/>
  <c r="F353" i="2"/>
  <c r="BR135" i="2"/>
  <c r="F135" i="2"/>
  <c r="BR165" i="2"/>
  <c r="F165" i="2"/>
  <c r="BR116" i="2"/>
  <c r="F116" i="2"/>
  <c r="BR136" i="2"/>
  <c r="F136" i="2"/>
  <c r="BR241" i="2"/>
  <c r="F241" i="2"/>
  <c r="F172" i="2"/>
  <c r="BR172" i="2"/>
  <c r="BR316" i="2"/>
  <c r="F316" i="2"/>
  <c r="BR162" i="2"/>
  <c r="F162" i="2"/>
  <c r="F234" i="2"/>
  <c r="BR234" i="2"/>
  <c r="F304" i="2"/>
  <c r="BR304" i="2"/>
  <c r="F262" i="2"/>
  <c r="BR262" i="2"/>
  <c r="BR163" i="2"/>
  <c r="F163" i="2"/>
  <c r="BR378" i="2"/>
  <c r="F378" i="2"/>
  <c r="BR49" i="2"/>
  <c r="F49" i="2"/>
  <c r="A49" i="2" s="1"/>
  <c r="F99" i="2"/>
  <c r="BR99" i="2"/>
  <c r="BR41" i="2"/>
  <c r="F41" i="2"/>
  <c r="A41" i="2" s="1"/>
  <c r="BR228" i="2"/>
  <c r="F228" i="2"/>
  <c r="F173" i="2"/>
  <c r="BR173" i="2"/>
  <c r="F155" i="2"/>
  <c r="BR155" i="2"/>
  <c r="BR284" i="2"/>
  <c r="F284" i="2"/>
  <c r="F268" i="2"/>
  <c r="BR268" i="2"/>
  <c r="BR84" i="2"/>
  <c r="F84" i="2"/>
  <c r="BR244" i="2"/>
  <c r="F244" i="2"/>
  <c r="BR130" i="2"/>
  <c r="F130" i="2"/>
  <c r="BR83" i="2"/>
  <c r="F83" i="2"/>
  <c r="BR248" i="2"/>
  <c r="F248" i="2"/>
  <c r="BR223" i="2"/>
  <c r="F223" i="2"/>
  <c r="F240" i="2"/>
  <c r="BR240" i="2"/>
  <c r="BR356" i="2"/>
  <c r="F356" i="2"/>
  <c r="BR224" i="2"/>
  <c r="F224" i="2"/>
  <c r="F129" i="2"/>
  <c r="BR129" i="2"/>
  <c r="F236" i="2"/>
  <c r="BR236" i="2"/>
  <c r="F202" i="2"/>
  <c r="BR202" i="2"/>
  <c r="BR7" i="2"/>
  <c r="F7" i="2"/>
  <c r="BR292" i="2"/>
  <c r="F292" i="2"/>
  <c r="F13" i="2"/>
  <c r="BR13" i="2"/>
  <c r="F213" i="2"/>
  <c r="BR213" i="2"/>
  <c r="BR293" i="2"/>
  <c r="F293" i="2"/>
  <c r="BR315" i="2"/>
  <c r="F315" i="2"/>
  <c r="BR255" i="2"/>
  <c r="F255" i="2"/>
  <c r="BR190" i="2"/>
  <c r="F190" i="2"/>
  <c r="BR323" i="2"/>
  <c r="F323" i="2"/>
  <c r="BR151" i="2"/>
  <c r="F151" i="2"/>
  <c r="F373" i="2"/>
  <c r="BR373" i="2"/>
  <c r="BR371" i="2"/>
  <c r="F371" i="2"/>
  <c r="BR339" i="2"/>
  <c r="F339" i="2"/>
  <c r="F282" i="2"/>
  <c r="BR282" i="2"/>
  <c r="F235" i="2"/>
  <c r="BR235" i="2"/>
  <c r="F142" i="2"/>
  <c r="BR142" i="2"/>
  <c r="F340" i="2"/>
  <c r="BR340" i="2"/>
  <c r="BR182" i="2"/>
  <c r="F182" i="2"/>
  <c r="F134" i="2"/>
  <c r="BR134" i="2"/>
  <c r="BR289" i="2"/>
  <c r="F289" i="2"/>
  <c r="BE385" i="2"/>
  <c r="BE386" i="2"/>
  <c r="F60" i="2"/>
  <c r="A60" i="2" s="1"/>
  <c r="BR60" i="2"/>
  <c r="BR6" i="2"/>
  <c r="F6" i="2"/>
  <c r="BR200" i="2"/>
  <c r="F200" i="2"/>
  <c r="BR57" i="2"/>
  <c r="F57" i="2"/>
  <c r="A57" i="2" s="1"/>
  <c r="BR63" i="2"/>
  <c r="F63" i="2"/>
  <c r="A63" i="2" s="1"/>
  <c r="F43" i="2"/>
  <c r="A43" i="2" s="1"/>
  <c r="BR43" i="2"/>
  <c r="F94" i="2"/>
  <c r="BR94" i="2"/>
  <c r="BR23" i="2"/>
  <c r="F23" i="2"/>
  <c r="F171" i="2"/>
  <c r="BR171" i="2"/>
  <c r="F298" i="2"/>
  <c r="BR298" i="2"/>
  <c r="BR65" i="2"/>
  <c r="F65" i="2"/>
  <c r="A65" i="2" s="1"/>
  <c r="BR186" i="2"/>
  <c r="F186" i="2"/>
  <c r="BR206" i="2"/>
  <c r="F206" i="2"/>
  <c r="BR27" i="2"/>
  <c r="F27" i="2"/>
  <c r="BR261" i="2"/>
  <c r="F261" i="2"/>
  <c r="BR46" i="2"/>
  <c r="F46" i="2"/>
  <c r="A46" i="2" s="1"/>
  <c r="BR144" i="2"/>
  <c r="F144" i="2"/>
  <c r="F349" i="2"/>
  <c r="BR349" i="2"/>
  <c r="BR170" i="2"/>
  <c r="F170" i="2"/>
  <c r="BR209" i="2"/>
  <c r="F209" i="2"/>
  <c r="BR288" i="2"/>
  <c r="F288" i="2"/>
  <c r="F285" i="2"/>
  <c r="BR285" i="2"/>
  <c r="F263" i="2"/>
  <c r="BR263" i="2"/>
  <c r="BR160" i="2"/>
  <c r="F160" i="2"/>
  <c r="BR225" i="2"/>
  <c r="F225" i="2"/>
  <c r="BR139" i="2"/>
  <c r="F139" i="2"/>
  <c r="F181" i="2"/>
  <c r="BR181" i="2"/>
  <c r="BR375" i="2"/>
  <c r="F375" i="2"/>
  <c r="F327" i="2"/>
  <c r="BR327" i="2"/>
  <c r="F102" i="2"/>
  <c r="BR102" i="2"/>
  <c r="BR175" i="2"/>
  <c r="F175" i="2"/>
  <c r="BR100" i="2"/>
  <c r="F100" i="2"/>
  <c r="F131" i="2"/>
  <c r="BR131" i="2"/>
  <c r="F237" i="2"/>
  <c r="BR237" i="2"/>
  <c r="BR12" i="2"/>
  <c r="F12" i="2"/>
  <c r="F381" i="2"/>
  <c r="BR381" i="2"/>
  <c r="BR38" i="2"/>
  <c r="F38" i="2"/>
  <c r="A38" i="2" s="1"/>
  <c r="BR270" i="2"/>
  <c r="F270" i="2"/>
  <c r="BR254" i="2"/>
  <c r="F254" i="2"/>
  <c r="BR309" i="2"/>
  <c r="F309" i="2"/>
  <c r="F351" i="2"/>
  <c r="BR351" i="2"/>
  <c r="F361" i="2"/>
  <c r="BR361" i="2"/>
  <c r="BR159" i="2"/>
  <c r="BR199" i="2"/>
  <c r="F199" i="2"/>
  <c r="BR258" i="2"/>
  <c r="F258" i="2"/>
  <c r="BR264" i="2"/>
  <c r="F264" i="2"/>
  <c r="F108" i="2"/>
  <c r="BR108" i="2"/>
  <c r="BR354" i="2"/>
  <c r="F354" i="2"/>
  <c r="F239" i="2"/>
  <c r="BR239" i="2"/>
  <c r="BR196" i="2"/>
  <c r="F196" i="2"/>
  <c r="BR127" i="2"/>
  <c r="F127" i="2"/>
  <c r="BR179" i="2"/>
  <c r="F179" i="2"/>
  <c r="F294" i="2"/>
  <c r="BR294" i="2"/>
  <c r="F145" i="2"/>
  <c r="BR145" i="2"/>
  <c r="BR36" i="2"/>
  <c r="F36" i="2"/>
  <c r="A36" i="2" s="1"/>
  <c r="BR306" i="2"/>
  <c r="F306" i="2"/>
  <c r="F15" i="2"/>
  <c r="BR15" i="2"/>
  <c r="BR287" i="2"/>
  <c r="F287" i="2"/>
  <c r="BR152" i="2"/>
  <c r="F152" i="2"/>
  <c r="F328" i="2"/>
  <c r="BR328" i="2"/>
  <c r="BR174" i="2"/>
  <c r="F174" i="2"/>
  <c r="BR345" i="2"/>
  <c r="F345" i="2"/>
  <c r="F362" i="2"/>
  <c r="BR362" i="2"/>
  <c r="BR332" i="2"/>
  <c r="F332" i="2"/>
  <c r="F215" i="2"/>
  <c r="BR215" i="2"/>
  <c r="BR370" i="2"/>
  <c r="F370" i="2"/>
  <c r="BR219" i="2"/>
  <c r="F219" i="2"/>
  <c r="BR158" i="2"/>
  <c r="F158" i="2"/>
  <c r="BR384" i="2"/>
  <c r="F384" i="2"/>
  <c r="F123" i="2"/>
  <c r="BR123" i="2"/>
  <c r="F324" i="2"/>
  <c r="BR324" i="2"/>
  <c r="BR132" i="2"/>
  <c r="F132" i="2"/>
  <c r="BR153" i="2"/>
  <c r="F153" i="2"/>
  <c r="F53" i="2"/>
  <c r="A53" i="2" s="1"/>
  <c r="BR53" i="2"/>
  <c r="F360" i="2"/>
  <c r="BR360" i="2"/>
  <c r="BR212" i="2"/>
  <c r="F212" i="2"/>
  <c r="F9" i="2"/>
  <c r="BR9" i="2"/>
  <c r="F368" i="2"/>
  <c r="BR368" i="2"/>
  <c r="F119" i="2"/>
  <c r="BR119" i="2"/>
  <c r="BR232" i="2"/>
  <c r="F232" i="2"/>
  <c r="F299" i="2"/>
  <c r="BR299" i="2"/>
  <c r="BR314" i="2"/>
  <c r="F314" i="2"/>
  <c r="BR277" i="2"/>
  <c r="F277" i="2"/>
  <c r="BR104" i="2"/>
  <c r="F104" i="2"/>
  <c r="BR217" i="2"/>
  <c r="F217" i="2"/>
  <c r="F154" i="2"/>
  <c r="BR154" i="2"/>
  <c r="BR272" i="2"/>
  <c r="F272" i="2"/>
  <c r="F180" i="2"/>
  <c r="BR180" i="2"/>
  <c r="F178" i="2"/>
  <c r="BR178" i="2"/>
  <c r="F192" i="2"/>
  <c r="BR192" i="2"/>
  <c r="BR253" i="2"/>
  <c r="F253" i="2"/>
  <c r="F106" i="2"/>
  <c r="BR106" i="2"/>
  <c r="BR113" i="2"/>
  <c r="F113" i="2"/>
  <c r="BR96" i="2"/>
  <c r="F96" i="2"/>
  <c r="F64" i="2"/>
  <c r="A64" i="2" s="1"/>
  <c r="BR64" i="2"/>
  <c r="BR10" i="2"/>
  <c r="F10" i="2"/>
  <c r="BR164" i="2"/>
  <c r="F164" i="2"/>
  <c r="BR56" i="2"/>
  <c r="F56" i="2"/>
  <c r="A56" i="2" s="1"/>
  <c r="BR357" i="2"/>
  <c r="F357" i="2"/>
  <c r="BR76" i="2"/>
  <c r="F76" i="2"/>
  <c r="A76" i="2" s="1"/>
  <c r="BE388" i="2"/>
  <c r="BR59" i="2"/>
  <c r="F59" i="2"/>
  <c r="A59" i="2" s="1"/>
  <c r="BR92" i="2"/>
  <c r="F92" i="2"/>
  <c r="BR22" i="2"/>
  <c r="F22" i="2"/>
  <c r="F331" i="2"/>
  <c r="BR331" i="2"/>
  <c r="BR8" i="2"/>
  <c r="F8" i="2"/>
  <c r="F166" i="2"/>
  <c r="BR166" i="2"/>
  <c r="BR141" i="2"/>
  <c r="F141" i="2"/>
  <c r="F377" i="2"/>
  <c r="BR377" i="2"/>
  <c r="BR321" i="2"/>
  <c r="F321" i="2"/>
  <c r="BR24" i="2"/>
  <c r="F24" i="2"/>
  <c r="F348" i="2"/>
  <c r="BR348" i="2"/>
  <c r="BR372" i="2"/>
  <c r="F372" i="2"/>
  <c r="BR307" i="2"/>
  <c r="F307" i="2"/>
  <c r="BR350" i="2"/>
  <c r="F350" i="2"/>
  <c r="BR336" i="2"/>
  <c r="F336" i="2"/>
  <c r="BR364" i="2"/>
  <c r="F364" i="2"/>
  <c r="F101" i="2"/>
  <c r="BR101" i="2"/>
  <c r="F286" i="2"/>
  <c r="BR286" i="2"/>
  <c r="BR325" i="2"/>
  <c r="F325" i="2"/>
  <c r="F128" i="2"/>
  <c r="BR128" i="2"/>
  <c r="F380" i="2"/>
  <c r="BR380" i="2"/>
  <c r="BR80" i="2"/>
  <c r="F80" i="2"/>
  <c r="BR291" i="2"/>
  <c r="F291" i="2"/>
  <c r="F107" i="2"/>
  <c r="BR107" i="2"/>
  <c r="BR273" i="2"/>
  <c r="F273" i="2"/>
  <c r="F319" i="2"/>
  <c r="BR319" i="2"/>
  <c r="BR78" i="2"/>
  <c r="F78" i="2"/>
  <c r="A78" i="2" s="1"/>
  <c r="BR42" i="2"/>
  <c r="F42" i="2"/>
  <c r="A42" i="2" s="1"/>
  <c r="BR44" i="2"/>
  <c r="F44" i="2"/>
  <c r="BR66" i="2"/>
  <c r="F66" i="2"/>
  <c r="A66" i="2" s="1"/>
  <c r="BR70" i="2"/>
  <c r="F70" i="2"/>
  <c r="A70" i="2" s="1"/>
  <c r="BR301" i="2"/>
  <c r="F301" i="2"/>
  <c r="BR326" i="2"/>
  <c r="F326" i="2"/>
  <c r="BR295" i="2"/>
  <c r="F295" i="2"/>
  <c r="BR249" i="2"/>
  <c r="F249" i="2"/>
  <c r="BR233" i="2"/>
  <c r="F233" i="2"/>
  <c r="BR320" i="2"/>
  <c r="F320" i="2"/>
  <c r="BR88" i="2"/>
  <c r="F88" i="2"/>
  <c r="BR312" i="2"/>
  <c r="F312" i="2"/>
  <c r="F216" i="2"/>
  <c r="BR216" i="2"/>
  <c r="F245" i="2"/>
  <c r="BR245" i="2"/>
  <c r="BR137" i="2"/>
  <c r="F137" i="2"/>
  <c r="BR184" i="2"/>
  <c r="F184" i="2"/>
  <c r="BR115" i="2"/>
  <c r="F115" i="2"/>
  <c r="BR156" i="2"/>
  <c r="F156" i="2"/>
  <c r="F198" i="2"/>
  <c r="BR198" i="2"/>
  <c r="BR343" i="2"/>
  <c r="F343" i="2"/>
  <c r="F48" i="2"/>
  <c r="A48" i="2" s="1"/>
  <c r="BR48" i="2"/>
  <c r="BR54" i="2"/>
  <c r="F54" i="2"/>
  <c r="A54" i="2" s="1"/>
  <c r="F352" i="2"/>
  <c r="BR352" i="2"/>
  <c r="BR71" i="2"/>
  <c r="F71" i="2"/>
  <c r="A71" i="2" s="1"/>
  <c r="BR187" i="2"/>
  <c r="F187" i="2"/>
  <c r="BR120" i="2"/>
  <c r="F120" i="2"/>
  <c r="F176" i="2"/>
  <c r="BR176" i="2"/>
  <c r="F201" i="2"/>
  <c r="BR201" i="2"/>
  <c r="BR87" i="2"/>
  <c r="F87" i="2"/>
  <c r="BR363" i="2"/>
  <c r="F363" i="2"/>
  <c r="BR221" i="2"/>
  <c r="F221" i="2"/>
  <c r="F303" i="2"/>
  <c r="BR303" i="2"/>
  <c r="F157" i="2"/>
  <c r="BR157" i="2"/>
  <c r="BR334" i="2"/>
  <c r="F334" i="2"/>
  <c r="F274" i="2"/>
  <c r="BR274" i="2"/>
  <c r="BR150" i="2"/>
  <c r="F150" i="2"/>
  <c r="F305" i="2"/>
  <c r="BR305" i="2"/>
  <c r="BR359" i="2"/>
  <c r="F359" i="2"/>
  <c r="F95" i="2"/>
  <c r="BR95" i="2"/>
  <c r="BR189" i="2"/>
  <c r="F189" i="2"/>
  <c r="BR50" i="2"/>
  <c r="F50" i="2"/>
  <c r="A50" i="2" s="1"/>
  <c r="BR25" i="2"/>
  <c r="F25" i="2"/>
  <c r="F344" i="2"/>
  <c r="BR344" i="2"/>
  <c r="BR61" i="2"/>
  <c r="F61" i="2"/>
  <c r="A61" i="2" s="1"/>
  <c r="BR111" i="2"/>
  <c r="F111" i="2"/>
  <c r="F376" i="2"/>
  <c r="BR376" i="2"/>
  <c r="F276" i="2"/>
  <c r="BR276" i="2"/>
  <c r="BR247" i="2"/>
  <c r="F247" i="2"/>
  <c r="F148" i="2"/>
  <c r="BR148" i="2"/>
  <c r="BR138" i="2"/>
  <c r="F138" i="2"/>
  <c r="BR267" i="2"/>
  <c r="F267" i="2"/>
  <c r="BR252" i="2"/>
  <c r="F252" i="2"/>
  <c r="F346" i="2"/>
  <c r="BR346" i="2"/>
  <c r="F369" i="2"/>
  <c r="BR369" i="2"/>
  <c r="BR278" i="2"/>
  <c r="F278" i="2"/>
  <c r="F112" i="2"/>
  <c r="BR112" i="2"/>
  <c r="F218" i="2"/>
  <c r="BR218" i="2"/>
  <c r="BR149" i="2"/>
  <c r="F149" i="2"/>
  <c r="F211" i="2"/>
  <c r="BR211" i="2"/>
  <c r="F89" i="2"/>
  <c r="BR89" i="2"/>
  <c r="C44" i="2" l="1"/>
  <c r="A44" i="2"/>
  <c r="C45" i="2"/>
  <c r="BR388" i="2"/>
  <c r="C278" i="2"/>
  <c r="A278" i="2"/>
  <c r="C221" i="2"/>
  <c r="A221" i="2"/>
  <c r="C137" i="2"/>
  <c r="A137" i="2"/>
  <c r="A88" i="2"/>
  <c r="C88" i="2"/>
  <c r="C295" i="2"/>
  <c r="A295" i="2"/>
  <c r="C80" i="2"/>
  <c r="A80" i="2"/>
  <c r="C350" i="2"/>
  <c r="A350" i="2"/>
  <c r="A372" i="2"/>
  <c r="C372" i="2"/>
  <c r="C24" i="2"/>
  <c r="A24" i="2"/>
  <c r="C64" i="2"/>
  <c r="A113" i="2"/>
  <c r="C113" i="2"/>
  <c r="A253" i="2"/>
  <c r="C253" i="2"/>
  <c r="A272" i="2"/>
  <c r="C272" i="2"/>
  <c r="A217" i="2"/>
  <c r="C217" i="2"/>
  <c r="A277" i="2"/>
  <c r="C277" i="2"/>
  <c r="BR389" i="2"/>
  <c r="A153" i="2"/>
  <c r="C153" i="2"/>
  <c r="C384" i="2"/>
  <c r="A384" i="2"/>
  <c r="A219" i="2"/>
  <c r="C219" i="2"/>
  <c r="A174" i="2"/>
  <c r="C174" i="2"/>
  <c r="A152" i="2"/>
  <c r="C152" i="2"/>
  <c r="C36" i="2"/>
  <c r="C127" i="2"/>
  <c r="A127" i="2"/>
  <c r="A258" i="2"/>
  <c r="C258" i="2"/>
  <c r="C159" i="2"/>
  <c r="A159" i="2"/>
  <c r="A254" i="2"/>
  <c r="C254" i="2"/>
  <c r="C38" i="2"/>
  <c r="A12" i="2"/>
  <c r="C12" i="2"/>
  <c r="C175" i="2"/>
  <c r="A175" i="2"/>
  <c r="A225" i="2"/>
  <c r="C225" i="2"/>
  <c r="A288" i="2"/>
  <c r="C288" i="2"/>
  <c r="C170" i="2"/>
  <c r="A170" i="2"/>
  <c r="A144" i="2"/>
  <c r="C144" i="2"/>
  <c r="A261" i="2"/>
  <c r="C261" i="2"/>
  <c r="A206" i="2"/>
  <c r="C206" i="2"/>
  <c r="C65" i="2"/>
  <c r="C298" i="2"/>
  <c r="A298" i="2"/>
  <c r="C43" i="2"/>
  <c r="BR385" i="2"/>
  <c r="BR386" i="2"/>
  <c r="C134" i="2"/>
  <c r="A134" i="2"/>
  <c r="C340" i="2"/>
  <c r="A340" i="2"/>
  <c r="A235" i="2"/>
  <c r="C235" i="2"/>
  <c r="A373" i="2"/>
  <c r="C373" i="2"/>
  <c r="A13" i="2"/>
  <c r="C13" i="2"/>
  <c r="A236" i="2"/>
  <c r="C236" i="2"/>
  <c r="C240" i="2"/>
  <c r="A240" i="2"/>
  <c r="A173" i="2"/>
  <c r="C173" i="2"/>
  <c r="A304" i="2"/>
  <c r="C304" i="2"/>
  <c r="A172" i="2"/>
  <c r="C172" i="2"/>
  <c r="C121" i="2"/>
  <c r="A121" i="2"/>
  <c r="A205" i="2"/>
  <c r="C205" i="2"/>
  <c r="C297" i="2"/>
  <c r="A297" i="2"/>
  <c r="C311" i="2"/>
  <c r="A311" i="2"/>
  <c r="A310" i="2"/>
  <c r="C310" i="2"/>
  <c r="C185" i="2"/>
  <c r="A185" i="2"/>
  <c r="C79" i="2"/>
  <c r="A79" i="2"/>
  <c r="C37" i="2"/>
  <c r="C29" i="2"/>
  <c r="A21" i="2"/>
  <c r="C21" i="2"/>
  <c r="C30" i="2"/>
  <c r="A140" i="2"/>
  <c r="C140" i="2"/>
  <c r="A379" i="2"/>
  <c r="C379" i="2"/>
  <c r="C330" i="2"/>
  <c r="A330" i="2"/>
  <c r="A337" i="2"/>
  <c r="C337" i="2"/>
  <c r="A161" i="2"/>
  <c r="C161" i="2"/>
  <c r="A335" i="2"/>
  <c r="C335" i="2"/>
  <c r="C126" i="2"/>
  <c r="A126" i="2"/>
  <c r="A210" i="2"/>
  <c r="C210" i="2"/>
  <c r="A167" i="2"/>
  <c r="C167" i="2"/>
  <c r="C260" i="2"/>
  <c r="A260" i="2"/>
  <c r="A82" i="2"/>
  <c r="C82" i="2"/>
  <c r="A265" i="2"/>
  <c r="C265" i="2"/>
  <c r="C279" i="2"/>
  <c r="A279" i="2"/>
  <c r="A266" i="2"/>
  <c r="C266" i="2"/>
  <c r="A143" i="2"/>
  <c r="C143" i="2"/>
  <c r="C103" i="2"/>
  <c r="A103" i="2"/>
  <c r="C355" i="2"/>
  <c r="A355" i="2"/>
  <c r="A246" i="2"/>
  <c r="C246" i="2"/>
  <c r="A20" i="2"/>
  <c r="C20" i="2"/>
  <c r="C75" i="2"/>
  <c r="A220" i="2"/>
  <c r="C220" i="2"/>
  <c r="C50" i="2"/>
  <c r="A187" i="2"/>
  <c r="C187" i="2"/>
  <c r="C233" i="2"/>
  <c r="A233" i="2"/>
  <c r="C42" i="2"/>
  <c r="A364" i="2"/>
  <c r="C364" i="2"/>
  <c r="C92" i="2"/>
  <c r="A92" i="2"/>
  <c r="A211" i="2"/>
  <c r="C211" i="2"/>
  <c r="A218" i="2"/>
  <c r="C218" i="2"/>
  <c r="A346" i="2"/>
  <c r="C346" i="2"/>
  <c r="C148" i="2"/>
  <c r="A148" i="2"/>
  <c r="A276" i="2"/>
  <c r="C276" i="2"/>
  <c r="A344" i="2"/>
  <c r="C344" i="2"/>
  <c r="A95" i="2"/>
  <c r="C95" i="2"/>
  <c r="A305" i="2"/>
  <c r="C305" i="2"/>
  <c r="A274" i="2"/>
  <c r="C274" i="2"/>
  <c r="A157" i="2"/>
  <c r="C157" i="2"/>
  <c r="C176" i="2"/>
  <c r="A176" i="2"/>
  <c r="C352" i="2"/>
  <c r="A352" i="2"/>
  <c r="C48" i="2"/>
  <c r="A198" i="2"/>
  <c r="C198" i="2"/>
  <c r="A216" i="2"/>
  <c r="C216" i="2"/>
  <c r="A319" i="2"/>
  <c r="C319" i="2"/>
  <c r="A107" i="2"/>
  <c r="C107" i="2"/>
  <c r="C128" i="2"/>
  <c r="A128" i="2"/>
  <c r="A286" i="2"/>
  <c r="C286" i="2"/>
  <c r="A377" i="2"/>
  <c r="C377" i="2"/>
  <c r="C166" i="2"/>
  <c r="A166" i="2"/>
  <c r="A331" i="2"/>
  <c r="C331" i="2"/>
  <c r="C76" i="2"/>
  <c r="C56" i="2"/>
  <c r="A10" i="2"/>
  <c r="C10" i="2"/>
  <c r="C178" i="2"/>
  <c r="A178" i="2"/>
  <c r="A299" i="2"/>
  <c r="C299" i="2"/>
  <c r="C119" i="2"/>
  <c r="A119" i="2"/>
  <c r="A9" i="2"/>
  <c r="C9" i="2"/>
  <c r="A360" i="2"/>
  <c r="C360" i="2"/>
  <c r="C324" i="2"/>
  <c r="A324" i="2"/>
  <c r="C215" i="2"/>
  <c r="A215" i="2"/>
  <c r="A362" i="2"/>
  <c r="C362" i="2"/>
  <c r="A15" i="2"/>
  <c r="C15" i="2"/>
  <c r="C294" i="2"/>
  <c r="A294" i="2"/>
  <c r="C239" i="2"/>
  <c r="A239" i="2"/>
  <c r="A108" i="2"/>
  <c r="C108" i="2"/>
  <c r="C351" i="2"/>
  <c r="A351" i="2"/>
  <c r="C131" i="2"/>
  <c r="A131" i="2"/>
  <c r="C327" i="2"/>
  <c r="A327" i="2"/>
  <c r="C181" i="2"/>
  <c r="A181" i="2"/>
  <c r="C263" i="2"/>
  <c r="A263" i="2"/>
  <c r="C63" i="2"/>
  <c r="C200" i="2"/>
  <c r="A200" i="2"/>
  <c r="A289" i="2"/>
  <c r="C289" i="2"/>
  <c r="C182" i="2"/>
  <c r="A182" i="2"/>
  <c r="A371" i="2"/>
  <c r="C371" i="2"/>
  <c r="C151" i="2"/>
  <c r="A151" i="2"/>
  <c r="A190" i="2"/>
  <c r="C190" i="2"/>
  <c r="C315" i="2"/>
  <c r="A315" i="2"/>
  <c r="C292" i="2"/>
  <c r="A292" i="2"/>
  <c r="C356" i="2"/>
  <c r="A356" i="2"/>
  <c r="A223" i="2"/>
  <c r="C223" i="2"/>
  <c r="A83" i="2"/>
  <c r="C83" i="2"/>
  <c r="C244" i="2"/>
  <c r="A244" i="2"/>
  <c r="A228" i="2"/>
  <c r="C228" i="2"/>
  <c r="A378" i="2"/>
  <c r="C378" i="2"/>
  <c r="C316" i="2"/>
  <c r="A316" i="2"/>
  <c r="C241" i="2"/>
  <c r="A241" i="2"/>
  <c r="A116" i="2"/>
  <c r="C116" i="2"/>
  <c r="C135" i="2"/>
  <c r="A135" i="2"/>
  <c r="A90" i="2"/>
  <c r="C90" i="2"/>
  <c r="A110" i="2"/>
  <c r="C110" i="2"/>
  <c r="A300" i="2"/>
  <c r="C300" i="2"/>
  <c r="C195" i="2"/>
  <c r="A195" i="2"/>
  <c r="C35" i="2"/>
  <c r="C68" i="2"/>
  <c r="C203" i="2"/>
  <c r="A203" i="2"/>
  <c r="A250" i="2"/>
  <c r="C250" i="2"/>
  <c r="C32" i="2"/>
  <c r="A98" i="2"/>
  <c r="C98" i="2"/>
  <c r="A105" i="2"/>
  <c r="C105" i="2"/>
  <c r="A382" i="2"/>
  <c r="C382" i="2"/>
  <c r="A257" i="2"/>
  <c r="C257" i="2"/>
  <c r="C183" i="2"/>
  <c r="A183" i="2"/>
  <c r="C26" i="2"/>
  <c r="A26" i="2"/>
  <c r="C39" i="2"/>
  <c r="A358" i="2"/>
  <c r="C358" i="2"/>
  <c r="C318" i="2"/>
  <c r="A318" i="2"/>
  <c r="C365" i="2"/>
  <c r="A365" i="2"/>
  <c r="A342" i="2"/>
  <c r="C342" i="2"/>
  <c r="C229" i="2"/>
  <c r="A229" i="2"/>
  <c r="C256" i="2"/>
  <c r="A256" i="2"/>
  <c r="C58" i="2"/>
  <c r="C28" i="2"/>
  <c r="A28" i="2"/>
  <c r="A197" i="2"/>
  <c r="C197" i="2"/>
  <c r="C133" i="2"/>
  <c r="A133" i="2"/>
  <c r="C283" i="2"/>
  <c r="A283" i="2"/>
  <c r="C67" i="2"/>
  <c r="A97" i="2"/>
  <c r="C97" i="2"/>
  <c r="A124" i="2"/>
  <c r="C124" i="2"/>
  <c r="C191" i="2"/>
  <c r="A191" i="2"/>
  <c r="A322" i="2"/>
  <c r="C322" i="2"/>
  <c r="A117" i="2"/>
  <c r="C117" i="2"/>
  <c r="C62" i="2"/>
  <c r="C52" i="2"/>
  <c r="A16" i="2"/>
  <c r="C16" i="2"/>
  <c r="A280" i="2"/>
  <c r="C280" i="2"/>
  <c r="C74" i="2"/>
  <c r="A243" i="2"/>
  <c r="C243" i="2"/>
  <c r="C111" i="2"/>
  <c r="A111" i="2"/>
  <c r="A115" i="2"/>
  <c r="C115" i="2"/>
  <c r="A301" i="2"/>
  <c r="C301" i="2"/>
  <c r="C149" i="2"/>
  <c r="A149" i="2"/>
  <c r="A247" i="2"/>
  <c r="C247" i="2"/>
  <c r="C61" i="2"/>
  <c r="C189" i="2"/>
  <c r="A189" i="2"/>
  <c r="A359" i="2"/>
  <c r="C359" i="2"/>
  <c r="C150" i="2"/>
  <c r="A150" i="2"/>
  <c r="A363" i="2"/>
  <c r="C363" i="2"/>
  <c r="A120" i="2"/>
  <c r="C120" i="2"/>
  <c r="C71" i="2"/>
  <c r="C54" i="2"/>
  <c r="A343" i="2"/>
  <c r="C343" i="2"/>
  <c r="C156" i="2"/>
  <c r="A156" i="2"/>
  <c r="C184" i="2"/>
  <c r="A184" i="2"/>
  <c r="A312" i="2"/>
  <c r="C312" i="2"/>
  <c r="A320" i="2"/>
  <c r="C320" i="2"/>
  <c r="C249" i="2"/>
  <c r="A249" i="2"/>
  <c r="A326" i="2"/>
  <c r="C326" i="2"/>
  <c r="C70" i="2"/>
  <c r="C78" i="2"/>
  <c r="A273" i="2"/>
  <c r="C273" i="2"/>
  <c r="C291" i="2"/>
  <c r="A291" i="2"/>
  <c r="C325" i="2"/>
  <c r="A325" i="2"/>
  <c r="A336" i="2"/>
  <c r="C336" i="2"/>
  <c r="A307" i="2"/>
  <c r="C307" i="2"/>
  <c r="C321" i="2"/>
  <c r="A321" i="2"/>
  <c r="A141" i="2"/>
  <c r="C141" i="2"/>
  <c r="C8" i="2"/>
  <c r="A8" i="2"/>
  <c r="C22" i="2"/>
  <c r="A22" i="2"/>
  <c r="C59" i="2"/>
  <c r="A96" i="2"/>
  <c r="C96" i="2"/>
  <c r="A104" i="2"/>
  <c r="C104" i="2"/>
  <c r="A314" i="2"/>
  <c r="C314" i="2"/>
  <c r="C232" i="2"/>
  <c r="A232" i="2"/>
  <c r="C212" i="2"/>
  <c r="A212" i="2"/>
  <c r="C132" i="2"/>
  <c r="A132" i="2"/>
  <c r="A158" i="2"/>
  <c r="C158" i="2"/>
  <c r="A370" i="2"/>
  <c r="C370" i="2"/>
  <c r="C332" i="2"/>
  <c r="A332" i="2"/>
  <c r="C345" i="2"/>
  <c r="A345" i="2"/>
  <c r="C287" i="2"/>
  <c r="A287" i="2"/>
  <c r="C306" i="2"/>
  <c r="A306" i="2"/>
  <c r="C179" i="2"/>
  <c r="A179" i="2"/>
  <c r="A196" i="2"/>
  <c r="C196" i="2"/>
  <c r="C354" i="2"/>
  <c r="A354" i="2"/>
  <c r="C264" i="2"/>
  <c r="A264" i="2"/>
  <c r="C199" i="2"/>
  <c r="A199" i="2"/>
  <c r="A309" i="2"/>
  <c r="C309" i="2"/>
  <c r="C270" i="2"/>
  <c r="A270" i="2"/>
  <c r="A100" i="2"/>
  <c r="C100" i="2"/>
  <c r="C375" i="2"/>
  <c r="A375" i="2"/>
  <c r="A139" i="2"/>
  <c r="C139" i="2"/>
  <c r="A160" i="2"/>
  <c r="C160" i="2"/>
  <c r="C209" i="2"/>
  <c r="A209" i="2"/>
  <c r="C46" i="2"/>
  <c r="A27" i="2"/>
  <c r="C27" i="2"/>
  <c r="C186" i="2"/>
  <c r="A186" i="2"/>
  <c r="BE387" i="2"/>
  <c r="A171" i="2"/>
  <c r="C171" i="2"/>
  <c r="C94" i="2"/>
  <c r="A94" i="2"/>
  <c r="C60" i="2"/>
  <c r="A142" i="2"/>
  <c r="C142" i="2"/>
  <c r="C282" i="2"/>
  <c r="A282" i="2"/>
  <c r="A213" i="2"/>
  <c r="C213" i="2"/>
  <c r="C202" i="2"/>
  <c r="A202" i="2"/>
  <c r="A129" i="2"/>
  <c r="C129" i="2"/>
  <c r="A268" i="2"/>
  <c r="C268" i="2"/>
  <c r="C155" i="2"/>
  <c r="A155" i="2"/>
  <c r="A99" i="2"/>
  <c r="C99" i="2"/>
  <c r="A262" i="2"/>
  <c r="C262" i="2"/>
  <c r="A234" i="2"/>
  <c r="C234" i="2"/>
  <c r="A302" i="2"/>
  <c r="C302" i="2"/>
  <c r="A214" i="2"/>
  <c r="C214" i="2"/>
  <c r="C242" i="2"/>
  <c r="A242" i="2"/>
  <c r="A313" i="2"/>
  <c r="C313" i="2"/>
  <c r="A147" i="2"/>
  <c r="C147" i="2"/>
  <c r="A259" i="2"/>
  <c r="C259" i="2"/>
  <c r="A86" i="2"/>
  <c r="C86" i="2"/>
  <c r="A338" i="2"/>
  <c r="C338" i="2"/>
  <c r="C207" i="2"/>
  <c r="A207" i="2"/>
  <c r="C73" i="2"/>
  <c r="C122" i="2"/>
  <c r="A122" i="2"/>
  <c r="A208" i="2"/>
  <c r="C208" i="2"/>
  <c r="A269" i="2"/>
  <c r="C269" i="2"/>
  <c r="A366" i="2"/>
  <c r="C366" i="2"/>
  <c r="C85" i="2"/>
  <c r="A85" i="2"/>
  <c r="C374" i="2"/>
  <c r="A374" i="2"/>
  <c r="C222" i="2"/>
  <c r="A222" i="2"/>
  <c r="A231" i="2"/>
  <c r="C231" i="2"/>
  <c r="A91" i="2"/>
  <c r="C91" i="2"/>
  <c r="A193" i="2"/>
  <c r="C193" i="2"/>
  <c r="A188" i="2"/>
  <c r="C188" i="2"/>
  <c r="C11" i="2"/>
  <c r="A11" i="2"/>
  <c r="C329" i="2"/>
  <c r="A329" i="2"/>
  <c r="C81" i="2"/>
  <c r="A81" i="2"/>
  <c r="C341" i="2"/>
  <c r="A341" i="2"/>
  <c r="C72" i="2"/>
  <c r="C347" i="2"/>
  <c r="A347" i="2"/>
  <c r="C33" i="2"/>
  <c r="C31" i="2"/>
  <c r="C267" i="2"/>
  <c r="A267" i="2"/>
  <c r="A87" i="2"/>
  <c r="C87" i="2"/>
  <c r="C66" i="2"/>
  <c r="A252" i="2"/>
  <c r="C252" i="2"/>
  <c r="C138" i="2"/>
  <c r="A138" i="2"/>
  <c r="C25" i="2"/>
  <c r="A25" i="2"/>
  <c r="A334" i="2"/>
  <c r="C334" i="2"/>
  <c r="A89" i="2"/>
  <c r="C89" i="2"/>
  <c r="C112" i="2"/>
  <c r="A112" i="2"/>
  <c r="A369" i="2"/>
  <c r="C369" i="2"/>
  <c r="C376" i="2"/>
  <c r="A376" i="2"/>
  <c r="A303" i="2"/>
  <c r="C303" i="2"/>
  <c r="C201" i="2"/>
  <c r="A201" i="2"/>
  <c r="A245" i="2"/>
  <c r="C245" i="2"/>
  <c r="A380" i="2"/>
  <c r="C380" i="2"/>
  <c r="A101" i="2"/>
  <c r="C101" i="2"/>
  <c r="C348" i="2"/>
  <c r="A348" i="2"/>
  <c r="A357" i="2"/>
  <c r="C357" i="2"/>
  <c r="C164" i="2"/>
  <c r="A164" i="2"/>
  <c r="A106" i="2"/>
  <c r="C106" i="2"/>
  <c r="C192" i="2"/>
  <c r="A192" i="2"/>
  <c r="A180" i="2"/>
  <c r="C180" i="2"/>
  <c r="A154" i="2"/>
  <c r="C154" i="2"/>
  <c r="C368" i="2"/>
  <c r="A368" i="2"/>
  <c r="C53" i="2"/>
  <c r="A123" i="2"/>
  <c r="C123" i="2"/>
  <c r="C328" i="2"/>
  <c r="A328" i="2"/>
  <c r="C145" i="2"/>
  <c r="A145" i="2"/>
  <c r="C361" i="2"/>
  <c r="A361" i="2"/>
  <c r="A381" i="2"/>
  <c r="C381" i="2"/>
  <c r="C237" i="2"/>
  <c r="A237" i="2"/>
  <c r="A102" i="2"/>
  <c r="C102" i="2"/>
  <c r="C285" i="2"/>
  <c r="A285" i="2"/>
  <c r="A349" i="2"/>
  <c r="C349" i="2"/>
  <c r="C23" i="2"/>
  <c r="A23" i="2"/>
  <c r="C57" i="2"/>
  <c r="A6" i="2"/>
  <c r="C6" i="2"/>
  <c r="C339" i="2"/>
  <c r="A339" i="2"/>
  <c r="C323" i="2"/>
  <c r="A323" i="2"/>
  <c r="A255" i="2"/>
  <c r="C255" i="2"/>
  <c r="A293" i="2"/>
  <c r="C293" i="2"/>
  <c r="A7" i="2"/>
  <c r="C7" i="2"/>
  <c r="A224" i="2"/>
  <c r="C224" i="2"/>
  <c r="C248" i="2"/>
  <c r="A248" i="2"/>
  <c r="A130" i="2"/>
  <c r="C130" i="2"/>
  <c r="A84" i="2"/>
  <c r="C84" i="2"/>
  <c r="A284" i="2"/>
  <c r="C284" i="2"/>
  <c r="C41" i="2"/>
  <c r="C49" i="2"/>
  <c r="A163" i="2"/>
  <c r="C163" i="2"/>
  <c r="C162" i="2"/>
  <c r="A162" i="2"/>
  <c r="A136" i="2"/>
  <c r="C136" i="2"/>
  <c r="C165" i="2"/>
  <c r="A165" i="2"/>
  <c r="C353" i="2"/>
  <c r="A353" i="2"/>
  <c r="C34" i="2"/>
  <c r="C19" i="2"/>
  <c r="A19" i="2"/>
  <c r="A93" i="2"/>
  <c r="C93" i="2"/>
  <c r="A275" i="2"/>
  <c r="C275" i="2"/>
  <c r="C238" i="2"/>
  <c r="A238" i="2"/>
  <c r="A230" i="2"/>
  <c r="C230" i="2"/>
  <c r="C69" i="2"/>
  <c r="C47" i="2"/>
  <c r="A17" i="2"/>
  <c r="C17" i="2"/>
  <c r="C296" i="2"/>
  <c r="A296" i="2"/>
  <c r="A281" i="2"/>
  <c r="C281" i="2"/>
  <c r="A194" i="2"/>
  <c r="C194" i="2"/>
  <c r="A125" i="2"/>
  <c r="C125" i="2"/>
  <c r="A383" i="2"/>
  <c r="C383" i="2"/>
  <c r="C367" i="2"/>
  <c r="A367" i="2"/>
  <c r="A308" i="2"/>
  <c r="C308" i="2"/>
  <c r="A271" i="2"/>
  <c r="C271" i="2"/>
  <c r="C251" i="2"/>
  <c r="A251" i="2"/>
  <c r="C118" i="2"/>
  <c r="A118" i="2"/>
  <c r="C226" i="2"/>
  <c r="A226" i="2"/>
  <c r="C168" i="2"/>
  <c r="A168" i="2"/>
  <c r="A290" i="2"/>
  <c r="C290" i="2"/>
  <c r="C333" i="2"/>
  <c r="A333" i="2"/>
  <c r="C227" i="2"/>
  <c r="A227" i="2"/>
  <c r="C109" i="2"/>
  <c r="A109" i="2"/>
  <c r="A317" i="2"/>
  <c r="C317" i="2"/>
  <c r="C146" i="2"/>
  <c r="A146" i="2"/>
  <c r="C177" i="2"/>
  <c r="A177" i="2"/>
  <c r="A114" i="2"/>
  <c r="C114" i="2"/>
  <c r="A169" i="2"/>
  <c r="C169" i="2"/>
  <c r="A204" i="2"/>
  <c r="C204" i="2"/>
  <c r="C51" i="2"/>
  <c r="C55" i="2"/>
  <c r="C14" i="2"/>
  <c r="A14" i="2"/>
  <c r="A18" i="2"/>
  <c r="C18" i="2"/>
  <c r="C40" i="2"/>
  <c r="BR387" i="2" l="1"/>
  <c r="A24" i="23" l="1"/>
  <c r="C11" i="49" l="1"/>
  <c r="C26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3" authorId="0" shapeId="0" xr:uid="{00000000-0006-0000-0000-000001000000}">
      <text>
        <r>
          <rPr>
            <sz val="10"/>
            <color indexed="81"/>
            <rFont val="Tahoma"/>
            <family val="2"/>
          </rPr>
          <t xml:space="preserve">G: TRẠM GIÀN
N:TRẠM NỀN
T: TRẠM TREO
</t>
        </r>
        <r>
          <rPr>
            <b/>
            <sz val="10"/>
            <color indexed="10"/>
            <rFont val="Tahoma"/>
            <family val="2"/>
          </rPr>
          <t>BẮT BUỘT CHỌN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5" authorId="0" shapeId="0" xr:uid="{00000000-0006-0000-0C00-000001000000}">
      <text>
        <r>
          <rPr>
            <sz val="8"/>
            <color indexed="10"/>
            <rFont val="VNI-Avo"/>
          </rPr>
          <t>Ñôn giaù BCN</t>
        </r>
        <r>
          <rPr>
            <sz val="8"/>
            <color indexed="10"/>
            <rFont val="Tahoma"/>
            <family val="2"/>
          </rPr>
          <t xml:space="preserve">
</t>
        </r>
      </text>
    </comment>
    <comment ref="F177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CADIVI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970" authorId="0" shapeId="0" xr:uid="{00000000-0006-0000-0C00-000003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1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2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3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4" authorId="0" shapeId="0" xr:uid="{00000000-0006-0000-0C00-000007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6" authorId="0" shapeId="0" xr:uid="{00000000-0006-0000-0C00-000008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7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8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9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80" authorId="0" shapeId="0" xr:uid="{00000000-0006-0000-0C00-00000C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E1015" authorId="0" shapeId="0" xr:uid="{00000000-0006-0000-0C00-00000D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ĐÃ CHỈNH SỬA GIA MỚI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69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Da bao gom trong lap da 1,66m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386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tính trong phần nhân công lắp tử MCCB
</t>
        </r>
      </text>
    </comment>
    <comment ref="B1204" authorId="0" shapeId="0" xr:uid="{00000000-0006-0000-0A00-000002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32" authorId="0" shapeId="0" xr:uid="{00000000-0006-0000-0A00-000003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486" authorId="0" shapeId="0" xr:uid="{00000000-0006-0000-0A00-000004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610" authorId="0" shapeId="0" xr:uid="{00000000-0006-0000-0A00-000005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878" authorId="0" shapeId="0" xr:uid="{00000000-0006-0000-0A00-000006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367" authorId="0" shapeId="0" xr:uid="{00000000-0006-0000-0A00-000007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551" authorId="0" shapeId="0" xr:uid="{00000000-0006-0000-0A00-000008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I6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B: bulong mat
C: code
Ap dung cho cac bo neo chang</t>
        </r>
      </text>
    </comment>
    <comment ref="EJ6" authorId="0" shapeId="0" xr:uid="{00000000-0006-0000-1800-00000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P: POLYME
ngoai ra: su treo 2 bat</t>
        </r>
      </text>
    </comment>
    <comment ref="EJ45" authorId="0" shapeId="0" xr:uid="{00000000-0006-0000-1800-000003000000}">
      <text>
        <r>
          <rPr>
            <b/>
            <sz val="12"/>
            <color indexed="81"/>
            <rFont val="VNI-Helve"/>
          </rPr>
          <t>Soá löôïng khoùa ñôõ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<sst xmlns="http://schemas.openxmlformats.org/spreadsheetml/2006/main" count="18277" uniqueCount="5961">
  <si>
    <t>CS4.04.010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</si>
  <si>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</si>
  <si>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</si>
  <si>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</si>
  <si>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</si>
  <si>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</si>
  <si>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</si>
  <si>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</si>
  <si>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</si>
  <si>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</si>
  <si>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</si>
  <si>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</si>
  <si>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</si>
  <si>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</si>
  <si>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</si>
  <si>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M14ba</t>
  </si>
  <si>
    <t>M14bb</t>
  </si>
  <si>
    <t>Khoaûng caùch</t>
  </si>
  <si>
    <t>TR3201</t>
  </si>
  <si>
    <t>TR5601</t>
  </si>
  <si>
    <t>TR630</t>
  </si>
  <si>
    <t>TR6301</t>
  </si>
  <si>
    <t>XLPE350D</t>
  </si>
  <si>
    <t>Cdtru140</t>
  </si>
  <si>
    <t>Cdedaucap</t>
  </si>
  <si>
    <t>CUT140</t>
  </si>
  <si>
    <t>MDD2</t>
  </si>
  <si>
    <t>MDAp2</t>
  </si>
  <si>
    <t>DCT25</t>
  </si>
  <si>
    <t>3x50KVA</t>
  </si>
  <si>
    <t>COÏC</t>
  </si>
  <si>
    <t>giacapTT-2m</t>
  </si>
  <si>
    <t>LXITl</t>
  </si>
  <si>
    <t>ATM400</t>
  </si>
  <si>
    <t>BOCTR</t>
  </si>
  <si>
    <t>BOCD</t>
  </si>
  <si>
    <t>kE150</t>
  </si>
  <si>
    <t>CVV4x2,5</t>
  </si>
  <si>
    <t>A185</t>
  </si>
  <si>
    <t>A240</t>
  </si>
  <si>
    <t>CHCOS250</t>
  </si>
  <si>
    <t>Cos25</t>
  </si>
  <si>
    <t>cos50</t>
  </si>
  <si>
    <t>Cos70</t>
  </si>
  <si>
    <t>cos95</t>
  </si>
  <si>
    <t>DN1200</t>
  </si>
  <si>
    <t>DN1500</t>
  </si>
  <si>
    <t>pvc140</t>
  </si>
  <si>
    <t>cose300</t>
  </si>
  <si>
    <t>av95</t>
  </si>
  <si>
    <t>X-24KP</t>
  </si>
  <si>
    <t>GIP150-70</t>
  </si>
  <si>
    <t>GIP150-50</t>
  </si>
  <si>
    <t>drc</t>
  </si>
  <si>
    <t>Lắp LA</t>
  </si>
  <si>
    <t>ke240</t>
  </si>
  <si>
    <t>KE150</t>
  </si>
  <si>
    <t>D16/10</t>
  </si>
  <si>
    <t>D30/10</t>
  </si>
  <si>
    <t>SO8</t>
  </si>
  <si>
    <t>KEM</t>
  </si>
  <si>
    <t>U8034</t>
  </si>
  <si>
    <t>SO10</t>
  </si>
  <si>
    <t>PVC60</t>
  </si>
  <si>
    <t>LPVC42CL</t>
  </si>
  <si>
    <t>PNG</t>
  </si>
  <si>
    <t>PN90</t>
  </si>
  <si>
    <t>PN</t>
  </si>
  <si>
    <t>gtd</t>
  </si>
  <si>
    <t>VCTD4</t>
  </si>
  <si>
    <t>DBT10046</t>
  </si>
  <si>
    <t>KDM95B</t>
  </si>
  <si>
    <t>KCN1kg</t>
  </si>
  <si>
    <t>MBETON</t>
  </si>
  <si>
    <t>kn50</t>
  </si>
  <si>
    <t>ke50</t>
  </si>
  <si>
    <t>cose50</t>
  </si>
  <si>
    <t>DN0412</t>
  </si>
  <si>
    <t>VCDA4</t>
  </si>
  <si>
    <t>X-8KL</t>
  </si>
  <si>
    <t>CX10-C</t>
  </si>
  <si>
    <t>B22500C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</si>
  <si>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</si>
  <si>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</si>
  <si>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</si>
  <si>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</si>
  <si>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</si>
  <si>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</si>
  <si>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</si>
  <si>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</si>
  <si>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</si>
  <si>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</si>
  <si>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</si>
  <si>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</si>
  <si>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</si>
  <si>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</si>
  <si>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CDAO200</t>
  </si>
  <si>
    <t>LPVC60CL</t>
  </si>
  <si>
    <t>07.2203</t>
  </si>
  <si>
    <t>07.2202</t>
  </si>
  <si>
    <t>LGACH</t>
  </si>
  <si>
    <t>lgach</t>
  </si>
  <si>
    <t>DCTD3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</si>
  <si>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</si>
  <si>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</si>
  <si>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</si>
  <si>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</si>
  <si>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</si>
  <si>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</si>
  <si>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</si>
  <si>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</si>
  <si>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</si>
  <si>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</si>
  <si>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</si>
  <si>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</si>
  <si>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</si>
  <si>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B12150</t>
  </si>
  <si>
    <t>KN912</t>
  </si>
  <si>
    <t>BANGNHUA</t>
  </si>
  <si>
    <t>ATM40A</t>
  </si>
  <si>
    <t>.</t>
  </si>
  <si>
    <t>TI400</t>
  </si>
  <si>
    <t>TI300</t>
  </si>
  <si>
    <t>GIP11-11</t>
  </si>
  <si>
    <t>TR2000</t>
  </si>
  <si>
    <t>TI30</t>
  </si>
  <si>
    <t>dcapht350</t>
  </si>
  <si>
    <t>cd320</t>
  </si>
  <si>
    <t>ABC4x35</t>
  </si>
  <si>
    <t>02.1431</t>
  </si>
  <si>
    <t>VCS2</t>
  </si>
  <si>
    <t>02.1432</t>
  </si>
  <si>
    <t>ti20</t>
  </si>
  <si>
    <t>GiacapHT</t>
  </si>
  <si>
    <t>CD21T</t>
  </si>
  <si>
    <t>Kd50</t>
  </si>
  <si>
    <t>DATD4</t>
  </si>
  <si>
    <t>DTD4</t>
  </si>
  <si>
    <t>M20-2b</t>
  </si>
  <si>
    <t>07.2102</t>
  </si>
  <si>
    <t>07.2205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</si>
  <si>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</si>
  <si>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</si>
  <si>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</si>
  <si>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</si>
  <si>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</si>
  <si>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</si>
  <si>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</si>
  <si>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</si>
  <si>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</si>
  <si>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TUACB</t>
  </si>
  <si>
    <t>B16600V</t>
  </si>
  <si>
    <t>B16550V</t>
  </si>
  <si>
    <t>B16600v</t>
  </si>
  <si>
    <t>K35</t>
  </si>
  <si>
    <t>K70</t>
  </si>
  <si>
    <t>K95</t>
  </si>
  <si>
    <t>VCCT4</t>
  </si>
  <si>
    <t>CS4.09.021</t>
  </si>
  <si>
    <t>LTD-DEN</t>
  </si>
  <si>
    <t>CS3.07.012</t>
  </si>
  <si>
    <t>CS3.07.023</t>
  </si>
  <si>
    <t>DongCTD</t>
  </si>
  <si>
    <t>dongctd</t>
  </si>
  <si>
    <t>ltd-den</t>
  </si>
  <si>
    <t>dcapht370</t>
  </si>
  <si>
    <t>Duplex 211</t>
  </si>
  <si>
    <t>Duplex 411</t>
  </si>
  <si>
    <t>LUONDAY</t>
  </si>
  <si>
    <t>KCN10kg</t>
  </si>
  <si>
    <t>KCN12kg</t>
  </si>
  <si>
    <t>07.3408</t>
  </si>
  <si>
    <t>07.3409</t>
  </si>
  <si>
    <t>02.1482</t>
  </si>
  <si>
    <t>Gieáng tieáp ñòa</t>
  </si>
  <si>
    <t>gieáng</t>
  </si>
  <si>
    <t>XLPE370D</t>
  </si>
  <si>
    <t>XLPE395D</t>
  </si>
  <si>
    <t>XLPE325D</t>
  </si>
  <si>
    <t>XLPE3185D</t>
  </si>
  <si>
    <t>XLPE3150D</t>
  </si>
  <si>
    <t>XLPE3240D</t>
  </si>
  <si>
    <t>XLPE3120D</t>
  </si>
  <si>
    <t>3DT</t>
  </si>
  <si>
    <t>3IT</t>
  </si>
  <si>
    <t>02.1453</t>
  </si>
  <si>
    <t>keu50</t>
  </si>
  <si>
    <t>T CL12-B</t>
  </si>
  <si>
    <t>CV150</t>
  </si>
  <si>
    <t>ACKP95</t>
  </si>
  <si>
    <t>AC240</t>
  </si>
  <si>
    <t>AC185</t>
  </si>
  <si>
    <t>05.6043</t>
  </si>
  <si>
    <t>CD114</t>
  </si>
  <si>
    <t>SDI35</t>
  </si>
  <si>
    <t>SDCM</t>
  </si>
  <si>
    <t>TUBU250</t>
  </si>
  <si>
    <t>LGACH CS</t>
  </si>
  <si>
    <t>EKE300</t>
  </si>
  <si>
    <t>eke300</t>
  </si>
  <si>
    <t>S80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</si>
  <si>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</si>
  <si>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</si>
  <si>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</si>
  <si>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</si>
  <si>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</si>
  <si>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</si>
  <si>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</si>
  <si>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</si>
  <si>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</si>
  <si>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</si>
  <si>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</si>
  <si>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</si>
  <si>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</si>
  <si>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tubu100</t>
  </si>
  <si>
    <t>atm400</t>
  </si>
  <si>
    <t>TRUTHEP</t>
  </si>
  <si>
    <t>KEU35</t>
  </si>
  <si>
    <t>XLPE200ht</t>
  </si>
  <si>
    <t>MDDA1</t>
  </si>
  <si>
    <t>M8</t>
  </si>
  <si>
    <t>KDQD1</t>
  </si>
  <si>
    <t>KDAC35</t>
  </si>
  <si>
    <t>KDAC95</t>
  </si>
  <si>
    <t>lcapdongTB95</t>
  </si>
  <si>
    <t>cv25</t>
  </si>
  <si>
    <t>03.1401</t>
  </si>
  <si>
    <t>VCDC2</t>
  </si>
  <si>
    <t>02.1483</t>
  </si>
  <si>
    <t>VCDC3</t>
  </si>
  <si>
    <t>02.1484</t>
  </si>
  <si>
    <t>T75</t>
  </si>
  <si>
    <t>R3</t>
  </si>
  <si>
    <t>cd195</t>
  </si>
  <si>
    <t>costk90</t>
  </si>
  <si>
    <t>B1050</t>
  </si>
  <si>
    <t>BANGKEO</t>
  </si>
  <si>
    <t>XLPE316+10HT</t>
  </si>
  <si>
    <t>CHCOS16</t>
  </si>
  <si>
    <t>ATM50A</t>
  </si>
  <si>
    <t>ATM60A</t>
  </si>
  <si>
    <t>ATM80A</t>
  </si>
  <si>
    <t>ATM125A</t>
  </si>
  <si>
    <t>Duplex 222</t>
  </si>
  <si>
    <t>Duplex 322</t>
  </si>
  <si>
    <t>Duplex 422</t>
  </si>
  <si>
    <t>acv70</t>
  </si>
  <si>
    <t>DDTT3P_NC2M=&gt;3M</t>
  </si>
  <si>
    <t>kn185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</si>
  <si>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</si>
  <si>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</si>
  <si>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</si>
  <si>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</si>
  <si>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</si>
  <si>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</si>
  <si>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</si>
  <si>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</si>
  <si>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TUBU600</t>
  </si>
  <si>
    <t>ON240</t>
  </si>
  <si>
    <t>ON185</t>
  </si>
  <si>
    <t>ON120</t>
  </si>
  <si>
    <t>ON35</t>
  </si>
  <si>
    <t>PVC21</t>
  </si>
  <si>
    <t>CUT21</t>
  </si>
  <si>
    <t>cos120</t>
  </si>
  <si>
    <t>R4</t>
  </si>
  <si>
    <t>thept6</t>
  </si>
  <si>
    <t>XLPE35A</t>
  </si>
  <si>
    <t>XLPE50A</t>
  </si>
  <si>
    <t>XLPE70A</t>
  </si>
  <si>
    <t>XLPE95A</t>
  </si>
  <si>
    <t>BAKETu</t>
  </si>
  <si>
    <t>cv35</t>
  </si>
  <si>
    <t>TR7501</t>
  </si>
  <si>
    <t>Stk114</t>
  </si>
  <si>
    <t>D4X6</t>
  </si>
  <si>
    <t>TR1000</t>
  </si>
  <si>
    <t>VCDC1</t>
  </si>
  <si>
    <t>VCDAT2</t>
  </si>
  <si>
    <t>02.1274</t>
  </si>
  <si>
    <t>VCDAT3</t>
  </si>
  <si>
    <t>02.1284</t>
  </si>
  <si>
    <t>LLBFCO</t>
  </si>
  <si>
    <t>LGFCO</t>
  </si>
  <si>
    <t>KDQG1</t>
  </si>
  <si>
    <t>06.5071</t>
  </si>
  <si>
    <t>DS3P</t>
  </si>
  <si>
    <t>LBS</t>
  </si>
  <si>
    <t>CD140TK</t>
  </si>
  <si>
    <t>ke150</t>
  </si>
  <si>
    <t>DMC2</t>
  </si>
  <si>
    <t>DMC3</t>
  </si>
  <si>
    <t>DMC4</t>
  </si>
  <si>
    <t>GIATFCO</t>
  </si>
  <si>
    <t>DCAPHT3185</t>
  </si>
  <si>
    <t>CHCOS185</t>
  </si>
  <si>
    <t>COS185</t>
  </si>
  <si>
    <t>k185</t>
  </si>
  <si>
    <t>M14</t>
  </si>
  <si>
    <t>TR2501</t>
  </si>
  <si>
    <t>B22600</t>
  </si>
  <si>
    <t>B22800</t>
  </si>
  <si>
    <t>Hopcap70</t>
  </si>
  <si>
    <t>LTD</t>
  </si>
  <si>
    <t>M14-2bn</t>
  </si>
  <si>
    <t>M10-2bn</t>
  </si>
  <si>
    <t>DK1p5A</t>
  </si>
  <si>
    <t>DK3p5A</t>
  </si>
  <si>
    <t>MAÕ</t>
  </si>
  <si>
    <t>x</t>
  </si>
  <si>
    <t>cv185</t>
  </si>
  <si>
    <t>C14</t>
  </si>
  <si>
    <t xml:space="preserve"> </t>
  </si>
  <si>
    <t>LA(KV)</t>
  </si>
  <si>
    <t>SL</t>
  </si>
  <si>
    <t>DL-1P</t>
  </si>
  <si>
    <t>stk90</t>
  </si>
  <si>
    <t>costk114</t>
  </si>
  <si>
    <t>cose150</t>
  </si>
  <si>
    <t>cose185</t>
  </si>
  <si>
    <t>02.1413</t>
  </si>
  <si>
    <t>VCC4</t>
  </si>
  <si>
    <t>CONTACTOR 125</t>
  </si>
  <si>
    <t>mocdung</t>
  </si>
  <si>
    <t>XLPE150</t>
  </si>
  <si>
    <t>OXC50</t>
  </si>
  <si>
    <t>OXC11</t>
  </si>
  <si>
    <t>TI100</t>
  </si>
  <si>
    <t>TUACB3200</t>
  </si>
  <si>
    <t>Sôïi/pha</t>
  </si>
  <si>
    <t>Sôïi/ trtính</t>
  </si>
  <si>
    <t>CHI3K</t>
  </si>
  <si>
    <t>TUMCCB-TG</t>
  </si>
  <si>
    <t>TUMCCB-TG1</t>
  </si>
  <si>
    <t>TUMCCB1250</t>
  </si>
  <si>
    <t>TUMCCB1600</t>
  </si>
  <si>
    <t>TUACB1600</t>
  </si>
  <si>
    <t>T85</t>
  </si>
  <si>
    <t>M10b</t>
  </si>
  <si>
    <t>M12b-2a(hh)</t>
  </si>
  <si>
    <t>yc</t>
  </si>
  <si>
    <t>I</t>
  </si>
  <si>
    <t>T100</t>
  </si>
  <si>
    <t>T1001</t>
  </si>
  <si>
    <t>BTLT 8,4 HH</t>
  </si>
  <si>
    <t>Triplex 3x16</t>
  </si>
  <si>
    <t>Quadruplex4x16</t>
  </si>
  <si>
    <t>3AV50+AC35</t>
  </si>
  <si>
    <t>lr4</t>
  </si>
  <si>
    <t>N-T-BTLT 8.4</t>
  </si>
  <si>
    <t>M12-2bn</t>
  </si>
  <si>
    <t>coson</t>
  </si>
  <si>
    <t>LCbh9</t>
  </si>
  <si>
    <t>thepB</t>
  </si>
  <si>
    <t>av240</t>
  </si>
  <si>
    <t>av300</t>
  </si>
  <si>
    <t>T84</t>
  </si>
  <si>
    <t>XLPE370+50HT</t>
  </si>
  <si>
    <t>XLPE395+50HT</t>
  </si>
  <si>
    <t>XLPE3120+70HT</t>
  </si>
  <si>
    <t>XLPE3150+95HT</t>
  </si>
  <si>
    <t>XLPE3185+120HT</t>
  </si>
  <si>
    <t>LSTK50</t>
  </si>
  <si>
    <t>LSTK120d</t>
  </si>
  <si>
    <t>B16300v</t>
  </si>
  <si>
    <t>b22800</t>
  </si>
  <si>
    <t>BM16300</t>
  </si>
  <si>
    <t>03.3132</t>
  </si>
  <si>
    <t>03.1012</t>
  </si>
  <si>
    <t>03.1013</t>
  </si>
  <si>
    <t>03.1014</t>
  </si>
  <si>
    <t>LX16</t>
  </si>
  <si>
    <t>LXI</t>
  </si>
  <si>
    <t>05.6001</t>
  </si>
  <si>
    <t>C5/8</t>
  </si>
  <si>
    <t>VCCAT3</t>
  </si>
  <si>
    <t>02.1233</t>
  </si>
  <si>
    <t>VCCAT4</t>
  </si>
  <si>
    <t>HTCS</t>
  </si>
  <si>
    <t>lcapdongTB240</t>
  </si>
  <si>
    <t>GiacapHT-4m</t>
  </si>
  <si>
    <t>TR100</t>
  </si>
  <si>
    <t>COSe300</t>
  </si>
  <si>
    <t>TR75</t>
  </si>
  <si>
    <t>T14</t>
  </si>
  <si>
    <t>E2.003</t>
  </si>
  <si>
    <t>SL75</t>
  </si>
  <si>
    <t>cong 1</t>
  </si>
  <si>
    <t>cong 2</t>
  </si>
  <si>
    <t>Cong D1000x1000mm</t>
  </si>
  <si>
    <t>Cong D1000x400mm</t>
  </si>
  <si>
    <t>so16</t>
  </si>
  <si>
    <t>SO16</t>
  </si>
  <si>
    <t>VL CHÍNH</t>
  </si>
  <si>
    <t>VL PHUÏ</t>
  </si>
  <si>
    <t>SL70</t>
  </si>
  <si>
    <t>S70</t>
  </si>
  <si>
    <t>S806</t>
  </si>
  <si>
    <t>Lcauchi</t>
  </si>
  <si>
    <t>CS4.03.020</t>
  </si>
  <si>
    <t>lcauchi</t>
  </si>
  <si>
    <t>D20</t>
  </si>
  <si>
    <t>GiacapHT-30m</t>
  </si>
  <si>
    <t>XLPE240ht</t>
  </si>
  <si>
    <t>XLPE250ht</t>
  </si>
  <si>
    <t xml:space="preserve">Rack </t>
  </si>
  <si>
    <t>atm800</t>
  </si>
  <si>
    <t>atm50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</si>
  <si>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</si>
  <si>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</si>
  <si>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</si>
  <si>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</si>
  <si>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</si>
  <si>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</si>
  <si>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</si>
  <si>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</si>
  <si>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</si>
  <si>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</si>
  <si>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</si>
  <si>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DK2x11</t>
  </si>
  <si>
    <t>DVV7x1.5</t>
  </si>
  <si>
    <t>02.1363</t>
  </si>
  <si>
    <t>VCX4</t>
  </si>
  <si>
    <t>02.1364</t>
  </si>
  <si>
    <t>cv70</t>
  </si>
  <si>
    <t>TR15</t>
  </si>
  <si>
    <t>10506 x1,7</t>
  </si>
  <si>
    <t>MongTB</t>
  </si>
  <si>
    <t>batLL</t>
  </si>
  <si>
    <t>KEObit</t>
  </si>
  <si>
    <t>LSTK220d</t>
  </si>
  <si>
    <t>LPVC140CL</t>
  </si>
  <si>
    <t>M7-2a</t>
  </si>
  <si>
    <t>DCT50</t>
  </si>
  <si>
    <t>DS1P</t>
  </si>
  <si>
    <t>COS200</t>
  </si>
  <si>
    <t>COS250</t>
  </si>
  <si>
    <t>COS300</t>
  </si>
  <si>
    <t>CUT140t</t>
  </si>
  <si>
    <t>NPVC140</t>
  </si>
  <si>
    <t>U20-280</t>
  </si>
  <si>
    <t>gcap</t>
  </si>
  <si>
    <t>lgia</t>
  </si>
  <si>
    <t>TR1500</t>
  </si>
  <si>
    <t>TR12501</t>
  </si>
  <si>
    <t>03.3122</t>
  </si>
  <si>
    <t>03.3124</t>
  </si>
  <si>
    <t>03.4121</t>
  </si>
  <si>
    <t>03.4123</t>
  </si>
  <si>
    <t>LPVC60CL CS</t>
  </si>
  <si>
    <t>L</t>
  </si>
  <si>
    <t>LPVC90CL CS</t>
  </si>
  <si>
    <t>LSTK120d CS</t>
  </si>
  <si>
    <t>07.2301</t>
  </si>
  <si>
    <t>TR30001</t>
  </si>
  <si>
    <t>VCCAT4d</t>
  </si>
  <si>
    <t>021224</t>
  </si>
  <si>
    <t>b1040</t>
  </si>
  <si>
    <t>KD912</t>
  </si>
  <si>
    <t>Kd95</t>
  </si>
  <si>
    <t>Kd120</t>
  </si>
  <si>
    <t>OXC22</t>
  </si>
  <si>
    <t>XLPE350HT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</si>
  <si>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</si>
  <si>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</si>
  <si>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</si>
  <si>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</si>
  <si>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</si>
  <si>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</si>
  <si>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</si>
  <si>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</si>
  <si>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</si>
  <si>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AC50</t>
  </si>
  <si>
    <t>cv250</t>
  </si>
  <si>
    <t>CHCOS240</t>
  </si>
  <si>
    <t>CHCOS150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</si>
  <si>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</si>
  <si>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</si>
  <si>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</si>
  <si>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</si>
  <si>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</si>
  <si>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</si>
  <si>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</si>
  <si>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</si>
  <si>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</si>
  <si>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KD120</t>
  </si>
  <si>
    <t>KD150</t>
  </si>
  <si>
    <t>KD185</t>
  </si>
  <si>
    <t>KD240</t>
  </si>
  <si>
    <t>kn70</t>
  </si>
  <si>
    <t>AV70</t>
  </si>
  <si>
    <t>MDAP1</t>
  </si>
  <si>
    <t>MDAP2</t>
  </si>
  <si>
    <t>KDM25</t>
  </si>
  <si>
    <t>LXHN3</t>
  </si>
  <si>
    <t>06.2110</t>
  </si>
  <si>
    <t>DCAPHT395</t>
  </si>
  <si>
    <t>DCAPHT3120</t>
  </si>
  <si>
    <t>tubu65</t>
  </si>
  <si>
    <t>TUBU65</t>
  </si>
  <si>
    <t>TuTG</t>
  </si>
  <si>
    <t>MDAP3</t>
  </si>
  <si>
    <t>DCAT</t>
  </si>
  <si>
    <t>DTD2</t>
  </si>
  <si>
    <t>CHI6K</t>
  </si>
  <si>
    <t>02.1422</t>
  </si>
  <si>
    <t>DDTT3P-ct</t>
  </si>
  <si>
    <t>b10150</t>
  </si>
  <si>
    <t>B10150</t>
  </si>
  <si>
    <t>b1050</t>
  </si>
  <si>
    <t>TUACB2500</t>
  </si>
  <si>
    <t>TUACB2000</t>
  </si>
  <si>
    <t>TuACB2500</t>
  </si>
  <si>
    <t>tubu600</t>
  </si>
  <si>
    <t>Rack</t>
  </si>
  <si>
    <t>M8a</t>
  </si>
  <si>
    <t>M8aa</t>
  </si>
  <si>
    <t>M8-2a</t>
  </si>
  <si>
    <t>sl50</t>
  </si>
  <si>
    <t>OXC1/0</t>
  </si>
  <si>
    <t>dcapht3150</t>
  </si>
  <si>
    <t>DCAPHT3150</t>
  </si>
  <si>
    <t>DCAPHT350+35</t>
  </si>
  <si>
    <t>D12 CS</t>
  </si>
  <si>
    <t>DEN-sonadezi</t>
  </si>
  <si>
    <t>CS3.01.013</t>
  </si>
  <si>
    <t>LBTLT</t>
  </si>
  <si>
    <t>BATLIA</t>
  </si>
  <si>
    <t>batliA</t>
  </si>
  <si>
    <t>OXC95</t>
  </si>
  <si>
    <t>NPVC114</t>
  </si>
  <si>
    <t>LR4</t>
  </si>
  <si>
    <t>m2</t>
  </si>
  <si>
    <t>NXOE</t>
  </si>
  <si>
    <t>LXIT</t>
  </si>
  <si>
    <t>LXIN</t>
  </si>
  <si>
    <t>TN30</t>
  </si>
  <si>
    <t>YC</t>
  </si>
  <si>
    <t>MANG</t>
  </si>
  <si>
    <t>Thept2</t>
  </si>
  <si>
    <t>SonBBH</t>
  </si>
  <si>
    <t>BTCL-14-500</t>
  </si>
  <si>
    <t>CD21</t>
  </si>
  <si>
    <t xml:space="preserve">DS 3P - 24KV - 630A </t>
  </si>
  <si>
    <t>TULBS</t>
  </si>
  <si>
    <t>TUDS</t>
  </si>
  <si>
    <t>478/480/482/01</t>
  </si>
  <si>
    <t>478/480/482/16</t>
  </si>
  <si>
    <t>H-2x3DT</t>
  </si>
  <si>
    <t>DD2x4</t>
  </si>
  <si>
    <t>CS4.08.010</t>
  </si>
  <si>
    <t>LTRUDEN</t>
  </si>
  <si>
    <t>Gtd</t>
  </si>
  <si>
    <t>VCXM1</t>
  </si>
  <si>
    <t>02.1211</t>
  </si>
  <si>
    <t>cv16</t>
  </si>
  <si>
    <t>cv2,5</t>
  </si>
  <si>
    <t>B1230TH</t>
  </si>
  <si>
    <t>B1240TH</t>
  </si>
  <si>
    <t>trthep6</t>
  </si>
  <si>
    <t>M11</t>
  </si>
  <si>
    <t>cut90t</t>
  </si>
  <si>
    <t>M7</t>
  </si>
  <si>
    <t>02.1433</t>
  </si>
  <si>
    <t>M20-4b</t>
  </si>
  <si>
    <t xml:space="preserve">MNL18-6 </t>
  </si>
  <si>
    <t>X-21KL</t>
  </si>
  <si>
    <t>KHOA</t>
  </si>
  <si>
    <t>BTNN-TL</t>
  </si>
  <si>
    <t>phabetong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</si>
  <si>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</si>
  <si>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</si>
  <si>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</si>
  <si>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</si>
  <si>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</si>
  <si>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</si>
  <si>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</si>
  <si>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</si>
  <si>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</si>
  <si>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thept4</t>
  </si>
  <si>
    <t>d12</t>
  </si>
  <si>
    <t>bocdc</t>
  </si>
  <si>
    <t>M12ba</t>
  </si>
  <si>
    <t>M7a</t>
  </si>
  <si>
    <t>m25</t>
  </si>
  <si>
    <t>COS25</t>
  </si>
  <si>
    <t>atm200</t>
  </si>
  <si>
    <t>X-30KP</t>
  </si>
  <si>
    <t>KN158</t>
  </si>
  <si>
    <t>atm300</t>
  </si>
  <si>
    <t>ATM300</t>
  </si>
  <si>
    <t>cd90</t>
  </si>
  <si>
    <t>r3</t>
  </si>
  <si>
    <t>S60</t>
  </si>
  <si>
    <t>X-24K-2T</t>
  </si>
  <si>
    <t>PVC90</t>
  </si>
  <si>
    <t>CUT90</t>
  </si>
  <si>
    <t>CV2,5</t>
  </si>
  <si>
    <t>NB.1110</t>
  </si>
  <si>
    <t>d1x2</t>
  </si>
  <si>
    <t>BOCX</t>
  </si>
  <si>
    <t>KDA35B</t>
  </si>
  <si>
    <t>LSOC</t>
  </si>
  <si>
    <t>LBNH</t>
  </si>
  <si>
    <t>KDQG2</t>
  </si>
  <si>
    <t>KDQS</t>
  </si>
  <si>
    <t>b</t>
  </si>
  <si>
    <t>X-22K</t>
  </si>
  <si>
    <t>Kd70</t>
  </si>
  <si>
    <t>ATM200</t>
  </si>
  <si>
    <t>D</t>
  </si>
  <si>
    <t>GIP120-70</t>
  </si>
  <si>
    <t>DOMINO</t>
  </si>
  <si>
    <t xml:space="preserve">l </t>
  </si>
  <si>
    <t>LTC</t>
  </si>
  <si>
    <t>2-DT</t>
  </si>
  <si>
    <t>Hotline 4/0</t>
  </si>
  <si>
    <t>02.3505</t>
  </si>
  <si>
    <t>TR320</t>
  </si>
  <si>
    <t>B1230</t>
  </si>
  <si>
    <t>oxy</t>
  </si>
  <si>
    <t>BTLT 10.5</t>
  </si>
  <si>
    <t>BTLT 12</t>
  </si>
  <si>
    <t>BTLT 14</t>
  </si>
  <si>
    <t>M12a</t>
  </si>
  <si>
    <t>M12aa</t>
  </si>
  <si>
    <t>ATM500</t>
  </si>
  <si>
    <t>DRC</t>
  </si>
  <si>
    <t>b1260</t>
  </si>
  <si>
    <t>l</t>
  </si>
  <si>
    <t>daucap120in</t>
  </si>
  <si>
    <t>daucap50</t>
  </si>
  <si>
    <t>daucap50in</t>
  </si>
  <si>
    <t>daucap70in</t>
  </si>
  <si>
    <t>CV70</t>
  </si>
  <si>
    <t>ONGDH168</t>
  </si>
  <si>
    <t>160KVA</t>
  </si>
  <si>
    <t>250KVA</t>
  </si>
  <si>
    <t>320KVA</t>
  </si>
  <si>
    <t>400KVA</t>
  </si>
  <si>
    <t>560KVA</t>
  </si>
  <si>
    <t>630KVA</t>
  </si>
  <si>
    <t>KE35</t>
  </si>
  <si>
    <t>KE95</t>
  </si>
  <si>
    <t>KE120</t>
  </si>
  <si>
    <t>MTBU</t>
  </si>
  <si>
    <t>M10a</t>
  </si>
  <si>
    <t>SD</t>
  </si>
  <si>
    <t>XLPE25</t>
  </si>
  <si>
    <t>r4</t>
  </si>
  <si>
    <t xml:space="preserve">BTLT 12 </t>
  </si>
  <si>
    <t>thept5</t>
  </si>
  <si>
    <t>B1250</t>
  </si>
  <si>
    <t>qhan</t>
  </si>
  <si>
    <t>soncr</t>
  </si>
  <si>
    <t>son</t>
  </si>
  <si>
    <t>LD tron</t>
  </si>
  <si>
    <t>03.1113</t>
  </si>
  <si>
    <t>KE185</t>
  </si>
  <si>
    <t>KE240</t>
  </si>
  <si>
    <t>atm250</t>
  </si>
  <si>
    <t>CS3.01.021</t>
  </si>
  <si>
    <t>B630</t>
  </si>
  <si>
    <t>KDAC150</t>
  </si>
  <si>
    <t>ATM100</t>
  </si>
  <si>
    <t>DTD3</t>
  </si>
  <si>
    <t>KDA150B</t>
  </si>
  <si>
    <t>KDA185B</t>
  </si>
  <si>
    <t xml:space="preserve">FCO 24KV - 200A </t>
  </si>
  <si>
    <t>GIP70-50</t>
  </si>
  <si>
    <t>GIP95-70</t>
  </si>
  <si>
    <t>ED.2005</t>
  </si>
  <si>
    <t>ED.3001</t>
  </si>
  <si>
    <t>X-20K</t>
  </si>
  <si>
    <t>X-24K</t>
  </si>
  <si>
    <t>X-20KL</t>
  </si>
  <si>
    <t>CL14-B</t>
  </si>
  <si>
    <t>CXX14-B</t>
  </si>
  <si>
    <t>stk160</t>
  </si>
  <si>
    <t>B1250TH</t>
  </si>
  <si>
    <t>TUPP</t>
  </si>
  <si>
    <t>NLON</t>
  </si>
  <si>
    <t>COS150</t>
  </si>
  <si>
    <t>COS240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</si>
  <si>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</si>
  <si>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</si>
  <si>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</si>
  <si>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</si>
  <si>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</si>
  <si>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</si>
  <si>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</si>
  <si>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</si>
  <si>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</si>
  <si>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</si>
  <si>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</si>
  <si>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</si>
  <si>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</si>
  <si>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</si>
  <si>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</si>
  <si>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</si>
  <si>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</si>
  <si>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Qu-CV4x16:</t>
  </si>
  <si>
    <t>Duplex 311</t>
  </si>
  <si>
    <t>Duplex 316</t>
  </si>
  <si>
    <t>KVRN90</t>
  </si>
  <si>
    <t>KVRT90</t>
  </si>
  <si>
    <t>M8ba</t>
  </si>
  <si>
    <t>M8bb</t>
  </si>
  <si>
    <t>gachong</t>
  </si>
  <si>
    <t>TR25</t>
  </si>
  <si>
    <t>La12</t>
  </si>
  <si>
    <t>atm75</t>
  </si>
  <si>
    <t>ON150</t>
  </si>
  <si>
    <t>k95</t>
  </si>
  <si>
    <t>c3/8</t>
  </si>
  <si>
    <t>TUAP1</t>
  </si>
  <si>
    <t>05.1102</t>
  </si>
  <si>
    <t>TUAP3</t>
  </si>
  <si>
    <t>CS1.02.013</t>
  </si>
  <si>
    <t>CS1.02.014</t>
  </si>
  <si>
    <t>3-DT</t>
  </si>
  <si>
    <t>CHI80K</t>
  </si>
  <si>
    <t>02.1451</t>
  </si>
  <si>
    <t>A150</t>
  </si>
  <si>
    <t>M12b-aa(hh)</t>
  </si>
  <si>
    <t>AVK3</t>
  </si>
  <si>
    <t>CHCOS300</t>
  </si>
  <si>
    <t>02.1362</t>
  </si>
  <si>
    <t>LXHN1</t>
  </si>
  <si>
    <t>KDA95</t>
  </si>
  <si>
    <t>VCCT3</t>
  </si>
  <si>
    <t>02.1393</t>
  </si>
  <si>
    <t>dcat</t>
  </si>
  <si>
    <t>B16350</t>
  </si>
  <si>
    <t>cos250</t>
  </si>
  <si>
    <t>giaTFCo</t>
  </si>
  <si>
    <t>XLPE216HT</t>
  </si>
  <si>
    <t>TL X-21K</t>
  </si>
  <si>
    <t>cut114</t>
  </si>
  <si>
    <t>TD75</t>
  </si>
  <si>
    <t>TD85</t>
  </si>
  <si>
    <t>axetylen</t>
  </si>
  <si>
    <t>lsd</t>
  </si>
  <si>
    <t>G-720</t>
  </si>
  <si>
    <t>Sl50</t>
  </si>
  <si>
    <t>BANGG</t>
  </si>
  <si>
    <t>B16150</t>
  </si>
  <si>
    <t>CUT4245</t>
  </si>
  <si>
    <t>xAtuti</t>
  </si>
  <si>
    <t>t84</t>
  </si>
  <si>
    <t>P</t>
  </si>
  <si>
    <t>1P</t>
  </si>
  <si>
    <t>VL</t>
  </si>
  <si>
    <t>NC</t>
  </si>
  <si>
    <t>MTC</t>
  </si>
  <si>
    <t>VCDA3</t>
  </si>
  <si>
    <t>PVC49</t>
  </si>
  <si>
    <t>Contactor 3P-125A</t>
  </si>
  <si>
    <t>XLPE240HT</t>
  </si>
  <si>
    <t>XLPE250HT</t>
  </si>
  <si>
    <t>abc4x50</t>
  </si>
  <si>
    <t>CD-Sonadezi</t>
  </si>
  <si>
    <t>cd-sonadezi</t>
  </si>
  <si>
    <t>GiacapTHT-10m</t>
  </si>
  <si>
    <t>giacapTHT-10m</t>
  </si>
  <si>
    <t>VCXM2</t>
  </si>
  <si>
    <t>02.1212</t>
  </si>
  <si>
    <t>VCXM3</t>
  </si>
  <si>
    <t>02.1213</t>
  </si>
  <si>
    <t>TUBU500</t>
  </si>
  <si>
    <t>XLPE50AC</t>
  </si>
  <si>
    <t>XLPE70AC</t>
  </si>
  <si>
    <t>XLPE95AC</t>
  </si>
  <si>
    <t>XLPE120AC</t>
  </si>
  <si>
    <t>XLPE150AC</t>
  </si>
  <si>
    <t>XLPE185AC</t>
  </si>
  <si>
    <t>XLPE240AC</t>
  </si>
  <si>
    <t>XLPE322HT</t>
  </si>
  <si>
    <t>XLPE325HT</t>
  </si>
  <si>
    <t>XLPE335HT</t>
  </si>
  <si>
    <t>XLPE316+8HT</t>
  </si>
  <si>
    <t>XLPE322+11HT</t>
  </si>
  <si>
    <t>XLPE350+25HT</t>
  </si>
  <si>
    <t>XLPE370+35HT</t>
  </si>
  <si>
    <t>XLPE3120+60HT</t>
  </si>
  <si>
    <t>XLPE3185+95HT</t>
  </si>
  <si>
    <t>XLPE3300D</t>
  </si>
  <si>
    <t xml:space="preserve">MNX12-4 </t>
  </si>
  <si>
    <t>VCCT1</t>
  </si>
  <si>
    <t>02.1391</t>
  </si>
  <si>
    <t>k150</t>
  </si>
  <si>
    <t>MT61A</t>
  </si>
  <si>
    <t>SXTg</t>
  </si>
  <si>
    <t>hopcap150</t>
  </si>
  <si>
    <t>hopcap50</t>
  </si>
  <si>
    <t>lbs 16</t>
  </si>
  <si>
    <t>LBFCO-24KV-200A</t>
  </si>
  <si>
    <t>CV240</t>
  </si>
  <si>
    <t>LXIt</t>
  </si>
  <si>
    <t>atm1600</t>
  </si>
  <si>
    <t>BMOC16250</t>
  </si>
  <si>
    <t>BMOC16300</t>
  </si>
  <si>
    <t>ACKP150</t>
  </si>
  <si>
    <t>A/XLPE/PVC/70</t>
  </si>
  <si>
    <t>SONCR</t>
  </si>
  <si>
    <t>m3</t>
  </si>
  <si>
    <t>GO</t>
  </si>
  <si>
    <t>DINH</t>
  </si>
  <si>
    <t>Recloser 24kV 630-800A</t>
  </si>
  <si>
    <t>TIMER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</si>
  <si>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</si>
  <si>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</si>
  <si>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</si>
  <si>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</si>
  <si>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</si>
  <si>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</si>
  <si>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</si>
  <si>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</si>
  <si>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</si>
  <si>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</si>
  <si>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NPVC21</t>
  </si>
  <si>
    <t>NT42</t>
  </si>
  <si>
    <t>ONGDH42</t>
  </si>
  <si>
    <t>XLPE120</t>
  </si>
  <si>
    <t>LBS 16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</si>
  <si>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</si>
  <si>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</si>
  <si>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</si>
  <si>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</si>
  <si>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</si>
  <si>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</si>
  <si>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</si>
  <si>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</si>
  <si>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KCUAL60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</si>
  <si>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</si>
  <si>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</si>
  <si>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</si>
  <si>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</si>
  <si>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</si>
  <si>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</si>
  <si>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</si>
  <si>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</si>
  <si>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</si>
  <si>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</si>
  <si>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</si>
  <si>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</si>
  <si>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Chieàu daøi daây coù tính ñoä voõng 1,02:</t>
  </si>
  <si>
    <t>b16300</t>
  </si>
  <si>
    <t>TI1000</t>
  </si>
  <si>
    <t>TI1200</t>
  </si>
  <si>
    <t>TI1600</t>
  </si>
  <si>
    <t>GIP95-35</t>
  </si>
  <si>
    <t>GIP120-35</t>
  </si>
  <si>
    <t>D1X2</t>
  </si>
  <si>
    <t>daucap95in</t>
  </si>
  <si>
    <t>C20mMB</t>
  </si>
  <si>
    <t>DMC3KTL</t>
  </si>
  <si>
    <t>03.3143</t>
  </si>
  <si>
    <t>LD15</t>
  </si>
  <si>
    <t>04.4001</t>
  </si>
  <si>
    <t>Ld15</t>
  </si>
  <si>
    <t>06.3231</t>
  </si>
  <si>
    <t>Laép Coå deâ giaèng truï</t>
  </si>
  <si>
    <t>VCDA2</t>
  </si>
  <si>
    <t>02.1452</t>
  </si>
  <si>
    <t>CVV4X2,5</t>
  </si>
  <si>
    <t>m</t>
  </si>
  <si>
    <t>MDAP4</t>
  </si>
  <si>
    <t>M</t>
  </si>
  <si>
    <t>B22700</t>
  </si>
  <si>
    <t>b22700</t>
  </si>
  <si>
    <t>VCTD1</t>
  </si>
  <si>
    <t>1x75 KVA</t>
  </si>
  <si>
    <t>1x100 KVA</t>
  </si>
  <si>
    <t>xlpe250ht</t>
  </si>
  <si>
    <t>CVV2X2,5</t>
  </si>
  <si>
    <t>AC70</t>
  </si>
  <si>
    <t>TR10001</t>
  </si>
  <si>
    <t>TUAP3-N</t>
  </si>
  <si>
    <t>tuap1</t>
  </si>
  <si>
    <t>ON35A</t>
  </si>
  <si>
    <t>D0x4</t>
  </si>
  <si>
    <t>XLPE3150d</t>
  </si>
  <si>
    <t>CD250</t>
  </si>
  <si>
    <t>K240</t>
  </si>
  <si>
    <t>K185</t>
  </si>
  <si>
    <t>K120</t>
  </si>
  <si>
    <t>KEOdan</t>
  </si>
  <si>
    <t>BANG</t>
  </si>
  <si>
    <t>Co 90</t>
  </si>
  <si>
    <t>KCNT18kg</t>
  </si>
  <si>
    <t>KCNT18kggia</t>
  </si>
  <si>
    <t>KCNT18kgGIA</t>
  </si>
  <si>
    <t>LDAUCAP85HT</t>
  </si>
  <si>
    <t>LDAUCAP300</t>
  </si>
  <si>
    <t xml:space="preserve">VL CHÍNH </t>
  </si>
  <si>
    <t>GCAP</t>
  </si>
  <si>
    <t>N-BTLT 8.4</t>
  </si>
  <si>
    <t>KQ4/0</t>
  </si>
  <si>
    <t>t20</t>
  </si>
  <si>
    <t>CX20-C</t>
  </si>
  <si>
    <t>BOCS</t>
  </si>
  <si>
    <t>BOCTH</t>
  </si>
  <si>
    <t>oxc25</t>
  </si>
  <si>
    <t>TI150</t>
  </si>
  <si>
    <t>km</t>
  </si>
  <si>
    <t>02.1442</t>
  </si>
  <si>
    <t>KDQD</t>
  </si>
  <si>
    <t>06.5051</t>
  </si>
  <si>
    <t>KDA70B</t>
  </si>
  <si>
    <t>ATM50</t>
  </si>
  <si>
    <t>ATM75</t>
  </si>
  <si>
    <t>X-22K - C920</t>
  </si>
  <si>
    <t>ke25</t>
  </si>
  <si>
    <t>KE25</t>
  </si>
  <si>
    <t>TI200</t>
  </si>
  <si>
    <t>02.1231</t>
  </si>
  <si>
    <t>02.1214</t>
  </si>
  <si>
    <t>NX</t>
  </si>
  <si>
    <t>CD142</t>
  </si>
  <si>
    <t>X-1,66K</t>
  </si>
  <si>
    <t>B16250v</t>
  </si>
  <si>
    <t>04.4201</t>
  </si>
  <si>
    <t>C20</t>
  </si>
  <si>
    <t>C10m</t>
  </si>
  <si>
    <t>XLPE300ht</t>
  </si>
  <si>
    <t>TuACB3200</t>
  </si>
  <si>
    <t>LPVC114cap</t>
  </si>
  <si>
    <t>LDAUCAP70tram</t>
  </si>
  <si>
    <t>03.2312a</t>
  </si>
  <si>
    <t>TR10001Vo</t>
  </si>
  <si>
    <t>05,3205</t>
  </si>
  <si>
    <t>KHUNG TU</t>
  </si>
  <si>
    <t>(TKBVTC)</t>
  </si>
  <si>
    <t>VCPK4</t>
  </si>
  <si>
    <t>TUBU135</t>
  </si>
  <si>
    <t>OXC240</t>
  </si>
  <si>
    <t>daucap240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</si>
  <si>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</si>
  <si>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</si>
  <si>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</si>
  <si>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</si>
  <si>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</si>
  <si>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</si>
  <si>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</si>
  <si>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</si>
  <si>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</si>
  <si>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GiacapTT-15m</t>
  </si>
  <si>
    <t>CHI100K</t>
  </si>
  <si>
    <t>B22850</t>
  </si>
  <si>
    <t>B30800</t>
  </si>
  <si>
    <t>B301000</t>
  </si>
  <si>
    <t>b22650</t>
  </si>
  <si>
    <t>VCC3</t>
  </si>
  <si>
    <t>02.1463</t>
  </si>
  <si>
    <t>CDXA</t>
  </si>
  <si>
    <t>B</t>
  </si>
  <si>
    <t>3x15KVA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</si>
  <si>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</si>
  <si>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</si>
  <si>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</si>
  <si>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</si>
  <si>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</si>
  <si>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</si>
  <si>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</si>
  <si>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</si>
  <si>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</si>
  <si>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</si>
  <si>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</si>
  <si>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</si>
  <si>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</si>
  <si>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</si>
  <si>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</si>
  <si>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</si>
  <si>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</si>
  <si>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</si>
  <si>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A/XLPE/PVC/240</t>
  </si>
  <si>
    <t>CDAO300</t>
  </si>
  <si>
    <t>DENHQ</t>
  </si>
  <si>
    <t>GiacapTT-6m</t>
  </si>
  <si>
    <t>CHCOS11</t>
  </si>
  <si>
    <t>KTDTBA</t>
  </si>
  <si>
    <t>ltruden</t>
  </si>
  <si>
    <t>ktdTBA</t>
  </si>
  <si>
    <t>DCTDTBA</t>
  </si>
  <si>
    <t>dctdtba</t>
  </si>
  <si>
    <t>(BCKTKT)</t>
  </si>
  <si>
    <t>%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</si>
  <si>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</si>
  <si>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</si>
  <si>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</si>
  <si>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</si>
  <si>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</si>
  <si>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</si>
  <si>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</si>
  <si>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</si>
  <si>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</si>
  <si>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</si>
  <si>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</si>
  <si>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</si>
  <si>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</si>
  <si>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</si>
  <si>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</si>
  <si>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</si>
  <si>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SON</t>
  </si>
  <si>
    <t>SN</t>
  </si>
  <si>
    <t>csd</t>
  </si>
  <si>
    <t>csdi</t>
  </si>
  <si>
    <t>ST</t>
  </si>
  <si>
    <t>TN37</t>
  </si>
  <si>
    <t>t75</t>
  </si>
  <si>
    <t>T105</t>
  </si>
  <si>
    <t>T12</t>
  </si>
  <si>
    <t>ABC4x150</t>
  </si>
  <si>
    <t>STT</t>
  </si>
  <si>
    <t>tubu800</t>
  </si>
  <si>
    <t>TUBU800</t>
  </si>
  <si>
    <t>3x25KVA</t>
  </si>
  <si>
    <t>3x37,5KVA</t>
  </si>
  <si>
    <t>BT</t>
  </si>
  <si>
    <t>Bitum</t>
  </si>
  <si>
    <t>CDDON+C</t>
  </si>
  <si>
    <t>CDDOI+C</t>
  </si>
  <si>
    <t>AC150</t>
  </si>
  <si>
    <t>Thept4</t>
  </si>
  <si>
    <t>TR560</t>
  </si>
  <si>
    <t>BOCXI</t>
  </si>
  <si>
    <t>COS38</t>
  </si>
  <si>
    <t>VCS3</t>
  </si>
  <si>
    <t>VCXM4</t>
  </si>
  <si>
    <t>BTLT 12 TC</t>
  </si>
  <si>
    <t>LTD 1P 24KV - 800A</t>
  </si>
  <si>
    <t>LPVC</t>
  </si>
  <si>
    <t>DS1PDD</t>
  </si>
  <si>
    <t>DS3PDD</t>
  </si>
  <si>
    <t>BTNN-TL min</t>
  </si>
  <si>
    <t>LXIn</t>
  </si>
  <si>
    <t>Lr4</t>
  </si>
  <si>
    <t>fco100-15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</si>
  <si>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</si>
  <si>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</si>
  <si>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</si>
  <si>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</si>
  <si>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</si>
  <si>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</si>
  <si>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</si>
  <si>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</si>
  <si>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GACHTAU</t>
  </si>
  <si>
    <t>AH2120</t>
  </si>
  <si>
    <t>kvrt140</t>
  </si>
  <si>
    <t>kvrn140</t>
  </si>
  <si>
    <t>II</t>
  </si>
  <si>
    <t>CUT60135</t>
  </si>
  <si>
    <t>Cos2,5</t>
  </si>
  <si>
    <t>TR1001</t>
  </si>
  <si>
    <t>10K</t>
  </si>
  <si>
    <t>15K</t>
  </si>
  <si>
    <t>20K</t>
  </si>
  <si>
    <t>25K</t>
  </si>
  <si>
    <t>30K</t>
  </si>
  <si>
    <t>40K</t>
  </si>
  <si>
    <t>50K</t>
  </si>
  <si>
    <t>65K</t>
  </si>
  <si>
    <t>100K</t>
  </si>
  <si>
    <t>140K</t>
  </si>
  <si>
    <t>07.4314</t>
  </si>
  <si>
    <t>KDA240B</t>
  </si>
  <si>
    <t>G-740</t>
  </si>
  <si>
    <t>acv35</t>
  </si>
  <si>
    <t>VCDN3</t>
  </si>
  <si>
    <t>AC120</t>
  </si>
  <si>
    <t>AC35</t>
  </si>
  <si>
    <t>CHI50K</t>
  </si>
  <si>
    <t>ATM600</t>
  </si>
  <si>
    <t>GNIU</t>
  </si>
  <si>
    <t>03.1101</t>
  </si>
  <si>
    <t>TDMT</t>
  </si>
  <si>
    <t>COSe25</t>
  </si>
  <si>
    <t>MTUCS</t>
  </si>
  <si>
    <t>CTD+k</t>
  </si>
  <si>
    <t>batli</t>
  </si>
  <si>
    <t>07.4102</t>
  </si>
  <si>
    <t>CHI10K</t>
  </si>
  <si>
    <t>S2.118</t>
  </si>
  <si>
    <t>ABC4x50</t>
  </si>
  <si>
    <t>ABC4x70</t>
  </si>
  <si>
    <t>ABC4x95</t>
  </si>
  <si>
    <t>ABC4x120</t>
  </si>
  <si>
    <t>GIP95-50</t>
  </si>
  <si>
    <t>GIP120-50</t>
  </si>
  <si>
    <t>06.5052</t>
  </si>
  <si>
    <t>CHI20K</t>
  </si>
  <si>
    <t>CSL</t>
  </si>
  <si>
    <t>TR160</t>
  </si>
  <si>
    <t>TR1601</t>
  </si>
  <si>
    <t>TUAP3L</t>
  </si>
  <si>
    <t>Stply</t>
  </si>
  <si>
    <t>LCHSNply</t>
  </si>
  <si>
    <t>CTD+K</t>
  </si>
  <si>
    <t>KDA95B</t>
  </si>
  <si>
    <t>KEU95</t>
  </si>
  <si>
    <t>C8m</t>
  </si>
  <si>
    <t>02.1434</t>
  </si>
  <si>
    <t>VCX1</t>
  </si>
  <si>
    <t>02.1361</t>
  </si>
  <si>
    <t>VCX2</t>
  </si>
  <si>
    <t>Stply-HT</t>
  </si>
  <si>
    <t>stply-ht</t>
  </si>
  <si>
    <t>FCO 24kV 100A</t>
  </si>
  <si>
    <t>KDA50B</t>
  </si>
  <si>
    <t>LR3</t>
  </si>
  <si>
    <t>MDDA2</t>
  </si>
  <si>
    <t>bangnhua</t>
  </si>
  <si>
    <t>DT</t>
  </si>
  <si>
    <t>GIP95-95</t>
  </si>
  <si>
    <t>GIP70-70</t>
  </si>
  <si>
    <t>LSD</t>
  </si>
  <si>
    <t>LCSD</t>
  </si>
  <si>
    <t>LCHSD</t>
  </si>
  <si>
    <t>LCHSN</t>
  </si>
  <si>
    <t xml:space="preserve">DS 1P - 24KV - 600A </t>
  </si>
  <si>
    <t>atn250</t>
  </si>
  <si>
    <t>CV151</t>
  </si>
  <si>
    <t>CV96</t>
  </si>
  <si>
    <t>CV152</t>
  </si>
  <si>
    <t>CV97</t>
  </si>
  <si>
    <t>CV153</t>
  </si>
  <si>
    <t>CV98</t>
  </si>
  <si>
    <t>CV154</t>
  </si>
  <si>
    <t>CV99</t>
  </si>
  <si>
    <t>LDAUCAP70</t>
  </si>
  <si>
    <t>TUBU380</t>
  </si>
  <si>
    <t>b16350v</t>
  </si>
  <si>
    <t>Trụ</t>
  </si>
  <si>
    <t>B1260TH</t>
  </si>
  <si>
    <t>PD</t>
  </si>
  <si>
    <t>2T</t>
  </si>
  <si>
    <t>2Ta</t>
  </si>
  <si>
    <t>3N</t>
  </si>
  <si>
    <t>T38_L</t>
  </si>
  <si>
    <t>G3</t>
  </si>
  <si>
    <t>G4</t>
  </si>
  <si>
    <t>G5</t>
  </si>
  <si>
    <t>G6</t>
  </si>
  <si>
    <t>LcapdongTB95</t>
  </si>
  <si>
    <t>LcapdongTB150</t>
  </si>
  <si>
    <t>GiacapTT-8m</t>
  </si>
  <si>
    <t>GTMBA25</t>
  </si>
  <si>
    <t>SD35</t>
  </si>
  <si>
    <t>BNH</t>
  </si>
  <si>
    <t>XATUTI</t>
  </si>
  <si>
    <t>CHI8K</t>
  </si>
  <si>
    <t>daucap185in</t>
  </si>
  <si>
    <t>OXC2/0</t>
  </si>
  <si>
    <t>KD50</t>
  </si>
  <si>
    <t>TUBU400</t>
  </si>
  <si>
    <t>LXItl</t>
  </si>
  <si>
    <t>Cd114T</t>
  </si>
  <si>
    <t>CDDOI</t>
  </si>
  <si>
    <t>CDDON</t>
  </si>
  <si>
    <t>KDM50</t>
  </si>
  <si>
    <t>KDM70</t>
  </si>
  <si>
    <t>CV155</t>
  </si>
  <si>
    <t>CV100</t>
  </si>
  <si>
    <t>CV156</t>
  </si>
  <si>
    <t>CV101</t>
  </si>
  <si>
    <t>CV157</t>
  </si>
  <si>
    <t>CV102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</si>
  <si>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</si>
  <si>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</si>
  <si>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</si>
  <si>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</si>
  <si>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</si>
  <si>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</si>
  <si>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</si>
  <si>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</si>
  <si>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</si>
  <si>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</si>
  <si>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</si>
  <si>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</si>
  <si>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LSTK100</t>
  </si>
  <si>
    <t>ldaucap70ht</t>
  </si>
  <si>
    <t>03.7000</t>
  </si>
  <si>
    <t>CHCOS35</t>
  </si>
  <si>
    <t>HT86</t>
  </si>
  <si>
    <t>06.2070</t>
  </si>
  <si>
    <t>ATM250</t>
  </si>
  <si>
    <t>AP250</t>
  </si>
  <si>
    <t>KEODAN</t>
  </si>
  <si>
    <t>lxiTL</t>
  </si>
  <si>
    <t>ACB2000</t>
  </si>
  <si>
    <t>btnn</t>
  </si>
  <si>
    <t>TRTHEP6</t>
  </si>
  <si>
    <t>COS35</t>
  </si>
  <si>
    <t>lpvc90cl</t>
  </si>
  <si>
    <t>ktdtba</t>
  </si>
  <si>
    <t>STply</t>
  </si>
  <si>
    <t>S40</t>
  </si>
  <si>
    <t>XLPE185A</t>
  </si>
  <si>
    <t>XLPE150A</t>
  </si>
  <si>
    <t>M25</t>
  </si>
  <si>
    <t>AV50</t>
  </si>
  <si>
    <t>K150</t>
  </si>
  <si>
    <t>Goàm  coù:</t>
  </si>
  <si>
    <t>chcos50</t>
  </si>
  <si>
    <t>KEOBIT</t>
  </si>
  <si>
    <t>K50</t>
  </si>
  <si>
    <t>DDHTDL</t>
  </si>
  <si>
    <t>LA 18kV 10kA</t>
  </si>
  <si>
    <t>LA 12kV 10kA</t>
  </si>
  <si>
    <t>CODE th-Þ240</t>
  </si>
  <si>
    <t>VCD1</t>
  </si>
  <si>
    <t>02.1441</t>
  </si>
  <si>
    <t>4 Loä</t>
  </si>
  <si>
    <t>KVRN42</t>
  </si>
  <si>
    <t>ATM630</t>
  </si>
  <si>
    <t>Chuû ñaàu tö caáp</t>
  </si>
  <si>
    <t>LPVC114CL</t>
  </si>
  <si>
    <t>XLPE316HT</t>
  </si>
  <si>
    <t>LSTK70</t>
  </si>
  <si>
    <t>S1008</t>
  </si>
  <si>
    <t xml:space="preserve">Caùp ñoàng traàn M-25 : </t>
  </si>
  <si>
    <t>DL-3P</t>
  </si>
  <si>
    <t>Toång DL</t>
  </si>
  <si>
    <t>Toång SL</t>
  </si>
  <si>
    <t>OXC120</t>
  </si>
  <si>
    <t>LCHSN3</t>
  </si>
  <si>
    <t>06.1521</t>
  </si>
  <si>
    <t>1x15 KVA</t>
  </si>
  <si>
    <t>1x25 KVA</t>
  </si>
  <si>
    <t>1x37,5 KVA</t>
  </si>
  <si>
    <t>1x50 KVA</t>
  </si>
  <si>
    <t>TUACB4000</t>
  </si>
  <si>
    <t>05.6101</t>
  </si>
  <si>
    <t>CHI65K</t>
  </si>
  <si>
    <t>TR1250</t>
  </si>
  <si>
    <t>Löôùi tieáp ñòa</t>
  </si>
  <si>
    <t>1P_37,5KVA</t>
  </si>
  <si>
    <t>ATM80</t>
  </si>
  <si>
    <t>K-Fe</t>
  </si>
  <si>
    <t>USD</t>
  </si>
  <si>
    <t>Euro</t>
  </si>
  <si>
    <t>TUTC LBS</t>
  </si>
  <si>
    <t>tu LBS</t>
  </si>
  <si>
    <t>tutc LBS</t>
  </si>
  <si>
    <t>SDTC</t>
  </si>
  <si>
    <t>KN70</t>
  </si>
  <si>
    <t>GiacapHT-3m</t>
  </si>
  <si>
    <t>t105</t>
  </si>
  <si>
    <t>mdd3</t>
  </si>
  <si>
    <t>02.1461</t>
  </si>
  <si>
    <t>VCC2</t>
  </si>
  <si>
    <t>02.1462</t>
  </si>
  <si>
    <t>02.1464</t>
  </si>
  <si>
    <t xml:space="preserve">MNX15-4 </t>
  </si>
  <si>
    <t>cv300</t>
  </si>
  <si>
    <t>B1640</t>
  </si>
  <si>
    <t>CHCOS50</t>
  </si>
  <si>
    <t>TR20001</t>
  </si>
  <si>
    <t>kvrt90</t>
  </si>
  <si>
    <t>kvrn90</t>
  </si>
  <si>
    <t>B16250</t>
  </si>
  <si>
    <t>B16300</t>
  </si>
  <si>
    <t>VCCAT1</t>
  </si>
  <si>
    <t>C105m</t>
  </si>
  <si>
    <t>TBDD3p1m</t>
  </si>
  <si>
    <t>b1240th</t>
  </si>
  <si>
    <t>Contactor 3P-50A</t>
  </si>
  <si>
    <t>VCNX1</t>
  </si>
  <si>
    <t>VCNX2</t>
  </si>
  <si>
    <t>VCNX3</t>
  </si>
  <si>
    <t>VCNX4</t>
  </si>
  <si>
    <t>GiacapTT-2m</t>
  </si>
  <si>
    <t>OXCth</t>
  </si>
  <si>
    <t>X-28KP</t>
  </si>
  <si>
    <t>t14</t>
  </si>
  <si>
    <t>r1</t>
  </si>
  <si>
    <t>VT</t>
  </si>
  <si>
    <t>bnh</t>
  </si>
  <si>
    <t>cv240</t>
  </si>
  <si>
    <t>LBS treo</t>
  </si>
  <si>
    <t>TN2224</t>
  </si>
  <si>
    <t>B16400V</t>
  </si>
  <si>
    <t>ONGDH114</t>
  </si>
  <si>
    <t>KN240</t>
  </si>
  <si>
    <t>KN185</t>
  </si>
  <si>
    <t>acv150</t>
  </si>
  <si>
    <t>acv185</t>
  </si>
  <si>
    <t>acv240</t>
  </si>
  <si>
    <t>ON185A</t>
  </si>
  <si>
    <t>av50</t>
  </si>
  <si>
    <t>av70</t>
  </si>
  <si>
    <t>OXC185</t>
  </si>
  <si>
    <t>AP150</t>
  </si>
  <si>
    <t>VCDN4</t>
  </si>
  <si>
    <t>TI15</t>
  </si>
  <si>
    <t>TI250</t>
  </si>
  <si>
    <t>05.1101</t>
  </si>
  <si>
    <t>KH350M</t>
  </si>
  <si>
    <t>MOCDUNG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</si>
  <si>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</si>
  <si>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</si>
  <si>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</si>
  <si>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</si>
  <si>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</si>
  <si>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</si>
  <si>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</si>
  <si>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</si>
  <si>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</si>
  <si>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</si>
  <si>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BATLI</t>
  </si>
  <si>
    <t>DDHTHH</t>
  </si>
  <si>
    <t>cv120</t>
  </si>
  <si>
    <t>cv150</t>
  </si>
  <si>
    <t>GiacapHT-1m</t>
  </si>
  <si>
    <t>GiacapHT-2m</t>
  </si>
  <si>
    <t>TR1600</t>
  </si>
  <si>
    <t>TR16001</t>
  </si>
  <si>
    <t>ACB4000-130</t>
  </si>
  <si>
    <t>TRTHEP7</t>
  </si>
  <si>
    <t>lon</t>
  </si>
  <si>
    <t>COSE16</t>
  </si>
  <si>
    <t>MDD31</t>
  </si>
  <si>
    <t>cvv4x2,5</t>
  </si>
  <si>
    <t>LXID</t>
  </si>
  <si>
    <t>LXIDL</t>
  </si>
  <si>
    <t>05.6301</t>
  </si>
  <si>
    <t>05.6302</t>
  </si>
  <si>
    <t>KVRN140</t>
  </si>
  <si>
    <t>XLPE3120d</t>
  </si>
  <si>
    <t>PVC200</t>
  </si>
  <si>
    <t>g</t>
  </si>
  <si>
    <t>k</t>
  </si>
  <si>
    <t>KDAC120</t>
  </si>
  <si>
    <t>KDAC185</t>
  </si>
  <si>
    <t>02.1424</t>
  </si>
  <si>
    <t>tudkcs</t>
  </si>
  <si>
    <t>CHI25K</t>
  </si>
  <si>
    <t>CHI12K</t>
  </si>
  <si>
    <t>CHI15K</t>
  </si>
  <si>
    <t>CHI30K</t>
  </si>
  <si>
    <t>CHI40K</t>
  </si>
  <si>
    <t>TR250</t>
  </si>
  <si>
    <t>02.1294</t>
  </si>
  <si>
    <t>VCCAT1D</t>
  </si>
  <si>
    <t>021221</t>
  </si>
  <si>
    <t>lcapdongTB150</t>
  </si>
  <si>
    <t>LXINN</t>
  </si>
  <si>
    <t>TI75</t>
  </si>
  <si>
    <t>AVK1</t>
  </si>
  <si>
    <t>T20</t>
  </si>
  <si>
    <t>NB.1710</t>
  </si>
  <si>
    <t>06.7002</t>
  </si>
  <si>
    <t>06.7001</t>
  </si>
  <si>
    <t>av150</t>
  </si>
  <si>
    <t>R1</t>
  </si>
  <si>
    <t>daucap240in</t>
  </si>
  <si>
    <t>cv400</t>
  </si>
  <si>
    <t>T CX12-B</t>
  </si>
  <si>
    <t>CUT168</t>
  </si>
  <si>
    <t>cdtru140</t>
  </si>
  <si>
    <t>Cos50</t>
  </si>
  <si>
    <t>daucap120</t>
  </si>
  <si>
    <t>CX20-B</t>
  </si>
  <si>
    <t>cose240</t>
  </si>
  <si>
    <t>XLPE95</t>
  </si>
  <si>
    <t>KCN2kg</t>
  </si>
  <si>
    <t>KCN3kg</t>
  </si>
  <si>
    <t>KCN4kg</t>
  </si>
  <si>
    <t>TDTT20</t>
  </si>
  <si>
    <t>B1260</t>
  </si>
  <si>
    <t>B1450</t>
  </si>
  <si>
    <t>MDD21</t>
  </si>
  <si>
    <t>TI800</t>
  </si>
  <si>
    <t>TI1005</t>
  </si>
  <si>
    <t>TI1255</t>
  </si>
  <si>
    <t xml:space="preserve">MNX15-6 </t>
  </si>
  <si>
    <t xml:space="preserve">MNX18-6 </t>
  </si>
  <si>
    <t>TN1618</t>
  </si>
  <si>
    <t>TUBU750</t>
  </si>
  <si>
    <t>1P_15KVA</t>
  </si>
  <si>
    <t>1P_25KVA</t>
  </si>
  <si>
    <t>1P_50KVA</t>
  </si>
  <si>
    <t>1P_75KVA</t>
  </si>
  <si>
    <t>1P_100KVA</t>
  </si>
  <si>
    <t>05.2102</t>
  </si>
  <si>
    <t>VCX3</t>
  </si>
  <si>
    <t>DK3p50(100)A</t>
  </si>
  <si>
    <t>MDD4</t>
  </si>
  <si>
    <t>daucap185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</si>
  <si>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</si>
  <si>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</si>
  <si>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</si>
  <si>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</si>
  <si>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</si>
  <si>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</si>
  <si>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</si>
  <si>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</si>
  <si>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</si>
  <si>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</si>
  <si>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CV16</t>
  </si>
  <si>
    <t>4CV16:</t>
  </si>
  <si>
    <t>KN120</t>
  </si>
  <si>
    <t>ON95</t>
  </si>
  <si>
    <t>ON50B</t>
  </si>
  <si>
    <t>La18</t>
  </si>
  <si>
    <t>TR50</t>
  </si>
  <si>
    <t>TBHT</t>
  </si>
  <si>
    <t>DK3P</t>
  </si>
  <si>
    <t>VCS4</t>
  </si>
  <si>
    <t>tupp</t>
  </si>
  <si>
    <t>ATM100A</t>
  </si>
  <si>
    <t>ATM125</t>
  </si>
  <si>
    <t>Denbao</t>
  </si>
  <si>
    <t>TR2500</t>
  </si>
  <si>
    <t>TR3000</t>
  </si>
  <si>
    <t>TR4000</t>
  </si>
  <si>
    <t>Ty neo Þ22x3000</t>
  </si>
  <si>
    <t>Ty neo Þ22x3700</t>
  </si>
  <si>
    <t>3K</t>
  </si>
  <si>
    <t>GIP35-35</t>
  </si>
  <si>
    <t>VCTD2</t>
  </si>
  <si>
    <t>2LG</t>
  </si>
  <si>
    <t>2L</t>
  </si>
  <si>
    <t>Cd140T</t>
  </si>
  <si>
    <t>LCAN3,2</t>
  </si>
  <si>
    <t>CS3.03.012</t>
  </si>
  <si>
    <t>denbao</t>
  </si>
  <si>
    <t>tc430</t>
  </si>
  <si>
    <t>tc420</t>
  </si>
  <si>
    <t>TC430</t>
  </si>
  <si>
    <t>TC420</t>
  </si>
  <si>
    <t>BM16250</t>
  </si>
  <si>
    <t>OXC25</t>
  </si>
  <si>
    <t>OXC38</t>
  </si>
  <si>
    <t>LX22K</t>
  </si>
  <si>
    <t>LX22D</t>
  </si>
  <si>
    <t>TUDKCS</t>
  </si>
  <si>
    <t>BTLT 12 HH</t>
  </si>
  <si>
    <t>CD320</t>
  </si>
  <si>
    <t>DEN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</si>
  <si>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</si>
  <si>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</si>
  <si>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</si>
  <si>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</si>
  <si>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</si>
  <si>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</si>
  <si>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</si>
  <si>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</si>
  <si>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</si>
  <si>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LDN4</t>
  </si>
  <si>
    <t>CL</t>
  </si>
  <si>
    <t>cv200</t>
  </si>
  <si>
    <t>COSe200</t>
  </si>
  <si>
    <t>02.1485</t>
  </si>
  <si>
    <t>D2X4</t>
  </si>
  <si>
    <t>Hopcap240</t>
  </si>
  <si>
    <t>G</t>
  </si>
  <si>
    <t>C10</t>
  </si>
  <si>
    <t>MNX12-4</t>
  </si>
  <si>
    <t>VCD2</t>
  </si>
  <si>
    <t>CUT114T</t>
  </si>
  <si>
    <t>03.1102</t>
  </si>
  <si>
    <t>X-20KL2/3</t>
  </si>
  <si>
    <t>KVRT42</t>
  </si>
  <si>
    <t>GIP50-35</t>
  </si>
  <si>
    <t>GIP22-22</t>
  </si>
  <si>
    <t>GIP22-11</t>
  </si>
  <si>
    <t>thepb</t>
  </si>
  <si>
    <t>daucap95</t>
  </si>
  <si>
    <t>stk114</t>
  </si>
  <si>
    <t>LR2</t>
  </si>
  <si>
    <t>xm</t>
  </si>
  <si>
    <t>dbt20012</t>
  </si>
  <si>
    <t>ATM800</t>
  </si>
  <si>
    <t>ATM1000</t>
  </si>
  <si>
    <t>CUT60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</si>
  <si>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</si>
  <si>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</si>
  <si>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</si>
  <si>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</si>
  <si>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</si>
  <si>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</si>
  <si>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</si>
  <si>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</si>
  <si>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</si>
  <si>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CL14-C</t>
  </si>
  <si>
    <t>ON70A</t>
  </si>
  <si>
    <t>ON95A</t>
  </si>
  <si>
    <t>C</t>
  </si>
  <si>
    <t>cd21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</si>
  <si>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</si>
  <si>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</si>
  <si>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</si>
  <si>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</si>
  <si>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</si>
  <si>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</si>
  <si>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</si>
  <si>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</si>
  <si>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T</t>
  </si>
  <si>
    <t>ST120</t>
  </si>
  <si>
    <t>DMongCS</t>
  </si>
  <si>
    <t>PU</t>
  </si>
  <si>
    <t>Puli</t>
  </si>
  <si>
    <t>TI60</t>
  </si>
  <si>
    <t>XLPE120A</t>
  </si>
  <si>
    <t>I-DT</t>
  </si>
  <si>
    <t>A70</t>
  </si>
  <si>
    <t>A95</t>
  </si>
  <si>
    <t>A120</t>
  </si>
  <si>
    <t>KDAC240</t>
  </si>
  <si>
    <t>CLHT</t>
  </si>
  <si>
    <t>A</t>
  </si>
  <si>
    <t>03.1404</t>
  </si>
  <si>
    <t>03.1405</t>
  </si>
  <si>
    <t>b12150</t>
  </si>
  <si>
    <t>KDM50b</t>
  </si>
  <si>
    <t>KDM50B</t>
  </si>
  <si>
    <t>KDAC70</t>
  </si>
  <si>
    <t>VCCT2</t>
  </si>
  <si>
    <t>AK1</t>
  </si>
  <si>
    <t>VK1</t>
  </si>
  <si>
    <t>atm100</t>
  </si>
  <si>
    <t>TI50</t>
  </si>
  <si>
    <t>Cd42T</t>
  </si>
  <si>
    <t>CD42t</t>
  </si>
  <si>
    <t>T CL-ht</t>
  </si>
  <si>
    <t>tubu500</t>
  </si>
  <si>
    <t>TuACB2000</t>
  </si>
  <si>
    <t>BOCPK</t>
  </si>
  <si>
    <t>DN0415</t>
  </si>
  <si>
    <t>DN0615</t>
  </si>
  <si>
    <t>LDN0212</t>
  </si>
  <si>
    <t>LDN0412</t>
  </si>
  <si>
    <t>LDN0415</t>
  </si>
  <si>
    <t>LDN0615</t>
  </si>
  <si>
    <t>KCN6kg</t>
  </si>
  <si>
    <t>KCN7kg</t>
  </si>
  <si>
    <t>lsd35</t>
  </si>
  <si>
    <t>b16350</t>
  </si>
  <si>
    <t>G2</t>
  </si>
  <si>
    <t>BTNN min</t>
  </si>
  <si>
    <t>CD5x50</t>
  </si>
  <si>
    <t>TBDD3pct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</si>
  <si>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</si>
  <si>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</si>
  <si>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</si>
  <si>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</si>
  <si>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</si>
  <si>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</si>
  <si>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</si>
  <si>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</si>
  <si>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</si>
  <si>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LCT18</t>
  </si>
  <si>
    <t>kn240</t>
  </si>
  <si>
    <t>CT5</t>
  </si>
  <si>
    <t>M22</t>
  </si>
  <si>
    <t>kg</t>
  </si>
  <si>
    <t>R2</t>
  </si>
  <si>
    <t>CD5X50</t>
  </si>
  <si>
    <t>BAKE</t>
  </si>
  <si>
    <t>thept2</t>
  </si>
  <si>
    <t>atm1000</t>
  </si>
  <si>
    <t>tubu220</t>
  </si>
  <si>
    <t>acv50</t>
  </si>
  <si>
    <t>KDA70</t>
  </si>
  <si>
    <t>2G</t>
  </si>
  <si>
    <t>BAKE6200</t>
  </si>
  <si>
    <t>stk140</t>
  </si>
  <si>
    <t>M15</t>
  </si>
  <si>
    <t>CT3</t>
  </si>
  <si>
    <t>BOCCAT</t>
  </si>
  <si>
    <t>BOCDA</t>
  </si>
  <si>
    <t>SL40</t>
  </si>
  <si>
    <t>C12</t>
  </si>
  <si>
    <t>III</t>
  </si>
  <si>
    <t>CUT42</t>
  </si>
  <si>
    <t>ACXV150</t>
  </si>
  <si>
    <t>Cos150</t>
  </si>
  <si>
    <t>CXV3x16:</t>
  </si>
  <si>
    <t>OXC70</t>
  </si>
  <si>
    <t>Nth-U</t>
  </si>
  <si>
    <t>Nth-T</t>
  </si>
  <si>
    <t>DDMongCS3</t>
  </si>
  <si>
    <t>DCatMongCS</t>
  </si>
  <si>
    <t>LCT&gt;18</t>
  </si>
  <si>
    <t>CX14-C</t>
  </si>
  <si>
    <t>CXX14-C</t>
  </si>
  <si>
    <t>TR1801</t>
  </si>
  <si>
    <t>TR180</t>
  </si>
  <si>
    <t>03.3104</t>
  </si>
  <si>
    <t>giacapHT-3m</t>
  </si>
  <si>
    <t>LBS SF6 3pha 24kV 630A - 16kA</t>
  </si>
  <si>
    <t>VCCAT3d</t>
  </si>
  <si>
    <t>021223</t>
  </si>
  <si>
    <t>LSTK120D CS</t>
  </si>
  <si>
    <t>lgach CS</t>
  </si>
  <si>
    <t>TUBU80</t>
  </si>
  <si>
    <t>TUBU130</t>
  </si>
  <si>
    <t>VCS1</t>
  </si>
  <si>
    <t>07.2204</t>
  </si>
  <si>
    <t>LCL</t>
  </si>
  <si>
    <t>LDN6</t>
  </si>
  <si>
    <t>IV</t>
  </si>
  <si>
    <t>CV50</t>
  </si>
  <si>
    <t>CV95</t>
  </si>
  <si>
    <t>gachthe</t>
  </si>
  <si>
    <t>07.2104</t>
  </si>
  <si>
    <t>03.1104</t>
  </si>
  <si>
    <t>KVRT114</t>
  </si>
  <si>
    <t>KVRN114</t>
  </si>
  <si>
    <t>CL-ht</t>
  </si>
  <si>
    <t>CX-ht</t>
  </si>
  <si>
    <t>Cdeoptru</t>
  </si>
  <si>
    <t>so10</t>
  </si>
  <si>
    <t>kem</t>
  </si>
  <si>
    <t>lct10</t>
  </si>
  <si>
    <t>XLPE211HT</t>
  </si>
  <si>
    <t>XLPE416HT</t>
  </si>
  <si>
    <t>atm40a</t>
  </si>
  <si>
    <t>TDLLT</t>
  </si>
  <si>
    <t>TDLLTE</t>
  </si>
  <si>
    <t>TDTB</t>
  </si>
  <si>
    <t>b1240</t>
  </si>
  <si>
    <t>LGIA</t>
  </si>
  <si>
    <t>3AV50+AC50</t>
  </si>
  <si>
    <t>sl75</t>
  </si>
  <si>
    <t>GIP50-50</t>
  </si>
  <si>
    <t xml:space="preserve">MTREO </t>
  </si>
  <si>
    <t>C20m</t>
  </si>
  <si>
    <t>TR37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</si>
  <si>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</si>
  <si>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</si>
  <si>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</si>
  <si>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</si>
  <si>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</si>
  <si>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</si>
  <si>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</si>
  <si>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</si>
  <si>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VCCT8</t>
  </si>
  <si>
    <t>02.1414</t>
  </si>
  <si>
    <t>VCDAT4</t>
  </si>
  <si>
    <t>XLPE250</t>
  </si>
  <si>
    <t>04.5101</t>
  </si>
  <si>
    <t>07.4103</t>
  </si>
  <si>
    <t>MDD3</t>
  </si>
  <si>
    <t>SL32</t>
  </si>
  <si>
    <t>sl32</t>
  </si>
  <si>
    <t>ACB1600</t>
  </si>
  <si>
    <t>Ty neo Þ16x1800</t>
  </si>
  <si>
    <t>Ty neo Þ16x2400</t>
  </si>
  <si>
    <t>Ty neo Þ18x2400</t>
  </si>
  <si>
    <t>Ty neo Þ22x2400</t>
  </si>
  <si>
    <t>ABC3x50</t>
  </si>
  <si>
    <t>ABC3x70</t>
  </si>
  <si>
    <t>TUMCCB1P-T</t>
  </si>
  <si>
    <t>TUMCCB3P-T</t>
  </si>
  <si>
    <t>daucap150</t>
  </si>
  <si>
    <t>CD146a</t>
  </si>
  <si>
    <t>TR15001</t>
  </si>
  <si>
    <t>LDAUCAP70HT</t>
  </si>
  <si>
    <t>CDAO250</t>
  </si>
  <si>
    <t>KDM35</t>
  </si>
  <si>
    <t>CD114TK</t>
  </si>
  <si>
    <t>Recloser 24kV 630A</t>
  </si>
  <si>
    <t>keodan</t>
  </si>
  <si>
    <t>07.2302</t>
  </si>
  <si>
    <t>tuDKCS</t>
  </si>
  <si>
    <t>ACKP120</t>
  </si>
  <si>
    <t>ACKP35</t>
  </si>
  <si>
    <t>KDM95</t>
  </si>
  <si>
    <t>06.6146</t>
  </si>
  <si>
    <t>KN35</t>
  </si>
  <si>
    <t>b16250</t>
  </si>
  <si>
    <t>b1650</t>
  </si>
  <si>
    <t>b16550v</t>
  </si>
  <si>
    <t>VCTD3</t>
  </si>
  <si>
    <t>LA12</t>
  </si>
  <si>
    <t>LXHN2</t>
  </si>
  <si>
    <t>B16350V</t>
  </si>
  <si>
    <t>CHI5</t>
  </si>
  <si>
    <t>LCHI</t>
  </si>
  <si>
    <t>LBAKE</t>
  </si>
  <si>
    <t>C14m</t>
  </si>
  <si>
    <t>4x50</t>
  </si>
  <si>
    <t>4x70</t>
  </si>
  <si>
    <t>4x35</t>
  </si>
  <si>
    <t>Duplex 216</t>
  </si>
  <si>
    <t>Duplex 416</t>
  </si>
  <si>
    <t>TD85ABC</t>
  </si>
  <si>
    <t>keobit</t>
  </si>
  <si>
    <t>XLPE200HT</t>
  </si>
  <si>
    <t>CVV2,5:</t>
  </si>
  <si>
    <t>CVV2x2,5</t>
  </si>
  <si>
    <t>LCT10</t>
  </si>
  <si>
    <t>LDVANK</t>
  </si>
  <si>
    <t>TU LBS</t>
  </si>
  <si>
    <t>M10</t>
  </si>
  <si>
    <t>ke120</t>
  </si>
  <si>
    <t>ke185</t>
  </si>
  <si>
    <t>GCST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</si>
  <si>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</si>
  <si>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</si>
  <si>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</si>
  <si>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</si>
  <si>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</si>
  <si>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</si>
  <si>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</si>
  <si>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</si>
  <si>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AXV240</t>
  </si>
  <si>
    <t>AXV185</t>
  </si>
  <si>
    <t>AXV150</t>
  </si>
  <si>
    <t>AXV120</t>
  </si>
  <si>
    <t>AXV95</t>
  </si>
  <si>
    <t>AXV50</t>
  </si>
  <si>
    <t>AXV70</t>
  </si>
  <si>
    <t>CXV50</t>
  </si>
  <si>
    <t>CXV25</t>
  </si>
  <si>
    <t>Coå deâ Þ 300-Fe 8x100</t>
  </si>
  <si>
    <t>Coå deâ Þ 320-Fe 8x100</t>
  </si>
  <si>
    <t>VCCT7</t>
  </si>
  <si>
    <t>04.3802</t>
  </si>
  <si>
    <t>04.5142</t>
  </si>
  <si>
    <t>TN1624</t>
  </si>
  <si>
    <t xml:space="preserve">Loaïi chaèng 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</si>
  <si>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</si>
  <si>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</si>
  <si>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</si>
  <si>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</si>
  <si>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</si>
  <si>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</si>
  <si>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</si>
  <si>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</si>
  <si>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</si>
  <si>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</si>
  <si>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M5M</t>
  </si>
  <si>
    <t>PVC42</t>
  </si>
  <si>
    <t>TDTT105</t>
  </si>
  <si>
    <t>COSe120</t>
  </si>
  <si>
    <t>COSe150</t>
  </si>
  <si>
    <t>COSe185</t>
  </si>
  <si>
    <t>LBfco100-15</t>
  </si>
  <si>
    <t>fco100-22</t>
  </si>
  <si>
    <t>LBfco100-22</t>
  </si>
  <si>
    <t>TR151</t>
  </si>
  <si>
    <t>TI755</t>
  </si>
  <si>
    <t>ACB4000</t>
  </si>
  <si>
    <t>VCDN1</t>
  </si>
  <si>
    <t>DCAPHT370</t>
  </si>
  <si>
    <t>A/XLPE/PVC/95</t>
  </si>
  <si>
    <t>A/XLPE/PVC/120</t>
  </si>
  <si>
    <t>A/XLPE/PVC/150</t>
  </si>
  <si>
    <t>A/XLPE/PVC/185</t>
  </si>
  <si>
    <t>TDTT14</t>
  </si>
  <si>
    <t>LBbh</t>
  </si>
  <si>
    <t>SonCBH</t>
  </si>
  <si>
    <t>VCT</t>
  </si>
  <si>
    <t>M14-2b</t>
  </si>
  <si>
    <t>Udhh(KV)</t>
  </si>
  <si>
    <t xml:space="preserve">MNX12-2 </t>
  </si>
  <si>
    <t>M14-4b</t>
  </si>
  <si>
    <t>cdxa</t>
  </si>
  <si>
    <t>VCDC4</t>
  </si>
  <si>
    <t>DCT30</t>
  </si>
  <si>
    <t>kE50</t>
  </si>
  <si>
    <t>471/473/01</t>
  </si>
  <si>
    <t>cose70</t>
  </si>
  <si>
    <t>cose95</t>
  </si>
  <si>
    <t>cose120</t>
  </si>
  <si>
    <t>LcapdongTB240</t>
  </si>
  <si>
    <t>B16100V</t>
  </si>
  <si>
    <t>V</t>
  </si>
  <si>
    <t>FCO100</t>
  </si>
  <si>
    <t>TBDD1p</t>
  </si>
  <si>
    <t>M12-2b</t>
  </si>
  <si>
    <t>B16250V</t>
  </si>
  <si>
    <t>GSXTg</t>
  </si>
  <si>
    <t>TI25</t>
  </si>
  <si>
    <t>ke70</t>
  </si>
  <si>
    <t>ke95</t>
  </si>
  <si>
    <t>VCDA1</t>
  </si>
  <si>
    <t>stk168</t>
  </si>
  <si>
    <t>LDAUCAP185</t>
  </si>
  <si>
    <t>lr3</t>
  </si>
  <si>
    <t>Lr3</t>
  </si>
  <si>
    <t>CXV4x16:</t>
  </si>
  <si>
    <t>ch</t>
  </si>
  <si>
    <t>kV</t>
  </si>
  <si>
    <t>Ñi xuoáng :</t>
  </si>
  <si>
    <t>Ñaøo ñaát tieáp ñòa:</t>
  </si>
  <si>
    <t>VCDAT1</t>
  </si>
  <si>
    <t>02.1264</t>
  </si>
  <si>
    <t>VCCAT2d</t>
  </si>
  <si>
    <t>021222</t>
  </si>
  <si>
    <t>Hopcap95</t>
  </si>
  <si>
    <t>TR25001</t>
  </si>
  <si>
    <t>CV120</t>
  </si>
  <si>
    <t>k240</t>
  </si>
  <si>
    <t>COTATOR</t>
  </si>
  <si>
    <t>B1040</t>
  </si>
  <si>
    <t>XLPE300HT</t>
  </si>
  <si>
    <t>STK42</t>
  </si>
  <si>
    <t>av185</t>
  </si>
  <si>
    <t>BOBT</t>
  </si>
  <si>
    <t>S50</t>
  </si>
  <si>
    <t>cv11</t>
  </si>
  <si>
    <t>TR251</t>
  </si>
  <si>
    <t>TR371</t>
  </si>
  <si>
    <t>TR501</t>
  </si>
  <si>
    <t>TR751</t>
  </si>
  <si>
    <t>M50</t>
  </si>
  <si>
    <t>D90</t>
  </si>
  <si>
    <t>CUT90135</t>
  </si>
  <si>
    <t>chCos50</t>
  </si>
  <si>
    <t>BTNN MIN</t>
  </si>
  <si>
    <t>TUBU40</t>
  </si>
  <si>
    <t>BTLT 20</t>
  </si>
  <si>
    <t>M10-2b</t>
  </si>
  <si>
    <t>M7aa</t>
  </si>
  <si>
    <t>M7b</t>
  </si>
  <si>
    <t>BOCNX</t>
  </si>
  <si>
    <t>02.3111</t>
  </si>
  <si>
    <t>Recloser</t>
  </si>
  <si>
    <t>NPVC42</t>
  </si>
  <si>
    <t>BAKEDKDT</t>
  </si>
  <si>
    <t>TUDKDT</t>
  </si>
  <si>
    <t>CHCOS25</t>
  </si>
  <si>
    <t>daucap70</t>
  </si>
  <si>
    <t>LDN</t>
  </si>
  <si>
    <t>kn120</t>
  </si>
  <si>
    <t>DS3p</t>
  </si>
  <si>
    <t>TBDD3p2m</t>
  </si>
  <si>
    <t>LNLON</t>
  </si>
  <si>
    <t>CX12-B</t>
  </si>
  <si>
    <t>CL12-B</t>
  </si>
  <si>
    <t>CXX12-B</t>
  </si>
  <si>
    <t>CX14-B</t>
  </si>
  <si>
    <t>cos240</t>
  </si>
  <si>
    <t>KCNT1kg</t>
  </si>
  <si>
    <t>KCNT2kg</t>
  </si>
  <si>
    <t>KCNT3kg</t>
  </si>
  <si>
    <t>KCNT4kg</t>
  </si>
  <si>
    <t>KCNT6kg</t>
  </si>
  <si>
    <t>02.1234</t>
  </si>
  <si>
    <t>VCFE1</t>
  </si>
  <si>
    <t>02.1351</t>
  </si>
  <si>
    <t>B1030TH</t>
  </si>
  <si>
    <t>b1030th</t>
  </si>
  <si>
    <t>M12 CN</t>
  </si>
  <si>
    <t>so8</t>
  </si>
  <si>
    <t>LBFCO-24KV-100A</t>
  </si>
  <si>
    <t>KN95</t>
  </si>
  <si>
    <t>DN0212</t>
  </si>
  <si>
    <t>3P-CT</t>
  </si>
  <si>
    <t>CDAO15</t>
  </si>
  <si>
    <t>02.8401</t>
  </si>
  <si>
    <t>CDAO30</t>
  </si>
  <si>
    <t>SL45</t>
  </si>
  <si>
    <t>SO12</t>
  </si>
  <si>
    <t>KTD</t>
  </si>
  <si>
    <t>Cos95</t>
  </si>
  <si>
    <t>PVC140</t>
  </si>
  <si>
    <t>LD 40</t>
  </si>
  <si>
    <t>LD 60</t>
  </si>
  <si>
    <t>06.7003</t>
  </si>
  <si>
    <t>Hopcap120</t>
  </si>
  <si>
    <t>MDD11</t>
  </si>
  <si>
    <t>pvc42</t>
  </si>
  <si>
    <t>pvc114</t>
  </si>
  <si>
    <t>cos150</t>
  </si>
  <si>
    <t>tuDS</t>
  </si>
  <si>
    <t>tuLBS</t>
  </si>
  <si>
    <t>dk3dt</t>
  </si>
  <si>
    <t>DK3DT</t>
  </si>
  <si>
    <t>CD146</t>
  </si>
  <si>
    <t>BTNN</t>
  </si>
  <si>
    <t>DD1x2</t>
  </si>
  <si>
    <t>02.1201</t>
  </si>
  <si>
    <t>02.1151</t>
  </si>
  <si>
    <t>02.1221</t>
  </si>
  <si>
    <t>482/480/01</t>
  </si>
  <si>
    <t>LTD-24KV-800A</t>
  </si>
  <si>
    <t>LA 18kV</t>
  </si>
  <si>
    <t>Cos185-EP</t>
  </si>
  <si>
    <t>Stk168-LAP</t>
  </si>
  <si>
    <t>CD114TK-LAP</t>
  </si>
  <si>
    <t>COS50-EP</t>
  </si>
  <si>
    <t>COS70-EP</t>
  </si>
  <si>
    <t>COS95-EP</t>
  </si>
  <si>
    <t>COS120-EP</t>
  </si>
  <si>
    <t>COS150-EP</t>
  </si>
  <si>
    <t>COS185-EP</t>
  </si>
  <si>
    <t>COS200-EP</t>
  </si>
  <si>
    <t>COS240-EP</t>
  </si>
  <si>
    <t>COS250-EP</t>
  </si>
  <si>
    <t>COS300-EP</t>
  </si>
  <si>
    <t>CD168TK-LAP</t>
  </si>
  <si>
    <t>M4-TRAM</t>
  </si>
  <si>
    <t>stk168-LAP</t>
  </si>
  <si>
    <t>kE120</t>
  </si>
  <si>
    <t>BTLT 14 HH</t>
  </si>
  <si>
    <t>06.5072</t>
  </si>
  <si>
    <t>06.5082</t>
  </si>
  <si>
    <t>03.1402</t>
  </si>
  <si>
    <t>03.1403</t>
  </si>
  <si>
    <t>DDMC2</t>
  </si>
  <si>
    <t>DDMC3</t>
  </si>
  <si>
    <t>DDMC4</t>
  </si>
  <si>
    <t>Ke50</t>
  </si>
  <si>
    <t>B16550v</t>
  </si>
  <si>
    <t>X-22K-K</t>
  </si>
  <si>
    <t>Nth-T-g</t>
  </si>
  <si>
    <t>REC</t>
  </si>
  <si>
    <t>ACB3200</t>
  </si>
  <si>
    <t>TI1505</t>
  </si>
  <si>
    <t>TU22</t>
  </si>
  <si>
    <t>Cos120</t>
  </si>
  <si>
    <t>F</t>
  </si>
  <si>
    <t>FCO200</t>
  </si>
  <si>
    <t>CdtrudoiHT</t>
  </si>
  <si>
    <t>DMongCS1</t>
  </si>
  <si>
    <t>DMCS</t>
  </si>
  <si>
    <t>CS1.01.140</t>
  </si>
  <si>
    <t>CS1.01.150</t>
  </si>
  <si>
    <t>GUFCO</t>
  </si>
  <si>
    <t>KN150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</si>
  <si>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</si>
  <si>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</si>
  <si>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</si>
  <si>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</si>
  <si>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</si>
  <si>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</si>
  <si>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</si>
  <si>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</si>
  <si>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</si>
  <si>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 xml:space="preserve">               </t>
  </si>
  <si>
    <t>XLPE25A</t>
  </si>
  <si>
    <t>cd240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</si>
  <si>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</si>
  <si>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</si>
  <si>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</si>
  <si>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</si>
  <si>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</si>
  <si>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</si>
  <si>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</si>
  <si>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</si>
  <si>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CDTRUDOI</t>
  </si>
  <si>
    <t>Cdtrudoi</t>
  </si>
  <si>
    <t>G20</t>
  </si>
  <si>
    <t>M20-Pi-b</t>
  </si>
  <si>
    <t>M20-Pi-bb</t>
  </si>
  <si>
    <t>TG-2000</t>
  </si>
  <si>
    <t>X-24KPI</t>
  </si>
  <si>
    <t>M6-HH</t>
  </si>
  <si>
    <t>M5-XDM</t>
  </si>
  <si>
    <t>M3-XDM</t>
  </si>
  <si>
    <t>M2-XDM</t>
  </si>
  <si>
    <t>M1-XDM</t>
  </si>
  <si>
    <t>Co 135</t>
  </si>
  <si>
    <t>den</t>
  </si>
  <si>
    <t>cddon</t>
  </si>
  <si>
    <t>cddoi</t>
  </si>
  <si>
    <t>CS3.02.011</t>
  </si>
  <si>
    <t>CS3.03.011</t>
  </si>
  <si>
    <t>CS3.05.001</t>
  </si>
  <si>
    <t>LCAPDEN</t>
  </si>
  <si>
    <t>A50</t>
  </si>
  <si>
    <t>ON120A</t>
  </si>
  <si>
    <t>csdG</t>
  </si>
  <si>
    <t>CD682</t>
  </si>
  <si>
    <t>CD207</t>
  </si>
  <si>
    <t>T10</t>
  </si>
  <si>
    <t>NPVC90</t>
  </si>
  <si>
    <t>KEO</t>
  </si>
  <si>
    <t>TUBU160</t>
  </si>
  <si>
    <t>TC450</t>
  </si>
  <si>
    <t>04.5102</t>
  </si>
  <si>
    <t>02.1123</t>
  </si>
  <si>
    <t>DDTT1P-m</t>
  </si>
  <si>
    <t>CDAO60</t>
  </si>
  <si>
    <t>CDAO100</t>
  </si>
  <si>
    <t>VCDN2</t>
  </si>
  <si>
    <t>CHCOS200</t>
  </si>
  <si>
    <t>CHCOS70</t>
  </si>
  <si>
    <t>M38</t>
  </si>
  <si>
    <t>DATD3</t>
  </si>
  <si>
    <t>VCCAT2</t>
  </si>
  <si>
    <t>02.1232</t>
  </si>
  <si>
    <t>TUBU300</t>
  </si>
  <si>
    <t>TUBU100</t>
  </si>
  <si>
    <t>XLPE240A</t>
  </si>
  <si>
    <t>lapkep</t>
  </si>
  <si>
    <t>lbfco100-22</t>
  </si>
  <si>
    <t>C12m-TBA</t>
  </si>
  <si>
    <t>04.9203</t>
  </si>
  <si>
    <t>SOC</t>
  </si>
  <si>
    <t>MDD41</t>
  </si>
  <si>
    <t>B16200</t>
  </si>
  <si>
    <t>B1240</t>
  </si>
  <si>
    <t>CSDG</t>
  </si>
  <si>
    <t>D42</t>
  </si>
  <si>
    <t>D60</t>
  </si>
  <si>
    <t>KCAPDEN</t>
  </si>
  <si>
    <t>CS4.02.011</t>
  </si>
  <si>
    <t>KCAPDEN25</t>
  </si>
  <si>
    <t>CS4.02.021</t>
  </si>
  <si>
    <t>LDAUCAPCS</t>
  </si>
  <si>
    <t>CS4.03.010</t>
  </si>
  <si>
    <t>02.1392</t>
  </si>
  <si>
    <t>LPVC90CL</t>
  </si>
  <si>
    <t>K-Cu</t>
  </si>
  <si>
    <t xml:space="preserve">      </t>
  </si>
  <si>
    <t>cdtrudoiHT</t>
  </si>
  <si>
    <t>GIP70-35</t>
  </si>
  <si>
    <t>contactor 100</t>
  </si>
  <si>
    <t>timer</t>
  </si>
  <si>
    <t>X</t>
  </si>
  <si>
    <t>TUBU220</t>
  </si>
  <si>
    <t>AC/XLPE/PVC150</t>
  </si>
  <si>
    <t>B22500</t>
  </si>
  <si>
    <t>B22550</t>
  </si>
  <si>
    <t>B22650</t>
  </si>
  <si>
    <t>BM16230</t>
  </si>
  <si>
    <t>H/S</t>
  </si>
  <si>
    <t>DN CL</t>
  </si>
  <si>
    <t>HL07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</si>
  <si>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</si>
  <si>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</si>
  <si>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</si>
  <si>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</si>
  <si>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</si>
  <si>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</si>
  <si>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</si>
  <si>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</si>
  <si>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</si>
  <si>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</si>
  <si>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</si>
  <si>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</si>
  <si>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on50b</t>
  </si>
  <si>
    <t>pvc90</t>
  </si>
  <si>
    <t>pvc21</t>
  </si>
  <si>
    <t>r2</t>
  </si>
  <si>
    <t>NXX</t>
  </si>
  <si>
    <t>NXL</t>
  </si>
  <si>
    <t>05.8003</t>
  </si>
  <si>
    <t>C8</t>
  </si>
  <si>
    <t>KVA</t>
  </si>
  <si>
    <t>Hotline</t>
  </si>
  <si>
    <t>KVRT140</t>
  </si>
  <si>
    <t>XLPE240</t>
  </si>
  <si>
    <t>X-26KP</t>
  </si>
  <si>
    <t>PHABETONG</t>
  </si>
  <si>
    <t>C18m</t>
  </si>
  <si>
    <t>daucap300</t>
  </si>
  <si>
    <t>daucap300in</t>
  </si>
  <si>
    <t>CD168TK</t>
  </si>
  <si>
    <t>T18</t>
  </si>
  <si>
    <t>COSe50</t>
  </si>
  <si>
    <t>COSe95</t>
  </si>
  <si>
    <t>COS50</t>
  </si>
  <si>
    <t>COS70</t>
  </si>
  <si>
    <t>COS95</t>
  </si>
  <si>
    <t>COS120</t>
  </si>
  <si>
    <t>Hopcap150</t>
  </si>
  <si>
    <t>ACB6300</t>
  </si>
  <si>
    <t>DBT15012</t>
  </si>
  <si>
    <t>DBT20012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</si>
  <si>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</si>
  <si>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</si>
  <si>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</si>
  <si>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</si>
  <si>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</si>
  <si>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</si>
  <si>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</si>
  <si>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</si>
  <si>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</si>
  <si>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VLP</t>
  </si>
  <si>
    <t>Hopcap185</t>
  </si>
  <si>
    <t>batll</t>
  </si>
  <si>
    <t>tr3201</t>
  </si>
  <si>
    <t>COSe240</t>
  </si>
  <si>
    <t>LCAN+C</t>
  </si>
  <si>
    <t>LCAN+c</t>
  </si>
  <si>
    <t>DCAPHT350</t>
  </si>
  <si>
    <t>D25</t>
  </si>
  <si>
    <t>ATM150</t>
  </si>
  <si>
    <t>COSe70</t>
  </si>
  <si>
    <t>pvc60</t>
  </si>
  <si>
    <t>CD220</t>
  </si>
  <si>
    <t>CD90</t>
  </si>
  <si>
    <t>CD60</t>
  </si>
  <si>
    <t>CDAO150</t>
  </si>
  <si>
    <t>TL X-26K</t>
  </si>
  <si>
    <t>02.1119</t>
  </si>
  <si>
    <t>XLPE350+35DHT</t>
  </si>
  <si>
    <t>XLPE350+35HT</t>
  </si>
  <si>
    <t>VCD3</t>
  </si>
  <si>
    <t>02.1443</t>
  </si>
  <si>
    <t>CXV/SE/DSTA3x240-24kV</t>
  </si>
  <si>
    <t>482/01</t>
  </si>
  <si>
    <t>478/480/01</t>
  </si>
  <si>
    <t>BTLT 12-SDL</t>
  </si>
  <si>
    <t>478/480/482/15</t>
  </si>
  <si>
    <t>CV185-600V</t>
  </si>
  <si>
    <t>TỔNG</t>
  </si>
  <si>
    <t>DDTT3P1m-m</t>
  </si>
  <si>
    <t>CPS40x10x920</t>
  </si>
  <si>
    <t>Chống Composite 40x10x920</t>
  </si>
  <si>
    <t>Thanh</t>
  </si>
  <si>
    <t>CPS40x10x810</t>
  </si>
  <si>
    <t>X-24DCP</t>
  </si>
  <si>
    <t>X-8DCP</t>
  </si>
  <si>
    <t xml:space="preserve">Bộ xà đơn composite dài 2.4m: X-24DCP </t>
  </si>
  <si>
    <t>Bộ</t>
  </si>
  <si>
    <t xml:space="preserve">Bộ xà đơn composite dài 0,8m: X-8DCP </t>
  </si>
  <si>
    <t>CPS110x5-24</t>
  </si>
  <si>
    <t>CPS110x5-8</t>
  </si>
  <si>
    <t>ChuptrenFCO</t>
  </si>
  <si>
    <t>cái</t>
  </si>
  <si>
    <t>ChupduoiFCO</t>
  </si>
  <si>
    <t>Nắp che đầu cực dưới FCO</t>
  </si>
  <si>
    <t>ChupLA</t>
  </si>
  <si>
    <t>Nắp che đầu cực LA</t>
  </si>
  <si>
    <t>ChupMBA</t>
  </si>
  <si>
    <t>Chống Composite 40x10x710</t>
  </si>
  <si>
    <t>3AC/XLPE/PVC/50+AC50</t>
  </si>
  <si>
    <t>AC/XLPE/PVC/50+AC50</t>
  </si>
  <si>
    <t>ACXV50</t>
  </si>
  <si>
    <t>KV I</t>
  </si>
  <si>
    <t>KV II</t>
  </si>
  <si>
    <t>KV III</t>
  </si>
  <si>
    <t>3AC50+AC50</t>
  </si>
  <si>
    <t>AC50+AC50</t>
  </si>
  <si>
    <t>TRẠM 3 PHA - 3x50KVA</t>
  </si>
  <si>
    <t>LXITL-TBA</t>
  </si>
  <si>
    <t>04.4002</t>
  </si>
  <si>
    <t>LA12DD</t>
  </si>
  <si>
    <t>LA18DD</t>
  </si>
  <si>
    <t>b12200</t>
  </si>
  <si>
    <t>DCTD2</t>
  </si>
  <si>
    <t>M10x2</t>
  </si>
  <si>
    <t>BTLT 12TE</t>
  </si>
  <si>
    <t>BTLT 14TE</t>
  </si>
  <si>
    <t>Khối lượng dầu MBA 1 tấn dầu = 680lit</t>
  </si>
  <si>
    <t>ChupFCO</t>
  </si>
  <si>
    <t>Nắp che đầu cực FCO</t>
  </si>
  <si>
    <t>Cos150-EP</t>
  </si>
  <si>
    <t>Cos120-EP</t>
  </si>
  <si>
    <t>Cos70-EP</t>
  </si>
  <si>
    <t>Cos50-EP</t>
  </si>
  <si>
    <t>Cos95-EP</t>
  </si>
  <si>
    <t>COS25D</t>
  </si>
  <si>
    <t>COS35D</t>
  </si>
  <si>
    <t>COS38D</t>
  </si>
  <si>
    <t>COS50D</t>
  </si>
  <si>
    <t>COS70D</t>
  </si>
  <si>
    <t>COS95D</t>
  </si>
  <si>
    <t>COS120D</t>
  </si>
  <si>
    <t>COS150D</t>
  </si>
  <si>
    <t>COS185D</t>
  </si>
  <si>
    <t>COS200D</t>
  </si>
  <si>
    <t>COS240D</t>
  </si>
  <si>
    <t>COS250D</t>
  </si>
  <si>
    <t>COS300D</t>
  </si>
  <si>
    <t>chupFCO</t>
  </si>
  <si>
    <t>chupLA</t>
  </si>
  <si>
    <t>chupMBA</t>
  </si>
  <si>
    <t>CPS110x5-26</t>
  </si>
  <si>
    <t>CPS110x5-30</t>
  </si>
  <si>
    <t>M7bb</t>
  </si>
  <si>
    <t>M7-2b</t>
  </si>
  <si>
    <t>b22500</t>
  </si>
  <si>
    <t>M7x2</t>
  </si>
  <si>
    <t>M8x2</t>
  </si>
  <si>
    <t>M8-2b</t>
  </si>
  <si>
    <t>M10ab</t>
  </si>
  <si>
    <t>M12x2</t>
  </si>
  <si>
    <t>M12ab</t>
  </si>
  <si>
    <t>M14x2</t>
  </si>
  <si>
    <t>B16150V</t>
  </si>
  <si>
    <t>B16450V</t>
  </si>
  <si>
    <t>B22250</t>
  </si>
  <si>
    <t>B22300</t>
  </si>
  <si>
    <t>B22350</t>
  </si>
  <si>
    <t>B22400</t>
  </si>
  <si>
    <t>cv38</t>
  </si>
  <si>
    <t>CLHT09</t>
  </si>
  <si>
    <t>T12TE</t>
  </si>
  <si>
    <t>180KVA</t>
  </si>
  <si>
    <t>BatLL</t>
  </si>
  <si>
    <t>tubu80</t>
  </si>
  <si>
    <t>Lxit</t>
  </si>
  <si>
    <t>6K</t>
  </si>
  <si>
    <t>8K</t>
  </si>
  <si>
    <t>T12f54</t>
  </si>
  <si>
    <t>T14f95</t>
  </si>
  <si>
    <t>T16</t>
  </si>
  <si>
    <t>T16f95</t>
  </si>
  <si>
    <t>ATM63</t>
  </si>
  <si>
    <t>04.7001</t>
  </si>
  <si>
    <t>DCTDTBA3</t>
  </si>
  <si>
    <t>DCTDTBA4</t>
  </si>
  <si>
    <t xml:space="preserve"> tròn mk </t>
  </si>
  <si>
    <t xml:space="preserve"> Sat L mạ kẽm(TBA) </t>
  </si>
  <si>
    <t xml:space="preserve"> Sắt L mạ kẽm(ĐD) </t>
  </si>
  <si>
    <t>Tên vật tư</t>
  </si>
  <si>
    <t>Đơn vị</t>
  </si>
  <si>
    <t xml:space="preserve"> Đơn giá TB </t>
  </si>
  <si>
    <t xml:space="preserve"> Đơn giá VT </t>
  </si>
  <si>
    <t xml:space="preserve"> Đơn giá NC </t>
  </si>
  <si>
    <t xml:space="preserve"> Đơn giá MTC </t>
  </si>
  <si>
    <t>Đà cản BTCT 1,2m</t>
  </si>
  <si>
    <t>Đà cản BTCT 1,5m</t>
  </si>
  <si>
    <t>Lắp đà cản BTCT 1,5m</t>
  </si>
  <si>
    <t xml:space="preserve">              -   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</si>
  <si>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</si>
  <si>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</si>
  <si>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</si>
  <si>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</si>
  <si>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</si>
  <si>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</si>
  <si>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</si>
  <si>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</si>
  <si>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</si>
  <si>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</si>
  <si>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Boulon 4x60+ 2 long đền vuông</t>
  </si>
  <si>
    <t>bộ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</si>
  <si>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</si>
  <si>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</si>
  <si>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</si>
  <si>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</si>
  <si>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10x150+ 2 long đền vuông D14-50x50x3/Zn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</si>
  <si>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</si>
  <si>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</si>
  <si>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</si>
  <si>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</si>
  <si>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</si>
  <si>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</si>
  <si>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</si>
  <si>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</si>
  <si>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</si>
  <si>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</si>
  <si>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</si>
  <si>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</si>
  <si>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thau 12x60 + 2 long đền vuông D14-50x50x3/Zn</t>
  </si>
  <si>
    <t>Boulon 14x50+ 2 long đền vuông D16-50x50x3/Zn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</si>
  <si>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</si>
  <si>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</si>
  <si>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</si>
  <si>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</si>
  <si>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</si>
  <si>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</si>
  <si>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16x250+ 2 long đền vuông D18-50x50x3/Zn</t>
  </si>
  <si>
    <t>Boulon 16x300+ 2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</si>
  <si>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</si>
  <si>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</si>
  <si>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</si>
  <si>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16x600+ 2 long đền vuông D18-50x50x3/Zn</t>
  </si>
  <si>
    <t>Boulon 16x100VRS+ 4 long đền vuông D18-50x50x3/Zn</t>
  </si>
  <si>
    <t>Boulon 16x150VRS+ 4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</si>
  <si>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</si>
  <si>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</si>
  <si>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</si>
  <si>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</si>
  <si>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</si>
  <si>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16x450VRS+ 4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</si>
  <si>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</si>
  <si>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</si>
  <si>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</si>
  <si>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</si>
  <si>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</si>
  <si>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22x250+ 2 long đền vuông D24-60x60x3/Zn</t>
  </si>
  <si>
    <t>Boulon 22x450+ 2 long đền vuông D24-60x60x3/Zn</t>
  </si>
  <si>
    <t>Boulon 22x500+ 2 long đền vuông D24-60x60x3/Zn</t>
  </si>
  <si>
    <t>Boulon 22x550+ 2 long đền vuông D24-60x60x3/Zn</t>
  </si>
  <si>
    <t>Boulon 22x600+ 2 long đền vuông D24-60x60x3/Zn</t>
  </si>
  <si>
    <t>Boulon 22x650+ 2 long đền vuông D24-60x60x3/Zn</t>
  </si>
  <si>
    <t>Boulon 22x700+ 2 long đền vuông D24-60x60x3/Zn</t>
  </si>
  <si>
    <t>Boulon 22x750+ 2 long đền vuông D24-60x60x3/Zn</t>
  </si>
  <si>
    <t>Boulon 22x800+ 2 long đền vuông D24-60x60x3/Zn</t>
  </si>
  <si>
    <t>Boulon 22x850+ 2 long đền vuông D24-60x60x3/Zn</t>
  </si>
  <si>
    <t>Boulon 22x1000+ 2 long đền vuông D24-60x60x3/Zn</t>
  </si>
  <si>
    <t>Boulon 22x500/150 chẻ đuôi cá + 2 long đền vuông D24-60x60x3/Zn</t>
  </si>
  <si>
    <t>Boulon 30x800+ 2 long đền vuông D18-50x50x3/Zn</t>
  </si>
  <si>
    <t>Boulon 30x1000+ 2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</si>
  <si>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</si>
  <si>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</si>
  <si>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</si>
  <si>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</si>
  <si>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</si>
  <si>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</si>
  <si>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</si>
  <si>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cây</t>
  </si>
  <si>
    <t>Cừ tràm 3m</t>
  </si>
  <si>
    <t>Cừ tràm 5m</t>
  </si>
  <si>
    <t>Móng đặt tủ bù (0,2x0,2x0,4)x4 móng</t>
  </si>
  <si>
    <t>Trọn bộ</t>
  </si>
  <si>
    <t>Cột mốc bê tông làm dấu cáp ngầm</t>
  </si>
  <si>
    <t>Cột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</si>
  <si>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</si>
  <si>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</si>
  <si>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</si>
  <si>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</si>
  <si>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</si>
  <si>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</si>
  <si>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</si>
  <si>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</si>
  <si>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mét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</si>
  <si>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</si>
  <si>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</si>
  <si>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</si>
  <si>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</si>
  <si>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</si>
  <si>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</si>
  <si>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</si>
  <si>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</si>
  <si>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</si>
  <si>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</si>
  <si>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</si>
  <si>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</si>
  <si>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</si>
  <si>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</si>
  <si>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</si>
  <si>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</si>
  <si>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24KV AC/XLPE/PVC 50mm2</t>
  </si>
  <si>
    <t>Cáp 24KV AC/XLPE/PVC 70mm2</t>
  </si>
  <si>
    <t>Cáp 24KV AC/XLPE/PVC 95mm2</t>
  </si>
  <si>
    <t>Cáp 24KV AC/XLPE/PVC 120mm2</t>
  </si>
  <si>
    <t>Cáp 24KV AC/XLPE/PVC 150mm2</t>
  </si>
  <si>
    <t>Cáp 24KV AC/XLPE/PVC 185mm2</t>
  </si>
  <si>
    <t>Cáp 24KV AC/XLPE/PVC 240mm2</t>
  </si>
  <si>
    <t>Cáp C/XLPE/PVC -0.6/1kV-2x11mm2</t>
  </si>
  <si>
    <t>Cáp C/XLPE/PVC -0.6/1kV-2x16mm2</t>
  </si>
  <si>
    <t>Cáp C/XLPE/PVC -0.6/1kV-3x16mm2</t>
  </si>
  <si>
    <t>Cáp C/XLPE/PVC -0.6/1kV-3x22mm2</t>
  </si>
  <si>
    <t>Cáp C/XLPE/PVC -0.6/1kV-3x25mm2</t>
  </si>
  <si>
    <t>Cáp C/XLPE/PVC -0.6/1kV-3x35mm2</t>
  </si>
  <si>
    <t>Cáp C/XLPE/PVC -0.6/1kV-3x50mm2</t>
  </si>
  <si>
    <t>Cáp C/XLPE/PVC -0.6/1kV-4x16mm2</t>
  </si>
  <si>
    <t>Cáp C/XLPE/PVC -0.6/1kV-3x16+8mm2</t>
  </si>
  <si>
    <t>Cáp C/XLPE/PVC -0.6/1kV-3x22+11mm2</t>
  </si>
  <si>
    <t>Cáp C/XLPE/PVC -0.6/1kV-3x50+25mm2</t>
  </si>
  <si>
    <t>Cáp C/XLPE/PVC -0.6/1kV-3x50+35mm2</t>
  </si>
  <si>
    <t>Cáp C/XLPE/PVC -0.6/1kV-3x70+35mm2</t>
  </si>
  <si>
    <t>Cáp C/XLPE/PVC -0.6/1kV-3x70+50mm2</t>
  </si>
  <si>
    <t>Cáp C/XLPE/PVC -0.6/1kV-3x95+50mm2</t>
  </si>
  <si>
    <t>Cáp C/XLPE/PVC -0.6/1kV-3x120+60mm2</t>
  </si>
  <si>
    <t>Cáp C/XLPE/PVC -0.6/1kV-3x120+70mm2</t>
  </si>
  <si>
    <t>Cáp C/XLPE/PVC -0.6/1kV-3x150+95mm2</t>
  </si>
  <si>
    <t>Cáp C/XLPE/PVC -0.6/1kV-3x185+95mm2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</si>
  <si>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</si>
  <si>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</si>
  <si>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</si>
  <si>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</si>
  <si>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</si>
  <si>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</si>
  <si>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</si>
  <si>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</si>
  <si>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</si>
  <si>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</si>
  <si>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24kV C/XLPE/DSTA/PVC3x300mm2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</si>
  <si>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</si>
  <si>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</si>
  <si>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</si>
  <si>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</si>
  <si>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</si>
  <si>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</si>
  <si>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</si>
  <si>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</si>
  <si>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</si>
  <si>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</si>
  <si>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</si>
  <si>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</si>
  <si>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</si>
  <si>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</si>
  <si>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</si>
  <si>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</si>
  <si>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</si>
  <si>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</si>
  <si>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AC-150/19</t>
  </si>
  <si>
    <t>Cáp nhôm lõi thép AC-185/24</t>
  </si>
  <si>
    <t>Cáp nhôm lõi thép AC-240/32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</si>
  <si>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</si>
  <si>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</si>
  <si>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</si>
  <si>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</si>
  <si>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</si>
  <si>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</si>
  <si>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</si>
  <si>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</si>
  <si>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</si>
  <si>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</si>
  <si>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</si>
  <si>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4x35mm2</t>
  </si>
  <si>
    <t>Cáp nhôm ABC 4x50mm2</t>
  </si>
  <si>
    <t>Cáp nhôm ABC 4x70mm2</t>
  </si>
  <si>
    <t>Cáp nhôm ABC 4x95mm2</t>
  </si>
  <si>
    <t>Cáp nhôm ABC 4x120mm2</t>
  </si>
  <si>
    <t>Cáp nhôm ABC 4x150mm2</t>
  </si>
  <si>
    <t xml:space="preserve">Cáp CVV 2x2,5mm2  </t>
  </si>
  <si>
    <t>Cáp CVV 3x16mm2</t>
  </si>
  <si>
    <t>Dây đồng trần mềm dẹt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</si>
  <si>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</si>
  <si>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</si>
  <si>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</si>
  <si>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</si>
  <si>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</si>
  <si>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CV38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</si>
  <si>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</si>
  <si>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</si>
  <si>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</si>
  <si>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</si>
  <si>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</si>
  <si>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</si>
  <si>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</si>
  <si>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</si>
  <si>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</si>
  <si>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</si>
  <si>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</si>
  <si>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cách điện PVC ACV35</t>
  </si>
  <si>
    <t>Cáp nhôm lõi thép cách điện PVC ACV50</t>
  </si>
  <si>
    <t>Cáp nhôm lõi thép cách điện PVC ACV70</t>
  </si>
  <si>
    <t>Cáp nhôm lõi thép cách điện PVC ACV95</t>
  </si>
  <si>
    <t>Cáp nhôm lõi thép cách điện PVC ACV120</t>
  </si>
  <si>
    <t>Cáp nhôm lõi thép cách điện PVC ACV150</t>
  </si>
  <si>
    <t>Cáp nhôm lõi thép cách điện PVC ACV185</t>
  </si>
  <si>
    <t>Cáp nhôm lõi thép cách điện PVC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</si>
  <si>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</si>
  <si>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</si>
  <si>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</si>
  <si>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</si>
  <si>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</si>
  <si>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</si>
  <si>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</si>
  <si>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</si>
  <si>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</si>
  <si>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</si>
  <si>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</si>
  <si>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</si>
  <si>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</si>
  <si>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</si>
  <si>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</si>
  <si>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</si>
  <si>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</si>
  <si>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</si>
  <si>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</si>
  <si>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</si>
  <si>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</si>
  <si>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</si>
  <si>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</t>
  </si>
  <si>
    <t>Cọc tiếp đất Þ16 - 2,4m</t>
  </si>
  <si>
    <t>cọc</t>
  </si>
  <si>
    <t>Cọc tiếp đất Þ 16- 2,4m + kẹp cọc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</si>
  <si>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</si>
  <si>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</si>
  <si>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</si>
  <si>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</si>
  <si>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</si>
  <si>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</si>
  <si>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</si>
  <si>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</si>
  <si>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</si>
  <si>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</si>
  <si>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</si>
  <si>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</si>
  <si>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</si>
  <si>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</si>
  <si>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</si>
  <si>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</si>
  <si>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</si>
  <si>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</si>
  <si>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</si>
  <si>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</si>
  <si>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 xml:space="preserve">Móc dừng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</si>
  <si>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</si>
  <si>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</si>
  <si>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</si>
  <si>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</si>
  <si>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</si>
  <si>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</si>
  <si>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ABC4x95mm2</t>
  </si>
  <si>
    <t>Kẹp ngừng cáp ABC4x120mm2</t>
  </si>
  <si>
    <t>Kẹp ngừng cáp ABC4x150mm2</t>
  </si>
  <si>
    <t>Hộp nối cáp ngầm 24kV 3x240mm2</t>
  </si>
  <si>
    <t>H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</si>
  <si>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</si>
  <si>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</si>
  <si>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</si>
  <si>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</si>
  <si>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</si>
  <si>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</si>
  <si>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 cực rỗng</t>
  </si>
  <si>
    <t>Hộp phân phối 6 cực rỗng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</si>
  <si>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</si>
  <si>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</si>
  <si>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</si>
  <si>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</si>
  <si>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</si>
  <si>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</si>
  <si>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</si>
  <si>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</si>
  <si>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</si>
  <si>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</si>
  <si>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</si>
  <si>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</si>
  <si>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</si>
  <si>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</si>
  <si>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</si>
  <si>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</si>
  <si>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</si>
  <si>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</si>
  <si>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 60mm2</t>
  </si>
  <si>
    <t>Kẹp quai 2/0</t>
  </si>
  <si>
    <t>Kẹp quai 4/0</t>
  </si>
  <si>
    <t>Kẹp hotline 2/0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</si>
  <si>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</si>
  <si>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</si>
  <si>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</si>
  <si>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</si>
  <si>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</si>
  <si>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</si>
  <si>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</si>
  <si>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</si>
  <si>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</si>
  <si>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</si>
  <si>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</si>
  <si>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</si>
  <si>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</si>
  <si>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</si>
  <si>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</si>
  <si>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</si>
  <si>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35(kẹp dừng dây 3U-3mm)</t>
  </si>
  <si>
    <t>Khóa néo dây cỡ dây 50(kẹp dừng dây 3U-3mm)</t>
  </si>
  <si>
    <t>Khóa néo dây cỡ dây 70(kẹp dừng dây 3U-3mm)</t>
  </si>
  <si>
    <t>Khóa néo dây cỡ dây 95 (dây bọc 50): kẹp dừng dây 5U-3mm</t>
  </si>
  <si>
    <t>Khóa néo dây 5U-4mm (95-120mm2)</t>
  </si>
  <si>
    <t>Khóa néo dây 5U 150mm2</t>
  </si>
  <si>
    <t>Khóa néo dây 5U-4mm (185-240mm2)</t>
  </si>
  <si>
    <t>Khóa néo dây cỡ dây 240</t>
  </si>
  <si>
    <t>Khóa néo N158(lem yên ngựa)</t>
  </si>
  <si>
    <t>Khóa néo N912(lem yên ngựa)</t>
  </si>
  <si>
    <t>Khóa néo N357</t>
  </si>
  <si>
    <t>Máng che dây chằng dày 1,6mm 0,4x2000</t>
  </si>
  <si>
    <t>Mắt nối đơn</t>
  </si>
  <si>
    <t xml:space="preserve">Mắt nối t/ gian </t>
  </si>
  <si>
    <t xml:space="preserve">Móc treo chữ U F16 dài </t>
  </si>
  <si>
    <t>Móc treo CK61A</t>
  </si>
  <si>
    <t>Vòng treo đầu tròn</t>
  </si>
  <si>
    <t>O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</si>
  <si>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</si>
  <si>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</si>
  <si>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</si>
  <si>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</si>
  <si>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</si>
  <si>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</si>
  <si>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</si>
  <si>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</si>
  <si>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</si>
  <si>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</si>
  <si>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</si>
  <si>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</si>
  <si>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</si>
  <si>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</si>
  <si>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Uclevis (loại gân)+ sứ ống chỉ</t>
  </si>
  <si>
    <t>R</t>
  </si>
  <si>
    <t>Rack 2 sứ + sứ ống chỉ</t>
  </si>
  <si>
    <t>Rack 3 sứ + sứ ống chỉ</t>
  </si>
  <si>
    <t>Rack 4 sứ + sứ ống chỉ</t>
  </si>
  <si>
    <t xml:space="preserve">Sứ đứng 24KV </t>
  </si>
  <si>
    <t>S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</si>
  <si>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</si>
  <si>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</si>
  <si>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</si>
  <si>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</si>
  <si>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</si>
  <si>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</si>
  <si>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</si>
  <si>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</si>
  <si>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 xml:space="preserve">Sứ treo polymer </t>
  </si>
  <si>
    <t>chuỗi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</si>
  <si>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</si>
  <si>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</si>
  <si>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</si>
  <si>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</si>
  <si>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</si>
  <si>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</si>
  <si>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</si>
  <si>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</si>
  <si>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</si>
  <si>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</si>
  <si>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</si>
  <si>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</si>
  <si>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</si>
  <si>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Sắt góc L75 x75 x8</t>
  </si>
  <si>
    <t>Sắt   Þ6</t>
  </si>
  <si>
    <t>Sắt   Þ8</t>
  </si>
  <si>
    <t>Sắt   Þ10</t>
  </si>
  <si>
    <t>Sắt   Þ12</t>
  </si>
  <si>
    <t>Sắt   Þ16</t>
  </si>
  <si>
    <t>Sắt   Þ24</t>
  </si>
  <si>
    <t>Ê KE 5x300x300\Zn</t>
  </si>
  <si>
    <t>Thép tấm 6mm</t>
  </si>
  <si>
    <t>t</t>
  </si>
  <si>
    <t>Thép tấm 5mm</t>
  </si>
  <si>
    <t>Thép tấm 4mm</t>
  </si>
  <si>
    <t>Thép tấm 2mm</t>
  </si>
  <si>
    <t>Bộ chống chằng hẹp Þ60/50x1500+2BL12x40+BL16x250/80</t>
  </si>
  <si>
    <t>Bộ chống chằng hẹp Þ60/50x1200+2BL12x40+BL16x200/50</t>
  </si>
  <si>
    <t>Neo xòe đĩa sen (8 hướng dày 3,2mm)</t>
  </si>
  <si>
    <t>N</t>
  </si>
  <si>
    <t>Bộ chống chằng hẹp Þ60/50x900+2BL12x40+BL16x200/50</t>
  </si>
  <si>
    <t>Cổ dê CD.X-142</t>
  </si>
  <si>
    <t>Cổ dê CD.X-142A</t>
  </si>
  <si>
    <t>Cổ dê CD.X-146</t>
  </si>
  <si>
    <t>Cổ dê CD.X-146A</t>
  </si>
  <si>
    <t>Cổ dê 6,82kg</t>
  </si>
  <si>
    <t>Cổ dê kẹp ống PVC Þ 60</t>
  </si>
  <si>
    <t>Cổ dê kẹp ống PVC Þ 90</t>
  </si>
  <si>
    <t>Cổ dê kẹp ống PVC Þ 114</t>
  </si>
  <si>
    <t>Cổ dê kẹp ống PVC Þ 140</t>
  </si>
  <si>
    <t>Cổ dê kẹp ống sắt Þ 140</t>
  </si>
  <si>
    <t>Cổ dê kẹp ống sắt Þ 168</t>
  </si>
  <si>
    <t>Cổ dê kẹp ống sắt Þ 114</t>
  </si>
  <si>
    <t>Lắp Cổ dê kẹp ống sắt Þ 114</t>
  </si>
  <si>
    <t>Lắp Cổ dê kẹp ống sắt Þ 168</t>
  </si>
  <si>
    <t>Cổ dê Þ 195 nẹp trụ</t>
  </si>
  <si>
    <t>Cổ dê Þ 207 nẹp trụ</t>
  </si>
  <si>
    <t>Cổ dê Þ 220 nẹp trụ</t>
  </si>
  <si>
    <t>Cổ dê  Þ 240-Fe 8x100</t>
  </si>
  <si>
    <t>Cổ dê Þ 250-Fe 8x100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</si>
  <si>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</si>
  <si>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</si>
  <si>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</si>
  <si>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</si>
  <si>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</si>
  <si>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</si>
  <si>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</si>
  <si>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</si>
  <si>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</si>
  <si>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Þ 21 vào tường + Bulon + long đền + tắc kê sắt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</si>
  <si>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</si>
  <si>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</si>
  <si>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</si>
  <si>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</si>
  <si>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>Cổ dê bắt xà 80x6</t>
  </si>
  <si>
    <t>Trụ BTLT 7,5m F200 dự ứng lực</t>
  </si>
  <si>
    <t>Trụ BTLT 8,5m F200 dự ứng lực</t>
  </si>
  <si>
    <t>Trụ BTLT 8,5m F300 dự ứng lực</t>
  </si>
  <si>
    <t>Trụ BTLT 10,5m F480 dự ứng lực</t>
  </si>
  <si>
    <t>Trụ BTLT 10,5m F350 dự ứng lực</t>
  </si>
  <si>
    <t>Trụ BTLT 12m F350 dự ứng lực có dây tiếp địa trong thân trụ</t>
  </si>
  <si>
    <t>Trụ BTLT 12m F350 dự ứng lực</t>
  </si>
  <si>
    <t>Trụ BTLT 14m F650 dự ứng lực</t>
  </si>
  <si>
    <t>Trụ BTLT 14m F950 dự ứng lực</t>
  </si>
  <si>
    <t>Trụ BTLT 16m F650 dự ứng lực</t>
  </si>
  <si>
    <t>Trụ BTLT 16m F950 dự ứng lực</t>
  </si>
  <si>
    <t>Trụ BTLT 18m F920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</si>
  <si>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</si>
  <si>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</si>
  <si>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</si>
  <si>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</si>
  <si>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</si>
  <si>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</si>
  <si>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</si>
  <si>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</si>
  <si>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</si>
  <si>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</si>
  <si>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</si>
  <si>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Cát san lắp</t>
  </si>
  <si>
    <t>Gạch ống</t>
  </si>
  <si>
    <t>viên</t>
  </si>
  <si>
    <t>Gạch tàu</t>
  </si>
  <si>
    <t>Gạch thẻ</t>
  </si>
  <si>
    <t>Ximăng</t>
  </si>
  <si>
    <t>Que hàn điện</t>
  </si>
  <si>
    <t>q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</si>
  <si>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</si>
  <si>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</si>
  <si>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</si>
  <si>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</si>
  <si>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</si>
  <si>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d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</si>
  <si>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</si>
  <si>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</si>
  <si>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</si>
  <si>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</si>
  <si>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</si>
  <si>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</si>
  <si>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3x300mm2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</si>
  <si>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</si>
  <si>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</si>
  <si>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</si>
  <si>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</si>
  <si>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</si>
  <si>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</si>
  <si>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</si>
  <si>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24kV 3x300mm2 indoor</t>
  </si>
  <si>
    <t>Đầu cáp ngầm hạ thế 3x185+120mm2</t>
  </si>
  <si>
    <t>Đầu cáp ngầm hạ thế 3x150+95mm2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</si>
  <si>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</si>
  <si>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</si>
  <si>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</si>
  <si>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</si>
  <si>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</si>
  <si>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Ông sắt tráng kẽm D42</t>
  </si>
  <si>
    <t>s</t>
  </si>
  <si>
    <t>Ông sắt tráng kẽm D60</t>
  </si>
  <si>
    <t>Ông sắt tráng kẽm D90</t>
  </si>
  <si>
    <t>Ông sắt tráng kẽm D114</t>
  </si>
  <si>
    <t>Ông sắt tráng kẽm D140</t>
  </si>
  <si>
    <t>Ông sắt tráng kẽm D160</t>
  </si>
  <si>
    <t>Ông sắt tráng kẽm D168</t>
  </si>
  <si>
    <t>Măng sông STK 114</t>
  </si>
  <si>
    <t>Măng sông STK 90</t>
  </si>
  <si>
    <t>Yếm đỡ dày chằng F1/2 mạ Zn (Yếm cáp)</t>
  </si>
  <si>
    <t>Y</t>
  </si>
  <si>
    <t>Công việc</t>
  </si>
  <si>
    <t xml:space="preserve"> Đơn giá 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</si>
  <si>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</si>
  <si>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</si>
  <si>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</si>
  <si>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</si>
  <si>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4 sâu &lt;=1m</t>
  </si>
  <si>
    <t>Đào hố móng đất cấp 2 sâu &gt;1m DT&lt;5m2</t>
  </si>
  <si>
    <t>Đào hố móng đất cấp 3 sâu &gt;1m DT&lt;5m2</t>
  </si>
  <si>
    <t>Khoan cắt BT bằng máy khoan cằm tay</t>
  </si>
  <si>
    <t>Đào hố móng đất cấp 4 sâu &gt;1m DT&lt;5m2</t>
  </si>
  <si>
    <t>Đắp đất hố móng</t>
  </si>
  <si>
    <t>Đắp đất hố móng K=0,85</t>
  </si>
  <si>
    <t>Đào mương cáp ngầm đất cấp 2 có mở ta luy</t>
  </si>
  <si>
    <t>Đào mương cáp ngầm đất cấp 3 có mở ta luy</t>
  </si>
  <si>
    <t>Đào mương cáp ngầm đất cấp 3 không mở ta luy</t>
  </si>
  <si>
    <t>Đào mương cáp ngầm đất cấp 4</t>
  </si>
  <si>
    <t>Đắp đất mương cáp K=0,85</t>
  </si>
  <si>
    <t>Đắp đất mương cáp K=0,9</t>
  </si>
  <si>
    <t>Đắp đất mương cáp K=0,95</t>
  </si>
  <si>
    <t>Đắp đá 1x2</t>
  </si>
  <si>
    <t>Đắp đá 2x4</t>
  </si>
  <si>
    <t>Đào rãnh tiếp địa đất cấp 2</t>
  </si>
  <si>
    <t>Đào rãnh tiếp địa đất cấp 4</t>
  </si>
  <si>
    <t>Lắp gía đỡ cáp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</si>
  <si>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</si>
  <si>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</si>
  <si>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</si>
  <si>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</si>
  <si>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</si>
  <si>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</si>
  <si>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</si>
  <si>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</si>
  <si>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</si>
  <si>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</si>
  <si>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Q</t>
  </si>
  <si>
    <t>V/c đà cản vào vị trí (cự ly &lt;=100m)</t>
  </si>
  <si>
    <t>tấn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</si>
  <si>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</si>
  <si>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</si>
  <si>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</si>
  <si>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&lt;=100m)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</si>
  <si>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</si>
  <si>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</si>
  <si>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</si>
  <si>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&lt;=100m)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</si>
  <si>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</si>
  <si>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</si>
  <si>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</si>
  <si>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&lt;=100m)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</si>
  <si>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</si>
  <si>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</si>
  <si>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</si>
  <si>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&lt;=100m)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</si>
  <si>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</si>
  <si>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</si>
  <si>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</si>
  <si>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&lt;=100m)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</si>
  <si>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</si>
  <si>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</si>
  <si>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</si>
  <si>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&lt;=100m)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</si>
  <si>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</si>
  <si>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</si>
  <si>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</si>
  <si>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</si>
  <si>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</si>
  <si>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</si>
  <si>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</si>
  <si>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&lt;=100m)</t>
  </si>
  <si>
    <t>V/c xà vào vị trí (cư ly &lt;=300m)</t>
  </si>
  <si>
    <t>V/c xà vào vị trí (cư ly &lt;=500m)</t>
  </si>
  <si>
    <t>V/c xà vào vị trí (cư ly &gt;500m)</t>
  </si>
  <si>
    <t>V/c dụng cụ thi công ( cự ly &lt;=100m)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</si>
  <si>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</si>
  <si>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</si>
  <si>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</si>
  <si>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</si>
  <si>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</si>
  <si>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</si>
  <si>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</si>
  <si>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&lt;=100m)</t>
  </si>
  <si>
    <t>V/c cừ tràm 5m ( cự ly &lt;=300m)</t>
  </si>
  <si>
    <t>V/c cừ tràm 5m ( cự ly &lt;=500m)</t>
  </si>
  <si>
    <t>V/c cừ tràm 5m ( cự ly &gt; 500m)</t>
  </si>
  <si>
    <t>V/c xi măng ( cự ly &lt;=100m)</t>
  </si>
  <si>
    <t>V/c xi măng ( cự ly &lt;=300m)</t>
  </si>
  <si>
    <t>V/c xi măng ( cự ly &lt;=500m)</t>
  </si>
  <si>
    <t>V/c xi măng ( cự ly &gt;500m)</t>
  </si>
  <si>
    <t>V/c đá dăm ( cự ly &lt;=100m)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</si>
  <si>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</si>
  <si>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</si>
  <si>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</si>
  <si>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</si>
  <si>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</si>
  <si>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</si>
  <si>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</si>
  <si>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</si>
  <si>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</si>
  <si>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</si>
  <si>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</si>
  <si>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&lt;=100m</t>
  </si>
  <si>
    <t>V/c cát vàng cự ly &lt;=300m</t>
  </si>
  <si>
    <t>V/c cát vàng cự ly &lt;=500m</t>
  </si>
  <si>
    <t>V/c cát cự vàng ly &gt;500m</t>
  </si>
  <si>
    <t>V/c cốt thép ( cự ly &lt;=100m)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</si>
  <si>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</si>
  <si>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</si>
  <si>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</si>
  <si>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</si>
  <si>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</si>
  <si>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</si>
  <si>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xà, thép thanh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</si>
  <si>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</si>
  <si>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</si>
  <si>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</si>
  <si>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</si>
  <si>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</si>
  <si>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</si>
  <si>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</si>
  <si>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</si>
  <si>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</si>
  <si>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</si>
  <si>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Đóng cọc tiếp địa đất cấp 4</t>
  </si>
  <si>
    <t>Đóng cọc tiếp địa trong TBA đất cấp 3</t>
  </si>
  <si>
    <t>Đóng cọc tiếp địa trong TBA đaất cấp 4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</si>
  <si>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</si>
  <si>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</si>
  <si>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</si>
  <si>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</si>
  <si>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</si>
  <si>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</si>
  <si>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 (cẩu)</t>
  </si>
  <si>
    <t>Dựng trụ BTLT &lt;10m thủ công +cơ giới (cẩu)</t>
  </si>
  <si>
    <t>Dựng trụ BTLT 10,5m thủ công + cơ giới (cẩu)</t>
  </si>
  <si>
    <t>Dựng trụ BTLT 12m thủ công + cơ giới (cẩu)</t>
  </si>
  <si>
    <t>Dựng trụ BTLT 14m thủ công + cơ giới (cẩu)</t>
  </si>
  <si>
    <t>Dựng trụ BTLT 18m thủ công + cơ giới</t>
  </si>
  <si>
    <t>mối</t>
  </si>
  <si>
    <t>Dựng trụ BTLT 12m trong TBA bằng thủ công + cơ giới</t>
  </si>
  <si>
    <t>Dựng trụ BTLT 10,5m trong TBA bằng thủ công + cơ giới</t>
  </si>
  <si>
    <t>Lắp xà đỡ 15kg</t>
  </si>
  <si>
    <t>Lắp xà đỡ 25kg</t>
  </si>
  <si>
    <t>Lắp xà đỡ 50kg</t>
  </si>
  <si>
    <t>Lắp xà đỡ 50kg trong phạm vi trạm</t>
  </si>
  <si>
    <t>Lắp xà néo 25kg</t>
  </si>
  <si>
    <t>Lắp xà néo 50kg</t>
  </si>
  <si>
    <t>Lắp xà néo ≤ 100kg</t>
  </si>
  <si>
    <t>Lắp xà trụ ghép ≤ 140kg</t>
  </si>
  <si>
    <t>Lắp xà trụ ghép ≤ 230kg</t>
  </si>
  <si>
    <t>Lắp xà cột Pi loại ≤140kg/xà</t>
  </si>
  <si>
    <t>Lắp xà cột Pi loại ≤ 230kg/xà</t>
  </si>
  <si>
    <t>Lắp xà cột Pi loại ≤ 320kg/xà</t>
  </si>
  <si>
    <t>Lắp đầu cáp trung thế 3x50mm2, 70mm2</t>
  </si>
  <si>
    <t>Làm đầu cáp &lt;=300mm2</t>
  </si>
  <si>
    <t>Lắp đầu cáp trung thế 3x150mm2, 185mm2</t>
  </si>
  <si>
    <t>Lắp đầu cáp hạ thế 3x50mm2, 70mm2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</si>
  <si>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</si>
  <si>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</si>
  <si>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</si>
  <si>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</si>
  <si>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</si>
  <si>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</si>
  <si>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</si>
  <si>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</si>
  <si>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</si>
  <si>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</si>
  <si>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</si>
  <si>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</si>
  <si>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</si>
  <si>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</si>
  <si>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</si>
  <si>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</si>
  <si>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</si>
  <si>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</si>
  <si>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</si>
  <si>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</si>
  <si>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</si>
  <si>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</si>
  <si>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</si>
  <si>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</si>
  <si>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</si>
  <si>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</si>
  <si>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nhôm lõi thép cỡ dây 35mm2</t>
  </si>
  <si>
    <t>Kéo dây nhôm lõi thép cỡ dây 95mm2</t>
  </si>
  <si>
    <t>Kéo dây nhôm lõi thép cỡ dây 120mm2</t>
  </si>
  <si>
    <t>Kéo dây nhôm lõi thép cỡ dây 150mm2</t>
  </si>
  <si>
    <t>Kéo dây nhôm lõi thép cỡ dây 185mm2</t>
  </si>
  <si>
    <t>Kéo dây nhôm lõi thép cỡ dây 240mm2</t>
  </si>
  <si>
    <t>Kéo dây đồng bọc 25mm2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</si>
  <si>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</si>
  <si>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</si>
  <si>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</si>
  <si>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</si>
  <si>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</si>
  <si>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</si>
  <si>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</si>
  <si>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</si>
  <si>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</si>
  <si>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</si>
  <si>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</si>
  <si>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</si>
  <si>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</si>
  <si>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</si>
  <si>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</si>
  <si>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</si>
  <si>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</si>
  <si>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</si>
  <si>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ống nhựa PVC D&lt;=200mm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</si>
  <si>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</si>
  <si>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</si>
  <si>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</si>
  <si>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</si>
  <si>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</si>
  <si>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</si>
  <si>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</si>
  <si>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</si>
  <si>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</si>
  <si>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</si>
  <si>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</si>
  <si>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</si>
  <si>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</si>
  <si>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</si>
  <si>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ngầm trên giá đỡ loại &lt;=18kg</t>
  </si>
  <si>
    <t>Lắp cáp ngầm trong ống loại &lt;=18kg</t>
  </si>
  <si>
    <t>Lắp sứ đứng 24KV</t>
  </si>
  <si>
    <t>Lắp sứ đứng 35KV</t>
  </si>
  <si>
    <t>Lắp chuỗi sứ đỡ 2 bát/chuỗi</t>
  </si>
  <si>
    <t>Lắp chuỗi sứ néo 2 bát/chuỗi</t>
  </si>
  <si>
    <t>Lắp chuỗi sứ néo 3 bát/chuỗi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</si>
  <si>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</si>
  <si>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</si>
  <si>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</si>
  <si>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</si>
  <si>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</si>
  <si>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</si>
  <si>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</si>
  <si>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</si>
  <si>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</si>
  <si>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</si>
  <si>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</si>
  <si>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Sơn biển số- bảng nguy hiểm</t>
  </si>
  <si>
    <t>Lắp FCO 24KV</t>
  </si>
  <si>
    <t>Lắp LBFCO 24KV</t>
  </si>
  <si>
    <t>Lắp giá đỡ FCO</t>
  </si>
  <si>
    <t>Phát tuyến</t>
  </si>
  <si>
    <t xml:space="preserve"> TB </t>
  </si>
  <si>
    <t xml:space="preserve"> NC </t>
  </si>
  <si>
    <t xml:space="preserve"> M 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</si>
  <si>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</si>
  <si>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</si>
  <si>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</si>
  <si>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</si>
  <si>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</si>
  <si>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</si>
  <si>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</si>
  <si>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</si>
  <si>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</si>
  <si>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</si>
  <si>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</si>
  <si>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75kVA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</si>
  <si>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</si>
  <si>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</si>
  <si>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</si>
  <si>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</si>
  <si>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</si>
  <si>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</si>
  <si>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</si>
  <si>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</si>
  <si>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</si>
  <si>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</si>
  <si>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</si>
  <si>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</si>
  <si>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</si>
  <si>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</si>
  <si>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</si>
  <si>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</si>
  <si>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</si>
  <si>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</si>
  <si>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</si>
  <si>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</si>
  <si>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</si>
  <si>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</si>
  <si>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</si>
  <si>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</si>
  <si>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</si>
  <si>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</si>
  <si>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</si>
  <si>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</si>
  <si>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Tủ trạm hợp bộ đến 1000kVA</t>
  </si>
  <si>
    <t>tủ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</si>
  <si>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</si>
  <si>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</si>
  <si>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</si>
  <si>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</si>
  <si>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</si>
  <si>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</si>
  <si>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</si>
  <si>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</si>
  <si>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</si>
  <si>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</si>
  <si>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</si>
  <si>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</si>
  <si>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</si>
  <si>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</si>
  <si>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</si>
  <si>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</si>
  <si>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</si>
  <si>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</si>
  <si>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</si>
  <si>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</si>
  <si>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</si>
  <si>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</si>
  <si>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</si>
  <si>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</si>
  <si>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</si>
  <si>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</si>
  <si>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</si>
  <si>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- 600/5A</t>
  </si>
  <si>
    <t>Biến dòng 600V - 800/5A</t>
  </si>
  <si>
    <t>Biến dòng 600V - 1000/5A</t>
  </si>
  <si>
    <t>Biến dòng 600V - 1200/5A</t>
  </si>
  <si>
    <t>Biến dòng 600V - 1600/5A</t>
  </si>
  <si>
    <t>Biến điện áp 8400/120(60)V</t>
  </si>
  <si>
    <t>Relay Timer + cầu chì</t>
  </si>
  <si>
    <t>Tủ tụ bù hạ thế 1000kVAr</t>
  </si>
  <si>
    <t>Tủ tụ bù hạ thế 800kVAr</t>
  </si>
  <si>
    <t>Tủ tụ bù hạ thế 750kVAr</t>
  </si>
  <si>
    <t>Tủ tụ bù hạ thế 600kVAr</t>
  </si>
  <si>
    <t>Tủ tụ bù hạ thế 500kVAr</t>
  </si>
  <si>
    <t>Tủ tụ bù hạ thế 400kVAr</t>
  </si>
  <si>
    <t>Tủ tụ bù hạ thế 380kVAr</t>
  </si>
  <si>
    <t>Tủ tụ bù hạ thế 300kVAr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</si>
  <si>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</si>
  <si>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</si>
  <si>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</si>
  <si>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</si>
  <si>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</si>
  <si>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</si>
  <si>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65kVAr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</si>
  <si>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</si>
  <si>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</si>
  <si>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</si>
  <si>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</si>
  <si>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</si>
  <si>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</si>
  <si>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</si>
  <si>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+ thanh cái 1600A</t>
  </si>
  <si>
    <t>Tủ ACB + thanh cái 2000A</t>
  </si>
  <si>
    <t>Tủ ACB + thanh cái 2500A</t>
  </si>
  <si>
    <t>Tủ ACB + thanh cái 3200A</t>
  </si>
  <si>
    <t>Tủ ACB + thanh cái 4000A</t>
  </si>
  <si>
    <t>Tủ CB trạm 3 pha + khoá + bulon</t>
  </si>
  <si>
    <t>Tủ MCCB trạm giàn 1 ngăn</t>
  </si>
  <si>
    <t>Tủ MCCB trạm giàn 2 ngăn</t>
  </si>
  <si>
    <t>Tủ MCCB + thanh cái 1250A</t>
  </si>
  <si>
    <t>Tủ MCCB + thanh cái 1600A</t>
  </si>
  <si>
    <t>Tủ MCCB trạm treo 1 pha</t>
  </si>
  <si>
    <t>Tủ MCCB trạm treo 3 pha</t>
  </si>
  <si>
    <t>Tủ CB trạm 1 pha + khóa + boulon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</si>
  <si>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</si>
  <si>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</si>
  <si>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</si>
  <si>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</si>
  <si>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</si>
  <si>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- 15kA</t>
  </si>
  <si>
    <t>Aptomat 2 cực 220V - 40A - 15kA</t>
  </si>
  <si>
    <t>Aptomat 2 cực 220V - 50A - 15kA</t>
  </si>
  <si>
    <t>Aptomat 2 cực 220V - 60A - 15kA</t>
  </si>
  <si>
    <t>Aptomat 2 cực 220V -80A-30kA</t>
  </si>
  <si>
    <t>Aptomat 2 cực 220V -100A-30kA</t>
  </si>
  <si>
    <t>Aptomat 2 cực 220V -125A-30kA</t>
  </si>
  <si>
    <t>MCCB 3 cực 400V-50A - 7,5KA</t>
  </si>
  <si>
    <t>MCCB 3 cực 400V-63A - 7,5KA</t>
  </si>
  <si>
    <t>MCCB 3 cực 400V-75A - 30KA</t>
  </si>
  <si>
    <t>MCCB 3 cực 400V-80A - 30KA</t>
  </si>
  <si>
    <t>MCCB 3 cực 400V-100A - 30KA</t>
  </si>
  <si>
    <t>MCCB 3 cực 400V -125A - 36KA</t>
  </si>
  <si>
    <t>MCCB 3 cực 400V -150A - 36KA</t>
  </si>
  <si>
    <t>MCCB 3 cực 400V -300A - 36KA</t>
  </si>
  <si>
    <t>MCCB 3 cực 400V -600A - 50KA</t>
  </si>
  <si>
    <t>MCCB 3 cực 400V -800A - 50KA</t>
  </si>
  <si>
    <t>MCCB 3 cực 400V -1600A - 85KA</t>
  </si>
  <si>
    <t>ACB 3P - 1600A - 65KA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</si>
  <si>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</si>
  <si>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</si>
  <si>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</si>
  <si>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</si>
  <si>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</si>
  <si>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</si>
  <si>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</si>
  <si>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</si>
  <si>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Sợi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</si>
  <si>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</si>
  <si>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</si>
  <si>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</si>
  <si>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</si>
  <si>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</si>
  <si>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</si>
  <si>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</si>
  <si>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</si>
  <si>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</si>
  <si>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</si>
  <si>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</si>
  <si>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</si>
  <si>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</si>
  <si>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</si>
  <si>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</si>
  <si>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</si>
  <si>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</si>
  <si>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</si>
  <si>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năng kế 3 pha 380V-5A</t>
  </si>
  <si>
    <t>Khoan giếng tiếp địa</t>
  </si>
  <si>
    <t>Cái</t>
  </si>
  <si>
    <t>Giếng tiếp địa khoan đá</t>
  </si>
  <si>
    <t>Sứ xuyên tường 24kV</t>
  </si>
  <si>
    <t>Gía lắp sứ xuyên tường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</si>
  <si>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</si>
  <si>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</si>
  <si>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</si>
  <si>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</si>
  <si>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</si>
  <si>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</si>
  <si>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</si>
  <si>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</si>
  <si>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Gía chùm treo máy biến áp 3x15</t>
  </si>
  <si>
    <t>bô</t>
  </si>
  <si>
    <t>Gía chùm treo máy biến áp 3x25</t>
  </si>
  <si>
    <t>Gía chùm treo máy biến áp 3x37,5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</si>
  <si>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</si>
  <si>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</si>
  <si>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</si>
  <si>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</si>
  <si>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</si>
  <si>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</si>
  <si>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</si>
  <si>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</si>
  <si>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</si>
  <si>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</si>
  <si>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300mm2</t>
  </si>
  <si>
    <t>Đầu cosse ép Cu-Al 400mm2</t>
  </si>
  <si>
    <t xml:space="preserve">Đầu cosse ép Cu 2,5mm2 + bao PVC </t>
  </si>
  <si>
    <t>Đầu cosse ép Cu 11mm2</t>
  </si>
  <si>
    <t>Đầu cosse ép Cu 16mm2</t>
  </si>
  <si>
    <t>Đầu cosse ép Cu 22mm2</t>
  </si>
  <si>
    <t xml:space="preserve">Đầu cosse ép Cu 25mm2 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</si>
  <si>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</si>
  <si>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</si>
  <si>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</si>
  <si>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</si>
  <si>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</si>
  <si>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</si>
  <si>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</si>
  <si>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</si>
  <si>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</si>
  <si>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</si>
  <si>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</si>
  <si>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</si>
  <si>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Đầu cosse ép Cu 25mm2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</si>
  <si>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</si>
  <si>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</si>
  <si>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</si>
  <si>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</si>
  <si>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</si>
  <si>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</si>
  <si>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</si>
  <si>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</si>
  <si>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</si>
  <si>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</si>
  <si>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</si>
  <si>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</si>
  <si>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</si>
  <si>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</si>
  <si>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Cáp điện kế DK - 2x11</t>
  </si>
  <si>
    <t>Cáp điều khiển 7x1,5</t>
  </si>
  <si>
    <t>Cáp Duplex 2x11</t>
  </si>
  <si>
    <t>Cáp Duplex 2x16</t>
  </si>
  <si>
    <t>Cáp Duplex 2x22</t>
  </si>
  <si>
    <t>Cáp Triplex 3x11</t>
  </si>
  <si>
    <t>Cáp Triplex 3x16</t>
  </si>
  <si>
    <t>Cáp Triplex 3x22</t>
  </si>
  <si>
    <t>Cáp Quadruplex 4x11</t>
  </si>
  <si>
    <t>Cáp Quadruplex 4x16</t>
  </si>
  <si>
    <t>Cáp Quadruplex 4x22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</si>
  <si>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</si>
  <si>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</si>
  <si>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</si>
  <si>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</si>
  <si>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</si>
  <si>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</si>
  <si>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</si>
  <si>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</si>
  <si>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</si>
  <si>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</si>
  <si>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</si>
  <si>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</si>
  <si>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</si>
  <si>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</si>
  <si>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</si>
  <si>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</si>
  <si>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</si>
  <si>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</si>
  <si>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</si>
  <si>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</si>
  <si>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</si>
  <si>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</si>
  <si>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</si>
  <si>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Ong nhựa đàn hồi</t>
  </si>
  <si>
    <t>Ống đàn hồi 168</t>
  </si>
  <si>
    <t>Ống đàn hồi 42</t>
  </si>
  <si>
    <t>Co 90 độ PVC 21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</si>
  <si>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</si>
  <si>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</si>
  <si>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</si>
  <si>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</si>
  <si>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</si>
  <si>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</si>
  <si>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</si>
  <si>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 (loại dày)</t>
  </si>
  <si>
    <t>Co  90 độ PVC 114</t>
  </si>
  <si>
    <t>Co 90 độ PVC 140</t>
  </si>
  <si>
    <t>Co sừng 90 độ PVC 140</t>
  </si>
  <si>
    <t>Co sừng 90 độ PVC 168 loại mỏng</t>
  </si>
  <si>
    <t>Nối ống PVC 140</t>
  </si>
  <si>
    <t>Nối ống PVC 114</t>
  </si>
  <si>
    <t xml:space="preserve">Nối thẳng ống PVC 90 </t>
  </si>
  <si>
    <t>Nối thẳng ống PVC 42</t>
  </si>
  <si>
    <t>Nối ống PVC 42 chữ T</t>
  </si>
  <si>
    <t>Tấm bakelit hay nhựa cách điện 600V (200x60x6)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</si>
  <si>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</si>
  <si>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</si>
  <si>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</si>
  <si>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</si>
  <si>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cuộn</t>
  </si>
  <si>
    <t>Keo silicon bít miệng 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</si>
  <si>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</si>
  <si>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</si>
  <si>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</si>
  <si>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</si>
  <si>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</si>
  <si>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</si>
  <si>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</si>
  <si>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</si>
  <si>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</si>
  <si>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</si>
  <si>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</si>
  <si>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</si>
  <si>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Oc xiết cáp Cu - Al 1/0</t>
  </si>
  <si>
    <t>Oc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</si>
  <si>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</si>
  <si>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</si>
  <si>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</si>
  <si>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</si>
  <si>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</si>
  <si>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</si>
  <si>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</si>
  <si>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</si>
  <si>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</si>
  <si>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</si>
  <si>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</si>
  <si>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</si>
  <si>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</si>
  <si>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</si>
  <si>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o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</si>
  <si>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</si>
  <si>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</si>
  <si>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</si>
  <si>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</si>
  <si>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</si>
  <si>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</si>
  <si>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</si>
  <si>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>Đà U160x68x5x2800 đỡ MBA</t>
  </si>
  <si>
    <t>U</t>
  </si>
  <si>
    <t>Đà U200x80x5x2800 đỡ MBA</t>
  </si>
  <si>
    <t>Đà sắt U80x340</t>
  </si>
  <si>
    <t>Xà kẹp TU, TI U40x22x3x425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</si>
  <si>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</si>
  <si>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</si>
  <si>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</si>
  <si>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</si>
  <si>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</si>
  <si>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</si>
  <si>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</si>
  <si>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</si>
  <si>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</si>
  <si>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50-35</t>
  </si>
  <si>
    <t>Ghíp nối IPC 70-35</t>
  </si>
  <si>
    <t>Ghíp nối IPC 95-35</t>
  </si>
  <si>
    <t>Ghíp nối IPC 50-50</t>
  </si>
  <si>
    <t>Ghíp nối IPC 70-50</t>
  </si>
  <si>
    <t>Ghíp nối IPC 95-50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</si>
  <si>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</si>
  <si>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</si>
  <si>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</si>
  <si>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</si>
  <si>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</si>
  <si>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</si>
  <si>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</si>
  <si>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</si>
  <si>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</si>
  <si>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</si>
  <si>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</si>
  <si>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</si>
  <si>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</si>
  <si>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</si>
  <si>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</si>
  <si>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</si>
  <si>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Tủ điều khiển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</si>
  <si>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</si>
  <si>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</si>
  <si>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</si>
  <si>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</si>
  <si>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</si>
  <si>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</si>
  <si>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</si>
  <si>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</si>
  <si>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</si>
  <si>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</si>
  <si>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</si>
  <si>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</si>
  <si>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</si>
  <si>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</si>
  <si>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</si>
  <si>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</si>
  <si>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</si>
  <si>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</si>
  <si>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</si>
  <si>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</si>
  <si>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</si>
  <si>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</si>
  <si>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</si>
  <si>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</si>
  <si>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</si>
  <si>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</si>
  <si>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</si>
  <si>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</si>
  <si>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</si>
  <si>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</si>
  <si>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</si>
  <si>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</si>
  <si>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</si>
  <si>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</si>
  <si>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</si>
  <si>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</si>
  <si>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</si>
  <si>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</si>
  <si>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</si>
  <si>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SHĐM</t>
  </si>
  <si>
    <t>TÊN CẤU KIỆN</t>
  </si>
  <si>
    <t>ĐƠN VỊ</t>
  </si>
  <si>
    <t>LƯỢNG</t>
  </si>
  <si>
    <t xml:space="preserve">KHỐI </t>
  </si>
  <si>
    <t>ĐƠN GIÁ</t>
  </si>
  <si>
    <t>VL PHỤ</t>
  </si>
  <si>
    <t>N CÔNG</t>
  </si>
  <si>
    <t>MÁY</t>
  </si>
  <si>
    <t>THÀNH TIỀN</t>
  </si>
  <si>
    <t>GHI CHÚ</t>
  </si>
  <si>
    <t>điện lực cấp</t>
  </si>
  <si>
    <t>A.PHẦN THIẾT BỊ</t>
  </si>
  <si>
    <t>B. PHẦN VẬT LIỆU</t>
  </si>
  <si>
    <t>Trụ BTLT 12m</t>
  </si>
  <si>
    <t>Gồm có:</t>
  </si>
  <si>
    <t>Móng trụ M12a</t>
  </si>
  <si>
    <t>Giá đỡ FCO, LA 1 pha</t>
  </si>
  <si>
    <t>Bộ tiếp địa trạm 1 pha</t>
  </si>
  <si>
    <t>Tủ điện năng kế và CB 1 pha</t>
  </si>
  <si>
    <t>Bộ dây dẫn hạ thế</t>
  </si>
  <si>
    <t>Bộ dây dẫn 22kV xuống thiết bị</t>
  </si>
  <si>
    <t>Nắp che đầu sứ MBA</t>
  </si>
  <si>
    <t>BẢNG TỔNG HỢP VẬT LIỆU, NHÂN CÔNG, MÁY THI CÔNG : 0 TRẠM 1P25KVA</t>
  </si>
  <si>
    <t>CỘNG TB:</t>
  </si>
  <si>
    <t>TỔNG CỘNG:</t>
  </si>
  <si>
    <t>Trụ BTLT 10,5m</t>
  </si>
  <si>
    <t>Móng M12a</t>
  </si>
  <si>
    <t>Móng</t>
  </si>
  <si>
    <t>Móng M10a</t>
  </si>
  <si>
    <t>Móng M12aa</t>
  </si>
  <si>
    <t>Móng M10BT</t>
  </si>
  <si>
    <t>Móng M8a</t>
  </si>
  <si>
    <t>Đà đặt MBA</t>
  </si>
  <si>
    <t xml:space="preserve">Trụ BTLT 12m </t>
  </si>
  <si>
    <t xml:space="preserve">Giá đỡ FCO, LA 1 pha </t>
  </si>
  <si>
    <t xml:space="preserve">Gồm có: </t>
  </si>
  <si>
    <t xml:space="preserve">Bộ tiếp địa Trạm 1 pha : </t>
  </si>
  <si>
    <t xml:space="preserve">Bộ tiếp địa Trạm 3 pha : </t>
  </si>
  <si>
    <t>Bộ tiếp địa Trạm 3 pha</t>
  </si>
  <si>
    <t>Đà Composite 110x80x5x2400</t>
  </si>
  <si>
    <t>Đà Composite 110x80x5x3000</t>
  </si>
  <si>
    <t>Đà Composite 110x80x5x2600</t>
  </si>
  <si>
    <t>Đà Composite 110x80x5x800</t>
  </si>
  <si>
    <t>Moãi Bộ goàm:</t>
  </si>
  <si>
    <t>Tủ điện năng kế và CB</t>
  </si>
  <si>
    <t>Tủ điện năng kế và CB 3 pha</t>
  </si>
  <si>
    <t>Bộ dây dẫn xuống  1 pha</t>
  </si>
  <si>
    <t>Bộ dây dẫn xuống  22kV 1 pha</t>
  </si>
  <si>
    <t>Bộ dây dẫn xuống  22KV 3 pha</t>
  </si>
  <si>
    <t>Bộ dây dẫn hạ thế Trạm  25KVA</t>
  </si>
  <si>
    <t>Bộ dây dẫn hạ thế Trạm  37,5KVA</t>
  </si>
  <si>
    <t>Bộ dây dẫn hạ thế Trạm  50KVA</t>
  </si>
  <si>
    <t>Bộ dây dẫn hạ thế Trạm  75KVA</t>
  </si>
  <si>
    <t xml:space="preserve">Bộ dây dẫn hạ thế Trạm  3x15kVA </t>
  </si>
  <si>
    <t xml:space="preserve">Bộ dây dẫn hạ thế Trạm  3x25kVA </t>
  </si>
  <si>
    <t xml:space="preserve">Bộ dây dẫn hạ thế Trạm  3x37,5KVA </t>
  </si>
  <si>
    <t xml:space="preserve">Bộ dây dẫn hạ thế Trạm  3x50KVA </t>
  </si>
  <si>
    <t>BẢNG TỔNG HỢP VẬT LIỆU, NHÂN CÔNG, MÁY THI CÔNG : 0 TRẠM 1P37,5KVA</t>
  </si>
  <si>
    <t xml:space="preserve">Trụ BTLT  12m </t>
  </si>
  <si>
    <t>Tieáp ñòa TRẠM loïai :</t>
  </si>
  <si>
    <t>TRẠM 1P</t>
  </si>
  <si>
    <t>TRẠM 3P</t>
  </si>
  <si>
    <t>Giá chùm treo 3 MBT</t>
  </si>
  <si>
    <t xml:space="preserve">Đà COMPOSITE 2400 -X-24DCP bắt FCO, LA </t>
  </si>
  <si>
    <t xml:space="preserve">Xà đơn X-22K L75x75x8x2200 </t>
  </si>
  <si>
    <t>Tủ điện năng kế và MCCB 3 pha trạm treo</t>
  </si>
  <si>
    <t>Bộ dây dẫn trung thế 3 pha xuống MBA</t>
  </si>
  <si>
    <t xml:space="preserve">Bảng tên trạm (theo mẫu Điện lực) </t>
  </si>
  <si>
    <t>Xà đơn X-22K L75x75x8x2200 (4 ốp)</t>
  </si>
  <si>
    <t xml:space="preserve">Bêtông M200 đá 1x2 nền trạm 1000x1500x400 </t>
  </si>
  <si>
    <t>Bộ dẫn cáp vào tủ tụ bù</t>
  </si>
  <si>
    <t>Đà đơn Composite 2600 bắt FCO + LA</t>
  </si>
  <si>
    <t xml:space="preserve">Xà đơn L75x75x8x2600 (3 ốp)  đỡ sứ </t>
  </si>
  <si>
    <t xml:space="preserve">Xà đơn L75x75x8x2600 (3 ốp) đỡ sứ </t>
  </si>
  <si>
    <t>Xà đơn L75x75x8x2200 (4 ốp) bắt FCO và đỡ sứ</t>
  </si>
  <si>
    <t xml:space="preserve">Xà đơn L75x75x8x2600 (0 ốp) đỡ thùng CB </t>
  </si>
  <si>
    <t>Bộ tiếp địa Trạm biến áp</t>
  </si>
  <si>
    <t xml:space="preserve">Bêtông M200 đá 1x2 nền tủ tụ bù 1000x3000x400 </t>
  </si>
  <si>
    <t>Tủ đóng cắt hạ thế</t>
  </si>
  <si>
    <t>Bộ dây dẫn trung thế 24kV 3 pha</t>
  </si>
  <si>
    <t>Bộ dây dẫn trung thế 3 pha</t>
  </si>
  <si>
    <t>Bộ dây dẫn cáp xuất hạ thế từ MBA vào tủ hạ thế</t>
  </si>
  <si>
    <t>Trụ BTLT 12m:</t>
  </si>
  <si>
    <t>Xà đơn L75x75x8x2600 (3 ốp)  đỡ sứ</t>
  </si>
  <si>
    <t>Bộ dây dẫn cáp xuất hạ thế từ MBA vào tủ CB</t>
  </si>
  <si>
    <t xml:space="preserve">Bộ dây dẫn trung thế 24kV 3pha trên không </t>
  </si>
  <si>
    <t xml:space="preserve">Bêtông M200 đá 1x2 nền  tủ MCCB+ tụ bù 1000x3000x400 </t>
  </si>
  <si>
    <t xml:space="preserve">Xà kép L75x75x8x2200 (4 ốp) ñôõ TU, TI </t>
  </si>
  <si>
    <t>Xà kép L75x75x8x2600 (3 ốp) đỡ CT, PT và sứ</t>
  </si>
  <si>
    <t>Xà kép L75x75x8x2400 (4 ốp)  bắt sứ treo, TI</t>
  </si>
  <si>
    <t>Xà đơn L75x75x8x2400 (4 ốp) đỡ sứ</t>
  </si>
  <si>
    <t>Mương đỡ cáp trung thế vào tủ LBS</t>
  </si>
  <si>
    <t>Giá đỡ cáp hạ thế trong mương từ MBA đến tủ CB</t>
  </si>
  <si>
    <t>Bộ dây dẫn trung thế 24kV 3 pha từ FCO vào MBA (ngầm)</t>
  </si>
  <si>
    <t>Xà đơn L75x75x8x2200 (4 ốp) đỡ FCO, sứ</t>
  </si>
  <si>
    <t>Tủ ACB 3 pha sơn tĩnh điện</t>
  </si>
  <si>
    <t>Mương đỡ cáp trung thế vào FCO</t>
  </si>
  <si>
    <t>Giá đỡ cáp trung thế từ mương lên FCO vào MBA</t>
  </si>
  <si>
    <t>Bộ dây dẫn cáp xuất từ MBA vào tủ ACB</t>
  </si>
  <si>
    <t>Bộ đo đếm</t>
  </si>
  <si>
    <t xml:space="preserve">Xà kép L75x75x8x2200 (4 ốp) đỡ TU, TI </t>
  </si>
  <si>
    <t>Xà đơn L75x75x8x2600 (3 ốp) bắt  LA, FCO và đỡ sứ</t>
  </si>
  <si>
    <t>Tủ ACB đóng cắt hạ thế</t>
  </si>
  <si>
    <t>Bộ dây dẫn trung thế 24kV 3 pha từ FCO vào MBA</t>
  </si>
  <si>
    <t>Giá đỡ cáp hạ thế xuất MBA và vào tủ:</t>
  </si>
  <si>
    <t>Bộ dây dẫn cáp xuất MBA vào tủ CB</t>
  </si>
  <si>
    <t>Máy</t>
  </si>
  <si>
    <t>Điện lực cấp</t>
  </si>
  <si>
    <t>Sắp xếp lại cáp hiện hữu trong trạm (4 lộ)</t>
  </si>
  <si>
    <t>DANH MỤC</t>
  </si>
  <si>
    <t>ĐƠN</t>
  </si>
  <si>
    <t>KHỐI</t>
  </si>
  <si>
    <t>VỊ</t>
  </si>
  <si>
    <t>Móng M7</t>
  </si>
  <si>
    <t>Móng M7x2</t>
  </si>
  <si>
    <t>Móng M7a</t>
  </si>
  <si>
    <t>Móng M7b</t>
  </si>
  <si>
    <t>Móng M7aa</t>
  </si>
  <si>
    <t>Móng M7bb</t>
  </si>
  <si>
    <t>Móng M7-2a</t>
  </si>
  <si>
    <t>Móng M7-2b</t>
  </si>
  <si>
    <t>Móng bê tông trụ đơn 7,5m</t>
  </si>
  <si>
    <t>Móng bê tông trụ đôi 7,5m</t>
  </si>
  <si>
    <t>MóngM8</t>
  </si>
  <si>
    <t>Móng M8x2</t>
  </si>
  <si>
    <t>Móng bê tông trụ đơn 8,4m</t>
  </si>
  <si>
    <t>Móng bê tông trụ đôi 8,4m</t>
  </si>
  <si>
    <t>Móng M8b</t>
  </si>
  <si>
    <t>Móng M8aa</t>
  </si>
  <si>
    <t>Móng M8ba</t>
  </si>
  <si>
    <t>MóngM8bb</t>
  </si>
  <si>
    <t>Móng M8-2a</t>
  </si>
  <si>
    <t>Móng M8-2b</t>
  </si>
  <si>
    <t>Móng M10</t>
  </si>
  <si>
    <t>MóngM10x2</t>
  </si>
  <si>
    <t xml:space="preserve">Móng M10a </t>
  </si>
  <si>
    <t>Móng M10b</t>
  </si>
  <si>
    <t>Móng bê tông trụ đơn 10.5m</t>
  </si>
  <si>
    <t>Móng bê tông trụ đôi 10,5m</t>
  </si>
  <si>
    <t>Móng M10aa</t>
  </si>
  <si>
    <t>Móng M10ab</t>
  </si>
  <si>
    <t>Móng M10ba</t>
  </si>
  <si>
    <t>Móng M10-2bn</t>
  </si>
  <si>
    <t>Móng M10-2a</t>
  </si>
  <si>
    <t>Móng M10-2b</t>
  </si>
  <si>
    <t>Móng M12</t>
  </si>
  <si>
    <t>Móng M12x2</t>
  </si>
  <si>
    <t>Móng M12b</t>
  </si>
  <si>
    <t>Móng M12ab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</si>
  <si>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</si>
  <si>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</si>
  <si>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</si>
  <si>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</si>
  <si>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</si>
  <si>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</si>
  <si>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</si>
  <si>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</si>
  <si>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</si>
  <si>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</si>
  <si>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Móng bê tông trụ đôi 12m tim 500</t>
  </si>
  <si>
    <t>Móng M14</t>
  </si>
  <si>
    <t>Móng trụ đôi chôn sâu trực tiếp M14x2</t>
  </si>
  <si>
    <t>Móng M14a</t>
  </si>
  <si>
    <t>Móng M14b</t>
  </si>
  <si>
    <t>Móng bê tông trụ đơn 14m</t>
  </si>
  <si>
    <t>Móng bê tông trụ đôi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</si>
  <si>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</si>
  <si>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</si>
  <si>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</si>
  <si>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</si>
  <si>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</si>
  <si>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</si>
  <si>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</si>
  <si>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</si>
  <si>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</si>
  <si>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</si>
  <si>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 tủ điều khiển chiếu sáng</t>
  </si>
  <si>
    <t>Tiếp địa lặp lại (trụ 7.5m)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</si>
  <si>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</si>
  <si>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</si>
  <si>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</si>
  <si>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</si>
  <si>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trụ có dây TE</t>
  </si>
  <si>
    <t>Tiếp địa đầu cáp ngầm</t>
  </si>
  <si>
    <t>Tiếp địa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</si>
  <si>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</si>
  <si>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</si>
  <si>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</si>
  <si>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</si>
  <si>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Phần trụ đường dây nỗi</t>
  </si>
  <si>
    <t>Trụ thép bát giác cao 6m</t>
  </si>
  <si>
    <t>Trụ bê tông ly tâm 7.5m</t>
  </si>
  <si>
    <t>Trụ bê tông ly tâm 8.4m</t>
  </si>
  <si>
    <t>Nhổ trụ 8,4m</t>
  </si>
  <si>
    <t>Nhổ và dựng trụ 8,4m</t>
  </si>
  <si>
    <t>Trụ bê tông ly tâm 10.5m</t>
  </si>
  <si>
    <t>Trụ bê tông ly tâm 12m trồng thủ công</t>
  </si>
  <si>
    <t>Trụ bê tông ly tâm 12m sử dụng lại</t>
  </si>
  <si>
    <t>Trụ bê tông ly tâm 12m có dây TE</t>
  </si>
  <si>
    <t>Trụ bê tông ly tâm 12m</t>
  </si>
  <si>
    <t>Trụ bê tông ly tâm 14m</t>
  </si>
  <si>
    <t>Trụ bê tông ly tâm 20m</t>
  </si>
  <si>
    <t>Phần xà, néo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</si>
  <si>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</si>
  <si>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</si>
  <si>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</si>
  <si>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</si>
  <si>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</si>
  <si>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Bộ xà đơn L75x75x8 dài 2.2m: X-22Đ - C920</t>
  </si>
  <si>
    <t xml:space="preserve">Tháo và lắp bộ xà kép L75x75x8 dài 2.1m: X-21K </t>
  </si>
  <si>
    <t>Bộ xà kép L75x75x8 dài 2.2m: X-22K-Đ - C810 (lắp trụ đơn)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</si>
  <si>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</si>
  <si>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</si>
  <si>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</si>
  <si>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</si>
  <si>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</si>
  <si>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</si>
  <si>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</si>
  <si>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</si>
  <si>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</si>
  <si>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</si>
  <si>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</si>
  <si>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</si>
  <si>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</si>
  <si>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Bộ xà kép 2600 trụ Pi tim 2400: X-26KP</t>
  </si>
  <si>
    <t>Bộ xà kép 2800 trụ Pi tim 1400: X-28KP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</si>
  <si>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</si>
  <si>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</si>
  <si>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</si>
  <si>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</si>
  <si>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</si>
  <si>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</si>
  <si>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</si>
  <si>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</si>
  <si>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</si>
  <si>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</si>
  <si>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</si>
  <si>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</si>
  <si>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</si>
  <si>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</si>
  <si>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và lắp bộ chằng xuống đơn cho trụ 12m: CL12-B</t>
  </si>
  <si>
    <t>Bộ chằng xuống đơn cho trụ 12m: CX12-B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</si>
  <si>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</si>
  <si>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</si>
  <si>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</si>
  <si>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</si>
  <si>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</si>
  <si>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</si>
  <si>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</si>
  <si>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</si>
  <si>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</si>
  <si>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</si>
  <si>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</si>
  <si>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</si>
  <si>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</si>
  <si>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</si>
  <si>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</si>
  <si>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</si>
  <si>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</si>
  <si>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</si>
  <si>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</si>
  <si>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</si>
  <si>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</si>
  <si>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</si>
  <si>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</si>
  <si>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</si>
  <si>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</si>
  <si>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</si>
  <si>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</si>
  <si>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</si>
  <si>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</si>
  <si>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</si>
  <si>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Phần dây, sứ và phụ kiện</t>
  </si>
  <si>
    <t>Bộ Uclevis đỡ dây trung hòa: Đth-U</t>
  </si>
  <si>
    <t>Bộ Uclevis néo dây trung hòa vào trụ: Nth-U</t>
  </si>
  <si>
    <t>Bộ khóa néo dây trung hòa vào trụ: Nth-T</t>
  </si>
  <si>
    <t>Bộ cách điện đứng+ty sứ : SĐU</t>
  </si>
  <si>
    <t>Bộ cách điện đỉnh+ty sứ đơn : SĐI</t>
  </si>
  <si>
    <t>Bộ cách điện đỉnh góc + ty sứ đơn : SĐG</t>
  </si>
  <si>
    <t>Chuỗi sứ treo 2bát 25kV lắp vào trụ : CĐT 2BAT-T</t>
  </si>
  <si>
    <t>Chuỗi sứ treo Polymer 25kV lắp vào xà : CĐT ply-X</t>
  </si>
  <si>
    <t>Phân trung thế 3 pha XD mới</t>
  </si>
  <si>
    <t>Chuỗi sứ đỡ 2bát 25kV lắp vào trụ : CĐT 2BAT-T</t>
  </si>
  <si>
    <t>Chuỗi sứ treo Polymer 25kV lắp vào xà : CĐT 2BAT-X</t>
  </si>
  <si>
    <t>Phụ kiện đấu nối đầu đường dây</t>
  </si>
  <si>
    <t>Bộ Uclevis đỡ dây trung hòa: Đth-U (trụ đơn)</t>
  </si>
  <si>
    <t>Bộ Uclevis đỡ dây trung hòa vào xà: Đth-X</t>
  </si>
  <si>
    <t>Bộ khóa néo dây trung hòa vào trụ: Nth-T-g</t>
  </si>
  <si>
    <t>Bộ khóa néo dây trung hòa vào xa: Nth-X</t>
  </si>
  <si>
    <t>Chuỗi sứ treo 2bát 25kV lắp vào xà : CĐT 2BAT-X</t>
  </si>
  <si>
    <t>Cổ dê băt xà</t>
  </si>
  <si>
    <t xml:space="preserve">Tháo chuỗi sứ néo Polymer đường dây 1 pha </t>
  </si>
  <si>
    <t>Lắp Gi U 80x600 lắp FCO</t>
  </si>
  <si>
    <t>Tháo lắp bộ chằng xuống (tháo + lắp)</t>
  </si>
  <si>
    <t>Tháo rack sứ + sứ ống chỉ</t>
  </si>
  <si>
    <t>Tháo LA 18kV 10kA</t>
  </si>
  <si>
    <t>Lắp FCO 24kV - 100A</t>
  </si>
  <si>
    <t>Lắp LA 18kV 10kA</t>
  </si>
  <si>
    <t>Tháo giá T hiện hữu đầu nhánh</t>
  </si>
  <si>
    <t>Tháo rack 3 sứ + sứ ống chỉ</t>
  </si>
  <si>
    <t>Tháo rack 4 sứ + sứ ống chỉ</t>
  </si>
  <si>
    <t>Phân trung thế nổi ( nâng cấp từ 2 mạch lên 3 mạch)</t>
  </si>
  <si>
    <t>Tháo sứ đứng</t>
  </si>
  <si>
    <t>Tháo sứ đỉnh hiện hữu</t>
  </si>
  <si>
    <t>Tháo chuỗi sứ néo 2 bát/chuỗi hiện hữu</t>
  </si>
  <si>
    <t>Tháo FCO 24kV - 100A hiện hữu</t>
  </si>
  <si>
    <t>Phân trung thế 1 pha XD mới</t>
  </si>
  <si>
    <t>Chuỗi sứ treo Polymer 25kV lắp vào trụ : CĐT ply-T</t>
  </si>
  <si>
    <t>Chuỗi sứ đỡ 2bát 25kV lắp vào xà : CĐT 2BAT-X</t>
  </si>
  <si>
    <t>Phụ kiện đấu nối đường dây</t>
  </si>
  <si>
    <t>Kéo dây vượt sông</t>
  </si>
  <si>
    <t>Phần hạ thế độc lập</t>
  </si>
  <si>
    <t>Phần hạ thế cải tạo</t>
  </si>
  <si>
    <t>Phần hạ thế chiếu sáng</t>
  </si>
  <si>
    <t>Phần đấu nối HOTLINE</t>
  </si>
  <si>
    <t>Phần thiết bị đường dây 3 pha XDM 2 mạch</t>
  </si>
  <si>
    <t>Phần thiết bị đường dây nổi 3 pha 1 mạch</t>
  </si>
  <si>
    <t>Phần vật liệu trụ đo đếm</t>
  </si>
  <si>
    <t>Phần thiết bị đường dây 1 pha XDM</t>
  </si>
  <si>
    <t xml:space="preserve">Phần thiết bị đường dây hạ thế </t>
  </si>
  <si>
    <t>Phần biển báo vượt sông</t>
  </si>
  <si>
    <t>Cột báo hiệu cao 9m</t>
  </si>
  <si>
    <t>Biển báo hiệu 1.2mx1.2m</t>
  </si>
  <si>
    <t>Móng cột báo hiệu 1.2mx1.2m</t>
  </si>
  <si>
    <t>Vật liệu nhổ trụ</t>
  </si>
  <si>
    <t>Nhổ trụ BTLT &lt;10m thủ công +cơ giới</t>
  </si>
  <si>
    <t>Giá nới + ty móc Þ16x50, ghép 2PL4x40x350 (2x0,45kg)</t>
  </si>
  <si>
    <t>Tháo bộ dây néo</t>
  </si>
  <si>
    <t>Tháo bộ chống lệch</t>
  </si>
  <si>
    <t>Chuỗi</t>
  </si>
  <si>
    <t>Tbộ</t>
  </si>
  <si>
    <t>CdT 2BAT-X</t>
  </si>
  <si>
    <t>Biển</t>
  </si>
  <si>
    <t>Phần móng và tiếp địa đường dây nỗi</t>
  </si>
  <si>
    <t>HTĐL</t>
  </si>
  <si>
    <t>K.LƯỢNG</t>
  </si>
  <si>
    <t>HS lắp  2 mạch</t>
  </si>
  <si>
    <t>HS đấu nối</t>
  </si>
  <si>
    <t>HS lắp  1 mạch</t>
  </si>
  <si>
    <t>HS làm mới</t>
  </si>
  <si>
    <t>HS lắp fco</t>
  </si>
  <si>
    <t>Hệ số lắp xà:</t>
  </si>
  <si>
    <t>Hệ số lắp xà H:</t>
  </si>
  <si>
    <t>Hệ số dựng cột  :</t>
  </si>
  <si>
    <t>Hệ số kéo dây :</t>
  </si>
  <si>
    <t>Cấp đất:</t>
  </si>
  <si>
    <t>M8BT Đơn</t>
  </si>
  <si>
    <t>M8BT Đôi</t>
  </si>
  <si>
    <t>M10BT ĐƠN</t>
  </si>
  <si>
    <t>M10BT ĐÔI</t>
  </si>
  <si>
    <t>M7BT Đơn</t>
  </si>
  <si>
    <t>M7BT Đôi</t>
  </si>
  <si>
    <t>X-20Đ</t>
  </si>
  <si>
    <t>X-24Đ</t>
  </si>
  <si>
    <t>X-20ĐL2/3</t>
  </si>
  <si>
    <t>X-21ĐL</t>
  </si>
  <si>
    <t>X-8ĐL</t>
  </si>
  <si>
    <t>MÃ</t>
  </si>
  <si>
    <t>CD bắt xà</t>
  </si>
  <si>
    <t>Đth-U</t>
  </si>
  <si>
    <t>SĐU</t>
  </si>
  <si>
    <t>SĐI</t>
  </si>
  <si>
    <t>SĐG</t>
  </si>
  <si>
    <t>CĐT 2BAT-T</t>
  </si>
  <si>
    <t>CĐT 2BAT-X</t>
  </si>
  <si>
    <t>CĐT pty-X</t>
  </si>
  <si>
    <t>Đth-U-g</t>
  </si>
  <si>
    <t>Đth-X</t>
  </si>
  <si>
    <t>CĐTply-X</t>
  </si>
  <si>
    <t>CĐTply-T</t>
  </si>
  <si>
    <t>tu22</t>
  </si>
  <si>
    <t>M12 PĐ</t>
  </si>
  <si>
    <t>M12BT ĐƠN</t>
  </si>
  <si>
    <t>M12BT ĐÔI</t>
  </si>
  <si>
    <t>M14BT ĐƠN</t>
  </si>
  <si>
    <t>M14BT ĐÔI</t>
  </si>
  <si>
    <t>TDĐC</t>
  </si>
  <si>
    <t>X-1,66Đ</t>
  </si>
  <si>
    <t>X-22Đ</t>
  </si>
  <si>
    <t>X-22Đ - C920</t>
  </si>
  <si>
    <t>X-22K-Đ</t>
  </si>
  <si>
    <t>X-24ĐP</t>
  </si>
  <si>
    <t>X-26ĐP</t>
  </si>
  <si>
    <t>X-38Đ</t>
  </si>
  <si>
    <t>TĐĐ</t>
  </si>
  <si>
    <t>Bảng kê đơn gía vật tư</t>
  </si>
  <si>
    <t>Chữ in đậm màu ĐỎ là giá mới tháng 11/2011 cua dien luc</t>
  </si>
  <si>
    <t>Chữ in đậm màu XANH là giá mới tháng 02/2012 cua dien luc</t>
  </si>
  <si>
    <t>Mã</t>
  </si>
  <si>
    <t>MHĐG</t>
  </si>
  <si>
    <t>2</t>
  </si>
  <si>
    <t>MỐC CN</t>
  </si>
  <si>
    <t>Bảng kê đơn gía nhân công  ( 67/1999/QĐ-BCN )</t>
  </si>
  <si>
    <t>Bảng kê đơn gía trạm biến áp ( 66/1999/QĐ-BCN)</t>
  </si>
  <si>
    <t>GTDĐ</t>
  </si>
  <si>
    <t xml:space="preserve"> KQDUPLEX35 </t>
  </si>
  <si>
    <t xml:space="preserve"> KQDUPLEX22 </t>
  </si>
  <si>
    <t xml:space="preserve"> KQDUPLEX16 </t>
  </si>
  <si>
    <t xml:space="preserve"> KQDUPLEX14 </t>
  </si>
  <si>
    <t xml:space="preserve"> KQDUPLEX11 </t>
  </si>
  <si>
    <t xml:space="preserve"> KTriplex16 </t>
  </si>
  <si>
    <t xml:space="preserve"> KDUPLEX11 </t>
  </si>
  <si>
    <t>6</t>
  </si>
  <si>
    <t>Đơn giá chiếu sáng</t>
  </si>
  <si>
    <t>63.1910</t>
  </si>
  <si>
    <t xml:space="preserve">HOP9C </t>
  </si>
  <si>
    <t xml:space="preserve">HOP6C </t>
  </si>
  <si>
    <t xml:space="preserve">BIT150 </t>
  </si>
  <si>
    <t xml:space="preserve">BIT120 </t>
  </si>
  <si>
    <t xml:space="preserve">BIT95 </t>
  </si>
  <si>
    <t xml:space="preserve">BIT70 </t>
  </si>
  <si>
    <t xml:space="preserve">BIT50 </t>
  </si>
  <si>
    <t xml:space="preserve">KNGUNG211 </t>
  </si>
  <si>
    <t xml:space="preserve">KNGUNG11 </t>
  </si>
  <si>
    <t xml:space="preserve">KNGUNG22 </t>
  </si>
  <si>
    <t xml:space="preserve">KNGUNG35 </t>
  </si>
  <si>
    <t xml:space="preserve">KNGUNG50 </t>
  </si>
  <si>
    <t xml:space="preserve">KNGUNG70 </t>
  </si>
  <si>
    <t xml:space="preserve">KNGUNG95 </t>
  </si>
  <si>
    <t xml:space="preserve">KNGUNG120 </t>
  </si>
  <si>
    <t xml:space="preserve">KNGUNG150 </t>
  </si>
  <si>
    <t xml:space="preserve">KTREO211 </t>
  </si>
  <si>
    <t xml:space="preserve">KTREO11 </t>
  </si>
  <si>
    <t xml:space="preserve">KTREO22 </t>
  </si>
  <si>
    <t xml:space="preserve">KTREO35 </t>
  </si>
  <si>
    <t xml:space="preserve">KTREO50 </t>
  </si>
  <si>
    <t xml:space="preserve">KTREO70 </t>
  </si>
  <si>
    <t xml:space="preserve">KTREO95 </t>
  </si>
  <si>
    <t xml:space="preserve">KTREO120 </t>
  </si>
  <si>
    <t xml:space="preserve">KTREO150 </t>
  </si>
  <si>
    <t xml:space="preserve">KDAABC150 </t>
  </si>
  <si>
    <t>MÁY TC</t>
  </si>
  <si>
    <t>Cos240D</t>
  </si>
  <si>
    <t>Cos95D</t>
  </si>
  <si>
    <t>Cos70D</t>
  </si>
  <si>
    <t>Cos120d</t>
  </si>
  <si>
    <t>Cos150d</t>
  </si>
  <si>
    <t>Cos185</t>
  </si>
  <si>
    <t>cd bắt xà</t>
  </si>
  <si>
    <t>TĐ-BS</t>
  </si>
  <si>
    <t>TĐ-XDM</t>
  </si>
  <si>
    <t>PHẦN THIẾT BỊ</t>
  </si>
  <si>
    <t>CỘNG TB :</t>
  </si>
  <si>
    <t>PHẦN VẬT LIỆU</t>
  </si>
  <si>
    <t>Cáp ngầm trung thế</t>
  </si>
  <si>
    <t>Dây và phụ kiện cáp ngầm trung thế</t>
  </si>
  <si>
    <t xml:space="preserve"> Bộ </t>
  </si>
  <si>
    <t xml:space="preserve"> Ông ruột gà D168 </t>
  </si>
  <si>
    <t>Mương cáp 1 lộ XDM trong đất</t>
  </si>
  <si>
    <t>Mương cáp trung thế 1 mạch xây dựng mới băng đường</t>
  </si>
  <si>
    <t>Mương cáp trung thế 1 mạch XDM khoan băng đường</t>
  </si>
  <si>
    <t xml:space="preserve">Khoan băng đường (bao gồm nhân công đào hố thế) </t>
  </si>
  <si>
    <t>Mương cáp trung thế 1 mạch xây dựng mới trên cỏ</t>
  </si>
  <si>
    <t>Mương cáp trung hạ thế hỗn hợp xây dựng mới băng đường</t>
  </si>
  <si>
    <t>Mương cáp ngầm 2 lộ XDM trong đất</t>
  </si>
  <si>
    <t>Mét</t>
  </si>
  <si>
    <t>Mương cáp ngầm 3 lộ XDM trong đất</t>
  </si>
  <si>
    <t>Mương cáp ngầm 4 lộ XDM trong đất</t>
  </si>
  <si>
    <t>Mương cáp ngầm 6 lộ XDM băng đường đất</t>
  </si>
  <si>
    <t>Mương cáp ngầm 4 lộ XDM trong mương trạm</t>
  </si>
  <si>
    <t>Mương cáp ngầm 6 lộ XDM trong mương trạm</t>
  </si>
  <si>
    <t>Cọc mốc báo hiệu cáp ngầm</t>
  </si>
  <si>
    <t>Nắp hố ga kéo cáp</t>
  </si>
  <si>
    <t>nắp</t>
  </si>
  <si>
    <t>Móng M120-2b</t>
  </si>
  <si>
    <t>Móng M120-Pi-b</t>
  </si>
  <si>
    <t>Móng M120-Pi-bb</t>
  </si>
  <si>
    <t>Xà kép X-22K L75x75x8x2200</t>
  </si>
  <si>
    <t>Bộ thanh giằng trụ PI</t>
  </si>
  <si>
    <t>Bộ tiếp địa bổ sung cho trụ xuất tuyến 01</t>
  </si>
  <si>
    <t>CỘNG PHẦN CÁP NGẦM TRUNG THẾ:</t>
  </si>
  <si>
    <t xml:space="preserve">Phụ kiện cáp ngầm hạ thế </t>
  </si>
  <si>
    <t>Mương cáp hạ thế 1 lộ xây dựng mới trên vỉa hè</t>
  </si>
  <si>
    <t>Mương cáp hạ thế 1 lộ xây dựng mới băng đường</t>
  </si>
  <si>
    <t>Mương cáp hạ thế 2 lộ xây dựng mới trên vỉa hè</t>
  </si>
  <si>
    <t>Mương cáp hạ thế 2 lộ xây dựng mới băng đường</t>
  </si>
  <si>
    <t>Mương cáp hạ thế 3 lộ xây dựng mới băng đường</t>
  </si>
  <si>
    <t>Mương cáp hạ thế 3 lộ xây dựng mới trên vỉa hè</t>
  </si>
  <si>
    <t>Mương cáp điện kế từ tủ đến chỉ giới XD</t>
  </si>
  <si>
    <t>Mương cáp hạ thế 4 lộ xây dựng mới trên vỉa hè</t>
  </si>
  <si>
    <t>Hố ga kéo cáp 1600x1600x1450</t>
  </si>
  <si>
    <t>hố</t>
  </si>
  <si>
    <t>Bộ tiếp địa cho tủ phân phối hạ thế</t>
  </si>
  <si>
    <t>Tủ phân phối hạ thế 9 CB</t>
  </si>
  <si>
    <t>Tủ</t>
  </si>
  <si>
    <t>Tủ phân phối hạ thế 8 CB</t>
  </si>
  <si>
    <t>Tủ phân phối hạ thế 6 CB</t>
  </si>
  <si>
    <t>CỘNG :</t>
  </si>
  <si>
    <t>Cáp ngầm hạ thế chiếu sáng</t>
  </si>
  <si>
    <t>Phụ kiện cáp ngầm hạ thế chiếu sáng</t>
  </si>
  <si>
    <t>Mương cáp chiếu sáng trên vỉa hè</t>
  </si>
  <si>
    <t>Mương cáp chiếu sáng băng đường</t>
  </si>
  <si>
    <t>Móng trụ đèn chiếu sáng</t>
  </si>
  <si>
    <t>TRUNG THẾ</t>
  </si>
  <si>
    <t>1 Lộ</t>
  </si>
  <si>
    <t>2 Lộ</t>
  </si>
  <si>
    <t>3 Lộ</t>
  </si>
  <si>
    <t>Trong đất</t>
  </si>
  <si>
    <t>Vĩa hè cần tái lập</t>
  </si>
  <si>
    <t>Đào Băng đường</t>
  </si>
  <si>
    <t>Khoan băng đường</t>
  </si>
  <si>
    <t>Trên nền bê tông</t>
  </si>
  <si>
    <t>Trên giá đỡ</t>
  </si>
  <si>
    <t>Cộng chiều dài</t>
  </si>
  <si>
    <t xml:space="preserve">Cáp ngầm hạ thế </t>
  </si>
  <si>
    <t>TÊN CÔNG TRÌNH :</t>
  </si>
  <si>
    <t>HẠNG MỤC (NẾU CÓ):</t>
  </si>
  <si>
    <t>Chủ đầu tư:</t>
  </si>
  <si>
    <t>Đơn vị TV:</t>
  </si>
  <si>
    <t>LẬP DỰ TOÁN</t>
  </si>
  <si>
    <t>KIỂM TRA</t>
  </si>
  <si>
    <t>Hệ số nhân công ĐD</t>
  </si>
  <si>
    <t>Hệ số máy thi công ĐD</t>
  </si>
  <si>
    <t>- TỔNG MỨC ĐẦU TƯ (DADT) :</t>
  </si>
  <si>
    <t>đồng</t>
  </si>
  <si>
    <t>Hệ số nhân công TBA</t>
  </si>
  <si>
    <t>- GIÁ TRỊ (XL+TB) TRƯỚC THUẾ (DADT) :</t>
  </si>
  <si>
    <t>Hệ số máy thi công TBA</t>
  </si>
  <si>
    <t>- CỰ LY VẬN CHUYỂN ĐƯỜNG DÀI (TRỤ):</t>
  </si>
  <si>
    <t>- CỰ LY VẬN CHUYỂN ĐƯỜNG DÀI (VẬT TƯ):</t>
  </si>
  <si>
    <t>Hệ số nhân công thí nghiệm</t>
  </si>
  <si>
    <t>- CỰ LY VẬN CHUYỂN THỦ CÔNG :</t>
  </si>
  <si>
    <t>Hệ số máy thi công thí nghiệm</t>
  </si>
  <si>
    <t>- CỰ LY TRUNG CHUYỂN BÌNH QUÂN :</t>
  </si>
  <si>
    <t>Hệ số nhân công chiếu sáng</t>
  </si>
  <si>
    <t>- SỐ CHUYẾN KHẢO SÁT KT :</t>
  </si>
  <si>
    <t>Hệ số máy thi công chiếu sáng</t>
  </si>
  <si>
    <t>- SỐ CHUYẾN KHẢO SÁT SƠ BỘ:</t>
  </si>
  <si>
    <t>Hệ số hiệu chỉnh chiếu sáng</t>
  </si>
  <si>
    <t>- SỐ CHUYẾN QUA PHÀ :</t>
  </si>
  <si>
    <t>- CẤP ĐẤT ĐỊA HÌNH :</t>
  </si>
  <si>
    <t>- HỆ SỐ LẬP NHÀ TẠM ĐD</t>
  </si>
  <si>
    <t>Hệ số khảo sát</t>
  </si>
  <si>
    <t>- HỆ SỐ LẬP NHÀ TẠM TBA</t>
  </si>
  <si>
    <t>- CHI PHÍ DỰ PHÒNG</t>
  </si>
  <si>
    <t xml:space="preserve">- BÁO CÁO KINH TẾ KỸ THUẬT </t>
  </si>
  <si>
    <t xml:space="preserve">- THIẾT KẾ BẢN VẼ THI CÔNG </t>
  </si>
  <si>
    <t>- TIẾP ĐỊA TRẠM LOẠI :</t>
  </si>
  <si>
    <t>giếng</t>
  </si>
  <si>
    <t>- CHỐNG SÉT VAN (LA) :</t>
  </si>
  <si>
    <t>- ĐIỆN ÁP CỦA LƯỚI HIỆN HỮU (Udhh) :</t>
  </si>
  <si>
    <t>TRẠM 1P :</t>
  </si>
  <si>
    <t>SL trạm</t>
  </si>
  <si>
    <t>TRẠM 3P :</t>
  </si>
  <si>
    <t>LOẠI TRẠM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</si>
  <si>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</si>
  <si>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</si>
  <si>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</si>
  <si>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</si>
  <si>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</si>
  <si>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</si>
  <si>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</si>
  <si>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</si>
  <si>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</si>
  <si>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</si>
  <si>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</si>
  <si>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</si>
  <si>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</si>
  <si>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</si>
  <si>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CV300</t>
  </si>
  <si>
    <t>Số trụ hạ thế</t>
  </si>
  <si>
    <t>Hướng</t>
  </si>
  <si>
    <t>Góc</t>
  </si>
  <si>
    <t>Hình thức trụ</t>
  </si>
  <si>
    <t>Loại trụ</t>
  </si>
  <si>
    <t>Móng trụ</t>
  </si>
  <si>
    <t>Móng neo</t>
  </si>
  <si>
    <t>Tiếp địa lặp lại (trụ 12m)</t>
  </si>
  <si>
    <t>Sứ ống chỉ</t>
  </si>
  <si>
    <t>Bulon 16x250+2rondel vuông</t>
  </si>
  <si>
    <t>Cổ dê ghép trụ bắt móc dừng</t>
  </si>
  <si>
    <t>Móc dừng</t>
  </si>
  <si>
    <t>Móc đơn treo cáp</t>
  </si>
  <si>
    <t>Kẹp bulon U 50mm²</t>
  </si>
  <si>
    <t>Kẹp 3 bulon cỡ 50mm²</t>
  </si>
  <si>
    <t>Kẹp cáp 3 bulon cỡ 70mm²</t>
  </si>
  <si>
    <t>Rack 1 sứ</t>
  </si>
  <si>
    <t>Rack 2 sứ</t>
  </si>
  <si>
    <t>Rack 3 sứ</t>
  </si>
  <si>
    <t>Rack 4 sứ</t>
  </si>
  <si>
    <t>Ghíp nối IPC120-35</t>
  </si>
  <si>
    <t>Ghíp nối IPC50-35</t>
  </si>
  <si>
    <t>Ghíp nối IPC120-50</t>
  </si>
  <si>
    <t>Ghíp nối IPC150-70</t>
  </si>
  <si>
    <t>Ghíp nối IPC150-95</t>
  </si>
  <si>
    <t>Ghíp nối IPC95-35</t>
  </si>
  <si>
    <t>Ghíp nối IPC95-50</t>
  </si>
  <si>
    <t>Ghíp nối IPC95-70</t>
  </si>
  <si>
    <t>Ghíp nối IPC95-95</t>
  </si>
  <si>
    <t>Ghíp nối IPC70-70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</si>
  <si>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</si>
  <si>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</si>
  <si>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</si>
  <si>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</si>
  <si>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</si>
  <si>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120</t>
  </si>
  <si>
    <t>Kẹp treo cáp 95</t>
  </si>
  <si>
    <t>Kẹp treo cáp 70</t>
  </si>
  <si>
    <t>Kẹp treo cáp 50</t>
  </si>
  <si>
    <t>Kẹp ngừng cáp 150</t>
  </si>
  <si>
    <t>Kẹp ngừng cáp 95</t>
  </si>
  <si>
    <t>Kẹp ngừng cáp 70</t>
  </si>
  <si>
    <t>Kẹp ngừng cáp 50</t>
  </si>
  <si>
    <t>Hộp phân phối 9CB</t>
  </si>
  <si>
    <t>Hộp phân phối 6CB</t>
  </si>
  <si>
    <t>PHẦN HẠ THẾ</t>
  </si>
  <si>
    <t>DÂY AV50 :</t>
  </si>
  <si>
    <t>DÂY AC50 :</t>
  </si>
  <si>
    <t>CÁP ABC4x150:</t>
  </si>
  <si>
    <t>CÁP ABC4x95:</t>
  </si>
  <si>
    <t>CÁP ABC4x70:</t>
  </si>
  <si>
    <t>CÁP ABC4x50:</t>
  </si>
  <si>
    <t>Số trụ trung thế</t>
  </si>
  <si>
    <t>Khoảng cách</t>
  </si>
  <si>
    <t>Chằng</t>
  </si>
  <si>
    <t>Khoảngcách</t>
  </si>
  <si>
    <t>Bulon moùc16x250+2 rondel vuông</t>
  </si>
  <si>
    <t>Bulon moùc16x300+2 rondel vuông</t>
  </si>
  <si>
    <t>TỔNG CỘNG</t>
  </si>
  <si>
    <t>Số trụ</t>
  </si>
  <si>
    <t>AC/XLPE 50+AC50</t>
  </si>
  <si>
    <t>AC/XLPE/PVC/70+AC50</t>
  </si>
  <si>
    <t>AC/XLPE 70+AC50</t>
  </si>
  <si>
    <t>AC 70+AC50</t>
  </si>
  <si>
    <t>ACX50</t>
  </si>
  <si>
    <t>ACXV70</t>
  </si>
  <si>
    <t>ACX70</t>
  </si>
  <si>
    <t>XLPE50ACX</t>
  </si>
  <si>
    <t>XLPE70ACX</t>
  </si>
  <si>
    <t>Cáp 24KV AC/XLPE 50mm2</t>
  </si>
  <si>
    <t>Cáp 24KV AC/XLPE 70mm2</t>
  </si>
  <si>
    <t>DIỄN GIẢI</t>
  </si>
  <si>
    <t>Trụ BTLT20m</t>
  </si>
  <si>
    <t>Móng M20-2b</t>
  </si>
  <si>
    <t>Móng M20-Pi-b</t>
  </si>
  <si>
    <t>Móng M20-Pi-bb</t>
  </si>
  <si>
    <t>Xà X-24KPI</t>
  </si>
  <si>
    <t>Bộ thanh giằng</t>
  </si>
  <si>
    <t>ĐẦU CÁP 3x240 IN</t>
  </si>
  <si>
    <t>ĐẦU CÁP 3x240 OUT</t>
  </si>
  <si>
    <t>TIẾP ĐỊA BỔ SUNG (TĐBS)</t>
  </si>
  <si>
    <t>TIẾP ĐỊA LÀM MỚI (TĐM)</t>
  </si>
  <si>
    <t xml:space="preserve">GIÁ ĐỠ ĐẦU CÁP </t>
  </si>
  <si>
    <t>KHOẢNG CÁCH</t>
  </si>
  <si>
    <t>Lên trụ</t>
  </si>
  <si>
    <t>Lên tủ</t>
  </si>
  <si>
    <t>Cộng</t>
  </si>
  <si>
    <t>CHIỀU DÀI CÁP (MÉT)</t>
  </si>
  <si>
    <t>ỐNG BẢO VỆ CÁP</t>
  </si>
  <si>
    <t>LOẠI MƯƠNG</t>
  </si>
  <si>
    <t>3 SỢI TRONG MƯƠNG TRẠM</t>
  </si>
  <si>
    <t>3 SỢI TRONG MƯƠNG ĐẤT</t>
  </si>
  <si>
    <t>6 SỢI BĂNG ĐƯỜNG ĐẤT</t>
  </si>
  <si>
    <t>2 SỢI TRONG MƯƠNG ĐẤT</t>
  </si>
  <si>
    <t>1 SỢI TRONG MƯƠNG ĐẤT</t>
  </si>
  <si>
    <t>PVC168
DÀY 4mm</t>
  </si>
  <si>
    <t>PVC168
DÀY 7mm</t>
  </si>
  <si>
    <t>STK168 DÀY 4mm</t>
  </si>
  <si>
    <t>MỐC BÁO HIỆU CÁP NGẦM</t>
  </si>
  <si>
    <t>CO SỪNG PVC D168</t>
  </si>
  <si>
    <t>3 : BẢNG TỔNG KÊ CÁP NGẦM TRUNG THẾ</t>
  </si>
  <si>
    <t>CỘNG 1</t>
  </si>
  <si>
    <t>TỦ J18-480</t>
  </si>
  <si>
    <t>2. LỘ SỐ 2</t>
  </si>
  <si>
    <t>CỘNG 2</t>
  </si>
  <si>
    <t>3.LỘ SỐ 3</t>
  </si>
  <si>
    <t>TỦ J20-482</t>
  </si>
  <si>
    <t>CỘNG 3</t>
  </si>
  <si>
    <t>4. LỘ SỐ 4</t>
  </si>
  <si>
    <t>3AC/XLPE 50+AC50</t>
  </si>
  <si>
    <t>M10BT Đơn</t>
  </si>
  <si>
    <t>Cổ dê bắt xà</t>
  </si>
  <si>
    <t>Bộ sứ đỉnh SĐI</t>
  </si>
  <si>
    <t>Bộ sứ đỉnh SĐG</t>
  </si>
  <si>
    <t>Bộ sứ đứng SĐU</t>
  </si>
  <si>
    <t>Bộ đỡ dây T.H  trụ ghép: Đth-U-g</t>
  </si>
  <si>
    <t>Bộ đỡ dây T.H : Đth-UX</t>
  </si>
  <si>
    <t>Bộ néo dây T.H vao xa: Nth X</t>
  </si>
  <si>
    <t>Bộ khoá néo dây T.H vao xa: Nth X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</si>
  <si>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</si>
  <si>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</si>
  <si>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</si>
  <si>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</si>
  <si>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</si>
  <si>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Rack 2 sứ hạ thế + bulon</t>
  </si>
  <si>
    <t>Rack 3 sứ hạ thế + bulon</t>
  </si>
  <si>
    <t>Rack 4 sứ hạ thế + bulon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</si>
  <si>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</si>
  <si>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</si>
  <si>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</si>
  <si>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</si>
  <si>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</si>
  <si>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</si>
  <si>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</si>
  <si>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Đầu cốt ép cỡ dây 50mm2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</si>
  <si>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</si>
  <si>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</si>
  <si>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</si>
  <si>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</si>
  <si>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</si>
  <si>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đứng</t>
  </si>
  <si>
    <t>PHẦN THÁO LẮP THU HỒI</t>
  </si>
  <si>
    <t>I. PHẦN TRUNG THẾ 3 PHA XÂY DỰNG MỚI</t>
  </si>
  <si>
    <t>Móng néo</t>
  </si>
  <si>
    <t>Tổng cộng</t>
  </si>
  <si>
    <t>Xà đơn L75x75x8x2600 (3 ốp) đỡ sứ</t>
  </si>
  <si>
    <t xml:space="preserve"> CB 1 cực 220V - 40A-6kA </t>
  </si>
  <si>
    <t>XLPE338+22HT</t>
  </si>
  <si>
    <t>Cáp C/XLPE/PVC -0.6/1kV-3x38+22mm3</t>
  </si>
  <si>
    <t>XLPE360+30HT</t>
  </si>
  <si>
    <t>Cáp C/XLPE/PVC -0.6/1kV-3x60+30mm3</t>
  </si>
  <si>
    <t>ldaucap150ht</t>
  </si>
  <si>
    <t>Lắp đầu cáp hạ thế 3x150mm2, 95mm2</t>
  </si>
  <si>
    <t>LDAUCAP150HT</t>
  </si>
  <si>
    <t>Cos38</t>
  </si>
  <si>
    <t>Cos60</t>
  </si>
  <si>
    <t>COS60</t>
  </si>
  <si>
    <t>Đầu cosse ép Cu 60mm3</t>
  </si>
  <si>
    <t>Cos30</t>
  </si>
  <si>
    <t>COS30</t>
  </si>
  <si>
    <t>Máy phát điện dự phòng 120kVA</t>
  </si>
  <si>
    <t>Tủ ATS chuyển nguồn</t>
  </si>
  <si>
    <t>MCCB 3 cực 400V -1000A - 50KA</t>
  </si>
  <si>
    <t>Ghíp nối IPC50-50</t>
  </si>
  <si>
    <t>02.8505c</t>
  </si>
  <si>
    <t>Ghíp nối IPC</t>
  </si>
  <si>
    <t>Bịt đầu cáp</t>
  </si>
  <si>
    <t>Kẹp treo cáp</t>
  </si>
  <si>
    <t>Kẹp ngừng cáp</t>
  </si>
  <si>
    <t>Bịt đầu cáp 120</t>
  </si>
  <si>
    <t>Kẹp treo cáp 150</t>
  </si>
  <si>
    <t>Kẹp ngừng cáp 120</t>
  </si>
  <si>
    <t>Bulon moùc16x500+2 rondel vuông</t>
  </si>
  <si>
    <t>Ghíp nối IPC120-120</t>
  </si>
  <si>
    <t>Ghíp nối IPC150-150</t>
  </si>
  <si>
    <t>Ghíp nối IPC120-95</t>
  </si>
  <si>
    <t>BMOC16500</t>
  </si>
  <si>
    <t>CBtep63</t>
  </si>
  <si>
    <t>CB tép 63A</t>
  </si>
  <si>
    <t>CBtep32</t>
  </si>
  <si>
    <t>CB tép 32A</t>
  </si>
  <si>
    <t>Tháo Rack 4</t>
  </si>
  <si>
    <t>Tháo Rack 3</t>
  </si>
  <si>
    <t>Tháo Rack 2</t>
  </si>
  <si>
    <t>Tháo Rack 1</t>
  </si>
  <si>
    <t>Tháo kẹp quai + hotline</t>
  </si>
  <si>
    <t>Tháo hộp công tơ</t>
  </si>
  <si>
    <t>Lắp hộp công tơ</t>
  </si>
  <si>
    <t>Tháo dây Duplex 2x16mm2</t>
  </si>
  <si>
    <t>Trụ ño ñeám</t>
  </si>
  <si>
    <t>CT-NC</t>
  </si>
  <si>
    <t>3P-1M</t>
  </si>
  <si>
    <t>3P-2M</t>
  </si>
  <si>
    <t>Tháo hạ dây AC120mm2</t>
  </si>
  <si>
    <t>Tháo hạ dây AC95mm2</t>
  </si>
  <si>
    <t>Tháo hạ dây AC70mm2</t>
  </si>
  <si>
    <t>Tháo hạ dây 3AC50mm2</t>
  </si>
  <si>
    <t>Tháo hạ dây AC50mm2</t>
  </si>
  <si>
    <t>Tháo hạ dây 3AC120mm2</t>
  </si>
  <si>
    <t>Tháo hạ dây 3AC95mm2</t>
  </si>
  <si>
    <t>Tháo hạ dây 3AC70mm2</t>
  </si>
  <si>
    <t>Tháo hạ dây 3ACXV120mm2</t>
  </si>
  <si>
    <t>Tháo hạ dây ACXV70mm2</t>
  </si>
  <si>
    <t>Tháo hạ dây 3ACXV50mm2</t>
  </si>
  <si>
    <t>Tháo hạ dây ACXV120mm2</t>
  </si>
  <si>
    <t>Tháo hạ dây ACXV95mm2</t>
  </si>
  <si>
    <t>Tháo hạ dây 3ACXV95mm2</t>
  </si>
  <si>
    <t>Tháo hạ dây 3ACXV70mm2</t>
  </si>
  <si>
    <t>Tháo hạ dây ACXV50mm2</t>
  </si>
  <si>
    <t>Tháo sứ đứng + ty</t>
  </si>
  <si>
    <t>Tháo sứ đỉnh + chân sứ đỉnh</t>
  </si>
  <si>
    <t>Tháo sứ thủy tinh 2 bát + bộ dừng</t>
  </si>
  <si>
    <t>Tháo sứ treo Polymer + bộ dừng</t>
  </si>
  <si>
    <t>Tháo bộ đỡ dây trung hòa</t>
  </si>
  <si>
    <t>Tháobộ dừng dây trung hòa</t>
  </si>
  <si>
    <t>Tháo bộ xà X-2.4KP</t>
  </si>
  <si>
    <t>Tháo bộ xà X-2.4K</t>
  </si>
  <si>
    <t>Tháo bộ xà X-2.4Đ</t>
  </si>
  <si>
    <t>Tháo bộ xà X-24DCP</t>
  </si>
  <si>
    <t>Tháo bộ xà X-2.2K</t>
  </si>
  <si>
    <t>Tháo bộ xà X-2.2Đ</t>
  </si>
  <si>
    <t>Tháobộ xà X-1.66Đ</t>
  </si>
  <si>
    <t>Tháobộ xà X-1.66K</t>
  </si>
  <si>
    <t>Tháo bộ xà X-2.1KL</t>
  </si>
  <si>
    <t>Tháo bộ xà X-2.1ĐL</t>
  </si>
  <si>
    <t>Tháo bộ xà X-2.0KL2/3</t>
  </si>
  <si>
    <t>Tháo bộ xà X-2.0ĐL2/3</t>
  </si>
  <si>
    <t>Tháo bộ xà X-8ĐL</t>
  </si>
  <si>
    <t>Tháo bộ xà X-8KL</t>
  </si>
  <si>
    <t>Tháo bộ xà X-8DCP</t>
  </si>
  <si>
    <t>Tháo LBS + phụ kiện</t>
  </si>
  <si>
    <t>Tháo FCO + phụ kiện</t>
  </si>
  <si>
    <t>Tháo LA+ phụ kiện</t>
  </si>
  <si>
    <t>Tháo LTD + phụ kiện</t>
  </si>
  <si>
    <t>Tháo Recloser + phụ kiện</t>
  </si>
  <si>
    <t>Tháo MBA 25kVA +phụ kiện</t>
  </si>
  <si>
    <t>Tháo MBA 50kVA + phụ kiện</t>
  </si>
  <si>
    <t>Tháo MBA 75kVA + phụ kiện</t>
  </si>
  <si>
    <t>Tháo rack 2 sứ</t>
  </si>
  <si>
    <t>Tháo rack 3 sứ</t>
  </si>
  <si>
    <t>Tháo  rack 4 sứ</t>
  </si>
  <si>
    <t>Tháo giá T đỡ FCO</t>
  </si>
  <si>
    <t>Tháo bộ chằng xuống kép trung thế</t>
  </si>
  <si>
    <t>Tháo bộ chằng lệch kép trung thế</t>
  </si>
  <si>
    <t>Tháo bộ chằng xuống đơn trung thế</t>
  </si>
  <si>
    <t>Tháo bộ chằng lệch đơn trung thế</t>
  </si>
  <si>
    <t>Tháo bộ chằng xuống đơn hạ thế</t>
  </si>
  <si>
    <t>Tháo bộ chằng lệch đơn hạ thế thế</t>
  </si>
  <si>
    <t>Nhổ trụ 10,5m</t>
  </si>
  <si>
    <t>Nhổ trụ 12m</t>
  </si>
  <si>
    <t>BTLT 8.4 HH</t>
  </si>
  <si>
    <t>BTLT 10.5 HH</t>
  </si>
  <si>
    <t>Xà</t>
  </si>
  <si>
    <t>Chuỗi Polymer lắp vào xà + Bộ dừng</t>
  </si>
  <si>
    <t>Bộ đỡ dây T.H trụ đơn : Đth-U</t>
  </si>
  <si>
    <t>Bộ đỡ dây trung hòa trụ đơn: Đth-U</t>
  </si>
  <si>
    <t>Bộ đỡ dây trung hòa trụ ghép: Đth-U-g</t>
  </si>
  <si>
    <t>Bộ khóa néo T.H vào trụ ghép: Nth-T-g</t>
  </si>
  <si>
    <t>Bộ khóa néo T.H vào trụ đơn: Nth-T</t>
  </si>
  <si>
    <t>Bộ khóa néo dây trung hòa vào trụ đơn: Nth-T</t>
  </si>
  <si>
    <t>Bộ khóa néo dây trung hòa vào trụ ghép: Nth-T-g</t>
  </si>
  <si>
    <t>Đth-UX</t>
  </si>
  <si>
    <t>Bộ cách điện đứng: SĐU</t>
  </si>
  <si>
    <t>Bộ cách điện đỉnh : SĐI</t>
  </si>
  <si>
    <t>Bộ cách điện đỉnh góc: SĐG</t>
  </si>
  <si>
    <t>Chuỗi sứ đỡ 2 bát lắp vào trụ : CĐT 2BAT-T</t>
  </si>
  <si>
    <t>CSĐT ply-X</t>
  </si>
  <si>
    <t>Chuỗi sứ treo Polymer 24kV đơn lắp vào xà : CSĐT ply-X</t>
  </si>
  <si>
    <t>Chuỗi sứ treo Polymer 24kV kép lắp vào xà : CSKT ply-X</t>
  </si>
  <si>
    <t>CSKT ply-X</t>
  </si>
  <si>
    <t>Khkep</t>
  </si>
  <si>
    <t>Khánh treo chuỗi polymer kép</t>
  </si>
  <si>
    <t>k120</t>
  </si>
  <si>
    <t>cos70D</t>
  </si>
  <si>
    <t>cos95D</t>
  </si>
  <si>
    <t>cos120D</t>
  </si>
  <si>
    <t>cos150D</t>
  </si>
  <si>
    <t>cos185D</t>
  </si>
  <si>
    <t>cos240D</t>
  </si>
  <si>
    <t>Đầu cốt ép cỡ dây 70mm2</t>
  </si>
  <si>
    <t>cos50D</t>
  </si>
  <si>
    <t>XLPE95ACX</t>
  </si>
  <si>
    <t>XLPE120ACX</t>
  </si>
  <si>
    <t>XLPE150ACX</t>
  </si>
  <si>
    <t>XLPE185ACX</t>
  </si>
  <si>
    <t>XLPE240ACX</t>
  </si>
  <si>
    <t>Cáp 24KV AC/XLPE 120mm2</t>
  </si>
  <si>
    <t>Cáp 24KV AC/XLPE 150mm2</t>
  </si>
  <si>
    <t>Cáp 24KV AC/XLPE 185mm2</t>
  </si>
  <si>
    <t>Cáp 24KV AC/XLPE 240mm2</t>
  </si>
  <si>
    <t>Kéo dây nhôm lõi thép bọc cỡ dây 150mm2</t>
  </si>
  <si>
    <t>KDACXV50</t>
  </si>
  <si>
    <t>KDACXV70</t>
  </si>
  <si>
    <t>KDACXV95</t>
  </si>
  <si>
    <t>KDACXV120</t>
  </si>
  <si>
    <t>KDACXV185</t>
  </si>
  <si>
    <t>KDACXV240</t>
  </si>
  <si>
    <t>Kéo dây nhôm lõi thép bọc cỡ dây 240mm2</t>
  </si>
  <si>
    <t>Kéo dây nhôm lõi thép bọc cỡ dây 120mm2</t>
  </si>
  <si>
    <t>Lắp chuỗi sứ néo Polymer đơn</t>
  </si>
  <si>
    <t>LCHSNplyk</t>
  </si>
  <si>
    <t>Lắp chuỗi sứ néo Polymer kép</t>
  </si>
  <si>
    <t>Nhổ trụ 14m</t>
  </si>
  <si>
    <t>Lắp lại dây AC95mm2</t>
  </si>
  <si>
    <t>Lắp lại dây AC70mm2</t>
  </si>
  <si>
    <t>Lắp lại dây AC50mm2</t>
  </si>
  <si>
    <t>Lắp lại dây 3AC95mm2</t>
  </si>
  <si>
    <t>Lắp lại dây 3AC70mm2</t>
  </si>
  <si>
    <t>Lắp lại dây 3AC50mm2</t>
  </si>
  <si>
    <t>Lắp lại dây 3ACXV95mm2</t>
  </si>
  <si>
    <t>Lắp lại dây 3ACXV70mm2</t>
  </si>
  <si>
    <t>Lắp lại dây 3ACXV50mm2</t>
  </si>
  <si>
    <t>Lắp lại dây ACXV95mm2</t>
  </si>
  <si>
    <t>Lắp lại dây ACXV70mm2</t>
  </si>
  <si>
    <t>Lắp lại dây ACXV50mm2</t>
  </si>
  <si>
    <t>Lắp lại sứ đứng + ty</t>
  </si>
  <si>
    <t>Lắp lại sứ đỉnh + chân sứ đỉnh</t>
  </si>
  <si>
    <t>Lắp lại sứ thủy tinh 2 bát + bộ dừng</t>
  </si>
  <si>
    <t>Lắp lại sứ treo Polymer + bộ dừng</t>
  </si>
  <si>
    <t>Lắp lại bộ đỡ dây trung hòa</t>
  </si>
  <si>
    <t>Lắp lạibộ dừng dây trung hòa</t>
  </si>
  <si>
    <t>Lắp lại bộ xà X-2.4KP</t>
  </si>
  <si>
    <t>Lắp lại bộ xà X-2.4K</t>
  </si>
  <si>
    <t>Lắp lại bộ xà X-2.4Đ</t>
  </si>
  <si>
    <t>Lắp lại bộ xà X-24DCP</t>
  </si>
  <si>
    <t>Lắp lại bộ xà X-2.2K</t>
  </si>
  <si>
    <t>Lắp lại bộ xà X-2.2Đ</t>
  </si>
  <si>
    <t>Lắp lại bộ xà X-2.1KL</t>
  </si>
  <si>
    <t>Lắp lại bộ xà X-2.1ĐL</t>
  </si>
  <si>
    <t>Lắp lại bộ xà X-2.0KL2/3</t>
  </si>
  <si>
    <t>Lắp lại bộ xà X-2.0ĐL2/3</t>
  </si>
  <si>
    <t>Lắp lạibộ xà X-1.66K</t>
  </si>
  <si>
    <t>Lắp lạibộ xà X-1.66Đ</t>
  </si>
  <si>
    <t>Lắp lại bộ xà X-8ĐL</t>
  </si>
  <si>
    <t>Lắp lại bộ xà X-8KL</t>
  </si>
  <si>
    <t>Lắp lại bộ xà X-8DCP</t>
  </si>
  <si>
    <t>Lắp lại giá T đỡ FCO</t>
  </si>
  <si>
    <t>Lắp lại bộ chằng xuống kép trung thế</t>
  </si>
  <si>
    <t>Lắp lại bộ chằng lệch kép trung thế</t>
  </si>
  <si>
    <t>Lắp lại bộ chằng xuống đơn trung thế</t>
  </si>
  <si>
    <t>Lắp lại bộ chằng lệch đơn trung thế</t>
  </si>
  <si>
    <t>Lắp lại bộ chằng xuống đơn hạ thế</t>
  </si>
  <si>
    <t>Lắp lại bộ chằng lệch đơn hạ thế thế</t>
  </si>
  <si>
    <t>Lắp lại FCO + phụ kiện</t>
  </si>
  <si>
    <t>Lắp lại LA+ phụ kiện</t>
  </si>
  <si>
    <t>Lắp lại LTD + phụ kiện</t>
  </si>
  <si>
    <t>Lắp lại LBS + phụ kiện</t>
  </si>
  <si>
    <t>Lắp lại Recloser + phụ kiện</t>
  </si>
  <si>
    <t>Lắp lại MBA 25kVA +phụ kiện</t>
  </si>
  <si>
    <t>Lắp lại MBA 37,5VA + phụ kiện</t>
  </si>
  <si>
    <t>Lắp lại MBA 50kVA + phụ kiện</t>
  </si>
  <si>
    <t>Lắp lại MBA 75kVA + phụ kiện</t>
  </si>
  <si>
    <t>Lắp lại rack 2 sứ</t>
  </si>
  <si>
    <t>Lắp lại rack 3 sứ</t>
  </si>
  <si>
    <t>Lắp lại  rack 4 sứ</t>
  </si>
  <si>
    <t>Lắp lại kẹp quai + hotline</t>
  </si>
  <si>
    <t>Trồng lại trụ 8,4m</t>
  </si>
  <si>
    <t>Trồng lại trụ 10,5m</t>
  </si>
  <si>
    <t>Trồng lại trụ 12m</t>
  </si>
  <si>
    <t>Tháo MBA 100kVA + phụ kiện</t>
  </si>
  <si>
    <t>Chuỗi Polymer kép lắp vào xà + bộ dừng</t>
  </si>
  <si>
    <t>M.néo</t>
  </si>
  <si>
    <t>Các bộ xà</t>
  </si>
  <si>
    <t>Bộ Uclevis đỡ dây trung hòa cho trụ đơn: Đth-U</t>
  </si>
  <si>
    <t>Bộ Uclevis đỡ dây trung hòa cho trụ ghép: Đth-U-g</t>
  </si>
  <si>
    <t>gniu</t>
  </si>
  <si>
    <t>Chuỗi Polymer lắp vào trụ + bộ dừng</t>
  </si>
  <si>
    <t>khkep</t>
  </si>
  <si>
    <t>Chuỗi sứ treo Polymer 24kV đơn lắp vào xà : CĐT ply-X</t>
  </si>
  <si>
    <t>Chuỗi sứ treo Polymer 24kV kép lắp vào xà : CĐT ply-X</t>
  </si>
  <si>
    <t>Chuỗi sứ treo Polymer 24kV lắp vào trụ: CĐT ply-T</t>
  </si>
  <si>
    <t>Phần thiết bị đường dây trung thế cải tạo</t>
  </si>
  <si>
    <t>LCHSNplyK</t>
  </si>
  <si>
    <t>BTLT 7.5 HH</t>
  </si>
  <si>
    <t>Bulon 16x5000+2 rondel vuông</t>
  </si>
  <si>
    <t>Ghíp nối IPC150-35</t>
  </si>
  <si>
    <t>Ghíp nối IPC150-50</t>
  </si>
  <si>
    <t>Ghíp nối IPC150-120</t>
  </si>
  <si>
    <t>Ghíp nối IPC120-70</t>
  </si>
  <si>
    <t>Ghíp nối IPC70-50</t>
  </si>
  <si>
    <t>Ghíp nối IPC35-35</t>
  </si>
  <si>
    <t>Tháo hạ cáp ABC4x150</t>
  </si>
  <si>
    <t>Tháo hạ cáp ABC4x120</t>
  </si>
  <si>
    <t>Tháo hạ cáp ABC4x95</t>
  </si>
  <si>
    <t>Tháo hạ cáp ABC4x70</t>
  </si>
  <si>
    <t>Tháo hạ cáp ABC3x50</t>
  </si>
  <si>
    <t>Tháo hạ cáp ABC4x50</t>
  </si>
  <si>
    <t>Tháo hạ cáp ABC3x150</t>
  </si>
  <si>
    <t>Tháo hạ cáp ABC3x120</t>
  </si>
  <si>
    <t>Tháo hạ cáp ABC3x95</t>
  </si>
  <si>
    <t>Tháo hạ cáp ABC3x70</t>
  </si>
  <si>
    <t>Nhổ trụ 7,5m</t>
  </si>
  <si>
    <t>Nhổ trụ 6,5m</t>
  </si>
  <si>
    <t>Tháo kẹp treo cáp 150</t>
  </si>
  <si>
    <t>Tháo kẹp treo cáp 120</t>
  </si>
  <si>
    <t>Tháo kẹp treo cáp 95</t>
  </si>
  <si>
    <t>Tháo kẹp treo cáp 70</t>
  </si>
  <si>
    <t>Tháo kẹp treo cáp 50</t>
  </si>
  <si>
    <t>Tháo kẹp ngừng cáp 150</t>
  </si>
  <si>
    <t>Tháo kẹp ngừng cáp 120</t>
  </si>
  <si>
    <t>Tháo kẹp ngừng cáp 95</t>
  </si>
  <si>
    <t>Tháo kẹp ngừng cáp 70</t>
  </si>
  <si>
    <t>Tháo kẹp ngừng cáp 50</t>
  </si>
  <si>
    <t>Tháo hạ dây 3AV120</t>
  </si>
  <si>
    <t>Tháo hạ dây 3AV95</t>
  </si>
  <si>
    <t>Tháo hạ dây 3AV70</t>
  </si>
  <si>
    <t>Tháo hạ dây 3AV50</t>
  </si>
  <si>
    <t>Tháo hạ dây AV120</t>
  </si>
  <si>
    <t>Tháo hạ dây AV95</t>
  </si>
  <si>
    <t>Tháo hạ dây AV70</t>
  </si>
  <si>
    <t>Tháo hạ dây AV50</t>
  </si>
  <si>
    <t>Tháo hạ dây Ac70</t>
  </si>
  <si>
    <t>Tháo hạ dây Ac50</t>
  </si>
  <si>
    <t>Căng sử dụng lại cáp ABC4x150</t>
  </si>
  <si>
    <t>Căng sử dụng lại cáp ABC4x120</t>
  </si>
  <si>
    <t>Căng sử dụng lại cáp ABC4x95</t>
  </si>
  <si>
    <t>Căng sử dụng lại cáp ABC4x70</t>
  </si>
  <si>
    <t>Căng sử dụng lại cáp ABC4x50</t>
  </si>
  <si>
    <t>Căng sử dụng lại cáp ABC3x150</t>
  </si>
  <si>
    <t>Căng sử dụng lại cáp ABC3x120</t>
  </si>
  <si>
    <t>Căng sử dụng lại cáp ABC3x95</t>
  </si>
  <si>
    <t>Căng sử dụng lại cáp ABC3x70</t>
  </si>
  <si>
    <t>Căng sử dụng lại cáp ABC3x50</t>
  </si>
  <si>
    <t>Căng sử dụng lại dây 3AV120</t>
  </si>
  <si>
    <t>Căng sử dụng lại dây 3AV95</t>
  </si>
  <si>
    <t>Căng sử dụng lại dây 3AV70</t>
  </si>
  <si>
    <t>Căng sử dụng lại dây 3AV50</t>
  </si>
  <si>
    <t>Căng sử dụng lại dây AV120</t>
  </si>
  <si>
    <t>Căng sử dụng lại dây AV95</t>
  </si>
  <si>
    <t>Căng sử dụng lại dây AV70</t>
  </si>
  <si>
    <t>Căng sử dụng lại dây AV50</t>
  </si>
  <si>
    <t>Căng sử dụng lại dây Ac70</t>
  </si>
  <si>
    <t>Căng sử dụng lại dây Ac50</t>
  </si>
  <si>
    <t>Tái lập Duplex 2x16mm2</t>
  </si>
  <si>
    <t>Trồng lại trụ 14m</t>
  </si>
  <si>
    <t>Trồng lại trụ 7,5m</t>
  </si>
  <si>
    <t>Trồng lại trụ 6,5m</t>
  </si>
  <si>
    <t>Lắp sử dụng lại Rack 4</t>
  </si>
  <si>
    <t>Lắp sử dụng lại Rack 3</t>
  </si>
  <si>
    <t>Lắp sử dụng lại Rack 2</t>
  </si>
  <si>
    <t>Lắp sử dụng lại Rack 1</t>
  </si>
  <si>
    <t>Lắp sử dụng lại kẹp treo cáp 150</t>
  </si>
  <si>
    <t>Lắp sử dụng lại kẹp treo cáp 120</t>
  </si>
  <si>
    <t>Lắp sử dụng lại kẹp treo cáp 95</t>
  </si>
  <si>
    <t>Lắp sử dụng lại kẹp treo cáp 70</t>
  </si>
  <si>
    <t>Lắp sử dụng lại kẹp treo cáp 50</t>
  </si>
  <si>
    <t>Lắp sử dụng lại kẹp ngừng cáp 150</t>
  </si>
  <si>
    <t>Lắp sử dụng lại kẹp ngừng cáp 120</t>
  </si>
  <si>
    <t>Lắp sử dụng lại kẹp ngừng cáp 95</t>
  </si>
  <si>
    <t>Lắp sử dụng lại kẹp ngừng cáp 70</t>
  </si>
  <si>
    <t>Lắp sử dụng lại kẹp ngừng cáp 50</t>
  </si>
  <si>
    <t>Lắp sử dụng lại kẹp quai + hotline</t>
  </si>
  <si>
    <t>Lắp sử dụng lại bộ chằng xuống đơn hạ thế</t>
  </si>
  <si>
    <t>Lắp sử dụng lại bộ chằng lệch đơn hạ thế thế</t>
  </si>
  <si>
    <t>Lắp sử dụng lại hộp công tơ</t>
  </si>
  <si>
    <t>HTCT</t>
  </si>
  <si>
    <t>3AV120</t>
  </si>
  <si>
    <t>3AV95</t>
  </si>
  <si>
    <t>3AV70</t>
  </si>
  <si>
    <t>3AV50</t>
  </si>
  <si>
    <t>AV120</t>
  </si>
  <si>
    <t>AV95</t>
  </si>
  <si>
    <t>Ac70</t>
  </si>
  <si>
    <t>Ac50</t>
  </si>
  <si>
    <t>ABC3x120</t>
  </si>
  <si>
    <t>ABC3x95</t>
  </si>
  <si>
    <t>Cáp nhôm ABC 3x95mm2</t>
  </si>
  <si>
    <t>Cáp nhôm ABC 3x120mm2</t>
  </si>
  <si>
    <t>KDAc70</t>
  </si>
  <si>
    <t>Bulon 16x500+2 rondel vuông</t>
  </si>
  <si>
    <t>b16500</t>
  </si>
  <si>
    <t>gip150-35</t>
  </si>
  <si>
    <t>gip150-50</t>
  </si>
  <si>
    <t>gip150-70</t>
  </si>
  <si>
    <t>gip150-95</t>
  </si>
  <si>
    <t>gip150-120</t>
  </si>
  <si>
    <t>gip150-150</t>
  </si>
  <si>
    <t>gip120-35</t>
  </si>
  <si>
    <t>gip120-50</t>
  </si>
  <si>
    <t>gip120-70</t>
  </si>
  <si>
    <t>gip120-95</t>
  </si>
  <si>
    <t>gip120-120</t>
  </si>
  <si>
    <t>gip95-35</t>
  </si>
  <si>
    <t>gip95-50</t>
  </si>
  <si>
    <t>gip95-70</t>
  </si>
  <si>
    <t>gip95-95</t>
  </si>
  <si>
    <t>gip70-35</t>
  </si>
  <si>
    <t>gip70-50</t>
  </si>
  <si>
    <t>gip70-70</t>
  </si>
  <si>
    <t>gip50-35</t>
  </si>
  <si>
    <t>gip50-50</t>
  </si>
  <si>
    <t>Bulon móc16x250+2 rondel vuông</t>
  </si>
  <si>
    <t>Bulon móc16x300+2 rondel vuông</t>
  </si>
  <si>
    <t>Bulon móc16x500+2 rondel vuông</t>
  </si>
  <si>
    <t>Ghíp nối IPC 150-35</t>
  </si>
  <si>
    <t>GIP150-35</t>
  </si>
  <si>
    <t>GIP120-95</t>
  </si>
  <si>
    <t>GIP150-95</t>
  </si>
  <si>
    <t>Ghíp nối IPC 120-95</t>
  </si>
  <si>
    <t>Ghíp nối IPC 150-95</t>
  </si>
  <si>
    <t>GIP150-150</t>
  </si>
  <si>
    <t>Ghíp nối IPC 150-150</t>
  </si>
  <si>
    <t>GIP150-120</t>
  </si>
  <si>
    <t>Ghíp nối IPC 150-120</t>
  </si>
  <si>
    <t>GIP120-120</t>
  </si>
  <si>
    <t>Ghíp nối IPC 120-120</t>
  </si>
  <si>
    <t>k3b</t>
  </si>
  <si>
    <t>gip35-35</t>
  </si>
  <si>
    <t>Tháo TI hạ thế</t>
  </si>
  <si>
    <t>Tháo tủ điện trạm+phụ kiện</t>
  </si>
  <si>
    <t>Tháo hộp Domino</t>
  </si>
  <si>
    <t>Lắp sử dụng lại TI</t>
  </si>
  <si>
    <t>Lắp sử dụng lại hộp Domino</t>
  </si>
  <si>
    <t>LKQ+H</t>
  </si>
  <si>
    <t>Kẹp quai + hotline</t>
  </si>
  <si>
    <t>Hcongto</t>
  </si>
  <si>
    <t>05.5104</t>
  </si>
  <si>
    <t>Lắp lại bộ xà X-1.66K</t>
  </si>
  <si>
    <t>Lắp lại bộ xà X-1.66Đ</t>
  </si>
  <si>
    <t>lcl</t>
  </si>
  <si>
    <t>ldn</t>
  </si>
  <si>
    <t>Phần xà, néo sử dụng lại</t>
  </si>
  <si>
    <t>Phần xà, néo lắp mới</t>
  </si>
  <si>
    <t>Phần trụ sử dụng lại</t>
  </si>
  <si>
    <t>III.1</t>
  </si>
  <si>
    <t>III.2</t>
  </si>
  <si>
    <t>3AC/XLPE 240+AC120</t>
  </si>
  <si>
    <t>Bộ xà kép L75x75x8 dài 2.2m: X-22K-K - C810 (hướng trụ ghép)</t>
  </si>
  <si>
    <t>T.CỘNG</t>
  </si>
  <si>
    <t>2AV120</t>
  </si>
  <si>
    <t>2AV95</t>
  </si>
  <si>
    <t>2AV70</t>
  </si>
  <si>
    <t>2AV50</t>
  </si>
  <si>
    <t>4AV50</t>
  </si>
  <si>
    <t>4AV95</t>
  </si>
  <si>
    <t>5AV95</t>
  </si>
  <si>
    <t>6AV95</t>
  </si>
  <si>
    <t>7AV95</t>
  </si>
  <si>
    <t>Tháo hạ dây 7AV95</t>
  </si>
  <si>
    <t>Tháo hạ dây 6AV95</t>
  </si>
  <si>
    <t>Tháo hạ dây 4AV95</t>
  </si>
  <si>
    <t>Tháo hạ dây 2AV95</t>
  </si>
  <si>
    <t>Tháo hạ dây 4AV50</t>
  </si>
  <si>
    <t>Tháo hạ dây 2AV120</t>
  </si>
  <si>
    <t>Tháo hạ dây 2AV70</t>
  </si>
  <si>
    <t>Tháo hạ dây 2AV50</t>
  </si>
  <si>
    <t>Bộ sứ đứng SĐU + ty su</t>
  </si>
  <si>
    <t>Chuỗi Polymer lắp vào trụ + Bộ dừng</t>
  </si>
  <si>
    <t>GNIU240b</t>
  </si>
  <si>
    <t>Giáp níu dừng dây bọc (70-95mm2)</t>
  </si>
  <si>
    <t>Giáp níu dừng dây bọc (120-150mm2)</t>
  </si>
  <si>
    <t>Giáp níu dừng dây bọc (185-240mm2)</t>
  </si>
  <si>
    <t>GNIU150b</t>
  </si>
  <si>
    <t>GNIU95b</t>
  </si>
  <si>
    <t>gniu95b</t>
  </si>
  <si>
    <t>gniu150b</t>
  </si>
  <si>
    <t>gniu240b</t>
  </si>
  <si>
    <t>Phụ kiện đấu nối đầu đường dây xây dựng mới</t>
  </si>
  <si>
    <t>2xABC4x120</t>
  </si>
  <si>
    <t>SATV5</t>
  </si>
  <si>
    <t>HANSATV5</t>
  </si>
  <si>
    <t>07.1201</t>
  </si>
  <si>
    <t>Hàn thanh sắt V50x50x5-4000/Zn thành cọc dài 20 mét</t>
  </si>
  <si>
    <t>mối hàn</t>
  </si>
  <si>
    <t>FE D8-1,2M</t>
  </si>
  <si>
    <t>Sắt tròn Þ8 thanh dài 1,2m (hàn bass 2 đầu, mạ kẽm)</t>
  </si>
  <si>
    <t xml:space="preserve">thanh </t>
  </si>
  <si>
    <t>FE D8-2M</t>
  </si>
  <si>
    <t>Sắt tròn Þ8 thanh dài 2m (hàn bass 2 đầu, mạ kẽm)</t>
  </si>
  <si>
    <t>FE D8-2,5M</t>
  </si>
  <si>
    <t>Sắt tròn Þ8 thanh dài 2,5m (hàn bass 2 đầu, mạ kẽm)</t>
  </si>
  <si>
    <t>FE D8-3M</t>
  </si>
  <si>
    <t>Sắt tròn Þ8 thanh dài 3m (hàn bass 2 đầu, mạ kẽm)</t>
  </si>
  <si>
    <t>DTINOX</t>
  </si>
  <si>
    <t>Đai thép Inox</t>
  </si>
  <si>
    <t>KDINOX</t>
  </si>
  <si>
    <t>Khóa đai Inox</t>
  </si>
  <si>
    <t>chupkq</t>
  </si>
  <si>
    <t>Chụp cách điện kẹp quai</t>
  </si>
  <si>
    <t>LX24D</t>
  </si>
  <si>
    <t>LX24K</t>
  </si>
  <si>
    <t>05.6011f</t>
  </si>
  <si>
    <t>LX16K</t>
  </si>
  <si>
    <t>LX20D</t>
  </si>
  <si>
    <t>LX20K</t>
  </si>
  <si>
    <t>LX21D</t>
  </si>
  <si>
    <t>LX21K</t>
  </si>
  <si>
    <t>Lắp xà đỡ 1,66m kép (51,575kg)</t>
  </si>
  <si>
    <t>Lắp xà đỡ 2,0m đơn (25,356kg)</t>
  </si>
  <si>
    <t>Lắp xà đỡ 2,0m kép (50,751kg)</t>
  </si>
  <si>
    <t>Lắp xà đỡ 2,1m đơn (29,425kg)</t>
  </si>
  <si>
    <t>Lắp xà đỡ 2,1m kép (58,889kg)</t>
  </si>
  <si>
    <t>LX8D</t>
  </si>
  <si>
    <t>LX8K</t>
  </si>
  <si>
    <t>Lắp xà đỡ 0,8m kép (23,084kg)</t>
  </si>
  <si>
    <t>05.6021f</t>
  </si>
  <si>
    <t>05.6021g</t>
  </si>
  <si>
    <t>LX8KN</t>
  </si>
  <si>
    <t>LX16KN</t>
  </si>
  <si>
    <t>LX20KN</t>
  </si>
  <si>
    <t>LX21KN</t>
  </si>
  <si>
    <t>LX22KN</t>
  </si>
  <si>
    <t>LX24KN</t>
  </si>
  <si>
    <t>Lắp xà néo 0,8m kép (23,084kg)</t>
  </si>
  <si>
    <t>Lắp xà néo 1,66m kép (51,575kg)</t>
  </si>
  <si>
    <t>Lắp xà néo 2,0m kép (50,751kg)</t>
  </si>
  <si>
    <t>Lắp xà néo 2,1m kép (58,889kg)</t>
  </si>
  <si>
    <t>05.6002b</t>
  </si>
  <si>
    <t>05.6022c</t>
  </si>
  <si>
    <t>05.6022a</t>
  </si>
  <si>
    <t>05.6022i</t>
  </si>
  <si>
    <t>05.6022j</t>
  </si>
  <si>
    <t>05.6022k</t>
  </si>
  <si>
    <t>LX24DPI</t>
  </si>
  <si>
    <t>LX24KPI</t>
  </si>
  <si>
    <t>LX26DPI</t>
  </si>
  <si>
    <t>LX26KPI</t>
  </si>
  <si>
    <t>05.6044b</t>
  </si>
  <si>
    <t>05.6011b</t>
  </si>
  <si>
    <t>Lắp xà pi 2,4m kép (101,967kg)</t>
  </si>
  <si>
    <t>Lắp xà pi 2,6m đơn (26,236kg)</t>
  </si>
  <si>
    <t>Lắp xà pi 2,4m đơn</t>
  </si>
  <si>
    <t>Lắp xà néo 2,4m kép (63,126kg)</t>
  </si>
  <si>
    <t>Lắp xà đỡ 2,2m đơn (29,759kg)</t>
  </si>
  <si>
    <t>Lắp xà đỡ 2,4m đơn (31,563kg)</t>
  </si>
  <si>
    <t>Lắp xà đỡ 1,66m đơn (26,550kg)</t>
  </si>
  <si>
    <t>Lắp xà đỡ 0,8m đơn (11,987kg)</t>
  </si>
  <si>
    <t>Lắp xà pi 2,6m kép (52,512kg)</t>
  </si>
  <si>
    <t>LXTBA</t>
  </si>
  <si>
    <t>Lắp xà thép trong phạm vi trạm</t>
  </si>
  <si>
    <t>Lxi</t>
  </si>
  <si>
    <t>lxi</t>
  </si>
  <si>
    <t>Tháo bộ dừng dây pha</t>
  </si>
  <si>
    <t>Lắp lại sứ treo Polymer</t>
  </si>
  <si>
    <t>Tháo sứ treo Polymer+bộ dừng</t>
  </si>
  <si>
    <t>3AC/XLPE 50</t>
  </si>
  <si>
    <t>3xABC4x120</t>
  </si>
  <si>
    <t>Ống PVC D140</t>
  </si>
  <si>
    <t>Ống PVC D114</t>
  </si>
  <si>
    <t>Co sừng PVC D140</t>
  </si>
  <si>
    <t>Co  sừng 90 độ PVC 114</t>
  </si>
  <si>
    <t>Cut140</t>
  </si>
  <si>
    <t>Tủ điện kế</t>
  </si>
  <si>
    <t>BẢNG LIỆT KÊ KHỐI LƯỢNG PHẦN TRẠM</t>
  </si>
  <si>
    <t>Ống đàn hồi 114 (Ruột gà)</t>
  </si>
  <si>
    <t>tun</t>
  </si>
  <si>
    <t>Tủ đo đếm</t>
  </si>
  <si>
    <t>Bộ dây dẫn cáp xuất hạ thế từ MBA vào tủ CB và tủ đo đếm</t>
  </si>
  <si>
    <t>ONGDH140</t>
  </si>
  <si>
    <t>Ống đàn hồi 140 (Ruột gà)</t>
  </si>
  <si>
    <t>TRẠM 3 PHA - 3x100KVA</t>
  </si>
  <si>
    <t>Sử dụng lại</t>
  </si>
  <si>
    <t>ti400</t>
  </si>
  <si>
    <t>t1001</t>
  </si>
  <si>
    <t>Hiện hữu</t>
  </si>
  <si>
    <t>Bổ sung</t>
  </si>
  <si>
    <t xml:space="preserve">Bộ dây dẫn hạ thế Trạm  3x100KVA </t>
  </si>
  <si>
    <t>chcos300</t>
  </si>
  <si>
    <t>chcos150</t>
  </si>
  <si>
    <t>cos300</t>
  </si>
  <si>
    <t>THIẾT BỊ</t>
  </si>
  <si>
    <t>t85</t>
  </si>
  <si>
    <t>t10</t>
  </si>
  <si>
    <t>BẢNG PHÂN BỐ TRỤ ĐƯỜNG DÂY TRUNG THẾ LÀM MỚI</t>
  </si>
  <si>
    <t>BẢNG KÊ TRỤ ĐƯỜNG DÂY HẠ THẾ LÀM MỚI</t>
  </si>
  <si>
    <t>BẢNG KÊ TRỤ ĐƯỜNG DÂY HẠ THẾ NÂNG CẤP</t>
  </si>
  <si>
    <t xml:space="preserve">MCCB 3 cực 400V -250A - 35KA </t>
  </si>
  <si>
    <t>cos2,5</t>
  </si>
  <si>
    <t>Chuỗi Polymer kép lắp vào trụ + bộ dừng</t>
  </si>
  <si>
    <t>CSKT ply-T</t>
  </si>
  <si>
    <t>Chuỗi sứ treo Polymer 24kV kép lắp vào trụ : CSKT ply-T</t>
  </si>
  <si>
    <t>Gía chùm treo máy biến áp 3x100</t>
  </si>
  <si>
    <t>GTMBA100</t>
  </si>
  <si>
    <t>Đầu cose Cu-Al 120mm2</t>
  </si>
  <si>
    <t>6xABC4x120</t>
  </si>
  <si>
    <t>5xABC4x120</t>
  </si>
  <si>
    <t>4xABC4x120</t>
  </si>
  <si>
    <t>6xABC4x95</t>
  </si>
  <si>
    <t>5xABC4x95</t>
  </si>
  <si>
    <t>4xABC4x95</t>
  </si>
  <si>
    <t>3xABC4x95</t>
  </si>
  <si>
    <t>2xABC4x95</t>
  </si>
  <si>
    <t>B850</t>
  </si>
  <si>
    <t>Boulon 8x50+ 2 long đền vuông</t>
  </si>
  <si>
    <t>b850</t>
  </si>
  <si>
    <t>BKQ</t>
  </si>
  <si>
    <t>bkq</t>
  </si>
  <si>
    <r>
      <t xml:space="preserve">Ống co nhiệt cách điện </t>
    </r>
    <r>
      <rPr>
        <sz val="10"/>
        <rFont val="Calibri"/>
        <family val="2"/>
      </rPr>
      <t>Ø</t>
    </r>
    <r>
      <rPr>
        <sz val="9"/>
        <rFont val="Times New Roman"/>
        <family val="1"/>
      </rPr>
      <t xml:space="preserve"> 60</t>
    </r>
  </si>
  <si>
    <t>OCN</t>
  </si>
  <si>
    <t>BANGKEOTT</t>
  </si>
  <si>
    <t>Băng keo cách điện trung thế</t>
  </si>
  <si>
    <t>Băng keo cách điện hạ thế</t>
  </si>
  <si>
    <t>Băng keo hạ thế</t>
  </si>
  <si>
    <t>Tháo bộ dừng dây trung hòa</t>
  </si>
  <si>
    <t>T12F54</t>
  </si>
  <si>
    <t>chai</t>
  </si>
  <si>
    <t>cut114t</t>
  </si>
  <si>
    <t>Cd114</t>
  </si>
  <si>
    <t>Bảng tên trạm + bảng báo nguy hiểm</t>
  </si>
  <si>
    <t>SDL</t>
  </si>
  <si>
    <t>SDL 01 kẹp Quai</t>
  </si>
  <si>
    <t>BS cáp hotline 1pha, SDL cáp hotline hh</t>
  </si>
  <si>
    <t>H.Hữu 02FCO +SDL 01FCO</t>
  </si>
  <si>
    <t>Bulon moc16x250+2 rondel vuông</t>
  </si>
  <si>
    <t>Bulon xoắn 12x250 +2 rondel vuông</t>
  </si>
  <si>
    <t>Kẹp dừng cáp 2x16</t>
  </si>
  <si>
    <t>Kẹp dừng cáp duplex</t>
  </si>
  <si>
    <t>Cáp Duplex AL 2x16mm2</t>
  </si>
  <si>
    <t>H.Hữu 02LA+SDL 01LA</t>
  </si>
  <si>
    <t>Cáp 24KV C/XLPE/PVC- 25mm2</t>
  </si>
  <si>
    <t>3CỘNG 18:</t>
  </si>
  <si>
    <t>TRẠM NGỒI</t>
  </si>
  <si>
    <t>U20203</t>
  </si>
  <si>
    <t>U10040</t>
  </si>
  <si>
    <t>U20142</t>
  </si>
  <si>
    <t>U10075</t>
  </si>
  <si>
    <t>U100750</t>
  </si>
  <si>
    <t>U20150</t>
  </si>
  <si>
    <t>U10070</t>
  </si>
  <si>
    <t>U2080</t>
  </si>
  <si>
    <t>U100-70</t>
  </si>
  <si>
    <t>U20-80</t>
  </si>
  <si>
    <t>B16800v</t>
  </si>
  <si>
    <t>B16750</t>
  </si>
  <si>
    <t>U16203</t>
  </si>
  <si>
    <t>Đà U160x68x5x2033 chống MBA : 2 thanh</t>
  </si>
  <si>
    <t>Đà U200x76x5,2x2033 chống MBA : 2 thanh</t>
  </si>
  <si>
    <t>Đà U100x46x4,5x400 ốp đà chống : 2 thanh</t>
  </si>
  <si>
    <t>U16142</t>
  </si>
  <si>
    <t>Đà U160x68x5x1428 Chống ngoài bắt MBA : 1 thanh</t>
  </si>
  <si>
    <t>Đà U200x76x5,2x1428 Chống ngoài bắt MBA : 1 thanh</t>
  </si>
  <si>
    <t>Đà U100x46x4,5x750 ốp Chống ngoài bắt MBA : 1 thanh</t>
  </si>
  <si>
    <t>Đà U100x46x4,5x750 Chống ngoài đỡ MBA : 1 thanh</t>
  </si>
  <si>
    <t>U16150</t>
  </si>
  <si>
    <t>Đà U160x68x5x1500 đỡ MBA : 2 thanh</t>
  </si>
  <si>
    <t>Đà U200x76x5,2x1500 đỡ MBA : 2 thanh</t>
  </si>
  <si>
    <t>Đà U100x46x4,5x700 ốp đà  đỡ MBA : 2 thanh</t>
  </si>
  <si>
    <t>U1680</t>
  </si>
  <si>
    <t>Đà U160x68x5x800 trong bắt MBA : 1 thanh</t>
  </si>
  <si>
    <t>Đà U200x76x5,2x800 trong bắt MBA : 1 thanh</t>
  </si>
  <si>
    <t>Đà U100x46x4,5x700 kẹp bắt MBA : 1 thanh</t>
  </si>
  <si>
    <t>U16-80</t>
  </si>
  <si>
    <t>Đà U160x68x5x800 ngoài bắt MBA : 1 thanh</t>
  </si>
  <si>
    <t>Đà U200x76x5,2x800 ngoài bắt MBA : 1 thanh</t>
  </si>
  <si>
    <t>B16750V</t>
  </si>
  <si>
    <t>B16800V</t>
  </si>
  <si>
    <t>Boulon 16x750VRS+ 4 long đền vuông D18-50x50x3/Zn</t>
  </si>
  <si>
    <t>Boulon 16x750+ 2 long đền vuông D18-50x50x3/Zn</t>
  </si>
  <si>
    <t>Đà đơn Composite 2400 bắt FCO + LA</t>
  </si>
  <si>
    <t>b16400</t>
  </si>
  <si>
    <t>b16100</t>
  </si>
  <si>
    <t xml:space="preserve">Xà đơn L75x75x8x2200 (4 ốp) đỡ sứ </t>
  </si>
  <si>
    <t>Khâu ven răng trong + ngoài D114</t>
  </si>
  <si>
    <t>Khâu ven răng trong + ngoài D140</t>
  </si>
  <si>
    <t>Ống ruột gà D140</t>
  </si>
  <si>
    <t>Ống ruột gà D114</t>
  </si>
  <si>
    <t>Co sừng PVC D114</t>
  </si>
  <si>
    <t>Co vuông PVC D140</t>
  </si>
  <si>
    <t>Co vuông PVC D114</t>
  </si>
  <si>
    <t>Kẹp ép WR 120mm2</t>
  </si>
  <si>
    <t>Ghíp nối IPC120-35(25)</t>
  </si>
  <si>
    <t>Bulon 16x300+2rondel vuông</t>
  </si>
  <si>
    <t>Tiếp địa cố định đầu cáp ABC 120mm2</t>
  </si>
  <si>
    <t>Tiếp địa cố định đầu cáp ABC 95mm2</t>
  </si>
  <si>
    <t>C/XLPE 50</t>
  </si>
  <si>
    <t>BM16550</t>
  </si>
  <si>
    <t>cut140t</t>
  </si>
  <si>
    <t>Cổ dê kẹp ống D114</t>
  </si>
  <si>
    <t>TĐCĐABC120</t>
  </si>
  <si>
    <t>Tiếp địa cố định cáp ABC 120mm2</t>
  </si>
  <si>
    <t>Tiếp địa cố định cáp ABC 95mm2</t>
  </si>
  <si>
    <t>TĐCĐABC95</t>
  </si>
  <si>
    <t>Ghíp nối IPC 120-35(25)</t>
  </si>
  <si>
    <t>Dau cosse Cu-ALL 120mm²</t>
  </si>
  <si>
    <t>Cổ dê kẹp ống D140</t>
  </si>
  <si>
    <t>Kẹp ép WR 120mm²</t>
  </si>
  <si>
    <t>Dau cosse Cu-ALL 95mm²</t>
  </si>
  <si>
    <t>Lắp kẹp treo cáp 95mm2</t>
  </si>
  <si>
    <t>Lắp kẹp ngừng cáp 95mm2</t>
  </si>
  <si>
    <t xml:space="preserve">Cáp CVV 4x2,5mm2  </t>
  </si>
  <si>
    <t>cut42</t>
  </si>
  <si>
    <t>kvrt42</t>
  </si>
  <si>
    <t>kvrn42</t>
  </si>
  <si>
    <t>Ống đàn hồi 90 (Ruột gà)</t>
  </si>
  <si>
    <t>ONGDH90</t>
  </si>
  <si>
    <t>Tủ đo đếm, cáp điện kế và phụ kiện</t>
  </si>
  <si>
    <t>TBA320</t>
  </si>
  <si>
    <t>TBA400</t>
  </si>
  <si>
    <t>TBA560</t>
  </si>
  <si>
    <t>TBA630</t>
  </si>
  <si>
    <t>TBA250</t>
  </si>
  <si>
    <t>TBA160</t>
  </si>
  <si>
    <t>MBA</t>
  </si>
  <si>
    <t>Đường dây trung thế 1 pha</t>
  </si>
  <si>
    <t>TBA180</t>
  </si>
  <si>
    <t>TBA3x100</t>
  </si>
  <si>
    <t>TBA3P100</t>
  </si>
  <si>
    <t>TBA3x75</t>
  </si>
  <si>
    <t>TBA3x50</t>
  </si>
  <si>
    <t>TBA3x37,5</t>
  </si>
  <si>
    <t>TBA3x25</t>
  </si>
  <si>
    <t>TBA3x15</t>
  </si>
  <si>
    <t>TBA1x100</t>
  </si>
  <si>
    <t>TBA1x75</t>
  </si>
  <si>
    <t>TBA1x50</t>
  </si>
  <si>
    <t>TBA1x37,5</t>
  </si>
  <si>
    <t>TBA1x25</t>
  </si>
  <si>
    <t>TBA1x15</t>
  </si>
  <si>
    <t>TÊN VẬT TƯ, THIẾT BỊ</t>
  </si>
  <si>
    <t>KL.DZ</t>
  </si>
  <si>
    <t>KL.TRẠM</t>
  </si>
  <si>
    <t>BẢNG TỔNG HỢP KHỐI LƯỢNG</t>
  </si>
  <si>
    <t>THIẾT BỊ, VẬT LIỆU CHỦ YẾU</t>
  </si>
  <si>
    <t>3P2M</t>
  </si>
  <si>
    <t>3P1M</t>
  </si>
  <si>
    <t>HT-CT</t>
  </si>
  <si>
    <t>C.NGẦM
C.SÁNG</t>
  </si>
  <si>
    <t>C.NGẦM
H.THẾ</t>
  </si>
  <si>
    <t>C.NGẦM
T.THẾ</t>
  </si>
  <si>
    <t>TRẠM</t>
  </si>
  <si>
    <t>TRỌNG
LƯỢNG</t>
  </si>
  <si>
    <t>HT.ĐL</t>
  </si>
  <si>
    <t>CÁT ĐÁ XI MANG</t>
  </si>
  <si>
    <t>TRỤ ĐÀ CẢN ĐẾ NEO</t>
  </si>
  <si>
    <t>VẬT LIỆU</t>
  </si>
  <si>
    <t>3AC/XLPE 95+AC50</t>
  </si>
  <si>
    <t>Phân trung thế nâng cấp, cải tạo</t>
  </si>
  <si>
    <t>Chụp kẹp quai</t>
  </si>
  <si>
    <t>Giáp níu cỡ dây 95mm2</t>
  </si>
  <si>
    <t>Giáp níu cỡ dây 120mm2</t>
  </si>
  <si>
    <t>Đầu cose Cu-AL 95mm2</t>
  </si>
  <si>
    <t>Đầu cose Cu-AL 120mm2</t>
  </si>
  <si>
    <t>Đầu cose Cu-AL 150mm2</t>
  </si>
  <si>
    <t>Đầu cose Cu-AL 185mm2</t>
  </si>
  <si>
    <t>Đầu cose Cu-AL 240mm2</t>
  </si>
  <si>
    <t>Tháo hạ dây 2AC120mm2</t>
  </si>
  <si>
    <t>Tháo hạ dây 2AC95mm2</t>
  </si>
  <si>
    <t>Tháo hạ dây 2AC70mm2</t>
  </si>
  <si>
    <t>Tháo hạ dây 2AC50mm2</t>
  </si>
  <si>
    <t>Tháo hạ dây 4AC50mm2</t>
  </si>
  <si>
    <t>3AC/XLPE 95</t>
  </si>
  <si>
    <t>Chupkq</t>
  </si>
  <si>
    <t>Cáp CV25mm2</t>
  </si>
  <si>
    <t>Cáp CV35mm2</t>
  </si>
  <si>
    <t>Ống co nhiệt D65(60)</t>
  </si>
  <si>
    <t>Khoảng cách hiện hữu</t>
  </si>
  <si>
    <t>Khoảng cách sau cải tạo</t>
  </si>
  <si>
    <t>Số trụ sau cải tạo</t>
  </si>
  <si>
    <t>Số trụ hiện hữu</t>
  </si>
  <si>
    <t>3C/XLPE 95</t>
  </si>
  <si>
    <t>Tháo cáp xuất CV70mm2</t>
  </si>
  <si>
    <t>Tháo cáp xuất CV95mm2</t>
  </si>
  <si>
    <t>Tháo cáp xuất CV120mm2</t>
  </si>
  <si>
    <t>Tháo cáp xuất CV150mm2</t>
  </si>
  <si>
    <t>Tháo cáp xuất CV185mm2</t>
  </si>
  <si>
    <t>Tháo cáp xuất CV240mm2</t>
  </si>
  <si>
    <t>Tháo tụ bù hạ thế</t>
  </si>
  <si>
    <t>Lắp sử dụng lại hộp tụ bù</t>
  </si>
  <si>
    <t>Ghíp nối IPC95-35(25)</t>
  </si>
  <si>
    <t>Kẹp ép WR 95mm2</t>
  </si>
  <si>
    <t>Ghíp nối IPC70-35(25)</t>
  </si>
  <si>
    <t>Bulon 16x500+2rondel vuông</t>
  </si>
  <si>
    <t>Chỉnh trụ nghiêng</t>
  </si>
  <si>
    <t>IDT</t>
  </si>
  <si>
    <t>2DT</t>
  </si>
  <si>
    <t>M12BT ĐÔI-PĐ</t>
  </si>
  <si>
    <t>M12BT ĐƠN-PĐ</t>
  </si>
  <si>
    <t>Móng bê tông trụ đơn 12m phá đá</t>
  </si>
  <si>
    <t>MDA1</t>
  </si>
  <si>
    <t>MDA2</t>
  </si>
  <si>
    <t>03.5121</t>
  </si>
  <si>
    <t>03.5122</t>
  </si>
  <si>
    <t>Đào hố móng đá cấp 1 rộng &lt;=50m2 sâu 0,5m-3m</t>
  </si>
  <si>
    <t>Đào hố móng đá cấp 2 rộng &lt;=50m2 sâu 0,5m-3m</t>
  </si>
  <si>
    <t>03.5112</t>
  </si>
  <si>
    <t>03.5111</t>
  </si>
  <si>
    <t>MDDA3</t>
  </si>
  <si>
    <t>GDT</t>
  </si>
  <si>
    <t>Trụ BTLT 12m F540 dự ứng lực có dây tiếp địa trong thân trụ</t>
  </si>
  <si>
    <t>T12f54TE</t>
  </si>
  <si>
    <t>CVV4X4</t>
  </si>
  <si>
    <t xml:space="preserve">Cáp CVV 4x4mm2  </t>
  </si>
  <si>
    <t>cvv4x4</t>
  </si>
  <si>
    <t>Tháo bộ chằng kép CK trung thế</t>
  </si>
  <si>
    <t>Lắp lại tủ điện trạm+phụ kiện</t>
  </si>
  <si>
    <t>Lắp lại bộ cáp xuất TBA 2x50kVA</t>
  </si>
  <si>
    <t>Kẹp 2 rãnh đồng-nhôm 50mm2</t>
  </si>
  <si>
    <t>TD285-TT5</t>
  </si>
  <si>
    <t>TG285-TT5</t>
  </si>
  <si>
    <t>U12-285</t>
  </si>
  <si>
    <t>b16200v</t>
  </si>
  <si>
    <t>LXTD</t>
  </si>
  <si>
    <t>b16550</t>
  </si>
  <si>
    <t>LXTG</t>
  </si>
  <si>
    <t>Bộ tháp đầu trụ đơn U120x52x4,8-2850: 
TD285-TT5</t>
  </si>
  <si>
    <t>Bộ tháp đầu trụ ghép U120x52x4,8-2850: 
TG285-TT5</t>
  </si>
  <si>
    <t>Đà U120x52x4,8x2850mm</t>
  </si>
  <si>
    <t>B16550</t>
  </si>
  <si>
    <t>Boulon 16x550+ 2 long đền vuông D18-50x50x3/Zn</t>
  </si>
  <si>
    <t>05.6031a</t>
  </si>
  <si>
    <t>05.6031b</t>
  </si>
  <si>
    <t>Loại móng</t>
  </si>
  <si>
    <t>Bộ sứ đỉnh đỡ thẳng SĐI</t>
  </si>
  <si>
    <t>Bộ sứ đỉnh đỡ góc SĐG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</si>
  <si>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</si>
  <si>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</si>
  <si>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</si>
  <si>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</si>
  <si>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đỡ dây T.H : Đth-U</t>
  </si>
  <si>
    <t>Bộ néo dây T.H : Nth-U</t>
  </si>
  <si>
    <t>Bộ khóa néo TH : Nth-T</t>
  </si>
  <si>
    <t>Kẹp quai và hotline 2/0</t>
  </si>
  <si>
    <t>Vị trí vượt đường</t>
  </si>
  <si>
    <t>Ống co nhiệt cách điện Ø 60</t>
  </si>
  <si>
    <t>NXX-PĐ</t>
  </si>
  <si>
    <t>NXL-PĐ</t>
  </si>
  <si>
    <t>Bộ móng neo xòe cho chằng xuống phá đá: NXX-PĐ</t>
  </si>
  <si>
    <t>Bộ móng neo xòe cho chằng lệch phá đá: NXL-PĐ</t>
  </si>
  <si>
    <t>CVV4x4</t>
  </si>
  <si>
    <t>Bộ dây dẫn hạ thế Trạm  100KVA</t>
  </si>
  <si>
    <t>fco200-15</t>
  </si>
  <si>
    <t>fco200-22</t>
  </si>
  <si>
    <t>B16350v</t>
  </si>
  <si>
    <t>Boulon 16x500+ 2 long đền vuông D18-50x50x3/Zn</t>
  </si>
  <si>
    <t>B16500v</t>
  </si>
  <si>
    <t>cos35</t>
  </si>
  <si>
    <t>stk21</t>
  </si>
  <si>
    <t>Ông sắt tráng kẽm D21</t>
  </si>
  <si>
    <t>Cổ dê kẹp ống PVC (STK) Þ 21</t>
  </si>
  <si>
    <t>cut21</t>
  </si>
  <si>
    <t>07.2201</t>
  </si>
  <si>
    <t>Tủ điện năng kế và CB 3 pha:</t>
  </si>
  <si>
    <t>CHUPfco</t>
  </si>
  <si>
    <t>chupfco</t>
  </si>
  <si>
    <t>ocn</t>
  </si>
  <si>
    <t>Cos35</t>
  </si>
  <si>
    <t>CHUPFCO</t>
  </si>
  <si>
    <t>CHUPKQ</t>
  </si>
  <si>
    <t>CHUPLA</t>
  </si>
  <si>
    <t>CHUPMBA</t>
  </si>
  <si>
    <t>Chỉnh trụ nghiêng &lt;=12m</t>
  </si>
  <si>
    <t>Tháo rack 1 sứ</t>
  </si>
  <si>
    <t>Lắp lại Cáp Duplex</t>
  </si>
  <si>
    <t>Tháo cáp Duplex</t>
  </si>
  <si>
    <t>Lắp lại rack 1 sứ</t>
  </si>
  <si>
    <t>Lắp lại hộ Domino</t>
  </si>
  <si>
    <t>Lắp lại MBA 100kVA + phụ kiện</t>
  </si>
  <si>
    <t>Lắp lại MBA 37,5kVA +phụ kiện</t>
  </si>
  <si>
    <t>Tháo MBA 37,5kVA + phụ kiện</t>
  </si>
  <si>
    <t>LX20k</t>
  </si>
  <si>
    <t>LXHD24</t>
  </si>
  <si>
    <t>05.6044b1</t>
  </si>
  <si>
    <t>Lắp xà đỡ 2,4m đơn cột PI (25,8982kg)</t>
  </si>
  <si>
    <t>LXHK24</t>
  </si>
  <si>
    <t>05.6044b2</t>
  </si>
  <si>
    <t>Lắp xà néo 2,4m kép cột PI (50,2507kg)</t>
  </si>
  <si>
    <t>LTG20</t>
  </si>
  <si>
    <t>05.6044b3</t>
  </si>
  <si>
    <t>Lắp bộ thanh giằng cột PI (50,14kg)</t>
  </si>
  <si>
    <t>Lắp đặt bộ tháp sắt (78kg)</t>
  </si>
  <si>
    <t>Lắp đặt bộ tháp sắt (93kg)</t>
  </si>
  <si>
    <t>Tháo hạ dây 2A70mm2</t>
  </si>
  <si>
    <t>Tháo hạ dây 2A950mm2</t>
  </si>
  <si>
    <t>Tháo hạ dây 3A950mm2</t>
  </si>
  <si>
    <t>Lắp lại dây 2A70mm2</t>
  </si>
  <si>
    <t>Lắp lại dây 2A950mm2</t>
  </si>
  <si>
    <t>Lắp lại dây 3A950mm2</t>
  </si>
  <si>
    <t>tr371</t>
  </si>
  <si>
    <t>tr501</t>
  </si>
  <si>
    <t>tr751</t>
  </si>
  <si>
    <t>chi50K</t>
  </si>
  <si>
    <t>Tái lập Brachament</t>
  </si>
  <si>
    <t>06.2111</t>
  </si>
  <si>
    <t>ttf</t>
  </si>
  <si>
    <t>Dây buộc cổ sứ đỡ thẳng TTF 1204 (185-240mm2)</t>
  </si>
  <si>
    <t>ssf</t>
  </si>
  <si>
    <t>Dây buộc cổ sứ đỡ góc SSF 2204 (185-240mm2)</t>
  </si>
  <si>
    <t>ttf02</t>
  </si>
  <si>
    <t>ssf02</t>
  </si>
  <si>
    <t>Dây buộc cổ sứ đỡ thẳng TTF 1202 (70-95mm2)</t>
  </si>
  <si>
    <t>Dây buộc cổ sứ đỡ góc SSF 2202 (70-95mm2)</t>
  </si>
  <si>
    <t>LX20d</t>
  </si>
  <si>
    <t>BẢNG KÊ TRỤ ĐƯỜNG DÂY 1 PHA</t>
  </si>
  <si>
    <t>XLPE25C</t>
  </si>
  <si>
    <t>XLPE50C</t>
  </si>
  <si>
    <t>Cáp 24KV C/XLPE- 25mm2</t>
  </si>
  <si>
    <t>Cáp 24KV C/XLPE- 50mm2</t>
  </si>
  <si>
    <t>07.2404</t>
  </si>
  <si>
    <t>07.2406</t>
  </si>
  <si>
    <t>bangkeott</t>
  </si>
  <si>
    <t>Bộ dây dẫn xuống  trung thế 1 pha</t>
  </si>
  <si>
    <t xml:space="preserve">Bakelit 500x300 dầy 10mm </t>
  </si>
  <si>
    <t>Cổ dê CDĐKĐT D320/6x60( bắt thùng)</t>
  </si>
  <si>
    <t>Móng bê tông trụ đôi 12m phá đá</t>
  </si>
  <si>
    <t>Lắp xà 2,4m kép (63,166kg)</t>
  </si>
  <si>
    <t>14.04.00</t>
  </si>
  <si>
    <t>Lắp xà 2,2m kép (58,628kg)</t>
  </si>
  <si>
    <t>Lắp xà néo 2,2m kép (58,628kg)</t>
  </si>
  <si>
    <t>Boulon mắt 16x230+ 1 long đền vuông D18-50x50x3/Zn</t>
  </si>
  <si>
    <t>Boulon mắt 16x250+ 1 long đền vuông D18-50x50x3/Zn</t>
  </si>
  <si>
    <t>Boulon mắt 16x300+ 1 long đền vuông D18-50x50x3/Zn</t>
  </si>
  <si>
    <t>Boulon mắt 16x550+ 1 long đền vuông D18-50x50x3/Zn</t>
  </si>
  <si>
    <t>Boulon móc 16x250+ 1 long đền vuông D18-50x50x3/Zn</t>
  </si>
  <si>
    <t>Boulon móc 16x300+ 1 long đền vuông D18-50x50x3/Zn</t>
  </si>
  <si>
    <t>Boulon móc 16x500+ 1 long đền vuông D18-50x50x3/Zn</t>
  </si>
  <si>
    <t>Ống nối dây cỡ 50mm2 (có lõi thép)</t>
  </si>
  <si>
    <t>SL50810</t>
  </si>
  <si>
    <t>Sắt góc L50 x50 x5x810</t>
  </si>
  <si>
    <t>SL501150</t>
  </si>
  <si>
    <t>Sắt góc L50 x50 x5x1150</t>
  </si>
  <si>
    <t>SL501990</t>
  </si>
  <si>
    <t>Sắt góc L50 x50 x5x1990</t>
  </si>
  <si>
    <t>SL7516</t>
  </si>
  <si>
    <t>Sắt góc L75 x75 x8x1660 (2 ốp)</t>
  </si>
  <si>
    <t>SL7522</t>
  </si>
  <si>
    <t>Sắt góc L75 x75 x8x2200 (4 ốp)</t>
  </si>
  <si>
    <t>SL7520</t>
  </si>
  <si>
    <t>Sắt góc L75 x75 x8 x2000 (3 ốp)</t>
  </si>
  <si>
    <t>SL7526</t>
  </si>
  <si>
    <t>Sắt góc L75 x75 x8x2600 (3 ốp)</t>
  </si>
  <si>
    <t>CD34</t>
  </si>
  <si>
    <t>Cổ dê kẹp ống PVC (STK) Þ 34</t>
  </si>
  <si>
    <t>MDA3</t>
  </si>
  <si>
    <t>Kéo dây nhôm lõi thép bọc cỡ dây 35mm2</t>
  </si>
  <si>
    <t>Kéo dây nhôm lõi thép bọc cỡ dây 185mm2</t>
  </si>
  <si>
    <t>PVC34</t>
  </si>
  <si>
    <t xml:space="preserve">Ống PVC D34 </t>
  </si>
  <si>
    <t>ONGDH34</t>
  </si>
  <si>
    <t>Ống đàn hồi 34</t>
  </si>
  <si>
    <t>KVRT34</t>
  </si>
  <si>
    <t>Khâu ven răng trong D34</t>
  </si>
  <si>
    <t>KVRN34</t>
  </si>
  <si>
    <t>Khâu ven răng ngoài D34</t>
  </si>
  <si>
    <t>thanh</t>
  </si>
  <si>
    <t xml:space="preserve">Đà U100x46x4,5x800 </t>
  </si>
  <si>
    <t xml:space="preserve">Đà U100x46x4,5x400 </t>
  </si>
  <si>
    <t>LGTMBA</t>
  </si>
  <si>
    <t>cos50d</t>
  </si>
  <si>
    <t>cos70d</t>
  </si>
  <si>
    <t>sl7526</t>
  </si>
  <si>
    <t>LXIco24</t>
  </si>
  <si>
    <t>Lắp xà đỡ composite dài 2400mm (7,5kg)</t>
  </si>
  <si>
    <t>CV25</t>
  </si>
  <si>
    <t>COS150d</t>
  </si>
  <si>
    <t>Cos50d</t>
  </si>
  <si>
    <t>T12te</t>
  </si>
  <si>
    <t>SL7521</t>
  </si>
  <si>
    <t>Sắt góc L75 x75 x8x2100 (3 ốp)</t>
  </si>
  <si>
    <t>LXIco26</t>
  </si>
  <si>
    <t>Lắp xà đỡ composite dài 2600mm (8,5kg)</t>
  </si>
  <si>
    <t>COS120d</t>
  </si>
  <si>
    <t>COS70d</t>
  </si>
  <si>
    <t>kvrt34</t>
  </si>
  <si>
    <t>kvrn34</t>
  </si>
  <si>
    <t>LXIco08</t>
  </si>
  <si>
    <t>Lắp xà đỡ composite dài 800mm (3kg)</t>
  </si>
  <si>
    <t>chcos25</t>
  </si>
  <si>
    <t>Bộ đà U160x48x4,5x2800</t>
  </si>
  <si>
    <t>LXU160D</t>
  </si>
  <si>
    <t>Lắp xà đỡ 2,8m đơn (42,84kg)</t>
  </si>
  <si>
    <t>bangkeo</t>
  </si>
  <si>
    <t>COS50d</t>
  </si>
  <si>
    <t>COS25d</t>
  </si>
  <si>
    <t>Gía chùm treo máy biến áp 3x50</t>
  </si>
  <si>
    <t>Kẹp U bolt dây 120mm2</t>
  </si>
  <si>
    <t>ONabc120</t>
  </si>
  <si>
    <t>Ống nối dây ABC 120MM2</t>
  </si>
  <si>
    <t>ONABC95</t>
  </si>
  <si>
    <t>Ống nối MJPB 95 (ABC)</t>
  </si>
  <si>
    <t>ONABC120</t>
  </si>
  <si>
    <t>Ống nối MJPB 120 (ABC)</t>
  </si>
  <si>
    <t>CD42</t>
  </si>
  <si>
    <t>Cổ dê kẹp ống PVC (STK) Þ 42</t>
  </si>
  <si>
    <t>Kéo dây ABC 3x120mm2</t>
  </si>
  <si>
    <t>Kéo dây ABC 4x120mm2</t>
  </si>
  <si>
    <t>Lắp rack sứ + sứ ống chỉ</t>
  </si>
  <si>
    <t>U16-196</t>
  </si>
  <si>
    <t>Đà U160x64x5x1960 chống đà MBA (2 thanh)</t>
  </si>
  <si>
    <t>U16-150</t>
  </si>
  <si>
    <t>Đà U160x64x5x1500 đỡ MBA (2 thanh)</t>
  </si>
  <si>
    <t>U16-145</t>
  </si>
  <si>
    <t>Đà U160x64x5x1450 chống đà ngoài bắt MBA (1 thanh)</t>
  </si>
  <si>
    <t>U16-100T</t>
  </si>
  <si>
    <t>Đà U160x64x5x1000 đà trong bắt MBA (1 thanh)</t>
  </si>
  <si>
    <t>U16-100N</t>
  </si>
  <si>
    <t>Đà U160x64x5x1000 đà ngoài bắt MBA (1 thanh)</t>
  </si>
  <si>
    <t>U10-100</t>
  </si>
  <si>
    <t>Đà U100x46x5x1000 đà kẹp bắt MBA (1 thanh)</t>
  </si>
  <si>
    <t>U10-75CT</t>
  </si>
  <si>
    <t>Đà U100x46x5x750 đà ốp bắt chống đà trong bắt MBA (1 thanh)</t>
  </si>
  <si>
    <t>U10-75CN</t>
  </si>
  <si>
    <t>Đà U100x46x5x750 đà ốp bắt chống đà ngoài đỡ MBA (1 thanh)</t>
  </si>
  <si>
    <t>U10-70</t>
  </si>
  <si>
    <t>Đà U100x46x5x700 đà ốp đỡ MBA (2 thanh)</t>
  </si>
  <si>
    <t>U10-40</t>
  </si>
  <si>
    <t>Đà U100x46x5x400 đà ốp chống đà (2 thanh)</t>
  </si>
  <si>
    <t>abc3x120</t>
  </si>
  <si>
    <t>Lsoc</t>
  </si>
  <si>
    <t>KEU120</t>
  </si>
  <si>
    <t>CDbr</t>
  </si>
  <si>
    <t>Cổ dê bắt rack</t>
  </si>
  <si>
    <t>cdbr</t>
  </si>
  <si>
    <t>bmoc16300</t>
  </si>
  <si>
    <t>Bộ cáp thép từ Bulon mắt (Cổ dê) đến sứ chằng</t>
  </si>
  <si>
    <t>Bộ xà kép L75x75x8 dài 2.2m: X-22K sử dụng lại</t>
  </si>
  <si>
    <t>Thanh chống dẹt 810</t>
  </si>
  <si>
    <t>Bộ cách điện đứng 24kV sử dụng lại</t>
  </si>
  <si>
    <t>Cắt dừng dây hạ thế trục chính tại trụ //172</t>
  </si>
  <si>
    <t>Cắt dừng dây pha hạ thế cáp 3AV70 tại trụ trạm //172/005</t>
  </si>
  <si>
    <t>LGIATFCO</t>
  </si>
  <si>
    <t>D2.6011</t>
  </si>
  <si>
    <t>Giá chữ "T" lắp FCO, LA (5,65kg)</t>
  </si>
  <si>
    <t>LapCD</t>
  </si>
  <si>
    <t>D3.3241</t>
  </si>
  <si>
    <t>Lắp đặt cổ dê, chiều cao &lt;=20m</t>
  </si>
  <si>
    <t>AB.51613</t>
  </si>
  <si>
    <t>Đào đá chiều dày &lt;0,5m, dùng búa căn, đá cấp III</t>
  </si>
  <si>
    <t>AB.11423</t>
  </si>
  <si>
    <t>AB.11413</t>
  </si>
  <si>
    <t>Đào móng cột trụ, hố kiểm tra đất cấp III rộng &lt;=1m, sâu &lt;=1m</t>
  </si>
  <si>
    <t>AB.13111</t>
  </si>
  <si>
    <t>AB.13112</t>
  </si>
  <si>
    <t>AB.13113</t>
  </si>
  <si>
    <t>Đào rãnh tiếp địa đất cấp 3</t>
  </si>
  <si>
    <t>T4.7001</t>
  </si>
  <si>
    <t>D2.8103</t>
  </si>
  <si>
    <t>D2.5211</t>
  </si>
  <si>
    <t>D2.5221</t>
  </si>
  <si>
    <t>D2.5231</t>
  </si>
  <si>
    <t>D2.5241</t>
  </si>
  <si>
    <t>D2.5271</t>
  </si>
  <si>
    <t>D2.5212</t>
  </si>
  <si>
    <t>D2.5222</t>
  </si>
  <si>
    <t>D2.5232</t>
  </si>
  <si>
    <t>D2.5242</t>
  </si>
  <si>
    <t>D2.5262</t>
  </si>
  <si>
    <t>D2.5272</t>
  </si>
  <si>
    <t>C14m-TBA</t>
  </si>
  <si>
    <t>Dựng trụ BTLT 14m trong TBA bằng thủ công + cơ giới</t>
  </si>
  <si>
    <t>D2.6021</t>
  </si>
  <si>
    <t>D2.6011a</t>
  </si>
  <si>
    <t>D2.6011b</t>
  </si>
  <si>
    <t>D2.6011c</t>
  </si>
  <si>
    <t>D2.6031c</t>
  </si>
  <si>
    <t>D2.6021a</t>
  </si>
  <si>
    <t>D2.6031a</t>
  </si>
  <si>
    <t>D2.6021e</t>
  </si>
  <si>
    <t>D2.6021d</t>
  </si>
  <si>
    <t>D2.6031d</t>
  </si>
  <si>
    <t>D2.6031</t>
  </si>
  <si>
    <t>T4.9302</t>
  </si>
  <si>
    <t>D2.6032</t>
  </si>
  <si>
    <t>D2.6042</t>
  </si>
  <si>
    <t>D2.6032b</t>
  </si>
  <si>
    <t>D2.6032c</t>
  </si>
  <si>
    <t>D2.6054</t>
  </si>
  <si>
    <t>D2.6064</t>
  </si>
  <si>
    <t>D2.6074</t>
  </si>
  <si>
    <t>Lắp cổ dê</t>
  </si>
  <si>
    <t>D3.3251</t>
  </si>
  <si>
    <t>AF.11210</t>
  </si>
  <si>
    <t>D3.6221</t>
  </si>
  <si>
    <t>D3.6222</t>
  </si>
  <si>
    <t>D3.6223</t>
  </si>
  <si>
    <t>D3.6224</t>
  </si>
  <si>
    <t>D3.6225</t>
  </si>
  <si>
    <t>D3.6261</t>
  </si>
  <si>
    <t>KDAABC50</t>
  </si>
  <si>
    <t>D3.6304</t>
  </si>
  <si>
    <t>Kéo dây ABC 4x50mm2</t>
  </si>
  <si>
    <t>KDAABC70</t>
  </si>
  <si>
    <t>D3.6305</t>
  </si>
  <si>
    <t>Kéo dây ABC 4x70mm2</t>
  </si>
  <si>
    <t>KDAABC95</t>
  </si>
  <si>
    <t>D3.6306</t>
  </si>
  <si>
    <t>Kéo dây ABC 4x95mm2</t>
  </si>
  <si>
    <t>KDAABC120</t>
  </si>
  <si>
    <t>D3.6307</t>
  </si>
  <si>
    <t>D3.6308</t>
  </si>
  <si>
    <t>Kéo dây ABC 4x150mm2</t>
  </si>
  <si>
    <t>KDAABC3x50</t>
  </si>
  <si>
    <t>Kéo dây ABC 3x50mm2</t>
  </si>
  <si>
    <t>KDAABC3x70</t>
  </si>
  <si>
    <t>Kéo dây ABC 3x70mm2</t>
  </si>
  <si>
    <t>KDAABC3x95</t>
  </si>
  <si>
    <t>Kéo dây ABC 3x95mm2</t>
  </si>
  <si>
    <t>KDAABC3x120</t>
  </si>
  <si>
    <t>KDAABC3x150</t>
  </si>
  <si>
    <t>Kéo dây ABC 3x150mm2</t>
  </si>
  <si>
    <t>KDAABC2x50</t>
  </si>
  <si>
    <t>Kéo dây ABC 2x50mm2</t>
  </si>
  <si>
    <t>KDAABC2x70</t>
  </si>
  <si>
    <t>Kéo dây ABC 2x70mm2</t>
  </si>
  <si>
    <t>KDAABC2x95</t>
  </si>
  <si>
    <t>Kéo dây ABC 2x95mm2</t>
  </si>
  <si>
    <t>KDAABC2x120</t>
  </si>
  <si>
    <t>Kéo dây ABC 2x120mm2</t>
  </si>
  <si>
    <t>KDAABC2x150</t>
  </si>
  <si>
    <t>Kéo dây ABC 2x150mm2</t>
  </si>
  <si>
    <t>D3.6211</t>
  </si>
  <si>
    <t>D3.6212</t>
  </si>
  <si>
    <t>D3.6213</t>
  </si>
  <si>
    <t>D3.6214</t>
  </si>
  <si>
    <t>D3.6215</t>
  </si>
  <si>
    <t>D3.6251</t>
  </si>
  <si>
    <t>KDM16</t>
  </si>
  <si>
    <t>D3.6141</t>
  </si>
  <si>
    <t>Kéo dây  đồng (M), tiết diện &lt;=16mm2, bằng thủ công</t>
  </si>
  <si>
    <t>D3.6142</t>
  </si>
  <si>
    <t>Kéo dây  đồng (M), tiết diện &lt;=25mm2, bằng thủ công</t>
  </si>
  <si>
    <t>D3.6143</t>
  </si>
  <si>
    <t>Kéo dây  đồng (M), tiết diện &lt;=35mm2, bằng thủ công</t>
  </si>
  <si>
    <t>D3.6144</t>
  </si>
  <si>
    <t>Kéo dây  đồng (M), tiết diện &lt;=50mm2, bằng thủ công</t>
  </si>
  <si>
    <t>D3.6145</t>
  </si>
  <si>
    <t>Kéo dây  đồng (M), tiết diện &lt;=70mm2, bằng thủ công</t>
  </si>
  <si>
    <t>D3.6146</t>
  </si>
  <si>
    <t>Kéo dây  đồng (M), tiết diện &lt;=95mm2, bằng thủ công</t>
  </si>
  <si>
    <t>KDM120</t>
  </si>
  <si>
    <t>D3.6171</t>
  </si>
  <si>
    <t>Kéo dây  đồng (M), tiết diện &lt;=120mm2, bằng thủ công</t>
  </si>
  <si>
    <t>KDM150</t>
  </si>
  <si>
    <t>D3.6172</t>
  </si>
  <si>
    <t>Kéo dây  đồng (M), tiết diện &lt;=150mm2, bằng thủ công</t>
  </si>
  <si>
    <t>KDM185</t>
  </si>
  <si>
    <t>D3.6173</t>
  </si>
  <si>
    <t>Kéo dây  đồng (M), tiết diện &lt;=185mm2, bằng thủ công</t>
  </si>
  <si>
    <t>KDM240</t>
  </si>
  <si>
    <t>D3.6174</t>
  </si>
  <si>
    <t>Kéo dây  đồng (M), tiết diện &lt;=240mm2, bằng thủ công</t>
  </si>
  <si>
    <t>Kéo dây đồng bọc 50mm2</t>
  </si>
  <si>
    <t>KDM70B</t>
  </si>
  <si>
    <t>Kéo dây đồng bọc 70mm2</t>
  </si>
  <si>
    <t>LSDTBA</t>
  </si>
  <si>
    <t>T4.2201</t>
  </si>
  <si>
    <t>Lắp sứ đứng trong trạm, cấp điện áp 10-35kV</t>
  </si>
  <si>
    <t>D3.1115</t>
  </si>
  <si>
    <t>TSD</t>
  </si>
  <si>
    <t>03.01.105</t>
  </si>
  <si>
    <t>Tháo sứ đứng 24KV trên cột (theo ĐM 228)</t>
  </si>
  <si>
    <t>D3.1411</t>
  </si>
  <si>
    <t>D3.1711</t>
  </si>
  <si>
    <t>D3.2411</t>
  </si>
  <si>
    <t>D3.1213</t>
  </si>
  <si>
    <t>D3.1214</t>
  </si>
  <si>
    <t>D3.1215</t>
  </si>
  <si>
    <t>Phần hotline</t>
  </si>
  <si>
    <t>T4.4201</t>
  </si>
  <si>
    <t>T4.4202</t>
  </si>
  <si>
    <t>T4.4203</t>
  </si>
  <si>
    <t>LcapdongTB400</t>
  </si>
  <si>
    <t>T4.4204</t>
  </si>
  <si>
    <t>Lắp cáp đồng xuống thiết bị tiết diện ≤ 400mm2</t>
  </si>
  <si>
    <t>TFCO</t>
  </si>
  <si>
    <t>Tháo FCO 24KV (định mức 228)</t>
  </si>
  <si>
    <t>T2.3505</t>
  </si>
  <si>
    <t>T1.1431</t>
  </si>
  <si>
    <t>T1.1432</t>
  </si>
  <si>
    <t>T1.1433</t>
  </si>
  <si>
    <t>T1.1434</t>
  </si>
  <si>
    <t>T1.1413</t>
  </si>
  <si>
    <t>T1.1414</t>
  </si>
  <si>
    <t>T1.1415</t>
  </si>
  <si>
    <t>T1.1416</t>
  </si>
  <si>
    <t>T1.1417</t>
  </si>
  <si>
    <t>T1.1418</t>
  </si>
  <si>
    <t>T2.3501</t>
  </si>
  <si>
    <t>T2.3114</t>
  </si>
  <si>
    <t>T2.3213</t>
  </si>
  <si>
    <t>T2.2204</t>
  </si>
  <si>
    <t>T2.5004</t>
  </si>
  <si>
    <t>TI500</t>
  </si>
  <si>
    <t>Biến dòng 600V - 500/5A</t>
  </si>
  <si>
    <t>T5.1002</t>
  </si>
  <si>
    <t>T5.1001</t>
  </si>
  <si>
    <t>MCCB 3 cực 400V -200A - 36KA</t>
  </si>
  <si>
    <t>MCCB 3 cực 400V -200/500A - 50KA</t>
  </si>
  <si>
    <r>
      <t xml:space="preserve">Ông Co nhiệt </t>
    </r>
    <r>
      <rPr>
        <sz val="10"/>
        <rFont val="Calibri"/>
        <family val="2"/>
      </rPr>
      <t>Ø</t>
    </r>
    <r>
      <rPr>
        <sz val="10"/>
        <rFont val="Times New Roman"/>
        <family val="1"/>
      </rPr>
      <t xml:space="preserve"> 60(65)</t>
    </r>
  </si>
  <si>
    <t>BANGdc</t>
  </si>
  <si>
    <t>Bảng báo độ cao</t>
  </si>
  <si>
    <t>GTMBA75</t>
  </si>
  <si>
    <t>Gía chùm treo máy biến áp 3x75</t>
  </si>
  <si>
    <t>Lắp gía chùm treo máy biến áp</t>
  </si>
  <si>
    <t>COS25-EP</t>
  </si>
  <si>
    <t>D4.5001</t>
  </si>
  <si>
    <t>Ép Đầu cosse 25mm2</t>
  </si>
  <si>
    <t>D4.5002</t>
  </si>
  <si>
    <t>Ép Đầu cosse 50mm2</t>
  </si>
  <si>
    <t>D4.5003</t>
  </si>
  <si>
    <t>Ép Đầu cosse 70mm2</t>
  </si>
  <si>
    <t>D4.5004</t>
  </si>
  <si>
    <t>Ép Đầu cosse 95mm2</t>
  </si>
  <si>
    <t>D4.5005</t>
  </si>
  <si>
    <t>Ép Đầu cosse 120mm2</t>
  </si>
  <si>
    <t>D4.5006</t>
  </si>
  <si>
    <t>Ép Đầu cosse 150mm2</t>
  </si>
  <si>
    <t>D4.5007</t>
  </si>
  <si>
    <t>Ép Đầu cosse 185mm2</t>
  </si>
  <si>
    <t>D4.5008</t>
  </si>
  <si>
    <t>Ép Đầu cosse 200mm2</t>
  </si>
  <si>
    <t>Ép Đầu cosse 240mm2</t>
  </si>
  <si>
    <t>Ép Đầu cosse 250mm2</t>
  </si>
  <si>
    <t>D4.5009</t>
  </si>
  <si>
    <t>Ép Đầu cosse 300mm2</t>
  </si>
  <si>
    <t>COS400-EP</t>
  </si>
  <si>
    <t>D4.5010</t>
  </si>
  <si>
    <t>Ép Đầu cosse 400mm2</t>
  </si>
  <si>
    <t>ONGDH60</t>
  </si>
  <si>
    <t>Ống đàn hồi 60</t>
  </si>
  <si>
    <t>KVRT60</t>
  </si>
  <si>
    <t>Khâu ven răng trong D60</t>
  </si>
  <si>
    <t>KVRN60</t>
  </si>
  <si>
    <t>Khâu ven răng ngoài D60</t>
  </si>
  <si>
    <t>Ltkepquai</t>
  </si>
  <si>
    <t>D4.6201</t>
  </si>
  <si>
    <t>Lắp đặt và tháo kẹp quai</t>
  </si>
  <si>
    <t>Lthotline</t>
  </si>
  <si>
    <t>D4.6202</t>
  </si>
  <si>
    <t>Lắp đặt và tháo kẹp hotline</t>
  </si>
  <si>
    <t>LTIPC</t>
  </si>
  <si>
    <t>D4.6203</t>
  </si>
  <si>
    <t>Lắp đặt và tháo kẹp IPC</t>
  </si>
  <si>
    <t>LTkepdung70</t>
  </si>
  <si>
    <t>D4.6204</t>
  </si>
  <si>
    <t>Lắp đặt và tháo kẹp dừng cáp ABC có tiết diện &lt;=70mm2</t>
  </si>
  <si>
    <t>LTkepdung120</t>
  </si>
  <si>
    <t>D4.6205</t>
  </si>
  <si>
    <t>Lắp đặt và tháo kẹp dừng cáp ABC có tiết diện &lt;=120mm2</t>
  </si>
  <si>
    <t>LTBulonduoiheo</t>
  </si>
  <si>
    <t>D4.6206</t>
  </si>
  <si>
    <t>Lắp đặt và tháo bulon đuôi heo</t>
  </si>
  <si>
    <t>Tkepquai</t>
  </si>
  <si>
    <t>Tháo kẹp quai</t>
  </si>
  <si>
    <t>Thotline</t>
  </si>
  <si>
    <t>Tháo kẹp hotline</t>
  </si>
  <si>
    <t>TIPC</t>
  </si>
  <si>
    <t>Tháo kẹp IPC</t>
  </si>
  <si>
    <t>Tkepdung70</t>
  </si>
  <si>
    <t>Tháo kẹp dừng cáp ABC có tiết diện &lt;=70mm2</t>
  </si>
  <si>
    <t>Tkepdung120</t>
  </si>
  <si>
    <t>Tháo kẹp dừng cáp ABC có tiết diện &lt;=120mm2</t>
  </si>
  <si>
    <t>TBulonduoiheo</t>
  </si>
  <si>
    <t>Tháo bulon đuôi heo</t>
  </si>
  <si>
    <t>Ldke1pha</t>
  </si>
  <si>
    <t>D4.6301</t>
  </si>
  <si>
    <t>Lắp đặt điện kế 1 pha</t>
  </si>
  <si>
    <t>Ldke3pha</t>
  </si>
  <si>
    <t>D4.6302</t>
  </si>
  <si>
    <t>Lắp đặt điện kế 3 pha</t>
  </si>
  <si>
    <t>Lhopdke</t>
  </si>
  <si>
    <t>D4.6303</t>
  </si>
  <si>
    <t>Lắp đặt hộp điện kế</t>
  </si>
  <si>
    <t>hộp</t>
  </si>
  <si>
    <t>Tdke1pha</t>
  </si>
  <si>
    <t>Tháo điện kế 1 pha</t>
  </si>
  <si>
    <t>Tdke3pha</t>
  </si>
  <si>
    <t>Tháo điện kế 3 pha</t>
  </si>
  <si>
    <t>Thopdke</t>
  </si>
  <si>
    <t>Tháo hộp điện kế</t>
  </si>
  <si>
    <t>Lhopdke2</t>
  </si>
  <si>
    <t>Lắp đặt hộp điện kế (2 hộp điện kế)</t>
  </si>
  <si>
    <t>Lhopdke4</t>
  </si>
  <si>
    <t>Lắp đặt hộp điện kế (4 hộp điện kế)</t>
  </si>
  <si>
    <t>TMBA3P30</t>
  </si>
  <si>
    <t>T1.1411</t>
  </si>
  <si>
    <t>Tháo MBA 3 pha công suất &lt;=30kVA, 35(22)/0,4kV</t>
  </si>
  <si>
    <t>TMBA3P50</t>
  </si>
  <si>
    <t>T1.1412</t>
  </si>
  <si>
    <t>Tháo MBA 3 pha công suất &lt;=50kVA, 35(22)/0,4kV</t>
  </si>
  <si>
    <t>TMBA3P100</t>
  </si>
  <si>
    <t>Tháo MBA 3 pha công suất &lt;=100kVA, 35(22)/0,4kV</t>
  </si>
  <si>
    <t>TMBA3P180</t>
  </si>
  <si>
    <t>Tháo MBA 3 pha công suất &lt;=180kVA, 35(22)/0,4kV</t>
  </si>
  <si>
    <t>TMBA3P320</t>
  </si>
  <si>
    <t>Tháo MBA 3 pha công suất &lt;=320kVA, 35(22)/0,4kV</t>
  </si>
  <si>
    <t>TMBA3P560</t>
  </si>
  <si>
    <t>Tháo MBA 3 pha công suất &lt;=560kVA, 35(22)/0,4kV</t>
  </si>
  <si>
    <t>TMBA3P750</t>
  </si>
  <si>
    <t>Tháo MBA 3 pha công suất &lt;=750kVA, 35(22)/0,4kV</t>
  </si>
  <si>
    <t>TMBA3P7501</t>
  </si>
  <si>
    <t>Tháo MBA 3 pha công suất &gt;750kVA, 35(22)/0,4kV</t>
  </si>
  <si>
    <t>TMBA1P30</t>
  </si>
  <si>
    <t>Tháo MBA 1 pha công suất &lt;=30kVA, 15;(10);(6)/0,4kV</t>
  </si>
  <si>
    <t>TMBA1P50</t>
  </si>
  <si>
    <t>Tháo MBA 1 pha công suất &lt;=50kVA, 15;(10);(6)/0,4kV</t>
  </si>
  <si>
    <t>TMBA1P75</t>
  </si>
  <si>
    <t>Tháo MBA 1 pha công suất &lt;=75kVA, 15;(10);(6)/0,4kV</t>
  </si>
  <si>
    <t>TMBA1P100</t>
  </si>
  <si>
    <t>Tháo MBA 1 pha công suất &lt;=100kVA, 15;(10);(6)/0,4kV</t>
  </si>
  <si>
    <t>TMBA1P150</t>
  </si>
  <si>
    <t>T1.1435</t>
  </si>
  <si>
    <t>Tháo MBA 1 pha công suất &lt;=150kVA, 15;(10);(6)/0,4kV</t>
  </si>
  <si>
    <t>TMBA1P250</t>
  </si>
  <si>
    <t>T1.1436</t>
  </si>
  <si>
    <t>Tháo MBA 1 pha công suất &lt;=250kVA, 15;(10);(6)/0,4kV</t>
  </si>
  <si>
    <t>TLBS35</t>
  </si>
  <si>
    <t>Tháo LBS, recloser, cấp điện áp &lt;=35kV</t>
  </si>
  <si>
    <t>TDCL1P</t>
  </si>
  <si>
    <t>Tháo dao cách ly 1 pha không tiếp đất, cấp điện áp &lt;=35kV</t>
  </si>
  <si>
    <t>TCSVCo</t>
  </si>
  <si>
    <t>Tháo chống sét van dùng vật liệu composite, cấp điện áp &lt;=35kV</t>
  </si>
  <si>
    <t>Phần nhân công áp dụng định mức 228</t>
  </si>
  <si>
    <t>TTu1P_228</t>
  </si>
  <si>
    <t>13.01.00</t>
  </si>
  <si>
    <t>Tháo tủ điện hạ áp xoay chiều 1P (định mức 228)</t>
  </si>
  <si>
    <t>TTu3P_228</t>
  </si>
  <si>
    <t>Tháo tủ điện hạ áp xoay chiều 3P (định mức 228)</t>
  </si>
  <si>
    <t>TFCO_228</t>
  </si>
  <si>
    <t>Tháo FCO (định mức 228)</t>
  </si>
  <si>
    <t>TSD_228</t>
  </si>
  <si>
    <t>Tháo sứ đứng 24KV trên cột (định mức 228)</t>
  </si>
  <si>
    <t>C8m228H</t>
  </si>
  <si>
    <t>04.02.10</t>
  </si>
  <si>
    <t>Hạ trụ BTLT 8,5m (định mức 228)</t>
  </si>
  <si>
    <t>C10m228H</t>
  </si>
  <si>
    <t>04.02.20</t>
  </si>
  <si>
    <t>Hạ trụ BTLT 10,5m (định mức 228)</t>
  </si>
  <si>
    <t>C12m228H</t>
  </si>
  <si>
    <t>04.02.30</t>
  </si>
  <si>
    <t>Hạ trụ BTLT 12m (định mức 228)</t>
  </si>
  <si>
    <t>C14m228H</t>
  </si>
  <si>
    <t>04.02.40</t>
  </si>
  <si>
    <t>Hạ trụ BTLT 14m (định mức 228)</t>
  </si>
  <si>
    <t>TLCap1kg-228</t>
  </si>
  <si>
    <t>06.08.401</t>
  </si>
  <si>
    <t>Thay cáp luồn trong ống, trọng lượng cáp &lt;= 1 kg/m (&lt;=95mm2) (định mức 228)</t>
  </si>
  <si>
    <t>TLCap2kg-228</t>
  </si>
  <si>
    <t>06.08.402</t>
  </si>
  <si>
    <t>Thay cáp luồn trong ống, trọng lượng cáp &lt;= 2 kg/m (&lt;=200mm2) (định mức 228)</t>
  </si>
  <si>
    <t>TLCap3kg-228</t>
  </si>
  <si>
    <t>06.08.403</t>
  </si>
  <si>
    <t>Thay cáp luồn trong ống, trọng lượng cáp &lt;= 3 kg/m (&lt;=300mm2) (định mức 228)</t>
  </si>
  <si>
    <t>TLCap4,5kg-228</t>
  </si>
  <si>
    <t>06.08.404</t>
  </si>
  <si>
    <t>Thay cáp luồn trong ống, trọng lượng cáp &lt;= 4,5 kg/m (&lt;=400mm2) (định mức 228)</t>
  </si>
  <si>
    <t>TLCap6kg-228</t>
  </si>
  <si>
    <t>06.08.405</t>
  </si>
  <si>
    <t>Thay cáp luồn trong ống, trọng lượng cáp &lt;= 6 kg/m (định mức 228)</t>
  </si>
  <si>
    <t>Tháo xà cho cột đỡ trên cột</t>
  </si>
  <si>
    <t>TXĐ15KG-228</t>
  </si>
  <si>
    <t>04.03.101</t>
  </si>
  <si>
    <t>Tháo xà đỡ trên cột, trọng lượng xà 15kg</t>
  </si>
  <si>
    <t>TXĐ25KG-228</t>
  </si>
  <si>
    <t>04.03.111</t>
  </si>
  <si>
    <t>Tháo xà đỡ trên cột, trọng lượng xà 25kg</t>
  </si>
  <si>
    <t>TXĐ50KG-228</t>
  </si>
  <si>
    <t>04.03.121</t>
  </si>
  <si>
    <t>Tháo xà đỡ trên cột, trọng lượng xà 50kg</t>
  </si>
  <si>
    <t>TXĐ100KG-228</t>
  </si>
  <si>
    <t>04.03.131</t>
  </si>
  <si>
    <t>Tháo xà đỡ trên cột, trọng lượng xà 100kg</t>
  </si>
  <si>
    <t>TXĐ140KG-228</t>
  </si>
  <si>
    <t>04.03.141</t>
  </si>
  <si>
    <t>Tháo xà đỡ trên cột, trọng lượng xà 140kg</t>
  </si>
  <si>
    <t>TXĐ230KG-228</t>
  </si>
  <si>
    <t>04.03.151</t>
  </si>
  <si>
    <t>Tháo xà đỡ trên cột, trọng lượng xà 230kg</t>
  </si>
  <si>
    <t>Tháo xà cho cột néo trên cột</t>
  </si>
  <si>
    <t>TXN15KG-228</t>
  </si>
  <si>
    <t>04.03.102</t>
  </si>
  <si>
    <t>Tháo xà néo trên cột, trọng lượng xà 15kg</t>
  </si>
  <si>
    <t>TXN25KG-228</t>
  </si>
  <si>
    <t>04.03.112</t>
  </si>
  <si>
    <t>Tháo xà néo trên cột, trọng lượng xà 25kg</t>
  </si>
  <si>
    <t>TXN50KG-228</t>
  </si>
  <si>
    <t>04.03.122</t>
  </si>
  <si>
    <t>Tháo xà néo trên cột, trọng lượng xà 50kg</t>
  </si>
  <si>
    <t>TXN100KG-228</t>
  </si>
  <si>
    <t>04.03.132</t>
  </si>
  <si>
    <t>Tháo xà néo trên cột, trọng lượng xà 100kg</t>
  </si>
  <si>
    <t>TXn140KG-228</t>
  </si>
  <si>
    <t>04.03.142</t>
  </si>
  <si>
    <t>Tháo xà néo trên cột, trọng lượng xà 140kg</t>
  </si>
  <si>
    <t>TXN230KG-228</t>
  </si>
  <si>
    <t>04.03.152</t>
  </si>
  <si>
    <t>Tháo xà néo trên cột, trọng lượng xà 230kg</t>
  </si>
  <si>
    <t>Tháo xà cho cột đúp trên cột</t>
  </si>
  <si>
    <t>TXĐup140KG-228</t>
  </si>
  <si>
    <t>04.03.143</t>
  </si>
  <si>
    <t>Tháo xà néo đúp trên cột, trọng lượng xà 140kg</t>
  </si>
  <si>
    <t>TXĐup230KG-228</t>
  </si>
  <si>
    <t>04.03.153</t>
  </si>
  <si>
    <t>Tháo xà néo đúp trên cột, trọng lượng xà 230kg</t>
  </si>
  <si>
    <t>TXĐup320KG-228</t>
  </si>
  <si>
    <t>04.03.163</t>
  </si>
  <si>
    <t>Tháo xà néo đúp trên cột, trọng lượng xà 320kg</t>
  </si>
  <si>
    <t>TXĐup410KG-228</t>
  </si>
  <si>
    <t>04.03.173</t>
  </si>
  <si>
    <t>Tháo xà néo đúp trên cột, trọng lượng xà 410kg</t>
  </si>
  <si>
    <t>Tháo xà cho cột hình II, A trên cột</t>
  </si>
  <si>
    <t>TXPi140KG-228</t>
  </si>
  <si>
    <t>04.03.144</t>
  </si>
  <si>
    <t>Tháo xà cho cột hình II, A trên cột, trọng lượng xà 140kg</t>
  </si>
  <si>
    <t>TXPi230KG-228</t>
  </si>
  <si>
    <t>04.03.154</t>
  </si>
  <si>
    <t>Tháo xà cho cột hình II, A trên cột, trọng lượng xà 230kg</t>
  </si>
  <si>
    <t>TXPi320KG-228</t>
  </si>
  <si>
    <t>04.03.164</t>
  </si>
  <si>
    <t>Tháo xà cho cột hình II, A trên cột, trọng lượng xà 320kg</t>
  </si>
  <si>
    <t>TXPi410KG-228</t>
  </si>
  <si>
    <t>04.03.174</t>
  </si>
  <si>
    <t>Tháo xà cho cột hình II, A trên cột, trọng lượng xà 410kg</t>
  </si>
  <si>
    <t>Tháo xà cho cột đỡ trên cột đà composite</t>
  </si>
  <si>
    <t>TGIAT-228</t>
  </si>
  <si>
    <t>Tháo xà giá chữ T đỡ FCO, LA trên cột, trọng lượng xà 5,65kg</t>
  </si>
  <si>
    <t>TXCo800-228</t>
  </si>
  <si>
    <t>Tháo xà đỡ Composite trên cột dài 0,8m, trọng lượng xà 3kg</t>
  </si>
  <si>
    <t>TXCo240-228</t>
  </si>
  <si>
    <t>Tháo xà đỡ Composite trên cột dài 2,4m, trọng lượng xà 7,5kg</t>
  </si>
  <si>
    <t>TXCo260-228</t>
  </si>
  <si>
    <t>Tháo xà đỡ Composite trên cột dài 0,8m, trọng lượng xà 8kg</t>
  </si>
  <si>
    <t>Bậc 1</t>
  </si>
  <si>
    <t>Bậc 2</t>
  </si>
  <si>
    <t>Bậc 3</t>
  </si>
  <si>
    <t>Bậc 4</t>
  </si>
  <si>
    <t>Bậc 5</t>
  </si>
  <si>
    <t>Bậc 6</t>
  </si>
  <si>
    <t>Bậc 7</t>
  </si>
  <si>
    <t>COS50-ep</t>
  </si>
  <si>
    <t>COS70-ep</t>
  </si>
  <si>
    <t>COS95-ep</t>
  </si>
  <si>
    <t>COS120-ep</t>
  </si>
  <si>
    <t>COS25-ep</t>
  </si>
  <si>
    <t>KDAABC3X120</t>
  </si>
  <si>
    <t>TU RMUIQI</t>
  </si>
  <si>
    <t>Tủ RMU 24kV 3 pha 630A -16kA IQI: 02 ngăn LBS 630A-16kA + 01 ngăn LBS Fuse 40A</t>
  </si>
  <si>
    <t>RMU3L1T</t>
  </si>
  <si>
    <t>T5.2002</t>
  </si>
  <si>
    <t>mới</t>
  </si>
  <si>
    <t>LCN</t>
  </si>
  <si>
    <t>Ngày công</t>
  </si>
  <si>
    <t>ĐƠN GIÁ NHÂN CÔNG</t>
  </si>
  <si>
    <t>(Theo Thông tư 01/2015/TT-BXD, ngày 20/03/2015 của Bộ XD )</t>
  </si>
  <si>
    <t>Đơn vị tính : đồng</t>
  </si>
  <si>
    <t>Mã số</t>
  </si>
  <si>
    <t>Tên nhân công</t>
  </si>
  <si>
    <t>Hệ số 
lương
(HCB)</t>
  </si>
  <si>
    <t>Lương CB
(LNC x HCB)</t>
  </si>
  <si>
    <t>Đơn giá
nhân công</t>
  </si>
  <si>
    <t>Hệ số lương (chưa làm tròn)</t>
  </si>
  <si>
    <t>NHÓM I</t>
  </si>
  <si>
    <t>N1.10</t>
  </si>
  <si>
    <t>Nhân công bậc 1</t>
  </si>
  <si>
    <t>N1.20</t>
  </si>
  <si>
    <t>Nhân công bậc 2</t>
  </si>
  <si>
    <t>N1.23</t>
  </si>
  <si>
    <t>Nhân công bậc 2,3</t>
  </si>
  <si>
    <t>N1.25</t>
  </si>
  <si>
    <t>Nhân công bậc 2,5</t>
  </si>
  <si>
    <t>N1.27</t>
  </si>
  <si>
    <t>Nhân công bậc 2,7</t>
  </si>
  <si>
    <t>N1.30</t>
  </si>
  <si>
    <t>Nhân công bậc 3</t>
  </si>
  <si>
    <t>N1.32</t>
  </si>
  <si>
    <t>Nhân công bậc 3,2</t>
  </si>
  <si>
    <t>N1.33</t>
  </si>
  <si>
    <t>Nhân công bậc 3,3</t>
  </si>
  <si>
    <t>N1.35</t>
  </si>
  <si>
    <t>Nhân công bậc 3,5</t>
  </si>
  <si>
    <t>N1.37</t>
  </si>
  <si>
    <t>Nhân công bậc 3,7</t>
  </si>
  <si>
    <t>N1.40</t>
  </si>
  <si>
    <t>Nhân công bậc 4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</si>
  <si>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</si>
  <si>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</si>
  <si>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</si>
  <si>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</si>
  <si>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</si>
  <si>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</si>
  <si>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</si>
  <si>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</si>
  <si>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</si>
  <si>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</si>
  <si>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</si>
  <si>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</si>
  <si>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</si>
  <si>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</si>
  <si>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</si>
  <si>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</si>
  <si>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</si>
  <si>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</t>
  </si>
  <si>
    <t>N1.70</t>
  </si>
  <si>
    <t>Nhân công bậc 7</t>
  </si>
  <si>
    <t>NHÓM II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</si>
  <si>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</si>
  <si>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</si>
  <si>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</si>
  <si>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</si>
  <si>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</si>
  <si>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</si>
  <si>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</si>
  <si>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</si>
  <si>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N2.35</t>
  </si>
  <si>
    <t>N2.37</t>
  </si>
  <si>
    <t>N2.40</t>
  </si>
  <si>
    <t>N2.42</t>
  </si>
  <si>
    <t>N2.43</t>
  </si>
  <si>
    <t>N2.45</t>
  </si>
  <si>
    <t>N2.47</t>
  </si>
  <si>
    <t>N2.50</t>
  </si>
  <si>
    <t>N2.52</t>
  </si>
  <si>
    <t>N2.53</t>
  </si>
  <si>
    <t>N2.55</t>
  </si>
  <si>
    <t>N2.60</t>
  </si>
  <si>
    <t>N2.70</t>
  </si>
  <si>
    <t>BẢNG LƯƠNG KỸ SƯ ( 8 BẬC )</t>
  </si>
  <si>
    <t>Tên kỹ sư</t>
  </si>
  <si>
    <t>Hệ số
lương</t>
  </si>
  <si>
    <t>Lương CB
(HSL x LTT)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</si>
  <si>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</si>
  <si>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</si>
  <si>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</si>
  <si>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</si>
  <si>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</si>
  <si>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</si>
  <si>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</si>
  <si>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</si>
  <si>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</si>
  <si>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</si>
  <si>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</si>
  <si>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</si>
  <si>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</si>
  <si>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</si>
  <si>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</si>
  <si>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</si>
  <si>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</si>
  <si>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</si>
  <si>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RMU2L1T</t>
  </si>
  <si>
    <t>chiong25A</t>
  </si>
  <si>
    <t>Chì ống 24kV - 25A</t>
  </si>
  <si>
    <t>T2.8405</t>
  </si>
  <si>
    <t>MCCB 3 cực 400V -400A - 50KA (chỉnh định dòng)</t>
  </si>
  <si>
    <t>MCCB 3 cực 400V -630A - 50KA (chỉnh định dòng)</t>
  </si>
  <si>
    <t>T2.8407</t>
  </si>
  <si>
    <t>TUBU140</t>
  </si>
  <si>
    <t>T2.8505</t>
  </si>
  <si>
    <t>Tủ tụ bù hạ thế 140kVAr</t>
  </si>
  <si>
    <t>AB.66112</t>
  </si>
  <si>
    <t>Rải cát đệm (độ chặt K=0,9)</t>
  </si>
  <si>
    <t>AB.11513</t>
  </si>
  <si>
    <t>Đắp đất rãnh tiếp địa cấp 3 (độ chặt k = 0.85)</t>
  </si>
  <si>
    <t>DATD33</t>
  </si>
  <si>
    <t>Đắp đất rãnh tiếp địa cấp 3 (độ chặt k = 0.9)</t>
  </si>
  <si>
    <t>Đắp đất rãnh tiếp địa cấp 3 (độ chặt k = 0.95)</t>
  </si>
  <si>
    <t>T4.8002</t>
  </si>
  <si>
    <t>D4.1104</t>
  </si>
  <si>
    <t>D2.7001</t>
  </si>
  <si>
    <t>Kéo dây tiếp địa TBA</t>
  </si>
  <si>
    <t>D2.8102</t>
  </si>
  <si>
    <t>Đóng cọc tiếp địa đất cấp 2 dài 2,5m</t>
  </si>
  <si>
    <t>Đóng cọc tiếp địa đất cấp 3 dài 2,5m</t>
  </si>
  <si>
    <t>TUMCCB-TN</t>
  </si>
  <si>
    <t xml:space="preserve">Tủ MCCB + tụ bù trạm nền </t>
  </si>
  <si>
    <t>COS4</t>
  </si>
  <si>
    <t xml:space="preserve">Đầu cosse ép Cu 4mm2 + bao PVC </t>
  </si>
  <si>
    <t xml:space="preserve">Bộ dây dẫn trung thế 24kV 3pha </t>
  </si>
  <si>
    <t>daucap50t</t>
  </si>
  <si>
    <t>daucap50E</t>
  </si>
  <si>
    <t>daucap50T</t>
  </si>
  <si>
    <t>Đầu cáp ngầm 24KV 3x50mm2 Tplug</t>
  </si>
  <si>
    <t>Đầu cáp ngầm 24KV 3x50mm2 Elbow</t>
  </si>
  <si>
    <t>D4.1406</t>
  </si>
  <si>
    <t>D4.1407</t>
  </si>
  <si>
    <t>D4.1409</t>
  </si>
  <si>
    <t>D4.1411</t>
  </si>
  <si>
    <t>D4.1412</t>
  </si>
  <si>
    <t>D4.1413</t>
  </si>
  <si>
    <t>D4.24.01</t>
  </si>
  <si>
    <t>D4.24.02</t>
  </si>
  <si>
    <t>D4.24.03</t>
  </si>
  <si>
    <t>D4.24.04</t>
  </si>
  <si>
    <t>D4.24.05</t>
  </si>
  <si>
    <t>D4.24.06</t>
  </si>
  <si>
    <t>D4.24.07</t>
  </si>
  <si>
    <t>D4.3312</t>
  </si>
  <si>
    <t>cv</t>
  </si>
  <si>
    <t>AF.11220</t>
  </si>
  <si>
    <t>Đổ bê tông mác M100 đá 4x6 rộng &gt;250cm</t>
  </si>
  <si>
    <t>Đổ bê tông mác M150 đá 2x4 rộng &gt;250cm</t>
  </si>
  <si>
    <t>Đổ bê tông mác M200 đá 1x 2rộng &gt;250cm</t>
  </si>
  <si>
    <t>DBT20024</t>
  </si>
  <si>
    <t>Đổ bê tông mác M200 đá 2x4</t>
  </si>
  <si>
    <t>AF.61210</t>
  </si>
  <si>
    <t>AF.61220</t>
  </si>
  <si>
    <t>AF.61230</t>
  </si>
  <si>
    <t>AG.31211</t>
  </si>
  <si>
    <t>bt200</t>
  </si>
  <si>
    <t>BT200</t>
  </si>
  <si>
    <t>Bêtông đá 1x2 mac 200</t>
  </si>
  <si>
    <t>BT10046</t>
  </si>
  <si>
    <t>Bêtông đá 4x6 mac 100</t>
  </si>
  <si>
    <t>Bộ dây dẫn cáp xuất hạ thế từ MBA vào tủ MCCB</t>
  </si>
  <si>
    <t>Lắp cáp đồng xuống thiết bị D ≤ 95mm2</t>
  </si>
  <si>
    <t>Lắp cáp đồng xuống thiết bị D ≤ 150mm2</t>
  </si>
  <si>
    <t>Lắp cáp đồng xuống thiết bị D ≤ 240mm2</t>
  </si>
  <si>
    <t>COS5</t>
  </si>
  <si>
    <t>Đầu cosse ép Cu 5mm2</t>
  </si>
  <si>
    <t>COS11</t>
  </si>
  <si>
    <t>COS16</t>
  </si>
  <si>
    <t>COS22</t>
  </si>
  <si>
    <t>Đầu cosse ép Cu 35mm1</t>
  </si>
  <si>
    <t>Hàng rào TBA</t>
  </si>
  <si>
    <t>D4.1202</t>
  </si>
  <si>
    <t>D4.1203</t>
  </si>
  <si>
    <t>D4.1204</t>
  </si>
  <si>
    <t>D4.1205</t>
  </si>
  <si>
    <t>Lắp ống sắt tráng kẽm D168</t>
  </si>
  <si>
    <t>stk76</t>
  </si>
  <si>
    <t>Ông sắt tráng kẽm D76</t>
  </si>
  <si>
    <t>AI.53111</t>
  </si>
  <si>
    <t>Mặt bích nối cột bêt tông loại 200x200x5, 04 lỗ D16</t>
  </si>
  <si>
    <t>Thanh sắt V50x50x5-4000 - 16kg/thanh</t>
  </si>
  <si>
    <t>SATV4</t>
  </si>
  <si>
    <t>Thanh sắt V40x40x3-6000 - 17,7kg/thanh</t>
  </si>
  <si>
    <t>B14350</t>
  </si>
  <si>
    <t>Boulon 14x350+ 2 long đền vuông D16-50x50x3/Zn</t>
  </si>
  <si>
    <t>Bệ Bêtông đỡ MBA</t>
  </si>
  <si>
    <t>B40</t>
  </si>
  <si>
    <t>Lưới B40 - 1800-3/Zn</t>
  </si>
  <si>
    <t>b40</t>
  </si>
  <si>
    <t>LDKhungcua</t>
  </si>
  <si>
    <t>AI.63121</t>
  </si>
  <si>
    <t>Gia công và lắp dựng khung cửa sắt</t>
  </si>
  <si>
    <t>Mương cáp trung thế 1 mạch dưới nền bê tông</t>
  </si>
  <si>
    <t>D3.6114</t>
  </si>
  <si>
    <t>Kéo dây nhôm lõi thép cỡ dây 50mm2 (TC)</t>
  </si>
  <si>
    <t>D3.6115</t>
  </si>
  <si>
    <t>Kéo dây nhôm lõi thép cỡ dây 70mm2 (TC)</t>
  </si>
  <si>
    <t>Kéo dây nhôm lõi thép bọc cỡ dây 50mm2 (TC + MK)</t>
  </si>
  <si>
    <t>Kéo dây nhôm lõi thép bọc cỡ dây 70mm2 (TC + MK)</t>
  </si>
  <si>
    <t>Kéo dây nhôm lõi thép bọc cỡ dây 95mm2 (TC + MK)</t>
  </si>
  <si>
    <t>D3.1211</t>
  </si>
  <si>
    <t>05.6022b</t>
  </si>
  <si>
    <t>Lắp xà néo 2,2m kép (59,645kg)</t>
  </si>
  <si>
    <t>05.6044a</t>
  </si>
  <si>
    <t>Lắp xà kép 2,4m trụ PI tim 1400 - 51.14kg</t>
  </si>
  <si>
    <t>LTG1400</t>
  </si>
  <si>
    <t>Lắp bộ thanh giằng trụ PI tim 1400 - 68.16kg</t>
  </si>
  <si>
    <t>xaytuong</t>
  </si>
  <si>
    <t>AE.61210</t>
  </si>
  <si>
    <t>Xây tường gạch ống bề dày &lt;30cm</t>
  </si>
  <si>
    <t>Dựng trụ BTLT 20m thủ công + cơ giới</t>
  </si>
  <si>
    <t>ĐẦU CÁP 3x50 T-PLUG</t>
  </si>
  <si>
    <t>CV25-600V</t>
  </si>
  <si>
    <t>1. ĐƯỜNG DÂY CÁP NGẦM 24KV XDM</t>
  </si>
  <si>
    <t>XLPE25c</t>
  </si>
  <si>
    <t>Stk90</t>
  </si>
  <si>
    <t>CD90tk</t>
  </si>
  <si>
    <t>Đắp đất hố móng, đất cấp 3 (độ chặt k = 0.85)</t>
  </si>
  <si>
    <t>Đắp đất hố móng, đất cấp 3 (độ chặt k = 0.95)</t>
  </si>
  <si>
    <t>AB.11613</t>
  </si>
  <si>
    <t>Ống HDPE 140x5,4</t>
  </si>
  <si>
    <t>Cv</t>
  </si>
  <si>
    <t>AB.65110</t>
  </si>
  <si>
    <t>CD90TK</t>
  </si>
  <si>
    <t>Cổ dê kẹp ống sắt Þ 90</t>
  </si>
  <si>
    <t>D4.1102</t>
  </si>
  <si>
    <t>Tủ RMU 4 ngăn IQII + 03 Bộ cảnh báo sự cố +phụ kiện + báo áp suất khí (20kA/S) + vỏ tủ</t>
  </si>
  <si>
    <t>MÓNG TỦ RMU</t>
  </si>
  <si>
    <t>Móng tủ RMU</t>
  </si>
  <si>
    <t>AB.65120</t>
  </si>
  <si>
    <t>Đào hố móng kiểm tra đất cấp III rộng &lt;=1m, sâu &gt;1m</t>
  </si>
  <si>
    <t>ACB5000-130</t>
  </si>
  <si>
    <t>ACB 3P - 5000A - 130KA (nạp lò xo bằng tay)</t>
  </si>
  <si>
    <t>TUACB5000</t>
  </si>
  <si>
    <t>Tủ ACB + thanh cái 5000A</t>
  </si>
  <si>
    <t xml:space="preserve">Xà đơn L75x75x8x2200 (3 ốp) đỡ sứ </t>
  </si>
  <si>
    <t>sd</t>
  </si>
  <si>
    <t>T2.8506</t>
  </si>
  <si>
    <t>Móng M12-BT</t>
  </si>
  <si>
    <t>Xà X-24K</t>
  </si>
  <si>
    <t>DS-1P-24KV-630A</t>
  </si>
  <si>
    <t>RECLOSER 24KV 630A</t>
  </si>
  <si>
    <t>1 SỢI BĂNG ĐƯỜNG</t>
  </si>
  <si>
    <t>SL7524</t>
  </si>
  <si>
    <t>Sắt góc L75 x75 x8x2400 (4 ốp)</t>
  </si>
  <si>
    <t>sl7524</t>
  </si>
  <si>
    <t xml:space="preserve">CÁP 24KV AX-50MM2 ĐẤU NỐI </t>
  </si>
  <si>
    <t>CÁP 24KV CX-50MM2 ĐẤU NỐI</t>
  </si>
  <si>
    <t>Cáp 24KV A/XLPE 70mm2</t>
  </si>
  <si>
    <t>Bộ tiếp địa đầu cáp</t>
  </si>
  <si>
    <t>rec</t>
  </si>
  <si>
    <t>CXV/DSTA3x50-24kV + CV25-0,6KV</t>
  </si>
  <si>
    <t>Cáp 24KV A/XLPE 50mm2</t>
  </si>
  <si>
    <t>TUBU1200</t>
  </si>
  <si>
    <t>Tủ tụ bù hạ thế 1200kVAr</t>
  </si>
  <si>
    <t>tubu1200</t>
  </si>
  <si>
    <t>Trụ BTLT10,5m</t>
  </si>
  <si>
    <t xml:space="preserve">Trụ bê tông ly tâm 10,5m </t>
  </si>
  <si>
    <t>SỨ ĐỨNG 24KV + TY SỨ</t>
  </si>
  <si>
    <t>Xà kép X-24KPI L75x75x8x2400</t>
  </si>
  <si>
    <t>XLPE70C</t>
  </si>
  <si>
    <t>Cáp 24KV C/XLPE-70mm2</t>
  </si>
  <si>
    <t>RMU 24KV  630A - IQI</t>
  </si>
  <si>
    <t>ĐẦU CÁP 3x50 OUT</t>
  </si>
  <si>
    <t>1 SỢI TRONG MƯƠNG BÊ TÔNG NHỰA NÓNG</t>
  </si>
  <si>
    <t>Tủ RMU 3 pha 630A -16kA 3 ngăn IQI + vỏ tủ +phụ kiện + báo áp suất khí (20kA/S)</t>
  </si>
  <si>
    <t>VOTUDODEM</t>
  </si>
  <si>
    <t>Vỏ tủ đo đếm trung thế sơn tỉnh điện</t>
  </si>
  <si>
    <t>ĐẦU CÁP 3x50 IN</t>
  </si>
  <si>
    <t>CosE50</t>
  </si>
  <si>
    <t>Mương cáp trung thế 1 mạch dưới nền bê tông nhựa nóng</t>
  </si>
  <si>
    <t>Bộ điều khiển Recloser</t>
  </si>
  <si>
    <t>SL758</t>
  </si>
  <si>
    <t>Sắt góc L75 x75 x8x800 (1 ốp)</t>
  </si>
  <si>
    <t>b16300v</t>
  </si>
  <si>
    <t>chiong100A</t>
  </si>
  <si>
    <t>Chì ống 24kV - 100A</t>
  </si>
  <si>
    <t>COS400</t>
  </si>
  <si>
    <t>COS400D</t>
  </si>
  <si>
    <t>Đầu cosse ép Cu 400mm2</t>
  </si>
  <si>
    <t>Trụ BTLT12m</t>
  </si>
  <si>
    <t>Xà X-22KĐ</t>
  </si>
  <si>
    <t>CÁP 24KV CX-25MM2 ĐẤU NỐI</t>
  </si>
  <si>
    <t>HỘP NỐI CÁP NGẦM 3x50</t>
  </si>
  <si>
    <t xml:space="preserve">1 SỢI TRONG MƯƠNG BÊ TÔNG </t>
  </si>
  <si>
    <t>Tủ tụ bù hạ thế 240kVAr</t>
  </si>
  <si>
    <t>hopnoi50</t>
  </si>
  <si>
    <t xml:space="preserve">Hộp nối cáp ngầm 24KV 3x50mm2 </t>
  </si>
  <si>
    <t>Diabaohieuhopnoi</t>
  </si>
  <si>
    <t>Mốc báo hiệu hộp nối cáp ngầm</t>
  </si>
  <si>
    <t>LHOPNOI70</t>
  </si>
  <si>
    <t>D4.4312</t>
  </si>
  <si>
    <t>Lắp hộp nối cáp trung thế 3x50mm2, 70mm2</t>
  </si>
  <si>
    <t xml:space="preserve">Mương cáp trung thế 1 mạch dưới nền bê tông </t>
  </si>
  <si>
    <t>( Tính theo mức lương đầu vào ( LNC ) : 2530000 đồng/tháng )</t>
  </si>
  <si>
    <t>chi25k</t>
  </si>
  <si>
    <t>AA.21431</t>
  </si>
  <si>
    <t>Pha mặt đường đá dăm, nhựa, bê tông</t>
  </si>
  <si>
    <t>TBA-750KVA</t>
  </si>
  <si>
    <t xml:space="preserve">Móng  </t>
  </si>
  <si>
    <t>Trụ BTLT 12m F540 dự ứng lực, K=2</t>
  </si>
  <si>
    <t>C/XLPE 25 đấu nối</t>
  </si>
  <si>
    <t>Tháo hạ dây 3ACXV50 + AC50mm2</t>
  </si>
  <si>
    <t>B16750v</t>
  </si>
  <si>
    <t>B16650v</t>
  </si>
  <si>
    <t>ktd</t>
  </si>
  <si>
    <t>Xà kép L75x75x8x2400 (4 ốp)  bắt TI, TU</t>
  </si>
  <si>
    <t>Giáp níu dừng dây bọc ACX 50mm2</t>
  </si>
  <si>
    <t>chi10k</t>
  </si>
  <si>
    <t>chi50k</t>
  </si>
  <si>
    <t>Đầu cose Cu-AL 50mm2</t>
  </si>
  <si>
    <t>XLPE50c</t>
  </si>
  <si>
    <t>Biến điện áp 22000/√3/100/√3 V</t>
  </si>
  <si>
    <t>BẢNG KÊ TRỤ ĐƯỜNG DÂY TRUNG THẾ CẢI TẠO, DI DỜI</t>
  </si>
  <si>
    <t>Phần đường dây trung thế cải tạo, di dời</t>
  </si>
  <si>
    <t>3C/XLPE 50 đấu nối</t>
  </si>
  <si>
    <t>Khoảng cách sau khi di dời</t>
  </si>
  <si>
    <t>Lắp lại dây 3ACXV50mm2 + AC50mm2</t>
  </si>
  <si>
    <t>Tháo sứ đứng + ty sứ</t>
  </si>
  <si>
    <t>Lắp lại sứ đứng + ty sứ</t>
  </si>
  <si>
    <t>Tháo bộ chằng xuống đơn
trung thế</t>
  </si>
  <si>
    <t>MCCB 3 cực 400V -1250A - 85KA (chỉnh định dòng)</t>
  </si>
  <si>
    <t>AG.42111</t>
  </si>
  <si>
    <t>batlL</t>
  </si>
  <si>
    <t>B22550V</t>
  </si>
  <si>
    <t>Boulon 22x550VRS+ 4 long đền vuông D24-50x50x3/Zn</t>
  </si>
  <si>
    <t>D2.6012</t>
  </si>
  <si>
    <t>THÁO HẠ, SỬ DỤNG LẠI</t>
  </si>
  <si>
    <t>Xà đơn L75x75x8x2200 (4 ốp) đỡ sứ</t>
  </si>
  <si>
    <t>ssf01</t>
  </si>
  <si>
    <t>ttf01</t>
  </si>
  <si>
    <t>Ttf01</t>
  </si>
  <si>
    <t>Tiếp địa lặp lại trụ đo đếm TT</t>
  </si>
  <si>
    <t>Dây buộc đầu sứ đỡ thẳng 50mm2</t>
  </si>
  <si>
    <t>Dây buộc cổ sứ đỡ góc  50mm2)</t>
  </si>
  <si>
    <t>Điện kế 3 pha điện tử 5A</t>
  </si>
  <si>
    <t>batLIa</t>
  </si>
  <si>
    <t>b1250</t>
  </si>
  <si>
    <t>CV11</t>
  </si>
  <si>
    <t>CÔNG TY TNHH VIÊN DUNG</t>
  </si>
  <si>
    <t>Công ty TNHH Trang Song Anh</t>
  </si>
  <si>
    <t>Trần Quang Ninh</t>
  </si>
  <si>
    <t>Đoàn Quốc Hùng</t>
  </si>
  <si>
    <t>Nguyễn Đức Sơn</t>
  </si>
  <si>
    <t>PHÓ GIÁM ĐỐC</t>
  </si>
  <si>
    <t>p</t>
  </si>
  <si>
    <t>Chụp đầu cực TI, TU</t>
  </si>
  <si>
    <t>acb2000</t>
  </si>
  <si>
    <t>t12f54</t>
  </si>
  <si>
    <t>Móng M12BT</t>
  </si>
  <si>
    <t xml:space="preserve">Xà kép L75x75x8x2200 (4 ốp) đỡ  TU, TI </t>
  </si>
  <si>
    <t>TUacb2000</t>
  </si>
  <si>
    <t>Bệ Bêtông đỡ MBA + tủ ACB + tụ bù</t>
  </si>
  <si>
    <t>1250KVA</t>
  </si>
  <si>
    <t>3AC/XLPE/HDPE 50+AC50</t>
  </si>
  <si>
    <t>Chuỗi Polymer lắp vào xà + Bộ đỡ</t>
  </si>
  <si>
    <t xml:space="preserve"> ĐỊA ĐIỂM: xã Suối Cao-  huyện Xuân Lộc -tỉnh Đồng Nai </t>
  </si>
  <si>
    <t>X-Composite24</t>
  </si>
  <si>
    <t>Dây buộc đầu sứ đơn 95mm2</t>
  </si>
  <si>
    <t>Dây buộc cổ sứ đôi 95mm2</t>
  </si>
  <si>
    <t>Dây buộc đầu sứ đỡ thẳng STT 95 mm2</t>
  </si>
  <si>
    <t>3ACXH95</t>
  </si>
  <si>
    <t>021/001</t>
  </si>
  <si>
    <t>MÓNG NEO</t>
  </si>
  <si>
    <t>XLPE95ACXH</t>
  </si>
  <si>
    <t xml:space="preserve">ACB 3P - 2000A - 65KA </t>
  </si>
  <si>
    <t>Cáp 24KV ACXH 95mm2</t>
  </si>
  <si>
    <t>036A/020</t>
  </si>
  <si>
    <t>BTLT 12 XDM</t>
  </si>
  <si>
    <t>chi40k</t>
  </si>
  <si>
    <t xml:space="preserve"> Đường dây trung thế 22kV và TBA 3P-1250kVA trang trại tổng hợp Nguyễn Đăng Nam</t>
  </si>
  <si>
    <t>021/002</t>
  </si>
  <si>
    <t>CỘNG</t>
  </si>
  <si>
    <t>Kh.cách</t>
  </si>
  <si>
    <t>Cộng dồn 3xAC185+AC120</t>
  </si>
  <si>
    <t>Loại chằng</t>
  </si>
  <si>
    <t>Tháo lắp, thu hồi vật tư hiện hữu</t>
  </si>
  <si>
    <t>Tiếp địa lặp lại trụ thường</t>
  </si>
  <si>
    <t>Tiếp địa thiết bị</t>
  </si>
  <si>
    <t>Loại xà</t>
  </si>
  <si>
    <t>Chuỗi Polymer lắp vào xà CĐX</t>
  </si>
  <si>
    <t xml:space="preserve">Chuỗi Polymer lắp vào trụ CĐT </t>
  </si>
  <si>
    <t>Oác xiết cáp cỡ 25mm2</t>
  </si>
  <si>
    <t>Oác xiết cáp cỡ 50mm2</t>
  </si>
  <si>
    <t>Bộ néo dây T.H : Nthõ U</t>
  </si>
  <si>
    <t>Bộ néo dây T.H vao xa: Nthõ X</t>
  </si>
  <si>
    <t>Bộ khoá néo dây T.H vao xa: Nthõ X</t>
  </si>
  <si>
    <t>Bộ khóa néo T.H vào trụ : Nth-T-g</t>
  </si>
  <si>
    <t>Bộ khóa néo T.H vào trụ : Nth-T</t>
  </si>
  <si>
    <t>Kẹp 2rãnh cỡ dây 185mm2</t>
  </si>
  <si>
    <t>Kẹp 2rãnh cỡ dây 240mm2</t>
  </si>
  <si>
    <t>Kẹp ép cỡ 35mm2</t>
  </si>
  <si>
    <t>Kẹp APC 2 rảnh</t>
  </si>
  <si>
    <t>Tháo hạ căng dây 6AC185</t>
  </si>
  <si>
    <t>Tháo hạ căng dây AC120mm2</t>
  </si>
  <si>
    <t>Tháo sứ đỉnh</t>
  </si>
  <si>
    <t>Tháo và lắp sứ thủy tinh 2 bát</t>
  </si>
  <si>
    <t>Tháo và lắp sứ treo Polymer</t>
  </si>
  <si>
    <t>Tháo và lắp bộ đỡ dây trung hòa</t>
  </si>
  <si>
    <t>Tháo và lắp bộ dừng dây trung hòa</t>
  </si>
  <si>
    <t>Tháo và lắp sứ đứng + chân sứ</t>
  </si>
  <si>
    <t>Tháo và lắp sứ đỉnh + chân sứ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</si>
  <si>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</si>
  <si>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</si>
  <si>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</si>
  <si>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</si>
  <si>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</si>
  <si>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</si>
  <si>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thu hồi trụ BTLT 12m</t>
  </si>
  <si>
    <t>Nhổ và trồng trụ 8,4m</t>
  </si>
  <si>
    <t>Tháo giá đỡ FCO</t>
  </si>
  <si>
    <t>Tháo và lắp giá đỡ FCO</t>
  </si>
  <si>
    <t>Tháo lắp DS3P</t>
  </si>
  <si>
    <t>Tháo lắp LBS</t>
  </si>
  <si>
    <t>Tháo lắp LTD</t>
  </si>
  <si>
    <t>Tháo và lắp FCO</t>
  </si>
  <si>
    <t>Tháo và lắp LA</t>
  </si>
  <si>
    <t>Tháo lắp  TU</t>
  </si>
  <si>
    <t>Tháo và lắp xà X-2.4KP</t>
  </si>
  <si>
    <t>Tháo và lắp xà X-2.2K</t>
  </si>
  <si>
    <t>Tháo và lắp xà X-2.1K</t>
  </si>
  <si>
    <t>Tháo và lắp xà X-2.2Đ</t>
  </si>
  <si>
    <t>Tháo và lắp xà X-1.66Đ</t>
  </si>
  <si>
    <t>Tháo lắp trạm 1 pha</t>
  </si>
  <si>
    <t>BẢNG PHÂN BỐ TRỤ ĐƯỜNG DÂY</t>
  </si>
  <si>
    <t>I. PHẦN NÂNG CẤP 1 MẠCH LÊN 2 MẠCH</t>
  </si>
  <si>
    <t>BẢNG KÊ TRỤ ĐƯỜNG DÂY 3 PHA 2 MẠCH XÂY DỰNG MỚI</t>
  </si>
  <si>
    <t>BẢNG KÊ TRỤ ĐƯỜNG DÂY XÂY DỰNG MỚI</t>
  </si>
  <si>
    <t>Cộng dồn 2*3AC240+AC150</t>
  </si>
  <si>
    <t>Cộng dồn 3*3ACXV185+AC120</t>
  </si>
  <si>
    <t>Cộng dồn 2*3AC185+AC120</t>
  </si>
  <si>
    <t>Cộng dồn 3ACXV185+AC120</t>
  </si>
  <si>
    <t>Cộng dồn 2*3A/XLPE/PVC-185</t>
  </si>
  <si>
    <t>Khoảng néo</t>
  </si>
  <si>
    <t>góc</t>
  </si>
  <si>
    <t>Giáp níu</t>
  </si>
  <si>
    <t>X-20ĐL</t>
  </si>
  <si>
    <t>X-26Đ</t>
  </si>
  <si>
    <t>Sứ treo Polymer 24kV+giáp níu</t>
  </si>
  <si>
    <t>Sứ treo thủy tinh 24kV</t>
  </si>
  <si>
    <t>Kẹp dừng dây cỡ 150mm2</t>
  </si>
  <si>
    <t>Kẹp dừng dây cỡ 240mm2</t>
  </si>
  <si>
    <t>Bộ khóa néo T.H : Nth-T</t>
  </si>
  <si>
    <t>Kẹp 3 bulon cỡ dây 50mm2</t>
  </si>
  <si>
    <t>Kẹp 3 bulon cỡ dây 70mm2</t>
  </si>
  <si>
    <t>Kẹp dây 3 bulon cỡ dây 95mm2</t>
  </si>
  <si>
    <t>Kẹp ép AL cỡ 120mm2</t>
  </si>
  <si>
    <t>Kẹp dây 3 bulon cỡ dây 150mm2</t>
  </si>
  <si>
    <t>Kẹp ép AL cỡ 185mm2</t>
  </si>
  <si>
    <t>Kẹp dây 3 bulon cỡ dây 240mm2</t>
  </si>
  <si>
    <t>Tháo và lắp sứ đứng</t>
  </si>
  <si>
    <t>Tháo và lắp sứ treo 2 bát</t>
  </si>
  <si>
    <t>Thu hồi bộ xà X-20L2/3</t>
  </si>
  <si>
    <t>Vị trí băng đường</t>
  </si>
  <si>
    <t>A. ĐƯỜNG DÂY 3 PHA 3 MẠCH 3x3ACXV185+2AC120</t>
  </si>
  <si>
    <t>CỘNG A</t>
  </si>
  <si>
    <t>B. ĐƯỜNG DÂY 3 PHA 1 MẠCH 3ACXV240+AC120 RA NHÁNH LỤC QUÂN</t>
  </si>
  <si>
    <t>ĐN</t>
  </si>
  <si>
    <t>CỘNG B</t>
  </si>
  <si>
    <t>C. ĐD 2 MẠCH 2x3AC185+AC120</t>
  </si>
  <si>
    <t>CỘNG D</t>
  </si>
  <si>
    <t>Chiều dài dây có tính độ võng 1,02:</t>
  </si>
  <si>
    <t xml:space="preserve">Số trụ trung thế </t>
  </si>
  <si>
    <t>Hình thức tru</t>
  </si>
  <si>
    <t>Cần đèn</t>
  </si>
  <si>
    <t>Đèn sodium ánh sáng vàng 250W</t>
  </si>
  <si>
    <t>Bulon 16x300+2 rondel vuông</t>
  </si>
  <si>
    <t>Bulon 16x350+2 rondel vuông</t>
  </si>
  <si>
    <t>Bulon 16x600+2 rondel vuông</t>
  </si>
  <si>
    <t xml:space="preserve">Bịt đầu cáp </t>
  </si>
  <si>
    <t xml:space="preserve">Kẹp treo cáp 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</si>
  <si>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</si>
  <si>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</si>
  <si>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</si>
  <si>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</si>
  <si>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</si>
  <si>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Kẹp treo cáp 35</t>
  </si>
  <si>
    <t>Kẹp ngừng cáp 35</t>
  </si>
  <si>
    <t>TỦ ĐK</t>
  </si>
  <si>
    <t>BẢNG KÊ TRỤ ĐƯỜNG DÂY CHIẾU SÁNG</t>
  </si>
  <si>
    <t>CÁP Triplex 3x16:</t>
  </si>
  <si>
    <t>CÁP Quaduplex 4x11:</t>
  </si>
  <si>
    <t>CÁP Quaduplex 4x16:</t>
  </si>
  <si>
    <t xml:space="preserve">THỐNG KÊ CÁP VÀ ĐÈN CHIẾU SÁNG </t>
  </si>
  <si>
    <t xml:space="preserve">Cáp CVV 2x2.5mm2 </t>
  </si>
  <si>
    <t>Cáp 4CV
16 mm2</t>
  </si>
  <si>
    <t>Cáp CXV 3x50 mm2</t>
  </si>
  <si>
    <t>Cáp CXV 4x16 mm2</t>
  </si>
  <si>
    <t xml:space="preserve">Ống PVC </t>
  </si>
  <si>
    <t xml:space="preserve">Ống sắt T.kẽm </t>
  </si>
  <si>
    <t>Co ống PVC D90</t>
  </si>
  <si>
    <t>Bulon móc</t>
  </si>
  <si>
    <t>Móc treo</t>
  </si>
  <si>
    <t>Đèn
250W</t>
  </si>
  <si>
    <t>Trụ bát 
giác 6m</t>
  </si>
  <si>
    <t>Tiếp
 địa</t>
  </si>
  <si>
    <t>Băng đường</t>
  </si>
  <si>
    <t>Vỉa hè</t>
  </si>
  <si>
    <t>3 sứ</t>
  </si>
  <si>
    <t>4 sứ</t>
  </si>
  <si>
    <t>đơn</t>
  </si>
  <si>
    <t>chữ A</t>
  </si>
  <si>
    <t>Cần 1,8m
đôi</t>
  </si>
  <si>
    <t>Cần 1,8m
đơn</t>
  </si>
  <si>
    <t>Số TT Đèn</t>
  </si>
  <si>
    <t>Tổng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</si>
</sst>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0.000"/>
    <numFmt numFmtId="171" formatCode="&quot;&quot;General&quot; (27785m)&quot;"/>
    <numFmt numFmtId="172" formatCode="&quot;BAÛNG  &quot;#"/>
    <numFmt numFmtId="173" formatCode="###,###&quot; m&quot;"/>
    <numFmt numFmtId="174" formatCode="###&quot;mm²&quot;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#,###&quot; sôïi/P&quot;"/>
    <numFmt numFmtId="181" formatCode="_(* #,##0.00_);_(* \(#,##0.00\);_(* &quot;-&quot;&quot;$&quot;&quot;$&quot;_);_(@_)"/>
    <numFmt numFmtId="182" formatCode="#,##0.000;\-#,##0.000"/>
    <numFmt numFmtId="183" formatCode="#,##0;\-#,##0"/>
  </numFmts>
  <fonts count="125">
    <font>
      <sz val="10"/>
      <name val="VNI-Times"/>
    </font>
    <font>
      <sz val="10"/>
      <name val="VNI-Times"/>
    </font>
    <font>
      <sz val="10"/>
      <name val="Arial"/>
      <family val="2"/>
    </font>
    <font>
      <sz val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indexed="9"/>
      <name val="VNI-Helve-Condense"/>
    </font>
    <font>
      <sz val="11"/>
      <color indexed="10"/>
      <name val="VNI-Helve-Condense"/>
    </font>
    <font>
      <b/>
      <sz val="10"/>
      <name val="Helv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8"/>
      <color indexed="10"/>
      <name val="VNI-Avo"/>
    </font>
    <font>
      <sz val="8"/>
      <color indexed="10"/>
      <name val="Tahoma"/>
      <family val="2"/>
    </font>
    <font>
      <b/>
      <sz val="12"/>
      <color indexed="81"/>
      <name val="VNI-Helve"/>
    </font>
    <font>
      <sz val="11"/>
      <color indexed="12"/>
      <name val="VNI-Helve-Condense"/>
    </font>
    <font>
      <sz val="8"/>
      <name val="VNI-Helve-Condense"/>
    </font>
    <font>
      <sz val="13"/>
      <name val="VNI-Times"/>
    </font>
    <font>
      <b/>
      <sz val="10"/>
      <name val="VnBookman"/>
      <family val="2"/>
    </font>
    <font>
      <b/>
      <sz val="11"/>
      <color indexed="10"/>
      <name val="VNI-Helve-Condense"/>
    </font>
    <font>
      <sz val="10"/>
      <name val="Times New Roman"/>
      <family val="1"/>
    </font>
    <font>
      <i/>
      <sz val="13"/>
      <name val="VNI-Times"/>
    </font>
    <font>
      <sz val="13"/>
      <name val="VNI-Helve-Condense"/>
    </font>
    <font>
      <b/>
      <sz val="12"/>
      <color indexed="81"/>
      <name val="Times New Roman"/>
      <family val="1"/>
    </font>
    <font>
      <sz val="10"/>
      <color indexed="81"/>
      <name val="Tahoma"/>
      <family val="2"/>
    </font>
    <font>
      <b/>
      <sz val="10"/>
      <color indexed="10"/>
      <name val="Tahoma"/>
      <family val="2"/>
    </font>
    <font>
      <sz val="1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name val="Times New Roman"/>
      <family val="1"/>
    </font>
    <font>
      <b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3"/>
      <name val="Times New Roman"/>
      <family val="1"/>
    </font>
    <font>
      <sz val="9"/>
      <name val="Times New Roman"/>
      <family val="1"/>
    </font>
    <font>
      <i/>
      <sz val="10"/>
      <name val="Times New Roman"/>
      <family val="1"/>
    </font>
    <font>
      <b/>
      <sz val="11"/>
      <name val="Times New Roman"/>
      <family val="1"/>
    </font>
    <font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sz val="10"/>
      <color indexed="13"/>
      <name val="Times New Roman"/>
      <family val="1"/>
    </font>
    <font>
      <sz val="10"/>
      <color indexed="62"/>
      <name val="Times New Roman"/>
      <family val="1"/>
    </font>
    <font>
      <u/>
      <sz val="10"/>
      <color indexed="13"/>
      <name val="Times New Roman"/>
      <family val="1"/>
    </font>
    <font>
      <b/>
      <sz val="10"/>
      <color indexed="48"/>
      <name val="Times New Roman"/>
      <family val="1"/>
    </font>
    <font>
      <b/>
      <sz val="12"/>
      <color indexed="13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3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i/>
      <u/>
      <sz val="11"/>
      <name val="Times New Roman"/>
      <family val="1"/>
    </font>
    <font>
      <b/>
      <u/>
      <sz val="11"/>
      <name val="Times New Roman"/>
      <family val="1"/>
    </font>
    <font>
      <u/>
      <sz val="11"/>
      <name val="Times New Roman"/>
      <family val="1"/>
    </font>
    <font>
      <sz val="11"/>
      <color indexed="8"/>
      <name val="Times New Roman"/>
      <family val="1"/>
    </font>
    <font>
      <b/>
      <sz val="16"/>
      <name val="Times New Roman"/>
      <family val="1"/>
    </font>
    <font>
      <sz val="8"/>
      <name val="Times New Roman"/>
      <family val="1"/>
    </font>
    <font>
      <sz val="12"/>
      <name val="Times New Roman"/>
      <family val="1"/>
    </font>
    <font>
      <sz val="12"/>
      <color indexed="10"/>
      <name val="Times New Roman"/>
      <family val="1"/>
    </font>
    <font>
      <sz val="13"/>
      <name val="Times New Roman"/>
      <family val="1"/>
    </font>
    <font>
      <sz val="11"/>
      <color indexed="10"/>
      <name val="Times New Roman"/>
      <family val="1"/>
    </font>
    <font>
      <b/>
      <sz val="11"/>
      <color indexed="10"/>
      <name val="Times New Roman"/>
      <family val="1"/>
    </font>
    <font>
      <b/>
      <i/>
      <sz val="11"/>
      <color indexed="10"/>
      <name val="Times New Roman"/>
      <family val="1"/>
    </font>
    <font>
      <b/>
      <sz val="10"/>
      <color indexed="12"/>
      <name val="Times New Roman"/>
      <family val="1"/>
    </font>
    <font>
      <sz val="11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VNI-Helve-Condense"/>
    </font>
    <font>
      <sz val="11"/>
      <color rgb="FFFF0000"/>
      <name val="VNI-Helve-Condense"/>
    </font>
    <font>
      <b/>
      <sz val="10"/>
      <color rgb="FFFF0000"/>
      <name val="Times New Roman"/>
      <family val="1"/>
    </font>
    <font>
      <sz val="10"/>
      <name val="Calibri"/>
      <family val="2"/>
    </font>
    <font>
      <b/>
      <sz val="8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indexed="9"/>
      <name val="VNI-Helve-Condense"/>
    </font>
    <font>
      <u/>
      <sz val="11"/>
      <color indexed="14"/>
      <name val="VNI-Helve-Condense"/>
    </font>
    <font>
      <u/>
      <sz val="11"/>
      <color indexed="14"/>
      <name val="Times New Roman"/>
      <family val="1"/>
    </font>
    <font>
      <b/>
      <u/>
      <sz val="11"/>
      <color indexed="14"/>
      <name val="Times New Roman"/>
      <family val="1"/>
    </font>
    <font>
      <b/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i/>
      <sz val="11"/>
      <color rgb="FFFF0000"/>
      <name val="Times New Roman"/>
      <family val="1"/>
    </font>
    <font>
      <sz val="11"/>
      <color indexed="18"/>
      <name val="Times New Roman"/>
      <family val="1"/>
    </font>
    <font>
      <sz val="13"/>
      <color rgb="FFFF0000"/>
      <name val="Times New Roman"/>
      <family val="1"/>
    </font>
    <font>
      <sz val="11"/>
      <color rgb="FF0070C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name val=".VnTime"/>
      <family val="2"/>
    </font>
    <font>
      <b/>
      <i/>
      <sz val="10"/>
      <color indexed="12"/>
      <name val="Times New Roman"/>
      <family val="1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0"/>
      <color rgb="FF7030A0"/>
      <name val="Times New Roman"/>
      <family val="1"/>
    </font>
    <font>
      <b/>
      <sz val="10"/>
      <color rgb="FF7030A0"/>
      <name val="VNI-Helve-Condense"/>
    </font>
    <font>
      <sz val="12"/>
      <color rgb="FFFF0000"/>
      <name val="Arial"/>
      <family val="2"/>
    </font>
    <font>
      <b/>
      <i/>
      <sz val="11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10"/>
      <color rgb="FFC00000"/>
      <name val="Times New Roman"/>
      <family val="1"/>
    </font>
    <font>
      <b/>
      <sz val="10"/>
      <color rgb="FFC00000"/>
      <name val="VNI-Helve-Condense"/>
    </font>
    <font>
      <b/>
      <sz val="11"/>
      <color rgb="FF7030A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0000FF"/>
      <name val="Times New Roman"/>
      <family val="1"/>
    </font>
    <font>
      <b/>
      <sz val="14"/>
      <color indexed="10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sz val="10"/>
      <color indexed="53"/>
      <name val="Times New Roman"/>
      <family val="1"/>
    </font>
    <font>
      <b/>
      <sz val="10"/>
      <color indexed="53"/>
      <name val="Times New Roman"/>
      <family val="1"/>
    </font>
    <font>
      <b/>
      <sz val="11"/>
      <color indexed="56"/>
      <name val="Times New Roman"/>
      <family val="1"/>
    </font>
    <font>
      <b/>
      <sz val="11"/>
      <color indexed="13"/>
      <name val="Times New Roman"/>
      <family val="1"/>
    </font>
    <font>
      <b/>
      <u/>
      <sz val="8"/>
      <name val="Times New Roman"/>
      <family val="1"/>
    </font>
    <font>
      <sz val="10"/>
      <color indexed="8"/>
      <name val="Times New Roman"/>
      <family val="1"/>
    </font>
    <font>
      <sz val="8"/>
      <color indexed="43"/>
      <name val="Times New Roman"/>
      <family val="1"/>
    </font>
    <font>
      <i/>
      <sz val="13"/>
      <name val="Times New Roman"/>
      <family val="1"/>
    </font>
    <font>
      <sz val="8"/>
      <color indexed="10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20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 style="thin">
        <color indexed="10"/>
      </bottom>
      <diagonal/>
    </border>
    <border>
      <left/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thin">
        <color indexed="9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thin">
        <color indexed="9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thick">
        <color indexed="13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hair">
        <color indexed="13"/>
      </bottom>
      <diagonal/>
    </border>
    <border>
      <left/>
      <right style="medium">
        <color indexed="34"/>
      </right>
      <top/>
      <bottom/>
      <diagonal/>
    </border>
    <border>
      <left style="thick">
        <color indexed="13"/>
      </left>
      <right style="thin">
        <color indexed="9"/>
      </right>
      <top style="hair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hair">
        <color indexed="13"/>
      </top>
      <bottom style="hair">
        <color indexed="13"/>
      </bottom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thick">
        <color indexed="13"/>
      </left>
      <right style="thin">
        <color indexed="9"/>
      </right>
      <top style="hair">
        <color indexed="13"/>
      </top>
      <bottom style="medium">
        <color indexed="13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23">
    <xf numFmtId="0" fontId="0" fillId="0" borderId="0"/>
    <xf numFmtId="0" fontId="12" fillId="0" borderId="0"/>
    <xf numFmtId="43" fontId="1" fillId="0" borderId="0" applyFont="0" applyFill="0" applyBorder="0" applyAlignment="0" applyProtection="0"/>
    <xf numFmtId="38" fontId="13" fillId="2" borderId="0" applyNumberFormat="0" applyBorder="0" applyAlignment="0" applyProtection="0"/>
    <xf numFmtId="0" fontId="14" fillId="0" borderId="0">
      <alignment horizontal="left"/>
    </xf>
    <xf numFmtId="0" fontId="15" fillId="0" borderId="1" applyNumberFormat="0" applyAlignment="0" applyProtection="0">
      <alignment horizontal="left" vertical="center"/>
    </xf>
    <xf numFmtId="0" fontId="15" fillId="0" borderId="2">
      <alignment horizontal="left" vertical="center"/>
    </xf>
    <xf numFmtId="10" fontId="13" fillId="2" borderId="3" applyNumberFormat="0" applyBorder="0" applyAlignment="0" applyProtection="0"/>
    <xf numFmtId="0" fontId="16" fillId="0" borderId="4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0" fontId="2" fillId="0" borderId="0" applyFont="0" applyFill="0" applyBorder="0" applyAlignment="0" applyProtection="0"/>
    <xf numFmtId="176" fontId="23" fillId="0" borderId="5" applyFill="0" applyBorder="0" applyProtection="0"/>
    <xf numFmtId="0" fontId="16" fillId="0" borderId="0"/>
    <xf numFmtId="181" fontId="1" fillId="0" borderId="0" applyFont="0" applyFill="0" applyBorder="0" applyAlignment="0" applyProtection="0"/>
    <xf numFmtId="0" fontId="2" fillId="0" borderId="0"/>
    <xf numFmtId="0" fontId="94" fillId="0" borderId="0"/>
  </cellStyleXfs>
  <cellXfs count="2691">
    <xf numFmtId="0" fontId="0" fillId="0" borderId="0" xfId="0"/>
    <xf numFmtId="0" fontId="3" fillId="0" borderId="0" xfId="0" applyFont="1" applyFill="1"/>
    <xf numFmtId="0" fontId="6" fillId="0" borderId="0" xfId="2" applyNumberFormat="1" applyFont="1" applyFill="1" applyBorder="1" applyAlignment="1">
      <alignment horizontal="center" vertical="center"/>
    </xf>
    <xf numFmtId="0" fontId="6" fillId="0" borderId="0" xfId="2" applyNumberFormat="1" applyFont="1" applyFill="1" applyBorder="1"/>
    <xf numFmtId="1" fontId="6" fillId="0" borderId="0" xfId="2" applyNumberFormat="1" applyFont="1" applyFill="1" applyBorder="1"/>
    <xf numFmtId="0" fontId="21" fillId="0" borderId="0" xfId="2" applyNumberFormat="1" applyFont="1" applyFill="1" applyBorder="1"/>
    <xf numFmtId="0" fontId="22" fillId="0" borderId="0" xfId="0" applyFont="1"/>
    <xf numFmtId="0" fontId="26" fillId="0" borderId="0" xfId="0" applyFont="1" applyFill="1"/>
    <xf numFmtId="0" fontId="26" fillId="0" borderId="0" xfId="0" applyFont="1"/>
    <xf numFmtId="0" fontId="3" fillId="0" borderId="0" xfId="0" applyFont="1" applyFill="1" applyAlignment="1">
      <alignment horizontal="left"/>
    </xf>
    <xf numFmtId="0" fontId="6" fillId="0" borderId="0" xfId="2" applyNumberFormat="1" applyFont="1" applyFill="1" applyBorder="1" applyAlignment="1">
      <alignment vertical="center"/>
    </xf>
    <xf numFmtId="1" fontId="6" fillId="0" borderId="0" xfId="2" applyNumberFormat="1" applyFont="1" applyFill="1" applyBorder="1" applyAlignment="1">
      <alignment vertical="center"/>
    </xf>
    <xf numFmtId="0" fontId="21" fillId="0" borderId="0" xfId="2" applyNumberFormat="1" applyFont="1" applyFill="1" applyBorder="1" applyAlignment="1">
      <alignment vertical="center"/>
    </xf>
    <xf numFmtId="0" fontId="25" fillId="0" borderId="0" xfId="0" applyFont="1" applyFill="1"/>
    <xf numFmtId="164" fontId="25" fillId="0" borderId="6" xfId="2" applyNumberFormat="1" applyFont="1" applyFill="1" applyBorder="1" applyAlignment="1"/>
    <xf numFmtId="3" fontId="25" fillId="0" borderId="6" xfId="13" applyNumberFormat="1" applyFont="1" applyFill="1" applyBorder="1" applyAlignment="1" applyProtection="1">
      <alignment horizontal="center"/>
      <protection locked="0"/>
    </xf>
    <xf numFmtId="0" fontId="25" fillId="0" borderId="6" xfId="0" applyFont="1" applyFill="1" applyBorder="1" applyAlignment="1">
      <alignment horizontal="left"/>
    </xf>
    <xf numFmtId="0" fontId="25" fillId="0" borderId="6" xfId="0" applyFont="1" applyFill="1" applyBorder="1" applyAlignment="1">
      <alignment horizontal="center"/>
    </xf>
    <xf numFmtId="164" fontId="25" fillId="0" borderId="6" xfId="2" applyNumberFormat="1" applyFont="1" applyFill="1" applyBorder="1"/>
    <xf numFmtId="0" fontId="25" fillId="0" borderId="6" xfId="0" applyFont="1" applyFill="1" applyBorder="1" applyAlignment="1">
      <alignment horizontal="left" wrapText="1"/>
    </xf>
    <xf numFmtId="0" fontId="25" fillId="0" borderId="6" xfId="0" quotePrefix="1" applyFont="1" applyFill="1" applyBorder="1" applyAlignment="1">
      <alignment horizontal="center"/>
    </xf>
    <xf numFmtId="0" fontId="25" fillId="0" borderId="6" xfId="0" applyFont="1" applyFill="1" applyBorder="1"/>
    <xf numFmtId="0" fontId="37" fillId="0" borderId="0" xfId="0" applyFont="1" applyBorder="1" applyProtection="1"/>
    <xf numFmtId="0" fontId="25" fillId="0" borderId="6" xfId="0" applyFont="1" applyFill="1" applyBorder="1" applyProtection="1">
      <protection hidden="1"/>
    </xf>
    <xf numFmtId="49" fontId="25" fillId="0" borderId="6" xfId="13" applyNumberFormat="1" applyFont="1" applyFill="1" applyBorder="1" applyAlignment="1">
      <alignment horizontal="center"/>
    </xf>
    <xf numFmtId="0" fontId="25" fillId="0" borderId="6" xfId="0" applyFont="1" applyFill="1" applyBorder="1" applyAlignment="1"/>
    <xf numFmtId="49" fontId="25" fillId="0" borderId="6" xfId="0" quotePrefix="1" applyNumberFormat="1" applyFont="1" applyFill="1" applyBorder="1" applyAlignment="1">
      <alignment horizontal="center"/>
    </xf>
    <xf numFmtId="164" fontId="31" fillId="0" borderId="0" xfId="2" applyNumberFormat="1" applyFont="1" applyBorder="1" applyAlignment="1">
      <alignment vertical="center"/>
    </xf>
    <xf numFmtId="164" fontId="31" fillId="0" borderId="0" xfId="2" applyNumberFormat="1" applyFont="1" applyBorder="1" applyAlignment="1">
      <alignment horizontal="center" vertical="center"/>
    </xf>
    <xf numFmtId="3" fontId="31" fillId="0" borderId="0" xfId="16" applyNumberFormat="1" applyFont="1" applyFill="1" applyAlignment="1" applyProtection="1">
      <alignment horizontal="center"/>
      <protection locked="0"/>
    </xf>
    <xf numFmtId="3" fontId="43" fillId="11" borderId="57" xfId="15" applyNumberFormat="1" applyFont="1" applyFill="1" applyBorder="1" applyAlignment="1" applyProtection="1">
      <alignment horizontal="center" vertical="center"/>
      <protection hidden="1"/>
    </xf>
    <xf numFmtId="3" fontId="43" fillId="11" borderId="52" xfId="15" applyNumberFormat="1" applyFont="1" applyFill="1" applyBorder="1" applyAlignment="1" applyProtection="1">
      <alignment horizontal="center" vertical="center"/>
      <protection hidden="1"/>
    </xf>
    <xf numFmtId="0" fontId="31" fillId="0" borderId="0" xfId="0" applyFont="1"/>
    <xf numFmtId="3" fontId="43" fillId="11" borderId="53" xfId="15" applyNumberFormat="1" applyFont="1" applyFill="1" applyBorder="1" applyAlignment="1" applyProtection="1">
      <alignment horizontal="center" vertical="center"/>
      <protection hidden="1"/>
    </xf>
    <xf numFmtId="3" fontId="31" fillId="0" borderId="0" xfId="16" applyNumberFormat="1" applyFont="1" applyFill="1" applyProtection="1">
      <protection locked="0"/>
    </xf>
    <xf numFmtId="3" fontId="43" fillId="0" borderId="52" xfId="15" applyNumberFormat="1" applyFont="1" applyFill="1" applyBorder="1" applyAlignment="1" applyProtection="1">
      <alignment horizontal="center"/>
      <protection hidden="1"/>
    </xf>
    <xf numFmtId="3" fontId="43" fillId="0" borderId="2" xfId="15" applyNumberFormat="1" applyFont="1" applyFill="1" applyBorder="1" applyAlignment="1" applyProtection="1">
      <alignment horizontal="left"/>
      <protection locked="0"/>
    </xf>
    <xf numFmtId="3" fontId="43" fillId="0" borderId="2" xfId="15" applyNumberFormat="1" applyFont="1" applyFill="1" applyBorder="1" applyAlignment="1" applyProtection="1">
      <alignment horizontal="center"/>
      <protection locked="0"/>
    </xf>
    <xf numFmtId="3" fontId="43" fillId="0" borderId="24" xfId="15" applyNumberFormat="1" applyFont="1" applyFill="1" applyBorder="1" applyAlignment="1" applyProtection="1">
      <alignment horizontal="left"/>
      <protection hidden="1"/>
    </xf>
    <xf numFmtId="164" fontId="31" fillId="0" borderId="6" xfId="2" applyNumberFormat="1" applyFont="1" applyBorder="1" applyAlignment="1">
      <alignment vertical="center"/>
    </xf>
    <xf numFmtId="3" fontId="43" fillId="0" borderId="3" xfId="15" applyNumberFormat="1" applyFont="1" applyFill="1" applyBorder="1" applyAlignment="1" applyProtection="1">
      <alignment horizontal="center"/>
      <protection hidden="1"/>
    </xf>
    <xf numFmtId="49" fontId="31" fillId="0" borderId="0" xfId="15" applyNumberFormat="1" applyFont="1" applyFill="1" applyBorder="1" applyAlignment="1" applyProtection="1">
      <alignment horizontal="center"/>
      <protection hidden="1"/>
    </xf>
    <xf numFmtId="3" fontId="43" fillId="0" borderId="24" xfId="15" applyNumberFormat="1" applyFont="1" applyFill="1" applyBorder="1" applyAlignment="1" applyProtection="1">
      <alignment horizontal="center"/>
      <protection locked="0"/>
    </xf>
    <xf numFmtId="3" fontId="31" fillId="0" borderId="24" xfId="15" applyNumberFormat="1" applyFont="1" applyFill="1" applyBorder="1" applyAlignment="1" applyProtection="1">
      <alignment horizontal="centerContinuous"/>
      <protection hidden="1"/>
    </xf>
    <xf numFmtId="164" fontId="31" fillId="0" borderId="24" xfId="2" applyNumberFormat="1" applyFont="1" applyBorder="1" applyAlignment="1">
      <alignment horizontal="center" vertical="center"/>
    </xf>
    <xf numFmtId="3" fontId="43" fillId="0" borderId="24" xfId="15" applyNumberFormat="1" applyFont="1" applyFill="1" applyBorder="1" applyAlignment="1" applyProtection="1">
      <alignment horizontal="centerContinuous"/>
      <protection hidden="1"/>
    </xf>
    <xf numFmtId="164" fontId="31" fillId="0" borderId="24" xfId="2" applyNumberFormat="1" applyFont="1" applyBorder="1" applyAlignment="1">
      <alignment vertical="center"/>
    </xf>
    <xf numFmtId="3" fontId="43" fillId="0" borderId="5" xfId="15" applyNumberFormat="1" applyFont="1" applyFill="1" applyBorder="1" applyAlignment="1" applyProtection="1">
      <alignment horizontal="center"/>
      <protection hidden="1"/>
    </xf>
    <xf numFmtId="49" fontId="31" fillId="0" borderId="2" xfId="15" applyNumberFormat="1" applyFont="1" applyFill="1" applyBorder="1" applyAlignment="1" applyProtection="1">
      <alignment horizontal="center"/>
      <protection hidden="1"/>
    </xf>
    <xf numFmtId="3" fontId="31" fillId="0" borderId="2" xfId="16" applyNumberFormat="1" applyFont="1" applyFill="1" applyBorder="1" applyAlignment="1" applyProtection="1">
      <alignment horizontal="center"/>
      <protection hidden="1"/>
    </xf>
    <xf numFmtId="164" fontId="31" fillId="0" borderId="2" xfId="2" applyNumberFormat="1" applyFont="1" applyBorder="1" applyAlignment="1">
      <alignment horizontal="center" vertical="center"/>
    </xf>
    <xf numFmtId="3" fontId="31" fillId="0" borderId="2" xfId="15" applyNumberFormat="1" applyFont="1" applyFill="1" applyBorder="1" applyAlignment="1" applyProtection="1">
      <alignment horizontal="centerContinuous"/>
      <protection hidden="1"/>
    </xf>
    <xf numFmtId="3" fontId="43" fillId="0" borderId="2" xfId="15" applyNumberFormat="1" applyFont="1" applyFill="1" applyBorder="1" applyAlignment="1" applyProtection="1">
      <alignment horizontal="centerContinuous"/>
      <protection hidden="1"/>
    </xf>
    <xf numFmtId="164" fontId="31" fillId="0" borderId="2" xfId="2" applyNumberFormat="1" applyFont="1" applyBorder="1" applyAlignment="1">
      <alignment vertical="center"/>
    </xf>
    <xf numFmtId="3" fontId="43" fillId="0" borderId="59" xfId="15" applyNumberFormat="1" applyFont="1" applyFill="1" applyBorder="1" applyAlignment="1" applyProtection="1">
      <alignment horizontal="center"/>
      <protection hidden="1"/>
    </xf>
    <xf numFmtId="164" fontId="31" fillId="6" borderId="43" xfId="2" applyNumberFormat="1" applyFont="1" applyFill="1" applyBorder="1" applyAlignment="1">
      <alignment vertical="center"/>
    </xf>
    <xf numFmtId="164" fontId="31" fillId="6" borderId="82" xfId="2" applyNumberFormat="1" applyFont="1" applyFill="1" applyBorder="1" applyAlignment="1">
      <alignment vertical="center"/>
    </xf>
    <xf numFmtId="43" fontId="31" fillId="0" borderId="14" xfId="2" applyNumberFormat="1" applyFont="1" applyBorder="1" applyAlignment="1">
      <alignment horizontal="center" vertical="center"/>
    </xf>
    <xf numFmtId="164" fontId="31" fillId="0" borderId="14" xfId="2" applyNumberFormat="1" applyFont="1" applyBorder="1" applyAlignment="1">
      <alignment vertical="center"/>
    </xf>
    <xf numFmtId="164" fontId="31" fillId="0" borderId="38" xfId="2" applyNumberFormat="1" applyFont="1" applyBorder="1" applyAlignment="1">
      <alignment vertical="center"/>
    </xf>
    <xf numFmtId="164" fontId="31" fillId="6" borderId="65" xfId="2" applyNumberFormat="1" applyFont="1" applyFill="1" applyBorder="1" applyAlignment="1">
      <alignment vertical="center"/>
    </xf>
    <xf numFmtId="3" fontId="31" fillId="0" borderId="0" xfId="16" applyNumberFormat="1" applyFont="1" applyFill="1" applyAlignment="1" applyProtection="1">
      <alignment vertical="center"/>
      <protection locked="0"/>
    </xf>
    <xf numFmtId="164" fontId="31" fillId="0" borderId="65" xfId="2" applyNumberFormat="1" applyFont="1" applyBorder="1" applyAlignment="1">
      <alignment vertical="center"/>
    </xf>
    <xf numFmtId="166" fontId="31" fillId="6" borderId="6" xfId="2" applyNumberFormat="1" applyFont="1" applyFill="1" applyBorder="1" applyAlignment="1">
      <alignment horizontal="center" vertical="center"/>
    </xf>
    <xf numFmtId="164" fontId="31" fillId="6" borderId="6" xfId="2" applyNumberFormat="1" applyFont="1" applyFill="1" applyBorder="1" applyAlignment="1">
      <alignment vertical="center"/>
    </xf>
    <xf numFmtId="164" fontId="31" fillId="0" borderId="14" xfId="2" applyNumberFormat="1" applyFont="1" applyBorder="1" applyAlignment="1">
      <alignment horizontal="center" vertical="center"/>
    </xf>
    <xf numFmtId="164" fontId="31" fillId="0" borderId="14" xfId="2" applyNumberFormat="1" applyFont="1" applyFill="1" applyBorder="1" applyAlignment="1">
      <alignment vertical="center"/>
    </xf>
    <xf numFmtId="164" fontId="31" fillId="6" borderId="6" xfId="2" applyNumberFormat="1" applyFont="1" applyFill="1" applyBorder="1" applyAlignment="1">
      <alignment horizontal="center" vertical="center"/>
    </xf>
    <xf numFmtId="164" fontId="31" fillId="0" borderId="14" xfId="2" applyNumberFormat="1" applyFont="1" applyFill="1" applyBorder="1" applyAlignment="1">
      <alignment horizontal="center" vertical="center"/>
    </xf>
    <xf numFmtId="167" fontId="31" fillId="0" borderId="6" xfId="2" applyNumberFormat="1" applyFont="1" applyBorder="1" applyAlignment="1">
      <alignment horizontal="center" vertical="center"/>
    </xf>
    <xf numFmtId="43" fontId="31" fillId="0" borderId="6" xfId="2" applyNumberFormat="1" applyFont="1" applyFill="1" applyBorder="1" applyAlignment="1">
      <alignment horizontal="center" vertical="center"/>
    </xf>
    <xf numFmtId="164" fontId="31" fillId="0" borderId="6" xfId="2" applyNumberFormat="1" applyFont="1" applyFill="1" applyBorder="1" applyAlignment="1">
      <alignment horizontal="center" vertical="center"/>
    </xf>
    <xf numFmtId="164" fontId="31" fillId="0" borderId="6" xfId="2" applyNumberFormat="1" applyFont="1" applyFill="1" applyBorder="1" applyAlignment="1">
      <alignment vertical="center"/>
    </xf>
    <xf numFmtId="164" fontId="31" fillId="0" borderId="6" xfId="2" applyNumberFormat="1" applyFont="1" applyBorder="1" applyAlignment="1">
      <alignment horizontal="center" vertical="center"/>
    </xf>
    <xf numFmtId="43" fontId="31" fillId="0" borderId="6" xfId="2" applyNumberFormat="1" applyFont="1" applyBorder="1" applyAlignment="1">
      <alignment horizontal="center" vertical="center"/>
    </xf>
    <xf numFmtId="164" fontId="31" fillId="0" borderId="8" xfId="2" applyNumberFormat="1" applyFont="1" applyBorder="1" applyAlignment="1">
      <alignment horizontal="center" vertical="center"/>
    </xf>
    <xf numFmtId="164" fontId="31" fillId="0" borderId="8" xfId="2" applyNumberFormat="1" applyFont="1" applyBorder="1" applyAlignment="1">
      <alignment vertical="center"/>
    </xf>
    <xf numFmtId="164" fontId="31" fillId="0" borderId="83" xfId="2" applyNumberFormat="1" applyFont="1" applyBorder="1" applyAlignment="1">
      <alignment vertical="center"/>
    </xf>
    <xf numFmtId="3" fontId="43" fillId="0" borderId="2" xfId="15" applyNumberFormat="1" applyFont="1" applyFill="1" applyBorder="1" applyAlignment="1" applyProtection="1">
      <alignment horizontal="center" vertical="center" wrapText="1"/>
      <protection locked="0"/>
    </xf>
    <xf numFmtId="164" fontId="31" fillId="6" borderId="43" xfId="2" applyNumberFormat="1" applyFont="1" applyFill="1" applyBorder="1" applyAlignment="1">
      <alignment horizontal="center" vertical="center"/>
    </xf>
    <xf numFmtId="43" fontId="31" fillId="5" borderId="6" xfId="2" applyNumberFormat="1" applyFont="1" applyFill="1" applyBorder="1" applyAlignment="1">
      <alignment horizontal="center" vertical="center"/>
    </xf>
    <xf numFmtId="43" fontId="31" fillId="6" borderId="6" xfId="2" applyNumberFormat="1" applyFont="1" applyFill="1" applyBorder="1" applyAlignment="1">
      <alignment horizontal="center" vertical="center"/>
    </xf>
    <xf numFmtId="167" fontId="31" fillId="0" borderId="14" xfId="2" applyNumberFormat="1" applyFont="1" applyBorder="1" applyAlignment="1">
      <alignment horizontal="center" vertical="center"/>
    </xf>
    <xf numFmtId="166" fontId="31" fillId="0" borderId="6" xfId="2" applyNumberFormat="1" applyFont="1" applyBorder="1" applyAlignment="1">
      <alignment horizontal="center" vertical="center"/>
    </xf>
    <xf numFmtId="164" fontId="31" fillId="5" borderId="6" xfId="2" applyNumberFormat="1" applyFont="1" applyFill="1" applyBorder="1" applyAlignment="1">
      <alignment horizontal="center" vertical="center"/>
    </xf>
    <xf numFmtId="3" fontId="31" fillId="0" borderId="0" xfId="16" applyNumberFormat="1" applyFont="1" applyFill="1" applyAlignment="1" applyProtection="1">
      <protection locked="0"/>
    </xf>
    <xf numFmtId="3" fontId="31" fillId="0" borderId="0" xfId="16" applyNumberFormat="1" applyFont="1" applyFill="1" applyBorder="1" applyAlignment="1" applyProtection="1">
      <protection locked="0"/>
    </xf>
    <xf numFmtId="0" fontId="31" fillId="8" borderId="0" xfId="0" applyFont="1" applyFill="1"/>
    <xf numFmtId="0" fontId="31" fillId="0" borderId="44" xfId="0" applyFont="1" applyFill="1" applyBorder="1" applyAlignment="1"/>
    <xf numFmtId="0" fontId="31" fillId="0" borderId="0" xfId="0" applyFont="1" applyFill="1" applyBorder="1" applyAlignment="1"/>
    <xf numFmtId="0" fontId="31" fillId="8" borderId="3" xfId="0" applyFont="1" applyFill="1" applyBorder="1"/>
    <xf numFmtId="0" fontId="45" fillId="8" borderId="3" xfId="0" applyFont="1" applyFill="1" applyBorder="1" applyAlignment="1">
      <alignment horizontal="center"/>
    </xf>
    <xf numFmtId="0" fontId="45" fillId="8" borderId="52" xfId="0" applyFont="1" applyFill="1" applyBorder="1" applyAlignment="1">
      <alignment horizontal="center"/>
    </xf>
    <xf numFmtId="0" fontId="31" fillId="0" borderId="44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45" fillId="8" borderId="3" xfId="0" applyFont="1" applyFill="1" applyBorder="1" applyAlignment="1">
      <alignment horizontal="right"/>
    </xf>
    <xf numFmtId="3" fontId="46" fillId="7" borderId="3" xfId="0" applyNumberFormat="1" applyFont="1" applyFill="1" applyBorder="1" applyAlignment="1">
      <alignment horizontal="center"/>
    </xf>
    <xf numFmtId="164" fontId="46" fillId="7" borderId="3" xfId="2" applyNumberFormat="1" applyFont="1" applyFill="1" applyBorder="1" applyAlignment="1">
      <alignment horizontal="center" vertical="center"/>
    </xf>
    <xf numFmtId="0" fontId="46" fillId="7" borderId="3" xfId="0" applyFont="1" applyFill="1" applyBorder="1" applyAlignment="1">
      <alignment horizontal="center"/>
    </xf>
    <xf numFmtId="0" fontId="46" fillId="7" borderId="52" xfId="0" applyFont="1" applyFill="1" applyBorder="1" applyAlignment="1">
      <alignment horizontal="center"/>
    </xf>
    <xf numFmtId="3" fontId="46" fillId="13" borderId="3" xfId="0" applyNumberFormat="1" applyFont="1" applyFill="1" applyBorder="1" applyAlignment="1">
      <alignment horizontal="center"/>
    </xf>
    <xf numFmtId="164" fontId="46" fillId="13" borderId="3" xfId="0" applyNumberFormat="1" applyFont="1" applyFill="1" applyBorder="1" applyAlignment="1">
      <alignment horizontal="center"/>
    </xf>
    <xf numFmtId="0" fontId="46" fillId="13" borderId="3" xfId="0" applyFont="1" applyFill="1" applyBorder="1" applyAlignment="1">
      <alignment horizontal="center"/>
    </xf>
    <xf numFmtId="0" fontId="46" fillId="13" borderId="52" xfId="0" applyFont="1" applyFill="1" applyBorder="1" applyAlignment="1">
      <alignment horizontal="center"/>
    </xf>
    <xf numFmtId="3" fontId="46" fillId="10" borderId="3" xfId="0" applyNumberFormat="1" applyFont="1" applyFill="1" applyBorder="1" applyAlignment="1">
      <alignment horizontal="center"/>
    </xf>
    <xf numFmtId="0" fontId="43" fillId="0" borderId="0" xfId="0" applyFont="1" applyAlignment="1">
      <alignment horizontal="centerContinuous" vertical="center"/>
    </xf>
    <xf numFmtId="0" fontId="31" fillId="0" borderId="0" xfId="0" applyFont="1" applyAlignment="1">
      <alignment horizontal="centerContinuous" vertical="center"/>
    </xf>
    <xf numFmtId="0" fontId="31" fillId="10" borderId="0" xfId="0" applyFont="1" applyFill="1"/>
    <xf numFmtId="0" fontId="31" fillId="0" borderId="0" xfId="0" applyFont="1" applyFill="1"/>
    <xf numFmtId="3" fontId="31" fillId="0" borderId="0" xfId="16" applyNumberFormat="1" applyFont="1" applyFill="1" applyAlignment="1" applyProtection="1">
      <alignment horizontal="left"/>
      <protection locked="0"/>
    </xf>
    <xf numFmtId="3" fontId="43" fillId="11" borderId="2" xfId="15" applyNumberFormat="1" applyFont="1" applyFill="1" applyBorder="1" applyAlignment="1" applyProtection="1">
      <alignment horizontal="center" vertical="center"/>
      <protection hidden="1"/>
    </xf>
    <xf numFmtId="3" fontId="43" fillId="11" borderId="3" xfId="15" applyNumberFormat="1" applyFont="1" applyFill="1" applyBorder="1" applyAlignment="1" applyProtection="1">
      <alignment horizontal="center" vertical="center"/>
      <protection hidden="1"/>
    </xf>
    <xf numFmtId="3" fontId="31" fillId="0" borderId="6" xfId="15" applyNumberFormat="1" applyFont="1" applyFill="1" applyBorder="1" applyAlignment="1" applyProtection="1">
      <alignment horizontal="center"/>
      <protection hidden="1"/>
    </xf>
    <xf numFmtId="164" fontId="31" fillId="0" borderId="6" xfId="2" applyNumberFormat="1" applyFont="1" applyFill="1" applyBorder="1" applyProtection="1">
      <protection hidden="1"/>
    </xf>
    <xf numFmtId="1" fontId="31" fillId="0" borderId="43" xfId="2" applyNumberFormat="1" applyFont="1" applyBorder="1" applyAlignment="1" applyProtection="1">
      <alignment horizontal="center"/>
      <protection hidden="1"/>
    </xf>
    <xf numFmtId="164" fontId="31" fillId="0" borderId="43" xfId="2" applyNumberFormat="1" applyFont="1" applyBorder="1" applyAlignment="1" applyProtection="1">
      <alignment horizontal="center"/>
      <protection hidden="1"/>
    </xf>
    <xf numFmtId="164" fontId="31" fillId="0" borderId="43" xfId="2" applyNumberFormat="1" applyFont="1" applyBorder="1" applyAlignment="1" applyProtection="1">
      <protection hidden="1"/>
    </xf>
    <xf numFmtId="3" fontId="31" fillId="0" borderId="43" xfId="15" applyNumberFormat="1" applyFont="1" applyFill="1" applyBorder="1" applyAlignment="1" applyProtection="1">
      <alignment horizontal="center"/>
      <protection hidden="1"/>
    </xf>
    <xf numFmtId="164" fontId="31" fillId="0" borderId="43" xfId="2" applyNumberFormat="1" applyFont="1" applyBorder="1" applyAlignment="1">
      <alignment horizontal="center" vertical="center"/>
    </xf>
    <xf numFmtId="1" fontId="31" fillId="0" borderId="6" xfId="2" applyNumberFormat="1" applyFont="1" applyBorder="1" applyAlignment="1" applyProtection="1">
      <alignment horizontal="center"/>
      <protection hidden="1"/>
    </xf>
    <xf numFmtId="164" fontId="31" fillId="0" borderId="6" xfId="2" applyNumberFormat="1" applyFont="1" applyBorder="1" applyAlignment="1" applyProtection="1">
      <alignment horizontal="center"/>
      <protection hidden="1"/>
    </xf>
    <xf numFmtId="164" fontId="31" fillId="0" borderId="6" xfId="2" applyNumberFormat="1" applyFont="1" applyBorder="1" applyAlignment="1" applyProtection="1">
      <protection hidden="1"/>
    </xf>
    <xf numFmtId="3" fontId="31" fillId="0" borderId="8" xfId="15" applyNumberFormat="1" applyFont="1" applyFill="1" applyBorder="1" applyAlignment="1" applyProtection="1">
      <alignment horizontal="center"/>
      <protection hidden="1"/>
    </xf>
    <xf numFmtId="164" fontId="31" fillId="0" borderId="8" xfId="2" applyNumberFormat="1" applyFont="1" applyBorder="1" applyAlignment="1" applyProtection="1">
      <protection hidden="1"/>
    </xf>
    <xf numFmtId="164" fontId="31" fillId="0" borderId="46" xfId="2" applyNumberFormat="1" applyFont="1" applyBorder="1" applyAlignment="1" applyProtection="1">
      <protection hidden="1"/>
    </xf>
    <xf numFmtId="0" fontId="31" fillId="5" borderId="6" xfId="0" applyFont="1" applyFill="1" applyBorder="1" applyAlignment="1"/>
    <xf numFmtId="3" fontId="31" fillId="0" borderId="6" xfId="16" applyNumberFormat="1" applyFont="1" applyFill="1" applyBorder="1" applyAlignment="1" applyProtection="1">
      <alignment horizontal="center"/>
      <protection hidden="1"/>
    </xf>
    <xf numFmtId="164" fontId="31" fillId="0" borderId="42" xfId="2" applyNumberFormat="1" applyFont="1" applyBorder="1" applyAlignment="1" applyProtection="1">
      <protection hidden="1"/>
    </xf>
    <xf numFmtId="164" fontId="31" fillId="0" borderId="42" xfId="2" applyNumberFormat="1" applyFont="1" applyBorder="1" applyAlignment="1">
      <alignment horizontal="center" vertical="center"/>
    </xf>
    <xf numFmtId="0" fontId="31" fillId="0" borderId="0" xfId="0" applyFont="1" applyBorder="1" applyAlignment="1" applyProtection="1">
      <alignment horizontal="left"/>
      <protection locked="0"/>
    </xf>
    <xf numFmtId="164" fontId="31" fillId="0" borderId="14" xfId="2" applyNumberFormat="1" applyFont="1" applyBorder="1" applyAlignment="1" applyProtection="1">
      <protection hidden="1"/>
    </xf>
    <xf numFmtId="0" fontId="31" fillId="0" borderId="26" xfId="0" applyFont="1" applyFill="1" applyBorder="1" applyAlignment="1" applyProtection="1">
      <alignment horizontal="left"/>
      <protection locked="0"/>
    </xf>
    <xf numFmtId="1" fontId="31" fillId="0" borderId="42" xfId="2" applyNumberFormat="1" applyFont="1" applyBorder="1" applyAlignment="1" applyProtection="1">
      <alignment horizontal="center"/>
      <protection hidden="1"/>
    </xf>
    <xf numFmtId="3" fontId="31" fillId="0" borderId="42" xfId="16" applyNumberFormat="1" applyFont="1" applyFill="1" applyBorder="1" applyAlignment="1" applyProtection="1">
      <alignment horizontal="center"/>
      <protection hidden="1"/>
    </xf>
    <xf numFmtId="164" fontId="31" fillId="0" borderId="42" xfId="2" applyNumberFormat="1" applyFont="1" applyBorder="1" applyAlignment="1">
      <alignment vertical="center"/>
    </xf>
    <xf numFmtId="3" fontId="43" fillId="0" borderId="52" xfId="15" applyNumberFormat="1" applyFont="1" applyFill="1" applyBorder="1" applyAlignment="1" applyProtection="1">
      <alignment horizontal="center"/>
      <protection locked="0"/>
    </xf>
    <xf numFmtId="3" fontId="31" fillId="0" borderId="59" xfId="15" applyNumberFormat="1" applyFont="1" applyFill="1" applyBorder="1" applyAlignment="1" applyProtection="1">
      <alignment horizontal="centerContinuous"/>
      <protection hidden="1"/>
    </xf>
    <xf numFmtId="3" fontId="31" fillId="0" borderId="0" xfId="16" applyNumberFormat="1" applyFont="1" applyFill="1" applyAlignment="1" applyProtection="1">
      <alignment horizontal="center" vertical="center"/>
      <protection locked="0"/>
    </xf>
    <xf numFmtId="3" fontId="31" fillId="0" borderId="0" xfId="16" applyNumberFormat="1" applyFont="1" applyFill="1" applyAlignment="1" applyProtection="1">
      <alignment horizontal="left" vertical="center"/>
      <protection locked="0"/>
    </xf>
    <xf numFmtId="3" fontId="31" fillId="6" borderId="43" xfId="15" applyNumberFormat="1" applyFont="1" applyFill="1" applyBorder="1" applyAlignment="1" applyProtection="1">
      <alignment horizontal="center" vertical="center"/>
      <protection hidden="1"/>
    </xf>
    <xf numFmtId="3" fontId="43" fillId="6" borderId="43" xfId="15" applyNumberFormat="1" applyFont="1" applyFill="1" applyBorder="1" applyAlignment="1" applyProtection="1">
      <alignment horizontal="left" vertical="center" wrapText="1"/>
      <protection locked="0"/>
    </xf>
    <xf numFmtId="3" fontId="31" fillId="6" borderId="43" xfId="16" applyNumberFormat="1" applyFont="1" applyFill="1" applyBorder="1" applyAlignment="1" applyProtection="1">
      <alignment horizontal="center" vertical="center"/>
      <protection hidden="1"/>
    </xf>
    <xf numFmtId="3" fontId="31" fillId="6" borderId="82" xfId="15" applyNumberFormat="1" applyFont="1" applyFill="1" applyBorder="1" applyAlignment="1" applyProtection="1">
      <alignment horizontal="center" vertical="center"/>
      <protection hidden="1"/>
    </xf>
    <xf numFmtId="3" fontId="43" fillId="6" borderId="43" xfId="15" applyNumberFormat="1" applyFont="1" applyFill="1" applyBorder="1" applyAlignment="1" applyProtection="1">
      <alignment horizontal="center" vertical="center"/>
      <protection hidden="1"/>
    </xf>
    <xf numFmtId="49" fontId="31" fillId="0" borderId="6" xfId="15" applyNumberFormat="1" applyFont="1" applyFill="1" applyBorder="1" applyAlignment="1" applyProtection="1">
      <alignment horizontal="center"/>
      <protection hidden="1"/>
    </xf>
    <xf numFmtId="3" fontId="47" fillId="0" borderId="14" xfId="15" applyNumberFormat="1" applyFont="1" applyFill="1" applyBorder="1" applyAlignment="1" applyProtection="1">
      <alignment horizontal="left" vertical="center" wrapText="1"/>
      <protection locked="0"/>
    </xf>
    <xf numFmtId="3" fontId="31" fillId="0" borderId="14" xfId="16" applyNumberFormat="1" applyFont="1" applyFill="1" applyBorder="1" applyAlignment="1" applyProtection="1">
      <alignment horizontal="center"/>
      <protection hidden="1"/>
    </xf>
    <xf numFmtId="3" fontId="31" fillId="0" borderId="14" xfId="15" applyNumberFormat="1" applyFont="1" applyFill="1" applyBorder="1" applyAlignment="1" applyProtection="1">
      <alignment horizontal="centerContinuous"/>
      <protection hidden="1"/>
    </xf>
    <xf numFmtId="3" fontId="31" fillId="0" borderId="38" xfId="15" applyNumberFormat="1" applyFont="1" applyFill="1" applyBorder="1" applyAlignment="1" applyProtection="1">
      <alignment horizontal="centerContinuous"/>
      <protection hidden="1"/>
    </xf>
    <xf numFmtId="3" fontId="43" fillId="0" borderId="14" xfId="15" applyNumberFormat="1" applyFont="1" applyFill="1" applyBorder="1" applyAlignment="1" applyProtection="1">
      <alignment horizontal="centerContinuous"/>
      <protection hidden="1"/>
    </xf>
    <xf numFmtId="3" fontId="43" fillId="0" borderId="14" xfId="15" applyNumberFormat="1" applyFont="1" applyFill="1" applyBorder="1" applyAlignment="1" applyProtection="1">
      <alignment horizontal="center"/>
      <protection hidden="1"/>
    </xf>
    <xf numFmtId="164" fontId="31" fillId="0" borderId="6" xfId="2" applyNumberFormat="1" applyFont="1" applyBorder="1" applyAlignment="1" applyProtection="1">
      <alignment vertical="center" wrapText="1"/>
      <protection hidden="1"/>
    </xf>
    <xf numFmtId="164" fontId="31" fillId="0" borderId="65" xfId="2" applyNumberFormat="1" applyFont="1" applyBorder="1" applyAlignment="1" applyProtection="1">
      <protection hidden="1"/>
    </xf>
    <xf numFmtId="0" fontId="31" fillId="0" borderId="26" xfId="0" applyFont="1" applyBorder="1" applyAlignment="1" applyProtection="1">
      <alignment horizontal="left"/>
      <protection locked="0"/>
    </xf>
    <xf numFmtId="177" fontId="31" fillId="0" borderId="6" xfId="0" applyNumberFormat="1" applyFont="1" applyBorder="1" applyAlignment="1" applyProtection="1">
      <alignment horizontal="right"/>
      <protection hidden="1"/>
    </xf>
    <xf numFmtId="3" fontId="31" fillId="0" borderId="6" xfId="16" applyNumberFormat="1" applyFont="1" applyFill="1" applyBorder="1" applyAlignment="1" applyProtection="1">
      <alignment horizontal="right"/>
      <protection hidden="1"/>
    </xf>
    <xf numFmtId="3" fontId="31" fillId="0" borderId="65" xfId="16" applyNumberFormat="1" applyFont="1" applyFill="1" applyBorder="1" applyAlignment="1" applyProtection="1">
      <alignment horizontal="right"/>
      <protection hidden="1"/>
    </xf>
    <xf numFmtId="0" fontId="31" fillId="0" borderId="0" xfId="0" applyFont="1" applyBorder="1" applyProtection="1">
      <protection locked="0"/>
    </xf>
    <xf numFmtId="166" fontId="31" fillId="0" borderId="6" xfId="2" applyNumberFormat="1" applyFont="1" applyBorder="1" applyAlignment="1" applyProtection="1">
      <protection hidden="1"/>
    </xf>
    <xf numFmtId="3" fontId="31" fillId="0" borderId="0" xfId="0" applyNumberFormat="1" applyFont="1"/>
    <xf numFmtId="3" fontId="31" fillId="0" borderId="6" xfId="0" applyNumberFormat="1" applyFont="1" applyBorder="1" applyAlignment="1" applyProtection="1">
      <alignment horizontal="center"/>
      <protection hidden="1"/>
    </xf>
    <xf numFmtId="3" fontId="31" fillId="0" borderId="6" xfId="15" applyNumberFormat="1" applyFont="1" applyFill="1" applyBorder="1" applyAlignment="1" applyProtection="1">
      <alignment horizontal="right"/>
      <protection hidden="1"/>
    </xf>
    <xf numFmtId="43" fontId="31" fillId="0" borderId="6" xfId="2" applyNumberFormat="1" applyFont="1" applyBorder="1" applyAlignment="1" applyProtection="1">
      <protection hidden="1"/>
    </xf>
    <xf numFmtId="164" fontId="31" fillId="0" borderId="6" xfId="2" quotePrefix="1" applyNumberFormat="1" applyFont="1" applyBorder="1" applyAlignment="1" applyProtection="1">
      <alignment horizontal="center"/>
      <protection hidden="1"/>
    </xf>
    <xf numFmtId="0" fontId="31" fillId="3" borderId="6" xfId="0" applyFont="1" applyFill="1" applyBorder="1" applyAlignment="1">
      <alignment horizontal="left"/>
    </xf>
    <xf numFmtId="3" fontId="43" fillId="0" borderId="0" xfId="0" applyNumberFormat="1" applyFont="1" applyAlignment="1">
      <alignment horizontal="center" vertical="center"/>
    </xf>
    <xf numFmtId="1" fontId="43" fillId="6" borderId="6" xfId="2" applyNumberFormat="1" applyFont="1" applyFill="1" applyBorder="1" applyAlignment="1" applyProtection="1">
      <alignment horizontal="center" vertical="center"/>
      <protection hidden="1"/>
    </xf>
    <xf numFmtId="164" fontId="31" fillId="6" borderId="6" xfId="2" applyNumberFormat="1" applyFont="1" applyFill="1" applyBorder="1" applyAlignment="1" applyProtection="1">
      <alignment horizontal="center" vertical="center"/>
      <protection hidden="1"/>
    </xf>
    <xf numFmtId="3" fontId="43" fillId="6" borderId="6" xfId="0" applyNumberFormat="1" applyFont="1" applyFill="1" applyBorder="1" applyAlignment="1">
      <alignment vertical="center" wrapText="1"/>
    </xf>
    <xf numFmtId="3" fontId="43" fillId="6" borderId="6" xfId="0" applyNumberFormat="1" applyFont="1" applyFill="1" applyBorder="1" applyAlignment="1">
      <alignment horizontal="center" vertical="center"/>
    </xf>
    <xf numFmtId="3" fontId="31" fillId="6" borderId="6" xfId="0" applyNumberFormat="1" applyFont="1" applyFill="1" applyBorder="1" applyAlignment="1" applyProtection="1">
      <alignment horizontal="center" vertical="center"/>
      <protection hidden="1"/>
    </xf>
    <xf numFmtId="3" fontId="31" fillId="6" borderId="65" xfId="0" applyNumberFormat="1" applyFont="1" applyFill="1" applyBorder="1" applyAlignment="1" applyProtection="1">
      <alignment horizontal="center" vertical="center"/>
      <protection hidden="1"/>
    </xf>
    <xf numFmtId="164" fontId="31" fillId="6" borderId="6" xfId="2" applyNumberFormat="1" applyFont="1" applyFill="1" applyBorder="1" applyAlignment="1" applyProtection="1">
      <alignment vertical="center"/>
      <protection hidden="1"/>
    </xf>
    <xf numFmtId="3" fontId="31" fillId="6" borderId="6" xfId="15" applyNumberFormat="1" applyFont="1" applyFill="1" applyBorder="1" applyAlignment="1" applyProtection="1">
      <alignment horizontal="right" vertical="center"/>
      <protection hidden="1"/>
    </xf>
    <xf numFmtId="3" fontId="47" fillId="0" borderId="6" xfId="15" applyNumberFormat="1" applyFont="1" applyFill="1" applyBorder="1" applyAlignment="1" applyProtection="1">
      <alignment horizontal="left" vertical="center" wrapText="1"/>
      <protection locked="0"/>
    </xf>
    <xf numFmtId="3" fontId="31" fillId="0" borderId="6" xfId="15" applyNumberFormat="1" applyFont="1" applyFill="1" applyBorder="1" applyAlignment="1" applyProtection="1">
      <alignment horizontal="centerContinuous"/>
      <protection hidden="1"/>
    </xf>
    <xf numFmtId="3" fontId="31" fillId="0" borderId="65" xfId="15" applyNumberFormat="1" applyFont="1" applyFill="1" applyBorder="1" applyAlignment="1" applyProtection="1">
      <alignment horizontal="centerContinuous"/>
      <protection hidden="1"/>
    </xf>
    <xf numFmtId="3" fontId="43" fillId="0" borderId="6" xfId="15" applyNumberFormat="1" applyFont="1" applyFill="1" applyBorder="1" applyAlignment="1" applyProtection="1">
      <alignment horizontal="centerContinuous"/>
      <protection hidden="1"/>
    </xf>
    <xf numFmtId="3" fontId="43" fillId="0" borderId="6" xfId="15" applyNumberFormat="1" applyFont="1" applyFill="1" applyBorder="1" applyAlignment="1" applyProtection="1">
      <alignment horizontal="center"/>
      <protection hidden="1"/>
    </xf>
    <xf numFmtId="3" fontId="31" fillId="0" borderId="65" xfId="0" applyNumberFormat="1" applyFont="1" applyBorder="1" applyAlignment="1" applyProtection="1">
      <alignment horizontal="center"/>
      <protection hidden="1"/>
    </xf>
    <xf numFmtId="3" fontId="31" fillId="0" borderId="0" xfId="0" applyNumberFormat="1" applyFont="1" applyFill="1"/>
    <xf numFmtId="3" fontId="31" fillId="0" borderId="0" xfId="0" applyNumberFormat="1" applyFont="1" applyAlignment="1">
      <alignment vertical="center"/>
    </xf>
    <xf numFmtId="164" fontId="31" fillId="0" borderId="6" xfId="2" applyNumberFormat="1" applyFont="1" applyFill="1" applyBorder="1" applyAlignment="1" applyProtection="1">
      <protection hidden="1"/>
    </xf>
    <xf numFmtId="166" fontId="31" fillId="10" borderId="6" xfId="2" applyNumberFormat="1" applyFont="1" applyFill="1" applyBorder="1" applyAlignment="1">
      <alignment horizontal="center" vertical="center"/>
    </xf>
    <xf numFmtId="3" fontId="43" fillId="0" borderId="0" xfId="0" applyNumberFormat="1" applyFont="1" applyFill="1" applyAlignment="1">
      <alignment horizontal="center" vertical="center"/>
    </xf>
    <xf numFmtId="164" fontId="31" fillId="0" borderId="6" xfId="2" applyNumberFormat="1" applyFont="1" applyFill="1" applyBorder="1" applyAlignment="1" applyProtection="1">
      <alignment horizontal="center"/>
      <protection hidden="1"/>
    </xf>
    <xf numFmtId="3" fontId="31" fillId="0" borderId="0" xfId="0" applyNumberFormat="1" applyFont="1" applyFill="1" applyAlignment="1">
      <alignment vertical="center"/>
    </xf>
    <xf numFmtId="164" fontId="31" fillId="0" borderId="6" xfId="2" applyNumberFormat="1" applyFont="1" applyFill="1" applyBorder="1" applyAlignment="1" applyProtection="1">
      <alignment vertical="center" wrapText="1"/>
      <protection hidden="1"/>
    </xf>
    <xf numFmtId="1" fontId="31" fillId="0" borderId="6" xfId="2" applyNumberFormat="1" applyFont="1" applyFill="1" applyBorder="1" applyAlignment="1" applyProtection="1">
      <alignment horizontal="center"/>
      <protection hidden="1"/>
    </xf>
    <xf numFmtId="3" fontId="31" fillId="0" borderId="6" xfId="0" applyNumberFormat="1" applyFont="1" applyFill="1" applyBorder="1" applyAlignment="1" applyProtection="1">
      <alignment horizontal="center"/>
      <protection hidden="1"/>
    </xf>
    <xf numFmtId="0" fontId="43" fillId="6" borderId="6" xfId="0" applyFont="1" applyFill="1" applyBorder="1" applyAlignment="1" applyProtection="1">
      <alignment horizontal="left" vertical="center" wrapText="1"/>
      <protection hidden="1"/>
    </xf>
    <xf numFmtId="0" fontId="43" fillId="6" borderId="6" xfId="0" applyFont="1" applyFill="1" applyBorder="1" applyAlignment="1" applyProtection="1">
      <alignment horizontal="center" vertical="center"/>
      <protection hidden="1"/>
    </xf>
    <xf numFmtId="164" fontId="43" fillId="6" borderId="6" xfId="0" applyNumberFormat="1" applyFont="1" applyFill="1" applyBorder="1" applyAlignment="1" applyProtection="1">
      <alignment horizontal="right" vertical="center"/>
      <protection hidden="1"/>
    </xf>
    <xf numFmtId="3" fontId="43" fillId="6" borderId="6" xfId="0" applyNumberFormat="1" applyFont="1" applyFill="1" applyBorder="1" applyAlignment="1" applyProtection="1">
      <alignment horizontal="center" vertical="center"/>
      <protection hidden="1"/>
    </xf>
    <xf numFmtId="3" fontId="43" fillId="6" borderId="15" xfId="0" applyNumberFormat="1" applyFont="1" applyFill="1" applyBorder="1" applyAlignment="1" applyProtection="1">
      <alignment horizontal="center" vertical="center"/>
      <protection hidden="1"/>
    </xf>
    <xf numFmtId="3" fontId="31" fillId="6" borderId="6" xfId="16" applyNumberFormat="1" applyFont="1" applyFill="1" applyBorder="1" applyAlignment="1" applyProtection="1">
      <alignment vertical="center"/>
      <protection locked="0"/>
    </xf>
    <xf numFmtId="3" fontId="47" fillId="0" borderId="6" xfId="15" applyNumberFormat="1" applyFont="1" applyFill="1" applyBorder="1" applyAlignment="1" applyProtection="1">
      <alignment vertical="center" wrapText="1"/>
      <protection locked="0"/>
    </xf>
    <xf numFmtId="3" fontId="43" fillId="0" borderId="6" xfId="15" applyNumberFormat="1" applyFont="1" applyFill="1" applyBorder="1" applyAlignment="1" applyProtection="1">
      <alignment horizontal="right"/>
      <protection hidden="1"/>
    </xf>
    <xf numFmtId="0" fontId="31" fillId="0" borderId="6" xfId="0" applyFont="1" applyFill="1" applyBorder="1" applyAlignment="1" applyProtection="1">
      <alignment horizontal="center"/>
      <protection locked="0"/>
    </xf>
    <xf numFmtId="3" fontId="31" fillId="0" borderId="6" xfId="16" applyNumberFormat="1" applyFont="1" applyFill="1" applyBorder="1" applyProtection="1">
      <protection locked="0"/>
    </xf>
    <xf numFmtId="0" fontId="31" fillId="0" borderId="6" xfId="0" applyFont="1" applyBorder="1" applyAlignment="1" applyProtection="1">
      <alignment horizontal="center"/>
      <protection hidden="1"/>
    </xf>
    <xf numFmtId="0" fontId="31" fillId="0" borderId="6" xfId="0" applyFont="1" applyBorder="1" applyProtection="1">
      <protection hidden="1"/>
    </xf>
    <xf numFmtId="0" fontId="31" fillId="0" borderId="0" xfId="0" applyFont="1" applyBorder="1" applyAlignment="1" applyProtection="1">
      <alignment horizontal="left"/>
    </xf>
    <xf numFmtId="166" fontId="31" fillId="0" borderId="6" xfId="2" applyNumberFormat="1" applyFont="1" applyFill="1" applyBorder="1" applyProtection="1"/>
    <xf numFmtId="43" fontId="31" fillId="0" borderId="6" xfId="2" applyNumberFormat="1" applyFont="1" applyFill="1" applyBorder="1" applyProtection="1"/>
    <xf numFmtId="167" fontId="31" fillId="0" borderId="6" xfId="2" applyNumberFormat="1" applyFont="1" applyFill="1" applyBorder="1" applyProtection="1"/>
    <xf numFmtId="3" fontId="43" fillId="6" borderId="6" xfId="15" applyNumberFormat="1" applyFont="1" applyFill="1" applyBorder="1" applyAlignment="1" applyProtection="1">
      <alignment vertical="center" wrapText="1"/>
      <protection locked="0"/>
    </xf>
    <xf numFmtId="3" fontId="43" fillId="6" borderId="6" xfId="15" applyNumberFormat="1" applyFont="1" applyFill="1" applyBorder="1" applyAlignment="1" applyProtection="1">
      <alignment horizontal="center" vertical="center"/>
      <protection hidden="1"/>
    </xf>
    <xf numFmtId="43" fontId="31" fillId="0" borderId="6" xfId="2" applyFont="1" applyBorder="1" applyProtection="1"/>
    <xf numFmtId="164" fontId="31" fillId="0" borderId="6" xfId="2" applyNumberFormat="1" applyFont="1" applyBorder="1" applyProtection="1"/>
    <xf numFmtId="3" fontId="31" fillId="0" borderId="0" xfId="16" applyNumberFormat="1" applyFont="1" applyFill="1" applyBorder="1" applyAlignment="1" applyProtection="1">
      <alignment horizontal="left"/>
      <protection locked="0"/>
    </xf>
    <xf numFmtId="164" fontId="31" fillId="0" borderId="8" xfId="2" applyNumberFormat="1" applyFont="1" applyBorder="1" applyAlignment="1" applyProtection="1">
      <alignment vertical="center" wrapText="1"/>
      <protection hidden="1"/>
    </xf>
    <xf numFmtId="3" fontId="31" fillId="0" borderId="8" xfId="16" applyNumberFormat="1" applyFont="1" applyFill="1" applyBorder="1" applyAlignment="1" applyProtection="1">
      <alignment horizontal="right"/>
      <protection hidden="1"/>
    </xf>
    <xf numFmtId="3" fontId="31" fillId="6" borderId="6" xfId="16" applyNumberFormat="1" applyFont="1" applyFill="1" applyBorder="1" applyAlignment="1" applyProtection="1">
      <alignment horizontal="right" vertical="center"/>
      <protection hidden="1"/>
    </xf>
    <xf numFmtId="3" fontId="31" fillId="6" borderId="6" xfId="15" applyNumberFormat="1" applyFont="1" applyFill="1" applyBorder="1" applyAlignment="1" applyProtection="1">
      <alignment horizontal="center" vertical="center"/>
      <protection hidden="1"/>
    </xf>
    <xf numFmtId="3" fontId="31" fillId="0" borderId="14" xfId="15" applyNumberFormat="1" applyFont="1" applyFill="1" applyBorder="1" applyAlignment="1" applyProtection="1">
      <alignment horizontal="center"/>
      <protection hidden="1"/>
    </xf>
    <xf numFmtId="3" fontId="31" fillId="0" borderId="14" xfId="16" applyNumberFormat="1" applyFont="1" applyFill="1" applyBorder="1" applyAlignment="1" applyProtection="1">
      <alignment horizontal="right"/>
      <protection hidden="1"/>
    </xf>
    <xf numFmtId="0" fontId="31" fillId="0" borderId="0" xfId="0" applyFont="1" applyFill="1" applyBorder="1" applyProtection="1">
      <protection locked="0"/>
    </xf>
    <xf numFmtId="43" fontId="31" fillId="0" borderId="6" xfId="2" applyFont="1" applyFill="1" applyBorder="1" applyProtection="1">
      <protection locked="0"/>
    </xf>
    <xf numFmtId="3" fontId="31" fillId="6" borderId="65" xfId="16" applyNumberFormat="1" applyFont="1" applyFill="1" applyBorder="1" applyAlignment="1" applyProtection="1">
      <alignment horizontal="right" vertical="center"/>
      <protection hidden="1"/>
    </xf>
    <xf numFmtId="3" fontId="31" fillId="0" borderId="38" xfId="16" applyNumberFormat="1" applyFont="1" applyFill="1" applyBorder="1" applyAlignment="1" applyProtection="1">
      <alignment horizontal="right"/>
      <protection hidden="1"/>
    </xf>
    <xf numFmtId="164" fontId="31" fillId="0" borderId="42" xfId="2" applyNumberFormat="1" applyFont="1" applyBorder="1" applyAlignment="1" applyProtection="1">
      <alignment horizontal="center"/>
      <protection hidden="1"/>
    </xf>
    <xf numFmtId="164" fontId="31" fillId="0" borderId="42" xfId="2" applyNumberFormat="1" applyFont="1" applyBorder="1" applyAlignment="1" applyProtection="1">
      <alignment vertical="center" wrapText="1"/>
      <protection hidden="1"/>
    </xf>
    <xf numFmtId="164" fontId="31" fillId="0" borderId="83" xfId="2" applyNumberFormat="1" applyFont="1" applyBorder="1" applyAlignment="1" applyProtection="1">
      <protection hidden="1"/>
    </xf>
    <xf numFmtId="3" fontId="31" fillId="0" borderId="42" xfId="15" applyNumberFormat="1" applyFont="1" applyFill="1" applyBorder="1" applyAlignment="1" applyProtection="1">
      <alignment horizontal="center"/>
      <protection hidden="1"/>
    </xf>
    <xf numFmtId="3" fontId="31" fillId="0" borderId="3" xfId="15" applyNumberFormat="1" applyFont="1" applyFill="1" applyBorder="1" applyProtection="1">
      <protection hidden="1"/>
    </xf>
    <xf numFmtId="3" fontId="31" fillId="0" borderId="2" xfId="15" applyNumberFormat="1" applyFont="1" applyFill="1" applyBorder="1" applyProtection="1">
      <protection hidden="1"/>
    </xf>
    <xf numFmtId="3" fontId="43" fillId="0" borderId="52" xfId="15" applyNumberFormat="1" applyFont="1" applyFill="1" applyBorder="1" applyAlignment="1" applyProtection="1">
      <alignment horizontal="center" vertical="center" wrapText="1"/>
      <protection locked="0"/>
    </xf>
    <xf numFmtId="3" fontId="31" fillId="0" borderId="2" xfId="15" applyNumberFormat="1" applyFont="1" applyFill="1" applyBorder="1" applyAlignment="1" applyProtection="1">
      <alignment horizontal="center"/>
      <protection hidden="1"/>
    </xf>
    <xf numFmtId="164" fontId="43" fillId="0" borderId="3" xfId="2" applyNumberFormat="1" applyFont="1" applyBorder="1" applyAlignment="1">
      <alignment vertical="center"/>
    </xf>
    <xf numFmtId="3" fontId="43" fillId="0" borderId="3" xfId="15" applyNumberFormat="1" applyFont="1" applyFill="1" applyBorder="1" applyProtection="1">
      <protection hidden="1"/>
    </xf>
    <xf numFmtId="49" fontId="31" fillId="6" borderId="82" xfId="15" applyNumberFormat="1" applyFont="1" applyFill="1" applyBorder="1" applyAlignment="1" applyProtection="1">
      <alignment horizontal="center" vertical="center"/>
      <protection hidden="1"/>
    </xf>
    <xf numFmtId="49" fontId="31" fillId="0" borderId="38" xfId="15" applyNumberFormat="1" applyFont="1" applyFill="1" applyBorder="1" applyAlignment="1" applyProtection="1">
      <alignment horizontal="center"/>
      <protection hidden="1"/>
    </xf>
    <xf numFmtId="177" fontId="31" fillId="0" borderId="15" xfId="0" applyNumberFormat="1" applyFont="1" applyBorder="1" applyAlignment="1" applyProtection="1">
      <alignment horizontal="right"/>
      <protection hidden="1"/>
    </xf>
    <xf numFmtId="0" fontId="31" fillId="0" borderId="0" xfId="0" applyFont="1" applyFill="1" applyBorder="1" applyAlignment="1" applyProtection="1">
      <alignment horizontal="left"/>
      <protection locked="0"/>
    </xf>
    <xf numFmtId="164" fontId="31" fillId="0" borderId="6" xfId="2" applyNumberFormat="1" applyFont="1" applyFill="1" applyBorder="1" applyProtection="1">
      <protection locked="0"/>
    </xf>
    <xf numFmtId="167" fontId="31" fillId="0" borderId="6" xfId="2" applyNumberFormat="1" applyFont="1" applyFill="1" applyBorder="1" applyProtection="1">
      <protection locked="0"/>
    </xf>
    <xf numFmtId="175" fontId="31" fillId="0" borderId="6" xfId="2" applyNumberFormat="1" applyFont="1" applyFill="1" applyBorder="1" applyProtection="1">
      <protection locked="0"/>
    </xf>
    <xf numFmtId="43" fontId="31" fillId="0" borderId="6" xfId="2" applyNumberFormat="1" applyFont="1" applyFill="1" applyBorder="1" applyProtection="1">
      <protection locked="0"/>
    </xf>
    <xf numFmtId="167" fontId="31" fillId="0" borderId="6" xfId="2" applyNumberFormat="1" applyFont="1" applyBorder="1" applyProtection="1">
      <protection locked="0"/>
    </xf>
    <xf numFmtId="4" fontId="31" fillId="0" borderId="0" xfId="16" applyNumberFormat="1" applyFont="1" applyFill="1" applyProtection="1">
      <protection locked="0"/>
    </xf>
    <xf numFmtId="3" fontId="43" fillId="6" borderId="6" xfId="15" applyNumberFormat="1" applyFont="1" applyFill="1" applyBorder="1" applyAlignment="1" applyProtection="1">
      <alignment horizontal="center"/>
      <protection hidden="1"/>
    </xf>
    <xf numFmtId="164" fontId="31" fillId="6" borderId="6" xfId="2" applyNumberFormat="1" applyFont="1" applyFill="1" applyBorder="1" applyAlignment="1" applyProtection="1">
      <alignment horizontal="center"/>
      <protection hidden="1"/>
    </xf>
    <xf numFmtId="3" fontId="31" fillId="6" borderId="6" xfId="16" applyNumberFormat="1" applyFont="1" applyFill="1" applyBorder="1" applyAlignment="1" applyProtection="1">
      <alignment horizontal="right"/>
      <protection hidden="1"/>
    </xf>
    <xf numFmtId="164" fontId="31" fillId="6" borderId="6" xfId="2" applyNumberFormat="1" applyFont="1" applyFill="1" applyBorder="1" applyAlignment="1" applyProtection="1">
      <protection hidden="1"/>
    </xf>
    <xf numFmtId="3" fontId="31" fillId="6" borderId="6" xfId="15" applyNumberFormat="1" applyFont="1" applyFill="1" applyBorder="1" applyAlignment="1" applyProtection="1">
      <alignment horizontal="center"/>
      <protection hidden="1"/>
    </xf>
    <xf numFmtId="3" fontId="43" fillId="0" borderId="2" xfId="15" applyNumberFormat="1" applyFont="1" applyFill="1" applyBorder="1" applyAlignment="1" applyProtection="1">
      <alignment horizontal="centerContinuous" vertical="center"/>
      <protection hidden="1"/>
    </xf>
    <xf numFmtId="3" fontId="31" fillId="6" borderId="43" xfId="15" applyNumberFormat="1" applyFont="1" applyFill="1" applyBorder="1" applyAlignment="1" applyProtection="1">
      <alignment horizontal="center"/>
      <protection hidden="1"/>
    </xf>
    <xf numFmtId="49" fontId="31" fillId="6" borderId="43" xfId="15" applyNumberFormat="1" applyFont="1" applyFill="1" applyBorder="1" applyAlignment="1" applyProtection="1">
      <alignment horizontal="center"/>
      <protection hidden="1"/>
    </xf>
    <xf numFmtId="3" fontId="31" fillId="6" borderId="43" xfId="16" applyNumberFormat="1" applyFont="1" applyFill="1" applyBorder="1" applyAlignment="1" applyProtection="1">
      <alignment horizontal="center"/>
      <protection hidden="1"/>
    </xf>
    <xf numFmtId="3" fontId="31" fillId="6" borderId="43" xfId="15" applyNumberFormat="1" applyFont="1" applyFill="1" applyBorder="1" applyAlignment="1" applyProtection="1">
      <alignment horizontal="centerContinuous"/>
      <protection hidden="1"/>
    </xf>
    <xf numFmtId="3" fontId="31" fillId="6" borderId="82" xfId="15" applyNumberFormat="1" applyFont="1" applyFill="1" applyBorder="1" applyAlignment="1" applyProtection="1">
      <alignment horizontal="centerContinuous"/>
      <protection hidden="1"/>
    </xf>
    <xf numFmtId="3" fontId="43" fillId="6" borderId="43" xfId="15" applyNumberFormat="1" applyFont="1" applyFill="1" applyBorder="1" applyAlignment="1" applyProtection="1">
      <alignment horizontal="centerContinuous"/>
      <protection hidden="1"/>
    </xf>
    <xf numFmtId="3" fontId="43" fillId="6" borderId="43" xfId="15" applyNumberFormat="1" applyFont="1" applyFill="1" applyBorder="1" applyAlignment="1" applyProtection="1">
      <alignment horizontal="center"/>
      <protection hidden="1"/>
    </xf>
    <xf numFmtId="169" fontId="31" fillId="0" borderId="6" xfId="2" applyNumberFormat="1" applyFont="1" applyBorder="1" applyAlignment="1" applyProtection="1">
      <alignment horizontal="center"/>
      <protection hidden="1"/>
    </xf>
    <xf numFmtId="43" fontId="31" fillId="0" borderId="6" xfId="2" applyNumberFormat="1" applyFont="1" applyBorder="1" applyProtection="1">
      <protection locked="0"/>
    </xf>
    <xf numFmtId="43" fontId="31" fillId="10" borderId="6" xfId="2" applyNumberFormat="1" applyFont="1" applyFill="1" applyBorder="1" applyProtection="1">
      <protection locked="0"/>
    </xf>
    <xf numFmtId="1" fontId="43" fillId="6" borderId="6" xfId="2" applyNumberFormat="1" applyFont="1" applyFill="1" applyBorder="1" applyAlignment="1" applyProtection="1">
      <alignment horizontal="center"/>
      <protection hidden="1"/>
    </xf>
    <xf numFmtId="3" fontId="43" fillId="6" borderId="6" xfId="0" applyNumberFormat="1" applyFont="1" applyFill="1" applyBorder="1" applyAlignment="1">
      <alignment horizontal="center"/>
    </xf>
    <xf numFmtId="3" fontId="31" fillId="6" borderId="6" xfId="0" applyNumberFormat="1" applyFont="1" applyFill="1" applyBorder="1" applyAlignment="1" applyProtection="1">
      <alignment horizontal="center"/>
      <protection hidden="1"/>
    </xf>
    <xf numFmtId="3" fontId="31" fillId="6" borderId="6" xfId="15" applyNumberFormat="1" applyFont="1" applyFill="1" applyBorder="1" applyAlignment="1" applyProtection="1">
      <alignment horizontal="right"/>
      <protection hidden="1"/>
    </xf>
    <xf numFmtId="167" fontId="31" fillId="5" borderId="6" xfId="2" applyNumberFormat="1" applyFont="1" applyFill="1" applyBorder="1" applyProtection="1">
      <protection locked="0"/>
    </xf>
    <xf numFmtId="3" fontId="43" fillId="0" borderId="52" xfId="15" applyNumberFormat="1" applyFont="1" applyFill="1" applyBorder="1" applyAlignment="1" applyProtection="1">
      <alignment horizontal="centerContinuous"/>
      <protection locked="0"/>
    </xf>
    <xf numFmtId="0" fontId="31" fillId="0" borderId="0" xfId="0" applyFont="1" applyBorder="1" applyAlignment="1"/>
    <xf numFmtId="0" fontId="45" fillId="8" borderId="2" xfId="0" applyFont="1" applyFill="1" applyBorder="1" applyAlignment="1">
      <alignment horizontal="center"/>
    </xf>
    <xf numFmtId="0" fontId="45" fillId="8" borderId="59" xfId="0" applyFont="1" applyFill="1" applyBorder="1" applyAlignment="1">
      <alignment horizontal="center"/>
    </xf>
    <xf numFmtId="0" fontId="31" fillId="0" borderId="26" xfId="0" applyFont="1" applyBorder="1" applyAlignment="1" applyProtection="1">
      <alignment horizontal="left" vertical="center"/>
      <protection locked="0"/>
    </xf>
    <xf numFmtId="1" fontId="31" fillId="0" borderId="6" xfId="2" applyNumberFormat="1" applyFont="1" applyBorder="1" applyAlignment="1" applyProtection="1">
      <alignment horizontal="center" vertical="center"/>
      <protection hidden="1"/>
    </xf>
    <xf numFmtId="164" fontId="31" fillId="0" borderId="6" xfId="2" applyNumberFormat="1" applyFont="1" applyBorder="1" applyAlignment="1" applyProtection="1">
      <alignment horizontal="center" vertical="center"/>
      <protection hidden="1"/>
    </xf>
    <xf numFmtId="164" fontId="31" fillId="0" borderId="6" xfId="2" applyNumberFormat="1" applyFont="1" applyBorder="1" applyAlignment="1" applyProtection="1">
      <alignment vertical="center"/>
      <protection hidden="1"/>
    </xf>
    <xf numFmtId="3" fontId="31" fillId="0" borderId="6" xfId="16" applyNumberFormat="1" applyFont="1" applyFill="1" applyBorder="1" applyAlignment="1" applyProtection="1">
      <alignment horizontal="right" vertical="center"/>
      <protection hidden="1"/>
    </xf>
    <xf numFmtId="3" fontId="31" fillId="0" borderId="6" xfId="15" applyNumberFormat="1" applyFont="1" applyFill="1" applyBorder="1" applyAlignment="1" applyProtection="1">
      <alignment horizontal="center" vertical="center"/>
      <protection hidden="1"/>
    </xf>
    <xf numFmtId="0" fontId="48" fillId="16" borderId="0" xfId="0" applyFont="1" applyFill="1"/>
    <xf numFmtId="0" fontId="48" fillId="16" borderId="0" xfId="0" applyFont="1" applyFill="1" applyBorder="1"/>
    <xf numFmtId="0" fontId="49" fillId="16" borderId="0" xfId="0" applyFont="1" applyFill="1"/>
    <xf numFmtId="0" fontId="50" fillId="16" borderId="0" xfId="0" applyFont="1" applyFill="1"/>
    <xf numFmtId="0" fontId="36" fillId="11" borderId="86" xfId="0" applyFont="1" applyFill="1" applyBorder="1" applyAlignment="1">
      <alignment horizontal="center"/>
    </xf>
    <xf numFmtId="0" fontId="36" fillId="11" borderId="87" xfId="0" applyFont="1" applyFill="1" applyBorder="1" applyAlignment="1">
      <alignment horizontal="center"/>
    </xf>
    <xf numFmtId="0" fontId="36" fillId="11" borderId="88" xfId="0" applyFont="1" applyFill="1" applyBorder="1" applyAlignment="1">
      <alignment horizontal="center"/>
    </xf>
    <xf numFmtId="0" fontId="51" fillId="6" borderId="89" xfId="0" applyFont="1" applyFill="1" applyBorder="1" applyAlignment="1">
      <alignment horizontal="center"/>
    </xf>
    <xf numFmtId="0" fontId="51" fillId="6" borderId="90" xfId="0" applyFont="1" applyFill="1" applyBorder="1" applyAlignment="1">
      <alignment horizontal="left"/>
    </xf>
    <xf numFmtId="0" fontId="51" fillId="6" borderId="91" xfId="0" applyFont="1" applyFill="1" applyBorder="1" applyAlignment="1">
      <alignment horizontal="center"/>
    </xf>
    <xf numFmtId="0" fontId="36" fillId="6" borderId="91" xfId="0" applyFont="1" applyFill="1" applyBorder="1" applyAlignment="1">
      <alignment horizontal="center"/>
    </xf>
    <xf numFmtId="0" fontId="36" fillId="6" borderId="92" xfId="0" applyFont="1" applyFill="1" applyBorder="1" applyAlignment="1">
      <alignment horizontal="center"/>
    </xf>
    <xf numFmtId="0" fontId="51" fillId="6" borderId="93" xfId="0" applyFont="1" applyFill="1" applyBorder="1" applyAlignment="1">
      <alignment horizontal="center" vertical="center"/>
    </xf>
    <xf numFmtId="0" fontId="51" fillId="6" borderId="0" xfId="0" applyFont="1" applyFill="1" applyBorder="1" applyAlignment="1">
      <alignment horizontal="left"/>
    </xf>
    <xf numFmtId="0" fontId="36" fillId="6" borderId="0" xfId="0" applyFont="1" applyFill="1" applyBorder="1" applyAlignment="1">
      <alignment horizontal="center"/>
    </xf>
    <xf numFmtId="0" fontId="36" fillId="6" borderId="94" xfId="0" applyFont="1" applyFill="1" applyBorder="1" applyAlignment="1">
      <alignment horizontal="center"/>
    </xf>
    <xf numFmtId="0" fontId="51" fillId="6" borderId="95" xfId="0" applyFont="1" applyFill="1" applyBorder="1" applyAlignment="1">
      <alignment horizontal="center" vertical="center"/>
    </xf>
    <xf numFmtId="0" fontId="36" fillId="6" borderId="96" xfId="0" applyFont="1" applyFill="1" applyBorder="1" applyAlignment="1">
      <alignment horizontal="center"/>
    </xf>
    <xf numFmtId="0" fontId="36" fillId="6" borderId="97" xfId="0" applyFont="1" applyFill="1" applyBorder="1" applyAlignment="1">
      <alignment horizontal="center"/>
    </xf>
    <xf numFmtId="49" fontId="44" fillId="6" borderId="98" xfId="0" applyNumberFormat="1" applyFont="1" applyFill="1" applyBorder="1" applyAlignment="1">
      <alignment horizontal="left" indent="1"/>
    </xf>
    <xf numFmtId="0" fontId="44" fillId="6" borderId="99" xfId="0" applyFont="1" applyFill="1" applyBorder="1"/>
    <xf numFmtId="0" fontId="51" fillId="6" borderId="98" xfId="0" applyFont="1" applyFill="1" applyBorder="1" applyAlignment="1">
      <alignment horizontal="left"/>
    </xf>
    <xf numFmtId="0" fontId="51" fillId="6" borderId="99" xfId="0" applyFont="1" applyFill="1" applyBorder="1" applyAlignment="1">
      <alignment horizontal="left"/>
    </xf>
    <xf numFmtId="0" fontId="51" fillId="6" borderId="100" xfId="0" applyFont="1" applyFill="1" applyBorder="1" applyAlignment="1">
      <alignment horizontal="left"/>
    </xf>
    <xf numFmtId="0" fontId="52" fillId="16" borderId="0" xfId="0" applyFont="1" applyFill="1" applyAlignment="1">
      <alignment horizontal="center" vertical="center"/>
    </xf>
    <xf numFmtId="0" fontId="52" fillId="17" borderId="0" xfId="0" applyFont="1" applyFill="1" applyAlignment="1">
      <alignment horizontal="center" vertical="center"/>
    </xf>
    <xf numFmtId="49" fontId="44" fillId="6" borderId="101" xfId="0" applyNumberFormat="1" applyFont="1" applyFill="1" applyBorder="1" applyAlignment="1">
      <alignment horizontal="left" indent="1"/>
    </xf>
    <xf numFmtId="0" fontId="44" fillId="6" borderId="102" xfId="0" applyFont="1" applyFill="1" applyBorder="1"/>
    <xf numFmtId="0" fontId="51" fillId="6" borderId="101" xfId="0" applyFont="1" applyFill="1" applyBorder="1" applyAlignment="1">
      <alignment horizontal="left"/>
    </xf>
    <xf numFmtId="0" fontId="51" fillId="6" borderId="102" xfId="0" applyFont="1" applyFill="1" applyBorder="1" applyAlignment="1">
      <alignment horizontal="left"/>
    </xf>
    <xf numFmtId="0" fontId="51" fillId="6" borderId="103" xfId="0" applyFont="1" applyFill="1" applyBorder="1" applyAlignment="1">
      <alignment horizontal="left"/>
    </xf>
    <xf numFmtId="0" fontId="31" fillId="13" borderId="104" xfId="0" applyFont="1" applyFill="1" applyBorder="1"/>
    <xf numFmtId="0" fontId="53" fillId="17" borderId="105" xfId="0" applyFont="1" applyFill="1" applyBorder="1"/>
    <xf numFmtId="0" fontId="53" fillId="18" borderId="105" xfId="0" applyFont="1" applyFill="1" applyBorder="1"/>
    <xf numFmtId="49" fontId="44" fillId="6" borderId="106" xfId="0" applyNumberFormat="1" applyFont="1" applyFill="1" applyBorder="1" applyAlignment="1">
      <alignment horizontal="left" indent="1"/>
    </xf>
    <xf numFmtId="0" fontId="44" fillId="6" borderId="107" xfId="0" applyFont="1" applyFill="1" applyBorder="1"/>
    <xf numFmtId="0" fontId="51" fillId="6" borderId="106" xfId="0" applyFont="1" applyFill="1" applyBorder="1" applyAlignment="1">
      <alignment horizontal="left"/>
    </xf>
    <xf numFmtId="0" fontId="51" fillId="6" borderId="107" xfId="0" applyFont="1" applyFill="1" applyBorder="1" applyAlignment="1">
      <alignment horizontal="left"/>
    </xf>
    <xf numFmtId="0" fontId="51" fillId="6" borderId="108" xfId="0" applyFont="1" applyFill="1" applyBorder="1" applyAlignment="1">
      <alignment horizontal="left"/>
    </xf>
    <xf numFmtId="0" fontId="31" fillId="13" borderId="109" xfId="0" applyFont="1" applyFill="1" applyBorder="1"/>
    <xf numFmtId="0" fontId="54" fillId="17" borderId="105" xfId="0" applyFont="1" applyFill="1" applyBorder="1"/>
    <xf numFmtId="0" fontId="54" fillId="18" borderId="105" xfId="0" applyFont="1" applyFill="1" applyBorder="1"/>
    <xf numFmtId="0" fontId="25" fillId="9" borderId="110" xfId="0" quotePrefix="1" applyFont="1" applyFill="1" applyBorder="1" applyAlignment="1">
      <alignment horizontal="left" indent="1"/>
    </xf>
    <xf numFmtId="0" fontId="25" fillId="9" borderId="111" xfId="0" applyFont="1" applyFill="1" applyBorder="1"/>
    <xf numFmtId="0" fontId="25" fillId="9" borderId="111" xfId="0" applyFont="1" applyFill="1" applyBorder="1" applyAlignment="1">
      <alignment horizontal="left" indent="1"/>
    </xf>
    <xf numFmtId="3" fontId="55" fillId="19" borderId="111" xfId="0" applyNumberFormat="1" applyFont="1" applyFill="1" applyBorder="1"/>
    <xf numFmtId="0" fontId="25" fillId="9" borderId="112" xfId="0" applyFont="1" applyFill="1" applyBorder="1"/>
    <xf numFmtId="0" fontId="25" fillId="9" borderId="113" xfId="0" quotePrefix="1" applyFont="1" applyFill="1" applyBorder="1" applyAlignment="1">
      <alignment horizontal="left" indent="1"/>
    </xf>
    <xf numFmtId="0" fontId="25" fillId="9" borderId="114" xfId="0" applyFont="1" applyFill="1" applyBorder="1"/>
    <xf numFmtId="0" fontId="25" fillId="9" borderId="114" xfId="0" applyFont="1" applyFill="1" applyBorder="1" applyAlignment="1">
      <alignment horizontal="left" indent="1"/>
    </xf>
    <xf numFmtId="3" fontId="36" fillId="0" borderId="114" xfId="0" applyNumberFormat="1" applyFont="1" applyFill="1" applyBorder="1"/>
    <xf numFmtId="0" fontId="25" fillId="9" borderId="115" xfId="0" applyFont="1" applyFill="1" applyBorder="1"/>
    <xf numFmtId="49" fontId="25" fillId="9" borderId="116" xfId="0" quotePrefix="1" applyNumberFormat="1" applyFont="1" applyFill="1" applyBorder="1" applyAlignment="1">
      <alignment horizontal="left" indent="1"/>
    </xf>
    <xf numFmtId="0" fontId="25" fillId="9" borderId="117" xfId="0" applyFont="1" applyFill="1" applyBorder="1"/>
    <xf numFmtId="0" fontId="25" fillId="9" borderId="117" xfId="0" applyFont="1" applyFill="1" applyBorder="1" applyAlignment="1">
      <alignment horizontal="left" indent="1"/>
    </xf>
    <xf numFmtId="3" fontId="55" fillId="19" borderId="117" xfId="0" applyNumberFormat="1" applyFont="1" applyFill="1" applyBorder="1" applyAlignment="1">
      <alignment horizontal="center"/>
    </xf>
    <xf numFmtId="0" fontId="25" fillId="9" borderId="118" xfId="0" applyFont="1" applyFill="1" applyBorder="1"/>
    <xf numFmtId="49" fontId="25" fillId="9" borderId="119" xfId="0" quotePrefix="1" applyNumberFormat="1" applyFont="1" applyFill="1" applyBorder="1" applyAlignment="1">
      <alignment horizontal="left" indent="1"/>
    </xf>
    <xf numFmtId="0" fontId="25" fillId="9" borderId="120" xfId="0" applyFont="1" applyFill="1" applyBorder="1"/>
    <xf numFmtId="0" fontId="25" fillId="9" borderId="120" xfId="0" applyFont="1" applyFill="1" applyBorder="1" applyAlignment="1">
      <alignment horizontal="left" indent="1"/>
    </xf>
    <xf numFmtId="3" fontId="55" fillId="19" borderId="120" xfId="0" applyNumberFormat="1" applyFont="1" applyFill="1" applyBorder="1" applyAlignment="1">
      <alignment horizontal="center"/>
    </xf>
    <xf numFmtId="0" fontId="25" fillId="9" borderId="121" xfId="0" applyFont="1" applyFill="1" applyBorder="1"/>
    <xf numFmtId="4" fontId="55" fillId="19" borderId="120" xfId="0" applyNumberFormat="1" applyFont="1" applyFill="1" applyBorder="1" applyAlignment="1">
      <alignment horizontal="center"/>
    </xf>
    <xf numFmtId="49" fontId="25" fillId="9" borderId="122" xfId="0" quotePrefix="1" applyNumberFormat="1" applyFont="1" applyFill="1" applyBorder="1" applyAlignment="1">
      <alignment horizontal="left" indent="1"/>
    </xf>
    <xf numFmtId="0" fontId="25" fillId="9" borderId="123" xfId="0" applyFont="1" applyFill="1" applyBorder="1"/>
    <xf numFmtId="0" fontId="25" fillId="9" borderId="123" xfId="0" applyFont="1" applyFill="1" applyBorder="1" applyAlignment="1">
      <alignment horizontal="left" indent="1"/>
    </xf>
    <xf numFmtId="3" fontId="55" fillId="19" borderId="123" xfId="0" applyNumberFormat="1" applyFont="1" applyFill="1" applyBorder="1" applyAlignment="1">
      <alignment horizontal="center"/>
    </xf>
    <xf numFmtId="0" fontId="25" fillId="9" borderId="124" xfId="0" applyFont="1" applyFill="1" applyBorder="1"/>
    <xf numFmtId="179" fontId="53" fillId="17" borderId="105" xfId="0" applyNumberFormat="1" applyFont="1" applyFill="1" applyBorder="1"/>
    <xf numFmtId="0" fontId="31" fillId="13" borderId="125" xfId="0" applyFont="1" applyFill="1" applyBorder="1"/>
    <xf numFmtId="3" fontId="31" fillId="17" borderId="126" xfId="0" applyNumberFormat="1" applyFont="1" applyFill="1" applyBorder="1"/>
    <xf numFmtId="3" fontId="31" fillId="18" borderId="126" xfId="0" applyNumberFormat="1" applyFont="1" applyFill="1" applyBorder="1"/>
    <xf numFmtId="49" fontId="25" fillId="9" borderId="110" xfId="0" quotePrefix="1" applyNumberFormat="1" applyFont="1" applyFill="1" applyBorder="1" applyAlignment="1">
      <alignment horizontal="left" indent="1"/>
    </xf>
    <xf numFmtId="0" fontId="25" fillId="9" borderId="0" xfId="0" applyFont="1" applyFill="1" applyBorder="1"/>
    <xf numFmtId="0" fontId="25" fillId="9" borderId="0" xfId="0" applyFont="1" applyFill="1" applyBorder="1" applyAlignment="1">
      <alignment horizontal="left" indent="1"/>
    </xf>
    <xf numFmtId="3" fontId="55" fillId="19" borderId="0" xfId="0" applyNumberFormat="1" applyFont="1" applyFill="1" applyBorder="1" applyAlignment="1">
      <alignment horizontal="center"/>
    </xf>
    <xf numFmtId="0" fontId="25" fillId="9" borderId="127" xfId="0" applyFont="1" applyFill="1" applyBorder="1"/>
    <xf numFmtId="0" fontId="31" fillId="13" borderId="128" xfId="0" applyFont="1" applyFill="1" applyBorder="1"/>
    <xf numFmtId="3" fontId="31" fillId="17" borderId="129" xfId="0" applyNumberFormat="1" applyFont="1" applyFill="1" applyBorder="1"/>
    <xf numFmtId="3" fontId="31" fillId="18" borderId="129" xfId="0" applyNumberFormat="1" applyFont="1" applyFill="1" applyBorder="1"/>
    <xf numFmtId="49" fontId="25" fillId="9" borderId="130" xfId="0" applyNumberFormat="1" applyFont="1" applyFill="1" applyBorder="1" applyAlignment="1">
      <alignment horizontal="left" indent="1"/>
    </xf>
    <xf numFmtId="3" fontId="55" fillId="19" borderId="114" xfId="0" applyNumberFormat="1" applyFont="1" applyFill="1" applyBorder="1" applyAlignment="1">
      <alignment horizontal="center"/>
    </xf>
    <xf numFmtId="0" fontId="31" fillId="13" borderId="131" xfId="0" applyFont="1" applyFill="1" applyBorder="1"/>
    <xf numFmtId="0" fontId="31" fillId="13" borderId="0" xfId="0" applyFont="1" applyFill="1" applyBorder="1"/>
    <xf numFmtId="4" fontId="31" fillId="15" borderId="0" xfId="0" applyNumberFormat="1" applyFont="1" applyFill="1" applyBorder="1"/>
    <xf numFmtId="0" fontId="48" fillId="17" borderId="0" xfId="0" applyFont="1" applyFill="1"/>
    <xf numFmtId="0" fontId="48" fillId="18" borderId="0" xfId="0" applyFont="1" applyFill="1"/>
    <xf numFmtId="49" fontId="25" fillId="9" borderId="132" xfId="0" applyNumberFormat="1" applyFont="1" applyFill="1" applyBorder="1" applyAlignment="1">
      <alignment horizontal="left" indent="1"/>
    </xf>
    <xf numFmtId="0" fontId="25" fillId="9" borderId="133" xfId="0" applyFont="1" applyFill="1" applyBorder="1"/>
    <xf numFmtId="0" fontId="25" fillId="9" borderId="133" xfId="0" applyFont="1" applyFill="1" applyBorder="1" applyAlignment="1">
      <alignment horizontal="right"/>
    </xf>
    <xf numFmtId="3" fontId="55" fillId="19" borderId="133" xfId="0" applyNumberFormat="1" applyFont="1" applyFill="1" applyBorder="1" applyAlignment="1">
      <alignment horizontal="center"/>
    </xf>
    <xf numFmtId="0" fontId="25" fillId="9" borderId="134" xfId="0" applyFont="1" applyFill="1" applyBorder="1"/>
    <xf numFmtId="0" fontId="25" fillId="9" borderId="114" xfId="0" applyFont="1" applyFill="1" applyBorder="1" applyAlignment="1">
      <alignment horizontal="right"/>
    </xf>
    <xf numFmtId="0" fontId="25" fillId="9" borderId="135" xfId="0" quotePrefix="1" applyFont="1" applyFill="1" applyBorder="1" applyAlignment="1">
      <alignment horizontal="left" indent="1"/>
    </xf>
    <xf numFmtId="0" fontId="25" fillId="9" borderId="136" xfId="0" applyFont="1" applyFill="1" applyBorder="1"/>
    <xf numFmtId="0" fontId="25" fillId="9" borderId="136" xfId="0" applyFont="1" applyFill="1" applyBorder="1" applyAlignment="1">
      <alignment horizontal="left" indent="1"/>
    </xf>
    <xf numFmtId="3" fontId="55" fillId="19" borderId="137" xfId="0" applyNumberFormat="1" applyFont="1" applyFill="1" applyBorder="1" applyAlignment="1">
      <alignment horizontal="center"/>
    </xf>
    <xf numFmtId="0" fontId="25" fillId="9" borderId="138" xfId="0" applyFont="1" applyFill="1" applyBorder="1"/>
    <xf numFmtId="0" fontId="25" fillId="9" borderId="139" xfId="0" quotePrefix="1" applyFont="1" applyFill="1" applyBorder="1" applyAlignment="1">
      <alignment horizontal="left" indent="1"/>
    </xf>
    <xf numFmtId="0" fontId="25" fillId="9" borderId="140" xfId="0" applyFont="1" applyFill="1" applyBorder="1"/>
    <xf numFmtId="0" fontId="25" fillId="9" borderId="140" xfId="0" applyFont="1" applyFill="1" applyBorder="1" applyAlignment="1">
      <alignment horizontal="left" indent="1"/>
    </xf>
    <xf numFmtId="3" fontId="55" fillId="19" borderId="141" xfId="0" applyNumberFormat="1" applyFont="1" applyFill="1" applyBorder="1" applyAlignment="1">
      <alignment horizontal="center"/>
    </xf>
    <xf numFmtId="0" fontId="25" fillId="9" borderId="142" xfId="0" applyFont="1" applyFill="1" applyBorder="1"/>
    <xf numFmtId="0" fontId="55" fillId="19" borderId="111" xfId="0" applyFont="1" applyFill="1" applyBorder="1" applyAlignment="1">
      <alignment horizontal="center"/>
    </xf>
    <xf numFmtId="0" fontId="55" fillId="19" borderId="114" xfId="0" applyFont="1" applyFill="1" applyBorder="1" applyAlignment="1">
      <alignment horizontal="center"/>
    </xf>
    <xf numFmtId="0" fontId="56" fillId="9" borderId="132" xfId="0" applyFont="1" applyFill="1" applyBorder="1" applyAlignment="1">
      <alignment horizontal="left" indent="1"/>
    </xf>
    <xf numFmtId="0" fontId="35" fillId="9" borderId="143" xfId="0" applyFont="1" applyFill="1" applyBorder="1" applyAlignment="1">
      <alignment horizontal="center"/>
    </xf>
    <xf numFmtId="0" fontId="56" fillId="9" borderId="132" xfId="0" applyFont="1" applyFill="1" applyBorder="1" applyAlignment="1">
      <alignment horizontal="center"/>
    </xf>
    <xf numFmtId="0" fontId="56" fillId="9" borderId="144" xfId="0" applyFont="1" applyFill="1" applyBorder="1" applyAlignment="1">
      <alignment horizontal="center"/>
    </xf>
    <xf numFmtId="0" fontId="25" fillId="9" borderId="145" xfId="0" applyFont="1" applyFill="1" applyBorder="1" applyAlignment="1">
      <alignment horizontal="left" indent="1"/>
    </xf>
    <xf numFmtId="3" fontId="55" fillId="19" borderId="146" xfId="0" applyNumberFormat="1" applyFont="1" applyFill="1" applyBorder="1" applyAlignment="1">
      <alignment horizontal="center"/>
    </xf>
    <xf numFmtId="0" fontId="25" fillId="9" borderId="145" xfId="0" applyFont="1" applyFill="1" applyBorder="1" applyAlignment="1">
      <alignment horizontal="right"/>
    </xf>
    <xf numFmtId="0" fontId="25" fillId="9" borderId="147" xfId="0" applyFont="1" applyFill="1" applyBorder="1" applyAlignment="1">
      <alignment horizontal="left"/>
    </xf>
    <xf numFmtId="0" fontId="25" fillId="9" borderId="148" xfId="0" applyFont="1" applyFill="1" applyBorder="1"/>
    <xf numFmtId="0" fontId="25" fillId="9" borderId="119" xfId="0" applyFont="1" applyFill="1" applyBorder="1" applyAlignment="1">
      <alignment horizontal="left" indent="1"/>
    </xf>
    <xf numFmtId="3" fontId="55" fillId="19" borderId="149" xfId="0" applyNumberFormat="1" applyFont="1" applyFill="1" applyBorder="1" applyAlignment="1">
      <alignment horizontal="center"/>
    </xf>
    <xf numFmtId="0" fontId="25" fillId="9" borderId="119" xfId="0" applyFont="1" applyFill="1" applyBorder="1" applyAlignment="1">
      <alignment horizontal="right"/>
    </xf>
    <xf numFmtId="0" fontId="25" fillId="9" borderId="120" xfId="0" applyFont="1" applyFill="1" applyBorder="1" applyAlignment="1">
      <alignment horizontal="left"/>
    </xf>
    <xf numFmtId="0" fontId="25" fillId="9" borderId="122" xfId="0" applyFont="1" applyFill="1" applyBorder="1" applyAlignment="1">
      <alignment horizontal="left" indent="1"/>
    </xf>
    <xf numFmtId="3" fontId="55" fillId="19" borderId="150" xfId="0" applyNumberFormat="1" applyFont="1" applyFill="1" applyBorder="1" applyAlignment="1">
      <alignment horizontal="center"/>
    </xf>
    <xf numFmtId="0" fontId="25" fillId="9" borderId="119" xfId="0" applyFont="1" applyFill="1" applyBorder="1"/>
    <xf numFmtId="0" fontId="25" fillId="9" borderId="151" xfId="0" applyFont="1" applyFill="1" applyBorder="1"/>
    <xf numFmtId="0" fontId="25" fillId="9" borderId="152" xfId="0" applyFont="1" applyFill="1" applyBorder="1" applyAlignment="1">
      <alignment horizontal="left"/>
    </xf>
    <xf numFmtId="3" fontId="55" fillId="19" borderId="153" xfId="0" applyNumberFormat="1" applyFont="1" applyFill="1" applyBorder="1" applyAlignment="1">
      <alignment horizontal="center"/>
    </xf>
    <xf numFmtId="0" fontId="25" fillId="9" borderId="154" xfId="0" applyFont="1" applyFill="1" applyBorder="1"/>
    <xf numFmtId="0" fontId="25" fillId="9" borderId="122" xfId="0" applyFont="1" applyFill="1" applyBorder="1"/>
    <xf numFmtId="0" fontId="25" fillId="9" borderId="123" xfId="0" applyFont="1" applyFill="1" applyBorder="1" applyAlignment="1">
      <alignment horizontal="left"/>
    </xf>
    <xf numFmtId="0" fontId="35" fillId="9" borderId="122" xfId="0" applyFont="1" applyFill="1" applyBorder="1"/>
    <xf numFmtId="0" fontId="35" fillId="9" borderId="155" xfId="0" applyFont="1" applyFill="1" applyBorder="1" applyAlignment="1">
      <alignment horizontal="center"/>
    </xf>
    <xf numFmtId="0" fontId="35" fillId="9" borderId="156" xfId="0" applyFont="1" applyFill="1" applyBorder="1" applyAlignment="1">
      <alignment horizontal="center"/>
    </xf>
    <xf numFmtId="0" fontId="56" fillId="9" borderId="156" xfId="0" applyFont="1" applyFill="1" applyBorder="1" applyAlignment="1">
      <alignment horizontal="left" indent="1"/>
    </xf>
    <xf numFmtId="3" fontId="55" fillId="19" borderId="157" xfId="0" applyNumberFormat="1" applyFont="1" applyFill="1" applyBorder="1" applyAlignment="1">
      <alignment horizontal="center"/>
    </xf>
    <xf numFmtId="3" fontId="55" fillId="19" borderId="158" xfId="0" applyNumberFormat="1" applyFont="1" applyFill="1" applyBorder="1" applyAlignment="1">
      <alignment horizontal="center"/>
    </xf>
    <xf numFmtId="0" fontId="25" fillId="9" borderId="158" xfId="0" applyFont="1" applyFill="1" applyBorder="1" applyAlignment="1">
      <alignment horizontal="left" indent="1"/>
    </xf>
    <xf numFmtId="3" fontId="55" fillId="19" borderId="159" xfId="0" applyNumberFormat="1" applyFont="1" applyFill="1" applyBorder="1" applyAlignment="1">
      <alignment horizontal="center"/>
    </xf>
    <xf numFmtId="3" fontId="55" fillId="19" borderId="160" xfId="0" applyNumberFormat="1" applyFont="1" applyFill="1" applyBorder="1" applyAlignment="1">
      <alignment horizontal="center"/>
    </xf>
    <xf numFmtId="0" fontId="25" fillId="9" borderId="160" xfId="0" applyFont="1" applyFill="1" applyBorder="1" applyAlignment="1">
      <alignment horizontal="left" indent="1"/>
    </xf>
    <xf numFmtId="0" fontId="31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2" xfId="2" applyNumberFormat="1" applyFont="1" applyFill="1" applyBorder="1"/>
    <xf numFmtId="0" fontId="31" fillId="0" borderId="6" xfId="11" applyNumberFormat="1" applyFont="1" applyFill="1" applyBorder="1" applyAlignment="1">
      <alignment horizontal="center"/>
    </xf>
    <xf numFmtId="0" fontId="43" fillId="0" borderId="0" xfId="2" applyNumberFormat="1" applyFont="1" applyFill="1" applyBorder="1"/>
    <xf numFmtId="0" fontId="31" fillId="0" borderId="0" xfId="2" applyNumberFormat="1" applyFont="1" applyFill="1" applyBorder="1" applyAlignment="1"/>
    <xf numFmtId="3" fontId="31" fillId="0" borderId="0" xfId="2" applyNumberFormat="1" applyFont="1" applyFill="1" applyBorder="1" applyAlignment="1">
      <alignment horizontal="center"/>
    </xf>
    <xf numFmtId="0" fontId="31" fillId="0" borderId="0" xfId="2" applyNumberFormat="1" applyFont="1" applyFill="1" applyBorder="1" applyAlignment="1">
      <alignment horizontal="center"/>
    </xf>
    <xf numFmtId="0" fontId="58" fillId="0" borderId="0" xfId="2" applyNumberFormat="1" applyFont="1" applyFill="1" applyBorder="1"/>
    <xf numFmtId="3" fontId="31" fillId="0" borderId="0" xfId="2" applyNumberFormat="1" applyFont="1" applyFill="1" applyBorder="1" applyAlignment="1"/>
    <xf numFmtId="0" fontId="58" fillId="0" borderId="0" xfId="2" applyNumberFormat="1" applyFont="1" applyFill="1" applyBorder="1" applyAlignment="1">
      <alignment horizontal="left"/>
    </xf>
    <xf numFmtId="0" fontId="57" fillId="0" borderId="0" xfId="2" applyNumberFormat="1" applyFont="1" applyFill="1" applyBorder="1" applyAlignment="1">
      <alignment horizontal="left"/>
    </xf>
    <xf numFmtId="3" fontId="31" fillId="0" borderId="0" xfId="2" quotePrefix="1" applyNumberFormat="1" applyFont="1" applyFill="1" applyBorder="1" applyAlignment="1"/>
    <xf numFmtId="0" fontId="31" fillId="0" borderId="0" xfId="2" quotePrefix="1" applyNumberFormat="1" applyFont="1" applyFill="1" applyBorder="1" applyAlignment="1"/>
    <xf numFmtId="0" fontId="59" fillId="0" borderId="0" xfId="2" applyNumberFormat="1" applyFont="1" applyFill="1" applyBorder="1" applyAlignment="1">
      <alignment horizontal="center"/>
    </xf>
    <xf numFmtId="3" fontId="31" fillId="0" borderId="0" xfId="2" applyNumberFormat="1" applyFont="1" applyFill="1" applyBorder="1"/>
    <xf numFmtId="0" fontId="60" fillId="0" borderId="0" xfId="2" applyNumberFormat="1" applyFont="1" applyFill="1" applyBorder="1"/>
    <xf numFmtId="3" fontId="43" fillId="0" borderId="0" xfId="2" applyNumberFormat="1" applyFont="1" applyFill="1" applyBorder="1" applyAlignment="1">
      <alignment horizontal="center"/>
    </xf>
    <xf numFmtId="0" fontId="43" fillId="0" borderId="0" xfId="2" applyNumberFormat="1" applyFont="1" applyFill="1" applyBorder="1" applyAlignment="1">
      <alignment horizontal="center"/>
    </xf>
    <xf numFmtId="49" fontId="31" fillId="0" borderId="0" xfId="2" applyNumberFormat="1" applyFont="1" applyFill="1" applyBorder="1"/>
    <xf numFmtId="0" fontId="31" fillId="0" borderId="0" xfId="2" quotePrefix="1" applyNumberFormat="1" applyFont="1" applyFill="1" applyBorder="1" applyAlignment="1">
      <alignment horizontal="center"/>
    </xf>
    <xf numFmtId="3" fontId="43" fillId="0" borderId="0" xfId="2" applyNumberFormat="1" applyFont="1" applyFill="1" applyBorder="1" applyAlignment="1">
      <alignment horizontal="center" vertical="center"/>
    </xf>
    <xf numFmtId="0" fontId="31" fillId="0" borderId="2" xfId="2" applyNumberFormat="1" applyFont="1" applyFill="1" applyBorder="1" applyAlignment="1" applyProtection="1">
      <alignment horizontal="center" vertical="center"/>
    </xf>
    <xf numFmtId="0" fontId="31" fillId="0" borderId="0" xfId="2" applyNumberFormat="1" applyFont="1" applyFill="1" applyBorder="1" applyAlignment="1" applyProtection="1">
      <alignment horizontal="center" vertical="center"/>
    </xf>
    <xf numFmtId="49" fontId="31" fillId="0" borderId="27" xfId="2" quotePrefix="1" applyNumberFormat="1" applyFont="1" applyFill="1" applyBorder="1" applyAlignment="1" applyProtection="1">
      <alignment horizontal="center" vertical="center"/>
    </xf>
    <xf numFmtId="0" fontId="31" fillId="0" borderId="6" xfId="2" applyNumberFormat="1" applyFont="1" applyFill="1" applyBorder="1" applyAlignment="1" applyProtection="1">
      <alignment horizontal="center" vertical="center"/>
    </xf>
    <xf numFmtId="0" fontId="31" fillId="0" borderId="6" xfId="2" applyNumberFormat="1" applyFont="1" applyFill="1" applyBorder="1" applyAlignment="1">
      <alignment horizontal="center" vertical="center"/>
    </xf>
    <xf numFmtId="0" fontId="31" fillId="0" borderId="37" xfId="2" applyNumberFormat="1" applyFont="1" applyFill="1" applyBorder="1" applyAlignment="1" applyProtection="1">
      <alignment horizontal="center" vertical="center" wrapText="1"/>
    </xf>
    <xf numFmtId="0" fontId="43" fillId="0" borderId="3" xfId="0" applyFont="1" applyBorder="1" applyAlignment="1">
      <alignment horizontal="center" vertical="center" textRotation="90" wrapText="1"/>
    </xf>
    <xf numFmtId="0" fontId="43" fillId="0" borderId="6" xfId="0" applyFont="1" applyBorder="1" applyAlignment="1">
      <alignment horizontal="centerContinuous"/>
    </xf>
    <xf numFmtId="0" fontId="62" fillId="0" borderId="0" xfId="0" applyFont="1" applyAlignment="1">
      <alignment horizontal="centerContinuous"/>
    </xf>
    <xf numFmtId="0" fontId="38" fillId="0" borderId="0" xfId="0" applyFont="1" applyAlignment="1">
      <alignment horizontal="centerContinuous"/>
    </xf>
    <xf numFmtId="0" fontId="31" fillId="0" borderId="0" xfId="0" applyFont="1" applyAlignment="1">
      <alignment horizontal="center"/>
    </xf>
    <xf numFmtId="0" fontId="43" fillId="0" borderId="57" xfId="0" applyFont="1" applyBorder="1" applyAlignment="1">
      <alignment horizontal="center" vertical="center" wrapText="1"/>
    </xf>
    <xf numFmtId="0" fontId="43" fillId="0" borderId="52" xfId="0" applyFont="1" applyBorder="1" applyAlignment="1">
      <alignment horizontal="centerContinuous" wrapText="1"/>
    </xf>
    <xf numFmtId="0" fontId="43" fillId="0" borderId="2" xfId="0" applyFont="1" applyBorder="1" applyAlignment="1">
      <alignment horizontal="centerContinuous" wrapText="1"/>
    </xf>
    <xf numFmtId="0" fontId="31" fillId="0" borderId="2" xfId="0" applyFont="1" applyBorder="1" applyAlignment="1">
      <alignment horizontal="centerContinuous"/>
    </xf>
    <xf numFmtId="169" fontId="31" fillId="0" borderId="2" xfId="0" applyNumberFormat="1" applyFont="1" applyBorder="1" applyAlignment="1">
      <alignment horizontal="centerContinuous"/>
    </xf>
    <xf numFmtId="0" fontId="31" fillId="0" borderId="2" xfId="0" applyFont="1" applyBorder="1" applyAlignment="1">
      <alignment horizontal="center"/>
    </xf>
    <xf numFmtId="0" fontId="31" fillId="0" borderId="59" xfId="0" applyFont="1" applyBorder="1" applyAlignment="1">
      <alignment horizontal="centerContinuous"/>
    </xf>
    <xf numFmtId="0" fontId="31" fillId="0" borderId="14" xfId="0" applyFont="1" applyBorder="1" applyAlignment="1">
      <alignment horizontal="center" wrapText="1"/>
    </xf>
    <xf numFmtId="0" fontId="31" fillId="0" borderId="14" xfId="0" applyFont="1" applyBorder="1" applyAlignment="1">
      <alignment horizontal="center"/>
    </xf>
    <xf numFmtId="169" fontId="31" fillId="0" borderId="14" xfId="0" applyNumberFormat="1" applyFont="1" applyBorder="1" applyAlignment="1">
      <alignment horizontal="center" wrapText="1"/>
    </xf>
    <xf numFmtId="169" fontId="31" fillId="0" borderId="14" xfId="0" applyNumberFormat="1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6" xfId="0" applyFont="1" applyBorder="1" applyAlignment="1">
      <alignment horizontal="center" wrapText="1"/>
    </xf>
    <xf numFmtId="0" fontId="31" fillId="0" borderId="6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169" fontId="31" fillId="0" borderId="6" xfId="0" applyNumberFormat="1" applyFont="1" applyBorder="1" applyAlignment="1">
      <alignment horizontal="center"/>
    </xf>
    <xf numFmtId="0" fontId="43" fillId="0" borderId="3" xfId="0" applyFont="1" applyBorder="1" applyAlignment="1">
      <alignment horizontal="center" wrapText="1"/>
    </xf>
    <xf numFmtId="0" fontId="43" fillId="0" borderId="3" xfId="0" applyFont="1" applyBorder="1" applyAlignment="1">
      <alignment horizontal="center"/>
    </xf>
    <xf numFmtId="169" fontId="43" fillId="0" borderId="3" xfId="0" applyNumberFormat="1" applyFont="1" applyBorder="1" applyAlignment="1">
      <alignment horizontal="center"/>
    </xf>
    <xf numFmtId="0" fontId="31" fillId="0" borderId="42" xfId="0" applyFont="1" applyBorder="1" applyAlignment="1">
      <alignment horizontal="left" wrapText="1"/>
    </xf>
    <xf numFmtId="0" fontId="31" fillId="0" borderId="42" xfId="0" applyFont="1" applyBorder="1" applyAlignment="1">
      <alignment horizontal="center"/>
    </xf>
    <xf numFmtId="0" fontId="43" fillId="0" borderId="5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0" xfId="12" applyNumberFormat="1" applyFont="1" applyFill="1" applyAlignment="1">
      <alignment horizontal="center"/>
    </xf>
    <xf numFmtId="0" fontId="31" fillId="0" borderId="0" xfId="12" applyNumberFormat="1" applyFont="1" applyFill="1" applyAlignment="1">
      <alignment horizontal="center" wrapText="1"/>
    </xf>
    <xf numFmtId="0" fontId="43" fillId="0" borderId="0" xfId="12" applyNumberFormat="1" applyFont="1" applyFill="1" applyAlignment="1">
      <alignment horizontal="center"/>
    </xf>
    <xf numFmtId="0" fontId="25" fillId="0" borderId="0" xfId="12" applyNumberFormat="1" applyFont="1" applyFill="1" applyAlignment="1">
      <alignment horizontal="center"/>
    </xf>
    <xf numFmtId="0" fontId="58" fillId="0" borderId="0" xfId="2" applyNumberFormat="1" applyFont="1" applyFill="1" applyBorder="1" applyAlignment="1">
      <alignment horizontal="center"/>
    </xf>
    <xf numFmtId="0" fontId="31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Alignment="1">
      <alignment horizontal="center" wrapText="1"/>
    </xf>
    <xf numFmtId="3" fontId="25" fillId="0" borderId="0" xfId="12" quotePrefix="1" applyNumberFormat="1" applyFont="1" applyFill="1" applyAlignment="1">
      <alignment horizontal="center"/>
    </xf>
    <xf numFmtId="3" fontId="25" fillId="0" borderId="0" xfId="12" applyNumberFormat="1" applyFont="1" applyFill="1" applyAlignment="1">
      <alignment horizontal="center"/>
    </xf>
    <xf numFmtId="168" fontId="25" fillId="0" borderId="0" xfId="12" quotePrefix="1" applyNumberFormat="1" applyFont="1" applyFill="1" applyAlignment="1">
      <alignment horizontal="center"/>
    </xf>
    <xf numFmtId="168" fontId="25" fillId="0" borderId="0" xfId="12" applyNumberFormat="1" applyFont="1" applyFill="1" applyAlignment="1">
      <alignment horizontal="center"/>
    </xf>
    <xf numFmtId="0" fontId="31" fillId="0" borderId="0" xfId="12" applyNumberFormat="1" applyFont="1" applyFill="1" applyBorder="1" applyAlignment="1">
      <alignment horizontal="center" wrapText="1"/>
    </xf>
    <xf numFmtId="169" fontId="25" fillId="0" borderId="0" xfId="2" applyNumberFormat="1" applyFont="1" applyFill="1" applyBorder="1" applyAlignment="1">
      <alignment horizontal="center" vertical="center"/>
    </xf>
    <xf numFmtId="2" fontId="31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Border="1" applyAlignment="1">
      <alignment horizontal="center" wrapText="1"/>
    </xf>
    <xf numFmtId="3" fontId="67" fillId="0" borderId="0" xfId="16" applyNumberFormat="1" applyFont="1" applyFill="1" applyAlignment="1" applyProtection="1">
      <alignment horizontal="center" vertical="center"/>
      <protection locked="0"/>
    </xf>
    <xf numFmtId="3" fontId="67" fillId="0" borderId="0" xfId="0" applyNumberFormat="1" applyFont="1" applyAlignment="1">
      <alignment vertical="center"/>
    </xf>
    <xf numFmtId="1" fontId="68" fillId="6" borderId="6" xfId="2" applyNumberFormat="1" applyFont="1" applyFill="1" applyBorder="1" applyAlignment="1" applyProtection="1">
      <alignment horizontal="center" vertical="center"/>
      <protection hidden="1"/>
    </xf>
    <xf numFmtId="164" fontId="67" fillId="6" borderId="6" xfId="2" applyNumberFormat="1" applyFont="1" applyFill="1" applyBorder="1" applyAlignment="1" applyProtection="1">
      <alignment horizontal="center" vertical="center"/>
      <protection hidden="1"/>
    </xf>
    <xf numFmtId="3" fontId="68" fillId="6" borderId="6" xfId="0" applyNumberFormat="1" applyFont="1" applyFill="1" applyBorder="1" applyAlignment="1">
      <alignment vertical="center" wrapText="1"/>
    </xf>
    <xf numFmtId="3" fontId="68" fillId="6" borderId="6" xfId="0" applyNumberFormat="1" applyFont="1" applyFill="1" applyBorder="1" applyAlignment="1">
      <alignment horizontal="center" vertical="center"/>
    </xf>
    <xf numFmtId="3" fontId="67" fillId="6" borderId="6" xfId="0" applyNumberFormat="1" applyFont="1" applyFill="1" applyBorder="1" applyAlignment="1" applyProtection="1">
      <alignment horizontal="center" vertical="center"/>
      <protection hidden="1"/>
    </xf>
    <xf numFmtId="164" fontId="67" fillId="6" borderId="6" xfId="2" applyNumberFormat="1" applyFont="1" applyFill="1" applyBorder="1" applyAlignment="1" applyProtection="1">
      <alignment vertical="center"/>
      <protection hidden="1"/>
    </xf>
    <xf numFmtId="164" fontId="67" fillId="6" borderId="6" xfId="2" applyNumberFormat="1" applyFont="1" applyFill="1" applyBorder="1" applyAlignment="1">
      <alignment vertical="center"/>
    </xf>
    <xf numFmtId="3" fontId="67" fillId="6" borderId="6" xfId="15" applyNumberFormat="1" applyFont="1" applyFill="1" applyBorder="1" applyAlignment="1" applyProtection="1">
      <alignment horizontal="right" vertical="center"/>
      <protection hidden="1"/>
    </xf>
    <xf numFmtId="3" fontId="67" fillId="0" borderId="0" xfId="16" applyNumberFormat="1" applyFont="1" applyFill="1" applyAlignment="1" applyProtection="1">
      <alignment vertical="center"/>
      <protection locked="0"/>
    </xf>
    <xf numFmtId="3" fontId="67" fillId="0" borderId="0" xfId="16" applyNumberFormat="1" applyFont="1" applyFill="1" applyAlignment="1" applyProtection="1">
      <alignment horizontal="center"/>
      <protection locked="0"/>
    </xf>
    <xf numFmtId="3" fontId="67" fillId="0" borderId="0" xfId="16" applyNumberFormat="1" applyFont="1" applyFill="1" applyAlignment="1" applyProtection="1">
      <alignment horizontal="left"/>
      <protection locked="0"/>
    </xf>
    <xf numFmtId="3" fontId="67" fillId="0" borderId="14" xfId="15" applyNumberFormat="1" applyFont="1" applyFill="1" applyBorder="1" applyAlignment="1" applyProtection="1">
      <alignment horizontal="center"/>
      <protection hidden="1"/>
    </xf>
    <xf numFmtId="164" fontId="67" fillId="0" borderId="6" xfId="2" applyNumberFormat="1" applyFont="1" applyBorder="1" applyAlignment="1" applyProtection="1">
      <alignment horizontal="center"/>
      <protection hidden="1"/>
    </xf>
    <xf numFmtId="3" fontId="69" fillId="0" borderId="6" xfId="15" applyNumberFormat="1" applyFont="1" applyFill="1" applyBorder="1" applyAlignment="1" applyProtection="1">
      <alignment vertical="center" wrapText="1"/>
      <protection locked="0"/>
    </xf>
    <xf numFmtId="3" fontId="67" fillId="0" borderId="14" xfId="16" applyNumberFormat="1" applyFont="1" applyFill="1" applyBorder="1" applyAlignment="1" applyProtection="1">
      <alignment horizontal="center"/>
      <protection hidden="1"/>
    </xf>
    <xf numFmtId="164" fontId="67" fillId="0" borderId="14" xfId="2" applyNumberFormat="1" applyFont="1" applyBorder="1" applyAlignment="1">
      <alignment horizontal="center" vertical="center"/>
    </xf>
    <xf numFmtId="3" fontId="67" fillId="0" borderId="14" xfId="15" applyNumberFormat="1" applyFont="1" applyFill="1" applyBorder="1" applyAlignment="1" applyProtection="1">
      <alignment horizontal="centerContinuous"/>
      <protection hidden="1"/>
    </xf>
    <xf numFmtId="3" fontId="68" fillId="0" borderId="14" xfId="15" applyNumberFormat="1" applyFont="1" applyFill="1" applyBorder="1" applyAlignment="1" applyProtection="1">
      <alignment horizontal="centerContinuous"/>
      <protection hidden="1"/>
    </xf>
    <xf numFmtId="164" fontId="67" fillId="0" borderId="14" xfId="2" applyNumberFormat="1" applyFont="1" applyBorder="1" applyAlignment="1">
      <alignment vertical="center"/>
    </xf>
    <xf numFmtId="3" fontId="68" fillId="0" borderId="14" xfId="15" applyNumberFormat="1" applyFont="1" applyFill="1" applyBorder="1" applyAlignment="1" applyProtection="1">
      <alignment horizontal="center"/>
      <protection hidden="1"/>
    </xf>
    <xf numFmtId="3" fontId="67" fillId="0" borderId="0" xfId="16" applyNumberFormat="1" applyFont="1" applyFill="1" applyProtection="1">
      <protection locked="0"/>
    </xf>
    <xf numFmtId="3" fontId="67" fillId="0" borderId="0" xfId="0" applyNumberFormat="1" applyFont="1"/>
    <xf numFmtId="1" fontId="67" fillId="0" borderId="6" xfId="2" applyNumberFormat="1" applyFont="1" applyBorder="1" applyAlignment="1" applyProtection="1">
      <alignment horizontal="center"/>
      <protection hidden="1"/>
    </xf>
    <xf numFmtId="164" fontId="67" fillId="0" borderId="6" xfId="2" applyNumberFormat="1" applyFont="1" applyBorder="1" applyAlignment="1" applyProtection="1">
      <alignment vertical="center" wrapText="1"/>
      <protection hidden="1"/>
    </xf>
    <xf numFmtId="43" fontId="67" fillId="0" borderId="6" xfId="2" applyNumberFormat="1" applyFont="1" applyBorder="1" applyAlignment="1">
      <alignment horizontal="center" vertical="center"/>
    </xf>
    <xf numFmtId="164" fontId="67" fillId="0" borderId="6" xfId="2" applyNumberFormat="1" applyFont="1" applyBorder="1" applyAlignment="1" applyProtection="1">
      <protection hidden="1"/>
    </xf>
    <xf numFmtId="3" fontId="67" fillId="0" borderId="6" xfId="0" applyNumberFormat="1" applyFont="1" applyBorder="1" applyAlignment="1" applyProtection="1">
      <alignment horizontal="center"/>
      <protection hidden="1"/>
    </xf>
    <xf numFmtId="164" fontId="67" fillId="0" borderId="6" xfId="2" applyNumberFormat="1" applyFont="1" applyBorder="1" applyAlignment="1">
      <alignment vertical="center"/>
    </xf>
    <xf numFmtId="3" fontId="67" fillId="0" borderId="6" xfId="15" applyNumberFormat="1" applyFont="1" applyFill="1" applyBorder="1" applyAlignment="1" applyProtection="1">
      <alignment horizontal="right"/>
      <protection hidden="1"/>
    </xf>
    <xf numFmtId="166" fontId="67" fillId="6" borderId="6" xfId="2" applyNumberFormat="1" applyFont="1" applyFill="1" applyBorder="1" applyAlignment="1">
      <alignment horizontal="center" vertical="center"/>
    </xf>
    <xf numFmtId="3" fontId="31" fillId="0" borderId="6" xfId="15" applyNumberFormat="1" applyFont="1" applyFill="1" applyBorder="1" applyAlignment="1" applyProtection="1">
      <alignment horizontal="center" wrapText="1"/>
      <protection hidden="1"/>
    </xf>
    <xf numFmtId="0" fontId="25" fillId="0" borderId="14" xfId="0" applyFont="1" applyFill="1" applyBorder="1"/>
    <xf numFmtId="3" fontId="25" fillId="0" borderId="6" xfId="0" quotePrefix="1" applyNumberFormat="1" applyFont="1" applyFill="1" applyBorder="1" applyAlignment="1">
      <alignment horizontal="center"/>
    </xf>
    <xf numFmtId="3" fontId="25" fillId="0" borderId="14" xfId="0" applyNumberFormat="1" applyFont="1" applyFill="1" applyBorder="1" applyAlignment="1">
      <alignment horizontal="center"/>
    </xf>
    <xf numFmtId="0" fontId="25" fillId="0" borderId="0" xfId="0" applyFont="1" applyFill="1" applyAlignment="1">
      <alignment horizontal="center"/>
    </xf>
    <xf numFmtId="0" fontId="36" fillId="11" borderId="170" xfId="0" applyFont="1" applyFill="1" applyBorder="1" applyAlignment="1">
      <alignment horizontal="left"/>
    </xf>
    <xf numFmtId="3" fontId="31" fillId="0" borderId="0" xfId="12" applyNumberFormat="1" applyFont="1" applyFill="1" applyBorder="1" applyAlignment="1">
      <alignment horizontal="center"/>
    </xf>
    <xf numFmtId="0" fontId="63" fillId="0" borderId="0" xfId="12" applyNumberFormat="1" applyFont="1" applyFill="1" applyAlignment="1">
      <alignment horizontal="center"/>
    </xf>
    <xf numFmtId="0" fontId="39" fillId="0" borderId="0" xfId="12" applyNumberFormat="1" applyFont="1" applyFill="1" applyAlignment="1">
      <alignment horizontal="center"/>
    </xf>
    <xf numFmtId="0" fontId="25" fillId="0" borderId="164" xfId="2" applyNumberFormat="1" applyFont="1" applyFill="1" applyBorder="1" applyAlignment="1" applyProtection="1">
      <alignment horizontal="center" textRotation="90"/>
    </xf>
    <xf numFmtId="0" fontId="25" fillId="0" borderId="46" xfId="2" applyNumberFormat="1" applyFont="1" applyFill="1" applyBorder="1" applyAlignment="1" applyProtection="1">
      <alignment horizontal="center" textRotation="90"/>
    </xf>
    <xf numFmtId="0" fontId="25" fillId="0" borderId="44" xfId="2" applyNumberFormat="1" applyFont="1" applyFill="1" applyBorder="1" applyAlignment="1" applyProtection="1">
      <alignment horizontal="center" textRotation="90"/>
    </xf>
    <xf numFmtId="0" fontId="25" fillId="0" borderId="166" xfId="2" applyNumberFormat="1" applyFont="1" applyFill="1" applyBorder="1" applyAlignment="1" applyProtection="1">
      <alignment horizontal="center" textRotation="90"/>
    </xf>
    <xf numFmtId="0" fontId="25" fillId="0" borderId="45" xfId="2" applyNumberFormat="1" applyFont="1" applyFill="1" applyBorder="1" applyAlignment="1">
      <alignment horizontal="center"/>
    </xf>
    <xf numFmtId="174" fontId="43" fillId="0" borderId="0" xfId="12" applyNumberFormat="1" applyFont="1" applyFill="1" applyAlignment="1">
      <alignment horizontal="center"/>
    </xf>
    <xf numFmtId="0" fontId="64" fillId="0" borderId="0" xfId="12" applyNumberFormat="1" applyFont="1" applyFill="1" applyAlignment="1">
      <alignment horizontal="center"/>
    </xf>
    <xf numFmtId="3" fontId="25" fillId="0" borderId="0" xfId="12" quotePrefix="1" applyNumberFormat="1" applyFont="1" applyFill="1" applyBorder="1" applyAlignment="1">
      <alignment horizontal="center"/>
    </xf>
    <xf numFmtId="0" fontId="63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Alignment="1">
      <alignment horizontal="left"/>
    </xf>
    <xf numFmtId="3" fontId="31" fillId="0" borderId="0" xfId="12" applyNumberFormat="1" applyFont="1" applyFill="1" applyAlignment="1">
      <alignment horizontal="center"/>
    </xf>
    <xf numFmtId="0" fontId="31" fillId="0" borderId="3" xfId="2" applyNumberFormat="1" applyFont="1" applyFill="1" applyBorder="1" applyAlignment="1" applyProtection="1">
      <alignment horizontal="center" textRotation="90"/>
    </xf>
    <xf numFmtId="0" fontId="31" fillId="0" borderId="3" xfId="2" quotePrefix="1" applyNumberFormat="1" applyFont="1" applyFill="1" applyBorder="1" applyAlignment="1" applyProtection="1">
      <alignment horizontal="center" textRotation="90"/>
    </xf>
    <xf numFmtId="0" fontId="31" fillId="0" borderId="46" xfId="2" applyNumberFormat="1" applyFont="1" applyFill="1" applyBorder="1" applyAlignment="1" applyProtection="1">
      <alignment horizontal="center" textRotation="90"/>
    </xf>
    <xf numFmtId="0" fontId="43" fillId="0" borderId="0" xfId="12" applyNumberFormat="1" applyFont="1" applyFill="1" applyAlignment="1" applyProtection="1">
      <alignment horizontal="center"/>
      <protection locked="0"/>
    </xf>
    <xf numFmtId="0" fontId="25" fillId="0" borderId="0" xfId="0" applyFont="1" applyFill="1" applyBorder="1" applyProtection="1"/>
    <xf numFmtId="168" fontId="31" fillId="0" borderId="6" xfId="2" applyNumberFormat="1" applyFont="1" applyFill="1" applyBorder="1" applyAlignment="1" applyProtection="1">
      <alignment horizontal="center" vertical="center"/>
    </xf>
    <xf numFmtId="168" fontId="31" fillId="0" borderId="0" xfId="12" applyNumberFormat="1" applyFont="1" applyFill="1" applyAlignment="1" applyProtection="1">
      <alignment horizontal="center"/>
      <protection locked="0"/>
    </xf>
    <xf numFmtId="0" fontId="43" fillId="0" borderId="61" xfId="12" applyNumberFormat="1" applyFont="1" applyFill="1" applyBorder="1" applyAlignment="1" applyProtection="1">
      <alignment horizontal="left" vertical="center"/>
      <protection locked="0"/>
    </xf>
    <xf numFmtId="0" fontId="43" fillId="0" borderId="2" xfId="12" applyNumberFormat="1" applyFont="1" applyFill="1" applyBorder="1" applyAlignment="1" applyProtection="1">
      <alignment horizontal="center" vertical="center"/>
      <protection locked="0"/>
    </xf>
    <xf numFmtId="0" fontId="43" fillId="0" borderId="49" xfId="12" applyNumberFormat="1" applyFont="1" applyFill="1" applyBorder="1" applyAlignment="1" applyProtection="1">
      <alignment horizontal="center" vertical="center"/>
      <protection locked="0"/>
    </xf>
    <xf numFmtId="168" fontId="43" fillId="0" borderId="58" xfId="12" applyNumberFormat="1" applyFont="1" applyFill="1" applyBorder="1" applyAlignment="1" applyProtection="1">
      <alignment vertical="center"/>
      <protection locked="0"/>
    </xf>
    <xf numFmtId="168" fontId="43" fillId="0" borderId="50" xfId="12" applyNumberFormat="1" applyFont="1" applyFill="1" applyBorder="1" applyAlignment="1" applyProtection="1">
      <alignment horizontal="center" vertical="center"/>
      <protection locked="0"/>
    </xf>
    <xf numFmtId="168" fontId="43" fillId="0" borderId="0" xfId="12" applyNumberFormat="1" applyFont="1" applyFill="1" applyAlignment="1" applyProtection="1">
      <alignment horizontal="center"/>
      <protection locked="0"/>
    </xf>
    <xf numFmtId="168" fontId="31" fillId="0" borderId="0" xfId="12" quotePrefix="1" applyNumberFormat="1" applyFont="1" applyFill="1" applyAlignment="1" applyProtection="1">
      <alignment horizontal="center"/>
      <protection locked="0"/>
    </xf>
    <xf numFmtId="0" fontId="58" fillId="0" borderId="0" xfId="2" applyNumberFormat="1" applyFont="1" applyFill="1" applyBorder="1" applyAlignment="1" applyProtection="1">
      <alignment horizontal="center"/>
      <protection locked="0"/>
    </xf>
    <xf numFmtId="0" fontId="4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31" fillId="0" borderId="0" xfId="12" applyNumberFormat="1" applyFont="1" applyFill="1" applyAlignment="1" applyProtection="1">
      <alignment horizontal="center"/>
      <protection locked="0"/>
    </xf>
    <xf numFmtId="0" fontId="31" fillId="0" borderId="0" xfId="12" quotePrefix="1" applyNumberFormat="1" applyFont="1" applyFill="1" applyAlignment="1" applyProtection="1">
      <alignment horizontal="center"/>
      <protection locked="0"/>
    </xf>
    <xf numFmtId="3" fontId="31" fillId="0" borderId="0" xfId="12" quotePrefix="1" applyNumberFormat="1" applyFont="1" applyFill="1" applyAlignment="1" applyProtection="1">
      <alignment horizontal="center"/>
      <protection locked="0"/>
    </xf>
    <xf numFmtId="0" fontId="31" fillId="0" borderId="0" xfId="0" applyFont="1" applyFill="1" applyProtection="1"/>
    <xf numFmtId="0" fontId="31" fillId="0" borderId="27" xfId="0" applyFont="1" applyFill="1" applyBorder="1" applyAlignment="1" applyProtection="1">
      <alignment horizontal="center"/>
      <protection hidden="1"/>
    </xf>
    <xf numFmtId="0" fontId="31" fillId="0" borderId="6" xfId="0" applyFont="1" applyFill="1" applyBorder="1" applyProtection="1">
      <protection hidden="1"/>
    </xf>
    <xf numFmtId="0" fontId="31" fillId="0" borderId="6" xfId="0" applyFont="1" applyFill="1" applyBorder="1" applyAlignment="1" applyProtection="1">
      <alignment horizontal="center"/>
      <protection hidden="1"/>
    </xf>
    <xf numFmtId="167" fontId="31" fillId="0" borderId="6" xfId="2" applyNumberFormat="1" applyFont="1" applyFill="1" applyBorder="1" applyProtection="1">
      <protection hidden="1"/>
    </xf>
    <xf numFmtId="164" fontId="31" fillId="0" borderId="37" xfId="2" applyNumberFormat="1" applyFont="1" applyFill="1" applyBorder="1" applyProtection="1">
      <protection hidden="1"/>
    </xf>
    <xf numFmtId="0" fontId="31" fillId="0" borderId="0" xfId="0" applyFont="1" applyFill="1" applyAlignment="1" applyProtection="1">
      <alignment horizontal="center"/>
    </xf>
    <xf numFmtId="167" fontId="57" fillId="0" borderId="6" xfId="2" quotePrefix="1" applyNumberFormat="1" applyFont="1" applyFill="1" applyBorder="1" applyProtection="1"/>
    <xf numFmtId="167" fontId="31" fillId="0" borderId="6" xfId="2" quotePrefix="1" applyNumberFormat="1" applyFont="1" applyFill="1" applyBorder="1" applyProtection="1"/>
    <xf numFmtId="164" fontId="31" fillId="0" borderId="6" xfId="0" applyNumberFormat="1" applyFont="1" applyFill="1" applyBorder="1" applyProtection="1">
      <protection hidden="1"/>
    </xf>
    <xf numFmtId="164" fontId="31" fillId="0" borderId="37" xfId="0" applyNumberFormat="1" applyFont="1" applyFill="1" applyBorder="1" applyProtection="1">
      <protection hidden="1"/>
    </xf>
    <xf numFmtId="0" fontId="31" fillId="0" borderId="6" xfId="0" applyFont="1" applyFill="1" applyBorder="1" applyAlignment="1"/>
    <xf numFmtId="167" fontId="31" fillId="0" borderId="6" xfId="2" quotePrefix="1" applyNumberFormat="1" applyFont="1" applyFill="1" applyBorder="1" applyAlignment="1" applyProtection="1">
      <alignment horizontal="center"/>
    </xf>
    <xf numFmtId="167" fontId="31" fillId="0" borderId="6" xfId="2" quotePrefix="1" applyNumberFormat="1" applyFont="1" applyFill="1" applyBorder="1" applyAlignment="1" applyProtection="1"/>
    <xf numFmtId="0" fontId="31" fillId="0" borderId="0" xfId="2" applyNumberFormat="1" applyFont="1" applyFill="1" applyBorder="1" applyAlignment="1" applyProtection="1">
      <alignment horizontal="center" textRotation="90"/>
    </xf>
    <xf numFmtId="0" fontId="31" fillId="0" borderId="14" xfId="12" applyNumberFormat="1" applyFont="1" applyFill="1" applyBorder="1" applyAlignment="1">
      <alignment horizontal="center"/>
    </xf>
    <xf numFmtId="0" fontId="31" fillId="0" borderId="71" xfId="12" applyNumberFormat="1" applyFont="1" applyFill="1" applyBorder="1" applyAlignment="1">
      <alignment horizontal="center"/>
    </xf>
    <xf numFmtId="49" fontId="53" fillId="0" borderId="56" xfId="2" applyNumberFormat="1" applyFont="1" applyFill="1" applyBorder="1" applyAlignment="1" applyProtection="1">
      <alignment horizontal="left" vertical="center"/>
    </xf>
    <xf numFmtId="168" fontId="31" fillId="0" borderId="8" xfId="2" applyNumberFormat="1" applyFont="1" applyFill="1" applyBorder="1" applyAlignment="1" applyProtection="1">
      <alignment horizontal="center" vertical="center"/>
    </xf>
    <xf numFmtId="0" fontId="31" fillId="0" borderId="51" xfId="2" applyNumberFormat="1" applyFont="1" applyFill="1" applyBorder="1" applyAlignment="1" applyProtection="1">
      <alignment horizontal="center" vertical="center"/>
    </xf>
    <xf numFmtId="0" fontId="31" fillId="0" borderId="173" xfId="11" applyNumberFormat="1" applyFont="1" applyFill="1" applyBorder="1" applyAlignment="1">
      <alignment horizontal="center"/>
    </xf>
    <xf numFmtId="0" fontId="43" fillId="0" borderId="46" xfId="2" applyNumberFormat="1" applyFont="1" applyFill="1" applyBorder="1" applyAlignment="1" applyProtection="1">
      <alignment vertical="center" textRotation="90"/>
    </xf>
    <xf numFmtId="0" fontId="31" fillId="0" borderId="3" xfId="2" quotePrefix="1" applyNumberFormat="1" applyFont="1" applyFill="1" applyBorder="1" applyAlignment="1" applyProtection="1">
      <alignment horizontal="center" vertical="center" textRotation="90"/>
    </xf>
    <xf numFmtId="0" fontId="31" fillId="0" borderId="3" xfId="2" applyNumberFormat="1" applyFont="1" applyFill="1" applyBorder="1" applyAlignment="1" applyProtection="1">
      <alignment horizontal="center" vertical="center" textRotation="90"/>
    </xf>
    <xf numFmtId="0" fontId="43" fillId="0" borderId="3" xfId="2" applyNumberFormat="1" applyFont="1" applyFill="1" applyBorder="1" applyAlignment="1" applyProtection="1">
      <alignment horizontal="center" vertical="center" textRotation="90"/>
    </xf>
    <xf numFmtId="0" fontId="31" fillId="0" borderId="163" xfId="2" applyNumberFormat="1" applyFont="1" applyFill="1" applyBorder="1" applyAlignment="1" applyProtection="1">
      <alignment vertical="center" textRotation="90"/>
    </xf>
    <xf numFmtId="0" fontId="31" fillId="0" borderId="163" xfId="2" applyNumberFormat="1" applyFont="1" applyFill="1" applyBorder="1" applyAlignment="1" applyProtection="1">
      <alignment vertical="center" textRotation="90" wrapText="1"/>
    </xf>
    <xf numFmtId="0" fontId="31" fillId="0" borderId="46" xfId="2" applyNumberFormat="1" applyFont="1" applyFill="1" applyBorder="1" applyAlignment="1" applyProtection="1">
      <alignment vertical="center" textRotation="90"/>
    </xf>
    <xf numFmtId="0" fontId="31" fillId="0" borderId="6" xfId="2" applyNumberFormat="1" applyFont="1" applyFill="1" applyBorder="1" applyAlignment="1" applyProtection="1">
      <alignment horizontal="center" vertical="center" textRotation="90"/>
    </xf>
    <xf numFmtId="0" fontId="31" fillId="0" borderId="163" xfId="2" applyNumberFormat="1" applyFont="1" applyFill="1" applyBorder="1" applyAlignment="1" applyProtection="1">
      <alignment textRotation="90"/>
    </xf>
    <xf numFmtId="0" fontId="31" fillId="0" borderId="53" xfId="2" applyNumberFormat="1" applyFont="1" applyFill="1" applyBorder="1" applyAlignment="1" applyProtection="1">
      <alignment textRotation="90" wrapText="1"/>
    </xf>
    <xf numFmtId="0" fontId="31" fillId="0" borderId="53" xfId="2" applyNumberFormat="1" applyFont="1" applyFill="1" applyBorder="1" applyAlignment="1" applyProtection="1">
      <alignment textRotation="90"/>
    </xf>
    <xf numFmtId="49" fontId="43" fillId="0" borderId="56" xfId="2" applyNumberFormat="1" applyFont="1" applyFill="1" applyBorder="1" applyAlignment="1" applyProtection="1">
      <alignment horizontal="left" vertical="center"/>
    </xf>
    <xf numFmtId="49" fontId="43" fillId="0" borderId="28" xfId="2" applyNumberFormat="1" applyFont="1" applyFill="1" applyBorder="1" applyAlignment="1" applyProtection="1">
      <alignment horizontal="left" vertical="center"/>
    </xf>
    <xf numFmtId="0" fontId="31" fillId="0" borderId="21" xfId="2" applyNumberFormat="1" applyFont="1" applyFill="1" applyBorder="1" applyAlignment="1" applyProtection="1"/>
    <xf numFmtId="0" fontId="31" fillId="0" borderId="0" xfId="2" applyNumberFormat="1" applyFont="1" applyFill="1" applyBorder="1" applyAlignment="1" applyProtection="1">
      <alignment textRotation="90"/>
    </xf>
    <xf numFmtId="0" fontId="31" fillId="0" borderId="0" xfId="2" applyNumberFormat="1" applyFont="1" applyFill="1" applyBorder="1" applyAlignment="1" applyProtection="1">
      <alignment textRotation="90" wrapText="1"/>
    </xf>
    <xf numFmtId="0" fontId="31" fillId="0" borderId="0" xfId="2" applyNumberFormat="1" applyFont="1" applyFill="1" applyBorder="1" applyAlignment="1" applyProtection="1">
      <alignment horizontal="center" textRotation="90" wrapText="1"/>
    </xf>
    <xf numFmtId="1" fontId="31" fillId="0" borderId="6" xfId="2" applyNumberFormat="1" applyFont="1" applyFill="1" applyBorder="1" applyAlignment="1" applyProtection="1">
      <alignment horizontal="center" vertical="center"/>
      <protection hidden="1"/>
    </xf>
    <xf numFmtId="0" fontId="31" fillId="0" borderId="24" xfId="2" applyNumberFormat="1" applyFont="1" applyFill="1" applyBorder="1" applyAlignment="1">
      <alignment horizontal="center" vertical="center"/>
    </xf>
    <xf numFmtId="164" fontId="3" fillId="0" borderId="6" xfId="2" applyNumberFormat="1" applyFont="1" applyFill="1" applyBorder="1"/>
    <xf numFmtId="168" fontId="31" fillId="0" borderId="6" xfId="11" applyNumberFormat="1" applyFont="1" applyFill="1" applyBorder="1" applyAlignment="1">
      <alignment horizontal="center"/>
    </xf>
    <xf numFmtId="168" fontId="43" fillId="20" borderId="3" xfId="2" applyNumberFormat="1" applyFont="1" applyFill="1" applyBorder="1" applyAlignment="1" applyProtection="1">
      <alignment horizontal="center" vertical="center"/>
    </xf>
    <xf numFmtId="0" fontId="31" fillId="20" borderId="0" xfId="2" applyNumberFormat="1" applyFont="1" applyFill="1" applyBorder="1"/>
    <xf numFmtId="0" fontId="31" fillId="0" borderId="0" xfId="0" applyFont="1" applyFill="1" applyAlignment="1" applyProtection="1">
      <alignment vertical="center"/>
    </xf>
    <xf numFmtId="0" fontId="43" fillId="0" borderId="53" xfId="0" applyFont="1" applyFill="1" applyBorder="1" applyAlignment="1" applyProtection="1">
      <alignment horizontal="center" vertical="center"/>
    </xf>
    <xf numFmtId="0" fontId="43" fillId="0" borderId="3" xfId="0" applyFont="1" applyFill="1" applyBorder="1" applyAlignment="1" applyProtection="1">
      <alignment horizontal="center" vertical="center"/>
      <protection hidden="1"/>
    </xf>
    <xf numFmtId="0" fontId="43" fillId="0" borderId="27" xfId="0" applyFont="1" applyFill="1" applyBorder="1" applyAlignment="1" applyProtection="1">
      <alignment horizontal="center"/>
      <protection hidden="1"/>
    </xf>
    <xf numFmtId="0" fontId="43" fillId="0" borderId="6" xfId="0" applyFont="1" applyFill="1" applyBorder="1" applyAlignment="1" applyProtection="1">
      <alignment horizontal="center"/>
      <protection hidden="1"/>
    </xf>
    <xf numFmtId="164" fontId="43" fillId="0" borderId="6" xfId="0" applyNumberFormat="1" applyFont="1" applyFill="1" applyBorder="1" applyProtection="1">
      <protection hidden="1"/>
    </xf>
    <xf numFmtId="164" fontId="43" fillId="0" borderId="37" xfId="0" applyNumberFormat="1" applyFont="1" applyFill="1" applyBorder="1" applyProtection="1">
      <protection hidden="1"/>
    </xf>
    <xf numFmtId="164" fontId="31" fillId="0" borderId="6" xfId="2" applyNumberFormat="1" applyFont="1" applyFill="1" applyBorder="1" applyAlignment="1" applyProtection="1">
      <alignment horizontal="right"/>
      <protection hidden="1"/>
    </xf>
    <xf numFmtId="167" fontId="43" fillId="0" borderId="6" xfId="2" applyNumberFormat="1" applyFont="1" applyFill="1" applyBorder="1" applyProtection="1"/>
    <xf numFmtId="167" fontId="43" fillId="0" borderId="6" xfId="2" applyNumberFormat="1" applyFont="1" applyFill="1" applyBorder="1" applyProtection="1">
      <protection hidden="1"/>
    </xf>
    <xf numFmtId="0" fontId="43" fillId="0" borderId="6" xfId="0" applyFont="1" applyFill="1" applyBorder="1" applyProtection="1">
      <protection hidden="1"/>
    </xf>
    <xf numFmtId="164" fontId="43" fillId="0" borderId="6" xfId="2" applyNumberFormat="1" applyFont="1" applyFill="1" applyBorder="1" applyAlignment="1" applyProtection="1">
      <protection hidden="1"/>
    </xf>
    <xf numFmtId="164" fontId="43" fillId="0" borderId="6" xfId="2" applyNumberFormat="1" applyFont="1" applyFill="1" applyBorder="1" applyProtection="1">
      <protection hidden="1"/>
    </xf>
    <xf numFmtId="164" fontId="43" fillId="0" borderId="37" xfId="2" applyNumberFormat="1" applyFont="1" applyFill="1" applyBorder="1" applyProtection="1">
      <protection hidden="1"/>
    </xf>
    <xf numFmtId="0" fontId="43" fillId="0" borderId="0" xfId="0" applyFont="1" applyFill="1" applyProtection="1"/>
    <xf numFmtId="173" fontId="31" fillId="0" borderId="27" xfId="0" applyNumberFormat="1" applyFont="1" applyFill="1" applyBorder="1" applyAlignment="1" applyProtection="1">
      <alignment horizontal="right"/>
      <protection hidden="1"/>
    </xf>
    <xf numFmtId="0" fontId="57" fillId="0" borderId="6" xfId="0" applyFont="1" applyFill="1" applyBorder="1" applyAlignment="1" applyProtection="1">
      <alignment horizontal="center"/>
      <protection hidden="1"/>
    </xf>
    <xf numFmtId="0" fontId="57" fillId="0" borderId="0" xfId="0" applyFont="1" applyFill="1" applyBorder="1" applyAlignment="1" applyProtection="1">
      <alignment horizontal="left"/>
    </xf>
    <xf numFmtId="1" fontId="31" fillId="0" borderId="6" xfId="0" applyNumberFormat="1" applyFont="1" applyFill="1" applyBorder="1" applyProtection="1">
      <protection hidden="1"/>
    </xf>
    <xf numFmtId="0" fontId="31" fillId="0" borderId="54" xfId="0" applyFont="1" applyFill="1" applyBorder="1" applyAlignment="1" applyProtection="1">
      <alignment horizontal="center"/>
      <protection hidden="1"/>
    </xf>
    <xf numFmtId="0" fontId="31" fillId="0" borderId="43" xfId="0" applyFont="1" applyFill="1" applyBorder="1" applyAlignment="1" applyProtection="1">
      <alignment horizontal="center"/>
      <protection hidden="1"/>
    </xf>
    <xf numFmtId="0" fontId="31" fillId="0" borderId="43" xfId="0" applyFont="1" applyFill="1" applyBorder="1" applyAlignment="1" applyProtection="1">
      <alignment horizontal="center"/>
    </xf>
    <xf numFmtId="0" fontId="31" fillId="0" borderId="6" xfId="0" applyFont="1" applyFill="1" applyBorder="1" applyAlignment="1" applyProtection="1">
      <alignment horizontal="center"/>
    </xf>
    <xf numFmtId="0" fontId="31" fillId="0" borderId="37" xfId="0" applyFont="1" applyFill="1" applyBorder="1" applyAlignment="1" applyProtection="1">
      <alignment horizontal="center"/>
      <protection hidden="1"/>
    </xf>
    <xf numFmtId="43" fontId="31" fillId="0" borderId="6" xfId="0" applyNumberFormat="1" applyFont="1" applyFill="1" applyBorder="1" applyProtection="1">
      <protection hidden="1"/>
    </xf>
    <xf numFmtId="0" fontId="31" fillId="0" borderId="0" xfId="0" applyFont="1" applyFill="1" applyBorder="1" applyProtection="1"/>
    <xf numFmtId="0" fontId="31" fillId="0" borderId="0" xfId="0" applyFont="1" applyFill="1" applyBorder="1" applyAlignment="1" applyProtection="1">
      <alignment horizontal="left"/>
    </xf>
    <xf numFmtId="0" fontId="31" fillId="0" borderId="6" xfId="0" applyFont="1" applyFill="1" applyBorder="1" applyAlignment="1">
      <alignment horizontal="left"/>
    </xf>
    <xf numFmtId="171" fontId="31" fillId="0" borderId="6" xfId="0" applyNumberFormat="1" applyFont="1" applyFill="1" applyBorder="1" applyProtection="1">
      <protection hidden="1"/>
    </xf>
    <xf numFmtId="177" fontId="31" fillId="0" borderId="27" xfId="0" applyNumberFormat="1" applyFont="1" applyFill="1" applyBorder="1" applyAlignment="1" applyProtection="1">
      <alignment horizontal="right"/>
      <protection hidden="1"/>
    </xf>
    <xf numFmtId="43" fontId="31" fillId="0" borderId="6" xfId="2" applyNumberFormat="1" applyFont="1" applyFill="1" applyBorder="1" applyAlignment="1" applyProtection="1">
      <protection hidden="1"/>
    </xf>
    <xf numFmtId="0" fontId="31" fillId="0" borderId="27" xfId="0" applyFont="1" applyFill="1" applyBorder="1" applyProtection="1">
      <protection hidden="1"/>
    </xf>
    <xf numFmtId="0" fontId="31" fillId="0" borderId="6" xfId="2" applyNumberFormat="1" applyFont="1" applyFill="1" applyBorder="1" applyProtection="1">
      <protection hidden="1"/>
    </xf>
    <xf numFmtId="0" fontId="31" fillId="0" borderId="0" xfId="0" applyFont="1" applyFill="1" applyAlignment="1" applyProtection="1">
      <alignment horizontal="left"/>
    </xf>
    <xf numFmtId="0" fontId="31" fillId="0" borderId="0" xfId="0" applyFont="1" applyFill="1" applyBorder="1" applyAlignment="1" applyProtection="1">
      <alignment vertical="center"/>
    </xf>
    <xf numFmtId="0" fontId="31" fillId="0" borderId="0" xfId="0" applyFont="1" applyFill="1" applyAlignment="1" applyProtection="1">
      <alignment horizontal="center" vertical="center"/>
    </xf>
    <xf numFmtId="0" fontId="31" fillId="0" borderId="0" xfId="0" applyFont="1" applyFill="1" applyAlignment="1" applyProtection="1">
      <alignment horizontal="left" vertical="center"/>
    </xf>
    <xf numFmtId="0" fontId="31" fillId="0" borderId="0" xfId="0" applyFont="1" applyFill="1" applyBorder="1" applyAlignment="1" applyProtection="1">
      <alignment horizontal="center"/>
    </xf>
    <xf numFmtId="0" fontId="31" fillId="0" borderId="0" xfId="2" applyNumberFormat="1" applyFont="1" applyFill="1" applyBorder="1" applyAlignment="1" applyProtection="1">
      <alignment horizontal="left" vertical="center"/>
    </xf>
    <xf numFmtId="0" fontId="43" fillId="0" borderId="0" xfId="0" applyFont="1" applyFill="1" applyBorder="1" applyProtection="1"/>
    <xf numFmtId="0" fontId="43" fillId="0" borderId="0" xfId="0" applyFont="1" applyFill="1" applyBorder="1" applyAlignment="1" applyProtection="1">
      <alignment horizontal="left"/>
    </xf>
    <xf numFmtId="0" fontId="43" fillId="0" borderId="0" xfId="0" applyFont="1" applyFill="1" applyAlignment="1" applyProtection="1">
      <alignment horizontal="center"/>
    </xf>
    <xf numFmtId="0" fontId="43" fillId="0" borderId="0" xfId="2" applyNumberFormat="1" applyFont="1" applyFill="1" applyBorder="1" applyAlignment="1" applyProtection="1">
      <alignment vertical="center"/>
    </xf>
    <xf numFmtId="0" fontId="43" fillId="0" borderId="0" xfId="2" applyNumberFormat="1" applyFont="1" applyFill="1" applyBorder="1" applyAlignment="1" applyProtection="1">
      <alignment horizontal="center" vertical="center"/>
    </xf>
    <xf numFmtId="0" fontId="43" fillId="0" borderId="0" xfId="2" applyNumberFormat="1" applyFont="1" applyFill="1" applyBorder="1" applyAlignment="1" applyProtection="1">
      <alignment horizontal="left" vertical="center"/>
    </xf>
    <xf numFmtId="0" fontId="43" fillId="0" borderId="0" xfId="0" applyFont="1" applyFill="1" applyBorder="1" applyAlignment="1" applyProtection="1">
      <alignment horizontal="center"/>
    </xf>
    <xf numFmtId="0" fontId="47" fillId="0" borderId="6" xfId="0" applyFont="1" applyFill="1" applyBorder="1" applyAlignment="1" applyProtection="1">
      <alignment horizontal="center"/>
      <protection hidden="1"/>
    </xf>
    <xf numFmtId="167" fontId="47" fillId="0" borderId="6" xfId="2" quotePrefix="1" applyNumberFormat="1" applyFont="1" applyFill="1" applyBorder="1" applyProtection="1"/>
    <xf numFmtId="0" fontId="47" fillId="0" borderId="27" xfId="0" applyFont="1" applyFill="1" applyBorder="1" applyProtection="1"/>
    <xf numFmtId="167" fontId="43" fillId="0" borderId="6" xfId="2" quotePrefix="1" applyNumberFormat="1" applyFont="1" applyFill="1" applyBorder="1" applyProtection="1"/>
    <xf numFmtId="0" fontId="47" fillId="0" borderId="0" xfId="0" applyFont="1" applyFill="1" applyBorder="1" applyProtection="1"/>
    <xf numFmtId="0" fontId="47" fillId="0" borderId="0" xfId="0" applyFont="1" applyFill="1" applyBorder="1" applyAlignment="1" applyProtection="1">
      <alignment horizontal="left"/>
    </xf>
    <xf numFmtId="0" fontId="47" fillId="0" borderId="0" xfId="0" applyFont="1" applyFill="1" applyBorder="1" applyAlignment="1" applyProtection="1">
      <alignment horizontal="center"/>
    </xf>
    <xf numFmtId="0" fontId="47" fillId="0" borderId="27" xfId="0" applyFont="1" applyFill="1" applyBorder="1" applyAlignment="1" applyProtection="1">
      <alignment horizontal="center"/>
      <protection hidden="1"/>
    </xf>
    <xf numFmtId="167" fontId="47" fillId="0" borderId="6" xfId="2" applyNumberFormat="1" applyFont="1" applyFill="1" applyBorder="1" applyProtection="1">
      <protection hidden="1"/>
    </xf>
    <xf numFmtId="164" fontId="47" fillId="0" borderId="6" xfId="2" applyNumberFormat="1" applyFont="1" applyFill="1" applyBorder="1" applyAlignment="1" applyProtection="1">
      <protection hidden="1"/>
    </xf>
    <xf numFmtId="0" fontId="47" fillId="0" borderId="6" xfId="0" applyFont="1" applyFill="1" applyBorder="1" applyProtection="1">
      <protection hidden="1"/>
    </xf>
    <xf numFmtId="164" fontId="47" fillId="0" borderId="6" xfId="2" applyNumberFormat="1" applyFont="1" applyFill="1" applyBorder="1" applyProtection="1">
      <protection hidden="1"/>
    </xf>
    <xf numFmtId="164" fontId="47" fillId="0" borderId="37" xfId="2" applyNumberFormat="1" applyFont="1" applyFill="1" applyBorder="1" applyProtection="1">
      <protection hidden="1"/>
    </xf>
    <xf numFmtId="0" fontId="47" fillId="0" borderId="0" xfId="0" applyFont="1" applyFill="1" applyProtection="1"/>
    <xf numFmtId="0" fontId="72" fillId="0" borderId="0" xfId="0" applyFont="1" applyFill="1"/>
    <xf numFmtId="0" fontId="73" fillId="0" borderId="0" xfId="0" applyFont="1" applyFill="1"/>
    <xf numFmtId="0" fontId="25" fillId="0" borderId="0" xfId="0" applyFont="1" applyFill="1" applyAlignment="1">
      <alignment horizontal="centerContinuous"/>
    </xf>
    <xf numFmtId="49" fontId="25" fillId="0" borderId="0" xfId="0" applyNumberFormat="1" applyFont="1" applyFill="1" applyAlignment="1">
      <alignment horizontal="centerContinuous"/>
    </xf>
    <xf numFmtId="164" fontId="25" fillId="0" borderId="0" xfId="2" applyNumberFormat="1" applyFont="1" applyFill="1" applyAlignment="1">
      <alignment horizontal="centerContinuous"/>
    </xf>
    <xf numFmtId="164" fontId="25" fillId="0" borderId="0" xfId="2" applyNumberFormat="1" applyFont="1" applyFill="1"/>
    <xf numFmtId="49" fontId="34" fillId="0" borderId="0" xfId="0" applyNumberFormat="1" applyFont="1" applyFill="1" applyAlignment="1">
      <alignment horizontal="centerContinuous"/>
    </xf>
    <xf numFmtId="49" fontId="25" fillId="0" borderId="0" xfId="0" applyNumberFormat="1" applyFont="1" applyFill="1" applyAlignment="1">
      <alignment horizontal="center"/>
    </xf>
    <xf numFmtId="0" fontId="25" fillId="0" borderId="0" xfId="0" applyFont="1" applyFill="1" applyAlignment="1"/>
    <xf numFmtId="164" fontId="25" fillId="0" borderId="0" xfId="2" applyNumberFormat="1" applyFont="1" applyFill="1" applyAlignment="1"/>
    <xf numFmtId="0" fontId="25" fillId="0" borderId="6" xfId="0" quotePrefix="1" applyFont="1" applyFill="1" applyBorder="1" applyAlignment="1">
      <alignment horizontal="left"/>
    </xf>
    <xf numFmtId="164" fontId="25" fillId="0" borderId="14" xfId="2" applyNumberFormat="1" applyFont="1" applyFill="1" applyBorder="1" applyAlignment="1"/>
    <xf numFmtId="49" fontId="25" fillId="0" borderId="6" xfId="0" applyNumberFormat="1" applyFont="1" applyFill="1" applyBorder="1" applyAlignment="1">
      <alignment horizontal="center"/>
    </xf>
    <xf numFmtId="0" fontId="25" fillId="0" borderId="0" xfId="0" applyFont="1" applyFill="1" applyAlignment="1">
      <alignment horizontal="left"/>
    </xf>
    <xf numFmtId="164" fontId="25" fillId="0" borderId="6" xfId="2" applyNumberFormat="1" applyFont="1" applyFill="1" applyBorder="1" applyAlignment="1" applyProtection="1">
      <protection locked="0"/>
    </xf>
    <xf numFmtId="0" fontId="25" fillId="0" borderId="0" xfId="0" applyFont="1" applyFill="1" applyBorder="1" applyProtection="1">
      <protection locked="0"/>
    </xf>
    <xf numFmtId="49" fontId="25" fillId="0" borderId="6" xfId="13" quotePrefix="1" applyNumberFormat="1" applyFont="1" applyFill="1" applyBorder="1" applyAlignment="1">
      <alignment horizontal="center"/>
    </xf>
    <xf numFmtId="164" fontId="25" fillId="0" borderId="6" xfId="2" applyNumberFormat="1" applyFont="1" applyFill="1" applyBorder="1" applyAlignment="1">
      <alignment horizontal="right"/>
    </xf>
    <xf numFmtId="16" fontId="25" fillId="0" borderId="6" xfId="0" quotePrefix="1" applyNumberFormat="1" applyFont="1" applyFill="1" applyBorder="1" applyAlignment="1">
      <alignment horizontal="left"/>
    </xf>
    <xf numFmtId="0" fontId="25" fillId="0" borderId="6" xfId="0" applyFont="1" applyFill="1" applyBorder="1" applyAlignment="1" applyProtection="1">
      <alignment horizontal="center"/>
      <protection locked="0"/>
    </xf>
    <xf numFmtId="164" fontId="25" fillId="0" borderId="6" xfId="2" applyNumberFormat="1" applyFont="1" applyFill="1" applyBorder="1" applyProtection="1">
      <protection locked="0"/>
    </xf>
    <xf numFmtId="3" fontId="25" fillId="0" borderId="0" xfId="0" applyNumberFormat="1" applyFont="1" applyFill="1" applyAlignment="1">
      <alignment horizontal="center"/>
    </xf>
    <xf numFmtId="0" fontId="72" fillId="0" borderId="6" xfId="0" applyFont="1" applyFill="1" applyBorder="1" applyAlignment="1">
      <alignment horizontal="left"/>
    </xf>
    <xf numFmtId="49" fontId="72" fillId="0" borderId="6" xfId="0" quotePrefix="1" applyNumberFormat="1" applyFont="1" applyFill="1" applyBorder="1" applyAlignment="1">
      <alignment horizontal="center"/>
    </xf>
    <xf numFmtId="0" fontId="72" fillId="0" borderId="6" xfId="0" applyFont="1" applyFill="1" applyBorder="1" applyAlignment="1">
      <alignment horizontal="left" wrapText="1"/>
    </xf>
    <xf numFmtId="0" fontId="72" fillId="0" borderId="6" xfId="0" applyFont="1" applyFill="1" applyBorder="1" applyAlignment="1">
      <alignment horizontal="center"/>
    </xf>
    <xf numFmtId="164" fontId="72" fillId="0" borderId="6" xfId="2" applyNumberFormat="1" applyFont="1" applyFill="1" applyBorder="1"/>
    <xf numFmtId="0" fontId="25" fillId="0" borderId="6" xfId="0" quotePrefix="1" applyFont="1" applyFill="1" applyBorder="1" applyAlignment="1">
      <alignment horizontal="left" wrapText="1"/>
    </xf>
    <xf numFmtId="3" fontId="25" fillId="0" borderId="6" xfId="16" applyNumberFormat="1" applyFont="1" applyFill="1" applyBorder="1" applyAlignment="1">
      <alignment horizontal="left"/>
    </xf>
    <xf numFmtId="0" fontId="25" fillId="0" borderId="14" xfId="0" applyFont="1" applyFill="1" applyBorder="1" applyAlignment="1"/>
    <xf numFmtId="49" fontId="25" fillId="0" borderId="14" xfId="0" applyNumberFormat="1" applyFont="1" applyFill="1" applyBorder="1" applyAlignment="1">
      <alignment horizontal="center"/>
    </xf>
    <xf numFmtId="0" fontId="25" fillId="0" borderId="6" xfId="0" applyFont="1" applyFill="1" applyBorder="1" applyProtection="1">
      <protection locked="0"/>
    </xf>
    <xf numFmtId="0" fontId="25" fillId="0" borderId="47" xfId="0" applyFont="1" applyFill="1" applyBorder="1" applyProtection="1">
      <protection locked="0"/>
    </xf>
    <xf numFmtId="43" fontId="25" fillId="0" borderId="6" xfId="2" applyFont="1" applyFill="1" applyBorder="1" applyProtection="1">
      <protection locked="0"/>
    </xf>
    <xf numFmtId="164" fontId="25" fillId="0" borderId="47" xfId="2" applyNumberFormat="1" applyFont="1" applyFill="1" applyBorder="1" applyAlignment="1"/>
    <xf numFmtId="49" fontId="34" fillId="0" borderId="0" xfId="0" applyNumberFormat="1" applyFont="1" applyFill="1" applyAlignment="1">
      <alignment horizontal="left"/>
    </xf>
    <xf numFmtId="0" fontId="25" fillId="0" borderId="6" xfId="0" applyFont="1" applyFill="1" applyBorder="1" applyAlignment="1" applyProtection="1">
      <alignment horizontal="left"/>
      <protection locked="0"/>
    </xf>
    <xf numFmtId="49" fontId="25" fillId="0" borderId="6" xfId="0" applyNumberFormat="1" applyFont="1" applyFill="1" applyBorder="1" applyAlignment="1" applyProtection="1">
      <alignment horizontal="center"/>
      <protection locked="0"/>
    </xf>
    <xf numFmtId="0" fontId="31" fillId="0" borderId="6" xfId="0" applyFont="1" applyFill="1" applyBorder="1" applyAlignment="1" applyProtection="1">
      <alignment horizontal="left" wrapText="1"/>
      <protection hidden="1"/>
    </xf>
    <xf numFmtId="164" fontId="72" fillId="0" borderId="6" xfId="2" applyNumberFormat="1" applyFont="1" applyFill="1" applyBorder="1" applyAlignment="1"/>
    <xf numFmtId="0" fontId="31" fillId="0" borderId="0" xfId="0" applyFont="1" applyFill="1" applyBorder="1" applyAlignment="1" applyProtection="1">
      <alignment horizontal="left" vertical="center"/>
    </xf>
    <xf numFmtId="0" fontId="31" fillId="0" borderId="0" xfId="0" applyFont="1" applyFill="1" applyBorder="1" applyAlignment="1" applyProtection="1">
      <alignment horizontal="center" vertical="center"/>
    </xf>
    <xf numFmtId="0" fontId="31" fillId="0" borderId="27" xfId="0" applyFont="1" applyFill="1" applyBorder="1" applyAlignment="1" applyProtection="1">
      <alignment horizontal="center" vertical="center"/>
      <protection hidden="1"/>
    </xf>
    <xf numFmtId="0" fontId="31" fillId="0" borderId="6" xfId="0" applyFont="1" applyFill="1" applyBorder="1" applyAlignment="1" applyProtection="1">
      <alignment horizontal="left" vertical="center" wrapText="1"/>
      <protection hidden="1"/>
    </xf>
    <xf numFmtId="0" fontId="31" fillId="0" borderId="6" xfId="0" applyFont="1" applyFill="1" applyBorder="1" applyAlignment="1" applyProtection="1">
      <alignment horizontal="center" vertical="center"/>
      <protection hidden="1"/>
    </xf>
    <xf numFmtId="167" fontId="31" fillId="0" borderId="6" xfId="2" applyNumberFormat="1" applyFont="1" applyFill="1" applyBorder="1" applyAlignment="1" applyProtection="1">
      <alignment vertical="center"/>
      <protection hidden="1"/>
    </xf>
    <xf numFmtId="164" fontId="31" fillId="0" borderId="6" xfId="2" applyNumberFormat="1" applyFont="1" applyFill="1" applyBorder="1" applyAlignment="1" applyProtection="1">
      <alignment vertical="center"/>
      <protection hidden="1"/>
    </xf>
    <xf numFmtId="0" fontId="31" fillId="0" borderId="6" xfId="0" applyFont="1" applyFill="1" applyBorder="1" applyAlignment="1" applyProtection="1">
      <alignment vertical="center"/>
      <protection hidden="1"/>
    </xf>
    <xf numFmtId="164" fontId="31" fillId="0" borderId="37" xfId="2" applyNumberFormat="1" applyFont="1" applyFill="1" applyBorder="1" applyAlignment="1" applyProtection="1">
      <alignment vertical="center"/>
      <protection hidden="1"/>
    </xf>
    <xf numFmtId="0" fontId="43" fillId="20" borderId="3" xfId="2" applyNumberFormat="1" applyFont="1" applyFill="1" applyBorder="1" applyAlignment="1" applyProtection="1">
      <alignment horizontal="center" vertical="center"/>
    </xf>
    <xf numFmtId="168" fontId="31" fillId="0" borderId="0" xfId="2" applyNumberFormat="1" applyFont="1" applyFill="1" applyBorder="1" applyAlignment="1">
      <alignment horizontal="center"/>
    </xf>
    <xf numFmtId="164" fontId="25" fillId="20" borderId="6" xfId="2" applyNumberFormat="1" applyFont="1" applyFill="1" applyBorder="1" applyAlignment="1"/>
    <xf numFmtId="0" fontId="25" fillId="0" borderId="14" xfId="0" quotePrefix="1" applyFont="1" applyFill="1" applyBorder="1" applyAlignment="1">
      <alignment horizontal="center"/>
    </xf>
    <xf numFmtId="0" fontId="43" fillId="0" borderId="163" xfId="0" applyFont="1" applyFill="1" applyBorder="1" applyAlignment="1" applyProtection="1">
      <alignment horizontal="center" vertical="center"/>
      <protection hidden="1"/>
    </xf>
    <xf numFmtId="0" fontId="43" fillId="0" borderId="163" xfId="0" applyFont="1" applyFill="1" applyBorder="1" applyAlignment="1" applyProtection="1">
      <alignment horizontal="center" vertical="center"/>
    </xf>
    <xf numFmtId="0" fontId="43" fillId="0" borderId="163" xfId="0" applyFont="1" applyFill="1" applyBorder="1" applyAlignment="1" applyProtection="1">
      <alignment horizontal="centerContinuous" vertical="center"/>
      <protection hidden="1"/>
    </xf>
    <xf numFmtId="0" fontId="43" fillId="0" borderId="164" xfId="0" applyFont="1" applyFill="1" applyBorder="1" applyAlignment="1" applyProtection="1">
      <alignment horizontal="centerContinuous" vertical="center"/>
      <protection hidden="1"/>
    </xf>
    <xf numFmtId="0" fontId="31" fillId="0" borderId="45" xfId="0" applyFont="1" applyFill="1" applyBorder="1" applyAlignment="1" applyProtection="1">
      <alignment horizontal="center"/>
      <protection hidden="1"/>
    </xf>
    <xf numFmtId="164" fontId="43" fillId="0" borderId="45" xfId="0" applyNumberFormat="1" applyFont="1" applyFill="1" applyBorder="1" applyProtection="1">
      <protection hidden="1"/>
    </xf>
    <xf numFmtId="164" fontId="31" fillId="0" borderId="45" xfId="2" applyNumberFormat="1" applyFont="1" applyFill="1" applyBorder="1" applyProtection="1">
      <protection hidden="1"/>
    </xf>
    <xf numFmtId="164" fontId="43" fillId="0" borderId="45" xfId="2" applyNumberFormat="1" applyFont="1" applyFill="1" applyBorder="1" applyProtection="1">
      <protection hidden="1"/>
    </xf>
    <xf numFmtId="164" fontId="31" fillId="0" borderId="45" xfId="2" applyNumberFormat="1" applyFont="1" applyFill="1" applyBorder="1" applyAlignment="1" applyProtection="1">
      <alignment vertical="center"/>
      <protection hidden="1"/>
    </xf>
    <xf numFmtId="164" fontId="31" fillId="0" borderId="60" xfId="2" applyNumberFormat="1" applyFont="1" applyFill="1" applyBorder="1" applyProtection="1">
      <protection hidden="1"/>
    </xf>
    <xf numFmtId="164" fontId="43" fillId="0" borderId="60" xfId="0" applyNumberFormat="1" applyFont="1" applyFill="1" applyBorder="1" applyProtection="1">
      <protection hidden="1"/>
    </xf>
    <xf numFmtId="169" fontId="31" fillId="0" borderId="0" xfId="2" applyNumberFormat="1" applyFont="1" applyFill="1" applyBorder="1"/>
    <xf numFmtId="49" fontId="35" fillId="0" borderId="27" xfId="2" applyNumberFormat="1" applyFont="1" applyFill="1" applyBorder="1" applyAlignment="1" applyProtection="1">
      <alignment horizontal="center" vertical="center"/>
    </xf>
    <xf numFmtId="0" fontId="31" fillId="0" borderId="163" xfId="2" applyNumberFormat="1" applyFont="1" applyFill="1" applyBorder="1" applyAlignment="1" applyProtection="1">
      <alignment horizontal="center" vertical="center" textRotation="90"/>
    </xf>
    <xf numFmtId="0" fontId="31" fillId="0" borderId="163" xfId="2" applyNumberFormat="1" applyFont="1" applyFill="1" applyBorder="1" applyAlignment="1" applyProtection="1">
      <alignment horizontal="center" textRotation="90"/>
    </xf>
    <xf numFmtId="0" fontId="31" fillId="0" borderId="53" xfId="2" applyNumberFormat="1" applyFont="1" applyFill="1" applyBorder="1" applyAlignment="1" applyProtection="1">
      <alignment horizontal="center" textRotation="90" wrapText="1"/>
    </xf>
    <xf numFmtId="0" fontId="43" fillId="0" borderId="163" xfId="0" applyFont="1" applyFill="1" applyBorder="1" applyAlignment="1" applyProtection="1">
      <alignment horizontal="center" vertical="center" wrapText="1"/>
      <protection hidden="1"/>
    </xf>
    <xf numFmtId="0" fontId="43" fillId="0" borderId="53" xfId="0" applyFont="1" applyFill="1" applyBorder="1" applyAlignment="1" applyProtection="1">
      <alignment horizontal="center" vertical="center" wrapText="1"/>
      <protection hidden="1"/>
    </xf>
    <xf numFmtId="0" fontId="43" fillId="0" borderId="6" xfId="0" applyFont="1" applyFill="1" applyBorder="1" applyAlignment="1" applyProtection="1">
      <alignment horizontal="left" wrapText="1"/>
      <protection hidden="1"/>
    </xf>
    <xf numFmtId="0" fontId="47" fillId="0" borderId="6" xfId="0" applyFont="1" applyFill="1" applyBorder="1" applyAlignment="1" applyProtection="1">
      <alignment horizontal="left" wrapText="1"/>
      <protection hidden="1"/>
    </xf>
    <xf numFmtId="0" fontId="31" fillId="0" borderId="0" xfId="0" applyFont="1" applyFill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left" vertical="top"/>
    </xf>
    <xf numFmtId="0" fontId="31" fillId="0" borderId="0" xfId="0" applyFont="1" applyFill="1" applyBorder="1" applyAlignment="1" applyProtection="1">
      <alignment horizontal="center" vertical="top"/>
    </xf>
    <xf numFmtId="173" fontId="31" fillId="0" borderId="27" xfId="0" applyNumberFormat="1" applyFont="1" applyFill="1" applyBorder="1" applyAlignment="1" applyProtection="1">
      <alignment horizontal="right" vertical="top"/>
      <protection hidden="1"/>
    </xf>
    <xf numFmtId="0" fontId="31" fillId="0" borderId="6" xfId="0" applyFont="1" applyFill="1" applyBorder="1" applyAlignment="1" applyProtection="1">
      <alignment horizontal="left" vertical="top" wrapText="1"/>
      <protection hidden="1"/>
    </xf>
    <xf numFmtId="0" fontId="31" fillId="0" borderId="6" xfId="0" applyFont="1" applyFill="1" applyBorder="1" applyAlignment="1" applyProtection="1">
      <alignment horizontal="center" vertical="top"/>
      <protection hidden="1"/>
    </xf>
    <xf numFmtId="164" fontId="31" fillId="0" borderId="6" xfId="2" applyNumberFormat="1" applyFont="1" applyFill="1" applyBorder="1" applyAlignment="1" applyProtection="1">
      <alignment vertical="top"/>
      <protection hidden="1"/>
    </xf>
    <xf numFmtId="171" fontId="31" fillId="0" borderId="6" xfId="0" applyNumberFormat="1" applyFont="1" applyFill="1" applyBorder="1" applyAlignment="1" applyProtection="1">
      <alignment vertical="top"/>
      <protection hidden="1"/>
    </xf>
    <xf numFmtId="0" fontId="31" fillId="0" borderId="6" xfId="0" applyFont="1" applyFill="1" applyBorder="1" applyAlignment="1" applyProtection="1">
      <alignment vertical="top"/>
      <protection hidden="1"/>
    </xf>
    <xf numFmtId="164" fontId="31" fillId="0" borderId="60" xfId="2" applyNumberFormat="1" applyFont="1" applyFill="1" applyBorder="1" applyAlignment="1" applyProtection="1">
      <alignment vertical="top"/>
      <protection hidden="1"/>
    </xf>
    <xf numFmtId="0" fontId="31" fillId="0" borderId="0" xfId="0" applyFont="1" applyFill="1" applyAlignment="1" applyProtection="1">
      <alignment vertical="top"/>
    </xf>
    <xf numFmtId="49" fontId="43" fillId="20" borderId="64" xfId="2" quotePrefix="1" applyNumberFormat="1" applyFont="1" applyFill="1" applyBorder="1" applyAlignment="1" applyProtection="1">
      <alignment horizontal="center" vertical="center"/>
    </xf>
    <xf numFmtId="0" fontId="43" fillId="20" borderId="51" xfId="2" applyNumberFormat="1" applyFont="1" applyFill="1" applyBorder="1" applyAlignment="1" applyProtection="1">
      <alignment horizontal="center" vertical="center" wrapText="1"/>
    </xf>
    <xf numFmtId="49" fontId="43" fillId="21" borderId="171" xfId="11" applyNumberFormat="1" applyFont="1" applyFill="1" applyBorder="1" applyAlignment="1">
      <alignment vertical="center"/>
    </xf>
    <xf numFmtId="49" fontId="43" fillId="21" borderId="172" xfId="11" applyNumberFormat="1" applyFont="1" applyFill="1" applyBorder="1" applyAlignment="1">
      <alignment vertical="center"/>
    </xf>
    <xf numFmtId="168" fontId="43" fillId="21" borderId="58" xfId="11" applyNumberFormat="1" applyFont="1" applyFill="1" applyBorder="1" applyAlignment="1">
      <alignment vertical="center"/>
    </xf>
    <xf numFmtId="0" fontId="43" fillId="21" borderId="50" xfId="11" applyNumberFormat="1" applyFont="1" applyFill="1" applyBorder="1" applyAlignment="1">
      <alignment horizontal="center" vertical="center"/>
    </xf>
    <xf numFmtId="0" fontId="43" fillId="21" borderId="0" xfId="2" applyNumberFormat="1" applyFont="1" applyFill="1" applyBorder="1"/>
    <xf numFmtId="168" fontId="43" fillId="21" borderId="63" xfId="11" applyNumberFormat="1" applyFont="1" applyFill="1" applyBorder="1" applyAlignment="1">
      <alignment vertical="center"/>
    </xf>
    <xf numFmtId="0" fontId="43" fillId="21" borderId="62" xfId="12" applyNumberFormat="1" applyFont="1" applyFill="1" applyBorder="1" applyAlignment="1" applyProtection="1">
      <alignment horizontal="left" vertical="center"/>
      <protection locked="0"/>
    </xf>
    <xf numFmtId="168" fontId="35" fillId="21" borderId="58" xfId="12" applyNumberFormat="1" applyFont="1" applyFill="1" applyBorder="1" applyAlignment="1">
      <alignment horizontal="center" vertical="center"/>
    </xf>
    <xf numFmtId="3" fontId="43" fillId="21" borderId="0" xfId="12" applyNumberFormat="1" applyFont="1" applyFill="1" applyAlignment="1">
      <alignment horizontal="center"/>
    </xf>
    <xf numFmtId="0" fontId="43" fillId="21" borderId="0" xfId="12" applyNumberFormat="1" applyFont="1" applyFill="1" applyAlignment="1">
      <alignment horizontal="center"/>
    </xf>
    <xf numFmtId="0" fontId="39" fillId="21" borderId="0" xfId="12" applyNumberFormat="1" applyFont="1" applyFill="1" applyAlignment="1">
      <alignment horizontal="center"/>
    </xf>
    <xf numFmtId="167" fontId="31" fillId="0" borderId="6" xfId="2" applyNumberFormat="1" applyFont="1" applyFill="1" applyBorder="1" applyAlignment="1" applyProtection="1">
      <alignment vertical="top"/>
    </xf>
    <xf numFmtId="167" fontId="31" fillId="0" borderId="6" xfId="2" quotePrefix="1" applyNumberFormat="1" applyFont="1" applyFill="1" applyBorder="1" applyAlignment="1" applyProtection="1">
      <alignment vertical="center"/>
    </xf>
    <xf numFmtId="167" fontId="31" fillId="0" borderId="6" xfId="2" applyNumberFormat="1" applyFont="1" applyFill="1" applyBorder="1" applyAlignment="1" applyProtection="1">
      <alignment horizontal="center"/>
    </xf>
    <xf numFmtId="167" fontId="31" fillId="0" borderId="6" xfId="2" applyNumberFormat="1" applyFont="1" applyFill="1" applyBorder="1" applyAlignment="1" applyProtection="1">
      <alignment vertical="top"/>
      <protection hidden="1"/>
    </xf>
    <xf numFmtId="168" fontId="31" fillId="0" borderId="8" xfId="11" applyNumberFormat="1" applyFont="1" applyFill="1" applyBorder="1" applyAlignment="1">
      <alignment horizontal="center"/>
    </xf>
    <xf numFmtId="0" fontId="31" fillId="0" borderId="73" xfId="2" applyNumberFormat="1" applyFont="1" applyFill="1" applyBorder="1" applyAlignment="1" applyProtection="1">
      <alignment horizontal="center" textRotation="90"/>
    </xf>
    <xf numFmtId="0" fontId="31" fillId="0" borderId="25" xfId="2" applyNumberFormat="1" applyFont="1" applyFill="1" applyBorder="1" applyAlignment="1" applyProtection="1">
      <alignment horizontal="center" textRotation="90"/>
    </xf>
    <xf numFmtId="0" fontId="25" fillId="0" borderId="0" xfId="0" applyFont="1" applyFill="1" applyBorder="1" applyAlignment="1" applyProtection="1">
      <alignment horizontal="left" vertical="center"/>
    </xf>
    <xf numFmtId="0" fontId="25" fillId="0" borderId="0" xfId="0" applyFont="1" applyFill="1" applyBorder="1" applyAlignment="1" applyProtection="1">
      <alignment vertical="center"/>
    </xf>
    <xf numFmtId="167" fontId="31" fillId="0" borderId="6" xfId="2" applyNumberFormat="1" applyFont="1" applyFill="1" applyBorder="1" applyAlignment="1" applyProtection="1">
      <alignment vertical="center"/>
    </xf>
    <xf numFmtId="0" fontId="25" fillId="0" borderId="0" xfId="0" applyFont="1" applyFill="1" applyAlignment="1" applyProtection="1">
      <alignment vertical="center" wrapText="1"/>
      <protection locked="0"/>
    </xf>
    <xf numFmtId="0" fontId="25" fillId="0" borderId="0" xfId="0" applyFont="1" applyFill="1" applyAlignment="1" applyProtection="1">
      <alignment horizontal="center" vertical="center" wrapText="1"/>
      <protection locked="0"/>
    </xf>
    <xf numFmtId="0" fontId="35" fillId="0" borderId="3" xfId="0" applyFont="1" applyFill="1" applyBorder="1" applyAlignment="1" applyProtection="1">
      <alignment horizontal="center" vertical="center" wrapText="1"/>
      <protection locked="0"/>
    </xf>
    <xf numFmtId="0" fontId="78" fillId="20" borderId="3" xfId="0" applyFont="1" applyFill="1" applyBorder="1" applyAlignment="1" applyProtection="1">
      <alignment horizontal="center" vertical="center" wrapText="1"/>
      <protection locked="0"/>
    </xf>
    <xf numFmtId="0" fontId="31" fillId="0" borderId="0" xfId="0" applyFont="1" applyFill="1" applyProtection="1">
      <protection locked="0"/>
    </xf>
    <xf numFmtId="0" fontId="43" fillId="0" borderId="0" xfId="0" applyFont="1" applyFill="1" applyAlignment="1" applyProtection="1">
      <alignment horizontal="centerContinuous"/>
      <protection locked="0"/>
    </xf>
    <xf numFmtId="0" fontId="43" fillId="0" borderId="0" xfId="0" applyFont="1" applyFill="1" applyAlignment="1" applyProtection="1">
      <protection locked="0"/>
    </xf>
    <xf numFmtId="0" fontId="79" fillId="20" borderId="0" xfId="0" applyFont="1" applyFill="1" applyProtection="1">
      <protection locked="0"/>
    </xf>
    <xf numFmtId="0" fontId="79" fillId="0" borderId="0" xfId="0" applyFont="1" applyFill="1" applyProtection="1">
      <protection locked="0"/>
    </xf>
    <xf numFmtId="0" fontId="43" fillId="0" borderId="46" xfId="0" applyFont="1" applyFill="1" applyBorder="1" applyAlignment="1" applyProtection="1">
      <alignment horizontal="center"/>
      <protection locked="0"/>
    </xf>
    <xf numFmtId="0" fontId="31" fillId="0" borderId="46" xfId="0" applyFont="1" applyFill="1" applyBorder="1" applyAlignment="1" applyProtection="1">
      <alignment horizontal="center"/>
      <protection locked="0"/>
    </xf>
    <xf numFmtId="166" fontId="31" fillId="0" borderId="46" xfId="2" applyNumberFormat="1" applyFont="1" applyFill="1" applyBorder="1" applyProtection="1">
      <protection locked="0"/>
    </xf>
    <xf numFmtId="166" fontId="31" fillId="0" borderId="6" xfId="2" applyNumberFormat="1" applyFont="1" applyFill="1" applyBorder="1" applyProtection="1">
      <protection hidden="1"/>
    </xf>
    <xf numFmtId="43" fontId="79" fillId="20" borderId="6" xfId="2" applyNumberFormat="1" applyFont="1" applyFill="1" applyBorder="1" applyProtection="1">
      <protection hidden="1"/>
    </xf>
    <xf numFmtId="43" fontId="79" fillId="0" borderId="6" xfId="2" applyNumberFormat="1" applyFont="1" applyFill="1" applyBorder="1" applyProtection="1">
      <protection hidden="1"/>
    </xf>
    <xf numFmtId="0" fontId="31" fillId="0" borderId="6" xfId="0" applyFont="1" applyFill="1" applyBorder="1" applyAlignment="1" applyProtection="1">
      <protection hidden="1"/>
    </xf>
    <xf numFmtId="166" fontId="31" fillId="0" borderId="6" xfId="2" applyNumberFormat="1" applyFont="1" applyFill="1" applyBorder="1" applyAlignment="1" applyProtection="1">
      <alignment horizontal="center"/>
      <protection hidden="1"/>
    </xf>
    <xf numFmtId="166" fontId="79" fillId="0" borderId="6" xfId="2" applyNumberFormat="1" applyFont="1" applyFill="1" applyBorder="1" applyProtection="1">
      <protection hidden="1"/>
    </xf>
    <xf numFmtId="1" fontId="79" fillId="0" borderId="6" xfId="2" applyNumberFormat="1" applyFont="1" applyFill="1" applyBorder="1" applyAlignment="1" applyProtection="1">
      <alignment horizontal="center"/>
      <protection hidden="1"/>
    </xf>
    <xf numFmtId="0" fontId="79" fillId="0" borderId="6" xfId="0" applyFont="1" applyFill="1" applyBorder="1" applyAlignment="1" applyProtection="1">
      <protection hidden="1"/>
    </xf>
    <xf numFmtId="0" fontId="79" fillId="0" borderId="6" xfId="0" applyFont="1" applyFill="1" applyBorder="1" applyAlignment="1" applyProtection="1">
      <alignment horizontal="center"/>
      <protection hidden="1"/>
    </xf>
    <xf numFmtId="166" fontId="79" fillId="0" borderId="6" xfId="2" applyNumberFormat="1" applyFont="1" applyFill="1" applyBorder="1" applyAlignment="1" applyProtection="1">
      <alignment horizontal="center"/>
      <protection hidden="1"/>
    </xf>
    <xf numFmtId="3" fontId="31" fillId="0" borderId="0" xfId="16" applyNumberFormat="1" applyFont="1" applyFill="1" applyAlignment="1" applyProtection="1">
      <alignment horizontal="left" vertical="center"/>
    </xf>
    <xf numFmtId="0" fontId="31" fillId="0" borderId="26" xfId="0" applyFont="1" applyFill="1" applyBorder="1" applyAlignment="1" applyProtection="1">
      <protection locked="0"/>
    </xf>
    <xf numFmtId="166" fontId="31" fillId="0" borderId="15" xfId="2" applyNumberFormat="1" applyFont="1" applyFill="1" applyBorder="1" applyProtection="1">
      <protection hidden="1"/>
    </xf>
    <xf numFmtId="43" fontId="79" fillId="20" borderId="15" xfId="2" applyNumberFormat="1" applyFont="1" applyFill="1" applyBorder="1" applyProtection="1">
      <protection hidden="1"/>
    </xf>
    <xf numFmtId="0" fontId="31" fillId="0" borderId="26" xfId="0" quotePrefix="1" applyFont="1" applyFill="1" applyBorder="1" applyAlignment="1" applyProtection="1">
      <alignment horizontal="left"/>
      <protection locked="0"/>
    </xf>
    <xf numFmtId="0" fontId="71" fillId="0" borderId="0" xfId="0" applyFont="1" applyFill="1" applyProtection="1">
      <protection locked="0"/>
    </xf>
    <xf numFmtId="0" fontId="71" fillId="0" borderId="26" xfId="0" quotePrefix="1" applyFont="1" applyFill="1" applyBorder="1" applyAlignment="1" applyProtection="1">
      <alignment horizontal="left"/>
      <protection locked="0"/>
    </xf>
    <xf numFmtId="1" fontId="71" fillId="0" borderId="6" xfId="2" applyNumberFormat="1" applyFont="1" applyFill="1" applyBorder="1" applyAlignment="1" applyProtection="1">
      <alignment horizontal="center"/>
      <protection hidden="1"/>
    </xf>
    <xf numFmtId="0" fontId="71" fillId="0" borderId="6" xfId="0" applyFont="1" applyFill="1" applyBorder="1" applyAlignment="1" applyProtection="1">
      <protection hidden="1"/>
    </xf>
    <xf numFmtId="0" fontId="71" fillId="0" borderId="6" xfId="0" applyFont="1" applyFill="1" applyBorder="1" applyAlignment="1" applyProtection="1">
      <alignment horizontal="center"/>
      <protection hidden="1"/>
    </xf>
    <xf numFmtId="166" fontId="71" fillId="0" borderId="6" xfId="2" applyNumberFormat="1" applyFont="1" applyFill="1" applyBorder="1" applyAlignment="1" applyProtection="1">
      <alignment horizontal="center"/>
      <protection hidden="1"/>
    </xf>
    <xf numFmtId="166" fontId="71" fillId="0" borderId="6" xfId="2" applyNumberFormat="1" applyFont="1" applyFill="1" applyBorder="1" applyProtection="1">
      <protection hidden="1"/>
    </xf>
    <xf numFmtId="43" fontId="71" fillId="20" borderId="6" xfId="2" applyNumberFormat="1" applyFont="1" applyFill="1" applyBorder="1" applyProtection="1">
      <protection hidden="1"/>
    </xf>
    <xf numFmtId="16" fontId="31" fillId="0" borderId="26" xfId="0" quotePrefix="1" applyNumberFormat="1" applyFont="1" applyFill="1" applyBorder="1" applyAlignment="1" applyProtection="1">
      <alignment horizontal="left"/>
      <protection locked="0"/>
    </xf>
    <xf numFmtId="0" fontId="31" fillId="0" borderId="26" xfId="0" applyFont="1" applyFill="1" applyBorder="1" applyProtection="1">
      <protection locked="0"/>
    </xf>
    <xf numFmtId="0" fontId="43" fillId="0" borderId="0" xfId="0" applyFont="1" applyFill="1" applyProtection="1">
      <protection locked="0"/>
    </xf>
    <xf numFmtId="43" fontId="31" fillId="0" borderId="0" xfId="2" applyFont="1" applyFill="1" applyBorder="1" applyProtection="1">
      <protection locked="0"/>
    </xf>
    <xf numFmtId="1" fontId="43" fillId="0" borderId="6" xfId="2" applyNumberFormat="1" applyFont="1" applyFill="1" applyBorder="1" applyAlignment="1" applyProtection="1">
      <alignment horizontal="center"/>
      <protection hidden="1"/>
    </xf>
    <xf numFmtId="0" fontId="43" fillId="0" borderId="53" xfId="0" applyFont="1" applyFill="1" applyBorder="1" applyProtection="1">
      <protection locked="0"/>
    </xf>
    <xf numFmtId="166" fontId="43" fillId="0" borderId="53" xfId="2" applyNumberFormat="1" applyFont="1" applyFill="1" applyBorder="1" applyProtection="1">
      <protection locked="0"/>
    </xf>
    <xf numFmtId="166" fontId="43" fillId="0" borderId="42" xfId="2" applyNumberFormat="1" applyFont="1" applyFill="1" applyBorder="1" applyProtection="1">
      <protection locked="0"/>
    </xf>
    <xf numFmtId="43" fontId="80" fillId="20" borderId="42" xfId="2" applyNumberFormat="1" applyFont="1" applyFill="1" applyBorder="1" applyProtection="1">
      <protection locked="0"/>
    </xf>
    <xf numFmtId="164" fontId="43" fillId="0" borderId="0" xfId="0" applyNumberFormat="1" applyFont="1" applyFill="1" applyProtection="1">
      <protection locked="0"/>
    </xf>
    <xf numFmtId="0" fontId="80" fillId="20" borderId="0" xfId="0" applyFont="1" applyFill="1" applyProtection="1">
      <protection locked="0"/>
    </xf>
    <xf numFmtId="166" fontId="43" fillId="0" borderId="0" xfId="0" applyNumberFormat="1" applyFont="1" applyFill="1" applyProtection="1">
      <protection locked="0"/>
    </xf>
    <xf numFmtId="0" fontId="43" fillId="0" borderId="0" xfId="0" applyFont="1" applyFill="1" applyAlignment="1" applyProtection="1">
      <alignment horizontal="right"/>
      <protection locked="0"/>
    </xf>
    <xf numFmtId="164" fontId="80" fillId="20" borderId="0" xfId="0" applyNumberFormat="1" applyFont="1" applyFill="1" applyProtection="1">
      <protection locked="0"/>
    </xf>
    <xf numFmtId="0" fontId="43" fillId="0" borderId="34" xfId="2" applyNumberFormat="1" applyFont="1" applyFill="1" applyBorder="1" applyAlignment="1" applyProtection="1">
      <alignment horizontal="centerContinuous"/>
      <protection locked="0"/>
    </xf>
    <xf numFmtId="0" fontId="43" fillId="0" borderId="40" xfId="2" applyNumberFormat="1" applyFont="1" applyFill="1" applyBorder="1" applyAlignment="1" applyProtection="1">
      <alignment horizontal="centerContinuous"/>
      <protection locked="0"/>
    </xf>
    <xf numFmtId="0" fontId="31" fillId="0" borderId="163" xfId="2" applyNumberFormat="1" applyFont="1" applyFill="1" applyBorder="1" applyAlignment="1" applyProtection="1">
      <alignment vertical="center" textRotation="90"/>
      <protection locked="0"/>
    </xf>
    <xf numFmtId="0" fontId="43" fillId="0" borderId="2" xfId="12" applyNumberFormat="1" applyFont="1" applyFill="1" applyBorder="1" applyAlignment="1" applyProtection="1">
      <alignment horizontal="left" vertical="center"/>
      <protection locked="0"/>
    </xf>
    <xf numFmtId="168" fontId="43" fillId="0" borderId="172" xfId="12" applyNumberFormat="1" applyFont="1" applyFill="1" applyBorder="1" applyAlignment="1" applyProtection="1">
      <alignment horizontal="center" vertical="center"/>
      <protection locked="0"/>
    </xf>
    <xf numFmtId="49" fontId="53" fillId="0" borderId="24" xfId="2" applyNumberFormat="1" applyFont="1" applyFill="1" applyBorder="1" applyAlignment="1" applyProtection="1">
      <alignment horizontal="left" vertical="center"/>
    </xf>
    <xf numFmtId="0" fontId="31" fillId="0" borderId="46" xfId="2" applyNumberFormat="1" applyFont="1" applyFill="1" applyBorder="1" applyAlignment="1" applyProtection="1">
      <alignment horizontal="center" textRotation="90" wrapText="1"/>
    </xf>
    <xf numFmtId="0" fontId="31" fillId="20" borderId="0" xfId="0" applyFont="1" applyFill="1" applyBorder="1" applyProtection="1"/>
    <xf numFmtId="0" fontId="25" fillId="20" borderId="6" xfId="0" applyFont="1" applyFill="1" applyBorder="1" applyAlignment="1">
      <alignment horizontal="left"/>
    </xf>
    <xf numFmtId="0" fontId="31" fillId="20" borderId="0" xfId="0" applyFont="1" applyFill="1" applyBorder="1" applyAlignment="1" applyProtection="1">
      <alignment horizontal="center"/>
    </xf>
    <xf numFmtId="0" fontId="31" fillId="20" borderId="27" xfId="0" applyFont="1" applyFill="1" applyBorder="1" applyAlignment="1" applyProtection="1">
      <alignment horizontal="center"/>
      <protection hidden="1"/>
    </xf>
    <xf numFmtId="0" fontId="31" fillId="20" borderId="6" xfId="0" applyFont="1" applyFill="1" applyBorder="1" applyAlignment="1" applyProtection="1">
      <alignment horizontal="left" wrapText="1"/>
      <protection hidden="1"/>
    </xf>
    <xf numFmtId="0" fontId="31" fillId="20" borderId="6" xfId="0" applyFont="1" applyFill="1" applyBorder="1" applyAlignment="1" applyProtection="1">
      <alignment horizontal="center"/>
      <protection hidden="1"/>
    </xf>
    <xf numFmtId="167" fontId="31" fillId="20" borderId="6" xfId="2" quotePrefix="1" applyNumberFormat="1" applyFont="1" applyFill="1" applyBorder="1" applyProtection="1"/>
    <xf numFmtId="167" fontId="31" fillId="20" borderId="6" xfId="2" applyNumberFormat="1" applyFont="1" applyFill="1" applyBorder="1" applyProtection="1">
      <protection hidden="1"/>
    </xf>
    <xf numFmtId="164" fontId="31" fillId="20" borderId="6" xfId="2" applyNumberFormat="1" applyFont="1" applyFill="1" applyBorder="1" applyAlignment="1" applyProtection="1">
      <protection hidden="1"/>
    </xf>
    <xf numFmtId="0" fontId="31" fillId="20" borderId="6" xfId="0" applyFont="1" applyFill="1" applyBorder="1" applyProtection="1">
      <protection hidden="1"/>
    </xf>
    <xf numFmtId="164" fontId="31" fillId="20" borderId="6" xfId="2" applyNumberFormat="1" applyFont="1" applyFill="1" applyBorder="1" applyProtection="1">
      <protection hidden="1"/>
    </xf>
    <xf numFmtId="164" fontId="31" fillId="20" borderId="37" xfId="2" applyNumberFormat="1" applyFont="1" applyFill="1" applyBorder="1" applyProtection="1">
      <protection hidden="1"/>
    </xf>
    <xf numFmtId="0" fontId="31" fillId="20" borderId="0" xfId="0" applyFont="1" applyFill="1" applyProtection="1"/>
    <xf numFmtId="0" fontId="31" fillId="0" borderId="180" xfId="11" applyNumberFormat="1" applyFont="1" applyFill="1" applyBorder="1" applyAlignment="1">
      <alignment horizontal="center"/>
    </xf>
    <xf numFmtId="168" fontId="31" fillId="0" borderId="47" xfId="2" quotePrefix="1" applyNumberFormat="1" applyFont="1" applyFill="1" applyBorder="1" applyAlignment="1" applyProtection="1">
      <alignment horizontal="center" vertical="center"/>
    </xf>
    <xf numFmtId="168" fontId="31" fillId="0" borderId="77" xfId="2" quotePrefix="1" applyNumberFormat="1" applyFont="1" applyFill="1" applyBorder="1" applyAlignment="1" applyProtection="1">
      <alignment horizontal="center" vertical="center"/>
    </xf>
    <xf numFmtId="168" fontId="31" fillId="0" borderId="6" xfId="2" applyNumberFormat="1" applyFont="1" applyFill="1" applyBorder="1" applyAlignment="1">
      <alignment horizontal="center" vertical="center"/>
    </xf>
    <xf numFmtId="168" fontId="31" fillId="0" borderId="6" xfId="11" applyNumberFormat="1" applyFont="1" applyFill="1" applyBorder="1" applyAlignment="1">
      <alignment horizontal="center" vertical="center"/>
    </xf>
    <xf numFmtId="168" fontId="31" fillId="0" borderId="15" xfId="11" applyNumberFormat="1" applyFont="1" applyFill="1" applyBorder="1" applyAlignment="1">
      <alignment horizontal="center"/>
    </xf>
    <xf numFmtId="168" fontId="31" fillId="0" borderId="8" xfId="2" applyNumberFormat="1" applyFont="1" applyFill="1" applyBorder="1" applyAlignment="1">
      <alignment horizontal="center" vertical="center"/>
    </xf>
    <xf numFmtId="168" fontId="31" fillId="0" borderId="78" xfId="11" applyNumberFormat="1" applyFont="1" applyFill="1" applyBorder="1" applyAlignment="1">
      <alignment horizontal="center"/>
    </xf>
    <xf numFmtId="168" fontId="31" fillId="0" borderId="27" xfId="2" quotePrefix="1" applyNumberFormat="1" applyFont="1" applyFill="1" applyBorder="1" applyAlignment="1" applyProtection="1">
      <alignment horizontal="center" vertical="center"/>
    </xf>
    <xf numFmtId="168" fontId="31" fillId="0" borderId="74" xfId="2" quotePrefix="1" applyNumberFormat="1" applyFont="1" applyFill="1" applyBorder="1" applyAlignment="1" applyProtection="1">
      <alignment horizontal="center" vertical="center"/>
    </xf>
    <xf numFmtId="168" fontId="31" fillId="0" borderId="0" xfId="2" applyNumberFormat="1" applyFont="1" applyFill="1" applyBorder="1"/>
    <xf numFmtId="0" fontId="43" fillId="0" borderId="0" xfId="0" applyFont="1" applyFill="1" applyBorder="1" applyAlignment="1" applyProtection="1">
      <alignment vertical="top"/>
    </xf>
    <xf numFmtId="0" fontId="43" fillId="0" borderId="0" xfId="0" applyFont="1" applyFill="1" applyBorder="1" applyAlignment="1" applyProtection="1">
      <alignment horizontal="left" vertical="top"/>
    </xf>
    <xf numFmtId="0" fontId="43" fillId="0" borderId="6" xfId="0" applyFont="1" applyFill="1" applyBorder="1" applyAlignment="1" applyProtection="1">
      <alignment horizontal="left" vertical="top" wrapText="1"/>
      <protection hidden="1"/>
    </xf>
    <xf numFmtId="0" fontId="43" fillId="0" borderId="6" xfId="0" applyFont="1" applyFill="1" applyBorder="1" applyAlignment="1" applyProtection="1">
      <alignment horizontal="center" vertical="top"/>
      <protection hidden="1"/>
    </xf>
    <xf numFmtId="0" fontId="43" fillId="0" borderId="0" xfId="0" applyFont="1" applyFill="1" applyBorder="1" applyAlignment="1" applyProtection="1">
      <alignment vertical="center"/>
    </xf>
    <xf numFmtId="0" fontId="43" fillId="0" borderId="0" xfId="0" applyFont="1" applyFill="1" applyBorder="1" applyAlignment="1" applyProtection="1">
      <alignment horizontal="left" vertical="center"/>
    </xf>
    <xf numFmtId="0" fontId="43" fillId="0" borderId="0" xfId="0" applyFont="1" applyFill="1" applyAlignment="1" applyProtection="1">
      <alignment horizontal="center" vertical="center"/>
    </xf>
    <xf numFmtId="0" fontId="43" fillId="0" borderId="27" xfId="0" applyFont="1" applyFill="1" applyBorder="1" applyAlignment="1" applyProtection="1">
      <alignment horizontal="center" vertical="center"/>
      <protection hidden="1"/>
    </xf>
    <xf numFmtId="0" fontId="43" fillId="0" borderId="6" xfId="0" applyFont="1" applyFill="1" applyBorder="1" applyAlignment="1" applyProtection="1">
      <alignment horizontal="left" vertical="center" wrapText="1"/>
      <protection hidden="1"/>
    </xf>
    <xf numFmtId="0" fontId="43" fillId="0" borderId="6" xfId="0" applyFont="1" applyFill="1" applyBorder="1" applyAlignment="1" applyProtection="1">
      <alignment horizontal="center" vertical="center"/>
      <protection hidden="1"/>
    </xf>
    <xf numFmtId="167" fontId="43" fillId="0" borderId="6" xfId="2" applyNumberFormat="1" applyFont="1" applyFill="1" applyBorder="1" applyAlignment="1" applyProtection="1">
      <alignment vertical="center"/>
    </xf>
    <xf numFmtId="167" fontId="43" fillId="0" borderId="6" xfId="2" applyNumberFormat="1" applyFont="1" applyFill="1" applyBorder="1" applyAlignment="1" applyProtection="1">
      <alignment vertical="center"/>
      <protection hidden="1"/>
    </xf>
    <xf numFmtId="0" fontId="43" fillId="0" borderId="6" xfId="0" applyFont="1" applyFill="1" applyBorder="1" applyAlignment="1" applyProtection="1">
      <alignment vertical="center"/>
      <protection hidden="1"/>
    </xf>
    <xf numFmtId="164" fontId="43" fillId="0" borderId="6" xfId="0" applyNumberFormat="1" applyFont="1" applyFill="1" applyBorder="1" applyAlignment="1" applyProtection="1">
      <alignment vertical="center"/>
      <protection hidden="1"/>
    </xf>
    <xf numFmtId="164" fontId="43" fillId="0" borderId="37" xfId="0" applyNumberFormat="1" applyFont="1" applyFill="1" applyBorder="1" applyAlignment="1" applyProtection="1">
      <alignment vertical="center"/>
      <protection hidden="1"/>
    </xf>
    <xf numFmtId="0" fontId="43" fillId="0" borderId="0" xfId="0" applyFont="1" applyFill="1" applyAlignment="1" applyProtection="1">
      <alignment vertical="center"/>
    </xf>
    <xf numFmtId="0" fontId="43" fillId="0" borderId="53" xfId="0" applyFont="1" applyFill="1" applyBorder="1" applyAlignment="1" applyProtection="1">
      <alignment horizontal="center" vertical="center"/>
      <protection hidden="1"/>
    </xf>
    <xf numFmtId="1" fontId="31" fillId="0" borderId="0" xfId="2" applyNumberFormat="1" applyFont="1" applyFill="1" applyBorder="1"/>
    <xf numFmtId="0" fontId="31" fillId="0" borderId="2" xfId="2" applyNumberFormat="1" applyFont="1" applyFill="1" applyBorder="1" applyAlignment="1">
      <alignment vertical="center"/>
    </xf>
    <xf numFmtId="169" fontId="31" fillId="0" borderId="14" xfId="2" applyNumberFormat="1" applyFont="1" applyFill="1" applyBorder="1" applyAlignment="1">
      <alignment horizontal="center" vertical="center"/>
    </xf>
    <xf numFmtId="0" fontId="31" fillId="0" borderId="14" xfId="2" applyNumberFormat="1" applyFont="1" applyFill="1" applyBorder="1" applyAlignment="1" applyProtection="1">
      <alignment horizontal="center" vertical="center"/>
    </xf>
    <xf numFmtId="0" fontId="31" fillId="0" borderId="14" xfId="2" applyNumberFormat="1" applyFont="1" applyFill="1" applyBorder="1" applyAlignment="1">
      <alignment horizontal="center" vertical="center"/>
    </xf>
    <xf numFmtId="1" fontId="31" fillId="0" borderId="14" xfId="2" applyNumberFormat="1" applyFont="1" applyFill="1" applyBorder="1" applyAlignment="1">
      <alignment horizontal="center" vertical="center"/>
    </xf>
    <xf numFmtId="0" fontId="31" fillId="0" borderId="45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 applyAlignment="1">
      <alignment vertical="center"/>
    </xf>
    <xf numFmtId="0" fontId="43" fillId="0" borderId="0" xfId="2" applyNumberFormat="1" applyFont="1" applyFill="1" applyBorder="1" applyAlignment="1">
      <alignment vertical="center"/>
    </xf>
    <xf numFmtId="0" fontId="43" fillId="0" borderId="0" xfId="2" applyNumberFormat="1" applyFont="1" applyFill="1" applyBorder="1" applyAlignment="1">
      <alignment horizontal="center" vertical="center"/>
    </xf>
    <xf numFmtId="169" fontId="31" fillId="0" borderId="6" xfId="2" applyNumberFormat="1" applyFont="1" applyFill="1" applyBorder="1" applyAlignment="1">
      <alignment horizontal="center" vertical="center"/>
    </xf>
    <xf numFmtId="1" fontId="31" fillId="0" borderId="6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 applyAlignment="1">
      <alignment horizontal="centerContinuous" vertical="center"/>
    </xf>
    <xf numFmtId="1" fontId="31" fillId="0" borderId="0" xfId="2" applyNumberFormat="1" applyFont="1" applyFill="1" applyBorder="1" applyAlignment="1">
      <alignment horizontal="centerContinuous" vertical="center"/>
    </xf>
    <xf numFmtId="0" fontId="43" fillId="0" borderId="0" xfId="12" applyNumberFormat="1" applyFont="1" applyFill="1" applyBorder="1" applyAlignment="1">
      <alignment horizontal="centerContinuous" vertical="center"/>
    </xf>
    <xf numFmtId="3" fontId="59" fillId="0" borderId="0" xfId="10" quotePrefix="1" applyNumberFormat="1" applyFont="1" applyFill="1" applyAlignment="1">
      <alignment horizontal="centerContinuous"/>
    </xf>
    <xf numFmtId="3" fontId="43" fillId="0" borderId="0" xfId="2" applyNumberFormat="1" applyFont="1" applyFill="1" applyBorder="1" applyAlignment="1">
      <alignment horizontal="centerContinuous" vertical="center"/>
    </xf>
    <xf numFmtId="1" fontId="43" fillId="0" borderId="0" xfId="2" applyNumberFormat="1" applyFont="1" applyFill="1" applyBorder="1" applyAlignment="1">
      <alignment horizontal="centerContinuous" vertical="center"/>
    </xf>
    <xf numFmtId="1" fontId="31" fillId="0" borderId="2" xfId="2" applyNumberFormat="1" applyFont="1" applyFill="1" applyBorder="1" applyAlignment="1" applyProtection="1">
      <alignment horizontal="center" vertical="center"/>
    </xf>
    <xf numFmtId="0" fontId="31" fillId="0" borderId="2" xfId="2" applyNumberFormat="1" applyFont="1" applyFill="1" applyBorder="1" applyAlignment="1">
      <alignment horizontal="center" vertical="center"/>
    </xf>
    <xf numFmtId="0" fontId="31" fillId="0" borderId="24" xfId="2" applyNumberFormat="1" applyFont="1" applyFill="1" applyBorder="1" applyAlignment="1" applyProtection="1">
      <alignment horizontal="center" vertical="center"/>
    </xf>
    <xf numFmtId="0" fontId="47" fillId="0" borderId="61" xfId="2" applyNumberFormat="1" applyFont="1" applyFill="1" applyBorder="1" applyAlignment="1" applyProtection="1">
      <alignment horizontal="left" vertical="center"/>
    </xf>
    <xf numFmtId="0" fontId="31" fillId="0" borderId="49" xfId="2" applyNumberFormat="1" applyFont="1" applyFill="1" applyBorder="1" applyAlignment="1" applyProtection="1">
      <alignment horizontal="center" vertical="center"/>
    </xf>
    <xf numFmtId="0" fontId="47" fillId="0" borderId="54" xfId="2" applyNumberFormat="1" applyFont="1" applyFill="1" applyBorder="1" applyAlignment="1" applyProtection="1">
      <alignment horizontal="left" vertical="center"/>
    </xf>
    <xf numFmtId="0" fontId="31" fillId="0" borderId="76" xfId="2" applyNumberFormat="1" applyFont="1" applyFill="1" applyBorder="1" applyAlignment="1" applyProtection="1">
      <alignment horizontal="center" vertical="center"/>
    </xf>
    <xf numFmtId="169" fontId="31" fillId="0" borderId="6" xfId="2" applyNumberFormat="1" applyFont="1" applyFill="1" applyBorder="1" applyAlignment="1" applyProtection="1">
      <alignment horizontal="center" vertical="center"/>
    </xf>
    <xf numFmtId="49" fontId="43" fillId="0" borderId="27" xfId="2" quotePrefix="1" applyNumberFormat="1" applyFont="1" applyFill="1" applyBorder="1" applyAlignment="1" applyProtection="1">
      <alignment horizontal="center" vertical="center"/>
    </xf>
    <xf numFmtId="3" fontId="43" fillId="0" borderId="64" xfId="2" applyNumberFormat="1" applyFont="1" applyFill="1" applyBorder="1" applyAlignment="1">
      <alignment horizontal="center" vertical="center"/>
    </xf>
    <xf numFmtId="0" fontId="43" fillId="0" borderId="3" xfId="2" applyNumberFormat="1" applyFont="1" applyFill="1" applyBorder="1" applyAlignment="1" applyProtection="1">
      <alignment horizontal="center" vertical="center"/>
    </xf>
    <xf numFmtId="1" fontId="43" fillId="0" borderId="3" xfId="2" applyNumberFormat="1" applyFont="1" applyFill="1" applyBorder="1" applyAlignment="1" applyProtection="1">
      <alignment horizontal="center" vertical="center"/>
    </xf>
    <xf numFmtId="1" fontId="43" fillId="0" borderId="51" xfId="2" applyNumberFormat="1" applyFont="1" applyFill="1" applyBorder="1" applyAlignment="1">
      <alignment horizontal="center" vertical="center"/>
    </xf>
    <xf numFmtId="0" fontId="43" fillId="0" borderId="62" xfId="12" applyNumberFormat="1" applyFont="1" applyFill="1" applyBorder="1" applyAlignment="1">
      <alignment horizontal="center" vertical="center"/>
    </xf>
    <xf numFmtId="1" fontId="43" fillId="0" borderId="58" xfId="12" applyNumberFormat="1" applyFont="1" applyFill="1" applyBorder="1" applyAlignment="1">
      <alignment horizontal="center" vertical="center"/>
    </xf>
    <xf numFmtId="3" fontId="43" fillId="0" borderId="50" xfId="12" applyNumberFormat="1" applyFont="1" applyFill="1" applyBorder="1" applyAlignment="1">
      <alignment horizontal="center" vertical="center"/>
    </xf>
    <xf numFmtId="49" fontId="43" fillId="0" borderId="48" xfId="2" applyNumberFormat="1" applyFont="1" applyFill="1" applyBorder="1" applyAlignment="1" applyProtection="1">
      <alignment horizontal="center" vertical="center"/>
    </xf>
    <xf numFmtId="49" fontId="43" fillId="0" borderId="27" xfId="2" applyNumberFormat="1" applyFont="1" applyFill="1" applyBorder="1" applyAlignment="1" applyProtection="1">
      <alignment horizontal="center" vertical="center"/>
    </xf>
    <xf numFmtId="169" fontId="31" fillId="0" borderId="14" xfId="2" applyNumberFormat="1" applyFont="1" applyFill="1" applyBorder="1" applyAlignment="1" applyProtection="1">
      <alignment horizontal="center" vertical="center"/>
    </xf>
    <xf numFmtId="168" fontId="31" fillId="0" borderId="14" xfId="2" applyNumberFormat="1" applyFont="1" applyFill="1" applyBorder="1" applyAlignment="1">
      <alignment horizontal="center" vertical="center"/>
    </xf>
    <xf numFmtId="0" fontId="31" fillId="0" borderId="82" xfId="2" applyNumberFormat="1" applyFont="1" applyFill="1" applyBorder="1" applyAlignment="1" applyProtection="1">
      <alignment horizontal="center" vertical="center"/>
    </xf>
    <xf numFmtId="1" fontId="31" fillId="0" borderId="82" xfId="2" applyNumberFormat="1" applyFont="1" applyFill="1" applyBorder="1" applyAlignment="1" applyProtection="1">
      <alignment horizontal="center" vertical="center"/>
    </xf>
    <xf numFmtId="0" fontId="31" fillId="0" borderId="81" xfId="2" applyNumberFormat="1" applyFont="1" applyFill="1" applyBorder="1" applyAlignment="1" applyProtection="1">
      <alignment horizontal="center" vertical="center"/>
    </xf>
    <xf numFmtId="0" fontId="31" fillId="0" borderId="37" xfId="2" applyNumberFormat="1" applyFont="1" applyFill="1" applyBorder="1" applyAlignment="1">
      <alignment horizontal="center" vertical="center"/>
    </xf>
    <xf numFmtId="0" fontId="43" fillId="0" borderId="7" xfId="2" applyNumberFormat="1" applyFont="1" applyFill="1" applyBorder="1" applyAlignment="1" applyProtection="1">
      <alignment horizontal="centerContinuous"/>
    </xf>
    <xf numFmtId="0" fontId="31" fillId="0" borderId="7" xfId="2" applyNumberFormat="1" applyFont="1" applyFill="1" applyBorder="1" applyAlignment="1" applyProtection="1">
      <alignment horizontal="centerContinuous"/>
    </xf>
    <xf numFmtId="169" fontId="43" fillId="0" borderId="3" xfId="2" applyNumberFormat="1" applyFont="1" applyFill="1" applyBorder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center" vertical="center"/>
    </xf>
    <xf numFmtId="0" fontId="47" fillId="0" borderId="6" xfId="0" applyFont="1" applyFill="1" applyBorder="1" applyAlignment="1" applyProtection="1">
      <alignment horizontal="left" vertical="center" wrapText="1"/>
      <protection hidden="1"/>
    </xf>
    <xf numFmtId="0" fontId="47" fillId="0" borderId="6" xfId="0" applyFont="1" applyFill="1" applyBorder="1" applyAlignment="1" applyProtection="1">
      <alignment horizontal="center" vertical="center"/>
      <protection hidden="1"/>
    </xf>
    <xf numFmtId="167" fontId="47" fillId="0" borderId="6" xfId="2" quotePrefix="1" applyNumberFormat="1" applyFont="1" applyFill="1" applyBorder="1" applyAlignment="1" applyProtection="1">
      <alignment vertical="center"/>
    </xf>
    <xf numFmtId="164" fontId="43" fillId="0" borderId="6" xfId="2" applyNumberFormat="1" applyFont="1" applyFill="1" applyBorder="1" applyAlignment="1" applyProtection="1">
      <alignment vertical="center"/>
      <protection hidden="1"/>
    </xf>
    <xf numFmtId="164" fontId="43" fillId="0" borderId="37" xfId="2" applyNumberFormat="1" applyFont="1" applyFill="1" applyBorder="1" applyAlignment="1" applyProtection="1">
      <alignment vertical="center"/>
      <protection hidden="1"/>
    </xf>
    <xf numFmtId="0" fontId="47" fillId="0" borderId="0" xfId="0" applyFont="1" applyFill="1" applyBorder="1" applyAlignment="1" applyProtection="1">
      <alignment vertical="center"/>
    </xf>
    <xf numFmtId="0" fontId="47" fillId="0" borderId="0" xfId="0" applyFont="1" applyFill="1" applyBorder="1" applyAlignment="1" applyProtection="1">
      <alignment horizontal="left" vertical="center"/>
    </xf>
    <xf numFmtId="0" fontId="47" fillId="0" borderId="0" xfId="0" applyFont="1" applyFill="1" applyBorder="1" applyAlignment="1" applyProtection="1">
      <alignment horizontal="center" vertical="center"/>
    </xf>
    <xf numFmtId="167" fontId="47" fillId="0" borderId="6" xfId="2" applyNumberFormat="1" applyFont="1" applyFill="1" applyBorder="1" applyAlignment="1" applyProtection="1">
      <alignment vertical="center"/>
      <protection hidden="1"/>
    </xf>
    <xf numFmtId="164" fontId="47" fillId="0" borderId="6" xfId="2" applyNumberFormat="1" applyFont="1" applyFill="1" applyBorder="1" applyAlignment="1" applyProtection="1">
      <alignment vertical="center"/>
      <protection hidden="1"/>
    </xf>
    <xf numFmtId="0" fontId="47" fillId="0" borderId="6" xfId="0" applyFont="1" applyFill="1" applyBorder="1" applyAlignment="1" applyProtection="1">
      <alignment vertical="center"/>
      <protection hidden="1"/>
    </xf>
    <xf numFmtId="164" fontId="47" fillId="0" borderId="37" xfId="2" applyNumberFormat="1" applyFont="1" applyFill="1" applyBorder="1" applyAlignment="1" applyProtection="1">
      <alignment vertical="center"/>
      <protection hidden="1"/>
    </xf>
    <xf numFmtId="0" fontId="47" fillId="0" borderId="0" xfId="0" applyFont="1" applyFill="1" applyAlignment="1" applyProtection="1">
      <alignment vertical="center"/>
    </xf>
    <xf numFmtId="0" fontId="31" fillId="0" borderId="0" xfId="0" applyFont="1" applyFill="1" applyAlignment="1" applyProtection="1">
      <alignment vertical="center"/>
      <protection hidden="1"/>
    </xf>
    <xf numFmtId="165" fontId="31" fillId="0" borderId="0" xfId="0" applyNumberFormat="1" applyFont="1" applyFill="1" applyAlignment="1" applyProtection="1">
      <alignment horizontal="left" vertical="center" wrapText="1"/>
      <protection hidden="1"/>
    </xf>
    <xf numFmtId="165" fontId="31" fillId="0" borderId="3" xfId="0" applyNumberFormat="1" applyFont="1" applyFill="1" applyBorder="1" applyAlignment="1" applyProtection="1">
      <alignment horizontal="center" vertical="center"/>
      <protection hidden="1"/>
    </xf>
    <xf numFmtId="3" fontId="31" fillId="0" borderId="3" xfId="0" applyNumberFormat="1" applyFont="1" applyFill="1" applyBorder="1" applyAlignment="1" applyProtection="1">
      <alignment horizontal="center" vertical="center"/>
      <protection hidden="1"/>
    </xf>
    <xf numFmtId="165" fontId="31" fillId="0" borderId="14" xfId="0" applyNumberFormat="1" applyFont="1" applyFill="1" applyBorder="1" applyAlignment="1" applyProtection="1">
      <alignment horizontal="left" vertical="center"/>
      <protection hidden="1"/>
    </xf>
    <xf numFmtId="4" fontId="31" fillId="0" borderId="14" xfId="0" applyNumberFormat="1" applyFont="1" applyFill="1" applyBorder="1" applyAlignment="1" applyProtection="1">
      <alignment vertical="center"/>
      <protection hidden="1"/>
    </xf>
    <xf numFmtId="168" fontId="31" fillId="0" borderId="6" xfId="0" applyNumberFormat="1" applyFont="1" applyFill="1" applyBorder="1" applyAlignment="1" applyProtection="1">
      <alignment vertical="center"/>
      <protection hidden="1"/>
    </xf>
    <xf numFmtId="165" fontId="31" fillId="0" borderId="6" xfId="0" applyNumberFormat="1" applyFont="1" applyFill="1" applyBorder="1" applyAlignment="1" applyProtection="1">
      <alignment horizontal="left" vertical="center"/>
      <protection hidden="1"/>
    </xf>
    <xf numFmtId="3" fontId="31" fillId="0" borderId="0" xfId="0" applyNumberFormat="1" applyFont="1" applyFill="1" applyAlignment="1" applyProtection="1">
      <alignment vertical="center"/>
      <protection hidden="1"/>
    </xf>
    <xf numFmtId="0" fontId="31" fillId="0" borderId="0" xfId="0" applyFont="1" applyFill="1" applyAlignment="1" applyProtection="1">
      <alignment vertical="center" wrapText="1"/>
      <protection hidden="1"/>
    </xf>
    <xf numFmtId="0" fontId="31" fillId="0" borderId="60" xfId="0" applyFont="1" applyFill="1" applyBorder="1" applyAlignment="1" applyProtection="1">
      <alignment vertical="center"/>
      <protection hidden="1"/>
    </xf>
    <xf numFmtId="164" fontId="31" fillId="0" borderId="60" xfId="2" applyNumberFormat="1" applyFont="1" applyFill="1" applyBorder="1" applyAlignment="1" applyProtection="1">
      <alignment vertical="center"/>
      <protection hidden="1"/>
    </xf>
    <xf numFmtId="164" fontId="43" fillId="0" borderId="45" xfId="0" applyNumberFormat="1" applyFont="1" applyFill="1" applyBorder="1" applyAlignment="1" applyProtection="1">
      <alignment vertical="center"/>
      <protection hidden="1"/>
    </xf>
    <xf numFmtId="167" fontId="43" fillId="0" borderId="6" xfId="0" applyNumberFormat="1" applyFont="1" applyFill="1" applyBorder="1" applyAlignment="1" applyProtection="1">
      <alignment vertical="center"/>
      <protection hidden="1"/>
    </xf>
    <xf numFmtId="164" fontId="43" fillId="0" borderId="60" xfId="2" applyNumberFormat="1" applyFont="1" applyFill="1" applyBorder="1" applyAlignment="1" applyProtection="1">
      <alignment vertical="center"/>
      <protection hidden="1"/>
    </xf>
    <xf numFmtId="164" fontId="31" fillId="0" borderId="6" xfId="2" applyNumberFormat="1" applyFont="1" applyFill="1" applyBorder="1" applyAlignment="1" applyProtection="1">
      <alignment horizontal="right" vertical="center"/>
      <protection hidden="1"/>
    </xf>
    <xf numFmtId="164" fontId="43" fillId="0" borderId="6" xfId="2" applyNumberFormat="1" applyFont="1" applyFill="1" applyBorder="1" applyAlignment="1" applyProtection="1">
      <alignment horizontal="right" vertical="center"/>
      <protection hidden="1"/>
    </xf>
    <xf numFmtId="167" fontId="31" fillId="0" borderId="6" xfId="0" applyNumberFormat="1" applyFont="1" applyFill="1" applyBorder="1" applyAlignment="1" applyProtection="1">
      <alignment vertical="center"/>
      <protection hidden="1"/>
    </xf>
    <xf numFmtId="43" fontId="31" fillId="0" borderId="6" xfId="0" applyNumberFormat="1" applyFont="1" applyFill="1" applyBorder="1" applyAlignment="1" applyProtection="1">
      <alignment vertical="center"/>
      <protection hidden="1"/>
    </xf>
    <xf numFmtId="0" fontId="25" fillId="0" borderId="6" xfId="0" applyFont="1" applyFill="1" applyBorder="1" applyAlignment="1">
      <alignment horizontal="left" vertical="center"/>
    </xf>
    <xf numFmtId="167" fontId="43" fillId="0" borderId="6" xfId="0" applyNumberFormat="1" applyFont="1" applyFill="1" applyBorder="1" applyAlignment="1" applyProtection="1">
      <alignment vertical="center"/>
    </xf>
    <xf numFmtId="0" fontId="43" fillId="0" borderId="6" xfId="0" applyFont="1" applyFill="1" applyBorder="1" applyAlignment="1" applyProtection="1">
      <alignment vertical="center"/>
    </xf>
    <xf numFmtId="164" fontId="43" fillId="0" borderId="6" xfId="0" applyNumberFormat="1" applyFont="1" applyFill="1" applyBorder="1" applyAlignment="1" applyProtection="1">
      <alignment vertical="center"/>
    </xf>
    <xf numFmtId="164" fontId="43" fillId="0" borderId="37" xfId="0" applyNumberFormat="1" applyFont="1" applyFill="1" applyBorder="1" applyAlignment="1" applyProtection="1">
      <alignment vertical="center"/>
    </xf>
    <xf numFmtId="173" fontId="31" fillId="0" borderId="27" xfId="0" applyNumberFormat="1" applyFont="1" applyFill="1" applyBorder="1" applyAlignment="1" applyProtection="1">
      <alignment horizontal="right" vertical="center"/>
      <protection hidden="1"/>
    </xf>
    <xf numFmtId="164" fontId="43" fillId="0" borderId="45" xfId="2" applyNumberFormat="1" applyFont="1" applyFill="1" applyBorder="1" applyAlignment="1" applyProtection="1">
      <alignment vertical="center"/>
      <protection hidden="1"/>
    </xf>
    <xf numFmtId="0" fontId="57" fillId="0" borderId="0" xfId="0" applyFont="1" applyFill="1" applyBorder="1" applyAlignment="1" applyProtection="1">
      <alignment horizontal="left" vertical="center"/>
    </xf>
    <xf numFmtId="43" fontId="43" fillId="0" borderId="0" xfId="2" applyFont="1" applyFill="1" applyBorder="1" applyAlignment="1" applyProtection="1">
      <alignment horizontal="center" vertical="center"/>
    </xf>
    <xf numFmtId="167" fontId="43" fillId="0" borderId="6" xfId="2" quotePrefix="1" applyNumberFormat="1" applyFont="1" applyFill="1" applyBorder="1" applyAlignment="1" applyProtection="1">
      <alignment vertical="center"/>
    </xf>
    <xf numFmtId="167" fontId="47" fillId="0" borderId="6" xfId="2" applyNumberFormat="1" applyFont="1" applyFill="1" applyBorder="1" applyAlignment="1" applyProtection="1">
      <alignment vertical="center"/>
    </xf>
    <xf numFmtId="164" fontId="47" fillId="0" borderId="6" xfId="0" applyNumberFormat="1" applyFont="1" applyFill="1" applyBorder="1" applyAlignment="1" applyProtection="1">
      <alignment vertical="center"/>
      <protection hidden="1"/>
    </xf>
    <xf numFmtId="164" fontId="47" fillId="0" borderId="60" xfId="0" applyNumberFormat="1" applyFont="1" applyFill="1" applyBorder="1" applyAlignment="1" applyProtection="1">
      <alignment vertical="center"/>
      <protection hidden="1"/>
    </xf>
    <xf numFmtId="0" fontId="57" fillId="0" borderId="6" xfId="0" applyFont="1" applyFill="1" applyBorder="1" applyAlignment="1" applyProtection="1">
      <alignment horizontal="center" vertical="center"/>
      <protection hidden="1"/>
    </xf>
    <xf numFmtId="167" fontId="31" fillId="0" borderId="6" xfId="2" quotePrefix="1" applyNumberFormat="1" applyFont="1" applyFill="1" applyBorder="1" applyAlignment="1" applyProtection="1">
      <alignment horizontal="center" vertical="center"/>
    </xf>
    <xf numFmtId="0" fontId="31" fillId="0" borderId="167" xfId="0" applyFont="1" applyFill="1" applyBorder="1" applyAlignment="1" applyProtection="1">
      <alignment vertical="center"/>
      <protection hidden="1"/>
    </xf>
    <xf numFmtId="0" fontId="31" fillId="0" borderId="168" xfId="0" applyFont="1" applyFill="1" applyBorder="1" applyAlignment="1" applyProtection="1">
      <alignment vertical="center" wrapText="1"/>
      <protection hidden="1"/>
    </xf>
    <xf numFmtId="0" fontId="31" fillId="0" borderId="168" xfId="0" applyFont="1" applyFill="1" applyBorder="1" applyAlignment="1" applyProtection="1">
      <alignment vertical="center"/>
      <protection hidden="1"/>
    </xf>
    <xf numFmtId="167" fontId="31" fillId="0" borderId="168" xfId="0" applyNumberFormat="1" applyFont="1" applyFill="1" applyBorder="1" applyAlignment="1" applyProtection="1">
      <alignment vertical="center"/>
    </xf>
    <xf numFmtId="167" fontId="31" fillId="0" borderId="168" xfId="0" applyNumberFormat="1" applyFont="1" applyFill="1" applyBorder="1" applyAlignment="1" applyProtection="1">
      <alignment vertical="center"/>
      <protection hidden="1"/>
    </xf>
    <xf numFmtId="167" fontId="31" fillId="0" borderId="42" xfId="0" applyNumberFormat="1" applyFont="1" applyFill="1" applyBorder="1" applyAlignment="1" applyProtection="1">
      <alignment vertical="center"/>
      <protection hidden="1"/>
    </xf>
    <xf numFmtId="0" fontId="31" fillId="0" borderId="169" xfId="0" applyFont="1" applyFill="1" applyBorder="1" applyAlignment="1" applyProtection="1">
      <alignment vertical="center"/>
      <protection hidden="1"/>
    </xf>
    <xf numFmtId="179" fontId="31" fillId="0" borderId="0" xfId="0" applyNumberFormat="1" applyFont="1" applyFill="1" applyAlignment="1" applyProtection="1">
      <alignment vertical="center" wrapText="1"/>
      <protection hidden="1"/>
    </xf>
    <xf numFmtId="49" fontId="43" fillId="23" borderId="27" xfId="2" applyNumberFormat="1" applyFont="1" applyFill="1" applyBorder="1" applyAlignment="1" applyProtection="1">
      <alignment horizontal="center" vertical="center"/>
    </xf>
    <xf numFmtId="169" fontId="31" fillId="23" borderId="6" xfId="2" applyNumberFormat="1" applyFont="1" applyFill="1" applyBorder="1" applyAlignment="1" applyProtection="1">
      <alignment horizontal="center" vertical="center"/>
    </xf>
    <xf numFmtId="168" fontId="31" fillId="23" borderId="6" xfId="2" applyNumberFormat="1" applyFont="1" applyFill="1" applyBorder="1" applyAlignment="1">
      <alignment horizontal="center" vertical="center"/>
    </xf>
    <xf numFmtId="0" fontId="31" fillId="23" borderId="6" xfId="2" applyNumberFormat="1" applyFont="1" applyFill="1" applyBorder="1" applyAlignment="1">
      <alignment horizontal="center" vertical="center"/>
    </xf>
    <xf numFmtId="169" fontId="31" fillId="23" borderId="6" xfId="2" applyNumberFormat="1" applyFont="1" applyFill="1" applyBorder="1" applyAlignment="1">
      <alignment horizontal="center" vertical="center"/>
    </xf>
    <xf numFmtId="1" fontId="31" fillId="23" borderId="6" xfId="2" applyNumberFormat="1" applyFont="1" applyFill="1" applyBorder="1" applyAlignment="1">
      <alignment horizontal="center" vertical="center"/>
    </xf>
    <xf numFmtId="0" fontId="31" fillId="23" borderId="14" xfId="2" applyNumberFormat="1" applyFont="1" applyFill="1" applyBorder="1" applyAlignment="1">
      <alignment horizontal="center" vertical="center"/>
    </xf>
    <xf numFmtId="0" fontId="31" fillId="23" borderId="14" xfId="2" applyNumberFormat="1" applyFont="1" applyFill="1" applyBorder="1" applyAlignment="1" applyProtection="1">
      <alignment horizontal="center" vertical="center"/>
    </xf>
    <xf numFmtId="0" fontId="31" fillId="23" borderId="45" xfId="2" applyNumberFormat="1" applyFont="1" applyFill="1" applyBorder="1" applyAlignment="1">
      <alignment horizontal="center" vertical="center"/>
    </xf>
    <xf numFmtId="0" fontId="31" fillId="23" borderId="0" xfId="2" applyNumberFormat="1" applyFont="1" applyFill="1" applyBorder="1" applyAlignment="1">
      <alignment vertical="center"/>
    </xf>
    <xf numFmtId="0" fontId="31" fillId="23" borderId="0" xfId="2" applyNumberFormat="1" applyFont="1" applyFill="1" applyBorder="1" applyAlignment="1">
      <alignment horizontal="center" vertical="center"/>
    </xf>
    <xf numFmtId="43" fontId="31" fillId="20" borderId="6" xfId="2" applyNumberFormat="1" applyFont="1" applyFill="1" applyBorder="1" applyProtection="1">
      <protection hidden="1"/>
    </xf>
    <xf numFmtId="43" fontId="31" fillId="0" borderId="46" xfId="2" applyNumberFormat="1" applyFont="1" applyFill="1" applyBorder="1" applyAlignment="1" applyProtection="1">
      <alignment horizontal="center"/>
      <protection locked="0"/>
    </xf>
    <xf numFmtId="43" fontId="31" fillId="0" borderId="46" xfId="2" applyNumberFormat="1" applyFont="1" applyFill="1" applyBorder="1" applyProtection="1">
      <protection locked="0"/>
    </xf>
    <xf numFmtId="43" fontId="31" fillId="0" borderId="6" xfId="2" applyNumberFormat="1" applyFont="1" applyFill="1" applyBorder="1" applyAlignment="1" applyProtection="1">
      <alignment horizontal="center"/>
      <protection hidden="1"/>
    </xf>
    <xf numFmtId="43" fontId="31" fillId="0" borderId="6" xfId="2" applyNumberFormat="1" applyFont="1" applyFill="1" applyBorder="1" applyProtection="1">
      <protection hidden="1"/>
    </xf>
    <xf numFmtId="43" fontId="79" fillId="0" borderId="6" xfId="2" applyNumberFormat="1" applyFont="1" applyFill="1" applyBorder="1" applyAlignment="1" applyProtection="1">
      <alignment horizontal="center"/>
      <protection hidden="1"/>
    </xf>
    <xf numFmtId="43" fontId="43" fillId="0" borderId="53" xfId="2" applyNumberFormat="1" applyFont="1" applyFill="1" applyBorder="1" applyProtection="1">
      <protection locked="0"/>
    </xf>
    <xf numFmtId="0" fontId="31" fillId="0" borderId="0" xfId="0" applyFont="1" applyFill="1" applyAlignment="1" applyProtection="1">
      <alignment vertical="center"/>
      <protection locked="0"/>
    </xf>
    <xf numFmtId="0" fontId="31" fillId="0" borderId="6" xfId="0" applyFont="1" applyFill="1" applyBorder="1" applyAlignment="1" applyProtection="1">
      <alignment vertical="center" wrapText="1"/>
      <protection hidden="1"/>
    </xf>
    <xf numFmtId="43" fontId="31" fillId="0" borderId="6" xfId="2" applyNumberFormat="1" applyFont="1" applyFill="1" applyBorder="1" applyAlignment="1" applyProtection="1">
      <alignment horizontal="center" vertical="center"/>
      <protection hidden="1"/>
    </xf>
    <xf numFmtId="43" fontId="31" fillId="0" borderId="6" xfId="2" applyNumberFormat="1" applyFont="1" applyFill="1" applyBorder="1" applyAlignment="1" applyProtection="1">
      <alignment vertical="center"/>
      <protection hidden="1"/>
    </xf>
    <xf numFmtId="166" fontId="31" fillId="0" borderId="6" xfId="2" applyNumberFormat="1" applyFont="1" applyFill="1" applyBorder="1" applyAlignment="1" applyProtection="1">
      <alignment vertical="center"/>
      <protection hidden="1"/>
    </xf>
    <xf numFmtId="166" fontId="79" fillId="0" borderId="6" xfId="2" applyNumberFormat="1" applyFont="1" applyFill="1" applyBorder="1" applyAlignment="1" applyProtection="1">
      <alignment vertical="center"/>
      <protection hidden="1"/>
    </xf>
    <xf numFmtId="43" fontId="79" fillId="20" borderId="6" xfId="2" applyNumberFormat="1" applyFont="1" applyFill="1" applyBorder="1" applyAlignment="1" applyProtection="1">
      <alignment vertical="center"/>
      <protection hidden="1"/>
    </xf>
    <xf numFmtId="169" fontId="43" fillId="0" borderId="58" xfId="12" applyNumberFormat="1" applyFont="1" applyFill="1" applyBorder="1" applyAlignment="1">
      <alignment horizontal="center" vertical="center"/>
    </xf>
    <xf numFmtId="164" fontId="43" fillId="0" borderId="6" xfId="2" applyNumberFormat="1" applyFont="1" applyBorder="1" applyAlignment="1">
      <alignment vertical="center"/>
    </xf>
    <xf numFmtId="164" fontId="73" fillId="0" borderId="6" xfId="2" applyNumberFormat="1" applyFont="1" applyFill="1" applyBorder="1"/>
    <xf numFmtId="0" fontId="71" fillId="0" borderId="0" xfId="0" applyFont="1" applyFill="1" applyBorder="1" applyProtection="1"/>
    <xf numFmtId="0" fontId="71" fillId="0" borderId="0" xfId="0" applyFont="1" applyFill="1" applyBorder="1" applyAlignment="1" applyProtection="1">
      <alignment horizontal="left"/>
    </xf>
    <xf numFmtId="0" fontId="71" fillId="0" borderId="0" xfId="0" applyFont="1" applyFill="1" applyBorder="1" applyAlignment="1" applyProtection="1">
      <alignment horizontal="center"/>
    </xf>
    <xf numFmtId="0" fontId="71" fillId="0" borderId="27" xfId="0" applyFont="1" applyFill="1" applyBorder="1" applyAlignment="1" applyProtection="1">
      <alignment horizontal="center"/>
      <protection hidden="1"/>
    </xf>
    <xf numFmtId="167" fontId="71" fillId="0" borderId="6" xfId="2" quotePrefix="1" applyNumberFormat="1" applyFont="1" applyFill="1" applyBorder="1" applyProtection="1"/>
    <xf numFmtId="167" fontId="71" fillId="0" borderId="6" xfId="2" applyNumberFormat="1" applyFont="1" applyFill="1" applyBorder="1" applyProtection="1">
      <protection hidden="1"/>
    </xf>
    <xf numFmtId="164" fontId="71" fillId="0" borderId="6" xfId="2" applyNumberFormat="1" applyFont="1" applyFill="1" applyBorder="1" applyAlignment="1" applyProtection="1">
      <protection hidden="1"/>
    </xf>
    <xf numFmtId="164" fontId="71" fillId="0" borderId="6" xfId="2" applyNumberFormat="1" applyFont="1" applyFill="1" applyBorder="1" applyProtection="1">
      <protection hidden="1"/>
    </xf>
    <xf numFmtId="164" fontId="71" fillId="0" borderId="37" xfId="2" applyNumberFormat="1" applyFont="1" applyFill="1" applyBorder="1" applyProtection="1">
      <protection hidden="1"/>
    </xf>
    <xf numFmtId="0" fontId="71" fillId="0" borderId="0" xfId="0" applyFont="1" applyFill="1" applyProtection="1"/>
    <xf numFmtId="0" fontId="71" fillId="0" borderId="6" xfId="0" applyFont="1" applyFill="1" applyBorder="1" applyAlignment="1" applyProtection="1">
      <alignment horizontal="left" wrapText="1"/>
      <protection hidden="1"/>
    </xf>
    <xf numFmtId="0" fontId="71" fillId="0" borderId="0" xfId="0" applyFont="1" applyFill="1" applyBorder="1" applyAlignment="1" applyProtection="1">
      <alignment vertical="center"/>
    </xf>
    <xf numFmtId="0" fontId="71" fillId="0" borderId="0" xfId="0" applyFont="1" applyFill="1" applyBorder="1" applyAlignment="1" applyProtection="1">
      <alignment horizontal="left" vertical="center"/>
    </xf>
    <xf numFmtId="0" fontId="71" fillId="0" borderId="0" xfId="0" applyFont="1" applyFill="1" applyBorder="1" applyAlignment="1" applyProtection="1">
      <alignment horizontal="center" vertical="center"/>
    </xf>
    <xf numFmtId="0" fontId="71" fillId="0" borderId="27" xfId="0" applyFont="1" applyFill="1" applyBorder="1" applyAlignment="1" applyProtection="1">
      <alignment horizontal="center" vertical="center"/>
      <protection hidden="1"/>
    </xf>
    <xf numFmtId="0" fontId="71" fillId="0" borderId="6" xfId="0" applyFont="1" applyFill="1" applyBorder="1" applyAlignment="1" applyProtection="1">
      <alignment horizontal="left" vertical="center" wrapText="1"/>
      <protection hidden="1"/>
    </xf>
    <xf numFmtId="0" fontId="71" fillId="0" borderId="6" xfId="0" applyFont="1" applyFill="1" applyBorder="1" applyAlignment="1" applyProtection="1">
      <alignment horizontal="center" vertical="center"/>
      <protection hidden="1"/>
    </xf>
    <xf numFmtId="167" fontId="71" fillId="0" borderId="6" xfId="2" applyNumberFormat="1" applyFont="1" applyFill="1" applyBorder="1" applyAlignment="1" applyProtection="1">
      <alignment vertical="center"/>
    </xf>
    <xf numFmtId="167" fontId="71" fillId="0" borderId="6" xfId="2" applyNumberFormat="1" applyFont="1" applyFill="1" applyBorder="1" applyAlignment="1" applyProtection="1">
      <alignment vertical="center"/>
      <protection hidden="1"/>
    </xf>
    <xf numFmtId="164" fontId="71" fillId="0" borderId="6" xfId="2" applyNumberFormat="1" applyFont="1" applyFill="1" applyBorder="1" applyAlignment="1" applyProtection="1">
      <alignment vertical="center"/>
      <protection hidden="1"/>
    </xf>
    <xf numFmtId="0" fontId="71" fillId="0" borderId="6" xfId="0" applyFont="1" applyFill="1" applyBorder="1" applyAlignment="1" applyProtection="1">
      <alignment vertical="center"/>
      <protection hidden="1"/>
    </xf>
    <xf numFmtId="164" fontId="71" fillId="0" borderId="60" xfId="2" applyNumberFormat="1" applyFont="1" applyFill="1" applyBorder="1" applyAlignment="1" applyProtection="1">
      <alignment vertical="center"/>
      <protection hidden="1"/>
    </xf>
    <xf numFmtId="0" fontId="71" fillId="0" borderId="0" xfId="0" applyFont="1" applyFill="1" applyAlignment="1" applyProtection="1">
      <alignment vertical="center"/>
    </xf>
    <xf numFmtId="164" fontId="71" fillId="0" borderId="6" xfId="2" applyNumberFormat="1" applyFont="1" applyFill="1" applyBorder="1" applyAlignment="1" applyProtection="1">
      <alignment horizontal="right" vertical="center"/>
      <protection hidden="1"/>
    </xf>
    <xf numFmtId="164" fontId="71" fillId="0" borderId="37" xfId="2" applyNumberFormat="1" applyFont="1" applyFill="1" applyBorder="1" applyAlignment="1" applyProtection="1">
      <alignment vertical="center"/>
      <protection hidden="1"/>
    </xf>
    <xf numFmtId="0" fontId="71" fillId="0" borderId="0" xfId="0" applyFont="1" applyFill="1" applyBorder="1" applyAlignment="1" applyProtection="1">
      <alignment vertical="top"/>
    </xf>
    <xf numFmtId="0" fontId="71" fillId="0" borderId="0" xfId="0" applyFont="1" applyFill="1" applyBorder="1" applyAlignment="1" applyProtection="1">
      <alignment horizontal="left" vertical="top"/>
    </xf>
    <xf numFmtId="0" fontId="71" fillId="0" borderId="0" xfId="0" applyFont="1" applyFill="1" applyBorder="1" applyAlignment="1" applyProtection="1">
      <alignment horizontal="center" vertical="top"/>
    </xf>
    <xf numFmtId="0" fontId="71" fillId="0" borderId="27" xfId="0" applyFont="1" applyFill="1" applyBorder="1" applyAlignment="1" applyProtection="1">
      <alignment horizontal="center" vertical="top"/>
      <protection hidden="1"/>
    </xf>
    <xf numFmtId="0" fontId="71" fillId="0" borderId="6" xfId="0" applyFont="1" applyFill="1" applyBorder="1" applyAlignment="1" applyProtection="1">
      <alignment horizontal="left" vertical="top" wrapText="1"/>
      <protection hidden="1"/>
    </xf>
    <xf numFmtId="0" fontId="71" fillId="0" borderId="6" xfId="0" applyFont="1" applyFill="1" applyBorder="1" applyAlignment="1" applyProtection="1">
      <alignment horizontal="center" vertical="top"/>
      <protection hidden="1"/>
    </xf>
    <xf numFmtId="167" fontId="71" fillId="0" borderId="6" xfId="2" applyNumberFormat="1" applyFont="1" applyFill="1" applyBorder="1" applyAlignment="1" applyProtection="1">
      <alignment vertical="top"/>
    </xf>
    <xf numFmtId="167" fontId="71" fillId="0" borderId="6" xfId="2" applyNumberFormat="1" applyFont="1" applyFill="1" applyBorder="1" applyAlignment="1" applyProtection="1">
      <alignment vertical="top"/>
      <protection hidden="1"/>
    </xf>
    <xf numFmtId="164" fontId="71" fillId="0" borderId="6" xfId="2" applyNumberFormat="1" applyFont="1" applyFill="1" applyBorder="1" applyAlignment="1" applyProtection="1">
      <alignment vertical="top"/>
      <protection hidden="1"/>
    </xf>
    <xf numFmtId="0" fontId="71" fillId="0" borderId="6" xfId="0" applyFont="1" applyFill="1" applyBorder="1" applyAlignment="1" applyProtection="1">
      <alignment vertical="top"/>
      <protection hidden="1"/>
    </xf>
    <xf numFmtId="164" fontId="71" fillId="0" borderId="37" xfId="2" applyNumberFormat="1" applyFont="1" applyFill="1" applyBorder="1" applyAlignment="1" applyProtection="1">
      <alignment vertical="top"/>
      <protection hidden="1"/>
    </xf>
    <xf numFmtId="0" fontId="71" fillId="0" borderId="0" xfId="0" applyFont="1" applyFill="1" applyAlignment="1" applyProtection="1">
      <alignment vertical="top"/>
    </xf>
    <xf numFmtId="167" fontId="71" fillId="20" borderId="6" xfId="2" applyNumberFormat="1" applyFont="1" applyFill="1" applyBorder="1" applyAlignment="1" applyProtection="1">
      <alignment vertical="center"/>
    </xf>
    <xf numFmtId="0" fontId="71" fillId="0" borderId="0" xfId="0" applyFont="1" applyFill="1" applyAlignment="1" applyProtection="1">
      <alignment horizontal="center"/>
    </xf>
    <xf numFmtId="167" fontId="71" fillId="0" borderId="6" xfId="2" applyNumberFormat="1" applyFont="1" applyFill="1" applyBorder="1" applyProtection="1"/>
    <xf numFmtId="0" fontId="71" fillId="0" borderId="0" xfId="0" applyFont="1" applyFill="1" applyAlignment="1" applyProtection="1">
      <alignment horizontal="center" vertical="center"/>
    </xf>
    <xf numFmtId="164" fontId="71" fillId="0" borderId="6" xfId="2" applyNumberFormat="1" applyFont="1" applyFill="1" applyBorder="1" applyAlignment="1" applyProtection="1">
      <alignment horizontal="right"/>
      <protection hidden="1"/>
    </xf>
    <xf numFmtId="0" fontId="71" fillId="0" borderId="6" xfId="0" applyFont="1" applyFill="1" applyBorder="1" applyProtection="1">
      <protection hidden="1"/>
    </xf>
    <xf numFmtId="167" fontId="71" fillId="0" borderId="6" xfId="2" quotePrefix="1" applyNumberFormat="1" applyFont="1" applyFill="1" applyBorder="1" applyAlignment="1" applyProtection="1">
      <alignment vertical="center"/>
    </xf>
    <xf numFmtId="164" fontId="71" fillId="0" borderId="60" xfId="2" applyNumberFormat="1" applyFont="1" applyFill="1" applyBorder="1" applyProtection="1">
      <protection hidden="1"/>
    </xf>
    <xf numFmtId="164" fontId="71" fillId="0" borderId="45" xfId="2" applyNumberFormat="1" applyFont="1" applyFill="1" applyBorder="1" applyProtection="1">
      <protection hidden="1"/>
    </xf>
    <xf numFmtId="3" fontId="25" fillId="0" borderId="0" xfId="12" applyNumberFormat="1" applyFont="1" applyFill="1" applyBorder="1" applyAlignment="1">
      <alignment horizontal="center"/>
    </xf>
    <xf numFmtId="0" fontId="91" fillId="0" borderId="0" xfId="0" applyFont="1" applyFill="1" applyBorder="1" applyProtection="1"/>
    <xf numFmtId="0" fontId="91" fillId="0" borderId="0" xfId="0" applyFont="1" applyFill="1" applyBorder="1" applyAlignment="1" applyProtection="1">
      <alignment horizontal="left"/>
    </xf>
    <xf numFmtId="0" fontId="91" fillId="0" borderId="0" xfId="0" applyFont="1" applyFill="1" applyBorder="1" applyAlignment="1" applyProtection="1">
      <alignment horizontal="center"/>
    </xf>
    <xf numFmtId="0" fontId="91" fillId="0" borderId="27" xfId="0" applyFont="1" applyFill="1" applyBorder="1" applyAlignment="1" applyProtection="1">
      <alignment horizontal="center"/>
      <protection hidden="1"/>
    </xf>
    <xf numFmtId="0" fontId="91" fillId="0" borderId="6" xfId="0" applyFont="1" applyFill="1" applyBorder="1" applyAlignment="1" applyProtection="1">
      <alignment horizontal="center"/>
      <protection hidden="1"/>
    </xf>
    <xf numFmtId="167" fontId="91" fillId="0" borderId="6" xfId="2" applyNumberFormat="1" applyFont="1" applyFill="1" applyBorder="1" applyProtection="1"/>
    <xf numFmtId="167" fontId="91" fillId="0" borderId="6" xfId="2" applyNumberFormat="1" applyFont="1" applyFill="1" applyBorder="1" applyProtection="1">
      <protection hidden="1"/>
    </xf>
    <xf numFmtId="164" fontId="91" fillId="0" borderId="6" xfId="2" applyNumberFormat="1" applyFont="1" applyFill="1" applyBorder="1" applyAlignment="1" applyProtection="1">
      <protection hidden="1"/>
    </xf>
    <xf numFmtId="0" fontId="91" fillId="0" borderId="6" xfId="0" applyFont="1" applyFill="1" applyBorder="1" applyProtection="1">
      <protection hidden="1"/>
    </xf>
    <xf numFmtId="164" fontId="91" fillId="0" borderId="6" xfId="2" applyNumberFormat="1" applyFont="1" applyFill="1" applyBorder="1" applyProtection="1">
      <protection hidden="1"/>
    </xf>
    <xf numFmtId="164" fontId="91" fillId="0" borderId="45" xfId="2" applyNumberFormat="1" applyFont="1" applyFill="1" applyBorder="1" applyProtection="1">
      <protection hidden="1"/>
    </xf>
    <xf numFmtId="0" fontId="91" fillId="0" borderId="0" xfId="0" applyFont="1" applyFill="1" applyProtection="1"/>
    <xf numFmtId="167" fontId="91" fillId="20" borderId="6" xfId="2" applyNumberFormat="1" applyFont="1" applyFill="1" applyBorder="1" applyProtection="1"/>
    <xf numFmtId="164" fontId="71" fillId="0" borderId="45" xfId="2" applyNumberFormat="1" applyFont="1" applyFill="1" applyBorder="1" applyAlignment="1" applyProtection="1">
      <alignment vertical="center"/>
      <protection hidden="1"/>
    </xf>
    <xf numFmtId="164" fontId="25" fillId="0" borderId="181" xfId="2" applyNumberFormat="1" applyFont="1" applyFill="1" applyBorder="1" applyAlignment="1">
      <alignment horizontal="center"/>
    </xf>
    <xf numFmtId="0" fontId="25" fillId="0" borderId="181" xfId="0" applyFont="1" applyFill="1" applyBorder="1" applyAlignment="1">
      <alignment horizontal="center"/>
    </xf>
    <xf numFmtId="164" fontId="25" fillId="0" borderId="181" xfId="2" applyNumberFormat="1" applyFont="1" applyFill="1" applyBorder="1"/>
    <xf numFmtId="164" fontId="25" fillId="0" borderId="181" xfId="2" applyNumberFormat="1" applyFont="1" applyFill="1" applyBorder="1" applyAlignment="1">
      <alignment horizontal="centerContinuous"/>
    </xf>
    <xf numFmtId="49" fontId="25" fillId="0" borderId="181" xfId="0" applyNumberFormat="1" applyFont="1" applyFill="1" applyBorder="1" applyAlignment="1">
      <alignment horizontal="center"/>
    </xf>
    <xf numFmtId="164" fontId="25" fillId="0" borderId="181" xfId="2" applyNumberFormat="1" applyFont="1" applyFill="1" applyBorder="1" applyAlignment="1" applyProtection="1">
      <alignment horizontal="center"/>
      <protection hidden="1"/>
    </xf>
    <xf numFmtId="164" fontId="25" fillId="0" borderId="182" xfId="2" applyNumberFormat="1" applyFont="1" applyFill="1" applyBorder="1" applyAlignment="1">
      <alignment horizontal="center"/>
    </xf>
    <xf numFmtId="0" fontId="31" fillId="0" borderId="8" xfId="0" applyFont="1" applyFill="1" applyBorder="1" applyAlignment="1" applyProtection="1">
      <alignment vertical="center"/>
    </xf>
    <xf numFmtId="0" fontId="31" fillId="0" borderId="60" xfId="0" applyFont="1" applyFill="1" applyBorder="1" applyAlignment="1" applyProtection="1">
      <alignment vertical="center"/>
    </xf>
    <xf numFmtId="164" fontId="31" fillId="0" borderId="14" xfId="2" applyNumberFormat="1" applyFont="1" applyFill="1" applyBorder="1" applyAlignment="1" applyProtection="1">
      <protection hidden="1"/>
    </xf>
    <xf numFmtId="167" fontId="31" fillId="20" borderId="6" xfId="2" applyNumberFormat="1" applyFont="1" applyFill="1" applyBorder="1" applyAlignment="1" applyProtection="1">
      <alignment vertical="center"/>
    </xf>
    <xf numFmtId="164" fontId="3" fillId="24" borderId="6" xfId="2" applyNumberFormat="1" applyFont="1" applyFill="1" applyBorder="1" applyAlignment="1" applyProtection="1"/>
    <xf numFmtId="164" fontId="31" fillId="24" borderId="6" xfId="2" applyNumberFormat="1" applyFont="1" applyFill="1" applyBorder="1" applyAlignment="1" applyProtection="1"/>
    <xf numFmtId="0" fontId="31" fillId="24" borderId="0" xfId="0" applyFont="1" applyFill="1" applyBorder="1" applyAlignment="1" applyProtection="1">
      <alignment horizontal="left" vertical="center"/>
    </xf>
    <xf numFmtId="3" fontId="43" fillId="24" borderId="6" xfId="16" applyNumberFormat="1" applyFont="1" applyFill="1" applyBorder="1" applyAlignment="1" applyProtection="1">
      <alignment horizontal="center"/>
    </xf>
    <xf numFmtId="0" fontId="31" fillId="24" borderId="0" xfId="0" applyFont="1" applyFill="1" applyBorder="1" applyAlignment="1" applyProtection="1">
      <alignment horizontal="left"/>
    </xf>
    <xf numFmtId="0" fontId="31" fillId="24" borderId="6" xfId="0" applyFont="1" applyFill="1" applyBorder="1" applyAlignment="1">
      <alignment horizontal="left"/>
    </xf>
    <xf numFmtId="0" fontId="46" fillId="24" borderId="0" xfId="0" applyFont="1" applyFill="1" applyBorder="1" applyAlignment="1" applyProtection="1">
      <alignment horizontal="left"/>
    </xf>
    <xf numFmtId="0" fontId="46" fillId="24" borderId="0" xfId="0" applyFont="1" applyFill="1" applyBorder="1" applyAlignment="1" applyProtection="1">
      <alignment horizontal="left" vertical="center"/>
    </xf>
    <xf numFmtId="164" fontId="25" fillId="25" borderId="6" xfId="2" applyNumberFormat="1" applyFont="1" applyFill="1" applyBorder="1"/>
    <xf numFmtId="164" fontId="25" fillId="25" borderId="6" xfId="2" applyNumberFormat="1" applyFont="1" applyFill="1" applyBorder="1" applyAlignment="1"/>
    <xf numFmtId="14" fontId="3" fillId="0" borderId="0" xfId="0" applyNumberFormat="1" applyFont="1" applyFill="1"/>
    <xf numFmtId="3" fontId="46" fillId="24" borderId="0" xfId="16" applyNumberFormat="1" applyFont="1" applyFill="1" applyAlignment="1" applyProtection="1">
      <alignment horizontal="center" vertical="center"/>
    </xf>
    <xf numFmtId="3" fontId="46" fillId="24" borderId="0" xfId="16" applyNumberFormat="1" applyFont="1" applyFill="1" applyAlignment="1" applyProtection="1">
      <alignment horizontal="left"/>
    </xf>
    <xf numFmtId="3" fontId="31" fillId="24" borderId="6" xfId="16" applyNumberFormat="1" applyFont="1" applyFill="1" applyBorder="1" applyAlignment="1" applyProtection="1">
      <alignment horizontal="center"/>
    </xf>
    <xf numFmtId="0" fontId="31" fillId="24" borderId="6" xfId="0" applyFont="1" applyFill="1" applyBorder="1" applyAlignment="1" applyProtection="1">
      <alignment horizontal="center"/>
    </xf>
    <xf numFmtId="0" fontId="31" fillId="24" borderId="6" xfId="0" applyFont="1" applyFill="1" applyBorder="1" applyAlignment="1" applyProtection="1">
      <alignment horizontal="left"/>
    </xf>
    <xf numFmtId="43" fontId="31" fillId="24" borderId="6" xfId="2" applyFont="1" applyFill="1" applyBorder="1" applyAlignment="1" applyProtection="1">
      <alignment horizontal="center"/>
    </xf>
    <xf numFmtId="3" fontId="61" fillId="24" borderId="15" xfId="13" applyNumberFormat="1" applyFont="1" applyFill="1" applyBorder="1" applyAlignment="1" applyProtection="1">
      <alignment horizontal="right"/>
    </xf>
    <xf numFmtId="3" fontId="61" fillId="24" borderId="6" xfId="13" applyNumberFormat="1" applyFont="1" applyFill="1" applyBorder="1" applyAlignment="1" applyProtection="1">
      <alignment horizontal="right"/>
    </xf>
    <xf numFmtId="3" fontId="31" fillId="24" borderId="6" xfId="16" applyNumberFormat="1" applyFont="1" applyFill="1" applyBorder="1" applyProtection="1"/>
    <xf numFmtId="3" fontId="31" fillId="24" borderId="0" xfId="16" applyNumberFormat="1" applyFont="1" applyFill="1" applyProtection="1"/>
    <xf numFmtId="0" fontId="25" fillId="24" borderId="6" xfId="0" applyFont="1" applyFill="1" applyBorder="1" applyAlignment="1">
      <alignment horizontal="left"/>
    </xf>
    <xf numFmtId="3" fontId="61" fillId="24" borderId="6" xfId="16" applyNumberFormat="1" applyFont="1" applyFill="1" applyBorder="1" applyAlignment="1" applyProtection="1">
      <alignment horizontal="right"/>
    </xf>
    <xf numFmtId="0" fontId="25" fillId="24" borderId="6" xfId="0" applyFont="1" applyFill="1" applyBorder="1" applyAlignment="1"/>
    <xf numFmtId="0" fontId="25" fillId="24" borderId="6" xfId="0" quotePrefix="1" applyFont="1" applyFill="1" applyBorder="1" applyAlignment="1">
      <alignment horizontal="left"/>
    </xf>
    <xf numFmtId="3" fontId="46" fillId="24" borderId="0" xfId="16" applyNumberFormat="1" applyFont="1" applyFill="1" applyBorder="1" applyAlignment="1" applyProtection="1">
      <alignment horizontal="left"/>
    </xf>
    <xf numFmtId="4" fontId="31" fillId="24" borderId="6" xfId="16" applyNumberFormat="1" applyFont="1" applyFill="1" applyBorder="1" applyAlignment="1" applyProtection="1">
      <alignment horizontal="right"/>
    </xf>
    <xf numFmtId="3" fontId="6" fillId="24" borderId="0" xfId="16" applyNumberFormat="1" applyFont="1" applyFill="1" applyProtection="1"/>
    <xf numFmtId="3" fontId="6" fillId="24" borderId="0" xfId="16" applyNumberFormat="1" applyFont="1" applyFill="1" applyAlignment="1" applyProtection="1">
      <alignment wrapText="1"/>
    </xf>
    <xf numFmtId="3" fontId="20" fillId="24" borderId="3" xfId="16" applyNumberFormat="1" applyFont="1" applyFill="1" applyBorder="1" applyAlignment="1" applyProtection="1">
      <alignment horizontal="center" wrapText="1"/>
    </xf>
    <xf numFmtId="3" fontId="11" fillId="24" borderId="3" xfId="14" applyNumberFormat="1" applyFont="1" applyFill="1" applyBorder="1" applyProtection="1"/>
    <xf numFmtId="3" fontId="24" fillId="24" borderId="3" xfId="14" applyNumberFormat="1" applyFont="1" applyFill="1" applyBorder="1" applyAlignment="1" applyProtection="1">
      <alignment horizontal="center"/>
    </xf>
    <xf numFmtId="3" fontId="6" fillId="24" borderId="3" xfId="16" applyNumberFormat="1" applyFont="1" applyFill="1" applyBorder="1" applyAlignment="1" applyProtection="1">
      <alignment wrapText="1"/>
    </xf>
    <xf numFmtId="3" fontId="11" fillId="24" borderId="3" xfId="16" quotePrefix="1" applyNumberFormat="1" applyFont="1" applyFill="1" applyBorder="1" applyAlignment="1" applyProtection="1"/>
    <xf numFmtId="4" fontId="24" fillId="24" borderId="3" xfId="14" applyNumberFormat="1" applyFont="1" applyFill="1" applyBorder="1" applyAlignment="1" applyProtection="1">
      <alignment horizontal="center"/>
    </xf>
    <xf numFmtId="3" fontId="6" fillId="24" borderId="0" xfId="16" applyNumberFormat="1" applyFont="1" applyFill="1" applyBorder="1" applyProtection="1"/>
    <xf numFmtId="3" fontId="5" fillId="24" borderId="3" xfId="16" applyNumberFormat="1" applyFont="1" applyFill="1" applyBorder="1" applyAlignment="1" applyProtection="1">
      <alignment horizontal="right" wrapText="1"/>
    </xf>
    <xf numFmtId="3" fontId="11" fillId="24" borderId="0" xfId="16" applyNumberFormat="1" applyFont="1" applyFill="1" applyProtection="1"/>
    <xf numFmtId="3" fontId="11" fillId="24" borderId="3" xfId="16" applyNumberFormat="1" applyFont="1" applyFill="1" applyBorder="1" applyProtection="1"/>
    <xf numFmtId="3" fontId="24" fillId="24" borderId="3" xfId="14" quotePrefix="1" applyNumberFormat="1" applyFont="1" applyFill="1" applyBorder="1" applyAlignment="1" applyProtection="1">
      <alignment horizontal="center"/>
    </xf>
    <xf numFmtId="3" fontId="24" fillId="24" borderId="3" xfId="16" applyNumberFormat="1" applyFont="1" applyFill="1" applyBorder="1" applyAlignment="1" applyProtection="1">
      <alignment horizontal="center"/>
    </xf>
    <xf numFmtId="4" fontId="6" fillId="24" borderId="3" xfId="16" applyNumberFormat="1" applyFont="1" applyFill="1" applyBorder="1" applyAlignment="1" applyProtection="1">
      <alignment wrapText="1"/>
    </xf>
    <xf numFmtId="3" fontId="11" fillId="24" borderId="3" xfId="14" applyNumberFormat="1" applyFont="1" applyFill="1" applyBorder="1" applyAlignment="1" applyProtection="1">
      <alignment horizontal="center"/>
    </xf>
    <xf numFmtId="3" fontId="11" fillId="24" borderId="3" xfId="14" applyNumberFormat="1" applyFont="1" applyFill="1" applyBorder="1" applyAlignment="1" applyProtection="1">
      <alignment horizontal="left"/>
    </xf>
    <xf numFmtId="3" fontId="11" fillId="24" borderId="3" xfId="14" quotePrefix="1" applyNumberFormat="1" applyFont="1" applyFill="1" applyBorder="1" applyAlignment="1" applyProtection="1">
      <alignment horizontal="right"/>
    </xf>
    <xf numFmtId="3" fontId="11" fillId="24" borderId="3" xfId="16" applyNumberFormat="1" applyFont="1" applyFill="1" applyBorder="1" applyAlignment="1" applyProtection="1">
      <alignment horizontal="center"/>
    </xf>
    <xf numFmtId="4" fontId="6" fillId="24" borderId="0" xfId="16" applyNumberFormat="1" applyFont="1" applyFill="1" applyProtection="1"/>
    <xf numFmtId="165" fontId="6" fillId="24" borderId="3" xfId="16" applyNumberFormat="1" applyFont="1" applyFill="1" applyBorder="1" applyAlignment="1" applyProtection="1">
      <alignment wrapText="1"/>
    </xf>
    <xf numFmtId="3" fontId="11" fillId="24" borderId="3" xfId="14" quotePrefix="1" applyNumberFormat="1" applyFont="1" applyFill="1" applyBorder="1" applyAlignment="1" applyProtection="1">
      <alignment horizontal="left"/>
    </xf>
    <xf numFmtId="165" fontId="6" fillId="24" borderId="0" xfId="16" applyNumberFormat="1" applyFont="1" applyFill="1" applyProtection="1"/>
    <xf numFmtId="168" fontId="6" fillId="24" borderId="0" xfId="16" applyNumberFormat="1" applyFont="1" applyFill="1" applyProtection="1"/>
    <xf numFmtId="4" fontId="11" fillId="24" borderId="3" xfId="14" applyNumberFormat="1" applyFont="1" applyFill="1" applyBorder="1" applyAlignment="1" applyProtection="1">
      <alignment horizontal="center"/>
    </xf>
    <xf numFmtId="4" fontId="11" fillId="24" borderId="57" xfId="14" applyNumberFormat="1" applyFont="1" applyFill="1" applyBorder="1" applyAlignment="1" applyProtection="1">
      <alignment horizontal="center"/>
    </xf>
    <xf numFmtId="3" fontId="11" fillId="24" borderId="57" xfId="14" applyNumberFormat="1" applyFont="1" applyFill="1" applyBorder="1" applyAlignment="1" applyProtection="1">
      <alignment horizontal="left"/>
    </xf>
    <xf numFmtId="3" fontId="11" fillId="24" borderId="57" xfId="14" applyNumberFormat="1" applyFont="1" applyFill="1" applyBorder="1" applyAlignment="1" applyProtection="1">
      <alignment horizontal="right"/>
    </xf>
    <xf numFmtId="3" fontId="11" fillId="24" borderId="57" xfId="14" quotePrefix="1" applyNumberFormat="1" applyFont="1" applyFill="1" applyBorder="1" applyAlignment="1" applyProtection="1">
      <alignment horizontal="right"/>
    </xf>
    <xf numFmtId="3" fontId="11" fillId="24" borderId="57" xfId="14" applyNumberFormat="1" applyFont="1" applyFill="1" applyBorder="1" applyAlignment="1" applyProtection="1">
      <alignment horizontal="center"/>
    </xf>
    <xf numFmtId="4" fontId="10" fillId="24" borderId="57" xfId="14" applyNumberFormat="1" applyFont="1" applyFill="1" applyBorder="1" applyAlignment="1" applyProtection="1">
      <alignment horizontal="center"/>
    </xf>
    <xf numFmtId="3" fontId="24" fillId="24" borderId="57" xfId="14" applyNumberFormat="1" applyFont="1" applyFill="1" applyBorder="1" applyProtection="1"/>
    <xf numFmtId="3" fontId="10" fillId="24" borderId="57" xfId="14" applyNumberFormat="1" applyFont="1" applyFill="1" applyBorder="1" applyProtection="1"/>
    <xf numFmtId="3" fontId="11" fillId="24" borderId="57" xfId="14" applyNumberFormat="1" applyFont="1" applyFill="1" applyBorder="1" applyProtection="1"/>
    <xf numFmtId="168" fontId="24" fillId="24" borderId="57" xfId="14" applyNumberFormat="1" applyFont="1" applyFill="1" applyBorder="1" applyAlignment="1" applyProtection="1">
      <alignment horizontal="center"/>
    </xf>
    <xf numFmtId="3" fontId="24" fillId="24" borderId="3" xfId="14" applyNumberFormat="1" applyFont="1" applyFill="1" applyBorder="1" applyProtection="1"/>
    <xf numFmtId="3" fontId="6" fillId="24" borderId="0" xfId="16" applyNumberFormat="1" applyFont="1" applyFill="1" applyBorder="1" applyAlignment="1" applyProtection="1">
      <alignment wrapText="1"/>
    </xf>
    <xf numFmtId="3" fontId="10" fillId="24" borderId="24" xfId="14" applyNumberFormat="1" applyFont="1" applyFill="1" applyBorder="1" applyProtection="1"/>
    <xf numFmtId="3" fontId="11" fillId="24" borderId="24" xfId="14" applyNumberFormat="1" applyFont="1" applyFill="1" applyBorder="1" applyProtection="1"/>
    <xf numFmtId="3" fontId="11" fillId="24" borderId="24" xfId="14" applyNumberFormat="1" applyFont="1" applyFill="1" applyBorder="1" applyAlignment="1" applyProtection="1">
      <alignment horizontal="center"/>
    </xf>
    <xf numFmtId="3" fontId="10" fillId="24" borderId="0" xfId="16" applyNumberFormat="1" applyFont="1" applyFill="1" applyBorder="1" applyAlignment="1" applyProtection="1">
      <alignment horizontal="center" vertical="center"/>
    </xf>
    <xf numFmtId="3" fontId="24" fillId="24" borderId="57" xfId="14" applyNumberFormat="1" applyFont="1" applyFill="1" applyBorder="1" applyAlignment="1" applyProtection="1">
      <alignment horizontal="right"/>
    </xf>
    <xf numFmtId="3" fontId="10" fillId="24" borderId="0" xfId="14" applyNumberFormat="1" applyFont="1" applyFill="1" applyBorder="1" applyProtection="1"/>
    <xf numFmtId="168" fontId="10" fillId="24" borderId="0" xfId="14" applyNumberFormat="1" applyFont="1" applyFill="1" applyBorder="1" applyProtection="1"/>
    <xf numFmtId="3" fontId="82" fillId="24" borderId="0" xfId="14" applyNumberFormat="1" applyFont="1" applyFill="1" applyBorder="1" applyAlignment="1" applyProtection="1">
      <alignment horizontal="center"/>
    </xf>
    <xf numFmtId="3" fontId="82" fillId="24" borderId="0" xfId="14" applyNumberFormat="1" applyFont="1" applyFill="1" applyBorder="1" applyProtection="1"/>
    <xf numFmtId="3" fontId="74" fillId="24" borderId="0" xfId="16" applyNumberFormat="1" applyFont="1" applyFill="1" applyBorder="1" applyAlignment="1" applyProtection="1">
      <alignment horizontal="center"/>
    </xf>
    <xf numFmtId="3" fontId="11" fillId="24" borderId="0" xfId="16" applyNumberFormat="1" applyFont="1" applyFill="1" applyBorder="1" applyAlignment="1" applyProtection="1">
      <alignment horizontal="center"/>
    </xf>
    <xf numFmtId="3" fontId="66" fillId="24" borderId="0" xfId="16" applyNumberFormat="1" applyFont="1" applyFill="1" applyProtection="1"/>
    <xf numFmtId="3" fontId="40" fillId="24" borderId="0" xfId="16" applyNumberFormat="1" applyFont="1" applyFill="1" applyAlignment="1" applyProtection="1">
      <alignment horizontal="centerContinuous"/>
    </xf>
    <xf numFmtId="3" fontId="66" fillId="24" borderId="0" xfId="16" applyNumberFormat="1" applyFont="1" applyFill="1" applyAlignment="1" applyProtection="1">
      <alignment horizontal="centerContinuous"/>
    </xf>
    <xf numFmtId="3" fontId="66" fillId="24" borderId="0" xfId="16" applyNumberFormat="1" applyFont="1" applyFill="1" applyBorder="1" applyAlignment="1" applyProtection="1">
      <alignment horizontal="centerContinuous"/>
    </xf>
    <xf numFmtId="168" fontId="66" fillId="24" borderId="0" xfId="16" applyNumberFormat="1" applyFont="1" applyFill="1" applyBorder="1" applyAlignment="1" applyProtection="1">
      <alignment horizontal="centerContinuous"/>
    </xf>
    <xf numFmtId="3" fontId="90" fillId="24" borderId="0" xfId="16" applyNumberFormat="1" applyFont="1" applyFill="1" applyAlignment="1" applyProtection="1">
      <alignment horizontal="centerContinuous"/>
    </xf>
    <xf numFmtId="3" fontId="27" fillId="24" borderId="0" xfId="16" applyNumberFormat="1" applyFont="1" applyFill="1" applyProtection="1"/>
    <xf numFmtId="3" fontId="43" fillId="24" borderId="0" xfId="16" applyNumberFormat="1" applyFont="1" applyFill="1" applyAlignment="1" applyProtection="1">
      <alignment horizontal="centerContinuous"/>
    </xf>
    <xf numFmtId="3" fontId="31" fillId="24" borderId="0" xfId="16" applyNumberFormat="1" applyFont="1" applyFill="1" applyAlignment="1" applyProtection="1">
      <alignment horizontal="centerContinuous"/>
    </xf>
    <xf numFmtId="3" fontId="71" fillId="24" borderId="0" xfId="16" applyNumberFormat="1" applyFont="1" applyFill="1" applyAlignment="1" applyProtection="1">
      <alignment horizontal="centerContinuous"/>
    </xf>
    <xf numFmtId="3" fontId="11" fillId="24" borderId="0" xfId="16" applyNumberFormat="1" applyFont="1" applyFill="1" applyAlignment="1" applyProtection="1">
      <alignment horizontal="center"/>
    </xf>
    <xf numFmtId="172" fontId="83" fillId="24" borderId="0" xfId="10" quotePrefix="1" applyNumberFormat="1" applyFont="1" applyFill="1" applyAlignment="1" applyProtection="1">
      <alignment horizontal="centerContinuous"/>
    </xf>
    <xf numFmtId="3" fontId="6" fillId="24" borderId="0" xfId="16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/>
    </xf>
    <xf numFmtId="0" fontId="6" fillId="24" borderId="0" xfId="16" applyFont="1" applyFill="1" applyProtection="1"/>
    <xf numFmtId="3" fontId="5" fillId="24" borderId="0" xfId="16" quotePrefix="1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 wrapText="1"/>
    </xf>
    <xf numFmtId="3" fontId="5" fillId="24" borderId="0" xfId="16" applyNumberFormat="1" applyFont="1" applyFill="1" applyBorder="1" applyAlignment="1" applyProtection="1">
      <alignment horizontal="center"/>
    </xf>
    <xf numFmtId="3" fontId="46" fillId="24" borderId="0" xfId="16" applyNumberFormat="1" applyFont="1" applyFill="1" applyAlignment="1" applyProtection="1">
      <alignment horizontal="center"/>
    </xf>
    <xf numFmtId="3" fontId="43" fillId="24" borderId="57" xfId="16" applyNumberFormat="1" applyFont="1" applyFill="1" applyBorder="1" applyAlignment="1" applyProtection="1">
      <alignment horizontal="center" vertical="center"/>
    </xf>
    <xf numFmtId="3" fontId="43" fillId="24" borderId="52" xfId="16" applyNumberFormat="1" applyFont="1" applyFill="1" applyBorder="1" applyAlignment="1" applyProtection="1">
      <alignment horizontal="centerContinuous" vertical="center"/>
    </xf>
    <xf numFmtId="3" fontId="43" fillId="24" borderId="2" xfId="16" applyNumberFormat="1" applyFont="1" applyFill="1" applyBorder="1" applyAlignment="1" applyProtection="1">
      <alignment horizontal="centerContinuous" vertical="center"/>
    </xf>
    <xf numFmtId="3" fontId="43" fillId="24" borderId="59" xfId="16" applyNumberFormat="1" applyFont="1" applyFill="1" applyBorder="1" applyAlignment="1" applyProtection="1">
      <alignment horizontal="centerContinuous" vertical="center"/>
    </xf>
    <xf numFmtId="0" fontId="31" fillId="24" borderId="0" xfId="16" applyFont="1" applyFill="1" applyProtection="1"/>
    <xf numFmtId="3" fontId="43" fillId="24" borderId="53" xfId="16" applyNumberFormat="1" applyFont="1" applyFill="1" applyBorder="1" applyAlignment="1" applyProtection="1">
      <alignment horizontal="center" vertical="center"/>
    </xf>
    <xf numFmtId="3" fontId="43" fillId="24" borderId="52" xfId="16" applyNumberFormat="1" applyFont="1" applyFill="1" applyBorder="1" applyAlignment="1" applyProtection="1">
      <alignment horizontal="center" vertical="center"/>
    </xf>
    <xf numFmtId="3" fontId="43" fillId="24" borderId="52" xfId="16" applyNumberFormat="1" applyFont="1" applyFill="1" applyBorder="1" applyAlignment="1" applyProtection="1">
      <alignment horizontal="left"/>
    </xf>
    <xf numFmtId="3" fontId="43" fillId="24" borderId="59" xfId="16" applyNumberFormat="1" applyFont="1" applyFill="1" applyBorder="1" applyAlignment="1" applyProtection="1">
      <alignment horizontal="left"/>
    </xf>
    <xf numFmtId="3" fontId="43" fillId="24" borderId="2" xfId="16" applyNumberFormat="1" applyFont="1" applyFill="1" applyBorder="1" applyAlignment="1" applyProtection="1">
      <alignment horizontal="center" wrapText="1"/>
    </xf>
    <xf numFmtId="3" fontId="43" fillId="24" borderId="2" xfId="16" applyNumberFormat="1" applyFont="1" applyFill="1" applyBorder="1" applyAlignment="1" applyProtection="1">
      <alignment horizontal="left"/>
    </xf>
    <xf numFmtId="3" fontId="43" fillId="24" borderId="3" xfId="16" applyNumberFormat="1" applyFont="1" applyFill="1" applyBorder="1" applyAlignment="1" applyProtection="1">
      <alignment horizontal="center"/>
    </xf>
    <xf numFmtId="0" fontId="46" fillId="24" borderId="0" xfId="0" applyFont="1" applyFill="1" applyProtection="1"/>
    <xf numFmtId="3" fontId="31" fillId="24" borderId="6" xfId="15" applyNumberFormat="1" applyFont="1" applyFill="1" applyBorder="1" applyAlignment="1" applyProtection="1">
      <alignment horizontal="center"/>
    </xf>
    <xf numFmtId="3" fontId="61" fillId="24" borderId="43" xfId="16" applyNumberFormat="1" applyFont="1" applyFill="1" applyBorder="1" applyAlignment="1" applyProtection="1">
      <alignment horizontal="center"/>
    </xf>
    <xf numFmtId="3" fontId="61" fillId="24" borderId="23" xfId="16" applyNumberFormat="1" applyFont="1" applyFill="1" applyBorder="1" applyAlignment="1" applyProtection="1">
      <alignment horizontal="right"/>
    </xf>
    <xf numFmtId="3" fontId="61" fillId="24" borderId="57" xfId="16" applyNumberFormat="1" applyFont="1" applyFill="1" applyBorder="1" applyAlignment="1" applyProtection="1">
      <alignment horizontal="right"/>
    </xf>
    <xf numFmtId="3" fontId="31" fillId="24" borderId="14" xfId="16" applyNumberFormat="1" applyFont="1" applyFill="1" applyBorder="1" applyAlignment="1" applyProtection="1">
      <alignment horizontal="center"/>
    </xf>
    <xf numFmtId="3" fontId="31" fillId="24" borderId="0" xfId="16" applyNumberFormat="1" applyFont="1" applyFill="1" applyBorder="1" applyProtection="1"/>
    <xf numFmtId="3" fontId="61" fillId="24" borderId="15" xfId="16" applyNumberFormat="1" applyFont="1" applyFill="1" applyBorder="1" applyAlignment="1" applyProtection="1">
      <alignment horizontal="right"/>
    </xf>
    <xf numFmtId="3" fontId="31" fillId="24" borderId="0" xfId="16" applyNumberFormat="1" applyFont="1" applyFill="1" applyAlignment="1" applyProtection="1">
      <alignment horizontal="left"/>
    </xf>
    <xf numFmtId="3" fontId="46" fillId="24" borderId="0" xfId="0" applyNumberFormat="1" applyFont="1" applyFill="1" applyProtection="1"/>
    <xf numFmtId="3" fontId="31" fillId="24" borderId="0" xfId="16" applyNumberFormat="1" applyFont="1" applyFill="1" applyBorder="1" applyAlignment="1" applyProtection="1">
      <alignment horizontal="left"/>
    </xf>
    <xf numFmtId="3" fontId="31" fillId="24" borderId="15" xfId="16" applyNumberFormat="1" applyFont="1" applyFill="1" applyBorder="1" applyAlignment="1" applyProtection="1">
      <alignment horizontal="right"/>
    </xf>
    <xf numFmtId="3" fontId="31" fillId="24" borderId="3" xfId="16" applyNumberFormat="1" applyFont="1" applyFill="1" applyBorder="1" applyAlignment="1" applyProtection="1">
      <alignment horizontal="center"/>
    </xf>
    <xf numFmtId="49" fontId="31" fillId="24" borderId="3" xfId="16" applyNumberFormat="1" applyFont="1" applyFill="1" applyBorder="1" applyAlignment="1" applyProtection="1">
      <alignment horizontal="center"/>
    </xf>
    <xf numFmtId="3" fontId="43" fillId="24" borderId="3" xfId="16" applyNumberFormat="1" applyFont="1" applyFill="1" applyBorder="1" applyAlignment="1" applyProtection="1">
      <alignment horizontal="centerContinuous" wrapText="1"/>
    </xf>
    <xf numFmtId="3" fontId="31" fillId="24" borderId="3" xfId="16" applyNumberFormat="1" applyFont="1" applyFill="1" applyBorder="1" applyAlignment="1" applyProtection="1">
      <alignment horizontal="centerContinuous"/>
    </xf>
    <xf numFmtId="3" fontId="43" fillId="24" borderId="3" xfId="16" applyNumberFormat="1" applyFont="1" applyFill="1" applyBorder="1" applyAlignment="1" applyProtection="1">
      <alignment horizontal="centerContinuous"/>
    </xf>
    <xf numFmtId="3" fontId="43" fillId="24" borderId="52" xfId="16" applyNumberFormat="1" applyFont="1" applyFill="1" applyBorder="1" applyAlignment="1" applyProtection="1">
      <alignment horizontal="center"/>
    </xf>
    <xf numFmtId="3" fontId="43" fillId="24" borderId="59" xfId="16" applyNumberFormat="1" applyFont="1" applyFill="1" applyBorder="1" applyAlignment="1" applyProtection="1">
      <alignment horizontal="center"/>
    </xf>
    <xf numFmtId="3" fontId="43" fillId="24" borderId="2" xfId="16" applyNumberFormat="1" applyFont="1" applyFill="1" applyBorder="1" applyAlignment="1" applyProtection="1">
      <alignment horizontal="center"/>
    </xf>
    <xf numFmtId="3" fontId="43" fillId="24" borderId="43" xfId="15" applyNumberFormat="1" applyFont="1" applyFill="1" applyBorder="1" applyAlignment="1" applyProtection="1">
      <alignment horizontal="center"/>
    </xf>
    <xf numFmtId="3" fontId="43" fillId="24" borderId="26" xfId="16" applyNumberFormat="1" applyFont="1" applyFill="1" applyBorder="1" applyAlignment="1" applyProtection="1">
      <alignment horizontal="center"/>
    </xf>
    <xf numFmtId="3" fontId="43" fillId="24" borderId="43" xfId="16" applyNumberFormat="1" applyFont="1" applyFill="1" applyBorder="1" applyAlignment="1" applyProtection="1">
      <alignment horizontal="center"/>
    </xf>
    <xf numFmtId="3" fontId="43" fillId="24" borderId="0" xfId="16" applyNumberFormat="1" applyFont="1" applyFill="1" applyBorder="1" applyAlignment="1" applyProtection="1">
      <alignment horizontal="center"/>
    </xf>
    <xf numFmtId="3" fontId="43" fillId="24" borderId="6" xfId="15" applyNumberFormat="1" applyFont="1" applyFill="1" applyBorder="1" applyAlignment="1" applyProtection="1">
      <alignment horizontal="center"/>
    </xf>
    <xf numFmtId="49" fontId="43" fillId="24" borderId="47" xfId="16" applyNumberFormat="1" applyFont="1" applyFill="1" applyBorder="1" applyAlignment="1" applyProtection="1">
      <alignment horizontal="center"/>
    </xf>
    <xf numFmtId="3" fontId="43" fillId="24" borderId="6" xfId="16" applyNumberFormat="1" applyFont="1" applyFill="1" applyBorder="1" applyAlignment="1" applyProtection="1">
      <alignment wrapText="1"/>
    </xf>
    <xf numFmtId="3" fontId="47" fillId="24" borderId="6" xfId="16" applyNumberFormat="1" applyFont="1" applyFill="1" applyBorder="1" applyAlignment="1" applyProtection="1">
      <alignment wrapText="1"/>
    </xf>
    <xf numFmtId="3" fontId="31" fillId="24" borderId="0" xfId="16" applyNumberFormat="1" applyFont="1" applyFill="1" applyBorder="1" applyAlignment="1" applyProtection="1">
      <alignment horizontal="center"/>
    </xf>
    <xf numFmtId="49" fontId="31" fillId="24" borderId="47" xfId="16" applyNumberFormat="1" applyFont="1" applyFill="1" applyBorder="1" applyAlignment="1" applyProtection="1">
      <alignment horizontal="center"/>
    </xf>
    <xf numFmtId="4" fontId="31" fillId="24" borderId="6" xfId="16" applyNumberFormat="1" applyFont="1" applyFill="1" applyBorder="1" applyAlignment="1" applyProtection="1">
      <alignment horizontal="center"/>
    </xf>
    <xf numFmtId="0" fontId="31" fillId="24" borderId="6" xfId="0" applyFont="1" applyFill="1" applyBorder="1" applyAlignment="1" applyProtection="1">
      <alignment horizontal="center" vertical="center"/>
    </xf>
    <xf numFmtId="3" fontId="31" fillId="24" borderId="0" xfId="16" applyNumberFormat="1" applyFont="1" applyFill="1" applyAlignment="1" applyProtection="1">
      <alignment horizontal="center"/>
    </xf>
    <xf numFmtId="164" fontId="31" fillId="24" borderId="6" xfId="2" applyNumberFormat="1" applyFont="1" applyFill="1" applyBorder="1" applyAlignment="1" applyProtection="1">
      <alignment horizontal="center"/>
    </xf>
    <xf numFmtId="0" fontId="61" fillId="24" borderId="15" xfId="16" applyNumberFormat="1" applyFont="1" applyFill="1" applyBorder="1" applyAlignment="1" applyProtection="1">
      <alignment horizontal="right"/>
    </xf>
    <xf numFmtId="168" fontId="31" fillId="24" borderId="6" xfId="16" applyNumberFormat="1" applyFont="1" applyFill="1" applyBorder="1" applyAlignment="1" applyProtection="1">
      <alignment horizontal="center"/>
    </xf>
    <xf numFmtId="165" fontId="31" fillId="24" borderId="6" xfId="16" applyNumberFormat="1" applyFont="1" applyFill="1" applyBorder="1" applyAlignment="1" applyProtection="1">
      <alignment horizontal="center"/>
    </xf>
    <xf numFmtId="3" fontId="43" fillId="24" borderId="6" xfId="16" quotePrefix="1" applyNumberFormat="1" applyFont="1" applyFill="1" applyBorder="1" applyAlignment="1" applyProtection="1">
      <alignment wrapText="1"/>
    </xf>
    <xf numFmtId="3" fontId="46" fillId="24" borderId="0" xfId="0" applyNumberFormat="1" applyFont="1" applyFill="1" applyBorder="1" applyAlignment="1" applyProtection="1">
      <alignment horizontal="left"/>
    </xf>
    <xf numFmtId="0" fontId="46" fillId="24" borderId="0" xfId="0" applyFont="1" applyFill="1" applyBorder="1" applyProtection="1"/>
    <xf numFmtId="3" fontId="43" fillId="24" borderId="8" xfId="16" applyNumberFormat="1" applyFont="1" applyFill="1" applyBorder="1" applyAlignment="1" applyProtection="1">
      <alignment horizontal="center"/>
    </xf>
    <xf numFmtId="49" fontId="43" fillId="24" borderId="77" xfId="16" applyNumberFormat="1" applyFont="1" applyFill="1" applyBorder="1" applyAlignment="1" applyProtection="1">
      <alignment horizontal="center"/>
    </xf>
    <xf numFmtId="3" fontId="61" fillId="24" borderId="78" xfId="16" applyNumberFormat="1" applyFont="1" applyFill="1" applyBorder="1" applyAlignment="1" applyProtection="1">
      <alignment horizontal="right"/>
    </xf>
    <xf numFmtId="3" fontId="61" fillId="24" borderId="8" xfId="16" applyNumberFormat="1" applyFont="1" applyFill="1" applyBorder="1" applyAlignment="1" applyProtection="1">
      <alignment horizontal="right"/>
    </xf>
    <xf numFmtId="3" fontId="31" fillId="24" borderId="8" xfId="16" applyNumberFormat="1" applyFont="1" applyFill="1" applyBorder="1" applyAlignment="1" applyProtection="1">
      <alignment horizontal="center"/>
    </xf>
    <xf numFmtId="3" fontId="31" fillId="24" borderId="52" xfId="16" applyNumberFormat="1" applyFont="1" applyFill="1" applyBorder="1" applyProtection="1"/>
    <xf numFmtId="3" fontId="31" fillId="24" borderId="2" xfId="16" applyNumberFormat="1" applyFont="1" applyFill="1" applyBorder="1" applyProtection="1"/>
    <xf numFmtId="3" fontId="43" fillId="24" borderId="2" xfId="16" applyNumberFormat="1" applyFont="1" applyFill="1" applyBorder="1" applyAlignment="1" applyProtection="1">
      <alignment horizontal="centerContinuous" wrapText="1"/>
    </xf>
    <xf numFmtId="3" fontId="31" fillId="24" borderId="2" xfId="16" applyNumberFormat="1" applyFont="1" applyFill="1" applyBorder="1" applyAlignment="1" applyProtection="1">
      <alignment horizontal="centerContinuous"/>
    </xf>
    <xf numFmtId="3" fontId="43" fillId="24" borderId="3" xfId="16" applyNumberFormat="1" applyFont="1" applyFill="1" applyBorder="1" applyProtection="1"/>
    <xf numFmtId="172" fontId="84" fillId="24" borderId="0" xfId="10" quotePrefix="1" applyNumberFormat="1" applyFont="1" applyFill="1" applyAlignment="1" applyProtection="1">
      <alignment horizontal="centerContinuous"/>
    </xf>
    <xf numFmtId="3" fontId="61" fillId="24" borderId="6" xfId="16" applyNumberFormat="1" applyFont="1" applyFill="1" applyBorder="1" applyAlignment="1" applyProtection="1">
      <alignment horizontal="center"/>
    </xf>
    <xf numFmtId="3" fontId="31" fillId="24" borderId="14" xfId="16" applyNumberFormat="1" applyFont="1" applyFill="1" applyBorder="1" applyProtection="1"/>
    <xf numFmtId="3" fontId="31" fillId="24" borderId="3" xfId="16" applyNumberFormat="1" applyFont="1" applyFill="1" applyBorder="1" applyProtection="1"/>
    <xf numFmtId="3" fontId="43" fillId="24" borderId="6" xfId="16" applyNumberFormat="1" applyFont="1" applyFill="1" applyBorder="1" applyAlignment="1" applyProtection="1"/>
    <xf numFmtId="3" fontId="47" fillId="24" borderId="6" xfId="16" applyNumberFormat="1" applyFont="1" applyFill="1" applyBorder="1" applyAlignment="1" applyProtection="1"/>
    <xf numFmtId="0" fontId="46" fillId="24" borderId="6" xfId="0" applyFont="1" applyFill="1" applyBorder="1" applyAlignment="1" applyProtection="1">
      <alignment horizontal="left"/>
      <protection locked="0"/>
    </xf>
    <xf numFmtId="3" fontId="43" fillId="24" borderId="6" xfId="16" quotePrefix="1" applyNumberFormat="1" applyFont="1" applyFill="1" applyBorder="1" applyAlignment="1" applyProtection="1"/>
    <xf numFmtId="3" fontId="43" fillId="24" borderId="42" xfId="16" applyNumberFormat="1" applyFont="1" applyFill="1" applyBorder="1" applyAlignment="1" applyProtection="1">
      <alignment horizontal="center"/>
    </xf>
    <xf numFmtId="49" fontId="43" fillId="24" borderId="79" xfId="16" applyNumberFormat="1" applyFont="1" applyFill="1" applyBorder="1" applyAlignment="1" applyProtection="1">
      <alignment horizontal="center"/>
    </xf>
    <xf numFmtId="3" fontId="61" fillId="24" borderId="42" xfId="16" applyNumberFormat="1" applyFont="1" applyFill="1" applyBorder="1" applyAlignment="1" applyProtection="1">
      <alignment horizontal="right"/>
    </xf>
    <xf numFmtId="3" fontId="61" fillId="24" borderId="80" xfId="16" applyNumberFormat="1" applyFont="1" applyFill="1" applyBorder="1" applyAlignment="1" applyProtection="1">
      <alignment horizontal="right"/>
    </xf>
    <xf numFmtId="3" fontId="31" fillId="24" borderId="8" xfId="16" applyNumberFormat="1" applyFont="1" applyFill="1" applyBorder="1" applyProtection="1"/>
    <xf numFmtId="3" fontId="43" fillId="24" borderId="2" xfId="16" applyNumberFormat="1" applyFont="1" applyFill="1" applyBorder="1" applyAlignment="1" applyProtection="1">
      <alignment horizontal="centerContinuous"/>
    </xf>
    <xf numFmtId="0" fontId="46" fillId="24" borderId="6" xfId="0" applyFont="1" applyFill="1" applyBorder="1" applyAlignment="1">
      <alignment horizontal="left"/>
    </xf>
    <xf numFmtId="3" fontId="43" fillId="24" borderId="0" xfId="16" quotePrefix="1" applyNumberFormat="1" applyFont="1" applyFill="1" applyAlignment="1" applyProtection="1">
      <alignment horizontal="centerContinuous"/>
    </xf>
    <xf numFmtId="43" fontId="61" fillId="24" borderId="6" xfId="2" applyFont="1" applyFill="1" applyBorder="1" applyAlignment="1" applyProtection="1">
      <alignment horizontal="center"/>
    </xf>
    <xf numFmtId="43" fontId="31" fillId="24" borderId="3" xfId="2" applyFont="1" applyFill="1" applyBorder="1" applyAlignment="1" applyProtection="1">
      <alignment horizontal="centerContinuous"/>
    </xf>
    <xf numFmtId="43" fontId="43" fillId="24" borderId="2" xfId="2" applyFont="1" applyFill="1" applyBorder="1" applyAlignment="1" applyProtection="1">
      <alignment horizontal="center"/>
    </xf>
    <xf numFmtId="43" fontId="43" fillId="24" borderId="6" xfId="2" applyFont="1" applyFill="1" applyBorder="1" applyAlignment="1" applyProtection="1">
      <alignment horizontal="center"/>
    </xf>
    <xf numFmtId="43" fontId="43" fillId="24" borderId="8" xfId="2" applyFont="1" applyFill="1" applyBorder="1" applyAlignment="1" applyProtection="1">
      <alignment horizontal="center"/>
    </xf>
    <xf numFmtId="172" fontId="85" fillId="24" borderId="0" xfId="10" quotePrefix="1" applyNumberFormat="1" applyFont="1" applyFill="1" applyAlignment="1" applyProtection="1">
      <alignment horizontal="centerContinuous"/>
    </xf>
    <xf numFmtId="172" fontId="85" fillId="24" borderId="0" xfId="10" quotePrefix="1" applyNumberFormat="1" applyFont="1" applyFill="1" applyAlignment="1" applyProtection="1"/>
    <xf numFmtId="4" fontId="61" fillId="24" borderId="6" xfId="16" applyNumberFormat="1" applyFont="1" applyFill="1" applyBorder="1" applyAlignment="1" applyProtection="1">
      <alignment horizontal="right"/>
    </xf>
    <xf numFmtId="3" fontId="31" fillId="24" borderId="3" xfId="16" applyNumberFormat="1" applyFont="1" applyFill="1" applyBorder="1" applyAlignment="1" applyProtection="1">
      <alignment horizontal="right"/>
    </xf>
    <xf numFmtId="4" fontId="43" fillId="24" borderId="6" xfId="16" applyNumberFormat="1" applyFont="1" applyFill="1" applyBorder="1" applyAlignment="1" applyProtection="1">
      <alignment horizontal="right"/>
    </xf>
    <xf numFmtId="0" fontId="31" fillId="24" borderId="6" xfId="0" applyFont="1" applyFill="1" applyBorder="1" applyAlignment="1" applyProtection="1">
      <alignment horizontal="left" vertical="center"/>
    </xf>
    <xf numFmtId="4" fontId="43" fillId="24" borderId="8" xfId="16" applyNumberFormat="1" applyFont="1" applyFill="1" applyBorder="1" applyAlignment="1" applyProtection="1">
      <alignment horizontal="right"/>
    </xf>
    <xf numFmtId="0" fontId="46" fillId="24" borderId="0" xfId="0" applyFont="1" applyFill="1" applyBorder="1" applyAlignment="1">
      <alignment horizontal="left"/>
    </xf>
    <xf numFmtId="0" fontId="31" fillId="24" borderId="3" xfId="16" applyNumberFormat="1" applyFont="1" applyFill="1" applyBorder="1" applyAlignment="1" applyProtection="1">
      <alignment horizontal="center"/>
    </xf>
    <xf numFmtId="3" fontId="31" fillId="24" borderId="57" xfId="16" applyNumberFormat="1" applyFont="1" applyFill="1" applyBorder="1" applyProtection="1"/>
    <xf numFmtId="0" fontId="43" fillId="24" borderId="59" xfId="16" applyNumberFormat="1" applyFont="1" applyFill="1" applyBorder="1" applyAlignment="1" applyProtection="1">
      <alignment horizontal="center"/>
    </xf>
    <xf numFmtId="0" fontId="43" fillId="24" borderId="81" xfId="16" applyNumberFormat="1" applyFont="1" applyFill="1" applyBorder="1" applyAlignment="1" applyProtection="1">
      <alignment horizontal="center"/>
    </xf>
    <xf numFmtId="3" fontId="43" fillId="24" borderId="43" xfId="16" applyNumberFormat="1" applyFont="1" applyFill="1" applyBorder="1" applyAlignment="1" applyProtection="1"/>
    <xf numFmtId="3" fontId="43" fillId="24" borderId="72" xfId="16" applyNumberFormat="1" applyFont="1" applyFill="1" applyBorder="1" applyAlignment="1" applyProtection="1">
      <alignment horizontal="center"/>
    </xf>
    <xf numFmtId="0" fontId="43" fillId="24" borderId="47" xfId="16" applyNumberFormat="1" applyFont="1" applyFill="1" applyBorder="1" applyAlignment="1" applyProtection="1">
      <alignment horizontal="center"/>
    </xf>
    <xf numFmtId="3" fontId="43" fillId="24" borderId="15" xfId="16" applyNumberFormat="1" applyFont="1" applyFill="1" applyBorder="1" applyAlignment="1" applyProtection="1">
      <alignment horizontal="right"/>
    </xf>
    <xf numFmtId="3" fontId="43" fillId="24" borderId="6" xfId="16" applyNumberFormat="1" applyFont="1" applyFill="1" applyBorder="1" applyAlignment="1" applyProtection="1">
      <alignment horizontal="right"/>
    </xf>
    <xf numFmtId="3" fontId="31" fillId="24" borderId="78" xfId="16" applyNumberFormat="1" applyFont="1" applyFill="1" applyBorder="1" applyAlignment="1" applyProtection="1">
      <alignment horizontal="right"/>
    </xf>
    <xf numFmtId="0" fontId="46" fillId="24" borderId="15" xfId="0" applyFont="1" applyFill="1" applyBorder="1" applyAlignment="1">
      <alignment horizontal="left"/>
    </xf>
    <xf numFmtId="0" fontId="31" fillId="24" borderId="47" xfId="16" applyNumberFormat="1" applyFont="1" applyFill="1" applyBorder="1" applyAlignment="1" applyProtection="1">
      <alignment horizontal="center"/>
    </xf>
    <xf numFmtId="3" fontId="31" fillId="24" borderId="6" xfId="13" applyNumberFormat="1" applyFont="1" applyFill="1" applyBorder="1" applyAlignment="1" applyProtection="1">
      <alignment horizontal="center"/>
    </xf>
    <xf numFmtId="3" fontId="43" fillId="24" borderId="8" xfId="16" quotePrefix="1" applyNumberFormat="1" applyFont="1" applyFill="1" applyBorder="1" applyAlignment="1" applyProtection="1">
      <alignment horizontal="left"/>
    </xf>
    <xf numFmtId="3" fontId="31" fillId="24" borderId="0" xfId="13" applyNumberFormat="1" applyFont="1" applyFill="1" applyAlignment="1" applyProtection="1">
      <alignment horizontal="left"/>
    </xf>
    <xf numFmtId="3" fontId="31" fillId="24" borderId="0" xfId="13" applyNumberFormat="1" applyFont="1" applyFill="1" applyProtection="1"/>
    <xf numFmtId="3" fontId="43" fillId="24" borderId="0" xfId="13" applyNumberFormat="1" applyFont="1" applyFill="1" applyAlignment="1" applyProtection="1">
      <alignment horizontal="centerContinuous"/>
    </xf>
    <xf numFmtId="43" fontId="31" fillId="24" borderId="8" xfId="2" applyFont="1" applyFill="1" applyBorder="1" applyAlignment="1" applyProtection="1">
      <alignment horizontal="center"/>
    </xf>
    <xf numFmtId="3" fontId="43" fillId="24" borderId="59" xfId="13" applyNumberFormat="1" applyFont="1" applyFill="1" applyBorder="1" applyAlignment="1" applyProtection="1">
      <alignment horizontal="centerContinuous"/>
    </xf>
    <xf numFmtId="3" fontId="31" fillId="24" borderId="3" xfId="13" applyNumberFormat="1" applyFont="1" applyFill="1" applyBorder="1" applyAlignment="1" applyProtection="1">
      <alignment horizontal="centerContinuous"/>
    </xf>
    <xf numFmtId="3" fontId="43" fillId="24" borderId="3" xfId="13" applyNumberFormat="1" applyFont="1" applyFill="1" applyBorder="1" applyAlignment="1" applyProtection="1">
      <alignment horizontal="centerContinuous"/>
    </xf>
    <xf numFmtId="3" fontId="43" fillId="24" borderId="59" xfId="13" applyNumberFormat="1" applyFont="1" applyFill="1" applyBorder="1" applyAlignment="1" applyProtection="1">
      <alignment horizontal="center"/>
    </xf>
    <xf numFmtId="3" fontId="43" fillId="24" borderId="3" xfId="13" applyNumberFormat="1" applyFont="1" applyFill="1" applyBorder="1" applyAlignment="1" applyProtection="1">
      <alignment horizontal="center"/>
    </xf>
    <xf numFmtId="3" fontId="43" fillId="24" borderId="2" xfId="13" applyNumberFormat="1" applyFont="1" applyFill="1" applyBorder="1" applyAlignment="1" applyProtection="1">
      <alignment horizontal="center"/>
    </xf>
    <xf numFmtId="3" fontId="43" fillId="24" borderId="14" xfId="16" applyNumberFormat="1" applyFont="1" applyFill="1" applyBorder="1" applyAlignment="1" applyProtection="1">
      <alignment horizontal="center"/>
    </xf>
    <xf numFmtId="0" fontId="31" fillId="24" borderId="14" xfId="16" applyNumberFormat="1" applyFont="1" applyFill="1" applyBorder="1" applyAlignment="1" applyProtection="1">
      <alignment horizontal="center"/>
    </xf>
    <xf numFmtId="3" fontId="43" fillId="24" borderId="81" xfId="13" applyNumberFormat="1" applyFont="1" applyFill="1" applyBorder="1" applyAlignment="1" applyProtection="1"/>
    <xf numFmtId="3" fontId="43" fillId="24" borderId="43" xfId="13" applyNumberFormat="1" applyFont="1" applyFill="1" applyBorder="1" applyAlignment="1" applyProtection="1">
      <alignment horizontal="center"/>
    </xf>
    <xf numFmtId="43" fontId="43" fillId="24" borderId="43" xfId="2" applyFont="1" applyFill="1" applyBorder="1" applyAlignment="1" applyProtection="1">
      <alignment horizontal="center"/>
    </xf>
    <xf numFmtId="3" fontId="43" fillId="24" borderId="72" xfId="13" applyNumberFormat="1" applyFont="1" applyFill="1" applyBorder="1" applyAlignment="1" applyProtection="1">
      <alignment horizontal="center"/>
    </xf>
    <xf numFmtId="0" fontId="43" fillId="24" borderId="6" xfId="16" applyNumberFormat="1" applyFont="1" applyFill="1" applyBorder="1" applyAlignment="1" applyProtection="1">
      <alignment horizontal="center"/>
    </xf>
    <xf numFmtId="3" fontId="47" fillId="24" borderId="47" xfId="13" applyNumberFormat="1" applyFont="1" applyFill="1" applyBorder="1" applyAlignment="1" applyProtection="1"/>
    <xf numFmtId="3" fontId="43" fillId="24" borderId="15" xfId="13" applyNumberFormat="1" applyFont="1" applyFill="1" applyBorder="1" applyAlignment="1" applyProtection="1">
      <alignment horizontal="right"/>
    </xf>
    <xf numFmtId="3" fontId="43" fillId="24" borderId="6" xfId="13" applyNumberFormat="1" applyFont="1" applyFill="1" applyBorder="1" applyAlignment="1" applyProtection="1">
      <alignment horizontal="right"/>
    </xf>
    <xf numFmtId="0" fontId="43" fillId="24" borderId="6" xfId="0" applyFont="1" applyFill="1" applyBorder="1" applyAlignment="1" applyProtection="1">
      <alignment horizontal="left"/>
    </xf>
    <xf numFmtId="0" fontId="43" fillId="24" borderId="6" xfId="0" applyFont="1" applyFill="1" applyBorder="1" applyAlignment="1" applyProtection="1">
      <alignment horizontal="center"/>
    </xf>
    <xf numFmtId="164" fontId="43" fillId="24" borderId="6" xfId="2" applyNumberFormat="1" applyFont="1" applyFill="1" applyBorder="1" applyAlignment="1" applyProtection="1"/>
    <xf numFmtId="3" fontId="43" fillId="24" borderId="6" xfId="16" applyNumberFormat="1" applyFont="1" applyFill="1" applyBorder="1" applyProtection="1"/>
    <xf numFmtId="3" fontId="43" fillId="24" borderId="0" xfId="16" applyNumberFormat="1" applyFont="1" applyFill="1" applyProtection="1"/>
    <xf numFmtId="0" fontId="31" fillId="24" borderId="47" xfId="0" applyFont="1" applyFill="1" applyBorder="1" applyAlignment="1" applyProtection="1">
      <alignment horizontal="center"/>
    </xf>
    <xf numFmtId="3" fontId="43" fillId="24" borderId="6" xfId="13" applyNumberFormat="1" applyFont="1" applyFill="1" applyBorder="1" applyAlignment="1" applyProtection="1">
      <alignment horizontal="center"/>
    </xf>
    <xf numFmtId="0" fontId="43" fillId="24" borderId="14" xfId="16" applyNumberFormat="1" applyFont="1" applyFill="1" applyBorder="1" applyAlignment="1" applyProtection="1">
      <alignment horizontal="center"/>
    </xf>
    <xf numFmtId="4" fontId="31" fillId="24" borderId="6" xfId="13" applyNumberFormat="1" applyFont="1" applyFill="1" applyBorder="1" applyAlignment="1" applyProtection="1">
      <alignment horizontal="center"/>
    </xf>
    <xf numFmtId="0" fontId="31" fillId="24" borderId="6" xfId="16" applyNumberFormat="1" applyFont="1" applyFill="1" applyBorder="1" applyAlignment="1" applyProtection="1">
      <alignment horizontal="center"/>
    </xf>
    <xf numFmtId="3" fontId="43" fillId="24" borderId="47" xfId="13" applyNumberFormat="1" applyFont="1" applyFill="1" applyBorder="1" applyAlignment="1" applyProtection="1"/>
    <xf numFmtId="3" fontId="43" fillId="24" borderId="6" xfId="15" applyNumberFormat="1" applyFont="1" applyFill="1" applyBorder="1" applyAlignment="1" applyProtection="1">
      <alignment horizontal="center" vertical="center"/>
    </xf>
    <xf numFmtId="49" fontId="43" fillId="24" borderId="47" xfId="15" applyNumberFormat="1" applyFont="1" applyFill="1" applyBorder="1" applyAlignment="1" applyProtection="1">
      <alignment horizontal="center" vertical="center"/>
    </xf>
    <xf numFmtId="0" fontId="43" fillId="24" borderId="6" xfId="0" applyFont="1" applyFill="1" applyBorder="1" applyAlignment="1" applyProtection="1">
      <alignment horizontal="left" vertical="center"/>
    </xf>
    <xf numFmtId="43" fontId="43" fillId="24" borderId="6" xfId="2" applyFont="1" applyFill="1" applyBorder="1" applyAlignment="1" applyProtection="1">
      <alignment horizontal="center" vertical="center"/>
    </xf>
    <xf numFmtId="3" fontId="46" fillId="24" borderId="0" xfId="16" applyNumberFormat="1" applyFont="1" applyFill="1" applyAlignment="1" applyProtection="1">
      <alignment horizontal="left" vertical="center"/>
    </xf>
    <xf numFmtId="3" fontId="43" fillId="24" borderId="6" xfId="15" applyNumberFormat="1" applyFont="1" applyFill="1" applyBorder="1" applyAlignment="1" applyProtection="1">
      <alignment vertical="center" wrapText="1"/>
    </xf>
    <xf numFmtId="3" fontId="43" fillId="24" borderId="6" xfId="13" applyNumberFormat="1" applyFont="1" applyFill="1" applyBorder="1" applyAlignment="1" applyProtection="1">
      <alignment horizontal="center" vertical="center"/>
    </xf>
    <xf numFmtId="3" fontId="61" fillId="24" borderId="15" xfId="16" applyNumberFormat="1" applyFont="1" applyFill="1" applyBorder="1" applyAlignment="1" applyProtection="1">
      <alignment horizontal="right" vertical="center"/>
    </xf>
    <xf numFmtId="3" fontId="31" fillId="24" borderId="6" xfId="16" applyNumberFormat="1" applyFont="1" applyFill="1" applyBorder="1" applyAlignment="1" applyProtection="1">
      <alignment vertical="center"/>
    </xf>
    <xf numFmtId="3" fontId="31" fillId="24" borderId="0" xfId="16" applyNumberFormat="1" applyFont="1" applyFill="1" applyAlignment="1" applyProtection="1">
      <alignment vertical="center"/>
    </xf>
    <xf numFmtId="3" fontId="47" fillId="24" borderId="6" xfId="15" applyNumberFormat="1" applyFont="1" applyFill="1" applyBorder="1" applyAlignment="1" applyProtection="1">
      <alignment vertical="center"/>
    </xf>
    <xf numFmtId="3" fontId="31" fillId="24" borderId="6" xfId="15" applyNumberFormat="1" applyFont="1" applyFill="1" applyBorder="1" applyAlignment="1" applyProtection="1">
      <alignment horizontal="center" vertical="center"/>
    </xf>
    <xf numFmtId="3" fontId="31" fillId="24" borderId="6" xfId="13" applyNumberFormat="1" applyFont="1" applyFill="1" applyBorder="1" applyAlignment="1" applyProtection="1">
      <alignment horizontal="center" vertical="center"/>
    </xf>
    <xf numFmtId="4" fontId="31" fillId="24" borderId="6" xfId="13" applyNumberFormat="1" applyFont="1" applyFill="1" applyBorder="1" applyAlignment="1" applyProtection="1">
      <alignment horizontal="center" vertical="center"/>
    </xf>
    <xf numFmtId="4" fontId="43" fillId="24" borderId="6" xfId="13" applyNumberFormat="1" applyFont="1" applyFill="1" applyBorder="1" applyAlignment="1" applyProtection="1">
      <alignment horizontal="center" vertical="center"/>
    </xf>
    <xf numFmtId="0" fontId="31" fillId="24" borderId="0" xfId="0" applyFont="1" applyFill="1" applyAlignment="1" applyProtection="1">
      <alignment vertical="center"/>
    </xf>
    <xf numFmtId="0" fontId="31" fillId="24" borderId="0" xfId="0" applyFont="1" applyFill="1" applyProtection="1"/>
    <xf numFmtId="3" fontId="47" fillId="24" borderId="6" xfId="15" applyNumberFormat="1" applyFont="1" applyFill="1" applyBorder="1" applyAlignment="1" applyProtection="1">
      <alignment vertical="center" wrapText="1"/>
    </xf>
    <xf numFmtId="3" fontId="43" fillId="24" borderId="47" xfId="13" quotePrefix="1" applyNumberFormat="1" applyFont="1" applyFill="1" applyBorder="1" applyAlignment="1" applyProtection="1"/>
    <xf numFmtId="3" fontId="43" fillId="24" borderId="47" xfId="13" quotePrefix="1" applyNumberFormat="1" applyFont="1" applyFill="1" applyBorder="1" applyAlignment="1" applyProtection="1">
      <alignment wrapText="1"/>
    </xf>
    <xf numFmtId="3" fontId="47" fillId="24" borderId="47" xfId="13" applyNumberFormat="1" applyFont="1" applyFill="1" applyBorder="1" applyAlignment="1" applyProtection="1">
      <alignment wrapText="1"/>
    </xf>
    <xf numFmtId="0" fontId="31" fillId="24" borderId="6" xfId="0" applyFont="1" applyFill="1" applyBorder="1" applyAlignment="1" applyProtection="1">
      <alignment horizontal="left" vertical="center" wrapText="1"/>
    </xf>
    <xf numFmtId="3" fontId="68" fillId="24" borderId="0" xfId="16" applyNumberFormat="1" applyFont="1" applyFill="1" applyAlignment="1" applyProtection="1">
      <alignment horizontal="center" vertical="center"/>
    </xf>
    <xf numFmtId="3" fontId="68" fillId="24" borderId="0" xfId="16" applyNumberFormat="1" applyFont="1" applyFill="1" applyAlignment="1" applyProtection="1">
      <alignment horizontal="left"/>
    </xf>
    <xf numFmtId="49" fontId="43" fillId="24" borderId="8" xfId="16" applyNumberFormat="1" applyFont="1" applyFill="1" applyBorder="1" applyAlignment="1" applyProtection="1">
      <alignment horizontal="center"/>
    </xf>
    <xf numFmtId="3" fontId="86" fillId="24" borderId="8" xfId="16" applyNumberFormat="1" applyFont="1" applyFill="1" applyBorder="1" applyAlignment="1" applyProtection="1">
      <alignment horizontal="right"/>
    </xf>
    <xf numFmtId="3" fontId="86" fillId="24" borderId="78" xfId="13" applyNumberFormat="1" applyFont="1" applyFill="1" applyBorder="1" applyAlignment="1" applyProtection="1">
      <alignment horizontal="right"/>
    </xf>
    <xf numFmtId="3" fontId="86" fillId="24" borderId="8" xfId="13" applyNumberFormat="1" applyFont="1" applyFill="1" applyBorder="1" applyAlignment="1" applyProtection="1">
      <alignment horizontal="right"/>
    </xf>
    <xf numFmtId="49" fontId="31" fillId="24" borderId="8" xfId="16" applyNumberFormat="1" applyFont="1" applyFill="1" applyBorder="1" applyAlignment="1" applyProtection="1">
      <alignment horizontal="center"/>
    </xf>
    <xf numFmtId="3" fontId="43" fillId="24" borderId="8" xfId="13" applyNumberFormat="1" applyFont="1" applyFill="1" applyBorder="1" applyAlignment="1" applyProtection="1">
      <alignment horizontal="center"/>
    </xf>
    <xf numFmtId="3" fontId="61" fillId="24" borderId="78" xfId="13" applyNumberFormat="1" applyFont="1" applyFill="1" applyBorder="1" applyAlignment="1" applyProtection="1">
      <alignment horizontal="right"/>
    </xf>
    <xf numFmtId="3" fontId="61" fillId="24" borderId="8" xfId="13" applyNumberFormat="1" applyFont="1" applyFill="1" applyBorder="1" applyAlignment="1" applyProtection="1">
      <alignment horizontal="right"/>
    </xf>
    <xf numFmtId="0" fontId="31" fillId="24" borderId="6" xfId="0" applyFont="1" applyFill="1" applyBorder="1" applyAlignment="1" applyProtection="1">
      <alignment horizontal="left" wrapText="1"/>
    </xf>
    <xf numFmtId="3" fontId="43" fillId="24" borderId="2" xfId="13" applyNumberFormat="1" applyFont="1" applyFill="1" applyBorder="1" applyAlignment="1" applyProtection="1">
      <alignment horizontal="centerContinuous"/>
    </xf>
    <xf numFmtId="3" fontId="31" fillId="24" borderId="2" xfId="13" applyNumberFormat="1" applyFont="1" applyFill="1" applyBorder="1" applyAlignment="1" applyProtection="1">
      <alignment horizontal="centerContinuous"/>
    </xf>
    <xf numFmtId="3" fontId="43" fillId="24" borderId="3" xfId="13" applyNumberFormat="1" applyFont="1" applyFill="1" applyBorder="1" applyProtection="1"/>
    <xf numFmtId="3" fontId="31" fillId="24" borderId="42" xfId="16" applyNumberFormat="1" applyFont="1" applyFill="1" applyBorder="1" applyProtection="1"/>
    <xf numFmtId="3" fontId="31" fillId="24" borderId="0" xfId="13" applyNumberFormat="1" applyFont="1" applyFill="1" applyBorder="1" applyAlignment="1" applyProtection="1">
      <alignment horizontal="left"/>
    </xf>
    <xf numFmtId="49" fontId="31" fillId="24" borderId="0" xfId="16" applyNumberFormat="1" applyFont="1" applyFill="1" applyBorder="1" applyAlignment="1" applyProtection="1">
      <alignment horizontal="center"/>
    </xf>
    <xf numFmtId="3" fontId="43" fillId="24" borderId="0" xfId="13" applyNumberFormat="1" applyFont="1" applyFill="1" applyBorder="1" applyAlignment="1" applyProtection="1">
      <alignment horizontal="centerContinuous"/>
    </xf>
    <xf numFmtId="3" fontId="31" fillId="24" borderId="0" xfId="13" applyNumberFormat="1" applyFont="1" applyFill="1" applyBorder="1" applyAlignment="1" applyProtection="1">
      <alignment horizontal="centerContinuous"/>
    </xf>
    <xf numFmtId="3" fontId="43" fillId="24" borderId="0" xfId="13" applyNumberFormat="1" applyFont="1" applyFill="1" applyBorder="1" applyAlignment="1" applyProtection="1">
      <alignment horizontal="center"/>
    </xf>
    <xf numFmtId="3" fontId="43" fillId="24" borderId="0" xfId="13" applyNumberFormat="1" applyFont="1" applyFill="1" applyBorder="1" applyProtection="1"/>
    <xf numFmtId="3" fontId="43" fillId="24" borderId="0" xfId="16" applyNumberFormat="1" applyFont="1" applyFill="1" applyBorder="1" applyAlignment="1" applyProtection="1">
      <alignment horizontal="centerContinuous"/>
    </xf>
    <xf numFmtId="3" fontId="31" fillId="24" borderId="0" xfId="15" applyNumberFormat="1" applyFont="1" applyFill="1" applyAlignment="1" applyProtection="1">
      <alignment horizontal="left"/>
    </xf>
    <xf numFmtId="3" fontId="43" fillId="24" borderId="21" xfId="16" applyNumberFormat="1" applyFont="1" applyFill="1" applyBorder="1" applyAlignment="1" applyProtection="1">
      <alignment horizontal="centerContinuous"/>
    </xf>
    <xf numFmtId="3" fontId="61" fillId="24" borderId="15" xfId="15" applyNumberFormat="1" applyFont="1" applyFill="1" applyBorder="1" applyAlignment="1" applyProtection="1">
      <alignment horizontal="right"/>
    </xf>
    <xf numFmtId="3" fontId="61" fillId="24" borderId="6" xfId="15" applyNumberFormat="1" applyFont="1" applyFill="1" applyBorder="1" applyAlignment="1" applyProtection="1">
      <alignment horizontal="right"/>
    </xf>
    <xf numFmtId="43" fontId="46" fillId="24" borderId="6" xfId="2" applyFont="1" applyFill="1" applyBorder="1" applyAlignment="1" applyProtection="1">
      <alignment horizontal="center"/>
    </xf>
    <xf numFmtId="3" fontId="46" fillId="24" borderId="6" xfId="13" applyNumberFormat="1" applyFont="1" applyFill="1" applyBorder="1" applyAlignment="1" applyProtection="1">
      <alignment horizontal="center"/>
    </xf>
    <xf numFmtId="3" fontId="31" fillId="24" borderId="3" xfId="15" applyNumberFormat="1" applyFont="1" applyFill="1" applyBorder="1" applyAlignment="1" applyProtection="1">
      <alignment horizontal="center"/>
    </xf>
    <xf numFmtId="49" fontId="31" fillId="24" borderId="3" xfId="15" applyNumberFormat="1" applyFont="1" applyFill="1" applyBorder="1" applyAlignment="1" applyProtection="1">
      <alignment horizontal="center"/>
    </xf>
    <xf numFmtId="3" fontId="43" fillId="24" borderId="3" xfId="15" applyNumberFormat="1" applyFont="1" applyFill="1" applyBorder="1" applyAlignment="1" applyProtection="1">
      <alignment horizontal="centerContinuous"/>
    </xf>
    <xf numFmtId="3" fontId="31" fillId="24" borderId="3" xfId="15" applyNumberFormat="1" applyFont="1" applyFill="1" applyBorder="1" applyAlignment="1" applyProtection="1">
      <alignment horizontal="centerContinuous"/>
    </xf>
    <xf numFmtId="3" fontId="43" fillId="24" borderId="3" xfId="15" applyNumberFormat="1" applyFont="1" applyFill="1" applyBorder="1" applyAlignment="1" applyProtection="1">
      <alignment horizontal="center"/>
    </xf>
    <xf numFmtId="3" fontId="43" fillId="24" borderId="52" xfId="15" applyNumberFormat="1" applyFont="1" applyFill="1" applyBorder="1" applyAlignment="1" applyProtection="1">
      <alignment horizontal="center"/>
    </xf>
    <xf numFmtId="3" fontId="43" fillId="24" borderId="59" xfId="15" applyNumberFormat="1" applyFont="1" applyFill="1" applyBorder="1" applyAlignment="1" applyProtection="1">
      <alignment horizontal="center"/>
    </xf>
    <xf numFmtId="3" fontId="43" fillId="24" borderId="2" xfId="15" applyNumberFormat="1" applyFont="1" applyFill="1" applyBorder="1" applyAlignment="1" applyProtection="1">
      <alignment horizontal="center"/>
    </xf>
    <xf numFmtId="49" fontId="43" fillId="24" borderId="81" xfId="15" applyNumberFormat="1" applyFont="1" applyFill="1" applyBorder="1" applyAlignment="1" applyProtection="1">
      <alignment horizontal="center"/>
    </xf>
    <xf numFmtId="3" fontId="43" fillId="24" borderId="43" xfId="15" applyNumberFormat="1" applyFont="1" applyFill="1" applyBorder="1" applyAlignment="1" applyProtection="1"/>
    <xf numFmtId="43" fontId="43" fillId="24" borderId="43" xfId="2" applyFont="1" applyFill="1" applyBorder="1" applyAlignment="1" applyProtection="1">
      <alignment horizontal="right"/>
    </xf>
    <xf numFmtId="3" fontId="43" fillId="24" borderId="72" xfId="15" applyNumberFormat="1" applyFont="1" applyFill="1" applyBorder="1" applyAlignment="1" applyProtection="1">
      <alignment horizontal="center"/>
    </xf>
    <xf numFmtId="49" fontId="43" fillId="24" borderId="47" xfId="15" applyNumberFormat="1" applyFont="1" applyFill="1" applyBorder="1" applyAlignment="1" applyProtection="1">
      <alignment horizontal="center"/>
    </xf>
    <xf numFmtId="3" fontId="47" fillId="24" borderId="6" xfId="15" applyNumberFormat="1" applyFont="1" applyFill="1" applyBorder="1" applyAlignment="1" applyProtection="1"/>
    <xf numFmtId="43" fontId="31" fillId="24" borderId="6" xfId="2" applyFont="1" applyFill="1" applyBorder="1" applyAlignment="1" applyProtection="1">
      <alignment horizontal="right"/>
    </xf>
    <xf numFmtId="3" fontId="43" fillId="24" borderId="15" xfId="15" applyNumberFormat="1" applyFont="1" applyFill="1" applyBorder="1" applyAlignment="1" applyProtection="1">
      <alignment horizontal="right"/>
    </xf>
    <xf numFmtId="3" fontId="43" fillId="24" borderId="6" xfId="15" applyNumberFormat="1" applyFont="1" applyFill="1" applyBorder="1" applyAlignment="1" applyProtection="1">
      <alignment horizontal="right"/>
    </xf>
    <xf numFmtId="3" fontId="31" fillId="24" borderId="6" xfId="16" applyNumberFormat="1" applyFont="1" applyFill="1" applyBorder="1" applyAlignment="1" applyProtection="1">
      <alignment horizontal="right"/>
    </xf>
    <xf numFmtId="3" fontId="43" fillId="24" borderId="6" xfId="15" applyNumberFormat="1" applyFont="1" applyFill="1" applyBorder="1" applyAlignment="1" applyProtection="1"/>
    <xf numFmtId="43" fontId="43" fillId="24" borderId="6" xfId="2" applyFont="1" applyFill="1" applyBorder="1" applyAlignment="1" applyProtection="1">
      <alignment horizontal="right"/>
    </xf>
    <xf numFmtId="3" fontId="46" fillId="24" borderId="0" xfId="16" applyNumberFormat="1" applyFont="1" applyFill="1" applyAlignment="1" applyProtection="1">
      <alignment vertical="justify"/>
    </xf>
    <xf numFmtId="3" fontId="43" fillId="24" borderId="6" xfId="15" applyNumberFormat="1" applyFont="1" applyFill="1" applyBorder="1" applyAlignment="1" applyProtection="1">
      <alignment vertical="justify"/>
    </xf>
    <xf numFmtId="49" fontId="43" fillId="24" borderId="47" xfId="15" applyNumberFormat="1" applyFont="1" applyFill="1" applyBorder="1" applyAlignment="1" applyProtection="1">
      <alignment vertical="justify"/>
    </xf>
    <xf numFmtId="3" fontId="43" fillId="24" borderId="6" xfId="15" applyNumberFormat="1" applyFont="1" applyFill="1" applyBorder="1" applyAlignment="1" applyProtection="1">
      <alignment vertical="justify" wrapText="1"/>
    </xf>
    <xf numFmtId="3" fontId="43" fillId="24" borderId="6" xfId="15" applyNumberFormat="1" applyFont="1" applyFill="1" applyBorder="1" applyAlignment="1" applyProtection="1">
      <alignment horizontal="center" vertical="justify"/>
    </xf>
    <xf numFmtId="43" fontId="43" fillId="24" borderId="6" xfId="2" applyFont="1" applyFill="1" applyBorder="1" applyAlignment="1" applyProtection="1">
      <alignment horizontal="right" vertical="justify"/>
    </xf>
    <xf numFmtId="3" fontId="61" fillId="24" borderId="6" xfId="16" applyNumberFormat="1" applyFont="1" applyFill="1" applyBorder="1" applyAlignment="1" applyProtection="1">
      <alignment vertical="justify"/>
    </xf>
    <xf numFmtId="3" fontId="61" fillId="24" borderId="15" xfId="15" applyNumberFormat="1" applyFont="1" applyFill="1" applyBorder="1" applyAlignment="1" applyProtection="1">
      <alignment vertical="justify"/>
    </xf>
    <xf numFmtId="3" fontId="61" fillId="24" borderId="6" xfId="15" applyNumberFormat="1" applyFont="1" applyFill="1" applyBorder="1" applyAlignment="1" applyProtection="1">
      <alignment vertical="justify"/>
    </xf>
    <xf numFmtId="3" fontId="31" fillId="24" borderId="6" xfId="16" applyNumberFormat="1" applyFont="1" applyFill="1" applyBorder="1" applyAlignment="1" applyProtection="1">
      <alignment vertical="justify"/>
    </xf>
    <xf numFmtId="3" fontId="31" fillId="24" borderId="0" xfId="16" applyNumberFormat="1" applyFont="1" applyFill="1" applyAlignment="1" applyProtection="1">
      <alignment vertical="justify"/>
    </xf>
    <xf numFmtId="3" fontId="31" fillId="24" borderId="47" xfId="15" applyNumberFormat="1" applyFont="1" applyFill="1" applyBorder="1" applyAlignment="1" applyProtection="1">
      <alignment horizontal="center"/>
    </xf>
    <xf numFmtId="49" fontId="31" fillId="24" borderId="47" xfId="15" applyNumberFormat="1" applyFont="1" applyFill="1" applyBorder="1" applyAlignment="1" applyProtection="1">
      <alignment horizontal="center"/>
    </xf>
    <xf numFmtId="3" fontId="43" fillId="24" borderId="6" xfId="15" quotePrefix="1" applyNumberFormat="1" applyFont="1" applyFill="1" applyBorder="1" applyAlignment="1" applyProtection="1"/>
    <xf numFmtId="3" fontId="43" fillId="24" borderId="6" xfId="15" quotePrefix="1" applyNumberFormat="1" applyFont="1" applyFill="1" applyBorder="1" applyAlignment="1" applyProtection="1">
      <alignment wrapText="1"/>
    </xf>
    <xf numFmtId="3" fontId="47" fillId="24" borderId="6" xfId="15" applyNumberFormat="1" applyFont="1" applyFill="1" applyBorder="1" applyAlignment="1" applyProtection="1">
      <alignment wrapText="1"/>
    </xf>
    <xf numFmtId="3" fontId="43" fillId="24" borderId="8" xfId="15" applyNumberFormat="1" applyFont="1" applyFill="1" applyBorder="1" applyAlignment="1" applyProtection="1">
      <alignment horizontal="center"/>
    </xf>
    <xf numFmtId="49" fontId="43" fillId="24" borderId="77" xfId="15" applyNumberFormat="1" applyFont="1" applyFill="1" applyBorder="1" applyAlignment="1" applyProtection="1">
      <alignment horizontal="center"/>
    </xf>
    <xf numFmtId="3" fontId="61" fillId="24" borderId="78" xfId="15" applyNumberFormat="1" applyFont="1" applyFill="1" applyBorder="1" applyAlignment="1" applyProtection="1">
      <alignment horizontal="right"/>
    </xf>
    <xf numFmtId="3" fontId="61" fillId="24" borderId="8" xfId="15" applyNumberFormat="1" applyFont="1" applyFill="1" applyBorder="1" applyAlignment="1" applyProtection="1">
      <alignment horizontal="right"/>
    </xf>
    <xf numFmtId="3" fontId="31" fillId="24" borderId="52" xfId="15" applyNumberFormat="1" applyFont="1" applyFill="1" applyBorder="1" applyProtection="1"/>
    <xf numFmtId="3" fontId="31" fillId="24" borderId="2" xfId="15" applyNumberFormat="1" applyFont="1" applyFill="1" applyBorder="1" applyProtection="1"/>
    <xf numFmtId="3" fontId="43" fillId="24" borderId="2" xfId="15" applyNumberFormat="1" applyFont="1" applyFill="1" applyBorder="1" applyAlignment="1" applyProtection="1">
      <alignment horizontal="centerContinuous"/>
    </xf>
    <xf numFmtId="3" fontId="31" fillId="24" borderId="2" xfId="15" applyNumberFormat="1" applyFont="1" applyFill="1" applyBorder="1" applyAlignment="1" applyProtection="1">
      <alignment horizontal="centerContinuous"/>
    </xf>
    <xf numFmtId="3" fontId="43" fillId="24" borderId="3" xfId="15" applyNumberFormat="1" applyFont="1" applyFill="1" applyBorder="1" applyProtection="1"/>
    <xf numFmtId="3" fontId="31" fillId="24" borderId="53" xfId="16" applyNumberFormat="1" applyFont="1" applyFill="1" applyBorder="1" applyProtection="1"/>
    <xf numFmtId="3" fontId="31" fillId="24" borderId="0" xfId="15" applyNumberFormat="1" applyFont="1" applyFill="1" applyBorder="1" applyProtection="1"/>
    <xf numFmtId="3" fontId="43" fillId="24" borderId="0" xfId="15" applyNumberFormat="1" applyFont="1" applyFill="1" applyBorder="1" applyAlignment="1" applyProtection="1">
      <alignment horizontal="centerContinuous"/>
    </xf>
    <xf numFmtId="3" fontId="31" fillId="24" borderId="0" xfId="15" applyNumberFormat="1" applyFont="1" applyFill="1" applyBorder="1" applyAlignment="1" applyProtection="1">
      <alignment horizontal="centerContinuous"/>
    </xf>
    <xf numFmtId="3" fontId="43" fillId="24" borderId="0" xfId="15" applyNumberFormat="1" applyFont="1" applyFill="1" applyBorder="1" applyAlignment="1" applyProtection="1">
      <alignment horizontal="center"/>
    </xf>
    <xf numFmtId="3" fontId="43" fillId="24" borderId="0" xfId="15" applyNumberFormat="1" applyFont="1" applyFill="1" applyBorder="1" applyProtection="1"/>
    <xf numFmtId="3" fontId="71" fillId="24" borderId="0" xfId="16" applyNumberFormat="1" applyFont="1" applyFill="1" applyBorder="1" applyProtection="1"/>
    <xf numFmtId="3" fontId="71" fillId="24" borderId="0" xfId="16" applyNumberFormat="1" applyFont="1" applyFill="1" applyProtection="1"/>
    <xf numFmtId="3" fontId="81" fillId="24" borderId="3" xfId="16" applyNumberFormat="1" applyFont="1" applyFill="1" applyBorder="1" applyAlignment="1" applyProtection="1">
      <alignment horizontal="center"/>
    </xf>
    <xf numFmtId="3" fontId="71" fillId="24" borderId="14" xfId="16" applyNumberFormat="1" applyFont="1" applyFill="1" applyBorder="1" applyAlignment="1" applyProtection="1">
      <alignment horizontal="left"/>
    </xf>
    <xf numFmtId="168" fontId="31" fillId="24" borderId="6" xfId="13" applyNumberFormat="1" applyFont="1" applyFill="1" applyBorder="1" applyAlignment="1" applyProtection="1">
      <alignment horizontal="right"/>
    </xf>
    <xf numFmtId="0" fontId="46" fillId="24" borderId="0" xfId="0" applyFont="1" applyFill="1" applyAlignment="1" applyProtection="1">
      <alignment vertical="center"/>
    </xf>
    <xf numFmtId="3" fontId="31" fillId="24" borderId="6" xfId="13" applyNumberFormat="1" applyFont="1" applyFill="1" applyBorder="1" applyAlignment="1" applyProtection="1">
      <alignment horizontal="right" vertical="center"/>
    </xf>
    <xf numFmtId="164" fontId="31" fillId="24" borderId="6" xfId="2" applyNumberFormat="1" applyFont="1" applyFill="1" applyBorder="1" applyAlignment="1" applyProtection="1">
      <alignment vertical="center"/>
    </xf>
    <xf numFmtId="3" fontId="61" fillId="24" borderId="15" xfId="15" applyNumberFormat="1" applyFont="1" applyFill="1" applyBorder="1" applyAlignment="1" applyProtection="1">
      <alignment horizontal="right" vertical="center"/>
    </xf>
    <xf numFmtId="3" fontId="61" fillId="24" borderId="6" xfId="15" applyNumberFormat="1" applyFont="1" applyFill="1" applyBorder="1" applyAlignment="1" applyProtection="1">
      <alignment horizontal="right" vertical="center"/>
    </xf>
    <xf numFmtId="3" fontId="71" fillId="24" borderId="14" xfId="16" applyNumberFormat="1" applyFont="1" applyFill="1" applyBorder="1" applyAlignment="1" applyProtection="1">
      <alignment horizontal="left" vertical="center" wrapText="1"/>
    </xf>
    <xf numFmtId="3" fontId="31" fillId="24" borderId="6" xfId="13" applyNumberFormat="1" applyFont="1" applyFill="1" applyBorder="1" applyAlignment="1" applyProtection="1">
      <alignment horizontal="right"/>
    </xf>
    <xf numFmtId="3" fontId="71" fillId="24" borderId="6" xfId="16" applyNumberFormat="1" applyFont="1" applyFill="1" applyBorder="1" applyAlignment="1" applyProtection="1">
      <alignment horizontal="left"/>
    </xf>
    <xf numFmtId="3" fontId="31" fillId="24" borderId="15" xfId="15" applyNumberFormat="1" applyFont="1" applyFill="1" applyBorder="1" applyAlignment="1" applyProtection="1">
      <alignment horizontal="right"/>
    </xf>
    <xf numFmtId="3" fontId="31" fillId="24" borderId="6" xfId="15" applyNumberFormat="1" applyFont="1" applyFill="1" applyBorder="1" applyAlignment="1" applyProtection="1">
      <alignment horizontal="right"/>
    </xf>
    <xf numFmtId="3" fontId="31" fillId="24" borderId="14" xfId="16" applyNumberFormat="1" applyFont="1" applyFill="1" applyBorder="1" applyAlignment="1" applyProtection="1">
      <alignment horizontal="left"/>
    </xf>
    <xf numFmtId="168" fontId="31" fillId="24" borderId="3" xfId="13" applyNumberFormat="1" applyFont="1" applyFill="1" applyBorder="1" applyAlignment="1" applyProtection="1">
      <alignment horizontal="right"/>
    </xf>
    <xf numFmtId="3" fontId="71" fillId="24" borderId="42" xfId="16" applyNumberFormat="1" applyFont="1" applyFill="1" applyBorder="1" applyProtection="1"/>
    <xf numFmtId="168" fontId="43" fillId="24" borderId="2" xfId="13" applyNumberFormat="1" applyFont="1" applyFill="1" applyBorder="1" applyAlignment="1" applyProtection="1">
      <alignment horizontal="right"/>
    </xf>
    <xf numFmtId="3" fontId="71" fillId="24" borderId="3" xfId="16" applyNumberFormat="1" applyFont="1" applyFill="1" applyBorder="1" applyProtection="1"/>
    <xf numFmtId="3" fontId="43" fillId="24" borderId="43" xfId="13" applyNumberFormat="1" applyFont="1" applyFill="1" applyBorder="1" applyAlignment="1" applyProtection="1">
      <alignment horizontal="right"/>
    </xf>
    <xf numFmtId="3" fontId="71" fillId="24" borderId="6" xfId="16" applyNumberFormat="1" applyFont="1" applyFill="1" applyBorder="1" applyProtection="1"/>
    <xf numFmtId="3" fontId="81" fillId="24" borderId="6" xfId="16" applyNumberFormat="1" applyFont="1" applyFill="1" applyBorder="1" applyProtection="1"/>
    <xf numFmtId="168" fontId="31" fillId="24" borderId="6" xfId="16" applyNumberFormat="1" applyFont="1" applyFill="1" applyBorder="1" applyAlignment="1" applyProtection="1">
      <alignment horizontal="right"/>
    </xf>
    <xf numFmtId="3" fontId="43" fillId="24" borderId="6" xfId="15" quotePrefix="1" applyNumberFormat="1" applyFont="1" applyFill="1" applyBorder="1" applyAlignment="1" applyProtection="1">
      <alignment vertical="center" wrapText="1"/>
    </xf>
    <xf numFmtId="3" fontId="43" fillId="24" borderId="6" xfId="13" applyNumberFormat="1" applyFont="1" applyFill="1" applyBorder="1" applyAlignment="1" applyProtection="1">
      <alignment horizontal="right" vertical="center"/>
    </xf>
    <xf numFmtId="168" fontId="31" fillId="24" borderId="6" xfId="13" applyNumberFormat="1" applyFont="1" applyFill="1" applyBorder="1" applyAlignment="1" applyProtection="1">
      <alignment horizontal="right" vertical="center"/>
    </xf>
    <xf numFmtId="168" fontId="43" fillId="24" borderId="6" xfId="13" applyNumberFormat="1" applyFont="1" applyFill="1" applyBorder="1" applyAlignment="1" applyProtection="1">
      <alignment horizontal="right" vertical="center"/>
    </xf>
    <xf numFmtId="3" fontId="71" fillId="24" borderId="6" xfId="16" applyNumberFormat="1" applyFont="1" applyFill="1" applyBorder="1" applyAlignment="1" applyProtection="1">
      <alignment vertical="center" wrapText="1"/>
    </xf>
    <xf numFmtId="0" fontId="46" fillId="24" borderId="0" xfId="0" applyFont="1" applyFill="1" applyBorder="1" applyAlignment="1" applyProtection="1">
      <alignment vertical="center"/>
    </xf>
    <xf numFmtId="168" fontId="43" fillId="24" borderId="6" xfId="13" applyNumberFormat="1" applyFont="1" applyFill="1" applyBorder="1" applyAlignment="1" applyProtection="1">
      <alignment horizontal="right"/>
    </xf>
    <xf numFmtId="3" fontId="71" fillId="24" borderId="8" xfId="16" applyNumberFormat="1" applyFont="1" applyFill="1" applyBorder="1" applyProtection="1"/>
    <xf numFmtId="3" fontId="43" fillId="24" borderId="8" xfId="13" applyNumberFormat="1" applyFont="1" applyFill="1" applyBorder="1" applyAlignment="1" applyProtection="1">
      <alignment horizontal="right"/>
    </xf>
    <xf numFmtId="3" fontId="71" fillId="24" borderId="53" xfId="16" applyNumberFormat="1" applyFont="1" applyFill="1" applyBorder="1" applyProtection="1"/>
    <xf numFmtId="3" fontId="31" fillId="24" borderId="0" xfId="16" applyNumberFormat="1" applyFont="1" applyFill="1" applyAlignment="1" applyProtection="1">
      <alignment horizontal="left" vertical="center"/>
    </xf>
    <xf numFmtId="3" fontId="43" fillId="24" borderId="0" xfId="16" applyNumberFormat="1" applyFont="1" applyFill="1" applyAlignment="1" applyProtection="1">
      <alignment horizontal="centerContinuous" vertical="center"/>
    </xf>
    <xf numFmtId="3" fontId="31" fillId="24" borderId="0" xfId="16" applyNumberFormat="1" applyFont="1" applyFill="1" applyAlignment="1" applyProtection="1">
      <alignment horizontal="centerContinuous" vertical="center"/>
    </xf>
    <xf numFmtId="3" fontId="31" fillId="24" borderId="0" xfId="16" applyNumberFormat="1" applyFont="1" applyFill="1" applyAlignment="1" applyProtection="1">
      <alignment horizontal="centerContinuous" vertical="center" wrapText="1"/>
    </xf>
    <xf numFmtId="168" fontId="31" fillId="24" borderId="0" xfId="16" applyNumberFormat="1" applyFont="1" applyFill="1" applyAlignment="1" applyProtection="1">
      <alignment horizontal="centerContinuous" vertical="center"/>
    </xf>
    <xf numFmtId="3" fontId="31" fillId="24" borderId="0" xfId="16" applyNumberFormat="1" applyFont="1" applyFill="1" applyAlignment="1" applyProtection="1">
      <alignment horizontal="center" vertical="center"/>
    </xf>
    <xf numFmtId="3" fontId="31" fillId="24" borderId="0" xfId="15" applyNumberFormat="1" applyFont="1" applyFill="1" applyAlignment="1" applyProtection="1">
      <alignment horizontal="left" vertical="center"/>
    </xf>
    <xf numFmtId="3" fontId="43" fillId="24" borderId="0" xfId="16" applyNumberFormat="1" applyFont="1" applyFill="1" applyBorder="1" applyAlignment="1" applyProtection="1">
      <alignment horizontal="centerContinuous" vertical="center"/>
    </xf>
    <xf numFmtId="3" fontId="43" fillId="24" borderId="0" xfId="15" applyNumberFormat="1" applyFont="1" applyFill="1" applyAlignment="1" applyProtection="1">
      <alignment horizontal="centerContinuous" vertical="center"/>
    </xf>
    <xf numFmtId="0" fontId="46" fillId="24" borderId="0" xfId="0" applyFont="1" applyFill="1" applyAlignment="1" applyProtection="1">
      <alignment horizontal="left" vertical="center"/>
    </xf>
    <xf numFmtId="3" fontId="31" fillId="24" borderId="43" xfId="16" applyNumberFormat="1" applyFont="1" applyFill="1" applyBorder="1" applyAlignment="1" applyProtection="1">
      <alignment horizontal="center" vertical="center"/>
    </xf>
    <xf numFmtId="3" fontId="31" fillId="24" borderId="6" xfId="16" applyNumberFormat="1" applyFont="1" applyFill="1" applyBorder="1" applyAlignment="1" applyProtection="1">
      <alignment horizontal="center" vertical="center"/>
    </xf>
    <xf numFmtId="3" fontId="61" fillId="24" borderId="6" xfId="13" applyNumberFormat="1" applyFont="1" applyFill="1" applyBorder="1" applyAlignment="1" applyProtection="1">
      <alignment horizontal="center" vertical="center"/>
    </xf>
    <xf numFmtId="164" fontId="61" fillId="24" borderId="6" xfId="2" applyNumberFormat="1" applyFont="1" applyFill="1" applyBorder="1" applyAlignment="1" applyProtection="1">
      <alignment horizontal="center" vertical="center"/>
    </xf>
    <xf numFmtId="164" fontId="61" fillId="24" borderId="8" xfId="2" applyNumberFormat="1" applyFont="1" applyFill="1" applyBorder="1" applyAlignment="1" applyProtection="1">
      <alignment horizontal="center" vertical="center"/>
    </xf>
    <xf numFmtId="3" fontId="31" fillId="24" borderId="3" xfId="15" applyNumberFormat="1" applyFont="1" applyFill="1" applyBorder="1" applyAlignment="1" applyProtection="1">
      <alignment horizontal="center" vertical="center"/>
    </xf>
    <xf numFmtId="49" fontId="31" fillId="24" borderId="3" xfId="15" applyNumberFormat="1" applyFont="1" applyFill="1" applyBorder="1" applyAlignment="1" applyProtection="1">
      <alignment horizontal="center" vertical="center"/>
    </xf>
    <xf numFmtId="3" fontId="43" fillId="24" borderId="3" xfId="15" applyNumberFormat="1" applyFont="1" applyFill="1" applyBorder="1" applyAlignment="1" applyProtection="1">
      <alignment horizontal="centerContinuous" vertical="center"/>
    </xf>
    <xf numFmtId="3" fontId="31" fillId="24" borderId="3" xfId="15" applyNumberFormat="1" applyFont="1" applyFill="1" applyBorder="1" applyAlignment="1" applyProtection="1">
      <alignment horizontal="centerContinuous" vertical="center"/>
    </xf>
    <xf numFmtId="168" fontId="31" fillId="24" borderId="3" xfId="13" applyNumberFormat="1" applyFont="1" applyFill="1" applyBorder="1" applyAlignment="1" applyProtection="1">
      <alignment horizontal="centerContinuous" vertical="center"/>
    </xf>
    <xf numFmtId="3" fontId="43" fillId="24" borderId="3" xfId="15" applyNumberFormat="1" applyFont="1" applyFill="1" applyBorder="1" applyAlignment="1" applyProtection="1">
      <alignment horizontal="center" vertical="center"/>
    </xf>
    <xf numFmtId="3" fontId="31" fillId="24" borderId="3" xfId="16" applyNumberFormat="1" applyFont="1" applyFill="1" applyBorder="1" applyAlignment="1" applyProtection="1">
      <alignment horizontal="center" vertical="center"/>
    </xf>
    <xf numFmtId="3" fontId="43" fillId="24" borderId="52" xfId="15" applyNumberFormat="1" applyFont="1" applyFill="1" applyBorder="1" applyAlignment="1" applyProtection="1">
      <alignment horizontal="center" vertical="center"/>
    </xf>
    <xf numFmtId="3" fontId="43" fillId="24" borderId="59" xfId="15" applyNumberFormat="1" applyFont="1" applyFill="1" applyBorder="1" applyAlignment="1" applyProtection="1">
      <alignment horizontal="center" vertical="center"/>
    </xf>
    <xf numFmtId="3" fontId="43" fillId="24" borderId="2" xfId="15" applyNumberFormat="1" applyFont="1" applyFill="1" applyBorder="1" applyAlignment="1" applyProtection="1">
      <alignment horizontal="center" vertical="center"/>
    </xf>
    <xf numFmtId="168" fontId="43" fillId="24" borderId="2" xfId="13" applyNumberFormat="1" applyFont="1" applyFill="1" applyBorder="1" applyAlignment="1" applyProtection="1">
      <alignment horizontal="center" vertical="center"/>
    </xf>
    <xf numFmtId="0" fontId="46" fillId="24" borderId="0" xfId="2" applyNumberFormat="1" applyFont="1" applyFill="1" applyBorder="1" applyAlignment="1" applyProtection="1">
      <alignment horizontal="center" vertical="center"/>
    </xf>
    <xf numFmtId="3" fontId="43" fillId="24" borderId="14" xfId="15" applyNumberFormat="1" applyFont="1" applyFill="1" applyBorder="1" applyAlignment="1" applyProtection="1">
      <alignment horizontal="center" vertical="center"/>
    </xf>
    <xf numFmtId="3" fontId="43" fillId="24" borderId="14" xfId="15" applyNumberFormat="1" applyFont="1" applyFill="1" applyBorder="1" applyAlignment="1" applyProtection="1">
      <alignment vertical="center"/>
    </xf>
    <xf numFmtId="0" fontId="43" fillId="24" borderId="6" xfId="0" applyFont="1" applyFill="1" applyBorder="1" applyAlignment="1" applyProtection="1">
      <alignment horizontal="center" vertical="center"/>
    </xf>
    <xf numFmtId="3" fontId="43" fillId="24" borderId="6" xfId="0" applyNumberFormat="1" applyFont="1" applyFill="1" applyBorder="1" applyAlignment="1" applyProtection="1">
      <alignment horizontal="center" vertical="center"/>
    </xf>
    <xf numFmtId="3" fontId="43" fillId="24" borderId="15" xfId="0" applyNumberFormat="1" applyFont="1" applyFill="1" applyBorder="1" applyAlignment="1" applyProtection="1">
      <alignment horizontal="center" vertical="center"/>
    </xf>
    <xf numFmtId="0" fontId="46" fillId="24" borderId="6" xfId="0" applyFont="1" applyFill="1" applyBorder="1" applyAlignment="1" applyProtection="1">
      <alignment horizontal="center" vertical="center"/>
    </xf>
    <xf numFmtId="0" fontId="31" fillId="24" borderId="6" xfId="0" applyFont="1" applyFill="1" applyBorder="1" applyAlignment="1" applyProtection="1">
      <alignment vertical="center"/>
    </xf>
    <xf numFmtId="168" fontId="43" fillId="24" borderId="6" xfId="0" applyNumberFormat="1" applyFont="1" applyFill="1" applyBorder="1" applyAlignment="1" applyProtection="1">
      <alignment horizontal="center" vertical="center"/>
    </xf>
    <xf numFmtId="3" fontId="43" fillId="24" borderId="15" xfId="15" applyNumberFormat="1" applyFont="1" applyFill="1" applyBorder="1" applyAlignment="1" applyProtection="1">
      <alignment horizontal="center" vertical="center"/>
    </xf>
    <xf numFmtId="49" fontId="43" fillId="24" borderId="14" xfId="15" applyNumberFormat="1" applyFont="1" applyFill="1" applyBorder="1" applyAlignment="1" applyProtection="1">
      <alignment horizontal="center" vertical="center"/>
    </xf>
    <xf numFmtId="3" fontId="43" fillId="24" borderId="14" xfId="13" applyNumberFormat="1" applyFont="1" applyFill="1" applyBorder="1" applyAlignment="1" applyProtection="1">
      <alignment horizontal="center" vertical="center"/>
    </xf>
    <xf numFmtId="3" fontId="43" fillId="24" borderId="71" xfId="15" applyNumberFormat="1" applyFont="1" applyFill="1" applyBorder="1" applyAlignment="1" applyProtection="1">
      <alignment horizontal="center" vertical="center"/>
    </xf>
    <xf numFmtId="49" fontId="43" fillId="24" borderId="6" xfId="15" applyNumberFormat="1" applyFont="1" applyFill="1" applyBorder="1" applyAlignment="1" applyProtection="1">
      <alignment horizontal="center" vertical="center"/>
    </xf>
    <xf numFmtId="3" fontId="43" fillId="24" borderId="15" xfId="15" applyNumberFormat="1" applyFont="1" applyFill="1" applyBorder="1" applyAlignment="1" applyProtection="1">
      <alignment horizontal="right" vertical="center"/>
    </xf>
    <xf numFmtId="3" fontId="61" fillId="24" borderId="6" xfId="16" applyNumberFormat="1" applyFont="1" applyFill="1" applyBorder="1" applyAlignment="1" applyProtection="1">
      <alignment horizontal="right" vertical="center"/>
    </xf>
    <xf numFmtId="3" fontId="43" fillId="24" borderId="6" xfId="15" applyNumberFormat="1" applyFont="1" applyFill="1" applyBorder="1" applyAlignment="1" applyProtection="1">
      <alignment vertical="center"/>
    </xf>
    <xf numFmtId="4" fontId="46" fillId="24" borderId="0" xfId="16" applyNumberFormat="1" applyFont="1" applyFill="1" applyAlignment="1" applyProtection="1">
      <alignment horizontal="left" vertical="center"/>
    </xf>
    <xf numFmtId="3" fontId="46" fillId="24" borderId="0" xfId="16" applyNumberFormat="1" applyFont="1" applyFill="1" applyBorder="1" applyAlignment="1" applyProtection="1">
      <alignment horizontal="left" vertical="center"/>
    </xf>
    <xf numFmtId="4" fontId="43" fillId="24" borderId="6" xfId="15" applyNumberFormat="1" applyFont="1" applyFill="1" applyBorder="1" applyAlignment="1" applyProtection="1">
      <alignment horizontal="center" vertical="center"/>
    </xf>
    <xf numFmtId="4" fontId="31" fillId="24" borderId="6" xfId="16" applyNumberFormat="1" applyFont="1" applyFill="1" applyBorder="1" applyAlignment="1" applyProtection="1">
      <alignment horizontal="center" vertical="center"/>
    </xf>
    <xf numFmtId="168" fontId="31" fillId="24" borderId="6" xfId="13" applyNumberFormat="1" applyFont="1" applyFill="1" applyBorder="1" applyAlignment="1" applyProtection="1">
      <alignment horizontal="center" vertical="center"/>
    </xf>
    <xf numFmtId="178" fontId="31" fillId="24" borderId="0" xfId="16" applyNumberFormat="1" applyFont="1" applyFill="1" applyAlignment="1" applyProtection="1">
      <alignment vertical="center"/>
    </xf>
    <xf numFmtId="3" fontId="31" fillId="24" borderId="3" xfId="15" applyNumberFormat="1" applyFont="1" applyFill="1" applyBorder="1" applyAlignment="1" applyProtection="1">
      <alignment vertical="center"/>
    </xf>
    <xf numFmtId="3" fontId="31" fillId="24" borderId="2" xfId="15" applyNumberFormat="1" applyFont="1" applyFill="1" applyBorder="1" applyAlignment="1" applyProtection="1">
      <alignment vertical="center"/>
    </xf>
    <xf numFmtId="3" fontId="43" fillId="24" borderId="2" xfId="15" applyNumberFormat="1" applyFont="1" applyFill="1" applyBorder="1" applyAlignment="1" applyProtection="1">
      <alignment horizontal="centerContinuous" vertical="center"/>
    </xf>
    <xf numFmtId="3" fontId="31" fillId="24" borderId="2" xfId="15" applyNumberFormat="1" applyFont="1" applyFill="1" applyBorder="1" applyAlignment="1" applyProtection="1">
      <alignment horizontal="centerContinuous" vertical="center"/>
    </xf>
    <xf numFmtId="168" fontId="31" fillId="24" borderId="2" xfId="15" applyNumberFormat="1" applyFont="1" applyFill="1" applyBorder="1" applyAlignment="1" applyProtection="1">
      <alignment horizontal="centerContinuous" vertical="center"/>
    </xf>
    <xf numFmtId="3" fontId="43" fillId="24" borderId="3" xfId="15" applyNumberFormat="1" applyFont="1" applyFill="1" applyBorder="1" applyAlignment="1" applyProtection="1">
      <alignment vertical="center"/>
    </xf>
    <xf numFmtId="43" fontId="31" fillId="24" borderId="6" xfId="2" applyFont="1" applyFill="1" applyBorder="1" applyAlignment="1" applyProtection="1">
      <alignment horizontal="center" vertical="center"/>
    </xf>
    <xf numFmtId="43" fontId="61" fillId="24" borderId="6" xfId="2" applyFont="1" applyFill="1" applyBorder="1" applyAlignment="1" applyProtection="1">
      <alignment horizontal="center" vertical="center"/>
    </xf>
    <xf numFmtId="43" fontId="43" fillId="24" borderId="14" xfId="2" applyFont="1" applyFill="1" applyBorder="1" applyAlignment="1" applyProtection="1">
      <alignment horizontal="center" vertical="center"/>
    </xf>
    <xf numFmtId="0" fontId="68" fillId="24" borderId="0" xfId="0" applyFont="1" applyFill="1" applyBorder="1" applyAlignment="1" applyProtection="1">
      <alignment horizontal="left" vertical="center"/>
    </xf>
    <xf numFmtId="3" fontId="86" fillId="24" borderId="15" xfId="16" applyNumberFormat="1" applyFont="1" applyFill="1" applyBorder="1" applyAlignment="1" applyProtection="1">
      <alignment horizontal="right" vertical="center"/>
    </xf>
    <xf numFmtId="3" fontId="43" fillId="24" borderId="6" xfId="16" applyNumberFormat="1" applyFont="1" applyFill="1" applyBorder="1" applyAlignment="1" applyProtection="1">
      <alignment horizontal="center" vertical="center"/>
    </xf>
    <xf numFmtId="3" fontId="43" fillId="24" borderId="0" xfId="16" applyNumberFormat="1" applyFont="1" applyFill="1" applyAlignment="1" applyProtection="1">
      <alignment vertical="center"/>
    </xf>
    <xf numFmtId="3" fontId="37" fillId="24" borderId="0" xfId="16" applyNumberFormat="1" applyFont="1" applyFill="1" applyAlignment="1" applyProtection="1">
      <alignment horizontal="left" vertical="center"/>
    </xf>
    <xf numFmtId="0" fontId="37" fillId="24" borderId="0" xfId="0" applyFont="1" applyFill="1" applyBorder="1" applyAlignment="1" applyProtection="1">
      <alignment horizontal="left" vertical="center"/>
    </xf>
    <xf numFmtId="3" fontId="31" fillId="24" borderId="0" xfId="16" applyNumberFormat="1" applyFont="1" applyFill="1" applyBorder="1" applyAlignment="1" applyProtection="1">
      <alignment vertical="center"/>
    </xf>
    <xf numFmtId="3" fontId="31" fillId="24" borderId="0" xfId="16" applyNumberFormat="1" applyFont="1" applyFill="1" applyAlignment="1" applyProtection="1">
      <alignment vertical="center" wrapText="1"/>
    </xf>
    <xf numFmtId="168" fontId="31" fillId="24" borderId="0" xfId="16" applyNumberFormat="1" applyFont="1" applyFill="1" applyAlignment="1" applyProtection="1">
      <alignment vertical="center"/>
    </xf>
    <xf numFmtId="3" fontId="71" fillId="24" borderId="0" xfId="16" applyNumberFormat="1" applyFont="1" applyFill="1" applyAlignment="1" applyProtection="1">
      <alignment vertical="center"/>
    </xf>
    <xf numFmtId="3" fontId="43" fillId="24" borderId="21" xfId="16" applyNumberFormat="1" applyFont="1" applyFill="1" applyBorder="1" applyAlignment="1" applyProtection="1">
      <alignment horizontal="centerContinuous" vertical="center"/>
    </xf>
    <xf numFmtId="3" fontId="43" fillId="24" borderId="21" xfId="15" applyNumberFormat="1" applyFont="1" applyFill="1" applyBorder="1" applyAlignment="1" applyProtection="1">
      <alignment horizontal="centerContinuous" vertical="center"/>
    </xf>
    <xf numFmtId="3" fontId="71" fillId="24" borderId="21" xfId="16" applyNumberFormat="1" applyFont="1" applyFill="1" applyBorder="1" applyAlignment="1" applyProtection="1">
      <alignment horizontal="centerContinuous" vertical="center"/>
    </xf>
    <xf numFmtId="43" fontId="31" fillId="24" borderId="6" xfId="2" applyFont="1" applyFill="1" applyBorder="1" applyAlignment="1" applyProtection="1">
      <alignment horizontal="right" vertical="center"/>
    </xf>
    <xf numFmtId="3" fontId="71" fillId="24" borderId="43" xfId="16" applyNumberFormat="1" applyFont="1" applyFill="1" applyBorder="1" applyAlignment="1" applyProtection="1">
      <alignment horizontal="center" vertical="center"/>
    </xf>
    <xf numFmtId="3" fontId="71" fillId="24" borderId="6" xfId="16" applyNumberFormat="1" applyFont="1" applyFill="1" applyBorder="1" applyAlignment="1" applyProtection="1">
      <alignment horizontal="center" vertical="center"/>
    </xf>
    <xf numFmtId="43" fontId="61" fillId="24" borderId="6" xfId="2" applyFont="1" applyFill="1" applyBorder="1" applyAlignment="1" applyProtection="1">
      <alignment horizontal="right" vertical="center"/>
    </xf>
    <xf numFmtId="164" fontId="71" fillId="24" borderId="6" xfId="2" applyNumberFormat="1" applyFont="1" applyFill="1" applyBorder="1" applyAlignment="1" applyProtection="1">
      <alignment horizontal="center" vertical="center"/>
    </xf>
    <xf numFmtId="164" fontId="71" fillId="24" borderId="8" xfId="2" applyNumberFormat="1" applyFont="1" applyFill="1" applyBorder="1" applyAlignment="1" applyProtection="1">
      <alignment horizontal="center" vertical="center"/>
    </xf>
    <xf numFmtId="168" fontId="31" fillId="24" borderId="3" xfId="13" applyNumberFormat="1" applyFont="1" applyFill="1" applyBorder="1" applyAlignment="1" applyProtection="1">
      <alignment horizontal="right" vertical="center"/>
    </xf>
    <xf numFmtId="3" fontId="71" fillId="24" borderId="3" xfId="16" applyNumberFormat="1" applyFont="1" applyFill="1" applyBorder="1" applyAlignment="1" applyProtection="1">
      <alignment horizontal="center" vertical="center"/>
    </xf>
    <xf numFmtId="168" fontId="43" fillId="24" borderId="2" xfId="13" applyNumberFormat="1" applyFont="1" applyFill="1" applyBorder="1" applyAlignment="1" applyProtection="1">
      <alignment horizontal="right" vertical="center"/>
    </xf>
    <xf numFmtId="4" fontId="43" fillId="24" borderId="14" xfId="13" applyNumberFormat="1" applyFont="1" applyFill="1" applyBorder="1" applyAlignment="1" applyProtection="1">
      <alignment horizontal="right" vertical="center"/>
    </xf>
    <xf numFmtId="3" fontId="71" fillId="24" borderId="6" xfId="16" applyNumberFormat="1" applyFont="1" applyFill="1" applyBorder="1" applyAlignment="1" applyProtection="1">
      <alignment vertical="center"/>
    </xf>
    <xf numFmtId="4" fontId="31" fillId="24" borderId="6" xfId="13" applyNumberFormat="1" applyFont="1" applyFill="1" applyBorder="1" applyAlignment="1" applyProtection="1">
      <alignment horizontal="right" vertical="center"/>
    </xf>
    <xf numFmtId="4" fontId="43" fillId="24" borderId="6" xfId="13" applyNumberFormat="1" applyFont="1" applyFill="1" applyBorder="1" applyAlignment="1" applyProtection="1">
      <alignment horizontal="right" vertical="center"/>
    </xf>
    <xf numFmtId="43" fontId="31" fillId="24" borderId="0" xfId="2" applyFont="1" applyFill="1" applyAlignment="1" applyProtection="1">
      <alignment vertical="center"/>
    </xf>
    <xf numFmtId="0" fontId="31" fillId="24" borderId="6" xfId="0" quotePrefix="1" applyFont="1" applyFill="1" applyBorder="1" applyAlignment="1">
      <alignment horizontal="left"/>
    </xf>
    <xf numFmtId="4" fontId="31" fillId="24" borderId="6" xfId="16" applyNumberFormat="1" applyFont="1" applyFill="1" applyBorder="1" applyAlignment="1" applyProtection="1">
      <alignment horizontal="right" vertical="center"/>
    </xf>
    <xf numFmtId="3" fontId="31" fillId="24" borderId="21" xfId="16" applyNumberFormat="1" applyFont="1" applyFill="1" applyBorder="1" applyAlignment="1" applyProtection="1">
      <alignment horizontal="centerContinuous" vertical="center"/>
    </xf>
    <xf numFmtId="4" fontId="31" fillId="24" borderId="6" xfId="15" applyNumberFormat="1" applyFont="1" applyFill="1" applyBorder="1" applyAlignment="1" applyProtection="1">
      <alignment horizontal="right" vertical="center"/>
    </xf>
    <xf numFmtId="4" fontId="61" fillId="24" borderId="6" xfId="13" applyNumberFormat="1" applyFont="1" applyFill="1" applyBorder="1" applyAlignment="1" applyProtection="1">
      <alignment horizontal="center" vertical="center"/>
    </xf>
    <xf numFmtId="4" fontId="61" fillId="24" borderId="6" xfId="13" applyNumberFormat="1" applyFont="1" applyFill="1" applyBorder="1" applyAlignment="1" applyProtection="1">
      <alignment horizontal="right" vertical="center"/>
    </xf>
    <xf numFmtId="4" fontId="43" fillId="24" borderId="6" xfId="0" applyNumberFormat="1" applyFont="1" applyFill="1" applyBorder="1" applyAlignment="1" applyProtection="1">
      <alignment horizontal="center" vertical="center"/>
    </xf>
    <xf numFmtId="4" fontId="31" fillId="24" borderId="6" xfId="0" applyNumberFormat="1" applyFont="1" applyFill="1" applyBorder="1" applyAlignment="1" applyProtection="1">
      <alignment horizontal="center" vertical="center"/>
    </xf>
    <xf numFmtId="3" fontId="69" fillId="24" borderId="0" xfId="16" applyNumberFormat="1" applyFont="1" applyFill="1" applyAlignment="1" applyProtection="1">
      <alignment horizontal="center" vertical="center"/>
    </xf>
    <xf numFmtId="3" fontId="47" fillId="24" borderId="6" xfId="15" applyNumberFormat="1" applyFont="1" applyFill="1" applyBorder="1" applyAlignment="1" applyProtection="1">
      <alignment horizontal="center" vertical="center"/>
    </xf>
    <xf numFmtId="0" fontId="47" fillId="24" borderId="6" xfId="0" applyFont="1" applyFill="1" applyBorder="1" applyAlignment="1" applyProtection="1">
      <alignment horizontal="center" vertical="center"/>
    </xf>
    <xf numFmtId="0" fontId="47" fillId="24" borderId="6" xfId="0" applyFont="1" applyFill="1" applyBorder="1" applyAlignment="1" applyProtection="1">
      <alignment horizontal="left" vertical="center"/>
    </xf>
    <xf numFmtId="4" fontId="47" fillId="24" borderId="6" xfId="13" applyNumberFormat="1" applyFont="1" applyFill="1" applyBorder="1" applyAlignment="1" applyProtection="1">
      <alignment horizontal="right" vertical="center"/>
    </xf>
    <xf numFmtId="3" fontId="87" fillId="24" borderId="15" xfId="16" applyNumberFormat="1" applyFont="1" applyFill="1" applyBorder="1" applyAlignment="1" applyProtection="1">
      <alignment horizontal="right" vertical="center"/>
    </xf>
    <xf numFmtId="3" fontId="88" fillId="24" borderId="6" xfId="16" applyNumberFormat="1" applyFont="1" applyFill="1" applyBorder="1" applyAlignment="1" applyProtection="1">
      <alignment horizontal="center" vertical="center"/>
    </xf>
    <xf numFmtId="3" fontId="47" fillId="24" borderId="0" xfId="16" applyNumberFormat="1" applyFont="1" applyFill="1" applyAlignment="1" applyProtection="1">
      <alignment vertical="center"/>
    </xf>
    <xf numFmtId="3" fontId="47" fillId="24" borderId="0" xfId="16" applyNumberFormat="1" applyFont="1" applyFill="1" applyProtection="1"/>
    <xf numFmtId="3" fontId="31" fillId="24" borderId="0" xfId="15" applyNumberFormat="1" applyFont="1" applyFill="1" applyBorder="1" applyAlignment="1" applyProtection="1">
      <alignment vertical="center"/>
    </xf>
    <xf numFmtId="168" fontId="31" fillId="24" borderId="0" xfId="15" applyNumberFormat="1" applyFont="1" applyFill="1" applyBorder="1" applyAlignment="1" applyProtection="1">
      <alignment horizontal="centerContinuous" vertical="center"/>
    </xf>
    <xf numFmtId="3" fontId="31" fillId="24" borderId="0" xfId="15" applyNumberFormat="1" applyFont="1" applyFill="1" applyBorder="1" applyAlignment="1" applyProtection="1">
      <alignment horizontal="centerContinuous" vertical="center"/>
    </xf>
    <xf numFmtId="3" fontId="43" fillId="24" borderId="0" xfId="15" applyNumberFormat="1" applyFont="1" applyFill="1" applyBorder="1" applyAlignment="1" applyProtection="1">
      <alignment horizontal="center" vertical="center"/>
    </xf>
    <xf numFmtId="3" fontId="43" fillId="24" borderId="0" xfId="15" applyNumberFormat="1" applyFont="1" applyFill="1" applyBorder="1" applyAlignment="1" applyProtection="1">
      <alignment vertical="center"/>
    </xf>
    <xf numFmtId="3" fontId="71" fillId="24" borderId="0" xfId="16" applyNumberFormat="1" applyFont="1" applyFill="1" applyBorder="1" applyAlignment="1" applyProtection="1">
      <alignment horizontal="center" vertical="center"/>
    </xf>
    <xf numFmtId="3" fontId="43" fillId="24" borderId="3" xfId="15" applyNumberFormat="1" applyFont="1" applyFill="1" applyBorder="1" applyAlignment="1" applyProtection="1">
      <alignment horizontal="right" vertical="center"/>
    </xf>
    <xf numFmtId="3" fontId="81" fillId="24" borderId="3" xfId="16" applyNumberFormat="1" applyFont="1" applyFill="1" applyBorder="1" applyAlignment="1" applyProtection="1">
      <alignment vertical="center"/>
    </xf>
    <xf numFmtId="3" fontId="43" fillId="24" borderId="0" xfId="16" applyNumberFormat="1" applyFont="1" applyFill="1" applyBorder="1" applyAlignment="1" applyProtection="1">
      <alignment vertical="center"/>
    </xf>
    <xf numFmtId="3" fontId="43" fillId="24" borderId="0" xfId="16" applyNumberFormat="1" applyFont="1" applyFill="1" applyBorder="1" applyAlignment="1" applyProtection="1">
      <alignment vertical="center" wrapText="1"/>
    </xf>
    <xf numFmtId="3" fontId="81" fillId="24" borderId="0" xfId="16" applyNumberFormat="1" applyFont="1" applyFill="1" applyBorder="1" applyAlignment="1" applyProtection="1">
      <alignment vertical="center"/>
    </xf>
    <xf numFmtId="3" fontId="71" fillId="24" borderId="0" xfId="16" applyNumberFormat="1" applyFont="1" applyFill="1" applyAlignment="1" applyProtection="1">
      <alignment horizontal="center" vertical="center"/>
    </xf>
    <xf numFmtId="0" fontId="71" fillId="24" borderId="0" xfId="0" applyFont="1" applyFill="1" applyProtection="1"/>
    <xf numFmtId="3" fontId="71" fillId="24" borderId="6" xfId="15" applyNumberFormat="1" applyFont="1" applyFill="1" applyBorder="1" applyAlignment="1" applyProtection="1">
      <alignment horizontal="center" vertical="center"/>
    </xf>
    <xf numFmtId="0" fontId="71" fillId="24" borderId="6" xfId="0" applyFont="1" applyFill="1" applyBorder="1" applyAlignment="1" applyProtection="1">
      <alignment horizontal="center" vertical="center"/>
    </xf>
    <xf numFmtId="0" fontId="71" fillId="24" borderId="6" xfId="0" applyFont="1" applyFill="1" applyBorder="1" applyAlignment="1" applyProtection="1">
      <alignment horizontal="left" vertical="center"/>
    </xf>
    <xf numFmtId="4" fontId="71" fillId="24" borderId="6" xfId="13" applyNumberFormat="1" applyFont="1" applyFill="1" applyBorder="1" applyAlignment="1" applyProtection="1">
      <alignment horizontal="right" vertical="center"/>
    </xf>
    <xf numFmtId="3" fontId="71" fillId="24" borderId="15" xfId="16" applyNumberFormat="1" applyFont="1" applyFill="1" applyBorder="1" applyAlignment="1" applyProtection="1">
      <alignment horizontal="right" vertical="center"/>
    </xf>
    <xf numFmtId="3" fontId="71" fillId="24" borderId="0" xfId="16" applyNumberFormat="1" applyFont="1" applyFill="1" applyAlignment="1" applyProtection="1">
      <alignment horizontal="left" vertical="center"/>
    </xf>
    <xf numFmtId="3" fontId="31" fillId="24" borderId="6" xfId="15" applyNumberFormat="1" applyFont="1" applyFill="1" applyBorder="1" applyAlignment="1" applyProtection="1">
      <alignment horizontal="right" vertical="center"/>
    </xf>
    <xf numFmtId="3" fontId="61" fillId="24" borderId="6" xfId="13" applyNumberFormat="1" applyFont="1" applyFill="1" applyBorder="1" applyAlignment="1" applyProtection="1">
      <alignment horizontal="right" vertical="center"/>
    </xf>
    <xf numFmtId="168" fontId="31" fillId="24" borderId="6" xfId="0" applyNumberFormat="1" applyFont="1" applyFill="1" applyBorder="1" applyAlignment="1" applyProtection="1">
      <alignment horizontal="center" vertical="center"/>
    </xf>
    <xf numFmtId="3" fontId="43" fillId="24" borderId="14" xfId="13" applyNumberFormat="1" applyFont="1" applyFill="1" applyBorder="1" applyAlignment="1" applyProtection="1">
      <alignment horizontal="right" vertical="center"/>
    </xf>
    <xf numFmtId="168" fontId="31" fillId="24" borderId="6" xfId="16" applyNumberFormat="1" applyFont="1" applyFill="1" applyBorder="1" applyAlignment="1" applyProtection="1">
      <alignment horizontal="right" vertical="center"/>
    </xf>
    <xf numFmtId="3" fontId="31" fillId="24" borderId="6" xfId="16" applyNumberFormat="1" applyFont="1" applyFill="1" applyBorder="1" applyAlignment="1" applyProtection="1">
      <alignment horizontal="right" vertical="center"/>
    </xf>
    <xf numFmtId="0" fontId="47" fillId="24" borderId="0" xfId="0" applyFont="1" applyFill="1" applyBorder="1" applyAlignment="1">
      <alignment horizontal="left"/>
    </xf>
    <xf numFmtId="3" fontId="47" fillId="24" borderId="6" xfId="13" applyNumberFormat="1" applyFont="1" applyFill="1" applyBorder="1" applyAlignment="1" applyProtection="1">
      <alignment horizontal="right" vertical="center"/>
    </xf>
    <xf numFmtId="164" fontId="31" fillId="24" borderId="6" xfId="2" applyNumberFormat="1" applyFont="1" applyFill="1" applyBorder="1" applyAlignment="1" applyProtection="1">
      <alignment horizontal="center" vertical="center"/>
    </xf>
    <xf numFmtId="168" fontId="43" fillId="24" borderId="6" xfId="13" applyNumberFormat="1" applyFont="1" applyFill="1" applyBorder="1" applyAlignment="1" applyProtection="1">
      <alignment horizontal="center" vertical="center"/>
    </xf>
    <xf numFmtId="3" fontId="46" fillId="24" borderId="0" xfId="0" applyNumberFormat="1" applyFont="1" applyFill="1" applyAlignment="1" applyProtection="1">
      <alignment vertical="center"/>
    </xf>
    <xf numFmtId="3" fontId="43" fillId="24" borderId="0" xfId="15" applyNumberFormat="1" applyFont="1" applyFill="1" applyBorder="1" applyAlignment="1" applyProtection="1">
      <alignment horizontal="centerContinuous" vertical="center"/>
    </xf>
    <xf numFmtId="3" fontId="31" fillId="24" borderId="0" xfId="16" applyNumberFormat="1" applyFont="1" applyFill="1" applyBorder="1" applyAlignment="1" applyProtection="1">
      <alignment horizontal="center" vertical="center"/>
    </xf>
    <xf numFmtId="2" fontId="31" fillId="24" borderId="6" xfId="0" applyNumberFormat="1" applyFont="1" applyFill="1" applyBorder="1" applyAlignment="1" applyProtection="1">
      <alignment horizontal="center" vertical="center"/>
    </xf>
    <xf numFmtId="168" fontId="31" fillId="24" borderId="6" xfId="15" applyNumberFormat="1" applyFont="1" applyFill="1" applyBorder="1" applyAlignment="1" applyProtection="1">
      <alignment horizontal="center" vertical="center"/>
    </xf>
    <xf numFmtId="3" fontId="31" fillId="24" borderId="43" xfId="16" applyNumberFormat="1" applyFont="1" applyFill="1" applyBorder="1" applyAlignment="1" applyProtection="1">
      <alignment vertical="center"/>
    </xf>
    <xf numFmtId="3" fontId="46" fillId="24" borderId="15" xfId="16" applyNumberFormat="1" applyFont="1" applyFill="1" applyBorder="1" applyAlignment="1" applyProtection="1">
      <alignment horizontal="right" vertical="center"/>
    </xf>
    <xf numFmtId="3" fontId="61" fillId="24" borderId="8" xfId="13" applyNumberFormat="1" applyFont="1" applyFill="1" applyBorder="1" applyAlignment="1" applyProtection="1">
      <alignment horizontal="center" vertical="center"/>
    </xf>
    <xf numFmtId="0" fontId="46" fillId="24" borderId="15" xfId="0" applyFont="1" applyFill="1" applyBorder="1" applyAlignment="1" applyProtection="1">
      <alignment horizontal="left" vertical="center"/>
    </xf>
    <xf numFmtId="3" fontId="31" fillId="24" borderId="3" xfId="16" applyNumberFormat="1" applyFont="1" applyFill="1" applyBorder="1" applyAlignment="1" applyProtection="1">
      <alignment vertical="center"/>
    </xf>
    <xf numFmtId="0" fontId="89" fillId="24" borderId="0" xfId="0" applyFont="1" applyFill="1" applyBorder="1" applyAlignment="1" applyProtection="1">
      <alignment horizontal="left"/>
    </xf>
    <xf numFmtId="180" fontId="31" fillId="24" borderId="6" xfId="0" applyNumberFormat="1" applyFont="1" applyFill="1" applyBorder="1" applyAlignment="1" applyProtection="1">
      <alignment horizontal="center" vertical="center"/>
    </xf>
    <xf numFmtId="3" fontId="31" fillId="24" borderId="8" xfId="15" applyNumberFormat="1" applyFont="1" applyFill="1" applyBorder="1" applyAlignment="1" applyProtection="1">
      <alignment horizontal="center" vertical="center"/>
    </xf>
    <xf numFmtId="4" fontId="68" fillId="24" borderId="0" xfId="16" applyNumberFormat="1" applyFont="1" applyFill="1" applyAlignment="1" applyProtection="1">
      <alignment horizontal="left" vertical="center"/>
    </xf>
    <xf numFmtId="3" fontId="31" fillId="24" borderId="52" xfId="15" applyNumberFormat="1" applyFont="1" applyFill="1" applyBorder="1" applyAlignment="1" applyProtection="1">
      <alignment vertical="center"/>
    </xf>
    <xf numFmtId="3" fontId="74" fillId="24" borderId="0" xfId="16" applyNumberFormat="1" applyFont="1" applyFill="1" applyAlignment="1" applyProtection="1">
      <alignment horizontal="center"/>
    </xf>
    <xf numFmtId="3" fontId="46" fillId="0" borderId="0" xfId="16" applyNumberFormat="1" applyFont="1" applyFill="1" applyAlignment="1" applyProtection="1">
      <alignment horizontal="left"/>
    </xf>
    <xf numFmtId="0" fontId="31" fillId="24" borderId="0" xfId="0" applyFont="1" applyFill="1" applyBorder="1" applyAlignment="1" applyProtection="1">
      <alignment vertical="center"/>
    </xf>
    <xf numFmtId="0" fontId="43" fillId="24" borderId="6" xfId="0" applyFont="1" applyFill="1" applyBorder="1" applyAlignment="1" applyProtection="1">
      <alignment horizontal="left" vertical="top" wrapText="1"/>
      <protection hidden="1"/>
    </xf>
    <xf numFmtId="43" fontId="43" fillId="24" borderId="6" xfId="2" applyNumberFormat="1" applyFont="1" applyFill="1" applyBorder="1" applyAlignment="1" applyProtection="1">
      <alignment horizontal="center"/>
    </xf>
    <xf numFmtId="0" fontId="43" fillId="24" borderId="6" xfId="0" applyFont="1" applyFill="1" applyBorder="1" applyAlignment="1" applyProtection="1">
      <alignment horizontal="center" vertical="center"/>
      <protection hidden="1"/>
    </xf>
    <xf numFmtId="43" fontId="43" fillId="24" borderId="6" xfId="2" applyNumberFormat="1" applyFont="1" applyFill="1" applyBorder="1" applyAlignment="1" applyProtection="1">
      <alignment horizontal="center" vertical="center"/>
    </xf>
    <xf numFmtId="43" fontId="31" fillId="24" borderId="6" xfId="2" applyNumberFormat="1" applyFont="1" applyFill="1" applyBorder="1" applyProtection="1"/>
    <xf numFmtId="0" fontId="43" fillId="24" borderId="6" xfId="0" applyFont="1" applyFill="1" applyBorder="1" applyAlignment="1" applyProtection="1">
      <alignment horizontal="left" vertical="center"/>
      <protection hidden="1"/>
    </xf>
    <xf numFmtId="43" fontId="79" fillId="24" borderId="6" xfId="2" applyNumberFormat="1" applyFont="1" applyFill="1" applyBorder="1" applyProtection="1"/>
    <xf numFmtId="3" fontId="46" fillId="22" borderId="0" xfId="16" applyNumberFormat="1" applyFont="1" applyFill="1" applyAlignment="1" applyProtection="1">
      <alignment horizontal="center"/>
    </xf>
    <xf numFmtId="0" fontId="31" fillId="22" borderId="0" xfId="0" applyFont="1" applyFill="1" applyBorder="1" applyAlignment="1" applyProtection="1">
      <alignment horizontal="left" vertical="center"/>
    </xf>
    <xf numFmtId="3" fontId="31" fillId="22" borderId="6" xfId="16" applyNumberFormat="1" applyFont="1" applyFill="1" applyBorder="1" applyAlignment="1" applyProtection="1">
      <alignment horizontal="center"/>
    </xf>
    <xf numFmtId="0" fontId="31" fillId="22" borderId="6" xfId="0" applyFont="1" applyFill="1" applyBorder="1" applyAlignment="1" applyProtection="1">
      <alignment horizontal="center"/>
    </xf>
    <xf numFmtId="0" fontId="31" fillId="22" borderId="6" xfId="0" applyFont="1" applyFill="1" applyBorder="1" applyAlignment="1" applyProtection="1">
      <alignment horizontal="left"/>
    </xf>
    <xf numFmtId="164" fontId="31" fillId="22" borderId="6" xfId="2" applyNumberFormat="1" applyFont="1" applyFill="1" applyBorder="1" applyAlignment="1" applyProtection="1"/>
    <xf numFmtId="3" fontId="61" fillId="22" borderId="15" xfId="16" applyNumberFormat="1" applyFont="1" applyFill="1" applyBorder="1" applyAlignment="1" applyProtection="1">
      <alignment horizontal="right"/>
    </xf>
    <xf numFmtId="3" fontId="61" fillId="22" borderId="6" xfId="16" applyNumberFormat="1" applyFont="1" applyFill="1" applyBorder="1" applyAlignment="1" applyProtection="1">
      <alignment horizontal="right"/>
    </xf>
    <xf numFmtId="3" fontId="31" fillId="22" borderId="0" xfId="16" applyNumberFormat="1" applyFont="1" applyFill="1" applyProtection="1"/>
    <xf numFmtId="3" fontId="31" fillId="22" borderId="0" xfId="16" applyNumberFormat="1" applyFont="1" applyFill="1" applyBorder="1" applyAlignment="1" applyProtection="1">
      <alignment horizontal="center"/>
    </xf>
    <xf numFmtId="43" fontId="31" fillId="22" borderId="6" xfId="2" applyFont="1" applyFill="1" applyBorder="1" applyAlignment="1" applyProtection="1">
      <alignment horizontal="center"/>
    </xf>
    <xf numFmtId="0" fontId="46" fillId="22" borderId="0" xfId="0" applyFont="1" applyFill="1" applyBorder="1" applyAlignment="1" applyProtection="1">
      <alignment horizontal="left" vertical="center"/>
    </xf>
    <xf numFmtId="0" fontId="79" fillId="26" borderId="181" xfId="0" applyFont="1" applyFill="1" applyBorder="1" applyAlignment="1">
      <alignment horizontal="center" vertical="center"/>
    </xf>
    <xf numFmtId="164" fontId="25" fillId="26" borderId="6" xfId="2" applyNumberFormat="1" applyFont="1" applyFill="1" applyBorder="1"/>
    <xf numFmtId="0" fontId="25" fillId="0" borderId="14" xfId="0" applyFont="1" applyFill="1" applyBorder="1" applyProtection="1">
      <protection locked="0"/>
    </xf>
    <xf numFmtId="164" fontId="25" fillId="24" borderId="6" xfId="2" applyNumberFormat="1" applyFont="1" applyFill="1" applyBorder="1"/>
    <xf numFmtId="0" fontId="79" fillId="26" borderId="181" xfId="0" applyFont="1" applyFill="1" applyBorder="1"/>
    <xf numFmtId="0" fontId="92" fillId="26" borderId="181" xfId="0" applyFont="1" applyFill="1" applyBorder="1"/>
    <xf numFmtId="0" fontId="93" fillId="26" borderId="181" xfId="0" applyFont="1" applyFill="1" applyBorder="1" applyAlignment="1">
      <alignment vertical="center"/>
    </xf>
    <xf numFmtId="164" fontId="25" fillId="26" borderId="6" xfId="2" applyNumberFormat="1" applyFont="1" applyFill="1" applyBorder="1" applyAlignment="1"/>
    <xf numFmtId="0" fontId="92" fillId="26" borderId="181" xfId="0" applyFont="1" applyFill="1" applyBorder="1" applyAlignment="1">
      <alignment horizontal="left" vertical="center" wrapText="1"/>
    </xf>
    <xf numFmtId="0" fontId="25" fillId="26" borderId="6" xfId="0" applyFont="1" applyFill="1" applyBorder="1" applyAlignment="1">
      <alignment horizontal="left"/>
    </xf>
    <xf numFmtId="0" fontId="25" fillId="26" borderId="6" xfId="0" applyFont="1" applyFill="1" applyBorder="1" applyAlignment="1">
      <alignment horizontal="center"/>
    </xf>
    <xf numFmtId="0" fontId="25" fillId="23" borderId="6" xfId="0" applyFont="1" applyFill="1" applyBorder="1" applyAlignment="1">
      <alignment horizontal="left"/>
    </xf>
    <xf numFmtId="49" fontId="25" fillId="23" borderId="6" xfId="0" quotePrefix="1" applyNumberFormat="1" applyFont="1" applyFill="1" applyBorder="1" applyAlignment="1">
      <alignment horizontal="center"/>
    </xf>
    <xf numFmtId="0" fontId="25" fillId="23" borderId="6" xfId="0" quotePrefix="1" applyFont="1" applyFill="1" applyBorder="1" applyAlignment="1">
      <alignment horizontal="left"/>
    </xf>
    <xf numFmtId="0" fontId="25" fillId="23" borderId="6" xfId="0" applyFont="1" applyFill="1" applyBorder="1" applyAlignment="1">
      <alignment horizontal="center"/>
    </xf>
    <xf numFmtId="164" fontId="25" fillId="23" borderId="6" xfId="2" applyNumberFormat="1" applyFont="1" applyFill="1" applyBorder="1" applyAlignment="1"/>
    <xf numFmtId="0" fontId="25" fillId="23" borderId="0" xfId="0" applyFont="1" applyFill="1"/>
    <xf numFmtId="0" fontId="3" fillId="23" borderId="0" xfId="0" applyFont="1" applyFill="1"/>
    <xf numFmtId="164" fontId="72" fillId="26" borderId="6" xfId="2" applyNumberFormat="1" applyFont="1" applyFill="1" applyBorder="1"/>
    <xf numFmtId="164" fontId="79" fillId="26" borderId="181" xfId="2" applyNumberFormat="1" applyFont="1" applyFill="1" applyBorder="1"/>
    <xf numFmtId="0" fontId="92" fillId="0" borderId="181" xfId="0" applyFont="1" applyBorder="1"/>
    <xf numFmtId="0" fontId="71" fillId="26" borderId="43" xfId="0" quotePrefix="1" applyFont="1" applyFill="1" applyBorder="1" applyAlignment="1">
      <alignment horizontal="left" vertical="center"/>
    </xf>
    <xf numFmtId="164" fontId="3" fillId="26" borderId="0" xfId="2" applyNumberFormat="1" applyFont="1" applyFill="1"/>
    <xf numFmtId="0" fontId="25" fillId="27" borderId="6" xfId="0" applyFont="1" applyFill="1" applyBorder="1" applyAlignment="1">
      <alignment horizontal="left"/>
    </xf>
    <xf numFmtId="0" fontId="79" fillId="27" borderId="46" xfId="0" applyFont="1" applyFill="1" applyBorder="1"/>
    <xf numFmtId="0" fontId="25" fillId="27" borderId="6" xfId="0" applyFont="1" applyFill="1" applyBorder="1" applyAlignment="1">
      <alignment horizontal="left" wrapText="1"/>
    </xf>
    <xf numFmtId="0" fontId="25" fillId="27" borderId="6" xfId="0" applyFont="1" applyFill="1" applyBorder="1" applyAlignment="1">
      <alignment horizontal="center"/>
    </xf>
    <xf numFmtId="164" fontId="25" fillId="27" borderId="6" xfId="2" applyNumberFormat="1" applyFont="1" applyFill="1" applyBorder="1"/>
    <xf numFmtId="49" fontId="25" fillId="27" borderId="6" xfId="0" applyNumberFormat="1" applyFont="1" applyFill="1" applyBorder="1" applyAlignment="1">
      <alignment horizontal="center"/>
    </xf>
    <xf numFmtId="0" fontId="79" fillId="26" borderId="181" xfId="0" applyFont="1" applyFill="1" applyBorder="1" applyAlignment="1">
      <alignment horizontal="left"/>
    </xf>
    <xf numFmtId="164" fontId="25" fillId="26" borderId="6" xfId="2" applyNumberFormat="1" applyFont="1" applyFill="1" applyBorder="1" applyProtection="1">
      <protection locked="0"/>
    </xf>
    <xf numFmtId="0" fontId="35" fillId="0" borderId="6" xfId="0" applyFont="1" applyFill="1" applyBorder="1" applyAlignment="1">
      <alignment horizontal="left" wrapText="1"/>
    </xf>
    <xf numFmtId="0" fontId="64" fillId="26" borderId="6" xfId="0" applyFont="1" applyFill="1" applyBorder="1" applyAlignment="1">
      <alignment horizontal="center" vertical="center"/>
    </xf>
    <xf numFmtId="0" fontId="72" fillId="0" borderId="43" xfId="0" quotePrefix="1" applyFont="1" applyBorder="1" applyAlignment="1">
      <alignment horizontal="left" vertical="center"/>
    </xf>
    <xf numFmtId="3" fontId="53" fillId="20" borderId="6" xfId="21" applyNumberFormat="1" applyFont="1" applyFill="1" applyBorder="1" applyAlignment="1">
      <alignment vertical="center"/>
    </xf>
    <xf numFmtId="0" fontId="41" fillId="0" borderId="43" xfId="0" applyFont="1" applyBorder="1" applyAlignment="1">
      <alignment vertical="center" wrapText="1"/>
    </xf>
    <xf numFmtId="0" fontId="95" fillId="11" borderId="43" xfId="22" applyFont="1" applyFill="1" applyBorder="1" applyAlignment="1">
      <alignment vertical="center" wrapText="1"/>
    </xf>
    <xf numFmtId="0" fontId="72" fillId="0" borderId="181" xfId="0" applyFont="1" applyBorder="1" applyAlignment="1">
      <alignment horizontal="left" vertical="center"/>
    </xf>
    <xf numFmtId="0" fontId="41" fillId="0" borderId="181" xfId="0" applyFont="1" applyBorder="1" applyAlignment="1">
      <alignment vertical="center" wrapText="1"/>
    </xf>
    <xf numFmtId="0" fontId="72" fillId="0" borderId="181" xfId="0" quotePrefix="1" applyFont="1" applyBorder="1" applyAlignment="1">
      <alignment horizontal="left" vertical="center"/>
    </xf>
    <xf numFmtId="0" fontId="96" fillId="0" borderId="181" xfId="0" applyFont="1" applyFill="1" applyBorder="1"/>
    <xf numFmtId="164" fontId="3" fillId="0" borderId="181" xfId="2" applyNumberFormat="1" applyFont="1" applyFill="1" applyBorder="1"/>
    <xf numFmtId="0" fontId="97" fillId="0" borderId="181" xfId="0" applyFont="1" applyFill="1" applyBorder="1"/>
    <xf numFmtId="0" fontId="31" fillId="0" borderId="43" xfId="0" applyFont="1" applyFill="1" applyBorder="1" applyAlignment="1" applyProtection="1">
      <alignment horizontal="center" wrapText="1"/>
      <protection hidden="1"/>
    </xf>
    <xf numFmtId="0" fontId="31" fillId="0" borderId="6" xfId="0" applyFont="1" applyFill="1" applyBorder="1" applyAlignment="1" applyProtection="1">
      <alignment horizontal="center" wrapText="1"/>
      <protection hidden="1"/>
    </xf>
    <xf numFmtId="0" fontId="31" fillId="0" borderId="6" xfId="0" quotePrefix="1" applyFont="1" applyFill="1" applyBorder="1" applyAlignment="1">
      <alignment horizontal="left" vertical="center" wrapText="1"/>
    </xf>
    <xf numFmtId="0" fontId="91" fillId="0" borderId="6" xfId="0" applyFont="1" applyFill="1" applyBorder="1" applyAlignment="1" applyProtection="1">
      <alignment horizontal="left" wrapText="1"/>
      <protection hidden="1"/>
    </xf>
    <xf numFmtId="0" fontId="57" fillId="0" borderId="6" xfId="0" applyFont="1" applyFill="1" applyBorder="1" applyAlignment="1" applyProtection="1">
      <alignment horizontal="left" wrapText="1"/>
      <protection hidden="1"/>
    </xf>
    <xf numFmtId="0" fontId="57" fillId="0" borderId="6" xfId="0" applyFont="1" applyFill="1" applyBorder="1" applyAlignment="1" applyProtection="1">
      <alignment horizontal="left" vertical="center" wrapText="1"/>
      <protection hidden="1"/>
    </xf>
    <xf numFmtId="3" fontId="43" fillId="0" borderId="52" xfId="15" applyNumberFormat="1" applyFont="1" applyFill="1" applyBorder="1" applyAlignment="1" applyProtection="1">
      <alignment horizontal="center"/>
      <protection hidden="1"/>
    </xf>
    <xf numFmtId="49" fontId="25" fillId="20" borderId="6" xfId="0" applyNumberFormat="1" applyFont="1" applyFill="1" applyBorder="1" applyAlignment="1">
      <alignment horizontal="center"/>
    </xf>
    <xf numFmtId="0" fontId="25" fillId="20" borderId="6" xfId="0" applyFont="1" applyFill="1" applyBorder="1" applyAlignment="1">
      <alignment horizontal="left" wrapText="1"/>
    </xf>
    <xf numFmtId="0" fontId="25" fillId="20" borderId="6" xfId="0" applyFont="1" applyFill="1" applyBorder="1" applyAlignment="1">
      <alignment horizontal="center"/>
    </xf>
    <xf numFmtId="164" fontId="25" fillId="20" borderId="6" xfId="2" applyNumberFormat="1" applyFont="1" applyFill="1" applyBorder="1"/>
    <xf numFmtId="0" fontId="25" fillId="20" borderId="0" xfId="0" applyFont="1" applyFill="1"/>
    <xf numFmtId="0" fontId="3" fillId="20" borderId="0" xfId="0" applyFont="1" applyFill="1"/>
    <xf numFmtId="0" fontId="98" fillId="22" borderId="6" xfId="0" applyFont="1" applyFill="1" applyBorder="1" applyAlignment="1">
      <alignment vertical="center"/>
    </xf>
    <xf numFmtId="3" fontId="98" fillId="22" borderId="6" xfId="0" quotePrefix="1" applyNumberFormat="1" applyFont="1" applyFill="1" applyBorder="1" applyAlignment="1">
      <alignment horizontal="center" vertical="center"/>
    </xf>
    <xf numFmtId="0" fontId="98" fillId="22" borderId="6" xfId="0" applyFont="1" applyFill="1" applyBorder="1" applyAlignment="1">
      <alignment horizontal="left" vertical="center" wrapText="1"/>
    </xf>
    <xf numFmtId="0" fontId="98" fillId="22" borderId="6" xfId="0" applyFont="1" applyFill="1" applyBorder="1" applyAlignment="1">
      <alignment horizontal="center" vertical="center"/>
    </xf>
    <xf numFmtId="164" fontId="98" fillId="22" borderId="6" xfId="2" applyNumberFormat="1" applyFont="1" applyFill="1" applyBorder="1" applyAlignment="1">
      <alignment vertical="center"/>
    </xf>
    <xf numFmtId="0" fontId="98" fillId="22" borderId="0" xfId="0" applyFont="1" applyFill="1" applyAlignment="1">
      <alignment vertical="center"/>
    </xf>
    <xf numFmtId="0" fontId="99" fillId="22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25" fillId="0" borderId="0" xfId="0" applyFont="1" applyFill="1" applyAlignment="1">
      <alignment horizontal="left" vertical="center"/>
    </xf>
    <xf numFmtId="0" fontId="3" fillId="28" borderId="0" xfId="0" applyFont="1" applyFill="1" applyAlignment="1">
      <alignment horizontal="right" vertical="center"/>
    </xf>
    <xf numFmtId="0" fontId="100" fillId="0" borderId="0" xfId="0" applyFont="1" applyAlignment="1" applyProtection="1">
      <alignment vertical="center"/>
    </xf>
    <xf numFmtId="0" fontId="43" fillId="0" borderId="190" xfId="0" applyFont="1" applyBorder="1" applyAlignment="1" applyProtection="1">
      <alignment vertical="center"/>
    </xf>
    <xf numFmtId="0" fontId="43" fillId="0" borderId="0" xfId="0" applyFont="1" applyBorder="1" applyAlignment="1" applyProtection="1">
      <alignment vertical="center"/>
    </xf>
    <xf numFmtId="0" fontId="2" fillId="0" borderId="191" xfId="0" applyFont="1" applyBorder="1" applyAlignment="1" applyProtection="1">
      <alignment horizontal="center" vertical="center"/>
    </xf>
    <xf numFmtId="0" fontId="2" fillId="0" borderId="191" xfId="0" applyFont="1" applyBorder="1" applyAlignment="1" applyProtection="1">
      <alignment vertical="center" wrapText="1"/>
    </xf>
    <xf numFmtId="182" fontId="2" fillId="0" borderId="191" xfId="0" applyNumberFormat="1" applyFont="1" applyBorder="1" applyAlignment="1" applyProtection="1">
      <alignment horizontal="center"/>
    </xf>
    <xf numFmtId="183" fontId="2" fillId="0" borderId="191" xfId="0" applyNumberFormat="1" applyFont="1" applyBorder="1" applyAlignment="1" applyProtection="1">
      <alignment vertical="center"/>
    </xf>
    <xf numFmtId="0" fontId="100" fillId="0" borderId="191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vertical="center" wrapText="1"/>
    </xf>
    <xf numFmtId="182" fontId="2" fillId="0" borderId="192" xfId="0" applyNumberFormat="1" applyFont="1" applyBorder="1" applyAlignment="1" applyProtection="1">
      <alignment horizontal="center"/>
    </xf>
    <xf numFmtId="0" fontId="100" fillId="0" borderId="192" xfId="0" applyFont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vertical="center" wrapText="1"/>
    </xf>
    <xf numFmtId="182" fontId="2" fillId="28" borderId="192" xfId="0" applyNumberFormat="1" applyFont="1" applyFill="1" applyBorder="1" applyAlignment="1" applyProtection="1">
      <alignment horizontal="center"/>
    </xf>
    <xf numFmtId="0" fontId="105" fillId="0" borderId="192" xfId="0" applyFont="1" applyBorder="1" applyAlignment="1" applyProtection="1">
      <alignment horizontal="center" vertical="center"/>
    </xf>
    <xf numFmtId="0" fontId="105" fillId="0" borderId="192" xfId="0" applyFont="1" applyBorder="1" applyAlignment="1" applyProtection="1">
      <alignment vertical="center" wrapText="1"/>
    </xf>
    <xf numFmtId="182" fontId="105" fillId="0" borderId="192" xfId="0" applyNumberFormat="1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 vertical="center"/>
    </xf>
    <xf numFmtId="0" fontId="2" fillId="0" borderId="193" xfId="0" applyFont="1" applyBorder="1" applyAlignment="1" applyProtection="1">
      <alignment vertical="center" wrapText="1"/>
    </xf>
    <xf numFmtId="182" fontId="2" fillId="0" borderId="193" xfId="0" applyNumberFormat="1" applyFont="1" applyBorder="1" applyAlignment="1" applyProtection="1">
      <alignment horizontal="center"/>
    </xf>
    <xf numFmtId="0" fontId="100" fillId="0" borderId="193" xfId="0" applyFont="1" applyBorder="1" applyAlignment="1" applyProtection="1">
      <alignment horizontal="center" vertical="center"/>
    </xf>
    <xf numFmtId="0" fontId="100" fillId="0" borderId="0" xfId="0" applyFont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/>
    </xf>
    <xf numFmtId="0" fontId="2" fillId="0" borderId="192" xfId="0" applyFont="1" applyBorder="1" applyAlignment="1" applyProtection="1">
      <alignment wrapText="1"/>
    </xf>
    <xf numFmtId="0" fontId="100" fillId="0" borderId="192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wrapText="1"/>
    </xf>
    <xf numFmtId="0" fontId="100" fillId="0" borderId="193" xfId="0" applyFont="1" applyBorder="1" applyAlignment="1" applyProtection="1">
      <alignment horizontal="center"/>
    </xf>
    <xf numFmtId="49" fontId="25" fillId="20" borderId="6" xfId="0" quotePrefix="1" applyNumberFormat="1" applyFont="1" applyFill="1" applyBorder="1" applyAlignment="1">
      <alignment horizontal="center"/>
    </xf>
    <xf numFmtId="0" fontId="35" fillId="20" borderId="6" xfId="0" applyFont="1" applyFill="1" applyBorder="1" applyAlignment="1">
      <alignment horizontal="left"/>
    </xf>
    <xf numFmtId="49" fontId="35" fillId="20" borderId="6" xfId="0" quotePrefix="1" applyNumberFormat="1" applyFont="1" applyFill="1" applyBorder="1" applyAlignment="1">
      <alignment horizontal="center"/>
    </xf>
    <xf numFmtId="0" fontId="35" fillId="20" borderId="6" xfId="0" quotePrefix="1" applyFont="1" applyFill="1" applyBorder="1" applyAlignment="1">
      <alignment horizontal="center"/>
    </xf>
    <xf numFmtId="164" fontId="35" fillId="20" borderId="6" xfId="2" applyNumberFormat="1" applyFont="1" applyFill="1" applyBorder="1" applyAlignment="1"/>
    <xf numFmtId="164" fontId="35" fillId="20" borderId="6" xfId="2" applyNumberFormat="1" applyFont="1" applyFill="1" applyBorder="1"/>
    <xf numFmtId="0" fontId="35" fillId="20" borderId="0" xfId="0" applyFont="1" applyFill="1"/>
    <xf numFmtId="0" fontId="4" fillId="20" borderId="0" xfId="0" applyFont="1" applyFill="1"/>
    <xf numFmtId="0" fontId="25" fillId="22" borderId="6" xfId="0" applyFont="1" applyFill="1" applyBorder="1" applyAlignment="1"/>
    <xf numFmtId="3" fontId="25" fillId="22" borderId="6" xfId="0" quotePrefix="1" applyNumberFormat="1" applyFont="1" applyFill="1" applyBorder="1" applyAlignment="1">
      <alignment horizontal="center"/>
    </xf>
    <xf numFmtId="0" fontId="25" fillId="22" borderId="6" xfId="0" applyFont="1" applyFill="1" applyBorder="1" applyAlignment="1">
      <alignment horizontal="left"/>
    </xf>
    <xf numFmtId="0" fontId="25" fillId="22" borderId="6" xfId="0" applyFont="1" applyFill="1" applyBorder="1" applyAlignment="1">
      <alignment horizontal="center"/>
    </xf>
    <xf numFmtId="164" fontId="35" fillId="22" borderId="6" xfId="2" applyNumberFormat="1" applyFont="1" applyFill="1" applyBorder="1"/>
    <xf numFmtId="164" fontId="25" fillId="22" borderId="6" xfId="2" applyNumberFormat="1" applyFont="1" applyFill="1" applyBorder="1"/>
    <xf numFmtId="164" fontId="35" fillId="22" borderId="6" xfId="2" applyNumberFormat="1" applyFont="1" applyFill="1" applyBorder="1" applyAlignment="1">
      <alignment vertical="center"/>
    </xf>
    <xf numFmtId="164" fontId="25" fillId="22" borderId="6" xfId="2" applyNumberFormat="1" applyFont="1" applyFill="1" applyBorder="1" applyAlignment="1"/>
    <xf numFmtId="0" fontId="25" fillId="22" borderId="0" xfId="0" applyFont="1" applyFill="1"/>
    <xf numFmtId="0" fontId="3" fillId="22" borderId="0" xfId="0" applyFont="1" applyFill="1"/>
    <xf numFmtId="0" fontId="98" fillId="29" borderId="6" xfId="0" applyFont="1" applyFill="1" applyBorder="1" applyAlignment="1">
      <alignment horizontal="left"/>
    </xf>
    <xf numFmtId="49" fontId="98" fillId="29" borderId="6" xfId="0" quotePrefix="1" applyNumberFormat="1" applyFont="1" applyFill="1" applyBorder="1" applyAlignment="1">
      <alignment horizontal="center"/>
    </xf>
    <xf numFmtId="0" fontId="98" fillId="29" borderId="6" xfId="0" applyFont="1" applyFill="1" applyBorder="1" applyAlignment="1">
      <alignment horizontal="center"/>
    </xf>
    <xf numFmtId="164" fontId="98" fillId="29" borderId="6" xfId="2" applyNumberFormat="1" applyFont="1" applyFill="1" applyBorder="1" applyAlignment="1"/>
    <xf numFmtId="164" fontId="98" fillId="29" borderId="6" xfId="2" applyNumberFormat="1" applyFont="1" applyFill="1" applyBorder="1" applyAlignment="1">
      <alignment vertical="center"/>
    </xf>
    <xf numFmtId="0" fontId="98" fillId="29" borderId="0" xfId="0" applyFont="1" applyFill="1"/>
    <xf numFmtId="0" fontId="99" fillId="29" borderId="0" xfId="0" applyFont="1" applyFill="1"/>
    <xf numFmtId="0" fontId="98" fillId="29" borderId="6" xfId="0" quotePrefix="1" applyFont="1" applyFill="1" applyBorder="1" applyAlignment="1">
      <alignment horizontal="left"/>
    </xf>
    <xf numFmtId="0" fontId="98" fillId="29" borderId="0" xfId="0" applyFont="1" applyFill="1" applyAlignment="1">
      <alignment horizontal="center"/>
    </xf>
    <xf numFmtId="49" fontId="98" fillId="29" borderId="6" xfId="0" quotePrefix="1" applyNumberFormat="1" applyFont="1" applyFill="1" applyBorder="1" applyAlignment="1" applyProtection="1">
      <alignment horizontal="center"/>
      <protection locked="0"/>
    </xf>
    <xf numFmtId="0" fontId="98" fillId="29" borderId="6" xfId="0" quotePrefix="1" applyFont="1" applyFill="1" applyBorder="1" applyAlignment="1" applyProtection="1">
      <alignment horizontal="left"/>
      <protection locked="0"/>
    </xf>
    <xf numFmtId="0" fontId="98" fillId="29" borderId="6" xfId="0" applyFont="1" applyFill="1" applyBorder="1" applyAlignment="1" applyProtection="1">
      <alignment horizontal="center"/>
      <protection locked="0"/>
    </xf>
    <xf numFmtId="164" fontId="98" fillId="29" borderId="6" xfId="2" applyNumberFormat="1" applyFont="1" applyFill="1" applyBorder="1" applyAlignment="1" applyProtection="1">
      <protection locked="0"/>
    </xf>
    <xf numFmtId="164" fontId="98" fillId="29" borderId="6" xfId="2" applyNumberFormat="1" applyFont="1" applyFill="1" applyBorder="1"/>
    <xf numFmtId="164" fontId="98" fillId="20" borderId="6" xfId="2" applyNumberFormat="1" applyFont="1" applyFill="1" applyBorder="1" applyAlignment="1">
      <alignment vertical="center"/>
    </xf>
    <xf numFmtId="164" fontId="98" fillId="20" borderId="6" xfId="2" applyNumberFormat="1" applyFont="1" applyFill="1" applyBorder="1"/>
    <xf numFmtId="0" fontId="80" fillId="20" borderId="181" xfId="0" applyFont="1" applyFill="1" applyBorder="1"/>
    <xf numFmtId="0" fontId="35" fillId="20" borderId="6" xfId="0" applyFont="1" applyFill="1" applyBorder="1" applyAlignment="1">
      <alignment horizontal="center"/>
    </xf>
    <xf numFmtId="49" fontId="35" fillId="20" borderId="6" xfId="13" applyNumberFormat="1" applyFont="1" applyFill="1" applyBorder="1" applyAlignment="1">
      <alignment horizontal="center"/>
    </xf>
    <xf numFmtId="3" fontId="25" fillId="20" borderId="6" xfId="16" applyNumberFormat="1" applyFont="1" applyFill="1" applyBorder="1" applyAlignment="1">
      <alignment horizontal="left"/>
    </xf>
    <xf numFmtId="164" fontId="35" fillId="22" borderId="6" xfId="2" applyNumberFormat="1" applyFont="1" applyFill="1" applyBorder="1" applyAlignment="1"/>
    <xf numFmtId="49" fontId="25" fillId="22" borderId="6" xfId="0" applyNumberFormat="1" applyFont="1" applyFill="1" applyBorder="1" applyAlignment="1">
      <alignment horizontal="center"/>
    </xf>
    <xf numFmtId="49" fontId="98" fillId="29" borderId="6" xfId="0" applyNumberFormat="1" applyFont="1" applyFill="1" applyBorder="1" applyAlignment="1">
      <alignment horizontal="center"/>
    </xf>
    <xf numFmtId="0" fontId="98" fillId="29" borderId="6" xfId="0" applyFont="1" applyFill="1" applyBorder="1" applyAlignment="1">
      <alignment horizontal="left" wrapText="1"/>
    </xf>
    <xf numFmtId="3" fontId="43" fillId="0" borderId="0" xfId="16" applyNumberFormat="1" applyFont="1" applyFill="1" applyAlignment="1" applyProtection="1">
      <alignment horizontal="center" vertical="center"/>
      <protection locked="0"/>
    </xf>
    <xf numFmtId="3" fontId="43" fillId="0" borderId="0" xfId="0" applyNumberFormat="1" applyFont="1" applyAlignment="1">
      <alignment vertical="center"/>
    </xf>
    <xf numFmtId="164" fontId="43" fillId="6" borderId="6" xfId="2" applyNumberFormat="1" applyFont="1" applyFill="1" applyBorder="1" applyAlignment="1" applyProtection="1">
      <alignment horizontal="center" vertical="center"/>
      <protection hidden="1"/>
    </xf>
    <xf numFmtId="166" fontId="43" fillId="6" borderId="6" xfId="2" applyNumberFormat="1" applyFont="1" applyFill="1" applyBorder="1" applyAlignment="1">
      <alignment horizontal="center" vertical="center"/>
    </xf>
    <xf numFmtId="3" fontId="43" fillId="6" borderId="65" xfId="0" applyNumberFormat="1" applyFont="1" applyFill="1" applyBorder="1" applyAlignment="1" applyProtection="1">
      <alignment horizontal="center" vertical="center"/>
      <protection hidden="1"/>
    </xf>
    <xf numFmtId="164" fontId="43" fillId="6" borderId="6" xfId="2" applyNumberFormat="1" applyFont="1" applyFill="1" applyBorder="1" applyAlignment="1" applyProtection="1">
      <alignment vertical="center"/>
      <protection hidden="1"/>
    </xf>
    <xf numFmtId="164" fontId="43" fillId="6" borderId="6" xfId="2" applyNumberFormat="1" applyFont="1" applyFill="1" applyBorder="1" applyAlignment="1">
      <alignment vertical="center"/>
    </xf>
    <xf numFmtId="164" fontId="43" fillId="6" borderId="65" xfId="2" applyNumberFormat="1" applyFont="1" applyFill="1" applyBorder="1" applyAlignment="1">
      <alignment vertical="center"/>
    </xf>
    <xf numFmtId="3" fontId="43" fillId="6" borderId="6" xfId="15" applyNumberFormat="1" applyFont="1" applyFill="1" applyBorder="1" applyAlignment="1" applyProtection="1">
      <alignment horizontal="right" vertical="center"/>
      <protection hidden="1"/>
    </xf>
    <xf numFmtId="3" fontId="43" fillId="0" borderId="0" xfId="16" applyNumberFormat="1" applyFont="1" applyFill="1" applyAlignment="1" applyProtection="1">
      <alignment vertical="center"/>
      <protection locked="0"/>
    </xf>
    <xf numFmtId="0" fontId="106" fillId="20" borderId="6" xfId="0" applyFont="1" applyFill="1" applyBorder="1" applyAlignment="1">
      <alignment horizontal="left"/>
    </xf>
    <xf numFmtId="49" fontId="106" fillId="20" borderId="6" xfId="0" quotePrefix="1" applyNumberFormat="1" applyFont="1" applyFill="1" applyBorder="1" applyAlignment="1">
      <alignment horizontal="center"/>
    </xf>
    <xf numFmtId="0" fontId="106" fillId="20" borderId="6" xfId="0" applyFont="1" applyFill="1" applyBorder="1" applyAlignment="1">
      <alignment horizontal="left" wrapText="1"/>
    </xf>
    <xf numFmtId="0" fontId="106" fillId="20" borderId="6" xfId="0" applyFont="1" applyFill="1" applyBorder="1" applyAlignment="1">
      <alignment horizontal="center"/>
    </xf>
    <xf numFmtId="164" fontId="106" fillId="20" borderId="6" xfId="2" applyNumberFormat="1" applyFont="1" applyFill="1" applyBorder="1"/>
    <xf numFmtId="164" fontId="106" fillId="20" borderId="6" xfId="2" applyNumberFormat="1" applyFont="1" applyFill="1" applyBorder="1" applyAlignment="1">
      <alignment vertical="center"/>
    </xf>
    <xf numFmtId="0" fontId="106" fillId="20" borderId="0" xfId="0" applyFont="1" applyFill="1" applyAlignment="1">
      <alignment horizontal="center"/>
    </xf>
    <xf numFmtId="0" fontId="107" fillId="20" borderId="0" xfId="0" applyFont="1" applyFill="1"/>
    <xf numFmtId="0" fontId="35" fillId="20" borderId="6" xfId="0" applyFont="1" applyFill="1" applyBorder="1" applyAlignment="1">
      <alignment horizontal="left" wrapText="1"/>
    </xf>
    <xf numFmtId="164" fontId="35" fillId="20" borderId="6" xfId="2" applyNumberFormat="1" applyFont="1" applyFill="1" applyBorder="1" applyAlignment="1">
      <alignment vertical="center"/>
    </xf>
    <xf numFmtId="0" fontId="98" fillId="20" borderId="6" xfId="0" applyFont="1" applyFill="1" applyBorder="1" applyAlignment="1">
      <alignment horizontal="left"/>
    </xf>
    <xf numFmtId="49" fontId="98" fillId="20" borderId="6" xfId="0" quotePrefix="1" applyNumberFormat="1" applyFont="1" applyFill="1" applyBorder="1" applyAlignment="1">
      <alignment horizontal="center"/>
    </xf>
    <xf numFmtId="0" fontId="98" fillId="20" borderId="6" xfId="0" applyFont="1" applyFill="1" applyBorder="1" applyAlignment="1">
      <alignment horizontal="left" wrapText="1"/>
    </xf>
    <xf numFmtId="0" fontId="98" fillId="20" borderId="6" xfId="0" applyFont="1" applyFill="1" applyBorder="1" applyAlignment="1">
      <alignment horizontal="center"/>
    </xf>
    <xf numFmtId="0" fontId="98" fillId="20" borderId="0" xfId="0" applyFont="1" applyFill="1" applyAlignment="1">
      <alignment horizontal="center"/>
    </xf>
    <xf numFmtId="0" fontId="99" fillId="20" borderId="0" xfId="0" applyFont="1" applyFill="1"/>
    <xf numFmtId="0" fontId="98" fillId="29" borderId="6" xfId="0" applyFont="1" applyFill="1" applyBorder="1" applyAlignment="1"/>
    <xf numFmtId="0" fontId="25" fillId="20" borderId="6" xfId="0" applyFont="1" applyFill="1" applyBorder="1" applyAlignment="1"/>
    <xf numFmtId="0" fontId="25" fillId="20" borderId="6" xfId="0" quotePrefix="1" applyFont="1" applyFill="1" applyBorder="1" applyAlignment="1">
      <alignment horizontal="left"/>
    </xf>
    <xf numFmtId="0" fontId="25" fillId="0" borderId="7" xfId="2" applyNumberFormat="1" applyFont="1" applyFill="1" applyBorder="1" applyAlignment="1" applyProtection="1"/>
    <xf numFmtId="0" fontId="98" fillId="22" borderId="6" xfId="0" applyFont="1" applyFill="1" applyBorder="1" applyAlignment="1">
      <alignment horizontal="left"/>
    </xf>
    <xf numFmtId="49" fontId="98" fillId="22" borderId="6" xfId="0" quotePrefix="1" applyNumberFormat="1" applyFont="1" applyFill="1" applyBorder="1" applyAlignment="1">
      <alignment horizontal="center"/>
    </xf>
    <xf numFmtId="0" fontId="98" fillId="22" borderId="6" xfId="0" applyFont="1" applyFill="1" applyBorder="1" applyAlignment="1">
      <alignment horizontal="left" wrapText="1"/>
    </xf>
    <xf numFmtId="0" fontId="98" fillId="22" borderId="6" xfId="0" applyFont="1" applyFill="1" applyBorder="1" applyAlignment="1">
      <alignment horizontal="center"/>
    </xf>
    <xf numFmtId="164" fontId="98" fillId="22" borderId="6" xfId="2" applyNumberFormat="1" applyFont="1" applyFill="1" applyBorder="1"/>
    <xf numFmtId="0" fontId="98" fillId="22" borderId="0" xfId="0" applyFont="1" applyFill="1"/>
    <xf numFmtId="0" fontId="98" fillId="22" borderId="0" xfId="0" applyFont="1" applyFill="1" applyAlignment="1">
      <alignment horizontal="center"/>
    </xf>
    <xf numFmtId="0" fontId="99" fillId="22" borderId="0" xfId="0" applyFont="1" applyFill="1"/>
    <xf numFmtId="0" fontId="73" fillId="0" borderId="6" xfId="0" applyFont="1" applyFill="1" applyBorder="1" applyAlignment="1">
      <alignment horizontal="left"/>
    </xf>
    <xf numFmtId="49" fontId="3" fillId="0" borderId="6" xfId="0" quotePrefix="1" applyNumberFormat="1" applyFont="1" applyFill="1" applyBorder="1" applyAlignment="1">
      <alignment horizontal="center"/>
    </xf>
    <xf numFmtId="0" fontId="35" fillId="22" borderId="6" xfId="0" applyFont="1" applyFill="1" applyBorder="1" applyAlignment="1"/>
    <xf numFmtId="49" fontId="35" fillId="22" borderId="46" xfId="0" applyNumberFormat="1" applyFont="1" applyFill="1" applyBorder="1" applyAlignment="1">
      <alignment horizontal="center"/>
    </xf>
    <xf numFmtId="0" fontId="35" fillId="22" borderId="6" xfId="0" applyFont="1" applyFill="1" applyBorder="1" applyAlignment="1">
      <alignment horizontal="left"/>
    </xf>
    <xf numFmtId="0" fontId="35" fillId="22" borderId="6" xfId="0" applyFont="1" applyFill="1" applyBorder="1" applyAlignment="1">
      <alignment horizontal="center"/>
    </xf>
    <xf numFmtId="164" fontId="35" fillId="22" borderId="0" xfId="2" applyNumberFormat="1" applyFont="1" applyFill="1" applyBorder="1" applyAlignment="1"/>
    <xf numFmtId="0" fontId="35" fillId="22" borderId="0" xfId="0" applyFont="1" applyFill="1"/>
    <xf numFmtId="0" fontId="4" fillId="22" borderId="0" xfId="0" applyFont="1" applyFill="1"/>
    <xf numFmtId="49" fontId="108" fillId="29" borderId="6" xfId="0" applyNumberFormat="1" applyFont="1" applyFill="1" applyBorder="1" applyAlignment="1" applyProtection="1">
      <alignment horizontal="center" vertical="center"/>
    </xf>
    <xf numFmtId="3" fontId="43" fillId="0" borderId="0" xfId="16" applyNumberFormat="1" applyFont="1" applyFill="1" applyAlignment="1" applyProtection="1">
      <alignment horizontal="center"/>
      <protection locked="0"/>
    </xf>
    <xf numFmtId="3" fontId="43" fillId="0" borderId="52" xfId="15" applyNumberFormat="1" applyFont="1" applyFill="1" applyBorder="1" applyAlignment="1" applyProtection="1">
      <alignment horizontal="centerContinuous"/>
      <protection hidden="1"/>
    </xf>
    <xf numFmtId="3" fontId="43" fillId="0" borderId="59" xfId="15" applyNumberFormat="1" applyFont="1" applyFill="1" applyBorder="1" applyAlignment="1" applyProtection="1">
      <alignment horizontal="centerContinuous"/>
      <protection hidden="1"/>
    </xf>
    <xf numFmtId="3" fontId="43" fillId="0" borderId="53" xfId="15" applyNumberFormat="1" applyFont="1" applyFill="1" applyBorder="1" applyAlignment="1" applyProtection="1">
      <alignment horizontal="centerContinuous"/>
      <protection hidden="1"/>
    </xf>
    <xf numFmtId="3" fontId="43" fillId="0" borderId="59" xfId="15" applyNumberFormat="1" applyFont="1" applyFill="1" applyBorder="1" applyAlignment="1" applyProtection="1">
      <protection hidden="1"/>
    </xf>
    <xf numFmtId="3" fontId="43" fillId="0" borderId="0" xfId="16" applyNumberFormat="1" applyFont="1" applyFill="1" applyProtection="1">
      <protection locked="0"/>
    </xf>
    <xf numFmtId="0" fontId="43" fillId="0" borderId="181" xfId="0" applyFont="1" applyFill="1" applyBorder="1" applyAlignment="1" applyProtection="1">
      <alignment horizontal="center" vertical="center"/>
      <protection hidden="1"/>
    </xf>
    <xf numFmtId="49" fontId="43" fillId="6" borderId="43" xfId="15" applyNumberFormat="1" applyFont="1" applyFill="1" applyBorder="1" applyAlignment="1" applyProtection="1">
      <alignment horizontal="center" vertical="center"/>
      <protection hidden="1"/>
    </xf>
    <xf numFmtId="3" fontId="43" fillId="6" borderId="43" xfId="16" applyNumberFormat="1" applyFont="1" applyFill="1" applyBorder="1" applyAlignment="1" applyProtection="1">
      <alignment horizontal="center" vertical="center"/>
      <protection hidden="1"/>
    </xf>
    <xf numFmtId="3" fontId="43" fillId="6" borderId="82" xfId="15" applyNumberFormat="1" applyFont="1" applyFill="1" applyBorder="1" applyAlignment="1" applyProtection="1">
      <alignment horizontal="center" vertical="center"/>
      <protection hidden="1"/>
    </xf>
    <xf numFmtId="164" fontId="43" fillId="6" borderId="43" xfId="2" applyNumberFormat="1" applyFont="1" applyFill="1" applyBorder="1" applyAlignment="1">
      <alignment vertical="center"/>
    </xf>
    <xf numFmtId="164" fontId="43" fillId="6" borderId="82" xfId="2" applyNumberFormat="1" applyFont="1" applyFill="1" applyBorder="1" applyAlignment="1">
      <alignment vertical="center"/>
    </xf>
    <xf numFmtId="0" fontId="35" fillId="20" borderId="6" xfId="0" applyFont="1" applyFill="1" applyBorder="1" applyAlignment="1"/>
    <xf numFmtId="49" fontId="35" fillId="20" borderId="6" xfId="0" applyNumberFormat="1" applyFont="1" applyFill="1" applyBorder="1" applyAlignment="1">
      <alignment horizontal="center"/>
    </xf>
    <xf numFmtId="0" fontId="71" fillId="0" borderId="26" xfId="0" applyFont="1" applyBorder="1" applyAlignment="1" applyProtection="1">
      <alignment horizontal="left"/>
      <protection locked="0"/>
    </xf>
    <xf numFmtId="1" fontId="71" fillId="0" borderId="6" xfId="2" applyNumberFormat="1" applyFont="1" applyBorder="1" applyAlignment="1" applyProtection="1">
      <alignment horizontal="center"/>
      <protection hidden="1"/>
    </xf>
    <xf numFmtId="164" fontId="71" fillId="0" borderId="6" xfId="2" applyNumberFormat="1" applyFont="1" applyBorder="1" applyAlignment="1" applyProtection="1">
      <alignment horizontal="center"/>
      <protection hidden="1"/>
    </xf>
    <xf numFmtId="164" fontId="71" fillId="0" borderId="6" xfId="2" applyNumberFormat="1" applyFont="1" applyBorder="1" applyAlignment="1" applyProtection="1">
      <alignment vertical="center" wrapText="1"/>
      <protection hidden="1"/>
    </xf>
    <xf numFmtId="43" fontId="71" fillId="0" borderId="6" xfId="2" applyNumberFormat="1" applyFont="1" applyBorder="1" applyAlignment="1">
      <alignment horizontal="center" vertical="center"/>
    </xf>
    <xf numFmtId="164" fontId="71" fillId="0" borderId="6" xfId="2" applyNumberFormat="1" applyFont="1" applyBorder="1" applyAlignment="1" applyProtection="1">
      <protection hidden="1"/>
    </xf>
    <xf numFmtId="3" fontId="71" fillId="0" borderId="65" xfId="16" applyNumberFormat="1" applyFont="1" applyFill="1" applyBorder="1" applyAlignment="1" applyProtection="1">
      <alignment horizontal="right"/>
      <protection hidden="1"/>
    </xf>
    <xf numFmtId="164" fontId="71" fillId="0" borderId="6" xfId="2" applyNumberFormat="1" applyFont="1" applyBorder="1" applyAlignment="1">
      <alignment vertical="center"/>
    </xf>
    <xf numFmtId="164" fontId="71" fillId="0" borderId="65" xfId="2" applyNumberFormat="1" applyFont="1" applyBorder="1" applyAlignment="1">
      <alignment vertical="center"/>
    </xf>
    <xf numFmtId="3" fontId="71" fillId="0" borderId="6" xfId="15" applyNumberFormat="1" applyFont="1" applyFill="1" applyBorder="1" applyAlignment="1" applyProtection="1">
      <alignment horizontal="center"/>
      <protection hidden="1"/>
    </xf>
    <xf numFmtId="3" fontId="71" fillId="0" borderId="0" xfId="16" applyNumberFormat="1" applyFont="1" applyFill="1" applyProtection="1">
      <protection locked="0"/>
    </xf>
    <xf numFmtId="3" fontId="71" fillId="0" borderId="6" xfId="16" applyNumberFormat="1" applyFont="1" applyFill="1" applyBorder="1" applyAlignment="1" applyProtection="1">
      <alignment horizontal="right"/>
      <protection hidden="1"/>
    </xf>
    <xf numFmtId="0" fontId="25" fillId="20" borderId="14" xfId="0" applyFont="1" applyFill="1" applyBorder="1"/>
    <xf numFmtId="164" fontId="43" fillId="6" borderId="6" xfId="2" applyNumberFormat="1" applyFont="1" applyFill="1" applyBorder="1" applyAlignment="1">
      <alignment horizontal="center" vertical="center"/>
    </xf>
    <xf numFmtId="0" fontId="79" fillId="20" borderId="181" xfId="0" applyFont="1" applyFill="1" applyBorder="1" applyAlignment="1">
      <alignment horizontal="center" vertical="center"/>
    </xf>
    <xf numFmtId="0" fontId="92" fillId="20" borderId="181" xfId="0" applyFont="1" applyFill="1" applyBorder="1" applyAlignment="1">
      <alignment horizontal="left" vertical="center" wrapText="1"/>
    </xf>
    <xf numFmtId="0" fontId="31" fillId="0" borderId="6" xfId="0" applyFont="1" applyFill="1" applyBorder="1" applyAlignment="1" applyProtection="1">
      <alignment horizontal="left" vertical="center" wrapText="1"/>
    </xf>
    <xf numFmtId="0" fontId="72" fillId="20" borderId="6" xfId="0" applyFont="1" applyFill="1" applyBorder="1" applyAlignment="1">
      <alignment horizontal="left"/>
    </xf>
    <xf numFmtId="0" fontId="79" fillId="20" borderId="181" xfId="0" applyFont="1" applyFill="1" applyBorder="1"/>
    <xf numFmtId="0" fontId="72" fillId="20" borderId="6" xfId="0" applyFont="1" applyFill="1" applyBorder="1" applyAlignment="1">
      <alignment horizontal="left" wrapText="1"/>
    </xf>
    <xf numFmtId="0" fontId="72" fillId="20" borderId="6" xfId="0" applyFont="1" applyFill="1" applyBorder="1" applyAlignment="1">
      <alignment horizontal="center"/>
    </xf>
    <xf numFmtId="164" fontId="72" fillId="20" borderId="6" xfId="2" applyNumberFormat="1" applyFont="1" applyFill="1" applyBorder="1"/>
    <xf numFmtId="164" fontId="72" fillId="20" borderId="6" xfId="2" applyNumberFormat="1" applyFont="1" applyFill="1" applyBorder="1" applyAlignment="1"/>
    <xf numFmtId="0" fontId="72" fillId="20" borderId="0" xfId="0" applyFont="1" applyFill="1"/>
    <xf numFmtId="0" fontId="73" fillId="20" borderId="0" xfId="0" applyFont="1" applyFill="1"/>
    <xf numFmtId="3" fontId="71" fillId="24" borderId="3" xfId="16" applyNumberFormat="1" applyFont="1" applyFill="1" applyBorder="1" applyAlignment="1" applyProtection="1">
      <alignment horizontal="center"/>
    </xf>
    <xf numFmtId="3" fontId="31" fillId="24" borderId="0" xfId="16" applyNumberFormat="1" applyFont="1" applyFill="1" applyAlignment="1" applyProtection="1"/>
    <xf numFmtId="0" fontId="25" fillId="20" borderId="6" xfId="0" quotePrefix="1" applyFont="1" applyFill="1" applyBorder="1" applyAlignment="1">
      <alignment horizontal="center"/>
    </xf>
    <xf numFmtId="4" fontId="31" fillId="24" borderId="0" xfId="16" applyNumberFormat="1" applyFont="1" applyFill="1" applyAlignment="1" applyProtection="1">
      <alignment vertical="center"/>
    </xf>
    <xf numFmtId="3" fontId="71" fillId="0" borderId="0" xfId="16" applyNumberFormat="1" applyFont="1" applyFill="1" applyAlignment="1" applyProtection="1">
      <alignment horizontal="center"/>
      <protection locked="0"/>
    </xf>
    <xf numFmtId="3" fontId="71" fillId="0" borderId="0" xfId="16" applyNumberFormat="1" applyFont="1" applyFill="1" applyAlignment="1" applyProtection="1">
      <alignment horizontal="left"/>
      <protection locked="0"/>
    </xf>
    <xf numFmtId="165" fontId="31" fillId="24" borderId="0" xfId="16" applyNumberFormat="1" applyFont="1" applyFill="1" applyAlignment="1" applyProtection="1">
      <alignment vertical="center"/>
    </xf>
    <xf numFmtId="178" fontId="31" fillId="0" borderId="0" xfId="16" applyNumberFormat="1" applyFont="1" applyFill="1" applyProtection="1">
      <protection locked="0"/>
    </xf>
    <xf numFmtId="0" fontId="43" fillId="0" borderId="52" xfId="0" applyFont="1" applyBorder="1" applyAlignment="1">
      <alignment horizontal="left"/>
    </xf>
    <xf numFmtId="0" fontId="43" fillId="0" borderId="182" xfId="0" applyFont="1" applyBorder="1" applyAlignment="1">
      <alignment vertical="center"/>
    </xf>
    <xf numFmtId="0" fontId="43" fillId="0" borderId="183" xfId="0" applyFont="1" applyBorder="1" applyAlignment="1">
      <alignment vertical="center"/>
    </xf>
    <xf numFmtId="0" fontId="43" fillId="0" borderId="184" xfId="0" applyFont="1" applyBorder="1" applyAlignment="1">
      <alignment vertical="center"/>
    </xf>
    <xf numFmtId="0" fontId="43" fillId="0" borderId="3" xfId="0" applyFont="1" applyBorder="1" applyAlignment="1">
      <alignment horizontal="center" textRotation="90" wrapText="1"/>
    </xf>
    <xf numFmtId="164" fontId="31" fillId="20" borderId="6" xfId="2" applyNumberFormat="1" applyFont="1" applyFill="1" applyBorder="1" applyAlignment="1" applyProtection="1">
      <alignment vertical="center"/>
    </xf>
    <xf numFmtId="3" fontId="61" fillId="20" borderId="15" xfId="16" applyNumberFormat="1" applyFont="1" applyFill="1" applyBorder="1" applyAlignment="1" applyProtection="1">
      <alignment horizontal="right" vertical="center"/>
    </xf>
    <xf numFmtId="164" fontId="25" fillId="21" borderId="6" xfId="2" applyNumberFormat="1" applyFont="1" applyFill="1" applyBorder="1"/>
    <xf numFmtId="3" fontId="46" fillId="24" borderId="0" xfId="16" applyNumberFormat="1" applyFont="1" applyFill="1" applyAlignment="1" applyProtection="1">
      <alignment horizontal="center" vertical="top"/>
    </xf>
    <xf numFmtId="3" fontId="31" fillId="24" borderId="0" xfId="15" applyNumberFormat="1" applyFont="1" applyFill="1" applyAlignment="1" applyProtection="1">
      <alignment horizontal="left" vertical="top"/>
    </xf>
    <xf numFmtId="3" fontId="31" fillId="24" borderId="0" xfId="16" applyNumberFormat="1" applyFont="1" applyFill="1" applyAlignment="1" applyProtection="1">
      <alignment vertical="top"/>
    </xf>
    <xf numFmtId="4" fontId="31" fillId="24" borderId="8" xfId="13" applyNumberFormat="1" applyFont="1" applyFill="1" applyBorder="1" applyAlignment="1" applyProtection="1">
      <alignment horizontal="center" vertical="center"/>
    </xf>
    <xf numFmtId="4" fontId="31" fillId="24" borderId="181" xfId="13" applyNumberFormat="1" applyFont="1" applyFill="1" applyBorder="1" applyAlignment="1" applyProtection="1">
      <alignment horizontal="center" vertical="center"/>
    </xf>
    <xf numFmtId="165" fontId="31" fillId="24" borderId="6" xfId="16" applyNumberFormat="1" applyFont="1" applyFill="1" applyBorder="1" applyAlignment="1" applyProtection="1">
      <alignment vertical="center"/>
    </xf>
    <xf numFmtId="3" fontId="31" fillId="0" borderId="181" xfId="15" applyNumberFormat="1" applyFont="1" applyFill="1" applyBorder="1" applyAlignment="1" applyProtection="1">
      <alignment horizontal="center"/>
      <protection hidden="1"/>
    </xf>
    <xf numFmtId="164" fontId="31" fillId="0" borderId="181" xfId="2" applyNumberFormat="1" applyFont="1" applyFill="1" applyBorder="1" applyProtection="1">
      <protection hidden="1"/>
    </xf>
    <xf numFmtId="3" fontId="43" fillId="0" borderId="183" xfId="15" applyNumberFormat="1" applyFont="1" applyFill="1" applyBorder="1" applyAlignment="1" applyProtection="1">
      <alignment horizontal="left"/>
      <protection hidden="1"/>
    </xf>
    <xf numFmtId="164" fontId="31" fillId="0" borderId="183" xfId="2" applyNumberFormat="1" applyFont="1" applyBorder="1" applyAlignment="1">
      <alignment vertical="center"/>
    </xf>
    <xf numFmtId="3" fontId="43" fillId="0" borderId="184" xfId="15" applyNumberFormat="1" applyFont="1" applyFill="1" applyBorder="1" applyAlignment="1" applyProtection="1">
      <alignment horizontal="left"/>
      <protection hidden="1"/>
    </xf>
    <xf numFmtId="0" fontId="25" fillId="0" borderId="3" xfId="2" applyNumberFormat="1" applyFont="1" applyFill="1" applyBorder="1" applyAlignment="1" applyProtection="1">
      <alignment horizontal="center" textRotation="90"/>
    </xf>
    <xf numFmtId="0" fontId="43" fillId="0" borderId="41" xfId="2" applyNumberFormat="1" applyFont="1" applyFill="1" applyBorder="1" applyAlignment="1" applyProtection="1">
      <alignment horizontal="center"/>
      <protection locked="0"/>
    </xf>
    <xf numFmtId="0" fontId="31" fillId="0" borderId="0" xfId="12" applyNumberFormat="1" applyFont="1" applyFill="1" applyAlignment="1" applyProtection="1">
      <alignment horizontal="center"/>
      <protection locked="0"/>
    </xf>
    <xf numFmtId="0" fontId="31" fillId="0" borderId="3" xfId="2" applyNumberFormat="1" applyFont="1" applyFill="1" applyBorder="1" applyAlignment="1" applyProtection="1">
      <alignment horizontal="center" textRotation="90"/>
    </xf>
    <xf numFmtId="177" fontId="31" fillId="0" borderId="27" xfId="0" applyNumberFormat="1" applyFont="1" applyFill="1" applyBorder="1" applyAlignment="1" applyProtection="1">
      <alignment horizontal="center" vertical="center"/>
      <protection hidden="1"/>
    </xf>
    <xf numFmtId="0" fontId="43" fillId="0" borderId="0" xfId="12" applyNumberFormat="1" applyFont="1" applyFill="1" applyAlignment="1" applyProtection="1">
      <alignment horizontal="center" vertical="center"/>
      <protection locked="0"/>
    </xf>
    <xf numFmtId="173" fontId="31" fillId="0" borderId="27" xfId="0" applyNumberFormat="1" applyFont="1" applyFill="1" applyBorder="1" applyAlignment="1" applyProtection="1">
      <alignment horizontal="center" vertical="center"/>
      <protection hidden="1"/>
    </xf>
    <xf numFmtId="0" fontId="43" fillId="0" borderId="51" xfId="0" applyFont="1" applyFill="1" applyBorder="1" applyAlignment="1" applyProtection="1">
      <alignment horizontal="center" vertical="center"/>
      <protection hidden="1"/>
    </xf>
    <xf numFmtId="0" fontId="31" fillId="0" borderId="178" xfId="2" applyNumberFormat="1" applyFont="1" applyFill="1" applyBorder="1" applyAlignment="1" applyProtection="1">
      <alignment horizontal="center" textRotation="90"/>
    </xf>
    <xf numFmtId="0" fontId="43" fillId="0" borderId="197" xfId="12" applyNumberFormat="1" applyFont="1" applyFill="1" applyBorder="1" applyAlignment="1" applyProtection="1">
      <alignment horizontal="center" vertical="center"/>
      <protection locked="0"/>
    </xf>
    <xf numFmtId="0" fontId="31" fillId="0" borderId="0" xfId="12" applyNumberFormat="1" applyFont="1" applyFill="1" applyAlignment="1" applyProtection="1">
      <alignment horizontal="center"/>
      <protection locked="0"/>
    </xf>
    <xf numFmtId="173" fontId="31" fillId="0" borderId="27" xfId="0" applyNumberFormat="1" applyFont="1" applyFill="1" applyBorder="1" applyAlignment="1" applyProtection="1">
      <alignment horizontal="center"/>
      <protection hidden="1"/>
    </xf>
    <xf numFmtId="0" fontId="31" fillId="20" borderId="27" xfId="0" applyFont="1" applyFill="1" applyBorder="1" applyAlignment="1" applyProtection="1">
      <alignment horizontal="center" vertical="center"/>
      <protection locked="0"/>
    </xf>
    <xf numFmtId="168" fontId="31" fillId="20" borderId="14" xfId="2" applyNumberFormat="1" applyFont="1" applyFill="1" applyBorder="1" applyAlignment="1" applyProtection="1">
      <alignment horizontal="center" vertical="center"/>
      <protection locked="0"/>
    </xf>
    <xf numFmtId="168" fontId="31" fillId="20" borderId="6" xfId="0" applyNumberFormat="1" applyFont="1" applyFill="1" applyBorder="1" applyAlignment="1" applyProtection="1">
      <alignment horizontal="center" vertical="center"/>
      <protection locked="0"/>
    </xf>
    <xf numFmtId="168" fontId="31" fillId="20" borderId="15" xfId="0" applyNumberFormat="1" applyFont="1" applyFill="1" applyBorder="1" applyAlignment="1" applyProtection="1">
      <alignment horizontal="center" vertical="center"/>
      <protection locked="0"/>
    </xf>
    <xf numFmtId="168" fontId="31" fillId="20" borderId="20" xfId="0" applyNumberFormat="1" applyFont="1" applyFill="1" applyBorder="1" applyAlignment="1" applyProtection="1">
      <alignment horizontal="center" vertical="center"/>
      <protection locked="0"/>
    </xf>
    <xf numFmtId="168" fontId="71" fillId="20" borderId="6" xfId="0" applyNumberFormat="1" applyFont="1" applyFill="1" applyBorder="1" applyAlignment="1" applyProtection="1">
      <alignment horizontal="center" vertical="center"/>
      <protection locked="0"/>
    </xf>
    <xf numFmtId="168" fontId="31" fillId="20" borderId="14" xfId="12" applyNumberFormat="1" applyFont="1" applyFill="1" applyBorder="1" applyAlignment="1" applyProtection="1">
      <alignment horizontal="center" vertical="center"/>
      <protection locked="0"/>
    </xf>
    <xf numFmtId="168" fontId="31" fillId="20" borderId="6" xfId="12" applyNumberFormat="1" applyFont="1" applyFill="1" applyBorder="1" applyAlignment="1" applyProtection="1">
      <alignment horizontal="center" vertical="center"/>
      <protection locked="0"/>
    </xf>
    <xf numFmtId="168" fontId="71" fillId="20" borderId="14" xfId="12" applyNumberFormat="1" applyFont="1" applyFill="1" applyBorder="1" applyAlignment="1" applyProtection="1">
      <alignment horizontal="center" vertical="center"/>
      <protection locked="0"/>
    </xf>
    <xf numFmtId="168" fontId="31" fillId="20" borderId="45" xfId="2" applyNumberFormat="1" applyFont="1" applyFill="1" applyBorder="1" applyAlignment="1" applyProtection="1">
      <alignment horizontal="center"/>
      <protection locked="0"/>
    </xf>
    <xf numFmtId="168" fontId="31" fillId="20" borderId="0" xfId="12" applyNumberFormat="1" applyFont="1" applyFill="1" applyAlignment="1" applyProtection="1">
      <alignment horizontal="center"/>
      <protection locked="0"/>
    </xf>
    <xf numFmtId="168" fontId="31" fillId="20" borderId="6" xfId="2" applyNumberFormat="1" applyFont="1" applyFill="1" applyBorder="1" applyAlignment="1" applyProtection="1">
      <alignment horizontal="center" vertical="center"/>
      <protection locked="0"/>
    </xf>
    <xf numFmtId="168" fontId="31" fillId="20" borderId="37" xfId="2" applyNumberFormat="1" applyFont="1" applyFill="1" applyBorder="1" applyAlignment="1" applyProtection="1">
      <alignment horizontal="center" wrapText="1"/>
      <protection locked="0"/>
    </xf>
    <xf numFmtId="0" fontId="71" fillId="20" borderId="27" xfId="0" applyFont="1" applyFill="1" applyBorder="1" applyAlignment="1" applyProtection="1">
      <alignment horizontal="center" vertical="center"/>
      <protection locked="0"/>
    </xf>
    <xf numFmtId="168" fontId="71" fillId="20" borderId="14" xfId="2" applyNumberFormat="1" applyFont="1" applyFill="1" applyBorder="1" applyAlignment="1" applyProtection="1">
      <alignment horizontal="center" vertical="center"/>
      <protection locked="0"/>
    </xf>
    <xf numFmtId="168" fontId="71" fillId="20" borderId="15" xfId="0" applyNumberFormat="1" applyFont="1" applyFill="1" applyBorder="1" applyAlignment="1" applyProtection="1">
      <alignment horizontal="center" vertical="center"/>
      <protection locked="0"/>
    </xf>
    <xf numFmtId="168" fontId="71" fillId="20" borderId="20" xfId="0" applyNumberFormat="1" applyFont="1" applyFill="1" applyBorder="1" applyAlignment="1" applyProtection="1">
      <alignment horizontal="center" vertical="center"/>
      <protection locked="0"/>
    </xf>
    <xf numFmtId="168" fontId="71" fillId="20" borderId="6" xfId="12" applyNumberFormat="1" applyFont="1" applyFill="1" applyBorder="1" applyAlignment="1" applyProtection="1">
      <alignment horizontal="center" vertical="center"/>
      <protection locked="0"/>
    </xf>
    <xf numFmtId="168" fontId="71" fillId="20" borderId="45" xfId="2" applyNumberFormat="1" applyFont="1" applyFill="1" applyBorder="1" applyAlignment="1" applyProtection="1">
      <alignment horizontal="center"/>
      <protection locked="0"/>
    </xf>
    <xf numFmtId="168" fontId="71" fillId="20" borderId="0" xfId="12" applyNumberFormat="1" applyFont="1" applyFill="1" applyAlignment="1" applyProtection="1">
      <alignment horizontal="center"/>
      <protection locked="0"/>
    </xf>
    <xf numFmtId="0" fontId="31" fillId="20" borderId="27" xfId="0" applyFont="1" applyFill="1" applyBorder="1" applyAlignment="1" applyProtection="1">
      <alignment horizontal="center" vertical="center" wrapText="1"/>
      <protection locked="0"/>
    </xf>
    <xf numFmtId="168" fontId="31" fillId="20" borderId="14" xfId="2" applyNumberFormat="1" applyFont="1" applyFill="1" applyBorder="1" applyAlignment="1" applyProtection="1">
      <alignment horizontal="center" vertical="center" wrapText="1"/>
      <protection locked="0"/>
    </xf>
    <xf numFmtId="168" fontId="31" fillId="20" borderId="6" xfId="2" applyNumberFormat="1" applyFont="1" applyFill="1" applyBorder="1" applyAlignment="1" applyProtection="1">
      <alignment horizontal="center" vertical="center" wrapText="1"/>
      <protection locked="0"/>
    </xf>
    <xf numFmtId="168" fontId="31" fillId="20" borderId="6" xfId="0" applyNumberFormat="1" applyFont="1" applyFill="1" applyBorder="1" applyAlignment="1" applyProtection="1">
      <alignment horizontal="center" vertical="center" wrapText="1"/>
      <protection locked="0"/>
    </xf>
    <xf numFmtId="168" fontId="31" fillId="20" borderId="15" xfId="0" applyNumberFormat="1" applyFont="1" applyFill="1" applyBorder="1" applyAlignment="1" applyProtection="1">
      <alignment horizontal="center" vertical="center" wrapText="1"/>
      <protection locked="0"/>
    </xf>
    <xf numFmtId="168" fontId="31" fillId="20" borderId="20" xfId="0" applyNumberFormat="1" applyFont="1" applyFill="1" applyBorder="1" applyAlignment="1" applyProtection="1">
      <alignment horizontal="center" vertical="center" wrapText="1"/>
      <protection locked="0"/>
    </xf>
    <xf numFmtId="168" fontId="71" fillId="20" borderId="6" xfId="0" applyNumberFormat="1" applyFont="1" applyFill="1" applyBorder="1" applyAlignment="1" applyProtection="1">
      <alignment horizontal="center" vertical="center" wrapText="1"/>
      <protection locked="0"/>
    </xf>
    <xf numFmtId="168" fontId="31" fillId="20" borderId="6" xfId="12" applyNumberFormat="1" applyFont="1" applyFill="1" applyBorder="1" applyAlignment="1" applyProtection="1">
      <alignment horizontal="center" vertical="center" wrapText="1"/>
      <protection locked="0"/>
    </xf>
    <xf numFmtId="168" fontId="31" fillId="20" borderId="14" xfId="12" applyNumberFormat="1" applyFont="1" applyFill="1" applyBorder="1" applyAlignment="1" applyProtection="1">
      <alignment horizontal="center" vertical="center" wrapText="1"/>
      <protection locked="0"/>
    </xf>
    <xf numFmtId="168" fontId="71" fillId="20" borderId="14" xfId="12" applyNumberFormat="1" applyFont="1" applyFill="1" applyBorder="1" applyAlignment="1" applyProtection="1">
      <alignment horizontal="center" vertical="center" wrapText="1"/>
      <protection locked="0"/>
    </xf>
    <xf numFmtId="168" fontId="31" fillId="20" borderId="0" xfId="12" applyNumberFormat="1" applyFont="1" applyFill="1" applyAlignment="1" applyProtection="1">
      <alignment horizontal="center" wrapText="1"/>
      <protection locked="0"/>
    </xf>
    <xf numFmtId="0" fontId="25" fillId="0" borderId="53" xfId="2" applyNumberFormat="1" applyFont="1" applyFill="1" applyBorder="1" applyAlignment="1" applyProtection="1">
      <alignment horizontal="center" textRotation="90"/>
    </xf>
    <xf numFmtId="0" fontId="31" fillId="0" borderId="0" xfId="12" applyNumberFormat="1" applyFont="1" applyFill="1" applyAlignment="1" applyProtection="1">
      <alignment horizontal="center"/>
      <protection locked="0"/>
    </xf>
    <xf numFmtId="167" fontId="43" fillId="30" borderId="6" xfId="2" applyNumberFormat="1" applyFont="1" applyFill="1" applyBorder="1" applyProtection="1">
      <protection hidden="1"/>
    </xf>
    <xf numFmtId="167" fontId="31" fillId="30" borderId="6" xfId="2" applyNumberFormat="1" applyFont="1" applyFill="1" applyBorder="1" applyProtection="1">
      <protection hidden="1"/>
    </xf>
    <xf numFmtId="0" fontId="81" fillId="20" borderId="27" xfId="0" applyFont="1" applyFill="1" applyBorder="1" applyAlignment="1" applyProtection="1">
      <alignment horizontal="center" vertical="center"/>
      <protection locked="0"/>
    </xf>
    <xf numFmtId="168" fontId="43" fillId="0" borderId="171" xfId="12" applyNumberFormat="1" applyFont="1" applyFill="1" applyBorder="1" applyAlignment="1" applyProtection="1">
      <alignment horizontal="center" vertical="center"/>
      <protection locked="0"/>
    </xf>
    <xf numFmtId="167" fontId="43" fillId="20" borderId="6" xfId="2" applyNumberFormat="1" applyFont="1" applyFill="1" applyBorder="1" applyProtection="1">
      <protection hidden="1"/>
    </xf>
    <xf numFmtId="164" fontId="43" fillId="0" borderId="6" xfId="2" applyNumberFormat="1" applyFont="1" applyFill="1" applyBorder="1" applyAlignment="1" applyProtection="1">
      <alignment horizontal="right"/>
      <protection hidden="1"/>
    </xf>
    <xf numFmtId="0" fontId="25" fillId="0" borderId="181" xfId="2" applyNumberFormat="1" applyFont="1" applyFill="1" applyBorder="1" applyAlignment="1" applyProtection="1">
      <alignment horizontal="center" textRotation="90"/>
    </xf>
    <xf numFmtId="0" fontId="31" fillId="0" borderId="181" xfId="2" applyNumberFormat="1" applyFont="1" applyFill="1" applyBorder="1" applyAlignment="1" applyProtection="1">
      <alignment horizontal="center" textRotation="90"/>
    </xf>
    <xf numFmtId="0" fontId="25" fillId="0" borderId="181" xfId="2" quotePrefix="1" applyNumberFormat="1" applyFont="1" applyFill="1" applyBorder="1" applyAlignment="1" applyProtection="1">
      <alignment horizontal="center" textRotation="90"/>
    </xf>
    <xf numFmtId="0" fontId="39" fillId="0" borderId="0" xfId="12" applyNumberFormat="1" applyFont="1" applyFill="1" applyAlignment="1">
      <alignment horizontal="center" vertical="top"/>
    </xf>
    <xf numFmtId="0" fontId="25" fillId="31" borderId="6" xfId="0" applyFont="1" applyFill="1" applyBorder="1" applyAlignment="1" applyProtection="1">
      <alignment horizontal="left"/>
      <protection locked="0"/>
    </xf>
    <xf numFmtId="49" fontId="25" fillId="31" borderId="6" xfId="0" applyNumberFormat="1" applyFont="1" applyFill="1" applyBorder="1" applyAlignment="1" applyProtection="1">
      <alignment horizontal="center"/>
      <protection locked="0"/>
    </xf>
    <xf numFmtId="0" fontId="25" fillId="31" borderId="14" xfId="0" applyFont="1" applyFill="1" applyBorder="1" applyProtection="1">
      <protection locked="0"/>
    </xf>
    <xf numFmtId="0" fontId="25" fillId="31" borderId="6" xfId="0" applyFont="1" applyFill="1" applyBorder="1" applyAlignment="1" applyProtection="1">
      <alignment horizontal="center"/>
      <protection locked="0"/>
    </xf>
    <xf numFmtId="164" fontId="25" fillId="31" borderId="6" xfId="2" applyNumberFormat="1" applyFont="1" applyFill="1" applyBorder="1" applyAlignment="1" applyProtection="1">
      <protection locked="0"/>
    </xf>
    <xf numFmtId="164" fontId="25" fillId="31" borderId="6" xfId="2" applyNumberFormat="1" applyFont="1" applyFill="1" applyBorder="1" applyProtection="1">
      <protection locked="0"/>
    </xf>
    <xf numFmtId="0" fontId="25" fillId="31" borderId="0" xfId="0" applyFont="1" applyFill="1"/>
    <xf numFmtId="0" fontId="3" fillId="31" borderId="0" xfId="0" applyFont="1" applyFill="1"/>
    <xf numFmtId="0" fontId="25" fillId="31" borderId="6" xfId="0" applyFont="1" applyFill="1" applyBorder="1" applyAlignment="1">
      <alignment horizontal="left"/>
    </xf>
    <xf numFmtId="49" fontId="25" fillId="31" borderId="6" xfId="0" quotePrefix="1" applyNumberFormat="1" applyFont="1" applyFill="1" applyBorder="1" applyAlignment="1">
      <alignment horizontal="center"/>
    </xf>
    <xf numFmtId="0" fontId="25" fillId="31" borderId="6" xfId="0" applyFont="1" applyFill="1" applyBorder="1" applyAlignment="1">
      <alignment horizontal="center"/>
    </xf>
    <xf numFmtId="164" fontId="25" fillId="31" borderId="6" xfId="2" applyNumberFormat="1" applyFont="1" applyFill="1" applyBorder="1" applyAlignment="1"/>
    <xf numFmtId="164" fontId="25" fillId="31" borderId="6" xfId="2" applyNumberFormat="1" applyFont="1" applyFill="1" applyBorder="1"/>
    <xf numFmtId="0" fontId="25" fillId="31" borderId="6" xfId="0" quotePrefix="1" applyFont="1" applyFill="1" applyBorder="1" applyAlignment="1">
      <alignment horizontal="left"/>
    </xf>
    <xf numFmtId="0" fontId="25" fillId="31" borderId="6" xfId="0" applyFont="1" applyFill="1" applyBorder="1" applyAlignment="1"/>
    <xf numFmtId="0" fontId="3" fillId="31" borderId="0" xfId="0" applyFont="1" applyFill="1" applyAlignment="1">
      <alignment horizontal="left"/>
    </xf>
    <xf numFmtId="0" fontId="35" fillId="31" borderId="6" xfId="0" applyFont="1" applyFill="1" applyBorder="1" applyAlignment="1"/>
    <xf numFmtId="49" fontId="111" fillId="31" borderId="6" xfId="0" quotePrefix="1" applyNumberFormat="1" applyFont="1" applyFill="1" applyBorder="1" applyAlignment="1" applyProtection="1">
      <alignment horizontal="center"/>
      <protection locked="0"/>
    </xf>
    <xf numFmtId="0" fontId="35" fillId="31" borderId="6" xfId="0" quotePrefix="1" applyFont="1" applyFill="1" applyBorder="1" applyAlignment="1">
      <alignment horizontal="left"/>
    </xf>
    <xf numFmtId="0" fontId="35" fillId="31" borderId="6" xfId="0" applyFont="1" applyFill="1" applyBorder="1" applyAlignment="1">
      <alignment horizontal="center"/>
    </xf>
    <xf numFmtId="164" fontId="35" fillId="31" borderId="6" xfId="2" applyNumberFormat="1" applyFont="1" applyFill="1" applyBorder="1" applyAlignment="1"/>
    <xf numFmtId="164" fontId="35" fillId="31" borderId="14" xfId="2" applyNumberFormat="1" applyFont="1" applyFill="1" applyBorder="1" applyAlignment="1"/>
    <xf numFmtId="164" fontId="35" fillId="31" borderId="6" xfId="2" applyNumberFormat="1" applyFont="1" applyFill="1" applyBorder="1" applyAlignment="1">
      <alignment vertical="center"/>
    </xf>
    <xf numFmtId="164" fontId="35" fillId="31" borderId="14" xfId="2" applyNumberFormat="1" applyFont="1" applyFill="1" applyBorder="1"/>
    <xf numFmtId="0" fontId="35" fillId="31" borderId="0" xfId="0" applyFont="1" applyFill="1"/>
    <xf numFmtId="0" fontId="4" fillId="31" borderId="0" xfId="0" applyFont="1" applyFill="1" applyAlignment="1">
      <alignment horizontal="left"/>
    </xf>
    <xf numFmtId="0" fontId="4" fillId="31" borderId="0" xfId="0" applyFont="1" applyFill="1" applyAlignment="1">
      <alignment horizontal="left" vertical="center"/>
    </xf>
    <xf numFmtId="164" fontId="4" fillId="31" borderId="0" xfId="2" applyNumberFormat="1" applyFont="1" applyFill="1" applyAlignment="1">
      <alignment horizontal="left" vertical="center"/>
    </xf>
    <xf numFmtId="0" fontId="4" fillId="31" borderId="0" xfId="0" applyFont="1" applyFill="1"/>
    <xf numFmtId="0" fontId="2" fillId="31" borderId="192" xfId="0" applyFont="1" applyFill="1" applyBorder="1" applyAlignment="1" applyProtection="1">
      <alignment horizontal="center" vertical="center"/>
    </xf>
    <xf numFmtId="0" fontId="2" fillId="31" borderId="192" xfId="0" applyFont="1" applyFill="1" applyBorder="1" applyAlignment="1" applyProtection="1">
      <alignment vertical="center" wrapText="1"/>
    </xf>
    <xf numFmtId="182" fontId="2" fillId="31" borderId="192" xfId="0" applyNumberFormat="1" applyFont="1" applyFill="1" applyBorder="1" applyAlignment="1" applyProtection="1">
      <alignment horizontal="center"/>
    </xf>
    <xf numFmtId="183" fontId="2" fillId="31" borderId="191" xfId="0" applyNumberFormat="1" applyFont="1" applyFill="1" applyBorder="1" applyAlignment="1" applyProtection="1">
      <alignment vertical="center"/>
    </xf>
    <xf numFmtId="0" fontId="100" fillId="31" borderId="192" xfId="0" applyFont="1" applyFill="1" applyBorder="1" applyAlignment="1" applyProtection="1">
      <alignment horizontal="center" vertical="center"/>
    </xf>
    <xf numFmtId="49" fontId="25" fillId="31" borderId="6" xfId="0" applyNumberFormat="1" applyFont="1" applyFill="1" applyBorder="1" applyAlignment="1">
      <alignment horizontal="center"/>
    </xf>
    <xf numFmtId="0" fontId="2" fillId="31" borderId="193" xfId="0" applyFont="1" applyFill="1" applyBorder="1" applyAlignment="1" applyProtection="1">
      <alignment horizontal="center" vertical="center"/>
    </xf>
    <xf numFmtId="0" fontId="2" fillId="31" borderId="193" xfId="0" applyFont="1" applyFill="1" applyBorder="1" applyAlignment="1" applyProtection="1">
      <alignment vertical="center" wrapText="1"/>
    </xf>
    <xf numFmtId="182" fontId="2" fillId="31" borderId="193" xfId="0" applyNumberFormat="1" applyFont="1" applyFill="1" applyBorder="1" applyAlignment="1" applyProtection="1">
      <alignment horizontal="center"/>
    </xf>
    <xf numFmtId="0" fontId="100" fillId="31" borderId="193" xfId="0" applyFont="1" applyFill="1" applyBorder="1" applyAlignment="1" applyProtection="1">
      <alignment horizontal="center" vertical="center"/>
    </xf>
    <xf numFmtId="0" fontId="3" fillId="31" borderId="0" xfId="0" applyFont="1" applyFill="1" applyAlignment="1">
      <alignment vertical="center"/>
    </xf>
    <xf numFmtId="0" fontId="100" fillId="31" borderId="0" xfId="0" applyFont="1" applyFill="1" applyAlignment="1" applyProtection="1">
      <alignment horizontal="center"/>
    </xf>
    <xf numFmtId="0" fontId="2" fillId="31" borderId="195" xfId="0" applyFont="1" applyFill="1" applyBorder="1" applyAlignment="1" applyProtection="1">
      <alignment horizontal="center"/>
    </xf>
    <xf numFmtId="0" fontId="2" fillId="31" borderId="195" xfId="0" applyFont="1" applyFill="1" applyBorder="1" applyAlignment="1" applyProtection="1">
      <alignment wrapText="1"/>
    </xf>
    <xf numFmtId="0" fontId="100" fillId="31" borderId="195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wrapText="1"/>
    </xf>
    <xf numFmtId="0" fontId="100" fillId="31" borderId="192" xfId="0" applyFont="1" applyFill="1" applyBorder="1" applyAlignment="1" applyProtection="1">
      <alignment horizontal="center"/>
    </xf>
    <xf numFmtId="0" fontId="25" fillId="31" borderId="6" xfId="0" quotePrefix="1" applyFont="1" applyFill="1" applyBorder="1" applyAlignment="1">
      <alignment horizontal="center"/>
    </xf>
    <xf numFmtId="0" fontId="31" fillId="0" borderId="0" xfId="0" applyFont="1" applyFill="1" applyBorder="1" applyAlignment="1" applyProtection="1"/>
    <xf numFmtId="0" fontId="31" fillId="0" borderId="0" xfId="0" applyFont="1" applyFill="1" applyAlignment="1" applyProtection="1"/>
    <xf numFmtId="0" fontId="31" fillId="0" borderId="53" xfId="2" applyNumberFormat="1" applyFont="1" applyFill="1" applyBorder="1" applyAlignment="1" applyProtection="1">
      <alignment horizontal="center" textRotation="90"/>
    </xf>
    <xf numFmtId="0" fontId="31" fillId="0" borderId="53" xfId="2" applyNumberFormat="1" applyFont="1" applyFill="1" applyBorder="1" applyAlignment="1" applyProtection="1">
      <alignment horizontal="center" textRotation="90" wrapText="1"/>
    </xf>
    <xf numFmtId="0" fontId="43" fillId="0" borderId="198" xfId="12" applyNumberFormat="1" applyFont="1" applyFill="1" applyBorder="1" applyAlignment="1" applyProtection="1">
      <alignment horizontal="center" vertical="center"/>
      <protection locked="0"/>
    </xf>
    <xf numFmtId="168" fontId="43" fillId="0" borderId="185" xfId="12" applyNumberFormat="1" applyFont="1" applyFill="1" applyBorder="1" applyAlignment="1" applyProtection="1">
      <alignment vertical="center"/>
      <protection locked="0"/>
    </xf>
    <xf numFmtId="168" fontId="43" fillId="0" borderId="199" xfId="12" applyNumberFormat="1" applyFont="1" applyFill="1" applyBorder="1" applyAlignment="1" applyProtection="1">
      <alignment vertical="center"/>
      <protection locked="0"/>
    </xf>
    <xf numFmtId="170" fontId="31" fillId="24" borderId="6" xfId="0" applyNumberFormat="1" applyFont="1" applyFill="1" applyBorder="1" applyAlignment="1" applyProtection="1">
      <alignment horizontal="center" vertical="center"/>
    </xf>
    <xf numFmtId="0" fontId="43" fillId="0" borderId="201" xfId="12" applyNumberFormat="1" applyFont="1" applyFill="1" applyBorder="1" applyAlignment="1" applyProtection="1">
      <alignment horizontal="left" vertical="center"/>
      <protection locked="0"/>
    </xf>
    <xf numFmtId="0" fontId="25" fillId="0" borderId="202" xfId="2" applyNumberFormat="1" applyFont="1" applyFill="1" applyBorder="1" applyAlignment="1" applyProtection="1">
      <alignment horizontal="centerContinuous" vertical="center"/>
    </xf>
    <xf numFmtId="3" fontId="25" fillId="0" borderId="202" xfId="2" applyNumberFormat="1" applyFont="1" applyFill="1" applyBorder="1" applyAlignment="1">
      <alignment horizontal="centerContinuous" vertical="center"/>
    </xf>
    <xf numFmtId="0" fontId="25" fillId="0" borderId="202" xfId="2" applyNumberFormat="1" applyFont="1" applyFill="1" applyBorder="1" applyAlignment="1">
      <alignment horizontal="centerContinuous" vertical="center"/>
    </xf>
    <xf numFmtId="0" fontId="25" fillId="0" borderId="202" xfId="12" applyNumberFormat="1" applyFont="1" applyFill="1" applyBorder="1" applyAlignment="1">
      <alignment horizontal="centerContinuous" vertical="center"/>
    </xf>
    <xf numFmtId="0" fontId="25" fillId="0" borderId="202" xfId="12" applyNumberFormat="1" applyFont="1" applyFill="1" applyBorder="1" applyAlignment="1">
      <alignment horizontal="centerContinuous" vertical="center" wrapText="1"/>
    </xf>
    <xf numFmtId="0" fontId="25" fillId="0" borderId="200" xfId="12" applyNumberFormat="1" applyFont="1" applyFill="1" applyBorder="1" applyAlignment="1">
      <alignment horizontal="centerContinuous" vertical="center"/>
    </xf>
    <xf numFmtId="0" fontId="35" fillId="0" borderId="202" xfId="12" applyNumberFormat="1" applyFont="1" applyFill="1" applyBorder="1" applyAlignment="1">
      <alignment horizontal="centerContinuous" vertical="center"/>
    </xf>
    <xf numFmtId="0" fontId="35" fillId="0" borderId="202" xfId="12" applyNumberFormat="1" applyFont="1" applyFill="1" applyBorder="1" applyAlignment="1">
      <alignment horizontal="center" vertical="center"/>
    </xf>
    <xf numFmtId="0" fontId="63" fillId="0" borderId="203" xfId="2" applyNumberFormat="1" applyFont="1" applyFill="1" applyBorder="1" applyAlignment="1">
      <alignment horizontal="centerContinuous"/>
    </xf>
    <xf numFmtId="0" fontId="63" fillId="0" borderId="204" xfId="2" applyNumberFormat="1" applyFont="1" applyFill="1" applyBorder="1" applyAlignment="1">
      <alignment horizontal="centerContinuous"/>
    </xf>
    <xf numFmtId="49" fontId="25" fillId="0" borderId="48" xfId="2" quotePrefix="1" applyNumberFormat="1" applyFont="1" applyFill="1" applyBorder="1" applyAlignment="1" applyProtection="1">
      <alignment horizontal="center" vertical="center"/>
    </xf>
    <xf numFmtId="169" fontId="25" fillId="0" borderId="14" xfId="2" applyNumberFormat="1" applyFont="1" applyFill="1" applyBorder="1" applyAlignment="1" applyProtection="1">
      <alignment horizontal="center" vertical="center"/>
    </xf>
    <xf numFmtId="169" fontId="25" fillId="0" borderId="14" xfId="2" applyNumberFormat="1" applyFont="1" applyFill="1" applyBorder="1" applyAlignment="1">
      <alignment horizontal="center"/>
    </xf>
    <xf numFmtId="169" fontId="25" fillId="0" borderId="14" xfId="2" applyNumberFormat="1" applyFont="1" applyFill="1" applyBorder="1" applyAlignment="1">
      <alignment horizontal="center" vertical="center"/>
    </xf>
    <xf numFmtId="49" fontId="35" fillId="0" borderId="48" xfId="2" quotePrefix="1" applyNumberFormat="1" applyFont="1" applyFill="1" applyBorder="1" applyAlignment="1" applyProtection="1">
      <alignment horizontal="center" vertical="center"/>
    </xf>
    <xf numFmtId="168" fontId="25" fillId="0" borderId="0" xfId="12" applyNumberFormat="1" applyFont="1" applyFill="1" applyBorder="1" applyAlignment="1">
      <alignment horizontal="center"/>
    </xf>
    <xf numFmtId="169" fontId="25" fillId="0" borderId="46" xfId="2" applyNumberFormat="1" applyFont="1" applyFill="1" applyBorder="1" applyAlignment="1" applyProtection="1">
      <alignment horizontal="center" vertical="center"/>
    </xf>
    <xf numFmtId="169" fontId="25" fillId="0" borderId="46" xfId="2" applyNumberFormat="1" applyFont="1" applyFill="1" applyBorder="1" applyAlignment="1">
      <alignment horizontal="center"/>
    </xf>
    <xf numFmtId="169" fontId="25" fillId="0" borderId="46" xfId="2" applyNumberFormat="1" applyFont="1" applyFill="1" applyBorder="1" applyAlignment="1">
      <alignment horizontal="center" vertical="center"/>
    </xf>
    <xf numFmtId="0" fontId="31" fillId="0" borderId="46" xfId="12" applyNumberFormat="1" applyFont="1" applyFill="1" applyBorder="1" applyAlignment="1">
      <alignment horizontal="center"/>
    </xf>
    <xf numFmtId="0" fontId="31" fillId="0" borderId="44" xfId="12" applyNumberFormat="1" applyFont="1" applyFill="1" applyBorder="1" applyAlignment="1">
      <alignment horizontal="center"/>
    </xf>
    <xf numFmtId="0" fontId="25" fillId="0" borderId="44" xfId="2" applyNumberFormat="1" applyFont="1" applyFill="1" applyBorder="1" applyAlignment="1">
      <alignment horizontal="center"/>
    </xf>
    <xf numFmtId="168" fontId="75" fillId="21" borderId="58" xfId="12" applyNumberFormat="1" applyFont="1" applyFill="1" applyBorder="1" applyAlignment="1">
      <alignment horizontal="center" vertical="center"/>
    </xf>
    <xf numFmtId="167" fontId="81" fillId="0" borderId="6" xfId="2" applyNumberFormat="1" applyFont="1" applyFill="1" applyBorder="1" applyAlignment="1" applyProtection="1">
      <alignment vertical="center"/>
    </xf>
    <xf numFmtId="167" fontId="81" fillId="0" borderId="6" xfId="2" applyNumberFormat="1" applyFont="1" applyFill="1" applyBorder="1" applyProtection="1"/>
    <xf numFmtId="0" fontId="81" fillId="0" borderId="6" xfId="0" applyFont="1" applyFill="1" applyBorder="1" applyAlignment="1" applyProtection="1">
      <alignment horizontal="left" vertical="center" wrapText="1"/>
      <protection hidden="1"/>
    </xf>
    <xf numFmtId="167" fontId="31" fillId="0" borderId="0" xfId="0" applyNumberFormat="1" applyFont="1" applyFill="1" applyBorder="1" applyAlignment="1" applyProtection="1">
      <alignment horizontal="center" vertical="center"/>
    </xf>
    <xf numFmtId="164" fontId="25" fillId="0" borderId="181" xfId="2" quotePrefix="1" applyNumberFormat="1" applyFont="1" applyFill="1" applyBorder="1" applyAlignment="1" applyProtection="1">
      <alignment horizontal="center"/>
      <protection hidden="1"/>
    </xf>
    <xf numFmtId="164" fontId="31" fillId="0" borderId="6" xfId="2" applyNumberFormat="1" applyFont="1" applyFill="1" applyBorder="1"/>
    <xf numFmtId="164" fontId="25" fillId="0" borderId="181" xfId="2" applyNumberFormat="1" applyFont="1" applyFill="1" applyBorder="1" applyProtection="1">
      <protection hidden="1"/>
    </xf>
    <xf numFmtId="164" fontId="25" fillId="0" borderId="184" xfId="2" applyNumberFormat="1" applyFont="1" applyFill="1" applyBorder="1"/>
    <xf numFmtId="164" fontId="31" fillId="31" borderId="6" xfId="2" applyNumberFormat="1" applyFont="1" applyFill="1" applyBorder="1" applyAlignment="1">
      <alignment horizontal="right"/>
    </xf>
    <xf numFmtId="164" fontId="31" fillId="0" borderId="6" xfId="2" applyNumberFormat="1" applyFont="1" applyFill="1" applyBorder="1" applyAlignment="1">
      <alignment horizontal="right"/>
    </xf>
    <xf numFmtId="164" fontId="25" fillId="0" borderId="6" xfId="2" applyNumberFormat="1" applyFont="1" applyFill="1" applyBorder="1" applyAlignment="1" applyProtection="1">
      <alignment horizontal="center"/>
      <protection locked="0"/>
    </xf>
    <xf numFmtId="164" fontId="25" fillId="0" borderId="6" xfId="2" applyNumberFormat="1" applyFont="1" applyFill="1" applyBorder="1" applyAlignment="1" applyProtection="1">
      <alignment horizontal="right"/>
      <protection locked="0"/>
    </xf>
    <xf numFmtId="164" fontId="25" fillId="0" borderId="8" xfId="2" applyNumberFormat="1" applyFont="1" applyFill="1" applyBorder="1"/>
    <xf numFmtId="164" fontId="31" fillId="0" borderId="46" xfId="2" applyNumberFormat="1" applyFont="1" applyFill="1" applyBorder="1" applyAlignment="1">
      <alignment horizontal="right"/>
    </xf>
    <xf numFmtId="164" fontId="31" fillId="20" borderId="6" xfId="2" applyNumberFormat="1" applyFont="1" applyFill="1" applyBorder="1" applyAlignment="1">
      <alignment horizontal="right"/>
    </xf>
    <xf numFmtId="164" fontId="25" fillId="20" borderId="0" xfId="2" applyNumberFormat="1" applyFont="1" applyFill="1"/>
    <xf numFmtId="164" fontId="25" fillId="0" borderId="14" xfId="2" applyNumberFormat="1" applyFont="1" applyFill="1" applyBorder="1"/>
    <xf numFmtId="164" fontId="25" fillId="20" borderId="14" xfId="2" applyNumberFormat="1" applyFont="1" applyFill="1" applyBorder="1"/>
    <xf numFmtId="164" fontId="3" fillId="25" borderId="0" xfId="2" applyNumberFormat="1" applyFont="1" applyFill="1"/>
    <xf numFmtId="164" fontId="98" fillId="29" borderId="0" xfId="2" applyNumberFormat="1" applyFont="1" applyFill="1"/>
    <xf numFmtId="164" fontId="35" fillId="20" borderId="0" xfId="2" applyNumberFormat="1" applyFont="1" applyFill="1"/>
    <xf numFmtId="164" fontId="25" fillId="23" borderId="0" xfId="2" applyNumberFormat="1" applyFont="1" applyFill="1"/>
    <xf numFmtId="164" fontId="61" fillId="0" borderId="6" xfId="2" applyNumberFormat="1" applyFont="1" applyBorder="1" applyAlignment="1"/>
    <xf numFmtId="164" fontId="61" fillId="26" borderId="6" xfId="2" applyNumberFormat="1" applyFont="1" applyFill="1" applyBorder="1" applyAlignment="1"/>
    <xf numFmtId="164" fontId="72" fillId="0" borderId="0" xfId="2" applyNumberFormat="1" applyFont="1" applyFill="1"/>
    <xf numFmtId="164" fontId="73" fillId="0" borderId="0" xfId="2" applyNumberFormat="1" applyFont="1" applyFill="1"/>
    <xf numFmtId="164" fontId="106" fillId="20" borderId="0" xfId="2" applyNumberFormat="1" applyFont="1" applyFill="1"/>
    <xf numFmtId="164" fontId="98" fillId="22" borderId="0" xfId="2" applyNumberFormat="1" applyFont="1" applyFill="1"/>
    <xf numFmtId="164" fontId="98" fillId="20" borderId="0" xfId="2" applyNumberFormat="1" applyFont="1" applyFill="1"/>
    <xf numFmtId="164" fontId="25" fillId="26" borderId="6" xfId="2" applyNumberFormat="1" applyFont="1" applyFill="1" applyBorder="1" applyAlignment="1">
      <alignment horizontal="right" vertical="top"/>
    </xf>
    <xf numFmtId="164" fontId="25" fillId="20" borderId="6" xfId="2" applyNumberFormat="1" applyFont="1" applyFill="1" applyBorder="1" applyAlignment="1">
      <alignment horizontal="right" vertical="top"/>
    </xf>
    <xf numFmtId="164" fontId="61" fillId="25" borderId="6" xfId="2" applyNumberFormat="1" applyFont="1" applyFill="1" applyBorder="1" applyAlignment="1"/>
    <xf numFmtId="164" fontId="98" fillId="29" borderId="6" xfId="2" applyNumberFormat="1" applyFont="1" applyFill="1" applyBorder="1" applyAlignment="1">
      <alignment horizontal="center"/>
    </xf>
    <xf numFmtId="164" fontId="25" fillId="0" borderId="6" xfId="2" applyNumberFormat="1" applyFont="1" applyFill="1" applyBorder="1" applyAlignment="1">
      <alignment horizontal="center"/>
    </xf>
    <xf numFmtId="164" fontId="25" fillId="20" borderId="6" xfId="2" applyNumberFormat="1" applyFont="1" applyFill="1" applyBorder="1" applyAlignment="1">
      <alignment horizontal="center"/>
    </xf>
    <xf numFmtId="164" fontId="64" fillId="26" borderId="15" xfId="2" applyNumberFormat="1" applyFont="1" applyFill="1" applyBorder="1" applyAlignment="1">
      <alignment horizontal="right" vertical="center"/>
    </xf>
    <xf numFmtId="164" fontId="3" fillId="0" borderId="0" xfId="2" applyNumberFormat="1" applyFont="1" applyFill="1"/>
    <xf numFmtId="164" fontId="31" fillId="0" borderId="181" xfId="2" applyNumberFormat="1" applyFont="1" applyFill="1" applyBorder="1" applyAlignment="1">
      <alignment horizontal="center"/>
    </xf>
    <xf numFmtId="0" fontId="43" fillId="11" borderId="3" xfId="0" applyFont="1" applyFill="1" applyBorder="1" applyAlignment="1">
      <alignment horizontal="center" vertical="center" wrapText="1"/>
    </xf>
    <xf numFmtId="0" fontId="31" fillId="0" borderId="0" xfId="12" applyNumberFormat="1" applyFont="1" applyAlignment="1">
      <alignment horizontal="center"/>
    </xf>
    <xf numFmtId="3" fontId="31" fillId="11" borderId="57" xfId="12" applyNumberFormat="1" applyFont="1" applyFill="1" applyBorder="1" applyAlignment="1">
      <alignment horizontal="center"/>
    </xf>
    <xf numFmtId="0" fontId="31" fillId="4" borderId="0" xfId="12" applyNumberFormat="1" applyFont="1" applyFill="1" applyAlignment="1">
      <alignment horizontal="center"/>
    </xf>
    <xf numFmtId="0" fontId="63" fillId="0" borderId="0" xfId="12" applyNumberFormat="1" applyFont="1" applyAlignment="1">
      <alignment horizontal="center"/>
    </xf>
    <xf numFmtId="0" fontId="38" fillId="0" borderId="0" xfId="2" applyNumberFormat="1" applyFont="1" applyBorder="1" applyAlignment="1" applyProtection="1">
      <alignment horizontal="left"/>
    </xf>
    <xf numFmtId="0" fontId="35" fillId="0" borderId="0" xfId="2" applyNumberFormat="1" applyFont="1" applyBorder="1" applyAlignment="1" applyProtection="1">
      <alignment horizontal="centerContinuous"/>
    </xf>
    <xf numFmtId="3" fontId="35" fillId="0" borderId="0" xfId="2" applyNumberFormat="1" applyFont="1" applyBorder="1" applyAlignment="1" applyProtection="1">
      <alignment horizontal="centerContinuous"/>
    </xf>
    <xf numFmtId="0" fontId="35" fillId="0" borderId="0" xfId="2" applyNumberFormat="1" applyFont="1" applyFill="1" applyBorder="1" applyAlignment="1" applyProtection="1">
      <alignment horizontal="centerContinuous"/>
    </xf>
    <xf numFmtId="0" fontId="35" fillId="0" borderId="0" xfId="2" applyNumberFormat="1" applyFont="1" applyBorder="1" applyAlignment="1">
      <alignment horizontal="centerContinuous"/>
    </xf>
    <xf numFmtId="0" fontId="35" fillId="0" borderId="0" xfId="2" applyNumberFormat="1" applyFont="1" applyFill="1" applyBorder="1" applyAlignment="1">
      <alignment horizontal="centerContinuous"/>
    </xf>
    <xf numFmtId="0" fontId="35" fillId="0" borderId="0" xfId="2" applyNumberFormat="1" applyFont="1" applyFill="1" applyBorder="1" applyAlignment="1">
      <alignment horizontal="centerContinuous" wrapText="1"/>
    </xf>
    <xf numFmtId="0" fontId="35" fillId="4" borderId="0" xfId="2" applyNumberFormat="1" applyFont="1" applyFill="1" applyBorder="1" applyAlignment="1">
      <alignment horizontal="centerContinuous"/>
    </xf>
    <xf numFmtId="0" fontId="77" fillId="0" borderId="0" xfId="2" applyNumberFormat="1" applyFont="1" applyBorder="1" applyAlignment="1">
      <alignment horizontal="centerContinuous"/>
    </xf>
    <xf numFmtId="0" fontId="39" fillId="0" borderId="0" xfId="12" applyNumberFormat="1" applyFont="1" applyAlignment="1">
      <alignment horizontal="center"/>
    </xf>
    <xf numFmtId="3" fontId="43" fillId="0" borderId="0" xfId="2" applyNumberFormat="1" applyFont="1" applyBorder="1" applyAlignment="1">
      <alignment horizontal="left" vertical="center"/>
    </xf>
    <xf numFmtId="3" fontId="39" fillId="0" borderId="0" xfId="2" applyNumberFormat="1" applyFont="1" applyBorder="1" applyAlignment="1">
      <alignment horizontal="centerContinuous" vertical="center"/>
    </xf>
    <xf numFmtId="3" fontId="39" fillId="4" borderId="0" xfId="2" applyNumberFormat="1" applyFont="1" applyFill="1" applyBorder="1" applyAlignment="1">
      <alignment horizontal="centerContinuous" vertical="center"/>
    </xf>
    <xf numFmtId="0" fontId="25" fillId="6" borderId="34" xfId="2" applyNumberFormat="1" applyFont="1" applyFill="1" applyBorder="1" applyAlignment="1" applyProtection="1">
      <alignment horizontal="centerContinuous"/>
    </xf>
    <xf numFmtId="0" fontId="25" fillId="6" borderId="40" xfId="2" applyNumberFormat="1" applyFont="1" applyFill="1" applyBorder="1" applyAlignment="1" applyProtection="1">
      <alignment horizontal="centerContinuous"/>
    </xf>
    <xf numFmtId="0" fontId="25" fillId="6" borderId="41" xfId="2" applyNumberFormat="1" applyFont="1" applyFill="1" applyBorder="1" applyAlignment="1" applyProtection="1">
      <alignment horizontal="centerContinuous"/>
    </xf>
    <xf numFmtId="0" fontId="37" fillId="4" borderId="73" xfId="2" applyNumberFormat="1" applyFont="1" applyFill="1" applyBorder="1" applyAlignment="1" applyProtection="1">
      <alignment horizontal="center" vertical="center" textRotation="90"/>
    </xf>
    <xf numFmtId="0" fontId="35" fillId="6" borderId="34" xfId="2" applyNumberFormat="1" applyFont="1" applyFill="1" applyBorder="1" applyAlignment="1" applyProtection="1">
      <alignment horizontal="centerContinuous" vertical="center"/>
    </xf>
    <xf numFmtId="0" fontId="35" fillId="6" borderId="40" xfId="2" applyNumberFormat="1" applyFont="1" applyFill="1" applyBorder="1" applyAlignment="1" applyProtection="1">
      <alignment horizontal="centerContinuous" vertical="center"/>
    </xf>
    <xf numFmtId="0" fontId="35" fillId="6" borderId="41" xfId="2" applyNumberFormat="1" applyFont="1" applyFill="1" applyBorder="1" applyAlignment="1" applyProtection="1">
      <alignment horizontal="centerContinuous" vertical="center"/>
    </xf>
    <xf numFmtId="0" fontId="31" fillId="6" borderId="0" xfId="12" applyNumberFormat="1" applyFont="1" applyFill="1" applyAlignment="1">
      <alignment horizontal="center"/>
    </xf>
    <xf numFmtId="0" fontId="37" fillId="6" borderId="3" xfId="2" applyNumberFormat="1" applyFont="1" applyFill="1" applyBorder="1" applyAlignment="1" applyProtection="1">
      <alignment horizontal="center" vertical="center" textRotation="90"/>
    </xf>
    <xf numFmtId="0" fontId="25" fillId="6" borderId="3" xfId="2" applyNumberFormat="1" applyFont="1" applyFill="1" applyBorder="1" applyAlignment="1" applyProtection="1">
      <alignment horizontal="center" vertical="center" textRotation="90"/>
    </xf>
    <xf numFmtId="0" fontId="25" fillId="6" borderId="3" xfId="2" quotePrefix="1" applyNumberFormat="1" applyFont="1" applyFill="1" applyBorder="1" applyAlignment="1" applyProtection="1">
      <alignment horizontal="center" vertical="center" textRotation="90"/>
    </xf>
    <xf numFmtId="0" fontId="37" fillId="4" borderId="44" xfId="2" quotePrefix="1" applyNumberFormat="1" applyFont="1" applyFill="1" applyBorder="1" applyAlignment="1" applyProtection="1">
      <alignment horizontal="center" vertical="center" textRotation="90"/>
    </xf>
    <xf numFmtId="0" fontId="25" fillId="6" borderId="46" xfId="2" applyNumberFormat="1" applyFont="1" applyFill="1" applyBorder="1" applyAlignment="1" applyProtection="1">
      <alignment vertical="center" textRotation="90"/>
    </xf>
    <xf numFmtId="0" fontId="35" fillId="6" borderId="46" xfId="2" applyNumberFormat="1" applyFont="1" applyFill="1" applyBorder="1" applyAlignment="1" applyProtection="1">
      <alignment vertical="center" textRotation="90"/>
    </xf>
    <xf numFmtId="0" fontId="43" fillId="6" borderId="0" xfId="12" applyNumberFormat="1" applyFont="1" applyFill="1" applyAlignment="1">
      <alignment horizontal="center"/>
    </xf>
    <xf numFmtId="0" fontId="70" fillId="0" borderId="61" xfId="12" applyNumberFormat="1" applyFont="1" applyFill="1" applyBorder="1" applyAlignment="1">
      <alignment horizontal="left" vertical="center"/>
    </xf>
    <xf numFmtId="0" fontId="25" fillId="0" borderId="2" xfId="2" applyNumberFormat="1" applyFont="1" applyFill="1" applyBorder="1" applyAlignment="1" applyProtection="1">
      <alignment horizontal="centerContinuous" vertical="center"/>
    </xf>
    <xf numFmtId="3" fontId="25" fillId="0" borderId="2" xfId="2" applyNumberFormat="1" applyFont="1" applyFill="1" applyBorder="1" applyAlignment="1">
      <alignment horizontal="centerContinuous" vertical="center"/>
    </xf>
    <xf numFmtId="0" fontId="25" fillId="0" borderId="2" xfId="2" applyNumberFormat="1" applyFont="1" applyFill="1" applyBorder="1" applyAlignment="1">
      <alignment horizontal="centerContinuous" vertical="center"/>
    </xf>
    <xf numFmtId="0" fontId="25" fillId="0" borderId="2" xfId="12" applyNumberFormat="1" applyFont="1" applyFill="1" applyBorder="1" applyAlignment="1">
      <alignment horizontal="centerContinuous" vertical="center"/>
    </xf>
    <xf numFmtId="0" fontId="25" fillId="0" borderId="2" xfId="12" applyNumberFormat="1" applyFont="1" applyFill="1" applyBorder="1" applyAlignment="1">
      <alignment horizontal="centerContinuous" vertical="center" wrapText="1"/>
    </xf>
    <xf numFmtId="0" fontId="25" fillId="0" borderId="59" xfId="12" applyNumberFormat="1" applyFont="1" applyFill="1" applyBorder="1" applyAlignment="1">
      <alignment horizontal="centerContinuous" vertical="center"/>
    </xf>
    <xf numFmtId="0" fontId="25" fillId="4" borderId="52" xfId="12" applyNumberFormat="1" applyFont="1" applyFill="1" applyBorder="1" applyAlignment="1">
      <alignment horizontal="centerContinuous" vertical="center"/>
    </xf>
    <xf numFmtId="0" fontId="35" fillId="0" borderId="52" xfId="12" applyNumberFormat="1" applyFont="1" applyFill="1" applyBorder="1" applyAlignment="1">
      <alignment horizontal="centerContinuous" vertical="center"/>
    </xf>
    <xf numFmtId="0" fontId="35" fillId="0" borderId="2" xfId="12" applyNumberFormat="1" applyFont="1" applyFill="1" applyBorder="1" applyAlignment="1">
      <alignment horizontal="centerContinuous" vertical="center"/>
    </xf>
    <xf numFmtId="0" fontId="63" fillId="0" borderId="51" xfId="2" applyNumberFormat="1" applyFont="1" applyFill="1" applyBorder="1" applyAlignment="1">
      <alignment horizontal="centerContinuous"/>
    </xf>
    <xf numFmtId="0" fontId="31" fillId="0" borderId="48" xfId="0" applyFont="1" applyBorder="1" applyAlignment="1" applyProtection="1">
      <alignment horizontal="center" vertical="center"/>
      <protection locked="0"/>
    </xf>
    <xf numFmtId="168" fontId="31" fillId="0" borderId="14" xfId="0" applyNumberFormat="1" applyFont="1" applyBorder="1" applyAlignment="1" applyProtection="1">
      <alignment horizontal="center" vertical="center"/>
      <protection locked="0"/>
    </xf>
    <xf numFmtId="3" fontId="35" fillId="0" borderId="43" xfId="2" applyNumberFormat="1" applyFont="1" applyFill="1" applyBorder="1" applyAlignment="1">
      <alignment horizontal="center"/>
    </xf>
    <xf numFmtId="0" fontId="35" fillId="7" borderId="43" xfId="2" applyNumberFormat="1" applyFont="1" applyFill="1" applyBorder="1" applyAlignment="1">
      <alignment horizontal="center"/>
    </xf>
    <xf numFmtId="0" fontId="35" fillId="0" borderId="46" xfId="2" applyNumberFormat="1" applyFont="1" applyFill="1" applyBorder="1" applyAlignment="1">
      <alignment horizontal="center"/>
    </xf>
    <xf numFmtId="0" fontId="25" fillId="0" borderId="43" xfId="2" applyNumberFormat="1" applyFont="1" applyFill="1" applyBorder="1" applyAlignment="1" applyProtection="1">
      <alignment horizontal="center"/>
    </xf>
    <xf numFmtId="0" fontId="25" fillId="0" borderId="14" xfId="2" applyNumberFormat="1" applyFont="1" applyFill="1" applyBorder="1" applyAlignment="1" applyProtection="1">
      <alignment horizontal="center"/>
    </xf>
    <xf numFmtId="0" fontId="25" fillId="0" borderId="46" xfId="2" applyNumberFormat="1" applyFont="1" applyFill="1" applyBorder="1" applyAlignment="1" applyProtection="1">
      <alignment horizontal="center"/>
    </xf>
    <xf numFmtId="0" fontId="25" fillId="0" borderId="46" xfId="2" applyNumberFormat="1" applyFont="1" applyFill="1" applyBorder="1" applyAlignment="1">
      <alignment horizontal="center"/>
    </xf>
    <xf numFmtId="0" fontId="25" fillId="0" borderId="43" xfId="2" applyNumberFormat="1" applyFont="1" applyFill="1" applyBorder="1" applyAlignment="1">
      <alignment horizontal="center"/>
    </xf>
    <xf numFmtId="0" fontId="25" fillId="0" borderId="6" xfId="12" applyNumberFormat="1" applyFont="1" applyFill="1" applyBorder="1" applyAlignment="1">
      <alignment horizontal="center"/>
    </xf>
    <xf numFmtId="0" fontId="25" fillId="0" borderId="46" xfId="12" applyNumberFormat="1" applyFont="1" applyFill="1" applyBorder="1" applyAlignment="1">
      <alignment horizontal="center" vertical="center"/>
    </xf>
    <xf numFmtId="0" fontId="25" fillId="0" borderId="6" xfId="12" applyNumberFormat="1" applyFont="1" applyFill="1" applyBorder="1" applyAlignment="1">
      <alignment horizontal="center" wrapText="1"/>
    </xf>
    <xf numFmtId="0" fontId="35" fillId="0" borderId="46" xfId="12" applyNumberFormat="1" applyFont="1" applyFill="1" applyBorder="1" applyAlignment="1">
      <alignment horizontal="center" vertical="center"/>
    </xf>
    <xf numFmtId="0" fontId="35" fillId="0" borderId="43" xfId="12" applyNumberFormat="1" applyFont="1" applyFill="1" applyBorder="1" applyAlignment="1">
      <alignment horizontal="center" vertical="center"/>
    </xf>
    <xf numFmtId="0" fontId="35" fillId="0" borderId="72" xfId="12" applyNumberFormat="1" applyFont="1" applyFill="1" applyBorder="1" applyAlignment="1">
      <alignment horizontal="center" vertical="center"/>
    </xf>
    <xf numFmtId="0" fontId="35" fillId="4" borderId="72" xfId="12" applyNumberFormat="1" applyFont="1" applyFill="1" applyBorder="1" applyAlignment="1">
      <alignment horizontal="center" vertical="center"/>
    </xf>
    <xf numFmtId="168" fontId="35" fillId="0" borderId="43" xfId="12" applyNumberFormat="1" applyFont="1" applyFill="1" applyBorder="1" applyAlignment="1">
      <alignment horizontal="center" vertical="center"/>
    </xf>
    <xf numFmtId="0" fontId="35" fillId="0" borderId="55" xfId="12" applyNumberFormat="1" applyFont="1" applyFill="1" applyBorder="1" applyAlignment="1">
      <alignment horizontal="center" vertical="center"/>
    </xf>
    <xf numFmtId="0" fontId="43" fillId="0" borderId="0" xfId="12" applyNumberFormat="1" applyFont="1" applyAlignment="1">
      <alignment horizontal="center"/>
    </xf>
    <xf numFmtId="0" fontId="31" fillId="0" borderId="48" xfId="0" quotePrefix="1" applyFont="1" applyBorder="1" applyAlignment="1" applyProtection="1">
      <alignment horizontal="center" vertical="center"/>
      <protection locked="0"/>
    </xf>
    <xf numFmtId="0" fontId="25" fillId="0" borderId="6" xfId="2" applyNumberFormat="1" applyFont="1" applyFill="1" applyBorder="1" applyAlignment="1" applyProtection="1">
      <alignment horizontal="center" vertical="center"/>
    </xf>
    <xf numFmtId="168" fontId="25" fillId="0" borderId="6" xfId="2" applyNumberFormat="1" applyFont="1" applyFill="1" applyBorder="1" applyAlignment="1">
      <alignment horizontal="center"/>
    </xf>
    <xf numFmtId="169" fontId="25" fillId="7" borderId="6" xfId="2" applyNumberFormat="1" applyFont="1" applyFill="1" applyBorder="1" applyAlignment="1">
      <alignment horizontal="center" vertical="center"/>
    </xf>
    <xf numFmtId="1" fontId="37" fillId="0" borderId="6" xfId="2" applyNumberFormat="1" applyFont="1" applyFill="1" applyBorder="1" applyAlignment="1">
      <alignment horizontal="center" vertical="center"/>
    </xf>
    <xf numFmtId="1" fontId="25" fillId="0" borderId="6" xfId="2" applyNumberFormat="1" applyFont="1" applyFill="1" applyBorder="1" applyAlignment="1">
      <alignment horizontal="center" vertical="center"/>
    </xf>
    <xf numFmtId="0" fontId="25" fillId="2" borderId="6" xfId="2" applyNumberFormat="1" applyFont="1" applyFill="1" applyBorder="1" applyAlignment="1" applyProtection="1">
      <alignment horizontal="center" vertical="center"/>
    </xf>
    <xf numFmtId="0" fontId="25" fillId="0" borderId="14" xfId="12" applyNumberFormat="1" applyFont="1" applyFill="1" applyBorder="1" applyAlignment="1">
      <alignment horizontal="center"/>
    </xf>
    <xf numFmtId="0" fontId="25" fillId="0" borderId="71" xfId="12" applyNumberFormat="1" applyFont="1" applyFill="1" applyBorder="1" applyAlignment="1">
      <alignment horizontal="center"/>
    </xf>
    <xf numFmtId="0" fontId="25" fillId="4" borderId="71" xfId="12" applyNumberFormat="1" applyFont="1" applyFill="1" applyBorder="1" applyAlignment="1">
      <alignment horizontal="center"/>
    </xf>
    <xf numFmtId="169" fontId="25" fillId="0" borderId="14" xfId="12" applyNumberFormat="1" applyFont="1" applyFill="1" applyBorder="1" applyAlignment="1">
      <alignment horizontal="center" vertical="center"/>
    </xf>
    <xf numFmtId="168" fontId="25" fillId="0" borderId="14" xfId="12" applyNumberFormat="1" applyFont="1" applyFill="1" applyBorder="1" applyAlignment="1">
      <alignment horizontal="center" vertical="center"/>
    </xf>
    <xf numFmtId="0" fontId="25" fillId="0" borderId="14" xfId="12" applyNumberFormat="1" applyFont="1" applyFill="1" applyBorder="1" applyAlignment="1">
      <alignment horizontal="center" vertical="center"/>
    </xf>
    <xf numFmtId="0" fontId="35" fillId="0" borderId="14" xfId="12" applyNumberFormat="1" applyFont="1" applyFill="1" applyBorder="1" applyAlignment="1">
      <alignment horizontal="center" vertical="center"/>
    </xf>
    <xf numFmtId="0" fontId="25" fillId="0" borderId="45" xfId="12" applyNumberFormat="1" applyFont="1" applyBorder="1" applyAlignment="1">
      <alignment horizontal="center"/>
    </xf>
    <xf numFmtId="0" fontId="31" fillId="0" borderId="27" xfId="0" quotePrefix="1" applyFont="1" applyBorder="1" applyAlignment="1" applyProtection="1">
      <alignment horizontal="center" vertical="center"/>
      <protection locked="0"/>
    </xf>
    <xf numFmtId="0" fontId="31" fillId="0" borderId="6" xfId="12" applyNumberFormat="1" applyFont="1" applyFill="1" applyBorder="1" applyAlignment="1">
      <alignment horizontal="center"/>
    </xf>
    <xf numFmtId="1" fontId="25" fillId="0" borderId="6" xfId="12" applyNumberFormat="1" applyFont="1" applyFill="1" applyBorder="1" applyAlignment="1">
      <alignment horizontal="center"/>
    </xf>
    <xf numFmtId="0" fontId="31" fillId="0" borderId="6" xfId="12" applyNumberFormat="1" applyFont="1" applyFill="1" applyBorder="1" applyAlignment="1">
      <alignment horizontal="center" wrapText="1"/>
    </xf>
    <xf numFmtId="0" fontId="31" fillId="0" borderId="15" xfId="12" applyNumberFormat="1" applyFont="1" applyFill="1" applyBorder="1" applyAlignment="1">
      <alignment horizontal="center"/>
    </xf>
    <xf numFmtId="0" fontId="31" fillId="4" borderId="15" xfId="12" applyNumberFormat="1" applyFont="1" applyFill="1" applyBorder="1" applyAlignment="1">
      <alignment horizontal="center"/>
    </xf>
    <xf numFmtId="0" fontId="25" fillId="0" borderId="6" xfId="12" applyNumberFormat="1" applyFont="1" applyFill="1" applyBorder="1" applyAlignment="1">
      <alignment horizontal="center" vertical="center"/>
    </xf>
    <xf numFmtId="0" fontId="25" fillId="2" borderId="45" xfId="2" applyNumberFormat="1" applyFont="1" applyFill="1" applyBorder="1" applyAlignment="1">
      <alignment horizontal="center"/>
    </xf>
    <xf numFmtId="1" fontId="35" fillId="0" borderId="6" xfId="2" applyNumberFormat="1" applyFont="1" applyFill="1" applyBorder="1" applyAlignment="1">
      <alignment horizontal="center" vertical="center"/>
    </xf>
    <xf numFmtId="0" fontId="43" fillId="0" borderId="6" xfId="12" applyNumberFormat="1" applyFont="1" applyFill="1" applyBorder="1" applyAlignment="1">
      <alignment horizontal="center"/>
    </xf>
    <xf numFmtId="0" fontId="35" fillId="0" borderId="6" xfId="12" applyNumberFormat="1" applyFont="1" applyFill="1" applyBorder="1" applyAlignment="1">
      <alignment horizontal="center"/>
    </xf>
    <xf numFmtId="0" fontId="43" fillId="0" borderId="6" xfId="12" applyNumberFormat="1" applyFont="1" applyFill="1" applyBorder="1" applyAlignment="1">
      <alignment horizontal="center" wrapText="1"/>
    </xf>
    <xf numFmtId="0" fontId="43" fillId="0" borderId="15" xfId="12" applyNumberFormat="1" applyFont="1" applyFill="1" applyBorder="1" applyAlignment="1">
      <alignment horizontal="center"/>
    </xf>
    <xf numFmtId="0" fontId="43" fillId="4" borderId="15" xfId="12" applyNumberFormat="1" applyFont="1" applyFill="1" applyBorder="1" applyAlignment="1">
      <alignment horizontal="center"/>
    </xf>
    <xf numFmtId="0" fontId="35" fillId="0" borderId="6" xfId="12" applyNumberFormat="1" applyFont="1" applyFill="1" applyBorder="1" applyAlignment="1">
      <alignment horizontal="center" vertical="center"/>
    </xf>
    <xf numFmtId="0" fontId="35" fillId="2" borderId="45" xfId="2" applyNumberFormat="1" applyFont="1" applyFill="1" applyBorder="1" applyAlignment="1">
      <alignment horizontal="center"/>
    </xf>
    <xf numFmtId="0" fontId="25" fillId="2" borderId="37" xfId="2" applyNumberFormat="1" applyFont="1" applyFill="1" applyBorder="1" applyAlignment="1">
      <alignment horizontal="center"/>
    </xf>
    <xf numFmtId="49" fontId="35" fillId="6" borderId="64" xfId="12" applyNumberFormat="1" applyFont="1" applyFill="1" applyBorder="1" applyAlignment="1">
      <alignment horizontal="center" vertical="center"/>
    </xf>
    <xf numFmtId="169" fontId="35" fillId="6" borderId="59" xfId="12" applyNumberFormat="1" applyFont="1" applyFill="1" applyBorder="1" applyAlignment="1">
      <alignment horizontal="center" vertical="center"/>
    </xf>
    <xf numFmtId="3" fontId="35" fillId="6" borderId="3" xfId="2" applyNumberFormat="1" applyFont="1" applyFill="1" applyBorder="1" applyAlignment="1">
      <alignment horizontal="center" vertical="center"/>
    </xf>
    <xf numFmtId="3" fontId="35" fillId="6" borderId="3" xfId="2" applyNumberFormat="1" applyFont="1" applyFill="1" applyBorder="1" applyAlignment="1">
      <alignment horizontal="center" vertical="center" wrapText="1"/>
    </xf>
    <xf numFmtId="3" fontId="35" fillId="6" borderId="52" xfId="2" applyNumberFormat="1" applyFont="1" applyFill="1" applyBorder="1" applyAlignment="1">
      <alignment horizontal="center" vertical="center"/>
    </xf>
    <xf numFmtId="3" fontId="35" fillId="4" borderId="52" xfId="2" applyNumberFormat="1" applyFont="1" applyFill="1" applyBorder="1" applyAlignment="1">
      <alignment horizontal="center" vertical="center"/>
    </xf>
    <xf numFmtId="0" fontId="77" fillId="6" borderId="51" xfId="2" applyNumberFormat="1" applyFont="1" applyFill="1" applyBorder="1" applyAlignment="1">
      <alignment horizontal="center"/>
    </xf>
    <xf numFmtId="49" fontId="35" fillId="0" borderId="61" xfId="2" applyNumberFormat="1" applyFont="1" applyFill="1" applyBorder="1" applyAlignment="1">
      <alignment horizontal="center"/>
    </xf>
    <xf numFmtId="169" fontId="35" fillId="0" borderId="2" xfId="2" applyNumberFormat="1" applyFont="1" applyFill="1" applyBorder="1" applyAlignment="1">
      <alignment horizontal="center"/>
    </xf>
    <xf numFmtId="3" fontId="35" fillId="0" borderId="2" xfId="2" applyNumberFormat="1" applyFont="1" applyFill="1" applyBorder="1" applyAlignment="1">
      <alignment horizontal="center"/>
    </xf>
    <xf numFmtId="0" fontId="35" fillId="0" borderId="2" xfId="2" applyNumberFormat="1" applyFont="1" applyFill="1" applyBorder="1" applyAlignment="1">
      <alignment horizontal="center"/>
    </xf>
    <xf numFmtId="0" fontId="25" fillId="0" borderId="2" xfId="2" applyNumberFormat="1" applyFont="1" applyFill="1" applyBorder="1" applyAlignment="1">
      <alignment horizontal="center"/>
    </xf>
    <xf numFmtId="0" fontId="35" fillId="0" borderId="2" xfId="2" applyNumberFormat="1" applyFont="1" applyFill="1" applyBorder="1" applyAlignment="1">
      <alignment horizontal="center" wrapText="1"/>
    </xf>
    <xf numFmtId="0" fontId="35" fillId="4" borderId="2" xfId="2" applyNumberFormat="1" applyFont="1" applyFill="1" applyBorder="1" applyAlignment="1">
      <alignment horizontal="center"/>
    </xf>
    <xf numFmtId="0" fontId="77" fillId="0" borderId="49" xfId="2" applyNumberFormat="1" applyFont="1" applyFill="1" applyBorder="1" applyAlignment="1">
      <alignment horizontal="center"/>
    </xf>
    <xf numFmtId="0" fontId="46" fillId="0" borderId="0" xfId="12" applyNumberFormat="1" applyFont="1" applyAlignment="1">
      <alignment horizontal="center"/>
    </xf>
    <xf numFmtId="49" fontId="35" fillId="14" borderId="62" xfId="12" applyNumberFormat="1" applyFont="1" applyFill="1" applyBorder="1" applyAlignment="1">
      <alignment horizontal="center" vertical="center"/>
    </xf>
    <xf numFmtId="169" fontId="35" fillId="14" borderId="63" xfId="12" applyNumberFormat="1" applyFont="1" applyFill="1" applyBorder="1" applyAlignment="1">
      <alignment horizontal="center" vertical="center"/>
    </xf>
    <xf numFmtId="169" fontId="35" fillId="14" borderId="50" xfId="12" applyNumberFormat="1" applyFont="1" applyFill="1" applyBorder="1" applyAlignment="1">
      <alignment horizontal="center" vertical="center"/>
    </xf>
    <xf numFmtId="3" fontId="43" fillId="0" borderId="0" xfId="12" applyNumberFormat="1" applyFont="1" applyFill="1" applyAlignment="1">
      <alignment horizontal="center"/>
    </xf>
    <xf numFmtId="0" fontId="43" fillId="14" borderId="0" xfId="12" applyNumberFormat="1" applyFont="1" applyFill="1" applyAlignment="1">
      <alignment horizontal="center"/>
    </xf>
    <xf numFmtId="0" fontId="25" fillId="0" borderId="0" xfId="12" applyNumberFormat="1" applyFont="1" applyAlignment="1">
      <alignment horizontal="center"/>
    </xf>
    <xf numFmtId="3" fontId="25" fillId="0" borderId="0" xfId="12" applyNumberFormat="1" applyFont="1" applyAlignment="1">
      <alignment horizontal="center"/>
    </xf>
    <xf numFmtId="0" fontId="25" fillId="4" borderId="0" xfId="12" applyNumberFormat="1" applyFont="1" applyFill="1" applyAlignment="1">
      <alignment horizontal="center"/>
    </xf>
    <xf numFmtId="174" fontId="43" fillId="0" borderId="0" xfId="12" applyNumberFormat="1" applyFont="1" applyAlignment="1">
      <alignment horizontal="center"/>
    </xf>
    <xf numFmtId="0" fontId="113" fillId="0" borderId="0" xfId="12" applyNumberFormat="1" applyFont="1" applyAlignment="1">
      <alignment horizontal="center"/>
    </xf>
    <xf numFmtId="3" fontId="44" fillId="7" borderId="53" xfId="12" quotePrefix="1" applyNumberFormat="1" applyFont="1" applyFill="1" applyBorder="1" applyAlignment="1">
      <alignment horizontal="center"/>
    </xf>
    <xf numFmtId="0" fontId="114" fillId="0" borderId="0" xfId="12" applyNumberFormat="1" applyFont="1" applyAlignment="1">
      <alignment horizontal="center"/>
    </xf>
    <xf numFmtId="168" fontId="25" fillId="13" borderId="0" xfId="12" applyNumberFormat="1" applyFont="1" applyFill="1" applyAlignment="1">
      <alignment horizontal="center"/>
    </xf>
    <xf numFmtId="0" fontId="64" fillId="0" borderId="0" xfId="12" applyNumberFormat="1" applyFont="1" applyAlignment="1">
      <alignment horizontal="center"/>
    </xf>
    <xf numFmtId="0" fontId="115" fillId="0" borderId="0" xfId="12" applyNumberFormat="1" applyFont="1" applyAlignment="1">
      <alignment horizontal="center"/>
    </xf>
    <xf numFmtId="0" fontId="31" fillId="6" borderId="0" xfId="12" applyNumberFormat="1" applyFont="1" applyFill="1" applyBorder="1" applyAlignment="1">
      <alignment horizontal="center"/>
    </xf>
    <xf numFmtId="0" fontId="31" fillId="4" borderId="0" xfId="12" applyNumberFormat="1" applyFont="1" applyFill="1" applyBorder="1" applyAlignment="1">
      <alignment horizontal="center"/>
    </xf>
    <xf numFmtId="0" fontId="63" fillId="0" borderId="0" xfId="12" applyNumberFormat="1" applyFont="1" applyBorder="1" applyAlignment="1">
      <alignment horizontal="center"/>
    </xf>
    <xf numFmtId="0" fontId="25" fillId="0" borderId="0" xfId="12" applyNumberFormat="1" applyFont="1" applyAlignment="1">
      <alignment horizontal="left"/>
    </xf>
    <xf numFmtId="0" fontId="31" fillId="7" borderId="0" xfId="12" applyNumberFormat="1" applyFont="1" applyFill="1" applyBorder="1" applyAlignment="1">
      <alignment horizontal="center"/>
    </xf>
    <xf numFmtId="0" fontId="25" fillId="0" borderId="0" xfId="12" applyNumberFormat="1" applyFont="1" applyBorder="1" applyAlignment="1">
      <alignment horizontal="center"/>
    </xf>
    <xf numFmtId="0" fontId="25" fillId="4" borderId="0" xfId="12" applyNumberFormat="1" applyFont="1" applyFill="1" applyBorder="1" applyAlignment="1">
      <alignment horizontal="center"/>
    </xf>
    <xf numFmtId="3" fontId="31" fillId="0" borderId="0" xfId="12" applyNumberFormat="1" applyFont="1" applyAlignment="1">
      <alignment horizontal="center"/>
    </xf>
    <xf numFmtId="0" fontId="38" fillId="0" borderId="0" xfId="2" applyNumberFormat="1" applyFont="1" applyBorder="1" applyAlignment="1" applyProtection="1">
      <alignment horizontal="centerContinuous"/>
    </xf>
    <xf numFmtId="168" fontId="35" fillId="0" borderId="0" xfId="2" applyNumberFormat="1" applyFont="1" applyBorder="1" applyAlignment="1" applyProtection="1">
      <alignment horizontal="centerContinuous"/>
    </xf>
    <xf numFmtId="0" fontId="39" fillId="0" borderId="0" xfId="12" applyNumberFormat="1" applyFont="1"/>
    <xf numFmtId="0" fontId="35" fillId="2" borderId="34" xfId="2" applyNumberFormat="1" applyFont="1" applyFill="1" applyBorder="1" applyAlignment="1" applyProtection="1">
      <alignment horizontal="centerContinuous" vertical="center"/>
    </xf>
    <xf numFmtId="0" fontId="35" fillId="2" borderId="40" xfId="2" applyNumberFormat="1" applyFont="1" applyFill="1" applyBorder="1" applyAlignment="1" applyProtection="1">
      <alignment horizontal="centerContinuous" vertical="center"/>
    </xf>
    <xf numFmtId="0" fontId="35" fillId="2" borderId="41" xfId="2" applyNumberFormat="1" applyFont="1" applyFill="1" applyBorder="1" applyAlignment="1" applyProtection="1">
      <alignment horizontal="centerContinuous" vertical="center"/>
    </xf>
    <xf numFmtId="0" fontId="25" fillId="2" borderId="40" xfId="2" applyNumberFormat="1" applyFont="1" applyFill="1" applyBorder="1" applyAlignment="1" applyProtection="1">
      <alignment horizontal="centerContinuous" vertical="center"/>
    </xf>
    <xf numFmtId="0" fontId="25" fillId="2" borderId="7" xfId="2" applyNumberFormat="1" applyFont="1" applyFill="1" applyBorder="1" applyAlignment="1" applyProtection="1">
      <alignment horizontal="centerContinuous" vertical="center" wrapText="1"/>
    </xf>
    <xf numFmtId="0" fontId="25" fillId="2" borderId="41" xfId="2" applyNumberFormat="1" applyFont="1" applyFill="1" applyBorder="1" applyAlignment="1" applyProtection="1">
      <alignment horizontal="centerContinuous" vertical="center"/>
    </xf>
    <xf numFmtId="0" fontId="35" fillId="0" borderId="7" xfId="2" applyNumberFormat="1" applyFont="1" applyFill="1" applyBorder="1" applyAlignment="1" applyProtection="1">
      <alignment horizontal="centerContinuous"/>
    </xf>
    <xf numFmtId="0" fontId="36" fillId="0" borderId="7" xfId="2" applyNumberFormat="1" applyFont="1" applyFill="1" applyBorder="1" applyAlignment="1" applyProtection="1">
      <alignment horizontal="centerContinuous"/>
    </xf>
    <xf numFmtId="0" fontId="25" fillId="0" borderId="34" xfId="2" applyNumberFormat="1" applyFont="1" applyFill="1" applyBorder="1" applyAlignment="1" applyProtection="1">
      <alignment horizontal="centerContinuous" vertical="center"/>
    </xf>
    <xf numFmtId="0" fontId="25" fillId="0" borderId="40" xfId="2" applyNumberFormat="1" applyFont="1" applyFill="1" applyBorder="1" applyAlignment="1" applyProtection="1">
      <alignment horizontal="centerContinuous" vertical="center"/>
    </xf>
    <xf numFmtId="0" fontId="25" fillId="0" borderId="41" xfId="2" applyNumberFormat="1" applyFont="1" applyFill="1" applyBorder="1" applyAlignment="1" applyProtection="1">
      <alignment horizontal="centerContinuous" vertical="center"/>
    </xf>
    <xf numFmtId="0" fontId="35" fillId="0" borderId="34" xfId="2" applyNumberFormat="1" applyFont="1" applyFill="1" applyBorder="1" applyAlignment="1" applyProtection="1">
      <alignment horizontal="centerContinuous"/>
    </xf>
    <xf numFmtId="0" fontId="35" fillId="0" borderId="40" xfId="2" applyNumberFormat="1" applyFont="1" applyFill="1" applyBorder="1" applyAlignment="1" applyProtection="1">
      <alignment horizontal="centerContinuous" wrapText="1"/>
    </xf>
    <xf numFmtId="0" fontId="35" fillId="0" borderId="40" xfId="2" applyNumberFormat="1" applyFont="1" applyFill="1" applyBorder="1" applyAlignment="1" applyProtection="1">
      <alignment horizontal="centerContinuous"/>
    </xf>
    <xf numFmtId="0" fontId="35" fillId="0" borderId="41" xfId="2" applyNumberFormat="1" applyFont="1" applyFill="1" applyBorder="1" applyAlignment="1" applyProtection="1">
      <alignment horizontal="centerContinuous"/>
    </xf>
    <xf numFmtId="0" fontId="35" fillId="0" borderId="34" xfId="2" applyNumberFormat="1" applyFont="1" applyFill="1" applyBorder="1" applyAlignment="1" applyProtection="1">
      <alignment horizontal="centerContinuous" vertical="center"/>
    </xf>
    <xf numFmtId="0" fontId="35" fillId="0" borderId="40" xfId="2" applyNumberFormat="1" applyFont="1" applyFill="1" applyBorder="1" applyAlignment="1" applyProtection="1">
      <alignment horizontal="centerContinuous" vertical="center"/>
    </xf>
    <xf numFmtId="0" fontId="37" fillId="0" borderId="68" xfId="2" applyNumberFormat="1" applyFont="1" applyFill="1" applyBorder="1" applyAlignment="1" applyProtection="1">
      <alignment horizontal="center" vertical="center" textRotation="90"/>
    </xf>
    <xf numFmtId="0" fontId="31" fillId="0" borderId="0" xfId="12" applyNumberFormat="1" applyFont="1"/>
    <xf numFmtId="0" fontId="36" fillId="2" borderId="3" xfId="2" applyNumberFormat="1" applyFont="1" applyFill="1" applyBorder="1" applyAlignment="1" applyProtection="1">
      <alignment horizontal="left" vertical="center" textRotation="90"/>
    </xf>
    <xf numFmtId="0" fontId="35" fillId="0" borderId="3" xfId="2" applyNumberFormat="1" applyFont="1" applyFill="1" applyBorder="1" applyAlignment="1" applyProtection="1">
      <alignment horizontal="center" vertical="center" textRotation="90"/>
    </xf>
    <xf numFmtId="0" fontId="35" fillId="2" borderId="3" xfId="2" quotePrefix="1" applyNumberFormat="1" applyFont="1" applyFill="1" applyBorder="1" applyAlignment="1" applyProtection="1">
      <alignment horizontal="center" vertical="center" textRotation="90"/>
    </xf>
    <xf numFmtId="0" fontId="25" fillId="0" borderId="25" xfId="2" applyNumberFormat="1" applyFont="1" applyFill="1" applyBorder="1" applyAlignment="1" applyProtection="1">
      <alignment vertical="center" textRotation="90"/>
    </xf>
    <xf numFmtId="0" fontId="37" fillId="0" borderId="53" xfId="2" applyNumberFormat="1" applyFont="1" applyFill="1" applyBorder="1" applyAlignment="1" applyProtection="1">
      <alignment horizontal="center" vertical="center" textRotation="90"/>
    </xf>
    <xf numFmtId="0" fontId="118" fillId="4" borderId="0" xfId="12" applyNumberFormat="1" applyFont="1" applyFill="1" applyAlignment="1">
      <alignment horizontal="center"/>
    </xf>
    <xf numFmtId="0" fontId="118" fillId="4" borderId="0" xfId="12" applyNumberFormat="1" applyFont="1" applyFill="1"/>
    <xf numFmtId="0" fontId="43" fillId="0" borderId="0" xfId="12" applyNumberFormat="1" applyFont="1"/>
    <xf numFmtId="0" fontId="95" fillId="0" borderId="69" xfId="12" applyNumberFormat="1" applyFont="1" applyFill="1" applyBorder="1" applyAlignment="1">
      <alignment horizontal="left" vertical="center"/>
    </xf>
    <xf numFmtId="0" fontId="95" fillId="0" borderId="38" xfId="12" applyNumberFormat="1" applyFont="1" applyFill="1" applyBorder="1" applyAlignment="1">
      <alignment horizontal="centerContinuous" vertical="center"/>
    </xf>
    <xf numFmtId="0" fontId="95" fillId="0" borderId="39" xfId="12" applyNumberFormat="1" applyFont="1" applyFill="1" applyBorder="1" applyAlignment="1">
      <alignment horizontal="centerContinuous" vertical="center"/>
    </xf>
    <xf numFmtId="0" fontId="36" fillId="0" borderId="27" xfId="2" applyNumberFormat="1" applyFont="1" applyFill="1" applyBorder="1" applyAlignment="1" applyProtection="1">
      <alignment horizontal="center" vertical="center"/>
    </xf>
    <xf numFmtId="3" fontId="25" fillId="0" borderId="6" xfId="2" applyNumberFormat="1" applyFont="1" applyFill="1" applyBorder="1" applyAlignment="1" applyProtection="1">
      <alignment horizontal="center" vertical="center"/>
    </xf>
    <xf numFmtId="0" fontId="25" fillId="0" borderId="6" xfId="2" applyNumberFormat="1" applyFont="1" applyFill="1" applyBorder="1" applyAlignment="1">
      <alignment horizontal="center" vertical="center"/>
    </xf>
    <xf numFmtId="1" fontId="31" fillId="0" borderId="6" xfId="12" applyNumberFormat="1" applyFont="1" applyFill="1" applyBorder="1" applyAlignment="1">
      <alignment horizontal="center"/>
    </xf>
    <xf numFmtId="1" fontId="25" fillId="0" borderId="37" xfId="2" applyNumberFormat="1" applyFont="1" applyFill="1" applyBorder="1" applyAlignment="1">
      <alignment horizontal="center" vertical="center"/>
    </xf>
    <xf numFmtId="0" fontId="25" fillId="0" borderId="65" xfId="12" applyNumberFormat="1" applyFont="1" applyFill="1" applyBorder="1" applyAlignment="1">
      <alignment horizontal="center" vertical="center"/>
    </xf>
    <xf numFmtId="0" fontId="25" fillId="0" borderId="15" xfId="12" applyNumberFormat="1" applyFont="1" applyFill="1" applyBorder="1" applyAlignment="1">
      <alignment horizontal="center" vertical="center"/>
    </xf>
    <xf numFmtId="0" fontId="31" fillId="0" borderId="15" xfId="12" applyNumberFormat="1" applyFont="1" applyFill="1" applyBorder="1" applyAlignment="1">
      <alignment horizontal="center" vertical="center"/>
    </xf>
    <xf numFmtId="0" fontId="25" fillId="0" borderId="66" xfId="12" applyNumberFormat="1" applyFont="1" applyFill="1" applyBorder="1" applyAlignment="1">
      <alignment horizontal="center" vertical="center"/>
    </xf>
    <xf numFmtId="0" fontId="25" fillId="0" borderId="20" xfId="12" applyNumberFormat="1" applyFont="1" applyFill="1" applyBorder="1" applyAlignment="1">
      <alignment horizontal="center" vertical="center"/>
    </xf>
    <xf numFmtId="0" fontId="31" fillId="0" borderId="67" xfId="2" applyNumberFormat="1" applyFont="1" applyFill="1" applyBorder="1" applyAlignment="1">
      <alignment horizontal="center"/>
    </xf>
    <xf numFmtId="0" fontId="31" fillId="0" borderId="0" xfId="12" applyNumberFormat="1" applyFont="1" applyFill="1"/>
    <xf numFmtId="0" fontId="36" fillId="0" borderId="27" xfId="2" quotePrefix="1" applyNumberFormat="1" applyFont="1" applyFill="1" applyBorder="1" applyAlignment="1" applyProtection="1">
      <alignment horizontal="center" vertical="center"/>
    </xf>
    <xf numFmtId="0" fontId="31" fillId="0" borderId="65" xfId="12" applyNumberFormat="1" applyFont="1" applyFill="1" applyBorder="1" applyAlignment="1">
      <alignment horizontal="center" vertical="center"/>
    </xf>
    <xf numFmtId="0" fontId="31" fillId="0" borderId="6" xfId="12" applyNumberFormat="1" applyFont="1" applyFill="1" applyBorder="1" applyAlignment="1">
      <alignment horizontal="center" vertical="center"/>
    </xf>
    <xf numFmtId="0" fontId="31" fillId="0" borderId="66" xfId="12" applyNumberFormat="1" applyFont="1" applyFill="1" applyBorder="1" applyAlignment="1">
      <alignment horizontal="center" vertical="center"/>
    </xf>
    <xf numFmtId="0" fontId="31" fillId="0" borderId="20" xfId="12" applyNumberFormat="1" applyFont="1" applyFill="1" applyBorder="1" applyAlignment="1">
      <alignment horizontal="center" vertical="center"/>
    </xf>
    <xf numFmtId="0" fontId="36" fillId="0" borderId="74" xfId="2" applyNumberFormat="1" applyFont="1" applyFill="1" applyBorder="1" applyAlignment="1" applyProtection="1">
      <alignment horizontal="center" vertical="center"/>
    </xf>
    <xf numFmtId="0" fontId="25" fillId="0" borderId="8" xfId="2" applyNumberFormat="1" applyFont="1" applyFill="1" applyBorder="1" applyAlignment="1" applyProtection="1">
      <alignment horizontal="center" vertical="center"/>
    </xf>
    <xf numFmtId="3" fontId="25" fillId="0" borderId="8" xfId="2" applyNumberFormat="1" applyFont="1" applyFill="1" applyBorder="1" applyAlignment="1" applyProtection="1">
      <alignment horizontal="center" vertical="center"/>
    </xf>
    <xf numFmtId="0" fontId="25" fillId="0" borderId="8" xfId="2" applyNumberFormat="1" applyFont="1" applyFill="1" applyBorder="1" applyAlignment="1">
      <alignment horizontal="center" vertical="center"/>
    </xf>
    <xf numFmtId="1" fontId="25" fillId="0" borderId="8" xfId="2" applyNumberFormat="1" applyFont="1" applyFill="1" applyBorder="1" applyAlignment="1">
      <alignment horizontal="center" vertical="center"/>
    </xf>
    <xf numFmtId="0" fontId="31" fillId="0" borderId="8" xfId="12" applyNumberFormat="1" applyFont="1" applyFill="1" applyBorder="1" applyAlignment="1">
      <alignment horizontal="center"/>
    </xf>
    <xf numFmtId="1" fontId="31" fillId="0" borderId="8" xfId="12" applyNumberFormat="1" applyFont="1" applyFill="1" applyBorder="1" applyAlignment="1">
      <alignment horizontal="center"/>
    </xf>
    <xf numFmtId="1" fontId="25" fillId="0" borderId="60" xfId="2" applyNumberFormat="1" applyFont="1" applyFill="1" applyBorder="1" applyAlignment="1">
      <alignment horizontal="center" vertical="center"/>
    </xf>
    <xf numFmtId="0" fontId="36" fillId="0" borderId="64" xfId="2" applyNumberFormat="1" applyFont="1" applyFill="1" applyBorder="1" applyAlignment="1" applyProtection="1">
      <alignment horizontal="center" vertical="center"/>
    </xf>
    <xf numFmtId="0" fontId="35" fillId="0" borderId="3" xfId="2" applyNumberFormat="1" applyFont="1" applyFill="1" applyBorder="1" applyAlignment="1" applyProtection="1">
      <alignment horizontal="center" vertical="center"/>
    </xf>
    <xf numFmtId="3" fontId="35" fillId="0" borderId="3" xfId="2" applyNumberFormat="1" applyFont="1" applyFill="1" applyBorder="1" applyAlignment="1" applyProtection="1">
      <alignment horizontal="center" vertical="center"/>
    </xf>
    <xf numFmtId="0" fontId="35" fillId="0" borderId="3" xfId="2" applyNumberFormat="1" applyFont="1" applyFill="1" applyBorder="1" applyAlignment="1">
      <alignment horizontal="center" vertical="center"/>
    </xf>
    <xf numFmtId="1" fontId="35" fillId="0" borderId="3" xfId="2" applyNumberFormat="1" applyFont="1" applyFill="1" applyBorder="1" applyAlignment="1">
      <alignment horizontal="center" vertical="center"/>
    </xf>
    <xf numFmtId="1" fontId="35" fillId="0" borderId="51" xfId="2" applyNumberFormat="1" applyFont="1" applyFill="1" applyBorder="1" applyAlignment="1">
      <alignment horizontal="center" vertical="center"/>
    </xf>
    <xf numFmtId="0" fontId="43" fillId="0" borderId="65" xfId="12" applyNumberFormat="1" applyFont="1" applyFill="1" applyBorder="1" applyAlignment="1">
      <alignment horizontal="center" vertical="center"/>
    </xf>
    <xf numFmtId="0" fontId="43" fillId="0" borderId="15" xfId="12" applyNumberFormat="1" applyFont="1" applyFill="1" applyBorder="1" applyAlignment="1">
      <alignment horizontal="center" vertical="center"/>
    </xf>
    <xf numFmtId="0" fontId="35" fillId="0" borderId="15" xfId="12" applyNumberFormat="1" applyFont="1" applyFill="1" applyBorder="1" applyAlignment="1">
      <alignment horizontal="center" vertical="center"/>
    </xf>
    <xf numFmtId="0" fontId="35" fillId="0" borderId="66" xfId="12" applyNumberFormat="1" applyFont="1" applyFill="1" applyBorder="1" applyAlignment="1">
      <alignment horizontal="center" vertical="center"/>
    </xf>
    <xf numFmtId="0" fontId="35" fillId="0" borderId="20" xfId="12" applyNumberFormat="1" applyFont="1" applyFill="1" applyBorder="1" applyAlignment="1">
      <alignment horizontal="center" vertical="center"/>
    </xf>
    <xf numFmtId="0" fontId="43" fillId="0" borderId="67" xfId="2" applyNumberFormat="1" applyFont="1" applyFill="1" applyBorder="1" applyAlignment="1">
      <alignment horizontal="center"/>
    </xf>
    <xf numFmtId="0" fontId="43" fillId="0" borderId="0" xfId="12" applyNumberFormat="1" applyFont="1" applyFill="1"/>
    <xf numFmtId="0" fontId="95" fillId="0" borderId="61" xfId="12" applyNumberFormat="1" applyFont="1" applyFill="1" applyBorder="1" applyAlignment="1">
      <alignment horizontal="left" vertical="center"/>
    </xf>
    <xf numFmtId="0" fontId="95" fillId="0" borderId="2" xfId="12" applyNumberFormat="1" applyFont="1" applyFill="1" applyBorder="1" applyAlignment="1">
      <alignment horizontal="centerContinuous" vertical="center"/>
    </xf>
    <xf numFmtId="0" fontId="95" fillId="0" borderId="49" xfId="12" applyNumberFormat="1" applyFont="1" applyFill="1" applyBorder="1" applyAlignment="1">
      <alignment horizontal="centerContinuous" vertical="center"/>
    </xf>
    <xf numFmtId="0" fontId="36" fillId="0" borderId="48" xfId="2" applyNumberFormat="1" applyFont="1" applyFill="1" applyBorder="1" applyAlignment="1" applyProtection="1">
      <alignment horizontal="center" vertical="center"/>
    </xf>
    <xf numFmtId="0" fontId="25" fillId="0" borderId="14" xfId="2" applyNumberFormat="1" applyFont="1" applyFill="1" applyBorder="1" applyAlignment="1" applyProtection="1">
      <alignment horizontal="center" vertical="center"/>
    </xf>
    <xf numFmtId="3" fontId="25" fillId="0" borderId="14" xfId="2" applyNumberFormat="1" applyFont="1" applyFill="1" applyBorder="1" applyAlignment="1" applyProtection="1">
      <alignment horizontal="center" vertical="center"/>
    </xf>
    <xf numFmtId="0" fontId="25" fillId="0" borderId="14" xfId="2" applyNumberFormat="1" applyFont="1" applyFill="1" applyBorder="1" applyAlignment="1">
      <alignment horizontal="center" vertical="center"/>
    </xf>
    <xf numFmtId="1" fontId="25" fillId="0" borderId="14" xfId="2" applyNumberFormat="1" applyFont="1" applyFill="1" applyBorder="1" applyAlignment="1">
      <alignment horizontal="center" vertical="center"/>
    </xf>
    <xf numFmtId="1" fontId="31" fillId="0" borderId="14" xfId="12" applyNumberFormat="1" applyFont="1" applyFill="1" applyBorder="1" applyAlignment="1">
      <alignment horizontal="center"/>
    </xf>
    <xf numFmtId="1" fontId="25" fillId="0" borderId="45" xfId="2" applyNumberFormat="1" applyFont="1" applyFill="1" applyBorder="1" applyAlignment="1">
      <alignment horizontal="center" vertical="center"/>
    </xf>
    <xf numFmtId="0" fontId="35" fillId="0" borderId="6" xfId="2" applyNumberFormat="1" applyFont="1" applyFill="1" applyBorder="1" applyAlignment="1" applyProtection="1">
      <alignment horizontal="center" vertical="center"/>
    </xf>
    <xf numFmtId="3" fontId="35" fillId="0" borderId="6" xfId="2" applyNumberFormat="1" applyFont="1" applyFill="1" applyBorder="1" applyAlignment="1" applyProtection="1">
      <alignment horizontal="center" vertical="center"/>
    </xf>
    <xf numFmtId="0" fontId="35" fillId="0" borderId="6" xfId="2" applyNumberFormat="1" applyFont="1" applyFill="1" applyBorder="1" applyAlignment="1">
      <alignment horizontal="center" vertical="center"/>
    </xf>
    <xf numFmtId="1" fontId="35" fillId="0" borderId="37" xfId="2" applyNumberFormat="1" applyFont="1" applyFill="1" applyBorder="1" applyAlignment="1">
      <alignment horizontal="center" vertical="center"/>
    </xf>
    <xf numFmtId="0" fontId="35" fillId="0" borderId="70" xfId="12" applyNumberFormat="1" applyFont="1" applyFill="1" applyBorder="1" applyAlignment="1">
      <alignment horizontal="center" vertical="center"/>
    </xf>
    <xf numFmtId="0" fontId="35" fillId="0" borderId="75" xfId="12" applyNumberFormat="1" applyFont="1" applyFill="1" applyBorder="1" applyAlignment="1">
      <alignment horizontal="centerContinuous" vertical="center"/>
    </xf>
    <xf numFmtId="3" fontId="35" fillId="0" borderId="75" xfId="12" applyNumberFormat="1" applyFont="1" applyFill="1" applyBorder="1" applyAlignment="1">
      <alignment horizontal="centerContinuous" vertical="center"/>
    </xf>
    <xf numFmtId="3" fontId="77" fillId="0" borderId="35" xfId="12" applyNumberFormat="1" applyFont="1" applyFill="1" applyBorder="1" applyAlignment="1">
      <alignment horizontal="center" vertical="center"/>
    </xf>
    <xf numFmtId="3" fontId="43" fillId="0" borderId="0" xfId="12" applyNumberFormat="1" applyFont="1" applyFill="1"/>
    <xf numFmtId="0" fontId="119" fillId="0" borderId="0" xfId="12" applyNumberFormat="1" applyFont="1" applyFill="1" applyAlignment="1">
      <alignment horizontal="center"/>
    </xf>
    <xf numFmtId="0" fontId="25" fillId="0" borderId="0" xfId="12" applyNumberFormat="1" applyFont="1"/>
    <xf numFmtId="168" fontId="25" fillId="0" borderId="0" xfId="12" applyNumberFormat="1" applyFont="1"/>
    <xf numFmtId="0" fontId="25" fillId="0" borderId="0" xfId="12" applyNumberFormat="1" applyFont="1" applyFill="1"/>
    <xf numFmtId="0" fontId="25" fillId="2" borderId="0" xfId="12" applyNumberFormat="1" applyFont="1" applyFill="1"/>
    <xf numFmtId="0" fontId="25" fillId="0" borderId="0" xfId="12" applyNumberFormat="1" applyFont="1" applyAlignment="1"/>
    <xf numFmtId="0" fontId="25" fillId="0" borderId="0" xfId="12" applyNumberFormat="1" applyFont="1" applyFill="1" applyAlignment="1"/>
    <xf numFmtId="0" fontId="63" fillId="0" borderId="0" xfId="12" applyNumberFormat="1" applyFont="1"/>
    <xf numFmtId="0" fontId="113" fillId="0" borderId="0" xfId="12" applyNumberFormat="1" applyFont="1" applyAlignment="1">
      <alignment horizontal="right"/>
    </xf>
    <xf numFmtId="168" fontId="25" fillId="7" borderId="0" xfId="12" quotePrefix="1" applyNumberFormat="1" applyFont="1" applyFill="1"/>
    <xf numFmtId="168" fontId="25" fillId="0" borderId="0" xfId="12" applyNumberFormat="1" applyFont="1" applyAlignment="1">
      <alignment horizontal="center"/>
    </xf>
    <xf numFmtId="0" fontId="25" fillId="0" borderId="0" xfId="12" quotePrefix="1" applyNumberFormat="1" applyFont="1"/>
    <xf numFmtId="3" fontId="25" fillId="0" borderId="0" xfId="12" quotePrefix="1" applyNumberFormat="1" applyFont="1" applyFill="1" applyAlignment="1">
      <alignment horizontal="centerContinuous"/>
    </xf>
    <xf numFmtId="3" fontId="31" fillId="0" borderId="0" xfId="12" applyNumberFormat="1" applyFont="1" applyFill="1" applyAlignment="1">
      <alignment horizontal="centerContinuous"/>
    </xf>
    <xf numFmtId="168" fontId="25" fillId="0" borderId="0" xfId="12" quotePrefix="1" applyNumberFormat="1" applyFont="1" applyFill="1" applyAlignment="1">
      <alignment horizontal="centerContinuous"/>
    </xf>
    <xf numFmtId="168" fontId="31" fillId="0" borderId="0" xfId="12" applyNumberFormat="1" applyFont="1" applyFill="1" applyAlignment="1">
      <alignment horizontal="centerContinuous"/>
    </xf>
    <xf numFmtId="3" fontId="25" fillId="0" borderId="0" xfId="12" applyNumberFormat="1" applyFont="1" applyFill="1"/>
    <xf numFmtId="0" fontId="114" fillId="0" borderId="0" xfId="12" applyNumberFormat="1" applyFont="1" applyAlignment="1">
      <alignment horizontal="right"/>
    </xf>
    <xf numFmtId="0" fontId="115" fillId="0" borderId="0" xfId="12" applyNumberFormat="1" applyFont="1" applyAlignment="1">
      <alignment horizontal="right"/>
    </xf>
    <xf numFmtId="168" fontId="25" fillId="7" borderId="0" xfId="12" applyNumberFormat="1" applyFont="1" applyFill="1"/>
    <xf numFmtId="0" fontId="115" fillId="0" borderId="0" xfId="12" applyNumberFormat="1" applyFont="1" applyAlignment="1"/>
    <xf numFmtId="168" fontId="25" fillId="0" borderId="0" xfId="12" quotePrefix="1" applyNumberFormat="1" applyFont="1"/>
    <xf numFmtId="3" fontId="25" fillId="0" borderId="0" xfId="12" applyNumberFormat="1" applyFont="1"/>
    <xf numFmtId="3" fontId="25" fillId="2" borderId="0" xfId="12" applyNumberFormat="1" applyFont="1" applyFill="1"/>
    <xf numFmtId="0" fontId="31" fillId="0" borderId="30" xfId="12" applyNumberFormat="1" applyFont="1" applyFill="1" applyBorder="1" applyAlignment="1">
      <alignment horizontal="center"/>
    </xf>
    <xf numFmtId="0" fontId="31" fillId="0" borderId="6" xfId="12" applyNumberFormat="1" applyFont="1" applyFill="1" applyBorder="1" applyAlignment="1"/>
    <xf numFmtId="0" fontId="31" fillId="5" borderId="19" xfId="12" applyNumberFormat="1" applyFont="1" applyFill="1" applyBorder="1" applyAlignment="1"/>
    <xf numFmtId="0" fontId="31" fillId="5" borderId="0" xfId="12" applyNumberFormat="1" applyFont="1" applyFill="1" applyBorder="1" applyAlignment="1"/>
    <xf numFmtId="0" fontId="31" fillId="0" borderId="31" xfId="12" applyNumberFormat="1" applyFont="1" applyFill="1" applyBorder="1" applyAlignment="1">
      <alignment horizontal="center"/>
    </xf>
    <xf numFmtId="0" fontId="31" fillId="6" borderId="9" xfId="12" applyNumberFormat="1" applyFont="1" applyFill="1" applyBorder="1" applyAlignment="1">
      <alignment horizontal="center"/>
    </xf>
    <xf numFmtId="0" fontId="31" fillId="0" borderId="9" xfId="12" applyNumberFormat="1" applyFont="1" applyFill="1" applyBorder="1" applyAlignment="1">
      <alignment horizontal="center"/>
    </xf>
    <xf numFmtId="0" fontId="31" fillId="6" borderId="16" xfId="12" applyNumberFormat="1" applyFont="1" applyFill="1" applyBorder="1" applyAlignment="1">
      <alignment horizontal="center"/>
    </xf>
    <xf numFmtId="0" fontId="31" fillId="0" borderId="10" xfId="12" applyNumberFormat="1" applyFont="1" applyFill="1" applyBorder="1" applyAlignment="1">
      <alignment horizontal="center"/>
    </xf>
    <xf numFmtId="0" fontId="31" fillId="6" borderId="11" xfId="12" applyNumberFormat="1" applyFont="1" applyFill="1" applyBorder="1" applyAlignment="1">
      <alignment horizontal="center"/>
    </xf>
    <xf numFmtId="169" fontId="25" fillId="0" borderId="6" xfId="2" applyNumberFormat="1" applyFont="1" applyFill="1" applyBorder="1" applyAlignment="1">
      <alignment horizontal="center" vertical="center"/>
    </xf>
    <xf numFmtId="0" fontId="31" fillId="0" borderId="32" xfId="12" applyNumberFormat="1" applyFont="1" applyFill="1" applyBorder="1" applyAlignment="1">
      <alignment horizontal="center"/>
    </xf>
    <xf numFmtId="0" fontId="31" fillId="6" borderId="10" xfId="12" applyNumberFormat="1" applyFont="1" applyFill="1" applyBorder="1" applyAlignment="1">
      <alignment horizontal="center"/>
    </xf>
    <xf numFmtId="0" fontId="31" fillId="6" borderId="17" xfId="12" applyNumberFormat="1" applyFont="1" applyFill="1" applyBorder="1" applyAlignment="1">
      <alignment horizontal="center"/>
    </xf>
    <xf numFmtId="2" fontId="31" fillId="0" borderId="32" xfId="12" applyNumberFormat="1" applyFont="1" applyFill="1" applyBorder="1" applyAlignment="1">
      <alignment horizontal="center"/>
    </xf>
    <xf numFmtId="0" fontId="31" fillId="0" borderId="33" xfId="12" applyNumberFormat="1" applyFont="1" applyFill="1" applyBorder="1" applyAlignment="1">
      <alignment horizontal="center"/>
    </xf>
    <xf numFmtId="0" fontId="31" fillId="6" borderId="12" xfId="12" applyNumberFormat="1" applyFont="1" applyFill="1" applyBorder="1" applyAlignment="1">
      <alignment horizontal="center"/>
    </xf>
    <xf numFmtId="0" fontId="31" fillId="0" borderId="12" xfId="12" applyNumberFormat="1" applyFont="1" applyFill="1" applyBorder="1" applyAlignment="1">
      <alignment horizontal="center"/>
    </xf>
    <xf numFmtId="0" fontId="31" fillId="6" borderId="18" xfId="12" applyNumberFormat="1" applyFont="1" applyFill="1" applyBorder="1" applyAlignment="1">
      <alignment horizontal="center"/>
    </xf>
    <xf numFmtId="0" fontId="31" fillId="0" borderId="29" xfId="12" applyNumberFormat="1" applyFont="1" applyFill="1" applyBorder="1"/>
    <xf numFmtId="0" fontId="31" fillId="7" borderId="13" xfId="12" applyNumberFormat="1" applyFont="1" applyFill="1" applyBorder="1" applyAlignment="1">
      <alignment horizontal="center"/>
    </xf>
    <xf numFmtId="0" fontId="31" fillId="0" borderId="13" xfId="12" applyNumberFormat="1" applyFont="1" applyFill="1" applyBorder="1" applyAlignment="1">
      <alignment horizontal="center"/>
    </xf>
    <xf numFmtId="168" fontId="31" fillId="0" borderId="0" xfId="12" applyNumberFormat="1" applyFont="1"/>
    <xf numFmtId="0" fontId="31" fillId="0" borderId="0" xfId="12" applyNumberFormat="1" applyFont="1" applyAlignment="1"/>
    <xf numFmtId="0" fontId="31" fillId="0" borderId="0" xfId="12" applyNumberFormat="1" applyFont="1" applyFill="1" applyAlignment="1"/>
    <xf numFmtId="0" fontId="46" fillId="0" borderId="0" xfId="2" applyNumberFormat="1" applyFont="1" applyFill="1" applyBorder="1"/>
    <xf numFmtId="0" fontId="63" fillId="0" borderId="0" xfId="2" applyNumberFormat="1" applyFont="1" applyFill="1" applyBorder="1"/>
    <xf numFmtId="49" fontId="38" fillId="0" borderId="0" xfId="2" applyNumberFormat="1" applyFont="1" applyFill="1" applyBorder="1" applyAlignment="1" applyProtection="1">
      <alignment horizontal="centerContinuous" vertical="center"/>
    </xf>
    <xf numFmtId="0" fontId="39" fillId="0" borderId="0" xfId="2" applyNumberFormat="1" applyFont="1" applyFill="1" applyBorder="1" applyAlignment="1" applyProtection="1">
      <alignment horizontal="centerContinuous" vertical="center"/>
    </xf>
    <xf numFmtId="0" fontId="64" fillId="0" borderId="0" xfId="2" applyNumberFormat="1" applyFont="1" applyFill="1" applyBorder="1" applyAlignment="1">
      <alignment horizontal="centerContinuous" vertical="center"/>
    </xf>
    <xf numFmtId="3" fontId="39" fillId="0" borderId="0" xfId="2" applyNumberFormat="1" applyFont="1" applyFill="1" applyBorder="1" applyAlignment="1">
      <alignment horizontal="centerContinuous" vertical="center"/>
    </xf>
    <xf numFmtId="0" fontId="65" fillId="0" borderId="0" xfId="2" applyNumberFormat="1" applyFont="1" applyFill="1" applyBorder="1" applyAlignment="1">
      <alignment horizontal="centerContinuous" vertical="center"/>
    </xf>
    <xf numFmtId="3" fontId="120" fillId="0" borderId="0" xfId="10" quotePrefix="1" applyNumberFormat="1" applyFont="1" applyFill="1" applyAlignment="1">
      <alignment horizontal="centerContinuous"/>
    </xf>
    <xf numFmtId="0" fontId="64" fillId="0" borderId="0" xfId="2" applyNumberFormat="1" applyFont="1" applyFill="1" applyBorder="1"/>
    <xf numFmtId="3" fontId="35" fillId="0" borderId="0" xfId="2" applyNumberFormat="1" applyFont="1" applyBorder="1" applyAlignment="1">
      <alignment horizontal="centerContinuous" vertical="center"/>
    </xf>
    <xf numFmtId="3" fontId="77" fillId="0" borderId="0" xfId="2" applyNumberFormat="1" applyFont="1" applyFill="1" applyBorder="1" applyAlignment="1">
      <alignment horizontal="centerContinuous" vertical="center"/>
    </xf>
    <xf numFmtId="0" fontId="35" fillId="11" borderId="34" xfId="2" applyNumberFormat="1" applyFont="1" applyFill="1" applyBorder="1" applyAlignment="1" applyProtection="1">
      <alignment horizontal="centerContinuous" vertical="center"/>
    </xf>
    <xf numFmtId="0" fontId="35" fillId="11" borderId="40" xfId="2" applyNumberFormat="1" applyFont="1" applyFill="1" applyBorder="1" applyAlignment="1" applyProtection="1">
      <alignment horizontal="centerContinuous" vertical="center"/>
    </xf>
    <xf numFmtId="0" fontId="35" fillId="11" borderId="41" xfId="2" applyNumberFormat="1" applyFont="1" applyFill="1" applyBorder="1" applyAlignment="1" applyProtection="1">
      <alignment horizontal="centerContinuous" vertical="center"/>
    </xf>
    <xf numFmtId="0" fontId="37" fillId="11" borderId="34" xfId="2" applyNumberFormat="1" applyFont="1" applyFill="1" applyBorder="1" applyAlignment="1" applyProtection="1">
      <alignment horizontal="centerContinuous" vertical="center"/>
    </xf>
    <xf numFmtId="0" fontId="121" fillId="11" borderId="41" xfId="2" applyNumberFormat="1" applyFont="1" applyFill="1" applyBorder="1" applyAlignment="1" applyProtection="1">
      <alignment horizontal="centerContinuous" vertical="center"/>
    </xf>
    <xf numFmtId="0" fontId="31" fillId="11" borderId="41" xfId="11" applyNumberFormat="1" applyFont="1" applyFill="1" applyBorder="1" applyAlignment="1">
      <alignment horizontal="centerContinuous"/>
    </xf>
    <xf numFmtId="0" fontId="31" fillId="11" borderId="40" xfId="11" applyNumberFormat="1" applyFont="1" applyFill="1" applyBorder="1" applyAlignment="1">
      <alignment horizontal="centerContinuous"/>
    </xf>
    <xf numFmtId="0" fontId="31" fillId="11" borderId="34" xfId="11" applyNumberFormat="1" applyFont="1" applyFill="1" applyBorder="1" applyAlignment="1">
      <alignment horizontal="centerContinuous"/>
    </xf>
    <xf numFmtId="0" fontId="37" fillId="11" borderId="3" xfId="2" applyNumberFormat="1" applyFont="1" applyFill="1" applyBorder="1" applyAlignment="1" applyProtection="1">
      <alignment horizontal="center" vertical="center" textRotation="90"/>
    </xf>
    <xf numFmtId="0" fontId="25" fillId="11" borderId="3" xfId="2" quotePrefix="1" applyNumberFormat="1" applyFont="1" applyFill="1" applyBorder="1" applyAlignment="1" applyProtection="1">
      <alignment horizontal="center" vertical="center" textRotation="90"/>
    </xf>
    <xf numFmtId="0" fontId="25" fillId="11" borderId="52" xfId="2" quotePrefix="1" applyNumberFormat="1" applyFont="1" applyFill="1" applyBorder="1" applyAlignment="1" applyProtection="1">
      <alignment horizontal="center" vertical="center" textRotation="90"/>
    </xf>
    <xf numFmtId="0" fontId="25" fillId="11" borderId="3" xfId="2" applyNumberFormat="1" applyFont="1" applyFill="1" applyBorder="1" applyAlignment="1" applyProtection="1">
      <alignment horizontal="center" vertical="center" textRotation="90"/>
    </xf>
    <xf numFmtId="0" fontId="121" fillId="11" borderId="3" xfId="2" applyNumberFormat="1" applyFont="1" applyFill="1" applyBorder="1" applyAlignment="1" applyProtection="1">
      <alignment horizontal="center" vertical="center" textRotation="90"/>
    </xf>
    <xf numFmtId="0" fontId="37" fillId="11" borderId="53" xfId="2" applyNumberFormat="1" applyFont="1" applyFill="1" applyBorder="1" applyAlignment="1" applyProtection="1">
      <alignment horizontal="center" vertical="center" textRotation="90" wrapText="1"/>
    </xf>
    <xf numFmtId="0" fontId="25" fillId="0" borderId="0" xfId="2" applyNumberFormat="1" applyFont="1" applyFill="1" applyBorder="1" applyAlignment="1" applyProtection="1">
      <alignment vertical="center"/>
    </xf>
    <xf numFmtId="0" fontId="25" fillId="0" borderId="0" xfId="2" applyNumberFormat="1" applyFont="1" applyFill="1" applyBorder="1" applyAlignment="1" applyProtection="1">
      <alignment horizontal="centerContinuous" vertical="center"/>
    </xf>
    <xf numFmtId="0" fontId="122" fillId="0" borderId="36" xfId="2" applyNumberFormat="1" applyFont="1" applyFill="1" applyBorder="1" applyAlignment="1" applyProtection="1">
      <alignment horizontal="centerContinuous" vertical="center"/>
    </xf>
    <xf numFmtId="0" fontId="25" fillId="0" borderId="54" xfId="0" applyFont="1" applyBorder="1" applyAlignment="1">
      <alignment horizontal="center"/>
    </xf>
    <xf numFmtId="0" fontId="25" fillId="0" borderId="43" xfId="2" applyNumberFormat="1" applyFont="1" applyFill="1" applyBorder="1" applyAlignment="1" applyProtection="1">
      <alignment horizontal="center" vertical="center"/>
    </xf>
    <xf numFmtId="0" fontId="25" fillId="0" borderId="43" xfId="2" applyNumberFormat="1" applyFont="1" applyFill="1" applyBorder="1" applyAlignment="1" applyProtection="1">
      <alignment horizontal="right" vertical="center"/>
    </xf>
    <xf numFmtId="0" fontId="25" fillId="11" borderId="43" xfId="2" applyNumberFormat="1" applyFont="1" applyFill="1" applyBorder="1" applyAlignment="1" applyProtection="1">
      <alignment horizontal="center" vertical="center"/>
    </xf>
    <xf numFmtId="0" fontId="66" fillId="0" borderId="43" xfId="0" applyFont="1" applyBorder="1"/>
    <xf numFmtId="0" fontId="66" fillId="0" borderId="43" xfId="0" applyFont="1" applyBorder="1" applyAlignment="1">
      <alignment horizontal="center"/>
    </xf>
    <xf numFmtId="0" fontId="25" fillId="0" borderId="55" xfId="2" applyNumberFormat="1" applyFont="1" applyFill="1" applyBorder="1" applyAlignment="1" applyProtection="1">
      <alignment horizontal="center" vertical="center"/>
    </xf>
    <xf numFmtId="0" fontId="25" fillId="0" borderId="0" xfId="2" applyNumberFormat="1" applyFont="1" applyFill="1" applyBorder="1"/>
    <xf numFmtId="49" fontId="25" fillId="0" borderId="27" xfId="2" applyNumberFormat="1" applyFont="1" applyFill="1" applyBorder="1" applyAlignment="1" applyProtection="1">
      <alignment horizontal="center" vertical="center"/>
    </xf>
    <xf numFmtId="0" fontId="25" fillId="0" borderId="6" xfId="0" applyFont="1" applyBorder="1" applyAlignment="1">
      <alignment horizontal="center"/>
    </xf>
    <xf numFmtId="169" fontId="25" fillId="0" borderId="6" xfId="2" applyNumberFormat="1" applyFont="1" applyFill="1" applyBorder="1" applyAlignment="1" applyProtection="1">
      <alignment horizontal="right" vertical="center"/>
    </xf>
    <xf numFmtId="0" fontId="25" fillId="0" borderId="6" xfId="2" applyNumberFormat="1" applyFont="1" applyFill="1" applyBorder="1" applyAlignment="1" applyProtection="1">
      <alignment horizontal="right" vertical="center"/>
    </xf>
    <xf numFmtId="0" fontId="25" fillId="11" borderId="6" xfId="2" applyNumberFormat="1" applyFont="1" applyFill="1" applyBorder="1" applyAlignment="1" applyProtection="1">
      <alignment horizontal="center" vertical="center"/>
    </xf>
    <xf numFmtId="0" fontId="25" fillId="0" borderId="6" xfId="11" applyNumberFormat="1" applyFont="1" applyFill="1" applyBorder="1" applyAlignment="1">
      <alignment horizontal="center"/>
    </xf>
    <xf numFmtId="0" fontId="66" fillId="0" borderId="14" xfId="0" applyFont="1" applyBorder="1" applyAlignment="1">
      <alignment horizontal="center"/>
    </xf>
    <xf numFmtId="0" fontId="25" fillId="0" borderId="37" xfId="2" applyNumberFormat="1" applyFont="1" applyFill="1" applyBorder="1" applyAlignment="1" applyProtection="1">
      <alignment horizontal="center" vertical="center" wrapText="1"/>
    </xf>
    <xf numFmtId="0" fontId="70" fillId="0" borderId="6" xfId="2" applyNumberFormat="1" applyFont="1" applyFill="1" applyBorder="1" applyAlignment="1" applyProtection="1">
      <alignment horizontal="center" vertical="center"/>
    </xf>
    <xf numFmtId="169" fontId="25" fillId="0" borderId="6" xfId="2" applyNumberFormat="1" applyFont="1" applyFill="1" applyBorder="1" applyAlignment="1" applyProtection="1">
      <alignment horizontal="center" vertical="center"/>
    </xf>
    <xf numFmtId="0" fontId="66" fillId="0" borderId="6" xfId="0" applyFont="1" applyBorder="1" applyAlignment="1">
      <alignment horizontal="center"/>
    </xf>
    <xf numFmtId="0" fontId="25" fillId="0" borderId="0" xfId="2" applyNumberFormat="1" applyFont="1" applyFill="1" applyBorder="1" applyAlignment="1">
      <alignment horizontal="center" vertical="center"/>
    </xf>
    <xf numFmtId="0" fontId="42" fillId="11" borderId="27" xfId="0" quotePrefix="1" applyFont="1" applyFill="1" applyBorder="1" applyAlignment="1">
      <alignment horizontal="center"/>
    </xf>
    <xf numFmtId="0" fontId="42" fillId="11" borderId="6" xfId="2" applyNumberFormat="1" applyFont="1" applyFill="1" applyBorder="1" applyAlignment="1" applyProtection="1">
      <alignment horizontal="center" vertical="center"/>
    </xf>
    <xf numFmtId="169" fontId="42" fillId="11" borderId="6" xfId="2" applyNumberFormat="1" applyFont="1" applyFill="1" applyBorder="1" applyAlignment="1" applyProtection="1">
      <alignment horizontal="center" vertical="center"/>
    </xf>
    <xf numFmtId="169" fontId="42" fillId="11" borderId="6" xfId="2" applyNumberFormat="1" applyFont="1" applyFill="1" applyBorder="1" applyAlignment="1" applyProtection="1">
      <alignment horizontal="right" vertical="center"/>
    </xf>
    <xf numFmtId="0" fontId="42" fillId="11" borderId="6" xfId="2" applyNumberFormat="1" applyFont="1" applyFill="1" applyBorder="1" applyAlignment="1" applyProtection="1">
      <alignment horizontal="right" vertical="center"/>
    </xf>
    <xf numFmtId="0" fontId="42" fillId="11" borderId="6" xfId="2" applyNumberFormat="1" applyFont="1" applyFill="1" applyBorder="1" applyAlignment="1">
      <alignment horizontal="center" vertical="center"/>
    </xf>
    <xf numFmtId="0" fontId="42" fillId="11" borderId="6" xfId="11" applyNumberFormat="1" applyFont="1" applyFill="1" applyBorder="1" applyAlignment="1">
      <alignment horizontal="center"/>
    </xf>
    <xf numFmtId="0" fontId="42" fillId="11" borderId="6" xfId="0" applyFont="1" applyFill="1" applyBorder="1" applyAlignment="1">
      <alignment horizontal="center"/>
    </xf>
    <xf numFmtId="0" fontId="123" fillId="11" borderId="6" xfId="0" applyFont="1" applyFill="1" applyBorder="1" applyAlignment="1">
      <alignment horizontal="center"/>
    </xf>
    <xf numFmtId="0" fontId="42" fillId="11" borderId="37" xfId="2" applyNumberFormat="1" applyFont="1" applyFill="1" applyBorder="1" applyAlignment="1" applyProtection="1">
      <alignment horizontal="center" vertical="center" wrapText="1"/>
    </xf>
    <xf numFmtId="0" fontId="42" fillId="11" borderId="0" xfId="2" applyNumberFormat="1" applyFont="1" applyFill="1" applyBorder="1"/>
    <xf numFmtId="0" fontId="25" fillId="11" borderId="6" xfId="2" applyNumberFormat="1" applyFont="1" applyFill="1" applyBorder="1" applyAlignment="1">
      <alignment horizontal="center" vertical="center"/>
    </xf>
    <xf numFmtId="169" fontId="25" fillId="0" borderId="42" xfId="2" applyNumberFormat="1" applyFont="1" applyFill="1" applyBorder="1" applyAlignment="1" applyProtection="1">
      <alignment horizontal="right" vertical="center"/>
    </xf>
    <xf numFmtId="0" fontId="25" fillId="0" borderId="42" xfId="2" applyNumberFormat="1" applyFont="1" applyFill="1" applyBorder="1" applyAlignment="1" applyProtection="1">
      <alignment horizontal="center" vertical="center"/>
    </xf>
    <xf numFmtId="0" fontId="25" fillId="0" borderId="42" xfId="2" applyNumberFormat="1" applyFont="1" applyFill="1" applyBorder="1" applyAlignment="1">
      <alignment horizontal="center" vertical="center"/>
    </xf>
    <xf numFmtId="0" fontId="25" fillId="0" borderId="42" xfId="11" applyNumberFormat="1" applyFont="1" applyFill="1" applyBorder="1" applyAlignment="1">
      <alignment horizontal="center"/>
    </xf>
    <xf numFmtId="0" fontId="25" fillId="0" borderId="60" xfId="2" applyNumberFormat="1" applyFont="1" applyFill="1" applyBorder="1" applyAlignment="1" applyProtection="1">
      <alignment horizontal="center" vertical="center"/>
    </xf>
    <xf numFmtId="169" fontId="43" fillId="11" borderId="3" xfId="2" applyNumberFormat="1" applyFont="1" applyFill="1" applyBorder="1" applyAlignment="1" applyProtection="1">
      <alignment horizontal="center" vertical="center"/>
    </xf>
    <xf numFmtId="0" fontId="43" fillId="11" borderId="3" xfId="2" applyNumberFormat="1" applyFont="1" applyFill="1" applyBorder="1" applyAlignment="1" applyProtection="1">
      <alignment horizontal="center" vertical="center"/>
    </xf>
    <xf numFmtId="0" fontId="43" fillId="11" borderId="51" xfId="2" applyNumberFormat="1" applyFont="1" applyFill="1" applyBorder="1" applyAlignment="1">
      <alignment horizontal="center" vertical="center"/>
    </xf>
    <xf numFmtId="0" fontId="43" fillId="0" borderId="42" xfId="2" applyNumberFormat="1" applyFont="1" applyFill="1" applyBorder="1"/>
    <xf numFmtId="0" fontId="25" fillId="0" borderId="0" xfId="2" applyNumberFormat="1" applyFont="1" applyFill="1" applyBorder="1" applyAlignment="1" applyProtection="1">
      <alignment horizontal="center" vertical="center"/>
    </xf>
    <xf numFmtId="0" fontId="25" fillId="0" borderId="54" xfId="2" applyNumberFormat="1" applyFont="1" applyFill="1" applyBorder="1" applyAlignment="1" applyProtection="1">
      <alignment horizontal="center" vertical="center"/>
    </xf>
    <xf numFmtId="49" fontId="25" fillId="0" borderId="27" xfId="2" quotePrefix="1" applyNumberFormat="1" applyFont="1" applyFill="1" applyBorder="1" applyAlignment="1" applyProtection="1">
      <alignment horizontal="center" vertical="center"/>
    </xf>
    <xf numFmtId="0" fontId="63" fillId="0" borderId="37" xfId="2" applyNumberFormat="1" applyFont="1" applyFill="1" applyBorder="1" applyAlignment="1" applyProtection="1">
      <alignment horizontal="center" vertical="center" wrapText="1"/>
    </xf>
    <xf numFmtId="169" fontId="35" fillId="0" borderId="6" xfId="2" applyNumberFormat="1" applyFont="1" applyFill="1" applyBorder="1" applyAlignment="1" applyProtection="1">
      <alignment horizontal="center" vertical="center"/>
    </xf>
    <xf numFmtId="0" fontId="43" fillId="11" borderId="59" xfId="2" applyNumberFormat="1" applyFont="1" applyFill="1" applyBorder="1" applyAlignment="1" applyProtection="1">
      <alignment horizontal="center" vertical="center"/>
    </xf>
    <xf numFmtId="49" fontId="25" fillId="0" borderId="28" xfId="2" applyNumberFormat="1" applyFont="1" applyFill="1" applyBorder="1" applyAlignment="1" applyProtection="1">
      <alignment horizontal="center" vertical="center"/>
    </xf>
    <xf numFmtId="0" fontId="37" fillId="0" borderId="0" xfId="2" applyNumberFormat="1" applyFont="1" applyFill="1" applyBorder="1" applyAlignment="1">
      <alignment horizontal="center" vertical="center"/>
    </xf>
    <xf numFmtId="0" fontId="122" fillId="0" borderId="36" xfId="2" applyNumberFormat="1" applyFont="1" applyFill="1" applyBorder="1" applyAlignment="1" applyProtection="1">
      <alignment horizontal="center" vertical="center"/>
    </xf>
    <xf numFmtId="168" fontId="43" fillId="6" borderId="58" xfId="2" applyNumberFormat="1" applyFont="1" applyFill="1" applyBorder="1" applyAlignment="1" applyProtection="1">
      <alignment horizontal="center" vertical="center"/>
    </xf>
    <xf numFmtId="3" fontId="43" fillId="6" borderId="58" xfId="2" applyNumberFormat="1" applyFont="1" applyFill="1" applyBorder="1" applyAlignment="1" applyProtection="1">
      <alignment horizontal="center" vertical="center"/>
    </xf>
    <xf numFmtId="3" fontId="43" fillId="6" borderId="50" xfId="11" applyNumberFormat="1" applyFont="1" applyFill="1" applyBorder="1" applyAlignment="1">
      <alignment horizontal="centerContinuous" vertical="center"/>
    </xf>
    <xf numFmtId="49" fontId="37" fillId="0" borderId="0" xfId="2" applyNumberFormat="1" applyFont="1" applyFill="1" applyBorder="1"/>
    <xf numFmtId="0" fontId="37" fillId="0" borderId="0" xfId="2" applyNumberFormat="1" applyFont="1" applyFill="1" applyBorder="1"/>
    <xf numFmtId="3" fontId="37" fillId="0" borderId="0" xfId="2" applyNumberFormat="1" applyFont="1" applyFill="1" applyBorder="1"/>
    <xf numFmtId="3" fontId="25" fillId="0" borderId="0" xfId="2" applyNumberFormat="1" applyFont="1" applyFill="1" applyBorder="1"/>
    <xf numFmtId="3" fontId="124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Continuous"/>
    </xf>
    <xf numFmtId="3" fontId="31" fillId="0" borderId="0" xfId="2" applyNumberFormat="1" applyFont="1" applyFill="1" applyBorder="1" applyAlignment="1">
      <alignment horizontal="centerContinuous"/>
    </xf>
    <xf numFmtId="0" fontId="31" fillId="0" borderId="0" xfId="2" quotePrefix="1" applyNumberFormat="1" applyFont="1" applyFill="1" applyBorder="1" applyAlignment="1">
      <alignment horizontal="centerContinuous"/>
    </xf>
    <xf numFmtId="0" fontId="66" fillId="0" borderId="0" xfId="0" applyFont="1"/>
    <xf numFmtId="0" fontId="39" fillId="11" borderId="3" xfId="0" applyFont="1" applyFill="1" applyBorder="1" applyAlignment="1">
      <alignment horizontal="center" vertical="center"/>
    </xf>
    <xf numFmtId="0" fontId="39" fillId="11" borderId="53" xfId="0" applyFont="1" applyFill="1" applyBorder="1" applyAlignment="1">
      <alignment horizontal="center" vertical="center"/>
    </xf>
    <xf numFmtId="0" fontId="66" fillId="0" borderId="6" xfId="0" quotePrefix="1" applyFont="1" applyBorder="1" applyAlignment="1">
      <alignment horizontal="center"/>
    </xf>
    <xf numFmtId="0" fontId="66" fillId="0" borderId="14" xfId="0" quotePrefix="1" applyFont="1" applyBorder="1" applyAlignment="1">
      <alignment horizontal="center"/>
    </xf>
    <xf numFmtId="0" fontId="123" fillId="0" borderId="14" xfId="0" quotePrefix="1" applyFont="1" applyBorder="1" applyAlignment="1">
      <alignment horizontal="center"/>
    </xf>
    <xf numFmtId="0" fontId="123" fillId="0" borderId="14" xfId="0" applyFont="1" applyBorder="1" applyAlignment="1">
      <alignment horizontal="center"/>
    </xf>
    <xf numFmtId="0" fontId="123" fillId="0" borderId="6" xfId="0" applyFont="1" applyBorder="1" applyAlignment="1">
      <alignment horizontal="center"/>
    </xf>
    <xf numFmtId="0" fontId="123" fillId="0" borderId="0" xfId="0" applyFont="1"/>
    <xf numFmtId="0" fontId="123" fillId="0" borderId="6" xfId="0" applyFont="1" applyFill="1" applyBorder="1" applyAlignment="1">
      <alignment horizontal="center"/>
    </xf>
    <xf numFmtId="0" fontId="66" fillId="0" borderId="6" xfId="0" applyFont="1" applyFill="1" applyBorder="1" applyAlignment="1">
      <alignment horizontal="center"/>
    </xf>
    <xf numFmtId="0" fontId="123" fillId="0" borderId="0" xfId="0" applyFont="1" applyFill="1"/>
    <xf numFmtId="0" fontId="66" fillId="0" borderId="8" xfId="0" applyFont="1" applyBorder="1"/>
    <xf numFmtId="0" fontId="66" fillId="0" borderId="8" xfId="0" applyFont="1" applyBorder="1" applyAlignment="1">
      <alignment horizontal="center"/>
    </xf>
    <xf numFmtId="0" fontId="40" fillId="11" borderId="52" xfId="0" applyFont="1" applyFill="1" applyBorder="1" applyAlignment="1">
      <alignment horizontal="center"/>
    </xf>
    <xf numFmtId="0" fontId="40" fillId="11" borderId="3" xfId="0" applyFont="1" applyFill="1" applyBorder="1" applyAlignment="1">
      <alignment horizontal="center"/>
    </xf>
    <xf numFmtId="169" fontId="40" fillId="11" borderId="3" xfId="0" applyNumberFormat="1" applyFont="1" applyFill="1" applyBorder="1" applyAlignment="1">
      <alignment horizontal="center"/>
    </xf>
    <xf numFmtId="166" fontId="40" fillId="11" borderId="3" xfId="2" applyNumberFormat="1" applyFont="1" applyFill="1" applyBorder="1" applyAlignment="1" applyProtection="1">
      <alignment horizontal="center"/>
      <protection hidden="1"/>
    </xf>
    <xf numFmtId="0" fontId="66" fillId="0" borderId="0" xfId="0" applyFont="1" applyAlignment="1">
      <alignment horizontal="right"/>
    </xf>
    <xf numFmtId="169" fontId="66" fillId="12" borderId="0" xfId="0" applyNumberFormat="1" applyFont="1" applyFill="1"/>
    <xf numFmtId="169" fontId="66" fillId="0" borderId="0" xfId="0" applyNumberFormat="1" applyFont="1"/>
    <xf numFmtId="0" fontId="66" fillId="12" borderId="0" xfId="0" applyFont="1" applyFill="1"/>
    <xf numFmtId="0" fontId="112" fillId="11" borderId="170" xfId="0" applyFont="1" applyFill="1" applyBorder="1" applyAlignment="1">
      <alignment horizontal="center" wrapText="1"/>
    </xf>
    <xf numFmtId="0" fontId="112" fillId="11" borderId="84" xfId="0" applyFont="1" applyFill="1" applyBorder="1" applyAlignment="1">
      <alignment horizontal="center"/>
    </xf>
    <xf numFmtId="0" fontId="112" fillId="11" borderId="85" xfId="0" applyFont="1" applyFill="1" applyBorder="1" applyAlignment="1">
      <alignment horizontal="center"/>
    </xf>
    <xf numFmtId="0" fontId="100" fillId="31" borderId="187" xfId="0" applyFont="1" applyFill="1" applyBorder="1" applyAlignment="1" applyProtection="1">
      <alignment horizontal="center" vertical="center" wrapText="1"/>
    </xf>
    <xf numFmtId="0" fontId="100" fillId="31" borderId="188" xfId="0" applyFont="1" applyFill="1" applyBorder="1" applyAlignment="1" applyProtection="1">
      <alignment horizontal="center" vertical="center" wrapText="1"/>
    </xf>
    <xf numFmtId="0" fontId="100" fillId="31" borderId="189" xfId="0" applyFont="1" applyFill="1" applyBorder="1" applyAlignment="1" applyProtection="1">
      <alignment horizontal="center" vertical="center" wrapText="1"/>
    </xf>
    <xf numFmtId="0" fontId="100" fillId="0" borderId="187" xfId="0" applyFont="1" applyBorder="1" applyAlignment="1" applyProtection="1">
      <alignment horizontal="center" vertical="center" wrapText="1"/>
    </xf>
    <xf numFmtId="0" fontId="100" fillId="0" borderId="188" xfId="0" applyFont="1" applyBorder="1" applyAlignment="1" applyProtection="1">
      <alignment horizontal="center" vertical="center" wrapText="1"/>
    </xf>
    <xf numFmtId="0" fontId="100" fillId="0" borderId="189" xfId="0" applyFont="1" applyBorder="1" applyAlignment="1" applyProtection="1">
      <alignment horizontal="center" vertical="center" wrapText="1"/>
    </xf>
    <xf numFmtId="0" fontId="38" fillId="31" borderId="0" xfId="0" applyFont="1" applyFill="1" applyAlignment="1" applyProtection="1">
      <alignment horizontal="center"/>
    </xf>
    <xf numFmtId="0" fontId="101" fillId="31" borderId="0" xfId="0" applyFont="1" applyFill="1" applyAlignment="1" applyProtection="1">
      <alignment horizontal="center"/>
    </xf>
    <xf numFmtId="0" fontId="102" fillId="31" borderId="0" xfId="0" applyFont="1" applyFill="1" applyAlignment="1" applyProtection="1">
      <alignment horizontal="center" vertical="center"/>
    </xf>
    <xf numFmtId="0" fontId="103" fillId="31" borderId="194" xfId="0" applyFont="1" applyFill="1" applyBorder="1" applyAlignment="1" applyProtection="1">
      <alignment horizontal="right"/>
    </xf>
    <xf numFmtId="0" fontId="104" fillId="31" borderId="187" xfId="0" applyFont="1" applyFill="1" applyBorder="1" applyAlignment="1" applyProtection="1">
      <alignment horizontal="center" vertical="center"/>
    </xf>
    <xf numFmtId="0" fontId="104" fillId="31" borderId="188" xfId="0" applyFont="1" applyFill="1" applyBorder="1" applyAlignment="1" applyProtection="1">
      <alignment horizontal="center" vertical="center"/>
    </xf>
    <xf numFmtId="0" fontId="104" fillId="31" borderId="189" xfId="0" applyFont="1" applyFill="1" applyBorder="1" applyAlignment="1" applyProtection="1">
      <alignment horizontal="center" vertical="center"/>
    </xf>
    <xf numFmtId="0" fontId="104" fillId="31" borderId="187" xfId="0" applyFont="1" applyFill="1" applyBorder="1" applyAlignment="1" applyProtection="1">
      <alignment horizontal="center" vertical="center" wrapText="1"/>
    </xf>
    <xf numFmtId="0" fontId="104" fillId="31" borderId="188" xfId="0" applyFont="1" applyFill="1" applyBorder="1" applyAlignment="1" applyProtection="1">
      <alignment horizontal="center" vertical="center" wrapText="1"/>
    </xf>
    <xf numFmtId="0" fontId="104" fillId="31" borderId="189" xfId="0" applyFont="1" applyFill="1" applyBorder="1" applyAlignment="1" applyProtection="1">
      <alignment horizontal="center" vertical="center" wrapText="1"/>
    </xf>
    <xf numFmtId="0" fontId="38" fillId="0" borderId="0" xfId="0" applyFont="1" applyAlignment="1" applyProtection="1">
      <alignment horizontal="center" vertical="center"/>
    </xf>
    <xf numFmtId="0" fontId="101" fillId="0" borderId="0" xfId="0" applyFont="1" applyAlignment="1" applyProtection="1">
      <alignment horizontal="center" vertical="center"/>
    </xf>
    <xf numFmtId="0" fontId="102" fillId="0" borderId="0" xfId="0" applyFont="1" applyAlignment="1" applyProtection="1">
      <alignment horizontal="center" vertical="center"/>
    </xf>
    <xf numFmtId="0" fontId="103" fillId="0" borderId="0" xfId="0" applyFont="1" applyBorder="1" applyAlignment="1" applyProtection="1">
      <alignment horizontal="right" vertical="center"/>
    </xf>
    <xf numFmtId="0" fontId="104" fillId="0" borderId="187" xfId="0" applyFont="1" applyBorder="1" applyAlignment="1" applyProtection="1">
      <alignment horizontal="center" vertical="center"/>
    </xf>
    <xf numFmtId="0" fontId="104" fillId="0" borderId="188" xfId="0" applyFont="1" applyBorder="1" applyAlignment="1" applyProtection="1">
      <alignment horizontal="center" vertical="center"/>
    </xf>
    <xf numFmtId="0" fontId="104" fillId="0" borderId="189" xfId="0" applyFont="1" applyBorder="1" applyAlignment="1" applyProtection="1">
      <alignment horizontal="center" vertical="center"/>
    </xf>
    <xf numFmtId="0" fontId="104" fillId="0" borderId="187" xfId="0" applyFont="1" applyBorder="1" applyAlignment="1" applyProtection="1">
      <alignment horizontal="center" vertical="center" wrapText="1"/>
    </xf>
    <xf numFmtId="0" fontId="104" fillId="0" borderId="188" xfId="0" applyFont="1" applyBorder="1" applyAlignment="1" applyProtection="1">
      <alignment horizontal="center" vertical="center" wrapText="1"/>
    </xf>
    <xf numFmtId="0" fontId="104" fillId="0" borderId="189" xfId="0" applyFont="1" applyBorder="1" applyAlignment="1" applyProtection="1">
      <alignment horizontal="center" vertical="center" wrapText="1"/>
    </xf>
    <xf numFmtId="0" fontId="43" fillId="0" borderId="0" xfId="0" applyFont="1" applyFill="1" applyAlignment="1" applyProtection="1">
      <alignment horizontal="center"/>
      <protection hidden="1"/>
    </xf>
    <xf numFmtId="0" fontId="43" fillId="0" borderId="0" xfId="0" applyFont="1" applyFill="1" applyAlignment="1" applyProtection="1">
      <alignment horizontal="center" vertical="center"/>
      <protection hidden="1"/>
    </xf>
    <xf numFmtId="0" fontId="43" fillId="0" borderId="23" xfId="0" applyFont="1" applyFill="1" applyBorder="1" applyAlignment="1" applyProtection="1">
      <alignment horizontal="center" vertical="center"/>
      <protection hidden="1"/>
    </xf>
    <xf numFmtId="0" fontId="43" fillId="0" borderId="25" xfId="0" applyFont="1" applyFill="1" applyBorder="1" applyAlignment="1" applyProtection="1">
      <alignment horizontal="center" vertical="center"/>
      <protection hidden="1"/>
    </xf>
    <xf numFmtId="0" fontId="43" fillId="0" borderId="5" xfId="0" applyFont="1" applyFill="1" applyBorder="1" applyAlignment="1" applyProtection="1">
      <alignment horizontal="center" vertical="center"/>
      <protection hidden="1"/>
    </xf>
    <xf numFmtId="0" fontId="43" fillId="0" borderId="22" xfId="0" applyFont="1" applyFill="1" applyBorder="1" applyAlignment="1" applyProtection="1">
      <alignment horizontal="center" vertical="center"/>
      <protection hidden="1"/>
    </xf>
    <xf numFmtId="0" fontId="43" fillId="0" borderId="57" xfId="0" applyFont="1" applyFill="1" applyBorder="1" applyAlignment="1" applyProtection="1">
      <alignment horizontal="center" vertical="center"/>
      <protection hidden="1"/>
    </xf>
    <xf numFmtId="0" fontId="43" fillId="0" borderId="53" xfId="0" applyFont="1" applyFill="1" applyBorder="1" applyAlignment="1" applyProtection="1">
      <alignment horizontal="center" vertical="center"/>
      <protection hidden="1"/>
    </xf>
    <xf numFmtId="0" fontId="43" fillId="0" borderId="163" xfId="0" applyFont="1" applyFill="1" applyBorder="1" applyAlignment="1" applyProtection="1">
      <alignment horizontal="center" vertical="center"/>
    </xf>
    <xf numFmtId="0" fontId="43" fillId="0" borderId="53" xfId="0" applyFont="1" applyFill="1" applyBorder="1" applyAlignment="1" applyProtection="1">
      <alignment horizontal="center" vertical="center"/>
    </xf>
    <xf numFmtId="0" fontId="43" fillId="0" borderId="174" xfId="0" applyFont="1" applyFill="1" applyBorder="1" applyAlignment="1" applyProtection="1">
      <alignment horizontal="center" vertical="center"/>
      <protection hidden="1"/>
    </xf>
    <xf numFmtId="0" fontId="43" fillId="0" borderId="175" xfId="0" applyFont="1" applyFill="1" applyBorder="1" applyAlignment="1" applyProtection="1">
      <alignment horizontal="center" vertical="center"/>
      <protection hidden="1"/>
    </xf>
    <xf numFmtId="3" fontId="43" fillId="0" borderId="52" xfId="15" applyNumberFormat="1" applyFont="1" applyFill="1" applyBorder="1" applyAlignment="1" applyProtection="1">
      <alignment horizontal="center"/>
      <protection hidden="1"/>
    </xf>
    <xf numFmtId="3" fontId="43" fillId="0" borderId="59" xfId="15" applyNumberFormat="1" applyFont="1" applyFill="1" applyBorder="1" applyAlignment="1" applyProtection="1">
      <alignment horizontal="center"/>
      <protection hidden="1"/>
    </xf>
    <xf numFmtId="0" fontId="31" fillId="0" borderId="0" xfId="0" applyFont="1" applyFill="1" applyBorder="1" applyAlignment="1">
      <alignment horizontal="center" wrapText="1"/>
    </xf>
    <xf numFmtId="0" fontId="43" fillId="0" borderId="0" xfId="0" applyFont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3" fontId="43" fillId="11" borderId="52" xfId="15" applyNumberFormat="1" applyFont="1" applyFill="1" applyBorder="1" applyAlignment="1" applyProtection="1">
      <alignment horizontal="center" vertical="center"/>
      <protection hidden="1"/>
    </xf>
    <xf numFmtId="3" fontId="43" fillId="11" borderId="2" xfId="15" applyNumberFormat="1" applyFont="1" applyFill="1" applyBorder="1" applyAlignment="1" applyProtection="1">
      <alignment horizontal="center" vertical="center"/>
      <protection hidden="1"/>
    </xf>
    <xf numFmtId="3" fontId="43" fillId="11" borderId="59" xfId="15" applyNumberFormat="1" applyFont="1" applyFill="1" applyBorder="1" applyAlignment="1" applyProtection="1">
      <alignment horizontal="center" vertical="center"/>
      <protection hidden="1"/>
    </xf>
    <xf numFmtId="3" fontId="43" fillId="0" borderId="2" xfId="15" applyNumberFormat="1" applyFont="1" applyFill="1" applyBorder="1" applyAlignment="1" applyProtection="1">
      <alignment horizontal="center"/>
      <protection hidden="1"/>
    </xf>
    <xf numFmtId="3" fontId="43" fillId="11" borderId="57" xfId="15" applyNumberFormat="1" applyFont="1" applyFill="1" applyBorder="1" applyAlignment="1" applyProtection="1">
      <alignment horizontal="center" vertical="center"/>
      <protection hidden="1"/>
    </xf>
    <xf numFmtId="3" fontId="43" fillId="11" borderId="53" xfId="15" applyNumberFormat="1" applyFont="1" applyFill="1" applyBorder="1" applyAlignment="1" applyProtection="1">
      <alignment horizontal="center" vertical="center"/>
      <protection hidden="1"/>
    </xf>
    <xf numFmtId="3" fontId="43" fillId="11" borderId="57" xfId="15" applyNumberFormat="1" applyFont="1" applyFill="1" applyBorder="1" applyAlignment="1" applyProtection="1">
      <alignment horizontal="center" vertical="center"/>
      <protection locked="0"/>
    </xf>
    <xf numFmtId="3" fontId="43" fillId="11" borderId="53" xfId="15" applyNumberFormat="1" applyFont="1" applyFill="1" applyBorder="1" applyAlignment="1" applyProtection="1">
      <alignment horizontal="center" vertical="center"/>
      <protection locked="0"/>
    </xf>
    <xf numFmtId="3" fontId="43" fillId="24" borderId="57" xfId="16" applyNumberFormat="1" applyFont="1" applyFill="1" applyBorder="1" applyAlignment="1" applyProtection="1">
      <alignment horizontal="center" vertical="center" wrapText="1"/>
    </xf>
    <xf numFmtId="3" fontId="43" fillId="24" borderId="53" xfId="16" applyNumberFormat="1" applyFont="1" applyFill="1" applyBorder="1" applyAlignment="1" applyProtection="1">
      <alignment horizontal="center" vertical="center" wrapText="1"/>
    </xf>
    <xf numFmtId="3" fontId="43" fillId="24" borderId="3" xfId="16" applyNumberFormat="1" applyFont="1" applyFill="1" applyBorder="1" applyAlignment="1" applyProtection="1">
      <alignment horizontal="center" vertical="center"/>
    </xf>
    <xf numFmtId="3" fontId="43" fillId="24" borderId="2" xfId="16" applyNumberFormat="1" applyFont="1" applyFill="1" applyBorder="1" applyAlignment="1" applyProtection="1">
      <alignment horizontal="center"/>
    </xf>
    <xf numFmtId="3" fontId="43" fillId="24" borderId="2" xfId="13" applyNumberFormat="1" applyFont="1" applyFill="1" applyBorder="1" applyAlignment="1" applyProtection="1">
      <alignment horizontal="center"/>
    </xf>
    <xf numFmtId="3" fontId="11" fillId="24" borderId="57" xfId="16" applyNumberFormat="1" applyFont="1" applyFill="1" applyBorder="1" applyAlignment="1" applyProtection="1">
      <alignment horizontal="center" vertical="center"/>
    </xf>
    <xf numFmtId="3" fontId="10" fillId="24" borderId="53" xfId="16" applyNumberFormat="1" applyFont="1" applyFill="1" applyBorder="1" applyAlignment="1" applyProtection="1">
      <alignment horizontal="center" vertical="center"/>
    </xf>
    <xf numFmtId="3" fontId="11" fillId="24" borderId="46" xfId="16" applyNumberFormat="1" applyFont="1" applyFill="1" applyBorder="1" applyAlignment="1" applyProtection="1">
      <alignment horizontal="center" vertical="center"/>
    </xf>
    <xf numFmtId="3" fontId="10" fillId="24" borderId="46" xfId="16" applyNumberFormat="1" applyFont="1" applyFill="1" applyBorder="1" applyAlignment="1" applyProtection="1">
      <alignment horizontal="center" vertical="center"/>
    </xf>
    <xf numFmtId="3" fontId="43" fillId="24" borderId="21" xfId="16" applyNumberFormat="1" applyFont="1" applyFill="1" applyBorder="1" applyAlignment="1" applyProtection="1">
      <alignment horizontal="center"/>
    </xf>
    <xf numFmtId="3" fontId="43" fillId="24" borderId="57" xfId="16" applyNumberFormat="1" applyFont="1" applyFill="1" applyBorder="1" applyAlignment="1" applyProtection="1">
      <alignment horizontal="center" vertical="center"/>
    </xf>
    <xf numFmtId="3" fontId="43" fillId="24" borderId="53" xfId="16" applyNumberFormat="1" applyFont="1" applyFill="1" applyBorder="1" applyAlignment="1" applyProtection="1">
      <alignment horizontal="center" vertical="center"/>
    </xf>
    <xf numFmtId="3" fontId="43" fillId="24" borderId="2" xfId="15" applyNumberFormat="1" applyFont="1" applyFill="1" applyBorder="1" applyAlignment="1" applyProtection="1">
      <alignment horizontal="center" vertical="center"/>
    </xf>
    <xf numFmtId="3" fontId="43" fillId="24" borderId="2" xfId="15" applyNumberFormat="1" applyFont="1" applyFill="1" applyBorder="1" applyAlignment="1" applyProtection="1">
      <alignment horizontal="center"/>
    </xf>
    <xf numFmtId="3" fontId="81" fillId="24" borderId="3" xfId="16" applyNumberFormat="1" applyFont="1" applyFill="1" applyBorder="1" applyAlignment="1" applyProtection="1">
      <alignment horizontal="center" vertical="center"/>
    </xf>
    <xf numFmtId="3" fontId="81" fillId="24" borderId="57" xfId="16" applyNumberFormat="1" applyFont="1" applyFill="1" applyBorder="1" applyAlignment="1" applyProtection="1">
      <alignment horizontal="center" vertical="center"/>
    </xf>
    <xf numFmtId="3" fontId="81" fillId="24" borderId="53" xfId="16" applyNumberFormat="1" applyFont="1" applyFill="1" applyBorder="1" applyAlignment="1" applyProtection="1">
      <alignment horizontal="center" vertical="center"/>
    </xf>
    <xf numFmtId="3" fontId="43" fillId="24" borderId="21" xfId="16" applyNumberFormat="1" applyFont="1" applyFill="1" applyBorder="1" applyAlignment="1" applyProtection="1">
      <alignment horizontal="center" vertical="top"/>
    </xf>
    <xf numFmtId="0" fontId="37" fillId="6" borderId="163" xfId="2" quotePrefix="1" applyNumberFormat="1" applyFont="1" applyFill="1" applyBorder="1" applyAlignment="1" applyProtection="1">
      <alignment horizontal="center" vertical="center" textRotation="90"/>
    </xf>
    <xf numFmtId="0" fontId="37" fillId="6" borderId="53" xfId="2" quotePrefix="1" applyNumberFormat="1" applyFont="1" applyFill="1" applyBorder="1" applyAlignment="1" applyProtection="1">
      <alignment horizontal="center" vertical="center" textRotation="90"/>
    </xf>
    <xf numFmtId="0" fontId="37" fillId="6" borderId="163" xfId="2" applyNumberFormat="1" applyFont="1" applyFill="1" applyBorder="1" applyAlignment="1" applyProtection="1">
      <alignment horizontal="center" vertical="center" textRotation="90"/>
    </xf>
    <xf numFmtId="0" fontId="37" fillId="6" borderId="73" xfId="2" applyNumberFormat="1" applyFont="1" applyFill="1" applyBorder="1" applyAlignment="1" applyProtection="1">
      <alignment horizontal="center" vertical="center" textRotation="90"/>
    </xf>
    <xf numFmtId="0" fontId="37" fillId="6" borderId="25" xfId="2" quotePrefix="1" applyNumberFormat="1" applyFont="1" applyFill="1" applyBorder="1" applyAlignment="1" applyProtection="1">
      <alignment horizontal="center" vertical="center" textRotation="90"/>
    </xf>
    <xf numFmtId="0" fontId="37" fillId="6" borderId="7" xfId="2" quotePrefix="1" applyNumberFormat="1" applyFont="1" applyFill="1" applyBorder="1" applyAlignment="1" applyProtection="1">
      <alignment horizontal="center" vertical="center" textRotation="90"/>
    </xf>
    <xf numFmtId="0" fontId="37" fillId="6" borderId="3" xfId="2" quotePrefix="1" applyNumberFormat="1" applyFont="1" applyFill="1" applyBorder="1" applyAlignment="1" applyProtection="1">
      <alignment horizontal="center" vertical="center" textRotation="90"/>
    </xf>
    <xf numFmtId="0" fontId="25" fillId="6" borderId="7" xfId="2" applyNumberFormat="1" applyFont="1" applyFill="1" applyBorder="1" applyAlignment="1" applyProtection="1">
      <alignment horizontal="center" vertical="center" textRotation="90"/>
    </xf>
    <xf numFmtId="0" fontId="25" fillId="6" borderId="3" xfId="2" applyNumberFormat="1" applyFont="1" applyFill="1" applyBorder="1" applyAlignment="1" applyProtection="1">
      <alignment horizontal="center" vertical="center" textRotation="90"/>
    </xf>
    <xf numFmtId="0" fontId="25" fillId="6" borderId="163" xfId="2" applyNumberFormat="1" applyFont="1" applyFill="1" applyBorder="1" applyAlignment="1" applyProtection="1">
      <alignment horizontal="center" vertical="center" textRotation="90"/>
    </xf>
    <xf numFmtId="0" fontId="25" fillId="6" borderId="53" xfId="2" applyNumberFormat="1" applyFont="1" applyFill="1" applyBorder="1" applyAlignment="1" applyProtection="1">
      <alignment horizontal="center" vertical="center" textRotation="90"/>
    </xf>
    <xf numFmtId="0" fontId="35" fillId="6" borderId="163" xfId="2" applyNumberFormat="1" applyFont="1" applyFill="1" applyBorder="1" applyAlignment="1" applyProtection="1">
      <alignment horizontal="center" vertical="center" textRotation="90"/>
    </xf>
    <xf numFmtId="0" fontId="35" fillId="6" borderId="53" xfId="2" applyNumberFormat="1" applyFont="1" applyFill="1" applyBorder="1" applyAlignment="1" applyProtection="1">
      <alignment horizontal="center" vertical="center" textRotation="90"/>
    </xf>
    <xf numFmtId="1" fontId="25" fillId="0" borderId="0" xfId="12" applyNumberFormat="1" applyFont="1" applyFill="1" applyAlignment="1">
      <alignment horizontal="center"/>
    </xf>
    <xf numFmtId="0" fontId="25" fillId="6" borderId="7" xfId="2" applyNumberFormat="1" applyFont="1" applyFill="1" applyBorder="1" applyAlignment="1" applyProtection="1">
      <alignment horizontal="center"/>
    </xf>
    <xf numFmtId="0" fontId="35" fillId="6" borderId="162" xfId="2" applyNumberFormat="1" applyFont="1" applyFill="1" applyBorder="1" applyAlignment="1" applyProtection="1">
      <alignment horizontal="center" vertical="center" textRotation="90"/>
    </xf>
    <xf numFmtId="0" fontId="35" fillId="6" borderId="51" xfId="2" applyNumberFormat="1" applyFont="1" applyFill="1" applyBorder="1" applyAlignment="1" applyProtection="1">
      <alignment horizontal="center" vertical="center" textRotation="90"/>
    </xf>
    <xf numFmtId="0" fontId="37" fillId="6" borderId="53" xfId="2" applyNumberFormat="1" applyFont="1" applyFill="1" applyBorder="1" applyAlignment="1" applyProtection="1">
      <alignment horizontal="center" vertical="center" textRotation="90"/>
    </xf>
    <xf numFmtId="0" fontId="37" fillId="6" borderId="34" xfId="2" applyNumberFormat="1" applyFont="1" applyFill="1" applyBorder="1" applyAlignment="1" applyProtection="1">
      <alignment horizontal="center"/>
    </xf>
    <xf numFmtId="0" fontId="37" fillId="6" borderId="40" xfId="2" applyNumberFormat="1" applyFont="1" applyFill="1" applyBorder="1" applyAlignment="1" applyProtection="1">
      <alignment horizontal="center"/>
    </xf>
    <xf numFmtId="0" fontId="37" fillId="6" borderId="41" xfId="2" applyNumberFormat="1" applyFont="1" applyFill="1" applyBorder="1" applyAlignment="1" applyProtection="1">
      <alignment horizontal="center"/>
    </xf>
    <xf numFmtId="0" fontId="35" fillId="6" borderId="7" xfId="2" applyNumberFormat="1" applyFont="1" applyFill="1" applyBorder="1" applyAlignment="1" applyProtection="1">
      <alignment horizontal="center" vertical="center" textRotation="90"/>
    </xf>
    <xf numFmtId="0" fontId="35" fillId="6" borderId="3" xfId="2" applyNumberFormat="1" applyFont="1" applyFill="1" applyBorder="1" applyAlignment="1" applyProtection="1">
      <alignment horizontal="center" vertical="center" textRotation="90"/>
    </xf>
    <xf numFmtId="0" fontId="25" fillId="6" borderId="161" xfId="2" applyNumberFormat="1" applyFont="1" applyFill="1" applyBorder="1" applyAlignment="1" applyProtection="1">
      <alignment horizontal="center" vertical="center" textRotation="90"/>
    </xf>
    <xf numFmtId="0" fontId="25" fillId="6" borderId="64" xfId="12" applyNumberFormat="1" applyFont="1" applyFill="1" applyBorder="1" applyAlignment="1">
      <alignment horizontal="center" vertical="center" textRotation="90"/>
    </xf>
    <xf numFmtId="0" fontId="25" fillId="6" borderId="3" xfId="12" applyNumberFormat="1" applyFont="1" applyFill="1" applyBorder="1" applyAlignment="1">
      <alignment horizontal="center" vertical="center" textRotation="90"/>
    </xf>
    <xf numFmtId="3" fontId="25" fillId="6" borderId="7" xfId="2" applyNumberFormat="1" applyFont="1" applyFill="1" applyBorder="1" applyAlignment="1" applyProtection="1">
      <alignment horizontal="center" vertical="center" textRotation="90"/>
    </xf>
    <xf numFmtId="3" fontId="25" fillId="6" borderId="3" xfId="12" applyNumberFormat="1" applyFont="1" applyFill="1" applyBorder="1" applyAlignment="1">
      <alignment horizontal="center" vertical="center" textRotation="90"/>
    </xf>
    <xf numFmtId="0" fontId="25" fillId="6" borderId="7" xfId="2" applyNumberFormat="1" applyFont="1" applyFill="1" applyBorder="1" applyAlignment="1" applyProtection="1">
      <alignment horizontal="center" wrapText="1"/>
    </xf>
    <xf numFmtId="0" fontId="37" fillId="0" borderId="163" xfId="2" applyNumberFormat="1" applyFont="1" applyFill="1" applyBorder="1" applyAlignment="1" applyProtection="1">
      <alignment horizontal="center" vertical="center" textRotation="90"/>
    </xf>
    <xf numFmtId="0" fontId="37" fillId="0" borderId="53" xfId="2" applyNumberFormat="1" applyFont="1" applyFill="1" applyBorder="1" applyAlignment="1" applyProtection="1">
      <alignment horizontal="center" vertical="center" textRotation="90"/>
    </xf>
    <xf numFmtId="3" fontId="38" fillId="0" borderId="176" xfId="2" applyNumberFormat="1" applyFont="1" applyBorder="1" applyAlignment="1">
      <alignment horizontal="center" vertical="center"/>
    </xf>
    <xf numFmtId="0" fontId="25" fillId="6" borderId="177" xfId="2" applyNumberFormat="1" applyFont="1" applyFill="1" applyBorder="1" applyAlignment="1" applyProtection="1">
      <alignment horizontal="center" vertical="center" textRotation="90" wrapText="1"/>
    </xf>
    <xf numFmtId="0" fontId="25" fillId="6" borderId="178" xfId="2" applyNumberFormat="1" applyFont="1" applyFill="1" applyBorder="1" applyAlignment="1" applyProtection="1">
      <alignment horizontal="center" vertical="center" textRotation="90" wrapText="1"/>
    </xf>
    <xf numFmtId="0" fontId="37" fillId="0" borderId="53" xfId="2" quotePrefix="1" applyNumberFormat="1" applyFont="1" applyFill="1" applyBorder="1" applyAlignment="1" applyProtection="1">
      <alignment horizontal="center" vertical="center" textRotation="90"/>
    </xf>
    <xf numFmtId="168" fontId="36" fillId="2" borderId="7" xfId="2" applyNumberFormat="1" applyFont="1" applyFill="1" applyBorder="1" applyAlignment="1" applyProtection="1">
      <alignment horizontal="center" vertical="center" textRotation="90"/>
    </xf>
    <xf numFmtId="168" fontId="36" fillId="2" borderId="3" xfId="12" applyNumberFormat="1" applyFont="1" applyFill="1" applyBorder="1" applyAlignment="1">
      <alignment horizontal="center" vertical="center" textRotation="90"/>
    </xf>
    <xf numFmtId="0" fontId="117" fillId="2" borderId="7" xfId="2" applyNumberFormat="1" applyFont="1" applyFill="1" applyBorder="1" applyAlignment="1" applyProtection="1">
      <alignment vertical="center" textRotation="90" wrapText="1"/>
    </xf>
    <xf numFmtId="0" fontId="117" fillId="2" borderId="3" xfId="2" applyNumberFormat="1" applyFont="1" applyFill="1" applyBorder="1" applyAlignment="1" applyProtection="1">
      <alignment vertical="center" textRotation="90"/>
    </xf>
    <xf numFmtId="0" fontId="35" fillId="2" borderId="7" xfId="2" applyNumberFormat="1" applyFont="1" applyFill="1" applyBorder="1" applyAlignment="1" applyProtection="1">
      <alignment vertical="center" textRotation="90"/>
    </xf>
    <xf numFmtId="0" fontId="35" fillId="2" borderId="3" xfId="2" applyNumberFormat="1" applyFont="1" applyFill="1" applyBorder="1" applyAlignment="1" applyProtection="1">
      <alignment vertical="center" textRotation="90"/>
    </xf>
    <xf numFmtId="0" fontId="35" fillId="2" borderId="161" xfId="2" applyNumberFormat="1" applyFont="1" applyFill="1" applyBorder="1" applyAlignment="1" applyProtection="1">
      <alignment horizontal="center" vertical="center" textRotation="90"/>
    </xf>
    <xf numFmtId="0" fontId="35" fillId="2" borderId="64" xfId="12" applyNumberFormat="1" applyFont="1" applyFill="1" applyBorder="1" applyAlignment="1">
      <alignment horizontal="center" vertical="center" textRotation="90"/>
    </xf>
    <xf numFmtId="0" fontId="35" fillId="2" borderId="7" xfId="2" applyNumberFormat="1" applyFont="1" applyFill="1" applyBorder="1" applyAlignment="1" applyProtection="1">
      <alignment horizontal="center" vertical="center" textRotation="90"/>
    </xf>
    <xf numFmtId="0" fontId="35" fillId="2" borderId="3" xfId="12" applyNumberFormat="1" applyFont="1" applyFill="1" applyBorder="1" applyAlignment="1">
      <alignment horizontal="center" vertical="center" textRotation="90"/>
    </xf>
    <xf numFmtId="168" fontId="35" fillId="2" borderId="7" xfId="2" applyNumberFormat="1" applyFont="1" applyFill="1" applyBorder="1" applyAlignment="1" applyProtection="1">
      <alignment horizontal="center" vertical="center" textRotation="90"/>
    </xf>
    <xf numFmtId="168" fontId="35" fillId="2" borderId="3" xfId="12" applyNumberFormat="1" applyFont="1" applyFill="1" applyBorder="1" applyAlignment="1">
      <alignment horizontal="center" vertical="center" textRotation="90"/>
    </xf>
    <xf numFmtId="0" fontId="116" fillId="2" borderId="7" xfId="2" applyNumberFormat="1" applyFont="1" applyFill="1" applyBorder="1" applyAlignment="1" applyProtection="1">
      <alignment vertical="center" textRotation="90" wrapText="1"/>
    </xf>
    <xf numFmtId="0" fontId="116" fillId="2" borderId="3" xfId="2" applyNumberFormat="1" applyFont="1" applyFill="1" applyBorder="1" applyAlignment="1" applyProtection="1">
      <alignment vertical="center" textRotation="90"/>
    </xf>
    <xf numFmtId="0" fontId="35" fillId="0" borderId="7" xfId="2" applyNumberFormat="1" applyFont="1" applyFill="1" applyBorder="1" applyAlignment="1" applyProtection="1">
      <alignment horizontal="center" vertical="center" textRotation="90"/>
    </xf>
    <xf numFmtId="0" fontId="35" fillId="0" borderId="3" xfId="2" applyNumberFormat="1" applyFont="1" applyFill="1" applyBorder="1" applyAlignment="1" applyProtection="1">
      <alignment horizontal="center" vertical="center" textRotation="90"/>
    </xf>
    <xf numFmtId="0" fontId="35" fillId="2" borderId="162" xfId="2" applyNumberFormat="1" applyFont="1" applyFill="1" applyBorder="1" applyAlignment="1" applyProtection="1">
      <alignment horizontal="center" vertical="center" textRotation="90"/>
    </xf>
    <xf numFmtId="0" fontId="35" fillId="2" borderId="51" xfId="2" applyNumberFormat="1" applyFont="1" applyFill="1" applyBorder="1" applyAlignment="1" applyProtection="1">
      <alignment horizontal="center" vertical="center" textRotation="90"/>
    </xf>
    <xf numFmtId="0" fontId="37" fillId="0" borderId="163" xfId="2" quotePrefix="1" applyNumberFormat="1" applyFont="1" applyFill="1" applyBorder="1" applyAlignment="1" applyProtection="1">
      <alignment horizontal="center" vertical="center" textRotation="90"/>
    </xf>
    <xf numFmtId="0" fontId="37" fillId="0" borderId="7" xfId="2" quotePrefix="1" applyNumberFormat="1" applyFont="1" applyFill="1" applyBorder="1" applyAlignment="1" applyProtection="1">
      <alignment horizontal="center" vertical="center" textRotation="90"/>
    </xf>
    <xf numFmtId="0" fontId="37" fillId="0" borderId="3" xfId="2" quotePrefix="1" applyNumberFormat="1" applyFont="1" applyFill="1" applyBorder="1" applyAlignment="1" applyProtection="1">
      <alignment horizontal="center" vertical="center" textRotation="90"/>
    </xf>
    <xf numFmtId="0" fontId="43" fillId="0" borderId="57" xfId="0" applyFont="1" applyBorder="1" applyAlignment="1">
      <alignment horizontal="center" textRotation="90" wrapText="1"/>
    </xf>
    <xf numFmtId="0" fontId="43" fillId="0" borderId="46" xfId="0" applyFont="1" applyBorder="1" applyAlignment="1">
      <alignment horizontal="center" textRotation="90" wrapText="1"/>
    </xf>
    <xf numFmtId="0" fontId="43" fillId="0" borderId="53" xfId="0" applyFont="1" applyBorder="1" applyAlignment="1">
      <alignment horizontal="center" textRotation="90" wrapText="1"/>
    </xf>
    <xf numFmtId="0" fontId="43" fillId="0" borderId="52" xfId="0" applyFont="1" applyBorder="1" applyAlignment="1">
      <alignment horizontal="center" vertical="center"/>
    </xf>
    <xf numFmtId="0" fontId="43" fillId="0" borderId="2" xfId="0" applyFont="1" applyBorder="1" applyAlignment="1">
      <alignment horizontal="center" vertical="center"/>
    </xf>
    <xf numFmtId="0" fontId="43" fillId="0" borderId="59" xfId="0" applyFont="1" applyBorder="1" applyAlignment="1">
      <alignment horizontal="center" vertical="center"/>
    </xf>
    <xf numFmtId="0" fontId="43" fillId="0" borderId="23" xfId="0" applyFont="1" applyBorder="1" applyAlignment="1">
      <alignment horizontal="center" vertical="center" wrapText="1"/>
    </xf>
    <xf numFmtId="0" fontId="43" fillId="0" borderId="24" xfId="0" applyFont="1" applyBorder="1" applyAlignment="1">
      <alignment horizontal="center" vertical="center" wrapText="1"/>
    </xf>
    <xf numFmtId="0" fontId="43" fillId="0" borderId="5" xfId="0" applyFont="1" applyBorder="1" applyAlignment="1">
      <alignment horizontal="center" vertical="center" wrapText="1"/>
    </xf>
    <xf numFmtId="0" fontId="43" fillId="0" borderId="25" xfId="0" applyFont="1" applyBorder="1" applyAlignment="1">
      <alignment horizontal="center"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2" xfId="0" applyFont="1" applyBorder="1" applyAlignment="1">
      <alignment horizontal="center" vertical="center" wrapText="1"/>
    </xf>
    <xf numFmtId="0" fontId="43" fillId="0" borderId="23" xfId="0" applyFont="1" applyBorder="1" applyAlignment="1">
      <alignment horizontal="center" vertical="center" textRotation="90"/>
    </xf>
    <xf numFmtId="0" fontId="43" fillId="0" borderId="44" xfId="0" applyFont="1" applyBorder="1" applyAlignment="1">
      <alignment horizontal="center" vertical="center" textRotation="90"/>
    </xf>
    <xf numFmtId="0" fontId="43" fillId="0" borderId="25" xfId="0" applyFont="1" applyBorder="1" applyAlignment="1">
      <alignment horizontal="center" vertical="center" textRotation="90"/>
    </xf>
    <xf numFmtId="0" fontId="43" fillId="0" borderId="57" xfId="0" applyFont="1" applyBorder="1" applyAlignment="1">
      <alignment horizontal="center" vertical="center" textRotation="90"/>
    </xf>
    <xf numFmtId="0" fontId="43" fillId="0" borderId="53" xfId="0" applyFont="1" applyBorder="1" applyAlignment="1">
      <alignment horizontal="center" vertical="center" textRotation="90"/>
    </xf>
    <xf numFmtId="0" fontId="43" fillId="0" borderId="23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86" xfId="0" applyFont="1" applyBorder="1" applyAlignment="1">
      <alignment horizontal="center" vertical="center"/>
    </xf>
    <xf numFmtId="0" fontId="43" fillId="0" borderId="5" xfId="0" applyFont="1" applyBorder="1" applyAlignment="1">
      <alignment horizontal="center" vertical="center"/>
    </xf>
    <xf numFmtId="0" fontId="43" fillId="0" borderId="25" xfId="0" applyFont="1" applyBorder="1" applyAlignment="1">
      <alignment horizontal="center" vertical="center"/>
    </xf>
    <xf numFmtId="0" fontId="43" fillId="0" borderId="21" xfId="0" applyFont="1" applyBorder="1" applyAlignment="1">
      <alignment horizontal="center" vertical="center"/>
    </xf>
    <xf numFmtId="0" fontId="43" fillId="0" borderId="22" xfId="0" applyFont="1" applyBorder="1" applyAlignment="1">
      <alignment horizontal="center" vertical="center"/>
    </xf>
    <xf numFmtId="0" fontId="43" fillId="0" borderId="57" xfId="0" applyFont="1" applyBorder="1" applyAlignment="1">
      <alignment horizontal="center" vertical="center" textRotation="90" wrapText="1"/>
    </xf>
    <xf numFmtId="0" fontId="43" fillId="0" borderId="46" xfId="0" applyFont="1" applyBorder="1" applyAlignment="1">
      <alignment horizontal="center" vertical="center" textRotation="90" wrapText="1"/>
    </xf>
    <xf numFmtId="0" fontId="43" fillId="0" borderId="53" xfId="0" applyFont="1" applyBorder="1" applyAlignment="1">
      <alignment horizontal="center" vertical="center" textRotation="90" wrapText="1"/>
    </xf>
    <xf numFmtId="0" fontId="43" fillId="0" borderId="57" xfId="0" applyFont="1" applyBorder="1" applyAlignment="1">
      <alignment horizontal="center" textRotation="90"/>
    </xf>
    <xf numFmtId="0" fontId="43" fillId="0" borderId="53" xfId="0" applyFont="1" applyBorder="1" applyAlignment="1">
      <alignment horizontal="center" textRotation="90"/>
    </xf>
    <xf numFmtId="0" fontId="43" fillId="0" borderId="182" xfId="0" applyFont="1" applyBorder="1" applyAlignment="1">
      <alignment horizontal="center" vertical="center" wrapText="1"/>
    </xf>
    <xf numFmtId="0" fontId="43" fillId="0" borderId="183" xfId="0" applyFont="1" applyBorder="1" applyAlignment="1">
      <alignment horizontal="center" vertical="center" wrapText="1"/>
    </xf>
    <xf numFmtId="0" fontId="43" fillId="0" borderId="184" xfId="0" applyFont="1" applyBorder="1" applyAlignment="1">
      <alignment horizontal="center" vertical="center" wrapText="1"/>
    </xf>
    <xf numFmtId="0" fontId="43" fillId="0" borderId="57" xfId="0" applyFont="1" applyBorder="1" applyAlignment="1">
      <alignment horizontal="center" vertical="center"/>
    </xf>
    <xf numFmtId="0" fontId="43" fillId="0" borderId="46" xfId="0" applyFont="1" applyBorder="1" applyAlignment="1">
      <alignment horizontal="center" vertical="center"/>
    </xf>
    <xf numFmtId="0" fontId="43" fillId="0" borderId="53" xfId="0" applyFont="1" applyBorder="1" applyAlignment="1">
      <alignment horizontal="center" vertical="center"/>
    </xf>
    <xf numFmtId="0" fontId="37" fillId="11" borderId="163" xfId="2" applyNumberFormat="1" applyFont="1" applyFill="1" applyBorder="1" applyAlignment="1" applyProtection="1">
      <alignment horizontal="center" vertical="center" textRotation="90"/>
    </xf>
    <xf numFmtId="0" fontId="37" fillId="11" borderId="53" xfId="2" applyNumberFormat="1" applyFont="1" applyFill="1" applyBorder="1" applyAlignment="1" applyProtection="1">
      <alignment horizontal="center" vertical="center" textRotation="90"/>
    </xf>
    <xf numFmtId="49" fontId="31" fillId="0" borderId="0" xfId="2" applyNumberFormat="1" applyFont="1" applyFill="1" applyBorder="1" applyAlignment="1">
      <alignment horizontal="right"/>
    </xf>
    <xf numFmtId="49" fontId="43" fillId="6" borderId="171" xfId="11" applyNumberFormat="1" applyFont="1" applyFill="1" applyBorder="1" applyAlignment="1">
      <alignment horizontal="center" vertical="center"/>
    </xf>
    <xf numFmtId="49" fontId="43" fillId="6" borderId="172" xfId="11" applyNumberFormat="1" applyFont="1" applyFill="1" applyBorder="1" applyAlignment="1">
      <alignment horizontal="center" vertical="center"/>
    </xf>
    <xf numFmtId="0" fontId="43" fillId="11" borderId="61" xfId="2" applyNumberFormat="1" applyFont="1" applyFill="1" applyBorder="1" applyAlignment="1" applyProtection="1">
      <alignment horizontal="center" vertical="center"/>
    </xf>
    <xf numFmtId="0" fontId="43" fillId="11" borderId="2" xfId="2" applyNumberFormat="1" applyFont="1" applyFill="1" applyBorder="1" applyAlignment="1" applyProtection="1">
      <alignment horizontal="center" vertical="center"/>
    </xf>
    <xf numFmtId="49" fontId="37" fillId="11" borderId="179" xfId="2" applyNumberFormat="1" applyFont="1" applyFill="1" applyBorder="1" applyAlignment="1" applyProtection="1">
      <alignment horizontal="center" vertical="center" textRotation="90"/>
    </xf>
    <xf numFmtId="49" fontId="37" fillId="11" borderId="61" xfId="2" applyNumberFormat="1" applyFont="1" applyFill="1" applyBorder="1" applyAlignment="1" applyProtection="1">
      <alignment horizontal="center" vertical="center" textRotation="90"/>
    </xf>
    <xf numFmtId="0" fontId="37" fillId="11" borderId="7" xfId="2" applyNumberFormat="1" applyFont="1" applyFill="1" applyBorder="1" applyAlignment="1" applyProtection="1">
      <alignment horizontal="center" vertical="center" textRotation="90"/>
    </xf>
    <xf numFmtId="0" fontId="37" fillId="11" borderId="3" xfId="2" applyNumberFormat="1" applyFont="1" applyFill="1" applyBorder="1" applyAlignment="1" applyProtection="1">
      <alignment horizontal="center" vertical="center" textRotation="90"/>
    </xf>
    <xf numFmtId="0" fontId="35" fillId="11" borderId="34" xfId="2" applyNumberFormat="1" applyFont="1" applyFill="1" applyBorder="1" applyAlignment="1" applyProtection="1">
      <alignment horizontal="center" vertical="center"/>
    </xf>
    <xf numFmtId="0" fontId="35" fillId="11" borderId="40" xfId="2" applyNumberFormat="1" applyFont="1" applyFill="1" applyBorder="1" applyAlignment="1" applyProtection="1">
      <alignment horizontal="center" vertical="center"/>
    </xf>
    <xf numFmtId="0" fontId="35" fillId="11" borderId="164" xfId="2" applyNumberFormat="1" applyFont="1" applyFill="1" applyBorder="1" applyAlignment="1" applyProtection="1">
      <alignment horizontal="center" vertical="center"/>
    </xf>
    <xf numFmtId="0" fontId="35" fillId="11" borderId="165" xfId="2" quotePrefix="1" applyNumberFormat="1" applyFont="1" applyFill="1" applyBorder="1" applyAlignment="1" applyProtection="1">
      <alignment horizontal="center" vertical="center"/>
    </xf>
    <xf numFmtId="0" fontId="37" fillId="11" borderId="163" xfId="2" applyNumberFormat="1" applyFont="1" applyFill="1" applyBorder="1" applyAlignment="1" applyProtection="1">
      <alignment horizontal="center" vertical="center" textRotation="90" wrapText="1"/>
    </xf>
    <xf numFmtId="0" fontId="37" fillId="11" borderId="53" xfId="2" applyNumberFormat="1" applyFont="1" applyFill="1" applyBorder="1" applyAlignment="1" applyProtection="1">
      <alignment horizontal="center" vertical="center" textRotation="90" wrapText="1"/>
    </xf>
    <xf numFmtId="0" fontId="37" fillId="11" borderId="3" xfId="2" quotePrefix="1" applyNumberFormat="1" applyFont="1" applyFill="1" applyBorder="1" applyAlignment="1" applyProtection="1">
      <alignment horizontal="center" vertical="center" textRotation="90"/>
    </xf>
    <xf numFmtId="0" fontId="31" fillId="11" borderId="34" xfId="11" applyNumberFormat="1" applyFont="1" applyFill="1" applyBorder="1" applyAlignment="1">
      <alignment horizontal="center"/>
    </xf>
    <xf numFmtId="0" fontId="31" fillId="11" borderId="40" xfId="11" applyNumberFormat="1" applyFont="1" applyFill="1" applyBorder="1" applyAlignment="1">
      <alignment horizontal="center"/>
    </xf>
    <xf numFmtId="0" fontId="31" fillId="11" borderId="41" xfId="11" applyNumberFormat="1" applyFont="1" applyFill="1" applyBorder="1" applyAlignment="1">
      <alignment horizontal="center"/>
    </xf>
    <xf numFmtId="0" fontId="31" fillId="11" borderId="7" xfId="11" applyNumberFormat="1" applyFont="1" applyFill="1" applyBorder="1" applyAlignment="1">
      <alignment horizontal="center"/>
    </xf>
    <xf numFmtId="0" fontId="35" fillId="11" borderId="163" xfId="2" applyNumberFormat="1" applyFont="1" applyFill="1" applyBorder="1" applyAlignment="1" applyProtection="1">
      <alignment horizontal="center" vertical="center" textRotation="90"/>
    </xf>
    <xf numFmtId="0" fontId="35" fillId="11" borderId="53" xfId="2" applyNumberFormat="1" applyFont="1" applyFill="1" applyBorder="1" applyAlignment="1" applyProtection="1">
      <alignment horizontal="center" vertical="center" textRotation="90"/>
    </xf>
    <xf numFmtId="0" fontId="36" fillId="11" borderId="34" xfId="2" applyNumberFormat="1" applyFont="1" applyFill="1" applyBorder="1" applyAlignment="1" applyProtection="1">
      <alignment horizontal="center" vertical="center"/>
    </xf>
    <xf numFmtId="0" fontId="36" fillId="11" borderId="40" xfId="2" applyNumberFormat="1" applyFont="1" applyFill="1" applyBorder="1" applyAlignment="1" applyProtection="1">
      <alignment horizontal="center" vertical="center"/>
    </xf>
    <xf numFmtId="0" fontId="121" fillId="11" borderId="7" xfId="2" applyNumberFormat="1" applyFont="1" applyFill="1" applyBorder="1" applyAlignment="1" applyProtection="1">
      <alignment horizontal="center" vertical="center" textRotation="90"/>
    </xf>
    <xf numFmtId="0" fontId="121" fillId="11" borderId="3" xfId="2" quotePrefix="1" applyNumberFormat="1" applyFont="1" applyFill="1" applyBorder="1" applyAlignment="1" applyProtection="1">
      <alignment horizontal="center" vertical="center" textRotation="90"/>
    </xf>
    <xf numFmtId="0" fontId="39" fillId="11" borderId="3" xfId="0" applyFont="1" applyFill="1" applyBorder="1" applyAlignment="1">
      <alignment horizontal="center" vertical="center"/>
    </xf>
    <xf numFmtId="0" fontId="39" fillId="11" borderId="52" xfId="0" applyFont="1" applyFill="1" applyBorder="1" applyAlignment="1">
      <alignment horizontal="center" vertical="center" wrapText="1"/>
    </xf>
    <xf numFmtId="0" fontId="39" fillId="11" borderId="59" xfId="0" applyFont="1" applyFill="1" applyBorder="1" applyAlignment="1">
      <alignment horizontal="center" vertical="center" wrapText="1"/>
    </xf>
    <xf numFmtId="0" fontId="39" fillId="11" borderId="2" xfId="0" applyFont="1" applyFill="1" applyBorder="1" applyAlignment="1">
      <alignment horizontal="center" vertical="center" wrapText="1"/>
    </xf>
    <xf numFmtId="0" fontId="39" fillId="11" borderId="57" xfId="0" applyFont="1" applyFill="1" applyBorder="1" applyAlignment="1">
      <alignment horizontal="center" vertical="center" wrapText="1"/>
    </xf>
    <xf numFmtId="0" fontId="39" fillId="11" borderId="53" xfId="0" applyFont="1" applyFill="1" applyBorder="1" applyAlignment="1">
      <alignment horizontal="center" vertical="center"/>
    </xf>
    <xf numFmtId="0" fontId="62" fillId="0" borderId="0" xfId="0" applyFont="1" applyAlignment="1">
      <alignment horizontal="center"/>
    </xf>
    <xf numFmtId="0" fontId="40" fillId="11" borderId="57" xfId="0" applyFont="1" applyFill="1" applyBorder="1" applyAlignment="1">
      <alignment horizontal="center" vertical="center" wrapText="1"/>
    </xf>
    <xf numFmtId="0" fontId="40" fillId="11" borderId="53" xfId="0" applyFont="1" applyFill="1" applyBorder="1" applyAlignment="1">
      <alignment horizontal="center" vertical="center"/>
    </xf>
    <xf numFmtId="0" fontId="25" fillId="0" borderId="59" xfId="0" applyFont="1" applyBorder="1"/>
    <xf numFmtId="0" fontId="39" fillId="11" borderId="23" xfId="0" applyFont="1" applyFill="1" applyBorder="1" applyAlignment="1">
      <alignment horizontal="center" vertical="center" wrapText="1"/>
    </xf>
    <xf numFmtId="0" fontId="39" fillId="11" borderId="5" xfId="0" applyFont="1" applyFill="1" applyBorder="1" applyAlignment="1">
      <alignment horizontal="center" vertical="center" wrapText="1"/>
    </xf>
    <xf numFmtId="0" fontId="31" fillId="0" borderId="163" xfId="2" applyNumberFormat="1" applyFont="1" applyFill="1" applyBorder="1" applyAlignment="1" applyProtection="1">
      <alignment horizontal="center" textRotation="90"/>
    </xf>
    <xf numFmtId="0" fontId="31" fillId="0" borderId="53" xfId="2" applyNumberFormat="1" applyFont="1" applyFill="1" applyBorder="1" applyAlignment="1" applyProtection="1">
      <alignment horizontal="center" textRotation="90"/>
    </xf>
    <xf numFmtId="0" fontId="25" fillId="0" borderId="163" xfId="2" applyNumberFormat="1" applyFont="1" applyFill="1" applyBorder="1" applyAlignment="1" applyProtection="1">
      <alignment horizontal="center" textRotation="90"/>
      <protection locked="0"/>
    </xf>
    <xf numFmtId="0" fontId="25" fillId="0" borderId="53" xfId="2" applyNumberFormat="1" applyFont="1" applyFill="1" applyBorder="1" applyAlignment="1" applyProtection="1">
      <alignment horizontal="center" textRotation="90"/>
      <protection locked="0"/>
    </xf>
    <xf numFmtId="0" fontId="43" fillId="0" borderId="40" xfId="2" applyNumberFormat="1" applyFont="1" applyFill="1" applyBorder="1" applyAlignment="1" applyProtection="1">
      <alignment horizontal="center" textRotation="90"/>
      <protection locked="0"/>
    </xf>
    <xf numFmtId="0" fontId="43" fillId="0" borderId="183" xfId="12" applyNumberFormat="1" applyFont="1" applyFill="1" applyBorder="1" applyAlignment="1" applyProtection="1">
      <alignment horizontal="center" textRotation="90"/>
      <protection locked="0"/>
    </xf>
    <xf numFmtId="0" fontId="31" fillId="0" borderId="7" xfId="2" applyNumberFormat="1" applyFont="1" applyFill="1" applyBorder="1" applyAlignment="1" applyProtection="1">
      <alignment horizontal="center" textRotation="90"/>
    </xf>
    <xf numFmtId="0" fontId="31" fillId="0" borderId="3" xfId="12" applyNumberFormat="1" applyFont="1" applyFill="1" applyBorder="1" applyAlignment="1">
      <alignment horizontal="center" textRotation="90"/>
    </xf>
    <xf numFmtId="0" fontId="31" fillId="0" borderId="163" xfId="2" applyNumberFormat="1" applyFont="1" applyFill="1" applyBorder="1" applyAlignment="1" applyProtection="1">
      <alignment horizontal="center" textRotation="90"/>
      <protection locked="0"/>
    </xf>
    <xf numFmtId="0" fontId="31" fillId="0" borderId="53" xfId="2" applyNumberFormat="1" applyFont="1" applyFill="1" applyBorder="1" applyAlignment="1" applyProtection="1">
      <alignment horizontal="center" textRotation="90"/>
      <protection locked="0"/>
    </xf>
    <xf numFmtId="168" fontId="43" fillId="0" borderId="41" xfId="2" applyNumberFormat="1" applyFont="1" applyFill="1" applyBorder="1" applyAlignment="1" applyProtection="1">
      <alignment horizontal="center" textRotation="90"/>
      <protection locked="0"/>
    </xf>
    <xf numFmtId="168" fontId="43" fillId="0" borderId="184" xfId="12" applyNumberFormat="1" applyFont="1" applyFill="1" applyBorder="1" applyAlignment="1" applyProtection="1">
      <alignment horizontal="center" textRotation="90"/>
      <protection locked="0"/>
    </xf>
    <xf numFmtId="0" fontId="43" fillId="0" borderId="40" xfId="2" applyNumberFormat="1" applyFont="1" applyFill="1" applyBorder="1" applyAlignment="1" applyProtection="1">
      <alignment horizontal="center"/>
      <protection locked="0"/>
    </xf>
    <xf numFmtId="0" fontId="43" fillId="0" borderId="41" xfId="2" applyNumberFormat="1" applyFont="1" applyFill="1" applyBorder="1" applyAlignment="1" applyProtection="1">
      <alignment horizontal="center"/>
      <protection locked="0"/>
    </xf>
    <xf numFmtId="168" fontId="43" fillId="0" borderId="7" xfId="2" applyNumberFormat="1" applyFont="1" applyFill="1" applyBorder="1" applyAlignment="1" applyProtection="1">
      <alignment horizontal="center" textRotation="90"/>
      <protection locked="0"/>
    </xf>
    <xf numFmtId="168" fontId="43" fillId="0" borderId="3" xfId="12" applyNumberFormat="1" applyFont="1" applyFill="1" applyBorder="1" applyAlignment="1" applyProtection="1">
      <alignment horizontal="center" textRotation="90"/>
      <protection locked="0"/>
    </xf>
    <xf numFmtId="0" fontId="43" fillId="0" borderId="34" xfId="2" applyNumberFormat="1" applyFont="1" applyFill="1" applyBorder="1" applyAlignment="1" applyProtection="1">
      <alignment horizontal="center"/>
      <protection locked="0"/>
    </xf>
    <xf numFmtId="0" fontId="43" fillId="0" borderId="162" xfId="2" applyNumberFormat="1" applyFont="1" applyFill="1" applyBorder="1" applyAlignment="1" applyProtection="1">
      <alignment horizontal="center" vertical="center" textRotation="90"/>
      <protection locked="0"/>
    </xf>
    <xf numFmtId="0" fontId="43" fillId="0" borderId="51" xfId="2" applyNumberFormat="1" applyFont="1" applyFill="1" applyBorder="1" applyAlignment="1" applyProtection="1">
      <alignment horizontal="center" vertical="center" textRotation="90"/>
      <protection locked="0"/>
    </xf>
    <xf numFmtId="0" fontId="31" fillId="0" borderId="0" xfId="12" applyNumberFormat="1" applyFont="1" applyFill="1" applyAlignment="1" applyProtection="1">
      <alignment horizontal="center"/>
      <protection locked="0"/>
    </xf>
    <xf numFmtId="168" fontId="31" fillId="0" borderId="0" xfId="12" applyNumberFormat="1" applyFont="1" applyFill="1" applyAlignment="1" applyProtection="1">
      <alignment horizontal="center"/>
      <protection locked="0"/>
    </xf>
    <xf numFmtId="0" fontId="31" fillId="0" borderId="163" xfId="2" applyNumberFormat="1" applyFont="1" applyFill="1" applyBorder="1" applyAlignment="1" applyProtection="1">
      <alignment horizontal="center" textRotation="90" wrapText="1"/>
    </xf>
    <xf numFmtId="0" fontId="31" fillId="0" borderId="53" xfId="2" applyNumberFormat="1" applyFont="1" applyFill="1" applyBorder="1" applyAlignment="1" applyProtection="1">
      <alignment horizontal="center" textRotation="90" wrapText="1"/>
    </xf>
    <xf numFmtId="0" fontId="43" fillId="0" borderId="196" xfId="2" applyNumberFormat="1" applyFont="1" applyFill="1" applyBorder="1" applyAlignment="1" applyProtection="1">
      <alignment horizontal="center" vertical="center"/>
      <protection locked="0"/>
    </xf>
    <xf numFmtId="0" fontId="43" fillId="0" borderId="40" xfId="2" applyNumberFormat="1" applyFont="1" applyFill="1" applyBorder="1" applyAlignment="1" applyProtection="1">
      <alignment horizontal="center" vertical="center"/>
      <protection locked="0"/>
    </xf>
    <xf numFmtId="0" fontId="43" fillId="0" borderId="41" xfId="2" applyNumberFormat="1" applyFont="1" applyFill="1" applyBorder="1" applyAlignment="1" applyProtection="1">
      <alignment horizontal="center" vertical="center"/>
      <protection locked="0"/>
    </xf>
    <xf numFmtId="0" fontId="43" fillId="0" borderId="0" xfId="2" applyNumberFormat="1" applyFont="1" applyFill="1" applyBorder="1" applyAlignment="1" applyProtection="1">
      <alignment horizontal="center"/>
      <protection locked="0"/>
    </xf>
    <xf numFmtId="3" fontId="43" fillId="0" borderId="176" xfId="2" applyNumberFormat="1" applyFont="1" applyFill="1" applyBorder="1" applyAlignment="1" applyProtection="1">
      <alignment horizontal="center" vertical="top" wrapText="1"/>
      <protection locked="0"/>
    </xf>
    <xf numFmtId="0" fontId="43" fillId="0" borderId="174" xfId="2" applyNumberFormat="1" applyFont="1" applyFill="1" applyBorder="1" applyAlignment="1" applyProtection="1">
      <alignment horizontal="center" textRotation="90"/>
      <protection locked="0"/>
    </xf>
    <xf numFmtId="0" fontId="43" fillId="0" borderId="175" xfId="12" applyNumberFormat="1" applyFont="1" applyFill="1" applyBorder="1" applyAlignment="1" applyProtection="1">
      <alignment horizontal="center" textRotation="90"/>
      <protection locked="0"/>
    </xf>
    <xf numFmtId="0" fontId="62" fillId="0" borderId="0" xfId="2" applyNumberFormat="1" applyFont="1" applyFill="1" applyBorder="1" applyAlignment="1" applyProtection="1">
      <alignment horizontal="center"/>
    </xf>
    <xf numFmtId="3" fontId="43" fillId="0" borderId="176" xfId="2" applyNumberFormat="1" applyFont="1" applyFill="1" applyBorder="1" applyAlignment="1">
      <alignment horizontal="center" vertical="top" wrapText="1"/>
    </xf>
    <xf numFmtId="0" fontId="25" fillId="0" borderId="163" xfId="2" applyNumberFormat="1" applyFont="1" applyFill="1" applyBorder="1" applyAlignment="1" applyProtection="1">
      <alignment horizontal="center" textRotation="90"/>
    </xf>
    <xf numFmtId="0" fontId="25" fillId="0" borderId="53" xfId="2" applyNumberFormat="1" applyFont="1" applyFill="1" applyBorder="1" applyAlignment="1" applyProtection="1">
      <alignment horizontal="center" textRotation="90"/>
    </xf>
    <xf numFmtId="0" fontId="25" fillId="0" borderId="161" xfId="2" applyNumberFormat="1" applyFont="1" applyFill="1" applyBorder="1" applyAlignment="1" applyProtection="1">
      <alignment horizontal="center" textRotation="90"/>
    </xf>
    <xf numFmtId="0" fontId="25" fillId="0" borderId="64" xfId="2" applyNumberFormat="1" applyFont="1" applyFill="1" applyBorder="1" applyAlignment="1" applyProtection="1">
      <alignment horizontal="center" textRotation="90"/>
    </xf>
    <xf numFmtId="0" fontId="25" fillId="0" borderId="7" xfId="2" applyNumberFormat="1" applyFont="1" applyFill="1" applyBorder="1" applyAlignment="1" applyProtection="1">
      <alignment horizontal="center" textRotation="90"/>
    </xf>
    <xf numFmtId="0" fontId="25" fillId="0" borderId="181" xfId="12" applyNumberFormat="1" applyFont="1" applyFill="1" applyBorder="1" applyAlignment="1">
      <alignment horizontal="center" textRotation="90"/>
    </xf>
    <xf numFmtId="0" fontId="25" fillId="0" borderId="34" xfId="2" applyNumberFormat="1" applyFont="1" applyFill="1" applyBorder="1" applyAlignment="1" applyProtection="1">
      <alignment horizontal="center"/>
    </xf>
    <xf numFmtId="0" fontId="25" fillId="0" borderId="40" xfId="2" applyNumberFormat="1" applyFont="1" applyFill="1" applyBorder="1" applyAlignment="1" applyProtection="1">
      <alignment horizontal="center"/>
    </xf>
    <xf numFmtId="0" fontId="25" fillId="0" borderId="41" xfId="2" applyNumberFormat="1" applyFont="1" applyFill="1" applyBorder="1" applyAlignment="1" applyProtection="1">
      <alignment horizontal="center"/>
    </xf>
    <xf numFmtId="0" fontId="25" fillId="0" borderId="34" xfId="2" applyNumberFormat="1" applyFont="1" applyFill="1" applyBorder="1" applyAlignment="1" applyProtection="1">
      <alignment horizontal="center" vertical="center" wrapText="1"/>
    </xf>
    <xf numFmtId="0" fontId="25" fillId="0" borderId="40" xfId="2" applyNumberFormat="1" applyFont="1" applyFill="1" applyBorder="1" applyAlignment="1" applyProtection="1">
      <alignment horizontal="center" vertical="center" wrapText="1"/>
    </xf>
    <xf numFmtId="0" fontId="25" fillId="0" borderId="41" xfId="2" applyNumberFormat="1" applyFont="1" applyFill="1" applyBorder="1" applyAlignment="1" applyProtection="1">
      <alignment horizontal="center" vertical="center" wrapText="1"/>
    </xf>
    <xf numFmtId="0" fontId="25" fillId="0" borderId="181" xfId="2" applyNumberFormat="1" applyFont="1" applyFill="1" applyBorder="1" applyAlignment="1" applyProtection="1">
      <alignment horizontal="center" textRotation="90"/>
    </xf>
    <xf numFmtId="0" fontId="25" fillId="0" borderId="34" xfId="2" applyNumberFormat="1" applyFont="1" applyFill="1" applyBorder="1" applyAlignment="1" applyProtection="1">
      <alignment horizontal="center" textRotation="90"/>
    </xf>
    <xf numFmtId="0" fontId="25" fillId="0" borderId="40" xfId="2" applyNumberFormat="1" applyFont="1" applyFill="1" applyBorder="1" applyAlignment="1" applyProtection="1">
      <alignment horizontal="center" textRotation="90"/>
    </xf>
    <xf numFmtId="0" fontId="25" fillId="0" borderId="41" xfId="2" applyNumberFormat="1" applyFont="1" applyFill="1" applyBorder="1" applyAlignment="1" applyProtection="1">
      <alignment horizontal="center" textRotation="90"/>
    </xf>
    <xf numFmtId="0" fontId="43" fillId="0" borderId="34" xfId="2" applyNumberFormat="1" applyFont="1" applyFill="1" applyBorder="1" applyAlignment="1" applyProtection="1">
      <alignment horizontal="center"/>
    </xf>
    <xf numFmtId="0" fontId="43" fillId="0" borderId="40" xfId="2" applyNumberFormat="1" applyFont="1" applyFill="1" applyBorder="1" applyAlignment="1" applyProtection="1">
      <alignment horizontal="center"/>
    </xf>
    <xf numFmtId="0" fontId="43" fillId="0" borderId="41" xfId="2" applyNumberFormat="1" applyFont="1" applyFill="1" applyBorder="1" applyAlignment="1" applyProtection="1">
      <alignment horizontal="center"/>
    </xf>
    <xf numFmtId="0" fontId="43" fillId="0" borderId="164" xfId="2" applyNumberFormat="1" applyFont="1" applyFill="1" applyBorder="1" applyAlignment="1" applyProtection="1">
      <alignment horizontal="center" textRotation="90"/>
    </xf>
    <xf numFmtId="0" fontId="43" fillId="0" borderId="165" xfId="2" quotePrefix="1" applyNumberFormat="1" applyFont="1" applyFill="1" applyBorder="1" applyAlignment="1" applyProtection="1">
      <alignment horizontal="center" textRotation="90"/>
    </xf>
    <xf numFmtId="0" fontId="31" fillId="0" borderId="3" xfId="2" applyNumberFormat="1" applyFont="1" applyFill="1" applyBorder="1" applyAlignment="1" applyProtection="1">
      <alignment horizontal="center" textRotation="90"/>
    </xf>
    <xf numFmtId="0" fontId="31" fillId="0" borderId="161" xfId="2" applyNumberFormat="1" applyFont="1" applyFill="1" applyBorder="1" applyAlignment="1" applyProtection="1">
      <alignment horizontal="center" textRotation="90"/>
    </xf>
    <xf numFmtId="0" fontId="31" fillId="0" borderId="64" xfId="2" applyNumberFormat="1" applyFont="1" applyFill="1" applyBorder="1" applyAlignment="1" applyProtection="1">
      <alignment horizontal="center" textRotation="90"/>
    </xf>
    <xf numFmtId="1" fontId="31" fillId="0" borderId="163" xfId="2" applyNumberFormat="1" applyFont="1" applyFill="1" applyBorder="1" applyAlignment="1" applyProtection="1">
      <alignment horizontal="center" textRotation="90"/>
    </xf>
    <xf numFmtId="1" fontId="31" fillId="0" borderId="53" xfId="2" applyNumberFormat="1" applyFont="1" applyFill="1" applyBorder="1" applyAlignment="1" applyProtection="1">
      <alignment horizontal="center" textRotation="90"/>
    </xf>
    <xf numFmtId="0" fontId="31" fillId="0" borderId="34" xfId="2" applyNumberFormat="1" applyFont="1" applyFill="1" applyBorder="1" applyAlignment="1" applyProtection="1">
      <alignment horizontal="center"/>
    </xf>
    <xf numFmtId="0" fontId="31" fillId="0" borderId="40" xfId="2" applyNumberFormat="1" applyFont="1" applyFill="1" applyBorder="1" applyAlignment="1" applyProtection="1">
      <alignment horizontal="center"/>
    </xf>
    <xf numFmtId="0" fontId="31" fillId="0" borderId="41" xfId="2" applyNumberFormat="1" applyFont="1" applyFill="1" applyBorder="1" applyAlignment="1" applyProtection="1">
      <alignment horizontal="center"/>
    </xf>
    <xf numFmtId="0" fontId="31" fillId="0" borderId="163" xfId="2" applyNumberFormat="1" applyFont="1" applyFill="1" applyBorder="1" applyAlignment="1" applyProtection="1">
      <alignment horizontal="center" vertical="center" textRotation="90"/>
    </xf>
    <xf numFmtId="0" fontId="31" fillId="0" borderId="53" xfId="2" applyNumberFormat="1" applyFont="1" applyFill="1" applyBorder="1" applyAlignment="1" applyProtection="1">
      <alignment horizontal="center" vertical="center" textRotation="90"/>
    </xf>
    <xf numFmtId="0" fontId="43" fillId="0" borderId="164" xfId="2" applyNumberFormat="1" applyFont="1" applyFill="1" applyBorder="1" applyAlignment="1" applyProtection="1">
      <alignment horizontal="center" vertical="center"/>
    </xf>
    <xf numFmtId="0" fontId="43" fillId="0" borderId="165" xfId="2" applyNumberFormat="1" applyFont="1" applyFill="1" applyBorder="1" applyAlignment="1" applyProtection="1">
      <alignment horizontal="center" vertical="center"/>
    </xf>
    <xf numFmtId="0" fontId="31" fillId="0" borderId="34" xfId="11" applyNumberFormat="1" applyFont="1" applyFill="1" applyBorder="1" applyAlignment="1">
      <alignment horizontal="center"/>
    </xf>
    <xf numFmtId="0" fontId="31" fillId="0" borderId="41" xfId="11" applyNumberFormat="1" applyFont="1" applyFill="1" applyBorder="1" applyAlignment="1">
      <alignment horizontal="center"/>
    </xf>
    <xf numFmtId="49" fontId="62" fillId="0" borderId="0" xfId="2" applyNumberFormat="1" applyFont="1" applyFill="1" applyBorder="1" applyAlignment="1" applyProtection="1">
      <alignment horizontal="center" vertical="center"/>
    </xf>
    <xf numFmtId="0" fontId="43" fillId="0" borderId="34" xfId="2" applyNumberFormat="1" applyFont="1" applyFill="1" applyBorder="1" applyAlignment="1" applyProtection="1">
      <alignment horizontal="center" vertical="center"/>
    </xf>
    <xf numFmtId="0" fontId="43" fillId="0" borderId="40" xfId="2" applyNumberFormat="1" applyFont="1" applyFill="1" applyBorder="1" applyAlignment="1" applyProtection="1">
      <alignment horizontal="center" vertical="center"/>
    </xf>
    <xf numFmtId="0" fontId="43" fillId="0" borderId="41" xfId="2" applyNumberFormat="1" applyFont="1" applyFill="1" applyBorder="1" applyAlignment="1" applyProtection="1">
      <alignment horizontal="center" vertical="center"/>
    </xf>
    <xf numFmtId="0" fontId="31" fillId="0" borderId="34" xfId="2" applyNumberFormat="1" applyFont="1" applyFill="1" applyBorder="1" applyAlignment="1" applyProtection="1">
      <alignment horizontal="center" vertical="center"/>
    </xf>
    <xf numFmtId="0" fontId="31" fillId="0" borderId="40" xfId="2" applyNumberFormat="1" applyFont="1" applyFill="1" applyBorder="1" applyAlignment="1" applyProtection="1">
      <alignment horizontal="center" vertical="center"/>
    </xf>
    <xf numFmtId="0" fontId="31" fillId="0" borderId="41" xfId="2" applyNumberFormat="1" applyFont="1" applyFill="1" applyBorder="1" applyAlignment="1" applyProtection="1">
      <alignment horizontal="center" vertical="center"/>
    </xf>
    <xf numFmtId="49" fontId="31" fillId="0" borderId="174" xfId="2" applyNumberFormat="1" applyFont="1" applyFill="1" applyBorder="1" applyAlignment="1" applyProtection="1">
      <alignment horizontal="center" vertical="center" textRotation="90"/>
    </xf>
    <xf numFmtId="49" fontId="31" fillId="0" borderId="175" xfId="2" applyNumberFormat="1" applyFont="1" applyFill="1" applyBorder="1" applyAlignment="1" applyProtection="1">
      <alignment horizontal="center" vertical="center" textRotation="90"/>
    </xf>
    <xf numFmtId="0" fontId="31" fillId="0" borderId="40" xfId="11" applyNumberFormat="1" applyFont="1" applyFill="1" applyBorder="1" applyAlignment="1">
      <alignment horizontal="center"/>
    </xf>
    <xf numFmtId="0" fontId="43" fillId="0" borderId="163" xfId="2" applyNumberFormat="1" applyFont="1" applyFill="1" applyBorder="1" applyAlignment="1" applyProtection="1">
      <alignment horizontal="center" vertical="center" textRotation="90"/>
    </xf>
    <xf numFmtId="0" fontId="43" fillId="0" borderId="53" xfId="2" applyNumberFormat="1" applyFont="1" applyFill="1" applyBorder="1" applyAlignment="1" applyProtection="1">
      <alignment horizontal="center" vertical="center" textRotation="90"/>
    </xf>
    <xf numFmtId="168" fontId="43" fillId="20" borderId="2" xfId="2" quotePrefix="1" applyNumberFormat="1" applyFont="1" applyFill="1" applyBorder="1" applyAlignment="1" applyProtection="1">
      <alignment horizontal="center" vertical="center"/>
    </xf>
    <xf numFmtId="168" fontId="43" fillId="20" borderId="59" xfId="2" quotePrefix="1" applyNumberFormat="1" applyFont="1" applyFill="1" applyBorder="1" applyAlignment="1" applyProtection="1">
      <alignment horizontal="center" vertical="center"/>
    </xf>
    <xf numFmtId="0" fontId="43" fillId="0" borderId="161" xfId="2" applyNumberFormat="1" applyFont="1" applyFill="1" applyBorder="1" applyAlignment="1" applyProtection="1">
      <alignment horizontal="center" textRotation="90"/>
      <protection locked="0"/>
    </xf>
    <xf numFmtId="0" fontId="43" fillId="0" borderId="64" xfId="12" applyNumberFormat="1" applyFont="1" applyFill="1" applyBorder="1" applyAlignment="1" applyProtection="1">
      <alignment horizontal="center" textRotation="90"/>
      <protection locked="0"/>
    </xf>
    <xf numFmtId="0" fontId="31" fillId="0" borderId="164" xfId="2" applyNumberFormat="1" applyFont="1" applyFill="1" applyBorder="1" applyAlignment="1" applyProtection="1">
      <alignment horizontal="center" textRotation="90"/>
    </xf>
    <xf numFmtId="0" fontId="31" fillId="0" borderId="165" xfId="2" applyNumberFormat="1" applyFont="1" applyFill="1" applyBorder="1" applyAlignment="1" applyProtection="1">
      <alignment horizontal="center" textRotation="90"/>
    </xf>
  </cellXfs>
  <cellStyles count="23">
    <cellStyle name="category" xfId="1" xr:uid="{00000000-0005-0000-0000-000000000000}"/>
    <cellStyle name="Comma" xfId="2" builtinId="3"/>
    <cellStyle name="Comma 2" xfId="20" xr:uid="{00000000-0005-0000-0000-000002000000}"/>
    <cellStyle name="Grey" xfId="3" xr:uid="{00000000-0005-0000-0000-000003000000}"/>
    <cellStyle name="HEADER" xfId="4" xr:uid="{00000000-0005-0000-0000-000004000000}"/>
    <cellStyle name="Header1" xfId="5" xr:uid="{00000000-0005-0000-0000-000005000000}"/>
    <cellStyle name="Header2" xfId="6" xr:uid="{00000000-0005-0000-0000-000006000000}"/>
    <cellStyle name="Input [yellow]" xfId="7" xr:uid="{00000000-0005-0000-0000-000007000000}"/>
    <cellStyle name="Model" xfId="8" xr:uid="{00000000-0005-0000-0000-000008000000}"/>
    <cellStyle name="Normal" xfId="0" builtinId="0"/>
    <cellStyle name="Normal - Style1" xfId="9" xr:uid="{00000000-0005-0000-0000-00000A000000}"/>
    <cellStyle name="Normal 2 2" xfId="21" xr:uid="{00000000-0005-0000-0000-00000B000000}"/>
    <cellStyle name="Normal_ak" xfId="10" xr:uid="{00000000-0005-0000-0000-00000C000000}"/>
    <cellStyle name="Normal_Cho mo sat tien bo-cty gang thep thai nguyen sonpv" xfId="22" xr:uid="{00000000-0005-0000-0000-00000D000000}"/>
    <cellStyle name="Normal_DTOAN_Tan Tay" xfId="11" xr:uid="{00000000-0005-0000-0000-00000F000000}"/>
    <cellStyle name="Normal_DTOAN_Tan Thanh" xfId="12" xr:uid="{00000000-0005-0000-0000-000010000000}"/>
    <cellStyle name="Normal_DU TOANTICH THIEN2" xfId="13" xr:uid="{00000000-0005-0000-0000-000011000000}"/>
    <cellStyle name="Normal_DuToan KCN3" xfId="14" xr:uid="{00000000-0005-0000-0000-000012000000}"/>
    <cellStyle name="Normal_Vinh Thanh" xfId="15" xr:uid="{00000000-0005-0000-0000-000014000000}"/>
    <cellStyle name="Normal_Vinh Trach Dong(hc)" xfId="16" xr:uid="{00000000-0005-0000-0000-000015000000}"/>
    <cellStyle name="Percent [2]" xfId="17" xr:uid="{00000000-0005-0000-0000-000017000000}"/>
    <cellStyle name="S¬" xfId="18" xr:uid="{00000000-0005-0000-0000-000018000000}"/>
    <cellStyle name="subhead" xfId="19" xr:uid="{00000000-0005-0000-0000-000019000000}"/>
  </cellStyles>
  <dxfs count="3"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4:S76"/>
  <sheetViews>
    <sheetView showGridLines="0" showZeros="0" topLeftCell="A22" zoomScaleNormal="100" workbookViewId="0">
      <selection activeCell="K38" sqref="K38"/>
    </sheetView>
  </sheetViews>
  <sheetFormatPr defaultColWidth="9.109375" defaultRowHeight="13.2"/>
  <cols>
    <col min="1" max="1" width="10" style="272" customWidth="1"/>
    <col min="2" max="2" width="13.88671875" style="272" customWidth="1"/>
    <col min="3" max="3" width="14.88671875" style="272" customWidth="1"/>
    <col min="4" max="4" width="12.109375" style="272" customWidth="1"/>
    <col min="5" max="5" width="6.88671875" style="273" customWidth="1"/>
    <col min="6" max="6" width="15.109375" style="272" bestFit="1" customWidth="1"/>
    <col min="7" max="8" width="10.44140625" style="272" customWidth="1"/>
    <col min="9" max="9" width="10.109375" style="272" bestFit="1" customWidth="1"/>
    <col min="10" max="10" width="11.88671875" style="272" customWidth="1"/>
    <col min="11" max="11" width="11.33203125" style="272" customWidth="1"/>
    <col min="12" max="12" width="34" style="272" customWidth="1"/>
    <col min="13" max="13" width="14.109375" style="272" customWidth="1"/>
    <col min="14" max="14" width="12.33203125" style="272" customWidth="1"/>
    <col min="15" max="15" width="12.5546875" style="272" customWidth="1"/>
    <col min="16" max="16" width="29.6640625" style="272" customWidth="1"/>
    <col min="17" max="17" width="11.33203125" style="272" customWidth="1"/>
    <col min="18" max="18" width="11.5546875" style="272" customWidth="1"/>
    <col min="19" max="19" width="11.6640625" style="272" customWidth="1"/>
    <col min="20" max="20" width="9.5546875" style="272" bestFit="1" customWidth="1"/>
    <col min="21" max="16384" width="9.109375" style="272"/>
  </cols>
  <sheetData>
    <row r="4" spans="1:19" ht="13.8" thickBot="1">
      <c r="L4" s="274"/>
    </row>
    <row r="5" spans="1:19" ht="39" customHeight="1" thickBot="1">
      <c r="A5" s="275" t="s">
        <v>3869</v>
      </c>
      <c r="B5" s="275"/>
      <c r="C5" s="2403" t="s">
        <v>5825</v>
      </c>
      <c r="D5" s="2404"/>
      <c r="E5" s="2404"/>
      <c r="F5" s="2404"/>
      <c r="G5" s="2404"/>
      <c r="H5" s="2404"/>
      <c r="I5" s="2404"/>
      <c r="J5" s="2404"/>
      <c r="K5" s="2404"/>
      <c r="L5" s="2405"/>
    </row>
    <row r="6" spans="1:19" ht="13.8" thickBot="1">
      <c r="B6" s="275"/>
      <c r="C6" s="518" t="s">
        <v>5811</v>
      </c>
      <c r="D6" s="277"/>
      <c r="E6" s="277"/>
      <c r="F6" s="277"/>
      <c r="G6" s="277"/>
      <c r="H6" s="277"/>
      <c r="I6" s="277"/>
      <c r="J6" s="277"/>
      <c r="K6" s="277"/>
      <c r="L6" s="278"/>
    </row>
    <row r="7" spans="1:19" ht="13.8" thickBot="1">
      <c r="A7" s="275" t="s">
        <v>3870</v>
      </c>
      <c r="B7" s="275"/>
      <c r="C7" s="276"/>
      <c r="D7" s="277"/>
      <c r="E7" s="277"/>
      <c r="F7" s="277"/>
      <c r="G7" s="277"/>
      <c r="H7" s="277"/>
      <c r="I7" s="277"/>
      <c r="J7" s="277"/>
      <c r="K7" s="277"/>
      <c r="L7" s="278"/>
    </row>
    <row r="8" spans="1:19">
      <c r="B8" s="279" t="s">
        <v>3871</v>
      </c>
      <c r="C8" s="280" t="s">
        <v>5794</v>
      </c>
      <c r="D8" s="281"/>
      <c r="E8" s="282"/>
      <c r="F8" s="282"/>
      <c r="G8" s="282"/>
      <c r="H8" s="282"/>
      <c r="I8" s="282"/>
      <c r="J8" s="282"/>
      <c r="K8" s="283"/>
      <c r="O8" s="273"/>
    </row>
    <row r="9" spans="1:19">
      <c r="B9" s="284" t="s">
        <v>3872</v>
      </c>
      <c r="C9" s="285" t="s">
        <v>5795</v>
      </c>
      <c r="D9" s="286"/>
      <c r="E9" s="286"/>
      <c r="F9" s="286"/>
      <c r="G9" s="286"/>
      <c r="H9" s="286"/>
      <c r="I9" s="286"/>
      <c r="J9" s="286"/>
      <c r="K9" s="287"/>
      <c r="O9" s="273"/>
    </row>
    <row r="10" spans="1:19" ht="13.8" thickBot="1">
      <c r="B10" s="288"/>
      <c r="C10" s="285" t="str">
        <f>C9</f>
        <v>Công ty TNHH Trang Song Anh</v>
      </c>
      <c r="D10" s="286"/>
      <c r="E10" s="286"/>
      <c r="F10" s="286"/>
      <c r="G10" s="289"/>
      <c r="H10" s="289"/>
      <c r="I10" s="289"/>
      <c r="J10" s="289"/>
      <c r="K10" s="290">
        <v>1</v>
      </c>
      <c r="O10" s="273"/>
    </row>
    <row r="11" spans="1:19" ht="16.2" thickBot="1">
      <c r="B11" s="291" t="s">
        <v>3873</v>
      </c>
      <c r="C11" s="292"/>
      <c r="D11" s="293" t="s">
        <v>5797</v>
      </c>
      <c r="E11" s="294"/>
      <c r="F11" s="295"/>
      <c r="N11" s="273"/>
      <c r="O11" s="273"/>
      <c r="Q11" s="296" t="s">
        <v>2128</v>
      </c>
      <c r="R11" s="297" t="s">
        <v>2129</v>
      </c>
      <c r="S11" s="296" t="s">
        <v>2130</v>
      </c>
    </row>
    <row r="12" spans="1:19" ht="15" thickTop="1" thickBot="1">
      <c r="B12" s="298" t="s">
        <v>3874</v>
      </c>
      <c r="C12" s="299"/>
      <c r="D12" s="300" t="s">
        <v>5798</v>
      </c>
      <c r="E12" s="301"/>
      <c r="F12" s="302"/>
      <c r="G12" s="274"/>
      <c r="H12" s="274"/>
      <c r="I12" s="274"/>
      <c r="J12" s="274"/>
      <c r="P12" s="303" t="s">
        <v>3875</v>
      </c>
      <c r="Q12" s="304">
        <v>1</v>
      </c>
      <c r="R12" s="304">
        <v>2.74</v>
      </c>
      <c r="S12" s="305">
        <v>2.38</v>
      </c>
    </row>
    <row r="13" spans="1:19" ht="15" thickTop="1" thickBot="1">
      <c r="B13" s="306" t="s">
        <v>5799</v>
      </c>
      <c r="C13" s="307"/>
      <c r="D13" s="308" t="s">
        <v>5796</v>
      </c>
      <c r="E13" s="309"/>
      <c r="F13" s="310"/>
      <c r="P13" s="311" t="s">
        <v>3876</v>
      </c>
      <c r="Q13" s="312">
        <v>1</v>
      </c>
      <c r="R13" s="312">
        <v>1.18</v>
      </c>
      <c r="S13" s="313">
        <v>1.1599999999999999</v>
      </c>
    </row>
    <row r="14" spans="1:19" ht="15" thickTop="1" thickBot="1">
      <c r="B14" s="314" t="s">
        <v>3877</v>
      </c>
      <c r="C14" s="315"/>
      <c r="D14" s="315"/>
      <c r="E14" s="316"/>
      <c r="F14" s="317"/>
      <c r="G14" s="318" t="s">
        <v>3878</v>
      </c>
      <c r="P14" s="311" t="s">
        <v>3879</v>
      </c>
      <c r="Q14" s="304">
        <v>1</v>
      </c>
      <c r="R14" s="304">
        <v>2.74</v>
      </c>
      <c r="S14" s="305">
        <v>2.38</v>
      </c>
    </row>
    <row r="15" spans="1:19" ht="15" thickTop="1" thickBot="1">
      <c r="B15" s="319" t="s">
        <v>3880</v>
      </c>
      <c r="C15" s="320"/>
      <c r="D15" s="320"/>
      <c r="E15" s="321"/>
      <c r="F15" s="322"/>
      <c r="G15" s="323" t="s">
        <v>3878</v>
      </c>
      <c r="P15" s="311" t="s">
        <v>3881</v>
      </c>
      <c r="Q15" s="312">
        <v>1</v>
      </c>
      <c r="R15" s="312">
        <v>1.18</v>
      </c>
      <c r="S15" s="313">
        <v>1.1599999999999999</v>
      </c>
    </row>
    <row r="16" spans="1:19" ht="15" thickTop="1" thickBot="1">
      <c r="B16" s="324" t="s">
        <v>3882</v>
      </c>
      <c r="C16" s="325"/>
      <c r="D16" s="325"/>
      <c r="E16" s="326"/>
      <c r="F16" s="327">
        <v>50</v>
      </c>
      <c r="G16" s="328" t="s">
        <v>905</v>
      </c>
      <c r="P16" s="311" t="s">
        <v>3879</v>
      </c>
      <c r="Q16" s="304">
        <v>1</v>
      </c>
      <c r="R16" s="304">
        <v>2.74</v>
      </c>
      <c r="S16" s="305">
        <v>2.38</v>
      </c>
    </row>
    <row r="17" spans="2:19" ht="15" thickTop="1" thickBot="1">
      <c r="B17" s="329" t="s">
        <v>3883</v>
      </c>
      <c r="C17" s="330"/>
      <c r="D17" s="330"/>
      <c r="E17" s="331"/>
      <c r="F17" s="332">
        <v>50</v>
      </c>
      <c r="G17" s="333" t="s">
        <v>905</v>
      </c>
      <c r="J17" s="272" t="s">
        <v>312</v>
      </c>
      <c r="P17" s="311" t="s">
        <v>3884</v>
      </c>
      <c r="Q17" s="304">
        <v>1</v>
      </c>
      <c r="R17" s="304">
        <v>5.0860000000000003</v>
      </c>
      <c r="S17" s="305">
        <v>4.4290000000000003</v>
      </c>
    </row>
    <row r="18" spans="2:19" ht="15" thickTop="1" thickBot="1">
      <c r="B18" s="329" t="s">
        <v>3885</v>
      </c>
      <c r="C18" s="330"/>
      <c r="D18" s="330"/>
      <c r="E18" s="331"/>
      <c r="F18" s="334">
        <v>0.1</v>
      </c>
      <c r="G18" s="333" t="s">
        <v>905</v>
      </c>
      <c r="P18" s="311" t="s">
        <v>3886</v>
      </c>
      <c r="Q18" s="312">
        <v>1</v>
      </c>
      <c r="R18" s="312">
        <v>1.083</v>
      </c>
      <c r="S18" s="313">
        <v>1.07</v>
      </c>
    </row>
    <row r="19" spans="2:19" ht="15" thickTop="1" thickBot="1">
      <c r="B19" s="335" t="s">
        <v>3887</v>
      </c>
      <c r="C19" s="336"/>
      <c r="D19" s="336"/>
      <c r="E19" s="337"/>
      <c r="F19" s="338"/>
      <c r="G19" s="339" t="s">
        <v>905</v>
      </c>
      <c r="P19" s="311" t="s">
        <v>3888</v>
      </c>
      <c r="Q19" s="304">
        <v>3.47</v>
      </c>
      <c r="R19" s="304">
        <v>3.47</v>
      </c>
      <c r="S19" s="305">
        <v>3.47</v>
      </c>
    </row>
    <row r="20" spans="2:19" ht="15" thickTop="1" thickBot="1">
      <c r="B20" s="324" t="s">
        <v>3889</v>
      </c>
      <c r="C20" s="325"/>
      <c r="D20" s="325"/>
      <c r="E20" s="326"/>
      <c r="F20" s="327">
        <v>4</v>
      </c>
      <c r="G20" s="328" t="s">
        <v>1786</v>
      </c>
      <c r="P20" s="311" t="s">
        <v>3890</v>
      </c>
      <c r="Q20" s="312">
        <v>1.45</v>
      </c>
      <c r="R20" s="312">
        <v>1.45</v>
      </c>
      <c r="S20" s="313">
        <v>1.45</v>
      </c>
    </row>
    <row r="21" spans="2:19" ht="15" thickTop="1" thickBot="1">
      <c r="B21" s="329" t="s">
        <v>3891</v>
      </c>
      <c r="C21" s="330"/>
      <c r="D21" s="330"/>
      <c r="E21" s="331"/>
      <c r="F21" s="327">
        <v>1</v>
      </c>
      <c r="G21" s="333" t="s">
        <v>1786</v>
      </c>
      <c r="P21" s="311" t="s">
        <v>3892</v>
      </c>
      <c r="Q21" s="340">
        <v>1.1266</v>
      </c>
      <c r="R21" s="340">
        <v>1.1266</v>
      </c>
      <c r="S21" s="305">
        <v>1.1266233999999999</v>
      </c>
    </row>
    <row r="22" spans="2:19" ht="15" thickTop="1" thickBot="1">
      <c r="B22" s="335" t="s">
        <v>3893</v>
      </c>
      <c r="C22" s="336"/>
      <c r="D22" s="336"/>
      <c r="E22" s="337"/>
      <c r="F22" s="338"/>
      <c r="G22" s="339" t="s">
        <v>1786</v>
      </c>
      <c r="P22" s="341" t="s">
        <v>1240</v>
      </c>
      <c r="Q22" s="342">
        <v>16600</v>
      </c>
      <c r="R22" s="342">
        <v>16600</v>
      </c>
      <c r="S22" s="343">
        <v>16600</v>
      </c>
    </row>
    <row r="23" spans="2:19" ht="14.4" thickBot="1">
      <c r="B23" s="344" t="s">
        <v>3894</v>
      </c>
      <c r="C23" s="345"/>
      <c r="D23" s="345"/>
      <c r="E23" s="346"/>
      <c r="F23" s="347">
        <v>3</v>
      </c>
      <c r="G23" s="348"/>
      <c r="P23" s="349" t="s">
        <v>1241</v>
      </c>
      <c r="Q23" s="350">
        <v>15909</v>
      </c>
      <c r="R23" s="350">
        <v>15909</v>
      </c>
      <c r="S23" s="351">
        <v>15909</v>
      </c>
    </row>
    <row r="24" spans="2:19" ht="15" thickTop="1" thickBot="1">
      <c r="B24" s="352" t="s">
        <v>3895</v>
      </c>
      <c r="C24" s="320"/>
      <c r="D24" s="320"/>
      <c r="E24" s="321"/>
      <c r="F24" s="353">
        <v>1</v>
      </c>
      <c r="G24" s="323" t="s">
        <v>987</v>
      </c>
      <c r="P24" s="354" t="s">
        <v>3896</v>
      </c>
      <c r="Q24" s="304">
        <v>5.09</v>
      </c>
      <c r="R24" s="304">
        <v>5.09</v>
      </c>
      <c r="S24" s="305">
        <v>4.43</v>
      </c>
    </row>
    <row r="25" spans="2:19" ht="13.8">
      <c r="B25" s="352" t="s">
        <v>3897</v>
      </c>
      <c r="C25" s="320"/>
      <c r="D25" s="320"/>
      <c r="E25" s="321"/>
      <c r="F25" s="353">
        <v>1</v>
      </c>
      <c r="G25" s="323" t="s">
        <v>987</v>
      </c>
      <c r="P25" s="355"/>
      <c r="Q25" s="356"/>
      <c r="R25" s="357"/>
      <c r="S25" s="358"/>
    </row>
    <row r="26" spans="2:19" ht="13.8" thickBot="1">
      <c r="B26" s="352" t="s">
        <v>3898</v>
      </c>
      <c r="C26" s="320"/>
      <c r="D26" s="320"/>
      <c r="E26" s="321"/>
      <c r="F26" s="353">
        <v>5</v>
      </c>
      <c r="G26" s="323" t="s">
        <v>987</v>
      </c>
    </row>
    <row r="27" spans="2:19">
      <c r="B27" s="359" t="s">
        <v>3899</v>
      </c>
      <c r="C27" s="360"/>
      <c r="D27" s="360"/>
      <c r="E27" s="361" t="s">
        <v>986</v>
      </c>
      <c r="F27" s="362">
        <v>1</v>
      </c>
      <c r="G27" s="363"/>
    </row>
    <row r="28" spans="2:19">
      <c r="B28" s="352" t="s">
        <v>3900</v>
      </c>
      <c r="C28" s="320"/>
      <c r="D28" s="320"/>
      <c r="E28" s="364" t="s">
        <v>933</v>
      </c>
      <c r="F28" s="353"/>
      <c r="G28" s="323"/>
    </row>
    <row r="29" spans="2:19" ht="13.8" thickBot="1">
      <c r="B29" s="319" t="str">
        <f>"- ĐO ĐẾM TRUNG THẾ"</f>
        <v>- ĐO ĐẾM TRUNG THẾ</v>
      </c>
      <c r="C29" s="320"/>
      <c r="D29" s="320"/>
      <c r="E29" s="321"/>
      <c r="F29" s="353"/>
      <c r="G29" s="323" t="s">
        <v>1133</v>
      </c>
    </row>
    <row r="30" spans="2:19">
      <c r="B30" s="365" t="s">
        <v>3901</v>
      </c>
      <c r="C30" s="366"/>
      <c r="D30" s="366"/>
      <c r="E30" s="367"/>
      <c r="F30" s="368">
        <v>9</v>
      </c>
      <c r="G30" s="369" t="s">
        <v>2451</v>
      </c>
    </row>
    <row r="31" spans="2:19" ht="13.8" thickBot="1">
      <c r="B31" s="370"/>
      <c r="C31" s="371"/>
      <c r="D31" s="371"/>
      <c r="E31" s="372"/>
      <c r="F31" s="373"/>
      <c r="G31" s="374" t="s">
        <v>3902</v>
      </c>
    </row>
    <row r="32" spans="2:19">
      <c r="B32" s="314" t="s">
        <v>3903</v>
      </c>
      <c r="C32" s="315"/>
      <c r="D32" s="315"/>
      <c r="E32" s="316"/>
      <c r="F32" s="375">
        <v>18</v>
      </c>
      <c r="G32" s="318" t="s">
        <v>1787</v>
      </c>
      <c r="I32" s="273"/>
    </row>
    <row r="33" spans="2:10" ht="13.8" thickBot="1">
      <c r="B33" s="319" t="s">
        <v>3904</v>
      </c>
      <c r="C33" s="320"/>
      <c r="D33" s="320"/>
      <c r="E33" s="321"/>
      <c r="F33" s="376">
        <v>22</v>
      </c>
      <c r="G33" s="323" t="s">
        <v>1787</v>
      </c>
      <c r="I33" s="273"/>
    </row>
    <row r="34" spans="2:10">
      <c r="B34" s="377" t="s">
        <v>3905</v>
      </c>
      <c r="C34" s="378" t="s">
        <v>3906</v>
      </c>
      <c r="D34" s="379" t="s">
        <v>3907</v>
      </c>
      <c r="E34" s="380"/>
      <c r="F34" s="378" t="s">
        <v>3906</v>
      </c>
      <c r="G34" s="363"/>
      <c r="H34" s="379" t="s">
        <v>4635</v>
      </c>
      <c r="I34" s="273"/>
      <c r="J34" s="378" t="s">
        <v>3906</v>
      </c>
    </row>
    <row r="35" spans="2:10">
      <c r="B35" s="381" t="s">
        <v>1228</v>
      </c>
      <c r="C35" s="382"/>
      <c r="D35" s="383" t="s">
        <v>408</v>
      </c>
      <c r="E35" s="384" t="s">
        <v>2046</v>
      </c>
      <c r="F35" s="382"/>
      <c r="G35" s="385"/>
      <c r="I35" s="273"/>
    </row>
    <row r="36" spans="2:10">
      <c r="B36" s="386" t="s">
        <v>1229</v>
      </c>
      <c r="C36" s="387"/>
      <c r="D36" s="388" t="s">
        <v>409</v>
      </c>
      <c r="E36" s="389" t="s">
        <v>2046</v>
      </c>
      <c r="F36" s="387"/>
      <c r="G36" s="333"/>
      <c r="I36" s="273"/>
    </row>
    <row r="37" spans="2:10">
      <c r="B37" s="386" t="s">
        <v>1230</v>
      </c>
      <c r="C37" s="387"/>
      <c r="D37" s="388" t="s">
        <v>410</v>
      </c>
      <c r="E37" s="389" t="s">
        <v>2046</v>
      </c>
      <c r="F37" s="387"/>
      <c r="G37" s="333"/>
      <c r="I37" s="273"/>
    </row>
    <row r="38" spans="2:10">
      <c r="B38" s="386" t="s">
        <v>1231</v>
      </c>
      <c r="C38" s="387"/>
      <c r="D38" s="388" t="s">
        <v>411</v>
      </c>
      <c r="E38" s="389" t="s">
        <v>2046</v>
      </c>
      <c r="F38" s="387"/>
      <c r="G38" s="333"/>
      <c r="I38" s="273"/>
    </row>
    <row r="39" spans="2:10">
      <c r="B39" s="386" t="s">
        <v>872</v>
      </c>
      <c r="C39" s="387"/>
      <c r="D39" s="388">
        <v>160</v>
      </c>
      <c r="E39" s="389" t="s">
        <v>2046</v>
      </c>
      <c r="F39" s="387"/>
      <c r="G39" s="333"/>
    </row>
    <row r="40" spans="2:10" ht="13.8" thickBot="1">
      <c r="B40" s="390" t="s">
        <v>873</v>
      </c>
      <c r="C40" s="391"/>
      <c r="D40" s="388">
        <v>250</v>
      </c>
      <c r="E40" s="389" t="s">
        <v>2046</v>
      </c>
      <c r="F40" s="387"/>
      <c r="G40" s="333"/>
    </row>
    <row r="41" spans="2:10" ht="13.8" thickBot="1">
      <c r="B41" s="346"/>
      <c r="C41" s="391"/>
      <c r="D41" s="388">
        <v>320</v>
      </c>
      <c r="E41" s="389" t="s">
        <v>2046</v>
      </c>
      <c r="F41" s="387"/>
      <c r="G41" s="333"/>
    </row>
    <row r="42" spans="2:10" ht="13.8" thickBot="1">
      <c r="B42" s="346"/>
      <c r="C42" s="391"/>
      <c r="D42" s="388">
        <v>400</v>
      </c>
      <c r="E42" s="389" t="s">
        <v>2046</v>
      </c>
      <c r="F42" s="387"/>
      <c r="G42" s="333"/>
      <c r="H42" s="388"/>
      <c r="I42" s="389"/>
      <c r="J42" s="387"/>
    </row>
    <row r="43" spans="2:10" ht="13.8" thickBot="1">
      <c r="B43" s="346" t="s">
        <v>3908</v>
      </c>
      <c r="C43" s="391" t="s">
        <v>2609</v>
      </c>
      <c r="D43" s="388">
        <v>560</v>
      </c>
      <c r="E43" s="389" t="s">
        <v>2046</v>
      </c>
      <c r="F43" s="387"/>
      <c r="G43" s="333"/>
    </row>
    <row r="44" spans="2:10">
      <c r="D44" s="392">
        <v>630</v>
      </c>
      <c r="E44" s="389" t="s">
        <v>2046</v>
      </c>
      <c r="F44" s="387"/>
      <c r="G44" s="333"/>
    </row>
    <row r="45" spans="2:10">
      <c r="D45" s="392">
        <v>1250</v>
      </c>
      <c r="E45" s="389" t="s">
        <v>2046</v>
      </c>
      <c r="F45" s="387">
        <v>1</v>
      </c>
      <c r="G45" s="333"/>
    </row>
    <row r="46" spans="2:10">
      <c r="D46" s="393">
        <v>1000</v>
      </c>
      <c r="E46" s="394" t="s">
        <v>2046</v>
      </c>
      <c r="F46" s="395"/>
      <c r="G46" s="396"/>
    </row>
    <row r="47" spans="2:10">
      <c r="D47" s="393">
        <v>1250</v>
      </c>
      <c r="E47" s="394" t="s">
        <v>2046</v>
      </c>
      <c r="F47" s="395"/>
      <c r="G47" s="396"/>
    </row>
    <row r="48" spans="2:10">
      <c r="D48" s="393">
        <v>1500</v>
      </c>
      <c r="E48" s="394" t="s">
        <v>2046</v>
      </c>
      <c r="F48" s="395"/>
      <c r="G48" s="396"/>
    </row>
    <row r="49" spans="2:16">
      <c r="D49" s="393">
        <v>1600</v>
      </c>
      <c r="E49" s="394" t="s">
        <v>2046</v>
      </c>
      <c r="F49" s="395"/>
      <c r="G49" s="396"/>
    </row>
    <row r="50" spans="2:16" ht="13.8" thickBot="1">
      <c r="D50" s="397">
        <v>2000</v>
      </c>
      <c r="E50" s="398" t="s">
        <v>2046</v>
      </c>
      <c r="F50" s="391"/>
      <c r="G50" s="339"/>
    </row>
    <row r="51" spans="2:16" ht="13.8" thickBot="1">
      <c r="D51" s="397">
        <v>2500</v>
      </c>
      <c r="E51" s="398" t="s">
        <v>2046</v>
      </c>
      <c r="F51" s="391"/>
      <c r="G51" s="339"/>
    </row>
    <row r="52" spans="2:16" ht="13.8" thickBot="1">
      <c r="D52" s="397">
        <v>3000</v>
      </c>
      <c r="E52" s="398" t="s">
        <v>2046</v>
      </c>
      <c r="F52" s="391"/>
      <c r="G52" s="339"/>
    </row>
    <row r="53" spans="2:16" ht="13.8" thickBot="1">
      <c r="D53" s="399">
        <v>180</v>
      </c>
      <c r="E53" s="398" t="s">
        <v>2046</v>
      </c>
      <c r="F53" s="391"/>
      <c r="G53" s="339"/>
    </row>
    <row r="54" spans="2:16" ht="20.25" customHeight="1">
      <c r="B54" s="400" t="s">
        <v>3906</v>
      </c>
      <c r="C54" s="401" t="s">
        <v>3909</v>
      </c>
      <c r="D54" s="402" t="s">
        <v>3910</v>
      </c>
      <c r="E54" s="401" t="s">
        <v>3911</v>
      </c>
      <c r="F54" s="401" t="s">
        <v>3912</v>
      </c>
      <c r="G54" s="401" t="s">
        <v>3913</v>
      </c>
      <c r="H54" s="401" t="s">
        <v>3914</v>
      </c>
      <c r="I54" s="401" t="s">
        <v>3915</v>
      </c>
      <c r="J54" s="401" t="s">
        <v>3916</v>
      </c>
      <c r="K54" s="401" t="s">
        <v>3917</v>
      </c>
      <c r="L54" s="401" t="s">
        <v>3918</v>
      </c>
      <c r="M54" s="401" t="s">
        <v>3919</v>
      </c>
      <c r="N54" s="401" t="s">
        <v>3920</v>
      </c>
      <c r="O54" s="401" t="s">
        <v>3921</v>
      </c>
      <c r="P54" s="401" t="s">
        <v>3922</v>
      </c>
    </row>
    <row r="55" spans="2:16" ht="18.75" customHeight="1">
      <c r="B55" s="403"/>
      <c r="C55" s="404"/>
      <c r="D55" s="405">
        <v>15</v>
      </c>
      <c r="E55" s="404"/>
      <c r="F55" s="404" t="s">
        <v>1419</v>
      </c>
      <c r="G55" s="404" t="s">
        <v>911</v>
      </c>
      <c r="H55" s="404"/>
      <c r="I55" s="404" t="s">
        <v>1200</v>
      </c>
      <c r="J55" s="404" t="s">
        <v>648</v>
      </c>
      <c r="K55" s="404"/>
      <c r="L55" s="404" t="s">
        <v>1604</v>
      </c>
      <c r="M55" s="404">
        <v>1</v>
      </c>
      <c r="N55" s="404" t="s">
        <v>1604</v>
      </c>
      <c r="O55" s="404">
        <v>1</v>
      </c>
      <c r="P55" s="404"/>
    </row>
    <row r="56" spans="2:16" ht="18.75" customHeight="1">
      <c r="B56" s="403"/>
      <c r="C56" s="404"/>
      <c r="D56" s="405">
        <v>25</v>
      </c>
      <c r="E56" s="404"/>
      <c r="F56" s="404" t="s">
        <v>2192</v>
      </c>
      <c r="G56" s="404" t="s">
        <v>1412</v>
      </c>
      <c r="H56" s="404"/>
      <c r="I56" s="404" t="s">
        <v>1200</v>
      </c>
      <c r="J56" s="404" t="s">
        <v>648</v>
      </c>
      <c r="K56" s="404"/>
      <c r="L56" s="404" t="s">
        <v>634</v>
      </c>
      <c r="M56" s="404">
        <v>1</v>
      </c>
      <c r="N56" s="404" t="s">
        <v>634</v>
      </c>
      <c r="O56" s="404">
        <v>1</v>
      </c>
      <c r="P56" s="404"/>
    </row>
    <row r="57" spans="2:16">
      <c r="B57" s="403"/>
      <c r="C57" s="404"/>
      <c r="D57" s="405">
        <v>37.5</v>
      </c>
      <c r="E57" s="404"/>
      <c r="F57" s="404" t="s">
        <v>2193</v>
      </c>
      <c r="G57" s="404" t="s">
        <v>586</v>
      </c>
      <c r="H57" s="404" t="s">
        <v>1374</v>
      </c>
      <c r="I57" s="404" t="s">
        <v>1200</v>
      </c>
      <c r="J57" s="404" t="s">
        <v>648</v>
      </c>
      <c r="K57" s="404"/>
      <c r="L57" s="404" t="s">
        <v>1605</v>
      </c>
      <c r="M57" s="404">
        <v>1</v>
      </c>
      <c r="N57" s="404" t="s">
        <v>1605</v>
      </c>
      <c r="O57" s="404">
        <v>1</v>
      </c>
      <c r="P57" s="404"/>
    </row>
    <row r="58" spans="2:16">
      <c r="B58" s="403"/>
      <c r="C58" s="404"/>
      <c r="D58" s="405">
        <v>50</v>
      </c>
      <c r="E58" s="404"/>
      <c r="F58" s="404" t="s">
        <v>1055</v>
      </c>
      <c r="G58" s="404" t="s">
        <v>660</v>
      </c>
      <c r="H58" s="404" t="s">
        <v>915</v>
      </c>
      <c r="I58" s="404" t="s">
        <v>1200</v>
      </c>
      <c r="J58" s="404" t="s">
        <v>648</v>
      </c>
      <c r="K58" s="404"/>
      <c r="L58" s="404" t="s">
        <v>1796</v>
      </c>
      <c r="M58" s="404">
        <v>1</v>
      </c>
      <c r="N58" s="404" t="s">
        <v>1796</v>
      </c>
      <c r="O58" s="404">
        <v>1</v>
      </c>
      <c r="P58" s="404"/>
    </row>
    <row r="59" spans="2:16">
      <c r="B59" s="403"/>
      <c r="C59" s="404"/>
      <c r="D59" s="405">
        <v>75</v>
      </c>
      <c r="E59" s="404"/>
      <c r="F59" s="404"/>
      <c r="G59" s="404"/>
      <c r="H59" s="404"/>
      <c r="I59" s="404" t="s">
        <v>1200</v>
      </c>
      <c r="J59" s="404" t="s">
        <v>648</v>
      </c>
      <c r="K59" s="404"/>
      <c r="L59" s="404" t="s">
        <v>797</v>
      </c>
      <c r="M59" s="404">
        <v>1</v>
      </c>
      <c r="N59" s="404" t="s">
        <v>797</v>
      </c>
      <c r="O59" s="404">
        <v>1</v>
      </c>
      <c r="P59" s="404"/>
    </row>
    <row r="60" spans="2:16">
      <c r="B60" s="403"/>
      <c r="C60" s="404"/>
      <c r="D60" s="405">
        <v>100</v>
      </c>
      <c r="E60" s="404">
        <v>45</v>
      </c>
      <c r="F60" s="404"/>
      <c r="G60" s="404"/>
      <c r="H60" s="404"/>
      <c r="I60" s="404" t="s">
        <v>1200</v>
      </c>
      <c r="J60" s="404" t="s">
        <v>648</v>
      </c>
      <c r="K60" s="404"/>
      <c r="L60" s="404" t="s">
        <v>3923</v>
      </c>
      <c r="M60" s="404">
        <v>1</v>
      </c>
      <c r="N60" s="404" t="s">
        <v>3923</v>
      </c>
      <c r="O60" s="404">
        <v>1</v>
      </c>
      <c r="P60" s="404"/>
    </row>
    <row r="61" spans="2:16">
      <c r="B61" s="403"/>
      <c r="C61" s="404"/>
      <c r="D61" s="405">
        <v>160</v>
      </c>
      <c r="E61" s="404">
        <v>60</v>
      </c>
      <c r="F61" s="404" t="s">
        <v>1055</v>
      </c>
      <c r="G61" s="404" t="s">
        <v>1121</v>
      </c>
      <c r="H61" s="404" t="s">
        <v>915</v>
      </c>
      <c r="I61" s="404" t="s">
        <v>1200</v>
      </c>
      <c r="J61" s="404" t="s">
        <v>648</v>
      </c>
      <c r="K61" s="404"/>
      <c r="L61" s="404" t="s">
        <v>188</v>
      </c>
      <c r="M61" s="404">
        <v>1</v>
      </c>
      <c r="N61" s="404" t="s">
        <v>1605</v>
      </c>
      <c r="O61" s="404">
        <v>1</v>
      </c>
      <c r="P61" s="404">
        <v>1</v>
      </c>
    </row>
    <row r="62" spans="2:16">
      <c r="B62" s="403"/>
      <c r="C62" s="404"/>
      <c r="D62" s="405">
        <v>180</v>
      </c>
      <c r="E62" s="404">
        <v>60</v>
      </c>
      <c r="F62" s="404" t="s">
        <v>1055</v>
      </c>
      <c r="G62" s="404" t="s">
        <v>1121</v>
      </c>
      <c r="H62" s="404" t="s">
        <v>915</v>
      </c>
      <c r="I62" s="404" t="s">
        <v>1200</v>
      </c>
      <c r="J62" s="404" t="s">
        <v>648</v>
      </c>
      <c r="K62" s="404"/>
      <c r="L62" s="404" t="s">
        <v>1122</v>
      </c>
      <c r="M62" s="404">
        <v>1</v>
      </c>
      <c r="N62" s="404" t="s">
        <v>1123</v>
      </c>
      <c r="O62" s="404">
        <v>1</v>
      </c>
      <c r="P62" s="404">
        <v>1</v>
      </c>
    </row>
    <row r="63" spans="2:16">
      <c r="B63" s="403"/>
      <c r="C63" s="404"/>
      <c r="D63" s="405">
        <v>250</v>
      </c>
      <c r="E63" s="404">
        <v>100</v>
      </c>
      <c r="F63" s="404" t="s">
        <v>1056</v>
      </c>
      <c r="G63" s="404"/>
      <c r="H63" s="404"/>
      <c r="I63" s="404" t="s">
        <v>1200</v>
      </c>
      <c r="J63" s="404" t="s">
        <v>648</v>
      </c>
      <c r="K63" s="404"/>
      <c r="L63" s="404" t="s">
        <v>1124</v>
      </c>
      <c r="M63" s="404">
        <v>1</v>
      </c>
      <c r="N63" s="404" t="s">
        <v>1125</v>
      </c>
      <c r="O63" s="404">
        <v>1</v>
      </c>
      <c r="P63" s="404">
        <v>1</v>
      </c>
    </row>
    <row r="64" spans="2:16">
      <c r="B64" s="403"/>
      <c r="C64" s="404"/>
      <c r="D64" s="405">
        <v>320</v>
      </c>
      <c r="E64" s="404">
        <v>135</v>
      </c>
      <c r="F64" s="404" t="s">
        <v>1057</v>
      </c>
      <c r="G64" s="404"/>
      <c r="H64" s="404"/>
      <c r="I64" s="404" t="s">
        <v>1200</v>
      </c>
      <c r="J64" s="404" t="s">
        <v>648</v>
      </c>
      <c r="K64" s="404"/>
      <c r="L64" s="404" t="s">
        <v>1126</v>
      </c>
      <c r="M64" s="404">
        <v>1</v>
      </c>
      <c r="N64" s="404" t="s">
        <v>1127</v>
      </c>
      <c r="O64" s="404">
        <v>1</v>
      </c>
      <c r="P64" s="404">
        <v>1</v>
      </c>
    </row>
    <row r="65" spans="2:16">
      <c r="B65" s="403"/>
      <c r="C65" s="404"/>
      <c r="D65" s="405">
        <v>400</v>
      </c>
      <c r="E65" s="404">
        <v>160</v>
      </c>
      <c r="F65" s="404" t="s">
        <v>1058</v>
      </c>
      <c r="G65" s="404"/>
      <c r="H65" s="404"/>
      <c r="I65" s="404" t="s">
        <v>1200</v>
      </c>
      <c r="J65" s="404" t="s">
        <v>648</v>
      </c>
      <c r="K65" s="404"/>
      <c r="L65" s="404" t="s">
        <v>1128</v>
      </c>
      <c r="M65" s="404">
        <v>1</v>
      </c>
      <c r="N65" s="404" t="s">
        <v>1129</v>
      </c>
      <c r="O65" s="404">
        <v>1</v>
      </c>
      <c r="P65" s="404">
        <v>1</v>
      </c>
    </row>
    <row r="66" spans="2:16">
      <c r="B66" s="403"/>
      <c r="C66" s="404"/>
      <c r="D66" s="405">
        <v>560</v>
      </c>
      <c r="E66" s="404">
        <v>220</v>
      </c>
      <c r="F66" s="404" t="s">
        <v>1059</v>
      </c>
      <c r="G66" s="404"/>
      <c r="H66" s="404"/>
      <c r="I66" s="404" t="s">
        <v>1200</v>
      </c>
      <c r="J66" s="404" t="s">
        <v>648</v>
      </c>
      <c r="K66" s="404"/>
      <c r="L66" s="404" t="s">
        <v>1162</v>
      </c>
      <c r="M66" s="404">
        <v>1</v>
      </c>
      <c r="N66" s="404" t="s">
        <v>1163</v>
      </c>
      <c r="O66" s="404">
        <v>1</v>
      </c>
      <c r="P66" s="404">
        <v>1</v>
      </c>
    </row>
    <row r="67" spans="2:16">
      <c r="B67" s="403"/>
      <c r="C67" s="404"/>
      <c r="D67" s="405">
        <v>630</v>
      </c>
      <c r="E67" s="404">
        <v>300</v>
      </c>
      <c r="F67" s="404" t="s">
        <v>1060</v>
      </c>
      <c r="G67" s="404"/>
      <c r="H67" s="404"/>
      <c r="I67" s="404" t="s">
        <v>1200</v>
      </c>
      <c r="J67" s="404" t="s">
        <v>648</v>
      </c>
      <c r="K67" s="404"/>
      <c r="L67" s="404" t="s">
        <v>1164</v>
      </c>
      <c r="M67" s="404">
        <v>1</v>
      </c>
      <c r="N67" s="404" t="s">
        <v>1165</v>
      </c>
      <c r="O67" s="404">
        <v>1</v>
      </c>
      <c r="P67" s="404">
        <v>1</v>
      </c>
    </row>
    <row r="68" spans="2:16">
      <c r="B68" s="403"/>
      <c r="C68" s="404"/>
      <c r="D68" s="405">
        <v>750</v>
      </c>
      <c r="E68" s="404">
        <v>380</v>
      </c>
      <c r="F68" s="404" t="s">
        <v>1061</v>
      </c>
      <c r="G68" s="404"/>
      <c r="H68" s="404"/>
      <c r="I68" s="404" t="s">
        <v>1200</v>
      </c>
      <c r="J68" s="404" t="s">
        <v>648</v>
      </c>
      <c r="K68" s="404"/>
      <c r="L68" s="404" t="s">
        <v>1166</v>
      </c>
      <c r="M68" s="404">
        <v>1</v>
      </c>
      <c r="N68" s="404" t="s">
        <v>1167</v>
      </c>
      <c r="O68" s="404">
        <v>1</v>
      </c>
      <c r="P68" s="404">
        <v>1</v>
      </c>
    </row>
    <row r="69" spans="2:16">
      <c r="B69" s="403"/>
      <c r="C69" s="404"/>
      <c r="D69" s="405">
        <v>1000</v>
      </c>
      <c r="E69" s="404">
        <v>380</v>
      </c>
      <c r="F69" s="404" t="s">
        <v>1062</v>
      </c>
      <c r="G69" s="404"/>
      <c r="H69" s="404"/>
      <c r="I69" s="404"/>
      <c r="J69" s="404"/>
      <c r="K69" s="404"/>
      <c r="L69" s="404"/>
      <c r="M69" s="404"/>
      <c r="N69" s="404"/>
      <c r="O69" s="404"/>
      <c r="P69" s="404"/>
    </row>
    <row r="70" spans="2:16">
      <c r="B70" s="403">
        <v>1</v>
      </c>
      <c r="C70" s="404">
        <v>1</v>
      </c>
      <c r="D70" s="405">
        <v>1250</v>
      </c>
      <c r="E70" s="404">
        <v>400</v>
      </c>
      <c r="F70" s="404" t="s">
        <v>1062</v>
      </c>
      <c r="G70" s="404"/>
      <c r="H70" s="404"/>
      <c r="I70" s="404"/>
      <c r="J70" s="404"/>
      <c r="K70" s="404"/>
      <c r="L70" s="404"/>
      <c r="M70" s="404"/>
      <c r="N70" s="404"/>
      <c r="O70" s="404"/>
      <c r="P70" s="404"/>
    </row>
    <row r="71" spans="2:16">
      <c r="B71" s="403"/>
      <c r="C71" s="404"/>
      <c r="D71" s="405">
        <v>1500</v>
      </c>
      <c r="E71" s="404">
        <v>600</v>
      </c>
      <c r="F71" s="404" t="s">
        <v>1063</v>
      </c>
      <c r="G71" s="404"/>
      <c r="H71" s="404"/>
      <c r="I71" s="404"/>
      <c r="J71" s="404"/>
      <c r="K71" s="404"/>
      <c r="L71" s="404"/>
      <c r="M71" s="404"/>
      <c r="N71" s="404"/>
      <c r="O71" s="404"/>
      <c r="P71" s="404"/>
    </row>
    <row r="72" spans="2:16">
      <c r="B72" s="403"/>
      <c r="C72" s="404"/>
      <c r="D72" s="405">
        <v>1600</v>
      </c>
      <c r="E72" s="404">
        <v>600</v>
      </c>
      <c r="F72" s="404" t="s">
        <v>1063</v>
      </c>
      <c r="G72" s="404"/>
      <c r="H72" s="404"/>
      <c r="I72" s="404"/>
      <c r="J72" s="404"/>
      <c r="K72" s="404"/>
      <c r="L72" s="404"/>
      <c r="M72" s="404"/>
      <c r="N72" s="404"/>
      <c r="O72" s="404"/>
      <c r="P72" s="404"/>
    </row>
    <row r="73" spans="2:16">
      <c r="B73" s="403"/>
      <c r="C73" s="404"/>
      <c r="D73" s="405">
        <v>2000</v>
      </c>
      <c r="E73" s="404">
        <v>750</v>
      </c>
      <c r="F73" s="404" t="s">
        <v>1064</v>
      </c>
      <c r="G73" s="404"/>
      <c r="H73" s="404"/>
      <c r="I73" s="404"/>
      <c r="J73" s="404"/>
      <c r="K73" s="404"/>
      <c r="L73" s="404"/>
      <c r="M73" s="404"/>
      <c r="N73" s="404"/>
      <c r="O73" s="404"/>
      <c r="P73" s="404"/>
    </row>
    <row r="74" spans="2:16">
      <c r="B74" s="403"/>
      <c r="C74" s="404"/>
      <c r="D74" s="405">
        <v>2500</v>
      </c>
      <c r="E74" s="404">
        <v>1000</v>
      </c>
      <c r="F74" s="404" t="s">
        <v>1064</v>
      </c>
      <c r="G74" s="404"/>
      <c r="H74" s="404"/>
      <c r="I74" s="404"/>
      <c r="J74" s="404"/>
      <c r="K74" s="404"/>
      <c r="L74" s="404"/>
      <c r="M74" s="404"/>
      <c r="N74" s="404"/>
      <c r="O74" s="404"/>
      <c r="P74" s="404"/>
    </row>
    <row r="75" spans="2:16">
      <c r="B75" s="403"/>
      <c r="C75" s="404"/>
      <c r="D75" s="405">
        <v>3200</v>
      </c>
      <c r="E75" s="404">
        <v>1200</v>
      </c>
      <c r="F75" s="404"/>
      <c r="G75" s="404"/>
      <c r="H75" s="404"/>
      <c r="I75" s="404"/>
      <c r="J75" s="404"/>
      <c r="K75" s="404"/>
      <c r="L75" s="404"/>
      <c r="M75" s="404"/>
      <c r="N75" s="404"/>
      <c r="O75" s="404"/>
      <c r="P75" s="404"/>
    </row>
    <row r="76" spans="2:16" ht="13.8" thickBot="1">
      <c r="B76" s="406"/>
      <c r="C76" s="407"/>
      <c r="D76" s="408">
        <v>4000</v>
      </c>
      <c r="E76" s="407">
        <v>1500</v>
      </c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</row>
  </sheetData>
  <mergeCells count="1">
    <mergeCell ref="C5:L5"/>
  </mergeCells>
  <phoneticPr fontId="0" type="noConversion"/>
  <conditionalFormatting sqref="B55:C76 C35:C43 F14:F33 E55:P76 F35:F52">
    <cfRule type="cellIs" dxfId="2" priority="4" stopIfTrue="1" operator="notEqual">
      <formula>0</formula>
    </cfRule>
  </conditionalFormatting>
  <conditionalFormatting sqref="F53">
    <cfRule type="cellIs" dxfId="1" priority="2" stopIfTrue="1" operator="notEqual">
      <formula>0</formula>
    </cfRule>
  </conditionalFormatting>
  <conditionalFormatting sqref="J42">
    <cfRule type="cellIs" dxfId="0" priority="1" stopIfTrue="1" operator="notEqual">
      <formula>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5"/>
  <dimension ref="A1:Y1690"/>
  <sheetViews>
    <sheetView showGridLines="0" showZeros="0" topLeftCell="A1576" workbookViewId="0">
      <selection activeCell="C1594" sqref="C1594"/>
    </sheetView>
  </sheetViews>
  <sheetFormatPr defaultColWidth="9.109375" defaultRowHeight="13.2" outlineLevelCol="1"/>
  <cols>
    <col min="1" max="1" width="15.33203125" style="13" customWidth="1"/>
    <col min="2" max="2" width="10" style="663" bestFit="1" customWidth="1"/>
    <col min="3" max="3" width="51.5546875" style="1" customWidth="1"/>
    <col min="4" max="4" width="7.109375" style="1" bestFit="1" customWidth="1"/>
    <col min="5" max="5" width="17.77734375" style="2016" bestFit="1" customWidth="1" outlineLevel="1"/>
    <col min="6" max="6" width="14.77734375" style="2016" bestFit="1" customWidth="1" outlineLevel="1"/>
    <col min="7" max="7" width="12.6640625" style="2016" customWidth="1" outlineLevel="1"/>
    <col min="8" max="8" width="13.77734375" style="2016" bestFit="1" customWidth="1" outlineLevel="1"/>
    <col min="9" max="9" width="16.21875" style="2016" bestFit="1" customWidth="1"/>
    <col min="10" max="10" width="2.44140625" style="1" customWidth="1"/>
    <col min="11" max="11" width="10" style="1" customWidth="1"/>
    <col min="12" max="12" width="14.33203125" style="1" customWidth="1"/>
    <col min="13" max="13" width="18.88671875" style="1" customWidth="1"/>
    <col min="14" max="14" width="14" style="1" customWidth="1"/>
    <col min="15" max="15" width="14.6640625" style="1" customWidth="1"/>
    <col min="16" max="16" width="16.5546875" style="1" customWidth="1"/>
    <col min="17" max="17" width="14.33203125" style="1" customWidth="1"/>
    <col min="18" max="18" width="10.5546875" style="1" customWidth="1"/>
    <col min="19" max="25" width="9.109375" style="1"/>
    <col min="26" max="26" width="12.33203125" style="1" customWidth="1"/>
    <col min="27" max="16384" width="9.109375" style="1"/>
  </cols>
  <sheetData>
    <row r="1" spans="1:25">
      <c r="A1" s="658" t="s">
        <v>3749</v>
      </c>
      <c r="B1" s="659"/>
      <c r="C1" s="658"/>
      <c r="D1" s="658"/>
      <c r="E1" s="660" t="s">
        <v>2202</v>
      </c>
      <c r="F1" s="661">
        <v>9500</v>
      </c>
      <c r="G1" s="1984">
        <v>50</v>
      </c>
      <c r="H1" s="1984">
        <v>59.82</v>
      </c>
      <c r="I1" s="1055">
        <v>100</v>
      </c>
      <c r="J1" s="13"/>
      <c r="L1" s="1">
        <f>273/210</f>
        <v>1.3</v>
      </c>
    </row>
    <row r="2" spans="1:25" ht="18">
      <c r="A2" s="691" t="s">
        <v>3750</v>
      </c>
      <c r="B2" s="662"/>
      <c r="C2" s="669"/>
      <c r="D2" s="658"/>
      <c r="E2" s="660" t="s">
        <v>2203</v>
      </c>
      <c r="F2" s="1985">
        <v>31625</v>
      </c>
      <c r="G2" s="1986">
        <v>234423.25</v>
      </c>
      <c r="H2" s="1986">
        <v>113924.86900000001</v>
      </c>
      <c r="I2" s="1986">
        <v>143732</v>
      </c>
      <c r="J2" s="13"/>
    </row>
    <row r="3" spans="1:25" ht="18">
      <c r="A3" s="691" t="s">
        <v>3751</v>
      </c>
      <c r="C3" s="669"/>
      <c r="D3" s="664"/>
      <c r="E3" s="665" t="s">
        <v>2204</v>
      </c>
      <c r="F3" s="1985">
        <f>LmkT</f>
        <v>31625</v>
      </c>
      <c r="G3" s="661"/>
      <c r="H3" s="661"/>
      <c r="I3" s="661"/>
      <c r="J3" s="13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>
      <c r="A4" s="1051" t="s">
        <v>3752</v>
      </c>
      <c r="B4" s="1054" t="s">
        <v>3753</v>
      </c>
      <c r="C4" s="1051" t="s">
        <v>2205</v>
      </c>
      <c r="D4" s="1051" t="s">
        <v>2206</v>
      </c>
      <c r="E4" s="1056" t="s">
        <v>2207</v>
      </c>
      <c r="F4" s="1056" t="s">
        <v>2208</v>
      </c>
      <c r="G4" s="1056" t="s">
        <v>2209</v>
      </c>
      <c r="H4" s="1056" t="s">
        <v>2210</v>
      </c>
      <c r="I4" s="1987"/>
      <c r="J4" s="13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>
      <c r="A5" s="1051">
        <v>1</v>
      </c>
      <c r="B5" s="1054" t="s">
        <v>3754</v>
      </c>
      <c r="C5" s="1051">
        <v>3</v>
      </c>
      <c r="D5" s="1051">
        <v>4</v>
      </c>
      <c r="E5" s="1050">
        <v>5</v>
      </c>
      <c r="F5" s="1052">
        <v>6</v>
      </c>
      <c r="G5" s="1052">
        <v>7</v>
      </c>
      <c r="H5" s="1052">
        <v>8</v>
      </c>
      <c r="I5" s="1052">
        <v>9</v>
      </c>
      <c r="J5" s="13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s="1928" customFormat="1" ht="13.8">
      <c r="A6" s="1916" t="s">
        <v>999</v>
      </c>
      <c r="B6" s="1917" t="s">
        <v>5777</v>
      </c>
      <c r="C6" s="1918" t="s">
        <v>2211</v>
      </c>
      <c r="D6" s="1919" t="s">
        <v>2118</v>
      </c>
      <c r="E6" s="1920"/>
      <c r="F6" s="1921">
        <v>354545</v>
      </c>
      <c r="G6" s="1922">
        <f>0.15*VLOOKUP("N1.40",DGNC,5)</f>
        <v>37220.25</v>
      </c>
      <c r="H6" s="1923"/>
      <c r="I6" s="1921">
        <v>71428</v>
      </c>
      <c r="J6" s="1924" t="s">
        <v>610</v>
      </c>
      <c r="K6" s="1925"/>
      <c r="L6" s="1926"/>
      <c r="M6" s="1926"/>
      <c r="N6" s="1926" t="s">
        <v>5453</v>
      </c>
      <c r="O6" s="1927">
        <v>2530000</v>
      </c>
      <c r="P6" s="1926"/>
      <c r="Q6" s="1926"/>
      <c r="R6" s="1925"/>
      <c r="S6" s="1925"/>
      <c r="T6" s="1925"/>
      <c r="U6" s="1925"/>
      <c r="V6" s="1925"/>
      <c r="W6" s="1925"/>
      <c r="X6" s="1925"/>
      <c r="Y6" s="1925"/>
    </row>
    <row r="7" spans="1:25">
      <c r="A7" s="25" t="s">
        <v>1000</v>
      </c>
      <c r="B7" s="26" t="s">
        <v>2135</v>
      </c>
      <c r="C7" s="666" t="s">
        <v>2212</v>
      </c>
      <c r="D7" s="17" t="s">
        <v>2118</v>
      </c>
      <c r="E7" s="14"/>
      <c r="F7" s="667">
        <v>650000</v>
      </c>
      <c r="G7" s="14">
        <v>148724</v>
      </c>
      <c r="H7" s="18"/>
      <c r="I7" s="667">
        <v>650000</v>
      </c>
      <c r="J7" s="13" t="s">
        <v>610</v>
      </c>
      <c r="K7" s="9"/>
      <c r="L7" s="1657"/>
      <c r="M7" s="1657"/>
      <c r="N7" s="1658" t="s">
        <v>5454</v>
      </c>
      <c r="O7" s="1659">
        <v>26</v>
      </c>
      <c r="P7" s="1657"/>
      <c r="Q7" s="1657"/>
      <c r="R7" s="9"/>
      <c r="S7" s="9"/>
      <c r="T7" s="9"/>
      <c r="U7" s="9"/>
      <c r="V7" s="9"/>
      <c r="W7" s="9"/>
      <c r="X7" s="9"/>
      <c r="Y7" s="9"/>
    </row>
    <row r="8" spans="1:25" ht="17.399999999999999">
      <c r="A8" s="25" t="s">
        <v>858</v>
      </c>
      <c r="B8" s="26" t="s">
        <v>859</v>
      </c>
      <c r="C8" s="666" t="s">
        <v>2213</v>
      </c>
      <c r="D8" s="17" t="s">
        <v>2118</v>
      </c>
      <c r="E8" s="14"/>
      <c r="F8" s="667"/>
      <c r="G8" s="14">
        <v>67874</v>
      </c>
      <c r="H8" s="18"/>
      <c r="I8" s="667" t="s">
        <v>2214</v>
      </c>
      <c r="J8" s="13" t="s">
        <v>450</v>
      </c>
      <c r="K8" s="9"/>
      <c r="L8" s="2422" t="s">
        <v>5455</v>
      </c>
      <c r="M8" s="2422"/>
      <c r="N8" s="2422"/>
      <c r="O8" s="2422"/>
      <c r="P8" s="2422"/>
      <c r="Q8" s="1660"/>
      <c r="R8" s="9"/>
      <c r="S8" s="9"/>
      <c r="T8" s="9"/>
      <c r="U8" s="9"/>
      <c r="V8" s="9"/>
      <c r="W8" s="9"/>
      <c r="X8" s="9"/>
      <c r="Y8" s="9"/>
    </row>
    <row r="9" spans="1:25" ht="15">
      <c r="A9" s="25" t="s">
        <v>401</v>
      </c>
      <c r="B9" s="26" t="s">
        <v>1721</v>
      </c>
      <c r="C9" s="666" t="s">
        <v>2215</v>
      </c>
      <c r="D9" s="17" t="s">
        <v>2118</v>
      </c>
      <c r="E9" s="14"/>
      <c r="F9" s="667">
        <v>1000000</v>
      </c>
      <c r="G9" s="14">
        <v>48765</v>
      </c>
      <c r="H9" s="18"/>
      <c r="I9" s="667">
        <v>257143</v>
      </c>
      <c r="J9" s="13" t="s">
        <v>610</v>
      </c>
      <c r="K9" s="9"/>
      <c r="L9" s="2423" t="s">
        <v>5456</v>
      </c>
      <c r="M9" s="2423"/>
      <c r="N9" s="2423"/>
      <c r="O9" s="2423"/>
      <c r="P9" s="2423"/>
      <c r="Q9" s="1660"/>
      <c r="R9" s="9"/>
      <c r="S9" s="9"/>
      <c r="T9" s="9"/>
      <c r="U9" s="9"/>
      <c r="V9" s="9"/>
      <c r="W9" s="9"/>
      <c r="X9" s="9"/>
      <c r="Y9" s="9"/>
    </row>
    <row r="10" spans="1:25" ht="15">
      <c r="A10" s="25" t="s">
        <v>2084</v>
      </c>
      <c r="B10" s="26" t="s">
        <v>1721</v>
      </c>
      <c r="C10" s="666" t="s">
        <v>2216</v>
      </c>
      <c r="D10" s="17" t="s">
        <v>2118</v>
      </c>
      <c r="E10" s="14"/>
      <c r="F10" s="667">
        <v>1100000</v>
      </c>
      <c r="G10" s="14">
        <v>48765</v>
      </c>
      <c r="H10" s="18"/>
      <c r="I10" s="667">
        <v>333333</v>
      </c>
      <c r="J10" s="13" t="s">
        <v>610</v>
      </c>
      <c r="K10" s="9"/>
      <c r="L10" s="2424" t="s">
        <v>5749</v>
      </c>
      <c r="M10" s="2424"/>
      <c r="N10" s="2424"/>
      <c r="O10" s="2424"/>
      <c r="P10" s="2424"/>
      <c r="Q10" s="1660"/>
      <c r="R10" s="9"/>
      <c r="S10" s="9"/>
      <c r="T10" s="9"/>
      <c r="U10" s="9"/>
      <c r="V10" s="9"/>
      <c r="W10" s="9"/>
      <c r="X10" s="9"/>
      <c r="Y10" s="9"/>
    </row>
    <row r="11" spans="1:25" ht="15">
      <c r="A11" s="25" t="s">
        <v>1852</v>
      </c>
      <c r="B11" s="26" t="s">
        <v>989</v>
      </c>
      <c r="C11" s="666" t="s">
        <v>2217</v>
      </c>
      <c r="D11" s="17" t="s">
        <v>2118</v>
      </c>
      <c r="E11" s="14"/>
      <c r="F11" s="667">
        <v>275802</v>
      </c>
      <c r="G11" s="14">
        <v>22255</v>
      </c>
      <c r="H11" s="18"/>
      <c r="I11" s="667">
        <v>71428</v>
      </c>
      <c r="J11" s="13" t="s">
        <v>610</v>
      </c>
      <c r="K11" s="9"/>
      <c r="L11" s="2425" t="s">
        <v>5457</v>
      </c>
      <c r="M11" s="2425"/>
      <c r="N11" s="2425"/>
      <c r="O11" s="2425"/>
      <c r="P11" s="2425"/>
      <c r="Q11" s="1660"/>
      <c r="R11" s="9"/>
      <c r="S11" s="9"/>
      <c r="T11" s="9"/>
      <c r="U11" s="9"/>
      <c r="V11" s="9"/>
      <c r="W11" s="9"/>
      <c r="X11" s="9"/>
      <c r="Y11" s="9"/>
    </row>
    <row r="12" spans="1:25">
      <c r="A12" s="25" t="s">
        <v>77</v>
      </c>
      <c r="B12" s="26" t="s">
        <v>989</v>
      </c>
      <c r="C12" s="666" t="s">
        <v>2218</v>
      </c>
      <c r="D12" s="17" t="s">
        <v>2118</v>
      </c>
      <c r="E12" s="14"/>
      <c r="F12" s="667">
        <v>170000</v>
      </c>
      <c r="G12" s="14">
        <v>22255</v>
      </c>
      <c r="H12" s="18"/>
      <c r="I12" s="667">
        <v>71428</v>
      </c>
      <c r="J12" s="13" t="s">
        <v>610</v>
      </c>
      <c r="K12" s="9"/>
      <c r="L12" s="2426" t="s">
        <v>5458</v>
      </c>
      <c r="M12" s="2426" t="s">
        <v>5459</v>
      </c>
      <c r="N12" s="2429" t="s">
        <v>5460</v>
      </c>
      <c r="O12" s="2429" t="s">
        <v>5461</v>
      </c>
      <c r="P12" s="2429" t="s">
        <v>5462</v>
      </c>
      <c r="Q12" s="2409" t="s">
        <v>5463</v>
      </c>
      <c r="R12" s="9"/>
      <c r="S12" s="9"/>
      <c r="T12" s="9"/>
      <c r="U12" s="9"/>
      <c r="V12" s="9"/>
      <c r="W12" s="9"/>
      <c r="X12" s="9"/>
      <c r="Y12" s="9"/>
    </row>
    <row r="13" spans="1:25">
      <c r="A13" s="25" t="s">
        <v>1530</v>
      </c>
      <c r="B13" s="26" t="s">
        <v>1721</v>
      </c>
      <c r="C13" s="666" t="s">
        <v>2219</v>
      </c>
      <c r="D13" s="17" t="s">
        <v>2118</v>
      </c>
      <c r="E13" s="14"/>
      <c r="F13" s="667">
        <v>345455</v>
      </c>
      <c r="G13" s="14">
        <v>48765</v>
      </c>
      <c r="H13" s="18"/>
      <c r="I13" s="667">
        <v>170000</v>
      </c>
      <c r="J13" s="13" t="s">
        <v>610</v>
      </c>
      <c r="K13" s="9"/>
      <c r="L13" s="2427"/>
      <c r="M13" s="2427"/>
      <c r="N13" s="2430"/>
      <c r="O13" s="2430"/>
      <c r="P13" s="2430"/>
      <c r="Q13" s="2410"/>
      <c r="R13" s="9"/>
      <c r="S13" s="9"/>
      <c r="T13" s="9"/>
      <c r="U13" s="9"/>
      <c r="V13" s="9"/>
      <c r="W13" s="9"/>
      <c r="X13" s="9"/>
      <c r="Y13" s="9"/>
    </row>
    <row r="14" spans="1:25">
      <c r="A14" s="25" t="s">
        <v>1531</v>
      </c>
      <c r="B14" s="26" t="s">
        <v>1721</v>
      </c>
      <c r="C14" s="666" t="s">
        <v>2220</v>
      </c>
      <c r="D14" s="17" t="s">
        <v>2118</v>
      </c>
      <c r="E14" s="14"/>
      <c r="F14" s="667">
        <v>220000</v>
      </c>
      <c r="G14" s="14">
        <v>48765</v>
      </c>
      <c r="H14" s="18"/>
      <c r="I14" s="667">
        <v>180000</v>
      </c>
      <c r="J14" s="13" t="s">
        <v>610</v>
      </c>
      <c r="K14" s="9"/>
      <c r="L14" s="2428"/>
      <c r="M14" s="2428"/>
      <c r="N14" s="2431"/>
      <c r="O14" s="2431"/>
      <c r="P14" s="2431"/>
      <c r="Q14" s="2411"/>
      <c r="R14" s="9"/>
      <c r="S14" s="9"/>
      <c r="T14" s="9"/>
      <c r="U14" s="9"/>
      <c r="V14" s="9"/>
      <c r="W14" s="9"/>
      <c r="X14" s="9"/>
      <c r="Y14" s="9"/>
    </row>
    <row r="15" spans="1:25" ht="15">
      <c r="A15" s="25" t="s">
        <v>1929</v>
      </c>
      <c r="B15" s="26" t="s">
        <v>1721</v>
      </c>
      <c r="C15" s="666" t="s">
        <v>2221</v>
      </c>
      <c r="D15" s="17" t="s">
        <v>2118</v>
      </c>
      <c r="E15" s="14"/>
      <c r="F15" s="667"/>
      <c r="G15" s="14">
        <v>48765</v>
      </c>
      <c r="H15" s="18"/>
      <c r="I15" s="667" t="s">
        <v>2214</v>
      </c>
      <c r="J15" s="13" t="s">
        <v>610</v>
      </c>
      <c r="K15" s="9"/>
      <c r="L15" s="1661"/>
      <c r="M15" s="1662" t="s">
        <v>5464</v>
      </c>
      <c r="N15" s="1662"/>
      <c r="O15" s="1662"/>
      <c r="P15" s="1662"/>
      <c r="Q15" s="1660"/>
      <c r="R15" s="9"/>
      <c r="S15" s="9"/>
      <c r="T15" s="9"/>
      <c r="U15" s="9"/>
      <c r="V15" s="9"/>
      <c r="W15" s="9"/>
      <c r="X15" s="9"/>
      <c r="Y15" s="9"/>
    </row>
    <row r="16" spans="1:25" ht="15.75" customHeight="1">
      <c r="A16" s="25" t="s">
        <v>46</v>
      </c>
      <c r="B16" s="26" t="s">
        <v>1721</v>
      </c>
      <c r="C16" s="666" t="s">
        <v>2222</v>
      </c>
      <c r="D16" s="17" t="s">
        <v>2118</v>
      </c>
      <c r="E16" s="14"/>
      <c r="F16" s="667">
        <v>210000</v>
      </c>
      <c r="G16" s="14">
        <v>48765</v>
      </c>
      <c r="H16" s="18"/>
      <c r="I16" s="667" t="s">
        <v>2214</v>
      </c>
      <c r="J16" s="13" t="s">
        <v>610</v>
      </c>
      <c r="K16" s="9"/>
      <c r="L16" s="1663" t="s">
        <v>5465</v>
      </c>
      <c r="M16" s="1664" t="s">
        <v>5466</v>
      </c>
      <c r="N16" s="1665">
        <v>1.55</v>
      </c>
      <c r="O16" s="1666">
        <f>ROUND(N16*$O$6,0)</f>
        <v>3921500</v>
      </c>
      <c r="P16" s="1666">
        <f>ROUND(O16/$O$7,0)</f>
        <v>150827</v>
      </c>
      <c r="Q16" s="1667">
        <v>1.55</v>
      </c>
      <c r="R16" s="9"/>
      <c r="S16" s="9"/>
      <c r="T16" s="9"/>
      <c r="U16" s="9"/>
      <c r="V16" s="9"/>
      <c r="W16" s="9"/>
      <c r="X16" s="9"/>
      <c r="Y16" s="9"/>
    </row>
    <row r="17" spans="1:25" ht="15.75" customHeight="1">
      <c r="A17" s="25" t="s">
        <v>45</v>
      </c>
      <c r="B17" s="26" t="s">
        <v>989</v>
      </c>
      <c r="C17" s="666" t="s">
        <v>2223</v>
      </c>
      <c r="D17" s="17" t="s">
        <v>2118</v>
      </c>
      <c r="E17" s="14"/>
      <c r="F17" s="667">
        <v>180000</v>
      </c>
      <c r="G17" s="14">
        <v>22255</v>
      </c>
      <c r="H17" s="18"/>
      <c r="I17" s="667" t="s">
        <v>2214</v>
      </c>
      <c r="J17" s="13" t="s">
        <v>610</v>
      </c>
      <c r="K17" s="9"/>
      <c r="L17" s="1668" t="s">
        <v>5467</v>
      </c>
      <c r="M17" s="1669" t="s">
        <v>5468</v>
      </c>
      <c r="N17" s="1670">
        <v>1.83</v>
      </c>
      <c r="O17" s="1666">
        <f t="shared" ref="O17:O36" si="0">ROUND(N17*$O$6,0)</f>
        <v>4629900</v>
      </c>
      <c r="P17" s="1666">
        <f t="shared" ref="P17:P36" si="1">ROUND(O17/$O$7,0)</f>
        <v>178073</v>
      </c>
      <c r="Q17" s="1671">
        <v>1.83</v>
      </c>
      <c r="R17" s="9"/>
      <c r="S17" s="9"/>
      <c r="T17" s="9"/>
      <c r="U17" s="9"/>
      <c r="V17" s="9"/>
      <c r="W17" s="9"/>
      <c r="X17" s="9"/>
      <c r="Y17" s="9"/>
    </row>
    <row r="18" spans="1:25" ht="15.75" customHeight="1">
      <c r="A18" s="25" t="s">
        <v>1149</v>
      </c>
      <c r="B18" s="26" t="s">
        <v>3768</v>
      </c>
      <c r="C18" s="666" t="s">
        <v>2224</v>
      </c>
      <c r="D18" s="17" t="s">
        <v>2118</v>
      </c>
      <c r="E18" s="14"/>
      <c r="F18" s="18">
        <v>60000</v>
      </c>
      <c r="G18" s="18">
        <v>19963</v>
      </c>
      <c r="H18" s="18"/>
      <c r="I18" s="14">
        <v>60000</v>
      </c>
      <c r="J18" s="13" t="s">
        <v>956</v>
      </c>
      <c r="K18" s="9"/>
      <c r="L18" s="1668" t="s">
        <v>5469</v>
      </c>
      <c r="M18" s="1669" t="s">
        <v>5470</v>
      </c>
      <c r="N18" s="1670">
        <v>1.929</v>
      </c>
      <c r="O18" s="1666">
        <f t="shared" si="0"/>
        <v>4880370</v>
      </c>
      <c r="P18" s="1666">
        <f t="shared" si="1"/>
        <v>187707</v>
      </c>
      <c r="Q18" s="1671">
        <v>1.929</v>
      </c>
      <c r="R18" s="9"/>
      <c r="S18" s="9"/>
      <c r="T18" s="9"/>
      <c r="U18" s="9"/>
      <c r="V18" s="9"/>
      <c r="W18" s="9"/>
      <c r="X18" s="9"/>
      <c r="Y18" s="9"/>
    </row>
    <row r="19" spans="1:25" ht="15.75" customHeight="1">
      <c r="A19" s="25" t="s">
        <v>697</v>
      </c>
      <c r="B19" s="668"/>
      <c r="C19" s="666" t="s">
        <v>2225</v>
      </c>
      <c r="D19" s="17" t="s">
        <v>2226</v>
      </c>
      <c r="E19" s="14"/>
      <c r="F19" s="14">
        <v>1000</v>
      </c>
      <c r="G19" s="18"/>
      <c r="H19" s="18"/>
      <c r="I19" s="14">
        <v>1000</v>
      </c>
      <c r="J19" s="13" t="s">
        <v>956</v>
      </c>
      <c r="K19" s="9"/>
      <c r="L19" s="1668" t="s">
        <v>5471</v>
      </c>
      <c r="M19" s="1669" t="s">
        <v>5472</v>
      </c>
      <c r="N19" s="1670">
        <v>1.9950000000000001</v>
      </c>
      <c r="O19" s="1666">
        <f t="shared" si="0"/>
        <v>5047350</v>
      </c>
      <c r="P19" s="1666">
        <f t="shared" si="1"/>
        <v>194129</v>
      </c>
      <c r="Q19" s="1671">
        <v>1.9950000000000001</v>
      </c>
      <c r="R19" s="9"/>
      <c r="S19" s="9"/>
      <c r="T19" s="9"/>
      <c r="U19" s="9"/>
      <c r="V19" s="9"/>
      <c r="W19" s="9"/>
      <c r="X19" s="9"/>
      <c r="Y19" s="9"/>
    </row>
    <row r="20" spans="1:25" ht="15.75" customHeight="1">
      <c r="A20" s="25" t="s">
        <v>662</v>
      </c>
      <c r="B20" s="668"/>
      <c r="C20" s="666" t="s">
        <v>2227</v>
      </c>
      <c r="D20" s="17" t="s">
        <v>2226</v>
      </c>
      <c r="E20" s="14"/>
      <c r="F20" s="14">
        <v>1000</v>
      </c>
      <c r="G20" s="18"/>
      <c r="H20" s="18"/>
      <c r="I20" s="14">
        <v>1000</v>
      </c>
      <c r="J20" s="13" t="s">
        <v>956</v>
      </c>
      <c r="K20" s="9"/>
      <c r="L20" s="1668" t="s">
        <v>5473</v>
      </c>
      <c r="M20" s="1669" t="s">
        <v>5474</v>
      </c>
      <c r="N20" s="1670">
        <v>2.0609999999999999</v>
      </c>
      <c r="O20" s="1666">
        <f t="shared" si="0"/>
        <v>5214330</v>
      </c>
      <c r="P20" s="1666">
        <f t="shared" si="1"/>
        <v>200551</v>
      </c>
      <c r="Q20" s="1671">
        <v>2.0609999999999999</v>
      </c>
      <c r="R20" s="9"/>
      <c r="S20" s="9"/>
      <c r="T20" s="9"/>
      <c r="U20" s="9"/>
      <c r="V20" s="9"/>
      <c r="W20" s="9"/>
      <c r="X20" s="9"/>
      <c r="Y20" s="9"/>
    </row>
    <row r="21" spans="1:25" ht="15.75" customHeight="1">
      <c r="A21" s="25" t="s">
        <v>4606</v>
      </c>
      <c r="B21" s="668"/>
      <c r="C21" s="666" t="s">
        <v>4607</v>
      </c>
      <c r="D21" s="17" t="s">
        <v>2226</v>
      </c>
      <c r="E21" s="14">
        <v>3500</v>
      </c>
      <c r="F21" s="14">
        <v>8400</v>
      </c>
      <c r="G21" s="18"/>
      <c r="H21" s="18"/>
      <c r="I21" s="14">
        <v>1001</v>
      </c>
      <c r="J21" s="13" t="s">
        <v>956</v>
      </c>
      <c r="K21" s="9"/>
      <c r="L21" s="1672" t="s">
        <v>5475</v>
      </c>
      <c r="M21" s="1673" t="s">
        <v>5476</v>
      </c>
      <c r="N21" s="1674">
        <v>2.16</v>
      </c>
      <c r="O21" s="1666">
        <f t="shared" si="0"/>
        <v>5464800</v>
      </c>
      <c r="P21" s="1666">
        <f t="shared" si="1"/>
        <v>210185</v>
      </c>
      <c r="Q21" s="1671">
        <v>2.16</v>
      </c>
      <c r="R21" s="9"/>
      <c r="S21" s="9"/>
      <c r="T21" s="9"/>
      <c r="U21" s="9"/>
      <c r="V21" s="9"/>
      <c r="W21" s="9"/>
      <c r="X21" s="9"/>
      <c r="Y21" s="9"/>
    </row>
    <row r="22" spans="1:25" ht="15.75" customHeight="1">
      <c r="A22" s="25" t="s">
        <v>1846</v>
      </c>
      <c r="B22" s="668"/>
      <c r="C22" s="666" t="s">
        <v>2228</v>
      </c>
      <c r="D22" s="17" t="s">
        <v>2226</v>
      </c>
      <c r="E22" s="14"/>
      <c r="F22" s="14">
        <v>4000</v>
      </c>
      <c r="G22" s="18"/>
      <c r="H22" s="18"/>
      <c r="I22" s="14">
        <v>4000</v>
      </c>
      <c r="J22" s="13" t="s">
        <v>956</v>
      </c>
      <c r="K22" s="9"/>
      <c r="L22" s="1668" t="s">
        <v>5477</v>
      </c>
      <c r="M22" s="1669" t="s">
        <v>5478</v>
      </c>
      <c r="N22" s="1670">
        <v>2.238</v>
      </c>
      <c r="O22" s="1666">
        <f t="shared" si="0"/>
        <v>5662140</v>
      </c>
      <c r="P22" s="1666">
        <f t="shared" si="1"/>
        <v>217775</v>
      </c>
      <c r="Q22" s="1671">
        <v>2.238</v>
      </c>
      <c r="R22" s="9"/>
      <c r="S22" s="9"/>
      <c r="T22" s="9"/>
      <c r="U22" s="9"/>
      <c r="V22" s="9"/>
      <c r="W22" s="9"/>
      <c r="X22" s="9"/>
      <c r="Y22" s="9"/>
    </row>
    <row r="23" spans="1:25" ht="15.75" customHeight="1">
      <c r="A23" s="25" t="s">
        <v>1799</v>
      </c>
      <c r="B23" s="668"/>
      <c r="C23" s="666" t="s">
        <v>2229</v>
      </c>
      <c r="D23" s="17" t="s">
        <v>2226</v>
      </c>
      <c r="E23" s="14"/>
      <c r="F23" s="14">
        <v>1500</v>
      </c>
      <c r="G23" s="18"/>
      <c r="H23" s="18"/>
      <c r="I23" s="14">
        <v>1500</v>
      </c>
      <c r="J23" s="13" t="s">
        <v>956</v>
      </c>
      <c r="K23" s="9"/>
      <c r="L23" s="1668" t="s">
        <v>5479</v>
      </c>
      <c r="M23" s="1669" t="s">
        <v>5480</v>
      </c>
      <c r="N23" s="1670">
        <v>2.2770000000000001</v>
      </c>
      <c r="O23" s="1666">
        <f t="shared" si="0"/>
        <v>5760810</v>
      </c>
      <c r="P23" s="1666">
        <f t="shared" si="1"/>
        <v>221570</v>
      </c>
      <c r="Q23" s="1671">
        <v>2.2770000000000001</v>
      </c>
      <c r="R23" s="9"/>
      <c r="S23" s="9"/>
      <c r="T23" s="9"/>
      <c r="U23" s="9"/>
      <c r="V23" s="9"/>
      <c r="W23" s="9"/>
      <c r="X23" s="9"/>
      <c r="Y23" s="9"/>
    </row>
    <row r="24" spans="1:25" ht="15.75" customHeight="1">
      <c r="A24" s="25" t="s">
        <v>235</v>
      </c>
      <c r="B24" s="668"/>
      <c r="C24" s="666" t="s">
        <v>2230</v>
      </c>
      <c r="D24" s="17" t="s">
        <v>2226</v>
      </c>
      <c r="E24" s="14"/>
      <c r="F24" s="14">
        <v>1500</v>
      </c>
      <c r="G24" s="18"/>
      <c r="H24" s="18"/>
      <c r="I24" s="14">
        <v>1500</v>
      </c>
      <c r="J24" s="13" t="s">
        <v>956</v>
      </c>
      <c r="K24" s="9"/>
      <c r="L24" s="1672" t="s">
        <v>5481</v>
      </c>
      <c r="M24" s="1673" t="s">
        <v>5482</v>
      </c>
      <c r="N24" s="1674">
        <v>2.355</v>
      </c>
      <c r="O24" s="1666">
        <f t="shared" si="0"/>
        <v>5958150</v>
      </c>
      <c r="P24" s="1666">
        <f t="shared" si="1"/>
        <v>229160</v>
      </c>
      <c r="Q24" s="1671">
        <v>2.355</v>
      </c>
      <c r="R24" s="9"/>
      <c r="S24" s="9"/>
      <c r="T24" s="9"/>
      <c r="U24" s="9"/>
      <c r="V24" s="9"/>
      <c r="W24" s="9"/>
      <c r="X24" s="9"/>
      <c r="Y24" s="9"/>
    </row>
    <row r="25" spans="1:25" ht="15.75" customHeight="1">
      <c r="A25" s="25" t="s">
        <v>508</v>
      </c>
      <c r="B25" s="668"/>
      <c r="C25" s="666" t="s">
        <v>2231</v>
      </c>
      <c r="D25" s="17" t="s">
        <v>2226</v>
      </c>
      <c r="E25" s="14">
        <v>3500</v>
      </c>
      <c r="F25" s="14">
        <f t="shared" ref="F25:F38" si="2">E25+2*ld</f>
        <v>7900</v>
      </c>
      <c r="G25" s="18"/>
      <c r="H25" s="18"/>
      <c r="I25" s="14">
        <v>7900</v>
      </c>
      <c r="J25" s="13" t="s">
        <v>956</v>
      </c>
      <c r="K25" s="9"/>
      <c r="L25" s="1668" t="s">
        <v>5483</v>
      </c>
      <c r="M25" s="1669" t="s">
        <v>5484</v>
      </c>
      <c r="N25" s="1670">
        <v>2.4329999999999998</v>
      </c>
      <c r="O25" s="1666">
        <f t="shared" si="0"/>
        <v>6155490</v>
      </c>
      <c r="P25" s="1666">
        <f t="shared" si="1"/>
        <v>236750</v>
      </c>
      <c r="Q25" s="1671">
        <v>2.4329999999999998</v>
      </c>
      <c r="R25" s="9"/>
      <c r="S25" s="9"/>
      <c r="T25" s="9"/>
      <c r="U25" s="9"/>
      <c r="V25" s="9"/>
      <c r="W25" s="9"/>
      <c r="X25" s="9"/>
      <c r="Y25" s="9"/>
    </row>
    <row r="26" spans="1:25" ht="15.75" customHeight="1">
      <c r="A26" s="25" t="s">
        <v>13</v>
      </c>
      <c r="B26" s="668"/>
      <c r="C26" s="666" t="s">
        <v>2232</v>
      </c>
      <c r="D26" s="17" t="s">
        <v>2226</v>
      </c>
      <c r="E26" s="14">
        <v>3500</v>
      </c>
      <c r="F26" s="14">
        <f t="shared" si="2"/>
        <v>7900</v>
      </c>
      <c r="G26" s="18"/>
      <c r="H26" s="18"/>
      <c r="I26" s="14">
        <v>7900</v>
      </c>
      <c r="J26" s="13" t="s">
        <v>956</v>
      </c>
      <c r="K26" s="9"/>
      <c r="L26" s="1675" t="s">
        <v>5485</v>
      </c>
      <c r="M26" s="1676" t="s">
        <v>5486</v>
      </c>
      <c r="N26" s="1677">
        <v>2.5499999999999998</v>
      </c>
      <c r="O26" s="1666">
        <f t="shared" si="0"/>
        <v>6451500</v>
      </c>
      <c r="P26" s="1666">
        <f t="shared" si="1"/>
        <v>248135</v>
      </c>
      <c r="Q26" s="1671">
        <v>2.5499999999999998</v>
      </c>
      <c r="R26" s="9"/>
      <c r="S26" s="9"/>
      <c r="T26" s="9"/>
      <c r="U26" s="9"/>
      <c r="V26" s="9"/>
      <c r="W26" s="9"/>
      <c r="X26" s="9"/>
      <c r="Y26" s="9"/>
    </row>
    <row r="27" spans="1:25" ht="15.75" customHeight="1">
      <c r="A27" s="25" t="s">
        <v>619</v>
      </c>
      <c r="B27" s="668"/>
      <c r="C27" s="666" t="s">
        <v>2233</v>
      </c>
      <c r="D27" s="17" t="s">
        <v>2226</v>
      </c>
      <c r="E27" s="14">
        <v>3800</v>
      </c>
      <c r="F27" s="14">
        <f t="shared" si="2"/>
        <v>8200</v>
      </c>
      <c r="G27" s="18"/>
      <c r="H27" s="18"/>
      <c r="I27" s="14">
        <v>8200</v>
      </c>
      <c r="J27" s="13" t="s">
        <v>956</v>
      </c>
      <c r="K27" s="9"/>
      <c r="L27" s="1668" t="s">
        <v>5487</v>
      </c>
      <c r="M27" s="1669" t="s">
        <v>5488</v>
      </c>
      <c r="N27" s="1670">
        <v>2.6419999999999999</v>
      </c>
      <c r="O27" s="1666">
        <f t="shared" si="0"/>
        <v>6684260</v>
      </c>
      <c r="P27" s="1666">
        <f t="shared" si="1"/>
        <v>257087</v>
      </c>
      <c r="Q27" s="1671">
        <v>2.6419999999999999</v>
      </c>
      <c r="R27" s="9"/>
      <c r="S27" s="9"/>
      <c r="T27" s="9"/>
      <c r="U27" s="9"/>
      <c r="V27" s="9"/>
      <c r="W27" s="9"/>
      <c r="X27" s="9"/>
      <c r="Y27" s="9"/>
    </row>
    <row r="28" spans="1:25" ht="15.75" customHeight="1">
      <c r="A28" s="25" t="s">
        <v>1998</v>
      </c>
      <c r="B28" s="668"/>
      <c r="C28" s="666" t="s">
        <v>2234</v>
      </c>
      <c r="D28" s="17" t="s">
        <v>2226</v>
      </c>
      <c r="E28" s="14">
        <v>4100</v>
      </c>
      <c r="F28" s="14">
        <f t="shared" si="2"/>
        <v>8500</v>
      </c>
      <c r="G28" s="18"/>
      <c r="H28" s="18"/>
      <c r="I28" s="14">
        <v>8500</v>
      </c>
      <c r="J28" s="13" t="s">
        <v>956</v>
      </c>
      <c r="K28" s="9"/>
      <c r="L28" s="1668" t="s">
        <v>5489</v>
      </c>
      <c r="M28" s="1669" t="s">
        <v>5490</v>
      </c>
      <c r="N28" s="1670">
        <v>2.6880000000000002</v>
      </c>
      <c r="O28" s="1666">
        <f t="shared" si="0"/>
        <v>6800640</v>
      </c>
      <c r="P28" s="1666">
        <f t="shared" si="1"/>
        <v>261563</v>
      </c>
      <c r="Q28" s="1671">
        <v>2.6880000000000002</v>
      </c>
      <c r="R28" s="9"/>
      <c r="S28" s="9"/>
      <c r="T28" s="9"/>
      <c r="U28" s="9"/>
      <c r="V28" s="9"/>
      <c r="W28" s="9"/>
      <c r="X28" s="9"/>
      <c r="Y28" s="9"/>
    </row>
    <row r="29" spans="1:25" ht="15.75" customHeight="1">
      <c r="A29" s="25" t="s">
        <v>652</v>
      </c>
      <c r="B29" s="668"/>
      <c r="C29" s="666" t="s">
        <v>2235</v>
      </c>
      <c r="D29" s="17" t="s">
        <v>2226</v>
      </c>
      <c r="E29" s="14">
        <v>4300</v>
      </c>
      <c r="F29" s="14">
        <f t="shared" si="2"/>
        <v>8700</v>
      </c>
      <c r="G29" s="18"/>
      <c r="H29" s="18"/>
      <c r="I29" s="14">
        <v>8700</v>
      </c>
      <c r="J29" s="669" t="s">
        <v>956</v>
      </c>
      <c r="K29" s="9"/>
      <c r="L29" s="1672" t="s">
        <v>5491</v>
      </c>
      <c r="M29" s="1673" t="s">
        <v>5492</v>
      </c>
      <c r="N29" s="1674">
        <v>2.78</v>
      </c>
      <c r="O29" s="1666">
        <f t="shared" si="0"/>
        <v>7033400</v>
      </c>
      <c r="P29" s="1666">
        <f t="shared" si="1"/>
        <v>270515</v>
      </c>
      <c r="Q29" s="1671">
        <v>2.78</v>
      </c>
      <c r="R29" s="9"/>
      <c r="S29" s="9"/>
      <c r="T29" s="9"/>
      <c r="U29" s="9"/>
      <c r="V29" s="9"/>
      <c r="W29" s="9"/>
      <c r="X29" s="9"/>
      <c r="Y29" s="9"/>
    </row>
    <row r="30" spans="1:25" ht="15.75" customHeight="1">
      <c r="A30" s="25" t="s">
        <v>1370</v>
      </c>
      <c r="B30" s="668"/>
      <c r="C30" s="666" t="s">
        <v>2236</v>
      </c>
      <c r="D30" s="17" t="s">
        <v>2226</v>
      </c>
      <c r="E30" s="14">
        <v>4600</v>
      </c>
      <c r="F30" s="14">
        <f t="shared" si="2"/>
        <v>9000</v>
      </c>
      <c r="G30" s="18"/>
      <c r="H30" s="18"/>
      <c r="I30" s="14">
        <v>9000</v>
      </c>
      <c r="J30" s="13" t="s">
        <v>956</v>
      </c>
      <c r="K30" s="9"/>
      <c r="L30" s="1668" t="s">
        <v>5493</v>
      </c>
      <c r="M30" s="1669" t="s">
        <v>5494</v>
      </c>
      <c r="N30" s="1670">
        <v>2.8719999999999999</v>
      </c>
      <c r="O30" s="1666">
        <f t="shared" si="0"/>
        <v>7266160</v>
      </c>
      <c r="P30" s="1666">
        <f t="shared" si="1"/>
        <v>279468</v>
      </c>
      <c r="Q30" s="1671">
        <v>2.8719999999999999</v>
      </c>
      <c r="R30" s="9"/>
      <c r="S30" s="9"/>
      <c r="T30" s="9"/>
      <c r="U30" s="9"/>
      <c r="V30" s="9"/>
      <c r="W30" s="9"/>
      <c r="X30" s="9"/>
      <c r="Y30" s="9"/>
    </row>
    <row r="31" spans="1:25" ht="15.75" customHeight="1">
      <c r="A31" s="25" t="s">
        <v>249</v>
      </c>
      <c r="B31" s="668"/>
      <c r="C31" s="666" t="s">
        <v>2237</v>
      </c>
      <c r="D31" s="17" t="s">
        <v>2226</v>
      </c>
      <c r="E31" s="14">
        <v>5200</v>
      </c>
      <c r="F31" s="14">
        <f t="shared" si="2"/>
        <v>9600</v>
      </c>
      <c r="G31" s="18"/>
      <c r="H31" s="18"/>
      <c r="I31" s="14">
        <v>9600</v>
      </c>
      <c r="J31" s="13" t="s">
        <v>956</v>
      </c>
      <c r="K31" s="9"/>
      <c r="L31" s="1668" t="s">
        <v>5495</v>
      </c>
      <c r="M31" s="1669" t="s">
        <v>5496</v>
      </c>
      <c r="N31" s="1670">
        <v>3.01</v>
      </c>
      <c r="O31" s="1666">
        <f t="shared" si="0"/>
        <v>7615300</v>
      </c>
      <c r="P31" s="1666">
        <f t="shared" si="1"/>
        <v>292896</v>
      </c>
      <c r="Q31" s="1671">
        <v>3.01</v>
      </c>
      <c r="R31" s="9"/>
      <c r="S31" s="9"/>
      <c r="T31" s="9"/>
      <c r="U31" s="9"/>
      <c r="V31" s="9"/>
      <c r="W31" s="9"/>
      <c r="X31" s="9"/>
      <c r="Y31" s="9"/>
    </row>
    <row r="32" spans="1:25" ht="15.75" customHeight="1">
      <c r="A32" s="25" t="s">
        <v>945</v>
      </c>
      <c r="B32" s="668"/>
      <c r="C32" s="666" t="s">
        <v>2238</v>
      </c>
      <c r="D32" s="17" t="s">
        <v>2226</v>
      </c>
      <c r="E32" s="14">
        <v>5600</v>
      </c>
      <c r="F32" s="14">
        <f t="shared" si="2"/>
        <v>10000</v>
      </c>
      <c r="G32" s="18"/>
      <c r="H32" s="18"/>
      <c r="I32" s="14">
        <v>10000</v>
      </c>
      <c r="J32" s="13" t="s">
        <v>956</v>
      </c>
      <c r="K32" s="9"/>
      <c r="L32" s="1668" t="s">
        <v>5497</v>
      </c>
      <c r="M32" s="1669" t="s">
        <v>5498</v>
      </c>
      <c r="N32" s="1670">
        <v>3.12</v>
      </c>
      <c r="O32" s="1666">
        <f t="shared" si="0"/>
        <v>7893600</v>
      </c>
      <c r="P32" s="1666">
        <f t="shared" si="1"/>
        <v>303600</v>
      </c>
      <c r="Q32" s="1671">
        <v>3.12</v>
      </c>
      <c r="R32" s="9"/>
      <c r="S32" s="9"/>
      <c r="T32" s="9"/>
      <c r="U32" s="9"/>
      <c r="V32" s="9"/>
      <c r="W32" s="9"/>
      <c r="X32" s="9"/>
      <c r="Y32" s="9"/>
    </row>
    <row r="33" spans="1:25" ht="15.75" customHeight="1">
      <c r="A33" s="25" t="s">
        <v>116</v>
      </c>
      <c r="B33" s="668"/>
      <c r="C33" s="666" t="s">
        <v>2239</v>
      </c>
      <c r="D33" s="17" t="s">
        <v>2226</v>
      </c>
      <c r="E33" s="14">
        <v>7100</v>
      </c>
      <c r="F33" s="14">
        <f t="shared" si="2"/>
        <v>11500</v>
      </c>
      <c r="G33" s="18"/>
      <c r="H33" s="18"/>
      <c r="I33" s="14">
        <v>11500</v>
      </c>
      <c r="J33" s="13" t="s">
        <v>956</v>
      </c>
      <c r="K33" s="9"/>
      <c r="L33" s="1668" t="s">
        <v>5499</v>
      </c>
      <c r="M33" s="1669" t="s">
        <v>5500</v>
      </c>
      <c r="N33" s="1670">
        <v>3.1749999999999998</v>
      </c>
      <c r="O33" s="1666">
        <f t="shared" si="0"/>
        <v>8032750</v>
      </c>
      <c r="P33" s="1666">
        <f t="shared" si="1"/>
        <v>308952</v>
      </c>
      <c r="Q33" s="1671">
        <v>3.1749999999999998</v>
      </c>
      <c r="R33" s="9"/>
      <c r="S33" s="9"/>
      <c r="T33" s="9"/>
      <c r="U33" s="9"/>
      <c r="V33" s="9"/>
      <c r="W33" s="9"/>
      <c r="X33" s="9"/>
      <c r="Y33" s="9"/>
    </row>
    <row r="34" spans="1:25" ht="15.75" customHeight="1">
      <c r="A34" s="25" t="s">
        <v>699</v>
      </c>
      <c r="B34" s="668"/>
      <c r="C34" s="666" t="s">
        <v>2240</v>
      </c>
      <c r="D34" s="17" t="s">
        <v>2226</v>
      </c>
      <c r="E34" s="14">
        <v>8700</v>
      </c>
      <c r="F34" s="14">
        <f t="shared" si="2"/>
        <v>13100</v>
      </c>
      <c r="G34" s="18"/>
      <c r="H34" s="18"/>
      <c r="I34" s="14">
        <v>13100</v>
      </c>
      <c r="J34" s="13" t="s">
        <v>956</v>
      </c>
      <c r="K34" s="9"/>
      <c r="L34" s="1668" t="s">
        <v>5501</v>
      </c>
      <c r="M34" s="1669" t="s">
        <v>5502</v>
      </c>
      <c r="N34" s="1670">
        <v>3.2850000000000001</v>
      </c>
      <c r="O34" s="1666">
        <f t="shared" si="0"/>
        <v>8311050</v>
      </c>
      <c r="P34" s="1666">
        <f t="shared" si="1"/>
        <v>319656</v>
      </c>
      <c r="Q34" s="1671">
        <v>3.2850000000000001</v>
      </c>
      <c r="R34" s="9"/>
      <c r="S34" s="9"/>
      <c r="T34" s="9"/>
      <c r="U34" s="9"/>
      <c r="V34" s="9"/>
      <c r="W34" s="9"/>
      <c r="X34" s="9"/>
      <c r="Y34" s="9"/>
    </row>
    <row r="35" spans="1:25" ht="15.75" customHeight="1">
      <c r="A35" s="25" t="s">
        <v>557</v>
      </c>
      <c r="B35" s="668"/>
      <c r="C35" s="666" t="s">
        <v>2241</v>
      </c>
      <c r="D35" s="17" t="s">
        <v>2226</v>
      </c>
      <c r="E35" s="14"/>
      <c r="F35" s="14">
        <f t="shared" si="2"/>
        <v>4400</v>
      </c>
      <c r="G35" s="18"/>
      <c r="H35" s="18"/>
      <c r="I35" s="14">
        <v>8400</v>
      </c>
      <c r="J35" s="13" t="s">
        <v>956</v>
      </c>
      <c r="K35" s="9"/>
      <c r="L35" s="1668" t="s">
        <v>5503</v>
      </c>
      <c r="M35" s="1669" t="s">
        <v>5504</v>
      </c>
      <c r="N35" s="1670">
        <v>3.56</v>
      </c>
      <c r="O35" s="1666">
        <f t="shared" si="0"/>
        <v>9006800</v>
      </c>
      <c r="P35" s="1666">
        <f t="shared" si="1"/>
        <v>346415</v>
      </c>
      <c r="Q35" s="1671">
        <v>3.56</v>
      </c>
      <c r="R35" s="9"/>
      <c r="S35" s="9"/>
      <c r="T35" s="9"/>
      <c r="U35" s="9"/>
      <c r="V35" s="9"/>
      <c r="W35" s="9"/>
      <c r="X35" s="9"/>
      <c r="Y35" s="9"/>
    </row>
    <row r="36" spans="1:25" ht="15.75" customHeight="1">
      <c r="A36" s="25" t="s">
        <v>558</v>
      </c>
      <c r="B36" s="668"/>
      <c r="C36" s="666" t="s">
        <v>2242</v>
      </c>
      <c r="D36" s="17" t="s">
        <v>2226</v>
      </c>
      <c r="E36" s="14"/>
      <c r="F36" s="14">
        <f t="shared" si="2"/>
        <v>4400</v>
      </c>
      <c r="G36" s="18"/>
      <c r="H36" s="18"/>
      <c r="I36" s="14">
        <v>8400</v>
      </c>
      <c r="J36" s="13" t="s">
        <v>956</v>
      </c>
      <c r="K36" s="9"/>
      <c r="L36" s="1678" t="s">
        <v>5505</v>
      </c>
      <c r="M36" s="1679" t="s">
        <v>5506</v>
      </c>
      <c r="N36" s="1680">
        <v>4.2</v>
      </c>
      <c r="O36" s="1666">
        <f t="shared" si="0"/>
        <v>10626000</v>
      </c>
      <c r="P36" s="1666">
        <f t="shared" si="1"/>
        <v>408692</v>
      </c>
      <c r="Q36" s="1681">
        <v>4.2</v>
      </c>
      <c r="R36" s="9"/>
      <c r="S36" s="9"/>
      <c r="T36" s="9"/>
      <c r="U36" s="9"/>
      <c r="V36" s="9"/>
      <c r="W36" s="9"/>
      <c r="X36" s="9"/>
      <c r="Y36" s="9"/>
    </row>
    <row r="37" spans="1:25" ht="15.75" customHeight="1">
      <c r="A37" s="25" t="s">
        <v>679</v>
      </c>
      <c r="B37" s="668"/>
      <c r="C37" s="666" t="s">
        <v>2243</v>
      </c>
      <c r="D37" s="17" t="s">
        <v>2226</v>
      </c>
      <c r="E37" s="14"/>
      <c r="F37" s="14">
        <f t="shared" si="2"/>
        <v>4400</v>
      </c>
      <c r="G37" s="18"/>
      <c r="H37" s="18"/>
      <c r="I37" s="14">
        <v>8400</v>
      </c>
      <c r="J37" s="13" t="s">
        <v>956</v>
      </c>
      <c r="K37" s="9"/>
      <c r="L37" s="1661"/>
      <c r="M37" s="1662" t="s">
        <v>5507</v>
      </c>
      <c r="N37" s="1662"/>
      <c r="O37" s="1662"/>
      <c r="P37" s="1662"/>
      <c r="Q37" s="1682"/>
      <c r="R37" s="9"/>
      <c r="S37" s="9"/>
      <c r="T37" s="9"/>
      <c r="U37" s="9"/>
      <c r="V37" s="9"/>
      <c r="W37" s="9"/>
      <c r="X37" s="9"/>
      <c r="Y37" s="9"/>
    </row>
    <row r="38" spans="1:25" ht="15.75" customHeight="1">
      <c r="A38" s="25" t="s">
        <v>1134</v>
      </c>
      <c r="B38" s="668"/>
      <c r="C38" s="666" t="s">
        <v>2244</v>
      </c>
      <c r="D38" s="17" t="s">
        <v>2226</v>
      </c>
      <c r="E38" s="14"/>
      <c r="F38" s="14">
        <f t="shared" si="2"/>
        <v>4400</v>
      </c>
      <c r="G38" s="18"/>
      <c r="H38" s="18"/>
      <c r="I38" s="14">
        <v>12400</v>
      </c>
      <c r="J38" s="13" t="s">
        <v>956</v>
      </c>
      <c r="K38" s="9"/>
      <c r="L38" s="1663" t="s">
        <v>5508</v>
      </c>
      <c r="M38" s="1664" t="s">
        <v>5466</v>
      </c>
      <c r="N38" s="1665">
        <v>1.76</v>
      </c>
      <c r="O38" s="1666">
        <f t="shared" ref="O38:O43" si="3">ROUND(N38*$O$6,0)</f>
        <v>4452800</v>
      </c>
      <c r="P38" s="1666">
        <f t="shared" ref="P38:P59" si="4">ROUND($O38/$O$7,0)</f>
        <v>171262</v>
      </c>
      <c r="Q38" s="1667">
        <v>1.76</v>
      </c>
      <c r="R38" s="9"/>
      <c r="S38" s="9"/>
      <c r="T38" s="9"/>
      <c r="U38" s="9"/>
      <c r="V38" s="9"/>
      <c r="W38" s="9"/>
      <c r="X38" s="9"/>
      <c r="Y38" s="9"/>
    </row>
    <row r="39" spans="1:25" ht="15.75" customHeight="1">
      <c r="A39" s="25" t="s">
        <v>1371</v>
      </c>
      <c r="B39" s="668"/>
      <c r="C39" s="666" t="s">
        <v>2245</v>
      </c>
      <c r="D39" s="17" t="s">
        <v>2226</v>
      </c>
      <c r="E39" s="14">
        <v>6000</v>
      </c>
      <c r="F39" s="14">
        <f t="shared" ref="F39:F55" si="5">E39+2*ld</f>
        <v>10400</v>
      </c>
      <c r="G39" s="18"/>
      <c r="H39" s="18"/>
      <c r="I39" s="14">
        <v>10400</v>
      </c>
      <c r="J39" s="13" t="s">
        <v>956</v>
      </c>
      <c r="K39" s="9"/>
      <c r="L39" s="1668" t="s">
        <v>5509</v>
      </c>
      <c r="M39" s="1669" t="s">
        <v>5468</v>
      </c>
      <c r="N39" s="1670">
        <v>2.0699999999999998</v>
      </c>
      <c r="O39" s="1666">
        <f t="shared" si="3"/>
        <v>5237100</v>
      </c>
      <c r="P39" s="1666">
        <f t="shared" si="4"/>
        <v>201427</v>
      </c>
      <c r="Q39" s="1671">
        <v>2.0699999999999998</v>
      </c>
      <c r="R39" s="9"/>
      <c r="S39" s="9"/>
      <c r="T39" s="9"/>
      <c r="U39" s="9"/>
      <c r="V39" s="9"/>
      <c r="W39" s="9"/>
      <c r="X39" s="9"/>
      <c r="Y39" s="9"/>
    </row>
    <row r="40" spans="1:25" ht="15.75" customHeight="1">
      <c r="A40" s="25" t="s">
        <v>5638</v>
      </c>
      <c r="B40" s="668"/>
      <c r="C40" s="666" t="s">
        <v>5639</v>
      </c>
      <c r="D40" s="17" t="s">
        <v>2226</v>
      </c>
      <c r="E40" s="14">
        <f>19000+2*6100</f>
        <v>31200</v>
      </c>
      <c r="F40" s="14">
        <f>E40+2*ld</f>
        <v>35600</v>
      </c>
      <c r="G40" s="18"/>
      <c r="H40" s="18"/>
      <c r="I40" s="14">
        <v>10400</v>
      </c>
      <c r="J40" s="13" t="s">
        <v>956</v>
      </c>
      <c r="K40" s="9"/>
      <c r="L40" s="1668" t="s">
        <v>5509</v>
      </c>
      <c r="M40" s="1669" t="s">
        <v>5468</v>
      </c>
      <c r="N40" s="1670">
        <v>2.0699999999999998</v>
      </c>
      <c r="O40" s="1666">
        <f t="shared" si="3"/>
        <v>5237100</v>
      </c>
      <c r="P40" s="1666">
        <f t="shared" si="4"/>
        <v>201427</v>
      </c>
      <c r="Q40" s="1671">
        <v>2.0699999999999998</v>
      </c>
      <c r="R40" s="9"/>
      <c r="S40" s="9"/>
      <c r="T40" s="9"/>
      <c r="U40" s="9"/>
      <c r="V40" s="9"/>
      <c r="W40" s="9"/>
      <c r="X40" s="9"/>
      <c r="Y40" s="9"/>
    </row>
    <row r="41" spans="1:25" ht="15.75" customHeight="1">
      <c r="A41" s="16" t="s">
        <v>1043</v>
      </c>
      <c r="B41" s="668"/>
      <c r="C41" s="666" t="s">
        <v>2246</v>
      </c>
      <c r="D41" s="17" t="s">
        <v>2226</v>
      </c>
      <c r="E41" s="14">
        <v>6400</v>
      </c>
      <c r="F41" s="14">
        <f t="shared" si="5"/>
        <v>10800</v>
      </c>
      <c r="G41" s="18"/>
      <c r="H41" s="18"/>
      <c r="I41" s="14">
        <v>11100</v>
      </c>
      <c r="J41" s="13" t="s">
        <v>956</v>
      </c>
      <c r="L41" s="1668" t="s">
        <v>5510</v>
      </c>
      <c r="M41" s="1669" t="s">
        <v>5470</v>
      </c>
      <c r="N41" s="1670">
        <v>2.181</v>
      </c>
      <c r="O41" s="1666">
        <f t="shared" si="3"/>
        <v>5517930</v>
      </c>
      <c r="P41" s="1666">
        <f t="shared" si="4"/>
        <v>212228</v>
      </c>
      <c r="Q41" s="1671">
        <v>2.181</v>
      </c>
    </row>
    <row r="42" spans="1:25" ht="15.75" customHeight="1">
      <c r="A42" s="16" t="s">
        <v>1256</v>
      </c>
      <c r="B42" s="668"/>
      <c r="C42" s="666" t="s">
        <v>2247</v>
      </c>
      <c r="D42" s="17" t="s">
        <v>2226</v>
      </c>
      <c r="E42" s="14">
        <v>6700</v>
      </c>
      <c r="F42" s="14">
        <f t="shared" si="5"/>
        <v>11100</v>
      </c>
      <c r="G42" s="18"/>
      <c r="H42" s="18"/>
      <c r="I42" s="14">
        <v>11100</v>
      </c>
      <c r="J42" s="13" t="s">
        <v>956</v>
      </c>
      <c r="K42" s="9"/>
      <c r="L42" s="1668" t="s">
        <v>5511</v>
      </c>
      <c r="M42" s="1669" t="s">
        <v>5472</v>
      </c>
      <c r="N42" s="1670">
        <v>2.2549999999999999</v>
      </c>
      <c r="O42" s="1666">
        <f t="shared" si="3"/>
        <v>5705150</v>
      </c>
      <c r="P42" s="1666">
        <f t="shared" si="4"/>
        <v>219429</v>
      </c>
      <c r="Q42" s="1671">
        <v>2.2549999999999999</v>
      </c>
      <c r="R42" s="9"/>
      <c r="S42" s="9"/>
      <c r="T42" s="9"/>
      <c r="U42" s="9"/>
      <c r="V42" s="9"/>
      <c r="W42" s="9"/>
    </row>
    <row r="43" spans="1:25" s="1907" customFormat="1" ht="15.75" customHeight="1">
      <c r="A43" s="1913" t="s">
        <v>1044</v>
      </c>
      <c r="B43" s="1909"/>
      <c r="C43" s="1913" t="s">
        <v>2248</v>
      </c>
      <c r="D43" s="1910" t="s">
        <v>2226</v>
      </c>
      <c r="E43" s="1911">
        <v>8000</v>
      </c>
      <c r="F43" s="1911">
        <f t="shared" si="5"/>
        <v>12400</v>
      </c>
      <c r="G43" s="1912"/>
      <c r="H43" s="1912"/>
      <c r="I43" s="1911">
        <v>11800</v>
      </c>
      <c r="J43" s="1906" t="s">
        <v>956</v>
      </c>
      <c r="L43" s="1929" t="s">
        <v>5512</v>
      </c>
      <c r="M43" s="1930" t="s">
        <v>5474</v>
      </c>
      <c r="N43" s="1931">
        <v>2.3290000000000002</v>
      </c>
      <c r="O43" s="1932">
        <f t="shared" si="3"/>
        <v>5892370</v>
      </c>
      <c r="P43" s="1932">
        <f t="shared" si="4"/>
        <v>226630</v>
      </c>
      <c r="Q43" s="1933">
        <v>2.3290000000000002</v>
      </c>
    </row>
    <row r="44" spans="1:25" s="1907" customFormat="1" ht="15.75" customHeight="1">
      <c r="A44" s="1913" t="s">
        <v>1939</v>
      </c>
      <c r="B44" s="1909"/>
      <c r="C44" s="1913" t="s">
        <v>2249</v>
      </c>
      <c r="D44" s="1910" t="s">
        <v>2226</v>
      </c>
      <c r="E44" s="1911">
        <v>13000</v>
      </c>
      <c r="F44" s="1911">
        <f t="shared" si="5"/>
        <v>17400</v>
      </c>
      <c r="G44" s="1912"/>
      <c r="H44" s="1912"/>
      <c r="I44" s="1911">
        <v>13800</v>
      </c>
      <c r="J44" s="1906" t="s">
        <v>956</v>
      </c>
      <c r="L44" s="1929" t="s">
        <v>5513</v>
      </c>
      <c r="M44" s="1930" t="s">
        <v>5476</v>
      </c>
      <c r="N44" s="1931">
        <v>2.44</v>
      </c>
      <c r="O44" s="1932">
        <f t="shared" ref="O44:O59" si="6">ROUND(N44*$O$6,0)</f>
        <v>6173200</v>
      </c>
      <c r="P44" s="1932">
        <f t="shared" si="4"/>
        <v>237431</v>
      </c>
      <c r="Q44" s="1933">
        <v>2.44</v>
      </c>
    </row>
    <row r="45" spans="1:25" s="1907" customFormat="1" ht="15.75" customHeight="1">
      <c r="A45" s="1913" t="s">
        <v>746</v>
      </c>
      <c r="B45" s="1909"/>
      <c r="C45" s="1913" t="s">
        <v>2250</v>
      </c>
      <c r="D45" s="1910" t="s">
        <v>2226</v>
      </c>
      <c r="E45" s="1911">
        <v>14500</v>
      </c>
      <c r="F45" s="1911">
        <f t="shared" si="5"/>
        <v>18900</v>
      </c>
      <c r="G45" s="1912"/>
      <c r="H45" s="1912"/>
      <c r="I45" s="1911">
        <v>16200</v>
      </c>
      <c r="J45" s="1906" t="s">
        <v>956</v>
      </c>
      <c r="L45" s="1929" t="s">
        <v>5514</v>
      </c>
      <c r="M45" s="1930" t="s">
        <v>5478</v>
      </c>
      <c r="N45" s="1931">
        <v>2.524</v>
      </c>
      <c r="O45" s="1932">
        <f t="shared" si="6"/>
        <v>6385720</v>
      </c>
      <c r="P45" s="1932">
        <f t="shared" si="4"/>
        <v>245605</v>
      </c>
      <c r="Q45" s="1933">
        <v>2.524</v>
      </c>
    </row>
    <row r="46" spans="1:25" s="1907" customFormat="1" ht="15.75" customHeight="1">
      <c r="A46" s="1913" t="s">
        <v>1997</v>
      </c>
      <c r="B46" s="1909"/>
      <c r="C46" s="1913" t="s">
        <v>2251</v>
      </c>
      <c r="D46" s="1910" t="s">
        <v>2226</v>
      </c>
      <c r="E46" s="1911">
        <v>17000</v>
      </c>
      <c r="F46" s="1911">
        <f t="shared" si="5"/>
        <v>21400</v>
      </c>
      <c r="G46" s="1912"/>
      <c r="H46" s="1912"/>
      <c r="I46" s="1911">
        <v>18500</v>
      </c>
      <c r="J46" s="1906" t="s">
        <v>956</v>
      </c>
      <c r="L46" s="1929" t="s">
        <v>5515</v>
      </c>
      <c r="M46" s="1930" t="s">
        <v>5480</v>
      </c>
      <c r="N46" s="1931">
        <v>2.5659999999999998</v>
      </c>
      <c r="O46" s="1932">
        <f t="shared" si="6"/>
        <v>6491980</v>
      </c>
      <c r="P46" s="1932">
        <f t="shared" si="4"/>
        <v>249692</v>
      </c>
      <c r="Q46" s="1933">
        <v>2.5659999999999998</v>
      </c>
    </row>
    <row r="47" spans="1:25" s="1907" customFormat="1" ht="15.75" customHeight="1">
      <c r="A47" s="1913" t="s">
        <v>1261</v>
      </c>
      <c r="B47" s="1909"/>
      <c r="C47" s="1913" t="s">
        <v>2252</v>
      </c>
      <c r="D47" s="1910" t="s">
        <v>2226</v>
      </c>
      <c r="E47" s="1911">
        <v>9000</v>
      </c>
      <c r="F47" s="1911">
        <f t="shared" si="5"/>
        <v>13400</v>
      </c>
      <c r="G47" s="1912"/>
      <c r="H47" s="1912"/>
      <c r="I47" s="1911">
        <v>20900</v>
      </c>
      <c r="J47" s="1906" t="s">
        <v>956</v>
      </c>
      <c r="L47" s="1929" t="s">
        <v>5516</v>
      </c>
      <c r="M47" s="1930" t="s">
        <v>5482</v>
      </c>
      <c r="N47" s="1931">
        <v>2.65</v>
      </c>
      <c r="O47" s="1932">
        <f t="shared" si="6"/>
        <v>6704500</v>
      </c>
      <c r="P47" s="1932">
        <f t="shared" si="4"/>
        <v>257865</v>
      </c>
      <c r="Q47" s="1933">
        <v>2.65</v>
      </c>
    </row>
    <row r="48" spans="1:25" s="1907" customFormat="1" ht="15.75" customHeight="1">
      <c r="A48" s="1913" t="s">
        <v>1262</v>
      </c>
      <c r="B48" s="1909"/>
      <c r="C48" s="1913" t="s">
        <v>2253</v>
      </c>
      <c r="D48" s="1910" t="s">
        <v>2226</v>
      </c>
      <c r="E48" s="1911">
        <v>21000</v>
      </c>
      <c r="F48" s="1911">
        <f t="shared" si="5"/>
        <v>25400</v>
      </c>
      <c r="G48" s="1912"/>
      <c r="H48" s="1912"/>
      <c r="I48" s="1911">
        <v>23300</v>
      </c>
      <c r="J48" s="1906" t="s">
        <v>956</v>
      </c>
      <c r="L48" s="1929" t="s">
        <v>5517</v>
      </c>
      <c r="M48" s="1930" t="s">
        <v>5484</v>
      </c>
      <c r="N48" s="1931">
        <v>2.734</v>
      </c>
      <c r="O48" s="1932">
        <f t="shared" si="6"/>
        <v>6917020</v>
      </c>
      <c r="P48" s="1932">
        <f t="shared" si="4"/>
        <v>266039</v>
      </c>
      <c r="Q48" s="1933">
        <v>2.734</v>
      </c>
    </row>
    <row r="49" spans="1:23" s="1907" customFormat="1" ht="15.75" customHeight="1">
      <c r="A49" s="1913" t="s">
        <v>733</v>
      </c>
      <c r="B49" s="1909"/>
      <c r="C49" s="1913" t="s">
        <v>2254</v>
      </c>
      <c r="D49" s="1910" t="s">
        <v>2226</v>
      </c>
      <c r="E49" s="1911">
        <v>23500</v>
      </c>
      <c r="F49" s="1911">
        <f t="shared" si="5"/>
        <v>27900</v>
      </c>
      <c r="G49" s="1912"/>
      <c r="H49" s="1912"/>
      <c r="I49" s="1911">
        <v>25700</v>
      </c>
      <c r="J49" s="1906" t="s">
        <v>956</v>
      </c>
      <c r="L49" s="1929" t="s">
        <v>5518</v>
      </c>
      <c r="M49" s="1930" t="s">
        <v>5486</v>
      </c>
      <c r="N49" s="1931">
        <v>2.86</v>
      </c>
      <c r="O49" s="1932">
        <f t="shared" si="6"/>
        <v>7235800</v>
      </c>
      <c r="P49" s="1932">
        <f t="shared" si="4"/>
        <v>278300</v>
      </c>
      <c r="Q49" s="1933">
        <v>2.86</v>
      </c>
    </row>
    <row r="50" spans="1:23" s="1907" customFormat="1" ht="15.75" customHeight="1">
      <c r="A50" s="1913" t="s">
        <v>82</v>
      </c>
      <c r="B50" s="1909"/>
      <c r="C50" s="1913" t="s">
        <v>2255</v>
      </c>
      <c r="D50" s="1910" t="s">
        <v>2226</v>
      </c>
      <c r="E50" s="1911">
        <v>25500</v>
      </c>
      <c r="F50" s="1911">
        <f t="shared" si="5"/>
        <v>29900</v>
      </c>
      <c r="G50" s="1912"/>
      <c r="H50" s="1912"/>
      <c r="I50" s="1911">
        <v>30400</v>
      </c>
      <c r="J50" s="1906" t="s">
        <v>956</v>
      </c>
      <c r="L50" s="1929" t="s">
        <v>5519</v>
      </c>
      <c r="M50" s="1930" t="s">
        <v>5488</v>
      </c>
      <c r="N50" s="1931">
        <v>2.9620000000000002</v>
      </c>
      <c r="O50" s="1932">
        <f t="shared" si="6"/>
        <v>7493860</v>
      </c>
      <c r="P50" s="1932">
        <f t="shared" si="4"/>
        <v>288225</v>
      </c>
      <c r="Q50" s="1933">
        <v>2.9620000000000002</v>
      </c>
    </row>
    <row r="51" spans="1:23" s="1907" customFormat="1" ht="15.75" customHeight="1">
      <c r="A51" s="1913" t="s">
        <v>1441</v>
      </c>
      <c r="B51" s="1909"/>
      <c r="C51" s="1913" t="s">
        <v>2256</v>
      </c>
      <c r="D51" s="1910" t="s">
        <v>2226</v>
      </c>
      <c r="E51" s="1911">
        <v>28000</v>
      </c>
      <c r="F51" s="1911">
        <f t="shared" si="5"/>
        <v>32400</v>
      </c>
      <c r="G51" s="1912"/>
      <c r="H51" s="1912"/>
      <c r="I51" s="1911">
        <v>30400</v>
      </c>
      <c r="J51" s="1906" t="s">
        <v>956</v>
      </c>
      <c r="L51" s="1929" t="s">
        <v>5520</v>
      </c>
      <c r="M51" s="1930" t="s">
        <v>5490</v>
      </c>
      <c r="N51" s="1931">
        <v>3.0129999999999999</v>
      </c>
      <c r="O51" s="1932">
        <f t="shared" si="6"/>
        <v>7622890</v>
      </c>
      <c r="P51" s="1932">
        <f t="shared" si="4"/>
        <v>293188</v>
      </c>
      <c r="Q51" s="1933">
        <v>3.0129999999999999</v>
      </c>
    </row>
    <row r="52" spans="1:23" s="1907" customFormat="1" ht="15.75" customHeight="1">
      <c r="A52" s="1913" t="s">
        <v>1172</v>
      </c>
      <c r="B52" s="1909"/>
      <c r="C52" s="1913" t="s">
        <v>4847</v>
      </c>
      <c r="D52" s="1910" t="s">
        <v>2226</v>
      </c>
      <c r="E52" s="1911">
        <v>29100</v>
      </c>
      <c r="F52" s="1911">
        <f t="shared" si="5"/>
        <v>33500</v>
      </c>
      <c r="G52" s="1912"/>
      <c r="H52" s="1912"/>
      <c r="I52" s="1911">
        <v>16100</v>
      </c>
      <c r="J52" s="1906" t="s">
        <v>956</v>
      </c>
      <c r="L52" s="1929" t="s">
        <v>5521</v>
      </c>
      <c r="M52" s="1930" t="s">
        <v>5492</v>
      </c>
      <c r="N52" s="1931">
        <v>3.1150000000000002</v>
      </c>
      <c r="O52" s="1932">
        <f t="shared" si="6"/>
        <v>7880950</v>
      </c>
      <c r="P52" s="1932">
        <f t="shared" si="4"/>
        <v>303113</v>
      </c>
      <c r="Q52" s="1933">
        <v>3.1150000000000002</v>
      </c>
    </row>
    <row r="53" spans="1:23" s="1907" customFormat="1" ht="15.75" customHeight="1">
      <c r="A53" s="1913" t="s">
        <v>4821</v>
      </c>
      <c r="B53" s="1909"/>
      <c r="C53" s="1913" t="s">
        <v>4822</v>
      </c>
      <c r="D53" s="1910" t="s">
        <v>2226</v>
      </c>
      <c r="E53" s="1911">
        <v>31100</v>
      </c>
      <c r="F53" s="1911">
        <f t="shared" si="5"/>
        <v>35500</v>
      </c>
      <c r="G53" s="1912"/>
      <c r="H53" s="1912"/>
      <c r="I53" s="1911">
        <v>16700</v>
      </c>
      <c r="J53" s="1906"/>
      <c r="L53" s="1929" t="s">
        <v>5522</v>
      </c>
      <c r="M53" s="1930" t="s">
        <v>5494</v>
      </c>
      <c r="N53" s="1931">
        <v>3.2170000000000001</v>
      </c>
      <c r="O53" s="1932">
        <f t="shared" si="6"/>
        <v>8139010</v>
      </c>
      <c r="P53" s="1932">
        <f t="shared" si="4"/>
        <v>313039</v>
      </c>
      <c r="Q53" s="1933">
        <v>3.2170000000000001</v>
      </c>
    </row>
    <row r="54" spans="1:23" s="1907" customFormat="1" ht="15.75" customHeight="1">
      <c r="A54" s="1913" t="s">
        <v>1040</v>
      </c>
      <c r="B54" s="1909"/>
      <c r="C54" s="1913" t="s">
        <v>2257</v>
      </c>
      <c r="D54" s="1910" t="s">
        <v>2226</v>
      </c>
      <c r="E54" s="1911">
        <f>31100*1.1</f>
        <v>34210</v>
      </c>
      <c r="F54" s="1911">
        <f t="shared" si="5"/>
        <v>38610</v>
      </c>
      <c r="G54" s="1912"/>
      <c r="H54" s="1912"/>
      <c r="I54" s="1911">
        <v>16700</v>
      </c>
      <c r="J54" s="1906" t="s">
        <v>956</v>
      </c>
      <c r="L54" s="1929" t="s">
        <v>5523</v>
      </c>
      <c r="M54" s="1930" t="s">
        <v>5496</v>
      </c>
      <c r="N54" s="1931">
        <v>3.37</v>
      </c>
      <c r="O54" s="1932">
        <f t="shared" si="6"/>
        <v>8526100</v>
      </c>
      <c r="P54" s="1932">
        <f t="shared" si="4"/>
        <v>327927</v>
      </c>
      <c r="Q54" s="1933">
        <v>3.37</v>
      </c>
    </row>
    <row r="55" spans="1:23" s="1907" customFormat="1" ht="15.75" customHeight="1">
      <c r="A55" s="1913" t="s">
        <v>4647</v>
      </c>
      <c r="B55" s="1909"/>
      <c r="C55" s="1913" t="s">
        <v>4671</v>
      </c>
      <c r="D55" s="1910" t="s">
        <v>2226</v>
      </c>
      <c r="E55" s="1911">
        <v>38000</v>
      </c>
      <c r="F55" s="1911">
        <f t="shared" si="5"/>
        <v>42400</v>
      </c>
      <c r="G55" s="1912"/>
      <c r="H55" s="1912"/>
      <c r="I55" s="1911">
        <v>16701</v>
      </c>
      <c r="J55" s="1906" t="s">
        <v>956</v>
      </c>
      <c r="L55" s="1929" t="s">
        <v>5524</v>
      </c>
      <c r="M55" s="1930" t="s">
        <v>5498</v>
      </c>
      <c r="N55" s="1931">
        <v>3.488</v>
      </c>
      <c r="O55" s="1932">
        <f t="shared" si="6"/>
        <v>8824640</v>
      </c>
      <c r="P55" s="1932">
        <f t="shared" si="4"/>
        <v>339409</v>
      </c>
      <c r="Q55" s="1933">
        <v>3.488</v>
      </c>
    </row>
    <row r="56" spans="1:23" s="1907" customFormat="1" ht="15.75" customHeight="1">
      <c r="A56" s="1913" t="s">
        <v>1770</v>
      </c>
      <c r="B56" s="1909"/>
      <c r="C56" s="1913" t="s">
        <v>2258</v>
      </c>
      <c r="D56" s="1910" t="s">
        <v>2226</v>
      </c>
      <c r="E56" s="1988">
        <v>14000</v>
      </c>
      <c r="F56" s="1911">
        <f t="shared" ref="F56:F69" si="7">E56+4*ld</f>
        <v>22800</v>
      </c>
      <c r="G56" s="1912"/>
      <c r="H56" s="1912"/>
      <c r="I56" s="1911">
        <v>23100</v>
      </c>
      <c r="J56" s="1906" t="s">
        <v>956</v>
      </c>
      <c r="L56" s="1929" t="s">
        <v>5525</v>
      </c>
      <c r="M56" s="1930" t="s">
        <v>5500</v>
      </c>
      <c r="N56" s="1931">
        <v>3.5470000000000002</v>
      </c>
      <c r="O56" s="1932">
        <f t="shared" si="6"/>
        <v>8973910</v>
      </c>
      <c r="P56" s="1932">
        <f t="shared" si="4"/>
        <v>345150</v>
      </c>
      <c r="Q56" s="1933">
        <v>3.5470000000000002</v>
      </c>
    </row>
    <row r="57" spans="1:23" s="1907" customFormat="1" ht="15.75" customHeight="1">
      <c r="A57" s="1914" t="s">
        <v>2179</v>
      </c>
      <c r="B57" s="1934"/>
      <c r="C57" s="1913" t="s">
        <v>2259</v>
      </c>
      <c r="D57" s="1910" t="s">
        <v>2226</v>
      </c>
      <c r="E57" s="1988">
        <v>16000</v>
      </c>
      <c r="F57" s="1911">
        <f t="shared" si="7"/>
        <v>24800</v>
      </c>
      <c r="G57" s="1912"/>
      <c r="H57" s="1912"/>
      <c r="I57" s="1911">
        <v>25600</v>
      </c>
      <c r="J57" s="1906" t="s">
        <v>956</v>
      </c>
      <c r="K57" s="1915"/>
      <c r="L57" s="1929" t="s">
        <v>5526</v>
      </c>
      <c r="M57" s="1930" t="s">
        <v>5502</v>
      </c>
      <c r="N57" s="1931">
        <v>3.665</v>
      </c>
      <c r="O57" s="1932">
        <f t="shared" si="6"/>
        <v>9272450</v>
      </c>
      <c r="P57" s="1932">
        <f t="shared" si="4"/>
        <v>356633</v>
      </c>
      <c r="Q57" s="1933">
        <v>3.665</v>
      </c>
      <c r="R57" s="1915"/>
      <c r="S57" s="1915"/>
      <c r="T57" s="1915"/>
      <c r="U57" s="1915"/>
      <c r="V57" s="1915"/>
      <c r="W57" s="1915"/>
    </row>
    <row r="58" spans="1:23" s="1907" customFormat="1" ht="15.75" customHeight="1">
      <c r="A58" s="1914" t="s">
        <v>1041</v>
      </c>
      <c r="B58" s="1934"/>
      <c r="C58" s="1913" t="s">
        <v>2260</v>
      </c>
      <c r="D58" s="1910" t="s">
        <v>2226</v>
      </c>
      <c r="E58" s="1988">
        <v>18000</v>
      </c>
      <c r="F58" s="1911">
        <f t="shared" si="7"/>
        <v>26800</v>
      </c>
      <c r="G58" s="1912"/>
      <c r="H58" s="1912"/>
      <c r="I58" s="1911">
        <v>28100</v>
      </c>
      <c r="J58" s="1906" t="s">
        <v>956</v>
      </c>
      <c r="K58" s="1915"/>
      <c r="L58" s="1929" t="s">
        <v>5527</v>
      </c>
      <c r="M58" s="1930" t="s">
        <v>5504</v>
      </c>
      <c r="N58" s="1931">
        <v>3.96</v>
      </c>
      <c r="O58" s="1932">
        <f t="shared" si="6"/>
        <v>10018800</v>
      </c>
      <c r="P58" s="1932">
        <f t="shared" si="4"/>
        <v>385338</v>
      </c>
      <c r="Q58" s="1933">
        <v>3.96</v>
      </c>
      <c r="R58" s="1915"/>
      <c r="S58" s="1915"/>
      <c r="T58" s="1915"/>
      <c r="U58" s="1915"/>
      <c r="V58" s="1915"/>
      <c r="W58" s="1915"/>
    </row>
    <row r="59" spans="1:23" s="1907" customFormat="1" ht="15.75" customHeight="1">
      <c r="A59" s="1914" t="s">
        <v>1775</v>
      </c>
      <c r="B59" s="1934"/>
      <c r="C59" s="1913" t="s">
        <v>2261</v>
      </c>
      <c r="D59" s="1910" t="s">
        <v>2226</v>
      </c>
      <c r="E59" s="1988">
        <v>21000</v>
      </c>
      <c r="F59" s="1911">
        <f t="shared" si="7"/>
        <v>29800</v>
      </c>
      <c r="G59" s="1912"/>
      <c r="H59" s="1912"/>
      <c r="I59" s="1911">
        <v>30600</v>
      </c>
      <c r="J59" s="1906" t="s">
        <v>956</v>
      </c>
      <c r="L59" s="1935" t="s">
        <v>5528</v>
      </c>
      <c r="M59" s="1936" t="s">
        <v>5506</v>
      </c>
      <c r="N59" s="1937">
        <v>4.6500000000000004</v>
      </c>
      <c r="O59" s="1932">
        <f t="shared" si="6"/>
        <v>11764500</v>
      </c>
      <c r="P59" s="1932">
        <f t="shared" si="4"/>
        <v>452481</v>
      </c>
      <c r="Q59" s="1938">
        <v>4.6500000000000004</v>
      </c>
    </row>
    <row r="60" spans="1:23" s="1907" customFormat="1" ht="13.8">
      <c r="A60" s="1914" t="s">
        <v>1042</v>
      </c>
      <c r="B60" s="1934"/>
      <c r="C60" s="1913" t="s">
        <v>2262</v>
      </c>
      <c r="D60" s="1910" t="s">
        <v>2226</v>
      </c>
      <c r="E60" s="1988">
        <v>23000</v>
      </c>
      <c r="F60" s="1911">
        <f t="shared" si="7"/>
        <v>31800</v>
      </c>
      <c r="G60" s="1912"/>
      <c r="H60" s="1912"/>
      <c r="I60" s="1911">
        <v>33600</v>
      </c>
      <c r="J60" s="1906" t="s">
        <v>956</v>
      </c>
      <c r="K60" s="1915"/>
      <c r="L60" s="1939"/>
      <c r="M60" s="1939"/>
      <c r="N60" s="1939"/>
      <c r="O60" s="1939"/>
      <c r="P60" s="1939"/>
      <c r="Q60" s="1939"/>
      <c r="R60" s="1915"/>
      <c r="S60" s="1915"/>
      <c r="T60" s="1915"/>
      <c r="U60" s="1915"/>
      <c r="V60" s="1915"/>
      <c r="W60" s="1915"/>
    </row>
    <row r="61" spans="1:23" s="1907" customFormat="1" ht="17.399999999999999">
      <c r="A61" s="1914" t="s">
        <v>1679</v>
      </c>
      <c r="B61" s="1934"/>
      <c r="C61" s="1913" t="s">
        <v>2263</v>
      </c>
      <c r="D61" s="1910" t="s">
        <v>2226</v>
      </c>
      <c r="E61" s="1988">
        <v>24000</v>
      </c>
      <c r="F61" s="1911">
        <f t="shared" si="7"/>
        <v>32800</v>
      </c>
      <c r="G61" s="1912"/>
      <c r="H61" s="1912"/>
      <c r="I61" s="1911">
        <v>35700</v>
      </c>
      <c r="J61" s="1906" t="s">
        <v>956</v>
      </c>
      <c r="L61" s="2412" t="s">
        <v>5529</v>
      </c>
      <c r="M61" s="2412"/>
      <c r="N61" s="2412"/>
      <c r="O61" s="2412"/>
      <c r="P61" s="2412"/>
      <c r="Q61" s="1940"/>
    </row>
    <row r="62" spans="1:23" s="1907" customFormat="1" ht="15">
      <c r="A62" s="1913" t="s">
        <v>1039</v>
      </c>
      <c r="B62" s="1909"/>
      <c r="C62" s="1913" t="s">
        <v>2264</v>
      </c>
      <c r="D62" s="1910" t="s">
        <v>2226</v>
      </c>
      <c r="E62" s="1988">
        <v>26000</v>
      </c>
      <c r="F62" s="1911">
        <f t="shared" si="7"/>
        <v>34800</v>
      </c>
      <c r="G62" s="1912"/>
      <c r="H62" s="1912"/>
      <c r="I62" s="1911">
        <v>38200</v>
      </c>
      <c r="J62" s="1906" t="s">
        <v>956</v>
      </c>
      <c r="L62" s="2413" t="s">
        <v>5456</v>
      </c>
      <c r="M62" s="2413"/>
      <c r="N62" s="2413"/>
      <c r="O62" s="2413"/>
      <c r="P62" s="2413"/>
      <c r="Q62" s="1940"/>
    </row>
    <row r="63" spans="1:23" s="1907" customFormat="1" ht="15">
      <c r="A63" s="1914" t="s">
        <v>2180</v>
      </c>
      <c r="B63" s="1934"/>
      <c r="C63" s="1913" t="s">
        <v>2265</v>
      </c>
      <c r="D63" s="1910" t="s">
        <v>2226</v>
      </c>
      <c r="E63" s="1988">
        <v>28000</v>
      </c>
      <c r="F63" s="1911">
        <f t="shared" si="7"/>
        <v>36800</v>
      </c>
      <c r="G63" s="1912"/>
      <c r="H63" s="1912"/>
      <c r="I63" s="1911">
        <v>40700</v>
      </c>
      <c r="J63" s="1906" t="s">
        <v>956</v>
      </c>
      <c r="L63" s="2414" t="s">
        <v>5749</v>
      </c>
      <c r="M63" s="2414"/>
      <c r="N63" s="2414"/>
      <c r="O63" s="2414"/>
      <c r="P63" s="2414"/>
      <c r="Q63" s="1940"/>
    </row>
    <row r="64" spans="1:23" s="1907" customFormat="1" ht="15">
      <c r="A64" s="1914" t="s">
        <v>250</v>
      </c>
      <c r="B64" s="1934"/>
      <c r="C64" s="1913" t="s">
        <v>2266</v>
      </c>
      <c r="D64" s="1910" t="s">
        <v>2226</v>
      </c>
      <c r="E64" s="1988">
        <v>32000</v>
      </c>
      <c r="F64" s="1911">
        <f t="shared" si="7"/>
        <v>40800</v>
      </c>
      <c r="G64" s="1912"/>
      <c r="H64" s="1912"/>
      <c r="I64" s="1911">
        <v>43200</v>
      </c>
      <c r="J64" s="1906" t="s">
        <v>956</v>
      </c>
      <c r="L64" s="2415" t="s">
        <v>5457</v>
      </c>
      <c r="M64" s="2415"/>
      <c r="N64" s="2415"/>
      <c r="O64" s="2415"/>
      <c r="P64" s="2415"/>
      <c r="Q64" s="1940"/>
    </row>
    <row r="65" spans="1:17" s="1907" customFormat="1" ht="13.8">
      <c r="A65" s="1914" t="s">
        <v>152</v>
      </c>
      <c r="B65" s="1934"/>
      <c r="C65" s="1913" t="s">
        <v>2267</v>
      </c>
      <c r="D65" s="1910" t="s">
        <v>2226</v>
      </c>
      <c r="E65" s="1988">
        <v>36000</v>
      </c>
      <c r="F65" s="1911">
        <f t="shared" si="7"/>
        <v>44800</v>
      </c>
      <c r="G65" s="1912"/>
      <c r="H65" s="1912"/>
      <c r="I65" s="1911">
        <v>45800</v>
      </c>
      <c r="J65" s="1906" t="s">
        <v>956</v>
      </c>
      <c r="L65" s="2416" t="s">
        <v>5458</v>
      </c>
      <c r="M65" s="2416" t="s">
        <v>5530</v>
      </c>
      <c r="N65" s="2419" t="s">
        <v>5531</v>
      </c>
      <c r="O65" s="2419" t="s">
        <v>5532</v>
      </c>
      <c r="P65" s="2419" t="s">
        <v>5462</v>
      </c>
      <c r="Q65" s="2406" t="s">
        <v>5463</v>
      </c>
    </row>
    <row r="66" spans="1:17" s="1907" customFormat="1" ht="13.8">
      <c r="A66" s="1914" t="s">
        <v>151</v>
      </c>
      <c r="B66" s="1934"/>
      <c r="C66" s="1913" t="s">
        <v>2268</v>
      </c>
      <c r="D66" s="1910" t="s">
        <v>2226</v>
      </c>
      <c r="E66" s="1988">
        <v>40000</v>
      </c>
      <c r="F66" s="1911">
        <f t="shared" si="7"/>
        <v>48800</v>
      </c>
      <c r="G66" s="1912"/>
      <c r="H66" s="1912"/>
      <c r="I66" s="1911">
        <v>48300</v>
      </c>
      <c r="J66" s="1906" t="s">
        <v>956</v>
      </c>
      <c r="L66" s="2417"/>
      <c r="M66" s="2417"/>
      <c r="N66" s="2420"/>
      <c r="O66" s="2420"/>
      <c r="P66" s="2420"/>
      <c r="Q66" s="2407"/>
    </row>
    <row r="67" spans="1:17" s="1907" customFormat="1" ht="13.8">
      <c r="A67" s="1914" t="s">
        <v>1173</v>
      </c>
      <c r="B67" s="1934"/>
      <c r="C67" s="1913" t="s">
        <v>2269</v>
      </c>
      <c r="D67" s="1910" t="s">
        <v>2226</v>
      </c>
      <c r="E67" s="1988">
        <v>44000</v>
      </c>
      <c r="F67" s="1911">
        <f t="shared" si="7"/>
        <v>52800</v>
      </c>
      <c r="G67" s="1912"/>
      <c r="H67" s="1912"/>
      <c r="I67" s="1911">
        <v>50800</v>
      </c>
      <c r="J67" s="1906" t="s">
        <v>956</v>
      </c>
      <c r="L67" s="2418"/>
      <c r="M67" s="2418"/>
      <c r="N67" s="2421"/>
      <c r="O67" s="2421"/>
      <c r="P67" s="2421"/>
      <c r="Q67" s="2408"/>
    </row>
    <row r="68" spans="1:17" s="1907" customFormat="1" ht="15.75" customHeight="1">
      <c r="A68" s="1914" t="s">
        <v>685</v>
      </c>
      <c r="B68" s="1934"/>
      <c r="C68" s="1913" t="s">
        <v>2270</v>
      </c>
      <c r="D68" s="1910" t="s">
        <v>2226</v>
      </c>
      <c r="E68" s="1988">
        <v>47000</v>
      </c>
      <c r="F68" s="1911">
        <f t="shared" si="7"/>
        <v>55800</v>
      </c>
      <c r="G68" s="1912"/>
      <c r="H68" s="1912"/>
      <c r="I68" s="1911">
        <v>53300</v>
      </c>
      <c r="J68" s="1906" t="s">
        <v>956</v>
      </c>
      <c r="L68" s="1941" t="s">
        <v>5533</v>
      </c>
      <c r="M68" s="1942" t="s">
        <v>5534</v>
      </c>
      <c r="N68" s="1931">
        <v>2.65</v>
      </c>
      <c r="O68" s="1932">
        <f t="shared" ref="O68:O77" si="8">ROUND(N68*$O$6,0)</f>
        <v>6704500</v>
      </c>
      <c r="P68" s="1932">
        <f t="shared" ref="P68:P77" si="9">ROUND($O68/$O$7,0)</f>
        <v>257865</v>
      </c>
      <c r="Q68" s="1943">
        <v>2.34</v>
      </c>
    </row>
    <row r="69" spans="1:17" s="1907" customFormat="1" ht="15.75" customHeight="1">
      <c r="A69" s="1914" t="s">
        <v>4668</v>
      </c>
      <c r="B69" s="1934"/>
      <c r="C69" s="1913" t="s">
        <v>4670</v>
      </c>
      <c r="D69" s="1910" t="s">
        <v>2226</v>
      </c>
      <c r="E69" s="1911">
        <v>50000</v>
      </c>
      <c r="F69" s="1911">
        <f t="shared" si="7"/>
        <v>58800</v>
      </c>
      <c r="G69" s="1912"/>
      <c r="H69" s="1912"/>
      <c r="I69" s="1911">
        <v>53301</v>
      </c>
      <c r="J69" s="1906" t="s">
        <v>956</v>
      </c>
      <c r="L69" s="1944" t="s">
        <v>5535</v>
      </c>
      <c r="M69" s="1945" t="s">
        <v>5536</v>
      </c>
      <c r="N69" s="1931">
        <v>2.96</v>
      </c>
      <c r="O69" s="1932">
        <f t="shared" si="8"/>
        <v>7488800</v>
      </c>
      <c r="P69" s="1932">
        <f t="shared" si="9"/>
        <v>288031</v>
      </c>
      <c r="Q69" s="1946">
        <v>2.65</v>
      </c>
    </row>
    <row r="70" spans="1:17" s="1907" customFormat="1" ht="15.75" customHeight="1">
      <c r="A70" s="1914" t="s">
        <v>5779</v>
      </c>
      <c r="B70" s="1934"/>
      <c r="C70" s="1913" t="s">
        <v>4670</v>
      </c>
      <c r="D70" s="1910" t="s">
        <v>2226</v>
      </c>
      <c r="E70" s="1911">
        <v>50000</v>
      </c>
      <c r="F70" s="1911">
        <f>E70+4*ld</f>
        <v>58800</v>
      </c>
      <c r="G70" s="1912"/>
      <c r="H70" s="1912"/>
      <c r="I70" s="1911">
        <v>53301</v>
      </c>
      <c r="J70" s="1906" t="s">
        <v>956</v>
      </c>
      <c r="L70" s="1944" t="s">
        <v>5535</v>
      </c>
      <c r="M70" s="1945" t="s">
        <v>5536</v>
      </c>
      <c r="N70" s="1931">
        <v>2.96</v>
      </c>
      <c r="O70" s="1932">
        <f>ROUND(N70*$O$6,0)</f>
        <v>7488800</v>
      </c>
      <c r="P70" s="1932">
        <f t="shared" si="9"/>
        <v>288031</v>
      </c>
      <c r="Q70" s="1946">
        <v>2.65</v>
      </c>
    </row>
    <row r="71" spans="1:17" ht="15.75" customHeight="1">
      <c r="A71" s="25" t="s">
        <v>4669</v>
      </c>
      <c r="B71" s="668"/>
      <c r="C71" s="666" t="s">
        <v>5780</v>
      </c>
      <c r="D71" s="17" t="s">
        <v>2226</v>
      </c>
      <c r="E71" s="14">
        <v>71000</v>
      </c>
      <c r="F71" s="14">
        <f>E71+4*9500</f>
        <v>109000</v>
      </c>
      <c r="G71" s="18"/>
      <c r="H71" s="18"/>
      <c r="I71" s="14">
        <v>53302</v>
      </c>
      <c r="J71" s="13" t="s">
        <v>956</v>
      </c>
      <c r="L71" s="1683" t="s">
        <v>5537</v>
      </c>
      <c r="M71" s="1684" t="s">
        <v>5538</v>
      </c>
      <c r="N71" s="1670">
        <v>3.27</v>
      </c>
      <c r="O71" s="1666">
        <f t="shared" si="8"/>
        <v>8273100</v>
      </c>
      <c r="P71" s="1666">
        <f t="shared" si="9"/>
        <v>318196</v>
      </c>
      <c r="Q71" s="1685">
        <v>2.96</v>
      </c>
    </row>
    <row r="72" spans="1:17" ht="15.75" customHeight="1">
      <c r="A72" s="25" t="s">
        <v>2181</v>
      </c>
      <c r="B72" s="668"/>
      <c r="C72" s="25" t="s">
        <v>2271</v>
      </c>
      <c r="D72" s="17" t="s">
        <v>2226</v>
      </c>
      <c r="E72" s="14">
        <v>65900</v>
      </c>
      <c r="F72" s="14">
        <f t="shared" ref="F72:F86" si="10">E72+2*ld</f>
        <v>70300</v>
      </c>
      <c r="G72" s="18"/>
      <c r="H72" s="18"/>
      <c r="I72" s="14">
        <v>77500</v>
      </c>
      <c r="J72" s="13" t="s">
        <v>956</v>
      </c>
      <c r="L72" s="1683" t="s">
        <v>5539</v>
      </c>
      <c r="M72" s="1684" t="s">
        <v>5540</v>
      </c>
      <c r="N72" s="1670">
        <v>3.4249999999999998</v>
      </c>
      <c r="O72" s="1666">
        <f t="shared" si="8"/>
        <v>8665250</v>
      </c>
      <c r="P72" s="1666">
        <f t="shared" si="9"/>
        <v>333279</v>
      </c>
      <c r="Q72" s="1685">
        <v>3.27</v>
      </c>
    </row>
    <row r="73" spans="1:17" ht="15.75" customHeight="1">
      <c r="A73" s="25" t="s">
        <v>2182</v>
      </c>
      <c r="B73" s="668"/>
      <c r="C73" s="25" t="s">
        <v>2271</v>
      </c>
      <c r="D73" s="17" t="s">
        <v>2226</v>
      </c>
      <c r="E73" s="14">
        <v>71400</v>
      </c>
      <c r="F73" s="14">
        <f t="shared" si="10"/>
        <v>75800</v>
      </c>
      <c r="G73" s="18"/>
      <c r="H73" s="18"/>
      <c r="I73" s="14">
        <v>83000</v>
      </c>
      <c r="J73" s="13" t="s">
        <v>956</v>
      </c>
      <c r="L73" s="1683" t="s">
        <v>5541</v>
      </c>
      <c r="M73" s="1684" t="s">
        <v>5542</v>
      </c>
      <c r="N73" s="1670">
        <v>3.58</v>
      </c>
      <c r="O73" s="1666">
        <f t="shared" si="8"/>
        <v>9057400</v>
      </c>
      <c r="P73" s="1666">
        <f t="shared" si="9"/>
        <v>348362</v>
      </c>
      <c r="Q73" s="1685">
        <v>3.4249999999999998</v>
      </c>
    </row>
    <row r="74" spans="1:17" ht="15.75" customHeight="1">
      <c r="A74" s="25" t="s">
        <v>2183</v>
      </c>
      <c r="B74" s="668"/>
      <c r="C74" s="25" t="s">
        <v>2271</v>
      </c>
      <c r="D74" s="17" t="s">
        <v>2226</v>
      </c>
      <c r="E74" s="14">
        <v>76900</v>
      </c>
      <c r="F74" s="14">
        <f t="shared" si="10"/>
        <v>81300</v>
      </c>
      <c r="G74" s="18"/>
      <c r="H74" s="18"/>
      <c r="I74" s="14">
        <v>88500</v>
      </c>
      <c r="J74" s="13" t="s">
        <v>956</v>
      </c>
      <c r="L74" s="1683" t="s">
        <v>5543</v>
      </c>
      <c r="M74" s="1684" t="s">
        <v>5544</v>
      </c>
      <c r="N74" s="1670">
        <v>3.89</v>
      </c>
      <c r="O74" s="1666">
        <f t="shared" si="8"/>
        <v>9841700</v>
      </c>
      <c r="P74" s="1666">
        <f t="shared" si="9"/>
        <v>378527</v>
      </c>
      <c r="Q74" s="1685">
        <v>3.58</v>
      </c>
    </row>
    <row r="75" spans="1:17" ht="15.75" customHeight="1">
      <c r="A75" s="25" t="s">
        <v>2184</v>
      </c>
      <c r="B75" s="668"/>
      <c r="C75" s="25" t="s">
        <v>2271</v>
      </c>
      <c r="D75" s="17" t="s">
        <v>2226</v>
      </c>
      <c r="E75" s="14">
        <v>82300</v>
      </c>
      <c r="F75" s="14">
        <f t="shared" si="10"/>
        <v>86700</v>
      </c>
      <c r="G75" s="18"/>
      <c r="H75" s="18"/>
      <c r="I75" s="14">
        <v>93900</v>
      </c>
      <c r="J75" s="13" t="s">
        <v>956</v>
      </c>
      <c r="L75" s="1683" t="s">
        <v>5545</v>
      </c>
      <c r="M75" s="1684" t="s">
        <v>5546</v>
      </c>
      <c r="N75" s="1670">
        <v>4.2</v>
      </c>
      <c r="O75" s="1666">
        <f t="shared" si="8"/>
        <v>10626000</v>
      </c>
      <c r="P75" s="1666">
        <f t="shared" si="9"/>
        <v>408692</v>
      </c>
      <c r="Q75" s="1685">
        <v>3.89</v>
      </c>
    </row>
    <row r="76" spans="1:17" ht="15.75" customHeight="1">
      <c r="A76" s="25" t="s">
        <v>251</v>
      </c>
      <c r="B76" s="668"/>
      <c r="C76" s="25" t="s">
        <v>2272</v>
      </c>
      <c r="D76" s="17" t="s">
        <v>2226</v>
      </c>
      <c r="E76" s="14">
        <v>65900</v>
      </c>
      <c r="F76" s="14">
        <f t="shared" si="10"/>
        <v>70300</v>
      </c>
      <c r="G76" s="18"/>
      <c r="H76" s="18"/>
      <c r="I76" s="14">
        <v>77500</v>
      </c>
      <c r="J76" s="13" t="s">
        <v>956</v>
      </c>
      <c r="L76" s="1683" t="s">
        <v>5547</v>
      </c>
      <c r="M76" s="1684" t="s">
        <v>5548</v>
      </c>
      <c r="N76" s="1680">
        <v>4.51</v>
      </c>
      <c r="O76" s="1666">
        <f t="shared" si="8"/>
        <v>11410300</v>
      </c>
      <c r="P76" s="1666">
        <f t="shared" si="9"/>
        <v>438858</v>
      </c>
      <c r="Q76" s="1685">
        <v>4.2</v>
      </c>
    </row>
    <row r="77" spans="1:17" ht="15.75" customHeight="1">
      <c r="A77" s="666" t="s">
        <v>2019</v>
      </c>
      <c r="B77" s="26"/>
      <c r="C77" s="666" t="s">
        <v>2273</v>
      </c>
      <c r="D77" s="17" t="s">
        <v>2226</v>
      </c>
      <c r="E77" s="14">
        <v>71400</v>
      </c>
      <c r="F77" s="14">
        <f t="shared" si="10"/>
        <v>75800</v>
      </c>
      <c r="G77" s="18"/>
      <c r="H77" s="18"/>
      <c r="I77" s="14">
        <v>83000</v>
      </c>
      <c r="J77" s="13" t="s">
        <v>956</v>
      </c>
      <c r="L77" s="1686" t="s">
        <v>5549</v>
      </c>
      <c r="M77" s="1687" t="s">
        <v>5550</v>
      </c>
      <c r="N77" s="1680">
        <v>4.51</v>
      </c>
      <c r="O77" s="1666">
        <f t="shared" si="8"/>
        <v>11410300</v>
      </c>
      <c r="P77" s="1666">
        <f t="shared" si="9"/>
        <v>438858</v>
      </c>
      <c r="Q77" s="1688">
        <v>4.51</v>
      </c>
    </row>
    <row r="78" spans="1:17" s="1907" customFormat="1">
      <c r="A78" s="1913" t="s">
        <v>2020</v>
      </c>
      <c r="B78" s="1909"/>
      <c r="C78" s="1913" t="s">
        <v>2274</v>
      </c>
      <c r="D78" s="1910" t="s">
        <v>2226</v>
      </c>
      <c r="E78" s="1911">
        <v>78000</v>
      </c>
      <c r="F78" s="1911">
        <f t="shared" si="10"/>
        <v>82400</v>
      </c>
      <c r="G78" s="1912"/>
      <c r="H78" s="1912"/>
      <c r="I78" s="1911">
        <v>88500</v>
      </c>
      <c r="J78" s="1906" t="s">
        <v>956</v>
      </c>
    </row>
    <row r="79" spans="1:17">
      <c r="A79" s="25" t="s">
        <v>300</v>
      </c>
      <c r="B79" s="668" t="s">
        <v>312</v>
      </c>
      <c r="C79" s="25" t="s">
        <v>2275</v>
      </c>
      <c r="D79" s="17" t="s">
        <v>2226</v>
      </c>
      <c r="E79" s="14">
        <v>82300</v>
      </c>
      <c r="F79" s="14">
        <f t="shared" si="10"/>
        <v>86700</v>
      </c>
      <c r="G79" s="18"/>
      <c r="H79" s="18"/>
      <c r="I79" s="14">
        <v>93900</v>
      </c>
      <c r="J79" s="13" t="s">
        <v>956</v>
      </c>
    </row>
    <row r="80" spans="1:17">
      <c r="A80" s="25" t="s">
        <v>2021</v>
      </c>
      <c r="B80" s="668"/>
      <c r="C80" s="25" t="s">
        <v>2276</v>
      </c>
      <c r="D80" s="17" t="s">
        <v>2226</v>
      </c>
      <c r="E80" s="14">
        <v>87800</v>
      </c>
      <c r="F80" s="14">
        <f t="shared" si="10"/>
        <v>92200</v>
      </c>
      <c r="G80" s="18"/>
      <c r="H80" s="18"/>
      <c r="I80" s="14">
        <v>99400</v>
      </c>
      <c r="J80" s="13" t="s">
        <v>956</v>
      </c>
    </row>
    <row r="81" spans="1:10">
      <c r="A81" s="25" t="s">
        <v>869</v>
      </c>
      <c r="B81" s="668"/>
      <c r="C81" s="25" t="s">
        <v>2277</v>
      </c>
      <c r="D81" s="17" t="s">
        <v>2226</v>
      </c>
      <c r="E81" s="14">
        <v>93200</v>
      </c>
      <c r="F81" s="14">
        <f t="shared" si="10"/>
        <v>97600</v>
      </c>
      <c r="G81" s="18"/>
      <c r="H81" s="18"/>
      <c r="I81" s="14">
        <v>104800</v>
      </c>
      <c r="J81" s="13" t="s">
        <v>956</v>
      </c>
    </row>
    <row r="82" spans="1:10">
      <c r="A82" s="25" t="s">
        <v>1551</v>
      </c>
      <c r="B82" s="668"/>
      <c r="C82" s="25" t="s">
        <v>2278</v>
      </c>
      <c r="D82" s="17" t="s">
        <v>2226</v>
      </c>
      <c r="E82" s="14">
        <v>98700</v>
      </c>
      <c r="F82" s="14">
        <f t="shared" si="10"/>
        <v>103100</v>
      </c>
      <c r="G82" s="18"/>
      <c r="H82" s="18"/>
      <c r="I82" s="14">
        <v>110300</v>
      </c>
      <c r="J82" s="13" t="s">
        <v>956</v>
      </c>
    </row>
    <row r="83" spans="1:10">
      <c r="A83" s="25" t="s">
        <v>301</v>
      </c>
      <c r="B83" s="668"/>
      <c r="C83" s="25" t="s">
        <v>2279</v>
      </c>
      <c r="D83" s="17" t="s">
        <v>2226</v>
      </c>
      <c r="E83" s="14">
        <v>104200</v>
      </c>
      <c r="F83" s="14">
        <f t="shared" si="10"/>
        <v>108600</v>
      </c>
      <c r="G83" s="18"/>
      <c r="H83" s="18"/>
      <c r="I83" s="14">
        <v>115800</v>
      </c>
      <c r="J83" s="13" t="s">
        <v>956</v>
      </c>
    </row>
    <row r="84" spans="1:10">
      <c r="A84" s="25" t="s">
        <v>949</v>
      </c>
      <c r="B84" s="668"/>
      <c r="C84" s="25" t="s">
        <v>2280</v>
      </c>
      <c r="D84" s="17" t="s">
        <v>2226</v>
      </c>
      <c r="E84" s="14">
        <v>109600</v>
      </c>
      <c r="F84" s="14">
        <f t="shared" si="10"/>
        <v>114000</v>
      </c>
      <c r="G84" s="18"/>
      <c r="H84" s="18"/>
      <c r="I84" s="14">
        <v>121200</v>
      </c>
      <c r="J84" s="13" t="s">
        <v>956</v>
      </c>
    </row>
    <row r="85" spans="1:10">
      <c r="A85" s="25" t="s">
        <v>1045</v>
      </c>
      <c r="B85" s="668"/>
      <c r="C85" s="25" t="s">
        <v>2281</v>
      </c>
      <c r="D85" s="17" t="s">
        <v>2226</v>
      </c>
      <c r="E85" s="14">
        <v>126000</v>
      </c>
      <c r="F85" s="14">
        <f t="shared" si="10"/>
        <v>130400</v>
      </c>
      <c r="G85" s="18"/>
      <c r="H85" s="18"/>
      <c r="I85" s="14">
        <v>137600</v>
      </c>
      <c r="J85" s="13" t="s">
        <v>956</v>
      </c>
    </row>
    <row r="86" spans="1:10">
      <c r="A86" s="25" t="s">
        <v>81</v>
      </c>
      <c r="B86" s="668"/>
      <c r="C86" s="25" t="s">
        <v>2282</v>
      </c>
      <c r="D86" s="17" t="s">
        <v>2226</v>
      </c>
      <c r="E86" s="14">
        <v>75000</v>
      </c>
      <c r="F86" s="14">
        <f t="shared" si="10"/>
        <v>79400</v>
      </c>
      <c r="G86" s="18"/>
      <c r="H86" s="18"/>
      <c r="I86" s="14">
        <v>39600</v>
      </c>
      <c r="J86" s="13" t="s">
        <v>956</v>
      </c>
    </row>
    <row r="87" spans="1:10">
      <c r="A87" s="25" t="s">
        <v>950</v>
      </c>
      <c r="B87" s="668"/>
      <c r="C87" s="25" t="s">
        <v>2283</v>
      </c>
      <c r="D87" s="17" t="s">
        <v>2226</v>
      </c>
      <c r="E87" s="14"/>
      <c r="F87" s="14">
        <v>52800</v>
      </c>
      <c r="G87" s="18"/>
      <c r="H87" s="18"/>
      <c r="I87" s="14">
        <v>52800</v>
      </c>
      <c r="J87" s="13" t="s">
        <v>956</v>
      </c>
    </row>
    <row r="88" spans="1:10">
      <c r="A88" s="25" t="s">
        <v>951</v>
      </c>
      <c r="B88" s="668"/>
      <c r="C88" s="25" t="s">
        <v>2284</v>
      </c>
      <c r="D88" s="17" t="s">
        <v>2226</v>
      </c>
      <c r="E88" s="14"/>
      <c r="F88" s="14">
        <v>60000</v>
      </c>
      <c r="G88" s="18"/>
      <c r="H88" s="18"/>
      <c r="I88" s="14">
        <v>60000</v>
      </c>
      <c r="J88" s="13" t="s">
        <v>956</v>
      </c>
    </row>
    <row r="89" spans="1:10">
      <c r="A89" s="25" t="s">
        <v>2022</v>
      </c>
      <c r="B89" s="668"/>
      <c r="C89" s="666" t="s">
        <v>4922</v>
      </c>
      <c r="D89" s="17" t="s">
        <v>2226</v>
      </c>
      <c r="E89" s="14">
        <v>27300</v>
      </c>
      <c r="F89" s="14">
        <f t="shared" ref="F89:F95" si="11">E89+1*ld</f>
        <v>29500</v>
      </c>
      <c r="G89" s="18"/>
      <c r="H89" s="18"/>
      <c r="I89" s="14">
        <v>31700</v>
      </c>
      <c r="J89" s="13" t="s">
        <v>956</v>
      </c>
    </row>
    <row r="90" spans="1:10" ht="13.8">
      <c r="A90" s="25" t="s">
        <v>1432</v>
      </c>
      <c r="B90" s="668"/>
      <c r="C90" s="666" t="s">
        <v>4923</v>
      </c>
      <c r="D90" s="17" t="s">
        <v>2226</v>
      </c>
      <c r="E90" s="1989">
        <v>27000</v>
      </c>
      <c r="F90" s="14">
        <f t="shared" si="11"/>
        <v>29200</v>
      </c>
      <c r="G90" s="18"/>
      <c r="H90" s="18"/>
      <c r="I90" s="14">
        <v>31700</v>
      </c>
      <c r="J90" s="13" t="s">
        <v>956</v>
      </c>
    </row>
    <row r="91" spans="1:10" ht="13.8">
      <c r="A91" s="25" t="s">
        <v>366</v>
      </c>
      <c r="B91" s="668"/>
      <c r="C91" s="666" t="s">
        <v>4924</v>
      </c>
      <c r="D91" s="17" t="s">
        <v>2226</v>
      </c>
      <c r="E91" s="1989">
        <v>30000</v>
      </c>
      <c r="F91" s="14">
        <f t="shared" si="11"/>
        <v>32200</v>
      </c>
      <c r="G91" s="18"/>
      <c r="H91" s="18"/>
      <c r="I91" s="14">
        <v>34400</v>
      </c>
      <c r="J91" s="13" t="s">
        <v>956</v>
      </c>
    </row>
    <row r="92" spans="1:10">
      <c r="A92" s="25" t="s">
        <v>4689</v>
      </c>
      <c r="B92" s="668"/>
      <c r="C92" s="666" t="s">
        <v>4925</v>
      </c>
      <c r="D92" s="17" t="s">
        <v>2226</v>
      </c>
      <c r="E92" s="14">
        <f>E91*2</f>
        <v>60000</v>
      </c>
      <c r="F92" s="14">
        <f t="shared" si="11"/>
        <v>62200</v>
      </c>
      <c r="G92" s="18"/>
      <c r="H92" s="18"/>
      <c r="I92" s="14">
        <v>34401</v>
      </c>
      <c r="J92" s="13" t="s">
        <v>956</v>
      </c>
    </row>
    <row r="93" spans="1:10" ht="13.8">
      <c r="A93" s="25" t="s">
        <v>800</v>
      </c>
      <c r="B93" s="668"/>
      <c r="C93" s="666" t="s">
        <v>4926</v>
      </c>
      <c r="D93" s="17" t="s">
        <v>2226</v>
      </c>
      <c r="E93" s="1989">
        <v>26000</v>
      </c>
      <c r="F93" s="14">
        <f t="shared" si="11"/>
        <v>28200</v>
      </c>
      <c r="G93" s="18"/>
      <c r="H93" s="18"/>
      <c r="I93" s="14">
        <v>32400</v>
      </c>
      <c r="J93" s="13" t="s">
        <v>956</v>
      </c>
    </row>
    <row r="94" spans="1:10" ht="13.8">
      <c r="A94" s="25" t="s">
        <v>801</v>
      </c>
      <c r="B94" s="668"/>
      <c r="C94" s="666" t="s">
        <v>4927</v>
      </c>
      <c r="D94" s="17" t="s">
        <v>2226</v>
      </c>
      <c r="E94" s="1989">
        <v>28000</v>
      </c>
      <c r="F94" s="14">
        <f t="shared" si="11"/>
        <v>30200</v>
      </c>
      <c r="G94" s="18"/>
      <c r="H94" s="18"/>
      <c r="I94" s="14">
        <v>35400</v>
      </c>
      <c r="J94" s="13" t="s">
        <v>956</v>
      </c>
    </row>
    <row r="95" spans="1:10">
      <c r="A95" s="25" t="s">
        <v>4100</v>
      </c>
      <c r="B95" s="668"/>
      <c r="C95" s="666" t="s">
        <v>4928</v>
      </c>
      <c r="D95" s="17" t="s">
        <v>2226</v>
      </c>
      <c r="E95" s="14">
        <v>47000</v>
      </c>
      <c r="F95" s="14">
        <f t="shared" si="11"/>
        <v>49200</v>
      </c>
      <c r="G95" s="18"/>
      <c r="H95" s="18"/>
      <c r="I95" s="14">
        <v>35401</v>
      </c>
      <c r="J95" s="13" t="s">
        <v>956</v>
      </c>
    </row>
    <row r="96" spans="1:10">
      <c r="A96" s="25" t="s">
        <v>656</v>
      </c>
      <c r="B96" s="26"/>
      <c r="C96" s="16" t="s">
        <v>2285</v>
      </c>
      <c r="D96" s="17" t="s">
        <v>2118</v>
      </c>
      <c r="E96" s="14"/>
      <c r="F96" s="14">
        <v>1500</v>
      </c>
      <c r="G96" s="18"/>
      <c r="H96" s="18"/>
      <c r="I96" s="14">
        <v>1800</v>
      </c>
      <c r="J96" s="13" t="s">
        <v>450</v>
      </c>
    </row>
    <row r="97" spans="1:10">
      <c r="A97" s="25" t="s">
        <v>1862</v>
      </c>
      <c r="B97" s="26"/>
      <c r="C97" s="16" t="s">
        <v>2286</v>
      </c>
      <c r="D97" s="17" t="s">
        <v>2118</v>
      </c>
      <c r="E97" s="14"/>
      <c r="F97" s="14">
        <v>2200</v>
      </c>
      <c r="G97" s="18"/>
      <c r="H97" s="18"/>
      <c r="I97" s="14">
        <v>2200</v>
      </c>
      <c r="J97" s="13" t="s">
        <v>450</v>
      </c>
    </row>
    <row r="98" spans="1:10">
      <c r="A98" s="25" t="s">
        <v>1863</v>
      </c>
      <c r="B98" s="26"/>
      <c r="C98" s="16" t="s">
        <v>2287</v>
      </c>
      <c r="D98" s="17" t="s">
        <v>2118</v>
      </c>
      <c r="E98" s="14"/>
      <c r="F98" s="14">
        <v>5900</v>
      </c>
      <c r="G98" s="18"/>
      <c r="H98" s="18"/>
      <c r="I98" s="14">
        <v>5800</v>
      </c>
      <c r="J98" s="13" t="s">
        <v>450</v>
      </c>
    </row>
    <row r="99" spans="1:10" ht="13.8">
      <c r="A99" s="25" t="s">
        <v>1310</v>
      </c>
      <c r="B99" s="668"/>
      <c r="C99" s="16" t="s">
        <v>2288</v>
      </c>
      <c r="D99" s="15" t="s">
        <v>2113</v>
      </c>
      <c r="E99" s="1990"/>
      <c r="F99" s="1989">
        <v>34000</v>
      </c>
      <c r="G99" s="1991"/>
      <c r="H99" s="670"/>
      <c r="I99" s="14">
        <v>38000</v>
      </c>
      <c r="J99" s="13" t="s">
        <v>956</v>
      </c>
    </row>
    <row r="100" spans="1:10" ht="13.8">
      <c r="A100" s="25" t="s">
        <v>527</v>
      </c>
      <c r="B100" s="668"/>
      <c r="C100" s="16" t="s">
        <v>2289</v>
      </c>
      <c r="D100" s="15" t="s">
        <v>2113</v>
      </c>
      <c r="E100" s="1990"/>
      <c r="F100" s="1989">
        <v>34000</v>
      </c>
      <c r="G100" s="1991"/>
      <c r="H100" s="670"/>
      <c r="I100" s="14"/>
      <c r="J100" s="13" t="s">
        <v>956</v>
      </c>
    </row>
    <row r="101" spans="1:10" s="1907" customFormat="1" ht="13.8">
      <c r="A101" s="1908" t="s">
        <v>946</v>
      </c>
      <c r="B101" s="1909"/>
      <c r="C101" s="1908" t="s">
        <v>2290</v>
      </c>
      <c r="D101" s="1910" t="s">
        <v>2226</v>
      </c>
      <c r="E101" s="1911"/>
      <c r="F101" s="1988">
        <v>65000</v>
      </c>
      <c r="G101" s="1912"/>
      <c r="H101" s="1912"/>
      <c r="I101" s="1911">
        <v>59000</v>
      </c>
      <c r="J101" s="1906" t="s">
        <v>956</v>
      </c>
    </row>
    <row r="102" spans="1:10">
      <c r="A102" s="25" t="s">
        <v>1734</v>
      </c>
      <c r="B102" s="668" t="s">
        <v>1722</v>
      </c>
      <c r="C102" s="666" t="s">
        <v>2291</v>
      </c>
      <c r="D102" s="17" t="s">
        <v>2292</v>
      </c>
      <c r="E102" s="14"/>
      <c r="F102" s="14">
        <v>10000</v>
      </c>
      <c r="G102" s="14">
        <v>1394</v>
      </c>
      <c r="H102" s="18"/>
      <c r="I102" s="14">
        <v>10000</v>
      </c>
      <c r="J102" s="13" t="s">
        <v>1489</v>
      </c>
    </row>
    <row r="103" spans="1:10">
      <c r="A103" s="25" t="s">
        <v>1570</v>
      </c>
      <c r="B103" s="668" t="s">
        <v>1722</v>
      </c>
      <c r="C103" s="25" t="s">
        <v>2293</v>
      </c>
      <c r="D103" s="17" t="s">
        <v>2292</v>
      </c>
      <c r="E103" s="14"/>
      <c r="F103" s="14">
        <v>12500</v>
      </c>
      <c r="G103" s="14">
        <v>1672</v>
      </c>
      <c r="H103" s="18"/>
      <c r="I103" s="14">
        <v>12500</v>
      </c>
      <c r="J103" s="13" t="s">
        <v>1489</v>
      </c>
    </row>
    <row r="104" spans="1:10">
      <c r="A104" s="25" t="s">
        <v>387</v>
      </c>
      <c r="B104" s="668" t="s">
        <v>1722</v>
      </c>
      <c r="C104" s="25" t="s">
        <v>389</v>
      </c>
      <c r="D104" s="17" t="s">
        <v>2118</v>
      </c>
      <c r="E104" s="14"/>
      <c r="F104" s="14">
        <v>325000</v>
      </c>
      <c r="G104" s="14">
        <v>1672</v>
      </c>
      <c r="H104" s="18"/>
      <c r="I104" s="14">
        <v>325000</v>
      </c>
      <c r="J104" s="13" t="s">
        <v>1638</v>
      </c>
    </row>
    <row r="105" spans="1:10">
      <c r="A105" s="25" t="s">
        <v>388</v>
      </c>
      <c r="B105" s="668" t="s">
        <v>1722</v>
      </c>
      <c r="C105" s="25" t="s">
        <v>390</v>
      </c>
      <c r="D105" s="17" t="s">
        <v>2118</v>
      </c>
      <c r="E105" s="14"/>
      <c r="F105" s="14">
        <v>175000</v>
      </c>
      <c r="G105" s="14">
        <v>1672</v>
      </c>
      <c r="H105" s="18"/>
      <c r="I105" s="14">
        <v>175000</v>
      </c>
      <c r="J105" s="13" t="s">
        <v>1638</v>
      </c>
    </row>
    <row r="106" spans="1:10">
      <c r="A106" s="25" t="s">
        <v>1555</v>
      </c>
      <c r="B106" s="668" t="s">
        <v>1722</v>
      </c>
      <c r="C106" s="25" t="s">
        <v>2294</v>
      </c>
      <c r="D106" s="17" t="s">
        <v>2292</v>
      </c>
      <c r="E106" s="14"/>
      <c r="F106" s="14">
        <v>15000</v>
      </c>
      <c r="G106" s="14">
        <v>2787</v>
      </c>
      <c r="H106" s="18"/>
      <c r="I106" s="14">
        <v>15000</v>
      </c>
      <c r="J106" s="13" t="s">
        <v>1489</v>
      </c>
    </row>
    <row r="107" spans="1:10">
      <c r="A107" s="16" t="s">
        <v>427</v>
      </c>
      <c r="B107" s="26"/>
      <c r="C107" s="16" t="s">
        <v>2295</v>
      </c>
      <c r="D107" s="17" t="s">
        <v>2296</v>
      </c>
      <c r="E107" s="14"/>
      <c r="F107" s="14">
        <v>100000</v>
      </c>
      <c r="G107" s="18"/>
      <c r="H107" s="18"/>
      <c r="I107" s="14">
        <v>100000</v>
      </c>
      <c r="J107" s="13" t="s">
        <v>868</v>
      </c>
    </row>
    <row r="108" spans="1:10">
      <c r="A108" s="16" t="s">
        <v>3755</v>
      </c>
      <c r="B108" s="26"/>
      <c r="C108" s="16" t="s">
        <v>2297</v>
      </c>
      <c r="D108" s="17" t="s">
        <v>2298</v>
      </c>
      <c r="E108" s="14"/>
      <c r="F108" s="14">
        <v>100000</v>
      </c>
      <c r="G108" s="18"/>
      <c r="H108" s="18"/>
      <c r="I108" s="14">
        <v>100000</v>
      </c>
      <c r="J108" s="13" t="s">
        <v>868</v>
      </c>
    </row>
    <row r="109" spans="1:10">
      <c r="A109" s="666" t="s">
        <v>560</v>
      </c>
      <c r="B109" s="26"/>
      <c r="C109" s="666" t="s">
        <v>2299</v>
      </c>
      <c r="D109" s="17" t="s">
        <v>1557</v>
      </c>
      <c r="E109" s="14"/>
      <c r="F109" s="14">
        <f>+F111</f>
        <v>255500</v>
      </c>
      <c r="G109" s="18"/>
      <c r="H109" s="18"/>
      <c r="I109" s="14"/>
      <c r="J109" s="13" t="s">
        <v>868</v>
      </c>
    </row>
    <row r="110" spans="1:10">
      <c r="A110" s="666" t="s">
        <v>1556</v>
      </c>
      <c r="B110" s="26"/>
      <c r="C110" s="666" t="s">
        <v>2300</v>
      </c>
      <c r="D110" s="17" t="s">
        <v>1557</v>
      </c>
      <c r="E110" s="14"/>
      <c r="F110" s="14">
        <f>+F111</f>
        <v>255500</v>
      </c>
      <c r="G110" s="18"/>
      <c r="H110" s="18"/>
      <c r="I110" s="14">
        <v>249200</v>
      </c>
      <c r="J110" s="13" t="s">
        <v>868</v>
      </c>
    </row>
    <row r="111" spans="1:10">
      <c r="A111" s="666" t="s">
        <v>1200</v>
      </c>
      <c r="B111" s="26"/>
      <c r="C111" s="666" t="s">
        <v>2301</v>
      </c>
      <c r="D111" s="17" t="s">
        <v>1557</v>
      </c>
      <c r="E111" s="14"/>
      <c r="F111" s="707">
        <v>255500</v>
      </c>
      <c r="G111" s="18"/>
      <c r="H111" s="18"/>
      <c r="I111" s="14">
        <v>34000</v>
      </c>
      <c r="J111" s="13" t="s">
        <v>868</v>
      </c>
    </row>
    <row r="112" spans="1:10">
      <c r="A112" s="666" t="s">
        <v>1984</v>
      </c>
      <c r="B112" s="26"/>
      <c r="C112" s="666" t="s">
        <v>2302</v>
      </c>
      <c r="D112" s="17" t="s">
        <v>1557</v>
      </c>
      <c r="E112" s="14"/>
      <c r="F112" s="14">
        <f>+F111</f>
        <v>255500</v>
      </c>
      <c r="G112" s="18"/>
      <c r="H112" s="18"/>
      <c r="I112" s="14">
        <v>246700</v>
      </c>
      <c r="J112" s="13" t="s">
        <v>868</v>
      </c>
    </row>
    <row r="113" spans="1:12">
      <c r="A113" s="16" t="s">
        <v>645</v>
      </c>
      <c r="B113" s="26"/>
      <c r="C113" s="16" t="s">
        <v>2303</v>
      </c>
      <c r="D113" s="17" t="s">
        <v>2304</v>
      </c>
      <c r="E113" s="14"/>
      <c r="F113" s="14">
        <v>100000</v>
      </c>
      <c r="G113" s="18"/>
      <c r="H113" s="18"/>
      <c r="I113" s="14"/>
      <c r="J113" s="13" t="s">
        <v>868</v>
      </c>
    </row>
    <row r="114" spans="1:12">
      <c r="A114" s="666" t="s">
        <v>1810</v>
      </c>
      <c r="B114" s="26"/>
      <c r="C114" s="666" t="s">
        <v>2305</v>
      </c>
      <c r="D114" s="17" t="s">
        <v>1557</v>
      </c>
      <c r="E114" s="14"/>
      <c r="F114" s="14">
        <v>246700</v>
      </c>
      <c r="G114" s="18"/>
      <c r="H114" s="18"/>
      <c r="I114" s="14">
        <v>246700</v>
      </c>
      <c r="J114" s="13" t="s">
        <v>868</v>
      </c>
    </row>
    <row r="115" spans="1:12">
      <c r="A115" s="16" t="s">
        <v>4907</v>
      </c>
      <c r="B115" s="26"/>
      <c r="C115" s="16" t="s">
        <v>4909</v>
      </c>
      <c r="D115" s="17" t="s">
        <v>2307</v>
      </c>
      <c r="E115" s="14"/>
      <c r="F115" s="14">
        <v>99600</v>
      </c>
      <c r="G115" s="18"/>
      <c r="H115" s="18"/>
      <c r="I115" s="14">
        <v>84200</v>
      </c>
      <c r="J115" s="13" t="s">
        <v>2016</v>
      </c>
    </row>
    <row r="116" spans="1:12">
      <c r="A116" s="16" t="s">
        <v>4908</v>
      </c>
      <c r="B116" s="26"/>
      <c r="C116" s="16" t="s">
        <v>4910</v>
      </c>
      <c r="D116" s="17" t="s">
        <v>2307</v>
      </c>
      <c r="E116" s="14"/>
      <c r="F116" s="14">
        <v>149500</v>
      </c>
      <c r="G116" s="18"/>
      <c r="H116" s="18"/>
      <c r="I116" s="14">
        <v>145800</v>
      </c>
      <c r="J116" s="13" t="s">
        <v>2016</v>
      </c>
    </row>
    <row r="117" spans="1:12">
      <c r="A117" s="16" t="s">
        <v>5715</v>
      </c>
      <c r="B117" s="26"/>
      <c r="C117" s="16" t="s">
        <v>5716</v>
      </c>
      <c r="D117" s="17" t="s">
        <v>2307</v>
      </c>
      <c r="E117" s="14"/>
      <c r="F117" s="14">
        <v>201500</v>
      </c>
      <c r="G117" s="18"/>
      <c r="H117" s="18"/>
      <c r="I117" s="14">
        <v>145800</v>
      </c>
      <c r="J117" s="13" t="s">
        <v>2016</v>
      </c>
    </row>
    <row r="118" spans="1:12">
      <c r="A118" s="16" t="s">
        <v>2072</v>
      </c>
      <c r="B118" s="26"/>
      <c r="C118" s="16" t="s">
        <v>2306</v>
      </c>
      <c r="D118" s="17" t="s">
        <v>2307</v>
      </c>
      <c r="E118" s="14"/>
      <c r="F118" s="14">
        <v>75000</v>
      </c>
      <c r="G118" s="18"/>
      <c r="H118" s="18"/>
      <c r="I118" s="14">
        <v>75000</v>
      </c>
      <c r="J118" s="13" t="s">
        <v>2016</v>
      </c>
    </row>
    <row r="119" spans="1:12">
      <c r="A119" s="16" t="s">
        <v>648</v>
      </c>
      <c r="B119" s="26"/>
      <c r="C119" s="16" t="s">
        <v>4633</v>
      </c>
      <c r="D119" s="17" t="s">
        <v>2307</v>
      </c>
      <c r="E119" s="14"/>
      <c r="F119" s="707">
        <v>50996</v>
      </c>
      <c r="G119" s="18"/>
      <c r="H119" s="18"/>
      <c r="I119" s="14">
        <v>84200</v>
      </c>
      <c r="J119" s="13" t="s">
        <v>2016</v>
      </c>
    </row>
    <row r="120" spans="1:12">
      <c r="A120" s="16" t="s">
        <v>1934</v>
      </c>
      <c r="B120" s="26"/>
      <c r="C120" s="16" t="s">
        <v>2308</v>
      </c>
      <c r="D120" s="17" t="s">
        <v>2307</v>
      </c>
      <c r="E120" s="14"/>
      <c r="F120" s="14">
        <v>109700</v>
      </c>
      <c r="G120" s="18"/>
      <c r="H120" s="18"/>
      <c r="I120" s="14">
        <v>109700</v>
      </c>
      <c r="J120" s="13" t="s">
        <v>2016</v>
      </c>
    </row>
    <row r="121" spans="1:12">
      <c r="A121" s="16" t="s">
        <v>2071</v>
      </c>
      <c r="B121" s="26"/>
      <c r="C121" s="16" t="s">
        <v>2309</v>
      </c>
      <c r="D121" s="17" t="s">
        <v>2307</v>
      </c>
      <c r="E121" s="14"/>
      <c r="F121" s="14">
        <v>204900</v>
      </c>
      <c r="G121" s="18"/>
      <c r="H121" s="18"/>
      <c r="I121" s="14">
        <v>145800</v>
      </c>
      <c r="J121" s="13" t="s">
        <v>2016</v>
      </c>
    </row>
    <row r="122" spans="1:12">
      <c r="A122" s="16" t="s">
        <v>2070</v>
      </c>
      <c r="B122" s="26"/>
      <c r="C122" s="16" t="s">
        <v>2310</v>
      </c>
      <c r="D122" s="17" t="s">
        <v>2307</v>
      </c>
      <c r="E122" s="14"/>
      <c r="F122" s="14">
        <v>197600</v>
      </c>
      <c r="G122" s="18"/>
      <c r="H122" s="18"/>
      <c r="I122" s="14">
        <v>197600</v>
      </c>
      <c r="J122" s="13" t="s">
        <v>2016</v>
      </c>
    </row>
    <row r="123" spans="1:12">
      <c r="A123" s="16" t="s">
        <v>1365</v>
      </c>
      <c r="B123" s="26"/>
      <c r="C123" s="16" t="s">
        <v>2311</v>
      </c>
      <c r="D123" s="17" t="s">
        <v>2307</v>
      </c>
      <c r="E123" s="14"/>
      <c r="F123" s="14">
        <v>265000</v>
      </c>
      <c r="G123" s="18"/>
      <c r="H123" s="18"/>
      <c r="I123" s="14">
        <v>265000</v>
      </c>
      <c r="J123" s="13" t="s">
        <v>2016</v>
      </c>
    </row>
    <row r="124" spans="1:12">
      <c r="A124" s="16" t="s">
        <v>4205</v>
      </c>
      <c r="B124" s="26"/>
      <c r="C124" s="16" t="s">
        <v>2311</v>
      </c>
      <c r="D124" s="17" t="s">
        <v>2307</v>
      </c>
      <c r="E124" s="14"/>
      <c r="F124" s="14">
        <v>265000</v>
      </c>
      <c r="G124" s="18"/>
      <c r="H124" s="18"/>
      <c r="I124" s="14">
        <v>265000</v>
      </c>
      <c r="J124" s="13" t="s">
        <v>2016</v>
      </c>
    </row>
    <row r="125" spans="1:12">
      <c r="A125" s="16" t="s">
        <v>823</v>
      </c>
      <c r="B125" s="26"/>
      <c r="C125" s="16" t="s">
        <v>2312</v>
      </c>
      <c r="D125" s="17" t="s">
        <v>2307</v>
      </c>
      <c r="E125" s="14"/>
      <c r="F125" s="14">
        <v>383800</v>
      </c>
      <c r="G125" s="18"/>
      <c r="H125" s="18"/>
      <c r="I125" s="14">
        <v>383800</v>
      </c>
      <c r="J125" s="13" t="s">
        <v>2016</v>
      </c>
    </row>
    <row r="126" spans="1:12">
      <c r="A126" s="16" t="s">
        <v>324</v>
      </c>
      <c r="B126" s="26"/>
      <c r="C126" s="16" t="s">
        <v>2313</v>
      </c>
      <c r="D126" s="17" t="s">
        <v>2307</v>
      </c>
      <c r="E126" s="14"/>
      <c r="F126" s="14">
        <v>497800</v>
      </c>
      <c r="G126" s="18"/>
      <c r="H126" s="18"/>
      <c r="I126" s="14">
        <v>497800</v>
      </c>
      <c r="J126" s="13" t="s">
        <v>2016</v>
      </c>
      <c r="L126" s="1" t="s">
        <v>1935</v>
      </c>
    </row>
    <row r="127" spans="1:12">
      <c r="A127" s="16" t="s">
        <v>576</v>
      </c>
      <c r="B127" s="26"/>
      <c r="C127" s="16" t="s">
        <v>2314</v>
      </c>
      <c r="D127" s="17" t="s">
        <v>2307</v>
      </c>
      <c r="E127" s="14"/>
      <c r="F127" s="14">
        <v>592500</v>
      </c>
      <c r="G127" s="18"/>
      <c r="H127" s="18"/>
      <c r="I127" s="14">
        <v>592500</v>
      </c>
      <c r="J127" s="13" t="s">
        <v>2016</v>
      </c>
    </row>
    <row r="128" spans="1:12">
      <c r="A128" s="16" t="s">
        <v>2049</v>
      </c>
      <c r="B128" s="26"/>
      <c r="C128" s="16" t="s">
        <v>2315</v>
      </c>
      <c r="D128" s="17" t="s">
        <v>2307</v>
      </c>
      <c r="E128" s="14"/>
      <c r="F128" s="14">
        <v>771500</v>
      </c>
      <c r="G128" s="18"/>
      <c r="H128" s="18"/>
      <c r="I128" s="14">
        <v>771500</v>
      </c>
      <c r="J128" s="13" t="s">
        <v>2016</v>
      </c>
    </row>
    <row r="129" spans="1:10">
      <c r="A129" s="16" t="s">
        <v>1642</v>
      </c>
      <c r="B129" s="26"/>
      <c r="C129" s="16" t="s">
        <v>2316</v>
      </c>
      <c r="D129" s="17" t="s">
        <v>2307</v>
      </c>
      <c r="E129" s="14"/>
      <c r="F129" s="14">
        <v>848650</v>
      </c>
      <c r="G129" s="18"/>
      <c r="H129" s="18"/>
      <c r="I129" s="14">
        <v>848650</v>
      </c>
      <c r="J129" s="13" t="s">
        <v>2016</v>
      </c>
    </row>
    <row r="130" spans="1:10">
      <c r="A130" s="16" t="s">
        <v>1936</v>
      </c>
      <c r="B130" s="26"/>
      <c r="C130" s="16" t="s">
        <v>2317</v>
      </c>
      <c r="D130" s="17" t="s">
        <v>2307</v>
      </c>
      <c r="E130" s="14"/>
      <c r="F130" s="14">
        <v>18230</v>
      </c>
      <c r="G130" s="18"/>
      <c r="H130" s="18"/>
      <c r="I130" s="14">
        <v>18230</v>
      </c>
      <c r="J130" s="13" t="s">
        <v>2016</v>
      </c>
    </row>
    <row r="131" spans="1:10">
      <c r="A131" s="16" t="s">
        <v>267</v>
      </c>
      <c r="B131" s="26"/>
      <c r="C131" s="16" t="s">
        <v>2318</v>
      </c>
      <c r="D131" s="17" t="s">
        <v>2307</v>
      </c>
      <c r="E131" s="14"/>
      <c r="F131" s="14">
        <v>21300</v>
      </c>
      <c r="G131" s="18"/>
      <c r="H131" s="18"/>
      <c r="I131" s="14">
        <v>21300</v>
      </c>
      <c r="J131" s="13" t="s">
        <v>2016</v>
      </c>
    </row>
    <row r="132" spans="1:10" s="1649" customFormat="1">
      <c r="A132" s="820" t="s">
        <v>268</v>
      </c>
      <c r="B132" s="1689"/>
      <c r="C132" s="820" t="s">
        <v>5707</v>
      </c>
      <c r="D132" s="1646" t="s">
        <v>2307</v>
      </c>
      <c r="E132" s="707"/>
      <c r="F132" s="707">
        <v>58300</v>
      </c>
      <c r="G132" s="1647"/>
      <c r="H132" s="1647"/>
      <c r="I132" s="707">
        <v>21740</v>
      </c>
      <c r="J132" s="1648" t="s">
        <v>2016</v>
      </c>
    </row>
    <row r="133" spans="1:10" s="1649" customFormat="1">
      <c r="A133" s="820" t="s">
        <v>269</v>
      </c>
      <c r="B133" s="1689"/>
      <c r="C133" s="820" t="s">
        <v>5703</v>
      </c>
      <c r="D133" s="1646" t="s">
        <v>2307</v>
      </c>
      <c r="E133" s="707"/>
      <c r="F133" s="707">
        <v>69000</v>
      </c>
      <c r="G133" s="1647"/>
      <c r="H133" s="1647"/>
      <c r="I133" s="707">
        <v>25000</v>
      </c>
      <c r="J133" s="1648" t="s">
        <v>2016</v>
      </c>
    </row>
    <row r="134" spans="1:10">
      <c r="A134" s="16" t="s">
        <v>270</v>
      </c>
      <c r="B134" s="26"/>
      <c r="C134" s="16" t="s">
        <v>2319</v>
      </c>
      <c r="D134" s="17" t="s">
        <v>2307</v>
      </c>
      <c r="E134" s="14"/>
      <c r="F134" s="14">
        <v>46400</v>
      </c>
      <c r="G134" s="18"/>
      <c r="H134" s="18"/>
      <c r="I134" s="14">
        <v>29590</v>
      </c>
      <c r="J134" s="13" t="s">
        <v>2016</v>
      </c>
    </row>
    <row r="135" spans="1:10">
      <c r="A135" s="16" t="s">
        <v>1505</v>
      </c>
      <c r="B135" s="26"/>
      <c r="C135" s="16" t="s">
        <v>2320</v>
      </c>
      <c r="D135" s="17" t="s">
        <v>2307</v>
      </c>
      <c r="E135" s="14"/>
      <c r="F135" s="14">
        <v>54100</v>
      </c>
      <c r="G135" s="18"/>
      <c r="H135" s="18"/>
      <c r="I135" s="14">
        <v>35240</v>
      </c>
      <c r="J135" s="13" t="s">
        <v>2016</v>
      </c>
    </row>
    <row r="136" spans="1:10">
      <c r="A136" s="16" t="s">
        <v>1199</v>
      </c>
      <c r="B136" s="26"/>
      <c r="C136" s="16" t="s">
        <v>2321</v>
      </c>
      <c r="D136" s="17" t="s">
        <v>2307</v>
      </c>
      <c r="E136" s="14"/>
      <c r="F136" s="14">
        <v>65000</v>
      </c>
      <c r="G136" s="18"/>
      <c r="H136" s="18"/>
      <c r="I136" s="14">
        <v>41880</v>
      </c>
      <c r="J136" s="13" t="s">
        <v>2016</v>
      </c>
    </row>
    <row r="137" spans="1:10">
      <c r="A137" s="16" t="s">
        <v>1198</v>
      </c>
      <c r="B137" s="26"/>
      <c r="C137" s="16" t="s">
        <v>2322</v>
      </c>
      <c r="D137" s="17" t="s">
        <v>2307</v>
      </c>
      <c r="E137" s="14"/>
      <c r="F137" s="14">
        <v>74900</v>
      </c>
      <c r="G137" s="18"/>
      <c r="H137" s="18"/>
      <c r="I137" s="14">
        <v>57170</v>
      </c>
      <c r="J137" s="13" t="s">
        <v>2016</v>
      </c>
    </row>
    <row r="138" spans="1:10">
      <c r="A138" s="16" t="s">
        <v>1990</v>
      </c>
      <c r="B138" s="26"/>
      <c r="C138" s="16" t="s">
        <v>2323</v>
      </c>
      <c r="D138" s="17" t="s">
        <v>2307</v>
      </c>
      <c r="E138" s="14"/>
      <c r="F138" s="14">
        <v>127400</v>
      </c>
      <c r="G138" s="18"/>
      <c r="H138" s="18"/>
      <c r="I138" s="14">
        <v>58000</v>
      </c>
      <c r="J138" s="13" t="s">
        <v>2016</v>
      </c>
    </row>
    <row r="139" spans="1:10" s="1649" customFormat="1">
      <c r="A139" s="820" t="s">
        <v>3991</v>
      </c>
      <c r="B139" s="1689"/>
      <c r="C139" s="820" t="s">
        <v>3993</v>
      </c>
      <c r="D139" s="1646" t="s">
        <v>2307</v>
      </c>
      <c r="E139" s="707"/>
      <c r="F139" s="707">
        <v>56400</v>
      </c>
      <c r="G139" s="1647"/>
      <c r="H139" s="1647"/>
      <c r="I139" s="707">
        <v>21740</v>
      </c>
      <c r="J139" s="1648" t="s">
        <v>2016</v>
      </c>
    </row>
    <row r="140" spans="1:10">
      <c r="A140" s="16" t="s">
        <v>3992</v>
      </c>
      <c r="B140" s="26"/>
      <c r="C140" s="16" t="s">
        <v>3994</v>
      </c>
      <c r="D140" s="17" t="s">
        <v>2307</v>
      </c>
      <c r="E140" s="14"/>
      <c r="F140" s="14">
        <v>52100</v>
      </c>
      <c r="G140" s="18"/>
      <c r="H140" s="18"/>
      <c r="I140" s="14">
        <v>25000</v>
      </c>
      <c r="J140" s="13" t="s">
        <v>2016</v>
      </c>
    </row>
    <row r="141" spans="1:10">
      <c r="A141" s="16" t="s">
        <v>5819</v>
      </c>
      <c r="B141" s="26"/>
      <c r="C141" s="16" t="s">
        <v>5821</v>
      </c>
      <c r="D141" s="17" t="s">
        <v>2307</v>
      </c>
      <c r="E141" s="14"/>
      <c r="F141" s="14">
        <v>64400</v>
      </c>
      <c r="G141" s="18"/>
      <c r="H141" s="18"/>
      <c r="I141" s="14">
        <v>21740</v>
      </c>
      <c r="J141" s="13" t="s">
        <v>2016</v>
      </c>
    </row>
    <row r="142" spans="1:10">
      <c r="A142" s="16" t="s">
        <v>4206</v>
      </c>
      <c r="B142" s="26"/>
      <c r="C142" s="16" t="s">
        <v>4210</v>
      </c>
      <c r="D142" s="17" t="s">
        <v>2307</v>
      </c>
      <c r="E142" s="14"/>
      <c r="F142" s="14">
        <v>74800</v>
      </c>
      <c r="G142" s="18"/>
      <c r="H142" s="18"/>
      <c r="I142" s="14">
        <v>25000</v>
      </c>
      <c r="J142" s="13" t="s">
        <v>2016</v>
      </c>
    </row>
    <row r="143" spans="1:10">
      <c r="A143" s="16" t="s">
        <v>4207</v>
      </c>
      <c r="B143" s="26"/>
      <c r="C143" s="16" t="s">
        <v>4211</v>
      </c>
      <c r="D143" s="17" t="s">
        <v>2307</v>
      </c>
      <c r="E143" s="14"/>
      <c r="F143" s="14">
        <v>86000</v>
      </c>
      <c r="G143" s="18"/>
      <c r="H143" s="18"/>
      <c r="I143" s="14">
        <v>21740</v>
      </c>
      <c r="J143" s="13" t="s">
        <v>2016</v>
      </c>
    </row>
    <row r="144" spans="1:10">
      <c r="A144" s="16" t="s">
        <v>4208</v>
      </c>
      <c r="B144" s="26"/>
      <c r="C144" s="16" t="s">
        <v>4212</v>
      </c>
      <c r="D144" s="17" t="s">
        <v>2307</v>
      </c>
      <c r="E144" s="14"/>
      <c r="F144" s="14">
        <v>100800</v>
      </c>
      <c r="G144" s="18"/>
      <c r="H144" s="18"/>
      <c r="I144" s="14">
        <v>25000</v>
      </c>
      <c r="J144" s="13" t="s">
        <v>2016</v>
      </c>
    </row>
    <row r="145" spans="1:10">
      <c r="A145" s="16" t="s">
        <v>4209</v>
      </c>
      <c r="B145" s="26"/>
      <c r="C145" s="16" t="s">
        <v>4213</v>
      </c>
      <c r="D145" s="17" t="s">
        <v>2307</v>
      </c>
      <c r="E145" s="14"/>
      <c r="F145" s="14">
        <v>154900</v>
      </c>
      <c r="G145" s="18"/>
      <c r="H145" s="18"/>
      <c r="I145" s="14">
        <v>25000</v>
      </c>
      <c r="J145" s="13" t="s">
        <v>2016</v>
      </c>
    </row>
    <row r="146" spans="1:10">
      <c r="A146" s="16" t="s">
        <v>770</v>
      </c>
      <c r="B146" s="26"/>
      <c r="C146" s="16" t="s">
        <v>2324</v>
      </c>
      <c r="D146" s="17" t="s">
        <v>2307</v>
      </c>
      <c r="E146" s="14"/>
      <c r="F146" s="14">
        <v>43500</v>
      </c>
      <c r="G146" s="18"/>
      <c r="H146" s="18"/>
      <c r="I146" s="14">
        <v>29588</v>
      </c>
      <c r="J146" s="13" t="s">
        <v>2016</v>
      </c>
    </row>
    <row r="147" spans="1:10">
      <c r="A147" s="16" t="s">
        <v>771</v>
      </c>
      <c r="B147" s="26"/>
      <c r="C147" s="16" t="s">
        <v>2325</v>
      </c>
      <c r="D147" s="17" t="s">
        <v>2307</v>
      </c>
      <c r="E147" s="14"/>
      <c r="F147" s="14">
        <v>52100</v>
      </c>
      <c r="G147" s="18"/>
      <c r="H147" s="18"/>
      <c r="I147" s="14">
        <v>29589</v>
      </c>
      <c r="J147" s="13" t="s">
        <v>2016</v>
      </c>
    </row>
    <row r="148" spans="1:10">
      <c r="A148" s="16" t="s">
        <v>772</v>
      </c>
      <c r="B148" s="26"/>
      <c r="C148" s="16" t="s">
        <v>2326</v>
      </c>
      <c r="D148" s="17" t="s">
        <v>2307</v>
      </c>
      <c r="E148" s="14"/>
      <c r="F148" s="14">
        <v>64400</v>
      </c>
      <c r="G148" s="18"/>
      <c r="H148" s="18"/>
      <c r="I148" s="14">
        <v>29590</v>
      </c>
      <c r="J148" s="13" t="s">
        <v>2016</v>
      </c>
    </row>
    <row r="149" spans="1:10">
      <c r="A149" s="16" t="s">
        <v>773</v>
      </c>
      <c r="B149" s="26"/>
      <c r="C149" s="16" t="s">
        <v>2327</v>
      </c>
      <c r="D149" s="17" t="s">
        <v>2307</v>
      </c>
      <c r="E149" s="14"/>
      <c r="F149" s="14">
        <v>74800</v>
      </c>
      <c r="G149" s="18"/>
      <c r="H149" s="18"/>
      <c r="I149" s="14">
        <v>35240</v>
      </c>
      <c r="J149" s="13" t="s">
        <v>2016</v>
      </c>
    </row>
    <row r="150" spans="1:10">
      <c r="A150" s="16" t="s">
        <v>774</v>
      </c>
      <c r="B150" s="26"/>
      <c r="C150" s="16" t="s">
        <v>2328</v>
      </c>
      <c r="D150" s="17" t="s">
        <v>2307</v>
      </c>
      <c r="E150" s="14"/>
      <c r="F150" s="14">
        <v>86000</v>
      </c>
      <c r="G150" s="18"/>
      <c r="H150" s="18"/>
      <c r="I150" s="14">
        <v>41880</v>
      </c>
      <c r="J150" s="13" t="s">
        <v>2016</v>
      </c>
    </row>
    <row r="151" spans="1:10">
      <c r="A151" s="16" t="s">
        <v>775</v>
      </c>
      <c r="B151" s="26"/>
      <c r="C151" s="16" t="s">
        <v>2329</v>
      </c>
      <c r="D151" s="17" t="s">
        <v>2307</v>
      </c>
      <c r="E151" s="14"/>
      <c r="F151" s="14">
        <v>100800</v>
      </c>
      <c r="G151" s="18"/>
      <c r="H151" s="18"/>
      <c r="I151" s="14">
        <v>57170</v>
      </c>
      <c r="J151" s="13" t="s">
        <v>2016</v>
      </c>
    </row>
    <row r="152" spans="1:10">
      <c r="A152" s="16" t="s">
        <v>776</v>
      </c>
      <c r="B152" s="26"/>
      <c r="C152" s="16" t="s">
        <v>2330</v>
      </c>
      <c r="D152" s="17" t="s">
        <v>2307</v>
      </c>
      <c r="E152" s="14"/>
      <c r="F152" s="14">
        <v>121800</v>
      </c>
      <c r="G152" s="18"/>
      <c r="H152" s="18"/>
      <c r="I152" s="14">
        <v>58000</v>
      </c>
      <c r="J152" s="13" t="s">
        <v>2016</v>
      </c>
    </row>
    <row r="153" spans="1:10">
      <c r="A153" s="16" t="s">
        <v>1617</v>
      </c>
      <c r="B153" s="26"/>
      <c r="C153" s="16" t="s">
        <v>2331</v>
      </c>
      <c r="D153" s="17" t="s">
        <v>2307</v>
      </c>
      <c r="E153" s="14"/>
      <c r="F153" s="14">
        <v>37900</v>
      </c>
      <c r="G153" s="18"/>
      <c r="H153" s="18"/>
      <c r="I153" s="14">
        <v>290900</v>
      </c>
      <c r="J153" s="13" t="s">
        <v>2016</v>
      </c>
    </row>
    <row r="154" spans="1:10">
      <c r="A154" s="16" t="s">
        <v>736</v>
      </c>
      <c r="B154" s="26"/>
      <c r="C154" s="16" t="s">
        <v>2332</v>
      </c>
      <c r="D154" s="17" t="s">
        <v>2307</v>
      </c>
      <c r="E154" s="14"/>
      <c r="F154" s="14">
        <v>52900</v>
      </c>
      <c r="G154" s="18"/>
      <c r="H154" s="18"/>
      <c r="I154" s="14">
        <v>290900</v>
      </c>
      <c r="J154" s="13" t="s">
        <v>2016</v>
      </c>
    </row>
    <row r="155" spans="1:10">
      <c r="A155" s="16" t="s">
        <v>1218</v>
      </c>
      <c r="B155" s="26"/>
      <c r="C155" s="16" t="s">
        <v>2333</v>
      </c>
      <c r="D155" s="17" t="s">
        <v>2307</v>
      </c>
      <c r="E155" s="14"/>
      <c r="F155" s="14">
        <v>99100</v>
      </c>
      <c r="G155" s="18"/>
      <c r="H155" s="18"/>
      <c r="I155" s="14">
        <v>290900</v>
      </c>
      <c r="J155" s="13" t="s">
        <v>2016</v>
      </c>
    </row>
    <row r="156" spans="1:10">
      <c r="A156" s="16" t="s">
        <v>777</v>
      </c>
      <c r="B156" s="26"/>
      <c r="C156" s="16" t="s">
        <v>2334</v>
      </c>
      <c r="D156" s="17" t="s">
        <v>2307</v>
      </c>
      <c r="E156" s="14"/>
      <c r="F156" s="14">
        <v>139900</v>
      </c>
      <c r="G156" s="18"/>
      <c r="H156" s="18"/>
      <c r="I156" s="14">
        <v>290900</v>
      </c>
      <c r="J156" s="13" t="s">
        <v>2016</v>
      </c>
    </row>
    <row r="157" spans="1:10">
      <c r="A157" s="16" t="s">
        <v>778</v>
      </c>
      <c r="B157" s="26"/>
      <c r="C157" s="16" t="s">
        <v>2335</v>
      </c>
      <c r="D157" s="17" t="s">
        <v>2307</v>
      </c>
      <c r="E157" s="14"/>
      <c r="F157" s="14">
        <v>160100</v>
      </c>
      <c r="G157" s="18"/>
      <c r="H157" s="18"/>
      <c r="I157" s="14">
        <v>290900</v>
      </c>
      <c r="J157" s="13" t="s">
        <v>2016</v>
      </c>
    </row>
    <row r="158" spans="1:10">
      <c r="A158" s="16" t="s">
        <v>779</v>
      </c>
      <c r="B158" s="26"/>
      <c r="C158" s="16" t="s">
        <v>2336</v>
      </c>
      <c r="D158" s="17" t="s">
        <v>2307</v>
      </c>
      <c r="E158" s="14"/>
      <c r="F158" s="14">
        <v>218800</v>
      </c>
      <c r="G158" s="18"/>
      <c r="H158" s="18"/>
      <c r="I158" s="14">
        <v>290900</v>
      </c>
      <c r="J158" s="13" t="s">
        <v>2016</v>
      </c>
    </row>
    <row r="159" spans="1:10">
      <c r="A159" s="16" t="s">
        <v>462</v>
      </c>
      <c r="B159" s="26"/>
      <c r="C159" s="16" t="s">
        <v>2337</v>
      </c>
      <c r="D159" s="17" t="s">
        <v>2307</v>
      </c>
      <c r="E159" s="14"/>
      <c r="F159" s="14">
        <v>297100</v>
      </c>
      <c r="G159" s="18"/>
      <c r="H159" s="18"/>
      <c r="I159" s="14">
        <v>290900</v>
      </c>
      <c r="J159" s="13" t="s">
        <v>2016</v>
      </c>
    </row>
    <row r="160" spans="1:10">
      <c r="A160" s="16" t="s">
        <v>1618</v>
      </c>
      <c r="B160" s="26"/>
      <c r="C160" s="16" t="s">
        <v>2338</v>
      </c>
      <c r="D160" s="17" t="s">
        <v>2307</v>
      </c>
      <c r="E160" s="14"/>
      <c r="F160" s="14">
        <v>134000</v>
      </c>
      <c r="G160" s="18"/>
      <c r="H160" s="18"/>
      <c r="I160" s="14">
        <v>290900</v>
      </c>
      <c r="J160" s="13" t="s">
        <v>2016</v>
      </c>
    </row>
    <row r="161" spans="1:10">
      <c r="A161" s="16" t="s">
        <v>237</v>
      </c>
      <c r="B161" s="26"/>
      <c r="C161" s="16" t="s">
        <v>4631</v>
      </c>
      <c r="D161" s="17" t="s">
        <v>2307</v>
      </c>
      <c r="E161" s="14"/>
      <c r="F161" s="14">
        <v>8645</v>
      </c>
      <c r="G161" s="18"/>
      <c r="H161" s="18"/>
      <c r="I161" s="14">
        <v>290900</v>
      </c>
      <c r="J161" s="13" t="s">
        <v>2016</v>
      </c>
    </row>
    <row r="162" spans="1:10">
      <c r="A162" s="16" t="s">
        <v>780</v>
      </c>
      <c r="B162" s="26"/>
      <c r="C162" s="16" t="s">
        <v>2339</v>
      </c>
      <c r="D162" s="17" t="s">
        <v>2307</v>
      </c>
      <c r="E162" s="14"/>
      <c r="F162" s="14">
        <v>118600</v>
      </c>
      <c r="G162" s="18"/>
      <c r="H162" s="18"/>
      <c r="I162" s="14">
        <v>290900</v>
      </c>
      <c r="J162" s="13" t="s">
        <v>2016</v>
      </c>
    </row>
    <row r="163" spans="1:10">
      <c r="A163" s="16" t="s">
        <v>781</v>
      </c>
      <c r="B163" s="26"/>
      <c r="C163" s="16" t="s">
        <v>2340</v>
      </c>
      <c r="D163" s="17" t="s">
        <v>2307</v>
      </c>
      <c r="E163" s="14"/>
      <c r="F163" s="14">
        <v>160700</v>
      </c>
      <c r="G163" s="18"/>
      <c r="H163" s="18"/>
      <c r="I163" s="14">
        <v>290900</v>
      </c>
      <c r="J163" s="13" t="s">
        <v>2016</v>
      </c>
    </row>
    <row r="164" spans="1:10">
      <c r="A164" s="16" t="s">
        <v>4071</v>
      </c>
      <c r="B164" s="26"/>
      <c r="C164" s="16" t="s">
        <v>4072</v>
      </c>
      <c r="D164" s="17" t="s">
        <v>2307</v>
      </c>
      <c r="E164" s="14"/>
      <c r="F164" s="14">
        <v>343200</v>
      </c>
      <c r="G164" s="18"/>
      <c r="H164" s="18"/>
      <c r="I164" s="14">
        <v>290901</v>
      </c>
      <c r="J164" s="13" t="s">
        <v>2016</v>
      </c>
    </row>
    <row r="165" spans="1:10">
      <c r="A165" s="16" t="s">
        <v>782</v>
      </c>
      <c r="B165" s="26"/>
      <c r="C165" s="16" t="s">
        <v>2341</v>
      </c>
      <c r="D165" s="17" t="s">
        <v>2307</v>
      </c>
      <c r="E165" s="14"/>
      <c r="F165" s="14">
        <v>438100</v>
      </c>
      <c r="G165" s="18"/>
      <c r="H165" s="18"/>
      <c r="I165" s="14">
        <v>290900</v>
      </c>
      <c r="J165" s="13" t="s">
        <v>2016</v>
      </c>
    </row>
    <row r="166" spans="1:10">
      <c r="A166" s="16" t="s">
        <v>2095</v>
      </c>
      <c r="B166" s="26"/>
      <c r="C166" s="16" t="s">
        <v>2342</v>
      </c>
      <c r="D166" s="17" t="s">
        <v>2307</v>
      </c>
      <c r="E166" s="14"/>
      <c r="F166" s="14">
        <v>462500</v>
      </c>
      <c r="G166" s="18"/>
      <c r="H166" s="18"/>
      <c r="I166" s="14">
        <v>290900</v>
      </c>
      <c r="J166" s="13" t="s">
        <v>2016</v>
      </c>
    </row>
    <row r="167" spans="1:10">
      <c r="A167" s="16" t="s">
        <v>4073</v>
      </c>
      <c r="B167" s="26"/>
      <c r="C167" s="16" t="s">
        <v>4074</v>
      </c>
      <c r="D167" s="17" t="s">
        <v>2307</v>
      </c>
      <c r="E167" s="14"/>
      <c r="F167" s="14">
        <v>530600</v>
      </c>
      <c r="G167" s="18"/>
      <c r="H167" s="18"/>
      <c r="I167" s="14">
        <v>290901</v>
      </c>
      <c r="J167" s="13" t="s">
        <v>2016</v>
      </c>
    </row>
    <row r="168" spans="1:10">
      <c r="A168" s="16" t="s">
        <v>783</v>
      </c>
      <c r="B168" s="26"/>
      <c r="C168" s="16" t="s">
        <v>2343</v>
      </c>
      <c r="D168" s="17" t="s">
        <v>2307</v>
      </c>
      <c r="E168" s="14"/>
      <c r="F168" s="14">
        <v>608700</v>
      </c>
      <c r="G168" s="18"/>
      <c r="H168" s="18"/>
      <c r="I168" s="14">
        <v>290900</v>
      </c>
      <c r="J168" s="13" t="s">
        <v>2016</v>
      </c>
    </row>
    <row r="169" spans="1:10">
      <c r="A169" s="16" t="s">
        <v>357</v>
      </c>
      <c r="B169" s="26"/>
      <c r="C169" s="16" t="s">
        <v>2344</v>
      </c>
      <c r="D169" s="17" t="s">
        <v>2307</v>
      </c>
      <c r="E169" s="14"/>
      <c r="F169" s="14">
        <v>390500</v>
      </c>
      <c r="G169" s="18"/>
      <c r="H169" s="18"/>
      <c r="I169" s="14">
        <v>290900</v>
      </c>
      <c r="J169" s="13" t="s">
        <v>2016</v>
      </c>
    </row>
    <row r="170" spans="1:10">
      <c r="A170" s="16" t="s">
        <v>358</v>
      </c>
      <c r="B170" s="26"/>
      <c r="C170" s="16" t="s">
        <v>2345</v>
      </c>
      <c r="D170" s="17" t="s">
        <v>2307</v>
      </c>
      <c r="E170" s="14"/>
      <c r="F170" s="14">
        <v>505500</v>
      </c>
      <c r="G170" s="18"/>
      <c r="H170" s="18"/>
      <c r="I170" s="14">
        <v>290900</v>
      </c>
      <c r="J170" s="13" t="s">
        <v>2016</v>
      </c>
    </row>
    <row r="171" spans="1:10">
      <c r="A171" s="16" t="s">
        <v>784</v>
      </c>
      <c r="B171" s="26"/>
      <c r="C171" s="16" t="s">
        <v>2346</v>
      </c>
      <c r="D171" s="17" t="s">
        <v>2307</v>
      </c>
      <c r="E171" s="14"/>
      <c r="F171" s="14">
        <v>1057300</v>
      </c>
      <c r="G171" s="18"/>
      <c r="H171" s="18"/>
      <c r="I171" s="14">
        <v>290900</v>
      </c>
      <c r="J171" s="13" t="s">
        <v>2016</v>
      </c>
    </row>
    <row r="172" spans="1:10">
      <c r="A172" s="16" t="s">
        <v>359</v>
      </c>
      <c r="B172" s="26"/>
      <c r="C172" s="16" t="s">
        <v>2347</v>
      </c>
      <c r="D172" s="17" t="s">
        <v>2307</v>
      </c>
      <c r="E172" s="14"/>
      <c r="F172" s="14">
        <v>623600</v>
      </c>
      <c r="G172" s="18"/>
      <c r="H172" s="18"/>
      <c r="I172" s="14">
        <v>290900</v>
      </c>
      <c r="J172" s="13" t="s">
        <v>2016</v>
      </c>
    </row>
    <row r="173" spans="1:10">
      <c r="A173" s="16" t="s">
        <v>360</v>
      </c>
      <c r="B173" s="26"/>
      <c r="C173" s="16" t="s">
        <v>2348</v>
      </c>
      <c r="D173" s="17" t="s">
        <v>2307</v>
      </c>
      <c r="E173" s="14"/>
      <c r="F173" s="14">
        <v>1398900</v>
      </c>
      <c r="G173" s="18"/>
      <c r="H173" s="18"/>
      <c r="I173" s="14">
        <v>290900</v>
      </c>
      <c r="J173" s="13" t="s">
        <v>2016</v>
      </c>
    </row>
    <row r="174" spans="1:10">
      <c r="A174" s="16" t="s">
        <v>785</v>
      </c>
      <c r="B174" s="26"/>
      <c r="C174" s="16" t="s">
        <v>2349</v>
      </c>
      <c r="D174" s="17" t="s">
        <v>2307</v>
      </c>
      <c r="E174" s="14"/>
      <c r="F174" s="14">
        <v>1293100</v>
      </c>
      <c r="G174" s="18"/>
      <c r="H174" s="18"/>
      <c r="I174" s="14">
        <v>290900</v>
      </c>
      <c r="J174" s="13" t="s">
        <v>2016</v>
      </c>
    </row>
    <row r="175" spans="1:10">
      <c r="A175" s="16" t="s">
        <v>361</v>
      </c>
      <c r="B175" s="26"/>
      <c r="C175" s="16" t="s">
        <v>2350</v>
      </c>
      <c r="D175" s="17" t="s">
        <v>2307</v>
      </c>
      <c r="E175" s="14"/>
      <c r="F175" s="14">
        <v>1422410</v>
      </c>
      <c r="G175" s="18"/>
      <c r="H175" s="18"/>
      <c r="I175" s="14">
        <v>290900</v>
      </c>
      <c r="J175" s="13" t="s">
        <v>2016</v>
      </c>
    </row>
    <row r="176" spans="1:10">
      <c r="A176" s="16" t="s">
        <v>2094</v>
      </c>
      <c r="B176" s="26"/>
      <c r="C176" s="16" t="s">
        <v>2351</v>
      </c>
      <c r="D176" s="17" t="s">
        <v>2307</v>
      </c>
      <c r="E176" s="14"/>
      <c r="F176" s="14">
        <v>347700</v>
      </c>
      <c r="G176" s="18"/>
      <c r="H176" s="18"/>
      <c r="I176" s="14">
        <v>290900</v>
      </c>
      <c r="J176" s="13" t="s">
        <v>2016</v>
      </c>
    </row>
    <row r="177" spans="1:10">
      <c r="A177" s="16" t="s">
        <v>178</v>
      </c>
      <c r="B177" s="26"/>
      <c r="C177" s="16" t="s">
        <v>2352</v>
      </c>
      <c r="D177" s="17" t="s">
        <v>2307</v>
      </c>
      <c r="E177" s="14"/>
      <c r="F177" s="14">
        <v>382500</v>
      </c>
      <c r="G177" s="18"/>
      <c r="H177" s="18"/>
      <c r="I177" s="14">
        <v>25000</v>
      </c>
      <c r="J177" s="13" t="s">
        <v>2016</v>
      </c>
    </row>
    <row r="178" spans="1:10" s="1649" customFormat="1">
      <c r="A178" s="820" t="s">
        <v>22</v>
      </c>
      <c r="B178" s="1689"/>
      <c r="C178" s="820" t="s">
        <v>2353</v>
      </c>
      <c r="D178" s="1646" t="s">
        <v>2307</v>
      </c>
      <c r="E178" s="707"/>
      <c r="F178" s="707">
        <v>763500</v>
      </c>
      <c r="G178" s="1647"/>
      <c r="H178" s="1647"/>
      <c r="I178" s="707">
        <v>266300</v>
      </c>
      <c r="J178" s="1648" t="s">
        <v>2016</v>
      </c>
    </row>
    <row r="179" spans="1:10">
      <c r="A179" s="16" t="s">
        <v>176</v>
      </c>
      <c r="B179" s="26"/>
      <c r="C179" s="16" t="s">
        <v>2354</v>
      </c>
      <c r="D179" s="17" t="s">
        <v>2307</v>
      </c>
      <c r="E179" s="14"/>
      <c r="F179" s="14">
        <v>955000</v>
      </c>
      <c r="G179" s="18"/>
      <c r="H179" s="18"/>
      <c r="I179" s="14">
        <v>302300</v>
      </c>
      <c r="J179" s="13" t="s">
        <v>2016</v>
      </c>
    </row>
    <row r="180" spans="1:10">
      <c r="A180" s="16" t="s">
        <v>177</v>
      </c>
      <c r="B180" s="26"/>
      <c r="C180" s="16" t="s">
        <v>2355</v>
      </c>
      <c r="D180" s="17" t="s">
        <v>2307</v>
      </c>
      <c r="E180" s="14"/>
      <c r="F180" s="14">
        <v>892800</v>
      </c>
      <c r="G180" s="18"/>
      <c r="H180" s="18"/>
      <c r="I180" s="14">
        <v>358300</v>
      </c>
      <c r="J180" s="13" t="s">
        <v>2016</v>
      </c>
    </row>
    <row r="181" spans="1:10">
      <c r="A181" s="16" t="s">
        <v>182</v>
      </c>
      <c r="B181" s="26"/>
      <c r="C181" s="16" t="s">
        <v>2356</v>
      </c>
      <c r="D181" s="17" t="s">
        <v>2307</v>
      </c>
      <c r="E181" s="14"/>
      <c r="F181" s="14">
        <v>1048500</v>
      </c>
      <c r="G181" s="18"/>
      <c r="H181" s="18"/>
      <c r="I181" s="14">
        <v>433410</v>
      </c>
      <c r="J181" s="13" t="s">
        <v>2016</v>
      </c>
    </row>
    <row r="182" spans="1:10">
      <c r="A182" s="16" t="s">
        <v>180</v>
      </c>
      <c r="B182" s="26"/>
      <c r="C182" s="16" t="s">
        <v>2357</v>
      </c>
      <c r="D182" s="17" t="s">
        <v>2307</v>
      </c>
      <c r="E182" s="14"/>
      <c r="F182" s="14">
        <v>1306600</v>
      </c>
      <c r="G182" s="18"/>
      <c r="H182" s="18"/>
      <c r="I182" s="14">
        <v>492910</v>
      </c>
      <c r="J182" s="13" t="s">
        <v>2016</v>
      </c>
    </row>
    <row r="183" spans="1:10">
      <c r="A183" s="16" t="s">
        <v>179</v>
      </c>
      <c r="B183" s="26"/>
      <c r="C183" s="16" t="s">
        <v>2358</v>
      </c>
      <c r="D183" s="17" t="s">
        <v>2307</v>
      </c>
      <c r="E183" s="14"/>
      <c r="F183" s="14">
        <v>1552400</v>
      </c>
      <c r="G183" s="18"/>
      <c r="H183" s="18"/>
      <c r="I183" s="14">
        <v>57340</v>
      </c>
      <c r="J183" s="13" t="s">
        <v>2016</v>
      </c>
    </row>
    <row r="184" spans="1:10">
      <c r="A184" s="16" t="s">
        <v>181</v>
      </c>
      <c r="B184" s="26"/>
      <c r="C184" s="16" t="s">
        <v>2359</v>
      </c>
      <c r="D184" s="17" t="s">
        <v>2307</v>
      </c>
      <c r="E184" s="14"/>
      <c r="F184" s="14">
        <v>2400000</v>
      </c>
      <c r="G184" s="18"/>
      <c r="H184" s="18"/>
      <c r="I184" s="14">
        <v>644200</v>
      </c>
      <c r="J184" s="13" t="s">
        <v>2016</v>
      </c>
    </row>
    <row r="185" spans="1:10">
      <c r="A185" s="16" t="s">
        <v>786</v>
      </c>
      <c r="B185" s="26"/>
      <c r="C185" s="16" t="s">
        <v>2360</v>
      </c>
      <c r="D185" s="17" t="s">
        <v>2307</v>
      </c>
      <c r="E185" s="14"/>
      <c r="F185" s="14">
        <v>3292600</v>
      </c>
      <c r="G185" s="18"/>
      <c r="H185" s="18"/>
      <c r="I185" s="14">
        <v>644200</v>
      </c>
      <c r="J185" s="13" t="s">
        <v>2016</v>
      </c>
    </row>
    <row r="186" spans="1:10">
      <c r="A186" s="16" t="s">
        <v>1691</v>
      </c>
      <c r="B186" s="26"/>
      <c r="C186" s="16" t="s">
        <v>2361</v>
      </c>
      <c r="D186" s="17" t="s">
        <v>2307</v>
      </c>
      <c r="E186" s="14"/>
      <c r="F186" s="14">
        <v>379700</v>
      </c>
      <c r="G186" s="18"/>
      <c r="H186" s="18"/>
      <c r="I186" s="14">
        <v>379700</v>
      </c>
      <c r="J186" s="13" t="s">
        <v>2016</v>
      </c>
    </row>
    <row r="187" spans="1:10">
      <c r="A187" s="16" t="s">
        <v>758</v>
      </c>
      <c r="B187" s="26"/>
      <c r="C187" s="16" t="s">
        <v>2362</v>
      </c>
      <c r="D187" s="17" t="s">
        <v>2307</v>
      </c>
      <c r="E187" s="14"/>
      <c r="F187" s="14">
        <v>460300</v>
      </c>
      <c r="G187" s="18"/>
      <c r="H187" s="18"/>
      <c r="I187" s="14">
        <v>460300</v>
      </c>
      <c r="J187" s="13" t="s">
        <v>2016</v>
      </c>
    </row>
    <row r="188" spans="1:10">
      <c r="A188" s="16" t="s">
        <v>759</v>
      </c>
      <c r="B188" s="26"/>
      <c r="C188" s="16" t="s">
        <v>2363</v>
      </c>
      <c r="D188" s="17" t="s">
        <v>2307</v>
      </c>
      <c r="E188" s="14"/>
      <c r="F188" s="14">
        <v>479000</v>
      </c>
      <c r="G188" s="18"/>
      <c r="H188" s="18"/>
      <c r="I188" s="14">
        <v>479000</v>
      </c>
      <c r="J188" s="13" t="s">
        <v>2016</v>
      </c>
    </row>
    <row r="189" spans="1:10">
      <c r="A189" s="16" t="s">
        <v>1800</v>
      </c>
      <c r="B189" s="26"/>
      <c r="C189" s="16" t="s">
        <v>2364</v>
      </c>
      <c r="D189" s="17" t="s">
        <v>2307</v>
      </c>
      <c r="E189" s="14"/>
      <c r="F189" s="14">
        <v>573100</v>
      </c>
      <c r="G189" s="18"/>
      <c r="H189" s="18"/>
      <c r="I189" s="14">
        <v>573100</v>
      </c>
      <c r="J189" s="13" t="s">
        <v>2016</v>
      </c>
    </row>
    <row r="190" spans="1:10">
      <c r="A190" s="25" t="s">
        <v>1669</v>
      </c>
      <c r="B190" s="668"/>
      <c r="C190" s="666" t="s">
        <v>2365</v>
      </c>
      <c r="D190" s="17" t="s">
        <v>1557</v>
      </c>
      <c r="E190" s="14"/>
      <c r="F190" s="14">
        <v>35300</v>
      </c>
      <c r="G190" s="18"/>
      <c r="H190" s="18"/>
      <c r="I190" s="14">
        <v>26100</v>
      </c>
      <c r="J190" s="13" t="s">
        <v>1512</v>
      </c>
    </row>
    <row r="191" spans="1:10">
      <c r="A191" s="25" t="s">
        <v>2067</v>
      </c>
      <c r="B191" s="668"/>
      <c r="C191" s="666" t="s">
        <v>2366</v>
      </c>
      <c r="D191" s="17" t="s">
        <v>1557</v>
      </c>
      <c r="E191" s="14"/>
      <c r="F191" s="14">
        <v>35300</v>
      </c>
      <c r="G191" s="18"/>
      <c r="H191" s="18"/>
      <c r="I191" s="14">
        <v>25000</v>
      </c>
      <c r="J191" s="13" t="s">
        <v>1512</v>
      </c>
    </row>
    <row r="192" spans="1:10">
      <c r="A192" s="25" t="s">
        <v>2068</v>
      </c>
      <c r="B192" s="668"/>
      <c r="C192" s="666" t="s">
        <v>2367</v>
      </c>
      <c r="D192" s="17" t="s">
        <v>1557</v>
      </c>
      <c r="E192" s="14"/>
      <c r="F192" s="14">
        <v>35000</v>
      </c>
      <c r="G192" s="18"/>
      <c r="H192" s="18"/>
      <c r="I192" s="14">
        <v>25000</v>
      </c>
      <c r="J192" s="13" t="s">
        <v>1512</v>
      </c>
    </row>
    <row r="193" spans="1:10">
      <c r="A193" s="666" t="s">
        <v>189</v>
      </c>
      <c r="B193" s="26"/>
      <c r="C193" s="666" t="s">
        <v>2368</v>
      </c>
      <c r="D193" s="17" t="s">
        <v>1557</v>
      </c>
      <c r="E193" s="14"/>
      <c r="F193" s="14">
        <v>35000</v>
      </c>
      <c r="G193" s="18"/>
      <c r="H193" s="18"/>
      <c r="I193" s="14">
        <v>25000</v>
      </c>
      <c r="J193" s="13" t="s">
        <v>1512</v>
      </c>
    </row>
    <row r="194" spans="1:10">
      <c r="A194" s="25" t="s">
        <v>1668</v>
      </c>
      <c r="B194" s="668"/>
      <c r="C194" s="666" t="s">
        <v>2369</v>
      </c>
      <c r="D194" s="17" t="s">
        <v>1557</v>
      </c>
      <c r="E194" s="14"/>
      <c r="F194" s="14">
        <v>35700</v>
      </c>
      <c r="G194" s="18"/>
      <c r="H194" s="18"/>
      <c r="I194" s="14">
        <v>26100</v>
      </c>
      <c r="J194" s="13" t="s">
        <v>1512</v>
      </c>
    </row>
    <row r="195" spans="1:10">
      <c r="A195" s="25" t="s">
        <v>802</v>
      </c>
      <c r="B195" s="668"/>
      <c r="C195" s="666" t="s">
        <v>2370</v>
      </c>
      <c r="D195" s="17" t="s">
        <v>1557</v>
      </c>
      <c r="E195" s="14"/>
      <c r="F195" s="14">
        <v>35700</v>
      </c>
      <c r="G195" s="18"/>
      <c r="H195" s="18"/>
      <c r="I195" s="14">
        <v>26100</v>
      </c>
      <c r="J195" s="13" t="s">
        <v>1512</v>
      </c>
    </row>
    <row r="196" spans="1:10">
      <c r="A196" s="25" t="s">
        <v>142</v>
      </c>
      <c r="B196" s="668"/>
      <c r="C196" s="666" t="s">
        <v>2371</v>
      </c>
      <c r="D196" s="17" t="s">
        <v>1557</v>
      </c>
      <c r="E196" s="14"/>
      <c r="F196" s="14">
        <v>35700</v>
      </c>
      <c r="G196" s="18"/>
      <c r="H196" s="18"/>
      <c r="I196" s="14">
        <v>26100</v>
      </c>
      <c r="J196" s="13" t="s">
        <v>1512</v>
      </c>
    </row>
    <row r="197" spans="1:10">
      <c r="A197" s="25" t="s">
        <v>141</v>
      </c>
      <c r="B197" s="668"/>
      <c r="C197" s="666" t="s">
        <v>2372</v>
      </c>
      <c r="D197" s="17" t="s">
        <v>1557</v>
      </c>
      <c r="E197" s="14"/>
      <c r="F197" s="14">
        <v>35700</v>
      </c>
      <c r="G197" s="18"/>
      <c r="H197" s="18"/>
      <c r="I197" s="14">
        <v>26100</v>
      </c>
      <c r="J197" s="13" t="s">
        <v>1512</v>
      </c>
    </row>
    <row r="198" spans="1:10">
      <c r="A198" s="16" t="s">
        <v>1577</v>
      </c>
      <c r="B198" s="26"/>
      <c r="C198" s="666" t="s">
        <v>2373</v>
      </c>
      <c r="D198" s="17" t="s">
        <v>2307</v>
      </c>
      <c r="E198" s="14"/>
      <c r="F198" s="14">
        <v>53900</v>
      </c>
      <c r="G198" s="18"/>
      <c r="H198" s="18"/>
      <c r="I198" s="14"/>
      <c r="J198" s="13" t="s">
        <v>1512</v>
      </c>
    </row>
    <row r="199" spans="1:10">
      <c r="A199" s="25" t="s">
        <v>1071</v>
      </c>
      <c r="B199" s="668"/>
      <c r="C199" s="666" t="s">
        <v>2374</v>
      </c>
      <c r="D199" s="17" t="s">
        <v>1557</v>
      </c>
      <c r="E199" s="14"/>
      <c r="F199" s="14">
        <v>64000</v>
      </c>
      <c r="G199" s="18"/>
      <c r="H199" s="18"/>
      <c r="I199" s="14">
        <v>64000</v>
      </c>
      <c r="J199" s="13" t="s">
        <v>1512</v>
      </c>
    </row>
    <row r="200" spans="1:10">
      <c r="A200" s="25" t="s">
        <v>472</v>
      </c>
      <c r="B200" s="668"/>
      <c r="C200" s="666" t="s">
        <v>2375</v>
      </c>
      <c r="D200" s="17" t="s">
        <v>1557</v>
      </c>
      <c r="E200" s="14"/>
      <c r="F200" s="707">
        <v>76800</v>
      </c>
      <c r="G200" s="18"/>
      <c r="H200" s="18"/>
      <c r="I200" s="14">
        <v>19692</v>
      </c>
      <c r="J200" s="13" t="s">
        <v>1512</v>
      </c>
    </row>
    <row r="201" spans="1:10">
      <c r="A201" s="25" t="s">
        <v>876</v>
      </c>
      <c r="B201" s="668"/>
      <c r="C201" s="666" t="s">
        <v>2376</v>
      </c>
      <c r="D201" s="17" t="s">
        <v>1557</v>
      </c>
      <c r="E201" s="14"/>
      <c r="F201" s="14">
        <v>63000</v>
      </c>
      <c r="G201" s="18"/>
      <c r="H201" s="18"/>
      <c r="I201" s="14">
        <v>63000</v>
      </c>
      <c r="J201" s="13" t="s">
        <v>1512</v>
      </c>
    </row>
    <row r="202" spans="1:10">
      <c r="A202" s="666" t="s">
        <v>2069</v>
      </c>
      <c r="B202" s="26"/>
      <c r="C202" s="666" t="s">
        <v>2377</v>
      </c>
      <c r="D202" s="17" t="s">
        <v>1557</v>
      </c>
      <c r="E202" s="14"/>
      <c r="F202" s="14">
        <v>63000</v>
      </c>
      <c r="G202" s="18"/>
      <c r="H202" s="18"/>
      <c r="I202" s="14">
        <v>63000</v>
      </c>
      <c r="J202" s="13" t="s">
        <v>1512</v>
      </c>
    </row>
    <row r="203" spans="1:10">
      <c r="A203" s="25" t="s">
        <v>1070</v>
      </c>
      <c r="B203" s="668"/>
      <c r="C203" s="666" t="s">
        <v>2378</v>
      </c>
      <c r="D203" s="17" t="s">
        <v>1557</v>
      </c>
      <c r="E203" s="14"/>
      <c r="F203" s="14">
        <v>73200</v>
      </c>
      <c r="G203" s="18"/>
      <c r="H203" s="18"/>
      <c r="I203" s="14">
        <v>30800</v>
      </c>
      <c r="J203" s="13" t="s">
        <v>1512</v>
      </c>
    </row>
    <row r="204" spans="1:10">
      <c r="A204" s="25" t="s">
        <v>1023</v>
      </c>
      <c r="B204" s="668"/>
      <c r="C204" s="666" t="s">
        <v>2379</v>
      </c>
      <c r="D204" s="17" t="s">
        <v>1557</v>
      </c>
      <c r="E204" s="14"/>
      <c r="F204" s="14">
        <v>64600</v>
      </c>
      <c r="G204" s="18"/>
      <c r="H204" s="18"/>
      <c r="I204" s="14">
        <v>64600</v>
      </c>
      <c r="J204" s="13" t="s">
        <v>1512</v>
      </c>
    </row>
    <row r="205" spans="1:10">
      <c r="A205" s="25" t="s">
        <v>191</v>
      </c>
      <c r="B205" s="668"/>
      <c r="C205" s="666" t="s">
        <v>2380</v>
      </c>
      <c r="D205" s="17" t="s">
        <v>1557</v>
      </c>
      <c r="E205" s="14"/>
      <c r="F205" s="14">
        <v>64600</v>
      </c>
      <c r="G205" s="18"/>
      <c r="H205" s="18"/>
      <c r="I205" s="14">
        <v>30800</v>
      </c>
      <c r="J205" s="13" t="s">
        <v>1512</v>
      </c>
    </row>
    <row r="206" spans="1:10">
      <c r="A206" s="25" t="s">
        <v>190</v>
      </c>
      <c r="B206" s="668"/>
      <c r="C206" s="666" t="s">
        <v>2381</v>
      </c>
      <c r="D206" s="17" t="s">
        <v>1557</v>
      </c>
      <c r="E206" s="14"/>
      <c r="F206" s="14">
        <v>64600</v>
      </c>
      <c r="G206" s="18"/>
      <c r="H206" s="18"/>
      <c r="I206" s="14">
        <v>64600</v>
      </c>
      <c r="J206" s="13" t="s">
        <v>1512</v>
      </c>
    </row>
    <row r="207" spans="1:10">
      <c r="A207" s="16" t="s">
        <v>1930</v>
      </c>
      <c r="B207" s="26"/>
      <c r="C207" s="16" t="s">
        <v>2382</v>
      </c>
      <c r="D207" s="17" t="s">
        <v>2307</v>
      </c>
      <c r="E207" s="14"/>
      <c r="F207" s="14">
        <v>10600</v>
      </c>
      <c r="G207" s="18"/>
      <c r="H207" s="18"/>
      <c r="I207" s="14">
        <v>4370</v>
      </c>
      <c r="J207" s="13" t="s">
        <v>696</v>
      </c>
    </row>
    <row r="208" spans="1:10">
      <c r="A208" s="16" t="s">
        <v>1290</v>
      </c>
      <c r="B208" s="26"/>
      <c r="C208" s="16" t="s">
        <v>2383</v>
      </c>
      <c r="D208" s="17" t="s">
        <v>2307</v>
      </c>
      <c r="E208" s="14"/>
      <c r="F208" s="14">
        <v>15310</v>
      </c>
      <c r="G208" s="18"/>
      <c r="H208" s="18"/>
      <c r="I208" s="14">
        <v>5890</v>
      </c>
      <c r="J208" s="13" t="s">
        <v>696</v>
      </c>
    </row>
    <row r="209" spans="1:10">
      <c r="A209" s="16" t="s">
        <v>1291</v>
      </c>
      <c r="B209" s="26"/>
      <c r="C209" s="16" t="s">
        <v>2384</v>
      </c>
      <c r="D209" s="17" t="s">
        <v>2307</v>
      </c>
      <c r="E209" s="14"/>
      <c r="F209" s="14">
        <v>20200</v>
      </c>
      <c r="G209" s="18"/>
      <c r="H209" s="18"/>
      <c r="I209" s="14">
        <v>7920</v>
      </c>
      <c r="J209" s="13" t="s">
        <v>696</v>
      </c>
    </row>
    <row r="210" spans="1:10">
      <c r="A210" s="16" t="s">
        <v>49</v>
      </c>
      <c r="B210" s="26"/>
      <c r="C210" s="16" t="s">
        <v>2385</v>
      </c>
      <c r="D210" s="17" t="s">
        <v>2307</v>
      </c>
      <c r="E210" s="14"/>
      <c r="F210" s="14">
        <v>27300</v>
      </c>
      <c r="G210" s="18"/>
      <c r="H210" s="18"/>
      <c r="I210" s="14">
        <v>10870</v>
      </c>
      <c r="J210" s="13" t="s">
        <v>696</v>
      </c>
    </row>
    <row r="211" spans="1:10">
      <c r="A211" s="16" t="s">
        <v>1392</v>
      </c>
      <c r="B211" s="26"/>
      <c r="C211" s="16" t="s">
        <v>2386</v>
      </c>
      <c r="D211" s="17" t="s">
        <v>2307</v>
      </c>
      <c r="E211" s="14"/>
      <c r="F211" s="14">
        <v>31700</v>
      </c>
      <c r="G211" s="18"/>
      <c r="H211" s="18"/>
      <c r="I211" s="14">
        <v>13510</v>
      </c>
      <c r="J211" s="13" t="s">
        <v>696</v>
      </c>
    </row>
    <row r="212" spans="1:10">
      <c r="A212" s="16" t="s">
        <v>1354</v>
      </c>
      <c r="B212" s="26"/>
      <c r="C212" s="16" t="s">
        <v>2387</v>
      </c>
      <c r="D212" s="17" t="s">
        <v>2307</v>
      </c>
      <c r="E212" s="14"/>
      <c r="F212" s="14">
        <v>43100</v>
      </c>
      <c r="G212" s="18"/>
      <c r="H212" s="18"/>
      <c r="I212" s="14">
        <v>16670</v>
      </c>
      <c r="J212" s="13" t="s">
        <v>696</v>
      </c>
    </row>
    <row r="213" spans="1:10">
      <c r="A213" s="16" t="s">
        <v>1802</v>
      </c>
      <c r="B213" s="26"/>
      <c r="C213" s="16" t="s">
        <v>2388</v>
      </c>
      <c r="D213" s="17" t="s">
        <v>2307</v>
      </c>
      <c r="E213" s="14"/>
      <c r="F213" s="14">
        <v>51600</v>
      </c>
      <c r="G213" s="18"/>
      <c r="H213" s="18"/>
      <c r="I213" s="14">
        <v>20480</v>
      </c>
      <c r="J213" s="13" t="s">
        <v>696</v>
      </c>
    </row>
    <row r="214" spans="1:10">
      <c r="A214" s="16" t="s">
        <v>354</v>
      </c>
      <c r="B214" s="26"/>
      <c r="C214" s="16" t="s">
        <v>2389</v>
      </c>
      <c r="D214" s="17" t="s">
        <v>2307</v>
      </c>
      <c r="E214" s="14"/>
      <c r="F214" s="14">
        <v>66900</v>
      </c>
      <c r="G214" s="18"/>
      <c r="H214" s="18"/>
      <c r="I214" s="14">
        <v>25910</v>
      </c>
      <c r="J214" s="13" t="s">
        <v>696</v>
      </c>
    </row>
    <row r="215" spans="1:10">
      <c r="A215" s="16" t="s">
        <v>355</v>
      </c>
      <c r="B215" s="26"/>
      <c r="C215" s="16" t="s">
        <v>2390</v>
      </c>
      <c r="D215" s="17" t="s">
        <v>2307</v>
      </c>
      <c r="E215" s="14"/>
      <c r="F215" s="14">
        <v>83200</v>
      </c>
      <c r="G215" s="18"/>
      <c r="H215" s="18"/>
      <c r="I215" s="14">
        <v>31240</v>
      </c>
      <c r="J215" s="13" t="s">
        <v>696</v>
      </c>
    </row>
    <row r="216" spans="1:10">
      <c r="A216" s="671" t="s">
        <v>1653</v>
      </c>
      <c r="B216" s="26"/>
      <c r="C216" s="16" t="s">
        <v>2391</v>
      </c>
      <c r="D216" s="17" t="s">
        <v>2307</v>
      </c>
      <c r="E216" s="14"/>
      <c r="F216" s="14">
        <v>45800</v>
      </c>
      <c r="G216" s="18"/>
      <c r="H216" s="18"/>
      <c r="I216" s="14"/>
      <c r="J216" s="13" t="s">
        <v>1512</v>
      </c>
    </row>
    <row r="217" spans="1:10">
      <c r="A217" s="671" t="s">
        <v>1654</v>
      </c>
      <c r="B217" s="26"/>
      <c r="C217" s="16" t="s">
        <v>2392</v>
      </c>
      <c r="D217" s="17" t="s">
        <v>2307</v>
      </c>
      <c r="E217" s="14"/>
      <c r="F217" s="14">
        <v>67800</v>
      </c>
      <c r="G217" s="18"/>
      <c r="H217" s="18"/>
      <c r="I217" s="14"/>
      <c r="J217" s="13" t="s">
        <v>1512</v>
      </c>
    </row>
    <row r="218" spans="1:10">
      <c r="A218" s="671" t="s">
        <v>4389</v>
      </c>
      <c r="B218" s="26"/>
      <c r="C218" s="16" t="s">
        <v>4390</v>
      </c>
      <c r="D218" s="17" t="s">
        <v>2307</v>
      </c>
      <c r="E218" s="14"/>
      <c r="F218" s="14">
        <v>78000</v>
      </c>
      <c r="G218" s="18"/>
      <c r="H218" s="18"/>
      <c r="I218" s="14"/>
      <c r="J218" s="13" t="s">
        <v>1512</v>
      </c>
    </row>
    <row r="219" spans="1:10">
      <c r="A219" s="671" t="s">
        <v>4388</v>
      </c>
      <c r="B219" s="26"/>
      <c r="C219" s="16" t="s">
        <v>4391</v>
      </c>
      <c r="D219" s="17" t="s">
        <v>2307</v>
      </c>
      <c r="E219" s="14"/>
      <c r="F219" s="14">
        <v>119400</v>
      </c>
      <c r="G219" s="18"/>
      <c r="H219" s="18"/>
      <c r="I219" s="14"/>
      <c r="J219" s="13" t="s">
        <v>1512</v>
      </c>
    </row>
    <row r="220" spans="1:10">
      <c r="A220" s="671" t="s">
        <v>128</v>
      </c>
      <c r="B220" s="26"/>
      <c r="C220" s="16" t="s">
        <v>2393</v>
      </c>
      <c r="D220" s="17" t="s">
        <v>2307</v>
      </c>
      <c r="E220" s="14"/>
      <c r="F220" s="14">
        <v>48000</v>
      </c>
      <c r="G220" s="18"/>
      <c r="H220" s="18"/>
      <c r="I220" s="14"/>
      <c r="J220" s="13" t="s">
        <v>1512</v>
      </c>
    </row>
    <row r="221" spans="1:10">
      <c r="A221" s="671" t="s">
        <v>1084</v>
      </c>
      <c r="B221" s="26"/>
      <c r="C221" s="16" t="s">
        <v>2394</v>
      </c>
      <c r="D221" s="17" t="s">
        <v>2307</v>
      </c>
      <c r="E221" s="14"/>
      <c r="F221" s="14">
        <v>68800</v>
      </c>
      <c r="G221" s="18"/>
      <c r="H221" s="18"/>
      <c r="I221" s="14"/>
      <c r="J221" s="13" t="s">
        <v>1512</v>
      </c>
    </row>
    <row r="222" spans="1:10">
      <c r="A222" s="671" t="s">
        <v>1085</v>
      </c>
      <c r="B222" s="26"/>
      <c r="C222" s="16" t="s">
        <v>2395</v>
      </c>
      <c r="D222" s="17" t="s">
        <v>2307</v>
      </c>
      <c r="E222" s="14"/>
      <c r="F222" s="14">
        <v>94300</v>
      </c>
      <c r="G222" s="18"/>
      <c r="H222" s="18"/>
      <c r="I222" s="14"/>
      <c r="J222" s="13" t="s">
        <v>1512</v>
      </c>
    </row>
    <row r="223" spans="1:10">
      <c r="A223" s="671" t="s">
        <v>1086</v>
      </c>
      <c r="B223" s="26"/>
      <c r="C223" s="16" t="s">
        <v>2396</v>
      </c>
      <c r="D223" s="17" t="s">
        <v>2307</v>
      </c>
      <c r="E223" s="14"/>
      <c r="F223" s="14">
        <v>82607</v>
      </c>
      <c r="G223" s="18"/>
      <c r="H223" s="18"/>
      <c r="I223" s="14"/>
      <c r="J223" s="13" t="s">
        <v>1512</v>
      </c>
    </row>
    <row r="224" spans="1:10">
      <c r="A224" s="671" t="s">
        <v>1087</v>
      </c>
      <c r="B224" s="26"/>
      <c r="C224" s="16" t="s">
        <v>2397</v>
      </c>
      <c r="D224" s="17" t="s">
        <v>2307</v>
      </c>
      <c r="E224" s="14"/>
      <c r="F224" s="14">
        <v>96867</v>
      </c>
      <c r="G224" s="18"/>
      <c r="H224" s="18"/>
      <c r="I224" s="14"/>
      <c r="J224" s="13" t="s">
        <v>1512</v>
      </c>
    </row>
    <row r="225" spans="1:12">
      <c r="A225" s="671" t="s">
        <v>1013</v>
      </c>
      <c r="B225" s="26"/>
      <c r="C225" s="16" t="s">
        <v>2398</v>
      </c>
      <c r="D225" s="17" t="s">
        <v>2307</v>
      </c>
      <c r="E225" s="14"/>
      <c r="F225" s="14">
        <v>187900</v>
      </c>
      <c r="G225" s="18"/>
      <c r="H225" s="18"/>
      <c r="I225" s="14"/>
      <c r="J225" s="13" t="s">
        <v>1512</v>
      </c>
    </row>
    <row r="226" spans="1:12">
      <c r="A226" s="16" t="s">
        <v>1693</v>
      </c>
      <c r="B226" s="24" t="s">
        <v>226</v>
      </c>
      <c r="C226" s="16" t="s">
        <v>2399</v>
      </c>
      <c r="D226" s="17" t="s">
        <v>2307</v>
      </c>
      <c r="E226" s="14"/>
      <c r="F226" s="14">
        <v>17030</v>
      </c>
      <c r="G226" s="18"/>
      <c r="H226" s="18"/>
      <c r="I226" s="14">
        <v>8200</v>
      </c>
      <c r="J226" s="13" t="s">
        <v>1489</v>
      </c>
    </row>
    <row r="227" spans="1:12">
      <c r="A227" s="16" t="s">
        <v>253</v>
      </c>
      <c r="B227" s="24" t="s">
        <v>226</v>
      </c>
      <c r="C227" s="19" t="s">
        <v>2400</v>
      </c>
      <c r="D227" s="17" t="s">
        <v>2307</v>
      </c>
      <c r="E227" s="18"/>
      <c r="F227" s="18">
        <v>123400</v>
      </c>
      <c r="G227" s="18"/>
      <c r="H227" s="1992"/>
      <c r="I227" s="14"/>
      <c r="J227" s="13" t="s">
        <v>1489</v>
      </c>
    </row>
    <row r="228" spans="1:12">
      <c r="A228" s="16" t="s">
        <v>865</v>
      </c>
      <c r="B228" s="24" t="s">
        <v>226</v>
      </c>
      <c r="C228" s="16" t="s">
        <v>4703</v>
      </c>
      <c r="D228" s="17" t="s">
        <v>2307</v>
      </c>
      <c r="E228" s="14"/>
      <c r="F228" s="14">
        <v>28200</v>
      </c>
      <c r="G228" s="18"/>
      <c r="H228" s="18"/>
      <c r="I228" s="14">
        <v>8200</v>
      </c>
      <c r="J228" s="13" t="s">
        <v>1489</v>
      </c>
    </row>
    <row r="229" spans="1:12" s="1696" customFormat="1">
      <c r="A229" s="1690" t="s">
        <v>4804</v>
      </c>
      <c r="B229" s="1725"/>
      <c r="C229" s="1690" t="s">
        <v>4805</v>
      </c>
      <c r="D229" s="1724" t="s">
        <v>2307</v>
      </c>
      <c r="E229" s="1693"/>
      <c r="F229" s="1693">
        <v>63200</v>
      </c>
      <c r="G229" s="1694"/>
      <c r="H229" s="1694"/>
      <c r="I229" s="1693">
        <v>8200</v>
      </c>
      <c r="J229" s="1695" t="s">
        <v>1489</v>
      </c>
    </row>
    <row r="230" spans="1:12">
      <c r="A230" s="16" t="s">
        <v>1735</v>
      </c>
      <c r="B230" s="24"/>
      <c r="C230" s="16" t="s">
        <v>2401</v>
      </c>
      <c r="D230" s="17" t="s">
        <v>2307</v>
      </c>
      <c r="E230" s="14"/>
      <c r="F230" s="14">
        <v>5000</v>
      </c>
      <c r="G230" s="18"/>
      <c r="H230" s="18"/>
      <c r="I230" s="14">
        <v>10300</v>
      </c>
      <c r="J230" s="13" t="s">
        <v>868</v>
      </c>
    </row>
    <row r="231" spans="1:12">
      <c r="A231" s="16" t="s">
        <v>597</v>
      </c>
      <c r="B231" s="672" t="s">
        <v>922</v>
      </c>
      <c r="C231" s="16" t="s">
        <v>2402</v>
      </c>
      <c r="D231" s="17" t="s">
        <v>2307</v>
      </c>
      <c r="E231" s="14"/>
      <c r="F231" s="673">
        <v>8515</v>
      </c>
      <c r="G231" s="18"/>
      <c r="H231" s="18"/>
      <c r="I231" s="14"/>
      <c r="J231" s="13" t="s">
        <v>1489</v>
      </c>
    </row>
    <row r="232" spans="1:12">
      <c r="A232" s="16" t="s">
        <v>1805</v>
      </c>
      <c r="B232" s="672" t="s">
        <v>922</v>
      </c>
      <c r="C232" s="16" t="s">
        <v>2403</v>
      </c>
      <c r="D232" s="17" t="s">
        <v>2307</v>
      </c>
      <c r="E232" s="14"/>
      <c r="F232" s="14">
        <v>14472</v>
      </c>
      <c r="G232" s="18"/>
      <c r="H232" s="18"/>
      <c r="I232" s="14">
        <v>25900</v>
      </c>
      <c r="J232" s="13" t="s">
        <v>1638</v>
      </c>
    </row>
    <row r="233" spans="1:12">
      <c r="A233" s="16" t="s">
        <v>555</v>
      </c>
      <c r="B233" s="672" t="s">
        <v>922</v>
      </c>
      <c r="C233" s="16" t="s">
        <v>2404</v>
      </c>
      <c r="D233" s="17" t="s">
        <v>2307</v>
      </c>
      <c r="E233" s="14"/>
      <c r="F233" s="14">
        <v>51800</v>
      </c>
      <c r="G233" s="18"/>
      <c r="H233" s="18"/>
      <c r="I233" s="14">
        <v>51800</v>
      </c>
      <c r="J233" s="13" t="s">
        <v>1638</v>
      </c>
    </row>
    <row r="234" spans="1:12">
      <c r="A234" s="16" t="s">
        <v>225</v>
      </c>
      <c r="B234" s="672"/>
      <c r="C234" s="16" t="s">
        <v>2405</v>
      </c>
      <c r="D234" s="17" t="s">
        <v>2307</v>
      </c>
      <c r="E234" s="14"/>
      <c r="F234" s="14">
        <v>59600</v>
      </c>
      <c r="G234" s="18"/>
      <c r="H234" s="18"/>
      <c r="I234" s="14">
        <v>9150</v>
      </c>
      <c r="J234" s="13" t="s">
        <v>1638</v>
      </c>
    </row>
    <row r="235" spans="1:12">
      <c r="A235" s="16" t="s">
        <v>272</v>
      </c>
      <c r="B235" s="672"/>
      <c r="C235" s="16" t="s">
        <v>2406</v>
      </c>
      <c r="D235" s="17" t="s">
        <v>2307</v>
      </c>
      <c r="E235" s="14"/>
      <c r="F235" s="14">
        <v>62910</v>
      </c>
      <c r="G235" s="18"/>
      <c r="H235" s="18"/>
      <c r="I235" s="14">
        <v>12480</v>
      </c>
      <c r="J235" s="13" t="s">
        <v>1638</v>
      </c>
    </row>
    <row r="236" spans="1:12">
      <c r="A236" s="16" t="s">
        <v>2185</v>
      </c>
      <c r="B236" s="672"/>
      <c r="C236" s="16" t="s">
        <v>2407</v>
      </c>
      <c r="D236" s="17" t="s">
        <v>2307</v>
      </c>
      <c r="E236" s="14"/>
      <c r="F236" s="14">
        <v>89200</v>
      </c>
      <c r="G236" s="18"/>
      <c r="H236" s="18"/>
      <c r="I236" s="14">
        <v>12480</v>
      </c>
      <c r="J236" s="13" t="s">
        <v>1638</v>
      </c>
    </row>
    <row r="237" spans="1:12">
      <c r="A237" s="16" t="s">
        <v>2073</v>
      </c>
      <c r="B237" s="672"/>
      <c r="C237" s="16" t="s">
        <v>2408</v>
      </c>
      <c r="D237" s="17" t="s">
        <v>2307</v>
      </c>
      <c r="E237" s="14"/>
      <c r="F237" s="14">
        <v>91800</v>
      </c>
      <c r="G237" s="18"/>
      <c r="H237" s="18"/>
      <c r="I237" s="14">
        <v>17510</v>
      </c>
      <c r="J237" s="13" t="s">
        <v>1638</v>
      </c>
      <c r="L237" s="592">
        <v>1854</v>
      </c>
    </row>
    <row r="238" spans="1:12">
      <c r="A238" s="16" t="s">
        <v>424</v>
      </c>
      <c r="B238" s="672"/>
      <c r="C238" s="16" t="s">
        <v>2409</v>
      </c>
      <c r="D238" s="17" t="s">
        <v>2307</v>
      </c>
      <c r="E238" s="14"/>
      <c r="F238" s="14">
        <v>87805</v>
      </c>
      <c r="G238" s="18"/>
      <c r="H238" s="18"/>
      <c r="I238" s="14">
        <v>23710</v>
      </c>
      <c r="J238" s="13" t="s">
        <v>1638</v>
      </c>
      <c r="L238" s="592">
        <v>1854</v>
      </c>
    </row>
    <row r="239" spans="1:12">
      <c r="A239" s="16" t="s">
        <v>2074</v>
      </c>
      <c r="B239" s="672"/>
      <c r="C239" s="16" t="s">
        <v>2410</v>
      </c>
      <c r="D239" s="17" t="s">
        <v>2307</v>
      </c>
      <c r="E239" s="14"/>
      <c r="F239" s="14">
        <v>120529</v>
      </c>
      <c r="G239" s="18"/>
      <c r="H239" s="18"/>
      <c r="I239" s="14">
        <v>32350</v>
      </c>
      <c r="J239" s="13" t="s">
        <v>1638</v>
      </c>
      <c r="L239" s="592">
        <v>1854</v>
      </c>
    </row>
    <row r="240" spans="1:12">
      <c r="A240" s="16" t="s">
        <v>1312</v>
      </c>
      <c r="B240" s="26"/>
      <c r="C240" s="16" t="s">
        <v>2411</v>
      </c>
      <c r="D240" s="17" t="s">
        <v>2307</v>
      </c>
      <c r="E240" s="14"/>
      <c r="F240" s="14">
        <v>236300</v>
      </c>
      <c r="G240" s="18"/>
      <c r="H240" s="18"/>
      <c r="I240" s="14">
        <v>40480</v>
      </c>
      <c r="J240" s="13" t="s">
        <v>1638</v>
      </c>
      <c r="L240" s="592">
        <v>4944</v>
      </c>
    </row>
    <row r="241" spans="1:12">
      <c r="A241" s="16" t="s">
        <v>1313</v>
      </c>
      <c r="B241" s="26"/>
      <c r="C241" s="16" t="s">
        <v>2412</v>
      </c>
      <c r="D241" s="17" t="s">
        <v>2307</v>
      </c>
      <c r="E241" s="14"/>
      <c r="F241" s="14">
        <v>194893</v>
      </c>
      <c r="G241" s="18"/>
      <c r="H241" s="18"/>
      <c r="I241" s="14">
        <v>50550</v>
      </c>
      <c r="J241" s="13" t="s">
        <v>1638</v>
      </c>
      <c r="L241" s="592">
        <v>4944</v>
      </c>
    </row>
    <row r="242" spans="1:12">
      <c r="A242" s="16" t="s">
        <v>310</v>
      </c>
      <c r="B242" s="26"/>
      <c r="C242" s="16" t="s">
        <v>2413</v>
      </c>
      <c r="D242" s="17" t="s">
        <v>2307</v>
      </c>
      <c r="E242" s="14"/>
      <c r="F242" s="14">
        <v>232999</v>
      </c>
      <c r="G242" s="18"/>
      <c r="H242" s="18"/>
      <c r="I242" s="14">
        <v>62350</v>
      </c>
      <c r="J242" s="13" t="s">
        <v>1638</v>
      </c>
      <c r="L242" s="592">
        <v>6180</v>
      </c>
    </row>
    <row r="243" spans="1:12">
      <c r="A243" s="16" t="s">
        <v>1452</v>
      </c>
      <c r="B243" s="26"/>
      <c r="C243" s="16" t="s">
        <v>2414</v>
      </c>
      <c r="D243" s="17" t="s">
        <v>2307</v>
      </c>
      <c r="E243" s="14"/>
      <c r="F243" s="14">
        <v>347931</v>
      </c>
      <c r="G243" s="18"/>
      <c r="H243" s="18"/>
      <c r="I243" s="14">
        <v>65210</v>
      </c>
      <c r="J243" s="13" t="s">
        <v>1638</v>
      </c>
      <c r="L243" s="592">
        <v>6180</v>
      </c>
    </row>
    <row r="244" spans="1:12">
      <c r="A244" s="16" t="s">
        <v>1279</v>
      </c>
      <c r="B244" s="26"/>
      <c r="C244" s="16" t="s">
        <v>2415</v>
      </c>
      <c r="D244" s="17" t="s">
        <v>2307</v>
      </c>
      <c r="E244" s="14"/>
      <c r="F244" s="14">
        <v>567100</v>
      </c>
      <c r="G244" s="18"/>
      <c r="H244" s="18"/>
      <c r="I244" s="14">
        <v>80150</v>
      </c>
      <c r="J244" s="13" t="s">
        <v>1638</v>
      </c>
      <c r="L244" s="592">
        <v>6180</v>
      </c>
    </row>
    <row r="245" spans="1:12">
      <c r="A245" s="16" t="s">
        <v>473</v>
      </c>
      <c r="B245" s="26"/>
      <c r="C245" s="16" t="s">
        <v>2416</v>
      </c>
      <c r="D245" s="17" t="s">
        <v>2307</v>
      </c>
      <c r="E245" s="14"/>
      <c r="F245" s="14">
        <v>318421</v>
      </c>
      <c r="G245" s="18"/>
      <c r="H245" s="18"/>
      <c r="I245" s="14">
        <v>80150</v>
      </c>
      <c r="J245" s="13" t="s">
        <v>1638</v>
      </c>
      <c r="L245" s="592">
        <v>6180</v>
      </c>
    </row>
    <row r="246" spans="1:12">
      <c r="A246" s="16" t="s">
        <v>1255</v>
      </c>
      <c r="B246" s="26"/>
      <c r="C246" s="16" t="s">
        <v>2417</v>
      </c>
      <c r="D246" s="17" t="s">
        <v>2307</v>
      </c>
      <c r="E246" s="14"/>
      <c r="F246" s="14">
        <v>684900</v>
      </c>
      <c r="G246" s="18"/>
      <c r="H246" s="18"/>
      <c r="I246" s="14">
        <v>100290</v>
      </c>
      <c r="J246" s="13" t="s">
        <v>1638</v>
      </c>
      <c r="L246" s="592">
        <v>6180</v>
      </c>
    </row>
    <row r="247" spans="1:12">
      <c r="A247" s="16" t="s">
        <v>1357</v>
      </c>
      <c r="B247" s="26"/>
      <c r="C247" s="16" t="s">
        <v>2418</v>
      </c>
      <c r="D247" s="17" t="s">
        <v>2307</v>
      </c>
      <c r="E247" s="14"/>
      <c r="F247" s="14">
        <v>928400</v>
      </c>
      <c r="G247" s="18"/>
      <c r="H247" s="18"/>
      <c r="I247" s="14">
        <v>131810</v>
      </c>
      <c r="J247" s="13" t="s">
        <v>1638</v>
      </c>
      <c r="L247" s="592">
        <v>6180</v>
      </c>
    </row>
    <row r="248" spans="1:12">
      <c r="A248" s="16" t="s">
        <v>1068</v>
      </c>
      <c r="B248" s="26"/>
      <c r="C248" s="16" t="s">
        <v>2419</v>
      </c>
      <c r="D248" s="17" t="s">
        <v>2307</v>
      </c>
      <c r="E248" s="14"/>
      <c r="F248" s="14">
        <v>12900</v>
      </c>
      <c r="G248" s="18"/>
      <c r="H248" s="18"/>
      <c r="I248" s="14">
        <v>5320</v>
      </c>
      <c r="J248" s="13" t="s">
        <v>696</v>
      </c>
    </row>
    <row r="249" spans="1:12">
      <c r="A249" s="16" t="s">
        <v>1564</v>
      </c>
      <c r="B249" s="26"/>
      <c r="C249" s="16" t="s">
        <v>2420</v>
      </c>
      <c r="D249" s="17" t="s">
        <v>2307</v>
      </c>
      <c r="E249" s="14"/>
      <c r="F249" s="14">
        <v>16400</v>
      </c>
      <c r="G249" s="18"/>
      <c r="H249" s="18"/>
      <c r="I249" s="14">
        <v>6660</v>
      </c>
      <c r="J249" s="13" t="s">
        <v>696</v>
      </c>
    </row>
    <row r="250" spans="1:12">
      <c r="A250" s="16" t="s">
        <v>246</v>
      </c>
      <c r="B250" s="26"/>
      <c r="C250" s="16" t="s">
        <v>2421</v>
      </c>
      <c r="D250" s="17" t="s">
        <v>2307</v>
      </c>
      <c r="E250" s="14"/>
      <c r="F250" s="14">
        <v>22800</v>
      </c>
      <c r="G250" s="18"/>
      <c r="H250" s="18"/>
      <c r="I250" s="14">
        <v>9230</v>
      </c>
      <c r="J250" s="13" t="s">
        <v>696</v>
      </c>
    </row>
    <row r="251" spans="1:12">
      <c r="A251" s="16" t="s">
        <v>1703</v>
      </c>
      <c r="B251" s="26"/>
      <c r="C251" s="16" t="s">
        <v>2422</v>
      </c>
      <c r="D251" s="17" t="s">
        <v>2307</v>
      </c>
      <c r="E251" s="14"/>
      <c r="F251" s="14">
        <v>31300</v>
      </c>
      <c r="G251" s="18"/>
      <c r="H251" s="18"/>
      <c r="I251" s="14">
        <v>12650</v>
      </c>
      <c r="J251" s="13" t="s">
        <v>696</v>
      </c>
    </row>
    <row r="252" spans="1:12">
      <c r="A252" s="16" t="s">
        <v>108</v>
      </c>
      <c r="B252" s="26"/>
      <c r="C252" s="16" t="s">
        <v>2423</v>
      </c>
      <c r="D252" s="17" t="s">
        <v>2307</v>
      </c>
      <c r="E252" s="14"/>
      <c r="F252" s="14">
        <v>39800</v>
      </c>
      <c r="G252" s="18"/>
      <c r="H252" s="18"/>
      <c r="I252" s="14">
        <v>15740</v>
      </c>
      <c r="J252" s="13" t="s">
        <v>696</v>
      </c>
    </row>
    <row r="253" spans="1:12">
      <c r="A253" s="16" t="s">
        <v>1286</v>
      </c>
      <c r="B253" s="26"/>
      <c r="C253" s="16" t="s">
        <v>2424</v>
      </c>
      <c r="D253" s="17" t="s">
        <v>2307</v>
      </c>
      <c r="E253" s="14"/>
      <c r="F253" s="14">
        <v>47500</v>
      </c>
      <c r="G253" s="18"/>
      <c r="H253" s="18"/>
      <c r="I253" s="14">
        <v>18770</v>
      </c>
      <c r="J253" s="13" t="s">
        <v>696</v>
      </c>
    </row>
    <row r="254" spans="1:12">
      <c r="A254" s="16" t="s">
        <v>1287</v>
      </c>
      <c r="B254" s="26"/>
      <c r="C254" s="16" t="s">
        <v>2425</v>
      </c>
      <c r="D254" s="17" t="s">
        <v>2307</v>
      </c>
      <c r="E254" s="14"/>
      <c r="F254" s="14">
        <v>59000</v>
      </c>
      <c r="G254" s="18"/>
      <c r="H254" s="18"/>
      <c r="I254" s="14">
        <v>23340</v>
      </c>
      <c r="J254" s="13" t="s">
        <v>696</v>
      </c>
    </row>
    <row r="255" spans="1:12">
      <c r="A255" s="16" t="s">
        <v>1288</v>
      </c>
      <c r="B255" s="26"/>
      <c r="C255" s="16" t="s">
        <v>2426</v>
      </c>
      <c r="D255" s="17" t="s">
        <v>2307</v>
      </c>
      <c r="E255" s="14"/>
      <c r="F255" s="14">
        <v>77500</v>
      </c>
      <c r="G255" s="18"/>
      <c r="H255" s="18"/>
      <c r="I255" s="14">
        <v>29750</v>
      </c>
      <c r="J255" s="13" t="s">
        <v>696</v>
      </c>
    </row>
    <row r="256" spans="1:12">
      <c r="A256" s="25" t="s">
        <v>959</v>
      </c>
      <c r="B256" s="668"/>
      <c r="C256" s="666" t="s">
        <v>2427</v>
      </c>
      <c r="D256" s="17" t="s">
        <v>1557</v>
      </c>
      <c r="E256" s="14"/>
      <c r="F256" s="14">
        <v>90700</v>
      </c>
      <c r="G256" s="18"/>
      <c r="H256" s="18"/>
      <c r="I256" s="14">
        <v>34000</v>
      </c>
      <c r="J256" s="13" t="s">
        <v>1512</v>
      </c>
    </row>
    <row r="257" spans="1:10">
      <c r="A257" s="25" t="s">
        <v>1966</v>
      </c>
      <c r="B257" s="668"/>
      <c r="C257" s="666" t="s">
        <v>2428</v>
      </c>
      <c r="D257" s="17" t="s">
        <v>1557</v>
      </c>
      <c r="E257" s="14"/>
      <c r="F257" s="14">
        <v>90700</v>
      </c>
      <c r="G257" s="18"/>
      <c r="H257" s="18"/>
      <c r="I257" s="14">
        <v>39000</v>
      </c>
      <c r="J257" s="13" t="s">
        <v>1512</v>
      </c>
    </row>
    <row r="258" spans="1:10">
      <c r="A258" s="25" t="s">
        <v>1507</v>
      </c>
      <c r="B258" s="668"/>
      <c r="C258" s="666" t="s">
        <v>2429</v>
      </c>
      <c r="D258" s="17" t="s">
        <v>1557</v>
      </c>
      <c r="E258" s="14"/>
      <c r="F258" s="14">
        <v>89000</v>
      </c>
      <c r="G258" s="18"/>
      <c r="H258" s="18"/>
      <c r="I258" s="14">
        <v>39000</v>
      </c>
      <c r="J258" s="13" t="s">
        <v>1512</v>
      </c>
    </row>
    <row r="259" spans="1:10">
      <c r="A259" s="25" t="s">
        <v>1508</v>
      </c>
      <c r="B259" s="668"/>
      <c r="C259" s="666" t="s">
        <v>2430</v>
      </c>
      <c r="D259" s="17" t="s">
        <v>1557</v>
      </c>
      <c r="E259" s="14"/>
      <c r="F259" s="14">
        <v>89000</v>
      </c>
      <c r="G259" s="18"/>
      <c r="H259" s="18"/>
      <c r="I259" s="14">
        <v>39000</v>
      </c>
      <c r="J259" s="13" t="s">
        <v>1512</v>
      </c>
    </row>
    <row r="260" spans="1:10">
      <c r="A260" s="25" t="s">
        <v>1509</v>
      </c>
      <c r="B260" s="668"/>
      <c r="C260" s="666" t="s">
        <v>2431</v>
      </c>
      <c r="D260" s="17" t="s">
        <v>1557</v>
      </c>
      <c r="E260" s="14"/>
      <c r="F260" s="14">
        <v>89000</v>
      </c>
      <c r="G260" s="18"/>
      <c r="H260" s="18"/>
      <c r="I260" s="14">
        <v>39000</v>
      </c>
      <c r="J260" s="13" t="s">
        <v>1512</v>
      </c>
    </row>
    <row r="261" spans="1:10">
      <c r="A261" s="25" t="s">
        <v>723</v>
      </c>
      <c r="B261" s="668"/>
      <c r="C261" s="666" t="s">
        <v>2432</v>
      </c>
      <c r="D261" s="17" t="s">
        <v>1557</v>
      </c>
      <c r="E261" s="14"/>
      <c r="F261" s="14">
        <v>89000</v>
      </c>
      <c r="G261" s="18"/>
      <c r="H261" s="18"/>
      <c r="I261" s="14">
        <v>39000</v>
      </c>
      <c r="J261" s="13" t="s">
        <v>1512</v>
      </c>
    </row>
    <row r="262" spans="1:10">
      <c r="A262" s="25" t="s">
        <v>38</v>
      </c>
      <c r="B262" s="668"/>
      <c r="C262" s="666" t="s">
        <v>2433</v>
      </c>
      <c r="D262" s="17" t="s">
        <v>1557</v>
      </c>
      <c r="E262" s="14"/>
      <c r="F262" s="14">
        <v>87700</v>
      </c>
      <c r="G262" s="18"/>
      <c r="H262" s="18"/>
      <c r="I262" s="14">
        <v>39000</v>
      </c>
      <c r="J262" s="13" t="s">
        <v>1512</v>
      </c>
    </row>
    <row r="263" spans="1:10">
      <c r="A263" s="25" t="s">
        <v>39</v>
      </c>
      <c r="B263" s="668"/>
      <c r="C263" s="666" t="s">
        <v>2434</v>
      </c>
      <c r="D263" s="17" t="s">
        <v>1557</v>
      </c>
      <c r="E263" s="14"/>
      <c r="F263" s="14">
        <v>87700</v>
      </c>
      <c r="G263" s="18"/>
      <c r="H263" s="18"/>
      <c r="I263" s="14">
        <v>39000</v>
      </c>
      <c r="J263" s="13" t="s">
        <v>1512</v>
      </c>
    </row>
    <row r="264" spans="1:10">
      <c r="A264" s="674" t="s">
        <v>2075</v>
      </c>
      <c r="B264" s="26"/>
      <c r="C264" s="666" t="s">
        <v>2435</v>
      </c>
      <c r="D264" s="17" t="s">
        <v>1557</v>
      </c>
      <c r="E264" s="14"/>
      <c r="F264" s="707">
        <v>47300</v>
      </c>
      <c r="G264" s="18"/>
      <c r="H264" s="18"/>
      <c r="I264" s="14">
        <v>5168</v>
      </c>
      <c r="J264" s="13" t="s">
        <v>1489</v>
      </c>
    </row>
    <row r="265" spans="1:10">
      <c r="A265" s="674" t="s">
        <v>374</v>
      </c>
      <c r="B265" s="26"/>
      <c r="C265" s="666" t="s">
        <v>2436</v>
      </c>
      <c r="D265" s="17" t="s">
        <v>1557</v>
      </c>
      <c r="E265" s="14"/>
      <c r="F265" s="707">
        <v>47300</v>
      </c>
      <c r="G265" s="18"/>
      <c r="H265" s="18"/>
      <c r="I265" s="14">
        <v>6013</v>
      </c>
      <c r="J265" s="13" t="s">
        <v>1489</v>
      </c>
    </row>
    <row r="266" spans="1:10">
      <c r="A266" s="25" t="s">
        <v>415</v>
      </c>
      <c r="B266" s="668"/>
      <c r="C266" s="666" t="s">
        <v>2437</v>
      </c>
      <c r="D266" s="20" t="s">
        <v>2118</v>
      </c>
      <c r="E266" s="14"/>
      <c r="F266" s="14">
        <v>83000</v>
      </c>
      <c r="G266" s="18"/>
      <c r="H266" s="18"/>
      <c r="I266" s="14">
        <v>91500</v>
      </c>
      <c r="J266" s="13" t="s">
        <v>1489</v>
      </c>
    </row>
    <row r="267" spans="1:10">
      <c r="A267" s="25" t="s">
        <v>1999</v>
      </c>
      <c r="B267" s="668"/>
      <c r="C267" s="666" t="s">
        <v>2438</v>
      </c>
      <c r="D267" s="20" t="s">
        <v>2118</v>
      </c>
      <c r="E267" s="14"/>
      <c r="F267" s="14">
        <v>85000</v>
      </c>
      <c r="G267" s="18"/>
      <c r="H267" s="18"/>
      <c r="I267" s="14">
        <v>94500</v>
      </c>
      <c r="J267" s="13" t="s">
        <v>1489</v>
      </c>
    </row>
    <row r="268" spans="1:10" ht="13.8">
      <c r="A268" s="666" t="s">
        <v>414</v>
      </c>
      <c r="B268" s="26"/>
      <c r="C268" s="25" t="s">
        <v>2439</v>
      </c>
      <c r="D268" s="20" t="s">
        <v>2118</v>
      </c>
      <c r="E268" s="14"/>
      <c r="F268" s="1989">
        <v>65000</v>
      </c>
      <c r="G268" s="18"/>
      <c r="H268" s="18"/>
      <c r="I268" s="14">
        <v>41100</v>
      </c>
      <c r="J268" s="13" t="s">
        <v>1489</v>
      </c>
    </row>
    <row r="269" spans="1:10">
      <c r="A269" s="25" t="s">
        <v>4897</v>
      </c>
      <c r="B269" s="668"/>
      <c r="C269" s="16" t="s">
        <v>4898</v>
      </c>
      <c r="D269" s="17" t="s">
        <v>2118</v>
      </c>
      <c r="E269" s="14"/>
      <c r="F269" s="14">
        <v>150000</v>
      </c>
      <c r="G269" s="18"/>
      <c r="H269" s="18"/>
      <c r="I269" s="14">
        <v>71460</v>
      </c>
      <c r="J269" s="13" t="s">
        <v>610</v>
      </c>
    </row>
    <row r="270" spans="1:10">
      <c r="A270" s="25" t="s">
        <v>4899</v>
      </c>
      <c r="B270" s="668"/>
      <c r="C270" s="16" t="s">
        <v>4900</v>
      </c>
      <c r="D270" s="17" t="s">
        <v>2118</v>
      </c>
      <c r="E270" s="14"/>
      <c r="F270" s="14">
        <v>150000</v>
      </c>
      <c r="G270" s="18"/>
      <c r="H270" s="18"/>
      <c r="I270" s="14">
        <v>71460</v>
      </c>
      <c r="J270" s="13" t="s">
        <v>610</v>
      </c>
    </row>
    <row r="271" spans="1:10">
      <c r="A271" s="25" t="s">
        <v>4901</v>
      </c>
      <c r="B271" s="668"/>
      <c r="C271" s="16" t="s">
        <v>4903</v>
      </c>
      <c r="D271" s="17" t="s">
        <v>2118</v>
      </c>
      <c r="E271" s="14"/>
      <c r="F271" s="14">
        <v>132000</v>
      </c>
      <c r="G271" s="18"/>
      <c r="H271" s="18"/>
      <c r="I271" s="14">
        <v>71460</v>
      </c>
      <c r="J271" s="13" t="s">
        <v>610</v>
      </c>
    </row>
    <row r="272" spans="1:10">
      <c r="A272" s="25" t="s">
        <v>4902</v>
      </c>
      <c r="B272" s="668"/>
      <c r="C272" s="16" t="s">
        <v>4904</v>
      </c>
      <c r="D272" s="17" t="s">
        <v>2118</v>
      </c>
      <c r="E272" s="14"/>
      <c r="F272" s="14">
        <v>200000</v>
      </c>
      <c r="G272" s="18"/>
      <c r="H272" s="18"/>
      <c r="I272" s="14">
        <v>71460</v>
      </c>
      <c r="J272" s="13" t="s">
        <v>610</v>
      </c>
    </row>
    <row r="273" spans="1:13">
      <c r="A273" s="25" t="s">
        <v>5785</v>
      </c>
      <c r="B273" s="668"/>
      <c r="C273" s="16" t="s">
        <v>5788</v>
      </c>
      <c r="D273" s="17" t="s">
        <v>2118</v>
      </c>
      <c r="E273" s="14"/>
      <c r="F273" s="14">
        <v>132000</v>
      </c>
      <c r="G273" s="18"/>
      <c r="H273" s="18"/>
      <c r="I273" s="14">
        <v>71460</v>
      </c>
      <c r="J273" s="13" t="s">
        <v>610</v>
      </c>
    </row>
    <row r="274" spans="1:13">
      <c r="A274" s="25" t="s">
        <v>5784</v>
      </c>
      <c r="B274" s="668"/>
      <c r="C274" s="16" t="s">
        <v>5789</v>
      </c>
      <c r="D274" s="17" t="s">
        <v>2118</v>
      </c>
      <c r="E274" s="14"/>
      <c r="F274" s="14">
        <v>200000</v>
      </c>
      <c r="G274" s="18"/>
      <c r="H274" s="18"/>
      <c r="I274" s="14">
        <v>71460</v>
      </c>
      <c r="J274" s="13" t="s">
        <v>610</v>
      </c>
    </row>
    <row r="275" spans="1:13">
      <c r="A275" s="25" t="s">
        <v>998</v>
      </c>
      <c r="B275" s="668"/>
      <c r="C275" s="16" t="s">
        <v>2440</v>
      </c>
      <c r="D275" s="17" t="s">
        <v>1557</v>
      </c>
      <c r="E275" s="14"/>
      <c r="F275" s="707">
        <v>51336</v>
      </c>
      <c r="G275" s="18"/>
      <c r="H275" s="18"/>
      <c r="I275" s="14">
        <v>71460</v>
      </c>
      <c r="J275" s="13" t="s">
        <v>610</v>
      </c>
    </row>
    <row r="276" spans="1:13">
      <c r="A276" s="25" t="s">
        <v>835</v>
      </c>
      <c r="B276" s="668"/>
      <c r="C276" s="16" t="s">
        <v>2441</v>
      </c>
      <c r="D276" s="17" t="s">
        <v>2226</v>
      </c>
      <c r="E276" s="14"/>
      <c r="F276" s="14">
        <v>200000</v>
      </c>
      <c r="G276" s="18"/>
      <c r="H276" s="18"/>
      <c r="I276" s="14">
        <v>200000</v>
      </c>
      <c r="J276" s="13" t="s">
        <v>1457</v>
      </c>
    </row>
    <row r="277" spans="1:13">
      <c r="A277" s="25" t="s">
        <v>1924</v>
      </c>
      <c r="B277" s="668"/>
      <c r="C277" s="16" t="s">
        <v>2442</v>
      </c>
      <c r="D277" s="17" t="s">
        <v>2226</v>
      </c>
      <c r="E277" s="14"/>
      <c r="F277" s="14">
        <v>55000</v>
      </c>
      <c r="G277" s="18"/>
      <c r="H277" s="18"/>
      <c r="I277" s="14">
        <v>55000</v>
      </c>
      <c r="J277" s="13" t="s">
        <v>1457</v>
      </c>
    </row>
    <row r="278" spans="1:13">
      <c r="A278" s="25" t="s">
        <v>293</v>
      </c>
      <c r="B278" s="668"/>
      <c r="C278" s="16" t="s">
        <v>2443</v>
      </c>
      <c r="D278" s="17" t="s">
        <v>2226</v>
      </c>
      <c r="E278" s="14"/>
      <c r="F278" s="14">
        <v>127500</v>
      </c>
      <c r="G278" s="18"/>
      <c r="H278" s="18"/>
      <c r="I278" s="14">
        <v>127500</v>
      </c>
      <c r="J278" s="13" t="s">
        <v>1457</v>
      </c>
    </row>
    <row r="279" spans="1:13" ht="13.8">
      <c r="A279" s="25" t="s">
        <v>5033</v>
      </c>
      <c r="B279" s="1594" t="s">
        <v>5034</v>
      </c>
      <c r="C279" s="16" t="s">
        <v>5035</v>
      </c>
      <c r="D279" s="17" t="s">
        <v>2226</v>
      </c>
      <c r="E279" s="14"/>
      <c r="F279" s="14"/>
      <c r="G279" s="1595">
        <f>ROUND(103961*5.65/15,)</f>
        <v>39159</v>
      </c>
      <c r="H279" s="18"/>
      <c r="I279" s="14">
        <v>127500</v>
      </c>
      <c r="J279" s="13" t="s">
        <v>1457</v>
      </c>
      <c r="K279" s="1">
        <v>103961</v>
      </c>
    </row>
    <row r="280" spans="1:13">
      <c r="A280" s="25" t="s">
        <v>412</v>
      </c>
      <c r="B280" s="668"/>
      <c r="C280" s="25" t="s">
        <v>2444</v>
      </c>
      <c r="D280" s="17" t="s">
        <v>2226</v>
      </c>
      <c r="E280" s="14"/>
      <c r="F280" s="14">
        <v>6659712</v>
      </c>
      <c r="G280" s="14">
        <v>23508</v>
      </c>
      <c r="H280" s="14"/>
      <c r="I280" s="14">
        <v>6659712</v>
      </c>
      <c r="J280" s="13" t="s">
        <v>1457</v>
      </c>
      <c r="L280" s="1">
        <f>12.6*140000</f>
        <v>1764000</v>
      </c>
      <c r="M280" s="1">
        <f>(7200*10*50+4680*6*100+780*10*60)*8900/10^9</f>
        <v>61.196399999999997</v>
      </c>
    </row>
    <row r="281" spans="1:13">
      <c r="A281" s="25" t="s">
        <v>413</v>
      </c>
      <c r="B281" s="668"/>
      <c r="C281" s="25" t="s">
        <v>2444</v>
      </c>
      <c r="D281" s="17" t="s">
        <v>2226</v>
      </c>
      <c r="E281" s="14"/>
      <c r="F281" s="14">
        <v>22313720</v>
      </c>
      <c r="G281" s="14"/>
      <c r="H281" s="14"/>
      <c r="I281" s="14"/>
      <c r="J281" s="13" t="s">
        <v>1457</v>
      </c>
    </row>
    <row r="282" spans="1:13">
      <c r="A282" s="25" t="s">
        <v>1168</v>
      </c>
      <c r="B282" s="668"/>
      <c r="C282" s="25" t="s">
        <v>2444</v>
      </c>
      <c r="D282" s="17" t="s">
        <v>2226</v>
      </c>
      <c r="E282" s="14"/>
      <c r="F282" s="14">
        <v>200000</v>
      </c>
      <c r="G282" s="18"/>
      <c r="H282" s="18"/>
      <c r="I282" s="14">
        <v>200000</v>
      </c>
      <c r="J282" s="13" t="s">
        <v>1457</v>
      </c>
    </row>
    <row r="283" spans="1:13">
      <c r="A283" s="25" t="s">
        <v>1700</v>
      </c>
      <c r="B283" s="668"/>
      <c r="C283" s="25" t="s">
        <v>2445</v>
      </c>
      <c r="D283" s="17" t="s">
        <v>1557</v>
      </c>
      <c r="E283" s="14"/>
      <c r="F283" s="14">
        <v>2500</v>
      </c>
      <c r="G283" s="18"/>
      <c r="H283" s="18"/>
      <c r="I283" s="14">
        <v>2500</v>
      </c>
      <c r="J283" s="13" t="s">
        <v>1457</v>
      </c>
    </row>
    <row r="284" spans="1:13">
      <c r="A284" s="25" t="s">
        <v>1457</v>
      </c>
      <c r="B284" s="668"/>
      <c r="C284" s="16" t="s">
        <v>2446</v>
      </c>
      <c r="D284" s="17" t="s">
        <v>2447</v>
      </c>
      <c r="E284" s="14"/>
      <c r="F284" s="14">
        <v>17400</v>
      </c>
      <c r="G284" s="18"/>
      <c r="H284" s="18"/>
      <c r="I284" s="14">
        <v>17400</v>
      </c>
      <c r="J284" s="13" t="s">
        <v>1457</v>
      </c>
    </row>
    <row r="285" spans="1:13">
      <c r="A285" s="25" t="s">
        <v>1948</v>
      </c>
      <c r="B285" s="668"/>
      <c r="C285" s="16" t="s">
        <v>2446</v>
      </c>
      <c r="D285" s="17" t="s">
        <v>2447</v>
      </c>
      <c r="E285" s="14"/>
      <c r="F285" s="14">
        <v>20335</v>
      </c>
      <c r="G285" s="18"/>
      <c r="H285" s="18"/>
      <c r="I285" s="14">
        <v>20335</v>
      </c>
      <c r="J285" s="13" t="s">
        <v>1457</v>
      </c>
    </row>
    <row r="286" spans="1:13" ht="13.8">
      <c r="A286" s="25" t="s">
        <v>204</v>
      </c>
      <c r="B286" s="668"/>
      <c r="C286" s="666" t="s">
        <v>2448</v>
      </c>
      <c r="D286" s="17" t="s">
        <v>2118</v>
      </c>
      <c r="E286" s="14"/>
      <c r="F286" s="1989">
        <v>38000</v>
      </c>
      <c r="G286" s="18"/>
      <c r="H286" s="18"/>
      <c r="I286" s="14">
        <v>34700</v>
      </c>
      <c r="J286" s="13" t="s">
        <v>2449</v>
      </c>
    </row>
    <row r="287" spans="1:13" s="1907" customFormat="1">
      <c r="A287" s="1900" t="s">
        <v>2115</v>
      </c>
      <c r="B287" s="1901"/>
      <c r="C287" s="1902" t="s">
        <v>3403</v>
      </c>
      <c r="D287" s="1903" t="s">
        <v>2292</v>
      </c>
      <c r="E287" s="1904"/>
      <c r="F287" s="1905">
        <v>960000</v>
      </c>
      <c r="G287" s="1905"/>
      <c r="H287" s="1905"/>
      <c r="I287" s="1905">
        <v>1056000</v>
      </c>
      <c r="J287" s="1906"/>
    </row>
    <row r="288" spans="1:13">
      <c r="A288" s="692" t="s">
        <v>2168</v>
      </c>
      <c r="B288" s="693"/>
      <c r="C288" s="1596" t="s">
        <v>3404</v>
      </c>
      <c r="D288" s="675" t="s">
        <v>2292</v>
      </c>
      <c r="E288" s="670"/>
      <c r="F288" s="676">
        <v>878000</v>
      </c>
      <c r="G288" s="676"/>
      <c r="H288" s="676"/>
      <c r="I288" s="676">
        <v>1320000</v>
      </c>
      <c r="J288" s="13"/>
    </row>
    <row r="289" spans="1:10">
      <c r="A289" s="692" t="s">
        <v>2167</v>
      </c>
      <c r="B289" s="693"/>
      <c r="C289" s="1596" t="s">
        <v>3405</v>
      </c>
      <c r="D289" s="675" t="s">
        <v>2292</v>
      </c>
      <c r="E289" s="670"/>
      <c r="F289" s="676">
        <v>878000</v>
      </c>
      <c r="G289" s="676"/>
      <c r="H289" s="676"/>
      <c r="I289" s="676">
        <v>1144000</v>
      </c>
      <c r="J289" s="13"/>
    </row>
    <row r="290" spans="1:10">
      <c r="A290" s="692" t="s">
        <v>2116</v>
      </c>
      <c r="B290" s="693"/>
      <c r="C290" s="1596" t="s">
        <v>3406</v>
      </c>
      <c r="D290" s="675" t="s">
        <v>2292</v>
      </c>
      <c r="E290" s="670"/>
      <c r="F290" s="676">
        <v>320000</v>
      </c>
      <c r="G290" s="676"/>
      <c r="H290" s="676"/>
      <c r="I290" s="676">
        <v>352000</v>
      </c>
      <c r="J290" s="13"/>
    </row>
    <row r="291" spans="1:10">
      <c r="A291" s="692" t="s">
        <v>2106</v>
      </c>
      <c r="B291" s="693"/>
      <c r="C291" s="1596" t="s">
        <v>2107</v>
      </c>
      <c r="D291" s="675" t="s">
        <v>2108</v>
      </c>
      <c r="E291" s="670"/>
      <c r="F291" s="676">
        <v>140000</v>
      </c>
      <c r="G291" s="676"/>
      <c r="H291" s="676"/>
      <c r="I291" s="676">
        <v>120000</v>
      </c>
      <c r="J291" s="13"/>
    </row>
    <row r="292" spans="1:10">
      <c r="A292" s="692" t="s">
        <v>2109</v>
      </c>
      <c r="B292" s="693"/>
      <c r="C292" s="1596" t="s">
        <v>2124</v>
      </c>
      <c r="D292" s="675" t="s">
        <v>2108</v>
      </c>
      <c r="E292" s="670"/>
      <c r="F292" s="676">
        <v>95000</v>
      </c>
      <c r="G292" s="676"/>
      <c r="H292" s="676"/>
      <c r="I292" s="676">
        <v>100000</v>
      </c>
      <c r="J292" s="13"/>
    </row>
    <row r="293" spans="1:10" ht="13.8">
      <c r="A293" s="666" t="s">
        <v>997</v>
      </c>
      <c r="B293" s="26"/>
      <c r="C293" s="666" t="s">
        <v>2450</v>
      </c>
      <c r="D293" s="17" t="s">
        <v>2451</v>
      </c>
      <c r="E293" s="14"/>
      <c r="F293" s="1989">
        <v>112000</v>
      </c>
      <c r="G293" s="18"/>
      <c r="H293" s="18"/>
      <c r="I293" s="14">
        <v>130000</v>
      </c>
      <c r="J293" s="13" t="s">
        <v>1489</v>
      </c>
    </row>
    <row r="294" spans="1:10">
      <c r="A294" s="666" t="s">
        <v>1098</v>
      </c>
      <c r="B294" s="26"/>
      <c r="C294" s="666" t="s">
        <v>2452</v>
      </c>
      <c r="D294" s="17" t="s">
        <v>2226</v>
      </c>
      <c r="E294" s="14"/>
      <c r="F294" s="14">
        <v>160000</v>
      </c>
      <c r="G294" s="18"/>
      <c r="H294" s="18"/>
      <c r="I294" s="14">
        <v>139700</v>
      </c>
      <c r="J294" s="13" t="s">
        <v>1489</v>
      </c>
    </row>
    <row r="295" spans="1:10" s="1907" customFormat="1">
      <c r="A295" s="1913" t="s">
        <v>4483</v>
      </c>
      <c r="B295" s="1909"/>
      <c r="C295" s="1913" t="s">
        <v>5635</v>
      </c>
      <c r="D295" s="1910" t="s">
        <v>1557</v>
      </c>
      <c r="E295" s="1911"/>
      <c r="F295" s="1911">
        <f>Lmk</f>
        <v>31625</v>
      </c>
      <c r="G295" s="1912"/>
      <c r="H295" s="1912"/>
      <c r="I295" s="1911"/>
      <c r="J295" s="1906" t="s">
        <v>2569</v>
      </c>
    </row>
    <row r="296" spans="1:10" s="1907" customFormat="1">
      <c r="A296" s="1913" t="s">
        <v>5636</v>
      </c>
      <c r="B296" s="1909"/>
      <c r="C296" s="1913" t="s">
        <v>5637</v>
      </c>
      <c r="D296" s="1910" t="s">
        <v>1557</v>
      </c>
      <c r="E296" s="1911"/>
      <c r="F296" s="1911">
        <f>Lmk</f>
        <v>31625</v>
      </c>
      <c r="G296" s="1912"/>
      <c r="H296" s="1912"/>
      <c r="I296" s="1911"/>
      <c r="J296" s="1906" t="s">
        <v>2569</v>
      </c>
    </row>
    <row r="297" spans="1:10">
      <c r="A297" s="666" t="s">
        <v>4484</v>
      </c>
      <c r="B297" s="26" t="s">
        <v>4485</v>
      </c>
      <c r="C297" s="666" t="s">
        <v>4486</v>
      </c>
      <c r="D297" s="17" t="s">
        <v>4487</v>
      </c>
      <c r="E297" s="14"/>
      <c r="F297" s="14"/>
      <c r="G297" s="18">
        <v>55638</v>
      </c>
      <c r="H297" s="18">
        <v>134918</v>
      </c>
      <c r="I297" s="14"/>
      <c r="J297" s="13" t="s">
        <v>2484</v>
      </c>
    </row>
    <row r="298" spans="1:10">
      <c r="A298" s="666" t="s">
        <v>4488</v>
      </c>
      <c r="B298" s="26"/>
      <c r="C298" s="666" t="s">
        <v>4489</v>
      </c>
      <c r="D298" s="17" t="s">
        <v>4490</v>
      </c>
      <c r="E298" s="14"/>
      <c r="F298" s="14">
        <v>39188</v>
      </c>
      <c r="G298" s="18"/>
      <c r="H298" s="18"/>
      <c r="I298" s="14"/>
      <c r="J298" s="13" t="s">
        <v>1917</v>
      </c>
    </row>
    <row r="299" spans="1:10">
      <c r="A299" s="666" t="s">
        <v>4491</v>
      </c>
      <c r="B299" s="26"/>
      <c r="C299" s="666" t="s">
        <v>4492</v>
      </c>
      <c r="D299" s="17" t="s">
        <v>4490</v>
      </c>
      <c r="E299" s="14"/>
      <c r="F299" s="14">
        <v>38105</v>
      </c>
      <c r="G299" s="18"/>
      <c r="H299" s="18"/>
      <c r="I299" s="14"/>
      <c r="J299" s="13" t="s">
        <v>1917</v>
      </c>
    </row>
    <row r="300" spans="1:10">
      <c r="A300" s="666" t="s">
        <v>4493</v>
      </c>
      <c r="B300" s="26"/>
      <c r="C300" s="666" t="s">
        <v>4494</v>
      </c>
      <c r="D300" s="17" t="s">
        <v>4490</v>
      </c>
      <c r="E300" s="14"/>
      <c r="F300" s="14">
        <v>69188</v>
      </c>
      <c r="G300" s="18"/>
      <c r="H300" s="18"/>
      <c r="I300" s="14"/>
      <c r="J300" s="13" t="s">
        <v>1917</v>
      </c>
    </row>
    <row r="301" spans="1:10">
      <c r="A301" s="666" t="s">
        <v>4495</v>
      </c>
      <c r="B301" s="26"/>
      <c r="C301" s="666" t="s">
        <v>4496</v>
      </c>
      <c r="D301" s="17" t="s">
        <v>4490</v>
      </c>
      <c r="E301" s="14"/>
      <c r="F301" s="14">
        <v>53008</v>
      </c>
      <c r="G301" s="18"/>
      <c r="H301" s="18"/>
      <c r="I301" s="14"/>
      <c r="J301" s="13" t="s">
        <v>1917</v>
      </c>
    </row>
    <row r="302" spans="1:10" ht="13.8">
      <c r="A302" s="666" t="s">
        <v>4497</v>
      </c>
      <c r="B302" s="26"/>
      <c r="C302" s="666" t="s">
        <v>4498</v>
      </c>
      <c r="D302" s="17" t="s">
        <v>2307</v>
      </c>
      <c r="E302" s="14"/>
      <c r="F302" s="1989">
        <v>11000</v>
      </c>
      <c r="G302" s="18"/>
      <c r="H302" s="18"/>
      <c r="I302" s="14"/>
      <c r="J302" s="13" t="s">
        <v>610</v>
      </c>
    </row>
    <row r="303" spans="1:10" ht="13.8">
      <c r="A303" s="666" t="s">
        <v>4499</v>
      </c>
      <c r="B303" s="26"/>
      <c r="C303" s="666" t="s">
        <v>4500</v>
      </c>
      <c r="D303" s="17" t="s">
        <v>2118</v>
      </c>
      <c r="E303" s="14"/>
      <c r="F303" s="1989">
        <v>4000</v>
      </c>
      <c r="G303" s="18"/>
      <c r="H303" s="18"/>
      <c r="I303" s="14"/>
      <c r="J303" s="13" t="s">
        <v>2449</v>
      </c>
    </row>
    <row r="304" spans="1:10">
      <c r="A304" s="16" t="s">
        <v>2010</v>
      </c>
      <c r="B304" s="26"/>
      <c r="C304" s="16" t="s">
        <v>2453</v>
      </c>
      <c r="D304" s="17" t="s">
        <v>2118</v>
      </c>
      <c r="E304" s="14"/>
      <c r="F304" s="14">
        <v>15000</v>
      </c>
      <c r="G304" s="18"/>
      <c r="H304" s="18"/>
      <c r="I304" s="14">
        <v>9700</v>
      </c>
      <c r="J304" s="13" t="s">
        <v>2449</v>
      </c>
    </row>
    <row r="305" spans="1:10">
      <c r="A305" s="25" t="s">
        <v>1239</v>
      </c>
      <c r="B305" s="26"/>
      <c r="C305" s="25" t="s">
        <v>2454</v>
      </c>
      <c r="D305" s="17" t="s">
        <v>2118</v>
      </c>
      <c r="E305" s="14"/>
      <c r="F305" s="14">
        <v>8800</v>
      </c>
      <c r="G305" s="18"/>
      <c r="H305" s="18"/>
      <c r="I305" s="14">
        <v>8800</v>
      </c>
      <c r="J305" s="13" t="s">
        <v>2449</v>
      </c>
    </row>
    <row r="306" spans="1:10">
      <c r="A306" s="666" t="s">
        <v>154</v>
      </c>
      <c r="B306" s="26"/>
      <c r="C306" s="666" t="s">
        <v>2455</v>
      </c>
      <c r="D306" s="20" t="s">
        <v>2118</v>
      </c>
      <c r="E306" s="14"/>
      <c r="F306" s="14">
        <v>6400</v>
      </c>
      <c r="G306" s="18"/>
      <c r="H306" s="18"/>
      <c r="I306" s="14">
        <v>6400</v>
      </c>
      <c r="J306" s="13" t="s">
        <v>2449</v>
      </c>
    </row>
    <row r="307" spans="1:10">
      <c r="A307" s="666" t="s">
        <v>1206</v>
      </c>
      <c r="B307" s="26"/>
      <c r="C307" s="666" t="s">
        <v>2456</v>
      </c>
      <c r="D307" s="20" t="s">
        <v>2118</v>
      </c>
      <c r="E307" s="14"/>
      <c r="F307" s="14">
        <v>6400</v>
      </c>
      <c r="G307" s="18"/>
      <c r="H307" s="18"/>
      <c r="I307" s="14">
        <v>6400</v>
      </c>
      <c r="J307" s="13" t="s">
        <v>2449</v>
      </c>
    </row>
    <row r="308" spans="1:10">
      <c r="A308" s="16" t="s">
        <v>155</v>
      </c>
      <c r="B308" s="668"/>
      <c r="C308" s="666" t="s">
        <v>2457</v>
      </c>
      <c r="D308" s="17" t="s">
        <v>2118</v>
      </c>
      <c r="E308" s="14"/>
      <c r="F308" s="14">
        <v>6400</v>
      </c>
      <c r="G308" s="18"/>
      <c r="H308" s="18"/>
      <c r="I308" s="14">
        <v>6400</v>
      </c>
      <c r="J308" s="13" t="s">
        <v>2449</v>
      </c>
    </row>
    <row r="309" spans="1:10">
      <c r="A309" s="16" t="s">
        <v>156</v>
      </c>
      <c r="B309" s="26"/>
      <c r="C309" s="666" t="s">
        <v>2458</v>
      </c>
      <c r="D309" s="20" t="s">
        <v>2118</v>
      </c>
      <c r="E309" s="14"/>
      <c r="F309" s="14">
        <v>10600</v>
      </c>
      <c r="G309" s="18"/>
      <c r="H309" s="18"/>
      <c r="I309" s="14">
        <v>10600</v>
      </c>
      <c r="J309" s="13" t="s">
        <v>2449</v>
      </c>
    </row>
    <row r="310" spans="1:10">
      <c r="A310" s="666" t="s">
        <v>886</v>
      </c>
      <c r="B310" s="26"/>
      <c r="C310" s="666" t="s">
        <v>2459</v>
      </c>
      <c r="D310" s="20" t="s">
        <v>2118</v>
      </c>
      <c r="E310" s="14"/>
      <c r="F310" s="14">
        <v>16000</v>
      </c>
      <c r="G310" s="18"/>
      <c r="H310" s="18"/>
      <c r="I310" s="14">
        <v>16000</v>
      </c>
      <c r="J310" s="13" t="s">
        <v>2449</v>
      </c>
    </row>
    <row r="311" spans="1:10">
      <c r="A311" s="666" t="s">
        <v>1202</v>
      </c>
      <c r="B311" s="26"/>
      <c r="C311" s="666" t="s">
        <v>2460</v>
      </c>
      <c r="D311" s="20" t="s">
        <v>2118</v>
      </c>
      <c r="E311" s="14"/>
      <c r="F311" s="14">
        <v>16000</v>
      </c>
      <c r="G311" s="18"/>
      <c r="H311" s="18"/>
      <c r="I311" s="14">
        <v>16000</v>
      </c>
      <c r="J311" s="13" t="s">
        <v>2449</v>
      </c>
    </row>
    <row r="312" spans="1:10">
      <c r="A312" s="666" t="s">
        <v>885</v>
      </c>
      <c r="B312" s="26"/>
      <c r="C312" s="666" t="s">
        <v>2461</v>
      </c>
      <c r="D312" s="20" t="s">
        <v>2118</v>
      </c>
      <c r="E312" s="14"/>
      <c r="F312" s="14">
        <v>19100</v>
      </c>
      <c r="G312" s="18"/>
      <c r="H312" s="18"/>
      <c r="I312" s="14">
        <v>19100</v>
      </c>
      <c r="J312" s="13" t="s">
        <v>2449</v>
      </c>
    </row>
    <row r="313" spans="1:10">
      <c r="A313" s="666" t="s">
        <v>884</v>
      </c>
      <c r="B313" s="26"/>
      <c r="C313" s="666" t="s">
        <v>2462</v>
      </c>
      <c r="D313" s="20" t="s">
        <v>2118</v>
      </c>
      <c r="E313" s="14"/>
      <c r="F313" s="14">
        <v>19100</v>
      </c>
      <c r="G313" s="18"/>
      <c r="H313" s="18"/>
      <c r="I313" s="14">
        <v>19100</v>
      </c>
      <c r="J313" s="13" t="s">
        <v>2449</v>
      </c>
    </row>
    <row r="314" spans="1:10">
      <c r="A314" s="16" t="s">
        <v>3785</v>
      </c>
      <c r="B314" s="26"/>
      <c r="C314" s="16" t="s">
        <v>2463</v>
      </c>
      <c r="D314" s="17" t="s">
        <v>2118</v>
      </c>
      <c r="E314" s="14"/>
      <c r="F314" s="14">
        <v>24500</v>
      </c>
      <c r="G314" s="18"/>
      <c r="H314" s="18"/>
      <c r="I314" s="14"/>
      <c r="J314" s="13" t="s">
        <v>2449</v>
      </c>
    </row>
    <row r="315" spans="1:10">
      <c r="A315" s="16" t="s">
        <v>3786</v>
      </c>
      <c r="B315" s="26"/>
      <c r="C315" s="16" t="s">
        <v>2464</v>
      </c>
      <c r="D315" s="17" t="s">
        <v>2118</v>
      </c>
      <c r="E315" s="14"/>
      <c r="F315" s="14">
        <v>24500</v>
      </c>
      <c r="G315" s="18"/>
      <c r="H315" s="18"/>
      <c r="I315" s="14"/>
      <c r="J315" s="13" t="s">
        <v>2449</v>
      </c>
    </row>
    <row r="316" spans="1:10">
      <c r="A316" s="16" t="s">
        <v>3787</v>
      </c>
      <c r="B316" s="26"/>
      <c r="C316" s="16" t="s">
        <v>2465</v>
      </c>
      <c r="D316" s="17" t="s">
        <v>2118</v>
      </c>
      <c r="E316" s="14"/>
      <c r="F316" s="14">
        <v>24500</v>
      </c>
      <c r="G316" s="18"/>
      <c r="H316" s="18"/>
      <c r="I316" s="14"/>
      <c r="J316" s="13" t="s">
        <v>2449</v>
      </c>
    </row>
    <row r="317" spans="1:10">
      <c r="A317" s="16" t="s">
        <v>3788</v>
      </c>
      <c r="B317" s="26"/>
      <c r="C317" s="16" t="s">
        <v>2466</v>
      </c>
      <c r="D317" s="17" t="s">
        <v>2118</v>
      </c>
      <c r="E317" s="14"/>
      <c r="F317" s="14">
        <v>24500</v>
      </c>
      <c r="G317" s="18"/>
      <c r="H317" s="18"/>
      <c r="I317" s="14">
        <v>17000</v>
      </c>
      <c r="J317" s="13" t="s">
        <v>2449</v>
      </c>
    </row>
    <row r="318" spans="1:10">
      <c r="A318" s="16" t="s">
        <v>3789</v>
      </c>
      <c r="B318" s="26"/>
      <c r="C318" s="16" t="s">
        <v>2467</v>
      </c>
      <c r="D318" s="17" t="s">
        <v>2118</v>
      </c>
      <c r="E318" s="14"/>
      <c r="F318" s="14">
        <v>31815</v>
      </c>
      <c r="G318" s="18"/>
      <c r="H318" s="18"/>
      <c r="I318" s="14">
        <v>17000</v>
      </c>
      <c r="J318" s="13" t="s">
        <v>2449</v>
      </c>
    </row>
    <row r="319" spans="1:10">
      <c r="A319" s="16" t="s">
        <v>3790</v>
      </c>
      <c r="B319" s="26"/>
      <c r="C319" s="16" t="s">
        <v>2468</v>
      </c>
      <c r="D319" s="17" t="s">
        <v>2118</v>
      </c>
      <c r="E319" s="14"/>
      <c r="F319" s="14">
        <v>27000</v>
      </c>
      <c r="G319" s="18"/>
      <c r="H319" s="18"/>
      <c r="I319" s="14">
        <v>17000</v>
      </c>
      <c r="J319" s="13" t="s">
        <v>2449</v>
      </c>
    </row>
    <row r="320" spans="1:10">
      <c r="A320" s="16" t="s">
        <v>3791</v>
      </c>
      <c r="B320" s="26"/>
      <c r="C320" s="16" t="s">
        <v>2469</v>
      </c>
      <c r="D320" s="17" t="s">
        <v>2118</v>
      </c>
      <c r="E320" s="14"/>
      <c r="F320" s="14">
        <v>27000</v>
      </c>
      <c r="G320" s="18"/>
      <c r="H320" s="18"/>
      <c r="I320" s="14">
        <v>17000</v>
      </c>
      <c r="J320" s="13" t="s">
        <v>2449</v>
      </c>
    </row>
    <row r="321" spans="1:10">
      <c r="A321" s="16" t="s">
        <v>3792</v>
      </c>
      <c r="B321" s="26"/>
      <c r="C321" s="16" t="s">
        <v>2470</v>
      </c>
      <c r="D321" s="17" t="s">
        <v>2118</v>
      </c>
      <c r="E321" s="14"/>
      <c r="F321" s="14">
        <v>29000</v>
      </c>
      <c r="G321" s="18"/>
      <c r="H321" s="18"/>
      <c r="I321" s="14"/>
      <c r="J321" s="13" t="s">
        <v>2449</v>
      </c>
    </row>
    <row r="322" spans="1:10">
      <c r="A322" s="16" t="s">
        <v>3793</v>
      </c>
      <c r="B322" s="26"/>
      <c r="C322" s="16" t="s">
        <v>2471</v>
      </c>
      <c r="D322" s="17" t="s">
        <v>2118</v>
      </c>
      <c r="E322" s="14"/>
      <c r="F322" s="14">
        <v>27200</v>
      </c>
      <c r="G322" s="18"/>
      <c r="H322" s="18"/>
      <c r="I322" s="14"/>
      <c r="J322" s="13" t="s">
        <v>2449</v>
      </c>
    </row>
    <row r="323" spans="1:10">
      <c r="A323" s="25" t="s">
        <v>1932</v>
      </c>
      <c r="B323" s="26"/>
      <c r="C323" s="16" t="s">
        <v>2472</v>
      </c>
      <c r="D323" s="17" t="s">
        <v>2118</v>
      </c>
      <c r="E323" s="14"/>
      <c r="F323" s="14">
        <v>13800</v>
      </c>
      <c r="G323" s="18"/>
      <c r="H323" s="18"/>
      <c r="I323" s="14"/>
      <c r="J323" s="13" t="s">
        <v>868</v>
      </c>
    </row>
    <row r="324" spans="1:10">
      <c r="A324" s="25" t="s">
        <v>1299</v>
      </c>
      <c r="B324" s="26"/>
      <c r="C324" s="16" t="s">
        <v>2473</v>
      </c>
      <c r="D324" s="17" t="s">
        <v>2118</v>
      </c>
      <c r="E324" s="14"/>
      <c r="F324" s="14">
        <v>11400</v>
      </c>
      <c r="G324" s="18"/>
      <c r="H324" s="18"/>
      <c r="I324" s="14"/>
      <c r="J324" s="13" t="s">
        <v>868</v>
      </c>
    </row>
    <row r="325" spans="1:10">
      <c r="A325" s="25" t="s">
        <v>1628</v>
      </c>
      <c r="B325" s="26"/>
      <c r="C325" s="16" t="s">
        <v>4630</v>
      </c>
      <c r="D325" s="17" t="s">
        <v>2118</v>
      </c>
      <c r="E325" s="14"/>
      <c r="F325" s="14">
        <v>17000</v>
      </c>
      <c r="G325" s="18"/>
      <c r="H325" s="18"/>
      <c r="I325" s="14"/>
      <c r="J325" s="13" t="s">
        <v>868</v>
      </c>
    </row>
    <row r="326" spans="1:10">
      <c r="A326" s="25" t="s">
        <v>3776</v>
      </c>
      <c r="B326" s="26"/>
      <c r="C326" s="16" t="s">
        <v>2474</v>
      </c>
      <c r="D326" s="17" t="s">
        <v>2118</v>
      </c>
      <c r="E326" s="14"/>
      <c r="F326" s="14">
        <v>45000</v>
      </c>
      <c r="G326" s="18"/>
      <c r="H326" s="18"/>
      <c r="I326" s="14"/>
      <c r="J326" s="13" t="s">
        <v>2449</v>
      </c>
    </row>
    <row r="327" spans="1:10">
      <c r="A327" s="25" t="s">
        <v>3777</v>
      </c>
      <c r="B327" s="26"/>
      <c r="C327" s="16" t="s">
        <v>2475</v>
      </c>
      <c r="D327" s="17" t="s">
        <v>2118</v>
      </c>
      <c r="E327" s="14"/>
      <c r="F327" s="14">
        <v>45000</v>
      </c>
      <c r="G327" s="18"/>
      <c r="H327" s="18"/>
      <c r="I327" s="14"/>
      <c r="J327" s="13" t="s">
        <v>2449</v>
      </c>
    </row>
    <row r="328" spans="1:10">
      <c r="A328" s="25" t="s">
        <v>3778</v>
      </c>
      <c r="B328" s="26"/>
      <c r="C328" s="16" t="s">
        <v>2476</v>
      </c>
      <c r="D328" s="17" t="s">
        <v>2118</v>
      </c>
      <c r="E328" s="14"/>
      <c r="F328" s="14">
        <v>45000</v>
      </c>
      <c r="G328" s="18"/>
      <c r="H328" s="18"/>
      <c r="I328" s="14"/>
      <c r="J328" s="13" t="s">
        <v>2449</v>
      </c>
    </row>
    <row r="329" spans="1:10">
      <c r="A329" s="25" t="s">
        <v>3779</v>
      </c>
      <c r="B329" s="26"/>
      <c r="C329" s="16" t="s">
        <v>2477</v>
      </c>
      <c r="D329" s="17" t="s">
        <v>2118</v>
      </c>
      <c r="E329" s="14"/>
      <c r="F329" s="14">
        <v>45000</v>
      </c>
      <c r="G329" s="18"/>
      <c r="H329" s="18"/>
      <c r="I329" s="14"/>
      <c r="J329" s="13" t="s">
        <v>2449</v>
      </c>
    </row>
    <row r="330" spans="1:10">
      <c r="A330" s="25" t="s">
        <v>3780</v>
      </c>
      <c r="B330" s="26"/>
      <c r="C330" s="16" t="s">
        <v>2478</v>
      </c>
      <c r="D330" s="17" t="s">
        <v>2118</v>
      </c>
      <c r="E330" s="14"/>
      <c r="F330" s="14">
        <v>56910</v>
      </c>
      <c r="G330" s="18"/>
      <c r="H330" s="18"/>
      <c r="I330" s="14"/>
      <c r="J330" s="13" t="s">
        <v>2449</v>
      </c>
    </row>
    <row r="331" spans="1:10">
      <c r="A331" s="25" t="s">
        <v>3781</v>
      </c>
      <c r="B331" s="26"/>
      <c r="C331" s="16" t="s">
        <v>2479</v>
      </c>
      <c r="D331" s="17" t="s">
        <v>2118</v>
      </c>
      <c r="E331" s="14"/>
      <c r="F331" s="14">
        <v>50000</v>
      </c>
      <c r="G331" s="18"/>
      <c r="H331" s="18"/>
      <c r="I331" s="14"/>
      <c r="J331" s="13" t="s">
        <v>2449</v>
      </c>
    </row>
    <row r="332" spans="1:10">
      <c r="A332" s="25" t="s">
        <v>3782</v>
      </c>
      <c r="B332" s="26"/>
      <c r="C332" s="16" t="s">
        <v>2480</v>
      </c>
      <c r="D332" s="17" t="s">
        <v>2118</v>
      </c>
      <c r="E332" s="14"/>
      <c r="F332" s="14">
        <v>50000</v>
      </c>
      <c r="G332" s="18"/>
      <c r="H332" s="18"/>
      <c r="I332" s="14"/>
      <c r="J332" s="13" t="s">
        <v>2449</v>
      </c>
    </row>
    <row r="333" spans="1:10">
      <c r="A333" s="25" t="s">
        <v>3783</v>
      </c>
      <c r="B333" s="26"/>
      <c r="C333" s="16" t="s">
        <v>2481</v>
      </c>
      <c r="D333" s="17" t="s">
        <v>2118</v>
      </c>
      <c r="E333" s="14"/>
      <c r="F333" s="14">
        <v>74000</v>
      </c>
      <c r="G333" s="18"/>
      <c r="H333" s="18"/>
      <c r="I333" s="14"/>
      <c r="J333" s="13" t="s">
        <v>2449</v>
      </c>
    </row>
    <row r="334" spans="1:10">
      <c r="A334" s="25" t="s">
        <v>3784</v>
      </c>
      <c r="B334" s="26"/>
      <c r="C334" s="16" t="s">
        <v>2482</v>
      </c>
      <c r="D334" s="17" t="s">
        <v>2118</v>
      </c>
      <c r="E334" s="14"/>
      <c r="F334" s="14">
        <v>51500</v>
      </c>
      <c r="G334" s="18"/>
      <c r="H334" s="18"/>
      <c r="I334" s="14"/>
      <c r="J334" s="13" t="s">
        <v>2449</v>
      </c>
    </row>
    <row r="335" spans="1:10">
      <c r="A335" s="25" t="s">
        <v>1456</v>
      </c>
      <c r="B335" s="668"/>
      <c r="C335" s="16" t="s">
        <v>2483</v>
      </c>
      <c r="D335" s="17" t="s">
        <v>2118</v>
      </c>
      <c r="E335" s="14"/>
      <c r="F335" s="14">
        <v>5098798</v>
      </c>
      <c r="G335" s="18"/>
      <c r="H335" s="18"/>
      <c r="I335" s="14">
        <v>5098798</v>
      </c>
      <c r="J335" s="13" t="s">
        <v>2484</v>
      </c>
    </row>
    <row r="336" spans="1:10">
      <c r="A336" s="25" t="s">
        <v>2077</v>
      </c>
      <c r="B336" s="668"/>
      <c r="C336" s="16" t="s">
        <v>2485</v>
      </c>
      <c r="D336" s="17" t="s">
        <v>2118</v>
      </c>
      <c r="E336" s="14"/>
      <c r="F336" s="14">
        <v>5098798</v>
      </c>
      <c r="G336" s="18"/>
      <c r="H336" s="18"/>
      <c r="I336" s="14">
        <v>5098798</v>
      </c>
      <c r="J336" s="13" t="s">
        <v>2484</v>
      </c>
    </row>
    <row r="337" spans="1:10">
      <c r="A337" s="25" t="s">
        <v>2063</v>
      </c>
      <c r="B337" s="668"/>
      <c r="C337" s="16" t="s">
        <v>2486</v>
      </c>
      <c r="D337" s="17" t="s">
        <v>2118</v>
      </c>
      <c r="E337" s="14"/>
      <c r="F337" s="14">
        <v>5098798</v>
      </c>
      <c r="G337" s="18"/>
      <c r="H337" s="18"/>
      <c r="I337" s="14">
        <v>5098798</v>
      </c>
      <c r="J337" s="13" t="s">
        <v>2484</v>
      </c>
    </row>
    <row r="338" spans="1:10">
      <c r="A338" s="25" t="s">
        <v>1865</v>
      </c>
      <c r="B338" s="668"/>
      <c r="C338" s="16" t="s">
        <v>2487</v>
      </c>
      <c r="D338" s="17" t="s">
        <v>2118</v>
      </c>
      <c r="E338" s="14"/>
      <c r="F338" s="14">
        <v>4838655</v>
      </c>
      <c r="G338" s="18"/>
      <c r="H338" s="18"/>
      <c r="I338" s="14">
        <v>4838655</v>
      </c>
      <c r="J338" s="13" t="s">
        <v>2484</v>
      </c>
    </row>
    <row r="339" spans="1:10">
      <c r="A339" s="25" t="s">
        <v>1794</v>
      </c>
      <c r="B339" s="668"/>
      <c r="C339" s="16" t="s">
        <v>2488</v>
      </c>
      <c r="D339" s="17" t="s">
        <v>2118</v>
      </c>
      <c r="E339" s="14"/>
      <c r="F339" s="14">
        <v>4838655</v>
      </c>
      <c r="G339" s="18"/>
      <c r="H339" s="18"/>
      <c r="I339" s="14">
        <v>4838655</v>
      </c>
      <c r="J339" s="13" t="s">
        <v>2484</v>
      </c>
    </row>
    <row r="340" spans="1:10">
      <c r="A340" s="25" t="s">
        <v>302</v>
      </c>
      <c r="B340" s="668"/>
      <c r="C340" s="16" t="s">
        <v>2489</v>
      </c>
      <c r="D340" s="17" t="s">
        <v>2118</v>
      </c>
      <c r="E340" s="14"/>
      <c r="F340" s="14">
        <v>4838655</v>
      </c>
      <c r="G340" s="18"/>
      <c r="H340" s="18"/>
      <c r="I340" s="14">
        <v>4838655</v>
      </c>
      <c r="J340" s="13" t="s">
        <v>2484</v>
      </c>
    </row>
    <row r="341" spans="1:10">
      <c r="A341" s="25" t="s">
        <v>972</v>
      </c>
      <c r="B341" s="668"/>
      <c r="C341" s="16" t="s">
        <v>2490</v>
      </c>
      <c r="D341" s="17" t="s">
        <v>2118</v>
      </c>
      <c r="E341" s="14"/>
      <c r="F341" s="14">
        <v>4682570</v>
      </c>
      <c r="G341" s="18"/>
      <c r="H341" s="18"/>
      <c r="I341" s="14">
        <v>4682570</v>
      </c>
      <c r="J341" s="13" t="s">
        <v>2484</v>
      </c>
    </row>
    <row r="342" spans="1:10">
      <c r="A342" s="25" t="s">
        <v>3769</v>
      </c>
      <c r="B342" s="668" t="s">
        <v>4896</v>
      </c>
      <c r="C342" s="16" t="s">
        <v>2491</v>
      </c>
      <c r="D342" s="17" t="s">
        <v>2118</v>
      </c>
      <c r="E342" s="14"/>
      <c r="F342" s="14">
        <v>315000</v>
      </c>
      <c r="G342" s="18">
        <v>56565</v>
      </c>
      <c r="H342" s="18"/>
      <c r="I342" s="14"/>
      <c r="J342" s="13" t="s">
        <v>2484</v>
      </c>
    </row>
    <row r="343" spans="1:10">
      <c r="A343" s="25" t="s">
        <v>3770</v>
      </c>
      <c r="B343" s="668" t="s">
        <v>4896</v>
      </c>
      <c r="C343" s="16" t="s">
        <v>2492</v>
      </c>
      <c r="D343" s="17" t="s">
        <v>2118</v>
      </c>
      <c r="E343" s="14"/>
      <c r="F343" s="14">
        <v>305000</v>
      </c>
      <c r="G343" s="18">
        <v>56565</v>
      </c>
      <c r="H343" s="18"/>
      <c r="I343" s="14"/>
      <c r="J343" s="13" t="s">
        <v>2484</v>
      </c>
    </row>
    <row r="344" spans="1:10">
      <c r="A344" s="25" t="s">
        <v>1875</v>
      </c>
      <c r="B344" s="668"/>
      <c r="C344" s="16" t="s">
        <v>2493</v>
      </c>
      <c r="D344" s="17" t="s">
        <v>805</v>
      </c>
      <c r="E344" s="14"/>
      <c r="F344" s="14">
        <v>732002</v>
      </c>
      <c r="G344" s="18"/>
      <c r="H344" s="18"/>
      <c r="I344" s="14">
        <v>732002</v>
      </c>
      <c r="J344" s="13" t="s">
        <v>956</v>
      </c>
    </row>
    <row r="345" spans="1:10">
      <c r="A345" s="25" t="s">
        <v>1541</v>
      </c>
      <c r="B345" s="668"/>
      <c r="C345" s="16" t="s">
        <v>2494</v>
      </c>
      <c r="D345" s="17" t="s">
        <v>805</v>
      </c>
      <c r="E345" s="14"/>
      <c r="F345" s="14">
        <v>742001</v>
      </c>
      <c r="G345" s="18"/>
      <c r="H345" s="18"/>
      <c r="I345" s="14">
        <v>742001</v>
      </c>
      <c r="J345" s="13" t="s">
        <v>956</v>
      </c>
    </row>
    <row r="346" spans="1:10">
      <c r="A346" s="25" t="s">
        <v>568</v>
      </c>
      <c r="B346" s="668" t="s">
        <v>671</v>
      </c>
      <c r="C346" s="16" t="s">
        <v>2495</v>
      </c>
      <c r="D346" s="17" t="s">
        <v>532</v>
      </c>
      <c r="E346" s="14"/>
      <c r="F346" s="14"/>
      <c r="G346" s="18">
        <v>338</v>
      </c>
      <c r="H346" s="18">
        <v>1269</v>
      </c>
      <c r="I346" s="14" t="s">
        <v>2214</v>
      </c>
      <c r="J346" s="13" t="s">
        <v>956</v>
      </c>
    </row>
    <row r="347" spans="1:10">
      <c r="A347" s="25" t="s">
        <v>1035</v>
      </c>
      <c r="B347" s="668" t="s">
        <v>672</v>
      </c>
      <c r="C347" s="16" t="s">
        <v>2496</v>
      </c>
      <c r="D347" s="17" t="s">
        <v>532</v>
      </c>
      <c r="E347" s="14"/>
      <c r="F347" s="14"/>
      <c r="G347" s="18">
        <v>151</v>
      </c>
      <c r="H347" s="18">
        <v>855</v>
      </c>
      <c r="I347" s="14" t="s">
        <v>2214</v>
      </c>
      <c r="J347" s="13" t="s">
        <v>956</v>
      </c>
    </row>
    <row r="348" spans="1:10">
      <c r="A348" s="25" t="s">
        <v>1019</v>
      </c>
      <c r="B348" s="26" t="s">
        <v>1391</v>
      </c>
      <c r="C348" s="16" t="s">
        <v>1020</v>
      </c>
      <c r="D348" s="17" t="s">
        <v>532</v>
      </c>
      <c r="E348" s="14"/>
      <c r="F348" s="14">
        <v>5849</v>
      </c>
      <c r="G348" s="14">
        <v>1083.8</v>
      </c>
      <c r="H348" s="18"/>
      <c r="I348" s="14">
        <v>5849</v>
      </c>
      <c r="J348" s="13" t="s">
        <v>956</v>
      </c>
    </row>
    <row r="349" spans="1:10">
      <c r="A349" s="25" t="s">
        <v>3771</v>
      </c>
      <c r="B349" s="26"/>
      <c r="C349" s="16" t="s">
        <v>2497</v>
      </c>
      <c r="D349" s="17" t="s">
        <v>2118</v>
      </c>
      <c r="E349" s="14"/>
      <c r="F349" s="14">
        <v>3000</v>
      </c>
      <c r="G349" s="18"/>
      <c r="H349" s="18"/>
      <c r="I349" s="14"/>
      <c r="J349" s="13" t="s">
        <v>956</v>
      </c>
    </row>
    <row r="350" spans="1:10">
      <c r="A350" s="25" t="s">
        <v>3772</v>
      </c>
      <c r="B350" s="26"/>
      <c r="C350" s="16" t="s">
        <v>2498</v>
      </c>
      <c r="D350" s="17" t="s">
        <v>2118</v>
      </c>
      <c r="E350" s="14"/>
      <c r="F350" s="14">
        <v>3000</v>
      </c>
      <c r="G350" s="18"/>
      <c r="H350" s="18"/>
      <c r="I350" s="14"/>
      <c r="J350" s="13" t="s">
        <v>956</v>
      </c>
    </row>
    <row r="351" spans="1:10">
      <c r="A351" s="25" t="s">
        <v>3773</v>
      </c>
      <c r="B351" s="26"/>
      <c r="C351" s="16" t="s">
        <v>2499</v>
      </c>
      <c r="D351" s="17" t="s">
        <v>2118</v>
      </c>
      <c r="E351" s="14"/>
      <c r="F351" s="14">
        <v>3000</v>
      </c>
      <c r="G351" s="18"/>
      <c r="H351" s="18"/>
      <c r="I351" s="14"/>
      <c r="J351" s="13" t="s">
        <v>956</v>
      </c>
    </row>
    <row r="352" spans="1:10">
      <c r="A352" s="25" t="s">
        <v>3774</v>
      </c>
      <c r="B352" s="26"/>
      <c r="C352" s="16" t="s">
        <v>2500</v>
      </c>
      <c r="D352" s="17" t="s">
        <v>2118</v>
      </c>
      <c r="E352" s="14"/>
      <c r="F352" s="14">
        <v>3000</v>
      </c>
      <c r="G352" s="18"/>
      <c r="H352" s="18"/>
      <c r="I352" s="14"/>
      <c r="J352" s="13" t="s">
        <v>956</v>
      </c>
    </row>
    <row r="353" spans="1:10">
      <c r="A353" s="25" t="s">
        <v>3775</v>
      </c>
      <c r="B353" s="26"/>
      <c r="C353" s="16" t="s">
        <v>2501</v>
      </c>
      <c r="D353" s="17" t="s">
        <v>2118</v>
      </c>
      <c r="E353" s="14"/>
      <c r="F353" s="14">
        <v>3000</v>
      </c>
      <c r="G353" s="18"/>
      <c r="H353" s="18"/>
      <c r="I353" s="14"/>
      <c r="J353" s="13" t="s">
        <v>956</v>
      </c>
    </row>
    <row r="354" spans="1:10">
      <c r="A354" s="16" t="s">
        <v>914</v>
      </c>
      <c r="B354" s="26"/>
      <c r="C354" s="666" t="s">
        <v>2502</v>
      </c>
      <c r="D354" s="17" t="s">
        <v>2118</v>
      </c>
      <c r="E354" s="14"/>
      <c r="F354" s="14">
        <v>6000</v>
      </c>
      <c r="G354" s="18"/>
      <c r="H354" s="18"/>
      <c r="I354" s="14">
        <v>6000</v>
      </c>
      <c r="J354" s="13" t="s">
        <v>2449</v>
      </c>
    </row>
    <row r="355" spans="1:10">
      <c r="A355" s="16" t="s">
        <v>642</v>
      </c>
      <c r="B355" s="26"/>
      <c r="C355" s="666" t="s">
        <v>2503</v>
      </c>
      <c r="D355" s="17" t="s">
        <v>2118</v>
      </c>
      <c r="E355" s="14"/>
      <c r="F355" s="14">
        <v>6000</v>
      </c>
      <c r="G355" s="18"/>
      <c r="H355" s="18"/>
      <c r="I355" s="14">
        <v>6000</v>
      </c>
      <c r="J355" s="13" t="s">
        <v>2449</v>
      </c>
    </row>
    <row r="356" spans="1:10">
      <c r="A356" s="16" t="s">
        <v>205</v>
      </c>
      <c r="B356" s="26"/>
      <c r="C356" s="666" t="s">
        <v>2504</v>
      </c>
      <c r="D356" s="17" t="s">
        <v>2118</v>
      </c>
      <c r="E356" s="14"/>
      <c r="F356" s="14">
        <v>8000</v>
      </c>
      <c r="G356" s="18"/>
      <c r="H356" s="18"/>
      <c r="I356" s="14">
        <v>9000</v>
      </c>
      <c r="J356" s="13" t="s">
        <v>2449</v>
      </c>
    </row>
    <row r="357" spans="1:10">
      <c r="A357" s="16" t="s">
        <v>206</v>
      </c>
      <c r="B357" s="26"/>
      <c r="C357" s="666" t="s">
        <v>2505</v>
      </c>
      <c r="D357" s="17" t="s">
        <v>2118</v>
      </c>
      <c r="E357" s="14"/>
      <c r="F357" s="14">
        <v>10000</v>
      </c>
      <c r="G357" s="18"/>
      <c r="H357" s="18"/>
      <c r="I357" s="14">
        <v>8200</v>
      </c>
      <c r="J357" s="13" t="s">
        <v>2449</v>
      </c>
    </row>
    <row r="358" spans="1:10">
      <c r="A358" s="16" t="s">
        <v>643</v>
      </c>
      <c r="B358" s="26"/>
      <c r="C358" s="666" t="s">
        <v>2506</v>
      </c>
      <c r="D358" s="17" t="s">
        <v>2118</v>
      </c>
      <c r="E358" s="14"/>
      <c r="F358" s="14">
        <v>13000</v>
      </c>
      <c r="G358" s="18"/>
      <c r="H358" s="18"/>
      <c r="I358" s="14">
        <v>10400</v>
      </c>
      <c r="J358" s="13" t="s">
        <v>2449</v>
      </c>
    </row>
    <row r="359" spans="1:10">
      <c r="A359" s="16" t="s">
        <v>644</v>
      </c>
      <c r="B359" s="26"/>
      <c r="C359" s="666" t="s">
        <v>2507</v>
      </c>
      <c r="D359" s="17" t="s">
        <v>2118</v>
      </c>
      <c r="E359" s="14"/>
      <c r="F359" s="14">
        <v>14000</v>
      </c>
      <c r="G359" s="18"/>
      <c r="H359" s="18"/>
      <c r="I359" s="14">
        <v>14800</v>
      </c>
      <c r="J359" s="13" t="s">
        <v>2449</v>
      </c>
    </row>
    <row r="360" spans="1:10">
      <c r="A360" s="16" t="s">
        <v>56</v>
      </c>
      <c r="B360" s="26"/>
      <c r="C360" s="666" t="s">
        <v>2508</v>
      </c>
      <c r="D360" s="17" t="s">
        <v>2118</v>
      </c>
      <c r="E360" s="14"/>
      <c r="F360" s="14">
        <v>18000</v>
      </c>
      <c r="G360" s="18"/>
      <c r="H360" s="18"/>
      <c r="I360" s="14">
        <v>24100</v>
      </c>
      <c r="J360" s="13" t="s">
        <v>2449</v>
      </c>
    </row>
    <row r="361" spans="1:10">
      <c r="A361" s="16" t="s">
        <v>658</v>
      </c>
      <c r="B361" s="26"/>
      <c r="C361" s="666" t="s">
        <v>2509</v>
      </c>
      <c r="D361" s="17" t="s">
        <v>2118</v>
      </c>
      <c r="E361" s="14"/>
      <c r="F361" s="14">
        <v>18000</v>
      </c>
      <c r="G361" s="18"/>
      <c r="H361" s="18"/>
      <c r="I361" s="14">
        <v>22000</v>
      </c>
      <c r="J361" s="13" t="s">
        <v>2449</v>
      </c>
    </row>
    <row r="362" spans="1:10">
      <c r="A362" s="16" t="s">
        <v>659</v>
      </c>
      <c r="B362" s="26"/>
      <c r="C362" s="666" t="s">
        <v>2510</v>
      </c>
      <c r="D362" s="17" t="s">
        <v>2118</v>
      </c>
      <c r="E362" s="14"/>
      <c r="F362" s="14">
        <v>40000</v>
      </c>
      <c r="G362" s="18"/>
      <c r="H362" s="18"/>
      <c r="I362" s="14">
        <v>35500</v>
      </c>
      <c r="J362" s="13" t="s">
        <v>2449</v>
      </c>
    </row>
    <row r="363" spans="1:10">
      <c r="A363" s="25" t="s">
        <v>2027</v>
      </c>
      <c r="B363" s="668"/>
      <c r="C363" s="666" t="s">
        <v>4810</v>
      </c>
      <c r="D363" s="20" t="s">
        <v>2118</v>
      </c>
      <c r="E363" s="14"/>
      <c r="F363" s="14">
        <v>36000</v>
      </c>
      <c r="G363" s="18"/>
      <c r="H363" s="18"/>
      <c r="I363" s="14">
        <v>117000</v>
      </c>
      <c r="J363" s="13" t="s">
        <v>2449</v>
      </c>
    </row>
    <row r="364" spans="1:10">
      <c r="A364" s="25" t="s">
        <v>833</v>
      </c>
      <c r="B364" s="668"/>
      <c r="C364" s="666" t="s">
        <v>2511</v>
      </c>
      <c r="D364" s="20" t="s">
        <v>2118</v>
      </c>
      <c r="E364" s="14"/>
      <c r="F364" s="14">
        <v>36000</v>
      </c>
      <c r="G364" s="18"/>
      <c r="H364" s="18"/>
      <c r="I364" s="14">
        <v>77000</v>
      </c>
      <c r="J364" s="13" t="s">
        <v>2449</v>
      </c>
    </row>
    <row r="365" spans="1:10" ht="13.8">
      <c r="A365" s="25" t="s">
        <v>2028</v>
      </c>
      <c r="B365" s="26"/>
      <c r="C365" s="16" t="s">
        <v>2512</v>
      </c>
      <c r="D365" s="20" t="s">
        <v>2118</v>
      </c>
      <c r="E365" s="14"/>
      <c r="F365" s="1989">
        <v>46000</v>
      </c>
      <c r="G365" s="1069"/>
      <c r="H365" s="18"/>
      <c r="I365" s="14">
        <v>35800</v>
      </c>
      <c r="J365" s="13" t="s">
        <v>2449</v>
      </c>
    </row>
    <row r="366" spans="1:10">
      <c r="A366" s="25" t="s">
        <v>898</v>
      </c>
      <c r="B366" s="26"/>
      <c r="C366" s="16" t="s">
        <v>2513</v>
      </c>
      <c r="D366" s="20" t="s">
        <v>2118</v>
      </c>
      <c r="E366" s="14"/>
      <c r="F366" s="14">
        <v>78000</v>
      </c>
      <c r="G366" s="1069"/>
      <c r="H366" s="18"/>
      <c r="I366" s="14">
        <v>46000</v>
      </c>
      <c r="J366" s="13" t="s">
        <v>2449</v>
      </c>
    </row>
    <row r="367" spans="1:10" ht="13.8">
      <c r="A367" s="25" t="s">
        <v>2026</v>
      </c>
      <c r="B367" s="26"/>
      <c r="C367" s="16" t="s">
        <v>2514</v>
      </c>
      <c r="D367" s="20" t="s">
        <v>2118</v>
      </c>
      <c r="E367" s="14"/>
      <c r="F367" s="1989">
        <v>77000</v>
      </c>
      <c r="G367" s="1069"/>
      <c r="H367" s="18"/>
      <c r="I367" s="14">
        <v>80000</v>
      </c>
      <c r="J367" s="13" t="s">
        <v>2449</v>
      </c>
    </row>
    <row r="368" spans="1:10">
      <c r="A368" s="25" t="s">
        <v>968</v>
      </c>
      <c r="B368" s="26"/>
      <c r="C368" s="16" t="s">
        <v>2515</v>
      </c>
      <c r="D368" s="20" t="s">
        <v>2118</v>
      </c>
      <c r="E368" s="14"/>
      <c r="F368" s="14">
        <v>112000</v>
      </c>
      <c r="G368" s="1069"/>
      <c r="H368" s="18"/>
      <c r="I368" s="14">
        <v>96400</v>
      </c>
      <c r="J368" s="13" t="s">
        <v>2449</v>
      </c>
    </row>
    <row r="369" spans="1:10">
      <c r="A369" s="25" t="s">
        <v>1298</v>
      </c>
      <c r="B369" s="26"/>
      <c r="C369" s="16" t="s">
        <v>2516</v>
      </c>
      <c r="D369" s="20" t="s">
        <v>2118</v>
      </c>
      <c r="E369" s="14"/>
      <c r="F369" s="14">
        <v>106000</v>
      </c>
      <c r="G369" s="1069"/>
      <c r="H369" s="18"/>
      <c r="I369" s="14">
        <v>106000</v>
      </c>
      <c r="J369" s="13" t="s">
        <v>2449</v>
      </c>
    </row>
    <row r="370" spans="1:10">
      <c r="A370" s="25" t="s">
        <v>4437</v>
      </c>
      <c r="B370" s="26"/>
      <c r="C370" s="16" t="s">
        <v>4438</v>
      </c>
      <c r="D370" s="20" t="s">
        <v>2226</v>
      </c>
      <c r="E370" s="14"/>
      <c r="F370" s="14"/>
      <c r="G370" s="1069"/>
      <c r="H370" s="18"/>
      <c r="I370" s="14">
        <v>35800</v>
      </c>
      <c r="J370" s="13" t="s">
        <v>2449</v>
      </c>
    </row>
    <row r="371" spans="1:10">
      <c r="A371" s="25" t="s">
        <v>217</v>
      </c>
      <c r="B371" s="668"/>
      <c r="C371" s="16" t="s">
        <v>2517</v>
      </c>
      <c r="D371" s="17" t="s">
        <v>2118</v>
      </c>
      <c r="E371" s="14"/>
      <c r="F371" s="14">
        <v>7400</v>
      </c>
      <c r="G371" s="18"/>
      <c r="H371" s="18"/>
      <c r="I371" s="14">
        <v>7400</v>
      </c>
      <c r="J371" s="13" t="s">
        <v>2449</v>
      </c>
    </row>
    <row r="372" spans="1:10">
      <c r="A372" s="25" t="s">
        <v>687</v>
      </c>
      <c r="B372" s="668"/>
      <c r="C372" s="16" t="s">
        <v>2518</v>
      </c>
      <c r="D372" s="17" t="s">
        <v>2118</v>
      </c>
      <c r="E372" s="14"/>
      <c r="F372" s="14">
        <v>10100</v>
      </c>
      <c r="G372" s="18"/>
      <c r="H372" s="18"/>
      <c r="I372" s="14">
        <v>10100</v>
      </c>
      <c r="J372" s="13" t="s">
        <v>2449</v>
      </c>
    </row>
    <row r="373" spans="1:10">
      <c r="A373" s="25" t="s">
        <v>688</v>
      </c>
      <c r="B373" s="668"/>
      <c r="C373" s="16" t="s">
        <v>2519</v>
      </c>
      <c r="D373" s="17" t="s">
        <v>2118</v>
      </c>
      <c r="E373" s="14"/>
      <c r="F373" s="14">
        <v>10100</v>
      </c>
      <c r="G373" s="18"/>
      <c r="H373" s="18"/>
      <c r="I373" s="14">
        <v>10100</v>
      </c>
      <c r="J373" s="13" t="s">
        <v>2449</v>
      </c>
    </row>
    <row r="374" spans="1:10">
      <c r="A374" s="25" t="s">
        <v>1100</v>
      </c>
      <c r="B374" s="668"/>
      <c r="C374" s="16" t="s">
        <v>2520</v>
      </c>
      <c r="D374" s="17" t="s">
        <v>2118</v>
      </c>
      <c r="E374" s="14"/>
      <c r="F374" s="14">
        <v>17000</v>
      </c>
      <c r="G374" s="18"/>
      <c r="H374" s="18"/>
      <c r="I374" s="14">
        <v>17000</v>
      </c>
      <c r="J374" s="13" t="s">
        <v>2449</v>
      </c>
    </row>
    <row r="375" spans="1:10">
      <c r="A375" s="25" t="s">
        <v>5022</v>
      </c>
      <c r="B375" s="668"/>
      <c r="C375" s="16" t="s">
        <v>4988</v>
      </c>
      <c r="D375" s="17" t="s">
        <v>2118</v>
      </c>
      <c r="E375" s="14"/>
      <c r="F375" s="14">
        <v>35000</v>
      </c>
      <c r="G375" s="18"/>
      <c r="H375" s="18"/>
      <c r="I375" s="14">
        <v>17000</v>
      </c>
      <c r="J375" s="13" t="s">
        <v>2449</v>
      </c>
    </row>
    <row r="376" spans="1:10">
      <c r="A376" s="666" t="s">
        <v>135</v>
      </c>
      <c r="B376" s="26"/>
      <c r="C376" s="666" t="s">
        <v>2521</v>
      </c>
      <c r="D376" s="20" t="s">
        <v>2118</v>
      </c>
      <c r="E376" s="14"/>
      <c r="F376" s="14">
        <v>21727</v>
      </c>
      <c r="G376" s="18"/>
      <c r="H376" s="18"/>
      <c r="I376" s="14">
        <v>21727</v>
      </c>
      <c r="J376" s="13" t="s">
        <v>2449</v>
      </c>
    </row>
    <row r="377" spans="1:10">
      <c r="A377" s="666" t="s">
        <v>608</v>
      </c>
      <c r="B377" s="26"/>
      <c r="C377" s="666" t="s">
        <v>2522</v>
      </c>
      <c r="D377" s="20" t="s">
        <v>2118</v>
      </c>
      <c r="E377" s="14"/>
      <c r="F377" s="14">
        <v>21727</v>
      </c>
      <c r="G377" s="18"/>
      <c r="H377" s="18"/>
      <c r="I377" s="14">
        <v>21727</v>
      </c>
      <c r="J377" s="13" t="s">
        <v>2449</v>
      </c>
    </row>
    <row r="378" spans="1:10">
      <c r="A378" s="666" t="s">
        <v>459</v>
      </c>
      <c r="B378" s="26"/>
      <c r="C378" s="666" t="s">
        <v>2523</v>
      </c>
      <c r="D378" s="20" t="s">
        <v>2118</v>
      </c>
      <c r="E378" s="14"/>
      <c r="F378" s="14">
        <v>23545</v>
      </c>
      <c r="G378" s="18"/>
      <c r="H378" s="18"/>
      <c r="I378" s="14">
        <v>23545</v>
      </c>
      <c r="J378" s="13" t="s">
        <v>2449</v>
      </c>
    </row>
    <row r="379" spans="1:10">
      <c r="A379" s="666" t="s">
        <v>460</v>
      </c>
      <c r="B379" s="26"/>
      <c r="C379" s="666" t="s">
        <v>2524</v>
      </c>
      <c r="D379" s="20" t="s">
        <v>2118</v>
      </c>
      <c r="E379" s="14"/>
      <c r="F379" s="14">
        <v>23545</v>
      </c>
      <c r="G379" s="18"/>
      <c r="H379" s="18"/>
      <c r="I379" s="14">
        <v>23545</v>
      </c>
      <c r="J379" s="13" t="s">
        <v>2449</v>
      </c>
    </row>
    <row r="380" spans="1:10">
      <c r="A380" s="666" t="s">
        <v>1447</v>
      </c>
      <c r="B380" s="26"/>
      <c r="C380" s="666" t="s">
        <v>2525</v>
      </c>
      <c r="D380" s="20" t="s">
        <v>2118</v>
      </c>
      <c r="E380" s="14"/>
      <c r="F380" s="14">
        <v>38091</v>
      </c>
      <c r="G380" s="18"/>
      <c r="H380" s="18"/>
      <c r="I380" s="14">
        <v>38091</v>
      </c>
      <c r="J380" s="13" t="s">
        <v>2449</v>
      </c>
    </row>
    <row r="381" spans="1:10">
      <c r="A381" s="666" t="s">
        <v>1448</v>
      </c>
      <c r="B381" s="26"/>
      <c r="C381" s="666" t="s">
        <v>2526</v>
      </c>
      <c r="D381" s="20" t="s">
        <v>2118</v>
      </c>
      <c r="E381" s="14"/>
      <c r="F381" s="14">
        <v>38091</v>
      </c>
      <c r="G381" s="18"/>
      <c r="H381" s="18"/>
      <c r="I381" s="14">
        <v>38091</v>
      </c>
      <c r="J381" s="13" t="s">
        <v>2449</v>
      </c>
    </row>
    <row r="382" spans="1:10">
      <c r="A382" s="666" t="s">
        <v>1449</v>
      </c>
      <c r="B382" s="26"/>
      <c r="C382" s="666" t="s">
        <v>2527</v>
      </c>
      <c r="D382" s="20" t="s">
        <v>2118</v>
      </c>
      <c r="E382" s="14"/>
      <c r="F382" s="14">
        <v>38091</v>
      </c>
      <c r="G382" s="18"/>
      <c r="H382" s="18"/>
      <c r="I382" s="14">
        <v>38091</v>
      </c>
      <c r="J382" s="13" t="s">
        <v>2449</v>
      </c>
    </row>
    <row r="383" spans="1:10">
      <c r="A383" s="666" t="s">
        <v>2029</v>
      </c>
      <c r="B383" s="26"/>
      <c r="C383" s="666" t="s">
        <v>2528</v>
      </c>
      <c r="D383" s="20" t="s">
        <v>2118</v>
      </c>
      <c r="E383" s="14"/>
      <c r="F383" s="14">
        <v>21727</v>
      </c>
      <c r="G383" s="18"/>
      <c r="H383" s="18"/>
      <c r="I383" s="14">
        <v>21727</v>
      </c>
      <c r="J383" s="13" t="s">
        <v>2449</v>
      </c>
    </row>
    <row r="384" spans="1:10">
      <c r="A384" s="666" t="s">
        <v>458</v>
      </c>
      <c r="B384" s="26"/>
      <c r="C384" s="666" t="s">
        <v>2529</v>
      </c>
      <c r="D384" s="20" t="s">
        <v>2118</v>
      </c>
      <c r="E384" s="14"/>
      <c r="F384" s="14">
        <v>37000</v>
      </c>
      <c r="G384" s="18"/>
      <c r="H384" s="18"/>
      <c r="I384" s="14">
        <v>37000</v>
      </c>
      <c r="J384" s="13" t="s">
        <v>2449</v>
      </c>
    </row>
    <row r="385" spans="1:10">
      <c r="A385" s="666" t="s">
        <v>1493</v>
      </c>
      <c r="B385" s="26"/>
      <c r="C385" s="666" t="s">
        <v>2530</v>
      </c>
      <c r="D385" s="20" t="s">
        <v>2118</v>
      </c>
      <c r="E385" s="14"/>
      <c r="F385" s="14">
        <v>44000</v>
      </c>
      <c r="G385" s="18"/>
      <c r="H385" s="18"/>
      <c r="I385" s="14">
        <v>44000</v>
      </c>
      <c r="J385" s="13" t="s">
        <v>2449</v>
      </c>
    </row>
    <row r="386" spans="1:10" ht="13.8">
      <c r="A386" s="16" t="s">
        <v>1672</v>
      </c>
      <c r="B386" s="668"/>
      <c r="C386" s="666" t="s">
        <v>2531</v>
      </c>
      <c r="D386" s="20" t="s">
        <v>2118</v>
      </c>
      <c r="E386" s="14"/>
      <c r="F386" s="1989">
        <v>78000</v>
      </c>
      <c r="G386" s="18"/>
      <c r="H386" s="18"/>
      <c r="I386" s="14">
        <v>77000</v>
      </c>
      <c r="J386" s="13" t="s">
        <v>2449</v>
      </c>
    </row>
    <row r="387" spans="1:10" ht="13.8">
      <c r="A387" s="16" t="s">
        <v>2031</v>
      </c>
      <c r="B387" s="668"/>
      <c r="C387" s="666" t="s">
        <v>2532</v>
      </c>
      <c r="D387" s="20" t="s">
        <v>2118</v>
      </c>
      <c r="E387" s="14"/>
      <c r="F387" s="1989">
        <v>58000</v>
      </c>
      <c r="G387" s="18"/>
      <c r="H387" s="18"/>
      <c r="I387" s="14">
        <v>77000</v>
      </c>
      <c r="J387" s="13" t="s">
        <v>2449</v>
      </c>
    </row>
    <row r="388" spans="1:10" ht="13.8">
      <c r="A388" s="666" t="s">
        <v>1246</v>
      </c>
      <c r="B388" s="26"/>
      <c r="C388" s="666" t="s">
        <v>2533</v>
      </c>
      <c r="D388" s="20" t="s">
        <v>2118</v>
      </c>
      <c r="E388" s="14"/>
      <c r="F388" s="1989">
        <v>78000</v>
      </c>
      <c r="G388" s="18"/>
      <c r="H388" s="18"/>
      <c r="I388" s="14">
        <v>83000</v>
      </c>
      <c r="J388" s="13" t="s">
        <v>2449</v>
      </c>
    </row>
    <row r="389" spans="1:10">
      <c r="A389" s="666" t="s">
        <v>1851</v>
      </c>
      <c r="B389" s="26"/>
      <c r="C389" s="666" t="s">
        <v>2534</v>
      </c>
      <c r="D389" s="20" t="s">
        <v>2118</v>
      </c>
      <c r="E389" s="14"/>
      <c r="F389" s="18">
        <v>126000</v>
      </c>
      <c r="G389" s="18"/>
      <c r="H389" s="18"/>
      <c r="I389" s="14">
        <v>99500</v>
      </c>
      <c r="J389" s="13" t="s">
        <v>2449</v>
      </c>
    </row>
    <row r="390" spans="1:10">
      <c r="A390" s="666" t="s">
        <v>1402</v>
      </c>
      <c r="B390" s="26"/>
      <c r="C390" s="666" t="s">
        <v>2535</v>
      </c>
      <c r="D390" s="20" t="s">
        <v>2118</v>
      </c>
      <c r="E390" s="14"/>
      <c r="F390" s="18">
        <v>133000</v>
      </c>
      <c r="G390" s="18"/>
      <c r="H390" s="18"/>
      <c r="I390" s="14">
        <v>132000</v>
      </c>
      <c r="J390" s="13" t="s">
        <v>2449</v>
      </c>
    </row>
    <row r="391" spans="1:10">
      <c r="A391" s="666" t="s">
        <v>1925</v>
      </c>
      <c r="B391" s="26"/>
      <c r="C391" s="666" t="s">
        <v>2536</v>
      </c>
      <c r="D391" s="20" t="s">
        <v>2118</v>
      </c>
      <c r="E391" s="14"/>
      <c r="F391" s="18">
        <v>168000</v>
      </c>
      <c r="G391" s="18"/>
      <c r="H391" s="18"/>
      <c r="I391" s="14">
        <v>132000</v>
      </c>
      <c r="J391" s="13" t="s">
        <v>2449</v>
      </c>
    </row>
    <row r="392" spans="1:10">
      <c r="A392" s="666" t="s">
        <v>1285</v>
      </c>
      <c r="B392" s="26"/>
      <c r="C392" s="666" t="s">
        <v>2537</v>
      </c>
      <c r="D392" s="20" t="s">
        <v>2118</v>
      </c>
      <c r="E392" s="14"/>
      <c r="F392" s="14">
        <v>164000</v>
      </c>
      <c r="G392" s="18"/>
      <c r="H392" s="18"/>
      <c r="I392" s="14">
        <v>55000</v>
      </c>
      <c r="J392" s="13" t="s">
        <v>2449</v>
      </c>
    </row>
    <row r="393" spans="1:10">
      <c r="A393" s="666" t="s">
        <v>1284</v>
      </c>
      <c r="B393" s="26"/>
      <c r="C393" s="666" t="s">
        <v>2538</v>
      </c>
      <c r="D393" s="20" t="s">
        <v>2118</v>
      </c>
      <c r="E393" s="14"/>
      <c r="F393" s="14">
        <v>157000</v>
      </c>
      <c r="G393" s="18"/>
      <c r="H393" s="18"/>
      <c r="I393" s="14">
        <v>157000</v>
      </c>
      <c r="J393" s="13" t="s">
        <v>2449</v>
      </c>
    </row>
    <row r="394" spans="1:10">
      <c r="A394" s="666" t="s">
        <v>588</v>
      </c>
      <c r="B394" s="26"/>
      <c r="C394" s="666" t="s">
        <v>2539</v>
      </c>
      <c r="D394" s="20" t="s">
        <v>2118</v>
      </c>
      <c r="E394" s="14"/>
      <c r="F394" s="14">
        <v>95000</v>
      </c>
      <c r="G394" s="18"/>
      <c r="H394" s="18"/>
      <c r="I394" s="14">
        <v>95000</v>
      </c>
      <c r="J394" s="13" t="s">
        <v>2449</v>
      </c>
    </row>
    <row r="395" spans="1:10">
      <c r="A395" s="666" t="s">
        <v>117</v>
      </c>
      <c r="B395" s="26"/>
      <c r="C395" s="666" t="s">
        <v>2540</v>
      </c>
      <c r="D395" s="20" t="s">
        <v>2118</v>
      </c>
      <c r="E395" s="14"/>
      <c r="F395" s="14">
        <v>87000</v>
      </c>
      <c r="G395" s="18"/>
      <c r="H395" s="18"/>
      <c r="I395" s="14">
        <v>87000</v>
      </c>
      <c r="J395" s="13" t="s">
        <v>2449</v>
      </c>
    </row>
    <row r="396" spans="1:10">
      <c r="A396" s="666" t="s">
        <v>2032</v>
      </c>
      <c r="B396" s="26"/>
      <c r="C396" s="666" t="s">
        <v>2541</v>
      </c>
      <c r="D396" s="20" t="s">
        <v>2118</v>
      </c>
      <c r="E396" s="14"/>
      <c r="F396" s="14">
        <v>26381</v>
      </c>
      <c r="G396" s="18"/>
      <c r="H396" s="18"/>
      <c r="I396" s="14">
        <v>26381</v>
      </c>
      <c r="J396" s="13" t="s">
        <v>2449</v>
      </c>
    </row>
    <row r="397" spans="1:10" s="1907" customFormat="1" ht="13.8">
      <c r="A397" s="1908" t="s">
        <v>1074</v>
      </c>
      <c r="B397" s="1909"/>
      <c r="C397" s="1908" t="s">
        <v>5762</v>
      </c>
      <c r="D397" s="1947" t="s">
        <v>2226</v>
      </c>
      <c r="E397" s="1911"/>
      <c r="F397" s="1988">
        <v>310000</v>
      </c>
      <c r="G397" s="1912"/>
      <c r="H397" s="1912"/>
      <c r="I397" s="1911">
        <v>200000</v>
      </c>
      <c r="J397" s="1906" t="s">
        <v>1457</v>
      </c>
    </row>
    <row r="398" spans="1:10">
      <c r="A398" s="16" t="s">
        <v>4477</v>
      </c>
      <c r="B398" s="26"/>
      <c r="C398" s="16" t="s">
        <v>4473</v>
      </c>
      <c r="D398" s="20" t="s">
        <v>2118</v>
      </c>
      <c r="E398" s="14"/>
      <c r="F398" s="14">
        <v>280000</v>
      </c>
      <c r="G398" s="18"/>
      <c r="H398" s="18"/>
      <c r="I398" s="14">
        <v>200001</v>
      </c>
      <c r="J398" s="13" t="s">
        <v>1457</v>
      </c>
    </row>
    <row r="399" spans="1:10">
      <c r="A399" s="16" t="s">
        <v>4476</v>
      </c>
      <c r="B399" s="26"/>
      <c r="C399" s="16" t="s">
        <v>4474</v>
      </c>
      <c r="D399" s="20" t="s">
        <v>2118</v>
      </c>
      <c r="E399" s="14"/>
      <c r="F399" s="14">
        <v>350000</v>
      </c>
      <c r="G399" s="18"/>
      <c r="H399" s="18"/>
      <c r="I399" s="14">
        <v>200002</v>
      </c>
      <c r="J399" s="13" t="s">
        <v>1457</v>
      </c>
    </row>
    <row r="400" spans="1:10">
      <c r="A400" s="16" t="s">
        <v>4472</v>
      </c>
      <c r="B400" s="26"/>
      <c r="C400" s="16" t="s">
        <v>4475</v>
      </c>
      <c r="D400" s="20" t="s">
        <v>2118</v>
      </c>
      <c r="E400" s="14"/>
      <c r="F400" s="14">
        <v>460000</v>
      </c>
      <c r="G400" s="18"/>
      <c r="H400" s="18"/>
      <c r="I400" s="14">
        <v>200003</v>
      </c>
      <c r="J400" s="13" t="s">
        <v>1457</v>
      </c>
    </row>
    <row r="401" spans="1:10">
      <c r="A401" s="16" t="s">
        <v>4194</v>
      </c>
      <c r="B401" s="26"/>
      <c r="C401" s="16" t="s">
        <v>4195</v>
      </c>
      <c r="D401" s="20" t="s">
        <v>2118</v>
      </c>
      <c r="E401" s="14"/>
      <c r="F401" s="14">
        <v>120000</v>
      </c>
      <c r="G401" s="18"/>
      <c r="H401" s="18"/>
      <c r="I401" s="14">
        <v>200000</v>
      </c>
      <c r="J401" s="13" t="s">
        <v>1457</v>
      </c>
    </row>
    <row r="402" spans="1:10">
      <c r="A402" s="25" t="s">
        <v>538</v>
      </c>
      <c r="B402" s="668"/>
      <c r="C402" s="25" t="s">
        <v>2542</v>
      </c>
      <c r="D402" s="17" t="s">
        <v>2118</v>
      </c>
      <c r="E402" s="14"/>
      <c r="F402" s="14">
        <v>55000</v>
      </c>
      <c r="G402" s="18"/>
      <c r="H402" s="18"/>
      <c r="I402" s="14">
        <v>52000</v>
      </c>
      <c r="J402" s="13" t="s">
        <v>868</v>
      </c>
    </row>
    <row r="403" spans="1:10">
      <c r="A403" s="25" t="s">
        <v>2033</v>
      </c>
      <c r="B403" s="668"/>
      <c r="C403" s="25" t="s">
        <v>2543</v>
      </c>
      <c r="D403" s="17" t="s">
        <v>2118</v>
      </c>
      <c r="E403" s="14"/>
      <c r="F403" s="14">
        <v>10100</v>
      </c>
      <c r="G403" s="18"/>
      <c r="H403" s="18"/>
      <c r="I403" s="14">
        <v>6500</v>
      </c>
      <c r="J403" s="13" t="s">
        <v>868</v>
      </c>
    </row>
    <row r="404" spans="1:10">
      <c r="A404" s="25" t="s">
        <v>2034</v>
      </c>
      <c r="B404" s="668"/>
      <c r="C404" s="25" t="s">
        <v>2544</v>
      </c>
      <c r="D404" s="17" t="s">
        <v>2118</v>
      </c>
      <c r="E404" s="14"/>
      <c r="F404" s="14">
        <v>7200</v>
      </c>
      <c r="G404" s="18"/>
      <c r="H404" s="18"/>
      <c r="I404" s="14">
        <v>12500</v>
      </c>
      <c r="J404" s="13" t="s">
        <v>868</v>
      </c>
    </row>
    <row r="405" spans="1:10" s="1907" customFormat="1">
      <c r="A405" s="1914" t="s">
        <v>2035</v>
      </c>
      <c r="B405" s="1934"/>
      <c r="C405" s="1913" t="s">
        <v>2545</v>
      </c>
      <c r="D405" s="1947" t="s">
        <v>2118</v>
      </c>
      <c r="E405" s="1911"/>
      <c r="F405" s="1911">
        <v>28000</v>
      </c>
      <c r="G405" s="1912"/>
      <c r="H405" s="1912"/>
      <c r="I405" s="1911">
        <v>7048</v>
      </c>
      <c r="J405" s="1906" t="s">
        <v>868</v>
      </c>
    </row>
    <row r="406" spans="1:10">
      <c r="A406" s="25" t="s">
        <v>791</v>
      </c>
      <c r="B406" s="668"/>
      <c r="C406" s="666" t="s">
        <v>2546</v>
      </c>
      <c r="D406" s="20" t="s">
        <v>2118</v>
      </c>
      <c r="E406" s="14"/>
      <c r="F406" s="14">
        <v>7386</v>
      </c>
      <c r="G406" s="18"/>
      <c r="H406" s="18"/>
      <c r="I406" s="14">
        <v>7400</v>
      </c>
      <c r="J406" s="13" t="s">
        <v>868</v>
      </c>
    </row>
    <row r="407" spans="1:10">
      <c r="A407" s="25" t="s">
        <v>1277</v>
      </c>
      <c r="B407" s="668"/>
      <c r="C407" s="666" t="s">
        <v>2547</v>
      </c>
      <c r="D407" s="17" t="s">
        <v>2118</v>
      </c>
      <c r="E407" s="14"/>
      <c r="F407" s="14">
        <v>4700</v>
      </c>
      <c r="G407" s="18"/>
      <c r="H407" s="18"/>
      <c r="I407" s="14">
        <v>4762</v>
      </c>
      <c r="J407" s="13" t="s">
        <v>1771</v>
      </c>
    </row>
    <row r="408" spans="1:10">
      <c r="A408" s="666" t="s">
        <v>4989</v>
      </c>
      <c r="B408" s="26"/>
      <c r="C408" s="666" t="s">
        <v>4990</v>
      </c>
      <c r="D408" s="20" t="s">
        <v>2118</v>
      </c>
      <c r="E408" s="14"/>
      <c r="F408" s="14">
        <v>88000</v>
      </c>
      <c r="G408" s="18"/>
      <c r="H408" s="18"/>
      <c r="I408" s="14">
        <v>88000</v>
      </c>
      <c r="J408" s="13" t="s">
        <v>2548</v>
      </c>
    </row>
    <row r="409" spans="1:10">
      <c r="A409" s="666" t="s">
        <v>4991</v>
      </c>
      <c r="B409" s="26"/>
      <c r="C409" s="666" t="s">
        <v>4992</v>
      </c>
      <c r="D409" s="20" t="s">
        <v>2118</v>
      </c>
      <c r="E409" s="14"/>
      <c r="F409" s="14">
        <v>77000</v>
      </c>
      <c r="G409" s="18"/>
      <c r="H409" s="18"/>
      <c r="I409" s="14">
        <v>70000</v>
      </c>
      <c r="J409" s="13" t="s">
        <v>2548</v>
      </c>
    </row>
    <row r="410" spans="1:10">
      <c r="A410" s="666" t="s">
        <v>4993</v>
      </c>
      <c r="B410" s="26"/>
      <c r="C410" s="666" t="s">
        <v>4994</v>
      </c>
      <c r="D410" s="20" t="s">
        <v>2118</v>
      </c>
      <c r="E410" s="14"/>
      <c r="F410" s="14">
        <v>122000</v>
      </c>
      <c r="G410" s="18"/>
      <c r="H410" s="18"/>
      <c r="I410" s="14">
        <v>88000</v>
      </c>
      <c r="J410" s="13" t="s">
        <v>2548</v>
      </c>
    </row>
    <row r="411" spans="1:10">
      <c r="A411" s="666" t="s">
        <v>1289</v>
      </c>
      <c r="B411" s="26"/>
      <c r="C411" s="666" t="s">
        <v>2549</v>
      </c>
      <c r="D411" s="20" t="s">
        <v>2118</v>
      </c>
      <c r="E411" s="14"/>
      <c r="F411" s="14">
        <v>70000</v>
      </c>
      <c r="G411" s="18"/>
      <c r="H411" s="18"/>
      <c r="I411" s="14">
        <v>70000</v>
      </c>
      <c r="J411" s="13" t="s">
        <v>2548</v>
      </c>
    </row>
    <row r="412" spans="1:10">
      <c r="A412" s="666" t="s">
        <v>1967</v>
      </c>
      <c r="B412" s="26"/>
      <c r="C412" s="666" t="s">
        <v>2550</v>
      </c>
      <c r="D412" s="20" t="s">
        <v>2118</v>
      </c>
      <c r="E412" s="14"/>
      <c r="F412" s="14">
        <v>39000</v>
      </c>
      <c r="G412" s="18"/>
      <c r="H412" s="18"/>
      <c r="I412" s="14">
        <v>39000</v>
      </c>
      <c r="J412" s="13" t="s">
        <v>2548</v>
      </c>
    </row>
    <row r="413" spans="1:10">
      <c r="A413" s="25" t="s">
        <v>1488</v>
      </c>
      <c r="B413" s="668"/>
      <c r="C413" s="25" t="s">
        <v>2551</v>
      </c>
      <c r="D413" s="20" t="s">
        <v>2118</v>
      </c>
      <c r="E413" s="14"/>
      <c r="F413" s="14">
        <v>27000</v>
      </c>
      <c r="G413" s="18"/>
      <c r="H413" s="18"/>
      <c r="I413" s="14">
        <v>27000</v>
      </c>
      <c r="J413" s="13" t="s">
        <v>2548</v>
      </c>
    </row>
    <row r="414" spans="1:10">
      <c r="A414" s="666" t="s">
        <v>1487</v>
      </c>
      <c r="B414" s="26"/>
      <c r="C414" s="666" t="s">
        <v>2552</v>
      </c>
      <c r="D414" s="20" t="s">
        <v>2118</v>
      </c>
      <c r="E414" s="14"/>
      <c r="F414" s="14">
        <v>18000</v>
      </c>
      <c r="G414" s="18"/>
      <c r="H414" s="18"/>
      <c r="I414" s="14">
        <v>18000</v>
      </c>
      <c r="J414" s="13" t="s">
        <v>2548</v>
      </c>
    </row>
    <row r="415" spans="1:10">
      <c r="A415" s="666" t="s">
        <v>819</v>
      </c>
      <c r="B415" s="26"/>
      <c r="C415" s="666" t="s">
        <v>2553</v>
      </c>
      <c r="D415" s="20" t="s">
        <v>2118</v>
      </c>
      <c r="E415" s="14"/>
      <c r="F415" s="14">
        <v>17000</v>
      </c>
      <c r="G415" s="18"/>
      <c r="H415" s="18"/>
      <c r="I415" s="14">
        <v>17000</v>
      </c>
      <c r="J415" s="13" t="s">
        <v>2548</v>
      </c>
    </row>
    <row r="416" spans="1:10">
      <c r="A416" s="666" t="s">
        <v>880</v>
      </c>
      <c r="B416" s="26"/>
      <c r="C416" s="666" t="s">
        <v>2554</v>
      </c>
      <c r="D416" s="20" t="s">
        <v>2118</v>
      </c>
      <c r="E416" s="14"/>
      <c r="F416" s="14">
        <v>17000</v>
      </c>
      <c r="G416" s="18"/>
      <c r="H416" s="18"/>
      <c r="I416" s="14">
        <v>17000</v>
      </c>
      <c r="J416" s="13" t="s">
        <v>2548</v>
      </c>
    </row>
    <row r="417" spans="1:10">
      <c r="A417" s="666" t="s">
        <v>261</v>
      </c>
      <c r="B417" s="26"/>
      <c r="C417" s="666" t="s">
        <v>2555</v>
      </c>
      <c r="D417" s="20" t="s">
        <v>2118</v>
      </c>
      <c r="E417" s="14"/>
      <c r="F417" s="14">
        <v>29000</v>
      </c>
      <c r="G417" s="18"/>
      <c r="H417" s="18"/>
      <c r="I417" s="14">
        <v>29000</v>
      </c>
      <c r="J417" s="13" t="s">
        <v>2548</v>
      </c>
    </row>
    <row r="418" spans="1:10" ht="13.8">
      <c r="A418" s="666" t="s">
        <v>2036</v>
      </c>
      <c r="B418" s="26"/>
      <c r="C418" s="666" t="s">
        <v>4929</v>
      </c>
      <c r="D418" s="20" t="s">
        <v>2118</v>
      </c>
      <c r="E418" s="14"/>
      <c r="F418" s="1993">
        <v>32000</v>
      </c>
      <c r="G418" s="18"/>
      <c r="H418" s="18"/>
      <c r="I418" s="14">
        <v>29000</v>
      </c>
      <c r="J418" s="13" t="s">
        <v>2548</v>
      </c>
    </row>
    <row r="419" spans="1:10">
      <c r="A419" s="666" t="s">
        <v>2037</v>
      </c>
      <c r="B419" s="26"/>
      <c r="C419" s="666" t="s">
        <v>2556</v>
      </c>
      <c r="D419" s="20" t="s">
        <v>2118</v>
      </c>
      <c r="E419" s="14"/>
      <c r="F419" s="14">
        <v>32000</v>
      </c>
      <c r="G419" s="18"/>
      <c r="H419" s="18"/>
      <c r="I419" s="14">
        <v>32000</v>
      </c>
      <c r="J419" s="13" t="s">
        <v>2548</v>
      </c>
    </row>
    <row r="420" spans="1:10">
      <c r="A420" s="25" t="s">
        <v>1403</v>
      </c>
      <c r="B420" s="668"/>
      <c r="C420" s="25" t="s">
        <v>2557</v>
      </c>
      <c r="D420" s="20" t="s">
        <v>2118</v>
      </c>
      <c r="E420" s="14"/>
      <c r="F420" s="14">
        <v>45000</v>
      </c>
      <c r="G420" s="18"/>
      <c r="H420" s="18"/>
      <c r="I420" s="14">
        <v>45000</v>
      </c>
      <c r="J420" s="13" t="s">
        <v>2548</v>
      </c>
    </row>
    <row r="421" spans="1:10">
      <c r="A421" s="666" t="s">
        <v>260</v>
      </c>
      <c r="B421" s="26"/>
      <c r="C421" s="25" t="s">
        <v>2558</v>
      </c>
      <c r="D421" s="20" t="s">
        <v>2118</v>
      </c>
      <c r="E421" s="14"/>
      <c r="F421" s="14">
        <v>63000</v>
      </c>
      <c r="G421" s="18"/>
      <c r="H421" s="18"/>
      <c r="I421" s="14">
        <v>63000</v>
      </c>
      <c r="J421" s="13" t="s">
        <v>2548</v>
      </c>
    </row>
    <row r="422" spans="1:10">
      <c r="A422" s="666" t="s">
        <v>712</v>
      </c>
      <c r="B422" s="26"/>
      <c r="C422" s="25" t="s">
        <v>2559</v>
      </c>
      <c r="D422" s="20" t="s">
        <v>2118</v>
      </c>
      <c r="E422" s="14"/>
      <c r="F422" s="14">
        <v>85000</v>
      </c>
      <c r="G422" s="18"/>
      <c r="H422" s="18"/>
      <c r="I422" s="14">
        <v>85000</v>
      </c>
      <c r="J422" s="13" t="s">
        <v>2548</v>
      </c>
    </row>
    <row r="423" spans="1:10">
      <c r="A423" s="666" t="s">
        <v>259</v>
      </c>
      <c r="B423" s="26"/>
      <c r="C423" s="25" t="s">
        <v>2560</v>
      </c>
      <c r="D423" s="20" t="s">
        <v>2118</v>
      </c>
      <c r="E423" s="14"/>
      <c r="F423" s="14">
        <v>113000</v>
      </c>
      <c r="G423" s="18"/>
      <c r="H423" s="18"/>
      <c r="I423" s="14">
        <v>113000</v>
      </c>
      <c r="J423" s="13" t="s">
        <v>2548</v>
      </c>
    </row>
    <row r="424" spans="1:10">
      <c r="A424" s="666" t="s">
        <v>258</v>
      </c>
      <c r="B424" s="26"/>
      <c r="C424" s="25" t="s">
        <v>2561</v>
      </c>
      <c r="D424" s="20" t="s">
        <v>2118</v>
      </c>
      <c r="E424" s="14"/>
      <c r="F424" s="14">
        <v>140000</v>
      </c>
      <c r="G424" s="18"/>
      <c r="H424" s="18"/>
      <c r="I424" s="14">
        <v>140000</v>
      </c>
      <c r="J424" s="13" t="s">
        <v>2548</v>
      </c>
    </row>
    <row r="425" spans="1:10">
      <c r="A425" s="25" t="s">
        <v>1404</v>
      </c>
      <c r="B425" s="668"/>
      <c r="C425" s="666" t="s">
        <v>2562</v>
      </c>
      <c r="D425" s="17" t="s">
        <v>2118</v>
      </c>
      <c r="E425" s="14"/>
      <c r="F425" s="14">
        <v>16500</v>
      </c>
      <c r="G425" s="18"/>
      <c r="H425" s="18"/>
      <c r="I425" s="14">
        <v>16500</v>
      </c>
      <c r="J425" s="13" t="s">
        <v>2548</v>
      </c>
    </row>
    <row r="426" spans="1:10">
      <c r="A426" s="25" t="s">
        <v>1502</v>
      </c>
      <c r="B426" s="668"/>
      <c r="C426" s="16" t="s">
        <v>1503</v>
      </c>
      <c r="D426" s="17" t="s">
        <v>2118</v>
      </c>
      <c r="E426" s="14"/>
      <c r="F426" s="14">
        <v>25000</v>
      </c>
      <c r="G426" s="18"/>
      <c r="H426" s="18"/>
      <c r="I426" s="14">
        <v>25000</v>
      </c>
      <c r="J426" s="13" t="s">
        <v>750</v>
      </c>
    </row>
    <row r="427" spans="1:10" ht="13.8">
      <c r="A427" s="25" t="s">
        <v>1355</v>
      </c>
      <c r="B427" s="668"/>
      <c r="C427" s="25" t="s">
        <v>2563</v>
      </c>
      <c r="D427" s="17" t="s">
        <v>2226</v>
      </c>
      <c r="E427" s="1989">
        <v>13000</v>
      </c>
      <c r="F427" s="14">
        <f>18000+17000</f>
        <v>35000</v>
      </c>
      <c r="G427" s="18"/>
      <c r="H427" s="18"/>
      <c r="I427" s="14">
        <v>25800</v>
      </c>
      <c r="J427" s="13" t="s">
        <v>2564</v>
      </c>
    </row>
    <row r="428" spans="1:10">
      <c r="A428" s="25" t="s">
        <v>1558</v>
      </c>
      <c r="B428" s="668"/>
      <c r="C428" s="666" t="s">
        <v>2565</v>
      </c>
      <c r="D428" s="17" t="s">
        <v>2226</v>
      </c>
      <c r="E428" s="14">
        <v>69000</v>
      </c>
      <c r="F428" s="14">
        <f>E428+F436*2</f>
        <v>101000</v>
      </c>
      <c r="G428" s="18"/>
      <c r="H428" s="18"/>
      <c r="I428" s="14">
        <v>50800</v>
      </c>
      <c r="J428" s="13" t="s">
        <v>2564</v>
      </c>
    </row>
    <row r="429" spans="1:10">
      <c r="A429" s="25" t="s">
        <v>232</v>
      </c>
      <c r="B429" s="668"/>
      <c r="C429" s="666" t="s">
        <v>2566</v>
      </c>
      <c r="D429" s="17" t="s">
        <v>2226</v>
      </c>
      <c r="E429" s="14">
        <v>99000</v>
      </c>
      <c r="F429" s="14">
        <f>E429+F436*3</f>
        <v>147000</v>
      </c>
      <c r="G429" s="18"/>
      <c r="H429" s="18"/>
      <c r="I429" s="14">
        <v>75900</v>
      </c>
      <c r="J429" s="13" t="s">
        <v>2564</v>
      </c>
    </row>
    <row r="430" spans="1:10">
      <c r="A430" s="25" t="s">
        <v>265</v>
      </c>
      <c r="B430" s="668"/>
      <c r="C430" s="666" t="s">
        <v>2567</v>
      </c>
      <c r="D430" s="17" t="s">
        <v>2226</v>
      </c>
      <c r="E430" s="14">
        <v>132000</v>
      </c>
      <c r="F430" s="14">
        <f>E430+F436*4</f>
        <v>196000</v>
      </c>
      <c r="G430" s="18"/>
      <c r="H430" s="18"/>
      <c r="I430" s="14">
        <v>100400</v>
      </c>
      <c r="J430" s="13" t="s">
        <v>2564</v>
      </c>
    </row>
    <row r="431" spans="1:10" ht="13.8">
      <c r="A431" s="25" t="s">
        <v>647</v>
      </c>
      <c r="B431" s="668"/>
      <c r="C431" s="666" t="s">
        <v>2568</v>
      </c>
      <c r="D431" s="17" t="s">
        <v>2118</v>
      </c>
      <c r="E431" s="14"/>
      <c r="F431" s="1989">
        <v>205000</v>
      </c>
      <c r="G431" s="18"/>
      <c r="H431" s="18"/>
      <c r="I431" s="18">
        <v>227000</v>
      </c>
      <c r="J431" s="13" t="s">
        <v>2569</v>
      </c>
    </row>
    <row r="432" spans="1:10">
      <c r="A432" s="25" t="s">
        <v>1148</v>
      </c>
      <c r="B432" s="668"/>
      <c r="C432" s="666" t="s">
        <v>2570</v>
      </c>
      <c r="D432" s="17" t="s">
        <v>2226</v>
      </c>
      <c r="E432" s="14"/>
      <c r="F432" s="14">
        <v>134000</v>
      </c>
      <c r="G432" s="18"/>
      <c r="H432" s="18"/>
      <c r="I432" s="18">
        <v>134000</v>
      </c>
      <c r="J432" s="13" t="s">
        <v>2569</v>
      </c>
    </row>
    <row r="433" spans="1:10">
      <c r="A433" s="25" t="s">
        <v>194</v>
      </c>
      <c r="B433" s="668"/>
      <c r="C433" s="666" t="s">
        <v>2571</v>
      </c>
      <c r="D433" s="17" t="s">
        <v>2226</v>
      </c>
      <c r="E433" s="14"/>
      <c r="F433" s="14">
        <v>150000</v>
      </c>
      <c r="G433" s="18"/>
      <c r="H433" s="18"/>
      <c r="I433" s="14">
        <v>150000</v>
      </c>
      <c r="J433" s="13" t="s">
        <v>2569</v>
      </c>
    </row>
    <row r="434" spans="1:10">
      <c r="A434" s="25" t="s">
        <v>195</v>
      </c>
      <c r="B434" s="668"/>
      <c r="C434" s="666" t="s">
        <v>2572</v>
      </c>
      <c r="D434" s="17" t="s">
        <v>2118</v>
      </c>
      <c r="E434" s="14"/>
      <c r="F434" s="14">
        <v>227000</v>
      </c>
      <c r="G434" s="18"/>
      <c r="H434" s="18"/>
      <c r="I434" s="14">
        <v>227000</v>
      </c>
      <c r="J434" s="13" t="s">
        <v>2569</v>
      </c>
    </row>
    <row r="435" spans="1:10" ht="13.8">
      <c r="A435" s="25" t="s">
        <v>1005</v>
      </c>
      <c r="B435" s="668"/>
      <c r="C435" s="25" t="s">
        <v>2573</v>
      </c>
      <c r="D435" s="17" t="s">
        <v>2118</v>
      </c>
      <c r="E435" s="14"/>
      <c r="F435" s="1989">
        <v>38000</v>
      </c>
      <c r="G435" s="18"/>
      <c r="H435" s="18"/>
      <c r="I435" s="14">
        <v>34400</v>
      </c>
      <c r="J435" s="13" t="s">
        <v>2569</v>
      </c>
    </row>
    <row r="436" spans="1:10" ht="13.8">
      <c r="A436" s="25" t="s">
        <v>1995</v>
      </c>
      <c r="B436" s="668"/>
      <c r="C436" s="25" t="s">
        <v>2574</v>
      </c>
      <c r="D436" s="20" t="s">
        <v>2118</v>
      </c>
      <c r="E436" s="14"/>
      <c r="F436" s="1989">
        <v>16000</v>
      </c>
      <c r="G436" s="18"/>
      <c r="H436" s="18"/>
      <c r="I436" s="14">
        <v>10800</v>
      </c>
      <c r="J436" s="13" t="s">
        <v>2569</v>
      </c>
    </row>
    <row r="437" spans="1:10">
      <c r="A437" s="25" t="s">
        <v>1008</v>
      </c>
      <c r="B437" s="668"/>
      <c r="C437" s="666" t="s">
        <v>2575</v>
      </c>
      <c r="D437" s="20" t="s">
        <v>2576</v>
      </c>
      <c r="E437" s="14"/>
      <c r="F437" s="14">
        <v>73500</v>
      </c>
      <c r="G437" s="18"/>
      <c r="H437" s="18"/>
      <c r="I437" s="14">
        <v>73500</v>
      </c>
      <c r="J437" s="13" t="s">
        <v>2569</v>
      </c>
    </row>
    <row r="438" spans="1:10">
      <c r="A438" s="25" t="s">
        <v>1500</v>
      </c>
      <c r="B438" s="668"/>
      <c r="C438" s="666" t="s">
        <v>2577</v>
      </c>
      <c r="D438" s="20" t="s">
        <v>2576</v>
      </c>
      <c r="E438" s="14"/>
      <c r="F438" s="14">
        <v>120000</v>
      </c>
      <c r="G438" s="18"/>
      <c r="H438" s="18"/>
      <c r="I438" s="14">
        <v>120000</v>
      </c>
      <c r="J438" s="13" t="s">
        <v>2569</v>
      </c>
    </row>
    <row r="439" spans="1:10" ht="13.8">
      <c r="A439" s="25" t="s">
        <v>1196</v>
      </c>
      <c r="B439" s="668"/>
      <c r="C439" s="16" t="s">
        <v>2578</v>
      </c>
      <c r="D439" s="17" t="s">
        <v>2579</v>
      </c>
      <c r="E439" s="14"/>
      <c r="F439" s="1994">
        <v>235000</v>
      </c>
      <c r="G439" s="18"/>
      <c r="H439" s="18"/>
      <c r="I439" s="14">
        <v>231000</v>
      </c>
      <c r="J439" s="13" t="s">
        <v>2569</v>
      </c>
    </row>
    <row r="440" spans="1:10">
      <c r="A440" s="25" t="s">
        <v>1106</v>
      </c>
      <c r="B440" s="668"/>
      <c r="C440" s="16" t="s">
        <v>2580</v>
      </c>
      <c r="D440" s="17" t="s">
        <v>2118</v>
      </c>
      <c r="E440" s="14"/>
      <c r="F440" s="14">
        <v>35000</v>
      </c>
      <c r="G440" s="18"/>
      <c r="H440" s="18"/>
      <c r="I440" s="14">
        <v>231000</v>
      </c>
      <c r="J440" s="13" t="s">
        <v>2569</v>
      </c>
    </row>
    <row r="441" spans="1:10">
      <c r="A441" s="25" t="s">
        <v>1197</v>
      </c>
      <c r="B441" s="668"/>
      <c r="C441" s="666" t="s">
        <v>2581</v>
      </c>
      <c r="D441" s="17" t="s">
        <v>1557</v>
      </c>
      <c r="E441" s="14"/>
      <c r="F441" s="14">
        <f t="shared" ref="F441:F456" si="12">+Lmk</f>
        <v>31625</v>
      </c>
      <c r="G441" s="18"/>
      <c r="H441" s="18"/>
      <c r="I441" s="14">
        <v>29004</v>
      </c>
      <c r="J441" s="13" t="s">
        <v>2569</v>
      </c>
    </row>
    <row r="442" spans="1:10">
      <c r="A442" s="25" t="s">
        <v>1804</v>
      </c>
      <c r="B442" s="668"/>
      <c r="C442" s="666" t="s">
        <v>2582</v>
      </c>
      <c r="D442" s="17" t="s">
        <v>1557</v>
      </c>
      <c r="E442" s="14"/>
      <c r="F442" s="14">
        <f t="shared" si="12"/>
        <v>31625</v>
      </c>
      <c r="G442" s="18"/>
      <c r="H442" s="18"/>
      <c r="I442" s="14">
        <v>29004</v>
      </c>
      <c r="J442" s="13" t="s">
        <v>2569</v>
      </c>
    </row>
    <row r="443" spans="1:10">
      <c r="A443" s="25" t="s">
        <v>593</v>
      </c>
      <c r="B443" s="668"/>
      <c r="C443" s="666" t="s">
        <v>2583</v>
      </c>
      <c r="D443" s="17" t="s">
        <v>1557</v>
      </c>
      <c r="E443" s="14"/>
      <c r="F443" s="14">
        <f t="shared" si="12"/>
        <v>31625</v>
      </c>
      <c r="G443" s="18"/>
      <c r="H443" s="18"/>
      <c r="I443" s="14">
        <v>10500</v>
      </c>
      <c r="J443" s="13" t="s">
        <v>2569</v>
      </c>
    </row>
    <row r="444" spans="1:10">
      <c r="A444" s="25" t="s">
        <v>396</v>
      </c>
      <c r="B444" s="668"/>
      <c r="C444" s="666" t="s">
        <v>2584</v>
      </c>
      <c r="D444" s="17" t="s">
        <v>1557</v>
      </c>
      <c r="E444" s="14"/>
      <c r="F444" s="14">
        <f t="shared" si="12"/>
        <v>31625</v>
      </c>
      <c r="G444" s="18"/>
      <c r="H444" s="18"/>
      <c r="I444" s="14">
        <v>10500</v>
      </c>
      <c r="J444" s="13" t="s">
        <v>2569</v>
      </c>
    </row>
    <row r="445" spans="1:10">
      <c r="A445" s="666" t="s">
        <v>397</v>
      </c>
      <c r="B445" s="26"/>
      <c r="C445" s="666" t="s">
        <v>2585</v>
      </c>
      <c r="D445" s="17" t="s">
        <v>1557</v>
      </c>
      <c r="E445" s="14"/>
      <c r="F445" s="14">
        <f t="shared" si="12"/>
        <v>31625</v>
      </c>
      <c r="G445" s="18"/>
      <c r="H445" s="18"/>
      <c r="I445" s="14">
        <v>10500</v>
      </c>
      <c r="J445" s="13" t="s">
        <v>2569</v>
      </c>
    </row>
    <row r="446" spans="1:10">
      <c r="A446" s="666" t="s">
        <v>200</v>
      </c>
      <c r="B446" s="26"/>
      <c r="C446" s="666" t="s">
        <v>2586</v>
      </c>
      <c r="D446" s="17" t="s">
        <v>1557</v>
      </c>
      <c r="E446" s="14"/>
      <c r="F446" s="14">
        <f t="shared" si="12"/>
        <v>31625</v>
      </c>
      <c r="G446" s="18"/>
      <c r="H446" s="18"/>
      <c r="I446" s="14">
        <v>10500</v>
      </c>
      <c r="J446" s="13" t="s">
        <v>2569</v>
      </c>
    </row>
    <row r="447" spans="1:10">
      <c r="A447" s="16" t="s">
        <v>1220</v>
      </c>
      <c r="B447" s="668"/>
      <c r="C447" s="666" t="s">
        <v>2587</v>
      </c>
      <c r="D447" s="17" t="s">
        <v>1557</v>
      </c>
      <c r="E447" s="14"/>
      <c r="F447" s="14">
        <f t="shared" si="12"/>
        <v>31625</v>
      </c>
      <c r="G447" s="18"/>
      <c r="H447" s="18"/>
      <c r="I447" s="14">
        <v>10500</v>
      </c>
      <c r="J447" s="13" t="s">
        <v>2569</v>
      </c>
    </row>
    <row r="448" spans="1:10">
      <c r="A448" s="666" t="s">
        <v>1646</v>
      </c>
      <c r="B448" s="26"/>
      <c r="C448" s="666" t="s">
        <v>2588</v>
      </c>
      <c r="D448" s="17" t="s">
        <v>1557</v>
      </c>
      <c r="E448" s="14"/>
      <c r="F448" s="14">
        <f t="shared" si="12"/>
        <v>31625</v>
      </c>
      <c r="G448" s="18"/>
      <c r="H448" s="18"/>
      <c r="I448" s="14">
        <v>10500</v>
      </c>
      <c r="J448" s="13" t="s">
        <v>2569</v>
      </c>
    </row>
    <row r="449" spans="1:11">
      <c r="A449" s="666" t="s">
        <v>1573</v>
      </c>
      <c r="B449" s="26"/>
      <c r="C449" s="666" t="s">
        <v>2589</v>
      </c>
      <c r="D449" s="17" t="s">
        <v>1557</v>
      </c>
      <c r="E449" s="14"/>
      <c r="F449" s="14">
        <f t="shared" si="12"/>
        <v>31625</v>
      </c>
      <c r="G449" s="18"/>
      <c r="H449" s="18"/>
      <c r="I449" s="14">
        <v>10500</v>
      </c>
      <c r="J449" s="13" t="s">
        <v>2569</v>
      </c>
    </row>
    <row r="450" spans="1:11">
      <c r="A450" s="25" t="s">
        <v>1857</v>
      </c>
      <c r="B450" s="668"/>
      <c r="C450" s="666" t="s">
        <v>2590</v>
      </c>
      <c r="D450" s="17" t="s">
        <v>1557</v>
      </c>
      <c r="E450" s="14"/>
      <c r="F450" s="14">
        <f t="shared" si="12"/>
        <v>31625</v>
      </c>
      <c r="G450" s="18"/>
      <c r="H450" s="18"/>
      <c r="I450" s="14">
        <v>10500</v>
      </c>
      <c r="J450" s="13" t="s">
        <v>2569</v>
      </c>
    </row>
    <row r="451" spans="1:11">
      <c r="A451" s="666" t="s">
        <v>2</v>
      </c>
      <c r="B451" s="26"/>
      <c r="C451" s="666" t="s">
        <v>2591</v>
      </c>
      <c r="D451" s="17" t="s">
        <v>1557</v>
      </c>
      <c r="E451" s="14"/>
      <c r="F451" s="14">
        <f t="shared" si="12"/>
        <v>31625</v>
      </c>
      <c r="G451" s="18"/>
      <c r="H451" s="18"/>
      <c r="I451" s="14">
        <v>10500</v>
      </c>
      <c r="J451" s="13" t="s">
        <v>2569</v>
      </c>
    </row>
    <row r="452" spans="1:11" s="1649" customFormat="1">
      <c r="A452" s="1759" t="s">
        <v>4930</v>
      </c>
      <c r="B452" s="1689"/>
      <c r="C452" s="1759" t="s">
        <v>4931</v>
      </c>
      <c r="D452" s="1646" t="s">
        <v>4490</v>
      </c>
      <c r="E452" s="707"/>
      <c r="F452" s="707">
        <f>28169*3.772*0.81</f>
        <v>86065.309080000006</v>
      </c>
      <c r="G452" s="1647"/>
      <c r="H452" s="1647"/>
      <c r="I452" s="707">
        <v>10500</v>
      </c>
      <c r="J452" s="1648" t="s">
        <v>2569</v>
      </c>
    </row>
    <row r="453" spans="1:11">
      <c r="A453" s="666" t="s">
        <v>4932</v>
      </c>
      <c r="B453" s="26"/>
      <c r="C453" s="666" t="s">
        <v>4933</v>
      </c>
      <c r="D453" s="17" t="s">
        <v>4490</v>
      </c>
      <c r="E453" s="14"/>
      <c r="F453" s="14">
        <v>80500</v>
      </c>
      <c r="G453" s="18"/>
      <c r="H453" s="18"/>
      <c r="I453" s="14">
        <v>10500</v>
      </c>
      <c r="J453" s="13" t="s">
        <v>2569</v>
      </c>
    </row>
    <row r="454" spans="1:11">
      <c r="A454" s="666" t="s">
        <v>4934</v>
      </c>
      <c r="B454" s="26"/>
      <c r="C454" s="666" t="s">
        <v>4935</v>
      </c>
      <c r="D454" s="17" t="s">
        <v>4490</v>
      </c>
      <c r="E454" s="14"/>
      <c r="F454" s="14">
        <v>145000</v>
      </c>
      <c r="G454" s="18"/>
      <c r="H454" s="18"/>
      <c r="I454" s="14">
        <v>10500</v>
      </c>
      <c r="J454" s="13" t="s">
        <v>2569</v>
      </c>
    </row>
    <row r="455" spans="1:11">
      <c r="A455" s="25" t="s">
        <v>395</v>
      </c>
      <c r="B455" s="668"/>
      <c r="C455" s="666" t="s">
        <v>2592</v>
      </c>
      <c r="D455" s="17" t="s">
        <v>1557</v>
      </c>
      <c r="E455" s="14"/>
      <c r="F455" s="14">
        <f t="shared" si="12"/>
        <v>31625</v>
      </c>
      <c r="G455" s="18"/>
      <c r="H455" s="18"/>
      <c r="I455" s="14">
        <v>10500</v>
      </c>
      <c r="J455" s="13" t="s">
        <v>2569</v>
      </c>
    </row>
    <row r="456" spans="1:11">
      <c r="A456" s="25" t="s">
        <v>386</v>
      </c>
      <c r="B456" s="668"/>
      <c r="C456" s="666" t="s">
        <v>2593</v>
      </c>
      <c r="D456" s="17" t="s">
        <v>1557</v>
      </c>
      <c r="E456" s="14"/>
      <c r="F456" s="14">
        <f t="shared" si="12"/>
        <v>31625</v>
      </c>
      <c r="G456" s="18"/>
      <c r="H456" s="18"/>
      <c r="I456" s="14">
        <v>10500</v>
      </c>
      <c r="J456" s="13" t="s">
        <v>2569</v>
      </c>
    </row>
    <row r="457" spans="1:11">
      <c r="A457" s="25" t="s">
        <v>5727</v>
      </c>
      <c r="B457" s="668"/>
      <c r="C457" s="666" t="s">
        <v>5728</v>
      </c>
      <c r="D457" s="17" t="s">
        <v>4490</v>
      </c>
      <c r="E457" s="14"/>
      <c r="F457" s="707">
        <f>(8.948*0.8+0.671*1)*28169</f>
        <v>220546.36860000002</v>
      </c>
      <c r="G457" s="18"/>
      <c r="H457" s="18"/>
      <c r="I457" s="14">
        <v>10500</v>
      </c>
      <c r="J457" s="13" t="s">
        <v>2569</v>
      </c>
    </row>
    <row r="458" spans="1:11">
      <c r="A458" s="25" t="s">
        <v>4936</v>
      </c>
      <c r="B458" s="668"/>
      <c r="C458" s="666" t="s">
        <v>4937</v>
      </c>
      <c r="D458" s="17" t="s">
        <v>4490</v>
      </c>
      <c r="E458" s="14"/>
      <c r="F458" s="707">
        <f>(8.948*2.2+0.671*4)*28169</f>
        <v>630129.26240000001</v>
      </c>
      <c r="G458" s="18"/>
      <c r="H458" s="18"/>
      <c r="I458" s="14">
        <v>10500</v>
      </c>
      <c r="J458" s="13" t="s">
        <v>2569</v>
      </c>
    </row>
    <row r="459" spans="1:11" s="1649" customFormat="1">
      <c r="A459" s="1758" t="s">
        <v>4938</v>
      </c>
      <c r="B459" s="1644"/>
      <c r="C459" s="1759" t="s">
        <v>4939</v>
      </c>
      <c r="D459" s="1646" t="s">
        <v>4490</v>
      </c>
      <c r="E459" s="707"/>
      <c r="F459" s="707">
        <f>(8.948*2.2+0.671*4)*28169</f>
        <v>630129.26240000001</v>
      </c>
      <c r="G459" s="1647"/>
      <c r="H459" s="1647"/>
      <c r="I459" s="707">
        <v>10500</v>
      </c>
      <c r="J459" s="1648" t="s">
        <v>2569</v>
      </c>
    </row>
    <row r="460" spans="1:11" s="1649" customFormat="1">
      <c r="A460" s="1758" t="s">
        <v>5698</v>
      </c>
      <c r="B460" s="1644"/>
      <c r="C460" s="1759" t="s">
        <v>5699</v>
      </c>
      <c r="D460" s="1646" t="s">
        <v>4490</v>
      </c>
      <c r="E460" s="707"/>
      <c r="F460" s="707">
        <f>(8.948*2.4+0.671*4)*28169</f>
        <v>680540.50480000011</v>
      </c>
      <c r="G460" s="1647"/>
      <c r="H460" s="1647"/>
      <c r="I460" s="707">
        <v>10500</v>
      </c>
      <c r="J460" s="1648" t="s">
        <v>2569</v>
      </c>
    </row>
    <row r="461" spans="1:11">
      <c r="A461" s="25" t="s">
        <v>4940</v>
      </c>
      <c r="B461" s="668"/>
      <c r="C461" s="666" t="s">
        <v>4941</v>
      </c>
      <c r="D461" s="17" t="s">
        <v>4490</v>
      </c>
      <c r="E461" s="14"/>
      <c r="F461" s="14">
        <v>480000</v>
      </c>
      <c r="G461" s="18"/>
      <c r="H461" s="18"/>
      <c r="I461" s="14">
        <v>10500</v>
      </c>
      <c r="J461" s="13" t="s">
        <v>2569</v>
      </c>
    </row>
    <row r="462" spans="1:11">
      <c r="A462" s="25" t="s">
        <v>4942</v>
      </c>
      <c r="B462" s="668"/>
      <c r="C462" s="666" t="s">
        <v>4943</v>
      </c>
      <c r="D462" s="17" t="s">
        <v>4490</v>
      </c>
      <c r="E462" s="14"/>
      <c r="F462" s="14">
        <v>470000</v>
      </c>
      <c r="G462" s="18"/>
      <c r="H462" s="18"/>
      <c r="I462" s="14">
        <v>10500</v>
      </c>
      <c r="J462" s="13" t="s">
        <v>2569</v>
      </c>
    </row>
    <row r="463" spans="1:11">
      <c r="A463" s="25" t="s">
        <v>4970</v>
      </c>
      <c r="B463" s="668"/>
      <c r="C463" s="666" t="s">
        <v>4971</v>
      </c>
      <c r="D463" s="17" t="s">
        <v>4490</v>
      </c>
      <c r="E463" s="14"/>
      <c r="F463" s="707">
        <v>520000</v>
      </c>
      <c r="G463" s="18"/>
      <c r="H463" s="18"/>
      <c r="I463" s="14">
        <v>10500</v>
      </c>
      <c r="J463" s="13" t="s">
        <v>2569</v>
      </c>
    </row>
    <row r="464" spans="1:11" s="1649" customFormat="1">
      <c r="A464" s="1758" t="s">
        <v>577</v>
      </c>
      <c r="B464" s="1644"/>
      <c r="C464" s="1759" t="s">
        <v>2594</v>
      </c>
      <c r="D464" s="1646" t="s">
        <v>1557</v>
      </c>
      <c r="E464" s="707"/>
      <c r="F464" s="707">
        <v>13200</v>
      </c>
      <c r="G464" s="1647"/>
      <c r="H464" s="1647"/>
      <c r="I464" s="707">
        <v>4700</v>
      </c>
      <c r="J464" s="1648" t="s">
        <v>2569</v>
      </c>
      <c r="K464" s="1648"/>
    </row>
    <row r="465" spans="1:11" s="1649" customFormat="1">
      <c r="A465" s="1758" t="s">
        <v>59</v>
      </c>
      <c r="B465" s="1644"/>
      <c r="C465" s="1759" t="s">
        <v>2595</v>
      </c>
      <c r="D465" s="1646" t="s">
        <v>1557</v>
      </c>
      <c r="E465" s="707"/>
      <c r="F465" s="707">
        <v>13200</v>
      </c>
      <c r="G465" s="1647"/>
      <c r="H465" s="1647"/>
      <c r="I465" s="707">
        <v>4700</v>
      </c>
      <c r="J465" s="1648" t="s">
        <v>2569</v>
      </c>
      <c r="K465" s="1648"/>
    </row>
    <row r="466" spans="1:11" s="1649" customFormat="1">
      <c r="A466" s="1758" t="s">
        <v>62</v>
      </c>
      <c r="B466" s="1644"/>
      <c r="C466" s="1759" t="s">
        <v>2596</v>
      </c>
      <c r="D466" s="1646" t="s">
        <v>1557</v>
      </c>
      <c r="E466" s="707"/>
      <c r="F466" s="707">
        <v>13300</v>
      </c>
      <c r="G466" s="1647"/>
      <c r="H466" s="1647"/>
      <c r="I466" s="707">
        <v>16470</v>
      </c>
      <c r="J466" s="1648" t="s">
        <v>2569</v>
      </c>
      <c r="K466" s="1648"/>
    </row>
    <row r="467" spans="1:11" s="1649" customFormat="1">
      <c r="A467" s="1758" t="s">
        <v>1858</v>
      </c>
      <c r="B467" s="1644"/>
      <c r="C467" s="1759" t="s">
        <v>2597</v>
      </c>
      <c r="D467" s="1646" t="s">
        <v>1557</v>
      </c>
      <c r="E467" s="707"/>
      <c r="F467" s="707">
        <v>13200</v>
      </c>
      <c r="G467" s="1647"/>
      <c r="H467" s="1647"/>
      <c r="I467" s="707">
        <v>16320</v>
      </c>
      <c r="J467" s="1648" t="s">
        <v>2569</v>
      </c>
      <c r="K467" s="1648"/>
    </row>
    <row r="468" spans="1:11" s="1649" customFormat="1">
      <c r="A468" s="1758" t="s">
        <v>392</v>
      </c>
      <c r="B468" s="1644"/>
      <c r="C468" s="1759" t="s">
        <v>2598</v>
      </c>
      <c r="D468" s="1646" t="s">
        <v>1557</v>
      </c>
      <c r="E468" s="707"/>
      <c r="F468" s="707">
        <v>13200</v>
      </c>
      <c r="G468" s="1647"/>
      <c r="H468" s="1647"/>
      <c r="I468" s="707">
        <v>17120</v>
      </c>
      <c r="J468" s="1648" t="s">
        <v>2569</v>
      </c>
      <c r="K468" s="1648"/>
    </row>
    <row r="469" spans="1:11" s="1649" customFormat="1">
      <c r="A469" s="1758" t="s">
        <v>578</v>
      </c>
      <c r="B469" s="1644"/>
      <c r="C469" s="1759" t="s">
        <v>2599</v>
      </c>
      <c r="D469" s="1646" t="s">
        <v>1557</v>
      </c>
      <c r="E469" s="707"/>
      <c r="F469" s="707">
        <v>13200</v>
      </c>
      <c r="G469" s="1647"/>
      <c r="H469" s="1647"/>
      <c r="I469" s="707">
        <v>17120</v>
      </c>
      <c r="J469" s="1648" t="s">
        <v>2569</v>
      </c>
      <c r="K469" s="1648"/>
    </row>
    <row r="470" spans="1:11">
      <c r="A470" s="25" t="s">
        <v>198</v>
      </c>
      <c r="B470" s="668"/>
      <c r="C470" s="25" t="s">
        <v>2600</v>
      </c>
      <c r="D470" s="17" t="s">
        <v>1557</v>
      </c>
      <c r="E470" s="14"/>
      <c r="F470" s="14">
        <v>29004</v>
      </c>
      <c r="G470" s="18"/>
      <c r="H470" s="18"/>
      <c r="I470" s="14"/>
      <c r="J470" s="13"/>
    </row>
    <row r="471" spans="1:11">
      <c r="A471" s="25" t="s">
        <v>266</v>
      </c>
      <c r="B471" s="668"/>
      <c r="C471" s="21" t="s">
        <v>2601</v>
      </c>
      <c r="D471" s="17" t="s">
        <v>1557</v>
      </c>
      <c r="E471" s="14"/>
      <c r="F471" s="14">
        <f>+Lmk</f>
        <v>31625</v>
      </c>
      <c r="G471" s="18"/>
      <c r="H471" s="18"/>
      <c r="I471" s="14">
        <v>4450</v>
      </c>
      <c r="J471" s="13" t="s">
        <v>2602</v>
      </c>
    </row>
    <row r="472" spans="1:11">
      <c r="A472" s="25" t="s">
        <v>651</v>
      </c>
      <c r="B472" s="668"/>
      <c r="C472" s="21" t="s">
        <v>2603</v>
      </c>
      <c r="D472" s="17" t="s">
        <v>1557</v>
      </c>
      <c r="E472" s="14"/>
      <c r="F472" s="14">
        <f>+Lmk</f>
        <v>31625</v>
      </c>
      <c r="G472" s="18"/>
      <c r="H472" s="18"/>
      <c r="I472" s="14">
        <v>4450</v>
      </c>
      <c r="J472" s="13" t="s">
        <v>2602</v>
      </c>
    </row>
    <row r="473" spans="1:11">
      <c r="A473" s="25" t="s">
        <v>579</v>
      </c>
      <c r="B473" s="668"/>
      <c r="C473" s="21" t="s">
        <v>2604</v>
      </c>
      <c r="D473" s="17" t="s">
        <v>1557</v>
      </c>
      <c r="E473" s="14"/>
      <c r="F473" s="14">
        <f>+Lmk</f>
        <v>31625</v>
      </c>
      <c r="G473" s="18"/>
      <c r="H473" s="18"/>
      <c r="I473" s="14">
        <v>4450</v>
      </c>
      <c r="J473" s="13" t="s">
        <v>2602</v>
      </c>
    </row>
    <row r="474" spans="1:11">
      <c r="A474" s="25" t="s">
        <v>1561</v>
      </c>
      <c r="B474" s="668"/>
      <c r="C474" s="21" t="s">
        <v>2605</v>
      </c>
      <c r="D474" s="17" t="s">
        <v>1557</v>
      </c>
      <c r="E474" s="14"/>
      <c r="F474" s="14">
        <f>+Lmk</f>
        <v>31625</v>
      </c>
      <c r="G474" s="18"/>
      <c r="H474" s="18"/>
      <c r="I474" s="14">
        <v>4572</v>
      </c>
      <c r="J474" s="13" t="s">
        <v>2602</v>
      </c>
    </row>
    <row r="475" spans="1:11" ht="13.8">
      <c r="A475" s="25" t="s">
        <v>1451</v>
      </c>
      <c r="B475" s="668"/>
      <c r="C475" s="16" t="s">
        <v>2606</v>
      </c>
      <c r="D475" s="17" t="s">
        <v>2226</v>
      </c>
      <c r="E475" s="14"/>
      <c r="F475" s="1989">
        <v>305000</v>
      </c>
      <c r="G475" s="18"/>
      <c r="H475" s="18"/>
      <c r="I475" s="14">
        <v>265800</v>
      </c>
      <c r="J475" s="13" t="s">
        <v>1489</v>
      </c>
    </row>
    <row r="476" spans="1:11">
      <c r="A476" s="25" t="s">
        <v>1511</v>
      </c>
      <c r="B476" s="668"/>
      <c r="C476" s="16" t="s">
        <v>2607</v>
      </c>
      <c r="D476" s="17" t="s">
        <v>2226</v>
      </c>
      <c r="E476" s="14"/>
      <c r="F476" s="14">
        <v>245000</v>
      </c>
      <c r="G476" s="18"/>
      <c r="H476" s="18"/>
      <c r="I476" s="14">
        <v>223200</v>
      </c>
      <c r="J476" s="13" t="s">
        <v>1489</v>
      </c>
    </row>
    <row r="477" spans="1:11">
      <c r="A477" s="666" t="s">
        <v>1378</v>
      </c>
      <c r="B477" s="26"/>
      <c r="C477" s="666" t="s">
        <v>1649</v>
      </c>
      <c r="D477" s="17" t="s">
        <v>2118</v>
      </c>
      <c r="E477" s="14"/>
      <c r="F477" s="14">
        <v>116000</v>
      </c>
      <c r="G477" s="18"/>
      <c r="H477" s="18"/>
      <c r="I477" s="14">
        <v>116000</v>
      </c>
      <c r="J477" s="13" t="s">
        <v>1499</v>
      </c>
    </row>
    <row r="478" spans="1:11" ht="13.8">
      <c r="A478" s="666" t="s">
        <v>1723</v>
      </c>
      <c r="B478" s="26"/>
      <c r="C478" s="666" t="s">
        <v>1650</v>
      </c>
      <c r="D478" s="17" t="s">
        <v>2118</v>
      </c>
      <c r="E478" s="14"/>
      <c r="F478" s="1989">
        <v>126000</v>
      </c>
      <c r="G478" s="18"/>
      <c r="H478" s="18"/>
      <c r="I478" s="14">
        <v>49000</v>
      </c>
      <c r="J478" s="13" t="s">
        <v>1499</v>
      </c>
    </row>
    <row r="479" spans="1:11">
      <c r="A479" s="666" t="s">
        <v>689</v>
      </c>
      <c r="B479" s="26"/>
      <c r="C479" s="666" t="s">
        <v>1651</v>
      </c>
      <c r="D479" s="17" t="s">
        <v>2118</v>
      </c>
      <c r="E479" s="14"/>
      <c r="F479" s="14">
        <v>190800</v>
      </c>
      <c r="G479" s="18"/>
      <c r="H479" s="18"/>
      <c r="I479" s="14">
        <v>58300</v>
      </c>
      <c r="J479" s="13" t="s">
        <v>1499</v>
      </c>
    </row>
    <row r="480" spans="1:11">
      <c r="A480" s="666" t="s">
        <v>1281</v>
      </c>
      <c r="B480" s="26"/>
      <c r="C480" s="666" t="s">
        <v>1652</v>
      </c>
      <c r="D480" s="17" t="s">
        <v>2118</v>
      </c>
      <c r="E480" s="14"/>
      <c r="F480" s="14">
        <v>262000</v>
      </c>
      <c r="G480" s="18"/>
      <c r="H480" s="18"/>
      <c r="I480" s="14">
        <v>241000</v>
      </c>
      <c r="J480" s="13" t="s">
        <v>1499</v>
      </c>
    </row>
    <row r="481" spans="1:10">
      <c r="A481" s="666" t="s">
        <v>536</v>
      </c>
      <c r="B481" s="26"/>
      <c r="C481" s="666" t="s">
        <v>1417</v>
      </c>
      <c r="D481" s="17" t="s">
        <v>2118</v>
      </c>
      <c r="E481" s="14"/>
      <c r="F481" s="14">
        <v>329000</v>
      </c>
      <c r="G481" s="18"/>
      <c r="H481" s="18"/>
      <c r="I481" s="14">
        <v>329000</v>
      </c>
      <c r="J481" s="13" t="s">
        <v>1499</v>
      </c>
    </row>
    <row r="482" spans="1:10">
      <c r="A482" s="666" t="s">
        <v>1009</v>
      </c>
      <c r="B482" s="26"/>
      <c r="C482" s="666" t="s">
        <v>1418</v>
      </c>
      <c r="D482" s="17" t="s">
        <v>2118</v>
      </c>
      <c r="E482" s="14"/>
      <c r="F482" s="14">
        <v>399000</v>
      </c>
      <c r="G482" s="18"/>
      <c r="H482" s="18"/>
      <c r="I482" s="14">
        <v>399000</v>
      </c>
      <c r="J482" s="13" t="s">
        <v>1499</v>
      </c>
    </row>
    <row r="483" spans="1:10" ht="13.8">
      <c r="A483" s="16" t="s">
        <v>918</v>
      </c>
      <c r="B483" s="26" t="s">
        <v>989</v>
      </c>
      <c r="C483" s="666" t="s">
        <v>2608</v>
      </c>
      <c r="D483" s="17" t="s">
        <v>2118</v>
      </c>
      <c r="E483" s="14"/>
      <c r="F483" s="1989">
        <v>64000</v>
      </c>
      <c r="G483" s="14">
        <v>22255</v>
      </c>
      <c r="H483" s="18"/>
      <c r="I483" s="14">
        <v>95000</v>
      </c>
      <c r="J483" s="13" t="s">
        <v>2609</v>
      </c>
    </row>
    <row r="484" spans="1:10">
      <c r="A484" s="25" t="s">
        <v>2186</v>
      </c>
      <c r="B484" s="668"/>
      <c r="C484" s="16" t="s">
        <v>2610</v>
      </c>
      <c r="D484" s="17" t="s">
        <v>2226</v>
      </c>
      <c r="E484" s="14"/>
      <c r="F484" s="14">
        <v>180900</v>
      </c>
      <c r="G484" s="18"/>
      <c r="H484" s="18"/>
      <c r="I484" s="14">
        <v>180900</v>
      </c>
      <c r="J484" s="13" t="s">
        <v>1489</v>
      </c>
    </row>
    <row r="485" spans="1:10">
      <c r="A485" s="16" t="s">
        <v>919</v>
      </c>
      <c r="B485" s="668"/>
      <c r="C485" s="16" t="s">
        <v>2611</v>
      </c>
      <c r="D485" s="17" t="s">
        <v>2226</v>
      </c>
      <c r="E485" s="14"/>
      <c r="F485" s="14">
        <v>50000</v>
      </c>
      <c r="G485" s="1597"/>
      <c r="H485" s="18"/>
      <c r="I485" s="14">
        <v>50000</v>
      </c>
      <c r="J485" s="13" t="s">
        <v>1489</v>
      </c>
    </row>
    <row r="486" spans="1:10">
      <c r="A486" s="16" t="s">
        <v>991</v>
      </c>
      <c r="B486" s="668"/>
      <c r="C486" s="16" t="s">
        <v>2612</v>
      </c>
      <c r="D486" s="17" t="s">
        <v>2226</v>
      </c>
      <c r="E486" s="14"/>
      <c r="F486" s="14">
        <v>50000</v>
      </c>
      <c r="G486" s="1597"/>
      <c r="H486" s="18"/>
      <c r="I486" s="14">
        <v>50000</v>
      </c>
      <c r="J486" s="13" t="s">
        <v>1489</v>
      </c>
    </row>
    <row r="487" spans="1:10">
      <c r="A487" s="16" t="s">
        <v>1874</v>
      </c>
      <c r="B487" s="668"/>
      <c r="C487" s="16" t="s">
        <v>2613</v>
      </c>
      <c r="D487" s="17" t="s">
        <v>2226</v>
      </c>
      <c r="E487" s="14"/>
      <c r="F487" s="14">
        <v>50000</v>
      </c>
      <c r="G487" s="1597"/>
      <c r="H487" s="18"/>
      <c r="I487" s="14">
        <v>50000</v>
      </c>
      <c r="J487" s="13" t="s">
        <v>1489</v>
      </c>
    </row>
    <row r="488" spans="1:10">
      <c r="A488" s="16" t="s">
        <v>1658</v>
      </c>
      <c r="B488" s="668"/>
      <c r="C488" s="16" t="s">
        <v>2614</v>
      </c>
      <c r="D488" s="17" t="s">
        <v>2226</v>
      </c>
      <c r="E488" s="14"/>
      <c r="F488" s="14">
        <v>50000</v>
      </c>
      <c r="G488" s="1597"/>
      <c r="H488" s="18"/>
      <c r="I488" s="14">
        <v>50000</v>
      </c>
      <c r="J488" s="13" t="s">
        <v>1489</v>
      </c>
    </row>
    <row r="489" spans="1:10">
      <c r="A489" s="16" t="s">
        <v>1969</v>
      </c>
      <c r="B489" s="668"/>
      <c r="C489" s="16" t="s">
        <v>2615</v>
      </c>
      <c r="D489" s="17" t="s">
        <v>2226</v>
      </c>
      <c r="E489" s="14"/>
      <c r="F489" s="14">
        <v>197807</v>
      </c>
      <c r="G489" s="1597"/>
      <c r="H489" s="18"/>
      <c r="I489" s="14">
        <v>197807</v>
      </c>
      <c r="J489" s="13" t="s">
        <v>1489</v>
      </c>
    </row>
    <row r="490" spans="1:10">
      <c r="A490" s="16" t="s">
        <v>5023</v>
      </c>
      <c r="B490" s="668"/>
      <c r="C490" s="16" t="s">
        <v>5024</v>
      </c>
      <c r="D490" s="17" t="s">
        <v>2226</v>
      </c>
      <c r="E490" s="14"/>
      <c r="F490" s="18">
        <v>43000</v>
      </c>
      <c r="G490" s="1597"/>
      <c r="H490" s="18"/>
      <c r="I490" s="14">
        <v>40700</v>
      </c>
      <c r="J490" s="13" t="s">
        <v>1489</v>
      </c>
    </row>
    <row r="491" spans="1:10">
      <c r="A491" s="16" t="s">
        <v>542</v>
      </c>
      <c r="B491" s="668"/>
      <c r="C491" s="16" t="s">
        <v>4852</v>
      </c>
      <c r="D491" s="17" t="s">
        <v>2226</v>
      </c>
      <c r="E491" s="14"/>
      <c r="F491" s="18">
        <v>43000</v>
      </c>
      <c r="G491" s="1597"/>
      <c r="H491" s="18"/>
      <c r="I491" s="14">
        <v>40700</v>
      </c>
      <c r="J491" s="13" t="s">
        <v>1489</v>
      </c>
    </row>
    <row r="492" spans="1:10">
      <c r="A492" s="16" t="s">
        <v>4944</v>
      </c>
      <c r="B492" s="668"/>
      <c r="C492" s="16" t="s">
        <v>4945</v>
      </c>
      <c r="D492" s="17" t="s">
        <v>2226</v>
      </c>
      <c r="E492" s="14"/>
      <c r="F492" s="18">
        <v>43000</v>
      </c>
      <c r="G492" s="1597"/>
      <c r="H492" s="18"/>
      <c r="I492" s="14">
        <v>40700</v>
      </c>
      <c r="J492" s="13" t="s">
        <v>1489</v>
      </c>
    </row>
    <row r="493" spans="1:10">
      <c r="A493" s="16" t="s">
        <v>4995</v>
      </c>
      <c r="B493" s="668"/>
      <c r="C493" s="16" t="s">
        <v>4996</v>
      </c>
      <c r="D493" s="17" t="s">
        <v>2226</v>
      </c>
      <c r="E493" s="14"/>
      <c r="F493" s="18">
        <v>45000</v>
      </c>
      <c r="G493" s="1597"/>
      <c r="H493" s="18"/>
      <c r="I493" s="14">
        <v>40700</v>
      </c>
      <c r="J493" s="13" t="s">
        <v>1489</v>
      </c>
    </row>
    <row r="494" spans="1:10">
      <c r="A494" s="16" t="s">
        <v>2090</v>
      </c>
      <c r="B494" s="668"/>
      <c r="C494" s="16" t="s">
        <v>2616</v>
      </c>
      <c r="D494" s="17" t="s">
        <v>2226</v>
      </c>
      <c r="E494" s="14"/>
      <c r="F494" s="18">
        <v>46000</v>
      </c>
      <c r="G494" s="1597"/>
      <c r="H494" s="18"/>
      <c r="I494" s="14"/>
      <c r="J494" s="13" t="s">
        <v>1489</v>
      </c>
    </row>
    <row r="495" spans="1:10">
      <c r="A495" s="16" t="s">
        <v>2089</v>
      </c>
      <c r="B495" s="668"/>
      <c r="C495" s="16" t="s">
        <v>2617</v>
      </c>
      <c r="D495" s="17" t="s">
        <v>2226</v>
      </c>
      <c r="E495" s="14"/>
      <c r="F495" s="18">
        <v>49000</v>
      </c>
      <c r="G495" s="1597"/>
      <c r="H495" s="18"/>
      <c r="I495" s="14"/>
      <c r="J495" s="13" t="s">
        <v>1489</v>
      </c>
    </row>
    <row r="496" spans="1:10">
      <c r="A496" s="16" t="s">
        <v>193</v>
      </c>
      <c r="B496" s="668"/>
      <c r="C496" s="16" t="s">
        <v>2618</v>
      </c>
      <c r="D496" s="17" t="s">
        <v>2226</v>
      </c>
      <c r="E496" s="14"/>
      <c r="F496" s="18">
        <v>50000</v>
      </c>
      <c r="G496" s="1597"/>
      <c r="H496" s="18"/>
      <c r="I496" s="14"/>
      <c r="J496" s="13" t="s">
        <v>1489</v>
      </c>
    </row>
    <row r="497" spans="1:10">
      <c r="A497" s="16" t="s">
        <v>1169</v>
      </c>
      <c r="B497" s="668"/>
      <c r="C497" s="16" t="s">
        <v>2619</v>
      </c>
      <c r="D497" s="17" t="s">
        <v>2226</v>
      </c>
      <c r="E497" s="14"/>
      <c r="F497" s="18">
        <v>56000</v>
      </c>
      <c r="G497" s="1597"/>
      <c r="H497" s="18"/>
      <c r="I497" s="14"/>
      <c r="J497" s="13" t="s">
        <v>1489</v>
      </c>
    </row>
    <row r="498" spans="1:10">
      <c r="A498" s="16" t="s">
        <v>288</v>
      </c>
      <c r="B498" s="668"/>
      <c r="C498" s="16" t="s">
        <v>2620</v>
      </c>
      <c r="D498" s="17" t="s">
        <v>2226</v>
      </c>
      <c r="E498" s="14"/>
      <c r="F498" s="18">
        <v>56000</v>
      </c>
      <c r="G498" s="1597"/>
      <c r="H498" s="18"/>
      <c r="I498" s="14"/>
      <c r="J498" s="13" t="s">
        <v>1489</v>
      </c>
    </row>
    <row r="499" spans="1:10">
      <c r="A499" s="16" t="s">
        <v>2055</v>
      </c>
      <c r="B499" s="668"/>
      <c r="C499" s="16" t="s">
        <v>2621</v>
      </c>
      <c r="D499" s="17" t="s">
        <v>2226</v>
      </c>
      <c r="E499" s="14"/>
      <c r="F499" s="18">
        <v>100000</v>
      </c>
      <c r="G499" s="1597"/>
      <c r="H499" s="18"/>
      <c r="I499" s="14"/>
      <c r="J499" s="13" t="s">
        <v>1489</v>
      </c>
    </row>
    <row r="500" spans="1:10">
      <c r="A500" s="16" t="s">
        <v>1663</v>
      </c>
      <c r="B500" s="668"/>
      <c r="C500" s="16" t="s">
        <v>2622</v>
      </c>
      <c r="D500" s="17" t="s">
        <v>2226</v>
      </c>
      <c r="E500" s="14"/>
      <c r="F500" s="18">
        <v>38000</v>
      </c>
      <c r="G500" s="1597"/>
      <c r="H500" s="18"/>
      <c r="I500" s="14"/>
      <c r="J500" s="13" t="s">
        <v>1489</v>
      </c>
    </row>
    <row r="501" spans="1:10">
      <c r="A501" s="16" t="s">
        <v>5678</v>
      </c>
      <c r="B501" s="668"/>
      <c r="C501" s="16" t="s">
        <v>5679</v>
      </c>
      <c r="D501" s="17" t="s">
        <v>2226</v>
      </c>
      <c r="E501" s="14"/>
      <c r="F501" s="18">
        <v>38000</v>
      </c>
      <c r="G501" s="1597"/>
      <c r="H501" s="18"/>
      <c r="I501" s="14"/>
      <c r="J501" s="13" t="s">
        <v>1489</v>
      </c>
    </row>
    <row r="502" spans="1:10">
      <c r="A502" s="16" t="s">
        <v>1885</v>
      </c>
      <c r="B502" s="668"/>
      <c r="C502" s="16" t="s">
        <v>2623</v>
      </c>
      <c r="D502" s="17" t="s">
        <v>2226</v>
      </c>
      <c r="E502" s="14"/>
      <c r="F502" s="18"/>
      <c r="G502" s="1597"/>
      <c r="H502" s="18"/>
      <c r="I502" s="14"/>
      <c r="J502" s="13" t="s">
        <v>1489</v>
      </c>
    </row>
    <row r="503" spans="1:10">
      <c r="A503" s="16" t="s">
        <v>1896</v>
      </c>
      <c r="B503" s="668"/>
      <c r="C503" s="16" t="s">
        <v>2624</v>
      </c>
      <c r="D503" s="17" t="s">
        <v>2226</v>
      </c>
      <c r="E503" s="14"/>
      <c r="F503" s="18"/>
      <c r="G503" s="1597"/>
      <c r="H503" s="18"/>
      <c r="I503" s="14"/>
      <c r="J503" s="13" t="s">
        <v>1489</v>
      </c>
    </row>
    <row r="504" spans="1:10">
      <c r="A504" s="16" t="s">
        <v>994</v>
      </c>
      <c r="B504" s="668"/>
      <c r="C504" s="16" t="s">
        <v>2625</v>
      </c>
      <c r="D504" s="17" t="s">
        <v>2226</v>
      </c>
      <c r="E504" s="14"/>
      <c r="F504" s="18">
        <v>213700</v>
      </c>
      <c r="G504" s="1597"/>
      <c r="H504" s="18"/>
      <c r="I504" s="14">
        <v>213700</v>
      </c>
      <c r="J504" s="13" t="s">
        <v>1489</v>
      </c>
    </row>
    <row r="505" spans="1:10">
      <c r="A505" s="16" t="s">
        <v>1970</v>
      </c>
      <c r="B505" s="668"/>
      <c r="C505" s="16" t="s">
        <v>2626</v>
      </c>
      <c r="D505" s="17" t="s">
        <v>2226</v>
      </c>
      <c r="E505" s="14"/>
      <c r="F505" s="18">
        <v>222400</v>
      </c>
      <c r="G505" s="1597"/>
      <c r="H505" s="18"/>
      <c r="I505" s="14">
        <v>222400</v>
      </c>
      <c r="J505" s="13" t="s">
        <v>1489</v>
      </c>
    </row>
    <row r="506" spans="1:10">
      <c r="A506" s="16" t="s">
        <v>2088</v>
      </c>
      <c r="B506" s="668"/>
      <c r="C506" s="16" t="s">
        <v>2627</v>
      </c>
      <c r="D506" s="17" t="s">
        <v>2226</v>
      </c>
      <c r="E506" s="14"/>
      <c r="F506" s="18">
        <v>245500</v>
      </c>
      <c r="G506" s="1597"/>
      <c r="H506" s="18"/>
      <c r="I506" s="14">
        <v>245500</v>
      </c>
      <c r="J506" s="13" t="s">
        <v>1489</v>
      </c>
    </row>
    <row r="507" spans="1:10">
      <c r="A507" s="16" t="s">
        <v>1940</v>
      </c>
      <c r="B507" s="668"/>
      <c r="C507" s="16" t="s">
        <v>2628</v>
      </c>
      <c r="D507" s="17" t="s">
        <v>2226</v>
      </c>
      <c r="E507" s="14"/>
      <c r="F507" s="18">
        <v>60000</v>
      </c>
      <c r="G507" s="1597"/>
      <c r="H507" s="18"/>
      <c r="I507" s="14">
        <v>60000</v>
      </c>
      <c r="J507" s="13" t="s">
        <v>1489</v>
      </c>
    </row>
    <row r="508" spans="1:10">
      <c r="A508" s="16" t="s">
        <v>883</v>
      </c>
      <c r="B508" s="668"/>
      <c r="C508" s="16" t="s">
        <v>2629</v>
      </c>
      <c r="D508" s="17" t="s">
        <v>2226</v>
      </c>
      <c r="E508" s="14"/>
      <c r="F508" s="18">
        <v>60000</v>
      </c>
      <c r="G508" s="1597"/>
      <c r="H508" s="18"/>
      <c r="I508" s="14">
        <v>60000</v>
      </c>
      <c r="J508" s="13" t="s">
        <v>1489</v>
      </c>
    </row>
    <row r="509" spans="1:10">
      <c r="A509" s="16" t="s">
        <v>1439</v>
      </c>
      <c r="B509" s="668"/>
      <c r="C509" s="16" t="s">
        <v>4916</v>
      </c>
      <c r="D509" s="17" t="s">
        <v>2226</v>
      </c>
      <c r="E509" s="14"/>
      <c r="F509" s="18">
        <v>168000</v>
      </c>
      <c r="G509" s="1597"/>
      <c r="H509" s="18"/>
      <c r="I509" s="14">
        <v>162000</v>
      </c>
      <c r="J509" s="13" t="s">
        <v>1489</v>
      </c>
    </row>
    <row r="510" spans="1:10">
      <c r="A510" s="16" t="s">
        <v>1947</v>
      </c>
      <c r="B510" s="668"/>
      <c r="C510" s="514" t="s">
        <v>2630</v>
      </c>
      <c r="D510" s="17" t="s">
        <v>2226</v>
      </c>
      <c r="E510" s="14"/>
      <c r="F510" s="18">
        <v>50000</v>
      </c>
      <c r="G510" s="1597"/>
      <c r="H510" s="18"/>
      <c r="I510" s="18"/>
      <c r="J510" s="13" t="s">
        <v>1489</v>
      </c>
    </row>
    <row r="511" spans="1:10">
      <c r="A511" s="16" t="s">
        <v>1919</v>
      </c>
      <c r="B511" s="668"/>
      <c r="C511" s="514" t="s">
        <v>2631</v>
      </c>
      <c r="D511" s="17" t="s">
        <v>2226</v>
      </c>
      <c r="E511" s="14"/>
      <c r="F511" s="18">
        <v>40000</v>
      </c>
      <c r="G511" s="1597"/>
      <c r="H511" s="18"/>
      <c r="I511" s="18"/>
      <c r="J511" s="13" t="s">
        <v>1489</v>
      </c>
    </row>
    <row r="512" spans="1:10">
      <c r="A512" s="16" t="s">
        <v>24</v>
      </c>
      <c r="B512" s="668"/>
      <c r="C512" s="514" t="s">
        <v>2632</v>
      </c>
      <c r="D512" s="17" t="s">
        <v>2226</v>
      </c>
      <c r="E512" s="14"/>
      <c r="F512" s="18">
        <v>40000</v>
      </c>
      <c r="G512" s="1597"/>
      <c r="H512" s="18"/>
      <c r="I512" s="18"/>
      <c r="J512" s="13" t="s">
        <v>1489</v>
      </c>
    </row>
    <row r="513" spans="1:10">
      <c r="A513" s="16" t="s">
        <v>992</v>
      </c>
      <c r="B513" s="668"/>
      <c r="C513" s="514" t="s">
        <v>2633</v>
      </c>
      <c r="D513" s="17" t="s">
        <v>2226</v>
      </c>
      <c r="E513" s="14"/>
      <c r="F513" s="18">
        <v>40000</v>
      </c>
      <c r="G513" s="1597"/>
      <c r="H513" s="18"/>
      <c r="I513" s="18"/>
      <c r="J513" s="13" t="s">
        <v>1489</v>
      </c>
    </row>
    <row r="514" spans="1:10">
      <c r="A514" s="16" t="s">
        <v>23</v>
      </c>
      <c r="B514" s="668"/>
      <c r="C514" s="514" t="s">
        <v>2634</v>
      </c>
      <c r="D514" s="17" t="s">
        <v>2226</v>
      </c>
      <c r="E514" s="14"/>
      <c r="F514" s="18">
        <v>40000</v>
      </c>
      <c r="G514" s="1597"/>
      <c r="H514" s="18"/>
      <c r="I514" s="18"/>
      <c r="J514" s="13" t="s">
        <v>1489</v>
      </c>
    </row>
    <row r="515" spans="1:10">
      <c r="A515" s="16" t="s">
        <v>1613</v>
      </c>
      <c r="B515" s="668"/>
      <c r="C515" s="514" t="s">
        <v>2635</v>
      </c>
      <c r="D515" s="17" t="s">
        <v>2226</v>
      </c>
      <c r="E515" s="14"/>
      <c r="F515" s="18">
        <v>50000</v>
      </c>
      <c r="G515" s="1597"/>
      <c r="H515" s="18"/>
      <c r="I515" s="18"/>
      <c r="J515" s="13" t="s">
        <v>1489</v>
      </c>
    </row>
    <row r="516" spans="1:10">
      <c r="A516" s="16" t="s">
        <v>3722</v>
      </c>
      <c r="B516" s="668"/>
      <c r="C516" s="23" t="s">
        <v>2636</v>
      </c>
      <c r="D516" s="17" t="s">
        <v>2226</v>
      </c>
      <c r="E516" s="14"/>
      <c r="F516" s="18">
        <v>40000</v>
      </c>
      <c r="G516" s="1597"/>
      <c r="H516" s="18"/>
      <c r="I516" s="18"/>
      <c r="J516" s="13" t="s">
        <v>1489</v>
      </c>
    </row>
    <row r="517" spans="1:10">
      <c r="A517" s="16" t="s">
        <v>995</v>
      </c>
      <c r="B517" s="668"/>
      <c r="C517" s="514" t="s">
        <v>2637</v>
      </c>
      <c r="D517" s="17" t="s">
        <v>2226</v>
      </c>
      <c r="E517" s="14"/>
      <c r="F517" s="18">
        <v>30000</v>
      </c>
      <c r="G517" s="1597"/>
      <c r="H517" s="18"/>
      <c r="I517" s="14"/>
      <c r="J517" s="13" t="s">
        <v>1489</v>
      </c>
    </row>
    <row r="518" spans="1:10">
      <c r="A518" s="16" t="s">
        <v>996</v>
      </c>
      <c r="B518" s="668"/>
      <c r="C518" s="514" t="s">
        <v>2638</v>
      </c>
      <c r="D518" s="17" t="s">
        <v>2226</v>
      </c>
      <c r="E518" s="14"/>
      <c r="F518" s="18">
        <v>30000</v>
      </c>
      <c r="G518" s="1597"/>
      <c r="H518" s="18"/>
      <c r="I518" s="14"/>
      <c r="J518" s="13" t="s">
        <v>1489</v>
      </c>
    </row>
    <row r="519" spans="1:10">
      <c r="A519" s="16" t="s">
        <v>134</v>
      </c>
      <c r="B519" s="668"/>
      <c r="C519" s="16" t="s">
        <v>2639</v>
      </c>
      <c r="D519" s="17" t="s">
        <v>2226</v>
      </c>
      <c r="E519" s="14"/>
      <c r="F519" s="18">
        <v>30000</v>
      </c>
      <c r="G519" s="1597"/>
      <c r="H519" s="18"/>
      <c r="I519" s="14">
        <v>30000</v>
      </c>
      <c r="J519" s="13" t="s">
        <v>1489</v>
      </c>
    </row>
    <row r="520" spans="1:10">
      <c r="A520" s="16" t="s">
        <v>1524</v>
      </c>
      <c r="B520" s="668"/>
      <c r="C520" s="514" t="s">
        <v>2640</v>
      </c>
      <c r="D520" s="17" t="s">
        <v>2226</v>
      </c>
      <c r="E520" s="14"/>
      <c r="F520" s="18">
        <v>34000</v>
      </c>
      <c r="G520" s="1597"/>
      <c r="H520" s="18"/>
      <c r="I520" s="14"/>
      <c r="J520" s="13" t="s">
        <v>1489</v>
      </c>
    </row>
    <row r="521" spans="1:10">
      <c r="A521" s="16" t="s">
        <v>1157</v>
      </c>
      <c r="B521" s="668"/>
      <c r="C521" s="514" t="s">
        <v>2641</v>
      </c>
      <c r="D521" s="17" t="s">
        <v>2226</v>
      </c>
      <c r="E521" s="14"/>
      <c r="F521" s="18">
        <v>40000</v>
      </c>
      <c r="G521" s="1597"/>
      <c r="H521" s="18"/>
      <c r="I521" s="14"/>
      <c r="J521" s="13" t="s">
        <v>1489</v>
      </c>
    </row>
    <row r="522" spans="1:10">
      <c r="A522" s="16" t="s">
        <v>1424</v>
      </c>
      <c r="B522" s="668"/>
      <c r="C522" s="514" t="s">
        <v>2642</v>
      </c>
      <c r="D522" s="17" t="s">
        <v>2226</v>
      </c>
      <c r="E522" s="14"/>
      <c r="F522" s="18">
        <v>40000</v>
      </c>
      <c r="G522" s="1597"/>
      <c r="H522" s="18"/>
      <c r="I522" s="14"/>
      <c r="J522" s="13" t="s">
        <v>1489</v>
      </c>
    </row>
    <row r="523" spans="1:10">
      <c r="A523" s="16" t="s">
        <v>1542</v>
      </c>
      <c r="B523" s="668"/>
      <c r="C523" s="514" t="s">
        <v>2643</v>
      </c>
      <c r="D523" s="17" t="s">
        <v>2226</v>
      </c>
      <c r="E523" s="14"/>
      <c r="F523" s="18">
        <v>168000</v>
      </c>
      <c r="G523" s="1597"/>
      <c r="H523" s="18"/>
      <c r="I523" s="14"/>
      <c r="J523" s="13" t="s">
        <v>1489</v>
      </c>
    </row>
    <row r="524" spans="1:10">
      <c r="A524" s="16" t="s">
        <v>955</v>
      </c>
      <c r="B524" s="668"/>
      <c r="C524" s="514" t="s">
        <v>2644</v>
      </c>
      <c r="D524" s="17" t="s">
        <v>2226</v>
      </c>
      <c r="E524" s="14"/>
      <c r="F524" s="18">
        <v>178900</v>
      </c>
      <c r="G524" s="1597"/>
      <c r="H524" s="18"/>
      <c r="I524" s="14"/>
      <c r="J524" s="13" t="s">
        <v>1489</v>
      </c>
    </row>
    <row r="525" spans="1:10" ht="13.8">
      <c r="A525" s="16" t="s">
        <v>5036</v>
      </c>
      <c r="B525" s="1598" t="s">
        <v>5037</v>
      </c>
      <c r="C525" s="1599" t="s">
        <v>5038</v>
      </c>
      <c r="D525" s="17" t="s">
        <v>2226</v>
      </c>
      <c r="E525" s="14"/>
      <c r="F525" s="18"/>
      <c r="G525" s="1595">
        <v>77000</v>
      </c>
      <c r="H525" s="18"/>
      <c r="I525" s="14"/>
      <c r="J525" s="13" t="s">
        <v>1489</v>
      </c>
    </row>
    <row r="526" spans="1:10">
      <c r="A526" s="25" t="s">
        <v>231</v>
      </c>
      <c r="B526" s="668"/>
      <c r="C526" s="666" t="s">
        <v>2645</v>
      </c>
      <c r="D526" s="17" t="s">
        <v>2447</v>
      </c>
      <c r="E526" s="14"/>
      <c r="F526" s="14">
        <v>936364</v>
      </c>
      <c r="G526" s="14"/>
      <c r="H526" s="14"/>
      <c r="I526" s="14">
        <v>936364</v>
      </c>
      <c r="J526" s="13" t="s">
        <v>1499</v>
      </c>
    </row>
    <row r="527" spans="1:10">
      <c r="A527" s="25" t="s">
        <v>356</v>
      </c>
      <c r="B527" s="668"/>
      <c r="C527" s="666" t="s">
        <v>2646</v>
      </c>
      <c r="D527" s="17" t="s">
        <v>2447</v>
      </c>
      <c r="E527" s="14"/>
      <c r="F527" s="14">
        <v>1027273</v>
      </c>
      <c r="G527" s="14"/>
      <c r="H527" s="14"/>
      <c r="I527" s="14">
        <v>1027273</v>
      </c>
      <c r="J527" s="13" t="s">
        <v>1499</v>
      </c>
    </row>
    <row r="528" spans="1:10">
      <c r="A528" s="25" t="s">
        <v>337</v>
      </c>
      <c r="B528" s="668"/>
      <c r="C528" s="666" t="s">
        <v>2647</v>
      </c>
      <c r="D528" s="17" t="s">
        <v>2447</v>
      </c>
      <c r="E528" s="14"/>
      <c r="F528" s="14">
        <v>1163636</v>
      </c>
      <c r="G528" s="14"/>
      <c r="H528" s="14"/>
      <c r="I528" s="14">
        <v>1027273</v>
      </c>
      <c r="J528" s="13" t="s">
        <v>1499</v>
      </c>
    </row>
    <row r="529" spans="1:10">
      <c r="A529" s="25" t="s">
        <v>1971</v>
      </c>
      <c r="B529" s="668"/>
      <c r="C529" s="666" t="s">
        <v>2648</v>
      </c>
      <c r="D529" s="17" t="s">
        <v>2447</v>
      </c>
      <c r="E529" s="14"/>
      <c r="F529" s="14">
        <v>1154545</v>
      </c>
      <c r="G529" s="14"/>
      <c r="H529" s="14"/>
      <c r="I529" s="14">
        <v>1154545</v>
      </c>
      <c r="J529" s="13" t="s">
        <v>1499</v>
      </c>
    </row>
    <row r="530" spans="1:10" s="1649" customFormat="1">
      <c r="A530" s="1758" t="s">
        <v>1011</v>
      </c>
      <c r="B530" s="1644"/>
      <c r="C530" s="1759" t="s">
        <v>2649</v>
      </c>
      <c r="D530" s="1646" t="s">
        <v>2447</v>
      </c>
      <c r="E530" s="707"/>
      <c r="F530" s="707">
        <v>4200000</v>
      </c>
      <c r="G530" s="707"/>
      <c r="H530" s="707"/>
      <c r="I530" s="707">
        <v>1727273</v>
      </c>
      <c r="J530" s="1648" t="s">
        <v>1499</v>
      </c>
    </row>
    <row r="531" spans="1:10">
      <c r="A531" s="25" t="s">
        <v>2187</v>
      </c>
      <c r="B531" s="668"/>
      <c r="C531" s="666" t="s">
        <v>2650</v>
      </c>
      <c r="D531" s="17" t="s">
        <v>2447</v>
      </c>
      <c r="E531" s="14"/>
      <c r="F531" s="14">
        <v>4600000</v>
      </c>
      <c r="G531" s="14"/>
      <c r="H531" s="14"/>
      <c r="I531" s="14">
        <v>2300000</v>
      </c>
      <c r="J531" s="13" t="s">
        <v>1499</v>
      </c>
    </row>
    <row r="532" spans="1:10">
      <c r="A532" s="25" t="s">
        <v>1012</v>
      </c>
      <c r="B532" s="668"/>
      <c r="C532" s="666" t="s">
        <v>2651</v>
      </c>
      <c r="D532" s="17" t="s">
        <v>2447</v>
      </c>
      <c r="E532" s="14"/>
      <c r="F532" s="14">
        <v>4400000</v>
      </c>
      <c r="G532" s="14"/>
      <c r="H532" s="14"/>
      <c r="I532" s="14">
        <v>2090909</v>
      </c>
      <c r="J532" s="13" t="s">
        <v>1499</v>
      </c>
    </row>
    <row r="533" spans="1:10">
      <c r="A533" s="25" t="s">
        <v>2194</v>
      </c>
      <c r="B533" s="668"/>
      <c r="C533" s="666" t="s">
        <v>5755</v>
      </c>
      <c r="D533" s="17" t="s">
        <v>2447</v>
      </c>
      <c r="E533" s="14"/>
      <c r="F533" s="14">
        <v>5914000</v>
      </c>
      <c r="G533" s="14"/>
      <c r="H533" s="14"/>
      <c r="I533" s="14">
        <v>2272727</v>
      </c>
      <c r="J533" s="13" t="s">
        <v>1499</v>
      </c>
    </row>
    <row r="534" spans="1:10">
      <c r="A534" s="25" t="s">
        <v>4803</v>
      </c>
      <c r="B534" s="668"/>
      <c r="C534" s="666" t="s">
        <v>4802</v>
      </c>
      <c r="D534" s="17" t="s">
        <v>2447</v>
      </c>
      <c r="E534" s="14"/>
      <c r="F534" s="14">
        <v>3752950</v>
      </c>
      <c r="G534" s="14"/>
      <c r="H534" s="14"/>
      <c r="I534" s="14">
        <v>2272727</v>
      </c>
      <c r="J534" s="13" t="s">
        <v>1499</v>
      </c>
    </row>
    <row r="535" spans="1:10">
      <c r="A535" s="25" t="s">
        <v>384</v>
      </c>
      <c r="B535" s="668"/>
      <c r="C535" s="666" t="s">
        <v>2652</v>
      </c>
      <c r="D535" s="17" t="s">
        <v>2447</v>
      </c>
      <c r="E535" s="14"/>
      <c r="F535" s="14">
        <v>6100000</v>
      </c>
      <c r="G535" s="14"/>
      <c r="H535" s="14"/>
      <c r="I535" s="14">
        <v>3636364</v>
      </c>
      <c r="J535" s="13" t="s">
        <v>1499</v>
      </c>
    </row>
    <row r="536" spans="1:10">
      <c r="A536" s="25" t="s">
        <v>2195</v>
      </c>
      <c r="B536" s="668"/>
      <c r="C536" s="666" t="s">
        <v>2653</v>
      </c>
      <c r="D536" s="17" t="s">
        <v>2447</v>
      </c>
      <c r="E536" s="14"/>
      <c r="F536" s="14">
        <v>4772727</v>
      </c>
      <c r="G536" s="14"/>
      <c r="H536" s="14"/>
      <c r="I536" s="14">
        <v>3818182</v>
      </c>
      <c r="J536" s="13" t="s">
        <v>1499</v>
      </c>
    </row>
    <row r="537" spans="1:10">
      <c r="A537" s="25" t="s">
        <v>2196</v>
      </c>
      <c r="B537" s="668"/>
      <c r="C537" s="666" t="s">
        <v>2654</v>
      </c>
      <c r="D537" s="17" t="s">
        <v>2447</v>
      </c>
      <c r="E537" s="14"/>
      <c r="F537" s="14">
        <v>13090909</v>
      </c>
      <c r="G537" s="14"/>
      <c r="H537" s="14"/>
      <c r="I537" s="14">
        <v>14727273</v>
      </c>
      <c r="J537" s="13" t="s">
        <v>1499</v>
      </c>
    </row>
    <row r="538" spans="1:10">
      <c r="A538" s="25" t="s">
        <v>2197</v>
      </c>
      <c r="B538" s="668"/>
      <c r="C538" s="666" t="s">
        <v>2655</v>
      </c>
      <c r="D538" s="17" t="s">
        <v>2447</v>
      </c>
      <c r="E538" s="14"/>
      <c r="F538" s="14">
        <v>13636364</v>
      </c>
      <c r="G538" s="14"/>
      <c r="H538" s="14"/>
      <c r="I538" s="14">
        <v>14727273</v>
      </c>
      <c r="J538" s="13" t="s">
        <v>1499</v>
      </c>
    </row>
    <row r="539" spans="1:10">
      <c r="A539" s="25" t="s">
        <v>2056</v>
      </c>
      <c r="B539" s="668"/>
      <c r="C539" s="666" t="s">
        <v>2656</v>
      </c>
      <c r="D539" s="17" t="s">
        <v>2447</v>
      </c>
      <c r="E539" s="14"/>
      <c r="F539" s="14">
        <v>14090909</v>
      </c>
      <c r="G539" s="14"/>
      <c r="H539" s="14"/>
      <c r="I539" s="14">
        <v>14090909</v>
      </c>
      <c r="J539" s="13" t="s">
        <v>1499</v>
      </c>
    </row>
    <row r="540" spans="1:10">
      <c r="A540" s="25" t="s">
        <v>1350</v>
      </c>
      <c r="B540" s="668"/>
      <c r="C540" s="666" t="s">
        <v>2657</v>
      </c>
      <c r="D540" s="17" t="s">
        <v>2447</v>
      </c>
      <c r="E540" s="14"/>
      <c r="F540" s="14">
        <v>15454544</v>
      </c>
      <c r="G540" s="14"/>
      <c r="H540" s="14"/>
      <c r="I540" s="14">
        <v>15454544</v>
      </c>
      <c r="J540" s="13" t="s">
        <v>1499</v>
      </c>
    </row>
    <row r="541" spans="1:10">
      <c r="A541" s="25" t="s">
        <v>1004</v>
      </c>
      <c r="B541" s="668"/>
      <c r="C541" s="16" t="s">
        <v>2658</v>
      </c>
      <c r="D541" s="17" t="s">
        <v>1557</v>
      </c>
      <c r="E541" s="14"/>
      <c r="F541" s="14">
        <v>32000</v>
      </c>
      <c r="G541" s="18"/>
      <c r="H541" s="18"/>
      <c r="I541" s="14">
        <v>32000</v>
      </c>
      <c r="J541" s="13" t="s">
        <v>2569</v>
      </c>
    </row>
    <row r="542" spans="1:10">
      <c r="A542" s="25" t="s">
        <v>804</v>
      </c>
      <c r="B542" s="668"/>
      <c r="C542" s="16" t="s">
        <v>2659</v>
      </c>
      <c r="D542" s="17" t="s">
        <v>1557</v>
      </c>
      <c r="E542" s="14"/>
      <c r="F542" s="14">
        <v>27400</v>
      </c>
      <c r="G542" s="18"/>
      <c r="H542" s="18"/>
      <c r="I542" s="14">
        <v>27400</v>
      </c>
      <c r="J542" s="13" t="s">
        <v>2569</v>
      </c>
    </row>
    <row r="543" spans="1:10">
      <c r="A543" s="25" t="s">
        <v>1732</v>
      </c>
      <c r="B543" s="668"/>
      <c r="C543" s="16" t="s">
        <v>2660</v>
      </c>
      <c r="D543" s="17" t="s">
        <v>805</v>
      </c>
      <c r="E543" s="14"/>
      <c r="F543" s="14">
        <v>15000</v>
      </c>
      <c r="G543" s="18"/>
      <c r="H543" s="18"/>
      <c r="I543" s="14">
        <v>15000</v>
      </c>
      <c r="J543" s="13" t="s">
        <v>2609</v>
      </c>
    </row>
    <row r="544" spans="1:10">
      <c r="A544" s="25" t="s">
        <v>806</v>
      </c>
      <c r="B544" s="668"/>
      <c r="C544" s="16" t="s">
        <v>2661</v>
      </c>
      <c r="D544" s="17" t="s">
        <v>805</v>
      </c>
      <c r="E544" s="14"/>
      <c r="F544" s="14">
        <v>1818000</v>
      </c>
      <c r="G544" s="18"/>
      <c r="H544" s="18"/>
      <c r="I544" s="14">
        <v>1818000</v>
      </c>
      <c r="J544" s="13" t="s">
        <v>1457</v>
      </c>
    </row>
    <row r="545" spans="1:10">
      <c r="A545" s="25" t="s">
        <v>807</v>
      </c>
      <c r="B545" s="668"/>
      <c r="C545" s="16" t="s">
        <v>2662</v>
      </c>
      <c r="D545" s="17" t="s">
        <v>1557</v>
      </c>
      <c r="E545" s="14"/>
      <c r="F545" s="14">
        <v>7500</v>
      </c>
      <c r="G545" s="18"/>
      <c r="H545" s="18"/>
      <c r="I545" s="14">
        <v>7500</v>
      </c>
      <c r="J545" s="13" t="s">
        <v>610</v>
      </c>
    </row>
    <row r="546" spans="1:10">
      <c r="A546" s="25" t="s">
        <v>1730</v>
      </c>
      <c r="B546" s="26"/>
      <c r="C546" s="16" t="s">
        <v>2663</v>
      </c>
      <c r="D546" s="17" t="s">
        <v>805</v>
      </c>
      <c r="E546" s="14"/>
      <c r="F546" s="707">
        <v>335000</v>
      </c>
      <c r="G546" s="14"/>
      <c r="H546" s="18"/>
      <c r="I546" s="14">
        <v>243182</v>
      </c>
      <c r="J546" s="13" t="s">
        <v>610</v>
      </c>
    </row>
    <row r="547" spans="1:10">
      <c r="A547" s="25" t="s">
        <v>881</v>
      </c>
      <c r="B547" s="26"/>
      <c r="C547" s="16" t="s">
        <v>2664</v>
      </c>
      <c r="D547" s="17" t="s">
        <v>805</v>
      </c>
      <c r="E547" s="14"/>
      <c r="F547" s="14">
        <v>74513</v>
      </c>
      <c r="G547" s="14"/>
      <c r="H547" s="18"/>
      <c r="I547" s="14">
        <v>74513</v>
      </c>
      <c r="J547" s="13" t="s">
        <v>610</v>
      </c>
    </row>
    <row r="548" spans="1:10">
      <c r="A548" s="25" t="s">
        <v>817</v>
      </c>
      <c r="B548" s="26"/>
      <c r="C548" s="16" t="s">
        <v>2665</v>
      </c>
      <c r="D548" s="17" t="s">
        <v>805</v>
      </c>
      <c r="E548" s="14"/>
      <c r="F548" s="14">
        <v>295000</v>
      </c>
      <c r="G548" s="14"/>
      <c r="H548" s="18"/>
      <c r="I548" s="14">
        <v>97231</v>
      </c>
      <c r="J548" s="13" t="s">
        <v>610</v>
      </c>
    </row>
    <row r="549" spans="1:10">
      <c r="A549" s="25" t="s">
        <v>1731</v>
      </c>
      <c r="B549" s="668"/>
      <c r="C549" s="16" t="s">
        <v>2666</v>
      </c>
      <c r="D549" s="17" t="s">
        <v>805</v>
      </c>
      <c r="E549" s="14"/>
      <c r="F549" s="14">
        <v>265000</v>
      </c>
      <c r="G549" s="14"/>
      <c r="H549" s="18"/>
      <c r="I549" s="14">
        <v>186364</v>
      </c>
      <c r="J549" s="13" t="s">
        <v>610</v>
      </c>
    </row>
    <row r="550" spans="1:10">
      <c r="A550" s="25" t="s">
        <v>1729</v>
      </c>
      <c r="B550" s="668"/>
      <c r="C550" s="16" t="s">
        <v>2667</v>
      </c>
      <c r="D550" s="17" t="s">
        <v>805</v>
      </c>
      <c r="E550" s="14"/>
      <c r="F550" s="707">
        <v>512000</v>
      </c>
      <c r="G550" s="18"/>
      <c r="H550" s="18"/>
      <c r="I550" s="14">
        <v>193182</v>
      </c>
      <c r="J550" s="13" t="s">
        <v>1489</v>
      </c>
    </row>
    <row r="551" spans="1:10">
      <c r="A551" s="25" t="s">
        <v>1092</v>
      </c>
      <c r="B551" s="668"/>
      <c r="C551" s="16" t="s">
        <v>2668</v>
      </c>
      <c r="D551" s="17" t="s">
        <v>805</v>
      </c>
      <c r="E551" s="14"/>
      <c r="F551" s="14">
        <v>100000</v>
      </c>
      <c r="G551" s="18"/>
      <c r="H551" s="18"/>
      <c r="I551" s="14">
        <v>100000</v>
      </c>
      <c r="J551" s="13" t="s">
        <v>1489</v>
      </c>
    </row>
    <row r="552" spans="1:10">
      <c r="A552" s="25" t="s">
        <v>708</v>
      </c>
      <c r="B552" s="668"/>
      <c r="C552" s="16" t="s">
        <v>2669</v>
      </c>
      <c r="D552" s="17" t="s">
        <v>2670</v>
      </c>
      <c r="E552" s="14"/>
      <c r="F552" s="14">
        <v>1900</v>
      </c>
      <c r="G552" s="18"/>
      <c r="H552" s="18"/>
      <c r="I552" s="14">
        <v>700</v>
      </c>
      <c r="J552" s="13" t="s">
        <v>1331</v>
      </c>
    </row>
    <row r="553" spans="1:10">
      <c r="A553" s="25" t="s">
        <v>1495</v>
      </c>
      <c r="B553" s="668"/>
      <c r="C553" s="16" t="s">
        <v>2671</v>
      </c>
      <c r="D553" s="17" t="s">
        <v>2670</v>
      </c>
      <c r="E553" s="14"/>
      <c r="F553" s="14">
        <v>7000</v>
      </c>
      <c r="G553" s="18"/>
      <c r="H553" s="18"/>
      <c r="I553" s="14">
        <v>3000</v>
      </c>
      <c r="J553" s="13" t="s">
        <v>1331</v>
      </c>
    </row>
    <row r="554" spans="1:10">
      <c r="A554" s="25" t="s">
        <v>1606</v>
      </c>
      <c r="B554" s="668"/>
      <c r="C554" s="16" t="s">
        <v>2672</v>
      </c>
      <c r="D554" s="17" t="s">
        <v>2670</v>
      </c>
      <c r="E554" s="14"/>
      <c r="F554" s="14">
        <v>500</v>
      </c>
      <c r="G554" s="18"/>
      <c r="H554" s="18"/>
      <c r="I554" s="14">
        <v>300</v>
      </c>
      <c r="J554" s="13" t="s">
        <v>1331</v>
      </c>
    </row>
    <row r="555" spans="1:10">
      <c r="A555" s="25" t="s">
        <v>1728</v>
      </c>
      <c r="B555" s="668"/>
      <c r="C555" s="666" t="s">
        <v>2673</v>
      </c>
      <c r="D555" s="17" t="s">
        <v>1557</v>
      </c>
      <c r="E555" s="14"/>
      <c r="F555" s="707">
        <v>1740</v>
      </c>
      <c r="G555" s="18"/>
      <c r="H555" s="18"/>
      <c r="I555" s="14">
        <v>1545</v>
      </c>
      <c r="J555" s="13" t="s">
        <v>2016</v>
      </c>
    </row>
    <row r="556" spans="1:10">
      <c r="A556" s="25" t="s">
        <v>653</v>
      </c>
      <c r="B556" s="668"/>
      <c r="C556" s="21" t="s">
        <v>2674</v>
      </c>
      <c r="D556" s="17" t="s">
        <v>1557</v>
      </c>
      <c r="E556" s="14"/>
      <c r="F556" s="14">
        <v>7000</v>
      </c>
      <c r="G556" s="18"/>
      <c r="H556" s="18"/>
      <c r="I556" s="14">
        <v>7000</v>
      </c>
      <c r="J556" s="13" t="s">
        <v>2675</v>
      </c>
    </row>
    <row r="557" spans="1:10">
      <c r="A557" s="25" t="s">
        <v>351</v>
      </c>
      <c r="B557" s="668"/>
      <c r="C557" s="21" t="s">
        <v>2676</v>
      </c>
      <c r="D557" s="17" t="s">
        <v>2118</v>
      </c>
      <c r="E557" s="14"/>
      <c r="F557" s="14">
        <v>7500</v>
      </c>
      <c r="G557" s="18"/>
      <c r="H557" s="18"/>
      <c r="I557" s="14">
        <v>7500</v>
      </c>
      <c r="J557" s="13" t="s">
        <v>1638</v>
      </c>
    </row>
    <row r="558" spans="1:10" s="1649" customFormat="1">
      <c r="A558" s="820" t="s">
        <v>1496</v>
      </c>
      <c r="B558" s="1689" t="s">
        <v>5680</v>
      </c>
      <c r="C558" s="1805" t="s">
        <v>2677</v>
      </c>
      <c r="D558" s="1646" t="s">
        <v>532</v>
      </c>
      <c r="E558" s="707"/>
      <c r="F558" s="1647">
        <v>10000</v>
      </c>
      <c r="G558" s="1711">
        <f>0.5*VLOOKUP("N2.30",DGNC,5)/100</f>
        <v>1187.155</v>
      </c>
      <c r="H558" s="1647"/>
      <c r="I558" s="1995"/>
      <c r="J558" s="1648" t="s">
        <v>2609</v>
      </c>
    </row>
    <row r="559" spans="1:10">
      <c r="A559" s="25" t="s">
        <v>681</v>
      </c>
      <c r="B559" s="668"/>
      <c r="C559" s="21" t="s">
        <v>2678</v>
      </c>
      <c r="D559" s="17" t="s">
        <v>866</v>
      </c>
      <c r="E559" s="14"/>
      <c r="F559" s="14">
        <v>3000</v>
      </c>
      <c r="G559" s="18"/>
      <c r="H559" s="18"/>
      <c r="I559" s="14">
        <v>3000</v>
      </c>
      <c r="J559" s="13" t="s">
        <v>2609</v>
      </c>
    </row>
    <row r="560" spans="1:10">
      <c r="A560" s="25" t="s">
        <v>1468</v>
      </c>
      <c r="B560" s="668"/>
      <c r="C560" s="16" t="s">
        <v>2679</v>
      </c>
      <c r="D560" s="17" t="s">
        <v>1557</v>
      </c>
      <c r="E560" s="14"/>
      <c r="F560" s="14">
        <v>61100</v>
      </c>
      <c r="G560" s="18"/>
      <c r="H560" s="18"/>
      <c r="I560" s="14">
        <v>61100</v>
      </c>
      <c r="J560" s="13" t="s">
        <v>2602</v>
      </c>
    </row>
    <row r="561" spans="1:10" s="1696" customFormat="1">
      <c r="A561" s="1791" t="s">
        <v>5741</v>
      </c>
      <c r="B561" s="1792"/>
      <c r="C561" s="1690" t="s">
        <v>5742</v>
      </c>
      <c r="D561" s="1724" t="s">
        <v>2118</v>
      </c>
      <c r="E561" s="1693"/>
      <c r="F561" s="1693">
        <v>6851000</v>
      </c>
      <c r="G561" s="1694"/>
      <c r="H561" s="1694"/>
      <c r="I561" s="1693">
        <v>2615074</v>
      </c>
      <c r="J561" s="1695" t="s">
        <v>2681</v>
      </c>
    </row>
    <row r="562" spans="1:10" s="1696" customFormat="1">
      <c r="A562" s="1791" t="s">
        <v>631</v>
      </c>
      <c r="B562" s="1792"/>
      <c r="C562" s="1690" t="s">
        <v>2680</v>
      </c>
      <c r="D562" s="1724" t="s">
        <v>2118</v>
      </c>
      <c r="E562" s="1693"/>
      <c r="F562" s="1693">
        <v>4022000</v>
      </c>
      <c r="G562" s="1694"/>
      <c r="H562" s="1694"/>
      <c r="I562" s="1693">
        <v>2615074</v>
      </c>
      <c r="J562" s="1695" t="s">
        <v>2681</v>
      </c>
    </row>
    <row r="563" spans="1:10" s="1696" customFormat="1">
      <c r="A563" s="1791" t="s">
        <v>1827</v>
      </c>
      <c r="B563" s="1792"/>
      <c r="C563" s="1690" t="s">
        <v>2682</v>
      </c>
      <c r="D563" s="1724" t="s">
        <v>2118</v>
      </c>
      <c r="E563" s="1693"/>
      <c r="F563" s="1693">
        <f>F562</f>
        <v>4022000</v>
      </c>
      <c r="G563" s="1694"/>
      <c r="H563" s="1694"/>
      <c r="I563" s="1693">
        <v>3225770</v>
      </c>
      <c r="J563" s="1695" t="s">
        <v>2681</v>
      </c>
    </row>
    <row r="564" spans="1:10">
      <c r="A564" s="25" t="s">
        <v>1469</v>
      </c>
      <c r="B564" s="668"/>
      <c r="C564" s="16" t="s">
        <v>2683</v>
      </c>
      <c r="D564" s="17" t="s">
        <v>2118</v>
      </c>
      <c r="E564" s="14"/>
      <c r="F564" s="14">
        <v>3225770</v>
      </c>
      <c r="G564" s="18"/>
      <c r="H564" s="18"/>
      <c r="I564" s="14">
        <v>3225770</v>
      </c>
      <c r="J564" s="13" t="s">
        <v>2681</v>
      </c>
    </row>
    <row r="565" spans="1:10">
      <c r="A565" s="25" t="s">
        <v>1362</v>
      </c>
      <c r="B565" s="668"/>
      <c r="C565" s="16" t="s">
        <v>2684</v>
      </c>
      <c r="D565" s="17" t="s">
        <v>2118</v>
      </c>
      <c r="E565" s="14"/>
      <c r="F565" s="14">
        <v>3225770</v>
      </c>
      <c r="G565" s="18"/>
      <c r="H565" s="18"/>
      <c r="I565" s="14">
        <v>3225770</v>
      </c>
      <c r="J565" s="13" t="s">
        <v>2681</v>
      </c>
    </row>
    <row r="566" spans="1:10">
      <c r="A566" s="25" t="s">
        <v>1657</v>
      </c>
      <c r="B566" s="668"/>
      <c r="C566" s="16" t="s">
        <v>2685</v>
      </c>
      <c r="D566" s="17" t="s">
        <v>2118</v>
      </c>
      <c r="E566" s="14"/>
      <c r="F566" s="14">
        <v>3191084</v>
      </c>
      <c r="G566" s="18"/>
      <c r="H566" s="18"/>
      <c r="I566" s="14">
        <v>3191084</v>
      </c>
      <c r="J566" s="13" t="s">
        <v>2681</v>
      </c>
    </row>
    <row r="567" spans="1:10">
      <c r="A567" s="25" t="s">
        <v>1389</v>
      </c>
      <c r="B567" s="668"/>
      <c r="C567" s="16" t="s">
        <v>2686</v>
      </c>
      <c r="D567" s="17" t="s">
        <v>2118</v>
      </c>
      <c r="E567" s="14"/>
      <c r="F567" s="14">
        <v>3191084</v>
      </c>
      <c r="G567" s="18"/>
      <c r="H567" s="18"/>
      <c r="I567" s="14">
        <v>3191084</v>
      </c>
      <c r="J567" s="13" t="s">
        <v>2681</v>
      </c>
    </row>
    <row r="568" spans="1:10">
      <c r="A568" s="25" t="s">
        <v>937</v>
      </c>
      <c r="B568" s="668"/>
      <c r="C568" s="16" t="s">
        <v>2687</v>
      </c>
      <c r="D568" s="17" t="s">
        <v>2118</v>
      </c>
      <c r="E568" s="14"/>
      <c r="F568" s="14">
        <v>4450560</v>
      </c>
      <c r="G568" s="18"/>
      <c r="H568" s="18"/>
      <c r="I568" s="14">
        <v>4450560</v>
      </c>
      <c r="J568" s="13" t="s">
        <v>2681</v>
      </c>
    </row>
    <row r="569" spans="1:10">
      <c r="A569" s="25" t="s">
        <v>2053</v>
      </c>
      <c r="B569" s="668"/>
      <c r="C569" s="16" t="s">
        <v>2688</v>
      </c>
      <c r="D569" s="17" t="s">
        <v>2118</v>
      </c>
      <c r="E569" s="14"/>
      <c r="F569" s="14">
        <v>5242230</v>
      </c>
      <c r="G569" s="18"/>
      <c r="H569" s="18"/>
      <c r="I569" s="14">
        <v>5242230</v>
      </c>
      <c r="J569" s="13" t="s">
        <v>2681</v>
      </c>
    </row>
    <row r="570" spans="1:10" s="1696" customFormat="1">
      <c r="A570" s="1791" t="s">
        <v>632</v>
      </c>
      <c r="B570" s="1792"/>
      <c r="C570" s="1690" t="s">
        <v>2689</v>
      </c>
      <c r="D570" s="1724" t="s">
        <v>2118</v>
      </c>
      <c r="E570" s="1693"/>
      <c r="F570" s="1693">
        <f>F569</f>
        <v>5242230</v>
      </c>
      <c r="G570" s="1694"/>
      <c r="H570" s="1694"/>
      <c r="I570" s="1693">
        <v>2139606</v>
      </c>
      <c r="J570" s="1695" t="s">
        <v>2681</v>
      </c>
    </row>
    <row r="571" spans="1:10">
      <c r="A571" s="25" t="s">
        <v>633</v>
      </c>
      <c r="B571" s="668"/>
      <c r="C571" s="16" t="s">
        <v>2690</v>
      </c>
      <c r="D571" s="17" t="s">
        <v>2118</v>
      </c>
      <c r="E571" s="14"/>
      <c r="F571" s="14">
        <v>2740170</v>
      </c>
      <c r="G571" s="18"/>
      <c r="H571" s="18"/>
      <c r="I571" s="14">
        <v>2740170</v>
      </c>
      <c r="J571" s="13" t="s">
        <v>2681</v>
      </c>
    </row>
    <row r="572" spans="1:10">
      <c r="A572" s="25" t="s">
        <v>854</v>
      </c>
      <c r="B572" s="668"/>
      <c r="C572" s="16" t="s">
        <v>2691</v>
      </c>
      <c r="D572" s="17" t="s">
        <v>2118</v>
      </c>
      <c r="E572" s="14"/>
      <c r="F572" s="14">
        <v>2740170</v>
      </c>
      <c r="G572" s="18"/>
      <c r="H572" s="18"/>
      <c r="I572" s="14">
        <v>2740170</v>
      </c>
      <c r="J572" s="13" t="s">
        <v>2681</v>
      </c>
    </row>
    <row r="573" spans="1:10">
      <c r="A573" s="25" t="s">
        <v>630</v>
      </c>
      <c r="B573" s="668"/>
      <c r="C573" s="16" t="s">
        <v>2692</v>
      </c>
      <c r="D573" s="17" t="s">
        <v>2118</v>
      </c>
      <c r="E573" s="14"/>
      <c r="F573" s="14">
        <v>2740170</v>
      </c>
      <c r="G573" s="18"/>
      <c r="H573" s="18"/>
      <c r="I573" s="14">
        <v>2740170</v>
      </c>
      <c r="J573" s="13" t="s">
        <v>2681</v>
      </c>
    </row>
    <row r="574" spans="1:10">
      <c r="A574" s="25" t="s">
        <v>990</v>
      </c>
      <c r="B574" s="668"/>
      <c r="C574" s="16" t="s">
        <v>2693</v>
      </c>
      <c r="D574" s="17" t="s">
        <v>2118</v>
      </c>
      <c r="E574" s="14"/>
      <c r="F574" s="14">
        <v>2792199</v>
      </c>
      <c r="G574" s="18"/>
      <c r="H574" s="18"/>
      <c r="I574" s="14">
        <v>2792199</v>
      </c>
      <c r="J574" s="13" t="s">
        <v>2681</v>
      </c>
    </row>
    <row r="575" spans="1:10">
      <c r="A575" s="25" t="s">
        <v>1152</v>
      </c>
      <c r="B575" s="668"/>
      <c r="C575" s="16" t="s">
        <v>2694</v>
      </c>
      <c r="D575" s="17" t="s">
        <v>2118</v>
      </c>
      <c r="E575" s="14"/>
      <c r="F575" s="14">
        <v>2792199</v>
      </c>
      <c r="G575" s="18"/>
      <c r="H575" s="18"/>
      <c r="I575" s="14">
        <v>2792199</v>
      </c>
      <c r="J575" s="13" t="s">
        <v>2681</v>
      </c>
    </row>
    <row r="576" spans="1:10">
      <c r="A576" s="25" t="s">
        <v>1356</v>
      </c>
      <c r="B576" s="668"/>
      <c r="C576" s="16" t="s">
        <v>2695</v>
      </c>
      <c r="D576" s="17" t="s">
        <v>2118</v>
      </c>
      <c r="E576" s="14"/>
      <c r="F576" s="14">
        <v>3708800</v>
      </c>
      <c r="G576" s="18"/>
      <c r="H576" s="18"/>
      <c r="I576" s="14">
        <v>3708800</v>
      </c>
      <c r="J576" s="13" t="s">
        <v>2681</v>
      </c>
    </row>
    <row r="577" spans="1:11">
      <c r="A577" s="25" t="s">
        <v>2054</v>
      </c>
      <c r="B577" s="668"/>
      <c r="C577" s="16" t="s">
        <v>2696</v>
      </c>
      <c r="D577" s="17" t="s">
        <v>2118</v>
      </c>
      <c r="E577" s="14"/>
      <c r="F577" s="14">
        <v>2000000</v>
      </c>
      <c r="G577" s="18"/>
      <c r="H577" s="18"/>
      <c r="I577" s="14">
        <v>2000000</v>
      </c>
      <c r="J577" s="13" t="s">
        <v>2681</v>
      </c>
    </row>
    <row r="578" spans="1:11">
      <c r="A578" s="25" t="s">
        <v>294</v>
      </c>
      <c r="B578" s="26"/>
      <c r="C578" s="16" t="s">
        <v>2697</v>
      </c>
      <c r="D578" s="17" t="s">
        <v>2118</v>
      </c>
      <c r="E578" s="14"/>
      <c r="F578" s="14">
        <v>696221</v>
      </c>
      <c r="G578" s="18"/>
      <c r="H578" s="18"/>
      <c r="I578" s="14">
        <v>696221</v>
      </c>
      <c r="J578" s="13" t="s">
        <v>610</v>
      </c>
    </row>
    <row r="579" spans="1:11">
      <c r="A579" s="25" t="s">
        <v>521</v>
      </c>
      <c r="B579" s="26"/>
      <c r="C579" s="16" t="s">
        <v>2698</v>
      </c>
      <c r="D579" s="17" t="s">
        <v>2118</v>
      </c>
      <c r="E579" s="14"/>
      <c r="F579" s="14">
        <v>696221</v>
      </c>
      <c r="G579" s="18"/>
      <c r="H579" s="18"/>
      <c r="I579" s="14">
        <v>696221</v>
      </c>
      <c r="J579" s="13" t="s">
        <v>610</v>
      </c>
    </row>
    <row r="580" spans="1:11">
      <c r="A580" s="25" t="s">
        <v>497</v>
      </c>
      <c r="B580" s="26"/>
      <c r="C580" s="16" t="s">
        <v>2699</v>
      </c>
      <c r="D580" s="17" t="s">
        <v>2118</v>
      </c>
      <c r="E580" s="14"/>
      <c r="F580" s="14">
        <v>568023</v>
      </c>
      <c r="G580" s="18"/>
      <c r="H580" s="18"/>
      <c r="I580" s="14">
        <v>568023</v>
      </c>
      <c r="J580" s="13" t="s">
        <v>610</v>
      </c>
    </row>
    <row r="581" spans="1:11">
      <c r="A581" s="25" t="s">
        <v>496</v>
      </c>
      <c r="B581" s="26"/>
      <c r="C581" s="16" t="s">
        <v>2700</v>
      </c>
      <c r="D581" s="17" t="s">
        <v>2118</v>
      </c>
      <c r="E581" s="14"/>
      <c r="F581" s="14">
        <v>568023</v>
      </c>
      <c r="G581" s="18"/>
      <c r="H581" s="18"/>
      <c r="I581" s="14">
        <v>568023</v>
      </c>
      <c r="J581" s="13" t="s">
        <v>610</v>
      </c>
    </row>
    <row r="582" spans="1:11">
      <c r="A582" s="25" t="s">
        <v>1748</v>
      </c>
      <c r="B582" s="26"/>
      <c r="C582" s="16" t="s">
        <v>2701</v>
      </c>
      <c r="D582" s="17" t="s">
        <v>2118</v>
      </c>
      <c r="E582" s="14"/>
      <c r="F582" s="14">
        <v>501197</v>
      </c>
      <c r="G582" s="18"/>
      <c r="H582" s="18"/>
      <c r="I582" s="14"/>
      <c r="J582" s="13" t="s">
        <v>610</v>
      </c>
    </row>
    <row r="583" spans="1:11">
      <c r="A583" s="25" t="s">
        <v>522</v>
      </c>
      <c r="B583" s="26"/>
      <c r="C583" s="16" t="s">
        <v>2702</v>
      </c>
      <c r="D583" s="17" t="s">
        <v>2118</v>
      </c>
      <c r="E583" s="14"/>
      <c r="F583" s="14">
        <v>679240</v>
      </c>
      <c r="G583" s="18"/>
      <c r="H583" s="18"/>
      <c r="I583" s="14"/>
      <c r="J583" s="13" t="s">
        <v>610</v>
      </c>
    </row>
    <row r="584" spans="1:11">
      <c r="A584" s="25" t="s">
        <v>2083</v>
      </c>
      <c r="B584" s="26"/>
      <c r="C584" s="16" t="s">
        <v>2703</v>
      </c>
      <c r="D584" s="17" t="s">
        <v>2118</v>
      </c>
      <c r="E584" s="14"/>
      <c r="F584" s="14">
        <v>501197</v>
      </c>
      <c r="G584" s="18"/>
      <c r="H584" s="18"/>
      <c r="I584" s="14"/>
      <c r="J584" s="13" t="s">
        <v>610</v>
      </c>
    </row>
    <row r="585" spans="1:11">
      <c r="A585" s="25" t="s">
        <v>4850</v>
      </c>
      <c r="B585" s="26" t="s">
        <v>4854</v>
      </c>
      <c r="C585" s="16" t="s">
        <v>4851</v>
      </c>
      <c r="D585" s="17" t="s">
        <v>2307</v>
      </c>
      <c r="E585" s="14"/>
      <c r="F585" s="14">
        <v>42000</v>
      </c>
      <c r="G585" s="18">
        <f>2503710/100</f>
        <v>25037.1</v>
      </c>
      <c r="H585" s="18"/>
      <c r="I585" s="14">
        <v>42000</v>
      </c>
      <c r="J585" s="13" t="s">
        <v>2705</v>
      </c>
    </row>
    <row r="586" spans="1:11" s="1713" customFormat="1">
      <c r="A586" s="1757" t="s">
        <v>114</v>
      </c>
      <c r="B586" s="1708" t="s">
        <v>5626</v>
      </c>
      <c r="C586" s="1707" t="s">
        <v>2704</v>
      </c>
      <c r="D586" s="1709" t="s">
        <v>2307</v>
      </c>
      <c r="E586" s="1710"/>
      <c r="F586" s="1710">
        <v>42000</v>
      </c>
      <c r="G586" s="1711">
        <f>31.77*VLOOKUP("N2.35",DGNC,5)/100</f>
        <v>81923.710500000001</v>
      </c>
      <c r="H586" s="1720"/>
      <c r="I586" s="1710">
        <v>42000</v>
      </c>
      <c r="J586" s="1712" t="s">
        <v>2705</v>
      </c>
      <c r="K586" s="1712"/>
    </row>
    <row r="587" spans="1:11" s="1713" customFormat="1">
      <c r="A587" s="1757" t="s">
        <v>115</v>
      </c>
      <c r="B587" s="1708" t="s">
        <v>5627</v>
      </c>
      <c r="C587" s="1707" t="s">
        <v>2706</v>
      </c>
      <c r="D587" s="1709" t="s">
        <v>2307</v>
      </c>
      <c r="E587" s="1710"/>
      <c r="F587" s="1710">
        <v>69500</v>
      </c>
      <c r="G587" s="1711">
        <f>36.74*VLOOKUP("N2.35",DGNC,5)/100</f>
        <v>94739.600999999995</v>
      </c>
      <c r="H587" s="1720"/>
      <c r="I587" s="1710">
        <v>69500</v>
      </c>
      <c r="J587" s="1712" t="s">
        <v>2705</v>
      </c>
      <c r="K587" s="1712"/>
    </row>
    <row r="588" spans="1:11" s="1713" customFormat="1">
      <c r="A588" s="1757" t="s">
        <v>5631</v>
      </c>
      <c r="B588" s="1708" t="s">
        <v>5628</v>
      </c>
      <c r="C588" s="1707" t="s">
        <v>5632</v>
      </c>
      <c r="D588" s="1709" t="s">
        <v>2307</v>
      </c>
      <c r="E588" s="1710"/>
      <c r="F588" s="1710">
        <v>250000</v>
      </c>
      <c r="G588" s="1711">
        <f>42.49*VLOOKUP("N2.35",DGNC,5)/100</f>
        <v>109566.8385</v>
      </c>
      <c r="H588" s="1720"/>
      <c r="I588" s="1710">
        <v>100000</v>
      </c>
      <c r="J588" s="1712" t="s">
        <v>2705</v>
      </c>
      <c r="K588" s="1712"/>
    </row>
    <row r="589" spans="1:11" s="1713" customFormat="1">
      <c r="A589" s="1757" t="s">
        <v>316</v>
      </c>
      <c r="B589" s="1708" t="s">
        <v>5628</v>
      </c>
      <c r="C589" s="1707" t="s">
        <v>2707</v>
      </c>
      <c r="D589" s="1709" t="s">
        <v>2307</v>
      </c>
      <c r="E589" s="1710"/>
      <c r="F589" s="1710">
        <v>130000</v>
      </c>
      <c r="G589" s="1711">
        <f>42.49*VLOOKUP("N2.35",DGNC,5)/100</f>
        <v>109566.8385</v>
      </c>
      <c r="H589" s="1720"/>
      <c r="I589" s="1710">
        <v>100000</v>
      </c>
      <c r="J589" s="1712" t="s">
        <v>2705</v>
      </c>
      <c r="K589" s="1712"/>
    </row>
    <row r="590" spans="1:11" s="1713" customFormat="1">
      <c r="A590" s="1757" t="s">
        <v>1470</v>
      </c>
      <c r="B590" s="1708" t="s">
        <v>5629</v>
      </c>
      <c r="C590" s="1707" t="s">
        <v>2708</v>
      </c>
      <c r="D590" s="1709" t="s">
        <v>2307</v>
      </c>
      <c r="E590" s="1710"/>
      <c r="F590" s="1710">
        <v>146000</v>
      </c>
      <c r="G590" s="1711">
        <f>49.29*VLOOKUP("N2.35",DGNC,5)/100</f>
        <v>127101.65849999999</v>
      </c>
      <c r="H590" s="1720"/>
      <c r="I590" s="1710">
        <v>120000</v>
      </c>
      <c r="J590" s="1712" t="s">
        <v>2705</v>
      </c>
      <c r="K590" s="1712"/>
    </row>
    <row r="591" spans="1:11" s="1713" customFormat="1">
      <c r="A591" s="1757" t="s">
        <v>1568</v>
      </c>
      <c r="B591" s="1708" t="s">
        <v>5629</v>
      </c>
      <c r="C591" s="1707" t="s">
        <v>2709</v>
      </c>
      <c r="D591" s="1709" t="s">
        <v>2307</v>
      </c>
      <c r="E591" s="1710"/>
      <c r="F591" s="1710">
        <v>278000</v>
      </c>
      <c r="G591" s="1711">
        <f>49.29*VLOOKUP("N2.35",DGNC,5)/100</f>
        <v>127101.65849999999</v>
      </c>
      <c r="H591" s="1720"/>
      <c r="I591" s="1710">
        <v>278000</v>
      </c>
      <c r="J591" s="1712" t="s">
        <v>2705</v>
      </c>
      <c r="K591" s="1712"/>
    </row>
    <row r="592" spans="1:11" s="1713" customFormat="1">
      <c r="A592" s="1757" t="s">
        <v>678</v>
      </c>
      <c r="B592" s="1708" t="s">
        <v>5629</v>
      </c>
      <c r="C592" s="1707" t="s">
        <v>2710</v>
      </c>
      <c r="D592" s="1709" t="s">
        <v>2307</v>
      </c>
      <c r="E592" s="1710"/>
      <c r="F592" s="1710"/>
      <c r="G592" s="1711">
        <f>49.29*VLOOKUP("N2.35",DGNC,5)/100</f>
        <v>127101.65849999999</v>
      </c>
      <c r="H592" s="1720"/>
      <c r="I592" s="1710" t="s">
        <v>2214</v>
      </c>
      <c r="J592" s="1712" t="s">
        <v>2705</v>
      </c>
      <c r="K592" s="1712"/>
    </row>
    <row r="593" spans="1:11" s="1713" customFormat="1">
      <c r="A593" s="1757" t="s">
        <v>1781</v>
      </c>
      <c r="B593" s="1708" t="s">
        <v>5629</v>
      </c>
      <c r="C593" s="1707" t="s">
        <v>2711</v>
      </c>
      <c r="D593" s="1709" t="s">
        <v>2307</v>
      </c>
      <c r="E593" s="1710"/>
      <c r="F593" s="1710">
        <v>328000</v>
      </c>
      <c r="G593" s="1711">
        <f>49.29*VLOOKUP("N2.35",DGNC,5)/100</f>
        <v>127101.65849999999</v>
      </c>
      <c r="H593" s="1720"/>
      <c r="I593" s="1710">
        <v>328000</v>
      </c>
      <c r="J593" s="1712" t="s">
        <v>2705</v>
      </c>
      <c r="K593" s="1712"/>
    </row>
    <row r="594" spans="1:11" s="1713" customFormat="1">
      <c r="A594" s="1757" t="s">
        <v>1898</v>
      </c>
      <c r="B594" s="1708" t="s">
        <v>5629</v>
      </c>
      <c r="C594" s="1707" t="s">
        <v>5630</v>
      </c>
      <c r="D594" s="1709" t="s">
        <v>2307</v>
      </c>
      <c r="E594" s="1710"/>
      <c r="F594" s="1710"/>
      <c r="G594" s="1711">
        <f>49.29*VLOOKUP("N2.35",DGNC,5)/100</f>
        <v>127101.65849999999</v>
      </c>
      <c r="H594" s="1720"/>
      <c r="I594" s="1710" t="s">
        <v>2214</v>
      </c>
      <c r="J594" s="1712" t="s">
        <v>2705</v>
      </c>
      <c r="K594" s="1712"/>
    </row>
    <row r="595" spans="1:11" s="1713" customFormat="1">
      <c r="A595" s="1757" t="s">
        <v>5641</v>
      </c>
      <c r="B595" s="1708"/>
      <c r="C595" s="1707" t="s">
        <v>5642</v>
      </c>
      <c r="D595" s="1709" t="s">
        <v>2307</v>
      </c>
      <c r="E595" s="1710"/>
      <c r="F595" s="1710">
        <v>70000</v>
      </c>
      <c r="G595" s="1711"/>
      <c r="H595" s="1720"/>
      <c r="I595" s="1710"/>
      <c r="J595" s="1712"/>
      <c r="K595" s="1712"/>
    </row>
    <row r="596" spans="1:11">
      <c r="A596" s="25" t="s">
        <v>317</v>
      </c>
      <c r="B596" s="26"/>
      <c r="C596" s="16" t="s">
        <v>2712</v>
      </c>
      <c r="D596" s="17" t="s">
        <v>2118</v>
      </c>
      <c r="E596" s="14"/>
      <c r="F596" s="14">
        <v>25000</v>
      </c>
      <c r="G596" s="18"/>
      <c r="H596" s="18"/>
      <c r="I596" s="14">
        <v>25000</v>
      </c>
      <c r="J596" s="13" t="s">
        <v>1638</v>
      </c>
    </row>
    <row r="597" spans="1:11">
      <c r="A597" s="25" t="s">
        <v>234</v>
      </c>
      <c r="B597" s="668"/>
      <c r="C597" s="16" t="s">
        <v>2713</v>
      </c>
      <c r="D597" s="17" t="s">
        <v>2118</v>
      </c>
      <c r="E597" s="14"/>
      <c r="F597" s="14">
        <v>7000</v>
      </c>
      <c r="G597" s="18"/>
      <c r="H597" s="18"/>
      <c r="I597" s="14">
        <v>7000</v>
      </c>
      <c r="J597" s="13" t="s">
        <v>1638</v>
      </c>
    </row>
    <row r="598" spans="1:11" ht="13.8">
      <c r="A598" s="25" t="s">
        <v>537</v>
      </c>
      <c r="B598" s="668"/>
      <c r="C598" s="666" t="s">
        <v>2714</v>
      </c>
      <c r="D598" s="17" t="s">
        <v>2118</v>
      </c>
      <c r="E598" s="14"/>
      <c r="F598" s="1989">
        <v>6000</v>
      </c>
      <c r="G598" s="18"/>
      <c r="H598" s="18"/>
      <c r="I598" s="14">
        <v>6000</v>
      </c>
      <c r="J598" s="13" t="s">
        <v>2715</v>
      </c>
    </row>
    <row r="599" spans="1:11">
      <c r="A599" s="658" t="s">
        <v>3756</v>
      </c>
      <c r="C599" s="658"/>
      <c r="D599" s="658"/>
      <c r="E599" s="660"/>
      <c r="F599" s="661"/>
      <c r="G599" s="661"/>
      <c r="H599" s="661"/>
      <c r="I599" s="661"/>
      <c r="J599" s="13" t="s">
        <v>956</v>
      </c>
    </row>
    <row r="600" spans="1:11">
      <c r="A600" s="1051" t="s">
        <v>3752</v>
      </c>
      <c r="B600" s="1054" t="s">
        <v>3753</v>
      </c>
      <c r="C600" s="1051" t="s">
        <v>2716</v>
      </c>
      <c r="D600" s="1051" t="s">
        <v>2206</v>
      </c>
      <c r="E600" s="1050" t="s">
        <v>2717</v>
      </c>
      <c r="F600" s="1050" t="s">
        <v>2076</v>
      </c>
      <c r="G600" s="1050" t="s">
        <v>753</v>
      </c>
      <c r="H600" s="1050" t="s">
        <v>754</v>
      </c>
      <c r="I600" s="661"/>
      <c r="J600" s="13" t="s">
        <v>868</v>
      </c>
    </row>
    <row r="601" spans="1:11">
      <c r="A601" s="1051">
        <v>1</v>
      </c>
      <c r="B601" s="1054" t="s">
        <v>3754</v>
      </c>
      <c r="C601" s="1051">
        <v>3</v>
      </c>
      <c r="D601" s="1051">
        <v>4</v>
      </c>
      <c r="E601" s="1050">
        <v>5</v>
      </c>
      <c r="F601" s="1050">
        <v>6</v>
      </c>
      <c r="G601" s="1052">
        <v>7</v>
      </c>
      <c r="H601" s="1052">
        <v>8</v>
      </c>
      <c r="I601" s="661"/>
      <c r="J601" s="13">
        <v>1</v>
      </c>
    </row>
    <row r="602" spans="1:11">
      <c r="A602" s="666" t="s">
        <v>219</v>
      </c>
      <c r="B602" s="26" t="s">
        <v>4799</v>
      </c>
      <c r="C602" s="666" t="s">
        <v>2718</v>
      </c>
      <c r="D602" s="17" t="s">
        <v>805</v>
      </c>
      <c r="E602" s="14"/>
      <c r="F602" s="14"/>
      <c r="G602" s="14">
        <v>591617</v>
      </c>
      <c r="H602" s="18"/>
      <c r="I602" s="661"/>
      <c r="J602" s="13" t="s">
        <v>868</v>
      </c>
    </row>
    <row r="603" spans="1:11">
      <c r="A603" s="666" t="s">
        <v>1111</v>
      </c>
      <c r="B603" s="26" t="s">
        <v>4798</v>
      </c>
      <c r="C603" s="666" t="s">
        <v>2719</v>
      </c>
      <c r="D603" s="17" t="s">
        <v>805</v>
      </c>
      <c r="E603" s="14"/>
      <c r="F603" s="14"/>
      <c r="G603" s="14">
        <v>459014</v>
      </c>
      <c r="H603" s="18"/>
      <c r="I603" s="661"/>
      <c r="J603" s="13" t="s">
        <v>868</v>
      </c>
    </row>
    <row r="604" spans="1:11" ht="13.8">
      <c r="A604" s="666" t="s">
        <v>4800</v>
      </c>
      <c r="B604" s="1594" t="s">
        <v>5039</v>
      </c>
      <c r="C604" s="1600" t="s">
        <v>5040</v>
      </c>
      <c r="D604" s="17" t="s">
        <v>805</v>
      </c>
      <c r="E604" s="14"/>
      <c r="F604" s="14"/>
      <c r="G604" s="1601">
        <v>234423</v>
      </c>
      <c r="H604" s="1595">
        <v>460300</v>
      </c>
      <c r="I604" s="661"/>
      <c r="J604" s="13" t="s">
        <v>868</v>
      </c>
    </row>
    <row r="605" spans="1:11">
      <c r="A605" s="666" t="s">
        <v>4792</v>
      </c>
      <c r="B605" s="26" t="s">
        <v>4794</v>
      </c>
      <c r="C605" s="666" t="s">
        <v>4796</v>
      </c>
      <c r="D605" s="17" t="s">
        <v>805</v>
      </c>
      <c r="E605" s="14"/>
      <c r="F605" s="14"/>
      <c r="G605" s="667">
        <v>416210</v>
      </c>
      <c r="H605" s="1996"/>
      <c r="I605" s="661"/>
      <c r="J605" s="13" t="s">
        <v>868</v>
      </c>
    </row>
    <row r="606" spans="1:11">
      <c r="A606" s="666" t="s">
        <v>4793</v>
      </c>
      <c r="B606" s="26" t="s">
        <v>4795</v>
      </c>
      <c r="C606" s="666" t="s">
        <v>4797</v>
      </c>
      <c r="D606" s="17" t="s">
        <v>805</v>
      </c>
      <c r="E606" s="14"/>
      <c r="F606" s="14"/>
      <c r="G606" s="667">
        <v>324576</v>
      </c>
      <c r="H606" s="1996"/>
      <c r="I606" s="661"/>
      <c r="J606" s="13" t="s">
        <v>868</v>
      </c>
    </row>
    <row r="607" spans="1:11" s="1649" customFormat="1" ht="13.8">
      <c r="A607" s="1759" t="s">
        <v>4946</v>
      </c>
      <c r="B607" s="1807" t="s">
        <v>5041</v>
      </c>
      <c r="C607" s="1808" t="s">
        <v>5685</v>
      </c>
      <c r="D607" s="1646" t="s">
        <v>805</v>
      </c>
      <c r="E607" s="707"/>
      <c r="F607" s="707"/>
      <c r="G607" s="1721">
        <f>2.34*VLOOKUP("N1.30",DGNC,5)</f>
        <v>491832.89999999997</v>
      </c>
      <c r="H607" s="1997"/>
      <c r="I607" s="1995"/>
      <c r="J607" s="1648" t="s">
        <v>868</v>
      </c>
    </row>
    <row r="608" spans="1:11">
      <c r="A608" s="666" t="s">
        <v>1866</v>
      </c>
      <c r="B608" s="26" t="s">
        <v>1075</v>
      </c>
      <c r="C608" s="666" t="s">
        <v>2720</v>
      </c>
      <c r="D608" s="17" t="s">
        <v>805</v>
      </c>
      <c r="E608" s="14"/>
      <c r="F608" s="14"/>
      <c r="G608" s="667">
        <v>47102</v>
      </c>
      <c r="H608" s="1996"/>
      <c r="I608" s="661"/>
      <c r="J608" s="13" t="s">
        <v>868</v>
      </c>
    </row>
    <row r="609" spans="1:11">
      <c r="A609" s="16" t="s">
        <v>1372</v>
      </c>
      <c r="B609" s="26" t="s">
        <v>1462</v>
      </c>
      <c r="C609" s="666" t="s">
        <v>2721</v>
      </c>
      <c r="D609" s="17" t="s">
        <v>805</v>
      </c>
      <c r="E609" s="14"/>
      <c r="F609" s="14"/>
      <c r="G609" s="14">
        <v>72794</v>
      </c>
      <c r="H609" s="18"/>
      <c r="I609" s="661"/>
      <c r="J609" s="13" t="s">
        <v>868</v>
      </c>
    </row>
    <row r="610" spans="1:11" ht="13.8">
      <c r="A610" s="666" t="s">
        <v>1322</v>
      </c>
      <c r="B610" s="1594" t="s">
        <v>5042</v>
      </c>
      <c r="C610" s="1602" t="s">
        <v>5043</v>
      </c>
      <c r="D610" s="17" t="s">
        <v>805</v>
      </c>
      <c r="E610" s="14"/>
      <c r="F610" s="14"/>
      <c r="G610" s="1601">
        <v>315693</v>
      </c>
      <c r="H610" s="18"/>
      <c r="I610" s="661"/>
      <c r="J610" s="13" t="s">
        <v>868</v>
      </c>
    </row>
    <row r="611" spans="1:11">
      <c r="A611" s="666" t="s">
        <v>1996</v>
      </c>
      <c r="B611" s="26" t="s">
        <v>1608</v>
      </c>
      <c r="C611" s="666" t="s">
        <v>2722</v>
      </c>
      <c r="D611" s="17" t="s">
        <v>805</v>
      </c>
      <c r="E611" s="14"/>
      <c r="F611" s="14"/>
      <c r="G611" s="14">
        <v>188408</v>
      </c>
      <c r="H611" s="18"/>
      <c r="I611" s="661"/>
      <c r="J611" s="13" t="s">
        <v>868</v>
      </c>
    </row>
    <row r="612" spans="1:11">
      <c r="A612" s="666" t="s">
        <v>26</v>
      </c>
      <c r="B612" s="26" t="s">
        <v>368</v>
      </c>
      <c r="C612" s="666" t="s">
        <v>2723</v>
      </c>
      <c r="D612" s="17" t="s">
        <v>805</v>
      </c>
      <c r="E612" s="14"/>
      <c r="F612" s="14"/>
      <c r="G612" s="14">
        <v>97630</v>
      </c>
      <c r="H612" s="18"/>
      <c r="I612" s="661"/>
      <c r="J612" s="13" t="s">
        <v>868</v>
      </c>
    </row>
    <row r="613" spans="1:11">
      <c r="A613" s="666" t="s">
        <v>1645</v>
      </c>
      <c r="B613" s="26" t="s">
        <v>369</v>
      </c>
      <c r="C613" s="666" t="s">
        <v>2724</v>
      </c>
      <c r="D613" s="17" t="s">
        <v>805</v>
      </c>
      <c r="E613" s="14"/>
      <c r="F613" s="14"/>
      <c r="G613" s="1998">
        <v>296500.89999999997</v>
      </c>
      <c r="H613" s="18"/>
      <c r="I613" s="661"/>
      <c r="J613" s="13" t="s">
        <v>868</v>
      </c>
    </row>
    <row r="614" spans="1:11">
      <c r="A614" s="16" t="s">
        <v>1048</v>
      </c>
      <c r="B614" s="26" t="s">
        <v>657</v>
      </c>
      <c r="C614" s="16" t="s">
        <v>2725</v>
      </c>
      <c r="D614" s="17" t="s">
        <v>805</v>
      </c>
      <c r="E614" s="14"/>
      <c r="F614" s="14"/>
      <c r="G614" s="14">
        <v>142162</v>
      </c>
      <c r="H614" s="18">
        <v>30208</v>
      </c>
      <c r="I614" s="18"/>
      <c r="J614" s="13" t="s">
        <v>1512</v>
      </c>
    </row>
    <row r="615" spans="1:11">
      <c r="A615" s="666" t="s">
        <v>1388</v>
      </c>
      <c r="B615" s="26" t="s">
        <v>370</v>
      </c>
      <c r="C615" s="666" t="s">
        <v>2726</v>
      </c>
      <c r="D615" s="17" t="s">
        <v>805</v>
      </c>
      <c r="E615" s="14"/>
      <c r="F615" s="14"/>
      <c r="G615" s="14">
        <v>220095</v>
      </c>
      <c r="H615" s="18"/>
      <c r="I615" s="661"/>
      <c r="J615" s="13" t="s">
        <v>868</v>
      </c>
    </row>
    <row r="616" spans="1:11" s="1649" customFormat="1">
      <c r="A616" s="1759" t="s">
        <v>491</v>
      </c>
      <c r="B616" s="1708" t="s">
        <v>5684</v>
      </c>
      <c r="C616" s="1759" t="s">
        <v>2727</v>
      </c>
      <c r="D616" s="1646" t="s">
        <v>805</v>
      </c>
      <c r="E616" s="707"/>
      <c r="F616" s="707"/>
      <c r="G616" s="1711">
        <f>8.84*VLOOKUP("N1.30",DGNC,5)/100</f>
        <v>18580.353999999999</v>
      </c>
      <c r="H616" s="1647"/>
      <c r="I616" s="1995"/>
      <c r="J616" s="1648" t="s">
        <v>868</v>
      </c>
    </row>
    <row r="617" spans="1:11" ht="19.5" customHeight="1">
      <c r="A617" s="666" t="s">
        <v>492</v>
      </c>
      <c r="B617" s="1594" t="s">
        <v>5044</v>
      </c>
      <c r="C617" s="666" t="s">
        <v>2728</v>
      </c>
      <c r="D617" s="17" t="s">
        <v>805</v>
      </c>
      <c r="E617" s="14"/>
      <c r="F617" s="14"/>
      <c r="G617" s="1601">
        <v>93046</v>
      </c>
      <c r="H617" s="18"/>
      <c r="I617" s="661"/>
      <c r="J617" s="13" t="s">
        <v>868</v>
      </c>
    </row>
    <row r="618" spans="1:11" s="1713" customFormat="1">
      <c r="A618" s="1707" t="s">
        <v>501</v>
      </c>
      <c r="B618" s="1708" t="s">
        <v>5044</v>
      </c>
      <c r="C618" s="1714" t="s">
        <v>5672</v>
      </c>
      <c r="D618" s="1709" t="s">
        <v>805</v>
      </c>
      <c r="E618" s="1710"/>
      <c r="F618" s="1710"/>
      <c r="G618" s="1711">
        <f>0.56*VLOOKUP("N1.30",DGNC,5)</f>
        <v>117703.6</v>
      </c>
      <c r="H618" s="1720"/>
      <c r="I618" s="1999"/>
      <c r="J618" s="1712" t="s">
        <v>868</v>
      </c>
      <c r="K618" s="1712"/>
    </row>
    <row r="619" spans="1:11" s="1713" customFormat="1">
      <c r="A619" s="1707" t="s">
        <v>867</v>
      </c>
      <c r="B619" s="1708" t="s">
        <v>5046</v>
      </c>
      <c r="C619" s="1714" t="s">
        <v>5673</v>
      </c>
      <c r="D619" s="1709" t="s">
        <v>805</v>
      </c>
      <c r="E619" s="1710"/>
      <c r="F619" s="1710"/>
      <c r="G619" s="1711">
        <f>0.7*VLOOKUP("N1.30",DGNC,5)</f>
        <v>147129.5</v>
      </c>
      <c r="H619" s="1720"/>
      <c r="I619" s="1999"/>
      <c r="J619" s="1712" t="s">
        <v>868</v>
      </c>
      <c r="K619" s="1712"/>
    </row>
    <row r="620" spans="1:11">
      <c r="A620" s="16" t="s">
        <v>290</v>
      </c>
      <c r="B620" s="26" t="s">
        <v>367</v>
      </c>
      <c r="C620" s="666" t="s">
        <v>2729</v>
      </c>
      <c r="D620" s="17" t="s">
        <v>805</v>
      </c>
      <c r="E620" s="14"/>
      <c r="F620" s="14"/>
      <c r="G620" s="14">
        <v>116840</v>
      </c>
      <c r="H620" s="18"/>
      <c r="I620" s="661"/>
      <c r="J620" s="13" t="s">
        <v>610</v>
      </c>
    </row>
    <row r="621" spans="1:11" s="1713" customFormat="1">
      <c r="A621" s="1707" t="s">
        <v>291</v>
      </c>
      <c r="B621" s="1708" t="s">
        <v>5674</v>
      </c>
      <c r="C621" s="1714" t="s">
        <v>2730</v>
      </c>
      <c r="D621" s="1709" t="s">
        <v>805</v>
      </c>
      <c r="E621" s="1710"/>
      <c r="F621" s="1710"/>
      <c r="G621" s="1711">
        <f>2.33*VLOOKUP("N1.35",DGNC,5)*1.2</f>
        <v>640731.36</v>
      </c>
      <c r="H621" s="1720"/>
      <c r="I621" s="1999"/>
      <c r="J621" s="1712" t="s">
        <v>610</v>
      </c>
      <c r="K621" s="1712"/>
    </row>
    <row r="622" spans="1:11">
      <c r="A622" s="16" t="s">
        <v>856</v>
      </c>
      <c r="B622" s="26" t="s">
        <v>857</v>
      </c>
      <c r="C622" s="666" t="s">
        <v>2731</v>
      </c>
      <c r="D622" s="17" t="s">
        <v>805</v>
      </c>
      <c r="E622" s="14"/>
      <c r="F622" s="14"/>
      <c r="G622" s="14">
        <v>328265</v>
      </c>
      <c r="H622" s="18"/>
      <c r="I622" s="661"/>
      <c r="J622" s="13" t="s">
        <v>610</v>
      </c>
    </row>
    <row r="623" spans="1:11">
      <c r="A623" s="16" t="s">
        <v>292</v>
      </c>
      <c r="B623" s="26" t="s">
        <v>1590</v>
      </c>
      <c r="C623" s="666" t="s">
        <v>2732</v>
      </c>
      <c r="D623" s="17" t="s">
        <v>805</v>
      </c>
      <c r="E623" s="14"/>
      <c r="F623" s="14"/>
      <c r="G623" s="14">
        <v>359422</v>
      </c>
      <c r="H623" s="18"/>
      <c r="I623" s="661"/>
      <c r="J623" s="13" t="s">
        <v>610</v>
      </c>
    </row>
    <row r="624" spans="1:11">
      <c r="A624" s="16" t="s">
        <v>1905</v>
      </c>
      <c r="B624" s="26" t="s">
        <v>447</v>
      </c>
      <c r="C624" s="666" t="s">
        <v>2733</v>
      </c>
      <c r="D624" s="17" t="s">
        <v>805</v>
      </c>
      <c r="E624" s="14"/>
      <c r="F624" s="14"/>
      <c r="G624" s="1070">
        <v>110741.3</v>
      </c>
      <c r="H624" s="18"/>
      <c r="I624" s="661"/>
      <c r="J624" s="13" t="s">
        <v>610</v>
      </c>
    </row>
    <row r="625" spans="1:11" s="1713" customFormat="1">
      <c r="A625" s="1707" t="s">
        <v>1906</v>
      </c>
      <c r="B625" s="1708" t="s">
        <v>5677</v>
      </c>
      <c r="C625" s="1707" t="s">
        <v>2734</v>
      </c>
      <c r="D625" s="1709" t="s">
        <v>805</v>
      </c>
      <c r="E625" s="1710"/>
      <c r="F625" s="1710"/>
      <c r="G625" s="1711">
        <f>8.84*VLOOKUP("N1.40",DGNC,5)/100</f>
        <v>21935.133999999998</v>
      </c>
      <c r="H625" s="1711"/>
      <c r="I625" s="1999"/>
      <c r="J625" s="1712" t="s">
        <v>610</v>
      </c>
      <c r="K625" s="1712"/>
    </row>
    <row r="626" spans="1:11">
      <c r="A626" s="16" t="s">
        <v>1907</v>
      </c>
      <c r="B626" s="26" t="s">
        <v>448</v>
      </c>
      <c r="C626" s="666" t="s">
        <v>2735</v>
      </c>
      <c r="D626" s="17" t="s">
        <v>805</v>
      </c>
      <c r="E626" s="14"/>
      <c r="F626" s="14"/>
      <c r="G626" s="14">
        <v>69368</v>
      </c>
      <c r="H626" s="18"/>
      <c r="I626" s="661"/>
      <c r="J626" s="13" t="s">
        <v>610</v>
      </c>
    </row>
    <row r="627" spans="1:11" s="1713" customFormat="1">
      <c r="A627" s="1707" t="s">
        <v>502</v>
      </c>
      <c r="B627" s="1708" t="s">
        <v>5561</v>
      </c>
      <c r="C627" s="1707" t="s">
        <v>5562</v>
      </c>
      <c r="D627" s="1709" t="s">
        <v>805</v>
      </c>
      <c r="E627" s="1710"/>
      <c r="F627" s="1710"/>
      <c r="G627" s="1711">
        <f>1.5*VLOOKUP("N1.30",DGNC,5)</f>
        <v>315277.5</v>
      </c>
      <c r="H627" s="1711">
        <v>0</v>
      </c>
      <c r="I627" s="1999"/>
      <c r="J627" s="1712" t="s">
        <v>610</v>
      </c>
      <c r="K627" s="1712"/>
    </row>
    <row r="628" spans="1:11">
      <c r="A628" s="16" t="s">
        <v>1876</v>
      </c>
      <c r="B628" s="26" t="s">
        <v>1182</v>
      </c>
      <c r="C628" s="16" t="s">
        <v>2736</v>
      </c>
      <c r="D628" s="17" t="s">
        <v>805</v>
      </c>
      <c r="E628" s="14"/>
      <c r="F628" s="14"/>
      <c r="G628" s="14">
        <v>18374</v>
      </c>
      <c r="H628" s="18"/>
      <c r="I628" s="661"/>
      <c r="J628" s="13" t="s">
        <v>610</v>
      </c>
    </row>
    <row r="629" spans="1:11">
      <c r="A629" s="16" t="s">
        <v>549</v>
      </c>
      <c r="B629" s="26" t="s">
        <v>1182</v>
      </c>
      <c r="C629" s="16" t="s">
        <v>2737</v>
      </c>
      <c r="D629" s="17" t="s">
        <v>805</v>
      </c>
      <c r="E629" s="14"/>
      <c r="F629" s="14"/>
      <c r="G629" s="14">
        <v>18374</v>
      </c>
      <c r="H629" s="18"/>
      <c r="I629" s="661"/>
      <c r="J629" s="13" t="s">
        <v>610</v>
      </c>
    </row>
    <row r="630" spans="1:11">
      <c r="A630" s="16" t="s">
        <v>503</v>
      </c>
      <c r="B630" s="26" t="s">
        <v>445</v>
      </c>
      <c r="C630" s="16" t="s">
        <v>2738</v>
      </c>
      <c r="D630" s="17" t="s">
        <v>805</v>
      </c>
      <c r="E630" s="14"/>
      <c r="F630" s="14"/>
      <c r="G630" s="14">
        <v>85640</v>
      </c>
      <c r="H630" s="18"/>
      <c r="I630" s="661"/>
      <c r="J630" s="13" t="s">
        <v>610</v>
      </c>
    </row>
    <row r="631" spans="1:11" s="1713" customFormat="1">
      <c r="A631" s="1707" t="s">
        <v>665</v>
      </c>
      <c r="B631" s="1708" t="s">
        <v>5563</v>
      </c>
      <c r="C631" s="1714" t="s">
        <v>5047</v>
      </c>
      <c r="D631" s="1709" t="s">
        <v>805</v>
      </c>
      <c r="E631" s="1710"/>
      <c r="F631" s="1710"/>
      <c r="G631" s="1711">
        <f>1.35*VLOOKUP("N1.30",DGNC,5)</f>
        <v>283749.75</v>
      </c>
      <c r="H631" s="1720"/>
      <c r="I631" s="1999"/>
      <c r="J631" s="1715" t="s">
        <v>610</v>
      </c>
    </row>
    <row r="632" spans="1:11">
      <c r="A632" s="16" t="s">
        <v>137</v>
      </c>
      <c r="B632" s="26" t="s">
        <v>446</v>
      </c>
      <c r="C632" s="16" t="s">
        <v>2739</v>
      </c>
      <c r="D632" s="17" t="s">
        <v>805</v>
      </c>
      <c r="E632" s="14"/>
      <c r="F632" s="14"/>
      <c r="G632" s="14">
        <v>194403</v>
      </c>
      <c r="H632" s="18"/>
      <c r="I632" s="661"/>
      <c r="J632" s="13" t="s">
        <v>610</v>
      </c>
    </row>
    <row r="633" spans="1:11" s="1713" customFormat="1">
      <c r="A633" s="1707" t="s">
        <v>1985</v>
      </c>
      <c r="B633" s="1708" t="s">
        <v>5044</v>
      </c>
      <c r="C633" s="1714" t="s">
        <v>5564</v>
      </c>
      <c r="D633" s="1709" t="s">
        <v>805</v>
      </c>
      <c r="E633" s="1710"/>
      <c r="F633" s="1710"/>
      <c r="G633" s="1711">
        <f>0.56*VLOOKUP("N1.30",DGNC,5)</f>
        <v>117703.6</v>
      </c>
      <c r="H633" s="1720"/>
      <c r="I633" s="1999"/>
      <c r="J633" s="1715" t="s">
        <v>610</v>
      </c>
    </row>
    <row r="634" spans="1:11" s="1713" customFormat="1">
      <c r="A634" s="1707" t="s">
        <v>5565</v>
      </c>
      <c r="B634" s="1708" t="s">
        <v>5045</v>
      </c>
      <c r="C634" s="1714" t="s">
        <v>5566</v>
      </c>
      <c r="D634" s="1709" t="s">
        <v>805</v>
      </c>
      <c r="E634" s="1710"/>
      <c r="F634" s="1710"/>
      <c r="G634" s="1711">
        <f>0.67*VLOOKUP("N1.30",DGNC,5)</f>
        <v>140823.95000000001</v>
      </c>
      <c r="H634" s="1720"/>
      <c r="I634" s="1999"/>
      <c r="J634" s="1715" t="s">
        <v>610</v>
      </c>
    </row>
    <row r="635" spans="1:11" s="1713" customFormat="1">
      <c r="A635" s="1707" t="s">
        <v>136</v>
      </c>
      <c r="B635" s="1708" t="s">
        <v>5046</v>
      </c>
      <c r="C635" s="1714" t="s">
        <v>5567</v>
      </c>
      <c r="D635" s="1709" t="s">
        <v>805</v>
      </c>
      <c r="E635" s="1710"/>
      <c r="F635" s="1710"/>
      <c r="G635" s="1711">
        <f>0.7*VLOOKUP("N1.30",DGNC,5)</f>
        <v>147129.5</v>
      </c>
      <c r="H635" s="1720"/>
      <c r="I635" s="1999"/>
      <c r="J635" s="1715" t="s">
        <v>610</v>
      </c>
    </row>
    <row r="636" spans="1:11" s="1713" customFormat="1">
      <c r="A636" s="1707" t="s">
        <v>1624</v>
      </c>
      <c r="B636" s="1708" t="s">
        <v>5568</v>
      </c>
      <c r="C636" s="1714" t="s">
        <v>2740</v>
      </c>
      <c r="D636" s="1709" t="s">
        <v>2226</v>
      </c>
      <c r="E636" s="1710"/>
      <c r="F636" s="1710"/>
      <c r="G636" s="1711">
        <f>10.14*VLOOKUP("N2.40",DGNC,5)/100</f>
        <v>28219.62</v>
      </c>
      <c r="H636" s="1720"/>
      <c r="I636" s="1999"/>
      <c r="J636" s="1715" t="s">
        <v>450</v>
      </c>
    </row>
    <row r="637" spans="1:11">
      <c r="A637" s="16" t="s">
        <v>1991</v>
      </c>
      <c r="B637" s="668" t="s">
        <v>834</v>
      </c>
      <c r="C637" s="19" t="s">
        <v>2741</v>
      </c>
      <c r="D637" s="17" t="s">
        <v>2226</v>
      </c>
      <c r="E637" s="18"/>
      <c r="F637" s="18"/>
      <c r="G637" s="18">
        <v>12978</v>
      </c>
      <c r="H637" s="18"/>
      <c r="I637" s="661"/>
      <c r="J637" s="13" t="s">
        <v>629</v>
      </c>
    </row>
    <row r="638" spans="1:11" s="1713" customFormat="1">
      <c r="A638" s="1707" t="s">
        <v>100</v>
      </c>
      <c r="B638" s="1708" t="s">
        <v>5569</v>
      </c>
      <c r="C638" s="1714" t="s">
        <v>2742</v>
      </c>
      <c r="D638" s="1709" t="s">
        <v>2670</v>
      </c>
      <c r="E638" s="1710"/>
      <c r="F638" s="1710"/>
      <c r="G638" s="1711">
        <f>4*VLOOKUP("N1.35",DGNC,5)/1000</f>
        <v>916.64</v>
      </c>
      <c r="H638" s="1720"/>
      <c r="I638" s="1999"/>
      <c r="J638" s="1715" t="s">
        <v>450</v>
      </c>
    </row>
    <row r="639" spans="1:11">
      <c r="A639" s="16" t="s">
        <v>1832</v>
      </c>
      <c r="B639" s="26" t="s">
        <v>139</v>
      </c>
      <c r="C639" s="16" t="s">
        <v>2743</v>
      </c>
      <c r="D639" s="17" t="s">
        <v>805</v>
      </c>
      <c r="E639" s="14"/>
      <c r="F639" s="14"/>
      <c r="G639" s="14">
        <v>428</v>
      </c>
      <c r="H639" s="18"/>
      <c r="I639" s="661"/>
      <c r="J639" s="13" t="s">
        <v>450</v>
      </c>
    </row>
    <row r="640" spans="1:11" s="1713" customFormat="1">
      <c r="A640" s="1707" t="s">
        <v>988</v>
      </c>
      <c r="B640" s="1708" t="s">
        <v>859</v>
      </c>
      <c r="C640" s="1714" t="s">
        <v>2744</v>
      </c>
      <c r="D640" s="1709" t="s">
        <v>2118</v>
      </c>
      <c r="E640" s="1710"/>
      <c r="F640" s="1710"/>
      <c r="G640" s="1711">
        <v>67874</v>
      </c>
      <c r="H640" s="1720"/>
      <c r="I640" s="1999"/>
      <c r="J640" s="1715" t="s">
        <v>868</v>
      </c>
    </row>
    <row r="641" spans="1:10">
      <c r="A641" s="16" t="s">
        <v>1569</v>
      </c>
      <c r="B641" s="26" t="s">
        <v>2135</v>
      </c>
      <c r="C641" s="666" t="s">
        <v>2745</v>
      </c>
      <c r="D641" s="17" t="s">
        <v>2118</v>
      </c>
      <c r="E641" s="14"/>
      <c r="F641" s="14"/>
      <c r="G641" s="14">
        <v>148724</v>
      </c>
      <c r="H641" s="18"/>
      <c r="I641" s="661"/>
      <c r="J641" s="13" t="s">
        <v>868</v>
      </c>
    </row>
    <row r="642" spans="1:10">
      <c r="A642" s="16" t="s">
        <v>967</v>
      </c>
      <c r="B642" s="26" t="s">
        <v>2135</v>
      </c>
      <c r="C642" s="666" t="s">
        <v>2746</v>
      </c>
      <c r="D642" s="17" t="s">
        <v>2118</v>
      </c>
      <c r="E642" s="14"/>
      <c r="F642" s="14"/>
      <c r="G642" s="14">
        <v>148724</v>
      </c>
      <c r="H642" s="18"/>
      <c r="I642" s="661"/>
      <c r="J642" s="13" t="s">
        <v>868</v>
      </c>
    </row>
    <row r="643" spans="1:10">
      <c r="A643" s="16" t="s">
        <v>28</v>
      </c>
      <c r="B643" s="26" t="s">
        <v>1722</v>
      </c>
      <c r="C643" s="16" t="s">
        <v>2747</v>
      </c>
      <c r="D643" s="17" t="s">
        <v>2292</v>
      </c>
      <c r="E643" s="14"/>
      <c r="F643" s="14"/>
      <c r="G643" s="14">
        <v>1394</v>
      </c>
      <c r="H643" s="18"/>
      <c r="I643" s="661"/>
      <c r="J643" s="13" t="s">
        <v>610</v>
      </c>
    </row>
    <row r="644" spans="1:10">
      <c r="A644" s="16" t="s">
        <v>1763</v>
      </c>
      <c r="B644" s="26" t="s">
        <v>1722</v>
      </c>
      <c r="C644" s="16" t="s">
        <v>2748</v>
      </c>
      <c r="D644" s="17" t="s">
        <v>2292</v>
      </c>
      <c r="E644" s="14"/>
      <c r="F644" s="14"/>
      <c r="G644" s="14">
        <v>1672</v>
      </c>
      <c r="H644" s="18"/>
      <c r="I644" s="661"/>
      <c r="J644" s="13" t="s">
        <v>610</v>
      </c>
    </row>
    <row r="645" spans="1:10">
      <c r="A645" s="16" t="s">
        <v>433</v>
      </c>
      <c r="B645" s="26" t="s">
        <v>1722</v>
      </c>
      <c r="C645" s="16" t="s">
        <v>2749</v>
      </c>
      <c r="D645" s="17" t="s">
        <v>2292</v>
      </c>
      <c r="E645" s="14"/>
      <c r="F645" s="14"/>
      <c r="G645" s="14">
        <v>2787</v>
      </c>
      <c r="H645" s="18"/>
      <c r="I645" s="661"/>
      <c r="J645" s="13" t="s">
        <v>610</v>
      </c>
    </row>
    <row r="646" spans="1:10">
      <c r="A646" s="16" t="s">
        <v>1390</v>
      </c>
      <c r="B646" s="26" t="s">
        <v>1391</v>
      </c>
      <c r="C646" s="16" t="s">
        <v>2750</v>
      </c>
      <c r="D646" s="17" t="s">
        <v>532</v>
      </c>
      <c r="E646" s="14"/>
      <c r="F646" s="14"/>
      <c r="G646" s="14">
        <v>1083.8</v>
      </c>
      <c r="H646" s="18"/>
      <c r="I646" s="661"/>
      <c r="J646" s="13" t="s">
        <v>2751</v>
      </c>
    </row>
    <row r="647" spans="1:10">
      <c r="A647" s="16" t="s">
        <v>1780</v>
      </c>
      <c r="B647" s="26" t="s">
        <v>722</v>
      </c>
      <c r="C647" s="666" t="s">
        <v>2752</v>
      </c>
      <c r="D647" s="17" t="s">
        <v>2753</v>
      </c>
      <c r="E647" s="14"/>
      <c r="F647" s="14"/>
      <c r="G647" s="14">
        <v>181669</v>
      </c>
      <c r="H647" s="18"/>
      <c r="I647" s="661"/>
      <c r="J647" s="13" t="s">
        <v>1771</v>
      </c>
    </row>
    <row r="648" spans="1:10">
      <c r="A648" s="16" t="s">
        <v>863</v>
      </c>
      <c r="B648" s="26" t="s">
        <v>864</v>
      </c>
      <c r="C648" s="666" t="s">
        <v>2754</v>
      </c>
      <c r="D648" s="17" t="s">
        <v>2753</v>
      </c>
      <c r="E648" s="14"/>
      <c r="F648" s="14"/>
      <c r="G648" s="14">
        <v>170407</v>
      </c>
      <c r="H648" s="18"/>
      <c r="I648" s="661"/>
      <c r="J648" s="13" t="s">
        <v>1771</v>
      </c>
    </row>
    <row r="649" spans="1:10">
      <c r="A649" s="16" t="s">
        <v>755</v>
      </c>
      <c r="B649" s="26" t="s">
        <v>185</v>
      </c>
      <c r="C649" s="666" t="s">
        <v>2755</v>
      </c>
      <c r="D649" s="17" t="s">
        <v>2753</v>
      </c>
      <c r="E649" s="14"/>
      <c r="F649" s="14"/>
      <c r="G649" s="14">
        <v>168332</v>
      </c>
      <c r="H649" s="18"/>
      <c r="I649" s="661"/>
      <c r="J649" s="13" t="s">
        <v>1771</v>
      </c>
    </row>
    <row r="650" spans="1:10">
      <c r="A650" s="16" t="s">
        <v>78</v>
      </c>
      <c r="B650" s="26" t="s">
        <v>94</v>
      </c>
      <c r="C650" s="666" t="s">
        <v>2756</v>
      </c>
      <c r="D650" s="17" t="s">
        <v>2753</v>
      </c>
      <c r="E650" s="14"/>
      <c r="F650" s="14"/>
      <c r="G650" s="14">
        <v>166554</v>
      </c>
      <c r="H650" s="18"/>
      <c r="I650" s="661"/>
      <c r="J650" s="13" t="s">
        <v>1771</v>
      </c>
    </row>
    <row r="651" spans="1:10">
      <c r="A651" s="16" t="s">
        <v>1747</v>
      </c>
      <c r="B651" s="26" t="s">
        <v>722</v>
      </c>
      <c r="C651" s="666" t="s">
        <v>2757</v>
      </c>
      <c r="D651" s="17" t="s">
        <v>2753</v>
      </c>
      <c r="E651" s="14"/>
      <c r="F651" s="14"/>
      <c r="G651" s="14">
        <v>181669</v>
      </c>
      <c r="H651" s="18"/>
      <c r="I651" s="661"/>
      <c r="J651" s="13" t="s">
        <v>1771</v>
      </c>
    </row>
    <row r="652" spans="1:10">
      <c r="A652" s="16" t="s">
        <v>1981</v>
      </c>
      <c r="B652" s="26" t="s">
        <v>864</v>
      </c>
      <c r="C652" s="666" t="s">
        <v>2758</v>
      </c>
      <c r="D652" s="17" t="s">
        <v>2753</v>
      </c>
      <c r="E652" s="14"/>
      <c r="F652" s="14"/>
      <c r="G652" s="14">
        <v>170407</v>
      </c>
      <c r="H652" s="18"/>
      <c r="I652" s="661"/>
      <c r="J652" s="13" t="s">
        <v>1771</v>
      </c>
    </row>
    <row r="653" spans="1:10">
      <c r="A653" s="16" t="s">
        <v>1069</v>
      </c>
      <c r="B653" s="26" t="s">
        <v>185</v>
      </c>
      <c r="C653" s="666" t="s">
        <v>2759</v>
      </c>
      <c r="D653" s="17" t="s">
        <v>2753</v>
      </c>
      <c r="E653" s="14"/>
      <c r="F653" s="14"/>
      <c r="G653" s="14">
        <v>168332</v>
      </c>
      <c r="H653" s="18"/>
      <c r="I653" s="661"/>
      <c r="J653" s="13" t="s">
        <v>1771</v>
      </c>
    </row>
    <row r="654" spans="1:10">
      <c r="A654" s="16" t="s">
        <v>1294</v>
      </c>
      <c r="B654" s="26" t="s">
        <v>94</v>
      </c>
      <c r="C654" s="666" t="s">
        <v>2760</v>
      </c>
      <c r="D654" s="17" t="s">
        <v>2753</v>
      </c>
      <c r="E654" s="14"/>
      <c r="F654" s="14"/>
      <c r="G654" s="14">
        <v>166554</v>
      </c>
      <c r="H654" s="18"/>
      <c r="I654" s="661"/>
      <c r="J654" s="13" t="s">
        <v>1771</v>
      </c>
    </row>
    <row r="655" spans="1:10">
      <c r="A655" s="16" t="s">
        <v>1268</v>
      </c>
      <c r="B655" s="26" t="s">
        <v>1304</v>
      </c>
      <c r="C655" s="666" t="s">
        <v>2761</v>
      </c>
      <c r="D655" s="17" t="s">
        <v>2753</v>
      </c>
      <c r="E655" s="14"/>
      <c r="F655" s="14"/>
      <c r="G655" s="14">
        <v>199747</v>
      </c>
      <c r="H655" s="18"/>
      <c r="I655" s="661"/>
      <c r="J655" s="13" t="s">
        <v>1771</v>
      </c>
    </row>
    <row r="656" spans="1:10">
      <c r="A656" s="16" t="s">
        <v>1269</v>
      </c>
      <c r="B656" s="26" t="s">
        <v>505</v>
      </c>
      <c r="C656" s="666" t="s">
        <v>2762</v>
      </c>
      <c r="D656" s="17" t="s">
        <v>2753</v>
      </c>
      <c r="E656" s="14"/>
      <c r="F656" s="14"/>
      <c r="G656" s="14">
        <v>187596</v>
      </c>
      <c r="H656" s="18"/>
      <c r="I656" s="661"/>
      <c r="J656" s="13" t="s">
        <v>1771</v>
      </c>
    </row>
    <row r="657" spans="1:10">
      <c r="A657" s="16" t="s">
        <v>1270</v>
      </c>
      <c r="B657" s="26" t="s">
        <v>1492</v>
      </c>
      <c r="C657" s="666" t="s">
        <v>2763</v>
      </c>
      <c r="D657" s="17" t="s">
        <v>2753</v>
      </c>
      <c r="E657" s="14"/>
      <c r="F657" s="14"/>
      <c r="G657" s="14">
        <v>185225</v>
      </c>
      <c r="H657" s="18"/>
      <c r="I657" s="661"/>
      <c r="J657" s="13" t="s">
        <v>1771</v>
      </c>
    </row>
    <row r="658" spans="1:10">
      <c r="A658" s="16" t="s">
        <v>1271</v>
      </c>
      <c r="B658" s="26" t="s">
        <v>1335</v>
      </c>
      <c r="C658" s="666" t="s">
        <v>2764</v>
      </c>
      <c r="D658" s="17" t="s">
        <v>2753</v>
      </c>
      <c r="E658" s="14"/>
      <c r="F658" s="14"/>
      <c r="G658" s="14">
        <v>183150</v>
      </c>
      <c r="H658" s="18"/>
      <c r="I658" s="661"/>
      <c r="J658" s="13" t="s">
        <v>1771</v>
      </c>
    </row>
    <row r="659" spans="1:10">
      <c r="A659" s="16" t="s">
        <v>209</v>
      </c>
      <c r="B659" s="26" t="s">
        <v>1250</v>
      </c>
      <c r="C659" s="666" t="s">
        <v>2765</v>
      </c>
      <c r="D659" s="17" t="s">
        <v>2753</v>
      </c>
      <c r="E659" s="14"/>
      <c r="F659" s="14"/>
      <c r="G659" s="14">
        <v>282431</v>
      </c>
      <c r="H659" s="18"/>
      <c r="I659" s="661"/>
      <c r="J659" s="13" t="s">
        <v>1771</v>
      </c>
    </row>
    <row r="660" spans="1:10">
      <c r="A660" s="16" t="s">
        <v>1251</v>
      </c>
      <c r="B660" s="26" t="s">
        <v>1252</v>
      </c>
      <c r="C660" s="666" t="s">
        <v>2766</v>
      </c>
      <c r="D660" s="17" t="s">
        <v>2753</v>
      </c>
      <c r="E660" s="14"/>
      <c r="F660" s="14"/>
      <c r="G660" s="14">
        <v>265242</v>
      </c>
      <c r="H660" s="18"/>
      <c r="I660" s="661"/>
      <c r="J660" s="13" t="s">
        <v>1771</v>
      </c>
    </row>
    <row r="661" spans="1:10">
      <c r="A661" s="16" t="s">
        <v>953</v>
      </c>
      <c r="B661" s="26" t="s">
        <v>954</v>
      </c>
      <c r="C661" s="666" t="s">
        <v>2767</v>
      </c>
      <c r="D661" s="17" t="s">
        <v>2753</v>
      </c>
      <c r="E661" s="14"/>
      <c r="F661" s="14"/>
      <c r="G661" s="14">
        <v>261686</v>
      </c>
      <c r="H661" s="18"/>
      <c r="I661" s="661"/>
      <c r="J661" s="13" t="s">
        <v>1771</v>
      </c>
    </row>
    <row r="662" spans="1:10">
      <c r="A662" s="16" t="s">
        <v>321</v>
      </c>
      <c r="B662" s="26" t="s">
        <v>1253</v>
      </c>
      <c r="C662" s="666" t="s">
        <v>2768</v>
      </c>
      <c r="D662" s="17" t="s">
        <v>2753</v>
      </c>
      <c r="E662" s="14"/>
      <c r="F662" s="14"/>
      <c r="G662" s="14">
        <v>25315</v>
      </c>
      <c r="H662" s="18"/>
      <c r="I662" s="661"/>
      <c r="J662" s="13" t="s">
        <v>1771</v>
      </c>
    </row>
    <row r="663" spans="1:10">
      <c r="A663" s="16" t="s">
        <v>1303</v>
      </c>
      <c r="B663" s="26" t="s">
        <v>1304</v>
      </c>
      <c r="C663" s="16" t="s">
        <v>2769</v>
      </c>
      <c r="D663" s="17" t="s">
        <v>2753</v>
      </c>
      <c r="E663" s="14"/>
      <c r="F663" s="14"/>
      <c r="G663" s="14">
        <v>199747</v>
      </c>
      <c r="H663" s="18"/>
      <c r="I663" s="661"/>
      <c r="J663" s="13" t="s">
        <v>1771</v>
      </c>
    </row>
    <row r="664" spans="1:10">
      <c r="A664" s="16" t="s">
        <v>1305</v>
      </c>
      <c r="B664" s="26" t="s">
        <v>505</v>
      </c>
      <c r="C664" s="16" t="s">
        <v>2770</v>
      </c>
      <c r="D664" s="17" t="s">
        <v>2753</v>
      </c>
      <c r="E664" s="14"/>
      <c r="F664" s="14"/>
      <c r="G664" s="14">
        <v>187596</v>
      </c>
      <c r="H664" s="18"/>
      <c r="I664" s="661"/>
      <c r="J664" s="13" t="s">
        <v>1771</v>
      </c>
    </row>
    <row r="665" spans="1:10">
      <c r="A665" s="16" t="s">
        <v>1491</v>
      </c>
      <c r="B665" s="26" t="s">
        <v>1492</v>
      </c>
      <c r="C665" s="16" t="s">
        <v>2771</v>
      </c>
      <c r="D665" s="17" t="s">
        <v>2753</v>
      </c>
      <c r="E665" s="14"/>
      <c r="F665" s="14"/>
      <c r="G665" s="14">
        <v>185225</v>
      </c>
      <c r="H665" s="18"/>
      <c r="I665" s="661"/>
      <c r="J665" s="13" t="s">
        <v>1771</v>
      </c>
    </row>
    <row r="666" spans="1:10">
      <c r="A666" s="16" t="s">
        <v>934</v>
      </c>
      <c r="B666" s="26" t="s">
        <v>1335</v>
      </c>
      <c r="C666" s="16" t="s">
        <v>2772</v>
      </c>
      <c r="D666" s="17" t="s">
        <v>2753</v>
      </c>
      <c r="E666" s="14"/>
      <c r="F666" s="14"/>
      <c r="G666" s="14">
        <v>183150</v>
      </c>
      <c r="H666" s="18"/>
      <c r="I666" s="661"/>
      <c r="J666" s="13" t="s">
        <v>1771</v>
      </c>
    </row>
    <row r="667" spans="1:10">
      <c r="A667" s="16" t="s">
        <v>871</v>
      </c>
      <c r="B667" s="26" t="s">
        <v>1845</v>
      </c>
      <c r="C667" s="16" t="s">
        <v>2773</v>
      </c>
      <c r="D667" s="17" t="s">
        <v>2753</v>
      </c>
      <c r="E667" s="14"/>
      <c r="F667" s="14"/>
      <c r="G667" s="14">
        <v>221974</v>
      </c>
      <c r="H667" s="18"/>
      <c r="I667" s="661"/>
      <c r="J667" s="13" t="s">
        <v>1771</v>
      </c>
    </row>
    <row r="668" spans="1:10">
      <c r="A668" s="16" t="s">
        <v>1421</v>
      </c>
      <c r="B668" s="26" t="s">
        <v>1171</v>
      </c>
      <c r="C668" s="16" t="s">
        <v>2774</v>
      </c>
      <c r="D668" s="17" t="s">
        <v>2753</v>
      </c>
      <c r="E668" s="14"/>
      <c r="F668" s="14"/>
      <c r="G668" s="14">
        <v>208341</v>
      </c>
      <c r="H668" s="18"/>
      <c r="I668" s="661"/>
      <c r="J668" s="13" t="s">
        <v>1771</v>
      </c>
    </row>
    <row r="669" spans="1:10">
      <c r="A669" s="16" t="s">
        <v>1676</v>
      </c>
      <c r="B669" s="26" t="s">
        <v>1177</v>
      </c>
      <c r="C669" s="16" t="s">
        <v>2775</v>
      </c>
      <c r="D669" s="17" t="s">
        <v>2753</v>
      </c>
      <c r="E669" s="14"/>
      <c r="F669" s="14"/>
      <c r="G669" s="14">
        <v>205674</v>
      </c>
      <c r="H669" s="18"/>
      <c r="I669" s="661"/>
      <c r="J669" s="13" t="s">
        <v>1771</v>
      </c>
    </row>
    <row r="670" spans="1:10">
      <c r="A670" s="16" t="s">
        <v>69</v>
      </c>
      <c r="B670" s="26" t="s">
        <v>1179</v>
      </c>
      <c r="C670" s="16" t="s">
        <v>2776</v>
      </c>
      <c r="D670" s="17" t="s">
        <v>2753</v>
      </c>
      <c r="E670" s="14"/>
      <c r="F670" s="14"/>
      <c r="G670" s="14">
        <v>188781</v>
      </c>
      <c r="H670" s="18"/>
      <c r="I670" s="661"/>
      <c r="J670" s="13" t="s">
        <v>1771</v>
      </c>
    </row>
    <row r="671" spans="1:10">
      <c r="A671" s="16" t="s">
        <v>1211</v>
      </c>
      <c r="B671" s="26" t="s">
        <v>1212</v>
      </c>
      <c r="C671" s="16" t="s">
        <v>2777</v>
      </c>
      <c r="D671" s="17" t="s">
        <v>2753</v>
      </c>
      <c r="E671" s="14"/>
      <c r="F671" s="14"/>
      <c r="G671" s="14">
        <v>201821</v>
      </c>
      <c r="H671" s="18"/>
      <c r="I671" s="661"/>
      <c r="J671" s="13" t="s">
        <v>1771</v>
      </c>
    </row>
    <row r="672" spans="1:10">
      <c r="A672" s="16" t="s">
        <v>1460</v>
      </c>
      <c r="B672" s="26" t="s">
        <v>906</v>
      </c>
      <c r="C672" s="16" t="s">
        <v>2778</v>
      </c>
      <c r="D672" s="17" t="s">
        <v>2753</v>
      </c>
      <c r="E672" s="14"/>
      <c r="F672" s="14"/>
      <c r="G672" s="14">
        <v>189078</v>
      </c>
      <c r="H672" s="18"/>
      <c r="I672" s="661"/>
      <c r="J672" s="13" t="s">
        <v>1771</v>
      </c>
    </row>
    <row r="673" spans="1:10">
      <c r="A673" s="16" t="s">
        <v>2096</v>
      </c>
      <c r="B673" s="26" t="s">
        <v>2097</v>
      </c>
      <c r="C673" s="16" t="s">
        <v>2779</v>
      </c>
      <c r="D673" s="17" t="s">
        <v>2753</v>
      </c>
      <c r="E673" s="14"/>
      <c r="F673" s="14"/>
      <c r="G673" s="14">
        <v>187003</v>
      </c>
      <c r="H673" s="18"/>
      <c r="I673" s="661"/>
      <c r="J673" s="13" t="s">
        <v>1771</v>
      </c>
    </row>
    <row r="674" spans="1:10">
      <c r="A674" s="16" t="s">
        <v>1174</v>
      </c>
      <c r="B674" s="26" t="s">
        <v>1175</v>
      </c>
      <c r="C674" s="16" t="s">
        <v>2780</v>
      </c>
      <c r="D674" s="17" t="s">
        <v>2753</v>
      </c>
      <c r="E674" s="14"/>
      <c r="F674" s="14"/>
      <c r="G674" s="14">
        <v>185225</v>
      </c>
      <c r="H674" s="18"/>
      <c r="I674" s="661"/>
      <c r="J674" s="13" t="s">
        <v>1771</v>
      </c>
    </row>
    <row r="675" spans="1:10">
      <c r="A675" s="16" t="s">
        <v>1599</v>
      </c>
      <c r="B675" s="26" t="s">
        <v>129</v>
      </c>
      <c r="C675" s="16" t="s">
        <v>2781</v>
      </c>
      <c r="D675" s="17" t="s">
        <v>2753</v>
      </c>
      <c r="E675" s="14"/>
      <c r="F675" s="14"/>
      <c r="G675" s="14">
        <v>262279</v>
      </c>
      <c r="H675" s="18"/>
      <c r="I675" s="661"/>
      <c r="J675" s="13" t="s">
        <v>1771</v>
      </c>
    </row>
    <row r="676" spans="1:10">
      <c r="A676" s="16" t="s">
        <v>130</v>
      </c>
      <c r="B676" s="26" t="s">
        <v>131</v>
      </c>
      <c r="C676" s="16" t="s">
        <v>2782</v>
      </c>
      <c r="D676" s="17" t="s">
        <v>2753</v>
      </c>
      <c r="E676" s="14"/>
      <c r="F676" s="14"/>
      <c r="G676" s="14">
        <v>246275</v>
      </c>
      <c r="H676" s="18"/>
      <c r="I676" s="661"/>
      <c r="J676" s="13" t="s">
        <v>1771</v>
      </c>
    </row>
    <row r="677" spans="1:10">
      <c r="A677" s="16" t="s">
        <v>1028</v>
      </c>
      <c r="B677" s="26" t="s">
        <v>563</v>
      </c>
      <c r="C677" s="16" t="s">
        <v>2783</v>
      </c>
      <c r="D677" s="17" t="s">
        <v>2753</v>
      </c>
      <c r="E677" s="14"/>
      <c r="F677" s="14"/>
      <c r="G677" s="14">
        <v>243015</v>
      </c>
      <c r="H677" s="18"/>
      <c r="I677" s="661"/>
      <c r="J677" s="13" t="s">
        <v>1771</v>
      </c>
    </row>
    <row r="678" spans="1:10">
      <c r="A678" s="16" t="s">
        <v>1409</v>
      </c>
      <c r="B678" s="26" t="s">
        <v>1102</v>
      </c>
      <c r="C678" s="16" t="s">
        <v>2784</v>
      </c>
      <c r="D678" s="17" t="s">
        <v>2753</v>
      </c>
      <c r="E678" s="14"/>
      <c r="F678" s="14"/>
      <c r="G678" s="14">
        <v>240644</v>
      </c>
      <c r="H678" s="18"/>
      <c r="I678" s="661"/>
      <c r="J678" s="13" t="s">
        <v>1771</v>
      </c>
    </row>
    <row r="679" spans="1:10">
      <c r="A679" s="16" t="s">
        <v>1103</v>
      </c>
      <c r="B679" s="26" t="s">
        <v>1104</v>
      </c>
      <c r="C679" s="16" t="s">
        <v>2785</v>
      </c>
      <c r="D679" s="17" t="s">
        <v>2753</v>
      </c>
      <c r="E679" s="14"/>
      <c r="F679" s="14"/>
      <c r="G679" s="14">
        <v>201821</v>
      </c>
      <c r="H679" s="18"/>
      <c r="I679" s="661"/>
      <c r="J679" s="13" t="s">
        <v>1771</v>
      </c>
    </row>
    <row r="680" spans="1:10">
      <c r="A680" s="16" t="s">
        <v>1105</v>
      </c>
      <c r="B680" s="26" t="s">
        <v>727</v>
      </c>
      <c r="C680" s="16" t="s">
        <v>2786</v>
      </c>
      <c r="D680" s="17" t="s">
        <v>2753</v>
      </c>
      <c r="E680" s="14"/>
      <c r="F680" s="14"/>
      <c r="G680" s="14">
        <v>189374</v>
      </c>
      <c r="H680" s="18"/>
      <c r="I680" s="661"/>
      <c r="J680" s="13" t="s">
        <v>1771</v>
      </c>
    </row>
    <row r="681" spans="1:10">
      <c r="A681" s="16" t="s">
        <v>1386</v>
      </c>
      <c r="B681" s="26" t="s">
        <v>421</v>
      </c>
      <c r="C681" s="16" t="s">
        <v>2787</v>
      </c>
      <c r="D681" s="17" t="s">
        <v>2753</v>
      </c>
      <c r="E681" s="14"/>
      <c r="F681" s="14"/>
      <c r="G681" s="14">
        <v>187003</v>
      </c>
      <c r="H681" s="18"/>
      <c r="I681" s="661"/>
      <c r="J681" s="13" t="s">
        <v>1771</v>
      </c>
    </row>
    <row r="682" spans="1:10">
      <c r="A682" s="16" t="s">
        <v>422</v>
      </c>
      <c r="B682" s="26" t="s">
        <v>423</v>
      </c>
      <c r="C682" s="16" t="s">
        <v>2788</v>
      </c>
      <c r="D682" s="17" t="s">
        <v>2753</v>
      </c>
      <c r="E682" s="14"/>
      <c r="F682" s="14"/>
      <c r="G682" s="14">
        <v>185225</v>
      </c>
      <c r="H682" s="18"/>
      <c r="I682" s="661"/>
      <c r="J682" s="13" t="s">
        <v>1771</v>
      </c>
    </row>
    <row r="683" spans="1:10">
      <c r="A683" s="16" t="s">
        <v>277</v>
      </c>
      <c r="B683" s="26" t="s">
        <v>173</v>
      </c>
      <c r="C683" s="666" t="s">
        <v>2789</v>
      </c>
      <c r="D683" s="17" t="s">
        <v>2753</v>
      </c>
      <c r="E683" s="14"/>
      <c r="F683" s="14"/>
      <c r="G683" s="14">
        <v>183447</v>
      </c>
      <c r="H683" s="18"/>
      <c r="I683" s="661"/>
      <c r="J683" s="13" t="s">
        <v>1771</v>
      </c>
    </row>
    <row r="684" spans="1:10">
      <c r="A684" s="16" t="s">
        <v>227</v>
      </c>
      <c r="B684" s="26" t="s">
        <v>228</v>
      </c>
      <c r="C684" s="666" t="s">
        <v>2790</v>
      </c>
      <c r="D684" s="17" t="s">
        <v>2753</v>
      </c>
      <c r="E684" s="14"/>
      <c r="F684" s="14"/>
      <c r="G684" s="14">
        <v>170407</v>
      </c>
      <c r="H684" s="18"/>
      <c r="I684" s="661"/>
      <c r="J684" s="13" t="s">
        <v>1771</v>
      </c>
    </row>
    <row r="685" spans="1:10">
      <c r="A685" s="16" t="s">
        <v>229</v>
      </c>
      <c r="B685" s="26" t="s">
        <v>230</v>
      </c>
      <c r="C685" s="666" t="s">
        <v>2791</v>
      </c>
      <c r="D685" s="17" t="s">
        <v>2753</v>
      </c>
      <c r="E685" s="14"/>
      <c r="F685" s="14"/>
      <c r="G685" s="14">
        <v>168332</v>
      </c>
      <c r="H685" s="18"/>
      <c r="I685" s="661"/>
      <c r="J685" s="13" t="s">
        <v>1771</v>
      </c>
    </row>
    <row r="686" spans="1:10">
      <c r="A686" s="16" t="s">
        <v>1762</v>
      </c>
      <c r="B686" s="26" t="s">
        <v>1454</v>
      </c>
      <c r="C686" s="666" t="s">
        <v>2792</v>
      </c>
      <c r="D686" s="17" t="s">
        <v>2753</v>
      </c>
      <c r="E686" s="14"/>
      <c r="F686" s="14"/>
      <c r="G686" s="14">
        <v>166851</v>
      </c>
      <c r="H686" s="18"/>
      <c r="I686" s="661"/>
      <c r="J686" s="13" t="s">
        <v>1771</v>
      </c>
    </row>
    <row r="687" spans="1:10">
      <c r="A687" s="16" t="s">
        <v>788</v>
      </c>
      <c r="B687" s="26" t="s">
        <v>789</v>
      </c>
      <c r="C687" s="666" t="s">
        <v>2793</v>
      </c>
      <c r="D687" s="17" t="s">
        <v>2292</v>
      </c>
      <c r="E687" s="14"/>
      <c r="F687" s="14"/>
      <c r="G687" s="14">
        <v>362</v>
      </c>
      <c r="H687" s="18"/>
      <c r="I687" s="661"/>
      <c r="J687" s="13" t="s">
        <v>1771</v>
      </c>
    </row>
    <row r="688" spans="1:10">
      <c r="A688" s="16" t="s">
        <v>1519</v>
      </c>
      <c r="B688" s="26" t="s">
        <v>2008</v>
      </c>
      <c r="C688" s="666" t="s">
        <v>2794</v>
      </c>
      <c r="D688" s="17" t="s">
        <v>2292</v>
      </c>
      <c r="E688" s="14"/>
      <c r="F688" s="14"/>
      <c r="G688" s="14">
        <v>341</v>
      </c>
      <c r="H688" s="18"/>
      <c r="I688" s="661"/>
      <c r="J688" s="13" t="s">
        <v>1771</v>
      </c>
    </row>
    <row r="689" spans="1:12">
      <c r="A689" s="16" t="s">
        <v>730</v>
      </c>
      <c r="B689" s="26" t="s">
        <v>731</v>
      </c>
      <c r="C689" s="666" t="s">
        <v>2795</v>
      </c>
      <c r="D689" s="17" t="s">
        <v>2292</v>
      </c>
      <c r="E689" s="14"/>
      <c r="F689" s="14"/>
      <c r="G689" s="14">
        <v>338</v>
      </c>
      <c r="H689" s="18"/>
      <c r="I689" s="661"/>
      <c r="J689" s="13" t="s">
        <v>1771</v>
      </c>
    </row>
    <row r="690" spans="1:12">
      <c r="A690" s="16" t="s">
        <v>157</v>
      </c>
      <c r="B690" s="26" t="s">
        <v>1544</v>
      </c>
      <c r="C690" s="666" t="s">
        <v>2796</v>
      </c>
      <c r="D690" s="17" t="s">
        <v>2292</v>
      </c>
      <c r="E690" s="14"/>
      <c r="F690" s="14"/>
      <c r="G690" s="14">
        <v>335</v>
      </c>
      <c r="H690" s="18"/>
      <c r="I690" s="661"/>
      <c r="J690" s="13" t="s">
        <v>1771</v>
      </c>
    </row>
    <row r="691" spans="1:12">
      <c r="A691" s="16" t="s">
        <v>1545</v>
      </c>
      <c r="B691" s="26" t="s">
        <v>1546</v>
      </c>
      <c r="C691" s="666" t="s">
        <v>2797</v>
      </c>
      <c r="D691" s="17" t="s">
        <v>2292</v>
      </c>
      <c r="E691" s="14"/>
      <c r="F691" s="14"/>
      <c r="G691" s="14">
        <v>2661</v>
      </c>
      <c r="H691" s="18"/>
      <c r="I691" s="661"/>
      <c r="J691" s="13" t="s">
        <v>1771</v>
      </c>
    </row>
    <row r="692" spans="1:12">
      <c r="A692" s="16" t="s">
        <v>1547</v>
      </c>
      <c r="B692" s="26" t="s">
        <v>1548</v>
      </c>
      <c r="C692" s="666" t="s">
        <v>2798</v>
      </c>
      <c r="D692" s="17" t="s">
        <v>2292</v>
      </c>
      <c r="E692" s="14"/>
      <c r="F692" s="14"/>
      <c r="G692" s="14">
        <v>2504</v>
      </c>
      <c r="H692" s="18"/>
      <c r="I692" s="661"/>
      <c r="J692" s="13" t="s">
        <v>1771</v>
      </c>
    </row>
    <row r="693" spans="1:12">
      <c r="A693" s="16" t="s">
        <v>1720</v>
      </c>
      <c r="B693" s="26" t="s">
        <v>320</v>
      </c>
      <c r="C693" s="666" t="s">
        <v>2799</v>
      </c>
      <c r="D693" s="17" t="s">
        <v>2292</v>
      </c>
      <c r="E693" s="14"/>
      <c r="F693" s="14"/>
      <c r="G693" s="14">
        <v>2472</v>
      </c>
      <c r="H693" s="18"/>
      <c r="I693" s="661"/>
      <c r="J693" s="13" t="s">
        <v>1771</v>
      </c>
    </row>
    <row r="694" spans="1:12">
      <c r="A694" s="16" t="s">
        <v>1639</v>
      </c>
      <c r="B694" s="26" t="s">
        <v>1640</v>
      </c>
      <c r="C694" s="666" t="s">
        <v>2800</v>
      </c>
      <c r="D694" s="17" t="s">
        <v>2292</v>
      </c>
      <c r="E694" s="14"/>
      <c r="F694" s="14"/>
      <c r="G694" s="14">
        <v>2445</v>
      </c>
      <c r="H694" s="18"/>
      <c r="I694" s="661"/>
      <c r="J694" s="13" t="s">
        <v>1771</v>
      </c>
    </row>
    <row r="695" spans="1:12">
      <c r="A695" s="16" t="s">
        <v>553</v>
      </c>
      <c r="B695" s="26" t="s">
        <v>554</v>
      </c>
      <c r="C695" s="16" t="s">
        <v>2801</v>
      </c>
      <c r="D695" s="17" t="s">
        <v>2753</v>
      </c>
      <c r="E695" s="14"/>
      <c r="F695" s="14"/>
      <c r="G695" s="14">
        <v>144624</v>
      </c>
      <c r="H695" s="18"/>
      <c r="I695" s="661"/>
      <c r="J695" s="13" t="s">
        <v>1771</v>
      </c>
    </row>
    <row r="696" spans="1:12">
      <c r="A696" s="16" t="s">
        <v>765</v>
      </c>
      <c r="B696" s="26" t="s">
        <v>766</v>
      </c>
      <c r="C696" s="16" t="s">
        <v>2802</v>
      </c>
      <c r="D696" s="17" t="s">
        <v>2753</v>
      </c>
      <c r="E696" s="14"/>
      <c r="F696" s="14"/>
      <c r="G696" s="14">
        <v>136029</v>
      </c>
      <c r="H696" s="18"/>
      <c r="I696" s="661"/>
      <c r="J696" s="13" t="s">
        <v>1771</v>
      </c>
    </row>
    <row r="697" spans="1:12">
      <c r="A697" s="16" t="s">
        <v>767</v>
      </c>
      <c r="B697" s="26" t="s">
        <v>768</v>
      </c>
      <c r="C697" s="16" t="s">
        <v>2803</v>
      </c>
      <c r="D697" s="17" t="s">
        <v>2753</v>
      </c>
      <c r="E697" s="14"/>
      <c r="F697" s="14"/>
      <c r="G697" s="14">
        <v>134844</v>
      </c>
      <c r="H697" s="18"/>
      <c r="I697" s="661"/>
      <c r="J697" s="13" t="s">
        <v>1771</v>
      </c>
    </row>
    <row r="698" spans="1:12">
      <c r="A698" s="16" t="s">
        <v>1029</v>
      </c>
      <c r="B698" s="26" t="s">
        <v>917</v>
      </c>
      <c r="C698" s="16" t="s">
        <v>2804</v>
      </c>
      <c r="D698" s="17" t="s">
        <v>2753</v>
      </c>
      <c r="E698" s="14"/>
      <c r="F698" s="14"/>
      <c r="G698" s="14">
        <v>133955</v>
      </c>
      <c r="H698" s="18"/>
      <c r="I698" s="661"/>
      <c r="J698" s="13" t="s">
        <v>1771</v>
      </c>
    </row>
    <row r="699" spans="1:12">
      <c r="A699" s="16" t="s">
        <v>818</v>
      </c>
      <c r="B699" s="26" t="s">
        <v>1945</v>
      </c>
      <c r="C699" s="16" t="s">
        <v>2805</v>
      </c>
      <c r="D699" s="17" t="s">
        <v>805</v>
      </c>
      <c r="E699" s="14"/>
      <c r="F699" s="14"/>
      <c r="G699" s="14">
        <v>142253</v>
      </c>
      <c r="H699" s="18"/>
      <c r="I699" s="661"/>
      <c r="J699" s="13" t="s">
        <v>1771</v>
      </c>
    </row>
    <row r="700" spans="1:12">
      <c r="A700" s="16" t="s">
        <v>570</v>
      </c>
      <c r="B700" s="26" t="s">
        <v>571</v>
      </c>
      <c r="C700" s="16" t="s">
        <v>2806</v>
      </c>
      <c r="D700" s="17" t="s">
        <v>805</v>
      </c>
      <c r="E700" s="14"/>
      <c r="F700" s="14"/>
      <c r="G700" s="14">
        <v>136326</v>
      </c>
      <c r="H700" s="18"/>
      <c r="I700" s="661"/>
      <c r="J700" s="13" t="s">
        <v>1771</v>
      </c>
    </row>
    <row r="701" spans="1:12">
      <c r="A701" s="16" t="s">
        <v>572</v>
      </c>
      <c r="B701" s="26" t="s">
        <v>573</v>
      </c>
      <c r="C701" s="16" t="s">
        <v>2807</v>
      </c>
      <c r="D701" s="17" t="s">
        <v>805</v>
      </c>
      <c r="E701" s="14"/>
      <c r="F701" s="14"/>
      <c r="G701" s="14">
        <v>135140</v>
      </c>
      <c r="H701" s="18"/>
      <c r="I701" s="661"/>
      <c r="J701" s="13" t="s">
        <v>1771</v>
      </c>
    </row>
    <row r="702" spans="1:12">
      <c r="A702" s="16" t="s">
        <v>574</v>
      </c>
      <c r="B702" s="26" t="s">
        <v>575</v>
      </c>
      <c r="C702" s="16" t="s">
        <v>2808</v>
      </c>
      <c r="D702" s="17" t="s">
        <v>805</v>
      </c>
      <c r="E702" s="14"/>
      <c r="F702" s="14"/>
      <c r="G702" s="14">
        <v>134251</v>
      </c>
      <c r="H702" s="18"/>
      <c r="I702" s="661"/>
      <c r="J702" s="13" t="s">
        <v>1771</v>
      </c>
    </row>
    <row r="703" spans="1:12">
      <c r="A703" s="16" t="s">
        <v>1790</v>
      </c>
      <c r="B703" s="26" t="s">
        <v>1791</v>
      </c>
      <c r="C703" s="16" t="s">
        <v>2809</v>
      </c>
      <c r="D703" s="17" t="s">
        <v>805</v>
      </c>
      <c r="E703" s="14"/>
      <c r="F703" s="14"/>
      <c r="G703" s="14">
        <v>122989</v>
      </c>
      <c r="H703" s="18"/>
      <c r="I703" s="661"/>
      <c r="J703" s="13" t="s">
        <v>1771</v>
      </c>
    </row>
    <row r="704" spans="1:12">
      <c r="A704" s="16" t="s">
        <v>278</v>
      </c>
      <c r="B704" s="26" t="s">
        <v>279</v>
      </c>
      <c r="C704" s="16" t="s">
        <v>2810</v>
      </c>
      <c r="D704" s="17" t="s">
        <v>805</v>
      </c>
      <c r="E704" s="14"/>
      <c r="F704" s="14"/>
      <c r="G704" s="14">
        <v>126842</v>
      </c>
      <c r="H704" s="18"/>
      <c r="I704" s="661"/>
      <c r="J704" s="13" t="s">
        <v>1771</v>
      </c>
      <c r="L704" s="1071">
        <v>42599</v>
      </c>
    </row>
    <row r="705" spans="1:12">
      <c r="A705" s="16" t="s">
        <v>280</v>
      </c>
      <c r="B705" s="26" t="s">
        <v>281</v>
      </c>
      <c r="C705" s="16" t="s">
        <v>2811</v>
      </c>
      <c r="D705" s="17" t="s">
        <v>805</v>
      </c>
      <c r="E705" s="14"/>
      <c r="F705" s="14"/>
      <c r="G705" s="14">
        <v>137807</v>
      </c>
      <c r="H705" s="18"/>
      <c r="I705" s="661"/>
      <c r="J705" s="13" t="s">
        <v>1771</v>
      </c>
      <c r="L705" s="1">
        <v>45</v>
      </c>
    </row>
    <row r="706" spans="1:12">
      <c r="A706" s="16" t="s">
        <v>1641</v>
      </c>
      <c r="B706" s="26" t="s">
        <v>1343</v>
      </c>
      <c r="C706" s="16" t="s">
        <v>2812</v>
      </c>
      <c r="D706" s="17" t="s">
        <v>805</v>
      </c>
      <c r="E706" s="14"/>
      <c r="F706" s="14"/>
      <c r="G706" s="14">
        <v>149069</v>
      </c>
      <c r="H706" s="18"/>
      <c r="I706" s="661"/>
      <c r="J706" s="13" t="s">
        <v>1771</v>
      </c>
      <c r="L706" s="1071">
        <f>+L705+L704</f>
        <v>42644</v>
      </c>
    </row>
    <row r="707" spans="1:12">
      <c r="A707" s="16" t="s">
        <v>1344</v>
      </c>
      <c r="B707" s="26" t="s">
        <v>1345</v>
      </c>
      <c r="C707" s="16" t="s">
        <v>2813</v>
      </c>
      <c r="D707" s="17" t="s">
        <v>805</v>
      </c>
      <c r="E707" s="14"/>
      <c r="F707" s="14"/>
      <c r="G707" s="14">
        <v>130398</v>
      </c>
      <c r="H707" s="18"/>
      <c r="I707" s="661"/>
      <c r="J707" s="13" t="s">
        <v>1771</v>
      </c>
    </row>
    <row r="708" spans="1:12">
      <c r="A708" s="16" t="s">
        <v>1792</v>
      </c>
      <c r="B708" s="26" t="s">
        <v>1793</v>
      </c>
      <c r="C708" s="16" t="s">
        <v>2814</v>
      </c>
      <c r="D708" s="17" t="s">
        <v>805</v>
      </c>
      <c r="E708" s="14"/>
      <c r="F708" s="14"/>
      <c r="G708" s="14">
        <v>124768</v>
      </c>
      <c r="H708" s="18"/>
      <c r="I708" s="661"/>
      <c r="J708" s="13" t="s">
        <v>1771</v>
      </c>
    </row>
    <row r="709" spans="1:12">
      <c r="A709" s="16" t="s">
        <v>1593</v>
      </c>
      <c r="B709" s="26" t="s">
        <v>1594</v>
      </c>
      <c r="C709" s="16" t="s">
        <v>2815</v>
      </c>
      <c r="D709" s="17" t="s">
        <v>805</v>
      </c>
      <c r="E709" s="14"/>
      <c r="F709" s="14"/>
      <c r="G709" s="14">
        <v>123582</v>
      </c>
      <c r="H709" s="18"/>
      <c r="I709" s="661"/>
      <c r="J709" s="13" t="s">
        <v>1771</v>
      </c>
    </row>
    <row r="710" spans="1:12">
      <c r="A710" s="16" t="s">
        <v>455</v>
      </c>
      <c r="B710" s="26" t="s">
        <v>456</v>
      </c>
      <c r="C710" s="16" t="s">
        <v>2816</v>
      </c>
      <c r="D710" s="17" t="s">
        <v>805</v>
      </c>
      <c r="E710" s="14"/>
      <c r="F710" s="14"/>
      <c r="G710" s="14">
        <v>122989</v>
      </c>
      <c r="H710" s="18"/>
      <c r="I710" s="661"/>
      <c r="J710" s="13" t="s">
        <v>1771</v>
      </c>
    </row>
    <row r="711" spans="1:12">
      <c r="A711" s="16" t="s">
        <v>1263</v>
      </c>
      <c r="B711" s="26" t="s">
        <v>916</v>
      </c>
      <c r="C711" s="16" t="s">
        <v>2817</v>
      </c>
      <c r="D711" s="17" t="s">
        <v>805</v>
      </c>
      <c r="E711" s="14"/>
      <c r="F711" s="14"/>
      <c r="G711" s="14">
        <v>135437</v>
      </c>
      <c r="H711" s="18"/>
      <c r="I711" s="661"/>
      <c r="J711" s="13" t="s">
        <v>1771</v>
      </c>
    </row>
    <row r="712" spans="1:12">
      <c r="A712" s="16" t="s">
        <v>1986</v>
      </c>
      <c r="B712" s="26" t="s">
        <v>1987</v>
      </c>
      <c r="C712" s="16" t="s">
        <v>2818</v>
      </c>
      <c r="D712" s="17" t="s">
        <v>805</v>
      </c>
      <c r="E712" s="14"/>
      <c r="F712" s="14"/>
      <c r="G712" s="14">
        <v>129509</v>
      </c>
      <c r="H712" s="18"/>
      <c r="I712" s="661"/>
      <c r="J712" s="13" t="s">
        <v>1771</v>
      </c>
    </row>
    <row r="713" spans="1:12">
      <c r="A713" s="16" t="s">
        <v>375</v>
      </c>
      <c r="B713" s="26" t="s">
        <v>376</v>
      </c>
      <c r="C713" s="16" t="s">
        <v>2819</v>
      </c>
      <c r="D713" s="17" t="s">
        <v>805</v>
      </c>
      <c r="E713" s="14"/>
      <c r="F713" s="14"/>
      <c r="G713" s="14">
        <v>128324</v>
      </c>
      <c r="H713" s="18"/>
      <c r="I713" s="661"/>
      <c r="J713" s="13" t="s">
        <v>1771</v>
      </c>
    </row>
    <row r="714" spans="1:12">
      <c r="A714" s="16" t="s">
        <v>377</v>
      </c>
      <c r="B714" s="26" t="s">
        <v>1843</v>
      </c>
      <c r="C714" s="16" t="s">
        <v>2820</v>
      </c>
      <c r="D714" s="17" t="s">
        <v>805</v>
      </c>
      <c r="E714" s="14"/>
      <c r="F714" s="14"/>
      <c r="G714" s="14">
        <v>126842</v>
      </c>
      <c r="H714" s="18"/>
      <c r="I714" s="661"/>
      <c r="J714" s="13" t="s">
        <v>1771</v>
      </c>
    </row>
    <row r="715" spans="1:12">
      <c r="A715" s="16" t="s">
        <v>1844</v>
      </c>
      <c r="B715" s="26" t="s">
        <v>1845</v>
      </c>
      <c r="C715" s="16" t="s">
        <v>2821</v>
      </c>
      <c r="D715" s="17" t="s">
        <v>2753</v>
      </c>
      <c r="E715" s="14"/>
      <c r="F715" s="14"/>
      <c r="G715" s="14">
        <v>221974</v>
      </c>
      <c r="H715" s="18"/>
      <c r="I715" s="661"/>
      <c r="J715" s="13" t="s">
        <v>1771</v>
      </c>
    </row>
    <row r="716" spans="1:12">
      <c r="A716" s="16" t="s">
        <v>1170</v>
      </c>
      <c r="B716" s="26" t="s">
        <v>1171</v>
      </c>
      <c r="C716" s="16" t="s">
        <v>2822</v>
      </c>
      <c r="D716" s="17" t="s">
        <v>2753</v>
      </c>
      <c r="E716" s="14"/>
      <c r="F716" s="14"/>
      <c r="G716" s="14">
        <v>208341</v>
      </c>
      <c r="H716" s="18"/>
      <c r="I716" s="661"/>
      <c r="J716" s="13" t="s">
        <v>1771</v>
      </c>
    </row>
    <row r="717" spans="1:12">
      <c r="A717" s="16" t="s">
        <v>1176</v>
      </c>
      <c r="B717" s="26" t="s">
        <v>1177</v>
      </c>
      <c r="C717" s="16" t="s">
        <v>2823</v>
      </c>
      <c r="D717" s="17" t="s">
        <v>2753</v>
      </c>
      <c r="E717" s="14"/>
      <c r="F717" s="14"/>
      <c r="G717" s="14">
        <v>205674</v>
      </c>
      <c r="H717" s="18"/>
      <c r="I717" s="661"/>
      <c r="J717" s="13" t="s">
        <v>1771</v>
      </c>
    </row>
    <row r="718" spans="1:12">
      <c r="A718" s="16" t="s">
        <v>1178</v>
      </c>
      <c r="B718" s="26" t="s">
        <v>1179</v>
      </c>
      <c r="C718" s="16" t="s">
        <v>2824</v>
      </c>
      <c r="D718" s="17" t="s">
        <v>2753</v>
      </c>
      <c r="E718" s="14"/>
      <c r="F718" s="14"/>
      <c r="G718" s="14">
        <v>188781</v>
      </c>
      <c r="H718" s="18"/>
      <c r="I718" s="661"/>
      <c r="J718" s="13" t="s">
        <v>1771</v>
      </c>
    </row>
    <row r="719" spans="1:12">
      <c r="A719" s="16" t="s">
        <v>202</v>
      </c>
      <c r="B719" s="26" t="s">
        <v>1977</v>
      </c>
      <c r="C719" s="16" t="s">
        <v>2825</v>
      </c>
      <c r="D719" s="17" t="s">
        <v>2753</v>
      </c>
      <c r="E719" s="14"/>
      <c r="F719" s="14"/>
      <c r="G719" s="14">
        <v>35112</v>
      </c>
      <c r="H719" s="18"/>
      <c r="I719" s="661"/>
      <c r="J719" s="13" t="s">
        <v>956</v>
      </c>
    </row>
    <row r="720" spans="1:12">
      <c r="A720" s="16" t="s">
        <v>1820</v>
      </c>
      <c r="B720" s="26" t="s">
        <v>1821</v>
      </c>
      <c r="C720" s="16" t="s">
        <v>2826</v>
      </c>
      <c r="D720" s="17" t="s">
        <v>2753</v>
      </c>
      <c r="E720" s="14"/>
      <c r="F720" s="14"/>
      <c r="G720" s="14">
        <v>35112</v>
      </c>
      <c r="H720" s="18"/>
      <c r="I720" s="661"/>
      <c r="J720" s="13" t="s">
        <v>956</v>
      </c>
    </row>
    <row r="721" spans="1:10">
      <c r="A721" s="16" t="s">
        <v>34</v>
      </c>
      <c r="B721" s="26" t="s">
        <v>1945</v>
      </c>
      <c r="C721" s="16" t="s">
        <v>2827</v>
      </c>
      <c r="D721" s="17" t="s">
        <v>2753</v>
      </c>
      <c r="E721" s="14"/>
      <c r="F721" s="14"/>
      <c r="G721" s="14">
        <v>42820</v>
      </c>
      <c r="H721" s="18"/>
      <c r="I721" s="661"/>
      <c r="J721" s="13" t="s">
        <v>956</v>
      </c>
    </row>
    <row r="722" spans="1:10">
      <c r="A722" s="16" t="s">
        <v>600</v>
      </c>
      <c r="B722" s="26" t="s">
        <v>1878</v>
      </c>
      <c r="C722" s="16" t="s">
        <v>2828</v>
      </c>
      <c r="D722" s="17" t="s">
        <v>2753</v>
      </c>
      <c r="E722" s="14"/>
      <c r="F722" s="14"/>
      <c r="G722" s="14">
        <v>32543</v>
      </c>
      <c r="H722" s="18"/>
      <c r="I722" s="661"/>
      <c r="J722" s="13" t="s">
        <v>956</v>
      </c>
    </row>
    <row r="723" spans="1:10">
      <c r="A723" s="16" t="s">
        <v>35</v>
      </c>
      <c r="B723" s="26" t="s">
        <v>1879</v>
      </c>
      <c r="C723" s="16" t="s">
        <v>2829</v>
      </c>
      <c r="D723" s="17" t="s">
        <v>2753</v>
      </c>
      <c r="E723" s="14"/>
      <c r="F723" s="14"/>
      <c r="G723" s="14">
        <v>41107</v>
      </c>
      <c r="H723" s="18"/>
      <c r="I723" s="661"/>
      <c r="J723" s="13" t="s">
        <v>956</v>
      </c>
    </row>
    <row r="724" spans="1:10">
      <c r="A724" s="16" t="s">
        <v>1529</v>
      </c>
      <c r="B724" s="26" t="s">
        <v>1877</v>
      </c>
      <c r="C724" s="16" t="s">
        <v>2830</v>
      </c>
      <c r="D724" s="17" t="s">
        <v>2753</v>
      </c>
      <c r="E724" s="14"/>
      <c r="F724" s="14"/>
      <c r="G724" s="14">
        <v>35969</v>
      </c>
      <c r="H724" s="18"/>
      <c r="I724" s="661"/>
      <c r="J724" s="13" t="s">
        <v>956</v>
      </c>
    </row>
    <row r="725" spans="1:10">
      <c r="A725" s="16" t="s">
        <v>901</v>
      </c>
      <c r="B725" s="677">
        <v>21211</v>
      </c>
      <c r="C725" s="16" t="s">
        <v>2831</v>
      </c>
      <c r="D725" s="17" t="s">
        <v>2753</v>
      </c>
      <c r="E725" s="14"/>
      <c r="F725" s="14"/>
      <c r="G725" s="14">
        <v>71081</v>
      </c>
      <c r="H725" s="18"/>
      <c r="I725" s="661"/>
      <c r="J725" s="13" t="s">
        <v>956</v>
      </c>
    </row>
    <row r="726" spans="1:10">
      <c r="A726" s="16" t="s">
        <v>902</v>
      </c>
      <c r="B726" s="677">
        <v>21141</v>
      </c>
      <c r="C726" s="16" t="s">
        <v>2832</v>
      </c>
      <c r="D726" s="17" t="s">
        <v>2753</v>
      </c>
      <c r="E726" s="14"/>
      <c r="F726" s="14"/>
      <c r="G726" s="14">
        <v>35112</v>
      </c>
      <c r="H726" s="18"/>
      <c r="I726" s="661"/>
      <c r="J726" s="13" t="s">
        <v>956</v>
      </c>
    </row>
    <row r="727" spans="1:10">
      <c r="A727" s="16" t="s">
        <v>1026</v>
      </c>
      <c r="B727" s="677">
        <v>21011</v>
      </c>
      <c r="C727" s="16" t="s">
        <v>2833</v>
      </c>
      <c r="D727" s="17" t="s">
        <v>2753</v>
      </c>
      <c r="E727" s="14"/>
      <c r="F727" s="14"/>
      <c r="G727" s="14">
        <v>17128</v>
      </c>
      <c r="H727" s="18"/>
      <c r="I727" s="661"/>
      <c r="J727" s="13" t="s">
        <v>956</v>
      </c>
    </row>
    <row r="728" spans="1:10">
      <c r="A728" s="16" t="s">
        <v>1571</v>
      </c>
      <c r="B728" s="677">
        <v>21031</v>
      </c>
      <c r="C728" s="16" t="s">
        <v>2834</v>
      </c>
      <c r="D728" s="17" t="s">
        <v>805</v>
      </c>
      <c r="E728" s="14"/>
      <c r="F728" s="14"/>
      <c r="G728" s="14">
        <v>12846</v>
      </c>
      <c r="H728" s="18"/>
      <c r="I728" s="661"/>
      <c r="J728" s="13" t="s">
        <v>956</v>
      </c>
    </row>
    <row r="729" spans="1:10">
      <c r="A729" s="16" t="s">
        <v>1572</v>
      </c>
      <c r="B729" s="677">
        <v>21104</v>
      </c>
      <c r="C729" s="16" t="s">
        <v>2835</v>
      </c>
      <c r="D729" s="17" t="s">
        <v>805</v>
      </c>
      <c r="E729" s="14"/>
      <c r="F729" s="14"/>
      <c r="G729" s="14">
        <v>17984</v>
      </c>
      <c r="H729" s="18"/>
      <c r="I729" s="661"/>
      <c r="J729" s="13" t="s">
        <v>956</v>
      </c>
    </row>
    <row r="730" spans="1:10">
      <c r="A730" s="16" t="s">
        <v>1803</v>
      </c>
      <c r="B730" s="677">
        <v>21110</v>
      </c>
      <c r="C730" s="16" t="s">
        <v>2836</v>
      </c>
      <c r="D730" s="17" t="s">
        <v>805</v>
      </c>
      <c r="E730" s="14"/>
      <c r="F730" s="14"/>
      <c r="G730" s="14">
        <v>35112</v>
      </c>
      <c r="H730" s="18"/>
      <c r="I730" s="661"/>
      <c r="J730" s="13" t="s">
        <v>956</v>
      </c>
    </row>
    <row r="731" spans="1:10">
      <c r="A731" s="16" t="s">
        <v>203</v>
      </c>
      <c r="B731" s="26" t="s">
        <v>2093</v>
      </c>
      <c r="C731" s="16" t="s">
        <v>2837</v>
      </c>
      <c r="D731" s="17" t="s">
        <v>2292</v>
      </c>
      <c r="E731" s="14"/>
      <c r="F731" s="14"/>
      <c r="G731" s="14">
        <v>18374</v>
      </c>
      <c r="H731" s="18"/>
      <c r="I731" s="661"/>
      <c r="J731" s="13" t="s">
        <v>956</v>
      </c>
    </row>
    <row r="732" spans="1:10" s="1713" customFormat="1">
      <c r="A732" s="1707" t="s">
        <v>1859</v>
      </c>
      <c r="B732" s="1716" t="s">
        <v>5570</v>
      </c>
      <c r="C732" s="1717" t="s">
        <v>2838</v>
      </c>
      <c r="D732" s="1718" t="s">
        <v>1557</v>
      </c>
      <c r="E732" s="1719"/>
      <c r="F732" s="1719"/>
      <c r="G732" s="1711">
        <f>1/100*VLOOKUP("N2.35",DGNC,5)</f>
        <v>2578.65</v>
      </c>
      <c r="H732" s="1720"/>
      <c r="I732" s="1999"/>
      <c r="J732" s="1715" t="s">
        <v>2449</v>
      </c>
    </row>
    <row r="733" spans="1:10" s="1713" customFormat="1">
      <c r="A733" s="1707" t="s">
        <v>981</v>
      </c>
      <c r="B733" s="1716" t="s">
        <v>5048</v>
      </c>
      <c r="C733" s="1714" t="s">
        <v>5571</v>
      </c>
      <c r="D733" s="1709" t="s">
        <v>2307</v>
      </c>
      <c r="E733" s="1710"/>
      <c r="F733" s="1710"/>
      <c r="G733" s="1711">
        <f>0.029*VLOOKUP("N2.40",DGNC,5)</f>
        <v>8070.7000000000007</v>
      </c>
      <c r="H733" s="1720">
        <v>2044.9974999999999</v>
      </c>
      <c r="I733" s="1999"/>
      <c r="J733" s="1715" t="s">
        <v>2449</v>
      </c>
    </row>
    <row r="734" spans="1:10" s="1713" customFormat="1">
      <c r="A734" s="1707" t="s">
        <v>2139</v>
      </c>
      <c r="B734" s="1716" t="s">
        <v>5572</v>
      </c>
      <c r="C734" s="1714" t="s">
        <v>5573</v>
      </c>
      <c r="D734" s="1709" t="s">
        <v>2451</v>
      </c>
      <c r="E734" s="1710"/>
      <c r="F734" s="1710"/>
      <c r="G734" s="1711">
        <v>24926</v>
      </c>
      <c r="H734" s="1720"/>
      <c r="I734" s="1999"/>
      <c r="J734" s="1715" t="s">
        <v>610</v>
      </c>
    </row>
    <row r="735" spans="1:10" s="1713" customFormat="1">
      <c r="A735" s="1707" t="s">
        <v>102</v>
      </c>
      <c r="B735" s="1716" t="s">
        <v>5049</v>
      </c>
      <c r="C735" s="1714" t="s">
        <v>5574</v>
      </c>
      <c r="D735" s="1709" t="s">
        <v>2451</v>
      </c>
      <c r="E735" s="1710"/>
      <c r="F735" s="1710"/>
      <c r="G735" s="1711">
        <f>4.38/10*0.8*VLOOKUP("N2.35",DGNC,5)</f>
        <v>90355.896000000008</v>
      </c>
      <c r="H735" s="1720">
        <v>1573.075</v>
      </c>
      <c r="I735" s="1999"/>
      <c r="J735" s="1715" t="s">
        <v>610</v>
      </c>
    </row>
    <row r="736" spans="1:10" s="1713" customFormat="1">
      <c r="A736" s="1707" t="s">
        <v>103</v>
      </c>
      <c r="B736" s="1716" t="s">
        <v>2044</v>
      </c>
      <c r="C736" s="1714" t="s">
        <v>2839</v>
      </c>
      <c r="D736" s="1709" t="s">
        <v>2451</v>
      </c>
      <c r="E736" s="1710"/>
      <c r="F736" s="1710"/>
      <c r="G736" s="1711">
        <v>69547.5</v>
      </c>
      <c r="H736" s="1720"/>
      <c r="I736" s="1999"/>
      <c r="J736" s="1715" t="s">
        <v>610</v>
      </c>
    </row>
    <row r="737" spans="1:10" s="1713" customFormat="1">
      <c r="A737" s="1707" t="s">
        <v>984</v>
      </c>
      <c r="B737" s="1716" t="s">
        <v>5049</v>
      </c>
      <c r="C737" s="1714" t="s">
        <v>5574</v>
      </c>
      <c r="D737" s="1709" t="s">
        <v>2451</v>
      </c>
      <c r="E737" s="1710"/>
      <c r="F737" s="1710"/>
      <c r="G737" s="1711">
        <f>4.38/10*0.8*VLOOKUP("N2.35",DGNC,5)</f>
        <v>90355.896000000008</v>
      </c>
      <c r="H737" s="1720">
        <v>1573.075</v>
      </c>
      <c r="I737" s="1999"/>
      <c r="J737" s="1715" t="s">
        <v>610</v>
      </c>
    </row>
    <row r="738" spans="1:10">
      <c r="A738" s="16" t="s">
        <v>2200</v>
      </c>
      <c r="B738" s="26" t="s">
        <v>2199</v>
      </c>
      <c r="C738" s="16" t="s">
        <v>2840</v>
      </c>
      <c r="D738" s="17" t="s">
        <v>2451</v>
      </c>
      <c r="E738" s="14"/>
      <c r="F738" s="14"/>
      <c r="G738" s="14">
        <v>47512</v>
      </c>
      <c r="H738" s="18"/>
      <c r="I738" s="661"/>
      <c r="J738" s="13" t="s">
        <v>610</v>
      </c>
    </row>
    <row r="739" spans="1:10">
      <c r="A739" s="16" t="s">
        <v>2201</v>
      </c>
      <c r="B739" s="26" t="s">
        <v>2199</v>
      </c>
      <c r="C739" s="16" t="s">
        <v>2841</v>
      </c>
      <c r="D739" s="17" t="s">
        <v>2451</v>
      </c>
      <c r="E739" s="14"/>
      <c r="F739" s="14"/>
      <c r="G739" s="14">
        <v>47512</v>
      </c>
      <c r="H739" s="18"/>
      <c r="I739" s="661"/>
      <c r="J739" s="13" t="s">
        <v>610</v>
      </c>
    </row>
    <row r="740" spans="1:10" ht="13.8">
      <c r="A740" s="16" t="s">
        <v>2045</v>
      </c>
      <c r="B740" s="1594" t="s">
        <v>5050</v>
      </c>
      <c r="C740" s="666" t="s">
        <v>2842</v>
      </c>
      <c r="D740" s="17" t="s">
        <v>2447</v>
      </c>
      <c r="E740" s="14"/>
      <c r="F740" s="14"/>
      <c r="G740" s="1601">
        <v>1014200</v>
      </c>
      <c r="H740" s="18"/>
      <c r="I740" s="661"/>
      <c r="J740" s="13" t="s">
        <v>1489</v>
      </c>
    </row>
    <row r="741" spans="1:10" ht="13.8">
      <c r="A741" s="16" t="s">
        <v>1458</v>
      </c>
      <c r="B741" s="1594" t="s">
        <v>5051</v>
      </c>
      <c r="C741" s="666" t="s">
        <v>2843</v>
      </c>
      <c r="D741" s="17" t="s">
        <v>2447</v>
      </c>
      <c r="E741" s="14"/>
      <c r="F741" s="14"/>
      <c r="G741" s="1601">
        <v>1091200</v>
      </c>
      <c r="H741" s="18"/>
      <c r="I741" s="661"/>
      <c r="J741" s="13" t="s">
        <v>1489</v>
      </c>
    </row>
    <row r="742" spans="1:10" ht="13.8">
      <c r="A742" s="16" t="s">
        <v>1</v>
      </c>
      <c r="B742" s="1594" t="s">
        <v>5051</v>
      </c>
      <c r="C742" s="666" t="s">
        <v>2844</v>
      </c>
      <c r="D742" s="17" t="s">
        <v>2447</v>
      </c>
      <c r="E742" s="14"/>
      <c r="F742" s="14"/>
      <c r="G742" s="1601">
        <v>1091200</v>
      </c>
      <c r="H742" s="18"/>
      <c r="I742" s="661"/>
      <c r="J742" s="13" t="s">
        <v>1489</v>
      </c>
    </row>
    <row r="743" spans="1:10" ht="13.8">
      <c r="A743" s="16" t="s">
        <v>1574</v>
      </c>
      <c r="B743" s="1594" t="s">
        <v>5052</v>
      </c>
      <c r="C743" s="666" t="s">
        <v>2845</v>
      </c>
      <c r="D743" s="17" t="s">
        <v>2447</v>
      </c>
      <c r="E743" s="14"/>
      <c r="F743" s="14"/>
      <c r="G743" s="1601">
        <v>1168200</v>
      </c>
      <c r="H743" s="18"/>
      <c r="I743" s="661"/>
      <c r="J743" s="13" t="s">
        <v>1489</v>
      </c>
    </row>
    <row r="744" spans="1:10" ht="13.8">
      <c r="A744" s="666" t="s">
        <v>311</v>
      </c>
      <c r="B744" s="1594" t="s">
        <v>5053</v>
      </c>
      <c r="C744" s="666" t="s">
        <v>2846</v>
      </c>
      <c r="D744" s="17" t="s">
        <v>2447</v>
      </c>
      <c r="E744" s="14"/>
      <c r="F744" s="14"/>
      <c r="G744" s="1601">
        <v>1454200</v>
      </c>
      <c r="H744" s="18"/>
      <c r="I744" s="661"/>
      <c r="J744" s="13" t="s">
        <v>1489</v>
      </c>
    </row>
    <row r="745" spans="1:10" ht="13.8">
      <c r="A745" s="16" t="s">
        <v>923</v>
      </c>
      <c r="B745" s="1594" t="s">
        <v>5054</v>
      </c>
      <c r="C745" s="666" t="s">
        <v>2847</v>
      </c>
      <c r="D745" s="17" t="s">
        <v>2447</v>
      </c>
      <c r="E745" s="14"/>
      <c r="F745" s="14"/>
      <c r="G745" s="1601">
        <v>2402400</v>
      </c>
      <c r="H745" s="18"/>
      <c r="I745" s="661"/>
      <c r="J745" s="13" t="s">
        <v>1489</v>
      </c>
    </row>
    <row r="746" spans="1:10" s="1713" customFormat="1">
      <c r="A746" s="1707" t="s">
        <v>1101</v>
      </c>
      <c r="B746" s="1708" t="s">
        <v>5055</v>
      </c>
      <c r="C746" s="1714" t="s">
        <v>2848</v>
      </c>
      <c r="D746" s="1709" t="s">
        <v>2447</v>
      </c>
      <c r="E746" s="1710"/>
      <c r="F746" s="1710"/>
      <c r="G746" s="1711">
        <f>1.85*VLOOKUP("N2.40",DGNC,5)</f>
        <v>514855</v>
      </c>
      <c r="H746" s="1710">
        <v>141795.29</v>
      </c>
      <c r="I746" s="1999"/>
      <c r="J746" s="1715" t="s">
        <v>1489</v>
      </c>
    </row>
    <row r="747" spans="1:10" s="1713" customFormat="1">
      <c r="A747" s="1707" t="s">
        <v>924</v>
      </c>
      <c r="B747" s="1708" t="s">
        <v>5056</v>
      </c>
      <c r="C747" s="1714" t="s">
        <v>2849</v>
      </c>
      <c r="D747" s="1709" t="s">
        <v>2447</v>
      </c>
      <c r="E747" s="1710"/>
      <c r="F747" s="1710"/>
      <c r="G747" s="1711">
        <f>1.98*VLOOKUP("N2.40",DGNC,5)</f>
        <v>551034</v>
      </c>
      <c r="H747" s="1710">
        <v>141795.29</v>
      </c>
      <c r="I747" s="1999"/>
      <c r="J747" s="1715" t="s">
        <v>1489</v>
      </c>
    </row>
    <row r="748" spans="1:10" s="1713" customFormat="1">
      <c r="A748" s="1707" t="s">
        <v>1264</v>
      </c>
      <c r="B748" s="1708" t="s">
        <v>5056</v>
      </c>
      <c r="C748" s="1714" t="s">
        <v>2850</v>
      </c>
      <c r="D748" s="1709" t="s">
        <v>2447</v>
      </c>
      <c r="E748" s="1710"/>
      <c r="F748" s="1710"/>
      <c r="G748" s="1711">
        <f>1.98*VLOOKUP("N2.40",DGNC,5)</f>
        <v>551034</v>
      </c>
      <c r="H748" s="1710">
        <v>141795.29</v>
      </c>
      <c r="I748" s="1999"/>
      <c r="J748" s="1715" t="s">
        <v>1489</v>
      </c>
    </row>
    <row r="749" spans="1:10" s="1713" customFormat="1">
      <c r="A749" s="1707" t="s">
        <v>695</v>
      </c>
      <c r="B749" s="1708" t="s">
        <v>5057</v>
      </c>
      <c r="C749" s="1714" t="s">
        <v>2851</v>
      </c>
      <c r="D749" s="1709" t="s">
        <v>2447</v>
      </c>
      <c r="E749" s="1710"/>
      <c r="F749" s="1710"/>
      <c r="G749" s="1711">
        <f>2.12*VLOOKUP("N2.40",DGNC,5)</f>
        <v>589996</v>
      </c>
      <c r="H749" s="1710">
        <v>202564.7</v>
      </c>
      <c r="I749" s="1999"/>
      <c r="J749" s="1715" t="s">
        <v>1489</v>
      </c>
    </row>
    <row r="750" spans="1:10" s="1713" customFormat="1" ht="13.8">
      <c r="A750" s="1714" t="s">
        <v>1683</v>
      </c>
      <c r="B750" s="1778" t="s">
        <v>5058</v>
      </c>
      <c r="C750" s="1714" t="s">
        <v>2852</v>
      </c>
      <c r="D750" s="1709" t="s">
        <v>2447</v>
      </c>
      <c r="E750" s="1710"/>
      <c r="F750" s="1710"/>
      <c r="G750" s="1711">
        <f>2.64*VLOOKUP("N2.40",DGNC,5)</f>
        <v>734712</v>
      </c>
      <c r="H750" s="1710">
        <v>222821.17</v>
      </c>
      <c r="I750" s="1999"/>
      <c r="J750" s="1715" t="s">
        <v>1489</v>
      </c>
    </row>
    <row r="751" spans="1:10" s="1713" customFormat="1" ht="13.8">
      <c r="A751" s="1707" t="s">
        <v>2052</v>
      </c>
      <c r="B751" s="1778" t="s">
        <v>5059</v>
      </c>
      <c r="C751" s="1714" t="s">
        <v>2853</v>
      </c>
      <c r="D751" s="1709" t="s">
        <v>2447</v>
      </c>
      <c r="E751" s="1710"/>
      <c r="F751" s="1710"/>
      <c r="G751" s="1711">
        <f>3.75*VLOOKUP("N2.40",DGNC,5)</f>
        <v>1043625</v>
      </c>
      <c r="H751" s="1710">
        <v>283590.58</v>
      </c>
      <c r="I751" s="1999"/>
      <c r="J751" s="1715" t="s">
        <v>1489</v>
      </c>
    </row>
    <row r="752" spans="1:10" s="1713" customFormat="1" ht="13.8">
      <c r="A752" s="1707" t="s">
        <v>1629</v>
      </c>
      <c r="B752" s="1778" t="s">
        <v>5060</v>
      </c>
      <c r="C752" s="1714" t="s">
        <v>5665</v>
      </c>
      <c r="D752" s="1709" t="s">
        <v>2447</v>
      </c>
      <c r="E752" s="1710"/>
      <c r="F752" s="1710"/>
      <c r="G752" s="1711">
        <f>4.37*VLOOKUP("N2.40",DGNC,5)</f>
        <v>1216171</v>
      </c>
      <c r="H752" s="1710">
        <v>405129.4</v>
      </c>
      <c r="I752" s="1999"/>
      <c r="J752" s="1715" t="s">
        <v>1489</v>
      </c>
    </row>
    <row r="753" spans="1:13" s="1696" customFormat="1">
      <c r="A753" s="1690" t="s">
        <v>855</v>
      </c>
      <c r="B753" s="1691" t="s">
        <v>5633</v>
      </c>
      <c r="C753" s="1690" t="s">
        <v>5634</v>
      </c>
      <c r="D753" s="1724" t="s">
        <v>2854</v>
      </c>
      <c r="E753" s="1693">
        <v>40000</v>
      </c>
      <c r="F753" s="1693">
        <f>E753</f>
        <v>40000</v>
      </c>
      <c r="G753" s="1721">
        <f>VLOOKUP("N1.45",DGNC,5)/20</f>
        <v>13525.75</v>
      </c>
      <c r="H753" s="1693"/>
      <c r="I753" s="2000"/>
      <c r="J753" s="1695" t="s">
        <v>1489</v>
      </c>
    </row>
    <row r="754" spans="1:13" s="1611" customFormat="1">
      <c r="A754" s="1605" t="s">
        <v>5061</v>
      </c>
      <c r="B754" s="1606" t="s">
        <v>1994</v>
      </c>
      <c r="C754" s="1607" t="s">
        <v>5062</v>
      </c>
      <c r="D754" s="1608" t="s">
        <v>2447</v>
      </c>
      <c r="E754" s="1609"/>
      <c r="F754" s="1609"/>
      <c r="G754" s="1609">
        <f>442313*0.8</f>
        <v>353850.4</v>
      </c>
      <c r="H754" s="1609">
        <f>210542*0.8</f>
        <v>168433.6</v>
      </c>
      <c r="I754" s="2001"/>
      <c r="J754" s="1610" t="s">
        <v>1489</v>
      </c>
    </row>
    <row r="755" spans="1:13">
      <c r="A755" s="16" t="s">
        <v>1993</v>
      </c>
      <c r="B755" s="26" t="s">
        <v>1994</v>
      </c>
      <c r="C755" s="666" t="s">
        <v>2855</v>
      </c>
      <c r="D755" s="17" t="s">
        <v>2447</v>
      </c>
      <c r="E755" s="14"/>
      <c r="F755" s="14"/>
      <c r="G755" s="14">
        <v>112286</v>
      </c>
      <c r="H755" s="14">
        <v>105970</v>
      </c>
      <c r="I755" s="661"/>
      <c r="J755" s="13" t="s">
        <v>1489</v>
      </c>
    </row>
    <row r="756" spans="1:13">
      <c r="A756" s="16" t="s">
        <v>1702</v>
      </c>
      <c r="B756" s="26" t="s">
        <v>1994</v>
      </c>
      <c r="C756" s="666" t="s">
        <v>2856</v>
      </c>
      <c r="D756" s="17" t="s">
        <v>2447</v>
      </c>
      <c r="E756" s="14"/>
      <c r="F756" s="14"/>
      <c r="G756" s="14">
        <v>112286</v>
      </c>
      <c r="H756" s="14">
        <v>105970</v>
      </c>
      <c r="I756" s="661"/>
      <c r="J756" s="13" t="s">
        <v>1489</v>
      </c>
    </row>
    <row r="757" spans="1:13" ht="13.8">
      <c r="A757" s="16" t="s">
        <v>4978</v>
      </c>
      <c r="B757" s="1594" t="s">
        <v>5034</v>
      </c>
      <c r="C757" s="19" t="s">
        <v>4979</v>
      </c>
      <c r="D757" s="17" t="s">
        <v>2226</v>
      </c>
      <c r="E757" s="18"/>
      <c r="F757" s="18"/>
      <c r="G757" s="1595">
        <f>ROUND(103961/5,)</f>
        <v>20792</v>
      </c>
      <c r="H757" s="18"/>
      <c r="I757" s="661"/>
      <c r="J757" s="13" t="s">
        <v>450</v>
      </c>
    </row>
    <row r="758" spans="1:13" ht="13.8">
      <c r="A758" s="16" t="s">
        <v>4964</v>
      </c>
      <c r="B758" s="1594" t="s">
        <v>5034</v>
      </c>
      <c r="C758" s="19" t="s">
        <v>4965</v>
      </c>
      <c r="D758" s="17" t="s">
        <v>2226</v>
      </c>
      <c r="E758" s="18"/>
      <c r="F758" s="18"/>
      <c r="G758" s="1595">
        <f>ROUND(103961/2,)</f>
        <v>51981</v>
      </c>
      <c r="H758" s="18"/>
      <c r="I758" s="661"/>
      <c r="J758" s="13" t="s">
        <v>450</v>
      </c>
    </row>
    <row r="759" spans="1:13" ht="13.8">
      <c r="A759" s="16" t="s">
        <v>4972</v>
      </c>
      <c r="B759" s="1594" t="s">
        <v>5034</v>
      </c>
      <c r="C759" s="19" t="s">
        <v>4973</v>
      </c>
      <c r="D759" s="17" t="s">
        <v>2226</v>
      </c>
      <c r="E759" s="18"/>
      <c r="F759" s="18"/>
      <c r="G759" s="1595">
        <f>ROUND(103961*8.5/15,)</f>
        <v>58911</v>
      </c>
      <c r="H759" s="18"/>
      <c r="I759" s="661"/>
      <c r="J759" s="13" t="s">
        <v>450</v>
      </c>
    </row>
    <row r="760" spans="1:13" s="1696" customFormat="1">
      <c r="A760" s="1690" t="s">
        <v>372</v>
      </c>
      <c r="B760" s="1691" t="s">
        <v>5034</v>
      </c>
      <c r="C760" s="1690" t="s">
        <v>2857</v>
      </c>
      <c r="D760" s="1724" t="s">
        <v>2226</v>
      </c>
      <c r="E760" s="1693"/>
      <c r="F760" s="1693"/>
      <c r="G760" s="1750">
        <f>0.51*VLOOKUP("N2.35",DGNC,5)</f>
        <v>131511.15</v>
      </c>
      <c r="H760" s="1693"/>
      <c r="I760" s="2000"/>
      <c r="J760" s="1695" t="s">
        <v>450</v>
      </c>
    </row>
    <row r="761" spans="1:13" s="1696" customFormat="1">
      <c r="A761" s="1690" t="s">
        <v>534</v>
      </c>
      <c r="B761" s="1691" t="s">
        <v>5063</v>
      </c>
      <c r="C761" s="1690" t="s">
        <v>2858</v>
      </c>
      <c r="D761" s="1724" t="s">
        <v>2226</v>
      </c>
      <c r="E761" s="1693"/>
      <c r="F761" s="1693"/>
      <c r="G761" s="1750">
        <f>0.85*VLOOKUP("N2.35",DGNC,5)</f>
        <v>219185.25</v>
      </c>
      <c r="H761" s="1693"/>
      <c r="I761" s="2000"/>
      <c r="J761" s="1695" t="s">
        <v>450</v>
      </c>
      <c r="K761" s="1696">
        <v>173269</v>
      </c>
    </row>
    <row r="762" spans="1:13" ht="13.8">
      <c r="A762" s="16" t="s">
        <v>4516</v>
      </c>
      <c r="B762" s="1594" t="s">
        <v>5064</v>
      </c>
      <c r="C762" s="19" t="s">
        <v>4550</v>
      </c>
      <c r="D762" s="17" t="s">
        <v>2226</v>
      </c>
      <c r="E762" s="18"/>
      <c r="F762" s="18"/>
      <c r="G762" s="1595">
        <f>ROUND(103961*0.799,)</f>
        <v>83065</v>
      </c>
      <c r="H762" s="18"/>
      <c r="I762" s="661"/>
      <c r="J762" s="13" t="s">
        <v>450</v>
      </c>
    </row>
    <row r="763" spans="1:13" ht="13.8">
      <c r="A763" s="16" t="s">
        <v>4517</v>
      </c>
      <c r="B763" s="1594" t="s">
        <v>5065</v>
      </c>
      <c r="C763" s="19" t="s">
        <v>4518</v>
      </c>
      <c r="D763" s="17" t="s">
        <v>2226</v>
      </c>
      <c r="E763" s="18"/>
      <c r="F763" s="18"/>
      <c r="G763" s="1595">
        <f>ROUND(103961*1.539,)</f>
        <v>159996</v>
      </c>
      <c r="H763" s="18"/>
      <c r="I763" s="661"/>
      <c r="J763" s="13" t="s">
        <v>450</v>
      </c>
      <c r="K763" s="1">
        <v>10</v>
      </c>
      <c r="L763" s="1">
        <v>23.084</v>
      </c>
      <c r="M763" s="1">
        <v>25</v>
      </c>
    </row>
    <row r="764" spans="1:13" ht="13.8">
      <c r="A764" s="16" t="s">
        <v>371</v>
      </c>
      <c r="B764" s="1594" t="s">
        <v>5066</v>
      </c>
      <c r="C764" s="19" t="s">
        <v>4549</v>
      </c>
      <c r="D764" s="17" t="s">
        <v>2226</v>
      </c>
      <c r="E764" s="18"/>
      <c r="F764" s="18"/>
      <c r="G764" s="1595">
        <f>ROUND(173269*1.022,)</f>
        <v>177081</v>
      </c>
      <c r="H764" s="18"/>
      <c r="I764" s="661"/>
      <c r="J764" s="13" t="s">
        <v>450</v>
      </c>
      <c r="K764" s="1">
        <v>0.9</v>
      </c>
    </row>
    <row r="765" spans="1:13" ht="13.8">
      <c r="A765" s="16" t="s">
        <v>4506</v>
      </c>
      <c r="B765" s="1594" t="s">
        <v>5067</v>
      </c>
      <c r="C765" s="19" t="s">
        <v>4511</v>
      </c>
      <c r="D765" s="17" t="s">
        <v>2226</v>
      </c>
      <c r="E765" s="18"/>
      <c r="F765" s="18"/>
      <c r="G765" s="1595">
        <f>ROUND(234423*1.011,)</f>
        <v>237002</v>
      </c>
      <c r="H765" s="18"/>
      <c r="I765" s="661"/>
      <c r="J765" s="13" t="s">
        <v>450</v>
      </c>
      <c r="K765" s="1">
        <v>234423</v>
      </c>
    </row>
    <row r="766" spans="1:13" ht="13.8">
      <c r="A766" s="16" t="s">
        <v>4507</v>
      </c>
      <c r="B766" s="1594" t="s">
        <v>5068</v>
      </c>
      <c r="C766" s="19" t="s">
        <v>4512</v>
      </c>
      <c r="D766" s="17" t="s">
        <v>2226</v>
      </c>
      <c r="E766" s="18"/>
      <c r="F766" s="18"/>
      <c r="G766" s="1595">
        <f>ROUND(173269*1.014,)</f>
        <v>175695</v>
      </c>
      <c r="H766" s="18"/>
      <c r="I766" s="661"/>
      <c r="J766" s="13" t="s">
        <v>450</v>
      </c>
    </row>
    <row r="767" spans="1:13" ht="13.8">
      <c r="A767" s="16" t="s">
        <v>4508</v>
      </c>
      <c r="B767" s="1594" t="s">
        <v>5069</v>
      </c>
      <c r="C767" s="19" t="s">
        <v>4513</v>
      </c>
      <c r="D767" s="17" t="s">
        <v>2226</v>
      </c>
      <c r="E767" s="18"/>
      <c r="F767" s="18"/>
      <c r="G767" s="1595">
        <f>ROUND(234423*1.005,)</f>
        <v>235595</v>
      </c>
      <c r="H767" s="18"/>
      <c r="I767" s="661"/>
      <c r="J767" s="13" t="s">
        <v>450</v>
      </c>
    </row>
    <row r="768" spans="1:13" ht="13.8">
      <c r="A768" s="16" t="s">
        <v>4982</v>
      </c>
      <c r="B768" s="1594" t="s">
        <v>5070</v>
      </c>
      <c r="C768" s="19" t="s">
        <v>4983</v>
      </c>
      <c r="D768" s="17" t="s">
        <v>2226</v>
      </c>
      <c r="E768" s="18"/>
      <c r="F768" s="18"/>
      <c r="G768" s="1595">
        <f>ROUND(173269*42.84/25,)</f>
        <v>296914</v>
      </c>
      <c r="H768" s="18"/>
      <c r="I768" s="661"/>
      <c r="J768" s="13" t="s">
        <v>450</v>
      </c>
      <c r="L768" s="1">
        <f>42.84/25</f>
        <v>1.7136000000000002</v>
      </c>
    </row>
    <row r="769" spans="1:11" ht="13.8">
      <c r="A769" s="16" t="s">
        <v>4509</v>
      </c>
      <c r="B769" s="1594" t="s">
        <v>5071</v>
      </c>
      <c r="C769" s="19" t="s">
        <v>4514</v>
      </c>
      <c r="D769" s="17" t="s">
        <v>2226</v>
      </c>
      <c r="E769" s="18"/>
      <c r="F769" s="18"/>
      <c r="G769" s="1595">
        <f>ROUND(173269*1.062,)</f>
        <v>184012</v>
      </c>
      <c r="H769" s="18"/>
      <c r="I769" s="661"/>
      <c r="J769" s="13" t="s">
        <v>450</v>
      </c>
    </row>
    <row r="770" spans="1:11" ht="13.8">
      <c r="A770" s="16" t="s">
        <v>4510</v>
      </c>
      <c r="B770" s="1594" t="s">
        <v>5072</v>
      </c>
      <c r="C770" s="19" t="s">
        <v>4515</v>
      </c>
      <c r="D770" s="17" t="s">
        <v>2226</v>
      </c>
      <c r="E770" s="18"/>
      <c r="F770" s="18"/>
      <c r="G770" s="1595">
        <f>ROUND(234423*1.062,)</f>
        <v>248957</v>
      </c>
      <c r="H770" s="18"/>
      <c r="I770" s="661"/>
      <c r="J770" s="13" t="s">
        <v>450</v>
      </c>
    </row>
    <row r="771" spans="1:11" ht="13.8">
      <c r="A771" s="16" t="s">
        <v>1436</v>
      </c>
      <c r="B771" s="1594" t="s">
        <v>5070</v>
      </c>
      <c r="C771" s="19" t="s">
        <v>4547</v>
      </c>
      <c r="D771" s="17" t="s">
        <v>2226</v>
      </c>
      <c r="E771" s="18"/>
      <c r="F771" s="18"/>
      <c r="G771" s="1595">
        <f>ROUND(173269*1.067,0)</f>
        <v>184878</v>
      </c>
      <c r="H771" s="18"/>
      <c r="I771" s="661"/>
      <c r="J771" s="13" t="s">
        <v>450</v>
      </c>
    </row>
    <row r="772" spans="1:11">
      <c r="A772" s="16" t="s">
        <v>1435</v>
      </c>
      <c r="B772" s="26" t="s">
        <v>4519</v>
      </c>
      <c r="C772" s="19" t="s">
        <v>4920</v>
      </c>
      <c r="D772" s="17" t="s">
        <v>2226</v>
      </c>
      <c r="E772" s="18"/>
      <c r="F772" s="18"/>
      <c r="G772" s="18">
        <f>ROUND(234423.25*1.06,)</f>
        <v>248489</v>
      </c>
      <c r="H772" s="18"/>
      <c r="I772" s="661"/>
      <c r="J772" s="13" t="s">
        <v>450</v>
      </c>
    </row>
    <row r="773" spans="1:11">
      <c r="A773" s="16" t="s">
        <v>4503</v>
      </c>
      <c r="B773" s="26" t="s">
        <v>4505</v>
      </c>
      <c r="C773" s="19" t="s">
        <v>4548</v>
      </c>
      <c r="D773" s="17" t="s">
        <v>2226</v>
      </c>
      <c r="E773" s="18"/>
      <c r="F773" s="18"/>
      <c r="G773" s="18">
        <f>ROUND(186264.75*1.092,)</f>
        <v>203401</v>
      </c>
      <c r="H773" s="18"/>
      <c r="I773" s="661"/>
      <c r="J773" s="13" t="s">
        <v>450</v>
      </c>
    </row>
    <row r="774" spans="1:11">
      <c r="A774" s="16" t="s">
        <v>4504</v>
      </c>
      <c r="B774" s="26" t="s">
        <v>4520</v>
      </c>
      <c r="C774" s="19" t="s">
        <v>4918</v>
      </c>
      <c r="D774" s="17" t="s">
        <v>2226</v>
      </c>
      <c r="E774" s="18"/>
      <c r="F774" s="18"/>
      <c r="G774" s="18">
        <f>ROUND(234423.25*1.091,)</f>
        <v>255756</v>
      </c>
      <c r="H774" s="18"/>
      <c r="I774" s="661"/>
      <c r="J774" s="13" t="s">
        <v>450</v>
      </c>
    </row>
    <row r="775" spans="1:11">
      <c r="A775" s="16" t="s">
        <v>4815</v>
      </c>
      <c r="B775" s="26" t="s">
        <v>4823</v>
      </c>
      <c r="C775" s="19" t="s">
        <v>4883</v>
      </c>
      <c r="D775" s="17" t="s">
        <v>2226</v>
      </c>
      <c r="E775" s="18"/>
      <c r="F775" s="18"/>
      <c r="G775" s="18">
        <f>ROUND(234423.25*1.15,)</f>
        <v>269587</v>
      </c>
      <c r="H775" s="18"/>
      <c r="I775" s="661"/>
      <c r="J775" s="13"/>
    </row>
    <row r="776" spans="1:11">
      <c r="A776" s="16" t="s">
        <v>4817</v>
      </c>
      <c r="B776" s="26" t="s">
        <v>4824</v>
      </c>
      <c r="C776" s="19" t="s">
        <v>4884</v>
      </c>
      <c r="D776" s="17" t="s">
        <v>2226</v>
      </c>
      <c r="E776" s="18"/>
      <c r="F776" s="18"/>
      <c r="G776" s="18">
        <f>ROUND(234423.25*1.15,)</f>
        <v>269587</v>
      </c>
      <c r="H776" s="18"/>
      <c r="I776" s="661"/>
      <c r="J776" s="13"/>
    </row>
    <row r="777" spans="1:11" s="1696" customFormat="1">
      <c r="A777" s="1690" t="s">
        <v>813</v>
      </c>
      <c r="B777" s="1691" t="s">
        <v>5073</v>
      </c>
      <c r="C777" s="1690" t="s">
        <v>2859</v>
      </c>
      <c r="D777" s="1724" t="s">
        <v>2226</v>
      </c>
      <c r="E777" s="1693"/>
      <c r="F777" s="1693"/>
      <c r="G777" s="1750">
        <f>1.15*VLOOKUP("N2.35",DGNC,5)</f>
        <v>296544.75</v>
      </c>
      <c r="H777" s="1693"/>
      <c r="I777" s="2000"/>
      <c r="J777" s="1695" t="s">
        <v>450</v>
      </c>
    </row>
    <row r="778" spans="1:11">
      <c r="A778" s="16" t="s">
        <v>2134</v>
      </c>
      <c r="B778" s="26" t="s">
        <v>940</v>
      </c>
      <c r="C778" s="19" t="s">
        <v>2860</v>
      </c>
      <c r="D778" s="17" t="s">
        <v>2226</v>
      </c>
      <c r="E778" s="18"/>
      <c r="F778" s="18"/>
      <c r="G778" s="1069">
        <v>234423</v>
      </c>
      <c r="H778" s="18"/>
      <c r="I778" s="661"/>
      <c r="J778" s="13" t="s">
        <v>450</v>
      </c>
    </row>
    <row r="779" spans="1:11" ht="13.8">
      <c r="A779" s="16" t="s">
        <v>4552</v>
      </c>
      <c r="B779" s="1598" t="s">
        <v>5074</v>
      </c>
      <c r="C779" s="19" t="s">
        <v>4553</v>
      </c>
      <c r="D779" s="17" t="s">
        <v>1557</v>
      </c>
      <c r="E779" s="18"/>
      <c r="F779" s="2002"/>
      <c r="G779" s="2003">
        <f>ROUND(2531767*0.8/1000,)</f>
        <v>2025</v>
      </c>
      <c r="H779" s="18"/>
      <c r="I779" s="661"/>
      <c r="J779" s="13" t="s">
        <v>450</v>
      </c>
      <c r="K779" s="1">
        <v>2531767</v>
      </c>
    </row>
    <row r="780" spans="1:11" s="1696" customFormat="1">
      <c r="A780" s="1690" t="s">
        <v>1347</v>
      </c>
      <c r="B780" s="1691" t="s">
        <v>5781</v>
      </c>
      <c r="C780" s="1690" t="s">
        <v>2861</v>
      </c>
      <c r="D780" s="1724" t="s">
        <v>2226</v>
      </c>
      <c r="E780" s="1693"/>
      <c r="F780" s="1693"/>
      <c r="G780" s="1750">
        <f>1.13*VLOOKUP("N2.35",DGNC,5)</f>
        <v>291387.44999999995</v>
      </c>
      <c r="H780" s="1693"/>
      <c r="I780" s="2000"/>
      <c r="J780" s="1695" t="s">
        <v>450</v>
      </c>
      <c r="K780" s="1696">
        <v>230346</v>
      </c>
    </row>
    <row r="781" spans="1:11" s="1696" customFormat="1">
      <c r="A781" s="1690" t="s">
        <v>535</v>
      </c>
      <c r="B781" s="1691" t="s">
        <v>5075</v>
      </c>
      <c r="C781" s="1690" t="s">
        <v>2862</v>
      </c>
      <c r="D781" s="1724" t="s">
        <v>2226</v>
      </c>
      <c r="E781" s="1693"/>
      <c r="F781" s="1693"/>
      <c r="G781" s="1750">
        <f>1.53*VLOOKUP("N2.35",DGNC,5)</f>
        <v>394533.45</v>
      </c>
      <c r="H781" s="1693"/>
      <c r="I781" s="2000"/>
      <c r="J781" s="1695" t="s">
        <v>450</v>
      </c>
      <c r="K781" s="1696">
        <v>311884</v>
      </c>
    </row>
    <row r="782" spans="1:11" s="1696" customFormat="1">
      <c r="A782" s="1690" t="s">
        <v>814</v>
      </c>
      <c r="B782" s="1691" t="s">
        <v>5076</v>
      </c>
      <c r="C782" s="1690" t="s">
        <v>2863</v>
      </c>
      <c r="D782" s="1724" t="s">
        <v>2226</v>
      </c>
      <c r="E782" s="1693"/>
      <c r="F782" s="1693"/>
      <c r="G782" s="1750">
        <f>1.15*VLOOKUP("N2.35",DGNC,5)</f>
        <v>296544.75</v>
      </c>
      <c r="H782" s="1693"/>
      <c r="I782" s="2000"/>
      <c r="J782" s="1695" t="s">
        <v>450</v>
      </c>
      <c r="K782" s="1696">
        <v>419923</v>
      </c>
    </row>
    <row r="783" spans="1:11" s="657" customFormat="1">
      <c r="A783" s="678" t="s">
        <v>4521</v>
      </c>
      <c r="B783" s="679" t="s">
        <v>4531</v>
      </c>
      <c r="C783" s="680" t="s">
        <v>4527</v>
      </c>
      <c r="D783" s="681" t="s">
        <v>2226</v>
      </c>
      <c r="E783" s="682"/>
      <c r="F783" s="682"/>
      <c r="G783" s="682">
        <f>ROUND(62871*1.539,)</f>
        <v>96758</v>
      </c>
      <c r="H783" s="682"/>
      <c r="I783" s="2004"/>
      <c r="J783" s="656" t="s">
        <v>450</v>
      </c>
    </row>
    <row r="784" spans="1:11" s="657" customFormat="1">
      <c r="A784" s="678" t="s">
        <v>4522</v>
      </c>
      <c r="B784" s="679" t="s">
        <v>4534</v>
      </c>
      <c r="C784" s="680" t="s">
        <v>4528</v>
      </c>
      <c r="D784" s="681" t="s">
        <v>2226</v>
      </c>
      <c r="E784" s="682"/>
      <c r="F784" s="682"/>
      <c r="G784" s="682">
        <f>ROUND(311884*1.011,)</f>
        <v>315315</v>
      </c>
      <c r="H784" s="682"/>
      <c r="I784" s="2004"/>
      <c r="J784" s="656" t="s">
        <v>450</v>
      </c>
    </row>
    <row r="785" spans="1:11" s="657" customFormat="1">
      <c r="A785" s="678" t="s">
        <v>4523</v>
      </c>
      <c r="B785" s="679" t="s">
        <v>4535</v>
      </c>
      <c r="C785" s="680" t="s">
        <v>4529</v>
      </c>
      <c r="D785" s="681" t="s">
        <v>2226</v>
      </c>
      <c r="E785" s="682"/>
      <c r="F785" s="682"/>
      <c r="G785" s="682">
        <f>ROUND(311884*1.005,)</f>
        <v>313443</v>
      </c>
      <c r="H785" s="682"/>
      <c r="I785" s="2004"/>
      <c r="J785" s="656" t="s">
        <v>450</v>
      </c>
    </row>
    <row r="786" spans="1:11" s="657" customFormat="1">
      <c r="A786" s="678" t="s">
        <v>4524</v>
      </c>
      <c r="B786" s="679" t="s">
        <v>4536</v>
      </c>
      <c r="C786" s="680" t="s">
        <v>4530</v>
      </c>
      <c r="D786" s="681" t="s">
        <v>2226</v>
      </c>
      <c r="E786" s="682"/>
      <c r="F786" s="682"/>
      <c r="G786" s="682">
        <f>ROUND(311884*1.062,)</f>
        <v>331221</v>
      </c>
      <c r="H786" s="682"/>
      <c r="I786" s="2004"/>
      <c r="J786" s="656" t="s">
        <v>450</v>
      </c>
    </row>
    <row r="787" spans="1:11" s="657" customFormat="1" ht="13.8">
      <c r="A787" s="678" t="s">
        <v>4525</v>
      </c>
      <c r="B787" s="1594" t="s">
        <v>5077</v>
      </c>
      <c r="C787" s="680" t="s">
        <v>4921</v>
      </c>
      <c r="D787" s="681" t="s">
        <v>2226</v>
      </c>
      <c r="E787" s="682"/>
      <c r="F787" s="682"/>
      <c r="G787" s="1595">
        <f>ROUND(311884*1.06,)</f>
        <v>330597</v>
      </c>
      <c r="H787" s="682"/>
      <c r="I787" s="2004"/>
      <c r="J787" s="656" t="s">
        <v>450</v>
      </c>
    </row>
    <row r="788" spans="1:11" s="657" customFormat="1" ht="13.8">
      <c r="A788" s="678" t="s">
        <v>4526</v>
      </c>
      <c r="B788" s="1594" t="s">
        <v>5078</v>
      </c>
      <c r="C788" s="680" t="s">
        <v>4546</v>
      </c>
      <c r="D788" s="681" t="s">
        <v>2226</v>
      </c>
      <c r="E788" s="682"/>
      <c r="F788" s="682"/>
      <c r="G788" s="1612">
        <f>ROUND(311884*1.091,)</f>
        <v>340265</v>
      </c>
      <c r="H788" s="682"/>
      <c r="I788" s="2004"/>
      <c r="J788" s="656" t="s">
        <v>450</v>
      </c>
    </row>
    <row r="789" spans="1:11" s="657" customFormat="1">
      <c r="A789" s="678" t="s">
        <v>4521</v>
      </c>
      <c r="B789" s="679" t="s">
        <v>4531</v>
      </c>
      <c r="C789" s="680" t="s">
        <v>4527</v>
      </c>
      <c r="D789" s="681" t="s">
        <v>2226</v>
      </c>
      <c r="E789" s="682"/>
      <c r="F789" s="682"/>
      <c r="G789" s="682">
        <f>62871*1.539</f>
        <v>96758.468999999997</v>
      </c>
      <c r="H789" s="682"/>
      <c r="I789" s="2004"/>
      <c r="J789" s="656" t="s">
        <v>450</v>
      </c>
      <c r="K789" s="656"/>
    </row>
    <row r="790" spans="1:11" s="657" customFormat="1">
      <c r="A790" s="678" t="s">
        <v>4522</v>
      </c>
      <c r="B790" s="679" t="s">
        <v>4534</v>
      </c>
      <c r="C790" s="680" t="s">
        <v>4528</v>
      </c>
      <c r="D790" s="681" t="s">
        <v>2226</v>
      </c>
      <c r="E790" s="682"/>
      <c r="F790" s="682"/>
      <c r="G790" s="682">
        <f>141877*1.011</f>
        <v>143437.647</v>
      </c>
      <c r="H790" s="682"/>
      <c r="I790" s="2004"/>
      <c r="J790" s="656" t="s">
        <v>450</v>
      </c>
      <c r="K790" s="656"/>
    </row>
    <row r="791" spans="1:11" s="657" customFormat="1">
      <c r="A791" s="678" t="s">
        <v>4523</v>
      </c>
      <c r="B791" s="679" t="s">
        <v>4535</v>
      </c>
      <c r="C791" s="680" t="s">
        <v>4529</v>
      </c>
      <c r="D791" s="681" t="s">
        <v>2226</v>
      </c>
      <c r="E791" s="682"/>
      <c r="F791" s="682"/>
      <c r="G791" s="682">
        <f>141877*1.005</f>
        <v>142586.38499999998</v>
      </c>
      <c r="H791" s="682"/>
      <c r="I791" s="2004"/>
      <c r="J791" s="656" t="s">
        <v>450</v>
      </c>
      <c r="K791" s="656"/>
    </row>
    <row r="792" spans="1:11" s="657" customFormat="1">
      <c r="A792" s="678" t="s">
        <v>4524</v>
      </c>
      <c r="B792" s="679" t="s">
        <v>4536</v>
      </c>
      <c r="C792" s="680" t="s">
        <v>4530</v>
      </c>
      <c r="D792" s="681" t="s">
        <v>2226</v>
      </c>
      <c r="E792" s="682"/>
      <c r="F792" s="682"/>
      <c r="G792" s="682">
        <f>141877*1.062</f>
        <v>150673.37400000001</v>
      </c>
      <c r="H792" s="682"/>
      <c r="I792" s="2004"/>
      <c r="J792" s="656" t="s">
        <v>450</v>
      </c>
      <c r="K792" s="656"/>
    </row>
    <row r="793" spans="1:11" s="657" customFormat="1">
      <c r="A793" s="678" t="s">
        <v>4525</v>
      </c>
      <c r="B793" s="679" t="s">
        <v>5656</v>
      </c>
      <c r="C793" s="680" t="s">
        <v>5657</v>
      </c>
      <c r="D793" s="681" t="s">
        <v>2226</v>
      </c>
      <c r="E793" s="682"/>
      <c r="F793" s="682"/>
      <c r="G793" s="682">
        <f>141877*1.067</f>
        <v>151382.75899999999</v>
      </c>
      <c r="H793" s="682"/>
      <c r="I793" s="2004"/>
      <c r="J793" s="656" t="s">
        <v>450</v>
      </c>
      <c r="K793" s="656"/>
    </row>
    <row r="794" spans="1:11" s="657" customFormat="1">
      <c r="A794" s="678" t="s">
        <v>4526</v>
      </c>
      <c r="B794" s="679" t="s">
        <v>4532</v>
      </c>
      <c r="C794" s="680" t="s">
        <v>4546</v>
      </c>
      <c r="D794" s="681" t="s">
        <v>2226</v>
      </c>
      <c r="E794" s="682"/>
      <c r="F794" s="682"/>
      <c r="G794" s="682">
        <f>141877*1.091</f>
        <v>154787.807</v>
      </c>
      <c r="H794" s="682"/>
      <c r="I794" s="2004"/>
      <c r="J794" s="656" t="s">
        <v>450</v>
      </c>
      <c r="K794" s="656"/>
    </row>
    <row r="795" spans="1:11" s="657" customFormat="1">
      <c r="A795" s="1769" t="s">
        <v>4504</v>
      </c>
      <c r="B795" s="1770" t="s">
        <v>5658</v>
      </c>
      <c r="C795" s="680" t="s">
        <v>5659</v>
      </c>
      <c r="D795" s="681" t="s">
        <v>2226</v>
      </c>
      <c r="E795" s="988"/>
      <c r="F795" s="988"/>
      <c r="G795" s="592">
        <f>(216061-(140-51.14)*(308791-216061)/(230-140))</f>
        <v>124505.58</v>
      </c>
      <c r="H795" s="988"/>
      <c r="I795" s="2005"/>
      <c r="J795" s="657" t="str">
        <f>LEFT(A795,1)</f>
        <v>L</v>
      </c>
      <c r="K795" s="656"/>
    </row>
    <row r="796" spans="1:11" s="657" customFormat="1">
      <c r="A796" s="1769" t="s">
        <v>5660</v>
      </c>
      <c r="B796" s="1770" t="s">
        <v>4541</v>
      </c>
      <c r="C796" s="680" t="s">
        <v>5661</v>
      </c>
      <c r="D796" s="681" t="s">
        <v>2226</v>
      </c>
      <c r="E796" s="988"/>
      <c r="F796" s="988"/>
      <c r="G796" s="592">
        <f>(216061-(140-68.16)*(308791-216061)/(230-140))</f>
        <v>142041.85333333333</v>
      </c>
      <c r="H796" s="988"/>
      <c r="I796" s="2005"/>
      <c r="J796" s="657" t="str">
        <f>LEFT(A796,1)</f>
        <v>L</v>
      </c>
      <c r="K796" s="656"/>
    </row>
    <row r="797" spans="1:11">
      <c r="A797" s="16" t="s">
        <v>1324</v>
      </c>
      <c r="B797" s="26" t="s">
        <v>1326</v>
      </c>
      <c r="C797" s="19" t="s">
        <v>2864</v>
      </c>
      <c r="D797" s="17" t="s">
        <v>2226</v>
      </c>
      <c r="E797" s="18"/>
      <c r="F797" s="18"/>
      <c r="G797" s="18">
        <v>65482</v>
      </c>
      <c r="H797" s="18"/>
      <c r="I797" s="661"/>
      <c r="J797" s="13" t="s">
        <v>450</v>
      </c>
    </row>
    <row r="798" spans="1:11">
      <c r="A798" s="16" t="s">
        <v>1325</v>
      </c>
      <c r="B798" s="26" t="s">
        <v>1327</v>
      </c>
      <c r="C798" s="19" t="s">
        <v>2865</v>
      </c>
      <c r="D798" s="17" t="s">
        <v>2226</v>
      </c>
      <c r="E798" s="18"/>
      <c r="F798" s="18"/>
      <c r="G798" s="18">
        <v>93234</v>
      </c>
      <c r="H798" s="18"/>
      <c r="I798" s="661"/>
      <c r="J798" s="13" t="s">
        <v>450</v>
      </c>
    </row>
    <row r="799" spans="1:11">
      <c r="A799" s="16" t="s">
        <v>4874</v>
      </c>
      <c r="B799" s="26" t="s">
        <v>4875</v>
      </c>
      <c r="C799" s="19" t="s">
        <v>4876</v>
      </c>
      <c r="D799" s="17" t="s">
        <v>2226</v>
      </c>
      <c r="E799" s="18"/>
      <c r="F799" s="18"/>
      <c r="G799" s="18">
        <f>216061*0.728/2/2</f>
        <v>39323.101999999999</v>
      </c>
      <c r="H799" s="18"/>
      <c r="I799" s="661"/>
      <c r="J799" s="13" t="s">
        <v>450</v>
      </c>
    </row>
    <row r="800" spans="1:11">
      <c r="A800" s="16" t="s">
        <v>4877</v>
      </c>
      <c r="B800" s="26" t="s">
        <v>4878</v>
      </c>
      <c r="C800" s="19" t="s">
        <v>4879</v>
      </c>
      <c r="D800" s="17" t="s">
        <v>2226</v>
      </c>
      <c r="E800" s="18"/>
      <c r="F800" s="18"/>
      <c r="G800" s="18">
        <f>216061*0.728/2</f>
        <v>78646.203999999998</v>
      </c>
      <c r="H800" s="18"/>
      <c r="I800" s="661"/>
      <c r="J800" s="13" t="s">
        <v>450</v>
      </c>
    </row>
    <row r="801" spans="1:11">
      <c r="A801" s="16" t="s">
        <v>4880</v>
      </c>
      <c r="B801" s="26" t="s">
        <v>4881</v>
      </c>
      <c r="C801" s="19" t="s">
        <v>4882</v>
      </c>
      <c r="D801" s="17" t="s">
        <v>2226</v>
      </c>
      <c r="E801" s="18"/>
      <c r="F801" s="18"/>
      <c r="G801" s="18">
        <f>216061*0.728-G800</f>
        <v>78646.203999999998</v>
      </c>
      <c r="H801" s="18"/>
      <c r="I801" s="661"/>
      <c r="J801" s="13" t="s">
        <v>450</v>
      </c>
    </row>
    <row r="802" spans="1:11" ht="13.8">
      <c r="A802" s="16" t="s">
        <v>728</v>
      </c>
      <c r="B802" s="1594" t="s">
        <v>5079</v>
      </c>
      <c r="C802" s="19" t="s">
        <v>2866</v>
      </c>
      <c r="D802" s="17" t="s">
        <v>2226</v>
      </c>
      <c r="E802" s="18"/>
      <c r="F802" s="18"/>
      <c r="G802" s="1595">
        <v>474961</v>
      </c>
      <c r="H802" s="18"/>
      <c r="I802" s="661"/>
      <c r="J802" s="13" t="s">
        <v>450</v>
      </c>
      <c r="K802" s="1">
        <v>474961</v>
      </c>
    </row>
    <row r="803" spans="1:11" ht="13.8">
      <c r="A803" s="16" t="s">
        <v>1678</v>
      </c>
      <c r="B803" s="1594" t="s">
        <v>5080</v>
      </c>
      <c r="C803" s="19" t="s">
        <v>2867</v>
      </c>
      <c r="D803" s="17" t="s">
        <v>2226</v>
      </c>
      <c r="E803" s="18"/>
      <c r="F803" s="18"/>
      <c r="G803" s="1595">
        <v>678807</v>
      </c>
      <c r="H803" s="18"/>
      <c r="I803" s="661"/>
      <c r="J803" s="13" t="s">
        <v>450</v>
      </c>
    </row>
    <row r="804" spans="1:11" ht="13.8">
      <c r="A804" s="16" t="s">
        <v>494</v>
      </c>
      <c r="B804" s="1594" t="s">
        <v>5081</v>
      </c>
      <c r="C804" s="19" t="s">
        <v>2868</v>
      </c>
      <c r="D804" s="17" t="s">
        <v>2226</v>
      </c>
      <c r="E804" s="18"/>
      <c r="F804" s="18"/>
      <c r="G804" s="1613">
        <v>850038</v>
      </c>
      <c r="H804" s="18"/>
      <c r="I804" s="661"/>
      <c r="J804" s="13" t="s">
        <v>450</v>
      </c>
    </row>
    <row r="805" spans="1:11" s="657" customFormat="1">
      <c r="A805" s="678" t="s">
        <v>4537</v>
      </c>
      <c r="B805" s="679" t="s">
        <v>4532</v>
      </c>
      <c r="C805" s="680" t="s">
        <v>4545</v>
      </c>
      <c r="D805" s="681" t="s">
        <v>2226</v>
      </c>
      <c r="E805" s="682"/>
      <c r="F805" s="682"/>
      <c r="G805" s="682">
        <f>G773</f>
        <v>203401</v>
      </c>
      <c r="H805" s="682"/>
      <c r="I805" s="2004"/>
      <c r="J805" s="656" t="s">
        <v>450</v>
      </c>
    </row>
    <row r="806" spans="1:11" s="657" customFormat="1">
      <c r="A806" s="678" t="s">
        <v>4538</v>
      </c>
      <c r="B806" s="679" t="s">
        <v>4541</v>
      </c>
      <c r="C806" s="680" t="s">
        <v>4543</v>
      </c>
      <c r="D806" s="681" t="s">
        <v>2226</v>
      </c>
      <c r="E806" s="682"/>
      <c r="F806" s="682"/>
      <c r="G806" s="682">
        <f>ROUND(216061*0.728,)</f>
        <v>157292</v>
      </c>
      <c r="H806" s="682"/>
      <c r="I806" s="2004"/>
      <c r="J806" s="656" t="s">
        <v>450</v>
      </c>
    </row>
    <row r="807" spans="1:11" s="657" customFormat="1">
      <c r="A807" s="678" t="s">
        <v>4539</v>
      </c>
      <c r="B807" s="679" t="s">
        <v>4542</v>
      </c>
      <c r="C807" s="680" t="s">
        <v>4544</v>
      </c>
      <c r="D807" s="681" t="s">
        <v>2226</v>
      </c>
      <c r="E807" s="682"/>
      <c r="F807" s="682"/>
      <c r="G807" s="682">
        <f>ROUND(186264.75*1.017,)</f>
        <v>189431</v>
      </c>
      <c r="H807" s="682"/>
      <c r="I807" s="2004"/>
      <c r="J807" s="656" t="s">
        <v>450</v>
      </c>
    </row>
    <row r="808" spans="1:11" s="657" customFormat="1">
      <c r="A808" s="678" t="s">
        <v>4540</v>
      </c>
      <c r="B808" s="679" t="s">
        <v>4533</v>
      </c>
      <c r="C808" s="680" t="s">
        <v>4551</v>
      </c>
      <c r="D808" s="681" t="s">
        <v>2226</v>
      </c>
      <c r="E808" s="682"/>
      <c r="F808" s="682"/>
      <c r="G808" s="682">
        <f>ROUND(335276.55*1.017,)</f>
        <v>340976</v>
      </c>
      <c r="H808" s="682"/>
      <c r="I808" s="2004"/>
      <c r="J808" s="656" t="s">
        <v>450</v>
      </c>
    </row>
    <row r="809" spans="1:11" s="1706" customFormat="1">
      <c r="A809" s="1697" t="s">
        <v>5582</v>
      </c>
      <c r="B809" s="1728"/>
      <c r="C809" s="1699" t="s">
        <v>5583</v>
      </c>
      <c r="D809" s="1700" t="s">
        <v>2118</v>
      </c>
      <c r="E809" s="1704"/>
      <c r="F809" s="1727">
        <v>10510000</v>
      </c>
      <c r="G809" s="1702"/>
      <c r="H809" s="1702"/>
      <c r="I809" s="1704">
        <v>2139606</v>
      </c>
      <c r="J809" s="1705" t="s">
        <v>2681</v>
      </c>
      <c r="K809" s="1705"/>
    </row>
    <row r="810" spans="1:11" s="1706" customFormat="1">
      <c r="A810" s="1697" t="s">
        <v>5581</v>
      </c>
      <c r="B810" s="1728"/>
      <c r="C810" s="1699" t="s">
        <v>5584</v>
      </c>
      <c r="D810" s="1700" t="s">
        <v>2118</v>
      </c>
      <c r="E810" s="1704"/>
      <c r="F810" s="1727">
        <v>10304000</v>
      </c>
      <c r="G810" s="1702"/>
      <c r="H810" s="1702"/>
      <c r="I810" s="1704">
        <v>2139606</v>
      </c>
      <c r="J810" s="1705" t="s">
        <v>2681</v>
      </c>
      <c r="K810" s="1705"/>
    </row>
    <row r="811" spans="1:11" s="1713" customFormat="1">
      <c r="A811" s="1707" t="s">
        <v>1130</v>
      </c>
      <c r="B811" s="1708" t="s">
        <v>5598</v>
      </c>
      <c r="C811" s="1730" t="s">
        <v>2869</v>
      </c>
      <c r="D811" s="1709" t="s">
        <v>2118</v>
      </c>
      <c r="E811" s="1720"/>
      <c r="F811" s="1720">
        <v>11340</v>
      </c>
      <c r="G811" s="1711">
        <f>2.05*VLOOKUP("N2.45",DGNC,5)</f>
        <v>621381.64999999991</v>
      </c>
      <c r="H811" s="1720"/>
      <c r="I811" s="1999"/>
      <c r="J811" s="1715" t="s">
        <v>450</v>
      </c>
    </row>
    <row r="812" spans="1:11">
      <c r="A812" s="16" t="s">
        <v>928</v>
      </c>
      <c r="B812" s="26" t="s">
        <v>929</v>
      </c>
      <c r="C812" s="19" t="s">
        <v>2869</v>
      </c>
      <c r="D812" s="17" t="s">
        <v>2118</v>
      </c>
      <c r="E812" s="18"/>
      <c r="F812" s="18">
        <v>11340</v>
      </c>
      <c r="G812" s="18">
        <v>399121</v>
      </c>
      <c r="H812" s="18"/>
      <c r="I812" s="661"/>
      <c r="J812" s="13" t="s">
        <v>450</v>
      </c>
    </row>
    <row r="813" spans="1:11">
      <c r="A813" s="16" t="s">
        <v>894</v>
      </c>
      <c r="B813" s="515">
        <v>74316</v>
      </c>
      <c r="C813" s="19" t="s">
        <v>2870</v>
      </c>
      <c r="D813" s="17" t="s">
        <v>2118</v>
      </c>
      <c r="E813" s="18"/>
      <c r="F813" s="18">
        <v>11340</v>
      </c>
      <c r="G813" s="18">
        <v>704803</v>
      </c>
      <c r="H813" s="18"/>
      <c r="I813" s="661"/>
      <c r="J813" s="13" t="s">
        <v>450</v>
      </c>
    </row>
    <row r="814" spans="1:11">
      <c r="A814" s="16" t="s">
        <v>1782</v>
      </c>
      <c r="B814" s="26" t="s">
        <v>1065</v>
      </c>
      <c r="C814" s="19" t="s">
        <v>2871</v>
      </c>
      <c r="D814" s="17" t="s">
        <v>2118</v>
      </c>
      <c r="E814" s="18"/>
      <c r="F814" s="18">
        <v>13230</v>
      </c>
      <c r="G814" s="18">
        <v>284838</v>
      </c>
      <c r="H814" s="18"/>
      <c r="I814" s="661"/>
      <c r="J814" s="13" t="s">
        <v>450</v>
      </c>
    </row>
    <row r="815" spans="1:11" s="1713" customFormat="1">
      <c r="A815" s="1707" t="s">
        <v>5745</v>
      </c>
      <c r="B815" s="1708" t="s">
        <v>5746</v>
      </c>
      <c r="C815" s="1730" t="s">
        <v>5747</v>
      </c>
      <c r="D815" s="1709" t="s">
        <v>2118</v>
      </c>
      <c r="E815" s="1720"/>
      <c r="F815" s="1720">
        <v>11340</v>
      </c>
      <c r="G815" s="1711">
        <f>4.17*VLOOKUP("N2.45",DGNC,5)</f>
        <v>1263981.21</v>
      </c>
      <c r="H815" s="1720"/>
      <c r="I815" s="1999"/>
      <c r="J815" s="1715" t="s">
        <v>450</v>
      </c>
    </row>
    <row r="816" spans="1:11">
      <c r="A816" s="16" t="s">
        <v>1660</v>
      </c>
      <c r="B816" s="26" t="s">
        <v>1081</v>
      </c>
      <c r="C816" s="19" t="s">
        <v>2872</v>
      </c>
      <c r="D816" s="17" t="s">
        <v>2118</v>
      </c>
      <c r="E816" s="18"/>
      <c r="F816" s="18">
        <v>1890</v>
      </c>
      <c r="G816" s="18">
        <v>34657</v>
      </c>
      <c r="H816" s="18"/>
      <c r="I816" s="661"/>
      <c r="J816" s="13" t="s">
        <v>450</v>
      </c>
    </row>
    <row r="817" spans="1:10">
      <c r="A817" s="16" t="s">
        <v>4077</v>
      </c>
      <c r="B817" s="26" t="s">
        <v>1644</v>
      </c>
      <c r="C817" s="19" t="s">
        <v>4076</v>
      </c>
      <c r="D817" s="17" t="s">
        <v>2118</v>
      </c>
      <c r="E817" s="18"/>
      <c r="F817" s="18">
        <v>1890</v>
      </c>
      <c r="G817" s="18">
        <v>38989</v>
      </c>
      <c r="H817" s="18"/>
      <c r="I817" s="661"/>
      <c r="J817" s="13" t="s">
        <v>450</v>
      </c>
    </row>
    <row r="818" spans="1:10">
      <c r="A818" s="16" t="s">
        <v>893</v>
      </c>
      <c r="B818" s="515">
        <v>74316</v>
      </c>
      <c r="C818" s="19" t="s">
        <v>2870</v>
      </c>
      <c r="D818" s="17" t="s">
        <v>2118</v>
      </c>
      <c r="E818" s="18"/>
      <c r="F818" s="18">
        <v>2520</v>
      </c>
      <c r="G818" s="18">
        <v>704803</v>
      </c>
      <c r="H818" s="18"/>
      <c r="I818" s="661"/>
      <c r="J818" s="13" t="s">
        <v>450</v>
      </c>
    </row>
    <row r="819" spans="1:10" ht="13.8">
      <c r="A819" s="16" t="s">
        <v>1301</v>
      </c>
      <c r="B819" s="1598" t="s">
        <v>5037</v>
      </c>
      <c r="C819" s="19" t="s">
        <v>5082</v>
      </c>
      <c r="D819" s="17" t="s">
        <v>2118</v>
      </c>
      <c r="E819" s="18"/>
      <c r="F819" s="18"/>
      <c r="G819" s="1601">
        <v>77000</v>
      </c>
      <c r="H819" s="18"/>
      <c r="I819" s="661"/>
      <c r="J819" s="13" t="s">
        <v>2016</v>
      </c>
    </row>
    <row r="820" spans="1:10">
      <c r="A820" s="16" t="s">
        <v>1682</v>
      </c>
      <c r="B820" s="26"/>
      <c r="C820" s="19" t="s">
        <v>2873</v>
      </c>
      <c r="D820" s="17"/>
      <c r="E820" s="18"/>
      <c r="F820" s="18"/>
      <c r="G820" s="18"/>
      <c r="H820" s="18"/>
      <c r="I820" s="661"/>
      <c r="J820" s="13" t="s">
        <v>450</v>
      </c>
    </row>
    <row r="821" spans="1:10">
      <c r="A821" s="16" t="s">
        <v>1681</v>
      </c>
      <c r="B821" s="26"/>
      <c r="C821" s="19" t="s">
        <v>2874</v>
      </c>
      <c r="D821" s="17"/>
      <c r="E821" s="18"/>
      <c r="F821" s="18"/>
      <c r="G821" s="18"/>
      <c r="H821" s="18"/>
      <c r="I821" s="661"/>
      <c r="J821" s="13" t="s">
        <v>450</v>
      </c>
    </row>
    <row r="822" spans="1:10">
      <c r="A822" s="16" t="s">
        <v>1117</v>
      </c>
      <c r="B822" s="668" t="s">
        <v>373</v>
      </c>
      <c r="C822" s="19" t="s">
        <v>2875</v>
      </c>
      <c r="D822" s="17" t="s">
        <v>2118</v>
      </c>
      <c r="E822" s="18"/>
      <c r="F822" s="18"/>
      <c r="G822" s="18">
        <v>11455</v>
      </c>
      <c r="H822" s="18"/>
      <c r="I822" s="661"/>
      <c r="J822" s="13" t="s">
        <v>450</v>
      </c>
    </row>
    <row r="823" spans="1:10">
      <c r="A823" s="16" t="s">
        <v>1601</v>
      </c>
      <c r="B823" s="26" t="s">
        <v>836</v>
      </c>
      <c r="C823" s="19" t="s">
        <v>2876</v>
      </c>
      <c r="D823" s="17" t="s">
        <v>2226</v>
      </c>
      <c r="E823" s="18"/>
      <c r="F823" s="18"/>
      <c r="G823" s="18">
        <v>13161</v>
      </c>
      <c r="H823" s="18"/>
      <c r="I823" s="661"/>
      <c r="J823" s="13" t="s">
        <v>450</v>
      </c>
    </row>
    <row r="824" spans="1:10" ht="13.8">
      <c r="A824" s="16" t="s">
        <v>1828</v>
      </c>
      <c r="B824" s="1598" t="s">
        <v>5083</v>
      </c>
      <c r="C824" s="19" t="s">
        <v>2877</v>
      </c>
      <c r="D824" s="17" t="s">
        <v>2226</v>
      </c>
      <c r="E824" s="18"/>
      <c r="F824" s="18"/>
      <c r="G824" s="1595">
        <v>99000</v>
      </c>
      <c r="H824" s="18"/>
      <c r="I824" s="661"/>
      <c r="J824" s="13" t="s">
        <v>450</v>
      </c>
    </row>
    <row r="825" spans="1:10">
      <c r="A825" s="16" t="s">
        <v>533</v>
      </c>
      <c r="B825" s="26" t="s">
        <v>859</v>
      </c>
      <c r="C825" s="19" t="s">
        <v>2878</v>
      </c>
      <c r="D825" s="17" t="s">
        <v>2118</v>
      </c>
      <c r="E825" s="18"/>
      <c r="F825" s="18"/>
      <c r="G825" s="18">
        <v>67874</v>
      </c>
      <c r="H825" s="18"/>
      <c r="I825" s="661"/>
      <c r="J825" s="13" t="s">
        <v>2609</v>
      </c>
    </row>
    <row r="826" spans="1:10">
      <c r="A826" s="16" t="s">
        <v>1532</v>
      </c>
      <c r="B826" s="26" t="s">
        <v>989</v>
      </c>
      <c r="C826" s="19" t="s">
        <v>2879</v>
      </c>
      <c r="D826" s="17" t="s">
        <v>2118</v>
      </c>
      <c r="E826" s="18"/>
      <c r="F826" s="18"/>
      <c r="G826" s="18">
        <v>22255</v>
      </c>
      <c r="H826" s="18"/>
      <c r="I826" s="661"/>
      <c r="J826" s="13" t="s">
        <v>450</v>
      </c>
    </row>
    <row r="827" spans="1:10">
      <c r="A827" s="16" t="s">
        <v>1533</v>
      </c>
      <c r="B827" s="26" t="s">
        <v>989</v>
      </c>
      <c r="C827" s="19" t="s">
        <v>2880</v>
      </c>
      <c r="D827" s="17" t="s">
        <v>2118</v>
      </c>
      <c r="E827" s="18"/>
      <c r="F827" s="18"/>
      <c r="G827" s="18">
        <v>22255</v>
      </c>
      <c r="H827" s="18"/>
      <c r="I827" s="661"/>
      <c r="J827" s="13" t="s">
        <v>450</v>
      </c>
    </row>
    <row r="828" spans="1:10">
      <c r="A828" s="16" t="s">
        <v>1534</v>
      </c>
      <c r="B828" s="26" t="s">
        <v>1721</v>
      </c>
      <c r="C828" s="19" t="s">
        <v>2881</v>
      </c>
      <c r="D828" s="17" t="s">
        <v>2118</v>
      </c>
      <c r="E828" s="18"/>
      <c r="F828" s="18"/>
      <c r="G828" s="18">
        <v>48765</v>
      </c>
      <c r="H828" s="18"/>
      <c r="I828" s="661"/>
      <c r="J828" s="13" t="s">
        <v>450</v>
      </c>
    </row>
    <row r="829" spans="1:10">
      <c r="A829" s="16" t="s">
        <v>1535</v>
      </c>
      <c r="B829" s="26" t="s">
        <v>1721</v>
      </c>
      <c r="C829" s="19" t="s">
        <v>2882</v>
      </c>
      <c r="D829" s="17" t="s">
        <v>2118</v>
      </c>
      <c r="E829" s="18"/>
      <c r="F829" s="18"/>
      <c r="G829" s="18">
        <v>48765</v>
      </c>
      <c r="H829" s="18"/>
      <c r="I829" s="661"/>
      <c r="J829" s="13" t="s">
        <v>450</v>
      </c>
    </row>
    <row r="830" spans="1:10">
      <c r="A830" s="16" t="s">
        <v>1450</v>
      </c>
      <c r="B830" s="26" t="s">
        <v>989</v>
      </c>
      <c r="C830" s="19" t="s">
        <v>2883</v>
      </c>
      <c r="D830" s="17" t="s">
        <v>2118</v>
      </c>
      <c r="E830" s="18"/>
      <c r="F830" s="18"/>
      <c r="G830" s="18">
        <v>48765</v>
      </c>
      <c r="H830" s="18"/>
      <c r="I830" s="661"/>
      <c r="J830" s="13" t="s">
        <v>450</v>
      </c>
    </row>
    <row r="831" spans="1:10">
      <c r="A831" s="16" t="s">
        <v>1602</v>
      </c>
      <c r="B831" s="26" t="s">
        <v>1721</v>
      </c>
      <c r="C831" s="19" t="s">
        <v>2884</v>
      </c>
      <c r="D831" s="17" t="s">
        <v>2118</v>
      </c>
      <c r="E831" s="18"/>
      <c r="F831" s="18"/>
      <c r="G831" s="18">
        <v>48765</v>
      </c>
      <c r="H831" s="18"/>
      <c r="I831" s="661"/>
      <c r="J831" s="13" t="s">
        <v>450</v>
      </c>
    </row>
    <row r="832" spans="1:10" s="1748" customFormat="1">
      <c r="A832" s="1741" t="s">
        <v>70</v>
      </c>
      <c r="B832" s="1742" t="s">
        <v>5600</v>
      </c>
      <c r="C832" s="1743" t="s">
        <v>5601</v>
      </c>
      <c r="D832" s="1744" t="s">
        <v>805</v>
      </c>
      <c r="E832" s="1745"/>
      <c r="F832" s="1745">
        <v>371262</v>
      </c>
      <c r="G832" s="1746">
        <f>1.97*VLOOKUP("N1.30",DGNC,5)</f>
        <v>414064.45</v>
      </c>
      <c r="H832" s="1745"/>
      <c r="I832" s="2006"/>
      <c r="J832" s="1747" t="s">
        <v>610</v>
      </c>
    </row>
    <row r="833" spans="1:11" s="1748" customFormat="1">
      <c r="A833" s="1741" t="s">
        <v>2065</v>
      </c>
      <c r="B833" s="1742" t="s">
        <v>5600</v>
      </c>
      <c r="C833" s="1743" t="s">
        <v>5602</v>
      </c>
      <c r="D833" s="1744" t="s">
        <v>805</v>
      </c>
      <c r="E833" s="1745"/>
      <c r="F833" s="1745">
        <v>461871</v>
      </c>
      <c r="G833" s="1746">
        <f>1.97*VLOOKUP("N1.30",DGNC,5)</f>
        <v>414064.45</v>
      </c>
      <c r="H833" s="1745"/>
      <c r="I833" s="2006"/>
      <c r="J833" s="1747" t="s">
        <v>610</v>
      </c>
    </row>
    <row r="834" spans="1:11" s="1748" customFormat="1">
      <c r="A834" s="1741" t="s">
        <v>2066</v>
      </c>
      <c r="B834" s="1742" t="s">
        <v>5600</v>
      </c>
      <c r="C834" s="1743" t="s">
        <v>5603</v>
      </c>
      <c r="D834" s="1744" t="s">
        <v>805</v>
      </c>
      <c r="E834" s="1745"/>
      <c r="F834" s="1745">
        <f>281*1700+0.891*320000+0.493*320000</f>
        <v>920580</v>
      </c>
      <c r="G834" s="1746">
        <f>1.97*VLOOKUP("N1.37",DGNC,5)</f>
        <v>466397.5</v>
      </c>
      <c r="H834" s="1745"/>
      <c r="I834" s="2006"/>
      <c r="J834" s="1747" t="s">
        <v>610</v>
      </c>
    </row>
    <row r="835" spans="1:11" s="1649" customFormat="1">
      <c r="A835" s="820"/>
      <c r="B835" s="1742"/>
      <c r="C835" s="1645"/>
      <c r="D835" s="1646"/>
      <c r="E835" s="1647"/>
      <c r="F835" s="1647"/>
      <c r="G835" s="1746"/>
      <c r="H835" s="1647"/>
      <c r="I835" s="1995"/>
      <c r="J835" s="1648" t="s">
        <v>610</v>
      </c>
      <c r="K835" s="1648"/>
    </row>
    <row r="836" spans="1:11" s="1649" customFormat="1">
      <c r="A836" s="820" t="s">
        <v>5604</v>
      </c>
      <c r="B836" s="1742" t="s">
        <v>5084</v>
      </c>
      <c r="C836" s="1645" t="s">
        <v>5605</v>
      </c>
      <c r="D836" s="1646" t="s">
        <v>805</v>
      </c>
      <c r="E836" s="1647"/>
      <c r="F836" s="1647">
        <v>515813</v>
      </c>
      <c r="G836" s="1746">
        <f>1.64*VLOOKUP("N1.30",DGNC,5)</f>
        <v>344703.39999999997</v>
      </c>
      <c r="H836" s="1647"/>
      <c r="I836" s="1995"/>
      <c r="J836" s="1648" t="s">
        <v>610</v>
      </c>
      <c r="K836" s="1648"/>
    </row>
    <row r="837" spans="1:11" s="1696" customFormat="1">
      <c r="A837" s="1690" t="s">
        <v>1694</v>
      </c>
      <c r="B837" s="1691" t="s">
        <v>5606</v>
      </c>
      <c r="C837" s="1749" t="s">
        <v>2885</v>
      </c>
      <c r="D837" s="1724" t="s">
        <v>1557</v>
      </c>
      <c r="E837" s="1694"/>
      <c r="F837" s="1694">
        <v>9814</v>
      </c>
      <c r="G837" s="1750">
        <f>12.94*VLOOKUP("N1.35",DGNC,5)/1000</f>
        <v>2965.3303999999998</v>
      </c>
      <c r="H837" s="1694"/>
      <c r="I837" s="2000"/>
      <c r="J837" s="1695" t="s">
        <v>450</v>
      </c>
      <c r="K837" s="1695"/>
    </row>
    <row r="838" spans="1:11" s="1696" customFormat="1">
      <c r="A838" s="1690" t="s">
        <v>1553</v>
      </c>
      <c r="B838" s="1691" t="s">
        <v>5607</v>
      </c>
      <c r="C838" s="1749" t="s">
        <v>2886</v>
      </c>
      <c r="D838" s="1724" t="s">
        <v>1557</v>
      </c>
      <c r="E838" s="1694"/>
      <c r="F838" s="1694">
        <v>9970</v>
      </c>
      <c r="G838" s="1750">
        <f>10.08*VLOOKUP("N1.35",DGNC,5)/1000</f>
        <v>2309.9327999999996</v>
      </c>
      <c r="H838" s="1694"/>
      <c r="I838" s="2000"/>
      <c r="J838" s="1695" t="s">
        <v>450</v>
      </c>
      <c r="K838" s="1695"/>
    </row>
    <row r="839" spans="1:11" s="1696" customFormat="1">
      <c r="A839" s="1690" t="s">
        <v>1585</v>
      </c>
      <c r="B839" s="1691" t="s">
        <v>5608</v>
      </c>
      <c r="C839" s="1749" t="s">
        <v>2887</v>
      </c>
      <c r="D839" s="1724" t="s">
        <v>1557</v>
      </c>
      <c r="E839" s="1694"/>
      <c r="F839" s="1694">
        <v>9982</v>
      </c>
      <c r="G839" s="1750">
        <f>7.83*VLOOKUP("N1.35",DGNC,5)/1000</f>
        <v>1794.3228000000001</v>
      </c>
      <c r="H839" s="1694"/>
      <c r="I839" s="2000"/>
      <c r="J839" s="1695" t="s">
        <v>450</v>
      </c>
      <c r="K839" s="1695"/>
    </row>
    <row r="840" spans="1:11" s="1696" customFormat="1">
      <c r="A840" s="1690" t="s">
        <v>1695</v>
      </c>
      <c r="B840" s="1691" t="s">
        <v>5609</v>
      </c>
      <c r="C840" s="1749" t="s">
        <v>2888</v>
      </c>
      <c r="D840" s="1724" t="s">
        <v>532</v>
      </c>
      <c r="E840" s="1694"/>
      <c r="F840" s="1694">
        <v>28205</v>
      </c>
      <c r="G840" s="1750">
        <f>31.76*VLOOKUP("N1.35",DGNC,5)/100</f>
        <v>72781.216</v>
      </c>
      <c r="H840" s="1694"/>
      <c r="I840" s="2000"/>
      <c r="J840" s="1695" t="s">
        <v>450</v>
      </c>
      <c r="K840" s="1695"/>
    </row>
    <row r="841" spans="1:11" s="1696" customFormat="1">
      <c r="A841" s="1690" t="s">
        <v>5644</v>
      </c>
      <c r="B841" s="1691" t="s">
        <v>5645</v>
      </c>
      <c r="C841" s="1749" t="s">
        <v>5646</v>
      </c>
      <c r="D841" s="1724" t="s">
        <v>532</v>
      </c>
      <c r="E841" s="1694"/>
      <c r="F841" s="1694">
        <v>28205</v>
      </c>
      <c r="G841" s="1750">
        <f>0.3*VLOOKUP("N1.40",DGNC,5)</f>
        <v>74440.5</v>
      </c>
      <c r="H841" s="1694"/>
      <c r="I841" s="2000"/>
      <c r="J841" s="1695"/>
      <c r="K841" s="1695"/>
    </row>
    <row r="842" spans="1:11" s="1706" customFormat="1">
      <c r="A842" s="1697" t="s">
        <v>5611</v>
      </c>
      <c r="B842" s="1728"/>
      <c r="C842" s="1699" t="s">
        <v>5612</v>
      </c>
      <c r="D842" s="1700" t="s">
        <v>805</v>
      </c>
      <c r="E842" s="1704"/>
      <c r="F842" s="1704">
        <f>281*1700+0.891*320000+0.493*320000</f>
        <v>920580</v>
      </c>
      <c r="G842" s="1702"/>
      <c r="H842" s="1702"/>
      <c r="I842" s="1704">
        <v>732002</v>
      </c>
      <c r="J842" s="1705" t="s">
        <v>956</v>
      </c>
      <c r="K842" s="1705"/>
    </row>
    <row r="843" spans="1:11" s="1706" customFormat="1">
      <c r="A843" s="1697" t="s">
        <v>5613</v>
      </c>
      <c r="B843" s="1728"/>
      <c r="C843" s="1699" t="s">
        <v>5614</v>
      </c>
      <c r="D843" s="1700" t="s">
        <v>805</v>
      </c>
      <c r="E843" s="1704"/>
      <c r="F843" s="1704">
        <v>371262</v>
      </c>
      <c r="G843" s="1702"/>
      <c r="H843" s="1702"/>
      <c r="I843" s="1704">
        <v>732002</v>
      </c>
      <c r="J843" s="1705" t="s">
        <v>956</v>
      </c>
      <c r="K843" s="1705"/>
    </row>
    <row r="844" spans="1:11" s="1777" customFormat="1">
      <c r="A844" s="1771" t="s">
        <v>5662</v>
      </c>
      <c r="B844" s="1772" t="s">
        <v>5663</v>
      </c>
      <c r="C844" s="1773" t="s">
        <v>5664</v>
      </c>
      <c r="D844" s="1774" t="s">
        <v>805</v>
      </c>
      <c r="E844" s="1727"/>
      <c r="F844" s="1727"/>
      <c r="G844" s="1750">
        <f>1.38*VLOOKUP("N1.35",DGNC,5)</f>
        <v>316240.8</v>
      </c>
      <c r="H844" s="1701"/>
      <c r="I844" s="1775"/>
      <c r="J844" s="1776"/>
      <c r="K844" s="1776"/>
    </row>
    <row r="845" spans="1:11" ht="13.8">
      <c r="A845" s="16" t="s">
        <v>1565</v>
      </c>
      <c r="B845" s="1598" t="s">
        <v>5085</v>
      </c>
      <c r="C845" s="19" t="s">
        <v>2889</v>
      </c>
      <c r="D845" s="17" t="s">
        <v>905</v>
      </c>
      <c r="E845" s="18"/>
      <c r="F845" s="18"/>
      <c r="G845" s="1595">
        <v>1986408</v>
      </c>
      <c r="H845" s="1595">
        <v>144483</v>
      </c>
      <c r="I845" s="661"/>
      <c r="J845" s="13" t="s">
        <v>2449</v>
      </c>
    </row>
    <row r="846" spans="1:11" ht="13.8">
      <c r="A846" s="16" t="s">
        <v>729</v>
      </c>
      <c r="B846" s="1598" t="s">
        <v>5086</v>
      </c>
      <c r="C846" s="19" t="s">
        <v>2890</v>
      </c>
      <c r="D846" s="17" t="s">
        <v>905</v>
      </c>
      <c r="E846" s="18"/>
      <c r="F846" s="18"/>
      <c r="G846" s="1595">
        <v>2698065</v>
      </c>
      <c r="H846" s="1595">
        <v>184338</v>
      </c>
      <c r="I846" s="661"/>
      <c r="J846" s="13" t="s">
        <v>2449</v>
      </c>
    </row>
    <row r="847" spans="1:11" ht="13.8">
      <c r="A847" s="16" t="s">
        <v>601</v>
      </c>
      <c r="B847" s="1598" t="s">
        <v>5085</v>
      </c>
      <c r="C847" s="19" t="s">
        <v>2891</v>
      </c>
      <c r="D847" s="17" t="s">
        <v>905</v>
      </c>
      <c r="E847" s="18"/>
      <c r="F847" s="18"/>
      <c r="G847" s="1595">
        <v>1986408</v>
      </c>
      <c r="H847" s="1595">
        <v>144483</v>
      </c>
      <c r="I847" s="661"/>
      <c r="J847" s="13" t="s">
        <v>2449</v>
      </c>
    </row>
    <row r="848" spans="1:11" ht="13.8">
      <c r="A848" s="16" t="s">
        <v>1109</v>
      </c>
      <c r="B848" s="1598" t="s">
        <v>5085</v>
      </c>
      <c r="C848" s="19" t="s">
        <v>2892</v>
      </c>
      <c r="D848" s="17" t="s">
        <v>905</v>
      </c>
      <c r="E848" s="18"/>
      <c r="F848" s="18"/>
      <c r="G848" s="1595">
        <v>1986408</v>
      </c>
      <c r="H848" s="1595">
        <v>144483</v>
      </c>
      <c r="I848" s="661"/>
      <c r="J848" s="13" t="s">
        <v>2449</v>
      </c>
    </row>
    <row r="849" spans="1:10" ht="13.8">
      <c r="A849" s="16" t="s">
        <v>909</v>
      </c>
      <c r="B849" s="1598" t="s">
        <v>5085</v>
      </c>
      <c r="C849" s="19" t="s">
        <v>2893</v>
      </c>
      <c r="D849" s="17" t="s">
        <v>905</v>
      </c>
      <c r="E849" s="18"/>
      <c r="F849" s="18"/>
      <c r="G849" s="1595">
        <v>1986408</v>
      </c>
      <c r="H849" s="1595">
        <v>144483</v>
      </c>
      <c r="I849" s="661"/>
      <c r="J849" s="13" t="s">
        <v>2449</v>
      </c>
    </row>
    <row r="850" spans="1:10" ht="13.8">
      <c r="A850" s="16" t="s">
        <v>1099</v>
      </c>
      <c r="B850" s="1598" t="s">
        <v>5086</v>
      </c>
      <c r="C850" s="19" t="s">
        <v>2894</v>
      </c>
      <c r="D850" s="17" t="s">
        <v>905</v>
      </c>
      <c r="E850" s="18"/>
      <c r="F850" s="18"/>
      <c r="G850" s="1595">
        <v>2698065</v>
      </c>
      <c r="H850" s="1595">
        <v>184338</v>
      </c>
      <c r="I850" s="661"/>
      <c r="J850" s="13" t="s">
        <v>2449</v>
      </c>
    </row>
    <row r="851" spans="1:10" ht="13.8">
      <c r="A851" s="16" t="s">
        <v>256</v>
      </c>
      <c r="B851" s="1598" t="s">
        <v>5087</v>
      </c>
      <c r="C851" s="19" t="s">
        <v>2895</v>
      </c>
      <c r="D851" s="17" t="s">
        <v>905</v>
      </c>
      <c r="E851" s="18"/>
      <c r="F851" s="18"/>
      <c r="G851" s="1595">
        <v>3694863</v>
      </c>
      <c r="H851" s="1595">
        <v>184338</v>
      </c>
      <c r="I851" s="661"/>
      <c r="J851" s="13" t="s">
        <v>2449</v>
      </c>
    </row>
    <row r="852" spans="1:10" ht="13.8">
      <c r="A852" s="16" t="s">
        <v>666</v>
      </c>
      <c r="B852" s="1598" t="s">
        <v>5088</v>
      </c>
      <c r="C852" s="19" t="s">
        <v>2896</v>
      </c>
      <c r="D852" s="17" t="s">
        <v>905</v>
      </c>
      <c r="E852" s="18"/>
      <c r="F852" s="18"/>
      <c r="G852" s="1595">
        <v>4193263</v>
      </c>
      <c r="H852" s="1595">
        <v>236652</v>
      </c>
      <c r="I852" s="661"/>
      <c r="J852" s="13" t="s">
        <v>2449</v>
      </c>
    </row>
    <row r="853" spans="1:10" ht="13.8">
      <c r="A853" s="16" t="s">
        <v>667</v>
      </c>
      <c r="B853" s="1598" t="s">
        <v>5089</v>
      </c>
      <c r="C853" s="19" t="s">
        <v>2897</v>
      </c>
      <c r="D853" s="17" t="s">
        <v>905</v>
      </c>
      <c r="E853" s="18"/>
      <c r="F853" s="18"/>
      <c r="G853" s="1595">
        <v>4382558</v>
      </c>
      <c r="H853" s="1595">
        <v>172183</v>
      </c>
      <c r="I853" s="661"/>
      <c r="J853" s="13" t="s">
        <v>2449</v>
      </c>
    </row>
    <row r="854" spans="1:10" ht="13.8">
      <c r="A854" s="16" t="s">
        <v>1066</v>
      </c>
      <c r="B854" s="1598" t="s">
        <v>5090</v>
      </c>
      <c r="C854" s="19" t="s">
        <v>2898</v>
      </c>
      <c r="D854" s="17" t="s">
        <v>905</v>
      </c>
      <c r="E854" s="18"/>
      <c r="F854" s="18"/>
      <c r="G854" s="1595">
        <v>4900127</v>
      </c>
      <c r="H854" s="1595">
        <v>223425</v>
      </c>
      <c r="I854" s="661"/>
      <c r="J854" s="13" t="s">
        <v>2449</v>
      </c>
    </row>
    <row r="855" spans="1:10" ht="13.8">
      <c r="A855" s="19" t="s">
        <v>5091</v>
      </c>
      <c r="B855" s="1598" t="s">
        <v>5092</v>
      </c>
      <c r="C855" s="19" t="s">
        <v>5093</v>
      </c>
      <c r="D855" s="17" t="s">
        <v>905</v>
      </c>
      <c r="E855" s="18"/>
      <c r="F855" s="18"/>
      <c r="G855" s="1595">
        <v>5247000</v>
      </c>
      <c r="H855" s="18"/>
      <c r="I855" s="661"/>
      <c r="J855" s="13" t="s">
        <v>2449</v>
      </c>
    </row>
    <row r="856" spans="1:10" ht="13.8">
      <c r="A856" s="19" t="s">
        <v>5094</v>
      </c>
      <c r="B856" s="1598" t="s">
        <v>5095</v>
      </c>
      <c r="C856" s="19" t="s">
        <v>5096</v>
      </c>
      <c r="D856" s="17" t="s">
        <v>905</v>
      </c>
      <c r="E856" s="18"/>
      <c r="F856" s="18"/>
      <c r="G856" s="1595">
        <v>6193000</v>
      </c>
      <c r="H856" s="18"/>
      <c r="I856" s="661"/>
      <c r="J856" s="13" t="s">
        <v>2449</v>
      </c>
    </row>
    <row r="857" spans="1:10" ht="13.8">
      <c r="A857" s="19" t="s">
        <v>5097</v>
      </c>
      <c r="B857" s="1598" t="s">
        <v>5098</v>
      </c>
      <c r="C857" s="19" t="s">
        <v>5099</v>
      </c>
      <c r="D857" s="17" t="s">
        <v>905</v>
      </c>
      <c r="E857" s="18"/>
      <c r="F857" s="18"/>
      <c r="G857" s="1595">
        <v>8588800</v>
      </c>
      <c r="H857" s="18"/>
      <c r="I857" s="661"/>
      <c r="J857" s="13" t="s">
        <v>2449</v>
      </c>
    </row>
    <row r="858" spans="1:10" ht="13.8">
      <c r="A858" s="19" t="s">
        <v>5100</v>
      </c>
      <c r="B858" s="1598" t="s">
        <v>5101</v>
      </c>
      <c r="C858" s="19" t="s">
        <v>4998</v>
      </c>
      <c r="D858" s="17" t="s">
        <v>905</v>
      </c>
      <c r="E858" s="18"/>
      <c r="F858" s="18"/>
      <c r="G858" s="1595">
        <v>11338800</v>
      </c>
      <c r="H858" s="18"/>
      <c r="I858" s="661"/>
      <c r="J858" s="13" t="s">
        <v>2449</v>
      </c>
    </row>
    <row r="859" spans="1:10" ht="13.8">
      <c r="A859" s="19" t="s">
        <v>3794</v>
      </c>
      <c r="B859" s="1598" t="s">
        <v>5102</v>
      </c>
      <c r="C859" s="19" t="s">
        <v>5103</v>
      </c>
      <c r="D859" s="17" t="s">
        <v>905</v>
      </c>
      <c r="E859" s="18"/>
      <c r="F859" s="18"/>
      <c r="G859" s="1595">
        <v>13607000</v>
      </c>
      <c r="H859" s="18"/>
      <c r="I859" s="661"/>
      <c r="J859" s="13" t="s">
        <v>2449</v>
      </c>
    </row>
    <row r="860" spans="1:10" ht="13.8">
      <c r="A860" s="19" t="s">
        <v>5104</v>
      </c>
      <c r="B860" s="1598" t="s">
        <v>5092</v>
      </c>
      <c r="C860" s="19" t="s">
        <v>5105</v>
      </c>
      <c r="D860" s="17" t="s">
        <v>905</v>
      </c>
      <c r="E860" s="18"/>
      <c r="F860" s="18"/>
      <c r="G860" s="1595">
        <v>4459950</v>
      </c>
      <c r="H860" s="18"/>
      <c r="I860" s="661"/>
      <c r="J860" s="13" t="s">
        <v>2449</v>
      </c>
    </row>
    <row r="861" spans="1:10" ht="13.8">
      <c r="A861" s="19" t="s">
        <v>5106</v>
      </c>
      <c r="B861" s="1598" t="s">
        <v>5095</v>
      </c>
      <c r="C861" s="19" t="s">
        <v>5107</v>
      </c>
      <c r="D861" s="17" t="s">
        <v>905</v>
      </c>
      <c r="E861" s="18"/>
      <c r="F861" s="18"/>
      <c r="G861" s="1595">
        <v>5264050</v>
      </c>
      <c r="H861" s="18"/>
      <c r="I861" s="661"/>
      <c r="J861" s="13" t="s">
        <v>2449</v>
      </c>
    </row>
    <row r="862" spans="1:10" ht="13.8">
      <c r="A862" s="19" t="s">
        <v>5108</v>
      </c>
      <c r="B862" s="1598" t="s">
        <v>5098</v>
      </c>
      <c r="C862" s="19" t="s">
        <v>5109</v>
      </c>
      <c r="D862" s="17" t="s">
        <v>905</v>
      </c>
      <c r="E862" s="18"/>
      <c r="F862" s="18"/>
      <c r="G862" s="1595">
        <v>7300480</v>
      </c>
      <c r="H862" s="18"/>
      <c r="I862" s="661"/>
      <c r="J862" s="13" t="s">
        <v>2449</v>
      </c>
    </row>
    <row r="863" spans="1:10" ht="13.8">
      <c r="A863" s="19" t="s">
        <v>5110</v>
      </c>
      <c r="B863" s="1598" t="s">
        <v>5101</v>
      </c>
      <c r="C863" s="19" t="s">
        <v>4997</v>
      </c>
      <c r="D863" s="17" t="s">
        <v>905</v>
      </c>
      <c r="E863" s="18"/>
      <c r="F863" s="18"/>
      <c r="G863" s="1595">
        <v>9637980</v>
      </c>
      <c r="H863" s="18"/>
      <c r="I863" s="661"/>
      <c r="J863" s="13" t="s">
        <v>2449</v>
      </c>
    </row>
    <row r="864" spans="1:10" ht="13.8">
      <c r="A864" s="19" t="s">
        <v>5111</v>
      </c>
      <c r="B864" s="1598" t="s">
        <v>5102</v>
      </c>
      <c r="C864" s="19" t="s">
        <v>5112</v>
      </c>
      <c r="D864" s="17" t="s">
        <v>905</v>
      </c>
      <c r="E864" s="18"/>
      <c r="F864" s="18"/>
      <c r="G864" s="1595">
        <v>11565950</v>
      </c>
      <c r="H864" s="18"/>
      <c r="I864" s="661"/>
      <c r="J864" s="13" t="s">
        <v>2449</v>
      </c>
    </row>
    <row r="865" spans="1:11" ht="13.8">
      <c r="A865" s="19" t="s">
        <v>5113</v>
      </c>
      <c r="B865" s="1598" t="s">
        <v>5092</v>
      </c>
      <c r="C865" s="19" t="s">
        <v>5114</v>
      </c>
      <c r="D865" s="17" t="s">
        <v>905</v>
      </c>
      <c r="E865" s="18"/>
      <c r="F865" s="18"/>
      <c r="G865" s="1595">
        <v>3672900</v>
      </c>
      <c r="H865" s="18"/>
      <c r="I865" s="661"/>
      <c r="J865" s="13" t="s">
        <v>2449</v>
      </c>
    </row>
    <row r="866" spans="1:11" ht="13.8">
      <c r="A866" s="19" t="s">
        <v>5115</v>
      </c>
      <c r="B866" s="1598" t="s">
        <v>5095</v>
      </c>
      <c r="C866" s="19" t="s">
        <v>5116</v>
      </c>
      <c r="D866" s="17" t="s">
        <v>905</v>
      </c>
      <c r="E866" s="18"/>
      <c r="F866" s="18"/>
      <c r="G866" s="1595">
        <v>4335100</v>
      </c>
      <c r="H866" s="18"/>
      <c r="I866" s="661"/>
      <c r="J866" s="13" t="s">
        <v>2449</v>
      </c>
    </row>
    <row r="867" spans="1:11" ht="13.8">
      <c r="A867" s="19" t="s">
        <v>5117</v>
      </c>
      <c r="B867" s="1598" t="s">
        <v>5098</v>
      </c>
      <c r="C867" s="19" t="s">
        <v>5118</v>
      </c>
      <c r="D867" s="17" t="s">
        <v>905</v>
      </c>
      <c r="E867" s="18"/>
      <c r="F867" s="18"/>
      <c r="G867" s="1595">
        <v>6012160</v>
      </c>
      <c r="H867" s="18"/>
      <c r="I867" s="661"/>
      <c r="J867" s="13" t="s">
        <v>2449</v>
      </c>
    </row>
    <row r="868" spans="1:11" ht="13.8">
      <c r="A868" s="19" t="s">
        <v>5119</v>
      </c>
      <c r="B868" s="1598" t="s">
        <v>5101</v>
      </c>
      <c r="C868" s="19" t="s">
        <v>5120</v>
      </c>
      <c r="D868" s="17" t="s">
        <v>905</v>
      </c>
      <c r="E868" s="18"/>
      <c r="F868" s="18"/>
      <c r="G868" s="1595">
        <v>7937160</v>
      </c>
      <c r="H868" s="18"/>
      <c r="I868" s="661"/>
      <c r="J868" s="13" t="s">
        <v>2449</v>
      </c>
    </row>
    <row r="869" spans="1:11" ht="13.8">
      <c r="A869" s="19" t="s">
        <v>5121</v>
      </c>
      <c r="B869" s="1598" t="s">
        <v>5102</v>
      </c>
      <c r="C869" s="19" t="s">
        <v>5122</v>
      </c>
      <c r="D869" s="17" t="s">
        <v>905</v>
      </c>
      <c r="E869" s="18"/>
      <c r="F869" s="18"/>
      <c r="G869" s="1595">
        <v>9524900</v>
      </c>
      <c r="H869" s="18"/>
      <c r="I869" s="661"/>
      <c r="J869" s="13" t="s">
        <v>2449</v>
      </c>
    </row>
    <row r="870" spans="1:11" ht="13.8">
      <c r="A870" s="16" t="s">
        <v>222</v>
      </c>
      <c r="B870" s="1598" t="s">
        <v>5123</v>
      </c>
      <c r="C870" s="19" t="s">
        <v>2899</v>
      </c>
      <c r="D870" s="17" t="s">
        <v>905</v>
      </c>
      <c r="E870" s="18"/>
      <c r="F870" s="18"/>
      <c r="G870" s="1595">
        <v>2091839</v>
      </c>
      <c r="H870" s="1595">
        <v>146963</v>
      </c>
      <c r="I870" s="661"/>
      <c r="J870" s="13" t="s">
        <v>2449</v>
      </c>
    </row>
    <row r="871" spans="1:11" s="1768" customFormat="1">
      <c r="A871" s="1761" t="s">
        <v>418</v>
      </c>
      <c r="B871" s="1762" t="s">
        <v>5648</v>
      </c>
      <c r="C871" s="1763" t="s">
        <v>5649</v>
      </c>
      <c r="D871" s="1764" t="s">
        <v>905</v>
      </c>
      <c r="E871" s="1765"/>
      <c r="F871" s="1765"/>
      <c r="G871" s="1654">
        <f>16.07*VLOOKUP("N2.40",DGNC,5)*1.15*0.7</f>
        <v>3600186.2049999996</v>
      </c>
      <c r="H871" s="1765"/>
      <c r="I871" s="2007"/>
      <c r="J871" s="1767" t="s">
        <v>2449</v>
      </c>
    </row>
    <row r="872" spans="1:11" s="1768" customFormat="1">
      <c r="A872" s="1761" t="s">
        <v>1518</v>
      </c>
      <c r="B872" s="1762" t="s">
        <v>5650</v>
      </c>
      <c r="C872" s="1763" t="s">
        <v>5651</v>
      </c>
      <c r="D872" s="1764" t="s">
        <v>905</v>
      </c>
      <c r="E872" s="1765"/>
      <c r="F872" s="1765"/>
      <c r="G872" s="1654">
        <f>21.47*VLOOKUP("N2.40",DGNC,5)</f>
        <v>5975101</v>
      </c>
      <c r="H872" s="1765"/>
      <c r="I872" s="2007"/>
      <c r="J872" s="1767" t="s">
        <v>2449</v>
      </c>
    </row>
    <row r="873" spans="1:11" ht="13.8">
      <c r="A873" s="16" t="s">
        <v>223</v>
      </c>
      <c r="B873" s="1598" t="s">
        <v>5124</v>
      </c>
      <c r="C873" s="19" t="s">
        <v>2900</v>
      </c>
      <c r="D873" s="17" t="s">
        <v>905</v>
      </c>
      <c r="E873" s="18"/>
      <c r="F873" s="18"/>
      <c r="G873" s="1595">
        <v>2839438</v>
      </c>
      <c r="H873" s="1595">
        <v>199276</v>
      </c>
      <c r="I873" s="661"/>
      <c r="J873" s="13" t="s">
        <v>2449</v>
      </c>
    </row>
    <row r="874" spans="1:11" ht="13.8">
      <c r="A874" s="16" t="s">
        <v>1333</v>
      </c>
      <c r="B874" s="1598" t="s">
        <v>5125</v>
      </c>
      <c r="C874" s="19" t="s">
        <v>2901</v>
      </c>
      <c r="D874" s="17" t="s">
        <v>905</v>
      </c>
      <c r="E874" s="18"/>
      <c r="F874" s="18"/>
      <c r="G874" s="1595">
        <v>3888951</v>
      </c>
      <c r="H874" s="1595">
        <v>199276</v>
      </c>
      <c r="I874" s="661"/>
      <c r="J874" s="13" t="s">
        <v>2449</v>
      </c>
    </row>
    <row r="875" spans="1:11" ht="13.8">
      <c r="A875" s="16" t="s">
        <v>663</v>
      </c>
      <c r="B875" s="1598" t="s">
        <v>5126</v>
      </c>
      <c r="C875" s="19" t="s">
        <v>2902</v>
      </c>
      <c r="D875" s="17" t="s">
        <v>905</v>
      </c>
      <c r="E875" s="18"/>
      <c r="F875" s="18"/>
      <c r="G875" s="1595">
        <v>4413708</v>
      </c>
      <c r="H875" s="1595">
        <v>261569</v>
      </c>
      <c r="I875" s="661"/>
      <c r="J875" s="13" t="s">
        <v>2449</v>
      </c>
    </row>
    <row r="876" spans="1:11" ht="13.8">
      <c r="A876" s="16" t="s">
        <v>1334</v>
      </c>
      <c r="B876" s="1598" t="s">
        <v>5127</v>
      </c>
      <c r="C876" s="19" t="s">
        <v>2903</v>
      </c>
      <c r="D876" s="17" t="s">
        <v>905</v>
      </c>
      <c r="E876" s="18"/>
      <c r="F876" s="18"/>
      <c r="G876" s="1595">
        <v>4612589</v>
      </c>
      <c r="H876" s="1595">
        <v>190090</v>
      </c>
      <c r="I876" s="661"/>
      <c r="J876" s="13" t="s">
        <v>2449</v>
      </c>
    </row>
    <row r="877" spans="1:11" ht="13.8">
      <c r="A877" s="16" t="s">
        <v>1510</v>
      </c>
      <c r="B877" s="1598" t="s">
        <v>5128</v>
      </c>
      <c r="C877" s="19" t="s">
        <v>2904</v>
      </c>
      <c r="D877" s="17" t="s">
        <v>905</v>
      </c>
      <c r="E877" s="18"/>
      <c r="F877" s="18"/>
      <c r="G877" s="1595">
        <v>5638141</v>
      </c>
      <c r="H877" s="1595">
        <v>251311</v>
      </c>
      <c r="I877" s="661"/>
      <c r="J877" s="13" t="s">
        <v>2449</v>
      </c>
    </row>
    <row r="878" spans="1:11" ht="13.8">
      <c r="A878" s="16" t="s">
        <v>222</v>
      </c>
      <c r="B878" s="1598" t="s">
        <v>5123</v>
      </c>
      <c r="C878" s="19" t="s">
        <v>4947</v>
      </c>
      <c r="D878" s="17" t="s">
        <v>905</v>
      </c>
      <c r="E878" s="18"/>
      <c r="F878" s="18"/>
      <c r="G878" s="1595">
        <v>2091839</v>
      </c>
      <c r="H878" s="1595">
        <v>146963</v>
      </c>
      <c r="I878" s="661"/>
      <c r="J878" s="13" t="s">
        <v>2449</v>
      </c>
    </row>
    <row r="879" spans="1:11" s="1768" customFormat="1">
      <c r="A879" s="1761" t="s">
        <v>4215</v>
      </c>
      <c r="B879" s="1762" t="s">
        <v>5123</v>
      </c>
      <c r="C879" s="1763" t="s">
        <v>5652</v>
      </c>
      <c r="D879" s="1764" t="s">
        <v>905</v>
      </c>
      <c r="E879" s="1765"/>
      <c r="F879" s="1765"/>
      <c r="G879" s="1654">
        <f>8.73*VLOOKUP("N2.45",DGNC,5)</f>
        <v>2646176.4900000002</v>
      </c>
      <c r="H879" s="1654">
        <v>144216</v>
      </c>
      <c r="I879" s="2007"/>
      <c r="J879" s="1767" t="s">
        <v>2449</v>
      </c>
    </row>
    <row r="880" spans="1:11">
      <c r="A880" s="16" t="s">
        <v>4216</v>
      </c>
      <c r="B880" s="1762" t="s">
        <v>5123</v>
      </c>
      <c r="C880" s="1763" t="s">
        <v>5653</v>
      </c>
      <c r="D880" s="1764" t="s">
        <v>905</v>
      </c>
      <c r="E880" s="18"/>
      <c r="F880" s="18"/>
      <c r="G880" s="1654">
        <f>8.73*VLOOKUP("N2.45",DGNC,5)</f>
        <v>2646176.4900000002</v>
      </c>
      <c r="H880" s="1654">
        <v>144216</v>
      </c>
      <c r="I880" s="661"/>
      <c r="J880" s="13" t="s">
        <v>2449</v>
      </c>
      <c r="K880" s="13"/>
    </row>
    <row r="881" spans="1:11" s="1768" customFormat="1">
      <c r="A881" s="1761" t="s">
        <v>4217</v>
      </c>
      <c r="B881" s="1762" t="s">
        <v>5124</v>
      </c>
      <c r="C881" s="1763" t="s">
        <v>5654</v>
      </c>
      <c r="D881" s="1764" t="s">
        <v>905</v>
      </c>
      <c r="E881" s="1765"/>
      <c r="F881" s="1765"/>
      <c r="G881" s="1654">
        <f>11.85*VLOOKUP("N2.40",DGNC,5)*1.15</f>
        <v>3792533.2499999995</v>
      </c>
      <c r="H881" s="1654">
        <v>144216</v>
      </c>
      <c r="I881" s="2007"/>
      <c r="J881" s="1766" t="s">
        <v>2449</v>
      </c>
      <c r="K881" s="1766"/>
    </row>
    <row r="882" spans="1:11" ht="13.8">
      <c r="A882" s="16" t="s">
        <v>4218</v>
      </c>
      <c r="B882" s="1598" t="s">
        <v>5125</v>
      </c>
      <c r="C882" s="19" t="s">
        <v>4222</v>
      </c>
      <c r="D882" s="17" t="s">
        <v>905</v>
      </c>
      <c r="E882" s="18"/>
      <c r="F882" s="18"/>
      <c r="G882" s="1595">
        <v>3888951</v>
      </c>
      <c r="H882" s="1595">
        <v>199276</v>
      </c>
      <c r="I882" s="661"/>
      <c r="J882" s="13" t="s">
        <v>2449</v>
      </c>
    </row>
    <row r="883" spans="1:11" ht="13.8">
      <c r="A883" s="16" t="s">
        <v>144</v>
      </c>
      <c r="B883" s="1598" t="s">
        <v>5126</v>
      </c>
      <c r="C883" s="19" t="s">
        <v>4214</v>
      </c>
      <c r="D883" s="17" t="s">
        <v>905</v>
      </c>
      <c r="E883" s="18"/>
      <c r="F883" s="18"/>
      <c r="G883" s="1595">
        <v>4413708</v>
      </c>
      <c r="H883" s="1595">
        <v>261569</v>
      </c>
      <c r="I883" s="661"/>
      <c r="J883" s="13" t="s">
        <v>2449</v>
      </c>
    </row>
    <row r="884" spans="1:11" ht="13.8">
      <c r="A884" s="16" t="s">
        <v>4219</v>
      </c>
      <c r="B884" s="1598" t="s">
        <v>5127</v>
      </c>
      <c r="C884" s="19" t="s">
        <v>4948</v>
      </c>
      <c r="D884" s="17" t="s">
        <v>905</v>
      </c>
      <c r="E884" s="18"/>
      <c r="F884" s="18"/>
      <c r="G884" s="1595">
        <v>4612589</v>
      </c>
      <c r="H884" s="1595">
        <v>190090</v>
      </c>
      <c r="I884" s="661"/>
      <c r="J884" s="13" t="s">
        <v>2449</v>
      </c>
    </row>
    <row r="885" spans="1:11" ht="13.8">
      <c r="A885" s="16" t="s">
        <v>4220</v>
      </c>
      <c r="B885" s="1598" t="s">
        <v>5128</v>
      </c>
      <c r="C885" s="19" t="s">
        <v>4221</v>
      </c>
      <c r="D885" s="17" t="s">
        <v>905</v>
      </c>
      <c r="E885" s="18"/>
      <c r="F885" s="18"/>
      <c r="G885" s="1595">
        <v>5638141</v>
      </c>
      <c r="H885" s="1595">
        <v>251311</v>
      </c>
      <c r="I885" s="661"/>
      <c r="J885" s="13" t="s">
        <v>2449</v>
      </c>
    </row>
    <row r="886" spans="1:11" ht="13.8">
      <c r="A886" s="16" t="s">
        <v>5129</v>
      </c>
      <c r="B886" s="1598" t="s">
        <v>5130</v>
      </c>
      <c r="C886" s="1614" t="s">
        <v>5131</v>
      </c>
      <c r="D886" s="17" t="s">
        <v>905</v>
      </c>
      <c r="E886" s="18"/>
      <c r="F886" s="18"/>
      <c r="G886" s="1595">
        <v>2453000</v>
      </c>
      <c r="H886" s="18"/>
      <c r="I886" s="661"/>
      <c r="J886" s="13" t="s">
        <v>2449</v>
      </c>
    </row>
    <row r="887" spans="1:11" ht="13.8">
      <c r="A887" s="16" t="s">
        <v>493</v>
      </c>
      <c r="B887" s="1598" t="s">
        <v>5132</v>
      </c>
      <c r="C887" s="1614" t="s">
        <v>5133</v>
      </c>
      <c r="D887" s="17" t="s">
        <v>905</v>
      </c>
      <c r="E887" s="18"/>
      <c r="F887" s="18"/>
      <c r="G887" s="1595">
        <v>3183400</v>
      </c>
      <c r="H887" s="18"/>
      <c r="I887" s="661"/>
      <c r="J887" s="13" t="s">
        <v>2449</v>
      </c>
    </row>
    <row r="888" spans="1:11" ht="13.8">
      <c r="A888" s="16" t="s">
        <v>1662</v>
      </c>
      <c r="B888" s="1598" t="s">
        <v>5134</v>
      </c>
      <c r="C888" s="1614" t="s">
        <v>5135</v>
      </c>
      <c r="D888" s="17" t="s">
        <v>905</v>
      </c>
      <c r="E888" s="18"/>
      <c r="F888" s="18"/>
      <c r="G888" s="1595">
        <v>3489200</v>
      </c>
      <c r="H888" s="18"/>
      <c r="I888" s="661"/>
      <c r="J888" s="13" t="s">
        <v>2449</v>
      </c>
    </row>
    <row r="889" spans="1:11" ht="13.8">
      <c r="A889" s="16" t="s">
        <v>1160</v>
      </c>
      <c r="B889" s="1598" t="s">
        <v>5136</v>
      </c>
      <c r="C889" s="1614" t="s">
        <v>5137</v>
      </c>
      <c r="D889" s="17" t="s">
        <v>905</v>
      </c>
      <c r="E889" s="18"/>
      <c r="F889" s="18"/>
      <c r="G889" s="1595">
        <v>4558400</v>
      </c>
      <c r="H889" s="18"/>
      <c r="I889" s="661"/>
      <c r="J889" s="13" t="s">
        <v>2449</v>
      </c>
    </row>
    <row r="890" spans="1:11" ht="13.8">
      <c r="A890" s="16" t="s">
        <v>1161</v>
      </c>
      <c r="B890" s="1598" t="s">
        <v>5138</v>
      </c>
      <c r="C890" s="1614" t="s">
        <v>5139</v>
      </c>
      <c r="D890" s="17" t="s">
        <v>905</v>
      </c>
      <c r="E890" s="18"/>
      <c r="F890" s="18"/>
      <c r="G890" s="1595">
        <v>6140200</v>
      </c>
      <c r="H890" s="18"/>
      <c r="I890" s="661"/>
      <c r="J890" s="13" t="s">
        <v>2449</v>
      </c>
    </row>
    <row r="891" spans="1:11" ht="13.8">
      <c r="A891" s="16" t="s">
        <v>1670</v>
      </c>
      <c r="B891" s="1598" t="s">
        <v>5140</v>
      </c>
      <c r="C891" s="1614" t="s">
        <v>5141</v>
      </c>
      <c r="D891" s="17" t="s">
        <v>905</v>
      </c>
      <c r="E891" s="18"/>
      <c r="F891" s="18"/>
      <c r="G891" s="1595">
        <v>8368800</v>
      </c>
      <c r="H891" s="18"/>
      <c r="I891" s="661"/>
      <c r="J891" s="13" t="s">
        <v>2449</v>
      </c>
    </row>
    <row r="892" spans="1:11" ht="13.8">
      <c r="A892" s="16" t="s">
        <v>5142</v>
      </c>
      <c r="B892" s="1598" t="s">
        <v>5143</v>
      </c>
      <c r="C892" s="1614" t="s">
        <v>5144</v>
      </c>
      <c r="D892" s="17" t="s">
        <v>905</v>
      </c>
      <c r="E892" s="18"/>
      <c r="F892" s="18"/>
      <c r="G892" s="1595">
        <v>10162072</v>
      </c>
      <c r="H892" s="18"/>
      <c r="I892" s="661"/>
      <c r="J892" s="13" t="s">
        <v>2449</v>
      </c>
    </row>
    <row r="893" spans="1:11" ht="13.8">
      <c r="A893" s="16" t="s">
        <v>5145</v>
      </c>
      <c r="B893" s="1598" t="s">
        <v>5146</v>
      </c>
      <c r="C893" s="1614" t="s">
        <v>5147</v>
      </c>
      <c r="D893" s="17" t="s">
        <v>905</v>
      </c>
      <c r="E893" s="18"/>
      <c r="F893" s="18"/>
      <c r="G893" s="1595">
        <v>12378511</v>
      </c>
      <c r="H893" s="18"/>
      <c r="I893" s="661"/>
      <c r="J893" s="13" t="s">
        <v>2449</v>
      </c>
    </row>
    <row r="894" spans="1:11" ht="13.8">
      <c r="A894" s="16" t="s">
        <v>5148</v>
      </c>
      <c r="B894" s="1598" t="s">
        <v>5149</v>
      </c>
      <c r="C894" s="1614" t="s">
        <v>5150</v>
      </c>
      <c r="D894" s="17" t="s">
        <v>905</v>
      </c>
      <c r="E894" s="18"/>
      <c r="F894" s="18"/>
      <c r="G894" s="1595">
        <v>14611723</v>
      </c>
      <c r="H894" s="18"/>
      <c r="I894" s="661"/>
      <c r="J894" s="13" t="s">
        <v>2449</v>
      </c>
    </row>
    <row r="895" spans="1:11" ht="13.8">
      <c r="A895" s="16" t="s">
        <v>5151</v>
      </c>
      <c r="B895" s="1598" t="s">
        <v>5152</v>
      </c>
      <c r="C895" s="1614" t="s">
        <v>5153</v>
      </c>
      <c r="D895" s="17" t="s">
        <v>905</v>
      </c>
      <c r="E895" s="18"/>
      <c r="F895" s="18"/>
      <c r="G895" s="1595">
        <v>16070978</v>
      </c>
      <c r="H895" s="18"/>
      <c r="I895" s="661"/>
      <c r="J895" s="13" t="s">
        <v>2449</v>
      </c>
    </row>
    <row r="896" spans="1:11">
      <c r="A896" s="16" t="s">
        <v>479</v>
      </c>
      <c r="B896" s="26" t="s">
        <v>1671</v>
      </c>
      <c r="C896" s="19" t="s">
        <v>2905</v>
      </c>
      <c r="D896" s="17" t="s">
        <v>905</v>
      </c>
      <c r="E896" s="18"/>
      <c r="F896" s="18"/>
      <c r="G896" s="18">
        <v>1244973</v>
      </c>
      <c r="H896" s="18"/>
      <c r="I896" s="661"/>
      <c r="J896" s="13" t="s">
        <v>2449</v>
      </c>
    </row>
    <row r="897" spans="1:10">
      <c r="A897" s="16" t="s">
        <v>1517</v>
      </c>
      <c r="B897" s="26" t="s">
        <v>1671</v>
      </c>
      <c r="C897" s="19" t="s">
        <v>5154</v>
      </c>
      <c r="D897" s="17" t="s">
        <v>905</v>
      </c>
      <c r="E897" s="18"/>
      <c r="F897" s="18"/>
      <c r="G897" s="18">
        <v>1244973</v>
      </c>
      <c r="H897" s="18"/>
      <c r="I897" s="661"/>
      <c r="J897" s="13" t="s">
        <v>2449</v>
      </c>
    </row>
    <row r="898" spans="1:10">
      <c r="A898" s="16" t="s">
        <v>5155</v>
      </c>
      <c r="B898" s="26" t="s">
        <v>1671</v>
      </c>
      <c r="C898" s="19" t="s">
        <v>5156</v>
      </c>
      <c r="D898" s="17" t="s">
        <v>905</v>
      </c>
      <c r="E898" s="18"/>
      <c r="F898" s="18"/>
      <c r="G898" s="18">
        <v>1244973</v>
      </c>
      <c r="H898" s="18"/>
      <c r="I898" s="661"/>
      <c r="J898" s="13" t="s">
        <v>2449</v>
      </c>
    </row>
    <row r="899" spans="1:10">
      <c r="A899" s="16" t="s">
        <v>71</v>
      </c>
      <c r="B899" s="26" t="s">
        <v>1671</v>
      </c>
      <c r="C899" s="19" t="s">
        <v>2906</v>
      </c>
      <c r="D899" s="17" t="s">
        <v>905</v>
      </c>
      <c r="E899" s="18"/>
      <c r="F899" s="18"/>
      <c r="G899" s="18">
        <v>1244973</v>
      </c>
      <c r="H899" s="18"/>
      <c r="I899" s="661"/>
      <c r="J899" s="13" t="s">
        <v>2449</v>
      </c>
    </row>
    <row r="900" spans="1:10">
      <c r="A900" s="16" t="s">
        <v>284</v>
      </c>
      <c r="B900" s="26" t="s">
        <v>285</v>
      </c>
      <c r="C900" s="19" t="s">
        <v>2907</v>
      </c>
      <c r="D900" s="17" t="s">
        <v>2908</v>
      </c>
      <c r="E900" s="18"/>
      <c r="F900" s="18"/>
      <c r="G900" s="18">
        <v>30967</v>
      </c>
      <c r="H900" s="18"/>
      <c r="I900" s="661"/>
      <c r="J900" s="13" t="s">
        <v>2449</v>
      </c>
    </row>
    <row r="901" spans="1:10">
      <c r="A901" s="16" t="s">
        <v>604</v>
      </c>
      <c r="B901" s="26" t="s">
        <v>1901</v>
      </c>
      <c r="C901" s="19" t="s">
        <v>2909</v>
      </c>
      <c r="D901" s="17" t="s">
        <v>2908</v>
      </c>
      <c r="E901" s="18"/>
      <c r="F901" s="18"/>
      <c r="G901" s="18">
        <v>61933</v>
      </c>
      <c r="H901" s="18"/>
      <c r="I901" s="661"/>
      <c r="J901" s="13" t="s">
        <v>2449</v>
      </c>
    </row>
    <row r="902" spans="1:10">
      <c r="A902" s="16" t="s">
        <v>605</v>
      </c>
      <c r="B902" s="26" t="s">
        <v>1902</v>
      </c>
      <c r="C902" s="683" t="s">
        <v>2910</v>
      </c>
      <c r="D902" s="17" t="s">
        <v>2908</v>
      </c>
      <c r="E902" s="18"/>
      <c r="F902" s="18"/>
      <c r="G902" s="18">
        <v>261513</v>
      </c>
      <c r="H902" s="18"/>
      <c r="I902" s="661"/>
      <c r="J902" s="13" t="s">
        <v>2449</v>
      </c>
    </row>
    <row r="903" spans="1:10">
      <c r="A903" s="16" t="s">
        <v>104</v>
      </c>
      <c r="B903" s="26" t="s">
        <v>1902</v>
      </c>
      <c r="C903" s="683" t="s">
        <v>2911</v>
      </c>
      <c r="D903" s="17" t="s">
        <v>2908</v>
      </c>
      <c r="E903" s="18"/>
      <c r="F903" s="18"/>
      <c r="G903" s="18">
        <v>261513</v>
      </c>
      <c r="H903" s="18"/>
      <c r="I903" s="661"/>
      <c r="J903" s="13" t="s">
        <v>2449</v>
      </c>
    </row>
    <row r="904" spans="1:10">
      <c r="A904" s="16" t="s">
        <v>907</v>
      </c>
      <c r="B904" s="26" t="s">
        <v>908</v>
      </c>
      <c r="C904" s="19" t="s">
        <v>2912</v>
      </c>
      <c r="D904" s="17" t="s">
        <v>2908</v>
      </c>
      <c r="E904" s="18"/>
      <c r="F904" s="18"/>
      <c r="G904" s="18">
        <v>125725</v>
      </c>
      <c r="H904" s="18"/>
      <c r="I904" s="661"/>
      <c r="J904" s="13" t="s">
        <v>2449</v>
      </c>
    </row>
    <row r="905" spans="1:10">
      <c r="A905" s="16" t="s">
        <v>221</v>
      </c>
      <c r="B905" s="26" t="s">
        <v>1090</v>
      </c>
      <c r="C905" s="19" t="s">
        <v>2913</v>
      </c>
      <c r="D905" s="17" t="s">
        <v>2908</v>
      </c>
      <c r="E905" s="18"/>
      <c r="F905" s="18"/>
      <c r="G905" s="18">
        <v>159014</v>
      </c>
      <c r="H905" s="18"/>
      <c r="I905" s="661"/>
      <c r="J905" s="13" t="s">
        <v>2449</v>
      </c>
    </row>
    <row r="906" spans="1:10">
      <c r="A906" s="16" t="s">
        <v>1180</v>
      </c>
      <c r="B906" s="26" t="s">
        <v>1600</v>
      </c>
      <c r="C906" s="19" t="s">
        <v>2914</v>
      </c>
      <c r="D906" s="17" t="s">
        <v>2307</v>
      </c>
      <c r="E906" s="18"/>
      <c r="F906" s="18">
        <v>3510</v>
      </c>
      <c r="G906" s="18">
        <v>13249</v>
      </c>
      <c r="H906" s="18"/>
      <c r="I906" s="661"/>
      <c r="J906" s="13" t="s">
        <v>450</v>
      </c>
    </row>
    <row r="907" spans="1:10">
      <c r="A907" s="16" t="s">
        <v>1219</v>
      </c>
      <c r="B907" s="26" t="s">
        <v>98</v>
      </c>
      <c r="C907" s="19" t="s">
        <v>2915</v>
      </c>
      <c r="D907" s="17" t="s">
        <v>2307</v>
      </c>
      <c r="E907" s="18"/>
      <c r="F907" s="18">
        <v>3510</v>
      </c>
      <c r="G907" s="18">
        <v>11456</v>
      </c>
      <c r="H907" s="18"/>
      <c r="I907" s="661"/>
      <c r="J907" s="13" t="s">
        <v>450</v>
      </c>
    </row>
    <row r="908" spans="1:10">
      <c r="A908" s="16" t="s">
        <v>362</v>
      </c>
      <c r="B908" s="26" t="s">
        <v>99</v>
      </c>
      <c r="C908" s="19" t="s">
        <v>2916</v>
      </c>
      <c r="D908" s="17" t="s">
        <v>2307</v>
      </c>
      <c r="E908" s="18"/>
      <c r="F908" s="18">
        <v>3510</v>
      </c>
      <c r="G908" s="18">
        <v>9907</v>
      </c>
      <c r="H908" s="18"/>
      <c r="I908" s="661"/>
      <c r="J908" s="13" t="s">
        <v>450</v>
      </c>
    </row>
    <row r="909" spans="1:10">
      <c r="A909" s="16" t="s">
        <v>363</v>
      </c>
      <c r="B909" s="26" t="s">
        <v>453</v>
      </c>
      <c r="C909" s="19" t="s">
        <v>2917</v>
      </c>
      <c r="D909" s="17" t="s">
        <v>2307</v>
      </c>
      <c r="E909" s="18"/>
      <c r="F909" s="18">
        <v>3053</v>
      </c>
      <c r="G909" s="18">
        <v>5108</v>
      </c>
      <c r="H909" s="18"/>
      <c r="I909" s="661"/>
      <c r="J909" s="13" t="s">
        <v>450</v>
      </c>
    </row>
    <row r="910" spans="1:10">
      <c r="A910" s="16" t="s">
        <v>430</v>
      </c>
      <c r="B910" s="26" t="s">
        <v>1666</v>
      </c>
      <c r="C910" s="19" t="s">
        <v>2918</v>
      </c>
      <c r="D910" s="17" t="s">
        <v>2307</v>
      </c>
      <c r="E910" s="18"/>
      <c r="F910" s="18">
        <v>5031</v>
      </c>
      <c r="G910" s="18">
        <v>6985</v>
      </c>
      <c r="H910" s="18"/>
      <c r="I910" s="661"/>
      <c r="J910" s="13" t="s">
        <v>450</v>
      </c>
    </row>
    <row r="911" spans="1:10" s="1713" customFormat="1">
      <c r="A911" s="1707" t="s">
        <v>64</v>
      </c>
      <c r="B911" s="1729" t="s">
        <v>5585</v>
      </c>
      <c r="C911" s="1730" t="s">
        <v>2919</v>
      </c>
      <c r="D911" s="1709" t="s">
        <v>2307</v>
      </c>
      <c r="E911" s="1720"/>
      <c r="F911" s="1720"/>
      <c r="G911" s="1711">
        <f>14*VLOOKUP("N2.40",DGNC,5)/100</f>
        <v>38962</v>
      </c>
      <c r="H911" s="1720"/>
      <c r="I911" s="1999"/>
      <c r="J911" s="1715" t="s">
        <v>450</v>
      </c>
    </row>
    <row r="912" spans="1:10" s="1713" customFormat="1">
      <c r="A912" s="1707" t="s">
        <v>97</v>
      </c>
      <c r="B912" s="1729" t="s">
        <v>5586</v>
      </c>
      <c r="C912" s="1730" t="s">
        <v>2920</v>
      </c>
      <c r="D912" s="1709" t="s">
        <v>2307</v>
      </c>
      <c r="E912" s="1720"/>
      <c r="F912" s="1720"/>
      <c r="G912" s="1711">
        <f>15.01*VLOOKUP("N2.40",DGNC,5)/100</f>
        <v>41772.83</v>
      </c>
      <c r="H912" s="1720"/>
      <c r="I912" s="1999"/>
      <c r="J912" s="1715" t="s">
        <v>450</v>
      </c>
    </row>
    <row r="913" spans="1:10" s="1713" customFormat="1">
      <c r="A913" s="1707" t="s">
        <v>2009</v>
      </c>
      <c r="B913" s="1729" t="s">
        <v>5587</v>
      </c>
      <c r="C913" s="1730" t="s">
        <v>2921</v>
      </c>
      <c r="D913" s="1709" t="s">
        <v>2307</v>
      </c>
      <c r="E913" s="1720"/>
      <c r="F913" s="1720"/>
      <c r="G913" s="1711">
        <f>19.94*VLOOKUP("N2.40",DGNC,5)/100</f>
        <v>55493.02</v>
      </c>
      <c r="H913" s="1720"/>
      <c r="I913" s="1999"/>
      <c r="J913" s="1715" t="s">
        <v>450</v>
      </c>
    </row>
    <row r="914" spans="1:10" s="1713" customFormat="1">
      <c r="A914" s="1707" t="s">
        <v>1217</v>
      </c>
      <c r="B914" s="1729" t="s">
        <v>5588</v>
      </c>
      <c r="C914" s="1730" t="s">
        <v>2922</v>
      </c>
      <c r="D914" s="1709" t="s">
        <v>2307</v>
      </c>
      <c r="E914" s="1720"/>
      <c r="F914" s="1720"/>
      <c r="G914" s="1711">
        <f>23.41*VLOOKUP("N2.40",DGNC,5)/100</f>
        <v>65150.03</v>
      </c>
      <c r="H914" s="1720"/>
      <c r="I914" s="1999"/>
      <c r="J914" s="1715" t="s">
        <v>450</v>
      </c>
    </row>
    <row r="915" spans="1:10" s="1713" customFormat="1">
      <c r="A915" s="1707" t="s">
        <v>431</v>
      </c>
      <c r="B915" s="1729" t="s">
        <v>5589</v>
      </c>
      <c r="C915" s="1730" t="s">
        <v>2923</v>
      </c>
      <c r="D915" s="1709" t="s">
        <v>2307</v>
      </c>
      <c r="E915" s="1720"/>
      <c r="F915" s="1720"/>
      <c r="G915" s="1711">
        <f>28.73*VLOOKUP("N2.40",DGNC,5)/100</f>
        <v>79955.59</v>
      </c>
      <c r="H915" s="1720"/>
      <c r="I915" s="1999"/>
      <c r="J915" s="1715" t="s">
        <v>450</v>
      </c>
    </row>
    <row r="916" spans="1:10" s="1713" customFormat="1">
      <c r="A916" s="1707" t="s">
        <v>927</v>
      </c>
      <c r="B916" s="1729" t="s">
        <v>5590</v>
      </c>
      <c r="C916" s="1730" t="s">
        <v>2924</v>
      </c>
      <c r="D916" s="1709" t="s">
        <v>2307</v>
      </c>
      <c r="E916" s="1720"/>
      <c r="F916" s="1720"/>
      <c r="G916" s="1711">
        <f>38.31*VLOOKUP("N2.40",DGNC,5)/100</f>
        <v>106616.73</v>
      </c>
      <c r="H916" s="1720"/>
      <c r="I916" s="1999"/>
      <c r="J916" s="1715" t="s">
        <v>450</v>
      </c>
    </row>
    <row r="917" spans="1:10" s="1713" customFormat="1">
      <c r="A917" s="1707" t="s">
        <v>1032</v>
      </c>
      <c r="B917" s="1729" t="s">
        <v>5585</v>
      </c>
      <c r="C917" s="1730" t="s">
        <v>2919</v>
      </c>
      <c r="D917" s="1709" t="s">
        <v>2307</v>
      </c>
      <c r="E917" s="1720"/>
      <c r="F917" s="1720"/>
      <c r="G917" s="1711">
        <f>14*VLOOKUP("N2.40",DGNC,5)/100</f>
        <v>38962</v>
      </c>
      <c r="H917" s="1720"/>
      <c r="I917" s="1999"/>
      <c r="J917" s="1715" t="s">
        <v>450</v>
      </c>
    </row>
    <row r="918" spans="1:10" s="1713" customFormat="1">
      <c r="A918" s="1707" t="s">
        <v>72</v>
      </c>
      <c r="B918" s="1729" t="s">
        <v>5591</v>
      </c>
      <c r="C918" s="1730" t="s">
        <v>2925</v>
      </c>
      <c r="D918" s="1709" t="s">
        <v>2307</v>
      </c>
      <c r="E918" s="1720"/>
      <c r="F918" s="1720">
        <v>455.68</v>
      </c>
      <c r="G918" s="1711">
        <f>2.89/100*VLOOKUP("N2.40",DGNC,5)*1.1</f>
        <v>8847.1570000000011</v>
      </c>
      <c r="H918" s="1720"/>
      <c r="I918" s="1999"/>
      <c r="J918" s="1715" t="s">
        <v>2449</v>
      </c>
    </row>
    <row r="919" spans="1:10" s="1713" customFormat="1">
      <c r="A919" s="1707" t="s">
        <v>1366</v>
      </c>
      <c r="B919" s="1729" t="s">
        <v>5592</v>
      </c>
      <c r="C919" s="1730" t="s">
        <v>2926</v>
      </c>
      <c r="D919" s="1709" t="s">
        <v>2307</v>
      </c>
      <c r="E919" s="1720"/>
      <c r="F919" s="1720">
        <v>455.68</v>
      </c>
      <c r="G919" s="1711">
        <f>3.3/100*VLOOKUP("N2.40",DGNC,5)*1.1</f>
        <v>10102.290000000001</v>
      </c>
      <c r="H919" s="1720"/>
      <c r="I919" s="1999"/>
      <c r="J919" s="1715" t="s">
        <v>2449</v>
      </c>
    </row>
    <row r="920" spans="1:10" s="1713" customFormat="1">
      <c r="A920" s="1707" t="s">
        <v>1367</v>
      </c>
      <c r="B920" s="1729" t="s">
        <v>5593</v>
      </c>
      <c r="C920" s="1730" t="s">
        <v>2927</v>
      </c>
      <c r="D920" s="1709" t="s">
        <v>2307</v>
      </c>
      <c r="E920" s="1720"/>
      <c r="F920" s="1720">
        <v>455.68</v>
      </c>
      <c r="G920" s="1711">
        <f>4.13/100*VLOOKUP("N2.40",DGNC,5)*1.1</f>
        <v>12643.169</v>
      </c>
      <c r="H920" s="1720"/>
      <c r="I920" s="1999"/>
      <c r="J920" s="1715" t="s">
        <v>2449</v>
      </c>
    </row>
    <row r="921" spans="1:10" s="1713" customFormat="1">
      <c r="A921" s="1707" t="s">
        <v>1368</v>
      </c>
      <c r="B921" s="1729" t="s">
        <v>5594</v>
      </c>
      <c r="C921" s="1730" t="s">
        <v>2928</v>
      </c>
      <c r="D921" s="1709" t="s">
        <v>2307</v>
      </c>
      <c r="E921" s="1720"/>
      <c r="F921" s="1720">
        <v>546.91999999999996</v>
      </c>
      <c r="G921" s="1711">
        <f>5.5/100*VLOOKUP("N2.40",DGNC,5)*1.1</f>
        <v>16837.150000000001</v>
      </c>
      <c r="H921" s="1720"/>
      <c r="I921" s="1999"/>
      <c r="J921" s="1715" t="s">
        <v>2449</v>
      </c>
    </row>
    <row r="922" spans="1:10" s="1713" customFormat="1">
      <c r="A922" s="1707" t="s">
        <v>1536</v>
      </c>
      <c r="B922" s="1729" t="s">
        <v>5595</v>
      </c>
      <c r="C922" s="1730" t="s">
        <v>2929</v>
      </c>
      <c r="D922" s="1709" t="s">
        <v>2307</v>
      </c>
      <c r="E922" s="1720"/>
      <c r="F922" s="1720">
        <v>546.91999999999996</v>
      </c>
      <c r="G922" s="1711">
        <f>7.01/100*VLOOKUP("N2.40",DGNC,5)*1.1</f>
        <v>21459.713</v>
      </c>
      <c r="H922" s="1720"/>
      <c r="I922" s="1999"/>
      <c r="J922" s="1715" t="s">
        <v>2449</v>
      </c>
    </row>
    <row r="923" spans="1:10" s="1713" customFormat="1">
      <c r="A923" s="1707" t="s">
        <v>1537</v>
      </c>
      <c r="B923" s="1729" t="s">
        <v>5596</v>
      </c>
      <c r="C923" s="1730" t="s">
        <v>2930</v>
      </c>
      <c r="D923" s="1709" t="s">
        <v>2307</v>
      </c>
      <c r="E923" s="1720"/>
      <c r="F923" s="1720">
        <v>685.15</v>
      </c>
      <c r="G923" s="1711">
        <f>9.08/100*VLOOKUP("N2.40",DGNC,5)*1.1</f>
        <v>27796.604000000007</v>
      </c>
      <c r="H923" s="1720"/>
      <c r="I923" s="1999"/>
      <c r="J923" s="1715" t="s">
        <v>2449</v>
      </c>
    </row>
    <row r="924" spans="1:10" s="1713" customFormat="1">
      <c r="A924" s="1707" t="s">
        <v>958</v>
      </c>
      <c r="B924" s="1729" t="s">
        <v>5597</v>
      </c>
      <c r="C924" s="1730" t="s">
        <v>2931</v>
      </c>
      <c r="D924" s="1709" t="s">
        <v>2307</v>
      </c>
      <c r="E924" s="1720"/>
      <c r="F924" s="1720">
        <v>685.15</v>
      </c>
      <c r="G924" s="1711">
        <f>11.14/100*VLOOKUP("N2.40",DGNC,5)*1.1</f>
        <v>34102.882000000005</v>
      </c>
      <c r="H924" s="1720"/>
      <c r="I924" s="1999"/>
      <c r="J924" s="1715" t="s">
        <v>2449</v>
      </c>
    </row>
    <row r="925" spans="1:10">
      <c r="A925" s="16" t="s">
        <v>169</v>
      </c>
      <c r="B925" s="668" t="s">
        <v>171</v>
      </c>
      <c r="C925" s="19" t="s">
        <v>2932</v>
      </c>
      <c r="D925" s="17" t="s">
        <v>2307</v>
      </c>
      <c r="E925" s="18"/>
      <c r="F925" s="18">
        <v>770.89</v>
      </c>
      <c r="G925" s="18">
        <v>13455</v>
      </c>
      <c r="H925" s="18"/>
      <c r="I925" s="661"/>
      <c r="J925" s="13" t="s">
        <v>2449</v>
      </c>
    </row>
    <row r="926" spans="1:10">
      <c r="A926" s="16" t="s">
        <v>170</v>
      </c>
      <c r="B926" s="668" t="s">
        <v>172</v>
      </c>
      <c r="C926" s="19" t="s">
        <v>2933</v>
      </c>
      <c r="D926" s="17" t="s">
        <v>2307</v>
      </c>
      <c r="E926" s="18"/>
      <c r="F926" s="18">
        <v>770.89</v>
      </c>
      <c r="G926" s="18">
        <v>15651</v>
      </c>
      <c r="H926" s="18"/>
      <c r="I926" s="661"/>
      <c r="J926" s="13" t="s">
        <v>2449</v>
      </c>
    </row>
    <row r="927" spans="1:10">
      <c r="A927" s="16" t="s">
        <v>1838</v>
      </c>
      <c r="B927" s="26" t="s">
        <v>226</v>
      </c>
      <c r="C927" s="19" t="s">
        <v>2934</v>
      </c>
      <c r="D927" s="17" t="s">
        <v>2307</v>
      </c>
      <c r="E927" s="18"/>
      <c r="F927" s="18">
        <v>460.75</v>
      </c>
      <c r="G927" s="18">
        <v>893</v>
      </c>
      <c r="H927" s="18"/>
      <c r="I927" s="661"/>
      <c r="J927" s="13" t="s">
        <v>2449</v>
      </c>
    </row>
    <row r="928" spans="1:10">
      <c r="A928" s="16" t="s">
        <v>1839</v>
      </c>
      <c r="B928" s="26" t="s">
        <v>1903</v>
      </c>
      <c r="C928" s="19" t="s">
        <v>2935</v>
      </c>
      <c r="D928" s="17" t="s">
        <v>2307</v>
      </c>
      <c r="E928" s="18"/>
      <c r="F928" s="18">
        <v>460.75</v>
      </c>
      <c r="G928" s="18">
        <v>1020</v>
      </c>
      <c r="H928" s="18"/>
      <c r="I928" s="661"/>
      <c r="J928" s="13" t="s">
        <v>2449</v>
      </c>
    </row>
    <row r="929" spans="1:11">
      <c r="A929" s="16" t="s">
        <v>1840</v>
      </c>
      <c r="B929" s="26" t="s">
        <v>1904</v>
      </c>
      <c r="C929" s="19" t="s">
        <v>2936</v>
      </c>
      <c r="D929" s="17" t="s">
        <v>2307</v>
      </c>
      <c r="E929" s="18"/>
      <c r="F929" s="18">
        <v>460.75</v>
      </c>
      <c r="G929" s="18">
        <v>1276</v>
      </c>
      <c r="H929" s="18"/>
      <c r="I929" s="661"/>
      <c r="J929" s="13" t="s">
        <v>2449</v>
      </c>
    </row>
    <row r="930" spans="1:11">
      <c r="A930" s="16" t="s">
        <v>1841</v>
      </c>
      <c r="B930" s="26" t="s">
        <v>1513</v>
      </c>
      <c r="C930" s="19" t="s">
        <v>2937</v>
      </c>
      <c r="D930" s="17" t="s">
        <v>2307</v>
      </c>
      <c r="E930" s="18"/>
      <c r="F930" s="18">
        <v>546.34</v>
      </c>
      <c r="G930" s="18">
        <v>1700</v>
      </c>
      <c r="H930" s="18"/>
      <c r="I930" s="661"/>
      <c r="J930" s="13" t="s">
        <v>2449</v>
      </c>
    </row>
    <row r="931" spans="1:11">
      <c r="A931" s="16" t="s">
        <v>1842</v>
      </c>
      <c r="B931" s="26" t="s">
        <v>1514</v>
      </c>
      <c r="C931" s="19" t="s">
        <v>2938</v>
      </c>
      <c r="D931" s="17" t="s">
        <v>2307</v>
      </c>
      <c r="E931" s="18"/>
      <c r="F931" s="18">
        <v>546.34</v>
      </c>
      <c r="G931" s="18">
        <v>2166</v>
      </c>
      <c r="H931" s="18"/>
      <c r="I931" s="661"/>
      <c r="J931" s="13" t="s">
        <v>2449</v>
      </c>
    </row>
    <row r="932" spans="1:11">
      <c r="A932" s="16" t="s">
        <v>891</v>
      </c>
      <c r="B932" s="515">
        <v>73213</v>
      </c>
      <c r="C932" s="19" t="s">
        <v>2939</v>
      </c>
      <c r="D932" s="17" t="s">
        <v>2307</v>
      </c>
      <c r="E932" s="18"/>
      <c r="F932" s="18">
        <v>651.28</v>
      </c>
      <c r="G932" s="18">
        <v>19214</v>
      </c>
      <c r="H932" s="18"/>
      <c r="I932" s="661"/>
      <c r="J932" s="13" t="s">
        <v>2449</v>
      </c>
    </row>
    <row r="933" spans="1:11">
      <c r="A933" s="16" t="s">
        <v>890</v>
      </c>
      <c r="B933" s="515">
        <v>73413</v>
      </c>
      <c r="C933" s="19" t="s">
        <v>2940</v>
      </c>
      <c r="D933" s="17" t="s">
        <v>2307</v>
      </c>
      <c r="E933" s="18"/>
      <c r="F933" s="18">
        <v>651.28</v>
      </c>
      <c r="G933" s="18">
        <v>27998</v>
      </c>
      <c r="H933" s="18"/>
      <c r="I933" s="661"/>
      <c r="J933" s="13" t="s">
        <v>2449</v>
      </c>
    </row>
    <row r="934" spans="1:11" ht="13.8">
      <c r="A934" s="16" t="s">
        <v>5157</v>
      </c>
      <c r="B934" s="1598" t="s">
        <v>5158</v>
      </c>
      <c r="C934" s="1614" t="s">
        <v>5159</v>
      </c>
      <c r="D934" s="17" t="s">
        <v>2226</v>
      </c>
      <c r="E934" s="18"/>
      <c r="F934" s="18"/>
      <c r="G934" s="1613">
        <v>50600</v>
      </c>
      <c r="H934" s="18"/>
      <c r="I934" s="661"/>
      <c r="J934" s="13" t="s">
        <v>450</v>
      </c>
    </row>
    <row r="935" spans="1:11" s="1768" customFormat="1">
      <c r="A935" s="1761" t="s">
        <v>1116</v>
      </c>
      <c r="B935" s="1762" t="s">
        <v>5160</v>
      </c>
      <c r="C935" s="1763" t="s">
        <v>2941</v>
      </c>
      <c r="D935" s="1764" t="s">
        <v>2226</v>
      </c>
      <c r="E935" s="1765"/>
      <c r="F935" s="1765">
        <v>510</v>
      </c>
      <c r="G935" s="1654">
        <f>2.26/10*VLOOKUP("N2.35",DGNC,5)</f>
        <v>58277.49</v>
      </c>
      <c r="H935" s="1765"/>
      <c r="I935" s="2007"/>
      <c r="J935" s="1767" t="s">
        <v>450</v>
      </c>
    </row>
    <row r="936" spans="1:11" ht="13.8">
      <c r="A936" s="16" t="s">
        <v>5161</v>
      </c>
      <c r="B936" s="1615" t="s">
        <v>5162</v>
      </c>
      <c r="C936" s="19" t="s">
        <v>5163</v>
      </c>
      <c r="D936" s="17" t="s">
        <v>2118</v>
      </c>
      <c r="E936" s="18"/>
      <c r="F936" s="18"/>
      <c r="G936" s="1595">
        <f>ROUND(4.068*0.45*203846/10,)</f>
        <v>37316</v>
      </c>
      <c r="H936" s="18"/>
      <c r="I936" s="661"/>
      <c r="J936" s="13" t="s">
        <v>450</v>
      </c>
      <c r="K936" s="1">
        <v>203846</v>
      </c>
    </row>
    <row r="937" spans="1:11" ht="13.8">
      <c r="A937" s="16" t="s">
        <v>1538</v>
      </c>
      <c r="B937" s="1598" t="s">
        <v>5160</v>
      </c>
      <c r="C937" s="19" t="s">
        <v>2942</v>
      </c>
      <c r="D937" s="17" t="s">
        <v>2226</v>
      </c>
      <c r="E937" s="18"/>
      <c r="F937" s="18"/>
      <c r="G937" s="1595">
        <v>46069</v>
      </c>
      <c r="H937" s="18"/>
      <c r="I937" s="661"/>
      <c r="J937" s="13" t="s">
        <v>629</v>
      </c>
    </row>
    <row r="938" spans="1:11" ht="13.8">
      <c r="A938" s="16" t="s">
        <v>1118</v>
      </c>
      <c r="B938" s="1598" t="s">
        <v>5164</v>
      </c>
      <c r="C938" s="19" t="s">
        <v>2943</v>
      </c>
      <c r="D938" s="17" t="s">
        <v>2579</v>
      </c>
      <c r="E938" s="18"/>
      <c r="F938" s="18"/>
      <c r="G938" s="1595">
        <v>39600</v>
      </c>
      <c r="H938" s="18"/>
      <c r="I938" s="661"/>
      <c r="J938" s="13" t="s">
        <v>450</v>
      </c>
    </row>
    <row r="939" spans="1:11" ht="13.8">
      <c r="A939" s="16" t="s">
        <v>1119</v>
      </c>
      <c r="B939" s="1598" t="s">
        <v>5165</v>
      </c>
      <c r="C939" s="19" t="s">
        <v>2944</v>
      </c>
      <c r="D939" s="17" t="s">
        <v>2579</v>
      </c>
      <c r="E939" s="18"/>
      <c r="F939" s="18"/>
      <c r="G939" s="1616">
        <v>41800</v>
      </c>
      <c r="H939" s="18"/>
      <c r="I939" s="661"/>
      <c r="J939" s="13" t="s">
        <v>450</v>
      </c>
    </row>
    <row r="940" spans="1:11" s="1768" customFormat="1">
      <c r="A940" s="1761" t="s">
        <v>1097</v>
      </c>
      <c r="B940" s="1762" t="s">
        <v>5166</v>
      </c>
      <c r="C940" s="1763" t="s">
        <v>4223</v>
      </c>
      <c r="D940" s="1764" t="s">
        <v>2226</v>
      </c>
      <c r="E940" s="1765"/>
      <c r="F940" s="1765">
        <v>360</v>
      </c>
      <c r="G940" s="1654">
        <f>0.252*VLOOKUP("N2.40",DGNC,5)</f>
        <v>70131.600000000006</v>
      </c>
      <c r="H940" s="1765"/>
      <c r="I940" s="2007"/>
      <c r="J940" s="1767" t="s">
        <v>450</v>
      </c>
    </row>
    <row r="941" spans="1:11" s="1768" customFormat="1">
      <c r="A941" s="1761" t="s">
        <v>4224</v>
      </c>
      <c r="B941" s="1762" t="s">
        <v>5166</v>
      </c>
      <c r="C941" s="1763" t="s">
        <v>4225</v>
      </c>
      <c r="D941" s="1764" t="s">
        <v>2226</v>
      </c>
      <c r="E941" s="1765"/>
      <c r="F941" s="1765">
        <f>F940*2</f>
        <v>720</v>
      </c>
      <c r="G941" s="1654">
        <f>0.252*VLOOKUP("N2.40",DGNC,5)*1.98</f>
        <v>138860.568</v>
      </c>
      <c r="H941" s="1765"/>
      <c r="I941" s="2007"/>
      <c r="J941" s="1767" t="s">
        <v>450</v>
      </c>
    </row>
    <row r="942" spans="1:11">
      <c r="A942" s="16" t="s">
        <v>1226</v>
      </c>
      <c r="B942" s="26" t="s">
        <v>1227</v>
      </c>
      <c r="C942" s="19" t="s">
        <v>2945</v>
      </c>
      <c r="D942" s="17" t="s">
        <v>2579</v>
      </c>
      <c r="E942" s="18"/>
      <c r="F942" s="18">
        <v>570</v>
      </c>
      <c r="G942" s="18">
        <v>14728</v>
      </c>
      <c r="H942" s="18"/>
      <c r="I942" s="661"/>
      <c r="J942" s="517" t="s">
        <v>450</v>
      </c>
    </row>
    <row r="943" spans="1:11" s="1768" customFormat="1">
      <c r="A943" s="1761" t="s">
        <v>602</v>
      </c>
      <c r="B943" s="1762" t="s">
        <v>5655</v>
      </c>
      <c r="C943" s="1763" t="s">
        <v>4999</v>
      </c>
      <c r="D943" s="1764" t="s">
        <v>2226</v>
      </c>
      <c r="E943" s="1765"/>
      <c r="F943" s="1765">
        <v>115</v>
      </c>
      <c r="G943" s="1654">
        <f>0.06*VLOOKUP("N2.35",DGNC,5)</f>
        <v>15471.9</v>
      </c>
      <c r="H943" s="1765"/>
      <c r="I943" s="2007"/>
      <c r="J943" s="1767" t="s">
        <v>450</v>
      </c>
    </row>
    <row r="944" spans="1:11" ht="13.8">
      <c r="A944" s="16" t="s">
        <v>1471</v>
      </c>
      <c r="B944" s="1598" t="s">
        <v>5167</v>
      </c>
      <c r="C944" s="19" t="s">
        <v>2946</v>
      </c>
      <c r="D944" s="17" t="s">
        <v>2226</v>
      </c>
      <c r="E944" s="18"/>
      <c r="F944" s="18"/>
      <c r="G944" s="1595">
        <v>57077</v>
      </c>
      <c r="H944" s="18"/>
      <c r="I944" s="661"/>
      <c r="J944" s="13" t="s">
        <v>450</v>
      </c>
    </row>
    <row r="945" spans="1:10" ht="13.8">
      <c r="A945" s="16" t="s">
        <v>1110</v>
      </c>
      <c r="B945" s="1598" t="s">
        <v>5168</v>
      </c>
      <c r="C945" s="19" t="s">
        <v>2947</v>
      </c>
      <c r="D945" s="17" t="s">
        <v>2226</v>
      </c>
      <c r="E945" s="18"/>
      <c r="F945" s="18"/>
      <c r="G945" s="1595">
        <v>79500</v>
      </c>
      <c r="H945" s="18"/>
      <c r="I945" s="661"/>
      <c r="J945" s="13" t="s">
        <v>450</v>
      </c>
    </row>
    <row r="946" spans="1:10" ht="13.8">
      <c r="A946" s="16" t="s">
        <v>531</v>
      </c>
      <c r="B946" s="1598" t="s">
        <v>5169</v>
      </c>
      <c r="C946" s="19" t="s">
        <v>2948</v>
      </c>
      <c r="D946" s="17" t="s">
        <v>2226</v>
      </c>
      <c r="E946" s="18"/>
      <c r="F946" s="18"/>
      <c r="G946" s="1595">
        <v>112115</v>
      </c>
      <c r="H946" s="18"/>
      <c r="I946" s="661"/>
      <c r="J946" s="13" t="s">
        <v>450</v>
      </c>
    </row>
    <row r="947" spans="1:10" ht="13.8">
      <c r="A947" s="1617"/>
      <c r="B947" s="1618"/>
      <c r="C947" s="1619" t="s">
        <v>5170</v>
      </c>
      <c r="D947" s="1620"/>
      <c r="E947" s="1621"/>
      <c r="F947" s="1621"/>
      <c r="G947" s="1621"/>
      <c r="H947" s="1621"/>
      <c r="I947" s="661"/>
      <c r="J947" s="13"/>
    </row>
    <row r="948" spans="1:10">
      <c r="A948" s="1617" t="s">
        <v>690</v>
      </c>
      <c r="B948" s="1622" t="s">
        <v>691</v>
      </c>
      <c r="C948" s="1619" t="s">
        <v>2949</v>
      </c>
      <c r="D948" s="1620" t="s">
        <v>2447</v>
      </c>
      <c r="E948" s="1621"/>
      <c r="F948" s="1621">
        <v>327349</v>
      </c>
      <c r="G948" s="1621">
        <v>404530</v>
      </c>
      <c r="H948" s="1621">
        <v>1411705</v>
      </c>
      <c r="I948" s="661"/>
      <c r="J948" s="13" t="s">
        <v>450</v>
      </c>
    </row>
    <row r="949" spans="1:10">
      <c r="A949" s="1617" t="s">
        <v>1398</v>
      </c>
      <c r="B949" s="1622" t="s">
        <v>1394</v>
      </c>
      <c r="C949" s="1619" t="s">
        <v>2950</v>
      </c>
      <c r="D949" s="1620" t="s">
        <v>2226</v>
      </c>
      <c r="E949" s="1621"/>
      <c r="F949" s="1621">
        <v>51836</v>
      </c>
      <c r="G949" s="1621">
        <v>62209</v>
      </c>
      <c r="H949" s="1621">
        <v>202860</v>
      </c>
      <c r="I949" s="661"/>
      <c r="J949" s="13" t="s">
        <v>450</v>
      </c>
    </row>
    <row r="950" spans="1:10">
      <c r="A950" s="1617" t="s">
        <v>1393</v>
      </c>
      <c r="B950" s="1622" t="s">
        <v>1395</v>
      </c>
      <c r="C950" s="1619" t="s">
        <v>2951</v>
      </c>
      <c r="D950" s="1620" t="s">
        <v>2226</v>
      </c>
      <c r="E950" s="1621"/>
      <c r="F950" s="1621">
        <v>162675</v>
      </c>
      <c r="G950" s="1621">
        <v>160475</v>
      </c>
      <c r="H950" s="1621">
        <v>551080</v>
      </c>
      <c r="I950" s="661"/>
      <c r="J950" s="13" t="s">
        <v>450</v>
      </c>
    </row>
    <row r="951" spans="1:10">
      <c r="A951" s="1617" t="s">
        <v>2024</v>
      </c>
      <c r="B951" s="1622" t="s">
        <v>2025</v>
      </c>
      <c r="C951" s="1619" t="s">
        <v>2952</v>
      </c>
      <c r="D951" s="1620" t="s">
        <v>2953</v>
      </c>
      <c r="E951" s="1621"/>
      <c r="F951" s="1621">
        <v>168557</v>
      </c>
      <c r="G951" s="1621">
        <v>166418</v>
      </c>
      <c r="H951" s="1621">
        <v>539120</v>
      </c>
      <c r="I951" s="661"/>
      <c r="J951" s="13" t="s">
        <v>610</v>
      </c>
    </row>
    <row r="952" spans="1:10">
      <c r="A952" s="1617" t="s">
        <v>1397</v>
      </c>
      <c r="B952" s="1622" t="s">
        <v>1396</v>
      </c>
      <c r="C952" s="1619" t="s">
        <v>2954</v>
      </c>
      <c r="D952" s="1620" t="s">
        <v>2226</v>
      </c>
      <c r="E952" s="1621"/>
      <c r="F952" s="1621">
        <v>286522</v>
      </c>
      <c r="G952" s="1621">
        <v>314263</v>
      </c>
      <c r="H952" s="1621">
        <v>982330</v>
      </c>
      <c r="I952" s="661"/>
      <c r="J952" s="13" t="s">
        <v>450</v>
      </c>
    </row>
    <row r="953" spans="1:10">
      <c r="A953" s="1617" t="s">
        <v>1399</v>
      </c>
      <c r="B953" s="1622" t="s">
        <v>1443</v>
      </c>
      <c r="C953" s="1619" t="s">
        <v>2955</v>
      </c>
      <c r="D953" s="1620" t="s">
        <v>2226</v>
      </c>
      <c r="E953" s="1621"/>
      <c r="F953" s="1621">
        <v>52764</v>
      </c>
      <c r="G953" s="1621">
        <v>64586</v>
      </c>
      <c r="H953" s="1621">
        <v>212443</v>
      </c>
      <c r="I953" s="661"/>
      <c r="J953" s="13" t="s">
        <v>450</v>
      </c>
    </row>
    <row r="954" spans="1:10">
      <c r="A954" s="1617" t="s">
        <v>1445</v>
      </c>
      <c r="B954" s="1622" t="s">
        <v>1444</v>
      </c>
      <c r="C954" s="1619" t="s">
        <v>2956</v>
      </c>
      <c r="D954" s="1620" t="s">
        <v>2226</v>
      </c>
      <c r="E954" s="1621"/>
      <c r="F954" s="1621">
        <v>154961</v>
      </c>
      <c r="G954" s="1621">
        <v>157503</v>
      </c>
      <c r="H954" s="1621">
        <v>527045</v>
      </c>
      <c r="I954" s="661"/>
      <c r="J954" s="13" t="s">
        <v>450</v>
      </c>
    </row>
    <row r="955" spans="1:10">
      <c r="A955" s="1617" t="s">
        <v>1446</v>
      </c>
      <c r="B955" s="1622" t="s">
        <v>1444</v>
      </c>
      <c r="C955" s="1619" t="s">
        <v>54</v>
      </c>
      <c r="D955" s="1620" t="s">
        <v>2118</v>
      </c>
      <c r="E955" s="1621"/>
      <c r="F955" s="1621">
        <v>154961</v>
      </c>
      <c r="G955" s="1621">
        <v>157503</v>
      </c>
      <c r="H955" s="1621">
        <v>527045</v>
      </c>
      <c r="I955" s="661"/>
      <c r="J955" s="13" t="s">
        <v>450</v>
      </c>
    </row>
    <row r="956" spans="1:10">
      <c r="A956" s="16" t="s">
        <v>603</v>
      </c>
      <c r="B956" s="26" t="s">
        <v>1185</v>
      </c>
      <c r="C956" s="19" t="s">
        <v>2957</v>
      </c>
      <c r="D956" s="17" t="s">
        <v>2118</v>
      </c>
      <c r="E956" s="18"/>
      <c r="F956" s="18"/>
      <c r="G956" s="18">
        <v>6546</v>
      </c>
      <c r="H956" s="18"/>
      <c r="I956" s="661"/>
      <c r="J956" s="13" t="s">
        <v>450</v>
      </c>
    </row>
    <row r="957" spans="1:10" s="1756" customFormat="1">
      <c r="A957" s="1751" t="s">
        <v>1144</v>
      </c>
      <c r="B957" s="1752" t="s">
        <v>5171</v>
      </c>
      <c r="C957" s="1753" t="s">
        <v>5616</v>
      </c>
      <c r="D957" s="1754" t="s">
        <v>866</v>
      </c>
      <c r="E957" s="1722"/>
      <c r="F957" s="1722"/>
      <c r="G957" s="1721">
        <f>0.05*VLOOKUP("N2.40",DGNC,5)</f>
        <v>13915</v>
      </c>
      <c r="H957" s="1722"/>
      <c r="I957" s="2008"/>
      <c r="J957" s="1755" t="s">
        <v>450</v>
      </c>
    </row>
    <row r="958" spans="1:10" s="1756" customFormat="1">
      <c r="A958" s="1751" t="s">
        <v>1145</v>
      </c>
      <c r="B958" s="1752" t="s">
        <v>5172</v>
      </c>
      <c r="C958" s="1753" t="s">
        <v>5617</v>
      </c>
      <c r="D958" s="1754" t="s">
        <v>866</v>
      </c>
      <c r="E958" s="1722"/>
      <c r="F958" s="1722"/>
      <c r="G958" s="1721">
        <f>0.12*VLOOKUP("N2.40",DGNC,5)</f>
        <v>33396</v>
      </c>
      <c r="H958" s="1722"/>
      <c r="I958" s="2008"/>
      <c r="J958" s="1755" t="s">
        <v>450</v>
      </c>
    </row>
    <row r="959" spans="1:10" s="1756" customFormat="1">
      <c r="A959" s="1751" t="s">
        <v>1769</v>
      </c>
      <c r="B959" s="1752" t="s">
        <v>5173</v>
      </c>
      <c r="C959" s="1753" t="s">
        <v>5618</v>
      </c>
      <c r="D959" s="1754" t="s">
        <v>866</v>
      </c>
      <c r="E959" s="1722"/>
      <c r="F959" s="1722"/>
      <c r="G959" s="1721">
        <f>0.17*VLOOKUP("N2.40",DGNC,5)</f>
        <v>47311</v>
      </c>
      <c r="H959" s="1722"/>
      <c r="I959" s="2008"/>
      <c r="J959" s="1755" t="s">
        <v>450</v>
      </c>
    </row>
    <row r="960" spans="1:10" ht="13.8">
      <c r="A960" s="16" t="s">
        <v>5174</v>
      </c>
      <c r="B960" s="1623" t="s">
        <v>5175</v>
      </c>
      <c r="C960" s="19" t="s">
        <v>5176</v>
      </c>
      <c r="D960" s="17" t="s">
        <v>866</v>
      </c>
      <c r="E960" s="18"/>
      <c r="F960" s="18"/>
      <c r="G960" s="1613">
        <v>66000</v>
      </c>
      <c r="H960" s="18"/>
      <c r="I960" s="661"/>
      <c r="J960" s="13" t="s">
        <v>450</v>
      </c>
    </row>
    <row r="961" spans="1:11">
      <c r="A961" s="16" t="s">
        <v>5177</v>
      </c>
      <c r="B961" s="26" t="s">
        <v>617</v>
      </c>
      <c r="C961" s="19" t="s">
        <v>5178</v>
      </c>
      <c r="D961" s="17" t="s">
        <v>2118</v>
      </c>
      <c r="E961" s="18"/>
      <c r="F961" s="18"/>
      <c r="G961" s="1595"/>
      <c r="H961" s="18"/>
      <c r="I961" s="661"/>
      <c r="J961" s="13" t="s">
        <v>450</v>
      </c>
    </row>
    <row r="962" spans="1:11" ht="13.8">
      <c r="A962" s="16" t="s">
        <v>1478</v>
      </c>
      <c r="B962" s="1598" t="s">
        <v>5179</v>
      </c>
      <c r="C962" s="19" t="s">
        <v>2958</v>
      </c>
      <c r="D962" s="17" t="s">
        <v>2118</v>
      </c>
      <c r="E962" s="18"/>
      <c r="F962" s="18"/>
      <c r="G962" s="1595">
        <f>528000/3</f>
        <v>176000</v>
      </c>
      <c r="H962" s="18"/>
      <c r="I962" s="661"/>
      <c r="J962" s="13" t="s">
        <v>450</v>
      </c>
      <c r="K962" s="1">
        <v>528000</v>
      </c>
    </row>
    <row r="963" spans="1:11" ht="13.8">
      <c r="A963" s="16" t="s">
        <v>282</v>
      </c>
      <c r="B963" s="1598" t="s">
        <v>5179</v>
      </c>
      <c r="C963" s="19" t="s">
        <v>2959</v>
      </c>
      <c r="D963" s="17" t="s">
        <v>2118</v>
      </c>
      <c r="E963" s="18"/>
      <c r="F963" s="18"/>
      <c r="G963" s="1595">
        <f>528000/3</f>
        <v>176000</v>
      </c>
      <c r="H963" s="18"/>
      <c r="I963" s="661"/>
      <c r="J963" s="13" t="s">
        <v>450</v>
      </c>
    </row>
    <row r="964" spans="1:11">
      <c r="A964" s="16" t="s">
        <v>283</v>
      </c>
      <c r="B964" s="26" t="s">
        <v>495</v>
      </c>
      <c r="C964" s="19" t="s">
        <v>2960</v>
      </c>
      <c r="D964" s="17" t="s">
        <v>2226</v>
      </c>
      <c r="E964" s="18"/>
      <c r="F964" s="18"/>
      <c r="G964" s="18">
        <v>11455</v>
      </c>
      <c r="H964" s="18"/>
      <c r="I964" s="661"/>
      <c r="J964" s="13" t="s">
        <v>450</v>
      </c>
    </row>
    <row r="965" spans="1:11">
      <c r="A965" s="16" t="s">
        <v>481</v>
      </c>
      <c r="B965" s="26" t="s">
        <v>482</v>
      </c>
      <c r="C965" s="683" t="s">
        <v>2961</v>
      </c>
      <c r="D965" s="17" t="s">
        <v>532</v>
      </c>
      <c r="E965" s="18"/>
      <c r="F965" s="18"/>
      <c r="G965" s="18">
        <v>230</v>
      </c>
      <c r="H965" s="18"/>
      <c r="I965" s="661"/>
      <c r="J965" s="13" t="s">
        <v>750</v>
      </c>
    </row>
    <row r="966" spans="1:11" s="1756" customFormat="1">
      <c r="A966" s="1751" t="s">
        <v>2051</v>
      </c>
      <c r="B966" s="1752" t="s">
        <v>5751</v>
      </c>
      <c r="C966" s="1753" t="s">
        <v>5752</v>
      </c>
      <c r="D966" s="1754" t="s">
        <v>805</v>
      </c>
      <c r="E966" s="1722"/>
      <c r="F966" s="1722">
        <v>328703</v>
      </c>
      <c r="G966" s="1721"/>
      <c r="H966" s="1722"/>
      <c r="I966" s="2008"/>
      <c r="J966" s="1755" t="s">
        <v>750</v>
      </c>
    </row>
    <row r="967" spans="1:11">
      <c r="A967" s="658" t="s">
        <v>3757</v>
      </c>
      <c r="B967" s="517"/>
      <c r="C967" s="658"/>
      <c r="D967" s="658"/>
      <c r="E967" s="660"/>
      <c r="F967" s="661"/>
      <c r="G967" s="661"/>
      <c r="H967" s="661"/>
      <c r="I967" s="661"/>
      <c r="J967" s="13" t="s">
        <v>956</v>
      </c>
    </row>
    <row r="968" spans="1:11">
      <c r="A968" s="1051" t="s">
        <v>3752</v>
      </c>
      <c r="B968" s="1051" t="s">
        <v>3753</v>
      </c>
      <c r="C968" s="1051" t="s">
        <v>2716</v>
      </c>
      <c r="D968" s="1051" t="s">
        <v>2206</v>
      </c>
      <c r="E968" s="1053" t="s">
        <v>2717</v>
      </c>
      <c r="F968" s="1053"/>
      <c r="G968" s="1053"/>
      <c r="H968" s="1053"/>
      <c r="I968" s="661"/>
      <c r="J968" s="13" t="s">
        <v>868</v>
      </c>
    </row>
    <row r="969" spans="1:11">
      <c r="A969" s="1051">
        <v>1</v>
      </c>
      <c r="B969" s="1051">
        <v>2</v>
      </c>
      <c r="C969" s="1051">
        <v>3</v>
      </c>
      <c r="D969" s="1051">
        <v>4</v>
      </c>
      <c r="E969" s="1050" t="s">
        <v>2962</v>
      </c>
      <c r="F969" s="1050" t="s">
        <v>752</v>
      </c>
      <c r="G969" s="1050" t="s">
        <v>2963</v>
      </c>
      <c r="H969" s="1050" t="s">
        <v>2964</v>
      </c>
      <c r="I969" s="661"/>
      <c r="J969" s="13">
        <v>1</v>
      </c>
    </row>
    <row r="970" spans="1:11" ht="13.8">
      <c r="A970" s="16" t="s">
        <v>425</v>
      </c>
      <c r="B970" s="1598" t="s">
        <v>5180</v>
      </c>
      <c r="C970" s="19" t="s">
        <v>2965</v>
      </c>
      <c r="D970" s="17" t="s">
        <v>2966</v>
      </c>
      <c r="E970" s="14">
        <v>21409000</v>
      </c>
      <c r="F970" s="14"/>
      <c r="G970" s="1601">
        <v>546322</v>
      </c>
      <c r="H970" s="1595">
        <v>284508</v>
      </c>
      <c r="I970" s="14">
        <v>8471700</v>
      </c>
      <c r="J970" s="13" t="s">
        <v>1499</v>
      </c>
    </row>
    <row r="971" spans="1:11" ht="13.8">
      <c r="A971" s="16" t="s">
        <v>709</v>
      </c>
      <c r="B971" s="1598" t="s">
        <v>5180</v>
      </c>
      <c r="C971" s="19" t="s">
        <v>2967</v>
      </c>
      <c r="D971" s="17" t="s">
        <v>2966</v>
      </c>
      <c r="E971" s="14">
        <v>27422000</v>
      </c>
      <c r="F971" s="14"/>
      <c r="G971" s="1601">
        <v>546322</v>
      </c>
      <c r="H971" s="1595">
        <v>284508</v>
      </c>
      <c r="I971" s="14">
        <v>10722500</v>
      </c>
      <c r="J971" s="13" t="s">
        <v>1499</v>
      </c>
    </row>
    <row r="972" spans="1:11" ht="13.8">
      <c r="A972" s="16" t="s">
        <v>1630</v>
      </c>
      <c r="B972" s="1598" t="s">
        <v>5181</v>
      </c>
      <c r="C972" s="19" t="s">
        <v>2968</v>
      </c>
      <c r="D972" s="17" t="s">
        <v>2966</v>
      </c>
      <c r="E972" s="14">
        <v>34199000</v>
      </c>
      <c r="F972" s="14"/>
      <c r="G972" s="1601">
        <v>630187</v>
      </c>
      <c r="H972" s="1612">
        <v>284508</v>
      </c>
      <c r="I972" s="14">
        <v>13373200</v>
      </c>
      <c r="J972" s="13" t="s">
        <v>1499</v>
      </c>
    </row>
    <row r="973" spans="1:11" ht="13.8">
      <c r="A973" s="16" t="s">
        <v>1406</v>
      </c>
      <c r="B973" s="1598" t="s">
        <v>5181</v>
      </c>
      <c r="C973" s="19" t="s">
        <v>2969</v>
      </c>
      <c r="D973" s="17" t="s">
        <v>2966</v>
      </c>
      <c r="E973" s="14">
        <v>40360000</v>
      </c>
      <c r="F973" s="14"/>
      <c r="G973" s="1601">
        <v>630187</v>
      </c>
      <c r="H973" s="1612">
        <v>284508</v>
      </c>
      <c r="I973" s="14">
        <v>15782400</v>
      </c>
      <c r="J973" s="13" t="s">
        <v>1499</v>
      </c>
    </row>
    <row r="974" spans="1:11" ht="13.8">
      <c r="A974" s="16" t="s">
        <v>383</v>
      </c>
      <c r="B974" s="1598" t="s">
        <v>5182</v>
      </c>
      <c r="C974" s="19" t="s">
        <v>2970</v>
      </c>
      <c r="D974" s="17" t="s">
        <v>2966</v>
      </c>
      <c r="E974" s="14">
        <v>53301000</v>
      </c>
      <c r="F974" s="14"/>
      <c r="G974" s="1601">
        <v>838653</v>
      </c>
      <c r="H974" s="1612">
        <v>284508</v>
      </c>
      <c r="I974" s="14">
        <v>20842400</v>
      </c>
      <c r="J974" s="13" t="s">
        <v>1499</v>
      </c>
    </row>
    <row r="975" spans="1:11" ht="13.8">
      <c r="A975" s="16" t="s">
        <v>342</v>
      </c>
      <c r="B975" s="1598" t="s">
        <v>5183</v>
      </c>
      <c r="C975" s="19" t="s">
        <v>2971</v>
      </c>
      <c r="D975" s="17" t="s">
        <v>2966</v>
      </c>
      <c r="E975" s="14">
        <v>63159000</v>
      </c>
      <c r="F975" s="14"/>
      <c r="G975" s="1612">
        <v>891368</v>
      </c>
      <c r="H975" s="1612">
        <v>284508</v>
      </c>
      <c r="I975" s="14">
        <v>20842400</v>
      </c>
      <c r="J975" s="13" t="s">
        <v>1499</v>
      </c>
    </row>
    <row r="976" spans="1:11" ht="13.8">
      <c r="A976" s="16" t="s">
        <v>1744</v>
      </c>
      <c r="B976" s="1598" t="s">
        <v>5180</v>
      </c>
      <c r="C976" s="19" t="s">
        <v>2972</v>
      </c>
      <c r="D976" s="17" t="s">
        <v>2966</v>
      </c>
      <c r="E976" s="14">
        <v>25444000</v>
      </c>
      <c r="F976" s="14"/>
      <c r="G976" s="1601">
        <v>546322</v>
      </c>
      <c r="H976" s="1595">
        <v>284508</v>
      </c>
      <c r="I976" s="14">
        <v>8121100</v>
      </c>
      <c r="J976" s="13" t="s">
        <v>1499</v>
      </c>
    </row>
    <row r="977" spans="1:10" ht="13.8">
      <c r="A977" s="16" t="s">
        <v>1806</v>
      </c>
      <c r="B977" s="1598" t="s">
        <v>5180</v>
      </c>
      <c r="C977" s="19" t="s">
        <v>2973</v>
      </c>
      <c r="D977" s="17" t="s">
        <v>2966</v>
      </c>
      <c r="E977" s="14">
        <v>41513000</v>
      </c>
      <c r="F977" s="14"/>
      <c r="G977" s="1601">
        <v>546322</v>
      </c>
      <c r="H977" s="1595">
        <v>284508</v>
      </c>
      <c r="I977" s="14">
        <v>10407300</v>
      </c>
      <c r="J977" s="13" t="s">
        <v>1499</v>
      </c>
    </row>
    <row r="978" spans="1:10" ht="13.8">
      <c r="A978" s="16" t="s">
        <v>1807</v>
      </c>
      <c r="B978" s="1598" t="s">
        <v>5181</v>
      </c>
      <c r="C978" s="19" t="s">
        <v>2974</v>
      </c>
      <c r="D978" s="17" t="s">
        <v>2966</v>
      </c>
      <c r="E978" s="14">
        <v>51310000</v>
      </c>
      <c r="F978" s="14"/>
      <c r="G978" s="1601">
        <v>630187</v>
      </c>
      <c r="H978" s="1612">
        <v>284508</v>
      </c>
      <c r="I978" s="14">
        <v>12971900</v>
      </c>
      <c r="J978" s="13" t="s">
        <v>1499</v>
      </c>
    </row>
    <row r="979" spans="1:10" ht="13.8">
      <c r="A979" s="16" t="s">
        <v>1808</v>
      </c>
      <c r="B979" s="1598" t="s">
        <v>5181</v>
      </c>
      <c r="C979" s="19" t="s">
        <v>2975</v>
      </c>
      <c r="D979" s="17" t="s">
        <v>2966</v>
      </c>
      <c r="E979" s="14">
        <v>44055000</v>
      </c>
      <c r="F979" s="14"/>
      <c r="G979" s="1601">
        <v>630187</v>
      </c>
      <c r="H979" s="1612">
        <v>284508</v>
      </c>
      <c r="I979" s="14">
        <v>15308900</v>
      </c>
      <c r="J979" s="13" t="s">
        <v>1499</v>
      </c>
    </row>
    <row r="980" spans="1:10" ht="13.8">
      <c r="A980" s="16" t="s">
        <v>1809</v>
      </c>
      <c r="B980" s="1598" t="s">
        <v>5182</v>
      </c>
      <c r="C980" s="19" t="s">
        <v>2976</v>
      </c>
      <c r="D980" s="17" t="s">
        <v>2966</v>
      </c>
      <c r="E980" s="14">
        <v>58180000</v>
      </c>
      <c r="F980" s="14"/>
      <c r="G980" s="1601">
        <v>838653</v>
      </c>
      <c r="H980" s="1612">
        <v>284508</v>
      </c>
      <c r="I980" s="14">
        <v>20218100</v>
      </c>
      <c r="J980" s="13" t="s">
        <v>1499</v>
      </c>
    </row>
    <row r="981" spans="1:10" s="657" customFormat="1" ht="13.8">
      <c r="A981" s="678" t="s">
        <v>343</v>
      </c>
      <c r="B981" s="1598" t="s">
        <v>5183</v>
      </c>
      <c r="C981" s="680" t="s">
        <v>2977</v>
      </c>
      <c r="D981" s="681" t="s">
        <v>2966</v>
      </c>
      <c r="E981" s="695">
        <v>68939000</v>
      </c>
      <c r="F981" s="695"/>
      <c r="G981" s="1612">
        <v>891368</v>
      </c>
      <c r="H981" s="1612">
        <v>284508</v>
      </c>
      <c r="I981" s="695">
        <v>20218100</v>
      </c>
      <c r="J981" s="656" t="s">
        <v>1499</v>
      </c>
    </row>
    <row r="982" spans="1:10" ht="13.8">
      <c r="A982" s="19" t="s">
        <v>381</v>
      </c>
      <c r="B982" s="1598" t="s">
        <v>5184</v>
      </c>
      <c r="C982" s="19" t="s">
        <v>2978</v>
      </c>
      <c r="D982" s="17" t="s">
        <v>2966</v>
      </c>
      <c r="E982" s="18">
        <v>87965000</v>
      </c>
      <c r="F982" s="18"/>
      <c r="G982" s="1595">
        <v>1015968</v>
      </c>
      <c r="H982" s="1595">
        <v>284508</v>
      </c>
      <c r="I982" s="14">
        <v>28500600</v>
      </c>
      <c r="J982" s="13" t="s">
        <v>1499</v>
      </c>
    </row>
    <row r="983" spans="1:10" ht="13.8">
      <c r="A983" s="19" t="s">
        <v>1093</v>
      </c>
      <c r="B983" s="1598" t="s">
        <v>5185</v>
      </c>
      <c r="C983" s="19" t="s">
        <v>2979</v>
      </c>
      <c r="D983" s="17" t="s">
        <v>2966</v>
      </c>
      <c r="E983" s="18">
        <v>160209000</v>
      </c>
      <c r="F983" s="18"/>
      <c r="G983" s="1595">
        <v>1190887</v>
      </c>
      <c r="H983" s="1595">
        <v>284508</v>
      </c>
      <c r="I983" s="14">
        <v>34699800</v>
      </c>
      <c r="J983" s="13" t="s">
        <v>1499</v>
      </c>
    </row>
    <row r="984" spans="1:10" ht="13.8">
      <c r="A984" s="19" t="s">
        <v>1589</v>
      </c>
      <c r="B984" s="1598" t="s">
        <v>5185</v>
      </c>
      <c r="C984" s="19" t="s">
        <v>2980</v>
      </c>
      <c r="D984" s="17" t="s">
        <v>2966</v>
      </c>
      <c r="E984" s="18">
        <v>118955000</v>
      </c>
      <c r="F984" s="18"/>
      <c r="G984" s="1595">
        <v>1190887</v>
      </c>
      <c r="H984" s="1595">
        <v>284508</v>
      </c>
      <c r="I984" s="14">
        <v>38749600</v>
      </c>
      <c r="J984" s="13" t="s">
        <v>1499</v>
      </c>
    </row>
    <row r="985" spans="1:10" ht="13.8">
      <c r="A985" s="19" t="s">
        <v>1342</v>
      </c>
      <c r="B985" s="1598" t="s">
        <v>5186</v>
      </c>
      <c r="C985" s="19" t="s">
        <v>2981</v>
      </c>
      <c r="D985" s="17" t="s">
        <v>2966</v>
      </c>
      <c r="E985" s="18">
        <v>145064000</v>
      </c>
      <c r="F985" s="18"/>
      <c r="G985" s="1595">
        <v>1392163</v>
      </c>
      <c r="H985" s="2009">
        <v>361106</v>
      </c>
      <c r="I985" s="14">
        <v>39157100</v>
      </c>
      <c r="J985" s="13" t="s">
        <v>1499</v>
      </c>
    </row>
    <row r="986" spans="1:10" ht="13.8">
      <c r="A986" s="19" t="s">
        <v>618</v>
      </c>
      <c r="B986" s="1598" t="s">
        <v>5186</v>
      </c>
      <c r="C986" s="19" t="s">
        <v>2982</v>
      </c>
      <c r="D986" s="17" t="s">
        <v>2966</v>
      </c>
      <c r="E986" s="18">
        <v>175309000</v>
      </c>
      <c r="F986" s="18"/>
      <c r="G986" s="1595">
        <v>1392163</v>
      </c>
      <c r="H986" s="2009">
        <v>361106</v>
      </c>
      <c r="I986" s="14">
        <v>51580100</v>
      </c>
      <c r="J986" s="13" t="s">
        <v>1499</v>
      </c>
    </row>
    <row r="987" spans="1:10" ht="13.8">
      <c r="A987" s="19" t="s">
        <v>105</v>
      </c>
      <c r="B987" s="1598" t="s">
        <v>5187</v>
      </c>
      <c r="C987" s="19" t="s">
        <v>2983</v>
      </c>
      <c r="D987" s="17" t="s">
        <v>2966</v>
      </c>
      <c r="E987" s="18">
        <v>204030000</v>
      </c>
      <c r="F987" s="18"/>
      <c r="G987" s="1595">
        <v>1660532</v>
      </c>
      <c r="H987" s="2009">
        <v>361106</v>
      </c>
      <c r="I987" s="14">
        <v>59562800</v>
      </c>
      <c r="J987" s="13" t="s">
        <v>1499</v>
      </c>
    </row>
    <row r="988" spans="1:10" ht="13.8">
      <c r="A988" s="19" t="s">
        <v>1025</v>
      </c>
      <c r="B988" s="1598" t="s">
        <v>5187</v>
      </c>
      <c r="C988" s="19" t="s">
        <v>2984</v>
      </c>
      <c r="D988" s="17" t="s">
        <v>2966</v>
      </c>
      <c r="E988" s="18">
        <v>224975000</v>
      </c>
      <c r="F988" s="18"/>
      <c r="G988" s="1595">
        <v>1660532</v>
      </c>
      <c r="H988" s="2009">
        <v>361106</v>
      </c>
      <c r="I988" s="14">
        <v>74865500</v>
      </c>
      <c r="J988" s="13" t="s">
        <v>1499</v>
      </c>
    </row>
    <row r="989" spans="1:10" ht="13.8">
      <c r="A989" s="19" t="s">
        <v>20</v>
      </c>
      <c r="B989" s="1598" t="s">
        <v>5188</v>
      </c>
      <c r="C989" s="19" t="s">
        <v>2985</v>
      </c>
      <c r="D989" s="17" t="s">
        <v>2966</v>
      </c>
      <c r="E989" s="18">
        <v>242413000</v>
      </c>
      <c r="F989" s="18"/>
      <c r="G989" s="1595">
        <v>1797113</v>
      </c>
      <c r="H989" s="2009">
        <v>393934</v>
      </c>
      <c r="I989" s="14">
        <v>83999800</v>
      </c>
      <c r="J989" s="13" t="s">
        <v>1499</v>
      </c>
    </row>
    <row r="990" spans="1:10" ht="13.8">
      <c r="A990" s="19" t="s">
        <v>692</v>
      </c>
      <c r="B990" s="1598" t="s">
        <v>5188</v>
      </c>
      <c r="C990" s="19" t="s">
        <v>2986</v>
      </c>
      <c r="D990" s="17" t="s">
        <v>2966</v>
      </c>
      <c r="E990" s="18">
        <v>257870000</v>
      </c>
      <c r="F990" s="18"/>
      <c r="G990" s="1595">
        <v>1797113</v>
      </c>
      <c r="H990" s="2009">
        <v>393934</v>
      </c>
      <c r="I990" s="14">
        <v>103962700</v>
      </c>
      <c r="J990" s="13" t="s">
        <v>1499</v>
      </c>
    </row>
    <row r="991" spans="1:10" ht="13.8">
      <c r="A991" s="19" t="s">
        <v>276</v>
      </c>
      <c r="B991" s="1598" t="s">
        <v>5189</v>
      </c>
      <c r="C991" s="19" t="s">
        <v>2987</v>
      </c>
      <c r="D991" s="17" t="s">
        <v>2966</v>
      </c>
      <c r="E991" s="18">
        <v>329541000</v>
      </c>
      <c r="F991" s="18"/>
      <c r="G991" s="1595">
        <v>1928901</v>
      </c>
      <c r="H991" s="1595">
        <v>426761</v>
      </c>
      <c r="I991" s="14">
        <v>123299800</v>
      </c>
      <c r="J991" s="13" t="s">
        <v>1499</v>
      </c>
    </row>
    <row r="992" spans="1:10" ht="13.8">
      <c r="A992" s="19" t="s">
        <v>1235</v>
      </c>
      <c r="B992" s="1598" t="s">
        <v>5189</v>
      </c>
      <c r="C992" s="19" t="s">
        <v>2988</v>
      </c>
      <c r="D992" s="17" t="s">
        <v>2966</v>
      </c>
      <c r="E992" s="18">
        <v>379397000</v>
      </c>
      <c r="F992" s="18"/>
      <c r="G992" s="1595">
        <v>1928901</v>
      </c>
      <c r="H992" s="1595">
        <v>426761</v>
      </c>
      <c r="I992" s="14">
        <v>123299800</v>
      </c>
      <c r="J992" s="13" t="s">
        <v>1499</v>
      </c>
    </row>
    <row r="993" spans="1:10" ht="13.8">
      <c r="A993" s="19" t="s">
        <v>443</v>
      </c>
      <c r="B993" s="1598" t="s">
        <v>5189</v>
      </c>
      <c r="C993" s="19" t="s">
        <v>2989</v>
      </c>
      <c r="D993" s="17" t="s">
        <v>2966</v>
      </c>
      <c r="E993" s="18">
        <v>428813000</v>
      </c>
      <c r="F993" s="18"/>
      <c r="G993" s="1595">
        <v>1928901</v>
      </c>
      <c r="H993" s="1595">
        <v>426761</v>
      </c>
      <c r="I993" s="14">
        <v>123299800</v>
      </c>
      <c r="J993" s="13" t="s">
        <v>1499</v>
      </c>
    </row>
    <row r="994" spans="1:10" ht="13.8">
      <c r="A994" s="19" t="s">
        <v>1316</v>
      </c>
      <c r="B994" s="1598" t="s">
        <v>5189</v>
      </c>
      <c r="C994" s="19" t="s">
        <v>2990</v>
      </c>
      <c r="D994" s="17" t="s">
        <v>2966</v>
      </c>
      <c r="E994" s="18">
        <v>457461000</v>
      </c>
      <c r="F994" s="18"/>
      <c r="G994" s="1595">
        <v>1928901</v>
      </c>
      <c r="H994" s="1595">
        <v>426761</v>
      </c>
      <c r="I994" s="14">
        <v>123299800</v>
      </c>
      <c r="J994" s="13" t="s">
        <v>1499</v>
      </c>
    </row>
    <row r="995" spans="1:10" ht="13.8">
      <c r="A995" s="19" t="s">
        <v>124</v>
      </c>
      <c r="B995" s="1598" t="s">
        <v>5189</v>
      </c>
      <c r="C995" s="19" t="s">
        <v>2991</v>
      </c>
      <c r="D995" s="17" t="s">
        <v>2966</v>
      </c>
      <c r="E995" s="18">
        <v>572057000</v>
      </c>
      <c r="F995" s="18"/>
      <c r="G995" s="1595">
        <v>1928901</v>
      </c>
      <c r="H995" s="1595">
        <v>426761</v>
      </c>
      <c r="I995" s="14">
        <v>123299800</v>
      </c>
      <c r="J995" s="13" t="s">
        <v>1499</v>
      </c>
    </row>
    <row r="996" spans="1:10" ht="13.8">
      <c r="A996" s="19" t="s">
        <v>1414</v>
      </c>
      <c r="B996" s="1598" t="s">
        <v>5189</v>
      </c>
      <c r="C996" s="19" t="s">
        <v>2992</v>
      </c>
      <c r="D996" s="17" t="s">
        <v>2966</v>
      </c>
      <c r="E996" s="18">
        <v>858085500</v>
      </c>
      <c r="F996" s="18"/>
      <c r="G996" s="1595">
        <v>1928901</v>
      </c>
      <c r="H996" s="1595">
        <v>426761</v>
      </c>
      <c r="I996" s="14">
        <v>123299800</v>
      </c>
      <c r="J996" s="13" t="s">
        <v>1499</v>
      </c>
    </row>
    <row r="997" spans="1:10" ht="13.8">
      <c r="A997" s="19" t="s">
        <v>1415</v>
      </c>
      <c r="B997" s="1598" t="s">
        <v>5189</v>
      </c>
      <c r="C997" s="19" t="s">
        <v>2993</v>
      </c>
      <c r="D997" s="17" t="s">
        <v>2966</v>
      </c>
      <c r="E997" s="18">
        <v>1287128250</v>
      </c>
      <c r="F997" s="18"/>
      <c r="G997" s="1595">
        <v>1928901</v>
      </c>
      <c r="H997" s="1595">
        <v>426761</v>
      </c>
      <c r="I997" s="14">
        <v>123299800</v>
      </c>
      <c r="J997" s="13" t="s">
        <v>1499</v>
      </c>
    </row>
    <row r="998" spans="1:10" ht="13.8">
      <c r="A998" s="19" t="s">
        <v>1416</v>
      </c>
      <c r="B998" s="1598" t="s">
        <v>5189</v>
      </c>
      <c r="C998" s="19" t="s">
        <v>2994</v>
      </c>
      <c r="D998" s="17" t="s">
        <v>2966</v>
      </c>
      <c r="E998" s="18">
        <v>1930692375</v>
      </c>
      <c r="F998" s="18"/>
      <c r="G998" s="1595">
        <v>1928901</v>
      </c>
      <c r="H998" s="1595">
        <v>426761</v>
      </c>
      <c r="I998" s="14">
        <v>123299800</v>
      </c>
      <c r="J998" s="13" t="s">
        <v>1499</v>
      </c>
    </row>
    <row r="999" spans="1:10" ht="13.8">
      <c r="A999" s="16" t="s">
        <v>1054</v>
      </c>
      <c r="B999" s="1598" t="s">
        <v>5184</v>
      </c>
      <c r="C999" s="19" t="s">
        <v>2995</v>
      </c>
      <c r="D999" s="17" t="s">
        <v>2966</v>
      </c>
      <c r="E999" s="14">
        <v>86205000</v>
      </c>
      <c r="F999" s="18"/>
      <c r="G999" s="1595">
        <v>1092169</v>
      </c>
      <c r="H999" s="1595">
        <v>287778</v>
      </c>
      <c r="I999" s="14">
        <v>28500600</v>
      </c>
      <c r="J999" s="13" t="s">
        <v>1499</v>
      </c>
    </row>
    <row r="1000" spans="1:10" s="657" customFormat="1" ht="13.8">
      <c r="A1000" s="678" t="s">
        <v>1094</v>
      </c>
      <c r="B1000" s="1598" t="s">
        <v>5185</v>
      </c>
      <c r="C1000" s="680" t="s">
        <v>2996</v>
      </c>
      <c r="D1000" s="681" t="s">
        <v>2966</v>
      </c>
      <c r="E1000" s="695">
        <v>160209000</v>
      </c>
      <c r="F1000" s="682"/>
      <c r="G1000" s="1595">
        <v>1190887</v>
      </c>
      <c r="H1000" s="1595">
        <v>284508</v>
      </c>
      <c r="I1000" s="695">
        <v>34699800</v>
      </c>
      <c r="J1000" s="656" t="s">
        <v>1499</v>
      </c>
    </row>
    <row r="1001" spans="1:10" s="657" customFormat="1" ht="13.8">
      <c r="A1001" s="678" t="s">
        <v>1588</v>
      </c>
      <c r="B1001" s="1598" t="s">
        <v>5185</v>
      </c>
      <c r="C1001" s="680" t="s">
        <v>2997</v>
      </c>
      <c r="D1001" s="681" t="s">
        <v>2966</v>
      </c>
      <c r="E1001" s="695">
        <v>180737000</v>
      </c>
      <c r="F1001" s="682"/>
      <c r="G1001" s="1595">
        <v>1190887</v>
      </c>
      <c r="H1001" s="1595">
        <v>284508</v>
      </c>
      <c r="I1001" s="695">
        <v>38749600</v>
      </c>
      <c r="J1001" s="656" t="s">
        <v>1499</v>
      </c>
    </row>
    <row r="1002" spans="1:10" s="657" customFormat="1" ht="13.8">
      <c r="A1002" s="678" t="s">
        <v>299</v>
      </c>
      <c r="B1002" s="1598" t="s">
        <v>5186</v>
      </c>
      <c r="C1002" s="680" t="s">
        <v>2998</v>
      </c>
      <c r="D1002" s="681" t="s">
        <v>2966</v>
      </c>
      <c r="E1002" s="682">
        <v>168104000</v>
      </c>
      <c r="F1002" s="682"/>
      <c r="G1002" s="1595">
        <v>1392163</v>
      </c>
      <c r="H1002" s="2009">
        <v>361106</v>
      </c>
      <c r="I1002" s="695">
        <v>43849500</v>
      </c>
      <c r="J1002" s="656" t="s">
        <v>1499</v>
      </c>
    </row>
    <row r="1003" spans="1:10" s="657" customFormat="1" ht="13.8">
      <c r="A1003" s="678" t="s">
        <v>18</v>
      </c>
      <c r="B1003" s="1598" t="s">
        <v>5186</v>
      </c>
      <c r="C1003" s="680" t="s">
        <v>2999</v>
      </c>
      <c r="D1003" s="681" t="s">
        <v>2966</v>
      </c>
      <c r="E1003" s="682">
        <v>202869000</v>
      </c>
      <c r="F1003" s="682"/>
      <c r="G1003" s="1595">
        <v>1392163</v>
      </c>
      <c r="H1003" s="2009">
        <v>361106</v>
      </c>
      <c r="I1003" s="695">
        <v>51580100</v>
      </c>
      <c r="J1003" s="656" t="s">
        <v>1499</v>
      </c>
    </row>
    <row r="1004" spans="1:10" s="1817" customFormat="1" ht="13.8">
      <c r="A1004" s="1810" t="s">
        <v>107</v>
      </c>
      <c r="B1004" s="1811" t="s">
        <v>5187</v>
      </c>
      <c r="C1004" s="1812" t="s">
        <v>3000</v>
      </c>
      <c r="D1004" s="1813" t="s">
        <v>2966</v>
      </c>
      <c r="E1004" s="1814">
        <f>324723000*1.15+15000000</f>
        <v>388431450</v>
      </c>
      <c r="F1004" s="1814"/>
      <c r="G1004" s="1647">
        <v>1660532</v>
      </c>
      <c r="H1004" s="2010">
        <v>361106</v>
      </c>
      <c r="I1004" s="1815">
        <v>56999700</v>
      </c>
      <c r="J1004" s="1816" t="s">
        <v>1499</v>
      </c>
    </row>
    <row r="1005" spans="1:10" s="657" customFormat="1" ht="13.8">
      <c r="A1005" s="678" t="s">
        <v>19</v>
      </c>
      <c r="B1005" s="1598" t="s">
        <v>5187</v>
      </c>
      <c r="C1005" s="680" t="s">
        <v>3001</v>
      </c>
      <c r="D1005" s="681" t="s">
        <v>2966</v>
      </c>
      <c r="E1005" s="682">
        <v>372166000</v>
      </c>
      <c r="F1005" s="682"/>
      <c r="G1005" s="1595">
        <v>1660532</v>
      </c>
      <c r="H1005" s="2009">
        <v>361106</v>
      </c>
      <c r="I1005" s="695">
        <v>74865500</v>
      </c>
      <c r="J1005" s="656" t="s">
        <v>1499</v>
      </c>
    </row>
    <row r="1006" spans="1:10" s="657" customFormat="1" ht="13.8">
      <c r="A1006" s="678" t="s">
        <v>21</v>
      </c>
      <c r="B1006" s="1598" t="s">
        <v>5188</v>
      </c>
      <c r="C1006" s="680" t="s">
        <v>3002</v>
      </c>
      <c r="D1006" s="681" t="s">
        <v>2966</v>
      </c>
      <c r="E1006" s="682">
        <v>384573000</v>
      </c>
      <c r="F1006" s="682"/>
      <c r="G1006" s="1595">
        <v>1797113</v>
      </c>
      <c r="H1006" s="2009">
        <v>393934</v>
      </c>
      <c r="I1006" s="695">
        <v>83999800</v>
      </c>
      <c r="J1006" s="656" t="s">
        <v>1499</v>
      </c>
    </row>
    <row r="1007" spans="1:10" s="1649" customFormat="1" ht="13.8">
      <c r="A1007" s="820" t="s">
        <v>273</v>
      </c>
      <c r="B1007" s="1811" t="s">
        <v>5188</v>
      </c>
      <c r="C1007" s="1645" t="s">
        <v>3003</v>
      </c>
      <c r="D1007" s="1646" t="s">
        <v>2966</v>
      </c>
      <c r="E1007" s="1833">
        <v>408610000</v>
      </c>
      <c r="F1007" s="1647"/>
      <c r="G1007" s="1654">
        <f>7.5*VLOOKUP("N2.45",DGNC,5)</f>
        <v>2273347.5</v>
      </c>
      <c r="H1007" s="1647">
        <v>393934</v>
      </c>
      <c r="I1007" s="707">
        <v>98200100</v>
      </c>
      <c r="J1007" s="1648" t="s">
        <v>1499</v>
      </c>
    </row>
    <row r="1008" spans="1:10" ht="13.8">
      <c r="A1008" s="16" t="s">
        <v>877</v>
      </c>
      <c r="B1008" s="1598" t="s">
        <v>5189</v>
      </c>
      <c r="C1008" s="19" t="s">
        <v>3004</v>
      </c>
      <c r="D1008" s="17" t="s">
        <v>2966</v>
      </c>
      <c r="E1008" s="18">
        <v>322950000</v>
      </c>
      <c r="F1008" s="18"/>
      <c r="G1008" s="1595">
        <v>1928901</v>
      </c>
      <c r="H1008" s="1595">
        <v>426761</v>
      </c>
      <c r="I1008" s="14">
        <v>123299800</v>
      </c>
      <c r="J1008" s="13" t="s">
        <v>1499</v>
      </c>
    </row>
    <row r="1009" spans="1:11">
      <c r="A1009" s="16" t="s">
        <v>930</v>
      </c>
      <c r="B1009" s="26" t="s">
        <v>931</v>
      </c>
      <c r="C1009" s="19" t="s">
        <v>3005</v>
      </c>
      <c r="D1009" s="17" t="s">
        <v>3006</v>
      </c>
      <c r="E1009" s="18">
        <v>280000000</v>
      </c>
      <c r="F1009" s="18"/>
      <c r="G1009" s="18">
        <v>416157</v>
      </c>
      <c r="H1009" s="18">
        <v>69799</v>
      </c>
      <c r="I1009" s="14">
        <v>123299800</v>
      </c>
      <c r="J1009" s="13" t="s">
        <v>1499</v>
      </c>
    </row>
    <row r="1010" spans="1:11" ht="13.8">
      <c r="A1010" s="16" t="s">
        <v>444</v>
      </c>
      <c r="B1010" s="1598" t="s">
        <v>5189</v>
      </c>
      <c r="C1010" s="19" t="s">
        <v>3007</v>
      </c>
      <c r="D1010" s="17" t="s">
        <v>2966</v>
      </c>
      <c r="E1010" s="18">
        <v>616819000</v>
      </c>
      <c r="F1010" s="18"/>
      <c r="G1010" s="1595">
        <v>1928901</v>
      </c>
      <c r="H1010" s="1595">
        <v>426761</v>
      </c>
      <c r="I1010" s="14">
        <v>123299800</v>
      </c>
      <c r="J1010" s="13" t="s">
        <v>1499</v>
      </c>
    </row>
    <row r="1011" spans="1:11" ht="13.8">
      <c r="A1011" s="16" t="s">
        <v>1659</v>
      </c>
      <c r="B1011" s="1598" t="s">
        <v>5189</v>
      </c>
      <c r="C1011" s="19" t="s">
        <v>3008</v>
      </c>
      <c r="D1011" s="17" t="s">
        <v>2966</v>
      </c>
      <c r="E1011" s="18">
        <v>420236000</v>
      </c>
      <c r="F1011" s="18"/>
      <c r="G1011" s="1595">
        <v>1928901</v>
      </c>
      <c r="H1011" s="1595">
        <v>426761</v>
      </c>
      <c r="I1011" s="14">
        <v>123299800</v>
      </c>
      <c r="J1011" s="13" t="s">
        <v>1499</v>
      </c>
    </row>
    <row r="1012" spans="1:11" ht="13.8">
      <c r="A1012" s="16" t="s">
        <v>1317</v>
      </c>
      <c r="B1012" s="1598" t="s">
        <v>5189</v>
      </c>
      <c r="C1012" s="19" t="s">
        <v>3009</v>
      </c>
      <c r="D1012" s="17" t="s">
        <v>2966</v>
      </c>
      <c r="E1012" s="18">
        <v>448311000</v>
      </c>
      <c r="F1012" s="18"/>
      <c r="G1012" s="1595">
        <v>1928901</v>
      </c>
      <c r="H1012" s="1595">
        <v>426761</v>
      </c>
      <c r="I1012" s="14">
        <v>123299800</v>
      </c>
      <c r="J1012" s="13" t="s">
        <v>1499</v>
      </c>
    </row>
    <row r="1013" spans="1:11" ht="13.8">
      <c r="A1013" s="16" t="s">
        <v>1258</v>
      </c>
      <c r="B1013" s="1598" t="s">
        <v>5189</v>
      </c>
      <c r="C1013" s="19" t="s">
        <v>3010</v>
      </c>
      <c r="D1013" s="17" t="s">
        <v>2966</v>
      </c>
      <c r="E1013" s="18">
        <v>560615000</v>
      </c>
      <c r="F1013" s="18"/>
      <c r="G1013" s="1595">
        <v>1928901</v>
      </c>
      <c r="H1013" s="1595">
        <v>426761</v>
      </c>
      <c r="I1013" s="14">
        <v>123299800</v>
      </c>
      <c r="J1013" s="13" t="s">
        <v>1499</v>
      </c>
    </row>
    <row r="1014" spans="1:11" ht="13.8">
      <c r="A1014" s="16" t="s">
        <v>1795</v>
      </c>
      <c r="B1014" s="1598" t="s">
        <v>5189</v>
      </c>
      <c r="C1014" s="19" t="s">
        <v>3011</v>
      </c>
      <c r="D1014" s="17" t="s">
        <v>2966</v>
      </c>
      <c r="E1014" s="18">
        <v>840922500</v>
      </c>
      <c r="F1014" s="18"/>
      <c r="G1014" s="1595">
        <v>1928901</v>
      </c>
      <c r="H1014" s="1595">
        <v>426761</v>
      </c>
      <c r="I1014" s="14">
        <v>123299800</v>
      </c>
      <c r="J1014" s="13" t="s">
        <v>1499</v>
      </c>
    </row>
    <row r="1015" spans="1:11" s="1649" customFormat="1" ht="13.8">
      <c r="A1015" s="820" t="s">
        <v>454</v>
      </c>
      <c r="B1015" s="1811" t="s">
        <v>5189</v>
      </c>
      <c r="C1015" s="1645" t="s">
        <v>3012</v>
      </c>
      <c r="D1015" s="1646" t="s">
        <v>2966</v>
      </c>
      <c r="E1015" s="1833">
        <v>1064770000</v>
      </c>
      <c r="F1015" s="1647"/>
      <c r="G1015" s="1654">
        <f>8.05*VLOOKUP("N2.45",DGNC,5)</f>
        <v>2440059.6500000004</v>
      </c>
      <c r="H1015" s="1647">
        <v>426761</v>
      </c>
      <c r="I1015" s="707">
        <v>123299800</v>
      </c>
      <c r="J1015" s="1648" t="s">
        <v>1499</v>
      </c>
    </row>
    <row r="1016" spans="1:11" ht="13.8">
      <c r="A1016" s="16" t="s">
        <v>1941</v>
      </c>
      <c r="B1016" s="1598" t="s">
        <v>5189</v>
      </c>
      <c r="C1016" s="19" t="s">
        <v>3013</v>
      </c>
      <c r="D1016" s="17" t="s">
        <v>2966</v>
      </c>
      <c r="E1016" s="18">
        <v>1892075625</v>
      </c>
      <c r="F1016" s="18"/>
      <c r="G1016" s="1595">
        <v>1928901</v>
      </c>
      <c r="H1016" s="1595">
        <v>426761</v>
      </c>
      <c r="I1016" s="14">
        <v>123299800</v>
      </c>
      <c r="J1016" s="13" t="s">
        <v>1499</v>
      </c>
    </row>
    <row r="1017" spans="1:11" s="1656" customFormat="1" ht="19.5" customHeight="1">
      <c r="A1017" s="1650" t="s">
        <v>1634</v>
      </c>
      <c r="B1017" s="1651" t="s">
        <v>5190</v>
      </c>
      <c r="C1017" s="1652" t="s">
        <v>478</v>
      </c>
      <c r="D1017" s="1653" t="s">
        <v>2118</v>
      </c>
      <c r="E1017" s="1654">
        <v>702000</v>
      </c>
      <c r="F1017" s="1654"/>
      <c r="G1017" s="1654">
        <f t="shared" ref="G1017:G1024" si="13">528000/3</f>
        <v>176000</v>
      </c>
      <c r="H1017" s="1654"/>
      <c r="I1017" s="1654">
        <v>702000</v>
      </c>
      <c r="J1017" s="1655" t="s">
        <v>1917</v>
      </c>
      <c r="K1017" s="1655"/>
    </row>
    <row r="1018" spans="1:11" ht="13.8">
      <c r="A1018" s="25" t="s">
        <v>1635</v>
      </c>
      <c r="B1018" s="1598" t="s">
        <v>5190</v>
      </c>
      <c r="C1018" s="16" t="s">
        <v>668</v>
      </c>
      <c r="D1018" s="20" t="s">
        <v>2118</v>
      </c>
      <c r="E1018" s="14">
        <v>942000</v>
      </c>
      <c r="F1018" s="18"/>
      <c r="G1018" s="1595">
        <f t="shared" si="13"/>
        <v>176000</v>
      </c>
      <c r="H1018" s="18"/>
      <c r="I1018" s="14">
        <v>942000</v>
      </c>
      <c r="J1018" s="13" t="s">
        <v>1917</v>
      </c>
    </row>
    <row r="1019" spans="1:11" s="1656" customFormat="1" ht="19.5" customHeight="1">
      <c r="A1019" s="1650" t="s">
        <v>1631</v>
      </c>
      <c r="B1019" s="1651" t="s">
        <v>5190</v>
      </c>
      <c r="C1019" s="1652" t="s">
        <v>478</v>
      </c>
      <c r="D1019" s="1653" t="s">
        <v>2118</v>
      </c>
      <c r="E1019" s="1654">
        <f>1417280+827000</f>
        <v>2244280</v>
      </c>
      <c r="F1019" s="1654"/>
      <c r="G1019" s="1654">
        <f>2.4/3*VLOOKUP("N2.40",DGNC,5)</f>
        <v>222639.99999999997</v>
      </c>
      <c r="H1019" s="1654"/>
      <c r="I1019" s="1654">
        <v>1316000</v>
      </c>
      <c r="J1019" s="1655" t="s">
        <v>1917</v>
      </c>
      <c r="K1019" s="1655"/>
    </row>
    <row r="1020" spans="1:11" s="1649" customFormat="1" ht="13.8">
      <c r="A1020" s="1758" t="s">
        <v>1632</v>
      </c>
      <c r="B1020" s="1811" t="s">
        <v>5190</v>
      </c>
      <c r="C1020" s="820" t="s">
        <v>668</v>
      </c>
      <c r="D1020" s="1820" t="s">
        <v>2118</v>
      </c>
      <c r="E1020" s="707">
        <f>3050000+1026000</f>
        <v>4076000</v>
      </c>
      <c r="F1020" s="1647"/>
      <c r="G1020" s="1647">
        <f t="shared" si="13"/>
        <v>176000</v>
      </c>
      <c r="H1020" s="1647"/>
      <c r="I1020" s="707">
        <v>1484000</v>
      </c>
      <c r="J1020" s="1648" t="s">
        <v>1917</v>
      </c>
    </row>
    <row r="1021" spans="1:11" ht="13.8">
      <c r="A1021" s="25" t="s">
        <v>1636</v>
      </c>
      <c r="B1021" s="1598" t="s">
        <v>5190</v>
      </c>
      <c r="C1021" s="16" t="s">
        <v>1850</v>
      </c>
      <c r="D1021" s="20" t="s">
        <v>2118</v>
      </c>
      <c r="E1021" s="14">
        <v>1800000</v>
      </c>
      <c r="F1021" s="18"/>
      <c r="G1021" s="1595">
        <f t="shared" si="13"/>
        <v>176000</v>
      </c>
      <c r="H1021" s="18"/>
      <c r="I1021" s="18"/>
      <c r="J1021" s="13" t="s">
        <v>629</v>
      </c>
    </row>
    <row r="1022" spans="1:11" ht="13.8">
      <c r="A1022" s="25" t="s">
        <v>1637</v>
      </c>
      <c r="B1022" s="1598" t="s">
        <v>5190</v>
      </c>
      <c r="C1022" s="16" t="s">
        <v>796</v>
      </c>
      <c r="D1022" s="20" t="s">
        <v>2118</v>
      </c>
      <c r="E1022" s="14">
        <v>1810000</v>
      </c>
      <c r="F1022" s="18"/>
      <c r="G1022" s="1595">
        <f t="shared" si="13"/>
        <v>176000</v>
      </c>
      <c r="H1022" s="18"/>
      <c r="I1022" s="18"/>
      <c r="J1022" s="13" t="s">
        <v>450</v>
      </c>
    </row>
    <row r="1023" spans="1:11" ht="13.8">
      <c r="A1023" s="25" t="s">
        <v>1992</v>
      </c>
      <c r="B1023" s="1598" t="s">
        <v>5190</v>
      </c>
      <c r="C1023" s="16" t="s">
        <v>1850</v>
      </c>
      <c r="D1023" s="20" t="s">
        <v>2118</v>
      </c>
      <c r="E1023" s="14">
        <v>1595000</v>
      </c>
      <c r="F1023" s="18"/>
      <c r="G1023" s="1595">
        <f t="shared" si="13"/>
        <v>176000</v>
      </c>
      <c r="H1023" s="18"/>
      <c r="I1023" s="18"/>
      <c r="J1023" s="13" t="s">
        <v>629</v>
      </c>
    </row>
    <row r="1024" spans="1:11" ht="13.8">
      <c r="A1024" s="25" t="s">
        <v>1633</v>
      </c>
      <c r="B1024" s="1598" t="s">
        <v>5190</v>
      </c>
      <c r="C1024" s="16" t="s">
        <v>796</v>
      </c>
      <c r="D1024" s="20" t="s">
        <v>2118</v>
      </c>
      <c r="E1024" s="14">
        <v>1810000</v>
      </c>
      <c r="F1024" s="18"/>
      <c r="G1024" s="1595">
        <f t="shared" si="13"/>
        <v>176000</v>
      </c>
      <c r="H1024" s="18"/>
      <c r="I1024" s="18"/>
      <c r="J1024" s="13" t="s">
        <v>450</v>
      </c>
    </row>
    <row r="1025" spans="1:11" s="1656" customFormat="1" ht="19.5" customHeight="1">
      <c r="A1025" s="1650" t="s">
        <v>434</v>
      </c>
      <c r="B1025" s="1651" t="s">
        <v>5191</v>
      </c>
      <c r="C1025" s="1652" t="s">
        <v>1120</v>
      </c>
      <c r="D1025" s="1653" t="s">
        <v>2226</v>
      </c>
      <c r="E1025" s="1654">
        <v>4541400</v>
      </c>
      <c r="F1025" s="1654"/>
      <c r="G1025" s="1654">
        <f>2.28*VLOOKUP("N2.45",DGNC,5)</f>
        <v>691097.6399999999</v>
      </c>
      <c r="H1025" s="1654">
        <v>131311</v>
      </c>
      <c r="I1025" s="1654"/>
      <c r="J1025" s="1655" t="s">
        <v>610</v>
      </c>
      <c r="K1025" s="1655"/>
    </row>
    <row r="1026" spans="1:11" s="1656" customFormat="1" ht="19.5" customHeight="1">
      <c r="A1026" s="1650" t="s">
        <v>286</v>
      </c>
      <c r="B1026" s="1651" t="s">
        <v>5192</v>
      </c>
      <c r="C1026" s="1652" t="s">
        <v>543</v>
      </c>
      <c r="D1026" s="1653" t="s">
        <v>2226</v>
      </c>
      <c r="E1026" s="1654">
        <v>16664000</v>
      </c>
      <c r="F1026" s="1654"/>
      <c r="G1026" s="1654">
        <f>4.56*VLOOKUP("N2.45",DGNC,5)</f>
        <v>1382195.2799999998</v>
      </c>
      <c r="H1026" s="1654">
        <v>262622</v>
      </c>
      <c r="I1026" s="1654"/>
      <c r="J1026" s="1655" t="s">
        <v>610</v>
      </c>
      <c r="K1026" s="1655"/>
    </row>
    <row r="1027" spans="1:11" ht="13.8">
      <c r="A1027" s="25" t="s">
        <v>1033</v>
      </c>
      <c r="B1027" s="1598" t="s">
        <v>5191</v>
      </c>
      <c r="C1027" s="16" t="s">
        <v>1120</v>
      </c>
      <c r="D1027" s="20" t="s">
        <v>2226</v>
      </c>
      <c r="E1027" s="14">
        <v>970000</v>
      </c>
      <c r="F1027" s="18"/>
      <c r="G1027" s="1595">
        <v>546322</v>
      </c>
      <c r="H1027" s="1595">
        <v>131311</v>
      </c>
      <c r="I1027" s="18"/>
      <c r="J1027" s="13" t="s">
        <v>610</v>
      </c>
    </row>
    <row r="1028" spans="1:11" ht="13.8">
      <c r="A1028" s="25" t="s">
        <v>1034</v>
      </c>
      <c r="B1028" s="1598" t="s">
        <v>5192</v>
      </c>
      <c r="C1028" s="16" t="s">
        <v>543</v>
      </c>
      <c r="D1028" s="17" t="s">
        <v>2226</v>
      </c>
      <c r="E1028" s="14">
        <v>14910000</v>
      </c>
      <c r="F1028" s="18"/>
      <c r="G1028" s="1595">
        <v>1092644</v>
      </c>
      <c r="H1028" s="1595">
        <v>262622</v>
      </c>
      <c r="I1028" s="18"/>
      <c r="J1028" s="13" t="s">
        <v>610</v>
      </c>
    </row>
    <row r="1029" spans="1:11" ht="13.8">
      <c r="A1029" s="25" t="s">
        <v>824</v>
      </c>
      <c r="B1029" s="1598" t="s">
        <v>5193</v>
      </c>
      <c r="C1029" s="16" t="s">
        <v>1592</v>
      </c>
      <c r="D1029" s="17" t="s">
        <v>2226</v>
      </c>
      <c r="E1029" s="14">
        <v>79800000</v>
      </c>
      <c r="F1029" s="18"/>
      <c r="G1029" s="1595">
        <v>1918837</v>
      </c>
      <c r="H1029" s="1595">
        <v>218852</v>
      </c>
      <c r="I1029" s="18"/>
      <c r="J1029" s="13" t="s">
        <v>450</v>
      </c>
    </row>
    <row r="1030" spans="1:11" ht="13.8">
      <c r="A1030" s="25" t="s">
        <v>1280</v>
      </c>
      <c r="B1030" s="1598" t="s">
        <v>5193</v>
      </c>
      <c r="C1030" s="16" t="s">
        <v>3014</v>
      </c>
      <c r="D1030" s="17" t="s">
        <v>2226</v>
      </c>
      <c r="E1030" s="14">
        <v>79800000</v>
      </c>
      <c r="F1030" s="18"/>
      <c r="G1030" s="1595">
        <v>1918837</v>
      </c>
      <c r="H1030" s="1595">
        <v>218852</v>
      </c>
      <c r="I1030" s="18"/>
      <c r="J1030" s="13" t="s">
        <v>450</v>
      </c>
    </row>
    <row r="1031" spans="1:11" s="1656" customFormat="1" ht="19.5" customHeight="1">
      <c r="A1031" s="1650" t="s">
        <v>1912</v>
      </c>
      <c r="B1031" s="1651" t="s">
        <v>5193</v>
      </c>
      <c r="C1031" s="1652" t="s">
        <v>1664</v>
      </c>
      <c r="D1031" s="1653" t="s">
        <v>2226</v>
      </c>
      <c r="E1031" s="1654">
        <v>255000000</v>
      </c>
      <c r="F1031" s="1654"/>
      <c r="G1031" s="1654">
        <f>10.01*0.8*0.8*VLOOKUP("N2.45",DGNC,5)</f>
        <v>1941863.1232000005</v>
      </c>
      <c r="H1031" s="1654">
        <v>218852</v>
      </c>
      <c r="I1031" s="1654"/>
      <c r="J1031" s="1655" t="s">
        <v>2564</v>
      </c>
      <c r="K1031" s="1655"/>
    </row>
    <row r="1032" spans="1:11" ht="13.8">
      <c r="A1032" s="25" t="s">
        <v>1822</v>
      </c>
      <c r="B1032" s="1598" t="s">
        <v>5193</v>
      </c>
      <c r="C1032" s="16" t="s">
        <v>808</v>
      </c>
      <c r="D1032" s="17" t="s">
        <v>2226</v>
      </c>
      <c r="E1032" s="14">
        <v>290500000</v>
      </c>
      <c r="F1032" s="18"/>
      <c r="G1032" s="1595">
        <v>1918837</v>
      </c>
      <c r="H1032" s="1595">
        <v>218852</v>
      </c>
      <c r="I1032" s="18"/>
      <c r="J1032" s="13" t="s">
        <v>2564</v>
      </c>
    </row>
    <row r="1033" spans="1:11" ht="13.8">
      <c r="A1033" s="16" t="s">
        <v>303</v>
      </c>
      <c r="B1033" s="1598" t="s">
        <v>5191</v>
      </c>
      <c r="C1033" s="16" t="s">
        <v>1031</v>
      </c>
      <c r="D1033" s="17" t="s">
        <v>2118</v>
      </c>
      <c r="E1033" s="14">
        <v>2360000</v>
      </c>
      <c r="F1033" s="18"/>
      <c r="G1033" s="1595">
        <v>546322</v>
      </c>
      <c r="H1033" s="1595">
        <v>131311</v>
      </c>
      <c r="I1033" s="18"/>
      <c r="J1033" s="13" t="s">
        <v>450</v>
      </c>
    </row>
    <row r="1034" spans="1:11" ht="13.8">
      <c r="A1034" s="16" t="s">
        <v>1677</v>
      </c>
      <c r="B1034" s="1598" t="s">
        <v>5194</v>
      </c>
      <c r="C1034" s="16" t="s">
        <v>1209</v>
      </c>
      <c r="D1034" s="17" t="s">
        <v>2118</v>
      </c>
      <c r="E1034" s="14">
        <v>840000</v>
      </c>
      <c r="F1034" s="18"/>
      <c r="G1034" s="1624">
        <f>ROUND(198000/3,)</f>
        <v>66000</v>
      </c>
      <c r="H1034" s="18"/>
      <c r="I1034" s="18"/>
      <c r="J1034" s="13" t="s">
        <v>450</v>
      </c>
      <c r="K1034" s="1">
        <v>198000</v>
      </c>
    </row>
    <row r="1035" spans="1:11" ht="13.8">
      <c r="A1035" s="16" t="s">
        <v>2136</v>
      </c>
      <c r="B1035" s="1598" t="s">
        <v>5194</v>
      </c>
      <c r="C1035" s="16" t="s">
        <v>1209</v>
      </c>
      <c r="D1035" s="17" t="s">
        <v>2118</v>
      </c>
      <c r="E1035" s="14">
        <v>840000</v>
      </c>
      <c r="F1035" s="18"/>
      <c r="G1035" s="1624">
        <v>66000</v>
      </c>
      <c r="H1035" s="18"/>
      <c r="I1035" s="18"/>
      <c r="J1035" s="13" t="s">
        <v>450</v>
      </c>
    </row>
    <row r="1036" spans="1:11" s="1656" customFormat="1" ht="19.5" customHeight="1">
      <c r="A1036" s="1650" t="s">
        <v>145</v>
      </c>
      <c r="B1036" s="1651" t="s">
        <v>5194</v>
      </c>
      <c r="C1036" s="1652" t="s">
        <v>1208</v>
      </c>
      <c r="D1036" s="1653" t="s">
        <v>2118</v>
      </c>
      <c r="E1036" s="1654">
        <v>1106000</v>
      </c>
      <c r="F1036" s="1654"/>
      <c r="G1036" s="1654">
        <f>1.5/3*0.6*VLOOKUP("N2.40",DGNC,5)</f>
        <v>83490</v>
      </c>
      <c r="H1036" s="1654"/>
      <c r="I1036" s="1654"/>
      <c r="J1036" s="1655" t="s">
        <v>450</v>
      </c>
      <c r="K1036" s="1655"/>
    </row>
    <row r="1037" spans="1:11" ht="13.8">
      <c r="A1037" s="16" t="s">
        <v>2137</v>
      </c>
      <c r="B1037" s="1598" t="s">
        <v>5194</v>
      </c>
      <c r="C1037" s="16" t="s">
        <v>1208</v>
      </c>
      <c r="D1037" s="17" t="s">
        <v>2118</v>
      </c>
      <c r="E1037" s="14">
        <v>740000</v>
      </c>
      <c r="F1037" s="18"/>
      <c r="G1037" s="1624">
        <v>66000</v>
      </c>
      <c r="H1037" s="18"/>
      <c r="I1037" s="18"/>
      <c r="J1037" s="13" t="s">
        <v>450</v>
      </c>
    </row>
    <row r="1038" spans="1:11">
      <c r="A1038" s="16" t="s">
        <v>684</v>
      </c>
      <c r="B1038" s="26"/>
      <c r="C1038" s="16" t="s">
        <v>3015</v>
      </c>
      <c r="D1038" s="17" t="s">
        <v>2118</v>
      </c>
      <c r="E1038" s="14"/>
      <c r="F1038" s="14"/>
      <c r="G1038" s="18"/>
      <c r="H1038" s="18"/>
      <c r="I1038" s="14"/>
      <c r="J1038" s="13" t="s">
        <v>1499</v>
      </c>
    </row>
    <row r="1039" spans="1:11">
      <c r="A1039" s="16" t="s">
        <v>1295</v>
      </c>
      <c r="B1039" s="26"/>
      <c r="C1039" s="16" t="s">
        <v>3016</v>
      </c>
      <c r="D1039" s="17" t="s">
        <v>2118</v>
      </c>
      <c r="E1039" s="14"/>
      <c r="F1039" s="14"/>
      <c r="G1039" s="18"/>
      <c r="H1039" s="18"/>
      <c r="I1039" s="14"/>
      <c r="J1039" s="13" t="s">
        <v>1499</v>
      </c>
    </row>
    <row r="1040" spans="1:11">
      <c r="A1040" s="16" t="s">
        <v>1927</v>
      </c>
      <c r="B1040" s="26"/>
      <c r="C1040" s="16" t="s">
        <v>3017</v>
      </c>
      <c r="D1040" s="17" t="s">
        <v>2118</v>
      </c>
      <c r="E1040" s="14"/>
      <c r="F1040" s="14"/>
      <c r="G1040" s="18"/>
      <c r="H1040" s="18"/>
      <c r="I1040" s="14"/>
      <c r="J1040" s="13" t="s">
        <v>1499</v>
      </c>
    </row>
    <row r="1041" spans="1:10">
      <c r="A1041" s="16" t="s">
        <v>1777</v>
      </c>
      <c r="B1041" s="26"/>
      <c r="C1041" s="16" t="s">
        <v>3018</v>
      </c>
      <c r="D1041" s="17" t="s">
        <v>2118</v>
      </c>
      <c r="E1041" s="14"/>
      <c r="F1041" s="14"/>
      <c r="G1041" s="18"/>
      <c r="H1041" s="18"/>
      <c r="I1041" s="14"/>
      <c r="J1041" s="13" t="s">
        <v>1499</v>
      </c>
    </row>
    <row r="1042" spans="1:10">
      <c r="A1042" s="16" t="s">
        <v>125</v>
      </c>
      <c r="B1042" s="26"/>
      <c r="C1042" s="16" t="s">
        <v>3019</v>
      </c>
      <c r="D1042" s="17" t="s">
        <v>2118</v>
      </c>
      <c r="E1042" s="14"/>
      <c r="F1042" s="14"/>
      <c r="G1042" s="18"/>
      <c r="H1042" s="18"/>
      <c r="I1042" s="14"/>
      <c r="J1042" s="13" t="s">
        <v>1499</v>
      </c>
    </row>
    <row r="1043" spans="1:10">
      <c r="A1043" s="16" t="s">
        <v>1926</v>
      </c>
      <c r="B1043" s="26"/>
      <c r="C1043" s="16" t="s">
        <v>3020</v>
      </c>
      <c r="D1043" s="17" t="s">
        <v>2118</v>
      </c>
      <c r="E1043" s="14"/>
      <c r="F1043" s="14"/>
      <c r="G1043" s="18"/>
      <c r="H1043" s="18"/>
      <c r="I1043" s="14"/>
      <c r="J1043" s="13" t="s">
        <v>1499</v>
      </c>
    </row>
    <row r="1044" spans="1:10">
      <c r="A1044" s="16" t="s">
        <v>1523</v>
      </c>
      <c r="B1044" s="26"/>
      <c r="C1044" s="16" t="s">
        <v>3021</v>
      </c>
      <c r="D1044" s="17" t="s">
        <v>2118</v>
      </c>
      <c r="E1044" s="14"/>
      <c r="F1044" s="14"/>
      <c r="G1044" s="18"/>
      <c r="H1044" s="18"/>
      <c r="I1044" s="14"/>
      <c r="J1044" s="13" t="s">
        <v>1499</v>
      </c>
    </row>
    <row r="1045" spans="1:10">
      <c r="A1045" s="16" t="s">
        <v>1504</v>
      </c>
      <c r="B1045" s="26"/>
      <c r="C1045" s="16" t="s">
        <v>3022</v>
      </c>
      <c r="D1045" s="17" t="s">
        <v>2118</v>
      </c>
      <c r="E1045" s="14"/>
      <c r="F1045" s="14"/>
      <c r="G1045" s="18"/>
      <c r="H1045" s="18"/>
      <c r="I1045" s="14"/>
      <c r="J1045" s="13" t="s">
        <v>1499</v>
      </c>
    </row>
    <row r="1046" spans="1:10">
      <c r="A1046" s="16" t="s">
        <v>1348</v>
      </c>
      <c r="B1046" s="26"/>
      <c r="C1046" s="16" t="s">
        <v>3023</v>
      </c>
      <c r="D1046" s="17" t="s">
        <v>2118</v>
      </c>
      <c r="E1046" s="14"/>
      <c r="F1046" s="14"/>
      <c r="G1046" s="18"/>
      <c r="H1046" s="18"/>
      <c r="I1046" s="14"/>
      <c r="J1046" s="13" t="s">
        <v>1499</v>
      </c>
    </row>
    <row r="1047" spans="1:10">
      <c r="A1047" s="16" t="s">
        <v>327</v>
      </c>
      <c r="B1047" s="26"/>
      <c r="C1047" s="16" t="s">
        <v>3024</v>
      </c>
      <c r="D1047" s="17" t="s">
        <v>2118</v>
      </c>
      <c r="E1047" s="14"/>
      <c r="F1047" s="14"/>
      <c r="G1047" s="676"/>
      <c r="H1047" s="18"/>
      <c r="I1047" s="14"/>
      <c r="J1047" s="13" t="s">
        <v>1499</v>
      </c>
    </row>
    <row r="1048" spans="1:10">
      <c r="A1048" s="16" t="s">
        <v>904</v>
      </c>
      <c r="B1048" s="26"/>
      <c r="C1048" s="16" t="s">
        <v>3025</v>
      </c>
      <c r="D1048" s="17" t="s">
        <v>2118</v>
      </c>
      <c r="E1048" s="14"/>
      <c r="F1048" s="14"/>
      <c r="G1048" s="18"/>
      <c r="H1048" s="18"/>
      <c r="I1048" s="14"/>
      <c r="J1048" s="13" t="s">
        <v>1499</v>
      </c>
    </row>
    <row r="1049" spans="1:10">
      <c r="A1049" s="16" t="s">
        <v>1745</v>
      </c>
      <c r="B1049" s="26"/>
      <c r="C1049" s="21" t="s">
        <v>3026</v>
      </c>
      <c r="D1049" s="17" t="s">
        <v>2118</v>
      </c>
      <c r="E1049" s="14"/>
      <c r="F1049" s="14"/>
      <c r="G1049" s="18"/>
      <c r="H1049" s="18"/>
      <c r="I1049" s="14"/>
      <c r="J1049" s="13" t="s">
        <v>1499</v>
      </c>
    </row>
    <row r="1050" spans="1:10">
      <c r="A1050" s="16" t="s">
        <v>1374</v>
      </c>
      <c r="B1050" s="26"/>
      <c r="C1050" s="21" t="s">
        <v>3027</v>
      </c>
      <c r="D1050" s="17" t="s">
        <v>2118</v>
      </c>
      <c r="E1050" s="14"/>
      <c r="F1050" s="14"/>
      <c r="G1050" s="18"/>
      <c r="H1050" s="18"/>
      <c r="I1050" s="14"/>
      <c r="J1050" s="13" t="s">
        <v>1499</v>
      </c>
    </row>
    <row r="1051" spans="1:10">
      <c r="A1051" s="16" t="s">
        <v>1375</v>
      </c>
      <c r="B1051" s="26"/>
      <c r="C1051" s="21" t="s">
        <v>3028</v>
      </c>
      <c r="D1051" s="17" t="s">
        <v>2118</v>
      </c>
      <c r="E1051" s="14"/>
      <c r="F1051" s="14"/>
      <c r="G1051" s="18"/>
      <c r="H1051" s="18"/>
      <c r="I1051" s="14"/>
      <c r="J1051" s="13" t="s">
        <v>1499</v>
      </c>
    </row>
    <row r="1052" spans="1:10">
      <c r="A1052" s="16" t="s">
        <v>1914</v>
      </c>
      <c r="B1052" s="26"/>
      <c r="C1052" s="21" t="s">
        <v>3029</v>
      </c>
      <c r="D1052" s="17" t="s">
        <v>2118</v>
      </c>
      <c r="E1052" s="14"/>
      <c r="F1052" s="14"/>
      <c r="G1052" s="18"/>
      <c r="H1052" s="18"/>
      <c r="I1052" s="14"/>
      <c r="J1052" s="13" t="s">
        <v>1499</v>
      </c>
    </row>
    <row r="1053" spans="1:10">
      <c r="A1053" s="16" t="s">
        <v>915</v>
      </c>
      <c r="B1053" s="26"/>
      <c r="C1053" s="21" t="s">
        <v>3030</v>
      </c>
      <c r="D1053" s="17" t="s">
        <v>2118</v>
      </c>
      <c r="E1053" s="14"/>
      <c r="F1053" s="14"/>
      <c r="G1053" s="18"/>
      <c r="H1053" s="18"/>
      <c r="I1053" s="14"/>
      <c r="J1053" s="13" t="s">
        <v>1499</v>
      </c>
    </row>
    <row r="1054" spans="1:10">
      <c r="A1054" s="16" t="s">
        <v>1296</v>
      </c>
      <c r="B1054" s="26"/>
      <c r="C1054" s="21" t="s">
        <v>3031</v>
      </c>
      <c r="D1054" s="17" t="s">
        <v>2118</v>
      </c>
      <c r="E1054" s="14"/>
      <c r="F1054" s="14"/>
      <c r="G1054" s="18"/>
      <c r="H1054" s="18"/>
      <c r="I1054" s="14"/>
      <c r="J1054" s="13" t="s">
        <v>1499</v>
      </c>
    </row>
    <row r="1055" spans="1:10">
      <c r="A1055" s="16" t="s">
        <v>122</v>
      </c>
      <c r="B1055" s="26"/>
      <c r="C1055" s="21" t="s">
        <v>3032</v>
      </c>
      <c r="D1055" s="17" t="s">
        <v>2118</v>
      </c>
      <c r="E1055" s="14"/>
      <c r="F1055" s="14"/>
      <c r="G1055" s="18"/>
      <c r="H1055" s="18"/>
      <c r="I1055" s="14"/>
      <c r="J1055" s="13" t="s">
        <v>1499</v>
      </c>
    </row>
    <row r="1056" spans="1:10">
      <c r="A1056" s="16" t="s">
        <v>121</v>
      </c>
      <c r="B1056" s="26"/>
      <c r="C1056" s="21" t="s">
        <v>3033</v>
      </c>
      <c r="D1056" s="17" t="s">
        <v>2118</v>
      </c>
      <c r="E1056" s="14"/>
      <c r="F1056" s="14"/>
      <c r="G1056" s="18"/>
      <c r="H1056" s="18"/>
      <c r="I1056" s="14"/>
      <c r="J1056" s="13" t="s">
        <v>1499</v>
      </c>
    </row>
    <row r="1057" spans="1:11">
      <c r="A1057" s="16" t="s">
        <v>5195</v>
      </c>
      <c r="B1057" s="26"/>
      <c r="C1057" s="21" t="s">
        <v>5196</v>
      </c>
      <c r="D1057" s="17" t="s">
        <v>2118</v>
      </c>
      <c r="E1057" s="14"/>
      <c r="F1057" s="14"/>
      <c r="G1057" s="18"/>
      <c r="H1057" s="18"/>
      <c r="I1057" s="14"/>
      <c r="J1057" s="13" t="s">
        <v>1499</v>
      </c>
    </row>
    <row r="1058" spans="1:11">
      <c r="A1058" s="16" t="s">
        <v>106</v>
      </c>
      <c r="B1058" s="26"/>
      <c r="C1058" s="16" t="s">
        <v>3034</v>
      </c>
      <c r="D1058" s="17" t="s">
        <v>2118</v>
      </c>
      <c r="E1058" s="14"/>
      <c r="F1058" s="14"/>
      <c r="G1058" s="18"/>
      <c r="H1058" s="18"/>
      <c r="I1058" s="14"/>
      <c r="J1058" s="13" t="s">
        <v>1499</v>
      </c>
    </row>
    <row r="1059" spans="1:11">
      <c r="A1059" s="16" t="s">
        <v>1373</v>
      </c>
      <c r="B1059" s="26"/>
      <c r="C1059" s="21" t="s">
        <v>3035</v>
      </c>
      <c r="D1059" s="17" t="s">
        <v>2118</v>
      </c>
      <c r="E1059" s="14"/>
      <c r="F1059" s="14"/>
      <c r="G1059" s="18"/>
      <c r="H1059" s="18"/>
      <c r="I1059" s="14"/>
      <c r="J1059" s="13" t="s">
        <v>1499</v>
      </c>
    </row>
    <row r="1060" spans="1:11">
      <c r="A1060" s="16" t="s">
        <v>848</v>
      </c>
      <c r="B1060" s="26"/>
      <c r="C1060" s="21" t="s">
        <v>3036</v>
      </c>
      <c r="D1060" s="17" t="s">
        <v>2118</v>
      </c>
      <c r="E1060" s="14"/>
      <c r="F1060" s="14"/>
      <c r="G1060" s="18"/>
      <c r="H1060" s="18"/>
      <c r="I1060" s="14"/>
      <c r="J1060" s="13" t="s">
        <v>1499</v>
      </c>
    </row>
    <row r="1061" spans="1:11">
      <c r="A1061" s="16" t="s">
        <v>849</v>
      </c>
      <c r="B1061" s="26"/>
      <c r="C1061" s="21" t="s">
        <v>3037</v>
      </c>
      <c r="D1061" s="17" t="s">
        <v>2118</v>
      </c>
      <c r="E1061" s="14"/>
      <c r="F1061" s="14"/>
      <c r="G1061" s="18"/>
      <c r="H1061" s="18"/>
      <c r="I1061" s="14"/>
      <c r="J1061" s="13" t="s">
        <v>1499</v>
      </c>
    </row>
    <row r="1062" spans="1:11">
      <c r="A1062" s="16" t="s">
        <v>850</v>
      </c>
      <c r="B1062" s="26"/>
      <c r="C1062" s="21" t="s">
        <v>3038</v>
      </c>
      <c r="D1062" s="17" t="s">
        <v>2118</v>
      </c>
      <c r="E1062" s="14"/>
      <c r="F1062" s="14"/>
      <c r="G1062" s="18"/>
      <c r="H1062" s="18"/>
      <c r="I1062" s="14"/>
      <c r="J1062" s="13" t="s">
        <v>1499</v>
      </c>
    </row>
    <row r="1063" spans="1:11">
      <c r="A1063" s="16" t="s">
        <v>146</v>
      </c>
      <c r="B1063" s="26"/>
      <c r="C1063" s="21" t="s">
        <v>3039</v>
      </c>
      <c r="D1063" s="17" t="s">
        <v>2118</v>
      </c>
      <c r="E1063" s="14"/>
      <c r="F1063" s="14"/>
      <c r="G1063" s="18">
        <v>92703</v>
      </c>
      <c r="H1063" s="18">
        <v>84261</v>
      </c>
      <c r="I1063" s="14"/>
      <c r="J1063" s="13" t="s">
        <v>1499</v>
      </c>
    </row>
    <row r="1064" spans="1:11">
      <c r="A1064" s="16" t="s">
        <v>1915</v>
      </c>
      <c r="B1064" s="26"/>
      <c r="C1064" s="21" t="s">
        <v>5767</v>
      </c>
      <c r="D1064" s="17" t="s">
        <v>2118</v>
      </c>
      <c r="E1064" s="14"/>
      <c r="F1064" s="14"/>
      <c r="G1064" s="18">
        <v>92703</v>
      </c>
      <c r="H1064" s="18">
        <v>84261</v>
      </c>
      <c r="I1064" s="14"/>
      <c r="J1064" s="13" t="s">
        <v>1499</v>
      </c>
    </row>
    <row r="1065" spans="1:11">
      <c r="A1065" s="16" t="s">
        <v>809</v>
      </c>
      <c r="B1065" s="26"/>
      <c r="C1065" s="21" t="s">
        <v>3040</v>
      </c>
      <c r="D1065" s="17" t="s">
        <v>2226</v>
      </c>
      <c r="E1065" s="14">
        <v>700000</v>
      </c>
      <c r="F1065" s="14"/>
      <c r="G1065" s="18">
        <v>29945</v>
      </c>
      <c r="H1065" s="18"/>
      <c r="I1065" s="14"/>
      <c r="J1065" s="13" t="s">
        <v>1499</v>
      </c>
    </row>
    <row r="1066" spans="1:11">
      <c r="A1066" s="16" t="s">
        <v>1798</v>
      </c>
      <c r="B1066" s="26"/>
      <c r="C1066" s="21" t="s">
        <v>1267</v>
      </c>
      <c r="D1066" s="17" t="s">
        <v>2118</v>
      </c>
      <c r="E1066" s="14">
        <v>796000</v>
      </c>
      <c r="F1066" s="14"/>
      <c r="G1066" s="18">
        <v>246612</v>
      </c>
      <c r="H1066" s="18"/>
      <c r="I1066" s="14"/>
      <c r="J1066" s="13" t="s">
        <v>1489</v>
      </c>
    </row>
    <row r="1067" spans="1:11">
      <c r="A1067" s="16" t="s">
        <v>109</v>
      </c>
      <c r="B1067" s="26"/>
      <c r="C1067" s="21" t="s">
        <v>110</v>
      </c>
      <c r="D1067" s="17" t="s">
        <v>2118</v>
      </c>
      <c r="E1067" s="14">
        <v>796000</v>
      </c>
      <c r="F1067" s="14"/>
      <c r="G1067" s="18">
        <v>29945</v>
      </c>
      <c r="H1067" s="18"/>
      <c r="I1067" s="14"/>
      <c r="J1067" s="13" t="s">
        <v>1489</v>
      </c>
    </row>
    <row r="1068" spans="1:11">
      <c r="A1068" s="16" t="s">
        <v>322</v>
      </c>
      <c r="B1068" s="26"/>
      <c r="C1068" s="21" t="s">
        <v>757</v>
      </c>
      <c r="D1068" s="17" t="s">
        <v>2118</v>
      </c>
      <c r="E1068" s="14">
        <v>1250000</v>
      </c>
      <c r="F1068" s="14"/>
      <c r="G1068" s="18">
        <v>246612</v>
      </c>
      <c r="H1068" s="18"/>
      <c r="I1068" s="14"/>
      <c r="J1068" s="13" t="s">
        <v>1489</v>
      </c>
    </row>
    <row r="1069" spans="1:11" s="1656" customFormat="1" ht="19.5" customHeight="1">
      <c r="A1069" s="1650" t="s">
        <v>5708</v>
      </c>
      <c r="B1069" s="1651" t="s">
        <v>5692</v>
      </c>
      <c r="C1069" s="1652" t="s">
        <v>5709</v>
      </c>
      <c r="D1069" s="1653" t="s">
        <v>3006</v>
      </c>
      <c r="E1069" s="1654">
        <f>200000*1200</f>
        <v>240000000</v>
      </c>
      <c r="F1069" s="1654"/>
      <c r="G1069" s="1654">
        <f>1.91*VLOOKUP("N2.45",DGNC,5)/1000*1200</f>
        <v>694734.99600000004</v>
      </c>
      <c r="H1069" s="1654">
        <v>59254</v>
      </c>
      <c r="I1069" s="1654"/>
      <c r="J1069" s="1655" t="s">
        <v>1499</v>
      </c>
      <c r="K1069" s="1655"/>
    </row>
    <row r="1070" spans="1:11" s="1656" customFormat="1" ht="19.5" customHeight="1">
      <c r="A1070" s="1650" t="s">
        <v>463</v>
      </c>
      <c r="B1070" s="1651" t="s">
        <v>5692</v>
      </c>
      <c r="C1070" s="1652" t="s">
        <v>3041</v>
      </c>
      <c r="D1070" s="1653" t="s">
        <v>3006</v>
      </c>
      <c r="E1070" s="1654">
        <f>200000*1000</f>
        <v>200000000</v>
      </c>
      <c r="F1070" s="1654"/>
      <c r="G1070" s="1654">
        <f>1.91*VLOOKUP("N2.45",DGNC,5)/100*1000</f>
        <v>5789458.2999999989</v>
      </c>
      <c r="H1070" s="1654">
        <v>59254</v>
      </c>
      <c r="I1070" s="1654"/>
      <c r="J1070" s="1655" t="s">
        <v>1499</v>
      </c>
      <c r="K1070" s="1655"/>
    </row>
    <row r="1071" spans="1:11">
      <c r="A1071" s="16" t="s">
        <v>1016</v>
      </c>
      <c r="B1071" s="668" t="s">
        <v>716</v>
      </c>
      <c r="C1071" s="21" t="s">
        <v>3042</v>
      </c>
      <c r="D1071" s="17" t="s">
        <v>3006</v>
      </c>
      <c r="E1071" s="14">
        <f>E1070/10/8</f>
        <v>2500000</v>
      </c>
      <c r="F1071" s="18"/>
      <c r="G1071" s="18">
        <v>98101</v>
      </c>
      <c r="H1071" s="18">
        <v>59254</v>
      </c>
      <c r="I1071" s="14"/>
      <c r="J1071" s="13" t="s">
        <v>1499</v>
      </c>
    </row>
    <row r="1072" spans="1:11">
      <c r="A1072" s="16" t="s">
        <v>1379</v>
      </c>
      <c r="B1072" s="668" t="s">
        <v>716</v>
      </c>
      <c r="C1072" s="21" t="s">
        <v>3043</v>
      </c>
      <c r="D1072" s="17" t="s">
        <v>3006</v>
      </c>
      <c r="E1072" s="14">
        <v>165600498</v>
      </c>
      <c r="F1072" s="18"/>
      <c r="G1072" s="18">
        <v>98101</v>
      </c>
      <c r="H1072" s="18">
        <v>59254</v>
      </c>
      <c r="I1072" s="14"/>
      <c r="J1072" s="13" t="s">
        <v>1499</v>
      </c>
    </row>
    <row r="1073" spans="1:11">
      <c r="A1073" s="16" t="s">
        <v>257</v>
      </c>
      <c r="B1073" s="668" t="s">
        <v>716</v>
      </c>
      <c r="C1073" s="21" t="s">
        <v>3044</v>
      </c>
      <c r="D1073" s="17" t="s">
        <v>3006</v>
      </c>
      <c r="E1073" s="14">
        <v>138000415</v>
      </c>
      <c r="F1073" s="18"/>
      <c r="G1073" s="18">
        <v>98101</v>
      </c>
      <c r="H1073" s="18">
        <v>59254</v>
      </c>
      <c r="I1073" s="14"/>
      <c r="J1073" s="13" t="s">
        <v>1499</v>
      </c>
    </row>
    <row r="1074" spans="1:11">
      <c r="A1074" s="16" t="s">
        <v>769</v>
      </c>
      <c r="B1074" s="668" t="s">
        <v>716</v>
      </c>
      <c r="C1074" s="21" t="s">
        <v>3045</v>
      </c>
      <c r="D1074" s="17" t="s">
        <v>3006</v>
      </c>
      <c r="E1074" s="14">
        <v>61000000</v>
      </c>
      <c r="F1074" s="18"/>
      <c r="G1074" s="18">
        <v>98101</v>
      </c>
      <c r="H1074" s="18">
        <v>59254</v>
      </c>
      <c r="I1074" s="14"/>
      <c r="J1074" s="13" t="s">
        <v>1499</v>
      </c>
    </row>
    <row r="1075" spans="1:11">
      <c r="A1075" s="16" t="s">
        <v>1155</v>
      </c>
      <c r="B1075" s="668" t="s">
        <v>716</v>
      </c>
      <c r="C1075" s="21" t="s">
        <v>3046</v>
      </c>
      <c r="D1075" s="17" t="s">
        <v>3006</v>
      </c>
      <c r="E1075" s="14">
        <v>47030352</v>
      </c>
      <c r="F1075" s="18"/>
      <c r="G1075" s="18">
        <v>98101</v>
      </c>
      <c r="H1075" s="18">
        <v>59254</v>
      </c>
      <c r="I1075" s="14"/>
      <c r="J1075" s="13" t="s">
        <v>1499</v>
      </c>
    </row>
    <row r="1076" spans="1:11">
      <c r="A1076" s="16" t="s">
        <v>1131</v>
      </c>
      <c r="B1076" s="668" t="s">
        <v>716</v>
      </c>
      <c r="C1076" s="21" t="s">
        <v>3047</v>
      </c>
      <c r="D1076" s="17" t="s">
        <v>3006</v>
      </c>
      <c r="E1076" s="14">
        <v>34042645</v>
      </c>
      <c r="F1076" s="18"/>
      <c r="G1076" s="18">
        <v>98101</v>
      </c>
      <c r="H1076" s="18">
        <v>59254</v>
      </c>
      <c r="I1076" s="14"/>
      <c r="J1076" s="13" t="s">
        <v>1499</v>
      </c>
    </row>
    <row r="1077" spans="1:11" s="1656" customFormat="1" ht="19.5" customHeight="1">
      <c r="A1077" s="1650" t="s">
        <v>1988</v>
      </c>
      <c r="B1077" s="1651" t="s">
        <v>5559</v>
      </c>
      <c r="C1077" s="1652" t="s">
        <v>3048</v>
      </c>
      <c r="D1077" s="1653" t="s">
        <v>3006</v>
      </c>
      <c r="E1077" s="1654">
        <f>180000*300</f>
        <v>54000000</v>
      </c>
      <c r="F1077" s="1654"/>
      <c r="G1077" s="1654">
        <f>1.91*VLOOKUP("N2.45",DGNC,5)/1000*300</f>
        <v>173683.74900000001</v>
      </c>
      <c r="H1077" s="1654">
        <v>59254</v>
      </c>
      <c r="I1077" s="1654"/>
      <c r="J1077" s="1655" t="s">
        <v>1499</v>
      </c>
      <c r="K1077" s="1655"/>
    </row>
    <row r="1078" spans="1:11">
      <c r="A1078" s="16" t="s">
        <v>196</v>
      </c>
      <c r="B1078" s="668" t="s">
        <v>716</v>
      </c>
      <c r="C1078" s="21" t="s">
        <v>5740</v>
      </c>
      <c r="D1078" s="17" t="s">
        <v>3006</v>
      </c>
      <c r="E1078" s="14">
        <f>240*150000</f>
        <v>36000000</v>
      </c>
      <c r="F1078" s="18"/>
      <c r="G1078" s="18">
        <v>98101</v>
      </c>
      <c r="H1078" s="18">
        <v>59254</v>
      </c>
      <c r="I1078" s="14"/>
      <c r="J1078" s="13" t="s">
        <v>1499</v>
      </c>
    </row>
    <row r="1079" spans="1:11">
      <c r="A1079" s="16" t="s">
        <v>2017</v>
      </c>
      <c r="B1079" s="668" t="s">
        <v>716</v>
      </c>
      <c r="C1079" s="21" t="s">
        <v>3049</v>
      </c>
      <c r="D1079" s="17" t="s">
        <v>3006</v>
      </c>
      <c r="E1079" s="14">
        <v>25700880</v>
      </c>
      <c r="F1079" s="18"/>
      <c r="G1079" s="18">
        <v>98101</v>
      </c>
      <c r="H1079" s="18">
        <v>59254</v>
      </c>
      <c r="I1079" s="14"/>
      <c r="J1079" s="13" t="s">
        <v>1499</v>
      </c>
    </row>
    <row r="1080" spans="1:11">
      <c r="A1080" s="16" t="s">
        <v>1974</v>
      </c>
      <c r="B1080" s="668" t="s">
        <v>4088</v>
      </c>
      <c r="C1080" s="21" t="s">
        <v>3050</v>
      </c>
      <c r="D1080" s="17" t="s">
        <v>3006</v>
      </c>
      <c r="E1080" s="14">
        <f>160*130000</f>
        <v>20800000</v>
      </c>
      <c r="F1080" s="18">
        <v>310.8</v>
      </c>
      <c r="G1080" s="18">
        <f>206591/10</f>
        <v>20659.099999999999</v>
      </c>
      <c r="H1080" s="18">
        <f>57694/10</f>
        <v>5769.4</v>
      </c>
      <c r="I1080" s="14"/>
      <c r="J1080" s="13" t="s">
        <v>1499</v>
      </c>
    </row>
    <row r="1081" spans="1:11" s="1656" customFormat="1" ht="19.5" customHeight="1">
      <c r="A1081" s="1650" t="s">
        <v>5558</v>
      </c>
      <c r="B1081" s="1651" t="s">
        <v>5559</v>
      </c>
      <c r="C1081" s="1652" t="s">
        <v>5560</v>
      </c>
      <c r="D1081" s="1653" t="s">
        <v>3006</v>
      </c>
      <c r="E1081" s="1654">
        <f>140*160000</f>
        <v>22400000</v>
      </c>
      <c r="F1081" s="1654"/>
      <c r="G1081" s="1654">
        <f>1.91*VLOOKUP("N2.45",DGNC,5)/1000*140</f>
        <v>81052.416200000007</v>
      </c>
      <c r="H1081" s="1654">
        <v>59254</v>
      </c>
      <c r="I1081" s="1654"/>
      <c r="J1081" s="1655" t="s">
        <v>1499</v>
      </c>
      <c r="K1081" s="1655"/>
    </row>
    <row r="1082" spans="1:11">
      <c r="A1082" s="16" t="s">
        <v>935</v>
      </c>
      <c r="B1082" s="668" t="s">
        <v>716</v>
      </c>
      <c r="C1082" s="21" t="s">
        <v>3051</v>
      </c>
      <c r="D1082" s="17" t="s">
        <v>3006</v>
      </c>
      <c r="E1082" s="14">
        <v>17205630</v>
      </c>
      <c r="F1082" s="18"/>
      <c r="G1082" s="18">
        <v>98101</v>
      </c>
      <c r="H1082" s="18">
        <v>59254</v>
      </c>
      <c r="I1082" s="14"/>
      <c r="J1082" s="13" t="s">
        <v>1499</v>
      </c>
    </row>
    <row r="1083" spans="1:11">
      <c r="A1083" s="16" t="s">
        <v>1598</v>
      </c>
      <c r="B1083" s="668" t="s">
        <v>716</v>
      </c>
      <c r="C1083" s="21" t="s">
        <v>3052</v>
      </c>
      <c r="D1083" s="17" t="s">
        <v>3006</v>
      </c>
      <c r="E1083" s="14">
        <v>17042390</v>
      </c>
      <c r="F1083" s="18"/>
      <c r="G1083" s="18">
        <v>98101</v>
      </c>
      <c r="H1083" s="18">
        <v>59254</v>
      </c>
      <c r="I1083" s="14"/>
      <c r="J1083" s="13" t="s">
        <v>1499</v>
      </c>
    </row>
    <row r="1084" spans="1:11">
      <c r="A1084" s="16" t="s">
        <v>1989</v>
      </c>
      <c r="B1084" s="668" t="s">
        <v>716</v>
      </c>
      <c r="C1084" s="21" t="s">
        <v>3053</v>
      </c>
      <c r="D1084" s="17" t="s">
        <v>3006</v>
      </c>
      <c r="E1084" s="14">
        <v>13270912</v>
      </c>
      <c r="F1084" s="18"/>
      <c r="G1084" s="18">
        <v>98101</v>
      </c>
      <c r="H1084" s="18">
        <v>59254</v>
      </c>
      <c r="I1084" s="14"/>
      <c r="J1084" s="13" t="s">
        <v>1499</v>
      </c>
    </row>
    <row r="1085" spans="1:11">
      <c r="A1085" s="16" t="s">
        <v>1597</v>
      </c>
      <c r="B1085" s="668" t="s">
        <v>716</v>
      </c>
      <c r="C1085" s="21" t="s">
        <v>3054</v>
      </c>
      <c r="D1085" s="17" t="s">
        <v>3006</v>
      </c>
      <c r="E1085" s="14">
        <v>12786992</v>
      </c>
      <c r="F1085" s="18"/>
      <c r="G1085" s="18">
        <v>98101</v>
      </c>
      <c r="H1085" s="18">
        <v>59254</v>
      </c>
      <c r="I1085" s="14"/>
      <c r="J1085" s="13" t="s">
        <v>1499</v>
      </c>
    </row>
    <row r="1086" spans="1:11">
      <c r="A1086" s="16" t="s">
        <v>499</v>
      </c>
      <c r="B1086" s="668" t="s">
        <v>716</v>
      </c>
      <c r="C1086" s="21" t="s">
        <v>3055</v>
      </c>
      <c r="D1086" s="17" t="s">
        <v>3006</v>
      </c>
      <c r="E1086" s="14">
        <v>11869777</v>
      </c>
      <c r="F1086" s="18"/>
      <c r="G1086" s="18">
        <v>98101</v>
      </c>
      <c r="H1086" s="18">
        <v>59254</v>
      </c>
      <c r="I1086" s="14"/>
      <c r="J1086" s="13" t="s">
        <v>1499</v>
      </c>
    </row>
    <row r="1087" spans="1:11">
      <c r="A1087" s="16" t="s">
        <v>464</v>
      </c>
      <c r="B1087" s="668" t="s">
        <v>716</v>
      </c>
      <c r="C1087" s="21" t="s">
        <v>3056</v>
      </c>
      <c r="D1087" s="17" t="s">
        <v>3006</v>
      </c>
      <c r="E1087" s="14">
        <v>9797887</v>
      </c>
      <c r="F1087" s="18"/>
      <c r="G1087" s="18">
        <v>98101</v>
      </c>
      <c r="H1087" s="18">
        <v>59254</v>
      </c>
      <c r="I1087" s="14"/>
      <c r="J1087" s="13" t="s">
        <v>1499</v>
      </c>
    </row>
    <row r="1088" spans="1:11">
      <c r="A1088" s="16" t="s">
        <v>1815</v>
      </c>
      <c r="B1088" s="668" t="s">
        <v>716</v>
      </c>
      <c r="C1088" s="21" t="s">
        <v>3057</v>
      </c>
      <c r="D1088" s="17" t="s">
        <v>3006</v>
      </c>
      <c r="E1088" s="14">
        <v>9797887</v>
      </c>
      <c r="F1088" s="18"/>
      <c r="G1088" s="18">
        <v>98101</v>
      </c>
      <c r="H1088" s="18">
        <v>59254</v>
      </c>
      <c r="I1088" s="14"/>
      <c r="J1088" s="13" t="s">
        <v>1499</v>
      </c>
    </row>
    <row r="1089" spans="1:11">
      <c r="A1089" s="16" t="s">
        <v>544</v>
      </c>
      <c r="B1089" s="668" t="s">
        <v>1385</v>
      </c>
      <c r="C1089" s="16" t="s">
        <v>3058</v>
      </c>
      <c r="D1089" s="17" t="s">
        <v>3006</v>
      </c>
      <c r="E1089" s="18">
        <v>5000000</v>
      </c>
      <c r="F1089" s="18">
        <v>5000000</v>
      </c>
      <c r="G1089" s="18">
        <v>286129</v>
      </c>
      <c r="H1089" s="18">
        <v>59254</v>
      </c>
      <c r="I1089" s="14"/>
      <c r="J1089" s="13" t="s">
        <v>1499</v>
      </c>
    </row>
    <row r="1090" spans="1:11">
      <c r="A1090" s="16" t="s">
        <v>1696</v>
      </c>
      <c r="B1090" s="668" t="s">
        <v>1385</v>
      </c>
      <c r="C1090" s="16" t="s">
        <v>3059</v>
      </c>
      <c r="D1090" s="17" t="s">
        <v>3006</v>
      </c>
      <c r="E1090" s="18">
        <v>72359400</v>
      </c>
      <c r="F1090" s="18">
        <v>72359400</v>
      </c>
      <c r="G1090" s="18">
        <v>286129</v>
      </c>
      <c r="H1090" s="18">
        <v>59254</v>
      </c>
      <c r="I1090" s="14"/>
      <c r="J1090" s="13" t="s">
        <v>1499</v>
      </c>
    </row>
    <row r="1091" spans="1:11" s="1649" customFormat="1" ht="26.4">
      <c r="A1091" s="820" t="s">
        <v>5448</v>
      </c>
      <c r="B1091" s="1644" t="s">
        <v>1385</v>
      </c>
      <c r="C1091" s="1645" t="s">
        <v>5449</v>
      </c>
      <c r="D1091" s="1646" t="s">
        <v>3006</v>
      </c>
      <c r="E1091" s="1647">
        <v>220000000</v>
      </c>
      <c r="F1091" s="1647">
        <f>E1091</f>
        <v>220000000</v>
      </c>
      <c r="G1091" s="1647">
        <v>286129</v>
      </c>
      <c r="H1091" s="1647">
        <v>59254</v>
      </c>
      <c r="I1091" s="707"/>
      <c r="J1091" s="1648" t="s">
        <v>1499</v>
      </c>
    </row>
    <row r="1092" spans="1:11" s="1656" customFormat="1" ht="33" customHeight="1">
      <c r="A1092" s="1650" t="s">
        <v>5450</v>
      </c>
      <c r="B1092" s="1651" t="s">
        <v>5451</v>
      </c>
      <c r="C1092" s="1652" t="s">
        <v>5681</v>
      </c>
      <c r="D1092" s="1653" t="s">
        <v>3006</v>
      </c>
      <c r="E1092" s="1654">
        <v>260000000</v>
      </c>
      <c r="F1092" s="1654">
        <f>E1092</f>
        <v>260000000</v>
      </c>
      <c r="G1092" s="1654">
        <f>8.4*VLOOKUP("N2.45",DGNC,5)</f>
        <v>2546149.2000000002</v>
      </c>
      <c r="H1092" s="1654">
        <v>55839</v>
      </c>
      <c r="I1092" s="1654"/>
      <c r="J1092" s="1655"/>
      <c r="K1092" s="1655" t="s">
        <v>5452</v>
      </c>
    </row>
    <row r="1093" spans="1:11" s="1656" customFormat="1" ht="33" customHeight="1">
      <c r="A1093" s="1650" t="s">
        <v>5551</v>
      </c>
      <c r="B1093" s="1651" t="s">
        <v>5451</v>
      </c>
      <c r="C1093" s="1652" t="s">
        <v>5720</v>
      </c>
      <c r="D1093" s="1653" t="s">
        <v>3006</v>
      </c>
      <c r="E1093" s="1654">
        <v>300000000</v>
      </c>
      <c r="F1093" s="1654">
        <f>E1093</f>
        <v>300000000</v>
      </c>
      <c r="G1093" s="1654">
        <f>8.4*VLOOKUP("N2.45",DGNC,5)</f>
        <v>2546149.2000000002</v>
      </c>
      <c r="H1093" s="1654">
        <v>55839</v>
      </c>
      <c r="I1093" s="1654"/>
      <c r="J1093" s="1655"/>
      <c r="K1093" s="1655" t="s">
        <v>5452</v>
      </c>
    </row>
    <row r="1094" spans="1:11">
      <c r="A1094" s="16" t="s">
        <v>1242</v>
      </c>
      <c r="B1094" s="668" t="s">
        <v>1385</v>
      </c>
      <c r="C1094" s="16" t="s">
        <v>3060</v>
      </c>
      <c r="D1094" s="17" t="s">
        <v>3006</v>
      </c>
      <c r="E1094" s="18">
        <v>29780400</v>
      </c>
      <c r="F1094" s="18">
        <v>29780400</v>
      </c>
      <c r="G1094" s="18">
        <v>286129</v>
      </c>
      <c r="H1094" s="18">
        <v>59254</v>
      </c>
      <c r="I1094" s="14"/>
      <c r="J1094" s="13" t="s">
        <v>1499</v>
      </c>
    </row>
    <row r="1095" spans="1:11">
      <c r="A1095" s="16" t="s">
        <v>545</v>
      </c>
      <c r="B1095" s="668" t="s">
        <v>1385</v>
      </c>
      <c r="C1095" s="16" t="s">
        <v>3061</v>
      </c>
      <c r="D1095" s="17" t="s">
        <v>3006</v>
      </c>
      <c r="E1095" s="18">
        <v>2000000</v>
      </c>
      <c r="F1095" s="18">
        <v>2000000</v>
      </c>
      <c r="G1095" s="18">
        <v>286129</v>
      </c>
      <c r="H1095" s="18">
        <v>59254</v>
      </c>
      <c r="I1095" s="14"/>
      <c r="J1095" s="13" t="s">
        <v>1499</v>
      </c>
    </row>
    <row r="1096" spans="1:11" ht="13.8">
      <c r="A1096" s="16" t="s">
        <v>150</v>
      </c>
      <c r="B1096" s="1598" t="s">
        <v>5197</v>
      </c>
      <c r="C1096" s="16" t="s">
        <v>3062</v>
      </c>
      <c r="D1096" s="17" t="s">
        <v>2118</v>
      </c>
      <c r="E1096" s="18">
        <v>50000000</v>
      </c>
      <c r="F1096" s="18">
        <v>50000000</v>
      </c>
      <c r="G1096" s="1595">
        <v>690091</v>
      </c>
      <c r="H1096" s="1595">
        <v>97369</v>
      </c>
      <c r="I1096" s="14"/>
      <c r="J1096" s="13" t="s">
        <v>1499</v>
      </c>
    </row>
    <row r="1097" spans="1:11" ht="13.8">
      <c r="A1097" s="16" t="s">
        <v>336</v>
      </c>
      <c r="B1097" s="1598" t="s">
        <v>5197</v>
      </c>
      <c r="C1097" s="16" t="s">
        <v>3063</v>
      </c>
      <c r="D1097" s="17" t="s">
        <v>2118</v>
      </c>
      <c r="E1097" s="18">
        <v>40000000</v>
      </c>
      <c r="F1097" s="18">
        <v>60000000</v>
      </c>
      <c r="G1097" s="1595">
        <v>690091</v>
      </c>
      <c r="H1097" s="1595">
        <v>97369</v>
      </c>
      <c r="I1097" s="14"/>
      <c r="J1097" s="13" t="s">
        <v>1499</v>
      </c>
    </row>
    <row r="1098" spans="1:11" ht="13.8">
      <c r="A1098" s="16" t="s">
        <v>511</v>
      </c>
      <c r="B1098" s="1598" t="s">
        <v>5197</v>
      </c>
      <c r="C1098" s="16" t="s">
        <v>3064</v>
      </c>
      <c r="D1098" s="17" t="s">
        <v>2118</v>
      </c>
      <c r="E1098" s="18">
        <v>40000000</v>
      </c>
      <c r="F1098" s="18">
        <v>60000000</v>
      </c>
      <c r="G1098" s="1595">
        <v>690091</v>
      </c>
      <c r="H1098" s="1595">
        <v>97369</v>
      </c>
      <c r="I1098" s="14"/>
      <c r="J1098" s="13" t="s">
        <v>1499</v>
      </c>
    </row>
    <row r="1099" spans="1:11" ht="13.8">
      <c r="A1099" s="16" t="s">
        <v>510</v>
      </c>
      <c r="B1099" s="1598" t="s">
        <v>5197</v>
      </c>
      <c r="C1099" s="16" t="s">
        <v>3065</v>
      </c>
      <c r="D1099" s="17" t="s">
        <v>2118</v>
      </c>
      <c r="E1099" s="18">
        <v>50000000</v>
      </c>
      <c r="F1099" s="18">
        <v>70000000</v>
      </c>
      <c r="G1099" s="1595">
        <v>690091</v>
      </c>
      <c r="H1099" s="1595">
        <v>97369</v>
      </c>
      <c r="I1099" s="14"/>
      <c r="J1099" s="13" t="s">
        <v>1499</v>
      </c>
    </row>
    <row r="1100" spans="1:11" ht="13.8">
      <c r="A1100" s="16" t="s">
        <v>328</v>
      </c>
      <c r="B1100" s="1598" t="s">
        <v>5197</v>
      </c>
      <c r="C1100" s="16" t="s">
        <v>3066</v>
      </c>
      <c r="D1100" s="17" t="s">
        <v>2118</v>
      </c>
      <c r="E1100" s="18">
        <v>70000000</v>
      </c>
      <c r="F1100" s="18">
        <v>80000000</v>
      </c>
      <c r="G1100" s="1595">
        <v>690091</v>
      </c>
      <c r="H1100" s="1595">
        <v>97369</v>
      </c>
      <c r="I1100" s="14"/>
      <c r="J1100" s="13" t="s">
        <v>1499</v>
      </c>
    </row>
    <row r="1101" spans="1:11" ht="13.8">
      <c r="A1101" s="16" t="s">
        <v>1232</v>
      </c>
      <c r="B1101" s="1598" t="s">
        <v>5197</v>
      </c>
      <c r="C1101" s="16" t="s">
        <v>3067</v>
      </c>
      <c r="D1101" s="17" t="s">
        <v>2118</v>
      </c>
      <c r="E1101" s="18">
        <v>85000000</v>
      </c>
      <c r="F1101" s="18">
        <v>90000000</v>
      </c>
      <c r="G1101" s="1595">
        <v>690091</v>
      </c>
      <c r="H1101" s="1595">
        <v>97369</v>
      </c>
      <c r="I1101" s="14"/>
      <c r="J1101" s="13" t="s">
        <v>1499</v>
      </c>
    </row>
    <row r="1102" spans="1:11" s="1696" customFormat="1" ht="13.8">
      <c r="A1102" s="1690" t="s">
        <v>5688</v>
      </c>
      <c r="B1102" s="1723" t="s">
        <v>5197</v>
      </c>
      <c r="C1102" s="1690" t="s">
        <v>5689</v>
      </c>
      <c r="D1102" s="1724" t="s">
        <v>2118</v>
      </c>
      <c r="E1102" s="1694">
        <v>90000000</v>
      </c>
      <c r="F1102" s="1694">
        <f>E1102</f>
        <v>90000000</v>
      </c>
      <c r="G1102" s="1721">
        <f>2.88*VLOOKUP("N2.45",DGNC,5)</f>
        <v>872965.44</v>
      </c>
      <c r="H1102" s="1722">
        <v>55839</v>
      </c>
      <c r="I1102" s="1693"/>
      <c r="J1102" s="1695" t="s">
        <v>1499</v>
      </c>
    </row>
    <row r="1103" spans="1:11" ht="13.8">
      <c r="A1103" s="16" t="s">
        <v>878</v>
      </c>
      <c r="B1103" s="1598" t="s">
        <v>5197</v>
      </c>
      <c r="C1103" s="16" t="s">
        <v>3068</v>
      </c>
      <c r="D1103" s="17" t="s">
        <v>2118</v>
      </c>
      <c r="E1103" s="18">
        <v>5000000</v>
      </c>
      <c r="F1103" s="18">
        <v>5000000</v>
      </c>
      <c r="G1103" s="1595">
        <v>690091</v>
      </c>
      <c r="H1103" s="1595">
        <v>97369</v>
      </c>
      <c r="I1103" s="14"/>
      <c r="J1103" s="13" t="s">
        <v>1499</v>
      </c>
    </row>
    <row r="1104" spans="1:11" ht="13.8">
      <c r="A1104" s="16" t="s">
        <v>333</v>
      </c>
      <c r="B1104" s="1598" t="s">
        <v>5197</v>
      </c>
      <c r="C1104" s="16" t="s">
        <v>3069</v>
      </c>
      <c r="D1104" s="17" t="s">
        <v>2118</v>
      </c>
      <c r="E1104" s="18">
        <v>3000000</v>
      </c>
      <c r="F1104" s="1985">
        <v>2112489</v>
      </c>
      <c r="G1104" s="1595">
        <v>690091</v>
      </c>
      <c r="H1104" s="1595">
        <v>97369</v>
      </c>
      <c r="I1104" s="14"/>
      <c r="J1104" s="13" t="s">
        <v>1499</v>
      </c>
    </row>
    <row r="1105" spans="1:10" ht="13.8">
      <c r="A1105" s="16" t="s">
        <v>332</v>
      </c>
      <c r="B1105" s="1598" t="s">
        <v>5197</v>
      </c>
      <c r="C1105" s="16" t="s">
        <v>3070</v>
      </c>
      <c r="D1105" s="17" t="s">
        <v>2118</v>
      </c>
      <c r="E1105" s="18">
        <v>5000000</v>
      </c>
      <c r="F1105" s="18">
        <v>5000000</v>
      </c>
      <c r="G1105" s="1595">
        <v>690091</v>
      </c>
      <c r="H1105" s="1595">
        <v>97369</v>
      </c>
      <c r="I1105" s="14"/>
      <c r="J1105" s="13" t="s">
        <v>1499</v>
      </c>
    </row>
    <row r="1106" spans="1:10" s="1696" customFormat="1" ht="13.8">
      <c r="A1106" s="1690" t="s">
        <v>5575</v>
      </c>
      <c r="B1106" s="1723" t="s">
        <v>5197</v>
      </c>
      <c r="C1106" s="1690" t="s">
        <v>5576</v>
      </c>
      <c r="D1106" s="1724" t="s">
        <v>2118</v>
      </c>
      <c r="E1106" s="1694">
        <v>25000000</v>
      </c>
      <c r="F1106" s="1694">
        <f>E1106</f>
        <v>25000000</v>
      </c>
      <c r="G1106" s="1721">
        <f>2.88*VLOOKUP("N2.45",DGNC,5)</f>
        <v>872965.44</v>
      </c>
      <c r="H1106" s="1722">
        <v>55839</v>
      </c>
      <c r="I1106" s="1693"/>
      <c r="J1106" s="1695" t="s">
        <v>1499</v>
      </c>
    </row>
    <row r="1107" spans="1:10" ht="13.8">
      <c r="A1107" s="16" t="s">
        <v>334</v>
      </c>
      <c r="B1107" s="1598" t="s">
        <v>5197</v>
      </c>
      <c r="C1107" s="16" t="s">
        <v>3071</v>
      </c>
      <c r="D1107" s="17" t="s">
        <v>2118</v>
      </c>
      <c r="E1107" s="18">
        <v>25000000</v>
      </c>
      <c r="F1107" s="18">
        <f>E1107</f>
        <v>25000000</v>
      </c>
      <c r="G1107" s="1595">
        <v>690091</v>
      </c>
      <c r="H1107" s="1595">
        <v>97369</v>
      </c>
      <c r="I1107" s="14"/>
      <c r="J1107" s="13" t="s">
        <v>1499</v>
      </c>
    </row>
    <row r="1108" spans="1:10" ht="13.8">
      <c r="A1108" s="16" t="s">
        <v>335</v>
      </c>
      <c r="B1108" s="1598" t="s">
        <v>5197</v>
      </c>
      <c r="C1108" s="16" t="s">
        <v>3072</v>
      </c>
      <c r="D1108" s="17" t="s">
        <v>2118</v>
      </c>
      <c r="E1108" s="18">
        <v>25000000</v>
      </c>
      <c r="F1108" s="18">
        <v>25000000</v>
      </c>
      <c r="G1108" s="1595">
        <v>690091</v>
      </c>
      <c r="H1108" s="1595">
        <v>97369</v>
      </c>
      <c r="I1108" s="14"/>
      <c r="J1108" s="13" t="s">
        <v>1499</v>
      </c>
    </row>
    <row r="1109" spans="1:10" ht="13.8">
      <c r="A1109" s="16" t="s">
        <v>500</v>
      </c>
      <c r="B1109" s="1598" t="s">
        <v>5197</v>
      </c>
      <c r="C1109" s="16" t="s">
        <v>3070</v>
      </c>
      <c r="D1109" s="17" t="s">
        <v>2118</v>
      </c>
      <c r="E1109" s="18">
        <v>5000000</v>
      </c>
      <c r="F1109" s="18">
        <v>5000000</v>
      </c>
      <c r="G1109" s="1595">
        <v>690091</v>
      </c>
      <c r="H1109" s="1595">
        <v>97369</v>
      </c>
      <c r="I1109" s="14"/>
      <c r="J1109" s="13" t="s">
        <v>1499</v>
      </c>
    </row>
    <row r="1110" spans="1:10" ht="13.8">
      <c r="A1110" s="16" t="s">
        <v>1655</v>
      </c>
      <c r="B1110" s="1598" t="s">
        <v>5198</v>
      </c>
      <c r="C1110" s="16" t="s">
        <v>3073</v>
      </c>
      <c r="D1110" s="17" t="s">
        <v>2118</v>
      </c>
      <c r="E1110" s="1985">
        <v>2971168</v>
      </c>
      <c r="F1110" s="1985">
        <v>2971168</v>
      </c>
      <c r="G1110" s="1613">
        <v>599038</v>
      </c>
      <c r="H1110" s="1613">
        <v>97369</v>
      </c>
      <c r="I1110" s="14"/>
      <c r="J1110" s="13" t="s">
        <v>1499</v>
      </c>
    </row>
    <row r="1111" spans="1:10" ht="13.8">
      <c r="A1111" s="16" t="s">
        <v>1656</v>
      </c>
      <c r="B1111" s="1598" t="s">
        <v>5197</v>
      </c>
      <c r="C1111" s="16" t="s">
        <v>3074</v>
      </c>
      <c r="D1111" s="17" t="s">
        <v>2118</v>
      </c>
      <c r="E1111" s="1985">
        <v>3664446</v>
      </c>
      <c r="F1111" s="1985">
        <v>3664446</v>
      </c>
      <c r="G1111" s="1595">
        <v>690091</v>
      </c>
      <c r="H1111" s="1595">
        <v>97369</v>
      </c>
      <c r="I1111" s="14"/>
      <c r="J1111" s="13" t="s">
        <v>1499</v>
      </c>
    </row>
    <row r="1112" spans="1:10" ht="13.8">
      <c r="A1112" s="16" t="s">
        <v>715</v>
      </c>
      <c r="B1112" s="1598" t="s">
        <v>5198</v>
      </c>
      <c r="C1112" s="16" t="s">
        <v>3075</v>
      </c>
      <c r="D1112" s="17" t="s">
        <v>2118</v>
      </c>
      <c r="E1112" s="18">
        <v>3793194</v>
      </c>
      <c r="F1112" s="18">
        <v>3793194</v>
      </c>
      <c r="G1112" s="1613">
        <v>599038</v>
      </c>
      <c r="H1112" s="1613">
        <v>97369</v>
      </c>
      <c r="I1112" s="14"/>
      <c r="J1112" s="13" t="s">
        <v>1499</v>
      </c>
    </row>
    <row r="1113" spans="1:10" ht="13.8">
      <c r="A1113" s="16" t="s">
        <v>1485</v>
      </c>
      <c r="B1113" s="1598" t="s">
        <v>5198</v>
      </c>
      <c r="C1113" s="16" t="s">
        <v>4566</v>
      </c>
      <c r="D1113" s="17" t="s">
        <v>2118</v>
      </c>
      <c r="E1113" s="18">
        <v>2700000</v>
      </c>
      <c r="F1113" s="1985">
        <v>783952</v>
      </c>
      <c r="G1113" s="1613">
        <v>599038</v>
      </c>
      <c r="H1113" s="1613">
        <v>97369</v>
      </c>
      <c r="I1113" s="14"/>
      <c r="J1113" s="13" t="s">
        <v>1499</v>
      </c>
    </row>
    <row r="1114" spans="1:10" ht="13.8">
      <c r="A1114" s="16" t="s">
        <v>1825</v>
      </c>
      <c r="B1114" s="1598" t="s">
        <v>5198</v>
      </c>
      <c r="C1114" s="16" t="s">
        <v>3076</v>
      </c>
      <c r="D1114" s="17" t="s">
        <v>2118</v>
      </c>
      <c r="E1114" s="18">
        <v>87000</v>
      </c>
      <c r="F1114" s="18">
        <v>845331</v>
      </c>
      <c r="G1114" s="1613">
        <v>599038</v>
      </c>
      <c r="H1114" s="1613">
        <v>97369</v>
      </c>
      <c r="I1114" s="14"/>
      <c r="J1114" s="13" t="s">
        <v>1499</v>
      </c>
    </row>
    <row r="1115" spans="1:10" ht="13.8">
      <c r="A1115" s="16" t="s">
        <v>717</v>
      </c>
      <c r="B1115" s="1598" t="s">
        <v>5197</v>
      </c>
      <c r="C1115" s="16" t="s">
        <v>3077</v>
      </c>
      <c r="D1115" s="17" t="s">
        <v>2118</v>
      </c>
      <c r="E1115" s="18">
        <v>5000000</v>
      </c>
      <c r="F1115" s="18">
        <v>5000000</v>
      </c>
      <c r="G1115" s="1595">
        <v>690091</v>
      </c>
      <c r="H1115" s="1595">
        <v>97369</v>
      </c>
      <c r="I1115" s="14"/>
      <c r="J1115" s="13" t="s">
        <v>1499</v>
      </c>
    </row>
    <row r="1116" spans="1:10" ht="13.8">
      <c r="A1116" s="16" t="s">
        <v>1095</v>
      </c>
      <c r="B1116" s="1598" t="s">
        <v>5197</v>
      </c>
      <c r="C1116" s="16" t="s">
        <v>3078</v>
      </c>
      <c r="D1116" s="17" t="s">
        <v>2118</v>
      </c>
      <c r="E1116" s="18">
        <v>2500000</v>
      </c>
      <c r="F1116" s="18">
        <v>2500000</v>
      </c>
      <c r="G1116" s="1595">
        <v>690091</v>
      </c>
      <c r="H1116" s="1595">
        <v>97369</v>
      </c>
      <c r="I1116" s="14"/>
      <c r="J1116" s="13" t="s">
        <v>1499</v>
      </c>
    </row>
    <row r="1117" spans="1:10" ht="13.8">
      <c r="A1117" s="16" t="s">
        <v>932</v>
      </c>
      <c r="B1117" s="1598" t="s">
        <v>5197</v>
      </c>
      <c r="C1117" s="16" t="s">
        <v>3079</v>
      </c>
      <c r="D1117" s="17" t="s">
        <v>2304</v>
      </c>
      <c r="E1117" s="18">
        <v>535470</v>
      </c>
      <c r="F1117" s="18">
        <v>535470</v>
      </c>
      <c r="G1117" s="1595">
        <v>690091</v>
      </c>
      <c r="H1117" s="1595">
        <v>97369</v>
      </c>
      <c r="I1117" s="14"/>
      <c r="J1117" s="13" t="s">
        <v>2449</v>
      </c>
    </row>
    <row r="1118" spans="1:10" s="1696" customFormat="1" ht="13.8">
      <c r="A1118" s="1690" t="s">
        <v>5721</v>
      </c>
      <c r="B1118" s="1723" t="s">
        <v>5197</v>
      </c>
      <c r="C1118" s="1690" t="s">
        <v>5722</v>
      </c>
      <c r="D1118" s="1724" t="s">
        <v>2118</v>
      </c>
      <c r="E1118" s="1694">
        <v>50000000</v>
      </c>
      <c r="F1118" s="1694">
        <f>E1118</f>
        <v>50000000</v>
      </c>
      <c r="G1118" s="1721">
        <f>2.88*VLOOKUP("N2.45",DGNC,5)</f>
        <v>872965.44</v>
      </c>
      <c r="H1118" s="1722">
        <v>55839</v>
      </c>
      <c r="I1118" s="1693"/>
      <c r="J1118" s="1695" t="s">
        <v>1499</v>
      </c>
    </row>
    <row r="1119" spans="1:10">
      <c r="A1119" s="16" t="s">
        <v>680</v>
      </c>
      <c r="B1119" s="26" t="s">
        <v>1297</v>
      </c>
      <c r="C1119" s="16" t="s">
        <v>5800</v>
      </c>
      <c r="D1119" s="17" t="s">
        <v>2118</v>
      </c>
      <c r="E1119" s="18">
        <v>5931200</v>
      </c>
      <c r="F1119" s="18">
        <v>5931200</v>
      </c>
      <c r="G1119" s="18">
        <v>85158</v>
      </c>
      <c r="H1119" s="18">
        <v>59254</v>
      </c>
      <c r="I1119" s="14">
        <v>59254</v>
      </c>
      <c r="J1119" s="13" t="s">
        <v>1499</v>
      </c>
    </row>
    <row r="1120" spans="1:10">
      <c r="A1120" s="16" t="s">
        <v>4439</v>
      </c>
      <c r="B1120" s="26" t="s">
        <v>4440</v>
      </c>
      <c r="C1120" s="16" t="s">
        <v>4111</v>
      </c>
      <c r="D1120" s="17" t="s">
        <v>2118</v>
      </c>
      <c r="E1120" s="18"/>
      <c r="F1120" s="18">
        <v>125</v>
      </c>
      <c r="G1120" s="18">
        <v>23796</v>
      </c>
      <c r="H1120" s="18"/>
      <c r="I1120" s="14">
        <v>59255</v>
      </c>
      <c r="J1120" s="13" t="s">
        <v>1499</v>
      </c>
    </row>
    <row r="1121" spans="1:10">
      <c r="A1121" s="25" t="s">
        <v>4103</v>
      </c>
      <c r="B1121" s="17"/>
      <c r="C1121" s="16" t="s">
        <v>4104</v>
      </c>
      <c r="D1121" s="17" t="s">
        <v>2118</v>
      </c>
      <c r="E1121" s="18">
        <v>75000</v>
      </c>
      <c r="F1121" s="18">
        <f>E1121</f>
        <v>75000</v>
      </c>
      <c r="G1121" s="18">
        <v>9800</v>
      </c>
      <c r="H1121" s="18"/>
      <c r="I1121" s="18"/>
      <c r="J1121" s="13" t="s">
        <v>1512</v>
      </c>
    </row>
    <row r="1122" spans="1:10">
      <c r="A1122" s="25" t="s">
        <v>4101</v>
      </c>
      <c r="B1122" s="17"/>
      <c r="C1122" s="16" t="s">
        <v>4102</v>
      </c>
      <c r="D1122" s="17" t="s">
        <v>2118</v>
      </c>
      <c r="E1122" s="18">
        <v>125000</v>
      </c>
      <c r="F1122" s="18">
        <v>70000</v>
      </c>
      <c r="G1122" s="18">
        <v>15000</v>
      </c>
      <c r="H1122" s="18"/>
      <c r="I1122" s="18"/>
      <c r="J1122" s="13" t="s">
        <v>1512</v>
      </c>
    </row>
    <row r="1123" spans="1:10">
      <c r="A1123" s="25" t="s">
        <v>700</v>
      </c>
      <c r="B1123" s="17"/>
      <c r="C1123" s="16" t="s">
        <v>3081</v>
      </c>
      <c r="D1123" s="17" t="s">
        <v>2118</v>
      </c>
      <c r="E1123" s="18">
        <v>1042000</v>
      </c>
      <c r="F1123" s="18"/>
      <c r="G1123" s="18">
        <v>3088</v>
      </c>
      <c r="H1123" s="18"/>
      <c r="I1123" s="18"/>
      <c r="J1123" s="13" t="s">
        <v>1512</v>
      </c>
    </row>
    <row r="1124" spans="1:10">
      <c r="A1124" s="25" t="s">
        <v>119</v>
      </c>
      <c r="B1124" s="17"/>
      <c r="C1124" s="16" t="s">
        <v>3082</v>
      </c>
      <c r="D1124" s="17" t="s">
        <v>2118</v>
      </c>
      <c r="E1124" s="18">
        <v>1042000</v>
      </c>
      <c r="F1124" s="18"/>
      <c r="G1124" s="18">
        <v>3088</v>
      </c>
      <c r="H1124" s="18"/>
      <c r="I1124" s="18"/>
      <c r="J1124" s="13" t="s">
        <v>1512</v>
      </c>
    </row>
    <row r="1125" spans="1:10">
      <c r="A1125" s="25" t="s">
        <v>239</v>
      </c>
      <c r="B1125" s="17"/>
      <c r="C1125" s="16" t="s">
        <v>3083</v>
      </c>
      <c r="D1125" s="17" t="s">
        <v>2118</v>
      </c>
      <c r="E1125" s="18">
        <v>1042000</v>
      </c>
      <c r="F1125" s="18"/>
      <c r="G1125" s="18">
        <v>3088</v>
      </c>
      <c r="H1125" s="18"/>
      <c r="I1125" s="18"/>
      <c r="J1125" s="13" t="s">
        <v>1512</v>
      </c>
    </row>
    <row r="1126" spans="1:10">
      <c r="A1126" s="25" t="s">
        <v>240</v>
      </c>
      <c r="B1126" s="17"/>
      <c r="C1126" s="16" t="s">
        <v>3084</v>
      </c>
      <c r="D1126" s="17" t="s">
        <v>2118</v>
      </c>
      <c r="E1126" s="18">
        <v>1042000</v>
      </c>
      <c r="F1126" s="18"/>
      <c r="G1126" s="18">
        <v>3088</v>
      </c>
      <c r="H1126" s="18"/>
      <c r="I1126" s="18"/>
      <c r="J1126" s="13" t="s">
        <v>1512</v>
      </c>
    </row>
    <row r="1127" spans="1:10">
      <c r="A1127" s="25" t="s">
        <v>241</v>
      </c>
      <c r="B1127" s="17"/>
      <c r="C1127" s="16" t="s">
        <v>3085</v>
      </c>
      <c r="D1127" s="17" t="s">
        <v>2118</v>
      </c>
      <c r="E1127" s="18">
        <v>1430000</v>
      </c>
      <c r="F1127" s="18"/>
      <c r="G1127" s="18">
        <v>3088</v>
      </c>
      <c r="H1127" s="18"/>
      <c r="I1127" s="18"/>
      <c r="J1127" s="13" t="s">
        <v>1512</v>
      </c>
    </row>
    <row r="1128" spans="1:10">
      <c r="A1128" s="25" t="s">
        <v>1411</v>
      </c>
      <c r="B1128" s="17"/>
      <c r="C1128" s="16" t="s">
        <v>3086</v>
      </c>
      <c r="D1128" s="17" t="s">
        <v>2118</v>
      </c>
      <c r="E1128" s="18">
        <v>1430000</v>
      </c>
      <c r="F1128" s="18"/>
      <c r="G1128" s="18">
        <v>3088</v>
      </c>
      <c r="H1128" s="18"/>
      <c r="I1128" s="18"/>
      <c r="J1128" s="13" t="s">
        <v>1512</v>
      </c>
    </row>
    <row r="1129" spans="1:10">
      <c r="A1129" s="25" t="s">
        <v>242</v>
      </c>
      <c r="B1129" s="17"/>
      <c r="C1129" s="16" t="s">
        <v>3087</v>
      </c>
      <c r="D1129" s="17" t="s">
        <v>2118</v>
      </c>
      <c r="E1129" s="18">
        <v>1430000</v>
      </c>
      <c r="F1129" s="18"/>
      <c r="G1129" s="18">
        <v>3088</v>
      </c>
      <c r="H1129" s="18"/>
      <c r="I1129" s="18"/>
      <c r="J1129" s="13" t="s">
        <v>1512</v>
      </c>
    </row>
    <row r="1130" spans="1:10">
      <c r="A1130" s="25" t="s">
        <v>910</v>
      </c>
      <c r="B1130" s="515"/>
      <c r="C1130" s="25" t="s">
        <v>3088</v>
      </c>
      <c r="D1130" s="17" t="s">
        <v>2118</v>
      </c>
      <c r="E1130" s="18">
        <v>2616000</v>
      </c>
      <c r="F1130" s="18"/>
      <c r="G1130" s="18"/>
      <c r="H1130" s="18"/>
      <c r="I1130" s="14"/>
      <c r="J1130" s="13" t="s">
        <v>1512</v>
      </c>
    </row>
    <row r="1131" spans="1:10">
      <c r="A1131" s="25" t="s">
        <v>2198</v>
      </c>
      <c r="B1131" s="515"/>
      <c r="C1131" s="25" t="s">
        <v>3089</v>
      </c>
      <c r="D1131" s="17" t="s">
        <v>2118</v>
      </c>
      <c r="E1131" s="18">
        <v>2616000</v>
      </c>
      <c r="F1131" s="18"/>
      <c r="G1131" s="18"/>
      <c r="H1131" s="18"/>
      <c r="I1131" s="14"/>
      <c r="J1131" s="13" t="s">
        <v>1512</v>
      </c>
    </row>
    <row r="1132" spans="1:10">
      <c r="A1132" s="25" t="s">
        <v>911</v>
      </c>
      <c r="B1132" s="515"/>
      <c r="C1132" s="25" t="s">
        <v>3090</v>
      </c>
      <c r="D1132" s="17" t="s">
        <v>2118</v>
      </c>
      <c r="E1132" s="18">
        <v>2616000</v>
      </c>
      <c r="F1132" s="18"/>
      <c r="G1132" s="18"/>
      <c r="H1132" s="18"/>
      <c r="I1132" s="14"/>
      <c r="J1132" s="13" t="s">
        <v>1512</v>
      </c>
    </row>
    <row r="1133" spans="1:10">
      <c r="A1133" s="25" t="s">
        <v>1238</v>
      </c>
      <c r="B1133" s="515"/>
      <c r="C1133" s="25" t="s">
        <v>3091</v>
      </c>
      <c r="D1133" s="17" t="s">
        <v>2118</v>
      </c>
      <c r="E1133" s="18">
        <v>2616000</v>
      </c>
      <c r="F1133" s="18"/>
      <c r="G1133" s="18"/>
      <c r="H1133" s="18"/>
      <c r="I1133" s="14"/>
      <c r="J1133" s="13" t="s">
        <v>1512</v>
      </c>
    </row>
    <row r="1134" spans="1:10">
      <c r="A1134" s="25" t="s">
        <v>664</v>
      </c>
      <c r="B1134" s="515"/>
      <c r="C1134" s="25" t="s">
        <v>3092</v>
      </c>
      <c r="D1134" s="17" t="s">
        <v>2118</v>
      </c>
      <c r="E1134" s="18">
        <v>1750000</v>
      </c>
      <c r="F1134" s="18"/>
      <c r="G1134" s="18"/>
      <c r="H1134" s="18"/>
      <c r="I1134" s="14"/>
      <c r="J1134" s="13" t="s">
        <v>1512</v>
      </c>
    </row>
    <row r="1135" spans="1:10">
      <c r="A1135" s="25" t="s">
        <v>1412</v>
      </c>
      <c r="B1135" s="515"/>
      <c r="C1135" s="16" t="s">
        <v>3093</v>
      </c>
      <c r="D1135" s="17" t="s">
        <v>2118</v>
      </c>
      <c r="E1135" s="18">
        <v>2440000</v>
      </c>
      <c r="F1135" s="18"/>
      <c r="G1135" s="18"/>
      <c r="H1135" s="18"/>
      <c r="I1135" s="14"/>
      <c r="J1135" s="13" t="s">
        <v>1512</v>
      </c>
    </row>
    <row r="1136" spans="1:10">
      <c r="A1136" s="25" t="s">
        <v>2085</v>
      </c>
      <c r="B1136" s="515"/>
      <c r="C1136" s="16" t="s">
        <v>3094</v>
      </c>
      <c r="D1136" s="17" t="s">
        <v>2118</v>
      </c>
      <c r="E1136" s="18">
        <v>3060000</v>
      </c>
      <c r="F1136" s="18"/>
      <c r="G1136" s="18"/>
      <c r="H1136" s="18"/>
      <c r="I1136" s="14"/>
      <c r="J1136" s="13" t="s">
        <v>1512</v>
      </c>
    </row>
    <row r="1137" spans="1:11">
      <c r="A1137" s="25" t="s">
        <v>609</v>
      </c>
      <c r="B1137" s="515"/>
      <c r="C1137" s="16" t="s">
        <v>5199</v>
      </c>
      <c r="D1137" s="17" t="s">
        <v>2118</v>
      </c>
      <c r="E1137" s="18">
        <v>3865000</v>
      </c>
      <c r="F1137" s="18"/>
      <c r="G1137" s="18"/>
      <c r="H1137" s="18"/>
      <c r="I1137" s="14"/>
      <c r="J1137" s="13" t="s">
        <v>1512</v>
      </c>
    </row>
    <row r="1138" spans="1:11">
      <c r="A1138" s="25" t="s">
        <v>1186</v>
      </c>
      <c r="B1138" s="515"/>
      <c r="C1138" s="16" t="s">
        <v>4590</v>
      </c>
      <c r="D1138" s="17" t="s">
        <v>2118</v>
      </c>
      <c r="E1138" s="18">
        <v>4990000</v>
      </c>
      <c r="F1138" s="18"/>
      <c r="G1138" s="18"/>
      <c r="H1138" s="18"/>
      <c r="I1138" s="14"/>
      <c r="J1138" s="13" t="s">
        <v>1512</v>
      </c>
    </row>
    <row r="1139" spans="1:11">
      <c r="A1139" s="25" t="s">
        <v>590</v>
      </c>
      <c r="B1139" s="515"/>
      <c r="C1139" s="16" t="s">
        <v>3095</v>
      </c>
      <c r="D1139" s="17" t="s">
        <v>2118</v>
      </c>
      <c r="E1139" s="18">
        <v>6780000</v>
      </c>
      <c r="F1139" s="18"/>
      <c r="G1139" s="18"/>
      <c r="H1139" s="18"/>
      <c r="I1139" s="14"/>
      <c r="J1139" s="13" t="s">
        <v>1512</v>
      </c>
    </row>
    <row r="1140" spans="1:11" s="1706" customFormat="1">
      <c r="A1140" s="1697" t="s">
        <v>33</v>
      </c>
      <c r="B1140" s="1698" t="s">
        <v>5554</v>
      </c>
      <c r="C1140" s="1699" t="s">
        <v>5555</v>
      </c>
      <c r="D1140" s="1700" t="s">
        <v>2118</v>
      </c>
      <c r="E1140" s="1701">
        <v>7180000</v>
      </c>
      <c r="F1140" s="1702"/>
      <c r="G1140" s="1703">
        <f>3.5*VLOOKUP("N2.40",DGNC,5)</f>
        <v>974050</v>
      </c>
      <c r="H1140" s="1702"/>
      <c r="I1140" s="1704"/>
      <c r="J1140" s="1705" t="s">
        <v>1512</v>
      </c>
      <c r="K1140" s="1705"/>
    </row>
    <row r="1141" spans="1:11">
      <c r="A1141" s="25" t="s">
        <v>626</v>
      </c>
      <c r="B1141" s="515"/>
      <c r="C1141" s="16" t="s">
        <v>5200</v>
      </c>
      <c r="D1141" s="17" t="s">
        <v>2118</v>
      </c>
      <c r="E1141" s="18">
        <v>11490000</v>
      </c>
      <c r="F1141" s="18"/>
      <c r="G1141" s="18"/>
      <c r="H1141" s="18"/>
      <c r="I1141" s="14"/>
      <c r="J1141" s="13" t="s">
        <v>1512</v>
      </c>
    </row>
    <row r="1142" spans="1:11">
      <c r="A1142" s="25" t="s">
        <v>1073</v>
      </c>
      <c r="B1142" s="515"/>
      <c r="C1142" s="16" t="s">
        <v>3096</v>
      </c>
      <c r="D1142" s="17" t="s">
        <v>2118</v>
      </c>
      <c r="E1142" s="18">
        <v>25594000</v>
      </c>
      <c r="F1142" s="18"/>
      <c r="G1142" s="18"/>
      <c r="H1142" s="18"/>
      <c r="I1142" s="14"/>
      <c r="J1142" s="13" t="s">
        <v>1512</v>
      </c>
    </row>
    <row r="1143" spans="1:11" s="1706" customFormat="1">
      <c r="A1143" s="1697" t="s">
        <v>1215</v>
      </c>
      <c r="B1143" s="1698" t="s">
        <v>5557</v>
      </c>
      <c r="C1143" s="1699" t="s">
        <v>5556</v>
      </c>
      <c r="D1143" s="1700" t="s">
        <v>2118</v>
      </c>
      <c r="E1143" s="1701">
        <v>25594000</v>
      </c>
      <c r="F1143" s="1702"/>
      <c r="G1143" s="1703">
        <f>5*VLOOKUP("N2.40",DGNC,5)</f>
        <v>1391500</v>
      </c>
      <c r="H1143" s="1702"/>
      <c r="I1143" s="1704"/>
      <c r="J1143" s="1705" t="s">
        <v>1512</v>
      </c>
      <c r="K1143" s="1705"/>
    </row>
    <row r="1144" spans="1:11">
      <c r="A1144" s="25" t="s">
        <v>1474</v>
      </c>
      <c r="B1144" s="515"/>
      <c r="C1144" s="16" t="s">
        <v>3097</v>
      </c>
      <c r="D1144" s="17" t="s">
        <v>2118</v>
      </c>
      <c r="E1144" s="18">
        <v>28075000</v>
      </c>
      <c r="F1144" s="18"/>
      <c r="G1144" s="18"/>
      <c r="H1144" s="18"/>
      <c r="I1144" s="14"/>
      <c r="J1144" s="13" t="s">
        <v>1512</v>
      </c>
    </row>
    <row r="1145" spans="1:11">
      <c r="A1145" s="25" t="s">
        <v>1475</v>
      </c>
      <c r="B1145" s="515"/>
      <c r="C1145" s="16" t="s">
        <v>4086</v>
      </c>
      <c r="D1145" s="17" t="s">
        <v>2118</v>
      </c>
      <c r="E1145" s="18">
        <v>64843000</v>
      </c>
      <c r="F1145" s="18"/>
      <c r="G1145" s="18"/>
      <c r="H1145" s="18"/>
      <c r="I1145" s="14"/>
      <c r="J1145" s="13" t="s">
        <v>1512</v>
      </c>
    </row>
    <row r="1146" spans="1:11" s="1777" customFormat="1">
      <c r="A1146" s="1771" t="s">
        <v>148</v>
      </c>
      <c r="B1146" s="1698" t="s">
        <v>5557</v>
      </c>
      <c r="C1146" s="1773" t="s">
        <v>5776</v>
      </c>
      <c r="D1146" s="1774" t="s">
        <v>2118</v>
      </c>
      <c r="E1146" s="1701">
        <v>69655000</v>
      </c>
      <c r="F1146" s="1701"/>
      <c r="G1146" s="1703">
        <f>5*VLOOKUP("N2.40",DGNC,5)</f>
        <v>1391500</v>
      </c>
      <c r="H1146" s="1701"/>
      <c r="I1146" s="1727"/>
      <c r="J1146" s="1776" t="s">
        <v>1512</v>
      </c>
      <c r="K1146" s="1776"/>
    </row>
    <row r="1147" spans="1:11">
      <c r="A1147" s="25" t="s">
        <v>149</v>
      </c>
      <c r="B1147" s="515"/>
      <c r="C1147" s="16" t="s">
        <v>3098</v>
      </c>
      <c r="D1147" s="17" t="s">
        <v>2118</v>
      </c>
      <c r="E1147" s="18">
        <v>73430000</v>
      </c>
      <c r="F1147" s="18"/>
      <c r="G1147" s="18"/>
      <c r="H1147" s="18"/>
      <c r="I1147" s="14">
        <v>748613</v>
      </c>
      <c r="J1147" s="13" t="s">
        <v>1512</v>
      </c>
    </row>
    <row r="1148" spans="1:11">
      <c r="A1148" s="25" t="s">
        <v>1648</v>
      </c>
      <c r="B1148" s="515"/>
      <c r="C1148" s="16" t="s">
        <v>3099</v>
      </c>
      <c r="D1148" s="17" t="s">
        <v>2118</v>
      </c>
      <c r="E1148" s="18">
        <v>92824000</v>
      </c>
      <c r="F1148" s="18"/>
      <c r="G1148" s="18"/>
      <c r="H1148" s="18"/>
      <c r="I1148" s="14"/>
      <c r="J1148" s="13" t="s">
        <v>1512</v>
      </c>
    </row>
    <row r="1149" spans="1:11">
      <c r="A1149" s="25" t="s">
        <v>1190</v>
      </c>
      <c r="B1149" s="515"/>
      <c r="C1149" s="16" t="s">
        <v>5820</v>
      </c>
      <c r="D1149" s="17" t="s">
        <v>2118</v>
      </c>
      <c r="E1149" s="18">
        <v>64500000</v>
      </c>
      <c r="F1149" s="18"/>
      <c r="G1149" s="18"/>
      <c r="H1149" s="18"/>
      <c r="I1149" s="14"/>
      <c r="J1149" s="13" t="s">
        <v>1512</v>
      </c>
    </row>
    <row r="1150" spans="1:11">
      <c r="A1150" s="25" t="s">
        <v>1306</v>
      </c>
      <c r="B1150" s="515"/>
      <c r="C1150" s="16" t="s">
        <v>3100</v>
      </c>
      <c r="D1150" s="17" t="s">
        <v>2118</v>
      </c>
      <c r="E1150" s="18">
        <v>113827000</v>
      </c>
      <c r="F1150" s="18"/>
      <c r="G1150" s="18"/>
      <c r="H1150" s="18"/>
      <c r="I1150" s="14"/>
      <c r="J1150" s="13" t="s">
        <v>1512</v>
      </c>
    </row>
    <row r="1151" spans="1:11">
      <c r="A1151" s="25" t="s">
        <v>1913</v>
      </c>
      <c r="B1151" s="515"/>
      <c r="C1151" s="16" t="s">
        <v>3101</v>
      </c>
      <c r="D1151" s="17" t="s">
        <v>2118</v>
      </c>
      <c r="E1151" s="18">
        <v>145682000</v>
      </c>
      <c r="F1151" s="18"/>
      <c r="G1151" s="18"/>
      <c r="H1151" s="18"/>
      <c r="I1151" s="14"/>
      <c r="J1151" s="13" t="s">
        <v>1512</v>
      </c>
    </row>
    <row r="1152" spans="1:11">
      <c r="A1152" s="25" t="s">
        <v>1746</v>
      </c>
      <c r="B1152" s="515"/>
      <c r="C1152" s="16" t="s">
        <v>3102</v>
      </c>
      <c r="D1152" s="17" t="s">
        <v>2118</v>
      </c>
      <c r="E1152" s="18">
        <v>293540000</v>
      </c>
      <c r="F1152" s="18"/>
      <c r="G1152" s="18"/>
      <c r="H1152" s="18"/>
      <c r="I1152" s="14"/>
      <c r="J1152" s="13" t="s">
        <v>1512</v>
      </c>
    </row>
    <row r="1153" spans="1:11">
      <c r="A1153" s="25" t="s">
        <v>1318</v>
      </c>
      <c r="B1153" s="515"/>
      <c r="C1153" s="16" t="s">
        <v>3103</v>
      </c>
      <c r="D1153" s="17" t="s">
        <v>2118</v>
      </c>
      <c r="E1153" s="18">
        <v>472835000</v>
      </c>
      <c r="F1153" s="18"/>
      <c r="G1153" s="18"/>
      <c r="H1153" s="18"/>
      <c r="I1153" s="14"/>
      <c r="J1153" s="13" t="s">
        <v>1512</v>
      </c>
    </row>
    <row r="1154" spans="1:11" s="1706" customFormat="1">
      <c r="A1154" s="1697" t="s">
        <v>5686</v>
      </c>
      <c r="B1154" s="1698" t="s">
        <v>5557</v>
      </c>
      <c r="C1154" s="1699" t="s">
        <v>5687</v>
      </c>
      <c r="D1154" s="1700" t="s">
        <v>2118</v>
      </c>
      <c r="E1154" s="1701">
        <v>549444800</v>
      </c>
      <c r="F1154" s="1702"/>
      <c r="G1154" s="1703">
        <f>5*VLOOKUP("N2.40",DGNC,5)</f>
        <v>1391500</v>
      </c>
      <c r="H1154" s="1702"/>
      <c r="I1154" s="1704"/>
      <c r="J1154" s="1705" t="s">
        <v>1512</v>
      </c>
      <c r="K1154" s="1705"/>
    </row>
    <row r="1155" spans="1:11">
      <c r="A1155" s="25" t="s">
        <v>2064</v>
      </c>
      <c r="B1155" s="515"/>
      <c r="C1155" s="16" t="s">
        <v>3104</v>
      </c>
      <c r="D1155" s="17" t="s">
        <v>2118</v>
      </c>
      <c r="E1155" s="18">
        <v>567419000</v>
      </c>
      <c r="F1155" s="18"/>
      <c r="G1155" s="18"/>
      <c r="H1155" s="18"/>
      <c r="I1155" s="14"/>
      <c r="J1155" s="13" t="s">
        <v>1512</v>
      </c>
    </row>
    <row r="1156" spans="1:11">
      <c r="A1156" s="16" t="s">
        <v>1187</v>
      </c>
      <c r="B1156" s="20"/>
      <c r="C1156" s="16" t="s">
        <v>3105</v>
      </c>
      <c r="D1156" s="17" t="s">
        <v>2118</v>
      </c>
      <c r="E1156" s="18">
        <v>2580000</v>
      </c>
      <c r="F1156" s="18"/>
      <c r="G1156" s="18"/>
      <c r="H1156" s="18"/>
      <c r="I1156" s="14"/>
      <c r="J1156" s="13" t="s">
        <v>1512</v>
      </c>
    </row>
    <row r="1157" spans="1:11">
      <c r="A1157" s="16" t="s">
        <v>1293</v>
      </c>
      <c r="B1157" s="20"/>
      <c r="C1157" s="16" t="s">
        <v>3106</v>
      </c>
      <c r="D1157" s="17" t="s">
        <v>2118</v>
      </c>
      <c r="E1157" s="18">
        <v>1650000</v>
      </c>
      <c r="F1157" s="18"/>
      <c r="G1157" s="18"/>
      <c r="H1157" s="18"/>
      <c r="I1157" s="14"/>
      <c r="J1157" s="13" t="s">
        <v>1512</v>
      </c>
    </row>
    <row r="1158" spans="1:11">
      <c r="A1158" s="16" t="s">
        <v>331</v>
      </c>
      <c r="B1158" s="26"/>
      <c r="C1158" s="16" t="s">
        <v>3107</v>
      </c>
      <c r="D1158" s="20" t="s">
        <v>3108</v>
      </c>
      <c r="E1158" s="14"/>
      <c r="F1158" s="18">
        <v>84000</v>
      </c>
      <c r="G1158" s="18"/>
      <c r="H1158" s="18"/>
      <c r="I1158" s="14"/>
      <c r="J1158" s="13" t="s">
        <v>1489</v>
      </c>
    </row>
    <row r="1159" spans="1:11">
      <c r="A1159" s="16" t="s">
        <v>504</v>
      </c>
      <c r="B1159" s="26"/>
      <c r="C1159" s="16" t="s">
        <v>3109</v>
      </c>
      <c r="D1159" s="20" t="s">
        <v>3108</v>
      </c>
      <c r="E1159" s="14"/>
      <c r="F1159" s="18">
        <v>84000</v>
      </c>
      <c r="G1159" s="18"/>
      <c r="H1159" s="18"/>
      <c r="I1159" s="14"/>
      <c r="J1159" s="13" t="s">
        <v>1489</v>
      </c>
    </row>
    <row r="1160" spans="1:11">
      <c r="A1160" s="16" t="s">
        <v>1151</v>
      </c>
      <c r="B1160" s="26"/>
      <c r="C1160" s="16" t="s">
        <v>3110</v>
      </c>
      <c r="D1160" s="20" t="s">
        <v>3108</v>
      </c>
      <c r="E1160" s="14"/>
      <c r="F1160" s="18">
        <v>84000</v>
      </c>
      <c r="G1160" s="18"/>
      <c r="H1160" s="18"/>
      <c r="I1160" s="14"/>
      <c r="J1160" s="13" t="s">
        <v>1489</v>
      </c>
    </row>
    <row r="1161" spans="1:11">
      <c r="A1161" s="16" t="s">
        <v>1082</v>
      </c>
      <c r="B1161" s="26"/>
      <c r="C1161" s="16" t="s">
        <v>3111</v>
      </c>
      <c r="D1161" s="20" t="s">
        <v>3108</v>
      </c>
      <c r="E1161" s="14"/>
      <c r="F1161" s="18">
        <v>84000</v>
      </c>
      <c r="G1161" s="18"/>
      <c r="H1161" s="18"/>
      <c r="I1161" s="14"/>
      <c r="J1161" s="13" t="s">
        <v>1489</v>
      </c>
    </row>
    <row r="1162" spans="1:11">
      <c r="A1162" s="16" t="s">
        <v>1338</v>
      </c>
      <c r="B1162" s="26"/>
      <c r="C1162" s="16" t="s">
        <v>3112</v>
      </c>
      <c r="D1162" s="20" t="s">
        <v>3108</v>
      </c>
      <c r="E1162" s="14"/>
      <c r="F1162" s="18">
        <v>95000</v>
      </c>
      <c r="G1162" s="18"/>
      <c r="H1162" s="18"/>
      <c r="I1162" s="14"/>
      <c r="J1162" s="13" t="s">
        <v>1489</v>
      </c>
    </row>
    <row r="1163" spans="1:11" ht="13.8">
      <c r="A1163" s="16" t="s">
        <v>1339</v>
      </c>
      <c r="B1163" s="26"/>
      <c r="C1163" s="16" t="s">
        <v>3113</v>
      </c>
      <c r="D1163" s="20" t="s">
        <v>3108</v>
      </c>
      <c r="E1163" s="14"/>
      <c r="F1163" s="1985">
        <v>103000</v>
      </c>
      <c r="G1163" s="18"/>
      <c r="H1163" s="18"/>
      <c r="I1163" s="14"/>
      <c r="J1163" s="13" t="s">
        <v>1489</v>
      </c>
    </row>
    <row r="1164" spans="1:11">
      <c r="A1164" s="16" t="s">
        <v>1091</v>
      </c>
      <c r="B1164" s="26"/>
      <c r="C1164" s="16" t="s">
        <v>3114</v>
      </c>
      <c r="D1164" s="20" t="s">
        <v>3108</v>
      </c>
      <c r="E1164" s="14"/>
      <c r="F1164" s="18">
        <v>110000</v>
      </c>
      <c r="G1164" s="18"/>
      <c r="H1164" s="18"/>
      <c r="I1164" s="14"/>
      <c r="J1164" s="13" t="s">
        <v>1489</v>
      </c>
    </row>
    <row r="1165" spans="1:11">
      <c r="A1165" s="16" t="s">
        <v>1337</v>
      </c>
      <c r="B1165" s="26"/>
      <c r="C1165" s="16" t="s">
        <v>3115</v>
      </c>
      <c r="D1165" s="20" t="s">
        <v>3108</v>
      </c>
      <c r="E1165" s="14"/>
      <c r="F1165" s="18">
        <v>116000</v>
      </c>
      <c r="G1165" s="18"/>
      <c r="H1165" s="18"/>
      <c r="I1165" s="14"/>
      <c r="J1165" s="13" t="s">
        <v>1489</v>
      </c>
    </row>
    <row r="1166" spans="1:11">
      <c r="A1166" s="16" t="s">
        <v>1340</v>
      </c>
      <c r="B1166" s="26"/>
      <c r="C1166" s="16" t="s">
        <v>3116</v>
      </c>
      <c r="D1166" s="20" t="s">
        <v>3108</v>
      </c>
      <c r="E1166" s="14"/>
      <c r="F1166" s="18">
        <v>132000</v>
      </c>
      <c r="G1166" s="18"/>
      <c r="H1166" s="18"/>
      <c r="I1166" s="14"/>
      <c r="J1166" s="13" t="s">
        <v>1489</v>
      </c>
    </row>
    <row r="1167" spans="1:11">
      <c r="A1167" s="16" t="s">
        <v>1341</v>
      </c>
      <c r="B1167" s="26"/>
      <c r="C1167" s="16" t="s">
        <v>3117</v>
      </c>
      <c r="D1167" s="20" t="s">
        <v>3108</v>
      </c>
      <c r="E1167" s="14"/>
      <c r="F1167" s="18">
        <v>132000</v>
      </c>
      <c r="G1167" s="18"/>
      <c r="H1167" s="18"/>
      <c r="I1167" s="14"/>
      <c r="J1167" s="13" t="s">
        <v>1489</v>
      </c>
    </row>
    <row r="1168" spans="1:11">
      <c r="A1168" s="16" t="s">
        <v>1072</v>
      </c>
      <c r="B1168" s="26"/>
      <c r="C1168" s="16" t="s">
        <v>3118</v>
      </c>
      <c r="D1168" s="20" t="s">
        <v>3108</v>
      </c>
      <c r="E1168" s="14"/>
      <c r="F1168" s="18">
        <v>132000</v>
      </c>
      <c r="G1168" s="18"/>
      <c r="H1168" s="18"/>
      <c r="I1168" s="14"/>
      <c r="J1168" s="13" t="s">
        <v>1489</v>
      </c>
    </row>
    <row r="1169" spans="1:11">
      <c r="A1169" s="16" t="s">
        <v>1234</v>
      </c>
      <c r="B1169" s="26"/>
      <c r="C1169" s="16" t="s">
        <v>3119</v>
      </c>
      <c r="D1169" s="20" t="s">
        <v>3108</v>
      </c>
      <c r="E1169" s="14"/>
      <c r="F1169" s="18">
        <v>120000</v>
      </c>
      <c r="G1169" s="18"/>
      <c r="H1169" s="18"/>
      <c r="I1169" s="14"/>
      <c r="J1169" s="13" t="s">
        <v>1489</v>
      </c>
    </row>
    <row r="1170" spans="1:11">
      <c r="A1170" s="16" t="s">
        <v>721</v>
      </c>
      <c r="B1170" s="26"/>
      <c r="C1170" s="16" t="s">
        <v>3120</v>
      </c>
      <c r="D1170" s="20" t="s">
        <v>3108</v>
      </c>
      <c r="E1170" s="14"/>
      <c r="F1170" s="18">
        <v>113000</v>
      </c>
      <c r="G1170" s="18"/>
      <c r="H1170" s="18"/>
      <c r="I1170" s="14"/>
      <c r="J1170" s="13" t="s">
        <v>1489</v>
      </c>
    </row>
    <row r="1171" spans="1:11" s="1696" customFormat="1">
      <c r="A1171" s="1690" t="s">
        <v>948</v>
      </c>
      <c r="B1171" s="1691"/>
      <c r="C1171" s="1690" t="s">
        <v>3121</v>
      </c>
      <c r="D1171" s="1692" t="s">
        <v>3108</v>
      </c>
      <c r="E1171" s="1693"/>
      <c r="F1171" s="1694">
        <v>225000</v>
      </c>
      <c r="G1171" s="1694"/>
      <c r="H1171" s="1694"/>
      <c r="I1171" s="1693"/>
      <c r="J1171" s="1695" t="s">
        <v>1489</v>
      </c>
    </row>
    <row r="1172" spans="1:11" s="1696" customFormat="1">
      <c r="A1172" s="1690" t="s">
        <v>5552</v>
      </c>
      <c r="B1172" s="1691"/>
      <c r="C1172" s="1690" t="s">
        <v>5553</v>
      </c>
      <c r="D1172" s="1692" t="s">
        <v>2118</v>
      </c>
      <c r="E1172" s="1693"/>
      <c r="F1172" s="1694">
        <v>1150000</v>
      </c>
      <c r="G1172" s="1694"/>
      <c r="H1172" s="1694"/>
      <c r="I1172" s="1693"/>
      <c r="J1172" s="1695" t="s">
        <v>1489</v>
      </c>
      <c r="K1172" s="1696">
        <f>0.4*26</f>
        <v>10.4</v>
      </c>
    </row>
    <row r="1173" spans="1:11" s="1696" customFormat="1">
      <c r="A1173" s="1690" t="s">
        <v>5730</v>
      </c>
      <c r="B1173" s="1691"/>
      <c r="C1173" s="1690" t="s">
        <v>5731</v>
      </c>
      <c r="D1173" s="1692" t="s">
        <v>2118</v>
      </c>
      <c r="E1173" s="1693"/>
      <c r="F1173" s="1694">
        <v>1500000</v>
      </c>
      <c r="G1173" s="1694"/>
      <c r="H1173" s="1694"/>
      <c r="I1173" s="1693"/>
      <c r="J1173" s="1695" t="s">
        <v>1489</v>
      </c>
      <c r="K1173" s="1696">
        <f>0.4*26</f>
        <v>10.4</v>
      </c>
    </row>
    <row r="1174" spans="1:11" ht="14.4">
      <c r="A1174" s="22" t="s">
        <v>4612</v>
      </c>
      <c r="B1174" s="26"/>
      <c r="C1174" s="16" t="s">
        <v>5201</v>
      </c>
      <c r="D1174" s="17" t="s">
        <v>866</v>
      </c>
      <c r="E1174" s="14"/>
      <c r="F1174" s="1985">
        <v>135000</v>
      </c>
      <c r="G1174" s="18"/>
      <c r="H1174" s="18"/>
      <c r="I1174" s="14"/>
      <c r="J1174" s="13"/>
    </row>
    <row r="1175" spans="1:11">
      <c r="A1175" s="22" t="s">
        <v>4609</v>
      </c>
      <c r="B1175" s="26"/>
      <c r="C1175" s="16" t="s">
        <v>5801</v>
      </c>
      <c r="D1175" s="17" t="s">
        <v>3129</v>
      </c>
      <c r="E1175" s="14"/>
      <c r="F1175" s="18">
        <v>25000</v>
      </c>
      <c r="G1175" s="18"/>
      <c r="H1175" s="18"/>
      <c r="I1175" s="14"/>
      <c r="J1175" s="13"/>
    </row>
    <row r="1176" spans="1:11">
      <c r="A1176" s="16" t="s">
        <v>2144</v>
      </c>
      <c r="B1176" s="26"/>
      <c r="C1176" s="16" t="s">
        <v>2145</v>
      </c>
      <c r="D1176" s="17" t="s">
        <v>2118</v>
      </c>
      <c r="E1176" s="14"/>
      <c r="F1176" s="18">
        <f>110800+107400</f>
        <v>218200</v>
      </c>
      <c r="G1176" s="18"/>
      <c r="H1176" s="18"/>
      <c r="I1176" s="14"/>
      <c r="J1176" s="13" t="s">
        <v>1638</v>
      </c>
    </row>
    <row r="1177" spans="1:11">
      <c r="A1177" s="16" t="s">
        <v>2117</v>
      </c>
      <c r="B1177" s="26"/>
      <c r="C1177" s="16" t="s">
        <v>2120</v>
      </c>
      <c r="D1177" s="17" t="s">
        <v>2118</v>
      </c>
      <c r="E1177" s="14"/>
      <c r="F1177" s="18">
        <v>154000</v>
      </c>
      <c r="G1177" s="18"/>
      <c r="H1177" s="18"/>
      <c r="I1177" s="14"/>
      <c r="J1177" s="13" t="s">
        <v>1638</v>
      </c>
    </row>
    <row r="1178" spans="1:11">
      <c r="A1178" s="16" t="s">
        <v>2119</v>
      </c>
      <c r="B1178" s="26"/>
      <c r="C1178" s="16" t="s">
        <v>2120</v>
      </c>
      <c r="D1178" s="17" t="s">
        <v>2118</v>
      </c>
      <c r="E1178" s="14"/>
      <c r="F1178" s="18">
        <v>154000</v>
      </c>
      <c r="G1178" s="18"/>
      <c r="H1178" s="18"/>
      <c r="I1178" s="14"/>
      <c r="J1178" s="13" t="s">
        <v>1638</v>
      </c>
    </row>
    <row r="1179" spans="1:11">
      <c r="A1179" s="16" t="s">
        <v>4501</v>
      </c>
      <c r="B1179" s="26"/>
      <c r="C1179" s="16" t="s">
        <v>4502</v>
      </c>
      <c r="D1179" s="17" t="s">
        <v>3129</v>
      </c>
      <c r="E1179" s="14"/>
      <c r="F1179" s="18">
        <v>136800</v>
      </c>
      <c r="G1179" s="18"/>
      <c r="H1179" s="18"/>
      <c r="I1179" s="14"/>
      <c r="J1179" s="13"/>
    </row>
    <row r="1180" spans="1:11">
      <c r="A1180" s="16" t="s">
        <v>2121</v>
      </c>
      <c r="B1180" s="26"/>
      <c r="C1180" s="16" t="s">
        <v>2122</v>
      </c>
      <c r="D1180" s="17" t="s">
        <v>2118</v>
      </c>
      <c r="E1180" s="14"/>
      <c r="F1180" s="18">
        <v>39100</v>
      </c>
      <c r="G1180" s="18"/>
      <c r="H1180" s="18"/>
      <c r="I1180" s="14"/>
      <c r="J1180" s="13" t="s">
        <v>1638</v>
      </c>
    </row>
    <row r="1181" spans="1:11">
      <c r="A1181" s="16" t="s">
        <v>2123</v>
      </c>
      <c r="B1181" s="26"/>
      <c r="C1181" s="16" t="s">
        <v>3385</v>
      </c>
      <c r="D1181" s="17" t="s">
        <v>2118</v>
      </c>
      <c r="E1181" s="14"/>
      <c r="F1181" s="18">
        <v>56700</v>
      </c>
      <c r="G1181" s="18"/>
      <c r="H1181" s="18"/>
      <c r="I1181" s="14"/>
      <c r="J1181" s="13" t="s">
        <v>1638</v>
      </c>
    </row>
    <row r="1182" spans="1:11">
      <c r="A1182" s="16" t="s">
        <v>210</v>
      </c>
      <c r="B1182" s="20"/>
      <c r="C1182" s="16" t="s">
        <v>3122</v>
      </c>
      <c r="D1182" s="17" t="s">
        <v>2118</v>
      </c>
      <c r="E1182" s="14"/>
      <c r="F1182" s="18"/>
      <c r="G1182" s="18"/>
      <c r="H1182" s="18"/>
      <c r="I1182" s="14"/>
      <c r="J1182" s="13" t="s">
        <v>610</v>
      </c>
    </row>
    <row r="1183" spans="1:11">
      <c r="A1183" s="16" t="s">
        <v>465</v>
      </c>
      <c r="B1183" s="20"/>
      <c r="C1183" s="16" t="s">
        <v>3123</v>
      </c>
      <c r="D1183" s="17" t="s">
        <v>2118</v>
      </c>
      <c r="E1183" s="14"/>
      <c r="F1183" s="18"/>
      <c r="G1183" s="18"/>
      <c r="H1183" s="18"/>
      <c r="I1183" s="14"/>
      <c r="J1183" s="13" t="s">
        <v>610</v>
      </c>
    </row>
    <row r="1184" spans="1:11">
      <c r="A1184" s="16" t="s">
        <v>306</v>
      </c>
      <c r="B1184" s="20"/>
      <c r="C1184" s="16" t="s">
        <v>3124</v>
      </c>
      <c r="D1184" s="17" t="s">
        <v>2118</v>
      </c>
      <c r="E1184" s="14"/>
      <c r="F1184" s="18"/>
      <c r="G1184" s="18"/>
      <c r="H1184" s="18"/>
      <c r="I1184" s="14"/>
      <c r="J1184" s="13" t="s">
        <v>610</v>
      </c>
    </row>
    <row r="1185" spans="1:10">
      <c r="A1185" s="16" t="s">
        <v>1387</v>
      </c>
      <c r="B1185" s="20"/>
      <c r="C1185" s="16" t="s">
        <v>3125</v>
      </c>
      <c r="D1185" s="17" t="s">
        <v>2118</v>
      </c>
      <c r="E1185" s="14"/>
      <c r="F1185" s="18"/>
      <c r="G1185" s="18"/>
      <c r="H1185" s="18"/>
      <c r="I1185" s="14"/>
      <c r="J1185" s="13" t="s">
        <v>610</v>
      </c>
    </row>
    <row r="1186" spans="1:10">
      <c r="A1186" s="16" t="s">
        <v>307</v>
      </c>
      <c r="B1186" s="515"/>
      <c r="C1186" s="16" t="s">
        <v>3126</v>
      </c>
      <c r="D1186" s="17" t="s">
        <v>2118</v>
      </c>
      <c r="E1186" s="14"/>
      <c r="F1186" s="14"/>
      <c r="G1186" s="18"/>
      <c r="H1186" s="18"/>
      <c r="I1186" s="14"/>
      <c r="J1186" s="13" t="s">
        <v>610</v>
      </c>
    </row>
    <row r="1187" spans="1:10">
      <c r="A1187" s="16" t="s">
        <v>1873</v>
      </c>
      <c r="B1187" s="20"/>
      <c r="C1187" s="16" t="s">
        <v>5790</v>
      </c>
      <c r="D1187" s="17" t="s">
        <v>2118</v>
      </c>
      <c r="E1187" s="14"/>
      <c r="F1187" s="14"/>
      <c r="G1187" s="18"/>
      <c r="H1187" s="18"/>
      <c r="I1187" s="14"/>
      <c r="J1187" s="13" t="s">
        <v>610</v>
      </c>
    </row>
    <row r="1188" spans="1:10">
      <c r="A1188" s="16" t="s">
        <v>1408</v>
      </c>
      <c r="B1188" s="515"/>
      <c r="C1188" s="16" t="s">
        <v>3127</v>
      </c>
      <c r="D1188" s="17" t="s">
        <v>2118</v>
      </c>
      <c r="E1188" s="14"/>
      <c r="F1188" s="18"/>
      <c r="G1188" s="18"/>
      <c r="H1188" s="18"/>
      <c r="I1188" s="14"/>
      <c r="J1188" s="13" t="s">
        <v>610</v>
      </c>
    </row>
    <row r="1189" spans="1:10">
      <c r="A1189" s="16" t="s">
        <v>5202</v>
      </c>
      <c r="B1189" s="515"/>
      <c r="C1189" s="16" t="s">
        <v>5203</v>
      </c>
      <c r="D1189" s="17" t="s">
        <v>2118</v>
      </c>
      <c r="E1189" s="14"/>
      <c r="F1189" s="18">
        <v>50000</v>
      </c>
      <c r="G1189" s="18"/>
      <c r="H1189" s="18"/>
      <c r="I1189" s="14"/>
      <c r="J1189" s="13" t="s">
        <v>956</v>
      </c>
    </row>
    <row r="1190" spans="1:10">
      <c r="A1190" s="16" t="s">
        <v>888</v>
      </c>
      <c r="B1190" s="515"/>
      <c r="C1190" s="16" t="s">
        <v>4622</v>
      </c>
      <c r="D1190" s="17" t="s">
        <v>2118</v>
      </c>
      <c r="E1190" s="14"/>
      <c r="F1190" s="18">
        <v>300000</v>
      </c>
      <c r="G1190" s="18"/>
      <c r="H1190" s="18"/>
      <c r="I1190" s="14"/>
      <c r="J1190" s="13" t="s">
        <v>956</v>
      </c>
    </row>
    <row r="1191" spans="1:10">
      <c r="A1191" s="16" t="s">
        <v>211</v>
      </c>
      <c r="B1191" s="26"/>
      <c r="C1191" s="514" t="s">
        <v>3128</v>
      </c>
      <c r="D1191" s="17" t="s">
        <v>3129</v>
      </c>
      <c r="E1191" s="14"/>
      <c r="F1191" s="18"/>
      <c r="G1191" s="18">
        <v>1500000</v>
      </c>
      <c r="H1191" s="18"/>
      <c r="I1191" s="14"/>
      <c r="J1191" s="13" t="s">
        <v>1457</v>
      </c>
    </row>
    <row r="1192" spans="1:10">
      <c r="A1192" s="16" t="s">
        <v>3758</v>
      </c>
      <c r="B1192" s="26"/>
      <c r="C1192" s="514" t="s">
        <v>3130</v>
      </c>
      <c r="D1192" s="17" t="s">
        <v>3129</v>
      </c>
      <c r="E1192" s="14"/>
      <c r="F1192" s="18"/>
      <c r="G1192" s="18">
        <v>2500000</v>
      </c>
      <c r="H1192" s="18"/>
      <c r="I1192" s="14"/>
      <c r="J1192" s="13" t="s">
        <v>1457</v>
      </c>
    </row>
    <row r="1193" spans="1:10">
      <c r="A1193" s="16" t="s">
        <v>792</v>
      </c>
      <c r="B1193" s="515">
        <v>42301</v>
      </c>
      <c r="C1193" s="514" t="s">
        <v>3131</v>
      </c>
      <c r="D1193" s="17" t="s">
        <v>2118</v>
      </c>
      <c r="E1193" s="14"/>
      <c r="F1193" s="18">
        <v>150000</v>
      </c>
      <c r="G1193" s="18">
        <v>9726</v>
      </c>
      <c r="H1193" s="18"/>
      <c r="I1193" s="14"/>
      <c r="J1193" s="13" t="s">
        <v>2569</v>
      </c>
    </row>
    <row r="1194" spans="1:10">
      <c r="A1194" s="16" t="s">
        <v>1776</v>
      </c>
      <c r="B1194" s="26"/>
      <c r="C1194" s="514" t="s">
        <v>3132</v>
      </c>
      <c r="D1194" s="17" t="s">
        <v>2226</v>
      </c>
      <c r="E1194" s="14"/>
      <c r="F1194" s="18">
        <v>145890</v>
      </c>
      <c r="G1194" s="18"/>
      <c r="H1194" s="18"/>
      <c r="I1194" s="14"/>
      <c r="J1194" s="13" t="s">
        <v>1457</v>
      </c>
    </row>
    <row r="1195" spans="1:10">
      <c r="A1195" s="16" t="s">
        <v>896</v>
      </c>
      <c r="B1195" s="26"/>
      <c r="C1195" s="514" t="s">
        <v>3133</v>
      </c>
      <c r="D1195" s="17" t="s">
        <v>2226</v>
      </c>
      <c r="E1195" s="14"/>
      <c r="F1195" s="18">
        <v>150000</v>
      </c>
      <c r="G1195" s="18"/>
      <c r="H1195" s="18"/>
      <c r="I1195" s="14"/>
      <c r="J1195" s="13" t="s">
        <v>1457</v>
      </c>
    </row>
    <row r="1196" spans="1:10">
      <c r="A1196" s="16" t="s">
        <v>1245</v>
      </c>
      <c r="B1196" s="515">
        <v>42201</v>
      </c>
      <c r="C1196" s="514" t="s">
        <v>3134</v>
      </c>
      <c r="D1196" s="17" t="s">
        <v>2226</v>
      </c>
      <c r="E1196" s="14"/>
      <c r="F1196" s="18">
        <v>58000</v>
      </c>
      <c r="G1196" s="18">
        <v>3529</v>
      </c>
      <c r="H1196" s="18"/>
      <c r="I1196" s="14"/>
      <c r="J1196" s="13" t="s">
        <v>2569</v>
      </c>
    </row>
    <row r="1197" spans="1:10">
      <c r="A1197" s="16" t="s">
        <v>1975</v>
      </c>
      <c r="B1197" s="26" t="s">
        <v>1976</v>
      </c>
      <c r="C1197" s="514" t="s">
        <v>3135</v>
      </c>
      <c r="D1197" s="17" t="s">
        <v>866</v>
      </c>
      <c r="E1197" s="14"/>
      <c r="F1197" s="18">
        <v>78000</v>
      </c>
      <c r="G1197" s="18">
        <v>3028</v>
      </c>
      <c r="H1197" s="18">
        <v>353</v>
      </c>
      <c r="I1197" s="14"/>
      <c r="J1197" s="13" t="s">
        <v>1499</v>
      </c>
    </row>
    <row r="1198" spans="1:10">
      <c r="A1198" s="16" t="s">
        <v>1430</v>
      </c>
      <c r="B1198" s="26" t="s">
        <v>1976</v>
      </c>
      <c r="C1198" s="514" t="s">
        <v>3136</v>
      </c>
      <c r="D1198" s="17" t="s">
        <v>866</v>
      </c>
      <c r="E1198" s="14"/>
      <c r="F1198" s="18">
        <v>78000</v>
      </c>
      <c r="G1198" s="18">
        <v>3028</v>
      </c>
      <c r="H1198" s="18">
        <v>353</v>
      </c>
      <c r="I1198" s="14"/>
      <c r="J1198" s="13" t="s">
        <v>1499</v>
      </c>
    </row>
    <row r="1199" spans="1:10">
      <c r="A1199" s="16" t="s">
        <v>1431</v>
      </c>
      <c r="B1199" s="26" t="s">
        <v>1643</v>
      </c>
      <c r="C1199" s="514" t="s">
        <v>3137</v>
      </c>
      <c r="D1199" s="17" t="s">
        <v>866</v>
      </c>
      <c r="E1199" s="14"/>
      <c r="F1199" s="18">
        <v>40000</v>
      </c>
      <c r="G1199" s="18">
        <v>2163</v>
      </c>
      <c r="H1199" s="18">
        <v>353</v>
      </c>
      <c r="I1199" s="14"/>
      <c r="J1199" s="13" t="s">
        <v>1499</v>
      </c>
    </row>
    <row r="1200" spans="1:10">
      <c r="A1200" s="16" t="s">
        <v>1272</v>
      </c>
      <c r="B1200" s="26"/>
      <c r="C1200" s="514" t="s">
        <v>3138</v>
      </c>
      <c r="D1200" s="17" t="s">
        <v>2226</v>
      </c>
      <c r="E1200" s="14"/>
      <c r="F1200" s="18">
        <v>224832</v>
      </c>
      <c r="G1200" s="18">
        <v>3635</v>
      </c>
      <c r="H1200" s="18">
        <v>6321</v>
      </c>
      <c r="I1200" s="14"/>
      <c r="J1200" s="13" t="s">
        <v>1457</v>
      </c>
    </row>
    <row r="1201" spans="1:10">
      <c r="A1201" s="16" t="s">
        <v>979</v>
      </c>
      <c r="B1201" s="26"/>
      <c r="C1201" s="514" t="s">
        <v>3138</v>
      </c>
      <c r="D1201" s="17" t="s">
        <v>2226</v>
      </c>
      <c r="E1201" s="14"/>
      <c r="F1201" s="18">
        <v>1485126</v>
      </c>
      <c r="G1201" s="18">
        <v>40778</v>
      </c>
      <c r="H1201" s="18">
        <v>70906</v>
      </c>
      <c r="I1201" s="14"/>
      <c r="J1201" s="13" t="s">
        <v>1457</v>
      </c>
    </row>
    <row r="1202" spans="1:10">
      <c r="A1202" s="16" t="s">
        <v>1146</v>
      </c>
      <c r="B1202" s="26"/>
      <c r="C1202" s="514" t="s">
        <v>3138</v>
      </c>
      <c r="D1202" s="17" t="s">
        <v>2226</v>
      </c>
      <c r="E1202" s="14"/>
      <c r="F1202" s="18">
        <v>1737562</v>
      </c>
      <c r="G1202" s="18">
        <v>49598</v>
      </c>
      <c r="H1202" s="18">
        <v>86243</v>
      </c>
      <c r="I1202" s="14"/>
      <c r="J1202" s="13" t="s">
        <v>1457</v>
      </c>
    </row>
    <row r="1203" spans="1:10">
      <c r="A1203" s="16" t="s">
        <v>947</v>
      </c>
      <c r="B1203" s="26"/>
      <c r="C1203" s="514" t="s">
        <v>3138</v>
      </c>
      <c r="D1203" s="17" t="s">
        <v>2226</v>
      </c>
      <c r="E1203" s="14"/>
      <c r="F1203" s="18">
        <v>9642295</v>
      </c>
      <c r="G1203" s="18">
        <v>2733889</v>
      </c>
      <c r="H1203" s="18"/>
      <c r="I1203" s="14"/>
      <c r="J1203" s="13" t="s">
        <v>1457</v>
      </c>
    </row>
    <row r="1204" spans="1:10">
      <c r="A1204" s="16" t="s">
        <v>763</v>
      </c>
      <c r="B1204" s="26"/>
      <c r="C1204" s="514" t="s">
        <v>3139</v>
      </c>
      <c r="D1204" s="17" t="s">
        <v>2226</v>
      </c>
      <c r="E1204" s="14"/>
      <c r="F1204" s="18">
        <v>2739748</v>
      </c>
      <c r="G1204" s="18">
        <v>51183</v>
      </c>
      <c r="H1204" s="18">
        <v>89000</v>
      </c>
      <c r="I1204" s="14"/>
      <c r="J1204" s="13" t="s">
        <v>1457</v>
      </c>
    </row>
    <row r="1205" spans="1:10">
      <c r="A1205" s="16" t="s">
        <v>1314</v>
      </c>
      <c r="B1205" s="26"/>
      <c r="C1205" s="514" t="s">
        <v>3140</v>
      </c>
      <c r="D1205" s="17" t="s">
        <v>2226</v>
      </c>
      <c r="E1205" s="14"/>
      <c r="F1205" s="18">
        <v>939812</v>
      </c>
      <c r="G1205" s="18">
        <v>14415</v>
      </c>
      <c r="H1205" s="18">
        <v>25065</v>
      </c>
      <c r="I1205" s="14"/>
      <c r="J1205" s="13" t="s">
        <v>1457</v>
      </c>
    </row>
    <row r="1206" spans="1:10">
      <c r="A1206" s="16" t="s">
        <v>1315</v>
      </c>
      <c r="B1206" s="515"/>
      <c r="C1206" s="514" t="s">
        <v>3140</v>
      </c>
      <c r="D1206" s="17" t="s">
        <v>2226</v>
      </c>
      <c r="E1206" s="14"/>
      <c r="F1206" s="18">
        <v>1020708</v>
      </c>
      <c r="G1206" s="18">
        <v>28461</v>
      </c>
      <c r="H1206" s="18">
        <v>49488</v>
      </c>
      <c r="I1206" s="14"/>
      <c r="J1206" s="13" t="s">
        <v>1457</v>
      </c>
    </row>
    <row r="1207" spans="1:10">
      <c r="A1207" s="16" t="s">
        <v>1247</v>
      </c>
      <c r="B1207" s="515"/>
      <c r="C1207" s="514" t="s">
        <v>3140</v>
      </c>
      <c r="D1207" s="17" t="s">
        <v>2226</v>
      </c>
      <c r="E1207" s="14"/>
      <c r="F1207" s="18">
        <v>350000</v>
      </c>
      <c r="G1207" s="18">
        <v>21761</v>
      </c>
      <c r="H1207" s="18">
        <v>37840</v>
      </c>
      <c r="I1207" s="14"/>
      <c r="J1207" s="13" t="s">
        <v>1457</v>
      </c>
    </row>
    <row r="1208" spans="1:10">
      <c r="A1208" s="16" t="s">
        <v>380</v>
      </c>
      <c r="B1208" s="515"/>
      <c r="C1208" s="514" t="s">
        <v>3140</v>
      </c>
      <c r="D1208" s="17" t="s">
        <v>2226</v>
      </c>
      <c r="E1208" s="14"/>
      <c r="F1208" s="18">
        <v>3297534</v>
      </c>
      <c r="G1208" s="18"/>
      <c r="H1208" s="18"/>
      <c r="I1208" s="14"/>
      <c r="J1208" s="13" t="s">
        <v>1457</v>
      </c>
    </row>
    <row r="1209" spans="1:10">
      <c r="A1209" s="16" t="s">
        <v>133</v>
      </c>
      <c r="B1209" s="515"/>
      <c r="C1209" s="514" t="s">
        <v>3140</v>
      </c>
      <c r="D1209" s="17" t="s">
        <v>2304</v>
      </c>
      <c r="E1209" s="14"/>
      <c r="F1209" s="18">
        <v>1366432</v>
      </c>
      <c r="G1209" s="18">
        <v>19894</v>
      </c>
      <c r="H1209" s="18">
        <v>34593</v>
      </c>
      <c r="I1209" s="14"/>
      <c r="J1209" s="13" t="s">
        <v>1457</v>
      </c>
    </row>
    <row r="1210" spans="1:10">
      <c r="A1210" s="16" t="s">
        <v>402</v>
      </c>
      <c r="B1210" s="515"/>
      <c r="C1210" s="514" t="s">
        <v>3140</v>
      </c>
      <c r="D1210" s="17" t="s">
        <v>2226</v>
      </c>
      <c r="E1210" s="14"/>
      <c r="F1210" s="18">
        <v>6367388</v>
      </c>
      <c r="G1210" s="18">
        <v>202086</v>
      </c>
      <c r="H1210" s="18">
        <v>351394</v>
      </c>
      <c r="I1210" s="14"/>
      <c r="J1210" s="13" t="s">
        <v>1457</v>
      </c>
    </row>
    <row r="1211" spans="1:10" ht="13.8">
      <c r="A1211" s="16" t="s">
        <v>212</v>
      </c>
      <c r="B1211" s="668"/>
      <c r="C1211" s="514" t="s">
        <v>3141</v>
      </c>
      <c r="D1211" s="17" t="s">
        <v>3142</v>
      </c>
      <c r="E1211" s="14"/>
      <c r="F1211" s="18">
        <v>563000</v>
      </c>
      <c r="G1211" s="2011"/>
      <c r="H1211" s="18"/>
      <c r="I1211" s="14"/>
      <c r="J1211" s="13" t="s">
        <v>1457</v>
      </c>
    </row>
    <row r="1212" spans="1:10" ht="13.8">
      <c r="A1212" s="16" t="s">
        <v>1147</v>
      </c>
      <c r="B1212" s="668"/>
      <c r="C1212" s="514" t="s">
        <v>3143</v>
      </c>
      <c r="D1212" s="17" t="s">
        <v>3142</v>
      </c>
      <c r="E1212" s="14"/>
      <c r="F1212" s="1989">
        <v>784000</v>
      </c>
      <c r="G1212" s="2011"/>
      <c r="H1212" s="18"/>
      <c r="I1212" s="14"/>
      <c r="J1212" s="13" t="s">
        <v>1457</v>
      </c>
    </row>
    <row r="1213" spans="1:10" ht="13.8">
      <c r="A1213" s="16" t="s">
        <v>213</v>
      </c>
      <c r="B1213" s="668"/>
      <c r="C1213" s="514" t="s">
        <v>3144</v>
      </c>
      <c r="D1213" s="17" t="s">
        <v>3142</v>
      </c>
      <c r="E1213" s="14"/>
      <c r="F1213" s="18">
        <v>1470000</v>
      </c>
      <c r="G1213" s="2011"/>
      <c r="H1213" s="18"/>
      <c r="I1213" s="14"/>
      <c r="J1213" s="13" t="s">
        <v>1457</v>
      </c>
    </row>
    <row r="1214" spans="1:10" ht="13.8">
      <c r="A1214" s="16" t="s">
        <v>960</v>
      </c>
      <c r="B1214" s="668"/>
      <c r="C1214" s="514" t="s">
        <v>4987</v>
      </c>
      <c r="D1214" s="17" t="s">
        <v>3142</v>
      </c>
      <c r="E1214" s="14"/>
      <c r="F1214" s="18">
        <v>1540000</v>
      </c>
      <c r="G1214" s="2011"/>
      <c r="H1214" s="18"/>
      <c r="I1214" s="14"/>
      <c r="J1214" s="13" t="s">
        <v>1457</v>
      </c>
    </row>
    <row r="1215" spans="1:10" ht="13.8">
      <c r="A1215" s="16" t="s">
        <v>5204</v>
      </c>
      <c r="B1215" s="668"/>
      <c r="C1215" s="514" t="s">
        <v>5205</v>
      </c>
      <c r="D1215" s="17" t="s">
        <v>3142</v>
      </c>
      <c r="E1215" s="14"/>
      <c r="F1215" s="18">
        <v>1540000</v>
      </c>
      <c r="G1215" s="2011"/>
      <c r="H1215" s="18"/>
      <c r="I1215" s="14"/>
      <c r="J1215" s="13" t="s">
        <v>1457</v>
      </c>
    </row>
    <row r="1216" spans="1:10" ht="13.8">
      <c r="A1216" s="16" t="s">
        <v>4960</v>
      </c>
      <c r="B1216" s="1598" t="s">
        <v>5074</v>
      </c>
      <c r="C1216" s="514" t="s">
        <v>5206</v>
      </c>
      <c r="D1216" s="17" t="s">
        <v>3142</v>
      </c>
      <c r="E1216" s="14"/>
      <c r="F1216" s="18"/>
      <c r="G1216" s="2003">
        <v>2025</v>
      </c>
      <c r="H1216" s="18"/>
      <c r="I1216" s="14"/>
      <c r="J1216" s="13" t="s">
        <v>1457</v>
      </c>
    </row>
    <row r="1217" spans="1:11">
      <c r="A1217" s="16" t="s">
        <v>4596</v>
      </c>
      <c r="B1217" s="668" t="s">
        <v>1233</v>
      </c>
      <c r="C1217" s="514" t="s">
        <v>4595</v>
      </c>
      <c r="D1217" s="17" t="s">
        <v>3142</v>
      </c>
      <c r="E1217" s="14"/>
      <c r="F1217" s="18">
        <v>1470000</v>
      </c>
      <c r="G1217" s="18">
        <v>26506</v>
      </c>
      <c r="H1217" s="18"/>
      <c r="I1217" s="14"/>
      <c r="J1217" s="13" t="s">
        <v>1457</v>
      </c>
    </row>
    <row r="1218" spans="1:11" s="1713" customFormat="1">
      <c r="A1218" s="1707" t="s">
        <v>255</v>
      </c>
      <c r="B1218" s="1708" t="s">
        <v>5208</v>
      </c>
      <c r="C1218" s="1757" t="s">
        <v>3145</v>
      </c>
      <c r="D1218" s="1709" t="s">
        <v>2118</v>
      </c>
      <c r="E1218" s="1710"/>
      <c r="F1218" s="1720">
        <v>9100</v>
      </c>
      <c r="G1218" s="1720">
        <f>0.2/10*VLOOKUP("N2.45",DGNC,5)</f>
        <v>6062.26</v>
      </c>
      <c r="H1218" s="1720">
        <v>2777.0232475000003</v>
      </c>
      <c r="I1218" s="2012"/>
      <c r="J1218" s="1712" t="s">
        <v>1489</v>
      </c>
      <c r="K1218" s="1712"/>
    </row>
    <row r="1219" spans="1:11" s="1713" customFormat="1">
      <c r="A1219" s="1707" t="s">
        <v>1077</v>
      </c>
      <c r="B1219" s="1708" t="s">
        <v>5208</v>
      </c>
      <c r="C1219" s="1757" t="s">
        <v>3146</v>
      </c>
      <c r="D1219" s="1709" t="s">
        <v>2118</v>
      </c>
      <c r="E1219" s="1710"/>
      <c r="F1219" s="1720">
        <v>9800</v>
      </c>
      <c r="G1219" s="1720">
        <f>0.2/10*VLOOKUP("N2.45",DGNC,5)</f>
        <v>6062.26</v>
      </c>
      <c r="H1219" s="1720">
        <v>2777.0232475000003</v>
      </c>
      <c r="I1219" s="2012"/>
      <c r="J1219" s="1712" t="s">
        <v>1489</v>
      </c>
      <c r="K1219" s="1712"/>
    </row>
    <row r="1220" spans="1:11" s="1713" customFormat="1">
      <c r="A1220" s="1707" t="s">
        <v>2057</v>
      </c>
      <c r="B1220" s="1708" t="s">
        <v>5210</v>
      </c>
      <c r="C1220" s="1757" t="s">
        <v>3147</v>
      </c>
      <c r="D1220" s="1709" t="s">
        <v>2118</v>
      </c>
      <c r="E1220" s="1710"/>
      <c r="F1220" s="1720">
        <v>26000</v>
      </c>
      <c r="G1220" s="1720">
        <f>0.035*VLOOKUP("N2.45",DGNC,5)</f>
        <v>10608.955000000002</v>
      </c>
      <c r="H1220" s="1720">
        <v>2777.0232475000003</v>
      </c>
      <c r="I1220" s="2012"/>
      <c r="J1220" s="1712" t="s">
        <v>1489</v>
      </c>
      <c r="K1220" s="1712"/>
    </row>
    <row r="1221" spans="1:11" s="1713" customFormat="1">
      <c r="A1221" s="1707" t="s">
        <v>2086</v>
      </c>
      <c r="B1221" s="1708" t="s">
        <v>5212</v>
      </c>
      <c r="C1221" s="1757" t="s">
        <v>3148</v>
      </c>
      <c r="D1221" s="1709" t="s">
        <v>2118</v>
      </c>
      <c r="E1221" s="1710"/>
      <c r="F1221" s="1720">
        <v>18000</v>
      </c>
      <c r="G1221" s="1720">
        <f>0.055*VLOOKUP("N2.45",DGNC,5)</f>
        <v>16671.215</v>
      </c>
      <c r="H1221" s="1720">
        <v>3332.427897</v>
      </c>
      <c r="I1221" s="2012"/>
      <c r="J1221" s="1712" t="s">
        <v>1489</v>
      </c>
      <c r="K1221" s="1712"/>
    </row>
    <row r="1222" spans="1:11" s="1713" customFormat="1">
      <c r="A1222" s="1707" t="s">
        <v>2058</v>
      </c>
      <c r="B1222" s="1708" t="s">
        <v>5214</v>
      </c>
      <c r="C1222" s="1757" t="s">
        <v>3149</v>
      </c>
      <c r="D1222" s="1709" t="s">
        <v>2118</v>
      </c>
      <c r="E1222" s="1710"/>
      <c r="F1222" s="1720">
        <v>25000</v>
      </c>
      <c r="G1222" s="1720">
        <f>0.07*VLOOKUP("N2.45",DGNC,5)</f>
        <v>21217.910000000003</v>
      </c>
      <c r="H1222" s="1720">
        <v>3332.427897</v>
      </c>
      <c r="I1222" s="2012"/>
      <c r="J1222" s="1712" t="s">
        <v>1489</v>
      </c>
      <c r="K1222" s="1712"/>
    </row>
    <row r="1223" spans="1:11" s="1713" customFormat="1">
      <c r="A1223" s="1707" t="s">
        <v>1738</v>
      </c>
      <c r="B1223" s="1708" t="s">
        <v>5216</v>
      </c>
      <c r="C1223" s="1757" t="s">
        <v>3150</v>
      </c>
      <c r="D1223" s="1709" t="s">
        <v>2118</v>
      </c>
      <c r="E1223" s="1710"/>
      <c r="F1223" s="1720">
        <v>34000</v>
      </c>
      <c r="G1223" s="1720">
        <f>0.09*VLOOKUP("N2.45",DGNC,5)</f>
        <v>27280.17</v>
      </c>
      <c r="H1223" s="1720">
        <v>3887.8325465000003</v>
      </c>
      <c r="I1223" s="2012"/>
      <c r="J1223" s="1712" t="s">
        <v>1489</v>
      </c>
      <c r="K1223" s="1712"/>
    </row>
    <row r="1224" spans="1:11" s="1713" customFormat="1">
      <c r="A1224" s="1707" t="s">
        <v>1739</v>
      </c>
      <c r="B1224" s="1708" t="s">
        <v>5218</v>
      </c>
      <c r="C1224" s="1757" t="s">
        <v>3151</v>
      </c>
      <c r="D1224" s="1709" t="s">
        <v>2118</v>
      </c>
      <c r="E1224" s="1710"/>
      <c r="F1224" s="1720">
        <v>39000</v>
      </c>
      <c r="G1224" s="1720">
        <f>0.11*VLOOKUP("N2.45",DGNC,5)</f>
        <v>33342.43</v>
      </c>
      <c r="H1224" s="1720">
        <v>4443.237196</v>
      </c>
      <c r="I1224" s="2012"/>
      <c r="J1224" s="1712" t="s">
        <v>1489</v>
      </c>
      <c r="K1224" s="1712"/>
    </row>
    <row r="1225" spans="1:11" s="1713" customFormat="1">
      <c r="A1225" s="1707" t="s">
        <v>1740</v>
      </c>
      <c r="B1225" s="1708" t="s">
        <v>5220</v>
      </c>
      <c r="C1225" s="1757" t="s">
        <v>3152</v>
      </c>
      <c r="D1225" s="1709" t="s">
        <v>2118</v>
      </c>
      <c r="E1225" s="1710"/>
      <c r="F1225" s="1720">
        <v>46000</v>
      </c>
      <c r="G1225" s="1720">
        <f>0.132*VLOOKUP("N2.45",DGNC,5)</f>
        <v>40010.916000000005</v>
      </c>
      <c r="H1225" s="1720">
        <v>4998.6418455000003</v>
      </c>
      <c r="I1225" s="2012"/>
      <c r="J1225" s="1712" t="s">
        <v>1489</v>
      </c>
      <c r="K1225" s="1712"/>
    </row>
    <row r="1226" spans="1:11" s="1713" customFormat="1">
      <c r="A1226" s="1707" t="s">
        <v>1453</v>
      </c>
      <c r="B1226" s="1708" t="s">
        <v>5222</v>
      </c>
      <c r="C1226" s="1757" t="s">
        <v>3153</v>
      </c>
      <c r="D1226" s="1709" t="s">
        <v>2118</v>
      </c>
      <c r="E1226" s="1710"/>
      <c r="F1226" s="1720">
        <v>46000</v>
      </c>
      <c r="G1226" s="1720">
        <f>0.165*VLOOKUP("N2.45",DGNC,5)</f>
        <v>50013.645000000004</v>
      </c>
      <c r="H1226" s="1720">
        <v>5554.0464950000005</v>
      </c>
      <c r="I1226" s="2012"/>
      <c r="J1226" s="1712" t="s">
        <v>1489</v>
      </c>
      <c r="K1226" s="1712"/>
    </row>
    <row r="1227" spans="1:11" s="1713" customFormat="1">
      <c r="A1227" s="1707" t="s">
        <v>2080</v>
      </c>
      <c r="B1227" s="1708" t="s">
        <v>5222</v>
      </c>
      <c r="C1227" s="1757" t="s">
        <v>3154</v>
      </c>
      <c r="D1227" s="1709" t="s">
        <v>2118</v>
      </c>
      <c r="E1227" s="1710"/>
      <c r="F1227" s="1720">
        <v>59000</v>
      </c>
      <c r="G1227" s="1720">
        <f>0.165*VLOOKUP("N2.45",DGNC,5)</f>
        <v>50013.645000000004</v>
      </c>
      <c r="H1227" s="1720">
        <v>5554.0464950000005</v>
      </c>
      <c r="I1227" s="2012"/>
      <c r="J1227" s="1712" t="s">
        <v>1489</v>
      </c>
      <c r="K1227" s="1712"/>
    </row>
    <row r="1228" spans="1:11" s="1713" customFormat="1">
      <c r="A1228" s="1707" t="s">
        <v>382</v>
      </c>
      <c r="B1228" s="1708" t="s">
        <v>5226</v>
      </c>
      <c r="C1228" s="1757" t="s">
        <v>3155</v>
      </c>
      <c r="D1228" s="1709" t="s">
        <v>2118</v>
      </c>
      <c r="E1228" s="1710"/>
      <c r="F1228" s="1720">
        <v>139000</v>
      </c>
      <c r="G1228" s="1720">
        <f>0.196*VLOOKUP("N2.45",DGNC,5)</f>
        <v>59410.148000000001</v>
      </c>
      <c r="H1228" s="1720">
        <v>7775.6650930000005</v>
      </c>
      <c r="I1228" s="2012"/>
      <c r="J1228" s="1712" t="s">
        <v>1489</v>
      </c>
      <c r="K1228" s="1712"/>
    </row>
    <row r="1229" spans="1:11" s="1713" customFormat="1">
      <c r="A1229" s="1707" t="s">
        <v>382</v>
      </c>
      <c r="B1229" s="1708" t="s">
        <v>5229</v>
      </c>
      <c r="C1229" s="1757" t="s">
        <v>3156</v>
      </c>
      <c r="D1229" s="1709" t="s">
        <v>2118</v>
      </c>
      <c r="E1229" s="1710"/>
      <c r="F1229" s="1720">
        <v>195000</v>
      </c>
      <c r="G1229" s="1720">
        <f>0.261*VLOOKUP("N2.45",DGNC,5)</f>
        <v>79112.493000000002</v>
      </c>
      <c r="H1229" s="1720">
        <v>9997.2836910000005</v>
      </c>
      <c r="I1229" s="2012"/>
      <c r="J1229" s="1712" t="s">
        <v>1489</v>
      </c>
      <c r="K1229" s="1712"/>
    </row>
    <row r="1230" spans="1:11">
      <c r="A1230" s="16" t="s">
        <v>829</v>
      </c>
      <c r="B1230" s="26"/>
      <c r="C1230" s="684" t="s">
        <v>3157</v>
      </c>
      <c r="D1230" s="17" t="s">
        <v>2118</v>
      </c>
      <c r="E1230" s="14"/>
      <c r="F1230" s="1720">
        <v>1700</v>
      </c>
      <c r="G1230" s="1597"/>
      <c r="H1230" s="1597"/>
      <c r="I1230" s="2013"/>
      <c r="J1230" s="13" t="s">
        <v>1489</v>
      </c>
    </row>
    <row r="1231" spans="1:11" s="1649" customFormat="1">
      <c r="A1231" s="820" t="s">
        <v>5577</v>
      </c>
      <c r="B1231" s="1708" t="s">
        <v>5208</v>
      </c>
      <c r="C1231" s="1726" t="s">
        <v>5578</v>
      </c>
      <c r="D1231" s="1646" t="s">
        <v>2118</v>
      </c>
      <c r="E1231" s="707"/>
      <c r="F1231" s="1720">
        <v>1700</v>
      </c>
      <c r="G1231" s="1720">
        <f>G1235*0.6</f>
        <v>3637.3560000000002</v>
      </c>
      <c r="H1231" s="1720">
        <v>1666.2139485</v>
      </c>
      <c r="I1231" s="2014"/>
      <c r="J1231" s="1648" t="s">
        <v>1489</v>
      </c>
    </row>
    <row r="1232" spans="1:11" s="1713" customFormat="1">
      <c r="A1232" s="1707" t="s">
        <v>5619</v>
      </c>
      <c r="B1232" s="1708" t="s">
        <v>5208</v>
      </c>
      <c r="C1232" s="1757" t="s">
        <v>5620</v>
      </c>
      <c r="D1232" s="1709" t="s">
        <v>2118</v>
      </c>
      <c r="E1232" s="1710"/>
      <c r="F1232" s="1720">
        <v>1700</v>
      </c>
      <c r="G1232" s="1720">
        <f>G1236*0.6</f>
        <v>3637.3560000000002</v>
      </c>
      <c r="H1232" s="1720">
        <v>1666.2139485</v>
      </c>
      <c r="I1232" s="2012"/>
      <c r="J1232" s="1712" t="s">
        <v>1489</v>
      </c>
      <c r="K1232" s="1712"/>
    </row>
    <row r="1233" spans="1:10" s="1713" customFormat="1">
      <c r="A1233" s="1707" t="s">
        <v>5621</v>
      </c>
      <c r="B1233" s="1708" t="s">
        <v>5208</v>
      </c>
      <c r="C1233" s="1757" t="s">
        <v>3158</v>
      </c>
      <c r="D1233" s="1709" t="s">
        <v>2118</v>
      </c>
      <c r="E1233" s="1710"/>
      <c r="F1233" s="1720">
        <v>2000</v>
      </c>
      <c r="G1233" s="1711">
        <f>0.2/10*VLOOKUP("N2.45",DGNC,5)</f>
        <v>6062.26</v>
      </c>
      <c r="H1233" s="1720">
        <v>2777.0232475000003</v>
      </c>
      <c r="I1233" s="2012"/>
      <c r="J1233" s="1715" t="s">
        <v>1489</v>
      </c>
    </row>
    <row r="1234" spans="1:10" s="1713" customFormat="1">
      <c r="A1234" s="1707" t="s">
        <v>5622</v>
      </c>
      <c r="B1234" s="1708" t="s">
        <v>5208</v>
      </c>
      <c r="C1234" s="1757" t="s">
        <v>3159</v>
      </c>
      <c r="D1234" s="1709" t="s">
        <v>2118</v>
      </c>
      <c r="E1234" s="1710"/>
      <c r="F1234" s="1720">
        <v>2600</v>
      </c>
      <c r="G1234" s="1711">
        <f>0.2/10*VLOOKUP("N2.45",DGNC,5)</f>
        <v>6062.26</v>
      </c>
      <c r="H1234" s="1720">
        <v>2777.0232475000003</v>
      </c>
      <c r="I1234" s="2012"/>
      <c r="J1234" s="1715" t="s">
        <v>1489</v>
      </c>
    </row>
    <row r="1235" spans="1:10" s="1713" customFormat="1">
      <c r="A1235" s="1707" t="s">
        <v>5623</v>
      </c>
      <c r="B1235" s="1708" t="s">
        <v>5208</v>
      </c>
      <c r="C1235" s="1757" t="s">
        <v>3160</v>
      </c>
      <c r="D1235" s="1709" t="s">
        <v>2118</v>
      </c>
      <c r="E1235" s="1710"/>
      <c r="F1235" s="1720">
        <v>4600</v>
      </c>
      <c r="G1235" s="1711">
        <f>0.2/10*VLOOKUP("N2.45",DGNC,5)</f>
        <v>6062.26</v>
      </c>
      <c r="H1235" s="1720">
        <v>2777.0232475000003</v>
      </c>
      <c r="I1235" s="2012"/>
      <c r="J1235" s="1715" t="s">
        <v>1489</v>
      </c>
    </row>
    <row r="1236" spans="1:10" s="1713" customFormat="1">
      <c r="A1236" s="1707" t="s">
        <v>2151</v>
      </c>
      <c r="B1236" s="1708" t="s">
        <v>5208</v>
      </c>
      <c r="C1236" s="1757" t="s">
        <v>3161</v>
      </c>
      <c r="D1236" s="1709" t="s">
        <v>2118</v>
      </c>
      <c r="E1236" s="1710"/>
      <c r="F1236" s="1720">
        <v>6500</v>
      </c>
      <c r="G1236" s="1711">
        <f>0.2/10*VLOOKUP("N2.45",DGNC,5)</f>
        <v>6062.26</v>
      </c>
      <c r="H1236" s="1720">
        <v>2777.0232475000003</v>
      </c>
      <c r="I1236" s="2012"/>
      <c r="J1236" s="1715" t="s">
        <v>1489</v>
      </c>
    </row>
    <row r="1237" spans="1:10" s="1713" customFormat="1">
      <c r="A1237" s="1707" t="s">
        <v>2152</v>
      </c>
      <c r="B1237" s="1708" t="s">
        <v>5210</v>
      </c>
      <c r="C1237" s="1757" t="s">
        <v>3162</v>
      </c>
      <c r="D1237" s="1709" t="s">
        <v>2118</v>
      </c>
      <c r="E1237" s="1710"/>
      <c r="F1237" s="1720">
        <v>7800</v>
      </c>
      <c r="G1237" s="1711">
        <f>0.35/10*VLOOKUP("N2.45",DGNC,5)</f>
        <v>10608.954999999998</v>
      </c>
      <c r="H1237" s="1720">
        <v>2777.0232475000003</v>
      </c>
      <c r="I1237" s="2012"/>
      <c r="J1237" s="1715" t="s">
        <v>1489</v>
      </c>
    </row>
    <row r="1238" spans="1:10" s="1713" customFormat="1">
      <c r="A1238" s="1707" t="s">
        <v>2153</v>
      </c>
      <c r="B1238" s="1708" t="s">
        <v>5210</v>
      </c>
      <c r="C1238" s="1757" t="s">
        <v>3163</v>
      </c>
      <c r="D1238" s="1709" t="s">
        <v>2118</v>
      </c>
      <c r="E1238" s="1710"/>
      <c r="F1238" s="1720">
        <v>7800</v>
      </c>
      <c r="G1238" s="1711">
        <f>0.35/10*VLOOKUP("N2.45",DGNC,5)</f>
        <v>10608.954999999998</v>
      </c>
      <c r="H1238" s="1720">
        <v>2777.0232475000003</v>
      </c>
      <c r="I1238" s="2012"/>
      <c r="J1238" s="1715" t="s">
        <v>1489</v>
      </c>
    </row>
    <row r="1239" spans="1:10" s="1713" customFormat="1">
      <c r="A1239" s="1707" t="s">
        <v>2154</v>
      </c>
      <c r="B1239" s="1708" t="s">
        <v>5210</v>
      </c>
      <c r="C1239" s="1757" t="s">
        <v>3164</v>
      </c>
      <c r="D1239" s="1709" t="s">
        <v>2118</v>
      </c>
      <c r="E1239" s="1710"/>
      <c r="F1239" s="1720">
        <v>9100</v>
      </c>
      <c r="G1239" s="1711">
        <f>0.035*VLOOKUP("N2.45",DGNC,5)</f>
        <v>10608.955000000002</v>
      </c>
      <c r="H1239" s="1720">
        <v>2777.0232475000003</v>
      </c>
      <c r="I1239" s="2012"/>
      <c r="J1239" s="1715" t="s">
        <v>1489</v>
      </c>
    </row>
    <row r="1240" spans="1:10" s="1713" customFormat="1">
      <c r="A1240" s="1707" t="s">
        <v>2155</v>
      </c>
      <c r="B1240" s="1708" t="s">
        <v>5212</v>
      </c>
      <c r="C1240" s="1757" t="s">
        <v>3165</v>
      </c>
      <c r="D1240" s="1709" t="s">
        <v>2118</v>
      </c>
      <c r="E1240" s="1710"/>
      <c r="F1240" s="1720">
        <v>14000</v>
      </c>
      <c r="G1240" s="1711">
        <f>0.055*VLOOKUP("N2.45",DGNC,5)</f>
        <v>16671.215</v>
      </c>
      <c r="H1240" s="1720">
        <v>3332.427897</v>
      </c>
      <c r="I1240" s="2012"/>
      <c r="J1240" s="1715" t="s">
        <v>1489</v>
      </c>
    </row>
    <row r="1241" spans="1:10" s="1713" customFormat="1">
      <c r="A1241" s="1707" t="s">
        <v>2156</v>
      </c>
      <c r="B1241" s="1708" t="s">
        <v>5214</v>
      </c>
      <c r="C1241" s="1757" t="s">
        <v>3166</v>
      </c>
      <c r="D1241" s="1709" t="s">
        <v>2118</v>
      </c>
      <c r="E1241" s="1710"/>
      <c r="F1241" s="1720">
        <v>21000</v>
      </c>
      <c r="G1241" s="1711">
        <f>0.07*VLOOKUP("N2.45",DGNC,5)</f>
        <v>21217.910000000003</v>
      </c>
      <c r="H1241" s="1720">
        <v>3332.427897</v>
      </c>
      <c r="I1241" s="2012"/>
      <c r="J1241" s="1715" t="s">
        <v>1489</v>
      </c>
    </row>
    <row r="1242" spans="1:10" s="1713" customFormat="1">
      <c r="A1242" s="1707" t="s">
        <v>2157</v>
      </c>
      <c r="B1242" s="1708" t="s">
        <v>5216</v>
      </c>
      <c r="C1242" s="1757" t="s">
        <v>3167</v>
      </c>
      <c r="D1242" s="1709" t="s">
        <v>2118</v>
      </c>
      <c r="E1242" s="1710"/>
      <c r="F1242" s="1720">
        <v>27000</v>
      </c>
      <c r="G1242" s="1711">
        <f>0.09*VLOOKUP("N2.45",DGNC,5)</f>
        <v>27280.17</v>
      </c>
      <c r="H1242" s="1720">
        <v>3887.8325465000003</v>
      </c>
      <c r="I1242" s="2012"/>
      <c r="J1242" s="1715" t="s">
        <v>1489</v>
      </c>
    </row>
    <row r="1243" spans="1:10" s="1713" customFormat="1">
      <c r="A1243" s="1707" t="s">
        <v>2158</v>
      </c>
      <c r="B1243" s="1708" t="s">
        <v>5218</v>
      </c>
      <c r="C1243" s="1757" t="s">
        <v>3168</v>
      </c>
      <c r="D1243" s="1709" t="s">
        <v>2118</v>
      </c>
      <c r="E1243" s="1710"/>
      <c r="F1243" s="1720">
        <v>36000</v>
      </c>
      <c r="G1243" s="1711">
        <f>0.11*VLOOKUP("N2.45",DGNC,5)</f>
        <v>33342.43</v>
      </c>
      <c r="H1243" s="1720">
        <v>4443.237196</v>
      </c>
      <c r="I1243" s="2012"/>
      <c r="J1243" s="1715" t="s">
        <v>1489</v>
      </c>
    </row>
    <row r="1244" spans="1:10" s="1713" customFormat="1">
      <c r="A1244" s="1707" t="s">
        <v>2159</v>
      </c>
      <c r="B1244" s="1708" t="s">
        <v>5220</v>
      </c>
      <c r="C1244" s="1757" t="s">
        <v>3169</v>
      </c>
      <c r="D1244" s="1709" t="s">
        <v>2118</v>
      </c>
      <c r="E1244" s="1710"/>
      <c r="F1244" s="1720">
        <v>51000</v>
      </c>
      <c r="G1244" s="1711">
        <f>0.132*VLOOKUP("N2.45",DGNC,5)</f>
        <v>40010.916000000005</v>
      </c>
      <c r="H1244" s="1720">
        <v>4998.6418455000003</v>
      </c>
      <c r="I1244" s="2012"/>
      <c r="J1244" s="1715" t="s">
        <v>1489</v>
      </c>
    </row>
    <row r="1245" spans="1:10" s="1713" customFormat="1">
      <c r="A1245" s="1707" t="s">
        <v>2160</v>
      </c>
      <c r="B1245" s="1708" t="s">
        <v>5222</v>
      </c>
      <c r="C1245" s="1757" t="s">
        <v>3170</v>
      </c>
      <c r="D1245" s="1709" t="s">
        <v>2118</v>
      </c>
      <c r="E1245" s="1710"/>
      <c r="F1245" s="1720">
        <v>51000</v>
      </c>
      <c r="G1245" s="1711">
        <f>0.165*VLOOKUP("N2.45",DGNC,5)</f>
        <v>50013.645000000004</v>
      </c>
      <c r="H1245" s="1720">
        <v>5554.0464950000005</v>
      </c>
      <c r="I1245" s="2012"/>
      <c r="J1245" s="1715" t="s">
        <v>1489</v>
      </c>
    </row>
    <row r="1246" spans="1:10" s="1713" customFormat="1">
      <c r="A1246" s="1707" t="s">
        <v>2161</v>
      </c>
      <c r="B1246" s="1708" t="s">
        <v>5222</v>
      </c>
      <c r="C1246" s="1757" t="s">
        <v>3171</v>
      </c>
      <c r="D1246" s="1709" t="s">
        <v>2118</v>
      </c>
      <c r="E1246" s="1710"/>
      <c r="F1246" s="1720">
        <f>158000+5900</f>
        <v>163900</v>
      </c>
      <c r="G1246" s="1711">
        <f>0.165*VLOOKUP("N2.45",DGNC,5)</f>
        <v>50013.645000000004</v>
      </c>
      <c r="H1246" s="1720">
        <v>5554.0464950000005</v>
      </c>
      <c r="I1246" s="2012"/>
      <c r="J1246" s="1715" t="s">
        <v>1489</v>
      </c>
    </row>
    <row r="1247" spans="1:10" s="1713" customFormat="1">
      <c r="A1247" s="1707" t="s">
        <v>2162</v>
      </c>
      <c r="B1247" s="1708" t="s">
        <v>5222</v>
      </c>
      <c r="C1247" s="1757" t="s">
        <v>3172</v>
      </c>
      <c r="D1247" s="1709" t="s">
        <v>2118</v>
      </c>
      <c r="E1247" s="1710"/>
      <c r="F1247" s="1720">
        <f>158000+5900</f>
        <v>163900</v>
      </c>
      <c r="G1247" s="1711">
        <f>0.165*VLOOKUP("N2.45",DGNC,5)</f>
        <v>50013.645000000004</v>
      </c>
      <c r="H1247" s="1720">
        <v>5554.0464950000005</v>
      </c>
      <c r="I1247" s="2012"/>
      <c r="J1247" s="1715" t="s">
        <v>1489</v>
      </c>
    </row>
    <row r="1248" spans="1:10" s="1713" customFormat="1">
      <c r="A1248" s="1707" t="s">
        <v>2163</v>
      </c>
      <c r="B1248" s="1708" t="s">
        <v>5226</v>
      </c>
      <c r="C1248" s="1757" t="s">
        <v>3173</v>
      </c>
      <c r="D1248" s="1709" t="s">
        <v>2118</v>
      </c>
      <c r="E1248" s="1710"/>
      <c r="F1248" s="1720">
        <f>205000+7800</f>
        <v>212800</v>
      </c>
      <c r="G1248" s="1711">
        <f>0.196*VLOOKUP("N2.45",DGNC,5)</f>
        <v>59410.148000000001</v>
      </c>
      <c r="H1248" s="1720">
        <v>7775.6650930000005</v>
      </c>
      <c r="I1248" s="2012"/>
      <c r="J1248" s="1715" t="s">
        <v>1489</v>
      </c>
    </row>
    <row r="1249" spans="1:10" s="1713" customFormat="1">
      <c r="A1249" s="1707" t="s">
        <v>5733</v>
      </c>
      <c r="B1249" s="1708" t="s">
        <v>5226</v>
      </c>
      <c r="C1249" s="1757" t="s">
        <v>5734</v>
      </c>
      <c r="D1249" s="1709" t="s">
        <v>2118</v>
      </c>
      <c r="E1249" s="1710"/>
      <c r="F1249" s="1720">
        <v>380000</v>
      </c>
      <c r="G1249" s="1711">
        <f>0.196*VLOOKUP("N2.45",DGNC,5)</f>
        <v>59410.148000000001</v>
      </c>
      <c r="H1249" s="1720">
        <v>7775.6650930000005</v>
      </c>
      <c r="I1249" s="2012"/>
      <c r="J1249" s="1715" t="s">
        <v>1489</v>
      </c>
    </row>
    <row r="1250" spans="1:10" s="1713" customFormat="1">
      <c r="A1250" s="1707" t="s">
        <v>585</v>
      </c>
      <c r="B1250" s="1708" t="s">
        <v>5208</v>
      </c>
      <c r="C1250" s="1757" t="s">
        <v>3174</v>
      </c>
      <c r="D1250" s="1709" t="s">
        <v>2118</v>
      </c>
      <c r="E1250" s="1710"/>
      <c r="F1250" s="1720">
        <v>6500</v>
      </c>
      <c r="G1250" s="1711">
        <f>0.02*VLOOKUP("N2.45",DGNC,5)</f>
        <v>6062.26</v>
      </c>
      <c r="H1250" s="1720">
        <v>2777.0232475000003</v>
      </c>
      <c r="I1250" s="2012"/>
      <c r="J1250" s="1715" t="s">
        <v>1489</v>
      </c>
    </row>
    <row r="1251" spans="1:10" s="1713" customFormat="1">
      <c r="A1251" s="1707" t="s">
        <v>4083</v>
      </c>
      <c r="B1251" s="1708" t="s">
        <v>5210</v>
      </c>
      <c r="C1251" s="1757" t="s">
        <v>5624</v>
      </c>
      <c r="D1251" s="1709" t="s">
        <v>2118</v>
      </c>
      <c r="E1251" s="1710"/>
      <c r="F1251" s="1720">
        <v>6500</v>
      </c>
      <c r="G1251" s="1711">
        <f>0.02*VLOOKUP("N2.45",DGNC,5)</f>
        <v>6062.26</v>
      </c>
      <c r="H1251" s="1720">
        <v>2777.0232475000003</v>
      </c>
      <c r="I1251" s="2012"/>
      <c r="J1251" s="1715" t="s">
        <v>1489</v>
      </c>
    </row>
    <row r="1252" spans="1:10" s="1713" customFormat="1">
      <c r="A1252" s="1707" t="s">
        <v>1193</v>
      </c>
      <c r="B1252" s="1708" t="s">
        <v>5210</v>
      </c>
      <c r="C1252" s="1757" t="s">
        <v>3162</v>
      </c>
      <c r="D1252" s="1709" t="s">
        <v>2118</v>
      </c>
      <c r="E1252" s="1710"/>
      <c r="F1252" s="1720">
        <v>7800</v>
      </c>
      <c r="G1252" s="1711">
        <f>0.035*VLOOKUP("N2.45",DGNC,5)</f>
        <v>10608.955000000002</v>
      </c>
      <c r="H1252" s="1720">
        <v>2777.0232475000003</v>
      </c>
      <c r="I1252" s="2012"/>
      <c r="J1252" s="1715" t="s">
        <v>1489</v>
      </c>
    </row>
    <row r="1253" spans="1:10" s="1713" customFormat="1">
      <c r="A1253" s="1707" t="s">
        <v>1027</v>
      </c>
      <c r="B1253" s="1708" t="s">
        <v>5210</v>
      </c>
      <c r="C1253" s="1757" t="s">
        <v>3163</v>
      </c>
      <c r="D1253" s="1709" t="s">
        <v>2118</v>
      </c>
      <c r="E1253" s="1710"/>
      <c r="F1253" s="1720">
        <v>7800</v>
      </c>
      <c r="G1253" s="1711">
        <f>0.035*VLOOKUP("N2.45",DGNC,5)</f>
        <v>10608.955000000002</v>
      </c>
      <c r="H1253" s="1720">
        <v>2777.0232475000003</v>
      </c>
      <c r="I1253" s="2012"/>
      <c r="J1253" s="1715" t="s">
        <v>1489</v>
      </c>
    </row>
    <row r="1254" spans="1:10" s="1713" customFormat="1">
      <c r="A1254" s="1707" t="s">
        <v>2059</v>
      </c>
      <c r="B1254" s="1708" t="s">
        <v>5210</v>
      </c>
      <c r="C1254" s="1757" t="s">
        <v>3164</v>
      </c>
      <c r="D1254" s="1709" t="s">
        <v>2118</v>
      </c>
      <c r="E1254" s="1710"/>
      <c r="F1254" s="1720">
        <v>9100</v>
      </c>
      <c r="G1254" s="1711">
        <f>0.035*VLOOKUP("N2.45",DGNC,5)</f>
        <v>10608.955000000002</v>
      </c>
      <c r="H1254" s="1720">
        <v>2777.0232475000003</v>
      </c>
      <c r="I1254" s="2012"/>
      <c r="J1254" s="1715" t="s">
        <v>1489</v>
      </c>
    </row>
    <row r="1255" spans="1:10" s="1713" customFormat="1">
      <c r="A1255" s="1707" t="s">
        <v>4080</v>
      </c>
      <c r="B1255" s="1708" t="s">
        <v>5212</v>
      </c>
      <c r="C1255" s="1757" t="s">
        <v>4081</v>
      </c>
      <c r="D1255" s="1709" t="s">
        <v>2118</v>
      </c>
      <c r="E1255" s="1710"/>
      <c r="F1255" s="1720">
        <v>9100</v>
      </c>
      <c r="G1255" s="1711">
        <f>0.055*VLOOKUP("N2.45",DGNC,5)</f>
        <v>16671.215</v>
      </c>
      <c r="H1255" s="1720">
        <v>3332.427897</v>
      </c>
      <c r="I1255" s="2012"/>
      <c r="J1255" s="1715" t="s">
        <v>1489</v>
      </c>
    </row>
    <row r="1256" spans="1:10" s="1713" customFormat="1">
      <c r="A1256" s="1707" t="s">
        <v>2060</v>
      </c>
      <c r="B1256" s="1708" t="s">
        <v>5212</v>
      </c>
      <c r="C1256" s="1757" t="s">
        <v>3165</v>
      </c>
      <c r="D1256" s="1709" t="s">
        <v>2118</v>
      </c>
      <c r="E1256" s="1710"/>
      <c r="F1256" s="1720">
        <v>14000</v>
      </c>
      <c r="G1256" s="1711">
        <f>0.055*VLOOKUP("N2.45",DGNC,5)</f>
        <v>16671.215</v>
      </c>
      <c r="H1256" s="1720">
        <v>3332.427897</v>
      </c>
      <c r="I1256" s="2012"/>
      <c r="J1256" s="1715" t="s">
        <v>1489</v>
      </c>
    </row>
    <row r="1257" spans="1:10" s="1713" customFormat="1">
      <c r="A1257" s="1707" t="s">
        <v>2061</v>
      </c>
      <c r="B1257" s="1708" t="s">
        <v>5214</v>
      </c>
      <c r="C1257" s="1757" t="s">
        <v>3166</v>
      </c>
      <c r="D1257" s="1709" t="s">
        <v>2118</v>
      </c>
      <c r="E1257" s="1710"/>
      <c r="F1257" s="1720">
        <v>21000</v>
      </c>
      <c r="G1257" s="1711">
        <f>0.07*VLOOKUP("N2.45",DGNC,5)</f>
        <v>21217.910000000003</v>
      </c>
      <c r="H1257" s="1720">
        <v>3332.427897</v>
      </c>
      <c r="I1257" s="2012"/>
      <c r="J1257" s="1715" t="s">
        <v>1489</v>
      </c>
    </row>
    <row r="1258" spans="1:10" s="1713" customFormat="1">
      <c r="A1258" s="1707" t="s">
        <v>2062</v>
      </c>
      <c r="B1258" s="1708" t="s">
        <v>5216</v>
      </c>
      <c r="C1258" s="1757" t="s">
        <v>3167</v>
      </c>
      <c r="D1258" s="1709" t="s">
        <v>2118</v>
      </c>
      <c r="E1258" s="1710"/>
      <c r="F1258" s="1720">
        <v>27000</v>
      </c>
      <c r="G1258" s="1711">
        <f>0.09*VLOOKUP("N2.45",DGNC,5)</f>
        <v>27280.17</v>
      </c>
      <c r="H1258" s="1720">
        <v>3887.8325465000003</v>
      </c>
      <c r="I1258" s="2012"/>
      <c r="J1258" s="1715" t="s">
        <v>1489</v>
      </c>
    </row>
    <row r="1259" spans="1:10" s="1713" customFormat="1">
      <c r="A1259" s="1707" t="s">
        <v>682</v>
      </c>
      <c r="B1259" s="1708" t="s">
        <v>5218</v>
      </c>
      <c r="C1259" s="1757" t="s">
        <v>3168</v>
      </c>
      <c r="D1259" s="1709" t="s">
        <v>2118</v>
      </c>
      <c r="E1259" s="1710"/>
      <c r="F1259" s="1720">
        <v>36000</v>
      </c>
      <c r="G1259" s="1711">
        <f>0.11*VLOOKUP("N2.45",DGNC,5)</f>
        <v>33342.43</v>
      </c>
      <c r="H1259" s="1720">
        <v>4443.237196</v>
      </c>
      <c r="I1259" s="2012"/>
      <c r="J1259" s="1715" t="s">
        <v>1489</v>
      </c>
    </row>
    <row r="1260" spans="1:10" s="1713" customFormat="1">
      <c r="A1260" s="1707" t="s">
        <v>296</v>
      </c>
      <c r="B1260" s="1708" t="s">
        <v>5220</v>
      </c>
      <c r="C1260" s="1757" t="s">
        <v>3169</v>
      </c>
      <c r="D1260" s="1709" t="s">
        <v>2118</v>
      </c>
      <c r="E1260" s="1710"/>
      <c r="F1260" s="1720">
        <v>51000</v>
      </c>
      <c r="G1260" s="1711">
        <f>0.132*VLOOKUP("N2.45",DGNC,5)</f>
        <v>40010.916000000005</v>
      </c>
      <c r="H1260" s="1720">
        <v>4998.6418455000003</v>
      </c>
      <c r="I1260" s="2012"/>
      <c r="J1260" s="1715" t="s">
        <v>1489</v>
      </c>
    </row>
    <row r="1261" spans="1:10" s="1713" customFormat="1">
      <c r="A1261" s="1707" t="s">
        <v>435</v>
      </c>
      <c r="B1261" s="1708" t="s">
        <v>5222</v>
      </c>
      <c r="C1261" s="1757" t="s">
        <v>3170</v>
      </c>
      <c r="D1261" s="1709" t="s">
        <v>2118</v>
      </c>
      <c r="E1261" s="1710"/>
      <c r="F1261" s="1720">
        <v>51000</v>
      </c>
      <c r="G1261" s="1711">
        <f>0.165*VLOOKUP("N2.45",DGNC,5)</f>
        <v>50013.645000000004</v>
      </c>
      <c r="H1261" s="1720">
        <v>5554.0464950000005</v>
      </c>
      <c r="I1261" s="2012"/>
      <c r="J1261" s="1715" t="s">
        <v>1489</v>
      </c>
    </row>
    <row r="1262" spans="1:10" s="1713" customFormat="1">
      <c r="A1262" s="1707" t="s">
        <v>683</v>
      </c>
      <c r="B1262" s="1708" t="s">
        <v>5222</v>
      </c>
      <c r="C1262" s="1757" t="s">
        <v>3171</v>
      </c>
      <c r="D1262" s="1709" t="s">
        <v>2118</v>
      </c>
      <c r="E1262" s="1710"/>
      <c r="F1262" s="1720">
        <v>70000</v>
      </c>
      <c r="G1262" s="1711">
        <f>0.165*VLOOKUP("N2.45",DGNC,5)</f>
        <v>50013.645000000004</v>
      </c>
      <c r="H1262" s="1720">
        <v>5554.0464950000005</v>
      </c>
      <c r="I1262" s="2012"/>
      <c r="J1262" s="1715" t="s">
        <v>1489</v>
      </c>
    </row>
    <row r="1263" spans="1:10" s="1713" customFormat="1">
      <c r="A1263" s="1707" t="s">
        <v>436</v>
      </c>
      <c r="B1263" s="1708" t="s">
        <v>5226</v>
      </c>
      <c r="C1263" s="1757" t="s">
        <v>3172</v>
      </c>
      <c r="D1263" s="1709" t="s">
        <v>2118</v>
      </c>
      <c r="E1263" s="1710"/>
      <c r="F1263" s="1720">
        <v>70000</v>
      </c>
      <c r="G1263" s="1711">
        <f>0.196*VLOOKUP("N2.45",DGNC,5)</f>
        <v>59410.148000000001</v>
      </c>
      <c r="H1263" s="1720">
        <v>5554.0464950000005</v>
      </c>
      <c r="I1263" s="2012"/>
      <c r="J1263" s="1715" t="s">
        <v>1489</v>
      </c>
    </row>
    <row r="1264" spans="1:10" s="1713" customFormat="1">
      <c r="A1264" s="1707" t="s">
        <v>437</v>
      </c>
      <c r="B1264" s="1708" t="s">
        <v>5226</v>
      </c>
      <c r="C1264" s="1757" t="s">
        <v>3173</v>
      </c>
      <c r="D1264" s="1709" t="s">
        <v>2118</v>
      </c>
      <c r="E1264" s="1710"/>
      <c r="F1264" s="1720">
        <v>108000</v>
      </c>
      <c r="G1264" s="1711">
        <f>0.196*VLOOKUP("N2.45",DGNC,5)</f>
        <v>59410.148000000001</v>
      </c>
      <c r="H1264" s="1720">
        <v>7775.6650930000005</v>
      </c>
      <c r="I1264" s="2012"/>
      <c r="J1264" s="1715" t="s">
        <v>1489</v>
      </c>
    </row>
    <row r="1265" spans="1:10" s="1713" customFormat="1">
      <c r="A1265" s="1707" t="s">
        <v>5732</v>
      </c>
      <c r="B1265" s="1708" t="s">
        <v>5226</v>
      </c>
      <c r="C1265" s="1757" t="s">
        <v>5734</v>
      </c>
      <c r="D1265" s="1709" t="s">
        <v>2118</v>
      </c>
      <c r="E1265" s="1710"/>
      <c r="F1265" s="1720">
        <v>380000</v>
      </c>
      <c r="G1265" s="1711">
        <f>0.196*VLOOKUP("N2.45",DGNC,5)</f>
        <v>59410.148000000001</v>
      </c>
      <c r="H1265" s="1720">
        <v>7775.6650930000005</v>
      </c>
      <c r="I1265" s="2012"/>
      <c r="J1265" s="1715" t="s">
        <v>1489</v>
      </c>
    </row>
    <row r="1266" spans="1:10" ht="13.8">
      <c r="A1266" s="16" t="s">
        <v>5207</v>
      </c>
      <c r="B1266" s="1598" t="s">
        <v>5208</v>
      </c>
      <c r="C1266" s="25" t="s">
        <v>5209</v>
      </c>
      <c r="D1266" s="17" t="s">
        <v>2118</v>
      </c>
      <c r="E1266" s="14"/>
      <c r="F1266" s="18"/>
      <c r="G1266" s="1595">
        <v>4792</v>
      </c>
      <c r="H1266" s="1595">
        <v>2688</v>
      </c>
      <c r="I1266" s="2013"/>
      <c r="J1266" s="13" t="s">
        <v>1489</v>
      </c>
    </row>
    <row r="1267" spans="1:10" ht="13.8">
      <c r="A1267" s="16" t="s">
        <v>1886</v>
      </c>
      <c r="B1267" s="1598" t="s">
        <v>5210</v>
      </c>
      <c r="C1267" s="25" t="s">
        <v>5211</v>
      </c>
      <c r="D1267" s="17" t="s">
        <v>2118</v>
      </c>
      <c r="E1267" s="14"/>
      <c r="F1267" s="18"/>
      <c r="G1267" s="1595">
        <v>8387</v>
      </c>
      <c r="H1267" s="1595">
        <v>2688</v>
      </c>
      <c r="I1267" s="2013"/>
      <c r="J1267" s="13" t="s">
        <v>1489</v>
      </c>
    </row>
    <row r="1268" spans="1:10" ht="13.8">
      <c r="A1268" s="16" t="s">
        <v>1887</v>
      </c>
      <c r="B1268" s="1598" t="s">
        <v>5212</v>
      </c>
      <c r="C1268" s="25" t="s">
        <v>5213</v>
      </c>
      <c r="D1268" s="17" t="s">
        <v>2118</v>
      </c>
      <c r="E1268" s="14"/>
      <c r="F1268" s="18"/>
      <c r="G1268" s="1595">
        <v>13179</v>
      </c>
      <c r="H1268" s="1595">
        <v>3226</v>
      </c>
      <c r="I1268" s="2013"/>
      <c r="J1268" s="13" t="s">
        <v>1489</v>
      </c>
    </row>
    <row r="1269" spans="1:10" ht="13.8">
      <c r="A1269" s="16" t="s">
        <v>1888</v>
      </c>
      <c r="B1269" s="1598" t="s">
        <v>5214</v>
      </c>
      <c r="C1269" s="25" t="s">
        <v>5215</v>
      </c>
      <c r="D1269" s="17" t="s">
        <v>2118</v>
      </c>
      <c r="E1269" s="14"/>
      <c r="F1269" s="18"/>
      <c r="G1269" s="1595">
        <v>16773</v>
      </c>
      <c r="H1269" s="1595">
        <v>3226</v>
      </c>
      <c r="I1269" s="2013"/>
      <c r="J1269" s="13" t="s">
        <v>1489</v>
      </c>
    </row>
    <row r="1270" spans="1:10" ht="13.8">
      <c r="A1270" s="16" t="s">
        <v>1889</v>
      </c>
      <c r="B1270" s="1598" t="s">
        <v>5216</v>
      </c>
      <c r="C1270" s="25" t="s">
        <v>5217</v>
      </c>
      <c r="D1270" s="17" t="s">
        <v>2118</v>
      </c>
      <c r="E1270" s="14"/>
      <c r="F1270" s="18"/>
      <c r="G1270" s="1595">
        <v>21565</v>
      </c>
      <c r="H1270" s="1595">
        <v>3764</v>
      </c>
      <c r="I1270" s="2013"/>
      <c r="J1270" s="13" t="s">
        <v>1489</v>
      </c>
    </row>
    <row r="1271" spans="1:10" ht="13.8">
      <c r="A1271" s="16" t="s">
        <v>1890</v>
      </c>
      <c r="B1271" s="1598" t="s">
        <v>5218</v>
      </c>
      <c r="C1271" s="25" t="s">
        <v>5219</v>
      </c>
      <c r="D1271" s="17" t="s">
        <v>2118</v>
      </c>
      <c r="E1271" s="14"/>
      <c r="F1271" s="18"/>
      <c r="G1271" s="1595">
        <v>26358</v>
      </c>
      <c r="H1271" s="1595">
        <v>4301</v>
      </c>
      <c r="I1271" s="2013"/>
      <c r="J1271" s="13" t="s">
        <v>1489</v>
      </c>
    </row>
    <row r="1272" spans="1:10" ht="13.8">
      <c r="A1272" s="16" t="s">
        <v>1891</v>
      </c>
      <c r="B1272" s="1598" t="s">
        <v>5220</v>
      </c>
      <c r="C1272" s="25" t="s">
        <v>5221</v>
      </c>
      <c r="D1272" s="17" t="s">
        <v>2118</v>
      </c>
      <c r="E1272" s="14"/>
      <c r="F1272" s="18"/>
      <c r="G1272" s="1595">
        <v>31629</v>
      </c>
      <c r="H1272" s="1595">
        <v>4839</v>
      </c>
      <c r="I1272" s="2013"/>
      <c r="J1272" s="13" t="s">
        <v>1489</v>
      </c>
    </row>
    <row r="1273" spans="1:10" ht="13.8">
      <c r="A1273" s="16" t="s">
        <v>1892</v>
      </c>
      <c r="B1273" s="1598" t="s">
        <v>5222</v>
      </c>
      <c r="C1273" s="25" t="s">
        <v>5223</v>
      </c>
      <c r="D1273" s="17" t="s">
        <v>2118</v>
      </c>
      <c r="E1273" s="14"/>
      <c r="F1273" s="18"/>
      <c r="G1273" s="1595">
        <v>39536</v>
      </c>
      <c r="H1273" s="1595">
        <v>5377</v>
      </c>
      <c r="I1273" s="2013"/>
      <c r="J1273" s="13" t="s">
        <v>1489</v>
      </c>
    </row>
    <row r="1274" spans="1:10" ht="13.8">
      <c r="A1274" s="16" t="s">
        <v>1893</v>
      </c>
      <c r="B1274" s="1598" t="s">
        <v>5222</v>
      </c>
      <c r="C1274" s="25" t="s">
        <v>5224</v>
      </c>
      <c r="D1274" s="17" t="s">
        <v>2118</v>
      </c>
      <c r="E1274" s="14"/>
      <c r="F1274" s="18"/>
      <c r="G1274" s="1595">
        <v>39536</v>
      </c>
      <c r="H1274" s="1595">
        <v>5377</v>
      </c>
      <c r="I1274" s="2013"/>
      <c r="J1274" s="13" t="s">
        <v>1489</v>
      </c>
    </row>
    <row r="1275" spans="1:10" ht="13.8">
      <c r="A1275" s="16" t="s">
        <v>1894</v>
      </c>
      <c r="B1275" s="1598" t="s">
        <v>5222</v>
      </c>
      <c r="C1275" s="25" t="s">
        <v>5225</v>
      </c>
      <c r="D1275" s="17" t="s">
        <v>2118</v>
      </c>
      <c r="E1275" s="14"/>
      <c r="F1275" s="18"/>
      <c r="G1275" s="1595">
        <v>39536</v>
      </c>
      <c r="H1275" s="1595">
        <v>5377</v>
      </c>
      <c r="I1275" s="2013"/>
      <c r="J1275" s="13" t="s">
        <v>1489</v>
      </c>
    </row>
    <row r="1276" spans="1:10" ht="13.8">
      <c r="A1276" s="16" t="s">
        <v>1895</v>
      </c>
      <c r="B1276" s="1598" t="s">
        <v>5226</v>
      </c>
      <c r="C1276" s="25" t="s">
        <v>5227</v>
      </c>
      <c r="D1276" s="17" t="s">
        <v>2118</v>
      </c>
      <c r="E1276" s="14"/>
      <c r="F1276" s="18"/>
      <c r="G1276" s="1595">
        <v>46965</v>
      </c>
      <c r="H1276" s="1595">
        <v>7527</v>
      </c>
      <c r="I1276" s="2013"/>
      <c r="J1276" s="13" t="s">
        <v>1489</v>
      </c>
    </row>
    <row r="1277" spans="1:10" ht="13.8">
      <c r="A1277" s="16" t="s">
        <v>5228</v>
      </c>
      <c r="B1277" s="1598" t="s">
        <v>5229</v>
      </c>
      <c r="C1277" s="25" t="s">
        <v>5230</v>
      </c>
      <c r="D1277" s="17" t="s">
        <v>2118</v>
      </c>
      <c r="E1277" s="14"/>
      <c r="F1277" s="18"/>
      <c r="G1277" s="1595">
        <v>62540</v>
      </c>
      <c r="H1277" s="1595">
        <v>9678</v>
      </c>
      <c r="I1277" s="2013"/>
      <c r="J1277" s="13" t="s">
        <v>1489</v>
      </c>
    </row>
    <row r="1278" spans="1:10" ht="13.8">
      <c r="A1278" s="16" t="s">
        <v>980</v>
      </c>
      <c r="B1278" s="26"/>
      <c r="C1278" s="685" t="s">
        <v>3175</v>
      </c>
      <c r="D1278" s="17" t="s">
        <v>2118</v>
      </c>
      <c r="E1278" s="14"/>
      <c r="F1278" s="1989">
        <v>1000</v>
      </c>
      <c r="G1278" s="18"/>
      <c r="H1278" s="18"/>
      <c r="I1278" s="2013"/>
      <c r="J1278" s="13" t="s">
        <v>1489</v>
      </c>
    </row>
    <row r="1279" spans="1:10" ht="13.8">
      <c r="A1279" s="16" t="s">
        <v>238</v>
      </c>
      <c r="B1279" s="26"/>
      <c r="C1279" s="685" t="s">
        <v>3176</v>
      </c>
      <c r="D1279" s="17" t="s">
        <v>2118</v>
      </c>
      <c r="E1279" s="14"/>
      <c r="F1279" s="1989">
        <v>1000</v>
      </c>
      <c r="G1279" s="18"/>
      <c r="H1279" s="18"/>
      <c r="I1279" s="2013"/>
      <c r="J1279" s="13" t="s">
        <v>1489</v>
      </c>
    </row>
    <row r="1280" spans="1:10" ht="13.8">
      <c r="A1280" s="16" t="s">
        <v>1826</v>
      </c>
      <c r="B1280" s="26"/>
      <c r="C1280" s="685" t="s">
        <v>3177</v>
      </c>
      <c r="D1280" s="17" t="s">
        <v>2118</v>
      </c>
      <c r="E1280" s="14"/>
      <c r="F1280" s="1989">
        <v>1000</v>
      </c>
      <c r="G1280" s="18"/>
      <c r="H1280" s="18"/>
      <c r="I1280" s="2013"/>
      <c r="J1280" s="13" t="s">
        <v>1489</v>
      </c>
    </row>
    <row r="1281" spans="1:10" ht="13.8">
      <c r="A1281" s="16" t="s">
        <v>1183</v>
      </c>
      <c r="B1281" s="26"/>
      <c r="C1281" s="685" t="s">
        <v>3178</v>
      </c>
      <c r="D1281" s="17" t="s">
        <v>2118</v>
      </c>
      <c r="E1281" s="14"/>
      <c r="F1281" s="1989">
        <v>1000</v>
      </c>
      <c r="G1281" s="18"/>
      <c r="H1281" s="18"/>
      <c r="I1281" s="2013"/>
      <c r="J1281" s="13" t="s">
        <v>1489</v>
      </c>
    </row>
    <row r="1282" spans="1:10" ht="13.8">
      <c r="A1282" s="16" t="s">
        <v>1257</v>
      </c>
      <c r="B1282" s="26"/>
      <c r="C1282" s="685" t="s">
        <v>3179</v>
      </c>
      <c r="D1282" s="17" t="s">
        <v>2118</v>
      </c>
      <c r="E1282" s="14"/>
      <c r="F1282" s="1989">
        <v>1000</v>
      </c>
      <c r="G1282" s="18"/>
      <c r="H1282" s="18"/>
      <c r="I1282" s="2013"/>
      <c r="J1282" s="13" t="s">
        <v>1489</v>
      </c>
    </row>
    <row r="1283" spans="1:10" ht="13.8">
      <c r="A1283" s="16" t="s">
        <v>1983</v>
      </c>
      <c r="B1283" s="26"/>
      <c r="C1283" s="685" t="s">
        <v>3180</v>
      </c>
      <c r="D1283" s="17" t="s">
        <v>2118</v>
      </c>
      <c r="E1283" s="14"/>
      <c r="F1283" s="1989">
        <v>3000</v>
      </c>
      <c r="G1283" s="18"/>
      <c r="H1283" s="18"/>
      <c r="I1283" s="2013"/>
      <c r="J1283" s="13" t="s">
        <v>1489</v>
      </c>
    </row>
    <row r="1284" spans="1:10" ht="13.8">
      <c r="A1284" s="16" t="s">
        <v>477</v>
      </c>
      <c r="B1284" s="26"/>
      <c r="C1284" s="685" t="s">
        <v>3181</v>
      </c>
      <c r="D1284" s="17" t="s">
        <v>2118</v>
      </c>
      <c r="E1284" s="14"/>
      <c r="F1284" s="1989">
        <v>4000</v>
      </c>
      <c r="G1284" s="18"/>
      <c r="H1284" s="18"/>
      <c r="I1284" s="2013"/>
      <c r="J1284" s="13" t="s">
        <v>1489</v>
      </c>
    </row>
    <row r="1285" spans="1:10" ht="13.8">
      <c r="A1285" s="16" t="s">
        <v>476</v>
      </c>
      <c r="B1285" s="26"/>
      <c r="C1285" s="685" t="s">
        <v>3182</v>
      </c>
      <c r="D1285" s="17" t="s">
        <v>2118</v>
      </c>
      <c r="E1285" s="14"/>
      <c r="F1285" s="1989">
        <v>4000</v>
      </c>
      <c r="G1285" s="18"/>
      <c r="H1285" s="18"/>
      <c r="I1285" s="2013"/>
      <c r="J1285" s="13" t="s">
        <v>1489</v>
      </c>
    </row>
    <row r="1286" spans="1:10" ht="13.8">
      <c r="A1286" s="16" t="s">
        <v>475</v>
      </c>
      <c r="B1286" s="26"/>
      <c r="C1286" s="685" t="s">
        <v>3183</v>
      </c>
      <c r="D1286" s="17" t="s">
        <v>2118</v>
      </c>
      <c r="E1286" s="14"/>
      <c r="F1286" s="1989">
        <v>5000</v>
      </c>
      <c r="G1286" s="18"/>
      <c r="H1286" s="18"/>
      <c r="I1286" s="2013"/>
      <c r="J1286" s="13" t="s">
        <v>1489</v>
      </c>
    </row>
    <row r="1287" spans="1:10" ht="13.8">
      <c r="A1287" s="16" t="s">
        <v>295</v>
      </c>
      <c r="B1287" s="26"/>
      <c r="C1287" s="685" t="s">
        <v>3184</v>
      </c>
      <c r="D1287" s="17" t="s">
        <v>2118</v>
      </c>
      <c r="E1287" s="14"/>
      <c r="F1287" s="1989">
        <v>6000</v>
      </c>
      <c r="G1287" s="18"/>
      <c r="H1287" s="18"/>
      <c r="I1287" s="2013"/>
      <c r="J1287" s="13" t="s">
        <v>1489</v>
      </c>
    </row>
    <row r="1288" spans="1:10" ht="13.8">
      <c r="A1288" s="16" t="s">
        <v>1982</v>
      </c>
      <c r="B1288" s="26"/>
      <c r="C1288" s="685" t="s">
        <v>3185</v>
      </c>
      <c r="D1288" s="17" t="s">
        <v>2118</v>
      </c>
      <c r="E1288" s="14"/>
      <c r="F1288" s="1989">
        <v>6000</v>
      </c>
      <c r="G1288" s="18"/>
      <c r="H1288" s="18"/>
      <c r="I1288" s="2013"/>
      <c r="J1288" s="13" t="s">
        <v>1489</v>
      </c>
    </row>
    <row r="1289" spans="1:10" ht="13.8">
      <c r="A1289" s="16" t="s">
        <v>474</v>
      </c>
      <c r="B1289" s="26"/>
      <c r="C1289" s="685" t="s">
        <v>3186</v>
      </c>
      <c r="D1289" s="17" t="s">
        <v>2118</v>
      </c>
      <c r="E1289" s="14"/>
      <c r="F1289" s="1989">
        <v>6000</v>
      </c>
      <c r="G1289" s="18"/>
      <c r="H1289" s="18"/>
      <c r="I1289" s="2013"/>
      <c r="J1289" s="13" t="s">
        <v>1489</v>
      </c>
    </row>
    <row r="1290" spans="1:10" ht="13.8">
      <c r="A1290" s="16" t="s">
        <v>40</v>
      </c>
      <c r="B1290" s="26"/>
      <c r="C1290" s="685" t="s">
        <v>3187</v>
      </c>
      <c r="D1290" s="17" t="s">
        <v>2118</v>
      </c>
      <c r="E1290" s="14"/>
      <c r="F1290" s="1989">
        <v>6000</v>
      </c>
      <c r="G1290" s="18"/>
      <c r="H1290" s="18"/>
      <c r="I1290" s="2013"/>
      <c r="J1290" s="13" t="s">
        <v>1489</v>
      </c>
    </row>
    <row r="1291" spans="1:10" ht="13.8">
      <c r="A1291" s="16" t="s">
        <v>726</v>
      </c>
      <c r="B1291" s="26"/>
      <c r="C1291" s="685" t="s">
        <v>3188</v>
      </c>
      <c r="D1291" s="17" t="s">
        <v>2118</v>
      </c>
      <c r="E1291" s="14"/>
      <c r="F1291" s="1989">
        <v>8000</v>
      </c>
      <c r="G1291" s="18"/>
      <c r="H1291" s="18"/>
      <c r="I1291" s="2013"/>
      <c r="J1291" s="13" t="s">
        <v>1489</v>
      </c>
    </row>
    <row r="1292" spans="1:10">
      <c r="A1292" s="16" t="s">
        <v>419</v>
      </c>
      <c r="B1292" s="20"/>
      <c r="C1292" s="514" t="s">
        <v>3189</v>
      </c>
      <c r="D1292" s="17" t="s">
        <v>866</v>
      </c>
      <c r="E1292" s="14"/>
      <c r="F1292" s="18">
        <v>38200</v>
      </c>
      <c r="G1292" s="18"/>
      <c r="H1292" s="18"/>
      <c r="I1292" s="14"/>
      <c r="J1292" s="13" t="s">
        <v>610</v>
      </c>
    </row>
    <row r="1293" spans="1:10">
      <c r="A1293" s="16" t="s">
        <v>420</v>
      </c>
      <c r="B1293" s="20"/>
      <c r="C1293" s="514" t="s">
        <v>3190</v>
      </c>
      <c r="D1293" s="17" t="s">
        <v>866</v>
      </c>
      <c r="E1293" s="14"/>
      <c r="F1293" s="18">
        <v>14830</v>
      </c>
      <c r="G1293" s="18"/>
      <c r="H1293" s="18"/>
      <c r="I1293" s="14"/>
      <c r="J1293" s="13" t="s">
        <v>610</v>
      </c>
    </row>
    <row r="1294" spans="1:10">
      <c r="A1294" s="16" t="s">
        <v>166</v>
      </c>
      <c r="B1294" s="20"/>
      <c r="C1294" s="514" t="s">
        <v>3191</v>
      </c>
      <c r="D1294" s="17" t="s">
        <v>866</v>
      </c>
      <c r="E1294" s="14"/>
      <c r="F1294" s="18">
        <v>41800</v>
      </c>
      <c r="G1294" s="18"/>
      <c r="H1294" s="18"/>
      <c r="I1294" s="14"/>
      <c r="J1294" s="13" t="s">
        <v>610</v>
      </c>
    </row>
    <row r="1295" spans="1:10">
      <c r="A1295" s="16" t="s">
        <v>1687</v>
      </c>
      <c r="B1295" s="20"/>
      <c r="C1295" s="514" t="s">
        <v>3192</v>
      </c>
      <c r="D1295" s="17" t="s">
        <v>866</v>
      </c>
      <c r="E1295" s="14"/>
      <c r="F1295" s="18">
        <v>81500</v>
      </c>
      <c r="G1295" s="18"/>
      <c r="H1295" s="18"/>
      <c r="I1295" s="14"/>
      <c r="J1295" s="13" t="s">
        <v>610</v>
      </c>
    </row>
    <row r="1296" spans="1:10">
      <c r="A1296" s="16" t="s">
        <v>243</v>
      </c>
      <c r="B1296" s="20"/>
      <c r="C1296" s="514" t="s">
        <v>3193</v>
      </c>
      <c r="D1296" s="17" t="s">
        <v>866</v>
      </c>
      <c r="E1296" s="14"/>
      <c r="F1296" s="18">
        <v>81500</v>
      </c>
      <c r="G1296" s="18"/>
      <c r="H1296" s="18"/>
      <c r="I1296" s="14"/>
      <c r="J1296" s="13" t="s">
        <v>610</v>
      </c>
    </row>
    <row r="1297" spans="1:10">
      <c r="A1297" s="16" t="s">
        <v>702</v>
      </c>
      <c r="B1297" s="20"/>
      <c r="C1297" s="514" t="s">
        <v>3194</v>
      </c>
      <c r="D1297" s="17" t="s">
        <v>866</v>
      </c>
      <c r="E1297" s="14"/>
      <c r="F1297" s="18">
        <v>62400</v>
      </c>
      <c r="G1297" s="18"/>
      <c r="H1297" s="18"/>
      <c r="I1297" s="14"/>
      <c r="J1297" s="13" t="s">
        <v>610</v>
      </c>
    </row>
    <row r="1298" spans="1:10">
      <c r="A1298" s="16" t="s">
        <v>703</v>
      </c>
      <c r="B1298" s="20"/>
      <c r="C1298" s="514" t="s">
        <v>3195</v>
      </c>
      <c r="D1298" s="17" t="s">
        <v>866</v>
      </c>
      <c r="E1298" s="14"/>
      <c r="F1298" s="18">
        <v>122700</v>
      </c>
      <c r="G1298" s="18"/>
      <c r="H1298" s="18"/>
      <c r="I1298" s="14"/>
      <c r="J1298" s="13" t="s">
        <v>610</v>
      </c>
    </row>
    <row r="1299" spans="1:10">
      <c r="A1299" s="16" t="s">
        <v>244</v>
      </c>
      <c r="B1299" s="20"/>
      <c r="C1299" s="514" t="s">
        <v>3196</v>
      </c>
      <c r="D1299" s="17" t="s">
        <v>866</v>
      </c>
      <c r="E1299" s="14"/>
      <c r="F1299" s="18">
        <v>122700</v>
      </c>
      <c r="G1299" s="18"/>
      <c r="H1299" s="18"/>
      <c r="I1299" s="14"/>
      <c r="J1299" s="13" t="s">
        <v>610</v>
      </c>
    </row>
    <row r="1300" spans="1:10">
      <c r="A1300" s="16" t="s">
        <v>167</v>
      </c>
      <c r="B1300" s="20"/>
      <c r="C1300" s="514" t="s">
        <v>3197</v>
      </c>
      <c r="D1300" s="17" t="s">
        <v>866</v>
      </c>
      <c r="E1300" s="14"/>
      <c r="F1300" s="18">
        <v>83600</v>
      </c>
      <c r="G1300" s="18"/>
      <c r="H1300" s="18"/>
      <c r="I1300" s="14"/>
      <c r="J1300" s="13" t="s">
        <v>610</v>
      </c>
    </row>
    <row r="1301" spans="1:10">
      <c r="A1301" s="16" t="s">
        <v>1688</v>
      </c>
      <c r="B1301" s="20"/>
      <c r="C1301" s="514" t="s">
        <v>3198</v>
      </c>
      <c r="D1301" s="17" t="s">
        <v>866</v>
      </c>
      <c r="E1301" s="14"/>
      <c r="F1301" s="18">
        <v>164400</v>
      </c>
      <c r="G1301" s="18"/>
      <c r="H1301" s="18"/>
      <c r="I1301" s="14"/>
      <c r="J1301" s="13" t="s">
        <v>610</v>
      </c>
    </row>
    <row r="1302" spans="1:10">
      <c r="A1302" s="16" t="s">
        <v>245</v>
      </c>
      <c r="B1302" s="20"/>
      <c r="C1302" s="514" t="s">
        <v>3199</v>
      </c>
      <c r="D1302" s="17" t="s">
        <v>866</v>
      </c>
      <c r="E1302" s="14"/>
      <c r="F1302" s="18">
        <v>164400</v>
      </c>
      <c r="G1302" s="18"/>
      <c r="H1302" s="18"/>
      <c r="I1302" s="14"/>
      <c r="J1302" s="13" t="s">
        <v>610</v>
      </c>
    </row>
    <row r="1303" spans="1:10">
      <c r="A1303" s="16" t="s">
        <v>978</v>
      </c>
      <c r="B1303" s="17" t="s">
        <v>385</v>
      </c>
      <c r="C1303" s="514" t="s">
        <v>3200</v>
      </c>
      <c r="D1303" s="17" t="s">
        <v>2226</v>
      </c>
      <c r="E1303" s="14"/>
      <c r="F1303" s="18">
        <v>110000</v>
      </c>
      <c r="G1303" s="18">
        <v>8065</v>
      </c>
      <c r="H1303" s="18"/>
      <c r="I1303" s="14"/>
      <c r="J1303" s="13" t="s">
        <v>610</v>
      </c>
    </row>
    <row r="1304" spans="1:10">
      <c r="A1304" s="16" t="s">
        <v>57</v>
      </c>
      <c r="B1304" s="20"/>
      <c r="C1304" s="514" t="s">
        <v>3201</v>
      </c>
      <c r="D1304" s="17" t="s">
        <v>2307</v>
      </c>
      <c r="E1304" s="14"/>
      <c r="F1304" s="18">
        <v>860</v>
      </c>
      <c r="G1304" s="18"/>
      <c r="H1304" s="18"/>
      <c r="I1304" s="14"/>
      <c r="J1304" s="13" t="s">
        <v>610</v>
      </c>
    </row>
    <row r="1305" spans="1:10">
      <c r="A1305" s="16" t="s">
        <v>14</v>
      </c>
      <c r="B1305" s="672"/>
      <c r="C1305" s="514" t="s">
        <v>3202</v>
      </c>
      <c r="D1305" s="17" t="s">
        <v>2307</v>
      </c>
      <c r="E1305" s="14"/>
      <c r="F1305" s="14">
        <v>25900</v>
      </c>
      <c r="G1305" s="18"/>
      <c r="H1305" s="18"/>
      <c r="I1305" s="14">
        <v>25900</v>
      </c>
      <c r="J1305" s="13" t="s">
        <v>610</v>
      </c>
    </row>
    <row r="1306" spans="1:10">
      <c r="A1306" s="16" t="s">
        <v>58</v>
      </c>
      <c r="B1306" s="20"/>
      <c r="C1306" s="514" t="s">
        <v>3203</v>
      </c>
      <c r="D1306" s="17" t="s">
        <v>2307</v>
      </c>
      <c r="E1306" s="14"/>
      <c r="F1306" s="18">
        <v>2700</v>
      </c>
      <c r="G1306" s="18"/>
      <c r="H1306" s="18"/>
      <c r="I1306" s="14"/>
      <c r="J1306" s="13" t="s">
        <v>610</v>
      </c>
    </row>
    <row r="1307" spans="1:10">
      <c r="A1307" s="16" t="s">
        <v>627</v>
      </c>
      <c r="B1307" s="20"/>
      <c r="C1307" s="514" t="s">
        <v>3204</v>
      </c>
      <c r="D1307" s="17" t="s">
        <v>3205</v>
      </c>
      <c r="E1307" s="14"/>
      <c r="F1307" s="18">
        <v>15000</v>
      </c>
      <c r="G1307" s="18"/>
      <c r="H1307" s="18"/>
      <c r="I1307" s="661"/>
      <c r="J1307" s="13" t="s">
        <v>610</v>
      </c>
    </row>
    <row r="1308" spans="1:10">
      <c r="A1308" s="16" t="s">
        <v>1854</v>
      </c>
      <c r="B1308" s="26" t="s">
        <v>1855</v>
      </c>
      <c r="C1308" s="514" t="s">
        <v>3206</v>
      </c>
      <c r="D1308" s="17" t="s">
        <v>2118</v>
      </c>
      <c r="E1308" s="14"/>
      <c r="F1308" s="18">
        <v>27300</v>
      </c>
      <c r="G1308" s="18">
        <v>11029</v>
      </c>
      <c r="H1308" s="18"/>
      <c r="I1308" s="14"/>
      <c r="J1308" s="13" t="s">
        <v>1489</v>
      </c>
    </row>
    <row r="1309" spans="1:10">
      <c r="A1309" s="16" t="s">
        <v>1856</v>
      </c>
      <c r="B1309" s="26" t="s">
        <v>1855</v>
      </c>
      <c r="C1309" s="514" t="s">
        <v>3207</v>
      </c>
      <c r="D1309" s="17" t="s">
        <v>2118</v>
      </c>
      <c r="E1309" s="14"/>
      <c r="F1309" s="18">
        <v>41900</v>
      </c>
      <c r="G1309" s="18">
        <v>12467</v>
      </c>
      <c r="H1309" s="18"/>
      <c r="I1309" s="14"/>
      <c r="J1309" s="13" t="s">
        <v>1489</v>
      </c>
    </row>
    <row r="1310" spans="1:10">
      <c r="A1310" s="16" t="s">
        <v>1979</v>
      </c>
      <c r="B1310" s="26" t="s">
        <v>1855</v>
      </c>
      <c r="C1310" s="514" t="s">
        <v>3208</v>
      </c>
      <c r="D1310" s="17" t="s">
        <v>2118</v>
      </c>
      <c r="E1310" s="14"/>
      <c r="F1310" s="18">
        <v>66900</v>
      </c>
      <c r="G1310" s="18">
        <v>15344</v>
      </c>
      <c r="H1310" s="18"/>
      <c r="I1310" s="14"/>
      <c r="J1310" s="13" t="s">
        <v>1489</v>
      </c>
    </row>
    <row r="1311" spans="1:10">
      <c r="A1311" s="16" t="s">
        <v>1980</v>
      </c>
      <c r="B1311" s="26" t="s">
        <v>1855</v>
      </c>
      <c r="C1311" s="514" t="s">
        <v>3209</v>
      </c>
      <c r="D1311" s="17" t="s">
        <v>2118</v>
      </c>
      <c r="E1311" s="14"/>
      <c r="F1311" s="18">
        <v>146300</v>
      </c>
      <c r="G1311" s="18">
        <v>19180</v>
      </c>
      <c r="H1311" s="18"/>
      <c r="I1311" s="14"/>
      <c r="J1311" s="13" t="s">
        <v>1489</v>
      </c>
    </row>
    <row r="1312" spans="1:10">
      <c r="A1312" s="16" t="s">
        <v>2091</v>
      </c>
      <c r="B1312" s="26" t="s">
        <v>1855</v>
      </c>
      <c r="C1312" s="514" t="s">
        <v>3210</v>
      </c>
      <c r="D1312" s="17" t="s">
        <v>2118</v>
      </c>
      <c r="E1312" s="14"/>
      <c r="F1312" s="18"/>
      <c r="G1312" s="18">
        <v>23975</v>
      </c>
      <c r="H1312" s="18"/>
      <c r="I1312" s="14"/>
      <c r="J1312" s="13" t="s">
        <v>1489</v>
      </c>
    </row>
    <row r="1313" spans="1:13">
      <c r="A1313" s="16" t="s">
        <v>96</v>
      </c>
      <c r="B1313" s="26" t="s">
        <v>1855</v>
      </c>
      <c r="C1313" s="514" t="s">
        <v>3211</v>
      </c>
      <c r="D1313" s="17" t="s">
        <v>2118</v>
      </c>
      <c r="E1313" s="14"/>
      <c r="F1313" s="18"/>
      <c r="G1313" s="18">
        <v>28770</v>
      </c>
      <c r="H1313" s="18"/>
      <c r="I1313" s="14"/>
      <c r="J1313" s="13" t="s">
        <v>1489</v>
      </c>
    </row>
    <row r="1314" spans="1:13">
      <c r="A1314" s="16" t="s">
        <v>1661</v>
      </c>
      <c r="B1314" s="26" t="s">
        <v>1855</v>
      </c>
      <c r="C1314" s="514" t="s">
        <v>3212</v>
      </c>
      <c r="D1314" s="17" t="s">
        <v>2118</v>
      </c>
      <c r="E1314" s="14"/>
      <c r="F1314" s="18"/>
      <c r="G1314" s="18">
        <v>33565</v>
      </c>
      <c r="H1314" s="18"/>
      <c r="I1314" s="14"/>
      <c r="J1314" s="13" t="s">
        <v>1489</v>
      </c>
    </row>
    <row r="1315" spans="1:13">
      <c r="A1315" s="16" t="s">
        <v>977</v>
      </c>
      <c r="B1315" s="26" t="s">
        <v>1855</v>
      </c>
      <c r="C1315" s="514" t="s">
        <v>3213</v>
      </c>
      <c r="D1315" s="17" t="s">
        <v>2118</v>
      </c>
      <c r="E1315" s="14"/>
      <c r="F1315" s="18"/>
      <c r="G1315" s="18">
        <v>38360</v>
      </c>
      <c r="H1315" s="18"/>
      <c r="I1315" s="14"/>
      <c r="J1315" s="13" t="s">
        <v>1489</v>
      </c>
    </row>
    <row r="1316" spans="1:13">
      <c r="A1316" s="16" t="s">
        <v>1330</v>
      </c>
      <c r="B1316" s="20"/>
      <c r="C1316" s="514" t="s">
        <v>3214</v>
      </c>
      <c r="D1316" s="17" t="s">
        <v>866</v>
      </c>
      <c r="E1316" s="14"/>
      <c r="F1316" s="18">
        <v>244600</v>
      </c>
      <c r="G1316" s="18"/>
      <c r="H1316" s="18"/>
      <c r="I1316" s="14"/>
      <c r="J1316" s="13" t="s">
        <v>750</v>
      </c>
      <c r="M1316" s="592">
        <v>3524</v>
      </c>
    </row>
    <row r="1317" spans="1:13">
      <c r="A1317" s="16" t="s">
        <v>1497</v>
      </c>
      <c r="B1317" s="20"/>
      <c r="C1317" s="514" t="s">
        <v>3215</v>
      </c>
      <c r="D1317" s="17" t="s">
        <v>866</v>
      </c>
      <c r="E1317" s="14"/>
      <c r="F1317" s="18">
        <v>226800</v>
      </c>
      <c r="G1317" s="18"/>
      <c r="H1317" s="18"/>
      <c r="I1317" s="14"/>
      <c r="J1317" s="13" t="s">
        <v>750</v>
      </c>
      <c r="M1317" s="592">
        <v>3524</v>
      </c>
    </row>
    <row r="1318" spans="1:13">
      <c r="A1318" s="16" t="s">
        <v>1861</v>
      </c>
      <c r="B1318" s="20"/>
      <c r="C1318" s="514" t="s">
        <v>3216</v>
      </c>
      <c r="D1318" s="17" t="s">
        <v>866</v>
      </c>
      <c r="E1318" s="14"/>
      <c r="F1318" s="18">
        <f>+(F1317+F1319)/2</f>
        <v>165250</v>
      </c>
      <c r="G1318" s="18"/>
      <c r="H1318" s="18"/>
      <c r="I1318" s="14"/>
      <c r="J1318" s="13" t="s">
        <v>750</v>
      </c>
      <c r="M1318" s="592">
        <v>3524</v>
      </c>
    </row>
    <row r="1319" spans="1:13">
      <c r="A1319" s="16" t="s">
        <v>961</v>
      </c>
      <c r="B1319" s="20"/>
      <c r="C1319" s="514" t="s">
        <v>3217</v>
      </c>
      <c r="D1319" s="17" t="s">
        <v>866</v>
      </c>
      <c r="E1319" s="14">
        <f>F1319</f>
        <v>103700</v>
      </c>
      <c r="F1319" s="18">
        <v>103700</v>
      </c>
      <c r="G1319" s="18"/>
      <c r="H1319" s="18"/>
      <c r="I1319" s="14"/>
      <c r="J1319" s="13" t="s">
        <v>750</v>
      </c>
      <c r="M1319" s="592">
        <v>3524</v>
      </c>
    </row>
    <row r="1320" spans="1:13">
      <c r="A1320" s="16" t="s">
        <v>595</v>
      </c>
      <c r="B1320" s="20"/>
      <c r="C1320" s="514" t="s">
        <v>3218</v>
      </c>
      <c r="D1320" s="17" t="s">
        <v>866</v>
      </c>
      <c r="E1320" s="14"/>
      <c r="F1320" s="18">
        <v>63200</v>
      </c>
      <c r="G1320" s="18"/>
      <c r="H1320" s="18"/>
      <c r="I1320" s="14"/>
      <c r="J1320" s="13" t="s">
        <v>750</v>
      </c>
      <c r="M1320" s="592">
        <v>3461</v>
      </c>
    </row>
    <row r="1321" spans="1:13">
      <c r="A1321" s="16" t="s">
        <v>63</v>
      </c>
      <c r="B1321" s="515"/>
      <c r="C1321" s="514" t="s">
        <v>3219</v>
      </c>
      <c r="D1321" s="17" t="s">
        <v>866</v>
      </c>
      <c r="E1321" s="14"/>
      <c r="F1321" s="18">
        <v>31200</v>
      </c>
      <c r="G1321" s="18"/>
      <c r="H1321" s="18"/>
      <c r="I1321" s="14"/>
      <c r="J1321" s="13" t="s">
        <v>750</v>
      </c>
    </row>
    <row r="1322" spans="1:13" ht="13.8">
      <c r="A1322" s="16" t="s">
        <v>756</v>
      </c>
      <c r="B1322" s="515"/>
      <c r="C1322" s="514" t="s">
        <v>3220</v>
      </c>
      <c r="D1322" s="17" t="s">
        <v>866</v>
      </c>
      <c r="E1322" s="14"/>
      <c r="F1322" s="1985">
        <v>21400</v>
      </c>
      <c r="G1322" s="18"/>
      <c r="H1322" s="18"/>
      <c r="I1322" s="14"/>
      <c r="J1322" s="13" t="s">
        <v>750</v>
      </c>
    </row>
    <row r="1323" spans="1:13">
      <c r="A1323" s="16" t="s">
        <v>1736</v>
      </c>
      <c r="B1323" s="515"/>
      <c r="C1323" s="514" t="s">
        <v>3221</v>
      </c>
      <c r="D1323" s="17" t="s">
        <v>866</v>
      </c>
      <c r="E1323" s="14"/>
      <c r="F1323" s="18">
        <v>16100</v>
      </c>
      <c r="G1323" s="18"/>
      <c r="H1323" s="18"/>
      <c r="I1323" s="14"/>
      <c r="J1323" s="13" t="s">
        <v>750</v>
      </c>
    </row>
    <row r="1324" spans="1:13">
      <c r="A1324" s="16" t="s">
        <v>262</v>
      </c>
      <c r="B1324" s="515"/>
      <c r="C1324" s="514" t="s">
        <v>3222</v>
      </c>
      <c r="D1324" s="17" t="s">
        <v>866</v>
      </c>
      <c r="E1324" s="14"/>
      <c r="F1324" s="18">
        <v>6200</v>
      </c>
      <c r="G1324" s="18"/>
      <c r="H1324" s="18"/>
      <c r="I1324" s="14"/>
      <c r="J1324" s="13" t="s">
        <v>750</v>
      </c>
    </row>
    <row r="1325" spans="1:13" ht="13.8">
      <c r="A1325" s="16" t="s">
        <v>4949</v>
      </c>
      <c r="B1325" s="515"/>
      <c r="C1325" s="514" t="s">
        <v>4950</v>
      </c>
      <c r="D1325" s="17" t="s">
        <v>866</v>
      </c>
      <c r="E1325" s="14"/>
      <c r="F1325" s="1985">
        <v>12300</v>
      </c>
      <c r="G1325" s="18"/>
      <c r="H1325" s="18"/>
      <c r="I1325" s="14"/>
      <c r="J1325" s="13" t="s">
        <v>750</v>
      </c>
    </row>
    <row r="1326" spans="1:13">
      <c r="A1326" s="16" t="s">
        <v>970</v>
      </c>
      <c r="B1326" s="20"/>
      <c r="C1326" s="514" t="s">
        <v>3223</v>
      </c>
      <c r="D1326" s="17" t="s">
        <v>2307</v>
      </c>
      <c r="E1326" s="14"/>
      <c r="F1326" s="18">
        <v>5000</v>
      </c>
      <c r="G1326" s="18"/>
      <c r="H1326" s="18"/>
      <c r="I1326" s="14"/>
      <c r="J1326" s="13" t="s">
        <v>2548</v>
      </c>
    </row>
    <row r="1327" spans="1:13">
      <c r="A1327" s="16" t="s">
        <v>635</v>
      </c>
      <c r="B1327" s="515"/>
      <c r="C1327" s="514" t="s">
        <v>3224</v>
      </c>
      <c r="D1327" s="17" t="s">
        <v>866</v>
      </c>
      <c r="E1327" s="14"/>
      <c r="F1327" s="18">
        <v>27500</v>
      </c>
      <c r="G1327" s="18"/>
      <c r="H1327" s="18"/>
      <c r="I1327" s="14"/>
      <c r="J1327" s="13" t="s">
        <v>2548</v>
      </c>
    </row>
    <row r="1328" spans="1:13">
      <c r="A1328" s="16" t="s">
        <v>4572</v>
      </c>
      <c r="B1328" s="515"/>
      <c r="C1328" s="514" t="s">
        <v>5675</v>
      </c>
      <c r="D1328" s="17" t="s">
        <v>866</v>
      </c>
      <c r="E1328" s="14"/>
      <c r="F1328" s="18">
        <v>156700</v>
      </c>
      <c r="G1328" s="18"/>
      <c r="H1328" s="18"/>
      <c r="I1328" s="14"/>
      <c r="J1328" s="13" t="s">
        <v>2548</v>
      </c>
    </row>
    <row r="1329" spans="1:10">
      <c r="A1329" s="16" t="s">
        <v>822</v>
      </c>
      <c r="B1329" s="515"/>
      <c r="C1329" s="514" t="s">
        <v>3225</v>
      </c>
      <c r="D1329" s="17" t="s">
        <v>866</v>
      </c>
      <c r="E1329" s="14"/>
      <c r="F1329" s="18">
        <v>3100</v>
      </c>
      <c r="G1329" s="18"/>
      <c r="H1329" s="18"/>
      <c r="I1329" s="14"/>
      <c r="J1329" s="13" t="s">
        <v>2548</v>
      </c>
    </row>
    <row r="1330" spans="1:10">
      <c r="A1330" s="16" t="s">
        <v>5231</v>
      </c>
      <c r="B1330" s="515"/>
      <c r="C1330" s="514" t="s">
        <v>5232</v>
      </c>
      <c r="D1330" s="17" t="s">
        <v>866</v>
      </c>
      <c r="E1330" s="14"/>
      <c r="F1330" s="18">
        <v>3100</v>
      </c>
      <c r="G1330" s="18"/>
      <c r="H1330" s="18"/>
      <c r="I1330" s="14"/>
      <c r="J1330" s="13" t="s">
        <v>2548</v>
      </c>
    </row>
    <row r="1331" spans="1:10">
      <c r="A1331" s="16" t="s">
        <v>4951</v>
      </c>
      <c r="B1331" s="515"/>
      <c r="C1331" s="514" t="s">
        <v>4952</v>
      </c>
      <c r="D1331" s="17" t="s">
        <v>866</v>
      </c>
      <c r="E1331" s="14"/>
      <c r="F1331" s="18">
        <v>3100</v>
      </c>
      <c r="G1331" s="18"/>
      <c r="H1331" s="18"/>
      <c r="I1331" s="14"/>
      <c r="J1331" s="13" t="s">
        <v>2548</v>
      </c>
    </row>
    <row r="1332" spans="1:10">
      <c r="A1332" s="16" t="s">
        <v>4708</v>
      </c>
      <c r="B1332" s="515"/>
      <c r="C1332" s="514" t="s">
        <v>4707</v>
      </c>
      <c r="D1332" s="17" t="s">
        <v>866</v>
      </c>
      <c r="E1332" s="14"/>
      <c r="F1332" s="18">
        <v>50000</v>
      </c>
      <c r="G1332" s="18"/>
      <c r="H1332" s="18"/>
      <c r="I1332" s="14"/>
      <c r="J1332" s="13" t="s">
        <v>2548</v>
      </c>
    </row>
    <row r="1333" spans="1:10">
      <c r="A1333" s="16" t="s">
        <v>1283</v>
      </c>
      <c r="B1333" s="515"/>
      <c r="C1333" s="514" t="s">
        <v>4568</v>
      </c>
      <c r="D1333" s="17" t="s">
        <v>866</v>
      </c>
      <c r="E1333" s="14"/>
      <c r="F1333" s="18">
        <v>58700</v>
      </c>
      <c r="G1333" s="18"/>
      <c r="H1333" s="18"/>
      <c r="I1333" s="14"/>
      <c r="J1333" s="13" t="s">
        <v>2548</v>
      </c>
    </row>
    <row r="1334" spans="1:10">
      <c r="A1334" s="16" t="s">
        <v>4572</v>
      </c>
      <c r="B1334" s="515"/>
      <c r="C1334" s="514" t="s">
        <v>4573</v>
      </c>
      <c r="D1334" s="17" t="s">
        <v>866</v>
      </c>
      <c r="E1334" s="14"/>
      <c r="F1334" s="18">
        <v>4000</v>
      </c>
      <c r="G1334" s="18"/>
      <c r="H1334" s="18"/>
      <c r="I1334" s="14"/>
      <c r="J1334" s="13" t="s">
        <v>2548</v>
      </c>
    </row>
    <row r="1335" spans="1:10">
      <c r="A1335" s="16" t="s">
        <v>263</v>
      </c>
      <c r="B1335" s="26"/>
      <c r="C1335" s="514" t="s">
        <v>3226</v>
      </c>
      <c r="D1335" s="17" t="s">
        <v>2118</v>
      </c>
      <c r="E1335" s="14"/>
      <c r="F1335" s="18">
        <v>2100</v>
      </c>
      <c r="G1335" s="18"/>
      <c r="H1335" s="18"/>
      <c r="I1335" s="14"/>
      <c r="J1335" s="13" t="s">
        <v>1489</v>
      </c>
    </row>
    <row r="1336" spans="1:10">
      <c r="A1336" s="16" t="s">
        <v>747</v>
      </c>
      <c r="B1336" s="26"/>
      <c r="C1336" s="514" t="s">
        <v>3227</v>
      </c>
      <c r="D1336" s="17" t="s">
        <v>2118</v>
      </c>
      <c r="E1336" s="14"/>
      <c r="F1336" s="18">
        <v>9600</v>
      </c>
      <c r="G1336" s="18"/>
      <c r="H1336" s="18"/>
      <c r="I1336" s="14"/>
      <c r="J1336" s="13" t="s">
        <v>1489</v>
      </c>
    </row>
    <row r="1337" spans="1:10">
      <c r="A1337" s="16" t="s">
        <v>1576</v>
      </c>
      <c r="B1337" s="26"/>
      <c r="C1337" s="514" t="s">
        <v>3228</v>
      </c>
      <c r="D1337" s="17" t="s">
        <v>2118</v>
      </c>
      <c r="E1337" s="14"/>
      <c r="F1337" s="18">
        <v>11400</v>
      </c>
      <c r="G1337" s="18"/>
      <c r="H1337" s="18"/>
      <c r="I1337" s="14"/>
      <c r="J1337" s="13" t="s">
        <v>1489</v>
      </c>
    </row>
    <row r="1338" spans="1:10">
      <c r="A1338" s="16" t="s">
        <v>969</v>
      </c>
      <c r="B1338" s="26"/>
      <c r="C1338" s="514" t="s">
        <v>3229</v>
      </c>
      <c r="D1338" s="17" t="s">
        <v>2118</v>
      </c>
      <c r="E1338" s="14"/>
      <c r="F1338" s="18">
        <v>21000</v>
      </c>
      <c r="G1338" s="18"/>
      <c r="H1338" s="18"/>
      <c r="I1338" s="14"/>
      <c r="J1338" s="13" t="s">
        <v>1489</v>
      </c>
    </row>
    <row r="1339" spans="1:10">
      <c r="A1339" s="16" t="s">
        <v>1476</v>
      </c>
      <c r="B1339" s="26"/>
      <c r="C1339" s="514" t="s">
        <v>3230</v>
      </c>
      <c r="D1339" s="17" t="s">
        <v>2118</v>
      </c>
      <c r="E1339" s="14"/>
      <c r="F1339" s="18">
        <v>18200</v>
      </c>
      <c r="G1339" s="18"/>
      <c r="H1339" s="18"/>
      <c r="I1339" s="14"/>
      <c r="J1339" s="13" t="s">
        <v>1489</v>
      </c>
    </row>
    <row r="1340" spans="1:10">
      <c r="A1340" s="16" t="s">
        <v>1052</v>
      </c>
      <c r="B1340" s="26"/>
      <c r="C1340" s="514" t="s">
        <v>3231</v>
      </c>
      <c r="D1340" s="17" t="s">
        <v>2118</v>
      </c>
      <c r="E1340" s="14"/>
      <c r="F1340" s="18">
        <v>14800</v>
      </c>
      <c r="G1340" s="18"/>
      <c r="H1340" s="18"/>
      <c r="I1340" s="14"/>
      <c r="J1340" s="13" t="s">
        <v>1489</v>
      </c>
    </row>
    <row r="1341" spans="1:10">
      <c r="A1341" s="16" t="s">
        <v>596</v>
      </c>
      <c r="B1341" s="26"/>
      <c r="C1341" s="514" t="s">
        <v>3232</v>
      </c>
      <c r="D1341" s="17" t="s">
        <v>2118</v>
      </c>
      <c r="E1341" s="14"/>
      <c r="F1341" s="18">
        <v>45400</v>
      </c>
      <c r="G1341" s="18"/>
      <c r="H1341" s="18"/>
      <c r="I1341" s="14"/>
      <c r="J1341" s="13" t="s">
        <v>1489</v>
      </c>
    </row>
    <row r="1342" spans="1:10">
      <c r="A1342" s="16" t="s">
        <v>1812</v>
      </c>
      <c r="B1342" s="26"/>
      <c r="C1342" s="514" t="s">
        <v>3233</v>
      </c>
      <c r="D1342" s="17" t="s">
        <v>2118</v>
      </c>
      <c r="E1342" s="14"/>
      <c r="F1342" s="18">
        <v>33900</v>
      </c>
      <c r="G1342" s="18"/>
      <c r="H1342" s="18"/>
      <c r="I1342" s="14"/>
      <c r="J1342" s="13" t="s">
        <v>1489</v>
      </c>
    </row>
    <row r="1343" spans="1:10">
      <c r="A1343" s="16" t="s">
        <v>112</v>
      </c>
      <c r="B1343" s="26"/>
      <c r="C1343" s="514" t="s">
        <v>3234</v>
      </c>
      <c r="D1343" s="17" t="s">
        <v>2118</v>
      </c>
      <c r="E1343" s="14"/>
      <c r="F1343" s="18">
        <v>45400</v>
      </c>
      <c r="G1343" s="18"/>
      <c r="H1343" s="18"/>
      <c r="I1343" s="14"/>
      <c r="J1343" s="13" t="s">
        <v>1489</v>
      </c>
    </row>
    <row r="1344" spans="1:10">
      <c r="A1344" s="16" t="s">
        <v>1461</v>
      </c>
      <c r="B1344" s="26"/>
      <c r="C1344" s="514" t="s">
        <v>3235</v>
      </c>
      <c r="D1344" s="17" t="s">
        <v>2118</v>
      </c>
      <c r="E1344" s="14"/>
      <c r="F1344" s="18">
        <v>104800</v>
      </c>
      <c r="G1344" s="18"/>
      <c r="H1344" s="18"/>
      <c r="I1344" s="14"/>
      <c r="J1344" s="13" t="s">
        <v>1489</v>
      </c>
    </row>
    <row r="1345" spans="1:10">
      <c r="A1345" s="16" t="s">
        <v>962</v>
      </c>
      <c r="B1345" s="26"/>
      <c r="C1345" s="514" t="s">
        <v>4564</v>
      </c>
      <c r="D1345" s="17" t="s">
        <v>2118</v>
      </c>
      <c r="E1345" s="14"/>
      <c r="F1345" s="18">
        <v>104800</v>
      </c>
      <c r="G1345" s="18"/>
      <c r="H1345" s="18"/>
      <c r="I1345" s="14"/>
      <c r="J1345" s="13" t="s">
        <v>1489</v>
      </c>
    </row>
    <row r="1346" spans="1:10">
      <c r="A1346" s="16" t="s">
        <v>438</v>
      </c>
      <c r="B1346" s="26"/>
      <c r="C1346" s="514" t="s">
        <v>3236</v>
      </c>
      <c r="D1346" s="17" t="s">
        <v>2118</v>
      </c>
      <c r="E1346" s="14"/>
      <c r="F1346" s="18">
        <v>138000</v>
      </c>
      <c r="G1346" s="18"/>
      <c r="H1346" s="18"/>
      <c r="I1346" s="14"/>
      <c r="J1346" s="13" t="s">
        <v>1489</v>
      </c>
    </row>
    <row r="1347" spans="1:10">
      <c r="A1347" s="16" t="s">
        <v>25</v>
      </c>
      <c r="B1347" s="26"/>
      <c r="C1347" s="514" t="s">
        <v>3237</v>
      </c>
      <c r="D1347" s="17" t="s">
        <v>2118</v>
      </c>
      <c r="E1347" s="14"/>
      <c r="F1347" s="18">
        <v>138000</v>
      </c>
      <c r="G1347" s="18"/>
      <c r="H1347" s="18"/>
      <c r="I1347" s="14"/>
      <c r="J1347" s="13" t="s">
        <v>1489</v>
      </c>
    </row>
    <row r="1348" spans="1:10">
      <c r="A1348" s="16" t="s">
        <v>1359</v>
      </c>
      <c r="B1348" s="26"/>
      <c r="C1348" s="514" t="s">
        <v>3238</v>
      </c>
      <c r="D1348" s="17" t="s">
        <v>2118</v>
      </c>
      <c r="E1348" s="14"/>
      <c r="F1348" s="18">
        <v>109300</v>
      </c>
      <c r="G1348" s="18"/>
      <c r="H1348" s="18"/>
      <c r="I1348" s="14"/>
      <c r="J1348" s="13" t="s">
        <v>1489</v>
      </c>
    </row>
    <row r="1349" spans="1:10">
      <c r="A1349" s="16" t="s">
        <v>439</v>
      </c>
      <c r="B1349" s="20"/>
      <c r="C1349" s="514" t="s">
        <v>3239</v>
      </c>
      <c r="D1349" s="17" t="s">
        <v>2118</v>
      </c>
      <c r="E1349" s="14"/>
      <c r="F1349" s="18">
        <v>41200</v>
      </c>
      <c r="G1349" s="18"/>
      <c r="H1349" s="18"/>
      <c r="I1349" s="14"/>
      <c r="J1349" s="13" t="s">
        <v>2609</v>
      </c>
    </row>
    <row r="1350" spans="1:10">
      <c r="A1350" s="16" t="s">
        <v>530</v>
      </c>
      <c r="B1350" s="20"/>
      <c r="C1350" s="514" t="s">
        <v>3240</v>
      </c>
      <c r="D1350" s="17" t="s">
        <v>2118</v>
      </c>
      <c r="E1350" s="14"/>
      <c r="F1350" s="18">
        <v>27500</v>
      </c>
      <c r="G1350" s="18"/>
      <c r="H1350" s="18"/>
      <c r="I1350" s="14"/>
      <c r="J1350" s="13" t="s">
        <v>2609</v>
      </c>
    </row>
    <row r="1351" spans="1:10">
      <c r="A1351" s="16" t="s">
        <v>1972</v>
      </c>
      <c r="B1351" s="20"/>
      <c r="C1351" s="514" t="s">
        <v>3241</v>
      </c>
      <c r="D1351" s="17" t="s">
        <v>2118</v>
      </c>
      <c r="E1351" s="14"/>
      <c r="F1351" s="18">
        <v>12400</v>
      </c>
      <c r="G1351" s="18"/>
      <c r="H1351" s="18"/>
      <c r="I1351" s="14"/>
      <c r="J1351" s="13" t="s">
        <v>2609</v>
      </c>
    </row>
    <row r="1352" spans="1:10">
      <c r="A1352" s="16" t="s">
        <v>1823</v>
      </c>
      <c r="B1352" s="20"/>
      <c r="C1352" s="514" t="s">
        <v>3242</v>
      </c>
      <c r="D1352" s="17" t="s">
        <v>2118</v>
      </c>
      <c r="E1352" s="14"/>
      <c r="F1352" s="18">
        <v>4000</v>
      </c>
      <c r="G1352" s="18"/>
      <c r="H1352" s="18"/>
      <c r="I1352" s="14"/>
      <c r="J1352" s="13" t="s">
        <v>2609</v>
      </c>
    </row>
    <row r="1353" spans="1:10">
      <c r="A1353" s="16" t="s">
        <v>820</v>
      </c>
      <c r="B1353" s="20"/>
      <c r="C1353" s="514" t="s">
        <v>3242</v>
      </c>
      <c r="D1353" s="17" t="s">
        <v>2118</v>
      </c>
      <c r="E1353" s="14"/>
      <c r="F1353" s="18">
        <v>700</v>
      </c>
      <c r="G1353" s="18"/>
      <c r="H1353" s="18"/>
      <c r="I1353" s="14"/>
      <c r="J1353" s="13" t="s">
        <v>2609</v>
      </c>
    </row>
    <row r="1354" spans="1:10">
      <c r="A1354" s="16" t="s">
        <v>821</v>
      </c>
      <c r="B1354" s="20"/>
      <c r="C1354" s="514" t="s">
        <v>3243</v>
      </c>
      <c r="D1354" s="17" t="s">
        <v>2118</v>
      </c>
      <c r="E1354" s="14"/>
      <c r="F1354" s="18">
        <v>11600</v>
      </c>
      <c r="G1354" s="18"/>
      <c r="H1354" s="18"/>
      <c r="I1354" s="14"/>
      <c r="J1354" s="13" t="s">
        <v>2609</v>
      </c>
    </row>
    <row r="1355" spans="1:10">
      <c r="A1355" s="16" t="s">
        <v>1567</v>
      </c>
      <c r="B1355" s="26"/>
      <c r="C1355" s="19" t="s">
        <v>3244</v>
      </c>
      <c r="D1355" s="17" t="s">
        <v>2118</v>
      </c>
      <c r="E1355" s="18"/>
      <c r="F1355" s="18">
        <v>75000</v>
      </c>
      <c r="G1355" s="18"/>
      <c r="H1355" s="1992"/>
      <c r="I1355" s="14"/>
      <c r="J1355" s="13" t="s">
        <v>956</v>
      </c>
    </row>
    <row r="1356" spans="1:10">
      <c r="A1356" s="16" t="s">
        <v>1560</v>
      </c>
      <c r="B1356" s="20"/>
      <c r="C1356" s="514" t="s">
        <v>4915</v>
      </c>
      <c r="D1356" s="17" t="s">
        <v>2118</v>
      </c>
      <c r="E1356" s="14"/>
      <c r="F1356" s="18">
        <v>284000</v>
      </c>
      <c r="G1356" s="18">
        <v>5404</v>
      </c>
      <c r="H1356" s="18"/>
      <c r="I1356" s="14"/>
      <c r="J1356" s="13" t="s">
        <v>956</v>
      </c>
    </row>
    <row r="1357" spans="1:10">
      <c r="A1357" s="16" t="s">
        <v>1824</v>
      </c>
      <c r="B1357" s="20"/>
      <c r="C1357" s="514" t="s">
        <v>3245</v>
      </c>
      <c r="D1357" s="17" t="s">
        <v>2118</v>
      </c>
      <c r="E1357" s="14"/>
      <c r="F1357" s="18">
        <v>125000</v>
      </c>
      <c r="G1357" s="18">
        <v>5404</v>
      </c>
      <c r="H1357" s="18"/>
      <c r="I1357" s="14"/>
      <c r="J1357" s="13" t="s">
        <v>956</v>
      </c>
    </row>
    <row r="1358" spans="1:10">
      <c r="A1358" s="16" t="s">
        <v>271</v>
      </c>
      <c r="B1358" s="20"/>
      <c r="C1358" s="514" t="s">
        <v>3246</v>
      </c>
      <c r="D1358" s="17" t="s">
        <v>2118</v>
      </c>
      <c r="E1358" s="14"/>
      <c r="F1358" s="18">
        <v>95000</v>
      </c>
      <c r="G1358" s="18">
        <v>5404</v>
      </c>
      <c r="H1358" s="18"/>
      <c r="I1358" s="14"/>
      <c r="J1358" s="13" t="s">
        <v>956</v>
      </c>
    </row>
    <row r="1359" spans="1:10">
      <c r="A1359" s="16" t="s">
        <v>745</v>
      </c>
      <c r="B1359" s="20"/>
      <c r="C1359" s="514" t="s">
        <v>3247</v>
      </c>
      <c r="D1359" s="17" t="s">
        <v>2118</v>
      </c>
      <c r="E1359" s="14"/>
      <c r="F1359" s="18">
        <v>30000</v>
      </c>
      <c r="G1359" s="18"/>
      <c r="H1359" s="18"/>
      <c r="I1359" s="14"/>
      <c r="J1359" s="13" t="s">
        <v>956</v>
      </c>
    </row>
    <row r="1360" spans="1:10">
      <c r="A1360" s="16" t="s">
        <v>118</v>
      </c>
      <c r="B1360" s="20"/>
      <c r="C1360" s="514" t="s">
        <v>3248</v>
      </c>
      <c r="D1360" s="17" t="s">
        <v>2118</v>
      </c>
      <c r="E1360" s="14"/>
      <c r="F1360" s="18">
        <v>30000</v>
      </c>
      <c r="G1360" s="18"/>
      <c r="H1360" s="18"/>
      <c r="I1360" s="14"/>
      <c r="J1360" s="13" t="s">
        <v>956</v>
      </c>
    </row>
    <row r="1361" spans="1:10">
      <c r="A1361" s="16" t="s">
        <v>4613</v>
      </c>
      <c r="B1361" s="20"/>
      <c r="C1361" s="514" t="s">
        <v>4614</v>
      </c>
      <c r="D1361" s="17" t="s">
        <v>3249</v>
      </c>
      <c r="E1361" s="14"/>
      <c r="F1361" s="18">
        <v>165000</v>
      </c>
      <c r="G1361" s="18"/>
      <c r="H1361" s="18"/>
      <c r="I1361" s="14"/>
      <c r="J1361" s="13" t="s">
        <v>956</v>
      </c>
    </row>
    <row r="1362" spans="1:10">
      <c r="A1362" s="16" t="s">
        <v>236</v>
      </c>
      <c r="B1362" s="20"/>
      <c r="C1362" s="514" t="s">
        <v>4615</v>
      </c>
      <c r="D1362" s="17" t="s">
        <v>3249</v>
      </c>
      <c r="E1362" s="14"/>
      <c r="F1362" s="18">
        <v>6500</v>
      </c>
      <c r="G1362" s="18"/>
      <c r="H1362" s="18"/>
      <c r="I1362" s="14"/>
      <c r="J1362" s="13" t="s">
        <v>956</v>
      </c>
    </row>
    <row r="1363" spans="1:10">
      <c r="A1363" s="16" t="s">
        <v>4692</v>
      </c>
      <c r="B1363" s="708"/>
      <c r="C1363" s="514" t="s">
        <v>4693</v>
      </c>
      <c r="D1363" s="17" t="s">
        <v>2118</v>
      </c>
      <c r="E1363" s="14"/>
      <c r="F1363" s="18">
        <v>190000</v>
      </c>
      <c r="G1363" s="18"/>
      <c r="H1363" s="18"/>
      <c r="I1363" s="14"/>
      <c r="J1363" s="13"/>
    </row>
    <row r="1364" spans="1:10">
      <c r="A1364" s="16" t="s">
        <v>4695</v>
      </c>
      <c r="B1364" s="708"/>
      <c r="C1364" s="514" t="s">
        <v>4694</v>
      </c>
      <c r="D1364" s="17" t="s">
        <v>2118</v>
      </c>
      <c r="E1364" s="14"/>
      <c r="F1364" s="18">
        <v>170000</v>
      </c>
      <c r="G1364" s="18"/>
      <c r="H1364" s="18"/>
      <c r="I1364" s="14"/>
      <c r="J1364" s="13"/>
    </row>
    <row r="1365" spans="1:10">
      <c r="A1365" s="16" t="s">
        <v>1205</v>
      </c>
      <c r="B1365" s="686"/>
      <c r="C1365" s="514" t="s">
        <v>3250</v>
      </c>
      <c r="D1365" s="17" t="s">
        <v>4619</v>
      </c>
      <c r="E1365" s="14"/>
      <c r="F1365" s="18">
        <v>45000</v>
      </c>
      <c r="G1365" s="18"/>
      <c r="H1365" s="18"/>
      <c r="I1365" s="14"/>
      <c r="J1365" s="13" t="s">
        <v>2449</v>
      </c>
    </row>
    <row r="1366" spans="1:10">
      <c r="A1366" s="25" t="s">
        <v>60</v>
      </c>
      <c r="B1366" s="668"/>
      <c r="C1366" s="25" t="s">
        <v>3251</v>
      </c>
      <c r="D1366" s="17" t="s">
        <v>1557</v>
      </c>
      <c r="E1366" s="14"/>
      <c r="F1366" s="14">
        <v>10500</v>
      </c>
      <c r="G1366" s="18"/>
      <c r="H1366" s="18"/>
      <c r="I1366" s="14">
        <v>9726</v>
      </c>
      <c r="J1366" s="13" t="s">
        <v>2449</v>
      </c>
    </row>
    <row r="1367" spans="1:10">
      <c r="A1367" s="16" t="s">
        <v>1665</v>
      </c>
      <c r="B1367" s="26"/>
      <c r="C1367" s="514" t="s">
        <v>3252</v>
      </c>
      <c r="D1367" s="17" t="s">
        <v>3253</v>
      </c>
      <c r="E1367" s="14"/>
      <c r="F1367" s="18">
        <v>11500</v>
      </c>
      <c r="G1367" s="18"/>
      <c r="H1367" s="18"/>
      <c r="I1367" s="14"/>
      <c r="J1367" s="13" t="s">
        <v>1332</v>
      </c>
    </row>
    <row r="1368" spans="1:10">
      <c r="A1368" s="16" t="s">
        <v>1973</v>
      </c>
      <c r="B1368" s="26"/>
      <c r="C1368" s="514" t="s">
        <v>3254</v>
      </c>
      <c r="D1368" s="17" t="s">
        <v>1320</v>
      </c>
      <c r="E1368" s="14"/>
      <c r="F1368" s="18">
        <v>54100</v>
      </c>
      <c r="G1368" s="18"/>
      <c r="H1368" s="18"/>
      <c r="I1368" s="14"/>
      <c r="J1368" s="13" t="s">
        <v>2449</v>
      </c>
    </row>
    <row r="1369" spans="1:10" ht="13.8">
      <c r="A1369" s="16" t="s">
        <v>4953</v>
      </c>
      <c r="B1369" s="686"/>
      <c r="C1369" s="514" t="s">
        <v>4954</v>
      </c>
      <c r="D1369" s="17" t="s">
        <v>2118</v>
      </c>
      <c r="E1369" s="14"/>
      <c r="F1369" s="1985">
        <v>3700</v>
      </c>
      <c r="G1369" s="18"/>
      <c r="H1369" s="18"/>
      <c r="I1369" s="14"/>
      <c r="J1369" s="13" t="s">
        <v>2449</v>
      </c>
    </row>
    <row r="1370" spans="1:10" ht="13.8">
      <c r="A1370" s="16" t="s">
        <v>1464</v>
      </c>
      <c r="B1370" s="686"/>
      <c r="C1370" s="514" t="s">
        <v>3255</v>
      </c>
      <c r="D1370" s="17" t="s">
        <v>2118</v>
      </c>
      <c r="E1370" s="14"/>
      <c r="F1370" s="1985">
        <v>5000</v>
      </c>
      <c r="G1370" s="18"/>
      <c r="H1370" s="18"/>
      <c r="I1370" s="14"/>
      <c r="J1370" s="13" t="s">
        <v>2449</v>
      </c>
    </row>
    <row r="1371" spans="1:10" ht="13.8">
      <c r="A1371" s="16" t="s">
        <v>5233</v>
      </c>
      <c r="B1371" s="686"/>
      <c r="C1371" s="514" t="s">
        <v>5234</v>
      </c>
      <c r="D1371" s="17" t="s">
        <v>2118</v>
      </c>
      <c r="E1371" s="14"/>
      <c r="F1371" s="1985">
        <v>5000</v>
      </c>
      <c r="G1371" s="18"/>
      <c r="H1371" s="18"/>
      <c r="I1371" s="14"/>
      <c r="J1371" s="13" t="s">
        <v>2449</v>
      </c>
    </row>
    <row r="1372" spans="1:10" ht="13.8">
      <c r="A1372" s="16" t="s">
        <v>705</v>
      </c>
      <c r="B1372" s="686"/>
      <c r="C1372" s="514" t="s">
        <v>3256</v>
      </c>
      <c r="D1372" s="17" t="s">
        <v>2118</v>
      </c>
      <c r="E1372" s="14"/>
      <c r="F1372" s="1985">
        <v>25800</v>
      </c>
      <c r="G1372" s="18"/>
      <c r="H1372" s="18"/>
      <c r="I1372" s="14"/>
      <c r="J1372" s="13" t="s">
        <v>2449</v>
      </c>
    </row>
    <row r="1373" spans="1:10">
      <c r="A1373" s="16" t="s">
        <v>1609</v>
      </c>
      <c r="B1373" s="686"/>
      <c r="C1373" s="514" t="s">
        <v>3257</v>
      </c>
      <c r="D1373" s="17" t="s">
        <v>2118</v>
      </c>
      <c r="E1373" s="14"/>
      <c r="F1373" s="18">
        <v>41900</v>
      </c>
      <c r="G1373" s="18"/>
      <c r="H1373" s="18"/>
      <c r="I1373" s="14"/>
      <c r="J1373" s="13" t="s">
        <v>2449</v>
      </c>
    </row>
    <row r="1374" spans="1:10">
      <c r="A1374" s="16" t="s">
        <v>2048</v>
      </c>
      <c r="B1374" s="686"/>
      <c r="C1374" s="514" t="s">
        <v>3258</v>
      </c>
      <c r="D1374" s="17" t="s">
        <v>2118</v>
      </c>
      <c r="E1374" s="14"/>
      <c r="F1374" s="18">
        <f>+F1372*1.55555555555556</f>
        <v>40133.333333333452</v>
      </c>
      <c r="G1374" s="18"/>
      <c r="H1374" s="18"/>
      <c r="I1374" s="14"/>
      <c r="J1374" s="13" t="s">
        <v>2449</v>
      </c>
    </row>
    <row r="1375" spans="1:10" ht="13.8">
      <c r="A1375" s="16" t="s">
        <v>4955</v>
      </c>
      <c r="B1375" s="686"/>
      <c r="C1375" s="514" t="s">
        <v>4956</v>
      </c>
      <c r="D1375" s="17" t="s">
        <v>2118</v>
      </c>
      <c r="E1375" s="14"/>
      <c r="F1375" s="1985">
        <v>3600</v>
      </c>
      <c r="G1375" s="18"/>
      <c r="H1375" s="18"/>
      <c r="I1375" s="14"/>
      <c r="J1375" s="13" t="s">
        <v>2449</v>
      </c>
    </row>
    <row r="1376" spans="1:10" ht="13.8">
      <c r="A1376" s="16" t="s">
        <v>1214</v>
      </c>
      <c r="B1376" s="686"/>
      <c r="C1376" s="514" t="s">
        <v>3259</v>
      </c>
      <c r="D1376" s="17" t="s">
        <v>2118</v>
      </c>
      <c r="E1376" s="14"/>
      <c r="F1376" s="1985">
        <v>5200</v>
      </c>
      <c r="G1376" s="18"/>
      <c r="H1376" s="18"/>
      <c r="I1376" s="14"/>
      <c r="J1376" s="13" t="s">
        <v>2449</v>
      </c>
    </row>
    <row r="1377" spans="1:10" ht="13.8">
      <c r="A1377" s="16" t="s">
        <v>5235</v>
      </c>
      <c r="B1377" s="686"/>
      <c r="C1377" s="514" t="s">
        <v>5236</v>
      </c>
      <c r="D1377" s="17" t="s">
        <v>2118</v>
      </c>
      <c r="E1377" s="14"/>
      <c r="F1377" s="1985">
        <v>5200</v>
      </c>
      <c r="G1377" s="18"/>
      <c r="H1377" s="18"/>
      <c r="I1377" s="14"/>
      <c r="J1377" s="13" t="s">
        <v>2449</v>
      </c>
    </row>
    <row r="1378" spans="1:10" ht="13.8">
      <c r="A1378" s="16" t="s">
        <v>704</v>
      </c>
      <c r="B1378" s="686"/>
      <c r="C1378" s="514" t="s">
        <v>3260</v>
      </c>
      <c r="D1378" s="17" t="s">
        <v>2118</v>
      </c>
      <c r="E1378" s="14"/>
      <c r="F1378" s="1985">
        <v>21500</v>
      </c>
      <c r="G1378" s="18"/>
      <c r="H1378" s="18"/>
      <c r="I1378" s="14"/>
      <c r="J1378" s="13" t="s">
        <v>2449</v>
      </c>
    </row>
    <row r="1379" spans="1:10" ht="13.8">
      <c r="A1379" s="16" t="s">
        <v>1610</v>
      </c>
      <c r="B1379" s="686"/>
      <c r="C1379" s="514" t="s">
        <v>3261</v>
      </c>
      <c r="D1379" s="17" t="s">
        <v>2118</v>
      </c>
      <c r="E1379" s="14"/>
      <c r="F1379" s="1985">
        <v>41900</v>
      </c>
      <c r="G1379" s="18"/>
      <c r="H1379" s="18"/>
      <c r="I1379" s="14"/>
      <c r="J1379" s="13" t="s">
        <v>2449</v>
      </c>
    </row>
    <row r="1380" spans="1:10">
      <c r="A1380" s="16" t="s">
        <v>1328</v>
      </c>
      <c r="B1380" s="686"/>
      <c r="C1380" s="514" t="s">
        <v>3262</v>
      </c>
      <c r="D1380" s="17" t="s">
        <v>2118</v>
      </c>
      <c r="E1380" s="14"/>
      <c r="F1380" s="18">
        <f>+F1379*140/114</f>
        <v>51456.140350877191</v>
      </c>
      <c r="G1380" s="18"/>
      <c r="H1380" s="18"/>
      <c r="I1380" s="14"/>
      <c r="J1380" s="13" t="s">
        <v>2449</v>
      </c>
    </row>
    <row r="1381" spans="1:10">
      <c r="A1381" s="16" t="s">
        <v>519</v>
      </c>
      <c r="B1381" s="516"/>
      <c r="C1381" s="514" t="s">
        <v>3263</v>
      </c>
      <c r="D1381" s="17" t="s">
        <v>2118</v>
      </c>
      <c r="E1381" s="14"/>
      <c r="F1381" s="18">
        <v>10200</v>
      </c>
      <c r="G1381" s="18"/>
      <c r="H1381" s="18"/>
      <c r="I1381" s="14">
        <v>10200</v>
      </c>
      <c r="J1381" s="13" t="s">
        <v>2548</v>
      </c>
    </row>
    <row r="1382" spans="1:10">
      <c r="A1382" s="16" t="s">
        <v>1153</v>
      </c>
      <c r="B1382" s="516"/>
      <c r="C1382" s="514" t="s">
        <v>3264</v>
      </c>
      <c r="D1382" s="17" t="s">
        <v>2118</v>
      </c>
      <c r="E1382" s="14"/>
      <c r="F1382" s="18">
        <v>12200</v>
      </c>
      <c r="G1382" s="18"/>
      <c r="H1382" s="18"/>
      <c r="I1382" s="14">
        <v>12200</v>
      </c>
      <c r="J1382" s="13" t="s">
        <v>2548</v>
      </c>
    </row>
    <row r="1383" spans="1:10">
      <c r="A1383" s="16" t="s">
        <v>1273</v>
      </c>
      <c r="B1383" s="516"/>
      <c r="C1383" s="514" t="s">
        <v>3265</v>
      </c>
      <c r="D1383" s="17" t="s">
        <v>2118</v>
      </c>
      <c r="E1383" s="14"/>
      <c r="F1383" s="18">
        <v>5700</v>
      </c>
      <c r="G1383" s="18"/>
      <c r="H1383" s="18"/>
      <c r="I1383" s="14">
        <v>5700</v>
      </c>
      <c r="J1383" s="13" t="s">
        <v>2548</v>
      </c>
    </row>
    <row r="1384" spans="1:10">
      <c r="A1384" s="16" t="s">
        <v>326</v>
      </c>
      <c r="B1384" s="516"/>
      <c r="C1384" s="514" t="s">
        <v>3266</v>
      </c>
      <c r="D1384" s="17" t="s">
        <v>2118</v>
      </c>
      <c r="E1384" s="14"/>
      <c r="F1384" s="18">
        <v>14000</v>
      </c>
      <c r="G1384" s="18"/>
      <c r="H1384" s="18"/>
      <c r="I1384" s="14">
        <v>14000</v>
      </c>
      <c r="J1384" s="13" t="s">
        <v>2548</v>
      </c>
    </row>
    <row r="1385" spans="1:10">
      <c r="A1385" s="16" t="s">
        <v>461</v>
      </c>
      <c r="B1385" s="516"/>
      <c r="C1385" s="514" t="s">
        <v>3267</v>
      </c>
      <c r="D1385" s="17" t="s">
        <v>2118</v>
      </c>
      <c r="E1385" s="14"/>
      <c r="F1385" s="18">
        <v>15000</v>
      </c>
      <c r="G1385" s="18"/>
      <c r="H1385" s="18"/>
      <c r="I1385" s="14">
        <v>15000</v>
      </c>
      <c r="J1385" s="13" t="s">
        <v>2548</v>
      </c>
    </row>
    <row r="1386" spans="1:10">
      <c r="A1386" s="25" t="s">
        <v>1433</v>
      </c>
      <c r="B1386" s="515"/>
      <c r="C1386" s="16" t="s">
        <v>3268</v>
      </c>
      <c r="D1386" s="17" t="s">
        <v>2118</v>
      </c>
      <c r="E1386" s="14"/>
      <c r="F1386" s="14">
        <v>17600</v>
      </c>
      <c r="G1386" s="18"/>
      <c r="H1386" s="18"/>
      <c r="I1386" s="14">
        <v>12300</v>
      </c>
      <c r="J1386" s="13" t="s">
        <v>2548</v>
      </c>
    </row>
    <row r="1387" spans="1:10">
      <c r="A1387" s="16" t="s">
        <v>1434</v>
      </c>
      <c r="B1387" s="516"/>
      <c r="C1387" s="514" t="s">
        <v>3269</v>
      </c>
      <c r="D1387" s="17" t="s">
        <v>2118</v>
      </c>
      <c r="E1387" s="14"/>
      <c r="F1387" s="18">
        <v>12300</v>
      </c>
      <c r="G1387" s="18"/>
      <c r="H1387" s="18"/>
      <c r="I1387" s="14">
        <v>12300</v>
      </c>
      <c r="J1387" s="13" t="s">
        <v>2548</v>
      </c>
    </row>
    <row r="1388" spans="1:10">
      <c r="A1388" s="16" t="s">
        <v>325</v>
      </c>
      <c r="B1388" s="516"/>
      <c r="C1388" s="514" t="s">
        <v>3270</v>
      </c>
      <c r="D1388" s="17" t="s">
        <v>2118</v>
      </c>
      <c r="E1388" s="14"/>
      <c r="F1388" s="18">
        <v>25100</v>
      </c>
      <c r="G1388" s="18"/>
      <c r="H1388" s="18"/>
      <c r="I1388" s="14">
        <v>25100</v>
      </c>
      <c r="J1388" s="13" t="s">
        <v>2548</v>
      </c>
    </row>
    <row r="1389" spans="1:10">
      <c r="A1389" s="16" t="s">
        <v>1580</v>
      </c>
      <c r="B1389" s="516"/>
      <c r="C1389" s="514" t="s">
        <v>3271</v>
      </c>
      <c r="D1389" s="17" t="s">
        <v>2118</v>
      </c>
      <c r="E1389" s="14"/>
      <c r="F1389" s="18">
        <v>24000</v>
      </c>
      <c r="G1389" s="18"/>
      <c r="H1389" s="18"/>
      <c r="I1389" s="14">
        <v>24000</v>
      </c>
      <c r="J1389" s="13" t="s">
        <v>2548</v>
      </c>
    </row>
    <row r="1390" spans="1:10">
      <c r="A1390" s="16" t="s">
        <v>529</v>
      </c>
      <c r="B1390" s="516"/>
      <c r="C1390" s="514" t="s">
        <v>3272</v>
      </c>
      <c r="D1390" s="17" t="s">
        <v>2118</v>
      </c>
      <c r="E1390" s="14"/>
      <c r="F1390" s="18">
        <v>24000</v>
      </c>
      <c r="G1390" s="18"/>
      <c r="H1390" s="18"/>
      <c r="I1390" s="14">
        <v>24000</v>
      </c>
      <c r="J1390" s="13" t="s">
        <v>2548</v>
      </c>
    </row>
    <row r="1391" spans="1:10">
      <c r="A1391" s="16" t="s">
        <v>1225</v>
      </c>
      <c r="B1391" s="516"/>
      <c r="C1391" s="514" t="s">
        <v>3273</v>
      </c>
      <c r="D1391" s="17" t="s">
        <v>2118</v>
      </c>
      <c r="E1391" s="14"/>
      <c r="F1391" s="18">
        <v>24000</v>
      </c>
      <c r="G1391" s="18"/>
      <c r="H1391" s="18"/>
      <c r="I1391" s="14">
        <v>24000</v>
      </c>
      <c r="J1391" s="13" t="s">
        <v>2548</v>
      </c>
    </row>
    <row r="1392" spans="1:10">
      <c r="A1392" s="25" t="s">
        <v>95</v>
      </c>
      <c r="B1392" s="515"/>
      <c r="C1392" s="16" t="s">
        <v>3274</v>
      </c>
      <c r="D1392" s="20" t="s">
        <v>2118</v>
      </c>
      <c r="E1392" s="14"/>
      <c r="F1392" s="14">
        <v>40000</v>
      </c>
      <c r="G1392" s="18"/>
      <c r="H1392" s="18"/>
      <c r="I1392" s="14">
        <v>40000</v>
      </c>
      <c r="J1392" s="13" t="s">
        <v>2548</v>
      </c>
    </row>
    <row r="1393" spans="1:10">
      <c r="A1393" s="25" t="s">
        <v>1292</v>
      </c>
      <c r="B1393" s="515"/>
      <c r="C1393" s="16" t="s">
        <v>3275</v>
      </c>
      <c r="D1393" s="20" t="s">
        <v>2118</v>
      </c>
      <c r="E1393" s="14"/>
      <c r="F1393" s="14">
        <v>40000</v>
      </c>
      <c r="G1393" s="18"/>
      <c r="H1393" s="18"/>
      <c r="I1393" s="14">
        <v>40000</v>
      </c>
      <c r="J1393" s="13" t="s">
        <v>2548</v>
      </c>
    </row>
    <row r="1394" spans="1:10">
      <c r="A1394" s="25" t="s">
        <v>936</v>
      </c>
      <c r="B1394" s="515"/>
      <c r="C1394" s="16" t="s">
        <v>3276</v>
      </c>
      <c r="D1394" s="20" t="s">
        <v>2118</v>
      </c>
      <c r="E1394" s="14"/>
      <c r="F1394" s="14">
        <v>40000</v>
      </c>
      <c r="G1394" s="18"/>
      <c r="H1394" s="18"/>
      <c r="I1394" s="14">
        <v>40000</v>
      </c>
      <c r="J1394" s="13" t="s">
        <v>2548</v>
      </c>
    </row>
    <row r="1395" spans="1:10">
      <c r="A1395" s="16" t="s">
        <v>567</v>
      </c>
      <c r="B1395" s="26"/>
      <c r="C1395" s="514" t="s">
        <v>3277</v>
      </c>
      <c r="D1395" s="17" t="s">
        <v>2118</v>
      </c>
      <c r="E1395" s="14"/>
      <c r="F1395" s="18">
        <v>30000</v>
      </c>
      <c r="G1395" s="18"/>
      <c r="H1395" s="18"/>
      <c r="I1395" s="14"/>
      <c r="J1395" s="13" t="s">
        <v>2449</v>
      </c>
    </row>
    <row r="1396" spans="1:10">
      <c r="A1396" s="25" t="s">
        <v>620</v>
      </c>
      <c r="B1396" s="17"/>
      <c r="C1396" s="21" t="s">
        <v>3278</v>
      </c>
      <c r="D1396" s="17" t="s">
        <v>805</v>
      </c>
      <c r="E1396" s="14"/>
      <c r="F1396" s="14">
        <v>10000</v>
      </c>
      <c r="G1396" s="18"/>
      <c r="H1396" s="18"/>
      <c r="I1396" s="14">
        <v>10000</v>
      </c>
      <c r="J1396" s="13" t="s">
        <v>3279</v>
      </c>
    </row>
    <row r="1397" spans="1:10">
      <c r="A1397" s="16" t="s">
        <v>352</v>
      </c>
      <c r="B1397" s="17" t="s">
        <v>598</v>
      </c>
      <c r="C1397" s="19" t="s">
        <v>3280</v>
      </c>
      <c r="D1397" s="17" t="s">
        <v>3281</v>
      </c>
      <c r="E1397" s="18"/>
      <c r="F1397" s="18"/>
      <c r="G1397" s="18">
        <v>521806</v>
      </c>
      <c r="H1397" s="18">
        <v>725029</v>
      </c>
      <c r="I1397" s="14"/>
      <c r="J1397" s="13" t="s">
        <v>450</v>
      </c>
    </row>
    <row r="1398" spans="1:10">
      <c r="A1398" s="16" t="s">
        <v>1754</v>
      </c>
      <c r="B1398" s="17" t="s">
        <v>1351</v>
      </c>
      <c r="C1398" s="19" t="s">
        <v>3282</v>
      </c>
      <c r="D1398" s="17" t="s">
        <v>3281</v>
      </c>
      <c r="E1398" s="18"/>
      <c r="F1398" s="18"/>
      <c r="G1398" s="18">
        <v>565009</v>
      </c>
      <c r="H1398" s="18">
        <v>792152</v>
      </c>
      <c r="I1398" s="14"/>
      <c r="J1398" s="13" t="s">
        <v>450</v>
      </c>
    </row>
    <row r="1399" spans="1:10">
      <c r="A1399" s="16" t="s">
        <v>614</v>
      </c>
      <c r="B1399" s="17"/>
      <c r="C1399" s="19" t="s">
        <v>3283</v>
      </c>
      <c r="D1399" s="17" t="s">
        <v>3006</v>
      </c>
      <c r="E1399" s="18"/>
      <c r="F1399" s="18"/>
      <c r="G1399" s="18">
        <v>1000000</v>
      </c>
      <c r="H1399" s="18"/>
      <c r="I1399" s="14"/>
      <c r="J1399" s="13" t="s">
        <v>450</v>
      </c>
    </row>
    <row r="1400" spans="1:10">
      <c r="A1400" s="16" t="s">
        <v>1755</v>
      </c>
      <c r="B1400" s="20" t="s">
        <v>1083</v>
      </c>
      <c r="C1400" s="19" t="s">
        <v>3284</v>
      </c>
      <c r="D1400" s="17" t="s">
        <v>532</v>
      </c>
      <c r="E1400" s="18"/>
      <c r="F1400" s="18">
        <v>6502</v>
      </c>
      <c r="G1400" s="18"/>
      <c r="H1400" s="18"/>
      <c r="I1400" s="14"/>
      <c r="J1400" s="13" t="s">
        <v>2569</v>
      </c>
    </row>
    <row r="1401" spans="1:10">
      <c r="A1401" s="16" t="s">
        <v>540</v>
      </c>
      <c r="B1401" s="20" t="s">
        <v>1083</v>
      </c>
      <c r="C1401" s="19" t="s">
        <v>3285</v>
      </c>
      <c r="D1401" s="17" t="s">
        <v>532</v>
      </c>
      <c r="E1401" s="18"/>
      <c r="F1401" s="18">
        <v>6502</v>
      </c>
      <c r="G1401" s="18"/>
      <c r="H1401" s="18"/>
      <c r="I1401" s="14"/>
      <c r="J1401" s="13" t="s">
        <v>2569</v>
      </c>
    </row>
    <row r="1402" spans="1:10">
      <c r="A1402" s="16" t="s">
        <v>1756</v>
      </c>
      <c r="B1402" s="515">
        <v>21351</v>
      </c>
      <c r="C1402" s="19" t="s">
        <v>3286</v>
      </c>
      <c r="D1402" s="17" t="s">
        <v>3281</v>
      </c>
      <c r="E1402" s="18"/>
      <c r="F1402" s="18"/>
      <c r="G1402" s="18"/>
      <c r="H1402" s="18"/>
      <c r="I1402" s="14"/>
      <c r="J1402" s="13" t="s">
        <v>1771</v>
      </c>
    </row>
    <row r="1403" spans="1:10">
      <c r="A1403" s="16" t="s">
        <v>5000</v>
      </c>
      <c r="B1403" s="515"/>
      <c r="C1403" s="19" t="s">
        <v>5001</v>
      </c>
      <c r="D1403" s="17" t="s">
        <v>4957</v>
      </c>
      <c r="E1403" s="18"/>
      <c r="F1403" s="18">
        <v>515000</v>
      </c>
      <c r="G1403" s="18"/>
      <c r="H1403" s="18"/>
      <c r="I1403" s="14"/>
      <c r="J1403" s="13" t="s">
        <v>3288</v>
      </c>
    </row>
    <row r="1404" spans="1:10">
      <c r="A1404" s="16" t="s">
        <v>5002</v>
      </c>
      <c r="B1404" s="515"/>
      <c r="C1404" s="19" t="s">
        <v>5003</v>
      </c>
      <c r="D1404" s="17" t="s">
        <v>4957</v>
      </c>
      <c r="E1404" s="18"/>
      <c r="F1404" s="18">
        <v>394000</v>
      </c>
      <c r="G1404" s="18"/>
      <c r="H1404" s="18"/>
      <c r="I1404" s="14"/>
      <c r="J1404" s="13" t="s">
        <v>3288</v>
      </c>
    </row>
    <row r="1405" spans="1:10">
      <c r="A1405" s="16" t="s">
        <v>5004</v>
      </c>
      <c r="B1405" s="515"/>
      <c r="C1405" s="19" t="s">
        <v>5005</v>
      </c>
      <c r="D1405" s="17" t="s">
        <v>4957</v>
      </c>
      <c r="E1405" s="18"/>
      <c r="F1405" s="18">
        <v>380000</v>
      </c>
      <c r="G1405" s="18"/>
      <c r="H1405" s="18"/>
      <c r="I1405" s="14"/>
      <c r="J1405" s="13" t="s">
        <v>3288</v>
      </c>
    </row>
    <row r="1406" spans="1:10">
      <c r="A1406" s="16" t="s">
        <v>5006</v>
      </c>
      <c r="B1406" s="515"/>
      <c r="C1406" s="19" t="s">
        <v>5007</v>
      </c>
      <c r="D1406" s="17" t="s">
        <v>4957</v>
      </c>
      <c r="E1406" s="18"/>
      <c r="F1406" s="18">
        <v>263000</v>
      </c>
      <c r="G1406" s="18"/>
      <c r="H1406" s="18"/>
      <c r="I1406" s="14"/>
      <c r="J1406" s="13"/>
    </row>
    <row r="1407" spans="1:10">
      <c r="A1407" s="16" t="s">
        <v>5008</v>
      </c>
      <c r="B1407" s="515"/>
      <c r="C1407" s="19" t="s">
        <v>5009</v>
      </c>
      <c r="D1407" s="17" t="s">
        <v>4957</v>
      </c>
      <c r="E1407" s="18"/>
      <c r="F1407" s="18">
        <v>263000</v>
      </c>
      <c r="G1407" s="18"/>
      <c r="H1407" s="18"/>
      <c r="I1407" s="14"/>
      <c r="J1407" s="13" t="s">
        <v>3288</v>
      </c>
    </row>
    <row r="1408" spans="1:10" ht="14.25" customHeight="1">
      <c r="A1408" s="16" t="s">
        <v>5010</v>
      </c>
      <c r="B1408" s="515"/>
      <c r="C1408" s="19" t="s">
        <v>5011</v>
      </c>
      <c r="D1408" s="17" t="s">
        <v>4957</v>
      </c>
      <c r="E1408" s="18"/>
      <c r="F1408" s="18">
        <v>144000</v>
      </c>
      <c r="G1408" s="18"/>
      <c r="H1408" s="18"/>
      <c r="I1408" s="14"/>
      <c r="J1408" s="13" t="s">
        <v>3288</v>
      </c>
    </row>
    <row r="1409" spans="1:10" ht="14.25" customHeight="1">
      <c r="A1409" s="16" t="s">
        <v>5012</v>
      </c>
      <c r="B1409" s="515"/>
      <c r="C1409" s="19" t="s">
        <v>5013</v>
      </c>
      <c r="D1409" s="17" t="s">
        <v>4957</v>
      </c>
      <c r="E1409" s="18"/>
      <c r="F1409" s="18">
        <v>108000</v>
      </c>
      <c r="G1409" s="18"/>
      <c r="H1409" s="18"/>
      <c r="I1409" s="14"/>
      <c r="J1409" s="13"/>
    </row>
    <row r="1410" spans="1:10" ht="14.25" customHeight="1">
      <c r="A1410" s="16" t="s">
        <v>5014</v>
      </c>
      <c r="B1410" s="515"/>
      <c r="C1410" s="19" t="s">
        <v>5015</v>
      </c>
      <c r="D1410" s="17" t="s">
        <v>4957</v>
      </c>
      <c r="E1410" s="18"/>
      <c r="F1410" s="18">
        <v>108000</v>
      </c>
      <c r="G1410" s="18"/>
      <c r="H1410" s="18"/>
      <c r="I1410" s="14"/>
      <c r="J1410" s="13" t="s">
        <v>3288</v>
      </c>
    </row>
    <row r="1411" spans="1:10" ht="14.25" customHeight="1">
      <c r="A1411" s="16" t="s">
        <v>5016</v>
      </c>
      <c r="B1411" s="515"/>
      <c r="C1411" s="19" t="s">
        <v>5017</v>
      </c>
      <c r="D1411" s="17" t="s">
        <v>4957</v>
      </c>
      <c r="E1411" s="18"/>
      <c r="F1411" s="18">
        <v>101000</v>
      </c>
      <c r="G1411" s="18"/>
      <c r="H1411" s="18"/>
      <c r="I1411" s="14"/>
      <c r="J1411" s="13" t="s">
        <v>3288</v>
      </c>
    </row>
    <row r="1412" spans="1:10" ht="14.25" customHeight="1">
      <c r="A1412" s="16" t="s">
        <v>5018</v>
      </c>
      <c r="B1412" s="515"/>
      <c r="C1412" s="19" t="s">
        <v>5019</v>
      </c>
      <c r="D1412" s="17" t="s">
        <v>4957</v>
      </c>
      <c r="E1412" s="18"/>
      <c r="F1412" s="18">
        <v>63000</v>
      </c>
      <c r="G1412" s="18"/>
      <c r="H1412" s="18"/>
      <c r="I1412" s="14"/>
      <c r="J1412" s="13"/>
    </row>
    <row r="1413" spans="1:10">
      <c r="A1413" s="16" t="s">
        <v>1307</v>
      </c>
      <c r="B1413" s="515"/>
      <c r="C1413" s="19" t="s">
        <v>3287</v>
      </c>
      <c r="D1413" s="17" t="s">
        <v>1557</v>
      </c>
      <c r="E1413" s="18"/>
      <c r="F1413" s="18">
        <f t="shared" ref="F1413:F1418" si="14">LmkT</f>
        <v>31625</v>
      </c>
      <c r="G1413" s="18"/>
      <c r="H1413" s="18"/>
      <c r="I1413" s="14"/>
      <c r="J1413" s="13" t="s">
        <v>3288</v>
      </c>
    </row>
    <row r="1414" spans="1:10">
      <c r="A1414" s="16" t="s">
        <v>440</v>
      </c>
      <c r="B1414" s="515"/>
      <c r="C1414" s="19" t="s">
        <v>3289</v>
      </c>
      <c r="D1414" s="17" t="s">
        <v>1557</v>
      </c>
      <c r="E1414" s="18"/>
      <c r="F1414" s="18">
        <f t="shared" si="14"/>
        <v>31625</v>
      </c>
      <c r="G1414" s="18"/>
      <c r="H1414" s="18"/>
      <c r="I1414" s="14"/>
      <c r="J1414" s="13" t="s">
        <v>3288</v>
      </c>
    </row>
    <row r="1415" spans="1:10">
      <c r="A1415" s="16" t="s">
        <v>4813</v>
      </c>
      <c r="B1415" s="515"/>
      <c r="C1415" s="19" t="s">
        <v>4820</v>
      </c>
      <c r="D1415" s="17" t="s">
        <v>1557</v>
      </c>
      <c r="E1415" s="18"/>
      <c r="F1415" s="18">
        <f t="shared" si="14"/>
        <v>31625</v>
      </c>
      <c r="G1415" s="18"/>
      <c r="H1415" s="18"/>
      <c r="I1415" s="14"/>
      <c r="J1415" s="13"/>
    </row>
    <row r="1416" spans="1:10">
      <c r="A1416" s="16" t="s">
        <v>1309</v>
      </c>
      <c r="B1416" s="515"/>
      <c r="C1416" s="19" t="s">
        <v>4958</v>
      </c>
      <c r="D1416" s="17" t="s">
        <v>1557</v>
      </c>
      <c r="E1416" s="18"/>
      <c r="F1416" s="18">
        <f t="shared" si="14"/>
        <v>31625</v>
      </c>
      <c r="G1416" s="18"/>
      <c r="H1416" s="18"/>
      <c r="I1416" s="14"/>
      <c r="J1416" s="13" t="s">
        <v>3288</v>
      </c>
    </row>
    <row r="1417" spans="1:10">
      <c r="A1417" s="16" t="s">
        <v>61</v>
      </c>
      <c r="B1417" s="515"/>
      <c r="C1417" s="19" t="s">
        <v>3290</v>
      </c>
      <c r="D1417" s="17" t="s">
        <v>1557</v>
      </c>
      <c r="E1417" s="18"/>
      <c r="F1417" s="18">
        <f t="shared" si="14"/>
        <v>31625</v>
      </c>
      <c r="G1417" s="18"/>
      <c r="H1417" s="18"/>
      <c r="I1417" s="14"/>
      <c r="J1417" s="13" t="s">
        <v>3288</v>
      </c>
    </row>
    <row r="1418" spans="1:10">
      <c r="A1418" s="16" t="s">
        <v>1308</v>
      </c>
      <c r="B1418" s="515"/>
      <c r="C1418" s="19" t="s">
        <v>4959</v>
      </c>
      <c r="D1418" s="17" t="s">
        <v>1557</v>
      </c>
      <c r="E1418" s="18"/>
      <c r="F1418" s="18">
        <f t="shared" si="14"/>
        <v>31625</v>
      </c>
      <c r="G1418" s="18"/>
      <c r="H1418" s="18"/>
      <c r="I1418" s="14"/>
      <c r="J1418" s="13" t="s">
        <v>3288</v>
      </c>
    </row>
    <row r="1419" spans="1:10">
      <c r="A1419" s="16" t="s">
        <v>4648</v>
      </c>
      <c r="B1419" s="515"/>
      <c r="C1419" s="19" t="s">
        <v>4649</v>
      </c>
      <c r="D1419" s="17" t="s">
        <v>1557</v>
      </c>
      <c r="E1419" s="18"/>
      <c r="F1419" s="18">
        <f t="shared" ref="F1419:F1433" si="15">+LmkT</f>
        <v>31625</v>
      </c>
      <c r="G1419" s="18"/>
      <c r="H1419" s="18"/>
      <c r="I1419" s="14"/>
      <c r="J1419" s="13"/>
    </row>
    <row r="1420" spans="1:10">
      <c r="A1420" s="16" t="s">
        <v>4636</v>
      </c>
      <c r="B1420" s="515"/>
      <c r="C1420" s="19" t="s">
        <v>4650</v>
      </c>
      <c r="D1420" s="17" t="s">
        <v>1557</v>
      </c>
      <c r="E1420" s="18"/>
      <c r="F1420" s="18">
        <f t="shared" si="15"/>
        <v>31625</v>
      </c>
      <c r="G1420" s="18"/>
      <c r="H1420" s="18"/>
      <c r="I1420" s="14"/>
      <c r="J1420" s="13"/>
    </row>
    <row r="1421" spans="1:10">
      <c r="A1421" s="16" t="s">
        <v>4637</v>
      </c>
      <c r="B1421" s="515"/>
      <c r="C1421" s="19" t="s">
        <v>4651</v>
      </c>
      <c r="D1421" s="17" t="s">
        <v>1557</v>
      </c>
      <c r="E1421" s="18"/>
      <c r="F1421" s="18">
        <f t="shared" si="15"/>
        <v>31625</v>
      </c>
      <c r="G1421" s="18"/>
      <c r="H1421" s="18"/>
      <c r="I1421" s="14"/>
      <c r="J1421" s="13"/>
    </row>
    <row r="1422" spans="1:10">
      <c r="A1422" s="16" t="s">
        <v>4652</v>
      </c>
      <c r="B1422" s="515"/>
      <c r="C1422" s="19" t="s">
        <v>4653</v>
      </c>
      <c r="D1422" s="17" t="s">
        <v>1557</v>
      </c>
      <c r="E1422" s="18"/>
      <c r="F1422" s="18">
        <f t="shared" si="15"/>
        <v>31625</v>
      </c>
      <c r="G1422" s="18"/>
      <c r="H1422" s="18"/>
      <c r="I1422" s="14"/>
      <c r="J1422" s="13"/>
    </row>
    <row r="1423" spans="1:10">
      <c r="A1423" s="16" t="s">
        <v>4638</v>
      </c>
      <c r="B1423" s="515"/>
      <c r="C1423" s="19" t="s">
        <v>4654</v>
      </c>
      <c r="D1423" s="17" t="s">
        <v>1557</v>
      </c>
      <c r="E1423" s="18"/>
      <c r="F1423" s="18">
        <f t="shared" si="15"/>
        <v>31625</v>
      </c>
      <c r="G1423" s="18"/>
      <c r="H1423" s="18"/>
      <c r="I1423" s="14"/>
      <c r="J1423" s="13"/>
    </row>
    <row r="1424" spans="1:10">
      <c r="A1424" s="16" t="s">
        <v>4639</v>
      </c>
      <c r="B1424" s="515"/>
      <c r="C1424" s="19" t="s">
        <v>4655</v>
      </c>
      <c r="D1424" s="17" t="s">
        <v>1557</v>
      </c>
      <c r="E1424" s="18"/>
      <c r="F1424" s="18">
        <f t="shared" si="15"/>
        <v>31625</v>
      </c>
      <c r="G1424" s="18"/>
      <c r="H1424" s="18"/>
      <c r="I1424" s="14"/>
      <c r="J1424" s="13"/>
    </row>
    <row r="1425" spans="1:10">
      <c r="A1425" s="16" t="s">
        <v>4640</v>
      </c>
      <c r="B1425" s="515"/>
      <c r="C1425" s="19" t="s">
        <v>4656</v>
      </c>
      <c r="D1425" s="17" t="s">
        <v>1557</v>
      </c>
      <c r="E1425" s="18"/>
      <c r="F1425" s="18">
        <f t="shared" si="15"/>
        <v>31625</v>
      </c>
      <c r="G1425" s="18"/>
      <c r="H1425" s="18"/>
      <c r="I1425" s="14"/>
      <c r="J1425" s="13"/>
    </row>
    <row r="1426" spans="1:10">
      <c r="A1426" s="16" t="s">
        <v>4657</v>
      </c>
      <c r="B1426" s="515"/>
      <c r="C1426" s="19" t="s">
        <v>4658</v>
      </c>
      <c r="D1426" s="17" t="s">
        <v>1557</v>
      </c>
      <c r="E1426" s="18"/>
      <c r="F1426" s="18">
        <f t="shared" si="15"/>
        <v>31625</v>
      </c>
      <c r="G1426" s="18"/>
      <c r="H1426" s="18"/>
      <c r="I1426" s="14"/>
      <c r="J1426" s="13"/>
    </row>
    <row r="1427" spans="1:10">
      <c r="A1427" s="16" t="s">
        <v>4641</v>
      </c>
      <c r="B1427" s="515"/>
      <c r="C1427" s="19" t="s">
        <v>4659</v>
      </c>
      <c r="D1427" s="17" t="s">
        <v>1557</v>
      </c>
      <c r="E1427" s="18"/>
      <c r="F1427" s="18">
        <f t="shared" si="15"/>
        <v>31625</v>
      </c>
      <c r="G1427" s="18"/>
      <c r="H1427" s="18"/>
      <c r="I1427" s="14"/>
      <c r="J1427" s="13"/>
    </row>
    <row r="1428" spans="1:10">
      <c r="A1428" s="16" t="s">
        <v>4642</v>
      </c>
      <c r="B1428" s="515"/>
      <c r="C1428" s="19" t="s">
        <v>4660</v>
      </c>
      <c r="D1428" s="17" t="s">
        <v>1557</v>
      </c>
      <c r="E1428" s="18"/>
      <c r="F1428" s="18">
        <f t="shared" si="15"/>
        <v>31625</v>
      </c>
      <c r="G1428" s="18"/>
      <c r="H1428" s="18"/>
      <c r="I1428" s="14"/>
      <c r="J1428" s="13"/>
    </row>
    <row r="1429" spans="1:10" ht="32.25" customHeight="1">
      <c r="A1429" s="16" t="s">
        <v>4661</v>
      </c>
      <c r="B1429" s="515"/>
      <c r="C1429" s="19" t="s">
        <v>4662</v>
      </c>
      <c r="D1429" s="17" t="s">
        <v>1557</v>
      </c>
      <c r="E1429" s="18"/>
      <c r="F1429" s="18">
        <f t="shared" si="15"/>
        <v>31625</v>
      </c>
      <c r="G1429" s="18"/>
      <c r="H1429" s="18"/>
      <c r="I1429" s="14"/>
      <c r="J1429" s="13"/>
    </row>
    <row r="1430" spans="1:10" ht="32.25" customHeight="1">
      <c r="A1430" s="16" t="s">
        <v>4643</v>
      </c>
      <c r="B1430" s="515"/>
      <c r="C1430" s="19" t="s">
        <v>4663</v>
      </c>
      <c r="D1430" s="17" t="s">
        <v>1557</v>
      </c>
      <c r="E1430" s="18"/>
      <c r="F1430" s="18">
        <f t="shared" si="15"/>
        <v>31625</v>
      </c>
      <c r="G1430" s="18"/>
      <c r="H1430" s="18"/>
      <c r="I1430" s="14"/>
      <c r="J1430" s="13"/>
    </row>
    <row r="1431" spans="1:10" ht="32.25" customHeight="1">
      <c r="A1431" s="16" t="s">
        <v>4644</v>
      </c>
      <c r="B1431" s="515"/>
      <c r="C1431" s="19" t="s">
        <v>4664</v>
      </c>
      <c r="D1431" s="17" t="s">
        <v>1557</v>
      </c>
      <c r="E1431" s="18"/>
      <c r="F1431" s="18">
        <f t="shared" si="15"/>
        <v>31625</v>
      </c>
      <c r="G1431" s="18"/>
      <c r="H1431" s="18"/>
      <c r="I1431" s="14"/>
      <c r="J1431" s="13"/>
    </row>
    <row r="1432" spans="1:10" ht="30.75" customHeight="1">
      <c r="A1432" s="16" t="s">
        <v>4665</v>
      </c>
      <c r="B1432" s="515"/>
      <c r="C1432" s="19" t="s">
        <v>4666</v>
      </c>
      <c r="D1432" s="17" t="s">
        <v>1557</v>
      </c>
      <c r="E1432" s="18"/>
      <c r="F1432" s="18">
        <f t="shared" si="15"/>
        <v>31625</v>
      </c>
      <c r="G1432" s="18"/>
      <c r="H1432" s="18"/>
      <c r="I1432" s="14"/>
      <c r="J1432" s="13"/>
    </row>
    <row r="1433" spans="1:10" ht="32.25" customHeight="1">
      <c r="A1433" s="16" t="s">
        <v>4645</v>
      </c>
      <c r="B1433" s="515"/>
      <c r="C1433" s="19" t="s">
        <v>4667</v>
      </c>
      <c r="D1433" s="17" t="s">
        <v>1557</v>
      </c>
      <c r="E1433" s="18"/>
      <c r="F1433" s="18">
        <f t="shared" si="15"/>
        <v>31625</v>
      </c>
      <c r="G1433" s="18"/>
      <c r="H1433" s="18"/>
      <c r="I1433" s="14"/>
      <c r="J1433" s="13"/>
    </row>
    <row r="1434" spans="1:10">
      <c r="A1434" s="16" t="s">
        <v>1150</v>
      </c>
      <c r="B1434" s="515"/>
      <c r="C1434" s="19" t="s">
        <v>3291</v>
      </c>
      <c r="D1434" s="17" t="s">
        <v>2118</v>
      </c>
      <c r="E1434" s="18"/>
      <c r="F1434" s="18">
        <v>40500</v>
      </c>
      <c r="G1434" s="18">
        <v>39758</v>
      </c>
      <c r="H1434" s="18"/>
      <c r="I1434" s="14"/>
      <c r="J1434" s="13" t="s">
        <v>2016</v>
      </c>
    </row>
    <row r="1435" spans="1:10">
      <c r="A1435" s="16" t="s">
        <v>1520</v>
      </c>
      <c r="B1435" s="17"/>
      <c r="C1435" s="19" t="s">
        <v>3292</v>
      </c>
      <c r="D1435" s="17" t="s">
        <v>2113</v>
      </c>
      <c r="E1435" s="18">
        <v>40000</v>
      </c>
      <c r="F1435" s="18"/>
      <c r="G1435" s="18"/>
      <c r="H1435" s="18"/>
      <c r="I1435" s="14"/>
      <c r="J1435" s="13" t="s">
        <v>1512</v>
      </c>
    </row>
    <row r="1436" spans="1:10">
      <c r="A1436" s="16" t="s">
        <v>1521</v>
      </c>
      <c r="B1436" s="17"/>
      <c r="C1436" s="19" t="s">
        <v>3293</v>
      </c>
      <c r="D1436" s="17" t="s">
        <v>2113</v>
      </c>
      <c r="E1436" s="18">
        <v>139000</v>
      </c>
      <c r="F1436" s="18"/>
      <c r="G1436" s="18"/>
      <c r="H1436" s="18"/>
      <c r="I1436" s="14"/>
      <c r="J1436" s="13" t="s">
        <v>1771</v>
      </c>
    </row>
    <row r="1437" spans="1:10">
      <c r="A1437" s="16" t="s">
        <v>1349</v>
      </c>
      <c r="B1437" s="17"/>
      <c r="C1437" s="19" t="s">
        <v>3294</v>
      </c>
      <c r="D1437" s="17" t="s">
        <v>2113</v>
      </c>
      <c r="E1437" s="18">
        <v>80000</v>
      </c>
      <c r="F1437" s="18"/>
      <c r="G1437" s="18"/>
      <c r="H1437" s="18"/>
      <c r="I1437" s="14"/>
      <c r="J1437" s="13" t="s">
        <v>1512</v>
      </c>
    </row>
    <row r="1438" spans="1:10">
      <c r="A1438" s="16" t="s">
        <v>725</v>
      </c>
      <c r="B1438" s="17"/>
      <c r="C1438" s="19" t="s">
        <v>3295</v>
      </c>
      <c r="D1438" s="17" t="s">
        <v>2113</v>
      </c>
      <c r="E1438" s="18">
        <v>160000</v>
      </c>
      <c r="F1438" s="18"/>
      <c r="G1438" s="18"/>
      <c r="H1438" s="18"/>
      <c r="I1438" s="14"/>
      <c r="J1438" s="13" t="s">
        <v>1512</v>
      </c>
    </row>
    <row r="1439" spans="1:10">
      <c r="A1439" s="25" t="s">
        <v>741</v>
      </c>
      <c r="B1439" s="17"/>
      <c r="C1439" s="21" t="s">
        <v>3296</v>
      </c>
      <c r="D1439" s="17" t="s">
        <v>805</v>
      </c>
      <c r="E1439" s="14"/>
      <c r="F1439" s="14">
        <v>40000</v>
      </c>
      <c r="G1439" s="18"/>
      <c r="H1439" s="18"/>
      <c r="I1439" s="14">
        <v>40000</v>
      </c>
      <c r="J1439" s="13" t="s">
        <v>696</v>
      </c>
    </row>
    <row r="1440" spans="1:10">
      <c r="A1440" s="687" t="s">
        <v>123</v>
      </c>
      <c r="B1440" s="20"/>
      <c r="C1440" s="16" t="s">
        <v>3297</v>
      </c>
      <c r="D1440" s="17" t="s">
        <v>2118</v>
      </c>
      <c r="E1440" s="14"/>
      <c r="F1440" s="14">
        <v>22500</v>
      </c>
      <c r="G1440" s="18">
        <v>6546</v>
      </c>
      <c r="H1440" s="18"/>
      <c r="I1440" s="14"/>
      <c r="J1440" s="13" t="s">
        <v>1457</v>
      </c>
    </row>
    <row r="1441" spans="1:10">
      <c r="A1441" s="687" t="s">
        <v>1467</v>
      </c>
      <c r="B1441" s="20"/>
      <c r="C1441" s="16" t="s">
        <v>3298</v>
      </c>
      <c r="D1441" s="17" t="s">
        <v>2118</v>
      </c>
      <c r="E1441" s="14"/>
      <c r="F1441" s="14">
        <v>22500</v>
      </c>
      <c r="G1441" s="18">
        <v>6546</v>
      </c>
      <c r="H1441" s="18"/>
      <c r="I1441" s="14"/>
      <c r="J1441" s="13" t="s">
        <v>1457</v>
      </c>
    </row>
    <row r="1442" spans="1:10">
      <c r="A1442" s="687" t="s">
        <v>1466</v>
      </c>
      <c r="B1442" s="20"/>
      <c r="C1442" s="16" t="s">
        <v>3299</v>
      </c>
      <c r="D1442" s="17" t="s">
        <v>2118</v>
      </c>
      <c r="E1442" s="14"/>
      <c r="F1442" s="14">
        <v>22500</v>
      </c>
      <c r="G1442" s="18">
        <v>6546</v>
      </c>
      <c r="H1442" s="18"/>
      <c r="I1442" s="14"/>
      <c r="J1442" s="13" t="s">
        <v>1457</v>
      </c>
    </row>
    <row r="1443" spans="1:10">
      <c r="A1443" s="687" t="s">
        <v>1420</v>
      </c>
      <c r="B1443" s="20"/>
      <c r="C1443" s="16" t="s">
        <v>3300</v>
      </c>
      <c r="D1443" s="17" t="s">
        <v>2118</v>
      </c>
      <c r="E1443" s="14"/>
      <c r="F1443" s="14">
        <v>22500</v>
      </c>
      <c r="G1443" s="18">
        <v>6546</v>
      </c>
      <c r="H1443" s="18"/>
      <c r="I1443" s="14"/>
      <c r="J1443" s="13" t="s">
        <v>1457</v>
      </c>
    </row>
    <row r="1444" spans="1:10">
      <c r="A1444" s="687" t="s">
        <v>1465</v>
      </c>
      <c r="B1444" s="20"/>
      <c r="C1444" s="16" t="s">
        <v>3301</v>
      </c>
      <c r="D1444" s="17" t="s">
        <v>2118</v>
      </c>
      <c r="E1444" s="14"/>
      <c r="F1444" s="14">
        <v>29085</v>
      </c>
      <c r="G1444" s="18">
        <v>6546</v>
      </c>
      <c r="H1444" s="18"/>
      <c r="I1444" s="14"/>
      <c r="J1444" s="13" t="s">
        <v>1457</v>
      </c>
    </row>
    <row r="1445" spans="1:10">
      <c r="A1445" s="687" t="s">
        <v>2013</v>
      </c>
      <c r="B1445" s="20"/>
      <c r="C1445" s="16" t="s">
        <v>3302</v>
      </c>
      <c r="D1445" s="17" t="s">
        <v>2118</v>
      </c>
      <c r="E1445" s="14"/>
      <c r="F1445" s="14">
        <v>22000</v>
      </c>
      <c r="G1445" s="18">
        <v>6546</v>
      </c>
      <c r="H1445" s="18"/>
      <c r="I1445" s="14"/>
      <c r="J1445" s="13" t="s">
        <v>1457</v>
      </c>
    </row>
    <row r="1446" spans="1:10">
      <c r="A1446" s="687" t="s">
        <v>851</v>
      </c>
      <c r="B1446" s="20"/>
      <c r="C1446" s="16" t="s">
        <v>3303</v>
      </c>
      <c r="D1446" s="17" t="s">
        <v>2118</v>
      </c>
      <c r="E1446" s="14"/>
      <c r="F1446" s="14">
        <v>22000</v>
      </c>
      <c r="G1446" s="18">
        <v>6546</v>
      </c>
      <c r="H1446" s="18"/>
      <c r="I1446" s="14"/>
      <c r="J1446" s="13" t="s">
        <v>1457</v>
      </c>
    </row>
    <row r="1447" spans="1:10">
      <c r="A1447" s="687" t="s">
        <v>852</v>
      </c>
      <c r="B1447" s="20"/>
      <c r="C1447" s="16" t="s">
        <v>4696</v>
      </c>
      <c r="D1447" s="17" t="s">
        <v>2118</v>
      </c>
      <c r="E1447" s="14"/>
      <c r="F1447" s="14">
        <v>32000</v>
      </c>
      <c r="G1447" s="18">
        <v>6546</v>
      </c>
      <c r="H1447" s="18"/>
      <c r="I1447" s="14"/>
      <c r="J1447" s="13" t="s">
        <v>1457</v>
      </c>
    </row>
    <row r="1448" spans="1:10">
      <c r="A1448" s="687" t="s">
        <v>4419</v>
      </c>
      <c r="B1448" s="20"/>
      <c r="C1448" s="16" t="s">
        <v>4418</v>
      </c>
      <c r="D1448" s="17" t="s">
        <v>2118</v>
      </c>
      <c r="E1448" s="14"/>
      <c r="F1448" s="14">
        <v>25001</v>
      </c>
      <c r="G1448" s="18">
        <v>6547</v>
      </c>
      <c r="H1448" s="18"/>
      <c r="I1448" s="14"/>
      <c r="J1448" s="13" t="s">
        <v>1457</v>
      </c>
    </row>
    <row r="1449" spans="1:10">
      <c r="A1449" s="687" t="s">
        <v>1627</v>
      </c>
      <c r="B1449" s="20"/>
      <c r="C1449" s="16" t="s">
        <v>3304</v>
      </c>
      <c r="D1449" s="17" t="s">
        <v>2118</v>
      </c>
      <c r="E1449" s="14"/>
      <c r="F1449" s="14">
        <v>30500</v>
      </c>
      <c r="G1449" s="18">
        <v>6546</v>
      </c>
      <c r="H1449" s="18"/>
      <c r="I1449" s="14"/>
      <c r="J1449" s="13" t="s">
        <v>1457</v>
      </c>
    </row>
    <row r="1450" spans="1:10">
      <c r="A1450" s="688" t="s">
        <v>669</v>
      </c>
      <c r="B1450" s="20"/>
      <c r="C1450" s="16" t="s">
        <v>3305</v>
      </c>
      <c r="D1450" s="17" t="s">
        <v>2118</v>
      </c>
      <c r="E1450" s="14"/>
      <c r="F1450" s="14">
        <v>30500</v>
      </c>
      <c r="G1450" s="18">
        <v>6546</v>
      </c>
      <c r="H1450" s="18"/>
      <c r="I1450" s="14">
        <v>30500</v>
      </c>
      <c r="J1450" s="13" t="s">
        <v>1457</v>
      </c>
    </row>
    <row r="1451" spans="1:10">
      <c r="A1451" s="688" t="s">
        <v>1088</v>
      </c>
      <c r="B1451" s="20"/>
      <c r="C1451" s="16" t="s">
        <v>3306</v>
      </c>
      <c r="D1451" s="17" t="s">
        <v>2118</v>
      </c>
      <c r="E1451" s="14"/>
      <c r="F1451" s="14">
        <v>30500</v>
      </c>
      <c r="G1451" s="18">
        <v>6546</v>
      </c>
      <c r="H1451" s="18"/>
      <c r="I1451" s="14"/>
      <c r="J1451" s="13" t="s">
        <v>1457</v>
      </c>
    </row>
    <row r="1452" spans="1:10">
      <c r="A1452" s="688" t="s">
        <v>1089</v>
      </c>
      <c r="B1452" s="20"/>
      <c r="C1452" s="16" t="s">
        <v>3307</v>
      </c>
      <c r="D1452" s="17" t="s">
        <v>2118</v>
      </c>
      <c r="E1452" s="14"/>
      <c r="F1452" s="14">
        <v>39500</v>
      </c>
      <c r="G1452" s="18">
        <v>6546</v>
      </c>
      <c r="H1452" s="18"/>
      <c r="I1452" s="14"/>
      <c r="J1452" s="13" t="s">
        <v>1457</v>
      </c>
    </row>
    <row r="1453" spans="1:10">
      <c r="A1453" s="688" t="s">
        <v>52</v>
      </c>
      <c r="B1453" s="20"/>
      <c r="C1453" s="16" t="s">
        <v>3308</v>
      </c>
      <c r="D1453" s="17" t="s">
        <v>2118</v>
      </c>
      <c r="E1453" s="14"/>
      <c r="F1453" s="14">
        <v>68000</v>
      </c>
      <c r="G1453" s="18">
        <v>6546</v>
      </c>
      <c r="H1453" s="18"/>
      <c r="I1453" s="14"/>
      <c r="J1453" s="13" t="s">
        <v>1457</v>
      </c>
    </row>
    <row r="1454" spans="1:10">
      <c r="A1454" s="687" t="s">
        <v>1115</v>
      </c>
      <c r="B1454" s="20"/>
      <c r="C1454" s="16" t="s">
        <v>3309</v>
      </c>
      <c r="D1454" s="17" t="s">
        <v>2118</v>
      </c>
      <c r="E1454" s="14"/>
      <c r="F1454" s="14">
        <v>45000</v>
      </c>
      <c r="G1454" s="18">
        <v>6546</v>
      </c>
      <c r="H1454" s="18"/>
      <c r="I1454" s="14"/>
      <c r="J1454" s="13" t="s">
        <v>1457</v>
      </c>
    </row>
    <row r="1455" spans="1:10">
      <c r="A1455" s="688" t="s">
        <v>670</v>
      </c>
      <c r="B1455" s="20"/>
      <c r="C1455" s="16" t="s">
        <v>3310</v>
      </c>
      <c r="D1455" s="17" t="s">
        <v>2118</v>
      </c>
      <c r="E1455" s="14"/>
      <c r="F1455" s="14">
        <v>30500</v>
      </c>
      <c r="G1455" s="18">
        <v>6546</v>
      </c>
      <c r="H1455" s="18"/>
      <c r="I1455" s="14">
        <v>30500</v>
      </c>
      <c r="J1455" s="13" t="s">
        <v>1457</v>
      </c>
    </row>
    <row r="1456" spans="1:10">
      <c r="A1456" s="687" t="s">
        <v>611</v>
      </c>
      <c r="B1456" s="20"/>
      <c r="C1456" s="16" t="s">
        <v>3311</v>
      </c>
      <c r="D1456" s="17" t="s">
        <v>2118</v>
      </c>
      <c r="E1456" s="14"/>
      <c r="F1456" s="14">
        <v>39500</v>
      </c>
      <c r="G1456" s="18">
        <v>6546</v>
      </c>
      <c r="H1456" s="18"/>
      <c r="I1456" s="14"/>
      <c r="J1456" s="13" t="s">
        <v>1457</v>
      </c>
    </row>
    <row r="1457" spans="1:10">
      <c r="A1457" s="687" t="s">
        <v>51</v>
      </c>
      <c r="B1457" s="20"/>
      <c r="C1457" s="16" t="s">
        <v>3312</v>
      </c>
      <c r="D1457" s="17" t="s">
        <v>2118</v>
      </c>
      <c r="E1457" s="14"/>
      <c r="F1457" s="14">
        <v>68000</v>
      </c>
      <c r="G1457" s="18">
        <v>6546</v>
      </c>
      <c r="H1457" s="18"/>
      <c r="I1457" s="14"/>
      <c r="J1457" s="13" t="s">
        <v>1457</v>
      </c>
    </row>
    <row r="1458" spans="1:10">
      <c r="A1458" s="687" t="s">
        <v>1114</v>
      </c>
      <c r="B1458" s="20"/>
      <c r="C1458" s="16" t="s">
        <v>3313</v>
      </c>
      <c r="D1458" s="17" t="s">
        <v>2118</v>
      </c>
      <c r="E1458" s="14"/>
      <c r="F1458" s="14">
        <v>45000</v>
      </c>
      <c r="G1458" s="18">
        <v>6546</v>
      </c>
      <c r="H1458" s="18"/>
      <c r="I1458" s="14"/>
      <c r="J1458" s="13" t="s">
        <v>1457</v>
      </c>
    </row>
    <row r="1459" spans="1:10">
      <c r="A1459" s="688" t="s">
        <v>4420</v>
      </c>
      <c r="B1459" s="20"/>
      <c r="C1459" s="16" t="s">
        <v>4422</v>
      </c>
      <c r="D1459" s="17" t="s">
        <v>2118</v>
      </c>
      <c r="E1459" s="14"/>
      <c r="F1459" s="14">
        <v>39500</v>
      </c>
      <c r="G1459" s="18">
        <v>6546</v>
      </c>
      <c r="H1459" s="18"/>
      <c r="I1459" s="14"/>
      <c r="J1459" s="13" t="s">
        <v>1457</v>
      </c>
    </row>
    <row r="1460" spans="1:10">
      <c r="A1460" s="688" t="s">
        <v>4421</v>
      </c>
      <c r="B1460" s="20"/>
      <c r="C1460" s="16" t="s">
        <v>4423</v>
      </c>
      <c r="D1460" s="17" t="s">
        <v>2118</v>
      </c>
      <c r="E1460" s="14"/>
      <c r="F1460" s="14">
        <v>68000</v>
      </c>
      <c r="G1460" s="18">
        <v>6546</v>
      </c>
      <c r="H1460" s="18"/>
      <c r="I1460" s="14"/>
      <c r="J1460" s="13" t="s">
        <v>1457</v>
      </c>
    </row>
    <row r="1461" spans="1:10">
      <c r="A1461" s="688" t="s">
        <v>4424</v>
      </c>
      <c r="B1461" s="20"/>
      <c r="C1461" s="16" t="s">
        <v>4425</v>
      </c>
      <c r="D1461" s="17" t="s">
        <v>2118</v>
      </c>
      <c r="E1461" s="14"/>
      <c r="F1461" s="14">
        <v>68000</v>
      </c>
      <c r="G1461" s="18">
        <v>6546</v>
      </c>
      <c r="H1461" s="18"/>
      <c r="I1461" s="14"/>
      <c r="J1461" s="13" t="s">
        <v>1457</v>
      </c>
    </row>
    <row r="1462" spans="1:10">
      <c r="A1462" s="688" t="s">
        <v>4426</v>
      </c>
      <c r="B1462" s="20"/>
      <c r="C1462" s="16" t="s">
        <v>4427</v>
      </c>
      <c r="D1462" s="17" t="s">
        <v>2118</v>
      </c>
      <c r="E1462" s="14"/>
      <c r="F1462" s="14">
        <v>68000</v>
      </c>
      <c r="G1462" s="18">
        <v>6546</v>
      </c>
      <c r="H1462" s="18"/>
      <c r="I1462" s="14"/>
      <c r="J1462" s="13" t="s">
        <v>1457</v>
      </c>
    </row>
    <row r="1463" spans="1:10">
      <c r="A1463" s="688" t="s">
        <v>4428</v>
      </c>
      <c r="B1463" s="20"/>
      <c r="C1463" s="16" t="s">
        <v>4429</v>
      </c>
      <c r="D1463" s="17" t="s">
        <v>2118</v>
      </c>
      <c r="E1463" s="14"/>
      <c r="F1463" s="14">
        <v>45000</v>
      </c>
      <c r="G1463" s="18">
        <v>6546</v>
      </c>
      <c r="H1463" s="18"/>
      <c r="I1463" s="14"/>
      <c r="J1463" s="13" t="s">
        <v>1457</v>
      </c>
    </row>
    <row r="1464" spans="1:10">
      <c r="A1464" s="689" t="s">
        <v>3759</v>
      </c>
      <c r="B1464" s="26" t="s">
        <v>1864</v>
      </c>
      <c r="C1464" s="16" t="s">
        <v>3314</v>
      </c>
      <c r="D1464" s="17" t="s">
        <v>905</v>
      </c>
      <c r="E1464" s="14"/>
      <c r="F1464" s="14"/>
      <c r="G1464" s="18">
        <v>451548</v>
      </c>
      <c r="H1464" s="18"/>
      <c r="I1464" s="14"/>
      <c r="J1464" s="13" t="s">
        <v>2449</v>
      </c>
    </row>
    <row r="1465" spans="1:10">
      <c r="A1465" s="689" t="s">
        <v>3760</v>
      </c>
      <c r="B1465" s="26" t="s">
        <v>1352</v>
      </c>
      <c r="C1465" s="16" t="s">
        <v>3315</v>
      </c>
      <c r="D1465" s="17" t="s">
        <v>905</v>
      </c>
      <c r="E1465" s="14"/>
      <c r="F1465" s="14"/>
      <c r="G1465" s="18">
        <v>574049</v>
      </c>
      <c r="H1465" s="18"/>
      <c r="I1465" s="14"/>
      <c r="J1465" s="13" t="s">
        <v>2449</v>
      </c>
    </row>
    <row r="1466" spans="1:10">
      <c r="A1466" s="689" t="s">
        <v>3761</v>
      </c>
      <c r="B1466" s="26" t="s">
        <v>1353</v>
      </c>
      <c r="C1466" s="16" t="s">
        <v>3316</v>
      </c>
      <c r="D1466" s="17" t="s">
        <v>905</v>
      </c>
      <c r="E1466" s="14"/>
      <c r="F1466" s="14"/>
      <c r="G1466" s="18">
        <v>422191</v>
      </c>
      <c r="H1466" s="18"/>
      <c r="I1466" s="14"/>
      <c r="J1466" s="13" t="s">
        <v>2449</v>
      </c>
    </row>
    <row r="1467" spans="1:10">
      <c r="A1467" s="689" t="s">
        <v>3762</v>
      </c>
      <c r="B1467" s="26" t="s">
        <v>1353</v>
      </c>
      <c r="C1467" s="16" t="s">
        <v>3317</v>
      </c>
      <c r="D1467" s="17" t="s">
        <v>905</v>
      </c>
      <c r="E1467" s="14"/>
      <c r="F1467" s="14"/>
      <c r="G1467" s="18">
        <v>422191</v>
      </c>
      <c r="H1467" s="18"/>
      <c r="I1467" s="14"/>
      <c r="J1467" s="13" t="s">
        <v>2449</v>
      </c>
    </row>
    <row r="1468" spans="1:10">
      <c r="A1468" s="689" t="s">
        <v>3763</v>
      </c>
      <c r="B1468" s="26" t="s">
        <v>1353</v>
      </c>
      <c r="C1468" s="16" t="s">
        <v>3318</v>
      </c>
      <c r="D1468" s="17" t="s">
        <v>905</v>
      </c>
      <c r="E1468" s="14"/>
      <c r="F1468" s="14"/>
      <c r="G1468" s="18">
        <v>422191</v>
      </c>
      <c r="H1468" s="18"/>
      <c r="I1468" s="14"/>
      <c r="J1468" s="13" t="s">
        <v>2449</v>
      </c>
    </row>
    <row r="1469" spans="1:10">
      <c r="A1469" s="689" t="s">
        <v>3764</v>
      </c>
      <c r="B1469" s="26" t="s">
        <v>1353</v>
      </c>
      <c r="C1469" s="16" t="s">
        <v>3319</v>
      </c>
      <c r="D1469" s="17" t="s">
        <v>905</v>
      </c>
      <c r="E1469" s="14"/>
      <c r="F1469" s="14"/>
      <c r="G1469" s="18">
        <v>422191</v>
      </c>
      <c r="H1469" s="18"/>
      <c r="I1469" s="14"/>
      <c r="J1469" s="13" t="s">
        <v>2449</v>
      </c>
    </row>
    <row r="1470" spans="1:10">
      <c r="A1470" s="689" t="s">
        <v>3765</v>
      </c>
      <c r="B1470" s="26" t="s">
        <v>1353</v>
      </c>
      <c r="C1470" s="16" t="s">
        <v>3320</v>
      </c>
      <c r="D1470" s="17" t="s">
        <v>905</v>
      </c>
      <c r="E1470" s="14"/>
      <c r="F1470" s="14"/>
      <c r="G1470" s="18">
        <v>295534</v>
      </c>
      <c r="H1470" s="18"/>
      <c r="I1470" s="14"/>
      <c r="J1470" s="13" t="s">
        <v>2449</v>
      </c>
    </row>
    <row r="1471" spans="1:10">
      <c r="A1471" s="16" t="s">
        <v>5743</v>
      </c>
      <c r="B1471" s="20"/>
      <c r="C1471" s="19" t="s">
        <v>5744</v>
      </c>
      <c r="D1471" s="17" t="s">
        <v>2118</v>
      </c>
      <c r="E1471" s="18"/>
      <c r="F1471" s="18">
        <v>300000</v>
      </c>
      <c r="G1471" s="18"/>
      <c r="H1471" s="1992"/>
      <c r="I1471" s="14"/>
      <c r="J1471" s="13" t="s">
        <v>610</v>
      </c>
    </row>
    <row r="1472" spans="1:10">
      <c r="A1472" s="16" t="s">
        <v>12</v>
      </c>
      <c r="B1472" s="20"/>
      <c r="C1472" s="19" t="s">
        <v>3321</v>
      </c>
      <c r="D1472" s="17" t="s">
        <v>2118</v>
      </c>
      <c r="E1472" s="18"/>
      <c r="F1472" s="18">
        <v>120000</v>
      </c>
      <c r="G1472" s="18"/>
      <c r="H1472" s="1992"/>
      <c r="I1472" s="14"/>
      <c r="J1472" s="13" t="s">
        <v>610</v>
      </c>
    </row>
    <row r="1473" spans="1:13">
      <c r="A1473" s="16" t="s">
        <v>1413</v>
      </c>
      <c r="B1473" s="20"/>
      <c r="C1473" s="19" t="s">
        <v>3322</v>
      </c>
      <c r="D1473" s="17" t="s">
        <v>2118</v>
      </c>
      <c r="E1473" s="18"/>
      <c r="F1473" s="18">
        <v>5000</v>
      </c>
      <c r="G1473" s="18"/>
      <c r="H1473" s="18"/>
      <c r="I1473" s="14"/>
      <c r="J1473" s="13" t="s">
        <v>610</v>
      </c>
    </row>
    <row r="1474" spans="1:13">
      <c r="A1474" s="13">
        <v>3</v>
      </c>
      <c r="B1474" s="663" t="s">
        <v>3766</v>
      </c>
      <c r="C1474" s="13">
        <v>9</v>
      </c>
      <c r="D1474" s="13">
        <v>12</v>
      </c>
      <c r="E1474" s="661">
        <v>20841149924</v>
      </c>
      <c r="F1474" s="661">
        <v>910857097.20000005</v>
      </c>
      <c r="G1474" s="661">
        <v>175478162</v>
      </c>
      <c r="H1474" s="661">
        <v>19660372.300000001</v>
      </c>
      <c r="I1474" s="661">
        <v>3522324460</v>
      </c>
      <c r="J1474" s="13"/>
      <c r="L1474" s="1">
        <f>SUBTOTAL(9,L1:L1473)</f>
        <v>1901844.0976</v>
      </c>
      <c r="M1474" s="1">
        <f>SUBTOTAL(9,M1:M1473)</f>
        <v>17643.196400000001</v>
      </c>
    </row>
    <row r="1475" spans="1:13">
      <c r="A1475" s="13" t="s">
        <v>3767</v>
      </c>
      <c r="C1475" s="13"/>
      <c r="D1475" s="13"/>
      <c r="E1475" s="661"/>
      <c r="F1475" s="661"/>
      <c r="G1475" s="661"/>
      <c r="H1475" s="661"/>
      <c r="I1475" s="661"/>
      <c r="J1475" s="13"/>
    </row>
    <row r="1476" spans="1:13">
      <c r="C1476" s="13"/>
      <c r="D1476" s="13"/>
      <c r="E1476" s="661"/>
      <c r="F1476" s="661"/>
      <c r="G1476" s="661"/>
      <c r="H1476" s="661"/>
      <c r="I1476" s="661"/>
      <c r="J1476" s="13"/>
    </row>
    <row r="1477" spans="1:13">
      <c r="A1477" s="16" t="s">
        <v>1437</v>
      </c>
      <c r="B1477" s="668" t="s">
        <v>158</v>
      </c>
      <c r="C1477" s="16" t="s">
        <v>3323</v>
      </c>
      <c r="D1477" s="17" t="s">
        <v>2118</v>
      </c>
      <c r="E1477" s="18">
        <v>7507000</v>
      </c>
      <c r="F1477" s="18">
        <v>7507000</v>
      </c>
      <c r="G1477" s="18">
        <v>58412</v>
      </c>
      <c r="H1477" s="18"/>
      <c r="I1477" s="14"/>
      <c r="J1477" s="13" t="s">
        <v>1499</v>
      </c>
    </row>
    <row r="1478" spans="1:13">
      <c r="A1478" s="16" t="s">
        <v>1192</v>
      </c>
      <c r="B1478" s="26"/>
      <c r="C1478" s="19" t="s">
        <v>3324</v>
      </c>
      <c r="D1478" s="17" t="s">
        <v>2447</v>
      </c>
      <c r="E1478" s="18"/>
      <c r="F1478" s="18">
        <v>1709000</v>
      </c>
      <c r="G1478" s="18"/>
      <c r="H1478" s="18"/>
      <c r="I1478" s="690">
        <v>1709000</v>
      </c>
      <c r="J1478" s="13" t="s">
        <v>1499</v>
      </c>
    </row>
    <row r="1479" spans="1:13">
      <c r="A1479" s="16" t="s">
        <v>1319</v>
      </c>
      <c r="B1479" s="26"/>
      <c r="C1479" s="19" t="s">
        <v>3325</v>
      </c>
      <c r="D1479" s="17" t="s">
        <v>2447</v>
      </c>
      <c r="E1479" s="18"/>
      <c r="F1479" s="18">
        <v>2006000</v>
      </c>
      <c r="G1479" s="18"/>
      <c r="H1479" s="18"/>
      <c r="I1479" s="690">
        <v>2006000</v>
      </c>
      <c r="J1479" s="13" t="s">
        <v>1499</v>
      </c>
    </row>
    <row r="1480" spans="1:13">
      <c r="A1480" s="16" t="s">
        <v>523</v>
      </c>
      <c r="B1480" s="26" t="s">
        <v>989</v>
      </c>
      <c r="C1480" s="19" t="s">
        <v>3326</v>
      </c>
      <c r="D1480" s="17" t="s">
        <v>2118</v>
      </c>
      <c r="E1480" s="18"/>
      <c r="F1480" s="18">
        <v>85714</v>
      </c>
      <c r="G1480" s="18">
        <v>28932</v>
      </c>
      <c r="H1480" s="18"/>
      <c r="I1480" s="690">
        <v>85714</v>
      </c>
      <c r="J1480" s="13" t="s">
        <v>610</v>
      </c>
    </row>
    <row r="1481" spans="1:13">
      <c r="A1481" s="16" t="s">
        <v>1159</v>
      </c>
      <c r="B1481" s="26"/>
      <c r="C1481" s="19" t="s">
        <v>3327</v>
      </c>
      <c r="D1481" s="17" t="s">
        <v>3328</v>
      </c>
      <c r="E1481" s="18"/>
      <c r="F1481" s="18">
        <v>210000</v>
      </c>
      <c r="G1481" s="18"/>
      <c r="H1481" s="18"/>
      <c r="I1481" s="690">
        <v>210000</v>
      </c>
      <c r="J1481" s="13" t="s">
        <v>1489</v>
      </c>
    </row>
    <row r="1482" spans="1:13">
      <c r="A1482" s="16" t="s">
        <v>1158</v>
      </c>
      <c r="B1482" s="26"/>
      <c r="C1482" s="19" t="s">
        <v>3329</v>
      </c>
      <c r="D1482" s="17" t="s">
        <v>3328</v>
      </c>
      <c r="E1482" s="18"/>
      <c r="F1482" s="18">
        <v>409500</v>
      </c>
      <c r="G1482" s="18"/>
      <c r="H1482" s="18"/>
      <c r="I1482" s="690">
        <v>409500</v>
      </c>
      <c r="J1482" s="13" t="s">
        <v>1489</v>
      </c>
    </row>
    <row r="1483" spans="1:13">
      <c r="A1483" s="16" t="s">
        <v>761</v>
      </c>
      <c r="B1483" s="26"/>
      <c r="C1483" s="19" t="s">
        <v>3330</v>
      </c>
      <c r="D1483" s="17" t="s">
        <v>3328</v>
      </c>
      <c r="E1483" s="18"/>
      <c r="F1483" s="18">
        <v>350000</v>
      </c>
      <c r="G1483" s="18"/>
      <c r="H1483" s="18"/>
      <c r="I1483" s="690">
        <v>350000</v>
      </c>
      <c r="J1483" s="13" t="s">
        <v>1489</v>
      </c>
    </row>
    <row r="1484" spans="1:13" ht="26.4">
      <c r="A1484" s="16" t="s">
        <v>1021</v>
      </c>
      <c r="B1484" s="26"/>
      <c r="C1484" s="19" t="s">
        <v>3331</v>
      </c>
      <c r="D1484" s="17" t="s">
        <v>3328</v>
      </c>
      <c r="E1484" s="18"/>
      <c r="F1484" s="18">
        <v>252000</v>
      </c>
      <c r="G1484" s="18"/>
      <c r="H1484" s="18"/>
      <c r="I1484" s="690"/>
      <c r="J1484" s="13" t="s">
        <v>1489</v>
      </c>
    </row>
    <row r="1485" spans="1:13" ht="26.4">
      <c r="A1485" s="16" t="s">
        <v>1022</v>
      </c>
      <c r="B1485" s="26"/>
      <c r="C1485" s="19" t="s">
        <v>3332</v>
      </c>
      <c r="D1485" s="17" t="s">
        <v>3328</v>
      </c>
      <c r="E1485" s="18"/>
      <c r="F1485" s="18">
        <v>472500</v>
      </c>
      <c r="G1485" s="18"/>
      <c r="H1485" s="18"/>
      <c r="I1485" s="690"/>
      <c r="J1485" s="13" t="s">
        <v>1489</v>
      </c>
    </row>
    <row r="1486" spans="1:13">
      <c r="A1486" s="16" t="s">
        <v>252</v>
      </c>
      <c r="B1486" s="26"/>
      <c r="C1486" s="19" t="s">
        <v>3333</v>
      </c>
      <c r="D1486" s="17" t="s">
        <v>3328</v>
      </c>
      <c r="E1486" s="18"/>
      <c r="F1486" s="18"/>
      <c r="G1486" s="18"/>
      <c r="H1486" s="18"/>
      <c r="I1486" s="690"/>
      <c r="J1486" s="13" t="s">
        <v>1489</v>
      </c>
    </row>
    <row r="1487" spans="1:13">
      <c r="A1487" s="16" t="s">
        <v>1440</v>
      </c>
      <c r="B1487" s="20"/>
      <c r="C1487" s="19" t="s">
        <v>3334</v>
      </c>
      <c r="D1487" s="17" t="s">
        <v>2226</v>
      </c>
      <c r="E1487" s="18"/>
      <c r="F1487" s="18">
        <v>1669500</v>
      </c>
      <c r="G1487" s="18"/>
      <c r="H1487" s="18"/>
      <c r="I1487" s="690"/>
      <c r="J1487" s="13" t="s">
        <v>610</v>
      </c>
    </row>
    <row r="1488" spans="1:13">
      <c r="A1488" s="16" t="s">
        <v>524</v>
      </c>
      <c r="B1488" s="20"/>
      <c r="C1488" s="19" t="s">
        <v>3335</v>
      </c>
      <c r="D1488" s="17" t="s">
        <v>2226</v>
      </c>
      <c r="E1488" s="18"/>
      <c r="F1488" s="18">
        <v>1669500</v>
      </c>
      <c r="G1488" s="18"/>
      <c r="H1488" s="18"/>
      <c r="I1488" s="690"/>
      <c r="J1488" s="13" t="s">
        <v>610</v>
      </c>
    </row>
    <row r="1489" spans="1:10">
      <c r="A1489" s="16" t="s">
        <v>1680</v>
      </c>
      <c r="B1489" s="26"/>
      <c r="C1489" s="19" t="s">
        <v>3336</v>
      </c>
      <c r="D1489" s="17" t="s">
        <v>2118</v>
      </c>
      <c r="E1489" s="18"/>
      <c r="F1489" s="18">
        <v>3000</v>
      </c>
      <c r="G1489" s="18"/>
      <c r="H1489" s="18"/>
      <c r="I1489" s="690"/>
      <c r="J1489" s="13" t="s">
        <v>1489</v>
      </c>
    </row>
    <row r="1490" spans="1:10">
      <c r="A1490" s="16" t="s">
        <v>612</v>
      </c>
      <c r="B1490" s="20"/>
      <c r="C1490" s="19" t="s">
        <v>3337</v>
      </c>
      <c r="D1490" s="17" t="s">
        <v>2118</v>
      </c>
      <c r="E1490" s="18"/>
      <c r="F1490" s="18">
        <v>35650</v>
      </c>
      <c r="G1490" s="18"/>
      <c r="H1490" s="1992"/>
      <c r="I1490" s="14"/>
      <c r="J1490" s="13" t="s">
        <v>610</v>
      </c>
    </row>
    <row r="1491" spans="1:10" ht="13.8">
      <c r="A1491" s="1603" t="s">
        <v>5237</v>
      </c>
      <c r="B1491" s="1598" t="s">
        <v>5238</v>
      </c>
      <c r="C1491" s="1602" t="s">
        <v>5239</v>
      </c>
      <c r="D1491" s="1604" t="s">
        <v>2118</v>
      </c>
      <c r="E1491" s="1601"/>
      <c r="F1491" s="1601"/>
      <c r="G1491" s="1601">
        <v>81538</v>
      </c>
      <c r="H1491" s="1601"/>
      <c r="I1491" s="661"/>
      <c r="J1491" s="13"/>
    </row>
    <row r="1492" spans="1:10" ht="13.8">
      <c r="A1492" s="1603" t="s">
        <v>5240</v>
      </c>
      <c r="B1492" s="1598" t="s">
        <v>5241</v>
      </c>
      <c r="C1492" s="1602" t="s">
        <v>5242</v>
      </c>
      <c r="D1492" s="1604" t="s">
        <v>2118</v>
      </c>
      <c r="E1492" s="1601"/>
      <c r="F1492" s="1601"/>
      <c r="G1492" s="1601">
        <v>101923</v>
      </c>
      <c r="H1492" s="1601"/>
      <c r="I1492" s="661"/>
      <c r="J1492" s="13"/>
    </row>
    <row r="1493" spans="1:10" ht="13.8">
      <c r="A1493" s="1603" t="s">
        <v>5243</v>
      </c>
      <c r="B1493" s="1598" t="s">
        <v>5244</v>
      </c>
      <c r="C1493" s="1602" t="s">
        <v>5245</v>
      </c>
      <c r="D1493" s="1604" t="s">
        <v>2118</v>
      </c>
      <c r="E1493" s="1601"/>
      <c r="F1493" s="1601"/>
      <c r="G1493" s="1601">
        <v>101923</v>
      </c>
      <c r="H1493" s="1601"/>
      <c r="I1493" s="661"/>
      <c r="J1493" s="13"/>
    </row>
    <row r="1494" spans="1:10" ht="13.8">
      <c r="A1494" s="1603" t="s">
        <v>5246</v>
      </c>
      <c r="B1494" s="1598" t="s">
        <v>5247</v>
      </c>
      <c r="C1494" s="1602" t="s">
        <v>5248</v>
      </c>
      <c r="D1494" s="1604" t="s">
        <v>2118</v>
      </c>
      <c r="E1494" s="1601"/>
      <c r="F1494" s="1601"/>
      <c r="G1494" s="1601">
        <v>122308</v>
      </c>
      <c r="H1494" s="1601"/>
      <c r="I1494" s="661"/>
      <c r="J1494" s="13"/>
    </row>
    <row r="1495" spans="1:10" ht="13.8">
      <c r="A1495" s="1603" t="s">
        <v>5249</v>
      </c>
      <c r="B1495" s="1598" t="s">
        <v>5250</v>
      </c>
      <c r="C1495" s="1602" t="s">
        <v>5251</v>
      </c>
      <c r="D1495" s="1604" t="s">
        <v>2118</v>
      </c>
      <c r="E1495" s="1601"/>
      <c r="F1495" s="1601"/>
      <c r="G1495" s="1601">
        <v>146769</v>
      </c>
      <c r="H1495" s="1601"/>
      <c r="I1495" s="661"/>
      <c r="J1495" s="13"/>
    </row>
    <row r="1496" spans="1:10" ht="13.8">
      <c r="A1496" s="1603" t="s">
        <v>5252</v>
      </c>
      <c r="B1496" s="1598" t="s">
        <v>5253</v>
      </c>
      <c r="C1496" s="1602" t="s">
        <v>5254</v>
      </c>
      <c r="D1496" s="1604" t="s">
        <v>2118</v>
      </c>
      <c r="E1496" s="1595"/>
      <c r="F1496" s="1595"/>
      <c r="G1496" s="1601">
        <v>50962</v>
      </c>
      <c r="H1496" s="1601"/>
      <c r="I1496" s="661"/>
      <c r="J1496" s="13"/>
    </row>
    <row r="1497" spans="1:10" ht="13.8">
      <c r="A1497" s="1603" t="s">
        <v>5255</v>
      </c>
      <c r="B1497" s="1598" t="s">
        <v>5238</v>
      </c>
      <c r="C1497" s="1602" t="s">
        <v>5256</v>
      </c>
      <c r="D1497" s="1604" t="s">
        <v>2118</v>
      </c>
      <c r="E1497" s="1595"/>
      <c r="F1497" s="1595"/>
      <c r="G1497" s="1601">
        <v>48923</v>
      </c>
      <c r="H1497" s="1601"/>
      <c r="I1497" s="661"/>
      <c r="J1497" s="13"/>
    </row>
    <row r="1498" spans="1:10" ht="13.8">
      <c r="A1498" s="1603" t="s">
        <v>5257</v>
      </c>
      <c r="B1498" s="1598" t="s">
        <v>5241</v>
      </c>
      <c r="C1498" s="1602" t="s">
        <v>5258</v>
      </c>
      <c r="D1498" s="1604" t="s">
        <v>2118</v>
      </c>
      <c r="E1498" s="1595"/>
      <c r="F1498" s="1595"/>
      <c r="G1498" s="1601">
        <v>61154</v>
      </c>
      <c r="H1498" s="1601"/>
      <c r="I1498" s="661"/>
      <c r="J1498" s="13"/>
    </row>
    <row r="1499" spans="1:10" ht="13.8">
      <c r="A1499" s="1603" t="s">
        <v>5259</v>
      </c>
      <c r="B1499" s="1598" t="s">
        <v>5244</v>
      </c>
      <c r="C1499" s="1602" t="s">
        <v>5260</v>
      </c>
      <c r="D1499" s="1604" t="s">
        <v>2118</v>
      </c>
      <c r="E1499" s="1595"/>
      <c r="F1499" s="1595"/>
      <c r="G1499" s="1601">
        <v>61154</v>
      </c>
      <c r="H1499" s="1601"/>
      <c r="I1499" s="661"/>
      <c r="J1499" s="13"/>
    </row>
    <row r="1500" spans="1:10" ht="13.8">
      <c r="A1500" s="1603" t="s">
        <v>5261</v>
      </c>
      <c r="B1500" s="1598" t="s">
        <v>5247</v>
      </c>
      <c r="C1500" s="1602" t="s">
        <v>5262</v>
      </c>
      <c r="D1500" s="1604" t="s">
        <v>2118</v>
      </c>
      <c r="E1500" s="1595"/>
      <c r="F1500" s="1595"/>
      <c r="G1500" s="1601">
        <v>73385</v>
      </c>
      <c r="H1500" s="1601"/>
      <c r="I1500" s="661"/>
      <c r="J1500" s="13"/>
    </row>
    <row r="1501" spans="1:10" ht="13.8">
      <c r="A1501" s="1603" t="s">
        <v>5263</v>
      </c>
      <c r="B1501" s="1598" t="s">
        <v>5250</v>
      </c>
      <c r="C1501" s="1602" t="s">
        <v>5264</v>
      </c>
      <c r="D1501" s="1604" t="s">
        <v>2118</v>
      </c>
      <c r="E1501" s="1595"/>
      <c r="F1501" s="1595"/>
      <c r="G1501" s="1601">
        <v>88061</v>
      </c>
      <c r="H1501" s="1601"/>
      <c r="I1501" s="661"/>
      <c r="J1501" s="13"/>
    </row>
    <row r="1502" spans="1:10" ht="13.8">
      <c r="A1502" s="1603" t="s">
        <v>5265</v>
      </c>
      <c r="B1502" s="1598" t="s">
        <v>5253</v>
      </c>
      <c r="C1502" s="1602" t="s">
        <v>5266</v>
      </c>
      <c r="D1502" s="1604" t="s">
        <v>2118</v>
      </c>
      <c r="E1502" s="1595"/>
      <c r="F1502" s="1595"/>
      <c r="G1502" s="1601">
        <v>30577</v>
      </c>
      <c r="H1502" s="1601"/>
      <c r="I1502" s="661"/>
      <c r="J1502" s="13"/>
    </row>
    <row r="1503" spans="1:10" ht="13.8">
      <c r="A1503" s="1603" t="s">
        <v>5267</v>
      </c>
      <c r="B1503" s="1598" t="s">
        <v>5268</v>
      </c>
      <c r="C1503" s="1599" t="s">
        <v>5269</v>
      </c>
      <c r="D1503" s="1604" t="s">
        <v>2118</v>
      </c>
      <c r="E1503" s="1595"/>
      <c r="F1503" s="1595"/>
      <c r="G1503" s="1595">
        <v>28538</v>
      </c>
      <c r="H1503" s="1601">
        <v>7905</v>
      </c>
      <c r="I1503" s="661"/>
      <c r="J1503" s="13"/>
    </row>
    <row r="1504" spans="1:10" ht="13.8">
      <c r="A1504" s="1603" t="s">
        <v>5270</v>
      </c>
      <c r="B1504" s="1598" t="s">
        <v>5271</v>
      </c>
      <c r="C1504" s="1599" t="s">
        <v>5272</v>
      </c>
      <c r="D1504" s="1604" t="s">
        <v>2118</v>
      </c>
      <c r="E1504" s="1595"/>
      <c r="F1504" s="1595"/>
      <c r="G1504" s="1595">
        <v>32615</v>
      </c>
      <c r="H1504" s="1601">
        <v>7905</v>
      </c>
      <c r="I1504" s="661"/>
      <c r="J1504" s="13"/>
    </row>
    <row r="1505" spans="1:10" ht="13.8">
      <c r="A1505" s="1603" t="s">
        <v>5273</v>
      </c>
      <c r="B1505" s="1598" t="s">
        <v>5274</v>
      </c>
      <c r="C1505" s="1599" t="s">
        <v>5275</v>
      </c>
      <c r="D1505" s="1604" t="s">
        <v>5276</v>
      </c>
      <c r="E1505" s="1595"/>
      <c r="F1505" s="1595"/>
      <c r="G1505" s="1595">
        <v>20385</v>
      </c>
      <c r="H1505" s="1601">
        <v>2635</v>
      </c>
      <c r="I1505" s="661"/>
      <c r="J1505" s="13"/>
    </row>
    <row r="1506" spans="1:10" ht="13.8">
      <c r="A1506" s="1603" t="s">
        <v>5277</v>
      </c>
      <c r="B1506" s="1598" t="s">
        <v>5268</v>
      </c>
      <c r="C1506" s="1599" t="s">
        <v>5278</v>
      </c>
      <c r="D1506" s="1604" t="s">
        <v>2118</v>
      </c>
      <c r="E1506" s="1595"/>
      <c r="F1506" s="1595"/>
      <c r="G1506" s="1595">
        <v>11415</v>
      </c>
      <c r="H1506" s="1601">
        <v>3162</v>
      </c>
      <c r="I1506" s="661"/>
      <c r="J1506" s="13"/>
    </row>
    <row r="1507" spans="1:10" ht="13.8">
      <c r="A1507" s="1603" t="s">
        <v>5279</v>
      </c>
      <c r="B1507" s="1598" t="s">
        <v>5271</v>
      </c>
      <c r="C1507" s="1599" t="s">
        <v>5280</v>
      </c>
      <c r="D1507" s="1604" t="s">
        <v>2118</v>
      </c>
      <c r="E1507" s="1595"/>
      <c r="F1507" s="1595"/>
      <c r="G1507" s="1595">
        <v>13046</v>
      </c>
      <c r="H1507" s="1601">
        <v>3162</v>
      </c>
      <c r="I1507" s="661"/>
      <c r="J1507" s="13"/>
    </row>
    <row r="1508" spans="1:10" ht="13.8">
      <c r="A1508" s="1603" t="s">
        <v>5281</v>
      </c>
      <c r="B1508" s="1598" t="s">
        <v>5274</v>
      </c>
      <c r="C1508" s="1599" t="s">
        <v>5282</v>
      </c>
      <c r="D1508" s="1604" t="s">
        <v>2118</v>
      </c>
      <c r="E1508" s="1595"/>
      <c r="F1508" s="1595"/>
      <c r="G1508" s="1595">
        <v>8154</v>
      </c>
      <c r="H1508" s="1601">
        <v>1054.0000000000002</v>
      </c>
      <c r="I1508" s="661"/>
      <c r="J1508" s="13"/>
    </row>
    <row r="1509" spans="1:10" ht="13.8">
      <c r="A1509" s="1603" t="s">
        <v>5283</v>
      </c>
      <c r="B1509" s="1598" t="s">
        <v>5274</v>
      </c>
      <c r="C1509" s="1599" t="s">
        <v>5284</v>
      </c>
      <c r="D1509" s="1604" t="s">
        <v>5276</v>
      </c>
      <c r="E1509" s="1595"/>
      <c r="F1509" s="1595"/>
      <c r="G1509" s="1595">
        <v>22423</v>
      </c>
      <c r="H1509" s="1601">
        <v>2898.5000000000005</v>
      </c>
      <c r="I1509" s="661"/>
      <c r="J1509" s="13"/>
    </row>
    <row r="1510" spans="1:10" ht="13.8">
      <c r="A1510" s="1603" t="s">
        <v>5285</v>
      </c>
      <c r="B1510" s="1598" t="s">
        <v>5274</v>
      </c>
      <c r="C1510" s="1599" t="s">
        <v>5286</v>
      </c>
      <c r="D1510" s="1604" t="s">
        <v>5276</v>
      </c>
      <c r="E1510" s="1595"/>
      <c r="F1510" s="1595"/>
      <c r="G1510" s="1595">
        <v>24462</v>
      </c>
      <c r="H1510" s="1601">
        <v>3162</v>
      </c>
      <c r="I1510" s="661"/>
      <c r="J1510" s="13"/>
    </row>
    <row r="1511" spans="1:10" ht="13.8">
      <c r="A1511" s="1603" t="s">
        <v>5287</v>
      </c>
      <c r="B1511" s="1598" t="s">
        <v>5288</v>
      </c>
      <c r="C1511" s="1599" t="s">
        <v>5289</v>
      </c>
      <c r="D1511" s="1604" t="s">
        <v>2966</v>
      </c>
      <c r="E1511" s="1595"/>
      <c r="F1511" s="1595"/>
      <c r="G1511" s="1595">
        <v>442809</v>
      </c>
      <c r="H1511" s="1601">
        <v>284508</v>
      </c>
      <c r="I1511" s="661"/>
      <c r="J1511" s="13"/>
    </row>
    <row r="1512" spans="1:10" ht="13.8">
      <c r="A1512" s="1603" t="s">
        <v>5290</v>
      </c>
      <c r="B1512" s="1598" t="s">
        <v>5291</v>
      </c>
      <c r="C1512" s="1599" t="s">
        <v>5292</v>
      </c>
      <c r="D1512" s="1604" t="s">
        <v>2966</v>
      </c>
      <c r="E1512" s="1595"/>
      <c r="F1512" s="1595"/>
      <c r="G1512" s="1595">
        <v>498878</v>
      </c>
      <c r="H1512" s="1601">
        <v>284508</v>
      </c>
      <c r="I1512" s="661"/>
      <c r="J1512" s="13"/>
    </row>
    <row r="1513" spans="1:10" ht="13.8">
      <c r="A1513" s="1603" t="s">
        <v>5293</v>
      </c>
      <c r="B1513" s="1598" t="s">
        <v>5184</v>
      </c>
      <c r="C1513" s="1599" t="s">
        <v>5294</v>
      </c>
      <c r="D1513" s="1604" t="s">
        <v>2966</v>
      </c>
      <c r="E1513" s="1595"/>
      <c r="F1513" s="1595"/>
      <c r="G1513" s="1595">
        <v>609581</v>
      </c>
      <c r="H1513" s="1601">
        <v>284508</v>
      </c>
      <c r="I1513" s="661"/>
      <c r="J1513" s="13"/>
    </row>
    <row r="1514" spans="1:10" ht="13.8">
      <c r="A1514" s="1603" t="s">
        <v>5295</v>
      </c>
      <c r="B1514" s="1598" t="s">
        <v>5185</v>
      </c>
      <c r="C1514" s="1599" t="s">
        <v>5296</v>
      </c>
      <c r="D1514" s="1604" t="s">
        <v>2966</v>
      </c>
      <c r="E1514" s="1595"/>
      <c r="F1514" s="1595"/>
      <c r="G1514" s="1595">
        <v>714532</v>
      </c>
      <c r="H1514" s="1601">
        <v>284508</v>
      </c>
      <c r="I1514" s="661"/>
      <c r="J1514" s="13"/>
    </row>
    <row r="1515" spans="1:10" ht="13.8">
      <c r="A1515" s="1603" t="s">
        <v>5297</v>
      </c>
      <c r="B1515" s="1598" t="s">
        <v>5186</v>
      </c>
      <c r="C1515" s="1599" t="s">
        <v>5298</v>
      </c>
      <c r="D1515" s="1604" t="s">
        <v>2966</v>
      </c>
      <c r="E1515" s="1595"/>
      <c r="F1515" s="1595"/>
      <c r="G1515" s="1595">
        <v>835298</v>
      </c>
      <c r="H1515" s="1601">
        <v>361106</v>
      </c>
      <c r="I1515" s="661"/>
      <c r="J1515" s="13"/>
    </row>
    <row r="1516" spans="1:10" ht="13.8">
      <c r="A1516" s="1603" t="s">
        <v>5299</v>
      </c>
      <c r="B1516" s="1598" t="s">
        <v>5187</v>
      </c>
      <c r="C1516" s="1599" t="s">
        <v>5300</v>
      </c>
      <c r="D1516" s="1604" t="s">
        <v>2966</v>
      </c>
      <c r="E1516" s="1595"/>
      <c r="F1516" s="1595"/>
      <c r="G1516" s="1595">
        <v>996319</v>
      </c>
      <c r="H1516" s="1601">
        <v>361106</v>
      </c>
      <c r="I1516" s="661"/>
      <c r="J1516" s="13"/>
    </row>
    <row r="1517" spans="1:10" ht="13.8">
      <c r="A1517" s="1603" t="s">
        <v>5301</v>
      </c>
      <c r="B1517" s="1598" t="s">
        <v>5188</v>
      </c>
      <c r="C1517" s="1599" t="s">
        <v>5302</v>
      </c>
      <c r="D1517" s="1604" t="s">
        <v>2966</v>
      </c>
      <c r="E1517" s="1595"/>
      <c r="F1517" s="1595"/>
      <c r="G1517" s="1595">
        <v>1078268</v>
      </c>
      <c r="H1517" s="1601">
        <v>393934</v>
      </c>
      <c r="I1517" s="661"/>
      <c r="J1517" s="13"/>
    </row>
    <row r="1518" spans="1:10" ht="13.8">
      <c r="A1518" s="1603" t="s">
        <v>5303</v>
      </c>
      <c r="B1518" s="1598" t="s">
        <v>5189</v>
      </c>
      <c r="C1518" s="1599" t="s">
        <v>5304</v>
      </c>
      <c r="D1518" s="1604" t="s">
        <v>2966</v>
      </c>
      <c r="E1518" s="1595"/>
      <c r="F1518" s="1595"/>
      <c r="G1518" s="1595">
        <v>1157340</v>
      </c>
      <c r="H1518" s="1601">
        <v>426761</v>
      </c>
      <c r="I1518" s="661"/>
      <c r="J1518" s="13"/>
    </row>
    <row r="1519" spans="1:10" ht="13.8">
      <c r="A1519" s="1603" t="s">
        <v>5305</v>
      </c>
      <c r="B1519" s="1598" t="s">
        <v>5180</v>
      </c>
      <c r="C1519" s="1599" t="s">
        <v>5306</v>
      </c>
      <c r="D1519" s="1604" t="s">
        <v>2966</v>
      </c>
      <c r="E1519" s="1595"/>
      <c r="F1519" s="1595"/>
      <c r="G1519" s="1595">
        <v>327793</v>
      </c>
      <c r="H1519" s="1601">
        <v>284508</v>
      </c>
      <c r="I1519" s="661"/>
      <c r="J1519" s="13"/>
    </row>
    <row r="1520" spans="1:10" ht="13.8">
      <c r="A1520" s="1603" t="s">
        <v>5307</v>
      </c>
      <c r="B1520" s="1598" t="s">
        <v>5181</v>
      </c>
      <c r="C1520" s="1599" t="s">
        <v>5308</v>
      </c>
      <c r="D1520" s="1604" t="s">
        <v>2966</v>
      </c>
      <c r="E1520" s="1595"/>
      <c r="F1520" s="1595"/>
      <c r="G1520" s="1595">
        <v>378112</v>
      </c>
      <c r="H1520" s="1601">
        <v>284508</v>
      </c>
      <c r="I1520" s="661"/>
      <c r="J1520" s="13"/>
    </row>
    <row r="1521" spans="1:10" ht="13.8">
      <c r="A1521" s="1603" t="s">
        <v>5309</v>
      </c>
      <c r="B1521" s="1598" t="s">
        <v>5182</v>
      </c>
      <c r="C1521" s="1599" t="s">
        <v>5310</v>
      </c>
      <c r="D1521" s="1604" t="s">
        <v>2966</v>
      </c>
      <c r="E1521" s="1595"/>
      <c r="F1521" s="1595"/>
      <c r="G1521" s="1595">
        <v>503192</v>
      </c>
      <c r="H1521" s="1601">
        <v>284508</v>
      </c>
      <c r="I1521" s="661"/>
      <c r="J1521" s="13"/>
    </row>
    <row r="1522" spans="1:10" ht="13.8">
      <c r="A1522" s="1603" t="s">
        <v>5311</v>
      </c>
      <c r="B1522" s="1598" t="s">
        <v>5183</v>
      </c>
      <c r="C1522" s="1599" t="s">
        <v>5312</v>
      </c>
      <c r="D1522" s="1604" t="s">
        <v>2966</v>
      </c>
      <c r="E1522" s="1595"/>
      <c r="F1522" s="1595"/>
      <c r="G1522" s="1595">
        <v>534821</v>
      </c>
      <c r="H1522" s="1601">
        <v>284508</v>
      </c>
      <c r="I1522" s="661"/>
      <c r="J1522" s="13"/>
    </row>
    <row r="1523" spans="1:10" ht="13.8">
      <c r="A1523" s="1603" t="s">
        <v>5313</v>
      </c>
      <c r="B1523" s="1598" t="s">
        <v>5314</v>
      </c>
      <c r="C1523" s="1599" t="s">
        <v>5315</v>
      </c>
      <c r="D1523" s="1604" t="s">
        <v>2966</v>
      </c>
      <c r="E1523" s="1595"/>
      <c r="F1523" s="1595"/>
      <c r="G1523" s="1595">
        <v>583702</v>
      </c>
      <c r="H1523" s="1601">
        <v>284508</v>
      </c>
      <c r="I1523" s="661"/>
      <c r="J1523" s="13"/>
    </row>
    <row r="1524" spans="1:10" ht="13.8">
      <c r="A1524" s="1603" t="s">
        <v>5316</v>
      </c>
      <c r="B1524" s="1598" t="s">
        <v>5317</v>
      </c>
      <c r="C1524" s="1599" t="s">
        <v>5318</v>
      </c>
      <c r="D1524" s="1604" t="s">
        <v>2966</v>
      </c>
      <c r="E1524" s="1595"/>
      <c r="F1524" s="1595"/>
      <c r="G1524" s="1595">
        <v>654149</v>
      </c>
      <c r="H1524" s="1601">
        <v>284508</v>
      </c>
      <c r="I1524" s="661"/>
      <c r="J1524" s="13"/>
    </row>
    <row r="1525" spans="1:10" ht="13.8">
      <c r="A1525" s="1603" t="s">
        <v>5319</v>
      </c>
      <c r="B1525" s="1598" t="s">
        <v>5193</v>
      </c>
      <c r="C1525" s="1599" t="s">
        <v>5320</v>
      </c>
      <c r="D1525" s="1604" t="s">
        <v>2118</v>
      </c>
      <c r="E1525" s="1595"/>
      <c r="F1525" s="1595"/>
      <c r="G1525" s="1595">
        <v>1151302</v>
      </c>
      <c r="H1525" s="1601">
        <v>218852</v>
      </c>
      <c r="I1525" s="661"/>
      <c r="J1525" s="13"/>
    </row>
    <row r="1526" spans="1:10" ht="13.8">
      <c r="A1526" s="1603" t="s">
        <v>5321</v>
      </c>
      <c r="B1526" s="1598" t="s">
        <v>5191</v>
      </c>
      <c r="C1526" s="1599" t="s">
        <v>5322</v>
      </c>
      <c r="D1526" s="1604" t="s">
        <v>2118</v>
      </c>
      <c r="E1526" s="1595"/>
      <c r="F1526" s="1595"/>
      <c r="G1526" s="1595">
        <v>273161</v>
      </c>
      <c r="H1526" s="1601">
        <v>131311</v>
      </c>
      <c r="I1526" s="661"/>
      <c r="J1526" s="13"/>
    </row>
    <row r="1527" spans="1:10" ht="13.8">
      <c r="A1527" s="1603" t="s">
        <v>5323</v>
      </c>
      <c r="B1527" s="1598" t="s">
        <v>5194</v>
      </c>
      <c r="C1527" s="1599" t="s">
        <v>5324</v>
      </c>
      <c r="D1527" s="1604" t="s">
        <v>2118</v>
      </c>
      <c r="E1527" s="1595"/>
      <c r="F1527" s="1595"/>
      <c r="G1527" s="1595">
        <f>132000/3</f>
        <v>44000</v>
      </c>
      <c r="H1527" s="1601"/>
      <c r="I1527" s="661">
        <v>132000</v>
      </c>
      <c r="J1527" s="13"/>
    </row>
    <row r="1528" spans="1:10">
      <c r="A1528" s="16" t="s">
        <v>2081</v>
      </c>
      <c r="B1528" s="668" t="s">
        <v>1962</v>
      </c>
      <c r="C1528" s="16" t="s">
        <v>3338</v>
      </c>
      <c r="D1528" s="17" t="s">
        <v>2118</v>
      </c>
      <c r="E1528" s="14"/>
      <c r="F1528" s="14"/>
      <c r="G1528" s="14">
        <v>13090</v>
      </c>
      <c r="H1528" s="14">
        <v>137035</v>
      </c>
      <c r="I1528" s="661"/>
      <c r="J1528" s="13" t="s">
        <v>450</v>
      </c>
    </row>
    <row r="1529" spans="1:10">
      <c r="A1529" s="16" t="s">
        <v>811</v>
      </c>
      <c r="B1529" s="668" t="s">
        <v>1963</v>
      </c>
      <c r="C1529" s="16" t="s">
        <v>3339</v>
      </c>
      <c r="D1529" s="17" t="s">
        <v>3328</v>
      </c>
      <c r="E1529" s="14"/>
      <c r="F1529" s="14"/>
      <c r="G1529" s="14">
        <v>24870</v>
      </c>
      <c r="H1529" s="14">
        <v>137035</v>
      </c>
      <c r="I1529" s="661"/>
      <c r="J1529" s="13" t="s">
        <v>450</v>
      </c>
    </row>
    <row r="1530" spans="1:10">
      <c r="A1530" s="16" t="s">
        <v>1425</v>
      </c>
      <c r="B1530" s="668" t="s">
        <v>1426</v>
      </c>
      <c r="C1530" s="16" t="s">
        <v>3340</v>
      </c>
      <c r="D1530" s="17" t="s">
        <v>3328</v>
      </c>
      <c r="E1530" s="14"/>
      <c r="F1530" s="14"/>
      <c r="G1530" s="14">
        <v>27488</v>
      </c>
      <c r="H1530" s="14">
        <v>137035</v>
      </c>
      <c r="I1530" s="661"/>
      <c r="J1530" s="13" t="s">
        <v>450</v>
      </c>
    </row>
    <row r="1531" spans="1:10">
      <c r="A1531" s="16" t="s">
        <v>159</v>
      </c>
      <c r="B1531" s="668" t="s">
        <v>161</v>
      </c>
      <c r="C1531" s="16" t="s">
        <v>3341</v>
      </c>
      <c r="D1531" s="17" t="s">
        <v>2307</v>
      </c>
      <c r="E1531" s="14"/>
      <c r="F1531" s="14"/>
      <c r="G1531" s="14">
        <v>895</v>
      </c>
      <c r="H1531" s="14">
        <v>339</v>
      </c>
      <c r="I1531" s="661"/>
      <c r="J1531" s="13" t="s">
        <v>450</v>
      </c>
    </row>
    <row r="1532" spans="1:10">
      <c r="A1532" s="16" t="s">
        <v>254</v>
      </c>
      <c r="B1532" s="668" t="s">
        <v>1964</v>
      </c>
      <c r="C1532" s="16" t="s">
        <v>3342</v>
      </c>
      <c r="D1532" s="17" t="s">
        <v>2226</v>
      </c>
      <c r="E1532" s="14"/>
      <c r="F1532" s="14"/>
      <c r="G1532" s="14">
        <v>17954</v>
      </c>
      <c r="H1532" s="14">
        <v>69038</v>
      </c>
      <c r="I1532" s="661"/>
      <c r="J1532" s="13" t="s">
        <v>450</v>
      </c>
    </row>
    <row r="1533" spans="1:10">
      <c r="A1533" s="16" t="s">
        <v>551</v>
      </c>
      <c r="B1533" s="668" t="s">
        <v>525</v>
      </c>
      <c r="C1533" s="19" t="s">
        <v>3343</v>
      </c>
      <c r="D1533" s="17" t="s">
        <v>2447</v>
      </c>
      <c r="E1533" s="18"/>
      <c r="F1533" s="18"/>
      <c r="G1533" s="18">
        <v>74568</v>
      </c>
      <c r="H1533" s="14"/>
      <c r="I1533" s="661"/>
      <c r="J1533" s="13" t="s">
        <v>450</v>
      </c>
    </row>
    <row r="1534" spans="1:10">
      <c r="A1534" s="16" t="s">
        <v>526</v>
      </c>
      <c r="B1534" s="668" t="s">
        <v>661</v>
      </c>
      <c r="C1534" s="19" t="s">
        <v>3344</v>
      </c>
      <c r="D1534" s="17" t="s">
        <v>2447</v>
      </c>
      <c r="E1534" s="18"/>
      <c r="F1534" s="18"/>
      <c r="G1534" s="18">
        <v>63462</v>
      </c>
      <c r="H1534" s="14">
        <v>112201</v>
      </c>
      <c r="I1534" s="661"/>
      <c r="J1534" s="13" t="s">
        <v>450</v>
      </c>
    </row>
    <row r="1535" spans="1:10">
      <c r="A1535" s="16" t="s">
        <v>168</v>
      </c>
      <c r="B1535" s="668" t="s">
        <v>550</v>
      </c>
      <c r="C1535" s="19" t="s">
        <v>3345</v>
      </c>
      <c r="D1535" s="17" t="s">
        <v>2307</v>
      </c>
      <c r="E1535" s="18"/>
      <c r="F1535" s="18"/>
      <c r="G1535" s="18">
        <v>621.4</v>
      </c>
      <c r="H1535" s="14">
        <v>4533.1000000000004</v>
      </c>
      <c r="I1535" s="661"/>
      <c r="J1535" s="13" t="s">
        <v>450</v>
      </c>
    </row>
    <row r="1536" spans="1:10">
      <c r="A1536" s="16" t="s">
        <v>2002</v>
      </c>
      <c r="B1536" s="668" t="s">
        <v>2003</v>
      </c>
      <c r="C1536" s="19" t="s">
        <v>3346</v>
      </c>
      <c r="D1536" s="17" t="s">
        <v>2307</v>
      </c>
      <c r="E1536" s="18"/>
      <c r="F1536" s="18"/>
      <c r="G1536" s="18">
        <v>388.7</v>
      </c>
      <c r="H1536" s="14">
        <v>1133.3</v>
      </c>
      <c r="I1536" s="661"/>
      <c r="J1536" s="13" t="s">
        <v>2449</v>
      </c>
    </row>
    <row r="1537" spans="1:10">
      <c r="A1537" s="16" t="s">
        <v>2004</v>
      </c>
      <c r="B1537" s="668" t="s">
        <v>2005</v>
      </c>
      <c r="C1537" s="19" t="s">
        <v>3347</v>
      </c>
      <c r="D1537" s="17" t="s">
        <v>2307</v>
      </c>
      <c r="E1537" s="18"/>
      <c r="F1537" s="18"/>
      <c r="G1537" s="18">
        <v>533.1</v>
      </c>
      <c r="H1537" s="14">
        <v>4533.1000000000004</v>
      </c>
      <c r="I1537" s="661"/>
      <c r="J1537" s="13" t="s">
        <v>2449</v>
      </c>
    </row>
    <row r="1538" spans="1:10">
      <c r="A1538" s="16" t="s">
        <v>1965</v>
      </c>
      <c r="B1538" s="668" t="s">
        <v>0</v>
      </c>
      <c r="C1538" s="19" t="s">
        <v>3348</v>
      </c>
      <c r="D1538" s="17" t="s">
        <v>2307</v>
      </c>
      <c r="E1538" s="18"/>
      <c r="F1538" s="18"/>
      <c r="G1538" s="18">
        <v>372.8</v>
      </c>
      <c r="H1538" s="14"/>
      <c r="I1538" s="661"/>
      <c r="J1538" s="13" t="s">
        <v>450</v>
      </c>
    </row>
    <row r="1539" spans="1:10">
      <c r="A1539" s="16" t="s">
        <v>2006</v>
      </c>
      <c r="B1539" s="668" t="s">
        <v>2007</v>
      </c>
      <c r="C1539" s="19" t="s">
        <v>3349</v>
      </c>
      <c r="D1539" s="17" t="s">
        <v>2226</v>
      </c>
      <c r="E1539" s="18"/>
      <c r="F1539" s="18"/>
      <c r="G1539" s="18">
        <v>22827</v>
      </c>
      <c r="H1539" s="14"/>
      <c r="I1539" s="661"/>
      <c r="J1539" s="13" t="s">
        <v>450</v>
      </c>
    </row>
    <row r="1540" spans="1:10">
      <c r="A1540" s="16" t="s">
        <v>398</v>
      </c>
      <c r="B1540" s="668" t="s">
        <v>399</v>
      </c>
      <c r="C1540" s="19" t="s">
        <v>3350</v>
      </c>
      <c r="D1540" s="17" t="s">
        <v>2118</v>
      </c>
      <c r="E1540" s="18"/>
      <c r="F1540" s="18">
        <v>6214</v>
      </c>
      <c r="G1540" s="18"/>
      <c r="H1540" s="14"/>
      <c r="I1540" s="661" t="s">
        <v>450</v>
      </c>
      <c r="J1540" s="13" t="s">
        <v>629</v>
      </c>
    </row>
    <row r="1541" spans="1:10">
      <c r="A1541" s="16" t="s">
        <v>449</v>
      </c>
      <c r="B1541" s="668" t="s">
        <v>4911</v>
      </c>
      <c r="C1541" s="19" t="s">
        <v>3351</v>
      </c>
      <c r="D1541" s="17" t="s">
        <v>2307</v>
      </c>
      <c r="E1541" s="18"/>
      <c r="F1541" s="18">
        <v>26</v>
      </c>
      <c r="G1541" s="18">
        <v>312</v>
      </c>
      <c r="H1541" s="14"/>
      <c r="I1541" s="661" t="s">
        <v>450</v>
      </c>
      <c r="J1541" s="13" t="s">
        <v>450</v>
      </c>
    </row>
    <row r="1542" spans="1:10">
      <c r="A1542" s="16" t="s">
        <v>451</v>
      </c>
      <c r="B1542" s="668" t="s">
        <v>4912</v>
      </c>
      <c r="C1542" s="19" t="s">
        <v>3352</v>
      </c>
      <c r="D1542" s="17" t="s">
        <v>2307</v>
      </c>
      <c r="E1542" s="18"/>
      <c r="F1542" s="18">
        <v>39</v>
      </c>
      <c r="G1542" s="18">
        <v>4499.3</v>
      </c>
      <c r="H1542" s="14"/>
      <c r="I1542" s="661" t="s">
        <v>450</v>
      </c>
      <c r="J1542" s="13" t="s">
        <v>450</v>
      </c>
    </row>
    <row r="1543" spans="1:10">
      <c r="A1543" s="16" t="s">
        <v>452</v>
      </c>
      <c r="B1543" s="668" t="s">
        <v>453</v>
      </c>
      <c r="C1543" s="19" t="s">
        <v>3353</v>
      </c>
      <c r="D1543" s="17" t="s">
        <v>2307</v>
      </c>
      <c r="E1543" s="18"/>
      <c r="F1543" s="18">
        <v>3053</v>
      </c>
      <c r="G1543" s="18">
        <v>6639.9</v>
      </c>
      <c r="H1543" s="14"/>
      <c r="I1543" s="661"/>
      <c r="J1543" s="13" t="s">
        <v>450</v>
      </c>
    </row>
    <row r="1544" spans="1:10">
      <c r="A1544" s="16" t="s">
        <v>197</v>
      </c>
      <c r="B1544" s="668" t="s">
        <v>1607</v>
      </c>
      <c r="C1544" s="19" t="s">
        <v>3354</v>
      </c>
      <c r="D1544" s="17" t="s">
        <v>2670</v>
      </c>
      <c r="E1544" s="18"/>
      <c r="F1544" s="18"/>
      <c r="G1544" s="18">
        <v>154.69999999999999</v>
      </c>
      <c r="H1544" s="14"/>
      <c r="I1544" s="661"/>
      <c r="J1544" s="13" t="s">
        <v>613</v>
      </c>
    </row>
    <row r="1545" spans="1:10">
      <c r="A1545" s="16" t="s">
        <v>1921</v>
      </c>
      <c r="B1545" s="668" t="s">
        <v>467</v>
      </c>
      <c r="C1545" s="19" t="s">
        <v>3355</v>
      </c>
      <c r="D1545" s="17" t="s">
        <v>805</v>
      </c>
      <c r="E1545" s="18"/>
      <c r="F1545" s="18"/>
      <c r="G1545" s="18">
        <v>67111</v>
      </c>
      <c r="H1545" s="14"/>
      <c r="I1545" s="661"/>
      <c r="J1545" s="13" t="s">
        <v>610</v>
      </c>
    </row>
    <row r="1546" spans="1:10">
      <c r="A1546" s="16" t="s">
        <v>468</v>
      </c>
      <c r="B1546" s="668" t="s">
        <v>469</v>
      </c>
      <c r="C1546" s="19" t="s">
        <v>3356</v>
      </c>
      <c r="D1546" s="17" t="s">
        <v>805</v>
      </c>
      <c r="E1546" s="18"/>
      <c r="F1546" s="18"/>
      <c r="G1546" s="18">
        <v>14992</v>
      </c>
      <c r="H1546" s="14"/>
      <c r="I1546" s="661"/>
      <c r="J1546" s="13" t="s">
        <v>610</v>
      </c>
    </row>
    <row r="1547" spans="1:10">
      <c r="A1547" s="16" t="s">
        <v>470</v>
      </c>
      <c r="B1547" s="668" t="s">
        <v>471</v>
      </c>
      <c r="C1547" s="19" t="s">
        <v>3357</v>
      </c>
      <c r="D1547" s="17" t="s">
        <v>805</v>
      </c>
      <c r="E1547" s="18"/>
      <c r="F1547" s="18"/>
      <c r="G1547" s="18">
        <v>12090</v>
      </c>
      <c r="H1547" s="14"/>
      <c r="I1547" s="661"/>
      <c r="J1547" s="13" t="s">
        <v>610</v>
      </c>
    </row>
    <row r="1548" spans="1:10">
      <c r="A1548" s="16" t="s">
        <v>1501</v>
      </c>
      <c r="B1548" s="668" t="s">
        <v>1922</v>
      </c>
      <c r="C1548" s="19" t="s">
        <v>3358</v>
      </c>
      <c r="D1548" s="17" t="s">
        <v>805</v>
      </c>
      <c r="E1548" s="18"/>
      <c r="F1548" s="18"/>
      <c r="G1548" s="18">
        <v>67111</v>
      </c>
      <c r="H1548" s="14"/>
      <c r="I1548" s="661"/>
      <c r="J1548" s="13" t="s">
        <v>610</v>
      </c>
    </row>
    <row r="1549" spans="1:10">
      <c r="A1549" s="16" t="s">
        <v>1920</v>
      </c>
      <c r="B1549" s="668" t="s">
        <v>1923</v>
      </c>
      <c r="C1549" s="19" t="s">
        <v>3359</v>
      </c>
      <c r="D1549" s="17" t="s">
        <v>805</v>
      </c>
      <c r="E1549" s="18"/>
      <c r="F1549" s="18"/>
      <c r="G1549" s="18">
        <v>74568</v>
      </c>
      <c r="H1549" s="14"/>
      <c r="I1549" s="661"/>
      <c r="J1549" s="13" t="s">
        <v>610</v>
      </c>
    </row>
    <row r="1550" spans="1:10">
      <c r="A1550" s="16" t="s">
        <v>1583</v>
      </c>
      <c r="B1550" s="668" t="s">
        <v>718</v>
      </c>
      <c r="C1550" s="19" t="s">
        <v>3360</v>
      </c>
      <c r="D1550" s="17" t="s">
        <v>805</v>
      </c>
      <c r="E1550" s="18"/>
      <c r="F1550" s="18"/>
      <c r="G1550" s="18">
        <v>16201</v>
      </c>
      <c r="H1550" s="14"/>
      <c r="I1550" s="661"/>
      <c r="J1550" s="13" t="s">
        <v>610</v>
      </c>
    </row>
    <row r="1551" spans="1:10">
      <c r="A1551" s="16" t="s">
        <v>1584</v>
      </c>
      <c r="B1551" s="668" t="s">
        <v>719</v>
      </c>
      <c r="C1551" s="19" t="s">
        <v>3361</v>
      </c>
      <c r="D1551" s="17" t="s">
        <v>805</v>
      </c>
      <c r="E1551" s="18"/>
      <c r="F1551" s="18"/>
      <c r="G1551" s="18">
        <v>13541</v>
      </c>
      <c r="H1551" s="14"/>
      <c r="I1551" s="661"/>
      <c r="J1551" s="13" t="s">
        <v>610</v>
      </c>
    </row>
    <row r="1552" spans="1:10">
      <c r="A1552" s="16" t="s">
        <v>162</v>
      </c>
      <c r="B1552" s="668" t="s">
        <v>160</v>
      </c>
      <c r="C1552" s="19" t="s">
        <v>3362</v>
      </c>
      <c r="D1552" s="17" t="s">
        <v>2451</v>
      </c>
      <c r="E1552" s="18"/>
      <c r="F1552" s="18"/>
      <c r="G1552" s="18">
        <v>15707</v>
      </c>
      <c r="H1552" s="14"/>
      <c r="I1552" s="661"/>
      <c r="J1552" s="13" t="s">
        <v>610</v>
      </c>
    </row>
    <row r="1553" spans="1:13">
      <c r="A1553" s="16"/>
      <c r="B1553" s="668"/>
      <c r="C1553" s="1625" t="s">
        <v>5325</v>
      </c>
      <c r="D1553" s="17"/>
      <c r="E1553" s="18"/>
      <c r="F1553" s="18"/>
      <c r="G1553" s="18"/>
      <c r="H1553" s="14"/>
      <c r="I1553" s="661"/>
      <c r="J1553" s="13"/>
    </row>
    <row r="1554" spans="1:13" ht="15.6">
      <c r="A1554" s="1603" t="s">
        <v>5326</v>
      </c>
      <c r="B1554" s="1626" t="s">
        <v>5327</v>
      </c>
      <c r="C1554" s="19" t="s">
        <v>5328</v>
      </c>
      <c r="D1554" s="17" t="s">
        <v>2118</v>
      </c>
      <c r="E1554" s="18"/>
      <c r="F1554" s="18"/>
      <c r="G1554" s="1595">
        <f>+ROUND(0.4*4*239615,)</f>
        <v>383384</v>
      </c>
      <c r="H1554" s="1595">
        <f>ROUND(0.32*0.4*501557,)</f>
        <v>64199</v>
      </c>
      <c r="I1554" s="661"/>
      <c r="J1554" s="13" t="s">
        <v>610</v>
      </c>
      <c r="L1554" s="1">
        <v>239615</v>
      </c>
      <c r="M1554" s="1">
        <v>501557</v>
      </c>
    </row>
    <row r="1555" spans="1:13" ht="15.6">
      <c r="A1555" s="1603" t="s">
        <v>5329</v>
      </c>
      <c r="B1555" s="1626" t="s">
        <v>5327</v>
      </c>
      <c r="C1555" s="19" t="s">
        <v>5330</v>
      </c>
      <c r="D1555" s="17" t="s">
        <v>2118</v>
      </c>
      <c r="E1555" s="18"/>
      <c r="F1555" s="18"/>
      <c r="G1555" s="1595">
        <f>+ROUND(0.4*4.608*239615,)</f>
        <v>441658</v>
      </c>
      <c r="H1555" s="1595">
        <f>ROUND(0.32*0.4*501557,)</f>
        <v>64199</v>
      </c>
      <c r="I1555" s="661"/>
      <c r="J1555" s="13" t="s">
        <v>610</v>
      </c>
      <c r="K1555" s="1">
        <v>239615</v>
      </c>
    </row>
    <row r="1556" spans="1:13" ht="15.6">
      <c r="A1556" s="1603" t="s">
        <v>5331</v>
      </c>
      <c r="B1556" s="1626" t="s">
        <v>4919</v>
      </c>
      <c r="C1556" s="19" t="s">
        <v>5332</v>
      </c>
      <c r="D1556" s="17" t="s">
        <v>2118</v>
      </c>
      <c r="E1556" s="18"/>
      <c r="F1556" s="18"/>
      <c r="G1556" s="2015">
        <f>ROUND(0.45*4.32*220000/3,)</f>
        <v>142560</v>
      </c>
      <c r="H1556" s="18"/>
      <c r="I1556" s="661"/>
      <c r="J1556" s="13" t="s">
        <v>610</v>
      </c>
      <c r="L1556" s="1">
        <v>220000</v>
      </c>
    </row>
    <row r="1557" spans="1:13" ht="15.6">
      <c r="A1557" s="1603" t="s">
        <v>5333</v>
      </c>
      <c r="B1557" s="1627" t="s">
        <v>5162</v>
      </c>
      <c r="C1557" s="19" t="s">
        <v>5334</v>
      </c>
      <c r="D1557" s="17" t="s">
        <v>2226</v>
      </c>
      <c r="E1557" s="18"/>
      <c r="F1557" s="18"/>
      <c r="G1557" s="2015">
        <f>ROUND(0.45*4.068*203846/10,)</f>
        <v>37316</v>
      </c>
      <c r="H1557" s="18"/>
      <c r="I1557" s="661"/>
      <c r="J1557" s="13" t="s">
        <v>610</v>
      </c>
    </row>
    <row r="1558" spans="1:13" ht="15.6">
      <c r="A1558" s="666" t="s">
        <v>5335</v>
      </c>
      <c r="B1558" s="1626" t="s">
        <v>5336</v>
      </c>
      <c r="C1558" s="19" t="s">
        <v>5337</v>
      </c>
      <c r="D1558" s="17" t="s">
        <v>2447</v>
      </c>
      <c r="E1558" s="18"/>
      <c r="F1558" s="18"/>
      <c r="G1558" s="2015">
        <f>ROUND(0.45*3.33*203846,)</f>
        <v>305463</v>
      </c>
      <c r="H1558" s="1595">
        <f>ROUND(0.45*0.126*1905276,)</f>
        <v>108029</v>
      </c>
      <c r="I1558" s="661"/>
      <c r="J1558" s="13" t="s">
        <v>610</v>
      </c>
      <c r="K1558" s="1">
        <v>203846</v>
      </c>
      <c r="L1558" s="1628">
        <v>1905276</v>
      </c>
    </row>
    <row r="1559" spans="1:13" ht="15.6">
      <c r="A1559" s="666" t="s">
        <v>5338</v>
      </c>
      <c r="B1559" s="1626" t="s">
        <v>5339</v>
      </c>
      <c r="C1559" s="19" t="s">
        <v>5340</v>
      </c>
      <c r="D1559" s="17" t="s">
        <v>2447</v>
      </c>
      <c r="E1559" s="18"/>
      <c r="F1559" s="18"/>
      <c r="G1559" s="2015">
        <f>ROUND(0.45*3.564*203846,)</f>
        <v>326928</v>
      </c>
      <c r="H1559" s="1595">
        <f>ROUND(0.45*0.126*1905276,)</f>
        <v>108029</v>
      </c>
      <c r="I1559" s="661"/>
      <c r="J1559" s="13" t="s">
        <v>610</v>
      </c>
    </row>
    <row r="1560" spans="1:13" ht="15.6">
      <c r="A1560" s="666" t="s">
        <v>5341</v>
      </c>
      <c r="B1560" s="1626" t="s">
        <v>5342</v>
      </c>
      <c r="C1560" s="19" t="s">
        <v>5343</v>
      </c>
      <c r="D1560" s="17" t="s">
        <v>2447</v>
      </c>
      <c r="E1560" s="18"/>
      <c r="F1560" s="18"/>
      <c r="G1560" s="2015">
        <f>ROUND(0.45*3.816*203846,)</f>
        <v>350044</v>
      </c>
      <c r="H1560" s="1595">
        <f>ROUND(0.45*0.18*1905276,)</f>
        <v>154327</v>
      </c>
      <c r="I1560" s="661"/>
      <c r="J1560" s="13" t="s">
        <v>610</v>
      </c>
    </row>
    <row r="1561" spans="1:13" ht="15.6">
      <c r="A1561" s="666" t="s">
        <v>5344</v>
      </c>
      <c r="B1561" s="1626" t="s">
        <v>5345</v>
      </c>
      <c r="C1561" s="19" t="s">
        <v>5346</v>
      </c>
      <c r="D1561" s="17" t="s">
        <v>2447</v>
      </c>
      <c r="E1561" s="18"/>
      <c r="F1561" s="18"/>
      <c r="G1561" s="2015">
        <f>ROUND(0.45*4.752*203846,)</f>
        <v>435904</v>
      </c>
      <c r="H1561" s="1595">
        <f>ROUND(0.45*0.18*1905276,)</f>
        <v>154327</v>
      </c>
      <c r="I1561" s="661"/>
      <c r="J1561" s="13" t="s">
        <v>610</v>
      </c>
    </row>
    <row r="1562" spans="1:13" ht="24">
      <c r="A1562" s="666" t="s">
        <v>5347</v>
      </c>
      <c r="B1562" s="1627" t="s">
        <v>5348</v>
      </c>
      <c r="C1562" s="1629" t="s">
        <v>5349</v>
      </c>
      <c r="D1562" s="17" t="s">
        <v>866</v>
      </c>
      <c r="E1562" s="18"/>
      <c r="F1562" s="18"/>
      <c r="G1562" s="2015">
        <f>ROUND(4.73*220000/100,)</f>
        <v>10406</v>
      </c>
      <c r="H1562" s="1595"/>
      <c r="I1562" s="661"/>
      <c r="J1562" s="13" t="s">
        <v>610</v>
      </c>
    </row>
    <row r="1563" spans="1:13" ht="24">
      <c r="A1563" s="666" t="s">
        <v>5350</v>
      </c>
      <c r="B1563" s="1627" t="s">
        <v>5351</v>
      </c>
      <c r="C1563" s="1629" t="s">
        <v>5352</v>
      </c>
      <c r="D1563" s="17" t="s">
        <v>866</v>
      </c>
      <c r="E1563" s="18"/>
      <c r="F1563" s="18"/>
      <c r="G1563" s="2015">
        <f>ROUND(5.4*220000/100,)</f>
        <v>11880</v>
      </c>
      <c r="H1563" s="1595"/>
      <c r="I1563" s="661"/>
      <c r="J1563" s="13" t="s">
        <v>610</v>
      </c>
    </row>
    <row r="1564" spans="1:13" ht="24">
      <c r="A1564" s="666" t="s">
        <v>5353</v>
      </c>
      <c r="B1564" s="1627" t="s">
        <v>5354</v>
      </c>
      <c r="C1564" s="1629" t="s">
        <v>5355</v>
      </c>
      <c r="D1564" s="17" t="s">
        <v>866</v>
      </c>
      <c r="E1564" s="18"/>
      <c r="F1564" s="18"/>
      <c r="G1564" s="2015">
        <f>ROUND(6.75*220000/100,)</f>
        <v>14850</v>
      </c>
      <c r="H1564" s="1595"/>
      <c r="I1564" s="661"/>
      <c r="J1564" s="13" t="s">
        <v>610</v>
      </c>
    </row>
    <row r="1565" spans="1:13" ht="24">
      <c r="A1565" s="666" t="s">
        <v>5356</v>
      </c>
      <c r="B1565" s="1627" t="s">
        <v>5357</v>
      </c>
      <c r="C1565" s="1629" t="s">
        <v>5358</v>
      </c>
      <c r="D1565" s="17" t="s">
        <v>866</v>
      </c>
      <c r="E1565" s="18"/>
      <c r="F1565" s="18"/>
      <c r="G1565" s="2015">
        <f>ROUND(9*220000/100,)</f>
        <v>19800</v>
      </c>
      <c r="H1565" s="1595"/>
      <c r="I1565" s="661"/>
      <c r="J1565" s="13" t="s">
        <v>610</v>
      </c>
    </row>
    <row r="1566" spans="1:13" ht="15.6">
      <c r="A1566" s="666" t="s">
        <v>5359</v>
      </c>
      <c r="B1566" s="1627" t="s">
        <v>5360</v>
      </c>
      <c r="C1566" s="1629" t="s">
        <v>5361</v>
      </c>
      <c r="D1566" s="17" t="s">
        <v>866</v>
      </c>
      <c r="E1566" s="18"/>
      <c r="F1566" s="18"/>
      <c r="G1566" s="2015">
        <f>ROUND(11.47*220000/100,)</f>
        <v>25234</v>
      </c>
      <c r="H1566" s="1595"/>
      <c r="I1566" s="661"/>
      <c r="J1566" s="13" t="s">
        <v>610</v>
      </c>
    </row>
    <row r="1567" spans="1:13" ht="15.6">
      <c r="A1567" s="666"/>
      <c r="B1567" s="1627"/>
      <c r="C1567" s="1630" t="s">
        <v>5362</v>
      </c>
      <c r="D1567" s="17" t="s">
        <v>866</v>
      </c>
      <c r="E1567" s="18"/>
      <c r="F1567" s="18"/>
      <c r="G1567" s="2015"/>
      <c r="H1567" s="1595"/>
      <c r="I1567" s="661"/>
      <c r="J1567" s="13" t="s">
        <v>610</v>
      </c>
      <c r="L1567" s="1">
        <v>203846</v>
      </c>
    </row>
    <row r="1568" spans="1:13" ht="15.6">
      <c r="A1568" s="1631" t="s">
        <v>5363</v>
      </c>
      <c r="B1568" s="1627" t="s">
        <v>5364</v>
      </c>
      <c r="C1568" s="1632" t="s">
        <v>5365</v>
      </c>
      <c r="D1568" s="17" t="s">
        <v>866</v>
      </c>
      <c r="E1568" s="18"/>
      <c r="F1568" s="18"/>
      <c r="G1568" s="2015">
        <f>ROUND(0.918*0.45*203846*1.5,)</f>
        <v>126313</v>
      </c>
      <c r="H1568" s="1595"/>
      <c r="I1568" s="661"/>
      <c r="J1568" s="13" t="s">
        <v>610</v>
      </c>
    </row>
    <row r="1569" spans="1:10" ht="15.6">
      <c r="A1569" s="1631" t="s">
        <v>5366</v>
      </c>
      <c r="B1569" s="1627" t="s">
        <v>5367</v>
      </c>
      <c r="C1569" s="1632" t="s">
        <v>5368</v>
      </c>
      <c r="D1569" s="17" t="s">
        <v>866</v>
      </c>
      <c r="E1569" s="18"/>
      <c r="F1569" s="18"/>
      <c r="G1569" s="2015">
        <f>ROUND(1.35*0.45*203846*1.5,)</f>
        <v>185755</v>
      </c>
      <c r="H1569" s="1595"/>
      <c r="I1569" s="661"/>
      <c r="J1569" s="13" t="s">
        <v>610</v>
      </c>
    </row>
    <row r="1570" spans="1:10" ht="15.6">
      <c r="A1570" s="1631" t="s">
        <v>5369</v>
      </c>
      <c r="B1570" s="1627" t="s">
        <v>5370</v>
      </c>
      <c r="C1570" s="1632" t="s">
        <v>5371</v>
      </c>
      <c r="D1570" s="17" t="s">
        <v>866</v>
      </c>
      <c r="E1570" s="18"/>
      <c r="F1570" s="18"/>
      <c r="G1570" s="2015">
        <f>ROUND(2.07*0.45*203846*1.5,)</f>
        <v>284824</v>
      </c>
      <c r="H1570" s="1595"/>
      <c r="I1570" s="661"/>
      <c r="J1570" s="13" t="s">
        <v>610</v>
      </c>
    </row>
    <row r="1571" spans="1:10" ht="15.6">
      <c r="A1571" s="1631" t="s">
        <v>5372</v>
      </c>
      <c r="B1571" s="1627" t="s">
        <v>5373</v>
      </c>
      <c r="C1571" s="1632" t="s">
        <v>5374</v>
      </c>
      <c r="D1571" s="17" t="s">
        <v>866</v>
      </c>
      <c r="E1571" s="18"/>
      <c r="F1571" s="18"/>
      <c r="G1571" s="2015">
        <f>ROUND(2.79*0.45*203846*1.5,)</f>
        <v>383893</v>
      </c>
      <c r="H1571" s="1595"/>
      <c r="I1571" s="661"/>
      <c r="J1571" s="13" t="s">
        <v>610</v>
      </c>
    </row>
    <row r="1572" spans="1:10" ht="15.6">
      <c r="A1572" s="1631" t="s">
        <v>5375</v>
      </c>
      <c r="B1572" s="1627" t="s">
        <v>5376</v>
      </c>
      <c r="C1572" s="1632" t="s">
        <v>5377</v>
      </c>
      <c r="D1572" s="17" t="s">
        <v>866</v>
      </c>
      <c r="E1572" s="18"/>
      <c r="F1572" s="18"/>
      <c r="G1572" s="2015">
        <f>ROUND(3.348*0.45*203846*1.5,)</f>
        <v>460672</v>
      </c>
      <c r="H1572" s="1595"/>
      <c r="I1572" s="661"/>
      <c r="J1572" s="13" t="s">
        <v>610</v>
      </c>
    </row>
    <row r="1573" spans="1:10" ht="15.6">
      <c r="A1573" s="1631" t="s">
        <v>5378</v>
      </c>
      <c r="B1573" s="1627" t="s">
        <v>5379</v>
      </c>
      <c r="C1573" s="1632" t="s">
        <v>5380</v>
      </c>
      <c r="D1573" s="17" t="s">
        <v>866</v>
      </c>
      <c r="E1573" s="18"/>
      <c r="F1573" s="18"/>
      <c r="G1573" s="2015">
        <f>ROUND(4.626*0.45*203846*1.5,)</f>
        <v>636519</v>
      </c>
      <c r="H1573" s="1595"/>
      <c r="I1573" s="661"/>
      <c r="J1573" s="13" t="s">
        <v>610</v>
      </c>
    </row>
    <row r="1574" spans="1:10" ht="15.6">
      <c r="A1574" s="1633"/>
      <c r="B1574" s="1627"/>
      <c r="C1574" s="1630" t="s">
        <v>5381</v>
      </c>
      <c r="D1574" s="17" t="s">
        <v>866</v>
      </c>
      <c r="E1574" s="18"/>
      <c r="F1574" s="18"/>
      <c r="G1574" s="2015"/>
      <c r="H1574" s="1595"/>
      <c r="I1574" s="661"/>
      <c r="J1574" s="13" t="s">
        <v>610</v>
      </c>
    </row>
    <row r="1575" spans="1:10" ht="15.6">
      <c r="A1575" s="1631" t="s">
        <v>5382</v>
      </c>
      <c r="B1575" s="1627" t="s">
        <v>5383</v>
      </c>
      <c r="C1575" s="1632" t="s">
        <v>5384</v>
      </c>
      <c r="D1575" s="17" t="s">
        <v>866</v>
      </c>
      <c r="E1575" s="18"/>
      <c r="F1575" s="18"/>
      <c r="G1575" s="2015">
        <f>ROUND(1.22*0.45*203846*1.5,)</f>
        <v>167867</v>
      </c>
      <c r="H1575" s="1595"/>
      <c r="I1575" s="661"/>
      <c r="J1575" s="13" t="s">
        <v>610</v>
      </c>
    </row>
    <row r="1576" spans="1:10" ht="15.6">
      <c r="A1576" s="1631" t="s">
        <v>5385</v>
      </c>
      <c r="B1576" s="1627" t="s">
        <v>5386</v>
      </c>
      <c r="C1576" s="1632" t="s">
        <v>5387</v>
      </c>
      <c r="D1576" s="17" t="s">
        <v>866</v>
      </c>
      <c r="E1576" s="18"/>
      <c r="F1576" s="18"/>
      <c r="G1576" s="2015">
        <f>ROUND(2.034*0.45*203846*1.5,)</f>
        <v>279870</v>
      </c>
      <c r="H1576" s="1595"/>
      <c r="I1576" s="661"/>
      <c r="J1576" s="13" t="s">
        <v>610</v>
      </c>
    </row>
    <row r="1577" spans="1:10" ht="15.6">
      <c r="A1577" s="1631" t="s">
        <v>5388</v>
      </c>
      <c r="B1577" s="1627" t="s">
        <v>5389</v>
      </c>
      <c r="C1577" s="1632" t="s">
        <v>5390</v>
      </c>
      <c r="D1577" s="17" t="s">
        <v>866</v>
      </c>
      <c r="E1577" s="18"/>
      <c r="F1577" s="18"/>
      <c r="G1577" s="2015">
        <f>ROUND(2.754*0.45*203846*1.5,)</f>
        <v>378940</v>
      </c>
      <c r="H1577" s="1595"/>
      <c r="I1577" s="661"/>
      <c r="J1577" s="13" t="s">
        <v>610</v>
      </c>
    </row>
    <row r="1578" spans="1:10" ht="15.6">
      <c r="A1578" s="1631" t="s">
        <v>5391</v>
      </c>
      <c r="B1578" s="1627" t="s">
        <v>5392</v>
      </c>
      <c r="C1578" s="1632" t="s">
        <v>5393</v>
      </c>
      <c r="D1578" s="17" t="s">
        <v>866</v>
      </c>
      <c r="E1578" s="18"/>
      <c r="F1578" s="18"/>
      <c r="G1578" s="2015">
        <f>ROUND(3.708*0.45*203846*1.5,)</f>
        <v>510206</v>
      </c>
      <c r="H1578" s="1595"/>
      <c r="I1578" s="661"/>
      <c r="J1578" s="13" t="s">
        <v>610</v>
      </c>
    </row>
    <row r="1579" spans="1:10" ht="15.6">
      <c r="A1579" s="1631" t="s">
        <v>5394</v>
      </c>
      <c r="B1579" s="1627" t="s">
        <v>5395</v>
      </c>
      <c r="C1579" s="1632" t="s">
        <v>5396</v>
      </c>
      <c r="D1579" s="17" t="s">
        <v>866</v>
      </c>
      <c r="E1579" s="18"/>
      <c r="F1579" s="18"/>
      <c r="G1579" s="2015">
        <f>ROUND(4.446*0.45*203846*1.5,)</f>
        <v>611752</v>
      </c>
      <c r="H1579" s="1595"/>
      <c r="I1579" s="661"/>
      <c r="J1579" s="13" t="s">
        <v>610</v>
      </c>
    </row>
    <row r="1580" spans="1:10" ht="15.6">
      <c r="A1580" s="1631" t="s">
        <v>5397</v>
      </c>
      <c r="B1580" s="1627" t="s">
        <v>5398</v>
      </c>
      <c r="C1580" s="1632" t="s">
        <v>5399</v>
      </c>
      <c r="D1580" s="17" t="s">
        <v>866</v>
      </c>
      <c r="E1580" s="18"/>
      <c r="F1580" s="18"/>
      <c r="G1580" s="2015">
        <f>ROUND(6.138*0.45*203846*1.5,)</f>
        <v>844565</v>
      </c>
      <c r="H1580" s="1595"/>
      <c r="I1580" s="661"/>
      <c r="J1580" s="13" t="s">
        <v>610</v>
      </c>
    </row>
    <row r="1581" spans="1:10" ht="15.6">
      <c r="A1581" s="1633"/>
      <c r="B1581" s="1627"/>
      <c r="C1581" s="1630" t="s">
        <v>5400</v>
      </c>
      <c r="D1581" s="17" t="s">
        <v>866</v>
      </c>
      <c r="E1581" s="18"/>
      <c r="F1581" s="18"/>
      <c r="G1581" s="2015"/>
      <c r="H1581" s="1595"/>
      <c r="I1581" s="661"/>
      <c r="J1581" s="13" t="s">
        <v>610</v>
      </c>
    </row>
    <row r="1582" spans="1:10" ht="15.6">
      <c r="A1582" s="1631" t="s">
        <v>5401</v>
      </c>
      <c r="B1582" s="1627" t="s">
        <v>5402</v>
      </c>
      <c r="C1582" s="1632" t="s">
        <v>5403</v>
      </c>
      <c r="D1582" s="17" t="s">
        <v>866</v>
      </c>
      <c r="E1582" s="18"/>
      <c r="F1582" s="18"/>
      <c r="G1582" s="2015">
        <f>ROUND(3.78*0.45*203846*1.5,)</f>
        <v>520113</v>
      </c>
      <c r="H1582" s="1595"/>
      <c r="I1582" s="661"/>
      <c r="J1582" s="13" t="s">
        <v>610</v>
      </c>
    </row>
    <row r="1583" spans="1:10" ht="15.6">
      <c r="A1583" s="1631" t="s">
        <v>5404</v>
      </c>
      <c r="B1583" s="1627" t="s">
        <v>5405</v>
      </c>
      <c r="C1583" s="1632" t="s">
        <v>5406</v>
      </c>
      <c r="D1583" s="17" t="s">
        <v>866</v>
      </c>
      <c r="E1583" s="18"/>
      <c r="F1583" s="18"/>
      <c r="G1583" s="2015">
        <f>ROUND(5.382*0.45*203846*1.5,)</f>
        <v>740542</v>
      </c>
      <c r="H1583" s="1595"/>
      <c r="I1583" s="661"/>
      <c r="J1583" s="13" t="s">
        <v>610</v>
      </c>
    </row>
    <row r="1584" spans="1:10" ht="15.6">
      <c r="A1584" s="1631" t="s">
        <v>5407</v>
      </c>
      <c r="B1584" s="1627" t="s">
        <v>5408</v>
      </c>
      <c r="C1584" s="1632" t="s">
        <v>5409</v>
      </c>
      <c r="D1584" s="17" t="s">
        <v>866</v>
      </c>
      <c r="E1584" s="18"/>
      <c r="F1584" s="18"/>
      <c r="G1584" s="2015">
        <f>ROUND(6.75*0.45*203846*1.5,)</f>
        <v>928773</v>
      </c>
      <c r="H1584" s="1595"/>
      <c r="I1584" s="661"/>
      <c r="J1584" s="13" t="s">
        <v>610</v>
      </c>
    </row>
    <row r="1585" spans="1:10" ht="15.6">
      <c r="A1585" s="1631" t="s">
        <v>5410</v>
      </c>
      <c r="B1585" s="1627" t="s">
        <v>5411</v>
      </c>
      <c r="C1585" s="1632" t="s">
        <v>5412</v>
      </c>
      <c r="D1585" s="17" t="s">
        <v>866</v>
      </c>
      <c r="E1585" s="18"/>
      <c r="F1585" s="18"/>
      <c r="G1585" s="2015">
        <f>ROUND(7.452*0.45*203846*1.5,)</f>
        <v>1025366</v>
      </c>
      <c r="H1585" s="1595"/>
      <c r="I1585" s="661"/>
      <c r="J1585" s="13" t="s">
        <v>610</v>
      </c>
    </row>
    <row r="1586" spans="1:10" ht="15.6">
      <c r="A1586" s="1633"/>
      <c r="B1586" s="1627"/>
      <c r="C1586" s="1630" t="s">
        <v>5413</v>
      </c>
      <c r="D1586" s="17" t="s">
        <v>866</v>
      </c>
      <c r="E1586" s="18"/>
      <c r="F1586" s="18"/>
      <c r="G1586" s="2015"/>
      <c r="H1586" s="1595"/>
      <c r="I1586" s="661"/>
      <c r="J1586" s="13" t="s">
        <v>610</v>
      </c>
    </row>
    <row r="1587" spans="1:10" ht="15.6">
      <c r="A1587" s="1631" t="s">
        <v>5414</v>
      </c>
      <c r="B1587" s="1627" t="s">
        <v>5415</v>
      </c>
      <c r="C1587" s="1632" t="s">
        <v>5416</v>
      </c>
      <c r="D1587" s="17" t="s">
        <v>866</v>
      </c>
      <c r="E1587" s="18"/>
      <c r="F1587" s="18"/>
      <c r="G1587" s="2015">
        <f>ROUND(4.194*0.45*203846*1.7,)</f>
        <v>654022</v>
      </c>
      <c r="H1587" s="1595"/>
      <c r="I1587" s="661"/>
      <c r="J1587" s="13" t="s">
        <v>610</v>
      </c>
    </row>
    <row r="1588" spans="1:10" ht="15.6">
      <c r="A1588" s="1631" t="s">
        <v>5417</v>
      </c>
      <c r="B1588" s="1627" t="s">
        <v>5418</v>
      </c>
      <c r="C1588" s="1632" t="s">
        <v>5419</v>
      </c>
      <c r="D1588" s="17" t="s">
        <v>866</v>
      </c>
      <c r="E1588" s="18"/>
      <c r="F1588" s="18"/>
      <c r="G1588" s="2015">
        <f>ROUND(5.994*0.45*203846*1.7,)</f>
        <v>934717</v>
      </c>
      <c r="H1588" s="1595"/>
      <c r="I1588" s="661"/>
      <c r="J1588" s="13" t="s">
        <v>610</v>
      </c>
    </row>
    <row r="1589" spans="1:10" ht="15.6">
      <c r="A1589" s="1631" t="s">
        <v>5420</v>
      </c>
      <c r="B1589" s="1627" t="s">
        <v>5421</v>
      </c>
      <c r="C1589" s="1632" t="s">
        <v>5422</v>
      </c>
      <c r="D1589" s="17" t="s">
        <v>866</v>
      </c>
      <c r="E1589" s="18"/>
      <c r="F1589" s="18"/>
      <c r="G1589" s="2015">
        <f>ROUND(7.506*0.45*203846*1.7,)</f>
        <v>1170502</v>
      </c>
      <c r="H1589" s="1595"/>
      <c r="I1589" s="661"/>
      <c r="J1589" s="13" t="s">
        <v>610</v>
      </c>
    </row>
    <row r="1590" spans="1:10" ht="15.6">
      <c r="A1590" s="1631" t="s">
        <v>5423</v>
      </c>
      <c r="B1590" s="1627" t="s">
        <v>5424</v>
      </c>
      <c r="C1590" s="1632" t="s">
        <v>5425</v>
      </c>
      <c r="D1590" s="17" t="s">
        <v>866</v>
      </c>
      <c r="E1590" s="18"/>
      <c r="F1590" s="18"/>
      <c r="G1590" s="2015">
        <f>ROUND(8.28*0.45*203846*1.7,)</f>
        <v>1291201</v>
      </c>
      <c r="H1590" s="1595"/>
      <c r="I1590" s="661"/>
      <c r="J1590" s="13" t="s">
        <v>610</v>
      </c>
    </row>
    <row r="1591" spans="1:10" ht="15.6">
      <c r="A1591" s="666"/>
      <c r="B1591" s="1627"/>
      <c r="C1591" s="1630" t="s">
        <v>5426</v>
      </c>
      <c r="D1591" s="17" t="s">
        <v>866</v>
      </c>
      <c r="E1591" s="18"/>
      <c r="F1591" s="18"/>
      <c r="G1591" s="2015"/>
      <c r="H1591" s="1595"/>
      <c r="I1591" s="661"/>
      <c r="J1591" s="13" t="s">
        <v>610</v>
      </c>
    </row>
    <row r="1592" spans="1:10" ht="15.6">
      <c r="A1592" s="16" t="s">
        <v>5427</v>
      </c>
      <c r="B1592" s="1627" t="s">
        <v>5364</v>
      </c>
      <c r="C1592" s="1632" t="s">
        <v>5428</v>
      </c>
      <c r="D1592" s="17" t="s">
        <v>866</v>
      </c>
      <c r="E1592" s="18"/>
      <c r="F1592" s="18"/>
      <c r="G1592" s="2015">
        <f>ROUND(0.918*0.45*203846*5.65/15,)</f>
        <v>31719</v>
      </c>
      <c r="H1592" s="1595"/>
      <c r="I1592" s="661"/>
      <c r="J1592" s="13" t="s">
        <v>610</v>
      </c>
    </row>
    <row r="1593" spans="1:10" ht="15.6">
      <c r="A1593" s="16" t="s">
        <v>5429</v>
      </c>
      <c r="B1593" s="1627" t="s">
        <v>5364</v>
      </c>
      <c r="C1593" s="1632" t="s">
        <v>5430</v>
      </c>
      <c r="D1593" s="17" t="s">
        <v>866</v>
      </c>
      <c r="E1593" s="18"/>
      <c r="F1593" s="18"/>
      <c r="G1593" s="2015">
        <f>ROUND(0.918*0.45*203846*0.8/5,)</f>
        <v>13473</v>
      </c>
      <c r="H1593" s="1595"/>
      <c r="I1593" s="661"/>
      <c r="J1593" s="13" t="s">
        <v>610</v>
      </c>
    </row>
    <row r="1594" spans="1:10" ht="15.6">
      <c r="A1594" s="16" t="s">
        <v>5431</v>
      </c>
      <c r="B1594" s="1627" t="s">
        <v>5364</v>
      </c>
      <c r="C1594" s="1632" t="s">
        <v>5432</v>
      </c>
      <c r="D1594" s="17" t="s">
        <v>866</v>
      </c>
      <c r="E1594" s="18"/>
      <c r="F1594" s="18"/>
      <c r="G1594" s="2015">
        <f>ROUND(0.918*0.45*203846*0.8/2,)</f>
        <v>33684</v>
      </c>
      <c r="H1594" s="1595"/>
      <c r="I1594" s="661"/>
      <c r="J1594" s="13" t="s">
        <v>610</v>
      </c>
    </row>
    <row r="1595" spans="1:10" ht="15.6">
      <c r="A1595" s="16" t="s">
        <v>5433</v>
      </c>
      <c r="B1595" s="1627" t="s">
        <v>5364</v>
      </c>
      <c r="C1595" s="1632" t="s">
        <v>5434</v>
      </c>
      <c r="D1595" s="17" t="s">
        <v>866</v>
      </c>
      <c r="E1595" s="18"/>
      <c r="F1595" s="18"/>
      <c r="G1595" s="2015">
        <f>ROUND(0.918*0.45*203846*0.8*8/15,)</f>
        <v>35929</v>
      </c>
      <c r="H1595" s="1595"/>
      <c r="I1595" s="661"/>
      <c r="J1595" s="13" t="s">
        <v>610</v>
      </c>
    </row>
    <row r="1596" spans="1:10">
      <c r="A1596" s="666"/>
    </row>
    <row r="1597" spans="1:10">
      <c r="A1597" s="13" t="s">
        <v>562</v>
      </c>
      <c r="C1597" s="1" t="s">
        <v>3477</v>
      </c>
    </row>
    <row r="1598" spans="1:10">
      <c r="A1598" s="13" t="s">
        <v>2172</v>
      </c>
      <c r="C1598" s="1" t="s">
        <v>3478</v>
      </c>
    </row>
    <row r="1599" spans="1:10">
      <c r="A1599" s="13" t="s">
        <v>583</v>
      </c>
      <c r="C1599" s="1" t="s">
        <v>3479</v>
      </c>
      <c r="G1599" s="2016">
        <v>2150000</v>
      </c>
    </row>
    <row r="1600" spans="1:10">
      <c r="A1600" s="13" t="s">
        <v>1819</v>
      </c>
      <c r="C1600" s="1" t="s">
        <v>3480</v>
      </c>
    </row>
    <row r="1601" spans="1:8" ht="13.8">
      <c r="A1601" s="13" t="s">
        <v>1818</v>
      </c>
      <c r="C1601" s="1" t="s">
        <v>3481</v>
      </c>
      <c r="D1601" s="1634" t="s">
        <v>5435</v>
      </c>
      <c r="E1601" s="2017">
        <v>1.55</v>
      </c>
      <c r="F1601" s="2017">
        <v>1.76</v>
      </c>
      <c r="G1601" s="1635">
        <f>ROUND($E1601*$G$1599/26,)</f>
        <v>128173</v>
      </c>
      <c r="H1601" s="1635">
        <f>ROUND($F1601*$G$1599/26,)</f>
        <v>145538</v>
      </c>
    </row>
    <row r="1602" spans="1:8" ht="13.8">
      <c r="A1602" s="1" t="s">
        <v>2169</v>
      </c>
      <c r="B1602" s="1"/>
      <c r="C1602" s="1" t="s">
        <v>3482</v>
      </c>
      <c r="D1602" s="1634" t="s">
        <v>5436</v>
      </c>
      <c r="E1602" s="2017">
        <v>1.83</v>
      </c>
      <c r="F1602" s="2017">
        <v>2.0699999999999998</v>
      </c>
      <c r="G1602" s="1635">
        <f t="shared" ref="G1602:G1652" si="16">ROUND($E1602*$G$1599/26,)</f>
        <v>151327</v>
      </c>
      <c r="H1602" s="1635">
        <f t="shared" ref="H1602:H1652" si="17">ROUND($F1602*$G$1599/26,)</f>
        <v>171173</v>
      </c>
    </row>
    <row r="1603" spans="1:8" ht="13.8">
      <c r="A1603" s="1" t="s">
        <v>432</v>
      </c>
      <c r="B1603" s="1"/>
      <c r="C1603" s="1" t="s">
        <v>3483</v>
      </c>
      <c r="D1603" s="1636">
        <v>2.1</v>
      </c>
      <c r="E1603" s="2017" t="e">
        <f>($E$1612-$E$1602)/10*$C1603+$E$1602</f>
        <v>#VALUE!</v>
      </c>
      <c r="F1603" s="2017" t="e">
        <f>($F$1612-$F$1602)/10*$C1603+$F$1602</f>
        <v>#VALUE!</v>
      </c>
      <c r="G1603" s="1635" t="e">
        <f t="shared" si="16"/>
        <v>#VALUE!</v>
      </c>
      <c r="H1603" s="1635" t="e">
        <f t="shared" si="17"/>
        <v>#VALUE!</v>
      </c>
    </row>
    <row r="1604" spans="1:8" ht="13.8">
      <c r="A1604" s="13" t="s">
        <v>2170</v>
      </c>
      <c r="C1604" s="1" t="s">
        <v>3484</v>
      </c>
      <c r="D1604" s="1636">
        <v>2.2000000000000002</v>
      </c>
      <c r="E1604" s="2017" t="e">
        <f t="shared" ref="E1604:E1611" si="18">($E$1612-$E$1602)/10*$C1604+$E$1602</f>
        <v>#VALUE!</v>
      </c>
      <c r="F1604" s="2017" t="e">
        <f t="shared" ref="F1604:F1611" si="19">($F$1612-$F$1602)/10*$C1604+$F$1602</f>
        <v>#VALUE!</v>
      </c>
      <c r="G1604" s="1635" t="e">
        <f t="shared" si="16"/>
        <v>#VALUE!</v>
      </c>
      <c r="H1604" s="1635" t="e">
        <f t="shared" si="17"/>
        <v>#VALUE!</v>
      </c>
    </row>
    <row r="1605" spans="1:8" ht="13.8">
      <c r="A1605" s="13" t="s">
        <v>3714</v>
      </c>
      <c r="C1605" s="1" t="s">
        <v>3485</v>
      </c>
      <c r="D1605" s="1636">
        <v>2.2999999999999998</v>
      </c>
      <c r="E1605" s="2017" t="e">
        <f t="shared" si="18"/>
        <v>#VALUE!</v>
      </c>
      <c r="F1605" s="2017" t="e">
        <f t="shared" si="19"/>
        <v>#VALUE!</v>
      </c>
      <c r="G1605" s="1635" t="e">
        <f t="shared" si="16"/>
        <v>#VALUE!</v>
      </c>
      <c r="H1605" s="1635" t="e">
        <f t="shared" si="17"/>
        <v>#VALUE!</v>
      </c>
    </row>
    <row r="1606" spans="1:8" ht="13.8">
      <c r="A1606" s="13" t="s">
        <v>3715</v>
      </c>
      <c r="C1606" s="1" t="s">
        <v>3486</v>
      </c>
      <c r="D1606" s="1636">
        <v>2.4</v>
      </c>
      <c r="E1606" s="2017" t="e">
        <f t="shared" si="18"/>
        <v>#VALUE!</v>
      </c>
      <c r="F1606" s="2017" t="e">
        <f t="shared" si="19"/>
        <v>#VALUE!</v>
      </c>
      <c r="G1606" s="1635" t="e">
        <f t="shared" si="16"/>
        <v>#VALUE!</v>
      </c>
      <c r="H1606" s="1635" t="e">
        <f t="shared" si="17"/>
        <v>#VALUE!</v>
      </c>
    </row>
    <row r="1607" spans="1:8" ht="13.8">
      <c r="A1607" s="13" t="s">
        <v>220</v>
      </c>
      <c r="C1607" s="1" t="s">
        <v>3487</v>
      </c>
      <c r="D1607" s="1634">
        <v>2.5</v>
      </c>
      <c r="E1607" s="2017" t="e">
        <f t="shared" si="18"/>
        <v>#VALUE!</v>
      </c>
      <c r="F1607" s="2017" t="e">
        <f t="shared" si="19"/>
        <v>#VALUE!</v>
      </c>
      <c r="G1607" s="1635" t="e">
        <f t="shared" si="16"/>
        <v>#VALUE!</v>
      </c>
      <c r="H1607" s="1635" t="e">
        <f t="shared" si="17"/>
        <v>#VALUE!</v>
      </c>
    </row>
    <row r="1608" spans="1:8" ht="13.8">
      <c r="A1608" s="13" t="s">
        <v>2173</v>
      </c>
      <c r="C1608" s="1" t="s">
        <v>3488</v>
      </c>
      <c r="D1608" s="1636">
        <v>2.6</v>
      </c>
      <c r="E1608" s="2017" t="e">
        <f t="shared" si="18"/>
        <v>#VALUE!</v>
      </c>
      <c r="F1608" s="2017" t="e">
        <f t="shared" si="19"/>
        <v>#VALUE!</v>
      </c>
      <c r="G1608" s="1635" t="e">
        <f t="shared" si="16"/>
        <v>#VALUE!</v>
      </c>
      <c r="H1608" s="1635" t="e">
        <f t="shared" si="17"/>
        <v>#VALUE!</v>
      </c>
    </row>
    <row r="1609" spans="1:8" ht="13.8">
      <c r="A1609" s="13" t="s">
        <v>515</v>
      </c>
      <c r="C1609" s="1" t="s">
        <v>3395</v>
      </c>
      <c r="D1609" s="1636">
        <v>2.7</v>
      </c>
      <c r="E1609" s="2017" t="e">
        <f t="shared" si="18"/>
        <v>#VALUE!</v>
      </c>
      <c r="F1609" s="2017" t="e">
        <f t="shared" si="19"/>
        <v>#VALUE!</v>
      </c>
      <c r="G1609" s="1635" t="e">
        <f t="shared" si="16"/>
        <v>#VALUE!</v>
      </c>
      <c r="H1609" s="1635" t="e">
        <f t="shared" si="17"/>
        <v>#VALUE!</v>
      </c>
    </row>
    <row r="1610" spans="1:8" ht="13.8">
      <c r="A1610" s="13" t="s">
        <v>3710</v>
      </c>
      <c r="C1610" s="1" t="s">
        <v>3489</v>
      </c>
      <c r="D1610" s="1636">
        <v>2.8</v>
      </c>
      <c r="E1610" s="2017" t="e">
        <f t="shared" si="18"/>
        <v>#VALUE!</v>
      </c>
      <c r="F1610" s="2017" t="e">
        <f t="shared" si="19"/>
        <v>#VALUE!</v>
      </c>
      <c r="G1610" s="1635" t="e">
        <f t="shared" si="16"/>
        <v>#VALUE!</v>
      </c>
      <c r="H1610" s="1635" t="e">
        <f t="shared" si="17"/>
        <v>#VALUE!</v>
      </c>
    </row>
    <row r="1611" spans="1:8" ht="13.8">
      <c r="A1611" s="13" t="s">
        <v>3711</v>
      </c>
      <c r="C1611" s="1" t="s">
        <v>3490</v>
      </c>
      <c r="D1611" s="1636">
        <v>2.9</v>
      </c>
      <c r="E1611" s="2017" t="e">
        <f t="shared" si="18"/>
        <v>#VALUE!</v>
      </c>
      <c r="F1611" s="2017" t="e">
        <f t="shared" si="19"/>
        <v>#VALUE!</v>
      </c>
      <c r="G1611" s="1635" t="e">
        <f t="shared" si="16"/>
        <v>#VALUE!</v>
      </c>
      <c r="H1611" s="1635" t="e">
        <f t="shared" si="17"/>
        <v>#VALUE!</v>
      </c>
    </row>
    <row r="1612" spans="1:8" ht="13.8">
      <c r="A1612" s="13" t="s">
        <v>1003</v>
      </c>
      <c r="C1612" s="1" t="s">
        <v>3491</v>
      </c>
      <c r="D1612" s="1634" t="s">
        <v>5437</v>
      </c>
      <c r="E1612" s="2017">
        <v>2.16</v>
      </c>
      <c r="F1612" s="2017">
        <v>2.44</v>
      </c>
      <c r="G1612" s="1635">
        <f t="shared" si="16"/>
        <v>178615</v>
      </c>
      <c r="H1612" s="1635">
        <f t="shared" si="17"/>
        <v>201769</v>
      </c>
    </row>
    <row r="1613" spans="1:8" ht="13.8">
      <c r="A1613" s="13" t="s">
        <v>516</v>
      </c>
      <c r="C1613" s="1" t="s">
        <v>3492</v>
      </c>
      <c r="D1613" s="1636">
        <v>3.1</v>
      </c>
      <c r="E1613" s="2017" t="e">
        <f>($E$1622-$E$1612)/10*$C1613+$E$1612</f>
        <v>#VALUE!</v>
      </c>
      <c r="F1613" s="2017" t="e">
        <f>($F$1622-$F$1612)/10*$C1613+$F$1612</f>
        <v>#VALUE!</v>
      </c>
      <c r="G1613" s="1635" t="e">
        <f t="shared" si="16"/>
        <v>#VALUE!</v>
      </c>
      <c r="H1613" s="1635" t="e">
        <f t="shared" si="17"/>
        <v>#VALUE!</v>
      </c>
    </row>
    <row r="1614" spans="1:8" ht="13.8">
      <c r="A1614" s="13" t="s">
        <v>706</v>
      </c>
      <c r="C1614" s="1" t="s">
        <v>3493</v>
      </c>
      <c r="D1614" s="1636">
        <v>3.2</v>
      </c>
      <c r="E1614" s="2017" t="e">
        <f t="shared" ref="E1614:E1621" si="20">($E$1622-$E$1612)/10*$C1614+$E$1612</f>
        <v>#VALUE!</v>
      </c>
      <c r="F1614" s="2017" t="e">
        <f t="shared" ref="F1614:F1621" si="21">($F$1622-$F$1612)/10*$C1614+$F$1612</f>
        <v>#VALUE!</v>
      </c>
      <c r="G1614" s="1635" t="e">
        <f t="shared" si="16"/>
        <v>#VALUE!</v>
      </c>
      <c r="H1614" s="1635" t="e">
        <f t="shared" si="17"/>
        <v>#VALUE!</v>
      </c>
    </row>
    <row r="1615" spans="1:8" ht="13.8">
      <c r="A1615" s="13" t="s">
        <v>707</v>
      </c>
      <c r="C1615" s="1" t="s">
        <v>3494</v>
      </c>
      <c r="D1615" s="1636">
        <v>3.3</v>
      </c>
      <c r="E1615" s="2017" t="e">
        <f t="shared" si="20"/>
        <v>#VALUE!</v>
      </c>
      <c r="F1615" s="2017" t="e">
        <f t="shared" si="21"/>
        <v>#VALUE!</v>
      </c>
      <c r="G1615" s="1635" t="e">
        <f t="shared" si="16"/>
        <v>#VALUE!</v>
      </c>
      <c r="H1615" s="1635" t="e">
        <f t="shared" si="17"/>
        <v>#VALUE!</v>
      </c>
    </row>
    <row r="1616" spans="1:8" ht="13.8">
      <c r="A1616" s="13" t="s">
        <v>517</v>
      </c>
      <c r="C1616" s="1" t="s">
        <v>3495</v>
      </c>
      <c r="D1616" s="1636">
        <v>3.4</v>
      </c>
      <c r="E1616" s="2017" t="e">
        <f t="shared" si="20"/>
        <v>#VALUE!</v>
      </c>
      <c r="F1616" s="2017" t="e">
        <f t="shared" si="21"/>
        <v>#VALUE!</v>
      </c>
      <c r="G1616" s="1635" t="e">
        <f t="shared" si="16"/>
        <v>#VALUE!</v>
      </c>
      <c r="H1616" s="1635" t="e">
        <f t="shared" si="17"/>
        <v>#VALUE!</v>
      </c>
    </row>
    <row r="1617" spans="1:8" ht="13.8">
      <c r="A1617" s="13" t="s">
        <v>2174</v>
      </c>
      <c r="C1617" s="1" t="s">
        <v>3496</v>
      </c>
      <c r="D1617" s="1634">
        <v>3.5</v>
      </c>
      <c r="E1617" s="2017" t="e">
        <f t="shared" si="20"/>
        <v>#VALUE!</v>
      </c>
      <c r="F1617" s="2017" t="e">
        <f t="shared" si="21"/>
        <v>#VALUE!</v>
      </c>
      <c r="G1617" s="1635" t="e">
        <f t="shared" si="16"/>
        <v>#VALUE!</v>
      </c>
      <c r="H1617" s="1635" t="e">
        <f t="shared" si="17"/>
        <v>#VALUE!</v>
      </c>
    </row>
    <row r="1618" spans="1:8" ht="13.8">
      <c r="A1618" s="13" t="s">
        <v>1697</v>
      </c>
      <c r="C1618" s="1" t="s">
        <v>3497</v>
      </c>
      <c r="D1618" s="1636">
        <v>3.6</v>
      </c>
      <c r="E1618" s="2017" t="e">
        <f t="shared" si="20"/>
        <v>#VALUE!</v>
      </c>
      <c r="F1618" s="2017" t="e">
        <f t="shared" si="21"/>
        <v>#VALUE!</v>
      </c>
      <c r="G1618" s="1635" t="e">
        <f t="shared" si="16"/>
        <v>#VALUE!</v>
      </c>
      <c r="H1618" s="1635" t="e">
        <f t="shared" si="17"/>
        <v>#VALUE!</v>
      </c>
    </row>
    <row r="1619" spans="1:8" ht="13.8">
      <c r="A1619" s="13" t="s">
        <v>2140</v>
      </c>
      <c r="C1619" s="1" t="s">
        <v>3498</v>
      </c>
      <c r="D1619" s="1636">
        <v>3.7</v>
      </c>
      <c r="E1619" s="2017" t="e">
        <f t="shared" si="20"/>
        <v>#VALUE!</v>
      </c>
      <c r="F1619" s="2017" t="e">
        <f t="shared" si="21"/>
        <v>#VALUE!</v>
      </c>
      <c r="G1619" s="1635" t="e">
        <f t="shared" si="16"/>
        <v>#VALUE!</v>
      </c>
      <c r="H1619" s="1635" t="e">
        <f t="shared" si="17"/>
        <v>#VALUE!</v>
      </c>
    </row>
    <row r="1620" spans="1:8" ht="13.8">
      <c r="A1620" s="13" t="s">
        <v>646</v>
      </c>
      <c r="C1620" s="1" t="s">
        <v>3499</v>
      </c>
      <c r="D1620" s="1636">
        <v>3.8</v>
      </c>
      <c r="E1620" s="2017" t="e">
        <f t="shared" si="20"/>
        <v>#VALUE!</v>
      </c>
      <c r="F1620" s="2017" t="e">
        <f t="shared" si="21"/>
        <v>#VALUE!</v>
      </c>
      <c r="G1620" s="1635" t="e">
        <f t="shared" si="16"/>
        <v>#VALUE!</v>
      </c>
      <c r="H1620" s="1635" t="e">
        <f t="shared" si="17"/>
        <v>#VALUE!</v>
      </c>
    </row>
    <row r="1621" spans="1:8" ht="13.8">
      <c r="A1621" s="13" t="s">
        <v>338</v>
      </c>
      <c r="C1621" s="1" t="s">
        <v>3500</v>
      </c>
      <c r="D1621" s="1636">
        <v>3.9</v>
      </c>
      <c r="E1621" s="2017" t="e">
        <f t="shared" si="20"/>
        <v>#VALUE!</v>
      </c>
      <c r="F1621" s="2017" t="e">
        <f t="shared" si="21"/>
        <v>#VALUE!</v>
      </c>
      <c r="G1621" s="1635" t="e">
        <f t="shared" si="16"/>
        <v>#VALUE!</v>
      </c>
      <c r="H1621" s="1635" t="e">
        <f t="shared" si="17"/>
        <v>#VALUE!</v>
      </c>
    </row>
    <row r="1622" spans="1:8" ht="13.8">
      <c r="A1622" s="13" t="s">
        <v>3712</v>
      </c>
      <c r="C1622" s="1" t="s">
        <v>3501</v>
      </c>
      <c r="D1622" s="1634" t="s">
        <v>5438</v>
      </c>
      <c r="E1622" s="2017">
        <v>2.5499999999999998</v>
      </c>
      <c r="F1622" s="2017">
        <v>2.86</v>
      </c>
      <c r="G1622" s="1635">
        <f t="shared" si="16"/>
        <v>210865</v>
      </c>
      <c r="H1622" s="1635">
        <f t="shared" si="17"/>
        <v>236500</v>
      </c>
    </row>
    <row r="1623" spans="1:8" ht="13.8">
      <c r="A1623" s="13" t="s">
        <v>3713</v>
      </c>
      <c r="C1623" s="1" t="s">
        <v>3502</v>
      </c>
      <c r="D1623" s="1636">
        <v>4.0999999999999996</v>
      </c>
      <c r="E1623" s="2017" t="e">
        <f>($E$1632-$E$1622)/10*$C1623+$E$1622</f>
        <v>#VALUE!</v>
      </c>
      <c r="F1623" s="2017" t="e">
        <f>($F$1632-$F$1622)/10*$C1623+$F$1622</f>
        <v>#VALUE!</v>
      </c>
      <c r="G1623" s="1635" t="e">
        <f t="shared" si="16"/>
        <v>#VALUE!</v>
      </c>
      <c r="H1623" s="1635" t="e">
        <f t="shared" si="17"/>
        <v>#VALUE!</v>
      </c>
    </row>
    <row r="1624" spans="1:8" ht="13.8">
      <c r="A1624" s="13" t="s">
        <v>483</v>
      </c>
      <c r="C1624" s="1" t="s">
        <v>3503</v>
      </c>
      <c r="D1624" s="1636">
        <v>4.2</v>
      </c>
      <c r="E1624" s="2017" t="e">
        <f t="shared" ref="E1624:E1631" si="22">($E$1632-$E$1622)/10*$C1624+$E$1622</f>
        <v>#VALUE!</v>
      </c>
      <c r="F1624" s="2017" t="e">
        <f t="shared" ref="F1624:F1631" si="23">($F$1632-$F$1622)/10*$C1624+$F$1622</f>
        <v>#VALUE!</v>
      </c>
      <c r="G1624" s="1635" t="e">
        <f t="shared" si="16"/>
        <v>#VALUE!</v>
      </c>
      <c r="H1624" s="1635" t="e">
        <f t="shared" si="17"/>
        <v>#VALUE!</v>
      </c>
    </row>
    <row r="1625" spans="1:8" ht="13.8">
      <c r="A1625" s="13" t="s">
        <v>2175</v>
      </c>
      <c r="C1625" s="1" t="s">
        <v>3504</v>
      </c>
      <c r="D1625" s="1636">
        <v>4.3</v>
      </c>
      <c r="E1625" s="2017" t="e">
        <f t="shared" si="22"/>
        <v>#VALUE!</v>
      </c>
      <c r="F1625" s="2017" t="e">
        <f t="shared" si="23"/>
        <v>#VALUE!</v>
      </c>
      <c r="G1625" s="1635" t="e">
        <f t="shared" si="16"/>
        <v>#VALUE!</v>
      </c>
      <c r="H1625" s="1635" t="e">
        <f t="shared" si="17"/>
        <v>#VALUE!</v>
      </c>
    </row>
    <row r="1626" spans="1:8" ht="13.8">
      <c r="A1626" s="13" t="s">
        <v>1480</v>
      </c>
      <c r="C1626" s="1" t="s">
        <v>3505</v>
      </c>
      <c r="D1626" s="1636">
        <v>4.4000000000000004</v>
      </c>
      <c r="E1626" s="2017" t="e">
        <f t="shared" si="22"/>
        <v>#VALUE!</v>
      </c>
      <c r="F1626" s="2017" t="e">
        <f t="shared" si="23"/>
        <v>#VALUE!</v>
      </c>
      <c r="G1626" s="1635" t="e">
        <f t="shared" si="16"/>
        <v>#VALUE!</v>
      </c>
      <c r="H1626" s="1635" t="e">
        <f t="shared" si="17"/>
        <v>#VALUE!</v>
      </c>
    </row>
    <row r="1627" spans="1:8" ht="13.8">
      <c r="A1627" s="13" t="s">
        <v>305</v>
      </c>
      <c r="C1627" s="1" t="s">
        <v>3506</v>
      </c>
      <c r="D1627" s="1634">
        <v>4.5</v>
      </c>
      <c r="E1627" s="2017" t="e">
        <f t="shared" si="22"/>
        <v>#VALUE!</v>
      </c>
      <c r="F1627" s="2017" t="e">
        <f t="shared" si="23"/>
        <v>#VALUE!</v>
      </c>
      <c r="G1627" s="1635" t="e">
        <f t="shared" si="16"/>
        <v>#VALUE!</v>
      </c>
      <c r="H1627" s="1635" t="e">
        <f t="shared" si="17"/>
        <v>#VALUE!</v>
      </c>
    </row>
    <row r="1628" spans="1:8" ht="13.8">
      <c r="A1628" s="13" t="s">
        <v>1479</v>
      </c>
      <c r="C1628" s="1" t="s">
        <v>3507</v>
      </c>
      <c r="D1628" s="1636">
        <v>4.5999999999999996</v>
      </c>
      <c r="E1628" s="2017" t="e">
        <f t="shared" si="22"/>
        <v>#VALUE!</v>
      </c>
      <c r="F1628" s="2017" t="e">
        <f t="shared" si="23"/>
        <v>#VALUE!</v>
      </c>
      <c r="G1628" s="1635" t="e">
        <f t="shared" si="16"/>
        <v>#VALUE!</v>
      </c>
      <c r="H1628" s="1635" t="e">
        <f t="shared" si="17"/>
        <v>#VALUE!</v>
      </c>
    </row>
    <row r="1629" spans="1:8" ht="13.8">
      <c r="A1629" s="13" t="s">
        <v>1817</v>
      </c>
      <c r="C1629" s="1" t="s">
        <v>3508</v>
      </c>
      <c r="D1629" s="1636">
        <v>4.7</v>
      </c>
      <c r="E1629" s="2017" t="e">
        <f t="shared" si="22"/>
        <v>#VALUE!</v>
      </c>
      <c r="F1629" s="2017" t="e">
        <f t="shared" si="23"/>
        <v>#VALUE!</v>
      </c>
      <c r="G1629" s="1635" t="e">
        <f t="shared" si="16"/>
        <v>#VALUE!</v>
      </c>
      <c r="H1629" s="1635" t="e">
        <f t="shared" si="17"/>
        <v>#VALUE!</v>
      </c>
    </row>
    <row r="1630" spans="1:8" ht="13.8">
      <c r="A1630" s="13" t="s">
        <v>988</v>
      </c>
      <c r="C1630" s="1" t="s">
        <v>3509</v>
      </c>
      <c r="D1630" s="1636">
        <v>4.8</v>
      </c>
      <c r="E1630" s="2017" t="e">
        <f t="shared" si="22"/>
        <v>#VALUE!</v>
      </c>
      <c r="F1630" s="2017" t="e">
        <f t="shared" si="23"/>
        <v>#VALUE!</v>
      </c>
      <c r="G1630" s="1635" t="e">
        <f t="shared" si="16"/>
        <v>#VALUE!</v>
      </c>
      <c r="H1630" s="1635" t="e">
        <f t="shared" si="17"/>
        <v>#VALUE!</v>
      </c>
    </row>
    <row r="1631" spans="1:8" ht="13.8">
      <c r="A1631" s="13" t="s">
        <v>2176</v>
      </c>
      <c r="C1631" s="1" t="s">
        <v>3510</v>
      </c>
      <c r="D1631" s="1636">
        <v>4.9000000000000004</v>
      </c>
      <c r="E1631" s="2017" t="e">
        <f t="shared" si="22"/>
        <v>#VALUE!</v>
      </c>
      <c r="F1631" s="2017" t="e">
        <f t="shared" si="23"/>
        <v>#VALUE!</v>
      </c>
      <c r="G1631" s="1635" t="e">
        <f t="shared" si="16"/>
        <v>#VALUE!</v>
      </c>
      <c r="H1631" s="1635" t="e">
        <f t="shared" si="17"/>
        <v>#VALUE!</v>
      </c>
    </row>
    <row r="1632" spans="1:8" ht="13.8">
      <c r="A1632" s="13" t="s">
        <v>624</v>
      </c>
      <c r="C1632" s="1" t="s">
        <v>3390</v>
      </c>
      <c r="D1632" s="1634" t="s">
        <v>5439</v>
      </c>
      <c r="E1632" s="2017">
        <v>3.01</v>
      </c>
      <c r="F1632" s="2017">
        <v>3.37</v>
      </c>
      <c r="G1632" s="1635">
        <f t="shared" si="16"/>
        <v>248904</v>
      </c>
      <c r="H1632" s="1635">
        <f t="shared" si="17"/>
        <v>278673</v>
      </c>
    </row>
    <row r="1633" spans="1:8" ht="13.8">
      <c r="A1633" s="13" t="s">
        <v>938</v>
      </c>
      <c r="C1633" s="1" t="s">
        <v>3511</v>
      </c>
      <c r="D1633" s="1636">
        <v>5.0999999999999996</v>
      </c>
      <c r="E1633" s="2017" t="e">
        <f>($E$1642-$E$1632)/10*$C1633+$E$1632</f>
        <v>#VALUE!</v>
      </c>
      <c r="F1633" s="2017" t="e">
        <f>($F$1642-$F$1632)/10*$C1633+$F$1632</f>
        <v>#VALUE!</v>
      </c>
      <c r="G1633" s="1635" t="e">
        <f t="shared" si="16"/>
        <v>#VALUE!</v>
      </c>
      <c r="H1633" s="1635" t="e">
        <f t="shared" si="17"/>
        <v>#VALUE!</v>
      </c>
    </row>
    <row r="1634" spans="1:8" ht="13.8">
      <c r="A1634" s="13" t="s">
        <v>625</v>
      </c>
      <c r="C1634" s="1" t="s">
        <v>3393</v>
      </c>
      <c r="D1634" s="1636">
        <v>5.2</v>
      </c>
      <c r="E1634" s="2017" t="e">
        <f t="shared" ref="E1634:E1641" si="24">($E$1642-$E$1632)/10*$C1634+$E$1632</f>
        <v>#VALUE!</v>
      </c>
      <c r="F1634" s="2017" t="e">
        <f t="shared" ref="F1634:F1641" si="25">($F$1642-$F$1632)/10*$C1634+$F$1632</f>
        <v>#VALUE!</v>
      </c>
      <c r="G1634" s="1635" t="e">
        <f t="shared" si="16"/>
        <v>#VALUE!</v>
      </c>
      <c r="H1634" s="1635" t="e">
        <f t="shared" si="17"/>
        <v>#VALUE!</v>
      </c>
    </row>
    <row r="1635" spans="1:8" ht="13.8">
      <c r="A1635" s="13" t="s">
        <v>2177</v>
      </c>
      <c r="C1635" s="1" t="s">
        <v>3512</v>
      </c>
      <c r="D1635" s="1636">
        <v>5.3</v>
      </c>
      <c r="E1635" s="2017" t="e">
        <f t="shared" si="24"/>
        <v>#VALUE!</v>
      </c>
      <c r="F1635" s="2017" t="e">
        <f t="shared" si="25"/>
        <v>#VALUE!</v>
      </c>
      <c r="G1635" s="1635" t="e">
        <f t="shared" si="16"/>
        <v>#VALUE!</v>
      </c>
      <c r="H1635" s="1635" t="e">
        <f t="shared" si="17"/>
        <v>#VALUE!</v>
      </c>
    </row>
    <row r="1636" spans="1:8" ht="13.8">
      <c r="A1636" s="13" t="s">
        <v>1705</v>
      </c>
      <c r="C1636" s="1" t="s">
        <v>3513</v>
      </c>
      <c r="D1636" s="1636">
        <v>5.4</v>
      </c>
      <c r="E1636" s="2017" t="e">
        <f t="shared" si="24"/>
        <v>#VALUE!</v>
      </c>
      <c r="F1636" s="2017" t="e">
        <f t="shared" si="25"/>
        <v>#VALUE!</v>
      </c>
      <c r="G1636" s="1635" t="e">
        <f t="shared" si="16"/>
        <v>#VALUE!</v>
      </c>
      <c r="H1636" s="1635" t="e">
        <f t="shared" si="17"/>
        <v>#VALUE!</v>
      </c>
    </row>
    <row r="1637" spans="1:8" ht="13.8">
      <c r="A1637" s="13" t="s">
        <v>350</v>
      </c>
      <c r="C1637" s="1" t="s">
        <v>3514</v>
      </c>
      <c r="D1637" s="1634">
        <v>5.5</v>
      </c>
      <c r="E1637" s="2017" t="e">
        <f t="shared" si="24"/>
        <v>#VALUE!</v>
      </c>
      <c r="F1637" s="2017" t="e">
        <f t="shared" si="25"/>
        <v>#VALUE!</v>
      </c>
      <c r="G1637" s="1635" t="e">
        <f t="shared" si="16"/>
        <v>#VALUE!</v>
      </c>
      <c r="H1637" s="1635" t="e">
        <f t="shared" si="17"/>
        <v>#VALUE!</v>
      </c>
    </row>
    <row r="1638" spans="1:8" ht="13.8">
      <c r="A1638" s="13" t="s">
        <v>1704</v>
      </c>
      <c r="C1638" s="1" t="s">
        <v>3515</v>
      </c>
      <c r="D1638" s="1636">
        <v>5.6</v>
      </c>
      <c r="E1638" s="2017" t="e">
        <f t="shared" si="24"/>
        <v>#VALUE!</v>
      </c>
      <c r="F1638" s="2017" t="e">
        <f t="shared" si="25"/>
        <v>#VALUE!</v>
      </c>
      <c r="G1638" s="1635" t="e">
        <f t="shared" si="16"/>
        <v>#VALUE!</v>
      </c>
      <c r="H1638" s="1635" t="e">
        <f t="shared" si="17"/>
        <v>#VALUE!</v>
      </c>
    </row>
    <row r="1639" spans="1:8" ht="13.8">
      <c r="A1639" s="13" t="s">
        <v>1774</v>
      </c>
      <c r="C1639" s="1" t="s">
        <v>3516</v>
      </c>
      <c r="D1639" s="1636">
        <v>5.7</v>
      </c>
      <c r="E1639" s="2017" t="e">
        <f t="shared" si="24"/>
        <v>#VALUE!</v>
      </c>
      <c r="F1639" s="2017" t="e">
        <f t="shared" si="25"/>
        <v>#VALUE!</v>
      </c>
      <c r="G1639" s="1635" t="e">
        <f t="shared" si="16"/>
        <v>#VALUE!</v>
      </c>
      <c r="H1639" s="1635" t="e">
        <f t="shared" si="17"/>
        <v>#VALUE!</v>
      </c>
    </row>
    <row r="1640" spans="1:8" ht="13.8">
      <c r="A1640" s="13" t="s">
        <v>724</v>
      </c>
      <c r="C1640" s="1" t="s">
        <v>3517</v>
      </c>
      <c r="D1640" s="1636">
        <v>5.8</v>
      </c>
      <c r="E1640" s="2017" t="e">
        <f t="shared" si="24"/>
        <v>#VALUE!</v>
      </c>
      <c r="F1640" s="2017" t="e">
        <f t="shared" si="25"/>
        <v>#VALUE!</v>
      </c>
      <c r="G1640" s="1635" t="e">
        <f t="shared" si="16"/>
        <v>#VALUE!</v>
      </c>
      <c r="H1640" s="1635" t="e">
        <f t="shared" si="17"/>
        <v>#VALUE!</v>
      </c>
    </row>
    <row r="1641" spans="1:8" ht="13.8">
      <c r="A1641" s="13" t="s">
        <v>339</v>
      </c>
      <c r="C1641" s="1" t="s">
        <v>3518</v>
      </c>
      <c r="D1641" s="1636">
        <v>5.9</v>
      </c>
      <c r="E1641" s="2017" t="e">
        <f t="shared" si="24"/>
        <v>#VALUE!</v>
      </c>
      <c r="F1641" s="2017" t="e">
        <f t="shared" si="25"/>
        <v>#VALUE!</v>
      </c>
      <c r="G1641" s="1635" t="e">
        <f t="shared" si="16"/>
        <v>#VALUE!</v>
      </c>
      <c r="H1641" s="1635" t="e">
        <f t="shared" si="17"/>
        <v>#VALUE!</v>
      </c>
    </row>
    <row r="1642" spans="1:8" ht="13.8">
      <c r="A1642" s="13" t="s">
        <v>3735</v>
      </c>
      <c r="C1642" s="1" t="s">
        <v>3519</v>
      </c>
      <c r="D1642" s="1634" t="s">
        <v>5440</v>
      </c>
      <c r="E1642" s="2017">
        <v>3.56</v>
      </c>
      <c r="F1642" s="2017">
        <v>3.96</v>
      </c>
      <c r="G1642" s="1635">
        <f t="shared" si="16"/>
        <v>294385</v>
      </c>
      <c r="H1642" s="1635">
        <f t="shared" si="17"/>
        <v>327462</v>
      </c>
    </row>
    <row r="1643" spans="1:8" ht="13.8">
      <c r="A1643" s="13" t="s">
        <v>4790</v>
      </c>
      <c r="C1643" s="1" t="s">
        <v>4791</v>
      </c>
      <c r="D1643" s="1636">
        <v>6.1</v>
      </c>
      <c r="E1643" s="2017" t="e">
        <f>($E$1652-$E$1642)/10*$C1643+$E$1642</f>
        <v>#VALUE!</v>
      </c>
      <c r="F1643" s="2017" t="e">
        <f>($F$1652-$F$1642)/10*$C1643+$F$1642</f>
        <v>#VALUE!</v>
      </c>
      <c r="G1643" s="1635" t="e">
        <f t="shared" si="16"/>
        <v>#VALUE!</v>
      </c>
      <c r="H1643" s="1635" t="e">
        <f t="shared" si="17"/>
        <v>#VALUE!</v>
      </c>
    </row>
    <row r="1644" spans="1:8" ht="13.8">
      <c r="A1644" s="13" t="s">
        <v>4789</v>
      </c>
      <c r="C1644" s="1" t="s">
        <v>4917</v>
      </c>
      <c r="D1644" s="1636">
        <v>6.2</v>
      </c>
      <c r="E1644" s="2017" t="e">
        <f t="shared" ref="E1644:E1651" si="26">($E$1652-$E$1642)/10*$C1644+$E$1642</f>
        <v>#VALUE!</v>
      </c>
      <c r="F1644" s="2017" t="e">
        <f t="shared" ref="F1644:F1651" si="27">($F$1652-$F$1642)/10*$C1644+$F$1642</f>
        <v>#VALUE!</v>
      </c>
      <c r="G1644" s="1635" t="e">
        <f t="shared" si="16"/>
        <v>#VALUE!</v>
      </c>
      <c r="H1644" s="1635" t="e">
        <f t="shared" si="17"/>
        <v>#VALUE!</v>
      </c>
    </row>
    <row r="1645" spans="1:8" ht="13.8">
      <c r="A1645" s="13" t="s">
        <v>3736</v>
      </c>
      <c r="C1645" s="1" t="s">
        <v>3520</v>
      </c>
      <c r="D1645" s="1636">
        <v>6.3</v>
      </c>
      <c r="E1645" s="2017" t="e">
        <f t="shared" si="26"/>
        <v>#VALUE!</v>
      </c>
      <c r="F1645" s="2017" t="e">
        <f t="shared" si="27"/>
        <v>#VALUE!</v>
      </c>
      <c r="G1645" s="1635" t="e">
        <f t="shared" si="16"/>
        <v>#VALUE!</v>
      </c>
      <c r="H1645" s="1635" t="e">
        <f t="shared" si="17"/>
        <v>#VALUE!</v>
      </c>
    </row>
    <row r="1646" spans="1:8" ht="13.8">
      <c r="A1646" s="13" t="s">
        <v>3737</v>
      </c>
      <c r="C1646" s="1" t="s">
        <v>3521</v>
      </c>
      <c r="D1646" s="1636">
        <v>6.4</v>
      </c>
      <c r="E1646" s="2017" t="e">
        <f t="shared" si="26"/>
        <v>#VALUE!</v>
      </c>
      <c r="F1646" s="2017" t="e">
        <f t="shared" si="27"/>
        <v>#VALUE!</v>
      </c>
      <c r="G1646" s="1635" t="e">
        <f t="shared" si="16"/>
        <v>#VALUE!</v>
      </c>
      <c r="H1646" s="1635" t="e">
        <f t="shared" si="17"/>
        <v>#VALUE!</v>
      </c>
    </row>
    <row r="1647" spans="1:8" ht="13.8">
      <c r="A1647" s="13" t="s">
        <v>1848</v>
      </c>
      <c r="C1647" s="1" t="s">
        <v>3522</v>
      </c>
      <c r="D1647" s="1634">
        <v>6.5</v>
      </c>
      <c r="E1647" s="2017" t="e">
        <f t="shared" si="26"/>
        <v>#VALUE!</v>
      </c>
      <c r="F1647" s="2017" t="e">
        <f t="shared" si="27"/>
        <v>#VALUE!</v>
      </c>
      <c r="G1647" s="1635" t="e">
        <f t="shared" si="16"/>
        <v>#VALUE!</v>
      </c>
      <c r="H1647" s="1635" t="e">
        <f t="shared" si="17"/>
        <v>#VALUE!</v>
      </c>
    </row>
    <row r="1648" spans="1:8" ht="13.8">
      <c r="A1648" s="13" t="s">
        <v>939</v>
      </c>
      <c r="C1648" s="1" t="s">
        <v>3523</v>
      </c>
      <c r="D1648" s="1636">
        <v>6.6</v>
      </c>
      <c r="E1648" s="2017" t="e">
        <f t="shared" si="26"/>
        <v>#VALUE!</v>
      </c>
      <c r="F1648" s="2017" t="e">
        <f t="shared" si="27"/>
        <v>#VALUE!</v>
      </c>
      <c r="G1648" s="1635" t="e">
        <f t="shared" si="16"/>
        <v>#VALUE!</v>
      </c>
      <c r="H1648" s="1635" t="e">
        <f t="shared" si="17"/>
        <v>#VALUE!</v>
      </c>
    </row>
    <row r="1649" spans="1:8" ht="13.8">
      <c r="A1649" s="13" t="s">
        <v>298</v>
      </c>
      <c r="C1649" s="1" t="s">
        <v>3524</v>
      </c>
      <c r="D1649" s="1636">
        <v>6.7</v>
      </c>
      <c r="E1649" s="2017" t="e">
        <f t="shared" si="26"/>
        <v>#VALUE!</v>
      </c>
      <c r="F1649" s="2017" t="e">
        <f t="shared" si="27"/>
        <v>#VALUE!</v>
      </c>
      <c r="G1649" s="1635" t="e">
        <f t="shared" si="16"/>
        <v>#VALUE!</v>
      </c>
      <c r="H1649" s="1635" t="e">
        <f t="shared" si="17"/>
        <v>#VALUE!</v>
      </c>
    </row>
    <row r="1650" spans="1:8" ht="13.8">
      <c r="A1650" s="13" t="s">
        <v>2178</v>
      </c>
      <c r="C1650" s="1" t="s">
        <v>3525</v>
      </c>
      <c r="D1650" s="1636">
        <v>6.8</v>
      </c>
      <c r="E1650" s="2017" t="e">
        <f t="shared" si="26"/>
        <v>#VALUE!</v>
      </c>
      <c r="F1650" s="2017" t="e">
        <f t="shared" si="27"/>
        <v>#VALUE!</v>
      </c>
      <c r="G1650" s="1635" t="e">
        <f t="shared" si="16"/>
        <v>#VALUE!</v>
      </c>
      <c r="H1650" s="1635" t="e">
        <f t="shared" si="17"/>
        <v>#VALUE!</v>
      </c>
    </row>
    <row r="1651" spans="1:8" ht="13.8">
      <c r="A1651" s="13" t="s">
        <v>1706</v>
      </c>
      <c r="C1651" s="1" t="s">
        <v>3526</v>
      </c>
      <c r="D1651" s="1636">
        <v>6.9</v>
      </c>
      <c r="E1651" s="2017" t="e">
        <f t="shared" si="26"/>
        <v>#VALUE!</v>
      </c>
      <c r="F1651" s="2017" t="e">
        <f t="shared" si="27"/>
        <v>#VALUE!</v>
      </c>
      <c r="G1651" s="1635" t="e">
        <f t="shared" si="16"/>
        <v>#VALUE!</v>
      </c>
      <c r="H1651" s="1635" t="e">
        <f t="shared" si="17"/>
        <v>#VALUE!</v>
      </c>
    </row>
    <row r="1652" spans="1:8" ht="13.8">
      <c r="A1652" s="13" t="s">
        <v>1727</v>
      </c>
      <c r="C1652" s="1" t="s">
        <v>3527</v>
      </c>
      <c r="D1652" s="1634" t="s">
        <v>5441</v>
      </c>
      <c r="E1652" s="2017">
        <v>4.2</v>
      </c>
      <c r="F1652" s="2017">
        <v>4.6500000000000004</v>
      </c>
      <c r="G1652" s="1635">
        <f t="shared" si="16"/>
        <v>347308</v>
      </c>
      <c r="H1652" s="1635">
        <f t="shared" si="17"/>
        <v>384519</v>
      </c>
    </row>
    <row r="1653" spans="1:8">
      <c r="A1653" s="13" t="s">
        <v>3738</v>
      </c>
      <c r="C1653" s="1" t="s">
        <v>3528</v>
      </c>
    </row>
    <row r="1654" spans="1:8">
      <c r="A1654" s="13" t="s">
        <v>3739</v>
      </c>
      <c r="C1654" s="1" t="s">
        <v>3529</v>
      </c>
    </row>
    <row r="1655" spans="1:8">
      <c r="A1655" s="13" t="s">
        <v>1707</v>
      </c>
      <c r="C1655" s="1" t="s">
        <v>3530</v>
      </c>
    </row>
    <row r="1656" spans="1:8">
      <c r="A1656" s="13" t="s">
        <v>15</v>
      </c>
      <c r="C1656" s="1" t="s">
        <v>3531</v>
      </c>
    </row>
    <row r="1657" spans="1:8">
      <c r="A1657" s="13" t="s">
        <v>16</v>
      </c>
      <c r="C1657" s="1" t="s">
        <v>3532</v>
      </c>
    </row>
    <row r="1658" spans="1:8">
      <c r="A1658" s="13" t="s">
        <v>304</v>
      </c>
      <c r="C1658" s="1" t="s">
        <v>3533</v>
      </c>
    </row>
    <row r="1659" spans="1:8">
      <c r="A1659" s="13" t="s">
        <v>1708</v>
      </c>
      <c r="C1659" s="1" t="s">
        <v>3534</v>
      </c>
    </row>
    <row r="1660" spans="1:8">
      <c r="A1660" s="13" t="s">
        <v>1757</v>
      </c>
      <c r="C1660" s="1" t="s">
        <v>3535</v>
      </c>
    </row>
    <row r="1661" spans="1:8">
      <c r="A1661" s="13" t="s">
        <v>1760</v>
      </c>
      <c r="C1661" s="1" t="s">
        <v>3536</v>
      </c>
    </row>
    <row r="1662" spans="1:8">
      <c r="A1662" s="13" t="s">
        <v>541</v>
      </c>
      <c r="C1662" s="1" t="s">
        <v>3537</v>
      </c>
    </row>
    <row r="1663" spans="1:8">
      <c r="A1663" s="13" t="s">
        <v>564</v>
      </c>
      <c r="C1663" s="1" t="s">
        <v>3538</v>
      </c>
    </row>
    <row r="1664" spans="1:8">
      <c r="A1664" s="13" t="s">
        <v>810</v>
      </c>
      <c r="C1664" s="1" t="s">
        <v>3539</v>
      </c>
    </row>
    <row r="1665" spans="1:3">
      <c r="A1665" s="13" t="s">
        <v>1078</v>
      </c>
      <c r="C1665" s="1" t="s">
        <v>3540</v>
      </c>
    </row>
    <row r="1666" spans="1:3">
      <c r="A1666" s="13" t="s">
        <v>739</v>
      </c>
      <c r="C1666" s="1" t="s">
        <v>3541</v>
      </c>
    </row>
    <row r="1667" spans="1:3">
      <c r="A1667" s="13" t="s">
        <v>740</v>
      </c>
      <c r="C1667" s="1" t="s">
        <v>3542</v>
      </c>
    </row>
    <row r="1668" spans="1:3">
      <c r="A1668" s="13" t="s">
        <v>1689</v>
      </c>
      <c r="C1668" s="1" t="s">
        <v>3543</v>
      </c>
    </row>
    <row r="1669" spans="1:3">
      <c r="A1669" s="13" t="s">
        <v>812</v>
      </c>
      <c r="C1669" s="1" t="s">
        <v>3544</v>
      </c>
    </row>
    <row r="1670" spans="1:3">
      <c r="A1670" s="13" t="s">
        <v>1737</v>
      </c>
      <c r="C1670" s="1" t="s">
        <v>3545</v>
      </c>
    </row>
    <row r="1671" spans="1:3">
      <c r="A1671" s="13" t="s">
        <v>1620</v>
      </c>
      <c r="C1671" s="1" t="s">
        <v>3931</v>
      </c>
    </row>
    <row r="1672" spans="1:3">
      <c r="A1672" s="13" t="s">
        <v>1621</v>
      </c>
      <c r="C1672" s="1" t="s">
        <v>5787</v>
      </c>
    </row>
    <row r="1673" spans="1:3">
      <c r="A1673" s="13" t="s">
        <v>3740</v>
      </c>
      <c r="C1673" s="1" t="s">
        <v>3547</v>
      </c>
    </row>
    <row r="1674" spans="1:3">
      <c r="A1674" s="13" t="s">
        <v>1622</v>
      </c>
      <c r="C1674" s="1" t="s">
        <v>3548</v>
      </c>
    </row>
    <row r="1675" spans="1:3">
      <c r="A1675" s="13" t="s">
        <v>1753</v>
      </c>
      <c r="C1675" s="1" t="s">
        <v>3549</v>
      </c>
    </row>
    <row r="1676" spans="1:3">
      <c r="A1676" s="13" t="s">
        <v>1369</v>
      </c>
      <c r="C1676" s="1" t="s">
        <v>3550</v>
      </c>
    </row>
    <row r="1677" spans="1:3">
      <c r="A1677" s="13" t="s">
        <v>1076</v>
      </c>
      <c r="C1677" s="1" t="s">
        <v>3551</v>
      </c>
    </row>
    <row r="1678" spans="1:3">
      <c r="A1678" s="13" t="s">
        <v>973</v>
      </c>
      <c r="C1678" s="1" t="s">
        <v>3552</v>
      </c>
    </row>
    <row r="1679" spans="1:3">
      <c r="A1679" s="13" t="s">
        <v>216</v>
      </c>
      <c r="C1679" s="1" t="s">
        <v>3554</v>
      </c>
    </row>
    <row r="1680" spans="1:3">
      <c r="A1680" s="13" t="s">
        <v>1002</v>
      </c>
      <c r="C1680" s="1" t="s">
        <v>3555</v>
      </c>
    </row>
    <row r="1681" spans="1:3">
      <c r="A1681" s="13" t="s">
        <v>816</v>
      </c>
      <c r="C1681" s="1" t="s">
        <v>3556</v>
      </c>
    </row>
    <row r="1682" spans="1:3">
      <c r="A1682" s="13" t="s">
        <v>897</v>
      </c>
      <c r="C1682" s="1" t="s">
        <v>3557</v>
      </c>
    </row>
    <row r="1683" spans="1:3">
      <c r="A1683" s="13" t="s">
        <v>349</v>
      </c>
      <c r="C1683" s="1" t="s">
        <v>3558</v>
      </c>
    </row>
    <row r="1684" spans="1:3">
      <c r="A1684" s="13" t="s">
        <v>621</v>
      </c>
      <c r="C1684" s="1" t="s">
        <v>3559</v>
      </c>
    </row>
    <row r="1685" spans="1:3">
      <c r="A1685" s="13" t="s">
        <v>1030</v>
      </c>
      <c r="C1685" s="1" t="s">
        <v>3560</v>
      </c>
    </row>
    <row r="1686" spans="1:3">
      <c r="A1686" s="13" t="s">
        <v>2101</v>
      </c>
      <c r="C1686" s="1" t="s">
        <v>3561</v>
      </c>
    </row>
    <row r="1687" spans="1:3">
      <c r="A1687" s="13" t="s">
        <v>2141</v>
      </c>
      <c r="C1687" s="1" t="s">
        <v>3562</v>
      </c>
    </row>
    <row r="1688" spans="1:3">
      <c r="A1688" s="13" t="s">
        <v>650</v>
      </c>
      <c r="C1688" s="1" t="s">
        <v>3563</v>
      </c>
    </row>
    <row r="1689" spans="1:3">
      <c r="A1689" s="13" t="s">
        <v>623</v>
      </c>
      <c r="C1689" s="1" t="s">
        <v>3564</v>
      </c>
    </row>
    <row r="1690" spans="1:3">
      <c r="A1690" s="13" t="s">
        <v>1816</v>
      </c>
      <c r="C1690" s="1" t="s">
        <v>3565</v>
      </c>
    </row>
  </sheetData>
  <autoFilter ref="A1:Z1652" xr:uid="{00DF358E-ED52-4925-8097-3D3F7E09B84E}"/>
  <mergeCells count="20">
    <mergeCell ref="L8:P8"/>
    <mergeCell ref="L9:P9"/>
    <mergeCell ref="L10:P10"/>
    <mergeCell ref="L11:P11"/>
    <mergeCell ref="L12:L14"/>
    <mergeCell ref="M12:M14"/>
    <mergeCell ref="N12:N14"/>
    <mergeCell ref="O12:O14"/>
    <mergeCell ref="P12:P14"/>
    <mergeCell ref="Q65:Q67"/>
    <mergeCell ref="Q12:Q14"/>
    <mergeCell ref="L61:P61"/>
    <mergeCell ref="L62:P62"/>
    <mergeCell ref="L63:P63"/>
    <mergeCell ref="L64:P64"/>
    <mergeCell ref="L65:L67"/>
    <mergeCell ref="M65:M67"/>
    <mergeCell ref="N65:N67"/>
    <mergeCell ref="O65:O67"/>
    <mergeCell ref="P65:P67"/>
  </mergeCells>
  <phoneticPr fontId="0" type="noConversion"/>
  <dataValidations disablePrompts="1" count="1">
    <dataValidation type="custom" allowBlank="1" showInputMessage="1" showErrorMessage="1" sqref="H1002:H1006 H985:H989" xr:uid="{00000000-0002-0000-0C00-000000000000}">
      <formula1>""""""</formula1>
    </dataValidation>
  </dataValidations>
  <printOptions horizontalCentered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 filterMode="1">
    <tabColor rgb="FFFF0000"/>
    <outlinePr summaryRight="0"/>
  </sheetPr>
  <dimension ref="A1:XFC2359"/>
  <sheetViews>
    <sheetView showGridLines="0" showZeros="0" tabSelected="1" topLeftCell="A6" zoomScale="85" zoomScaleNormal="85" workbookViewId="0">
      <selection activeCell="BO12" sqref="BO12"/>
    </sheetView>
  </sheetViews>
  <sheetFormatPr defaultColWidth="9.109375" defaultRowHeight="13.8" outlineLevelCol="1"/>
  <cols>
    <col min="1" max="1" width="4.88671875" style="630" customWidth="1"/>
    <col min="2" max="2" width="10.109375" style="632" customWidth="1"/>
    <col min="3" max="3" width="8.88671875" style="596" customWidth="1"/>
    <col min="4" max="4" width="14.44140625" style="919" customWidth="1"/>
    <col min="5" max="5" width="56.88671875" style="928" customWidth="1"/>
    <col min="6" max="6" width="10.109375" style="919" customWidth="1"/>
    <col min="7" max="7" width="14.88671875" style="596" customWidth="1"/>
    <col min="8" max="8" width="11.44140625" style="919" customWidth="1" collapsed="1"/>
    <col min="9" max="9" width="10.88671875" style="919" hidden="1" customWidth="1" outlineLevel="1"/>
    <col min="10" max="10" width="13.44140625" style="919" hidden="1" customWidth="1" outlineLevel="1"/>
    <col min="11" max="14" width="10.88671875" style="919" hidden="1" customWidth="1" outlineLevel="1"/>
    <col min="15" max="15" width="10.33203125" style="919" hidden="1" customWidth="1" outlineLevel="1"/>
    <col min="16" max="16" width="13.88671875" style="919" customWidth="1"/>
    <col min="17" max="17" width="14.109375" style="919" customWidth="1"/>
    <col min="18" max="18" width="10.88671875" style="919" customWidth="1"/>
    <col min="19" max="19" width="14.5546875" style="919" customWidth="1"/>
    <col min="20" max="20" width="14.33203125" style="919" customWidth="1"/>
    <col min="21" max="21" width="12.88671875" style="919" customWidth="1"/>
    <col min="22" max="16384" width="9.109375" style="596"/>
  </cols>
  <sheetData>
    <row r="1" spans="1:21" hidden="1">
      <c r="E1" s="920" t="s">
        <v>3705</v>
      </c>
      <c r="F1" s="919">
        <v>1.5</v>
      </c>
      <c r="Q1" s="921" t="s">
        <v>3473</v>
      </c>
      <c r="R1" s="922" t="s">
        <v>2023</v>
      </c>
      <c r="S1" s="921" t="s">
        <v>3473</v>
      </c>
      <c r="T1" s="922" t="s">
        <v>2023</v>
      </c>
    </row>
    <row r="2" spans="1:21" hidden="1">
      <c r="E2" s="920" t="s">
        <v>3706</v>
      </c>
      <c r="F2" s="919">
        <v>1.7</v>
      </c>
      <c r="Q2" s="923" t="s">
        <v>3700</v>
      </c>
      <c r="R2" s="924">
        <v>1.5</v>
      </c>
      <c r="S2" s="923" t="s">
        <v>3701</v>
      </c>
      <c r="T2" s="924">
        <v>2</v>
      </c>
    </row>
    <row r="3" spans="1:21" hidden="1">
      <c r="E3" s="920" t="s">
        <v>3707</v>
      </c>
      <c r="F3" s="919">
        <v>0.7</v>
      </c>
      <c r="Q3" s="923" t="s">
        <v>3702</v>
      </c>
      <c r="R3" s="925">
        <v>1</v>
      </c>
      <c r="S3" s="923"/>
      <c r="T3" s="925"/>
    </row>
    <row r="4" spans="1:21" hidden="1">
      <c r="E4" s="920" t="s">
        <v>3708</v>
      </c>
      <c r="F4" s="919">
        <v>0.7</v>
      </c>
      <c r="Q4" s="926" t="s">
        <v>3703</v>
      </c>
      <c r="R4" s="925">
        <v>0.9</v>
      </c>
      <c r="S4" s="926"/>
      <c r="T4" s="925"/>
    </row>
    <row r="5" spans="1:21" hidden="1">
      <c r="E5" s="920" t="s">
        <v>3709</v>
      </c>
      <c r="F5" s="927">
        <v>3</v>
      </c>
      <c r="Q5" s="926" t="s">
        <v>3704</v>
      </c>
      <c r="R5" s="925">
        <v>1.3</v>
      </c>
      <c r="S5" s="926"/>
      <c r="T5" s="925"/>
    </row>
    <row r="7" spans="1:21" s="1949" customFormat="1">
      <c r="A7" s="1948"/>
      <c r="B7" s="629"/>
      <c r="D7" s="2432"/>
      <c r="E7" s="2432"/>
      <c r="F7" s="2432"/>
      <c r="G7" s="2432"/>
      <c r="H7" s="2433"/>
      <c r="I7" s="2433"/>
      <c r="J7" s="2433"/>
      <c r="K7" s="2433"/>
      <c r="L7" s="2433"/>
      <c r="M7" s="2433"/>
      <c r="N7" s="2433"/>
      <c r="O7" s="2433"/>
      <c r="P7" s="2432"/>
      <c r="Q7" s="2432"/>
      <c r="R7" s="2432"/>
      <c r="S7" s="2432"/>
      <c r="T7" s="2432"/>
      <c r="U7" s="2432"/>
    </row>
    <row r="8" spans="1:21" ht="7.5" customHeight="1" thickBot="1"/>
    <row r="9" spans="1:21" ht="17.25" customHeight="1" thickTop="1">
      <c r="B9" s="631" t="s">
        <v>3721</v>
      </c>
      <c r="C9" s="631" t="s">
        <v>309</v>
      </c>
      <c r="D9" s="2442" t="s">
        <v>1014</v>
      </c>
      <c r="E9" s="725" t="s">
        <v>3473</v>
      </c>
      <c r="F9" s="709" t="s">
        <v>3474</v>
      </c>
      <c r="G9" s="710" t="s">
        <v>3475</v>
      </c>
      <c r="H9" s="2440" t="s">
        <v>3373</v>
      </c>
      <c r="I9" s="2436" t="s">
        <v>4116</v>
      </c>
      <c r="J9" s="2438" t="s">
        <v>4114</v>
      </c>
      <c r="K9" s="2438" t="s">
        <v>4115</v>
      </c>
      <c r="L9" s="2438" t="s">
        <v>751</v>
      </c>
      <c r="M9" s="2438" t="s">
        <v>4379</v>
      </c>
      <c r="N9" s="2438" t="s">
        <v>3698</v>
      </c>
      <c r="O9" s="2434" t="s">
        <v>378</v>
      </c>
      <c r="P9" s="711" t="s">
        <v>3368</v>
      </c>
      <c r="Q9" s="711"/>
      <c r="R9" s="711"/>
      <c r="S9" s="711" t="s">
        <v>3372</v>
      </c>
      <c r="T9" s="711"/>
      <c r="U9" s="712"/>
    </row>
    <row r="10" spans="1:21" ht="18" hidden="1" customHeight="1">
      <c r="C10" s="631" t="s">
        <v>309</v>
      </c>
      <c r="D10" s="2443"/>
      <c r="E10" s="726"/>
      <c r="F10" s="859" t="s">
        <v>3476</v>
      </c>
      <c r="G10" s="597" t="s">
        <v>3366</v>
      </c>
      <c r="H10" s="2441"/>
      <c r="I10" s="2437"/>
      <c r="J10" s="2439"/>
      <c r="K10" s="2439"/>
      <c r="L10" s="2439"/>
      <c r="M10" s="2439"/>
      <c r="N10" s="2439"/>
      <c r="O10" s="2435"/>
      <c r="P10" s="1785" t="s">
        <v>752</v>
      </c>
      <c r="Q10" s="598" t="s">
        <v>753</v>
      </c>
      <c r="R10" s="598" t="s">
        <v>754</v>
      </c>
      <c r="S10" s="598" t="s">
        <v>752</v>
      </c>
      <c r="T10" s="598" t="s">
        <v>753</v>
      </c>
      <c r="U10" s="1852" t="s">
        <v>754</v>
      </c>
    </row>
    <row r="11" spans="1:21" s="552" customFormat="1" ht="15" hidden="1" customHeight="1">
      <c r="A11" s="621"/>
      <c r="B11" s="629"/>
      <c r="C11" s="558"/>
      <c r="D11" s="615">
        <v>1</v>
      </c>
      <c r="E11" s="1637">
        <v>2</v>
      </c>
      <c r="F11" s="616">
        <v>3</v>
      </c>
      <c r="G11" s="617">
        <v>4</v>
      </c>
      <c r="H11" s="616"/>
      <c r="I11" s="616"/>
      <c r="J11" s="616"/>
      <c r="K11" s="616"/>
      <c r="L11" s="616"/>
      <c r="M11" s="616"/>
      <c r="N11" s="616"/>
      <c r="O11" s="616"/>
      <c r="P11" s="616">
        <v>5</v>
      </c>
      <c r="Q11" s="616">
        <v>6</v>
      </c>
      <c r="R11" s="616">
        <v>7</v>
      </c>
      <c r="S11" s="616">
        <v>8</v>
      </c>
      <c r="T11" s="616">
        <v>9</v>
      </c>
      <c r="U11" s="713">
        <v>10</v>
      </c>
    </row>
    <row r="12" spans="1:21" s="552" customFormat="1" ht="15" hidden="1" customHeight="1">
      <c r="A12" s="621">
        <v>1</v>
      </c>
      <c r="B12" s="629">
        <v>2</v>
      </c>
      <c r="C12" s="558"/>
      <c r="D12" s="553">
        <v>4</v>
      </c>
      <c r="E12" s="1638">
        <v>5</v>
      </c>
      <c r="F12" s="555">
        <v>6</v>
      </c>
      <c r="G12" s="618">
        <v>7</v>
      </c>
      <c r="H12" s="555">
        <v>8</v>
      </c>
      <c r="I12" s="555">
        <v>9</v>
      </c>
      <c r="J12" s="555">
        <v>10</v>
      </c>
      <c r="K12" s="555">
        <v>11</v>
      </c>
      <c r="L12" s="555">
        <v>12</v>
      </c>
      <c r="M12" s="555"/>
      <c r="N12" s="555">
        <v>14</v>
      </c>
      <c r="O12" s="555">
        <v>15</v>
      </c>
      <c r="P12" s="555">
        <v>16</v>
      </c>
      <c r="Q12" s="555">
        <v>17</v>
      </c>
      <c r="R12" s="555">
        <v>18</v>
      </c>
      <c r="S12" s="555">
        <v>19</v>
      </c>
      <c r="T12" s="555">
        <v>20</v>
      </c>
      <c r="U12" s="619">
        <v>21</v>
      </c>
    </row>
    <row r="13" spans="1:21" hidden="1">
      <c r="B13" s="696"/>
      <c r="C13" s="631" t="s">
        <v>309</v>
      </c>
      <c r="D13" s="850" t="s">
        <v>341</v>
      </c>
      <c r="E13" s="851" t="s">
        <v>3697</v>
      </c>
      <c r="F13" s="703"/>
      <c r="G13" s="762"/>
      <c r="H13" s="703"/>
      <c r="I13" s="703"/>
      <c r="J13" s="703"/>
      <c r="K13" s="703"/>
      <c r="L13" s="703"/>
      <c r="M13" s="703"/>
      <c r="N13" s="703"/>
      <c r="O13" s="703"/>
      <c r="P13" s="703"/>
      <c r="Q13" s="703"/>
      <c r="R13" s="703"/>
      <c r="S13" s="703"/>
      <c r="T13" s="703"/>
      <c r="U13" s="929"/>
    </row>
    <row r="14" spans="1:21" s="552" customFormat="1" ht="15" hidden="1" customHeight="1">
      <c r="A14" s="621" t="s">
        <v>562</v>
      </c>
      <c r="B14" s="622"/>
      <c r="C14" s="558" t="str">
        <f ca="1">IF(H14&lt;&gt;0,"x"," ")</f>
        <v xml:space="preserve"> </v>
      </c>
      <c r="D14" s="553"/>
      <c r="E14" s="727" t="s">
        <v>3477</v>
      </c>
      <c r="F14" s="600" t="s">
        <v>3391</v>
      </c>
      <c r="G14" s="205"/>
      <c r="H14" s="556">
        <f ca="1">SUM(I14:O14)</f>
        <v>0</v>
      </c>
      <c r="I14" s="556">
        <f ca="1">SUMIF(mong3pm,chitiet!$A14,slmong3pm)</f>
        <v>0</v>
      </c>
      <c r="J14" s="556">
        <f ca="1">SUMIF(mongct,chitiet!$A14,slmongct)</f>
        <v>0</v>
      </c>
      <c r="K14" s="556">
        <f ca="1">SUMIF(mong3p1m,chitiet!$A14,slmong3p1m)</f>
        <v>0</v>
      </c>
      <c r="L14" s="556">
        <f ca="1">SUMIF(mong1pm,chitiet!$A14,slmong1pm)</f>
        <v>0</v>
      </c>
      <c r="M14" s="556">
        <f ca="1">SUMIF(monghthh,chitiet!$A14,slmonghthh)</f>
        <v>0</v>
      </c>
      <c r="N14" s="556">
        <f ca="1">SUMIF(mongHTDL,chitiet!$A14,SLmongHTDL)</f>
        <v>0</v>
      </c>
      <c r="O14" s="556">
        <f ca="1">SUMIF(mongHTCS,chitiet!$A14,slmongHTCS)</f>
        <v>0</v>
      </c>
      <c r="P14" s="554"/>
      <c r="Q14" s="554"/>
      <c r="R14" s="554"/>
      <c r="S14" s="601">
        <f>SUM(S15:S16)</f>
        <v>0</v>
      </c>
      <c r="T14" s="601">
        <f>SUM(T15:T16)</f>
        <v>55917.607500000006</v>
      </c>
      <c r="U14" s="714">
        <f>SUM(U15:U16)</f>
        <v>0</v>
      </c>
    </row>
    <row r="15" spans="1:21" s="552" customFormat="1" ht="15" hidden="1" customHeight="1">
      <c r="A15" s="621"/>
      <c r="B15" s="622" t="s">
        <v>1645</v>
      </c>
      <c r="C15" s="558" t="str">
        <f ca="1">C14</f>
        <v xml:space="preserve"> </v>
      </c>
      <c r="D15" s="553"/>
      <c r="E15" s="694" t="str">
        <f>VLOOKUP($B15,dongia1,DG!$C$5,)</f>
        <v>Đào hố móng đất cấp 3 sâu &gt;1m DT&lt;5m2</v>
      </c>
      <c r="F15" s="555" t="str">
        <f>VLOOKUP($B15,dongia1,DG!$D$5,)</f>
        <v>m3</v>
      </c>
      <c r="G15" s="205">
        <v>0.13500000000000001</v>
      </c>
      <c r="H15" s="556">
        <f t="shared" ref="H15:J16" ca="1" si="0">+H$14*$G15</f>
        <v>0</v>
      </c>
      <c r="I15" s="556">
        <f t="shared" ca="1" si="0"/>
        <v>0</v>
      </c>
      <c r="J15" s="556">
        <f t="shared" ca="1" si="0"/>
        <v>0</v>
      </c>
      <c r="K15" s="556">
        <f t="shared" ref="K15:O16" ca="1" si="1">+K$14*$G15</f>
        <v>0</v>
      </c>
      <c r="L15" s="556">
        <f t="shared" ca="1" si="1"/>
        <v>0</v>
      </c>
      <c r="M15" s="556">
        <f t="shared" ca="1" si="1"/>
        <v>0</v>
      </c>
      <c r="N15" s="556">
        <f t="shared" ca="1" si="1"/>
        <v>0</v>
      </c>
      <c r="O15" s="556">
        <f t="shared" ca="1" si="1"/>
        <v>0</v>
      </c>
      <c r="P15" s="554"/>
      <c r="Q15" s="182">
        <f>VLOOKUP($B15,dongia1,DG!$G$5,)</f>
        <v>296500.89999999997</v>
      </c>
      <c r="R15" s="554"/>
      <c r="S15" s="113">
        <f t="shared" ref="S15:U16" si="2">$G15*P15</f>
        <v>0</v>
      </c>
      <c r="T15" s="113">
        <f t="shared" si="2"/>
        <v>40027.621500000001</v>
      </c>
      <c r="U15" s="557">
        <f t="shared" si="2"/>
        <v>0</v>
      </c>
    </row>
    <row r="16" spans="1:21" s="552" customFormat="1" ht="15" hidden="1" customHeight="1">
      <c r="A16" s="621"/>
      <c r="B16" s="622" t="s">
        <v>501</v>
      </c>
      <c r="C16" s="558" t="str">
        <f ca="1">C15</f>
        <v xml:space="preserve"> </v>
      </c>
      <c r="D16" s="553"/>
      <c r="E16" s="694" t="str">
        <f>VLOOKUP($B16,dongia1,DG!$C$5,)</f>
        <v>Đắp đất hố móng, đất cấp 3 (độ chặt k = 0.85)</v>
      </c>
      <c r="F16" s="555" t="str">
        <f>VLOOKUP($B16,dongia1,DG!$D$5,)</f>
        <v>m3</v>
      </c>
      <c r="G16" s="205">
        <v>0.13500000000000001</v>
      </c>
      <c r="H16" s="556">
        <f t="shared" ca="1" si="0"/>
        <v>0</v>
      </c>
      <c r="I16" s="556">
        <f t="shared" ca="1" si="0"/>
        <v>0</v>
      </c>
      <c r="J16" s="556">
        <f t="shared" ca="1" si="0"/>
        <v>0</v>
      </c>
      <c r="K16" s="556">
        <f t="shared" ca="1" si="1"/>
        <v>0</v>
      </c>
      <c r="L16" s="556">
        <f t="shared" ca="1" si="1"/>
        <v>0</v>
      </c>
      <c r="M16" s="556">
        <f t="shared" ca="1" si="1"/>
        <v>0</v>
      </c>
      <c r="N16" s="556">
        <f t="shared" ca="1" si="1"/>
        <v>0</v>
      </c>
      <c r="O16" s="556">
        <f t="shared" ca="1" si="1"/>
        <v>0</v>
      </c>
      <c r="P16" s="554"/>
      <c r="Q16" s="182">
        <f>VLOOKUP($B16,dongia1,DG!$G$5,)</f>
        <v>117703.6</v>
      </c>
      <c r="R16" s="554"/>
      <c r="S16" s="113">
        <f t="shared" si="2"/>
        <v>0</v>
      </c>
      <c r="T16" s="113">
        <f t="shared" si="2"/>
        <v>15889.986000000003</v>
      </c>
      <c r="U16" s="557">
        <f t="shared" si="2"/>
        <v>0</v>
      </c>
    </row>
    <row r="17" spans="1:21" s="552" customFormat="1" ht="15" hidden="1" customHeight="1">
      <c r="A17" s="621" t="s">
        <v>2172</v>
      </c>
      <c r="B17" s="622"/>
      <c r="C17" s="558" t="str">
        <f ca="1">IF(H17&lt;&gt;0,"x"," ")</f>
        <v xml:space="preserve"> </v>
      </c>
      <c r="D17" s="553"/>
      <c r="E17" s="727" t="s">
        <v>3478</v>
      </c>
      <c r="F17" s="600" t="s">
        <v>3391</v>
      </c>
      <c r="G17" s="205"/>
      <c r="H17" s="556">
        <f ca="1">SUM(I17:O17)</f>
        <v>0</v>
      </c>
      <c r="I17" s="556">
        <f ca="1">SUMIF(mong3pm,chitiet!$A17,slmong3pm)</f>
        <v>0</v>
      </c>
      <c r="J17" s="556">
        <f ca="1">SUMIF(mongct,chitiet!$A17,slmongct)</f>
        <v>0</v>
      </c>
      <c r="K17" s="556">
        <f ca="1">SUMIF(mong3p1m,chitiet!$A17,slmong3p1m)</f>
        <v>0</v>
      </c>
      <c r="L17" s="556">
        <f ca="1">SUMIF(mong1pm,chitiet!$A17,slmong1pm)</f>
        <v>0</v>
      </c>
      <c r="M17" s="556">
        <f ca="1">SUMIF(monghthh,chitiet!$A17,slmonghthh)</f>
        <v>0</v>
      </c>
      <c r="N17" s="556">
        <f ca="1">SUMIF(mongHTDL,chitiet!$A17,SLmongHTDL)</f>
        <v>0</v>
      </c>
      <c r="O17" s="556">
        <f ca="1">SUMIF(mongHTCS,chitiet!$A17,slmongHTCS)</f>
        <v>0</v>
      </c>
      <c r="P17" s="554"/>
      <c r="Q17" s="554"/>
      <c r="R17" s="554"/>
      <c r="S17" s="601">
        <f>SUM(S18:S19)</f>
        <v>0</v>
      </c>
      <c r="T17" s="601">
        <f>SUM(T18:T19)</f>
        <v>192190.88799999998</v>
      </c>
      <c r="U17" s="602">
        <f>SUM(U18:U19)</f>
        <v>0</v>
      </c>
    </row>
    <row r="18" spans="1:21" s="552" customFormat="1" ht="15" hidden="1" customHeight="1">
      <c r="A18" s="621"/>
      <c r="B18" s="622" t="s">
        <v>1645</v>
      </c>
      <c r="C18" s="558" t="str">
        <f ca="1">C17</f>
        <v xml:space="preserve"> </v>
      </c>
      <c r="D18" s="553"/>
      <c r="E18" s="694" t="str">
        <f>VLOOKUP($B18,dongia1,DG!$C$5,)</f>
        <v>Đào hố móng đất cấp 3 sâu &gt;1m DT&lt;5m2</v>
      </c>
      <c r="F18" s="555" t="str">
        <f>VLOOKUP($B18,dongia1,DG!$D$5,)</f>
        <v>m3</v>
      </c>
      <c r="G18" s="205">
        <v>0.46400000000000002</v>
      </c>
      <c r="H18" s="556">
        <f ca="1">+H$17*$G18</f>
        <v>0</v>
      </c>
      <c r="I18" s="556">
        <f t="shared" ref="I18:O18" ca="1" si="3">+I$17*$G18</f>
        <v>0</v>
      </c>
      <c r="J18" s="556">
        <f t="shared" ca="1" si="3"/>
        <v>0</v>
      </c>
      <c r="K18" s="556">
        <f t="shared" ca="1" si="3"/>
        <v>0</v>
      </c>
      <c r="L18" s="556">
        <f t="shared" ca="1" si="3"/>
        <v>0</v>
      </c>
      <c r="M18" s="556">
        <f ca="1">+M$17*$G18</f>
        <v>0</v>
      </c>
      <c r="N18" s="556">
        <f t="shared" ca="1" si="3"/>
        <v>0</v>
      </c>
      <c r="O18" s="556">
        <f t="shared" ca="1" si="3"/>
        <v>0</v>
      </c>
      <c r="P18" s="554"/>
      <c r="Q18" s="182">
        <f>VLOOKUP($B18,dongia1,DG!$G$5,)</f>
        <v>296500.89999999997</v>
      </c>
      <c r="R18" s="554"/>
      <c r="S18" s="113">
        <f t="shared" ref="S18:U19" si="4">$G18*P18</f>
        <v>0</v>
      </c>
      <c r="T18" s="113">
        <f t="shared" si="4"/>
        <v>137576.41759999999</v>
      </c>
      <c r="U18" s="557">
        <f t="shared" si="4"/>
        <v>0</v>
      </c>
    </row>
    <row r="19" spans="1:21" s="552" customFormat="1" ht="15" hidden="1" customHeight="1">
      <c r="A19" s="621"/>
      <c r="B19" s="622" t="s">
        <v>501</v>
      </c>
      <c r="C19" s="558" t="str">
        <f ca="1">C18</f>
        <v xml:space="preserve"> </v>
      </c>
      <c r="D19" s="553"/>
      <c r="E19" s="694" t="str">
        <f>VLOOKUP($B19,dongia1,DG!$C$5,)</f>
        <v>Đắp đất hố móng, đất cấp 3 (độ chặt k = 0.85)</v>
      </c>
      <c r="F19" s="555" t="str">
        <f>VLOOKUP($B19,dongia1,DG!$D$5,)</f>
        <v>m3</v>
      </c>
      <c r="G19" s="205">
        <v>0.46400000000000002</v>
      </c>
      <c r="H19" s="556">
        <f t="shared" ref="H19:O20" ca="1" si="5">+H$17*$G19</f>
        <v>0</v>
      </c>
      <c r="I19" s="556">
        <f t="shared" ca="1" si="5"/>
        <v>0</v>
      </c>
      <c r="J19" s="556">
        <f t="shared" ca="1" si="5"/>
        <v>0</v>
      </c>
      <c r="K19" s="556">
        <f t="shared" ca="1" si="5"/>
        <v>0</v>
      </c>
      <c r="L19" s="556">
        <f t="shared" ca="1" si="5"/>
        <v>0</v>
      </c>
      <c r="M19" s="556">
        <f t="shared" ca="1" si="5"/>
        <v>0</v>
      </c>
      <c r="N19" s="556">
        <f t="shared" ca="1" si="5"/>
        <v>0</v>
      </c>
      <c r="O19" s="556">
        <f t="shared" ca="1" si="5"/>
        <v>0</v>
      </c>
      <c r="P19" s="554"/>
      <c r="Q19" s="182">
        <f>VLOOKUP($B19,dongia1,DG!$G$5,)</f>
        <v>117703.6</v>
      </c>
      <c r="R19" s="554"/>
      <c r="S19" s="113">
        <f t="shared" si="4"/>
        <v>0</v>
      </c>
      <c r="T19" s="113">
        <f t="shared" si="4"/>
        <v>54614.470400000006</v>
      </c>
      <c r="U19" s="557">
        <f t="shared" si="4"/>
        <v>0</v>
      </c>
    </row>
    <row r="20" spans="1:21" s="552" customFormat="1" ht="15" hidden="1" customHeight="1">
      <c r="A20" s="621"/>
      <c r="B20" s="622" t="s">
        <v>870</v>
      </c>
      <c r="C20" s="558" t="str">
        <f ca="1">C19</f>
        <v xml:space="preserve"> </v>
      </c>
      <c r="D20" s="553">
        <f>VLOOKUP($B20,dongia1,DG!$B$5,)</f>
        <v>0</v>
      </c>
      <c r="E20" s="694" t="str">
        <f>VLOOKUP($B20,dongia1,DG!$C$5,)</f>
        <v>Boulon 22x700+ 2 long đền vuông D24-60x60x3/Zn</v>
      </c>
      <c r="F20" s="555" t="str">
        <f>VLOOKUP($B20,dongia1,DG!$D$5,)</f>
        <v>bộ</v>
      </c>
      <c r="G20" s="205">
        <v>1</v>
      </c>
      <c r="H20" s="556">
        <f t="shared" ca="1" si="5"/>
        <v>0</v>
      </c>
      <c r="I20" s="556">
        <f t="shared" ca="1" si="5"/>
        <v>0</v>
      </c>
      <c r="J20" s="556">
        <f t="shared" ca="1" si="5"/>
        <v>0</v>
      </c>
      <c r="K20" s="556">
        <f t="shared" ca="1" si="5"/>
        <v>0</v>
      </c>
      <c r="L20" s="556">
        <f t="shared" ca="1" si="5"/>
        <v>0</v>
      </c>
      <c r="M20" s="556">
        <f t="shared" ca="1" si="5"/>
        <v>0</v>
      </c>
      <c r="N20" s="556">
        <f t="shared" ca="1" si="5"/>
        <v>0</v>
      </c>
      <c r="O20" s="556">
        <f t="shared" ca="1" si="5"/>
        <v>0</v>
      </c>
      <c r="P20" s="554"/>
      <c r="Q20" s="182">
        <f>VLOOKUP($B20,dongia1,DG!$G$5,)</f>
        <v>0</v>
      </c>
      <c r="R20" s="554"/>
      <c r="S20" s="113">
        <f>$G20*P20</f>
        <v>0</v>
      </c>
      <c r="T20" s="113">
        <f>$G20*Q20</f>
        <v>0</v>
      </c>
      <c r="U20" s="557">
        <f>$G20*R20</f>
        <v>0</v>
      </c>
    </row>
    <row r="21" spans="1:21" s="552" customFormat="1" ht="15" hidden="1" customHeight="1">
      <c r="A21" s="621" t="s">
        <v>583</v>
      </c>
      <c r="B21" s="622"/>
      <c r="C21" s="558" t="str">
        <f ca="1">IF(H21&lt;&gt;0,"x"," ")</f>
        <v xml:space="preserve"> </v>
      </c>
      <c r="D21" s="553"/>
      <c r="E21" s="727" t="s">
        <v>3479</v>
      </c>
      <c r="F21" s="600" t="s">
        <v>3391</v>
      </c>
      <c r="G21" s="205"/>
      <c r="H21" s="556">
        <f ca="1">SUM(I21:O21)</f>
        <v>0</v>
      </c>
      <c r="I21" s="556">
        <f ca="1">SUMIF(mong3pm,chitiet!$A21,slmong3pm)</f>
        <v>0</v>
      </c>
      <c r="J21" s="556">
        <f ca="1">SUMIF(mongct,chitiet!$A21,slmongct)</f>
        <v>0</v>
      </c>
      <c r="K21" s="556">
        <f ca="1">SUMIF(mong3p1m,chitiet!$A21,slmong3p1m)</f>
        <v>0</v>
      </c>
      <c r="L21" s="556">
        <f ca="1">SUMIF(mong1pm,chitiet!$A21,slmong1pm)</f>
        <v>0</v>
      </c>
      <c r="M21" s="556">
        <f ca="1">SUMIF(monghthh,chitiet!$A21,slmonghthh)</f>
        <v>0</v>
      </c>
      <c r="N21" s="556">
        <f ca="1">SUMIF(mongHTDL,chitiet!$A21,SLmongHTDL)</f>
        <v>0</v>
      </c>
      <c r="O21" s="556">
        <f ca="1">SUMIF(mongHTCS,chitiet!$A21,slmongHTCS)</f>
        <v>0</v>
      </c>
      <c r="P21" s="554"/>
      <c r="Q21" s="554"/>
      <c r="R21" s="554"/>
      <c r="S21" s="601">
        <f>SUM(S22:S26)</f>
        <v>430345</v>
      </c>
      <c r="T21" s="601">
        <f>SUM(T22:T26)</f>
        <v>447621.5318</v>
      </c>
      <c r="U21" s="602">
        <f>SUM(U22:U26)</f>
        <v>0</v>
      </c>
    </row>
    <row r="22" spans="1:21" s="552" customFormat="1" ht="15" hidden="1" customHeight="1">
      <c r="A22" s="621"/>
      <c r="B22" s="622" t="s">
        <v>580</v>
      </c>
      <c r="C22" s="558" t="str">
        <f ca="1">C21</f>
        <v xml:space="preserve"> </v>
      </c>
      <c r="D22" s="553"/>
      <c r="E22" s="694" t="str">
        <f>VLOOKUP($B22,dongia1,DG!$C$5,)</f>
        <v>Đà cản BTCT 1,2m</v>
      </c>
      <c r="F22" s="555" t="str">
        <f>VLOOKUP($B22,dongia1,DG!$D$5,)</f>
        <v>cái</v>
      </c>
      <c r="G22" s="205">
        <v>1</v>
      </c>
      <c r="H22" s="556">
        <f ca="1">H$21*$G22</f>
        <v>0</v>
      </c>
      <c r="I22" s="556">
        <f t="shared" ref="I22:O22" ca="1" si="6">I$21*$G22</f>
        <v>0</v>
      </c>
      <c r="J22" s="556">
        <f t="shared" ca="1" si="6"/>
        <v>0</v>
      </c>
      <c r="K22" s="556">
        <f t="shared" ca="1" si="6"/>
        <v>0</v>
      </c>
      <c r="L22" s="556">
        <f t="shared" ca="1" si="6"/>
        <v>0</v>
      </c>
      <c r="M22" s="556">
        <f t="shared" ca="1" si="6"/>
        <v>0</v>
      </c>
      <c r="N22" s="556">
        <f t="shared" ca="1" si="6"/>
        <v>0</v>
      </c>
      <c r="O22" s="556">
        <f t="shared" ca="1" si="6"/>
        <v>0</v>
      </c>
      <c r="P22" s="182">
        <f>VLOOKUP($B22,dongia1,DG!$F$5,)</f>
        <v>354545</v>
      </c>
      <c r="Q22" s="182">
        <f>VLOOKUP($B22,dongia1,DG!$G$5,)</f>
        <v>37220.25</v>
      </c>
      <c r="R22" s="554"/>
      <c r="S22" s="113">
        <f t="shared" ref="S22:U26" si="7">$G22*P22</f>
        <v>354545</v>
      </c>
      <c r="T22" s="113">
        <f t="shared" si="7"/>
        <v>37220.25</v>
      </c>
      <c r="U22" s="557">
        <f t="shared" si="7"/>
        <v>0</v>
      </c>
    </row>
    <row r="23" spans="1:21" s="552" customFormat="1" ht="15" hidden="1" customHeight="1">
      <c r="A23" s="621"/>
      <c r="B23" s="622" t="s">
        <v>2171</v>
      </c>
      <c r="C23" s="558" t="str">
        <f ca="1">C22</f>
        <v xml:space="preserve"> </v>
      </c>
      <c r="D23" s="553"/>
      <c r="E23" s="694" t="str">
        <f>VLOOKUP($B23,dongia1,DG!$C$5,)</f>
        <v>Boulon 22x500+ 2 long đền vuông D24-60x60x3/Zn</v>
      </c>
      <c r="F23" s="555" t="str">
        <f>VLOOKUP($B23,dongia1,DG!$D$5,)</f>
        <v>bộ</v>
      </c>
      <c r="G23" s="205">
        <v>1</v>
      </c>
      <c r="H23" s="556">
        <f t="shared" ref="H23:O26" ca="1" si="8">H$21*$G23</f>
        <v>0</v>
      </c>
      <c r="I23" s="556">
        <f t="shared" ca="1" si="8"/>
        <v>0</v>
      </c>
      <c r="J23" s="556">
        <f t="shared" ca="1" si="8"/>
        <v>0</v>
      </c>
      <c r="K23" s="556">
        <f t="shared" ca="1" si="8"/>
        <v>0</v>
      </c>
      <c r="L23" s="556">
        <f t="shared" ca="1" si="8"/>
        <v>0</v>
      </c>
      <c r="M23" s="556">
        <f t="shared" ca="1" si="8"/>
        <v>0</v>
      </c>
      <c r="N23" s="556">
        <f t="shared" ca="1" si="8"/>
        <v>0</v>
      </c>
      <c r="O23" s="556">
        <f t="shared" ca="1" si="8"/>
        <v>0</v>
      </c>
      <c r="P23" s="182">
        <f>VLOOKUP($B23,dongia1,DG!$F$5,)</f>
        <v>75800</v>
      </c>
      <c r="Q23" s="554"/>
      <c r="R23" s="554"/>
      <c r="S23" s="113">
        <f t="shared" si="7"/>
        <v>75800</v>
      </c>
      <c r="T23" s="113">
        <f t="shared" si="7"/>
        <v>0</v>
      </c>
      <c r="U23" s="557">
        <f t="shared" si="7"/>
        <v>0</v>
      </c>
    </row>
    <row r="24" spans="1:21" s="552" customFormat="1" ht="15" hidden="1" customHeight="1">
      <c r="A24" s="621"/>
      <c r="B24" s="622" t="s">
        <v>1645</v>
      </c>
      <c r="C24" s="558" t="str">
        <f ca="1">$C$21</f>
        <v xml:space="preserve"> </v>
      </c>
      <c r="D24" s="553"/>
      <c r="E24" s="694" t="str">
        <f>VLOOKUP($B24,dongia1,DG!$C$5,)</f>
        <v>Đào hố móng đất cấp 3 sâu &gt;1m DT&lt;5m2</v>
      </c>
      <c r="F24" s="555" t="str">
        <f>VLOOKUP($B24,dongia1,DG!$D$5,)</f>
        <v>m3</v>
      </c>
      <c r="G24" s="205">
        <v>0.73</v>
      </c>
      <c r="H24" s="556">
        <f t="shared" ca="1" si="8"/>
        <v>0</v>
      </c>
      <c r="I24" s="556">
        <f t="shared" ca="1" si="8"/>
        <v>0</v>
      </c>
      <c r="J24" s="556">
        <f t="shared" ca="1" si="8"/>
        <v>0</v>
      </c>
      <c r="K24" s="556">
        <f t="shared" ca="1" si="8"/>
        <v>0</v>
      </c>
      <c r="L24" s="556">
        <f t="shared" ca="1" si="8"/>
        <v>0</v>
      </c>
      <c r="M24" s="556">
        <f t="shared" ca="1" si="8"/>
        <v>0</v>
      </c>
      <c r="N24" s="556">
        <f t="shared" ca="1" si="8"/>
        <v>0</v>
      </c>
      <c r="O24" s="556">
        <f t="shared" ca="1" si="8"/>
        <v>0</v>
      </c>
      <c r="P24" s="554"/>
      <c r="Q24" s="182">
        <f>VLOOKUP($B24,dongia1,DG!$G$5,)</f>
        <v>296500.89999999997</v>
      </c>
      <c r="R24" s="554"/>
      <c r="S24" s="113">
        <f t="shared" si="7"/>
        <v>0</v>
      </c>
      <c r="T24" s="113">
        <f t="shared" si="7"/>
        <v>216445.65699999998</v>
      </c>
      <c r="U24" s="557">
        <f t="shared" si="7"/>
        <v>0</v>
      </c>
    </row>
    <row r="25" spans="1:21" s="552" customFormat="1" ht="15" hidden="1" customHeight="1">
      <c r="A25" s="621"/>
      <c r="B25" s="622" t="s">
        <v>501</v>
      </c>
      <c r="C25" s="558" t="str">
        <f ca="1">$C$21</f>
        <v xml:space="preserve"> </v>
      </c>
      <c r="D25" s="553"/>
      <c r="E25" s="694" t="str">
        <f>VLOOKUP($B25,dongia1,DG!$C$5,)</f>
        <v>Đắp đất hố móng, đất cấp 3 (độ chặt k = 0.85)</v>
      </c>
      <c r="F25" s="555" t="str">
        <f>VLOOKUP($B25,dongia1,DG!$D$5,)</f>
        <v>m3</v>
      </c>
      <c r="G25" s="205">
        <v>1.6180000000000001</v>
      </c>
      <c r="H25" s="556">
        <f t="shared" ca="1" si="8"/>
        <v>0</v>
      </c>
      <c r="I25" s="556">
        <f t="shared" ca="1" si="8"/>
        <v>0</v>
      </c>
      <c r="J25" s="556">
        <f t="shared" ca="1" si="8"/>
        <v>0</v>
      </c>
      <c r="K25" s="556">
        <f t="shared" ca="1" si="8"/>
        <v>0</v>
      </c>
      <c r="L25" s="556">
        <f t="shared" ca="1" si="8"/>
        <v>0</v>
      </c>
      <c r="M25" s="556">
        <f t="shared" ca="1" si="8"/>
        <v>0</v>
      </c>
      <c r="N25" s="556">
        <f t="shared" ca="1" si="8"/>
        <v>0</v>
      </c>
      <c r="O25" s="556">
        <f t="shared" ca="1" si="8"/>
        <v>0</v>
      </c>
      <c r="P25" s="554"/>
      <c r="Q25" s="182">
        <f>VLOOKUP($B25,dongia1,DG!$G$5,)</f>
        <v>117703.6</v>
      </c>
      <c r="R25" s="554"/>
      <c r="S25" s="113">
        <f t="shared" si="7"/>
        <v>0</v>
      </c>
      <c r="T25" s="113">
        <f t="shared" si="7"/>
        <v>190444.42480000001</v>
      </c>
      <c r="U25" s="557">
        <f t="shared" si="7"/>
        <v>0</v>
      </c>
    </row>
    <row r="26" spans="1:21" s="552" customFormat="1" ht="15" hidden="1" customHeight="1">
      <c r="A26" s="621"/>
      <c r="B26" s="622" t="s">
        <v>581</v>
      </c>
      <c r="C26" s="558" t="str">
        <f ca="1">$C$21</f>
        <v xml:space="preserve"> </v>
      </c>
      <c r="D26" s="553"/>
      <c r="E26" s="694" t="str">
        <f>VLOOKUP($B26,dongia1,DG!$C$5,)</f>
        <v>Bốc dỡ đà cản, đế néo</v>
      </c>
      <c r="F26" s="555" t="str">
        <f>VLOOKUP($B26,dongia1,DG!$D$5,)</f>
        <v>tấn</v>
      </c>
      <c r="G26" s="205">
        <v>0.1</v>
      </c>
      <c r="H26" s="556">
        <f t="shared" ca="1" si="8"/>
        <v>0</v>
      </c>
      <c r="I26" s="556">
        <f t="shared" ca="1" si="8"/>
        <v>0</v>
      </c>
      <c r="J26" s="556">
        <f t="shared" ca="1" si="8"/>
        <v>0</v>
      </c>
      <c r="K26" s="556">
        <f t="shared" ca="1" si="8"/>
        <v>0</v>
      </c>
      <c r="L26" s="556">
        <f t="shared" ca="1" si="8"/>
        <v>0</v>
      </c>
      <c r="M26" s="556">
        <f t="shared" ca="1" si="8"/>
        <v>0</v>
      </c>
      <c r="N26" s="556">
        <f t="shared" ca="1" si="8"/>
        <v>0</v>
      </c>
      <c r="O26" s="556">
        <f t="shared" ca="1" si="8"/>
        <v>0</v>
      </c>
      <c r="P26" s="554"/>
      <c r="Q26" s="182">
        <f>VLOOKUP($B26,dongia1,DG!$G$5,)</f>
        <v>35112</v>
      </c>
      <c r="R26" s="554"/>
      <c r="S26" s="113">
        <f t="shared" si="7"/>
        <v>0</v>
      </c>
      <c r="T26" s="113">
        <f t="shared" si="7"/>
        <v>3511.2000000000003</v>
      </c>
      <c r="U26" s="557">
        <f t="shared" si="7"/>
        <v>0</v>
      </c>
    </row>
    <row r="27" spans="1:21" s="552" customFormat="1" ht="15" hidden="1" customHeight="1">
      <c r="A27" s="621" t="s">
        <v>1819</v>
      </c>
      <c r="B27" s="622"/>
      <c r="C27" s="558" t="str">
        <f ca="1">IF(H27&lt;&gt;0,"x"," ")</f>
        <v xml:space="preserve"> </v>
      </c>
      <c r="D27" s="553"/>
      <c r="E27" s="727" t="s">
        <v>3480</v>
      </c>
      <c r="F27" s="600" t="s">
        <v>3391</v>
      </c>
      <c r="G27" s="205"/>
      <c r="H27" s="556">
        <f ca="1">SUM(I27:O27)</f>
        <v>0</v>
      </c>
      <c r="I27" s="556">
        <f ca="1">SUMIF(mong3pm,chitiet!$A27,slmong3pm)</f>
        <v>0</v>
      </c>
      <c r="J27" s="556">
        <f ca="1">SUMIF(mongct,chitiet!$A27,slmongct)</f>
        <v>0</v>
      </c>
      <c r="K27" s="556">
        <f ca="1">SUMIF(mong3p1m,chitiet!$A27,slmong3p1m)</f>
        <v>0</v>
      </c>
      <c r="L27" s="556">
        <f ca="1">SUMIF(mong1pm,chitiet!$A27,slmong1pm)</f>
        <v>0</v>
      </c>
      <c r="M27" s="556">
        <f ca="1">SUMIF(monghthh,chitiet!$A27,slmonghthh)</f>
        <v>0</v>
      </c>
      <c r="N27" s="556">
        <f ca="1">SUMIF(mongHTDL,chitiet!$A27,SLmongHTDL)</f>
        <v>0</v>
      </c>
      <c r="O27" s="556">
        <f ca="1">SUMIF(mongHTCS,chitiet!$A27,slmongHTCS)</f>
        <v>0</v>
      </c>
      <c r="P27" s="554"/>
      <c r="Q27" s="554"/>
      <c r="R27" s="554"/>
      <c r="S27" s="601">
        <f>SUM(S28:S31)</f>
        <v>732400</v>
      </c>
      <c r="T27" s="601">
        <f>SUM(T28:T31)</f>
        <v>552290.33799999999</v>
      </c>
      <c r="U27" s="602">
        <f>SUM(U28:U31)</f>
        <v>0</v>
      </c>
    </row>
    <row r="28" spans="1:21" s="552" customFormat="1" ht="15" hidden="1" customHeight="1">
      <c r="A28" s="621"/>
      <c r="B28" s="622" t="s">
        <v>201</v>
      </c>
      <c r="C28" s="558" t="str">
        <f ca="1">C27</f>
        <v xml:space="preserve"> </v>
      </c>
      <c r="D28" s="553"/>
      <c r="E28" s="694" t="str">
        <f>VLOOKUP($B28,dongia1,DG!$C$5,)</f>
        <v>Đà cản BTCT 1,5m</v>
      </c>
      <c r="F28" s="555" t="str">
        <f>VLOOKUP($B28,dongia1,DG!$D$5,)</f>
        <v>cái</v>
      </c>
      <c r="G28" s="205">
        <v>1</v>
      </c>
      <c r="H28" s="556">
        <f ca="1">H$27*$G28</f>
        <v>0</v>
      </c>
      <c r="I28" s="556">
        <f t="shared" ref="I28:O28" ca="1" si="9">I$27*$G28</f>
        <v>0</v>
      </c>
      <c r="J28" s="556">
        <f t="shared" ca="1" si="9"/>
        <v>0</v>
      </c>
      <c r="K28" s="556">
        <f t="shared" ca="1" si="9"/>
        <v>0</v>
      </c>
      <c r="L28" s="556">
        <f t="shared" ca="1" si="9"/>
        <v>0</v>
      </c>
      <c r="M28" s="556">
        <f t="shared" ca="1" si="9"/>
        <v>0</v>
      </c>
      <c r="N28" s="556">
        <f t="shared" ca="1" si="9"/>
        <v>0</v>
      </c>
      <c r="O28" s="556">
        <f t="shared" ca="1" si="9"/>
        <v>0</v>
      </c>
      <c r="P28" s="182">
        <f>VLOOKUP($B28,dongia1,DG!$F$5,)</f>
        <v>650000</v>
      </c>
      <c r="Q28" s="182">
        <f>VLOOKUP($B28,dongia1,DG!$G$5,)</f>
        <v>148724</v>
      </c>
      <c r="R28" s="554"/>
      <c r="S28" s="113">
        <f t="shared" ref="S28:U31" si="10">$G28*P28</f>
        <v>650000</v>
      </c>
      <c r="T28" s="113">
        <f t="shared" si="10"/>
        <v>148724</v>
      </c>
      <c r="U28" s="557">
        <f t="shared" si="10"/>
        <v>0</v>
      </c>
    </row>
    <row r="29" spans="1:21" s="552" customFormat="1" ht="15" hidden="1" customHeight="1">
      <c r="A29" s="621"/>
      <c r="B29" s="622" t="s">
        <v>1549</v>
      </c>
      <c r="C29" s="558" t="str">
        <f ca="1">C28</f>
        <v xml:space="preserve"> </v>
      </c>
      <c r="D29" s="553"/>
      <c r="E29" s="694" t="str">
        <f>VLOOKUP($B29,dongia1,DG!$C$5,)</f>
        <v>Boulon 22x550+ 2 long đền vuông D24-60x60x3/Zn</v>
      </c>
      <c r="F29" s="555" t="str">
        <f>VLOOKUP($B29,dongia1,DG!$D$5,)</f>
        <v>bộ</v>
      </c>
      <c r="G29" s="205">
        <v>1</v>
      </c>
      <c r="H29" s="556">
        <f t="shared" ref="H29:O31" ca="1" si="11">H$27*$G29</f>
        <v>0</v>
      </c>
      <c r="I29" s="556">
        <f t="shared" ca="1" si="11"/>
        <v>0</v>
      </c>
      <c r="J29" s="556">
        <f t="shared" ca="1" si="11"/>
        <v>0</v>
      </c>
      <c r="K29" s="556">
        <f t="shared" ca="1" si="11"/>
        <v>0</v>
      </c>
      <c r="L29" s="556">
        <f t="shared" ca="1" si="11"/>
        <v>0</v>
      </c>
      <c r="M29" s="556">
        <f t="shared" ca="1" si="11"/>
        <v>0</v>
      </c>
      <c r="N29" s="556">
        <f t="shared" ca="1" si="11"/>
        <v>0</v>
      </c>
      <c r="O29" s="556">
        <f t="shared" ca="1" si="11"/>
        <v>0</v>
      </c>
      <c r="P29" s="182">
        <f>VLOOKUP($B29,dongia1,DG!$F$5,)</f>
        <v>82400</v>
      </c>
      <c r="Q29" s="554"/>
      <c r="R29" s="554"/>
      <c r="S29" s="113">
        <f t="shared" si="10"/>
        <v>82400</v>
      </c>
      <c r="T29" s="113">
        <f t="shared" si="10"/>
        <v>0</v>
      </c>
      <c r="U29" s="557">
        <f t="shared" si="10"/>
        <v>0</v>
      </c>
    </row>
    <row r="30" spans="1:21" s="552" customFormat="1" ht="15" hidden="1" customHeight="1">
      <c r="A30" s="621"/>
      <c r="B30" s="622" t="s">
        <v>1645</v>
      </c>
      <c r="C30" s="558" t="str">
        <f ca="1">$C$27</f>
        <v xml:space="preserve"> </v>
      </c>
      <c r="D30" s="553"/>
      <c r="E30" s="694" t="str">
        <f>VLOOKUP($B30,dongia1,DG!$C$5,)</f>
        <v>Đào hố móng đất cấp 3 sâu &gt;1m DT&lt;5m2</v>
      </c>
      <c r="F30" s="555" t="str">
        <f>VLOOKUP($B30,dongia1,DG!$D$5,)</f>
        <v>m3</v>
      </c>
      <c r="G30" s="205">
        <v>0.98</v>
      </c>
      <c r="H30" s="556">
        <f t="shared" ca="1" si="11"/>
        <v>0</v>
      </c>
      <c r="I30" s="556">
        <f t="shared" ca="1" si="11"/>
        <v>0</v>
      </c>
      <c r="J30" s="556">
        <f t="shared" ca="1" si="11"/>
        <v>0</v>
      </c>
      <c r="K30" s="556">
        <f t="shared" ca="1" si="11"/>
        <v>0</v>
      </c>
      <c r="L30" s="556">
        <f t="shared" ca="1" si="11"/>
        <v>0</v>
      </c>
      <c r="M30" s="556">
        <f t="shared" ca="1" si="11"/>
        <v>0</v>
      </c>
      <c r="N30" s="556">
        <f t="shared" ca="1" si="11"/>
        <v>0</v>
      </c>
      <c r="O30" s="556">
        <f t="shared" ca="1" si="11"/>
        <v>0</v>
      </c>
      <c r="P30" s="554"/>
      <c r="Q30" s="182">
        <f>VLOOKUP($B30,dongia1,DG!$G$5,)</f>
        <v>296500.89999999997</v>
      </c>
      <c r="R30" s="554"/>
      <c r="S30" s="113">
        <f t="shared" si="10"/>
        <v>0</v>
      </c>
      <c r="T30" s="113">
        <f t="shared" si="10"/>
        <v>290570.88199999998</v>
      </c>
      <c r="U30" s="557">
        <f t="shared" si="10"/>
        <v>0</v>
      </c>
    </row>
    <row r="31" spans="1:21" s="552" customFormat="1" ht="15" hidden="1" customHeight="1">
      <c r="A31" s="621"/>
      <c r="B31" s="622" t="s">
        <v>501</v>
      </c>
      <c r="C31" s="558" t="str">
        <f ca="1">$C$27</f>
        <v xml:space="preserve"> </v>
      </c>
      <c r="D31" s="553"/>
      <c r="E31" s="694" t="str">
        <f>VLOOKUP($B31,dongia1,DG!$C$5,)</f>
        <v>Đắp đất hố móng, đất cấp 3 (độ chặt k = 0.85)</v>
      </c>
      <c r="F31" s="555" t="str">
        <f>VLOOKUP($B31,dongia1,DG!$D$5,)</f>
        <v>m3</v>
      </c>
      <c r="G31" s="205">
        <v>0.96</v>
      </c>
      <c r="H31" s="556">
        <f t="shared" ca="1" si="11"/>
        <v>0</v>
      </c>
      <c r="I31" s="556">
        <f t="shared" ca="1" si="11"/>
        <v>0</v>
      </c>
      <c r="J31" s="556">
        <f t="shared" ca="1" si="11"/>
        <v>0</v>
      </c>
      <c r="K31" s="556">
        <f t="shared" ca="1" si="11"/>
        <v>0</v>
      </c>
      <c r="L31" s="556">
        <f t="shared" ca="1" si="11"/>
        <v>0</v>
      </c>
      <c r="M31" s="556">
        <f t="shared" ca="1" si="11"/>
        <v>0</v>
      </c>
      <c r="N31" s="556">
        <f t="shared" ca="1" si="11"/>
        <v>0</v>
      </c>
      <c r="O31" s="556">
        <f t="shared" ca="1" si="11"/>
        <v>0</v>
      </c>
      <c r="P31" s="554"/>
      <c r="Q31" s="182">
        <f>VLOOKUP($B31,dongia1,DG!$G$5,)</f>
        <v>117703.6</v>
      </c>
      <c r="R31" s="554"/>
      <c r="S31" s="113">
        <f t="shared" si="10"/>
        <v>0</v>
      </c>
      <c r="T31" s="113">
        <f t="shared" si="10"/>
        <v>112995.45600000001</v>
      </c>
      <c r="U31" s="557">
        <f t="shared" si="10"/>
        <v>0</v>
      </c>
    </row>
    <row r="32" spans="1:21" s="552" customFormat="1" ht="15" hidden="1" customHeight="1">
      <c r="A32" s="621" t="s">
        <v>1818</v>
      </c>
      <c r="B32" s="622"/>
      <c r="C32" s="558" t="str">
        <f ca="1">IF(H32&lt;&gt;0,"x"," ")</f>
        <v xml:space="preserve"> </v>
      </c>
      <c r="D32" s="553"/>
      <c r="E32" s="727" t="s">
        <v>3481</v>
      </c>
      <c r="F32" s="600" t="s">
        <v>3391</v>
      </c>
      <c r="G32" s="205"/>
      <c r="H32" s="556">
        <f ca="1">SUM(I32:N32)</f>
        <v>0</v>
      </c>
      <c r="I32" s="556">
        <f ca="1">SUMIF(mong3pm,chitiet!$A32,slmong3pm)</f>
        <v>0</v>
      </c>
      <c r="J32" s="556">
        <f ca="1">SUMIF(mongct,chitiet!$A32,slmongct)</f>
        <v>0</v>
      </c>
      <c r="K32" s="556">
        <f ca="1">SUMIF(mong3p1m,chitiet!$A32,slmong3p1m)</f>
        <v>0</v>
      </c>
      <c r="L32" s="556">
        <f ca="1">SUMIF(mong1pm,chitiet!$A32,slmong1pm)</f>
        <v>0</v>
      </c>
      <c r="M32" s="556">
        <f ca="1">SUMIF(monghthh,chitiet!$A32,slmonghthh)</f>
        <v>0</v>
      </c>
      <c r="N32" s="556">
        <f ca="1">SUMIF(mongHTDL,chitiet!$A32,SLmongHTDL)</f>
        <v>0</v>
      </c>
      <c r="O32" s="556">
        <f ca="1">SUMIF(mongHTCS,chitiet!$A32,slmongHTCS)</f>
        <v>0</v>
      </c>
      <c r="P32" s="554"/>
      <c r="Q32" s="554"/>
      <c r="R32" s="554"/>
      <c r="S32" s="601">
        <f>SUM(S33:S36)</f>
        <v>860690</v>
      </c>
      <c r="T32" s="601">
        <f>SUM(T33:T36)</f>
        <v>1085099.48</v>
      </c>
      <c r="U32" s="602">
        <f>SUM(U33:U36)</f>
        <v>0</v>
      </c>
    </row>
    <row r="33" spans="1:21" s="552" customFormat="1" ht="15" hidden="1" customHeight="1">
      <c r="A33" s="621"/>
      <c r="B33" s="622" t="s">
        <v>580</v>
      </c>
      <c r="C33" s="558" t="str">
        <f ca="1">C32</f>
        <v xml:space="preserve"> </v>
      </c>
      <c r="D33" s="553"/>
      <c r="E33" s="694" t="str">
        <f>VLOOKUP($B33,dongia1,DG!$C$5,)</f>
        <v>Đà cản BTCT 1,2m</v>
      </c>
      <c r="F33" s="555" t="str">
        <f>VLOOKUP($B33,dongia1,DG!$D$5,)</f>
        <v>cái</v>
      </c>
      <c r="G33" s="205">
        <v>2</v>
      </c>
      <c r="H33" s="556">
        <f ca="1">H$32*$G33</f>
        <v>0</v>
      </c>
      <c r="I33" s="556">
        <f t="shared" ref="I33:O33" ca="1" si="12">I$32*$G33</f>
        <v>0</v>
      </c>
      <c r="J33" s="556">
        <f t="shared" ca="1" si="12"/>
        <v>0</v>
      </c>
      <c r="K33" s="556">
        <f t="shared" ca="1" si="12"/>
        <v>0</v>
      </c>
      <c r="L33" s="556">
        <f t="shared" ca="1" si="12"/>
        <v>0</v>
      </c>
      <c r="M33" s="556">
        <f t="shared" ca="1" si="12"/>
        <v>0</v>
      </c>
      <c r="N33" s="556">
        <f t="shared" ca="1" si="12"/>
        <v>0</v>
      </c>
      <c r="O33" s="556">
        <f t="shared" ca="1" si="12"/>
        <v>0</v>
      </c>
      <c r="P33" s="182">
        <f>VLOOKUP($B33,dongia1,DG!$F$5,)</f>
        <v>354545</v>
      </c>
      <c r="Q33" s="182">
        <f>VLOOKUP($B33,dongia1,DG!$G$5,)</f>
        <v>37220.25</v>
      </c>
      <c r="R33" s="554"/>
      <c r="S33" s="113">
        <f t="shared" ref="S33:U36" si="13">$G33*P33</f>
        <v>709090</v>
      </c>
      <c r="T33" s="113">
        <f t="shared" si="13"/>
        <v>74440.5</v>
      </c>
      <c r="U33" s="557">
        <f t="shared" si="13"/>
        <v>0</v>
      </c>
    </row>
    <row r="34" spans="1:21" s="552" customFormat="1" ht="15" hidden="1" customHeight="1">
      <c r="A34" s="621"/>
      <c r="B34" s="622" t="s">
        <v>2171</v>
      </c>
      <c r="C34" s="558" t="str">
        <f ca="1">C33</f>
        <v xml:space="preserve"> </v>
      </c>
      <c r="D34" s="553"/>
      <c r="E34" s="694" t="str">
        <f>VLOOKUP($B34,dongia1,DG!$C$5,)</f>
        <v>Boulon 22x500+ 2 long đền vuông D24-60x60x3/Zn</v>
      </c>
      <c r="F34" s="555" t="str">
        <f>VLOOKUP($B34,dongia1,DG!$D$5,)</f>
        <v>bộ</v>
      </c>
      <c r="G34" s="205">
        <v>2</v>
      </c>
      <c r="H34" s="556">
        <f t="shared" ref="H34:O36" ca="1" si="14">H$32*$G34</f>
        <v>0</v>
      </c>
      <c r="I34" s="556">
        <f t="shared" ca="1" si="14"/>
        <v>0</v>
      </c>
      <c r="J34" s="556">
        <f t="shared" ca="1" si="14"/>
        <v>0</v>
      </c>
      <c r="K34" s="556">
        <f t="shared" ca="1" si="14"/>
        <v>0</v>
      </c>
      <c r="L34" s="556">
        <f t="shared" ca="1" si="14"/>
        <v>0</v>
      </c>
      <c r="M34" s="556">
        <f t="shared" ca="1" si="14"/>
        <v>0</v>
      </c>
      <c r="N34" s="556">
        <f t="shared" ca="1" si="14"/>
        <v>0</v>
      </c>
      <c r="O34" s="556">
        <f t="shared" ca="1" si="14"/>
        <v>0</v>
      </c>
      <c r="P34" s="182">
        <f>VLOOKUP($B34,dongia1,DG!$F$5,)</f>
        <v>75800</v>
      </c>
      <c r="Q34" s="554"/>
      <c r="R34" s="554"/>
      <c r="S34" s="113">
        <f t="shared" si="13"/>
        <v>151600</v>
      </c>
      <c r="T34" s="113">
        <f t="shared" si="13"/>
        <v>0</v>
      </c>
      <c r="U34" s="557">
        <f t="shared" si="13"/>
        <v>0</v>
      </c>
    </row>
    <row r="35" spans="1:21" s="552" customFormat="1" ht="15" hidden="1" customHeight="1">
      <c r="A35" s="621"/>
      <c r="B35" s="622" t="s">
        <v>1645</v>
      </c>
      <c r="C35" s="558" t="str">
        <f ca="1">$C$32</f>
        <v xml:space="preserve"> </v>
      </c>
      <c r="D35" s="553"/>
      <c r="E35" s="694" t="str">
        <f>VLOOKUP($B35,dongia1,DG!$C$5,)</f>
        <v>Đào hố móng đất cấp 3 sâu &gt;1m DT&lt;5m2</v>
      </c>
      <c r="F35" s="555" t="str">
        <f>VLOOKUP($B35,dongia1,DG!$D$5,)</f>
        <v>m3</v>
      </c>
      <c r="G35" s="205">
        <v>2.44</v>
      </c>
      <c r="H35" s="556">
        <f t="shared" ca="1" si="14"/>
        <v>0</v>
      </c>
      <c r="I35" s="556">
        <f t="shared" ca="1" si="14"/>
        <v>0</v>
      </c>
      <c r="J35" s="556">
        <f t="shared" ca="1" si="14"/>
        <v>0</v>
      </c>
      <c r="K35" s="556">
        <f t="shared" ca="1" si="14"/>
        <v>0</v>
      </c>
      <c r="L35" s="556">
        <f t="shared" ca="1" si="14"/>
        <v>0</v>
      </c>
      <c r="M35" s="556">
        <f t="shared" ca="1" si="14"/>
        <v>0</v>
      </c>
      <c r="N35" s="556">
        <f t="shared" ca="1" si="14"/>
        <v>0</v>
      </c>
      <c r="O35" s="556">
        <f t="shared" ca="1" si="14"/>
        <v>0</v>
      </c>
      <c r="P35" s="554"/>
      <c r="Q35" s="182">
        <f>VLOOKUP($B35,dongia1,DG!$G$5,)</f>
        <v>296500.89999999997</v>
      </c>
      <c r="R35" s="554"/>
      <c r="S35" s="113">
        <f t="shared" si="13"/>
        <v>0</v>
      </c>
      <c r="T35" s="113">
        <f t="shared" si="13"/>
        <v>723462.19599999988</v>
      </c>
      <c r="U35" s="557">
        <f t="shared" si="13"/>
        <v>0</v>
      </c>
    </row>
    <row r="36" spans="1:21" s="552" customFormat="1" ht="15" hidden="1" customHeight="1">
      <c r="A36" s="621"/>
      <c r="B36" s="622" t="s">
        <v>501</v>
      </c>
      <c r="C36" s="558" t="str">
        <f ca="1">$C$32</f>
        <v xml:space="preserve"> </v>
      </c>
      <c r="D36" s="553"/>
      <c r="E36" s="694" t="str">
        <f>VLOOKUP($B36,dongia1,DG!$C$5,)</f>
        <v>Đắp đất hố móng, đất cấp 3 (độ chặt k = 0.85)</v>
      </c>
      <c r="F36" s="555" t="str">
        <f>VLOOKUP($B36,dongia1,DG!$D$5,)</f>
        <v>m3</v>
      </c>
      <c r="G36" s="205">
        <v>2.44</v>
      </c>
      <c r="H36" s="556">
        <f t="shared" ca="1" si="14"/>
        <v>0</v>
      </c>
      <c r="I36" s="556">
        <f t="shared" ca="1" si="14"/>
        <v>0</v>
      </c>
      <c r="J36" s="556">
        <f t="shared" ca="1" si="14"/>
        <v>0</v>
      </c>
      <c r="K36" s="556">
        <f t="shared" ca="1" si="14"/>
        <v>0</v>
      </c>
      <c r="L36" s="556">
        <f t="shared" ca="1" si="14"/>
        <v>0</v>
      </c>
      <c r="M36" s="556">
        <f t="shared" ca="1" si="14"/>
        <v>0</v>
      </c>
      <c r="N36" s="556">
        <f t="shared" ca="1" si="14"/>
        <v>0</v>
      </c>
      <c r="O36" s="556">
        <f t="shared" ca="1" si="14"/>
        <v>0</v>
      </c>
      <c r="P36" s="554"/>
      <c r="Q36" s="182">
        <f>VLOOKUP($B36,dongia1,DG!$G$5,)</f>
        <v>117703.6</v>
      </c>
      <c r="R36" s="554"/>
      <c r="S36" s="113">
        <f t="shared" si="13"/>
        <v>0</v>
      </c>
      <c r="T36" s="113">
        <f t="shared" si="13"/>
        <v>287196.78399999999</v>
      </c>
      <c r="U36" s="557">
        <f t="shared" si="13"/>
        <v>0</v>
      </c>
    </row>
    <row r="37" spans="1:21" s="552" customFormat="1" ht="15" hidden="1" customHeight="1">
      <c r="A37" s="621" t="s">
        <v>2169</v>
      </c>
      <c r="B37" s="622"/>
      <c r="C37" s="558">
        <f ca="1">IF(H37&lt;&gt;0,"x",)</f>
        <v>0</v>
      </c>
      <c r="D37" s="553"/>
      <c r="E37" s="727" t="s">
        <v>3482</v>
      </c>
      <c r="F37" s="600" t="s">
        <v>3391</v>
      </c>
      <c r="G37" s="205"/>
      <c r="H37" s="556">
        <f ca="1">SUM(I37:N37)</f>
        <v>0</v>
      </c>
      <c r="I37" s="556">
        <f ca="1">SUMIF(mong3pm,chitiet!$A37,slmong3pm)</f>
        <v>0</v>
      </c>
      <c r="J37" s="556">
        <f ca="1">SUMIF(mongct,chitiet!$A37,slmongct)</f>
        <v>0</v>
      </c>
      <c r="K37" s="556">
        <f ca="1">SUMIF(mong3p1m,chitiet!$A37,slmong3p1m)</f>
        <v>0</v>
      </c>
      <c r="L37" s="556">
        <f ca="1">SUMIF(mong1pm,chitiet!$A37,slmong1pm)</f>
        <v>0</v>
      </c>
      <c r="M37" s="556">
        <f ca="1">SUMIF(monghthh,chitiet!$A37,slmonghthh)</f>
        <v>0</v>
      </c>
      <c r="N37" s="556">
        <f ca="1">SUMIF(mongHTDL,chitiet!$A37,SLmongHTDL)</f>
        <v>0</v>
      </c>
      <c r="O37" s="556">
        <f ca="1">SUMIF(mongHTCS,chitiet!$A37,slmongHTCS)</f>
        <v>0</v>
      </c>
      <c r="P37" s="554"/>
      <c r="Q37" s="554"/>
      <c r="R37" s="554"/>
      <c r="S37" s="601">
        <f>SUM(S38:S41)</f>
        <v>1464800</v>
      </c>
      <c r="T37" s="601">
        <f>SUM(T38:T41)</f>
        <v>2011077.5939999998</v>
      </c>
      <c r="U37" s="602">
        <f>SUM(U38:U41)</f>
        <v>0</v>
      </c>
    </row>
    <row r="38" spans="1:21" s="552" customFormat="1" ht="15" hidden="1" customHeight="1">
      <c r="A38" s="621"/>
      <c r="B38" s="622" t="s">
        <v>201</v>
      </c>
      <c r="C38" s="558">
        <f ca="1">C37</f>
        <v>0</v>
      </c>
      <c r="D38" s="553"/>
      <c r="E38" s="694" t="str">
        <f>VLOOKUP($B38,dongia1,DG!$C$5,)</f>
        <v>Đà cản BTCT 1,5m</v>
      </c>
      <c r="F38" s="555" t="str">
        <f>VLOOKUP($B38,dongia1,DG!$D$5,)</f>
        <v>cái</v>
      </c>
      <c r="G38" s="205">
        <v>2</v>
      </c>
      <c r="H38" s="556">
        <f ca="1">H$37*$G38</f>
        <v>0</v>
      </c>
      <c r="I38" s="556">
        <f t="shared" ref="I38:O38" ca="1" si="15">I$37*$G38</f>
        <v>0</v>
      </c>
      <c r="J38" s="556">
        <f t="shared" ca="1" si="15"/>
        <v>0</v>
      </c>
      <c r="K38" s="556">
        <f t="shared" ca="1" si="15"/>
        <v>0</v>
      </c>
      <c r="L38" s="556">
        <f t="shared" ca="1" si="15"/>
        <v>0</v>
      </c>
      <c r="M38" s="556">
        <f t="shared" ca="1" si="15"/>
        <v>0</v>
      </c>
      <c r="N38" s="556">
        <f t="shared" ca="1" si="15"/>
        <v>0</v>
      </c>
      <c r="O38" s="556">
        <f t="shared" ca="1" si="15"/>
        <v>0</v>
      </c>
      <c r="P38" s="182">
        <f>VLOOKUP($B38,dongia1,DG!$F$5,)</f>
        <v>650000</v>
      </c>
      <c r="Q38" s="182">
        <f>VLOOKUP($B38,dongia1,DG!$G$5,)</f>
        <v>148724</v>
      </c>
      <c r="R38" s="554"/>
      <c r="S38" s="113">
        <f t="shared" ref="S38:U41" si="16">$G38*P38</f>
        <v>1300000</v>
      </c>
      <c r="T38" s="113">
        <f t="shared" si="16"/>
        <v>297448</v>
      </c>
      <c r="U38" s="557">
        <f t="shared" si="16"/>
        <v>0</v>
      </c>
    </row>
    <row r="39" spans="1:21" s="552" customFormat="1" ht="15" hidden="1" customHeight="1">
      <c r="A39" s="621"/>
      <c r="B39" s="622" t="s">
        <v>1549</v>
      </c>
      <c r="C39" s="558">
        <f ca="1">C38</f>
        <v>0</v>
      </c>
      <c r="D39" s="553"/>
      <c r="E39" s="694" t="str">
        <f>VLOOKUP($B39,dongia1,DG!$C$5,)</f>
        <v>Boulon 22x550+ 2 long đền vuông D24-60x60x3/Zn</v>
      </c>
      <c r="F39" s="555" t="str">
        <f>VLOOKUP($B39,dongia1,DG!$D$5,)</f>
        <v>bộ</v>
      </c>
      <c r="G39" s="205">
        <v>2</v>
      </c>
      <c r="H39" s="556">
        <f t="shared" ref="H39:O41" ca="1" si="17">H$37*$G39</f>
        <v>0</v>
      </c>
      <c r="I39" s="556">
        <f t="shared" ca="1" si="17"/>
        <v>0</v>
      </c>
      <c r="J39" s="556">
        <f t="shared" ca="1" si="17"/>
        <v>0</v>
      </c>
      <c r="K39" s="556">
        <f t="shared" ca="1" si="17"/>
        <v>0</v>
      </c>
      <c r="L39" s="556">
        <f t="shared" ca="1" si="17"/>
        <v>0</v>
      </c>
      <c r="M39" s="556">
        <f t="shared" ca="1" si="17"/>
        <v>0</v>
      </c>
      <c r="N39" s="556">
        <f t="shared" ca="1" si="17"/>
        <v>0</v>
      </c>
      <c r="O39" s="556">
        <f t="shared" ca="1" si="17"/>
        <v>0</v>
      </c>
      <c r="P39" s="182">
        <f>VLOOKUP($B39,dongia1,DG!$F$5,)</f>
        <v>82400</v>
      </c>
      <c r="Q39" s="554"/>
      <c r="R39" s="554"/>
      <c r="S39" s="113">
        <f t="shared" si="16"/>
        <v>164800</v>
      </c>
      <c r="T39" s="113">
        <f t="shared" si="16"/>
        <v>0</v>
      </c>
      <c r="U39" s="557">
        <f t="shared" si="16"/>
        <v>0</v>
      </c>
    </row>
    <row r="40" spans="1:21" s="552" customFormat="1" ht="15" hidden="1" customHeight="1">
      <c r="A40" s="621"/>
      <c r="B40" s="622" t="s">
        <v>1645</v>
      </c>
      <c r="C40" s="558">
        <f ca="1">C39</f>
        <v>0</v>
      </c>
      <c r="D40" s="553"/>
      <c r="E40" s="694" t="str">
        <f>VLOOKUP($B40,dongia1,DG!$C$5,)</f>
        <v>Đào hố móng đất cấp 3 sâu &gt;1m DT&lt;5m2</v>
      </c>
      <c r="F40" s="555" t="str">
        <f>VLOOKUP($B40,dongia1,DG!$D$5,)</f>
        <v>m3</v>
      </c>
      <c r="G40" s="205">
        <v>4.1399999999999997</v>
      </c>
      <c r="H40" s="556">
        <f t="shared" ca="1" si="17"/>
        <v>0</v>
      </c>
      <c r="I40" s="556">
        <f t="shared" ca="1" si="17"/>
        <v>0</v>
      </c>
      <c r="J40" s="556">
        <f t="shared" ca="1" si="17"/>
        <v>0</v>
      </c>
      <c r="K40" s="556">
        <f t="shared" ca="1" si="17"/>
        <v>0</v>
      </c>
      <c r="L40" s="556">
        <f t="shared" ca="1" si="17"/>
        <v>0</v>
      </c>
      <c r="M40" s="556">
        <f t="shared" ca="1" si="17"/>
        <v>0</v>
      </c>
      <c r="N40" s="556">
        <f t="shared" ca="1" si="17"/>
        <v>0</v>
      </c>
      <c r="O40" s="556">
        <f t="shared" ca="1" si="17"/>
        <v>0</v>
      </c>
      <c r="P40" s="554"/>
      <c r="Q40" s="182">
        <f>VLOOKUP($B40,dongia1,DG!$G$5,)</f>
        <v>296500.89999999997</v>
      </c>
      <c r="R40" s="554"/>
      <c r="S40" s="113">
        <f t="shared" si="16"/>
        <v>0</v>
      </c>
      <c r="T40" s="113">
        <f t="shared" si="16"/>
        <v>1227513.7259999998</v>
      </c>
      <c r="U40" s="557">
        <f t="shared" si="16"/>
        <v>0</v>
      </c>
    </row>
    <row r="41" spans="1:21" s="552" customFormat="1" ht="15" hidden="1" customHeight="1">
      <c r="A41" s="621"/>
      <c r="B41" s="622" t="s">
        <v>501</v>
      </c>
      <c r="C41" s="558">
        <f ca="1">C40</f>
        <v>0</v>
      </c>
      <c r="D41" s="553"/>
      <c r="E41" s="694" t="str">
        <f>VLOOKUP($B41,dongia1,DG!$C$5,)</f>
        <v>Đắp đất hố móng, đất cấp 3 (độ chặt k = 0.85)</v>
      </c>
      <c r="F41" s="555" t="str">
        <f>VLOOKUP($B41,dongia1,DG!$D$5,)</f>
        <v>m3</v>
      </c>
      <c r="G41" s="205">
        <v>4.13</v>
      </c>
      <c r="H41" s="556">
        <f t="shared" ca="1" si="17"/>
        <v>0</v>
      </c>
      <c r="I41" s="556">
        <f t="shared" ca="1" si="17"/>
        <v>0</v>
      </c>
      <c r="J41" s="556">
        <f t="shared" ca="1" si="17"/>
        <v>0</v>
      </c>
      <c r="K41" s="556">
        <f t="shared" ca="1" si="17"/>
        <v>0</v>
      </c>
      <c r="L41" s="556">
        <f t="shared" ca="1" si="17"/>
        <v>0</v>
      </c>
      <c r="M41" s="556">
        <f t="shared" ca="1" si="17"/>
        <v>0</v>
      </c>
      <c r="N41" s="556">
        <f t="shared" ca="1" si="17"/>
        <v>0</v>
      </c>
      <c r="O41" s="556">
        <f t="shared" ca="1" si="17"/>
        <v>0</v>
      </c>
      <c r="P41" s="554"/>
      <c r="Q41" s="182">
        <f>VLOOKUP($B41,dongia1,DG!$G$5,)</f>
        <v>117703.6</v>
      </c>
      <c r="R41" s="554"/>
      <c r="S41" s="113">
        <f t="shared" si="16"/>
        <v>0</v>
      </c>
      <c r="T41" s="113">
        <f t="shared" si="16"/>
        <v>486115.86800000002</v>
      </c>
      <c r="U41" s="557">
        <f t="shared" si="16"/>
        <v>0</v>
      </c>
    </row>
    <row r="42" spans="1:21" s="552" customFormat="1" ht="15" hidden="1" customHeight="1">
      <c r="A42" s="621" t="s">
        <v>432</v>
      </c>
      <c r="B42" s="622"/>
      <c r="C42" s="558" t="str">
        <f ca="1">IF(H42&lt;&gt;0,"x"," ")</f>
        <v xml:space="preserve"> </v>
      </c>
      <c r="D42" s="553"/>
      <c r="E42" s="727" t="s">
        <v>3483</v>
      </c>
      <c r="F42" s="600" t="s">
        <v>3391</v>
      </c>
      <c r="G42" s="205"/>
      <c r="H42" s="556">
        <f ca="1">SUM(I42:N42)</f>
        <v>0</v>
      </c>
      <c r="I42" s="556">
        <f ca="1">SUMIF(mong3pm,chitiet!$A42,slmong3pm)</f>
        <v>0</v>
      </c>
      <c r="J42" s="556">
        <f ca="1">SUMIF(mongct,chitiet!$A42,slmongct)</f>
        <v>0</v>
      </c>
      <c r="K42" s="556">
        <f ca="1">SUMIF(mong3p1m,chitiet!$A42,slmong3p1m)</f>
        <v>0</v>
      </c>
      <c r="L42" s="556">
        <f ca="1">SUMIF(mong1pm,chitiet!$A42,slmong1pm)</f>
        <v>0</v>
      </c>
      <c r="M42" s="556">
        <f ca="1">SUMIF(monghthh,chitiet!$A42,slmonghthh)</f>
        <v>0</v>
      </c>
      <c r="N42" s="556">
        <f ca="1">SUMIF(mongHTDL,chitiet!$A42,SLmongHTDL)</f>
        <v>0</v>
      </c>
      <c r="O42" s="556">
        <f ca="1">SUMIF(mongHTCS,chitiet!$A42,slmongHTCS)</f>
        <v>0</v>
      </c>
      <c r="P42" s="554"/>
      <c r="Q42" s="554"/>
      <c r="R42" s="554"/>
      <c r="S42" s="601">
        <f>SUM(S43:S46)</f>
        <v>806690</v>
      </c>
      <c r="T42" s="601">
        <f>SUM(T43:T46)</f>
        <v>467934.77499999997</v>
      </c>
      <c r="U42" s="602">
        <f>SUM(U43:U46)</f>
        <v>0</v>
      </c>
    </row>
    <row r="43" spans="1:21" s="552" customFormat="1" ht="15" hidden="1" customHeight="1">
      <c r="A43" s="621"/>
      <c r="B43" s="622" t="s">
        <v>580</v>
      </c>
      <c r="C43" s="558" t="str">
        <f ca="1">C42</f>
        <v xml:space="preserve"> </v>
      </c>
      <c r="D43" s="553"/>
      <c r="E43" s="694" t="str">
        <f>VLOOKUP($B43,dongia1,DG!$C$5,)</f>
        <v>Đà cản BTCT 1,2m</v>
      </c>
      <c r="F43" s="555" t="str">
        <f>VLOOKUP($B43,dongia1,DG!$D$5,)</f>
        <v>cái</v>
      </c>
      <c r="G43" s="205">
        <v>2</v>
      </c>
      <c r="H43" s="556">
        <f ca="1">H$42*$G43</f>
        <v>0</v>
      </c>
      <c r="I43" s="556">
        <f t="shared" ref="I43:O43" ca="1" si="18">I$42*$G43</f>
        <v>0</v>
      </c>
      <c r="J43" s="556">
        <f t="shared" ca="1" si="18"/>
        <v>0</v>
      </c>
      <c r="K43" s="556">
        <f t="shared" ca="1" si="18"/>
        <v>0</v>
      </c>
      <c r="L43" s="556">
        <f t="shared" ca="1" si="18"/>
        <v>0</v>
      </c>
      <c r="M43" s="556">
        <f t="shared" ca="1" si="18"/>
        <v>0</v>
      </c>
      <c r="N43" s="556">
        <f t="shared" ca="1" si="18"/>
        <v>0</v>
      </c>
      <c r="O43" s="556">
        <f t="shared" ca="1" si="18"/>
        <v>0</v>
      </c>
      <c r="P43" s="182">
        <f>VLOOKUP($B43,dongia1,DG!$F$5,)</f>
        <v>354545</v>
      </c>
      <c r="Q43" s="182">
        <f>VLOOKUP($B43,dongia1,DG!$G$5,)</f>
        <v>37220.25</v>
      </c>
      <c r="R43" s="554"/>
      <c r="S43" s="113">
        <f t="shared" ref="S43:U46" si="19">$G43*P43</f>
        <v>709090</v>
      </c>
      <c r="T43" s="113">
        <f t="shared" si="19"/>
        <v>74440.5</v>
      </c>
      <c r="U43" s="557">
        <f t="shared" si="19"/>
        <v>0</v>
      </c>
    </row>
    <row r="44" spans="1:21" s="552" customFormat="1" ht="15" hidden="1" customHeight="1">
      <c r="A44" s="621"/>
      <c r="B44" s="622" t="s">
        <v>870</v>
      </c>
      <c r="C44" s="558" t="str">
        <f ca="1">C43</f>
        <v xml:space="preserve"> </v>
      </c>
      <c r="D44" s="553"/>
      <c r="E44" s="694" t="str">
        <f>VLOOKUP($B44,dongia1,DG!$C$5,)</f>
        <v>Boulon 22x700+ 2 long đền vuông D24-60x60x3/Zn</v>
      </c>
      <c r="F44" s="555" t="str">
        <f>VLOOKUP($B44,dongia1,DG!$D$5,)</f>
        <v>bộ</v>
      </c>
      <c r="G44" s="205">
        <v>1</v>
      </c>
      <c r="H44" s="556">
        <f t="shared" ref="H44:O46" ca="1" si="20">H$42*$G44</f>
        <v>0</v>
      </c>
      <c r="I44" s="556">
        <f t="shared" ca="1" si="20"/>
        <v>0</v>
      </c>
      <c r="J44" s="556">
        <f t="shared" ca="1" si="20"/>
        <v>0</v>
      </c>
      <c r="K44" s="556">
        <f t="shared" ca="1" si="20"/>
        <v>0</v>
      </c>
      <c r="L44" s="556">
        <f t="shared" ca="1" si="20"/>
        <v>0</v>
      </c>
      <c r="M44" s="556">
        <f t="shared" ca="1" si="20"/>
        <v>0</v>
      </c>
      <c r="N44" s="556">
        <f t="shared" ca="1" si="20"/>
        <v>0</v>
      </c>
      <c r="O44" s="556">
        <f t="shared" ca="1" si="20"/>
        <v>0</v>
      </c>
      <c r="P44" s="182">
        <f>VLOOKUP($B44,dongia1,DG!$F$5,)</f>
        <v>97600</v>
      </c>
      <c r="Q44" s="554"/>
      <c r="R44" s="554"/>
      <c r="S44" s="113">
        <f t="shared" si="19"/>
        <v>97600</v>
      </c>
      <c r="T44" s="113">
        <f t="shared" si="19"/>
        <v>0</v>
      </c>
      <c r="U44" s="557">
        <f t="shared" si="19"/>
        <v>0</v>
      </c>
    </row>
    <row r="45" spans="1:21" s="552" customFormat="1" ht="15" hidden="1" customHeight="1">
      <c r="A45" s="621"/>
      <c r="B45" s="622" t="s">
        <v>1645</v>
      </c>
      <c r="C45" s="558" t="str">
        <f ca="1">C44</f>
        <v xml:space="preserve"> </v>
      </c>
      <c r="D45" s="553"/>
      <c r="E45" s="694" t="str">
        <f>VLOOKUP($B45,dongia1,DG!$C$5,)</f>
        <v>Đào hố móng đất cấp 3 sâu &gt;1m DT&lt;5m2</v>
      </c>
      <c r="F45" s="555" t="str">
        <f>VLOOKUP($B45,dongia1,DG!$D$5,)</f>
        <v>m3</v>
      </c>
      <c r="G45" s="205">
        <v>0.95</v>
      </c>
      <c r="H45" s="556">
        <f t="shared" ca="1" si="20"/>
        <v>0</v>
      </c>
      <c r="I45" s="556">
        <f t="shared" ca="1" si="20"/>
        <v>0</v>
      </c>
      <c r="J45" s="556">
        <f t="shared" ca="1" si="20"/>
        <v>0</v>
      </c>
      <c r="K45" s="556">
        <f t="shared" ca="1" si="20"/>
        <v>0</v>
      </c>
      <c r="L45" s="556">
        <f t="shared" ca="1" si="20"/>
        <v>0</v>
      </c>
      <c r="M45" s="556">
        <f t="shared" ca="1" si="20"/>
        <v>0</v>
      </c>
      <c r="N45" s="556">
        <f t="shared" ca="1" si="20"/>
        <v>0</v>
      </c>
      <c r="O45" s="556">
        <f t="shared" ca="1" si="20"/>
        <v>0</v>
      </c>
      <c r="P45" s="554"/>
      <c r="Q45" s="182">
        <f>VLOOKUP($B45,dongia1,DG!$G$5,)</f>
        <v>296500.89999999997</v>
      </c>
      <c r="R45" s="554"/>
      <c r="S45" s="113">
        <f t="shared" si="19"/>
        <v>0</v>
      </c>
      <c r="T45" s="113">
        <f t="shared" si="19"/>
        <v>281675.85499999998</v>
      </c>
      <c r="U45" s="557">
        <f t="shared" si="19"/>
        <v>0</v>
      </c>
    </row>
    <row r="46" spans="1:21" s="552" customFormat="1" ht="15" hidden="1" customHeight="1">
      <c r="A46" s="621"/>
      <c r="B46" s="622" t="s">
        <v>501</v>
      </c>
      <c r="C46" s="558" t="str">
        <f ca="1">C45</f>
        <v xml:space="preserve"> </v>
      </c>
      <c r="D46" s="553"/>
      <c r="E46" s="694" t="str">
        <f>VLOOKUP($B46,dongia1,DG!$C$5,)</f>
        <v>Đắp đất hố móng, đất cấp 3 (độ chặt k = 0.85)</v>
      </c>
      <c r="F46" s="555" t="str">
        <f>VLOOKUP($B46,dongia1,DG!$D$5,)</f>
        <v>m3</v>
      </c>
      <c r="G46" s="205">
        <v>0.95</v>
      </c>
      <c r="H46" s="556">
        <f t="shared" ca="1" si="20"/>
        <v>0</v>
      </c>
      <c r="I46" s="556">
        <f t="shared" ca="1" si="20"/>
        <v>0</v>
      </c>
      <c r="J46" s="556">
        <f t="shared" ca="1" si="20"/>
        <v>0</v>
      </c>
      <c r="K46" s="556">
        <f t="shared" ca="1" si="20"/>
        <v>0</v>
      </c>
      <c r="L46" s="556">
        <f t="shared" ca="1" si="20"/>
        <v>0</v>
      </c>
      <c r="M46" s="556">
        <f t="shared" ca="1" si="20"/>
        <v>0</v>
      </c>
      <c r="N46" s="556">
        <f t="shared" ca="1" si="20"/>
        <v>0</v>
      </c>
      <c r="O46" s="556">
        <f t="shared" ca="1" si="20"/>
        <v>0</v>
      </c>
      <c r="P46" s="554"/>
      <c r="Q46" s="182">
        <f>VLOOKUP($B46,dongia1,DG!$G$5,)</f>
        <v>117703.6</v>
      </c>
      <c r="R46" s="554"/>
      <c r="S46" s="113">
        <f t="shared" si="19"/>
        <v>0</v>
      </c>
      <c r="T46" s="113">
        <f t="shared" si="19"/>
        <v>111818.42</v>
      </c>
      <c r="U46" s="557">
        <f t="shared" si="19"/>
        <v>0</v>
      </c>
    </row>
    <row r="47" spans="1:21" s="552" customFormat="1" ht="15" hidden="1" customHeight="1">
      <c r="A47" s="621" t="s">
        <v>2170</v>
      </c>
      <c r="B47" s="622"/>
      <c r="C47" s="558" t="str">
        <f ca="1">IF(H47&lt;&gt;0,"x"," ")</f>
        <v xml:space="preserve"> </v>
      </c>
      <c r="D47" s="553"/>
      <c r="E47" s="727" t="s">
        <v>3484</v>
      </c>
      <c r="F47" s="600" t="s">
        <v>3391</v>
      </c>
      <c r="G47" s="205"/>
      <c r="H47" s="556">
        <f ca="1">SUM(I47:N47)</f>
        <v>0</v>
      </c>
      <c r="I47" s="556">
        <f ca="1">SUMIF(mong3pm,chitiet!$A47,slmong3pm)</f>
        <v>0</v>
      </c>
      <c r="J47" s="556">
        <f ca="1">SUMIF(mongct,chitiet!$A47,slmongct)</f>
        <v>0</v>
      </c>
      <c r="K47" s="556">
        <f ca="1">SUMIF(mong3p1m,chitiet!$A47,slmong3p1m)</f>
        <v>0</v>
      </c>
      <c r="L47" s="556">
        <f ca="1">SUMIF(mong1pm,chitiet!$A47,slmong1pm)</f>
        <v>0</v>
      </c>
      <c r="M47" s="556">
        <f ca="1">SUMIF(monghthh,chitiet!$A47,slmonghthh)</f>
        <v>0</v>
      </c>
      <c r="N47" s="556">
        <f ca="1">SUMIF(mongHTDL,chitiet!$A47,SLmongHTDL)</f>
        <v>0</v>
      </c>
      <c r="O47" s="556">
        <f ca="1">SUMIF(mongHTCS,chitiet!$A47,slmongHTCS)</f>
        <v>0</v>
      </c>
      <c r="P47" s="554"/>
      <c r="Q47" s="554"/>
      <c r="R47" s="554"/>
      <c r="S47" s="601">
        <f>SUM(S48:S51)</f>
        <v>1408600</v>
      </c>
      <c r="T47" s="601">
        <f>SUM(T48:T51)</f>
        <v>895690.45299999998</v>
      </c>
      <c r="U47" s="602">
        <f>SUM(U48:U51)</f>
        <v>0</v>
      </c>
    </row>
    <row r="48" spans="1:21" s="552" customFormat="1" ht="15" hidden="1" customHeight="1">
      <c r="A48" s="621"/>
      <c r="B48" s="622" t="s">
        <v>201</v>
      </c>
      <c r="C48" s="558" t="str">
        <f ca="1">C47</f>
        <v xml:space="preserve"> </v>
      </c>
      <c r="D48" s="553"/>
      <c r="E48" s="694" t="str">
        <f>VLOOKUP($B48,dongia1,DG!$C$5,)</f>
        <v>Đà cản BTCT 1,5m</v>
      </c>
      <c r="F48" s="555" t="str">
        <f>VLOOKUP($B48,dongia1,DG!$D$5,)</f>
        <v>cái</v>
      </c>
      <c r="G48" s="205">
        <v>2</v>
      </c>
      <c r="H48" s="556">
        <f ca="1">H$47*$G48</f>
        <v>0</v>
      </c>
      <c r="I48" s="556">
        <f t="shared" ref="I48:O48" ca="1" si="21">I$47*$G48</f>
        <v>0</v>
      </c>
      <c r="J48" s="556">
        <f t="shared" ca="1" si="21"/>
        <v>0</v>
      </c>
      <c r="K48" s="556">
        <f t="shared" ca="1" si="21"/>
        <v>0</v>
      </c>
      <c r="L48" s="556">
        <f t="shared" ca="1" si="21"/>
        <v>0</v>
      </c>
      <c r="M48" s="556">
        <f t="shared" ca="1" si="21"/>
        <v>0</v>
      </c>
      <c r="N48" s="556">
        <f t="shared" ca="1" si="21"/>
        <v>0</v>
      </c>
      <c r="O48" s="556">
        <f t="shared" ca="1" si="21"/>
        <v>0</v>
      </c>
      <c r="P48" s="182">
        <f>VLOOKUP($B48,dongia1,DG!$F$5,)</f>
        <v>650000</v>
      </c>
      <c r="Q48" s="182">
        <f>VLOOKUP($B48,dongia1,DG!$G$5,)</f>
        <v>148724</v>
      </c>
      <c r="R48" s="554"/>
      <c r="S48" s="113">
        <f t="shared" ref="S48:U51" si="22">$G48*P48</f>
        <v>1300000</v>
      </c>
      <c r="T48" s="113">
        <f t="shared" si="22"/>
        <v>297448</v>
      </c>
      <c r="U48" s="557">
        <f t="shared" si="22"/>
        <v>0</v>
      </c>
    </row>
    <row r="49" spans="1:21" s="552" customFormat="1" ht="15" hidden="1" customHeight="1">
      <c r="A49" s="621"/>
      <c r="B49" s="622" t="s">
        <v>365</v>
      </c>
      <c r="C49" s="558" t="str">
        <f ca="1">C48</f>
        <v xml:space="preserve"> </v>
      </c>
      <c r="D49" s="553"/>
      <c r="E49" s="694" t="str">
        <f>VLOOKUP($B49,dongia1,DG!$C$5,)</f>
        <v>Boulon 22x800+ 2 long đền vuông D24-60x60x3/Zn</v>
      </c>
      <c r="F49" s="555" t="str">
        <f>VLOOKUP($B49,dongia1,DG!$D$5,)</f>
        <v>bộ</v>
      </c>
      <c r="G49" s="205">
        <v>1</v>
      </c>
      <c r="H49" s="556">
        <f t="shared" ref="H49:O51" ca="1" si="23">H$47*$G49</f>
        <v>0</v>
      </c>
      <c r="I49" s="556">
        <f t="shared" ca="1" si="23"/>
        <v>0</v>
      </c>
      <c r="J49" s="556">
        <f t="shared" ca="1" si="23"/>
        <v>0</v>
      </c>
      <c r="K49" s="556">
        <f t="shared" ca="1" si="23"/>
        <v>0</v>
      </c>
      <c r="L49" s="556">
        <f t="shared" ca="1" si="23"/>
        <v>0</v>
      </c>
      <c r="M49" s="556">
        <f t="shared" ca="1" si="23"/>
        <v>0</v>
      </c>
      <c r="N49" s="556">
        <f t="shared" ca="1" si="23"/>
        <v>0</v>
      </c>
      <c r="O49" s="556">
        <f t="shared" ca="1" si="23"/>
        <v>0</v>
      </c>
      <c r="P49" s="182">
        <f>VLOOKUP($B49,dongia1,DG!$F$5,)</f>
        <v>108600</v>
      </c>
      <c r="Q49" s="554"/>
      <c r="R49" s="554"/>
      <c r="S49" s="113">
        <f t="shared" si="22"/>
        <v>108600</v>
      </c>
      <c r="T49" s="113">
        <f t="shared" si="22"/>
        <v>0</v>
      </c>
      <c r="U49" s="557">
        <f t="shared" si="22"/>
        <v>0</v>
      </c>
    </row>
    <row r="50" spans="1:21" s="552" customFormat="1" ht="15" hidden="1" customHeight="1">
      <c r="A50" s="621"/>
      <c r="B50" s="622" t="s">
        <v>1645</v>
      </c>
      <c r="C50" s="558" t="str">
        <f ca="1">C49</f>
        <v xml:space="preserve"> </v>
      </c>
      <c r="D50" s="553"/>
      <c r="E50" s="694" t="str">
        <f>VLOOKUP($B50,dongia1,DG!$C$5,)</f>
        <v>Đào hố móng đất cấp 3 sâu &gt;1m DT&lt;5m2</v>
      </c>
      <c r="F50" s="555" t="str">
        <f>VLOOKUP($B50,dongia1,DG!$D$5,)</f>
        <v>m3</v>
      </c>
      <c r="G50" s="205">
        <v>1.45</v>
      </c>
      <c r="H50" s="556">
        <f t="shared" ca="1" si="23"/>
        <v>0</v>
      </c>
      <c r="I50" s="556">
        <f t="shared" ca="1" si="23"/>
        <v>0</v>
      </c>
      <c r="J50" s="556">
        <f t="shared" ca="1" si="23"/>
        <v>0</v>
      </c>
      <c r="K50" s="556">
        <f t="shared" ca="1" si="23"/>
        <v>0</v>
      </c>
      <c r="L50" s="556">
        <f t="shared" ca="1" si="23"/>
        <v>0</v>
      </c>
      <c r="M50" s="556">
        <f t="shared" ca="1" si="23"/>
        <v>0</v>
      </c>
      <c r="N50" s="556">
        <f t="shared" ca="1" si="23"/>
        <v>0</v>
      </c>
      <c r="O50" s="556">
        <f t="shared" ca="1" si="23"/>
        <v>0</v>
      </c>
      <c r="P50" s="554"/>
      <c r="Q50" s="182">
        <f>VLOOKUP($B50,dongia1,DG!$G$5,)</f>
        <v>296500.89999999997</v>
      </c>
      <c r="R50" s="554"/>
      <c r="S50" s="113">
        <f t="shared" si="22"/>
        <v>0</v>
      </c>
      <c r="T50" s="113">
        <f t="shared" si="22"/>
        <v>429926.30499999993</v>
      </c>
      <c r="U50" s="557">
        <f t="shared" si="22"/>
        <v>0</v>
      </c>
    </row>
    <row r="51" spans="1:21" s="552" customFormat="1" ht="15" hidden="1" customHeight="1">
      <c r="A51" s="621"/>
      <c r="B51" s="622" t="s">
        <v>501</v>
      </c>
      <c r="C51" s="558" t="str">
        <f ca="1">C50</f>
        <v xml:space="preserve"> </v>
      </c>
      <c r="D51" s="553"/>
      <c r="E51" s="694" t="str">
        <f>VLOOKUP($B51,dongia1,DG!$C$5,)</f>
        <v>Đắp đất hố móng, đất cấp 3 (độ chặt k = 0.85)</v>
      </c>
      <c r="F51" s="555" t="str">
        <f>VLOOKUP($B51,dongia1,DG!$D$5,)</f>
        <v>m3</v>
      </c>
      <c r="G51" s="205">
        <v>1.43</v>
      </c>
      <c r="H51" s="556">
        <f t="shared" ca="1" si="23"/>
        <v>0</v>
      </c>
      <c r="I51" s="556">
        <f t="shared" ca="1" si="23"/>
        <v>0</v>
      </c>
      <c r="J51" s="556">
        <f t="shared" ca="1" si="23"/>
        <v>0</v>
      </c>
      <c r="K51" s="556">
        <f t="shared" ca="1" si="23"/>
        <v>0</v>
      </c>
      <c r="L51" s="556">
        <f t="shared" ca="1" si="23"/>
        <v>0</v>
      </c>
      <c r="M51" s="556">
        <f t="shared" ca="1" si="23"/>
        <v>0</v>
      </c>
      <c r="N51" s="556">
        <f t="shared" ca="1" si="23"/>
        <v>0</v>
      </c>
      <c r="O51" s="556">
        <f t="shared" ca="1" si="23"/>
        <v>0</v>
      </c>
      <c r="P51" s="554"/>
      <c r="Q51" s="182">
        <f>VLOOKUP($B51,dongia1,DG!$G$5,)</f>
        <v>117703.6</v>
      </c>
      <c r="R51" s="554"/>
      <c r="S51" s="113">
        <f t="shared" si="22"/>
        <v>0</v>
      </c>
      <c r="T51" s="113">
        <f t="shared" si="22"/>
        <v>168316.14799999999</v>
      </c>
      <c r="U51" s="557">
        <f t="shared" si="22"/>
        <v>0</v>
      </c>
    </row>
    <row r="52" spans="1:21" s="552" customFormat="1" ht="15" hidden="1" customHeight="1">
      <c r="A52" s="621" t="s">
        <v>3714</v>
      </c>
      <c r="B52" s="622"/>
      <c r="C52" s="558" t="str">
        <f ca="1">IF(H52&lt;&gt;0,"x"," ")</f>
        <v xml:space="preserve"> </v>
      </c>
      <c r="D52" s="553"/>
      <c r="E52" s="727" t="s">
        <v>3485</v>
      </c>
      <c r="F52" s="600" t="s">
        <v>3391</v>
      </c>
      <c r="G52" s="205"/>
      <c r="H52" s="556">
        <f ca="1">SUM(I52:O52)</f>
        <v>0</v>
      </c>
      <c r="I52" s="556">
        <f ca="1">SUMIF(mong3pm,chitiet!$A52,slmong3pm)</f>
        <v>0</v>
      </c>
      <c r="J52" s="556">
        <f ca="1">SUMIF(mongct,chitiet!$A52,slmongct)</f>
        <v>0</v>
      </c>
      <c r="K52" s="556">
        <f ca="1">SUMIF(mong3p1m,chitiet!$A52,slmong3p1m)</f>
        <v>0</v>
      </c>
      <c r="L52" s="556">
        <f ca="1">SUMIF(mong1pm,chitiet!$A52,slmong1pm)</f>
        <v>0</v>
      </c>
      <c r="M52" s="556">
        <f ca="1">SUMIF(monghthh,chitiet!$A52,slmonghthh)</f>
        <v>0</v>
      </c>
      <c r="N52" s="556">
        <f ca="1">SUMIF(mongHTDL,chitiet!$A52,SLmongHTDL)</f>
        <v>0</v>
      </c>
      <c r="O52" s="556">
        <f ca="1">SUMIF(mongHTCS,chitiet!$A52,slmongHTCS)</f>
        <v>0</v>
      </c>
      <c r="P52" s="554"/>
      <c r="Q52" s="554"/>
      <c r="R52" s="554"/>
      <c r="S52" s="601">
        <f>SUM(S53:S61)</f>
        <v>609316</v>
      </c>
      <c r="T52" s="601">
        <f>SUM(T53:T61)</f>
        <v>341376.94646799995</v>
      </c>
      <c r="U52" s="602">
        <f>SUM(U53:U61)</f>
        <v>0</v>
      </c>
    </row>
    <row r="53" spans="1:21" s="552" customFormat="1" ht="15" hidden="1" customHeight="1">
      <c r="A53" s="621"/>
      <c r="B53" s="622" t="s">
        <v>1728</v>
      </c>
      <c r="C53" s="558" t="str">
        <f t="shared" ref="C53:C59" ca="1" si="24">C52</f>
        <v xml:space="preserve"> </v>
      </c>
      <c r="D53" s="553">
        <f>VLOOKUP($B53,dongia1,DG!$B$5,)</f>
        <v>0</v>
      </c>
      <c r="E53" s="694" t="str">
        <f>VLOOKUP($B53,dongia1,DG!$C$5,)</f>
        <v>Ximăng</v>
      </c>
      <c r="F53" s="555" t="str">
        <f>VLOOKUP($B53,dongia1,DG!$D$5,)</f>
        <v>kg</v>
      </c>
      <c r="G53" s="205">
        <v>116</v>
      </c>
      <c r="H53" s="556">
        <f ca="1">+H$52*$G53</f>
        <v>0</v>
      </c>
      <c r="I53" s="556">
        <f t="shared" ref="I53:O53" ca="1" si="25">+I$52*$G53</f>
        <v>0</v>
      </c>
      <c r="J53" s="556">
        <f t="shared" ca="1" si="25"/>
        <v>0</v>
      </c>
      <c r="K53" s="556">
        <f t="shared" ca="1" si="25"/>
        <v>0</v>
      </c>
      <c r="L53" s="556">
        <f t="shared" ca="1" si="25"/>
        <v>0</v>
      </c>
      <c r="M53" s="556">
        <f t="shared" ca="1" si="25"/>
        <v>0</v>
      </c>
      <c r="N53" s="556">
        <f t="shared" ca="1" si="25"/>
        <v>0</v>
      </c>
      <c r="O53" s="556">
        <f t="shared" ca="1" si="25"/>
        <v>0</v>
      </c>
      <c r="P53" s="182">
        <f>VLOOKUP($B53,dongia1,DG!$F$5,)</f>
        <v>1740</v>
      </c>
      <c r="Q53" s="182">
        <f>VLOOKUP($B53,dongia1,DG!$G$5,)</f>
        <v>0</v>
      </c>
      <c r="R53" s="182">
        <f>VLOOKUP($B53,dongia1,DG!$H$5,)</f>
        <v>0</v>
      </c>
      <c r="S53" s="113">
        <f t="shared" ref="S53:S61" si="26">$G53*P53</f>
        <v>201840</v>
      </c>
      <c r="T53" s="113">
        <f t="shared" ref="T53:T61" si="27">$G53*Q53</f>
        <v>0</v>
      </c>
      <c r="U53" s="557">
        <f t="shared" ref="U53:U61" si="28">$G53*R53</f>
        <v>0</v>
      </c>
    </row>
    <row r="54" spans="1:21" s="552" customFormat="1" ht="15" hidden="1" customHeight="1">
      <c r="A54" s="621"/>
      <c r="B54" s="622" t="s">
        <v>1729</v>
      </c>
      <c r="C54" s="558" t="str">
        <f t="shared" ca="1" si="24"/>
        <v xml:space="preserve"> </v>
      </c>
      <c r="D54" s="553">
        <f>VLOOKUP($B54,dongia1,DG!$B$5,)</f>
        <v>0</v>
      </c>
      <c r="E54" s="694" t="str">
        <f>VLOOKUP($B54,dongia1,DG!$C$5,)</f>
        <v>Cát vàng</v>
      </c>
      <c r="F54" s="555" t="str">
        <f>VLOOKUP($B54,dongia1,DG!$D$5,)</f>
        <v>m3</v>
      </c>
      <c r="G54" s="205">
        <v>0.186</v>
      </c>
      <c r="H54" s="556">
        <f t="shared" ref="H54:O61" ca="1" si="29">+H$52*$G54</f>
        <v>0</v>
      </c>
      <c r="I54" s="556">
        <f t="shared" ca="1" si="29"/>
        <v>0</v>
      </c>
      <c r="J54" s="556">
        <f t="shared" ca="1" si="29"/>
        <v>0</v>
      </c>
      <c r="K54" s="556">
        <f t="shared" ca="1" si="29"/>
        <v>0</v>
      </c>
      <c r="L54" s="556">
        <f t="shared" ca="1" si="29"/>
        <v>0</v>
      </c>
      <c r="M54" s="556">
        <f t="shared" ca="1" si="29"/>
        <v>0</v>
      </c>
      <c r="N54" s="556">
        <f t="shared" ca="1" si="29"/>
        <v>0</v>
      </c>
      <c r="O54" s="556">
        <f t="shared" ca="1" si="29"/>
        <v>0</v>
      </c>
      <c r="P54" s="182">
        <f>VLOOKUP($B54,dongia1,DG!$F$5,)</f>
        <v>512000</v>
      </c>
      <c r="Q54" s="182">
        <f>VLOOKUP($B54,dongia1,DG!$G$5,)</f>
        <v>0</v>
      </c>
      <c r="R54" s="182">
        <f>VLOOKUP($B54,dongia1,DG!$H$5,)</f>
        <v>0</v>
      </c>
      <c r="S54" s="113">
        <f t="shared" si="26"/>
        <v>95232</v>
      </c>
      <c r="T54" s="113">
        <f t="shared" si="27"/>
        <v>0</v>
      </c>
      <c r="U54" s="557">
        <f t="shared" si="28"/>
        <v>0</v>
      </c>
    </row>
    <row r="55" spans="1:21" s="552" customFormat="1" ht="15" hidden="1" customHeight="1">
      <c r="A55" s="621" t="s">
        <v>312</v>
      </c>
      <c r="B55" s="622" t="s">
        <v>853</v>
      </c>
      <c r="C55" s="558" t="str">
        <f t="shared" ca="1" si="24"/>
        <v xml:space="preserve"> </v>
      </c>
      <c r="D55" s="553">
        <f>VLOOKUP($B55,dongia1,DG!$B$5,)</f>
        <v>0</v>
      </c>
      <c r="E55" s="694" t="str">
        <f>VLOOKUP($B55,dongia1,DG!$C$5,)</f>
        <v>Đá 1x2</v>
      </c>
      <c r="F55" s="555" t="str">
        <f>VLOOKUP($B55,dongia1,DG!$D$5,)</f>
        <v>m3</v>
      </c>
      <c r="G55" s="205">
        <v>0.34399999999999997</v>
      </c>
      <c r="H55" s="556">
        <f t="shared" ca="1" si="29"/>
        <v>0</v>
      </c>
      <c r="I55" s="556">
        <f t="shared" ca="1" si="29"/>
        <v>0</v>
      </c>
      <c r="J55" s="556">
        <f t="shared" ca="1" si="29"/>
        <v>0</v>
      </c>
      <c r="K55" s="556">
        <f t="shared" ca="1" si="29"/>
        <v>0</v>
      </c>
      <c r="L55" s="556">
        <f t="shared" ca="1" si="29"/>
        <v>0</v>
      </c>
      <c r="M55" s="556">
        <f t="shared" ca="1" si="29"/>
        <v>0</v>
      </c>
      <c r="N55" s="556">
        <f t="shared" ca="1" si="29"/>
        <v>0</v>
      </c>
      <c r="O55" s="556">
        <f t="shared" ca="1" si="29"/>
        <v>0</v>
      </c>
      <c r="P55" s="182">
        <f>VLOOKUP($B55,dongia1,DG!$F$5,)</f>
        <v>335000</v>
      </c>
      <c r="Q55" s="182">
        <f>VLOOKUP($B55,dongia1,DG!$G$5,)</f>
        <v>0</v>
      </c>
      <c r="R55" s="182">
        <f>VLOOKUP($B55,dongia1,DG!$H$5,)</f>
        <v>0</v>
      </c>
      <c r="S55" s="113">
        <f t="shared" si="26"/>
        <v>115239.99999999999</v>
      </c>
      <c r="T55" s="113">
        <f t="shared" si="27"/>
        <v>0</v>
      </c>
      <c r="U55" s="557">
        <f t="shared" si="28"/>
        <v>0</v>
      </c>
    </row>
    <row r="56" spans="1:21" s="552" customFormat="1" ht="15" hidden="1" customHeight="1">
      <c r="A56" s="621" t="s">
        <v>312</v>
      </c>
      <c r="B56" s="622" t="s">
        <v>59</v>
      </c>
      <c r="C56" s="558" t="str">
        <f t="shared" ca="1" si="24"/>
        <v xml:space="preserve"> </v>
      </c>
      <c r="D56" s="553">
        <f>VLOOKUP($B56,dongia1,DG!$B$5,)</f>
        <v>0</v>
      </c>
      <c r="E56" s="694" t="str">
        <f>VLOOKUP($B56,dongia1,DG!$C$5,)</f>
        <v>Sắt   Þ8</v>
      </c>
      <c r="F56" s="555" t="str">
        <f>VLOOKUP($B56,dongia1,DG!$D$5,)</f>
        <v>kg</v>
      </c>
      <c r="G56" s="205">
        <v>14.67</v>
      </c>
      <c r="H56" s="556">
        <f t="shared" ca="1" si="29"/>
        <v>0</v>
      </c>
      <c r="I56" s="556">
        <f t="shared" ca="1" si="29"/>
        <v>0</v>
      </c>
      <c r="J56" s="556">
        <f t="shared" ca="1" si="29"/>
        <v>0</v>
      </c>
      <c r="K56" s="556">
        <f t="shared" ca="1" si="29"/>
        <v>0</v>
      </c>
      <c r="L56" s="556">
        <f t="shared" ca="1" si="29"/>
        <v>0</v>
      </c>
      <c r="M56" s="556">
        <f t="shared" ca="1" si="29"/>
        <v>0</v>
      </c>
      <c r="N56" s="556">
        <f t="shared" ca="1" si="29"/>
        <v>0</v>
      </c>
      <c r="O56" s="556">
        <f t="shared" ca="1" si="29"/>
        <v>0</v>
      </c>
      <c r="P56" s="182">
        <f>VLOOKUP($B56,dongia1,DG!$F$5,)</f>
        <v>13200</v>
      </c>
      <c r="Q56" s="182">
        <f>VLOOKUP($B56,dongia1,DG!$G$5,)</f>
        <v>0</v>
      </c>
      <c r="R56" s="182">
        <f>VLOOKUP($B56,dongia1,DG!$H$5,)</f>
        <v>0</v>
      </c>
      <c r="S56" s="113">
        <f t="shared" si="26"/>
        <v>193644</v>
      </c>
      <c r="T56" s="113">
        <f t="shared" si="27"/>
        <v>0</v>
      </c>
      <c r="U56" s="557">
        <f t="shared" si="28"/>
        <v>0</v>
      </c>
    </row>
    <row r="57" spans="1:21" s="552" customFormat="1" ht="15" hidden="1" customHeight="1">
      <c r="A57" s="621" t="s">
        <v>312</v>
      </c>
      <c r="B57" s="622" t="s">
        <v>60</v>
      </c>
      <c r="C57" s="558" t="str">
        <f t="shared" ca="1" si="24"/>
        <v xml:space="preserve"> </v>
      </c>
      <c r="D57" s="553">
        <f>VLOOKUP($B57,dongia1,DG!$B$5,)</f>
        <v>0</v>
      </c>
      <c r="E57" s="694" t="str">
        <f>VLOOKUP($B57,dongia1,DG!$C$5,)</f>
        <v>Kẽm</v>
      </c>
      <c r="F57" s="555" t="str">
        <f>VLOOKUP($B57,dongia1,DG!$D$5,)</f>
        <v>kg</v>
      </c>
      <c r="G57" s="205">
        <v>0.32</v>
      </c>
      <c r="H57" s="556">
        <f t="shared" ca="1" si="29"/>
        <v>0</v>
      </c>
      <c r="I57" s="556">
        <f t="shared" ca="1" si="29"/>
        <v>0</v>
      </c>
      <c r="J57" s="556">
        <f t="shared" ca="1" si="29"/>
        <v>0</v>
      </c>
      <c r="K57" s="556">
        <f t="shared" ca="1" si="29"/>
        <v>0</v>
      </c>
      <c r="L57" s="556">
        <f t="shared" ca="1" si="29"/>
        <v>0</v>
      </c>
      <c r="M57" s="556">
        <f t="shared" ca="1" si="29"/>
        <v>0</v>
      </c>
      <c r="N57" s="556">
        <f t="shared" ca="1" si="29"/>
        <v>0</v>
      </c>
      <c r="O57" s="556">
        <f t="shared" ca="1" si="29"/>
        <v>0</v>
      </c>
      <c r="P57" s="182">
        <f>VLOOKUP($B57,dongia1,DG!$F$5,)</f>
        <v>10500</v>
      </c>
      <c r="Q57" s="182">
        <f>VLOOKUP($B57,dongia1,DG!$G$5,)</f>
        <v>0</v>
      </c>
      <c r="R57" s="182">
        <f>VLOOKUP($B57,dongia1,DG!$H$5,)</f>
        <v>0</v>
      </c>
      <c r="S57" s="113">
        <f t="shared" si="26"/>
        <v>3360</v>
      </c>
      <c r="T57" s="113">
        <f t="shared" si="27"/>
        <v>0</v>
      </c>
      <c r="U57" s="557">
        <f t="shared" si="28"/>
        <v>0</v>
      </c>
    </row>
    <row r="58" spans="1:21" s="552" customFormat="1" ht="15" hidden="1" customHeight="1">
      <c r="A58" s="621"/>
      <c r="B58" s="622" t="s">
        <v>1645</v>
      </c>
      <c r="C58" s="558" t="str">
        <f t="shared" ca="1" si="24"/>
        <v xml:space="preserve"> </v>
      </c>
      <c r="D58" s="553"/>
      <c r="E58" s="694" t="str">
        <f>VLOOKUP($B58,dongia1,DG!$C$5,)</f>
        <v>Đào hố móng đất cấp 3 sâu &gt;1m DT&lt;5m2</v>
      </c>
      <c r="F58" s="555" t="str">
        <f>VLOOKUP($B58,dongia1,DG!$D$5,)</f>
        <v>m3</v>
      </c>
      <c r="G58" s="205">
        <v>0.46</v>
      </c>
      <c r="H58" s="556">
        <f t="shared" ca="1" si="29"/>
        <v>0</v>
      </c>
      <c r="I58" s="556">
        <f t="shared" ca="1" si="29"/>
        <v>0</v>
      </c>
      <c r="J58" s="556">
        <f t="shared" ca="1" si="29"/>
        <v>0</v>
      </c>
      <c r="K58" s="556">
        <f t="shared" ca="1" si="29"/>
        <v>0</v>
      </c>
      <c r="L58" s="556">
        <f t="shared" ca="1" si="29"/>
        <v>0</v>
      </c>
      <c r="M58" s="556">
        <f t="shared" ca="1" si="29"/>
        <v>0</v>
      </c>
      <c r="N58" s="556">
        <f t="shared" ca="1" si="29"/>
        <v>0</v>
      </c>
      <c r="O58" s="556">
        <f t="shared" ca="1" si="29"/>
        <v>0</v>
      </c>
      <c r="P58" s="182">
        <f>VLOOKUP($B58,dongia1,DG!$F$5,)</f>
        <v>0</v>
      </c>
      <c r="Q58" s="182">
        <f>VLOOKUP($B58,dongia1,DG!$G$5,)</f>
        <v>296500.89999999997</v>
      </c>
      <c r="R58" s="182">
        <f>VLOOKUP($B58,dongia1,DG!$H$5,)</f>
        <v>0</v>
      </c>
      <c r="S58" s="113">
        <f t="shared" si="26"/>
        <v>0</v>
      </c>
      <c r="T58" s="113">
        <f t="shared" si="27"/>
        <v>136390.41399999999</v>
      </c>
      <c r="U58" s="557">
        <f t="shared" si="28"/>
        <v>0</v>
      </c>
    </row>
    <row r="59" spans="1:21" s="552" customFormat="1" ht="15" hidden="1" customHeight="1">
      <c r="A59" s="621"/>
      <c r="B59" s="622" t="s">
        <v>501</v>
      </c>
      <c r="C59" s="558" t="str">
        <f t="shared" ca="1" si="24"/>
        <v xml:space="preserve"> </v>
      </c>
      <c r="D59" s="553"/>
      <c r="E59" s="694" t="str">
        <f>VLOOKUP($B59,dongia1,DG!$C$5,)</f>
        <v>Đắp đất hố móng, đất cấp 3 (độ chặt k = 0.85)</v>
      </c>
      <c r="F59" s="555" t="str">
        <f>VLOOKUP($B59,dongia1,DG!$D$5,)</f>
        <v>m3</v>
      </c>
      <c r="G59" s="205">
        <v>0</v>
      </c>
      <c r="H59" s="556">
        <f t="shared" ca="1" si="29"/>
        <v>0</v>
      </c>
      <c r="I59" s="556">
        <f t="shared" ca="1" si="29"/>
        <v>0</v>
      </c>
      <c r="J59" s="556">
        <f t="shared" ca="1" si="29"/>
        <v>0</v>
      </c>
      <c r="K59" s="556">
        <f t="shared" ca="1" si="29"/>
        <v>0</v>
      </c>
      <c r="L59" s="556">
        <f t="shared" ca="1" si="29"/>
        <v>0</v>
      </c>
      <c r="M59" s="556">
        <f t="shared" ca="1" si="29"/>
        <v>0</v>
      </c>
      <c r="N59" s="556">
        <f t="shared" ca="1" si="29"/>
        <v>0</v>
      </c>
      <c r="O59" s="556">
        <f t="shared" ca="1" si="29"/>
        <v>0</v>
      </c>
      <c r="P59" s="182">
        <f>VLOOKUP($B59,dongia1,DG!$F$5,)</f>
        <v>0</v>
      </c>
      <c r="Q59" s="182">
        <f>VLOOKUP($B59,dongia1,DG!$G$5,)</f>
        <v>117703.6</v>
      </c>
      <c r="R59" s="182">
        <f>VLOOKUP($B59,dongia1,DG!$H$5,)</f>
        <v>0</v>
      </c>
      <c r="S59" s="113">
        <f t="shared" si="26"/>
        <v>0</v>
      </c>
      <c r="T59" s="113">
        <f t="shared" si="27"/>
        <v>0</v>
      </c>
      <c r="U59" s="557">
        <f t="shared" si="28"/>
        <v>0</v>
      </c>
    </row>
    <row r="60" spans="1:21" s="552" customFormat="1" ht="15" hidden="1" customHeight="1">
      <c r="A60" s="621"/>
      <c r="B60" s="622" t="s">
        <v>1694</v>
      </c>
      <c r="C60" s="558" t="str">
        <f ca="1">C49</f>
        <v xml:space="preserve"> </v>
      </c>
      <c r="D60" s="553"/>
      <c r="E60" s="694" t="str">
        <f>VLOOKUP($B60,dongia1,DG!$C$5,)</f>
        <v>Gia công và lắp dựng cốt thép D&lt;=10</v>
      </c>
      <c r="F60" s="555" t="str">
        <f>VLOOKUP($B60,dongia1,DG!$D$5,)</f>
        <v>kg</v>
      </c>
      <c r="G60" s="205">
        <f>G56</f>
        <v>14.67</v>
      </c>
      <c r="H60" s="556">
        <f t="shared" ca="1" si="29"/>
        <v>0</v>
      </c>
      <c r="I60" s="556">
        <f t="shared" ca="1" si="29"/>
        <v>0</v>
      </c>
      <c r="J60" s="556">
        <f t="shared" ca="1" si="29"/>
        <v>0</v>
      </c>
      <c r="K60" s="556">
        <f t="shared" ca="1" si="29"/>
        <v>0</v>
      </c>
      <c r="L60" s="556">
        <f t="shared" ca="1" si="29"/>
        <v>0</v>
      </c>
      <c r="M60" s="556">
        <f t="shared" ca="1" si="29"/>
        <v>0</v>
      </c>
      <c r="N60" s="556">
        <f t="shared" ca="1" si="29"/>
        <v>0</v>
      </c>
      <c r="O60" s="556">
        <f t="shared" ca="1" si="29"/>
        <v>0</v>
      </c>
      <c r="P60" s="182"/>
      <c r="Q60" s="182">
        <f>VLOOKUP($B60,dongia1,DG!$G$5,)</f>
        <v>2965.3303999999998</v>
      </c>
      <c r="R60" s="182">
        <f>VLOOKUP($B60,dongia1,DG!$H$5,)</f>
        <v>0</v>
      </c>
      <c r="S60" s="113">
        <f t="shared" si="26"/>
        <v>0</v>
      </c>
      <c r="T60" s="113">
        <f t="shared" si="27"/>
        <v>43501.396967999994</v>
      </c>
      <c r="U60" s="557">
        <f t="shared" si="28"/>
        <v>0</v>
      </c>
    </row>
    <row r="61" spans="1:21" s="552" customFormat="1" ht="15" hidden="1" customHeight="1">
      <c r="A61" s="621"/>
      <c r="B61" s="622" t="s">
        <v>2065</v>
      </c>
      <c r="C61" s="558" t="str">
        <f ca="1">C49</f>
        <v xml:space="preserve"> </v>
      </c>
      <c r="D61" s="553"/>
      <c r="E61" s="694" t="str">
        <f>VLOOKUP($B61,dongia1,DG!$C$5,)</f>
        <v>Đổ bê tông mác M150 đá 2x4 rộng &gt;250cm</v>
      </c>
      <c r="F61" s="555" t="str">
        <f>VLOOKUP($B61,dongia1,DG!$D$5,)</f>
        <v>m3</v>
      </c>
      <c r="G61" s="205">
        <v>0.39</v>
      </c>
      <c r="H61" s="556">
        <f t="shared" ca="1" si="29"/>
        <v>0</v>
      </c>
      <c r="I61" s="556">
        <f t="shared" ca="1" si="29"/>
        <v>0</v>
      </c>
      <c r="J61" s="556">
        <f t="shared" ca="1" si="29"/>
        <v>0</v>
      </c>
      <c r="K61" s="556">
        <f t="shared" ca="1" si="29"/>
        <v>0</v>
      </c>
      <c r="L61" s="556">
        <f t="shared" ca="1" si="29"/>
        <v>0</v>
      </c>
      <c r="M61" s="556">
        <f t="shared" ca="1" si="29"/>
        <v>0</v>
      </c>
      <c r="N61" s="556">
        <f t="shared" ca="1" si="29"/>
        <v>0</v>
      </c>
      <c r="O61" s="556">
        <f t="shared" ca="1" si="29"/>
        <v>0</v>
      </c>
      <c r="P61" s="182"/>
      <c r="Q61" s="182">
        <f>VLOOKUP($B61,dongia1,DG!$G$5,)</f>
        <v>414064.45</v>
      </c>
      <c r="R61" s="182">
        <f>VLOOKUP($B61,dongia1,DG!$H$5,)</f>
        <v>0</v>
      </c>
      <c r="S61" s="113">
        <f t="shared" si="26"/>
        <v>0</v>
      </c>
      <c r="T61" s="113">
        <f t="shared" si="27"/>
        <v>161485.1355</v>
      </c>
      <c r="U61" s="557">
        <f t="shared" si="28"/>
        <v>0</v>
      </c>
    </row>
    <row r="62" spans="1:21" s="552" customFormat="1" ht="15" hidden="1" customHeight="1">
      <c r="A62" s="621" t="s">
        <v>3715</v>
      </c>
      <c r="B62" s="622"/>
      <c r="C62" s="558" t="str">
        <f ca="1">IF(H62&lt;&gt;0,"x"," ")</f>
        <v xml:space="preserve"> </v>
      </c>
      <c r="D62" s="553"/>
      <c r="E62" s="727" t="s">
        <v>3486</v>
      </c>
      <c r="F62" s="600" t="s">
        <v>3391</v>
      </c>
      <c r="G62" s="205"/>
      <c r="H62" s="556">
        <f ca="1">SUM(I62:O62)</f>
        <v>0</v>
      </c>
      <c r="I62" s="556">
        <f ca="1">SUMIF(mong3pm,chitiet!$A62,slmong3pm)</f>
        <v>0</v>
      </c>
      <c r="J62" s="556">
        <f ca="1">SUMIF(mongct,chitiet!$A62,slmongct)</f>
        <v>0</v>
      </c>
      <c r="K62" s="556">
        <f ca="1">SUMIF(mong3p1m,chitiet!$A62,slmong3p1m)</f>
        <v>0</v>
      </c>
      <c r="L62" s="556">
        <f ca="1">SUMIF(mong1pm,chitiet!$A62,slmong1pm)</f>
        <v>0</v>
      </c>
      <c r="M62" s="556">
        <f ca="1">SUMIF(monghthh,chitiet!$A62,slmonghthh)</f>
        <v>0</v>
      </c>
      <c r="N62" s="556">
        <f ca="1">SUMIF(mongHTDL,chitiet!$A62,SLmongHTDL)</f>
        <v>0</v>
      </c>
      <c r="O62" s="556">
        <f ca="1">SUMIF(mongHTCS,chitiet!$A62,slmongHTCS)</f>
        <v>0</v>
      </c>
      <c r="P62" s="554"/>
      <c r="Q62" s="554"/>
      <c r="R62" s="554"/>
      <c r="S62" s="601">
        <f>SUM(S63:S71)</f>
        <v>847320</v>
      </c>
      <c r="T62" s="601">
        <f>SUM(T63:T71)</f>
        <v>494592.68550000002</v>
      </c>
      <c r="U62" s="602">
        <f>SUM(U63:U71)</f>
        <v>0</v>
      </c>
    </row>
    <row r="63" spans="1:21" s="552" customFormat="1" ht="15" hidden="1" customHeight="1">
      <c r="A63" s="621"/>
      <c r="B63" s="622" t="s">
        <v>1728</v>
      </c>
      <c r="C63" s="558" t="str">
        <f ca="1">C62</f>
        <v xml:space="preserve"> </v>
      </c>
      <c r="D63" s="553">
        <f>VLOOKUP($B63,dongia1,DG!$B$5,)</f>
        <v>0</v>
      </c>
      <c r="E63" s="694" t="str">
        <f>VLOOKUP($B63,dongia1,DG!$C$5,)</f>
        <v>Ximăng</v>
      </c>
      <c r="F63" s="555" t="str">
        <f>VLOOKUP($B63,dongia1,DG!$D$5,)</f>
        <v>kg</v>
      </c>
      <c r="G63" s="205">
        <v>162</v>
      </c>
      <c r="H63" s="556">
        <f ca="1">+H$62*$G63</f>
        <v>0</v>
      </c>
      <c r="I63" s="556">
        <f t="shared" ref="I63:O63" ca="1" si="30">+I$62*$G63</f>
        <v>0</v>
      </c>
      <c r="J63" s="556">
        <f t="shared" ca="1" si="30"/>
        <v>0</v>
      </c>
      <c r="K63" s="556">
        <f t="shared" ca="1" si="30"/>
        <v>0</v>
      </c>
      <c r="L63" s="556">
        <f t="shared" ca="1" si="30"/>
        <v>0</v>
      </c>
      <c r="M63" s="556">
        <f t="shared" ca="1" si="30"/>
        <v>0</v>
      </c>
      <c r="N63" s="556">
        <f t="shared" ca="1" si="30"/>
        <v>0</v>
      </c>
      <c r="O63" s="556">
        <f t="shared" ca="1" si="30"/>
        <v>0</v>
      </c>
      <c r="P63" s="182">
        <f>VLOOKUP($B63,dongia1,DG!$F$5,)</f>
        <v>1740</v>
      </c>
      <c r="Q63" s="182">
        <f>VLOOKUP($B63,dongia1,DG!$G$5,)</f>
        <v>0</v>
      </c>
      <c r="R63" s="182">
        <f>VLOOKUP($B63,dongia1,DG!$H$5,)</f>
        <v>0</v>
      </c>
      <c r="S63" s="113">
        <f t="shared" ref="S63:S71" si="31">$G63*P63</f>
        <v>281880</v>
      </c>
      <c r="T63" s="113">
        <f t="shared" ref="T63:T71" si="32">$G63*Q63</f>
        <v>0</v>
      </c>
      <c r="U63" s="557">
        <f t="shared" ref="U63:U71" si="33">$G63*R63</f>
        <v>0</v>
      </c>
    </row>
    <row r="64" spans="1:21" s="552" customFormat="1" ht="15" hidden="1" customHeight="1">
      <c r="A64" s="621"/>
      <c r="B64" s="622" t="s">
        <v>1729</v>
      </c>
      <c r="C64" s="558" t="str">
        <f ca="1">C63</f>
        <v xml:space="preserve"> </v>
      </c>
      <c r="D64" s="553">
        <f>VLOOKUP($B64,dongia1,DG!$B$5,)</f>
        <v>0</v>
      </c>
      <c r="E64" s="694" t="str">
        <f>VLOOKUP($B64,dongia1,DG!$C$5,)</f>
        <v>Cát vàng</v>
      </c>
      <c r="F64" s="555" t="str">
        <f>VLOOKUP($B64,dongia1,DG!$D$5,)</f>
        <v>m3</v>
      </c>
      <c r="G64" s="205">
        <v>0.26</v>
      </c>
      <c r="H64" s="556">
        <f t="shared" ref="H64:O71" ca="1" si="34">+H$62*$G64</f>
        <v>0</v>
      </c>
      <c r="I64" s="556">
        <f t="shared" ca="1" si="34"/>
        <v>0</v>
      </c>
      <c r="J64" s="556">
        <f t="shared" ca="1" si="34"/>
        <v>0</v>
      </c>
      <c r="K64" s="556">
        <f t="shared" ca="1" si="34"/>
        <v>0</v>
      </c>
      <c r="L64" s="556">
        <f t="shared" ca="1" si="34"/>
        <v>0</v>
      </c>
      <c r="M64" s="556">
        <f t="shared" ca="1" si="34"/>
        <v>0</v>
      </c>
      <c r="N64" s="556">
        <f t="shared" ca="1" si="34"/>
        <v>0</v>
      </c>
      <c r="O64" s="556">
        <f t="shared" ca="1" si="34"/>
        <v>0</v>
      </c>
      <c r="P64" s="182">
        <f>VLOOKUP($B64,dongia1,DG!$F$5,)</f>
        <v>512000</v>
      </c>
      <c r="Q64" s="182">
        <f>VLOOKUP($B64,dongia1,DG!$G$5,)</f>
        <v>0</v>
      </c>
      <c r="R64" s="182">
        <f>VLOOKUP($B64,dongia1,DG!$H$5,)</f>
        <v>0</v>
      </c>
      <c r="S64" s="113">
        <f t="shared" si="31"/>
        <v>133120</v>
      </c>
      <c r="T64" s="113">
        <f t="shared" si="32"/>
        <v>0</v>
      </c>
      <c r="U64" s="557">
        <f t="shared" si="33"/>
        <v>0</v>
      </c>
    </row>
    <row r="65" spans="1:21" s="552" customFormat="1" ht="15" hidden="1" customHeight="1">
      <c r="A65" s="621" t="s">
        <v>312</v>
      </c>
      <c r="B65" s="622" t="s">
        <v>853</v>
      </c>
      <c r="C65" s="558" t="str">
        <f ca="1">C64</f>
        <v xml:space="preserve"> </v>
      </c>
      <c r="D65" s="553">
        <f>VLOOKUP($B65,dongia1,DG!$B$5,)</f>
        <v>0</v>
      </c>
      <c r="E65" s="694" t="str">
        <f>VLOOKUP($B65,dongia1,DG!$C$5,)</f>
        <v>Đá 1x2</v>
      </c>
      <c r="F65" s="555" t="str">
        <f>VLOOKUP($B65,dongia1,DG!$D$5,)</f>
        <v>m3</v>
      </c>
      <c r="G65" s="205">
        <v>0.48299999999999998</v>
      </c>
      <c r="H65" s="556">
        <f t="shared" ca="1" si="34"/>
        <v>0</v>
      </c>
      <c r="I65" s="556">
        <f t="shared" ca="1" si="34"/>
        <v>0</v>
      </c>
      <c r="J65" s="556">
        <f t="shared" ca="1" si="34"/>
        <v>0</v>
      </c>
      <c r="K65" s="556">
        <f t="shared" ca="1" si="34"/>
        <v>0</v>
      </c>
      <c r="L65" s="556">
        <f t="shared" ca="1" si="34"/>
        <v>0</v>
      </c>
      <c r="M65" s="556">
        <f t="shared" ca="1" si="34"/>
        <v>0</v>
      </c>
      <c r="N65" s="556">
        <f t="shared" ca="1" si="34"/>
        <v>0</v>
      </c>
      <c r="O65" s="556">
        <f t="shared" ca="1" si="34"/>
        <v>0</v>
      </c>
      <c r="P65" s="182">
        <f>VLOOKUP($B65,dongia1,DG!$F$5,)</f>
        <v>335000</v>
      </c>
      <c r="Q65" s="182">
        <f>VLOOKUP($B65,dongia1,DG!$G$5,)</f>
        <v>0</v>
      </c>
      <c r="R65" s="182">
        <f>VLOOKUP($B65,dongia1,DG!$H$5,)</f>
        <v>0</v>
      </c>
      <c r="S65" s="113">
        <f t="shared" si="31"/>
        <v>161805</v>
      </c>
      <c r="T65" s="113">
        <f t="shared" si="32"/>
        <v>0</v>
      </c>
      <c r="U65" s="557">
        <f t="shared" si="33"/>
        <v>0</v>
      </c>
    </row>
    <row r="66" spans="1:21" s="552" customFormat="1" ht="15" hidden="1" customHeight="1">
      <c r="A66" s="621" t="s">
        <v>312</v>
      </c>
      <c r="B66" s="622" t="s">
        <v>62</v>
      </c>
      <c r="C66" s="558" t="str">
        <f ca="1">C65</f>
        <v xml:space="preserve"> </v>
      </c>
      <c r="D66" s="553">
        <f>VLOOKUP($B66,dongia1,DG!$B$5,)</f>
        <v>0</v>
      </c>
      <c r="E66" s="694" t="str">
        <f>VLOOKUP($B66,dongia1,DG!$C$5,)</f>
        <v>Sắt   Þ10</v>
      </c>
      <c r="F66" s="555" t="str">
        <f>VLOOKUP($B66,dongia1,DG!$D$5,)</f>
        <v>kg</v>
      </c>
      <c r="G66" s="205">
        <v>20</v>
      </c>
      <c r="H66" s="556">
        <f t="shared" ca="1" si="34"/>
        <v>0</v>
      </c>
      <c r="I66" s="556">
        <f t="shared" ca="1" si="34"/>
        <v>0</v>
      </c>
      <c r="J66" s="556">
        <f t="shared" ca="1" si="34"/>
        <v>0</v>
      </c>
      <c r="K66" s="556">
        <f t="shared" ca="1" si="34"/>
        <v>0</v>
      </c>
      <c r="L66" s="556">
        <f t="shared" ca="1" si="34"/>
        <v>0</v>
      </c>
      <c r="M66" s="556">
        <f t="shared" ca="1" si="34"/>
        <v>0</v>
      </c>
      <c r="N66" s="556">
        <f t="shared" ca="1" si="34"/>
        <v>0</v>
      </c>
      <c r="O66" s="556">
        <f t="shared" ca="1" si="34"/>
        <v>0</v>
      </c>
      <c r="P66" s="182">
        <f>VLOOKUP($B66,dongia1,DG!$F$5,)</f>
        <v>13300</v>
      </c>
      <c r="Q66" s="182">
        <f>VLOOKUP($B66,dongia1,DG!$G$5,)</f>
        <v>0</v>
      </c>
      <c r="R66" s="182">
        <f>VLOOKUP($B66,dongia1,DG!$H$5,)</f>
        <v>0</v>
      </c>
      <c r="S66" s="113">
        <f t="shared" si="31"/>
        <v>266000</v>
      </c>
      <c r="T66" s="113">
        <f t="shared" si="32"/>
        <v>0</v>
      </c>
      <c r="U66" s="557">
        <f t="shared" si="33"/>
        <v>0</v>
      </c>
    </row>
    <row r="67" spans="1:21" s="552" customFormat="1" ht="15" hidden="1" customHeight="1">
      <c r="A67" s="621" t="s">
        <v>312</v>
      </c>
      <c r="B67" s="622" t="s">
        <v>60</v>
      </c>
      <c r="C67" s="558" t="str">
        <f ca="1">C66</f>
        <v xml:space="preserve"> </v>
      </c>
      <c r="D67" s="553">
        <f>VLOOKUP($B67,dongia1,DG!$B$5,)</f>
        <v>0</v>
      </c>
      <c r="E67" s="694" t="str">
        <f>VLOOKUP($B67,dongia1,DG!$C$5,)</f>
        <v>Kẽm</v>
      </c>
      <c r="F67" s="555" t="str">
        <f>VLOOKUP($B67,dongia1,DG!$D$5,)</f>
        <v>kg</v>
      </c>
      <c r="G67" s="205">
        <v>0.43</v>
      </c>
      <c r="H67" s="556">
        <f t="shared" ca="1" si="34"/>
        <v>0</v>
      </c>
      <c r="I67" s="556">
        <f t="shared" ca="1" si="34"/>
        <v>0</v>
      </c>
      <c r="J67" s="556">
        <f t="shared" ca="1" si="34"/>
        <v>0</v>
      </c>
      <c r="K67" s="556">
        <f t="shared" ca="1" si="34"/>
        <v>0</v>
      </c>
      <c r="L67" s="556">
        <f t="shared" ca="1" si="34"/>
        <v>0</v>
      </c>
      <c r="M67" s="556">
        <f t="shared" ca="1" si="34"/>
        <v>0</v>
      </c>
      <c r="N67" s="556">
        <f t="shared" ca="1" si="34"/>
        <v>0</v>
      </c>
      <c r="O67" s="556">
        <f t="shared" ca="1" si="34"/>
        <v>0</v>
      </c>
      <c r="P67" s="182">
        <f>VLOOKUP($B67,dongia1,DG!$F$5,)</f>
        <v>10500</v>
      </c>
      <c r="Q67" s="182">
        <f>VLOOKUP($B67,dongia1,DG!$G$5,)</f>
        <v>0</v>
      </c>
      <c r="R67" s="182">
        <f>VLOOKUP($B67,dongia1,DG!$H$5,)</f>
        <v>0</v>
      </c>
      <c r="S67" s="113">
        <f t="shared" si="31"/>
        <v>4515</v>
      </c>
      <c r="T67" s="113">
        <f t="shared" si="32"/>
        <v>0</v>
      </c>
      <c r="U67" s="557">
        <f t="shared" si="33"/>
        <v>0</v>
      </c>
    </row>
    <row r="68" spans="1:21" s="552" customFormat="1" ht="15" hidden="1" customHeight="1">
      <c r="A68" s="621"/>
      <c r="B68" s="622" t="s">
        <v>1645</v>
      </c>
      <c r="C68" s="558" t="str">
        <f ca="1">C65</f>
        <v xml:space="preserve"> </v>
      </c>
      <c r="D68" s="553"/>
      <c r="E68" s="694" t="str">
        <f>VLOOKUP($B68,dongia1,DG!$C$5,)</f>
        <v>Đào hố móng đất cấp 3 sâu &gt;1m DT&lt;5m2</v>
      </c>
      <c r="F68" s="555" t="str">
        <f>VLOOKUP($B68,dongia1,DG!$D$5,)</f>
        <v>m3</v>
      </c>
      <c r="G68" s="205">
        <v>0.7</v>
      </c>
      <c r="H68" s="556">
        <f t="shared" ca="1" si="34"/>
        <v>0</v>
      </c>
      <c r="I68" s="556">
        <f t="shared" ca="1" si="34"/>
        <v>0</v>
      </c>
      <c r="J68" s="556">
        <f t="shared" ca="1" si="34"/>
        <v>0</v>
      </c>
      <c r="K68" s="556">
        <f t="shared" ca="1" si="34"/>
        <v>0</v>
      </c>
      <c r="L68" s="556">
        <f t="shared" ca="1" si="34"/>
        <v>0</v>
      </c>
      <c r="M68" s="556">
        <f t="shared" ca="1" si="34"/>
        <v>0</v>
      </c>
      <c r="N68" s="556">
        <f t="shared" ca="1" si="34"/>
        <v>0</v>
      </c>
      <c r="O68" s="556">
        <f t="shared" ca="1" si="34"/>
        <v>0</v>
      </c>
      <c r="P68" s="182">
        <f>VLOOKUP($B68,dongia1,DG!$F$5,)</f>
        <v>0</v>
      </c>
      <c r="Q68" s="182">
        <f>VLOOKUP($B68,dongia1,DG!$G$5,)</f>
        <v>296500.89999999997</v>
      </c>
      <c r="R68" s="182">
        <f>VLOOKUP($B68,dongia1,DG!$H$5,)</f>
        <v>0</v>
      </c>
      <c r="S68" s="113">
        <f t="shared" si="31"/>
        <v>0</v>
      </c>
      <c r="T68" s="113">
        <f t="shared" si="32"/>
        <v>207550.62999999998</v>
      </c>
      <c r="U68" s="557">
        <f t="shared" si="33"/>
        <v>0</v>
      </c>
    </row>
    <row r="69" spans="1:21" s="552" customFormat="1" ht="15" hidden="1" customHeight="1">
      <c r="A69" s="621"/>
      <c r="B69" s="622" t="s">
        <v>501</v>
      </c>
      <c r="C69" s="558" t="str">
        <f ca="1">C68</f>
        <v xml:space="preserve"> </v>
      </c>
      <c r="D69" s="553"/>
      <c r="E69" s="694" t="str">
        <f>VLOOKUP($B69,dongia1,DG!$C$5,)</f>
        <v>Đắp đất hố móng, đất cấp 3 (độ chặt k = 0.85)</v>
      </c>
      <c r="F69" s="555" t="str">
        <f>VLOOKUP($B69,dongia1,DG!$D$5,)</f>
        <v>m3</v>
      </c>
      <c r="G69" s="205">
        <v>0</v>
      </c>
      <c r="H69" s="556">
        <f t="shared" ca="1" si="34"/>
        <v>0</v>
      </c>
      <c r="I69" s="556">
        <f t="shared" ca="1" si="34"/>
        <v>0</v>
      </c>
      <c r="J69" s="556">
        <f t="shared" ca="1" si="34"/>
        <v>0</v>
      </c>
      <c r="K69" s="556">
        <f t="shared" ca="1" si="34"/>
        <v>0</v>
      </c>
      <c r="L69" s="556">
        <f t="shared" ca="1" si="34"/>
        <v>0</v>
      </c>
      <c r="M69" s="556">
        <f t="shared" ca="1" si="34"/>
        <v>0</v>
      </c>
      <c r="N69" s="556">
        <f t="shared" ca="1" si="34"/>
        <v>0</v>
      </c>
      <c r="O69" s="556">
        <f t="shared" ca="1" si="34"/>
        <v>0</v>
      </c>
      <c r="P69" s="182">
        <f>VLOOKUP($B69,dongia1,DG!$F$5,)</f>
        <v>0</v>
      </c>
      <c r="Q69" s="182">
        <f>VLOOKUP($B69,dongia1,DG!$G$5,)</f>
        <v>117703.6</v>
      </c>
      <c r="R69" s="182">
        <f>VLOOKUP($B69,dongia1,DG!$H$5,)</f>
        <v>0</v>
      </c>
      <c r="S69" s="113">
        <f t="shared" si="31"/>
        <v>0</v>
      </c>
      <c r="T69" s="113">
        <f t="shared" si="32"/>
        <v>0</v>
      </c>
      <c r="U69" s="557">
        <f t="shared" si="33"/>
        <v>0</v>
      </c>
    </row>
    <row r="70" spans="1:21" s="552" customFormat="1" ht="15" hidden="1" customHeight="1">
      <c r="A70" s="621"/>
      <c r="B70" s="622" t="s">
        <v>1694</v>
      </c>
      <c r="C70" s="558"/>
      <c r="D70" s="553"/>
      <c r="E70" s="694" t="str">
        <f>VLOOKUP($B70,dongia1,DG!$C$5,)</f>
        <v>Gia công và lắp dựng cốt thép D&lt;=10</v>
      </c>
      <c r="F70" s="555" t="str">
        <f>VLOOKUP($B70,dongia1,DG!$D$5,)</f>
        <v>kg</v>
      </c>
      <c r="G70" s="205">
        <f>G66</f>
        <v>20</v>
      </c>
      <c r="H70" s="556">
        <f t="shared" ca="1" si="34"/>
        <v>0</v>
      </c>
      <c r="I70" s="556">
        <f t="shared" ca="1" si="34"/>
        <v>0</v>
      </c>
      <c r="J70" s="556">
        <f t="shared" ca="1" si="34"/>
        <v>0</v>
      </c>
      <c r="K70" s="556">
        <f t="shared" ca="1" si="34"/>
        <v>0</v>
      </c>
      <c r="L70" s="556">
        <f t="shared" ca="1" si="34"/>
        <v>0</v>
      </c>
      <c r="M70" s="556">
        <f t="shared" ca="1" si="34"/>
        <v>0</v>
      </c>
      <c r="N70" s="556">
        <f t="shared" ca="1" si="34"/>
        <v>0</v>
      </c>
      <c r="O70" s="556">
        <f t="shared" ca="1" si="34"/>
        <v>0</v>
      </c>
      <c r="P70" s="182"/>
      <c r="Q70" s="182">
        <f>VLOOKUP($B70,dongia1,DG!$G$5,)</f>
        <v>2965.3303999999998</v>
      </c>
      <c r="R70" s="182">
        <f>VLOOKUP($B70,dongia1,DG!$H$5,)</f>
        <v>0</v>
      </c>
      <c r="S70" s="113">
        <f t="shared" si="31"/>
        <v>0</v>
      </c>
      <c r="T70" s="113">
        <f t="shared" si="32"/>
        <v>59306.607999999993</v>
      </c>
      <c r="U70" s="557">
        <f t="shared" si="33"/>
        <v>0</v>
      </c>
    </row>
    <row r="71" spans="1:21" s="552" customFormat="1" ht="15" hidden="1" customHeight="1">
      <c r="A71" s="621"/>
      <c r="B71" s="622" t="s">
        <v>2065</v>
      </c>
      <c r="C71" s="558" t="str">
        <f ca="1">C59</f>
        <v xml:space="preserve"> </v>
      </c>
      <c r="D71" s="553"/>
      <c r="E71" s="694" t="str">
        <f>VLOOKUP($B71,dongia1,DG!$C$5,)</f>
        <v>Đổ bê tông mác M150 đá 2x4 rộng &gt;250cm</v>
      </c>
      <c r="F71" s="555" t="str">
        <f>VLOOKUP($B71,dongia1,DG!$D$5,)</f>
        <v>m3</v>
      </c>
      <c r="G71" s="205">
        <v>0.55000000000000004</v>
      </c>
      <c r="H71" s="556">
        <f t="shared" ca="1" si="34"/>
        <v>0</v>
      </c>
      <c r="I71" s="556">
        <f t="shared" ca="1" si="34"/>
        <v>0</v>
      </c>
      <c r="J71" s="556">
        <f t="shared" ca="1" si="34"/>
        <v>0</v>
      </c>
      <c r="K71" s="556">
        <f t="shared" ca="1" si="34"/>
        <v>0</v>
      </c>
      <c r="L71" s="556">
        <f t="shared" ca="1" si="34"/>
        <v>0</v>
      </c>
      <c r="M71" s="556">
        <f t="shared" ca="1" si="34"/>
        <v>0</v>
      </c>
      <c r="N71" s="556">
        <f t="shared" ca="1" si="34"/>
        <v>0</v>
      </c>
      <c r="O71" s="556">
        <f t="shared" ca="1" si="34"/>
        <v>0</v>
      </c>
      <c r="P71" s="182"/>
      <c r="Q71" s="182">
        <f>VLOOKUP($B71,dongia1,DG!$G$5,)</f>
        <v>414064.45</v>
      </c>
      <c r="R71" s="182">
        <f>VLOOKUP($B71,dongia1,DG!$H$5,)</f>
        <v>0</v>
      </c>
      <c r="S71" s="113">
        <f t="shared" si="31"/>
        <v>0</v>
      </c>
      <c r="T71" s="113">
        <f t="shared" si="32"/>
        <v>227735.44750000004</v>
      </c>
      <c r="U71" s="557">
        <f t="shared" si="33"/>
        <v>0</v>
      </c>
    </row>
    <row r="72" spans="1:21" s="610" customFormat="1" ht="14.25" hidden="1" customHeight="1">
      <c r="A72" s="635" t="s">
        <v>220</v>
      </c>
      <c r="B72" s="636"/>
      <c r="C72" s="637" t="str">
        <f ca="1">IF(H72&lt;&gt;0,"x"," ")</f>
        <v xml:space="preserve"> </v>
      </c>
      <c r="D72" s="599"/>
      <c r="E72" s="727" t="s">
        <v>3487</v>
      </c>
      <c r="F72" s="600" t="s">
        <v>3391</v>
      </c>
      <c r="G72" s="604"/>
      <c r="H72" s="605">
        <f ca="1">SUM(I72:O72)</f>
        <v>0</v>
      </c>
      <c r="I72" s="605">
        <f ca="1">SUMIF(mong3pm,chitiet!$A72,slmong3pm)</f>
        <v>0</v>
      </c>
      <c r="J72" s="605">
        <f ca="1">SUMIF(mongct,chitiet!$A72,slmongct)</f>
        <v>0</v>
      </c>
      <c r="K72" s="605">
        <f ca="1">SUMIF(mong3p1m,chitiet!$A72,slmong3p1m)</f>
        <v>0</v>
      </c>
      <c r="L72" s="605">
        <f ca="1">SUMIF(mong1pm,chitiet!$A72,slmong1pm)</f>
        <v>0</v>
      </c>
      <c r="M72" s="605">
        <f ca="1">SUMIF(monghthh,chitiet!$A72,slmonghthh)</f>
        <v>0</v>
      </c>
      <c r="N72" s="605">
        <f ca="1">SUMIF(mongHTDL,chitiet!$A72,SLmongHTDL)</f>
        <v>0</v>
      </c>
      <c r="O72" s="605">
        <f ca="1">SUMIF(mongHTCS,chitiet!$A72,slmongHTCS)</f>
        <v>0</v>
      </c>
      <c r="P72" s="606"/>
      <c r="Q72" s="606"/>
      <c r="R72" s="606"/>
      <c r="S72" s="601">
        <f>SUM(S73:S74)</f>
        <v>0</v>
      </c>
      <c r="T72" s="601">
        <f>SUM(T73:T74)</f>
        <v>55917.607500000006</v>
      </c>
      <c r="U72" s="602">
        <f>SUM(U73:U74)</f>
        <v>0</v>
      </c>
    </row>
    <row r="73" spans="1:21" s="552" customFormat="1" ht="15" hidden="1" customHeight="1">
      <c r="A73" s="621"/>
      <c r="B73" s="622" t="s">
        <v>1645</v>
      </c>
      <c r="C73" s="558" t="str">
        <f ca="1">+C72</f>
        <v xml:space="preserve"> </v>
      </c>
      <c r="D73" s="553"/>
      <c r="E73" s="694" t="str">
        <f>VLOOKUP($B73,dongia1,DG!$C$5,)</f>
        <v>Đào hố móng đất cấp 3 sâu &gt;1m DT&lt;5m2</v>
      </c>
      <c r="F73" s="555" t="str">
        <f>VLOOKUP($B73,dongia1,DG!$D$5,)</f>
        <v>m3</v>
      </c>
      <c r="G73" s="205">
        <v>0.13500000000000001</v>
      </c>
      <c r="H73" s="556">
        <f ca="1">+H$72*$G73</f>
        <v>0</v>
      </c>
      <c r="I73" s="556">
        <f t="shared" ref="I73:O74" ca="1" si="35">+I$72*$G73</f>
        <v>0</v>
      </c>
      <c r="J73" s="556">
        <f t="shared" ca="1" si="35"/>
        <v>0</v>
      </c>
      <c r="K73" s="556">
        <f t="shared" ca="1" si="35"/>
        <v>0</v>
      </c>
      <c r="L73" s="556">
        <f t="shared" ca="1" si="35"/>
        <v>0</v>
      </c>
      <c r="M73" s="556">
        <f t="shared" ca="1" si="35"/>
        <v>0</v>
      </c>
      <c r="N73" s="556">
        <f t="shared" ca="1" si="35"/>
        <v>0</v>
      </c>
      <c r="O73" s="556">
        <f t="shared" ca="1" si="35"/>
        <v>0</v>
      </c>
      <c r="P73" s="554"/>
      <c r="Q73" s="182">
        <f>VLOOKUP($B73,dongia1,DG!$G$5,)</f>
        <v>296500.89999999997</v>
      </c>
      <c r="R73" s="554"/>
      <c r="S73" s="113">
        <f t="shared" ref="S73:U74" si="36">$G73*P73</f>
        <v>0</v>
      </c>
      <c r="T73" s="113">
        <f t="shared" si="36"/>
        <v>40027.621500000001</v>
      </c>
      <c r="U73" s="557">
        <f t="shared" si="36"/>
        <v>0</v>
      </c>
    </row>
    <row r="74" spans="1:21" s="552" customFormat="1" ht="15" hidden="1" customHeight="1">
      <c r="A74" s="621"/>
      <c r="B74" s="622" t="s">
        <v>501</v>
      </c>
      <c r="C74" s="558" t="str">
        <f ca="1">C73</f>
        <v xml:space="preserve"> </v>
      </c>
      <c r="D74" s="553"/>
      <c r="E74" s="694" t="str">
        <f>VLOOKUP($B74,dongia1,DG!$C$5,)</f>
        <v>Đắp đất hố móng, đất cấp 3 (độ chặt k = 0.85)</v>
      </c>
      <c r="F74" s="555" t="str">
        <f>VLOOKUP($B74,dongia1,DG!$D$5,)</f>
        <v>m3</v>
      </c>
      <c r="G74" s="205">
        <f>G73</f>
        <v>0.13500000000000001</v>
      </c>
      <c r="H74" s="556">
        <f ca="1">+H$72*$G74</f>
        <v>0</v>
      </c>
      <c r="I74" s="556">
        <f t="shared" ca="1" si="35"/>
        <v>0</v>
      </c>
      <c r="J74" s="556">
        <f t="shared" ca="1" si="35"/>
        <v>0</v>
      </c>
      <c r="K74" s="556">
        <f t="shared" ca="1" si="35"/>
        <v>0</v>
      </c>
      <c r="L74" s="556">
        <f t="shared" ca="1" si="35"/>
        <v>0</v>
      </c>
      <c r="M74" s="556">
        <f t="shared" ca="1" si="35"/>
        <v>0</v>
      </c>
      <c r="N74" s="556">
        <f t="shared" ca="1" si="35"/>
        <v>0</v>
      </c>
      <c r="O74" s="556">
        <f t="shared" ca="1" si="35"/>
        <v>0</v>
      </c>
      <c r="P74" s="554"/>
      <c r="Q74" s="182">
        <f>VLOOKUP($B74,dongia1,DG!$G$5,)</f>
        <v>117703.6</v>
      </c>
      <c r="R74" s="554"/>
      <c r="S74" s="113">
        <f t="shared" si="36"/>
        <v>0</v>
      </c>
      <c r="T74" s="113">
        <f t="shared" si="36"/>
        <v>15889.986000000003</v>
      </c>
      <c r="U74" s="718">
        <f t="shared" si="36"/>
        <v>0</v>
      </c>
    </row>
    <row r="75" spans="1:21" s="552" customFormat="1" ht="15" hidden="1" customHeight="1">
      <c r="A75" s="621" t="s">
        <v>2173</v>
      </c>
      <c r="B75" s="622"/>
      <c r="C75" s="558" t="str">
        <f ca="1">IF(H75&lt;&gt;0,"x"," ")</f>
        <v xml:space="preserve"> </v>
      </c>
      <c r="D75" s="553"/>
      <c r="E75" s="727" t="s">
        <v>3488</v>
      </c>
      <c r="F75" s="600" t="s">
        <v>3391</v>
      </c>
      <c r="G75" s="205"/>
      <c r="H75" s="556">
        <f ca="1">SUM(I75:O75)</f>
        <v>0</v>
      </c>
      <c r="I75" s="556">
        <f ca="1">SUMIF(mong3pm,chitiet!$A75,slmong3pm)</f>
        <v>0</v>
      </c>
      <c r="J75" s="556">
        <f ca="1">SUMIF(mongct,chitiet!$A75,slmongct)</f>
        <v>0</v>
      </c>
      <c r="K75" s="556">
        <f ca="1">SUMIF(mong3p1m,chitiet!$A75,slmong3p1m)</f>
        <v>0</v>
      </c>
      <c r="L75" s="556">
        <f ca="1">SUMIF(mong1pm,chitiet!$A75,slmong1pm)</f>
        <v>0</v>
      </c>
      <c r="M75" s="556">
        <f ca="1">SUMIF(monghthh,chitiet!$A75,slmonghthh)</f>
        <v>0</v>
      </c>
      <c r="N75" s="556">
        <f ca="1">SUMIF(mongHTDL,chitiet!$A75,SLmongHTDL)</f>
        <v>0</v>
      </c>
      <c r="O75" s="556">
        <f ca="1">SUMIF(mongHTCS,chitiet!$A75,slmongHTCS)</f>
        <v>0</v>
      </c>
      <c r="P75" s="554"/>
      <c r="Q75" s="554"/>
      <c r="R75" s="554"/>
      <c r="S75" s="601">
        <f>SUM(S76:S77)</f>
        <v>0</v>
      </c>
      <c r="T75" s="601">
        <f>SUM(T76:T77)</f>
        <v>192190.88799999998</v>
      </c>
      <c r="U75" s="714">
        <f>SUM(U76:U77)</f>
        <v>0</v>
      </c>
    </row>
    <row r="76" spans="1:21" s="552" customFormat="1" ht="15" hidden="1" customHeight="1">
      <c r="A76" s="621"/>
      <c r="B76" s="622" t="s">
        <v>1645</v>
      </c>
      <c r="C76" s="558" t="str">
        <f ca="1">+C75</f>
        <v xml:space="preserve"> </v>
      </c>
      <c r="D76" s="553"/>
      <c r="E76" s="694" t="str">
        <f>VLOOKUP($B76,dongia1,DG!$C$5,)</f>
        <v>Đào hố móng đất cấp 3 sâu &gt;1m DT&lt;5m2</v>
      </c>
      <c r="F76" s="555" t="str">
        <f>VLOOKUP($B76,dongia1,DG!$D$5,)</f>
        <v>m3</v>
      </c>
      <c r="G76" s="205">
        <v>0.46400000000000002</v>
      </c>
      <c r="H76" s="556">
        <f ca="1">+H$75*$G76</f>
        <v>0</v>
      </c>
      <c r="I76" s="556">
        <f t="shared" ref="I76:O77" ca="1" si="37">+I$75*$G76</f>
        <v>0</v>
      </c>
      <c r="J76" s="556">
        <f t="shared" ca="1" si="37"/>
        <v>0</v>
      </c>
      <c r="K76" s="556">
        <f t="shared" ca="1" si="37"/>
        <v>0</v>
      </c>
      <c r="L76" s="556">
        <f t="shared" ca="1" si="37"/>
        <v>0</v>
      </c>
      <c r="M76" s="556">
        <f t="shared" ca="1" si="37"/>
        <v>0</v>
      </c>
      <c r="N76" s="556">
        <f t="shared" ca="1" si="37"/>
        <v>0</v>
      </c>
      <c r="O76" s="556">
        <f t="shared" ca="1" si="37"/>
        <v>0</v>
      </c>
      <c r="P76" s="554"/>
      <c r="Q76" s="182">
        <f>VLOOKUP($B76,dongia1,DG!$G$5,)</f>
        <v>296500.89999999997</v>
      </c>
      <c r="R76" s="554"/>
      <c r="S76" s="113">
        <f t="shared" ref="S76:U77" si="38">$G76*P76</f>
        <v>0</v>
      </c>
      <c r="T76" s="113">
        <f t="shared" si="38"/>
        <v>137576.41759999999</v>
      </c>
      <c r="U76" s="557">
        <f t="shared" si="38"/>
        <v>0</v>
      </c>
    </row>
    <row r="77" spans="1:21" s="552" customFormat="1" ht="15" hidden="1" customHeight="1">
      <c r="A77" s="621"/>
      <c r="B77" s="622" t="s">
        <v>501</v>
      </c>
      <c r="C77" s="558" t="str">
        <f ca="1">C76</f>
        <v xml:space="preserve"> </v>
      </c>
      <c r="D77" s="553"/>
      <c r="E77" s="694" t="str">
        <f>VLOOKUP($B77,dongia1,DG!$C$5,)</f>
        <v>Đắp đất hố móng, đất cấp 3 (độ chặt k = 0.85)</v>
      </c>
      <c r="F77" s="555" t="str">
        <f>VLOOKUP($B77,dongia1,DG!$D$5,)</f>
        <v>m3</v>
      </c>
      <c r="G77" s="205">
        <v>0.46400000000000002</v>
      </c>
      <c r="H77" s="556">
        <f ca="1">+H$75*$G77</f>
        <v>0</v>
      </c>
      <c r="I77" s="556">
        <f t="shared" ca="1" si="37"/>
        <v>0</v>
      </c>
      <c r="J77" s="556">
        <f t="shared" ca="1" si="37"/>
        <v>0</v>
      </c>
      <c r="K77" s="556">
        <f t="shared" ca="1" si="37"/>
        <v>0</v>
      </c>
      <c r="L77" s="556">
        <f t="shared" ca="1" si="37"/>
        <v>0</v>
      </c>
      <c r="M77" s="556">
        <f t="shared" ca="1" si="37"/>
        <v>0</v>
      </c>
      <c r="N77" s="556">
        <f t="shared" ca="1" si="37"/>
        <v>0</v>
      </c>
      <c r="O77" s="556">
        <f t="shared" ca="1" si="37"/>
        <v>0</v>
      </c>
      <c r="P77" s="554"/>
      <c r="Q77" s="182">
        <f>VLOOKUP($B77,dongia1,DG!$G$5,)</f>
        <v>117703.6</v>
      </c>
      <c r="R77" s="554"/>
      <c r="S77" s="113">
        <f t="shared" si="38"/>
        <v>0</v>
      </c>
      <c r="T77" s="113">
        <f t="shared" si="38"/>
        <v>54614.470400000006</v>
      </c>
      <c r="U77" s="557">
        <f t="shared" si="38"/>
        <v>0</v>
      </c>
    </row>
    <row r="78" spans="1:21" s="552" customFormat="1" ht="15" hidden="1" customHeight="1">
      <c r="A78" s="621" t="s">
        <v>515</v>
      </c>
      <c r="B78" s="622"/>
      <c r="C78" s="558"/>
      <c r="D78" s="553"/>
      <c r="E78" s="727" t="s">
        <v>3395</v>
      </c>
      <c r="F78" s="600" t="s">
        <v>3391</v>
      </c>
      <c r="G78" s="205"/>
      <c r="H78" s="556">
        <f ca="1">SUM(I78:O78)</f>
        <v>0</v>
      </c>
      <c r="I78" s="556">
        <f ca="1">SUMIF(mong3pm,chitiet!$A78,slmong3pm)</f>
        <v>0</v>
      </c>
      <c r="J78" s="556">
        <f ca="1">SUMIF(mongct,chitiet!$A78,slmongct)</f>
        <v>0</v>
      </c>
      <c r="K78" s="556">
        <f ca="1">SUMIF(mong3p1m,chitiet!$A78,slmong3p1m)</f>
        <v>0</v>
      </c>
      <c r="L78" s="556">
        <f ca="1">SUMIF(mong1pm,chitiet!$A78,slmong1pm)</f>
        <v>0</v>
      </c>
      <c r="M78" s="556">
        <f ca="1">SUMIF(monghthh,chitiet!$A78,slmonghthh)</f>
        <v>0</v>
      </c>
      <c r="N78" s="556">
        <f ca="1">SUMIF(mongHTDL,chitiet!$A78,SLmongHTDL)</f>
        <v>0</v>
      </c>
      <c r="O78" s="556">
        <f ca="1">SUMIF(mongHTCS,chitiet!$A78,slmongHTCS)</f>
        <v>0</v>
      </c>
      <c r="P78" s="554"/>
      <c r="Q78" s="554"/>
      <c r="R78" s="554"/>
      <c r="S78" s="601">
        <f>SUM(S79:S82)</f>
        <v>436945</v>
      </c>
      <c r="T78" s="601">
        <f>SUM(T79:T82)</f>
        <v>339589.53499999997</v>
      </c>
      <c r="U78" s="602">
        <f>SUM(U79:U82)</f>
        <v>0</v>
      </c>
    </row>
    <row r="79" spans="1:21" s="552" customFormat="1" ht="15" hidden="1" customHeight="1">
      <c r="A79" s="621"/>
      <c r="B79" s="622" t="s">
        <v>580</v>
      </c>
      <c r="C79" s="558">
        <f>C78</f>
        <v>0</v>
      </c>
      <c r="D79" s="553"/>
      <c r="E79" s="694" t="str">
        <f>VLOOKUP($B79,dongia1,DG!$C$5,)</f>
        <v>Đà cản BTCT 1,2m</v>
      </c>
      <c r="F79" s="555" t="str">
        <f>VLOOKUP($B79,dongia1,DG!$D$5,)</f>
        <v>cái</v>
      </c>
      <c r="G79" s="205">
        <v>1</v>
      </c>
      <c r="H79" s="556">
        <f ca="1">+H$78*$G79</f>
        <v>0</v>
      </c>
      <c r="I79" s="556">
        <f t="shared" ref="I79:O79" ca="1" si="39">+I$78*$G79</f>
        <v>0</v>
      </c>
      <c r="J79" s="556">
        <f t="shared" ca="1" si="39"/>
        <v>0</v>
      </c>
      <c r="K79" s="556">
        <f t="shared" ca="1" si="39"/>
        <v>0</v>
      </c>
      <c r="L79" s="556">
        <f t="shared" ca="1" si="39"/>
        <v>0</v>
      </c>
      <c r="M79" s="556">
        <f t="shared" ca="1" si="39"/>
        <v>0</v>
      </c>
      <c r="N79" s="556">
        <f t="shared" ca="1" si="39"/>
        <v>0</v>
      </c>
      <c r="O79" s="556">
        <f t="shared" ca="1" si="39"/>
        <v>0</v>
      </c>
      <c r="P79" s="182">
        <f>VLOOKUP($B79,dongia1,DG!$F$5,)</f>
        <v>354545</v>
      </c>
      <c r="Q79" s="182">
        <f>VLOOKUP($B79,dongia1,DG!$G$5,)</f>
        <v>37220.25</v>
      </c>
      <c r="R79" s="554"/>
      <c r="S79" s="113">
        <f t="shared" ref="S79:U82" si="40">$G79*P79</f>
        <v>354545</v>
      </c>
      <c r="T79" s="113">
        <f t="shared" si="40"/>
        <v>37220.25</v>
      </c>
      <c r="U79" s="557">
        <f t="shared" si="40"/>
        <v>0</v>
      </c>
    </row>
    <row r="80" spans="1:21" s="552" customFormat="1" ht="15" hidden="1" customHeight="1">
      <c r="A80" s="621"/>
      <c r="B80" s="622" t="s">
        <v>1549</v>
      </c>
      <c r="C80" s="558">
        <f>C79</f>
        <v>0</v>
      </c>
      <c r="D80" s="553"/>
      <c r="E80" s="694" t="str">
        <f>VLOOKUP($B80,dongia1,DG!$C$5,)</f>
        <v>Boulon 22x550+ 2 long đền vuông D24-60x60x3/Zn</v>
      </c>
      <c r="F80" s="555" t="str">
        <f>VLOOKUP($B80,dongia1,DG!$D$5,)</f>
        <v>bộ</v>
      </c>
      <c r="G80" s="205">
        <v>1</v>
      </c>
      <c r="H80" s="556">
        <f t="shared" ref="H80:O82" ca="1" si="41">+H$78*$G80</f>
        <v>0</v>
      </c>
      <c r="I80" s="556">
        <f t="shared" ca="1" si="41"/>
        <v>0</v>
      </c>
      <c r="J80" s="556">
        <f t="shared" ca="1" si="41"/>
        <v>0</v>
      </c>
      <c r="K80" s="556">
        <f t="shared" ca="1" si="41"/>
        <v>0</v>
      </c>
      <c r="L80" s="556">
        <f t="shared" ca="1" si="41"/>
        <v>0</v>
      </c>
      <c r="M80" s="556">
        <f t="shared" ca="1" si="41"/>
        <v>0</v>
      </c>
      <c r="N80" s="556">
        <f t="shared" ca="1" si="41"/>
        <v>0</v>
      </c>
      <c r="O80" s="556">
        <f t="shared" ca="1" si="41"/>
        <v>0</v>
      </c>
      <c r="P80" s="182">
        <f>VLOOKUP($B80,dongia1,DG!$F$5,)</f>
        <v>82400</v>
      </c>
      <c r="Q80" s="554"/>
      <c r="R80" s="554"/>
      <c r="S80" s="113">
        <f t="shared" si="40"/>
        <v>82400</v>
      </c>
      <c r="T80" s="113">
        <f t="shared" si="40"/>
        <v>0</v>
      </c>
      <c r="U80" s="557">
        <f t="shared" si="40"/>
        <v>0</v>
      </c>
    </row>
    <row r="81" spans="1:21" s="552" customFormat="1" ht="15" hidden="1" customHeight="1">
      <c r="A81" s="621"/>
      <c r="B81" s="622" t="s">
        <v>1645</v>
      </c>
      <c r="C81" s="558">
        <f>C80</f>
        <v>0</v>
      </c>
      <c r="D81" s="553"/>
      <c r="E81" s="694" t="str">
        <f>VLOOKUP($B81,dongia1,DG!$C$5,)</f>
        <v>Đào hố móng đất cấp 3 sâu &gt;1m DT&lt;5m2</v>
      </c>
      <c r="F81" s="555" t="str">
        <f>VLOOKUP($B81,dongia1,DG!$D$5,)</f>
        <v>m3</v>
      </c>
      <c r="G81" s="205">
        <v>0.73</v>
      </c>
      <c r="H81" s="556">
        <f t="shared" ca="1" si="41"/>
        <v>0</v>
      </c>
      <c r="I81" s="556">
        <f t="shared" ca="1" si="41"/>
        <v>0</v>
      </c>
      <c r="J81" s="556">
        <f t="shared" ca="1" si="41"/>
        <v>0</v>
      </c>
      <c r="K81" s="556">
        <f t="shared" ca="1" si="41"/>
        <v>0</v>
      </c>
      <c r="L81" s="556">
        <f t="shared" ca="1" si="41"/>
        <v>0</v>
      </c>
      <c r="M81" s="556">
        <f t="shared" ca="1" si="41"/>
        <v>0</v>
      </c>
      <c r="N81" s="556">
        <f t="shared" ca="1" si="41"/>
        <v>0</v>
      </c>
      <c r="O81" s="556">
        <f t="shared" ca="1" si="41"/>
        <v>0</v>
      </c>
      <c r="P81" s="554"/>
      <c r="Q81" s="182">
        <f>VLOOKUP($B81,dongia1,DG!$G$5,)</f>
        <v>296500.89999999997</v>
      </c>
      <c r="R81" s="554"/>
      <c r="S81" s="113">
        <f t="shared" si="40"/>
        <v>0</v>
      </c>
      <c r="T81" s="113">
        <f t="shared" si="40"/>
        <v>216445.65699999998</v>
      </c>
      <c r="U81" s="557">
        <f t="shared" si="40"/>
        <v>0</v>
      </c>
    </row>
    <row r="82" spans="1:21" s="552" customFormat="1" ht="15" hidden="1" customHeight="1">
      <c r="A82" s="621"/>
      <c r="B82" s="622" t="s">
        <v>501</v>
      </c>
      <c r="C82" s="558">
        <f>C81</f>
        <v>0</v>
      </c>
      <c r="D82" s="553"/>
      <c r="E82" s="694" t="str">
        <f>VLOOKUP($B82,dongia1,DG!$C$5,)</f>
        <v>Đắp đất hố móng, đất cấp 3 (độ chặt k = 0.85)</v>
      </c>
      <c r="F82" s="555" t="str">
        <f>VLOOKUP($B82,dongia1,DG!$D$5,)</f>
        <v>m3</v>
      </c>
      <c r="G82" s="205">
        <v>0.73</v>
      </c>
      <c r="H82" s="556">
        <f t="shared" ca="1" si="41"/>
        <v>0</v>
      </c>
      <c r="I82" s="556">
        <f t="shared" ca="1" si="41"/>
        <v>0</v>
      </c>
      <c r="J82" s="556">
        <f t="shared" ca="1" si="41"/>
        <v>0</v>
      </c>
      <c r="K82" s="556">
        <f t="shared" ca="1" si="41"/>
        <v>0</v>
      </c>
      <c r="L82" s="556">
        <f t="shared" ca="1" si="41"/>
        <v>0</v>
      </c>
      <c r="M82" s="556">
        <f t="shared" ca="1" si="41"/>
        <v>0</v>
      </c>
      <c r="N82" s="556">
        <f t="shared" ca="1" si="41"/>
        <v>0</v>
      </c>
      <c r="O82" s="556">
        <f t="shared" ca="1" si="41"/>
        <v>0</v>
      </c>
      <c r="P82" s="554"/>
      <c r="Q82" s="182">
        <f>VLOOKUP($B82,dongia1,DG!$G$5,)</f>
        <v>117703.6</v>
      </c>
      <c r="R82" s="554"/>
      <c r="S82" s="113">
        <f t="shared" si="40"/>
        <v>0</v>
      </c>
      <c r="T82" s="113">
        <f t="shared" si="40"/>
        <v>85923.627999999997</v>
      </c>
      <c r="U82" s="557">
        <f t="shared" si="40"/>
        <v>0</v>
      </c>
    </row>
    <row r="83" spans="1:21" s="610" customFormat="1" ht="14.25" hidden="1" customHeight="1">
      <c r="A83" s="635" t="s">
        <v>3710</v>
      </c>
      <c r="B83" s="636"/>
      <c r="C83" s="637" t="str">
        <f ca="1">IF(H83&lt;&gt;0,"x"," ")</f>
        <v xml:space="preserve"> </v>
      </c>
      <c r="D83" s="599"/>
      <c r="E83" s="727" t="s">
        <v>3489</v>
      </c>
      <c r="F83" s="600" t="s">
        <v>3391</v>
      </c>
      <c r="G83" s="604"/>
      <c r="H83" s="605">
        <f ca="1">SUM(I83:O83)</f>
        <v>0</v>
      </c>
      <c r="I83" s="605">
        <f ca="1">SUMIF(mong3pm,chitiet!$A83,slmong3pm)</f>
        <v>0</v>
      </c>
      <c r="J83" s="605">
        <f ca="1">SUMIF(mongct,chitiet!$A83,slmongct)</f>
        <v>0</v>
      </c>
      <c r="K83" s="605">
        <f ca="1">SUMIF(mong3p1m,chitiet!$A83,slmong3p1m)</f>
        <v>0</v>
      </c>
      <c r="L83" s="605">
        <f ca="1">SUMIF(mong1pm,chitiet!$A83,slmong1pm)</f>
        <v>0</v>
      </c>
      <c r="M83" s="605">
        <f ca="1">SUMIF(monghthh,chitiet!$A83,slmonghthh)</f>
        <v>0</v>
      </c>
      <c r="N83" s="605">
        <f ca="1">SUMIF(mongHTDL,chitiet!$A83,SLmongHTDL)</f>
        <v>0</v>
      </c>
      <c r="O83" s="605">
        <f ca="1">SUMIF(mongHTCS,chitiet!$A83,slmongHTCS)</f>
        <v>0</v>
      </c>
      <c r="P83" s="606"/>
      <c r="Q83" s="606"/>
      <c r="R83" s="606"/>
      <c r="S83" s="601">
        <f>SUM(S84:S92)</f>
        <v>412312</v>
      </c>
      <c r="T83" s="601">
        <f>SUM(T84:T92)</f>
        <v>318285.43900000001</v>
      </c>
      <c r="U83" s="602">
        <f>SUM(U84:U92)</f>
        <v>0</v>
      </c>
    </row>
    <row r="84" spans="1:21" s="552" customFormat="1" ht="15" hidden="1" customHeight="1">
      <c r="A84" s="621"/>
      <c r="B84" s="622" t="s">
        <v>1728</v>
      </c>
      <c r="C84" s="558" t="str">
        <f t="shared" ref="C84:C90" ca="1" si="42">C83</f>
        <v xml:space="preserve"> </v>
      </c>
      <c r="D84" s="553"/>
      <c r="E84" s="694" t="str">
        <f>VLOOKUP($B84,dongia1,DG!$C$5,)</f>
        <v>Ximăng</v>
      </c>
      <c r="F84" s="555" t="str">
        <f>VLOOKUP($B84,dongia1,DG!$D$5,)</f>
        <v>kg</v>
      </c>
      <c r="G84" s="205">
        <v>116</v>
      </c>
      <c r="H84" s="556">
        <f ca="1">+H$83*$G84</f>
        <v>0</v>
      </c>
      <c r="I84" s="556">
        <f t="shared" ref="I84:O84" ca="1" si="43">+I$83*$G84</f>
        <v>0</v>
      </c>
      <c r="J84" s="556">
        <f t="shared" ca="1" si="43"/>
        <v>0</v>
      </c>
      <c r="K84" s="556">
        <f t="shared" ca="1" si="43"/>
        <v>0</v>
      </c>
      <c r="L84" s="556">
        <f t="shared" ca="1" si="43"/>
        <v>0</v>
      </c>
      <c r="M84" s="556">
        <f t="shared" ca="1" si="43"/>
        <v>0</v>
      </c>
      <c r="N84" s="556">
        <f t="shared" ca="1" si="43"/>
        <v>0</v>
      </c>
      <c r="O84" s="556">
        <f t="shared" ca="1" si="43"/>
        <v>0</v>
      </c>
      <c r="P84" s="182">
        <f>VLOOKUP($B84,dongia1,DG!$F$5,)</f>
        <v>1740</v>
      </c>
      <c r="Q84" s="182">
        <f>VLOOKUP($B84,dongia1,DG!$G$5,)</f>
        <v>0</v>
      </c>
      <c r="R84" s="182">
        <f>VLOOKUP($B84,dongia1,DG!$H$5,)</f>
        <v>0</v>
      </c>
      <c r="S84" s="113">
        <f t="shared" ref="S84:S90" si="44">$G84*P84</f>
        <v>201840</v>
      </c>
      <c r="T84" s="113">
        <f t="shared" ref="T84:T90" si="45">$G84*Q84</f>
        <v>0</v>
      </c>
      <c r="U84" s="557">
        <f t="shared" ref="U84:U90" si="46">$G84*R84</f>
        <v>0</v>
      </c>
    </row>
    <row r="85" spans="1:21" s="552" customFormat="1" ht="15" hidden="1" customHeight="1">
      <c r="A85" s="621"/>
      <c r="B85" s="622" t="s">
        <v>1729</v>
      </c>
      <c r="C85" s="558" t="str">
        <f t="shared" ca="1" si="42"/>
        <v xml:space="preserve"> </v>
      </c>
      <c r="D85" s="553"/>
      <c r="E85" s="694" t="str">
        <f>VLOOKUP($B85,dongia1,DG!$C$5,)</f>
        <v>Cát vàng</v>
      </c>
      <c r="F85" s="555" t="str">
        <f>VLOOKUP($B85,dongia1,DG!$D$5,)</f>
        <v>m3</v>
      </c>
      <c r="G85" s="205">
        <v>0.186</v>
      </c>
      <c r="H85" s="556">
        <f t="shared" ref="H85:O92" ca="1" si="47">+H$83*$G85</f>
        <v>0</v>
      </c>
      <c r="I85" s="556">
        <f t="shared" ca="1" si="47"/>
        <v>0</v>
      </c>
      <c r="J85" s="556">
        <f t="shared" ca="1" si="47"/>
        <v>0</v>
      </c>
      <c r="K85" s="556">
        <f t="shared" ca="1" si="47"/>
        <v>0</v>
      </c>
      <c r="L85" s="556">
        <f t="shared" ca="1" si="47"/>
        <v>0</v>
      </c>
      <c r="M85" s="556">
        <f t="shared" ca="1" si="47"/>
        <v>0</v>
      </c>
      <c r="N85" s="556">
        <f t="shared" ca="1" si="47"/>
        <v>0</v>
      </c>
      <c r="O85" s="556">
        <f t="shared" ca="1" si="47"/>
        <v>0</v>
      </c>
      <c r="P85" s="182">
        <f>VLOOKUP($B85,dongia1,DG!$F$5,)</f>
        <v>512000</v>
      </c>
      <c r="Q85" s="182">
        <f>VLOOKUP($B85,dongia1,DG!$G$5,)</f>
        <v>0</v>
      </c>
      <c r="R85" s="182">
        <f>VLOOKUP($B85,dongia1,DG!$H$5,)</f>
        <v>0</v>
      </c>
      <c r="S85" s="113">
        <f t="shared" si="44"/>
        <v>95232</v>
      </c>
      <c r="T85" s="113">
        <f t="shared" si="45"/>
        <v>0</v>
      </c>
      <c r="U85" s="557">
        <f t="shared" si="46"/>
        <v>0</v>
      </c>
    </row>
    <row r="86" spans="1:21" s="552" customFormat="1" ht="15" hidden="1" customHeight="1">
      <c r="A86" s="621" t="s">
        <v>312</v>
      </c>
      <c r="B86" s="622" t="s">
        <v>853</v>
      </c>
      <c r="C86" s="558" t="str">
        <f t="shared" ca="1" si="42"/>
        <v xml:space="preserve"> </v>
      </c>
      <c r="D86" s="553"/>
      <c r="E86" s="694" t="str">
        <f>VLOOKUP($B86,dongia1,DG!$C$5,)</f>
        <v>Đá 1x2</v>
      </c>
      <c r="F86" s="555" t="str">
        <f>VLOOKUP($B86,dongia1,DG!$D$5,)</f>
        <v>m3</v>
      </c>
      <c r="G86" s="205">
        <v>0.34399999999999997</v>
      </c>
      <c r="H86" s="556">
        <f t="shared" ca="1" si="47"/>
        <v>0</v>
      </c>
      <c r="I86" s="556">
        <f t="shared" ca="1" si="47"/>
        <v>0</v>
      </c>
      <c r="J86" s="556">
        <f t="shared" ca="1" si="47"/>
        <v>0</v>
      </c>
      <c r="K86" s="556">
        <f t="shared" ca="1" si="47"/>
        <v>0</v>
      </c>
      <c r="L86" s="556">
        <f t="shared" ca="1" si="47"/>
        <v>0</v>
      </c>
      <c r="M86" s="556">
        <f t="shared" ca="1" si="47"/>
        <v>0</v>
      </c>
      <c r="N86" s="556">
        <f t="shared" ca="1" si="47"/>
        <v>0</v>
      </c>
      <c r="O86" s="556">
        <f t="shared" ca="1" si="47"/>
        <v>0</v>
      </c>
      <c r="P86" s="182">
        <f>VLOOKUP($B86,dongia1,DG!$F$5,)</f>
        <v>335000</v>
      </c>
      <c r="Q86" s="182">
        <f>VLOOKUP($B86,dongia1,DG!$G$5,)</f>
        <v>0</v>
      </c>
      <c r="R86" s="182">
        <f>VLOOKUP($B86,dongia1,DG!$H$5,)</f>
        <v>0</v>
      </c>
      <c r="S86" s="113">
        <f t="shared" si="44"/>
        <v>115239.99999999999</v>
      </c>
      <c r="T86" s="113">
        <f t="shared" si="45"/>
        <v>0</v>
      </c>
      <c r="U86" s="557">
        <f t="shared" si="46"/>
        <v>0</v>
      </c>
    </row>
    <row r="87" spans="1:21" s="552" customFormat="1" ht="15" hidden="1" customHeight="1">
      <c r="A87" s="621" t="s">
        <v>312</v>
      </c>
      <c r="B87" s="622" t="s">
        <v>59</v>
      </c>
      <c r="C87" s="558"/>
      <c r="D87" s="553"/>
      <c r="E87" s="694" t="str">
        <f>VLOOKUP($B87,dongia1,DG!$C$5,)</f>
        <v>Sắt   Þ8</v>
      </c>
      <c r="F87" s="555" t="str">
        <f>VLOOKUP($B87,dongia1,DG!$D$5,)</f>
        <v>kg</v>
      </c>
      <c r="G87" s="205">
        <v>14.67</v>
      </c>
      <c r="H87" s="556">
        <f ca="1">+H$83*$G87*0</f>
        <v>0</v>
      </c>
      <c r="I87" s="556">
        <f t="shared" ca="1" si="47"/>
        <v>0</v>
      </c>
      <c r="J87" s="556">
        <f t="shared" ca="1" si="47"/>
        <v>0</v>
      </c>
      <c r="K87" s="556">
        <f t="shared" ca="1" si="47"/>
        <v>0</v>
      </c>
      <c r="L87" s="556">
        <f t="shared" ca="1" si="47"/>
        <v>0</v>
      </c>
      <c r="M87" s="556">
        <f t="shared" ca="1" si="47"/>
        <v>0</v>
      </c>
      <c r="N87" s="556">
        <f t="shared" ca="1" si="47"/>
        <v>0</v>
      </c>
      <c r="O87" s="556">
        <f t="shared" ca="1" si="47"/>
        <v>0</v>
      </c>
      <c r="P87" s="182">
        <f>VLOOKUP($B87,dongia1,DG!$F$5,)*0</f>
        <v>0</v>
      </c>
      <c r="Q87" s="182">
        <f>VLOOKUP($B87,dongia1,DG!$G$5,)</f>
        <v>0</v>
      </c>
      <c r="R87" s="182">
        <f>VLOOKUP($B87,dongia1,DG!$H$5,)</f>
        <v>0</v>
      </c>
      <c r="S87" s="113">
        <f t="shared" ref="S87:U88" si="48">$G87*P87</f>
        <v>0</v>
      </c>
      <c r="T87" s="113">
        <f t="shared" si="48"/>
        <v>0</v>
      </c>
      <c r="U87" s="557">
        <f t="shared" si="48"/>
        <v>0</v>
      </c>
    </row>
    <row r="88" spans="1:21" s="552" customFormat="1" ht="15" hidden="1" customHeight="1">
      <c r="A88" s="621" t="s">
        <v>312</v>
      </c>
      <c r="B88" s="622" t="s">
        <v>60</v>
      </c>
      <c r="C88" s="558"/>
      <c r="D88" s="553"/>
      <c r="E88" s="694" t="str">
        <f>VLOOKUP($B88,dongia1,DG!$C$5,)</f>
        <v>Kẽm</v>
      </c>
      <c r="F88" s="555" t="str">
        <f>VLOOKUP($B88,dongia1,DG!$D$5,)</f>
        <v>kg</v>
      </c>
      <c r="G88" s="205">
        <v>0.32</v>
      </c>
      <c r="H88" s="556">
        <f ca="1">+H$83*$G88*0</f>
        <v>0</v>
      </c>
      <c r="I88" s="556">
        <f t="shared" ca="1" si="47"/>
        <v>0</v>
      </c>
      <c r="J88" s="556">
        <f t="shared" ca="1" si="47"/>
        <v>0</v>
      </c>
      <c r="K88" s="556">
        <f t="shared" ca="1" si="47"/>
        <v>0</v>
      </c>
      <c r="L88" s="556">
        <f t="shared" ca="1" si="47"/>
        <v>0</v>
      </c>
      <c r="M88" s="556">
        <f t="shared" ca="1" si="47"/>
        <v>0</v>
      </c>
      <c r="N88" s="556">
        <f t="shared" ca="1" si="47"/>
        <v>0</v>
      </c>
      <c r="O88" s="556">
        <f t="shared" ca="1" si="47"/>
        <v>0</v>
      </c>
      <c r="P88" s="182">
        <f>VLOOKUP($B88,dongia1,DG!$F$5,)*0</f>
        <v>0</v>
      </c>
      <c r="Q88" s="182">
        <f>VLOOKUP($B88,dongia1,DG!$G$5,)</f>
        <v>0</v>
      </c>
      <c r="R88" s="182">
        <f>VLOOKUP($B88,dongia1,DG!$H$5,)</f>
        <v>0</v>
      </c>
      <c r="S88" s="113">
        <f t="shared" si="48"/>
        <v>0</v>
      </c>
      <c r="T88" s="113">
        <f t="shared" si="48"/>
        <v>0</v>
      </c>
      <c r="U88" s="557">
        <f t="shared" si="48"/>
        <v>0</v>
      </c>
    </row>
    <row r="89" spans="1:21" s="552" customFormat="1" ht="15" hidden="1" customHeight="1">
      <c r="A89" s="621"/>
      <c r="B89" s="622" t="s">
        <v>1645</v>
      </c>
      <c r="C89" s="558" t="str">
        <f ca="1">C86</f>
        <v xml:space="preserve"> </v>
      </c>
      <c r="D89" s="553"/>
      <c r="E89" s="694" t="str">
        <f>VLOOKUP($B89,dongia1,DG!$C$5,)</f>
        <v>Đào hố móng đất cấp 3 sâu &gt;1m DT&lt;5m2</v>
      </c>
      <c r="F89" s="555" t="str">
        <f>VLOOKUP($B89,dongia1,DG!$D$5,)</f>
        <v>m3</v>
      </c>
      <c r="G89" s="205">
        <v>0.46</v>
      </c>
      <c r="H89" s="556">
        <f t="shared" ca="1" si="47"/>
        <v>0</v>
      </c>
      <c r="I89" s="556">
        <f t="shared" ca="1" si="47"/>
        <v>0</v>
      </c>
      <c r="J89" s="556">
        <f t="shared" ca="1" si="47"/>
        <v>0</v>
      </c>
      <c r="K89" s="556">
        <f t="shared" ca="1" si="47"/>
        <v>0</v>
      </c>
      <c r="L89" s="556">
        <f t="shared" ca="1" si="47"/>
        <v>0</v>
      </c>
      <c r="M89" s="556">
        <f t="shared" ca="1" si="47"/>
        <v>0</v>
      </c>
      <c r="N89" s="556">
        <f t="shared" ca="1" si="47"/>
        <v>0</v>
      </c>
      <c r="O89" s="556">
        <f t="shared" ca="1" si="47"/>
        <v>0</v>
      </c>
      <c r="P89" s="182">
        <f>VLOOKUP($B89,dongia1,DG!$F$5,)</f>
        <v>0</v>
      </c>
      <c r="Q89" s="182">
        <f>VLOOKUP($B89,dongia1,DG!$G$5,)</f>
        <v>296500.89999999997</v>
      </c>
      <c r="R89" s="182">
        <f>VLOOKUP($B89,dongia1,DG!$H$5,)</f>
        <v>0</v>
      </c>
      <c r="S89" s="113">
        <f t="shared" si="44"/>
        <v>0</v>
      </c>
      <c r="T89" s="113">
        <f t="shared" si="45"/>
        <v>136390.41399999999</v>
      </c>
      <c r="U89" s="557">
        <f t="shared" si="46"/>
        <v>0</v>
      </c>
    </row>
    <row r="90" spans="1:21" s="552" customFormat="1" ht="15" hidden="1" customHeight="1">
      <c r="A90" s="621"/>
      <c r="B90" s="622" t="s">
        <v>501</v>
      </c>
      <c r="C90" s="558" t="str">
        <f t="shared" ca="1" si="42"/>
        <v xml:space="preserve"> </v>
      </c>
      <c r="D90" s="553"/>
      <c r="E90" s="694" t="str">
        <f>VLOOKUP($B90,dongia1,DG!$C$5,)</f>
        <v>Đắp đất hố móng, đất cấp 3 (độ chặt k = 0.85)</v>
      </c>
      <c r="F90" s="555" t="str">
        <f>VLOOKUP($B90,dongia1,DG!$D$5,)</f>
        <v>m3</v>
      </c>
      <c r="G90" s="205">
        <v>0</v>
      </c>
      <c r="H90" s="556">
        <f t="shared" ca="1" si="47"/>
        <v>0</v>
      </c>
      <c r="I90" s="556">
        <f t="shared" ca="1" si="47"/>
        <v>0</v>
      </c>
      <c r="J90" s="556">
        <f t="shared" ca="1" si="47"/>
        <v>0</v>
      </c>
      <c r="K90" s="556">
        <f t="shared" ca="1" si="47"/>
        <v>0</v>
      </c>
      <c r="L90" s="556">
        <f t="shared" ca="1" si="47"/>
        <v>0</v>
      </c>
      <c r="M90" s="556">
        <f t="shared" ca="1" si="47"/>
        <v>0</v>
      </c>
      <c r="N90" s="556">
        <f t="shared" ca="1" si="47"/>
        <v>0</v>
      </c>
      <c r="O90" s="556">
        <f t="shared" ca="1" si="47"/>
        <v>0</v>
      </c>
      <c r="P90" s="182">
        <f>VLOOKUP($B90,dongia1,DG!$F$5,)</f>
        <v>0</v>
      </c>
      <c r="Q90" s="182">
        <f>VLOOKUP($B90,dongia1,DG!$G$5,)</f>
        <v>117703.6</v>
      </c>
      <c r="R90" s="182">
        <f>VLOOKUP($B90,dongia1,DG!$H$5,)</f>
        <v>0</v>
      </c>
      <c r="S90" s="113">
        <f t="shared" si="44"/>
        <v>0</v>
      </c>
      <c r="T90" s="113">
        <f t="shared" si="45"/>
        <v>0</v>
      </c>
      <c r="U90" s="557">
        <f t="shared" si="46"/>
        <v>0</v>
      </c>
    </row>
    <row r="91" spans="1:21" s="552" customFormat="1" ht="15" hidden="1" customHeight="1">
      <c r="A91" s="621"/>
      <c r="B91" s="622" t="s">
        <v>1694</v>
      </c>
      <c r="C91" s="558"/>
      <c r="D91" s="553"/>
      <c r="E91" s="694" t="str">
        <f>VLOOKUP($B91,dongia1,DG!$C$5,)</f>
        <v>Gia công và lắp dựng cốt thép D&lt;=10</v>
      </c>
      <c r="F91" s="555" t="str">
        <f>VLOOKUP($B91,dongia1,DG!$D$5,)</f>
        <v>kg</v>
      </c>
      <c r="G91" s="205">
        <f>G87</f>
        <v>14.67</v>
      </c>
      <c r="H91" s="556">
        <f ca="1">+H$83*$G91*0</f>
        <v>0</v>
      </c>
      <c r="I91" s="556">
        <f t="shared" ca="1" si="47"/>
        <v>0</v>
      </c>
      <c r="J91" s="556">
        <f t="shared" ca="1" si="47"/>
        <v>0</v>
      </c>
      <c r="K91" s="556">
        <f t="shared" ca="1" si="47"/>
        <v>0</v>
      </c>
      <c r="L91" s="556">
        <f t="shared" ca="1" si="47"/>
        <v>0</v>
      </c>
      <c r="M91" s="556">
        <f t="shared" ca="1" si="47"/>
        <v>0</v>
      </c>
      <c r="N91" s="556">
        <f t="shared" ca="1" si="47"/>
        <v>0</v>
      </c>
      <c r="O91" s="556">
        <f t="shared" ca="1" si="47"/>
        <v>0</v>
      </c>
      <c r="P91" s="182"/>
      <c r="Q91" s="182">
        <f>VLOOKUP($B91,dongia1,DG!$G$5,)*0</f>
        <v>0</v>
      </c>
      <c r="R91" s="182">
        <f>VLOOKUP($B91,dongia1,DG!$H$5,)</f>
        <v>0</v>
      </c>
      <c r="S91" s="113">
        <f t="shared" ref="S91:U92" si="49">$G91*P91</f>
        <v>0</v>
      </c>
      <c r="T91" s="113">
        <f t="shared" si="49"/>
        <v>0</v>
      </c>
      <c r="U91" s="557">
        <f t="shared" si="49"/>
        <v>0</v>
      </c>
    </row>
    <row r="92" spans="1:21" s="552" customFormat="1" ht="15" hidden="1" customHeight="1">
      <c r="A92" s="621"/>
      <c r="B92" s="622" t="s">
        <v>2066</v>
      </c>
      <c r="C92" s="558" t="str">
        <f ca="1">C83</f>
        <v xml:space="preserve"> </v>
      </c>
      <c r="D92" s="553"/>
      <c r="E92" s="694" t="str">
        <f>VLOOKUP($B92,dongia1,DG!$C$5,)</f>
        <v>Đổ bê tông mác M200 đá 1x 2rộng &gt;250cm</v>
      </c>
      <c r="F92" s="555" t="str">
        <f>VLOOKUP($B92,dongia1,DG!$D$5,)</f>
        <v>m3</v>
      </c>
      <c r="G92" s="205">
        <v>0.39</v>
      </c>
      <c r="H92" s="556">
        <f t="shared" ca="1" si="47"/>
        <v>0</v>
      </c>
      <c r="I92" s="556">
        <f t="shared" ca="1" si="47"/>
        <v>0</v>
      </c>
      <c r="J92" s="556">
        <f t="shared" ca="1" si="47"/>
        <v>0</v>
      </c>
      <c r="K92" s="556">
        <f t="shared" ca="1" si="47"/>
        <v>0</v>
      </c>
      <c r="L92" s="556">
        <f t="shared" ca="1" si="47"/>
        <v>0</v>
      </c>
      <c r="M92" s="556">
        <f t="shared" ca="1" si="47"/>
        <v>0</v>
      </c>
      <c r="N92" s="556">
        <f t="shared" ca="1" si="47"/>
        <v>0</v>
      </c>
      <c r="O92" s="556">
        <f t="shared" ca="1" si="47"/>
        <v>0</v>
      </c>
      <c r="P92" s="182"/>
      <c r="Q92" s="182">
        <f>VLOOKUP($B92,dongia1,DG!$G$5,)</f>
        <v>466397.5</v>
      </c>
      <c r="R92" s="182">
        <f>VLOOKUP($B92,dongia1,DG!$H$5,)</f>
        <v>0</v>
      </c>
      <c r="S92" s="113">
        <f t="shared" si="49"/>
        <v>0</v>
      </c>
      <c r="T92" s="113">
        <f t="shared" si="49"/>
        <v>181895.02499999999</v>
      </c>
      <c r="U92" s="557">
        <f t="shared" si="49"/>
        <v>0</v>
      </c>
    </row>
    <row r="93" spans="1:21" s="610" customFormat="1" ht="14.25" hidden="1" customHeight="1">
      <c r="A93" s="635" t="s">
        <v>3711</v>
      </c>
      <c r="B93" s="636"/>
      <c r="C93" s="637" t="str">
        <f ca="1">IF(H93&lt;&gt;0,"x"," ")</f>
        <v xml:space="preserve"> </v>
      </c>
      <c r="D93" s="599"/>
      <c r="E93" s="727" t="s">
        <v>3490</v>
      </c>
      <c r="F93" s="600" t="s">
        <v>3391</v>
      </c>
      <c r="G93" s="604"/>
      <c r="H93" s="605">
        <f ca="1">SUM(I93:O93)</f>
        <v>0</v>
      </c>
      <c r="I93" s="605">
        <f ca="1">SUMIF(mong3pm,chitiet!$A93,slmong3pm)</f>
        <v>0</v>
      </c>
      <c r="J93" s="605">
        <f ca="1">SUMIF(mongct,chitiet!$A93,slmongct)</f>
        <v>0</v>
      </c>
      <c r="K93" s="605">
        <f ca="1">SUMIF(mong3p1m,chitiet!$A93,slmong3p1m)</f>
        <v>0</v>
      </c>
      <c r="L93" s="605">
        <f ca="1">SUMIF(mong1pm,chitiet!$A93,slmong1pm)</f>
        <v>0</v>
      </c>
      <c r="M93" s="605">
        <f ca="1">SUMIF(monghthh,chitiet!$A93,slmonghthh)</f>
        <v>0</v>
      </c>
      <c r="N93" s="605">
        <f ca="1">SUMIF(mongHTDL,chitiet!$A93,SLmongHTDL)</f>
        <v>0</v>
      </c>
      <c r="O93" s="605">
        <f ca="1">SUMIF(mongHTCS,chitiet!$A93,slmongHTCS)</f>
        <v>0</v>
      </c>
      <c r="P93" s="606"/>
      <c r="Q93" s="606"/>
      <c r="R93" s="606"/>
      <c r="S93" s="601">
        <f>SUM(S94:S102)</f>
        <v>576805</v>
      </c>
      <c r="T93" s="601">
        <f>SUM(T94:T102)</f>
        <v>464069.255</v>
      </c>
      <c r="U93" s="602">
        <f>SUM(U94:U102)</f>
        <v>0</v>
      </c>
    </row>
    <row r="94" spans="1:21" s="552" customFormat="1" ht="15" hidden="1" customHeight="1">
      <c r="A94" s="621"/>
      <c r="B94" s="622" t="s">
        <v>1728</v>
      </c>
      <c r="C94" s="558" t="str">
        <f ca="1">C93</f>
        <v xml:space="preserve"> </v>
      </c>
      <c r="D94" s="553">
        <f>VLOOKUP($B94,dongia1,DG!$B$5,)</f>
        <v>0</v>
      </c>
      <c r="E94" s="694" t="str">
        <f>VLOOKUP($B94,dongia1,DG!$C$5,)</f>
        <v>Ximăng</v>
      </c>
      <c r="F94" s="555" t="str">
        <f>VLOOKUP($B94,dongia1,DG!$D$5,)</f>
        <v>kg</v>
      </c>
      <c r="G94" s="205">
        <v>162</v>
      </c>
      <c r="H94" s="556">
        <f ca="1">+H$93*$G94</f>
        <v>0</v>
      </c>
      <c r="I94" s="556">
        <f t="shared" ref="I94:O94" ca="1" si="50">+I$93*$G94</f>
        <v>0</v>
      </c>
      <c r="J94" s="556">
        <f t="shared" ca="1" si="50"/>
        <v>0</v>
      </c>
      <c r="K94" s="556">
        <f t="shared" ca="1" si="50"/>
        <v>0</v>
      </c>
      <c r="L94" s="556">
        <f t="shared" ca="1" si="50"/>
        <v>0</v>
      </c>
      <c r="M94" s="556">
        <f t="shared" ca="1" si="50"/>
        <v>0</v>
      </c>
      <c r="N94" s="556">
        <f t="shared" ca="1" si="50"/>
        <v>0</v>
      </c>
      <c r="O94" s="556">
        <f t="shared" ca="1" si="50"/>
        <v>0</v>
      </c>
      <c r="P94" s="182">
        <f>VLOOKUP($B94,dongia1,DG!$F$5,)</f>
        <v>1740</v>
      </c>
      <c r="Q94" s="182">
        <f>VLOOKUP($B94,dongia1,DG!$G$5,)</f>
        <v>0</v>
      </c>
      <c r="R94" s="182">
        <f>VLOOKUP($B94,dongia1,DG!$H$5,)</f>
        <v>0</v>
      </c>
      <c r="S94" s="113">
        <f t="shared" ref="S94:S100" si="51">$G94*P94</f>
        <v>281880</v>
      </c>
      <c r="T94" s="113">
        <f t="shared" ref="T94:T100" si="52">$G94*Q94</f>
        <v>0</v>
      </c>
      <c r="U94" s="557">
        <f t="shared" ref="U94:U100" si="53">$G94*R94</f>
        <v>0</v>
      </c>
    </row>
    <row r="95" spans="1:21" s="552" customFormat="1" ht="15" hidden="1" customHeight="1">
      <c r="A95" s="621"/>
      <c r="B95" s="622" t="s">
        <v>1729</v>
      </c>
      <c r="C95" s="558" t="str">
        <f ca="1">C94</f>
        <v xml:space="preserve"> </v>
      </c>
      <c r="D95" s="553">
        <f>VLOOKUP($B95,dongia1,DG!$B$5,)</f>
        <v>0</v>
      </c>
      <c r="E95" s="694" t="str">
        <f>VLOOKUP($B95,dongia1,DG!$C$5,)</f>
        <v>Cát vàng</v>
      </c>
      <c r="F95" s="555" t="str">
        <f>VLOOKUP($B95,dongia1,DG!$D$5,)</f>
        <v>m3</v>
      </c>
      <c r="G95" s="205">
        <v>0.26</v>
      </c>
      <c r="H95" s="556">
        <f t="shared" ref="H95:O102" ca="1" si="54">+H$93*$G95</f>
        <v>0</v>
      </c>
      <c r="I95" s="556">
        <f t="shared" ca="1" si="54"/>
        <v>0</v>
      </c>
      <c r="J95" s="556">
        <f t="shared" ca="1" si="54"/>
        <v>0</v>
      </c>
      <c r="K95" s="556">
        <f t="shared" ca="1" si="54"/>
        <v>0</v>
      </c>
      <c r="L95" s="556">
        <f t="shared" ca="1" si="54"/>
        <v>0</v>
      </c>
      <c r="M95" s="556">
        <f t="shared" ca="1" si="54"/>
        <v>0</v>
      </c>
      <c r="N95" s="556">
        <f t="shared" ca="1" si="54"/>
        <v>0</v>
      </c>
      <c r="O95" s="556">
        <f t="shared" ca="1" si="54"/>
        <v>0</v>
      </c>
      <c r="P95" s="182">
        <f>VLOOKUP($B95,dongia1,DG!$F$5,)</f>
        <v>512000</v>
      </c>
      <c r="Q95" s="182">
        <f>VLOOKUP($B95,dongia1,DG!$G$5,)</f>
        <v>0</v>
      </c>
      <c r="R95" s="182">
        <f>VLOOKUP($B95,dongia1,DG!$H$5,)</f>
        <v>0</v>
      </c>
      <c r="S95" s="113">
        <f t="shared" si="51"/>
        <v>133120</v>
      </c>
      <c r="T95" s="113">
        <f t="shared" si="52"/>
        <v>0</v>
      </c>
      <c r="U95" s="557">
        <f t="shared" si="53"/>
        <v>0</v>
      </c>
    </row>
    <row r="96" spans="1:21" s="552" customFormat="1" ht="15" hidden="1" customHeight="1">
      <c r="A96" s="621" t="s">
        <v>312</v>
      </c>
      <c r="B96" s="622" t="s">
        <v>853</v>
      </c>
      <c r="C96" s="558" t="str">
        <f ca="1">C95</f>
        <v xml:space="preserve"> </v>
      </c>
      <c r="D96" s="553">
        <f>VLOOKUP($B96,dongia1,DG!$B$5,)</f>
        <v>0</v>
      </c>
      <c r="E96" s="694" t="str">
        <f>VLOOKUP($B96,dongia1,DG!$C$5,)</f>
        <v>Đá 1x2</v>
      </c>
      <c r="F96" s="555" t="str">
        <f>VLOOKUP($B96,dongia1,DG!$D$5,)</f>
        <v>m3</v>
      </c>
      <c r="G96" s="205">
        <v>0.48299999999999998</v>
      </c>
      <c r="H96" s="556">
        <f t="shared" ca="1" si="54"/>
        <v>0</v>
      </c>
      <c r="I96" s="556">
        <f t="shared" ca="1" si="54"/>
        <v>0</v>
      </c>
      <c r="J96" s="556">
        <f t="shared" ca="1" si="54"/>
        <v>0</v>
      </c>
      <c r="K96" s="556">
        <f t="shared" ca="1" si="54"/>
        <v>0</v>
      </c>
      <c r="L96" s="556">
        <f t="shared" ca="1" si="54"/>
        <v>0</v>
      </c>
      <c r="M96" s="556">
        <f t="shared" ca="1" si="54"/>
        <v>0</v>
      </c>
      <c r="N96" s="556">
        <f t="shared" ca="1" si="54"/>
        <v>0</v>
      </c>
      <c r="O96" s="556">
        <f t="shared" ca="1" si="54"/>
        <v>0</v>
      </c>
      <c r="P96" s="182">
        <f>VLOOKUP($B96,dongia1,DG!$F$5,)</f>
        <v>335000</v>
      </c>
      <c r="Q96" s="182">
        <f>VLOOKUP($B96,dongia1,DG!$G$5,)</f>
        <v>0</v>
      </c>
      <c r="R96" s="182">
        <f>VLOOKUP($B96,dongia1,DG!$H$5,)</f>
        <v>0</v>
      </c>
      <c r="S96" s="113">
        <f t="shared" si="51"/>
        <v>161805</v>
      </c>
      <c r="T96" s="113">
        <f t="shared" si="52"/>
        <v>0</v>
      </c>
      <c r="U96" s="557">
        <f t="shared" si="53"/>
        <v>0</v>
      </c>
    </row>
    <row r="97" spans="1:21" s="552" customFormat="1" ht="15" hidden="1" customHeight="1">
      <c r="A97" s="621" t="s">
        <v>312</v>
      </c>
      <c r="B97" s="622" t="s">
        <v>62</v>
      </c>
      <c r="C97" s="558"/>
      <c r="D97" s="553">
        <f>VLOOKUP($B97,dongia1,DG!$B$5,)</f>
        <v>0</v>
      </c>
      <c r="E97" s="694" t="str">
        <f>VLOOKUP($B97,dongia1,DG!$C$5,)</f>
        <v>Sắt   Þ10</v>
      </c>
      <c r="F97" s="555" t="str">
        <f>VLOOKUP($B97,dongia1,DG!$D$5,)</f>
        <v>kg</v>
      </c>
      <c r="G97" s="205">
        <v>20</v>
      </c>
      <c r="H97" s="556">
        <f ca="1">+H$93*$G97*0</f>
        <v>0</v>
      </c>
      <c r="I97" s="556">
        <f t="shared" ca="1" si="54"/>
        <v>0</v>
      </c>
      <c r="J97" s="556">
        <f t="shared" ca="1" si="54"/>
        <v>0</v>
      </c>
      <c r="K97" s="556">
        <f t="shared" ca="1" si="54"/>
        <v>0</v>
      </c>
      <c r="L97" s="556">
        <f t="shared" ca="1" si="54"/>
        <v>0</v>
      </c>
      <c r="M97" s="556">
        <f t="shared" ca="1" si="54"/>
        <v>0</v>
      </c>
      <c r="N97" s="556">
        <f t="shared" ca="1" si="54"/>
        <v>0</v>
      </c>
      <c r="O97" s="556">
        <f t="shared" ca="1" si="54"/>
        <v>0</v>
      </c>
      <c r="P97" s="182">
        <f>VLOOKUP($B97,dongia1,DG!$F$5,)*0</f>
        <v>0</v>
      </c>
      <c r="Q97" s="182">
        <f>VLOOKUP($B97,dongia1,DG!$G$5,)</f>
        <v>0</v>
      </c>
      <c r="R97" s="182">
        <f>VLOOKUP($B97,dongia1,DG!$H$5,)</f>
        <v>0</v>
      </c>
      <c r="S97" s="113">
        <f t="shared" ref="S97:U98" si="55">$G97*P97</f>
        <v>0</v>
      </c>
      <c r="T97" s="113">
        <f t="shared" si="55"/>
        <v>0</v>
      </c>
      <c r="U97" s="557">
        <f t="shared" si="55"/>
        <v>0</v>
      </c>
    </row>
    <row r="98" spans="1:21" s="552" customFormat="1" ht="15" hidden="1" customHeight="1">
      <c r="A98" s="621" t="s">
        <v>312</v>
      </c>
      <c r="B98" s="622" t="s">
        <v>60</v>
      </c>
      <c r="C98" s="558"/>
      <c r="D98" s="553">
        <f>VLOOKUP($B98,dongia1,DG!$B$5,)</f>
        <v>0</v>
      </c>
      <c r="E98" s="694" t="str">
        <f>VLOOKUP($B98,dongia1,DG!$C$5,)</f>
        <v>Kẽm</v>
      </c>
      <c r="F98" s="555" t="str">
        <f>VLOOKUP($B98,dongia1,DG!$D$5,)</f>
        <v>kg</v>
      </c>
      <c r="G98" s="205">
        <v>0.43</v>
      </c>
      <c r="H98" s="556">
        <f ca="1">+H$93*$G98*0</f>
        <v>0</v>
      </c>
      <c r="I98" s="556">
        <f t="shared" ca="1" si="54"/>
        <v>0</v>
      </c>
      <c r="J98" s="556">
        <f t="shared" ca="1" si="54"/>
        <v>0</v>
      </c>
      <c r="K98" s="556">
        <f t="shared" ca="1" si="54"/>
        <v>0</v>
      </c>
      <c r="L98" s="556">
        <f t="shared" ca="1" si="54"/>
        <v>0</v>
      </c>
      <c r="M98" s="556">
        <f t="shared" ca="1" si="54"/>
        <v>0</v>
      </c>
      <c r="N98" s="556">
        <f t="shared" ca="1" si="54"/>
        <v>0</v>
      </c>
      <c r="O98" s="556">
        <f t="shared" ca="1" si="54"/>
        <v>0</v>
      </c>
      <c r="P98" s="182">
        <f>VLOOKUP($B98,dongia1,DG!$F$5,)*0</f>
        <v>0</v>
      </c>
      <c r="Q98" s="182">
        <f>VLOOKUP($B98,dongia1,DG!$G$5,)</f>
        <v>0</v>
      </c>
      <c r="R98" s="182">
        <f>VLOOKUP($B98,dongia1,DG!$H$5,)</f>
        <v>0</v>
      </c>
      <c r="S98" s="113">
        <f t="shared" si="55"/>
        <v>0</v>
      </c>
      <c r="T98" s="113">
        <f t="shared" si="55"/>
        <v>0</v>
      </c>
      <c r="U98" s="557">
        <f t="shared" si="55"/>
        <v>0</v>
      </c>
    </row>
    <row r="99" spans="1:21" s="552" customFormat="1" ht="15" hidden="1" customHeight="1">
      <c r="A99" s="621"/>
      <c r="B99" s="622" t="s">
        <v>1645</v>
      </c>
      <c r="C99" s="558" t="str">
        <f ca="1">C96</f>
        <v xml:space="preserve"> </v>
      </c>
      <c r="D99" s="553"/>
      <c r="E99" s="694" t="str">
        <f>VLOOKUP($B99,dongia1,DG!$C$5,)</f>
        <v>Đào hố móng đất cấp 3 sâu &gt;1m DT&lt;5m2</v>
      </c>
      <c r="F99" s="555" t="str">
        <f>VLOOKUP($B99,dongia1,DG!$D$5,)</f>
        <v>m3</v>
      </c>
      <c r="G99" s="205">
        <v>0.7</v>
      </c>
      <c r="H99" s="556">
        <f t="shared" ca="1" si="54"/>
        <v>0</v>
      </c>
      <c r="I99" s="556">
        <f t="shared" ca="1" si="54"/>
        <v>0</v>
      </c>
      <c r="J99" s="556">
        <f t="shared" ca="1" si="54"/>
        <v>0</v>
      </c>
      <c r="K99" s="556">
        <f t="shared" ca="1" si="54"/>
        <v>0</v>
      </c>
      <c r="L99" s="556">
        <f t="shared" ca="1" si="54"/>
        <v>0</v>
      </c>
      <c r="M99" s="556">
        <f t="shared" ca="1" si="54"/>
        <v>0</v>
      </c>
      <c r="N99" s="556">
        <f t="shared" ca="1" si="54"/>
        <v>0</v>
      </c>
      <c r="O99" s="556">
        <f t="shared" ca="1" si="54"/>
        <v>0</v>
      </c>
      <c r="P99" s="182">
        <f>VLOOKUP($B99,dongia1,DG!$F$5,)</f>
        <v>0</v>
      </c>
      <c r="Q99" s="182">
        <f>VLOOKUP($B99,dongia1,DG!$G$5,)</f>
        <v>296500.89999999997</v>
      </c>
      <c r="R99" s="182">
        <f>VLOOKUP($B99,dongia1,DG!$H$5,)</f>
        <v>0</v>
      </c>
      <c r="S99" s="113">
        <f t="shared" si="51"/>
        <v>0</v>
      </c>
      <c r="T99" s="113">
        <f t="shared" si="52"/>
        <v>207550.62999999998</v>
      </c>
      <c r="U99" s="718">
        <f t="shared" si="53"/>
        <v>0</v>
      </c>
    </row>
    <row r="100" spans="1:21" s="552" customFormat="1" ht="15" hidden="1" customHeight="1">
      <c r="A100" s="621"/>
      <c r="B100" s="622" t="s">
        <v>501</v>
      </c>
      <c r="C100" s="558"/>
      <c r="D100" s="553"/>
      <c r="E100" s="694" t="str">
        <f>VLOOKUP($B100,dongia1,DG!$C$5,)</f>
        <v>Đắp đất hố móng, đất cấp 3 (độ chặt k = 0.85)</v>
      </c>
      <c r="F100" s="555" t="str">
        <f>VLOOKUP($B100,dongia1,DG!$D$5,)</f>
        <v>m3</v>
      </c>
      <c r="G100" s="205">
        <v>0</v>
      </c>
      <c r="H100" s="556">
        <f t="shared" ca="1" si="54"/>
        <v>0</v>
      </c>
      <c r="I100" s="556">
        <f t="shared" ca="1" si="54"/>
        <v>0</v>
      </c>
      <c r="J100" s="556">
        <f t="shared" ca="1" si="54"/>
        <v>0</v>
      </c>
      <c r="K100" s="556">
        <f t="shared" ca="1" si="54"/>
        <v>0</v>
      </c>
      <c r="L100" s="556">
        <f t="shared" ca="1" si="54"/>
        <v>0</v>
      </c>
      <c r="M100" s="556">
        <f t="shared" ca="1" si="54"/>
        <v>0</v>
      </c>
      <c r="N100" s="556">
        <f t="shared" ca="1" si="54"/>
        <v>0</v>
      </c>
      <c r="O100" s="556">
        <f t="shared" ca="1" si="54"/>
        <v>0</v>
      </c>
      <c r="P100" s="182">
        <f>VLOOKUP($B100,dongia1,DG!$F$5,)</f>
        <v>0</v>
      </c>
      <c r="Q100" s="182">
        <f>VLOOKUP($B100,dongia1,DG!$G$5,)</f>
        <v>117703.6</v>
      </c>
      <c r="R100" s="182">
        <f>VLOOKUP($B100,dongia1,DG!$H$5,)</f>
        <v>0</v>
      </c>
      <c r="S100" s="113">
        <f t="shared" si="51"/>
        <v>0</v>
      </c>
      <c r="T100" s="113">
        <f t="shared" si="52"/>
        <v>0</v>
      </c>
      <c r="U100" s="715">
        <f t="shared" si="53"/>
        <v>0</v>
      </c>
    </row>
    <row r="101" spans="1:21" s="552" customFormat="1" ht="15" hidden="1" customHeight="1">
      <c r="A101" s="621"/>
      <c r="B101" s="622" t="s">
        <v>1694</v>
      </c>
      <c r="C101" s="558"/>
      <c r="D101" s="553"/>
      <c r="E101" s="694" t="str">
        <f>VLOOKUP($B101,dongia1,DG!$C$5,)</f>
        <v>Gia công và lắp dựng cốt thép D&lt;=10</v>
      </c>
      <c r="F101" s="555" t="str">
        <f>VLOOKUP($B101,dongia1,DG!$D$5,)</f>
        <v>kg</v>
      </c>
      <c r="G101" s="205">
        <f>G97*0</f>
        <v>0</v>
      </c>
      <c r="H101" s="556">
        <f t="shared" ca="1" si="54"/>
        <v>0</v>
      </c>
      <c r="I101" s="556">
        <f t="shared" ca="1" si="54"/>
        <v>0</v>
      </c>
      <c r="J101" s="556">
        <f t="shared" ca="1" si="54"/>
        <v>0</v>
      </c>
      <c r="K101" s="556">
        <f t="shared" ca="1" si="54"/>
        <v>0</v>
      </c>
      <c r="L101" s="556">
        <f t="shared" ca="1" si="54"/>
        <v>0</v>
      </c>
      <c r="M101" s="556">
        <f t="shared" ca="1" si="54"/>
        <v>0</v>
      </c>
      <c r="N101" s="556">
        <f t="shared" ca="1" si="54"/>
        <v>0</v>
      </c>
      <c r="O101" s="556">
        <f t="shared" ca="1" si="54"/>
        <v>0</v>
      </c>
      <c r="P101" s="182"/>
      <c r="Q101" s="182">
        <f>VLOOKUP($B101,dongia1,DG!$G$5,)</f>
        <v>2965.3303999999998</v>
      </c>
      <c r="R101" s="182">
        <f>VLOOKUP($B101,dongia1,DG!$H$5,)</f>
        <v>0</v>
      </c>
      <c r="S101" s="113">
        <f t="shared" ref="S101:U102" si="56">$G101*P101</f>
        <v>0</v>
      </c>
      <c r="T101" s="113">
        <f t="shared" si="56"/>
        <v>0</v>
      </c>
      <c r="U101" s="557">
        <f t="shared" si="56"/>
        <v>0</v>
      </c>
    </row>
    <row r="102" spans="1:21" s="552" customFormat="1" ht="15" hidden="1" customHeight="1">
      <c r="A102" s="621"/>
      <c r="B102" s="622" t="s">
        <v>2066</v>
      </c>
      <c r="C102" s="558" t="str">
        <f ca="1">C93</f>
        <v xml:space="preserve"> </v>
      </c>
      <c r="D102" s="553"/>
      <c r="E102" s="694" t="str">
        <f>VLOOKUP($B102,dongia1,DG!$C$5,)</f>
        <v>Đổ bê tông mác M200 đá 1x 2rộng &gt;250cm</v>
      </c>
      <c r="F102" s="555" t="str">
        <f>VLOOKUP($B102,dongia1,DG!$D$5,)</f>
        <v>m3</v>
      </c>
      <c r="G102" s="205">
        <v>0.55000000000000004</v>
      </c>
      <c r="H102" s="556">
        <f t="shared" ca="1" si="54"/>
        <v>0</v>
      </c>
      <c r="I102" s="556">
        <f t="shared" ca="1" si="54"/>
        <v>0</v>
      </c>
      <c r="J102" s="556">
        <f t="shared" ca="1" si="54"/>
        <v>0</v>
      </c>
      <c r="K102" s="556">
        <f t="shared" ca="1" si="54"/>
        <v>0</v>
      </c>
      <c r="L102" s="556">
        <f t="shared" ca="1" si="54"/>
        <v>0</v>
      </c>
      <c r="M102" s="556">
        <f t="shared" ca="1" si="54"/>
        <v>0</v>
      </c>
      <c r="N102" s="556">
        <f t="shared" ca="1" si="54"/>
        <v>0</v>
      </c>
      <c r="O102" s="556">
        <f t="shared" ca="1" si="54"/>
        <v>0</v>
      </c>
      <c r="P102" s="182"/>
      <c r="Q102" s="182">
        <f>VLOOKUP($B102,dongia1,DG!$G$5,)</f>
        <v>466397.5</v>
      </c>
      <c r="R102" s="182">
        <f>VLOOKUP($B102,dongia1,DG!$H$5,)</f>
        <v>0</v>
      </c>
      <c r="S102" s="113">
        <f t="shared" si="56"/>
        <v>0</v>
      </c>
      <c r="T102" s="113">
        <f t="shared" si="56"/>
        <v>256518.62500000003</v>
      </c>
      <c r="U102" s="718">
        <f t="shared" si="56"/>
        <v>0</v>
      </c>
    </row>
    <row r="103" spans="1:21" s="552" customFormat="1" ht="15" hidden="1" customHeight="1">
      <c r="A103" s="621" t="s">
        <v>1003</v>
      </c>
      <c r="B103" s="622"/>
      <c r="C103" s="558" t="str">
        <f ca="1">IF(H103&lt;&gt;0,"x"," ")</f>
        <v xml:space="preserve"> </v>
      </c>
      <c r="D103" s="553"/>
      <c r="E103" s="727" t="s">
        <v>3491</v>
      </c>
      <c r="F103" s="600" t="s">
        <v>3391</v>
      </c>
      <c r="G103" s="205"/>
      <c r="H103" s="556">
        <f ca="1">SUM(I103:O103)</f>
        <v>0</v>
      </c>
      <c r="I103" s="556">
        <f ca="1">SUMIF(mong3pm,chitiet!$A103,slmong3pm)</f>
        <v>0</v>
      </c>
      <c r="J103" s="556">
        <f ca="1">SUMIF(mongct,chitiet!$A103,slmongct)</f>
        <v>0</v>
      </c>
      <c r="K103" s="556">
        <f ca="1">SUMIF(mong3p1m,chitiet!$A103,slmong3p1m)</f>
        <v>0</v>
      </c>
      <c r="L103" s="556">
        <f ca="1">SUMIF(mong1pm,chitiet!$A103,slmong1pm)</f>
        <v>0</v>
      </c>
      <c r="M103" s="556">
        <f ca="1">SUMIF(monghthh,chitiet!$A103,slmonghthh)</f>
        <v>0</v>
      </c>
      <c r="N103" s="556">
        <f ca="1">SUMIF(mongHTDL,chitiet!$A103,SLmongHTDL)</f>
        <v>0</v>
      </c>
      <c r="O103" s="556">
        <f ca="1">SUMIF(mongHTCS,chitiet!$A103,slmongHTCS)</f>
        <v>0</v>
      </c>
      <c r="P103" s="554"/>
      <c r="Q103" s="554"/>
      <c r="R103" s="554"/>
      <c r="S103" s="601">
        <f>SUM(S104:S108)</f>
        <v>732400</v>
      </c>
      <c r="T103" s="601">
        <f>SUM(T104:T108)</f>
        <v>561243.89800000004</v>
      </c>
      <c r="U103" s="714">
        <f>SUM(U104:U108)</f>
        <v>0</v>
      </c>
    </row>
    <row r="104" spans="1:21" s="552" customFormat="1" ht="15" hidden="1" customHeight="1">
      <c r="A104" s="621"/>
      <c r="B104" s="622" t="s">
        <v>201</v>
      </c>
      <c r="C104" s="558" t="str">
        <f ca="1">C103</f>
        <v xml:space="preserve"> </v>
      </c>
      <c r="D104" s="553"/>
      <c r="E104" s="694" t="str">
        <f>VLOOKUP($B104,dongia1,DG!$C$5,)</f>
        <v>Đà cản BTCT 1,5m</v>
      </c>
      <c r="F104" s="555" t="str">
        <f>VLOOKUP($B104,dongia1,DG!$D$5,)</f>
        <v>cái</v>
      </c>
      <c r="G104" s="205">
        <v>1</v>
      </c>
      <c r="H104" s="556">
        <f ca="1">+H$103*$G104</f>
        <v>0</v>
      </c>
      <c r="I104" s="556">
        <f t="shared" ref="I104:O104" ca="1" si="57">+I$103*$G104</f>
        <v>0</v>
      </c>
      <c r="J104" s="556">
        <f t="shared" ca="1" si="57"/>
        <v>0</v>
      </c>
      <c r="K104" s="556">
        <f t="shared" ca="1" si="57"/>
        <v>0</v>
      </c>
      <c r="L104" s="556">
        <f t="shared" ca="1" si="57"/>
        <v>0</v>
      </c>
      <c r="M104" s="556">
        <f t="shared" ca="1" si="57"/>
        <v>0</v>
      </c>
      <c r="N104" s="556">
        <f t="shared" ca="1" si="57"/>
        <v>0</v>
      </c>
      <c r="O104" s="556">
        <f t="shared" ca="1" si="57"/>
        <v>0</v>
      </c>
      <c r="P104" s="182">
        <f>VLOOKUP($B104,dongia1,DG!$F$5,)</f>
        <v>650000</v>
      </c>
      <c r="Q104" s="182">
        <f>VLOOKUP($B104,dongia1,DG!$G$5,)</f>
        <v>148724</v>
      </c>
      <c r="R104" s="554"/>
      <c r="S104" s="113">
        <f t="shared" ref="S104:U108" si="58">$G104*P104</f>
        <v>650000</v>
      </c>
      <c r="T104" s="113">
        <f t="shared" si="58"/>
        <v>148724</v>
      </c>
      <c r="U104" s="557">
        <f t="shared" si="58"/>
        <v>0</v>
      </c>
    </row>
    <row r="105" spans="1:21" s="552" customFormat="1" ht="15" hidden="1" customHeight="1">
      <c r="A105" s="621"/>
      <c r="B105" s="622" t="s">
        <v>1549</v>
      </c>
      <c r="C105" s="558" t="str">
        <f ca="1">C104</f>
        <v xml:space="preserve"> </v>
      </c>
      <c r="D105" s="553"/>
      <c r="E105" s="694" t="str">
        <f>VLOOKUP($B105,dongia1,DG!$C$5,)</f>
        <v>Boulon 22x550+ 2 long đền vuông D24-60x60x3/Zn</v>
      </c>
      <c r="F105" s="555" t="str">
        <f>VLOOKUP($B105,dongia1,DG!$D$5,)</f>
        <v>bộ</v>
      </c>
      <c r="G105" s="205">
        <v>1</v>
      </c>
      <c r="H105" s="556">
        <f t="shared" ref="H105:O108" ca="1" si="59">+H$103*$G105</f>
        <v>0</v>
      </c>
      <c r="I105" s="556">
        <f t="shared" ca="1" si="59"/>
        <v>0</v>
      </c>
      <c r="J105" s="556">
        <f t="shared" ca="1" si="59"/>
        <v>0</v>
      </c>
      <c r="K105" s="556">
        <f t="shared" ca="1" si="59"/>
        <v>0</v>
      </c>
      <c r="L105" s="556">
        <f t="shared" ca="1" si="59"/>
        <v>0</v>
      </c>
      <c r="M105" s="556">
        <f t="shared" ca="1" si="59"/>
        <v>0</v>
      </c>
      <c r="N105" s="556">
        <f t="shared" ca="1" si="59"/>
        <v>0</v>
      </c>
      <c r="O105" s="556">
        <f t="shared" ca="1" si="59"/>
        <v>0</v>
      </c>
      <c r="P105" s="182">
        <f>VLOOKUP($B105,dongia1,DG!$F$5,)</f>
        <v>82400</v>
      </c>
      <c r="Q105" s="554"/>
      <c r="R105" s="554"/>
      <c r="S105" s="113">
        <f t="shared" si="58"/>
        <v>82400</v>
      </c>
      <c r="T105" s="113">
        <f t="shared" si="58"/>
        <v>0</v>
      </c>
      <c r="U105" s="557">
        <f t="shared" si="58"/>
        <v>0</v>
      </c>
    </row>
    <row r="106" spans="1:21" s="552" customFormat="1" ht="15" hidden="1" customHeight="1">
      <c r="A106" s="621"/>
      <c r="B106" s="622" t="s">
        <v>1645</v>
      </c>
      <c r="C106" s="558" t="str">
        <f ca="1">C105</f>
        <v xml:space="preserve"> </v>
      </c>
      <c r="D106" s="553"/>
      <c r="E106" s="694" t="str">
        <f>VLOOKUP($B106,dongia1,DG!$C$5,)</f>
        <v>Đào hố móng đất cấp 3 sâu &gt;1m DT&lt;5m2</v>
      </c>
      <c r="F106" s="555" t="str">
        <f>VLOOKUP($B106,dongia1,DG!$D$5,)</f>
        <v>m3</v>
      </c>
      <c r="G106" s="205">
        <v>0.98</v>
      </c>
      <c r="H106" s="556">
        <f t="shared" ca="1" si="59"/>
        <v>0</v>
      </c>
      <c r="I106" s="556">
        <f t="shared" ca="1" si="59"/>
        <v>0</v>
      </c>
      <c r="J106" s="556">
        <f t="shared" ca="1" si="59"/>
        <v>0</v>
      </c>
      <c r="K106" s="556">
        <f t="shared" ca="1" si="59"/>
        <v>0</v>
      </c>
      <c r="L106" s="556">
        <f t="shared" ca="1" si="59"/>
        <v>0</v>
      </c>
      <c r="M106" s="556">
        <f t="shared" ca="1" si="59"/>
        <v>0</v>
      </c>
      <c r="N106" s="556">
        <f t="shared" ca="1" si="59"/>
        <v>0</v>
      </c>
      <c r="O106" s="556">
        <f t="shared" ca="1" si="59"/>
        <v>0</v>
      </c>
      <c r="P106" s="554"/>
      <c r="Q106" s="182">
        <f>VLOOKUP($B106,dongia1,DG!$G$5,)</f>
        <v>296500.89999999997</v>
      </c>
      <c r="R106" s="554"/>
      <c r="S106" s="113">
        <f t="shared" si="58"/>
        <v>0</v>
      </c>
      <c r="T106" s="113">
        <f t="shared" si="58"/>
        <v>290570.88199999998</v>
      </c>
      <c r="U106" s="557">
        <f t="shared" si="58"/>
        <v>0</v>
      </c>
    </row>
    <row r="107" spans="1:21" s="552" customFormat="1" ht="15" hidden="1" customHeight="1">
      <c r="A107" s="621"/>
      <c r="B107" s="622" t="s">
        <v>501</v>
      </c>
      <c r="C107" s="558" t="str">
        <f ca="1">C106</f>
        <v xml:space="preserve"> </v>
      </c>
      <c r="D107" s="553"/>
      <c r="E107" s="694" t="str">
        <f>VLOOKUP($B107,dongia1,DG!$C$5,)</f>
        <v>Đắp đất hố móng, đất cấp 3 (độ chặt k = 0.85)</v>
      </c>
      <c r="F107" s="555" t="str">
        <f>VLOOKUP($B107,dongia1,DG!$D$5,)</f>
        <v>m3</v>
      </c>
      <c r="G107" s="205">
        <v>0.96</v>
      </c>
      <c r="H107" s="556">
        <f t="shared" ca="1" si="59"/>
        <v>0</v>
      </c>
      <c r="I107" s="556">
        <f t="shared" ca="1" si="59"/>
        <v>0</v>
      </c>
      <c r="J107" s="556">
        <f t="shared" ca="1" si="59"/>
        <v>0</v>
      </c>
      <c r="K107" s="556">
        <f t="shared" ca="1" si="59"/>
        <v>0</v>
      </c>
      <c r="L107" s="556">
        <f t="shared" ca="1" si="59"/>
        <v>0</v>
      </c>
      <c r="M107" s="556">
        <f t="shared" ca="1" si="59"/>
        <v>0</v>
      </c>
      <c r="N107" s="556">
        <f t="shared" ca="1" si="59"/>
        <v>0</v>
      </c>
      <c r="O107" s="556">
        <f t="shared" ca="1" si="59"/>
        <v>0</v>
      </c>
      <c r="P107" s="554"/>
      <c r="Q107" s="182">
        <f>VLOOKUP($B107,dongia1,DG!$G$5,)</f>
        <v>117703.6</v>
      </c>
      <c r="R107" s="554"/>
      <c r="S107" s="113">
        <f t="shared" si="58"/>
        <v>0</v>
      </c>
      <c r="T107" s="113">
        <f t="shared" si="58"/>
        <v>112995.45600000001</v>
      </c>
      <c r="U107" s="557">
        <f t="shared" si="58"/>
        <v>0</v>
      </c>
    </row>
    <row r="108" spans="1:21" s="552" customFormat="1" ht="15" hidden="1" customHeight="1">
      <c r="A108" s="621"/>
      <c r="B108" s="622" t="s">
        <v>581</v>
      </c>
      <c r="C108" s="558" t="str">
        <f ca="1">C107</f>
        <v xml:space="preserve"> </v>
      </c>
      <c r="D108" s="553"/>
      <c r="E108" s="694" t="str">
        <f>VLOOKUP($B108,dongia1,DG!$C$5,)</f>
        <v>Bốc dỡ đà cản, đế néo</v>
      </c>
      <c r="F108" s="555" t="str">
        <f>VLOOKUP($B108,dongia1,DG!$D$5,)</f>
        <v>tấn</v>
      </c>
      <c r="G108" s="205">
        <v>0.255</v>
      </c>
      <c r="H108" s="556">
        <f t="shared" ca="1" si="59"/>
        <v>0</v>
      </c>
      <c r="I108" s="556">
        <f t="shared" ca="1" si="59"/>
        <v>0</v>
      </c>
      <c r="J108" s="556">
        <f t="shared" ca="1" si="59"/>
        <v>0</v>
      </c>
      <c r="K108" s="556">
        <f t="shared" ca="1" si="59"/>
        <v>0</v>
      </c>
      <c r="L108" s="556">
        <f t="shared" ca="1" si="59"/>
        <v>0</v>
      </c>
      <c r="M108" s="556">
        <f t="shared" ca="1" si="59"/>
        <v>0</v>
      </c>
      <c r="N108" s="556">
        <f t="shared" ca="1" si="59"/>
        <v>0</v>
      </c>
      <c r="O108" s="556">
        <f t="shared" ca="1" si="59"/>
        <v>0</v>
      </c>
      <c r="P108" s="554"/>
      <c r="Q108" s="182">
        <f>VLOOKUP($B108,dongia1,DG!$G$5,)</f>
        <v>35112</v>
      </c>
      <c r="R108" s="554"/>
      <c r="S108" s="113">
        <f t="shared" si="58"/>
        <v>0</v>
      </c>
      <c r="T108" s="113">
        <f t="shared" si="58"/>
        <v>8953.56</v>
      </c>
      <c r="U108" s="557">
        <f t="shared" si="58"/>
        <v>0</v>
      </c>
    </row>
    <row r="109" spans="1:21" s="552" customFormat="1" ht="15" hidden="1" customHeight="1">
      <c r="A109" s="621" t="s">
        <v>516</v>
      </c>
      <c r="B109" s="622"/>
      <c r="C109" s="558" t="str">
        <f ca="1">IF(H109&lt;&gt;0,"x"," ")</f>
        <v xml:space="preserve"> </v>
      </c>
      <c r="D109" s="553"/>
      <c r="E109" s="727" t="s">
        <v>3492</v>
      </c>
      <c r="F109" s="600" t="s">
        <v>3391</v>
      </c>
      <c r="G109" s="205"/>
      <c r="H109" s="556">
        <f ca="1">SUM(I109:N109)</f>
        <v>0</v>
      </c>
      <c r="I109" s="556">
        <f ca="1">SUMIF(mong3pm,chitiet!$A109,slmong3pm)</f>
        <v>0</v>
      </c>
      <c r="J109" s="556">
        <f ca="1">SUMIF(mongct,chitiet!$A109,slmongct)</f>
        <v>0</v>
      </c>
      <c r="K109" s="556">
        <f ca="1">SUMIF(mong3p1m,chitiet!$A109,slmong3p1m)</f>
        <v>0</v>
      </c>
      <c r="L109" s="556">
        <f ca="1">SUMIF(mong1pm,chitiet!$A109,slmong1pm)</f>
        <v>0</v>
      </c>
      <c r="M109" s="556">
        <f ca="1">SUMIF(monghthh,chitiet!$A109,slmonghthh)</f>
        <v>0</v>
      </c>
      <c r="N109" s="556">
        <f ca="1">SUMIF(mongHTDL,chitiet!$A109,SLmongHTDL)</f>
        <v>0</v>
      </c>
      <c r="O109" s="556">
        <f ca="1">SUMIF(mongHTCS,chitiet!$A109,slmongHTCS)</f>
        <v>0</v>
      </c>
      <c r="P109" s="554"/>
      <c r="Q109" s="554"/>
      <c r="R109" s="554"/>
      <c r="S109" s="602">
        <f>SUM(S110:S113)</f>
        <v>860690</v>
      </c>
      <c r="T109" s="602">
        <f>SUM(T110:T113)</f>
        <v>1085099.48</v>
      </c>
      <c r="U109" s="602">
        <f>SUM(U110:U113)</f>
        <v>0</v>
      </c>
    </row>
    <row r="110" spans="1:21" s="552" customFormat="1" ht="15" hidden="1" customHeight="1">
      <c r="A110" s="621"/>
      <c r="B110" s="622" t="s">
        <v>580</v>
      </c>
      <c r="C110" s="558" t="str">
        <f ca="1">C109</f>
        <v xml:space="preserve"> </v>
      </c>
      <c r="D110" s="553"/>
      <c r="E110" s="694" t="str">
        <f>VLOOKUP($B110,dongia1,DG!$C$5,)</f>
        <v>Đà cản BTCT 1,2m</v>
      </c>
      <c r="F110" s="555" t="str">
        <f>VLOOKUP($B110,dongia1,DG!$D$5,)</f>
        <v>cái</v>
      </c>
      <c r="G110" s="205">
        <v>2</v>
      </c>
      <c r="H110" s="556">
        <f ca="1">+H$109*$G110</f>
        <v>0</v>
      </c>
      <c r="I110" s="556">
        <f t="shared" ref="I110:O110" ca="1" si="60">+I$109*$G110</f>
        <v>0</v>
      </c>
      <c r="J110" s="556">
        <f t="shared" ca="1" si="60"/>
        <v>0</v>
      </c>
      <c r="K110" s="556">
        <f t="shared" ca="1" si="60"/>
        <v>0</v>
      </c>
      <c r="L110" s="556">
        <f t="shared" ca="1" si="60"/>
        <v>0</v>
      </c>
      <c r="M110" s="556">
        <f t="shared" ca="1" si="60"/>
        <v>0</v>
      </c>
      <c r="N110" s="556">
        <f t="shared" ca="1" si="60"/>
        <v>0</v>
      </c>
      <c r="O110" s="556">
        <f t="shared" ca="1" si="60"/>
        <v>0</v>
      </c>
      <c r="P110" s="182">
        <f>VLOOKUP($B110,dongia1,DG!$F$5,)</f>
        <v>354545</v>
      </c>
      <c r="Q110" s="182">
        <f>VLOOKUP($B110,dongia1,DG!$G$5,)</f>
        <v>37220.25</v>
      </c>
      <c r="R110" s="554"/>
      <c r="S110" s="113">
        <f t="shared" ref="S110:U113" si="61">$G110*P110</f>
        <v>709090</v>
      </c>
      <c r="T110" s="113">
        <f t="shared" si="61"/>
        <v>74440.5</v>
      </c>
      <c r="U110" s="557">
        <f t="shared" si="61"/>
        <v>0</v>
      </c>
    </row>
    <row r="111" spans="1:21" s="552" customFormat="1" ht="15" hidden="1" customHeight="1">
      <c r="A111" s="621"/>
      <c r="B111" s="622" t="s">
        <v>2171</v>
      </c>
      <c r="C111" s="558" t="str">
        <f ca="1">C110</f>
        <v xml:space="preserve"> </v>
      </c>
      <c r="D111" s="553"/>
      <c r="E111" s="694" t="str">
        <f>VLOOKUP($B111,dongia1,DG!$C$5,)</f>
        <v>Boulon 22x500+ 2 long đền vuông D24-60x60x3/Zn</v>
      </c>
      <c r="F111" s="555" t="str">
        <f>VLOOKUP($B111,dongia1,DG!$D$5,)</f>
        <v>bộ</v>
      </c>
      <c r="G111" s="205">
        <v>2</v>
      </c>
      <c r="H111" s="556">
        <f t="shared" ref="H111:O113" ca="1" si="62">+H$109*$G111</f>
        <v>0</v>
      </c>
      <c r="I111" s="556">
        <f t="shared" ca="1" si="62"/>
        <v>0</v>
      </c>
      <c r="J111" s="556">
        <f t="shared" ca="1" si="62"/>
        <v>0</v>
      </c>
      <c r="K111" s="556">
        <f t="shared" ca="1" si="62"/>
        <v>0</v>
      </c>
      <c r="L111" s="556">
        <f t="shared" ca="1" si="62"/>
        <v>0</v>
      </c>
      <c r="M111" s="556">
        <f t="shared" ca="1" si="62"/>
        <v>0</v>
      </c>
      <c r="N111" s="556">
        <f t="shared" ca="1" si="62"/>
        <v>0</v>
      </c>
      <c r="O111" s="556">
        <f t="shared" ca="1" si="62"/>
        <v>0</v>
      </c>
      <c r="P111" s="182">
        <f>VLOOKUP($B111,dongia1,DG!$F$5,)</f>
        <v>75800</v>
      </c>
      <c r="Q111" s="554"/>
      <c r="R111" s="554"/>
      <c r="S111" s="113">
        <f t="shared" si="61"/>
        <v>151600</v>
      </c>
      <c r="T111" s="113">
        <f t="shared" si="61"/>
        <v>0</v>
      </c>
      <c r="U111" s="557">
        <f t="shared" si="61"/>
        <v>0</v>
      </c>
    </row>
    <row r="112" spans="1:21" s="552" customFormat="1" ht="15" hidden="1" customHeight="1">
      <c r="A112" s="621"/>
      <c r="B112" s="622" t="s">
        <v>1645</v>
      </c>
      <c r="C112" s="558" t="str">
        <f ca="1">C111</f>
        <v xml:space="preserve"> </v>
      </c>
      <c r="D112" s="553"/>
      <c r="E112" s="694" t="str">
        <f>VLOOKUP($B112,dongia1,DG!$C$5,)</f>
        <v>Đào hố móng đất cấp 3 sâu &gt;1m DT&lt;5m2</v>
      </c>
      <c r="F112" s="555" t="str">
        <f>VLOOKUP($B112,dongia1,DG!$D$5,)</f>
        <v>m3</v>
      </c>
      <c r="G112" s="205">
        <v>2.44</v>
      </c>
      <c r="H112" s="556">
        <f t="shared" ca="1" si="62"/>
        <v>0</v>
      </c>
      <c r="I112" s="556">
        <f t="shared" ca="1" si="62"/>
        <v>0</v>
      </c>
      <c r="J112" s="556">
        <f t="shared" ca="1" si="62"/>
        <v>0</v>
      </c>
      <c r="K112" s="556">
        <f t="shared" ca="1" si="62"/>
        <v>0</v>
      </c>
      <c r="L112" s="556">
        <f t="shared" ca="1" si="62"/>
        <v>0</v>
      </c>
      <c r="M112" s="556">
        <f t="shared" ca="1" si="62"/>
        <v>0</v>
      </c>
      <c r="N112" s="556">
        <f t="shared" ca="1" si="62"/>
        <v>0</v>
      </c>
      <c r="O112" s="556">
        <f t="shared" ca="1" si="62"/>
        <v>0</v>
      </c>
      <c r="P112" s="554"/>
      <c r="Q112" s="182">
        <f>VLOOKUP($B112,dongia1,DG!$G$5,)</f>
        <v>296500.89999999997</v>
      </c>
      <c r="R112" s="554"/>
      <c r="S112" s="113">
        <f t="shared" si="61"/>
        <v>0</v>
      </c>
      <c r="T112" s="113">
        <f t="shared" si="61"/>
        <v>723462.19599999988</v>
      </c>
      <c r="U112" s="557">
        <f t="shared" si="61"/>
        <v>0</v>
      </c>
    </row>
    <row r="113" spans="1:21" s="552" customFormat="1" ht="15" hidden="1" customHeight="1">
      <c r="A113" s="621"/>
      <c r="B113" s="622" t="s">
        <v>501</v>
      </c>
      <c r="C113" s="558" t="str">
        <f ca="1">C112</f>
        <v xml:space="preserve"> </v>
      </c>
      <c r="D113" s="553"/>
      <c r="E113" s="694" t="str">
        <f>VLOOKUP($B113,dongia1,DG!$C$5,)</f>
        <v>Đắp đất hố móng, đất cấp 3 (độ chặt k = 0.85)</v>
      </c>
      <c r="F113" s="555" t="str">
        <f>VLOOKUP($B113,dongia1,DG!$D$5,)</f>
        <v>m3</v>
      </c>
      <c r="G113" s="205">
        <v>2.44</v>
      </c>
      <c r="H113" s="556">
        <f t="shared" ca="1" si="62"/>
        <v>0</v>
      </c>
      <c r="I113" s="556">
        <f t="shared" ca="1" si="62"/>
        <v>0</v>
      </c>
      <c r="J113" s="556">
        <f t="shared" ca="1" si="62"/>
        <v>0</v>
      </c>
      <c r="K113" s="556">
        <f t="shared" ca="1" si="62"/>
        <v>0</v>
      </c>
      <c r="L113" s="556">
        <f t="shared" ca="1" si="62"/>
        <v>0</v>
      </c>
      <c r="M113" s="556">
        <f t="shared" ca="1" si="62"/>
        <v>0</v>
      </c>
      <c r="N113" s="556">
        <f t="shared" ca="1" si="62"/>
        <v>0</v>
      </c>
      <c r="O113" s="556">
        <f t="shared" ca="1" si="62"/>
        <v>0</v>
      </c>
      <c r="P113" s="554"/>
      <c r="Q113" s="182">
        <f>VLOOKUP($B113,dongia1,DG!$G$5,)</f>
        <v>117703.6</v>
      </c>
      <c r="R113" s="554"/>
      <c r="S113" s="113">
        <f t="shared" si="61"/>
        <v>0</v>
      </c>
      <c r="T113" s="113">
        <f t="shared" si="61"/>
        <v>287196.78399999999</v>
      </c>
      <c r="U113" s="557">
        <f t="shared" si="61"/>
        <v>0</v>
      </c>
    </row>
    <row r="114" spans="1:21" s="552" customFormat="1" ht="15" hidden="1" customHeight="1">
      <c r="A114" s="621" t="s">
        <v>706</v>
      </c>
      <c r="B114" s="622"/>
      <c r="C114" s="558" t="str">
        <f ca="1">IF(H114&lt;&gt;0,"x"," ")</f>
        <v xml:space="preserve"> </v>
      </c>
      <c r="D114" s="553"/>
      <c r="E114" s="727" t="s">
        <v>3493</v>
      </c>
      <c r="F114" s="600" t="s">
        <v>3391</v>
      </c>
      <c r="G114" s="205"/>
      <c r="H114" s="556">
        <f ca="1">SUM(I114:N114)</f>
        <v>0</v>
      </c>
      <c r="I114" s="556">
        <f ca="1">SUMIF(mong3pm,chitiet!$A114,slmong3pm)</f>
        <v>0</v>
      </c>
      <c r="J114" s="556">
        <f ca="1">SUMIF(mongct,chitiet!$A114,slmongct)</f>
        <v>0</v>
      </c>
      <c r="K114" s="556">
        <f ca="1">SUMIF(mong3p1m,chitiet!$A114,slmong3p1m)</f>
        <v>0</v>
      </c>
      <c r="L114" s="556">
        <f ca="1">SUMIF(mong1pm,chitiet!$A114,slmong1pm)</f>
        <v>0</v>
      </c>
      <c r="M114" s="556">
        <f ca="1">SUMIF(monghthh,chitiet!$A114,slmonghthh)</f>
        <v>0</v>
      </c>
      <c r="N114" s="556">
        <f ca="1">SUMIF(mongHTDL,chitiet!$A114,SLmongHTDL)</f>
        <v>0</v>
      </c>
      <c r="O114" s="556">
        <f ca="1">SUMIF(mongHTCS,chitiet!$A114,slmongHTCS)</f>
        <v>0</v>
      </c>
      <c r="P114" s="554"/>
      <c r="Q114" s="554"/>
      <c r="R114" s="554"/>
      <c r="S114" s="601">
        <f>SUM(S115:S119)</f>
        <v>1169345</v>
      </c>
      <c r="T114" s="601">
        <f>SUM(T115:T119)</f>
        <v>1899573.8439999998</v>
      </c>
      <c r="U114" s="602">
        <f>SUM(U115:U119)</f>
        <v>0</v>
      </c>
    </row>
    <row r="115" spans="1:21" s="552" customFormat="1" ht="15" hidden="1" customHeight="1">
      <c r="A115" s="621"/>
      <c r="B115" s="622" t="s">
        <v>201</v>
      </c>
      <c r="C115" s="558" t="str">
        <f ca="1">C114</f>
        <v xml:space="preserve"> </v>
      </c>
      <c r="D115" s="553"/>
      <c r="E115" s="694" t="str">
        <f>VLOOKUP($B115,dongia1,DG!$C$5,)</f>
        <v>Đà cản BTCT 1,5m</v>
      </c>
      <c r="F115" s="555" t="str">
        <f>VLOOKUP($B115,dongia1,DG!$D$5,)</f>
        <v>cái</v>
      </c>
      <c r="G115" s="205">
        <v>1</v>
      </c>
      <c r="H115" s="556">
        <f ca="1">+H$114*$G115</f>
        <v>0</v>
      </c>
      <c r="I115" s="556">
        <f t="shared" ref="I115:O115" ca="1" si="63">+I$114*$G115</f>
        <v>0</v>
      </c>
      <c r="J115" s="556">
        <f t="shared" ca="1" si="63"/>
        <v>0</v>
      </c>
      <c r="K115" s="556">
        <f t="shared" ca="1" si="63"/>
        <v>0</v>
      </c>
      <c r="L115" s="556">
        <f t="shared" ca="1" si="63"/>
        <v>0</v>
      </c>
      <c r="M115" s="556">
        <f t="shared" ca="1" si="63"/>
        <v>0</v>
      </c>
      <c r="N115" s="556">
        <f t="shared" ca="1" si="63"/>
        <v>0</v>
      </c>
      <c r="O115" s="556">
        <f t="shared" ca="1" si="63"/>
        <v>0</v>
      </c>
      <c r="P115" s="182">
        <f>VLOOKUP($B115,dongia1,DG!$F$5,)</f>
        <v>650000</v>
      </c>
      <c r="Q115" s="182">
        <f>VLOOKUP($B115,dongia1,DG!$G$5,)</f>
        <v>148724</v>
      </c>
      <c r="R115" s="554"/>
      <c r="S115" s="113">
        <f t="shared" ref="S115:U119" si="64">$G115*P115</f>
        <v>650000</v>
      </c>
      <c r="T115" s="113">
        <f t="shared" si="64"/>
        <v>148724</v>
      </c>
      <c r="U115" s="557">
        <f t="shared" si="64"/>
        <v>0</v>
      </c>
    </row>
    <row r="116" spans="1:21" s="552" customFormat="1" ht="15" hidden="1" customHeight="1">
      <c r="A116" s="621"/>
      <c r="B116" s="622" t="s">
        <v>580</v>
      </c>
      <c r="C116" s="558" t="str">
        <f ca="1">C115</f>
        <v xml:space="preserve"> </v>
      </c>
      <c r="D116" s="553"/>
      <c r="E116" s="694" t="str">
        <f>VLOOKUP($B116,dongia1,DG!$C$5,)</f>
        <v>Đà cản BTCT 1,2m</v>
      </c>
      <c r="F116" s="555" t="str">
        <f>VLOOKUP($B116,dongia1,DG!$D$5,)</f>
        <v>cái</v>
      </c>
      <c r="G116" s="205">
        <v>1</v>
      </c>
      <c r="H116" s="556">
        <f t="shared" ref="H116:O119" ca="1" si="65">+H$114*$G116</f>
        <v>0</v>
      </c>
      <c r="I116" s="556">
        <f t="shared" ca="1" si="65"/>
        <v>0</v>
      </c>
      <c r="J116" s="556">
        <f t="shared" ca="1" si="65"/>
        <v>0</v>
      </c>
      <c r="K116" s="556">
        <f t="shared" ca="1" si="65"/>
        <v>0</v>
      </c>
      <c r="L116" s="556">
        <f t="shared" ca="1" si="65"/>
        <v>0</v>
      </c>
      <c r="M116" s="556">
        <f t="shared" ca="1" si="65"/>
        <v>0</v>
      </c>
      <c r="N116" s="556">
        <f t="shared" ca="1" si="65"/>
        <v>0</v>
      </c>
      <c r="O116" s="556">
        <f t="shared" ca="1" si="65"/>
        <v>0</v>
      </c>
      <c r="P116" s="182">
        <f>VLOOKUP($B116,dongia1,DG!$F$5,)</f>
        <v>354545</v>
      </c>
      <c r="Q116" s="182">
        <f>VLOOKUP($B116,dongia1,DG!$G$5,)</f>
        <v>37220.25</v>
      </c>
      <c r="R116" s="554"/>
      <c r="S116" s="113">
        <f>$G116*P116</f>
        <v>354545</v>
      </c>
      <c r="T116" s="113">
        <f>$G116*Q116</f>
        <v>37220.25</v>
      </c>
      <c r="U116" s="557">
        <f>$G116*R116</f>
        <v>0</v>
      </c>
    </row>
    <row r="117" spans="1:21" s="552" customFormat="1" ht="15" hidden="1" customHeight="1">
      <c r="A117" s="621"/>
      <c r="B117" s="622" t="s">
        <v>1549</v>
      </c>
      <c r="C117" s="558" t="str">
        <f ca="1">C115</f>
        <v xml:space="preserve"> </v>
      </c>
      <c r="D117" s="553"/>
      <c r="E117" s="694" t="str">
        <f>VLOOKUP($B117,dongia1,DG!$C$5,)</f>
        <v>Boulon 22x550+ 2 long đền vuông D24-60x60x3/Zn</v>
      </c>
      <c r="F117" s="555" t="str">
        <f>VLOOKUP($B117,dongia1,DG!$D$5,)</f>
        <v>bộ</v>
      </c>
      <c r="G117" s="205">
        <v>2</v>
      </c>
      <c r="H117" s="556">
        <f t="shared" ca="1" si="65"/>
        <v>0</v>
      </c>
      <c r="I117" s="556">
        <f t="shared" ca="1" si="65"/>
        <v>0</v>
      </c>
      <c r="J117" s="556">
        <f t="shared" ca="1" si="65"/>
        <v>0</v>
      </c>
      <c r="K117" s="556">
        <f t="shared" ca="1" si="65"/>
        <v>0</v>
      </c>
      <c r="L117" s="556">
        <f t="shared" ca="1" si="65"/>
        <v>0</v>
      </c>
      <c r="M117" s="556">
        <f t="shared" ca="1" si="65"/>
        <v>0</v>
      </c>
      <c r="N117" s="556">
        <f t="shared" ca="1" si="65"/>
        <v>0</v>
      </c>
      <c r="O117" s="556">
        <f t="shared" ca="1" si="65"/>
        <v>0</v>
      </c>
      <c r="P117" s="182">
        <f>VLOOKUP($B117,dongia1,DG!$F$5,)</f>
        <v>82400</v>
      </c>
      <c r="Q117" s="554"/>
      <c r="R117" s="554"/>
      <c r="S117" s="113">
        <f t="shared" si="64"/>
        <v>164800</v>
      </c>
      <c r="T117" s="113">
        <f t="shared" si="64"/>
        <v>0</v>
      </c>
      <c r="U117" s="557">
        <f t="shared" si="64"/>
        <v>0</v>
      </c>
    </row>
    <row r="118" spans="1:21" s="552" customFormat="1" ht="15" hidden="1" customHeight="1">
      <c r="A118" s="621"/>
      <c r="B118" s="622" t="s">
        <v>1645</v>
      </c>
      <c r="C118" s="558" t="str">
        <f ca="1">C117</f>
        <v xml:space="preserve"> </v>
      </c>
      <c r="D118" s="553"/>
      <c r="E118" s="694" t="str">
        <f>VLOOKUP($B118,dongia1,DG!$C$5,)</f>
        <v>Đào hố móng đất cấp 3 sâu &gt;1m DT&lt;5m2</v>
      </c>
      <c r="F118" s="555" t="str">
        <f>VLOOKUP($B118,dongia1,DG!$D$5,)</f>
        <v>m3</v>
      </c>
      <c r="G118" s="205">
        <v>4.1399999999999997</v>
      </c>
      <c r="H118" s="556">
        <f t="shared" ca="1" si="65"/>
        <v>0</v>
      </c>
      <c r="I118" s="556">
        <f t="shared" ca="1" si="65"/>
        <v>0</v>
      </c>
      <c r="J118" s="556">
        <f t="shared" ca="1" si="65"/>
        <v>0</v>
      </c>
      <c r="K118" s="556">
        <f t="shared" ca="1" si="65"/>
        <v>0</v>
      </c>
      <c r="L118" s="556">
        <f t="shared" ca="1" si="65"/>
        <v>0</v>
      </c>
      <c r="M118" s="556">
        <f t="shared" ca="1" si="65"/>
        <v>0</v>
      </c>
      <c r="N118" s="556">
        <f t="shared" ca="1" si="65"/>
        <v>0</v>
      </c>
      <c r="O118" s="556">
        <f t="shared" ca="1" si="65"/>
        <v>0</v>
      </c>
      <c r="P118" s="554"/>
      <c r="Q118" s="182">
        <f>VLOOKUP($B118,dongia1,DG!$G$5,)</f>
        <v>296500.89999999997</v>
      </c>
      <c r="R118" s="554"/>
      <c r="S118" s="113">
        <f t="shared" si="64"/>
        <v>0</v>
      </c>
      <c r="T118" s="113">
        <f t="shared" si="64"/>
        <v>1227513.7259999998</v>
      </c>
      <c r="U118" s="557">
        <f t="shared" si="64"/>
        <v>0</v>
      </c>
    </row>
    <row r="119" spans="1:21" s="552" customFormat="1" ht="15" hidden="1" customHeight="1">
      <c r="A119" s="621"/>
      <c r="B119" s="622" t="s">
        <v>501</v>
      </c>
      <c r="C119" s="558" t="str">
        <f ca="1">C118</f>
        <v xml:space="preserve"> </v>
      </c>
      <c r="D119" s="553"/>
      <c r="E119" s="694" t="str">
        <f>VLOOKUP($B119,dongia1,DG!$C$5,)</f>
        <v>Đắp đất hố móng, đất cấp 3 (độ chặt k = 0.85)</v>
      </c>
      <c r="F119" s="555" t="str">
        <f>VLOOKUP($B119,dongia1,DG!$D$5,)</f>
        <v>m3</v>
      </c>
      <c r="G119" s="205">
        <v>4.13</v>
      </c>
      <c r="H119" s="556">
        <f t="shared" ca="1" si="65"/>
        <v>0</v>
      </c>
      <c r="I119" s="556">
        <f t="shared" ca="1" si="65"/>
        <v>0</v>
      </c>
      <c r="J119" s="556">
        <f t="shared" ca="1" si="65"/>
        <v>0</v>
      </c>
      <c r="K119" s="556">
        <f t="shared" ca="1" si="65"/>
        <v>0</v>
      </c>
      <c r="L119" s="556">
        <f t="shared" ca="1" si="65"/>
        <v>0</v>
      </c>
      <c r="M119" s="556">
        <f t="shared" ca="1" si="65"/>
        <v>0</v>
      </c>
      <c r="N119" s="556">
        <f t="shared" ca="1" si="65"/>
        <v>0</v>
      </c>
      <c r="O119" s="556">
        <f t="shared" ca="1" si="65"/>
        <v>0</v>
      </c>
      <c r="P119" s="554"/>
      <c r="Q119" s="182">
        <f>VLOOKUP($B119,dongia1,DG!$G$5,)</f>
        <v>117703.6</v>
      </c>
      <c r="R119" s="554"/>
      <c r="S119" s="113">
        <f t="shared" si="64"/>
        <v>0</v>
      </c>
      <c r="T119" s="113">
        <f t="shared" si="64"/>
        <v>486115.86800000002</v>
      </c>
      <c r="U119" s="557">
        <f t="shared" si="64"/>
        <v>0</v>
      </c>
    </row>
    <row r="120" spans="1:21" s="552" customFormat="1" ht="15" hidden="1" customHeight="1">
      <c r="A120" s="621" t="s">
        <v>707</v>
      </c>
      <c r="B120" s="622"/>
      <c r="C120" s="558" t="str">
        <f ca="1">IF(H120&lt;&gt;0,"x"," ")</f>
        <v xml:space="preserve"> </v>
      </c>
      <c r="D120" s="553"/>
      <c r="E120" s="727" t="s">
        <v>3494</v>
      </c>
      <c r="F120" s="600" t="s">
        <v>3391</v>
      </c>
      <c r="G120" s="205"/>
      <c r="H120" s="556">
        <f ca="1">SUM(I120:N120)</f>
        <v>0</v>
      </c>
      <c r="I120" s="556">
        <f ca="1">SUMIF(mong3pm,chitiet!$A120,slmong3pm)</f>
        <v>0</v>
      </c>
      <c r="J120" s="556">
        <f ca="1">SUMIF(mongct,chitiet!$A120,slmongct)</f>
        <v>0</v>
      </c>
      <c r="K120" s="556">
        <f ca="1">SUMIF(mong3p1m,chitiet!$A120,slmong3p1m)</f>
        <v>0</v>
      </c>
      <c r="L120" s="556">
        <f ca="1">SUMIF(mong1pm,chitiet!$A120,slmong1pm)</f>
        <v>0</v>
      </c>
      <c r="M120" s="556">
        <f ca="1">SUMIF(monghthh,chitiet!$A120,slmonghthh)</f>
        <v>0</v>
      </c>
      <c r="N120" s="556">
        <f ca="1">SUMIF(mongHTDL,chitiet!$A120,SLmongHTDL)</f>
        <v>0</v>
      </c>
      <c r="O120" s="556">
        <f ca="1">SUMIF(mongHTCS,chitiet!$A120,slmongHTCS)</f>
        <v>0</v>
      </c>
      <c r="P120" s="554"/>
      <c r="Q120" s="554"/>
      <c r="R120" s="554"/>
      <c r="S120" s="601">
        <f>SUM(S121:S124)</f>
        <v>1464800</v>
      </c>
      <c r="T120" s="601">
        <f>SUM(T121:T124)</f>
        <v>2011077.5939999998</v>
      </c>
      <c r="U120" s="602">
        <f>SUM(U121:U124)</f>
        <v>0</v>
      </c>
    </row>
    <row r="121" spans="1:21" s="552" customFormat="1" ht="15" hidden="1" customHeight="1">
      <c r="A121" s="621"/>
      <c r="B121" s="622" t="s">
        <v>201</v>
      </c>
      <c r="C121" s="558" t="str">
        <f ca="1">C120</f>
        <v xml:space="preserve"> </v>
      </c>
      <c r="D121" s="553"/>
      <c r="E121" s="694" t="str">
        <f>VLOOKUP($B121,dongia1,DG!$C$5,)</f>
        <v>Đà cản BTCT 1,5m</v>
      </c>
      <c r="F121" s="555" t="str">
        <f>VLOOKUP($B121,dongia1,DG!$D$5,)</f>
        <v>cái</v>
      </c>
      <c r="G121" s="205">
        <v>2</v>
      </c>
      <c r="H121" s="556">
        <f ca="1">+H$120*$G121</f>
        <v>0</v>
      </c>
      <c r="I121" s="556">
        <f t="shared" ref="I121:O121" ca="1" si="66">+I$120*$G121</f>
        <v>0</v>
      </c>
      <c r="J121" s="556">
        <f t="shared" ca="1" si="66"/>
        <v>0</v>
      </c>
      <c r="K121" s="556">
        <f t="shared" ca="1" si="66"/>
        <v>0</v>
      </c>
      <c r="L121" s="556">
        <f t="shared" ca="1" si="66"/>
        <v>0</v>
      </c>
      <c r="M121" s="556">
        <f t="shared" ca="1" si="66"/>
        <v>0</v>
      </c>
      <c r="N121" s="556">
        <f t="shared" ca="1" si="66"/>
        <v>0</v>
      </c>
      <c r="O121" s="556">
        <f t="shared" ca="1" si="66"/>
        <v>0</v>
      </c>
      <c r="P121" s="182">
        <f>VLOOKUP($B121,dongia1,DG!$F$5,)</f>
        <v>650000</v>
      </c>
      <c r="Q121" s="182">
        <f>VLOOKUP($B121,dongia1,DG!$G$5,)</f>
        <v>148724</v>
      </c>
      <c r="R121" s="554"/>
      <c r="S121" s="113">
        <f t="shared" ref="S121:U124" si="67">$G121*P121</f>
        <v>1300000</v>
      </c>
      <c r="T121" s="113">
        <f t="shared" si="67"/>
        <v>297448</v>
      </c>
      <c r="U121" s="557">
        <f t="shared" si="67"/>
        <v>0</v>
      </c>
    </row>
    <row r="122" spans="1:21" s="552" customFormat="1" ht="15" hidden="1" customHeight="1">
      <c r="A122" s="621"/>
      <c r="B122" s="622" t="s">
        <v>1549</v>
      </c>
      <c r="C122" s="558" t="str">
        <f ca="1">C121</f>
        <v xml:space="preserve"> </v>
      </c>
      <c r="D122" s="553"/>
      <c r="E122" s="694" t="str">
        <f>VLOOKUP($B122,dongia1,DG!$C$5,)</f>
        <v>Boulon 22x550+ 2 long đền vuông D24-60x60x3/Zn</v>
      </c>
      <c r="F122" s="555" t="str">
        <f>VLOOKUP($B122,dongia1,DG!$D$5,)</f>
        <v>bộ</v>
      </c>
      <c r="G122" s="205">
        <v>2</v>
      </c>
      <c r="H122" s="556">
        <f t="shared" ref="H122:O124" ca="1" si="68">+H$120*$G122</f>
        <v>0</v>
      </c>
      <c r="I122" s="556">
        <f t="shared" ca="1" si="68"/>
        <v>0</v>
      </c>
      <c r="J122" s="556">
        <f t="shared" ca="1" si="68"/>
        <v>0</v>
      </c>
      <c r="K122" s="556">
        <f t="shared" ca="1" si="68"/>
        <v>0</v>
      </c>
      <c r="L122" s="556">
        <f t="shared" ca="1" si="68"/>
        <v>0</v>
      </c>
      <c r="M122" s="556">
        <f t="shared" ca="1" si="68"/>
        <v>0</v>
      </c>
      <c r="N122" s="556">
        <f t="shared" ca="1" si="68"/>
        <v>0</v>
      </c>
      <c r="O122" s="556">
        <f t="shared" ca="1" si="68"/>
        <v>0</v>
      </c>
      <c r="P122" s="182">
        <f>VLOOKUP($B122,dongia1,DG!$F$5,)</f>
        <v>82400</v>
      </c>
      <c r="Q122" s="554"/>
      <c r="R122" s="554"/>
      <c r="S122" s="113">
        <f t="shared" si="67"/>
        <v>164800</v>
      </c>
      <c r="T122" s="113">
        <f t="shared" si="67"/>
        <v>0</v>
      </c>
      <c r="U122" s="557">
        <f t="shared" si="67"/>
        <v>0</v>
      </c>
    </row>
    <row r="123" spans="1:21" s="552" customFormat="1" ht="15" hidden="1" customHeight="1">
      <c r="A123" s="621"/>
      <c r="B123" s="622" t="s">
        <v>1645</v>
      </c>
      <c r="C123" s="558" t="str">
        <f ca="1">C122</f>
        <v xml:space="preserve"> </v>
      </c>
      <c r="D123" s="553"/>
      <c r="E123" s="694" t="str">
        <f>VLOOKUP($B123,dongia1,DG!$C$5,)</f>
        <v>Đào hố móng đất cấp 3 sâu &gt;1m DT&lt;5m2</v>
      </c>
      <c r="F123" s="555" t="str">
        <f>VLOOKUP($B123,dongia1,DG!$D$5,)</f>
        <v>m3</v>
      </c>
      <c r="G123" s="205">
        <v>4.1399999999999997</v>
      </c>
      <c r="H123" s="556">
        <f t="shared" ca="1" si="68"/>
        <v>0</v>
      </c>
      <c r="I123" s="556">
        <f t="shared" ca="1" si="68"/>
        <v>0</v>
      </c>
      <c r="J123" s="556">
        <f t="shared" ca="1" si="68"/>
        <v>0</v>
      </c>
      <c r="K123" s="556">
        <f t="shared" ca="1" si="68"/>
        <v>0</v>
      </c>
      <c r="L123" s="556">
        <f t="shared" ca="1" si="68"/>
        <v>0</v>
      </c>
      <c r="M123" s="556">
        <f t="shared" ca="1" si="68"/>
        <v>0</v>
      </c>
      <c r="N123" s="556">
        <f t="shared" ca="1" si="68"/>
        <v>0</v>
      </c>
      <c r="O123" s="556">
        <f t="shared" ca="1" si="68"/>
        <v>0</v>
      </c>
      <c r="P123" s="554"/>
      <c r="Q123" s="182">
        <f>VLOOKUP($B123,dongia1,DG!$G$5,)</f>
        <v>296500.89999999997</v>
      </c>
      <c r="R123" s="554"/>
      <c r="S123" s="113">
        <f t="shared" si="67"/>
        <v>0</v>
      </c>
      <c r="T123" s="113">
        <f t="shared" si="67"/>
        <v>1227513.7259999998</v>
      </c>
      <c r="U123" s="557">
        <f t="shared" si="67"/>
        <v>0</v>
      </c>
    </row>
    <row r="124" spans="1:21" s="552" customFormat="1" ht="15" hidden="1" customHeight="1">
      <c r="A124" s="621"/>
      <c r="B124" s="622" t="s">
        <v>501</v>
      </c>
      <c r="C124" s="558" t="str">
        <f ca="1">C123</f>
        <v xml:space="preserve"> </v>
      </c>
      <c r="D124" s="553"/>
      <c r="E124" s="694" t="str">
        <f>VLOOKUP($B124,dongia1,DG!$C$5,)</f>
        <v>Đắp đất hố móng, đất cấp 3 (độ chặt k = 0.85)</v>
      </c>
      <c r="F124" s="555" t="str">
        <f>VLOOKUP($B124,dongia1,DG!$D$5,)</f>
        <v>m3</v>
      </c>
      <c r="G124" s="205">
        <v>4.13</v>
      </c>
      <c r="H124" s="556">
        <f t="shared" ca="1" si="68"/>
        <v>0</v>
      </c>
      <c r="I124" s="556">
        <f t="shared" ca="1" si="68"/>
        <v>0</v>
      </c>
      <c r="J124" s="556">
        <f t="shared" ca="1" si="68"/>
        <v>0</v>
      </c>
      <c r="K124" s="556">
        <f t="shared" ca="1" si="68"/>
        <v>0</v>
      </c>
      <c r="L124" s="556">
        <f t="shared" ca="1" si="68"/>
        <v>0</v>
      </c>
      <c r="M124" s="556">
        <f t="shared" ca="1" si="68"/>
        <v>0</v>
      </c>
      <c r="N124" s="556">
        <f t="shared" ca="1" si="68"/>
        <v>0</v>
      </c>
      <c r="O124" s="556">
        <f t="shared" ca="1" si="68"/>
        <v>0</v>
      </c>
      <c r="P124" s="554"/>
      <c r="Q124" s="182">
        <f>VLOOKUP($B124,dongia1,DG!$G$5,)</f>
        <v>117703.6</v>
      </c>
      <c r="R124" s="554"/>
      <c r="S124" s="113">
        <f t="shared" si="67"/>
        <v>0</v>
      </c>
      <c r="T124" s="113">
        <f t="shared" si="67"/>
        <v>486115.86800000002</v>
      </c>
      <c r="U124" s="557">
        <f t="shared" si="67"/>
        <v>0</v>
      </c>
    </row>
    <row r="125" spans="1:21" s="552" customFormat="1" ht="15" hidden="1" customHeight="1">
      <c r="A125" s="621" t="s">
        <v>517</v>
      </c>
      <c r="B125" s="622"/>
      <c r="C125" s="558" t="str">
        <f ca="1">IF(H125&lt;&gt;0,"x"," ")</f>
        <v xml:space="preserve"> </v>
      </c>
      <c r="D125" s="553"/>
      <c r="E125" s="727" t="s">
        <v>3495</v>
      </c>
      <c r="F125" s="600" t="s">
        <v>3391</v>
      </c>
      <c r="G125" s="205"/>
      <c r="H125" s="556">
        <f ca="1">SUM(I125:N125)</f>
        <v>0</v>
      </c>
      <c r="I125" s="556">
        <f ca="1">SUMIF(mong3pm,chitiet!$A125,slmong3pm)</f>
        <v>0</v>
      </c>
      <c r="J125" s="556">
        <f ca="1">SUMIF(mongct,chitiet!$A125,slmongct)</f>
        <v>0</v>
      </c>
      <c r="K125" s="556">
        <f ca="1">SUMIF(mong3p1m,chitiet!$A125,slmong3p1m)</f>
        <v>0</v>
      </c>
      <c r="L125" s="556">
        <f ca="1">SUMIF(mong1pm,chitiet!$A125,slmong1pm)</f>
        <v>0</v>
      </c>
      <c r="M125" s="556">
        <f ca="1">SUMIF(monghthh,chitiet!$A125,slmonghthh)</f>
        <v>0</v>
      </c>
      <c r="N125" s="556">
        <f ca="1">SUMIF(mongHTDL,chitiet!$A125,SLmongHTDL)</f>
        <v>0</v>
      </c>
      <c r="O125" s="556">
        <f ca="1">SUMIF(mongHTCS,chitiet!$A125,slmongHTCS)</f>
        <v>0</v>
      </c>
      <c r="P125" s="554"/>
      <c r="Q125" s="554"/>
      <c r="R125" s="554"/>
      <c r="S125" s="602">
        <f>SUM(S126:S129)</f>
        <v>812190</v>
      </c>
      <c r="T125" s="602">
        <f>SUM(T126:T129)</f>
        <v>467934.77499999997</v>
      </c>
      <c r="U125" s="602">
        <f>SUM(U126:U129)</f>
        <v>0</v>
      </c>
    </row>
    <row r="126" spans="1:21" s="552" customFormat="1" ht="15" hidden="1" customHeight="1">
      <c r="A126" s="621"/>
      <c r="B126" s="622" t="s">
        <v>580</v>
      </c>
      <c r="C126" s="558" t="str">
        <f t="shared" ref="C126:C134" ca="1" si="69">C125</f>
        <v xml:space="preserve"> </v>
      </c>
      <c r="D126" s="553"/>
      <c r="E126" s="694" t="str">
        <f>VLOOKUP($B126,dongia1,DG!$C$5,)</f>
        <v>Đà cản BTCT 1,2m</v>
      </c>
      <c r="F126" s="555" t="str">
        <f>VLOOKUP($B126,dongia1,DG!$D$5,)</f>
        <v>cái</v>
      </c>
      <c r="G126" s="205">
        <v>2</v>
      </c>
      <c r="H126" s="556">
        <f ca="1">+H$125*$G126</f>
        <v>0</v>
      </c>
      <c r="I126" s="556">
        <f t="shared" ref="I126:O126" ca="1" si="70">+I$125*$G126</f>
        <v>0</v>
      </c>
      <c r="J126" s="556">
        <f t="shared" ca="1" si="70"/>
        <v>0</v>
      </c>
      <c r="K126" s="556">
        <f t="shared" ca="1" si="70"/>
        <v>0</v>
      </c>
      <c r="L126" s="556">
        <f t="shared" ca="1" si="70"/>
        <v>0</v>
      </c>
      <c r="M126" s="556">
        <f t="shared" ca="1" si="70"/>
        <v>0</v>
      </c>
      <c r="N126" s="556">
        <f t="shared" ca="1" si="70"/>
        <v>0</v>
      </c>
      <c r="O126" s="556">
        <f t="shared" ca="1" si="70"/>
        <v>0</v>
      </c>
      <c r="P126" s="182">
        <f>VLOOKUP($B126,dongia1,DG!$F$5,)</f>
        <v>354545</v>
      </c>
      <c r="Q126" s="182">
        <f>VLOOKUP($B126,dongia1,DG!$G$5,)</f>
        <v>37220.25</v>
      </c>
      <c r="R126" s="554"/>
      <c r="S126" s="113">
        <f t="shared" ref="S126:U129" si="71">$G126*P126</f>
        <v>709090</v>
      </c>
      <c r="T126" s="113">
        <f t="shared" si="71"/>
        <v>74440.5</v>
      </c>
      <c r="U126" s="557">
        <f t="shared" si="71"/>
        <v>0</v>
      </c>
    </row>
    <row r="127" spans="1:21" s="552" customFormat="1" ht="15" hidden="1" customHeight="1">
      <c r="A127" s="621"/>
      <c r="B127" s="622" t="s">
        <v>1550</v>
      </c>
      <c r="C127" s="558" t="str">
        <f t="shared" ca="1" si="69"/>
        <v xml:space="preserve"> </v>
      </c>
      <c r="D127" s="553"/>
      <c r="E127" s="694" t="str">
        <f>VLOOKUP($B127,dongia1,DG!$C$5,)</f>
        <v>Boulon 22x750+ 2 long đền vuông D24-60x60x3/Zn</v>
      </c>
      <c r="F127" s="555" t="str">
        <f>VLOOKUP($B127,dongia1,DG!$D$5,)</f>
        <v>bộ</v>
      </c>
      <c r="G127" s="205">
        <v>1</v>
      </c>
      <c r="H127" s="556">
        <f t="shared" ref="H127:O129" ca="1" si="72">+H$125*$G127</f>
        <v>0</v>
      </c>
      <c r="I127" s="556">
        <f t="shared" ca="1" si="72"/>
        <v>0</v>
      </c>
      <c r="J127" s="556">
        <f t="shared" ca="1" si="72"/>
        <v>0</v>
      </c>
      <c r="K127" s="556">
        <f t="shared" ca="1" si="72"/>
        <v>0</v>
      </c>
      <c r="L127" s="556">
        <f t="shared" ca="1" si="72"/>
        <v>0</v>
      </c>
      <c r="M127" s="556">
        <f t="shared" ca="1" si="72"/>
        <v>0</v>
      </c>
      <c r="N127" s="556">
        <f t="shared" ca="1" si="72"/>
        <v>0</v>
      </c>
      <c r="O127" s="556">
        <f t="shared" ca="1" si="72"/>
        <v>0</v>
      </c>
      <c r="P127" s="182">
        <f>VLOOKUP($B127,dongia1,DG!$F$5,)</f>
        <v>103100</v>
      </c>
      <c r="Q127" s="554"/>
      <c r="R127" s="554"/>
      <c r="S127" s="113">
        <f t="shared" si="71"/>
        <v>103100</v>
      </c>
      <c r="T127" s="113">
        <f t="shared" si="71"/>
        <v>0</v>
      </c>
      <c r="U127" s="557">
        <f t="shared" si="71"/>
        <v>0</v>
      </c>
    </row>
    <row r="128" spans="1:21" s="552" customFormat="1" ht="15" hidden="1" customHeight="1">
      <c r="A128" s="621"/>
      <c r="B128" s="622" t="s">
        <v>1645</v>
      </c>
      <c r="C128" s="558" t="str">
        <f ca="1">C127</f>
        <v xml:space="preserve"> </v>
      </c>
      <c r="D128" s="553"/>
      <c r="E128" s="694" t="str">
        <f>VLOOKUP($B128,dongia1,DG!$C$5,)</f>
        <v>Đào hố móng đất cấp 3 sâu &gt;1m DT&lt;5m2</v>
      </c>
      <c r="F128" s="555" t="str">
        <f>VLOOKUP($B128,dongia1,DG!$D$5,)</f>
        <v>m3</v>
      </c>
      <c r="G128" s="205">
        <v>0.95</v>
      </c>
      <c r="H128" s="556">
        <f t="shared" ca="1" si="72"/>
        <v>0</v>
      </c>
      <c r="I128" s="556">
        <f t="shared" ca="1" si="72"/>
        <v>0</v>
      </c>
      <c r="J128" s="556">
        <f t="shared" ca="1" si="72"/>
        <v>0</v>
      </c>
      <c r="K128" s="556">
        <f t="shared" ca="1" si="72"/>
        <v>0</v>
      </c>
      <c r="L128" s="556">
        <f t="shared" ca="1" si="72"/>
        <v>0</v>
      </c>
      <c r="M128" s="556">
        <f t="shared" ca="1" si="72"/>
        <v>0</v>
      </c>
      <c r="N128" s="556">
        <f t="shared" ca="1" si="72"/>
        <v>0</v>
      </c>
      <c r="O128" s="556">
        <f t="shared" ca="1" si="72"/>
        <v>0</v>
      </c>
      <c r="P128" s="554"/>
      <c r="Q128" s="182">
        <f>VLOOKUP($B128,dongia1,DG!$G$5,)</f>
        <v>296500.89999999997</v>
      </c>
      <c r="R128" s="554"/>
      <c r="S128" s="113">
        <f t="shared" si="71"/>
        <v>0</v>
      </c>
      <c r="T128" s="113">
        <f t="shared" si="71"/>
        <v>281675.85499999998</v>
      </c>
      <c r="U128" s="557">
        <f t="shared" si="71"/>
        <v>0</v>
      </c>
    </row>
    <row r="129" spans="1:21" s="552" customFormat="1" ht="15" hidden="1" customHeight="1">
      <c r="A129" s="621"/>
      <c r="B129" s="622" t="s">
        <v>501</v>
      </c>
      <c r="C129" s="558" t="str">
        <f t="shared" ca="1" si="69"/>
        <v xml:space="preserve"> </v>
      </c>
      <c r="D129" s="553"/>
      <c r="E129" s="694" t="str">
        <f>VLOOKUP($B129,dongia1,DG!$C$5,)</f>
        <v>Đắp đất hố móng, đất cấp 3 (độ chặt k = 0.85)</v>
      </c>
      <c r="F129" s="555" t="str">
        <f>VLOOKUP($B129,dongia1,DG!$D$5,)</f>
        <v>m3</v>
      </c>
      <c r="G129" s="205">
        <v>0.95</v>
      </c>
      <c r="H129" s="556">
        <f t="shared" ca="1" si="72"/>
        <v>0</v>
      </c>
      <c r="I129" s="556">
        <f t="shared" ca="1" si="72"/>
        <v>0</v>
      </c>
      <c r="J129" s="556">
        <f t="shared" ca="1" si="72"/>
        <v>0</v>
      </c>
      <c r="K129" s="556">
        <f t="shared" ca="1" si="72"/>
        <v>0</v>
      </c>
      <c r="L129" s="556">
        <f t="shared" ca="1" si="72"/>
        <v>0</v>
      </c>
      <c r="M129" s="556">
        <f t="shared" ca="1" si="72"/>
        <v>0</v>
      </c>
      <c r="N129" s="556">
        <f t="shared" ca="1" si="72"/>
        <v>0</v>
      </c>
      <c r="O129" s="556">
        <f t="shared" ca="1" si="72"/>
        <v>0</v>
      </c>
      <c r="P129" s="554"/>
      <c r="Q129" s="182">
        <f>VLOOKUP($B129,dongia1,DG!$G$5,)</f>
        <v>117703.6</v>
      </c>
      <c r="R129" s="554"/>
      <c r="S129" s="113">
        <f t="shared" si="71"/>
        <v>0</v>
      </c>
      <c r="T129" s="113">
        <f t="shared" si="71"/>
        <v>111818.42</v>
      </c>
      <c r="U129" s="557">
        <f t="shared" si="71"/>
        <v>0</v>
      </c>
    </row>
    <row r="130" spans="1:21" s="552" customFormat="1" ht="15" hidden="1" customHeight="1">
      <c r="A130" s="621" t="s">
        <v>2174</v>
      </c>
      <c r="B130" s="622"/>
      <c r="C130" s="558" t="str">
        <f ca="1">IF(H130&lt;&gt;0,"x"," ")</f>
        <v xml:space="preserve"> </v>
      </c>
      <c r="D130" s="553"/>
      <c r="E130" s="727" t="s">
        <v>3496</v>
      </c>
      <c r="F130" s="600" t="s">
        <v>3391</v>
      </c>
      <c r="G130" s="205"/>
      <c r="H130" s="556">
        <f ca="1">SUM(I130:N130)</f>
        <v>0</v>
      </c>
      <c r="I130" s="556">
        <f ca="1">SUMIF(mong3pm,chitiet!$A130,slmong3pm)</f>
        <v>0</v>
      </c>
      <c r="J130" s="556">
        <f ca="1">SUMIF(mongct,chitiet!$A130,slmongct)</f>
        <v>0</v>
      </c>
      <c r="K130" s="556">
        <f ca="1">SUMIF(mong3p1m,chitiet!$A130,slmong3p1m)</f>
        <v>0</v>
      </c>
      <c r="L130" s="556">
        <f ca="1">SUMIF(mong1pm,chitiet!$A130,slmong1pm)</f>
        <v>0</v>
      </c>
      <c r="M130" s="556">
        <f ca="1">SUMIF(monghthh,chitiet!$A130,slmonghthh)</f>
        <v>0</v>
      </c>
      <c r="N130" s="556">
        <f ca="1">SUMIF(mongHTDL,chitiet!$A130,SLmongHTDL)</f>
        <v>0</v>
      </c>
      <c r="O130" s="556">
        <f ca="1">SUMIF(mongHTCS,chitiet!$A130,slmongHTCS)</f>
        <v>0</v>
      </c>
      <c r="P130" s="554"/>
      <c r="Q130" s="554"/>
      <c r="R130" s="554"/>
      <c r="S130" s="602">
        <f>SUM(S131:S134)</f>
        <v>1408600</v>
      </c>
      <c r="T130" s="602">
        <f>SUM(T131:T134)</f>
        <v>895690.45299999998</v>
      </c>
      <c r="U130" s="602">
        <f>SUM(U131:U134)</f>
        <v>0</v>
      </c>
    </row>
    <row r="131" spans="1:21" s="552" customFormat="1" ht="15" hidden="1" customHeight="1">
      <c r="A131" s="621"/>
      <c r="B131" s="622" t="s">
        <v>201</v>
      </c>
      <c r="C131" s="558" t="str">
        <f t="shared" ca="1" si="69"/>
        <v xml:space="preserve"> </v>
      </c>
      <c r="D131" s="553"/>
      <c r="E131" s="694" t="str">
        <f>VLOOKUP($B131,dongia1,DG!$C$5,)</f>
        <v>Đà cản BTCT 1,5m</v>
      </c>
      <c r="F131" s="555" t="str">
        <f>VLOOKUP($B131,dongia1,DG!$D$5,)</f>
        <v>cái</v>
      </c>
      <c r="G131" s="205">
        <v>2</v>
      </c>
      <c r="H131" s="556">
        <f ca="1">+H$130*$G131</f>
        <v>0</v>
      </c>
      <c r="I131" s="556">
        <f t="shared" ref="I131:O131" ca="1" si="73">+I$130*$G131</f>
        <v>0</v>
      </c>
      <c r="J131" s="556">
        <f t="shared" ca="1" si="73"/>
        <v>0</v>
      </c>
      <c r="K131" s="556">
        <f t="shared" ca="1" si="73"/>
        <v>0</v>
      </c>
      <c r="L131" s="556">
        <f t="shared" ca="1" si="73"/>
        <v>0</v>
      </c>
      <c r="M131" s="556">
        <f t="shared" ca="1" si="73"/>
        <v>0</v>
      </c>
      <c r="N131" s="556">
        <f t="shared" ca="1" si="73"/>
        <v>0</v>
      </c>
      <c r="O131" s="556">
        <f t="shared" ca="1" si="73"/>
        <v>0</v>
      </c>
      <c r="P131" s="182">
        <f>VLOOKUP($B131,dongia1,DG!$F$5,)</f>
        <v>650000</v>
      </c>
      <c r="Q131" s="182">
        <f>VLOOKUP($B131,dongia1,DG!$G$5,)</f>
        <v>148724</v>
      </c>
      <c r="R131" s="554"/>
      <c r="S131" s="113">
        <f t="shared" ref="S131:U134" si="74">$G131*P131</f>
        <v>1300000</v>
      </c>
      <c r="T131" s="113">
        <f t="shared" si="74"/>
        <v>297448</v>
      </c>
      <c r="U131" s="557">
        <f t="shared" si="74"/>
        <v>0</v>
      </c>
    </row>
    <row r="132" spans="1:21" s="552" customFormat="1" ht="15" hidden="1" customHeight="1">
      <c r="A132" s="621"/>
      <c r="B132" s="622" t="s">
        <v>365</v>
      </c>
      <c r="C132" s="558" t="str">
        <f t="shared" ca="1" si="69"/>
        <v xml:space="preserve"> </v>
      </c>
      <c r="D132" s="553"/>
      <c r="E132" s="694" t="str">
        <f>VLOOKUP($B132,dongia1,DG!$C$5,)</f>
        <v>Boulon 22x800+ 2 long đền vuông D24-60x60x3/Zn</v>
      </c>
      <c r="F132" s="555" t="str">
        <f>VLOOKUP($B132,dongia1,DG!$D$5,)</f>
        <v>bộ</v>
      </c>
      <c r="G132" s="205">
        <v>1</v>
      </c>
      <c r="H132" s="556">
        <f t="shared" ref="H132:O134" ca="1" si="75">+H$130*$G132</f>
        <v>0</v>
      </c>
      <c r="I132" s="556">
        <f t="shared" ca="1" si="75"/>
        <v>0</v>
      </c>
      <c r="J132" s="556">
        <f t="shared" ca="1" si="75"/>
        <v>0</v>
      </c>
      <c r="K132" s="556">
        <f t="shared" ca="1" si="75"/>
        <v>0</v>
      </c>
      <c r="L132" s="556">
        <f t="shared" ca="1" si="75"/>
        <v>0</v>
      </c>
      <c r="M132" s="556">
        <f t="shared" ca="1" si="75"/>
        <v>0</v>
      </c>
      <c r="N132" s="556">
        <f t="shared" ca="1" si="75"/>
        <v>0</v>
      </c>
      <c r="O132" s="556">
        <f t="shared" ca="1" si="75"/>
        <v>0</v>
      </c>
      <c r="P132" s="182">
        <f>VLOOKUP($B132,dongia1,DG!$F$5,)</f>
        <v>108600</v>
      </c>
      <c r="Q132" s="554"/>
      <c r="R132" s="554"/>
      <c r="S132" s="113">
        <f t="shared" si="74"/>
        <v>108600</v>
      </c>
      <c r="T132" s="113">
        <f t="shared" si="74"/>
        <v>0</v>
      </c>
      <c r="U132" s="557">
        <f t="shared" si="74"/>
        <v>0</v>
      </c>
    </row>
    <row r="133" spans="1:21" s="552" customFormat="1" ht="15" hidden="1" customHeight="1">
      <c r="A133" s="621"/>
      <c r="B133" s="622" t="s">
        <v>1645</v>
      </c>
      <c r="C133" s="558" t="str">
        <f ca="1">C132</f>
        <v xml:space="preserve"> </v>
      </c>
      <c r="D133" s="553"/>
      <c r="E133" s="694" t="str">
        <f>VLOOKUP($B133,dongia1,DG!$C$5,)</f>
        <v>Đào hố móng đất cấp 3 sâu &gt;1m DT&lt;5m2</v>
      </c>
      <c r="F133" s="555" t="str">
        <f>VLOOKUP($B133,dongia1,DG!$D$5,)</f>
        <v>m3</v>
      </c>
      <c r="G133" s="205">
        <v>1.45</v>
      </c>
      <c r="H133" s="556">
        <f t="shared" ca="1" si="75"/>
        <v>0</v>
      </c>
      <c r="I133" s="556">
        <f t="shared" ca="1" si="75"/>
        <v>0</v>
      </c>
      <c r="J133" s="556">
        <f t="shared" ca="1" si="75"/>
        <v>0</v>
      </c>
      <c r="K133" s="556">
        <f t="shared" ca="1" si="75"/>
        <v>0</v>
      </c>
      <c r="L133" s="556">
        <f t="shared" ca="1" si="75"/>
        <v>0</v>
      </c>
      <c r="M133" s="556">
        <f t="shared" ca="1" si="75"/>
        <v>0</v>
      </c>
      <c r="N133" s="556">
        <f t="shared" ca="1" si="75"/>
        <v>0</v>
      </c>
      <c r="O133" s="556">
        <f t="shared" ca="1" si="75"/>
        <v>0</v>
      </c>
      <c r="P133" s="554"/>
      <c r="Q133" s="182">
        <f>VLOOKUP($B133,dongia1,DG!$G$5,)</f>
        <v>296500.89999999997</v>
      </c>
      <c r="R133" s="554"/>
      <c r="S133" s="113">
        <f t="shared" si="74"/>
        <v>0</v>
      </c>
      <c r="T133" s="113">
        <f t="shared" si="74"/>
        <v>429926.30499999993</v>
      </c>
      <c r="U133" s="557">
        <f t="shared" si="74"/>
        <v>0</v>
      </c>
    </row>
    <row r="134" spans="1:21" s="552" customFormat="1" ht="15" hidden="1" customHeight="1">
      <c r="A134" s="621"/>
      <c r="B134" s="622" t="s">
        <v>501</v>
      </c>
      <c r="C134" s="558" t="str">
        <f t="shared" ca="1" si="69"/>
        <v xml:space="preserve"> </v>
      </c>
      <c r="D134" s="553"/>
      <c r="E134" s="694" t="str">
        <f>VLOOKUP($B134,dongia1,DG!$C$5,)</f>
        <v>Đắp đất hố móng, đất cấp 3 (độ chặt k = 0.85)</v>
      </c>
      <c r="F134" s="555" t="str">
        <f>VLOOKUP($B134,dongia1,DG!$D$5,)</f>
        <v>m3</v>
      </c>
      <c r="G134" s="205">
        <v>1.43</v>
      </c>
      <c r="H134" s="556">
        <f t="shared" ca="1" si="75"/>
        <v>0</v>
      </c>
      <c r="I134" s="556">
        <f t="shared" ca="1" si="75"/>
        <v>0</v>
      </c>
      <c r="J134" s="556">
        <f t="shared" ca="1" si="75"/>
        <v>0</v>
      </c>
      <c r="K134" s="556">
        <f t="shared" ca="1" si="75"/>
        <v>0</v>
      </c>
      <c r="L134" s="556">
        <f t="shared" ca="1" si="75"/>
        <v>0</v>
      </c>
      <c r="M134" s="556">
        <f t="shared" ca="1" si="75"/>
        <v>0</v>
      </c>
      <c r="N134" s="556">
        <f t="shared" ca="1" si="75"/>
        <v>0</v>
      </c>
      <c r="O134" s="556">
        <f t="shared" ca="1" si="75"/>
        <v>0</v>
      </c>
      <c r="P134" s="554"/>
      <c r="Q134" s="182">
        <f>VLOOKUP($B134,dongia1,DG!$G$5,)</f>
        <v>117703.6</v>
      </c>
      <c r="R134" s="554"/>
      <c r="S134" s="113">
        <f t="shared" si="74"/>
        <v>0</v>
      </c>
      <c r="T134" s="113">
        <f t="shared" si="74"/>
        <v>168316.14799999999</v>
      </c>
      <c r="U134" s="557">
        <f t="shared" si="74"/>
        <v>0</v>
      </c>
    </row>
    <row r="135" spans="1:21" s="552" customFormat="1" ht="15" hidden="1" customHeight="1">
      <c r="A135" s="621" t="s">
        <v>1697</v>
      </c>
      <c r="B135" s="622"/>
      <c r="C135" s="558" t="str">
        <f ca="1">IF(H135&lt;&gt;0,"x"," ")</f>
        <v xml:space="preserve"> </v>
      </c>
      <c r="D135" s="553"/>
      <c r="E135" s="727" t="s">
        <v>3497</v>
      </c>
      <c r="F135" s="600" t="s">
        <v>3391</v>
      </c>
      <c r="G135" s="205"/>
      <c r="H135" s="556">
        <f ca="1">SUM(I135:O135)</f>
        <v>0</v>
      </c>
      <c r="I135" s="556">
        <f ca="1">SUMIF(mong3pm,chitiet!$A135,slmong3pm)</f>
        <v>0</v>
      </c>
      <c r="J135" s="556">
        <f ca="1">SUMIF(mongct,chitiet!$A135,slmongct)</f>
        <v>0</v>
      </c>
      <c r="K135" s="556">
        <f ca="1">SUMIF(mong3p1m,chitiet!$A135,slmong3p1m)</f>
        <v>0</v>
      </c>
      <c r="L135" s="556">
        <f ca="1">SUMIF(mong1pm,chitiet!$A135,slmong1pm)</f>
        <v>0</v>
      </c>
      <c r="M135" s="556">
        <f ca="1">SUMIF(monghthh,chitiet!$A135,slmonghthh)</f>
        <v>0</v>
      </c>
      <c r="N135" s="556">
        <f ca="1">SUMIF(mongHTDL,chitiet!$A135,SLmongHTDL)</f>
        <v>0</v>
      </c>
      <c r="O135" s="556">
        <f ca="1">SUMIF(mongHTCS,chitiet!$A135,slmongHTCS)</f>
        <v>0</v>
      </c>
      <c r="P135" s="554"/>
      <c r="Q135" s="554"/>
      <c r="R135" s="554"/>
      <c r="S135" s="601">
        <f>SUM(S136:S137)</f>
        <v>0</v>
      </c>
      <c r="T135" s="601">
        <f>SUM(T136:T137)</f>
        <v>75122.779028800011</v>
      </c>
      <c r="U135" s="602">
        <f>SUM(U136:U137)</f>
        <v>0</v>
      </c>
    </row>
    <row r="136" spans="1:21" s="552" customFormat="1" ht="15" hidden="1" customHeight="1">
      <c r="A136" s="621"/>
      <c r="B136" s="622" t="s">
        <v>1645</v>
      </c>
      <c r="C136" s="558" t="str">
        <f ca="1">+C135</f>
        <v xml:space="preserve"> </v>
      </c>
      <c r="D136" s="553"/>
      <c r="E136" s="694" t="str">
        <f>VLOOKUP($B136,dongia1,DG!$C$5,)</f>
        <v>Đào hố móng đất cấp 3 sâu &gt;1m DT&lt;5m2</v>
      </c>
      <c r="F136" s="555" t="str">
        <f>VLOOKUP($B136,dongia1,DG!$D$5,)</f>
        <v>m3</v>
      </c>
      <c r="G136" s="205">
        <f>3.14*0.38^2/4*1.6</f>
        <v>0.18136640000000004</v>
      </c>
      <c r="H136" s="556">
        <f ca="1">+H$135*$G136</f>
        <v>0</v>
      </c>
      <c r="I136" s="556">
        <f t="shared" ref="I136:O137" ca="1" si="76">+I$135*$G136</f>
        <v>0</v>
      </c>
      <c r="J136" s="556">
        <f t="shared" ca="1" si="76"/>
        <v>0</v>
      </c>
      <c r="K136" s="556">
        <f t="shared" ca="1" si="76"/>
        <v>0</v>
      </c>
      <c r="L136" s="556">
        <f t="shared" ca="1" si="76"/>
        <v>0</v>
      </c>
      <c r="M136" s="556">
        <f t="shared" ca="1" si="76"/>
        <v>0</v>
      </c>
      <c r="N136" s="556">
        <f t="shared" ca="1" si="76"/>
        <v>0</v>
      </c>
      <c r="O136" s="556">
        <f t="shared" ca="1" si="76"/>
        <v>0</v>
      </c>
      <c r="P136" s="182">
        <f>VLOOKUP($B136,dongia1,DG!$F$5,)</f>
        <v>0</v>
      </c>
      <c r="Q136" s="182">
        <f>VLOOKUP($B136,dongia1,DG!$G$5,)</f>
        <v>296500.89999999997</v>
      </c>
      <c r="R136" s="554"/>
      <c r="S136" s="113">
        <f t="shared" ref="S136:U137" si="77">$G136*P136</f>
        <v>0</v>
      </c>
      <c r="T136" s="113">
        <f t="shared" si="77"/>
        <v>53775.300829760003</v>
      </c>
      <c r="U136" s="557">
        <f t="shared" si="77"/>
        <v>0</v>
      </c>
    </row>
    <row r="137" spans="1:21" s="552" customFormat="1" ht="15" hidden="1" customHeight="1">
      <c r="A137" s="621"/>
      <c r="B137" s="622" t="s">
        <v>501</v>
      </c>
      <c r="C137" s="558" t="str">
        <f ca="1">C136</f>
        <v xml:space="preserve"> </v>
      </c>
      <c r="D137" s="553"/>
      <c r="E137" s="694" t="str">
        <f>VLOOKUP($B137,dongia1,DG!$C$5,)</f>
        <v>Đắp đất hố móng, đất cấp 3 (độ chặt k = 0.85)</v>
      </c>
      <c r="F137" s="555" t="str">
        <f>VLOOKUP($B137,dongia1,DG!$D$5,)</f>
        <v>m3</v>
      </c>
      <c r="G137" s="205">
        <f>G136</f>
        <v>0.18136640000000004</v>
      </c>
      <c r="H137" s="556">
        <f ca="1">+H$135*$G137</f>
        <v>0</v>
      </c>
      <c r="I137" s="556">
        <f t="shared" ca="1" si="76"/>
        <v>0</v>
      </c>
      <c r="J137" s="556">
        <f t="shared" ca="1" si="76"/>
        <v>0</v>
      </c>
      <c r="K137" s="556">
        <f t="shared" ca="1" si="76"/>
        <v>0</v>
      </c>
      <c r="L137" s="556">
        <f t="shared" ca="1" si="76"/>
        <v>0</v>
      </c>
      <c r="M137" s="556">
        <f t="shared" ca="1" si="76"/>
        <v>0</v>
      </c>
      <c r="N137" s="556">
        <f t="shared" ca="1" si="76"/>
        <v>0</v>
      </c>
      <c r="O137" s="556">
        <f t="shared" ca="1" si="76"/>
        <v>0</v>
      </c>
      <c r="P137" s="182">
        <f>VLOOKUP($B137,dongia1,DG!$F$5,)</f>
        <v>0</v>
      </c>
      <c r="Q137" s="182">
        <f>VLOOKUP($B137,dongia1,DG!$G$5,)</f>
        <v>117703.6</v>
      </c>
      <c r="R137" s="554"/>
      <c r="S137" s="113">
        <f t="shared" si="77"/>
        <v>0</v>
      </c>
      <c r="T137" s="113">
        <f t="shared" si="77"/>
        <v>21347.478199040004</v>
      </c>
      <c r="U137" s="557">
        <f t="shared" si="77"/>
        <v>0</v>
      </c>
    </row>
    <row r="138" spans="1:21" s="552" customFormat="1" ht="15" hidden="1" customHeight="1">
      <c r="A138" s="621" t="s">
        <v>2140</v>
      </c>
      <c r="B138" s="622"/>
      <c r="C138" s="558" t="str">
        <f ca="1">IF(H138&lt;&gt;0,"x"," ")</f>
        <v xml:space="preserve"> </v>
      </c>
      <c r="D138" s="553"/>
      <c r="E138" s="727" t="s">
        <v>3498</v>
      </c>
      <c r="F138" s="600" t="s">
        <v>3391</v>
      </c>
      <c r="G138" s="205"/>
      <c r="H138" s="556">
        <f ca="1">SUM(I138:O138)</f>
        <v>0</v>
      </c>
      <c r="I138" s="556">
        <f ca="1">SUMIF(mong3pm,chitiet!$A138,slmong3pm)</f>
        <v>0</v>
      </c>
      <c r="J138" s="556">
        <f ca="1">SUMIF(mongct,chitiet!$A138,slmongct)</f>
        <v>0</v>
      </c>
      <c r="K138" s="556">
        <f ca="1">SUMIF(mong3p1m,chitiet!$A138,slmong3p1m)</f>
        <v>0</v>
      </c>
      <c r="L138" s="556">
        <f ca="1">SUMIF(mong1pm,chitiet!$A138,slmong1pm)</f>
        <v>0</v>
      </c>
      <c r="M138" s="556">
        <f ca="1">SUMIF(monghthh,chitiet!$A138,slmonghthh)</f>
        <v>0</v>
      </c>
      <c r="N138" s="556">
        <f ca="1">SUMIF(mongHTDL,chitiet!$A138,SLmongHTDL)</f>
        <v>0</v>
      </c>
      <c r="O138" s="556">
        <f ca="1">SUMIF(mongHTCS,chitiet!$A138,slmongHTCS)</f>
        <v>0</v>
      </c>
      <c r="P138" s="554"/>
      <c r="Q138" s="554"/>
      <c r="R138" s="554"/>
      <c r="S138" s="601">
        <f>SUM(S139:S141)</f>
        <v>108600</v>
      </c>
      <c r="T138" s="601">
        <f>SUM(T139:T141)</f>
        <v>150245.55805760002</v>
      </c>
      <c r="U138" s="602">
        <f>SUM(U139:U141)</f>
        <v>0</v>
      </c>
    </row>
    <row r="139" spans="1:21" s="552" customFormat="1" ht="15" hidden="1" customHeight="1">
      <c r="A139" s="621"/>
      <c r="B139" s="622" t="s">
        <v>1645</v>
      </c>
      <c r="C139" s="558" t="str">
        <f ca="1">+C138</f>
        <v xml:space="preserve"> </v>
      </c>
      <c r="D139" s="553"/>
      <c r="E139" s="694" t="str">
        <f>VLOOKUP($B139,dongia1,DG!$C$5,)</f>
        <v>Đào hố móng đất cấp 3 sâu &gt;1m DT&lt;5m2</v>
      </c>
      <c r="F139" s="555" t="str">
        <f>VLOOKUP($B139,dongia1,DG!$D$5,)</f>
        <v>m3</v>
      </c>
      <c r="G139" s="205">
        <f>3.14*0.38^2/4*1.6*2</f>
        <v>0.36273280000000008</v>
      </c>
      <c r="H139" s="556">
        <f ca="1">+H$138*$G139</f>
        <v>0</v>
      </c>
      <c r="I139" s="556">
        <f t="shared" ref="I139:O139" ca="1" si="78">+I$138*$G139</f>
        <v>0</v>
      </c>
      <c r="J139" s="556">
        <f t="shared" ca="1" si="78"/>
        <v>0</v>
      </c>
      <c r="K139" s="556">
        <f t="shared" ca="1" si="78"/>
        <v>0</v>
      </c>
      <c r="L139" s="556">
        <f t="shared" ca="1" si="78"/>
        <v>0</v>
      </c>
      <c r="M139" s="556">
        <f t="shared" ca="1" si="78"/>
        <v>0</v>
      </c>
      <c r="N139" s="556">
        <f t="shared" ca="1" si="78"/>
        <v>0</v>
      </c>
      <c r="O139" s="556">
        <f t="shared" ca="1" si="78"/>
        <v>0</v>
      </c>
      <c r="P139" s="182">
        <f>VLOOKUP($B139,dongia1,DG!$F$5,)</f>
        <v>0</v>
      </c>
      <c r="Q139" s="182">
        <f>VLOOKUP($B139,dongia1,DG!$G$5,)</f>
        <v>296500.89999999997</v>
      </c>
      <c r="R139" s="554"/>
      <c r="S139" s="113">
        <f t="shared" ref="S139:U141" si="79">$G139*P139</f>
        <v>0</v>
      </c>
      <c r="T139" s="113">
        <f t="shared" si="79"/>
        <v>107550.60165952001</v>
      </c>
      <c r="U139" s="557">
        <f t="shared" si="79"/>
        <v>0</v>
      </c>
    </row>
    <row r="140" spans="1:21" s="552" customFormat="1" ht="15" hidden="1" customHeight="1">
      <c r="A140" s="621"/>
      <c r="B140" s="622" t="s">
        <v>501</v>
      </c>
      <c r="C140" s="558" t="str">
        <f ca="1">C139</f>
        <v xml:space="preserve"> </v>
      </c>
      <c r="D140" s="553"/>
      <c r="E140" s="694" t="str">
        <f>VLOOKUP($B140,dongia1,DG!$C$5,)</f>
        <v>Đắp đất hố móng, đất cấp 3 (độ chặt k = 0.85)</v>
      </c>
      <c r="F140" s="555" t="str">
        <f>VLOOKUP($B140,dongia1,DG!$D$5,)</f>
        <v>m3</v>
      </c>
      <c r="G140" s="205">
        <f>G139</f>
        <v>0.36273280000000008</v>
      </c>
      <c r="H140" s="556">
        <f ca="1">+H$138*$G140</f>
        <v>0</v>
      </c>
      <c r="I140" s="556">
        <f t="shared" ref="I140:O141" ca="1" si="80">+I$138*$G140</f>
        <v>0</v>
      </c>
      <c r="J140" s="556">
        <f t="shared" ca="1" si="80"/>
        <v>0</v>
      </c>
      <c r="K140" s="556">
        <f t="shared" ca="1" si="80"/>
        <v>0</v>
      </c>
      <c r="L140" s="556">
        <f t="shared" ca="1" si="80"/>
        <v>0</v>
      </c>
      <c r="M140" s="556">
        <f t="shared" ca="1" si="80"/>
        <v>0</v>
      </c>
      <c r="N140" s="556">
        <f t="shared" ca="1" si="80"/>
        <v>0</v>
      </c>
      <c r="O140" s="556">
        <f t="shared" ca="1" si="80"/>
        <v>0</v>
      </c>
      <c r="P140" s="182">
        <f>VLOOKUP($B140,dongia1,DG!$F$5,)</f>
        <v>0</v>
      </c>
      <c r="Q140" s="182">
        <f>VLOOKUP($B140,dongia1,DG!$G$5,)</f>
        <v>117703.6</v>
      </c>
      <c r="R140" s="554"/>
      <c r="S140" s="113">
        <f t="shared" si="79"/>
        <v>0</v>
      </c>
      <c r="T140" s="113">
        <f t="shared" si="79"/>
        <v>42694.956398080009</v>
      </c>
      <c r="U140" s="557">
        <f t="shared" si="79"/>
        <v>0</v>
      </c>
    </row>
    <row r="141" spans="1:21" s="552" customFormat="1" ht="15" hidden="1" customHeight="1">
      <c r="A141" s="621"/>
      <c r="B141" s="622" t="s">
        <v>365</v>
      </c>
      <c r="C141" s="558" t="str">
        <f ca="1">C140</f>
        <v xml:space="preserve"> </v>
      </c>
      <c r="D141" s="553"/>
      <c r="E141" s="694" t="str">
        <f>VLOOKUP($B141,dongia1,DG!$C$5,)</f>
        <v>Boulon 22x800+ 2 long đền vuông D24-60x60x3/Zn</v>
      </c>
      <c r="F141" s="555" t="str">
        <f>VLOOKUP($B141,dongia1,DG!$D$5,)</f>
        <v>bộ</v>
      </c>
      <c r="G141" s="205">
        <v>1</v>
      </c>
      <c r="H141" s="556">
        <f ca="1">+H$138*$G141</f>
        <v>0</v>
      </c>
      <c r="I141" s="556">
        <f t="shared" ca="1" si="80"/>
        <v>0</v>
      </c>
      <c r="J141" s="556">
        <f t="shared" ca="1" si="80"/>
        <v>0</v>
      </c>
      <c r="K141" s="556">
        <f t="shared" ca="1" si="80"/>
        <v>0</v>
      </c>
      <c r="L141" s="556">
        <f t="shared" ca="1" si="80"/>
        <v>0</v>
      </c>
      <c r="M141" s="556">
        <f t="shared" ca="1" si="80"/>
        <v>0</v>
      </c>
      <c r="N141" s="556">
        <f t="shared" ca="1" si="80"/>
        <v>0</v>
      </c>
      <c r="O141" s="556">
        <f t="shared" ca="1" si="80"/>
        <v>0</v>
      </c>
      <c r="P141" s="182">
        <f>VLOOKUP($B141,dongia1,DG!$F$5,)</f>
        <v>108600</v>
      </c>
      <c r="Q141" s="554"/>
      <c r="R141" s="554"/>
      <c r="S141" s="113">
        <f t="shared" si="79"/>
        <v>108600</v>
      </c>
      <c r="T141" s="113">
        <f t="shared" si="79"/>
        <v>0</v>
      </c>
      <c r="U141" s="557">
        <f t="shared" si="79"/>
        <v>0</v>
      </c>
    </row>
    <row r="142" spans="1:21" s="552" customFormat="1" ht="15" hidden="1" customHeight="1">
      <c r="A142" s="621" t="s">
        <v>646</v>
      </c>
      <c r="B142" s="622"/>
      <c r="C142" s="558" t="str">
        <f ca="1">IF(H142&lt;&gt;0,"x"," ")</f>
        <v xml:space="preserve"> </v>
      </c>
      <c r="D142" s="553"/>
      <c r="E142" s="727" t="s">
        <v>3499</v>
      </c>
      <c r="F142" s="600" t="s">
        <v>3391</v>
      </c>
      <c r="G142" s="205"/>
      <c r="H142" s="556">
        <f ca="1">SUM(I142:O142)</f>
        <v>0</v>
      </c>
      <c r="I142" s="556">
        <f ca="1">SUMIF(mong3pm,chitiet!$A142,slmong3pm)</f>
        <v>0</v>
      </c>
      <c r="J142" s="556">
        <f ca="1">SUMIF(mongct,chitiet!$A142,slmongct)</f>
        <v>0</v>
      </c>
      <c r="K142" s="556">
        <f ca="1">SUMIF(mong3p1m,chitiet!$A142,slmong3p1m)</f>
        <v>0</v>
      </c>
      <c r="L142" s="556">
        <f ca="1">SUMIF(mong1pm,chitiet!$A142,slmong1pm)</f>
        <v>0</v>
      </c>
      <c r="M142" s="556">
        <f ca="1">SUMIF(monghthh,chitiet!$A142,slmonghthh)</f>
        <v>0</v>
      </c>
      <c r="N142" s="556">
        <f ca="1">SUMIF(mongHTDL,chitiet!$A142,SLmongHTDL)</f>
        <v>0</v>
      </c>
      <c r="O142" s="556">
        <f ca="1">SUMIF(mongHTCS,chitiet!$A142,slmongHTCS)</f>
        <v>0</v>
      </c>
      <c r="P142" s="554"/>
      <c r="Q142" s="554"/>
      <c r="R142" s="554"/>
      <c r="S142" s="601">
        <f>SUM(S143:S146)</f>
        <v>446745</v>
      </c>
      <c r="T142" s="601">
        <f>SUM(T143:T146)</f>
        <v>355591.61599999998</v>
      </c>
      <c r="U142" s="602">
        <f>SUM(U143:U146)</f>
        <v>0</v>
      </c>
    </row>
    <row r="143" spans="1:21" s="552" customFormat="1" ht="15" hidden="1" customHeight="1">
      <c r="A143" s="621"/>
      <c r="B143" s="622" t="s">
        <v>580</v>
      </c>
      <c r="C143" s="558" t="str">
        <f ca="1">C142</f>
        <v xml:space="preserve"> </v>
      </c>
      <c r="D143" s="553"/>
      <c r="E143" s="694" t="str">
        <f>VLOOKUP($B143,dongia1,DG!$C$5,)</f>
        <v>Đà cản BTCT 1,2m</v>
      </c>
      <c r="F143" s="555" t="str">
        <f>VLOOKUP($B143,dongia1,DG!$D$5,)</f>
        <v>cái</v>
      </c>
      <c r="G143" s="205">
        <v>1</v>
      </c>
      <c r="H143" s="556">
        <f ca="1">H$142*$G143</f>
        <v>0</v>
      </c>
      <c r="I143" s="556">
        <f t="shared" ref="I143:O143" ca="1" si="81">I$142*$G143</f>
        <v>0</v>
      </c>
      <c r="J143" s="556">
        <f t="shared" ca="1" si="81"/>
        <v>0</v>
      </c>
      <c r="K143" s="556">
        <f t="shared" ca="1" si="81"/>
        <v>0</v>
      </c>
      <c r="L143" s="556">
        <f t="shared" ca="1" si="81"/>
        <v>0</v>
      </c>
      <c r="M143" s="556">
        <f t="shared" ca="1" si="81"/>
        <v>0</v>
      </c>
      <c r="N143" s="556">
        <f t="shared" ca="1" si="81"/>
        <v>0</v>
      </c>
      <c r="O143" s="556">
        <f t="shared" ca="1" si="81"/>
        <v>0</v>
      </c>
      <c r="P143" s="182">
        <f>VLOOKUP($B143,dongia1,DG!$F$5,)</f>
        <v>354545</v>
      </c>
      <c r="Q143" s="182">
        <f>VLOOKUP($B143,dongia1,DG!$G$5,)</f>
        <v>37220.25</v>
      </c>
      <c r="R143" s="554"/>
      <c r="S143" s="113">
        <f t="shared" ref="S143:U146" si="82">$G143*P143</f>
        <v>354545</v>
      </c>
      <c r="T143" s="113">
        <f t="shared" si="82"/>
        <v>37220.25</v>
      </c>
      <c r="U143" s="557">
        <f t="shared" si="82"/>
        <v>0</v>
      </c>
    </row>
    <row r="144" spans="1:21" s="552" customFormat="1" ht="15" hidden="1" customHeight="1">
      <c r="A144" s="621"/>
      <c r="B144" s="622" t="s">
        <v>952</v>
      </c>
      <c r="C144" s="558" t="str">
        <f ca="1">C143</f>
        <v xml:space="preserve"> </v>
      </c>
      <c r="D144" s="553"/>
      <c r="E144" s="694" t="str">
        <f>VLOOKUP($B144,dongia1,DG!$C$5,)</f>
        <v>Boulon 22x650+ 2 long đền vuông D24-60x60x3/Zn</v>
      </c>
      <c r="F144" s="555" t="str">
        <f>VLOOKUP($B144,dongia1,DG!$D$5,)</f>
        <v>bộ</v>
      </c>
      <c r="G144" s="205">
        <v>1</v>
      </c>
      <c r="H144" s="556">
        <f t="shared" ref="H144:O146" ca="1" si="83">H$142*$G144</f>
        <v>0</v>
      </c>
      <c r="I144" s="556">
        <f t="shared" ca="1" si="83"/>
        <v>0</v>
      </c>
      <c r="J144" s="556">
        <f t="shared" ca="1" si="83"/>
        <v>0</v>
      </c>
      <c r="K144" s="556">
        <f t="shared" ca="1" si="83"/>
        <v>0</v>
      </c>
      <c r="L144" s="556">
        <f t="shared" ca="1" si="83"/>
        <v>0</v>
      </c>
      <c r="M144" s="556">
        <f t="shared" ca="1" si="83"/>
        <v>0</v>
      </c>
      <c r="N144" s="556">
        <f t="shared" ca="1" si="83"/>
        <v>0</v>
      </c>
      <c r="O144" s="556">
        <f t="shared" ca="1" si="83"/>
        <v>0</v>
      </c>
      <c r="P144" s="182">
        <f>VLOOKUP($B144,dongia1,DG!$F$5,)</f>
        <v>92200</v>
      </c>
      <c r="Q144" s="554"/>
      <c r="R144" s="554"/>
      <c r="S144" s="113">
        <f t="shared" si="82"/>
        <v>92200</v>
      </c>
      <c r="T144" s="113">
        <f t="shared" si="82"/>
        <v>0</v>
      </c>
      <c r="U144" s="557">
        <f t="shared" si="82"/>
        <v>0</v>
      </c>
    </row>
    <row r="145" spans="1:21" s="552" customFormat="1" ht="15" hidden="1" customHeight="1">
      <c r="A145" s="621"/>
      <c r="B145" s="622" t="s">
        <v>1645</v>
      </c>
      <c r="C145" s="558" t="str">
        <f ca="1">C144</f>
        <v xml:space="preserve"> </v>
      </c>
      <c r="D145" s="553"/>
      <c r="E145" s="694" t="str">
        <f>VLOOKUP($B145,dongia1,DG!$C$5,)</f>
        <v>Đào hố móng đất cấp 3 sâu &gt;1m DT&lt;5m2</v>
      </c>
      <c r="F145" s="555" t="str">
        <f>VLOOKUP($B145,dongia1,DG!$D$5,)</f>
        <v>m3</v>
      </c>
      <c r="G145" s="205">
        <v>0.78</v>
      </c>
      <c r="H145" s="556">
        <f ca="1">H$142*$G145</f>
        <v>0</v>
      </c>
      <c r="I145" s="556">
        <f ca="1">I$142*$G145</f>
        <v>0</v>
      </c>
      <c r="J145" s="556">
        <f t="shared" ca="1" si="83"/>
        <v>0</v>
      </c>
      <c r="K145" s="556">
        <f t="shared" ca="1" si="83"/>
        <v>0</v>
      </c>
      <c r="L145" s="556">
        <f t="shared" ca="1" si="83"/>
        <v>0</v>
      </c>
      <c r="M145" s="556">
        <f t="shared" ca="1" si="83"/>
        <v>0</v>
      </c>
      <c r="N145" s="556">
        <f t="shared" ca="1" si="83"/>
        <v>0</v>
      </c>
      <c r="O145" s="556">
        <f t="shared" ca="1" si="83"/>
        <v>0</v>
      </c>
      <c r="P145" s="554"/>
      <c r="Q145" s="182">
        <f>VLOOKUP($B145,dongia1,DG!$G$5,)</f>
        <v>296500.89999999997</v>
      </c>
      <c r="R145" s="554"/>
      <c r="S145" s="113">
        <f t="shared" si="82"/>
        <v>0</v>
      </c>
      <c r="T145" s="113">
        <f t="shared" si="82"/>
        <v>231270.70199999999</v>
      </c>
      <c r="U145" s="557">
        <f t="shared" si="82"/>
        <v>0</v>
      </c>
    </row>
    <row r="146" spans="1:21" s="552" customFormat="1" ht="15" hidden="1" customHeight="1">
      <c r="A146" s="621"/>
      <c r="B146" s="622" t="s">
        <v>501</v>
      </c>
      <c r="C146" s="558" t="str">
        <f ca="1">C145</f>
        <v xml:space="preserve"> </v>
      </c>
      <c r="D146" s="553"/>
      <c r="E146" s="694" t="str">
        <f>VLOOKUP($B146,dongia1,DG!$C$5,)</f>
        <v>Đắp đất hố móng, đất cấp 3 (độ chặt k = 0.85)</v>
      </c>
      <c r="F146" s="555" t="str">
        <f>VLOOKUP($B146,dongia1,DG!$D$5,)</f>
        <v>m3</v>
      </c>
      <c r="G146" s="205">
        <v>0.74</v>
      </c>
      <c r="H146" s="556">
        <f t="shared" ca="1" si="83"/>
        <v>0</v>
      </c>
      <c r="I146" s="556">
        <f t="shared" ca="1" si="83"/>
        <v>0</v>
      </c>
      <c r="J146" s="556">
        <f t="shared" ca="1" si="83"/>
        <v>0</v>
      </c>
      <c r="K146" s="556">
        <f t="shared" ca="1" si="83"/>
        <v>0</v>
      </c>
      <c r="L146" s="556">
        <f t="shared" ca="1" si="83"/>
        <v>0</v>
      </c>
      <c r="M146" s="556">
        <f t="shared" ca="1" si="83"/>
        <v>0</v>
      </c>
      <c r="N146" s="556">
        <f t="shared" ca="1" si="83"/>
        <v>0</v>
      </c>
      <c r="O146" s="556">
        <f t="shared" ca="1" si="83"/>
        <v>0</v>
      </c>
      <c r="P146" s="554"/>
      <c r="Q146" s="182">
        <f>VLOOKUP($B146,dongia1,DG!$G$5,)</f>
        <v>117703.6</v>
      </c>
      <c r="R146" s="554"/>
      <c r="S146" s="113">
        <f t="shared" si="82"/>
        <v>0</v>
      </c>
      <c r="T146" s="113">
        <f t="shared" si="82"/>
        <v>87100.664000000004</v>
      </c>
      <c r="U146" s="557">
        <f t="shared" si="82"/>
        <v>0</v>
      </c>
    </row>
    <row r="147" spans="1:21" s="552" customFormat="1" ht="15" hidden="1" customHeight="1">
      <c r="A147" s="621" t="s">
        <v>338</v>
      </c>
      <c r="B147" s="622"/>
      <c r="C147" s="558" t="str">
        <f ca="1">IF(H147&lt;&gt;0,"x"," ")</f>
        <v xml:space="preserve"> </v>
      </c>
      <c r="D147" s="553"/>
      <c r="E147" s="727" t="s">
        <v>3500</v>
      </c>
      <c r="F147" s="600" t="s">
        <v>3391</v>
      </c>
      <c r="G147" s="205"/>
      <c r="H147" s="556">
        <f ca="1">SUM(I147:N147)</f>
        <v>0</v>
      </c>
      <c r="I147" s="556">
        <f ca="1">SUMIF(mong3pm,chitiet!$A147,slmong3pm)</f>
        <v>0</v>
      </c>
      <c r="J147" s="556">
        <f ca="1">SUMIF(mongct,chitiet!$A147,slmongct)</f>
        <v>0</v>
      </c>
      <c r="K147" s="556">
        <f ca="1">SUMIF(mong3p1m,chitiet!$A147,slmong3p1m)</f>
        <v>0</v>
      </c>
      <c r="L147" s="556">
        <f ca="1">SUMIF(mong1pm,chitiet!$A147,slmong1pm)</f>
        <v>0</v>
      </c>
      <c r="M147" s="556">
        <f ca="1">SUMIF(monghthh,chitiet!$A147,slmonghthh)</f>
        <v>0</v>
      </c>
      <c r="N147" s="556">
        <f ca="1">SUMIF(mongHTDL,chitiet!$A147,SLmongHTDL)</f>
        <v>0</v>
      </c>
      <c r="O147" s="556">
        <f ca="1">SUMIF(mongHTCS,chitiet!$A147,slmongHTCS)</f>
        <v>0</v>
      </c>
      <c r="P147" s="554"/>
      <c r="Q147" s="554"/>
      <c r="R147" s="554"/>
      <c r="S147" s="601">
        <f>SUM(S148:S151)</f>
        <v>742200</v>
      </c>
      <c r="T147" s="601">
        <f>SUM(T148:T151)</f>
        <v>575965.57200000004</v>
      </c>
      <c r="U147" s="602">
        <f>SUM(U148:U151)</f>
        <v>0</v>
      </c>
    </row>
    <row r="148" spans="1:21" s="552" customFormat="1" ht="15" hidden="1" customHeight="1">
      <c r="A148" s="621"/>
      <c r="B148" s="622" t="s">
        <v>201</v>
      </c>
      <c r="C148" s="558" t="str">
        <f ca="1">C147</f>
        <v xml:space="preserve"> </v>
      </c>
      <c r="D148" s="553"/>
      <c r="E148" s="694" t="str">
        <f>VLOOKUP($B148,dongia1,DG!$C$5,)</f>
        <v>Đà cản BTCT 1,5m</v>
      </c>
      <c r="F148" s="555" t="str">
        <f>VLOOKUP($B148,dongia1,DG!$D$5,)</f>
        <v>cái</v>
      </c>
      <c r="G148" s="205">
        <v>1</v>
      </c>
      <c r="H148" s="556">
        <f ca="1">H$147*$G148</f>
        <v>0</v>
      </c>
      <c r="I148" s="556">
        <f t="shared" ref="I148:O148" ca="1" si="84">I$147*$G148</f>
        <v>0</v>
      </c>
      <c r="J148" s="556">
        <f t="shared" ca="1" si="84"/>
        <v>0</v>
      </c>
      <c r="K148" s="556">
        <f t="shared" ca="1" si="84"/>
        <v>0</v>
      </c>
      <c r="L148" s="556">
        <f t="shared" ca="1" si="84"/>
        <v>0</v>
      </c>
      <c r="M148" s="556">
        <f t="shared" ca="1" si="84"/>
        <v>0</v>
      </c>
      <c r="N148" s="556">
        <f t="shared" ca="1" si="84"/>
        <v>0</v>
      </c>
      <c r="O148" s="556">
        <f t="shared" ca="1" si="84"/>
        <v>0</v>
      </c>
      <c r="P148" s="182">
        <f>VLOOKUP($B148,dongia1,DG!$F$5,)</f>
        <v>650000</v>
      </c>
      <c r="Q148" s="182">
        <f>VLOOKUP($B148,dongia1,DG!$G$5,)</f>
        <v>148724</v>
      </c>
      <c r="R148" s="554"/>
      <c r="S148" s="113">
        <f t="shared" ref="S148:U151" si="85">$G148*P148</f>
        <v>650000</v>
      </c>
      <c r="T148" s="113">
        <f t="shared" si="85"/>
        <v>148724</v>
      </c>
      <c r="U148" s="557">
        <f t="shared" si="85"/>
        <v>0</v>
      </c>
    </row>
    <row r="149" spans="1:21" s="552" customFormat="1" ht="15" hidden="1" customHeight="1">
      <c r="A149" s="621"/>
      <c r="B149" s="622" t="s">
        <v>952</v>
      </c>
      <c r="C149" s="558" t="str">
        <f ca="1">C148</f>
        <v xml:space="preserve"> </v>
      </c>
      <c r="D149" s="553"/>
      <c r="E149" s="694" t="str">
        <f>VLOOKUP($B149,dongia1,DG!$C$5,)</f>
        <v>Boulon 22x650+ 2 long đền vuông D24-60x60x3/Zn</v>
      </c>
      <c r="F149" s="555" t="str">
        <f>VLOOKUP($B149,dongia1,DG!$D$5,)</f>
        <v>bộ</v>
      </c>
      <c r="G149" s="205">
        <v>1</v>
      </c>
      <c r="H149" s="556">
        <f t="shared" ref="H149:O151" ca="1" si="86">H$147*$G149</f>
        <v>0</v>
      </c>
      <c r="I149" s="556">
        <f t="shared" ca="1" si="86"/>
        <v>0</v>
      </c>
      <c r="J149" s="556">
        <f t="shared" ca="1" si="86"/>
        <v>0</v>
      </c>
      <c r="K149" s="556">
        <f t="shared" ca="1" si="86"/>
        <v>0</v>
      </c>
      <c r="L149" s="556">
        <f t="shared" ca="1" si="86"/>
        <v>0</v>
      </c>
      <c r="M149" s="556">
        <f t="shared" ca="1" si="86"/>
        <v>0</v>
      </c>
      <c r="N149" s="556">
        <f t="shared" ca="1" si="86"/>
        <v>0</v>
      </c>
      <c r="O149" s="556">
        <f t="shared" ca="1" si="86"/>
        <v>0</v>
      </c>
      <c r="P149" s="182">
        <f>VLOOKUP($B149,dongia1,DG!$F$5,)</f>
        <v>92200</v>
      </c>
      <c r="Q149" s="554"/>
      <c r="R149" s="554"/>
      <c r="S149" s="113">
        <f t="shared" si="85"/>
        <v>92200</v>
      </c>
      <c r="T149" s="113">
        <f t="shared" si="85"/>
        <v>0</v>
      </c>
      <c r="U149" s="557">
        <f t="shared" si="85"/>
        <v>0</v>
      </c>
    </row>
    <row r="150" spans="1:21" s="552" customFormat="1" ht="15" hidden="1" customHeight="1">
      <c r="A150" s="621"/>
      <c r="B150" s="622" t="s">
        <v>1645</v>
      </c>
      <c r="C150" s="558" t="str">
        <f ca="1">C149</f>
        <v xml:space="preserve"> </v>
      </c>
      <c r="D150" s="553"/>
      <c r="E150" s="694" t="str">
        <f>VLOOKUP($B150,dongia1,DG!$C$5,)</f>
        <v>Đào hố móng đất cấp 3 sâu &gt;1m DT&lt;5m2</v>
      </c>
      <c r="F150" s="555" t="str">
        <f>VLOOKUP($B150,dongia1,DG!$D$5,)</f>
        <v>m3</v>
      </c>
      <c r="G150" s="205">
        <v>1.04</v>
      </c>
      <c r="H150" s="556">
        <f t="shared" ca="1" si="86"/>
        <v>0</v>
      </c>
      <c r="I150" s="556">
        <f t="shared" ca="1" si="86"/>
        <v>0</v>
      </c>
      <c r="J150" s="556">
        <f t="shared" ca="1" si="86"/>
        <v>0</v>
      </c>
      <c r="K150" s="556">
        <f t="shared" ca="1" si="86"/>
        <v>0</v>
      </c>
      <c r="L150" s="556">
        <f t="shared" ca="1" si="86"/>
        <v>0</v>
      </c>
      <c r="M150" s="556">
        <f t="shared" ca="1" si="86"/>
        <v>0</v>
      </c>
      <c r="N150" s="556">
        <f t="shared" ca="1" si="86"/>
        <v>0</v>
      </c>
      <c r="O150" s="556">
        <f t="shared" ca="1" si="86"/>
        <v>0</v>
      </c>
      <c r="P150" s="554"/>
      <c r="Q150" s="182">
        <f>VLOOKUP($B150,dongia1,DG!$G$5,)</f>
        <v>296500.89999999997</v>
      </c>
      <c r="R150" s="554"/>
      <c r="S150" s="113">
        <f t="shared" si="85"/>
        <v>0</v>
      </c>
      <c r="T150" s="113">
        <f t="shared" si="85"/>
        <v>308360.93599999999</v>
      </c>
      <c r="U150" s="557">
        <f t="shared" si="85"/>
        <v>0</v>
      </c>
    </row>
    <row r="151" spans="1:21" s="552" customFormat="1" ht="15" hidden="1" customHeight="1">
      <c r="A151" s="621"/>
      <c r="B151" s="622" t="s">
        <v>501</v>
      </c>
      <c r="C151" s="558" t="str">
        <f ca="1">C150</f>
        <v xml:space="preserve"> </v>
      </c>
      <c r="D151" s="553"/>
      <c r="E151" s="694" t="str">
        <f>VLOOKUP($B151,dongia1,DG!$C$5,)</f>
        <v>Đắp đất hố móng, đất cấp 3 (độ chặt k = 0.85)</v>
      </c>
      <c r="F151" s="555" t="str">
        <f>VLOOKUP($B151,dongia1,DG!$D$5,)</f>
        <v>m3</v>
      </c>
      <c r="G151" s="205">
        <v>1.01</v>
      </c>
      <c r="H151" s="556">
        <f t="shared" ca="1" si="86"/>
        <v>0</v>
      </c>
      <c r="I151" s="556">
        <f t="shared" ca="1" si="86"/>
        <v>0</v>
      </c>
      <c r="J151" s="556">
        <f t="shared" ca="1" si="86"/>
        <v>0</v>
      </c>
      <c r="K151" s="556">
        <f t="shared" ca="1" si="86"/>
        <v>0</v>
      </c>
      <c r="L151" s="556">
        <f t="shared" ca="1" si="86"/>
        <v>0</v>
      </c>
      <c r="M151" s="556">
        <f t="shared" ca="1" si="86"/>
        <v>0</v>
      </c>
      <c r="N151" s="556">
        <f t="shared" ca="1" si="86"/>
        <v>0</v>
      </c>
      <c r="O151" s="556">
        <f t="shared" ca="1" si="86"/>
        <v>0</v>
      </c>
      <c r="P151" s="554"/>
      <c r="Q151" s="182">
        <f>VLOOKUP($B151,dongia1,DG!$G$5,)</f>
        <v>117703.6</v>
      </c>
      <c r="R151" s="554"/>
      <c r="S151" s="113">
        <f t="shared" si="85"/>
        <v>0</v>
      </c>
      <c r="T151" s="113">
        <f t="shared" si="85"/>
        <v>118880.63600000001</v>
      </c>
      <c r="U151" s="557">
        <f t="shared" si="85"/>
        <v>0</v>
      </c>
    </row>
    <row r="152" spans="1:21" s="552" customFormat="1" ht="15" hidden="1" customHeight="1">
      <c r="A152" s="621" t="s">
        <v>3712</v>
      </c>
      <c r="B152" s="622"/>
      <c r="C152" s="558" t="str">
        <f ca="1">IF(H152&lt;&gt;0,"x"," ")</f>
        <v xml:space="preserve"> </v>
      </c>
      <c r="D152" s="553"/>
      <c r="E152" s="727" t="s">
        <v>3501</v>
      </c>
      <c r="F152" s="600" t="s">
        <v>3391</v>
      </c>
      <c r="G152" s="205"/>
      <c r="H152" s="556">
        <f ca="1">SUM(I152:N152)</f>
        <v>0</v>
      </c>
      <c r="I152" s="556">
        <f ca="1">SUMIF(mong3pm,chitiet!$A152,slmong3pm)</f>
        <v>0</v>
      </c>
      <c r="J152" s="556">
        <f ca="1">SUMIF(mongct,chitiet!$A152,slmongct)</f>
        <v>0</v>
      </c>
      <c r="K152" s="556">
        <f ca="1">SUMIF(mong3p1m,chitiet!$A152,slmong3p1m)</f>
        <v>0</v>
      </c>
      <c r="L152" s="556">
        <f ca="1">SUMIF(mong1pm,chitiet!$A152,slmong1pm)</f>
        <v>0</v>
      </c>
      <c r="M152" s="556">
        <f ca="1">SUMIF(monghthh,chitiet!$A152,slmonghthh)</f>
        <v>0</v>
      </c>
      <c r="N152" s="556">
        <f ca="1">SUMIF(mongHTDL,chitiet!$A152,SLmongHTDL)</f>
        <v>0</v>
      </c>
      <c r="O152" s="556">
        <f ca="1">SUMIF(mongHTCS,chitiet!$A152,slmongHTCS)</f>
        <v>0</v>
      </c>
      <c r="P152" s="554"/>
      <c r="Q152" s="554"/>
      <c r="R152" s="554"/>
      <c r="S152" s="601">
        <f>SUM(S153:S162)</f>
        <v>1253175</v>
      </c>
      <c r="T152" s="601">
        <f>SUM(T153:T162)</f>
        <v>513596.09904999996</v>
      </c>
      <c r="U152" s="602">
        <f>SUM(U153:U162)</f>
        <v>0</v>
      </c>
    </row>
    <row r="153" spans="1:21" s="552" customFormat="1" ht="15" hidden="1" customHeight="1">
      <c r="A153" s="621"/>
      <c r="B153" s="622" t="s">
        <v>1728</v>
      </c>
      <c r="C153" s="558" t="str">
        <f ca="1">C152</f>
        <v xml:space="preserve"> </v>
      </c>
      <c r="D153" s="553">
        <f>VLOOKUP($B153,dongia1,DG!$B$5,)</f>
        <v>0</v>
      </c>
      <c r="E153" s="694" t="str">
        <f>VLOOKUP($B153,dongia1,DG!$C$5,)</f>
        <v>Ximăng</v>
      </c>
      <c r="F153" s="555" t="str">
        <f>VLOOKUP($B153,dongia1,DG!$D$5,)</f>
        <v>kg</v>
      </c>
      <c r="G153" s="205">
        <v>352</v>
      </c>
      <c r="H153" s="556">
        <f ca="1">+H$152*$G153</f>
        <v>0</v>
      </c>
      <c r="I153" s="556">
        <f t="shared" ref="I153:O153" ca="1" si="87">+I$152*$G153</f>
        <v>0</v>
      </c>
      <c r="J153" s="556">
        <f t="shared" ca="1" si="87"/>
        <v>0</v>
      </c>
      <c r="K153" s="556">
        <f t="shared" ca="1" si="87"/>
        <v>0</v>
      </c>
      <c r="L153" s="556">
        <f t="shared" ca="1" si="87"/>
        <v>0</v>
      </c>
      <c r="M153" s="556">
        <f t="shared" ca="1" si="87"/>
        <v>0</v>
      </c>
      <c r="N153" s="556">
        <f t="shared" ca="1" si="87"/>
        <v>0</v>
      </c>
      <c r="O153" s="556">
        <f t="shared" ca="1" si="87"/>
        <v>0</v>
      </c>
      <c r="P153" s="182">
        <f>VLOOKUP($B153,dongia1,DG!$F$5,)</f>
        <v>1740</v>
      </c>
      <c r="Q153" s="182">
        <f>VLOOKUP($B153,dongia1,DG!$G$5,)</f>
        <v>0</v>
      </c>
      <c r="R153" s="554"/>
      <c r="S153" s="113">
        <f t="shared" ref="S153:S160" si="88">$G153*P153</f>
        <v>612480</v>
      </c>
      <c r="T153" s="113">
        <f t="shared" ref="T153:T160" si="89">$G153*Q153</f>
        <v>0</v>
      </c>
      <c r="U153" s="557">
        <f t="shared" ref="U153:U160" si="90">$G153*R153</f>
        <v>0</v>
      </c>
    </row>
    <row r="154" spans="1:21" s="552" customFormat="1" ht="15" hidden="1" customHeight="1">
      <c r="A154" s="621"/>
      <c r="B154" s="622" t="s">
        <v>1729</v>
      </c>
      <c r="C154" s="558" t="str">
        <f ca="1">C153</f>
        <v xml:space="preserve"> </v>
      </c>
      <c r="D154" s="553">
        <f>VLOOKUP($B154,dongia1,DG!$B$5,)</f>
        <v>0</v>
      </c>
      <c r="E154" s="694" t="str">
        <f>VLOOKUP($B154,dongia1,DG!$C$5,)</f>
        <v>Cát vàng</v>
      </c>
      <c r="F154" s="555" t="str">
        <f>VLOOKUP($B154,dongia1,DG!$D$5,)</f>
        <v>m3</v>
      </c>
      <c r="G154" s="205">
        <v>0.56499999999999995</v>
      </c>
      <c r="H154" s="556">
        <f t="shared" ref="H154:O162" ca="1" si="91">+H$152*$G154</f>
        <v>0</v>
      </c>
      <c r="I154" s="556">
        <f t="shared" ca="1" si="91"/>
        <v>0</v>
      </c>
      <c r="J154" s="556">
        <f t="shared" ca="1" si="91"/>
        <v>0</v>
      </c>
      <c r="K154" s="556">
        <f t="shared" ca="1" si="91"/>
        <v>0</v>
      </c>
      <c r="L154" s="556">
        <f t="shared" ca="1" si="91"/>
        <v>0</v>
      </c>
      <c r="M154" s="556">
        <f t="shared" ca="1" si="91"/>
        <v>0</v>
      </c>
      <c r="N154" s="556">
        <f t="shared" ca="1" si="91"/>
        <v>0</v>
      </c>
      <c r="O154" s="556">
        <f t="shared" ca="1" si="91"/>
        <v>0</v>
      </c>
      <c r="P154" s="182">
        <f>VLOOKUP($B154,dongia1,DG!$F$5,)</f>
        <v>512000</v>
      </c>
      <c r="Q154" s="182">
        <f>VLOOKUP($B154,dongia1,DG!$G$5,)</f>
        <v>0</v>
      </c>
      <c r="R154" s="554"/>
      <c r="S154" s="113">
        <f t="shared" si="88"/>
        <v>289280</v>
      </c>
      <c r="T154" s="113">
        <f t="shared" si="89"/>
        <v>0</v>
      </c>
      <c r="U154" s="557">
        <f t="shared" si="90"/>
        <v>0</v>
      </c>
    </row>
    <row r="155" spans="1:21" s="552" customFormat="1" ht="15" hidden="1" customHeight="1">
      <c r="A155" s="621" t="s">
        <v>312</v>
      </c>
      <c r="B155" s="622" t="s">
        <v>853</v>
      </c>
      <c r="C155" s="558" t="str">
        <f ca="1">C154</f>
        <v xml:space="preserve"> </v>
      </c>
      <c r="D155" s="553">
        <f>VLOOKUP($B155,dongia1,DG!$B$5,)</f>
        <v>0</v>
      </c>
      <c r="E155" s="694" t="str">
        <f>VLOOKUP($B155,dongia1,DG!$C$5,)</f>
        <v>Đá 1x2</v>
      </c>
      <c r="F155" s="555" t="str">
        <f>VLOOKUP($B155,dongia1,DG!$D$5,)</f>
        <v>m3</v>
      </c>
      <c r="G155" s="205">
        <v>1.0489999999999999</v>
      </c>
      <c r="H155" s="556">
        <f t="shared" ca="1" si="91"/>
        <v>0</v>
      </c>
      <c r="I155" s="556">
        <f t="shared" ca="1" si="91"/>
        <v>0</v>
      </c>
      <c r="J155" s="556">
        <f t="shared" ca="1" si="91"/>
        <v>0</v>
      </c>
      <c r="K155" s="556">
        <f t="shared" ca="1" si="91"/>
        <v>0</v>
      </c>
      <c r="L155" s="556">
        <f t="shared" ca="1" si="91"/>
        <v>0</v>
      </c>
      <c r="M155" s="556">
        <f t="shared" ca="1" si="91"/>
        <v>0</v>
      </c>
      <c r="N155" s="556">
        <f t="shared" ca="1" si="91"/>
        <v>0</v>
      </c>
      <c r="O155" s="556">
        <f t="shared" ca="1" si="91"/>
        <v>0</v>
      </c>
      <c r="P155" s="182">
        <f>VLOOKUP($B155,dongia1,DG!$F$5,)</f>
        <v>335000</v>
      </c>
      <c r="Q155" s="182">
        <f>VLOOKUP($B155,dongia1,DG!$G$5,)</f>
        <v>0</v>
      </c>
      <c r="R155" s="554"/>
      <c r="S155" s="113">
        <f t="shared" si="88"/>
        <v>351415</v>
      </c>
      <c r="T155" s="113">
        <f t="shared" si="89"/>
        <v>0</v>
      </c>
      <c r="U155" s="557">
        <f t="shared" si="90"/>
        <v>0</v>
      </c>
    </row>
    <row r="156" spans="1:21" s="552" customFormat="1" ht="15" hidden="1" customHeight="1">
      <c r="A156" s="621"/>
      <c r="B156" s="622" t="s">
        <v>62</v>
      </c>
      <c r="C156" s="558" t="str">
        <f ca="1">C152</f>
        <v xml:space="preserve"> </v>
      </c>
      <c r="D156" s="553">
        <f>VLOOKUP($B156,dongia1,DG!$B$5,)</f>
        <v>0</v>
      </c>
      <c r="E156" s="694" t="str">
        <f>VLOOKUP($B156,dongia1,DG!$C$5,)</f>
        <v>Sắt   Þ10</v>
      </c>
      <c r="F156" s="555" t="str">
        <f>VLOOKUP($B156,dongia1,DG!$D$5,)</f>
        <v>kg</v>
      </c>
      <c r="G156" s="205">
        <v>31.1</v>
      </c>
      <c r="H156" s="556">
        <f t="shared" ca="1" si="91"/>
        <v>0</v>
      </c>
      <c r="I156" s="556">
        <f t="shared" ca="1" si="91"/>
        <v>0</v>
      </c>
      <c r="J156" s="556">
        <f t="shared" ca="1" si="91"/>
        <v>0</v>
      </c>
      <c r="K156" s="556">
        <f t="shared" ca="1" si="91"/>
        <v>0</v>
      </c>
      <c r="L156" s="556">
        <f t="shared" ca="1" si="91"/>
        <v>0</v>
      </c>
      <c r="M156" s="556">
        <f t="shared" ca="1" si="91"/>
        <v>0</v>
      </c>
      <c r="N156" s="556">
        <f t="shared" ca="1" si="91"/>
        <v>0</v>
      </c>
      <c r="O156" s="556">
        <f t="shared" ca="1" si="91"/>
        <v>0</v>
      </c>
      <c r="P156" s="182">
        <f>VLOOKUP($B156,dongia1,DG!$F$5,)*0</f>
        <v>0</v>
      </c>
      <c r="Q156" s="182">
        <f>VLOOKUP($B156,dongia1,DG!$G$5,)</f>
        <v>0</v>
      </c>
      <c r="R156" s="554"/>
      <c r="S156" s="113">
        <f t="shared" ref="S156:U157" si="92">$G156*P156</f>
        <v>0</v>
      </c>
      <c r="T156" s="113">
        <f t="shared" si="92"/>
        <v>0</v>
      </c>
      <c r="U156" s="557">
        <f t="shared" si="92"/>
        <v>0</v>
      </c>
    </row>
    <row r="157" spans="1:21" s="552" customFormat="1" ht="15" hidden="1" customHeight="1">
      <c r="A157" s="621" t="s">
        <v>312</v>
      </c>
      <c r="B157" s="622" t="s">
        <v>60</v>
      </c>
      <c r="C157" s="558" t="str">
        <f ca="1">C152</f>
        <v xml:space="preserve"> </v>
      </c>
      <c r="D157" s="553">
        <f>VLOOKUP($B157,dongia1,DG!$B$5,)</f>
        <v>0</v>
      </c>
      <c r="E157" s="694" t="str">
        <f>VLOOKUP($B157,dongia1,DG!$C$5,)</f>
        <v>Kẽm</v>
      </c>
      <c r="F157" s="555" t="str">
        <f>VLOOKUP($B157,dongia1,DG!$D$5,)</f>
        <v>kg</v>
      </c>
      <c r="G157" s="205">
        <v>0.67</v>
      </c>
      <c r="H157" s="556">
        <f t="shared" ca="1" si="91"/>
        <v>0</v>
      </c>
      <c r="I157" s="556">
        <f t="shared" ca="1" si="91"/>
        <v>0</v>
      </c>
      <c r="J157" s="556">
        <f t="shared" ca="1" si="91"/>
        <v>0</v>
      </c>
      <c r="K157" s="556">
        <f t="shared" ca="1" si="91"/>
        <v>0</v>
      </c>
      <c r="L157" s="556">
        <f t="shared" ca="1" si="91"/>
        <v>0</v>
      </c>
      <c r="M157" s="556">
        <f t="shared" ca="1" si="91"/>
        <v>0</v>
      </c>
      <c r="N157" s="556">
        <f t="shared" ca="1" si="91"/>
        <v>0</v>
      </c>
      <c r="O157" s="556">
        <f t="shared" ca="1" si="91"/>
        <v>0</v>
      </c>
      <c r="P157" s="182">
        <f>VLOOKUP($B157,dongia1,DG!$F$5,)*0</f>
        <v>0</v>
      </c>
      <c r="Q157" s="182">
        <f>VLOOKUP($B157,dongia1,DG!$G$5,)</f>
        <v>0</v>
      </c>
      <c r="R157" s="554"/>
      <c r="S157" s="113">
        <f t="shared" si="92"/>
        <v>0</v>
      </c>
      <c r="T157" s="113">
        <f t="shared" si="92"/>
        <v>0</v>
      </c>
      <c r="U157" s="557">
        <f t="shared" si="92"/>
        <v>0</v>
      </c>
    </row>
    <row r="158" spans="1:21" s="552" customFormat="1" ht="15" hidden="1" customHeight="1">
      <c r="A158" s="621" t="s">
        <v>312</v>
      </c>
      <c r="B158" s="622" t="s">
        <v>1048</v>
      </c>
      <c r="C158" s="558"/>
      <c r="D158" s="553"/>
      <c r="E158" s="694" t="str">
        <f>VLOOKUP($B158,dongia1,DG!$C$5,)</f>
        <v>Khoan cắt BT bằng máy khoan cằm tay</v>
      </c>
      <c r="F158" s="555" t="str">
        <f>VLOOKUP($B158,dongia1,DG!$D$5,)</f>
        <v>m3</v>
      </c>
      <c r="G158" s="205"/>
      <c r="H158" s="556">
        <f t="shared" ca="1" si="91"/>
        <v>0</v>
      </c>
      <c r="I158" s="556">
        <f t="shared" ca="1" si="91"/>
        <v>0</v>
      </c>
      <c r="J158" s="556">
        <f t="shared" ca="1" si="91"/>
        <v>0</v>
      </c>
      <c r="K158" s="556">
        <f t="shared" ca="1" si="91"/>
        <v>0</v>
      </c>
      <c r="L158" s="556">
        <f t="shared" ca="1" si="91"/>
        <v>0</v>
      </c>
      <c r="M158" s="556">
        <f t="shared" ca="1" si="91"/>
        <v>0</v>
      </c>
      <c r="N158" s="556">
        <f t="shared" ca="1" si="91"/>
        <v>0</v>
      </c>
      <c r="O158" s="556">
        <f t="shared" ca="1" si="91"/>
        <v>0</v>
      </c>
      <c r="P158" s="182">
        <f>VLOOKUP($B158,dongia1,DG!$F$5,)*0</f>
        <v>0</v>
      </c>
      <c r="Q158" s="182">
        <f>VLOOKUP($B158,dongia1,DG!$G$5,)</f>
        <v>142162</v>
      </c>
      <c r="R158" s="554"/>
      <c r="S158" s="113">
        <f>$G158*P158</f>
        <v>0</v>
      </c>
      <c r="T158" s="113">
        <f>$G158*Q158</f>
        <v>0</v>
      </c>
      <c r="U158" s="557">
        <f>$G158*R158</f>
        <v>0</v>
      </c>
    </row>
    <row r="159" spans="1:21" s="552" customFormat="1" ht="15" hidden="1" customHeight="1">
      <c r="A159" s="621"/>
      <c r="B159" s="622" t="s">
        <v>1645</v>
      </c>
      <c r="C159" s="558" t="str">
        <f ca="1">C155</f>
        <v xml:space="preserve"> </v>
      </c>
      <c r="D159" s="553"/>
      <c r="E159" s="694" t="str">
        <f>VLOOKUP($B159,dongia1,DG!$C$5,)</f>
        <v>Đào hố móng đất cấp 3 sâu &gt;1m DT&lt;5m2</v>
      </c>
      <c r="F159" s="555" t="str">
        <f>VLOOKUP($B159,dongia1,DG!$D$5,)</f>
        <v>m3</v>
      </c>
      <c r="G159" s="205">
        <v>0.77</v>
      </c>
      <c r="H159" s="556">
        <f t="shared" ca="1" si="91"/>
        <v>0</v>
      </c>
      <c r="I159" s="556">
        <f t="shared" ca="1" si="91"/>
        <v>0</v>
      </c>
      <c r="J159" s="556">
        <f t="shared" ca="1" si="91"/>
        <v>0</v>
      </c>
      <c r="K159" s="556">
        <f ca="1">+K$152*$G159</f>
        <v>0</v>
      </c>
      <c r="L159" s="556">
        <f ca="1">+L$152*$G159</f>
        <v>0</v>
      </c>
      <c r="M159" s="556">
        <f t="shared" ca="1" si="91"/>
        <v>0</v>
      </c>
      <c r="N159" s="556">
        <f t="shared" ca="1" si="91"/>
        <v>0</v>
      </c>
      <c r="O159" s="556">
        <f t="shared" ca="1" si="91"/>
        <v>0</v>
      </c>
      <c r="P159" s="182">
        <f>VLOOKUP($B159,dongia1,DG!$F$5,)</f>
        <v>0</v>
      </c>
      <c r="Q159" s="182">
        <f>VLOOKUP($B159,dongia1,DG!$G$5,)</f>
        <v>296500.89999999997</v>
      </c>
      <c r="R159" s="554"/>
      <c r="S159" s="113">
        <f t="shared" si="88"/>
        <v>0</v>
      </c>
      <c r="T159" s="113">
        <f t="shared" si="89"/>
        <v>228305.69299999997</v>
      </c>
      <c r="U159" s="557">
        <f t="shared" si="90"/>
        <v>0</v>
      </c>
    </row>
    <row r="160" spans="1:21" s="552" customFormat="1" ht="15" hidden="1" customHeight="1">
      <c r="A160" s="621"/>
      <c r="B160" s="622" t="s">
        <v>501</v>
      </c>
      <c r="C160" s="558">
        <f>IF(G160&gt;0,"x",0)</f>
        <v>0</v>
      </c>
      <c r="D160" s="553"/>
      <c r="E160" s="694" t="str">
        <f>VLOOKUP($B160,dongia1,DG!$C$5,)</f>
        <v>Đắp đất hố móng, đất cấp 3 (độ chặt k = 0.85)</v>
      </c>
      <c r="F160" s="555" t="str">
        <f>VLOOKUP($B160,dongia1,DG!$D$5,)</f>
        <v>m3</v>
      </c>
      <c r="G160" s="205">
        <v>0</v>
      </c>
      <c r="H160" s="556">
        <f t="shared" ca="1" si="91"/>
        <v>0</v>
      </c>
      <c r="I160" s="556">
        <f t="shared" ca="1" si="91"/>
        <v>0</v>
      </c>
      <c r="J160" s="556">
        <f t="shared" ca="1" si="91"/>
        <v>0</v>
      </c>
      <c r="K160" s="556">
        <f t="shared" ca="1" si="91"/>
        <v>0</v>
      </c>
      <c r="L160" s="556">
        <f t="shared" ca="1" si="91"/>
        <v>0</v>
      </c>
      <c r="M160" s="556">
        <f t="shared" ca="1" si="91"/>
        <v>0</v>
      </c>
      <c r="N160" s="556">
        <f t="shared" ca="1" si="91"/>
        <v>0</v>
      </c>
      <c r="O160" s="556">
        <f t="shared" ca="1" si="91"/>
        <v>0</v>
      </c>
      <c r="P160" s="182">
        <f>VLOOKUP($B160,dongia1,DG!$F$5,)</f>
        <v>0</v>
      </c>
      <c r="Q160" s="182">
        <f>VLOOKUP($B160,dongia1,DG!$G$5,)</f>
        <v>117703.6</v>
      </c>
      <c r="R160" s="554"/>
      <c r="S160" s="113">
        <f t="shared" si="88"/>
        <v>0</v>
      </c>
      <c r="T160" s="113">
        <f t="shared" si="89"/>
        <v>0</v>
      </c>
      <c r="U160" s="557">
        <f t="shared" si="90"/>
        <v>0</v>
      </c>
    </row>
    <row r="161" spans="1:21" s="552" customFormat="1" ht="15" hidden="1" customHeight="1">
      <c r="A161" s="621"/>
      <c r="B161" s="622" t="s">
        <v>1694</v>
      </c>
      <c r="C161" s="558" t="str">
        <f ca="1">C156</f>
        <v xml:space="preserve"> </v>
      </c>
      <c r="D161" s="553"/>
      <c r="E161" s="694" t="str">
        <f>VLOOKUP($B161,dongia1,DG!$C$5,)</f>
        <v>Gia công và lắp dựng cốt thép D&lt;=10</v>
      </c>
      <c r="F161" s="555" t="str">
        <f>VLOOKUP($B161,dongia1,DG!$D$5,)</f>
        <v>kg</v>
      </c>
      <c r="G161" s="205">
        <f>G156</f>
        <v>31.1</v>
      </c>
      <c r="H161" s="556">
        <f t="shared" ca="1" si="91"/>
        <v>0</v>
      </c>
      <c r="I161" s="556">
        <f t="shared" ca="1" si="91"/>
        <v>0</v>
      </c>
      <c r="J161" s="556">
        <f t="shared" ca="1" si="91"/>
        <v>0</v>
      </c>
      <c r="K161" s="556">
        <f t="shared" ca="1" si="91"/>
        <v>0</v>
      </c>
      <c r="L161" s="556">
        <f t="shared" ca="1" si="91"/>
        <v>0</v>
      </c>
      <c r="M161" s="556">
        <f t="shared" ca="1" si="91"/>
        <v>0</v>
      </c>
      <c r="N161" s="556">
        <f t="shared" ca="1" si="91"/>
        <v>0</v>
      </c>
      <c r="O161" s="556">
        <f t="shared" ca="1" si="91"/>
        <v>0</v>
      </c>
      <c r="P161" s="182"/>
      <c r="Q161" s="182">
        <f>VLOOKUP($B161,dongia1,DG!$G$5,)*0</f>
        <v>0</v>
      </c>
      <c r="R161" s="182">
        <f>VLOOKUP($B161,dongia1,DG!$H$5,)</f>
        <v>0</v>
      </c>
      <c r="S161" s="113">
        <f t="shared" ref="S161:U162" si="93">$G161*P161</f>
        <v>0</v>
      </c>
      <c r="T161" s="113">
        <f t="shared" si="93"/>
        <v>0</v>
      </c>
      <c r="U161" s="557">
        <f t="shared" si="93"/>
        <v>0</v>
      </c>
    </row>
    <row r="162" spans="1:21" s="552" customFormat="1" ht="15" hidden="1" customHeight="1">
      <c r="A162" s="621"/>
      <c r="B162" s="622" t="s">
        <v>2065</v>
      </c>
      <c r="C162" s="558" t="str">
        <f ca="1">C152</f>
        <v xml:space="preserve"> </v>
      </c>
      <c r="D162" s="553"/>
      <c r="E162" s="694" t="str">
        <f>VLOOKUP($B162,dongia1,DG!$C$5,)</f>
        <v>Đổ bê tông mác M150 đá 2x4 rộng &gt;250cm</v>
      </c>
      <c r="F162" s="555" t="str">
        <f>VLOOKUP($B162,dongia1,DG!$D$5,)</f>
        <v>m3</v>
      </c>
      <c r="G162" s="205">
        <v>0.68899999999999995</v>
      </c>
      <c r="H162" s="556">
        <f t="shared" ca="1" si="91"/>
        <v>0</v>
      </c>
      <c r="I162" s="556">
        <f t="shared" ca="1" si="91"/>
        <v>0</v>
      </c>
      <c r="J162" s="556">
        <f t="shared" ca="1" si="91"/>
        <v>0</v>
      </c>
      <c r="K162" s="556">
        <f t="shared" ca="1" si="91"/>
        <v>0</v>
      </c>
      <c r="L162" s="556">
        <f t="shared" ca="1" si="91"/>
        <v>0</v>
      </c>
      <c r="M162" s="556">
        <f t="shared" ca="1" si="91"/>
        <v>0</v>
      </c>
      <c r="N162" s="556">
        <f t="shared" ca="1" si="91"/>
        <v>0</v>
      </c>
      <c r="O162" s="556">
        <f t="shared" ca="1" si="91"/>
        <v>0</v>
      </c>
      <c r="P162" s="182"/>
      <c r="Q162" s="182">
        <f>VLOOKUP($B162,dongia1,DG!$G$5,)</f>
        <v>414064.45</v>
      </c>
      <c r="R162" s="182">
        <f>VLOOKUP($B162,dongia1,DG!$H$5,)</f>
        <v>0</v>
      </c>
      <c r="S162" s="113">
        <f t="shared" si="93"/>
        <v>0</v>
      </c>
      <c r="T162" s="113">
        <f t="shared" si="93"/>
        <v>285290.40604999999</v>
      </c>
      <c r="U162" s="557">
        <f t="shared" si="93"/>
        <v>0</v>
      </c>
    </row>
    <row r="163" spans="1:21" s="610" customFormat="1" ht="14.25" hidden="1" customHeight="1">
      <c r="A163" s="635" t="s">
        <v>3713</v>
      </c>
      <c r="B163" s="636"/>
      <c r="C163" s="637" t="str">
        <f ca="1">IF(H163&lt;&gt;0,"x"," ")</f>
        <v xml:space="preserve"> </v>
      </c>
      <c r="D163" s="599"/>
      <c r="E163" s="727" t="s">
        <v>3502</v>
      </c>
      <c r="F163" s="600" t="s">
        <v>3391</v>
      </c>
      <c r="G163" s="604"/>
      <c r="H163" s="605">
        <f ca="1">SUM(I163:N163)</f>
        <v>0</v>
      </c>
      <c r="I163" s="605">
        <f ca="1">SUMIF(mong3pm,chitiet!$A163,slmong3pm)</f>
        <v>0</v>
      </c>
      <c r="J163" s="605">
        <f ca="1">SUMIF(mongct,chitiet!$A163,slmongct)</f>
        <v>0</v>
      </c>
      <c r="K163" s="605">
        <f ca="1">SUMIF(mong3p1m,chitiet!$A163,slmong3p1m)</f>
        <v>0</v>
      </c>
      <c r="L163" s="605">
        <f ca="1">SUMIF(mong1pm,chitiet!$A163,slmong1pm)</f>
        <v>0</v>
      </c>
      <c r="M163" s="605">
        <f ca="1">SUMIF(monghthh,chitiet!$A163,slmonghthh)</f>
        <v>0</v>
      </c>
      <c r="N163" s="605">
        <f ca="1">SUMIF(mongHTDL,chitiet!$A163,SLmongHTDL)</f>
        <v>0</v>
      </c>
      <c r="O163" s="605">
        <f ca="1">SUMIF(mongHTCS,chitiet!$A163,slmongHTCS)</f>
        <v>0</v>
      </c>
      <c r="P163" s="606"/>
      <c r="Q163" s="606"/>
      <c r="R163" s="606"/>
      <c r="S163" s="601">
        <f>SUM(S164:S172)</f>
        <v>885448</v>
      </c>
      <c r="T163" s="601">
        <f>SUM(T164:T172)</f>
        <v>656175.07400000002</v>
      </c>
      <c r="U163" s="602">
        <f>SUM(U164:U172)</f>
        <v>0</v>
      </c>
    </row>
    <row r="164" spans="1:21" s="552" customFormat="1" ht="15" hidden="1" customHeight="1">
      <c r="A164" s="621"/>
      <c r="B164" s="622" t="s">
        <v>1728</v>
      </c>
      <c r="C164" s="558" t="str">
        <f ca="1">C163</f>
        <v xml:space="preserve"> </v>
      </c>
      <c r="D164" s="553"/>
      <c r="E164" s="694" t="str">
        <f>VLOOKUP($B164,dongia1,DG!$C$5,)</f>
        <v>Ximăng</v>
      </c>
      <c r="F164" s="555" t="str">
        <f>VLOOKUP($B164,dongia1,DG!$D$5,)</f>
        <v>kg</v>
      </c>
      <c r="G164" s="205">
        <v>249</v>
      </c>
      <c r="H164" s="556">
        <f ca="1">+H$163*$G164</f>
        <v>0</v>
      </c>
      <c r="I164" s="556">
        <f t="shared" ref="I164:O164" ca="1" si="94">+I$163*$G164</f>
        <v>0</v>
      </c>
      <c r="J164" s="556">
        <f t="shared" ca="1" si="94"/>
        <v>0</v>
      </c>
      <c r="K164" s="556">
        <f t="shared" ca="1" si="94"/>
        <v>0</v>
      </c>
      <c r="L164" s="556">
        <f t="shared" ca="1" si="94"/>
        <v>0</v>
      </c>
      <c r="M164" s="556">
        <f t="shared" ca="1" si="94"/>
        <v>0</v>
      </c>
      <c r="N164" s="556">
        <f t="shared" ca="1" si="94"/>
        <v>0</v>
      </c>
      <c r="O164" s="556">
        <f t="shared" ca="1" si="94"/>
        <v>0</v>
      </c>
      <c r="P164" s="182">
        <f>VLOOKUP($B164,dongia1,DG!$F$5,)</f>
        <v>1740</v>
      </c>
      <c r="Q164" s="182">
        <f>VLOOKUP($B164,dongia1,DG!$G$5,)</f>
        <v>0</v>
      </c>
      <c r="R164" s="554"/>
      <c r="S164" s="113">
        <f t="shared" ref="S164:S170" si="95">$G164*P164</f>
        <v>433260</v>
      </c>
      <c r="T164" s="113">
        <f t="shared" ref="T164:T170" si="96">$G164*Q164</f>
        <v>0</v>
      </c>
      <c r="U164" s="557">
        <f t="shared" ref="U164:U170" si="97">$G164*R164</f>
        <v>0</v>
      </c>
    </row>
    <row r="165" spans="1:21" s="552" customFormat="1" ht="15" hidden="1" customHeight="1">
      <c r="A165" s="621"/>
      <c r="B165" s="622" t="s">
        <v>1729</v>
      </c>
      <c r="C165" s="558" t="str">
        <f ca="1">C164</f>
        <v xml:space="preserve"> </v>
      </c>
      <c r="D165" s="553"/>
      <c r="E165" s="694" t="str">
        <f>VLOOKUP($B165,dongia1,DG!$C$5,)</f>
        <v>Cát vàng</v>
      </c>
      <c r="F165" s="555" t="str">
        <f>VLOOKUP($B165,dongia1,DG!$D$5,)</f>
        <v>m3</v>
      </c>
      <c r="G165" s="205">
        <v>0.39900000000000002</v>
      </c>
      <c r="H165" s="556">
        <f t="shared" ref="H165:O172" ca="1" si="98">+H$163*$G165</f>
        <v>0</v>
      </c>
      <c r="I165" s="556">
        <f t="shared" ca="1" si="98"/>
        <v>0</v>
      </c>
      <c r="J165" s="556">
        <f t="shared" ca="1" si="98"/>
        <v>0</v>
      </c>
      <c r="K165" s="556">
        <f t="shared" ca="1" si="98"/>
        <v>0</v>
      </c>
      <c r="L165" s="556">
        <f t="shared" ca="1" si="98"/>
        <v>0</v>
      </c>
      <c r="M165" s="556">
        <f t="shared" ca="1" si="98"/>
        <v>0</v>
      </c>
      <c r="N165" s="556">
        <f t="shared" ca="1" si="98"/>
        <v>0</v>
      </c>
      <c r="O165" s="556">
        <f t="shared" ca="1" si="98"/>
        <v>0</v>
      </c>
      <c r="P165" s="182">
        <f>VLOOKUP($B165,dongia1,DG!$F$5,)</f>
        <v>512000</v>
      </c>
      <c r="Q165" s="182">
        <f>VLOOKUP($B165,dongia1,DG!$G$5,)</f>
        <v>0</v>
      </c>
      <c r="R165" s="554"/>
      <c r="S165" s="113">
        <f t="shared" si="95"/>
        <v>204288</v>
      </c>
      <c r="T165" s="113">
        <f t="shared" si="96"/>
        <v>0</v>
      </c>
      <c r="U165" s="557">
        <f t="shared" si="97"/>
        <v>0</v>
      </c>
    </row>
    <row r="166" spans="1:21" s="552" customFormat="1" ht="15" hidden="1" customHeight="1">
      <c r="A166" s="621"/>
      <c r="B166" s="622" t="s">
        <v>853</v>
      </c>
      <c r="C166" s="558" t="str">
        <f ca="1">C165</f>
        <v xml:space="preserve"> </v>
      </c>
      <c r="D166" s="553"/>
      <c r="E166" s="694" t="str">
        <f>VLOOKUP($B166,dongia1,DG!$C$5,)</f>
        <v>Đá 1x2</v>
      </c>
      <c r="F166" s="555" t="str">
        <f>VLOOKUP($B166,dongia1,DG!$D$5,)</f>
        <v>m3</v>
      </c>
      <c r="G166" s="205">
        <v>0.74</v>
      </c>
      <c r="H166" s="556">
        <f t="shared" ca="1" si="98"/>
        <v>0</v>
      </c>
      <c r="I166" s="556">
        <f t="shared" ca="1" si="98"/>
        <v>0</v>
      </c>
      <c r="J166" s="556">
        <f t="shared" ca="1" si="98"/>
        <v>0</v>
      </c>
      <c r="K166" s="556">
        <f t="shared" ca="1" si="98"/>
        <v>0</v>
      </c>
      <c r="L166" s="556">
        <f t="shared" ca="1" si="98"/>
        <v>0</v>
      </c>
      <c r="M166" s="556">
        <f t="shared" ca="1" si="98"/>
        <v>0</v>
      </c>
      <c r="N166" s="556">
        <f t="shared" ca="1" si="98"/>
        <v>0</v>
      </c>
      <c r="O166" s="556">
        <f t="shared" ca="1" si="98"/>
        <v>0</v>
      </c>
      <c r="P166" s="182">
        <f>VLOOKUP($B166,dongia1,DG!$F$5,)</f>
        <v>335000</v>
      </c>
      <c r="Q166" s="182">
        <f>VLOOKUP($B166,dongia1,DG!$G$5,)</f>
        <v>0</v>
      </c>
      <c r="R166" s="554"/>
      <c r="S166" s="113">
        <f t="shared" si="95"/>
        <v>247900</v>
      </c>
      <c r="T166" s="113">
        <f t="shared" si="96"/>
        <v>0</v>
      </c>
      <c r="U166" s="557">
        <f t="shared" si="97"/>
        <v>0</v>
      </c>
    </row>
    <row r="167" spans="1:21" s="552" customFormat="1" ht="15" hidden="1" customHeight="1">
      <c r="A167" s="621"/>
      <c r="B167" s="622" t="s">
        <v>1614</v>
      </c>
      <c r="C167" s="558"/>
      <c r="D167" s="553"/>
      <c r="E167" s="694" t="str">
        <f>VLOOKUP($B167,dongia1,DG!$C$5,)</f>
        <v>Sắt   Þ10</v>
      </c>
      <c r="F167" s="555" t="str">
        <f>VLOOKUP($B167,dongia1,DG!$D$5,)</f>
        <v>kg</v>
      </c>
      <c r="G167" s="205">
        <v>28.4</v>
      </c>
      <c r="H167" s="556">
        <f ca="1">+H$163*$G167*0</f>
        <v>0</v>
      </c>
      <c r="I167" s="556">
        <f t="shared" ca="1" si="98"/>
        <v>0</v>
      </c>
      <c r="J167" s="556">
        <f t="shared" ca="1" si="98"/>
        <v>0</v>
      </c>
      <c r="K167" s="556">
        <f t="shared" ca="1" si="98"/>
        <v>0</v>
      </c>
      <c r="L167" s="556">
        <f t="shared" ca="1" si="98"/>
        <v>0</v>
      </c>
      <c r="M167" s="556">
        <f t="shared" ca="1" si="98"/>
        <v>0</v>
      </c>
      <c r="N167" s="556">
        <f t="shared" ca="1" si="98"/>
        <v>0</v>
      </c>
      <c r="O167" s="556">
        <f t="shared" ca="1" si="98"/>
        <v>0</v>
      </c>
      <c r="P167" s="182">
        <f>VLOOKUP($B167,dongia1,DG!$F$5,)*0</f>
        <v>0</v>
      </c>
      <c r="Q167" s="182">
        <f>VLOOKUP($B167,dongia1,DG!$G$5,)</f>
        <v>0</v>
      </c>
      <c r="R167" s="554"/>
      <c r="S167" s="113">
        <f t="shared" si="95"/>
        <v>0</v>
      </c>
      <c r="T167" s="113">
        <f t="shared" si="96"/>
        <v>0</v>
      </c>
      <c r="U167" s="557">
        <f t="shared" si="97"/>
        <v>0</v>
      </c>
    </row>
    <row r="168" spans="1:21" s="552" customFormat="1" ht="15" hidden="1" customHeight="1">
      <c r="A168" s="621"/>
      <c r="B168" s="622" t="s">
        <v>1615</v>
      </c>
      <c r="C168" s="558"/>
      <c r="D168" s="553"/>
      <c r="E168" s="694" t="str">
        <f>VLOOKUP($B168,dongia1,DG!$C$5,)</f>
        <v>Kẽm</v>
      </c>
      <c r="F168" s="555" t="str">
        <f>VLOOKUP($B168,dongia1,DG!$D$5,)</f>
        <v>kg</v>
      </c>
      <c r="G168" s="205">
        <v>0.61</v>
      </c>
      <c r="H168" s="556">
        <f t="shared" ca="1" si="98"/>
        <v>0</v>
      </c>
      <c r="I168" s="556">
        <f t="shared" ca="1" si="98"/>
        <v>0</v>
      </c>
      <c r="J168" s="556">
        <f t="shared" ca="1" si="98"/>
        <v>0</v>
      </c>
      <c r="K168" s="556">
        <f t="shared" ca="1" si="98"/>
        <v>0</v>
      </c>
      <c r="L168" s="556">
        <f t="shared" ca="1" si="98"/>
        <v>0</v>
      </c>
      <c r="M168" s="556">
        <f t="shared" ca="1" si="98"/>
        <v>0</v>
      </c>
      <c r="N168" s="556">
        <f t="shared" ca="1" si="98"/>
        <v>0</v>
      </c>
      <c r="O168" s="556">
        <f t="shared" ca="1" si="98"/>
        <v>0</v>
      </c>
      <c r="P168" s="182">
        <f>VLOOKUP($B168,dongia1,DG!$F$5,)*0</f>
        <v>0</v>
      </c>
      <c r="Q168" s="182">
        <f>VLOOKUP($B168,dongia1,DG!$G$5,)</f>
        <v>0</v>
      </c>
      <c r="R168" s="554"/>
      <c r="S168" s="113">
        <f t="shared" si="95"/>
        <v>0</v>
      </c>
      <c r="T168" s="113">
        <f t="shared" si="96"/>
        <v>0</v>
      </c>
      <c r="U168" s="557">
        <f t="shared" si="97"/>
        <v>0</v>
      </c>
    </row>
    <row r="169" spans="1:21" s="552" customFormat="1" ht="15" hidden="1" customHeight="1">
      <c r="A169" s="621"/>
      <c r="B169" s="622" t="s">
        <v>1645</v>
      </c>
      <c r="C169" s="558" t="str">
        <f ca="1">C166</f>
        <v xml:space="preserve"> </v>
      </c>
      <c r="D169" s="553"/>
      <c r="E169" s="694" t="str">
        <f>VLOOKUP($B169,dongia1,DG!$C$5,)</f>
        <v>Đào hố móng đất cấp 3 sâu &gt;1m DT&lt;5m2</v>
      </c>
      <c r="F169" s="555" t="str">
        <f>VLOOKUP($B169,dongia1,DG!$D$5,)</f>
        <v>m3</v>
      </c>
      <c r="G169" s="205">
        <v>1.04</v>
      </c>
      <c r="H169" s="556">
        <f t="shared" ca="1" si="98"/>
        <v>0</v>
      </c>
      <c r="I169" s="556">
        <f t="shared" ca="1" si="98"/>
        <v>0</v>
      </c>
      <c r="J169" s="556">
        <f t="shared" ca="1" si="98"/>
        <v>0</v>
      </c>
      <c r="K169" s="556">
        <f t="shared" ca="1" si="98"/>
        <v>0</v>
      </c>
      <c r="L169" s="556">
        <f t="shared" ca="1" si="98"/>
        <v>0</v>
      </c>
      <c r="M169" s="556">
        <f t="shared" ca="1" si="98"/>
        <v>0</v>
      </c>
      <c r="N169" s="556">
        <f t="shared" ca="1" si="98"/>
        <v>0</v>
      </c>
      <c r="O169" s="556">
        <f t="shared" ca="1" si="98"/>
        <v>0</v>
      </c>
      <c r="P169" s="182">
        <f>VLOOKUP($B169,dongia1,DG!$F$5,)</f>
        <v>0</v>
      </c>
      <c r="Q169" s="182">
        <f>VLOOKUP($B169,dongia1,DG!$G$5,)</f>
        <v>296500.89999999997</v>
      </c>
      <c r="R169" s="554"/>
      <c r="S169" s="113">
        <f t="shared" si="95"/>
        <v>0</v>
      </c>
      <c r="T169" s="113">
        <f t="shared" si="96"/>
        <v>308360.93599999999</v>
      </c>
      <c r="U169" s="718">
        <f t="shared" si="97"/>
        <v>0</v>
      </c>
    </row>
    <row r="170" spans="1:21" s="552" customFormat="1" ht="15" hidden="1" customHeight="1">
      <c r="A170" s="621"/>
      <c r="B170" s="622" t="s">
        <v>501</v>
      </c>
      <c r="C170" s="558"/>
      <c r="D170" s="553"/>
      <c r="E170" s="694" t="str">
        <f>VLOOKUP($B170,dongia1,DG!$C$5,)</f>
        <v>Đắp đất hố móng, đất cấp 3 (độ chặt k = 0.85)</v>
      </c>
      <c r="F170" s="555" t="str">
        <f>VLOOKUP($B170,dongia1,DG!$D$5,)</f>
        <v>m3</v>
      </c>
      <c r="G170" s="205">
        <v>0</v>
      </c>
      <c r="H170" s="556">
        <f t="shared" ca="1" si="98"/>
        <v>0</v>
      </c>
      <c r="I170" s="556">
        <f t="shared" ca="1" si="98"/>
        <v>0</v>
      </c>
      <c r="J170" s="556">
        <f t="shared" ca="1" si="98"/>
        <v>0</v>
      </c>
      <c r="K170" s="556">
        <f t="shared" ca="1" si="98"/>
        <v>0</v>
      </c>
      <c r="L170" s="556">
        <f t="shared" ca="1" si="98"/>
        <v>0</v>
      </c>
      <c r="M170" s="556">
        <f t="shared" ca="1" si="98"/>
        <v>0</v>
      </c>
      <c r="N170" s="556">
        <f t="shared" ca="1" si="98"/>
        <v>0</v>
      </c>
      <c r="O170" s="556">
        <f t="shared" ca="1" si="98"/>
        <v>0</v>
      </c>
      <c r="P170" s="182">
        <f>VLOOKUP($B170,dongia1,DG!$F$5,)</f>
        <v>0</v>
      </c>
      <c r="Q170" s="182">
        <f>VLOOKUP($B170,dongia1,DG!$G$5,)</f>
        <v>117703.6</v>
      </c>
      <c r="R170" s="554"/>
      <c r="S170" s="113">
        <f t="shared" si="95"/>
        <v>0</v>
      </c>
      <c r="T170" s="113">
        <f t="shared" si="96"/>
        <v>0</v>
      </c>
      <c r="U170" s="715">
        <f t="shared" si="97"/>
        <v>0</v>
      </c>
    </row>
    <row r="171" spans="1:21" s="552" customFormat="1" ht="15" hidden="1" customHeight="1">
      <c r="A171" s="621"/>
      <c r="B171" s="622" t="s">
        <v>1616</v>
      </c>
      <c r="C171" s="558"/>
      <c r="D171" s="553"/>
      <c r="E171" s="694" t="str">
        <f>VLOOKUP($B171,dongia1,DG!$C$5,)</f>
        <v>Gia công và lắp dựng cốt thép D&lt;=10</v>
      </c>
      <c r="F171" s="555" t="str">
        <f>VLOOKUP($B171,dongia1,DG!$D$5,)</f>
        <v>kg</v>
      </c>
      <c r="G171" s="205">
        <f>G167</f>
        <v>28.4</v>
      </c>
      <c r="H171" s="556">
        <f ca="1">+H$163*$G171*0</f>
        <v>0</v>
      </c>
      <c r="I171" s="556">
        <f t="shared" ca="1" si="98"/>
        <v>0</v>
      </c>
      <c r="J171" s="556">
        <f t="shared" ca="1" si="98"/>
        <v>0</v>
      </c>
      <c r="K171" s="556">
        <f t="shared" ca="1" si="98"/>
        <v>0</v>
      </c>
      <c r="L171" s="556">
        <f t="shared" ca="1" si="98"/>
        <v>0</v>
      </c>
      <c r="M171" s="556">
        <f t="shared" ca="1" si="98"/>
        <v>0</v>
      </c>
      <c r="N171" s="556">
        <f t="shared" ca="1" si="98"/>
        <v>0</v>
      </c>
      <c r="O171" s="556">
        <f t="shared" ca="1" si="98"/>
        <v>0</v>
      </c>
      <c r="P171" s="182"/>
      <c r="Q171" s="182">
        <f>VLOOKUP($B171,dongia1,DG!$G$5,)*0</f>
        <v>0</v>
      </c>
      <c r="R171" s="554"/>
      <c r="S171" s="113">
        <f t="shared" ref="S171:U172" si="99">$G171*P171</f>
        <v>0</v>
      </c>
      <c r="T171" s="113">
        <f t="shared" si="99"/>
        <v>0</v>
      </c>
      <c r="U171" s="557">
        <f t="shared" si="99"/>
        <v>0</v>
      </c>
    </row>
    <row r="172" spans="1:21" s="552" customFormat="1" ht="15" hidden="1" customHeight="1">
      <c r="A172" s="621"/>
      <c r="B172" s="622" t="s">
        <v>2065</v>
      </c>
      <c r="C172" s="558" t="str">
        <f ca="1">+C169</f>
        <v xml:space="preserve"> </v>
      </c>
      <c r="D172" s="553"/>
      <c r="E172" s="694" t="str">
        <f>VLOOKUP($B172,dongia1,DG!$C$5,)</f>
        <v>Đổ bê tông mác M150 đá 2x4 rộng &gt;250cm</v>
      </c>
      <c r="F172" s="555" t="str">
        <f>VLOOKUP($B172,dongia1,DG!$D$5,)</f>
        <v>m3</v>
      </c>
      <c r="G172" s="205">
        <v>0.84</v>
      </c>
      <c r="H172" s="556">
        <f t="shared" ca="1" si="98"/>
        <v>0</v>
      </c>
      <c r="I172" s="556">
        <f t="shared" ca="1" si="98"/>
        <v>0</v>
      </c>
      <c r="J172" s="556">
        <f t="shared" ca="1" si="98"/>
        <v>0</v>
      </c>
      <c r="K172" s="556">
        <f t="shared" ca="1" si="98"/>
        <v>0</v>
      </c>
      <c r="L172" s="556">
        <f t="shared" ca="1" si="98"/>
        <v>0</v>
      </c>
      <c r="M172" s="556">
        <f t="shared" ca="1" si="98"/>
        <v>0</v>
      </c>
      <c r="N172" s="556">
        <f t="shared" ca="1" si="98"/>
        <v>0</v>
      </c>
      <c r="O172" s="556">
        <f t="shared" ca="1" si="98"/>
        <v>0</v>
      </c>
      <c r="P172" s="182"/>
      <c r="Q172" s="182">
        <f>VLOOKUP($B172,dongia1,DG!$G$5,)</f>
        <v>414064.45</v>
      </c>
      <c r="R172" s="554"/>
      <c r="S172" s="113">
        <f t="shared" si="99"/>
        <v>0</v>
      </c>
      <c r="T172" s="113">
        <f t="shared" si="99"/>
        <v>347814.13799999998</v>
      </c>
      <c r="U172" s="718">
        <f t="shared" si="99"/>
        <v>0</v>
      </c>
    </row>
    <row r="173" spans="1:21" s="552" customFormat="1" ht="15" hidden="1" customHeight="1">
      <c r="A173" s="621" t="s">
        <v>483</v>
      </c>
      <c r="B173" s="622"/>
      <c r="C173" s="558" t="str">
        <f ca="1">IF(H173&lt;&gt;0,"x"," ")</f>
        <v xml:space="preserve"> </v>
      </c>
      <c r="D173" s="553"/>
      <c r="E173" s="727" t="s">
        <v>3503</v>
      </c>
      <c r="F173" s="600" t="s">
        <v>3391</v>
      </c>
      <c r="G173" s="205"/>
      <c r="H173" s="556">
        <f ca="1">SUM(I173:N173)</f>
        <v>0</v>
      </c>
      <c r="I173" s="556">
        <f ca="1">SUMIF(mong3pm,chitiet!$A173,slmong3pm)</f>
        <v>0</v>
      </c>
      <c r="J173" s="556">
        <f ca="1">SUMIF(mongct,chitiet!$A173,slmongct)</f>
        <v>0</v>
      </c>
      <c r="K173" s="556">
        <f ca="1">SUMIF(mong3p1m,chitiet!$A173,slmong3p1m)</f>
        <v>0</v>
      </c>
      <c r="L173" s="556">
        <f ca="1">SUMIF(mong1pm,chitiet!$A173,slmong1pm)</f>
        <v>0</v>
      </c>
      <c r="M173" s="556">
        <f ca="1">SUMIF(monghthh,chitiet!$A173,slmonghthh)</f>
        <v>0</v>
      </c>
      <c r="N173" s="556">
        <f ca="1">SUMIF(mongHTDL,chitiet!$A173,SLmongHTDL)</f>
        <v>0</v>
      </c>
      <c r="O173" s="556">
        <f ca="1">SUMIF(mongHTCS,chitiet!$A173,slmongHTCS)</f>
        <v>0</v>
      </c>
      <c r="P173" s="554"/>
      <c r="Q173" s="554"/>
      <c r="R173" s="554"/>
      <c r="S173" s="601">
        <f>SUM(S174:S177)</f>
        <v>893490</v>
      </c>
      <c r="T173" s="601">
        <f>SUM(T174:T177)</f>
        <v>1180411.3529999999</v>
      </c>
      <c r="U173" s="714">
        <f>SUM(U174:U177)</f>
        <v>0</v>
      </c>
    </row>
    <row r="174" spans="1:21" s="552" customFormat="1" ht="15" hidden="1" customHeight="1">
      <c r="A174" s="621"/>
      <c r="B174" s="622" t="s">
        <v>580</v>
      </c>
      <c r="C174" s="558" t="str">
        <f ca="1">C173</f>
        <v xml:space="preserve"> </v>
      </c>
      <c r="D174" s="553"/>
      <c r="E174" s="694" t="str">
        <f>VLOOKUP($B174,dongia1,DG!$C$5,)</f>
        <v>Đà cản BTCT 1,2m</v>
      </c>
      <c r="F174" s="555" t="str">
        <f>VLOOKUP($B174,dongia1,DG!$D$5,)</f>
        <v>cái</v>
      </c>
      <c r="G174" s="205">
        <v>2</v>
      </c>
      <c r="H174" s="556">
        <f ca="1">H$173*$G174</f>
        <v>0</v>
      </c>
      <c r="I174" s="556">
        <f t="shared" ref="I174:O174" ca="1" si="100">I$173*$G174</f>
        <v>0</v>
      </c>
      <c r="J174" s="556">
        <f t="shared" ca="1" si="100"/>
        <v>0</v>
      </c>
      <c r="K174" s="556">
        <f t="shared" ca="1" si="100"/>
        <v>0</v>
      </c>
      <c r="L174" s="556">
        <f t="shared" ca="1" si="100"/>
        <v>0</v>
      </c>
      <c r="M174" s="556">
        <f t="shared" ca="1" si="100"/>
        <v>0</v>
      </c>
      <c r="N174" s="556">
        <f t="shared" ca="1" si="100"/>
        <v>0</v>
      </c>
      <c r="O174" s="556">
        <f t="shared" ca="1" si="100"/>
        <v>0</v>
      </c>
      <c r="P174" s="182">
        <f>VLOOKUP($B174,dongia1,DG!$F$5,)</f>
        <v>354545</v>
      </c>
      <c r="Q174" s="182">
        <f>VLOOKUP($B174,dongia1,DG!$G$5,)</f>
        <v>37220.25</v>
      </c>
      <c r="R174" s="554"/>
      <c r="S174" s="113">
        <f t="shared" ref="S174:U177" si="101">$G174*P174</f>
        <v>709090</v>
      </c>
      <c r="T174" s="113">
        <f t="shared" si="101"/>
        <v>74440.5</v>
      </c>
      <c r="U174" s="557">
        <f t="shared" si="101"/>
        <v>0</v>
      </c>
    </row>
    <row r="175" spans="1:21" s="552" customFormat="1" ht="15" hidden="1" customHeight="1">
      <c r="A175" s="621"/>
      <c r="B175" s="622" t="s">
        <v>952</v>
      </c>
      <c r="C175" s="558" t="str">
        <f ca="1">C174</f>
        <v xml:space="preserve"> </v>
      </c>
      <c r="D175" s="553"/>
      <c r="E175" s="694" t="str">
        <f>VLOOKUP($B175,dongia1,DG!$C$5,)</f>
        <v>Boulon 22x650+ 2 long đền vuông D24-60x60x3/Zn</v>
      </c>
      <c r="F175" s="555" t="str">
        <f>VLOOKUP($B175,dongia1,DG!$D$5,)</f>
        <v>bộ</v>
      </c>
      <c r="G175" s="205">
        <v>2</v>
      </c>
      <c r="H175" s="556">
        <f t="shared" ref="H175:O177" ca="1" si="102">H$173*$G175</f>
        <v>0</v>
      </c>
      <c r="I175" s="556">
        <f t="shared" ca="1" si="102"/>
        <v>0</v>
      </c>
      <c r="J175" s="556">
        <f t="shared" ca="1" si="102"/>
        <v>0</v>
      </c>
      <c r="K175" s="556">
        <f t="shared" ca="1" si="102"/>
        <v>0</v>
      </c>
      <c r="L175" s="556">
        <f t="shared" ca="1" si="102"/>
        <v>0</v>
      </c>
      <c r="M175" s="556">
        <f t="shared" ca="1" si="102"/>
        <v>0</v>
      </c>
      <c r="N175" s="556">
        <f t="shared" ca="1" si="102"/>
        <v>0</v>
      </c>
      <c r="O175" s="556">
        <f t="shared" ca="1" si="102"/>
        <v>0</v>
      </c>
      <c r="P175" s="182">
        <f>VLOOKUP($B175,dongia1,DG!$F$5,)</f>
        <v>92200</v>
      </c>
      <c r="Q175" s="554"/>
      <c r="R175" s="554"/>
      <c r="S175" s="113">
        <f t="shared" si="101"/>
        <v>184400</v>
      </c>
      <c r="T175" s="113">
        <f t="shared" si="101"/>
        <v>0</v>
      </c>
      <c r="U175" s="557">
        <f t="shared" si="101"/>
        <v>0</v>
      </c>
    </row>
    <row r="176" spans="1:21" s="552" customFormat="1" ht="15" hidden="1" customHeight="1">
      <c r="A176" s="621"/>
      <c r="B176" s="622" t="s">
        <v>1645</v>
      </c>
      <c r="C176" s="558" t="str">
        <f ca="1">C175</f>
        <v xml:space="preserve"> </v>
      </c>
      <c r="D176" s="553"/>
      <c r="E176" s="694" t="str">
        <f>VLOOKUP($B176,dongia1,DG!$C$5,)</f>
        <v>Đào hố móng đất cấp 3 sâu &gt;1m DT&lt;5m2</v>
      </c>
      <c r="F176" s="555" t="str">
        <f>VLOOKUP($B176,dongia1,DG!$D$5,)</f>
        <v>m3</v>
      </c>
      <c r="G176" s="205">
        <v>2.69</v>
      </c>
      <c r="H176" s="556">
        <f t="shared" ca="1" si="102"/>
        <v>0</v>
      </c>
      <c r="I176" s="556">
        <f t="shared" ca="1" si="102"/>
        <v>0</v>
      </c>
      <c r="J176" s="556">
        <f t="shared" ca="1" si="102"/>
        <v>0</v>
      </c>
      <c r="K176" s="556">
        <f t="shared" ca="1" si="102"/>
        <v>0</v>
      </c>
      <c r="L176" s="556">
        <f t="shared" ca="1" si="102"/>
        <v>0</v>
      </c>
      <c r="M176" s="556">
        <f t="shared" ca="1" si="102"/>
        <v>0</v>
      </c>
      <c r="N176" s="556">
        <f t="shared" ca="1" si="102"/>
        <v>0</v>
      </c>
      <c r="O176" s="556">
        <f t="shared" ca="1" si="102"/>
        <v>0</v>
      </c>
      <c r="P176" s="554"/>
      <c r="Q176" s="182">
        <f>VLOOKUP($B176,dongia1,DG!$G$5,)</f>
        <v>296500.89999999997</v>
      </c>
      <c r="R176" s="554"/>
      <c r="S176" s="113">
        <f t="shared" si="101"/>
        <v>0</v>
      </c>
      <c r="T176" s="113">
        <f t="shared" si="101"/>
        <v>797587.42099999986</v>
      </c>
      <c r="U176" s="557">
        <f t="shared" si="101"/>
        <v>0</v>
      </c>
    </row>
    <row r="177" spans="1:21" s="552" customFormat="1" ht="15" hidden="1" customHeight="1">
      <c r="A177" s="621"/>
      <c r="B177" s="622" t="s">
        <v>501</v>
      </c>
      <c r="C177" s="558" t="str">
        <f ca="1">C176</f>
        <v xml:space="preserve"> </v>
      </c>
      <c r="D177" s="553"/>
      <c r="E177" s="694" t="str">
        <f>VLOOKUP($B177,dongia1,DG!$C$5,)</f>
        <v>Đắp đất hố móng, đất cấp 3 (độ chặt k = 0.85)</v>
      </c>
      <c r="F177" s="555" t="str">
        <f>VLOOKUP($B177,dongia1,DG!$D$5,)</f>
        <v>m3</v>
      </c>
      <c r="G177" s="205">
        <v>2.62</v>
      </c>
      <c r="H177" s="556">
        <f t="shared" ca="1" si="102"/>
        <v>0</v>
      </c>
      <c r="I177" s="556">
        <f t="shared" ca="1" si="102"/>
        <v>0</v>
      </c>
      <c r="J177" s="556">
        <f t="shared" ca="1" si="102"/>
        <v>0</v>
      </c>
      <c r="K177" s="556">
        <f t="shared" ca="1" si="102"/>
        <v>0</v>
      </c>
      <c r="L177" s="556">
        <f t="shared" ca="1" si="102"/>
        <v>0</v>
      </c>
      <c r="M177" s="556">
        <f t="shared" ca="1" si="102"/>
        <v>0</v>
      </c>
      <c r="N177" s="556">
        <f t="shared" ca="1" si="102"/>
        <v>0</v>
      </c>
      <c r="O177" s="556">
        <f t="shared" ca="1" si="102"/>
        <v>0</v>
      </c>
      <c r="P177" s="554"/>
      <c r="Q177" s="182">
        <f>VLOOKUP($B177,dongia1,DG!$G$5,)</f>
        <v>117703.6</v>
      </c>
      <c r="R177" s="554"/>
      <c r="S177" s="113">
        <f t="shared" si="101"/>
        <v>0</v>
      </c>
      <c r="T177" s="113">
        <f t="shared" si="101"/>
        <v>308383.43200000003</v>
      </c>
      <c r="U177" s="557">
        <f t="shared" si="101"/>
        <v>0</v>
      </c>
    </row>
    <row r="178" spans="1:21" s="552" customFormat="1" ht="15" hidden="1" customHeight="1">
      <c r="A178" s="621" t="s">
        <v>2175</v>
      </c>
      <c r="B178" s="622"/>
      <c r="C178" s="558" t="str">
        <f ca="1">IF(H178&lt;&gt;0,"x"," ")</f>
        <v xml:space="preserve"> </v>
      </c>
      <c r="D178" s="553"/>
      <c r="E178" s="727" t="s">
        <v>3504</v>
      </c>
      <c r="F178" s="600" t="s">
        <v>3391</v>
      </c>
      <c r="G178" s="205"/>
      <c r="H178" s="556">
        <f ca="1">SUM(I178:N178)</f>
        <v>0</v>
      </c>
      <c r="I178" s="556">
        <f ca="1">SUMIF(mong3pm,chitiet!$A178,slmong3pm)</f>
        <v>0</v>
      </c>
      <c r="J178" s="556">
        <f ca="1">SUMIF(mongct,chitiet!$A178,slmongct)</f>
        <v>0</v>
      </c>
      <c r="K178" s="556">
        <f ca="1">SUMIF(mong3p1m,chitiet!$A178,slmong3p1m)</f>
        <v>0</v>
      </c>
      <c r="L178" s="556">
        <f ca="1">SUMIF(mong1pm,chitiet!$A178,slmong1pm)</f>
        <v>0</v>
      </c>
      <c r="M178" s="556">
        <f ca="1">SUMIF(monghthh,chitiet!$A178,slmonghthh)</f>
        <v>0</v>
      </c>
      <c r="N178" s="556">
        <f ca="1">SUMIF(mongHTDL,chitiet!$A178,SLmongHTDL)</f>
        <v>0</v>
      </c>
      <c r="O178" s="556">
        <f ca="1">SUMIF(mongHTCS,chitiet!$A178,slmongHTCS)</f>
        <v>0</v>
      </c>
      <c r="P178" s="554"/>
      <c r="Q178" s="554"/>
      <c r="R178" s="554"/>
      <c r="S178" s="601">
        <f>SUM(S179:S183)</f>
        <v>1188945</v>
      </c>
      <c r="T178" s="601">
        <f>SUM(T179:T183)</f>
        <v>1448746.7139999999</v>
      </c>
      <c r="U178" s="602">
        <f>SUM(U179:U183)</f>
        <v>0</v>
      </c>
    </row>
    <row r="179" spans="1:21" s="552" customFormat="1" ht="15" hidden="1" customHeight="1">
      <c r="A179" s="621"/>
      <c r="B179" s="622" t="s">
        <v>580</v>
      </c>
      <c r="C179" s="558" t="str">
        <f ca="1">C178</f>
        <v xml:space="preserve"> </v>
      </c>
      <c r="D179" s="553"/>
      <c r="E179" s="694" t="str">
        <f>VLOOKUP($B179,dongia1,DG!$C$5,)</f>
        <v>Đà cản BTCT 1,2m</v>
      </c>
      <c r="F179" s="555" t="str">
        <f>VLOOKUP($B179,dongia1,DG!$D$5,)</f>
        <v>cái</v>
      </c>
      <c r="G179" s="205">
        <v>1</v>
      </c>
      <c r="H179" s="556">
        <f ca="1">H$178*$G179</f>
        <v>0</v>
      </c>
      <c r="I179" s="556">
        <f t="shared" ref="I179:O179" ca="1" si="103">I$178*$G179</f>
        <v>0</v>
      </c>
      <c r="J179" s="556">
        <f t="shared" ca="1" si="103"/>
        <v>0</v>
      </c>
      <c r="K179" s="556">
        <f t="shared" ca="1" si="103"/>
        <v>0</v>
      </c>
      <c r="L179" s="556">
        <f t="shared" ca="1" si="103"/>
        <v>0</v>
      </c>
      <c r="M179" s="556">
        <f t="shared" ca="1" si="103"/>
        <v>0</v>
      </c>
      <c r="N179" s="556">
        <f t="shared" ca="1" si="103"/>
        <v>0</v>
      </c>
      <c r="O179" s="556">
        <f t="shared" ca="1" si="103"/>
        <v>0</v>
      </c>
      <c r="P179" s="182">
        <f>VLOOKUP($B179,dongia1,DG!$F$5,)</f>
        <v>354545</v>
      </c>
      <c r="Q179" s="182">
        <f>VLOOKUP($B179,dongia1,DG!$G$5,)</f>
        <v>37220.25</v>
      </c>
      <c r="R179" s="554"/>
      <c r="S179" s="113">
        <f t="shared" ref="S179:U183" si="104">$G179*P179</f>
        <v>354545</v>
      </c>
      <c r="T179" s="113">
        <f t="shared" si="104"/>
        <v>37220.25</v>
      </c>
      <c r="U179" s="557">
        <f t="shared" si="104"/>
        <v>0</v>
      </c>
    </row>
    <row r="180" spans="1:21" s="552" customFormat="1" ht="15" hidden="1" customHeight="1">
      <c r="A180" s="621"/>
      <c r="B180" s="622" t="s">
        <v>201</v>
      </c>
      <c r="C180" s="558" t="str">
        <f ca="1">C179</f>
        <v xml:space="preserve"> </v>
      </c>
      <c r="D180" s="553"/>
      <c r="E180" s="694" t="str">
        <f>VLOOKUP($B180,dongia1,DG!$C$5,)</f>
        <v>Đà cản BTCT 1,5m</v>
      </c>
      <c r="F180" s="555" t="str">
        <f>VLOOKUP($B180,dongia1,DG!$D$5,)</f>
        <v>cái</v>
      </c>
      <c r="G180" s="205">
        <v>1</v>
      </c>
      <c r="H180" s="556">
        <f t="shared" ref="H180:O183" ca="1" si="105">H$178*$G180</f>
        <v>0</v>
      </c>
      <c r="I180" s="556">
        <f t="shared" ca="1" si="105"/>
        <v>0</v>
      </c>
      <c r="J180" s="556">
        <f t="shared" ca="1" si="105"/>
        <v>0</v>
      </c>
      <c r="K180" s="556">
        <f t="shared" ca="1" si="105"/>
        <v>0</v>
      </c>
      <c r="L180" s="556">
        <f t="shared" ca="1" si="105"/>
        <v>0</v>
      </c>
      <c r="M180" s="556">
        <f t="shared" ca="1" si="105"/>
        <v>0</v>
      </c>
      <c r="N180" s="556">
        <f t="shared" ca="1" si="105"/>
        <v>0</v>
      </c>
      <c r="O180" s="556">
        <f t="shared" ca="1" si="105"/>
        <v>0</v>
      </c>
      <c r="P180" s="182">
        <f>VLOOKUP($B180,dongia1,DG!$F$5,)</f>
        <v>650000</v>
      </c>
      <c r="Q180" s="182">
        <f>VLOOKUP($B180,dongia1,DG!$G$5,)</f>
        <v>148724</v>
      </c>
      <c r="R180" s="554"/>
      <c r="S180" s="113">
        <f t="shared" si="104"/>
        <v>650000</v>
      </c>
      <c r="T180" s="113">
        <f t="shared" si="104"/>
        <v>148724</v>
      </c>
      <c r="U180" s="557">
        <f t="shared" si="104"/>
        <v>0</v>
      </c>
    </row>
    <row r="181" spans="1:21" s="552" customFormat="1" ht="15" hidden="1" customHeight="1">
      <c r="A181" s="621"/>
      <c r="B181" s="622" t="s">
        <v>952</v>
      </c>
      <c r="C181" s="558" t="str">
        <f ca="1">C180</f>
        <v xml:space="preserve"> </v>
      </c>
      <c r="D181" s="553"/>
      <c r="E181" s="694" t="str">
        <f>VLOOKUP($B181,dongia1,DG!$C$5,)</f>
        <v>Boulon 22x650+ 2 long đền vuông D24-60x60x3/Zn</v>
      </c>
      <c r="F181" s="555" t="str">
        <f>VLOOKUP($B181,dongia1,DG!$D$5,)</f>
        <v>bộ</v>
      </c>
      <c r="G181" s="205">
        <v>2</v>
      </c>
      <c r="H181" s="556">
        <f t="shared" ca="1" si="105"/>
        <v>0</v>
      </c>
      <c r="I181" s="556">
        <f t="shared" ca="1" si="105"/>
        <v>0</v>
      </c>
      <c r="J181" s="556">
        <f t="shared" ca="1" si="105"/>
        <v>0</v>
      </c>
      <c r="K181" s="556">
        <f t="shared" ca="1" si="105"/>
        <v>0</v>
      </c>
      <c r="L181" s="556">
        <f t="shared" ca="1" si="105"/>
        <v>0</v>
      </c>
      <c r="M181" s="556">
        <f t="shared" ca="1" si="105"/>
        <v>0</v>
      </c>
      <c r="N181" s="556">
        <f t="shared" ca="1" si="105"/>
        <v>0</v>
      </c>
      <c r="O181" s="556">
        <f ca="1">O$178*$G181</f>
        <v>0</v>
      </c>
      <c r="P181" s="182">
        <f>VLOOKUP($B181,dongia1,DG!$F$5,)</f>
        <v>92200</v>
      </c>
      <c r="Q181" s="554"/>
      <c r="R181" s="554"/>
      <c r="S181" s="113">
        <f t="shared" si="104"/>
        <v>184400</v>
      </c>
      <c r="T181" s="113">
        <f t="shared" si="104"/>
        <v>0</v>
      </c>
      <c r="U181" s="557">
        <f t="shared" si="104"/>
        <v>0</v>
      </c>
    </row>
    <row r="182" spans="1:21" s="552" customFormat="1" ht="15" hidden="1" customHeight="1">
      <c r="A182" s="621"/>
      <c r="B182" s="622" t="s">
        <v>1645</v>
      </c>
      <c r="C182" s="558" t="str">
        <f ca="1">C181</f>
        <v xml:space="preserve"> </v>
      </c>
      <c r="D182" s="553"/>
      <c r="E182" s="694" t="str">
        <f>VLOOKUP($B182,dongia1,DG!$C$5,)</f>
        <v>Đào hố móng đất cấp 3 sâu &gt;1m DT&lt;5m2</v>
      </c>
      <c r="F182" s="555" t="str">
        <f>VLOOKUP($B182,dongia1,DG!$D$5,)</f>
        <v>m3</v>
      </c>
      <c r="G182" s="205">
        <v>3.08</v>
      </c>
      <c r="H182" s="556">
        <f t="shared" ca="1" si="105"/>
        <v>0</v>
      </c>
      <c r="I182" s="556">
        <f t="shared" ca="1" si="105"/>
        <v>0</v>
      </c>
      <c r="J182" s="556">
        <f t="shared" ca="1" si="105"/>
        <v>0</v>
      </c>
      <c r="K182" s="556">
        <f t="shared" ca="1" si="105"/>
        <v>0</v>
      </c>
      <c r="L182" s="556">
        <f t="shared" ca="1" si="105"/>
        <v>0</v>
      </c>
      <c r="M182" s="556">
        <f t="shared" ca="1" si="105"/>
        <v>0</v>
      </c>
      <c r="N182" s="556">
        <f t="shared" ca="1" si="105"/>
        <v>0</v>
      </c>
      <c r="O182" s="556">
        <f t="shared" ca="1" si="105"/>
        <v>0</v>
      </c>
      <c r="P182" s="554"/>
      <c r="Q182" s="182">
        <f>VLOOKUP($B182,dongia1,DG!$G$5,)</f>
        <v>296500.89999999997</v>
      </c>
      <c r="R182" s="554"/>
      <c r="S182" s="113">
        <f t="shared" si="104"/>
        <v>0</v>
      </c>
      <c r="T182" s="113">
        <f t="shared" si="104"/>
        <v>913222.77199999988</v>
      </c>
      <c r="U182" s="557">
        <f t="shared" si="104"/>
        <v>0</v>
      </c>
    </row>
    <row r="183" spans="1:21" s="552" customFormat="1" ht="15" hidden="1" customHeight="1">
      <c r="A183" s="621"/>
      <c r="B183" s="622" t="s">
        <v>501</v>
      </c>
      <c r="C183" s="558" t="str">
        <f ca="1">C182</f>
        <v xml:space="preserve"> </v>
      </c>
      <c r="D183" s="553"/>
      <c r="E183" s="694" t="str">
        <f>VLOOKUP($B183,dongia1,DG!$C$5,)</f>
        <v>Đắp đất hố móng, đất cấp 3 (độ chặt k = 0.85)</v>
      </c>
      <c r="F183" s="555" t="str">
        <f>VLOOKUP($B183,dongia1,DG!$D$5,)</f>
        <v>m3</v>
      </c>
      <c r="G183" s="205">
        <v>2.97</v>
      </c>
      <c r="H183" s="556">
        <f t="shared" ca="1" si="105"/>
        <v>0</v>
      </c>
      <c r="I183" s="556">
        <f t="shared" ca="1" si="105"/>
        <v>0</v>
      </c>
      <c r="J183" s="556">
        <f t="shared" ca="1" si="105"/>
        <v>0</v>
      </c>
      <c r="K183" s="556">
        <f t="shared" ca="1" si="105"/>
        <v>0</v>
      </c>
      <c r="L183" s="556">
        <f t="shared" ca="1" si="105"/>
        <v>0</v>
      </c>
      <c r="M183" s="556">
        <f t="shared" ca="1" si="105"/>
        <v>0</v>
      </c>
      <c r="N183" s="556">
        <f t="shared" ca="1" si="105"/>
        <v>0</v>
      </c>
      <c r="O183" s="556">
        <f t="shared" ca="1" si="105"/>
        <v>0</v>
      </c>
      <c r="P183" s="554"/>
      <c r="Q183" s="182">
        <f>VLOOKUP($B183,dongia1,DG!$G$5,)</f>
        <v>117703.6</v>
      </c>
      <c r="R183" s="554"/>
      <c r="S183" s="113">
        <f t="shared" si="104"/>
        <v>0</v>
      </c>
      <c r="T183" s="113">
        <f t="shared" si="104"/>
        <v>349579.69200000004</v>
      </c>
      <c r="U183" s="557">
        <f t="shared" si="104"/>
        <v>0</v>
      </c>
    </row>
    <row r="184" spans="1:21" s="552" customFormat="1" ht="15" hidden="1" customHeight="1">
      <c r="A184" s="621" t="s">
        <v>1480</v>
      </c>
      <c r="B184" s="622"/>
      <c r="C184" s="558" t="str">
        <f ca="1">IF(H184&lt;&gt;0,"x"," ")</f>
        <v xml:space="preserve"> </v>
      </c>
      <c r="D184" s="553"/>
      <c r="E184" s="727" t="s">
        <v>3505</v>
      </c>
      <c r="F184" s="600" t="s">
        <v>3391</v>
      </c>
      <c r="G184" s="205"/>
      <c r="H184" s="556">
        <f ca="1">SUM(I184:N184)</f>
        <v>0</v>
      </c>
      <c r="I184" s="556">
        <f ca="1">SUMIF(mong3pm,chitiet!$A184,slmong3pm)</f>
        <v>0</v>
      </c>
      <c r="J184" s="556">
        <f ca="1">SUMIF(mongct,chitiet!$A184,slmongct)</f>
        <v>0</v>
      </c>
      <c r="K184" s="556">
        <f ca="1">SUMIF(mong3p1m,chitiet!$A184,slmong3p1m)</f>
        <v>0</v>
      </c>
      <c r="L184" s="556">
        <f ca="1">SUMIF(mong1pm,chitiet!$A184,slmong1pm)</f>
        <v>0</v>
      </c>
      <c r="M184" s="556">
        <f ca="1">SUMIF(monghthh,chitiet!$A184,slmonghthh)</f>
        <v>0</v>
      </c>
      <c r="N184" s="556">
        <f ca="1">SUMIF(mongHTDL,chitiet!$A184,SLmongHTDL)</f>
        <v>0</v>
      </c>
      <c r="O184" s="556">
        <f ca="1">SUMIF(mongHTCS,chitiet!$A184,slmongHTCS)</f>
        <v>0</v>
      </c>
      <c r="P184" s="554"/>
      <c r="Q184" s="554"/>
      <c r="R184" s="554"/>
      <c r="S184" s="601">
        <f>SUM(S185:S188)</f>
        <v>1484400</v>
      </c>
      <c r="T184" s="601">
        <f>SUM(T185:T188)</f>
        <v>2318244.699</v>
      </c>
      <c r="U184" s="602">
        <f>SUM(U185:U188)</f>
        <v>0</v>
      </c>
    </row>
    <row r="185" spans="1:21" s="552" customFormat="1" ht="15" hidden="1" customHeight="1">
      <c r="A185" s="621"/>
      <c r="B185" s="622" t="s">
        <v>201</v>
      </c>
      <c r="C185" s="558" t="str">
        <f ca="1">C184</f>
        <v xml:space="preserve"> </v>
      </c>
      <c r="D185" s="553"/>
      <c r="E185" s="694" t="str">
        <f>VLOOKUP($B185,dongia1,DG!$C$5,)</f>
        <v>Đà cản BTCT 1,5m</v>
      </c>
      <c r="F185" s="555" t="str">
        <f>VLOOKUP($B185,dongia1,DG!$D$5,)</f>
        <v>cái</v>
      </c>
      <c r="G185" s="205">
        <v>2</v>
      </c>
      <c r="H185" s="556">
        <f ca="1">H$184*$G185</f>
        <v>0</v>
      </c>
      <c r="I185" s="556">
        <f t="shared" ref="I185:O185" ca="1" si="106">I$184*$G185</f>
        <v>0</v>
      </c>
      <c r="J185" s="556">
        <f t="shared" ca="1" si="106"/>
        <v>0</v>
      </c>
      <c r="K185" s="556">
        <f t="shared" ca="1" si="106"/>
        <v>0</v>
      </c>
      <c r="L185" s="556">
        <f t="shared" ca="1" si="106"/>
        <v>0</v>
      </c>
      <c r="M185" s="556">
        <f t="shared" ca="1" si="106"/>
        <v>0</v>
      </c>
      <c r="N185" s="556">
        <f t="shared" ca="1" si="106"/>
        <v>0</v>
      </c>
      <c r="O185" s="556">
        <f t="shared" ca="1" si="106"/>
        <v>0</v>
      </c>
      <c r="P185" s="182">
        <f>VLOOKUP($B185,dongia1,DG!$F$5,)</f>
        <v>650000</v>
      </c>
      <c r="Q185" s="182">
        <f>VLOOKUP($B185,dongia1,DG!$G$5,)</f>
        <v>148724</v>
      </c>
      <c r="R185" s="554"/>
      <c r="S185" s="113">
        <f t="shared" ref="S185:U188" si="107">$G185*P185</f>
        <v>1300000</v>
      </c>
      <c r="T185" s="113">
        <f t="shared" si="107"/>
        <v>297448</v>
      </c>
      <c r="U185" s="557">
        <f t="shared" si="107"/>
        <v>0</v>
      </c>
    </row>
    <row r="186" spans="1:21" s="552" customFormat="1" ht="15" hidden="1" customHeight="1">
      <c r="A186" s="621"/>
      <c r="B186" s="622" t="s">
        <v>952</v>
      </c>
      <c r="C186" s="558" t="str">
        <f ca="1">C185</f>
        <v xml:space="preserve"> </v>
      </c>
      <c r="D186" s="553"/>
      <c r="E186" s="694" t="str">
        <f>VLOOKUP($B186,dongia1,DG!$C$5,)</f>
        <v>Boulon 22x650+ 2 long đền vuông D24-60x60x3/Zn</v>
      </c>
      <c r="F186" s="555" t="str">
        <f>VLOOKUP($B186,dongia1,DG!$D$5,)</f>
        <v>bộ</v>
      </c>
      <c r="G186" s="205">
        <v>2</v>
      </c>
      <c r="H186" s="556">
        <f t="shared" ref="H186:O188" ca="1" si="108">H$184*$G186</f>
        <v>0</v>
      </c>
      <c r="I186" s="556">
        <f t="shared" ca="1" si="108"/>
        <v>0</v>
      </c>
      <c r="J186" s="556">
        <f t="shared" ca="1" si="108"/>
        <v>0</v>
      </c>
      <c r="K186" s="556">
        <f t="shared" ca="1" si="108"/>
        <v>0</v>
      </c>
      <c r="L186" s="556">
        <f t="shared" ca="1" si="108"/>
        <v>0</v>
      </c>
      <c r="M186" s="556">
        <f t="shared" ca="1" si="108"/>
        <v>0</v>
      </c>
      <c r="N186" s="556">
        <f t="shared" ca="1" si="108"/>
        <v>0</v>
      </c>
      <c r="O186" s="556">
        <f t="shared" ca="1" si="108"/>
        <v>0</v>
      </c>
      <c r="P186" s="182">
        <f>VLOOKUP($B186,dongia1,DG!$F$5,)</f>
        <v>92200</v>
      </c>
      <c r="Q186" s="554"/>
      <c r="R186" s="554"/>
      <c r="S186" s="113">
        <f t="shared" si="107"/>
        <v>184400</v>
      </c>
      <c r="T186" s="113">
        <f t="shared" si="107"/>
        <v>0</v>
      </c>
      <c r="U186" s="557">
        <f t="shared" si="107"/>
        <v>0</v>
      </c>
    </row>
    <row r="187" spans="1:21" s="552" customFormat="1" ht="15" hidden="1" customHeight="1">
      <c r="A187" s="621"/>
      <c r="B187" s="622" t="s">
        <v>1645</v>
      </c>
      <c r="C187" s="558" t="str">
        <f ca="1">C186</f>
        <v xml:space="preserve"> </v>
      </c>
      <c r="D187" s="553"/>
      <c r="E187" s="694" t="str">
        <f>VLOOKUP($B187,dongia1,DG!$C$5,)</f>
        <v>Đào hố móng đất cấp 3 sâu &gt;1m DT&lt;5m2</v>
      </c>
      <c r="F187" s="555" t="str">
        <f>VLOOKUP($B187,dongia1,DG!$D$5,)</f>
        <v>m3</v>
      </c>
      <c r="G187" s="205">
        <v>4.91</v>
      </c>
      <c r="H187" s="556">
        <f t="shared" ca="1" si="108"/>
        <v>0</v>
      </c>
      <c r="I187" s="556">
        <f t="shared" ca="1" si="108"/>
        <v>0</v>
      </c>
      <c r="J187" s="556">
        <f t="shared" ca="1" si="108"/>
        <v>0</v>
      </c>
      <c r="K187" s="556">
        <f t="shared" ca="1" si="108"/>
        <v>0</v>
      </c>
      <c r="L187" s="556">
        <f t="shared" ca="1" si="108"/>
        <v>0</v>
      </c>
      <c r="M187" s="556">
        <f t="shared" ca="1" si="108"/>
        <v>0</v>
      </c>
      <c r="N187" s="556">
        <f t="shared" ca="1" si="108"/>
        <v>0</v>
      </c>
      <c r="O187" s="556">
        <f t="shared" ca="1" si="108"/>
        <v>0</v>
      </c>
      <c r="P187" s="554"/>
      <c r="Q187" s="182">
        <f>VLOOKUP($B187,dongia1,DG!$G$5,)</f>
        <v>296500.89999999997</v>
      </c>
      <c r="R187" s="554"/>
      <c r="S187" s="113">
        <f t="shared" si="107"/>
        <v>0</v>
      </c>
      <c r="T187" s="113">
        <f t="shared" si="107"/>
        <v>1455819.4189999998</v>
      </c>
      <c r="U187" s="557">
        <f t="shared" si="107"/>
        <v>0</v>
      </c>
    </row>
    <row r="188" spans="1:21" s="552" customFormat="1" ht="15" hidden="1" customHeight="1">
      <c r="A188" s="621"/>
      <c r="B188" s="622" t="s">
        <v>501</v>
      </c>
      <c r="C188" s="558" t="str">
        <f ca="1">C187</f>
        <v xml:space="preserve"> </v>
      </c>
      <c r="D188" s="553"/>
      <c r="E188" s="694" t="str">
        <f>VLOOKUP($B188,dongia1,DG!$C$5,)</f>
        <v>Đắp đất hố móng, đất cấp 3 (độ chặt k = 0.85)</v>
      </c>
      <c r="F188" s="555" t="str">
        <f>VLOOKUP($B188,dongia1,DG!$D$5,)</f>
        <v>m3</v>
      </c>
      <c r="G188" s="205">
        <v>4.8</v>
      </c>
      <c r="H188" s="556">
        <f t="shared" ca="1" si="108"/>
        <v>0</v>
      </c>
      <c r="I188" s="556">
        <f t="shared" ca="1" si="108"/>
        <v>0</v>
      </c>
      <c r="J188" s="556">
        <f t="shared" ca="1" si="108"/>
        <v>0</v>
      </c>
      <c r="K188" s="556">
        <f t="shared" ca="1" si="108"/>
        <v>0</v>
      </c>
      <c r="L188" s="556">
        <f t="shared" ca="1" si="108"/>
        <v>0</v>
      </c>
      <c r="M188" s="556">
        <f t="shared" ca="1" si="108"/>
        <v>0</v>
      </c>
      <c r="N188" s="556">
        <f t="shared" ca="1" si="108"/>
        <v>0</v>
      </c>
      <c r="O188" s="556">
        <f t="shared" ca="1" si="108"/>
        <v>0</v>
      </c>
      <c r="P188" s="554"/>
      <c r="Q188" s="182">
        <f>VLOOKUP($B188,dongia1,DG!$G$5,)</f>
        <v>117703.6</v>
      </c>
      <c r="R188" s="554"/>
      <c r="S188" s="113">
        <f t="shared" si="107"/>
        <v>0</v>
      </c>
      <c r="T188" s="113">
        <f t="shared" si="107"/>
        <v>564977.28</v>
      </c>
      <c r="U188" s="557">
        <f t="shared" si="107"/>
        <v>0</v>
      </c>
    </row>
    <row r="189" spans="1:21" s="552" customFormat="1" ht="15" hidden="1" customHeight="1">
      <c r="A189" s="621" t="s">
        <v>305</v>
      </c>
      <c r="B189" s="622"/>
      <c r="C189" s="558" t="str">
        <f ca="1">IF(H189&lt;&gt;0,"x"," ")</f>
        <v xml:space="preserve"> </v>
      </c>
      <c r="D189" s="553"/>
      <c r="E189" s="727" t="s">
        <v>3506</v>
      </c>
      <c r="F189" s="600" t="s">
        <v>3391</v>
      </c>
      <c r="G189" s="205"/>
      <c r="H189" s="556">
        <f ca="1">SUM(I189:N189)</f>
        <v>0</v>
      </c>
      <c r="I189" s="556">
        <f ca="1">SUMIF(mong3pm,chitiet!$A189,slmong3pm)</f>
        <v>0</v>
      </c>
      <c r="J189" s="556">
        <f ca="1">SUMIF(mongct,chitiet!$A189,slmongct)</f>
        <v>0</v>
      </c>
      <c r="K189" s="556">
        <f ca="1">SUMIF(mong3p1m,chitiet!$A189,slmong3p1m)</f>
        <v>0</v>
      </c>
      <c r="L189" s="556">
        <f ca="1">SUMIF(mong1pm,chitiet!$A189,slmong1pm)</f>
        <v>0</v>
      </c>
      <c r="M189" s="556">
        <f ca="1">SUMIF(monghthh,chitiet!$A189,slmonghthh)</f>
        <v>0</v>
      </c>
      <c r="N189" s="556">
        <f ca="1">SUMIF(mongHTDL,chitiet!$A189,SLmongHTDL)</f>
        <v>0</v>
      </c>
      <c r="O189" s="556"/>
      <c r="P189" s="554"/>
      <c r="Q189" s="554"/>
      <c r="R189" s="554"/>
      <c r="S189" s="601">
        <f>SUM(S190:S194)</f>
        <v>2038600</v>
      </c>
      <c r="T189" s="601">
        <f>SUM(T190:T194)</f>
        <v>1374423.4557</v>
      </c>
      <c r="U189" s="602">
        <f>SUM(U190:U194)</f>
        <v>0</v>
      </c>
    </row>
    <row r="190" spans="1:21" s="552" customFormat="1" ht="15" hidden="1" customHeight="1">
      <c r="A190" s="621"/>
      <c r="B190" s="622" t="s">
        <v>993</v>
      </c>
      <c r="C190" s="558" t="str">
        <f ca="1">C189</f>
        <v xml:space="preserve"> </v>
      </c>
      <c r="D190" s="553"/>
      <c r="E190" s="694" t="str">
        <f>VLOOKUP($B190,dongia1,DG!$C$5,)</f>
        <v>Cừ tràm 5m</v>
      </c>
      <c r="F190" s="555" t="str">
        <f>VLOOKUP($B190,dongia1,DG!$D$5,)</f>
        <v>cây</v>
      </c>
      <c r="G190" s="205">
        <v>42</v>
      </c>
      <c r="H190" s="556">
        <f ca="1">H$189*$G190</f>
        <v>0</v>
      </c>
      <c r="I190" s="556">
        <f t="shared" ref="I190:O190" ca="1" si="109">I$189*$G190</f>
        <v>0</v>
      </c>
      <c r="J190" s="556">
        <f t="shared" ca="1" si="109"/>
        <v>0</v>
      </c>
      <c r="K190" s="556">
        <f t="shared" ca="1" si="109"/>
        <v>0</v>
      </c>
      <c r="L190" s="556">
        <f t="shared" ca="1" si="109"/>
        <v>0</v>
      </c>
      <c r="M190" s="556">
        <f t="shared" ca="1" si="109"/>
        <v>0</v>
      </c>
      <c r="N190" s="556">
        <f t="shared" ca="1" si="109"/>
        <v>0</v>
      </c>
      <c r="O190" s="556">
        <f t="shared" si="109"/>
        <v>0</v>
      </c>
      <c r="P190" s="182">
        <f>VLOOKUP($B190,dongia1,DG!$F$5,)</f>
        <v>15000</v>
      </c>
      <c r="Q190" s="182">
        <f>VLOOKUP($B190,dongia1,DG!$G$5,)</f>
        <v>2787</v>
      </c>
      <c r="R190" s="554"/>
      <c r="S190" s="113">
        <f t="shared" ref="S190:U194" si="110">$G190*P190</f>
        <v>630000</v>
      </c>
      <c r="T190" s="113">
        <f t="shared" si="110"/>
        <v>117054</v>
      </c>
      <c r="U190" s="557">
        <f t="shared" si="110"/>
        <v>0</v>
      </c>
    </row>
    <row r="191" spans="1:21" s="552" customFormat="1" ht="15" hidden="1" customHeight="1">
      <c r="A191" s="621"/>
      <c r="B191" s="622" t="s">
        <v>201</v>
      </c>
      <c r="C191" s="558" t="str">
        <f ca="1">C190</f>
        <v xml:space="preserve"> </v>
      </c>
      <c r="D191" s="553"/>
      <c r="E191" s="694" t="str">
        <f>VLOOKUP($B191,dongia1,DG!$C$5,)</f>
        <v>Đà cản BTCT 1,5m</v>
      </c>
      <c r="F191" s="555" t="str">
        <f>VLOOKUP($B191,dongia1,DG!$D$5,)</f>
        <v>cái</v>
      </c>
      <c r="G191" s="205">
        <v>2</v>
      </c>
      <c r="H191" s="556">
        <f t="shared" ref="H191:O194" ca="1" si="111">H$189*$G191</f>
        <v>0</v>
      </c>
      <c r="I191" s="556">
        <f t="shared" ca="1" si="111"/>
        <v>0</v>
      </c>
      <c r="J191" s="556">
        <f t="shared" ca="1" si="111"/>
        <v>0</v>
      </c>
      <c r="K191" s="556">
        <f t="shared" ca="1" si="111"/>
        <v>0</v>
      </c>
      <c r="L191" s="556">
        <f t="shared" ca="1" si="111"/>
        <v>0</v>
      </c>
      <c r="M191" s="556">
        <f t="shared" ca="1" si="111"/>
        <v>0</v>
      </c>
      <c r="N191" s="556">
        <f t="shared" ca="1" si="111"/>
        <v>0</v>
      </c>
      <c r="O191" s="556">
        <f t="shared" si="111"/>
        <v>0</v>
      </c>
      <c r="P191" s="182">
        <f>VLOOKUP($B191,dongia1,DG!$F$5,)</f>
        <v>650000</v>
      </c>
      <c r="Q191" s="182">
        <f>VLOOKUP($B191,dongia1,DG!$G$5,)</f>
        <v>148724</v>
      </c>
      <c r="R191" s="554"/>
      <c r="S191" s="113">
        <f t="shared" si="110"/>
        <v>1300000</v>
      </c>
      <c r="T191" s="113">
        <f t="shared" si="110"/>
        <v>297448</v>
      </c>
      <c r="U191" s="557">
        <f t="shared" si="110"/>
        <v>0</v>
      </c>
    </row>
    <row r="192" spans="1:21" s="552" customFormat="1" ht="15" hidden="1" customHeight="1">
      <c r="A192" s="621"/>
      <c r="B192" s="622" t="s">
        <v>365</v>
      </c>
      <c r="C192" s="558" t="str">
        <f ca="1">C191</f>
        <v xml:space="preserve"> </v>
      </c>
      <c r="D192" s="553"/>
      <c r="E192" s="694" t="str">
        <f>VLOOKUP($B192,dongia1,DG!$C$5,)</f>
        <v>Boulon 22x800+ 2 long đền vuông D24-60x60x3/Zn</v>
      </c>
      <c r="F192" s="555" t="str">
        <f>VLOOKUP($B192,dongia1,DG!$D$5,)</f>
        <v>bộ</v>
      </c>
      <c r="G192" s="205">
        <v>1</v>
      </c>
      <c r="H192" s="556">
        <f t="shared" ca="1" si="111"/>
        <v>0</v>
      </c>
      <c r="I192" s="556">
        <f t="shared" ca="1" si="111"/>
        <v>0</v>
      </c>
      <c r="J192" s="556">
        <f t="shared" ca="1" si="111"/>
        <v>0</v>
      </c>
      <c r="K192" s="556">
        <f t="shared" ca="1" si="111"/>
        <v>0</v>
      </c>
      <c r="L192" s="556">
        <f t="shared" ca="1" si="111"/>
        <v>0</v>
      </c>
      <c r="M192" s="556">
        <f t="shared" ca="1" si="111"/>
        <v>0</v>
      </c>
      <c r="N192" s="556">
        <f t="shared" ca="1" si="111"/>
        <v>0</v>
      </c>
      <c r="O192" s="556">
        <f t="shared" si="111"/>
        <v>0</v>
      </c>
      <c r="P192" s="182">
        <f>VLOOKUP($B192,dongia1,DG!$F$5,)</f>
        <v>108600</v>
      </c>
      <c r="Q192" s="554"/>
      <c r="R192" s="554"/>
      <c r="S192" s="113">
        <f t="shared" si="110"/>
        <v>108600</v>
      </c>
      <c r="T192" s="113">
        <f t="shared" si="110"/>
        <v>0</v>
      </c>
      <c r="U192" s="557">
        <f t="shared" si="110"/>
        <v>0</v>
      </c>
    </row>
    <row r="193" spans="1:21" s="552" customFormat="1" ht="15" hidden="1" customHeight="1">
      <c r="A193" s="621"/>
      <c r="B193" s="622" t="s">
        <v>1645</v>
      </c>
      <c r="C193" s="558" t="str">
        <f ca="1">C192</f>
        <v xml:space="preserve"> </v>
      </c>
      <c r="D193" s="553"/>
      <c r="E193" s="694" t="str">
        <f>VLOOKUP($B193,dongia1,DG!$C$5,)</f>
        <v>Đào hố móng đất cấp 3 sâu &gt;1m DT&lt;5m2</v>
      </c>
      <c r="F193" s="555" t="str">
        <f>VLOOKUP($B193,dongia1,DG!$D$5,)</f>
        <v>m3</v>
      </c>
      <c r="G193" s="205">
        <v>2.2530000000000001</v>
      </c>
      <c r="H193" s="556">
        <f t="shared" ca="1" si="111"/>
        <v>0</v>
      </c>
      <c r="I193" s="556">
        <f t="shared" ca="1" si="111"/>
        <v>0</v>
      </c>
      <c r="J193" s="556">
        <f t="shared" ca="1" si="111"/>
        <v>0</v>
      </c>
      <c r="K193" s="556">
        <f t="shared" ca="1" si="111"/>
        <v>0</v>
      </c>
      <c r="L193" s="556">
        <f t="shared" ca="1" si="111"/>
        <v>0</v>
      </c>
      <c r="M193" s="556">
        <f t="shared" ca="1" si="111"/>
        <v>0</v>
      </c>
      <c r="N193" s="556">
        <f t="shared" ca="1" si="111"/>
        <v>0</v>
      </c>
      <c r="O193" s="556">
        <f t="shared" si="111"/>
        <v>0</v>
      </c>
      <c r="P193" s="554"/>
      <c r="Q193" s="182">
        <f>VLOOKUP($B193,dongia1,DG!$G$5,)</f>
        <v>296500.89999999997</v>
      </c>
      <c r="R193" s="554"/>
      <c r="S193" s="113">
        <f t="shared" si="110"/>
        <v>0</v>
      </c>
      <c r="T193" s="113">
        <f t="shared" si="110"/>
        <v>668016.52769999998</v>
      </c>
      <c r="U193" s="557">
        <f t="shared" si="110"/>
        <v>0</v>
      </c>
    </row>
    <row r="194" spans="1:21" s="552" customFormat="1" ht="15" hidden="1" customHeight="1">
      <c r="A194" s="621"/>
      <c r="B194" s="622" t="s">
        <v>501</v>
      </c>
      <c r="C194" s="558" t="str">
        <f ca="1">C193</f>
        <v xml:space="preserve"> </v>
      </c>
      <c r="D194" s="553"/>
      <c r="E194" s="694" t="str">
        <f>VLOOKUP($B194,dongia1,DG!$C$5,)</f>
        <v>Đắp đất hố móng, đất cấp 3 (độ chặt k = 0.85)</v>
      </c>
      <c r="F194" s="555" t="str">
        <f>VLOOKUP($B194,dongia1,DG!$D$5,)</f>
        <v>m3</v>
      </c>
      <c r="G194" s="205">
        <v>2.48</v>
      </c>
      <c r="H194" s="556">
        <f t="shared" ca="1" si="111"/>
        <v>0</v>
      </c>
      <c r="I194" s="556">
        <f t="shared" ca="1" si="111"/>
        <v>0</v>
      </c>
      <c r="J194" s="556">
        <f t="shared" ca="1" si="111"/>
        <v>0</v>
      </c>
      <c r="K194" s="556">
        <f t="shared" ca="1" si="111"/>
        <v>0</v>
      </c>
      <c r="L194" s="556">
        <f t="shared" ca="1" si="111"/>
        <v>0</v>
      </c>
      <c r="M194" s="556">
        <f t="shared" ca="1" si="111"/>
        <v>0</v>
      </c>
      <c r="N194" s="556">
        <f t="shared" ca="1" si="111"/>
        <v>0</v>
      </c>
      <c r="O194" s="556">
        <f t="shared" si="111"/>
        <v>0</v>
      </c>
      <c r="P194" s="554"/>
      <c r="Q194" s="182">
        <f>VLOOKUP($B194,dongia1,DG!$G$5,)</f>
        <v>117703.6</v>
      </c>
      <c r="R194" s="554"/>
      <c r="S194" s="113">
        <f t="shared" si="110"/>
        <v>0</v>
      </c>
      <c r="T194" s="113">
        <f t="shared" si="110"/>
        <v>291904.92800000001</v>
      </c>
      <c r="U194" s="557">
        <f t="shared" si="110"/>
        <v>0</v>
      </c>
    </row>
    <row r="195" spans="1:21" s="552" customFormat="1" ht="15" hidden="1" customHeight="1">
      <c r="A195" s="621" t="s">
        <v>1479</v>
      </c>
      <c r="B195" s="622"/>
      <c r="C195" s="558" t="str">
        <f ca="1">IF(H195&lt;&gt;0,"x"," ")</f>
        <v xml:space="preserve"> </v>
      </c>
      <c r="D195" s="553"/>
      <c r="E195" s="727" t="s">
        <v>3507</v>
      </c>
      <c r="F195" s="600" t="s">
        <v>3391</v>
      </c>
      <c r="G195" s="205"/>
      <c r="H195" s="556">
        <f ca="1">SUM(I195:N195)</f>
        <v>0</v>
      </c>
      <c r="I195" s="556">
        <f ca="1">SUMIF(mong3pm,chitiet!$A195,slmong3pm)</f>
        <v>0</v>
      </c>
      <c r="J195" s="556">
        <f ca="1">SUMIF(mongct,chitiet!$A195,slmongct)</f>
        <v>0</v>
      </c>
      <c r="K195" s="556">
        <f ca="1">SUMIF(mong3p1m,chitiet!$A195,slmong3p1m)</f>
        <v>0</v>
      </c>
      <c r="L195" s="556">
        <f ca="1">SUMIF(mong1pm,chitiet!$A195,slmong1pm)</f>
        <v>0</v>
      </c>
      <c r="M195" s="556">
        <f ca="1">SUMIF(monghthh,chitiet!$A195,slmonghthh)</f>
        <v>0</v>
      </c>
      <c r="N195" s="556">
        <f ca="1">SUMIF(mongHTDL,chitiet!$A195,SLmongHTDL)</f>
        <v>0</v>
      </c>
      <c r="O195" s="556"/>
      <c r="P195" s="554"/>
      <c r="Q195" s="554"/>
      <c r="R195" s="554"/>
      <c r="S195" s="601">
        <f>SUM(S196:S199)</f>
        <v>817690</v>
      </c>
      <c r="T195" s="601">
        <f>SUM(T196:T199)</f>
        <v>472687.75699999998</v>
      </c>
      <c r="U195" s="602">
        <f>SUM(U196:U199)</f>
        <v>0</v>
      </c>
    </row>
    <row r="196" spans="1:21" s="552" customFormat="1" ht="15" hidden="1" customHeight="1">
      <c r="A196" s="621"/>
      <c r="B196" s="622" t="s">
        <v>580</v>
      </c>
      <c r="C196" s="558" t="str">
        <f ca="1">C195</f>
        <v xml:space="preserve"> </v>
      </c>
      <c r="D196" s="553"/>
      <c r="E196" s="694" t="str">
        <f>VLOOKUP($B196,dongia1,DG!$C$5,)</f>
        <v>Đà cản BTCT 1,2m</v>
      </c>
      <c r="F196" s="555" t="str">
        <f>VLOOKUP($B196,dongia1,DG!$D$5,)</f>
        <v>cái</v>
      </c>
      <c r="G196" s="205">
        <v>2</v>
      </c>
      <c r="H196" s="556">
        <f ca="1">H$195*$G196</f>
        <v>0</v>
      </c>
      <c r="I196" s="556">
        <f t="shared" ref="I196:O196" ca="1" si="112">I$195*$G196</f>
        <v>0</v>
      </c>
      <c r="J196" s="556">
        <f t="shared" ca="1" si="112"/>
        <v>0</v>
      </c>
      <c r="K196" s="556">
        <f t="shared" ca="1" si="112"/>
        <v>0</v>
      </c>
      <c r="L196" s="556">
        <f t="shared" ca="1" si="112"/>
        <v>0</v>
      </c>
      <c r="M196" s="556">
        <f t="shared" ca="1" si="112"/>
        <v>0</v>
      </c>
      <c r="N196" s="556">
        <f t="shared" ca="1" si="112"/>
        <v>0</v>
      </c>
      <c r="O196" s="556">
        <f t="shared" si="112"/>
        <v>0</v>
      </c>
      <c r="P196" s="182">
        <f>VLOOKUP($B196,dongia1,DG!$F$5,)</f>
        <v>354545</v>
      </c>
      <c r="Q196" s="182">
        <f>VLOOKUP($B196,dongia1,DG!$G$5,)</f>
        <v>37220.25</v>
      </c>
      <c r="R196" s="554"/>
      <c r="S196" s="113">
        <f t="shared" ref="S196:U199" si="113">$G196*P196</f>
        <v>709090</v>
      </c>
      <c r="T196" s="113">
        <f t="shared" si="113"/>
        <v>74440.5</v>
      </c>
      <c r="U196" s="557">
        <f t="shared" si="113"/>
        <v>0</v>
      </c>
    </row>
    <row r="197" spans="1:21" s="552" customFormat="1" ht="15" hidden="1" customHeight="1">
      <c r="A197" s="621"/>
      <c r="B197" s="622" t="s">
        <v>365</v>
      </c>
      <c r="C197" s="558" t="str">
        <f ca="1">C196</f>
        <v xml:space="preserve"> </v>
      </c>
      <c r="D197" s="553"/>
      <c r="E197" s="694" t="str">
        <f>VLOOKUP($B197,dongia1,DG!$C$5,)</f>
        <v>Boulon 22x800+ 2 long đền vuông D24-60x60x3/Zn</v>
      </c>
      <c r="F197" s="555" t="str">
        <f>VLOOKUP($B197,dongia1,DG!$D$5,)</f>
        <v>bộ</v>
      </c>
      <c r="G197" s="205">
        <v>1</v>
      </c>
      <c r="H197" s="556">
        <f t="shared" ref="H197:O199" ca="1" si="114">H$195*$G197</f>
        <v>0</v>
      </c>
      <c r="I197" s="556">
        <f t="shared" ca="1" si="114"/>
        <v>0</v>
      </c>
      <c r="J197" s="556">
        <f t="shared" ca="1" si="114"/>
        <v>0</v>
      </c>
      <c r="K197" s="556">
        <f t="shared" ca="1" si="114"/>
        <v>0</v>
      </c>
      <c r="L197" s="556">
        <f t="shared" ca="1" si="114"/>
        <v>0</v>
      </c>
      <c r="M197" s="556">
        <f t="shared" ca="1" si="114"/>
        <v>0</v>
      </c>
      <c r="N197" s="556">
        <f t="shared" ca="1" si="114"/>
        <v>0</v>
      </c>
      <c r="O197" s="556">
        <f t="shared" si="114"/>
        <v>0</v>
      </c>
      <c r="P197" s="182">
        <f>VLOOKUP($B197,dongia1,DG!$F$5,)</f>
        <v>108600</v>
      </c>
      <c r="Q197" s="554"/>
      <c r="R197" s="554"/>
      <c r="S197" s="113">
        <f t="shared" si="113"/>
        <v>108600</v>
      </c>
      <c r="T197" s="113">
        <f t="shared" si="113"/>
        <v>0</v>
      </c>
      <c r="U197" s="557">
        <f t="shared" si="113"/>
        <v>0</v>
      </c>
    </row>
    <row r="198" spans="1:21" s="552" customFormat="1" ht="15" hidden="1" customHeight="1">
      <c r="A198" s="621"/>
      <c r="B198" s="622" t="s">
        <v>1645</v>
      </c>
      <c r="C198" s="558" t="str">
        <f ca="1">C197</f>
        <v xml:space="preserve"> </v>
      </c>
      <c r="D198" s="553"/>
      <c r="E198" s="694" t="str">
        <f>VLOOKUP($B198,dongia1,DG!$C$5,)</f>
        <v>Đào hố móng đất cấp 3 sâu &gt;1m DT&lt;5m2</v>
      </c>
      <c r="F198" s="555" t="str">
        <f>VLOOKUP($B198,dongia1,DG!$D$5,)</f>
        <v>m3</v>
      </c>
      <c r="G198" s="205">
        <v>0.97</v>
      </c>
      <c r="H198" s="556">
        <f t="shared" ca="1" si="114"/>
        <v>0</v>
      </c>
      <c r="I198" s="556">
        <f t="shared" ca="1" si="114"/>
        <v>0</v>
      </c>
      <c r="J198" s="556">
        <f t="shared" ca="1" si="114"/>
        <v>0</v>
      </c>
      <c r="K198" s="556">
        <f t="shared" ca="1" si="114"/>
        <v>0</v>
      </c>
      <c r="L198" s="556">
        <f t="shared" ca="1" si="114"/>
        <v>0</v>
      </c>
      <c r="M198" s="556">
        <f t="shared" ca="1" si="114"/>
        <v>0</v>
      </c>
      <c r="N198" s="556">
        <f t="shared" ca="1" si="114"/>
        <v>0</v>
      </c>
      <c r="O198" s="556">
        <f t="shared" si="114"/>
        <v>0</v>
      </c>
      <c r="P198" s="554"/>
      <c r="Q198" s="182">
        <f>VLOOKUP($B198,dongia1,DG!$G$5,)</f>
        <v>296500.89999999997</v>
      </c>
      <c r="R198" s="554"/>
      <c r="S198" s="113">
        <f t="shared" si="113"/>
        <v>0</v>
      </c>
      <c r="T198" s="113">
        <f t="shared" si="113"/>
        <v>287605.87299999996</v>
      </c>
      <c r="U198" s="557">
        <f t="shared" si="113"/>
        <v>0</v>
      </c>
    </row>
    <row r="199" spans="1:21" s="552" customFormat="1" ht="15" hidden="1" customHeight="1">
      <c r="A199" s="621"/>
      <c r="B199" s="622" t="s">
        <v>501</v>
      </c>
      <c r="C199" s="558" t="str">
        <f ca="1">C198</f>
        <v xml:space="preserve"> </v>
      </c>
      <c r="D199" s="553"/>
      <c r="E199" s="694" t="str">
        <f>VLOOKUP($B199,dongia1,DG!$C$5,)</f>
        <v>Đắp đất hố móng, đất cấp 3 (độ chặt k = 0.85)</v>
      </c>
      <c r="F199" s="555" t="str">
        <f>VLOOKUP($B199,dongia1,DG!$D$5,)</f>
        <v>m3</v>
      </c>
      <c r="G199" s="205">
        <v>0.94</v>
      </c>
      <c r="H199" s="556">
        <f t="shared" ca="1" si="114"/>
        <v>0</v>
      </c>
      <c r="I199" s="556">
        <f t="shared" ca="1" si="114"/>
        <v>0</v>
      </c>
      <c r="J199" s="556">
        <f t="shared" ca="1" si="114"/>
        <v>0</v>
      </c>
      <c r="K199" s="556">
        <f t="shared" ca="1" si="114"/>
        <v>0</v>
      </c>
      <c r="L199" s="556">
        <f t="shared" ca="1" si="114"/>
        <v>0</v>
      </c>
      <c r="M199" s="556">
        <f t="shared" ca="1" si="114"/>
        <v>0</v>
      </c>
      <c r="N199" s="556">
        <f t="shared" ca="1" si="114"/>
        <v>0</v>
      </c>
      <c r="O199" s="556">
        <f t="shared" si="114"/>
        <v>0</v>
      </c>
      <c r="P199" s="554"/>
      <c r="Q199" s="182">
        <f>VLOOKUP($B199,dongia1,DG!$G$5,)</f>
        <v>117703.6</v>
      </c>
      <c r="R199" s="554"/>
      <c r="S199" s="113">
        <f t="shared" si="113"/>
        <v>0</v>
      </c>
      <c r="T199" s="113">
        <f t="shared" si="113"/>
        <v>110641.38400000001</v>
      </c>
      <c r="U199" s="557">
        <f t="shared" si="113"/>
        <v>0</v>
      </c>
    </row>
    <row r="200" spans="1:21" s="552" customFormat="1" ht="15" hidden="1" customHeight="1">
      <c r="A200" s="621" t="s">
        <v>1817</v>
      </c>
      <c r="B200" s="622"/>
      <c r="C200" s="558" t="str">
        <f ca="1">IF(H200&lt;&gt;0,"x"," ")</f>
        <v xml:space="preserve"> </v>
      </c>
      <c r="D200" s="553"/>
      <c r="E200" s="727" t="s">
        <v>3508</v>
      </c>
      <c r="F200" s="600" t="s">
        <v>3391</v>
      </c>
      <c r="G200" s="205"/>
      <c r="H200" s="556">
        <f ca="1">SUM(I200:N200)</f>
        <v>0</v>
      </c>
      <c r="I200" s="556">
        <f ca="1">SUMIF(mong3pm,chitiet!$A200,slmong3pm)</f>
        <v>0</v>
      </c>
      <c r="J200" s="556">
        <f ca="1">SUMIF(mongct,chitiet!$A200,slmongct)</f>
        <v>0</v>
      </c>
      <c r="K200" s="556">
        <f ca="1">SUMIF(mong3p1m,chitiet!$A200,slmong3p1m)</f>
        <v>0</v>
      </c>
      <c r="L200" s="556">
        <f ca="1">SUMIF(mong1pm,chitiet!$A200,slmong1pm)</f>
        <v>0</v>
      </c>
      <c r="M200" s="556">
        <f ca="1">SUMIF(monghthh,chitiet!$A200,slmonghthh)</f>
        <v>0</v>
      </c>
      <c r="N200" s="556">
        <f ca="1">SUMIF(mongHTDL,chitiet!$A200,SLmongHTDL)</f>
        <v>0</v>
      </c>
      <c r="O200" s="556"/>
      <c r="P200" s="554"/>
      <c r="Q200" s="554"/>
      <c r="R200" s="554"/>
      <c r="S200" s="601">
        <f>SUM(S201:S204)</f>
        <v>1408600</v>
      </c>
      <c r="T200" s="601">
        <f>SUM(T201:T204)</f>
        <v>883875.255</v>
      </c>
      <c r="U200" s="602">
        <f>SUM(U201:U204)</f>
        <v>0</v>
      </c>
    </row>
    <row r="201" spans="1:21" s="552" customFormat="1" ht="15" hidden="1" customHeight="1">
      <c r="A201" s="621"/>
      <c r="B201" s="622" t="s">
        <v>201</v>
      </c>
      <c r="C201" s="558" t="str">
        <f ca="1">C200</f>
        <v xml:space="preserve"> </v>
      </c>
      <c r="D201" s="553"/>
      <c r="E201" s="694" t="str">
        <f>VLOOKUP($B201,dongia1,DG!$C$5,)</f>
        <v>Đà cản BTCT 1,5m</v>
      </c>
      <c r="F201" s="555" t="str">
        <f>VLOOKUP($B201,dongia1,DG!$D$5,)</f>
        <v>cái</v>
      </c>
      <c r="G201" s="205">
        <v>2</v>
      </c>
      <c r="H201" s="556">
        <f ca="1">H$200*$G201</f>
        <v>0</v>
      </c>
      <c r="I201" s="556">
        <f t="shared" ref="I201:O201" ca="1" si="115">I$200*$G201</f>
        <v>0</v>
      </c>
      <c r="J201" s="556">
        <f t="shared" ca="1" si="115"/>
        <v>0</v>
      </c>
      <c r="K201" s="556">
        <f t="shared" ca="1" si="115"/>
        <v>0</v>
      </c>
      <c r="L201" s="556">
        <f t="shared" ca="1" si="115"/>
        <v>0</v>
      </c>
      <c r="M201" s="556">
        <f t="shared" ca="1" si="115"/>
        <v>0</v>
      </c>
      <c r="N201" s="556">
        <f t="shared" ca="1" si="115"/>
        <v>0</v>
      </c>
      <c r="O201" s="556">
        <f t="shared" si="115"/>
        <v>0</v>
      </c>
      <c r="P201" s="182">
        <f>VLOOKUP($B201,dongia1,DG!$F$5,)</f>
        <v>650000</v>
      </c>
      <c r="Q201" s="182">
        <f>VLOOKUP($B201,dongia1,DG!$G$5,)</f>
        <v>148724</v>
      </c>
      <c r="R201" s="554"/>
      <c r="S201" s="113">
        <f t="shared" ref="S201:U204" si="116">$G201*P201</f>
        <v>1300000</v>
      </c>
      <c r="T201" s="113">
        <f t="shared" si="116"/>
        <v>297448</v>
      </c>
      <c r="U201" s="557">
        <f t="shared" si="116"/>
        <v>0</v>
      </c>
    </row>
    <row r="202" spans="1:21" s="552" customFormat="1" ht="15" hidden="1" customHeight="1">
      <c r="A202" s="621"/>
      <c r="B202" s="622" t="s">
        <v>365</v>
      </c>
      <c r="C202" s="558" t="str">
        <f ca="1">C201</f>
        <v xml:space="preserve"> </v>
      </c>
      <c r="D202" s="553"/>
      <c r="E202" s="694" t="str">
        <f>VLOOKUP($B202,dongia1,DG!$C$5,)</f>
        <v>Boulon 22x800+ 2 long đền vuông D24-60x60x3/Zn</v>
      </c>
      <c r="F202" s="555" t="str">
        <f>VLOOKUP($B202,dongia1,DG!$D$5,)</f>
        <v>bộ</v>
      </c>
      <c r="G202" s="205">
        <v>1</v>
      </c>
      <c r="H202" s="556">
        <f t="shared" ref="H202:O204" ca="1" si="117">H$200*$G202</f>
        <v>0</v>
      </c>
      <c r="I202" s="556">
        <f t="shared" ca="1" si="117"/>
        <v>0</v>
      </c>
      <c r="J202" s="556">
        <f t="shared" ca="1" si="117"/>
        <v>0</v>
      </c>
      <c r="K202" s="556">
        <f t="shared" ca="1" si="117"/>
        <v>0</v>
      </c>
      <c r="L202" s="556">
        <f t="shared" ca="1" si="117"/>
        <v>0</v>
      </c>
      <c r="M202" s="556">
        <f t="shared" ca="1" si="117"/>
        <v>0</v>
      </c>
      <c r="N202" s="556">
        <f t="shared" ca="1" si="117"/>
        <v>0</v>
      </c>
      <c r="O202" s="556">
        <f t="shared" si="117"/>
        <v>0</v>
      </c>
      <c r="P202" s="182">
        <f>VLOOKUP($B202,dongia1,DG!$F$5,)</f>
        <v>108600</v>
      </c>
      <c r="Q202" s="554"/>
      <c r="R202" s="554"/>
      <c r="S202" s="113">
        <f t="shared" si="116"/>
        <v>108600</v>
      </c>
      <c r="T202" s="113">
        <f t="shared" si="116"/>
        <v>0</v>
      </c>
      <c r="U202" s="557">
        <f t="shared" si="116"/>
        <v>0</v>
      </c>
    </row>
    <row r="203" spans="1:21" s="552" customFormat="1" ht="15" hidden="1" customHeight="1">
      <c r="A203" s="621"/>
      <c r="B203" s="622" t="s">
        <v>1645</v>
      </c>
      <c r="C203" s="558" t="str">
        <f ca="1">C202</f>
        <v xml:space="preserve"> </v>
      </c>
      <c r="D203" s="553"/>
      <c r="E203" s="694" t="str">
        <f>VLOOKUP($B203,dongia1,DG!$C$5,)</f>
        <v>Đào hố móng đất cấp 3 sâu &gt;1m DT&lt;5m2</v>
      </c>
      <c r="F203" s="555" t="str">
        <f>VLOOKUP($B203,dongia1,DG!$D$5,)</f>
        <v>m3</v>
      </c>
      <c r="G203" s="205">
        <v>1.43</v>
      </c>
      <c r="H203" s="556">
        <f t="shared" ca="1" si="117"/>
        <v>0</v>
      </c>
      <c r="I203" s="556">
        <f t="shared" ca="1" si="117"/>
        <v>0</v>
      </c>
      <c r="J203" s="556">
        <f t="shared" ca="1" si="117"/>
        <v>0</v>
      </c>
      <c r="K203" s="556">
        <f t="shared" ca="1" si="117"/>
        <v>0</v>
      </c>
      <c r="L203" s="556">
        <f t="shared" ca="1" si="117"/>
        <v>0</v>
      </c>
      <c r="M203" s="556">
        <f t="shared" ca="1" si="117"/>
        <v>0</v>
      </c>
      <c r="N203" s="556">
        <f t="shared" ca="1" si="117"/>
        <v>0</v>
      </c>
      <c r="O203" s="556">
        <f t="shared" si="117"/>
        <v>0</v>
      </c>
      <c r="P203" s="554"/>
      <c r="Q203" s="182">
        <f>VLOOKUP($B203,dongia1,DG!$G$5,)</f>
        <v>296500.89999999997</v>
      </c>
      <c r="R203" s="554"/>
      <c r="S203" s="113">
        <f t="shared" si="116"/>
        <v>0</v>
      </c>
      <c r="T203" s="113">
        <f t="shared" si="116"/>
        <v>423996.28699999995</v>
      </c>
      <c r="U203" s="557">
        <f t="shared" si="116"/>
        <v>0</v>
      </c>
    </row>
    <row r="204" spans="1:21" s="552" customFormat="1" ht="15" hidden="1" customHeight="1">
      <c r="A204" s="621"/>
      <c r="B204" s="622" t="s">
        <v>501</v>
      </c>
      <c r="C204" s="558" t="str">
        <f ca="1">C203</f>
        <v xml:space="preserve"> </v>
      </c>
      <c r="D204" s="553"/>
      <c r="E204" s="694" t="str">
        <f>VLOOKUP($B204,dongia1,DG!$C$5,)</f>
        <v>Đắp đất hố móng, đất cấp 3 (độ chặt k = 0.85)</v>
      </c>
      <c r="F204" s="555" t="str">
        <f>VLOOKUP($B204,dongia1,DG!$D$5,)</f>
        <v>m3</v>
      </c>
      <c r="G204" s="205">
        <v>1.38</v>
      </c>
      <c r="H204" s="556">
        <f t="shared" ca="1" si="117"/>
        <v>0</v>
      </c>
      <c r="I204" s="556">
        <f t="shared" ca="1" si="117"/>
        <v>0</v>
      </c>
      <c r="J204" s="556">
        <f t="shared" ca="1" si="117"/>
        <v>0</v>
      </c>
      <c r="K204" s="556">
        <f ca="1">K$200*$G204</f>
        <v>0</v>
      </c>
      <c r="L204" s="556">
        <f t="shared" ca="1" si="117"/>
        <v>0</v>
      </c>
      <c r="M204" s="556">
        <f t="shared" ca="1" si="117"/>
        <v>0</v>
      </c>
      <c r="N204" s="556">
        <f t="shared" ca="1" si="117"/>
        <v>0</v>
      </c>
      <c r="O204" s="556">
        <f t="shared" si="117"/>
        <v>0</v>
      </c>
      <c r="P204" s="554"/>
      <c r="Q204" s="182">
        <f>VLOOKUP($B204,dongia1,DG!$G$5,)</f>
        <v>117703.6</v>
      </c>
      <c r="R204" s="554"/>
      <c r="S204" s="113">
        <f t="shared" si="116"/>
        <v>0</v>
      </c>
      <c r="T204" s="113">
        <f t="shared" si="116"/>
        <v>162430.96799999999</v>
      </c>
      <c r="U204" s="557">
        <f t="shared" si="116"/>
        <v>0</v>
      </c>
    </row>
    <row r="205" spans="1:21" s="858" customFormat="1">
      <c r="A205" s="847" t="s">
        <v>988</v>
      </c>
      <c r="B205" s="848"/>
      <c r="C205" s="849" t="str">
        <f ca="1">IF(H205&lt;&gt;0,"x"," ")</f>
        <v>x</v>
      </c>
      <c r="D205" s="850"/>
      <c r="E205" s="851" t="s">
        <v>3509</v>
      </c>
      <c r="F205" s="852" t="s">
        <v>3391</v>
      </c>
      <c r="G205" s="1980">
        <f>pp3p1m!X10</f>
        <v>1</v>
      </c>
      <c r="H205" s="854">
        <f ca="1">SUM(I205:N205)</f>
        <v>1</v>
      </c>
      <c r="I205" s="854">
        <f ca="1">SUMIF(mong3pm,chitiet!$A205,slmong3pm)</f>
        <v>0</v>
      </c>
      <c r="J205" s="854">
        <f ca="1">SUMIF(mongct,chitiet!$A205,slmongct)</f>
        <v>0</v>
      </c>
      <c r="K205" s="854">
        <f ca="1">SUMIF(mong3p1m,chitiet!$A205,slmong3p1m)</f>
        <v>1</v>
      </c>
      <c r="L205" s="854">
        <f ca="1">SUMIF(mong1pm,chitiet!$A205,slmong1pm)</f>
        <v>0</v>
      </c>
      <c r="M205" s="854">
        <f ca="1">SUMIF(monghthh,chitiet!$A205,slmonghthh)</f>
        <v>0</v>
      </c>
      <c r="N205" s="854">
        <f ca="1">SUMIF(mongHTDL,chitiet!$A205,SLmongHTDL)</f>
        <v>0</v>
      </c>
      <c r="O205" s="854"/>
      <c r="P205" s="855"/>
      <c r="Q205" s="855"/>
      <c r="R205" s="855"/>
      <c r="S205" s="856">
        <f>SUM(S206:S207)</f>
        <v>0</v>
      </c>
      <c r="T205" s="856">
        <f>SUM(T206:T207)</f>
        <v>98928.17319999999</v>
      </c>
      <c r="U205" s="857">
        <f>SUM(U206:U207)</f>
        <v>0</v>
      </c>
    </row>
    <row r="206" spans="1:21" hidden="1">
      <c r="B206" s="696" t="s">
        <v>1645</v>
      </c>
      <c r="C206" s="631" t="str">
        <f ca="1">+C205</f>
        <v>x</v>
      </c>
      <c r="D206" s="698"/>
      <c r="E206" s="699" t="str">
        <f>VLOOKUP($B206,dongia1,DG!$C$5,)</f>
        <v>Đào hố móng đất cấp 3 sâu &gt;1m DT&lt;5m2</v>
      </c>
      <c r="F206" s="700" t="str">
        <f>VLOOKUP($B206,dongia1,DG!$D$5,)</f>
        <v>m3</v>
      </c>
      <c r="G206" s="762">
        <v>0.28799999999999998</v>
      </c>
      <c r="H206" s="701">
        <f ca="1">H$205*$G206</f>
        <v>0.28799999999999998</v>
      </c>
      <c r="I206" s="701">
        <f t="shared" ref="I206:O207" ca="1" si="118">I$205*$G206</f>
        <v>0</v>
      </c>
      <c r="J206" s="701">
        <f t="shared" ca="1" si="118"/>
        <v>0</v>
      </c>
      <c r="K206" s="701">
        <f t="shared" ca="1" si="118"/>
        <v>0.28799999999999998</v>
      </c>
      <c r="L206" s="701">
        <f t="shared" ca="1" si="118"/>
        <v>0</v>
      </c>
      <c r="M206" s="701">
        <f t="shared" ca="1" si="118"/>
        <v>0</v>
      </c>
      <c r="N206" s="701">
        <f t="shared" ca="1" si="118"/>
        <v>0</v>
      </c>
      <c r="O206" s="701">
        <f t="shared" si="118"/>
        <v>0</v>
      </c>
      <c r="P206" s="702">
        <f>VLOOKUP($B206,dongia1,DG!$F$5,)</f>
        <v>0</v>
      </c>
      <c r="Q206" s="702">
        <f>VLOOKUP($B206,dongia1,DG!$G$5,)</f>
        <v>296500.89999999997</v>
      </c>
      <c r="R206" s="703"/>
      <c r="S206" s="702">
        <f t="shared" ref="S206:U207" si="119">$G206*P206</f>
        <v>0</v>
      </c>
      <c r="T206" s="702">
        <f t="shared" si="119"/>
        <v>85392.259199999986</v>
      </c>
      <c r="U206" s="704">
        <f t="shared" si="119"/>
        <v>0</v>
      </c>
    </row>
    <row r="207" spans="1:21" hidden="1">
      <c r="B207" s="696" t="s">
        <v>501</v>
      </c>
      <c r="C207" s="631" t="str">
        <f ca="1">C206</f>
        <v>x</v>
      </c>
      <c r="D207" s="698"/>
      <c r="E207" s="699" t="str">
        <f>VLOOKUP($B207,dongia1,DG!$C$5,)</f>
        <v>Đắp đất hố móng, đất cấp 3 (độ chặt k = 0.85)</v>
      </c>
      <c r="F207" s="700" t="str">
        <f>VLOOKUP($B207,dongia1,DG!$D$5,)</f>
        <v>m3</v>
      </c>
      <c r="G207" s="762">
        <v>0.115</v>
      </c>
      <c r="H207" s="701">
        <f ca="1">H$205*$G207</f>
        <v>0.115</v>
      </c>
      <c r="I207" s="701">
        <f t="shared" ca="1" si="118"/>
        <v>0</v>
      </c>
      <c r="J207" s="701">
        <f t="shared" ca="1" si="118"/>
        <v>0</v>
      </c>
      <c r="K207" s="701">
        <f t="shared" ca="1" si="118"/>
        <v>0.115</v>
      </c>
      <c r="L207" s="701">
        <f t="shared" ca="1" si="118"/>
        <v>0</v>
      </c>
      <c r="M207" s="701">
        <f t="shared" ca="1" si="118"/>
        <v>0</v>
      </c>
      <c r="N207" s="701">
        <f t="shared" ca="1" si="118"/>
        <v>0</v>
      </c>
      <c r="O207" s="701">
        <f t="shared" si="118"/>
        <v>0</v>
      </c>
      <c r="P207" s="702">
        <f>VLOOKUP($B207,dongia1,DG!$F$5,)</f>
        <v>0</v>
      </c>
      <c r="Q207" s="702">
        <f>VLOOKUP($B207,dongia1,DG!$G$5,)</f>
        <v>117703.6</v>
      </c>
      <c r="R207" s="703"/>
      <c r="S207" s="702">
        <f t="shared" si="119"/>
        <v>0</v>
      </c>
      <c r="T207" s="702">
        <f>$G207*Q207</f>
        <v>13535.914000000001</v>
      </c>
      <c r="U207" s="930">
        <f t="shared" si="119"/>
        <v>0</v>
      </c>
    </row>
    <row r="208" spans="1:21" s="552" customFormat="1" ht="15" hidden="1" customHeight="1">
      <c r="A208" s="621" t="s">
        <v>2176</v>
      </c>
      <c r="B208" s="622"/>
      <c r="C208" s="558" t="str">
        <f ca="1">IF(H208&lt;&gt;0,"x"," ")</f>
        <v xml:space="preserve"> </v>
      </c>
      <c r="D208" s="553"/>
      <c r="E208" s="727" t="s">
        <v>3510</v>
      </c>
      <c r="F208" s="600" t="s">
        <v>3391</v>
      </c>
      <c r="G208" s="205"/>
      <c r="H208" s="556">
        <f ca="1">SUM(I208:N208)</f>
        <v>0</v>
      </c>
      <c r="I208" s="556">
        <f ca="1">SUMIF(mong3pm,chitiet!$A208,slmong3pm)</f>
        <v>0</v>
      </c>
      <c r="J208" s="556">
        <f ca="1">SUMIF(mongct,chitiet!$A208,slmongct)</f>
        <v>0</v>
      </c>
      <c r="K208" s="556">
        <f ca="1">SUMIF(mong3p1m,chitiet!$A208,slmong3p1m)</f>
        <v>0</v>
      </c>
      <c r="L208" s="556">
        <f ca="1">SUMIF(mong1pm,chitiet!$A208,slmong1pm)</f>
        <v>0</v>
      </c>
      <c r="M208" s="556">
        <f ca="1">SUMIF(monghthh,chitiet!$A208,slmonghthh)</f>
        <v>0</v>
      </c>
      <c r="N208" s="556">
        <f ca="1">SUMIF(mongHTDL,chitiet!$A208,SLmongHTDL)</f>
        <v>0</v>
      </c>
      <c r="O208" s="556"/>
      <c r="P208" s="554"/>
      <c r="Q208" s="554"/>
      <c r="R208" s="554"/>
      <c r="S208" s="602">
        <f>SUM(S209:S211)</f>
        <v>108600</v>
      </c>
      <c r="T208" s="602">
        <f>SUM(T209:T211)</f>
        <v>329292.57750000001</v>
      </c>
      <c r="U208" s="714">
        <f>SUM(U209:U211)</f>
        <v>0</v>
      </c>
    </row>
    <row r="209" spans="1:21" s="552" customFormat="1" ht="15" hidden="1" customHeight="1">
      <c r="A209" s="621"/>
      <c r="B209" s="622" t="s">
        <v>1645</v>
      </c>
      <c r="C209" s="558" t="str">
        <f ca="1">+C208</f>
        <v xml:space="preserve"> </v>
      </c>
      <c r="D209" s="553"/>
      <c r="E209" s="694" t="str">
        <f>VLOOKUP($B209,dongia1,DG!$C$5,)</f>
        <v>Đào hố móng đất cấp 3 sâu &gt;1m DT&lt;5m2</v>
      </c>
      <c r="F209" s="555" t="str">
        <f>VLOOKUP($B209,dongia1,DG!$D$5,)</f>
        <v>m3</v>
      </c>
      <c r="G209" s="205">
        <v>0.79500000000000004</v>
      </c>
      <c r="H209" s="556">
        <f ca="1">H$208*$G209</f>
        <v>0</v>
      </c>
      <c r="I209" s="556">
        <f t="shared" ref="I209:O209" ca="1" si="120">I$208*$G209</f>
        <v>0</v>
      </c>
      <c r="J209" s="556">
        <f t="shared" ca="1" si="120"/>
        <v>0</v>
      </c>
      <c r="K209" s="556">
        <f t="shared" ca="1" si="120"/>
        <v>0</v>
      </c>
      <c r="L209" s="556">
        <f t="shared" ca="1" si="120"/>
        <v>0</v>
      </c>
      <c r="M209" s="556">
        <f t="shared" ca="1" si="120"/>
        <v>0</v>
      </c>
      <c r="N209" s="556">
        <f t="shared" ca="1" si="120"/>
        <v>0</v>
      </c>
      <c r="O209" s="556">
        <f t="shared" si="120"/>
        <v>0</v>
      </c>
      <c r="P209" s="182">
        <f>VLOOKUP($B209,dongia1,DG!$F$5,)</f>
        <v>0</v>
      </c>
      <c r="Q209" s="182">
        <f>VLOOKUP($B209,dongia1,DG!$G$5,)</f>
        <v>296500.89999999997</v>
      </c>
      <c r="R209" s="554"/>
      <c r="S209" s="113">
        <f t="shared" ref="S209:U211" si="121">$G209*P209</f>
        <v>0</v>
      </c>
      <c r="T209" s="113">
        <f t="shared" si="121"/>
        <v>235718.21549999999</v>
      </c>
      <c r="U209" s="557">
        <f t="shared" si="121"/>
        <v>0</v>
      </c>
    </row>
    <row r="210" spans="1:21" s="552" customFormat="1" ht="15" hidden="1" customHeight="1">
      <c r="A210" s="621"/>
      <c r="B210" s="622" t="s">
        <v>501</v>
      </c>
      <c r="C210" s="558" t="str">
        <f ca="1">C209</f>
        <v xml:space="preserve"> </v>
      </c>
      <c r="D210" s="553"/>
      <c r="E210" s="694" t="str">
        <f>VLOOKUP($B210,dongia1,DG!$C$5,)</f>
        <v>Đắp đất hố móng, đất cấp 3 (độ chặt k = 0.85)</v>
      </c>
      <c r="F210" s="555" t="str">
        <f>VLOOKUP($B210,dongia1,DG!$D$5,)</f>
        <v>m3</v>
      </c>
      <c r="G210" s="205">
        <v>0.79500000000000004</v>
      </c>
      <c r="H210" s="556">
        <f t="shared" ref="H210:O211" ca="1" si="122">H$208*$G210</f>
        <v>0</v>
      </c>
      <c r="I210" s="556">
        <f t="shared" ca="1" si="122"/>
        <v>0</v>
      </c>
      <c r="J210" s="556">
        <f t="shared" ca="1" si="122"/>
        <v>0</v>
      </c>
      <c r="K210" s="556">
        <f t="shared" ca="1" si="122"/>
        <v>0</v>
      </c>
      <c r="L210" s="556">
        <f t="shared" ca="1" si="122"/>
        <v>0</v>
      </c>
      <c r="M210" s="556">
        <f t="shared" ca="1" si="122"/>
        <v>0</v>
      </c>
      <c r="N210" s="556">
        <f t="shared" ca="1" si="122"/>
        <v>0</v>
      </c>
      <c r="O210" s="556">
        <f t="shared" si="122"/>
        <v>0</v>
      </c>
      <c r="P210" s="182">
        <f>VLOOKUP($B210,dongia1,DG!$F$5,)</f>
        <v>0</v>
      </c>
      <c r="Q210" s="182">
        <f>VLOOKUP($B210,dongia1,DG!$G$5,)</f>
        <v>117703.6</v>
      </c>
      <c r="R210" s="554"/>
      <c r="S210" s="113">
        <f t="shared" si="121"/>
        <v>0</v>
      </c>
      <c r="T210" s="113">
        <f t="shared" si="121"/>
        <v>93574.362000000008</v>
      </c>
      <c r="U210" s="557">
        <f t="shared" si="121"/>
        <v>0</v>
      </c>
    </row>
    <row r="211" spans="1:21" s="552" customFormat="1" ht="15" hidden="1" customHeight="1">
      <c r="A211" s="621"/>
      <c r="B211" s="622" t="s">
        <v>365</v>
      </c>
      <c r="C211" s="558" t="str">
        <f ca="1">C210</f>
        <v xml:space="preserve"> </v>
      </c>
      <c r="D211" s="553"/>
      <c r="E211" s="694" t="str">
        <f>VLOOKUP($B211,dongia1,DG!$C$5,)&amp;": Gheùp truï"</f>
        <v>Boulon 22x800+ 2 long đền vuông D24-60x60x3/Zn: Gheùp truï</v>
      </c>
      <c r="F211" s="555" t="str">
        <f>VLOOKUP($B211,dongia1,DG!$D$5,)</f>
        <v>bộ</v>
      </c>
      <c r="G211" s="205">
        <v>1</v>
      </c>
      <c r="H211" s="556">
        <f t="shared" ca="1" si="122"/>
        <v>0</v>
      </c>
      <c r="I211" s="556">
        <f t="shared" ca="1" si="122"/>
        <v>0</v>
      </c>
      <c r="J211" s="556">
        <f t="shared" ca="1" si="122"/>
        <v>0</v>
      </c>
      <c r="K211" s="556">
        <f t="shared" ca="1" si="122"/>
        <v>0</v>
      </c>
      <c r="L211" s="556">
        <f t="shared" ca="1" si="122"/>
        <v>0</v>
      </c>
      <c r="M211" s="556">
        <f t="shared" ca="1" si="122"/>
        <v>0</v>
      </c>
      <c r="N211" s="556">
        <f t="shared" ca="1" si="122"/>
        <v>0</v>
      </c>
      <c r="O211" s="556">
        <f t="shared" si="122"/>
        <v>0</v>
      </c>
      <c r="P211" s="182">
        <f>VLOOKUP($B211,dongia1,DG!$F$5,)</f>
        <v>108600</v>
      </c>
      <c r="Q211" s="182">
        <f>VLOOKUP($B211,dongia1,DG!$G$5,)</f>
        <v>0</v>
      </c>
      <c r="R211" s="554"/>
      <c r="S211" s="113">
        <f t="shared" si="121"/>
        <v>108600</v>
      </c>
      <c r="T211" s="113">
        <f t="shared" si="121"/>
        <v>0</v>
      </c>
      <c r="U211" s="557">
        <f t="shared" si="121"/>
        <v>0</v>
      </c>
    </row>
    <row r="212" spans="1:21" s="610" customFormat="1" ht="14.25" hidden="1" customHeight="1">
      <c r="A212" s="635" t="s">
        <v>624</v>
      </c>
      <c r="B212" s="636"/>
      <c r="C212" s="637" t="str">
        <f ca="1">IF(H212&lt;&gt;0,"x"," ")</f>
        <v xml:space="preserve"> </v>
      </c>
      <c r="D212" s="599"/>
      <c r="E212" s="727" t="s">
        <v>3390</v>
      </c>
      <c r="F212" s="600" t="s">
        <v>3391</v>
      </c>
      <c r="G212" s="604"/>
      <c r="H212" s="605">
        <f ca="1">SUM(I212:N212)</f>
        <v>0</v>
      </c>
      <c r="I212" s="605">
        <f ca="1">SUMIF(mong3pm,chitiet!$A212,slmong3pm)</f>
        <v>0</v>
      </c>
      <c r="J212" s="605">
        <f ca="1">SUMIF(mongct,chitiet!$A212,slmongct)</f>
        <v>0</v>
      </c>
      <c r="K212" s="605">
        <f ca="1">SUMIF(mong3p1m,chitiet!$A212,slmong3p1m)</f>
        <v>0</v>
      </c>
      <c r="L212" s="605">
        <f ca="1">SUMIF(mong1pm,chitiet!$A212,slmong1pm)</f>
        <v>0</v>
      </c>
      <c r="M212" s="605">
        <f ca="1">SUMIF(monghthh,chitiet!$A212,slmonghthh)</f>
        <v>0</v>
      </c>
      <c r="N212" s="605">
        <f ca="1">SUMIF(mongHTDL,chitiet!$A212,SLmongHTDL)</f>
        <v>0</v>
      </c>
      <c r="O212" s="605"/>
      <c r="P212" s="606"/>
      <c r="Q212" s="606"/>
      <c r="R212" s="606"/>
      <c r="S212" s="601">
        <f>SUM(S213:S216)</f>
        <v>436945</v>
      </c>
      <c r="T212" s="601">
        <f>SUM(T213:T216)</f>
        <v>558100.71699999995</v>
      </c>
      <c r="U212" s="602">
        <f>SUM(U213:U216)</f>
        <v>0</v>
      </c>
    </row>
    <row r="213" spans="1:21" s="552" customFormat="1" ht="15" hidden="1" customHeight="1">
      <c r="A213" s="621"/>
      <c r="B213" s="622" t="s">
        <v>580</v>
      </c>
      <c r="C213" s="558" t="str">
        <f ca="1">C212</f>
        <v xml:space="preserve"> </v>
      </c>
      <c r="D213" s="553"/>
      <c r="E213" s="694" t="str">
        <f>VLOOKUP($B213,dongia1,DG!$C$5,)</f>
        <v>Đà cản BTCT 1,2m</v>
      </c>
      <c r="F213" s="555" t="str">
        <f>VLOOKUP($B213,dongia1,DG!$D$5,)</f>
        <v>cái</v>
      </c>
      <c r="G213" s="205">
        <v>1</v>
      </c>
      <c r="H213" s="556">
        <f ca="1">H$212*$G213</f>
        <v>0</v>
      </c>
      <c r="I213" s="556">
        <f t="shared" ref="I213:O213" ca="1" si="123">I$212*$G213</f>
        <v>0</v>
      </c>
      <c r="J213" s="556">
        <f t="shared" ca="1" si="123"/>
        <v>0</v>
      </c>
      <c r="K213" s="556">
        <f t="shared" ca="1" si="123"/>
        <v>0</v>
      </c>
      <c r="L213" s="556">
        <f t="shared" ca="1" si="123"/>
        <v>0</v>
      </c>
      <c r="M213" s="556">
        <f t="shared" ca="1" si="123"/>
        <v>0</v>
      </c>
      <c r="N213" s="556">
        <f t="shared" ca="1" si="123"/>
        <v>0</v>
      </c>
      <c r="O213" s="556">
        <f t="shared" si="123"/>
        <v>0</v>
      </c>
      <c r="P213" s="182">
        <f>VLOOKUP($B213,dongia1,DG!$F$5,)</f>
        <v>354545</v>
      </c>
      <c r="Q213" s="182">
        <f>VLOOKUP($B213,dongia1,DG!$G$5,)</f>
        <v>37220.25</v>
      </c>
      <c r="R213" s="554"/>
      <c r="S213" s="113">
        <f t="shared" ref="S213:U216" si="124">$G213*P213</f>
        <v>354545</v>
      </c>
      <c r="T213" s="113">
        <f t="shared" si="124"/>
        <v>37220.25</v>
      </c>
      <c r="U213" s="557">
        <f t="shared" si="124"/>
        <v>0</v>
      </c>
    </row>
    <row r="214" spans="1:21" s="552" customFormat="1" ht="15" hidden="1" customHeight="1">
      <c r="A214" s="621"/>
      <c r="B214" s="622" t="s">
        <v>1549</v>
      </c>
      <c r="C214" s="558" t="str">
        <f ca="1">C213</f>
        <v xml:space="preserve"> </v>
      </c>
      <c r="D214" s="553"/>
      <c r="E214" s="694" t="str">
        <f>VLOOKUP($B214,dongia1,DG!$C$5,)</f>
        <v>Boulon 22x550+ 2 long đền vuông D24-60x60x3/Zn</v>
      </c>
      <c r="F214" s="555" t="str">
        <f>VLOOKUP($B214,dongia1,DG!$D$5,)</f>
        <v>bộ</v>
      </c>
      <c r="G214" s="205">
        <v>1</v>
      </c>
      <c r="H214" s="556">
        <f t="shared" ref="H214:O216" ca="1" si="125">H$212*$G214</f>
        <v>0</v>
      </c>
      <c r="I214" s="556">
        <f t="shared" ca="1" si="125"/>
        <v>0</v>
      </c>
      <c r="J214" s="556">
        <f t="shared" ca="1" si="125"/>
        <v>0</v>
      </c>
      <c r="K214" s="556">
        <f t="shared" ca="1" si="125"/>
        <v>0</v>
      </c>
      <c r="L214" s="556">
        <f t="shared" ca="1" si="125"/>
        <v>0</v>
      </c>
      <c r="M214" s="556">
        <f t="shared" ca="1" si="125"/>
        <v>0</v>
      </c>
      <c r="N214" s="556">
        <f t="shared" ca="1" si="125"/>
        <v>0</v>
      </c>
      <c r="O214" s="556">
        <f t="shared" si="125"/>
        <v>0</v>
      </c>
      <c r="P214" s="182">
        <f>VLOOKUP($B214,dongia1,DG!$F$5,)</f>
        <v>82400</v>
      </c>
      <c r="Q214" s="554"/>
      <c r="R214" s="554"/>
      <c r="S214" s="113">
        <f t="shared" si="124"/>
        <v>82400</v>
      </c>
      <c r="T214" s="113">
        <f t="shared" si="124"/>
        <v>0</v>
      </c>
      <c r="U214" s="557">
        <f t="shared" si="124"/>
        <v>0</v>
      </c>
    </row>
    <row r="215" spans="1:21" s="552" customFormat="1" ht="15" hidden="1" customHeight="1">
      <c r="A215" s="621"/>
      <c r="B215" s="1759" t="s">
        <v>4946</v>
      </c>
      <c r="C215" s="558" t="str">
        <f ca="1">+C214</f>
        <v xml:space="preserve"> </v>
      </c>
      <c r="D215" s="553"/>
      <c r="E215" s="694" t="str">
        <f>VLOOKUP($B215,dongia1,DG!$C$5,)</f>
        <v>Đào hố móng kiểm tra đất cấp III rộng &lt;=1m, sâu &gt;1m</v>
      </c>
      <c r="F215" s="555" t="str">
        <f>VLOOKUP($B215,dongia1,DG!$D$5,)</f>
        <v>m3</v>
      </c>
      <c r="G215" s="205">
        <v>0.87</v>
      </c>
      <c r="H215" s="556">
        <f t="shared" ca="1" si="125"/>
        <v>0</v>
      </c>
      <c r="I215" s="556">
        <f t="shared" ca="1" si="125"/>
        <v>0</v>
      </c>
      <c r="J215" s="556">
        <f t="shared" ca="1" si="125"/>
        <v>0</v>
      </c>
      <c r="K215" s="556">
        <f t="shared" ca="1" si="125"/>
        <v>0</v>
      </c>
      <c r="L215" s="556">
        <f t="shared" ca="1" si="125"/>
        <v>0</v>
      </c>
      <c r="M215" s="556">
        <f t="shared" ca="1" si="125"/>
        <v>0</v>
      </c>
      <c r="N215" s="556">
        <f t="shared" ca="1" si="125"/>
        <v>0</v>
      </c>
      <c r="O215" s="556">
        <f t="shared" si="125"/>
        <v>0</v>
      </c>
      <c r="P215" s="182">
        <f>VLOOKUP($B215,dongia1,DG!$F$5,)</f>
        <v>0</v>
      </c>
      <c r="Q215" s="182">
        <f>VLOOKUP($B215,dongia1,DG!$G$5,)</f>
        <v>491832.89999999997</v>
      </c>
      <c r="R215" s="554"/>
      <c r="S215" s="113">
        <f t="shared" si="124"/>
        <v>0</v>
      </c>
      <c r="T215" s="113">
        <f t="shared" si="124"/>
        <v>427894.62299999996</v>
      </c>
      <c r="U215" s="557">
        <f t="shared" si="124"/>
        <v>0</v>
      </c>
    </row>
    <row r="216" spans="1:21" s="552" customFormat="1" ht="15" hidden="1" customHeight="1">
      <c r="A216" s="621"/>
      <c r="B216" s="622" t="s">
        <v>501</v>
      </c>
      <c r="C216" s="558" t="str">
        <f ca="1">C215</f>
        <v xml:space="preserve"> </v>
      </c>
      <c r="D216" s="553"/>
      <c r="E216" s="694" t="str">
        <f>VLOOKUP($B216,dongia1,DG!$C$5,)</f>
        <v>Đắp đất hố móng, đất cấp 3 (độ chặt k = 0.85)</v>
      </c>
      <c r="F216" s="555" t="str">
        <f>VLOOKUP($B216,dongia1,DG!$D$5,)</f>
        <v>m3</v>
      </c>
      <c r="G216" s="205">
        <v>0.79</v>
      </c>
      <c r="H216" s="556">
        <f t="shared" ca="1" si="125"/>
        <v>0</v>
      </c>
      <c r="I216" s="556">
        <f t="shared" ca="1" si="125"/>
        <v>0</v>
      </c>
      <c r="J216" s="556">
        <f t="shared" ca="1" si="125"/>
        <v>0</v>
      </c>
      <c r="K216" s="556">
        <f t="shared" ca="1" si="125"/>
        <v>0</v>
      </c>
      <c r="L216" s="556">
        <f t="shared" ca="1" si="125"/>
        <v>0</v>
      </c>
      <c r="M216" s="556">
        <f t="shared" ca="1" si="125"/>
        <v>0</v>
      </c>
      <c r="N216" s="556">
        <f t="shared" ca="1" si="125"/>
        <v>0</v>
      </c>
      <c r="O216" s="556">
        <f t="shared" si="125"/>
        <v>0</v>
      </c>
      <c r="P216" s="182">
        <f>VLOOKUP($B216,dongia1,DG!$F$5,)</f>
        <v>0</v>
      </c>
      <c r="Q216" s="182">
        <f>VLOOKUP($B216,dongia1,DG!$G$5,)</f>
        <v>117703.6</v>
      </c>
      <c r="R216" s="554"/>
      <c r="S216" s="113">
        <f t="shared" si="124"/>
        <v>0</v>
      </c>
      <c r="T216" s="113">
        <f t="shared" si="124"/>
        <v>92985.844000000012</v>
      </c>
      <c r="U216" s="557">
        <f t="shared" si="124"/>
        <v>0</v>
      </c>
    </row>
    <row r="217" spans="1:21" s="552" customFormat="1" ht="15" hidden="1" customHeight="1">
      <c r="A217" s="621" t="s">
        <v>938</v>
      </c>
      <c r="B217" s="622"/>
      <c r="C217" s="558" t="str">
        <f ca="1">IF(H217&lt;&gt;0,"x"," ")</f>
        <v xml:space="preserve"> </v>
      </c>
      <c r="D217" s="553"/>
      <c r="E217" s="727" t="s">
        <v>3511</v>
      </c>
      <c r="F217" s="600" t="s">
        <v>3391</v>
      </c>
      <c r="G217" s="205"/>
      <c r="H217" s="556">
        <f ca="1">SUM(I217:N217)</f>
        <v>0</v>
      </c>
      <c r="I217" s="556">
        <f ca="1">SUMIF(mong3pm,chitiet!$A217,slmong3pm)</f>
        <v>0</v>
      </c>
      <c r="J217" s="556">
        <f ca="1">SUMIF(mongct,chitiet!$A217,slmongct)</f>
        <v>0</v>
      </c>
      <c r="K217" s="556">
        <f ca="1">SUMIF(mong3p1m,chitiet!$A217,slmong3p1m)</f>
        <v>0</v>
      </c>
      <c r="L217" s="556">
        <f ca="1">SUMIF(mong1pm,chitiet!$A217,slmong1pm)</f>
        <v>0</v>
      </c>
      <c r="M217" s="556">
        <f ca="1">SUMIF(monghthh,chitiet!$A217,slmonghthh)</f>
        <v>0</v>
      </c>
      <c r="N217" s="556">
        <f ca="1">SUMIF(mongHTDL,chitiet!$A217,SLmongHTDL)</f>
        <v>0</v>
      </c>
      <c r="O217" s="556"/>
      <c r="P217" s="554"/>
      <c r="Q217" s="554"/>
      <c r="R217" s="554"/>
      <c r="S217" s="601">
        <f>SUM(S218:S221)</f>
        <v>742200</v>
      </c>
      <c r="T217" s="601">
        <f>SUM(T218:T221)</f>
        <v>620961.96799999999</v>
      </c>
      <c r="U217" s="602">
        <f>SUM(U218:U221)</f>
        <v>0</v>
      </c>
    </row>
    <row r="218" spans="1:21" s="552" customFormat="1" ht="15" hidden="1" customHeight="1">
      <c r="A218" s="621"/>
      <c r="B218" s="622" t="s">
        <v>201</v>
      </c>
      <c r="C218" s="558" t="str">
        <f ca="1">C217</f>
        <v xml:space="preserve"> </v>
      </c>
      <c r="D218" s="553"/>
      <c r="E218" s="694" t="str">
        <f>VLOOKUP($B218,dongia1,DG!$C$5,)</f>
        <v>Đà cản BTCT 1,5m</v>
      </c>
      <c r="F218" s="555" t="str">
        <f>VLOOKUP($B218,dongia1,DG!$D$5,)</f>
        <v>cái</v>
      </c>
      <c r="G218" s="205">
        <v>1</v>
      </c>
      <c r="H218" s="556">
        <f ca="1">H$217*$G218</f>
        <v>0</v>
      </c>
      <c r="I218" s="556">
        <f t="shared" ref="I218:O218" ca="1" si="126">I$217*$G218</f>
        <v>0</v>
      </c>
      <c r="J218" s="556">
        <f t="shared" ca="1" si="126"/>
        <v>0</v>
      </c>
      <c r="K218" s="556">
        <f t="shared" ca="1" si="126"/>
        <v>0</v>
      </c>
      <c r="L218" s="556">
        <f t="shared" ca="1" si="126"/>
        <v>0</v>
      </c>
      <c r="M218" s="556">
        <f t="shared" ca="1" si="126"/>
        <v>0</v>
      </c>
      <c r="N218" s="556">
        <f t="shared" ca="1" si="126"/>
        <v>0</v>
      </c>
      <c r="O218" s="556">
        <f t="shared" si="126"/>
        <v>0</v>
      </c>
      <c r="P218" s="182">
        <f>VLOOKUP($B218,dongia1,DG!$F$5,)</f>
        <v>650000</v>
      </c>
      <c r="Q218" s="182">
        <f>VLOOKUP($B218,dongia1,DG!$G$5,)</f>
        <v>148724</v>
      </c>
      <c r="R218" s="554"/>
      <c r="S218" s="113">
        <f t="shared" ref="S218:U221" si="127">$G218*P218</f>
        <v>650000</v>
      </c>
      <c r="T218" s="113">
        <f t="shared" si="127"/>
        <v>148724</v>
      </c>
      <c r="U218" s="557">
        <f t="shared" si="127"/>
        <v>0</v>
      </c>
    </row>
    <row r="219" spans="1:21" s="552" customFormat="1" ht="15" hidden="1" customHeight="1">
      <c r="A219" s="621"/>
      <c r="B219" s="622" t="s">
        <v>952</v>
      </c>
      <c r="C219" s="558" t="str">
        <f ca="1">C218</f>
        <v xml:space="preserve"> </v>
      </c>
      <c r="D219" s="553"/>
      <c r="E219" s="694" t="str">
        <f>VLOOKUP($B219,dongia1,DG!$C$5,)</f>
        <v>Boulon 22x650+ 2 long đền vuông D24-60x60x3/Zn</v>
      </c>
      <c r="F219" s="555" t="str">
        <f>VLOOKUP($B219,dongia1,DG!$D$5,)</f>
        <v>bộ</v>
      </c>
      <c r="G219" s="205">
        <v>1</v>
      </c>
      <c r="H219" s="556">
        <f t="shared" ref="H219:O221" ca="1" si="128">H$217*$G219</f>
        <v>0</v>
      </c>
      <c r="I219" s="556">
        <f t="shared" ca="1" si="128"/>
        <v>0</v>
      </c>
      <c r="J219" s="556">
        <f t="shared" ca="1" si="128"/>
        <v>0</v>
      </c>
      <c r="K219" s="556">
        <f t="shared" ca="1" si="128"/>
        <v>0</v>
      </c>
      <c r="L219" s="556">
        <f t="shared" ca="1" si="128"/>
        <v>0</v>
      </c>
      <c r="M219" s="556">
        <f t="shared" ca="1" si="128"/>
        <v>0</v>
      </c>
      <c r="N219" s="556">
        <f t="shared" ca="1" si="128"/>
        <v>0</v>
      </c>
      <c r="O219" s="556">
        <f t="shared" si="128"/>
        <v>0</v>
      </c>
      <c r="P219" s="182">
        <f>VLOOKUP($B219,dongia1,DG!$F$5,)</f>
        <v>92200</v>
      </c>
      <c r="Q219" s="554"/>
      <c r="R219" s="554"/>
      <c r="S219" s="113">
        <f t="shared" si="127"/>
        <v>92200</v>
      </c>
      <c r="T219" s="113">
        <f t="shared" si="127"/>
        <v>0</v>
      </c>
      <c r="U219" s="557">
        <f t="shared" si="127"/>
        <v>0</v>
      </c>
    </row>
    <row r="220" spans="1:21" s="552" customFormat="1" ht="15" hidden="1" customHeight="1">
      <c r="A220" s="621"/>
      <c r="B220" s="622" t="s">
        <v>1645</v>
      </c>
      <c r="C220" s="558" t="str">
        <f ca="1">C219</f>
        <v xml:space="preserve"> </v>
      </c>
      <c r="D220" s="553"/>
      <c r="E220" s="694" t="str">
        <f>VLOOKUP($B220,dongia1,DG!$C$5,)</f>
        <v>Đào hố móng đất cấp 3 sâu &gt;1m DT&lt;5m2</v>
      </c>
      <c r="F220" s="555" t="str">
        <f>VLOOKUP($B220,dongia1,DG!$D$5,)</f>
        <v>m3</v>
      </c>
      <c r="G220" s="205">
        <v>1.1599999999999999</v>
      </c>
      <c r="H220" s="556">
        <f t="shared" ca="1" si="128"/>
        <v>0</v>
      </c>
      <c r="I220" s="556">
        <f t="shared" ca="1" si="128"/>
        <v>0</v>
      </c>
      <c r="J220" s="556">
        <f t="shared" ca="1" si="128"/>
        <v>0</v>
      </c>
      <c r="K220" s="556">
        <f t="shared" ca="1" si="128"/>
        <v>0</v>
      </c>
      <c r="L220" s="556">
        <f t="shared" ca="1" si="128"/>
        <v>0</v>
      </c>
      <c r="M220" s="556">
        <f t="shared" ca="1" si="128"/>
        <v>0</v>
      </c>
      <c r="N220" s="556">
        <f t="shared" ca="1" si="128"/>
        <v>0</v>
      </c>
      <c r="O220" s="556">
        <f t="shared" si="128"/>
        <v>0</v>
      </c>
      <c r="P220" s="182">
        <f>VLOOKUP($B220,dongia1,DG!$F$5,)</f>
        <v>0</v>
      </c>
      <c r="Q220" s="182">
        <f>VLOOKUP($B220,dongia1,DG!$G$5,)</f>
        <v>296500.89999999997</v>
      </c>
      <c r="R220" s="554"/>
      <c r="S220" s="113">
        <f t="shared" si="127"/>
        <v>0</v>
      </c>
      <c r="T220" s="113">
        <f t="shared" si="127"/>
        <v>343941.04399999994</v>
      </c>
      <c r="U220" s="557">
        <f t="shared" si="127"/>
        <v>0</v>
      </c>
    </row>
    <row r="221" spans="1:21" s="552" customFormat="1" ht="15" hidden="1" customHeight="1">
      <c r="A221" s="621"/>
      <c r="B221" s="622" t="s">
        <v>501</v>
      </c>
      <c r="C221" s="558" t="str">
        <f ca="1">C220</f>
        <v xml:space="preserve"> </v>
      </c>
      <c r="D221" s="553"/>
      <c r="E221" s="694" t="str">
        <f>VLOOKUP($B221,dongia1,DG!$C$5,)</f>
        <v>Đắp đất hố móng, đất cấp 3 (độ chặt k = 0.85)</v>
      </c>
      <c r="F221" s="555" t="str">
        <f>VLOOKUP($B221,dongia1,DG!$D$5,)</f>
        <v>m3</v>
      </c>
      <c r="G221" s="205">
        <v>1.0900000000000001</v>
      </c>
      <c r="H221" s="556">
        <f t="shared" ca="1" si="128"/>
        <v>0</v>
      </c>
      <c r="I221" s="556">
        <f t="shared" ca="1" si="128"/>
        <v>0</v>
      </c>
      <c r="J221" s="556">
        <f t="shared" ca="1" si="128"/>
        <v>0</v>
      </c>
      <c r="K221" s="556">
        <f t="shared" ca="1" si="128"/>
        <v>0</v>
      </c>
      <c r="L221" s="556">
        <f t="shared" ca="1" si="128"/>
        <v>0</v>
      </c>
      <c r="M221" s="556">
        <f t="shared" ca="1" si="128"/>
        <v>0</v>
      </c>
      <c r="N221" s="556">
        <f t="shared" ca="1" si="128"/>
        <v>0</v>
      </c>
      <c r="O221" s="556">
        <f t="shared" si="128"/>
        <v>0</v>
      </c>
      <c r="P221" s="182">
        <f>VLOOKUP($B221,dongia1,DG!$F$5,)</f>
        <v>0</v>
      </c>
      <c r="Q221" s="182">
        <f>VLOOKUP($B221,dongia1,DG!$G$5,)</f>
        <v>117703.6</v>
      </c>
      <c r="R221" s="554"/>
      <c r="S221" s="113">
        <f t="shared" si="127"/>
        <v>0</v>
      </c>
      <c r="T221" s="113">
        <f t="shared" si="127"/>
        <v>128296.92400000001</v>
      </c>
      <c r="U221" s="557">
        <f t="shared" si="127"/>
        <v>0</v>
      </c>
    </row>
    <row r="222" spans="1:21" s="552" customFormat="1" ht="15" hidden="1" customHeight="1">
      <c r="A222" s="621" t="s">
        <v>625</v>
      </c>
      <c r="B222" s="622"/>
      <c r="C222" s="558" t="str">
        <f ca="1">IF(H222&lt;&gt;0,"x"," ")</f>
        <v xml:space="preserve"> </v>
      </c>
      <c r="D222" s="553"/>
      <c r="E222" s="727" t="s">
        <v>3393</v>
      </c>
      <c r="F222" s="600" t="s">
        <v>3391</v>
      </c>
      <c r="G222" s="205"/>
      <c r="H222" s="556">
        <f ca="1">SUM(I222:N222)</f>
        <v>0</v>
      </c>
      <c r="I222" s="556">
        <f ca="1">SUMIF(mong3pm,chitiet!$A222,slmong3pm)</f>
        <v>0</v>
      </c>
      <c r="J222" s="556">
        <f ca="1">SUMIF(mongct,chitiet!$A222,slmongct)</f>
        <v>0</v>
      </c>
      <c r="K222" s="556">
        <f ca="1">SUMIF(mong3p1m,chitiet!$A222,slmong3p1m)</f>
        <v>0</v>
      </c>
      <c r="L222" s="556">
        <f ca="1">SUMIF(mong1pm,chitiet!$A222,slmong1pm)</f>
        <v>0</v>
      </c>
      <c r="M222" s="556">
        <f ca="1">SUMIF(monghthh,chitiet!$A222,slmonghthh)</f>
        <v>0</v>
      </c>
      <c r="N222" s="556">
        <f ca="1">SUMIF(mongHTDL,chitiet!$A222,SLmongHTDL)</f>
        <v>0</v>
      </c>
      <c r="O222" s="556"/>
      <c r="P222" s="554"/>
      <c r="Q222" s="554"/>
      <c r="R222" s="554"/>
      <c r="S222" s="601">
        <f>SUM(S223:S226)</f>
        <v>893490</v>
      </c>
      <c r="T222" s="601">
        <f>SUM(T223:T226)</f>
        <v>1328303.0989999999</v>
      </c>
      <c r="U222" s="602">
        <f>SUM(U223:U226)</f>
        <v>0</v>
      </c>
    </row>
    <row r="223" spans="1:21" s="552" customFormat="1" ht="15" hidden="1" customHeight="1">
      <c r="A223" s="621"/>
      <c r="B223" s="622" t="s">
        <v>580</v>
      </c>
      <c r="C223" s="558" t="str">
        <f ca="1">C222</f>
        <v xml:space="preserve"> </v>
      </c>
      <c r="D223" s="553"/>
      <c r="E223" s="694" t="str">
        <f>VLOOKUP($B223,dongia1,DG!$C$5,)</f>
        <v>Đà cản BTCT 1,2m</v>
      </c>
      <c r="F223" s="555" t="str">
        <f>VLOOKUP($B223,dongia1,DG!$D$5,)</f>
        <v>cái</v>
      </c>
      <c r="G223" s="205">
        <v>2</v>
      </c>
      <c r="H223" s="556">
        <f ca="1">H$222*$G223</f>
        <v>0</v>
      </c>
      <c r="I223" s="556">
        <f t="shared" ref="I223:O223" ca="1" si="129">I$222*$G223</f>
        <v>0</v>
      </c>
      <c r="J223" s="556">
        <f t="shared" ca="1" si="129"/>
        <v>0</v>
      </c>
      <c r="K223" s="556">
        <f t="shared" ca="1" si="129"/>
        <v>0</v>
      </c>
      <c r="L223" s="556">
        <f t="shared" ca="1" si="129"/>
        <v>0</v>
      </c>
      <c r="M223" s="556">
        <f t="shared" ca="1" si="129"/>
        <v>0</v>
      </c>
      <c r="N223" s="556">
        <f t="shared" ca="1" si="129"/>
        <v>0</v>
      </c>
      <c r="O223" s="556">
        <f t="shared" si="129"/>
        <v>0</v>
      </c>
      <c r="P223" s="182">
        <f>VLOOKUP($B223,dongia1,DG!$F$5,)</f>
        <v>354545</v>
      </c>
      <c r="Q223" s="182">
        <f>VLOOKUP($B223,dongia1,DG!$G$5,)</f>
        <v>37220.25</v>
      </c>
      <c r="R223" s="554"/>
      <c r="S223" s="113">
        <f t="shared" ref="S223:U226" si="130">$G223*P223</f>
        <v>709090</v>
      </c>
      <c r="T223" s="113">
        <f t="shared" si="130"/>
        <v>74440.5</v>
      </c>
      <c r="U223" s="557">
        <f t="shared" si="130"/>
        <v>0</v>
      </c>
    </row>
    <row r="224" spans="1:21" s="552" customFormat="1" ht="15" hidden="1" customHeight="1">
      <c r="A224" s="621"/>
      <c r="B224" s="622" t="s">
        <v>952</v>
      </c>
      <c r="C224" s="558" t="str">
        <f ca="1">C223</f>
        <v xml:space="preserve"> </v>
      </c>
      <c r="D224" s="553"/>
      <c r="E224" s="694" t="str">
        <f>VLOOKUP($B224,dongia1,DG!$C$5,)</f>
        <v>Boulon 22x650+ 2 long đền vuông D24-60x60x3/Zn</v>
      </c>
      <c r="F224" s="555" t="str">
        <f>VLOOKUP($B224,dongia1,DG!$D$5,)</f>
        <v>bộ</v>
      </c>
      <c r="G224" s="205">
        <v>2</v>
      </c>
      <c r="H224" s="556">
        <f t="shared" ref="H224:O226" ca="1" si="131">H$222*$G224</f>
        <v>0</v>
      </c>
      <c r="I224" s="556">
        <f t="shared" ca="1" si="131"/>
        <v>0</v>
      </c>
      <c r="J224" s="556">
        <f t="shared" ca="1" si="131"/>
        <v>0</v>
      </c>
      <c r="K224" s="556">
        <f t="shared" ca="1" si="131"/>
        <v>0</v>
      </c>
      <c r="L224" s="556">
        <f t="shared" ca="1" si="131"/>
        <v>0</v>
      </c>
      <c r="M224" s="556">
        <f t="shared" ca="1" si="131"/>
        <v>0</v>
      </c>
      <c r="N224" s="556">
        <f t="shared" ca="1" si="131"/>
        <v>0</v>
      </c>
      <c r="O224" s="556">
        <f t="shared" si="131"/>
        <v>0</v>
      </c>
      <c r="P224" s="182">
        <f>VLOOKUP($B224,dongia1,DG!$F$5,)</f>
        <v>92200</v>
      </c>
      <c r="Q224" s="554"/>
      <c r="R224" s="554"/>
      <c r="S224" s="113">
        <f t="shared" si="130"/>
        <v>184400</v>
      </c>
      <c r="T224" s="113">
        <f t="shared" si="130"/>
        <v>0</v>
      </c>
      <c r="U224" s="557">
        <f t="shared" si="130"/>
        <v>0</v>
      </c>
    </row>
    <row r="225" spans="1:21" s="552" customFormat="1" ht="15" hidden="1" customHeight="1">
      <c r="A225" s="621"/>
      <c r="B225" s="622" t="s">
        <v>1645</v>
      </c>
      <c r="C225" s="558" t="str">
        <f ca="1">C224</f>
        <v xml:space="preserve"> </v>
      </c>
      <c r="D225" s="553"/>
      <c r="E225" s="694" t="str">
        <f>VLOOKUP($B225,dongia1,DG!$C$5,)</f>
        <v>Đào hố móng đất cấp 3 sâu &gt;1m DT&lt;5m2</v>
      </c>
      <c r="F225" s="555" t="str">
        <f>VLOOKUP($B225,dongia1,DG!$D$5,)</f>
        <v>m3</v>
      </c>
      <c r="G225" s="205">
        <v>3.03</v>
      </c>
      <c r="H225" s="556">
        <f t="shared" ca="1" si="131"/>
        <v>0</v>
      </c>
      <c r="I225" s="556">
        <f t="shared" ca="1" si="131"/>
        <v>0</v>
      </c>
      <c r="J225" s="556">
        <f t="shared" ca="1" si="131"/>
        <v>0</v>
      </c>
      <c r="K225" s="556">
        <f t="shared" ca="1" si="131"/>
        <v>0</v>
      </c>
      <c r="L225" s="556">
        <f t="shared" ca="1" si="131"/>
        <v>0</v>
      </c>
      <c r="M225" s="556">
        <f t="shared" ca="1" si="131"/>
        <v>0</v>
      </c>
      <c r="N225" s="556">
        <f t="shared" ca="1" si="131"/>
        <v>0</v>
      </c>
      <c r="O225" s="556">
        <f t="shared" si="131"/>
        <v>0</v>
      </c>
      <c r="P225" s="182">
        <f>VLOOKUP($B225,dongia1,DG!$F$5,)</f>
        <v>0</v>
      </c>
      <c r="Q225" s="182">
        <f>VLOOKUP($B225,dongia1,DG!$G$5,)</f>
        <v>296500.89999999997</v>
      </c>
      <c r="R225" s="554"/>
      <c r="S225" s="113">
        <f t="shared" si="130"/>
        <v>0</v>
      </c>
      <c r="T225" s="113">
        <f t="shared" si="130"/>
        <v>898397.72699999984</v>
      </c>
      <c r="U225" s="557">
        <f t="shared" si="130"/>
        <v>0</v>
      </c>
    </row>
    <row r="226" spans="1:21" s="552" customFormat="1" ht="15" hidden="1" customHeight="1">
      <c r="A226" s="621"/>
      <c r="B226" s="622" t="s">
        <v>501</v>
      </c>
      <c r="C226" s="558" t="str">
        <f ca="1">C225</f>
        <v xml:space="preserve"> </v>
      </c>
      <c r="D226" s="553"/>
      <c r="E226" s="694" t="str">
        <f>VLOOKUP($B226,dongia1,DG!$C$5,)</f>
        <v>Đắp đất hố móng, đất cấp 3 (độ chặt k = 0.85)</v>
      </c>
      <c r="F226" s="555" t="str">
        <f>VLOOKUP($B226,dongia1,DG!$D$5,)</f>
        <v>m3</v>
      </c>
      <c r="G226" s="205">
        <v>3.02</v>
      </c>
      <c r="H226" s="556">
        <f t="shared" ca="1" si="131"/>
        <v>0</v>
      </c>
      <c r="I226" s="556">
        <f t="shared" ca="1" si="131"/>
        <v>0</v>
      </c>
      <c r="J226" s="556">
        <f t="shared" ca="1" si="131"/>
        <v>0</v>
      </c>
      <c r="K226" s="556">
        <f t="shared" ca="1" si="131"/>
        <v>0</v>
      </c>
      <c r="L226" s="556">
        <f t="shared" ca="1" si="131"/>
        <v>0</v>
      </c>
      <c r="M226" s="556">
        <f t="shared" ca="1" si="131"/>
        <v>0</v>
      </c>
      <c r="N226" s="556">
        <f t="shared" ca="1" si="131"/>
        <v>0</v>
      </c>
      <c r="O226" s="556">
        <f t="shared" si="131"/>
        <v>0</v>
      </c>
      <c r="P226" s="182">
        <f>VLOOKUP($B226,dongia1,DG!$F$5,)</f>
        <v>0</v>
      </c>
      <c r="Q226" s="182">
        <f>VLOOKUP($B226,dongia1,DG!$G$5,)</f>
        <v>117703.6</v>
      </c>
      <c r="R226" s="554"/>
      <c r="S226" s="113">
        <f t="shared" si="130"/>
        <v>0</v>
      </c>
      <c r="T226" s="113">
        <f t="shared" si="130"/>
        <v>355464.87200000003</v>
      </c>
      <c r="U226" s="557">
        <f t="shared" si="130"/>
        <v>0</v>
      </c>
    </row>
    <row r="227" spans="1:21" s="552" customFormat="1" ht="15" hidden="1" customHeight="1">
      <c r="A227" s="621" t="s">
        <v>2177</v>
      </c>
      <c r="B227" s="622"/>
      <c r="C227" s="558" t="str">
        <f ca="1">IF(H227&lt;&gt;0,"x"," ")</f>
        <v xml:space="preserve"> </v>
      </c>
      <c r="D227" s="553"/>
      <c r="E227" s="727" t="s">
        <v>3512</v>
      </c>
      <c r="F227" s="600" t="s">
        <v>3391</v>
      </c>
      <c r="G227" s="205"/>
      <c r="H227" s="556">
        <f ca="1">SUM(I227:N227)</f>
        <v>0</v>
      </c>
      <c r="I227" s="556">
        <f ca="1">SUMIF(mong3pm,chitiet!$A227,slmong3pm)</f>
        <v>0</v>
      </c>
      <c r="J227" s="556">
        <f ca="1">SUMIF(mongct,chitiet!$A227,slmongct)</f>
        <v>0</v>
      </c>
      <c r="K227" s="556">
        <f ca="1">SUMIF(mong3p1m,chitiet!$A227,slmong3p1m)</f>
        <v>0</v>
      </c>
      <c r="L227" s="556">
        <f ca="1">SUMIF(mong1pm,chitiet!$A227,slmong1pm)</f>
        <v>0</v>
      </c>
      <c r="M227" s="556">
        <f ca="1">SUMIF(monghthh,chitiet!$A227,slmonghthh)</f>
        <v>0</v>
      </c>
      <c r="N227" s="556">
        <f ca="1">SUMIF(mongHTDL,chitiet!$A227,SLmongHTDL)</f>
        <v>0</v>
      </c>
      <c r="O227" s="556"/>
      <c r="P227" s="554"/>
      <c r="Q227" s="554"/>
      <c r="R227" s="554"/>
      <c r="S227" s="601">
        <f>SUM(S228:S232)</f>
        <v>1188945</v>
      </c>
      <c r="T227" s="601">
        <f>SUM(T228:T232)</f>
        <v>1555784.1089999997</v>
      </c>
      <c r="U227" s="602">
        <f>SUM(U228:U232)</f>
        <v>0</v>
      </c>
    </row>
    <row r="228" spans="1:21" s="552" customFormat="1" ht="15" hidden="1" customHeight="1">
      <c r="A228" s="621"/>
      <c r="B228" s="622" t="s">
        <v>201</v>
      </c>
      <c r="C228" s="558" t="str">
        <f ca="1">C227</f>
        <v xml:space="preserve"> </v>
      </c>
      <c r="D228" s="553"/>
      <c r="E228" s="694" t="str">
        <f>VLOOKUP($B228,dongia1,DG!$C$5,)</f>
        <v>Đà cản BTCT 1,5m</v>
      </c>
      <c r="F228" s="555" t="str">
        <f>VLOOKUP($B228,dongia1,DG!$D$5,)</f>
        <v>cái</v>
      </c>
      <c r="G228" s="205">
        <v>1</v>
      </c>
      <c r="H228" s="556">
        <f ca="1">H$227*$G228</f>
        <v>0</v>
      </c>
      <c r="I228" s="556">
        <f t="shared" ref="I228:O228" ca="1" si="132">I$227*$G228</f>
        <v>0</v>
      </c>
      <c r="J228" s="556">
        <f t="shared" ca="1" si="132"/>
        <v>0</v>
      </c>
      <c r="K228" s="556">
        <f t="shared" ca="1" si="132"/>
        <v>0</v>
      </c>
      <c r="L228" s="556">
        <f t="shared" ca="1" si="132"/>
        <v>0</v>
      </c>
      <c r="M228" s="556">
        <f t="shared" ca="1" si="132"/>
        <v>0</v>
      </c>
      <c r="N228" s="556">
        <f t="shared" ca="1" si="132"/>
        <v>0</v>
      </c>
      <c r="O228" s="556">
        <f t="shared" si="132"/>
        <v>0</v>
      </c>
      <c r="P228" s="182">
        <f>VLOOKUP($B228,dongia1,DG!$F$5,)</f>
        <v>650000</v>
      </c>
      <c r="Q228" s="182">
        <f>VLOOKUP($B228,dongia1,DG!$G$5,)</f>
        <v>148724</v>
      </c>
      <c r="R228" s="554"/>
      <c r="S228" s="113">
        <f t="shared" ref="S228:U232" si="133">$G228*P228</f>
        <v>650000</v>
      </c>
      <c r="T228" s="113">
        <f t="shared" si="133"/>
        <v>148724</v>
      </c>
      <c r="U228" s="557">
        <f t="shared" si="133"/>
        <v>0</v>
      </c>
    </row>
    <row r="229" spans="1:21" s="552" customFormat="1" ht="15" hidden="1" customHeight="1">
      <c r="A229" s="621"/>
      <c r="B229" s="622" t="s">
        <v>580</v>
      </c>
      <c r="C229" s="558" t="str">
        <f ca="1">C228</f>
        <v xml:space="preserve"> </v>
      </c>
      <c r="D229" s="553"/>
      <c r="E229" s="694" t="str">
        <f>VLOOKUP($B229,dongia1,DG!$C$5,)</f>
        <v>Đà cản BTCT 1,2m</v>
      </c>
      <c r="F229" s="555" t="str">
        <f>VLOOKUP($B229,dongia1,DG!$D$5,)</f>
        <v>cái</v>
      </c>
      <c r="G229" s="205">
        <v>1</v>
      </c>
      <c r="H229" s="556">
        <f t="shared" ref="H229:O232" ca="1" si="134">H$227*$G229</f>
        <v>0</v>
      </c>
      <c r="I229" s="556">
        <f t="shared" ca="1" si="134"/>
        <v>0</v>
      </c>
      <c r="J229" s="556">
        <f t="shared" ca="1" si="134"/>
        <v>0</v>
      </c>
      <c r="K229" s="556">
        <f t="shared" ca="1" si="134"/>
        <v>0</v>
      </c>
      <c r="L229" s="556">
        <f t="shared" ca="1" si="134"/>
        <v>0</v>
      </c>
      <c r="M229" s="556">
        <f t="shared" ca="1" si="134"/>
        <v>0</v>
      </c>
      <c r="N229" s="556">
        <f t="shared" ca="1" si="134"/>
        <v>0</v>
      </c>
      <c r="O229" s="556">
        <f t="shared" si="134"/>
        <v>0</v>
      </c>
      <c r="P229" s="182">
        <f>VLOOKUP($B229,dongia1,DG!$F$5,)</f>
        <v>354545</v>
      </c>
      <c r="Q229" s="182">
        <f>VLOOKUP($B229,dongia1,DG!$G$5,)</f>
        <v>37220.25</v>
      </c>
      <c r="R229" s="554"/>
      <c r="S229" s="113">
        <f t="shared" si="133"/>
        <v>354545</v>
      </c>
      <c r="T229" s="113">
        <f t="shared" si="133"/>
        <v>37220.25</v>
      </c>
      <c r="U229" s="557">
        <f t="shared" si="133"/>
        <v>0</v>
      </c>
    </row>
    <row r="230" spans="1:21" s="552" customFormat="1" ht="15" hidden="1" customHeight="1">
      <c r="A230" s="621"/>
      <c r="B230" s="622" t="s">
        <v>952</v>
      </c>
      <c r="C230" s="558" t="str">
        <f ca="1">C229</f>
        <v xml:space="preserve"> </v>
      </c>
      <c r="D230" s="553"/>
      <c r="E230" s="694" t="str">
        <f>VLOOKUP($B230,dongia1,DG!$C$5,)</f>
        <v>Boulon 22x650+ 2 long đền vuông D24-60x60x3/Zn</v>
      </c>
      <c r="F230" s="555" t="str">
        <f>VLOOKUP($B230,dongia1,DG!$D$5,)</f>
        <v>bộ</v>
      </c>
      <c r="G230" s="205">
        <v>2</v>
      </c>
      <c r="H230" s="556">
        <f t="shared" ca="1" si="134"/>
        <v>0</v>
      </c>
      <c r="I230" s="556">
        <f t="shared" ca="1" si="134"/>
        <v>0</v>
      </c>
      <c r="J230" s="556">
        <f t="shared" ca="1" si="134"/>
        <v>0</v>
      </c>
      <c r="K230" s="556">
        <f t="shared" ca="1" si="134"/>
        <v>0</v>
      </c>
      <c r="L230" s="556">
        <f t="shared" ca="1" si="134"/>
        <v>0</v>
      </c>
      <c r="M230" s="556">
        <f t="shared" ca="1" si="134"/>
        <v>0</v>
      </c>
      <c r="N230" s="556">
        <f t="shared" ca="1" si="134"/>
        <v>0</v>
      </c>
      <c r="O230" s="556">
        <f t="shared" si="134"/>
        <v>0</v>
      </c>
      <c r="P230" s="182">
        <f>VLOOKUP($B230,dongia1,DG!$F$5,)</f>
        <v>92200</v>
      </c>
      <c r="Q230" s="554"/>
      <c r="R230" s="554"/>
      <c r="S230" s="113">
        <f t="shared" si="133"/>
        <v>184400</v>
      </c>
      <c r="T230" s="113">
        <f t="shared" si="133"/>
        <v>0</v>
      </c>
      <c r="U230" s="557">
        <f t="shared" si="133"/>
        <v>0</v>
      </c>
    </row>
    <row r="231" spans="1:21" s="552" customFormat="1" ht="15" hidden="1" customHeight="1">
      <c r="A231" s="621"/>
      <c r="B231" s="622" t="s">
        <v>1645</v>
      </c>
      <c r="C231" s="558" t="str">
        <f ca="1">C230</f>
        <v xml:space="preserve"> </v>
      </c>
      <c r="D231" s="553"/>
      <c r="E231" s="694" t="str">
        <f>VLOOKUP($B231,dongia1,DG!$C$5,)</f>
        <v>Đào hố móng đất cấp 3 sâu &gt;1m DT&lt;5m2</v>
      </c>
      <c r="F231" s="555" t="str">
        <f>VLOOKUP($B231,dongia1,DG!$D$5,)</f>
        <v>m3</v>
      </c>
      <c r="G231" s="205">
        <v>3.31</v>
      </c>
      <c r="H231" s="556">
        <f t="shared" ca="1" si="134"/>
        <v>0</v>
      </c>
      <c r="I231" s="556">
        <f t="shared" ca="1" si="134"/>
        <v>0</v>
      </c>
      <c r="J231" s="556">
        <f t="shared" ca="1" si="134"/>
        <v>0</v>
      </c>
      <c r="K231" s="556">
        <f t="shared" ca="1" si="134"/>
        <v>0</v>
      </c>
      <c r="L231" s="556">
        <f t="shared" ca="1" si="134"/>
        <v>0</v>
      </c>
      <c r="M231" s="556">
        <f t="shared" ca="1" si="134"/>
        <v>0</v>
      </c>
      <c r="N231" s="556">
        <f t="shared" ca="1" si="134"/>
        <v>0</v>
      </c>
      <c r="O231" s="556">
        <f t="shared" si="134"/>
        <v>0</v>
      </c>
      <c r="P231" s="182">
        <f>VLOOKUP($B231,dongia1,DG!$F$5,)</f>
        <v>0</v>
      </c>
      <c r="Q231" s="182">
        <f>VLOOKUP($B231,dongia1,DG!$G$5,)</f>
        <v>296500.89999999997</v>
      </c>
      <c r="R231" s="554"/>
      <c r="S231" s="113">
        <f t="shared" si="133"/>
        <v>0</v>
      </c>
      <c r="T231" s="113">
        <f t="shared" si="133"/>
        <v>981417.97899999993</v>
      </c>
      <c r="U231" s="557">
        <f t="shared" si="133"/>
        <v>0</v>
      </c>
    </row>
    <row r="232" spans="1:21" s="552" customFormat="1" ht="15" hidden="1" customHeight="1">
      <c r="A232" s="621"/>
      <c r="B232" s="622" t="s">
        <v>501</v>
      </c>
      <c r="C232" s="558" t="str">
        <f ca="1">C231</f>
        <v xml:space="preserve"> </v>
      </c>
      <c r="D232" s="553"/>
      <c r="E232" s="694" t="str">
        <f>VLOOKUP($B232,dongia1,DG!$C$5,)</f>
        <v>Đắp đất hố móng, đất cấp 3 (độ chặt k = 0.85)</v>
      </c>
      <c r="F232" s="555" t="str">
        <f>VLOOKUP($B232,dongia1,DG!$D$5,)</f>
        <v>m3</v>
      </c>
      <c r="G232" s="205">
        <v>3.3</v>
      </c>
      <c r="H232" s="556">
        <f t="shared" ca="1" si="134"/>
        <v>0</v>
      </c>
      <c r="I232" s="556">
        <f t="shared" ca="1" si="134"/>
        <v>0</v>
      </c>
      <c r="J232" s="556">
        <f t="shared" ca="1" si="134"/>
        <v>0</v>
      </c>
      <c r="K232" s="556">
        <f t="shared" ca="1" si="134"/>
        <v>0</v>
      </c>
      <c r="L232" s="556">
        <f t="shared" ca="1" si="134"/>
        <v>0</v>
      </c>
      <c r="M232" s="556">
        <f t="shared" ca="1" si="134"/>
        <v>0</v>
      </c>
      <c r="N232" s="556">
        <f t="shared" ca="1" si="134"/>
        <v>0</v>
      </c>
      <c r="O232" s="556">
        <f t="shared" si="134"/>
        <v>0</v>
      </c>
      <c r="P232" s="182">
        <f>VLOOKUP($B232,dongia1,DG!$F$5,)</f>
        <v>0</v>
      </c>
      <c r="Q232" s="182">
        <f>VLOOKUP($B232,dongia1,DG!$G$5,)</f>
        <v>117703.6</v>
      </c>
      <c r="R232" s="554"/>
      <c r="S232" s="113">
        <f t="shared" si="133"/>
        <v>0</v>
      </c>
      <c r="T232" s="113">
        <f t="shared" si="133"/>
        <v>388421.88</v>
      </c>
      <c r="U232" s="557">
        <f t="shared" si="133"/>
        <v>0</v>
      </c>
    </row>
    <row r="233" spans="1:21" s="552" customFormat="1" ht="15" hidden="1" customHeight="1">
      <c r="A233" s="621" t="s">
        <v>1705</v>
      </c>
      <c r="B233" s="622"/>
      <c r="C233" s="558" t="str">
        <f ca="1">IF(H233&lt;&gt;0,"x"," ")</f>
        <v xml:space="preserve"> </v>
      </c>
      <c r="D233" s="553"/>
      <c r="E233" s="727" t="s">
        <v>3513</v>
      </c>
      <c r="F233" s="600" t="s">
        <v>3391</v>
      </c>
      <c r="G233" s="205"/>
      <c r="H233" s="556">
        <f ca="1">SUM(I233:N233)</f>
        <v>0</v>
      </c>
      <c r="I233" s="556">
        <f ca="1">SUMIF(mong3pm,chitiet!$A233,slmong3pm)</f>
        <v>0</v>
      </c>
      <c r="J233" s="556">
        <f ca="1">SUMIF(mongct,chitiet!$A233,slmongct)</f>
        <v>0</v>
      </c>
      <c r="K233" s="556">
        <f ca="1">SUMIF(mong3p1m,chitiet!$A233,slmong3p1m)</f>
        <v>0</v>
      </c>
      <c r="L233" s="556">
        <f ca="1">SUMIF(mong1pm,chitiet!$A233,slmong1pm)</f>
        <v>0</v>
      </c>
      <c r="M233" s="556">
        <f ca="1">SUMIF(monghthh,chitiet!$A233,slmonghthh)</f>
        <v>0</v>
      </c>
      <c r="N233" s="556">
        <f ca="1">SUMIF(mongHTDL,chitiet!$A233,SLmongHTDL)</f>
        <v>0</v>
      </c>
      <c r="O233" s="556"/>
      <c r="P233" s="554"/>
      <c r="Q233" s="554"/>
      <c r="R233" s="554"/>
      <c r="S233" s="601">
        <f>SUM(S234:S237)</f>
        <v>1484400</v>
      </c>
      <c r="T233" s="601">
        <f>SUM(T234:T237)</f>
        <v>2934798.4669999997</v>
      </c>
      <c r="U233" s="602">
        <f>SUM(U234:U237)</f>
        <v>0</v>
      </c>
    </row>
    <row r="234" spans="1:21" s="552" customFormat="1" ht="15" hidden="1" customHeight="1">
      <c r="A234" s="621"/>
      <c r="B234" s="622" t="s">
        <v>201</v>
      </c>
      <c r="C234" s="558" t="str">
        <f ca="1">C233</f>
        <v xml:space="preserve"> </v>
      </c>
      <c r="D234" s="553"/>
      <c r="E234" s="694" t="str">
        <f>VLOOKUP($B234,dongia1,DG!$C$5,)</f>
        <v>Đà cản BTCT 1,5m</v>
      </c>
      <c r="F234" s="555" t="str">
        <f>VLOOKUP($B234,dongia1,DG!$D$5,)</f>
        <v>cái</v>
      </c>
      <c r="G234" s="205">
        <v>2</v>
      </c>
      <c r="H234" s="556">
        <f ca="1">H$233*$G234</f>
        <v>0</v>
      </c>
      <c r="I234" s="556">
        <f t="shared" ref="I234:O234" ca="1" si="135">I$233*$G234</f>
        <v>0</v>
      </c>
      <c r="J234" s="556">
        <f t="shared" ca="1" si="135"/>
        <v>0</v>
      </c>
      <c r="K234" s="556">
        <f t="shared" ca="1" si="135"/>
        <v>0</v>
      </c>
      <c r="L234" s="556">
        <f t="shared" ca="1" si="135"/>
        <v>0</v>
      </c>
      <c r="M234" s="556">
        <f t="shared" ca="1" si="135"/>
        <v>0</v>
      </c>
      <c r="N234" s="556">
        <f t="shared" ca="1" si="135"/>
        <v>0</v>
      </c>
      <c r="O234" s="556">
        <f t="shared" si="135"/>
        <v>0</v>
      </c>
      <c r="P234" s="182">
        <f>VLOOKUP($B234,dongia1,DG!$F$5,)</f>
        <v>650000</v>
      </c>
      <c r="Q234" s="182">
        <f>VLOOKUP($B234,dongia1,DG!$G$5,)</f>
        <v>148724</v>
      </c>
      <c r="R234" s="554"/>
      <c r="S234" s="113">
        <f t="shared" ref="S234:U237" si="136">$G234*P234</f>
        <v>1300000</v>
      </c>
      <c r="T234" s="113">
        <f t="shared" si="136"/>
        <v>297448</v>
      </c>
      <c r="U234" s="557">
        <f t="shared" si="136"/>
        <v>0</v>
      </c>
    </row>
    <row r="235" spans="1:21" s="552" customFormat="1" ht="15" hidden="1" customHeight="1">
      <c r="A235" s="621"/>
      <c r="B235" s="622" t="s">
        <v>952</v>
      </c>
      <c r="C235" s="558" t="str">
        <f ca="1">C234</f>
        <v xml:space="preserve"> </v>
      </c>
      <c r="D235" s="553"/>
      <c r="E235" s="694" t="str">
        <f>VLOOKUP($B235,dongia1,DG!$C$5,)</f>
        <v>Boulon 22x650+ 2 long đền vuông D24-60x60x3/Zn</v>
      </c>
      <c r="F235" s="555" t="str">
        <f>VLOOKUP($B235,dongia1,DG!$D$5,)</f>
        <v>bộ</v>
      </c>
      <c r="G235" s="205">
        <v>2</v>
      </c>
      <c r="H235" s="556">
        <f t="shared" ref="H235:O237" ca="1" si="137">H$233*$G235</f>
        <v>0</v>
      </c>
      <c r="I235" s="556">
        <f t="shared" ca="1" si="137"/>
        <v>0</v>
      </c>
      <c r="J235" s="556">
        <f t="shared" ca="1" si="137"/>
        <v>0</v>
      </c>
      <c r="K235" s="556">
        <f t="shared" ca="1" si="137"/>
        <v>0</v>
      </c>
      <c r="L235" s="556">
        <f t="shared" ca="1" si="137"/>
        <v>0</v>
      </c>
      <c r="M235" s="556">
        <f t="shared" ca="1" si="137"/>
        <v>0</v>
      </c>
      <c r="N235" s="556">
        <f t="shared" ca="1" si="137"/>
        <v>0</v>
      </c>
      <c r="O235" s="556">
        <f t="shared" si="137"/>
        <v>0</v>
      </c>
      <c r="P235" s="182">
        <f>VLOOKUP($B235,dongia1,DG!$F$5,)</f>
        <v>92200</v>
      </c>
      <c r="Q235" s="554"/>
      <c r="R235" s="554"/>
      <c r="S235" s="113">
        <f t="shared" si="136"/>
        <v>184400</v>
      </c>
      <c r="T235" s="113">
        <f t="shared" si="136"/>
        <v>0</v>
      </c>
      <c r="U235" s="557">
        <f t="shared" si="136"/>
        <v>0</v>
      </c>
    </row>
    <row r="236" spans="1:21" s="552" customFormat="1" ht="15" hidden="1" customHeight="1">
      <c r="A236" s="621"/>
      <c r="B236" s="622" t="s">
        <v>1645</v>
      </c>
      <c r="C236" s="558" t="str">
        <f ca="1">C235</f>
        <v xml:space="preserve"> </v>
      </c>
      <c r="D236" s="553"/>
      <c r="E236" s="694" t="str">
        <f>VLOOKUP($B236,dongia1,DG!$C$5,)</f>
        <v>Đào hố móng đất cấp 3 sâu &gt;1m DT&lt;5m2</v>
      </c>
      <c r="F236" s="555" t="str">
        <f>VLOOKUP($B236,dongia1,DG!$D$5,)</f>
        <v>m3</v>
      </c>
      <c r="G236" s="205">
        <v>6.39</v>
      </c>
      <c r="H236" s="556">
        <f t="shared" ca="1" si="137"/>
        <v>0</v>
      </c>
      <c r="I236" s="556">
        <f t="shared" ca="1" si="137"/>
        <v>0</v>
      </c>
      <c r="J236" s="556">
        <f t="shared" ca="1" si="137"/>
        <v>0</v>
      </c>
      <c r="K236" s="556">
        <f t="shared" ca="1" si="137"/>
        <v>0</v>
      </c>
      <c r="L236" s="556">
        <f t="shared" ca="1" si="137"/>
        <v>0</v>
      </c>
      <c r="M236" s="556">
        <f ca="1">M$233*$G236</f>
        <v>0</v>
      </c>
      <c r="N236" s="556">
        <f ca="1">N$233*$G236</f>
        <v>0</v>
      </c>
      <c r="O236" s="556">
        <f t="shared" si="137"/>
        <v>0</v>
      </c>
      <c r="P236" s="182">
        <f>VLOOKUP($B236,dongia1,DG!$F$5,)</f>
        <v>0</v>
      </c>
      <c r="Q236" s="182">
        <f>VLOOKUP($B236,dongia1,DG!$G$5,)</f>
        <v>296500.89999999997</v>
      </c>
      <c r="R236" s="554"/>
      <c r="S236" s="113">
        <f t="shared" si="136"/>
        <v>0</v>
      </c>
      <c r="T236" s="113">
        <f t="shared" si="136"/>
        <v>1894640.7509999997</v>
      </c>
      <c r="U236" s="557">
        <f t="shared" si="136"/>
        <v>0</v>
      </c>
    </row>
    <row r="237" spans="1:21" s="552" customFormat="1" ht="15" hidden="1" customHeight="1">
      <c r="A237" s="621"/>
      <c r="B237" s="622" t="s">
        <v>501</v>
      </c>
      <c r="C237" s="558" t="str">
        <f ca="1">C236</f>
        <v xml:space="preserve"> </v>
      </c>
      <c r="D237" s="553"/>
      <c r="E237" s="694" t="str">
        <f>VLOOKUP($B237,dongia1,DG!$C$5,)</f>
        <v>Đắp đất hố móng, đất cấp 3 (độ chặt k = 0.85)</v>
      </c>
      <c r="F237" s="555" t="str">
        <f>VLOOKUP($B237,dongia1,DG!$D$5,)</f>
        <v>m3</v>
      </c>
      <c r="G237" s="205">
        <v>6.31</v>
      </c>
      <c r="H237" s="556">
        <f t="shared" ca="1" si="137"/>
        <v>0</v>
      </c>
      <c r="I237" s="556">
        <f t="shared" ca="1" si="137"/>
        <v>0</v>
      </c>
      <c r="J237" s="556">
        <f t="shared" ca="1" si="137"/>
        <v>0</v>
      </c>
      <c r="K237" s="556">
        <f t="shared" ca="1" si="137"/>
        <v>0</v>
      </c>
      <c r="L237" s="556">
        <f t="shared" ca="1" si="137"/>
        <v>0</v>
      </c>
      <c r="M237" s="556">
        <f t="shared" ca="1" si="137"/>
        <v>0</v>
      </c>
      <c r="N237" s="556">
        <f t="shared" ca="1" si="137"/>
        <v>0</v>
      </c>
      <c r="O237" s="556">
        <f t="shared" si="137"/>
        <v>0</v>
      </c>
      <c r="P237" s="182">
        <f>VLOOKUP($B237,dongia1,DG!$F$5,)</f>
        <v>0</v>
      </c>
      <c r="Q237" s="182">
        <f>VLOOKUP($B237,dongia1,DG!$G$5,)</f>
        <v>117703.6</v>
      </c>
      <c r="R237" s="554"/>
      <c r="S237" s="113">
        <f t="shared" si="136"/>
        <v>0</v>
      </c>
      <c r="T237" s="113">
        <f t="shared" si="136"/>
        <v>742709.71600000001</v>
      </c>
      <c r="U237" s="557">
        <f t="shared" si="136"/>
        <v>0</v>
      </c>
    </row>
    <row r="238" spans="1:21" s="552" customFormat="1" ht="15" hidden="1" customHeight="1">
      <c r="A238" s="621" t="s">
        <v>350</v>
      </c>
      <c r="B238" s="622"/>
      <c r="C238" s="558" t="str">
        <f ca="1">IF(H238&lt;&gt;0,"x"," ")</f>
        <v xml:space="preserve"> </v>
      </c>
      <c r="D238" s="553"/>
      <c r="E238" s="727" t="s">
        <v>3514</v>
      </c>
      <c r="F238" s="600" t="s">
        <v>3391</v>
      </c>
      <c r="G238" s="205"/>
      <c r="H238" s="556">
        <f ca="1">SUM(I238:N238)</f>
        <v>0</v>
      </c>
      <c r="I238" s="556">
        <f ca="1">SUMIF(mong3pm,chitiet!$A238,slmong3pm)</f>
        <v>0</v>
      </c>
      <c r="J238" s="556">
        <f ca="1">SUMIF(mongct,chitiet!$A238,slmongct)</f>
        <v>0</v>
      </c>
      <c r="K238" s="556">
        <f ca="1">SUMIF(mong3p1m,chitiet!$A238,slmong3p1m)</f>
        <v>0</v>
      </c>
      <c r="L238" s="556">
        <f ca="1">SUMIF(mong1pm,chitiet!$A238,slmong1pm)</f>
        <v>0</v>
      </c>
      <c r="M238" s="556">
        <f ca="1">SUMIF(monghthh,chitiet!$A238,slmonghthh)</f>
        <v>0</v>
      </c>
      <c r="N238" s="556">
        <f ca="1">SUMIF(mongHTDL,chitiet!$A238,SLmongHTDL)</f>
        <v>0</v>
      </c>
      <c r="O238" s="556"/>
      <c r="P238" s="554"/>
      <c r="Q238" s="554"/>
      <c r="R238" s="554"/>
      <c r="S238" s="601">
        <f>SUM(S239:S243)</f>
        <v>2044000</v>
      </c>
      <c r="T238" s="601">
        <f>SUM(T239:T243)</f>
        <v>2075759.1159999999</v>
      </c>
      <c r="U238" s="602">
        <f>SUM(U239:U243)</f>
        <v>0</v>
      </c>
    </row>
    <row r="239" spans="1:21" s="552" customFormat="1" ht="15" hidden="1" customHeight="1">
      <c r="A239" s="621"/>
      <c r="B239" s="622" t="s">
        <v>993</v>
      </c>
      <c r="C239" s="558" t="str">
        <f ca="1">C238</f>
        <v xml:space="preserve"> </v>
      </c>
      <c r="D239" s="553"/>
      <c r="E239" s="694" t="str">
        <f>VLOOKUP($B239,dongia1,DG!$C$5,)</f>
        <v>Cừ tràm 5m</v>
      </c>
      <c r="F239" s="555" t="str">
        <f>VLOOKUP($B239,dongia1,DG!$D$5,)</f>
        <v>cây</v>
      </c>
      <c r="G239" s="205">
        <v>42</v>
      </c>
      <c r="H239" s="556">
        <f ca="1">H$238*$G239</f>
        <v>0</v>
      </c>
      <c r="I239" s="556">
        <f t="shared" ref="I239:O239" ca="1" si="138">I$238*$G239</f>
        <v>0</v>
      </c>
      <c r="J239" s="556">
        <f t="shared" ca="1" si="138"/>
        <v>0</v>
      </c>
      <c r="K239" s="556">
        <f t="shared" ca="1" si="138"/>
        <v>0</v>
      </c>
      <c r="L239" s="556">
        <f t="shared" ca="1" si="138"/>
        <v>0</v>
      </c>
      <c r="M239" s="556">
        <f t="shared" ca="1" si="138"/>
        <v>0</v>
      </c>
      <c r="N239" s="556">
        <f t="shared" ca="1" si="138"/>
        <v>0</v>
      </c>
      <c r="O239" s="556">
        <f t="shared" si="138"/>
        <v>0</v>
      </c>
      <c r="P239" s="182">
        <f>VLOOKUP($B239,dongia1,DG!$F$5,)</f>
        <v>15000</v>
      </c>
      <c r="Q239" s="182">
        <f>VLOOKUP($B239,dongia1,DG!$G$5,)</f>
        <v>2787</v>
      </c>
      <c r="R239" s="554"/>
      <c r="S239" s="113">
        <f t="shared" ref="S239:U243" si="139">$G239*P239</f>
        <v>630000</v>
      </c>
      <c r="T239" s="113">
        <f t="shared" si="139"/>
        <v>117054</v>
      </c>
      <c r="U239" s="557">
        <f t="shared" si="139"/>
        <v>0</v>
      </c>
    </row>
    <row r="240" spans="1:21" s="552" customFormat="1" ht="15" hidden="1" customHeight="1">
      <c r="A240" s="621"/>
      <c r="B240" s="622" t="s">
        <v>201</v>
      </c>
      <c r="C240" s="558" t="str">
        <f ca="1">C239</f>
        <v xml:space="preserve"> </v>
      </c>
      <c r="D240" s="553"/>
      <c r="E240" s="694" t="str">
        <f>VLOOKUP($B240,dongia1,DG!$C$5,)</f>
        <v>Đà cản BTCT 1,5m</v>
      </c>
      <c r="F240" s="555" t="str">
        <f>VLOOKUP($B240,dongia1,DG!$D$5,)</f>
        <v>cái</v>
      </c>
      <c r="G240" s="205">
        <v>2</v>
      </c>
      <c r="H240" s="556">
        <f t="shared" ref="H240:O243" ca="1" si="140">H$238*$G240</f>
        <v>0</v>
      </c>
      <c r="I240" s="556">
        <f t="shared" ca="1" si="140"/>
        <v>0</v>
      </c>
      <c r="J240" s="556">
        <f t="shared" ca="1" si="140"/>
        <v>0</v>
      </c>
      <c r="K240" s="556">
        <f t="shared" ca="1" si="140"/>
        <v>0</v>
      </c>
      <c r="L240" s="556">
        <f t="shared" ca="1" si="140"/>
        <v>0</v>
      </c>
      <c r="M240" s="556">
        <f t="shared" ca="1" si="140"/>
        <v>0</v>
      </c>
      <c r="N240" s="556">
        <f t="shared" ca="1" si="140"/>
        <v>0</v>
      </c>
      <c r="O240" s="556">
        <f t="shared" si="140"/>
        <v>0</v>
      </c>
      <c r="P240" s="182">
        <f>VLOOKUP($B240,dongia1,DG!$F$5,)</f>
        <v>650000</v>
      </c>
      <c r="Q240" s="182">
        <f>VLOOKUP($B240,dongia1,DG!$G$5,)</f>
        <v>148724</v>
      </c>
      <c r="R240" s="554"/>
      <c r="S240" s="113">
        <f t="shared" si="139"/>
        <v>1300000</v>
      </c>
      <c r="T240" s="113">
        <f t="shared" si="139"/>
        <v>297448</v>
      </c>
      <c r="U240" s="557">
        <f t="shared" si="139"/>
        <v>0</v>
      </c>
    </row>
    <row r="241" spans="1:21" s="552" customFormat="1" ht="15" hidden="1" customHeight="1">
      <c r="A241" s="621"/>
      <c r="B241" s="622" t="s">
        <v>1552</v>
      </c>
      <c r="C241" s="558" t="str">
        <f ca="1">C240</f>
        <v xml:space="preserve"> </v>
      </c>
      <c r="D241" s="553"/>
      <c r="E241" s="694" t="str">
        <f>VLOOKUP($B241,dongia1,DG!$C$5,)</f>
        <v>Boulon 22x850+ 2 long đền vuông D24-60x60x3/Zn</v>
      </c>
      <c r="F241" s="555" t="str">
        <f>VLOOKUP($B241,dongia1,DG!$D$5,)</f>
        <v>bộ</v>
      </c>
      <c r="G241" s="205">
        <v>1</v>
      </c>
      <c r="H241" s="556">
        <f t="shared" ca="1" si="140"/>
        <v>0</v>
      </c>
      <c r="I241" s="556">
        <f t="shared" ca="1" si="140"/>
        <v>0</v>
      </c>
      <c r="J241" s="556">
        <f t="shared" ca="1" si="140"/>
        <v>0</v>
      </c>
      <c r="K241" s="556">
        <f t="shared" ca="1" si="140"/>
        <v>0</v>
      </c>
      <c r="L241" s="556">
        <f t="shared" ca="1" si="140"/>
        <v>0</v>
      </c>
      <c r="M241" s="556">
        <f t="shared" ca="1" si="140"/>
        <v>0</v>
      </c>
      <c r="N241" s="556">
        <f t="shared" ca="1" si="140"/>
        <v>0</v>
      </c>
      <c r="O241" s="556">
        <f t="shared" si="140"/>
        <v>0</v>
      </c>
      <c r="P241" s="182">
        <f>VLOOKUP($B241,dongia1,DG!$F$5,)</f>
        <v>114000</v>
      </c>
      <c r="Q241" s="554"/>
      <c r="R241" s="554"/>
      <c r="S241" s="113">
        <f t="shared" si="139"/>
        <v>114000</v>
      </c>
      <c r="T241" s="113">
        <f t="shared" si="139"/>
        <v>0</v>
      </c>
      <c r="U241" s="557">
        <f t="shared" si="139"/>
        <v>0</v>
      </c>
    </row>
    <row r="242" spans="1:21" s="552" customFormat="1" ht="15" hidden="1" customHeight="1">
      <c r="A242" s="621"/>
      <c r="B242" s="622" t="s">
        <v>1645</v>
      </c>
      <c r="C242" s="558" t="str">
        <f ca="1">C241</f>
        <v xml:space="preserve"> </v>
      </c>
      <c r="D242" s="553"/>
      <c r="E242" s="694" t="str">
        <f>VLOOKUP($B242,dongia1,DG!$C$5,)</f>
        <v>Đào hố móng đất cấp 3 sâu &gt;1m DT&lt;5m2</v>
      </c>
      <c r="F242" s="555" t="str">
        <f>VLOOKUP($B242,dongia1,DG!$D$5,)</f>
        <v>m3</v>
      </c>
      <c r="G242" s="205">
        <v>3.88</v>
      </c>
      <c r="H242" s="556">
        <f t="shared" ca="1" si="140"/>
        <v>0</v>
      </c>
      <c r="I242" s="556">
        <f t="shared" ca="1" si="140"/>
        <v>0</v>
      </c>
      <c r="J242" s="556">
        <f t="shared" ca="1" si="140"/>
        <v>0</v>
      </c>
      <c r="K242" s="556">
        <f t="shared" ca="1" si="140"/>
        <v>0</v>
      </c>
      <c r="L242" s="556">
        <f t="shared" ca="1" si="140"/>
        <v>0</v>
      </c>
      <c r="M242" s="556">
        <f t="shared" ca="1" si="140"/>
        <v>0</v>
      </c>
      <c r="N242" s="556">
        <f t="shared" ca="1" si="140"/>
        <v>0</v>
      </c>
      <c r="O242" s="556">
        <f t="shared" si="140"/>
        <v>0</v>
      </c>
      <c r="P242" s="554"/>
      <c r="Q242" s="182">
        <f>VLOOKUP($B242,dongia1,DG!$G$5,)</f>
        <v>296500.89999999997</v>
      </c>
      <c r="R242" s="554"/>
      <c r="S242" s="113">
        <f t="shared" si="139"/>
        <v>0</v>
      </c>
      <c r="T242" s="113">
        <f t="shared" si="139"/>
        <v>1150423.4919999999</v>
      </c>
      <c r="U242" s="557">
        <f t="shared" si="139"/>
        <v>0</v>
      </c>
    </row>
    <row r="243" spans="1:21" s="552" customFormat="1" ht="15" hidden="1" customHeight="1">
      <c r="A243" s="621"/>
      <c r="B243" s="622" t="s">
        <v>501</v>
      </c>
      <c r="C243" s="558" t="str">
        <f ca="1">C242</f>
        <v xml:space="preserve"> </v>
      </c>
      <c r="D243" s="553"/>
      <c r="E243" s="694" t="str">
        <f>VLOOKUP($B243,dongia1,DG!$C$5,)</f>
        <v>Đắp đất hố móng, đất cấp 3 (độ chặt k = 0.85)</v>
      </c>
      <c r="F243" s="555" t="str">
        <f>VLOOKUP($B243,dongia1,DG!$D$5,)</f>
        <v>m3</v>
      </c>
      <c r="G243" s="205">
        <v>4.34</v>
      </c>
      <c r="H243" s="556">
        <f t="shared" ca="1" si="140"/>
        <v>0</v>
      </c>
      <c r="I243" s="556">
        <f t="shared" ca="1" si="140"/>
        <v>0</v>
      </c>
      <c r="J243" s="556">
        <f t="shared" ca="1" si="140"/>
        <v>0</v>
      </c>
      <c r="K243" s="556">
        <f t="shared" ca="1" si="140"/>
        <v>0</v>
      </c>
      <c r="L243" s="556">
        <f ca="1">L$238*$G243</f>
        <v>0</v>
      </c>
      <c r="M243" s="556">
        <f t="shared" ca="1" si="140"/>
        <v>0</v>
      </c>
      <c r="N243" s="556">
        <f t="shared" ca="1" si="140"/>
        <v>0</v>
      </c>
      <c r="O243" s="556">
        <f t="shared" si="140"/>
        <v>0</v>
      </c>
      <c r="P243" s="554"/>
      <c r="Q243" s="182">
        <f>VLOOKUP($B243,dongia1,DG!$G$5,)</f>
        <v>117703.6</v>
      </c>
      <c r="R243" s="554"/>
      <c r="S243" s="113">
        <f t="shared" si="139"/>
        <v>0</v>
      </c>
      <c r="T243" s="113">
        <f t="shared" si="139"/>
        <v>510833.62400000001</v>
      </c>
      <c r="U243" s="557">
        <f t="shared" si="139"/>
        <v>0</v>
      </c>
    </row>
    <row r="244" spans="1:21" s="552" customFormat="1" ht="15" hidden="1" customHeight="1">
      <c r="A244" s="621" t="s">
        <v>1704</v>
      </c>
      <c r="B244" s="622"/>
      <c r="C244" s="558" t="str">
        <f ca="1">IF(H244&lt;&gt;0,"x"," ")</f>
        <v xml:space="preserve"> </v>
      </c>
      <c r="D244" s="553"/>
      <c r="E244" s="727" t="s">
        <v>3515</v>
      </c>
      <c r="F244" s="600" t="s">
        <v>3391</v>
      </c>
      <c r="G244" s="205"/>
      <c r="H244" s="556">
        <f ca="1">SUM(I244:N244)</f>
        <v>0</v>
      </c>
      <c r="I244" s="556">
        <f ca="1">SUMIF(mong3pm,chitiet!$A244,slmong3pm)</f>
        <v>0</v>
      </c>
      <c r="J244" s="556">
        <f ca="1">SUMIF(mongct,chitiet!$A244,slmongct)</f>
        <v>0</v>
      </c>
      <c r="K244" s="556">
        <f ca="1">SUMIF(mong3p1m,chitiet!$A244,slmong3p1m)</f>
        <v>0</v>
      </c>
      <c r="L244" s="556">
        <f ca="1">SUMIF(mong1pm,chitiet!$A244,slmong1pm)</f>
        <v>0</v>
      </c>
      <c r="M244" s="556">
        <f ca="1">SUMIF(monghthh,chitiet!$A244,slmonghthh)</f>
        <v>0</v>
      </c>
      <c r="N244" s="556">
        <f ca="1">SUMIF(mongHTDL,chitiet!$A244,SLmongHTDL)</f>
        <v>0</v>
      </c>
      <c r="O244" s="556"/>
      <c r="P244" s="554"/>
      <c r="Q244" s="554"/>
      <c r="R244" s="554"/>
      <c r="S244" s="601">
        <f>SUM(S245:S248)</f>
        <v>1018390</v>
      </c>
      <c r="T244" s="601">
        <f>SUM(T245:T248)</f>
        <v>730596.03300000005</v>
      </c>
      <c r="U244" s="602">
        <f>SUM(U245:U248)</f>
        <v>0</v>
      </c>
    </row>
    <row r="245" spans="1:21" s="552" customFormat="1" ht="15" hidden="1" customHeight="1">
      <c r="A245" s="621"/>
      <c r="B245" s="622" t="s">
        <v>580</v>
      </c>
      <c r="C245" s="558" t="str">
        <f ca="1">C244</f>
        <v xml:space="preserve"> </v>
      </c>
      <c r="D245" s="553"/>
      <c r="E245" s="694" t="str">
        <f>VLOOKUP($B245,dongia1,DG!$C$5,)</f>
        <v>Đà cản BTCT 1,2m</v>
      </c>
      <c r="F245" s="555" t="str">
        <f>VLOOKUP($B245,dongia1,DG!$D$5,)</f>
        <v>cái</v>
      </c>
      <c r="G245" s="205">
        <v>2</v>
      </c>
      <c r="H245" s="556">
        <f ca="1">H$244*$G245</f>
        <v>0</v>
      </c>
      <c r="I245" s="556">
        <f t="shared" ref="I245:O245" ca="1" si="141">I$244*$G245</f>
        <v>0</v>
      </c>
      <c r="J245" s="556">
        <f t="shared" ca="1" si="141"/>
        <v>0</v>
      </c>
      <c r="K245" s="556">
        <f t="shared" ca="1" si="141"/>
        <v>0</v>
      </c>
      <c r="L245" s="556">
        <f t="shared" ca="1" si="141"/>
        <v>0</v>
      </c>
      <c r="M245" s="556">
        <f t="shared" ca="1" si="141"/>
        <v>0</v>
      </c>
      <c r="N245" s="556">
        <f t="shared" ca="1" si="141"/>
        <v>0</v>
      </c>
      <c r="O245" s="556">
        <f t="shared" si="141"/>
        <v>0</v>
      </c>
      <c r="P245" s="182">
        <f>VLOOKUP($B245,dongia1,DG!$F$5,)</f>
        <v>354545</v>
      </c>
      <c r="Q245" s="182">
        <f>VLOOKUP($B245,dongia1,DG!$G$5,)</f>
        <v>37220.25</v>
      </c>
      <c r="R245" s="554"/>
      <c r="S245" s="113">
        <f t="shared" ref="S245:U248" si="142">$G245*P245</f>
        <v>709090</v>
      </c>
      <c r="T245" s="113">
        <f t="shared" si="142"/>
        <v>74440.5</v>
      </c>
      <c r="U245" s="557">
        <f t="shared" si="142"/>
        <v>0</v>
      </c>
    </row>
    <row r="246" spans="1:21" s="552" customFormat="1" ht="15" hidden="1" customHeight="1">
      <c r="A246" s="621"/>
      <c r="B246" s="622" t="s">
        <v>1550</v>
      </c>
      <c r="C246" s="558" t="str">
        <f ca="1">C245</f>
        <v xml:space="preserve"> </v>
      </c>
      <c r="D246" s="553"/>
      <c r="E246" s="694" t="str">
        <f>VLOOKUP($B246,dongia1,DG!$C$5,)</f>
        <v>Boulon 22x750+ 2 long đền vuông D24-60x60x3/Zn</v>
      </c>
      <c r="F246" s="555" t="str">
        <f>VLOOKUP($B246,dongia1,DG!$D$5,)</f>
        <v>bộ</v>
      </c>
      <c r="G246" s="205">
        <v>3</v>
      </c>
      <c r="H246" s="556">
        <f t="shared" ref="H246:O248" ca="1" si="143">H$244*$G246</f>
        <v>0</v>
      </c>
      <c r="I246" s="556">
        <f t="shared" ca="1" si="143"/>
        <v>0</v>
      </c>
      <c r="J246" s="556">
        <f t="shared" ca="1" si="143"/>
        <v>0</v>
      </c>
      <c r="K246" s="556">
        <f t="shared" ca="1" si="143"/>
        <v>0</v>
      </c>
      <c r="L246" s="556">
        <f t="shared" ca="1" si="143"/>
        <v>0</v>
      </c>
      <c r="M246" s="556">
        <f t="shared" ca="1" si="143"/>
        <v>0</v>
      </c>
      <c r="N246" s="556">
        <f t="shared" ca="1" si="143"/>
        <v>0</v>
      </c>
      <c r="O246" s="556">
        <f t="shared" si="143"/>
        <v>0</v>
      </c>
      <c r="P246" s="182">
        <f>VLOOKUP($B246,dongia1,DG!$F$5,)</f>
        <v>103100</v>
      </c>
      <c r="Q246" s="554"/>
      <c r="R246" s="554"/>
      <c r="S246" s="113">
        <f t="shared" si="142"/>
        <v>309300</v>
      </c>
      <c r="T246" s="113">
        <f t="shared" si="142"/>
        <v>0</v>
      </c>
      <c r="U246" s="557">
        <f t="shared" si="142"/>
        <v>0</v>
      </c>
    </row>
    <row r="247" spans="1:21" s="552" customFormat="1" hidden="1">
      <c r="A247" s="621"/>
      <c r="B247" s="666" t="s">
        <v>4946</v>
      </c>
      <c r="C247" s="558" t="str">
        <f ca="1">C246</f>
        <v xml:space="preserve"> </v>
      </c>
      <c r="D247" s="553"/>
      <c r="E247" s="694" t="str">
        <f>VLOOKUP($B247,dongia1,DG!$C$5,)</f>
        <v>Đào hố móng kiểm tra đất cấp III rộng &lt;=1m, sâu &gt;1m</v>
      </c>
      <c r="F247" s="555" t="str">
        <f>VLOOKUP($B247,dongia1,DG!$D$5,)</f>
        <v>m3</v>
      </c>
      <c r="G247" s="205">
        <v>1.0900000000000001</v>
      </c>
      <c r="H247" s="556">
        <f t="shared" ca="1" si="143"/>
        <v>0</v>
      </c>
      <c r="I247" s="556">
        <f t="shared" ca="1" si="143"/>
        <v>0</v>
      </c>
      <c r="J247" s="556">
        <f t="shared" ca="1" si="143"/>
        <v>0</v>
      </c>
      <c r="K247" s="556">
        <f t="shared" ca="1" si="143"/>
        <v>0</v>
      </c>
      <c r="L247" s="556">
        <f t="shared" ca="1" si="143"/>
        <v>0</v>
      </c>
      <c r="M247" s="556">
        <f t="shared" ca="1" si="143"/>
        <v>0</v>
      </c>
      <c r="N247" s="556">
        <f t="shared" ca="1" si="143"/>
        <v>0</v>
      </c>
      <c r="O247" s="556">
        <f t="shared" si="143"/>
        <v>0</v>
      </c>
      <c r="P247" s="554"/>
      <c r="Q247" s="182">
        <f>VLOOKUP($B247,dongia1,DG!$G$5,)</f>
        <v>491832.89999999997</v>
      </c>
      <c r="R247" s="554"/>
      <c r="S247" s="113">
        <f t="shared" si="142"/>
        <v>0</v>
      </c>
      <c r="T247" s="113">
        <f t="shared" si="142"/>
        <v>536097.86100000003</v>
      </c>
      <c r="U247" s="557">
        <f t="shared" si="142"/>
        <v>0</v>
      </c>
    </row>
    <row r="248" spans="1:21" s="552" customFormat="1" ht="15" hidden="1" customHeight="1">
      <c r="A248" s="621"/>
      <c r="B248" s="622" t="s">
        <v>501</v>
      </c>
      <c r="C248" s="558" t="str">
        <f ca="1">C247</f>
        <v xml:space="preserve"> </v>
      </c>
      <c r="D248" s="553"/>
      <c r="E248" s="694" t="str">
        <f>VLOOKUP($B248,dongia1,DG!$C$5,)</f>
        <v>Đắp đất hố móng, đất cấp 3 (độ chặt k = 0.85)</v>
      </c>
      <c r="F248" s="555" t="str">
        <f>VLOOKUP($B248,dongia1,DG!$D$5,)</f>
        <v>m3</v>
      </c>
      <c r="G248" s="205">
        <v>1.02</v>
      </c>
      <c r="H248" s="556">
        <f t="shared" ca="1" si="143"/>
        <v>0</v>
      </c>
      <c r="I248" s="556">
        <f t="shared" ca="1" si="143"/>
        <v>0</v>
      </c>
      <c r="J248" s="556">
        <f t="shared" ca="1" si="143"/>
        <v>0</v>
      </c>
      <c r="K248" s="556">
        <f t="shared" ca="1" si="143"/>
        <v>0</v>
      </c>
      <c r="L248" s="556">
        <f t="shared" ca="1" si="143"/>
        <v>0</v>
      </c>
      <c r="M248" s="556">
        <f t="shared" ca="1" si="143"/>
        <v>0</v>
      </c>
      <c r="N248" s="556">
        <f t="shared" ca="1" si="143"/>
        <v>0</v>
      </c>
      <c r="O248" s="556">
        <f t="shared" si="143"/>
        <v>0</v>
      </c>
      <c r="P248" s="554"/>
      <c r="Q248" s="182">
        <f>VLOOKUP($B248,dongia1,DG!$G$5,)</f>
        <v>117703.6</v>
      </c>
      <c r="R248" s="554"/>
      <c r="S248" s="113">
        <f t="shared" si="142"/>
        <v>0</v>
      </c>
      <c r="T248" s="113">
        <f t="shared" si="142"/>
        <v>120057.67200000001</v>
      </c>
      <c r="U248" s="557">
        <f t="shared" si="142"/>
        <v>0</v>
      </c>
    </row>
    <row r="249" spans="1:21" s="552" customFormat="1" ht="15" hidden="1" customHeight="1">
      <c r="A249" s="621" t="s">
        <v>1774</v>
      </c>
      <c r="B249" s="622"/>
      <c r="C249" s="558" t="str">
        <f ca="1">IF(H249&lt;&gt;0,"x"," ")</f>
        <v xml:space="preserve"> </v>
      </c>
      <c r="D249" s="553"/>
      <c r="E249" s="727" t="s">
        <v>3516</v>
      </c>
      <c r="F249" s="600" t="s">
        <v>3391</v>
      </c>
      <c r="G249" s="205"/>
      <c r="H249" s="556">
        <f ca="1">SUM(I249:N249)</f>
        <v>0</v>
      </c>
      <c r="I249" s="556">
        <f ca="1">SUMIF(mong3pm,chitiet!$A249,slmong3pm)</f>
        <v>0</v>
      </c>
      <c r="J249" s="556">
        <f ca="1">SUMIF(mongct,chitiet!$A249,slmongct)</f>
        <v>0</v>
      </c>
      <c r="K249" s="556">
        <f ca="1">SUMIF(mong3p1m,chitiet!$A249,slmong3p1m)</f>
        <v>0</v>
      </c>
      <c r="L249" s="556">
        <f ca="1">SUMIF(mong1pm,chitiet!$A249,slmong1pm)</f>
        <v>0</v>
      </c>
      <c r="M249" s="556">
        <f ca="1">SUMIF(monghthh,chitiet!$A249,slmonghthh)</f>
        <v>0</v>
      </c>
      <c r="N249" s="556">
        <f ca="1">SUMIF(mongHTDL,chitiet!$A249,SLmongHTDL)</f>
        <v>0</v>
      </c>
      <c r="O249" s="556"/>
      <c r="P249" s="554"/>
      <c r="Q249" s="554"/>
      <c r="R249" s="554"/>
      <c r="S249" s="601">
        <f>SUM(S250:S253)</f>
        <v>1414000</v>
      </c>
      <c r="T249" s="601">
        <f>SUM(T250:T253)</f>
        <v>946616.86699999997</v>
      </c>
      <c r="U249" s="602">
        <f>SUM(U250:U253)</f>
        <v>0</v>
      </c>
    </row>
    <row r="250" spans="1:21" s="552" customFormat="1" ht="15" hidden="1" customHeight="1">
      <c r="A250" s="621"/>
      <c r="B250" s="622" t="s">
        <v>201</v>
      </c>
      <c r="C250" s="558" t="str">
        <f ca="1">C249</f>
        <v xml:space="preserve"> </v>
      </c>
      <c r="D250" s="553"/>
      <c r="E250" s="694" t="str">
        <f>VLOOKUP($B250,dongia1,DG!$C$5,)</f>
        <v>Đà cản BTCT 1,5m</v>
      </c>
      <c r="F250" s="555" t="str">
        <f>VLOOKUP($B250,dongia1,DG!$D$5,)</f>
        <v>cái</v>
      </c>
      <c r="G250" s="205">
        <v>2</v>
      </c>
      <c r="H250" s="556">
        <f ca="1">H$249*$G250</f>
        <v>0</v>
      </c>
      <c r="I250" s="556">
        <f t="shared" ref="I250:O250" ca="1" si="144">I$249*$G250</f>
        <v>0</v>
      </c>
      <c r="J250" s="556">
        <f t="shared" ca="1" si="144"/>
        <v>0</v>
      </c>
      <c r="K250" s="556">
        <f t="shared" ca="1" si="144"/>
        <v>0</v>
      </c>
      <c r="L250" s="556">
        <f t="shared" ca="1" si="144"/>
        <v>0</v>
      </c>
      <c r="M250" s="556">
        <f t="shared" ca="1" si="144"/>
        <v>0</v>
      </c>
      <c r="N250" s="556">
        <f t="shared" ca="1" si="144"/>
        <v>0</v>
      </c>
      <c r="O250" s="556">
        <f t="shared" si="144"/>
        <v>0</v>
      </c>
      <c r="P250" s="182">
        <f>VLOOKUP($B250,dongia1,DG!$F$5,)</f>
        <v>650000</v>
      </c>
      <c r="Q250" s="182">
        <f>VLOOKUP($B250,dongia1,DG!$G$5,)</f>
        <v>148724</v>
      </c>
      <c r="R250" s="554"/>
      <c r="S250" s="113">
        <f t="shared" ref="S250:U253" si="145">$G250*P250</f>
        <v>1300000</v>
      </c>
      <c r="T250" s="113">
        <f t="shared" si="145"/>
        <v>297448</v>
      </c>
      <c r="U250" s="557">
        <f t="shared" si="145"/>
        <v>0</v>
      </c>
    </row>
    <row r="251" spans="1:21" s="552" customFormat="1" ht="15" hidden="1" customHeight="1">
      <c r="A251" s="621"/>
      <c r="B251" s="622" t="s">
        <v>1552</v>
      </c>
      <c r="C251" s="558" t="str">
        <f ca="1">C250</f>
        <v xml:space="preserve"> </v>
      </c>
      <c r="D251" s="553"/>
      <c r="E251" s="694" t="str">
        <f>VLOOKUP($B251,dongia1,DG!$C$5,)</f>
        <v>Boulon 22x850+ 2 long đền vuông D24-60x60x3/Zn</v>
      </c>
      <c r="F251" s="555" t="str">
        <f>VLOOKUP($B251,dongia1,DG!$D$5,)</f>
        <v>bộ</v>
      </c>
      <c r="G251" s="205">
        <v>1</v>
      </c>
      <c r="H251" s="556">
        <f t="shared" ref="H251:O253" ca="1" si="146">H$249*$G251</f>
        <v>0</v>
      </c>
      <c r="I251" s="556">
        <f t="shared" ca="1" si="146"/>
        <v>0</v>
      </c>
      <c r="J251" s="556">
        <f t="shared" ca="1" si="146"/>
        <v>0</v>
      </c>
      <c r="K251" s="556">
        <f t="shared" ca="1" si="146"/>
        <v>0</v>
      </c>
      <c r="L251" s="556">
        <f t="shared" ca="1" si="146"/>
        <v>0</v>
      </c>
      <c r="M251" s="556">
        <f t="shared" ca="1" si="146"/>
        <v>0</v>
      </c>
      <c r="N251" s="556">
        <f t="shared" ca="1" si="146"/>
        <v>0</v>
      </c>
      <c r="O251" s="556">
        <f t="shared" si="146"/>
        <v>0</v>
      </c>
      <c r="P251" s="182">
        <f>VLOOKUP($B251,dongia1,DG!$F$5,)</f>
        <v>114000</v>
      </c>
      <c r="Q251" s="554"/>
      <c r="R251" s="554"/>
      <c r="S251" s="113">
        <f t="shared" si="145"/>
        <v>114000</v>
      </c>
      <c r="T251" s="113">
        <f t="shared" si="145"/>
        <v>0</v>
      </c>
      <c r="U251" s="557">
        <f t="shared" si="145"/>
        <v>0</v>
      </c>
    </row>
    <row r="252" spans="1:21" s="552" customFormat="1" ht="15" hidden="1" customHeight="1">
      <c r="A252" s="621"/>
      <c r="B252" s="622" t="s">
        <v>1645</v>
      </c>
      <c r="C252" s="558" t="str">
        <f ca="1">C251</f>
        <v xml:space="preserve"> </v>
      </c>
      <c r="D252" s="553"/>
      <c r="E252" s="694" t="str">
        <f>VLOOKUP($B252,dongia1,DG!$C$5,)</f>
        <v>Đào hố móng đất cấp 3 sâu &gt;1m DT&lt;5m2</v>
      </c>
      <c r="F252" s="555" t="str">
        <f>VLOOKUP($B252,dongia1,DG!$D$5,)</f>
        <v>m3</v>
      </c>
      <c r="G252" s="205">
        <v>1.59</v>
      </c>
      <c r="H252" s="556">
        <f t="shared" ca="1" si="146"/>
        <v>0</v>
      </c>
      <c r="I252" s="556">
        <f t="shared" ca="1" si="146"/>
        <v>0</v>
      </c>
      <c r="J252" s="556">
        <f t="shared" ca="1" si="146"/>
        <v>0</v>
      </c>
      <c r="K252" s="556">
        <f t="shared" ca="1" si="146"/>
        <v>0</v>
      </c>
      <c r="L252" s="556">
        <f t="shared" ca="1" si="146"/>
        <v>0</v>
      </c>
      <c r="M252" s="556">
        <f t="shared" ca="1" si="146"/>
        <v>0</v>
      </c>
      <c r="N252" s="556">
        <f t="shared" ca="1" si="146"/>
        <v>0</v>
      </c>
      <c r="O252" s="556">
        <f t="shared" si="146"/>
        <v>0</v>
      </c>
      <c r="P252" s="554"/>
      <c r="Q252" s="182">
        <f>VLOOKUP($B252,dongia1,DG!$G$5,)</f>
        <v>296500.89999999997</v>
      </c>
      <c r="R252" s="554"/>
      <c r="S252" s="113">
        <f t="shared" si="145"/>
        <v>0</v>
      </c>
      <c r="T252" s="113">
        <f t="shared" si="145"/>
        <v>471436.43099999998</v>
      </c>
      <c r="U252" s="557">
        <f t="shared" si="145"/>
        <v>0</v>
      </c>
    </row>
    <row r="253" spans="1:21" s="552" customFormat="1" ht="15" hidden="1" customHeight="1">
      <c r="A253" s="621"/>
      <c r="B253" s="622" t="s">
        <v>501</v>
      </c>
      <c r="C253" s="558" t="str">
        <f ca="1">C252</f>
        <v xml:space="preserve"> </v>
      </c>
      <c r="D253" s="553"/>
      <c r="E253" s="694" t="str">
        <f>VLOOKUP($B253,dongia1,DG!$C$5,)</f>
        <v>Đắp đất hố móng, đất cấp 3 (độ chặt k = 0.85)</v>
      </c>
      <c r="F253" s="555" t="str">
        <f>VLOOKUP($B253,dongia1,DG!$D$5,)</f>
        <v>m3</v>
      </c>
      <c r="G253" s="205">
        <v>1.51</v>
      </c>
      <c r="H253" s="556">
        <f t="shared" ca="1" si="146"/>
        <v>0</v>
      </c>
      <c r="I253" s="556">
        <f t="shared" ca="1" si="146"/>
        <v>0</v>
      </c>
      <c r="J253" s="556">
        <f t="shared" ca="1" si="146"/>
        <v>0</v>
      </c>
      <c r="K253" s="556">
        <f t="shared" ca="1" si="146"/>
        <v>0</v>
      </c>
      <c r="L253" s="556">
        <f t="shared" ca="1" si="146"/>
        <v>0</v>
      </c>
      <c r="M253" s="556">
        <f t="shared" ca="1" si="146"/>
        <v>0</v>
      </c>
      <c r="N253" s="556">
        <f t="shared" ca="1" si="146"/>
        <v>0</v>
      </c>
      <c r="O253" s="556">
        <f t="shared" si="146"/>
        <v>0</v>
      </c>
      <c r="P253" s="554"/>
      <c r="Q253" s="182">
        <f>VLOOKUP($B253,dongia1,DG!$G$5,)</f>
        <v>117703.6</v>
      </c>
      <c r="R253" s="554"/>
      <c r="S253" s="113">
        <f t="shared" si="145"/>
        <v>0</v>
      </c>
      <c r="T253" s="113">
        <f t="shared" si="145"/>
        <v>177732.43600000002</v>
      </c>
      <c r="U253" s="557">
        <f t="shared" si="145"/>
        <v>0</v>
      </c>
    </row>
    <row r="254" spans="1:21" s="552" customFormat="1" ht="15" hidden="1" customHeight="1">
      <c r="A254" s="621" t="s">
        <v>724</v>
      </c>
      <c r="B254" s="622"/>
      <c r="C254" s="558" t="str">
        <f ca="1">IF(H254&lt;&gt;0,"x"," ")</f>
        <v xml:space="preserve"> </v>
      </c>
      <c r="D254" s="553"/>
      <c r="E254" s="727" t="s">
        <v>3517</v>
      </c>
      <c r="F254" s="600" t="s">
        <v>3391</v>
      </c>
      <c r="G254" s="205"/>
      <c r="H254" s="556">
        <f ca="1">SUM(I254:N254)</f>
        <v>0</v>
      </c>
      <c r="I254" s="556">
        <f ca="1">SUMIF(mong3pm,chitiet!$A254,slmong3pm)</f>
        <v>0</v>
      </c>
      <c r="J254" s="556">
        <f ca="1">SUMIF(mongct,chitiet!$A254,slmongct)</f>
        <v>0</v>
      </c>
      <c r="K254" s="556">
        <f ca="1">SUMIF(mong3p1m,chitiet!$A254,slmong3p1m)</f>
        <v>0</v>
      </c>
      <c r="L254" s="556">
        <f ca="1">SUMIF(mong1pm,chitiet!$A254,slmong1pm)</f>
        <v>0</v>
      </c>
      <c r="M254" s="556">
        <f ca="1">SUMIF(monghthh,chitiet!$A254,slmonghthh)</f>
        <v>0</v>
      </c>
      <c r="N254" s="556">
        <f ca="1">SUMIF(mongHTDL,chitiet!$A254,SLmongHTDL)</f>
        <v>0</v>
      </c>
      <c r="O254" s="556"/>
      <c r="P254" s="554"/>
      <c r="Q254" s="554"/>
      <c r="R254" s="554"/>
      <c r="S254" s="601">
        <f>SUM(S255:S259)</f>
        <v>747600</v>
      </c>
      <c r="T254" s="601">
        <f>SUM(T255:T259)</f>
        <v>1139643.8049999999</v>
      </c>
      <c r="U254" s="602">
        <f>SUM(U255:U259)</f>
        <v>0</v>
      </c>
    </row>
    <row r="255" spans="1:21" s="552" customFormat="1" ht="15" hidden="1" customHeight="1">
      <c r="A255" s="621"/>
      <c r="B255" s="622" t="s">
        <v>201</v>
      </c>
      <c r="C255" s="558" t="str">
        <f ca="1">C254</f>
        <v xml:space="preserve"> </v>
      </c>
      <c r="D255" s="553"/>
      <c r="E255" s="694" t="str">
        <f>VLOOKUP($B255,dongia1,DG!$C$5,)</f>
        <v>Đà cản BTCT 1,5m</v>
      </c>
      <c r="F255" s="555" t="str">
        <f>VLOOKUP($B255,dongia1,DG!$D$5,)</f>
        <v>cái</v>
      </c>
      <c r="G255" s="205">
        <v>1</v>
      </c>
      <c r="H255" s="556">
        <f ca="1">H$254*$G255</f>
        <v>0</v>
      </c>
      <c r="I255" s="556">
        <f t="shared" ref="I255:O255" ca="1" si="147">I$254*$G255</f>
        <v>0</v>
      </c>
      <c r="J255" s="556">
        <f t="shared" ca="1" si="147"/>
        <v>0</v>
      </c>
      <c r="K255" s="556">
        <f t="shared" ca="1" si="147"/>
        <v>0</v>
      </c>
      <c r="L255" s="556">
        <f t="shared" ca="1" si="147"/>
        <v>0</v>
      </c>
      <c r="M255" s="556">
        <f t="shared" ca="1" si="147"/>
        <v>0</v>
      </c>
      <c r="N255" s="556">
        <f t="shared" ca="1" si="147"/>
        <v>0</v>
      </c>
      <c r="O255" s="556">
        <f t="shared" si="147"/>
        <v>0</v>
      </c>
      <c r="P255" s="182">
        <f>VLOOKUP($B255,dongia1,DG!$F$5,)</f>
        <v>650000</v>
      </c>
      <c r="Q255" s="182">
        <f>VLOOKUP($B255,dongia1,DG!$G$5,)</f>
        <v>148724</v>
      </c>
      <c r="R255" s="554"/>
      <c r="S255" s="113">
        <f t="shared" ref="S255:U259" si="148">$G255*P255</f>
        <v>650000</v>
      </c>
      <c r="T255" s="113">
        <f t="shared" si="148"/>
        <v>148724</v>
      </c>
      <c r="U255" s="557">
        <f t="shared" si="148"/>
        <v>0</v>
      </c>
    </row>
    <row r="256" spans="1:21" s="552" customFormat="1" ht="15" hidden="1" customHeight="1">
      <c r="A256" s="621"/>
      <c r="B256" s="622" t="s">
        <v>580</v>
      </c>
      <c r="C256" s="558" t="str">
        <f ca="1">C255</f>
        <v xml:space="preserve"> </v>
      </c>
      <c r="D256" s="553"/>
      <c r="E256" s="694" t="str">
        <f>VLOOKUP($B256,dongia1,DG!$C$5,)&amp;" hieän höõu"</f>
        <v>Đà cản BTCT 1,2m hieän höõu</v>
      </c>
      <c r="F256" s="555" t="str">
        <f>VLOOKUP($B256,dongia1,DG!$D$5,)</f>
        <v>cái</v>
      </c>
      <c r="G256" s="205">
        <v>2</v>
      </c>
      <c r="H256" s="556">
        <f t="shared" ref="H256:O259" ca="1" si="149">H$254*$G256</f>
        <v>0</v>
      </c>
      <c r="I256" s="556">
        <f t="shared" ca="1" si="149"/>
        <v>0</v>
      </c>
      <c r="J256" s="556">
        <f t="shared" ca="1" si="149"/>
        <v>0</v>
      </c>
      <c r="K256" s="556">
        <f t="shared" ca="1" si="149"/>
        <v>0</v>
      </c>
      <c r="L256" s="556">
        <f t="shared" ca="1" si="149"/>
        <v>0</v>
      </c>
      <c r="M256" s="556">
        <f t="shared" ca="1" si="149"/>
        <v>0</v>
      </c>
      <c r="N256" s="556">
        <f t="shared" ca="1" si="149"/>
        <v>0</v>
      </c>
      <c r="O256" s="556">
        <f t="shared" si="149"/>
        <v>0</v>
      </c>
      <c r="P256" s="182"/>
      <c r="Q256" s="182">
        <f>VLOOKUP($B256,dongia1,DG!$G$5,)</f>
        <v>37220.25</v>
      </c>
      <c r="R256" s="554"/>
      <c r="S256" s="113">
        <f t="shared" si="148"/>
        <v>0</v>
      </c>
      <c r="T256" s="113">
        <f t="shared" si="148"/>
        <v>74440.5</v>
      </c>
      <c r="U256" s="557">
        <f t="shared" si="148"/>
        <v>0</v>
      </c>
    </row>
    <row r="257" spans="1:21" s="552" customFormat="1" ht="15" hidden="1" customHeight="1">
      <c r="A257" s="621"/>
      <c r="B257" s="622" t="s">
        <v>870</v>
      </c>
      <c r="C257" s="558" t="str">
        <f ca="1">C255</f>
        <v xml:space="preserve"> </v>
      </c>
      <c r="D257" s="553"/>
      <c r="E257" s="694" t="str">
        <f>VLOOKUP($B257,dongia1,DG!$C$5,)</f>
        <v>Boulon 22x700+ 2 long đền vuông D24-60x60x3/Zn</v>
      </c>
      <c r="F257" s="555" t="str">
        <f>VLOOKUP($B257,dongia1,DG!$D$5,)</f>
        <v>bộ</v>
      </c>
      <c r="G257" s="205">
        <v>1</v>
      </c>
      <c r="H257" s="556">
        <f t="shared" ca="1" si="149"/>
        <v>0</v>
      </c>
      <c r="I257" s="556">
        <f t="shared" ca="1" si="149"/>
        <v>0</v>
      </c>
      <c r="J257" s="556">
        <f t="shared" ca="1" si="149"/>
        <v>0</v>
      </c>
      <c r="K257" s="556">
        <f t="shared" ca="1" si="149"/>
        <v>0</v>
      </c>
      <c r="L257" s="556">
        <f t="shared" ca="1" si="149"/>
        <v>0</v>
      </c>
      <c r="M257" s="556">
        <f t="shared" ca="1" si="149"/>
        <v>0</v>
      </c>
      <c r="N257" s="556">
        <f t="shared" ca="1" si="149"/>
        <v>0</v>
      </c>
      <c r="O257" s="556">
        <f t="shared" si="149"/>
        <v>0</v>
      </c>
      <c r="P257" s="182">
        <f>VLOOKUP($B257,dongia1,DG!$F$5,)</f>
        <v>97600</v>
      </c>
      <c r="Q257" s="554"/>
      <c r="R257" s="554"/>
      <c r="S257" s="113">
        <f t="shared" si="148"/>
        <v>97600</v>
      </c>
      <c r="T257" s="113">
        <f t="shared" si="148"/>
        <v>0</v>
      </c>
      <c r="U257" s="557">
        <f t="shared" si="148"/>
        <v>0</v>
      </c>
    </row>
    <row r="258" spans="1:21" s="552" customFormat="1" ht="15" hidden="1" customHeight="1">
      <c r="A258" s="621"/>
      <c r="B258" s="622" t="s">
        <v>1645</v>
      </c>
      <c r="C258" s="558" t="str">
        <f ca="1">C257</f>
        <v xml:space="preserve"> </v>
      </c>
      <c r="D258" s="553"/>
      <c r="E258" s="694" t="str">
        <f>VLOOKUP($B258,dongia1,DG!$C$5,)</f>
        <v>Đào hố móng đất cấp 3 sâu &gt;1m DT&lt;5m2</v>
      </c>
      <c r="F258" s="555" t="str">
        <f>VLOOKUP($B258,dongia1,DG!$D$5,)</f>
        <v>m3</v>
      </c>
      <c r="G258" s="205">
        <v>2.17</v>
      </c>
      <c r="H258" s="556">
        <f t="shared" ca="1" si="149"/>
        <v>0</v>
      </c>
      <c r="I258" s="556">
        <f t="shared" ca="1" si="149"/>
        <v>0</v>
      </c>
      <c r="J258" s="556">
        <f t="shared" ca="1" si="149"/>
        <v>0</v>
      </c>
      <c r="K258" s="556">
        <f t="shared" ca="1" si="149"/>
        <v>0</v>
      </c>
      <c r="L258" s="556">
        <f t="shared" ca="1" si="149"/>
        <v>0</v>
      </c>
      <c r="M258" s="556">
        <f t="shared" ca="1" si="149"/>
        <v>0</v>
      </c>
      <c r="N258" s="556">
        <f t="shared" ca="1" si="149"/>
        <v>0</v>
      </c>
      <c r="O258" s="556">
        <f t="shared" si="149"/>
        <v>0</v>
      </c>
      <c r="P258" s="554"/>
      <c r="Q258" s="182">
        <f>VLOOKUP($B258,dongia1,DG!$G$5,)</f>
        <v>296500.89999999997</v>
      </c>
      <c r="R258" s="554"/>
      <c r="S258" s="113">
        <f t="shared" si="148"/>
        <v>0</v>
      </c>
      <c r="T258" s="113">
        <f t="shared" si="148"/>
        <v>643406.95299999986</v>
      </c>
      <c r="U258" s="557">
        <f t="shared" si="148"/>
        <v>0</v>
      </c>
    </row>
    <row r="259" spans="1:21" s="552" customFormat="1" ht="15" hidden="1" customHeight="1">
      <c r="A259" s="621"/>
      <c r="B259" s="622" t="s">
        <v>501</v>
      </c>
      <c r="C259" s="558" t="str">
        <f ca="1">C258</f>
        <v xml:space="preserve"> </v>
      </c>
      <c r="D259" s="553"/>
      <c r="E259" s="694" t="str">
        <f>VLOOKUP($B259,dongia1,DG!$C$5,)</f>
        <v>Đắp đất hố móng, đất cấp 3 (độ chặt k = 0.85)</v>
      </c>
      <c r="F259" s="555" t="str">
        <f>VLOOKUP($B259,dongia1,DG!$D$5,)</f>
        <v>m3</v>
      </c>
      <c r="G259" s="205">
        <v>2.3199999999999998</v>
      </c>
      <c r="H259" s="556">
        <f t="shared" ca="1" si="149"/>
        <v>0</v>
      </c>
      <c r="I259" s="556">
        <f t="shared" ca="1" si="149"/>
        <v>0</v>
      </c>
      <c r="J259" s="556">
        <f t="shared" ca="1" si="149"/>
        <v>0</v>
      </c>
      <c r="K259" s="556">
        <f t="shared" ca="1" si="149"/>
        <v>0</v>
      </c>
      <c r="L259" s="556">
        <f t="shared" ca="1" si="149"/>
        <v>0</v>
      </c>
      <c r="M259" s="556">
        <f t="shared" ca="1" si="149"/>
        <v>0</v>
      </c>
      <c r="N259" s="556">
        <f t="shared" ca="1" si="149"/>
        <v>0</v>
      </c>
      <c r="O259" s="556">
        <f t="shared" si="149"/>
        <v>0</v>
      </c>
      <c r="P259" s="554"/>
      <c r="Q259" s="182">
        <f>VLOOKUP($B259,dongia1,DG!$G$5,)</f>
        <v>117703.6</v>
      </c>
      <c r="R259" s="554"/>
      <c r="S259" s="113">
        <f t="shared" si="148"/>
        <v>0</v>
      </c>
      <c r="T259" s="113">
        <f t="shared" si="148"/>
        <v>273072.35200000001</v>
      </c>
      <c r="U259" s="557">
        <f t="shared" si="148"/>
        <v>0</v>
      </c>
    </row>
    <row r="260" spans="1:21" s="552" customFormat="1" ht="15" hidden="1" customHeight="1">
      <c r="A260" s="621" t="s">
        <v>339</v>
      </c>
      <c r="B260" s="622"/>
      <c r="C260" s="558" t="str">
        <f ca="1">IF(H260&lt;&gt;0,"x"," ")</f>
        <v xml:space="preserve"> </v>
      </c>
      <c r="D260" s="553"/>
      <c r="E260" s="727" t="s">
        <v>3518</v>
      </c>
      <c r="F260" s="600" t="s">
        <v>3391</v>
      </c>
      <c r="G260" s="205"/>
      <c r="H260" s="556">
        <f ca="1">SUM(I260:N260)</f>
        <v>0</v>
      </c>
      <c r="I260" s="556">
        <f ca="1">SUMIF(mong3pm,chitiet!$A260,slmong3pm)</f>
        <v>0</v>
      </c>
      <c r="J260" s="556">
        <f ca="1">SUMIF(mongct,chitiet!$A260,slmongct)</f>
        <v>0</v>
      </c>
      <c r="K260" s="556">
        <f ca="1">SUMIF(mong3p1m,chitiet!$A260,slmong3p1m)</f>
        <v>0</v>
      </c>
      <c r="L260" s="556">
        <f ca="1">SUMIF(mong1pm,chitiet!$A260,slmong1pm)</f>
        <v>0</v>
      </c>
      <c r="M260" s="556">
        <f ca="1">SUMIF(monghthh,chitiet!$A260,slmonghthh)</f>
        <v>0</v>
      </c>
      <c r="N260" s="556">
        <f ca="1">SUMIF(mongHTDL,chitiet!$A260,SLmongHTDL)</f>
        <v>0</v>
      </c>
      <c r="O260" s="556"/>
      <c r="P260" s="554"/>
      <c r="Q260" s="554"/>
      <c r="R260" s="554"/>
      <c r="S260" s="601">
        <f>SUM(S261:S265)</f>
        <v>845200</v>
      </c>
      <c r="T260" s="601">
        <f>SUM(T261:T265)</f>
        <v>2178596.4869999997</v>
      </c>
      <c r="U260" s="602">
        <f>SUM(U261:U265)</f>
        <v>0</v>
      </c>
    </row>
    <row r="261" spans="1:21" s="552" customFormat="1" ht="15" hidden="1" customHeight="1">
      <c r="A261" s="621"/>
      <c r="B261" s="622" t="s">
        <v>201</v>
      </c>
      <c r="C261" s="558" t="str">
        <f ca="1">C260</f>
        <v xml:space="preserve"> </v>
      </c>
      <c r="D261" s="553"/>
      <c r="E261" s="694" t="str">
        <f>VLOOKUP($B261,dongia1,DG!$C$5,)</f>
        <v>Đà cản BTCT 1,5m</v>
      </c>
      <c r="F261" s="555" t="str">
        <f>VLOOKUP($B261,dongia1,DG!$D$5,)</f>
        <v>cái</v>
      </c>
      <c r="G261" s="205">
        <v>1</v>
      </c>
      <c r="H261" s="556">
        <f ca="1">H$260*$G261</f>
        <v>0</v>
      </c>
      <c r="I261" s="556">
        <f t="shared" ref="I261:O261" ca="1" si="150">I$260*$G261</f>
        <v>0</v>
      </c>
      <c r="J261" s="556">
        <f t="shared" ca="1" si="150"/>
        <v>0</v>
      </c>
      <c r="K261" s="556">
        <f t="shared" ca="1" si="150"/>
        <v>0</v>
      </c>
      <c r="L261" s="556">
        <f t="shared" ca="1" si="150"/>
        <v>0</v>
      </c>
      <c r="M261" s="556">
        <f t="shared" ca="1" si="150"/>
        <v>0</v>
      </c>
      <c r="N261" s="556">
        <f t="shared" ca="1" si="150"/>
        <v>0</v>
      </c>
      <c r="O261" s="556">
        <f t="shared" si="150"/>
        <v>0</v>
      </c>
      <c r="P261" s="182">
        <f>VLOOKUP($B261,dongia1,DG!$F$5,)</f>
        <v>650000</v>
      </c>
      <c r="Q261" s="182">
        <f>VLOOKUP($B261,dongia1,DG!$G$5,)</f>
        <v>148724</v>
      </c>
      <c r="R261" s="554"/>
      <c r="S261" s="113">
        <f t="shared" ref="S261:U265" si="151">$G261*P261</f>
        <v>650000</v>
      </c>
      <c r="T261" s="113">
        <f t="shared" si="151"/>
        <v>148724</v>
      </c>
      <c r="U261" s="557">
        <f t="shared" si="151"/>
        <v>0</v>
      </c>
    </row>
    <row r="262" spans="1:21" s="552" customFormat="1" ht="15" hidden="1" customHeight="1">
      <c r="A262" s="621"/>
      <c r="B262" s="622" t="s">
        <v>580</v>
      </c>
      <c r="C262" s="558" t="str">
        <f ca="1">C261</f>
        <v xml:space="preserve"> </v>
      </c>
      <c r="D262" s="553"/>
      <c r="E262" s="694" t="str">
        <f>VLOOKUP($B262,dongia1,DG!$C$5,)&amp;" hieän höõu"</f>
        <v>Đà cản BTCT 1,2m hieän höõu</v>
      </c>
      <c r="F262" s="555" t="str">
        <f>VLOOKUP($B262,dongia1,DG!$D$5,)</f>
        <v>cái</v>
      </c>
      <c r="G262" s="205">
        <v>2</v>
      </c>
      <c r="H262" s="556">
        <f t="shared" ref="H262:O265" ca="1" si="152">H$260*$G262</f>
        <v>0</v>
      </c>
      <c r="I262" s="556">
        <f t="shared" ca="1" si="152"/>
        <v>0</v>
      </c>
      <c r="J262" s="556">
        <f t="shared" ca="1" si="152"/>
        <v>0</v>
      </c>
      <c r="K262" s="556">
        <f t="shared" ca="1" si="152"/>
        <v>0</v>
      </c>
      <c r="L262" s="556">
        <f t="shared" ca="1" si="152"/>
        <v>0</v>
      </c>
      <c r="M262" s="556">
        <f t="shared" ca="1" si="152"/>
        <v>0</v>
      </c>
      <c r="N262" s="556">
        <f t="shared" ca="1" si="152"/>
        <v>0</v>
      </c>
      <c r="O262" s="556">
        <f t="shared" si="152"/>
        <v>0</v>
      </c>
      <c r="P262" s="182"/>
      <c r="Q262" s="182">
        <f>VLOOKUP($B262,dongia1,DG!$G$5,)</f>
        <v>37220.25</v>
      </c>
      <c r="R262" s="554"/>
      <c r="S262" s="113">
        <f t="shared" si="151"/>
        <v>0</v>
      </c>
      <c r="T262" s="113">
        <f t="shared" si="151"/>
        <v>74440.5</v>
      </c>
      <c r="U262" s="557">
        <f t="shared" si="151"/>
        <v>0</v>
      </c>
    </row>
    <row r="263" spans="1:21" s="552" customFormat="1" ht="15" hidden="1" customHeight="1">
      <c r="A263" s="621"/>
      <c r="B263" s="622" t="s">
        <v>870</v>
      </c>
      <c r="C263" s="558" t="str">
        <f ca="1">C261</f>
        <v xml:space="preserve"> </v>
      </c>
      <c r="D263" s="553"/>
      <c r="E263" s="694" t="str">
        <f>VLOOKUP($B263,dongia1,DG!$C$5,)</f>
        <v>Boulon 22x700+ 2 long đền vuông D24-60x60x3/Zn</v>
      </c>
      <c r="F263" s="555" t="str">
        <f>VLOOKUP($B263,dongia1,DG!$D$5,)</f>
        <v>bộ</v>
      </c>
      <c r="G263" s="205">
        <v>2</v>
      </c>
      <c r="H263" s="556">
        <f t="shared" ca="1" si="152"/>
        <v>0</v>
      </c>
      <c r="I263" s="556">
        <f t="shared" ca="1" si="152"/>
        <v>0</v>
      </c>
      <c r="J263" s="556">
        <f t="shared" ca="1" si="152"/>
        <v>0</v>
      </c>
      <c r="K263" s="556">
        <f t="shared" ca="1" si="152"/>
        <v>0</v>
      </c>
      <c r="L263" s="556">
        <f t="shared" ca="1" si="152"/>
        <v>0</v>
      </c>
      <c r="M263" s="556">
        <f t="shared" ca="1" si="152"/>
        <v>0</v>
      </c>
      <c r="N263" s="556">
        <f t="shared" ca="1" si="152"/>
        <v>0</v>
      </c>
      <c r="O263" s="556">
        <f t="shared" si="152"/>
        <v>0</v>
      </c>
      <c r="P263" s="182">
        <f>VLOOKUP($B263,dongia1,DG!$F$5,)</f>
        <v>97600</v>
      </c>
      <c r="Q263" s="554"/>
      <c r="R263" s="554"/>
      <c r="S263" s="113">
        <f t="shared" si="151"/>
        <v>195200</v>
      </c>
      <c r="T263" s="113">
        <f t="shared" si="151"/>
        <v>0</v>
      </c>
      <c r="U263" s="557">
        <f t="shared" si="151"/>
        <v>0</v>
      </c>
    </row>
    <row r="264" spans="1:21" s="552" customFormat="1" ht="15" hidden="1" customHeight="1">
      <c r="A264" s="621"/>
      <c r="B264" s="622" t="s">
        <v>1645</v>
      </c>
      <c r="C264" s="558" t="str">
        <f ca="1">C263</f>
        <v xml:space="preserve"> </v>
      </c>
      <c r="D264" s="553"/>
      <c r="E264" s="694" t="str">
        <f>VLOOKUP($B264,dongia1,DG!$C$5,)</f>
        <v>Đào hố móng đất cấp 3 sâu &gt;1m DT&lt;5m2</v>
      </c>
      <c r="F264" s="555" t="str">
        <f>VLOOKUP($B264,dongia1,DG!$D$5,)</f>
        <v>m3</v>
      </c>
      <c r="G264" s="205">
        <v>4.63</v>
      </c>
      <c r="H264" s="556">
        <f t="shared" ca="1" si="152"/>
        <v>0</v>
      </c>
      <c r="I264" s="556">
        <f t="shared" ca="1" si="152"/>
        <v>0</v>
      </c>
      <c r="J264" s="556">
        <f t="shared" ca="1" si="152"/>
        <v>0</v>
      </c>
      <c r="K264" s="556">
        <f t="shared" ca="1" si="152"/>
        <v>0</v>
      </c>
      <c r="L264" s="556">
        <f t="shared" ca="1" si="152"/>
        <v>0</v>
      </c>
      <c r="M264" s="556">
        <f t="shared" ca="1" si="152"/>
        <v>0</v>
      </c>
      <c r="N264" s="556">
        <f t="shared" ca="1" si="152"/>
        <v>0</v>
      </c>
      <c r="O264" s="556">
        <f t="shared" si="152"/>
        <v>0</v>
      </c>
      <c r="P264" s="554"/>
      <c r="Q264" s="182">
        <f>VLOOKUP($B264,dongia1,DG!$G$5,)</f>
        <v>296500.89999999997</v>
      </c>
      <c r="R264" s="554"/>
      <c r="S264" s="113">
        <f t="shared" si="151"/>
        <v>0</v>
      </c>
      <c r="T264" s="113">
        <f t="shared" si="151"/>
        <v>1372799.1669999999</v>
      </c>
      <c r="U264" s="557">
        <f t="shared" si="151"/>
        <v>0</v>
      </c>
    </row>
    <row r="265" spans="1:21" s="552" customFormat="1" ht="15" hidden="1" customHeight="1">
      <c r="A265" s="621"/>
      <c r="B265" s="622" t="s">
        <v>501</v>
      </c>
      <c r="C265" s="558" t="str">
        <f ca="1">C264</f>
        <v xml:space="preserve"> </v>
      </c>
      <c r="D265" s="553"/>
      <c r="E265" s="694" t="str">
        <f>VLOOKUP($B265,dongia1,DG!$C$5,)</f>
        <v>Đắp đất hố móng, đất cấp 3 (độ chặt k = 0.85)</v>
      </c>
      <c r="F265" s="555" t="str">
        <f>VLOOKUP($B265,dongia1,DG!$D$5,)</f>
        <v>m3</v>
      </c>
      <c r="G265" s="205">
        <v>4.95</v>
      </c>
      <c r="H265" s="556">
        <f t="shared" ca="1" si="152"/>
        <v>0</v>
      </c>
      <c r="I265" s="556">
        <f t="shared" ca="1" si="152"/>
        <v>0</v>
      </c>
      <c r="J265" s="556">
        <f t="shared" ca="1" si="152"/>
        <v>0</v>
      </c>
      <c r="K265" s="556">
        <f t="shared" ca="1" si="152"/>
        <v>0</v>
      </c>
      <c r="L265" s="556">
        <f t="shared" ca="1" si="152"/>
        <v>0</v>
      </c>
      <c r="M265" s="556">
        <f t="shared" ca="1" si="152"/>
        <v>0</v>
      </c>
      <c r="N265" s="556">
        <f t="shared" ca="1" si="152"/>
        <v>0</v>
      </c>
      <c r="O265" s="556">
        <f t="shared" si="152"/>
        <v>0</v>
      </c>
      <c r="P265" s="554"/>
      <c r="Q265" s="182">
        <f>VLOOKUP($B265,dongia1,DG!$G$5,)</f>
        <v>117703.6</v>
      </c>
      <c r="R265" s="554"/>
      <c r="S265" s="113">
        <f t="shared" si="151"/>
        <v>0</v>
      </c>
      <c r="T265" s="113">
        <f t="shared" si="151"/>
        <v>582632.82000000007</v>
      </c>
      <c r="U265" s="557">
        <f t="shared" si="151"/>
        <v>0</v>
      </c>
    </row>
    <row r="266" spans="1:21" s="858" customFormat="1" hidden="1">
      <c r="A266" s="847" t="s">
        <v>3735</v>
      </c>
      <c r="B266" s="848"/>
      <c r="C266" s="849" t="str">
        <f ca="1">IF(H266&lt;&gt;0,"x"," ")</f>
        <v xml:space="preserve"> </v>
      </c>
      <c r="D266" s="850"/>
      <c r="E266" s="851" t="s">
        <v>3519</v>
      </c>
      <c r="F266" s="852" t="s">
        <v>3391</v>
      </c>
      <c r="G266" s="853"/>
      <c r="H266" s="854">
        <f ca="1">SUM(I266:N266)</f>
        <v>0</v>
      </c>
      <c r="I266" s="854">
        <f ca="1">SUMIF(mong3pm,chitiet!$A266,slmong3pm)</f>
        <v>0</v>
      </c>
      <c r="J266" s="854">
        <f ca="1">SUMIF(mongct,chitiet!$A266,slmongct)</f>
        <v>0</v>
      </c>
      <c r="K266" s="854">
        <f ca="1">SUMIF(mong3p1m,chitiet!$A266,slmong3p1m)</f>
        <v>0</v>
      </c>
      <c r="L266" s="854">
        <f ca="1">SUMIF(mong1pm,chitiet!$A266,slmong1pm)</f>
        <v>0</v>
      </c>
      <c r="M266" s="854">
        <f ca="1">SUMIF(monghthh,chitiet!$A266,slmonghthh)</f>
        <v>0</v>
      </c>
      <c r="N266" s="854">
        <f ca="1">SUMIF(mongHTDL,chitiet!$A266,SLmongHTDL)</f>
        <v>0</v>
      </c>
      <c r="O266" s="854"/>
      <c r="P266" s="855"/>
      <c r="Q266" s="855"/>
      <c r="R266" s="855"/>
      <c r="S266" s="856">
        <f>SUM(S267:S269)</f>
        <v>0</v>
      </c>
      <c r="T266" s="856">
        <f>SUM(T267:T269)</f>
        <v>666973.18199999991</v>
      </c>
      <c r="U266" s="857">
        <f>SUM(U267:U269)</f>
        <v>0</v>
      </c>
    </row>
    <row r="267" spans="1:21" hidden="1">
      <c r="B267" s="696" t="s">
        <v>1322</v>
      </c>
      <c r="C267" s="631" t="str">
        <f ca="1">C266</f>
        <v xml:space="preserve"> </v>
      </c>
      <c r="D267" s="698"/>
      <c r="E267" s="699" t="str">
        <f>VLOOKUP($B267,dongia1,DG!$C$5,)</f>
        <v>Đào móng cột trụ, hố kiểm tra đất cấp III rộng &lt;=1m, sâu &lt;=1m</v>
      </c>
      <c r="F267" s="700" t="str">
        <f>VLOOKUP($B267,dongia1,DG!$D$5,)</f>
        <v>m3</v>
      </c>
      <c r="G267" s="762">
        <v>0.5</v>
      </c>
      <c r="H267" s="701">
        <f ca="1">+H$266*$G267</f>
        <v>0</v>
      </c>
      <c r="I267" s="701">
        <f t="shared" ref="I267:O267" ca="1" si="153">+I$266*$G267</f>
        <v>0</v>
      </c>
      <c r="J267" s="701">
        <f t="shared" ca="1" si="153"/>
        <v>0</v>
      </c>
      <c r="K267" s="701">
        <f t="shared" ca="1" si="153"/>
        <v>0</v>
      </c>
      <c r="L267" s="701">
        <f t="shared" ca="1" si="153"/>
        <v>0</v>
      </c>
      <c r="M267" s="701">
        <f t="shared" ca="1" si="153"/>
        <v>0</v>
      </c>
      <c r="N267" s="701">
        <f t="shared" ca="1" si="153"/>
        <v>0</v>
      </c>
      <c r="O267" s="701">
        <f t="shared" si="153"/>
        <v>0</v>
      </c>
      <c r="P267" s="703"/>
      <c r="Q267" s="702">
        <f>VLOOKUP($B267,dongia1,DG!$G$5,)</f>
        <v>315693</v>
      </c>
      <c r="R267" s="703"/>
      <c r="S267" s="702">
        <f t="shared" ref="S267:U269" si="154">$G267*P267</f>
        <v>0</v>
      </c>
      <c r="T267" s="702">
        <f t="shared" si="154"/>
        <v>157846.5</v>
      </c>
      <c r="U267" s="704">
        <f t="shared" si="154"/>
        <v>0</v>
      </c>
    </row>
    <row r="268" spans="1:21" hidden="1">
      <c r="B268" s="696" t="s">
        <v>4792</v>
      </c>
      <c r="C268" s="631" t="str">
        <f ca="1">C267</f>
        <v xml:space="preserve"> </v>
      </c>
      <c r="D268" s="698"/>
      <c r="E268" s="699" t="str">
        <f>VLOOKUP($B268,dongia1,DG!$C$5,)</f>
        <v>Đào hố móng đá cấp 1 rộng &lt;=50m2 sâu 0,5m-3m</v>
      </c>
      <c r="F268" s="700" t="str">
        <f>VLOOKUP($B268,dongia1,DG!$D$5,)</f>
        <v>m3</v>
      </c>
      <c r="G268" s="762">
        <v>0.94</v>
      </c>
      <c r="H268" s="701">
        <f ca="1">+H$266*$G268</f>
        <v>0</v>
      </c>
      <c r="I268" s="701">
        <f t="shared" ref="I268:O269" ca="1" si="155">+I$266*$G268</f>
        <v>0</v>
      </c>
      <c r="J268" s="701">
        <f t="shared" ca="1" si="155"/>
        <v>0</v>
      </c>
      <c r="K268" s="701">
        <f t="shared" ca="1" si="155"/>
        <v>0</v>
      </c>
      <c r="L268" s="701">
        <f t="shared" ca="1" si="155"/>
        <v>0</v>
      </c>
      <c r="M268" s="701">
        <f t="shared" ca="1" si="155"/>
        <v>0</v>
      </c>
      <c r="N268" s="701">
        <f t="shared" ca="1" si="155"/>
        <v>0</v>
      </c>
      <c r="O268" s="701">
        <f t="shared" si="155"/>
        <v>0</v>
      </c>
      <c r="P268" s="703"/>
      <c r="Q268" s="702">
        <f>VLOOKUP($B268,dongia1,DG!$G$5,)</f>
        <v>416210</v>
      </c>
      <c r="R268" s="703"/>
      <c r="S268" s="702">
        <f t="shared" si="154"/>
        <v>0</v>
      </c>
      <c r="T268" s="702">
        <f t="shared" si="154"/>
        <v>391237.39999999997</v>
      </c>
      <c r="U268" s="704">
        <f t="shared" si="154"/>
        <v>0</v>
      </c>
    </row>
    <row r="269" spans="1:21" hidden="1">
      <c r="B269" s="696" t="s">
        <v>492</v>
      </c>
      <c r="C269" s="631" t="str">
        <f ca="1">C268</f>
        <v xml:space="preserve"> </v>
      </c>
      <c r="D269" s="698"/>
      <c r="E269" s="699" t="str">
        <f>VLOOKUP($B269,dongia1,DG!$C$5,)</f>
        <v>Đắp đất hố móng K=0,85</v>
      </c>
      <c r="F269" s="700" t="str">
        <f>VLOOKUP($B269,dongia1,DG!$D$5,)</f>
        <v>m3</v>
      </c>
      <c r="G269" s="1006">
        <v>1.2669999999999999</v>
      </c>
      <c r="H269" s="701">
        <f ca="1">+H$266*$G269</f>
        <v>0</v>
      </c>
      <c r="I269" s="701">
        <f t="shared" ca="1" si="155"/>
        <v>0</v>
      </c>
      <c r="J269" s="701">
        <f t="shared" ca="1" si="155"/>
        <v>0</v>
      </c>
      <c r="K269" s="701">
        <f t="shared" ca="1" si="155"/>
        <v>0</v>
      </c>
      <c r="L269" s="701">
        <f t="shared" ca="1" si="155"/>
        <v>0</v>
      </c>
      <c r="M269" s="701">
        <f t="shared" ca="1" si="155"/>
        <v>0</v>
      </c>
      <c r="N269" s="701">
        <f t="shared" ca="1" si="155"/>
        <v>0</v>
      </c>
      <c r="O269" s="701">
        <f t="shared" si="155"/>
        <v>0</v>
      </c>
      <c r="P269" s="703"/>
      <c r="Q269" s="702">
        <f>VLOOKUP($B269,dongia1,DG!$G$5,)</f>
        <v>93046</v>
      </c>
      <c r="R269" s="703"/>
      <c r="S269" s="702">
        <f t="shared" si="154"/>
        <v>0</v>
      </c>
      <c r="T269" s="702">
        <f t="shared" si="154"/>
        <v>117889.28199999999</v>
      </c>
      <c r="U269" s="704">
        <f t="shared" si="154"/>
        <v>0</v>
      </c>
    </row>
    <row r="270" spans="1:21" s="858" customFormat="1" hidden="1">
      <c r="A270" s="847" t="s">
        <v>4790</v>
      </c>
      <c r="B270" s="848"/>
      <c r="C270" s="849" t="str">
        <f ca="1">IF(H270&lt;&gt;0,"x"," ")</f>
        <v xml:space="preserve"> </v>
      </c>
      <c r="D270" s="850"/>
      <c r="E270" s="851" t="s">
        <v>4791</v>
      </c>
      <c r="F270" s="852" t="s">
        <v>3391</v>
      </c>
      <c r="G270" s="853"/>
      <c r="H270" s="854">
        <f ca="1">SUM(I270:N270)</f>
        <v>0</v>
      </c>
      <c r="I270" s="854">
        <f ca="1">SUMIF(mong3pm,chitiet!$A270,slmong3pm)</f>
        <v>0</v>
      </c>
      <c r="J270" s="854">
        <f ca="1">SUMIF(mongct,chitiet!$A270,slmongct)</f>
        <v>0</v>
      </c>
      <c r="K270" s="854">
        <f ca="1">SUMIF(mong3p1m,chitiet!$A270,slmong3p1m)</f>
        <v>0</v>
      </c>
      <c r="L270" s="854">
        <f ca="1">SUMIF(mong1pm,chitiet!$A270,slmong1pm)</f>
        <v>0</v>
      </c>
      <c r="M270" s="854">
        <f ca="1">SUMIF(monghthh,chitiet!$A270,slmonghthh)</f>
        <v>0</v>
      </c>
      <c r="N270" s="854">
        <f ca="1">SUMIF(mongHTDL,chitiet!$A270,SLmongHTDL)</f>
        <v>0</v>
      </c>
      <c r="O270" s="854"/>
      <c r="P270" s="855"/>
      <c r="Q270" s="855"/>
      <c r="R270" s="855"/>
      <c r="S270" s="856">
        <f>SUM(S271:S279)</f>
        <v>716281</v>
      </c>
      <c r="T270" s="856">
        <f>SUM(T271:T279)</f>
        <v>976258.94294999982</v>
      </c>
      <c r="U270" s="857">
        <f>SUM(U271:U279)</f>
        <v>0</v>
      </c>
    </row>
    <row r="271" spans="1:21" hidden="1">
      <c r="B271" s="696" t="s">
        <v>1728</v>
      </c>
      <c r="C271" s="631" t="str">
        <f ca="1">C270</f>
        <v xml:space="preserve"> </v>
      </c>
      <c r="D271" s="698"/>
      <c r="E271" s="699" t="str">
        <f>VLOOKUP($B271,dongia1,DG!$C$5,)</f>
        <v>Ximăng</v>
      </c>
      <c r="F271" s="700" t="str">
        <f>VLOOKUP($B271,dongia1,DG!$D$5,)</f>
        <v>kg</v>
      </c>
      <c r="G271" s="762">
        <f>ROUND(G279*246,1)</f>
        <v>179.8</v>
      </c>
      <c r="H271" s="701">
        <f ca="1">H$270*$G271</f>
        <v>0</v>
      </c>
      <c r="I271" s="701">
        <f t="shared" ref="I271:O271" ca="1" si="156">I$290*$G271</f>
        <v>0</v>
      </c>
      <c r="J271" s="701">
        <f t="shared" ca="1" si="156"/>
        <v>0</v>
      </c>
      <c r="K271" s="701">
        <f t="shared" ca="1" si="156"/>
        <v>0</v>
      </c>
      <c r="L271" s="701">
        <f t="shared" ca="1" si="156"/>
        <v>0</v>
      </c>
      <c r="M271" s="701">
        <f t="shared" ca="1" si="156"/>
        <v>0</v>
      </c>
      <c r="N271" s="701">
        <f t="shared" ca="1" si="156"/>
        <v>0</v>
      </c>
      <c r="O271" s="701">
        <f t="shared" si="156"/>
        <v>0</v>
      </c>
      <c r="P271" s="702">
        <f>VLOOKUP($B271,dongia1,DG!$F$5,)</f>
        <v>1740</v>
      </c>
      <c r="Q271" s="702">
        <f>VLOOKUP($B271,dongia1,DG!$G$5,)</f>
        <v>0</v>
      </c>
      <c r="R271" s="703"/>
      <c r="S271" s="702">
        <f t="shared" ref="S271:S279" si="157">$G271*P271</f>
        <v>312852</v>
      </c>
      <c r="T271" s="702">
        <f t="shared" ref="T271:T279" si="158">$G271*Q271</f>
        <v>0</v>
      </c>
      <c r="U271" s="704">
        <f t="shared" ref="U271:U279" si="159">$G271*R271</f>
        <v>0</v>
      </c>
    </row>
    <row r="272" spans="1:21" hidden="1">
      <c r="B272" s="696" t="s">
        <v>1729</v>
      </c>
      <c r="C272" s="631" t="str">
        <f ca="1">C271</f>
        <v xml:space="preserve"> </v>
      </c>
      <c r="D272" s="698"/>
      <c r="E272" s="699" t="str">
        <f>VLOOKUP($B272,dongia1,DG!$C$5,)</f>
        <v>Cát vàng</v>
      </c>
      <c r="F272" s="700" t="str">
        <f>VLOOKUP($B272,dongia1,DG!$D$5,)</f>
        <v>m3</v>
      </c>
      <c r="G272" s="762">
        <f>ROUND(G279*0.495,3)</f>
        <v>0.36199999999999999</v>
      </c>
      <c r="H272" s="701">
        <f ca="1">H$270*$G272</f>
        <v>0</v>
      </c>
      <c r="I272" s="701">
        <f t="shared" ref="I272:O279" ca="1" si="160">I$290*$G272</f>
        <v>0</v>
      </c>
      <c r="J272" s="701">
        <f t="shared" ca="1" si="160"/>
        <v>0</v>
      </c>
      <c r="K272" s="701">
        <f t="shared" ca="1" si="160"/>
        <v>0</v>
      </c>
      <c r="L272" s="701">
        <f t="shared" ca="1" si="160"/>
        <v>0</v>
      </c>
      <c r="M272" s="701">
        <f t="shared" ca="1" si="160"/>
        <v>0</v>
      </c>
      <c r="N272" s="701">
        <f t="shared" ca="1" si="160"/>
        <v>0</v>
      </c>
      <c r="O272" s="701">
        <f t="shared" si="160"/>
        <v>0</v>
      </c>
      <c r="P272" s="702">
        <f>VLOOKUP($B272,dongia1,DG!$F$5,)</f>
        <v>512000</v>
      </c>
      <c r="Q272" s="702">
        <f>VLOOKUP($B272,dongia1,DG!$G$5,)</f>
        <v>0</v>
      </c>
      <c r="R272" s="703"/>
      <c r="S272" s="702">
        <f t="shared" si="157"/>
        <v>185344</v>
      </c>
      <c r="T272" s="702">
        <f t="shared" si="158"/>
        <v>0</v>
      </c>
      <c r="U272" s="704">
        <f t="shared" si="159"/>
        <v>0</v>
      </c>
    </row>
    <row r="273" spans="1:21" hidden="1">
      <c r="A273" s="630" t="s">
        <v>312</v>
      </c>
      <c r="B273" s="696" t="s">
        <v>853</v>
      </c>
      <c r="C273" s="631" t="str">
        <f ca="1">C272</f>
        <v xml:space="preserve"> </v>
      </c>
      <c r="D273" s="698"/>
      <c r="E273" s="699" t="str">
        <f>VLOOKUP($B273,dongia1,DG!$C$5,)</f>
        <v>Đá 1x2</v>
      </c>
      <c r="F273" s="700" t="str">
        <f>VLOOKUP($B273,dongia1,DG!$D$5,)</f>
        <v>m3</v>
      </c>
      <c r="G273" s="762">
        <f>ROUND(G279*0.891,3)</f>
        <v>0.65100000000000002</v>
      </c>
      <c r="H273" s="701">
        <f ca="1">H$270*$G273</f>
        <v>0</v>
      </c>
      <c r="I273" s="701">
        <f t="shared" ca="1" si="160"/>
        <v>0</v>
      </c>
      <c r="J273" s="701">
        <f t="shared" ca="1" si="160"/>
        <v>0</v>
      </c>
      <c r="K273" s="701">
        <f t="shared" ca="1" si="160"/>
        <v>0</v>
      </c>
      <c r="L273" s="701">
        <f t="shared" ca="1" si="160"/>
        <v>0</v>
      </c>
      <c r="M273" s="701">
        <f t="shared" ca="1" si="160"/>
        <v>0</v>
      </c>
      <c r="N273" s="701">
        <f t="shared" ca="1" si="160"/>
        <v>0</v>
      </c>
      <c r="O273" s="701">
        <f t="shared" si="160"/>
        <v>0</v>
      </c>
      <c r="P273" s="702">
        <f>VLOOKUP($B273,dongia1,DG!$F$5,)</f>
        <v>335000</v>
      </c>
      <c r="Q273" s="702">
        <f>VLOOKUP($B273,dongia1,DG!$G$5,)</f>
        <v>0</v>
      </c>
      <c r="R273" s="703"/>
      <c r="S273" s="702">
        <f t="shared" si="157"/>
        <v>218085</v>
      </c>
      <c r="T273" s="702">
        <f t="shared" si="158"/>
        <v>0</v>
      </c>
      <c r="U273" s="704">
        <f t="shared" si="159"/>
        <v>0</v>
      </c>
    </row>
    <row r="274" spans="1:21" s="552" customFormat="1" ht="15" hidden="1" customHeight="1">
      <c r="A274" s="621"/>
      <c r="B274" s="622" t="s">
        <v>1614</v>
      </c>
      <c r="C274" s="558"/>
      <c r="D274" s="553"/>
      <c r="E274" s="694" t="str">
        <f>VLOOKUP($B274,dongia1,DG!$C$5,)</f>
        <v>Sắt   Þ10</v>
      </c>
      <c r="F274" s="555" t="str">
        <f>VLOOKUP($B274,dongia1,DG!$D$5,)</f>
        <v>kg</v>
      </c>
      <c r="G274" s="205">
        <f>30.18*0</f>
        <v>0</v>
      </c>
      <c r="H274" s="556">
        <f ca="1">H$290*$G274*0</f>
        <v>0</v>
      </c>
      <c r="I274" s="556">
        <f t="shared" ca="1" si="160"/>
        <v>0</v>
      </c>
      <c r="J274" s="556">
        <f t="shared" ca="1" si="160"/>
        <v>0</v>
      </c>
      <c r="K274" s="556">
        <f t="shared" ca="1" si="160"/>
        <v>0</v>
      </c>
      <c r="L274" s="556">
        <f t="shared" ca="1" si="160"/>
        <v>0</v>
      </c>
      <c r="M274" s="556">
        <f t="shared" ca="1" si="160"/>
        <v>0</v>
      </c>
      <c r="N274" s="556">
        <f t="shared" ca="1" si="160"/>
        <v>0</v>
      </c>
      <c r="O274" s="556">
        <f t="shared" si="160"/>
        <v>0</v>
      </c>
      <c r="P274" s="182">
        <f>VLOOKUP($B274,dongia1,DG!$F$5,)*0</f>
        <v>0</v>
      </c>
      <c r="Q274" s="182">
        <f>VLOOKUP($B274,dongia1,DG!$G$5,)</f>
        <v>0</v>
      </c>
      <c r="R274" s="554"/>
      <c r="S274" s="113">
        <f t="shared" si="157"/>
        <v>0</v>
      </c>
      <c r="T274" s="113">
        <f t="shared" si="158"/>
        <v>0</v>
      </c>
      <c r="U274" s="557">
        <f t="shared" si="159"/>
        <v>0</v>
      </c>
    </row>
    <row r="275" spans="1:21" s="552" customFormat="1" ht="15" hidden="1" customHeight="1">
      <c r="A275" s="621" t="s">
        <v>312</v>
      </c>
      <c r="B275" s="622" t="s">
        <v>1615</v>
      </c>
      <c r="C275" s="558"/>
      <c r="D275" s="553"/>
      <c r="E275" s="694" t="str">
        <f>VLOOKUP($B275,dongia1,DG!$C$5,)</f>
        <v>Kẽm</v>
      </c>
      <c r="F275" s="555" t="str">
        <f>VLOOKUP($B275,dongia1,DG!$D$5,)</f>
        <v>kg</v>
      </c>
      <c r="G275" s="205">
        <f>0.65*0</f>
        <v>0</v>
      </c>
      <c r="H275" s="556">
        <f ca="1">H$290*$G275*0</f>
        <v>0</v>
      </c>
      <c r="I275" s="556">
        <f t="shared" ca="1" si="160"/>
        <v>0</v>
      </c>
      <c r="J275" s="556">
        <f t="shared" ca="1" si="160"/>
        <v>0</v>
      </c>
      <c r="K275" s="556">
        <f t="shared" ca="1" si="160"/>
        <v>0</v>
      </c>
      <c r="L275" s="556">
        <f t="shared" ca="1" si="160"/>
        <v>0</v>
      </c>
      <c r="M275" s="556">
        <f t="shared" ca="1" si="160"/>
        <v>0</v>
      </c>
      <c r="N275" s="556">
        <f t="shared" ca="1" si="160"/>
        <v>0</v>
      </c>
      <c r="O275" s="556">
        <f t="shared" si="160"/>
        <v>0</v>
      </c>
      <c r="P275" s="182">
        <f>VLOOKUP($B275,dongia1,DG!$F$5,)*0</f>
        <v>0</v>
      </c>
      <c r="Q275" s="182">
        <f>VLOOKUP($B275,dongia1,DG!$G$5,)</f>
        <v>0</v>
      </c>
      <c r="R275" s="554"/>
      <c r="S275" s="113">
        <f t="shared" si="157"/>
        <v>0</v>
      </c>
      <c r="T275" s="113">
        <f t="shared" si="158"/>
        <v>0</v>
      </c>
      <c r="U275" s="557">
        <f t="shared" si="159"/>
        <v>0</v>
      </c>
    </row>
    <row r="276" spans="1:21" hidden="1">
      <c r="B276" s="696" t="s">
        <v>1322</v>
      </c>
      <c r="C276" s="631" t="str">
        <f ca="1">C273</f>
        <v xml:space="preserve"> </v>
      </c>
      <c r="D276" s="698"/>
      <c r="E276" s="699" t="str">
        <f>VLOOKUP($B276,dongia1,DG!$C$5,)</f>
        <v>Đào móng cột trụ, hố kiểm tra đất cấp III rộng &lt;=1m, sâu &lt;=1m</v>
      </c>
      <c r="F276" s="700" t="str">
        <f>VLOOKUP($B276,dongia1,DG!$D$5,)</f>
        <v>m3</v>
      </c>
      <c r="G276" s="762">
        <v>0.5</v>
      </c>
      <c r="H276" s="701">
        <f ca="1">H$270*$G276</f>
        <v>0</v>
      </c>
      <c r="I276" s="701">
        <f t="shared" ca="1" si="160"/>
        <v>0</v>
      </c>
      <c r="J276" s="701">
        <f t="shared" ca="1" si="160"/>
        <v>0</v>
      </c>
      <c r="K276" s="701">
        <f t="shared" ca="1" si="160"/>
        <v>0</v>
      </c>
      <c r="L276" s="701">
        <f t="shared" ca="1" si="160"/>
        <v>0</v>
      </c>
      <c r="M276" s="701">
        <f t="shared" ca="1" si="160"/>
        <v>0</v>
      </c>
      <c r="N276" s="701">
        <f t="shared" ca="1" si="160"/>
        <v>0</v>
      </c>
      <c r="O276" s="701">
        <f t="shared" si="160"/>
        <v>0</v>
      </c>
      <c r="P276" s="702">
        <f>VLOOKUP($B276,dongia1,DG!$F$5,)</f>
        <v>0</v>
      </c>
      <c r="Q276" s="702">
        <f>VLOOKUP($B276,dongia1,DG!$G$5,)</f>
        <v>315693</v>
      </c>
      <c r="R276" s="703"/>
      <c r="S276" s="702">
        <f t="shared" si="157"/>
        <v>0</v>
      </c>
      <c r="T276" s="702">
        <f t="shared" si="158"/>
        <v>157846.5</v>
      </c>
      <c r="U276" s="930">
        <f t="shared" si="159"/>
        <v>0</v>
      </c>
    </row>
    <row r="277" spans="1:21" s="552" customFormat="1" ht="15" hidden="1" customHeight="1">
      <c r="A277" s="621"/>
      <c r="B277" s="622" t="s">
        <v>492</v>
      </c>
      <c r="C277" s="558" t="str">
        <f ca="1">C278</f>
        <v xml:space="preserve"> </v>
      </c>
      <c r="D277" s="553"/>
      <c r="E277" s="694" t="str">
        <f>VLOOKUP($B277,dongia1,DG!$C$5,)</f>
        <v>Đắp đất hố móng K=0,85</v>
      </c>
      <c r="F277" s="555" t="str">
        <f>VLOOKUP($B277,dongia1,DG!$D$5,)</f>
        <v>m3</v>
      </c>
      <c r="G277" s="205">
        <v>0.57399999999999995</v>
      </c>
      <c r="H277" s="701">
        <f ca="1">H$270*$G277</f>
        <v>0</v>
      </c>
      <c r="I277" s="556">
        <f t="shared" ca="1" si="160"/>
        <v>0</v>
      </c>
      <c r="J277" s="556">
        <f t="shared" ca="1" si="160"/>
        <v>0</v>
      </c>
      <c r="K277" s="556">
        <f t="shared" ca="1" si="160"/>
        <v>0</v>
      </c>
      <c r="L277" s="556">
        <f t="shared" ca="1" si="160"/>
        <v>0</v>
      </c>
      <c r="M277" s="556">
        <f t="shared" ca="1" si="160"/>
        <v>0</v>
      </c>
      <c r="N277" s="556">
        <f t="shared" ca="1" si="160"/>
        <v>0</v>
      </c>
      <c r="O277" s="556">
        <f t="shared" si="160"/>
        <v>0</v>
      </c>
      <c r="P277" s="182">
        <f>VLOOKUP($B277,dongia1,DG!$F$5,)</f>
        <v>0</v>
      </c>
      <c r="Q277" s="182">
        <f>VLOOKUP($B277,dongia1,DG!$G$5,)</f>
        <v>93046</v>
      </c>
      <c r="R277" s="554"/>
      <c r="S277" s="113">
        <f t="shared" si="157"/>
        <v>0</v>
      </c>
      <c r="T277" s="113">
        <f t="shared" si="158"/>
        <v>53408.403999999995</v>
      </c>
      <c r="U277" s="715">
        <f t="shared" si="159"/>
        <v>0</v>
      </c>
    </row>
    <row r="278" spans="1:21" hidden="1">
      <c r="B278" s="696" t="s">
        <v>4946</v>
      </c>
      <c r="C278" s="631" t="str">
        <f ca="1">C270</f>
        <v xml:space="preserve"> </v>
      </c>
      <c r="D278" s="698"/>
      <c r="E278" s="699" t="str">
        <f>VLOOKUP($B278,dongia1,DG!$C$5,)</f>
        <v>Đào hố móng kiểm tra đất cấp III rộng &lt;=1m, sâu &gt;1m</v>
      </c>
      <c r="F278" s="700" t="str">
        <f>VLOOKUP($B278,dongia1,DG!$D$5,)</f>
        <v>m3</v>
      </c>
      <c r="G278" s="762">
        <v>0.94</v>
      </c>
      <c r="H278" s="701">
        <f ca="1">H$270*$G278</f>
        <v>0</v>
      </c>
      <c r="I278" s="701">
        <f t="shared" ca="1" si="160"/>
        <v>0</v>
      </c>
      <c r="J278" s="701">
        <f t="shared" ca="1" si="160"/>
        <v>0</v>
      </c>
      <c r="K278" s="701">
        <f t="shared" ca="1" si="160"/>
        <v>0</v>
      </c>
      <c r="L278" s="701">
        <f t="shared" ca="1" si="160"/>
        <v>0</v>
      </c>
      <c r="M278" s="701">
        <f t="shared" ca="1" si="160"/>
        <v>0</v>
      </c>
      <c r="N278" s="701">
        <f t="shared" ca="1" si="160"/>
        <v>0</v>
      </c>
      <c r="O278" s="701">
        <f t="shared" si="160"/>
        <v>0</v>
      </c>
      <c r="P278" s="702"/>
      <c r="Q278" s="702">
        <f>VLOOKUP($B278,dongia1,DG!$G$5,)</f>
        <v>491832.89999999997</v>
      </c>
      <c r="R278" s="703"/>
      <c r="S278" s="702">
        <f t="shared" si="157"/>
        <v>0</v>
      </c>
      <c r="T278" s="702">
        <f t="shared" si="158"/>
        <v>462322.92599999992</v>
      </c>
      <c r="U278" s="704">
        <f t="shared" si="159"/>
        <v>0</v>
      </c>
    </row>
    <row r="279" spans="1:21" hidden="1">
      <c r="B279" s="696" t="s">
        <v>2065</v>
      </c>
      <c r="C279" s="631" t="str">
        <f ca="1">+C271</f>
        <v xml:space="preserve"> </v>
      </c>
      <c r="D279" s="698"/>
      <c r="E279" s="699" t="str">
        <f>VLOOKUP($B279,dongia1,DG!$C$5,)</f>
        <v>Đổ bê tông mác M150 đá 2x4 rộng &gt;250cm</v>
      </c>
      <c r="F279" s="700" t="str">
        <f>VLOOKUP($B279,dongia1,DG!$D$5,)</f>
        <v>m3</v>
      </c>
      <c r="G279" s="762">
        <v>0.73099999999999998</v>
      </c>
      <c r="H279" s="701">
        <f ca="1">H$270*$G279</f>
        <v>0</v>
      </c>
      <c r="I279" s="701">
        <f t="shared" ca="1" si="160"/>
        <v>0</v>
      </c>
      <c r="J279" s="701">
        <f t="shared" ca="1" si="160"/>
        <v>0</v>
      </c>
      <c r="K279" s="701">
        <f t="shared" ca="1" si="160"/>
        <v>0</v>
      </c>
      <c r="L279" s="701">
        <f t="shared" ca="1" si="160"/>
        <v>0</v>
      </c>
      <c r="M279" s="701">
        <f t="shared" ca="1" si="160"/>
        <v>0</v>
      </c>
      <c r="N279" s="701">
        <f t="shared" ca="1" si="160"/>
        <v>0</v>
      </c>
      <c r="O279" s="701">
        <f t="shared" si="160"/>
        <v>0</v>
      </c>
      <c r="P279" s="702"/>
      <c r="Q279" s="702">
        <f>VLOOKUP($B279,dongia1,DG!$G$5,)</f>
        <v>414064.45</v>
      </c>
      <c r="R279" s="703"/>
      <c r="S279" s="702">
        <f t="shared" si="157"/>
        <v>0</v>
      </c>
      <c r="T279" s="702">
        <f t="shared" si="158"/>
        <v>302681.11294999998</v>
      </c>
      <c r="U279" s="704">
        <f t="shared" si="159"/>
        <v>0</v>
      </c>
    </row>
    <row r="280" spans="1:21" s="858" customFormat="1" hidden="1">
      <c r="A280" s="847" t="s">
        <v>4789</v>
      </c>
      <c r="B280" s="848"/>
      <c r="C280" s="849" t="str">
        <f ca="1">IF(H280&lt;&gt;0,"x"," ")</f>
        <v xml:space="preserve"> </v>
      </c>
      <c r="D280" s="850"/>
      <c r="E280" s="851" t="s">
        <v>4917</v>
      </c>
      <c r="F280" s="852" t="s">
        <v>3391</v>
      </c>
      <c r="G280" s="853"/>
      <c r="H280" s="854">
        <f ca="1">SUM(I280:N280)</f>
        <v>0</v>
      </c>
      <c r="I280" s="854">
        <f ca="1">SUMIF(mong3pm,chitiet!$A280,slmong3pm)</f>
        <v>0</v>
      </c>
      <c r="J280" s="854">
        <f ca="1">SUMIF(mongct,chitiet!$A280,slmongct)</f>
        <v>0</v>
      </c>
      <c r="K280" s="854">
        <f ca="1">SUMIF(mong3p1m,chitiet!$A280,slmong3p1m)</f>
        <v>0</v>
      </c>
      <c r="L280" s="854">
        <f ca="1">SUMIF(mong1pm,chitiet!$A280,slmong1pm)</f>
        <v>0</v>
      </c>
      <c r="M280" s="854">
        <f ca="1">SUMIF(monghthh,chitiet!$A280,slmonghthh)</f>
        <v>0</v>
      </c>
      <c r="N280" s="854">
        <f ca="1">SUMIF(mongHTDL,chitiet!$A280,SLmongHTDL)</f>
        <v>0</v>
      </c>
      <c r="O280" s="854"/>
      <c r="P280" s="855"/>
      <c r="Q280" s="855"/>
      <c r="R280" s="855"/>
      <c r="S280" s="856">
        <f>SUM(S281:S289)</f>
        <v>962341</v>
      </c>
      <c r="T280" s="856">
        <f>SUM(T281:T289)</f>
        <v>1368400.4545999998</v>
      </c>
      <c r="U280" s="857">
        <f>SUM(U281:U289)</f>
        <v>0</v>
      </c>
    </row>
    <row r="281" spans="1:21" hidden="1">
      <c r="B281" s="696" t="s">
        <v>1728</v>
      </c>
      <c r="C281" s="631" t="str">
        <f ca="1">C280</f>
        <v xml:space="preserve"> </v>
      </c>
      <c r="D281" s="698"/>
      <c r="E281" s="699" t="str">
        <f>VLOOKUP($B281,dongia1,DG!$C$5,)</f>
        <v>Ximăng</v>
      </c>
      <c r="F281" s="700" t="str">
        <f>VLOOKUP($B281,dongia1,DG!$D$5,)</f>
        <v>kg</v>
      </c>
      <c r="G281" s="762">
        <f>ROUND(G289*246,1)</f>
        <v>241.6</v>
      </c>
      <c r="H281" s="701">
        <f ca="1">H$280*$G281</f>
        <v>0</v>
      </c>
      <c r="I281" s="701">
        <f t="shared" ref="I281:O281" ca="1" si="161">I$290*$G281</f>
        <v>0</v>
      </c>
      <c r="J281" s="701">
        <f t="shared" ca="1" si="161"/>
        <v>0</v>
      </c>
      <c r="K281" s="701">
        <f t="shared" ca="1" si="161"/>
        <v>0</v>
      </c>
      <c r="L281" s="701">
        <f t="shared" ca="1" si="161"/>
        <v>0</v>
      </c>
      <c r="M281" s="701">
        <f t="shared" ca="1" si="161"/>
        <v>0</v>
      </c>
      <c r="N281" s="701">
        <f t="shared" ca="1" si="161"/>
        <v>0</v>
      </c>
      <c r="O281" s="701">
        <f t="shared" si="161"/>
        <v>0</v>
      </c>
      <c r="P281" s="702">
        <f>VLOOKUP($B281,dongia1,DG!$F$5,)</f>
        <v>1740</v>
      </c>
      <c r="Q281" s="702">
        <f>VLOOKUP($B281,dongia1,DG!$G$5,)</f>
        <v>0</v>
      </c>
      <c r="R281" s="703"/>
      <c r="S281" s="702">
        <f t="shared" ref="S281:S289" si="162">$G281*P281</f>
        <v>420384</v>
      </c>
      <c r="T281" s="702">
        <f t="shared" ref="T281:T289" si="163">$G281*Q281</f>
        <v>0</v>
      </c>
      <c r="U281" s="704">
        <f t="shared" ref="U281:U289" si="164">$G281*R281</f>
        <v>0</v>
      </c>
    </row>
    <row r="282" spans="1:21" hidden="1">
      <c r="B282" s="696" t="s">
        <v>1729</v>
      </c>
      <c r="C282" s="631" t="str">
        <f ca="1">C281</f>
        <v xml:space="preserve"> </v>
      </c>
      <c r="D282" s="698"/>
      <c r="E282" s="699" t="str">
        <f>VLOOKUP($B282,dongia1,DG!$C$5,)</f>
        <v>Cát vàng</v>
      </c>
      <c r="F282" s="700" t="str">
        <f>VLOOKUP($B282,dongia1,DG!$D$5,)</f>
        <v>m3</v>
      </c>
      <c r="G282" s="762">
        <f>ROUND(G289*0.495,3)</f>
        <v>0.48599999999999999</v>
      </c>
      <c r="H282" s="701">
        <f ca="1">H$280*$G282</f>
        <v>0</v>
      </c>
      <c r="I282" s="701">
        <f t="shared" ref="I282:O289" ca="1" si="165">I$290*$G282</f>
        <v>0</v>
      </c>
      <c r="J282" s="701">
        <f t="shared" ca="1" si="165"/>
        <v>0</v>
      </c>
      <c r="K282" s="701">
        <f t="shared" ca="1" si="165"/>
        <v>0</v>
      </c>
      <c r="L282" s="701">
        <f t="shared" ca="1" si="165"/>
        <v>0</v>
      </c>
      <c r="M282" s="701">
        <f t="shared" ca="1" si="165"/>
        <v>0</v>
      </c>
      <c r="N282" s="701">
        <f t="shared" ca="1" si="165"/>
        <v>0</v>
      </c>
      <c r="O282" s="701">
        <f t="shared" si="165"/>
        <v>0</v>
      </c>
      <c r="P282" s="702">
        <f>VLOOKUP($B282,dongia1,DG!$F$5,)</f>
        <v>512000</v>
      </c>
      <c r="Q282" s="702">
        <f>VLOOKUP($B282,dongia1,DG!$G$5,)</f>
        <v>0</v>
      </c>
      <c r="R282" s="703"/>
      <c r="S282" s="702">
        <f t="shared" si="162"/>
        <v>248832</v>
      </c>
      <c r="T282" s="702">
        <f t="shared" si="163"/>
        <v>0</v>
      </c>
      <c r="U282" s="704">
        <f t="shared" si="164"/>
        <v>0</v>
      </c>
    </row>
    <row r="283" spans="1:21" hidden="1">
      <c r="A283" s="630" t="s">
        <v>312</v>
      </c>
      <c r="B283" s="696" t="s">
        <v>853</v>
      </c>
      <c r="C283" s="631" t="str">
        <f ca="1">C282</f>
        <v xml:space="preserve"> </v>
      </c>
      <c r="D283" s="698"/>
      <c r="E283" s="699" t="str">
        <f>VLOOKUP($B283,dongia1,DG!$C$5,)</f>
        <v>Đá 1x2</v>
      </c>
      <c r="F283" s="700" t="str">
        <f>VLOOKUP($B283,dongia1,DG!$D$5,)</f>
        <v>m3</v>
      </c>
      <c r="G283" s="762">
        <f>ROUND(G289*0.891,3)</f>
        <v>0.875</v>
      </c>
      <c r="H283" s="701">
        <f ca="1">H$280*$G283</f>
        <v>0</v>
      </c>
      <c r="I283" s="701">
        <f t="shared" ca="1" si="165"/>
        <v>0</v>
      </c>
      <c r="J283" s="701">
        <f t="shared" ca="1" si="165"/>
        <v>0</v>
      </c>
      <c r="K283" s="701">
        <f t="shared" ca="1" si="165"/>
        <v>0</v>
      </c>
      <c r="L283" s="701">
        <f t="shared" ca="1" si="165"/>
        <v>0</v>
      </c>
      <c r="M283" s="701">
        <f t="shared" ca="1" si="165"/>
        <v>0</v>
      </c>
      <c r="N283" s="701">
        <f t="shared" ca="1" si="165"/>
        <v>0</v>
      </c>
      <c r="O283" s="701">
        <f t="shared" si="165"/>
        <v>0</v>
      </c>
      <c r="P283" s="702">
        <f>VLOOKUP($B283,dongia1,DG!$F$5,)</f>
        <v>335000</v>
      </c>
      <c r="Q283" s="702">
        <f>VLOOKUP($B283,dongia1,DG!$G$5,)</f>
        <v>0</v>
      </c>
      <c r="R283" s="703"/>
      <c r="S283" s="702">
        <f t="shared" si="162"/>
        <v>293125</v>
      </c>
      <c r="T283" s="702">
        <f t="shared" si="163"/>
        <v>0</v>
      </c>
      <c r="U283" s="704">
        <f t="shared" si="164"/>
        <v>0</v>
      </c>
    </row>
    <row r="284" spans="1:21" s="552" customFormat="1" ht="15" hidden="1" customHeight="1">
      <c r="A284" s="621"/>
      <c r="B284" s="622" t="s">
        <v>1614</v>
      </c>
      <c r="C284" s="558"/>
      <c r="D284" s="553"/>
      <c r="E284" s="694" t="str">
        <f>VLOOKUP($B284,dongia1,DG!$C$5,)</f>
        <v>Sắt   Þ10</v>
      </c>
      <c r="F284" s="555" t="str">
        <f>VLOOKUP($B284,dongia1,DG!$D$5,)</f>
        <v>kg</v>
      </c>
      <c r="G284" s="205">
        <f>30.18*0</f>
        <v>0</v>
      </c>
      <c r="H284" s="556">
        <f ca="1">H$290*$G284*0</f>
        <v>0</v>
      </c>
      <c r="I284" s="556">
        <f t="shared" ca="1" si="165"/>
        <v>0</v>
      </c>
      <c r="J284" s="556">
        <f t="shared" ca="1" si="165"/>
        <v>0</v>
      </c>
      <c r="K284" s="556">
        <f t="shared" ca="1" si="165"/>
        <v>0</v>
      </c>
      <c r="L284" s="556">
        <f t="shared" ca="1" si="165"/>
        <v>0</v>
      </c>
      <c r="M284" s="556">
        <f t="shared" ca="1" si="165"/>
        <v>0</v>
      </c>
      <c r="N284" s="556">
        <f t="shared" ca="1" si="165"/>
        <v>0</v>
      </c>
      <c r="O284" s="556">
        <f t="shared" si="165"/>
        <v>0</v>
      </c>
      <c r="P284" s="182">
        <f>VLOOKUP($B284,dongia1,DG!$F$5,)*0</f>
        <v>0</v>
      </c>
      <c r="Q284" s="182">
        <f>VLOOKUP($B284,dongia1,DG!$G$5,)</f>
        <v>0</v>
      </c>
      <c r="R284" s="554"/>
      <c r="S284" s="113">
        <f t="shared" si="162"/>
        <v>0</v>
      </c>
      <c r="T284" s="113">
        <f t="shared" si="163"/>
        <v>0</v>
      </c>
      <c r="U284" s="557">
        <f t="shared" si="164"/>
        <v>0</v>
      </c>
    </row>
    <row r="285" spans="1:21" s="552" customFormat="1" ht="15" hidden="1" customHeight="1">
      <c r="A285" s="621" t="s">
        <v>312</v>
      </c>
      <c r="B285" s="622" t="s">
        <v>1615</v>
      </c>
      <c r="C285" s="558"/>
      <c r="D285" s="553"/>
      <c r="E285" s="694" t="str">
        <f>VLOOKUP($B285,dongia1,DG!$C$5,)</f>
        <v>Kẽm</v>
      </c>
      <c r="F285" s="555" t="str">
        <f>VLOOKUP($B285,dongia1,DG!$D$5,)</f>
        <v>kg</v>
      </c>
      <c r="G285" s="205">
        <f>0.65*0</f>
        <v>0</v>
      </c>
      <c r="H285" s="556">
        <f ca="1">H$290*$G285*0</f>
        <v>0</v>
      </c>
      <c r="I285" s="556">
        <f t="shared" ca="1" si="165"/>
        <v>0</v>
      </c>
      <c r="J285" s="556">
        <f t="shared" ca="1" si="165"/>
        <v>0</v>
      </c>
      <c r="K285" s="556">
        <f t="shared" ca="1" si="165"/>
        <v>0</v>
      </c>
      <c r="L285" s="556">
        <f t="shared" ca="1" si="165"/>
        <v>0</v>
      </c>
      <c r="M285" s="556">
        <f t="shared" ca="1" si="165"/>
        <v>0</v>
      </c>
      <c r="N285" s="556">
        <f t="shared" ca="1" si="165"/>
        <v>0</v>
      </c>
      <c r="O285" s="556">
        <f t="shared" si="165"/>
        <v>0</v>
      </c>
      <c r="P285" s="182">
        <f>VLOOKUP($B285,dongia1,DG!$F$5,)*0</f>
        <v>0</v>
      </c>
      <c r="Q285" s="182">
        <f>VLOOKUP($B285,dongia1,DG!$G$5,)</f>
        <v>0</v>
      </c>
      <c r="R285" s="554"/>
      <c r="S285" s="113">
        <f t="shared" si="162"/>
        <v>0</v>
      </c>
      <c r="T285" s="113">
        <f t="shared" si="163"/>
        <v>0</v>
      </c>
      <c r="U285" s="557">
        <f t="shared" si="164"/>
        <v>0</v>
      </c>
    </row>
    <row r="286" spans="1:21" hidden="1">
      <c r="B286" s="696" t="s">
        <v>1322</v>
      </c>
      <c r="C286" s="631" t="str">
        <f ca="1">C283</f>
        <v xml:space="preserve"> </v>
      </c>
      <c r="D286" s="698"/>
      <c r="E286" s="699" t="str">
        <f>VLOOKUP($B286,dongia1,DG!$C$5,)</f>
        <v>Đào móng cột trụ, hố kiểm tra đất cấp III rộng &lt;=1m, sâu &lt;=1m</v>
      </c>
      <c r="F286" s="700" t="str">
        <f>VLOOKUP($B286,dongia1,DG!$D$5,)</f>
        <v>m3</v>
      </c>
      <c r="G286" s="762">
        <v>0.7</v>
      </c>
      <c r="H286" s="701">
        <f ca="1">H$280*$G286</f>
        <v>0</v>
      </c>
      <c r="I286" s="701">
        <f t="shared" ca="1" si="165"/>
        <v>0</v>
      </c>
      <c r="J286" s="701">
        <f t="shared" ca="1" si="165"/>
        <v>0</v>
      </c>
      <c r="K286" s="701">
        <f t="shared" ca="1" si="165"/>
        <v>0</v>
      </c>
      <c r="L286" s="701">
        <f t="shared" ca="1" si="165"/>
        <v>0</v>
      </c>
      <c r="M286" s="701">
        <f t="shared" ca="1" si="165"/>
        <v>0</v>
      </c>
      <c r="N286" s="701">
        <f t="shared" ca="1" si="165"/>
        <v>0</v>
      </c>
      <c r="O286" s="701">
        <f t="shared" si="165"/>
        <v>0</v>
      </c>
      <c r="P286" s="702">
        <f>VLOOKUP($B286,dongia1,DG!$F$5,)</f>
        <v>0</v>
      </c>
      <c r="Q286" s="702">
        <f>VLOOKUP($B286,dongia1,DG!$G$5,)</f>
        <v>315693</v>
      </c>
      <c r="R286" s="703"/>
      <c r="S286" s="702">
        <f t="shared" si="162"/>
        <v>0</v>
      </c>
      <c r="T286" s="702">
        <f t="shared" si="163"/>
        <v>220985.09999999998</v>
      </c>
      <c r="U286" s="930">
        <f t="shared" si="164"/>
        <v>0</v>
      </c>
    </row>
    <row r="287" spans="1:21" s="552" customFormat="1" ht="15" hidden="1" customHeight="1">
      <c r="A287" s="621"/>
      <c r="B287" s="622" t="s">
        <v>492</v>
      </c>
      <c r="C287" s="558" t="str">
        <f ca="1">C288</f>
        <v xml:space="preserve"> </v>
      </c>
      <c r="D287" s="553"/>
      <c r="E287" s="694" t="str">
        <f>VLOOKUP($B287,dongia1,DG!$C$5,)</f>
        <v>Đắp đất hố móng K=0,85</v>
      </c>
      <c r="F287" s="555" t="str">
        <f>VLOOKUP($B287,dongia1,DG!$D$5,)</f>
        <v>m3</v>
      </c>
      <c r="G287" s="205">
        <v>0.75700000000000001</v>
      </c>
      <c r="H287" s="701">
        <f ca="1">H$280*$G287</f>
        <v>0</v>
      </c>
      <c r="I287" s="556">
        <f t="shared" ca="1" si="165"/>
        <v>0</v>
      </c>
      <c r="J287" s="556">
        <f t="shared" ca="1" si="165"/>
        <v>0</v>
      </c>
      <c r="K287" s="556">
        <f t="shared" ca="1" si="165"/>
        <v>0</v>
      </c>
      <c r="L287" s="556">
        <f t="shared" ca="1" si="165"/>
        <v>0</v>
      </c>
      <c r="M287" s="556">
        <f t="shared" ca="1" si="165"/>
        <v>0</v>
      </c>
      <c r="N287" s="556">
        <f t="shared" ca="1" si="165"/>
        <v>0</v>
      </c>
      <c r="O287" s="556">
        <f t="shared" si="165"/>
        <v>0</v>
      </c>
      <c r="P287" s="182">
        <f>VLOOKUP($B287,dongia1,DG!$F$5,)</f>
        <v>0</v>
      </c>
      <c r="Q287" s="182">
        <f>VLOOKUP($B287,dongia1,DG!$G$5,)</f>
        <v>93046</v>
      </c>
      <c r="R287" s="554"/>
      <c r="S287" s="113">
        <f t="shared" si="162"/>
        <v>0</v>
      </c>
      <c r="T287" s="113">
        <f t="shared" si="163"/>
        <v>70435.822</v>
      </c>
      <c r="U287" s="715">
        <f t="shared" si="164"/>
        <v>0</v>
      </c>
    </row>
    <row r="288" spans="1:21" hidden="1">
      <c r="B288" s="696" t="s">
        <v>4946</v>
      </c>
      <c r="C288" s="631" t="str">
        <f ca="1">C280</f>
        <v xml:space="preserve"> </v>
      </c>
      <c r="D288" s="698"/>
      <c r="E288" s="699" t="str">
        <f>VLOOKUP($B288,dongia1,DG!$C$5,)</f>
        <v>Đào hố móng kiểm tra đất cấp III rộng &lt;=1m, sâu &gt;1m</v>
      </c>
      <c r="F288" s="700" t="str">
        <f>VLOOKUP($B288,dongia1,DG!$D$5,)</f>
        <v>m3</v>
      </c>
      <c r="G288" s="762">
        <v>1.363</v>
      </c>
      <c r="H288" s="701">
        <f ca="1">H$280*$G288</f>
        <v>0</v>
      </c>
      <c r="I288" s="701">
        <f t="shared" ca="1" si="165"/>
        <v>0</v>
      </c>
      <c r="J288" s="701">
        <f t="shared" ca="1" si="165"/>
        <v>0</v>
      </c>
      <c r="K288" s="701">
        <f t="shared" ca="1" si="165"/>
        <v>0</v>
      </c>
      <c r="L288" s="701">
        <f t="shared" ca="1" si="165"/>
        <v>0</v>
      </c>
      <c r="M288" s="701">
        <f t="shared" ca="1" si="165"/>
        <v>0</v>
      </c>
      <c r="N288" s="701">
        <f t="shared" ca="1" si="165"/>
        <v>0</v>
      </c>
      <c r="O288" s="701">
        <f t="shared" si="165"/>
        <v>0</v>
      </c>
      <c r="P288" s="702"/>
      <c r="Q288" s="702">
        <f>VLOOKUP($B288,dongia1,DG!$G$5,)</f>
        <v>491832.89999999997</v>
      </c>
      <c r="R288" s="703"/>
      <c r="S288" s="702">
        <f t="shared" si="162"/>
        <v>0</v>
      </c>
      <c r="T288" s="702">
        <f t="shared" si="163"/>
        <v>670368.24269999994</v>
      </c>
      <c r="U288" s="704">
        <f t="shared" si="164"/>
        <v>0</v>
      </c>
    </row>
    <row r="289" spans="1:21" hidden="1">
      <c r="B289" s="696" t="s">
        <v>2065</v>
      </c>
      <c r="C289" s="631" t="str">
        <f ca="1">+C281</f>
        <v xml:space="preserve"> </v>
      </c>
      <c r="D289" s="698"/>
      <c r="E289" s="699" t="str">
        <f>VLOOKUP($B289,dongia1,DG!$C$5,)</f>
        <v>Đổ bê tông mác M150 đá 2x4 rộng &gt;250cm</v>
      </c>
      <c r="F289" s="700" t="str">
        <f>VLOOKUP($B289,dongia1,DG!$D$5,)</f>
        <v>m3</v>
      </c>
      <c r="G289" s="762">
        <v>0.98199999999999998</v>
      </c>
      <c r="H289" s="701">
        <f ca="1">H$280*$G289</f>
        <v>0</v>
      </c>
      <c r="I289" s="701">
        <f t="shared" ca="1" si="165"/>
        <v>0</v>
      </c>
      <c r="J289" s="701">
        <f t="shared" ca="1" si="165"/>
        <v>0</v>
      </c>
      <c r="K289" s="701">
        <f t="shared" ca="1" si="165"/>
        <v>0</v>
      </c>
      <c r="L289" s="701">
        <f t="shared" ca="1" si="165"/>
        <v>0</v>
      </c>
      <c r="M289" s="701">
        <f t="shared" ca="1" si="165"/>
        <v>0</v>
      </c>
      <c r="N289" s="701">
        <f t="shared" ca="1" si="165"/>
        <v>0</v>
      </c>
      <c r="O289" s="701">
        <f t="shared" si="165"/>
        <v>0</v>
      </c>
      <c r="P289" s="702"/>
      <c r="Q289" s="702">
        <f>VLOOKUP($B289,dongia1,DG!$G$5,)</f>
        <v>414064.45</v>
      </c>
      <c r="R289" s="703"/>
      <c r="S289" s="702">
        <f t="shared" si="162"/>
        <v>0</v>
      </c>
      <c r="T289" s="702">
        <f t="shared" si="163"/>
        <v>406611.28990000003</v>
      </c>
      <c r="U289" s="704">
        <f t="shared" si="164"/>
        <v>0</v>
      </c>
    </row>
    <row r="290" spans="1:21" s="858" customFormat="1" hidden="1">
      <c r="A290" s="847" t="s">
        <v>3736</v>
      </c>
      <c r="B290" s="848"/>
      <c r="C290" s="849"/>
      <c r="D290" s="850">
        <v>1</v>
      </c>
      <c r="E290" s="851" t="s">
        <v>3520</v>
      </c>
      <c r="F290" s="852" t="s">
        <v>3391</v>
      </c>
      <c r="G290" s="853"/>
      <c r="H290" s="854">
        <f ca="1">SUM(I290:N290)</f>
        <v>0</v>
      </c>
      <c r="I290" s="854">
        <f ca="1">SUMIF(mong3pm,chitiet!$A290,slmong3pm)</f>
        <v>0</v>
      </c>
      <c r="J290" s="854">
        <f ca="1">SUMIF(mongct,chitiet!$A290,slmongct)</f>
        <v>0</v>
      </c>
      <c r="K290" s="854">
        <f ca="1">SUMIF(mong3p1m,chitiet!$A290,slmong3p1m)</f>
        <v>0</v>
      </c>
      <c r="L290" s="854">
        <f ca="1">SUMIF(mong1pm,chitiet!$A290,slmong1pm)</f>
        <v>0</v>
      </c>
      <c r="M290" s="854">
        <f ca="1">SUMIF(monghthh,chitiet!$A290,slmonghthh)</f>
        <v>0</v>
      </c>
      <c r="N290" s="854">
        <f ca="1">SUMIF(mongHTDL,chitiet!$A290,SLmongHTDL)</f>
        <v>0</v>
      </c>
      <c r="O290" s="854"/>
      <c r="P290" s="855"/>
      <c r="Q290" s="855"/>
      <c r="R290" s="855"/>
      <c r="S290" s="856">
        <f>SUM(S291:S299)</f>
        <v>1253175</v>
      </c>
      <c r="T290" s="856">
        <f>SUM(T291:T299)</f>
        <v>1122282.8074999999</v>
      </c>
      <c r="U290" s="857">
        <f>SUM(U291:U299)</f>
        <v>0</v>
      </c>
    </row>
    <row r="291" spans="1:21" hidden="1">
      <c r="B291" s="696" t="s">
        <v>1728</v>
      </c>
      <c r="C291" s="849"/>
      <c r="D291" s="698">
        <f>VLOOKUP($B291,dongia1,DG!$B$5,)</f>
        <v>0</v>
      </c>
      <c r="E291" s="699" t="str">
        <f>VLOOKUP($B291,dongia1,DG!$C$5,)</f>
        <v>Ximăng</v>
      </c>
      <c r="F291" s="700" t="str">
        <f>VLOOKUP($B291,dongia1,DG!$D$5,)</f>
        <v>kg</v>
      </c>
      <c r="G291" s="762">
        <v>352</v>
      </c>
      <c r="H291" s="701">
        <f ca="1">H$290*$G291</f>
        <v>0</v>
      </c>
      <c r="I291" s="701">
        <f t="shared" ref="I291:O291" ca="1" si="166">I$290*$G291</f>
        <v>0</v>
      </c>
      <c r="J291" s="701">
        <f t="shared" ca="1" si="166"/>
        <v>0</v>
      </c>
      <c r="K291" s="701">
        <f t="shared" ca="1" si="166"/>
        <v>0</v>
      </c>
      <c r="L291" s="701">
        <f t="shared" ca="1" si="166"/>
        <v>0</v>
      </c>
      <c r="M291" s="701">
        <f t="shared" ca="1" si="166"/>
        <v>0</v>
      </c>
      <c r="N291" s="701">
        <f t="shared" ca="1" si="166"/>
        <v>0</v>
      </c>
      <c r="O291" s="701">
        <f t="shared" si="166"/>
        <v>0</v>
      </c>
      <c r="P291" s="702">
        <f>VLOOKUP($B291,dongia1,DG!$F$5,)</f>
        <v>1740</v>
      </c>
      <c r="Q291" s="702">
        <f>VLOOKUP($B291,dongia1,DG!$G$5,)</f>
        <v>0</v>
      </c>
      <c r="R291" s="703"/>
      <c r="S291" s="702">
        <f t="shared" ref="S291:U297" si="167">$G291*P291</f>
        <v>612480</v>
      </c>
      <c r="T291" s="702">
        <f t="shared" si="167"/>
        <v>0</v>
      </c>
      <c r="U291" s="704">
        <f t="shared" si="167"/>
        <v>0</v>
      </c>
    </row>
    <row r="292" spans="1:21" hidden="1">
      <c r="B292" s="696" t="s">
        <v>1729</v>
      </c>
      <c r="C292" s="849"/>
      <c r="D292" s="698">
        <f>VLOOKUP($B292,dongia1,DG!$B$5,)</f>
        <v>0</v>
      </c>
      <c r="E292" s="699" t="str">
        <f>VLOOKUP($B292,dongia1,DG!$C$5,)</f>
        <v>Cát vàng</v>
      </c>
      <c r="F292" s="700" t="str">
        <f>VLOOKUP($B292,dongia1,DG!$D$5,)</f>
        <v>m3</v>
      </c>
      <c r="G292" s="762">
        <v>0.56499999999999995</v>
      </c>
      <c r="H292" s="701">
        <f t="shared" ref="H292:O299" ca="1" si="168">H$290*$G292</f>
        <v>0</v>
      </c>
      <c r="I292" s="701">
        <f t="shared" ca="1" si="168"/>
        <v>0</v>
      </c>
      <c r="J292" s="701">
        <f t="shared" ca="1" si="168"/>
        <v>0</v>
      </c>
      <c r="K292" s="701">
        <f t="shared" ca="1" si="168"/>
        <v>0</v>
      </c>
      <c r="L292" s="701">
        <f t="shared" ca="1" si="168"/>
        <v>0</v>
      </c>
      <c r="M292" s="701">
        <f t="shared" ca="1" si="168"/>
        <v>0</v>
      </c>
      <c r="N292" s="701">
        <f t="shared" ca="1" si="168"/>
        <v>0</v>
      </c>
      <c r="O292" s="701">
        <f t="shared" si="168"/>
        <v>0</v>
      </c>
      <c r="P292" s="702">
        <f>VLOOKUP($B292,dongia1,DG!$F$5,)</f>
        <v>512000</v>
      </c>
      <c r="Q292" s="702">
        <f>VLOOKUP($B292,dongia1,DG!$G$5,)</f>
        <v>0</v>
      </c>
      <c r="R292" s="703"/>
      <c r="S292" s="702">
        <f t="shared" si="167"/>
        <v>289280</v>
      </c>
      <c r="T292" s="702">
        <f t="shared" si="167"/>
        <v>0</v>
      </c>
      <c r="U292" s="704">
        <f t="shared" si="167"/>
        <v>0</v>
      </c>
    </row>
    <row r="293" spans="1:21" hidden="1">
      <c r="A293" s="630" t="s">
        <v>312</v>
      </c>
      <c r="B293" s="696" t="s">
        <v>853</v>
      </c>
      <c r="C293" s="849"/>
      <c r="D293" s="698">
        <f>VLOOKUP($B293,dongia1,DG!$B$5,)</f>
        <v>0</v>
      </c>
      <c r="E293" s="699" t="str">
        <f>VLOOKUP($B293,dongia1,DG!$C$5,)</f>
        <v>Đá 1x2</v>
      </c>
      <c r="F293" s="700" t="str">
        <f>VLOOKUP($B293,dongia1,DG!$D$5,)</f>
        <v>m3</v>
      </c>
      <c r="G293" s="762">
        <v>1.0489999999999999</v>
      </c>
      <c r="H293" s="701">
        <f t="shared" ca="1" si="168"/>
        <v>0</v>
      </c>
      <c r="I293" s="701">
        <f t="shared" ca="1" si="168"/>
        <v>0</v>
      </c>
      <c r="J293" s="701">
        <f t="shared" ca="1" si="168"/>
        <v>0</v>
      </c>
      <c r="K293" s="701">
        <f t="shared" ca="1" si="168"/>
        <v>0</v>
      </c>
      <c r="L293" s="701">
        <f t="shared" ca="1" si="168"/>
        <v>0</v>
      </c>
      <c r="M293" s="701">
        <f t="shared" ca="1" si="168"/>
        <v>0</v>
      </c>
      <c r="N293" s="701">
        <f t="shared" ca="1" si="168"/>
        <v>0</v>
      </c>
      <c r="O293" s="701">
        <f t="shared" si="168"/>
        <v>0</v>
      </c>
      <c r="P293" s="702">
        <f>VLOOKUP($B293,dongia1,DG!$F$5,)</f>
        <v>335000</v>
      </c>
      <c r="Q293" s="702">
        <f>VLOOKUP($B293,dongia1,DG!$G$5,)</f>
        <v>0</v>
      </c>
      <c r="R293" s="703"/>
      <c r="S293" s="702">
        <f t="shared" si="167"/>
        <v>351415</v>
      </c>
      <c r="T293" s="702">
        <f t="shared" si="167"/>
        <v>0</v>
      </c>
      <c r="U293" s="704">
        <f t="shared" si="167"/>
        <v>0</v>
      </c>
    </row>
    <row r="294" spans="1:21" s="552" customFormat="1" ht="15" hidden="1" customHeight="1">
      <c r="A294" s="621"/>
      <c r="B294" s="622" t="s">
        <v>1614</v>
      </c>
      <c r="C294" s="558"/>
      <c r="D294" s="553">
        <f>VLOOKUP($B294,dongia1,DG!$B$5,)</f>
        <v>0</v>
      </c>
      <c r="E294" s="694" t="str">
        <f>VLOOKUP($B294,dongia1,DG!$C$5,)</f>
        <v>Sắt   Þ10</v>
      </c>
      <c r="F294" s="555" t="str">
        <f>VLOOKUP($B294,dongia1,DG!$D$5,)</f>
        <v>kg</v>
      </c>
      <c r="G294" s="205">
        <v>30.18</v>
      </c>
      <c r="H294" s="556">
        <f ca="1">H$290*$G294*0</f>
        <v>0</v>
      </c>
      <c r="I294" s="556">
        <f t="shared" ca="1" si="168"/>
        <v>0</v>
      </c>
      <c r="J294" s="556">
        <f t="shared" ca="1" si="168"/>
        <v>0</v>
      </c>
      <c r="K294" s="556">
        <f t="shared" ca="1" si="168"/>
        <v>0</v>
      </c>
      <c r="L294" s="556">
        <f t="shared" ca="1" si="168"/>
        <v>0</v>
      </c>
      <c r="M294" s="556">
        <f t="shared" ca="1" si="168"/>
        <v>0</v>
      </c>
      <c r="N294" s="556">
        <f t="shared" ca="1" si="168"/>
        <v>0</v>
      </c>
      <c r="O294" s="556">
        <f t="shared" si="168"/>
        <v>0</v>
      </c>
      <c r="P294" s="182">
        <f>VLOOKUP($B294,dongia1,DG!$F$5,)*0</f>
        <v>0</v>
      </c>
      <c r="Q294" s="182">
        <f>VLOOKUP($B294,dongia1,DG!$G$5,)</f>
        <v>0</v>
      </c>
      <c r="R294" s="554"/>
      <c r="S294" s="113">
        <f t="shared" ref="S294:U295" si="169">$G294*P294</f>
        <v>0</v>
      </c>
      <c r="T294" s="113">
        <f t="shared" si="169"/>
        <v>0</v>
      </c>
      <c r="U294" s="557">
        <f t="shared" si="169"/>
        <v>0</v>
      </c>
    </row>
    <row r="295" spans="1:21" s="552" customFormat="1" ht="15" hidden="1" customHeight="1">
      <c r="A295" s="621" t="s">
        <v>312</v>
      </c>
      <c r="B295" s="622" t="s">
        <v>1615</v>
      </c>
      <c r="C295" s="558"/>
      <c r="D295" s="553">
        <f>VLOOKUP($B295,dongia1,DG!$B$5,)</f>
        <v>0</v>
      </c>
      <c r="E295" s="694" t="str">
        <f>VLOOKUP($B295,dongia1,DG!$C$5,)</f>
        <v>Kẽm</v>
      </c>
      <c r="F295" s="555" t="str">
        <f>VLOOKUP($B295,dongia1,DG!$D$5,)</f>
        <v>kg</v>
      </c>
      <c r="G295" s="205">
        <v>0.65</v>
      </c>
      <c r="H295" s="556">
        <f ca="1">H$290*$G295*0</f>
        <v>0</v>
      </c>
      <c r="I295" s="556">
        <f t="shared" ca="1" si="168"/>
        <v>0</v>
      </c>
      <c r="J295" s="556">
        <f t="shared" ca="1" si="168"/>
        <v>0</v>
      </c>
      <c r="K295" s="556">
        <f t="shared" ca="1" si="168"/>
        <v>0</v>
      </c>
      <c r="L295" s="556">
        <f t="shared" ca="1" si="168"/>
        <v>0</v>
      </c>
      <c r="M295" s="556">
        <f t="shared" ca="1" si="168"/>
        <v>0</v>
      </c>
      <c r="N295" s="556">
        <f t="shared" ca="1" si="168"/>
        <v>0</v>
      </c>
      <c r="O295" s="556">
        <f t="shared" si="168"/>
        <v>0</v>
      </c>
      <c r="P295" s="182">
        <f>VLOOKUP($B295,dongia1,DG!$F$5,)*0</f>
        <v>0</v>
      </c>
      <c r="Q295" s="182">
        <f>VLOOKUP($B295,dongia1,DG!$G$5,)</f>
        <v>0</v>
      </c>
      <c r="R295" s="554"/>
      <c r="S295" s="113">
        <f t="shared" si="169"/>
        <v>0</v>
      </c>
      <c r="T295" s="113">
        <f t="shared" si="169"/>
        <v>0</v>
      </c>
      <c r="U295" s="557">
        <f t="shared" si="169"/>
        <v>0</v>
      </c>
    </row>
    <row r="296" spans="1:21" hidden="1">
      <c r="B296" s="1759" t="s">
        <v>4946</v>
      </c>
      <c r="C296" s="849"/>
      <c r="D296" s="698"/>
      <c r="E296" s="699" t="str">
        <f>VLOOKUP($B296,dongia1,DG!$C$5,)</f>
        <v>Đào hố móng kiểm tra đất cấp III rộng &lt;=1m, sâu &gt;1m</v>
      </c>
      <c r="F296" s="700" t="str">
        <f>VLOOKUP($B296,dongia1,DG!$D$5,)</f>
        <v>m3</v>
      </c>
      <c r="G296" s="762">
        <v>1.28</v>
      </c>
      <c r="H296" s="701">
        <f t="shared" ca="1" si="168"/>
        <v>0</v>
      </c>
      <c r="I296" s="701">
        <f t="shared" ca="1" si="168"/>
        <v>0</v>
      </c>
      <c r="J296" s="701">
        <f t="shared" ca="1" si="168"/>
        <v>0</v>
      </c>
      <c r="K296" s="701">
        <f t="shared" ca="1" si="168"/>
        <v>0</v>
      </c>
      <c r="L296" s="701">
        <f t="shared" ca="1" si="168"/>
        <v>0</v>
      </c>
      <c r="M296" s="701">
        <f t="shared" ca="1" si="168"/>
        <v>0</v>
      </c>
      <c r="N296" s="701">
        <f t="shared" ca="1" si="168"/>
        <v>0</v>
      </c>
      <c r="O296" s="701">
        <f t="shared" si="168"/>
        <v>0</v>
      </c>
      <c r="P296" s="702">
        <f>VLOOKUP($B296,dongia1,DG!$F$5,)</f>
        <v>0</v>
      </c>
      <c r="Q296" s="702">
        <f>VLOOKUP($B296,dongia1,DG!$G$5,)</f>
        <v>491832.89999999997</v>
      </c>
      <c r="R296" s="703"/>
      <c r="S296" s="702">
        <f t="shared" si="167"/>
        <v>0</v>
      </c>
      <c r="T296" s="702">
        <f t="shared" si="167"/>
        <v>629546.11199999996</v>
      </c>
      <c r="U296" s="930">
        <f t="shared" si="167"/>
        <v>0</v>
      </c>
    </row>
    <row r="297" spans="1:21" s="552" customFormat="1" ht="15" hidden="1" customHeight="1">
      <c r="A297" s="621"/>
      <c r="B297" s="622" t="s">
        <v>501</v>
      </c>
      <c r="C297" s="558"/>
      <c r="D297" s="553"/>
      <c r="E297" s="694" t="str">
        <f>VLOOKUP($B297,dongia1,DG!$C$5,)</f>
        <v>Đắp đất hố móng, đất cấp 3 (độ chặt k = 0.85)</v>
      </c>
      <c r="F297" s="555" t="str">
        <f>VLOOKUP($B297,dongia1,DG!$D$5,)</f>
        <v>m3</v>
      </c>
      <c r="G297" s="205">
        <f>0*0.075</f>
        <v>0</v>
      </c>
      <c r="H297" s="556">
        <f t="shared" ca="1" si="168"/>
        <v>0</v>
      </c>
      <c r="I297" s="556">
        <f t="shared" ca="1" si="168"/>
        <v>0</v>
      </c>
      <c r="J297" s="556">
        <f t="shared" ca="1" si="168"/>
        <v>0</v>
      </c>
      <c r="K297" s="556">
        <f t="shared" ca="1" si="168"/>
        <v>0</v>
      </c>
      <c r="L297" s="556">
        <f t="shared" ca="1" si="168"/>
        <v>0</v>
      </c>
      <c r="M297" s="556">
        <f t="shared" ca="1" si="168"/>
        <v>0</v>
      </c>
      <c r="N297" s="556">
        <f t="shared" ca="1" si="168"/>
        <v>0</v>
      </c>
      <c r="O297" s="556">
        <f t="shared" si="168"/>
        <v>0</v>
      </c>
      <c r="P297" s="182">
        <f>VLOOKUP($B297,dongia1,DG!$F$5,)</f>
        <v>0</v>
      </c>
      <c r="Q297" s="182">
        <f>VLOOKUP($B297,dongia1,DG!$G$5,)</f>
        <v>117703.6</v>
      </c>
      <c r="R297" s="554"/>
      <c r="S297" s="113">
        <f t="shared" si="167"/>
        <v>0</v>
      </c>
      <c r="T297" s="113">
        <f t="shared" si="167"/>
        <v>0</v>
      </c>
      <c r="U297" s="715">
        <f t="shared" si="167"/>
        <v>0</v>
      </c>
    </row>
    <row r="298" spans="1:21" s="552" customFormat="1" ht="15" hidden="1" customHeight="1">
      <c r="A298" s="621"/>
      <c r="B298" s="622" t="s">
        <v>1616</v>
      </c>
      <c r="C298" s="558"/>
      <c r="D298" s="553"/>
      <c r="E298" s="694" t="str">
        <f>VLOOKUP($B298,dongia1,DG!$C$5,)</f>
        <v>Gia công và lắp dựng cốt thép D&lt;=10</v>
      </c>
      <c r="F298" s="555" t="str">
        <f>VLOOKUP($B298,dongia1,DG!$D$5,)</f>
        <v>kg</v>
      </c>
      <c r="G298" s="205"/>
      <c r="H298" s="556">
        <f ca="1">H$290*$G298*0</f>
        <v>0</v>
      </c>
      <c r="I298" s="556">
        <f t="shared" ca="1" si="168"/>
        <v>0</v>
      </c>
      <c r="J298" s="556">
        <f t="shared" ca="1" si="168"/>
        <v>0</v>
      </c>
      <c r="K298" s="556">
        <f t="shared" ca="1" si="168"/>
        <v>0</v>
      </c>
      <c r="L298" s="556">
        <f t="shared" ca="1" si="168"/>
        <v>0</v>
      </c>
      <c r="M298" s="556">
        <f t="shared" ca="1" si="168"/>
        <v>0</v>
      </c>
      <c r="N298" s="556">
        <f t="shared" ca="1" si="168"/>
        <v>0</v>
      </c>
      <c r="O298" s="556">
        <f t="shared" si="168"/>
        <v>0</v>
      </c>
      <c r="P298" s="182"/>
      <c r="Q298" s="182">
        <f>VLOOKUP($B298,dongia1,DG!$G$5,)*0</f>
        <v>0</v>
      </c>
      <c r="R298" s="554"/>
      <c r="S298" s="113">
        <f t="shared" ref="S298:U299" si="170">$G298*P298</f>
        <v>0</v>
      </c>
      <c r="T298" s="113">
        <f t="shared" si="170"/>
        <v>0</v>
      </c>
      <c r="U298" s="557">
        <f t="shared" si="170"/>
        <v>0</v>
      </c>
    </row>
    <row r="299" spans="1:21" hidden="1">
      <c r="B299" s="696" t="s">
        <v>2065</v>
      </c>
      <c r="C299" s="849"/>
      <c r="D299" s="698"/>
      <c r="E299" s="699" t="str">
        <f>VLOOKUP($B299,dongia1,DG!$C$5,)</f>
        <v>Đổ bê tông mác M150 đá 2x4 rộng &gt;250cm</v>
      </c>
      <c r="F299" s="700" t="str">
        <f>VLOOKUP($B299,dongia1,DG!$D$5,)</f>
        <v>m3</v>
      </c>
      <c r="G299" s="762">
        <v>1.19</v>
      </c>
      <c r="H299" s="701">
        <f t="shared" ca="1" si="168"/>
        <v>0</v>
      </c>
      <c r="I299" s="701">
        <f t="shared" ca="1" si="168"/>
        <v>0</v>
      </c>
      <c r="J299" s="701">
        <f t="shared" ca="1" si="168"/>
        <v>0</v>
      </c>
      <c r="K299" s="701">
        <f t="shared" ca="1" si="168"/>
        <v>0</v>
      </c>
      <c r="L299" s="701">
        <f t="shared" ca="1" si="168"/>
        <v>0</v>
      </c>
      <c r="M299" s="701">
        <f t="shared" ca="1" si="168"/>
        <v>0</v>
      </c>
      <c r="N299" s="701">
        <f t="shared" ca="1" si="168"/>
        <v>0</v>
      </c>
      <c r="O299" s="701">
        <f t="shared" si="168"/>
        <v>0</v>
      </c>
      <c r="P299" s="702"/>
      <c r="Q299" s="702">
        <f>VLOOKUP($B299,dongia1,DG!$G$5,)</f>
        <v>414064.45</v>
      </c>
      <c r="R299" s="703"/>
      <c r="S299" s="702">
        <f t="shared" si="170"/>
        <v>0</v>
      </c>
      <c r="T299" s="702">
        <f t="shared" si="170"/>
        <v>492736.69549999997</v>
      </c>
      <c r="U299" s="704">
        <f t="shared" si="170"/>
        <v>0</v>
      </c>
    </row>
    <row r="300" spans="1:21" s="858" customFormat="1">
      <c r="A300" s="847" t="s">
        <v>3737</v>
      </c>
      <c r="B300" s="848"/>
      <c r="C300" s="849" t="str">
        <f t="shared" ref="C300:C305" ca="1" si="171">IF(H300&lt;&gt;0,"x"," ")</f>
        <v>x</v>
      </c>
      <c r="D300" s="850">
        <v>1</v>
      </c>
      <c r="E300" s="851" t="s">
        <v>3521</v>
      </c>
      <c r="F300" s="852" t="s">
        <v>3391</v>
      </c>
      <c r="G300" s="1980">
        <f>pp3p1m!AC10</f>
        <v>1</v>
      </c>
      <c r="H300" s="854">
        <f ca="1">SUM(I300:N300)</f>
        <v>1</v>
      </c>
      <c r="I300" s="854">
        <f ca="1">SUMIF(mong3pm,chitiet!$A300,slmong3pm)</f>
        <v>0</v>
      </c>
      <c r="J300" s="854">
        <f ca="1">SUMIF(mongct,chitiet!$A300,slmongct)</f>
        <v>0</v>
      </c>
      <c r="K300" s="854">
        <f ca="1">SUMIF(mong3p1m,chitiet!$A300,slmong3p1m)</f>
        <v>1</v>
      </c>
      <c r="L300" s="854">
        <f ca="1">SUMIF(mong1pm,chitiet!$A300,slmong1pm)</f>
        <v>0</v>
      </c>
      <c r="M300" s="854">
        <f ca="1">SUMIF(monghthh,chitiet!$A300,slmonghthh)</f>
        <v>0</v>
      </c>
      <c r="N300" s="854">
        <f ca="1">SUMIF(mongHTDL,chitiet!$A300,SLmongHTDL)</f>
        <v>0</v>
      </c>
      <c r="O300" s="854"/>
      <c r="P300" s="855"/>
      <c r="Q300" s="855"/>
      <c r="R300" s="855"/>
      <c r="S300" s="856">
        <f>SUM(S301:S311)</f>
        <v>1905603</v>
      </c>
      <c r="T300" s="856">
        <f>SUM(T301:T311)</f>
        <v>1654803.3197999997</v>
      </c>
      <c r="U300" s="857">
        <f>SUM(U301:U311)</f>
        <v>0</v>
      </c>
    </row>
    <row r="301" spans="1:21" hidden="1">
      <c r="B301" s="696" t="s">
        <v>1728</v>
      </c>
      <c r="C301" s="849" t="str">
        <f t="shared" ca="1" si="171"/>
        <v>x</v>
      </c>
      <c r="D301" s="698">
        <f>VLOOKUP($B301,dongia1,DG!$B$5,)</f>
        <v>0</v>
      </c>
      <c r="E301" s="699" t="str">
        <f>VLOOKUP($B301,dongia1,DG!$C$5,)</f>
        <v>Ximăng</v>
      </c>
      <c r="F301" s="700" t="str">
        <f>VLOOKUP($B301,dongia1,DG!$D$5,)</f>
        <v>kg</v>
      </c>
      <c r="G301" s="762">
        <v>504</v>
      </c>
      <c r="H301" s="701">
        <f ca="1">H$300*$G301</f>
        <v>504</v>
      </c>
      <c r="I301" s="701">
        <f t="shared" ref="I301:O301" ca="1" si="172">I$300*$G301</f>
        <v>0</v>
      </c>
      <c r="J301" s="701">
        <f t="shared" ca="1" si="172"/>
        <v>0</v>
      </c>
      <c r="K301" s="701">
        <f t="shared" ca="1" si="172"/>
        <v>504</v>
      </c>
      <c r="L301" s="701">
        <f t="shared" ca="1" si="172"/>
        <v>0</v>
      </c>
      <c r="M301" s="701">
        <f t="shared" ca="1" si="172"/>
        <v>0</v>
      </c>
      <c r="N301" s="701">
        <f t="shared" ca="1" si="172"/>
        <v>0</v>
      </c>
      <c r="O301" s="701">
        <f t="shared" si="172"/>
        <v>0</v>
      </c>
      <c r="P301" s="702">
        <f>VLOOKUP($B301,dongia1,DG!$F$5,)</f>
        <v>1740</v>
      </c>
      <c r="Q301" s="702">
        <f>VLOOKUP($B301,dongia1,DG!$G$5,)</f>
        <v>0</v>
      </c>
      <c r="R301" s="703"/>
      <c r="S301" s="702">
        <f t="shared" ref="S301:T309" si="173">$G301*P301</f>
        <v>876960</v>
      </c>
      <c r="T301" s="702">
        <f t="shared" si="173"/>
        <v>0</v>
      </c>
      <c r="U301" s="857">
        <f>SUM(U302:U312)</f>
        <v>0</v>
      </c>
    </row>
    <row r="302" spans="1:21" hidden="1">
      <c r="B302" s="696" t="s">
        <v>1729</v>
      </c>
      <c r="C302" s="849" t="str">
        <f t="shared" ca="1" si="171"/>
        <v>x</v>
      </c>
      <c r="D302" s="698">
        <f>VLOOKUP($B302,dongia1,DG!$B$5,)</f>
        <v>0</v>
      </c>
      <c r="E302" s="699" t="str">
        <f>VLOOKUP($B302,dongia1,DG!$C$5,)</f>
        <v>Cát vàng</v>
      </c>
      <c r="F302" s="700" t="str">
        <f>VLOOKUP($B302,dongia1,DG!$D$5,)</f>
        <v>m3</v>
      </c>
      <c r="G302" s="762">
        <v>0.80900000000000005</v>
      </c>
      <c r="H302" s="701">
        <f ca="1">H$300*$G302</f>
        <v>0.80900000000000005</v>
      </c>
      <c r="I302" s="701">
        <f t="shared" ref="H302:O311" ca="1" si="174">I$300*$G302</f>
        <v>0</v>
      </c>
      <c r="J302" s="701">
        <f t="shared" ca="1" si="174"/>
        <v>0</v>
      </c>
      <c r="K302" s="701">
        <f t="shared" ca="1" si="174"/>
        <v>0.80900000000000005</v>
      </c>
      <c r="L302" s="701">
        <f t="shared" ca="1" si="174"/>
        <v>0</v>
      </c>
      <c r="M302" s="701">
        <f t="shared" ca="1" si="174"/>
        <v>0</v>
      </c>
      <c r="N302" s="701">
        <f t="shared" ca="1" si="174"/>
        <v>0</v>
      </c>
      <c r="O302" s="701">
        <f t="shared" si="174"/>
        <v>0</v>
      </c>
      <c r="P302" s="702">
        <f>VLOOKUP($B302,dongia1,DG!$F$5,)</f>
        <v>512000</v>
      </c>
      <c r="Q302" s="702">
        <f>VLOOKUP($B302,dongia1,DG!$G$5,)</f>
        <v>0</v>
      </c>
      <c r="R302" s="703"/>
      <c r="S302" s="702">
        <f t="shared" si="173"/>
        <v>414208</v>
      </c>
      <c r="T302" s="702">
        <f t="shared" si="173"/>
        <v>0</v>
      </c>
      <c r="U302" s="857">
        <f>SUM(U303:U313)</f>
        <v>0</v>
      </c>
    </row>
    <row r="303" spans="1:21" hidden="1">
      <c r="B303" s="696" t="s">
        <v>853</v>
      </c>
      <c r="C303" s="849" t="str">
        <f t="shared" ca="1" si="171"/>
        <v>x</v>
      </c>
      <c r="D303" s="698">
        <f>VLOOKUP($B303,dongia1,DG!$B$5,)</f>
        <v>0</v>
      </c>
      <c r="E303" s="699" t="str">
        <f>VLOOKUP($B303,dongia1,DG!$C$5,)</f>
        <v>Đá 1x2</v>
      </c>
      <c r="F303" s="700" t="str">
        <f>VLOOKUP($B303,dongia1,DG!$D$5,)</f>
        <v>m3</v>
      </c>
      <c r="G303" s="762">
        <v>1.5009999999999999</v>
      </c>
      <c r="H303" s="701">
        <f ca="1">H$300*$G303</f>
        <v>1.5009999999999999</v>
      </c>
      <c r="I303" s="701">
        <f t="shared" ca="1" si="174"/>
        <v>0</v>
      </c>
      <c r="J303" s="701">
        <f t="shared" ca="1" si="174"/>
        <v>0</v>
      </c>
      <c r="K303" s="701">
        <f t="shared" ca="1" si="174"/>
        <v>1.5009999999999999</v>
      </c>
      <c r="L303" s="701">
        <f t="shared" ca="1" si="174"/>
        <v>0</v>
      </c>
      <c r="M303" s="701">
        <f t="shared" ca="1" si="174"/>
        <v>0</v>
      </c>
      <c r="N303" s="701">
        <f t="shared" ca="1" si="174"/>
        <v>0</v>
      </c>
      <c r="O303" s="701">
        <f t="shared" si="174"/>
        <v>0</v>
      </c>
      <c r="P303" s="702">
        <f>VLOOKUP($B303,dongia1,DG!$F$5,)</f>
        <v>335000</v>
      </c>
      <c r="Q303" s="702">
        <f>VLOOKUP($B303,dongia1,DG!$G$5,)</f>
        <v>0</v>
      </c>
      <c r="R303" s="703"/>
      <c r="S303" s="702">
        <f t="shared" si="173"/>
        <v>502834.99999999994</v>
      </c>
      <c r="T303" s="702">
        <f t="shared" si="173"/>
        <v>0</v>
      </c>
      <c r="U303" s="857">
        <f>SUM(U304:U314)</f>
        <v>0</v>
      </c>
    </row>
    <row r="304" spans="1:21" hidden="1">
      <c r="B304" s="696" t="s">
        <v>5759</v>
      </c>
      <c r="C304" s="849" t="str">
        <f t="shared" ca="1" si="171"/>
        <v>x</v>
      </c>
      <c r="D304" s="698">
        <f>VLOOKUP($B304,dongia1,DG!$B$5,)</f>
        <v>0</v>
      </c>
      <c r="E304" s="699" t="str">
        <f>VLOOKUP($B304,dongia1,DG!$C$5,)</f>
        <v>Boulon 16x650VRS+ 4 long đền vuông D18-50x50x3/Zn</v>
      </c>
      <c r="F304" s="700" t="str">
        <f>VLOOKUP($B304,dongia1,DG!$D$5,)</f>
        <v>bộ</v>
      </c>
      <c r="G304" s="762">
        <v>1</v>
      </c>
      <c r="H304" s="701">
        <f ca="1">H$300*$G304</f>
        <v>1</v>
      </c>
      <c r="I304" s="701">
        <f t="shared" ref="I304:L305" ca="1" si="175">I$687*$G304</f>
        <v>0</v>
      </c>
      <c r="J304" s="701">
        <f t="shared" ca="1" si="175"/>
        <v>0</v>
      </c>
      <c r="K304" s="701">
        <f t="shared" ca="1" si="175"/>
        <v>0</v>
      </c>
      <c r="L304" s="701">
        <f t="shared" ca="1" si="175"/>
        <v>0</v>
      </c>
      <c r="M304" s="701"/>
      <c r="N304" s="701">
        <f>N$687*$G304</f>
        <v>0</v>
      </c>
      <c r="O304" s="701">
        <f>O$687*$G304</f>
        <v>0</v>
      </c>
      <c r="P304" s="702">
        <f>VLOOKUP($B304,dongia1,DG!$F$5,)</f>
        <v>52800</v>
      </c>
      <c r="Q304" s="703"/>
      <c r="R304" s="703"/>
      <c r="S304" s="702">
        <f t="shared" si="173"/>
        <v>52800</v>
      </c>
      <c r="T304" s="702">
        <f t="shared" si="173"/>
        <v>0</v>
      </c>
      <c r="U304" s="857">
        <f>SUM(U305:U315)</f>
        <v>0</v>
      </c>
    </row>
    <row r="305" spans="1:21" hidden="1">
      <c r="B305" s="696" t="s">
        <v>5758</v>
      </c>
      <c r="C305" s="849" t="str">
        <f t="shared" ca="1" si="171"/>
        <v>x</v>
      </c>
      <c r="D305" s="698">
        <f>VLOOKUP($B305,dongia1,DG!$B$5,)</f>
        <v>0</v>
      </c>
      <c r="E305" s="699" t="str">
        <f>VLOOKUP($B305,dongia1,DG!$C$5,)</f>
        <v>Boulon 16x750VRS+ 4 long đền vuông D18-50x50x3/Zn</v>
      </c>
      <c r="F305" s="700" t="str">
        <f>VLOOKUP($B305,dongia1,DG!$D$5,)</f>
        <v>bộ</v>
      </c>
      <c r="G305" s="762">
        <v>1</v>
      </c>
      <c r="H305" s="701">
        <f ca="1">H$300*$G305</f>
        <v>1</v>
      </c>
      <c r="I305" s="701">
        <f t="shared" ca="1" si="175"/>
        <v>0</v>
      </c>
      <c r="J305" s="701">
        <f t="shared" ca="1" si="175"/>
        <v>0</v>
      </c>
      <c r="K305" s="701">
        <f t="shared" ca="1" si="175"/>
        <v>0</v>
      </c>
      <c r="L305" s="701">
        <f t="shared" ca="1" si="175"/>
        <v>0</v>
      </c>
      <c r="M305" s="701"/>
      <c r="N305" s="701">
        <f>N$687*$G305</f>
        <v>0</v>
      </c>
      <c r="O305" s="701">
        <f>O$687*$G305</f>
        <v>0</v>
      </c>
      <c r="P305" s="702">
        <f>VLOOKUP($B305,dongia1,DG!$F$5,)</f>
        <v>58800</v>
      </c>
      <c r="Q305" s="703"/>
      <c r="R305" s="703"/>
      <c r="S305" s="702">
        <f>$G305*P305</f>
        <v>58800</v>
      </c>
      <c r="T305" s="702">
        <f>$G305*Q305</f>
        <v>0</v>
      </c>
      <c r="U305" s="857">
        <f>SUM(U306:U316)</f>
        <v>0</v>
      </c>
    </row>
    <row r="306" spans="1:21" s="552" customFormat="1" ht="15" hidden="1" customHeight="1">
      <c r="A306" s="621"/>
      <c r="B306" s="622" t="s">
        <v>1614</v>
      </c>
      <c r="C306" s="558"/>
      <c r="D306" s="553">
        <f>VLOOKUP($B306,dongia1,DG!$B$5,)</f>
        <v>0</v>
      </c>
      <c r="E306" s="694" t="str">
        <f>VLOOKUP($B306,dongia1,DG!$C$5,)</f>
        <v>Sắt   Þ10</v>
      </c>
      <c r="F306" s="555" t="str">
        <f>VLOOKUP($B306,dongia1,DG!$D$5,)</f>
        <v>kg</v>
      </c>
      <c r="G306" s="205"/>
      <c r="H306" s="556">
        <f ca="1">H$300*$G306*0</f>
        <v>0</v>
      </c>
      <c r="I306" s="556">
        <f t="shared" ca="1" si="174"/>
        <v>0</v>
      </c>
      <c r="J306" s="556">
        <f t="shared" ca="1" si="174"/>
        <v>0</v>
      </c>
      <c r="K306" s="556">
        <f t="shared" ca="1" si="174"/>
        <v>0</v>
      </c>
      <c r="L306" s="556">
        <f t="shared" ca="1" si="174"/>
        <v>0</v>
      </c>
      <c r="M306" s="556">
        <f t="shared" ca="1" si="174"/>
        <v>0</v>
      </c>
      <c r="N306" s="556">
        <f t="shared" ca="1" si="174"/>
        <v>0</v>
      </c>
      <c r="O306" s="556">
        <f t="shared" si="174"/>
        <v>0</v>
      </c>
      <c r="P306" s="182">
        <f>VLOOKUP($B306,dongia1,DG!$F$5,)*0</f>
        <v>0</v>
      </c>
      <c r="Q306" s="182">
        <f>VLOOKUP($B306,dongia1,DG!$G$5,)</f>
        <v>0</v>
      </c>
      <c r="R306" s="554"/>
      <c r="S306" s="113">
        <f t="shared" ref="S306:U307" si="176">$G306*P306</f>
        <v>0</v>
      </c>
      <c r="T306" s="113">
        <f t="shared" si="176"/>
        <v>0</v>
      </c>
      <c r="U306" s="557">
        <f t="shared" si="176"/>
        <v>0</v>
      </c>
    </row>
    <row r="307" spans="1:21" s="552" customFormat="1" ht="15" hidden="1" customHeight="1">
      <c r="A307" s="621"/>
      <c r="B307" s="622" t="s">
        <v>1615</v>
      </c>
      <c r="C307" s="558"/>
      <c r="D307" s="553">
        <f>VLOOKUP($B307,dongia1,DG!$B$5,)</f>
        <v>0</v>
      </c>
      <c r="E307" s="694" t="str">
        <f>VLOOKUP($B307,dongia1,DG!$C$5,)</f>
        <v>Kẽm</v>
      </c>
      <c r="F307" s="555" t="str">
        <f>VLOOKUP($B307,dongia1,DG!$D$5,)</f>
        <v>kg</v>
      </c>
      <c r="G307" s="205"/>
      <c r="H307" s="556">
        <f ca="1">H$300*$G307*0</f>
        <v>0</v>
      </c>
      <c r="I307" s="556">
        <f t="shared" ca="1" si="174"/>
        <v>0</v>
      </c>
      <c r="J307" s="556">
        <f t="shared" ca="1" si="174"/>
        <v>0</v>
      </c>
      <c r="K307" s="556">
        <f t="shared" ca="1" si="174"/>
        <v>0</v>
      </c>
      <c r="L307" s="556">
        <f t="shared" ca="1" si="174"/>
        <v>0</v>
      </c>
      <c r="M307" s="556">
        <f t="shared" ca="1" si="174"/>
        <v>0</v>
      </c>
      <c r="N307" s="556">
        <f t="shared" ca="1" si="174"/>
        <v>0</v>
      </c>
      <c r="O307" s="556">
        <f t="shared" si="174"/>
        <v>0</v>
      </c>
      <c r="P307" s="182">
        <f>VLOOKUP($B307,dongia1,DG!$F$5,)*0</f>
        <v>0</v>
      </c>
      <c r="Q307" s="182">
        <f>VLOOKUP($B307,dongia1,DG!$G$5,)</f>
        <v>0</v>
      </c>
      <c r="R307" s="554"/>
      <c r="S307" s="113">
        <f t="shared" si="176"/>
        <v>0</v>
      </c>
      <c r="T307" s="113">
        <f t="shared" si="176"/>
        <v>0</v>
      </c>
      <c r="U307" s="557">
        <f t="shared" si="176"/>
        <v>0</v>
      </c>
    </row>
    <row r="308" spans="1:21" hidden="1">
      <c r="B308" s="666" t="s">
        <v>4946</v>
      </c>
      <c r="C308" s="849" t="str">
        <f ca="1">IF(H308&lt;&gt;0,"x"," ")</f>
        <v>x</v>
      </c>
      <c r="D308" s="698"/>
      <c r="E308" s="699" t="str">
        <f>VLOOKUP($B308,dongia1,DG!$C$5,)</f>
        <v>Đào hố móng kiểm tra đất cấp III rộng &lt;=1m, sâu &gt;1m</v>
      </c>
      <c r="F308" s="700" t="str">
        <f>VLOOKUP($B308,dongia1,DG!$D$5,)</f>
        <v>m3</v>
      </c>
      <c r="G308" s="762">
        <v>1.93</v>
      </c>
      <c r="H308" s="701">
        <f t="shared" ca="1" si="174"/>
        <v>1.93</v>
      </c>
      <c r="I308" s="701">
        <f t="shared" ca="1" si="174"/>
        <v>0</v>
      </c>
      <c r="J308" s="701">
        <f t="shared" ca="1" si="174"/>
        <v>0</v>
      </c>
      <c r="K308" s="701">
        <f t="shared" ca="1" si="174"/>
        <v>1.93</v>
      </c>
      <c r="L308" s="701">
        <f t="shared" ca="1" si="174"/>
        <v>0</v>
      </c>
      <c r="M308" s="701">
        <f t="shared" ca="1" si="174"/>
        <v>0</v>
      </c>
      <c r="N308" s="701">
        <f t="shared" ca="1" si="174"/>
        <v>0</v>
      </c>
      <c r="O308" s="701">
        <f t="shared" si="174"/>
        <v>0</v>
      </c>
      <c r="P308" s="702">
        <f>VLOOKUP($B308,dongia1,DG!$F$5,)</f>
        <v>0</v>
      </c>
      <c r="Q308" s="702">
        <f>VLOOKUP($B308,dongia1,DG!$G$5,)</f>
        <v>491832.89999999997</v>
      </c>
      <c r="R308" s="703"/>
      <c r="S308" s="702">
        <f t="shared" si="173"/>
        <v>0</v>
      </c>
      <c r="T308" s="702">
        <f t="shared" si="173"/>
        <v>949237.49699999986</v>
      </c>
      <c r="U308" s="857">
        <f>SUM(U309:U319)</f>
        <v>0</v>
      </c>
    </row>
    <row r="309" spans="1:21" s="552" customFormat="1" ht="15" hidden="1" customHeight="1">
      <c r="A309" s="621"/>
      <c r="B309" s="622" t="s">
        <v>492</v>
      </c>
      <c r="C309" s="849" t="str">
        <f ca="1">C308</f>
        <v>x</v>
      </c>
      <c r="D309" s="553"/>
      <c r="E309" s="694" t="str">
        <f>VLOOKUP($B309,dongia1,DG!$C$5,)</f>
        <v>Đắp đất hố móng K=0,85</v>
      </c>
      <c r="F309" s="555" t="str">
        <f>VLOOKUP($B309,dongia1,DG!$D$5,)</f>
        <v>m3</v>
      </c>
      <c r="G309" s="205">
        <f>0*0.14</f>
        <v>0</v>
      </c>
      <c r="H309" s="556">
        <f t="shared" ca="1" si="174"/>
        <v>0</v>
      </c>
      <c r="I309" s="556">
        <f t="shared" ca="1" si="174"/>
        <v>0</v>
      </c>
      <c r="J309" s="556">
        <f t="shared" ca="1" si="174"/>
        <v>0</v>
      </c>
      <c r="K309" s="556">
        <f t="shared" ca="1" si="174"/>
        <v>0</v>
      </c>
      <c r="L309" s="556">
        <f t="shared" ca="1" si="174"/>
        <v>0</v>
      </c>
      <c r="M309" s="556">
        <f t="shared" ca="1" si="174"/>
        <v>0</v>
      </c>
      <c r="N309" s="556">
        <f t="shared" ca="1" si="174"/>
        <v>0</v>
      </c>
      <c r="O309" s="556">
        <f t="shared" si="174"/>
        <v>0</v>
      </c>
      <c r="P309" s="182">
        <f>VLOOKUP($B309,dongia1,DG!$F$5,)</f>
        <v>0</v>
      </c>
      <c r="Q309" s="182">
        <f>VLOOKUP($B309,dongia1,DG!$G$5,)</f>
        <v>93046</v>
      </c>
      <c r="R309" s="554"/>
      <c r="S309" s="113">
        <f t="shared" si="173"/>
        <v>0</v>
      </c>
      <c r="T309" s="113">
        <f t="shared" si="173"/>
        <v>0</v>
      </c>
      <c r="U309" s="857">
        <f>SUM(U310:U320)</f>
        <v>0</v>
      </c>
    </row>
    <row r="310" spans="1:21" s="552" customFormat="1" ht="15" hidden="1" customHeight="1">
      <c r="A310" s="621"/>
      <c r="B310" s="622" t="s">
        <v>1616</v>
      </c>
      <c r="C310" s="558" t="str">
        <f ca="1">C309</f>
        <v>x</v>
      </c>
      <c r="D310" s="553"/>
      <c r="E310" s="694" t="str">
        <f>VLOOKUP($B310,dongia1,DG!$C$5,)</f>
        <v>Gia công và lắp dựng cốt thép D&lt;=10</v>
      </c>
      <c r="F310" s="555" t="str">
        <f>VLOOKUP($B310,dongia1,DG!$D$5,)</f>
        <v>kg</v>
      </c>
      <c r="G310" s="205"/>
      <c r="H310" s="556">
        <f ca="1">H$300*$G310*0</f>
        <v>0</v>
      </c>
      <c r="I310" s="556">
        <f t="shared" ca="1" si="174"/>
        <v>0</v>
      </c>
      <c r="J310" s="556">
        <f t="shared" ca="1" si="174"/>
        <v>0</v>
      </c>
      <c r="K310" s="556">
        <f t="shared" ca="1" si="174"/>
        <v>0</v>
      </c>
      <c r="L310" s="556">
        <f t="shared" ca="1" si="174"/>
        <v>0</v>
      </c>
      <c r="M310" s="556">
        <f t="shared" ca="1" si="174"/>
        <v>0</v>
      </c>
      <c r="N310" s="556">
        <f t="shared" ca="1" si="174"/>
        <v>0</v>
      </c>
      <c r="O310" s="556">
        <f t="shared" si="174"/>
        <v>0</v>
      </c>
      <c r="P310" s="182"/>
      <c r="Q310" s="182">
        <f>VLOOKUP($B310,dongia1,DG!$G$5,)*0</f>
        <v>0</v>
      </c>
      <c r="R310" s="554"/>
      <c r="S310" s="113">
        <f t="shared" ref="S310:U311" si="177">$G310*P310</f>
        <v>0</v>
      </c>
      <c r="T310" s="113">
        <f t="shared" si="177"/>
        <v>0</v>
      </c>
      <c r="U310" s="557">
        <f t="shared" si="177"/>
        <v>0</v>
      </c>
    </row>
    <row r="311" spans="1:21" hidden="1">
      <c r="B311" s="696" t="s">
        <v>2065</v>
      </c>
      <c r="C311" s="849" t="str">
        <f ca="1">C310</f>
        <v>x</v>
      </c>
      <c r="D311" s="698"/>
      <c r="E311" s="699" t="str">
        <f>VLOOKUP($B311,dongia1,DG!$C$5,)</f>
        <v>Đổ bê tông mác M150 đá 2x4 rộng &gt;250cm</v>
      </c>
      <c r="F311" s="700" t="str">
        <f>VLOOKUP($B311,dongia1,DG!$D$5,)</f>
        <v>m3</v>
      </c>
      <c r="G311" s="762">
        <v>1.704</v>
      </c>
      <c r="H311" s="701">
        <f t="shared" ca="1" si="174"/>
        <v>1.704</v>
      </c>
      <c r="I311" s="701">
        <f t="shared" ca="1" si="174"/>
        <v>0</v>
      </c>
      <c r="J311" s="701">
        <f t="shared" ca="1" si="174"/>
        <v>0</v>
      </c>
      <c r="K311" s="701">
        <f t="shared" ca="1" si="174"/>
        <v>1.704</v>
      </c>
      <c r="L311" s="701">
        <f t="shared" ca="1" si="174"/>
        <v>0</v>
      </c>
      <c r="M311" s="701">
        <f t="shared" ca="1" si="174"/>
        <v>0</v>
      </c>
      <c r="N311" s="701">
        <f t="shared" ca="1" si="174"/>
        <v>0</v>
      </c>
      <c r="O311" s="701">
        <f t="shared" si="174"/>
        <v>0</v>
      </c>
      <c r="P311" s="702"/>
      <c r="Q311" s="702">
        <f>VLOOKUP($B311,dongia1,DG!$G$5,)</f>
        <v>414064.45</v>
      </c>
      <c r="R311" s="703"/>
      <c r="S311" s="702">
        <f t="shared" si="177"/>
        <v>0</v>
      </c>
      <c r="T311" s="702">
        <f t="shared" si="177"/>
        <v>705565.82279999997</v>
      </c>
      <c r="U311" s="857">
        <f>SUM(U312:U322)</f>
        <v>0</v>
      </c>
    </row>
    <row r="312" spans="1:21" s="552" customFormat="1" ht="15" hidden="1" customHeight="1">
      <c r="A312" s="621" t="s">
        <v>1848</v>
      </c>
      <c r="B312" s="622"/>
      <c r="C312" s="558" t="str">
        <f ca="1">IF(H312&lt;&gt;0,"x"," ")</f>
        <v xml:space="preserve"> </v>
      </c>
      <c r="D312" s="553"/>
      <c r="E312" s="727" t="s">
        <v>3522</v>
      </c>
      <c r="F312" s="600" t="s">
        <v>3391</v>
      </c>
      <c r="G312" s="205"/>
      <c r="H312" s="556">
        <f ca="1">SUM(I312:N312)</f>
        <v>0</v>
      </c>
      <c r="I312" s="556">
        <f ca="1">SUMIF(mong3pm,chitiet!$A312,slmong3pm)</f>
        <v>0</v>
      </c>
      <c r="J312" s="556">
        <f ca="1">SUMIF(mongct,chitiet!$A312,slmongct)</f>
        <v>0</v>
      </c>
      <c r="K312" s="556">
        <f ca="1">SUMIF(mong3p1m,chitiet!$A312,slmong3p1m)</f>
        <v>0</v>
      </c>
      <c r="L312" s="556">
        <f ca="1">SUMIF(mong1pm,chitiet!$A312,slmong1pm)</f>
        <v>0</v>
      </c>
      <c r="M312" s="556">
        <f ca="1">SUMIF(monghthh,chitiet!$A312,slmonghthh)</f>
        <v>0</v>
      </c>
      <c r="N312" s="556">
        <f ca="1">SUMIF(mongHTDL,chitiet!$A312,SLmongHTDL)</f>
        <v>0</v>
      </c>
      <c r="O312" s="556"/>
      <c r="P312" s="554"/>
      <c r="Q312" s="554"/>
      <c r="R312" s="554"/>
      <c r="S312" s="601">
        <f>SUM(S313:S324)</f>
        <v>4194039</v>
      </c>
      <c r="T312" s="601">
        <f>SUM(T313:T324)</f>
        <v>1529265.3159960001</v>
      </c>
      <c r="U312" s="714">
        <f>SUM(U313:U324)</f>
        <v>0</v>
      </c>
    </row>
    <row r="313" spans="1:21" s="552" customFormat="1" ht="15" hidden="1" customHeight="1">
      <c r="A313" s="621"/>
      <c r="B313" s="622" t="s">
        <v>1728</v>
      </c>
      <c r="C313" s="558" t="str">
        <f t="shared" ref="C313:C318" ca="1" si="178">C312</f>
        <v xml:space="preserve"> </v>
      </c>
      <c r="D313" s="553">
        <f>VLOOKUP($B313,dongia1,DG!$B$5,)</f>
        <v>0</v>
      </c>
      <c r="E313" s="694" t="str">
        <f>VLOOKUP($B313,dongia1,DG!$C$5,)</f>
        <v>Ximăng</v>
      </c>
      <c r="F313" s="555" t="str">
        <f>VLOOKUP($B313,dongia1,DG!$D$5,)</f>
        <v>kg</v>
      </c>
      <c r="G313" s="205">
        <v>838</v>
      </c>
      <c r="H313" s="556">
        <f ca="1">H$312*$G313</f>
        <v>0</v>
      </c>
      <c r="I313" s="556">
        <f t="shared" ref="I313:O313" ca="1" si="179">I$312*$G313</f>
        <v>0</v>
      </c>
      <c r="J313" s="556">
        <f t="shared" ca="1" si="179"/>
        <v>0</v>
      </c>
      <c r="K313" s="556">
        <f t="shared" ca="1" si="179"/>
        <v>0</v>
      </c>
      <c r="L313" s="556">
        <f t="shared" ca="1" si="179"/>
        <v>0</v>
      </c>
      <c r="M313" s="556">
        <f t="shared" ca="1" si="179"/>
        <v>0</v>
      </c>
      <c r="N313" s="556">
        <f t="shared" ca="1" si="179"/>
        <v>0</v>
      </c>
      <c r="O313" s="556">
        <f t="shared" si="179"/>
        <v>0</v>
      </c>
      <c r="P313" s="182">
        <f>VLOOKUP($B313,dongia1,DG!$F$5,)</f>
        <v>1740</v>
      </c>
      <c r="Q313" s="182">
        <f>VLOOKUP($B313,dongia1,DG!$G$5,)</f>
        <v>0</v>
      </c>
      <c r="R313" s="554"/>
      <c r="S313" s="113">
        <f t="shared" ref="S313:S322" si="180">$G313*P313</f>
        <v>1458120</v>
      </c>
      <c r="T313" s="113">
        <f t="shared" ref="T313:T322" si="181">$G313*Q313</f>
        <v>0</v>
      </c>
      <c r="U313" s="557">
        <f t="shared" ref="U313:U322" si="182">$G313*R313</f>
        <v>0</v>
      </c>
    </row>
    <row r="314" spans="1:21" s="552" customFormat="1" ht="15" hidden="1" customHeight="1">
      <c r="A314" s="621"/>
      <c r="B314" s="622" t="s">
        <v>1729</v>
      </c>
      <c r="C314" s="558" t="str">
        <f t="shared" ca="1" si="178"/>
        <v xml:space="preserve"> </v>
      </c>
      <c r="D314" s="553">
        <f>VLOOKUP($B314,dongia1,DG!$B$5,)</f>
        <v>0</v>
      </c>
      <c r="E314" s="694" t="str">
        <f>VLOOKUP($B314,dongia1,DG!$C$5,)</f>
        <v>Cát vàng</v>
      </c>
      <c r="F314" s="555" t="str">
        <f>VLOOKUP($B314,dongia1,DG!$D$5,)</f>
        <v>m3</v>
      </c>
      <c r="G314" s="205">
        <v>0.80100000000000005</v>
      </c>
      <c r="H314" s="556">
        <f t="shared" ref="H314:O324" ca="1" si="183">H$312*$G314</f>
        <v>0</v>
      </c>
      <c r="I314" s="556">
        <f t="shared" ca="1" si="183"/>
        <v>0</v>
      </c>
      <c r="J314" s="556">
        <f t="shared" ca="1" si="183"/>
        <v>0</v>
      </c>
      <c r="K314" s="556">
        <f t="shared" ca="1" si="183"/>
        <v>0</v>
      </c>
      <c r="L314" s="556">
        <f t="shared" ca="1" si="183"/>
        <v>0</v>
      </c>
      <c r="M314" s="556">
        <f t="shared" ca="1" si="183"/>
        <v>0</v>
      </c>
      <c r="N314" s="556">
        <f t="shared" ca="1" si="183"/>
        <v>0</v>
      </c>
      <c r="O314" s="556">
        <f t="shared" si="183"/>
        <v>0</v>
      </c>
      <c r="P314" s="182">
        <f>VLOOKUP($B314,dongia1,DG!$F$5,)</f>
        <v>512000</v>
      </c>
      <c r="Q314" s="182">
        <f>VLOOKUP($B314,dongia1,DG!$G$5,)</f>
        <v>0</v>
      </c>
      <c r="R314" s="554"/>
      <c r="S314" s="113">
        <f t="shared" si="180"/>
        <v>410112</v>
      </c>
      <c r="T314" s="113">
        <f t="shared" si="181"/>
        <v>0</v>
      </c>
      <c r="U314" s="557">
        <f t="shared" si="182"/>
        <v>0</v>
      </c>
    </row>
    <row r="315" spans="1:21" s="552" customFormat="1" ht="15" hidden="1" customHeight="1">
      <c r="A315" s="621"/>
      <c r="B315" s="622" t="s">
        <v>853</v>
      </c>
      <c r="C315" s="558" t="str">
        <f t="shared" ca="1" si="178"/>
        <v xml:space="preserve"> </v>
      </c>
      <c r="D315" s="553">
        <f>VLOOKUP($B315,dongia1,DG!$B$5,)</f>
        <v>0</v>
      </c>
      <c r="E315" s="694" t="str">
        <f>VLOOKUP($B315,dongia1,DG!$C$5,)</f>
        <v>Đá 1x2</v>
      </c>
      <c r="F315" s="555" t="str">
        <f>VLOOKUP($B315,dongia1,DG!$D$5,)</f>
        <v>m3</v>
      </c>
      <c r="G315" s="205">
        <v>1.6559999999999999</v>
      </c>
      <c r="H315" s="556">
        <f t="shared" ca="1" si="183"/>
        <v>0</v>
      </c>
      <c r="I315" s="556">
        <f t="shared" ca="1" si="183"/>
        <v>0</v>
      </c>
      <c r="J315" s="556">
        <f t="shared" ca="1" si="183"/>
        <v>0</v>
      </c>
      <c r="K315" s="556">
        <f t="shared" ca="1" si="183"/>
        <v>0</v>
      </c>
      <c r="L315" s="556">
        <f t="shared" ca="1" si="183"/>
        <v>0</v>
      </c>
      <c r="M315" s="556">
        <f t="shared" ca="1" si="183"/>
        <v>0</v>
      </c>
      <c r="N315" s="556">
        <f t="shared" ca="1" si="183"/>
        <v>0</v>
      </c>
      <c r="O315" s="556">
        <f t="shared" si="183"/>
        <v>0</v>
      </c>
      <c r="P315" s="182">
        <f>VLOOKUP($B315,dongia1,DG!$F$5,)</f>
        <v>335000</v>
      </c>
      <c r="Q315" s="182">
        <f>VLOOKUP($B315,dongia1,DG!$G$5,)</f>
        <v>0</v>
      </c>
      <c r="R315" s="554"/>
      <c r="S315" s="113">
        <f t="shared" si="180"/>
        <v>554760</v>
      </c>
      <c r="T315" s="113">
        <f t="shared" si="181"/>
        <v>0</v>
      </c>
      <c r="U315" s="557">
        <f t="shared" si="182"/>
        <v>0</v>
      </c>
    </row>
    <row r="316" spans="1:21" s="552" customFormat="1" ht="15" hidden="1" customHeight="1">
      <c r="A316" s="621"/>
      <c r="B316" s="622" t="s">
        <v>391</v>
      </c>
      <c r="C316" s="558" t="str">
        <f t="shared" ca="1" si="178"/>
        <v xml:space="preserve"> </v>
      </c>
      <c r="D316" s="553">
        <f>VLOOKUP($B316,dongia1,DG!$B$5,)</f>
        <v>0</v>
      </c>
      <c r="E316" s="694" t="str">
        <f>VLOOKUP($B316,dongia1,DG!$C$5,)</f>
        <v>Sắt   Þ16</v>
      </c>
      <c r="F316" s="555" t="str">
        <f>VLOOKUP($B316,dongia1,DG!$D$5,)</f>
        <v>kg</v>
      </c>
      <c r="G316" s="205">
        <v>53.24</v>
      </c>
      <c r="H316" s="556">
        <f t="shared" ca="1" si="183"/>
        <v>0</v>
      </c>
      <c r="I316" s="556">
        <f t="shared" ca="1" si="183"/>
        <v>0</v>
      </c>
      <c r="J316" s="556">
        <f t="shared" ca="1" si="183"/>
        <v>0</v>
      </c>
      <c r="K316" s="556">
        <f t="shared" ca="1" si="183"/>
        <v>0</v>
      </c>
      <c r="L316" s="556">
        <f t="shared" ca="1" si="183"/>
        <v>0</v>
      </c>
      <c r="M316" s="556">
        <f t="shared" ca="1" si="183"/>
        <v>0</v>
      </c>
      <c r="N316" s="556">
        <f t="shared" ca="1" si="183"/>
        <v>0</v>
      </c>
      <c r="O316" s="556">
        <f t="shared" si="183"/>
        <v>0</v>
      </c>
      <c r="P316" s="182">
        <f>VLOOKUP($B316,dongia1,DG!$F$5,)</f>
        <v>13200</v>
      </c>
      <c r="Q316" s="182">
        <f>VLOOKUP($B316,dongia1,DG!$G$5,)</f>
        <v>0</v>
      </c>
      <c r="R316" s="554"/>
      <c r="S316" s="113">
        <f t="shared" si="180"/>
        <v>702768</v>
      </c>
      <c r="T316" s="113">
        <f t="shared" si="181"/>
        <v>0</v>
      </c>
      <c r="U316" s="557">
        <f t="shared" si="182"/>
        <v>0</v>
      </c>
    </row>
    <row r="317" spans="1:21" s="552" customFormat="1" ht="15" hidden="1" customHeight="1">
      <c r="A317" s="621"/>
      <c r="B317" s="622" t="s">
        <v>1614</v>
      </c>
      <c r="C317" s="558" t="str">
        <f t="shared" ca="1" si="178"/>
        <v xml:space="preserve"> </v>
      </c>
      <c r="D317" s="553">
        <f>VLOOKUP($B317,dongia1,DG!$B$5,)</f>
        <v>0</v>
      </c>
      <c r="E317" s="694" t="str">
        <f>VLOOKUP($B317,dongia1,DG!$C$5,)</f>
        <v>Sắt   Þ10</v>
      </c>
      <c r="F317" s="555" t="str">
        <f>VLOOKUP($B317,dongia1,DG!$D$5,)</f>
        <v>kg</v>
      </c>
      <c r="G317" s="205">
        <v>4.4400000000000004</v>
      </c>
      <c r="H317" s="556">
        <f t="shared" ca="1" si="183"/>
        <v>0</v>
      </c>
      <c r="I317" s="556">
        <f t="shared" ca="1" si="183"/>
        <v>0</v>
      </c>
      <c r="J317" s="556">
        <f t="shared" ca="1" si="183"/>
        <v>0</v>
      </c>
      <c r="K317" s="556">
        <f t="shared" ca="1" si="183"/>
        <v>0</v>
      </c>
      <c r="L317" s="556">
        <f t="shared" ca="1" si="183"/>
        <v>0</v>
      </c>
      <c r="M317" s="556">
        <f t="shared" ca="1" si="183"/>
        <v>0</v>
      </c>
      <c r="N317" s="556">
        <f t="shared" ca="1" si="183"/>
        <v>0</v>
      </c>
      <c r="O317" s="556">
        <f t="shared" si="183"/>
        <v>0</v>
      </c>
      <c r="P317" s="182">
        <f>VLOOKUP($B317,dongia1,DG!$F$5,)</f>
        <v>13300</v>
      </c>
      <c r="Q317" s="182">
        <f>VLOOKUP($B317,dongia1,DG!$G$5,)</f>
        <v>0</v>
      </c>
      <c r="R317" s="554"/>
      <c r="S317" s="113">
        <f t="shared" ref="S317:U318" si="184">$G317*P317</f>
        <v>59052.000000000007</v>
      </c>
      <c r="T317" s="113">
        <f t="shared" si="184"/>
        <v>0</v>
      </c>
      <c r="U317" s="557">
        <f t="shared" si="184"/>
        <v>0</v>
      </c>
    </row>
    <row r="318" spans="1:21" s="552" customFormat="1" ht="15" hidden="1" customHeight="1">
      <c r="A318" s="621"/>
      <c r="B318" s="622" t="s">
        <v>1849</v>
      </c>
      <c r="C318" s="558" t="str">
        <f t="shared" ca="1" si="178"/>
        <v xml:space="preserve"> </v>
      </c>
      <c r="D318" s="553">
        <f>VLOOKUP($B318,dongia1,DG!$B$5,)</f>
        <v>0</v>
      </c>
      <c r="E318" s="694" t="str">
        <f>VLOOKUP($B318,dongia1,DG!$C$5,)</f>
        <v>Sắt   Þ8</v>
      </c>
      <c r="F318" s="555" t="str">
        <f>VLOOKUP($B318,dongia1,DG!$D$5,)</f>
        <v>kg</v>
      </c>
      <c r="G318" s="205">
        <v>13.36</v>
      </c>
      <c r="H318" s="556">
        <f t="shared" ca="1" si="183"/>
        <v>0</v>
      </c>
      <c r="I318" s="556">
        <f t="shared" ca="1" si="183"/>
        <v>0</v>
      </c>
      <c r="J318" s="556">
        <f t="shared" ca="1" si="183"/>
        <v>0</v>
      </c>
      <c r="K318" s="556">
        <f t="shared" ca="1" si="183"/>
        <v>0</v>
      </c>
      <c r="L318" s="556">
        <f t="shared" ca="1" si="183"/>
        <v>0</v>
      </c>
      <c r="M318" s="556">
        <f t="shared" ca="1" si="183"/>
        <v>0</v>
      </c>
      <c r="N318" s="556">
        <f t="shared" ca="1" si="183"/>
        <v>0</v>
      </c>
      <c r="O318" s="556">
        <f t="shared" si="183"/>
        <v>0</v>
      </c>
      <c r="P318" s="182">
        <f>VLOOKUP($B318,dongia1,DG!$F$5,)</f>
        <v>13200</v>
      </c>
      <c r="Q318" s="182">
        <f>VLOOKUP($B318,dongia1,DG!$G$5,)</f>
        <v>0</v>
      </c>
      <c r="R318" s="554"/>
      <c r="S318" s="113">
        <f t="shared" si="184"/>
        <v>176352</v>
      </c>
      <c r="T318" s="113">
        <f t="shared" si="184"/>
        <v>0</v>
      </c>
      <c r="U318" s="557">
        <f t="shared" si="184"/>
        <v>0</v>
      </c>
    </row>
    <row r="319" spans="1:21" s="552" customFormat="1" ht="15" hidden="1" customHeight="1">
      <c r="A319" s="621"/>
      <c r="B319" s="622" t="s">
        <v>1615</v>
      </c>
      <c r="C319" s="558" t="str">
        <f ca="1">C316</f>
        <v xml:space="preserve"> </v>
      </c>
      <c r="D319" s="553">
        <f>VLOOKUP($B319,dongia1,DG!$B$5,)</f>
        <v>0</v>
      </c>
      <c r="E319" s="694" t="str">
        <f>VLOOKUP($B319,dongia1,DG!$C$5,)</f>
        <v>Kẽm</v>
      </c>
      <c r="F319" s="555" t="str">
        <f>VLOOKUP($B319,dongia1,DG!$D$5,)</f>
        <v>kg</v>
      </c>
      <c r="G319" s="205">
        <v>0.75</v>
      </c>
      <c r="H319" s="556">
        <f t="shared" ca="1" si="183"/>
        <v>0</v>
      </c>
      <c r="I319" s="556">
        <f t="shared" ca="1" si="183"/>
        <v>0</v>
      </c>
      <c r="J319" s="556">
        <f t="shared" ca="1" si="183"/>
        <v>0</v>
      </c>
      <c r="K319" s="556">
        <f t="shared" ca="1" si="183"/>
        <v>0</v>
      </c>
      <c r="L319" s="556">
        <f t="shared" ca="1" si="183"/>
        <v>0</v>
      </c>
      <c r="M319" s="556">
        <f t="shared" ca="1" si="183"/>
        <v>0</v>
      </c>
      <c r="N319" s="556">
        <f t="shared" ca="1" si="183"/>
        <v>0</v>
      </c>
      <c r="O319" s="556">
        <f t="shared" si="183"/>
        <v>0</v>
      </c>
      <c r="P319" s="182">
        <f>VLOOKUP($B319,dongia1,DG!$F$5,)</f>
        <v>10500</v>
      </c>
      <c r="Q319" s="182">
        <f>VLOOKUP($B319,dongia1,DG!$G$5,)</f>
        <v>0</v>
      </c>
      <c r="R319" s="554"/>
      <c r="S319" s="113">
        <f t="shared" si="180"/>
        <v>7875</v>
      </c>
      <c r="T319" s="113">
        <f t="shared" si="181"/>
        <v>0</v>
      </c>
      <c r="U319" s="557">
        <f t="shared" si="182"/>
        <v>0</v>
      </c>
    </row>
    <row r="320" spans="1:21" s="552" customFormat="1" ht="15" hidden="1" customHeight="1">
      <c r="A320" s="621"/>
      <c r="B320" s="622" t="s">
        <v>387</v>
      </c>
      <c r="C320" s="558" t="str">
        <f ca="1">C317</f>
        <v xml:space="preserve"> </v>
      </c>
      <c r="D320" s="553"/>
      <c r="E320" s="694" t="str">
        <f>VLOOKUP($B320,dongia1,DG!$C$5,)</f>
        <v>Cong D1000x1000mm</v>
      </c>
      <c r="F320" s="555" t="str">
        <f>VLOOKUP($B320,dongia1,DG!$D$5,)</f>
        <v>cái</v>
      </c>
      <c r="G320" s="205">
        <v>2</v>
      </c>
      <c r="H320" s="556">
        <f t="shared" ca="1" si="183"/>
        <v>0</v>
      </c>
      <c r="I320" s="556">
        <f t="shared" ca="1" si="183"/>
        <v>0</v>
      </c>
      <c r="J320" s="556">
        <f t="shared" ca="1" si="183"/>
        <v>0</v>
      </c>
      <c r="K320" s="556">
        <f t="shared" ca="1" si="183"/>
        <v>0</v>
      </c>
      <c r="L320" s="556">
        <f t="shared" ca="1" si="183"/>
        <v>0</v>
      </c>
      <c r="M320" s="556">
        <f t="shared" ca="1" si="183"/>
        <v>0</v>
      </c>
      <c r="N320" s="556">
        <f t="shared" ca="1" si="183"/>
        <v>0</v>
      </c>
      <c r="O320" s="556">
        <f t="shared" si="183"/>
        <v>0</v>
      </c>
      <c r="P320" s="182">
        <f>VLOOKUP($B320,dongia1,DG!$F$5,)</f>
        <v>325000</v>
      </c>
      <c r="Q320" s="182"/>
      <c r="R320" s="554"/>
      <c r="S320" s="113">
        <f>$G320*P320</f>
        <v>650000</v>
      </c>
      <c r="T320" s="113"/>
      <c r="U320" s="557">
        <f>$G320*R320</f>
        <v>0</v>
      </c>
    </row>
    <row r="321" spans="1:21" s="552" customFormat="1" ht="15" hidden="1" customHeight="1">
      <c r="A321" s="621"/>
      <c r="B321" s="622" t="s">
        <v>388</v>
      </c>
      <c r="C321" s="558" t="str">
        <f ca="1">C318</f>
        <v xml:space="preserve"> </v>
      </c>
      <c r="D321" s="553"/>
      <c r="E321" s="694" t="str">
        <f>VLOOKUP($B321,dongia1,DG!$C$5,)</f>
        <v>Cong D1000x400mm</v>
      </c>
      <c r="F321" s="555" t="str">
        <f>VLOOKUP($B321,dongia1,DG!$D$5,)</f>
        <v>cái</v>
      </c>
      <c r="G321" s="205">
        <v>1</v>
      </c>
      <c r="H321" s="556">
        <f t="shared" ca="1" si="183"/>
        <v>0</v>
      </c>
      <c r="I321" s="556">
        <f t="shared" ca="1" si="183"/>
        <v>0</v>
      </c>
      <c r="J321" s="556">
        <f t="shared" ca="1" si="183"/>
        <v>0</v>
      </c>
      <c r="K321" s="556">
        <f t="shared" ca="1" si="183"/>
        <v>0</v>
      </c>
      <c r="L321" s="556">
        <f t="shared" ca="1" si="183"/>
        <v>0</v>
      </c>
      <c r="M321" s="556">
        <f t="shared" ca="1" si="183"/>
        <v>0</v>
      </c>
      <c r="N321" s="556">
        <f t="shared" ca="1" si="183"/>
        <v>0</v>
      </c>
      <c r="O321" s="556">
        <f t="shared" si="183"/>
        <v>0</v>
      </c>
      <c r="P321" s="182">
        <f>VLOOKUP($B321,dongia1,DG!$F$5,)</f>
        <v>175000</v>
      </c>
      <c r="Q321" s="182"/>
      <c r="R321" s="554"/>
      <c r="S321" s="113">
        <f>$G321*P321</f>
        <v>175000</v>
      </c>
      <c r="T321" s="113"/>
      <c r="U321" s="557">
        <f>$G321*R321</f>
        <v>0</v>
      </c>
    </row>
    <row r="322" spans="1:21" s="552" customFormat="1" ht="15" hidden="1" customHeight="1">
      <c r="A322" s="621"/>
      <c r="B322" s="622" t="s">
        <v>1645</v>
      </c>
      <c r="C322" s="558" t="str">
        <f ca="1">C319</f>
        <v xml:space="preserve"> </v>
      </c>
      <c r="D322" s="553"/>
      <c r="E322" s="694" t="str">
        <f>VLOOKUP($B322,dongia1,DG!$C$5,)</f>
        <v>Đào hố móng đất cấp 3 sâu &gt;1m DT&lt;5m2</v>
      </c>
      <c r="F322" s="555" t="str">
        <f>VLOOKUP($B322,dongia1,DG!$D$5,)</f>
        <v>m3</v>
      </c>
      <c r="G322" s="205">
        <v>1.93</v>
      </c>
      <c r="H322" s="556">
        <f t="shared" ca="1" si="183"/>
        <v>0</v>
      </c>
      <c r="I322" s="556">
        <f t="shared" ca="1" si="183"/>
        <v>0</v>
      </c>
      <c r="J322" s="556">
        <f t="shared" ca="1" si="183"/>
        <v>0</v>
      </c>
      <c r="K322" s="556">
        <f t="shared" ca="1" si="183"/>
        <v>0</v>
      </c>
      <c r="L322" s="556">
        <f t="shared" ca="1" si="183"/>
        <v>0</v>
      </c>
      <c r="M322" s="556">
        <f t="shared" ca="1" si="183"/>
        <v>0</v>
      </c>
      <c r="N322" s="556">
        <f t="shared" ca="1" si="183"/>
        <v>0</v>
      </c>
      <c r="O322" s="556">
        <f t="shared" si="183"/>
        <v>0</v>
      </c>
      <c r="P322" s="182">
        <f>VLOOKUP($B322,dongia1,DG!$F$5,)</f>
        <v>0</v>
      </c>
      <c r="Q322" s="182">
        <f>VLOOKUP($B322,dongia1,DG!$G$5,)</f>
        <v>296500.89999999997</v>
      </c>
      <c r="R322" s="554"/>
      <c r="S322" s="113">
        <f t="shared" si="180"/>
        <v>0</v>
      </c>
      <c r="T322" s="113">
        <f t="shared" si="181"/>
        <v>572246.73699999996</v>
      </c>
      <c r="U322" s="557">
        <f t="shared" si="182"/>
        <v>0</v>
      </c>
    </row>
    <row r="323" spans="1:21" s="552" customFormat="1" ht="15" hidden="1" customHeight="1">
      <c r="A323" s="621"/>
      <c r="B323" s="622" t="s">
        <v>1616</v>
      </c>
      <c r="C323" s="558"/>
      <c r="D323" s="553"/>
      <c r="E323" s="694" t="str">
        <f>VLOOKUP($B323,dongia1,DG!$C$5,)</f>
        <v>Gia công và lắp dựng cốt thép D&lt;=10</v>
      </c>
      <c r="F323" s="555" t="str">
        <f>VLOOKUP($B323,dongia1,DG!$D$5,)</f>
        <v>kg</v>
      </c>
      <c r="G323" s="205">
        <f>G316</f>
        <v>53.24</v>
      </c>
      <c r="H323" s="556">
        <f t="shared" ca="1" si="183"/>
        <v>0</v>
      </c>
      <c r="I323" s="556">
        <f ca="1">I$312*$G323</f>
        <v>0</v>
      </c>
      <c r="J323" s="556">
        <f t="shared" ca="1" si="183"/>
        <v>0</v>
      </c>
      <c r="K323" s="556">
        <f t="shared" ca="1" si="183"/>
        <v>0</v>
      </c>
      <c r="L323" s="556">
        <f t="shared" ca="1" si="183"/>
        <v>0</v>
      </c>
      <c r="M323" s="556">
        <f t="shared" ca="1" si="183"/>
        <v>0</v>
      </c>
      <c r="N323" s="556">
        <f t="shared" ca="1" si="183"/>
        <v>0</v>
      </c>
      <c r="O323" s="556">
        <f t="shared" si="183"/>
        <v>0</v>
      </c>
      <c r="P323" s="182"/>
      <c r="Q323" s="182">
        <f>VLOOKUP($B323,dongia1,DG!$G$5,)</f>
        <v>2965.3303999999998</v>
      </c>
      <c r="R323" s="554"/>
      <c r="S323" s="113">
        <f t="shared" ref="S323:U324" si="185">$G323*P323</f>
        <v>0</v>
      </c>
      <c r="T323" s="113">
        <f t="shared" si="185"/>
        <v>157874.190496</v>
      </c>
      <c r="U323" s="557">
        <f t="shared" si="185"/>
        <v>0</v>
      </c>
    </row>
    <row r="324" spans="1:21" s="552" customFormat="1" ht="15" hidden="1" customHeight="1">
      <c r="A324" s="621"/>
      <c r="B324" s="622" t="s">
        <v>2065</v>
      </c>
      <c r="C324" s="558" t="str">
        <f ca="1">C322</f>
        <v xml:space="preserve"> </v>
      </c>
      <c r="D324" s="553"/>
      <c r="E324" s="694" t="str">
        <f>VLOOKUP($B324,dongia1,DG!$C$5,)</f>
        <v>Đổ bê tông mác M150 đá 2x4 rộng &gt;250cm</v>
      </c>
      <c r="F324" s="555" t="str">
        <f>VLOOKUP($B324,dongia1,DG!$D$5,)</f>
        <v>m3</v>
      </c>
      <c r="G324" s="205">
        <v>1.93</v>
      </c>
      <c r="H324" s="556">
        <f t="shared" ca="1" si="183"/>
        <v>0</v>
      </c>
      <c r="I324" s="556">
        <f t="shared" ca="1" si="183"/>
        <v>0</v>
      </c>
      <c r="J324" s="556">
        <f t="shared" ca="1" si="183"/>
        <v>0</v>
      </c>
      <c r="K324" s="556">
        <f t="shared" ca="1" si="183"/>
        <v>0</v>
      </c>
      <c r="L324" s="556">
        <f t="shared" ca="1" si="183"/>
        <v>0</v>
      </c>
      <c r="M324" s="556">
        <f t="shared" ca="1" si="183"/>
        <v>0</v>
      </c>
      <c r="N324" s="556">
        <f t="shared" ca="1" si="183"/>
        <v>0</v>
      </c>
      <c r="O324" s="556">
        <f t="shared" si="183"/>
        <v>0</v>
      </c>
      <c r="P324" s="182"/>
      <c r="Q324" s="182">
        <f>VLOOKUP($B324,dongia1,DG!$G$5,)</f>
        <v>414064.45</v>
      </c>
      <c r="R324" s="554"/>
      <c r="S324" s="113">
        <f t="shared" si="185"/>
        <v>0</v>
      </c>
      <c r="T324" s="113">
        <f t="shared" si="185"/>
        <v>799144.3885</v>
      </c>
      <c r="U324" s="557">
        <f t="shared" si="185"/>
        <v>0</v>
      </c>
    </row>
    <row r="325" spans="1:21" s="552" customFormat="1" ht="15" hidden="1" customHeight="1">
      <c r="A325" s="621" t="s">
        <v>939</v>
      </c>
      <c r="B325" s="622"/>
      <c r="C325" s="558" t="str">
        <f ca="1">IF(H325&lt;&gt;0,"x"," ")</f>
        <v xml:space="preserve"> </v>
      </c>
      <c r="D325" s="553"/>
      <c r="E325" s="727" t="s">
        <v>3523</v>
      </c>
      <c r="F325" s="600" t="s">
        <v>3391</v>
      </c>
      <c r="G325" s="205"/>
      <c r="H325" s="556">
        <f ca="1">SUM(I325:N325)</f>
        <v>0</v>
      </c>
      <c r="I325" s="556">
        <f ca="1">SUMIF(mong3pm,chitiet!$A325,slmong3pm)</f>
        <v>0</v>
      </c>
      <c r="J325" s="556">
        <f ca="1">SUMIF(mongct,chitiet!$A325,slmongct)</f>
        <v>0</v>
      </c>
      <c r="K325" s="556">
        <f ca="1">SUMIF(mong3p1m,chitiet!$A325,slmong3p1m)</f>
        <v>0</v>
      </c>
      <c r="L325" s="556">
        <f ca="1">SUMIF(mong1pm,chitiet!$A325,slmong1pm)</f>
        <v>0</v>
      </c>
      <c r="M325" s="556">
        <f ca="1">SUMIF(monghthh,chitiet!$A325,slmonghthh)</f>
        <v>0</v>
      </c>
      <c r="N325" s="556">
        <f ca="1">SUMIF(mongHTDL,chitiet!$A325,SLmongHTDL)</f>
        <v>0</v>
      </c>
      <c r="O325" s="556"/>
      <c r="P325" s="554"/>
      <c r="Q325" s="554"/>
      <c r="R325" s="554"/>
      <c r="S325" s="602">
        <f>SUM(S326:S330)</f>
        <v>1887335</v>
      </c>
      <c r="T325" s="602">
        <f>SUM(T326:T330)</f>
        <v>459998.55</v>
      </c>
      <c r="U325" s="602">
        <f>SUM(U326:U330)</f>
        <v>0</v>
      </c>
    </row>
    <row r="326" spans="1:21" s="552" customFormat="1" ht="15" hidden="1" customHeight="1">
      <c r="A326" s="621"/>
      <c r="B326" s="622" t="s">
        <v>1728</v>
      </c>
      <c r="C326" s="558" t="str">
        <f ca="1">C325</f>
        <v xml:space="preserve"> </v>
      </c>
      <c r="D326" s="553"/>
      <c r="E326" s="694" t="str">
        <f>VLOOKUP($B326,dongia1,DG!$C$5,)</f>
        <v>Ximăng</v>
      </c>
      <c r="F326" s="555" t="str">
        <f>VLOOKUP($B326,dongia1,DG!$D$5,)</f>
        <v>kg</v>
      </c>
      <c r="G326" s="205">
        <v>510</v>
      </c>
      <c r="H326" s="556">
        <f ca="1">H$325*$G326</f>
        <v>0</v>
      </c>
      <c r="I326" s="556">
        <f t="shared" ref="I326:O326" ca="1" si="186">I$325*$G326</f>
        <v>0</v>
      </c>
      <c r="J326" s="556">
        <f t="shared" ca="1" si="186"/>
        <v>0</v>
      </c>
      <c r="K326" s="556">
        <f t="shared" ca="1" si="186"/>
        <v>0</v>
      </c>
      <c r="L326" s="556">
        <f t="shared" ca="1" si="186"/>
        <v>0</v>
      </c>
      <c r="M326" s="556">
        <f t="shared" ca="1" si="186"/>
        <v>0</v>
      </c>
      <c r="N326" s="556">
        <f t="shared" ca="1" si="186"/>
        <v>0</v>
      </c>
      <c r="O326" s="556">
        <f t="shared" si="186"/>
        <v>0</v>
      </c>
      <c r="P326" s="182">
        <f>VLOOKUP($B326,dongia1,DG!$F$5,)</f>
        <v>1740</v>
      </c>
      <c r="Q326" s="182">
        <f>VLOOKUP($B326,dongia1,DG!$G$5,)</f>
        <v>0</v>
      </c>
      <c r="R326" s="554"/>
      <c r="S326" s="113">
        <f t="shared" ref="S326:U330" si="187">$G326*P326</f>
        <v>887400</v>
      </c>
      <c r="T326" s="113">
        <f t="shared" si="187"/>
        <v>0</v>
      </c>
      <c r="U326" s="557">
        <f t="shared" si="187"/>
        <v>0</v>
      </c>
    </row>
    <row r="327" spans="1:21" s="552" customFormat="1" ht="15" hidden="1" customHeight="1">
      <c r="A327" s="621"/>
      <c r="B327" s="622" t="s">
        <v>1729</v>
      </c>
      <c r="C327" s="558" t="str">
        <f ca="1">C326</f>
        <v xml:space="preserve"> </v>
      </c>
      <c r="D327" s="553"/>
      <c r="E327" s="694" t="str">
        <f>VLOOKUP($B327,dongia1,DG!$C$5,)</f>
        <v>Cát vàng</v>
      </c>
      <c r="F327" s="555" t="str">
        <f>VLOOKUP($B327,dongia1,DG!$D$5,)</f>
        <v>m3</v>
      </c>
      <c r="G327" s="205">
        <v>0.89500000000000002</v>
      </c>
      <c r="H327" s="556">
        <f t="shared" ref="H327:O330" ca="1" si="188">H$325*$G327</f>
        <v>0</v>
      </c>
      <c r="I327" s="556">
        <f t="shared" ca="1" si="188"/>
        <v>0</v>
      </c>
      <c r="J327" s="556">
        <f t="shared" ca="1" si="188"/>
        <v>0</v>
      </c>
      <c r="K327" s="556">
        <f t="shared" ca="1" si="188"/>
        <v>0</v>
      </c>
      <c r="L327" s="556">
        <f t="shared" ca="1" si="188"/>
        <v>0</v>
      </c>
      <c r="M327" s="556">
        <f t="shared" ca="1" si="188"/>
        <v>0</v>
      </c>
      <c r="N327" s="556">
        <f t="shared" ca="1" si="188"/>
        <v>0</v>
      </c>
      <c r="O327" s="556">
        <f t="shared" si="188"/>
        <v>0</v>
      </c>
      <c r="P327" s="182">
        <f>VLOOKUP($B327,dongia1,DG!$F$5,)</f>
        <v>512000</v>
      </c>
      <c r="Q327" s="182">
        <f>VLOOKUP($B327,dongia1,DG!$G$5,)</f>
        <v>0</v>
      </c>
      <c r="R327" s="554"/>
      <c r="S327" s="113">
        <f t="shared" si="187"/>
        <v>458240</v>
      </c>
      <c r="T327" s="113">
        <f t="shared" si="187"/>
        <v>0</v>
      </c>
      <c r="U327" s="557">
        <f t="shared" si="187"/>
        <v>0</v>
      </c>
    </row>
    <row r="328" spans="1:21" s="552" customFormat="1" ht="15" hidden="1" customHeight="1">
      <c r="A328" s="621"/>
      <c r="B328" s="622" t="s">
        <v>853</v>
      </c>
      <c r="C328" s="558" t="str">
        <f ca="1">C327</f>
        <v xml:space="preserve"> </v>
      </c>
      <c r="D328" s="553"/>
      <c r="E328" s="694" t="str">
        <f>VLOOKUP($B328,dongia1,DG!$C$5,)</f>
        <v>Đá 1x2</v>
      </c>
      <c r="F328" s="555" t="str">
        <f>VLOOKUP($B328,dongia1,DG!$D$5,)</f>
        <v>m3</v>
      </c>
      <c r="G328" s="205">
        <v>1.617</v>
      </c>
      <c r="H328" s="556">
        <f t="shared" ca="1" si="188"/>
        <v>0</v>
      </c>
      <c r="I328" s="556">
        <f t="shared" ca="1" si="188"/>
        <v>0</v>
      </c>
      <c r="J328" s="556">
        <f t="shared" ca="1" si="188"/>
        <v>0</v>
      </c>
      <c r="K328" s="556">
        <f t="shared" ca="1" si="188"/>
        <v>0</v>
      </c>
      <c r="L328" s="556">
        <f t="shared" ca="1" si="188"/>
        <v>0</v>
      </c>
      <c r="M328" s="556">
        <f t="shared" ca="1" si="188"/>
        <v>0</v>
      </c>
      <c r="N328" s="556">
        <f t="shared" ca="1" si="188"/>
        <v>0</v>
      </c>
      <c r="O328" s="556">
        <f t="shared" si="188"/>
        <v>0</v>
      </c>
      <c r="P328" s="182">
        <f>VLOOKUP($B328,dongia1,DG!$F$5,)</f>
        <v>335000</v>
      </c>
      <c r="Q328" s="182">
        <f>VLOOKUP($B328,dongia1,DG!$G$5,)</f>
        <v>0</v>
      </c>
      <c r="R328" s="554"/>
      <c r="S328" s="113">
        <f t="shared" si="187"/>
        <v>541695</v>
      </c>
      <c r="T328" s="113">
        <f t="shared" si="187"/>
        <v>0</v>
      </c>
      <c r="U328" s="557">
        <f t="shared" si="187"/>
        <v>0</v>
      </c>
    </row>
    <row r="329" spans="1:21" s="552" customFormat="1" ht="15" hidden="1" customHeight="1">
      <c r="A329" s="621"/>
      <c r="B329" s="622" t="s">
        <v>1388</v>
      </c>
      <c r="C329" s="558" t="str">
        <f ca="1">C328</f>
        <v xml:space="preserve"> </v>
      </c>
      <c r="D329" s="553"/>
      <c r="E329" s="694" t="str">
        <f>VLOOKUP($B329,dongia1,DG!$C$5,)</f>
        <v>Đào hố móng đất cấp 4 sâu &gt;1m DT&lt;5m2</v>
      </c>
      <c r="F329" s="555" t="str">
        <f>VLOOKUP($B329,dongia1,DG!$D$5,)</f>
        <v>m3</v>
      </c>
      <c r="G329" s="205">
        <v>2.09</v>
      </c>
      <c r="H329" s="556">
        <f t="shared" ca="1" si="188"/>
        <v>0</v>
      </c>
      <c r="I329" s="556">
        <f t="shared" ca="1" si="188"/>
        <v>0</v>
      </c>
      <c r="J329" s="556">
        <f t="shared" ca="1" si="188"/>
        <v>0</v>
      </c>
      <c r="K329" s="556">
        <f t="shared" ca="1" si="188"/>
        <v>0</v>
      </c>
      <c r="L329" s="556">
        <f t="shared" ca="1" si="188"/>
        <v>0</v>
      </c>
      <c r="M329" s="556">
        <f t="shared" ca="1" si="188"/>
        <v>0</v>
      </c>
      <c r="N329" s="556">
        <f t="shared" ca="1" si="188"/>
        <v>0</v>
      </c>
      <c r="O329" s="556">
        <f t="shared" si="188"/>
        <v>0</v>
      </c>
      <c r="P329" s="182">
        <f>VLOOKUP($B329,dongia1,DG!$F$5,)</f>
        <v>0</v>
      </c>
      <c r="Q329" s="182">
        <f>VLOOKUP($B329,dongia1,DG!$G$5,)</f>
        <v>220095</v>
      </c>
      <c r="R329" s="554"/>
      <c r="S329" s="113">
        <f t="shared" si="187"/>
        <v>0</v>
      </c>
      <c r="T329" s="113">
        <f t="shared" si="187"/>
        <v>459998.55</v>
      </c>
      <c r="U329" s="557">
        <f t="shared" si="187"/>
        <v>0</v>
      </c>
    </row>
    <row r="330" spans="1:21" s="552" customFormat="1" ht="15" hidden="1" customHeight="1">
      <c r="A330" s="621"/>
      <c r="B330" s="622" t="s">
        <v>867</v>
      </c>
      <c r="C330" s="558" t="str">
        <f ca="1">C329</f>
        <v xml:space="preserve"> </v>
      </c>
      <c r="D330" s="553"/>
      <c r="E330" s="694" t="str">
        <f>VLOOKUP($B330,dongia1,DG!$C$5,)</f>
        <v>Đắp đất hố móng, đất cấp 3 (độ chặt k = 0.95)</v>
      </c>
      <c r="F330" s="555" t="str">
        <f>VLOOKUP($B330,dongia1,DG!$D$5,)</f>
        <v>m3</v>
      </c>
      <c r="G330" s="205">
        <v>0</v>
      </c>
      <c r="H330" s="556">
        <f t="shared" ca="1" si="188"/>
        <v>0</v>
      </c>
      <c r="I330" s="556">
        <f t="shared" ca="1" si="188"/>
        <v>0</v>
      </c>
      <c r="J330" s="556">
        <f t="shared" ca="1" si="188"/>
        <v>0</v>
      </c>
      <c r="K330" s="556">
        <f t="shared" ca="1" si="188"/>
        <v>0</v>
      </c>
      <c r="L330" s="556">
        <f ca="1">L$325*$G330</f>
        <v>0</v>
      </c>
      <c r="M330" s="556">
        <f t="shared" ca="1" si="188"/>
        <v>0</v>
      </c>
      <c r="N330" s="556">
        <f t="shared" ca="1" si="188"/>
        <v>0</v>
      </c>
      <c r="O330" s="556">
        <f t="shared" si="188"/>
        <v>0</v>
      </c>
      <c r="P330" s="182">
        <f>VLOOKUP($B330,dongia1,DG!$F$5,)</f>
        <v>0</v>
      </c>
      <c r="Q330" s="182">
        <f>VLOOKUP($B330,dongia1,DG!$G$5,)</f>
        <v>147129.5</v>
      </c>
      <c r="R330" s="554"/>
      <c r="S330" s="113">
        <f t="shared" si="187"/>
        <v>0</v>
      </c>
      <c r="T330" s="113">
        <f t="shared" si="187"/>
        <v>0</v>
      </c>
      <c r="U330" s="557">
        <f t="shared" si="187"/>
        <v>0</v>
      </c>
    </row>
    <row r="331" spans="1:21" s="552" customFormat="1" ht="15" hidden="1" customHeight="1">
      <c r="A331" s="621" t="s">
        <v>298</v>
      </c>
      <c r="B331" s="622"/>
      <c r="C331" s="558" t="str">
        <f ca="1">IF(H331&lt;&gt;0,"x"," ")</f>
        <v xml:space="preserve"> </v>
      </c>
      <c r="D331" s="553"/>
      <c r="E331" s="727" t="s">
        <v>3524</v>
      </c>
      <c r="F331" s="600" t="s">
        <v>3391</v>
      </c>
      <c r="G331" s="205"/>
      <c r="H331" s="605">
        <f ca="1">SUM(I331:N331)</f>
        <v>0</v>
      </c>
      <c r="I331" s="556">
        <f ca="1">SUMIF(mong3pm,chitiet!$A331,slmong3pm)</f>
        <v>0</v>
      </c>
      <c r="J331" s="556">
        <f ca="1">SUMIF(mongct,chitiet!$A331,slmongct)</f>
        <v>0</v>
      </c>
      <c r="K331" s="556">
        <f ca="1">SUMIF(mong3p1m,chitiet!$A331,slmong3p1m)</f>
        <v>0</v>
      </c>
      <c r="L331" s="556">
        <f ca="1">SUMIF(mong1pm,chitiet!$A331,slmong1pm)</f>
        <v>0</v>
      </c>
      <c r="M331" s="556">
        <f ca="1">SUMIF(monghthh,chitiet!$A331,slmonghthh)</f>
        <v>0</v>
      </c>
      <c r="N331" s="556">
        <f ca="1">SUMIF(mongHTDL,chitiet!$A331,SLmongHTDL)</f>
        <v>0</v>
      </c>
      <c r="O331" s="556"/>
      <c r="P331" s="554"/>
      <c r="Q331" s="554"/>
      <c r="R331" s="554"/>
      <c r="S331" s="601">
        <f>SUM(S332:S333)</f>
        <v>0</v>
      </c>
      <c r="T331" s="601">
        <f>SUM(T332:T333)</f>
        <v>226038.50809999998</v>
      </c>
      <c r="U331" s="602">
        <f>SUM(U332:U333)</f>
        <v>0</v>
      </c>
    </row>
    <row r="332" spans="1:21" s="552" customFormat="1" ht="15" hidden="1" customHeight="1">
      <c r="A332" s="621"/>
      <c r="B332" s="622" t="s">
        <v>1645</v>
      </c>
      <c r="C332" s="558" t="str">
        <f ca="1">+C331</f>
        <v xml:space="preserve"> </v>
      </c>
      <c r="D332" s="553"/>
      <c r="E332" s="694" t="str">
        <f>VLOOKUP($B332,dongia1,DG!$C$5,)</f>
        <v>Đào hố móng đất cấp 3 sâu &gt;1m DT&lt;5m2</v>
      </c>
      <c r="F332" s="555" t="str">
        <f>VLOOKUP($B332,dongia1,DG!$D$5,)</f>
        <v>m3</v>
      </c>
      <c r="G332" s="205">
        <v>0.625</v>
      </c>
      <c r="H332" s="556">
        <f ca="1">G332*$H$331</f>
        <v>0</v>
      </c>
      <c r="I332" s="556">
        <f ca="1">I$209*$G332</f>
        <v>0</v>
      </c>
      <c r="J332" s="556">
        <f t="shared" ref="J332:O333" ca="1" si="189">J331*$G332</f>
        <v>0</v>
      </c>
      <c r="K332" s="556">
        <f t="shared" ca="1" si="189"/>
        <v>0</v>
      </c>
      <c r="L332" s="556">
        <f t="shared" ca="1" si="189"/>
        <v>0</v>
      </c>
      <c r="M332" s="556">
        <f ca="1">M331*$G332</f>
        <v>0</v>
      </c>
      <c r="N332" s="556">
        <f t="shared" ca="1" si="189"/>
        <v>0</v>
      </c>
      <c r="O332" s="556">
        <f t="shared" si="189"/>
        <v>0</v>
      </c>
      <c r="P332" s="182">
        <f>VLOOKUP($B332,dongia1,DG!$F$5,)</f>
        <v>0</v>
      </c>
      <c r="Q332" s="182">
        <f>VLOOKUP($B332,dongia1,DG!$G$5,)</f>
        <v>296500.89999999997</v>
      </c>
      <c r="R332" s="554"/>
      <c r="S332" s="113">
        <f t="shared" ref="S332:U333" si="190">$G332*P332</f>
        <v>0</v>
      </c>
      <c r="T332" s="113">
        <f t="shared" si="190"/>
        <v>185313.06249999997</v>
      </c>
      <c r="U332" s="557">
        <f t="shared" si="190"/>
        <v>0</v>
      </c>
    </row>
    <row r="333" spans="1:21" s="552" customFormat="1" ht="15" hidden="1" customHeight="1">
      <c r="A333" s="621"/>
      <c r="B333" s="622" t="s">
        <v>501</v>
      </c>
      <c r="C333" s="558" t="str">
        <f ca="1">C332</f>
        <v xml:space="preserve"> </v>
      </c>
      <c r="D333" s="553"/>
      <c r="E333" s="694" t="str">
        <f>VLOOKUP($B333,dongia1,DG!$C$5,)</f>
        <v>Đắp đất hố móng, đất cấp 3 (độ chặt k = 0.85)</v>
      </c>
      <c r="F333" s="555" t="str">
        <f>VLOOKUP($B333,dongia1,DG!$D$5,)</f>
        <v>m3</v>
      </c>
      <c r="G333" s="205">
        <v>0.34599999999999997</v>
      </c>
      <c r="H333" s="556">
        <f ca="1">G333*$H$331</f>
        <v>0</v>
      </c>
      <c r="I333" s="556">
        <f ca="1">I$209*$G333</f>
        <v>0</v>
      </c>
      <c r="J333" s="556">
        <f t="shared" ca="1" si="189"/>
        <v>0</v>
      </c>
      <c r="K333" s="556">
        <f t="shared" ca="1" si="189"/>
        <v>0</v>
      </c>
      <c r="L333" s="556">
        <f t="shared" ca="1" si="189"/>
        <v>0</v>
      </c>
      <c r="M333" s="556">
        <f ca="1">M332*$G333</f>
        <v>0</v>
      </c>
      <c r="N333" s="556">
        <f t="shared" ca="1" si="189"/>
        <v>0</v>
      </c>
      <c r="O333" s="556">
        <f t="shared" si="189"/>
        <v>0</v>
      </c>
      <c r="P333" s="182">
        <f>VLOOKUP($B333,dongia1,DG!$F$5,)</f>
        <v>0</v>
      </c>
      <c r="Q333" s="182">
        <f>VLOOKUP($B333,dongia1,DG!$G$5,)</f>
        <v>117703.6</v>
      </c>
      <c r="R333" s="554"/>
      <c r="S333" s="113">
        <f t="shared" si="190"/>
        <v>0</v>
      </c>
      <c r="T333" s="113">
        <f t="shared" si="190"/>
        <v>40725.445599999999</v>
      </c>
      <c r="U333" s="557">
        <f t="shared" si="190"/>
        <v>0</v>
      </c>
    </row>
    <row r="334" spans="1:21" s="552" customFormat="1" ht="15" hidden="1" customHeight="1">
      <c r="A334" s="621" t="s">
        <v>2178</v>
      </c>
      <c r="B334" s="622"/>
      <c r="C334" s="558" t="str">
        <f ca="1">IF(H334&lt;&gt;0,"x"," ")</f>
        <v xml:space="preserve"> </v>
      </c>
      <c r="D334" s="553"/>
      <c r="E334" s="727" t="s">
        <v>3525</v>
      </c>
      <c r="F334" s="600" t="s">
        <v>3391</v>
      </c>
      <c r="G334" s="205"/>
      <c r="H334" s="556">
        <f ca="1">SUM(I334:N334)</f>
        <v>0</v>
      </c>
      <c r="I334" s="556">
        <f ca="1">SUMIF(mong3pm,chitiet!$A334,slmong3pm)</f>
        <v>0</v>
      </c>
      <c r="J334" s="556">
        <f ca="1">SUMIF(mongct,chitiet!$A334,slmongct)</f>
        <v>0</v>
      </c>
      <c r="K334" s="556">
        <f ca="1">SUMIF(mong3p1m,chitiet!$A334,slmong3p1m)</f>
        <v>0</v>
      </c>
      <c r="L334" s="556">
        <f ca="1">SUMIF(mong1pm,chitiet!$A334,slmong1pm)</f>
        <v>0</v>
      </c>
      <c r="M334" s="556">
        <f ca="1">SUMIF(monghthh,chitiet!$A334,slmonghthh)</f>
        <v>0</v>
      </c>
      <c r="N334" s="556">
        <f ca="1">SUMIF(mongHTDL,chitiet!$A334,SLmongHTDL)</f>
        <v>0</v>
      </c>
      <c r="O334" s="556"/>
      <c r="P334" s="554"/>
      <c r="Q334" s="554"/>
      <c r="R334" s="554"/>
      <c r="S334" s="601">
        <f>SUM(S335:S337)</f>
        <v>108600</v>
      </c>
      <c r="T334" s="601">
        <f>SUM(T335:T337)</f>
        <v>587341.98099999991</v>
      </c>
      <c r="U334" s="602">
        <f>SUM(U335:U337)</f>
        <v>0</v>
      </c>
    </row>
    <row r="335" spans="1:21" s="552" customFormat="1" ht="15" hidden="1" customHeight="1">
      <c r="A335" s="621"/>
      <c r="B335" s="622" t="s">
        <v>1645</v>
      </c>
      <c r="C335" s="558" t="str">
        <f ca="1">+C334</f>
        <v xml:space="preserve"> </v>
      </c>
      <c r="D335" s="553"/>
      <c r="E335" s="694" t="str">
        <f>VLOOKUP($B335,dongia1,DG!$C$5,)</f>
        <v>Đào hố móng đất cấp 3 sâu &gt;1m DT&lt;5m2</v>
      </c>
      <c r="F335" s="555" t="str">
        <f>VLOOKUP($B335,dongia1,DG!$D$5,)</f>
        <v>m3</v>
      </c>
      <c r="G335" s="205">
        <v>1.4179999999999999</v>
      </c>
      <c r="H335" s="556">
        <f ca="1">H$212*$G335</f>
        <v>0</v>
      </c>
      <c r="I335" s="556">
        <f t="shared" ref="I335:O335" ca="1" si="191">I$212*$G335</f>
        <v>0</v>
      </c>
      <c r="J335" s="556">
        <f t="shared" ca="1" si="191"/>
        <v>0</v>
      </c>
      <c r="K335" s="556">
        <f t="shared" ca="1" si="191"/>
        <v>0</v>
      </c>
      <c r="L335" s="556">
        <f t="shared" ca="1" si="191"/>
        <v>0</v>
      </c>
      <c r="M335" s="556">
        <f t="shared" ca="1" si="191"/>
        <v>0</v>
      </c>
      <c r="N335" s="556">
        <f t="shared" ca="1" si="191"/>
        <v>0</v>
      </c>
      <c r="O335" s="556">
        <f t="shared" si="191"/>
        <v>0</v>
      </c>
      <c r="P335" s="182">
        <f>VLOOKUP($B335,dongia1,DG!$F$5,)</f>
        <v>0</v>
      </c>
      <c r="Q335" s="182">
        <f>VLOOKUP($B335,dongia1,DG!$G$5,)</f>
        <v>296500.89999999997</v>
      </c>
      <c r="R335" s="554"/>
      <c r="S335" s="113">
        <f t="shared" ref="S335:U337" si="192">$G335*P335</f>
        <v>0</v>
      </c>
      <c r="T335" s="113">
        <f t="shared" si="192"/>
        <v>420438.27619999991</v>
      </c>
      <c r="U335" s="557">
        <f t="shared" si="192"/>
        <v>0</v>
      </c>
    </row>
    <row r="336" spans="1:21" s="552" customFormat="1" ht="15" hidden="1" customHeight="1">
      <c r="A336" s="621"/>
      <c r="B336" s="622" t="s">
        <v>501</v>
      </c>
      <c r="C336" s="558" t="str">
        <f ca="1">C335</f>
        <v xml:space="preserve"> </v>
      </c>
      <c r="D336" s="553"/>
      <c r="E336" s="694" t="str">
        <f>VLOOKUP($B336,dongia1,DG!$C$5,)</f>
        <v>Đắp đất hố móng, đất cấp 3 (độ chặt k = 0.85)</v>
      </c>
      <c r="F336" s="555" t="str">
        <f>VLOOKUP($B336,dongia1,DG!$D$5,)</f>
        <v>m3</v>
      </c>
      <c r="G336" s="205">
        <v>1.4179999999999999</v>
      </c>
      <c r="H336" s="556">
        <f t="shared" ref="H336:O337" ca="1" si="193">H$212*$G336</f>
        <v>0</v>
      </c>
      <c r="I336" s="556">
        <f t="shared" ca="1" si="193"/>
        <v>0</v>
      </c>
      <c r="J336" s="556">
        <f t="shared" ca="1" si="193"/>
        <v>0</v>
      </c>
      <c r="K336" s="556">
        <f t="shared" ca="1" si="193"/>
        <v>0</v>
      </c>
      <c r="L336" s="556">
        <f t="shared" ca="1" si="193"/>
        <v>0</v>
      </c>
      <c r="M336" s="556">
        <f t="shared" ca="1" si="193"/>
        <v>0</v>
      </c>
      <c r="N336" s="556">
        <f t="shared" ca="1" si="193"/>
        <v>0</v>
      </c>
      <c r="O336" s="556">
        <f t="shared" si="193"/>
        <v>0</v>
      </c>
      <c r="P336" s="182">
        <f>VLOOKUP($B336,dongia1,DG!$F$5,)</f>
        <v>0</v>
      </c>
      <c r="Q336" s="182">
        <f>VLOOKUP($B336,dongia1,DG!$G$5,)</f>
        <v>117703.6</v>
      </c>
      <c r="R336" s="554"/>
      <c r="S336" s="113">
        <f t="shared" si="192"/>
        <v>0</v>
      </c>
      <c r="T336" s="113">
        <f t="shared" si="192"/>
        <v>166903.70480000001</v>
      </c>
      <c r="U336" s="557">
        <f t="shared" si="192"/>
        <v>0</v>
      </c>
    </row>
    <row r="337" spans="1:21" s="552" customFormat="1" ht="15" hidden="1" customHeight="1">
      <c r="A337" s="621"/>
      <c r="B337" s="622" t="s">
        <v>365</v>
      </c>
      <c r="C337" s="558" t="str">
        <f ca="1">C336</f>
        <v xml:space="preserve"> </v>
      </c>
      <c r="D337" s="553">
        <f>VLOOKUP($B337,dongia1,DG!$B$5,)</f>
        <v>0</v>
      </c>
      <c r="E337" s="694" t="str">
        <f>VLOOKUP($B337,dongia1,DG!$C$5,)&amp;": Gheùp truï"</f>
        <v>Boulon 22x800+ 2 long đền vuông D24-60x60x3/Zn: Gheùp truï</v>
      </c>
      <c r="F337" s="555" t="str">
        <f>VLOOKUP($B337,dongia1,DG!$D$5,)</f>
        <v>bộ</v>
      </c>
      <c r="G337" s="205">
        <v>1</v>
      </c>
      <c r="H337" s="556">
        <f t="shared" ca="1" si="193"/>
        <v>0</v>
      </c>
      <c r="I337" s="556">
        <f t="shared" ca="1" si="193"/>
        <v>0</v>
      </c>
      <c r="J337" s="556">
        <f t="shared" ca="1" si="193"/>
        <v>0</v>
      </c>
      <c r="K337" s="556">
        <f t="shared" ca="1" si="193"/>
        <v>0</v>
      </c>
      <c r="L337" s="556">
        <f t="shared" ca="1" si="193"/>
        <v>0</v>
      </c>
      <c r="M337" s="556">
        <f t="shared" ca="1" si="193"/>
        <v>0</v>
      </c>
      <c r="N337" s="556">
        <f t="shared" ca="1" si="193"/>
        <v>0</v>
      </c>
      <c r="O337" s="556">
        <f t="shared" si="193"/>
        <v>0</v>
      </c>
      <c r="P337" s="182">
        <f>VLOOKUP($B337,dongia1,DG!$F$5,)</f>
        <v>108600</v>
      </c>
      <c r="Q337" s="182">
        <f>VLOOKUP($B337,dongia1,DG!$G$5,)</f>
        <v>0</v>
      </c>
      <c r="R337" s="554"/>
      <c r="S337" s="113">
        <f t="shared" si="192"/>
        <v>108600</v>
      </c>
      <c r="T337" s="113">
        <f t="shared" si="192"/>
        <v>0</v>
      </c>
      <c r="U337" s="557">
        <f t="shared" si="192"/>
        <v>0</v>
      </c>
    </row>
    <row r="338" spans="1:21" s="552" customFormat="1" ht="15" hidden="1" customHeight="1">
      <c r="A338" s="621" t="s">
        <v>1706</v>
      </c>
      <c r="B338" s="622"/>
      <c r="C338" s="558" t="str">
        <f ca="1">IF(H338&lt;&gt;0,"x"," ")</f>
        <v xml:space="preserve"> </v>
      </c>
      <c r="D338" s="553"/>
      <c r="E338" s="727" t="s">
        <v>3526</v>
      </c>
      <c r="F338" s="600" t="s">
        <v>3391</v>
      </c>
      <c r="G338" s="205"/>
      <c r="H338" s="605">
        <f ca="1">SUM(I338:N338)</f>
        <v>0</v>
      </c>
      <c r="I338" s="556">
        <f ca="1">SUMIF(mong3pm,chitiet!$A338,slmong3pm)</f>
        <v>0</v>
      </c>
      <c r="J338" s="556">
        <f ca="1">SUMIF(mongct,chitiet!$A338,slmongct)</f>
        <v>0</v>
      </c>
      <c r="K338" s="556">
        <f ca="1">SUMIF(mong3p1m,chitiet!$A338,slmong3p1m)</f>
        <v>0</v>
      </c>
      <c r="L338" s="556">
        <f ca="1">SUMIF(mong1pm,chitiet!$A338,slmong1pm)</f>
        <v>0</v>
      </c>
      <c r="M338" s="556">
        <f ca="1">SUMIF(monghthh,chitiet!$A338,slmonghthh)</f>
        <v>0</v>
      </c>
      <c r="N338" s="556">
        <f ca="1">SUMIF(mongHTDL,chitiet!$A338,SLmongHTDL)</f>
        <v>0</v>
      </c>
      <c r="O338" s="556"/>
      <c r="P338" s="554"/>
      <c r="Q338" s="554"/>
      <c r="R338" s="554"/>
      <c r="S338" s="601">
        <f>SUM(S339:S342)</f>
        <v>446745</v>
      </c>
      <c r="T338" s="601">
        <f>SUM(T339:T342)</f>
        <v>799290.79999999993</v>
      </c>
      <c r="U338" s="602">
        <f>SUM(U339:U342)</f>
        <v>0</v>
      </c>
    </row>
    <row r="339" spans="1:21" s="552" customFormat="1" ht="15" hidden="1" customHeight="1">
      <c r="A339" s="621"/>
      <c r="B339" s="622" t="s">
        <v>580</v>
      </c>
      <c r="C339" s="558" t="str">
        <f ca="1">C338</f>
        <v xml:space="preserve"> </v>
      </c>
      <c r="D339" s="553"/>
      <c r="E339" s="694" t="str">
        <f>VLOOKUP($B339,dongia1,DG!$C$5,)</f>
        <v>Đà cản BTCT 1,2m</v>
      </c>
      <c r="F339" s="555" t="str">
        <f>VLOOKUP($B339,dongia1,DG!$D$5,)</f>
        <v>cái</v>
      </c>
      <c r="G339" s="205">
        <v>1</v>
      </c>
      <c r="H339" s="556">
        <f ca="1">H$338*$G339</f>
        <v>0</v>
      </c>
      <c r="I339" s="556">
        <f t="shared" ref="I339:O339" ca="1" si="194">I$338*$G339</f>
        <v>0</v>
      </c>
      <c r="J339" s="556">
        <f t="shared" ca="1" si="194"/>
        <v>0</v>
      </c>
      <c r="K339" s="556">
        <f t="shared" ca="1" si="194"/>
        <v>0</v>
      </c>
      <c r="L339" s="556">
        <f t="shared" ca="1" si="194"/>
        <v>0</v>
      </c>
      <c r="M339" s="556">
        <f t="shared" ca="1" si="194"/>
        <v>0</v>
      </c>
      <c r="N339" s="556">
        <f t="shared" ca="1" si="194"/>
        <v>0</v>
      </c>
      <c r="O339" s="556">
        <f t="shared" si="194"/>
        <v>0</v>
      </c>
      <c r="P339" s="182">
        <f>VLOOKUP($B339,dongia1,DG!$F$5,)</f>
        <v>354545</v>
      </c>
      <c r="Q339" s="182"/>
      <c r="R339" s="554"/>
      <c r="S339" s="113">
        <f t="shared" ref="S339:U342" si="195">$G339*P339</f>
        <v>354545</v>
      </c>
      <c r="T339" s="113">
        <f t="shared" si="195"/>
        <v>0</v>
      </c>
      <c r="U339" s="557">
        <f t="shared" si="195"/>
        <v>0</v>
      </c>
    </row>
    <row r="340" spans="1:21" s="552" customFormat="1" ht="15" hidden="1" customHeight="1">
      <c r="A340" s="621"/>
      <c r="B340" s="622" t="s">
        <v>952</v>
      </c>
      <c r="C340" s="558" t="str">
        <f ca="1">C339</f>
        <v xml:space="preserve"> </v>
      </c>
      <c r="D340" s="553"/>
      <c r="E340" s="694" t="str">
        <f>VLOOKUP($B340,dongia1,DG!$C$5,)</f>
        <v>Boulon 22x650+ 2 long đền vuông D24-60x60x3/Zn</v>
      </c>
      <c r="F340" s="555" t="str">
        <f>VLOOKUP($B340,dongia1,DG!$D$5,)</f>
        <v>bộ</v>
      </c>
      <c r="G340" s="205">
        <v>1</v>
      </c>
      <c r="H340" s="556">
        <f t="shared" ref="H340:O342" ca="1" si="196">H$338*$G340</f>
        <v>0</v>
      </c>
      <c r="I340" s="556">
        <f t="shared" ca="1" si="196"/>
        <v>0</v>
      </c>
      <c r="J340" s="556">
        <f t="shared" ca="1" si="196"/>
        <v>0</v>
      </c>
      <c r="K340" s="556">
        <f t="shared" ca="1" si="196"/>
        <v>0</v>
      </c>
      <c r="L340" s="556">
        <f t="shared" ca="1" si="196"/>
        <v>0</v>
      </c>
      <c r="M340" s="556">
        <f t="shared" ca="1" si="196"/>
        <v>0</v>
      </c>
      <c r="N340" s="556">
        <f t="shared" ca="1" si="196"/>
        <v>0</v>
      </c>
      <c r="O340" s="556">
        <f t="shared" si="196"/>
        <v>0</v>
      </c>
      <c r="P340" s="182">
        <f>VLOOKUP($B340,dongia1,DG!$F$5,)</f>
        <v>92200</v>
      </c>
      <c r="Q340" s="554"/>
      <c r="R340" s="554"/>
      <c r="S340" s="113">
        <f t="shared" si="195"/>
        <v>92200</v>
      </c>
      <c r="T340" s="113">
        <f t="shared" si="195"/>
        <v>0</v>
      </c>
      <c r="U340" s="557">
        <f t="shared" si="195"/>
        <v>0</v>
      </c>
    </row>
    <row r="341" spans="1:21" s="552" customFormat="1" ht="15" hidden="1" customHeight="1">
      <c r="A341" s="621"/>
      <c r="B341" s="622" t="s">
        <v>4946</v>
      </c>
      <c r="C341" s="558" t="str">
        <f ca="1">C340</f>
        <v xml:space="preserve"> </v>
      </c>
      <c r="D341" s="553"/>
      <c r="E341" s="694" t="str">
        <f>VLOOKUP($B341,dongia1,DG!$C$5,)</f>
        <v>Đào hố móng kiểm tra đất cấp III rộng &lt;=1m, sâu &gt;1m</v>
      </c>
      <c r="F341" s="555" t="str">
        <f>VLOOKUP($B341,dongia1,DG!$D$5,)</f>
        <v>m3</v>
      </c>
      <c r="G341" s="205">
        <v>1.4</v>
      </c>
      <c r="H341" s="556">
        <f t="shared" ca="1" si="196"/>
        <v>0</v>
      </c>
      <c r="I341" s="556">
        <f t="shared" ca="1" si="196"/>
        <v>0</v>
      </c>
      <c r="J341" s="556">
        <f t="shared" ca="1" si="196"/>
        <v>0</v>
      </c>
      <c r="K341" s="556">
        <f t="shared" ca="1" si="196"/>
        <v>0</v>
      </c>
      <c r="L341" s="556">
        <f t="shared" ca="1" si="196"/>
        <v>0</v>
      </c>
      <c r="M341" s="556">
        <f t="shared" ca="1" si="196"/>
        <v>0</v>
      </c>
      <c r="N341" s="556">
        <f t="shared" ca="1" si="196"/>
        <v>0</v>
      </c>
      <c r="O341" s="556">
        <f t="shared" si="196"/>
        <v>0</v>
      </c>
      <c r="P341" s="182">
        <f>VLOOKUP($B341,dongia1,DG!$F$5,)</f>
        <v>0</v>
      </c>
      <c r="Q341" s="182">
        <f>VLOOKUP($B341,dongia1,DG!$G$5,)</f>
        <v>491832.89999999997</v>
      </c>
      <c r="R341" s="554"/>
      <c r="S341" s="113">
        <f t="shared" si="195"/>
        <v>0</v>
      </c>
      <c r="T341" s="113">
        <f t="shared" si="195"/>
        <v>688566.05999999994</v>
      </c>
      <c r="U341" s="557">
        <f t="shared" si="195"/>
        <v>0</v>
      </c>
    </row>
    <row r="342" spans="1:21" s="552" customFormat="1" ht="15" hidden="1" customHeight="1">
      <c r="A342" s="621"/>
      <c r="B342" s="622" t="s">
        <v>492</v>
      </c>
      <c r="C342" s="558" t="str">
        <f ca="1">C341</f>
        <v xml:space="preserve"> </v>
      </c>
      <c r="D342" s="553"/>
      <c r="E342" s="694" t="str">
        <f>VLOOKUP($B342,dongia1,DG!$C$5,)</f>
        <v>Đắp đất hố móng K=0,85</v>
      </c>
      <c r="F342" s="555" t="str">
        <f>VLOOKUP($B342,dongia1,DG!$D$5,)</f>
        <v>m3</v>
      </c>
      <c r="G342" s="205">
        <v>1.19</v>
      </c>
      <c r="H342" s="556">
        <f t="shared" ca="1" si="196"/>
        <v>0</v>
      </c>
      <c r="I342" s="556">
        <f t="shared" ca="1" si="196"/>
        <v>0</v>
      </c>
      <c r="J342" s="556">
        <f t="shared" ca="1" si="196"/>
        <v>0</v>
      </c>
      <c r="K342" s="556">
        <f t="shared" ca="1" si="196"/>
        <v>0</v>
      </c>
      <c r="L342" s="556">
        <f t="shared" ca="1" si="196"/>
        <v>0</v>
      </c>
      <c r="M342" s="556">
        <f t="shared" ca="1" si="196"/>
        <v>0</v>
      </c>
      <c r="N342" s="556">
        <f t="shared" ca="1" si="196"/>
        <v>0</v>
      </c>
      <c r="O342" s="556">
        <f t="shared" si="196"/>
        <v>0</v>
      </c>
      <c r="P342" s="182">
        <f>VLOOKUP($B342,dongia1,DG!$F$5,)</f>
        <v>0</v>
      </c>
      <c r="Q342" s="182">
        <f>VLOOKUP($B342,dongia1,DG!$G$5,)</f>
        <v>93046</v>
      </c>
      <c r="R342" s="554"/>
      <c r="S342" s="113">
        <f t="shared" si="195"/>
        <v>0</v>
      </c>
      <c r="T342" s="113">
        <f t="shared" si="195"/>
        <v>110724.73999999999</v>
      </c>
      <c r="U342" s="557">
        <f t="shared" si="195"/>
        <v>0</v>
      </c>
    </row>
    <row r="343" spans="1:21" s="552" customFormat="1" ht="15" hidden="1" customHeight="1">
      <c r="A343" s="621" t="s">
        <v>1727</v>
      </c>
      <c r="B343" s="622"/>
      <c r="C343" s="558" t="str">
        <f ca="1">IF(H343&lt;&gt;0,"x"," ")</f>
        <v xml:space="preserve"> </v>
      </c>
      <c r="D343" s="553"/>
      <c r="E343" s="727" t="s">
        <v>3527</v>
      </c>
      <c r="F343" s="600" t="s">
        <v>3391</v>
      </c>
      <c r="G343" s="205"/>
      <c r="H343" s="556">
        <f ca="1">SUM(I343:N343)</f>
        <v>0</v>
      </c>
      <c r="I343" s="556">
        <f ca="1">SUMIF(mong3pm,chitiet!$A343,slmong3pm)</f>
        <v>0</v>
      </c>
      <c r="J343" s="556">
        <f ca="1">SUMIF(mongct,chitiet!$A343,slmongct)</f>
        <v>0</v>
      </c>
      <c r="K343" s="556">
        <f ca="1">SUMIF(mong3p1m,chitiet!$A343,slmong3p1m)</f>
        <v>0</v>
      </c>
      <c r="L343" s="556">
        <f ca="1">SUMIF(mong1pm,chitiet!$A343,slmong1pm)</f>
        <v>0</v>
      </c>
      <c r="M343" s="556">
        <f ca="1">SUMIF(monghthh,chitiet!$A343,slmonghthh)</f>
        <v>0</v>
      </c>
      <c r="N343" s="556">
        <f ca="1">SUMIF(mongHTDL,chitiet!$A343,SLmongHTDL)</f>
        <v>0</v>
      </c>
      <c r="O343" s="556"/>
      <c r="P343" s="554"/>
      <c r="Q343" s="554"/>
      <c r="R343" s="554"/>
      <c r="S343" s="601">
        <f>SUM(S344:S347)</f>
        <v>742200</v>
      </c>
      <c r="T343" s="601">
        <f>SUM(T344:T347)</f>
        <v>929917.04599999997</v>
      </c>
      <c r="U343" s="602">
        <f>SUM(U344:U347)</f>
        <v>0</v>
      </c>
    </row>
    <row r="344" spans="1:21" s="552" customFormat="1" ht="15" hidden="1" customHeight="1">
      <c r="A344" s="621"/>
      <c r="B344" s="622" t="s">
        <v>201</v>
      </c>
      <c r="C344" s="558" t="str">
        <f ca="1">C343</f>
        <v xml:space="preserve"> </v>
      </c>
      <c r="D344" s="553"/>
      <c r="E344" s="694" t="str">
        <f>VLOOKUP($B344,dongia1,DG!$C$5,)</f>
        <v>Đà cản BTCT 1,5m</v>
      </c>
      <c r="F344" s="555" t="str">
        <f>VLOOKUP($B344,dongia1,DG!$D$5,)</f>
        <v>cái</v>
      </c>
      <c r="G344" s="205">
        <v>1</v>
      </c>
      <c r="H344" s="556">
        <f ca="1">H$343*$G344</f>
        <v>0</v>
      </c>
      <c r="I344" s="556">
        <f t="shared" ref="I344:O344" ca="1" si="197">I$343*$G344</f>
        <v>0</v>
      </c>
      <c r="J344" s="556">
        <f t="shared" ca="1" si="197"/>
        <v>0</v>
      </c>
      <c r="K344" s="556">
        <f t="shared" ca="1" si="197"/>
        <v>0</v>
      </c>
      <c r="L344" s="556">
        <f t="shared" ca="1" si="197"/>
        <v>0</v>
      </c>
      <c r="M344" s="556">
        <f t="shared" ca="1" si="197"/>
        <v>0</v>
      </c>
      <c r="N344" s="556">
        <f t="shared" ca="1" si="197"/>
        <v>0</v>
      </c>
      <c r="O344" s="556">
        <f t="shared" si="197"/>
        <v>0</v>
      </c>
      <c r="P344" s="182">
        <f>VLOOKUP($B344,dongia1,DG!$F$5,)</f>
        <v>650000</v>
      </c>
      <c r="Q344" s="182">
        <f>VLOOKUP($B344,dongia1,DG!$G$5,)</f>
        <v>148724</v>
      </c>
      <c r="R344" s="554"/>
      <c r="S344" s="113">
        <f t="shared" ref="S344:U347" si="198">$G344*P344</f>
        <v>650000</v>
      </c>
      <c r="T344" s="113">
        <f t="shared" si="198"/>
        <v>148724</v>
      </c>
      <c r="U344" s="557">
        <f t="shared" si="198"/>
        <v>0</v>
      </c>
    </row>
    <row r="345" spans="1:21" s="552" customFormat="1" ht="15" hidden="1" customHeight="1">
      <c r="A345" s="621"/>
      <c r="B345" s="622" t="s">
        <v>952</v>
      </c>
      <c r="C345" s="558" t="str">
        <f ca="1">C344</f>
        <v xml:space="preserve"> </v>
      </c>
      <c r="D345" s="553"/>
      <c r="E345" s="694" t="str">
        <f>VLOOKUP($B345,dongia1,DG!$C$5,)</f>
        <v>Boulon 22x650+ 2 long đền vuông D24-60x60x3/Zn</v>
      </c>
      <c r="F345" s="555" t="str">
        <f>VLOOKUP($B345,dongia1,DG!$D$5,)</f>
        <v>bộ</v>
      </c>
      <c r="G345" s="205">
        <v>1</v>
      </c>
      <c r="H345" s="556">
        <f t="shared" ref="H345:O347" ca="1" si="199">H$343*$G345</f>
        <v>0</v>
      </c>
      <c r="I345" s="556">
        <f t="shared" ca="1" si="199"/>
        <v>0</v>
      </c>
      <c r="J345" s="556">
        <f t="shared" ca="1" si="199"/>
        <v>0</v>
      </c>
      <c r="K345" s="556">
        <f t="shared" ca="1" si="199"/>
        <v>0</v>
      </c>
      <c r="L345" s="556">
        <f t="shared" ca="1" si="199"/>
        <v>0</v>
      </c>
      <c r="M345" s="556">
        <f t="shared" ca="1" si="199"/>
        <v>0</v>
      </c>
      <c r="N345" s="556">
        <f t="shared" ca="1" si="199"/>
        <v>0</v>
      </c>
      <c r="O345" s="556">
        <f t="shared" si="199"/>
        <v>0</v>
      </c>
      <c r="P345" s="182">
        <f>VLOOKUP($B345,dongia1,DG!$F$5,)</f>
        <v>92200</v>
      </c>
      <c r="Q345" s="554"/>
      <c r="R345" s="554"/>
      <c r="S345" s="113">
        <f t="shared" si="198"/>
        <v>92200</v>
      </c>
      <c r="T345" s="113">
        <f t="shared" si="198"/>
        <v>0</v>
      </c>
      <c r="U345" s="557">
        <f t="shared" si="198"/>
        <v>0</v>
      </c>
    </row>
    <row r="346" spans="1:21" s="552" customFormat="1" ht="15" hidden="1" customHeight="1">
      <c r="A346" s="621"/>
      <c r="B346" s="622" t="s">
        <v>1645</v>
      </c>
      <c r="C346" s="558" t="str">
        <f ca="1">C345</f>
        <v xml:space="preserve"> </v>
      </c>
      <c r="D346" s="553"/>
      <c r="E346" s="694" t="str">
        <f>VLOOKUP($B346,dongia1,DG!$C$5,)</f>
        <v>Đào hố móng đất cấp 3 sâu &gt;1m DT&lt;5m2</v>
      </c>
      <c r="F346" s="555" t="str">
        <f>VLOOKUP($B346,dongia1,DG!$D$5,)</f>
        <v>m3</v>
      </c>
      <c r="G346" s="205">
        <v>1.94</v>
      </c>
      <c r="H346" s="556">
        <f t="shared" ca="1" si="199"/>
        <v>0</v>
      </c>
      <c r="I346" s="556">
        <f t="shared" ca="1" si="199"/>
        <v>0</v>
      </c>
      <c r="J346" s="556">
        <f t="shared" ca="1" si="199"/>
        <v>0</v>
      </c>
      <c r="K346" s="556">
        <f t="shared" ca="1" si="199"/>
        <v>0</v>
      </c>
      <c r="L346" s="556">
        <f t="shared" ca="1" si="199"/>
        <v>0</v>
      </c>
      <c r="M346" s="556">
        <f t="shared" ca="1" si="199"/>
        <v>0</v>
      </c>
      <c r="N346" s="556">
        <f t="shared" ca="1" si="199"/>
        <v>0</v>
      </c>
      <c r="O346" s="556">
        <f t="shared" si="199"/>
        <v>0</v>
      </c>
      <c r="P346" s="182">
        <f>VLOOKUP($B346,dongia1,DG!$F$5,)</f>
        <v>0</v>
      </c>
      <c r="Q346" s="182">
        <f>VLOOKUP($B346,dongia1,DG!$G$5,)</f>
        <v>296500.89999999997</v>
      </c>
      <c r="R346" s="554"/>
      <c r="S346" s="113">
        <f t="shared" si="198"/>
        <v>0</v>
      </c>
      <c r="T346" s="113">
        <f t="shared" si="198"/>
        <v>575211.74599999993</v>
      </c>
      <c r="U346" s="557">
        <f t="shared" si="198"/>
        <v>0</v>
      </c>
    </row>
    <row r="347" spans="1:21" s="552" customFormat="1" ht="15" hidden="1" customHeight="1">
      <c r="A347" s="621"/>
      <c r="B347" s="622" t="s">
        <v>501</v>
      </c>
      <c r="C347" s="558" t="str">
        <f ca="1">C346</f>
        <v xml:space="preserve"> </v>
      </c>
      <c r="D347" s="553"/>
      <c r="E347" s="694" t="str">
        <f>VLOOKUP($B347,dongia1,DG!$C$5,)</f>
        <v>Đắp đất hố móng, đất cấp 3 (độ chặt k = 0.85)</v>
      </c>
      <c r="F347" s="555" t="str">
        <f>VLOOKUP($B347,dongia1,DG!$D$5,)</f>
        <v>m3</v>
      </c>
      <c r="G347" s="205">
        <v>1.75</v>
      </c>
      <c r="H347" s="556">
        <f t="shared" ca="1" si="199"/>
        <v>0</v>
      </c>
      <c r="I347" s="556">
        <f t="shared" ca="1" si="199"/>
        <v>0</v>
      </c>
      <c r="J347" s="556">
        <f t="shared" ca="1" si="199"/>
        <v>0</v>
      </c>
      <c r="K347" s="556">
        <f t="shared" ca="1" si="199"/>
        <v>0</v>
      </c>
      <c r="L347" s="556">
        <f t="shared" ca="1" si="199"/>
        <v>0</v>
      </c>
      <c r="M347" s="556">
        <f t="shared" ca="1" si="199"/>
        <v>0</v>
      </c>
      <c r="N347" s="556">
        <f t="shared" ca="1" si="199"/>
        <v>0</v>
      </c>
      <c r="O347" s="556">
        <f t="shared" si="199"/>
        <v>0</v>
      </c>
      <c r="P347" s="182">
        <f>VLOOKUP($B347,dongia1,DG!$F$5,)</f>
        <v>0</v>
      </c>
      <c r="Q347" s="182">
        <f>VLOOKUP($B347,dongia1,DG!$G$5,)</f>
        <v>117703.6</v>
      </c>
      <c r="R347" s="554"/>
      <c r="S347" s="113">
        <f t="shared" si="198"/>
        <v>0</v>
      </c>
      <c r="T347" s="113">
        <f t="shared" si="198"/>
        <v>205981.30000000002</v>
      </c>
      <c r="U347" s="557">
        <f t="shared" si="198"/>
        <v>0</v>
      </c>
    </row>
    <row r="348" spans="1:21" s="858" customFormat="1" hidden="1">
      <c r="A348" s="847" t="s">
        <v>3738</v>
      </c>
      <c r="B348" s="848"/>
      <c r="C348" s="849"/>
      <c r="D348" s="850"/>
      <c r="E348" s="851" t="s">
        <v>3528</v>
      </c>
      <c r="F348" s="852" t="s">
        <v>3391</v>
      </c>
      <c r="G348" s="853"/>
      <c r="H348" s="854">
        <f ca="1">SUM(I348:N348)</f>
        <v>0</v>
      </c>
      <c r="I348" s="854">
        <f ca="1">SUMIF(mong3pm,chitiet!$A348,slmong3pm)</f>
        <v>0</v>
      </c>
      <c r="J348" s="854">
        <f ca="1">SUMIF(mongct,chitiet!$A348,slmongct)</f>
        <v>0</v>
      </c>
      <c r="K348" s="854">
        <f ca="1">SUMIF(mong3p1m,chitiet!$A348,slmong3p1m)</f>
        <v>0</v>
      </c>
      <c r="L348" s="854">
        <f ca="1">SUMIF(mong1pm,chitiet!$A348,slmong1pm)</f>
        <v>0</v>
      </c>
      <c r="M348" s="854">
        <f ca="1">SUMIF(monghthh,chitiet!$A348,slmonghthh)</f>
        <v>0</v>
      </c>
      <c r="N348" s="854">
        <f ca="1">SUMIF(mongHTDL,chitiet!$A348,SLmongHTDL)</f>
        <v>0</v>
      </c>
      <c r="O348" s="854"/>
      <c r="P348" s="855"/>
      <c r="Q348" s="855"/>
      <c r="R348" s="855"/>
      <c r="S348" s="856">
        <f>SUM(S349:S357)</f>
        <v>2243580</v>
      </c>
      <c r="T348" s="856">
        <f>SUM(T349:T357)</f>
        <v>1670714.77</v>
      </c>
      <c r="U348" s="857">
        <f>SUM(U349:U357)</f>
        <v>0</v>
      </c>
    </row>
    <row r="349" spans="1:21" hidden="1">
      <c r="B349" s="696" t="s">
        <v>1728</v>
      </c>
      <c r="C349" s="631"/>
      <c r="D349" s="698">
        <f>VLOOKUP($B349,dongia1,DG!$B$5,)</f>
        <v>0</v>
      </c>
      <c r="E349" s="699" t="str">
        <f>VLOOKUP($B349,dongia1,DG!$C$5,)</f>
        <v>Ximăng</v>
      </c>
      <c r="F349" s="700" t="str">
        <f>VLOOKUP($B349,dongia1,DG!$D$5,)</f>
        <v>kg</v>
      </c>
      <c r="G349" s="762">
        <v>627</v>
      </c>
      <c r="H349" s="701">
        <f ca="1">H$348*$G349</f>
        <v>0</v>
      </c>
      <c r="I349" s="701">
        <f t="shared" ref="I349:O349" ca="1" si="200">I$348*$G349</f>
        <v>0</v>
      </c>
      <c r="J349" s="701">
        <f t="shared" ca="1" si="200"/>
        <v>0</v>
      </c>
      <c r="K349" s="701">
        <f ca="1">K$348*$G349</f>
        <v>0</v>
      </c>
      <c r="L349" s="701">
        <f t="shared" ca="1" si="200"/>
        <v>0</v>
      </c>
      <c r="M349" s="701">
        <f t="shared" ca="1" si="200"/>
        <v>0</v>
      </c>
      <c r="N349" s="701">
        <f t="shared" ca="1" si="200"/>
        <v>0</v>
      </c>
      <c r="O349" s="701">
        <f t="shared" si="200"/>
        <v>0</v>
      </c>
      <c r="P349" s="702">
        <f>VLOOKUP($B349,dongia1,DG!$F$5,)</f>
        <v>1740</v>
      </c>
      <c r="Q349" s="702">
        <f>VLOOKUP($B349,dongia1,DG!$G$5,)</f>
        <v>0</v>
      </c>
      <c r="R349" s="703"/>
      <c r="S349" s="702">
        <f t="shared" ref="S349:S357" si="201">$G349*P349</f>
        <v>1090980</v>
      </c>
      <c r="T349" s="702">
        <f t="shared" ref="T349:T357" si="202">$G349*Q349</f>
        <v>0</v>
      </c>
      <c r="U349" s="704">
        <f t="shared" ref="U349:U357" si="203">$G349*R349</f>
        <v>0</v>
      </c>
    </row>
    <row r="350" spans="1:21" hidden="1">
      <c r="B350" s="696" t="s">
        <v>1729</v>
      </c>
      <c r="C350" s="631"/>
      <c r="D350" s="698">
        <f>VLOOKUP($B350,dongia1,DG!$B$5,)</f>
        <v>0</v>
      </c>
      <c r="E350" s="699" t="str">
        <f>VLOOKUP($B350,dongia1,DG!$C$5,)</f>
        <v>Cát vàng</v>
      </c>
      <c r="F350" s="700" t="str">
        <f>VLOOKUP($B350,dongia1,DG!$D$5,)</f>
        <v>m3</v>
      </c>
      <c r="G350" s="762">
        <v>1.01</v>
      </c>
      <c r="H350" s="701">
        <f t="shared" ref="H350:O357" ca="1" si="204">H$348*$G350</f>
        <v>0</v>
      </c>
      <c r="I350" s="701">
        <f t="shared" ca="1" si="204"/>
        <v>0</v>
      </c>
      <c r="J350" s="701">
        <f t="shared" ca="1" si="204"/>
        <v>0</v>
      </c>
      <c r="K350" s="701">
        <f t="shared" ca="1" si="204"/>
        <v>0</v>
      </c>
      <c r="L350" s="701">
        <f t="shared" ca="1" si="204"/>
        <v>0</v>
      </c>
      <c r="M350" s="701">
        <f t="shared" ca="1" si="204"/>
        <v>0</v>
      </c>
      <c r="N350" s="701">
        <f t="shared" ca="1" si="204"/>
        <v>0</v>
      </c>
      <c r="O350" s="701">
        <f t="shared" si="204"/>
        <v>0</v>
      </c>
      <c r="P350" s="702">
        <f>VLOOKUP($B350,dongia1,DG!$F$5,)</f>
        <v>512000</v>
      </c>
      <c r="Q350" s="702">
        <f>VLOOKUP($B350,dongia1,DG!$G$5,)</f>
        <v>0</v>
      </c>
      <c r="R350" s="703"/>
      <c r="S350" s="702">
        <f t="shared" si="201"/>
        <v>517120</v>
      </c>
      <c r="T350" s="702">
        <f t="shared" si="202"/>
        <v>0</v>
      </c>
      <c r="U350" s="704">
        <f t="shared" si="203"/>
        <v>0</v>
      </c>
    </row>
    <row r="351" spans="1:21" hidden="1">
      <c r="A351" s="630" t="s">
        <v>312</v>
      </c>
      <c r="B351" s="696" t="s">
        <v>853</v>
      </c>
      <c r="C351" s="631"/>
      <c r="D351" s="698">
        <f>VLOOKUP($B351,dongia1,DG!$B$5,)</f>
        <v>0</v>
      </c>
      <c r="E351" s="699" t="str">
        <f>VLOOKUP($B351,dongia1,DG!$C$5,)</f>
        <v>Đá 1x2</v>
      </c>
      <c r="F351" s="700" t="str">
        <f>VLOOKUP($B351,dongia1,DG!$D$5,)</f>
        <v>m3</v>
      </c>
      <c r="G351" s="762">
        <v>1.87</v>
      </c>
      <c r="H351" s="701">
        <f t="shared" ca="1" si="204"/>
        <v>0</v>
      </c>
      <c r="I351" s="701">
        <f t="shared" ca="1" si="204"/>
        <v>0</v>
      </c>
      <c r="J351" s="701">
        <f t="shared" ca="1" si="204"/>
        <v>0</v>
      </c>
      <c r="K351" s="701">
        <f t="shared" ca="1" si="204"/>
        <v>0</v>
      </c>
      <c r="L351" s="701">
        <f t="shared" ca="1" si="204"/>
        <v>0</v>
      </c>
      <c r="M351" s="701">
        <f t="shared" ca="1" si="204"/>
        <v>0</v>
      </c>
      <c r="N351" s="701">
        <f t="shared" ca="1" si="204"/>
        <v>0</v>
      </c>
      <c r="O351" s="701">
        <f t="shared" si="204"/>
        <v>0</v>
      </c>
      <c r="P351" s="702">
        <f>VLOOKUP($B351,dongia1,DG!$F$5,)</f>
        <v>335000</v>
      </c>
      <c r="Q351" s="702">
        <f>VLOOKUP($B351,dongia1,DG!$G$5,)</f>
        <v>0</v>
      </c>
      <c r="R351" s="703"/>
      <c r="S351" s="702">
        <f t="shared" si="201"/>
        <v>626450</v>
      </c>
      <c r="T351" s="702">
        <f t="shared" si="202"/>
        <v>0</v>
      </c>
      <c r="U351" s="704">
        <f t="shared" si="203"/>
        <v>0</v>
      </c>
    </row>
    <row r="352" spans="1:21" hidden="1">
      <c r="B352" s="696" t="s">
        <v>1614</v>
      </c>
      <c r="C352" s="631"/>
      <c r="D352" s="698">
        <f>VLOOKUP($B352,dongia1,DG!$B$5,)</f>
        <v>0</v>
      </c>
      <c r="E352" s="699" t="str">
        <f>VLOOKUP($B352,dongia1,DG!$C$5,)</f>
        <v>Sắt   Þ10</v>
      </c>
      <c r="F352" s="700" t="str">
        <f>VLOOKUP($B352,dongia1,DG!$D$5,)</f>
        <v>kg</v>
      </c>
      <c r="G352" s="762">
        <f>40.04*0</f>
        <v>0</v>
      </c>
      <c r="H352" s="701">
        <f t="shared" ca="1" si="204"/>
        <v>0</v>
      </c>
      <c r="I352" s="701">
        <f t="shared" ca="1" si="204"/>
        <v>0</v>
      </c>
      <c r="J352" s="701">
        <f t="shared" ca="1" si="204"/>
        <v>0</v>
      </c>
      <c r="K352" s="701">
        <f t="shared" ca="1" si="204"/>
        <v>0</v>
      </c>
      <c r="L352" s="701">
        <f t="shared" ca="1" si="204"/>
        <v>0</v>
      </c>
      <c r="M352" s="701">
        <f t="shared" ca="1" si="204"/>
        <v>0</v>
      </c>
      <c r="N352" s="701">
        <f t="shared" ca="1" si="204"/>
        <v>0</v>
      </c>
      <c r="O352" s="701">
        <f t="shared" si="204"/>
        <v>0</v>
      </c>
      <c r="P352" s="702">
        <f>VLOOKUP($B352,dongia1,DG!$F$5,)</f>
        <v>13300</v>
      </c>
      <c r="Q352" s="702">
        <f>VLOOKUP($B352,dongia1,DG!$G$5,)</f>
        <v>0</v>
      </c>
      <c r="R352" s="703"/>
      <c r="S352" s="702">
        <f t="shared" si="201"/>
        <v>0</v>
      </c>
      <c r="T352" s="702">
        <f t="shared" si="202"/>
        <v>0</v>
      </c>
      <c r="U352" s="704">
        <f t="shared" si="203"/>
        <v>0</v>
      </c>
    </row>
    <row r="353" spans="1:21" hidden="1">
      <c r="A353" s="630" t="s">
        <v>312</v>
      </c>
      <c r="B353" s="696" t="s">
        <v>1615</v>
      </c>
      <c r="C353" s="631"/>
      <c r="D353" s="698">
        <f>VLOOKUP($B353,dongia1,DG!$B$5,)</f>
        <v>0</v>
      </c>
      <c r="E353" s="699" t="str">
        <f>VLOOKUP($B353,dongia1,DG!$C$5,)</f>
        <v>Kẽm</v>
      </c>
      <c r="F353" s="700" t="str">
        <f>VLOOKUP($B353,dongia1,DG!$D$5,)</f>
        <v>kg</v>
      </c>
      <c r="G353" s="762">
        <v>0.86</v>
      </c>
      <c r="H353" s="701">
        <f t="shared" ca="1" si="204"/>
        <v>0</v>
      </c>
      <c r="I353" s="701">
        <f t="shared" ca="1" si="204"/>
        <v>0</v>
      </c>
      <c r="J353" s="701">
        <f t="shared" ca="1" si="204"/>
        <v>0</v>
      </c>
      <c r="K353" s="701">
        <f t="shared" ca="1" si="204"/>
        <v>0</v>
      </c>
      <c r="L353" s="701">
        <f t="shared" ca="1" si="204"/>
        <v>0</v>
      </c>
      <c r="M353" s="701">
        <f t="shared" ca="1" si="204"/>
        <v>0</v>
      </c>
      <c r="N353" s="701">
        <f t="shared" ca="1" si="204"/>
        <v>0</v>
      </c>
      <c r="O353" s="701">
        <f t="shared" si="204"/>
        <v>0</v>
      </c>
      <c r="P353" s="702">
        <f>VLOOKUP($B353,dongia1,DG!$F$5,)</f>
        <v>10500</v>
      </c>
      <c r="Q353" s="702">
        <f>VLOOKUP($B353,dongia1,DG!$G$5,)</f>
        <v>0</v>
      </c>
      <c r="R353" s="703"/>
      <c r="S353" s="702">
        <f t="shared" si="201"/>
        <v>9030</v>
      </c>
      <c r="T353" s="702">
        <f t="shared" si="202"/>
        <v>0</v>
      </c>
      <c r="U353" s="704">
        <f t="shared" si="203"/>
        <v>0</v>
      </c>
    </row>
    <row r="354" spans="1:21" hidden="1">
      <c r="B354" s="696" t="s">
        <v>1645</v>
      </c>
      <c r="C354" s="631"/>
      <c r="D354" s="698"/>
      <c r="E354" s="699" t="str">
        <f>VLOOKUP($B354,dongia1,DG!$C$5,)</f>
        <v>Đào hố móng đất cấp 3 sâu &gt;1m DT&lt;5m2</v>
      </c>
      <c r="F354" s="700" t="str">
        <f>VLOOKUP($B354,dongia1,DG!$D$5,)</f>
        <v>m3</v>
      </c>
      <c r="G354" s="762">
        <v>2.2999999999999998</v>
      </c>
      <c r="H354" s="701">
        <f t="shared" ca="1" si="204"/>
        <v>0</v>
      </c>
      <c r="I354" s="701">
        <f t="shared" ca="1" si="204"/>
        <v>0</v>
      </c>
      <c r="J354" s="701">
        <f t="shared" ca="1" si="204"/>
        <v>0</v>
      </c>
      <c r="K354" s="701">
        <f t="shared" ca="1" si="204"/>
        <v>0</v>
      </c>
      <c r="L354" s="701">
        <f t="shared" ca="1" si="204"/>
        <v>0</v>
      </c>
      <c r="M354" s="701">
        <f t="shared" ca="1" si="204"/>
        <v>0</v>
      </c>
      <c r="N354" s="701">
        <f t="shared" ca="1" si="204"/>
        <v>0</v>
      </c>
      <c r="O354" s="701">
        <f t="shared" si="204"/>
        <v>0</v>
      </c>
      <c r="P354" s="702">
        <f>VLOOKUP($B354,dongia1,DG!$F$5,)</f>
        <v>0</v>
      </c>
      <c r="Q354" s="702">
        <f>VLOOKUP($B354,dongia1,DG!$G$5,)</f>
        <v>296500.89999999997</v>
      </c>
      <c r="R354" s="703"/>
      <c r="S354" s="702">
        <f t="shared" si="201"/>
        <v>0</v>
      </c>
      <c r="T354" s="702">
        <f t="shared" si="202"/>
        <v>681952.06999999983</v>
      </c>
      <c r="U354" s="704">
        <f t="shared" si="203"/>
        <v>0</v>
      </c>
    </row>
    <row r="355" spans="1:21" hidden="1">
      <c r="B355" s="696" t="s">
        <v>501</v>
      </c>
      <c r="C355" s="631"/>
      <c r="D355" s="698"/>
      <c r="E355" s="699" t="str">
        <f>VLOOKUP($B355,dongia1,DG!$C$5,)</f>
        <v>Đắp đất hố móng, đất cấp 3 (độ chặt k = 0.85)</v>
      </c>
      <c r="F355" s="700" t="str">
        <f>VLOOKUP($B355,dongia1,DG!$D$5,)</f>
        <v>m3</v>
      </c>
      <c r="G355" s="762">
        <v>0</v>
      </c>
      <c r="H355" s="701">
        <f t="shared" ca="1" si="204"/>
        <v>0</v>
      </c>
      <c r="I355" s="701">
        <f t="shared" ca="1" si="204"/>
        <v>0</v>
      </c>
      <c r="J355" s="701">
        <f t="shared" ca="1" si="204"/>
        <v>0</v>
      </c>
      <c r="K355" s="701">
        <f t="shared" ca="1" si="204"/>
        <v>0</v>
      </c>
      <c r="L355" s="701">
        <f t="shared" ca="1" si="204"/>
        <v>0</v>
      </c>
      <c r="M355" s="701">
        <f t="shared" ca="1" si="204"/>
        <v>0</v>
      </c>
      <c r="N355" s="701">
        <f t="shared" ca="1" si="204"/>
        <v>0</v>
      </c>
      <c r="O355" s="701">
        <f t="shared" si="204"/>
        <v>0</v>
      </c>
      <c r="P355" s="702">
        <f>VLOOKUP($B355,dongia1,DG!$F$5,)</f>
        <v>0</v>
      </c>
      <c r="Q355" s="702">
        <f>VLOOKUP($B355,dongia1,DG!$G$5,)</f>
        <v>117703.6</v>
      </c>
      <c r="R355" s="703"/>
      <c r="S355" s="702">
        <f t="shared" si="201"/>
        <v>0</v>
      </c>
      <c r="T355" s="702">
        <f t="shared" si="202"/>
        <v>0</v>
      </c>
      <c r="U355" s="704">
        <f t="shared" si="203"/>
        <v>0</v>
      </c>
    </row>
    <row r="356" spans="1:21" s="552" customFormat="1" ht="15" hidden="1" customHeight="1">
      <c r="A356" s="621"/>
      <c r="B356" s="622" t="s">
        <v>1616</v>
      </c>
      <c r="C356" s="558"/>
      <c r="D356" s="553"/>
      <c r="E356" s="694" t="str">
        <f>VLOOKUP($B356,dongia1,DG!$C$5,)</f>
        <v>Gia công và lắp dựng cốt thép D&lt;=10</v>
      </c>
      <c r="F356" s="555" t="str">
        <f>VLOOKUP($B356,dongia1,DG!$D$5,)</f>
        <v>kg</v>
      </c>
      <c r="G356" s="205">
        <f>G352</f>
        <v>0</v>
      </c>
      <c r="H356" s="556">
        <f t="shared" ca="1" si="204"/>
        <v>0</v>
      </c>
      <c r="I356" s="556">
        <f t="shared" ca="1" si="204"/>
        <v>0</v>
      </c>
      <c r="J356" s="556">
        <f t="shared" ca="1" si="204"/>
        <v>0</v>
      </c>
      <c r="K356" s="556">
        <f t="shared" ca="1" si="204"/>
        <v>0</v>
      </c>
      <c r="L356" s="556">
        <f t="shared" ca="1" si="204"/>
        <v>0</v>
      </c>
      <c r="M356" s="556">
        <f t="shared" ca="1" si="204"/>
        <v>0</v>
      </c>
      <c r="N356" s="556">
        <f t="shared" ca="1" si="204"/>
        <v>0</v>
      </c>
      <c r="O356" s="556">
        <f t="shared" si="204"/>
        <v>0</v>
      </c>
      <c r="P356" s="182"/>
      <c r="Q356" s="182">
        <f>VLOOKUP($B356,dongia1,DG!$G$5,)</f>
        <v>2965.3303999999998</v>
      </c>
      <c r="R356" s="554"/>
      <c r="S356" s="113">
        <f t="shared" si="201"/>
        <v>0</v>
      </c>
      <c r="T356" s="113">
        <f t="shared" si="202"/>
        <v>0</v>
      </c>
      <c r="U356" s="557">
        <f t="shared" si="203"/>
        <v>0</v>
      </c>
    </row>
    <row r="357" spans="1:21" hidden="1">
      <c r="B357" s="696" t="s">
        <v>2066</v>
      </c>
      <c r="C357" s="631"/>
      <c r="D357" s="698"/>
      <c r="E357" s="699" t="str">
        <f>VLOOKUP($B357,dongia1,DG!$C$5,)</f>
        <v>Đổ bê tông mác M200 đá 1x 2rộng &gt;250cm</v>
      </c>
      <c r="F357" s="700" t="str">
        <f>VLOOKUP($B357,dongia1,DG!$D$5,)</f>
        <v>m3</v>
      </c>
      <c r="G357" s="762">
        <v>2.12</v>
      </c>
      <c r="H357" s="701">
        <f t="shared" ca="1" si="204"/>
        <v>0</v>
      </c>
      <c r="I357" s="701">
        <f t="shared" ca="1" si="204"/>
        <v>0</v>
      </c>
      <c r="J357" s="701">
        <f t="shared" ca="1" si="204"/>
        <v>0</v>
      </c>
      <c r="K357" s="701">
        <f t="shared" ca="1" si="204"/>
        <v>0</v>
      </c>
      <c r="L357" s="701">
        <f t="shared" ca="1" si="204"/>
        <v>0</v>
      </c>
      <c r="M357" s="701">
        <f t="shared" ca="1" si="204"/>
        <v>0</v>
      </c>
      <c r="N357" s="701">
        <f t="shared" ca="1" si="204"/>
        <v>0</v>
      </c>
      <c r="O357" s="701">
        <f t="shared" si="204"/>
        <v>0</v>
      </c>
      <c r="P357" s="702"/>
      <c r="Q357" s="702">
        <f>VLOOKUP($B357,dongia1,DG!$G$5,)</f>
        <v>466397.5</v>
      </c>
      <c r="R357" s="703"/>
      <c r="S357" s="702">
        <f t="shared" si="201"/>
        <v>0</v>
      </c>
      <c r="T357" s="702">
        <f t="shared" si="202"/>
        <v>988762.70000000007</v>
      </c>
      <c r="U357" s="704">
        <f t="shared" si="203"/>
        <v>0</v>
      </c>
    </row>
    <row r="358" spans="1:21" s="552" customFormat="1" ht="15" hidden="1" customHeight="1">
      <c r="A358" s="621" t="s">
        <v>3739</v>
      </c>
      <c r="B358" s="622"/>
      <c r="C358" s="558"/>
      <c r="D358" s="553"/>
      <c r="E358" s="727" t="s">
        <v>3529</v>
      </c>
      <c r="F358" s="600" t="s">
        <v>3391</v>
      </c>
      <c r="G358" s="604">
        <f>pp3p1m!AJ7</f>
        <v>0</v>
      </c>
      <c r="H358" s="556">
        <f ca="1">SUM(I358:N358)</f>
        <v>0</v>
      </c>
      <c r="I358" s="556">
        <f ca="1">SUMIF(mong3pm,chitiet!$A358,slmong3pm)</f>
        <v>0</v>
      </c>
      <c r="J358" s="556">
        <f ca="1">SUMIF(mongct,chitiet!$A358,slmongct)</f>
        <v>0</v>
      </c>
      <c r="K358" s="556">
        <f ca="1">SUMIF(mong3p1m,chitiet!$A358,slmong3p1m)</f>
        <v>0</v>
      </c>
      <c r="L358" s="556">
        <f ca="1">SUMIF(mong1pm,chitiet!$A358,slmong1pm)</f>
        <v>0</v>
      </c>
      <c r="M358" s="556">
        <f ca="1">SUMIF(monghthh,chitiet!$A358,slmonghthh)</f>
        <v>0</v>
      </c>
      <c r="N358" s="556">
        <f ca="1">SUMIF(mongHTDL,chitiet!$A358,SLmongHTDL)</f>
        <v>0</v>
      </c>
      <c r="O358" s="556"/>
      <c r="P358" s="554"/>
      <c r="Q358" s="554"/>
      <c r="R358" s="554"/>
      <c r="S358" s="601">
        <f>SUM(S359:S367)</f>
        <v>3563838</v>
      </c>
      <c r="T358" s="601">
        <f>SUM(T359:T367)</f>
        <v>2324542.818064</v>
      </c>
      <c r="U358" s="602">
        <f>SUM(U359:U367)</f>
        <v>0</v>
      </c>
    </row>
    <row r="359" spans="1:21" s="552" customFormat="1" ht="15" hidden="1" customHeight="1">
      <c r="A359" s="621"/>
      <c r="B359" s="622" t="s">
        <v>1728</v>
      </c>
      <c r="C359" s="558"/>
      <c r="D359" s="553"/>
      <c r="E359" s="694" t="str">
        <f>VLOOKUP($B359,dongia1,DG!$C$5,)</f>
        <v>Ximăng</v>
      </c>
      <c r="F359" s="555" t="str">
        <f>VLOOKUP($B359,dongia1,DG!$D$5,)</f>
        <v>kg</v>
      </c>
      <c r="G359" s="205">
        <v>814</v>
      </c>
      <c r="H359" s="556">
        <f ca="1">H$358*$G359</f>
        <v>0</v>
      </c>
      <c r="I359" s="556">
        <f t="shared" ref="I359:O359" ca="1" si="205">I$358*$G359</f>
        <v>0</v>
      </c>
      <c r="J359" s="556">
        <f t="shared" ca="1" si="205"/>
        <v>0</v>
      </c>
      <c r="K359" s="556">
        <f t="shared" ca="1" si="205"/>
        <v>0</v>
      </c>
      <c r="L359" s="556">
        <f t="shared" ca="1" si="205"/>
        <v>0</v>
      </c>
      <c r="M359" s="556">
        <f t="shared" ca="1" si="205"/>
        <v>0</v>
      </c>
      <c r="N359" s="556">
        <f t="shared" ca="1" si="205"/>
        <v>0</v>
      </c>
      <c r="O359" s="556">
        <f t="shared" si="205"/>
        <v>0</v>
      </c>
      <c r="P359" s="182">
        <f>VLOOKUP($B359,dongia1,DG!$F$5,)</f>
        <v>1740</v>
      </c>
      <c r="Q359" s="182">
        <f>VLOOKUP($B359,dongia1,DG!$G$5,)</f>
        <v>0</v>
      </c>
      <c r="R359" s="554"/>
      <c r="S359" s="113">
        <f t="shared" ref="S359:S367" si="206">$G359*P359</f>
        <v>1416360</v>
      </c>
      <c r="T359" s="113">
        <f t="shared" ref="T359:T367" si="207">$G359*Q359</f>
        <v>0</v>
      </c>
      <c r="U359" s="557">
        <f t="shared" ref="U359:U367" si="208">$G359*R359</f>
        <v>0</v>
      </c>
    </row>
    <row r="360" spans="1:21" s="552" customFormat="1" ht="15" hidden="1" customHeight="1">
      <c r="A360" s="621"/>
      <c r="B360" s="622" t="s">
        <v>1729</v>
      </c>
      <c r="C360" s="558"/>
      <c r="D360" s="553"/>
      <c r="E360" s="694" t="str">
        <f>VLOOKUP($B360,dongia1,DG!$C$5,)</f>
        <v>Cát vàng</v>
      </c>
      <c r="F360" s="555" t="str">
        <f>VLOOKUP($B360,dongia1,DG!$D$5,)</f>
        <v>m3</v>
      </c>
      <c r="G360" s="205">
        <v>1.3049999999999999</v>
      </c>
      <c r="H360" s="556">
        <f t="shared" ref="H360:O367" ca="1" si="209">H$358*$G360</f>
        <v>0</v>
      </c>
      <c r="I360" s="556">
        <f t="shared" ca="1" si="209"/>
        <v>0</v>
      </c>
      <c r="J360" s="556">
        <f t="shared" ca="1" si="209"/>
        <v>0</v>
      </c>
      <c r="K360" s="556">
        <f t="shared" ca="1" si="209"/>
        <v>0</v>
      </c>
      <c r="L360" s="556">
        <f t="shared" ca="1" si="209"/>
        <v>0</v>
      </c>
      <c r="M360" s="556">
        <f t="shared" ca="1" si="209"/>
        <v>0</v>
      </c>
      <c r="N360" s="556">
        <f t="shared" ca="1" si="209"/>
        <v>0</v>
      </c>
      <c r="O360" s="556">
        <f t="shared" si="209"/>
        <v>0</v>
      </c>
      <c r="P360" s="182">
        <f>VLOOKUP($B360,dongia1,DG!$F$5,)</f>
        <v>512000</v>
      </c>
      <c r="Q360" s="182">
        <f>VLOOKUP($B360,dongia1,DG!$G$5,)</f>
        <v>0</v>
      </c>
      <c r="R360" s="554"/>
      <c r="S360" s="113">
        <f t="shared" si="206"/>
        <v>668160</v>
      </c>
      <c r="T360" s="113">
        <f t="shared" si="207"/>
        <v>0</v>
      </c>
      <c r="U360" s="557">
        <f t="shared" si="208"/>
        <v>0</v>
      </c>
    </row>
    <row r="361" spans="1:21" s="552" customFormat="1" ht="15" hidden="1" customHeight="1">
      <c r="A361" s="621" t="s">
        <v>312</v>
      </c>
      <c r="B361" s="622" t="s">
        <v>853</v>
      </c>
      <c r="C361" s="558"/>
      <c r="D361" s="553"/>
      <c r="E361" s="694" t="str">
        <f>VLOOKUP($B361,dongia1,DG!$C$5,)</f>
        <v>Đá 1x2</v>
      </c>
      <c r="F361" s="555" t="str">
        <f>VLOOKUP($B361,dongia1,DG!$D$5,)</f>
        <v>m3</v>
      </c>
      <c r="G361" s="205">
        <v>2.4209999999999998</v>
      </c>
      <c r="H361" s="556">
        <f t="shared" ca="1" si="209"/>
        <v>0</v>
      </c>
      <c r="I361" s="556">
        <f t="shared" ca="1" si="209"/>
        <v>0</v>
      </c>
      <c r="J361" s="556">
        <f t="shared" ca="1" si="209"/>
        <v>0</v>
      </c>
      <c r="K361" s="556">
        <f t="shared" ca="1" si="209"/>
        <v>0</v>
      </c>
      <c r="L361" s="556">
        <f t="shared" ca="1" si="209"/>
        <v>0</v>
      </c>
      <c r="M361" s="556">
        <f t="shared" ca="1" si="209"/>
        <v>0</v>
      </c>
      <c r="N361" s="556">
        <f t="shared" ca="1" si="209"/>
        <v>0</v>
      </c>
      <c r="O361" s="556">
        <f t="shared" si="209"/>
        <v>0</v>
      </c>
      <c r="P361" s="182">
        <f>VLOOKUP($B361,dongia1,DG!$F$5,)</f>
        <v>335000</v>
      </c>
      <c r="Q361" s="182">
        <f>VLOOKUP($B361,dongia1,DG!$G$5,)</f>
        <v>0</v>
      </c>
      <c r="R361" s="554"/>
      <c r="S361" s="113">
        <f t="shared" si="206"/>
        <v>811034.99999999988</v>
      </c>
      <c r="T361" s="113">
        <f t="shared" si="207"/>
        <v>0</v>
      </c>
      <c r="U361" s="557">
        <f t="shared" si="208"/>
        <v>0</v>
      </c>
    </row>
    <row r="362" spans="1:21" s="552" customFormat="1" ht="15" hidden="1" customHeight="1">
      <c r="A362" s="621"/>
      <c r="B362" s="622" t="s">
        <v>1614</v>
      </c>
      <c r="C362" s="558"/>
      <c r="D362" s="553"/>
      <c r="E362" s="694" t="str">
        <f>VLOOKUP($B362,dongia1,DG!$C$5,)</f>
        <v>Sắt   Þ10</v>
      </c>
      <c r="F362" s="555" t="str">
        <f>VLOOKUP($B362,dongia1,DG!$D$5,)</f>
        <v>kg</v>
      </c>
      <c r="G362" s="205">
        <v>49.41</v>
      </c>
      <c r="H362" s="556">
        <f t="shared" ca="1" si="209"/>
        <v>0</v>
      </c>
      <c r="I362" s="556">
        <f t="shared" ca="1" si="209"/>
        <v>0</v>
      </c>
      <c r="J362" s="556">
        <f t="shared" ca="1" si="209"/>
        <v>0</v>
      </c>
      <c r="K362" s="556">
        <f t="shared" ca="1" si="209"/>
        <v>0</v>
      </c>
      <c r="L362" s="556">
        <f t="shared" ca="1" si="209"/>
        <v>0</v>
      </c>
      <c r="M362" s="556">
        <f t="shared" ca="1" si="209"/>
        <v>0</v>
      </c>
      <c r="N362" s="556">
        <f t="shared" ca="1" si="209"/>
        <v>0</v>
      </c>
      <c r="O362" s="556">
        <f t="shared" si="209"/>
        <v>0</v>
      </c>
      <c r="P362" s="182">
        <f>VLOOKUP($B362,dongia1,DG!$F$5,)</f>
        <v>13300</v>
      </c>
      <c r="Q362" s="182">
        <f>VLOOKUP($B362,dongia1,DG!$G$5,)</f>
        <v>0</v>
      </c>
      <c r="R362" s="554"/>
      <c r="S362" s="113">
        <f t="shared" si="206"/>
        <v>657153</v>
      </c>
      <c r="T362" s="113">
        <f t="shared" si="207"/>
        <v>0</v>
      </c>
      <c r="U362" s="557">
        <f t="shared" si="208"/>
        <v>0</v>
      </c>
    </row>
    <row r="363" spans="1:21" s="552" customFormat="1" ht="15" hidden="1" customHeight="1">
      <c r="A363" s="621" t="s">
        <v>312</v>
      </c>
      <c r="B363" s="622" t="s">
        <v>1615</v>
      </c>
      <c r="C363" s="558"/>
      <c r="D363" s="553"/>
      <c r="E363" s="694" t="str">
        <f>VLOOKUP($B363,dongia1,DG!$C$5,)</f>
        <v>Kẽm</v>
      </c>
      <c r="F363" s="555" t="str">
        <f>VLOOKUP($B363,dongia1,DG!$D$5,)</f>
        <v>kg</v>
      </c>
      <c r="G363" s="205">
        <v>1.06</v>
      </c>
      <c r="H363" s="556">
        <f t="shared" ca="1" si="209"/>
        <v>0</v>
      </c>
      <c r="I363" s="556">
        <f t="shared" ca="1" si="209"/>
        <v>0</v>
      </c>
      <c r="J363" s="556">
        <f t="shared" ca="1" si="209"/>
        <v>0</v>
      </c>
      <c r="K363" s="556">
        <f t="shared" ca="1" si="209"/>
        <v>0</v>
      </c>
      <c r="L363" s="556">
        <f t="shared" ca="1" si="209"/>
        <v>0</v>
      </c>
      <c r="M363" s="556">
        <f t="shared" ca="1" si="209"/>
        <v>0</v>
      </c>
      <c r="N363" s="556">
        <f t="shared" ca="1" si="209"/>
        <v>0</v>
      </c>
      <c r="O363" s="556">
        <f t="shared" si="209"/>
        <v>0</v>
      </c>
      <c r="P363" s="182">
        <f>VLOOKUP($B363,dongia1,DG!$F$5,)</f>
        <v>10500</v>
      </c>
      <c r="Q363" s="182">
        <f>VLOOKUP($B363,dongia1,DG!$G$5,)</f>
        <v>0</v>
      </c>
      <c r="R363" s="554"/>
      <c r="S363" s="113">
        <f t="shared" si="206"/>
        <v>11130</v>
      </c>
      <c r="T363" s="113">
        <f t="shared" si="207"/>
        <v>0</v>
      </c>
      <c r="U363" s="557">
        <f t="shared" si="208"/>
        <v>0</v>
      </c>
    </row>
    <row r="364" spans="1:21" s="552" customFormat="1" ht="15" hidden="1" customHeight="1">
      <c r="A364" s="621"/>
      <c r="B364" s="622" t="s">
        <v>1645</v>
      </c>
      <c r="C364" s="558"/>
      <c r="D364" s="553"/>
      <c r="E364" s="694" t="str">
        <f>VLOOKUP($B364,dongia1,DG!$C$5,)</f>
        <v>Đào hố móng đất cấp 3 sâu &gt;1m DT&lt;5m2</v>
      </c>
      <c r="F364" s="555" t="str">
        <f>VLOOKUP($B364,dongia1,DG!$D$5,)</f>
        <v>m3</v>
      </c>
      <c r="G364" s="205">
        <v>3.02</v>
      </c>
      <c r="H364" s="556">
        <f t="shared" ca="1" si="209"/>
        <v>0</v>
      </c>
      <c r="I364" s="556">
        <f t="shared" ca="1" si="209"/>
        <v>0</v>
      </c>
      <c r="J364" s="556">
        <f t="shared" ca="1" si="209"/>
        <v>0</v>
      </c>
      <c r="K364" s="556">
        <f t="shared" ca="1" si="209"/>
        <v>0</v>
      </c>
      <c r="L364" s="556">
        <f t="shared" ca="1" si="209"/>
        <v>0</v>
      </c>
      <c r="M364" s="556">
        <f t="shared" ca="1" si="209"/>
        <v>0</v>
      </c>
      <c r="N364" s="556">
        <f t="shared" ca="1" si="209"/>
        <v>0</v>
      </c>
      <c r="O364" s="556">
        <f t="shared" si="209"/>
        <v>0</v>
      </c>
      <c r="P364" s="182">
        <f>VLOOKUP($B364,dongia1,DG!$F$5,)</f>
        <v>0</v>
      </c>
      <c r="Q364" s="182">
        <f>VLOOKUP($B364,dongia1,DG!$G$5,)</f>
        <v>296500.89999999997</v>
      </c>
      <c r="R364" s="554"/>
      <c r="S364" s="113">
        <f t="shared" si="206"/>
        <v>0</v>
      </c>
      <c r="T364" s="113">
        <f t="shared" si="207"/>
        <v>895432.71799999988</v>
      </c>
      <c r="U364" s="557">
        <f t="shared" si="208"/>
        <v>0</v>
      </c>
    </row>
    <row r="365" spans="1:21" s="552" customFormat="1" ht="15" hidden="1" customHeight="1">
      <c r="A365" s="621"/>
      <c r="B365" s="622" t="s">
        <v>501</v>
      </c>
      <c r="C365" s="558"/>
      <c r="D365" s="553"/>
      <c r="E365" s="694" t="str">
        <f>VLOOKUP($B365,dongia1,DG!$C$5,)</f>
        <v>Đắp đất hố móng, đất cấp 3 (độ chặt k = 0.85)</v>
      </c>
      <c r="F365" s="555" t="str">
        <f>VLOOKUP($B365,dongia1,DG!$D$5,)</f>
        <v>m3</v>
      </c>
      <c r="G365" s="205">
        <v>0</v>
      </c>
      <c r="H365" s="556">
        <f t="shared" ca="1" si="209"/>
        <v>0</v>
      </c>
      <c r="I365" s="556">
        <f t="shared" ca="1" si="209"/>
        <v>0</v>
      </c>
      <c r="J365" s="556">
        <f t="shared" ca="1" si="209"/>
        <v>0</v>
      </c>
      <c r="K365" s="556">
        <f t="shared" ca="1" si="209"/>
        <v>0</v>
      </c>
      <c r="L365" s="556">
        <f t="shared" ca="1" si="209"/>
        <v>0</v>
      </c>
      <c r="M365" s="556">
        <f t="shared" ca="1" si="209"/>
        <v>0</v>
      </c>
      <c r="N365" s="556">
        <f t="shared" ca="1" si="209"/>
        <v>0</v>
      </c>
      <c r="O365" s="556">
        <f t="shared" si="209"/>
        <v>0</v>
      </c>
      <c r="P365" s="182">
        <f>VLOOKUP($B365,dongia1,DG!$F$5,)</f>
        <v>0</v>
      </c>
      <c r="Q365" s="182">
        <f>VLOOKUP($B365,dongia1,DG!$G$5,)</f>
        <v>117703.6</v>
      </c>
      <c r="R365" s="554"/>
      <c r="S365" s="113">
        <f t="shared" si="206"/>
        <v>0</v>
      </c>
      <c r="T365" s="113">
        <f t="shared" si="207"/>
        <v>0</v>
      </c>
      <c r="U365" s="557">
        <f t="shared" si="208"/>
        <v>0</v>
      </c>
    </row>
    <row r="366" spans="1:21" s="552" customFormat="1" ht="15" hidden="1" customHeight="1">
      <c r="A366" s="621"/>
      <c r="B366" s="622" t="s">
        <v>1616</v>
      </c>
      <c r="C366" s="558"/>
      <c r="D366" s="553"/>
      <c r="E366" s="694" t="str">
        <f>VLOOKUP($B366,dongia1,DG!$C$5,)</f>
        <v>Gia công và lắp dựng cốt thép D&lt;=10</v>
      </c>
      <c r="F366" s="555" t="str">
        <f>VLOOKUP($B366,dongia1,DG!$D$5,)</f>
        <v>kg</v>
      </c>
      <c r="G366" s="205">
        <f>G362</f>
        <v>49.41</v>
      </c>
      <c r="H366" s="556">
        <f t="shared" ca="1" si="209"/>
        <v>0</v>
      </c>
      <c r="I366" s="556">
        <f t="shared" ca="1" si="209"/>
        <v>0</v>
      </c>
      <c r="J366" s="556">
        <f t="shared" ca="1" si="209"/>
        <v>0</v>
      </c>
      <c r="K366" s="556">
        <f t="shared" ca="1" si="209"/>
        <v>0</v>
      </c>
      <c r="L366" s="556">
        <f t="shared" ca="1" si="209"/>
        <v>0</v>
      </c>
      <c r="M366" s="556">
        <f t="shared" ca="1" si="209"/>
        <v>0</v>
      </c>
      <c r="N366" s="556">
        <f t="shared" ca="1" si="209"/>
        <v>0</v>
      </c>
      <c r="O366" s="556">
        <f t="shared" si="209"/>
        <v>0</v>
      </c>
      <c r="P366" s="182"/>
      <c r="Q366" s="182">
        <f>VLOOKUP($B366,dongia1,DG!$G$5,)</f>
        <v>2965.3303999999998</v>
      </c>
      <c r="R366" s="554"/>
      <c r="S366" s="113">
        <f t="shared" si="206"/>
        <v>0</v>
      </c>
      <c r="T366" s="113">
        <f t="shared" si="207"/>
        <v>146516.97506399997</v>
      </c>
      <c r="U366" s="557">
        <f t="shared" si="208"/>
        <v>0</v>
      </c>
    </row>
    <row r="367" spans="1:21" s="552" customFormat="1" ht="15" hidden="1" customHeight="1">
      <c r="A367" s="621"/>
      <c r="B367" s="622" t="s">
        <v>2066</v>
      </c>
      <c r="C367" s="558"/>
      <c r="D367" s="553"/>
      <c r="E367" s="694" t="str">
        <f>VLOOKUP($B367,dongia1,DG!$C$5,)</f>
        <v>Đổ bê tông mác M200 đá 1x 2rộng &gt;250cm</v>
      </c>
      <c r="F367" s="555" t="str">
        <f>VLOOKUP($B367,dongia1,DG!$D$5,)</f>
        <v>m3</v>
      </c>
      <c r="G367" s="205">
        <v>2.75</v>
      </c>
      <c r="H367" s="556">
        <f t="shared" ca="1" si="209"/>
        <v>0</v>
      </c>
      <c r="I367" s="556">
        <f t="shared" ca="1" si="209"/>
        <v>0</v>
      </c>
      <c r="J367" s="556">
        <f t="shared" ca="1" si="209"/>
        <v>0</v>
      </c>
      <c r="K367" s="556">
        <f t="shared" ca="1" si="209"/>
        <v>0</v>
      </c>
      <c r="L367" s="556">
        <f t="shared" ca="1" si="209"/>
        <v>0</v>
      </c>
      <c r="M367" s="556">
        <f t="shared" ca="1" si="209"/>
        <v>0</v>
      </c>
      <c r="N367" s="556">
        <f t="shared" ca="1" si="209"/>
        <v>0</v>
      </c>
      <c r="O367" s="556">
        <f t="shared" si="209"/>
        <v>0</v>
      </c>
      <c r="P367" s="182"/>
      <c r="Q367" s="182">
        <f>VLOOKUP($B367,dongia1,DG!$G$5,)</f>
        <v>466397.5</v>
      </c>
      <c r="R367" s="554"/>
      <c r="S367" s="113">
        <f t="shared" si="206"/>
        <v>0</v>
      </c>
      <c r="T367" s="113">
        <f t="shared" si="207"/>
        <v>1282593.125</v>
      </c>
      <c r="U367" s="557">
        <f t="shared" si="208"/>
        <v>0</v>
      </c>
    </row>
    <row r="368" spans="1:21" s="552" customFormat="1" ht="15" hidden="1" customHeight="1">
      <c r="A368" s="621" t="s">
        <v>1707</v>
      </c>
      <c r="B368" s="622"/>
      <c r="C368" s="558" t="str">
        <f ca="1">IF(H368&lt;&gt;0,"x"," ")</f>
        <v xml:space="preserve"> </v>
      </c>
      <c r="D368" s="553"/>
      <c r="E368" s="727" t="s">
        <v>3530</v>
      </c>
      <c r="F368" s="600" t="s">
        <v>3391</v>
      </c>
      <c r="G368" s="205"/>
      <c r="H368" s="556">
        <f ca="1">SUM(I368:N368)</f>
        <v>0</v>
      </c>
      <c r="I368" s="556">
        <f ca="1">SUMIF(mong3pm,chitiet!$A368,slmong3pm)</f>
        <v>0</v>
      </c>
      <c r="J368" s="556">
        <f ca="1">SUMIF(mongct,chitiet!$A368,slmongct)</f>
        <v>0</v>
      </c>
      <c r="K368" s="556">
        <f ca="1">SUMIF(mong3p1m,chitiet!$A368,slmong3p1m)</f>
        <v>0</v>
      </c>
      <c r="L368" s="556">
        <f ca="1">SUMIF(mong1pm,chitiet!$A368,slmong1pm)</f>
        <v>0</v>
      </c>
      <c r="M368" s="556">
        <f ca="1">SUMIF(monghthh,chitiet!$A368,slmonghthh)</f>
        <v>0</v>
      </c>
      <c r="N368" s="556">
        <f ca="1">SUMIF(mongHTDL,chitiet!$A368,SLmongHTDL)</f>
        <v>0</v>
      </c>
      <c r="O368" s="556"/>
      <c r="P368" s="554"/>
      <c r="Q368" s="554"/>
      <c r="R368" s="554"/>
      <c r="S368" s="601">
        <f>SUM(S369:S372)</f>
        <v>893490</v>
      </c>
      <c r="T368" s="601">
        <f>SUM(T369:T372)</f>
        <v>4541498.7450000001</v>
      </c>
      <c r="U368" s="602">
        <f>SUM(U369:U372)</f>
        <v>0</v>
      </c>
    </row>
    <row r="369" spans="1:21" s="552" customFormat="1" ht="15" hidden="1" customHeight="1">
      <c r="A369" s="621"/>
      <c r="B369" s="622" t="s">
        <v>580</v>
      </c>
      <c r="C369" s="558" t="str">
        <f ca="1">C368</f>
        <v xml:space="preserve"> </v>
      </c>
      <c r="D369" s="553"/>
      <c r="E369" s="694" t="str">
        <f>VLOOKUP($B369,dongia1,DG!$C$5,)</f>
        <v>Đà cản BTCT 1,2m</v>
      </c>
      <c r="F369" s="555" t="str">
        <f>VLOOKUP($B369,dongia1,DG!$D$5,)</f>
        <v>cái</v>
      </c>
      <c r="G369" s="205">
        <v>2</v>
      </c>
      <c r="H369" s="556">
        <f ca="1">H$368*$G369</f>
        <v>0</v>
      </c>
      <c r="I369" s="556">
        <f t="shared" ref="I369:O369" ca="1" si="210">I$368*$G369</f>
        <v>0</v>
      </c>
      <c r="J369" s="556">
        <f t="shared" ca="1" si="210"/>
        <v>0</v>
      </c>
      <c r="K369" s="556">
        <f t="shared" ca="1" si="210"/>
        <v>0</v>
      </c>
      <c r="L369" s="556">
        <f t="shared" ca="1" si="210"/>
        <v>0</v>
      </c>
      <c r="M369" s="556"/>
      <c r="N369" s="556">
        <f t="shared" ca="1" si="210"/>
        <v>0</v>
      </c>
      <c r="O369" s="556">
        <f t="shared" si="210"/>
        <v>0</v>
      </c>
      <c r="P369" s="182">
        <f>VLOOKUP($B369,dongia1,DG!$F$5,)</f>
        <v>354545</v>
      </c>
      <c r="Q369" s="182">
        <f>VLOOKUP($B369,dongia1,DG!$G$5,)</f>
        <v>37220.25</v>
      </c>
      <c r="R369" s="554"/>
      <c r="S369" s="113">
        <f t="shared" ref="S369:U372" si="211">$G369*P369</f>
        <v>709090</v>
      </c>
      <c r="T369" s="113">
        <f t="shared" si="211"/>
        <v>74440.5</v>
      </c>
      <c r="U369" s="557">
        <f t="shared" si="211"/>
        <v>0</v>
      </c>
    </row>
    <row r="370" spans="1:21" s="552" customFormat="1" ht="15" hidden="1" customHeight="1">
      <c r="A370" s="621"/>
      <c r="B370" s="622" t="s">
        <v>952</v>
      </c>
      <c r="C370" s="558" t="str">
        <f ca="1">C369</f>
        <v xml:space="preserve"> </v>
      </c>
      <c r="D370" s="553"/>
      <c r="E370" s="694" t="str">
        <f>VLOOKUP($B370,dongia1,DG!$C$5,)</f>
        <v>Boulon 22x650+ 2 long đền vuông D24-60x60x3/Zn</v>
      </c>
      <c r="F370" s="555" t="str">
        <f>VLOOKUP($B370,dongia1,DG!$D$5,)</f>
        <v>bộ</v>
      </c>
      <c r="G370" s="205">
        <v>2</v>
      </c>
      <c r="H370" s="556">
        <f t="shared" ref="H370:O372" ca="1" si="212">H$368*$G370</f>
        <v>0</v>
      </c>
      <c r="I370" s="556">
        <f t="shared" ca="1" si="212"/>
        <v>0</v>
      </c>
      <c r="J370" s="556">
        <f t="shared" ca="1" si="212"/>
        <v>0</v>
      </c>
      <c r="K370" s="556">
        <f t="shared" ca="1" si="212"/>
        <v>0</v>
      </c>
      <c r="L370" s="556">
        <f t="shared" ca="1" si="212"/>
        <v>0</v>
      </c>
      <c r="M370" s="556"/>
      <c r="N370" s="556">
        <f t="shared" ca="1" si="212"/>
        <v>0</v>
      </c>
      <c r="O370" s="556">
        <f t="shared" si="212"/>
        <v>0</v>
      </c>
      <c r="P370" s="182">
        <f>VLOOKUP($B370,dongia1,DG!$F$5,)</f>
        <v>92200</v>
      </c>
      <c r="Q370" s="554"/>
      <c r="R370" s="554"/>
      <c r="S370" s="113">
        <f t="shared" si="211"/>
        <v>184400</v>
      </c>
      <c r="T370" s="113">
        <f t="shared" si="211"/>
        <v>0</v>
      </c>
      <c r="U370" s="557">
        <f t="shared" si="211"/>
        <v>0</v>
      </c>
    </row>
    <row r="371" spans="1:21" s="552" customFormat="1" ht="15" hidden="1" customHeight="1">
      <c r="A371" s="621"/>
      <c r="B371" s="622" t="s">
        <v>1645</v>
      </c>
      <c r="C371" s="558" t="str">
        <f ca="1">C370</f>
        <v xml:space="preserve"> </v>
      </c>
      <c r="D371" s="553"/>
      <c r="E371" s="694" t="str">
        <f>VLOOKUP($B371,dongia1,DG!$C$5,)</f>
        <v>Đào hố móng đất cấp 3 sâu &gt;1m DT&lt;5m2</v>
      </c>
      <c r="F371" s="555" t="str">
        <f>VLOOKUP($B371,dongia1,DG!$D$5,)</f>
        <v>m3</v>
      </c>
      <c r="G371" s="205">
        <v>10.33</v>
      </c>
      <c r="H371" s="556">
        <f t="shared" ca="1" si="212"/>
        <v>0</v>
      </c>
      <c r="I371" s="556">
        <f t="shared" ca="1" si="212"/>
        <v>0</v>
      </c>
      <c r="J371" s="556">
        <f t="shared" ca="1" si="212"/>
        <v>0</v>
      </c>
      <c r="K371" s="556">
        <f t="shared" ca="1" si="212"/>
        <v>0</v>
      </c>
      <c r="L371" s="556">
        <f t="shared" ca="1" si="212"/>
        <v>0</v>
      </c>
      <c r="M371" s="556"/>
      <c r="N371" s="556">
        <f t="shared" ca="1" si="212"/>
        <v>0</v>
      </c>
      <c r="O371" s="556">
        <f t="shared" si="212"/>
        <v>0</v>
      </c>
      <c r="P371" s="182">
        <f>VLOOKUP($B371,dongia1,DG!$F$5,)</f>
        <v>0</v>
      </c>
      <c r="Q371" s="182">
        <f>VLOOKUP($B371,dongia1,DG!$G$5,)</f>
        <v>296500.89999999997</v>
      </c>
      <c r="R371" s="554"/>
      <c r="S371" s="113">
        <f t="shared" si="211"/>
        <v>0</v>
      </c>
      <c r="T371" s="113">
        <f t="shared" si="211"/>
        <v>3062854.2969999998</v>
      </c>
      <c r="U371" s="557">
        <f t="shared" si="211"/>
        <v>0</v>
      </c>
    </row>
    <row r="372" spans="1:21" s="552" customFormat="1" ht="15" hidden="1" customHeight="1">
      <c r="A372" s="621"/>
      <c r="B372" s="622" t="s">
        <v>501</v>
      </c>
      <c r="C372" s="558" t="str">
        <f ca="1">C371</f>
        <v xml:space="preserve"> </v>
      </c>
      <c r="D372" s="553"/>
      <c r="E372" s="694" t="str">
        <f>VLOOKUP($B372,dongia1,DG!$C$5,)</f>
        <v>Đắp đất hố móng, đất cấp 3 (độ chặt k = 0.85)</v>
      </c>
      <c r="F372" s="555" t="str">
        <f>VLOOKUP($B372,dongia1,DG!$D$5,)</f>
        <v>m3</v>
      </c>
      <c r="G372" s="205">
        <v>11.93</v>
      </c>
      <c r="H372" s="556">
        <f t="shared" ca="1" si="212"/>
        <v>0</v>
      </c>
      <c r="I372" s="556">
        <f t="shared" ca="1" si="212"/>
        <v>0</v>
      </c>
      <c r="J372" s="556">
        <f t="shared" ca="1" si="212"/>
        <v>0</v>
      </c>
      <c r="K372" s="556">
        <f t="shared" ca="1" si="212"/>
        <v>0</v>
      </c>
      <c r="L372" s="556">
        <f t="shared" ca="1" si="212"/>
        <v>0</v>
      </c>
      <c r="M372" s="556"/>
      <c r="N372" s="556">
        <f t="shared" ca="1" si="212"/>
        <v>0</v>
      </c>
      <c r="O372" s="556">
        <f t="shared" si="212"/>
        <v>0</v>
      </c>
      <c r="P372" s="182">
        <f>VLOOKUP($B372,dongia1,DG!$F$5,)</f>
        <v>0</v>
      </c>
      <c r="Q372" s="182">
        <f>VLOOKUP($B372,dongia1,DG!$G$5,)</f>
        <v>117703.6</v>
      </c>
      <c r="R372" s="554"/>
      <c r="S372" s="113">
        <f t="shared" si="211"/>
        <v>0</v>
      </c>
      <c r="T372" s="113">
        <f t="shared" si="211"/>
        <v>1404203.9480000001</v>
      </c>
      <c r="U372" s="557">
        <f t="shared" si="211"/>
        <v>0</v>
      </c>
    </row>
    <row r="373" spans="1:21" s="552" customFormat="1" ht="15" hidden="1" customHeight="1">
      <c r="A373" s="621" t="s">
        <v>15</v>
      </c>
      <c r="B373" s="622"/>
      <c r="C373" s="558" t="str">
        <f ca="1">IF(H373&lt;&gt;0,"x"," ")</f>
        <v xml:space="preserve"> </v>
      </c>
      <c r="D373" s="553"/>
      <c r="E373" s="727" t="s">
        <v>3531</v>
      </c>
      <c r="F373" s="600" t="s">
        <v>3391</v>
      </c>
      <c r="G373" s="205"/>
      <c r="H373" s="556">
        <f ca="1">SUM(I373:N373)</f>
        <v>0</v>
      </c>
      <c r="I373" s="556">
        <f ca="1">SUMIF(mong3pm,chitiet!$A373,slmong3pm)</f>
        <v>0</v>
      </c>
      <c r="J373" s="556">
        <f ca="1">SUMIF(mongct,chitiet!$A373,slmongct)</f>
        <v>0</v>
      </c>
      <c r="K373" s="556">
        <f ca="1">SUMIF(mong3p1m,chitiet!$A373,slmong3p1m)</f>
        <v>0</v>
      </c>
      <c r="L373" s="556">
        <f ca="1">SUMIF(mong1pm,chitiet!$A373,slmong1pm)</f>
        <v>0</v>
      </c>
      <c r="M373" s="556">
        <f ca="1">SUMIF(monghthh,chitiet!$A373,slmonghthh)</f>
        <v>0</v>
      </c>
      <c r="N373" s="556">
        <f ca="1">SUMIF(mongHTDL,chitiet!$A373,SLmongHTDL)</f>
        <v>0</v>
      </c>
      <c r="O373" s="556"/>
      <c r="P373" s="554"/>
      <c r="Q373" s="554"/>
      <c r="R373" s="554"/>
      <c r="S373" s="601">
        <f>SUM(S374:S378)</f>
        <v>1188945</v>
      </c>
      <c r="T373" s="601">
        <f>SUM(T374:T378)</f>
        <v>4777263.8449999997</v>
      </c>
      <c r="U373" s="602">
        <f>SUM(U374:U378)</f>
        <v>0</v>
      </c>
    </row>
    <row r="374" spans="1:21" s="552" customFormat="1" ht="15" hidden="1" customHeight="1">
      <c r="A374" s="621"/>
      <c r="B374" s="622" t="s">
        <v>201</v>
      </c>
      <c r="C374" s="558" t="str">
        <f ca="1">C373</f>
        <v xml:space="preserve"> </v>
      </c>
      <c r="D374" s="553"/>
      <c r="E374" s="694" t="str">
        <f>VLOOKUP($B374,dongia1,DG!$C$5,)</f>
        <v>Đà cản BTCT 1,5m</v>
      </c>
      <c r="F374" s="555" t="str">
        <f>VLOOKUP($B374,dongia1,DG!$D$5,)</f>
        <v>cái</v>
      </c>
      <c r="G374" s="205">
        <v>1</v>
      </c>
      <c r="H374" s="556">
        <f ca="1">H$373*$G374</f>
        <v>0</v>
      </c>
      <c r="I374" s="556">
        <f t="shared" ref="I374:O374" ca="1" si="213">I$373*$G374</f>
        <v>0</v>
      </c>
      <c r="J374" s="556">
        <f t="shared" ca="1" si="213"/>
        <v>0</v>
      </c>
      <c r="K374" s="556">
        <f t="shared" ca="1" si="213"/>
        <v>0</v>
      </c>
      <c r="L374" s="556">
        <f t="shared" ca="1" si="213"/>
        <v>0</v>
      </c>
      <c r="M374" s="556"/>
      <c r="N374" s="556">
        <f t="shared" ca="1" si="213"/>
        <v>0</v>
      </c>
      <c r="O374" s="556">
        <f t="shared" si="213"/>
        <v>0</v>
      </c>
      <c r="P374" s="182">
        <f>VLOOKUP($B374,dongia1,DG!$F$5,)</f>
        <v>650000</v>
      </c>
      <c r="Q374" s="182">
        <f>VLOOKUP($B374,dongia1,DG!$G$5,)</f>
        <v>148724</v>
      </c>
      <c r="R374" s="554"/>
      <c r="S374" s="113">
        <f t="shared" ref="S374:U378" si="214">$G374*P374</f>
        <v>650000</v>
      </c>
      <c r="T374" s="113">
        <f t="shared" si="214"/>
        <v>148724</v>
      </c>
      <c r="U374" s="557">
        <f t="shared" si="214"/>
        <v>0</v>
      </c>
    </row>
    <row r="375" spans="1:21" s="552" customFormat="1" ht="15" hidden="1" customHeight="1">
      <c r="A375" s="621"/>
      <c r="B375" s="622" t="s">
        <v>580</v>
      </c>
      <c r="C375" s="558" t="str">
        <f ca="1">C374</f>
        <v xml:space="preserve"> </v>
      </c>
      <c r="D375" s="553"/>
      <c r="E375" s="694" t="str">
        <f>VLOOKUP($B375,dongia1,DG!$C$5,)</f>
        <v>Đà cản BTCT 1,2m</v>
      </c>
      <c r="F375" s="555" t="str">
        <f>VLOOKUP($B375,dongia1,DG!$D$5,)</f>
        <v>cái</v>
      </c>
      <c r="G375" s="205">
        <v>1</v>
      </c>
      <c r="H375" s="556">
        <f t="shared" ref="H375:O378" ca="1" si="215">H$373*$G375</f>
        <v>0</v>
      </c>
      <c r="I375" s="556">
        <f t="shared" ca="1" si="215"/>
        <v>0</v>
      </c>
      <c r="J375" s="556">
        <f t="shared" ca="1" si="215"/>
        <v>0</v>
      </c>
      <c r="K375" s="556">
        <f t="shared" ca="1" si="215"/>
        <v>0</v>
      </c>
      <c r="L375" s="556">
        <f t="shared" ca="1" si="215"/>
        <v>0</v>
      </c>
      <c r="M375" s="556"/>
      <c r="N375" s="556">
        <f t="shared" ca="1" si="215"/>
        <v>0</v>
      </c>
      <c r="O375" s="556">
        <f t="shared" si="215"/>
        <v>0</v>
      </c>
      <c r="P375" s="182">
        <f>VLOOKUP($B375,dongia1,DG!$F$5,)</f>
        <v>354545</v>
      </c>
      <c r="Q375" s="182">
        <f>VLOOKUP($B375,dongia1,DG!$G$5,)</f>
        <v>37220.25</v>
      </c>
      <c r="R375" s="554"/>
      <c r="S375" s="113">
        <f t="shared" si="214"/>
        <v>354545</v>
      </c>
      <c r="T375" s="113">
        <f t="shared" si="214"/>
        <v>37220.25</v>
      </c>
      <c r="U375" s="557">
        <f t="shared" si="214"/>
        <v>0</v>
      </c>
    </row>
    <row r="376" spans="1:21" s="552" customFormat="1" ht="15" hidden="1" customHeight="1">
      <c r="A376" s="621"/>
      <c r="B376" s="622" t="s">
        <v>952</v>
      </c>
      <c r="C376" s="558" t="str">
        <f ca="1">C375</f>
        <v xml:space="preserve"> </v>
      </c>
      <c r="D376" s="553"/>
      <c r="E376" s="694" t="str">
        <f>VLOOKUP($B376,dongia1,DG!$C$5,)</f>
        <v>Boulon 22x650+ 2 long đền vuông D24-60x60x3/Zn</v>
      </c>
      <c r="F376" s="555" t="str">
        <f>VLOOKUP($B376,dongia1,DG!$D$5,)</f>
        <v>bộ</v>
      </c>
      <c r="G376" s="205">
        <v>2</v>
      </c>
      <c r="H376" s="556">
        <f t="shared" ca="1" si="215"/>
        <v>0</v>
      </c>
      <c r="I376" s="556">
        <f t="shared" ca="1" si="215"/>
        <v>0</v>
      </c>
      <c r="J376" s="556">
        <f t="shared" ca="1" si="215"/>
        <v>0</v>
      </c>
      <c r="K376" s="556">
        <f t="shared" ca="1" si="215"/>
        <v>0</v>
      </c>
      <c r="L376" s="556">
        <f t="shared" ca="1" si="215"/>
        <v>0</v>
      </c>
      <c r="M376" s="556"/>
      <c r="N376" s="556">
        <f t="shared" ca="1" si="215"/>
        <v>0</v>
      </c>
      <c r="O376" s="556">
        <f t="shared" si="215"/>
        <v>0</v>
      </c>
      <c r="P376" s="182">
        <f>VLOOKUP($B376,dongia1,DG!$F$5,)</f>
        <v>92200</v>
      </c>
      <c r="Q376" s="554"/>
      <c r="R376" s="554"/>
      <c r="S376" s="113">
        <f t="shared" si="214"/>
        <v>184400</v>
      </c>
      <c r="T376" s="113">
        <f t="shared" si="214"/>
        <v>0</v>
      </c>
      <c r="U376" s="557">
        <f t="shared" si="214"/>
        <v>0</v>
      </c>
    </row>
    <row r="377" spans="1:21" s="552" customFormat="1" ht="15" hidden="1" customHeight="1">
      <c r="A377" s="621"/>
      <c r="B377" s="622" t="s">
        <v>1645</v>
      </c>
      <c r="C377" s="558" t="str">
        <f ca="1">C376</f>
        <v xml:space="preserve"> </v>
      </c>
      <c r="D377" s="553"/>
      <c r="E377" s="694" t="str">
        <f>VLOOKUP($B377,dongia1,DG!$C$5,)</f>
        <v>Đào hố móng đất cấp 3 sâu &gt;1m DT&lt;5m2</v>
      </c>
      <c r="F377" s="555" t="str">
        <f>VLOOKUP($B377,dongia1,DG!$D$5,)</f>
        <v>m3</v>
      </c>
      <c r="G377" s="205">
        <v>10.63</v>
      </c>
      <c r="H377" s="556">
        <f t="shared" ca="1" si="215"/>
        <v>0</v>
      </c>
      <c r="I377" s="556">
        <f t="shared" ca="1" si="215"/>
        <v>0</v>
      </c>
      <c r="J377" s="556">
        <f t="shared" ca="1" si="215"/>
        <v>0</v>
      </c>
      <c r="K377" s="556">
        <f t="shared" ca="1" si="215"/>
        <v>0</v>
      </c>
      <c r="L377" s="556">
        <f t="shared" ca="1" si="215"/>
        <v>0</v>
      </c>
      <c r="M377" s="556"/>
      <c r="N377" s="556">
        <f t="shared" ca="1" si="215"/>
        <v>0</v>
      </c>
      <c r="O377" s="556">
        <f t="shared" si="215"/>
        <v>0</v>
      </c>
      <c r="P377" s="182">
        <f>VLOOKUP($B377,dongia1,DG!$F$5,)</f>
        <v>0</v>
      </c>
      <c r="Q377" s="182">
        <f>VLOOKUP($B377,dongia1,DG!$G$5,)</f>
        <v>296500.89999999997</v>
      </c>
      <c r="R377" s="554"/>
      <c r="S377" s="113">
        <f t="shared" si="214"/>
        <v>0</v>
      </c>
      <c r="T377" s="113">
        <f t="shared" si="214"/>
        <v>3151804.5669999998</v>
      </c>
      <c r="U377" s="557">
        <f t="shared" si="214"/>
        <v>0</v>
      </c>
    </row>
    <row r="378" spans="1:21" s="552" customFormat="1" ht="15" hidden="1" customHeight="1">
      <c r="A378" s="621"/>
      <c r="B378" s="622" t="s">
        <v>501</v>
      </c>
      <c r="C378" s="558" t="str">
        <f ca="1">C377</f>
        <v xml:space="preserve"> </v>
      </c>
      <c r="D378" s="553"/>
      <c r="E378" s="694" t="str">
        <f>VLOOKUP($B378,dongia1,DG!$C$5,)</f>
        <v>Đắp đất hố móng, đất cấp 3 (độ chặt k = 0.85)</v>
      </c>
      <c r="F378" s="555" t="str">
        <f>VLOOKUP($B378,dongia1,DG!$D$5,)</f>
        <v>m3</v>
      </c>
      <c r="G378" s="205">
        <v>12.23</v>
      </c>
      <c r="H378" s="556">
        <f t="shared" ca="1" si="215"/>
        <v>0</v>
      </c>
      <c r="I378" s="556">
        <f t="shared" ca="1" si="215"/>
        <v>0</v>
      </c>
      <c r="J378" s="556">
        <f t="shared" ca="1" si="215"/>
        <v>0</v>
      </c>
      <c r="K378" s="556">
        <f t="shared" ca="1" si="215"/>
        <v>0</v>
      </c>
      <c r="L378" s="556">
        <f t="shared" ca="1" si="215"/>
        <v>0</v>
      </c>
      <c r="M378" s="556"/>
      <c r="N378" s="556">
        <f t="shared" ca="1" si="215"/>
        <v>0</v>
      </c>
      <c r="O378" s="556">
        <f t="shared" si="215"/>
        <v>0</v>
      </c>
      <c r="P378" s="182">
        <f>VLOOKUP($B378,dongia1,DG!$F$5,)</f>
        <v>0</v>
      </c>
      <c r="Q378" s="182">
        <f>VLOOKUP($B378,dongia1,DG!$G$5,)</f>
        <v>117703.6</v>
      </c>
      <c r="R378" s="554"/>
      <c r="S378" s="113">
        <f t="shared" si="214"/>
        <v>0</v>
      </c>
      <c r="T378" s="113">
        <f t="shared" si="214"/>
        <v>1439515.0280000002</v>
      </c>
      <c r="U378" s="557">
        <f t="shared" si="214"/>
        <v>0</v>
      </c>
    </row>
    <row r="379" spans="1:21" s="552" customFormat="1" ht="15" hidden="1" customHeight="1">
      <c r="A379" s="621" t="s">
        <v>16</v>
      </c>
      <c r="B379" s="622"/>
      <c r="C379" s="558" t="str">
        <f ca="1">IF(H379&lt;&gt;0,"x"," ")</f>
        <v xml:space="preserve"> </v>
      </c>
      <c r="D379" s="553"/>
      <c r="E379" s="727" t="s">
        <v>3532</v>
      </c>
      <c r="F379" s="600" t="s">
        <v>3391</v>
      </c>
      <c r="G379" s="205"/>
      <c r="H379" s="556">
        <f ca="1">SUM(I379:N379)</f>
        <v>0</v>
      </c>
      <c r="I379" s="556">
        <f ca="1">SUMIF(mong3pm,chitiet!$A379,slmong3pm)</f>
        <v>0</v>
      </c>
      <c r="J379" s="556">
        <f ca="1">SUMIF(mongct,chitiet!$A379,slmongct)</f>
        <v>0</v>
      </c>
      <c r="K379" s="556">
        <f ca="1">SUMIF(mong3p1m,chitiet!$A379,slmong3p1m)</f>
        <v>0</v>
      </c>
      <c r="L379" s="556">
        <f ca="1">SUMIF(mong1pm,chitiet!$A379,slmong1pm)</f>
        <v>0</v>
      </c>
      <c r="M379" s="556">
        <f ca="1">SUMIF(monghthh,chitiet!$A379,slmonghthh)</f>
        <v>0</v>
      </c>
      <c r="N379" s="556">
        <f ca="1">SUMIF(mongHTDL,chitiet!$A379,SLmongHTDL)</f>
        <v>0</v>
      </c>
      <c r="O379" s="556"/>
      <c r="P379" s="554"/>
      <c r="Q379" s="554"/>
      <c r="R379" s="554"/>
      <c r="S379" s="601">
        <f>SUM(S380:S383)</f>
        <v>1484400</v>
      </c>
      <c r="T379" s="601">
        <f>SUM(T380:T383)</f>
        <v>6132378.7790000001</v>
      </c>
      <c r="U379" s="602">
        <f>SUM(U380:U383)</f>
        <v>0</v>
      </c>
    </row>
    <row r="380" spans="1:21" s="552" customFormat="1" ht="15" hidden="1" customHeight="1">
      <c r="A380" s="621"/>
      <c r="B380" s="622" t="s">
        <v>201</v>
      </c>
      <c r="C380" s="558" t="str">
        <f ca="1">C379</f>
        <v xml:space="preserve"> </v>
      </c>
      <c r="D380" s="553"/>
      <c r="E380" s="694" t="str">
        <f>VLOOKUP($B380,dongia1,DG!$C$5,)</f>
        <v>Đà cản BTCT 1,5m</v>
      </c>
      <c r="F380" s="555" t="str">
        <f>VLOOKUP($B380,dongia1,DG!$D$5,)</f>
        <v>cái</v>
      </c>
      <c r="G380" s="205">
        <v>2</v>
      </c>
      <c r="H380" s="556">
        <f t="shared" ref="H380:O380" ca="1" si="216">H$379*$G380</f>
        <v>0</v>
      </c>
      <c r="I380" s="556">
        <f t="shared" ca="1" si="216"/>
        <v>0</v>
      </c>
      <c r="J380" s="556">
        <f t="shared" ca="1" si="216"/>
        <v>0</v>
      </c>
      <c r="K380" s="556">
        <f t="shared" ca="1" si="216"/>
        <v>0</v>
      </c>
      <c r="L380" s="556">
        <f t="shared" ca="1" si="216"/>
        <v>0</v>
      </c>
      <c r="M380" s="556"/>
      <c r="N380" s="556">
        <f t="shared" ca="1" si="216"/>
        <v>0</v>
      </c>
      <c r="O380" s="556">
        <f t="shared" si="216"/>
        <v>0</v>
      </c>
      <c r="P380" s="182">
        <f>VLOOKUP($B380,dongia1,DG!$F$5,)</f>
        <v>650000</v>
      </c>
      <c r="Q380" s="182">
        <f>VLOOKUP($B380,dongia1,DG!$G$5,)</f>
        <v>148724</v>
      </c>
      <c r="R380" s="554"/>
      <c r="S380" s="113">
        <f t="shared" ref="S380:U383" si="217">$G380*P380</f>
        <v>1300000</v>
      </c>
      <c r="T380" s="113">
        <f t="shared" si="217"/>
        <v>297448</v>
      </c>
      <c r="U380" s="557">
        <f t="shared" si="217"/>
        <v>0</v>
      </c>
    </row>
    <row r="381" spans="1:21" s="552" customFormat="1" ht="15" hidden="1" customHeight="1">
      <c r="A381" s="621"/>
      <c r="B381" s="622" t="s">
        <v>952</v>
      </c>
      <c r="C381" s="558" t="str">
        <f ca="1">C380</f>
        <v xml:space="preserve"> </v>
      </c>
      <c r="D381" s="553"/>
      <c r="E381" s="694" t="str">
        <f>VLOOKUP($B381,dongia1,DG!$C$5,)</f>
        <v>Boulon 22x650+ 2 long đền vuông D24-60x60x3/Zn</v>
      </c>
      <c r="F381" s="555" t="str">
        <f>VLOOKUP($B381,dongia1,DG!$D$5,)</f>
        <v>bộ</v>
      </c>
      <c r="G381" s="205">
        <v>2</v>
      </c>
      <c r="H381" s="556">
        <f t="shared" ref="H381:L383" ca="1" si="218">H$379*$G381</f>
        <v>0</v>
      </c>
      <c r="I381" s="556">
        <f t="shared" ca="1" si="218"/>
        <v>0</v>
      </c>
      <c r="J381" s="556">
        <f t="shared" ca="1" si="218"/>
        <v>0</v>
      </c>
      <c r="K381" s="556">
        <f t="shared" ca="1" si="218"/>
        <v>0</v>
      </c>
      <c r="L381" s="556">
        <f t="shared" ca="1" si="218"/>
        <v>0</v>
      </c>
      <c r="M381" s="556"/>
      <c r="N381" s="556">
        <f t="shared" ref="N381:O383" ca="1" si="219">N$379*$G381</f>
        <v>0</v>
      </c>
      <c r="O381" s="556">
        <f t="shared" si="219"/>
        <v>0</v>
      </c>
      <c r="P381" s="182">
        <f>VLOOKUP($B381,dongia1,DG!$F$5,)</f>
        <v>92200</v>
      </c>
      <c r="Q381" s="554"/>
      <c r="R381" s="554"/>
      <c r="S381" s="113">
        <f t="shared" si="217"/>
        <v>184400</v>
      </c>
      <c r="T381" s="113">
        <f t="shared" si="217"/>
        <v>0</v>
      </c>
      <c r="U381" s="557">
        <f t="shared" si="217"/>
        <v>0</v>
      </c>
    </row>
    <row r="382" spans="1:21" s="552" customFormat="1" ht="15" hidden="1" customHeight="1">
      <c r="A382" s="621"/>
      <c r="B382" s="622" t="s">
        <v>1645</v>
      </c>
      <c r="C382" s="558" t="str">
        <f ca="1">C381</f>
        <v xml:space="preserve"> </v>
      </c>
      <c r="D382" s="553"/>
      <c r="E382" s="694" t="str">
        <f>VLOOKUP($B382,dongia1,DG!$C$5,)</f>
        <v>Đào hố móng đất cấp 3 sâu &gt;1m DT&lt;5m2</v>
      </c>
      <c r="F382" s="555" t="str">
        <f>VLOOKUP($B382,dongia1,DG!$D$5,)</f>
        <v>m3</v>
      </c>
      <c r="G382" s="205">
        <v>13.55</v>
      </c>
      <c r="H382" s="556">
        <f t="shared" ca="1" si="218"/>
        <v>0</v>
      </c>
      <c r="I382" s="556">
        <f t="shared" ca="1" si="218"/>
        <v>0</v>
      </c>
      <c r="J382" s="556">
        <f t="shared" ca="1" si="218"/>
        <v>0</v>
      </c>
      <c r="K382" s="556">
        <f t="shared" ca="1" si="218"/>
        <v>0</v>
      </c>
      <c r="L382" s="556">
        <f t="shared" ca="1" si="218"/>
        <v>0</v>
      </c>
      <c r="M382" s="556"/>
      <c r="N382" s="556">
        <f t="shared" ca="1" si="219"/>
        <v>0</v>
      </c>
      <c r="O382" s="556">
        <f t="shared" si="219"/>
        <v>0</v>
      </c>
      <c r="P382" s="182">
        <f>VLOOKUP($B382,dongia1,DG!$F$5,)</f>
        <v>0</v>
      </c>
      <c r="Q382" s="182">
        <f>VLOOKUP($B382,dongia1,DG!$G$5,)</f>
        <v>296500.89999999997</v>
      </c>
      <c r="R382" s="554"/>
      <c r="S382" s="113">
        <f t="shared" si="217"/>
        <v>0</v>
      </c>
      <c r="T382" s="113">
        <f t="shared" si="217"/>
        <v>4017587.1949999998</v>
      </c>
      <c r="U382" s="557">
        <f t="shared" si="217"/>
        <v>0</v>
      </c>
    </row>
    <row r="383" spans="1:21" s="552" customFormat="1" ht="15" hidden="1" customHeight="1">
      <c r="A383" s="621"/>
      <c r="B383" s="622" t="s">
        <v>501</v>
      </c>
      <c r="C383" s="558" t="str">
        <f ca="1">C382</f>
        <v xml:space="preserve"> </v>
      </c>
      <c r="D383" s="553"/>
      <c r="E383" s="694" t="str">
        <f>VLOOKUP($B383,dongia1,DG!$C$5,)</f>
        <v>Đắp đất hố móng, đất cấp 3 (độ chặt k = 0.85)</v>
      </c>
      <c r="F383" s="555" t="str">
        <f>VLOOKUP($B383,dongia1,DG!$D$5,)</f>
        <v>m3</v>
      </c>
      <c r="G383" s="205">
        <v>15.44</v>
      </c>
      <c r="H383" s="556">
        <f t="shared" ca="1" si="218"/>
        <v>0</v>
      </c>
      <c r="I383" s="556">
        <f t="shared" ca="1" si="218"/>
        <v>0</v>
      </c>
      <c r="J383" s="556">
        <f t="shared" ca="1" si="218"/>
        <v>0</v>
      </c>
      <c r="K383" s="556">
        <f t="shared" ca="1" si="218"/>
        <v>0</v>
      </c>
      <c r="L383" s="556">
        <f t="shared" ca="1" si="218"/>
        <v>0</v>
      </c>
      <c r="M383" s="556"/>
      <c r="N383" s="556">
        <f t="shared" ca="1" si="219"/>
        <v>0</v>
      </c>
      <c r="O383" s="556">
        <f t="shared" si="219"/>
        <v>0</v>
      </c>
      <c r="P383" s="182">
        <f>VLOOKUP($B383,dongia1,DG!$F$5,)</f>
        <v>0</v>
      </c>
      <c r="Q383" s="182">
        <f>VLOOKUP($B383,dongia1,DG!$G$5,)</f>
        <v>117703.6</v>
      </c>
      <c r="R383" s="554"/>
      <c r="S383" s="113">
        <f t="shared" si="217"/>
        <v>0</v>
      </c>
      <c r="T383" s="113">
        <f t="shared" si="217"/>
        <v>1817343.584</v>
      </c>
      <c r="U383" s="557">
        <f t="shared" si="217"/>
        <v>0</v>
      </c>
    </row>
    <row r="384" spans="1:21" s="552" customFormat="1" ht="15" hidden="1" customHeight="1">
      <c r="A384" s="621" t="s">
        <v>304</v>
      </c>
      <c r="B384" s="622"/>
      <c r="C384" s="558" t="str">
        <f ca="1">IF(H384&lt;&gt;0,"x"," ")</f>
        <v xml:space="preserve"> </v>
      </c>
      <c r="D384" s="553"/>
      <c r="E384" s="727" t="s">
        <v>3533</v>
      </c>
      <c r="F384" s="600" t="s">
        <v>3391</v>
      </c>
      <c r="G384" s="205"/>
      <c r="H384" s="556">
        <f ca="1">SUM(I384:N384)</f>
        <v>0</v>
      </c>
      <c r="I384" s="556">
        <f ca="1">SUMIF(mong3pm,chitiet!$A384,slmong3pm)</f>
        <v>0</v>
      </c>
      <c r="J384" s="556">
        <f ca="1">SUMIF(mongct,chitiet!$A384,slmongct)</f>
        <v>0</v>
      </c>
      <c r="K384" s="556">
        <f ca="1">SUMIF(mong3p1m,chitiet!$A384,slmong3p1m)</f>
        <v>0</v>
      </c>
      <c r="L384" s="556">
        <f ca="1">SUMIF(mong1pm,chitiet!$A384,slmong1pm)</f>
        <v>0</v>
      </c>
      <c r="M384" s="556">
        <f ca="1">SUMIF(monghthh,chitiet!$A384,slmonghthh)</f>
        <v>0</v>
      </c>
      <c r="N384" s="556">
        <f ca="1">SUMIF(mongHTDL,chitiet!$A384,SLmongHTDL)</f>
        <v>0</v>
      </c>
      <c r="O384" s="556"/>
      <c r="P384" s="554"/>
      <c r="Q384" s="554"/>
      <c r="R384" s="554"/>
      <c r="S384" s="601">
        <f>SUM(S385:S390)</f>
        <v>2018400</v>
      </c>
      <c r="T384" s="601">
        <f>SUM(T385:T390)</f>
        <v>2078155.9574</v>
      </c>
      <c r="U384" s="602">
        <f>SUM(U385:U390)</f>
        <v>0</v>
      </c>
    </row>
    <row r="385" spans="1:21" s="552" customFormat="1" ht="15" hidden="1" customHeight="1">
      <c r="A385" s="621"/>
      <c r="B385" s="622" t="s">
        <v>993</v>
      </c>
      <c r="C385" s="558" t="str">
        <f t="shared" ref="C385:C390" ca="1" si="220">C384</f>
        <v xml:space="preserve"> </v>
      </c>
      <c r="D385" s="553"/>
      <c r="E385" s="694" t="str">
        <f>VLOOKUP($B385,dongia1,DG!$C$5,)</f>
        <v>Cừ tràm 5m</v>
      </c>
      <c r="F385" s="555" t="str">
        <f>VLOOKUP($B385,dongia1,DG!$D$5,)</f>
        <v>cây</v>
      </c>
      <c r="G385" s="205">
        <v>28</v>
      </c>
      <c r="H385" s="556">
        <f ca="1">H$384*$G385</f>
        <v>0</v>
      </c>
      <c r="I385" s="556">
        <f t="shared" ref="I385:O385" ca="1" si="221">I$384*$G385</f>
        <v>0</v>
      </c>
      <c r="J385" s="556">
        <f t="shared" ca="1" si="221"/>
        <v>0</v>
      </c>
      <c r="K385" s="556">
        <f t="shared" ca="1" si="221"/>
        <v>0</v>
      </c>
      <c r="L385" s="556">
        <f t="shared" ca="1" si="221"/>
        <v>0</v>
      </c>
      <c r="M385" s="556"/>
      <c r="N385" s="556">
        <f t="shared" ca="1" si="221"/>
        <v>0</v>
      </c>
      <c r="O385" s="556">
        <f t="shared" si="221"/>
        <v>0</v>
      </c>
      <c r="P385" s="182">
        <f>VLOOKUP($B385,dongia1,DG!$F$5,)</f>
        <v>15000</v>
      </c>
      <c r="Q385" s="182">
        <f>VLOOKUP($B385,dongia1,DG!$G$5,)</f>
        <v>2787</v>
      </c>
      <c r="R385" s="554"/>
      <c r="S385" s="113">
        <f t="shared" ref="S385:S390" si="222">$G385*P385</f>
        <v>420000</v>
      </c>
      <c r="T385" s="113">
        <f t="shared" ref="T385:T390" si="223">$G385*Q385</f>
        <v>78036</v>
      </c>
      <c r="U385" s="557">
        <f t="shared" ref="U385:U390" si="224">$G385*R385</f>
        <v>0</v>
      </c>
    </row>
    <row r="386" spans="1:21" s="552" customFormat="1" ht="15" hidden="1" customHeight="1">
      <c r="A386" s="621"/>
      <c r="B386" s="622" t="s">
        <v>201</v>
      </c>
      <c r="C386" s="558" t="str">
        <f t="shared" ca="1" si="220"/>
        <v xml:space="preserve"> </v>
      </c>
      <c r="D386" s="553"/>
      <c r="E386" s="694" t="str">
        <f>VLOOKUP($B386,dongia1,DG!$C$5,)</f>
        <v>Đà cản BTCT 1,5m</v>
      </c>
      <c r="F386" s="555" t="str">
        <f>VLOOKUP($B386,dongia1,DG!$D$5,)</f>
        <v>cái</v>
      </c>
      <c r="G386" s="205">
        <v>2</v>
      </c>
      <c r="H386" s="556">
        <f t="shared" ref="H386:O390" ca="1" si="225">H$384*$G386</f>
        <v>0</v>
      </c>
      <c r="I386" s="556">
        <f t="shared" ca="1" si="225"/>
        <v>0</v>
      </c>
      <c r="J386" s="556">
        <f t="shared" ca="1" si="225"/>
        <v>0</v>
      </c>
      <c r="K386" s="556">
        <f t="shared" ca="1" si="225"/>
        <v>0</v>
      </c>
      <c r="L386" s="556">
        <f t="shared" ca="1" si="225"/>
        <v>0</v>
      </c>
      <c r="M386" s="556"/>
      <c r="N386" s="556">
        <f t="shared" ca="1" si="225"/>
        <v>0</v>
      </c>
      <c r="O386" s="556">
        <f t="shared" si="225"/>
        <v>0</v>
      </c>
      <c r="P386" s="182">
        <f>VLOOKUP($B386,dongia1,DG!$F$5,)</f>
        <v>650000</v>
      </c>
      <c r="Q386" s="182">
        <f>VLOOKUP($B386,dongia1,DG!$G$5,)</f>
        <v>148724</v>
      </c>
      <c r="R386" s="554"/>
      <c r="S386" s="113">
        <f t="shared" si="222"/>
        <v>1300000</v>
      </c>
      <c r="T386" s="113">
        <f t="shared" si="223"/>
        <v>297448</v>
      </c>
      <c r="U386" s="557">
        <f t="shared" si="224"/>
        <v>0</v>
      </c>
    </row>
    <row r="387" spans="1:21" s="552" customFormat="1" ht="15" hidden="1" customHeight="1">
      <c r="A387" s="621"/>
      <c r="B387" s="622" t="s">
        <v>1552</v>
      </c>
      <c r="C387" s="558" t="str">
        <f t="shared" ca="1" si="220"/>
        <v xml:space="preserve"> </v>
      </c>
      <c r="D387" s="553"/>
      <c r="E387" s="694" t="str">
        <f>VLOOKUP($B387,dongia1,DG!$C$5,)</f>
        <v>Boulon 22x850+ 2 long đền vuông D24-60x60x3/Zn</v>
      </c>
      <c r="F387" s="555" t="str">
        <f>VLOOKUP($B387,dongia1,DG!$D$5,)</f>
        <v>bộ</v>
      </c>
      <c r="G387" s="205">
        <v>1</v>
      </c>
      <c r="H387" s="556">
        <f t="shared" ca="1" si="225"/>
        <v>0</v>
      </c>
      <c r="I387" s="556">
        <f t="shared" ca="1" si="225"/>
        <v>0</v>
      </c>
      <c r="J387" s="556">
        <f t="shared" ca="1" si="225"/>
        <v>0</v>
      </c>
      <c r="K387" s="556">
        <f t="shared" ca="1" si="225"/>
        <v>0</v>
      </c>
      <c r="L387" s="556">
        <f t="shared" ca="1" si="225"/>
        <v>0</v>
      </c>
      <c r="M387" s="556"/>
      <c r="N387" s="556">
        <f t="shared" ca="1" si="225"/>
        <v>0</v>
      </c>
      <c r="O387" s="556">
        <f t="shared" si="225"/>
        <v>0</v>
      </c>
      <c r="P387" s="182">
        <f>VLOOKUP($B387,dongia1,DG!$F$5,)</f>
        <v>114000</v>
      </c>
      <c r="Q387" s="554"/>
      <c r="R387" s="554"/>
      <c r="S387" s="113">
        <f t="shared" si="222"/>
        <v>114000</v>
      </c>
      <c r="T387" s="113">
        <f t="shared" si="223"/>
        <v>0</v>
      </c>
      <c r="U387" s="557">
        <f t="shared" si="224"/>
        <v>0</v>
      </c>
    </row>
    <row r="388" spans="1:21" s="552" customFormat="1" ht="15" hidden="1" customHeight="1">
      <c r="A388" s="621"/>
      <c r="B388" s="622" t="s">
        <v>952</v>
      </c>
      <c r="C388" s="558" t="str">
        <f ca="1">C387</f>
        <v xml:space="preserve"> </v>
      </c>
      <c r="D388" s="553"/>
      <c r="E388" s="694" t="str">
        <f>VLOOKUP($B388,dongia1,DG!$C$5,)</f>
        <v>Boulon 22x650+ 2 long đền vuông D24-60x60x3/Zn</v>
      </c>
      <c r="F388" s="555" t="str">
        <f>VLOOKUP($B388,dongia1,DG!$D$5,)</f>
        <v>bộ</v>
      </c>
      <c r="G388" s="205">
        <v>2</v>
      </c>
      <c r="H388" s="556">
        <f t="shared" ca="1" si="225"/>
        <v>0</v>
      </c>
      <c r="I388" s="556">
        <f t="shared" ca="1" si="225"/>
        <v>0</v>
      </c>
      <c r="J388" s="556">
        <f t="shared" ca="1" si="225"/>
        <v>0</v>
      </c>
      <c r="K388" s="556">
        <f t="shared" ca="1" si="225"/>
        <v>0</v>
      </c>
      <c r="L388" s="556">
        <f t="shared" ca="1" si="225"/>
        <v>0</v>
      </c>
      <c r="M388" s="556"/>
      <c r="N388" s="556">
        <f t="shared" ca="1" si="225"/>
        <v>0</v>
      </c>
      <c r="O388" s="556">
        <f t="shared" si="225"/>
        <v>0</v>
      </c>
      <c r="P388" s="182">
        <f>VLOOKUP($B388,dongia1,DG!$F$5,)</f>
        <v>92200</v>
      </c>
      <c r="Q388" s="554"/>
      <c r="R388" s="554"/>
      <c r="S388" s="113">
        <f>$G388*P388</f>
        <v>184400</v>
      </c>
      <c r="T388" s="113">
        <f>$G388*Q388</f>
        <v>0</v>
      </c>
      <c r="U388" s="557">
        <f>$G388*R388</f>
        <v>0</v>
      </c>
    </row>
    <row r="389" spans="1:21" s="552" customFormat="1" ht="15" hidden="1" customHeight="1">
      <c r="A389" s="621"/>
      <c r="B389" s="622" t="s">
        <v>1645</v>
      </c>
      <c r="C389" s="558" t="str">
        <f ca="1">C387</f>
        <v xml:space="preserve"> </v>
      </c>
      <c r="D389" s="553"/>
      <c r="E389" s="694" t="str">
        <f>VLOOKUP($B389,dongia1,DG!$C$5,)</f>
        <v>Đào hố móng đất cấp 3 sâu &gt;1m DT&lt;5m2</v>
      </c>
      <c r="F389" s="555" t="str">
        <f>VLOOKUP($B389,dongia1,DG!$D$5,)</f>
        <v>m3</v>
      </c>
      <c r="G389" s="205">
        <v>4.03</v>
      </c>
      <c r="H389" s="556">
        <f t="shared" ca="1" si="225"/>
        <v>0</v>
      </c>
      <c r="I389" s="556">
        <f t="shared" ca="1" si="225"/>
        <v>0</v>
      </c>
      <c r="J389" s="556">
        <f t="shared" ca="1" si="225"/>
        <v>0</v>
      </c>
      <c r="K389" s="556">
        <f t="shared" ca="1" si="225"/>
        <v>0</v>
      </c>
      <c r="L389" s="556">
        <f t="shared" ca="1" si="225"/>
        <v>0</v>
      </c>
      <c r="M389" s="556"/>
      <c r="N389" s="556">
        <f t="shared" ca="1" si="225"/>
        <v>0</v>
      </c>
      <c r="O389" s="556">
        <f t="shared" si="225"/>
        <v>0</v>
      </c>
      <c r="P389" s="554"/>
      <c r="Q389" s="182">
        <f>VLOOKUP($B389,dongia1,DG!$G$5,)</f>
        <v>296500.89999999997</v>
      </c>
      <c r="R389" s="554"/>
      <c r="S389" s="113">
        <f t="shared" si="222"/>
        <v>0</v>
      </c>
      <c r="T389" s="113">
        <f t="shared" si="223"/>
        <v>1194898.6269999999</v>
      </c>
      <c r="U389" s="557">
        <f t="shared" si="224"/>
        <v>0</v>
      </c>
    </row>
    <row r="390" spans="1:21" s="552" customFormat="1" ht="15" hidden="1" customHeight="1">
      <c r="A390" s="621"/>
      <c r="B390" s="622" t="s">
        <v>501</v>
      </c>
      <c r="C390" s="558" t="str">
        <f t="shared" ca="1" si="220"/>
        <v xml:space="preserve"> </v>
      </c>
      <c r="D390" s="553"/>
      <c r="E390" s="694" t="str">
        <f>VLOOKUP($B390,dongia1,DG!$C$5,)</f>
        <v>Đắp đất hố móng, đất cấp 3 (độ chặt k = 0.85)</v>
      </c>
      <c r="F390" s="555" t="str">
        <f>VLOOKUP($B390,dongia1,DG!$D$5,)</f>
        <v>m3</v>
      </c>
      <c r="G390" s="205">
        <v>4.3140000000000001</v>
      </c>
      <c r="H390" s="556">
        <f t="shared" ca="1" si="225"/>
        <v>0</v>
      </c>
      <c r="I390" s="556">
        <f t="shared" ca="1" si="225"/>
        <v>0</v>
      </c>
      <c r="J390" s="556">
        <f t="shared" ca="1" si="225"/>
        <v>0</v>
      </c>
      <c r="K390" s="556">
        <f t="shared" ca="1" si="225"/>
        <v>0</v>
      </c>
      <c r="L390" s="556">
        <f t="shared" ca="1" si="225"/>
        <v>0</v>
      </c>
      <c r="M390" s="556"/>
      <c r="N390" s="556">
        <f t="shared" ca="1" si="225"/>
        <v>0</v>
      </c>
      <c r="O390" s="556">
        <f t="shared" si="225"/>
        <v>0</v>
      </c>
      <c r="P390" s="554"/>
      <c r="Q390" s="182">
        <f>VLOOKUP($B390,dongia1,DG!$G$5,)</f>
        <v>117703.6</v>
      </c>
      <c r="R390" s="554"/>
      <c r="S390" s="113">
        <f t="shared" si="222"/>
        <v>0</v>
      </c>
      <c r="T390" s="113">
        <f t="shared" si="223"/>
        <v>507773.33040000004</v>
      </c>
      <c r="U390" s="557">
        <f t="shared" si="224"/>
        <v>0</v>
      </c>
    </row>
    <row r="391" spans="1:21" s="552" customFormat="1" ht="15" hidden="1" customHeight="1">
      <c r="A391" s="621" t="s">
        <v>1708</v>
      </c>
      <c r="B391" s="622"/>
      <c r="C391" s="558" t="str">
        <f ca="1">IF(H391&lt;&gt;0,"x"," ")</f>
        <v xml:space="preserve"> </v>
      </c>
      <c r="D391" s="553"/>
      <c r="E391" s="727" t="s">
        <v>3534</v>
      </c>
      <c r="F391" s="600" t="s">
        <v>3391</v>
      </c>
      <c r="G391" s="205"/>
      <c r="H391" s="556">
        <f ca="1">SUM(I391:N391)</f>
        <v>0</v>
      </c>
      <c r="I391" s="556">
        <f ca="1">SUMIF(mong3pm,chitiet!$A391,slmong3pm)</f>
        <v>0</v>
      </c>
      <c r="J391" s="556">
        <f ca="1">SUMIF(mongct,chitiet!$A391,slmongct)</f>
        <v>0</v>
      </c>
      <c r="K391" s="556">
        <f ca="1">SUMIF(mong3p1m,chitiet!$A391,slmong3p1m)</f>
        <v>0</v>
      </c>
      <c r="L391" s="556">
        <f ca="1">SUMIF(mong1pm,chitiet!$A391,slmong1pm)</f>
        <v>0</v>
      </c>
      <c r="M391" s="556">
        <f ca="1">SUMIF(monghthh,chitiet!$A391,slmonghthh)</f>
        <v>0</v>
      </c>
      <c r="N391" s="556">
        <f ca="1">SUMIF(mongHTDL,chitiet!$A391,SLmongHTDL)</f>
        <v>0</v>
      </c>
      <c r="O391" s="556"/>
      <c r="P391" s="554"/>
      <c r="Q391" s="554"/>
      <c r="R391" s="554"/>
      <c r="S391" s="601">
        <f>SUM(S392:S396)</f>
        <v>1001890</v>
      </c>
      <c r="T391" s="601">
        <f>SUM(T392:T396)</f>
        <v>1442968.8089999999</v>
      </c>
      <c r="U391" s="602">
        <f>SUM(U392:U396)</f>
        <v>0</v>
      </c>
    </row>
    <row r="392" spans="1:21" s="552" customFormat="1" ht="15" hidden="1" customHeight="1">
      <c r="A392" s="621"/>
      <c r="B392" s="622" t="s">
        <v>580</v>
      </c>
      <c r="C392" s="558" t="str">
        <f ca="1">C391</f>
        <v xml:space="preserve"> </v>
      </c>
      <c r="D392" s="553"/>
      <c r="E392" s="694" t="str">
        <f>VLOOKUP($B392,dongia1,DG!$C$5,)</f>
        <v>Đà cản BTCT 1,2m</v>
      </c>
      <c r="F392" s="555" t="str">
        <f>VLOOKUP($B392,dongia1,DG!$D$5,)</f>
        <v>cái</v>
      </c>
      <c r="G392" s="205">
        <v>2</v>
      </c>
      <c r="H392" s="556">
        <f ca="1">H$391*$G392</f>
        <v>0</v>
      </c>
      <c r="I392" s="556">
        <f t="shared" ref="I392:O392" ca="1" si="226">I$391*$G392</f>
        <v>0</v>
      </c>
      <c r="J392" s="556">
        <f t="shared" ca="1" si="226"/>
        <v>0</v>
      </c>
      <c r="K392" s="556">
        <f t="shared" ca="1" si="226"/>
        <v>0</v>
      </c>
      <c r="L392" s="556">
        <f t="shared" ca="1" si="226"/>
        <v>0</v>
      </c>
      <c r="M392" s="556"/>
      <c r="N392" s="556">
        <f t="shared" ca="1" si="226"/>
        <v>0</v>
      </c>
      <c r="O392" s="556">
        <f t="shared" si="226"/>
        <v>0</v>
      </c>
      <c r="P392" s="182">
        <f>VLOOKUP($B392,dongia1,DG!$F$5,)</f>
        <v>354545</v>
      </c>
      <c r="Q392" s="182">
        <f>VLOOKUP($B392,dongia1,DG!$G$5,)</f>
        <v>37220.25</v>
      </c>
      <c r="R392" s="554"/>
      <c r="S392" s="113">
        <f t="shared" ref="S392:U396" si="227">$G392*P392</f>
        <v>709090</v>
      </c>
      <c r="T392" s="113">
        <f t="shared" si="227"/>
        <v>74440.5</v>
      </c>
      <c r="U392" s="557">
        <f t="shared" si="227"/>
        <v>0</v>
      </c>
    </row>
    <row r="393" spans="1:21" s="552" customFormat="1" ht="15" hidden="1" customHeight="1">
      <c r="A393" s="621"/>
      <c r="B393" s="622" t="s">
        <v>870</v>
      </c>
      <c r="C393" s="558" t="str">
        <f ca="1">C392</f>
        <v xml:space="preserve"> </v>
      </c>
      <c r="D393" s="553"/>
      <c r="E393" s="694" t="str">
        <f>VLOOKUP($B393,dongia1,DG!$C$5,)</f>
        <v>Boulon 22x700+ 2 long đền vuông D24-60x60x3/Zn</v>
      </c>
      <c r="F393" s="555" t="str">
        <f>VLOOKUP($B393,dongia1,DG!$D$5,)</f>
        <v>bộ</v>
      </c>
      <c r="G393" s="205">
        <v>3</v>
      </c>
      <c r="H393" s="556">
        <f t="shared" ref="H393:O396" ca="1" si="228">H$391*$G393</f>
        <v>0</v>
      </c>
      <c r="I393" s="556">
        <f t="shared" ca="1" si="228"/>
        <v>0</v>
      </c>
      <c r="J393" s="556">
        <f t="shared" ca="1" si="228"/>
        <v>0</v>
      </c>
      <c r="K393" s="556">
        <f t="shared" ca="1" si="228"/>
        <v>0</v>
      </c>
      <c r="L393" s="556">
        <f t="shared" ca="1" si="228"/>
        <v>0</v>
      </c>
      <c r="M393" s="556"/>
      <c r="N393" s="556">
        <f t="shared" ca="1" si="228"/>
        <v>0</v>
      </c>
      <c r="O393" s="556">
        <f t="shared" si="228"/>
        <v>0</v>
      </c>
      <c r="P393" s="182">
        <f>VLOOKUP($B393,dongia1,DG!$F$5,)</f>
        <v>97600</v>
      </c>
      <c r="Q393" s="554"/>
      <c r="R393" s="554"/>
      <c r="S393" s="113">
        <f t="shared" si="227"/>
        <v>292800</v>
      </c>
      <c r="T393" s="113">
        <f t="shared" si="227"/>
        <v>0</v>
      </c>
      <c r="U393" s="557">
        <f t="shared" si="227"/>
        <v>0</v>
      </c>
    </row>
    <row r="394" spans="1:21" s="552" customFormat="1" ht="15" hidden="1" customHeight="1">
      <c r="A394" s="621"/>
      <c r="B394" s="622" t="s">
        <v>1455</v>
      </c>
      <c r="C394" s="558" t="str">
        <f ca="1">C393</f>
        <v xml:space="preserve"> </v>
      </c>
      <c r="D394" s="553"/>
      <c r="E394" s="694" t="str">
        <f>VLOOKUP($B394,dongia1,DG!$C$5,)</f>
        <v>Đá 2x4</v>
      </c>
      <c r="F394" s="555" t="str">
        <f>VLOOKUP($B394,dongia1,DG!$D$5,)</f>
        <v>m3</v>
      </c>
      <c r="G394" s="205"/>
      <c r="H394" s="556">
        <f t="shared" ca="1" si="228"/>
        <v>0</v>
      </c>
      <c r="I394" s="556">
        <f t="shared" ca="1" si="228"/>
        <v>0</v>
      </c>
      <c r="J394" s="556">
        <f t="shared" ca="1" si="228"/>
        <v>0</v>
      </c>
      <c r="K394" s="556">
        <f t="shared" ca="1" si="228"/>
        <v>0</v>
      </c>
      <c r="L394" s="556">
        <f t="shared" ca="1" si="228"/>
        <v>0</v>
      </c>
      <c r="M394" s="556"/>
      <c r="N394" s="556">
        <f t="shared" ca="1" si="228"/>
        <v>0</v>
      </c>
      <c r="O394" s="556">
        <f t="shared" si="228"/>
        <v>0</v>
      </c>
      <c r="P394" s="182">
        <f>VLOOKUP($B394,dongia1,DG!$F$5,)</f>
        <v>295000</v>
      </c>
      <c r="Q394" s="182">
        <f>VLOOKUP($B394,dongia1,DG!$G$5,)</f>
        <v>0</v>
      </c>
      <c r="R394" s="554"/>
      <c r="S394" s="113">
        <f t="shared" si="227"/>
        <v>0</v>
      </c>
      <c r="T394" s="113">
        <f t="shared" si="227"/>
        <v>0</v>
      </c>
      <c r="U394" s="557">
        <f t="shared" si="227"/>
        <v>0</v>
      </c>
    </row>
    <row r="395" spans="1:21" s="552" customFormat="1" ht="15" hidden="1" customHeight="1">
      <c r="A395" s="621"/>
      <c r="B395" s="622" t="s">
        <v>1645</v>
      </c>
      <c r="C395" s="558" t="str">
        <f ca="1">C393</f>
        <v xml:space="preserve"> </v>
      </c>
      <c r="D395" s="553"/>
      <c r="E395" s="694" t="str">
        <f>VLOOKUP($B395,dongia1,DG!$C$5,)</f>
        <v>Đào hố móng đất cấp 3 sâu &gt;1m DT&lt;5m2</v>
      </c>
      <c r="F395" s="555" t="str">
        <f>VLOOKUP($B395,dongia1,DG!$D$5,)</f>
        <v>m3</v>
      </c>
      <c r="G395" s="205">
        <v>3.25</v>
      </c>
      <c r="H395" s="556">
        <f t="shared" ca="1" si="228"/>
        <v>0</v>
      </c>
      <c r="I395" s="556">
        <f t="shared" ca="1" si="228"/>
        <v>0</v>
      </c>
      <c r="J395" s="556">
        <f t="shared" ca="1" si="228"/>
        <v>0</v>
      </c>
      <c r="K395" s="556">
        <f t="shared" ca="1" si="228"/>
        <v>0</v>
      </c>
      <c r="L395" s="556">
        <f t="shared" ca="1" si="228"/>
        <v>0</v>
      </c>
      <c r="M395" s="556"/>
      <c r="N395" s="556">
        <f t="shared" ca="1" si="228"/>
        <v>0</v>
      </c>
      <c r="O395" s="556">
        <f t="shared" si="228"/>
        <v>0</v>
      </c>
      <c r="P395" s="554"/>
      <c r="Q395" s="182">
        <f>VLOOKUP($B395,dongia1,DG!$G$5,)</f>
        <v>296500.89999999997</v>
      </c>
      <c r="R395" s="554"/>
      <c r="S395" s="113">
        <f t="shared" si="227"/>
        <v>0</v>
      </c>
      <c r="T395" s="113">
        <f t="shared" si="227"/>
        <v>963627.92499999993</v>
      </c>
      <c r="U395" s="557">
        <f t="shared" si="227"/>
        <v>0</v>
      </c>
    </row>
    <row r="396" spans="1:21" s="552" customFormat="1" ht="15" hidden="1" customHeight="1">
      <c r="A396" s="621"/>
      <c r="B396" s="622" t="s">
        <v>501</v>
      </c>
      <c r="C396" s="558" t="str">
        <f ca="1">C395</f>
        <v xml:space="preserve"> </v>
      </c>
      <c r="D396" s="553"/>
      <c r="E396" s="694" t="str">
        <f>VLOOKUP($B396,dongia1,DG!$C$5,)</f>
        <v>Đắp đất hố móng, đất cấp 3 (độ chặt k = 0.85)</v>
      </c>
      <c r="F396" s="555" t="str">
        <f>VLOOKUP($B396,dongia1,DG!$D$5,)</f>
        <v>m3</v>
      </c>
      <c r="G396" s="205">
        <v>3.44</v>
      </c>
      <c r="H396" s="556">
        <f t="shared" ca="1" si="228"/>
        <v>0</v>
      </c>
      <c r="I396" s="556">
        <f t="shared" ca="1" si="228"/>
        <v>0</v>
      </c>
      <c r="J396" s="556">
        <f t="shared" ca="1" si="228"/>
        <v>0</v>
      </c>
      <c r="K396" s="556">
        <f t="shared" ca="1" si="228"/>
        <v>0</v>
      </c>
      <c r="L396" s="556">
        <f t="shared" ca="1" si="228"/>
        <v>0</v>
      </c>
      <c r="M396" s="556"/>
      <c r="N396" s="556">
        <f t="shared" ca="1" si="228"/>
        <v>0</v>
      </c>
      <c r="O396" s="556">
        <f t="shared" si="228"/>
        <v>0</v>
      </c>
      <c r="P396" s="554"/>
      <c r="Q396" s="182">
        <f>VLOOKUP($B396,dongia1,DG!$G$5,)</f>
        <v>117703.6</v>
      </c>
      <c r="R396" s="554"/>
      <c r="S396" s="113">
        <f t="shared" si="227"/>
        <v>0</v>
      </c>
      <c r="T396" s="113">
        <f t="shared" si="227"/>
        <v>404900.38400000002</v>
      </c>
      <c r="U396" s="557">
        <f t="shared" si="227"/>
        <v>0</v>
      </c>
    </row>
    <row r="397" spans="1:21" s="552" customFormat="1" ht="15" hidden="1" customHeight="1">
      <c r="A397" s="621" t="s">
        <v>1757</v>
      </c>
      <c r="B397" s="622"/>
      <c r="C397" s="558" t="str">
        <f ca="1">IF(H397&lt;&gt;0,"x"," ")</f>
        <v xml:space="preserve"> </v>
      </c>
      <c r="D397" s="553"/>
      <c r="E397" s="727" t="s">
        <v>3535</v>
      </c>
      <c r="F397" s="600" t="s">
        <v>3391</v>
      </c>
      <c r="G397" s="205"/>
      <c r="H397" s="556">
        <f ca="1">SUM(I397:N397)</f>
        <v>0</v>
      </c>
      <c r="I397" s="556">
        <f ca="1">SUMIF(mong3pm,chitiet!$A397,slmong3pm)</f>
        <v>0</v>
      </c>
      <c r="J397" s="556">
        <f ca="1">SUMIF(mongct,chitiet!$A397,slmongct)</f>
        <v>0</v>
      </c>
      <c r="K397" s="556">
        <f ca="1">SUMIF(mong3p1m,chitiet!$A397,slmong3p1m)</f>
        <v>0</v>
      </c>
      <c r="L397" s="556">
        <f ca="1">SUMIF(mong1pm,chitiet!$A397,slmong1pm)</f>
        <v>0</v>
      </c>
      <c r="M397" s="556">
        <f ca="1">SUMIF(monghthh,chitiet!$A397,slmonghthh)</f>
        <v>0</v>
      </c>
      <c r="N397" s="556">
        <f ca="1">SUMIF(mongHTDL,chitiet!$A397,SLmongHTDL)</f>
        <v>0</v>
      </c>
      <c r="O397" s="556"/>
      <c r="P397" s="554"/>
      <c r="Q397" s="554"/>
      <c r="R397" s="554"/>
      <c r="S397" s="601">
        <f>SUM(S398:S402)</f>
        <v>1532795</v>
      </c>
      <c r="T397" s="601">
        <f>SUM(T398:T402)</f>
        <v>2000119.9574</v>
      </c>
      <c r="U397" s="602">
        <f>SUM(U398:U402)</f>
        <v>0</v>
      </c>
    </row>
    <row r="398" spans="1:21" s="552" customFormat="1" ht="15" hidden="1" customHeight="1">
      <c r="A398" s="621"/>
      <c r="B398" s="622" t="s">
        <v>201</v>
      </c>
      <c r="C398" s="558" t="str">
        <f ca="1">C397</f>
        <v xml:space="preserve"> </v>
      </c>
      <c r="D398" s="553"/>
      <c r="E398" s="694" t="str">
        <f>VLOOKUP($B398,dongia1,DG!$C$5,)</f>
        <v>Đà cản BTCT 1,5m</v>
      </c>
      <c r="F398" s="555" t="str">
        <f>VLOOKUP($B398,dongia1,DG!$D$5,)</f>
        <v>cái</v>
      </c>
      <c r="G398" s="205">
        <v>2</v>
      </c>
      <c r="H398" s="556">
        <f ca="1">H$397*$G398</f>
        <v>0</v>
      </c>
      <c r="I398" s="556">
        <f t="shared" ref="I398:O398" ca="1" si="229">I$397*$G398</f>
        <v>0</v>
      </c>
      <c r="J398" s="556">
        <f t="shared" ca="1" si="229"/>
        <v>0</v>
      </c>
      <c r="K398" s="556">
        <f t="shared" ca="1" si="229"/>
        <v>0</v>
      </c>
      <c r="L398" s="556">
        <f t="shared" ca="1" si="229"/>
        <v>0</v>
      </c>
      <c r="M398" s="556"/>
      <c r="N398" s="556">
        <f t="shared" ca="1" si="229"/>
        <v>0</v>
      </c>
      <c r="O398" s="556">
        <f t="shared" si="229"/>
        <v>0</v>
      </c>
      <c r="P398" s="182">
        <f>VLOOKUP($B398,dongia1,DG!$F$5,)</f>
        <v>650000</v>
      </c>
      <c r="Q398" s="182">
        <f>VLOOKUP($B398,dongia1,DG!$G$5,)</f>
        <v>148724</v>
      </c>
      <c r="R398" s="554"/>
      <c r="S398" s="113">
        <f t="shared" ref="S398:U402" si="230">$G398*P398</f>
        <v>1300000</v>
      </c>
      <c r="T398" s="113">
        <f t="shared" si="230"/>
        <v>297448</v>
      </c>
      <c r="U398" s="557">
        <f t="shared" si="230"/>
        <v>0</v>
      </c>
    </row>
    <row r="399" spans="1:21" s="552" customFormat="1" ht="15" hidden="1" customHeight="1">
      <c r="A399" s="621"/>
      <c r="B399" s="622" t="s">
        <v>365</v>
      </c>
      <c r="C399" s="558" t="str">
        <f ca="1">C398</f>
        <v xml:space="preserve"> </v>
      </c>
      <c r="D399" s="553"/>
      <c r="E399" s="694" t="str">
        <f>VLOOKUP($B399,dongia1,DG!$C$5,)</f>
        <v>Boulon 22x800+ 2 long đền vuông D24-60x60x3/Zn</v>
      </c>
      <c r="F399" s="555" t="str">
        <f>VLOOKUP($B399,dongia1,DG!$D$5,)</f>
        <v>bộ</v>
      </c>
      <c r="G399" s="205">
        <v>1</v>
      </c>
      <c r="H399" s="556">
        <f t="shared" ref="H399:O402" ca="1" si="231">H$397*$G399</f>
        <v>0</v>
      </c>
      <c r="I399" s="556">
        <f t="shared" ca="1" si="231"/>
        <v>0</v>
      </c>
      <c r="J399" s="556">
        <f t="shared" ca="1" si="231"/>
        <v>0</v>
      </c>
      <c r="K399" s="556">
        <f t="shared" ca="1" si="231"/>
        <v>0</v>
      </c>
      <c r="L399" s="556">
        <f t="shared" ca="1" si="231"/>
        <v>0</v>
      </c>
      <c r="M399" s="556"/>
      <c r="N399" s="556">
        <f t="shared" ca="1" si="231"/>
        <v>0</v>
      </c>
      <c r="O399" s="556">
        <f t="shared" si="231"/>
        <v>0</v>
      </c>
      <c r="P399" s="182">
        <f>VLOOKUP($B399,dongia1,DG!$F$5,)</f>
        <v>108600</v>
      </c>
      <c r="Q399" s="554"/>
      <c r="R399" s="554"/>
      <c r="S399" s="113">
        <f t="shared" si="230"/>
        <v>108600</v>
      </c>
      <c r="T399" s="113">
        <f t="shared" si="230"/>
        <v>0</v>
      </c>
      <c r="U399" s="557">
        <f t="shared" si="230"/>
        <v>0</v>
      </c>
    </row>
    <row r="400" spans="1:21" s="552" customFormat="1" ht="15" hidden="1" customHeight="1">
      <c r="A400" s="621"/>
      <c r="B400" s="622" t="s">
        <v>1455</v>
      </c>
      <c r="C400" s="558" t="str">
        <f ca="1">C399</f>
        <v xml:space="preserve"> </v>
      </c>
      <c r="D400" s="553"/>
      <c r="E400" s="694" t="str">
        <f>VLOOKUP($B400,dongia1,DG!$C$5,)</f>
        <v>Đá 2x4</v>
      </c>
      <c r="F400" s="555" t="str">
        <f>VLOOKUP($B400,dongia1,DG!$D$5,)</f>
        <v>m3</v>
      </c>
      <c r="G400" s="205">
        <v>0.42099999999999999</v>
      </c>
      <c r="H400" s="556">
        <f t="shared" ca="1" si="231"/>
        <v>0</v>
      </c>
      <c r="I400" s="556">
        <f t="shared" ca="1" si="231"/>
        <v>0</v>
      </c>
      <c r="J400" s="556">
        <f t="shared" ca="1" si="231"/>
        <v>0</v>
      </c>
      <c r="K400" s="556">
        <f t="shared" ca="1" si="231"/>
        <v>0</v>
      </c>
      <c r="L400" s="556">
        <f t="shared" ca="1" si="231"/>
        <v>0</v>
      </c>
      <c r="M400" s="556"/>
      <c r="N400" s="556">
        <f t="shared" ca="1" si="231"/>
        <v>0</v>
      </c>
      <c r="O400" s="556">
        <f t="shared" si="231"/>
        <v>0</v>
      </c>
      <c r="P400" s="182">
        <f>VLOOKUP($B400,dongia1,DG!$F$5,)</f>
        <v>295000</v>
      </c>
      <c r="Q400" s="182">
        <f>VLOOKUP($B400,dongia1,DG!$G$5,)</f>
        <v>0</v>
      </c>
      <c r="R400" s="554"/>
      <c r="S400" s="113">
        <f t="shared" si="230"/>
        <v>124195</v>
      </c>
      <c r="T400" s="113">
        <f t="shared" si="230"/>
        <v>0</v>
      </c>
      <c r="U400" s="557">
        <f t="shared" si="230"/>
        <v>0</v>
      </c>
    </row>
    <row r="401" spans="1:21" s="552" customFormat="1" ht="15" hidden="1" customHeight="1">
      <c r="A401" s="621"/>
      <c r="B401" s="622" t="s">
        <v>1645</v>
      </c>
      <c r="C401" s="558" t="str">
        <f ca="1">C399</f>
        <v xml:space="preserve"> </v>
      </c>
      <c r="D401" s="553"/>
      <c r="E401" s="694" t="str">
        <f>VLOOKUP($B401,dongia1,DG!$C$5,)</f>
        <v>Đào hố móng đất cấp 3 sâu &gt;1m DT&lt;5m2</v>
      </c>
      <c r="F401" s="555" t="str">
        <f>VLOOKUP($B401,dongia1,DG!$D$5,)</f>
        <v>m3</v>
      </c>
      <c r="G401" s="205">
        <v>4.03</v>
      </c>
      <c r="H401" s="556">
        <f t="shared" ca="1" si="231"/>
        <v>0</v>
      </c>
      <c r="I401" s="556">
        <f t="shared" ca="1" si="231"/>
        <v>0</v>
      </c>
      <c r="J401" s="556">
        <f t="shared" ca="1" si="231"/>
        <v>0</v>
      </c>
      <c r="K401" s="556">
        <f t="shared" ca="1" si="231"/>
        <v>0</v>
      </c>
      <c r="L401" s="556">
        <f t="shared" ca="1" si="231"/>
        <v>0</v>
      </c>
      <c r="M401" s="556"/>
      <c r="N401" s="556">
        <f t="shared" ca="1" si="231"/>
        <v>0</v>
      </c>
      <c r="O401" s="556">
        <f t="shared" si="231"/>
        <v>0</v>
      </c>
      <c r="P401" s="554"/>
      <c r="Q401" s="182">
        <f>VLOOKUP($B401,dongia1,DG!$G$5,)</f>
        <v>296500.89999999997</v>
      </c>
      <c r="R401" s="554"/>
      <c r="S401" s="113">
        <f t="shared" si="230"/>
        <v>0</v>
      </c>
      <c r="T401" s="113">
        <f t="shared" si="230"/>
        <v>1194898.6269999999</v>
      </c>
      <c r="U401" s="557">
        <f t="shared" si="230"/>
        <v>0</v>
      </c>
    </row>
    <row r="402" spans="1:21" s="552" customFormat="1" ht="15" hidden="1" customHeight="1">
      <c r="A402" s="621"/>
      <c r="B402" s="622" t="s">
        <v>501</v>
      </c>
      <c r="C402" s="558" t="str">
        <f ca="1">C401</f>
        <v xml:space="preserve"> </v>
      </c>
      <c r="D402" s="553"/>
      <c r="E402" s="694" t="str">
        <f>VLOOKUP($B402,dongia1,DG!$C$5,)</f>
        <v>Đắp đất hố móng, đất cấp 3 (độ chặt k = 0.85)</v>
      </c>
      <c r="F402" s="555" t="str">
        <f>VLOOKUP($B402,dongia1,DG!$D$5,)</f>
        <v>m3</v>
      </c>
      <c r="G402" s="205">
        <v>4.3140000000000001</v>
      </c>
      <c r="H402" s="556">
        <f t="shared" ca="1" si="231"/>
        <v>0</v>
      </c>
      <c r="I402" s="556">
        <f t="shared" ca="1" si="231"/>
        <v>0</v>
      </c>
      <c r="J402" s="556">
        <f t="shared" ca="1" si="231"/>
        <v>0</v>
      </c>
      <c r="K402" s="556">
        <f t="shared" ca="1" si="231"/>
        <v>0</v>
      </c>
      <c r="L402" s="556">
        <f t="shared" ca="1" si="231"/>
        <v>0</v>
      </c>
      <c r="M402" s="556"/>
      <c r="N402" s="556">
        <f t="shared" ca="1" si="231"/>
        <v>0</v>
      </c>
      <c r="O402" s="556">
        <f t="shared" si="231"/>
        <v>0</v>
      </c>
      <c r="P402" s="554"/>
      <c r="Q402" s="182">
        <f>VLOOKUP($B402,dongia1,DG!$G$5,)</f>
        <v>117703.6</v>
      </c>
      <c r="R402" s="554"/>
      <c r="S402" s="113">
        <f t="shared" si="230"/>
        <v>0</v>
      </c>
      <c r="T402" s="113">
        <f t="shared" si="230"/>
        <v>507773.33040000004</v>
      </c>
      <c r="U402" s="557">
        <f t="shared" si="230"/>
        <v>0</v>
      </c>
    </row>
    <row r="403" spans="1:21" s="552" customFormat="1" ht="15" hidden="1" customHeight="1">
      <c r="A403" s="621" t="s">
        <v>1760</v>
      </c>
      <c r="B403" s="622"/>
      <c r="C403" s="558" t="str">
        <f ca="1">IF(H403&lt;&gt;0,"x"," ")</f>
        <v xml:space="preserve"> </v>
      </c>
      <c r="D403" s="553"/>
      <c r="E403" s="727" t="s">
        <v>3536</v>
      </c>
      <c r="F403" s="600" t="s">
        <v>3391</v>
      </c>
      <c r="G403" s="205"/>
      <c r="H403" s="556">
        <f ca="1">SUM(I403:N403)</f>
        <v>0</v>
      </c>
      <c r="I403" s="556">
        <f ca="1">SUMIF(mong3pm,chitiet!$A403,slmong3pm)</f>
        <v>0</v>
      </c>
      <c r="J403" s="556">
        <f ca="1">SUMIF(mongct,chitiet!$A403,slmongct)</f>
        <v>0</v>
      </c>
      <c r="K403" s="556">
        <f ca="1">SUMIF(mong3p1m,chitiet!$A403,slmong3p1m)</f>
        <v>0</v>
      </c>
      <c r="L403" s="556">
        <f ca="1">SUMIF(mong1pm,chitiet!$A403,slmong1pm)</f>
        <v>0</v>
      </c>
      <c r="M403" s="556">
        <f ca="1">SUMIF(monghthh,chitiet!$A403,slmonghthh)</f>
        <v>0</v>
      </c>
      <c r="N403" s="556">
        <f ca="1">SUMIF(mongHTDL,chitiet!$A403,SLmongHTDL)</f>
        <v>0</v>
      </c>
      <c r="O403" s="556"/>
      <c r="P403" s="554"/>
      <c r="Q403" s="554"/>
      <c r="R403" s="554"/>
      <c r="S403" s="601">
        <f>SUM(S404:S407)</f>
        <v>2968800</v>
      </c>
      <c r="T403" s="601">
        <f>SUM(T404:T407)</f>
        <v>4997889.835</v>
      </c>
      <c r="U403" s="602">
        <f>SUM(U404:U407)</f>
        <v>0</v>
      </c>
    </row>
    <row r="404" spans="1:21" s="552" customFormat="1" ht="15" hidden="1" customHeight="1">
      <c r="A404" s="621"/>
      <c r="B404" s="622" t="s">
        <v>201</v>
      </c>
      <c r="C404" s="558" t="str">
        <f ca="1">C403</f>
        <v xml:space="preserve"> </v>
      </c>
      <c r="D404" s="553"/>
      <c r="E404" s="694" t="str">
        <f>VLOOKUP($B404,dongia1,DG!$C$5,)</f>
        <v>Đà cản BTCT 1,5m</v>
      </c>
      <c r="F404" s="555" t="str">
        <f>VLOOKUP($B404,dongia1,DG!$D$5,)</f>
        <v>cái</v>
      </c>
      <c r="G404" s="205">
        <v>4</v>
      </c>
      <c r="H404" s="556">
        <f ca="1">H$403*$G404</f>
        <v>0</v>
      </c>
      <c r="I404" s="556">
        <f t="shared" ref="I404:O404" ca="1" si="232">I$403*$G404</f>
        <v>0</v>
      </c>
      <c r="J404" s="556">
        <f t="shared" ca="1" si="232"/>
        <v>0</v>
      </c>
      <c r="K404" s="556">
        <f t="shared" ca="1" si="232"/>
        <v>0</v>
      </c>
      <c r="L404" s="556">
        <f t="shared" ca="1" si="232"/>
        <v>0</v>
      </c>
      <c r="M404" s="556"/>
      <c r="N404" s="556">
        <f t="shared" ca="1" si="232"/>
        <v>0</v>
      </c>
      <c r="O404" s="556">
        <f t="shared" si="232"/>
        <v>0</v>
      </c>
      <c r="P404" s="182">
        <f>VLOOKUP($B404,dongia1,DG!$F$5,)</f>
        <v>650000</v>
      </c>
      <c r="Q404" s="182">
        <f>VLOOKUP($B404,dongia1,DG!$G$5,)</f>
        <v>148724</v>
      </c>
      <c r="R404" s="554"/>
      <c r="S404" s="113">
        <f t="shared" ref="S404:U407" si="233">$G404*P404</f>
        <v>2600000</v>
      </c>
      <c r="T404" s="113">
        <f t="shared" si="233"/>
        <v>594896</v>
      </c>
      <c r="U404" s="557">
        <f t="shared" si="233"/>
        <v>0</v>
      </c>
    </row>
    <row r="405" spans="1:21" s="552" customFormat="1" ht="15" hidden="1" customHeight="1">
      <c r="A405" s="621"/>
      <c r="B405" s="622" t="s">
        <v>952</v>
      </c>
      <c r="C405" s="558" t="str">
        <f ca="1">C404</f>
        <v xml:space="preserve"> </v>
      </c>
      <c r="D405" s="553"/>
      <c r="E405" s="694" t="str">
        <f>VLOOKUP($B405,dongia1,DG!$C$5,)</f>
        <v>Boulon 22x650+ 2 long đền vuông D24-60x60x3/Zn</v>
      </c>
      <c r="F405" s="555" t="str">
        <f>VLOOKUP($B405,dongia1,DG!$D$5,)</f>
        <v>bộ</v>
      </c>
      <c r="G405" s="205">
        <v>4</v>
      </c>
      <c r="H405" s="556">
        <f t="shared" ref="H405:O407" ca="1" si="234">H$403*$G405</f>
        <v>0</v>
      </c>
      <c r="I405" s="556">
        <f t="shared" ca="1" si="234"/>
        <v>0</v>
      </c>
      <c r="J405" s="556">
        <f t="shared" ca="1" si="234"/>
        <v>0</v>
      </c>
      <c r="K405" s="556">
        <f t="shared" ca="1" si="234"/>
        <v>0</v>
      </c>
      <c r="L405" s="556">
        <f t="shared" ca="1" si="234"/>
        <v>0</v>
      </c>
      <c r="M405" s="556"/>
      <c r="N405" s="556">
        <f t="shared" ca="1" si="234"/>
        <v>0</v>
      </c>
      <c r="O405" s="556">
        <f t="shared" si="234"/>
        <v>0</v>
      </c>
      <c r="P405" s="182">
        <f>VLOOKUP($B405,dongia1,DG!$F$5,)</f>
        <v>92200</v>
      </c>
      <c r="Q405" s="554"/>
      <c r="R405" s="554"/>
      <c r="S405" s="113">
        <f t="shared" si="233"/>
        <v>368800</v>
      </c>
      <c r="T405" s="113">
        <f t="shared" si="233"/>
        <v>0</v>
      </c>
      <c r="U405" s="557">
        <f t="shared" si="233"/>
        <v>0</v>
      </c>
    </row>
    <row r="406" spans="1:21" s="552" customFormat="1" ht="15" hidden="1" customHeight="1">
      <c r="A406" s="621"/>
      <c r="B406" s="622" t="s">
        <v>1645</v>
      </c>
      <c r="C406" s="558" t="str">
        <f ca="1">C405</f>
        <v xml:space="preserve"> </v>
      </c>
      <c r="D406" s="553"/>
      <c r="E406" s="694" t="str">
        <f>VLOOKUP($B406,dongia1,DG!$C$5,)</f>
        <v>Đào hố móng đất cấp 3 sâu &gt;1m DT&lt;5m2</v>
      </c>
      <c r="F406" s="555" t="str">
        <f>VLOOKUP($B406,dongia1,DG!$D$5,)</f>
        <v>m3</v>
      </c>
      <c r="G406" s="205">
        <v>10.63</v>
      </c>
      <c r="H406" s="556">
        <f t="shared" ca="1" si="234"/>
        <v>0</v>
      </c>
      <c r="I406" s="556">
        <f t="shared" ca="1" si="234"/>
        <v>0</v>
      </c>
      <c r="J406" s="556">
        <f t="shared" ca="1" si="234"/>
        <v>0</v>
      </c>
      <c r="K406" s="556">
        <f t="shared" ca="1" si="234"/>
        <v>0</v>
      </c>
      <c r="L406" s="556">
        <f t="shared" ca="1" si="234"/>
        <v>0</v>
      </c>
      <c r="M406" s="556"/>
      <c r="N406" s="556">
        <f t="shared" ca="1" si="234"/>
        <v>0</v>
      </c>
      <c r="O406" s="556">
        <f t="shared" si="234"/>
        <v>0</v>
      </c>
      <c r="P406" s="554"/>
      <c r="Q406" s="182">
        <f>VLOOKUP($B406,dongia1,DG!$G$5,)</f>
        <v>296500.89999999997</v>
      </c>
      <c r="R406" s="554"/>
      <c r="S406" s="113">
        <f t="shared" si="233"/>
        <v>0</v>
      </c>
      <c r="T406" s="113">
        <f t="shared" si="233"/>
        <v>3151804.5669999998</v>
      </c>
      <c r="U406" s="557">
        <f t="shared" si="233"/>
        <v>0</v>
      </c>
    </row>
    <row r="407" spans="1:21" s="552" customFormat="1" ht="15" hidden="1" customHeight="1">
      <c r="A407" s="621"/>
      <c r="B407" s="622" t="s">
        <v>501</v>
      </c>
      <c r="C407" s="558" t="str">
        <f ca="1">C406</f>
        <v xml:space="preserve"> </v>
      </c>
      <c r="D407" s="553"/>
      <c r="E407" s="694" t="str">
        <f>VLOOKUP($B407,dongia1,DG!$C$5,)</f>
        <v>Đắp đất hố móng, đất cấp 3 (độ chặt k = 0.85)</v>
      </c>
      <c r="F407" s="555" t="str">
        <f>VLOOKUP($B407,dongia1,DG!$D$5,)</f>
        <v>m3</v>
      </c>
      <c r="G407" s="205">
        <v>10.63</v>
      </c>
      <c r="H407" s="556">
        <f t="shared" ca="1" si="234"/>
        <v>0</v>
      </c>
      <c r="I407" s="556">
        <f t="shared" ca="1" si="234"/>
        <v>0</v>
      </c>
      <c r="J407" s="556">
        <f t="shared" ca="1" si="234"/>
        <v>0</v>
      </c>
      <c r="K407" s="556">
        <f t="shared" ca="1" si="234"/>
        <v>0</v>
      </c>
      <c r="L407" s="556">
        <f t="shared" ca="1" si="234"/>
        <v>0</v>
      </c>
      <c r="M407" s="556"/>
      <c r="N407" s="556">
        <f t="shared" ca="1" si="234"/>
        <v>0</v>
      </c>
      <c r="O407" s="556">
        <f t="shared" si="234"/>
        <v>0</v>
      </c>
      <c r="P407" s="554"/>
      <c r="Q407" s="182">
        <f>VLOOKUP($B407,dongia1,DG!$G$5,)</f>
        <v>117703.6</v>
      </c>
      <c r="R407" s="554"/>
      <c r="S407" s="113">
        <f t="shared" si="233"/>
        <v>0</v>
      </c>
      <c r="T407" s="113">
        <f t="shared" si="233"/>
        <v>1251189.2680000002</v>
      </c>
      <c r="U407" s="557">
        <f t="shared" si="233"/>
        <v>0</v>
      </c>
    </row>
    <row r="408" spans="1:21" s="552" customFormat="1" ht="15" hidden="1" customHeight="1">
      <c r="A408" s="621" t="s">
        <v>541</v>
      </c>
      <c r="B408" s="622"/>
      <c r="C408" s="558" t="str">
        <f ca="1">IF(H408&lt;&gt;0,"x"," ")</f>
        <v xml:space="preserve"> </v>
      </c>
      <c r="D408" s="553"/>
      <c r="E408" s="727" t="s">
        <v>3537</v>
      </c>
      <c r="F408" s="600" t="s">
        <v>3391</v>
      </c>
      <c r="G408" s="205"/>
      <c r="H408" s="556">
        <f ca="1">SUM(I408:N408)</f>
        <v>0</v>
      </c>
      <c r="I408" s="556">
        <f ca="1">SUMIF(mong3pm,chitiet!$A408,slmong3pm)</f>
        <v>0</v>
      </c>
      <c r="J408" s="556">
        <f ca="1">SUMIF(mongct,chitiet!$A408,slmongct)</f>
        <v>0</v>
      </c>
      <c r="K408" s="556">
        <f ca="1">SUMIF(mong3p1m,chitiet!$A408,slmong3p1m)</f>
        <v>0</v>
      </c>
      <c r="L408" s="556">
        <f ca="1">SUMIF(mong1pm,chitiet!$A408,slmong1pm)</f>
        <v>0</v>
      </c>
      <c r="M408" s="556">
        <f ca="1">SUMIF(monghthh,chitiet!$A408,slmonghthh)</f>
        <v>0</v>
      </c>
      <c r="N408" s="556">
        <f ca="1">SUMIF(mongHTDL,chitiet!$A408,SLmongHTDL)</f>
        <v>0</v>
      </c>
      <c r="O408" s="556"/>
      <c r="P408" s="554"/>
      <c r="Q408" s="554"/>
      <c r="R408" s="554"/>
      <c r="S408" s="601">
        <f>SUM(S409:S417)</f>
        <v>6495518.2680000002</v>
      </c>
      <c r="T408" s="601">
        <f>SUM(T409:T417)</f>
        <v>4161674.5901199998</v>
      </c>
      <c r="U408" s="602">
        <f>SUM(U409:U417)</f>
        <v>0</v>
      </c>
    </row>
    <row r="409" spans="1:21" s="552" customFormat="1" ht="15" hidden="1" customHeight="1">
      <c r="A409" s="621"/>
      <c r="B409" s="622" t="s">
        <v>2066</v>
      </c>
      <c r="C409" s="558" t="str">
        <f t="shared" ref="C409:C417" ca="1" si="235">C408</f>
        <v xml:space="preserve"> </v>
      </c>
      <c r="D409" s="553"/>
      <c r="E409" s="694" t="str">
        <f>VLOOKUP($B409,dongia1,DG!$C$5,)</f>
        <v>Đổ bê tông mác M200 đá 1x 2rộng &gt;250cm</v>
      </c>
      <c r="F409" s="555" t="str">
        <f>VLOOKUP($B409,dongia1,DG!$D$5,)</f>
        <v>m3</v>
      </c>
      <c r="G409" s="205">
        <v>2.0139999999999998</v>
      </c>
      <c r="H409" s="556">
        <f ca="1">H$408*$G409</f>
        <v>0</v>
      </c>
      <c r="I409" s="556">
        <f t="shared" ref="I409:O409" ca="1" si="236">I$408*$G409</f>
        <v>0</v>
      </c>
      <c r="J409" s="556">
        <f t="shared" ca="1" si="236"/>
        <v>0</v>
      </c>
      <c r="K409" s="556">
        <f t="shared" ca="1" si="236"/>
        <v>0</v>
      </c>
      <c r="L409" s="556">
        <f t="shared" ca="1" si="236"/>
        <v>0</v>
      </c>
      <c r="M409" s="556"/>
      <c r="N409" s="556">
        <f t="shared" ca="1" si="236"/>
        <v>0</v>
      </c>
      <c r="O409" s="556">
        <f t="shared" si="236"/>
        <v>0</v>
      </c>
      <c r="P409" s="182">
        <f>VLOOKUP($B409,dongia1,DG!$F$5,)</f>
        <v>920580</v>
      </c>
      <c r="Q409" s="182">
        <f>VLOOKUP($B409,dongia1,DG!$G$5,)</f>
        <v>466397.5</v>
      </c>
      <c r="R409" s="554"/>
      <c r="S409" s="113">
        <f>$G409*P409</f>
        <v>1854048.1199999999</v>
      </c>
      <c r="T409" s="113">
        <f>$G409*Q409</f>
        <v>939324.56499999994</v>
      </c>
      <c r="U409" s="557">
        <f t="shared" ref="U409:U415" si="237">$G409*R409</f>
        <v>0</v>
      </c>
    </row>
    <row r="410" spans="1:21" s="552" customFormat="1" ht="15" hidden="1" customHeight="1">
      <c r="A410" s="621"/>
      <c r="B410" s="622" t="s">
        <v>70</v>
      </c>
      <c r="C410" s="558" t="str">
        <f t="shared" ca="1" si="235"/>
        <v xml:space="preserve"> </v>
      </c>
      <c r="D410" s="553"/>
      <c r="E410" s="694" t="str">
        <f>VLOOKUP($B410,dongia1,DG!$C$5,)</f>
        <v>Đổ bê tông mác M100 đá 4x6 rộng &gt;250cm</v>
      </c>
      <c r="F410" s="555" t="str">
        <f>VLOOKUP($B410,dongia1,DG!$D$5,)</f>
        <v>m3</v>
      </c>
      <c r="G410" s="205">
        <v>0.20399999999999999</v>
      </c>
      <c r="H410" s="556">
        <f t="shared" ref="H410:O417" ca="1" si="238">H$408*$G410</f>
        <v>0</v>
      </c>
      <c r="I410" s="556">
        <f t="shared" ca="1" si="238"/>
        <v>0</v>
      </c>
      <c r="J410" s="556">
        <f t="shared" ca="1" si="238"/>
        <v>0</v>
      </c>
      <c r="K410" s="556">
        <f t="shared" ca="1" si="238"/>
        <v>0</v>
      </c>
      <c r="L410" s="556">
        <f t="shared" ca="1" si="238"/>
        <v>0</v>
      </c>
      <c r="M410" s="556"/>
      <c r="N410" s="556">
        <f t="shared" ca="1" si="238"/>
        <v>0</v>
      </c>
      <c r="O410" s="556">
        <f t="shared" si="238"/>
        <v>0</v>
      </c>
      <c r="P410" s="182">
        <f>VLOOKUP($B410,dongia1,DG!$F$5,)</f>
        <v>371262</v>
      </c>
      <c r="Q410" s="182">
        <f>VLOOKUP($B410,dongia1,DG!$G$5,)</f>
        <v>414064.45</v>
      </c>
      <c r="R410" s="554"/>
      <c r="S410" s="113">
        <f t="shared" ref="S410:S417" si="239">$G410*P410</f>
        <v>75737.447999999989</v>
      </c>
      <c r="T410" s="113">
        <f t="shared" ref="T410:T417" si="240">$G410*Q410</f>
        <v>84469.147799999992</v>
      </c>
      <c r="U410" s="557">
        <f>$G410*R410</f>
        <v>0</v>
      </c>
    </row>
    <row r="411" spans="1:21" s="552" customFormat="1" ht="15" hidden="1" customHeight="1">
      <c r="A411" s="621"/>
      <c r="B411" s="622" t="s">
        <v>1729</v>
      </c>
      <c r="C411" s="558" t="str">
        <f t="shared" ca="1" si="235"/>
        <v xml:space="preserve"> </v>
      </c>
      <c r="D411" s="553"/>
      <c r="E411" s="694" t="str">
        <f>VLOOKUP($B411,dongia1,DG!$C$5,)</f>
        <v>Cát vàng</v>
      </c>
      <c r="F411" s="555" t="str">
        <f>VLOOKUP($B411,dongia1,DG!$D$5,)</f>
        <v>m3</v>
      </c>
      <c r="G411" s="205">
        <v>0.24</v>
      </c>
      <c r="H411" s="556">
        <f t="shared" ca="1" si="238"/>
        <v>0</v>
      </c>
      <c r="I411" s="556">
        <f t="shared" ca="1" si="238"/>
        <v>0</v>
      </c>
      <c r="J411" s="556">
        <f t="shared" ca="1" si="238"/>
        <v>0</v>
      </c>
      <c r="K411" s="556">
        <f t="shared" ca="1" si="238"/>
        <v>0</v>
      </c>
      <c r="L411" s="556">
        <f t="shared" ca="1" si="238"/>
        <v>0</v>
      </c>
      <c r="M411" s="556"/>
      <c r="N411" s="556">
        <f t="shared" ca="1" si="238"/>
        <v>0</v>
      </c>
      <c r="O411" s="556">
        <f t="shared" si="238"/>
        <v>0</v>
      </c>
      <c r="P411" s="182">
        <f>VLOOKUP($B411,dongia1,DG!$F$5,)</f>
        <v>512000</v>
      </c>
      <c r="Q411" s="554"/>
      <c r="R411" s="554"/>
      <c r="S411" s="113">
        <f t="shared" si="239"/>
        <v>122880</v>
      </c>
      <c r="T411" s="113">
        <f t="shared" si="240"/>
        <v>0</v>
      </c>
      <c r="U411" s="557">
        <f>$G411*R411</f>
        <v>0</v>
      </c>
    </row>
    <row r="412" spans="1:21" s="552" customFormat="1" ht="15" hidden="1" customHeight="1">
      <c r="A412" s="621"/>
      <c r="B412" s="622" t="s">
        <v>577</v>
      </c>
      <c r="C412" s="558" t="str">
        <f t="shared" ca="1" si="235"/>
        <v xml:space="preserve"> </v>
      </c>
      <c r="D412" s="553"/>
      <c r="E412" s="694" t="str">
        <f>VLOOKUP($B412,dongia1,DG!$C$5,)</f>
        <v>Sắt   Þ6</v>
      </c>
      <c r="F412" s="555" t="str">
        <f>VLOOKUP($B412,dongia1,DG!$D$5,)</f>
        <v>kg</v>
      </c>
      <c r="G412" s="205">
        <v>193.05</v>
      </c>
      <c r="H412" s="556">
        <f t="shared" ca="1" si="238"/>
        <v>0</v>
      </c>
      <c r="I412" s="556">
        <f t="shared" ca="1" si="238"/>
        <v>0</v>
      </c>
      <c r="J412" s="556">
        <f t="shared" ca="1" si="238"/>
        <v>0</v>
      </c>
      <c r="K412" s="556">
        <f t="shared" ca="1" si="238"/>
        <v>0</v>
      </c>
      <c r="L412" s="556">
        <f t="shared" ca="1" si="238"/>
        <v>0</v>
      </c>
      <c r="M412" s="556"/>
      <c r="N412" s="556">
        <f t="shared" ca="1" si="238"/>
        <v>0</v>
      </c>
      <c r="O412" s="556">
        <f t="shared" si="238"/>
        <v>0</v>
      </c>
      <c r="P412" s="182">
        <f>VLOOKUP($B412,dongia1,DG!$F$5,)</f>
        <v>13200</v>
      </c>
      <c r="Q412" s="554"/>
      <c r="R412" s="554"/>
      <c r="S412" s="113">
        <f t="shared" si="239"/>
        <v>2548260</v>
      </c>
      <c r="T412" s="113">
        <f t="shared" si="240"/>
        <v>0</v>
      </c>
      <c r="U412" s="557">
        <f>$G412*R412</f>
        <v>0</v>
      </c>
    </row>
    <row r="413" spans="1:21" s="552" customFormat="1" ht="15" hidden="1" customHeight="1">
      <c r="A413" s="621"/>
      <c r="B413" s="622" t="s">
        <v>1645</v>
      </c>
      <c r="C413" s="558" t="str">
        <f t="shared" ca="1" si="235"/>
        <v xml:space="preserve"> </v>
      </c>
      <c r="D413" s="553"/>
      <c r="E413" s="694" t="str">
        <f>VLOOKUP($B413,dongia1,DG!$C$5,)</f>
        <v>Đào hố móng đất cấp 3 sâu &gt;1m DT&lt;5m2</v>
      </c>
      <c r="F413" s="555" t="str">
        <f>VLOOKUP($B413,dongia1,DG!$D$5,)</f>
        <v>m3</v>
      </c>
      <c r="G413" s="205">
        <v>5.3040000000000003</v>
      </c>
      <c r="H413" s="556">
        <f t="shared" ca="1" si="238"/>
        <v>0</v>
      </c>
      <c r="I413" s="556">
        <f t="shared" ca="1" si="238"/>
        <v>0</v>
      </c>
      <c r="J413" s="556">
        <f t="shared" ca="1" si="238"/>
        <v>0</v>
      </c>
      <c r="K413" s="556">
        <f t="shared" ca="1" si="238"/>
        <v>0</v>
      </c>
      <c r="L413" s="556">
        <f t="shared" ca="1" si="238"/>
        <v>0</v>
      </c>
      <c r="M413" s="556"/>
      <c r="N413" s="556">
        <f t="shared" ca="1" si="238"/>
        <v>0</v>
      </c>
      <c r="O413" s="556">
        <f t="shared" si="238"/>
        <v>0</v>
      </c>
      <c r="P413" s="554"/>
      <c r="Q413" s="182">
        <f>VLOOKUP($B413,dongia1,DG!$G$5,)</f>
        <v>296500.89999999997</v>
      </c>
      <c r="R413" s="554"/>
      <c r="S413" s="113">
        <f t="shared" si="239"/>
        <v>0</v>
      </c>
      <c r="T413" s="113">
        <f t="shared" si="240"/>
        <v>1572640.7736</v>
      </c>
      <c r="U413" s="557">
        <f t="shared" si="237"/>
        <v>0</v>
      </c>
    </row>
    <row r="414" spans="1:21" s="552" customFormat="1" ht="15" hidden="1" customHeight="1">
      <c r="A414" s="621"/>
      <c r="B414" s="622" t="s">
        <v>501</v>
      </c>
      <c r="C414" s="558" t="str">
        <f t="shared" ca="1" si="235"/>
        <v xml:space="preserve"> </v>
      </c>
      <c r="D414" s="553"/>
      <c r="E414" s="694" t="str">
        <f>VLOOKUP($B414,dongia1,DG!$C$5,)</f>
        <v>Đắp đất hố móng, đất cấp 3 (độ chặt k = 0.85)</v>
      </c>
      <c r="F414" s="555" t="str">
        <f>VLOOKUP($B414,dongia1,DG!$D$5,)</f>
        <v>m3</v>
      </c>
      <c r="G414" s="205">
        <v>2.8450000000000002</v>
      </c>
      <c r="H414" s="556">
        <f t="shared" ca="1" si="238"/>
        <v>0</v>
      </c>
      <c r="I414" s="556">
        <f t="shared" ca="1" si="238"/>
        <v>0</v>
      </c>
      <c r="J414" s="556">
        <f t="shared" ca="1" si="238"/>
        <v>0</v>
      </c>
      <c r="K414" s="556">
        <f t="shared" ca="1" si="238"/>
        <v>0</v>
      </c>
      <c r="L414" s="556">
        <f t="shared" ca="1" si="238"/>
        <v>0</v>
      </c>
      <c r="M414" s="556"/>
      <c r="N414" s="556">
        <f t="shared" ca="1" si="238"/>
        <v>0</v>
      </c>
      <c r="O414" s="556">
        <f t="shared" si="238"/>
        <v>0</v>
      </c>
      <c r="P414" s="554"/>
      <c r="Q414" s="182">
        <f>VLOOKUP($B414,dongia1,DG!$G$5,)</f>
        <v>117703.6</v>
      </c>
      <c r="R414" s="554"/>
      <c r="S414" s="113">
        <f t="shared" si="239"/>
        <v>0</v>
      </c>
      <c r="T414" s="113">
        <f t="shared" si="240"/>
        <v>334866.74200000003</v>
      </c>
      <c r="U414" s="557">
        <f t="shared" si="237"/>
        <v>0</v>
      </c>
    </row>
    <row r="415" spans="1:21" s="552" customFormat="1" ht="15" hidden="1" customHeight="1">
      <c r="A415" s="621"/>
      <c r="B415" s="622" t="s">
        <v>732</v>
      </c>
      <c r="C415" s="558" t="str">
        <f t="shared" ca="1" si="235"/>
        <v xml:space="preserve"> </v>
      </c>
      <c r="D415" s="553"/>
      <c r="E415" s="694" t="str">
        <f>VLOOKUP($B415,dongia1,DG!$C$5,)</f>
        <v>Rải cát đệm (độ chặt K=0,9)</v>
      </c>
      <c r="F415" s="555" t="str">
        <f>VLOOKUP($B415,dongia1,DG!$D$5,)</f>
        <v>m3</v>
      </c>
      <c r="G415" s="205">
        <f>G411</f>
        <v>0.24</v>
      </c>
      <c r="H415" s="556">
        <f t="shared" ca="1" si="238"/>
        <v>0</v>
      </c>
      <c r="I415" s="556">
        <f t="shared" ca="1" si="238"/>
        <v>0</v>
      </c>
      <c r="J415" s="556">
        <f t="shared" ca="1" si="238"/>
        <v>0</v>
      </c>
      <c r="K415" s="556">
        <f t="shared" ca="1" si="238"/>
        <v>0</v>
      </c>
      <c r="L415" s="556">
        <f t="shared" ca="1" si="238"/>
        <v>0</v>
      </c>
      <c r="M415" s="556"/>
      <c r="N415" s="556">
        <f t="shared" ca="1" si="238"/>
        <v>0</v>
      </c>
      <c r="O415" s="556">
        <f t="shared" si="238"/>
        <v>0</v>
      </c>
      <c r="P415" s="554"/>
      <c r="Q415" s="182">
        <f>VLOOKUP($B415,dongia1,DG!$G$5,)</f>
        <v>315277.5</v>
      </c>
      <c r="R415" s="554"/>
      <c r="S415" s="113">
        <f t="shared" si="239"/>
        <v>0</v>
      </c>
      <c r="T415" s="113">
        <f t="shared" si="240"/>
        <v>75666.599999999991</v>
      </c>
      <c r="U415" s="557">
        <f t="shared" si="237"/>
        <v>0</v>
      </c>
    </row>
    <row r="416" spans="1:21" s="552" customFormat="1" ht="15" hidden="1" customHeight="1">
      <c r="A416" s="621"/>
      <c r="B416" s="622" t="s">
        <v>1694</v>
      </c>
      <c r="C416" s="558" t="str">
        <f t="shared" ca="1" si="235"/>
        <v xml:space="preserve"> </v>
      </c>
      <c r="D416" s="553"/>
      <c r="E416" s="694" t="str">
        <f>VLOOKUP($B416,dongia1,DG!$C$5,)</f>
        <v>Gia công và lắp dựng cốt thép D&lt;=10</v>
      </c>
      <c r="F416" s="555" t="str">
        <f>VLOOKUP($B416,dongia1,DG!$D$5,)</f>
        <v>kg</v>
      </c>
      <c r="G416" s="205">
        <f>G412</f>
        <v>193.05</v>
      </c>
      <c r="H416" s="556">
        <f t="shared" ca="1" si="238"/>
        <v>0</v>
      </c>
      <c r="I416" s="556">
        <f t="shared" ca="1" si="238"/>
        <v>0</v>
      </c>
      <c r="J416" s="556">
        <f t="shared" ca="1" si="238"/>
        <v>0</v>
      </c>
      <c r="K416" s="556">
        <f t="shared" ca="1" si="238"/>
        <v>0</v>
      </c>
      <c r="L416" s="556">
        <f t="shared" ca="1" si="238"/>
        <v>0</v>
      </c>
      <c r="M416" s="556"/>
      <c r="N416" s="556">
        <f t="shared" ca="1" si="238"/>
        <v>0</v>
      </c>
      <c r="O416" s="556">
        <f t="shared" si="238"/>
        <v>0</v>
      </c>
      <c r="P416" s="182">
        <f>VLOOKUP($B416,dongia1,DG!$F$5,)</f>
        <v>9814</v>
      </c>
      <c r="Q416" s="182">
        <f>VLOOKUP($B416,dongia1,DG!$G$5,)</f>
        <v>2965.3303999999998</v>
      </c>
      <c r="R416" s="554"/>
      <c r="S416" s="113">
        <f t="shared" si="239"/>
        <v>1894592.7000000002</v>
      </c>
      <c r="T416" s="113">
        <f t="shared" si="240"/>
        <v>572457.03371999995</v>
      </c>
      <c r="U416" s="557">
        <f>$G416*R416</f>
        <v>0</v>
      </c>
    </row>
    <row r="417" spans="1:21" s="552" customFormat="1" ht="15" hidden="1" customHeight="1">
      <c r="A417" s="621"/>
      <c r="B417" s="622" t="s">
        <v>1695</v>
      </c>
      <c r="C417" s="558" t="str">
        <f t="shared" ca="1" si="235"/>
        <v xml:space="preserve"> </v>
      </c>
      <c r="D417" s="553"/>
      <c r="E417" s="694" t="str">
        <f>VLOOKUP($B417,dongia1,DG!$C$5,)</f>
        <v>Gia công và lắp dựng ván khuôn</v>
      </c>
      <c r="F417" s="555" t="str">
        <f>VLOOKUP($B417,dongia1,DG!$D$5,)</f>
        <v>m2</v>
      </c>
      <c r="G417" s="205">
        <v>8</v>
      </c>
      <c r="H417" s="556">
        <f t="shared" ca="1" si="238"/>
        <v>0</v>
      </c>
      <c r="I417" s="556">
        <f t="shared" ca="1" si="238"/>
        <v>0</v>
      </c>
      <c r="J417" s="556">
        <f t="shared" ca="1" si="238"/>
        <v>0</v>
      </c>
      <c r="K417" s="556">
        <f t="shared" ca="1" si="238"/>
        <v>0</v>
      </c>
      <c r="L417" s="556">
        <f t="shared" ca="1" si="238"/>
        <v>0</v>
      </c>
      <c r="M417" s="556"/>
      <c r="N417" s="556">
        <f t="shared" ca="1" si="238"/>
        <v>0</v>
      </c>
      <c r="O417" s="556">
        <f t="shared" si="238"/>
        <v>0</v>
      </c>
      <c r="P417" s="554"/>
      <c r="Q417" s="182">
        <f>VLOOKUP($B417,dongia1,DG!$G$5,)</f>
        <v>72781.216</v>
      </c>
      <c r="R417" s="554"/>
      <c r="S417" s="113">
        <f t="shared" si="239"/>
        <v>0</v>
      </c>
      <c r="T417" s="113">
        <f t="shared" si="240"/>
        <v>582249.728</v>
      </c>
      <c r="U417" s="557">
        <f>$G417*R417</f>
        <v>0</v>
      </c>
    </row>
    <row r="418" spans="1:21" s="552" customFormat="1" ht="15" hidden="1" customHeight="1">
      <c r="A418" s="621" t="s">
        <v>564</v>
      </c>
      <c r="B418" s="622"/>
      <c r="C418" s="558" t="str">
        <f ca="1">IF(H418&lt;&gt;0,"x"," ")</f>
        <v xml:space="preserve"> </v>
      </c>
      <c r="D418" s="553"/>
      <c r="E418" s="727" t="s">
        <v>3538</v>
      </c>
      <c r="F418" s="600" t="s">
        <v>3391</v>
      </c>
      <c r="G418" s="205"/>
      <c r="H418" s="556">
        <f ca="1">SUM(I418:N418)</f>
        <v>0</v>
      </c>
      <c r="I418" s="556">
        <f ca="1">SUMIF(mong3pm,chitiet!$A418,slmong3pm)</f>
        <v>0</v>
      </c>
      <c r="J418" s="556">
        <f ca="1">SUMIF(mongct,chitiet!$A418,slmongct)</f>
        <v>0</v>
      </c>
      <c r="K418" s="556">
        <f ca="1">SUMIF(mong3p1m,chitiet!$A418,slmong3p1m)</f>
        <v>0</v>
      </c>
      <c r="L418" s="556">
        <f ca="1">SUMIF(mong1pm,chitiet!$A418,slmong1pm)</f>
        <v>0</v>
      </c>
      <c r="M418" s="556">
        <f ca="1">SUMIF(monghthh,chitiet!$A418,slmonghthh)</f>
        <v>0</v>
      </c>
      <c r="N418" s="556">
        <f ca="1">SUMIF(mongHTDL,chitiet!$A418,SLmongHTDL)</f>
        <v>0</v>
      </c>
      <c r="O418" s="556"/>
      <c r="P418" s="554"/>
      <c r="Q418" s="554"/>
      <c r="R418" s="554"/>
      <c r="S418" s="601">
        <f>SUM(S419:S422)</f>
        <v>3034400</v>
      </c>
      <c r="T418" s="601">
        <f>SUM(T419:T422)</f>
        <v>9777568.7799999993</v>
      </c>
      <c r="U418" s="602">
        <f>SUM(U419:U422)</f>
        <v>0</v>
      </c>
    </row>
    <row r="419" spans="1:21" s="552" customFormat="1" ht="15" hidden="1" customHeight="1">
      <c r="A419" s="621"/>
      <c r="B419" s="622" t="s">
        <v>201</v>
      </c>
      <c r="C419" s="558" t="str">
        <f ca="1">C418</f>
        <v xml:space="preserve"> </v>
      </c>
      <c r="D419" s="553"/>
      <c r="E419" s="694" t="str">
        <f>VLOOKUP($B419,dongia1,DG!$C$5,)</f>
        <v>Đà cản BTCT 1,5m</v>
      </c>
      <c r="F419" s="555" t="str">
        <f>VLOOKUP($B419,dongia1,DG!$D$5,)</f>
        <v>cái</v>
      </c>
      <c r="G419" s="205">
        <v>4</v>
      </c>
      <c r="H419" s="556">
        <f ca="1">H$418*$G419</f>
        <v>0</v>
      </c>
      <c r="I419" s="556">
        <f t="shared" ref="I419:O419" ca="1" si="241">I$418*$G419</f>
        <v>0</v>
      </c>
      <c r="J419" s="556">
        <f t="shared" ca="1" si="241"/>
        <v>0</v>
      </c>
      <c r="K419" s="556">
        <f t="shared" ca="1" si="241"/>
        <v>0</v>
      </c>
      <c r="L419" s="556">
        <f t="shared" ca="1" si="241"/>
        <v>0</v>
      </c>
      <c r="M419" s="556"/>
      <c r="N419" s="556">
        <f t="shared" ca="1" si="241"/>
        <v>0</v>
      </c>
      <c r="O419" s="556">
        <f t="shared" si="241"/>
        <v>0</v>
      </c>
      <c r="P419" s="182">
        <f>VLOOKUP($B419,dongia1,DG!$F$5,)</f>
        <v>650000</v>
      </c>
      <c r="Q419" s="182">
        <f>VLOOKUP($B419,dongia1,DG!$G$5,)</f>
        <v>148724</v>
      </c>
      <c r="R419" s="554"/>
      <c r="S419" s="113">
        <f t="shared" ref="S419:U422" si="242">$G419*P419</f>
        <v>2600000</v>
      </c>
      <c r="T419" s="113">
        <f t="shared" si="242"/>
        <v>594896</v>
      </c>
      <c r="U419" s="557">
        <f t="shared" si="242"/>
        <v>0</v>
      </c>
    </row>
    <row r="420" spans="1:21" s="552" customFormat="1" ht="15" hidden="1" customHeight="1">
      <c r="A420" s="621"/>
      <c r="B420" s="622" t="s">
        <v>365</v>
      </c>
      <c r="C420" s="558" t="str">
        <f ca="1">C419</f>
        <v xml:space="preserve"> </v>
      </c>
      <c r="D420" s="553"/>
      <c r="E420" s="694" t="str">
        <f>VLOOKUP($B420,dongia1,DG!$C$5,)</f>
        <v>Boulon 22x800+ 2 long đền vuông D24-60x60x3/Zn</v>
      </c>
      <c r="F420" s="555" t="str">
        <f>VLOOKUP($B420,dongia1,DG!$D$5,)</f>
        <v>bộ</v>
      </c>
      <c r="G420" s="205">
        <v>4</v>
      </c>
      <c r="H420" s="556">
        <f t="shared" ref="H420:O422" ca="1" si="243">H$418*$G420</f>
        <v>0</v>
      </c>
      <c r="I420" s="556">
        <f t="shared" ca="1" si="243"/>
        <v>0</v>
      </c>
      <c r="J420" s="556">
        <f t="shared" ca="1" si="243"/>
        <v>0</v>
      </c>
      <c r="K420" s="556">
        <f t="shared" ca="1" si="243"/>
        <v>0</v>
      </c>
      <c r="L420" s="556">
        <f t="shared" ca="1" si="243"/>
        <v>0</v>
      </c>
      <c r="M420" s="556"/>
      <c r="N420" s="556">
        <f t="shared" ca="1" si="243"/>
        <v>0</v>
      </c>
      <c r="O420" s="556">
        <f t="shared" si="243"/>
        <v>0</v>
      </c>
      <c r="P420" s="182">
        <f>VLOOKUP($B420,dongia1,DG!$F$5,)</f>
        <v>108600</v>
      </c>
      <c r="Q420" s="554"/>
      <c r="R420" s="554"/>
      <c r="S420" s="113">
        <f t="shared" si="242"/>
        <v>434400</v>
      </c>
      <c r="T420" s="113">
        <f t="shared" si="242"/>
        <v>0</v>
      </c>
      <c r="U420" s="557">
        <f t="shared" si="242"/>
        <v>0</v>
      </c>
    </row>
    <row r="421" spans="1:21" s="552" customFormat="1" ht="15" hidden="1" customHeight="1">
      <c r="A421" s="621"/>
      <c r="B421" s="622" t="s">
        <v>1645</v>
      </c>
      <c r="C421" s="558" t="str">
        <f ca="1">C420</f>
        <v xml:space="preserve"> </v>
      </c>
      <c r="D421" s="553"/>
      <c r="E421" s="694" t="str">
        <f>VLOOKUP($B421,dongia1,DG!$C$5,)</f>
        <v>Đào hố móng đất cấp 3 sâu &gt;1m DT&lt;5m2</v>
      </c>
      <c r="F421" s="555" t="str">
        <f>VLOOKUP($B421,dongia1,DG!$D$5,)</f>
        <v>m3</v>
      </c>
      <c r="G421" s="205">
        <v>21.8</v>
      </c>
      <c r="H421" s="556">
        <f t="shared" ca="1" si="243"/>
        <v>0</v>
      </c>
      <c r="I421" s="556">
        <f t="shared" ca="1" si="243"/>
        <v>0</v>
      </c>
      <c r="J421" s="556">
        <f t="shared" ca="1" si="243"/>
        <v>0</v>
      </c>
      <c r="K421" s="556">
        <f t="shared" ca="1" si="243"/>
        <v>0</v>
      </c>
      <c r="L421" s="556">
        <f t="shared" ca="1" si="243"/>
        <v>0</v>
      </c>
      <c r="M421" s="556"/>
      <c r="N421" s="556">
        <f t="shared" ca="1" si="243"/>
        <v>0</v>
      </c>
      <c r="O421" s="556">
        <f t="shared" si="243"/>
        <v>0</v>
      </c>
      <c r="P421" s="554"/>
      <c r="Q421" s="182">
        <f>VLOOKUP($B421,dongia1,DG!$G$5,)</f>
        <v>296500.89999999997</v>
      </c>
      <c r="R421" s="554"/>
      <c r="S421" s="113">
        <f t="shared" si="242"/>
        <v>0</v>
      </c>
      <c r="T421" s="113">
        <f t="shared" si="242"/>
        <v>6463719.6199999992</v>
      </c>
      <c r="U421" s="557">
        <f t="shared" si="242"/>
        <v>0</v>
      </c>
    </row>
    <row r="422" spans="1:21" s="552" customFormat="1" ht="15" hidden="1" customHeight="1">
      <c r="A422" s="621"/>
      <c r="B422" s="622" t="s">
        <v>501</v>
      </c>
      <c r="C422" s="558" t="str">
        <f ca="1">C421</f>
        <v xml:space="preserve"> </v>
      </c>
      <c r="D422" s="553"/>
      <c r="E422" s="694" t="str">
        <f>VLOOKUP($B422,dongia1,DG!$C$5,)</f>
        <v>Đắp đất hố móng, đất cấp 3 (độ chặt k = 0.85)</v>
      </c>
      <c r="F422" s="555" t="str">
        <f>VLOOKUP($B422,dongia1,DG!$D$5,)</f>
        <v>m3</v>
      </c>
      <c r="G422" s="205">
        <v>23.1</v>
      </c>
      <c r="H422" s="556">
        <f t="shared" ca="1" si="243"/>
        <v>0</v>
      </c>
      <c r="I422" s="556">
        <f t="shared" ca="1" si="243"/>
        <v>0</v>
      </c>
      <c r="J422" s="556">
        <f t="shared" ca="1" si="243"/>
        <v>0</v>
      </c>
      <c r="K422" s="556">
        <f t="shared" ca="1" si="243"/>
        <v>0</v>
      </c>
      <c r="L422" s="556">
        <f t="shared" ca="1" si="243"/>
        <v>0</v>
      </c>
      <c r="M422" s="556"/>
      <c r="N422" s="556">
        <f t="shared" ca="1" si="243"/>
        <v>0</v>
      </c>
      <c r="O422" s="556">
        <f t="shared" si="243"/>
        <v>0</v>
      </c>
      <c r="P422" s="554"/>
      <c r="Q422" s="182">
        <f>VLOOKUP($B422,dongia1,DG!$G$5,)</f>
        <v>117703.6</v>
      </c>
      <c r="R422" s="554"/>
      <c r="S422" s="113">
        <f t="shared" si="242"/>
        <v>0</v>
      </c>
      <c r="T422" s="113">
        <f t="shared" si="242"/>
        <v>2718953.16</v>
      </c>
      <c r="U422" s="557">
        <f t="shared" si="242"/>
        <v>0</v>
      </c>
    </row>
    <row r="423" spans="1:21" s="552" customFormat="1" ht="15" hidden="1" customHeight="1">
      <c r="A423" s="621" t="s">
        <v>810</v>
      </c>
      <c r="B423" s="622"/>
      <c r="C423" s="558" t="str">
        <f ca="1">IF(H423&lt;&gt;0,"x"," ")</f>
        <v xml:space="preserve"> </v>
      </c>
      <c r="D423" s="553"/>
      <c r="E423" s="727" t="s">
        <v>3539</v>
      </c>
      <c r="F423" s="600" t="s">
        <v>3391</v>
      </c>
      <c r="G423" s="205"/>
      <c r="H423" s="556">
        <f ca="1">SUM(I423:N423)</f>
        <v>0</v>
      </c>
      <c r="I423" s="556">
        <f ca="1">SUMIF(mong3pm,chitiet!$A423,slmong3pm)</f>
        <v>0</v>
      </c>
      <c r="J423" s="556">
        <f ca="1">SUMIF(mongct,chitiet!$A423,slmongct)</f>
        <v>0</v>
      </c>
      <c r="K423" s="556">
        <f ca="1">SUMIF(mong3p1m,chitiet!$A423,slmong3p1m)</f>
        <v>0</v>
      </c>
      <c r="L423" s="556">
        <f ca="1">SUMIF(mong1pm,chitiet!$A423,slmong1pm)</f>
        <v>0</v>
      </c>
      <c r="M423" s="556">
        <f ca="1">SUMIF(monghthh,chitiet!$A423,slmonghthh)</f>
        <v>0</v>
      </c>
      <c r="N423" s="556">
        <f ca="1">SUMIF(mongHTDL,chitiet!$A423,SLmongHTDL)</f>
        <v>0</v>
      </c>
      <c r="O423" s="556"/>
      <c r="P423" s="554"/>
      <c r="Q423" s="554"/>
      <c r="R423" s="554"/>
      <c r="S423" s="601">
        <f>SUM(S424:S435)</f>
        <v>65593.460000000006</v>
      </c>
      <c r="T423" s="601">
        <f>SUM(T424:T435)</f>
        <v>151468.98069999999</v>
      </c>
      <c r="U423" s="602">
        <f>SUM(U424:U435)</f>
        <v>0</v>
      </c>
    </row>
    <row r="424" spans="1:21" s="552" customFormat="1" ht="15" hidden="1" customHeight="1">
      <c r="A424" s="621"/>
      <c r="B424" s="622" t="s">
        <v>1728</v>
      </c>
      <c r="C424" s="558" t="str">
        <f t="shared" ref="C424:C432" ca="1" si="244">C423</f>
        <v xml:space="preserve"> </v>
      </c>
      <c r="D424" s="553"/>
      <c r="E424" s="694" t="str">
        <f>VLOOKUP($B424,dongia1,DG!$C$5,)</f>
        <v>Ximăng</v>
      </c>
      <c r="F424" s="555" t="str">
        <f>VLOOKUP($B424,dongia1,DG!$D$5,)</f>
        <v>kg</v>
      </c>
      <c r="G424" s="205"/>
      <c r="H424" s="556">
        <f t="shared" ref="H424:H433" ca="1" si="245">SUM(I424:N424)</f>
        <v>0</v>
      </c>
      <c r="I424" s="556">
        <f t="shared" ref="I424:O435" ca="1" si="246">I$423*$G424</f>
        <v>0</v>
      </c>
      <c r="J424" s="556">
        <f t="shared" ca="1" si="246"/>
        <v>0</v>
      </c>
      <c r="K424" s="556">
        <f t="shared" ca="1" si="246"/>
        <v>0</v>
      </c>
      <c r="L424" s="556">
        <f t="shared" ca="1" si="246"/>
        <v>0</v>
      </c>
      <c r="M424" s="556"/>
      <c r="N424" s="556">
        <f t="shared" ca="1" si="246"/>
        <v>0</v>
      </c>
      <c r="O424" s="556">
        <f t="shared" si="246"/>
        <v>0</v>
      </c>
      <c r="P424" s="182">
        <f>VLOOKUP($B424,dongia1,DG!$F$5,)</f>
        <v>1740</v>
      </c>
      <c r="Q424" s="182"/>
      <c r="R424" s="554"/>
      <c r="S424" s="113">
        <f t="shared" ref="S424:S435" si="247">$G424*P424</f>
        <v>0</v>
      </c>
      <c r="T424" s="113">
        <f t="shared" ref="T424:T435" si="248">$G424*Q424</f>
        <v>0</v>
      </c>
      <c r="U424" s="557">
        <f t="shared" ref="U424:U435" si="249">$G424*R424</f>
        <v>0</v>
      </c>
    </row>
    <row r="425" spans="1:21" s="552" customFormat="1" ht="15" hidden="1" customHeight="1">
      <c r="A425" s="621"/>
      <c r="B425" s="622" t="s">
        <v>1729</v>
      </c>
      <c r="C425" s="558" t="str">
        <f t="shared" ca="1" si="244"/>
        <v xml:space="preserve"> </v>
      </c>
      <c r="D425" s="553"/>
      <c r="E425" s="694" t="str">
        <f>VLOOKUP($B425,dongia1,DG!$C$5,)</f>
        <v>Cát vàng</v>
      </c>
      <c r="F425" s="555" t="str">
        <f>VLOOKUP($B425,dongia1,DG!$D$5,)</f>
        <v>m3</v>
      </c>
      <c r="G425" s="205"/>
      <c r="H425" s="556">
        <f t="shared" ca="1" si="245"/>
        <v>0</v>
      </c>
      <c r="I425" s="556">
        <f t="shared" ca="1" si="246"/>
        <v>0</v>
      </c>
      <c r="J425" s="556">
        <f t="shared" ca="1" si="246"/>
        <v>0</v>
      </c>
      <c r="K425" s="556">
        <f t="shared" ca="1" si="246"/>
        <v>0</v>
      </c>
      <c r="L425" s="556">
        <f t="shared" ca="1" si="246"/>
        <v>0</v>
      </c>
      <c r="M425" s="556"/>
      <c r="N425" s="556">
        <f t="shared" ca="1" si="246"/>
        <v>0</v>
      </c>
      <c r="O425" s="556">
        <f t="shared" si="246"/>
        <v>0</v>
      </c>
      <c r="P425" s="182">
        <f>VLOOKUP($B425,dongia1,DG!$F$5,)</f>
        <v>512000</v>
      </c>
      <c r="Q425" s="182"/>
      <c r="R425" s="554"/>
      <c r="S425" s="113">
        <f t="shared" si="247"/>
        <v>0</v>
      </c>
      <c r="T425" s="113">
        <f t="shared" si="248"/>
        <v>0</v>
      </c>
      <c r="U425" s="557">
        <f t="shared" si="249"/>
        <v>0</v>
      </c>
    </row>
    <row r="426" spans="1:21" s="552" customFormat="1" ht="15" hidden="1" customHeight="1">
      <c r="A426" s="621"/>
      <c r="B426" s="622" t="s">
        <v>853</v>
      </c>
      <c r="C426" s="558" t="str">
        <f t="shared" ca="1" si="244"/>
        <v xml:space="preserve"> </v>
      </c>
      <c r="D426" s="553"/>
      <c r="E426" s="694" t="str">
        <f>VLOOKUP($B426,dongia1,DG!$C$5,)</f>
        <v>Đá 1x2</v>
      </c>
      <c r="F426" s="555" t="str">
        <f>VLOOKUP($B426,dongia1,DG!$D$5,)</f>
        <v>m3</v>
      </c>
      <c r="G426" s="205"/>
      <c r="H426" s="556">
        <f t="shared" ca="1" si="245"/>
        <v>0</v>
      </c>
      <c r="I426" s="556">
        <f t="shared" ca="1" si="246"/>
        <v>0</v>
      </c>
      <c r="J426" s="556">
        <f t="shared" ca="1" si="246"/>
        <v>0</v>
      </c>
      <c r="K426" s="556">
        <f t="shared" ca="1" si="246"/>
        <v>0</v>
      </c>
      <c r="L426" s="556">
        <f t="shared" ca="1" si="246"/>
        <v>0</v>
      </c>
      <c r="M426" s="556"/>
      <c r="N426" s="556">
        <f t="shared" ca="1" si="246"/>
        <v>0</v>
      </c>
      <c r="O426" s="556">
        <f t="shared" si="246"/>
        <v>0</v>
      </c>
      <c r="P426" s="182">
        <f>VLOOKUP($B426,dongia1,DG!$F$5,)</f>
        <v>335000</v>
      </c>
      <c r="Q426" s="182"/>
      <c r="R426" s="554"/>
      <c r="S426" s="113">
        <f t="shared" si="247"/>
        <v>0</v>
      </c>
      <c r="T426" s="113">
        <f t="shared" si="248"/>
        <v>0</v>
      </c>
      <c r="U426" s="557">
        <f t="shared" si="249"/>
        <v>0</v>
      </c>
    </row>
    <row r="427" spans="1:21" s="552" customFormat="1" ht="15" hidden="1" customHeight="1">
      <c r="A427" s="621"/>
      <c r="B427" s="622" t="s">
        <v>275</v>
      </c>
      <c r="C427" s="558" t="str">
        <f ca="1">C426</f>
        <v xml:space="preserve"> </v>
      </c>
      <c r="D427" s="553"/>
      <c r="E427" s="694" t="str">
        <f>VLOOKUP($B427,dongia1,DG!$C$5,)</f>
        <v>Đá 4x6</v>
      </c>
      <c r="F427" s="555" t="str">
        <f>VLOOKUP($B427,dongia1,DG!$D$5,)</f>
        <v>m3</v>
      </c>
      <c r="G427" s="205"/>
      <c r="H427" s="556">
        <f t="shared" ca="1" si="245"/>
        <v>0</v>
      </c>
      <c r="I427" s="556">
        <f t="shared" ca="1" si="246"/>
        <v>0</v>
      </c>
      <c r="J427" s="556">
        <f t="shared" ca="1" si="246"/>
        <v>0</v>
      </c>
      <c r="K427" s="556">
        <f t="shared" ca="1" si="246"/>
        <v>0</v>
      </c>
      <c r="L427" s="556">
        <f t="shared" ca="1" si="246"/>
        <v>0</v>
      </c>
      <c r="M427" s="556"/>
      <c r="N427" s="556">
        <f t="shared" ca="1" si="246"/>
        <v>0</v>
      </c>
      <c r="O427" s="556">
        <f t="shared" si="246"/>
        <v>0</v>
      </c>
      <c r="P427" s="182">
        <f>VLOOKUP($B427,dongia1,DG!$F$5,)</f>
        <v>265000</v>
      </c>
      <c r="Q427" s="182"/>
      <c r="R427" s="554"/>
      <c r="S427" s="113">
        <f t="shared" si="247"/>
        <v>0</v>
      </c>
      <c r="T427" s="113">
        <f t="shared" si="248"/>
        <v>0</v>
      </c>
      <c r="U427" s="557">
        <f t="shared" si="249"/>
        <v>0</v>
      </c>
    </row>
    <row r="428" spans="1:21" s="552" customFormat="1" ht="15" hidden="1" customHeight="1">
      <c r="A428" s="621"/>
      <c r="B428" s="622" t="s">
        <v>577</v>
      </c>
      <c r="C428" s="558" t="str">
        <f ca="1">C427</f>
        <v xml:space="preserve"> </v>
      </c>
      <c r="D428" s="553"/>
      <c r="E428" s="694" t="str">
        <f>VLOOKUP($B428,dongia1,DG!$C$5,)</f>
        <v>Sắt   Þ6</v>
      </c>
      <c r="F428" s="555" t="str">
        <f>VLOOKUP($B428,dongia1,DG!$D$5,)</f>
        <v>kg</v>
      </c>
      <c r="G428" s="205"/>
      <c r="H428" s="556">
        <f t="shared" ca="1" si="245"/>
        <v>0</v>
      </c>
      <c r="I428" s="556">
        <f t="shared" ca="1" si="246"/>
        <v>0</v>
      </c>
      <c r="J428" s="556">
        <f t="shared" ca="1" si="246"/>
        <v>0</v>
      </c>
      <c r="K428" s="556">
        <f t="shared" ca="1" si="246"/>
        <v>0</v>
      </c>
      <c r="L428" s="556">
        <f t="shared" ca="1" si="246"/>
        <v>0</v>
      </c>
      <c r="M428" s="556"/>
      <c r="N428" s="556">
        <f t="shared" ca="1" si="246"/>
        <v>0</v>
      </c>
      <c r="O428" s="556">
        <f t="shared" si="246"/>
        <v>0</v>
      </c>
      <c r="P428" s="182">
        <f>VLOOKUP($B428,dongia1,DG!$F$5,)</f>
        <v>13200</v>
      </c>
      <c r="Q428" s="182"/>
      <c r="R428" s="554"/>
      <c r="S428" s="113">
        <f>$G428*P428</f>
        <v>0</v>
      </c>
      <c r="T428" s="113">
        <f>$G428*Q428</f>
        <v>0</v>
      </c>
      <c r="U428" s="557">
        <f>$G428*R428</f>
        <v>0</v>
      </c>
    </row>
    <row r="429" spans="1:21" s="552" customFormat="1" ht="15" hidden="1" customHeight="1">
      <c r="A429" s="621"/>
      <c r="B429" s="622" t="s">
        <v>806</v>
      </c>
      <c r="C429" s="558" t="str">
        <f ca="1">C427</f>
        <v xml:space="preserve"> </v>
      </c>
      <c r="D429" s="553"/>
      <c r="E429" s="694" t="str">
        <f>VLOOKUP($B429,dongia1,DG!$C$5,)</f>
        <v>Gỗ ván khuôn</v>
      </c>
      <c r="F429" s="555" t="str">
        <f>VLOOKUP($B429,dongia1,DG!$D$5,)</f>
        <v>m3</v>
      </c>
      <c r="G429" s="205"/>
      <c r="H429" s="556">
        <f t="shared" ca="1" si="245"/>
        <v>0</v>
      </c>
      <c r="I429" s="556">
        <f t="shared" ca="1" si="246"/>
        <v>0</v>
      </c>
      <c r="J429" s="556">
        <f t="shared" ca="1" si="246"/>
        <v>0</v>
      </c>
      <c r="K429" s="556">
        <f t="shared" ca="1" si="246"/>
        <v>0</v>
      </c>
      <c r="L429" s="556">
        <f t="shared" ca="1" si="246"/>
        <v>0</v>
      </c>
      <c r="M429" s="556"/>
      <c r="N429" s="556">
        <f t="shared" ca="1" si="246"/>
        <v>0</v>
      </c>
      <c r="O429" s="556">
        <f t="shared" si="246"/>
        <v>0</v>
      </c>
      <c r="P429" s="182">
        <f>VLOOKUP($B429,dongia1,DG!$F$5,)</f>
        <v>1818000</v>
      </c>
      <c r="Q429" s="182">
        <f>VLOOKUP($B429,dongia1,DG!$G$5,)</f>
        <v>0</v>
      </c>
      <c r="R429" s="554"/>
      <c r="S429" s="113">
        <f t="shared" si="247"/>
        <v>0</v>
      </c>
      <c r="T429" s="113">
        <f t="shared" si="248"/>
        <v>0</v>
      </c>
      <c r="U429" s="557">
        <f t="shared" si="249"/>
        <v>0</v>
      </c>
    </row>
    <row r="430" spans="1:21" s="552" customFormat="1" ht="15" hidden="1" customHeight="1">
      <c r="A430" s="621"/>
      <c r="B430" s="622" t="s">
        <v>353</v>
      </c>
      <c r="C430" s="558" t="str">
        <f ca="1">C428</f>
        <v xml:space="preserve"> </v>
      </c>
      <c r="D430" s="553"/>
      <c r="E430" s="694" t="str">
        <f>VLOOKUP($B430,dongia1,DG!$C$5,)</f>
        <v>Dây thép buộc A70</v>
      </c>
      <c r="F430" s="555" t="str">
        <f>VLOOKUP($B430,dongia1,DG!$D$5,)</f>
        <v>kg</v>
      </c>
      <c r="G430" s="205">
        <v>0.1</v>
      </c>
      <c r="H430" s="556">
        <f t="shared" ca="1" si="245"/>
        <v>0</v>
      </c>
      <c r="I430" s="556">
        <f t="shared" ca="1" si="246"/>
        <v>0</v>
      </c>
      <c r="J430" s="556">
        <f t="shared" ca="1" si="246"/>
        <v>0</v>
      </c>
      <c r="K430" s="556">
        <f t="shared" ca="1" si="246"/>
        <v>0</v>
      </c>
      <c r="L430" s="556">
        <f t="shared" ca="1" si="246"/>
        <v>0</v>
      </c>
      <c r="M430" s="556"/>
      <c r="N430" s="556">
        <f t="shared" ca="1" si="246"/>
        <v>0</v>
      </c>
      <c r="O430" s="556">
        <f t="shared" si="246"/>
        <v>0</v>
      </c>
      <c r="P430" s="182">
        <f>VLOOKUP($B430,dongia1,DG!$F$5,)</f>
        <v>61100</v>
      </c>
      <c r="Q430" s="182">
        <f>VLOOKUP($B430,dongia1,DG!$G$5,)</f>
        <v>0</v>
      </c>
      <c r="R430" s="554"/>
      <c r="S430" s="113">
        <f>$G430*P430</f>
        <v>6110</v>
      </c>
      <c r="T430" s="113">
        <f>$G430*Q430</f>
        <v>0</v>
      </c>
      <c r="U430" s="557">
        <f>$G430*R430</f>
        <v>0</v>
      </c>
    </row>
    <row r="431" spans="1:21" s="552" customFormat="1" ht="15" hidden="1" customHeight="1">
      <c r="A431" s="621"/>
      <c r="B431" s="622" t="s">
        <v>1645</v>
      </c>
      <c r="C431" s="558" t="str">
        <f ca="1">C426</f>
        <v xml:space="preserve"> </v>
      </c>
      <c r="D431" s="553"/>
      <c r="E431" s="694" t="str">
        <f>VLOOKUP($B431,dongia1,DG!$C$5,)</f>
        <v>Đào hố móng đất cấp 3 sâu &gt;1m DT&lt;5m2</v>
      </c>
      <c r="F431" s="555" t="str">
        <f>VLOOKUP($B431,dongia1,DG!$D$5,)</f>
        <v>m3</v>
      </c>
      <c r="G431" s="205">
        <v>0.29599999999999999</v>
      </c>
      <c r="H431" s="556">
        <f t="shared" ca="1" si="245"/>
        <v>0</v>
      </c>
      <c r="I431" s="556">
        <f ca="1">I$423*$G431</f>
        <v>0</v>
      </c>
      <c r="J431" s="556">
        <f t="shared" ca="1" si="246"/>
        <v>0</v>
      </c>
      <c r="K431" s="556">
        <f t="shared" ca="1" si="246"/>
        <v>0</v>
      </c>
      <c r="L431" s="556">
        <f t="shared" ca="1" si="246"/>
        <v>0</v>
      </c>
      <c r="M431" s="556"/>
      <c r="N431" s="556">
        <f t="shared" ca="1" si="246"/>
        <v>0</v>
      </c>
      <c r="O431" s="556">
        <f t="shared" si="246"/>
        <v>0</v>
      </c>
      <c r="P431" s="182">
        <f>VLOOKUP($B431,dongia1,DG!$F$5,)</f>
        <v>0</v>
      </c>
      <c r="Q431" s="182">
        <f>VLOOKUP($B431,dongia1,DG!$G$5,)</f>
        <v>296500.89999999997</v>
      </c>
      <c r="R431" s="554"/>
      <c r="S431" s="113">
        <f t="shared" si="247"/>
        <v>0</v>
      </c>
      <c r="T431" s="113">
        <f t="shared" si="248"/>
        <v>87764.266399999979</v>
      </c>
      <c r="U431" s="557">
        <f t="shared" si="249"/>
        <v>0</v>
      </c>
    </row>
    <row r="432" spans="1:21" s="552" customFormat="1" ht="15" hidden="1" customHeight="1">
      <c r="A432" s="621"/>
      <c r="B432" s="622" t="s">
        <v>501</v>
      </c>
      <c r="C432" s="558" t="str">
        <f t="shared" ca="1" si="244"/>
        <v xml:space="preserve"> </v>
      </c>
      <c r="D432" s="553"/>
      <c r="E432" s="694" t="str">
        <f>VLOOKUP($B432,dongia1,DG!$C$5,)</f>
        <v>Đắp đất hố móng, đất cấp 3 (độ chặt k = 0.85)</v>
      </c>
      <c r="F432" s="555" t="str">
        <f>VLOOKUP($B432,dongia1,DG!$D$5,)</f>
        <v>m3</v>
      </c>
      <c r="G432" s="205">
        <v>0.218</v>
      </c>
      <c r="H432" s="556">
        <f t="shared" ca="1" si="245"/>
        <v>0</v>
      </c>
      <c r="I432" s="556">
        <f t="shared" ca="1" si="246"/>
        <v>0</v>
      </c>
      <c r="J432" s="556">
        <f t="shared" ca="1" si="246"/>
        <v>0</v>
      </c>
      <c r="K432" s="556">
        <f t="shared" ca="1" si="246"/>
        <v>0</v>
      </c>
      <c r="L432" s="556">
        <f t="shared" ca="1" si="246"/>
        <v>0</v>
      </c>
      <c r="M432" s="556"/>
      <c r="N432" s="556">
        <f t="shared" ca="1" si="246"/>
        <v>0</v>
      </c>
      <c r="O432" s="556">
        <f t="shared" si="246"/>
        <v>0</v>
      </c>
      <c r="P432" s="182">
        <f>VLOOKUP($B432,dongia1,DG!$F$5,)</f>
        <v>0</v>
      </c>
      <c r="Q432" s="182">
        <f>VLOOKUP($B432,dongia1,DG!$G$5,)</f>
        <v>117703.6</v>
      </c>
      <c r="R432" s="554"/>
      <c r="S432" s="113">
        <f t="shared" si="247"/>
        <v>0</v>
      </c>
      <c r="T432" s="113">
        <f t="shared" si="248"/>
        <v>25659.3848</v>
      </c>
      <c r="U432" s="557">
        <f t="shared" si="249"/>
        <v>0</v>
      </c>
    </row>
    <row r="433" spans="1:21" s="552" customFormat="1" ht="15" hidden="1" customHeight="1">
      <c r="A433" s="621"/>
      <c r="B433" s="622" t="s">
        <v>1694</v>
      </c>
      <c r="C433" s="558" t="str">
        <f ca="1">+C428</f>
        <v xml:space="preserve"> </v>
      </c>
      <c r="D433" s="553"/>
      <c r="E433" s="694" t="str">
        <f>VLOOKUP($B433,dongia1,DG!$C$5,)</f>
        <v>Gia công và lắp dựng cốt thép D&lt;=10</v>
      </c>
      <c r="F433" s="555" t="str">
        <f>VLOOKUP($B433,dongia1,DG!$D$5,)</f>
        <v>kg</v>
      </c>
      <c r="G433" s="205">
        <f>G428</f>
        <v>0</v>
      </c>
      <c r="H433" s="556">
        <f t="shared" ca="1" si="245"/>
        <v>0</v>
      </c>
      <c r="I433" s="556">
        <f t="shared" ca="1" si="246"/>
        <v>0</v>
      </c>
      <c r="J433" s="556">
        <f t="shared" ca="1" si="246"/>
        <v>0</v>
      </c>
      <c r="K433" s="556">
        <f t="shared" ca="1" si="246"/>
        <v>0</v>
      </c>
      <c r="L433" s="556">
        <f t="shared" ca="1" si="246"/>
        <v>0</v>
      </c>
      <c r="M433" s="556"/>
      <c r="N433" s="556">
        <f t="shared" ca="1" si="246"/>
        <v>0</v>
      </c>
      <c r="O433" s="556">
        <f t="shared" si="246"/>
        <v>0</v>
      </c>
      <c r="P433" s="182">
        <f>VLOOKUP($B433,dongia1,DG!$F$5,)</f>
        <v>9814</v>
      </c>
      <c r="Q433" s="182">
        <f>VLOOKUP($B433,dongia1,DG!$G$5,)</f>
        <v>2965.3303999999998</v>
      </c>
      <c r="R433" s="554"/>
      <c r="S433" s="113">
        <f>$G433*P433</f>
        <v>0</v>
      </c>
      <c r="T433" s="113">
        <f>$G433*Q433</f>
        <v>0</v>
      </c>
      <c r="U433" s="557">
        <f>$G433*R433</f>
        <v>0</v>
      </c>
    </row>
    <row r="434" spans="1:21" s="552" customFormat="1" ht="15" hidden="1" customHeight="1">
      <c r="A434" s="621"/>
      <c r="B434" s="622" t="s">
        <v>70</v>
      </c>
      <c r="C434" s="558" t="str">
        <f ca="1">+C427</f>
        <v xml:space="preserve"> </v>
      </c>
      <c r="D434" s="553"/>
      <c r="E434" s="694" t="str">
        <f>VLOOKUP($B434,dongia1,DG!$C$5,)</f>
        <v>Đổ bê tông mác M100 đá 4x6 rộng &gt;250cm</v>
      </c>
      <c r="F434" s="555" t="str">
        <f>VLOOKUP($B434,dongia1,DG!$D$5,)</f>
        <v>m3</v>
      </c>
      <c r="G434" s="205">
        <v>3.5000000000000003E-2</v>
      </c>
      <c r="H434" s="556">
        <f t="shared" ref="H434:H435" ca="1" si="250">H$423*$G434</f>
        <v>0</v>
      </c>
      <c r="I434" s="556">
        <f t="shared" ca="1" si="246"/>
        <v>0</v>
      </c>
      <c r="J434" s="556">
        <f t="shared" ca="1" si="246"/>
        <v>0</v>
      </c>
      <c r="K434" s="556">
        <f t="shared" ca="1" si="246"/>
        <v>0</v>
      </c>
      <c r="L434" s="556">
        <f t="shared" ca="1" si="246"/>
        <v>0</v>
      </c>
      <c r="M434" s="556"/>
      <c r="N434" s="556">
        <f t="shared" ca="1" si="246"/>
        <v>0</v>
      </c>
      <c r="O434" s="556">
        <f t="shared" si="246"/>
        <v>0</v>
      </c>
      <c r="P434" s="182">
        <f>VLOOKUP($B434,dongia1,DG!$F$5,)</f>
        <v>371262</v>
      </c>
      <c r="Q434" s="182">
        <f>VLOOKUP($B434,dongia1,DG!$G$5,)</f>
        <v>414064.45</v>
      </c>
      <c r="R434" s="554"/>
      <c r="S434" s="113">
        <f t="shared" si="247"/>
        <v>12994.170000000002</v>
      </c>
      <c r="T434" s="113">
        <f t="shared" si="248"/>
        <v>14492.255750000002</v>
      </c>
      <c r="U434" s="557">
        <f t="shared" si="249"/>
        <v>0</v>
      </c>
    </row>
    <row r="435" spans="1:21" s="552" customFormat="1" ht="15" hidden="1" customHeight="1">
      <c r="A435" s="621"/>
      <c r="B435" s="622" t="s">
        <v>2066</v>
      </c>
      <c r="C435" s="633" t="str">
        <f ca="1">+C426</f>
        <v xml:space="preserve"> </v>
      </c>
      <c r="D435" s="553"/>
      <c r="E435" s="694" t="str">
        <f>VLOOKUP($B435,dongia1,DG!$C$5,)</f>
        <v>Đổ bê tông mác M200 đá 1x 2rộng &gt;250cm</v>
      </c>
      <c r="F435" s="555" t="str">
        <f>VLOOKUP($B435,dongia1,DG!$D$5,)</f>
        <v>m3</v>
      </c>
      <c r="G435" s="205">
        <v>5.0500000000000003E-2</v>
      </c>
      <c r="H435" s="556">
        <f t="shared" ca="1" si="250"/>
        <v>0</v>
      </c>
      <c r="I435" s="556">
        <f t="shared" ca="1" si="246"/>
        <v>0</v>
      </c>
      <c r="J435" s="556">
        <f t="shared" ca="1" si="246"/>
        <v>0</v>
      </c>
      <c r="K435" s="556">
        <f t="shared" ca="1" si="246"/>
        <v>0</v>
      </c>
      <c r="L435" s="556">
        <f t="shared" ca="1" si="246"/>
        <v>0</v>
      </c>
      <c r="M435" s="556"/>
      <c r="N435" s="556">
        <f t="shared" ca="1" si="246"/>
        <v>0</v>
      </c>
      <c r="O435" s="556">
        <f t="shared" si="246"/>
        <v>0</v>
      </c>
      <c r="P435" s="182">
        <f>VLOOKUP($B435,dongia1,DG!$F$5,)</f>
        <v>920580</v>
      </c>
      <c r="Q435" s="182">
        <f>VLOOKUP($B435,dongia1,DG!$G$5,)</f>
        <v>466397.5</v>
      </c>
      <c r="R435" s="554"/>
      <c r="S435" s="113">
        <f t="shared" si="247"/>
        <v>46489.29</v>
      </c>
      <c r="T435" s="113">
        <f t="shared" si="248"/>
        <v>23553.073750000003</v>
      </c>
      <c r="U435" s="557">
        <f t="shared" si="249"/>
        <v>0</v>
      </c>
    </row>
    <row r="436" spans="1:21" s="552" customFormat="1" ht="15" hidden="1" customHeight="1">
      <c r="A436" s="621" t="s">
        <v>1078</v>
      </c>
      <c r="B436" s="622"/>
      <c r="C436" s="558" t="str">
        <f ca="1">IF(H436&lt;&gt;0,"x"," ")</f>
        <v xml:space="preserve"> </v>
      </c>
      <c r="D436" s="553"/>
      <c r="E436" s="727" t="s">
        <v>3540</v>
      </c>
      <c r="F436" s="600" t="s">
        <v>3391</v>
      </c>
      <c r="G436" s="205"/>
      <c r="H436" s="556">
        <f ca="1">SUM(I436:N436)</f>
        <v>0</v>
      </c>
      <c r="I436" s="556">
        <f ca="1">SUMIF(mong3pm,chitiet!$A436,slmong3pm)</f>
        <v>0</v>
      </c>
      <c r="J436" s="556">
        <f ca="1">SUMIF(mongct,chitiet!$A436,slmongct)</f>
        <v>0</v>
      </c>
      <c r="K436" s="556">
        <f ca="1">SUMIF(mong3p1m,chitiet!$A436,slmong3p1m)</f>
        <v>0</v>
      </c>
      <c r="L436" s="556">
        <f ca="1">SUMIF(mong1pm,chitiet!$A436,slmong1pm)</f>
        <v>0</v>
      </c>
      <c r="M436" s="556">
        <f ca="1">SUMIF(monghthh,chitiet!$A436,slmonghthh)</f>
        <v>0</v>
      </c>
      <c r="N436" s="556">
        <f ca="1">SUMIF(mongHTDL,chitiet!$A436,SLmongHTDL)</f>
        <v>0</v>
      </c>
      <c r="O436" s="556"/>
      <c r="P436" s="554"/>
      <c r="Q436" s="554"/>
      <c r="R436" s="554"/>
      <c r="S436" s="601">
        <f>SUM(S437:S448)</f>
        <v>65593.460000000006</v>
      </c>
      <c r="T436" s="601">
        <f>SUM(T437:T448)</f>
        <v>151468.98069999999</v>
      </c>
      <c r="U436" s="602">
        <f>SUM(U437:U448)</f>
        <v>0</v>
      </c>
    </row>
    <row r="437" spans="1:21" s="552" customFormat="1" ht="31.5" hidden="1" customHeight="1">
      <c r="A437" s="621"/>
      <c r="B437" s="622" t="s">
        <v>1728</v>
      </c>
      <c r="C437" s="558" t="str">
        <f ca="1">C436</f>
        <v xml:space="preserve"> </v>
      </c>
      <c r="D437" s="553"/>
      <c r="E437" s="694" t="str">
        <f>VLOOKUP($B437,dongia1,DG!$C$5,)</f>
        <v>Ximăng</v>
      </c>
      <c r="F437" s="555" t="str">
        <f>VLOOKUP($B437,dongia1,DG!$D$5,)</f>
        <v>kg</v>
      </c>
      <c r="G437" s="205"/>
      <c r="H437" s="556">
        <f t="shared" ref="H437:H442" ca="1" si="251">SUM(I437:N437)</f>
        <v>0</v>
      </c>
      <c r="I437" s="556">
        <f t="shared" ref="I437:O448" ca="1" si="252">I$436*$G437</f>
        <v>0</v>
      </c>
      <c r="J437" s="556">
        <f t="shared" ca="1" si="252"/>
        <v>0</v>
      </c>
      <c r="K437" s="556">
        <f t="shared" ca="1" si="252"/>
        <v>0</v>
      </c>
      <c r="L437" s="556">
        <f t="shared" ca="1" si="252"/>
        <v>0</v>
      </c>
      <c r="M437" s="556"/>
      <c r="N437" s="556">
        <f t="shared" ca="1" si="252"/>
        <v>0</v>
      </c>
      <c r="O437" s="556">
        <f t="shared" si="252"/>
        <v>0</v>
      </c>
      <c r="P437" s="182">
        <f>VLOOKUP($B437,dongia1,DG!$F$5,)</f>
        <v>1740</v>
      </c>
      <c r="Q437" s="182"/>
      <c r="R437" s="554"/>
      <c r="S437" s="113">
        <f t="shared" ref="S437:S448" si="253">$G437*P437</f>
        <v>0</v>
      </c>
      <c r="T437" s="113">
        <f t="shared" ref="T437:T448" si="254">$G437*Q437</f>
        <v>0</v>
      </c>
      <c r="U437" s="557">
        <f t="shared" ref="U437:U448" si="255">$G437*R437</f>
        <v>0</v>
      </c>
    </row>
    <row r="438" spans="1:21" s="552" customFormat="1" ht="15" hidden="1" customHeight="1">
      <c r="A438" s="621"/>
      <c r="B438" s="622" t="s">
        <v>1729</v>
      </c>
      <c r="C438" s="558" t="str">
        <f ca="1">C437</f>
        <v xml:space="preserve"> </v>
      </c>
      <c r="D438" s="553"/>
      <c r="E438" s="694" t="str">
        <f>VLOOKUP($B438,dongia1,DG!$C$5,)</f>
        <v>Cát vàng</v>
      </c>
      <c r="F438" s="555" t="str">
        <f>VLOOKUP($B438,dongia1,DG!$D$5,)</f>
        <v>m3</v>
      </c>
      <c r="G438" s="205"/>
      <c r="H438" s="556">
        <f t="shared" ca="1" si="251"/>
        <v>0</v>
      </c>
      <c r="I438" s="556">
        <f t="shared" ca="1" si="252"/>
        <v>0</v>
      </c>
      <c r="J438" s="556">
        <f t="shared" ca="1" si="252"/>
        <v>0</v>
      </c>
      <c r="K438" s="556">
        <f t="shared" ca="1" si="252"/>
        <v>0</v>
      </c>
      <c r="L438" s="556">
        <f t="shared" ca="1" si="252"/>
        <v>0</v>
      </c>
      <c r="M438" s="556"/>
      <c r="N438" s="556">
        <f t="shared" ca="1" si="252"/>
        <v>0</v>
      </c>
      <c r="O438" s="556">
        <f t="shared" si="252"/>
        <v>0</v>
      </c>
      <c r="P438" s="182">
        <f>VLOOKUP($B438,dongia1,DG!$F$5,)</f>
        <v>512000</v>
      </c>
      <c r="Q438" s="182"/>
      <c r="R438" s="554"/>
      <c r="S438" s="113">
        <f t="shared" si="253"/>
        <v>0</v>
      </c>
      <c r="T438" s="113">
        <f t="shared" si="254"/>
        <v>0</v>
      </c>
      <c r="U438" s="557">
        <f t="shared" si="255"/>
        <v>0</v>
      </c>
    </row>
    <row r="439" spans="1:21" s="552" customFormat="1" ht="15" hidden="1" customHeight="1">
      <c r="A439" s="621"/>
      <c r="B439" s="622" t="s">
        <v>853</v>
      </c>
      <c r="C439" s="558" t="str">
        <f ca="1">C438</f>
        <v xml:space="preserve"> </v>
      </c>
      <c r="D439" s="553"/>
      <c r="E439" s="694" t="str">
        <f>VLOOKUP($B439,dongia1,DG!$C$5,)</f>
        <v>Đá 1x2</v>
      </c>
      <c r="F439" s="555" t="str">
        <f>VLOOKUP($B439,dongia1,DG!$D$5,)</f>
        <v>m3</v>
      </c>
      <c r="G439" s="205"/>
      <c r="H439" s="556">
        <f t="shared" ca="1" si="251"/>
        <v>0</v>
      </c>
      <c r="I439" s="556">
        <f t="shared" ca="1" si="252"/>
        <v>0</v>
      </c>
      <c r="J439" s="556">
        <f t="shared" ca="1" si="252"/>
        <v>0</v>
      </c>
      <c r="K439" s="556">
        <f t="shared" ca="1" si="252"/>
        <v>0</v>
      </c>
      <c r="L439" s="556">
        <f t="shared" ca="1" si="252"/>
        <v>0</v>
      </c>
      <c r="M439" s="556"/>
      <c r="N439" s="556">
        <f t="shared" ca="1" si="252"/>
        <v>0</v>
      </c>
      <c r="O439" s="556">
        <f t="shared" si="252"/>
        <v>0</v>
      </c>
      <c r="P439" s="182">
        <f>VLOOKUP($B439,dongia1,DG!$F$5,)</f>
        <v>335000</v>
      </c>
      <c r="Q439" s="182"/>
      <c r="R439" s="554"/>
      <c r="S439" s="113">
        <f t="shared" si="253"/>
        <v>0</v>
      </c>
      <c r="T439" s="113">
        <f t="shared" si="254"/>
        <v>0</v>
      </c>
      <c r="U439" s="557">
        <f t="shared" si="255"/>
        <v>0</v>
      </c>
    </row>
    <row r="440" spans="1:21" s="552" customFormat="1" ht="15" hidden="1" customHeight="1">
      <c r="A440" s="621"/>
      <c r="B440" s="622" t="s">
        <v>275</v>
      </c>
      <c r="C440" s="558" t="str">
        <f ca="1">C439</f>
        <v xml:space="preserve"> </v>
      </c>
      <c r="D440" s="553"/>
      <c r="E440" s="694" t="str">
        <f>VLOOKUP($B440,dongia1,DG!$C$5,)</f>
        <v>Đá 4x6</v>
      </c>
      <c r="F440" s="555" t="str">
        <f>VLOOKUP($B440,dongia1,DG!$D$5,)</f>
        <v>m3</v>
      </c>
      <c r="G440" s="205"/>
      <c r="H440" s="556">
        <f t="shared" ca="1" si="251"/>
        <v>0</v>
      </c>
      <c r="I440" s="556">
        <f t="shared" ca="1" si="252"/>
        <v>0</v>
      </c>
      <c r="J440" s="556">
        <f t="shared" ca="1" si="252"/>
        <v>0</v>
      </c>
      <c r="K440" s="556">
        <f t="shared" ca="1" si="252"/>
        <v>0</v>
      </c>
      <c r="L440" s="556">
        <f t="shared" ca="1" si="252"/>
        <v>0</v>
      </c>
      <c r="M440" s="556"/>
      <c r="N440" s="556">
        <f t="shared" ca="1" si="252"/>
        <v>0</v>
      </c>
      <c r="O440" s="556">
        <f t="shared" si="252"/>
        <v>0</v>
      </c>
      <c r="P440" s="182">
        <f>VLOOKUP($B440,dongia1,DG!$F$5,)</f>
        <v>265000</v>
      </c>
      <c r="Q440" s="182"/>
      <c r="R440" s="554"/>
      <c r="S440" s="113">
        <f t="shared" si="253"/>
        <v>0</v>
      </c>
      <c r="T440" s="113">
        <f t="shared" si="254"/>
        <v>0</v>
      </c>
      <c r="U440" s="557">
        <f t="shared" si="255"/>
        <v>0</v>
      </c>
    </row>
    <row r="441" spans="1:21" s="552" customFormat="1" ht="15" hidden="1" customHeight="1">
      <c r="A441" s="621"/>
      <c r="B441" s="622" t="s">
        <v>577</v>
      </c>
      <c r="C441" s="558" t="str">
        <f ca="1">C440</f>
        <v xml:space="preserve"> </v>
      </c>
      <c r="D441" s="553"/>
      <c r="E441" s="694" t="str">
        <f>VLOOKUP($B441,dongia1,DG!$C$5,)</f>
        <v>Sắt   Þ6</v>
      </c>
      <c r="F441" s="555" t="str">
        <f>VLOOKUP($B441,dongia1,DG!$D$5,)</f>
        <v>kg</v>
      </c>
      <c r="G441" s="205"/>
      <c r="H441" s="556">
        <f t="shared" ca="1" si="251"/>
        <v>0</v>
      </c>
      <c r="I441" s="556">
        <f t="shared" ca="1" si="252"/>
        <v>0</v>
      </c>
      <c r="J441" s="556">
        <f t="shared" ca="1" si="252"/>
        <v>0</v>
      </c>
      <c r="K441" s="556">
        <f t="shared" ca="1" si="252"/>
        <v>0</v>
      </c>
      <c r="L441" s="556">
        <f t="shared" ca="1" si="252"/>
        <v>0</v>
      </c>
      <c r="M441" s="556"/>
      <c r="N441" s="556">
        <f t="shared" ca="1" si="252"/>
        <v>0</v>
      </c>
      <c r="O441" s="556">
        <f t="shared" si="252"/>
        <v>0</v>
      </c>
      <c r="P441" s="182">
        <f>VLOOKUP($B441,dongia1,DG!$F$5,)</f>
        <v>13200</v>
      </c>
      <c r="Q441" s="182"/>
      <c r="R441" s="554"/>
      <c r="S441" s="113">
        <f>$G441*P441</f>
        <v>0</v>
      </c>
      <c r="T441" s="113">
        <f>$G441*Q441</f>
        <v>0</v>
      </c>
      <c r="U441" s="557">
        <f>$G441*R441</f>
        <v>0</v>
      </c>
    </row>
    <row r="442" spans="1:21" s="552" customFormat="1" ht="15" hidden="1" customHeight="1">
      <c r="A442" s="621"/>
      <c r="B442" s="622" t="s">
        <v>806</v>
      </c>
      <c r="C442" s="558" t="str">
        <f ca="1">C440</f>
        <v xml:space="preserve"> </v>
      </c>
      <c r="D442" s="553"/>
      <c r="E442" s="694" t="str">
        <f>VLOOKUP($B442,dongia1,DG!$C$5,)</f>
        <v>Gỗ ván khuôn</v>
      </c>
      <c r="F442" s="555" t="str">
        <f>VLOOKUP($B442,dongia1,DG!$D$5,)</f>
        <v>m3</v>
      </c>
      <c r="G442" s="205"/>
      <c r="H442" s="556">
        <f t="shared" ca="1" si="251"/>
        <v>0</v>
      </c>
      <c r="I442" s="556">
        <f t="shared" ca="1" si="252"/>
        <v>0</v>
      </c>
      <c r="J442" s="556">
        <f t="shared" ca="1" si="252"/>
        <v>0</v>
      </c>
      <c r="K442" s="556">
        <f t="shared" ca="1" si="252"/>
        <v>0</v>
      </c>
      <c r="L442" s="556">
        <f t="shared" ca="1" si="252"/>
        <v>0</v>
      </c>
      <c r="M442" s="556"/>
      <c r="N442" s="556">
        <f t="shared" ca="1" si="252"/>
        <v>0</v>
      </c>
      <c r="O442" s="556">
        <f t="shared" si="252"/>
        <v>0</v>
      </c>
      <c r="P442" s="182">
        <f>VLOOKUP($B442,dongia1,DG!$F$5,)</f>
        <v>1818000</v>
      </c>
      <c r="Q442" s="182">
        <f>VLOOKUP($B442,dongia1,DG!$G$5,)</f>
        <v>0</v>
      </c>
      <c r="R442" s="554"/>
      <c r="S442" s="113">
        <f t="shared" si="253"/>
        <v>0</v>
      </c>
      <c r="T442" s="113">
        <f t="shared" si="254"/>
        <v>0</v>
      </c>
      <c r="U442" s="557">
        <f t="shared" si="255"/>
        <v>0</v>
      </c>
    </row>
    <row r="443" spans="1:21" s="552" customFormat="1" ht="15" hidden="1" customHeight="1">
      <c r="A443" s="621"/>
      <c r="B443" s="622" t="s">
        <v>353</v>
      </c>
      <c r="C443" s="558" t="str">
        <f ca="1">C440</f>
        <v xml:space="preserve"> </v>
      </c>
      <c r="D443" s="553"/>
      <c r="E443" s="694" t="str">
        <f>VLOOKUP($B443,dongia1,DG!$C$5,)</f>
        <v>Dây thép buộc A70</v>
      </c>
      <c r="F443" s="555" t="str">
        <f>VLOOKUP($B443,dongia1,DG!$D$5,)</f>
        <v>kg</v>
      </c>
      <c r="G443" s="205">
        <v>0.1</v>
      </c>
      <c r="H443" s="556">
        <f t="shared" ref="H443:H448" ca="1" si="256">H$436*$G443</f>
        <v>0</v>
      </c>
      <c r="I443" s="556">
        <f t="shared" ca="1" si="252"/>
        <v>0</v>
      </c>
      <c r="J443" s="556">
        <f t="shared" ca="1" si="252"/>
        <v>0</v>
      </c>
      <c r="K443" s="556">
        <f t="shared" ca="1" si="252"/>
        <v>0</v>
      </c>
      <c r="L443" s="556">
        <f t="shared" ca="1" si="252"/>
        <v>0</v>
      </c>
      <c r="M443" s="556"/>
      <c r="N443" s="556">
        <f t="shared" ca="1" si="252"/>
        <v>0</v>
      </c>
      <c r="O443" s="556">
        <f t="shared" si="252"/>
        <v>0</v>
      </c>
      <c r="P443" s="182">
        <f>VLOOKUP($B443,dongia1,DG!$F$5,)</f>
        <v>61100</v>
      </c>
      <c r="Q443" s="182">
        <f>VLOOKUP($B443,dongia1,DG!$G$5,)</f>
        <v>0</v>
      </c>
      <c r="R443" s="554"/>
      <c r="S443" s="113">
        <f>$G443*P443</f>
        <v>6110</v>
      </c>
      <c r="T443" s="113">
        <f>$G443*Q443</f>
        <v>0</v>
      </c>
      <c r="U443" s="557">
        <f>$G443*R443</f>
        <v>0</v>
      </c>
    </row>
    <row r="444" spans="1:21" s="552" customFormat="1" ht="15" hidden="1" customHeight="1">
      <c r="A444" s="621"/>
      <c r="B444" s="622" t="s">
        <v>1645</v>
      </c>
      <c r="C444" s="558" t="str">
        <f ca="1">C439</f>
        <v xml:space="preserve"> </v>
      </c>
      <c r="D444" s="553"/>
      <c r="E444" s="694" t="str">
        <f>VLOOKUP($B444,dongia1,DG!$C$5,)</f>
        <v>Đào hố móng đất cấp 3 sâu &gt;1m DT&lt;5m2</v>
      </c>
      <c r="F444" s="555" t="str">
        <f>VLOOKUP($B444,dongia1,DG!$D$5,)</f>
        <v>m3</v>
      </c>
      <c r="G444" s="205">
        <v>0.29599999999999999</v>
      </c>
      <c r="H444" s="556">
        <f t="shared" ca="1" si="256"/>
        <v>0</v>
      </c>
      <c r="I444" s="556">
        <f t="shared" ca="1" si="252"/>
        <v>0</v>
      </c>
      <c r="J444" s="556">
        <f t="shared" ca="1" si="252"/>
        <v>0</v>
      </c>
      <c r="K444" s="556">
        <f t="shared" ca="1" si="252"/>
        <v>0</v>
      </c>
      <c r="L444" s="556">
        <f t="shared" ca="1" si="252"/>
        <v>0</v>
      </c>
      <c r="M444" s="556"/>
      <c r="N444" s="556">
        <f t="shared" ca="1" si="252"/>
        <v>0</v>
      </c>
      <c r="O444" s="556">
        <f t="shared" si="252"/>
        <v>0</v>
      </c>
      <c r="P444" s="182">
        <f>VLOOKUP($B444,dongia1,DG!$F$5,)</f>
        <v>0</v>
      </c>
      <c r="Q444" s="182">
        <f>VLOOKUP($B444,dongia1,DG!$G$5,)</f>
        <v>296500.89999999997</v>
      </c>
      <c r="R444" s="554"/>
      <c r="S444" s="113">
        <f t="shared" si="253"/>
        <v>0</v>
      </c>
      <c r="T444" s="113">
        <f t="shared" si="254"/>
        <v>87764.266399999979</v>
      </c>
      <c r="U444" s="557">
        <f t="shared" si="255"/>
        <v>0</v>
      </c>
    </row>
    <row r="445" spans="1:21" s="552" customFormat="1" ht="15" hidden="1" customHeight="1">
      <c r="A445" s="621"/>
      <c r="B445" s="622" t="s">
        <v>501</v>
      </c>
      <c r="C445" s="558" t="str">
        <f ca="1">C444</f>
        <v xml:space="preserve"> </v>
      </c>
      <c r="D445" s="553"/>
      <c r="E445" s="694" t="str">
        <f>VLOOKUP($B445,dongia1,DG!$C$5,)</f>
        <v>Đắp đất hố móng, đất cấp 3 (độ chặt k = 0.85)</v>
      </c>
      <c r="F445" s="555" t="str">
        <f>VLOOKUP($B445,dongia1,DG!$D$5,)</f>
        <v>m3</v>
      </c>
      <c r="G445" s="205">
        <v>0.218</v>
      </c>
      <c r="H445" s="556">
        <f t="shared" ca="1" si="256"/>
        <v>0</v>
      </c>
      <c r="I445" s="556">
        <f t="shared" ca="1" si="252"/>
        <v>0</v>
      </c>
      <c r="J445" s="556">
        <f t="shared" ca="1" si="252"/>
        <v>0</v>
      </c>
      <c r="K445" s="556">
        <f t="shared" ca="1" si="252"/>
        <v>0</v>
      </c>
      <c r="L445" s="556">
        <f t="shared" ca="1" si="252"/>
        <v>0</v>
      </c>
      <c r="M445" s="556"/>
      <c r="N445" s="556">
        <f t="shared" ca="1" si="252"/>
        <v>0</v>
      </c>
      <c r="O445" s="556">
        <f t="shared" si="252"/>
        <v>0</v>
      </c>
      <c r="P445" s="182">
        <f>VLOOKUP($B445,dongia1,DG!$F$5,)</f>
        <v>0</v>
      </c>
      <c r="Q445" s="182">
        <f>VLOOKUP($B445,dongia1,DG!$G$5,)</f>
        <v>117703.6</v>
      </c>
      <c r="R445" s="554"/>
      <c r="S445" s="113">
        <f t="shared" si="253"/>
        <v>0</v>
      </c>
      <c r="T445" s="113">
        <f t="shared" si="254"/>
        <v>25659.3848</v>
      </c>
      <c r="U445" s="557">
        <f t="shared" si="255"/>
        <v>0</v>
      </c>
    </row>
    <row r="446" spans="1:21" s="552" customFormat="1" ht="15" hidden="1" customHeight="1">
      <c r="A446" s="621"/>
      <c r="B446" s="622" t="s">
        <v>1694</v>
      </c>
      <c r="C446" s="558" t="str">
        <f ca="1">+C441</f>
        <v xml:space="preserve"> </v>
      </c>
      <c r="D446" s="553"/>
      <c r="E446" s="694" t="str">
        <f>VLOOKUP($B446,dongia1,DG!$C$5,)</f>
        <v>Gia công và lắp dựng cốt thép D&lt;=10</v>
      </c>
      <c r="F446" s="555" t="str">
        <f>VLOOKUP($B446,dongia1,DG!$D$5,)</f>
        <v>kg</v>
      </c>
      <c r="G446" s="205">
        <f>G441</f>
        <v>0</v>
      </c>
      <c r="H446" s="556">
        <f t="shared" ca="1" si="256"/>
        <v>0</v>
      </c>
      <c r="I446" s="556">
        <f t="shared" ca="1" si="252"/>
        <v>0</v>
      </c>
      <c r="J446" s="556">
        <f t="shared" ca="1" si="252"/>
        <v>0</v>
      </c>
      <c r="K446" s="556">
        <f t="shared" ca="1" si="252"/>
        <v>0</v>
      </c>
      <c r="L446" s="556">
        <f t="shared" ca="1" si="252"/>
        <v>0</v>
      </c>
      <c r="M446" s="556"/>
      <c r="N446" s="556">
        <f t="shared" ca="1" si="252"/>
        <v>0</v>
      </c>
      <c r="O446" s="556">
        <f t="shared" si="252"/>
        <v>0</v>
      </c>
      <c r="P446" s="182">
        <f>VLOOKUP($B446,dongia1,DG!$F$5,)</f>
        <v>9814</v>
      </c>
      <c r="Q446" s="182">
        <f>VLOOKUP($B446,dongia1,DG!$G$5,)</f>
        <v>2965.3303999999998</v>
      </c>
      <c r="R446" s="554"/>
      <c r="S446" s="113">
        <f>$G446*P446</f>
        <v>0</v>
      </c>
      <c r="T446" s="113">
        <f>$G446*Q446</f>
        <v>0</v>
      </c>
      <c r="U446" s="557">
        <f>$G446*R446</f>
        <v>0</v>
      </c>
    </row>
    <row r="447" spans="1:21" s="552" customFormat="1" ht="15" hidden="1" customHeight="1">
      <c r="A447" s="621"/>
      <c r="B447" s="622" t="s">
        <v>70</v>
      </c>
      <c r="C447" s="558" t="str">
        <f ca="1">+C440</f>
        <v xml:space="preserve"> </v>
      </c>
      <c r="D447" s="553"/>
      <c r="E447" s="694" t="str">
        <f>VLOOKUP($B447,dongia1,DG!$C$5,)</f>
        <v>Đổ bê tông mác M100 đá 4x6 rộng &gt;250cm</v>
      </c>
      <c r="F447" s="555" t="str">
        <f>VLOOKUP($B447,dongia1,DG!$D$5,)</f>
        <v>m3</v>
      </c>
      <c r="G447" s="205">
        <v>3.5000000000000003E-2</v>
      </c>
      <c r="H447" s="556">
        <f t="shared" ca="1" si="256"/>
        <v>0</v>
      </c>
      <c r="I447" s="556">
        <f t="shared" ca="1" si="252"/>
        <v>0</v>
      </c>
      <c r="J447" s="556">
        <f t="shared" ca="1" si="252"/>
        <v>0</v>
      </c>
      <c r="K447" s="556">
        <f t="shared" ca="1" si="252"/>
        <v>0</v>
      </c>
      <c r="L447" s="556">
        <f t="shared" ca="1" si="252"/>
        <v>0</v>
      </c>
      <c r="M447" s="556"/>
      <c r="N447" s="556">
        <f t="shared" ca="1" si="252"/>
        <v>0</v>
      </c>
      <c r="O447" s="556">
        <f t="shared" si="252"/>
        <v>0</v>
      </c>
      <c r="P447" s="182">
        <f>VLOOKUP($B447,dongia1,DG!$F$5,)</f>
        <v>371262</v>
      </c>
      <c r="Q447" s="182">
        <f>VLOOKUP($B447,dongia1,DG!$G$5,)</f>
        <v>414064.45</v>
      </c>
      <c r="R447" s="554"/>
      <c r="S447" s="113">
        <f t="shared" si="253"/>
        <v>12994.170000000002</v>
      </c>
      <c r="T447" s="113">
        <f t="shared" si="254"/>
        <v>14492.255750000002</v>
      </c>
      <c r="U447" s="557">
        <f t="shared" si="255"/>
        <v>0</v>
      </c>
    </row>
    <row r="448" spans="1:21" s="552" customFormat="1" ht="15" hidden="1" customHeight="1">
      <c r="A448" s="621"/>
      <c r="B448" s="622" t="s">
        <v>2066</v>
      </c>
      <c r="C448" s="633" t="str">
        <f ca="1">IF(G448&lt;&gt;0,$C$423," ")</f>
        <v xml:space="preserve"> </v>
      </c>
      <c r="D448" s="553"/>
      <c r="E448" s="694" t="str">
        <f>VLOOKUP($B448,dongia1,DG!$C$5,)</f>
        <v>Đổ bê tông mác M200 đá 1x 2rộng &gt;250cm</v>
      </c>
      <c r="F448" s="555" t="str">
        <f>VLOOKUP($B448,dongia1,DG!$D$5,)</f>
        <v>m3</v>
      </c>
      <c r="G448" s="205">
        <v>5.0500000000000003E-2</v>
      </c>
      <c r="H448" s="556">
        <f t="shared" ca="1" si="256"/>
        <v>0</v>
      </c>
      <c r="I448" s="556">
        <f t="shared" ca="1" si="252"/>
        <v>0</v>
      </c>
      <c r="J448" s="556">
        <f t="shared" ca="1" si="252"/>
        <v>0</v>
      </c>
      <c r="K448" s="556">
        <f t="shared" ca="1" si="252"/>
        <v>0</v>
      </c>
      <c r="L448" s="556">
        <f t="shared" ca="1" si="252"/>
        <v>0</v>
      </c>
      <c r="M448" s="556"/>
      <c r="N448" s="556">
        <f t="shared" ca="1" si="252"/>
        <v>0</v>
      </c>
      <c r="O448" s="556">
        <f t="shared" si="252"/>
        <v>0</v>
      </c>
      <c r="P448" s="182">
        <f>VLOOKUP($B448,dongia1,DG!$F$5,)</f>
        <v>920580</v>
      </c>
      <c r="Q448" s="182">
        <f>VLOOKUP($B448,dongia1,DG!$G$5,)</f>
        <v>466397.5</v>
      </c>
      <c r="R448" s="554"/>
      <c r="S448" s="113">
        <f t="shared" si="253"/>
        <v>46489.29</v>
      </c>
      <c r="T448" s="113">
        <f t="shared" si="254"/>
        <v>23553.073750000003</v>
      </c>
      <c r="U448" s="557">
        <f t="shared" si="255"/>
        <v>0</v>
      </c>
    </row>
    <row r="449" spans="1:21" s="552" customFormat="1" ht="15" hidden="1" customHeight="1">
      <c r="A449" s="621" t="s">
        <v>739</v>
      </c>
      <c r="B449" s="622"/>
      <c r="C449" s="558" t="str">
        <f ca="1">IF(H449&lt;&gt;0,"x"," ")</f>
        <v xml:space="preserve"> </v>
      </c>
      <c r="D449" s="553"/>
      <c r="E449" s="727" t="s">
        <v>3541</v>
      </c>
      <c r="F449" s="600" t="s">
        <v>2113</v>
      </c>
      <c r="G449" s="205"/>
      <c r="H449" s="556">
        <f ca="1">SUM(I449:O449)</f>
        <v>0</v>
      </c>
      <c r="I449" s="556">
        <f ca="1">SUMIF(tdll3pm,chitiet!$E449,sltdll3pm)</f>
        <v>0</v>
      </c>
      <c r="J449" s="556">
        <f ca="1">SUMIF(tdllct,chitiet!$E449,sltdllct)</f>
        <v>0</v>
      </c>
      <c r="K449" s="556">
        <f ca="1">SUMIF(tdll3p1m,chitiet!$E449,sltdll3p1m)</f>
        <v>0</v>
      </c>
      <c r="L449" s="556">
        <f ca="1">SUMIF(tdll1pm,chitiet!$E449,sltdll1pm)</f>
        <v>0</v>
      </c>
      <c r="M449" s="556">
        <f ca="1">SUMIF(tdllHTHH,chitiet!$E449,sltdllhthh)</f>
        <v>0</v>
      </c>
      <c r="N449" s="556">
        <f ca="1">SUMIF(tdllHTDL,chitiet!$E449,sltdllhtdl)</f>
        <v>0</v>
      </c>
      <c r="O449" s="556">
        <f ca="1">SUMIF(tdllHTCS,chitiet!$E449,sltdllHTCS)</f>
        <v>0</v>
      </c>
      <c r="P449" s="554"/>
      <c r="Q449" s="554"/>
      <c r="R449" s="554"/>
      <c r="S449" s="601">
        <f>SUM(S450:S454)</f>
        <v>1487130</v>
      </c>
      <c r="T449" s="601">
        <f>SUM(T450:T454)</f>
        <v>99793.755000000005</v>
      </c>
      <c r="U449" s="602">
        <f>SUM(U450:U454)</f>
        <v>0</v>
      </c>
    </row>
    <row r="450" spans="1:21" s="552" customFormat="1" ht="15" hidden="1" customHeight="1">
      <c r="A450" s="621"/>
      <c r="B450" s="622" t="s">
        <v>584</v>
      </c>
      <c r="C450" s="558" t="str">
        <f ca="1">C449</f>
        <v xml:space="preserve"> </v>
      </c>
      <c r="D450" s="553"/>
      <c r="E450" s="694" t="str">
        <f>VLOOKUP($B450,dongia1,DG!$C$5,)</f>
        <v>Cáp đồng trần M25mm2</v>
      </c>
      <c r="F450" s="555" t="str">
        <f>VLOOKUP($B450,dongia1,DG!$D$5,)</f>
        <v>kg</v>
      </c>
      <c r="G450" s="205">
        <v>3.66</v>
      </c>
      <c r="H450" s="556">
        <f ca="1">H$449*$G450</f>
        <v>0</v>
      </c>
      <c r="I450" s="556">
        <f t="shared" ref="I450:O454" ca="1" si="257">I$449*$G450</f>
        <v>0</v>
      </c>
      <c r="J450" s="556">
        <f t="shared" ca="1" si="257"/>
        <v>0</v>
      </c>
      <c r="K450" s="556">
        <f t="shared" ca="1" si="257"/>
        <v>0</v>
      </c>
      <c r="L450" s="556">
        <f t="shared" ca="1" si="257"/>
        <v>0</v>
      </c>
      <c r="M450" s="556"/>
      <c r="N450" s="556">
        <f t="shared" ca="1" si="257"/>
        <v>0</v>
      </c>
      <c r="O450" s="556">
        <f t="shared" ca="1" si="257"/>
        <v>0</v>
      </c>
      <c r="P450" s="182">
        <f>VLOOKUP($B450,dongia1,DG!$F$5,)</f>
        <v>255500</v>
      </c>
      <c r="Q450" s="554"/>
      <c r="R450" s="554"/>
      <c r="S450" s="113">
        <f t="shared" ref="S450:U454" si="258">$G450*P450</f>
        <v>935130</v>
      </c>
      <c r="T450" s="113">
        <f t="shared" si="258"/>
        <v>0</v>
      </c>
      <c r="U450" s="557">
        <f t="shared" si="258"/>
        <v>0</v>
      </c>
    </row>
    <row r="451" spans="1:21" s="552" customFormat="1" ht="15" hidden="1" customHeight="1">
      <c r="A451" s="621"/>
      <c r="B451" s="622" t="s">
        <v>1098</v>
      </c>
      <c r="C451" s="558" t="str">
        <f ca="1">C450</f>
        <v xml:space="preserve"> </v>
      </c>
      <c r="D451" s="553"/>
      <c r="E451" s="694" t="str">
        <f>VLOOKUP($B451,dongia1,DG!$C$5,)</f>
        <v>Cọc tiếp đất Þ 16- 2,4m + kẹp cọc</v>
      </c>
      <c r="F451" s="555" t="str">
        <f>VLOOKUP($B451,dongia1,DG!$D$5,)</f>
        <v>bộ</v>
      </c>
      <c r="G451" s="205">
        <v>3</v>
      </c>
      <c r="H451" s="556">
        <f ca="1">H$449*$G451</f>
        <v>0</v>
      </c>
      <c r="I451" s="556">
        <f t="shared" ca="1" si="257"/>
        <v>0</v>
      </c>
      <c r="J451" s="556">
        <f t="shared" ca="1" si="257"/>
        <v>0</v>
      </c>
      <c r="K451" s="556">
        <f t="shared" ca="1" si="257"/>
        <v>0</v>
      </c>
      <c r="L451" s="556">
        <f t="shared" ca="1" si="257"/>
        <v>0</v>
      </c>
      <c r="M451" s="556"/>
      <c r="N451" s="556">
        <f t="shared" ca="1" si="257"/>
        <v>0</v>
      </c>
      <c r="O451" s="556">
        <f t="shared" ca="1" si="257"/>
        <v>0</v>
      </c>
      <c r="P451" s="182">
        <f>VLOOKUP($B451,dongia1,DG!$F$5,)</f>
        <v>160000</v>
      </c>
      <c r="Q451" s="554"/>
      <c r="R451" s="554"/>
      <c r="S451" s="113">
        <f t="shared" si="258"/>
        <v>480000</v>
      </c>
      <c r="T451" s="113">
        <f t="shared" si="258"/>
        <v>0</v>
      </c>
      <c r="U451" s="557">
        <f t="shared" si="258"/>
        <v>0</v>
      </c>
    </row>
    <row r="452" spans="1:21" s="552" customFormat="1" ht="15" hidden="1" customHeight="1">
      <c r="A452" s="621"/>
      <c r="B452" s="622" t="s">
        <v>2027</v>
      </c>
      <c r="C452" s="558" t="str">
        <f ca="1">C451</f>
        <v xml:space="preserve"> </v>
      </c>
      <c r="D452" s="553"/>
      <c r="E452" s="694" t="str">
        <f>VLOOKUP($B452,dongia1,DG!$C$5,)</f>
        <v>Kẹp 2 rãnh đồng-nhôm 50mm2</v>
      </c>
      <c r="F452" s="555" t="str">
        <f>VLOOKUP($B452,dongia1,DG!$D$5,)</f>
        <v>cái</v>
      </c>
      <c r="G452" s="205">
        <v>2</v>
      </c>
      <c r="H452" s="556">
        <f ca="1">H$449*$G452</f>
        <v>0</v>
      </c>
      <c r="I452" s="556">
        <f t="shared" ca="1" si="257"/>
        <v>0</v>
      </c>
      <c r="J452" s="556">
        <f t="shared" ca="1" si="257"/>
        <v>0</v>
      </c>
      <c r="K452" s="556">
        <f t="shared" ca="1" si="257"/>
        <v>0</v>
      </c>
      <c r="L452" s="556">
        <f t="shared" ca="1" si="257"/>
        <v>0</v>
      </c>
      <c r="M452" s="556"/>
      <c r="N452" s="556">
        <f t="shared" ca="1" si="257"/>
        <v>0</v>
      </c>
      <c r="O452" s="556">
        <f t="shared" ca="1" si="257"/>
        <v>0</v>
      </c>
      <c r="P452" s="182">
        <f>VLOOKUP($B452,dongia1,DG!$F$5,)</f>
        <v>36000</v>
      </c>
      <c r="Q452" s="182"/>
      <c r="R452" s="554"/>
      <c r="S452" s="113">
        <f t="shared" si="258"/>
        <v>72000</v>
      </c>
      <c r="T452" s="113">
        <f t="shared" si="258"/>
        <v>0</v>
      </c>
      <c r="U452" s="557">
        <f t="shared" si="258"/>
        <v>0</v>
      </c>
    </row>
    <row r="453" spans="1:21" s="552" customFormat="1" ht="15" hidden="1" customHeight="1">
      <c r="A453" s="621"/>
      <c r="B453" s="622" t="s">
        <v>1859</v>
      </c>
      <c r="C453" s="558" t="str">
        <f ca="1">C452</f>
        <v xml:space="preserve"> </v>
      </c>
      <c r="D453" s="553"/>
      <c r="E453" s="694" t="str">
        <f>VLOOKUP($B453,dongia1,DG!$C$5,)</f>
        <v xml:space="preserve">Kéo dây tiếp địa </v>
      </c>
      <c r="F453" s="555" t="str">
        <f>VLOOKUP($B453,dongia1,DG!$D$5,)</f>
        <v>kg</v>
      </c>
      <c r="G453" s="205">
        <f>G450</f>
        <v>3.66</v>
      </c>
      <c r="H453" s="556">
        <f ca="1">H$449*$G453</f>
        <v>0</v>
      </c>
      <c r="I453" s="556">
        <f t="shared" ca="1" si="257"/>
        <v>0</v>
      </c>
      <c r="J453" s="556">
        <f t="shared" ca="1" si="257"/>
        <v>0</v>
      </c>
      <c r="K453" s="556">
        <f t="shared" ca="1" si="257"/>
        <v>0</v>
      </c>
      <c r="L453" s="556">
        <f t="shared" ca="1" si="257"/>
        <v>0</v>
      </c>
      <c r="M453" s="556"/>
      <c r="N453" s="556">
        <f t="shared" ca="1" si="257"/>
        <v>0</v>
      </c>
      <c r="O453" s="556">
        <f t="shared" ca="1" si="257"/>
        <v>0</v>
      </c>
      <c r="P453" s="554"/>
      <c r="Q453" s="182">
        <f>VLOOKUP($B453,dongia1,DG!$G$5,)</f>
        <v>2578.65</v>
      </c>
      <c r="R453" s="554"/>
      <c r="S453" s="113">
        <f t="shared" si="258"/>
        <v>0</v>
      </c>
      <c r="T453" s="113">
        <f t="shared" si="258"/>
        <v>9437.8590000000004</v>
      </c>
      <c r="U453" s="557">
        <f t="shared" si="258"/>
        <v>0</v>
      </c>
    </row>
    <row r="454" spans="1:21" s="552" customFormat="1" ht="15" hidden="1" customHeight="1">
      <c r="A454" s="621"/>
      <c r="B454" s="622" t="s">
        <v>102</v>
      </c>
      <c r="C454" s="558" t="str">
        <f ca="1">C453</f>
        <v xml:space="preserve"> </v>
      </c>
      <c r="D454" s="553"/>
      <c r="E454" s="694" t="str">
        <f>VLOOKUP($B454,dongia1,DG!$C$5,)</f>
        <v>Đóng cọc tiếp địa đất cấp 3 dài 2,5m</v>
      </c>
      <c r="F454" s="555" t="str">
        <f>VLOOKUP($B454,dongia1,DG!$D$5,)</f>
        <v>cọc</v>
      </c>
      <c r="G454" s="205">
        <v>1</v>
      </c>
      <c r="H454" s="556">
        <f ca="1">H$449*$G454</f>
        <v>0</v>
      </c>
      <c r="I454" s="556">
        <f t="shared" ca="1" si="257"/>
        <v>0</v>
      </c>
      <c r="J454" s="556">
        <f t="shared" ca="1" si="257"/>
        <v>0</v>
      </c>
      <c r="K454" s="556">
        <f t="shared" ca="1" si="257"/>
        <v>0</v>
      </c>
      <c r="L454" s="556">
        <f t="shared" ca="1" si="257"/>
        <v>0</v>
      </c>
      <c r="M454" s="556"/>
      <c r="N454" s="556">
        <f t="shared" ca="1" si="257"/>
        <v>0</v>
      </c>
      <c r="O454" s="556">
        <f t="shared" ca="1" si="257"/>
        <v>0</v>
      </c>
      <c r="P454" s="554"/>
      <c r="Q454" s="182">
        <f>VLOOKUP($B454,dongia1,DG!$G$5,)</f>
        <v>90355.896000000008</v>
      </c>
      <c r="R454" s="554"/>
      <c r="S454" s="113">
        <f t="shared" si="258"/>
        <v>0</v>
      </c>
      <c r="T454" s="113">
        <f t="shared" si="258"/>
        <v>90355.896000000008</v>
      </c>
      <c r="U454" s="557">
        <f t="shared" si="258"/>
        <v>0</v>
      </c>
    </row>
    <row r="455" spans="1:21" s="552" customFormat="1" ht="15" hidden="1" customHeight="1">
      <c r="A455" s="621" t="s">
        <v>740</v>
      </c>
      <c r="B455" s="622"/>
      <c r="C455" s="558" t="str">
        <f ca="1">IF(H455&lt;&gt;0,"x"," ")</f>
        <v xml:space="preserve"> </v>
      </c>
      <c r="D455" s="553"/>
      <c r="E455" s="727" t="s">
        <v>3542</v>
      </c>
      <c r="F455" s="600" t="s">
        <v>2113</v>
      </c>
      <c r="G455" s="205"/>
      <c r="H455" s="556">
        <f ca="1">SUM(I455:O455)</f>
        <v>0</v>
      </c>
      <c r="I455" s="556">
        <f ca="1">SUMIF(tdll3pm,chitiet!$E455,sltdll3pm)</f>
        <v>0</v>
      </c>
      <c r="J455" s="556">
        <f ca="1">SUMIF(tdllct,chitiet!$E455,sltdllct)</f>
        <v>0</v>
      </c>
      <c r="K455" s="556">
        <f ca="1">SUMIF(tdll3p1m,chitiet!$E455,sltdll3p1m)</f>
        <v>0</v>
      </c>
      <c r="L455" s="556">
        <f ca="1">SUMIF(tdll1pm,chitiet!$E455,sltdll1pm)</f>
        <v>0</v>
      </c>
      <c r="M455" s="556">
        <f ca="1">SUMIF(tdllHTHH,chitiet!$E455,sltdllhthh)</f>
        <v>0</v>
      </c>
      <c r="N455" s="556">
        <f ca="1">SUMIF(tdllHTDL,chitiet!$E455,sltdllhtdl)</f>
        <v>0</v>
      </c>
      <c r="O455" s="556">
        <f ca="1">SUMIF(tdllHTCS,chitiet!$E455,sltdllHTCS)</f>
        <v>0</v>
      </c>
      <c r="P455" s="554"/>
      <c r="Q455" s="554"/>
      <c r="R455" s="554"/>
      <c r="S455" s="601">
        <f>SUM(S456:S462)</f>
        <v>712588</v>
      </c>
      <c r="T455" s="601">
        <f>SUM(T456:T462)</f>
        <v>95554.454400000002</v>
      </c>
      <c r="U455" s="602">
        <f>SUM(U456:U462)</f>
        <v>0</v>
      </c>
    </row>
    <row r="456" spans="1:21" s="552" customFormat="1" ht="15" hidden="1" customHeight="1">
      <c r="A456" s="621"/>
      <c r="B456" s="622" t="s">
        <v>584</v>
      </c>
      <c r="C456" s="558" t="str">
        <f ca="1">C455</f>
        <v xml:space="preserve"> </v>
      </c>
      <c r="D456" s="553"/>
      <c r="E456" s="694" t="str">
        <f>VLOOKUP($B456,dongia1,DG!$C$5,)&amp;" : 9m"</f>
        <v>Cáp đồng trần M25mm2 : 9m</v>
      </c>
      <c r="F456" s="555" t="str">
        <f>VLOOKUP($B456,dongia1,DG!$D$5,)</f>
        <v>kg</v>
      </c>
      <c r="G456" s="205">
        <f>9*0.224</f>
        <v>2.016</v>
      </c>
      <c r="H456" s="556">
        <f t="shared" ref="H456:H462" ca="1" si="259">H$455*$G456</f>
        <v>0</v>
      </c>
      <c r="I456" s="556">
        <f t="shared" ref="I456:O462" ca="1" si="260">I$455*$G456</f>
        <v>0</v>
      </c>
      <c r="J456" s="556">
        <f t="shared" ca="1" si="260"/>
        <v>0</v>
      </c>
      <c r="K456" s="556">
        <f t="shared" ca="1" si="260"/>
        <v>0</v>
      </c>
      <c r="L456" s="556">
        <f t="shared" ca="1" si="260"/>
        <v>0</v>
      </c>
      <c r="M456" s="556"/>
      <c r="N456" s="556">
        <f t="shared" ca="1" si="260"/>
        <v>0</v>
      </c>
      <c r="O456" s="556">
        <f t="shared" ca="1" si="260"/>
        <v>0</v>
      </c>
      <c r="P456" s="182">
        <f>VLOOKUP($B456,dongia1,DG!$F$5,)</f>
        <v>255500</v>
      </c>
      <c r="Q456" s="554"/>
      <c r="R456" s="554"/>
      <c r="S456" s="113">
        <f t="shared" ref="S456:S462" si="261">$G456*P456</f>
        <v>515088</v>
      </c>
      <c r="T456" s="113">
        <f t="shared" ref="T456:T462" si="262">$G456*Q456</f>
        <v>0</v>
      </c>
      <c r="U456" s="557">
        <f t="shared" ref="U456:U462" si="263">$G456*R456</f>
        <v>0</v>
      </c>
    </row>
    <row r="457" spans="1:21" s="552" customFormat="1" ht="15" hidden="1" customHeight="1">
      <c r="A457" s="621"/>
      <c r="B457" s="622" t="s">
        <v>1098</v>
      </c>
      <c r="C457" s="558" t="str">
        <f ca="1">C456</f>
        <v xml:space="preserve"> </v>
      </c>
      <c r="D457" s="553"/>
      <c r="E457" s="694" t="str">
        <f>VLOOKUP($B457,dongia1,DG!$C$5,)</f>
        <v>Cọc tiếp đất Þ 16- 2,4m + kẹp cọc</v>
      </c>
      <c r="F457" s="555" t="str">
        <f>VLOOKUP($B457,dongia1,DG!$D$5,)</f>
        <v>bộ</v>
      </c>
      <c r="G457" s="205">
        <v>1</v>
      </c>
      <c r="H457" s="556">
        <f t="shared" ca="1" si="259"/>
        <v>0</v>
      </c>
      <c r="I457" s="556">
        <f t="shared" ca="1" si="260"/>
        <v>0</v>
      </c>
      <c r="J457" s="556">
        <f t="shared" ca="1" si="260"/>
        <v>0</v>
      </c>
      <c r="K457" s="556">
        <f t="shared" ca="1" si="260"/>
        <v>0</v>
      </c>
      <c r="L457" s="556">
        <f t="shared" ca="1" si="260"/>
        <v>0</v>
      </c>
      <c r="M457" s="556"/>
      <c r="N457" s="556">
        <f t="shared" ca="1" si="260"/>
        <v>0</v>
      </c>
      <c r="O457" s="556">
        <f t="shared" ca="1" si="260"/>
        <v>0</v>
      </c>
      <c r="P457" s="182">
        <f>VLOOKUP($B457,dongia1,DG!$F$5,)</f>
        <v>160000</v>
      </c>
      <c r="Q457" s="554"/>
      <c r="R457" s="554"/>
      <c r="S457" s="113">
        <f t="shared" si="261"/>
        <v>160000</v>
      </c>
      <c r="T457" s="113">
        <f t="shared" si="262"/>
        <v>0</v>
      </c>
      <c r="U457" s="557">
        <f t="shared" si="263"/>
        <v>0</v>
      </c>
    </row>
    <row r="458" spans="1:21" s="552" customFormat="1" ht="15" hidden="1" customHeight="1">
      <c r="A458" s="621"/>
      <c r="B458" s="622" t="s">
        <v>1908</v>
      </c>
      <c r="C458" s="558" t="str">
        <f ca="1">C457</f>
        <v xml:space="preserve"> </v>
      </c>
      <c r="D458" s="553"/>
      <c r="E458" s="694" t="str">
        <f>VLOOKUP($B458,dongia1,DG!$C$5,)</f>
        <v>Kẹp ép WR cỡ dây 50mm2</v>
      </c>
      <c r="F458" s="555" t="str">
        <f>VLOOKUP($B458,dongia1,DG!$D$5,)</f>
        <v>cái</v>
      </c>
      <c r="G458" s="205">
        <v>2</v>
      </c>
      <c r="H458" s="556">
        <f t="shared" ca="1" si="259"/>
        <v>0</v>
      </c>
      <c r="I458" s="556">
        <f t="shared" ca="1" si="260"/>
        <v>0</v>
      </c>
      <c r="J458" s="556">
        <f t="shared" ca="1" si="260"/>
        <v>0</v>
      </c>
      <c r="K458" s="556">
        <f t="shared" ca="1" si="260"/>
        <v>0</v>
      </c>
      <c r="L458" s="556">
        <f t="shared" ca="1" si="260"/>
        <v>0</v>
      </c>
      <c r="M458" s="556"/>
      <c r="N458" s="556">
        <f t="shared" ca="1" si="260"/>
        <v>0</v>
      </c>
      <c r="O458" s="556">
        <f t="shared" ca="1" si="260"/>
        <v>0</v>
      </c>
      <c r="P458" s="182">
        <f>VLOOKUP($B458,dongia1,DG!$F$5,)</f>
        <v>8000</v>
      </c>
      <c r="Q458" s="182"/>
      <c r="R458" s="554"/>
      <c r="S458" s="113">
        <f t="shared" si="261"/>
        <v>16000</v>
      </c>
      <c r="T458" s="113">
        <f t="shared" si="262"/>
        <v>0</v>
      </c>
      <c r="U458" s="557">
        <f t="shared" si="263"/>
        <v>0</v>
      </c>
    </row>
    <row r="459" spans="1:21" s="552" customFormat="1" ht="15" hidden="1" customHeight="1">
      <c r="A459" s="621"/>
      <c r="B459" s="622" t="s">
        <v>971</v>
      </c>
      <c r="C459" s="558" t="str">
        <f ca="1">C458</f>
        <v xml:space="preserve"> </v>
      </c>
      <c r="D459" s="553"/>
      <c r="E459" s="694" t="str">
        <f>VLOOKUP($B459,dongia1,DG!$C$5,)</f>
        <v>Đầu cosse ép Cu 25mm2</v>
      </c>
      <c r="F459" s="555" t="str">
        <f>VLOOKUP($B459,dongia1,DG!$D$5,)</f>
        <v>cái</v>
      </c>
      <c r="G459" s="205">
        <v>2</v>
      </c>
      <c r="H459" s="556">
        <f t="shared" ca="1" si="259"/>
        <v>0</v>
      </c>
      <c r="I459" s="556">
        <f t="shared" ca="1" si="260"/>
        <v>0</v>
      </c>
      <c r="J459" s="556">
        <f t="shared" ca="1" si="260"/>
        <v>0</v>
      </c>
      <c r="K459" s="556">
        <f t="shared" ca="1" si="260"/>
        <v>0</v>
      </c>
      <c r="L459" s="556">
        <f t="shared" ca="1" si="260"/>
        <v>0</v>
      </c>
      <c r="M459" s="556"/>
      <c r="N459" s="556">
        <f t="shared" ca="1" si="260"/>
        <v>0</v>
      </c>
      <c r="O459" s="556">
        <f t="shared" ca="1" si="260"/>
        <v>0</v>
      </c>
      <c r="P459" s="182">
        <f>VLOOKUP($B459,dongia1,DG!$F$5,)</f>
        <v>6500</v>
      </c>
      <c r="Q459" s="182"/>
      <c r="R459" s="554"/>
      <c r="S459" s="113">
        <f t="shared" ref="S459:U460" si="264">$G459*P459</f>
        <v>13000</v>
      </c>
      <c r="T459" s="113">
        <f t="shared" si="264"/>
        <v>0</v>
      </c>
      <c r="U459" s="557">
        <f t="shared" si="264"/>
        <v>0</v>
      </c>
    </row>
    <row r="460" spans="1:21" s="552" customFormat="1" ht="15" hidden="1" customHeight="1">
      <c r="A460" s="621"/>
      <c r="B460" s="622" t="s">
        <v>1623</v>
      </c>
      <c r="C460" s="558" t="str">
        <f ca="1">C459</f>
        <v xml:space="preserve"> </v>
      </c>
      <c r="D460" s="553"/>
      <c r="E460" s="694" t="str">
        <f>VLOOKUP($B460,dongia1,DG!$C$5,)</f>
        <v>Boulon 12x40+ 2 long đền vuông D14-50x50x3/Zn</v>
      </c>
      <c r="F460" s="555" t="str">
        <f>VLOOKUP($B460,dongia1,DG!$D$5,)</f>
        <v>bộ</v>
      </c>
      <c r="G460" s="205">
        <v>1</v>
      </c>
      <c r="H460" s="556">
        <f t="shared" ca="1" si="259"/>
        <v>0</v>
      </c>
      <c r="I460" s="556">
        <f t="shared" ca="1" si="260"/>
        <v>0</v>
      </c>
      <c r="J460" s="556">
        <f t="shared" ca="1" si="260"/>
        <v>0</v>
      </c>
      <c r="K460" s="556">
        <f t="shared" ca="1" si="260"/>
        <v>0</v>
      </c>
      <c r="L460" s="556">
        <f t="shared" ca="1" si="260"/>
        <v>0</v>
      </c>
      <c r="M460" s="556"/>
      <c r="N460" s="556">
        <f t="shared" ca="1" si="260"/>
        <v>0</v>
      </c>
      <c r="O460" s="556">
        <f t="shared" ca="1" si="260"/>
        <v>0</v>
      </c>
      <c r="P460" s="182">
        <f>VLOOKUP($B460,dongia1,DG!$F$5,)</f>
        <v>8500</v>
      </c>
      <c r="Q460" s="182"/>
      <c r="R460" s="554"/>
      <c r="S460" s="113">
        <f t="shared" si="264"/>
        <v>8500</v>
      </c>
      <c r="T460" s="113">
        <f t="shared" si="264"/>
        <v>0</v>
      </c>
      <c r="U460" s="557">
        <f t="shared" si="264"/>
        <v>0</v>
      </c>
    </row>
    <row r="461" spans="1:21" s="552" customFormat="1" ht="15" hidden="1" customHeight="1">
      <c r="A461" s="621"/>
      <c r="B461" s="622" t="s">
        <v>1859</v>
      </c>
      <c r="C461" s="558" t="str">
        <f ca="1">C458</f>
        <v xml:space="preserve"> </v>
      </c>
      <c r="D461" s="553"/>
      <c r="E461" s="694" t="str">
        <f>VLOOKUP($B461,dongia1,DG!$C$5,)</f>
        <v xml:space="preserve">Kéo dây tiếp địa </v>
      </c>
      <c r="F461" s="555" t="str">
        <f>VLOOKUP($B461,dongia1,DG!$D$5,)</f>
        <v>kg</v>
      </c>
      <c r="G461" s="205">
        <f>G456</f>
        <v>2.016</v>
      </c>
      <c r="H461" s="556">
        <f t="shared" ca="1" si="259"/>
        <v>0</v>
      </c>
      <c r="I461" s="556">
        <f t="shared" ca="1" si="260"/>
        <v>0</v>
      </c>
      <c r="J461" s="556">
        <f t="shared" ca="1" si="260"/>
        <v>0</v>
      </c>
      <c r="K461" s="556">
        <f t="shared" ca="1" si="260"/>
        <v>0</v>
      </c>
      <c r="L461" s="556">
        <f t="shared" ca="1" si="260"/>
        <v>0</v>
      </c>
      <c r="M461" s="556"/>
      <c r="N461" s="556">
        <f t="shared" ca="1" si="260"/>
        <v>0</v>
      </c>
      <c r="O461" s="556">
        <f t="shared" ca="1" si="260"/>
        <v>0</v>
      </c>
      <c r="P461" s="554"/>
      <c r="Q461" s="182">
        <f>VLOOKUP($B461,dongia1,DG!$G$5,)</f>
        <v>2578.65</v>
      </c>
      <c r="R461" s="554"/>
      <c r="S461" s="113">
        <f t="shared" si="261"/>
        <v>0</v>
      </c>
      <c r="T461" s="113">
        <f t="shared" si="262"/>
        <v>5198.5583999999999</v>
      </c>
      <c r="U461" s="557">
        <f t="shared" si="263"/>
        <v>0</v>
      </c>
    </row>
    <row r="462" spans="1:21" s="552" customFormat="1" ht="15" hidden="1" customHeight="1">
      <c r="A462" s="621"/>
      <c r="B462" s="622" t="s">
        <v>102</v>
      </c>
      <c r="C462" s="558" t="str">
        <f ca="1">C461</f>
        <v xml:space="preserve"> </v>
      </c>
      <c r="D462" s="553"/>
      <c r="E462" s="694" t="str">
        <f>VLOOKUP($B462,dongia1,DG!$C$5,)</f>
        <v>Đóng cọc tiếp địa đất cấp 3 dài 2,5m</v>
      </c>
      <c r="F462" s="555" t="str">
        <f>VLOOKUP($B462,dongia1,DG!$D$5,)</f>
        <v>cọc</v>
      </c>
      <c r="G462" s="205">
        <v>1</v>
      </c>
      <c r="H462" s="556">
        <f t="shared" ca="1" si="259"/>
        <v>0</v>
      </c>
      <c r="I462" s="556">
        <f t="shared" ca="1" si="260"/>
        <v>0</v>
      </c>
      <c r="J462" s="556">
        <f t="shared" ca="1" si="260"/>
        <v>0</v>
      </c>
      <c r="K462" s="556">
        <f t="shared" ca="1" si="260"/>
        <v>0</v>
      </c>
      <c r="L462" s="556">
        <f t="shared" ca="1" si="260"/>
        <v>0</v>
      </c>
      <c r="M462" s="556"/>
      <c r="N462" s="556">
        <f t="shared" ca="1" si="260"/>
        <v>0</v>
      </c>
      <c r="O462" s="556">
        <f t="shared" ca="1" si="260"/>
        <v>0</v>
      </c>
      <c r="P462" s="554"/>
      <c r="Q462" s="182">
        <f>VLOOKUP($B462,dongia1,DG!$G$5,)</f>
        <v>90355.896000000008</v>
      </c>
      <c r="R462" s="554"/>
      <c r="S462" s="113">
        <f t="shared" si="261"/>
        <v>0</v>
      </c>
      <c r="T462" s="113">
        <f t="shared" si="262"/>
        <v>90355.896000000008</v>
      </c>
      <c r="U462" s="557">
        <f t="shared" si="263"/>
        <v>0</v>
      </c>
    </row>
    <row r="463" spans="1:21" s="610" customFormat="1" ht="14.25" hidden="1" customHeight="1">
      <c r="A463" s="635" t="s">
        <v>1689</v>
      </c>
      <c r="B463" s="636"/>
      <c r="C463" s="637" t="str">
        <f ca="1">IF(H463&lt;&gt;0,"x"," ")</f>
        <v xml:space="preserve"> </v>
      </c>
      <c r="D463" s="599"/>
      <c r="E463" s="727" t="s">
        <v>3543</v>
      </c>
      <c r="F463" s="600" t="s">
        <v>2113</v>
      </c>
      <c r="G463" s="604"/>
      <c r="H463" s="605">
        <f ca="1">SUM(I463:O463)</f>
        <v>0</v>
      </c>
      <c r="I463" s="605">
        <f ca="1">SUMIF(tdll3pm,chitiet!$E463,sltdll3pm)</f>
        <v>0</v>
      </c>
      <c r="J463" s="605">
        <f ca="1">SUMIF(tdllct,chitiet!$E463,sltdllct)</f>
        <v>0</v>
      </c>
      <c r="K463" s="605">
        <f ca="1">SUMIF(tdll3p1m,chitiet!$E463,sltdll3p1m)</f>
        <v>0</v>
      </c>
      <c r="L463" s="605">
        <f ca="1">SUMIF(tdll1pm,chitiet!$E463,sltdll1pm)</f>
        <v>0</v>
      </c>
      <c r="M463" s="605">
        <f ca="1">SUMIF(tdllHTHH,chitiet!$E463,sltdllhthh)</f>
        <v>0</v>
      </c>
      <c r="N463" s="605">
        <f ca="1">SUMIF(tdllHTDL,chitiet!$E463,sltdllhtdl)</f>
        <v>0</v>
      </c>
      <c r="O463" s="605">
        <f ca="1">SUMIF(tdllHTCS,chitiet!$E463,sltdllHTCS)</f>
        <v>0</v>
      </c>
      <c r="P463" s="606"/>
      <c r="Q463" s="606"/>
      <c r="R463" s="606"/>
      <c r="S463" s="601">
        <f>SUM(S464:S479)</f>
        <v>1717566</v>
      </c>
      <c r="T463" s="601">
        <f>SUM(T464:T479)</f>
        <v>1214280.1291499999</v>
      </c>
      <c r="U463" s="602">
        <f>SUM(U464:U479)</f>
        <v>0</v>
      </c>
    </row>
    <row r="464" spans="1:21" s="552" customFormat="1" ht="15" hidden="1" customHeight="1">
      <c r="A464" s="621"/>
      <c r="B464" s="622" t="s">
        <v>584</v>
      </c>
      <c r="C464" s="558" t="str">
        <f ca="1">C463</f>
        <v xml:space="preserve"> </v>
      </c>
      <c r="D464" s="553"/>
      <c r="E464" s="694" t="str">
        <f>VLOOKUP($B464,dongia1,DG!$C$5,)&amp;" : 14m"</f>
        <v>Cáp đồng trần M25mm2 : 14m</v>
      </c>
      <c r="F464" s="555" t="str">
        <f>VLOOKUP($B464,dongia1,DG!$D$5,)</f>
        <v>kg</v>
      </c>
      <c r="G464" s="205">
        <f>14*0.224</f>
        <v>3.1360000000000001</v>
      </c>
      <c r="H464" s="556">
        <f t="shared" ref="H464:H479" ca="1" si="265">H$463*$G464</f>
        <v>0</v>
      </c>
      <c r="I464" s="556">
        <f t="shared" ref="I464:O479" ca="1" si="266">I$463*$G464</f>
        <v>0</v>
      </c>
      <c r="J464" s="556">
        <f t="shared" ca="1" si="266"/>
        <v>0</v>
      </c>
      <c r="K464" s="556">
        <f t="shared" ca="1" si="266"/>
        <v>0</v>
      </c>
      <c r="L464" s="556">
        <f t="shared" ca="1" si="266"/>
        <v>0</v>
      </c>
      <c r="M464" s="556"/>
      <c r="N464" s="556">
        <f t="shared" ca="1" si="266"/>
        <v>0</v>
      </c>
      <c r="O464" s="556">
        <f t="shared" ca="1" si="266"/>
        <v>0</v>
      </c>
      <c r="P464" s="182">
        <f>VLOOKUP($B464,dongia1,DG!$F$5,)</f>
        <v>255500</v>
      </c>
      <c r="Q464" s="182">
        <f>VLOOKUP($B464,dongia1,DG!$G$5,)</f>
        <v>0</v>
      </c>
      <c r="R464" s="554"/>
      <c r="S464" s="113">
        <f t="shared" ref="S464:S479" si="267">$G464*P464</f>
        <v>801248</v>
      </c>
      <c r="T464" s="113">
        <f t="shared" ref="T464:T479" si="268">$G464*Q464</f>
        <v>0</v>
      </c>
      <c r="U464" s="557">
        <f t="shared" ref="U464:U479" si="269">$G464*R464</f>
        <v>0</v>
      </c>
    </row>
    <row r="465" spans="1:21" s="552" customFormat="1" ht="15" hidden="1" customHeight="1">
      <c r="A465" s="621"/>
      <c r="B465" s="622" t="s">
        <v>1098</v>
      </c>
      <c r="C465" s="558" t="str">
        <f ca="1">C464</f>
        <v xml:space="preserve"> </v>
      </c>
      <c r="D465" s="553"/>
      <c r="E465" s="694" t="str">
        <f>VLOOKUP($B465,dongia1,DG!$C$5,)</f>
        <v>Cọc tiếp đất Þ 16- 2,4m + kẹp cọc</v>
      </c>
      <c r="F465" s="555" t="str">
        <f>VLOOKUP($B465,dongia1,DG!$D$5,)</f>
        <v>bộ</v>
      </c>
      <c r="G465" s="205">
        <v>4</v>
      </c>
      <c r="H465" s="556">
        <f t="shared" ca="1" si="265"/>
        <v>0</v>
      </c>
      <c r="I465" s="556">
        <f t="shared" ca="1" si="266"/>
        <v>0</v>
      </c>
      <c r="J465" s="556">
        <f t="shared" ca="1" si="266"/>
        <v>0</v>
      </c>
      <c r="K465" s="556">
        <f t="shared" ca="1" si="266"/>
        <v>0</v>
      </c>
      <c r="L465" s="556">
        <f t="shared" ca="1" si="266"/>
        <v>0</v>
      </c>
      <c r="M465" s="556"/>
      <c r="N465" s="556">
        <f t="shared" ca="1" si="266"/>
        <v>0</v>
      </c>
      <c r="O465" s="556">
        <f t="shared" ca="1" si="266"/>
        <v>0</v>
      </c>
      <c r="P465" s="182">
        <f>VLOOKUP($B465,dongia1,DG!$F$5,)</f>
        <v>160000</v>
      </c>
      <c r="Q465" s="182">
        <f>VLOOKUP($B465,dongia1,DG!$G$5,)</f>
        <v>0</v>
      </c>
      <c r="R465" s="554"/>
      <c r="S465" s="113">
        <f>$G465*P465</f>
        <v>640000</v>
      </c>
      <c r="T465" s="113">
        <f t="shared" si="268"/>
        <v>0</v>
      </c>
      <c r="U465" s="557">
        <f t="shared" si="269"/>
        <v>0</v>
      </c>
    </row>
    <row r="466" spans="1:21" s="552" customFormat="1" ht="15" hidden="1" customHeight="1">
      <c r="A466" s="621"/>
      <c r="B466" s="760" t="s">
        <v>211</v>
      </c>
      <c r="C466" s="558"/>
      <c r="D466" s="553"/>
      <c r="E466" s="694" t="str">
        <f>VLOOKUP($B466,dongia1,DG!$C$5,)</f>
        <v>Khoan giếng tiếp địa</v>
      </c>
      <c r="F466" s="555" t="str">
        <f>VLOOKUP($B466,dongia1,DG!$D$5,)</f>
        <v>Cái</v>
      </c>
      <c r="G466" s="205">
        <f>1*0</f>
        <v>0</v>
      </c>
      <c r="H466" s="556">
        <f t="shared" ca="1" si="265"/>
        <v>0</v>
      </c>
      <c r="I466" s="556">
        <f t="shared" ca="1" si="266"/>
        <v>0</v>
      </c>
      <c r="J466" s="556">
        <f t="shared" ca="1" si="266"/>
        <v>0</v>
      </c>
      <c r="K466" s="556">
        <f t="shared" ca="1" si="266"/>
        <v>0</v>
      </c>
      <c r="L466" s="556">
        <f t="shared" ca="1" si="266"/>
        <v>0</v>
      </c>
      <c r="M466" s="556"/>
      <c r="N466" s="556">
        <f t="shared" ca="1" si="266"/>
        <v>0</v>
      </c>
      <c r="O466" s="556">
        <f t="shared" ca="1" si="266"/>
        <v>0</v>
      </c>
      <c r="P466" s="182">
        <f>VLOOKUP($B466,dongia1,DG!$F$5,)</f>
        <v>0</v>
      </c>
      <c r="Q466" s="182">
        <f>VLOOKUP($B466,dongia1,DG!$G$5,)</f>
        <v>1500000</v>
      </c>
      <c r="R466" s="554"/>
      <c r="S466" s="113">
        <f t="shared" ref="S466:S471" si="270">$G466*P466</f>
        <v>0</v>
      </c>
      <c r="T466" s="113">
        <f t="shared" ref="T466:T471" si="271">$G466*Q466</f>
        <v>0</v>
      </c>
      <c r="U466" s="557">
        <f t="shared" ref="U466:U471" si="272">$G466*R466</f>
        <v>0</v>
      </c>
    </row>
    <row r="467" spans="1:21" s="552" customFormat="1" ht="15" hidden="1" customHeight="1">
      <c r="A467" s="621"/>
      <c r="B467" s="760" t="s">
        <v>4483</v>
      </c>
      <c r="C467" s="558">
        <f>C466</f>
        <v>0</v>
      </c>
      <c r="D467" s="553"/>
      <c r="E467" s="694" t="str">
        <f>VLOOKUP($B467,dongia1,DG!$C$5,)</f>
        <v>Thanh sắt V50x50x5-4000 - 16kg/thanh</v>
      </c>
      <c r="F467" s="555" t="str">
        <f>VLOOKUP($B467,dongia1,DG!$D$5,)</f>
        <v>kg</v>
      </c>
      <c r="G467" s="205">
        <f>16*5*0</f>
        <v>0</v>
      </c>
      <c r="H467" s="556">
        <f t="shared" ca="1" si="265"/>
        <v>0</v>
      </c>
      <c r="I467" s="556">
        <f t="shared" ca="1" si="266"/>
        <v>0</v>
      </c>
      <c r="J467" s="556">
        <f t="shared" ca="1" si="266"/>
        <v>0</v>
      </c>
      <c r="K467" s="556">
        <f t="shared" ca="1" si="266"/>
        <v>0</v>
      </c>
      <c r="L467" s="556">
        <f t="shared" ca="1" si="266"/>
        <v>0</v>
      </c>
      <c r="M467" s="556"/>
      <c r="N467" s="556">
        <f t="shared" ca="1" si="266"/>
        <v>0</v>
      </c>
      <c r="O467" s="556">
        <f t="shared" ca="1" si="266"/>
        <v>0</v>
      </c>
      <c r="P467" s="182">
        <f>VLOOKUP($B467,dongia1,DG!$F$5,)</f>
        <v>31625</v>
      </c>
      <c r="Q467" s="182">
        <f>VLOOKUP($B467,dongia1,DG!$G$5,)</f>
        <v>0</v>
      </c>
      <c r="R467" s="554"/>
      <c r="S467" s="113">
        <f t="shared" si="270"/>
        <v>0</v>
      </c>
      <c r="T467" s="113">
        <f t="shared" si="271"/>
        <v>0</v>
      </c>
      <c r="U467" s="557">
        <f t="shared" si="272"/>
        <v>0</v>
      </c>
    </row>
    <row r="468" spans="1:21" s="552" customFormat="1" ht="15" hidden="1" customHeight="1">
      <c r="A468" s="621"/>
      <c r="B468" s="760" t="s">
        <v>4484</v>
      </c>
      <c r="C468" s="558">
        <f>C467</f>
        <v>0</v>
      </c>
      <c r="D468" s="553"/>
      <c r="E468" s="694" t="str">
        <f>VLOOKUP($B468,dongia1,DG!$C$5,)</f>
        <v>Hàn thanh sắt V50x50x5-4000/Zn thành cọc dài 20 mét</v>
      </c>
      <c r="F468" s="555" t="str">
        <f>VLOOKUP($B468,dongia1,DG!$D$5,)</f>
        <v>mối hàn</v>
      </c>
      <c r="G468" s="205">
        <f>4*0</f>
        <v>0</v>
      </c>
      <c r="H468" s="556">
        <f t="shared" ca="1" si="265"/>
        <v>0</v>
      </c>
      <c r="I468" s="556">
        <f t="shared" ca="1" si="266"/>
        <v>0</v>
      </c>
      <c r="J468" s="556">
        <f t="shared" ca="1" si="266"/>
        <v>0</v>
      </c>
      <c r="K468" s="556">
        <f t="shared" ca="1" si="266"/>
        <v>0</v>
      </c>
      <c r="L468" s="556">
        <f t="shared" ca="1" si="266"/>
        <v>0</v>
      </c>
      <c r="M468" s="556"/>
      <c r="N468" s="556">
        <f t="shared" ca="1" si="266"/>
        <v>0</v>
      </c>
      <c r="O468" s="556">
        <f t="shared" ca="1" si="266"/>
        <v>0</v>
      </c>
      <c r="P468" s="182">
        <f>VLOOKUP($B468,dongia1,DG!$F$5,)</f>
        <v>0</v>
      </c>
      <c r="Q468" s="182">
        <f>VLOOKUP($B468,dongia1,DG!$G$5,)</f>
        <v>55638</v>
      </c>
      <c r="R468" s="554"/>
      <c r="S468" s="113">
        <f t="shared" si="270"/>
        <v>0</v>
      </c>
      <c r="T468" s="113">
        <f t="shared" si="271"/>
        <v>0</v>
      </c>
      <c r="U468" s="557">
        <f t="shared" si="272"/>
        <v>0</v>
      </c>
    </row>
    <row r="469" spans="1:21" s="552" customFormat="1" ht="15" hidden="1" customHeight="1">
      <c r="A469" s="621"/>
      <c r="B469" s="666" t="s">
        <v>4491</v>
      </c>
      <c r="C469" s="558" t="str">
        <f ca="1">C465</f>
        <v xml:space="preserve"> </v>
      </c>
      <c r="D469" s="553"/>
      <c r="E469" s="694" t="str">
        <f>VLOOKUP($B469,dongia1,DG!$C$5,)</f>
        <v>Sắt tròn Þ8 thanh dài 2m (hàn bass 2 đầu, mạ kẽm)</v>
      </c>
      <c r="F469" s="555" t="str">
        <f>VLOOKUP($B469,dongia1,DG!$D$5,)</f>
        <v xml:space="preserve">thanh </v>
      </c>
      <c r="G469" s="205">
        <v>2</v>
      </c>
      <c r="H469" s="556">
        <f t="shared" ca="1" si="265"/>
        <v>0</v>
      </c>
      <c r="I469" s="556">
        <f t="shared" ca="1" si="266"/>
        <v>0</v>
      </c>
      <c r="J469" s="556">
        <f t="shared" ca="1" si="266"/>
        <v>0</v>
      </c>
      <c r="K469" s="556">
        <f t="shared" ca="1" si="266"/>
        <v>0</v>
      </c>
      <c r="L469" s="556">
        <f t="shared" ca="1" si="266"/>
        <v>0</v>
      </c>
      <c r="M469" s="556"/>
      <c r="N469" s="556">
        <f t="shared" ca="1" si="266"/>
        <v>0</v>
      </c>
      <c r="O469" s="556">
        <f t="shared" ca="1" si="266"/>
        <v>0</v>
      </c>
      <c r="P469" s="182">
        <f>VLOOKUP($B469,dongia1,DG!$F$5,)</f>
        <v>38105</v>
      </c>
      <c r="Q469" s="182">
        <f>VLOOKUP($B469,dongia1,DG!$G$5,)</f>
        <v>0</v>
      </c>
      <c r="R469" s="554"/>
      <c r="S469" s="113">
        <f t="shared" si="270"/>
        <v>76210</v>
      </c>
      <c r="T469" s="113">
        <f t="shared" si="271"/>
        <v>0</v>
      </c>
      <c r="U469" s="557">
        <f t="shared" si="272"/>
        <v>0</v>
      </c>
    </row>
    <row r="470" spans="1:21" s="552" customFormat="1" ht="15" hidden="1" customHeight="1">
      <c r="A470" s="621"/>
      <c r="B470" s="666" t="s">
        <v>4495</v>
      </c>
      <c r="C470" s="558" t="str">
        <f ca="1">C469</f>
        <v xml:space="preserve"> </v>
      </c>
      <c r="D470" s="553"/>
      <c r="E470" s="694" t="str">
        <f>VLOOKUP($B470,dongia1,DG!$C$5,)</f>
        <v>Sắt tròn Þ8 thanh dài 3m (hàn bass 2 đầu, mạ kẽm)</v>
      </c>
      <c r="F470" s="555" t="str">
        <f>VLOOKUP($B470,dongia1,DG!$D$5,)</f>
        <v xml:space="preserve">thanh </v>
      </c>
      <c r="G470" s="205">
        <v>1</v>
      </c>
      <c r="H470" s="556">
        <f t="shared" ca="1" si="265"/>
        <v>0</v>
      </c>
      <c r="I470" s="556">
        <f t="shared" ca="1" si="266"/>
        <v>0</v>
      </c>
      <c r="J470" s="556">
        <f t="shared" ca="1" si="266"/>
        <v>0</v>
      </c>
      <c r="K470" s="556">
        <f t="shared" ca="1" si="266"/>
        <v>0</v>
      </c>
      <c r="L470" s="556">
        <f t="shared" ca="1" si="266"/>
        <v>0</v>
      </c>
      <c r="M470" s="556"/>
      <c r="N470" s="556">
        <f t="shared" ca="1" si="266"/>
        <v>0</v>
      </c>
      <c r="O470" s="556">
        <f t="shared" ca="1" si="266"/>
        <v>0</v>
      </c>
      <c r="P470" s="182">
        <f>VLOOKUP($B470,dongia1,DG!$F$5,)</f>
        <v>53008</v>
      </c>
      <c r="Q470" s="182">
        <f>VLOOKUP($B470,dongia1,DG!$G$5,)</f>
        <v>0</v>
      </c>
      <c r="R470" s="554"/>
      <c r="S470" s="113">
        <f t="shared" si="270"/>
        <v>53008</v>
      </c>
      <c r="T470" s="113">
        <f t="shared" si="271"/>
        <v>0</v>
      </c>
      <c r="U470" s="557">
        <f t="shared" si="272"/>
        <v>0</v>
      </c>
    </row>
    <row r="471" spans="1:21" s="552" customFormat="1" ht="15" hidden="1" customHeight="1">
      <c r="A471" s="621"/>
      <c r="B471" s="666" t="s">
        <v>4608</v>
      </c>
      <c r="C471" s="558" t="str">
        <f ca="1">C470</f>
        <v xml:space="preserve"> </v>
      </c>
      <c r="D471" s="553"/>
      <c r="E471" s="694" t="str">
        <f>VLOOKUP($B471,dongia1,DG!$C$5,)</f>
        <v>Boulon 8x50+ 2 long đền vuông</v>
      </c>
      <c r="F471" s="555" t="str">
        <f>VLOOKUP($B471,dongia1,DG!$D$5,)</f>
        <v>bộ</v>
      </c>
      <c r="G471" s="205">
        <v>7</v>
      </c>
      <c r="H471" s="556">
        <f t="shared" ca="1" si="265"/>
        <v>0</v>
      </c>
      <c r="I471" s="556">
        <f t="shared" ca="1" si="266"/>
        <v>0</v>
      </c>
      <c r="J471" s="556">
        <f t="shared" ca="1" si="266"/>
        <v>0</v>
      </c>
      <c r="K471" s="556">
        <f t="shared" ca="1" si="266"/>
        <v>0</v>
      </c>
      <c r="L471" s="556">
        <f t="shared" ca="1" si="266"/>
        <v>0</v>
      </c>
      <c r="M471" s="556"/>
      <c r="N471" s="556">
        <f t="shared" ca="1" si="266"/>
        <v>0</v>
      </c>
      <c r="O471" s="556">
        <f t="shared" ca="1" si="266"/>
        <v>0</v>
      </c>
      <c r="P471" s="182">
        <f>VLOOKUP($B471,dongia1,DG!$F$5,)</f>
        <v>8400</v>
      </c>
      <c r="Q471" s="182">
        <f>VLOOKUP($B471,dongia1,DG!$G$5,)</f>
        <v>0</v>
      </c>
      <c r="R471" s="554"/>
      <c r="S471" s="113">
        <f t="shared" si="270"/>
        <v>58800</v>
      </c>
      <c r="T471" s="113">
        <f t="shared" si="271"/>
        <v>0</v>
      </c>
      <c r="U471" s="557">
        <f t="shared" si="272"/>
        <v>0</v>
      </c>
    </row>
    <row r="472" spans="1:21" s="552" customFormat="1" ht="15" hidden="1" customHeight="1">
      <c r="A472" s="621"/>
      <c r="B472" s="622" t="s">
        <v>1908</v>
      </c>
      <c r="C472" s="558" t="str">
        <f ca="1">C465</f>
        <v xml:space="preserve"> </v>
      </c>
      <c r="D472" s="553"/>
      <c r="E472" s="694" t="str">
        <f>VLOOKUP($B472,dongia1,DG!$C$5,)</f>
        <v>Kẹp ép WR cỡ dây 50mm2</v>
      </c>
      <c r="F472" s="555" t="str">
        <f>VLOOKUP($B472,dongia1,DG!$D$5,)</f>
        <v>cái</v>
      </c>
      <c r="G472" s="205">
        <v>2</v>
      </c>
      <c r="H472" s="556">
        <f t="shared" ca="1" si="265"/>
        <v>0</v>
      </c>
      <c r="I472" s="556">
        <f t="shared" ca="1" si="266"/>
        <v>0</v>
      </c>
      <c r="J472" s="556">
        <f t="shared" ca="1" si="266"/>
        <v>0</v>
      </c>
      <c r="K472" s="556">
        <f t="shared" ca="1" si="266"/>
        <v>0</v>
      </c>
      <c r="L472" s="556">
        <f t="shared" ca="1" si="266"/>
        <v>0</v>
      </c>
      <c r="M472" s="556"/>
      <c r="N472" s="556">
        <f t="shared" ca="1" si="266"/>
        <v>0</v>
      </c>
      <c r="O472" s="556">
        <f t="shared" ca="1" si="266"/>
        <v>0</v>
      </c>
      <c r="P472" s="182">
        <f>VLOOKUP($B472,dongia1,DG!$F$5,)</f>
        <v>8000</v>
      </c>
      <c r="Q472" s="182">
        <f>VLOOKUP($B472,dongia1,DG!$G$5,)</f>
        <v>0</v>
      </c>
      <c r="R472" s="554"/>
      <c r="S472" s="113">
        <f t="shared" si="267"/>
        <v>16000</v>
      </c>
      <c r="T472" s="113">
        <f t="shared" si="268"/>
        <v>0</v>
      </c>
      <c r="U472" s="557">
        <f t="shared" si="269"/>
        <v>0</v>
      </c>
    </row>
    <row r="473" spans="1:21" s="552" customFormat="1" ht="15" hidden="1" customHeight="1">
      <c r="A473" s="621"/>
      <c r="B473" s="622" t="s">
        <v>42</v>
      </c>
      <c r="C473" s="558" t="str">
        <f ca="1">C472</f>
        <v xml:space="preserve"> </v>
      </c>
      <c r="D473" s="553"/>
      <c r="E473" s="694" t="str">
        <f>VLOOKUP($B473,dongia1,DG!$C$5,)</f>
        <v>Đầu cosse ép Cu 50mm2</v>
      </c>
      <c r="F473" s="555" t="str">
        <f>VLOOKUP($B473,dongia1,DG!$D$5,)</f>
        <v>cái</v>
      </c>
      <c r="G473" s="205">
        <v>3</v>
      </c>
      <c r="H473" s="556">
        <f t="shared" ca="1" si="265"/>
        <v>0</v>
      </c>
      <c r="I473" s="556">
        <f t="shared" ca="1" si="266"/>
        <v>0</v>
      </c>
      <c r="J473" s="556">
        <f t="shared" ca="1" si="266"/>
        <v>0</v>
      </c>
      <c r="K473" s="556">
        <f t="shared" ca="1" si="266"/>
        <v>0</v>
      </c>
      <c r="L473" s="556">
        <f t="shared" ca="1" si="266"/>
        <v>0</v>
      </c>
      <c r="M473" s="556"/>
      <c r="N473" s="556">
        <f t="shared" ca="1" si="266"/>
        <v>0</v>
      </c>
      <c r="O473" s="556">
        <f t="shared" ca="1" si="266"/>
        <v>0</v>
      </c>
      <c r="P473" s="182">
        <f>VLOOKUP($B473,dongia1,DG!$F$5,)</f>
        <v>9100</v>
      </c>
      <c r="Q473" s="182">
        <f>VLOOKUP($B473,dongia1,DG!$G$5,)</f>
        <v>10608.955000000002</v>
      </c>
      <c r="R473" s="554"/>
      <c r="S473" s="113">
        <f>$G473*P473</f>
        <v>27300</v>
      </c>
      <c r="T473" s="113">
        <f>$G473*Q473</f>
        <v>31826.865000000005</v>
      </c>
      <c r="U473" s="557">
        <f>$G473*R473</f>
        <v>0</v>
      </c>
    </row>
    <row r="474" spans="1:21" s="552" customFormat="1" ht="15" hidden="1" customHeight="1">
      <c r="A474" s="621"/>
      <c r="B474" s="666" t="s">
        <v>4497</v>
      </c>
      <c r="C474" s="558" t="str">
        <f ca="1">C473</f>
        <v xml:space="preserve"> </v>
      </c>
      <c r="D474" s="553"/>
      <c r="E474" s="694" t="str">
        <f>VLOOKUP($B474,dongia1,DG!C$5,)</f>
        <v>Đai thép Inox</v>
      </c>
      <c r="F474" s="555" t="str">
        <f>VLOOKUP($B474,dongia1,DG!$D$5,)</f>
        <v>mét</v>
      </c>
      <c r="G474" s="205">
        <v>3</v>
      </c>
      <c r="H474" s="556">
        <f t="shared" ca="1" si="265"/>
        <v>0</v>
      </c>
      <c r="I474" s="556">
        <f t="shared" ca="1" si="266"/>
        <v>0</v>
      </c>
      <c r="J474" s="556">
        <f t="shared" ca="1" si="266"/>
        <v>0</v>
      </c>
      <c r="K474" s="556">
        <f t="shared" ca="1" si="266"/>
        <v>0</v>
      </c>
      <c r="L474" s="556">
        <f t="shared" ca="1" si="266"/>
        <v>0</v>
      </c>
      <c r="M474" s="556"/>
      <c r="N474" s="556">
        <f t="shared" ca="1" si="266"/>
        <v>0</v>
      </c>
      <c r="O474" s="556">
        <f t="shared" ca="1" si="266"/>
        <v>0</v>
      </c>
      <c r="P474" s="182">
        <f>VLOOKUP($B474,dongia1,DG!$F$5,)</f>
        <v>11000</v>
      </c>
      <c r="Q474" s="182">
        <f>VLOOKUP($B474,dongia1,DG!$G$5,)</f>
        <v>0</v>
      </c>
      <c r="R474" s="182">
        <f>VLOOKUP($B474,dongia1,DG!$H$5,)</f>
        <v>0</v>
      </c>
      <c r="S474" s="113">
        <f t="shared" si="267"/>
        <v>33000</v>
      </c>
      <c r="T474" s="113">
        <f t="shared" si="268"/>
        <v>0</v>
      </c>
      <c r="U474" s="557">
        <f t="shared" si="269"/>
        <v>0</v>
      </c>
    </row>
    <row r="475" spans="1:21" s="552" customFormat="1" ht="15" hidden="1" customHeight="1">
      <c r="A475" s="621"/>
      <c r="B475" s="666" t="s">
        <v>4499</v>
      </c>
      <c r="C475" s="558" t="str">
        <f ca="1">C474</f>
        <v xml:space="preserve"> </v>
      </c>
      <c r="D475" s="553"/>
      <c r="E475" s="694" t="str">
        <f>VLOOKUP($B475,dongia1,DG!C$5,)</f>
        <v>Khóa đai Inox</v>
      </c>
      <c r="F475" s="555" t="str">
        <f>VLOOKUP($B475,dongia1,DG!$D$5,)</f>
        <v>cái</v>
      </c>
      <c r="G475" s="205">
        <v>3</v>
      </c>
      <c r="H475" s="556">
        <f t="shared" ca="1" si="265"/>
        <v>0</v>
      </c>
      <c r="I475" s="556">
        <f t="shared" ca="1" si="266"/>
        <v>0</v>
      </c>
      <c r="J475" s="556">
        <f t="shared" ca="1" si="266"/>
        <v>0</v>
      </c>
      <c r="K475" s="556">
        <f t="shared" ca="1" si="266"/>
        <v>0</v>
      </c>
      <c r="L475" s="556">
        <f t="shared" ca="1" si="266"/>
        <v>0</v>
      </c>
      <c r="M475" s="556"/>
      <c r="N475" s="556">
        <f t="shared" ca="1" si="266"/>
        <v>0</v>
      </c>
      <c r="O475" s="556">
        <f t="shared" ca="1" si="266"/>
        <v>0</v>
      </c>
      <c r="P475" s="182">
        <f>VLOOKUP($B475,dongia1,DG!$F$5,)</f>
        <v>4000</v>
      </c>
      <c r="Q475" s="182"/>
      <c r="R475" s="554"/>
      <c r="S475" s="113">
        <f t="shared" si="267"/>
        <v>12000</v>
      </c>
      <c r="T475" s="113">
        <f t="shared" si="268"/>
        <v>0</v>
      </c>
      <c r="U475" s="557">
        <f t="shared" si="269"/>
        <v>0</v>
      </c>
    </row>
    <row r="476" spans="1:21" s="552" customFormat="1" ht="15" hidden="1" customHeight="1">
      <c r="A476" s="621"/>
      <c r="B476" s="622" t="s">
        <v>1859</v>
      </c>
      <c r="C476" s="558" t="str">
        <f ca="1">C472</f>
        <v xml:space="preserve"> </v>
      </c>
      <c r="D476" s="553"/>
      <c r="E476" s="694" t="str">
        <f>VLOOKUP($B476,dongia1,DG!$C$5,)</f>
        <v xml:space="preserve">Kéo dây tiếp địa </v>
      </c>
      <c r="F476" s="555" t="str">
        <f>VLOOKUP($B476,dongia1,DG!$D$5,)</f>
        <v>kg</v>
      </c>
      <c r="G476" s="205">
        <f>G464</f>
        <v>3.1360000000000001</v>
      </c>
      <c r="H476" s="556">
        <f t="shared" ca="1" si="265"/>
        <v>0</v>
      </c>
      <c r="I476" s="556">
        <f t="shared" ca="1" si="266"/>
        <v>0</v>
      </c>
      <c r="J476" s="556">
        <f t="shared" ca="1" si="266"/>
        <v>0</v>
      </c>
      <c r="K476" s="556">
        <f t="shared" ca="1" si="266"/>
        <v>0</v>
      </c>
      <c r="L476" s="556">
        <f t="shared" ca="1" si="266"/>
        <v>0</v>
      </c>
      <c r="M476" s="556"/>
      <c r="N476" s="556">
        <f t="shared" ca="1" si="266"/>
        <v>0</v>
      </c>
      <c r="O476" s="556">
        <f t="shared" ca="1" si="266"/>
        <v>0</v>
      </c>
      <c r="P476" s="554"/>
      <c r="Q476" s="182">
        <f>VLOOKUP($B476,dongia1,DG!$G$5,)</f>
        <v>2578.65</v>
      </c>
      <c r="R476" s="554"/>
      <c r="S476" s="113">
        <f t="shared" si="267"/>
        <v>0</v>
      </c>
      <c r="T476" s="113">
        <f t="shared" si="268"/>
        <v>8086.6464000000005</v>
      </c>
      <c r="U476" s="557">
        <f t="shared" si="269"/>
        <v>0</v>
      </c>
    </row>
    <row r="477" spans="1:21" s="552" customFormat="1" ht="15" hidden="1" customHeight="1">
      <c r="A477" s="621"/>
      <c r="B477" s="622" t="s">
        <v>665</v>
      </c>
      <c r="C477" s="558" t="str">
        <f ca="1">C476</f>
        <v xml:space="preserve"> </v>
      </c>
      <c r="D477" s="553"/>
      <c r="E477" s="694" t="str">
        <f>VLOOKUP($B477,dongia1,DG!$C$5,)</f>
        <v>Đào rãnh tiếp địa đất cấp 3</v>
      </c>
      <c r="F477" s="555" t="str">
        <f>VLOOKUP($B477,dongia1,DG!$D$5,)</f>
        <v>m3</v>
      </c>
      <c r="G477" s="205">
        <f>(3.5+10)*0.3*0.5</f>
        <v>2.0249999999999999</v>
      </c>
      <c r="H477" s="556">
        <f t="shared" ca="1" si="265"/>
        <v>0</v>
      </c>
      <c r="I477" s="556">
        <f t="shared" ref="I477:L478" ca="1" si="273">I$480*$G477</f>
        <v>0</v>
      </c>
      <c r="J477" s="556">
        <f t="shared" ca="1" si="273"/>
        <v>0</v>
      </c>
      <c r="K477" s="556">
        <f t="shared" ca="1" si="273"/>
        <v>0</v>
      </c>
      <c r="L477" s="556">
        <f t="shared" ca="1" si="273"/>
        <v>0</v>
      </c>
      <c r="M477" s="556"/>
      <c r="N477" s="556">
        <f ca="1">N$480*$G477</f>
        <v>0</v>
      </c>
      <c r="O477" s="556">
        <f ca="1">O$480*$G477</f>
        <v>0</v>
      </c>
      <c r="P477" s="554"/>
      <c r="Q477" s="182">
        <f>VLOOKUP($B477,dongia1,DG!$G$5,)</f>
        <v>283749.75</v>
      </c>
      <c r="R477" s="554"/>
      <c r="S477" s="113">
        <f t="shared" si="267"/>
        <v>0</v>
      </c>
      <c r="T477" s="113">
        <f t="shared" si="268"/>
        <v>574593.24375000002</v>
      </c>
      <c r="U477" s="557">
        <f t="shared" si="269"/>
        <v>0</v>
      </c>
    </row>
    <row r="478" spans="1:21" s="552" customFormat="1" ht="15" hidden="1" customHeight="1">
      <c r="A478" s="621"/>
      <c r="B478" s="622" t="s">
        <v>1985</v>
      </c>
      <c r="C478" s="558" t="str">
        <f ca="1">C477</f>
        <v xml:space="preserve"> </v>
      </c>
      <c r="D478" s="553"/>
      <c r="E478" s="694" t="str">
        <f>VLOOKUP($B478,dongia1,DG!$C$5,)</f>
        <v>Đắp đất rãnh tiếp địa cấp 3 (độ chặt k = 0.85)</v>
      </c>
      <c r="F478" s="555" t="str">
        <f>VLOOKUP($B478,dongia1,DG!$D$5,)</f>
        <v>m3</v>
      </c>
      <c r="G478" s="205">
        <f>G477</f>
        <v>2.0249999999999999</v>
      </c>
      <c r="H478" s="556">
        <f t="shared" ca="1" si="265"/>
        <v>0</v>
      </c>
      <c r="I478" s="556">
        <f t="shared" ca="1" si="273"/>
        <v>0</v>
      </c>
      <c r="J478" s="556">
        <f t="shared" ca="1" si="273"/>
        <v>0</v>
      </c>
      <c r="K478" s="556">
        <f t="shared" ca="1" si="273"/>
        <v>0</v>
      </c>
      <c r="L478" s="556">
        <f t="shared" ca="1" si="273"/>
        <v>0</v>
      </c>
      <c r="M478" s="556"/>
      <c r="N478" s="556">
        <f ca="1">N$480*$G478</f>
        <v>0</v>
      </c>
      <c r="O478" s="556">
        <f ca="1">O$480*$G478</f>
        <v>0</v>
      </c>
      <c r="P478" s="554"/>
      <c r="Q478" s="182">
        <f>VLOOKUP($B478,dongia1,DG!$G$5,)</f>
        <v>117703.6</v>
      </c>
      <c r="R478" s="554"/>
      <c r="S478" s="113">
        <f t="shared" si="267"/>
        <v>0</v>
      </c>
      <c r="T478" s="113">
        <f t="shared" si="268"/>
        <v>238349.79</v>
      </c>
      <c r="U478" s="557">
        <f t="shared" si="269"/>
        <v>0</v>
      </c>
    </row>
    <row r="479" spans="1:21" s="552" customFormat="1" ht="15" hidden="1" customHeight="1">
      <c r="A479" s="621"/>
      <c r="B479" s="622" t="s">
        <v>102</v>
      </c>
      <c r="C479" s="558" t="str">
        <f ca="1">C476</f>
        <v xml:space="preserve"> </v>
      </c>
      <c r="D479" s="553"/>
      <c r="E479" s="694" t="str">
        <f>VLOOKUP($B479,dongia1,DG!$C$5,)</f>
        <v>Đóng cọc tiếp địa đất cấp 3 dài 2,5m</v>
      </c>
      <c r="F479" s="555" t="str">
        <f>VLOOKUP($B479,dongia1,DG!$D$5,)</f>
        <v>cọc</v>
      </c>
      <c r="G479" s="205">
        <f>G465</f>
        <v>4</v>
      </c>
      <c r="H479" s="556">
        <f t="shared" ca="1" si="265"/>
        <v>0</v>
      </c>
      <c r="I479" s="556">
        <f t="shared" ca="1" si="266"/>
        <v>0</v>
      </c>
      <c r="J479" s="556">
        <f t="shared" ca="1" si="266"/>
        <v>0</v>
      </c>
      <c r="K479" s="556">
        <f t="shared" ca="1" si="266"/>
        <v>0</v>
      </c>
      <c r="L479" s="556">
        <f t="shared" ca="1" si="266"/>
        <v>0</v>
      </c>
      <c r="M479" s="556"/>
      <c r="N479" s="556">
        <f t="shared" ca="1" si="266"/>
        <v>0</v>
      </c>
      <c r="O479" s="556">
        <f t="shared" ca="1" si="266"/>
        <v>0</v>
      </c>
      <c r="P479" s="554"/>
      <c r="Q479" s="182">
        <f>VLOOKUP($B479,dongia1,DG!$G$5,)</f>
        <v>90355.896000000008</v>
      </c>
      <c r="R479" s="554"/>
      <c r="S479" s="113">
        <f t="shared" si="267"/>
        <v>0</v>
      </c>
      <c r="T479" s="113">
        <f t="shared" si="268"/>
        <v>361423.58400000003</v>
      </c>
      <c r="U479" s="718">
        <f t="shared" si="269"/>
        <v>0</v>
      </c>
    </row>
    <row r="480" spans="1:21" s="552" customFormat="1" ht="15" hidden="1" customHeight="1">
      <c r="A480" s="621" t="s">
        <v>812</v>
      </c>
      <c r="B480" s="622"/>
      <c r="C480" s="558" t="str">
        <f ca="1">IF(H480&lt;&gt;0,"x"," ")</f>
        <v xml:space="preserve"> </v>
      </c>
      <c r="D480" s="553"/>
      <c r="E480" s="727" t="s">
        <v>3544</v>
      </c>
      <c r="F480" s="600" t="s">
        <v>2113</v>
      </c>
      <c r="G480" s="205"/>
      <c r="H480" s="556">
        <f ca="1">SUM(I480:O480)</f>
        <v>0</v>
      </c>
      <c r="I480" s="556">
        <f ca="1">SUMIF(tdll3pm,chitiet!$E480,sltdll3pm)</f>
        <v>0</v>
      </c>
      <c r="J480" s="556">
        <f ca="1">SUMIF(tdllct,chitiet!$E480,sltdllct)</f>
        <v>0</v>
      </c>
      <c r="K480" s="556">
        <f ca="1">SUMIF(tdll3p1m,chitiet!$E480,sltdll3p1m)</f>
        <v>0</v>
      </c>
      <c r="L480" s="556">
        <f ca="1">SUMIF(tdll1pm,chitiet!$E480,sltdll1pm)</f>
        <v>0</v>
      </c>
      <c r="M480" s="556">
        <f ca="1">SUMIF(tdllHTHH,chitiet!$E480,sltdllhthh)</f>
        <v>0</v>
      </c>
      <c r="N480" s="556">
        <f ca="1">SUMIF(tdllHTDL,chitiet!$E480,sltdllhtdl)</f>
        <v>0</v>
      </c>
      <c r="O480" s="556">
        <f ca="1">SUMIF(tdllHTCS,chitiet!$E480,sltdllHTCS)</f>
        <v>0</v>
      </c>
      <c r="P480" s="554"/>
      <c r="Q480" s="554"/>
      <c r="R480" s="554"/>
      <c r="S480" s="601">
        <f>SUM(S481:S487)</f>
        <v>360781</v>
      </c>
      <c r="T480" s="601">
        <f>SUM(T481:T487)</f>
        <v>381135.16080000001</v>
      </c>
      <c r="U480" s="714">
        <f>SUM(U481:U487)</f>
        <v>0</v>
      </c>
    </row>
    <row r="481" spans="1:21" s="552" customFormat="1" ht="15" hidden="1" customHeight="1">
      <c r="A481" s="621"/>
      <c r="B481" s="622" t="s">
        <v>584</v>
      </c>
      <c r="C481" s="558" t="str">
        <f t="shared" ref="C481:C486" ca="1" si="274">C480</f>
        <v xml:space="preserve"> </v>
      </c>
      <c r="D481" s="553"/>
      <c r="E481" s="694" t="str">
        <f>VLOOKUP($B481,dongia1,DG!$C$5,)&amp;" : 3m"</f>
        <v>Cáp đồng trần M25mm2 : 3m</v>
      </c>
      <c r="F481" s="555" t="str">
        <f>VLOOKUP($B481,dongia1,DG!$D$5,)</f>
        <v>kg</v>
      </c>
      <c r="G481" s="205">
        <f>3*0.224</f>
        <v>0.67200000000000004</v>
      </c>
      <c r="H481" s="556">
        <f t="shared" ref="H481:H487" ca="1" si="275">H$480*$G481</f>
        <v>0</v>
      </c>
      <c r="I481" s="556">
        <f t="shared" ref="I481:O487" ca="1" si="276">I$480*$G481</f>
        <v>0</v>
      </c>
      <c r="J481" s="556">
        <f t="shared" ca="1" si="276"/>
        <v>0</v>
      </c>
      <c r="K481" s="556">
        <f t="shared" ca="1" si="276"/>
        <v>0</v>
      </c>
      <c r="L481" s="556">
        <f t="shared" ca="1" si="276"/>
        <v>0</v>
      </c>
      <c r="M481" s="556"/>
      <c r="N481" s="556">
        <f t="shared" ca="1" si="276"/>
        <v>0</v>
      </c>
      <c r="O481" s="556">
        <f t="shared" ca="1" si="276"/>
        <v>0</v>
      </c>
      <c r="P481" s="182">
        <f>VLOOKUP($B481,dongia1,DG!$F$5,)</f>
        <v>255500</v>
      </c>
      <c r="Q481" s="554"/>
      <c r="R481" s="554"/>
      <c r="S481" s="113">
        <f t="shared" ref="S481:U487" si="277">$G481*P481</f>
        <v>171696</v>
      </c>
      <c r="T481" s="113">
        <f t="shared" si="277"/>
        <v>0</v>
      </c>
      <c r="U481" s="557">
        <f t="shared" si="277"/>
        <v>0</v>
      </c>
    </row>
    <row r="482" spans="1:21" s="552" customFormat="1" ht="15" hidden="1" customHeight="1">
      <c r="A482" s="621"/>
      <c r="B482" s="622" t="s">
        <v>1098</v>
      </c>
      <c r="C482" s="558" t="str">
        <f t="shared" ca="1" si="274"/>
        <v xml:space="preserve"> </v>
      </c>
      <c r="D482" s="553"/>
      <c r="E482" s="694" t="str">
        <f>VLOOKUP($B482,dongia1,DG!$C$5,)</f>
        <v>Cọc tiếp đất Þ 16- 2,4m + kẹp cọc</v>
      </c>
      <c r="F482" s="555" t="str">
        <f>VLOOKUP($B482,dongia1,DG!$D$5,)</f>
        <v>bộ</v>
      </c>
      <c r="G482" s="205">
        <v>1</v>
      </c>
      <c r="H482" s="556">
        <f t="shared" ca="1" si="275"/>
        <v>0</v>
      </c>
      <c r="I482" s="556">
        <f t="shared" ca="1" si="276"/>
        <v>0</v>
      </c>
      <c r="J482" s="556">
        <f t="shared" ca="1" si="276"/>
        <v>0</v>
      </c>
      <c r="K482" s="556">
        <f t="shared" ca="1" si="276"/>
        <v>0</v>
      </c>
      <c r="L482" s="556">
        <f t="shared" ca="1" si="276"/>
        <v>0</v>
      </c>
      <c r="M482" s="556"/>
      <c r="N482" s="556">
        <f t="shared" ca="1" si="276"/>
        <v>0</v>
      </c>
      <c r="O482" s="556">
        <f t="shared" ca="1" si="276"/>
        <v>0</v>
      </c>
      <c r="P482" s="182">
        <f>VLOOKUP($B482,dongia1,DG!$F$5,)</f>
        <v>160000</v>
      </c>
      <c r="Q482" s="554"/>
      <c r="R482" s="554"/>
      <c r="S482" s="113">
        <f t="shared" si="277"/>
        <v>160000</v>
      </c>
      <c r="T482" s="113">
        <f t="shared" si="277"/>
        <v>0</v>
      </c>
      <c r="U482" s="557">
        <f t="shared" si="277"/>
        <v>0</v>
      </c>
    </row>
    <row r="483" spans="1:21" s="552" customFormat="1" ht="15" hidden="1" customHeight="1">
      <c r="A483" s="621"/>
      <c r="B483" s="622" t="s">
        <v>1465</v>
      </c>
      <c r="C483" s="558" t="str">
        <f t="shared" ca="1" si="274"/>
        <v xml:space="preserve"> </v>
      </c>
      <c r="D483" s="553"/>
      <c r="E483" s="694" t="str">
        <f>VLOOKUP($B483,dongia1,DG!$C$5,)</f>
        <v>Ghíp nối IPC 50-35</v>
      </c>
      <c r="F483" s="555" t="str">
        <f>VLOOKUP($B483,dongia1,DG!$D$5,)</f>
        <v>cái</v>
      </c>
      <c r="G483" s="205">
        <v>1</v>
      </c>
      <c r="H483" s="556">
        <f t="shared" ca="1" si="275"/>
        <v>0</v>
      </c>
      <c r="I483" s="556">
        <f t="shared" ca="1" si="276"/>
        <v>0</v>
      </c>
      <c r="J483" s="556">
        <f t="shared" ca="1" si="276"/>
        <v>0</v>
      </c>
      <c r="K483" s="556">
        <f t="shared" ca="1" si="276"/>
        <v>0</v>
      </c>
      <c r="L483" s="556">
        <f t="shared" ca="1" si="276"/>
        <v>0</v>
      </c>
      <c r="M483" s="556"/>
      <c r="N483" s="556">
        <f t="shared" ca="1" si="276"/>
        <v>0</v>
      </c>
      <c r="O483" s="556">
        <f t="shared" ca="1" si="276"/>
        <v>0</v>
      </c>
      <c r="P483" s="182">
        <f>VLOOKUP($B483,dongia1,DG!$F$5,)</f>
        <v>29085</v>
      </c>
      <c r="Q483" s="182"/>
      <c r="R483" s="554"/>
      <c r="S483" s="113">
        <f t="shared" si="277"/>
        <v>29085</v>
      </c>
      <c r="T483" s="113">
        <f t="shared" si="277"/>
        <v>0</v>
      </c>
      <c r="U483" s="557">
        <f t="shared" si="277"/>
        <v>0</v>
      </c>
    </row>
    <row r="484" spans="1:21" s="552" customFormat="1" ht="15" hidden="1" customHeight="1">
      <c r="A484" s="621"/>
      <c r="B484" s="622" t="s">
        <v>1859</v>
      </c>
      <c r="C484" s="558" t="str">
        <f t="shared" ca="1" si="274"/>
        <v xml:space="preserve"> </v>
      </c>
      <c r="D484" s="553"/>
      <c r="E484" s="694" t="str">
        <f>VLOOKUP($B484,dongia1,DG!$C$5,)</f>
        <v xml:space="preserve">Kéo dây tiếp địa </v>
      </c>
      <c r="F484" s="555" t="str">
        <f>VLOOKUP($B484,dongia1,DG!$D$5,)</f>
        <v>kg</v>
      </c>
      <c r="G484" s="205">
        <f>G481</f>
        <v>0.67200000000000004</v>
      </c>
      <c r="H484" s="556">
        <f t="shared" ca="1" si="275"/>
        <v>0</v>
      </c>
      <c r="I484" s="556">
        <f t="shared" ca="1" si="276"/>
        <v>0</v>
      </c>
      <c r="J484" s="556">
        <f t="shared" ca="1" si="276"/>
        <v>0</v>
      </c>
      <c r="K484" s="556">
        <f t="shared" ca="1" si="276"/>
        <v>0</v>
      </c>
      <c r="L484" s="556">
        <f t="shared" ca="1" si="276"/>
        <v>0</v>
      </c>
      <c r="M484" s="556"/>
      <c r="N484" s="556">
        <f t="shared" ca="1" si="276"/>
        <v>0</v>
      </c>
      <c r="O484" s="556">
        <f t="shared" ca="1" si="276"/>
        <v>0</v>
      </c>
      <c r="P484" s="554"/>
      <c r="Q484" s="182">
        <f>VLOOKUP($B484,dongia1,DG!$G$5,)</f>
        <v>2578.65</v>
      </c>
      <c r="R484" s="554"/>
      <c r="S484" s="113">
        <f t="shared" si="277"/>
        <v>0</v>
      </c>
      <c r="T484" s="113">
        <f t="shared" si="277"/>
        <v>1732.8528000000001</v>
      </c>
      <c r="U484" s="557">
        <f t="shared" si="277"/>
        <v>0</v>
      </c>
    </row>
    <row r="485" spans="1:21" s="552" customFormat="1" ht="15" hidden="1" customHeight="1">
      <c r="A485" s="621"/>
      <c r="B485" s="622" t="s">
        <v>665</v>
      </c>
      <c r="C485" s="558" t="str">
        <f t="shared" ca="1" si="274"/>
        <v xml:space="preserve"> </v>
      </c>
      <c r="D485" s="553"/>
      <c r="E485" s="694" t="str">
        <f>VLOOKUP($B485,dongia1,DG!$C$5,)</f>
        <v>Đào rãnh tiếp địa đất cấp 3</v>
      </c>
      <c r="F485" s="555" t="str">
        <f>VLOOKUP($B485,dongia1,DG!$D$5,)</f>
        <v>m3</v>
      </c>
      <c r="G485" s="205">
        <f>3*0.3*0.8</f>
        <v>0.72</v>
      </c>
      <c r="H485" s="556">
        <f t="shared" ca="1" si="275"/>
        <v>0</v>
      </c>
      <c r="I485" s="556">
        <f t="shared" ca="1" si="276"/>
        <v>0</v>
      </c>
      <c r="J485" s="556">
        <f t="shared" ca="1" si="276"/>
        <v>0</v>
      </c>
      <c r="K485" s="556">
        <f t="shared" ca="1" si="276"/>
        <v>0</v>
      </c>
      <c r="L485" s="556">
        <f t="shared" ca="1" si="276"/>
        <v>0</v>
      </c>
      <c r="M485" s="556"/>
      <c r="N485" s="556">
        <f t="shared" ca="1" si="276"/>
        <v>0</v>
      </c>
      <c r="O485" s="556">
        <f t="shared" ca="1" si="276"/>
        <v>0</v>
      </c>
      <c r="P485" s="554"/>
      <c r="Q485" s="182">
        <f>VLOOKUP($B485,dongia1,DG!$G$5,)</f>
        <v>283749.75</v>
      </c>
      <c r="R485" s="554"/>
      <c r="S485" s="113">
        <f t="shared" ref="S485:U486" si="278">$G485*P485</f>
        <v>0</v>
      </c>
      <c r="T485" s="113">
        <f t="shared" si="278"/>
        <v>204299.82</v>
      </c>
      <c r="U485" s="557">
        <f t="shared" si="278"/>
        <v>0</v>
      </c>
    </row>
    <row r="486" spans="1:21" s="552" customFormat="1" ht="15" hidden="1" customHeight="1">
      <c r="A486" s="621"/>
      <c r="B486" s="622" t="s">
        <v>1985</v>
      </c>
      <c r="C486" s="558" t="str">
        <f t="shared" ca="1" si="274"/>
        <v xml:space="preserve"> </v>
      </c>
      <c r="D486" s="553"/>
      <c r="E486" s="694" t="str">
        <f>VLOOKUP($B486,dongia1,DG!$C$5,)</f>
        <v>Đắp đất rãnh tiếp địa cấp 3 (độ chặt k = 0.85)</v>
      </c>
      <c r="F486" s="555" t="str">
        <f>VLOOKUP($B486,dongia1,DG!$D$5,)</f>
        <v>m3</v>
      </c>
      <c r="G486" s="205">
        <f>G485</f>
        <v>0.72</v>
      </c>
      <c r="H486" s="556">
        <f t="shared" ca="1" si="275"/>
        <v>0</v>
      </c>
      <c r="I486" s="556">
        <f t="shared" ca="1" si="276"/>
        <v>0</v>
      </c>
      <c r="J486" s="556">
        <f t="shared" ca="1" si="276"/>
        <v>0</v>
      </c>
      <c r="K486" s="556">
        <f t="shared" ca="1" si="276"/>
        <v>0</v>
      </c>
      <c r="L486" s="556">
        <f t="shared" ca="1" si="276"/>
        <v>0</v>
      </c>
      <c r="M486" s="556"/>
      <c r="N486" s="556">
        <f t="shared" ca="1" si="276"/>
        <v>0</v>
      </c>
      <c r="O486" s="556">
        <f t="shared" ca="1" si="276"/>
        <v>0</v>
      </c>
      <c r="P486" s="554"/>
      <c r="Q486" s="182">
        <f>VLOOKUP($B486,dongia1,DG!$G$5,)</f>
        <v>117703.6</v>
      </c>
      <c r="R486" s="554"/>
      <c r="S486" s="113">
        <f t="shared" si="278"/>
        <v>0</v>
      </c>
      <c r="T486" s="113">
        <f t="shared" si="278"/>
        <v>84746.592000000004</v>
      </c>
      <c r="U486" s="557">
        <f t="shared" si="278"/>
        <v>0</v>
      </c>
    </row>
    <row r="487" spans="1:21" s="552" customFormat="1" ht="15" hidden="1" customHeight="1">
      <c r="A487" s="621"/>
      <c r="B487" s="622" t="s">
        <v>102</v>
      </c>
      <c r="C487" s="558" t="str">
        <f ca="1">C484</f>
        <v xml:space="preserve"> </v>
      </c>
      <c r="D487" s="553"/>
      <c r="E487" s="694" t="str">
        <f>VLOOKUP($B487,dongia1,DG!$C$5,)</f>
        <v>Đóng cọc tiếp địa đất cấp 3 dài 2,5m</v>
      </c>
      <c r="F487" s="555" t="str">
        <f>VLOOKUP($B487,dongia1,DG!$D$5,)</f>
        <v>cọc</v>
      </c>
      <c r="G487" s="205">
        <v>1</v>
      </c>
      <c r="H487" s="556">
        <f t="shared" ca="1" si="275"/>
        <v>0</v>
      </c>
      <c r="I487" s="556">
        <f t="shared" ca="1" si="276"/>
        <v>0</v>
      </c>
      <c r="J487" s="556">
        <f t="shared" ca="1" si="276"/>
        <v>0</v>
      </c>
      <c r="K487" s="556">
        <f t="shared" ca="1" si="276"/>
        <v>0</v>
      </c>
      <c r="L487" s="556">
        <f t="shared" ca="1" si="276"/>
        <v>0</v>
      </c>
      <c r="M487" s="556"/>
      <c r="N487" s="556">
        <f t="shared" ca="1" si="276"/>
        <v>0</v>
      </c>
      <c r="O487" s="556">
        <f t="shared" ca="1" si="276"/>
        <v>0</v>
      </c>
      <c r="P487" s="554"/>
      <c r="Q487" s="182">
        <f>VLOOKUP($B487,dongia1,DG!$G$5,)</f>
        <v>90355.896000000008</v>
      </c>
      <c r="R487" s="554"/>
      <c r="S487" s="113">
        <f t="shared" si="277"/>
        <v>0</v>
      </c>
      <c r="T487" s="113">
        <f t="shared" si="277"/>
        <v>90355.896000000008</v>
      </c>
      <c r="U487" s="557">
        <f t="shared" si="277"/>
        <v>0</v>
      </c>
    </row>
    <row r="488" spans="1:21" s="552" customFormat="1" ht="15" hidden="1" customHeight="1">
      <c r="A488" s="621" t="s">
        <v>1737</v>
      </c>
      <c r="B488" s="622"/>
      <c r="C488" s="558" t="str">
        <f ca="1">IF(H488&lt;&gt;0,"x"," ")</f>
        <v xml:space="preserve"> </v>
      </c>
      <c r="D488" s="553"/>
      <c r="E488" s="727" t="s">
        <v>3545</v>
      </c>
      <c r="F488" s="600" t="s">
        <v>2113</v>
      </c>
      <c r="G488" s="205"/>
      <c r="H488" s="556">
        <f ca="1">SUM(I488:O488)</f>
        <v>0</v>
      </c>
      <c r="I488" s="556">
        <f ca="1">SUMIF(tdll3pm,chitiet!$E488,sltdll3pm)</f>
        <v>0</v>
      </c>
      <c r="J488" s="556">
        <f ca="1">SUMIF(tdllct,chitiet!$E488,sltdllct)</f>
        <v>0</v>
      </c>
      <c r="K488" s="556">
        <f ca="1">SUMIF(tdll3p1m,chitiet!$E488,sltdll3p1m)</f>
        <v>0</v>
      </c>
      <c r="L488" s="556">
        <f ca="1">SUMIF(tdll1pm,chitiet!$E488,sltdll1pm)</f>
        <v>0</v>
      </c>
      <c r="M488" s="556">
        <f ca="1">SUMIF(tdllHTHH,chitiet!$E488,sltdllhthh)</f>
        <v>0</v>
      </c>
      <c r="N488" s="556">
        <f ca="1">SUMIF(tdllHTDL,chitiet!$E488,sltdllhtdl)</f>
        <v>0</v>
      </c>
      <c r="O488" s="556">
        <f ca="1">SUMIF(tdllHTCS,chitiet!$E488,sltdllHTCS)</f>
        <v>0</v>
      </c>
      <c r="P488" s="554"/>
      <c r="Q488" s="554"/>
      <c r="R488" s="554"/>
      <c r="S488" s="601">
        <f>SUM(S489:S495)</f>
        <v>825820</v>
      </c>
      <c r="T488" s="601">
        <f>SUM(T489:T495)</f>
        <v>108256.592</v>
      </c>
      <c r="U488" s="602">
        <f>SUM(U489:U495)</f>
        <v>5554.0464950000005</v>
      </c>
    </row>
    <row r="489" spans="1:21" s="552" customFormat="1" ht="15" hidden="1" customHeight="1">
      <c r="A489" s="621"/>
      <c r="B489" s="622" t="s">
        <v>584</v>
      </c>
      <c r="C489" s="558" t="str">
        <f ca="1">C488</f>
        <v xml:space="preserve"> </v>
      </c>
      <c r="D489" s="553"/>
      <c r="E489" s="694" t="str">
        <f>VLOOKUP($B489,dongia1,DG!C$5,)&amp;" : 10m"</f>
        <v>Cáp đồng trần M25mm2 : 10m</v>
      </c>
      <c r="F489" s="555" t="str">
        <f>VLOOKUP($B489,dongia1,DG!$D$5,)</f>
        <v>kg</v>
      </c>
      <c r="G489" s="205">
        <f>10*0.224</f>
        <v>2.2400000000000002</v>
      </c>
      <c r="H489" s="556">
        <f t="shared" ref="H489:H495" ca="1" si="279">H$488*$G489</f>
        <v>0</v>
      </c>
      <c r="I489" s="556">
        <f t="shared" ref="I489:O495" ca="1" si="280">I$488*$G489</f>
        <v>0</v>
      </c>
      <c r="J489" s="556">
        <f t="shared" ca="1" si="280"/>
        <v>0</v>
      </c>
      <c r="K489" s="556">
        <f t="shared" ca="1" si="280"/>
        <v>0</v>
      </c>
      <c r="L489" s="556">
        <f t="shared" ca="1" si="280"/>
        <v>0</v>
      </c>
      <c r="M489" s="556"/>
      <c r="N489" s="556">
        <f t="shared" ca="1" si="280"/>
        <v>0</v>
      </c>
      <c r="O489" s="556">
        <f t="shared" ca="1" si="280"/>
        <v>0</v>
      </c>
      <c r="P489" s="182">
        <f>VLOOKUP($B489,dongia1,DG!$F$5,)</f>
        <v>255500</v>
      </c>
      <c r="Q489" s="554"/>
      <c r="R489" s="554"/>
      <c r="S489" s="113">
        <f>$G489*P489</f>
        <v>572320</v>
      </c>
      <c r="T489" s="113">
        <f t="shared" ref="S489:U495" si="281">$G489*Q489</f>
        <v>0</v>
      </c>
      <c r="U489" s="557">
        <f t="shared" si="281"/>
        <v>0</v>
      </c>
    </row>
    <row r="490" spans="1:21" s="552" customFormat="1" ht="15" hidden="1" customHeight="1">
      <c r="A490" s="621"/>
      <c r="B490" s="622" t="s">
        <v>1098</v>
      </c>
      <c r="C490" s="558" t="str">
        <f ca="1">C489</f>
        <v xml:space="preserve"> </v>
      </c>
      <c r="D490" s="553"/>
      <c r="E490" s="694" t="str">
        <f>VLOOKUP($B490,dongia1,DG!C$5,)</f>
        <v>Cọc tiếp đất Þ 16- 2,4m + kẹp cọc</v>
      </c>
      <c r="F490" s="555" t="str">
        <f>VLOOKUP($B490,dongia1,DG!$D$5,)</f>
        <v>bộ</v>
      </c>
      <c r="G490" s="205">
        <v>1</v>
      </c>
      <c r="H490" s="556">
        <f t="shared" ca="1" si="279"/>
        <v>0</v>
      </c>
      <c r="I490" s="556">
        <f t="shared" ca="1" si="280"/>
        <v>0</v>
      </c>
      <c r="J490" s="556">
        <f t="shared" ca="1" si="280"/>
        <v>0</v>
      </c>
      <c r="K490" s="556">
        <f t="shared" ca="1" si="280"/>
        <v>0</v>
      </c>
      <c r="L490" s="556">
        <f t="shared" ca="1" si="280"/>
        <v>0</v>
      </c>
      <c r="M490" s="556"/>
      <c r="N490" s="556">
        <f t="shared" ca="1" si="280"/>
        <v>0</v>
      </c>
      <c r="O490" s="556">
        <f t="shared" ca="1" si="280"/>
        <v>0</v>
      </c>
      <c r="P490" s="182">
        <f>VLOOKUP($B490,dongia1,DG!$F$5,)</f>
        <v>160000</v>
      </c>
      <c r="Q490" s="554"/>
      <c r="R490" s="554"/>
      <c r="S490" s="113">
        <f t="shared" si="281"/>
        <v>160000</v>
      </c>
      <c r="T490" s="113">
        <f t="shared" si="281"/>
        <v>0</v>
      </c>
      <c r="U490" s="557">
        <f t="shared" si="281"/>
        <v>0</v>
      </c>
    </row>
    <row r="491" spans="1:21" s="552" customFormat="1" ht="15" hidden="1" customHeight="1">
      <c r="A491" s="621"/>
      <c r="B491" s="622" t="s">
        <v>2027</v>
      </c>
      <c r="C491" s="558" t="str">
        <f ca="1">C490</f>
        <v xml:space="preserve"> </v>
      </c>
      <c r="D491" s="553"/>
      <c r="E491" s="694" t="str">
        <f>VLOOKUP($B491,dongia1,DG!C$5,)</f>
        <v>Kẹp 2 rãnh đồng-nhôm 50mm2</v>
      </c>
      <c r="F491" s="555" t="str">
        <f>VLOOKUP($B491,dongia1,DG!$D$5,)</f>
        <v>cái</v>
      </c>
      <c r="G491" s="205">
        <v>2</v>
      </c>
      <c r="H491" s="556">
        <f t="shared" ca="1" si="279"/>
        <v>0</v>
      </c>
      <c r="I491" s="556">
        <f t="shared" ca="1" si="280"/>
        <v>0</v>
      </c>
      <c r="J491" s="556">
        <f t="shared" ca="1" si="280"/>
        <v>0</v>
      </c>
      <c r="K491" s="556">
        <f t="shared" ca="1" si="280"/>
        <v>0</v>
      </c>
      <c r="L491" s="556">
        <f t="shared" ca="1" si="280"/>
        <v>0</v>
      </c>
      <c r="M491" s="556"/>
      <c r="N491" s="556">
        <f t="shared" ca="1" si="280"/>
        <v>0</v>
      </c>
      <c r="O491" s="556">
        <f t="shared" ca="1" si="280"/>
        <v>0</v>
      </c>
      <c r="P491" s="182">
        <f>VLOOKUP($B491,dongia1,DG!$F$5,)</f>
        <v>36000</v>
      </c>
      <c r="Q491" s="182"/>
      <c r="R491" s="554"/>
      <c r="S491" s="113">
        <f t="shared" si="281"/>
        <v>72000</v>
      </c>
      <c r="T491" s="113">
        <f t="shared" si="281"/>
        <v>0</v>
      </c>
      <c r="U491" s="557">
        <f t="shared" si="281"/>
        <v>0</v>
      </c>
    </row>
    <row r="492" spans="1:21" s="552" customFormat="1" ht="15" hidden="1" customHeight="1">
      <c r="A492" s="621"/>
      <c r="B492" s="622" t="s">
        <v>971</v>
      </c>
      <c r="C492" s="558" t="str">
        <f ca="1">C491</f>
        <v xml:space="preserve"> </v>
      </c>
      <c r="D492" s="553"/>
      <c r="E492" s="694" t="str">
        <f>VLOOKUP($B492,dongia1,DG!C$5,)</f>
        <v>Đầu cosse ép Cu 25mm2</v>
      </c>
      <c r="F492" s="555" t="str">
        <f>VLOOKUP($B492,dongia1,DG!$D$5,)</f>
        <v>cái</v>
      </c>
      <c r="G492" s="205">
        <v>2</v>
      </c>
      <c r="H492" s="556">
        <f t="shared" ca="1" si="279"/>
        <v>0</v>
      </c>
      <c r="I492" s="556">
        <f t="shared" ca="1" si="280"/>
        <v>0</v>
      </c>
      <c r="J492" s="556">
        <f t="shared" ca="1" si="280"/>
        <v>0</v>
      </c>
      <c r="K492" s="556">
        <f t="shared" ca="1" si="280"/>
        <v>0</v>
      </c>
      <c r="L492" s="556">
        <f t="shared" ca="1" si="280"/>
        <v>0</v>
      </c>
      <c r="M492" s="556"/>
      <c r="N492" s="556">
        <f t="shared" ca="1" si="280"/>
        <v>0</v>
      </c>
      <c r="O492" s="556">
        <f t="shared" ca="1" si="280"/>
        <v>0</v>
      </c>
      <c r="P492" s="182">
        <f>VLOOKUP($B492,dongia1,DG!$F$5,)</f>
        <v>6500</v>
      </c>
      <c r="Q492" s="182">
        <f>VLOOKUP($B492,dongia1,DG!$G$5,)</f>
        <v>6062.26</v>
      </c>
      <c r="R492" s="182">
        <f>VLOOKUP($B492,dongia1,DG!$H$5,)</f>
        <v>2777.0232475000003</v>
      </c>
      <c r="S492" s="113">
        <f t="shared" si="281"/>
        <v>13000</v>
      </c>
      <c r="T492" s="113">
        <f t="shared" si="281"/>
        <v>12124.52</v>
      </c>
      <c r="U492" s="557">
        <f t="shared" si="281"/>
        <v>5554.0464950000005</v>
      </c>
    </row>
    <row r="493" spans="1:21" s="552" customFormat="1" ht="15" hidden="1" customHeight="1">
      <c r="A493" s="621"/>
      <c r="B493" s="622" t="s">
        <v>1623</v>
      </c>
      <c r="C493" s="558" t="str">
        <f ca="1">C492</f>
        <v xml:space="preserve"> </v>
      </c>
      <c r="D493" s="553"/>
      <c r="E493" s="694" t="str">
        <f>VLOOKUP($B493,dongia1,DG!C$5,)</f>
        <v>Boulon 12x40+ 2 long đền vuông D14-50x50x3/Zn</v>
      </c>
      <c r="F493" s="555" t="str">
        <f>VLOOKUP($B493,dongia1,DG!$D$5,)</f>
        <v>bộ</v>
      </c>
      <c r="G493" s="205">
        <v>1</v>
      </c>
      <c r="H493" s="556">
        <f t="shared" ca="1" si="279"/>
        <v>0</v>
      </c>
      <c r="I493" s="556">
        <f t="shared" ca="1" si="280"/>
        <v>0</v>
      </c>
      <c r="J493" s="556">
        <f t="shared" ca="1" si="280"/>
        <v>0</v>
      </c>
      <c r="K493" s="556">
        <f t="shared" ca="1" si="280"/>
        <v>0</v>
      </c>
      <c r="L493" s="556">
        <f t="shared" ca="1" si="280"/>
        <v>0</v>
      </c>
      <c r="M493" s="556"/>
      <c r="N493" s="556">
        <f t="shared" ca="1" si="280"/>
        <v>0</v>
      </c>
      <c r="O493" s="556">
        <f t="shared" ca="1" si="280"/>
        <v>0</v>
      </c>
      <c r="P493" s="182">
        <f>VLOOKUP($B493,dongia1,DG!$F$5,)</f>
        <v>8500</v>
      </c>
      <c r="Q493" s="182"/>
      <c r="R493" s="554"/>
      <c r="S493" s="113">
        <f t="shared" si="281"/>
        <v>8500</v>
      </c>
      <c r="T493" s="113">
        <f t="shared" si="281"/>
        <v>0</v>
      </c>
      <c r="U493" s="557">
        <f t="shared" si="281"/>
        <v>0</v>
      </c>
    </row>
    <row r="494" spans="1:21" s="552" customFormat="1" ht="15" hidden="1" customHeight="1">
      <c r="A494" s="621"/>
      <c r="B494" s="622" t="s">
        <v>1859</v>
      </c>
      <c r="C494" s="558" t="str">
        <f ca="1">C491</f>
        <v xml:space="preserve"> </v>
      </c>
      <c r="D494" s="553"/>
      <c r="E494" s="694" t="str">
        <f>VLOOKUP($B494,dongia1,DG!C$5,)</f>
        <v xml:space="preserve">Kéo dây tiếp địa </v>
      </c>
      <c r="F494" s="555" t="str">
        <f>VLOOKUP($B494,dongia1,DG!$D$5,)</f>
        <v>kg</v>
      </c>
      <c r="G494" s="205">
        <f>G489</f>
        <v>2.2400000000000002</v>
      </c>
      <c r="H494" s="556">
        <f t="shared" ca="1" si="279"/>
        <v>0</v>
      </c>
      <c r="I494" s="556">
        <f t="shared" ca="1" si="280"/>
        <v>0</v>
      </c>
      <c r="J494" s="556">
        <f t="shared" ca="1" si="280"/>
        <v>0</v>
      </c>
      <c r="K494" s="556">
        <f t="shared" ca="1" si="280"/>
        <v>0</v>
      </c>
      <c r="L494" s="556">
        <f t="shared" ca="1" si="280"/>
        <v>0</v>
      </c>
      <c r="M494" s="556"/>
      <c r="N494" s="556">
        <f t="shared" ca="1" si="280"/>
        <v>0</v>
      </c>
      <c r="O494" s="556">
        <f t="shared" ca="1" si="280"/>
        <v>0</v>
      </c>
      <c r="P494" s="554"/>
      <c r="Q494" s="182">
        <f>VLOOKUP($B494,dongia1,DG!$G$5,)</f>
        <v>2578.65</v>
      </c>
      <c r="R494" s="554"/>
      <c r="S494" s="113">
        <f t="shared" si="281"/>
        <v>0</v>
      </c>
      <c r="T494" s="113">
        <f t="shared" si="281"/>
        <v>5776.1760000000004</v>
      </c>
      <c r="U494" s="557">
        <f t="shared" si="281"/>
        <v>0</v>
      </c>
    </row>
    <row r="495" spans="1:21" s="552" customFormat="1" ht="15" hidden="1" customHeight="1">
      <c r="A495" s="621"/>
      <c r="B495" s="622" t="s">
        <v>102</v>
      </c>
      <c r="C495" s="558" t="str">
        <f ca="1">C494</f>
        <v xml:space="preserve"> </v>
      </c>
      <c r="D495" s="553"/>
      <c r="E495" s="694" t="str">
        <f>VLOOKUP($B495,dongia1,DG!C$5,)</f>
        <v>Đóng cọc tiếp địa đất cấp 3 dài 2,5m</v>
      </c>
      <c r="F495" s="555" t="str">
        <f>VLOOKUP($B495,dongia1,DG!$D$5,)</f>
        <v>cọc</v>
      </c>
      <c r="G495" s="205">
        <f>+G490</f>
        <v>1</v>
      </c>
      <c r="H495" s="556">
        <f t="shared" ca="1" si="279"/>
        <v>0</v>
      </c>
      <c r="I495" s="556">
        <f t="shared" ca="1" si="280"/>
        <v>0</v>
      </c>
      <c r="J495" s="556">
        <f t="shared" ca="1" si="280"/>
        <v>0</v>
      </c>
      <c r="K495" s="556">
        <f t="shared" ca="1" si="280"/>
        <v>0</v>
      </c>
      <c r="L495" s="556">
        <f t="shared" ca="1" si="280"/>
        <v>0</v>
      </c>
      <c r="M495" s="556"/>
      <c r="N495" s="556">
        <f t="shared" ca="1" si="280"/>
        <v>0</v>
      </c>
      <c r="O495" s="556">
        <f t="shared" ca="1" si="280"/>
        <v>0</v>
      </c>
      <c r="P495" s="554"/>
      <c r="Q495" s="182">
        <f>VLOOKUP($B495,dongia1,DG!$G$5,)</f>
        <v>90355.896000000008</v>
      </c>
      <c r="R495" s="554"/>
      <c r="S495" s="113">
        <f t="shared" si="281"/>
        <v>0</v>
      </c>
      <c r="T495" s="113">
        <f t="shared" si="281"/>
        <v>90355.896000000008</v>
      </c>
      <c r="U495" s="557">
        <f t="shared" si="281"/>
        <v>0</v>
      </c>
    </row>
    <row r="496" spans="1:21" s="610" customFormat="1" ht="14.25" customHeight="1">
      <c r="A496" s="635" t="s">
        <v>1620</v>
      </c>
      <c r="B496" s="636"/>
      <c r="C496" s="637" t="str">
        <f ca="1">IF(H496&lt;&gt;0,"x"," ")</f>
        <v>x</v>
      </c>
      <c r="D496" s="599">
        <v>2</v>
      </c>
      <c r="E496" s="727" t="s">
        <v>3931</v>
      </c>
      <c r="F496" s="600" t="s">
        <v>2113</v>
      </c>
      <c r="G496" s="1981">
        <f>pp3p1m!BO10</f>
        <v>1</v>
      </c>
      <c r="H496" s="605">
        <f ca="1">SUM(I496:N496)</f>
        <v>1</v>
      </c>
      <c r="I496" s="605">
        <f ca="1">SUMIF(tdll3pm,chitiet!$E496,sltdll3pm)</f>
        <v>0</v>
      </c>
      <c r="J496" s="605">
        <f ca="1">SUMIF(tdllct,chitiet!$E496,sltdllct)</f>
        <v>0</v>
      </c>
      <c r="K496" s="605">
        <f ca="1">SUMIF(tdll3p1m,chitiet!$E496,sltdll3p1m)</f>
        <v>1</v>
      </c>
      <c r="L496" s="605">
        <f ca="1">SUMIF(tdll1pm,chitiet!$E496,sltdll1pm)</f>
        <v>0</v>
      </c>
      <c r="M496" s="605">
        <f ca="1">SUMIF(tdllHTHH,chitiet!$E496,sltdllhthh)</f>
        <v>0</v>
      </c>
      <c r="N496" s="605">
        <f ca="1">SUMIF(tdllHTDL,chitiet!$E496,sltdllhtdl)</f>
        <v>0</v>
      </c>
      <c r="O496" s="605">
        <f ca="1">SUMIF(tdllHTCS,chitiet!$E496,sltdllHTCS)</f>
        <v>0</v>
      </c>
      <c r="P496" s="606"/>
      <c r="Q496" s="606"/>
      <c r="R496" s="606"/>
      <c r="S496" s="601">
        <f>SUM(S497:S512)</f>
        <v>783520</v>
      </c>
      <c r="T496" s="601">
        <f>SUM(T497:T512)</f>
        <v>96132.072000000015</v>
      </c>
      <c r="U496" s="602">
        <f>SUM(U497:U512)</f>
        <v>0</v>
      </c>
    </row>
    <row r="497" spans="1:21" s="552" customFormat="1" ht="15" hidden="1" customHeight="1">
      <c r="A497" s="621"/>
      <c r="B497" s="622" t="s">
        <v>584</v>
      </c>
      <c r="C497" s="637" t="str">
        <f ca="1">IF(H497&lt;&gt;0,"x"," ")</f>
        <v>x</v>
      </c>
      <c r="D497" s="553"/>
      <c r="E497" s="694" t="str">
        <f>VLOOKUP($B497,dongia1,DG!C$5,)</f>
        <v>Cáp đồng trần M25mm2</v>
      </c>
      <c r="F497" s="555" t="str">
        <f>VLOOKUP($B497,dongia1,DG!$D$5,)</f>
        <v>kg</v>
      </c>
      <c r="G497" s="205">
        <f>10*0.224</f>
        <v>2.2400000000000002</v>
      </c>
      <c r="H497" s="556">
        <f t="shared" ref="H497:H512" ca="1" si="282">H$496*$G497</f>
        <v>2.2400000000000002</v>
      </c>
      <c r="I497" s="556">
        <f t="shared" ref="I497:O512" ca="1" si="283">I$496*$G497</f>
        <v>0</v>
      </c>
      <c r="J497" s="556">
        <f t="shared" ca="1" si="283"/>
        <v>0</v>
      </c>
      <c r="K497" s="556">
        <f t="shared" ca="1" si="283"/>
        <v>2.2400000000000002</v>
      </c>
      <c r="L497" s="556">
        <f t="shared" ca="1" si="283"/>
        <v>0</v>
      </c>
      <c r="M497" s="556"/>
      <c r="N497" s="556">
        <f t="shared" ca="1" si="283"/>
        <v>0</v>
      </c>
      <c r="O497" s="556">
        <f t="shared" ca="1" si="283"/>
        <v>0</v>
      </c>
      <c r="P497" s="182">
        <f>VLOOKUP($B497,dongia1,DG!$F$5,)</f>
        <v>255500</v>
      </c>
      <c r="Q497" s="182">
        <f>VLOOKUP($B497,dongia1,DG!$G$5,)</f>
        <v>0</v>
      </c>
      <c r="R497" s="554"/>
      <c r="S497" s="113">
        <f t="shared" ref="S497:U498" si="284">$G497*P497</f>
        <v>572320</v>
      </c>
      <c r="T497" s="113">
        <f t="shared" si="284"/>
        <v>0</v>
      </c>
      <c r="U497" s="557">
        <f t="shared" si="284"/>
        <v>0</v>
      </c>
    </row>
    <row r="498" spans="1:21" s="552" customFormat="1" ht="15" hidden="1" customHeight="1">
      <c r="A498" s="621"/>
      <c r="B498" s="622" t="s">
        <v>1098</v>
      </c>
      <c r="C498" s="637" t="str">
        <f ca="1">IF(H498&lt;&gt;0,"x"," ")</f>
        <v>x</v>
      </c>
      <c r="D498" s="553"/>
      <c r="E498" s="694" t="str">
        <f>VLOOKUP($B498,dongia1,DG!C$5,)</f>
        <v>Cọc tiếp đất Þ 16- 2,4m + kẹp cọc</v>
      </c>
      <c r="F498" s="555" t="str">
        <f>VLOOKUP($B498,dongia1,DG!$D$5,)</f>
        <v>bộ</v>
      </c>
      <c r="G498" s="205">
        <v>1</v>
      </c>
      <c r="H498" s="556">
        <f t="shared" ca="1" si="282"/>
        <v>1</v>
      </c>
      <c r="I498" s="556">
        <f t="shared" ca="1" si="283"/>
        <v>0</v>
      </c>
      <c r="J498" s="556">
        <f t="shared" ca="1" si="283"/>
        <v>0</v>
      </c>
      <c r="K498" s="556">
        <f t="shared" ca="1" si="283"/>
        <v>1</v>
      </c>
      <c r="L498" s="556">
        <f t="shared" ca="1" si="283"/>
        <v>0</v>
      </c>
      <c r="M498" s="556"/>
      <c r="N498" s="556">
        <f t="shared" ca="1" si="283"/>
        <v>0</v>
      </c>
      <c r="O498" s="556">
        <f t="shared" ca="1" si="283"/>
        <v>0</v>
      </c>
      <c r="P498" s="182">
        <f>VLOOKUP($B498,dongia1,DG!$F$5,)</f>
        <v>160000</v>
      </c>
      <c r="Q498" s="182">
        <f>VLOOKUP($B498,dongia1,DG!$G$5,)</f>
        <v>0</v>
      </c>
      <c r="R498" s="554"/>
      <c r="S498" s="113">
        <f t="shared" si="284"/>
        <v>160000</v>
      </c>
      <c r="T498" s="113">
        <f t="shared" si="284"/>
        <v>0</v>
      </c>
      <c r="U498" s="557">
        <f t="shared" si="284"/>
        <v>0</v>
      </c>
    </row>
    <row r="499" spans="1:21" s="552" customFormat="1" ht="15" hidden="1" customHeight="1">
      <c r="A499" s="621"/>
      <c r="B499" s="760" t="s">
        <v>211</v>
      </c>
      <c r="C499" s="558"/>
      <c r="D499" s="553"/>
      <c r="E499" s="694" t="str">
        <f>VLOOKUP($B499,dongia1,DG!C$5,)</f>
        <v>Khoan giếng tiếp địa</v>
      </c>
      <c r="F499" s="555" t="str">
        <f>VLOOKUP($B499,dongia1,DG!$D$5,)</f>
        <v>Cái</v>
      </c>
      <c r="G499" s="205">
        <f>1*0</f>
        <v>0</v>
      </c>
      <c r="H499" s="556">
        <f t="shared" ca="1" si="282"/>
        <v>0</v>
      </c>
      <c r="I499" s="556">
        <f t="shared" ca="1" si="283"/>
        <v>0</v>
      </c>
      <c r="J499" s="556">
        <f t="shared" ca="1" si="283"/>
        <v>0</v>
      </c>
      <c r="K499" s="556">
        <f t="shared" ca="1" si="283"/>
        <v>0</v>
      </c>
      <c r="L499" s="556">
        <f t="shared" ca="1" si="283"/>
        <v>0</v>
      </c>
      <c r="M499" s="556"/>
      <c r="N499" s="556">
        <f t="shared" ca="1" si="283"/>
        <v>0</v>
      </c>
      <c r="O499" s="556">
        <f t="shared" ca="1" si="283"/>
        <v>0</v>
      </c>
      <c r="P499" s="182">
        <f>VLOOKUP($B499,dongia1,DG!$F$5,)</f>
        <v>0</v>
      </c>
      <c r="Q499" s="182">
        <f>VLOOKUP($B499,dongia1,DG!$G$5,)</f>
        <v>1500000</v>
      </c>
      <c r="R499" s="554"/>
      <c r="S499" s="113">
        <f t="shared" ref="S499:S508" si="285">$G499*P499</f>
        <v>0</v>
      </c>
      <c r="T499" s="113">
        <f t="shared" ref="T499:T508" si="286">$G499*Q499</f>
        <v>0</v>
      </c>
      <c r="U499" s="557">
        <f t="shared" ref="U499:U508" si="287">$G499*R499</f>
        <v>0</v>
      </c>
    </row>
    <row r="500" spans="1:21" s="552" customFormat="1" ht="15" hidden="1" customHeight="1">
      <c r="A500" s="621"/>
      <c r="B500" s="760" t="s">
        <v>4483</v>
      </c>
      <c r="C500" s="558"/>
      <c r="D500" s="553"/>
      <c r="E500" s="694" t="str">
        <f>VLOOKUP($B500,dongia1,DG!C$5,)</f>
        <v>Thanh sắt V50x50x5-4000 - 16kg/thanh</v>
      </c>
      <c r="F500" s="555" t="str">
        <f>VLOOKUP($B500,dongia1,DG!$D$5,)</f>
        <v>kg</v>
      </c>
      <c r="G500" s="205">
        <f>16*5*0</f>
        <v>0</v>
      </c>
      <c r="H500" s="556">
        <f t="shared" ca="1" si="282"/>
        <v>0</v>
      </c>
      <c r="I500" s="556">
        <f t="shared" ca="1" si="283"/>
        <v>0</v>
      </c>
      <c r="J500" s="556">
        <f t="shared" ca="1" si="283"/>
        <v>0</v>
      </c>
      <c r="K500" s="556">
        <f t="shared" ca="1" si="283"/>
        <v>0</v>
      </c>
      <c r="L500" s="556">
        <f t="shared" ca="1" si="283"/>
        <v>0</v>
      </c>
      <c r="M500" s="556"/>
      <c r="N500" s="556">
        <f t="shared" ca="1" si="283"/>
        <v>0</v>
      </c>
      <c r="O500" s="556">
        <f t="shared" ca="1" si="283"/>
        <v>0</v>
      </c>
      <c r="P500" s="182">
        <f>VLOOKUP($B500,dongia1,DG!$F$5,)</f>
        <v>31625</v>
      </c>
      <c r="Q500" s="182">
        <f>VLOOKUP($B500,dongia1,DG!$G$5,)</f>
        <v>0</v>
      </c>
      <c r="R500" s="554"/>
      <c r="S500" s="113">
        <f t="shared" si="285"/>
        <v>0</v>
      </c>
      <c r="T500" s="113">
        <f t="shared" si="286"/>
        <v>0</v>
      </c>
      <c r="U500" s="557">
        <f t="shared" si="287"/>
        <v>0</v>
      </c>
    </row>
    <row r="501" spans="1:21" s="552" customFormat="1" ht="15" hidden="1" customHeight="1">
      <c r="A501" s="621"/>
      <c r="B501" s="760" t="s">
        <v>4484</v>
      </c>
      <c r="C501" s="558"/>
      <c r="D501" s="553"/>
      <c r="E501" s="694" t="str">
        <f>VLOOKUP($B501,dongia1,DG!C$5,)</f>
        <v>Hàn thanh sắt V50x50x5-4000/Zn thành cọc dài 20 mét</v>
      </c>
      <c r="F501" s="555" t="str">
        <f>VLOOKUP($B501,dongia1,DG!$D$5,)</f>
        <v>mối hàn</v>
      </c>
      <c r="G501" s="205">
        <f>4*0</f>
        <v>0</v>
      </c>
      <c r="H501" s="556">
        <f t="shared" ca="1" si="282"/>
        <v>0</v>
      </c>
      <c r="I501" s="556">
        <f t="shared" ca="1" si="283"/>
        <v>0</v>
      </c>
      <c r="J501" s="556">
        <f t="shared" ca="1" si="283"/>
        <v>0</v>
      </c>
      <c r="K501" s="556">
        <f t="shared" ca="1" si="283"/>
        <v>0</v>
      </c>
      <c r="L501" s="556">
        <f t="shared" ca="1" si="283"/>
        <v>0</v>
      </c>
      <c r="M501" s="556"/>
      <c r="N501" s="556">
        <f t="shared" ca="1" si="283"/>
        <v>0</v>
      </c>
      <c r="O501" s="556">
        <f t="shared" ca="1" si="283"/>
        <v>0</v>
      </c>
      <c r="P501" s="182">
        <f>VLOOKUP($B501,dongia1,DG!$F$5,)</f>
        <v>0</v>
      </c>
      <c r="Q501" s="182">
        <f>VLOOKUP($B501,dongia1,DG!$G$5,)</f>
        <v>55638</v>
      </c>
      <c r="R501" s="554"/>
      <c r="S501" s="113">
        <f t="shared" si="285"/>
        <v>0</v>
      </c>
      <c r="T501" s="113">
        <f t="shared" si="286"/>
        <v>0</v>
      </c>
      <c r="U501" s="557">
        <f t="shared" si="287"/>
        <v>0</v>
      </c>
    </row>
    <row r="502" spans="1:21" s="552" customFormat="1" ht="15" hidden="1" customHeight="1">
      <c r="A502" s="621"/>
      <c r="B502" s="666" t="s">
        <v>4491</v>
      </c>
      <c r="C502" s="637" t="str">
        <f t="shared" ref="C502:C512" ca="1" si="288">IF(H502&lt;&gt;0,"x"," ")</f>
        <v xml:space="preserve"> </v>
      </c>
      <c r="D502" s="553"/>
      <c r="E502" s="694" t="str">
        <f>VLOOKUP($B502,dongia1,DG!C$5,)</f>
        <v>Sắt tròn Þ8 thanh dài 2m (hàn bass 2 đầu, mạ kẽm)</v>
      </c>
      <c r="F502" s="555" t="str">
        <f>VLOOKUP($B502,dongia1,DG!$D$5,)</f>
        <v xml:space="preserve">thanh </v>
      </c>
      <c r="G502" s="205"/>
      <c r="H502" s="556">
        <f t="shared" ca="1" si="282"/>
        <v>0</v>
      </c>
      <c r="I502" s="556">
        <f t="shared" ca="1" si="283"/>
        <v>0</v>
      </c>
      <c r="J502" s="556">
        <f t="shared" ca="1" si="283"/>
        <v>0</v>
      </c>
      <c r="K502" s="556">
        <f t="shared" ca="1" si="283"/>
        <v>0</v>
      </c>
      <c r="L502" s="556">
        <f t="shared" ca="1" si="283"/>
        <v>0</v>
      </c>
      <c r="M502" s="556"/>
      <c r="N502" s="556">
        <f t="shared" ca="1" si="283"/>
        <v>0</v>
      </c>
      <c r="O502" s="556">
        <f t="shared" ca="1" si="283"/>
        <v>0</v>
      </c>
      <c r="P502" s="182">
        <f>VLOOKUP($B502,dongia1,DG!$F$5,)</f>
        <v>38105</v>
      </c>
      <c r="Q502" s="182">
        <f>VLOOKUP($B502,dongia1,DG!$G$5,)</f>
        <v>0</v>
      </c>
      <c r="R502" s="554"/>
      <c r="S502" s="113">
        <f t="shared" si="285"/>
        <v>0</v>
      </c>
      <c r="T502" s="113">
        <f t="shared" si="286"/>
        <v>0</v>
      </c>
      <c r="U502" s="557">
        <f t="shared" si="287"/>
        <v>0</v>
      </c>
    </row>
    <row r="503" spans="1:21" s="552" customFormat="1" ht="15" hidden="1" customHeight="1">
      <c r="A503" s="621"/>
      <c r="B503" s="666" t="s">
        <v>4495</v>
      </c>
      <c r="C503" s="637" t="str">
        <f t="shared" ca="1" si="288"/>
        <v xml:space="preserve"> </v>
      </c>
      <c r="D503" s="553"/>
      <c r="E503" s="694" t="str">
        <f>VLOOKUP($B503,dongia1,DG!C$5,)</f>
        <v>Sắt tròn Þ8 thanh dài 3m (hàn bass 2 đầu, mạ kẽm)</v>
      </c>
      <c r="F503" s="555" t="str">
        <f>VLOOKUP($B503,dongia1,DG!$D$5,)</f>
        <v xml:space="preserve">thanh </v>
      </c>
      <c r="G503" s="205"/>
      <c r="H503" s="556">
        <f t="shared" ca="1" si="282"/>
        <v>0</v>
      </c>
      <c r="I503" s="556">
        <f t="shared" ca="1" si="283"/>
        <v>0</v>
      </c>
      <c r="J503" s="556">
        <f t="shared" ca="1" si="283"/>
        <v>0</v>
      </c>
      <c r="K503" s="556">
        <f t="shared" ca="1" si="283"/>
        <v>0</v>
      </c>
      <c r="L503" s="556">
        <f t="shared" ca="1" si="283"/>
        <v>0</v>
      </c>
      <c r="M503" s="556"/>
      <c r="N503" s="556">
        <f t="shared" ca="1" si="283"/>
        <v>0</v>
      </c>
      <c r="O503" s="556">
        <f t="shared" ca="1" si="283"/>
        <v>0</v>
      </c>
      <c r="P503" s="182">
        <f>VLOOKUP($B503,dongia1,DG!$F$5,)</f>
        <v>53008</v>
      </c>
      <c r="Q503" s="182">
        <f>VLOOKUP($B503,dongia1,DG!$G$5,)</f>
        <v>0</v>
      </c>
      <c r="R503" s="554"/>
      <c r="S503" s="113">
        <f t="shared" si="285"/>
        <v>0</v>
      </c>
      <c r="T503" s="113">
        <f t="shared" si="286"/>
        <v>0</v>
      </c>
      <c r="U503" s="557">
        <f t="shared" si="287"/>
        <v>0</v>
      </c>
    </row>
    <row r="504" spans="1:21" s="552" customFormat="1" ht="15" hidden="1" customHeight="1">
      <c r="A504" s="621"/>
      <c r="B504" s="666" t="s">
        <v>4608</v>
      </c>
      <c r="C504" s="637" t="str">
        <f t="shared" ca="1" si="288"/>
        <v xml:space="preserve"> </v>
      </c>
      <c r="D504" s="553"/>
      <c r="E504" s="694" t="str">
        <f>VLOOKUP($B504,dongia1,DG!C$5,)</f>
        <v>Boulon 8x50+ 2 long đền vuông</v>
      </c>
      <c r="F504" s="555" t="str">
        <f>VLOOKUP($B504,dongia1,DG!$D$5,)</f>
        <v>bộ</v>
      </c>
      <c r="G504" s="205">
        <f>0*9</f>
        <v>0</v>
      </c>
      <c r="H504" s="556">
        <f t="shared" ca="1" si="282"/>
        <v>0</v>
      </c>
      <c r="I504" s="556">
        <f t="shared" ca="1" si="283"/>
        <v>0</v>
      </c>
      <c r="J504" s="556">
        <f t="shared" ca="1" si="283"/>
        <v>0</v>
      </c>
      <c r="K504" s="556">
        <f t="shared" ca="1" si="283"/>
        <v>0</v>
      </c>
      <c r="L504" s="556">
        <f t="shared" ca="1" si="283"/>
        <v>0</v>
      </c>
      <c r="M504" s="556"/>
      <c r="N504" s="556">
        <f t="shared" ca="1" si="283"/>
        <v>0</v>
      </c>
      <c r="O504" s="556">
        <f t="shared" ca="1" si="283"/>
        <v>0</v>
      </c>
      <c r="P504" s="182">
        <f>VLOOKUP($B504,dongia1,DG!$F$5,)</f>
        <v>8400</v>
      </c>
      <c r="Q504" s="182">
        <f>VLOOKUP($B504,dongia1,DG!$G$5,)</f>
        <v>0</v>
      </c>
      <c r="R504" s="554"/>
      <c r="S504" s="113">
        <f t="shared" si="285"/>
        <v>0</v>
      </c>
      <c r="T504" s="113">
        <f t="shared" si="286"/>
        <v>0</v>
      </c>
      <c r="U504" s="557">
        <f t="shared" si="287"/>
        <v>0</v>
      </c>
    </row>
    <row r="505" spans="1:21" s="552" customFormat="1" ht="15" hidden="1" customHeight="1">
      <c r="A505" s="621"/>
      <c r="B505" s="622" t="s">
        <v>1908</v>
      </c>
      <c r="C505" s="637" t="str">
        <f t="shared" ca="1" si="288"/>
        <v>x</v>
      </c>
      <c r="D505" s="553"/>
      <c r="E505" s="694" t="str">
        <f>VLOOKUP($B505,dongia1,DG!C$5,)</f>
        <v>Kẹp ép WR cỡ dây 50mm2</v>
      </c>
      <c r="F505" s="555" t="str">
        <f>VLOOKUP($B505,dongia1,DG!$D$5,)</f>
        <v>cái</v>
      </c>
      <c r="G505" s="205">
        <v>2</v>
      </c>
      <c r="H505" s="556">
        <f t="shared" ca="1" si="282"/>
        <v>2</v>
      </c>
      <c r="I505" s="556">
        <f t="shared" ca="1" si="283"/>
        <v>0</v>
      </c>
      <c r="J505" s="556">
        <f t="shared" ca="1" si="283"/>
        <v>0</v>
      </c>
      <c r="K505" s="556">
        <f t="shared" ca="1" si="283"/>
        <v>2</v>
      </c>
      <c r="L505" s="556">
        <f t="shared" ca="1" si="283"/>
        <v>0</v>
      </c>
      <c r="M505" s="556"/>
      <c r="N505" s="556">
        <f t="shared" ca="1" si="283"/>
        <v>0</v>
      </c>
      <c r="O505" s="556">
        <f t="shared" ca="1" si="283"/>
        <v>0</v>
      </c>
      <c r="P505" s="182">
        <f>VLOOKUP($B505,dongia1,DG!$F$5,)</f>
        <v>8000</v>
      </c>
      <c r="Q505" s="182">
        <f>VLOOKUP($B505,dongia1,DG!$G$5,)</f>
        <v>0</v>
      </c>
      <c r="R505" s="554"/>
      <c r="S505" s="113">
        <f t="shared" si="285"/>
        <v>16000</v>
      </c>
      <c r="T505" s="113">
        <f t="shared" si="286"/>
        <v>0</v>
      </c>
      <c r="U505" s="557">
        <f t="shared" si="287"/>
        <v>0</v>
      </c>
    </row>
    <row r="506" spans="1:21" s="552" customFormat="1" ht="15" hidden="1" customHeight="1">
      <c r="A506" s="621"/>
      <c r="B506" s="622" t="s">
        <v>1433</v>
      </c>
      <c r="C506" s="637" t="str">
        <f t="shared" ca="1" si="288"/>
        <v>x</v>
      </c>
      <c r="D506" s="553"/>
      <c r="E506" s="694" t="str">
        <f>VLOOKUP($B506,dongia1,DG!C$5,)</f>
        <v>Ốc xiết cáp cỡ 25mm2</v>
      </c>
      <c r="F506" s="555" t="str">
        <f>VLOOKUP($B506,dongia1,DG!$D$5,)</f>
        <v>cái</v>
      </c>
      <c r="G506" s="205">
        <v>2</v>
      </c>
      <c r="H506" s="556">
        <f t="shared" ca="1" si="282"/>
        <v>2</v>
      </c>
      <c r="I506" s="556">
        <f t="shared" ca="1" si="283"/>
        <v>0</v>
      </c>
      <c r="J506" s="556">
        <f t="shared" ca="1" si="283"/>
        <v>0</v>
      </c>
      <c r="K506" s="556">
        <f t="shared" ca="1" si="283"/>
        <v>2</v>
      </c>
      <c r="L506" s="556">
        <f t="shared" ca="1" si="283"/>
        <v>0</v>
      </c>
      <c r="M506" s="556"/>
      <c r="N506" s="556">
        <f t="shared" ca="1" si="283"/>
        <v>0</v>
      </c>
      <c r="O506" s="556">
        <f t="shared" ca="1" si="283"/>
        <v>0</v>
      </c>
      <c r="P506" s="182">
        <f>VLOOKUP($B506,dongia1,DG!$F$5,)</f>
        <v>17600</v>
      </c>
      <c r="Q506" s="182">
        <f>VLOOKUP($B506,dongia1,DG!$G$5,)</f>
        <v>0</v>
      </c>
      <c r="R506" s="554"/>
      <c r="S506" s="113">
        <f t="shared" si="285"/>
        <v>35200</v>
      </c>
      <c r="T506" s="113">
        <f t="shared" si="286"/>
        <v>0</v>
      </c>
      <c r="U506" s="557">
        <f t="shared" si="287"/>
        <v>0</v>
      </c>
    </row>
    <row r="507" spans="1:21" s="552" customFormat="1" ht="15" hidden="1" customHeight="1">
      <c r="A507" s="621"/>
      <c r="B507" s="666" t="s">
        <v>4497</v>
      </c>
      <c r="C507" s="637" t="str">
        <f t="shared" ca="1" si="288"/>
        <v xml:space="preserve"> </v>
      </c>
      <c r="D507" s="553"/>
      <c r="E507" s="694" t="str">
        <f>VLOOKUP($B507,dongia1,DG!C$5,)</f>
        <v>Đai thép Inox</v>
      </c>
      <c r="F507" s="555" t="str">
        <f>VLOOKUP($B507,dongia1,DG!$D$5,)</f>
        <v>mét</v>
      </c>
      <c r="G507" s="205">
        <f>0*4</f>
        <v>0</v>
      </c>
      <c r="H507" s="556">
        <f t="shared" ca="1" si="282"/>
        <v>0</v>
      </c>
      <c r="I507" s="556">
        <f t="shared" ca="1" si="283"/>
        <v>0</v>
      </c>
      <c r="J507" s="556">
        <f t="shared" ca="1" si="283"/>
        <v>0</v>
      </c>
      <c r="K507" s="556">
        <f t="shared" ca="1" si="283"/>
        <v>0</v>
      </c>
      <c r="L507" s="556">
        <f t="shared" ca="1" si="283"/>
        <v>0</v>
      </c>
      <c r="M507" s="556"/>
      <c r="N507" s="556">
        <f t="shared" ca="1" si="283"/>
        <v>0</v>
      </c>
      <c r="O507" s="556">
        <f t="shared" ca="1" si="283"/>
        <v>0</v>
      </c>
      <c r="P507" s="182">
        <f>VLOOKUP($B507,dongia1,DG!$F$5,)</f>
        <v>11000</v>
      </c>
      <c r="Q507" s="182">
        <f>VLOOKUP($B507,dongia1,DG!$G$5,)</f>
        <v>0</v>
      </c>
      <c r="R507" s="554"/>
      <c r="S507" s="113">
        <f t="shared" si="285"/>
        <v>0</v>
      </c>
      <c r="T507" s="113">
        <f t="shared" si="286"/>
        <v>0</v>
      </c>
      <c r="U507" s="557">
        <f t="shared" si="287"/>
        <v>0</v>
      </c>
    </row>
    <row r="508" spans="1:21" s="552" customFormat="1" ht="15" hidden="1" customHeight="1">
      <c r="A508" s="621"/>
      <c r="B508" s="666" t="s">
        <v>4499</v>
      </c>
      <c r="C508" s="637" t="str">
        <f t="shared" ca="1" si="288"/>
        <v xml:space="preserve"> </v>
      </c>
      <c r="D508" s="553"/>
      <c r="E508" s="694" t="str">
        <f>VLOOKUP($B508,dongia1,DG!C$5,)</f>
        <v>Khóa đai Inox</v>
      </c>
      <c r="F508" s="555" t="str">
        <f>VLOOKUP($B508,dongia1,DG!$D$5,)</f>
        <v>cái</v>
      </c>
      <c r="G508" s="205">
        <f>0*4</f>
        <v>0</v>
      </c>
      <c r="H508" s="556">
        <f t="shared" ca="1" si="282"/>
        <v>0</v>
      </c>
      <c r="I508" s="556">
        <f t="shared" ca="1" si="283"/>
        <v>0</v>
      </c>
      <c r="J508" s="556">
        <f t="shared" ca="1" si="283"/>
        <v>0</v>
      </c>
      <c r="K508" s="556">
        <f t="shared" ca="1" si="283"/>
        <v>0</v>
      </c>
      <c r="L508" s="556">
        <f t="shared" ca="1" si="283"/>
        <v>0</v>
      </c>
      <c r="M508" s="556"/>
      <c r="N508" s="556">
        <f t="shared" ca="1" si="283"/>
        <v>0</v>
      </c>
      <c r="O508" s="556">
        <f t="shared" ca="1" si="283"/>
        <v>0</v>
      </c>
      <c r="P508" s="182">
        <f>VLOOKUP($B508,dongia1,DG!$F$5,)</f>
        <v>4000</v>
      </c>
      <c r="Q508" s="182">
        <f>VLOOKUP($B508,dongia1,DG!$G$5,)</f>
        <v>0</v>
      </c>
      <c r="R508" s="554"/>
      <c r="S508" s="113">
        <f t="shared" si="285"/>
        <v>0</v>
      </c>
      <c r="T508" s="113">
        <f t="shared" si="286"/>
        <v>0</v>
      </c>
      <c r="U508" s="557">
        <f t="shared" si="287"/>
        <v>0</v>
      </c>
    </row>
    <row r="509" spans="1:21" s="552" customFormat="1" ht="15" hidden="1" customHeight="1">
      <c r="A509" s="621"/>
      <c r="B509" s="622" t="s">
        <v>1859</v>
      </c>
      <c r="C509" s="637" t="str">
        <f t="shared" ca="1" si="288"/>
        <v>x</v>
      </c>
      <c r="D509" s="553"/>
      <c r="E509" s="694" t="str">
        <f>VLOOKUP($B509,dongia1,DG!C$5,)</f>
        <v xml:space="preserve">Kéo dây tiếp địa </v>
      </c>
      <c r="F509" s="555" t="str">
        <f>VLOOKUP($B509,dongia1,DG!$D$5,)</f>
        <v>kg</v>
      </c>
      <c r="G509" s="205">
        <f>G497</f>
        <v>2.2400000000000002</v>
      </c>
      <c r="H509" s="556">
        <f t="shared" ca="1" si="282"/>
        <v>2.2400000000000002</v>
      </c>
      <c r="I509" s="556">
        <f t="shared" ca="1" si="283"/>
        <v>0</v>
      </c>
      <c r="J509" s="556">
        <f t="shared" ca="1" si="283"/>
        <v>0</v>
      </c>
      <c r="K509" s="556">
        <f t="shared" ca="1" si="283"/>
        <v>2.2400000000000002</v>
      </c>
      <c r="L509" s="556">
        <f t="shared" ca="1" si="283"/>
        <v>0</v>
      </c>
      <c r="M509" s="556"/>
      <c r="N509" s="556">
        <f t="shared" ca="1" si="283"/>
        <v>0</v>
      </c>
      <c r="O509" s="556">
        <f t="shared" ca="1" si="283"/>
        <v>0</v>
      </c>
      <c r="P509" s="554"/>
      <c r="Q509" s="182">
        <f>VLOOKUP($B509,dongia1,DG!$G$5,)</f>
        <v>2578.65</v>
      </c>
      <c r="R509" s="554"/>
      <c r="S509" s="113">
        <f>$G509*P509</f>
        <v>0</v>
      </c>
      <c r="T509" s="113">
        <f>$G509*Q509</f>
        <v>5776.1760000000004</v>
      </c>
      <c r="U509" s="557">
        <f>$G509*R509</f>
        <v>0</v>
      </c>
    </row>
    <row r="510" spans="1:21" s="552" customFormat="1" ht="15" hidden="1" customHeight="1">
      <c r="A510" s="621"/>
      <c r="B510" s="622" t="s">
        <v>665</v>
      </c>
      <c r="C510" s="637" t="str">
        <f t="shared" ca="1" si="288"/>
        <v xml:space="preserve"> </v>
      </c>
      <c r="D510" s="553"/>
      <c r="E510" s="694" t="str">
        <f>VLOOKUP($B510,dongia1,DG!C$5,)</f>
        <v>Đào rãnh tiếp địa đất cấp 3</v>
      </c>
      <c r="F510" s="555" t="str">
        <f>VLOOKUP($B510,dongia1,DG!$D$5,)</f>
        <v>m3</v>
      </c>
      <c r="G510" s="205"/>
      <c r="H510" s="556">
        <f t="shared" ca="1" si="282"/>
        <v>0</v>
      </c>
      <c r="I510" s="556">
        <f t="shared" ca="1" si="283"/>
        <v>0</v>
      </c>
      <c r="J510" s="556">
        <f t="shared" ca="1" si="283"/>
        <v>0</v>
      </c>
      <c r="K510" s="556">
        <f t="shared" ca="1" si="283"/>
        <v>0</v>
      </c>
      <c r="L510" s="556">
        <f t="shared" ca="1" si="283"/>
        <v>0</v>
      </c>
      <c r="M510" s="556"/>
      <c r="N510" s="556">
        <f t="shared" ca="1" si="283"/>
        <v>0</v>
      </c>
      <c r="O510" s="556">
        <f t="shared" ca="1" si="283"/>
        <v>0</v>
      </c>
      <c r="P510" s="554"/>
      <c r="Q510" s="182">
        <f>VLOOKUP($B510,dongia1,DG!$G$5,)</f>
        <v>283749.75</v>
      </c>
      <c r="R510" s="554"/>
      <c r="S510" s="113">
        <f t="shared" ref="S510:U511" si="289">$G510*P510</f>
        <v>0</v>
      </c>
      <c r="T510" s="113">
        <f t="shared" si="289"/>
        <v>0</v>
      </c>
      <c r="U510" s="557">
        <f t="shared" si="289"/>
        <v>0</v>
      </c>
    </row>
    <row r="511" spans="1:21" s="552" customFormat="1" ht="15" hidden="1" customHeight="1">
      <c r="A511" s="621"/>
      <c r="B511" s="622" t="s">
        <v>1985</v>
      </c>
      <c r="C511" s="637" t="str">
        <f t="shared" ca="1" si="288"/>
        <v xml:space="preserve"> </v>
      </c>
      <c r="D511" s="553"/>
      <c r="E511" s="694" t="str">
        <f>VLOOKUP($B511,dongia1,DG!C$5,)</f>
        <v>Đắp đất rãnh tiếp địa cấp 3 (độ chặt k = 0.85)</v>
      </c>
      <c r="F511" s="555" t="str">
        <f>VLOOKUP($B511,dongia1,DG!$D$5,)</f>
        <v>m3</v>
      </c>
      <c r="G511" s="205"/>
      <c r="H511" s="556">
        <f t="shared" ca="1" si="282"/>
        <v>0</v>
      </c>
      <c r="I511" s="556">
        <f t="shared" ca="1" si="283"/>
        <v>0</v>
      </c>
      <c r="J511" s="556">
        <f t="shared" ca="1" si="283"/>
        <v>0</v>
      </c>
      <c r="K511" s="556">
        <f t="shared" ca="1" si="283"/>
        <v>0</v>
      </c>
      <c r="L511" s="556">
        <f t="shared" ca="1" si="283"/>
        <v>0</v>
      </c>
      <c r="M511" s="556"/>
      <c r="N511" s="556">
        <f t="shared" ca="1" si="283"/>
        <v>0</v>
      </c>
      <c r="O511" s="556">
        <f t="shared" ca="1" si="283"/>
        <v>0</v>
      </c>
      <c r="P511" s="554"/>
      <c r="Q511" s="182">
        <f>VLOOKUP($B511,dongia1,DG!$G$5,)</f>
        <v>117703.6</v>
      </c>
      <c r="R511" s="554"/>
      <c r="S511" s="113">
        <f t="shared" si="289"/>
        <v>0</v>
      </c>
      <c r="T511" s="113">
        <f t="shared" si="289"/>
        <v>0</v>
      </c>
      <c r="U511" s="557">
        <f t="shared" si="289"/>
        <v>0</v>
      </c>
    </row>
    <row r="512" spans="1:21" s="552" customFormat="1" ht="15" hidden="1" customHeight="1">
      <c r="A512" s="621"/>
      <c r="B512" s="622" t="s">
        <v>102</v>
      </c>
      <c r="C512" s="637" t="str">
        <f t="shared" ca="1" si="288"/>
        <v>x</v>
      </c>
      <c r="D512" s="553"/>
      <c r="E512" s="694" t="str">
        <f>VLOOKUP($B512,dongia1,DG!C$5,)</f>
        <v>Đóng cọc tiếp địa đất cấp 3 dài 2,5m</v>
      </c>
      <c r="F512" s="555" t="str">
        <f>VLOOKUP($B512,dongia1,DG!$D$5,)</f>
        <v>cọc</v>
      </c>
      <c r="G512" s="205">
        <f>G498</f>
        <v>1</v>
      </c>
      <c r="H512" s="556">
        <f t="shared" ca="1" si="282"/>
        <v>1</v>
      </c>
      <c r="I512" s="556">
        <f t="shared" ca="1" si="283"/>
        <v>0</v>
      </c>
      <c r="J512" s="556">
        <f t="shared" ca="1" si="283"/>
        <v>0</v>
      </c>
      <c r="K512" s="556">
        <f t="shared" ca="1" si="283"/>
        <v>1</v>
      </c>
      <c r="L512" s="556">
        <f t="shared" ca="1" si="283"/>
        <v>0</v>
      </c>
      <c r="M512" s="556"/>
      <c r="N512" s="556">
        <f t="shared" ca="1" si="283"/>
        <v>0</v>
      </c>
      <c r="O512" s="556">
        <f t="shared" ca="1" si="283"/>
        <v>0</v>
      </c>
      <c r="P512" s="554"/>
      <c r="Q512" s="182">
        <f>VLOOKUP($B512,dongia1,DG!$G$5,)</f>
        <v>90355.896000000008</v>
      </c>
      <c r="R512" s="554"/>
      <c r="S512" s="113">
        <f>$G512*P512</f>
        <v>0</v>
      </c>
      <c r="T512" s="113">
        <f>$G512*Q512</f>
        <v>90355.896000000008</v>
      </c>
      <c r="U512" s="718">
        <f>$G512*R512</f>
        <v>0</v>
      </c>
    </row>
    <row r="513" spans="1:21" s="858" customFormat="1" hidden="1">
      <c r="A513" s="847" t="s">
        <v>1621</v>
      </c>
      <c r="B513" s="848"/>
      <c r="C513" s="849"/>
      <c r="D513" s="850">
        <v>5</v>
      </c>
      <c r="E513" s="1982" t="s">
        <v>5787</v>
      </c>
      <c r="F513" s="852" t="s">
        <v>2113</v>
      </c>
      <c r="G513" s="853">
        <v>1</v>
      </c>
      <c r="H513" s="854">
        <f ca="1">SUM(I513:N513)</f>
        <v>0</v>
      </c>
      <c r="I513" s="854">
        <f ca="1">SUMIF(tdll3pm,chitiet!$E513,sltdll3pm)</f>
        <v>0</v>
      </c>
      <c r="J513" s="854">
        <f ca="1">SUMIF(tdllct,chitiet!$E513,sltdllct)</f>
        <v>0</v>
      </c>
      <c r="K513" s="854">
        <f ca="1">SUMIF(tdll3p1m,chitiet!$E513,sltdll3p1m)</f>
        <v>0</v>
      </c>
      <c r="L513" s="854">
        <f ca="1">SUMIF(tdll1pm,chitiet!$E513,sltdll1pm)</f>
        <v>0</v>
      </c>
      <c r="M513" s="854">
        <f ca="1">SUMIF(tdllHTHH,chitiet!$E513,sltdllhthh)</f>
        <v>0</v>
      </c>
      <c r="N513" s="854">
        <f ca="1">SUMIF(tdllHTDL,chitiet!$E513,sltdllhtdl)</f>
        <v>0</v>
      </c>
      <c r="O513" s="854">
        <f ca="1">SUMIF(tdllHTCS,chitiet!$E513,sltdllHTCS)</f>
        <v>0</v>
      </c>
      <c r="P513" s="855"/>
      <c r="Q513" s="855"/>
      <c r="R513" s="855"/>
      <c r="S513" s="856">
        <f>SUM(S514:S521)</f>
        <v>1927870</v>
      </c>
      <c r="T513" s="856">
        <f>SUM(T514:T521)</f>
        <v>283703.07300000003</v>
      </c>
      <c r="U513" s="931">
        <f>SUM(U514:U521)</f>
        <v>0</v>
      </c>
    </row>
    <row r="514" spans="1:21" hidden="1">
      <c r="B514" s="696" t="s">
        <v>1200</v>
      </c>
      <c r="C514" s="631"/>
      <c r="D514" s="698"/>
      <c r="E514" s="699" t="str">
        <f>VLOOKUP($B514,dongia1,DG!C$5,)</f>
        <v>Cáp đồng trần M25mm2</v>
      </c>
      <c r="F514" s="700" t="str">
        <f>VLOOKUP($B514,dongia1,DG!$D$5,)</f>
        <v>kg</v>
      </c>
      <c r="G514" s="762">
        <f>ROUND(22*0.224,1)</f>
        <v>4.9000000000000004</v>
      </c>
      <c r="H514" s="701">
        <f t="shared" ref="H514:H521" ca="1" si="290">H$513*$G514</f>
        <v>0</v>
      </c>
      <c r="I514" s="701">
        <f t="shared" ref="I514:O521" ca="1" si="291">I$513*$G514</f>
        <v>0</v>
      </c>
      <c r="J514" s="701">
        <f t="shared" ca="1" si="291"/>
        <v>0</v>
      </c>
      <c r="K514" s="701">
        <f t="shared" ca="1" si="291"/>
        <v>0</v>
      </c>
      <c r="L514" s="701">
        <f t="shared" ca="1" si="291"/>
        <v>0</v>
      </c>
      <c r="M514" s="701"/>
      <c r="N514" s="701">
        <f t="shared" ca="1" si="291"/>
        <v>0</v>
      </c>
      <c r="O514" s="701">
        <f t="shared" ca="1" si="291"/>
        <v>0</v>
      </c>
      <c r="P514" s="702">
        <f>VLOOKUP($B514,dongia1,DG!$F$5,)</f>
        <v>255500</v>
      </c>
      <c r="Q514" s="703"/>
      <c r="R514" s="703"/>
      <c r="S514" s="702">
        <f t="shared" ref="S514:S521" si="292">$G514*P514</f>
        <v>1251950</v>
      </c>
      <c r="T514" s="702">
        <f t="shared" ref="T514:T521" si="293">$G514*Q514</f>
        <v>0</v>
      </c>
      <c r="U514" s="704">
        <f t="shared" ref="U514:U521" si="294">$G514*R514</f>
        <v>0</v>
      </c>
    </row>
    <row r="515" spans="1:21" hidden="1">
      <c r="B515" s="696" t="s">
        <v>1098</v>
      </c>
      <c r="C515" s="631"/>
      <c r="D515" s="698"/>
      <c r="E515" s="699" t="str">
        <f>VLOOKUP($B515,dongia1,DG!C$5,)</f>
        <v>Cọc tiếp đất Þ 16- 2,4m + kẹp cọc</v>
      </c>
      <c r="F515" s="700" t="str">
        <f>VLOOKUP($B515,dongia1,DG!$D$5,)</f>
        <v>bộ</v>
      </c>
      <c r="G515" s="762">
        <v>3</v>
      </c>
      <c r="H515" s="701">
        <f t="shared" ca="1" si="290"/>
        <v>0</v>
      </c>
      <c r="I515" s="701">
        <f t="shared" ca="1" si="291"/>
        <v>0</v>
      </c>
      <c r="J515" s="701">
        <f t="shared" ca="1" si="291"/>
        <v>0</v>
      </c>
      <c r="K515" s="701">
        <f t="shared" ca="1" si="291"/>
        <v>0</v>
      </c>
      <c r="L515" s="701">
        <f t="shared" ca="1" si="291"/>
        <v>0</v>
      </c>
      <c r="M515" s="701"/>
      <c r="N515" s="701">
        <f t="shared" ca="1" si="291"/>
        <v>0</v>
      </c>
      <c r="O515" s="701">
        <f t="shared" ca="1" si="291"/>
        <v>0</v>
      </c>
      <c r="P515" s="702">
        <f>VLOOKUP($B515,dongia1,DG!$F$5,)</f>
        <v>160000</v>
      </c>
      <c r="Q515" s="703"/>
      <c r="R515" s="703"/>
      <c r="S515" s="702">
        <f t="shared" si="292"/>
        <v>480000</v>
      </c>
      <c r="T515" s="702">
        <f t="shared" si="293"/>
        <v>0</v>
      </c>
      <c r="U515" s="704">
        <f t="shared" si="294"/>
        <v>0</v>
      </c>
    </row>
    <row r="516" spans="1:21" hidden="1">
      <c r="B516" s="696" t="s">
        <v>75</v>
      </c>
      <c r="C516" s="631"/>
      <c r="D516" s="698"/>
      <c r="E516" s="699" t="str">
        <f>VLOOKUP($B516,dongia1,DG!C$5,)</f>
        <v>Kẹp ép WR cỡ dây 50mm2</v>
      </c>
      <c r="F516" s="700" t="str">
        <f>VLOOKUP($B516,dongia1,DG!$D$5,)</f>
        <v>cái</v>
      </c>
      <c r="G516" s="762">
        <v>2</v>
      </c>
      <c r="H516" s="701">
        <f t="shared" ca="1" si="290"/>
        <v>0</v>
      </c>
      <c r="I516" s="701">
        <f t="shared" ca="1" si="291"/>
        <v>0</v>
      </c>
      <c r="J516" s="701">
        <f t="shared" ca="1" si="291"/>
        <v>0</v>
      </c>
      <c r="K516" s="701">
        <f t="shared" ca="1" si="291"/>
        <v>0</v>
      </c>
      <c r="L516" s="701">
        <f t="shared" ca="1" si="291"/>
        <v>0</v>
      </c>
      <c r="M516" s="701"/>
      <c r="N516" s="701">
        <f t="shared" ca="1" si="291"/>
        <v>0</v>
      </c>
      <c r="O516" s="701">
        <f t="shared" ca="1" si="291"/>
        <v>0</v>
      </c>
      <c r="P516" s="702">
        <f>VLOOKUP($B516,dongia1,DG!$F$5,)</f>
        <v>8000</v>
      </c>
      <c r="Q516" s="702"/>
      <c r="R516" s="703"/>
      <c r="S516" s="702">
        <f t="shared" si="292"/>
        <v>16000</v>
      </c>
      <c r="T516" s="702">
        <f t="shared" si="293"/>
        <v>0</v>
      </c>
      <c r="U516" s="704">
        <f t="shared" si="294"/>
        <v>0</v>
      </c>
    </row>
    <row r="517" spans="1:21" ht="15" hidden="1" customHeight="1">
      <c r="B517" s="622" t="s">
        <v>1433</v>
      </c>
      <c r="C517" s="631"/>
      <c r="D517" s="698"/>
      <c r="E517" s="699" t="str">
        <f>VLOOKUP($B517,dongia1,DG!C$5,)</f>
        <v>Ốc xiết cáp cỡ 25mm2</v>
      </c>
      <c r="F517" s="700" t="str">
        <f>VLOOKUP($B517,dongia1,DG!$D$5,)</f>
        <v>cái</v>
      </c>
      <c r="G517" s="762">
        <v>2</v>
      </c>
      <c r="H517" s="701">
        <f t="shared" ca="1" si="290"/>
        <v>0</v>
      </c>
      <c r="I517" s="701">
        <f t="shared" ca="1" si="291"/>
        <v>0</v>
      </c>
      <c r="J517" s="701">
        <f t="shared" ca="1" si="291"/>
        <v>0</v>
      </c>
      <c r="K517" s="701">
        <f t="shared" ca="1" si="291"/>
        <v>0</v>
      </c>
      <c r="L517" s="701">
        <f t="shared" ca="1" si="291"/>
        <v>0</v>
      </c>
      <c r="M517" s="701"/>
      <c r="N517" s="701">
        <f t="shared" ca="1" si="291"/>
        <v>0</v>
      </c>
      <c r="O517" s="701">
        <f t="shared" ca="1" si="291"/>
        <v>0</v>
      </c>
      <c r="P517" s="702">
        <f>VLOOKUP($B517,dongia1,DG!$F$5,)</f>
        <v>17600</v>
      </c>
      <c r="Q517" s="703"/>
      <c r="R517" s="703"/>
      <c r="S517" s="702">
        <f t="shared" si="292"/>
        <v>35200</v>
      </c>
      <c r="T517" s="702">
        <f t="shared" si="293"/>
        <v>0</v>
      </c>
      <c r="U517" s="704">
        <f t="shared" si="294"/>
        <v>0</v>
      </c>
    </row>
    <row r="518" spans="1:21" hidden="1">
      <c r="B518" s="696" t="s">
        <v>5793</v>
      </c>
      <c r="C518" s="631"/>
      <c r="D518" s="698"/>
      <c r="E518" s="699" t="str">
        <f>VLOOKUP($B518,dongia1,DG!C$5,)</f>
        <v>Cáp đồng bọc CV11</v>
      </c>
      <c r="F518" s="700" t="str">
        <f>VLOOKUP($B518,dongia1,DG!$D$5,)</f>
        <v>mét</v>
      </c>
      <c r="G518" s="762">
        <v>10</v>
      </c>
      <c r="H518" s="701">
        <f t="shared" ca="1" si="290"/>
        <v>0</v>
      </c>
      <c r="I518" s="701">
        <f t="shared" ca="1" si="291"/>
        <v>0</v>
      </c>
      <c r="J518" s="701">
        <f t="shared" ca="1" si="291"/>
        <v>0</v>
      </c>
      <c r="K518" s="701">
        <f t="shared" ca="1" si="291"/>
        <v>0</v>
      </c>
      <c r="L518" s="701">
        <f t="shared" ca="1" si="291"/>
        <v>0</v>
      </c>
      <c r="M518" s="701"/>
      <c r="N518" s="701">
        <f t="shared" ca="1" si="291"/>
        <v>0</v>
      </c>
      <c r="O518" s="701">
        <f t="shared" ca="1" si="291"/>
        <v>0</v>
      </c>
      <c r="P518" s="702">
        <f>VLOOKUP($B518,dongia1,DG!$F$5,)</f>
        <v>14472</v>
      </c>
      <c r="Q518" s="703"/>
      <c r="R518" s="703"/>
      <c r="S518" s="702">
        <f>$G518*P518</f>
        <v>144720</v>
      </c>
      <c r="T518" s="702">
        <f>$G518*Q518</f>
        <v>0</v>
      </c>
      <c r="U518" s="704">
        <f>$G518*R518</f>
        <v>0</v>
      </c>
    </row>
    <row r="519" spans="1:21" hidden="1">
      <c r="B519" s="696" t="s">
        <v>1859</v>
      </c>
      <c r="C519" s="631"/>
      <c r="D519" s="698"/>
      <c r="E519" s="699" t="str">
        <f>VLOOKUP($B519,dongia1,DG!C$5,)</f>
        <v xml:space="preserve">Kéo dây tiếp địa </v>
      </c>
      <c r="F519" s="700" t="str">
        <f>VLOOKUP($B519,dongia1,DG!$D$5,)</f>
        <v>kg</v>
      </c>
      <c r="G519" s="762">
        <f>+G514</f>
        <v>4.9000000000000004</v>
      </c>
      <c r="H519" s="701">
        <f t="shared" ca="1" si="290"/>
        <v>0</v>
      </c>
      <c r="I519" s="701">
        <f t="shared" ca="1" si="291"/>
        <v>0</v>
      </c>
      <c r="J519" s="701">
        <f t="shared" ca="1" si="291"/>
        <v>0</v>
      </c>
      <c r="K519" s="701">
        <f t="shared" ca="1" si="291"/>
        <v>0</v>
      </c>
      <c r="L519" s="701">
        <f t="shared" ca="1" si="291"/>
        <v>0</v>
      </c>
      <c r="M519" s="701"/>
      <c r="N519" s="701">
        <f t="shared" ca="1" si="291"/>
        <v>0</v>
      </c>
      <c r="O519" s="701">
        <f t="shared" ca="1" si="291"/>
        <v>0</v>
      </c>
      <c r="P519" s="703"/>
      <c r="Q519" s="702">
        <f>VLOOKUP($B519,dongia1,DG!$G$5,)</f>
        <v>2578.65</v>
      </c>
      <c r="R519" s="703"/>
      <c r="S519" s="702">
        <f t="shared" si="292"/>
        <v>0</v>
      </c>
      <c r="T519" s="702">
        <f t="shared" si="293"/>
        <v>12635.385000000002</v>
      </c>
      <c r="U519" s="704">
        <f t="shared" si="294"/>
        <v>0</v>
      </c>
    </row>
    <row r="520" spans="1:21" hidden="1">
      <c r="B520" s="696" t="s">
        <v>665</v>
      </c>
      <c r="C520" s="631"/>
      <c r="D520" s="698"/>
      <c r="E520" s="699" t="str">
        <f>VLOOKUP($B520,dongia1,DG!C$5,)</f>
        <v>Đào rãnh tiếp địa đất cấp 3</v>
      </c>
      <c r="F520" s="700" t="str">
        <f>VLOOKUP($B520,dongia1,DG!$D$5,)</f>
        <v>m3</v>
      </c>
      <c r="G520" s="1060"/>
      <c r="H520" s="701">
        <f t="shared" ca="1" si="290"/>
        <v>0</v>
      </c>
      <c r="I520" s="701">
        <f t="shared" ca="1" si="291"/>
        <v>0</v>
      </c>
      <c r="J520" s="701">
        <f t="shared" ca="1" si="291"/>
        <v>0</v>
      </c>
      <c r="K520" s="701">
        <f t="shared" ca="1" si="291"/>
        <v>0</v>
      </c>
      <c r="L520" s="701">
        <f t="shared" ca="1" si="291"/>
        <v>0</v>
      </c>
      <c r="M520" s="701"/>
      <c r="N520" s="701">
        <f t="shared" ca="1" si="291"/>
        <v>0</v>
      </c>
      <c r="O520" s="701">
        <f t="shared" ca="1" si="291"/>
        <v>0</v>
      </c>
      <c r="P520" s="703"/>
      <c r="Q520" s="702">
        <f>VLOOKUP($B520,dongia1,DG!$G$5,)</f>
        <v>283749.75</v>
      </c>
      <c r="R520" s="703"/>
      <c r="S520" s="702">
        <f>$G520*P520</f>
        <v>0</v>
      </c>
      <c r="T520" s="702">
        <f>$G520*Q520</f>
        <v>0</v>
      </c>
      <c r="U520" s="704">
        <f>$G520*R520</f>
        <v>0</v>
      </c>
    </row>
    <row r="521" spans="1:21" hidden="1">
      <c r="B521" s="696" t="s">
        <v>102</v>
      </c>
      <c r="C521" s="631"/>
      <c r="D521" s="698"/>
      <c r="E521" s="699" t="str">
        <f>VLOOKUP($B521,dongia1,DG!C$5,)</f>
        <v>Đóng cọc tiếp địa đất cấp 3 dài 2,5m</v>
      </c>
      <c r="F521" s="700" t="str">
        <f>VLOOKUP($B521,dongia1,DG!$D$5,)</f>
        <v>cọc</v>
      </c>
      <c r="G521" s="762">
        <f>G515</f>
        <v>3</v>
      </c>
      <c r="H521" s="701">
        <f t="shared" ca="1" si="290"/>
        <v>0</v>
      </c>
      <c r="I521" s="701">
        <f t="shared" ca="1" si="291"/>
        <v>0</v>
      </c>
      <c r="J521" s="701">
        <f t="shared" ca="1" si="291"/>
        <v>0</v>
      </c>
      <c r="K521" s="701">
        <f t="shared" ca="1" si="291"/>
        <v>0</v>
      </c>
      <c r="L521" s="701">
        <f t="shared" ca="1" si="291"/>
        <v>0</v>
      </c>
      <c r="M521" s="701"/>
      <c r="N521" s="701">
        <f t="shared" ca="1" si="291"/>
        <v>0</v>
      </c>
      <c r="O521" s="701">
        <f t="shared" ca="1" si="291"/>
        <v>0</v>
      </c>
      <c r="P521" s="703"/>
      <c r="Q521" s="702">
        <f>VLOOKUP($B521,dongia1,DG!$G$5,)</f>
        <v>90355.896000000008</v>
      </c>
      <c r="R521" s="703"/>
      <c r="S521" s="702">
        <f t="shared" si="292"/>
        <v>0</v>
      </c>
      <c r="T521" s="702">
        <f t="shared" si="293"/>
        <v>271067.68800000002</v>
      </c>
      <c r="U521" s="704">
        <f t="shared" si="294"/>
        <v>0</v>
      </c>
    </row>
    <row r="522" spans="1:21" s="552" customFormat="1" ht="15" hidden="1" customHeight="1">
      <c r="A522" s="621" t="s">
        <v>3740</v>
      </c>
      <c r="B522" s="622"/>
      <c r="C522" s="558" t="str">
        <f ca="1">IF(H522&lt;&gt;0,"x"," ")</f>
        <v xml:space="preserve"> </v>
      </c>
      <c r="D522" s="553"/>
      <c r="E522" s="727" t="s">
        <v>3547</v>
      </c>
      <c r="F522" s="600" t="s">
        <v>2113</v>
      </c>
      <c r="G522" s="205"/>
      <c r="H522" s="556">
        <f ca="1">SUM(I522:N522)</f>
        <v>0</v>
      </c>
      <c r="I522" s="556">
        <f ca="1">SUMIF(tdll3pm,chitiet!$E522,sltdll3pm)</f>
        <v>0</v>
      </c>
      <c r="J522" s="556">
        <f ca="1">SUMIF(tdllct,chitiet!$E522,sltdllct)</f>
        <v>0</v>
      </c>
      <c r="K522" s="556">
        <f ca="1">SUMIF(tdll3p1m,chitiet!$E522,sltdll3p1m)</f>
        <v>0</v>
      </c>
      <c r="L522" s="556">
        <f ca="1">SUMIF(tdll1pm,chitiet!$E522,sltdll1pm)</f>
        <v>0</v>
      </c>
      <c r="M522" s="556">
        <f ca="1">SUMIF(tdllHTHH,chitiet!$E522,sltdllhthh)</f>
        <v>0</v>
      </c>
      <c r="N522" s="556">
        <f ca="1">SUMIF(tdllHTDL,chitiet!$E522,sltdllhtdl)</f>
        <v>0</v>
      </c>
      <c r="O522" s="556"/>
      <c r="P522" s="554"/>
      <c r="Q522" s="554"/>
      <c r="R522" s="554"/>
      <c r="S522" s="601">
        <f>SUM(S523:S530)</f>
        <v>3085700</v>
      </c>
      <c r="T522" s="601">
        <f>SUM(T523:T530)</f>
        <v>403849.674</v>
      </c>
      <c r="U522" s="602">
        <f>SUM(U523:U530)</f>
        <v>8331.0697424999998</v>
      </c>
    </row>
    <row r="523" spans="1:21" s="552" customFormat="1" ht="15" hidden="1" customHeight="1">
      <c r="A523" s="621"/>
      <c r="B523" s="622" t="s">
        <v>584</v>
      </c>
      <c r="C523" s="558" t="str">
        <f t="shared" ref="C523:C530" ca="1" si="295">IF(H523&lt;&gt;0,"x"," ")</f>
        <v xml:space="preserve"> </v>
      </c>
      <c r="D523" s="553"/>
      <c r="E523" s="694" t="str">
        <f>VLOOKUP($B523,dongia1,DG!C$5,)</f>
        <v>Cáp đồng trần M25mm2</v>
      </c>
      <c r="F523" s="555" t="str">
        <f>VLOOKUP($B523,dongia1,DG!$D$5,)</f>
        <v>kg</v>
      </c>
      <c r="G523" s="205">
        <v>9.4</v>
      </c>
      <c r="H523" s="556">
        <f t="shared" ref="H523:H530" ca="1" si="296">H$522*$G523</f>
        <v>0</v>
      </c>
      <c r="I523" s="556">
        <f t="shared" ref="I523:O530" ca="1" si="297">I$522*$G523</f>
        <v>0</v>
      </c>
      <c r="J523" s="556">
        <f t="shared" ca="1" si="297"/>
        <v>0</v>
      </c>
      <c r="K523" s="556">
        <f t="shared" ca="1" si="297"/>
        <v>0</v>
      </c>
      <c r="L523" s="556">
        <f t="shared" ca="1" si="297"/>
        <v>0</v>
      </c>
      <c r="M523" s="556"/>
      <c r="N523" s="556">
        <f t="shared" ca="1" si="297"/>
        <v>0</v>
      </c>
      <c r="O523" s="556">
        <f t="shared" si="297"/>
        <v>0</v>
      </c>
      <c r="P523" s="182">
        <f>VLOOKUP($B523,dongia1,DG!$F$5,)</f>
        <v>255500</v>
      </c>
      <c r="Q523" s="554"/>
      <c r="R523" s="554"/>
      <c r="S523" s="113">
        <f t="shared" ref="S523:S530" si="298">$G523*P523</f>
        <v>2401700</v>
      </c>
      <c r="T523" s="113">
        <f t="shared" ref="T523:T530" si="299">$G523*Q523</f>
        <v>0</v>
      </c>
      <c r="U523" s="557">
        <f t="shared" ref="U523:U530" si="300">$G523*R523</f>
        <v>0</v>
      </c>
    </row>
    <row r="524" spans="1:21" s="552" customFormat="1" ht="15" hidden="1" customHeight="1">
      <c r="A524" s="621"/>
      <c r="B524" s="622" t="s">
        <v>1098</v>
      </c>
      <c r="C524" s="558" t="str">
        <f t="shared" ca="1" si="295"/>
        <v xml:space="preserve"> </v>
      </c>
      <c r="D524" s="553"/>
      <c r="E524" s="694" t="str">
        <f>VLOOKUP($B524,dongia1,DG!C$5,)</f>
        <v>Cọc tiếp đất Þ 16- 2,4m + kẹp cọc</v>
      </c>
      <c r="F524" s="555" t="str">
        <f>VLOOKUP($B524,dongia1,DG!$D$5,)</f>
        <v>bộ</v>
      </c>
      <c r="G524" s="205">
        <v>4</v>
      </c>
      <c r="H524" s="556">
        <f t="shared" ca="1" si="296"/>
        <v>0</v>
      </c>
      <c r="I524" s="556">
        <f t="shared" ca="1" si="297"/>
        <v>0</v>
      </c>
      <c r="J524" s="556">
        <f t="shared" ca="1" si="297"/>
        <v>0</v>
      </c>
      <c r="K524" s="556">
        <f t="shared" ca="1" si="297"/>
        <v>0</v>
      </c>
      <c r="L524" s="556">
        <f t="shared" ca="1" si="297"/>
        <v>0</v>
      </c>
      <c r="M524" s="556"/>
      <c r="N524" s="556">
        <f t="shared" ca="1" si="297"/>
        <v>0</v>
      </c>
      <c r="O524" s="556">
        <f t="shared" si="297"/>
        <v>0</v>
      </c>
      <c r="P524" s="182">
        <f>VLOOKUP($B524,dongia1,DG!$F$5,)</f>
        <v>160000</v>
      </c>
      <c r="Q524" s="554"/>
      <c r="R524" s="554"/>
      <c r="S524" s="113">
        <f t="shared" si="298"/>
        <v>640000</v>
      </c>
      <c r="T524" s="113">
        <f t="shared" si="299"/>
        <v>0</v>
      </c>
      <c r="U524" s="557">
        <f t="shared" si="300"/>
        <v>0</v>
      </c>
    </row>
    <row r="525" spans="1:21" s="552" customFormat="1" ht="15" hidden="1" customHeight="1">
      <c r="A525" s="621"/>
      <c r="B525" s="622" t="s">
        <v>1908</v>
      </c>
      <c r="C525" s="558" t="str">
        <f t="shared" ca="1" si="295"/>
        <v xml:space="preserve"> </v>
      </c>
      <c r="D525" s="553"/>
      <c r="E525" s="694" t="str">
        <f>VLOOKUP($B525,dongia1,DG!C$5,)</f>
        <v>Kẹp ép WR cỡ dây 50mm2</v>
      </c>
      <c r="F525" s="555" t="str">
        <f>VLOOKUP($B525,dongia1,DG!$D$5,)</f>
        <v>cái</v>
      </c>
      <c r="G525" s="205">
        <v>2</v>
      </c>
      <c r="H525" s="556">
        <f t="shared" ca="1" si="296"/>
        <v>0</v>
      </c>
      <c r="I525" s="556">
        <f t="shared" ca="1" si="297"/>
        <v>0</v>
      </c>
      <c r="J525" s="556">
        <f t="shared" ca="1" si="297"/>
        <v>0</v>
      </c>
      <c r="K525" s="556">
        <f t="shared" ca="1" si="297"/>
        <v>0</v>
      </c>
      <c r="L525" s="556">
        <f t="shared" ca="1" si="297"/>
        <v>0</v>
      </c>
      <c r="M525" s="556"/>
      <c r="N525" s="556">
        <f t="shared" ca="1" si="297"/>
        <v>0</v>
      </c>
      <c r="O525" s="556">
        <f t="shared" si="297"/>
        <v>0</v>
      </c>
      <c r="P525" s="182">
        <f>VLOOKUP($B525,dongia1,DG!$F$5,)</f>
        <v>8000</v>
      </c>
      <c r="Q525" s="182"/>
      <c r="R525" s="554"/>
      <c r="S525" s="113">
        <f t="shared" si="298"/>
        <v>16000</v>
      </c>
      <c r="T525" s="113">
        <f t="shared" si="299"/>
        <v>0</v>
      </c>
      <c r="U525" s="557">
        <f t="shared" si="300"/>
        <v>0</v>
      </c>
    </row>
    <row r="526" spans="1:21" s="552" customFormat="1" ht="15" hidden="1" customHeight="1">
      <c r="A526" s="621"/>
      <c r="B526" s="622" t="s">
        <v>971</v>
      </c>
      <c r="C526" s="558" t="str">
        <f t="shared" ca="1" si="295"/>
        <v xml:space="preserve"> </v>
      </c>
      <c r="D526" s="553"/>
      <c r="E526" s="694" t="str">
        <f>VLOOKUP($B526,dongia1,DG!C$5,)</f>
        <v>Đầu cosse ép Cu 25mm2</v>
      </c>
      <c r="F526" s="555" t="str">
        <f>VLOOKUP($B526,dongia1,DG!$D$5,)</f>
        <v>cái</v>
      </c>
      <c r="G526" s="205">
        <v>3</v>
      </c>
      <c r="H526" s="556">
        <f t="shared" ca="1" si="296"/>
        <v>0</v>
      </c>
      <c r="I526" s="556">
        <f t="shared" ca="1" si="297"/>
        <v>0</v>
      </c>
      <c r="J526" s="556">
        <f t="shared" ca="1" si="297"/>
        <v>0</v>
      </c>
      <c r="K526" s="556">
        <f t="shared" ca="1" si="297"/>
        <v>0</v>
      </c>
      <c r="L526" s="556">
        <f t="shared" ca="1" si="297"/>
        <v>0</v>
      </c>
      <c r="M526" s="556"/>
      <c r="N526" s="556">
        <f t="shared" ca="1" si="297"/>
        <v>0</v>
      </c>
      <c r="O526" s="556">
        <f t="shared" si="297"/>
        <v>0</v>
      </c>
      <c r="P526" s="182">
        <f>VLOOKUP($B526,dongia1,DG!$F$5,)</f>
        <v>6500</v>
      </c>
      <c r="Q526" s="182">
        <f>VLOOKUP($B526,dongia1,DG!$G$5,)</f>
        <v>6062.26</v>
      </c>
      <c r="R526" s="182">
        <f>VLOOKUP($B526,dongia1,DG!$H$5,)</f>
        <v>2777.0232475000003</v>
      </c>
      <c r="S526" s="113">
        <f t="shared" si="298"/>
        <v>19500</v>
      </c>
      <c r="T526" s="113">
        <f t="shared" si="299"/>
        <v>18186.78</v>
      </c>
      <c r="U526" s="557">
        <f t="shared" si="300"/>
        <v>8331.0697424999998</v>
      </c>
    </row>
    <row r="527" spans="1:21" s="552" customFormat="1" ht="15" hidden="1" customHeight="1">
      <c r="A527" s="621"/>
      <c r="B527" s="622" t="s">
        <v>1623</v>
      </c>
      <c r="C527" s="558" t="str">
        <f t="shared" ca="1" si="295"/>
        <v xml:space="preserve"> </v>
      </c>
      <c r="D527" s="553"/>
      <c r="E527" s="694" t="str">
        <f>VLOOKUP($B527,dongia1,DG!C$5,)</f>
        <v>Boulon 12x40+ 2 long đền vuông D14-50x50x3/Zn</v>
      </c>
      <c r="F527" s="555" t="str">
        <f>VLOOKUP($B527,dongia1,DG!$D$5,)</f>
        <v>bộ</v>
      </c>
      <c r="G527" s="205">
        <v>1</v>
      </c>
      <c r="H527" s="556">
        <f t="shared" ca="1" si="296"/>
        <v>0</v>
      </c>
      <c r="I527" s="556">
        <f t="shared" ca="1" si="297"/>
        <v>0</v>
      </c>
      <c r="J527" s="556">
        <f t="shared" ca="1" si="297"/>
        <v>0</v>
      </c>
      <c r="K527" s="556">
        <f t="shared" ca="1" si="297"/>
        <v>0</v>
      </c>
      <c r="L527" s="556">
        <f t="shared" ca="1" si="297"/>
        <v>0</v>
      </c>
      <c r="M527" s="556"/>
      <c r="N527" s="556">
        <f t="shared" ca="1" si="297"/>
        <v>0</v>
      </c>
      <c r="O527" s="556">
        <f t="shared" si="297"/>
        <v>0</v>
      </c>
      <c r="P527" s="182">
        <f>VLOOKUP($B527,dongia1,DG!$F$5,)</f>
        <v>8500</v>
      </c>
      <c r="Q527" s="182"/>
      <c r="R527" s="554"/>
      <c r="S527" s="113">
        <f t="shared" si="298"/>
        <v>8500</v>
      </c>
      <c r="T527" s="113">
        <f t="shared" si="299"/>
        <v>0</v>
      </c>
      <c r="U527" s="557">
        <f t="shared" si="300"/>
        <v>0</v>
      </c>
    </row>
    <row r="528" spans="1:21" s="552" customFormat="1" ht="15" hidden="1" customHeight="1">
      <c r="A528" s="621"/>
      <c r="B528" s="622" t="s">
        <v>68</v>
      </c>
      <c r="C528" s="558" t="str">
        <f t="shared" ca="1" si="295"/>
        <v xml:space="preserve"> </v>
      </c>
      <c r="D528" s="553"/>
      <c r="E528" s="694" t="str">
        <f>VLOOKUP($B528,dongia1,DG!C$5,)</f>
        <v>Khoan giếng tiếp địa</v>
      </c>
      <c r="F528" s="555" t="str">
        <f>VLOOKUP($B528,dongia1,DG!$D$5,)</f>
        <v>Cái</v>
      </c>
      <c r="G528" s="205"/>
      <c r="H528" s="556">
        <f t="shared" ca="1" si="296"/>
        <v>0</v>
      </c>
      <c r="I528" s="556">
        <f t="shared" ca="1" si="297"/>
        <v>0</v>
      </c>
      <c r="J528" s="556">
        <f t="shared" ca="1" si="297"/>
        <v>0</v>
      </c>
      <c r="K528" s="556">
        <f t="shared" ca="1" si="297"/>
        <v>0</v>
      </c>
      <c r="L528" s="556">
        <f t="shared" ca="1" si="297"/>
        <v>0</v>
      </c>
      <c r="M528" s="556"/>
      <c r="N528" s="556">
        <f t="shared" ca="1" si="297"/>
        <v>0</v>
      </c>
      <c r="O528" s="556">
        <f t="shared" si="297"/>
        <v>0</v>
      </c>
      <c r="P528" s="182">
        <f>VLOOKUP($B528,dongia1,DG!$F$5,)</f>
        <v>0</v>
      </c>
      <c r="Q528" s="182"/>
      <c r="R528" s="554"/>
      <c r="S528" s="113">
        <f>$G528*P528</f>
        <v>0</v>
      </c>
      <c r="T528" s="113">
        <f>$G528*Q528</f>
        <v>0</v>
      </c>
      <c r="U528" s="557">
        <f>$G528*R528</f>
        <v>0</v>
      </c>
    </row>
    <row r="529" spans="1:21" s="552" customFormat="1" ht="15" hidden="1" customHeight="1">
      <c r="A529" s="621"/>
      <c r="B529" s="622" t="s">
        <v>1859</v>
      </c>
      <c r="C529" s="558" t="str">
        <f t="shared" ca="1" si="295"/>
        <v xml:space="preserve"> </v>
      </c>
      <c r="D529" s="553"/>
      <c r="E529" s="694" t="str">
        <f>VLOOKUP($B529,dongia1,DG!C$5,)</f>
        <v xml:space="preserve">Kéo dây tiếp địa </v>
      </c>
      <c r="F529" s="555" t="str">
        <f>VLOOKUP($B529,dongia1,DG!$D$5,)</f>
        <v>kg</v>
      </c>
      <c r="G529" s="205">
        <f>G523</f>
        <v>9.4</v>
      </c>
      <c r="H529" s="556">
        <f t="shared" ca="1" si="296"/>
        <v>0</v>
      </c>
      <c r="I529" s="556">
        <f t="shared" ca="1" si="297"/>
        <v>0</v>
      </c>
      <c r="J529" s="556">
        <f t="shared" ca="1" si="297"/>
        <v>0</v>
      </c>
      <c r="K529" s="556">
        <f t="shared" ca="1" si="297"/>
        <v>0</v>
      </c>
      <c r="L529" s="556">
        <f t="shared" ca="1" si="297"/>
        <v>0</v>
      </c>
      <c r="M529" s="556"/>
      <c r="N529" s="556">
        <f t="shared" ca="1" si="297"/>
        <v>0</v>
      </c>
      <c r="O529" s="556">
        <f t="shared" si="297"/>
        <v>0</v>
      </c>
      <c r="P529" s="554"/>
      <c r="Q529" s="182">
        <f>VLOOKUP($B529,dongia1,DG!$G$5,)</f>
        <v>2578.65</v>
      </c>
      <c r="R529" s="554"/>
      <c r="S529" s="113">
        <f t="shared" si="298"/>
        <v>0</v>
      </c>
      <c r="T529" s="113">
        <f t="shared" si="299"/>
        <v>24239.31</v>
      </c>
      <c r="U529" s="557">
        <f t="shared" si="300"/>
        <v>0</v>
      </c>
    </row>
    <row r="530" spans="1:21" s="552" customFormat="1" ht="15" hidden="1" customHeight="1">
      <c r="A530" s="621"/>
      <c r="B530" s="622" t="s">
        <v>102</v>
      </c>
      <c r="C530" s="558" t="str">
        <f t="shared" ca="1" si="295"/>
        <v xml:space="preserve"> </v>
      </c>
      <c r="D530" s="553"/>
      <c r="E530" s="694" t="str">
        <f>VLOOKUP($B530,dongia1,DG!C$5,)</f>
        <v>Đóng cọc tiếp địa đất cấp 3 dài 2,5m</v>
      </c>
      <c r="F530" s="555" t="str">
        <f>VLOOKUP($B530,dongia1,DG!$D$5,)</f>
        <v>cọc</v>
      </c>
      <c r="G530" s="205">
        <f>G524</f>
        <v>4</v>
      </c>
      <c r="H530" s="556">
        <f t="shared" ca="1" si="296"/>
        <v>0</v>
      </c>
      <c r="I530" s="556">
        <f t="shared" ca="1" si="297"/>
        <v>0</v>
      </c>
      <c r="J530" s="556">
        <f t="shared" ca="1" si="297"/>
        <v>0</v>
      </c>
      <c r="K530" s="556">
        <f t="shared" ca="1" si="297"/>
        <v>0</v>
      </c>
      <c r="L530" s="556">
        <f t="shared" ca="1" si="297"/>
        <v>0</v>
      </c>
      <c r="M530" s="556"/>
      <c r="N530" s="556">
        <f t="shared" ca="1" si="297"/>
        <v>0</v>
      </c>
      <c r="O530" s="556">
        <f t="shared" si="297"/>
        <v>0</v>
      </c>
      <c r="P530" s="554"/>
      <c r="Q530" s="182">
        <f>VLOOKUP($B530,dongia1,DG!$G$5,)</f>
        <v>90355.896000000008</v>
      </c>
      <c r="R530" s="554"/>
      <c r="S530" s="113">
        <f t="shared" si="298"/>
        <v>0</v>
      </c>
      <c r="T530" s="113">
        <f t="shared" si="299"/>
        <v>361423.58400000003</v>
      </c>
      <c r="U530" s="557">
        <f t="shared" si="300"/>
        <v>0</v>
      </c>
    </row>
    <row r="531" spans="1:21" s="610" customFormat="1" ht="14.25" hidden="1" customHeight="1">
      <c r="A531" s="635" t="s">
        <v>1622</v>
      </c>
      <c r="B531" s="636"/>
      <c r="C531" s="637" t="str">
        <f ca="1">IF(H531&lt;&gt;0,"x"," ")</f>
        <v xml:space="preserve"> </v>
      </c>
      <c r="D531" s="599"/>
      <c r="E531" s="727" t="s">
        <v>3548</v>
      </c>
      <c r="F531" s="600" t="s">
        <v>2113</v>
      </c>
      <c r="G531" s="604"/>
      <c r="H531" s="605">
        <f ca="1">SUM(I531:N531)</f>
        <v>0</v>
      </c>
      <c r="I531" s="605">
        <f ca="1">SUMIF(tdll3pm,chitiet!$E531,sltdll3pm)</f>
        <v>0</v>
      </c>
      <c r="J531" s="605">
        <f ca="1">SUMIF(tdllct,chitiet!$E531,sltdllct)</f>
        <v>0</v>
      </c>
      <c r="K531" s="605">
        <f ca="1">SUMIF(tdll3p1m,chitiet!$E531,sltdll3p1m)</f>
        <v>0</v>
      </c>
      <c r="L531" s="605">
        <f ca="1">SUMIF(tdll1pm,chitiet!$E531,sltdll1pm)</f>
        <v>0</v>
      </c>
      <c r="M531" s="605">
        <f ca="1">SUMIF(tdllHTHH,chitiet!$E531,sltdllhthh)</f>
        <v>0</v>
      </c>
      <c r="N531" s="605">
        <f ca="1">SUMIF(tdllHTDL,chitiet!$E531,sltdllhtdl)</f>
        <v>0</v>
      </c>
      <c r="O531" s="605"/>
      <c r="P531" s="606"/>
      <c r="Q531" s="606"/>
      <c r="R531" s="606"/>
      <c r="S531" s="601">
        <f>SUM(S532:S538)</f>
        <v>2272300</v>
      </c>
      <c r="T531" s="601">
        <f>SUM(T532:T538)</f>
        <v>375864.02400000003</v>
      </c>
      <c r="U531" s="602">
        <f>SUM(U532:U538)</f>
        <v>0</v>
      </c>
    </row>
    <row r="532" spans="1:21" s="552" customFormat="1" ht="15" hidden="1" customHeight="1">
      <c r="A532" s="621"/>
      <c r="B532" s="622" t="s">
        <v>584</v>
      </c>
      <c r="C532" s="558" t="str">
        <f ca="1">C531</f>
        <v xml:space="preserve"> </v>
      </c>
      <c r="D532" s="553"/>
      <c r="E532" s="694" t="str">
        <f>VLOOKUP($B532,dongia1,DG!C$5,)&amp;" : 25m"</f>
        <v>Cáp đồng trần M25mm2 : 25m</v>
      </c>
      <c r="F532" s="555" t="str">
        <f>VLOOKUP($B532,dongia1,DG!$D$5,)</f>
        <v>kg</v>
      </c>
      <c r="G532" s="205">
        <f>25*0.224</f>
        <v>5.6000000000000005</v>
      </c>
      <c r="H532" s="556">
        <f ca="1">H$531*$G532</f>
        <v>0</v>
      </c>
      <c r="I532" s="556">
        <f t="shared" ref="I532:O538" ca="1" si="301">I$531*$G532</f>
        <v>0</v>
      </c>
      <c r="J532" s="556">
        <f t="shared" ca="1" si="301"/>
        <v>0</v>
      </c>
      <c r="K532" s="556">
        <f t="shared" ca="1" si="301"/>
        <v>0</v>
      </c>
      <c r="L532" s="556">
        <f t="shared" ca="1" si="301"/>
        <v>0</v>
      </c>
      <c r="M532" s="556"/>
      <c r="N532" s="556">
        <f t="shared" ca="1" si="301"/>
        <v>0</v>
      </c>
      <c r="O532" s="556">
        <f t="shared" si="301"/>
        <v>0</v>
      </c>
      <c r="P532" s="182">
        <f>VLOOKUP($B532,dongia1,DG!$F$5,)</f>
        <v>255500</v>
      </c>
      <c r="Q532" s="554"/>
      <c r="R532" s="554"/>
      <c r="S532" s="113">
        <f t="shared" ref="S532:S538" si="302">$G532*P532</f>
        <v>1430800.0000000002</v>
      </c>
      <c r="T532" s="113">
        <f t="shared" ref="T532:T538" si="303">$G532*Q532</f>
        <v>0</v>
      </c>
      <c r="U532" s="557">
        <f t="shared" ref="U532:U538" si="304">$G532*R532</f>
        <v>0</v>
      </c>
    </row>
    <row r="533" spans="1:21" s="552" customFormat="1" ht="15" hidden="1" customHeight="1">
      <c r="A533" s="621"/>
      <c r="B533" s="622" t="s">
        <v>1098</v>
      </c>
      <c r="C533" s="558" t="str">
        <f ca="1">C532</f>
        <v xml:space="preserve"> </v>
      </c>
      <c r="D533" s="553"/>
      <c r="E533" s="694" t="str">
        <f>VLOOKUP($B533,dongia1,DG!C$5,)</f>
        <v>Cọc tiếp đất Þ 16- 2,4m + kẹp cọc</v>
      </c>
      <c r="F533" s="555" t="str">
        <f>VLOOKUP($B533,dongia1,DG!$D$5,)</f>
        <v>bộ</v>
      </c>
      <c r="G533" s="205">
        <v>4</v>
      </c>
      <c r="H533" s="556">
        <f t="shared" ref="H533:H538" ca="1" si="305">H$531*$G533</f>
        <v>0</v>
      </c>
      <c r="I533" s="556">
        <f t="shared" ca="1" si="301"/>
        <v>0</v>
      </c>
      <c r="J533" s="556">
        <f t="shared" ca="1" si="301"/>
        <v>0</v>
      </c>
      <c r="K533" s="556">
        <f t="shared" ca="1" si="301"/>
        <v>0</v>
      </c>
      <c r="L533" s="556">
        <f t="shared" ca="1" si="301"/>
        <v>0</v>
      </c>
      <c r="M533" s="556"/>
      <c r="N533" s="556">
        <f t="shared" ca="1" si="301"/>
        <v>0</v>
      </c>
      <c r="O533" s="556">
        <f t="shared" si="301"/>
        <v>0</v>
      </c>
      <c r="P533" s="182">
        <f>VLOOKUP($B533,dongia1,DG!$F$5,)</f>
        <v>160000</v>
      </c>
      <c r="Q533" s="554"/>
      <c r="R533" s="554"/>
      <c r="S533" s="113">
        <f t="shared" si="302"/>
        <v>640000</v>
      </c>
      <c r="T533" s="113">
        <f t="shared" si="303"/>
        <v>0</v>
      </c>
      <c r="U533" s="557">
        <f t="shared" si="304"/>
        <v>0</v>
      </c>
    </row>
    <row r="534" spans="1:21" s="552" customFormat="1" ht="15" hidden="1" customHeight="1">
      <c r="A534" s="621"/>
      <c r="B534" s="622" t="s">
        <v>2027</v>
      </c>
      <c r="C534" s="558" t="str">
        <f ca="1">C533</f>
        <v xml:space="preserve"> </v>
      </c>
      <c r="D534" s="553"/>
      <c r="E534" s="694" t="str">
        <f>VLOOKUP($B534,dongia1,DG!C$5,)</f>
        <v>Kẹp 2 rãnh đồng-nhôm 50mm2</v>
      </c>
      <c r="F534" s="555" t="str">
        <f>VLOOKUP($B534,dongia1,DG!$D$5,)</f>
        <v>cái</v>
      </c>
      <c r="G534" s="205">
        <v>5</v>
      </c>
      <c r="H534" s="556">
        <f t="shared" ca="1" si="305"/>
        <v>0</v>
      </c>
      <c r="I534" s="556">
        <f t="shared" ca="1" si="301"/>
        <v>0</v>
      </c>
      <c r="J534" s="556">
        <f t="shared" ca="1" si="301"/>
        <v>0</v>
      </c>
      <c r="K534" s="556">
        <f t="shared" ca="1" si="301"/>
        <v>0</v>
      </c>
      <c r="L534" s="556">
        <f t="shared" ca="1" si="301"/>
        <v>0</v>
      </c>
      <c r="M534" s="556"/>
      <c r="N534" s="556">
        <f t="shared" ca="1" si="301"/>
        <v>0</v>
      </c>
      <c r="O534" s="556">
        <f t="shared" si="301"/>
        <v>0</v>
      </c>
      <c r="P534" s="182">
        <f>VLOOKUP($B534,dongia1,DG!$F$5,)</f>
        <v>36000</v>
      </c>
      <c r="Q534" s="182"/>
      <c r="R534" s="554"/>
      <c r="S534" s="113">
        <f t="shared" si="302"/>
        <v>180000</v>
      </c>
      <c r="T534" s="113">
        <f t="shared" si="303"/>
        <v>0</v>
      </c>
      <c r="U534" s="557">
        <f t="shared" si="304"/>
        <v>0</v>
      </c>
    </row>
    <row r="535" spans="1:21" s="552" customFormat="1" ht="15" hidden="1" customHeight="1">
      <c r="A535" s="621"/>
      <c r="B535" s="622" t="s">
        <v>971</v>
      </c>
      <c r="C535" s="558" t="str">
        <f ca="1">C534</f>
        <v xml:space="preserve"> </v>
      </c>
      <c r="D535" s="553"/>
      <c r="E535" s="694" t="str">
        <f>VLOOKUP($B535,dongia1,DG!C$5,)</f>
        <v>Đầu cosse ép Cu 25mm2</v>
      </c>
      <c r="F535" s="555" t="str">
        <f>VLOOKUP($B535,dongia1,DG!$D$5,)</f>
        <v>cái</v>
      </c>
      <c r="G535" s="205">
        <v>2</v>
      </c>
      <c r="H535" s="556">
        <f t="shared" ca="1" si="305"/>
        <v>0</v>
      </c>
      <c r="I535" s="556">
        <f t="shared" ca="1" si="301"/>
        <v>0</v>
      </c>
      <c r="J535" s="556">
        <f t="shared" ca="1" si="301"/>
        <v>0</v>
      </c>
      <c r="K535" s="556">
        <f t="shared" ca="1" si="301"/>
        <v>0</v>
      </c>
      <c r="L535" s="556">
        <f t="shared" ca="1" si="301"/>
        <v>0</v>
      </c>
      <c r="M535" s="556"/>
      <c r="N535" s="556">
        <f t="shared" ca="1" si="301"/>
        <v>0</v>
      </c>
      <c r="O535" s="556">
        <f t="shared" si="301"/>
        <v>0</v>
      </c>
      <c r="P535" s="182">
        <f>VLOOKUP($B535,dongia1,DG!$F$5,)</f>
        <v>6500</v>
      </c>
      <c r="Q535" s="554"/>
      <c r="R535" s="554"/>
      <c r="S535" s="113">
        <f t="shared" si="302"/>
        <v>13000</v>
      </c>
      <c r="T535" s="113">
        <f t="shared" si="303"/>
        <v>0</v>
      </c>
      <c r="U535" s="557">
        <f t="shared" si="304"/>
        <v>0</v>
      </c>
    </row>
    <row r="536" spans="1:21" s="552" customFormat="1" ht="15" hidden="1" customHeight="1">
      <c r="A536" s="621"/>
      <c r="B536" s="622" t="s">
        <v>1623</v>
      </c>
      <c r="C536" s="558" t="str">
        <f ca="1">C535</f>
        <v xml:space="preserve"> </v>
      </c>
      <c r="D536" s="553"/>
      <c r="E536" s="694" t="str">
        <f>VLOOKUP($B536,dongia1,DG!C$5,)</f>
        <v>Boulon 12x40+ 2 long đền vuông D14-50x50x3/Zn</v>
      </c>
      <c r="F536" s="555" t="str">
        <f>VLOOKUP($B536,dongia1,DG!$D$5,)</f>
        <v>bộ</v>
      </c>
      <c r="G536" s="205">
        <v>1</v>
      </c>
      <c r="H536" s="556">
        <f ca="1">H$531*$G536</f>
        <v>0</v>
      </c>
      <c r="I536" s="556">
        <f t="shared" ca="1" si="301"/>
        <v>0</v>
      </c>
      <c r="J536" s="556">
        <f t="shared" ca="1" si="301"/>
        <v>0</v>
      </c>
      <c r="K536" s="556">
        <f ca="1">K$531*$G536</f>
        <v>0</v>
      </c>
      <c r="L536" s="556">
        <f t="shared" ca="1" si="301"/>
        <v>0</v>
      </c>
      <c r="M536" s="556"/>
      <c r="N536" s="556">
        <f t="shared" ca="1" si="301"/>
        <v>0</v>
      </c>
      <c r="O536" s="556">
        <f t="shared" si="301"/>
        <v>0</v>
      </c>
      <c r="P536" s="182">
        <f>VLOOKUP($B536,dongia1,DG!$F$5,)</f>
        <v>8500</v>
      </c>
      <c r="Q536" s="182"/>
      <c r="R536" s="554"/>
      <c r="S536" s="113">
        <f t="shared" si="302"/>
        <v>8500</v>
      </c>
      <c r="T536" s="113">
        <f t="shared" si="303"/>
        <v>0</v>
      </c>
      <c r="U536" s="557">
        <f t="shared" si="304"/>
        <v>0</v>
      </c>
    </row>
    <row r="537" spans="1:21" s="552" customFormat="1" ht="15" hidden="1" customHeight="1">
      <c r="A537" s="621"/>
      <c r="B537" s="622" t="s">
        <v>1859</v>
      </c>
      <c r="C537" s="558" t="str">
        <f ca="1">C534</f>
        <v xml:space="preserve"> </v>
      </c>
      <c r="D537" s="553"/>
      <c r="E537" s="694" t="str">
        <f>VLOOKUP($B537,dongia1,DG!C$5,)</f>
        <v xml:space="preserve">Kéo dây tiếp địa </v>
      </c>
      <c r="F537" s="555" t="str">
        <f>VLOOKUP($B537,dongia1,DG!$D$5,)</f>
        <v>kg</v>
      </c>
      <c r="G537" s="205">
        <f>G532</f>
        <v>5.6000000000000005</v>
      </c>
      <c r="H537" s="556">
        <f t="shared" ca="1" si="305"/>
        <v>0</v>
      </c>
      <c r="I537" s="556">
        <f t="shared" ca="1" si="301"/>
        <v>0</v>
      </c>
      <c r="J537" s="556">
        <f t="shared" ca="1" si="301"/>
        <v>0</v>
      </c>
      <c r="K537" s="556">
        <f t="shared" ca="1" si="301"/>
        <v>0</v>
      </c>
      <c r="L537" s="556">
        <f t="shared" ca="1" si="301"/>
        <v>0</v>
      </c>
      <c r="M537" s="556"/>
      <c r="N537" s="556">
        <f t="shared" ca="1" si="301"/>
        <v>0</v>
      </c>
      <c r="O537" s="556">
        <f t="shared" si="301"/>
        <v>0</v>
      </c>
      <c r="P537" s="554"/>
      <c r="Q537" s="182">
        <f>VLOOKUP($B537,dongia1,DG!$G$5,)</f>
        <v>2578.65</v>
      </c>
      <c r="R537" s="554"/>
      <c r="S537" s="113">
        <f t="shared" si="302"/>
        <v>0</v>
      </c>
      <c r="T537" s="113">
        <f t="shared" si="303"/>
        <v>14440.440000000002</v>
      </c>
      <c r="U537" s="557">
        <f t="shared" si="304"/>
        <v>0</v>
      </c>
    </row>
    <row r="538" spans="1:21" s="552" customFormat="1" ht="15" hidden="1" customHeight="1">
      <c r="A538" s="621"/>
      <c r="B538" s="622" t="s">
        <v>102</v>
      </c>
      <c r="C538" s="558" t="str">
        <f ca="1">C537</f>
        <v xml:space="preserve"> </v>
      </c>
      <c r="D538" s="553"/>
      <c r="E538" s="694" t="str">
        <f>VLOOKUP($B538,dongia1,DG!C$5,)</f>
        <v>Đóng cọc tiếp địa đất cấp 3 dài 2,5m</v>
      </c>
      <c r="F538" s="555" t="str">
        <f>VLOOKUP($B538,dongia1,DG!$D$5,)</f>
        <v>cọc</v>
      </c>
      <c r="G538" s="205">
        <f>G533</f>
        <v>4</v>
      </c>
      <c r="H538" s="556">
        <f t="shared" ca="1" si="305"/>
        <v>0</v>
      </c>
      <c r="I538" s="556">
        <f t="shared" ca="1" si="301"/>
        <v>0</v>
      </c>
      <c r="J538" s="556">
        <f t="shared" ca="1" si="301"/>
        <v>0</v>
      </c>
      <c r="K538" s="556">
        <f t="shared" ca="1" si="301"/>
        <v>0</v>
      </c>
      <c r="L538" s="556">
        <f t="shared" ca="1" si="301"/>
        <v>0</v>
      </c>
      <c r="M538" s="556"/>
      <c r="N538" s="556">
        <f t="shared" ca="1" si="301"/>
        <v>0</v>
      </c>
      <c r="O538" s="556">
        <f t="shared" si="301"/>
        <v>0</v>
      </c>
      <c r="P538" s="554"/>
      <c r="Q538" s="182">
        <f>VLOOKUP($B538,dongia1,DG!$G$5,)</f>
        <v>90355.896000000008</v>
      </c>
      <c r="R538" s="554"/>
      <c r="S538" s="113">
        <f t="shared" si="302"/>
        <v>0</v>
      </c>
      <c r="T538" s="113">
        <f t="shared" si="303"/>
        <v>361423.58400000003</v>
      </c>
      <c r="U538" s="557">
        <f t="shared" si="304"/>
        <v>0</v>
      </c>
    </row>
    <row r="539" spans="1:21" s="552" customFormat="1" ht="15" hidden="1" customHeight="1">
      <c r="A539" s="621" t="s">
        <v>1753</v>
      </c>
      <c r="B539" s="622"/>
      <c r="C539" s="558" t="str">
        <f ca="1">IF(H539&lt;&gt;0,"x"," ")</f>
        <v xml:space="preserve"> </v>
      </c>
      <c r="D539" s="553"/>
      <c r="E539" s="727" t="s">
        <v>3549</v>
      </c>
      <c r="F539" s="600" t="s">
        <v>2113</v>
      </c>
      <c r="G539" s="205"/>
      <c r="H539" s="556">
        <f ca="1">SUM(I539:N539)</f>
        <v>0</v>
      </c>
      <c r="I539" s="556">
        <f ca="1">SUMIF(tdll3pm,chitiet!$E539,sltdll3pm)</f>
        <v>0</v>
      </c>
      <c r="J539" s="556">
        <f ca="1">SUMIF(tdllct,chitiet!$E539,sltdllct)</f>
        <v>0</v>
      </c>
      <c r="K539" s="556">
        <f ca="1">SUMIF(tdll3p1m,chitiet!$E539,sltdll3p1m)</f>
        <v>0</v>
      </c>
      <c r="L539" s="556">
        <f ca="1">SUMIF(tdll1pm,chitiet!$E539,sltdll1pm)</f>
        <v>0</v>
      </c>
      <c r="M539" s="556">
        <f ca="1">SUMIF(tdllHTHH,chitiet!$E539,sltdllhthh)</f>
        <v>0</v>
      </c>
      <c r="N539" s="556">
        <f ca="1">SUMIF(tdllHTDL,chitiet!$E539,sltdllhtdl)</f>
        <v>0</v>
      </c>
      <c r="O539" s="556"/>
      <c r="P539" s="554"/>
      <c r="Q539" s="554"/>
      <c r="R539" s="554"/>
      <c r="S539" s="601">
        <f>SUM(S540:S546)</f>
        <v>1339248</v>
      </c>
      <c r="T539" s="601">
        <f>SUM(T540:T546)</f>
        <v>110567.06240000001</v>
      </c>
      <c r="U539" s="602">
        <f>SUM(U540:U546)</f>
        <v>5554.0464950000005</v>
      </c>
    </row>
    <row r="540" spans="1:21" s="552" customFormat="1" ht="15" hidden="1" customHeight="1">
      <c r="A540" s="621"/>
      <c r="B540" s="622" t="s">
        <v>584</v>
      </c>
      <c r="C540" s="558" t="str">
        <f t="shared" ref="C540:C546" ca="1" si="306">C539</f>
        <v xml:space="preserve"> </v>
      </c>
      <c r="D540" s="553"/>
      <c r="E540" s="694" t="str">
        <f>VLOOKUP($B540,dongia1,DG!C$5,)&amp;" (14m)"</f>
        <v>Cáp đồng trần M25mm2 (14m)</v>
      </c>
      <c r="F540" s="555" t="str">
        <f>VLOOKUP($B540,dongia1,DG!$D$5,)</f>
        <v>kg</v>
      </c>
      <c r="G540" s="205">
        <f>14*0.224</f>
        <v>3.1360000000000001</v>
      </c>
      <c r="H540" s="556">
        <f t="shared" ref="H540:H546" ca="1" si="307">H$539*$G540</f>
        <v>0</v>
      </c>
      <c r="I540" s="556">
        <f t="shared" ref="I540:O546" ca="1" si="308">I$539*$G540</f>
        <v>0</v>
      </c>
      <c r="J540" s="556">
        <f t="shared" ca="1" si="308"/>
        <v>0</v>
      </c>
      <c r="K540" s="556">
        <f t="shared" ca="1" si="308"/>
        <v>0</v>
      </c>
      <c r="L540" s="556">
        <f t="shared" ca="1" si="308"/>
        <v>0</v>
      </c>
      <c r="M540" s="556"/>
      <c r="N540" s="556">
        <f t="shared" ca="1" si="308"/>
        <v>0</v>
      </c>
      <c r="O540" s="556">
        <f t="shared" si="308"/>
        <v>0</v>
      </c>
      <c r="P540" s="182">
        <f>VLOOKUP($B540,dongia1,DG!$F$5,)</f>
        <v>255500</v>
      </c>
      <c r="Q540" s="554"/>
      <c r="R540" s="554"/>
      <c r="S540" s="113">
        <f t="shared" ref="S540:U546" si="309">$G540*P540</f>
        <v>801248</v>
      </c>
      <c r="T540" s="113">
        <f t="shared" si="309"/>
        <v>0</v>
      </c>
      <c r="U540" s="557">
        <f t="shared" si="309"/>
        <v>0</v>
      </c>
    </row>
    <row r="541" spans="1:21" s="552" customFormat="1" ht="15" hidden="1" customHeight="1">
      <c r="A541" s="621"/>
      <c r="B541" s="622" t="s">
        <v>1098</v>
      </c>
      <c r="C541" s="558" t="str">
        <f ca="1">C540</f>
        <v xml:space="preserve"> </v>
      </c>
      <c r="D541" s="553"/>
      <c r="E541" s="694" t="str">
        <f>VLOOKUP($B541,dongia1,DG!C$5,)</f>
        <v>Cọc tiếp đất Þ 16- 2,4m + kẹp cọc</v>
      </c>
      <c r="F541" s="555" t="str">
        <f>VLOOKUP($B541,dongia1,DG!$D$5,)</f>
        <v>bộ</v>
      </c>
      <c r="G541" s="205">
        <v>3</v>
      </c>
      <c r="H541" s="556">
        <f t="shared" ca="1" si="307"/>
        <v>0</v>
      </c>
      <c r="I541" s="556">
        <f t="shared" ca="1" si="308"/>
        <v>0</v>
      </c>
      <c r="J541" s="556">
        <f t="shared" ca="1" si="308"/>
        <v>0</v>
      </c>
      <c r="K541" s="556">
        <f t="shared" ca="1" si="308"/>
        <v>0</v>
      </c>
      <c r="L541" s="556">
        <f t="shared" ca="1" si="308"/>
        <v>0</v>
      </c>
      <c r="M541" s="556"/>
      <c r="N541" s="556">
        <f t="shared" ca="1" si="308"/>
        <v>0</v>
      </c>
      <c r="O541" s="556">
        <f t="shared" si="308"/>
        <v>0</v>
      </c>
      <c r="P541" s="182">
        <f>VLOOKUP($B541,dongia1,DG!$F$5,)</f>
        <v>160000</v>
      </c>
      <c r="Q541" s="554"/>
      <c r="R541" s="554"/>
      <c r="S541" s="113">
        <f t="shared" si="309"/>
        <v>480000</v>
      </c>
      <c r="T541" s="113">
        <f t="shared" si="309"/>
        <v>0</v>
      </c>
      <c r="U541" s="557">
        <f t="shared" si="309"/>
        <v>0</v>
      </c>
    </row>
    <row r="542" spans="1:21" s="552" customFormat="1" ht="15" hidden="1" customHeight="1">
      <c r="A542" s="621"/>
      <c r="B542" s="622" t="s">
        <v>1698</v>
      </c>
      <c r="C542" s="558" t="str">
        <f t="shared" ca="1" si="306"/>
        <v xml:space="preserve"> </v>
      </c>
      <c r="D542" s="553"/>
      <c r="E542" s="694" t="str">
        <f>VLOOKUP($B542,dongia1,DG!C$5,)</f>
        <v>Kẹp ép WR cỡ dây 120mm2</v>
      </c>
      <c r="F542" s="555" t="str">
        <f>VLOOKUP($B542,dongia1,DG!$D$5,)</f>
        <v>cái</v>
      </c>
      <c r="G542" s="205">
        <v>2</v>
      </c>
      <c r="H542" s="556">
        <f t="shared" ca="1" si="307"/>
        <v>0</v>
      </c>
      <c r="I542" s="556">
        <f t="shared" ca="1" si="308"/>
        <v>0</v>
      </c>
      <c r="J542" s="556">
        <f t="shared" ca="1" si="308"/>
        <v>0</v>
      </c>
      <c r="K542" s="556">
        <f t="shared" ca="1" si="308"/>
        <v>0</v>
      </c>
      <c r="L542" s="556">
        <f t="shared" ca="1" si="308"/>
        <v>0</v>
      </c>
      <c r="M542" s="556"/>
      <c r="N542" s="556">
        <f t="shared" ca="1" si="308"/>
        <v>0</v>
      </c>
      <c r="O542" s="556">
        <f t="shared" si="308"/>
        <v>0</v>
      </c>
      <c r="P542" s="182">
        <f>VLOOKUP($B542,dongia1,DG!$F$5,)</f>
        <v>14000</v>
      </c>
      <c r="Q542" s="182"/>
      <c r="R542" s="554"/>
      <c r="S542" s="113">
        <f t="shared" si="309"/>
        <v>28000</v>
      </c>
      <c r="T542" s="113">
        <f t="shared" si="309"/>
        <v>0</v>
      </c>
      <c r="U542" s="557">
        <f t="shared" si="309"/>
        <v>0</v>
      </c>
    </row>
    <row r="543" spans="1:21" s="552" customFormat="1" ht="15" hidden="1" customHeight="1">
      <c r="A543" s="621"/>
      <c r="B543" s="622" t="s">
        <v>971</v>
      </c>
      <c r="C543" s="558" t="str">
        <f ca="1">C542</f>
        <v xml:space="preserve"> </v>
      </c>
      <c r="D543" s="553"/>
      <c r="E543" s="694" t="str">
        <f>VLOOKUP($B543,dongia1,DG!C$5,)</f>
        <v>Đầu cosse ép Cu 25mm2</v>
      </c>
      <c r="F543" s="555" t="str">
        <f>VLOOKUP($B543,dongia1,DG!$D$5,)</f>
        <v>cái</v>
      </c>
      <c r="G543" s="205">
        <v>2</v>
      </c>
      <c r="H543" s="556">
        <f t="shared" ca="1" si="307"/>
        <v>0</v>
      </c>
      <c r="I543" s="556">
        <f t="shared" ca="1" si="308"/>
        <v>0</v>
      </c>
      <c r="J543" s="556">
        <f t="shared" ca="1" si="308"/>
        <v>0</v>
      </c>
      <c r="K543" s="556">
        <f t="shared" ca="1" si="308"/>
        <v>0</v>
      </c>
      <c r="L543" s="556">
        <f t="shared" ca="1" si="308"/>
        <v>0</v>
      </c>
      <c r="M543" s="556"/>
      <c r="N543" s="556">
        <f t="shared" ca="1" si="308"/>
        <v>0</v>
      </c>
      <c r="O543" s="556">
        <f t="shared" si="308"/>
        <v>0</v>
      </c>
      <c r="P543" s="182">
        <f>VLOOKUP($B543,dongia1,DG!$F$5,)</f>
        <v>6500</v>
      </c>
      <c r="Q543" s="182">
        <f>VLOOKUP($B543,dongia1,DG!$G$5,)</f>
        <v>6062.26</v>
      </c>
      <c r="R543" s="182">
        <f>VLOOKUP($B543,dongia1,DG!$H$5,)</f>
        <v>2777.0232475000003</v>
      </c>
      <c r="S543" s="113">
        <f t="shared" si="309"/>
        <v>13000</v>
      </c>
      <c r="T543" s="113">
        <f t="shared" si="309"/>
        <v>12124.52</v>
      </c>
      <c r="U543" s="557">
        <f t="shared" si="309"/>
        <v>5554.0464950000005</v>
      </c>
    </row>
    <row r="544" spans="1:21" s="552" customFormat="1" ht="15" hidden="1" customHeight="1">
      <c r="A544" s="621"/>
      <c r="B544" s="622" t="s">
        <v>1623</v>
      </c>
      <c r="C544" s="558" t="str">
        <f ca="1">C543</f>
        <v xml:space="preserve"> </v>
      </c>
      <c r="D544" s="553"/>
      <c r="E544" s="694" t="str">
        <f>VLOOKUP($B544,dongia1,DG!C$5,)</f>
        <v>Boulon 12x40+ 2 long đền vuông D14-50x50x3/Zn</v>
      </c>
      <c r="F544" s="555" t="str">
        <f>VLOOKUP($B544,dongia1,DG!$D$5,)</f>
        <v>bộ</v>
      </c>
      <c r="G544" s="205">
        <v>2</v>
      </c>
      <c r="H544" s="556">
        <f t="shared" ca="1" si="307"/>
        <v>0</v>
      </c>
      <c r="I544" s="556">
        <f t="shared" ca="1" si="308"/>
        <v>0</v>
      </c>
      <c r="J544" s="556">
        <f t="shared" ca="1" si="308"/>
        <v>0</v>
      </c>
      <c r="K544" s="556">
        <f t="shared" ca="1" si="308"/>
        <v>0</v>
      </c>
      <c r="L544" s="556">
        <f t="shared" ca="1" si="308"/>
        <v>0</v>
      </c>
      <c r="M544" s="556"/>
      <c r="N544" s="556">
        <f t="shared" ca="1" si="308"/>
        <v>0</v>
      </c>
      <c r="O544" s="556">
        <f t="shared" si="308"/>
        <v>0</v>
      </c>
      <c r="P544" s="182">
        <f>VLOOKUP($B544,dongia1,DG!$F$5,)</f>
        <v>8500</v>
      </c>
      <c r="Q544" s="182"/>
      <c r="R544" s="554"/>
      <c r="S544" s="113">
        <f t="shared" si="309"/>
        <v>17000</v>
      </c>
      <c r="T544" s="113">
        <f t="shared" si="309"/>
        <v>0</v>
      </c>
      <c r="U544" s="557">
        <f t="shared" si="309"/>
        <v>0</v>
      </c>
    </row>
    <row r="545" spans="1:21" s="552" customFormat="1" ht="15" hidden="1" customHeight="1">
      <c r="A545" s="621"/>
      <c r="B545" s="622" t="s">
        <v>1859</v>
      </c>
      <c r="C545" s="558" t="str">
        <f ca="1">C542</f>
        <v xml:space="preserve"> </v>
      </c>
      <c r="D545" s="553"/>
      <c r="E545" s="694" t="str">
        <f>VLOOKUP($B545,dongia1,DG!C$5,)</f>
        <v xml:space="preserve">Kéo dây tiếp địa </v>
      </c>
      <c r="F545" s="555" t="str">
        <f>VLOOKUP($B545,dongia1,DG!$D$5,)</f>
        <v>kg</v>
      </c>
      <c r="G545" s="205">
        <f>G540</f>
        <v>3.1360000000000001</v>
      </c>
      <c r="H545" s="556">
        <f t="shared" ca="1" si="307"/>
        <v>0</v>
      </c>
      <c r="I545" s="556">
        <f t="shared" ca="1" si="308"/>
        <v>0</v>
      </c>
      <c r="J545" s="556">
        <f t="shared" ca="1" si="308"/>
        <v>0</v>
      </c>
      <c r="K545" s="556">
        <f t="shared" ca="1" si="308"/>
        <v>0</v>
      </c>
      <c r="L545" s="556">
        <f t="shared" ca="1" si="308"/>
        <v>0</v>
      </c>
      <c r="M545" s="556"/>
      <c r="N545" s="556">
        <f t="shared" ca="1" si="308"/>
        <v>0</v>
      </c>
      <c r="O545" s="556">
        <f t="shared" si="308"/>
        <v>0</v>
      </c>
      <c r="P545" s="554"/>
      <c r="Q545" s="182">
        <f>VLOOKUP($B545,dongia1,DG!$G$5,)</f>
        <v>2578.65</v>
      </c>
      <c r="R545" s="554"/>
      <c r="S545" s="113">
        <f t="shared" si="309"/>
        <v>0</v>
      </c>
      <c r="T545" s="113">
        <f t="shared" si="309"/>
        <v>8086.6464000000005</v>
      </c>
      <c r="U545" s="557">
        <f t="shared" si="309"/>
        <v>0</v>
      </c>
    </row>
    <row r="546" spans="1:21" s="552" customFormat="1" ht="15" hidden="1" customHeight="1">
      <c r="A546" s="621"/>
      <c r="B546" s="622" t="s">
        <v>102</v>
      </c>
      <c r="C546" s="558" t="str">
        <f t="shared" ca="1" si="306"/>
        <v xml:space="preserve"> </v>
      </c>
      <c r="D546" s="553"/>
      <c r="E546" s="694" t="str">
        <f>VLOOKUP($B546,dongia1,DG!C$5,)</f>
        <v>Đóng cọc tiếp địa đất cấp 3 dài 2,5m</v>
      </c>
      <c r="F546" s="555" t="str">
        <f>VLOOKUP($B546,dongia1,DG!$D$5,)</f>
        <v>cọc</v>
      </c>
      <c r="G546" s="205">
        <v>1</v>
      </c>
      <c r="H546" s="556">
        <f t="shared" ca="1" si="307"/>
        <v>0</v>
      </c>
      <c r="I546" s="556">
        <f t="shared" ca="1" si="308"/>
        <v>0</v>
      </c>
      <c r="J546" s="556">
        <f t="shared" ca="1" si="308"/>
        <v>0</v>
      </c>
      <c r="K546" s="556">
        <f t="shared" ca="1" si="308"/>
        <v>0</v>
      </c>
      <c r="L546" s="556">
        <f t="shared" ca="1" si="308"/>
        <v>0</v>
      </c>
      <c r="M546" s="556"/>
      <c r="N546" s="556">
        <f t="shared" ca="1" si="308"/>
        <v>0</v>
      </c>
      <c r="O546" s="556">
        <f t="shared" si="308"/>
        <v>0</v>
      </c>
      <c r="P546" s="554"/>
      <c r="Q546" s="182">
        <f>VLOOKUP($B546,dongia1,DG!$G$5,)</f>
        <v>90355.896000000008</v>
      </c>
      <c r="R546" s="554"/>
      <c r="S546" s="113">
        <f t="shared" si="309"/>
        <v>0</v>
      </c>
      <c r="T546" s="113">
        <f t="shared" si="309"/>
        <v>90355.896000000008</v>
      </c>
      <c r="U546" s="557">
        <f t="shared" si="309"/>
        <v>0</v>
      </c>
    </row>
    <row r="547" spans="1:21" s="552" customFormat="1" ht="15" hidden="1" customHeight="1">
      <c r="A547" s="621" t="s">
        <v>1369</v>
      </c>
      <c r="B547" s="622"/>
      <c r="C547" s="558" t="str">
        <f ca="1">IF(H547&lt;&gt;0,"x"," ")</f>
        <v xml:space="preserve"> </v>
      </c>
      <c r="D547" s="553"/>
      <c r="E547" s="727" t="s">
        <v>3550</v>
      </c>
      <c r="F547" s="600" t="s">
        <v>2113</v>
      </c>
      <c r="G547" s="205"/>
      <c r="H547" s="556">
        <f ca="1">SUM(I547:N547)</f>
        <v>0</v>
      </c>
      <c r="I547" s="556">
        <f ca="1">SUMIF(tdll3pm,chitiet!$E547,sltdll3pm)</f>
        <v>0</v>
      </c>
      <c r="J547" s="556">
        <f ca="1">SUMIF(tdllct,chitiet!$E547,sltdllct)</f>
        <v>0</v>
      </c>
      <c r="K547" s="556">
        <f ca="1">SUMIF(tdll3p1m,chitiet!$E547,sltdll3p1m)</f>
        <v>0</v>
      </c>
      <c r="L547" s="556">
        <f ca="1">SUMIF(tdll1pm,chitiet!$E547,sltdll1pm)</f>
        <v>0</v>
      </c>
      <c r="M547" s="556">
        <f ca="1">SUMIF(tdllHTHH,chitiet!$E547,sltdllhthh)</f>
        <v>0</v>
      </c>
      <c r="N547" s="556">
        <f ca="1">SUMIF(tdllHTDL,chitiet!$E547,sltdllhtdl)</f>
        <v>0</v>
      </c>
      <c r="O547" s="556"/>
      <c r="P547" s="554"/>
      <c r="Q547" s="554"/>
      <c r="R547" s="554"/>
      <c r="S547" s="601">
        <f>SUM(S548:S552)</f>
        <v>1491104</v>
      </c>
      <c r="T547" s="601">
        <f>SUM(T548:T552)</f>
        <v>103063.4832</v>
      </c>
      <c r="U547" s="602">
        <f>SUM(U548:U552)</f>
        <v>0</v>
      </c>
    </row>
    <row r="548" spans="1:21" s="552" customFormat="1" ht="15" hidden="1" customHeight="1">
      <c r="A548" s="621"/>
      <c r="B548" s="622" t="s">
        <v>584</v>
      </c>
      <c r="C548" s="558" t="str">
        <f ca="1">C547</f>
        <v xml:space="preserve"> </v>
      </c>
      <c r="D548" s="553"/>
      <c r="E548" s="694" t="str">
        <f>VLOOKUP($B548,dongia1,DG!C$5,)&amp;" (22m)"</f>
        <v>Cáp đồng trần M25mm2 (22m)</v>
      </c>
      <c r="F548" s="555" t="str">
        <f>VLOOKUP($B548,dongia1,DG!$D$5,)</f>
        <v>kg</v>
      </c>
      <c r="G548" s="205">
        <f>22*0.224</f>
        <v>4.9279999999999999</v>
      </c>
      <c r="H548" s="556">
        <f ca="1">H$547*$G548</f>
        <v>0</v>
      </c>
      <c r="I548" s="556">
        <f t="shared" ref="I548:O552" ca="1" si="310">I$547*$G548</f>
        <v>0</v>
      </c>
      <c r="J548" s="556">
        <f t="shared" ca="1" si="310"/>
        <v>0</v>
      </c>
      <c r="K548" s="556">
        <f t="shared" ca="1" si="310"/>
        <v>0</v>
      </c>
      <c r="L548" s="556">
        <f t="shared" ca="1" si="310"/>
        <v>0</v>
      </c>
      <c r="M548" s="556"/>
      <c r="N548" s="556">
        <f t="shared" ca="1" si="310"/>
        <v>0</v>
      </c>
      <c r="O548" s="556">
        <f t="shared" si="310"/>
        <v>0</v>
      </c>
      <c r="P548" s="182">
        <f>VLOOKUP($B548,dongia1,DG!$F$5,)</f>
        <v>255500</v>
      </c>
      <c r="Q548" s="554"/>
      <c r="R548" s="554"/>
      <c r="S548" s="113">
        <f t="shared" ref="S548:U552" si="311">$G548*P548</f>
        <v>1259104</v>
      </c>
      <c r="T548" s="113">
        <f t="shared" si="311"/>
        <v>0</v>
      </c>
      <c r="U548" s="557">
        <f t="shared" si="311"/>
        <v>0</v>
      </c>
    </row>
    <row r="549" spans="1:21" s="552" customFormat="1" ht="15" hidden="1" customHeight="1">
      <c r="A549" s="621"/>
      <c r="B549" s="622" t="s">
        <v>1098</v>
      </c>
      <c r="C549" s="558" t="str">
        <f ca="1">C548</f>
        <v xml:space="preserve"> </v>
      </c>
      <c r="D549" s="553"/>
      <c r="E549" s="694" t="str">
        <f>VLOOKUP($B549,dongia1,DG!C$5,)</f>
        <v>Cọc tiếp đất Þ 16- 2,4m + kẹp cọc</v>
      </c>
      <c r="F549" s="555" t="str">
        <f>VLOOKUP($B549,dongia1,DG!$D$5,)</f>
        <v>bộ</v>
      </c>
      <c r="G549" s="205">
        <v>1</v>
      </c>
      <c r="H549" s="556">
        <f ca="1">H$547*$G549</f>
        <v>0</v>
      </c>
      <c r="I549" s="556">
        <f t="shared" ca="1" si="310"/>
        <v>0</v>
      </c>
      <c r="J549" s="556">
        <f t="shared" ca="1" si="310"/>
        <v>0</v>
      </c>
      <c r="K549" s="556">
        <f t="shared" ca="1" si="310"/>
        <v>0</v>
      </c>
      <c r="L549" s="556">
        <f t="shared" ca="1" si="310"/>
        <v>0</v>
      </c>
      <c r="M549" s="556"/>
      <c r="N549" s="556">
        <f t="shared" ca="1" si="310"/>
        <v>0</v>
      </c>
      <c r="O549" s="556">
        <f t="shared" si="310"/>
        <v>0</v>
      </c>
      <c r="P549" s="182">
        <f>VLOOKUP($B549,dongia1,DG!$F$5,)</f>
        <v>160000</v>
      </c>
      <c r="Q549" s="554"/>
      <c r="R549" s="554"/>
      <c r="S549" s="113">
        <f t="shared" si="311"/>
        <v>160000</v>
      </c>
      <c r="T549" s="113">
        <f t="shared" si="311"/>
        <v>0</v>
      </c>
      <c r="U549" s="557">
        <f t="shared" si="311"/>
        <v>0</v>
      </c>
    </row>
    <row r="550" spans="1:21" s="552" customFormat="1" ht="15" hidden="1" customHeight="1">
      <c r="A550" s="621"/>
      <c r="B550" s="622" t="s">
        <v>2027</v>
      </c>
      <c r="C550" s="558" t="str">
        <f ca="1">C549</f>
        <v xml:space="preserve"> </v>
      </c>
      <c r="D550" s="553"/>
      <c r="E550" s="694" t="str">
        <f>VLOOKUP($B550,dongia1,DG!C$5,)</f>
        <v>Kẹp 2 rãnh đồng-nhôm 50mm2</v>
      </c>
      <c r="F550" s="555" t="str">
        <f>VLOOKUP($B550,dongia1,DG!$D$5,)</f>
        <v>cái</v>
      </c>
      <c r="G550" s="205">
        <v>2</v>
      </c>
      <c r="H550" s="556">
        <f ca="1">H$547*$G550</f>
        <v>0</v>
      </c>
      <c r="I550" s="556">
        <f t="shared" ca="1" si="310"/>
        <v>0</v>
      </c>
      <c r="J550" s="556">
        <f t="shared" ca="1" si="310"/>
        <v>0</v>
      </c>
      <c r="K550" s="556">
        <f t="shared" ca="1" si="310"/>
        <v>0</v>
      </c>
      <c r="L550" s="556">
        <f t="shared" ca="1" si="310"/>
        <v>0</v>
      </c>
      <c r="M550" s="556"/>
      <c r="N550" s="556">
        <f t="shared" ca="1" si="310"/>
        <v>0</v>
      </c>
      <c r="O550" s="556">
        <f t="shared" si="310"/>
        <v>0</v>
      </c>
      <c r="P550" s="182">
        <f>VLOOKUP($B550,dongia1,DG!$F$5,)</f>
        <v>36000</v>
      </c>
      <c r="Q550" s="182"/>
      <c r="R550" s="554"/>
      <c r="S550" s="113">
        <f t="shared" si="311"/>
        <v>72000</v>
      </c>
      <c r="T550" s="113">
        <f t="shared" si="311"/>
        <v>0</v>
      </c>
      <c r="U550" s="557">
        <f t="shared" si="311"/>
        <v>0</v>
      </c>
    </row>
    <row r="551" spans="1:21" s="552" customFormat="1" ht="15" hidden="1" customHeight="1">
      <c r="A551" s="621"/>
      <c r="B551" s="622" t="s">
        <v>1859</v>
      </c>
      <c r="C551" s="558" t="str">
        <f ca="1">C550</f>
        <v xml:space="preserve"> </v>
      </c>
      <c r="D551" s="553" t="str">
        <f>VLOOKUP($B551,dongia1,DG!$B$5,)</f>
        <v>D2.7001</v>
      </c>
      <c r="E551" s="694" t="str">
        <f>VLOOKUP($B551,dongia1,DG!C$5,)</f>
        <v xml:space="preserve">Kéo dây tiếp địa </v>
      </c>
      <c r="F551" s="555" t="str">
        <f>VLOOKUP($B551,dongia1,DG!$D$5,)</f>
        <v>kg</v>
      </c>
      <c r="G551" s="205">
        <f>G548</f>
        <v>4.9279999999999999</v>
      </c>
      <c r="H551" s="556">
        <f ca="1">H$547*$G551</f>
        <v>0</v>
      </c>
      <c r="I551" s="556">
        <f t="shared" ca="1" si="310"/>
        <v>0</v>
      </c>
      <c r="J551" s="556">
        <f t="shared" ca="1" si="310"/>
        <v>0</v>
      </c>
      <c r="K551" s="556">
        <f t="shared" ca="1" si="310"/>
        <v>0</v>
      </c>
      <c r="L551" s="556">
        <f t="shared" ca="1" si="310"/>
        <v>0</v>
      </c>
      <c r="M551" s="556"/>
      <c r="N551" s="556">
        <f t="shared" ca="1" si="310"/>
        <v>0</v>
      </c>
      <c r="O551" s="556">
        <f t="shared" si="310"/>
        <v>0</v>
      </c>
      <c r="P551" s="554"/>
      <c r="Q551" s="182">
        <f>VLOOKUP($B551,dongia1,DG!$G$5,)</f>
        <v>2578.65</v>
      </c>
      <c r="R551" s="554"/>
      <c r="S551" s="113">
        <f t="shared" si="311"/>
        <v>0</v>
      </c>
      <c r="T551" s="113">
        <f t="shared" si="311"/>
        <v>12707.5872</v>
      </c>
      <c r="U551" s="557">
        <f t="shared" si="311"/>
        <v>0</v>
      </c>
    </row>
    <row r="552" spans="1:21" s="552" customFormat="1" ht="15" hidden="1" customHeight="1">
      <c r="A552" s="621"/>
      <c r="B552" s="622" t="s">
        <v>102</v>
      </c>
      <c r="C552" s="558" t="str">
        <f ca="1">C551</f>
        <v xml:space="preserve"> </v>
      </c>
      <c r="D552" s="553" t="str">
        <f>VLOOKUP($B552,dongia1,DG!$B$5,)</f>
        <v>D2.8103</v>
      </c>
      <c r="E552" s="694" t="str">
        <f>VLOOKUP($B552,dongia1,DG!C$5,)</f>
        <v>Đóng cọc tiếp địa đất cấp 3 dài 2,5m</v>
      </c>
      <c r="F552" s="555" t="str">
        <f>VLOOKUP($B552,dongia1,DG!$D$5,)</f>
        <v>cọc</v>
      </c>
      <c r="G552" s="205">
        <v>1</v>
      </c>
      <c r="H552" s="556">
        <f ca="1">H$547*$G552</f>
        <v>0</v>
      </c>
      <c r="I552" s="556">
        <f t="shared" ca="1" si="310"/>
        <v>0</v>
      </c>
      <c r="J552" s="556">
        <f t="shared" ca="1" si="310"/>
        <v>0</v>
      </c>
      <c r="K552" s="556">
        <f t="shared" ca="1" si="310"/>
        <v>0</v>
      </c>
      <c r="L552" s="556">
        <f t="shared" ca="1" si="310"/>
        <v>0</v>
      </c>
      <c r="M552" s="556"/>
      <c r="N552" s="556">
        <f t="shared" ca="1" si="310"/>
        <v>0</v>
      </c>
      <c r="O552" s="556">
        <f t="shared" si="310"/>
        <v>0</v>
      </c>
      <c r="P552" s="554"/>
      <c r="Q552" s="182">
        <f>VLOOKUP($B552,dongia1,DG!$G$5,)</f>
        <v>90355.896000000008</v>
      </c>
      <c r="R552" s="554"/>
      <c r="S552" s="113">
        <f t="shared" si="311"/>
        <v>0</v>
      </c>
      <c r="T552" s="113">
        <f t="shared" si="311"/>
        <v>90355.896000000008</v>
      </c>
      <c r="U552" s="557">
        <f t="shared" si="311"/>
        <v>0</v>
      </c>
    </row>
    <row r="553" spans="1:21" s="552" customFormat="1" ht="15" hidden="1" customHeight="1">
      <c r="A553" s="621" t="s">
        <v>1076</v>
      </c>
      <c r="B553" s="622"/>
      <c r="C553" s="558" t="str">
        <f ca="1">IF(H553&lt;&gt;0,"x"," ")</f>
        <v xml:space="preserve"> </v>
      </c>
      <c r="D553" s="553"/>
      <c r="E553" s="727" t="s">
        <v>3551</v>
      </c>
      <c r="F553" s="600" t="s">
        <v>2113</v>
      </c>
      <c r="G553" s="205"/>
      <c r="H553" s="556">
        <f ca="1">SUM(I553:N553)</f>
        <v>0</v>
      </c>
      <c r="I553" s="556">
        <f ca="1">SUMIF(tdll3pm,chitiet!$E553,sltdll3pm)</f>
        <v>0</v>
      </c>
      <c r="J553" s="556">
        <f ca="1">SUMIF(tdllct,chitiet!$E553,sltdllct)</f>
        <v>0</v>
      </c>
      <c r="K553" s="556">
        <f ca="1">SUMIF(tdll3p1m,chitiet!$E553,sltdll3p1m)</f>
        <v>0</v>
      </c>
      <c r="L553" s="556">
        <f ca="1">SUMIF(tdll1pm,chitiet!$E553,sltdll1pm)</f>
        <v>0</v>
      </c>
      <c r="M553" s="556">
        <f ca="1">SUMIF(tdllHTHH,chitiet!$E553,sltdllhthh)</f>
        <v>0</v>
      </c>
      <c r="N553" s="556">
        <f ca="1">SUMIF(tdllHTDL,chitiet!$E553,sltdllhtdl)</f>
        <v>0</v>
      </c>
      <c r="O553" s="556"/>
      <c r="P553" s="554"/>
      <c r="Q553" s="554"/>
      <c r="R553" s="554"/>
      <c r="S553" s="601">
        <f>SUM(S554:S561)</f>
        <v>376992</v>
      </c>
      <c r="T553" s="601">
        <f>SUM(T554:T561)</f>
        <v>2578.65</v>
      </c>
      <c r="U553" s="602">
        <f>SUM(U554:U561)</f>
        <v>0</v>
      </c>
    </row>
    <row r="554" spans="1:21" s="552" customFormat="1" ht="15" hidden="1" customHeight="1">
      <c r="A554" s="621"/>
      <c r="B554" s="622" t="s">
        <v>1200</v>
      </c>
      <c r="C554" s="558" t="str">
        <f t="shared" ref="C554:C561" ca="1" si="312">C553</f>
        <v xml:space="preserve"> </v>
      </c>
      <c r="D554" s="553"/>
      <c r="E554" s="694" t="str">
        <f>VLOOKUP($B554,dongia1,DG!C$5,)&amp;" (6m)"</f>
        <v>Cáp đồng trần M25mm2 (6m)</v>
      </c>
      <c r="F554" s="555" t="str">
        <f>VLOOKUP($B554,dongia1,DG!$D$5,)</f>
        <v>kg</v>
      </c>
      <c r="G554" s="205">
        <f>6*0.224</f>
        <v>1.3440000000000001</v>
      </c>
      <c r="H554" s="556">
        <f t="shared" ref="H554:H561" ca="1" si="313">H$553*$G554</f>
        <v>0</v>
      </c>
      <c r="I554" s="556">
        <f t="shared" ref="I554:O561" ca="1" si="314">I$553*$G554</f>
        <v>0</v>
      </c>
      <c r="J554" s="556">
        <f t="shared" ca="1" si="314"/>
        <v>0</v>
      </c>
      <c r="K554" s="556">
        <f t="shared" ca="1" si="314"/>
        <v>0</v>
      </c>
      <c r="L554" s="556">
        <f t="shared" ca="1" si="314"/>
        <v>0</v>
      </c>
      <c r="M554" s="556"/>
      <c r="N554" s="556">
        <f t="shared" ca="1" si="314"/>
        <v>0</v>
      </c>
      <c r="O554" s="556">
        <f t="shared" si="314"/>
        <v>0</v>
      </c>
      <c r="P554" s="182">
        <f>VLOOKUP($B554,dongia1,DG!$F$5,)</f>
        <v>255500</v>
      </c>
      <c r="Q554" s="554"/>
      <c r="R554" s="554"/>
      <c r="S554" s="113">
        <f t="shared" ref="S554:S561" si="315">$G554*P554</f>
        <v>343392</v>
      </c>
      <c r="T554" s="113">
        <f t="shared" ref="T554:T561" si="316">$G554*Q554</f>
        <v>0</v>
      </c>
      <c r="U554" s="557">
        <f t="shared" ref="U554:U561" si="317">$G554*R554</f>
        <v>0</v>
      </c>
    </row>
    <row r="555" spans="1:21" s="552" customFormat="1" ht="15" hidden="1" customHeight="1">
      <c r="A555" s="621"/>
      <c r="B555" s="622" t="s">
        <v>665</v>
      </c>
      <c r="C555" s="558" t="str">
        <f t="shared" ca="1" si="312"/>
        <v xml:space="preserve"> </v>
      </c>
      <c r="D555" s="553"/>
      <c r="E555" s="694" t="str">
        <f>VLOOKUP($B555,dongia1,DG!C$5,)&amp;": 0,3x0,3x1"</f>
        <v>Đào rãnh tiếp địa đất cấp 3: 0,3x0,3x1</v>
      </c>
      <c r="F555" s="555" t="str">
        <f>VLOOKUP($B555,dongia1,DG!$D$5,)</f>
        <v>m3</v>
      </c>
      <c r="G555" s="205">
        <f>0.3*1*0.3</f>
        <v>0.09</v>
      </c>
      <c r="H555" s="556">
        <f t="shared" ca="1" si="313"/>
        <v>0</v>
      </c>
      <c r="I555" s="556">
        <f t="shared" ca="1" si="314"/>
        <v>0</v>
      </c>
      <c r="J555" s="556">
        <f t="shared" ca="1" si="314"/>
        <v>0</v>
      </c>
      <c r="K555" s="556">
        <f t="shared" ca="1" si="314"/>
        <v>0</v>
      </c>
      <c r="L555" s="556">
        <f t="shared" ca="1" si="314"/>
        <v>0</v>
      </c>
      <c r="M555" s="556"/>
      <c r="N555" s="556">
        <f t="shared" ca="1" si="314"/>
        <v>0</v>
      </c>
      <c r="O555" s="556">
        <f t="shared" si="314"/>
        <v>0</v>
      </c>
      <c r="P555" s="182">
        <f>VLOOKUP($B555,dongia1,DG!$F$5,)</f>
        <v>0</v>
      </c>
      <c r="Q555" s="554"/>
      <c r="R555" s="554"/>
      <c r="S555" s="113">
        <f t="shared" si="315"/>
        <v>0</v>
      </c>
      <c r="T555" s="113">
        <f t="shared" si="316"/>
        <v>0</v>
      </c>
      <c r="U555" s="557">
        <f t="shared" si="317"/>
        <v>0</v>
      </c>
    </row>
    <row r="556" spans="1:21" s="552" customFormat="1" ht="15" hidden="1" customHeight="1">
      <c r="A556" s="621"/>
      <c r="B556" s="622" t="s">
        <v>1985</v>
      </c>
      <c r="C556" s="558" t="str">
        <f t="shared" ca="1" si="312"/>
        <v xml:space="preserve"> </v>
      </c>
      <c r="D556" s="553"/>
      <c r="E556" s="694" t="str">
        <f>VLOOKUP($B556,dongia1,DG!C$5,)&amp;": 0,3x0,3x1"</f>
        <v>Đắp đất rãnh tiếp địa cấp 3 (độ chặt k = 0.85): 0,3x0,3x1</v>
      </c>
      <c r="F556" s="555" t="str">
        <f>VLOOKUP($B556,dongia1,DG!$D$5,)</f>
        <v>m3</v>
      </c>
      <c r="G556" s="205">
        <f>G555</f>
        <v>0.09</v>
      </c>
      <c r="H556" s="556">
        <f t="shared" ca="1" si="313"/>
        <v>0</v>
      </c>
      <c r="I556" s="556">
        <f t="shared" ca="1" si="314"/>
        <v>0</v>
      </c>
      <c r="J556" s="556">
        <f t="shared" ca="1" si="314"/>
        <v>0</v>
      </c>
      <c r="K556" s="556">
        <f t="shared" ca="1" si="314"/>
        <v>0</v>
      </c>
      <c r="L556" s="556">
        <f t="shared" ca="1" si="314"/>
        <v>0</v>
      </c>
      <c r="M556" s="556"/>
      <c r="N556" s="556">
        <f t="shared" ca="1" si="314"/>
        <v>0</v>
      </c>
      <c r="O556" s="556">
        <f t="shared" si="314"/>
        <v>0</v>
      </c>
      <c r="P556" s="182">
        <f>VLOOKUP($B556,dongia1,DG!$F$5,)</f>
        <v>0</v>
      </c>
      <c r="Q556" s="182"/>
      <c r="R556" s="554"/>
      <c r="S556" s="113">
        <f t="shared" si="315"/>
        <v>0</v>
      </c>
      <c r="T556" s="113">
        <f t="shared" si="316"/>
        <v>0</v>
      </c>
      <c r="U556" s="557">
        <f t="shared" si="317"/>
        <v>0</v>
      </c>
    </row>
    <row r="557" spans="1:21" s="552" customFormat="1" ht="15" hidden="1" customHeight="1">
      <c r="A557" s="621"/>
      <c r="B557" s="622" t="s">
        <v>585</v>
      </c>
      <c r="C557" s="558" t="str">
        <f t="shared" ca="1" si="312"/>
        <v xml:space="preserve"> </v>
      </c>
      <c r="D557" s="553"/>
      <c r="E557" s="694" t="str">
        <f>VLOOKUP($B557,dongia1,DG!C$5,)</f>
        <v>Đầu cosse ép Cu 25mm2</v>
      </c>
      <c r="F557" s="555" t="str">
        <f>VLOOKUP($B557,dongia1,DG!$D$5,)</f>
        <v>cái</v>
      </c>
      <c r="G557" s="205">
        <v>1</v>
      </c>
      <c r="H557" s="556">
        <f t="shared" ca="1" si="313"/>
        <v>0</v>
      </c>
      <c r="I557" s="556">
        <f t="shared" ca="1" si="314"/>
        <v>0</v>
      </c>
      <c r="J557" s="556">
        <f t="shared" ca="1" si="314"/>
        <v>0</v>
      </c>
      <c r="K557" s="556">
        <f t="shared" ca="1" si="314"/>
        <v>0</v>
      </c>
      <c r="L557" s="556">
        <f t="shared" ca="1" si="314"/>
        <v>0</v>
      </c>
      <c r="M557" s="556"/>
      <c r="N557" s="556">
        <f t="shared" ca="1" si="314"/>
        <v>0</v>
      </c>
      <c r="O557" s="556">
        <f t="shared" si="314"/>
        <v>0</v>
      </c>
      <c r="P557" s="182">
        <f>VLOOKUP($B557,dongia1,DG!$F$5,)</f>
        <v>6500</v>
      </c>
      <c r="Q557" s="554"/>
      <c r="R557" s="554"/>
      <c r="S557" s="113">
        <f t="shared" si="315"/>
        <v>6500</v>
      </c>
      <c r="T557" s="113">
        <f t="shared" si="316"/>
        <v>0</v>
      </c>
      <c r="U557" s="557">
        <f t="shared" si="317"/>
        <v>0</v>
      </c>
    </row>
    <row r="558" spans="1:21" s="552" customFormat="1" ht="15" hidden="1" customHeight="1">
      <c r="A558" s="621"/>
      <c r="B558" s="622" t="s">
        <v>1998</v>
      </c>
      <c r="C558" s="558" t="str">
        <f ca="1">C557</f>
        <v xml:space="preserve"> </v>
      </c>
      <c r="D558" s="553"/>
      <c r="E558" s="694" t="str">
        <f>VLOOKUP($B558,dongia1,DG!C$5,)</f>
        <v>Boulon 12x40+ 2 long đền vuông D14-50x50x3/Zn</v>
      </c>
      <c r="F558" s="555" t="str">
        <f>VLOOKUP($B558,dongia1,DG!$D$5,)</f>
        <v>bộ</v>
      </c>
      <c r="G558" s="205">
        <v>1</v>
      </c>
      <c r="H558" s="556">
        <f t="shared" ca="1" si="313"/>
        <v>0</v>
      </c>
      <c r="I558" s="556">
        <f t="shared" ca="1" si="314"/>
        <v>0</v>
      </c>
      <c r="J558" s="556">
        <f t="shared" ca="1" si="314"/>
        <v>0</v>
      </c>
      <c r="K558" s="556">
        <f t="shared" ca="1" si="314"/>
        <v>0</v>
      </c>
      <c r="L558" s="556">
        <f t="shared" ca="1" si="314"/>
        <v>0</v>
      </c>
      <c r="M558" s="556"/>
      <c r="N558" s="556">
        <f t="shared" ca="1" si="314"/>
        <v>0</v>
      </c>
      <c r="O558" s="556">
        <f t="shared" si="314"/>
        <v>0</v>
      </c>
      <c r="P558" s="182">
        <f>VLOOKUP($B558,dongia1,DG!$F$5,)</f>
        <v>8500</v>
      </c>
      <c r="Q558" s="554"/>
      <c r="R558" s="554"/>
      <c r="S558" s="113">
        <f>$G558*P558</f>
        <v>8500</v>
      </c>
      <c r="T558" s="113">
        <f>$G558*Q558</f>
        <v>0</v>
      </c>
      <c r="U558" s="557">
        <f>$G558*R558</f>
        <v>0</v>
      </c>
    </row>
    <row r="559" spans="1:21" s="552" customFormat="1" ht="15" hidden="1" customHeight="1">
      <c r="A559" s="621"/>
      <c r="B559" s="622" t="s">
        <v>262</v>
      </c>
      <c r="C559" s="558" t="str">
        <f ca="1">C557</f>
        <v xml:space="preserve"> </v>
      </c>
      <c r="D559" s="553"/>
      <c r="E559" s="694" t="str">
        <f>VLOOKUP($B559,dongia1,DG!C$5,)</f>
        <v xml:space="preserve">Ống PVC D21x1,6mm </v>
      </c>
      <c r="F559" s="555" t="str">
        <f>VLOOKUP($B559,dongia1,DG!$D$5,)</f>
        <v>m</v>
      </c>
      <c r="G559" s="205">
        <v>3</v>
      </c>
      <c r="H559" s="556">
        <f t="shared" ca="1" si="313"/>
        <v>0</v>
      </c>
      <c r="I559" s="556">
        <f t="shared" ca="1" si="314"/>
        <v>0</v>
      </c>
      <c r="J559" s="556">
        <f t="shared" ca="1" si="314"/>
        <v>0</v>
      </c>
      <c r="K559" s="556">
        <f t="shared" ca="1" si="314"/>
        <v>0</v>
      </c>
      <c r="L559" s="556">
        <f t="shared" ca="1" si="314"/>
        <v>0</v>
      </c>
      <c r="M559" s="556"/>
      <c r="N559" s="556">
        <f t="shared" ca="1" si="314"/>
        <v>0</v>
      </c>
      <c r="O559" s="556">
        <f t="shared" si="314"/>
        <v>0</v>
      </c>
      <c r="P559" s="182">
        <f>VLOOKUP($B559,dongia1,DG!$F$5,)</f>
        <v>6200</v>
      </c>
      <c r="Q559" s="182"/>
      <c r="R559" s="554"/>
      <c r="S559" s="113">
        <f t="shared" si="315"/>
        <v>18600</v>
      </c>
      <c r="T559" s="113">
        <f t="shared" si="316"/>
        <v>0</v>
      </c>
      <c r="U559" s="557">
        <f t="shared" si="317"/>
        <v>0</v>
      </c>
    </row>
    <row r="560" spans="1:21" s="552" customFormat="1" ht="15" hidden="1" customHeight="1">
      <c r="A560" s="621"/>
      <c r="B560" s="622" t="s">
        <v>1859</v>
      </c>
      <c r="C560" s="558" t="str">
        <f t="shared" ca="1" si="312"/>
        <v xml:space="preserve"> </v>
      </c>
      <c r="D560" s="553" t="str">
        <f>VLOOKUP($B560,dongia1,DG!$B$5,)</f>
        <v>D2.7001</v>
      </c>
      <c r="E560" s="694" t="str">
        <f>VLOOKUP($B560,dongia1,DG!C$5,)</f>
        <v xml:space="preserve">Kéo dây tiếp địa </v>
      </c>
      <c r="F560" s="555" t="str">
        <f>VLOOKUP($B560,dongia1,DG!$D$5,)</f>
        <v>kg</v>
      </c>
      <c r="G560" s="205">
        <v>1</v>
      </c>
      <c r="H560" s="556">
        <f t="shared" ca="1" si="313"/>
        <v>0</v>
      </c>
      <c r="I560" s="556">
        <f t="shared" ca="1" si="314"/>
        <v>0</v>
      </c>
      <c r="J560" s="556">
        <f t="shared" ca="1" si="314"/>
        <v>0</v>
      </c>
      <c r="K560" s="556">
        <f t="shared" ca="1" si="314"/>
        <v>0</v>
      </c>
      <c r="L560" s="556">
        <f t="shared" ca="1" si="314"/>
        <v>0</v>
      </c>
      <c r="M560" s="556"/>
      <c r="N560" s="556">
        <f t="shared" ca="1" si="314"/>
        <v>0</v>
      </c>
      <c r="O560" s="556">
        <f t="shared" si="314"/>
        <v>0</v>
      </c>
      <c r="P560" s="554"/>
      <c r="Q560" s="182">
        <f>VLOOKUP($B560,dongia1,DG!$G$5,)</f>
        <v>2578.65</v>
      </c>
      <c r="R560" s="554"/>
      <c r="S560" s="113">
        <f t="shared" si="315"/>
        <v>0</v>
      </c>
      <c r="T560" s="113">
        <f t="shared" si="316"/>
        <v>2578.65</v>
      </c>
      <c r="U560" s="557">
        <f t="shared" si="317"/>
        <v>0</v>
      </c>
    </row>
    <row r="561" spans="1:21" s="552" customFormat="1" ht="15" hidden="1" customHeight="1">
      <c r="A561" s="621"/>
      <c r="B561" s="622" t="s">
        <v>914</v>
      </c>
      <c r="C561" s="558" t="str">
        <f t="shared" ca="1" si="312"/>
        <v xml:space="preserve"> </v>
      </c>
      <c r="D561" s="553">
        <f>VLOOKUP($B561,dongia1,DG!$B$5,)</f>
        <v>0</v>
      </c>
      <c r="E561" s="694" t="str">
        <f>VLOOKUP($B561,dongia1,DG!C$5,)</f>
        <v>Kẹp ép cỡ dây 25mm2</v>
      </c>
      <c r="F561" s="555" t="str">
        <f>VLOOKUP($B561,dongia1,DG!$D$5,)</f>
        <v>cái</v>
      </c>
      <c r="G561" s="205">
        <v>1</v>
      </c>
      <c r="H561" s="556">
        <f t="shared" ca="1" si="313"/>
        <v>0</v>
      </c>
      <c r="I561" s="556">
        <f t="shared" ca="1" si="314"/>
        <v>0</v>
      </c>
      <c r="J561" s="556">
        <f t="shared" ca="1" si="314"/>
        <v>0</v>
      </c>
      <c r="K561" s="556">
        <f t="shared" ca="1" si="314"/>
        <v>0</v>
      </c>
      <c r="L561" s="556">
        <f t="shared" ca="1" si="314"/>
        <v>0</v>
      </c>
      <c r="M561" s="556"/>
      <c r="N561" s="556">
        <f t="shared" ca="1" si="314"/>
        <v>0</v>
      </c>
      <c r="O561" s="556">
        <f t="shared" si="314"/>
        <v>0</v>
      </c>
      <c r="P561" s="554"/>
      <c r="Q561" s="182">
        <f>VLOOKUP($B561,dongia1,DG!$G$5,)</f>
        <v>0</v>
      </c>
      <c r="R561" s="554"/>
      <c r="S561" s="113">
        <f t="shared" si="315"/>
        <v>0</v>
      </c>
      <c r="T561" s="113">
        <f t="shared" si="316"/>
        <v>0</v>
      </c>
      <c r="U561" s="557">
        <f t="shared" si="317"/>
        <v>0</v>
      </c>
    </row>
    <row r="562" spans="1:21" s="552" customFormat="1" ht="15" hidden="1" customHeight="1">
      <c r="A562" s="621" t="s">
        <v>973</v>
      </c>
      <c r="B562" s="622"/>
      <c r="C562" s="558" t="str">
        <f ca="1">IF(H562&lt;&gt;0,"x"," ")</f>
        <v xml:space="preserve"> </v>
      </c>
      <c r="D562" s="553"/>
      <c r="E562" s="727" t="s">
        <v>3552</v>
      </c>
      <c r="F562" s="600" t="s">
        <v>2113</v>
      </c>
      <c r="G562" s="205"/>
      <c r="H562" s="556">
        <f ca="1">SUM(I562:N562)</f>
        <v>0</v>
      </c>
      <c r="I562" s="556">
        <f ca="1">SUMIF(tdll3pm,chitiet!$E562,sltdll3pm)</f>
        <v>0</v>
      </c>
      <c r="J562" s="556">
        <f ca="1">SUMIF(tdllct,chitiet!$E562,sltdllct)</f>
        <v>0</v>
      </c>
      <c r="K562" s="556">
        <f ca="1">SUMIF(tdll3p1m,chitiet!$E562,sltdll3p1m)</f>
        <v>0</v>
      </c>
      <c r="L562" s="556">
        <f ca="1">SUMIF(tdll1pm,chitiet!$E562,sltdll1pm)</f>
        <v>0</v>
      </c>
      <c r="M562" s="556">
        <f ca="1">SUMIF(tdllHTHH,chitiet!$E562,sltdllhthh)</f>
        <v>0</v>
      </c>
      <c r="N562" s="556">
        <f ca="1">SUMIF(tdllHTDL,chitiet!$E562,sltdllhtdl)</f>
        <v>0</v>
      </c>
      <c r="O562" s="556"/>
      <c r="P562" s="554"/>
      <c r="Q562" s="554"/>
      <c r="R562" s="554"/>
      <c r="S562" s="601">
        <f>SUM(S563:S574)</f>
        <v>4742996</v>
      </c>
      <c r="T562" s="601">
        <f>SUM(T563:T574)</f>
        <v>6143001.0167999994</v>
      </c>
      <c r="U562" s="602">
        <f>SUM(U563:U574)</f>
        <v>0</v>
      </c>
    </row>
    <row r="563" spans="1:21" s="552" customFormat="1" ht="15" hidden="1" customHeight="1">
      <c r="A563" s="621"/>
      <c r="B563" s="622" t="s">
        <v>584</v>
      </c>
      <c r="C563" s="558" t="str">
        <f t="shared" ref="C563:C568" ca="1" si="318">C562</f>
        <v xml:space="preserve"> </v>
      </c>
      <c r="D563" s="553"/>
      <c r="E563" s="694" t="str">
        <f>VLOOKUP($B563,dongia1,DG!C$5,)&amp;" (53m)"</f>
        <v>Cáp đồng trần M25mm2 (53m)</v>
      </c>
      <c r="F563" s="555" t="str">
        <f>VLOOKUP($B563,dongia1,DG!$D$5,)</f>
        <v>kg</v>
      </c>
      <c r="G563" s="205">
        <f>53*0.224</f>
        <v>11.872</v>
      </c>
      <c r="H563" s="556">
        <f t="shared" ref="H563:H574" ca="1" si="319">H$562*$G563</f>
        <v>0</v>
      </c>
      <c r="I563" s="556">
        <f t="shared" ref="I563:O574" ca="1" si="320">I$562*$G563</f>
        <v>0</v>
      </c>
      <c r="J563" s="556">
        <f t="shared" ca="1" si="320"/>
        <v>0</v>
      </c>
      <c r="K563" s="556">
        <f t="shared" ca="1" si="320"/>
        <v>0</v>
      </c>
      <c r="L563" s="556">
        <f t="shared" ca="1" si="320"/>
        <v>0</v>
      </c>
      <c r="M563" s="556"/>
      <c r="N563" s="556">
        <f t="shared" ca="1" si="320"/>
        <v>0</v>
      </c>
      <c r="O563" s="556">
        <f t="shared" si="320"/>
        <v>0</v>
      </c>
      <c r="P563" s="182">
        <f>VLOOKUP($B563,dongia1,DG!$F$5,)</f>
        <v>255500</v>
      </c>
      <c r="Q563" s="554"/>
      <c r="R563" s="554"/>
      <c r="S563" s="113">
        <f t="shared" ref="S563:S575" si="321">$G563*P563</f>
        <v>3033296</v>
      </c>
      <c r="T563" s="113">
        <f t="shared" ref="T563:T575" si="322">$G563*Q563</f>
        <v>0</v>
      </c>
      <c r="U563" s="557">
        <f t="shared" ref="U563:U575" si="323">$G563*R563</f>
        <v>0</v>
      </c>
    </row>
    <row r="564" spans="1:21" s="552" customFormat="1" ht="15" hidden="1" customHeight="1">
      <c r="A564" s="621"/>
      <c r="B564" s="622" t="s">
        <v>1098</v>
      </c>
      <c r="C564" s="558" t="str">
        <f t="shared" ca="1" si="318"/>
        <v xml:space="preserve"> </v>
      </c>
      <c r="D564" s="553"/>
      <c r="E564" s="694" t="str">
        <f>VLOOKUP($B564,dongia1,DG!C$5,)</f>
        <v>Cọc tiếp đất Þ 16- 2,4m + kẹp cọc</v>
      </c>
      <c r="F564" s="555" t="str">
        <f>VLOOKUP($B564,dongia1,DG!$D$5,)</f>
        <v>bộ</v>
      </c>
      <c r="G564" s="205">
        <v>9</v>
      </c>
      <c r="H564" s="556">
        <f t="shared" ca="1" si="319"/>
        <v>0</v>
      </c>
      <c r="I564" s="556">
        <f t="shared" ca="1" si="320"/>
        <v>0</v>
      </c>
      <c r="J564" s="556">
        <f t="shared" ca="1" si="320"/>
        <v>0</v>
      </c>
      <c r="K564" s="556">
        <f t="shared" ca="1" si="320"/>
        <v>0</v>
      </c>
      <c r="L564" s="556">
        <f t="shared" ca="1" si="320"/>
        <v>0</v>
      </c>
      <c r="M564" s="556"/>
      <c r="N564" s="556">
        <f t="shared" ca="1" si="320"/>
        <v>0</v>
      </c>
      <c r="O564" s="556">
        <f t="shared" si="320"/>
        <v>0</v>
      </c>
      <c r="P564" s="182">
        <f>VLOOKUP($B564,dongia1,DG!$F$5,)</f>
        <v>160000</v>
      </c>
      <c r="Q564" s="554"/>
      <c r="R564" s="554"/>
      <c r="S564" s="113">
        <f t="shared" si="321"/>
        <v>1440000</v>
      </c>
      <c r="T564" s="113">
        <f t="shared" si="322"/>
        <v>0</v>
      </c>
      <c r="U564" s="557">
        <f t="shared" si="323"/>
        <v>0</v>
      </c>
    </row>
    <row r="565" spans="1:21" s="552" customFormat="1" ht="15" hidden="1" customHeight="1">
      <c r="A565" s="621"/>
      <c r="B565" s="622" t="s">
        <v>75</v>
      </c>
      <c r="C565" s="558" t="str">
        <f t="shared" ca="1" si="318"/>
        <v xml:space="preserve"> </v>
      </c>
      <c r="D565" s="553"/>
      <c r="E565" s="694" t="str">
        <f>VLOOKUP($B565,dongia1,DG!C$5,)</f>
        <v>Kẹp ép WR cỡ dây 50mm2</v>
      </c>
      <c r="F565" s="555" t="str">
        <f>VLOOKUP($B565,dongia1,DG!$D$5,)</f>
        <v>cái</v>
      </c>
      <c r="G565" s="205">
        <v>2</v>
      </c>
      <c r="H565" s="556">
        <f t="shared" ca="1" si="319"/>
        <v>0</v>
      </c>
      <c r="I565" s="556">
        <f t="shared" ca="1" si="320"/>
        <v>0</v>
      </c>
      <c r="J565" s="556">
        <f t="shared" ca="1" si="320"/>
        <v>0</v>
      </c>
      <c r="K565" s="556">
        <f t="shared" ca="1" si="320"/>
        <v>0</v>
      </c>
      <c r="L565" s="556">
        <f t="shared" ca="1" si="320"/>
        <v>0</v>
      </c>
      <c r="M565" s="556"/>
      <c r="N565" s="556">
        <f t="shared" ca="1" si="320"/>
        <v>0</v>
      </c>
      <c r="O565" s="556">
        <f t="shared" si="320"/>
        <v>0</v>
      </c>
      <c r="P565" s="182">
        <f>VLOOKUP($B565,dongia1,DG!$F$5,)</f>
        <v>8000</v>
      </c>
      <c r="Q565" s="182"/>
      <c r="R565" s="554"/>
      <c r="S565" s="113">
        <f t="shared" si="321"/>
        <v>16000</v>
      </c>
      <c r="T565" s="113">
        <f t="shared" si="322"/>
        <v>0</v>
      </c>
      <c r="U565" s="557">
        <f t="shared" si="323"/>
        <v>0</v>
      </c>
    </row>
    <row r="566" spans="1:21" s="552" customFormat="1" ht="15" hidden="1" customHeight="1">
      <c r="A566" s="621"/>
      <c r="B566" s="622" t="s">
        <v>913</v>
      </c>
      <c r="C566" s="558" t="str">
        <f t="shared" ca="1" si="318"/>
        <v xml:space="preserve"> </v>
      </c>
      <c r="D566" s="553"/>
      <c r="E566" s="694" t="str">
        <f>VLOOKUP($B566,dongia1,DG!C$5,)</f>
        <v>Kẹp ép cỡ dây 25mm2</v>
      </c>
      <c r="F566" s="555" t="str">
        <f>VLOOKUP($B566,dongia1,DG!$D$5,)</f>
        <v>cái</v>
      </c>
      <c r="G566" s="205">
        <v>11</v>
      </c>
      <c r="H566" s="556">
        <f t="shared" ca="1" si="319"/>
        <v>0</v>
      </c>
      <c r="I566" s="556">
        <f t="shared" ca="1" si="320"/>
        <v>0</v>
      </c>
      <c r="J566" s="556">
        <f t="shared" ca="1" si="320"/>
        <v>0</v>
      </c>
      <c r="K566" s="556">
        <f t="shared" ca="1" si="320"/>
        <v>0</v>
      </c>
      <c r="L566" s="556">
        <f t="shared" ca="1" si="320"/>
        <v>0</v>
      </c>
      <c r="M566" s="556"/>
      <c r="N566" s="556">
        <f t="shared" ca="1" si="320"/>
        <v>0</v>
      </c>
      <c r="O566" s="556">
        <f t="shared" si="320"/>
        <v>0</v>
      </c>
      <c r="P566" s="182">
        <f>VLOOKUP($B566,dongia1,DG!$F$5,)</f>
        <v>6000</v>
      </c>
      <c r="Q566" s="182"/>
      <c r="R566" s="554"/>
      <c r="S566" s="113">
        <f t="shared" ref="S566:U568" si="324">$G566*P566</f>
        <v>66000</v>
      </c>
      <c r="T566" s="113">
        <f t="shared" si="324"/>
        <v>0</v>
      </c>
      <c r="U566" s="557">
        <f t="shared" si="324"/>
        <v>0</v>
      </c>
    </row>
    <row r="567" spans="1:21" s="552" customFormat="1" ht="15" hidden="1" customHeight="1">
      <c r="A567" s="621"/>
      <c r="B567" s="622" t="s">
        <v>2040</v>
      </c>
      <c r="C567" s="558" t="str">
        <f t="shared" ca="1" si="318"/>
        <v xml:space="preserve"> </v>
      </c>
      <c r="D567" s="553"/>
      <c r="E567" s="694" t="str">
        <f>VLOOKUP($B567,dongia1,DG!C$5,)</f>
        <v xml:space="preserve">Ống PVC D21x1,6mm </v>
      </c>
      <c r="F567" s="555" t="str">
        <f>VLOOKUP($B567,dongia1,DG!$D$5,)</f>
        <v>m</v>
      </c>
      <c r="G567" s="205">
        <v>6</v>
      </c>
      <c r="H567" s="556">
        <f t="shared" ca="1" si="319"/>
        <v>0</v>
      </c>
      <c r="I567" s="556">
        <f t="shared" ca="1" si="320"/>
        <v>0</v>
      </c>
      <c r="J567" s="556">
        <f t="shared" ca="1" si="320"/>
        <v>0</v>
      </c>
      <c r="K567" s="556">
        <f t="shared" ca="1" si="320"/>
        <v>0</v>
      </c>
      <c r="L567" s="556">
        <f t="shared" ca="1" si="320"/>
        <v>0</v>
      </c>
      <c r="M567" s="556"/>
      <c r="N567" s="556">
        <f t="shared" ca="1" si="320"/>
        <v>0</v>
      </c>
      <c r="O567" s="556">
        <f t="shared" si="320"/>
        <v>0</v>
      </c>
      <c r="P567" s="182">
        <f>VLOOKUP($B567,dongia1,DG!$F$5,)</f>
        <v>6200</v>
      </c>
      <c r="Q567" s="182"/>
      <c r="R567" s="554"/>
      <c r="S567" s="113">
        <f t="shared" si="324"/>
        <v>37200</v>
      </c>
      <c r="T567" s="113">
        <f t="shared" si="324"/>
        <v>0</v>
      </c>
      <c r="U567" s="557">
        <f t="shared" si="324"/>
        <v>0</v>
      </c>
    </row>
    <row r="568" spans="1:21" s="552" customFormat="1" ht="15" hidden="1" customHeight="1">
      <c r="A568" s="621"/>
      <c r="B568" s="622" t="s">
        <v>1490</v>
      </c>
      <c r="C568" s="558" t="str">
        <f t="shared" ca="1" si="318"/>
        <v xml:space="preserve"> </v>
      </c>
      <c r="D568" s="553"/>
      <c r="E568" s="694" t="str">
        <f>VLOOKUP($B568,dongia1,DG!C$5,)</f>
        <v>Cổ dê kẹp ống PVC (STK) Þ 21</v>
      </c>
      <c r="F568" s="555" t="str">
        <f>VLOOKUP($B568,dongia1,DG!$D$5,)</f>
        <v>bộ</v>
      </c>
      <c r="G568" s="205">
        <v>3</v>
      </c>
      <c r="H568" s="556">
        <f t="shared" ca="1" si="319"/>
        <v>0</v>
      </c>
      <c r="I568" s="556">
        <f t="shared" ca="1" si="320"/>
        <v>0</v>
      </c>
      <c r="J568" s="556">
        <f t="shared" ca="1" si="320"/>
        <v>0</v>
      </c>
      <c r="K568" s="556">
        <f t="shared" ca="1" si="320"/>
        <v>0</v>
      </c>
      <c r="L568" s="556">
        <f t="shared" ca="1" si="320"/>
        <v>0</v>
      </c>
      <c r="M568" s="556"/>
      <c r="N568" s="556">
        <f t="shared" ca="1" si="320"/>
        <v>0</v>
      </c>
      <c r="O568" s="556">
        <f t="shared" si="320"/>
        <v>0</v>
      </c>
      <c r="P568" s="182">
        <f>VLOOKUP($B568,dongia1,DG!$F$5,)</f>
        <v>43000</v>
      </c>
      <c r="Q568" s="182"/>
      <c r="R568" s="554"/>
      <c r="S568" s="113">
        <f t="shared" si="324"/>
        <v>129000</v>
      </c>
      <c r="T568" s="113">
        <f t="shared" si="324"/>
        <v>0</v>
      </c>
      <c r="U568" s="557">
        <f t="shared" si="324"/>
        <v>0</v>
      </c>
    </row>
    <row r="569" spans="1:21" s="552" customFormat="1" ht="15" hidden="1" customHeight="1">
      <c r="A569" s="621"/>
      <c r="B569" s="622" t="s">
        <v>971</v>
      </c>
      <c r="C569" s="558" t="str">
        <f ca="1">C565</f>
        <v xml:space="preserve"> </v>
      </c>
      <c r="D569" s="553"/>
      <c r="E569" s="694" t="str">
        <f>VLOOKUP($B569,dongia1,DG!C$5,)</f>
        <v>Đầu cosse ép Cu 25mm2</v>
      </c>
      <c r="F569" s="555" t="str">
        <f>VLOOKUP($B569,dongia1,DG!$D$5,)</f>
        <v>cái</v>
      </c>
      <c r="G569" s="205">
        <v>2</v>
      </c>
      <c r="H569" s="556">
        <f t="shared" ca="1" si="319"/>
        <v>0</v>
      </c>
      <c r="I569" s="556">
        <f t="shared" ca="1" si="320"/>
        <v>0</v>
      </c>
      <c r="J569" s="556">
        <f t="shared" ca="1" si="320"/>
        <v>0</v>
      </c>
      <c r="K569" s="556">
        <f t="shared" ca="1" si="320"/>
        <v>0</v>
      </c>
      <c r="L569" s="556">
        <f t="shared" ca="1" si="320"/>
        <v>0</v>
      </c>
      <c r="M569" s="556"/>
      <c r="N569" s="556">
        <f t="shared" ca="1" si="320"/>
        <v>0</v>
      </c>
      <c r="O569" s="556">
        <f t="shared" si="320"/>
        <v>0</v>
      </c>
      <c r="P569" s="182">
        <f>VLOOKUP($B569,dongia1,DG!$F$5,)</f>
        <v>6500</v>
      </c>
      <c r="Q569" s="554"/>
      <c r="R569" s="554"/>
      <c r="S569" s="113">
        <f t="shared" si="321"/>
        <v>13000</v>
      </c>
      <c r="T569" s="113">
        <f t="shared" si="322"/>
        <v>0</v>
      </c>
      <c r="U569" s="557">
        <f t="shared" si="323"/>
        <v>0</v>
      </c>
    </row>
    <row r="570" spans="1:21" s="552" customFormat="1" ht="15" hidden="1" customHeight="1">
      <c r="A570" s="621"/>
      <c r="B570" s="622" t="s">
        <v>1623</v>
      </c>
      <c r="C570" s="558" t="str">
        <f ca="1">C569</f>
        <v xml:space="preserve"> </v>
      </c>
      <c r="D570" s="553"/>
      <c r="E570" s="694" t="str">
        <f>VLOOKUP($B570,dongia1,DG!C$5,)</f>
        <v>Boulon 12x40+ 2 long đền vuông D14-50x50x3/Zn</v>
      </c>
      <c r="F570" s="555" t="str">
        <f>VLOOKUP($B570,dongia1,DG!$D$5,)</f>
        <v>bộ</v>
      </c>
      <c r="G570" s="205">
        <v>1</v>
      </c>
      <c r="H570" s="556">
        <f t="shared" ca="1" si="319"/>
        <v>0</v>
      </c>
      <c r="I570" s="556">
        <f t="shared" ca="1" si="320"/>
        <v>0</v>
      </c>
      <c r="J570" s="556">
        <f t="shared" ca="1" si="320"/>
        <v>0</v>
      </c>
      <c r="K570" s="556">
        <f t="shared" ca="1" si="320"/>
        <v>0</v>
      </c>
      <c r="L570" s="556">
        <f t="shared" ca="1" si="320"/>
        <v>0</v>
      </c>
      <c r="M570" s="556"/>
      <c r="N570" s="556">
        <f t="shared" ca="1" si="320"/>
        <v>0</v>
      </c>
      <c r="O570" s="556">
        <f t="shared" si="320"/>
        <v>0</v>
      </c>
      <c r="P570" s="182">
        <f>VLOOKUP($B570,dongia1,DG!$F$5,)</f>
        <v>8500</v>
      </c>
      <c r="Q570" s="554"/>
      <c r="R570" s="554"/>
      <c r="S570" s="113">
        <f t="shared" si="321"/>
        <v>8500</v>
      </c>
      <c r="T570" s="113">
        <f t="shared" si="322"/>
        <v>0</v>
      </c>
      <c r="U570" s="557">
        <f t="shared" si="323"/>
        <v>0</v>
      </c>
    </row>
    <row r="571" spans="1:21" s="552" customFormat="1" ht="15" hidden="1" customHeight="1">
      <c r="A571" s="621"/>
      <c r="B571" s="622" t="s">
        <v>1859</v>
      </c>
      <c r="C571" s="558" t="str">
        <f ca="1">C565</f>
        <v xml:space="preserve"> </v>
      </c>
      <c r="D571" s="553"/>
      <c r="E571" s="694" t="str">
        <f>VLOOKUP($B571,dongia1,DG!C$5,)</f>
        <v xml:space="preserve">Kéo dây tiếp địa </v>
      </c>
      <c r="F571" s="555" t="str">
        <f>VLOOKUP($B571,dongia1,DG!$D$5,)</f>
        <v>kg</v>
      </c>
      <c r="G571" s="205">
        <f>G563</f>
        <v>11.872</v>
      </c>
      <c r="H571" s="556">
        <f t="shared" ca="1" si="319"/>
        <v>0</v>
      </c>
      <c r="I571" s="556">
        <f t="shared" ca="1" si="320"/>
        <v>0</v>
      </c>
      <c r="J571" s="556">
        <f t="shared" ca="1" si="320"/>
        <v>0</v>
      </c>
      <c r="K571" s="556">
        <f t="shared" ca="1" si="320"/>
        <v>0</v>
      </c>
      <c r="L571" s="556">
        <f t="shared" ca="1" si="320"/>
        <v>0</v>
      </c>
      <c r="M571" s="556"/>
      <c r="N571" s="556">
        <f t="shared" ca="1" si="320"/>
        <v>0</v>
      </c>
      <c r="O571" s="556">
        <f t="shared" si="320"/>
        <v>0</v>
      </c>
      <c r="P571" s="554"/>
      <c r="Q571" s="182">
        <f>VLOOKUP($B571,dongia1,DG!$G$5,)</f>
        <v>2578.65</v>
      </c>
      <c r="R571" s="554"/>
      <c r="S571" s="113">
        <f t="shared" si="321"/>
        <v>0</v>
      </c>
      <c r="T571" s="113">
        <f t="shared" si="322"/>
        <v>30613.732800000002</v>
      </c>
      <c r="U571" s="557">
        <f t="shared" si="323"/>
        <v>0</v>
      </c>
    </row>
    <row r="572" spans="1:21" s="552" customFormat="1" ht="15" hidden="1" customHeight="1">
      <c r="A572" s="621"/>
      <c r="B572" s="622" t="s">
        <v>102</v>
      </c>
      <c r="C572" s="558" t="str">
        <f ca="1">C571</f>
        <v xml:space="preserve"> </v>
      </c>
      <c r="D572" s="553"/>
      <c r="E572" s="694" t="str">
        <f>VLOOKUP($B572,dongia1,DG!C$5,)</f>
        <v>Đóng cọc tiếp địa đất cấp 3 dài 2,5m</v>
      </c>
      <c r="F572" s="555" t="str">
        <f>VLOOKUP($B572,dongia1,DG!$D$5,)</f>
        <v>cọc</v>
      </c>
      <c r="G572" s="205">
        <f>G564</f>
        <v>9</v>
      </c>
      <c r="H572" s="556">
        <f t="shared" ca="1" si="319"/>
        <v>0</v>
      </c>
      <c r="I572" s="556">
        <f t="shared" ca="1" si="320"/>
        <v>0</v>
      </c>
      <c r="J572" s="556">
        <f t="shared" ca="1" si="320"/>
        <v>0</v>
      </c>
      <c r="K572" s="556">
        <f t="shared" ca="1" si="320"/>
        <v>0</v>
      </c>
      <c r="L572" s="556">
        <f t="shared" ca="1" si="320"/>
        <v>0</v>
      </c>
      <c r="M572" s="556"/>
      <c r="N572" s="556">
        <f t="shared" ca="1" si="320"/>
        <v>0</v>
      </c>
      <c r="O572" s="556">
        <f t="shared" si="320"/>
        <v>0</v>
      </c>
      <c r="P572" s="554"/>
      <c r="Q572" s="182">
        <f>VLOOKUP($B572,dongia1,DG!$G$5,)</f>
        <v>90355.896000000008</v>
      </c>
      <c r="R572" s="554"/>
      <c r="S572" s="113">
        <f t="shared" si="321"/>
        <v>0</v>
      </c>
      <c r="T572" s="113">
        <f t="shared" si="322"/>
        <v>813203.06400000001</v>
      </c>
      <c r="U572" s="557">
        <f t="shared" si="323"/>
        <v>0</v>
      </c>
    </row>
    <row r="573" spans="1:21" s="552" customFormat="1" ht="15" hidden="1" customHeight="1">
      <c r="A573" s="621"/>
      <c r="B573" s="622" t="s">
        <v>974</v>
      </c>
      <c r="C573" s="558" t="str">
        <f ca="1">C570</f>
        <v xml:space="preserve"> </v>
      </c>
      <c r="D573" s="553"/>
      <c r="E573" s="694" t="str">
        <f>VLOOKUP($B573,dongia1,DG!C$5,)</f>
        <v>Đào rãnh tiếp địa đất cấp 3</v>
      </c>
      <c r="F573" s="555" t="str">
        <f>VLOOKUP($B573,dongia1,DG!$D$5,)</f>
        <v>m3</v>
      </c>
      <c r="G573" s="205">
        <v>13.2</v>
      </c>
      <c r="H573" s="556">
        <f t="shared" ca="1" si="319"/>
        <v>0</v>
      </c>
      <c r="I573" s="556">
        <f t="shared" ca="1" si="320"/>
        <v>0</v>
      </c>
      <c r="J573" s="556">
        <f t="shared" ca="1" si="320"/>
        <v>0</v>
      </c>
      <c r="K573" s="556">
        <f t="shared" ca="1" si="320"/>
        <v>0</v>
      </c>
      <c r="L573" s="556">
        <f t="shared" ca="1" si="320"/>
        <v>0</v>
      </c>
      <c r="M573" s="556"/>
      <c r="N573" s="556">
        <f t="shared" ca="1" si="320"/>
        <v>0</v>
      </c>
      <c r="O573" s="556">
        <f t="shared" si="320"/>
        <v>0</v>
      </c>
      <c r="P573" s="554"/>
      <c r="Q573" s="182">
        <f>VLOOKUP($B573,dongia1,DG!$G$5,)</f>
        <v>283749.75</v>
      </c>
      <c r="R573" s="554"/>
      <c r="S573" s="113">
        <f t="shared" ref="S573:U574" si="325">$G573*P573</f>
        <v>0</v>
      </c>
      <c r="T573" s="113">
        <f t="shared" si="325"/>
        <v>3745496.6999999997</v>
      </c>
      <c r="U573" s="557">
        <f t="shared" si="325"/>
        <v>0</v>
      </c>
    </row>
    <row r="574" spans="1:21" s="552" customFormat="1" ht="15" hidden="1" customHeight="1">
      <c r="A574" s="621"/>
      <c r="B574" s="622" t="s">
        <v>975</v>
      </c>
      <c r="C574" s="558" t="str">
        <f ca="1">C573</f>
        <v xml:space="preserve"> </v>
      </c>
      <c r="D574" s="553"/>
      <c r="E574" s="694" t="str">
        <f>VLOOKUP($B574,dongia1,DG!C$5,)</f>
        <v>Đắp đất rãnh tiếp địa cấp 3 (độ chặt k = 0.85)</v>
      </c>
      <c r="F574" s="555" t="str">
        <f>VLOOKUP($B574,dongia1,DG!$D$5,)</f>
        <v>m3</v>
      </c>
      <c r="G574" s="205">
        <f>G573</f>
        <v>13.2</v>
      </c>
      <c r="H574" s="556">
        <f t="shared" ca="1" si="319"/>
        <v>0</v>
      </c>
      <c r="I574" s="556">
        <f t="shared" ca="1" si="320"/>
        <v>0</v>
      </c>
      <c r="J574" s="556">
        <f t="shared" ca="1" si="320"/>
        <v>0</v>
      </c>
      <c r="K574" s="556">
        <f t="shared" ca="1" si="320"/>
        <v>0</v>
      </c>
      <c r="L574" s="556">
        <f t="shared" ca="1" si="320"/>
        <v>0</v>
      </c>
      <c r="M574" s="556"/>
      <c r="N574" s="556">
        <f t="shared" ca="1" si="320"/>
        <v>0</v>
      </c>
      <c r="O574" s="556">
        <f t="shared" si="320"/>
        <v>0</v>
      </c>
      <c r="P574" s="554"/>
      <c r="Q574" s="182">
        <f>VLOOKUP($B574,dongia1,DG!$G$5,)</f>
        <v>117703.6</v>
      </c>
      <c r="R574" s="554"/>
      <c r="S574" s="113">
        <f t="shared" si="325"/>
        <v>0</v>
      </c>
      <c r="T574" s="113">
        <f t="shared" si="325"/>
        <v>1553687.52</v>
      </c>
      <c r="U574" s="557">
        <f t="shared" si="325"/>
        <v>0</v>
      </c>
    </row>
    <row r="575" spans="1:21" s="858" customFormat="1" hidden="1">
      <c r="A575" s="847"/>
      <c r="B575" s="848"/>
      <c r="C575" s="849" t="s">
        <v>309</v>
      </c>
      <c r="D575" s="850">
        <v>4</v>
      </c>
      <c r="E575" s="851" t="s">
        <v>3553</v>
      </c>
      <c r="F575" s="855"/>
      <c r="G575" s="853"/>
      <c r="H575" s="854"/>
      <c r="I575" s="932"/>
      <c r="J575" s="932"/>
      <c r="K575" s="932"/>
      <c r="L575" s="932"/>
      <c r="M575" s="932"/>
      <c r="N575" s="932"/>
      <c r="O575" s="932"/>
      <c r="P575" s="855"/>
      <c r="Q575" s="855"/>
      <c r="R575" s="855"/>
      <c r="S575" s="909">
        <f t="shared" si="321"/>
        <v>0</v>
      </c>
      <c r="T575" s="909">
        <f t="shared" si="322"/>
        <v>0</v>
      </c>
      <c r="U575" s="933">
        <f t="shared" si="323"/>
        <v>0</v>
      </c>
    </row>
    <row r="576" spans="1:21" s="552" customFormat="1" ht="15" hidden="1" customHeight="1">
      <c r="A576" s="634" t="s">
        <v>216</v>
      </c>
      <c r="B576" s="622"/>
      <c r="C576" s="558" t="str">
        <f ca="1">IF(H576&lt;&gt;0,"x"," ")</f>
        <v xml:space="preserve"> </v>
      </c>
      <c r="D576" s="553"/>
      <c r="E576" s="727" t="s">
        <v>3554</v>
      </c>
      <c r="F576" s="600" t="s">
        <v>1133</v>
      </c>
      <c r="G576" s="205"/>
      <c r="H576" s="556">
        <f ca="1">SUM(I576:N576)</f>
        <v>0</v>
      </c>
      <c r="I576" s="556">
        <f ca="1">SUMIF(BTLT3pm,$A576,slBTLT3pm)</f>
        <v>0</v>
      </c>
      <c r="J576" s="556">
        <f ca="1">SUMIF(btltct,$A576,SLBTLTCT)</f>
        <v>0</v>
      </c>
      <c r="K576" s="556">
        <f ca="1">SUMIF(BTLT3p1m,$A576,slBTLT3p1m)</f>
        <v>0</v>
      </c>
      <c r="L576" s="556">
        <f ca="1">SUMIF(BTLT1pm,$A576,slBTLT1pm)</f>
        <v>0</v>
      </c>
      <c r="M576" s="556">
        <f ca="1">SUMIF(btlththh,$A576,slbtlththh)</f>
        <v>0</v>
      </c>
      <c r="N576" s="556">
        <f ca="1">SUMIF(btlthtdl,$A576,slbtlthtdl)</f>
        <v>0</v>
      </c>
      <c r="O576" s="556"/>
      <c r="P576" s="554"/>
      <c r="Q576" s="554"/>
      <c r="R576" s="554"/>
      <c r="S576" s="601">
        <f>SUM(S577:S579)</f>
        <v>1726400</v>
      </c>
      <c r="T576" s="601">
        <f>SUM(T577:T579)</f>
        <v>52197.599999999999</v>
      </c>
      <c r="U576" s="714">
        <f>SUM(U577:U579)</f>
        <v>0</v>
      </c>
    </row>
    <row r="577" spans="1:21" s="552" customFormat="1" ht="15" hidden="1" customHeight="1">
      <c r="A577" s="621"/>
      <c r="B577" s="622" t="s">
        <v>1192</v>
      </c>
      <c r="C577" s="558" t="str">
        <f ca="1">C576</f>
        <v xml:space="preserve"> </v>
      </c>
      <c r="D577" s="553"/>
      <c r="E577" s="694" t="str">
        <f>VLOOKUP($B577,dongia1,DG!$C$5,)</f>
        <v>Trụ thép tròn cao 6 mét</v>
      </c>
      <c r="F577" s="555" t="str">
        <f>VLOOKUP($B577,dongia1,DG!$D$5,)</f>
        <v>trụ</v>
      </c>
      <c r="G577" s="205">
        <v>1</v>
      </c>
      <c r="H577" s="556">
        <f ca="1">H$576*$G577</f>
        <v>0</v>
      </c>
      <c r="I577" s="556">
        <f t="shared" ref="I577:O579" ca="1" si="326">I$576*$G577</f>
        <v>0</v>
      </c>
      <c r="J577" s="556">
        <f t="shared" ca="1" si="326"/>
        <v>0</v>
      </c>
      <c r="K577" s="556">
        <f t="shared" ca="1" si="326"/>
        <v>0</v>
      </c>
      <c r="L577" s="556">
        <f t="shared" ca="1" si="326"/>
        <v>0</v>
      </c>
      <c r="M577" s="556"/>
      <c r="N577" s="556">
        <f t="shared" ca="1" si="326"/>
        <v>0</v>
      </c>
      <c r="O577" s="556">
        <f t="shared" si="326"/>
        <v>0</v>
      </c>
      <c r="P577" s="182">
        <f>VLOOKUP($B577,dongia1,DG!$F$5,)</f>
        <v>1709000</v>
      </c>
      <c r="Q577" s="554"/>
      <c r="R577" s="554"/>
      <c r="S577" s="113">
        <f t="shared" ref="S577:U578" si="327">$G577*P577</f>
        <v>1709000</v>
      </c>
      <c r="T577" s="113">
        <f t="shared" si="327"/>
        <v>0</v>
      </c>
      <c r="U577" s="557">
        <f t="shared" si="327"/>
        <v>0</v>
      </c>
    </row>
    <row r="578" spans="1:21" s="552" customFormat="1" ht="15" hidden="1" customHeight="1">
      <c r="A578" s="621"/>
      <c r="B578" s="622" t="s">
        <v>1457</v>
      </c>
      <c r="C578" s="558" t="str">
        <f ca="1">C577</f>
        <v xml:space="preserve"> </v>
      </c>
      <c r="D578" s="553"/>
      <c r="E578" s="694" t="str">
        <f>VLOOKUP($B578,dongia1,DG!$C$5,)</f>
        <v>Vật liệu dựng trụ</v>
      </c>
      <c r="F578" s="555" t="str">
        <f>VLOOKUP($B578,dongia1,DG!$D$5,)</f>
        <v>trụ</v>
      </c>
      <c r="G578" s="205">
        <v>1</v>
      </c>
      <c r="H578" s="556">
        <f ca="1">H$576*$G578</f>
        <v>0</v>
      </c>
      <c r="I578" s="556">
        <f t="shared" ca="1" si="326"/>
        <v>0</v>
      </c>
      <c r="J578" s="556">
        <f t="shared" ca="1" si="326"/>
        <v>0</v>
      </c>
      <c r="K578" s="556">
        <f t="shared" ca="1" si="326"/>
        <v>0</v>
      </c>
      <c r="L578" s="556">
        <f t="shared" ca="1" si="326"/>
        <v>0</v>
      </c>
      <c r="M578" s="556"/>
      <c r="N578" s="556">
        <f t="shared" ca="1" si="326"/>
        <v>0</v>
      </c>
      <c r="O578" s="556">
        <f t="shared" si="326"/>
        <v>0</v>
      </c>
      <c r="P578" s="182">
        <f>VLOOKUP($B578,dongia1,DG!$F$5,)</f>
        <v>17400</v>
      </c>
      <c r="Q578" s="554"/>
      <c r="R578" s="554"/>
      <c r="S578" s="113">
        <f t="shared" si="327"/>
        <v>17400</v>
      </c>
      <c r="T578" s="113">
        <f t="shared" si="327"/>
        <v>0</v>
      </c>
      <c r="U578" s="557">
        <f t="shared" si="327"/>
        <v>0</v>
      </c>
    </row>
    <row r="579" spans="1:21" s="552" customFormat="1" ht="15" hidden="1" customHeight="1">
      <c r="A579" s="621"/>
      <c r="B579" s="622" t="s">
        <v>982</v>
      </c>
      <c r="C579" s="558" t="str">
        <f ca="1">C578</f>
        <v xml:space="preserve"> </v>
      </c>
      <c r="D579" s="553"/>
      <c r="E579" s="694" t="str">
        <f>VLOOKUP($B579,dongia1,DG!$C$5,)</f>
        <v>Lắp trụ thép ≤ 8m bằng thủ công</v>
      </c>
      <c r="F579" s="555" t="str">
        <f>VLOOKUP($B579,dongia1,DG!$D$5,)</f>
        <v>trụ</v>
      </c>
      <c r="G579" s="205">
        <v>1</v>
      </c>
      <c r="H579" s="556">
        <f ca="1">H$576*$G579</f>
        <v>0</v>
      </c>
      <c r="I579" s="556">
        <f t="shared" ca="1" si="326"/>
        <v>0</v>
      </c>
      <c r="J579" s="556">
        <f t="shared" ca="1" si="326"/>
        <v>0</v>
      </c>
      <c r="K579" s="556">
        <f t="shared" ca="1" si="326"/>
        <v>0</v>
      </c>
      <c r="L579" s="556">
        <f t="shared" ca="1" si="326"/>
        <v>0</v>
      </c>
      <c r="M579" s="556"/>
      <c r="N579" s="556">
        <f t="shared" ca="1" si="326"/>
        <v>0</v>
      </c>
      <c r="O579" s="556">
        <f t="shared" si="326"/>
        <v>0</v>
      </c>
      <c r="P579" s="554"/>
      <c r="Q579" s="603" t="str">
        <f>TEXT(VLOOKUP($B579,dongia1,DG!$G$5,),"#,##0")&amp;" x"&amp;hsdc</f>
        <v>74568,0 x0,7</v>
      </c>
      <c r="R579" s="182">
        <f>VLOOKUP($B579,dongia1,DG!$H$5,)</f>
        <v>0</v>
      </c>
      <c r="S579" s="113">
        <f>$G579*P579</f>
        <v>0</v>
      </c>
      <c r="T579" s="603">
        <f>VLOOKUP($B579,dongia1,DG!G$5,)*G579*hsdc</f>
        <v>52197.599999999999</v>
      </c>
      <c r="U579" s="557">
        <f>$G579*R579</f>
        <v>0</v>
      </c>
    </row>
    <row r="580" spans="1:21" s="552" customFormat="1" ht="15" hidden="1" customHeight="1">
      <c r="A580" s="432" t="s">
        <v>1002</v>
      </c>
      <c r="B580" s="622"/>
      <c r="C580" s="558" t="str">
        <f ca="1">IF(H580&lt;&gt;0,"x"," ")</f>
        <v xml:space="preserve"> </v>
      </c>
      <c r="D580" s="553"/>
      <c r="E580" s="727" t="s">
        <v>3555</v>
      </c>
      <c r="F580" s="600" t="s">
        <v>1133</v>
      </c>
      <c r="G580" s="205"/>
      <c r="H580" s="556">
        <f ca="1">SUM(I580:O580)</f>
        <v>0</v>
      </c>
      <c r="I580" s="556">
        <f ca="1">SUMIF(BTLT3pm,$A580,slBTLT3pm)</f>
        <v>0</v>
      </c>
      <c r="J580" s="556">
        <f ca="1">SUMIF(btltct,$A580,SLBTLTCT)</f>
        <v>0</v>
      </c>
      <c r="K580" s="556">
        <f ca="1">SUMIF(BTLT3p1m,$A580,slBTLT3p1m)</f>
        <v>0</v>
      </c>
      <c r="L580" s="556">
        <f ca="1">SUMIF(BTLT1pm,$A580,slBTLT1pm)</f>
        <v>0</v>
      </c>
      <c r="M580" s="556">
        <f ca="1">SUMIF(btlththh,$A580,slbtlththh)</f>
        <v>0</v>
      </c>
      <c r="N580" s="556">
        <f ca="1">SUMIF(btlthtdl,$A580,slbtlthtdl)</f>
        <v>0</v>
      </c>
      <c r="O580" s="556">
        <f ca="1">SUMIF(BTLTHTCS,$A580,slBTLTHTCS)</f>
        <v>0</v>
      </c>
      <c r="P580" s="554"/>
      <c r="Q580" s="554"/>
      <c r="R580" s="554"/>
      <c r="S580" s="601">
        <f>SUM(S581:S583)</f>
        <v>953764</v>
      </c>
      <c r="T580" s="601">
        <f>SUM(T581:T583)</f>
        <v>385723.8</v>
      </c>
      <c r="U580" s="602">
        <f>SUM(U581:U583)</f>
        <v>141795.29</v>
      </c>
    </row>
    <row r="581" spans="1:21" s="552" customFormat="1" ht="15" hidden="1" customHeight="1">
      <c r="A581" s="621"/>
      <c r="B581" s="622" t="s">
        <v>231</v>
      </c>
      <c r="C581" s="558" t="str">
        <f ca="1">C580</f>
        <v xml:space="preserve"> </v>
      </c>
      <c r="D581" s="553"/>
      <c r="E581" s="694" t="str">
        <f>VLOOKUP($B581,dongia1,DG!$C$5,)</f>
        <v>Trụ BTLT 7,5m F200 dự ứng lực</v>
      </c>
      <c r="F581" s="555" t="str">
        <f>VLOOKUP($B581,dongia1,DG!$D$5,)</f>
        <v>trụ</v>
      </c>
      <c r="G581" s="205">
        <v>1</v>
      </c>
      <c r="H581" s="556">
        <f ca="1">H$580*$G581</f>
        <v>0</v>
      </c>
      <c r="I581" s="556">
        <f t="shared" ref="I581:O583" ca="1" si="328">I$580*$G581</f>
        <v>0</v>
      </c>
      <c r="J581" s="556">
        <f t="shared" ca="1" si="328"/>
        <v>0</v>
      </c>
      <c r="K581" s="556">
        <f t="shared" ca="1" si="328"/>
        <v>0</v>
      </c>
      <c r="L581" s="556">
        <f t="shared" ca="1" si="328"/>
        <v>0</v>
      </c>
      <c r="M581" s="556"/>
      <c r="N581" s="556">
        <f t="shared" ca="1" si="328"/>
        <v>0</v>
      </c>
      <c r="O581" s="556">
        <f t="shared" ca="1" si="328"/>
        <v>0</v>
      </c>
      <c r="P581" s="182">
        <f>VLOOKUP($B581,dongia1,DG!$F$5,)</f>
        <v>936364</v>
      </c>
      <c r="Q581" s="554"/>
      <c r="R581" s="554"/>
      <c r="S581" s="113">
        <f t="shared" ref="S581:U582" si="329">$G581*P581</f>
        <v>936364</v>
      </c>
      <c r="T581" s="113">
        <f t="shared" si="329"/>
        <v>0</v>
      </c>
      <c r="U581" s="557">
        <f t="shared" si="329"/>
        <v>0</v>
      </c>
    </row>
    <row r="582" spans="1:21" s="552" customFormat="1" ht="15" hidden="1" customHeight="1">
      <c r="A582" s="621"/>
      <c r="B582" s="622" t="s">
        <v>1457</v>
      </c>
      <c r="C582" s="558" t="str">
        <f ca="1">C581</f>
        <v xml:space="preserve"> </v>
      </c>
      <c r="D582" s="553"/>
      <c r="E582" s="694" t="str">
        <f>VLOOKUP($B582,dongia1,DG!$C$5,)</f>
        <v>Vật liệu dựng trụ</v>
      </c>
      <c r="F582" s="555" t="str">
        <f>VLOOKUP($B582,dongia1,DG!$D$5,)</f>
        <v>trụ</v>
      </c>
      <c r="G582" s="205">
        <v>1</v>
      </c>
      <c r="H582" s="556">
        <f ca="1">H$580*$G582</f>
        <v>0</v>
      </c>
      <c r="I582" s="556">
        <f t="shared" ca="1" si="328"/>
        <v>0</v>
      </c>
      <c r="J582" s="556">
        <f t="shared" ca="1" si="328"/>
        <v>0</v>
      </c>
      <c r="K582" s="556">
        <f t="shared" ca="1" si="328"/>
        <v>0</v>
      </c>
      <c r="L582" s="556">
        <f t="shared" ca="1" si="328"/>
        <v>0</v>
      </c>
      <c r="M582" s="556"/>
      <c r="N582" s="556">
        <f t="shared" ca="1" si="328"/>
        <v>0</v>
      </c>
      <c r="O582" s="556">
        <f t="shared" ca="1" si="328"/>
        <v>0</v>
      </c>
      <c r="P582" s="182">
        <f>VLOOKUP($B582,dongia1,DG!$F$5,)</f>
        <v>17400</v>
      </c>
      <c r="Q582" s="554"/>
      <c r="R582" s="554"/>
      <c r="S582" s="113">
        <f t="shared" si="329"/>
        <v>17400</v>
      </c>
      <c r="T582" s="113">
        <f t="shared" si="329"/>
        <v>0</v>
      </c>
      <c r="U582" s="557">
        <f t="shared" si="329"/>
        <v>0</v>
      </c>
    </row>
    <row r="583" spans="1:21" s="552" customFormat="1" ht="15" hidden="1" customHeight="1">
      <c r="A583" s="621"/>
      <c r="B583" s="622" t="s">
        <v>924</v>
      </c>
      <c r="C583" s="558" t="str">
        <f ca="1">C582</f>
        <v xml:space="preserve"> </v>
      </c>
      <c r="D583" s="553"/>
      <c r="E583" s="694" t="str">
        <f>VLOOKUP($B583,dongia1,DG!$C$5,)</f>
        <v>Dựng trụ BTLT &lt;10m thủ công +cơ giới (cẩu)</v>
      </c>
      <c r="F583" s="555" t="str">
        <f>VLOOKUP($B583,dongia1,DG!$D$5,)</f>
        <v>trụ</v>
      </c>
      <c r="G583" s="205">
        <v>1</v>
      </c>
      <c r="H583" s="556">
        <f ca="1">H$580*$G583</f>
        <v>0</v>
      </c>
      <c r="I583" s="556">
        <f t="shared" ca="1" si="328"/>
        <v>0</v>
      </c>
      <c r="J583" s="556">
        <f t="shared" ca="1" si="328"/>
        <v>0</v>
      </c>
      <c r="K583" s="556">
        <f t="shared" ca="1" si="328"/>
        <v>0</v>
      </c>
      <c r="L583" s="556">
        <f t="shared" ca="1" si="328"/>
        <v>0</v>
      </c>
      <c r="M583" s="556"/>
      <c r="N583" s="556">
        <f t="shared" ca="1" si="328"/>
        <v>0</v>
      </c>
      <c r="O583" s="556">
        <f t="shared" ca="1" si="328"/>
        <v>0</v>
      </c>
      <c r="P583" s="554"/>
      <c r="Q583" s="603" t="str">
        <f>TEXT(VLOOKUP($B583,dongia1,DG!$G$5,),"#,##0")&amp;" x"&amp;hsdc</f>
        <v>551034,0 x0,7</v>
      </c>
      <c r="R583" s="182">
        <f>VLOOKUP($B583,dongia1,DG!$H$5,)</f>
        <v>141795.29</v>
      </c>
      <c r="S583" s="113">
        <f>$G583*P583</f>
        <v>0</v>
      </c>
      <c r="T583" s="603">
        <f>VLOOKUP($B583,dongia1,DG!G$5,)*G583*hsdc</f>
        <v>385723.8</v>
      </c>
      <c r="U583" s="557">
        <f>$G583*R583</f>
        <v>141795.29</v>
      </c>
    </row>
    <row r="584" spans="1:21" s="610" customFormat="1" ht="14.25" hidden="1" customHeight="1">
      <c r="A584" s="639" t="s">
        <v>816</v>
      </c>
      <c r="B584" s="636"/>
      <c r="C584" s="637" t="str">
        <f ca="1">IF(H584&lt;&gt;0,"x"," ")</f>
        <v xml:space="preserve"> </v>
      </c>
      <c r="D584" s="599"/>
      <c r="E584" s="727" t="s">
        <v>3556</v>
      </c>
      <c r="F584" s="600" t="s">
        <v>1133</v>
      </c>
      <c r="G584" s="604"/>
      <c r="H584" s="605">
        <f ca="1">SUM(I584:O584)</f>
        <v>0</v>
      </c>
      <c r="I584" s="605">
        <f ca="1">SUMIF(BTLT3pm,$A584,slBTLT3pm)</f>
        <v>0</v>
      </c>
      <c r="J584" s="605">
        <f ca="1">SUMIF(btltct,$A584,SLBTLTCT)</f>
        <v>0</v>
      </c>
      <c r="K584" s="605">
        <f ca="1">SUMIF(BTLT3p1m,$A584,slBTLT3p1m)</f>
        <v>0</v>
      </c>
      <c r="L584" s="605">
        <f ca="1">SUMIF(BTLT1pm,$A584,slBTLT1pm)</f>
        <v>0</v>
      </c>
      <c r="M584" s="605">
        <f ca="1">SUMIF(btlththh,$A584,slbtlththh)</f>
        <v>0</v>
      </c>
      <c r="N584" s="605">
        <f ca="1">SUMIF(btlthtdl,$A584,slbtlthtdl)</f>
        <v>0</v>
      </c>
      <c r="O584" s="605">
        <f ca="1">SUMIF(BTLTHTCS,$A584,slBTLTHTCS)</f>
        <v>0</v>
      </c>
      <c r="P584" s="606"/>
      <c r="Q584" s="606"/>
      <c r="R584" s="606"/>
      <c r="S584" s="601">
        <f>SUM(S585:S587)</f>
        <v>1181036</v>
      </c>
      <c r="T584" s="601">
        <f>SUM(T585:T587)</f>
        <v>551034</v>
      </c>
      <c r="U584" s="602">
        <f>SUM(U585:U587)</f>
        <v>141795.29</v>
      </c>
    </row>
    <row r="585" spans="1:21" s="552" customFormat="1" ht="15" hidden="1" customHeight="1">
      <c r="A585" s="621"/>
      <c r="B585" s="622" t="s">
        <v>337</v>
      </c>
      <c r="C585" s="558" t="str">
        <f ca="1">C584</f>
        <v xml:space="preserve"> </v>
      </c>
      <c r="D585" s="553"/>
      <c r="E585" s="694" t="str">
        <f>VLOOKUP($B585,dongia1,DG!$C$5,)</f>
        <v>Trụ BTLT 8,5m F300 dự ứng lực</v>
      </c>
      <c r="F585" s="555" t="str">
        <f>VLOOKUP($B585,dongia1,DG!$D$5,)</f>
        <v>trụ</v>
      </c>
      <c r="G585" s="205">
        <v>1</v>
      </c>
      <c r="H585" s="556">
        <f ca="1">H$584*$G585</f>
        <v>0</v>
      </c>
      <c r="I585" s="556">
        <f t="shared" ref="I585:O587" ca="1" si="330">I$584*$G585</f>
        <v>0</v>
      </c>
      <c r="J585" s="556">
        <f t="shared" ca="1" si="330"/>
        <v>0</v>
      </c>
      <c r="K585" s="556">
        <f t="shared" ca="1" si="330"/>
        <v>0</v>
      </c>
      <c r="L585" s="556">
        <f t="shared" ca="1" si="330"/>
        <v>0</v>
      </c>
      <c r="M585" s="556">
        <f ca="1">G585*$M$584</f>
        <v>0</v>
      </c>
      <c r="N585" s="556">
        <f t="shared" ca="1" si="330"/>
        <v>0</v>
      </c>
      <c r="O585" s="556">
        <f t="shared" ca="1" si="330"/>
        <v>0</v>
      </c>
      <c r="P585" s="182">
        <f>VLOOKUP($B585,dongia1,DG!$F$5,)</f>
        <v>1163636</v>
      </c>
      <c r="Q585" s="554"/>
      <c r="R585" s="554"/>
      <c r="S585" s="113">
        <f t="shared" ref="S585:U587" si="331">$G585*P585</f>
        <v>1163636</v>
      </c>
      <c r="T585" s="113">
        <f t="shared" si="331"/>
        <v>0</v>
      </c>
      <c r="U585" s="557">
        <f t="shared" si="331"/>
        <v>0</v>
      </c>
    </row>
    <row r="586" spans="1:21" s="552" customFormat="1" ht="15" hidden="1" customHeight="1">
      <c r="A586" s="621"/>
      <c r="B586" s="622" t="s">
        <v>1457</v>
      </c>
      <c r="C586" s="558" t="str">
        <f ca="1">C585</f>
        <v xml:space="preserve"> </v>
      </c>
      <c r="D586" s="553"/>
      <c r="E586" s="694" t="str">
        <f>VLOOKUP($B586,dongia1,DG!$C$5,)</f>
        <v>Vật liệu dựng trụ</v>
      </c>
      <c r="F586" s="555" t="str">
        <f>VLOOKUP($B586,dongia1,DG!$D$5,)</f>
        <v>trụ</v>
      </c>
      <c r="G586" s="205">
        <v>1</v>
      </c>
      <c r="H586" s="556">
        <f ca="1">H$584*$G586</f>
        <v>0</v>
      </c>
      <c r="I586" s="556">
        <f t="shared" ca="1" si="330"/>
        <v>0</v>
      </c>
      <c r="J586" s="556">
        <f t="shared" ca="1" si="330"/>
        <v>0</v>
      </c>
      <c r="K586" s="556">
        <f t="shared" ca="1" si="330"/>
        <v>0</v>
      </c>
      <c r="L586" s="556">
        <f t="shared" ca="1" si="330"/>
        <v>0</v>
      </c>
      <c r="M586" s="556">
        <f ca="1">G586*$M$584</f>
        <v>0</v>
      </c>
      <c r="N586" s="556">
        <f t="shared" ca="1" si="330"/>
        <v>0</v>
      </c>
      <c r="O586" s="556">
        <f t="shared" ca="1" si="330"/>
        <v>0</v>
      </c>
      <c r="P586" s="182">
        <f>VLOOKUP($B586,dongia1,DG!$F$5,)</f>
        <v>17400</v>
      </c>
      <c r="Q586" s="554"/>
      <c r="R586" s="554"/>
      <c r="S586" s="113">
        <f t="shared" si="331"/>
        <v>17400</v>
      </c>
      <c r="T586" s="113">
        <f t="shared" si="331"/>
        <v>0</v>
      </c>
      <c r="U586" s="557">
        <f t="shared" si="331"/>
        <v>0</v>
      </c>
    </row>
    <row r="587" spans="1:21" s="552" customFormat="1" ht="15" hidden="1" customHeight="1">
      <c r="A587" s="621"/>
      <c r="B587" s="622" t="s">
        <v>924</v>
      </c>
      <c r="C587" s="558" t="str">
        <f ca="1">C586</f>
        <v xml:space="preserve"> </v>
      </c>
      <c r="D587" s="553"/>
      <c r="E587" s="694" t="str">
        <f>VLOOKUP($B587,dongia1,DG!$C$5,)</f>
        <v>Dựng trụ BTLT &lt;10m thủ công +cơ giới (cẩu)</v>
      </c>
      <c r="F587" s="555" t="str">
        <f>VLOOKUP($B587,dongia1,DG!$D$5,)</f>
        <v>trụ</v>
      </c>
      <c r="G587" s="205">
        <v>1</v>
      </c>
      <c r="H587" s="556">
        <f ca="1">H$584*$G587</f>
        <v>0</v>
      </c>
      <c r="I587" s="556">
        <f t="shared" ca="1" si="330"/>
        <v>0</v>
      </c>
      <c r="J587" s="556">
        <f t="shared" ca="1" si="330"/>
        <v>0</v>
      </c>
      <c r="K587" s="556">
        <f t="shared" ca="1" si="330"/>
        <v>0</v>
      </c>
      <c r="L587" s="556">
        <f t="shared" ca="1" si="330"/>
        <v>0</v>
      </c>
      <c r="M587" s="556">
        <f ca="1">G587*$M$584</f>
        <v>0</v>
      </c>
      <c r="N587" s="556">
        <f t="shared" ca="1" si="330"/>
        <v>0</v>
      </c>
      <c r="O587" s="556">
        <f t="shared" ca="1" si="330"/>
        <v>0</v>
      </c>
      <c r="P587" s="554"/>
      <c r="Q587" s="603">
        <f>VLOOKUP($B587,dongia1,DG!$G$5,)</f>
        <v>551034</v>
      </c>
      <c r="R587" s="182">
        <f>VLOOKUP($B587,dongia1,DG!$H$5,)</f>
        <v>141795.29</v>
      </c>
      <c r="S587" s="113">
        <f>$G587*P587</f>
        <v>0</v>
      </c>
      <c r="T587" s="113">
        <f t="shared" si="331"/>
        <v>551034</v>
      </c>
      <c r="U587" s="718">
        <f>$G587*R587</f>
        <v>141795.29</v>
      </c>
    </row>
    <row r="588" spans="1:21" s="552" customFormat="1" ht="15" hidden="1" customHeight="1">
      <c r="A588" s="432" t="s">
        <v>897</v>
      </c>
      <c r="B588" s="622" t="s">
        <v>1001</v>
      </c>
      <c r="C588" s="558" t="str">
        <f ca="1">IF(H588&lt;&gt;0,"x"," ")</f>
        <v xml:space="preserve"> </v>
      </c>
      <c r="D588" s="553"/>
      <c r="E588" s="727" t="s">
        <v>3557</v>
      </c>
      <c r="F588" s="600" t="s">
        <v>1133</v>
      </c>
      <c r="G588" s="205"/>
      <c r="H588" s="556">
        <f ca="1">SUM(I588:O588)</f>
        <v>0</v>
      </c>
      <c r="I588" s="556">
        <f ca="1">SUMIF(BTLT3pm,$A588,slBTLT3pm)</f>
        <v>0</v>
      </c>
      <c r="J588" s="556">
        <f ca="1">SUMIF(btltct,$A588,SLBTLTCT)</f>
        <v>0</v>
      </c>
      <c r="K588" s="556">
        <f ca="1">SUMIF(BTLT3p1m,$A588,slBTLT3p1m)</f>
        <v>0</v>
      </c>
      <c r="L588" s="556">
        <f ca="1">SUMIF(BTLT1pm,$A588,slBTLT1pm)</f>
        <v>0</v>
      </c>
      <c r="M588" s="556">
        <f ca="1">SUMIF(btlththh,$A588,slbtlththh)</f>
        <v>0</v>
      </c>
      <c r="N588" s="556">
        <f ca="1">SUMIF(btlthtdl,$A588,slbtlthtdl)</f>
        <v>0</v>
      </c>
      <c r="O588" s="556">
        <f ca="1">SUMIF(BTLTHTCS,$A588,slBTLTHTCS)</f>
        <v>0</v>
      </c>
      <c r="P588" s="554"/>
      <c r="Q588" s="554"/>
      <c r="R588" s="554"/>
      <c r="S588" s="601">
        <f>SUM(S589:S590)</f>
        <v>17400</v>
      </c>
      <c r="T588" s="601">
        <f>SUM(T589:T590)</f>
        <v>385723.8</v>
      </c>
      <c r="U588" s="714">
        <f>SUM(U589:U590)</f>
        <v>141795.29</v>
      </c>
    </row>
    <row r="589" spans="1:21" s="552" customFormat="1" ht="15" hidden="1" customHeight="1">
      <c r="A589" s="621"/>
      <c r="B589" s="622" t="s">
        <v>1457</v>
      </c>
      <c r="C589" s="558" t="str">
        <f ca="1">C588</f>
        <v xml:space="preserve"> </v>
      </c>
      <c r="D589" s="553"/>
      <c r="E589" s="694" t="s">
        <v>3688</v>
      </c>
      <c r="F589" s="555"/>
      <c r="G589" s="205">
        <v>1</v>
      </c>
      <c r="H589" s="556">
        <f ca="1">H$588*$G589</f>
        <v>0</v>
      </c>
      <c r="I589" s="556">
        <f t="shared" ref="I589:O590" ca="1" si="332">I$588*$G589</f>
        <v>0</v>
      </c>
      <c r="J589" s="556">
        <f t="shared" ca="1" si="332"/>
        <v>0</v>
      </c>
      <c r="K589" s="556">
        <f t="shared" ca="1" si="332"/>
        <v>0</v>
      </c>
      <c r="L589" s="556">
        <f t="shared" ca="1" si="332"/>
        <v>0</v>
      </c>
      <c r="M589" s="556"/>
      <c r="N589" s="556">
        <f t="shared" ca="1" si="332"/>
        <v>0</v>
      </c>
      <c r="O589" s="556">
        <f t="shared" ca="1" si="332"/>
        <v>0</v>
      </c>
      <c r="P589" s="182">
        <f>VLOOKUP($B589,dongia1,DG!$F$5,)</f>
        <v>17400</v>
      </c>
      <c r="Q589" s="554"/>
      <c r="R589" s="554"/>
      <c r="S589" s="113">
        <f>$G589*P589</f>
        <v>17400</v>
      </c>
      <c r="T589" s="113">
        <f>$G589*Q589</f>
        <v>0</v>
      </c>
      <c r="U589" s="557">
        <f>$G589*R589</f>
        <v>0</v>
      </c>
    </row>
    <row r="590" spans="1:21" s="552" customFormat="1" ht="15" hidden="1" customHeight="1">
      <c r="A590" s="621"/>
      <c r="B590" s="622" t="s">
        <v>924</v>
      </c>
      <c r="C590" s="558" t="str">
        <f ca="1">+C588</f>
        <v xml:space="preserve"> </v>
      </c>
      <c r="D590" s="553"/>
      <c r="E590" s="694" t="s">
        <v>3689</v>
      </c>
      <c r="F590" s="555" t="str">
        <f>VLOOKUP($B590,dongia1,DG!$D$5,)</f>
        <v>trụ</v>
      </c>
      <c r="G590" s="205">
        <v>1</v>
      </c>
      <c r="H590" s="556">
        <f ca="1">H$588*$G590</f>
        <v>0</v>
      </c>
      <c r="I590" s="556">
        <f t="shared" ca="1" si="332"/>
        <v>0</v>
      </c>
      <c r="J590" s="556">
        <f t="shared" ca="1" si="332"/>
        <v>0</v>
      </c>
      <c r="K590" s="556">
        <f t="shared" ca="1" si="332"/>
        <v>0</v>
      </c>
      <c r="L590" s="556">
        <f t="shared" ca="1" si="332"/>
        <v>0</v>
      </c>
      <c r="M590" s="556"/>
      <c r="N590" s="556">
        <f t="shared" ca="1" si="332"/>
        <v>0</v>
      </c>
      <c r="O590" s="556">
        <f t="shared" ca="1" si="332"/>
        <v>0</v>
      </c>
      <c r="P590" s="554"/>
      <c r="Q590" s="603" t="str">
        <f>TEXT(VLOOKUP($B590,dongia1,DG!$G$5,),"#,##0")&amp;" x"&amp;hsdc</f>
        <v>551034,0 x0,7</v>
      </c>
      <c r="R590" s="182">
        <f>VLOOKUP($B590,dongia1,DG!$H$5,)</f>
        <v>141795.29</v>
      </c>
      <c r="S590" s="113">
        <f>$G590*P590</f>
        <v>0</v>
      </c>
      <c r="T590" s="603">
        <f>VLOOKUP($B590,dongia1,DG!G$5,)*G590*hsdc</f>
        <v>385723.8</v>
      </c>
      <c r="U590" s="557">
        <f>$G590*R590</f>
        <v>141795.29</v>
      </c>
    </row>
    <row r="591" spans="1:21" s="552" customFormat="1" ht="15" hidden="1" customHeight="1">
      <c r="A591" s="634" t="s">
        <v>349</v>
      </c>
      <c r="B591" s="622"/>
      <c r="C591" s="558" t="str">
        <f ca="1">IF(H591&lt;&gt;0,"x"," ")</f>
        <v xml:space="preserve"> </v>
      </c>
      <c r="D591" s="553"/>
      <c r="E591" s="727" t="s">
        <v>3558</v>
      </c>
      <c r="F591" s="600" t="s">
        <v>1133</v>
      </c>
      <c r="G591" s="205"/>
      <c r="H591" s="556">
        <f ca="1">SUM(I591:O591)</f>
        <v>0</v>
      </c>
      <c r="I591" s="556">
        <f ca="1">SUMIF(BTLT3pm,$A591,slBTLT3pm)</f>
        <v>0</v>
      </c>
      <c r="J591" s="556">
        <f ca="1">SUMIF(btltct,$A591,SLBTLTCT)</f>
        <v>0</v>
      </c>
      <c r="K591" s="556">
        <f ca="1">SUMIF(btltct,$A591,SLBTLTCT)</f>
        <v>0</v>
      </c>
      <c r="L591" s="556">
        <f ca="1">SUMIF(BTLT1pm,$A591,slBTLT1pm)</f>
        <v>0</v>
      </c>
      <c r="M591" s="556">
        <f ca="1">SUMIF(btlththh,$A591,slbtlththh)</f>
        <v>0</v>
      </c>
      <c r="N591" s="556">
        <f ca="1">SUMIF(btlthtdl,$A591,slbtlthtdl)</f>
        <v>0</v>
      </c>
      <c r="O591" s="556">
        <f ca="1">SUMIF(BTLTHTCS,$A591,slBTLTHTCS)</f>
        <v>0</v>
      </c>
      <c r="P591" s="554"/>
      <c r="Q591" s="554"/>
      <c r="R591" s="554"/>
      <c r="S591" s="601">
        <f>SUM(S592:S595)</f>
        <v>34800</v>
      </c>
      <c r="T591" s="601">
        <f>SUM(T592:T595)</f>
        <v>771447.6</v>
      </c>
      <c r="U591" s="602">
        <f>SUM(U592:U595)</f>
        <v>283590.58</v>
      </c>
    </row>
    <row r="592" spans="1:21" s="552" customFormat="1" ht="15" hidden="1" customHeight="1">
      <c r="A592" s="621"/>
      <c r="B592" s="622" t="s">
        <v>1457</v>
      </c>
      <c r="C592" s="558" t="str">
        <f ca="1">C591</f>
        <v xml:space="preserve"> </v>
      </c>
      <c r="D592" s="553"/>
      <c r="E592" s="694" t="s">
        <v>3688</v>
      </c>
      <c r="F592" s="555" t="str">
        <f>VLOOKUP($B592,dongia1,DG!$D$5,)</f>
        <v>trụ</v>
      </c>
      <c r="G592" s="205">
        <v>1</v>
      </c>
      <c r="H592" s="556">
        <f ca="1">H$591*$G592</f>
        <v>0</v>
      </c>
      <c r="I592" s="556">
        <f t="shared" ref="I592:O595" ca="1" si="333">I$591*$G592</f>
        <v>0</v>
      </c>
      <c r="J592" s="556">
        <f t="shared" ca="1" si="333"/>
        <v>0</v>
      </c>
      <c r="K592" s="556">
        <f t="shared" ca="1" si="333"/>
        <v>0</v>
      </c>
      <c r="L592" s="556">
        <f t="shared" ca="1" si="333"/>
        <v>0</v>
      </c>
      <c r="M592" s="556"/>
      <c r="N592" s="556">
        <f t="shared" ca="1" si="333"/>
        <v>0</v>
      </c>
      <c r="O592" s="556">
        <f t="shared" ca="1" si="333"/>
        <v>0</v>
      </c>
      <c r="P592" s="182">
        <f>VLOOKUP($B592,dongia1,DG!$F$5,)</f>
        <v>17400</v>
      </c>
      <c r="Q592" s="554"/>
      <c r="R592" s="554"/>
      <c r="S592" s="113">
        <f>$G592*P592</f>
        <v>17400</v>
      </c>
      <c r="T592" s="113">
        <f>$G592*Q592</f>
        <v>0</v>
      </c>
      <c r="U592" s="557">
        <f>$G592*R592</f>
        <v>0</v>
      </c>
    </row>
    <row r="593" spans="1:21" s="552" customFormat="1" ht="15" hidden="1" customHeight="1">
      <c r="A593" s="621"/>
      <c r="B593" s="622" t="s">
        <v>924</v>
      </c>
      <c r="C593" s="558" t="str">
        <f ca="1">C592</f>
        <v xml:space="preserve"> </v>
      </c>
      <c r="D593" s="553"/>
      <c r="E593" s="694" t="s">
        <v>3689</v>
      </c>
      <c r="F593" s="555" t="str">
        <f>VLOOKUP($B593,dongia1,DG!$D$5,)</f>
        <v>trụ</v>
      </c>
      <c r="G593" s="205">
        <v>1</v>
      </c>
      <c r="H593" s="556">
        <f ca="1">H$591*$G593</f>
        <v>0</v>
      </c>
      <c r="I593" s="556">
        <f t="shared" ca="1" si="333"/>
        <v>0</v>
      </c>
      <c r="J593" s="556">
        <f t="shared" ca="1" si="333"/>
        <v>0</v>
      </c>
      <c r="K593" s="556">
        <f t="shared" ca="1" si="333"/>
        <v>0</v>
      </c>
      <c r="L593" s="556">
        <f t="shared" ca="1" si="333"/>
        <v>0</v>
      </c>
      <c r="M593" s="556"/>
      <c r="N593" s="556">
        <f t="shared" ca="1" si="333"/>
        <v>0</v>
      </c>
      <c r="O593" s="556">
        <f t="shared" ca="1" si="333"/>
        <v>0</v>
      </c>
      <c r="P593" s="554"/>
      <c r="Q593" s="603" t="str">
        <f>TEXT(VLOOKUP($B593,dongia1,DG!$G$5,),"#,##0")&amp;" x"&amp;hsdc</f>
        <v>551034,0 x0,7</v>
      </c>
      <c r="R593" s="182">
        <f>VLOOKUP($B593,dongia1,DG!$H$5,)</f>
        <v>141795.29</v>
      </c>
      <c r="S593" s="113">
        <f>$G593*P593</f>
        <v>0</v>
      </c>
      <c r="T593" s="603">
        <f>VLOOKUP($B593,dongia1,DG!G$5,)*G593*hsdc</f>
        <v>385723.8</v>
      </c>
      <c r="U593" s="557">
        <f>$G593*R593</f>
        <v>141795.29</v>
      </c>
    </row>
    <row r="594" spans="1:21" s="552" customFormat="1" ht="15" hidden="1" customHeight="1">
      <c r="A594" s="621"/>
      <c r="B594" s="622" t="s">
        <v>1457</v>
      </c>
      <c r="C594" s="558" t="str">
        <f ca="1">C592</f>
        <v xml:space="preserve"> </v>
      </c>
      <c r="D594" s="553"/>
      <c r="E594" s="694" t="str">
        <f>VLOOKUP($B594,dongia1,DG!$C$5,)</f>
        <v>Vật liệu dựng trụ</v>
      </c>
      <c r="F594" s="555" t="str">
        <f>VLOOKUP($B594,dongia1,DG!$D$5,)</f>
        <v>trụ</v>
      </c>
      <c r="G594" s="205">
        <v>1</v>
      </c>
      <c r="H594" s="556">
        <f ca="1">H$591*$G594</f>
        <v>0</v>
      </c>
      <c r="I594" s="556">
        <f t="shared" ca="1" si="333"/>
        <v>0</v>
      </c>
      <c r="J594" s="556">
        <f t="shared" ca="1" si="333"/>
        <v>0</v>
      </c>
      <c r="K594" s="556">
        <f t="shared" ca="1" si="333"/>
        <v>0</v>
      </c>
      <c r="L594" s="556">
        <f t="shared" ca="1" si="333"/>
        <v>0</v>
      </c>
      <c r="M594" s="556"/>
      <c r="N594" s="556">
        <f t="shared" ca="1" si="333"/>
        <v>0</v>
      </c>
      <c r="O594" s="556">
        <f t="shared" ca="1" si="333"/>
        <v>0</v>
      </c>
      <c r="P594" s="182">
        <f>VLOOKUP($B594,dongia1,DG!$F$5,)</f>
        <v>17400</v>
      </c>
      <c r="Q594" s="603"/>
      <c r="R594" s="182"/>
      <c r="S594" s="113">
        <f>$G594*P594</f>
        <v>17400</v>
      </c>
      <c r="T594" s="603">
        <f>VLOOKUP($B594,dongia1,DG!G$5,)*G594*hsdc</f>
        <v>0</v>
      </c>
      <c r="U594" s="557">
        <f>$G594*R594</f>
        <v>0</v>
      </c>
    </row>
    <row r="595" spans="1:21" s="552" customFormat="1" ht="15" hidden="1" customHeight="1">
      <c r="A595" s="621"/>
      <c r="B595" s="622" t="s">
        <v>924</v>
      </c>
      <c r="C595" s="558" t="str">
        <f ca="1">C593</f>
        <v xml:space="preserve"> </v>
      </c>
      <c r="D595" s="553"/>
      <c r="E595" s="694" t="str">
        <f>VLOOKUP($B595,dongia1,DG!$C$5,)</f>
        <v>Dựng trụ BTLT &lt;10m thủ công +cơ giới (cẩu)</v>
      </c>
      <c r="F595" s="555" t="str">
        <f>VLOOKUP($B595,dongia1,DG!$D$5,)</f>
        <v>trụ</v>
      </c>
      <c r="G595" s="205">
        <v>1</v>
      </c>
      <c r="H595" s="556">
        <f ca="1">H$591*$G595</f>
        <v>0</v>
      </c>
      <c r="I595" s="556">
        <f t="shared" ca="1" si="333"/>
        <v>0</v>
      </c>
      <c r="J595" s="556">
        <f t="shared" ca="1" si="333"/>
        <v>0</v>
      </c>
      <c r="K595" s="556">
        <f t="shared" ca="1" si="333"/>
        <v>0</v>
      </c>
      <c r="L595" s="556">
        <f t="shared" ca="1" si="333"/>
        <v>0</v>
      </c>
      <c r="M595" s="556"/>
      <c r="N595" s="556">
        <f t="shared" ca="1" si="333"/>
        <v>0</v>
      </c>
      <c r="O595" s="556">
        <f t="shared" ca="1" si="333"/>
        <v>0</v>
      </c>
      <c r="P595" s="554"/>
      <c r="Q595" s="603" t="str">
        <f>TEXT(VLOOKUP($B595,dongia1,DG!$G$5,),"#,##0")&amp;" x"&amp;hsdc</f>
        <v>551034,0 x0,7</v>
      </c>
      <c r="R595" s="182">
        <f>VLOOKUP($B595,dongia1,DG!$H$5,)</f>
        <v>141795.29</v>
      </c>
      <c r="S595" s="113">
        <f>$G595*P595</f>
        <v>0</v>
      </c>
      <c r="T595" s="603">
        <f>VLOOKUP($B595,dongia1,DG!G$5,)*G595*hsdc</f>
        <v>385723.8</v>
      </c>
      <c r="U595" s="557">
        <f>$G595*R595</f>
        <v>141795.29</v>
      </c>
    </row>
    <row r="596" spans="1:21" s="610" customFormat="1" ht="14.25" hidden="1" customHeight="1">
      <c r="A596" s="640" t="s">
        <v>621</v>
      </c>
      <c r="B596" s="636"/>
      <c r="C596" s="637" t="str">
        <f ca="1">IF(H596&lt;&gt;0,"x"," ")</f>
        <v xml:space="preserve"> </v>
      </c>
      <c r="D596" s="599"/>
      <c r="E596" s="727" t="s">
        <v>3559</v>
      </c>
      <c r="F596" s="600" t="s">
        <v>1133</v>
      </c>
      <c r="G596" s="604"/>
      <c r="H596" s="605">
        <f ca="1">SUM(I596:O596)</f>
        <v>0</v>
      </c>
      <c r="I596" s="605">
        <f ca="1">SUMIF(BTLT3pm,$A596,slBTLT3pm)</f>
        <v>0</v>
      </c>
      <c r="J596" s="605">
        <f ca="1">SUMIF(btltct,$A596,SLBTLTCT)</f>
        <v>0</v>
      </c>
      <c r="K596" s="605">
        <f ca="1">SUMIF(BTLT3p1m,$A596,slBTLT3p1m)</f>
        <v>0</v>
      </c>
      <c r="L596" s="605">
        <f ca="1">SUMIF(BTLT1pm,$A596,slBTLT1pm)</f>
        <v>0</v>
      </c>
      <c r="M596" s="605">
        <f ca="1">SUMIF(btlththh,$A596,slbtlththh)</f>
        <v>0</v>
      </c>
      <c r="N596" s="605">
        <f ca="1">SUMIF(btlthtdl,$A596,slbtlthtdl)</f>
        <v>0</v>
      </c>
      <c r="O596" s="605">
        <f ca="1">SUMIF(BTLTHTCS,$A596,slBTLTHTCS)</f>
        <v>0</v>
      </c>
      <c r="P596" s="606"/>
      <c r="Q596" s="606"/>
      <c r="R596" s="606"/>
      <c r="S596" s="601">
        <f>SUM(S597:S599)</f>
        <v>4217400</v>
      </c>
      <c r="T596" s="601">
        <f>SUM(T597:T599)</f>
        <v>551034</v>
      </c>
      <c r="U596" s="602">
        <f>SUM(U597:U599)</f>
        <v>141795.29</v>
      </c>
    </row>
    <row r="597" spans="1:21" s="552" customFormat="1" ht="15" hidden="1" customHeight="1">
      <c r="A597" s="621"/>
      <c r="B597" s="622" t="s">
        <v>1011</v>
      </c>
      <c r="C597" s="558" t="str">
        <f ca="1">C596</f>
        <v xml:space="preserve"> </v>
      </c>
      <c r="D597" s="553"/>
      <c r="E597" s="694" t="str">
        <f>VLOOKUP($B597,dongia1,DG!$C$5,)</f>
        <v>Trụ BTLT 10,5m F350 dự ứng lực</v>
      </c>
      <c r="F597" s="555" t="str">
        <f>VLOOKUP($B597,dongia1,DG!$D$5,)</f>
        <v>trụ</v>
      </c>
      <c r="G597" s="205">
        <v>1</v>
      </c>
      <c r="H597" s="556">
        <f ca="1">H$596*$G597</f>
        <v>0</v>
      </c>
      <c r="I597" s="556">
        <f t="shared" ref="I597:O599" ca="1" si="334">I$596*$G597</f>
        <v>0</v>
      </c>
      <c r="J597" s="556">
        <f t="shared" ca="1" si="334"/>
        <v>0</v>
      </c>
      <c r="K597" s="556">
        <f t="shared" ca="1" si="334"/>
        <v>0</v>
      </c>
      <c r="L597" s="556">
        <f t="shared" ca="1" si="334"/>
        <v>0</v>
      </c>
      <c r="M597" s="556">
        <f ca="1">G597*$M$596</f>
        <v>0</v>
      </c>
      <c r="N597" s="556">
        <f t="shared" ca="1" si="334"/>
        <v>0</v>
      </c>
      <c r="O597" s="556">
        <f t="shared" ca="1" si="334"/>
        <v>0</v>
      </c>
      <c r="P597" s="182">
        <f>VLOOKUP($B597,dongia1,DG!$F$5,)</f>
        <v>4200000</v>
      </c>
      <c r="Q597" s="554"/>
      <c r="R597" s="554"/>
      <c r="S597" s="113">
        <f t="shared" ref="S597:U599" si="335">$G597*P597</f>
        <v>4200000</v>
      </c>
      <c r="T597" s="113">
        <f t="shared" si="335"/>
        <v>0</v>
      </c>
      <c r="U597" s="557">
        <f t="shared" si="335"/>
        <v>0</v>
      </c>
    </row>
    <row r="598" spans="1:21" s="552" customFormat="1" ht="15" hidden="1" customHeight="1">
      <c r="A598" s="621"/>
      <c r="B598" s="622" t="s">
        <v>1457</v>
      </c>
      <c r="C598" s="558" t="str">
        <f ca="1">C597</f>
        <v xml:space="preserve"> </v>
      </c>
      <c r="D598" s="553"/>
      <c r="E598" s="694" t="str">
        <f>VLOOKUP($B598,dongia1,DG!$C$5,)</f>
        <v>Vật liệu dựng trụ</v>
      </c>
      <c r="F598" s="555" t="str">
        <f>VLOOKUP($B598,dongia1,DG!$D$5,)</f>
        <v>trụ</v>
      </c>
      <c r="G598" s="205">
        <v>1</v>
      </c>
      <c r="H598" s="556">
        <f ca="1">H$596*$G598</f>
        <v>0</v>
      </c>
      <c r="I598" s="556">
        <f t="shared" ca="1" si="334"/>
        <v>0</v>
      </c>
      <c r="J598" s="556">
        <f t="shared" ca="1" si="334"/>
        <v>0</v>
      </c>
      <c r="K598" s="556">
        <f t="shared" ca="1" si="334"/>
        <v>0</v>
      </c>
      <c r="L598" s="556">
        <f t="shared" ca="1" si="334"/>
        <v>0</v>
      </c>
      <c r="M598" s="556">
        <f ca="1">G598*$M$596</f>
        <v>0</v>
      </c>
      <c r="N598" s="556">
        <f t="shared" ca="1" si="334"/>
        <v>0</v>
      </c>
      <c r="O598" s="556">
        <f t="shared" ca="1" si="334"/>
        <v>0</v>
      </c>
      <c r="P598" s="182">
        <f>VLOOKUP($B598,dongia1,DG!$F$5,)</f>
        <v>17400</v>
      </c>
      <c r="Q598" s="554"/>
      <c r="R598" s="554"/>
      <c r="S598" s="113">
        <f t="shared" si="335"/>
        <v>17400</v>
      </c>
      <c r="T598" s="113">
        <f t="shared" si="335"/>
        <v>0</v>
      </c>
      <c r="U598" s="557">
        <f t="shared" si="335"/>
        <v>0</v>
      </c>
    </row>
    <row r="599" spans="1:21" s="552" customFormat="1" ht="15" hidden="1" customHeight="1">
      <c r="A599" s="621"/>
      <c r="B599" s="622" t="s">
        <v>1264</v>
      </c>
      <c r="C599" s="558" t="str">
        <f ca="1">C598</f>
        <v xml:space="preserve"> </v>
      </c>
      <c r="D599" s="553"/>
      <c r="E599" s="694" t="str">
        <f>VLOOKUP($B599,dongia1,DG!$C$5,)</f>
        <v>Dựng trụ BTLT 10,5m thủ công + cơ giới (cẩu)</v>
      </c>
      <c r="F599" s="555" t="str">
        <f>VLOOKUP($B599,dongia1,DG!$D$5,)</f>
        <v>trụ</v>
      </c>
      <c r="G599" s="205">
        <v>1</v>
      </c>
      <c r="H599" s="556">
        <f ca="1">H$596*$G599</f>
        <v>0</v>
      </c>
      <c r="I599" s="556">
        <f t="shared" ca="1" si="334"/>
        <v>0</v>
      </c>
      <c r="J599" s="556">
        <f t="shared" ca="1" si="334"/>
        <v>0</v>
      </c>
      <c r="K599" s="556">
        <f t="shared" ca="1" si="334"/>
        <v>0</v>
      </c>
      <c r="L599" s="556">
        <f t="shared" ca="1" si="334"/>
        <v>0</v>
      </c>
      <c r="M599" s="556">
        <f ca="1">G599*$M$596</f>
        <v>0</v>
      </c>
      <c r="N599" s="556">
        <f t="shared" ca="1" si="334"/>
        <v>0</v>
      </c>
      <c r="O599" s="556">
        <f t="shared" ca="1" si="334"/>
        <v>0</v>
      </c>
      <c r="P599" s="554"/>
      <c r="Q599" s="603">
        <f>VLOOKUP($B599,dongia1,DG!$G$5,)</f>
        <v>551034</v>
      </c>
      <c r="R599" s="182">
        <f>VLOOKUP($B599,dongia1,DG!$H$5,)</f>
        <v>141795.29</v>
      </c>
      <c r="S599" s="113">
        <f>$G599*P599</f>
        <v>0</v>
      </c>
      <c r="T599" s="113">
        <f t="shared" si="335"/>
        <v>551034</v>
      </c>
      <c r="U599" s="718">
        <f>$G599*R599</f>
        <v>141795.29</v>
      </c>
    </row>
    <row r="600" spans="1:21" s="552" customFormat="1" ht="15" customHeight="1">
      <c r="A600" s="634" t="s">
        <v>1030</v>
      </c>
      <c r="B600" s="622"/>
      <c r="C600" s="558" t="s">
        <v>309</v>
      </c>
      <c r="D600" s="553"/>
      <c r="E600" s="727" t="s">
        <v>3560</v>
      </c>
      <c r="F600" s="600" t="s">
        <v>1133</v>
      </c>
      <c r="G600" s="205">
        <f>pp3p1m!J10</f>
        <v>3</v>
      </c>
      <c r="H600" s="556">
        <f ca="1">SUM(I600:N600)</f>
        <v>0</v>
      </c>
      <c r="I600" s="556">
        <f ca="1">SUMIF(BTLT3pm,$A600,slBTLT3pm)</f>
        <v>0</v>
      </c>
      <c r="J600" s="556">
        <f ca="1">SUMIF(btltct,$A600,SLBTLTCT)</f>
        <v>0</v>
      </c>
      <c r="K600" s="556">
        <f ca="1">SUMIF(BTLT3p1m,$A600,slBTLT3p1m)</f>
        <v>0</v>
      </c>
      <c r="L600" s="556">
        <f ca="1">SUMIF(BTLT1pm,$A600,slBTLT1pm)</f>
        <v>0</v>
      </c>
      <c r="M600" s="556">
        <f ca="1">SUMIF(btlththh,$A600,slbtlththh)</f>
        <v>0</v>
      </c>
      <c r="N600" s="556">
        <f ca="1">SUMIF(btlthtdl,$A600,slbtlthtdl)</f>
        <v>0</v>
      </c>
      <c r="O600" s="556">
        <f ca="1">SUMIF(BTLTHTCS,$A600,slBTLTHTCS)</f>
        <v>0</v>
      </c>
      <c r="P600" s="554"/>
      <c r="Q600" s="554"/>
      <c r="R600" s="554"/>
      <c r="S600" s="601">
        <f>SUM(S601:S603)</f>
        <v>4417400</v>
      </c>
      <c r="T600" s="601">
        <f>SUM(T601:T603)</f>
        <v>1168200</v>
      </c>
      <c r="U600" s="714">
        <f>SUM(U601:U603)</f>
        <v>0</v>
      </c>
    </row>
    <row r="601" spans="1:21" s="552" customFormat="1" ht="15" hidden="1" customHeight="1">
      <c r="A601" s="621"/>
      <c r="B601" s="622" t="s">
        <v>1012</v>
      </c>
      <c r="C601" s="558" t="s">
        <v>309</v>
      </c>
      <c r="D601" s="553"/>
      <c r="E601" s="694" t="str">
        <f>VLOOKUP($B601,dongia1,DG!$C$5,)</f>
        <v>Trụ BTLT 12m F350 dự ứng lực</v>
      </c>
      <c r="F601" s="555" t="str">
        <f>VLOOKUP($B601,dongia1,DG!$D$5,)</f>
        <v>trụ</v>
      </c>
      <c r="G601" s="205">
        <v>1</v>
      </c>
      <c r="H601" s="556">
        <f ca="1">H$600*$G601</f>
        <v>0</v>
      </c>
      <c r="I601" s="556">
        <f t="shared" ref="I601:O603" ca="1" si="336">I$600*$G601</f>
        <v>0</v>
      </c>
      <c r="J601" s="556">
        <f t="shared" ca="1" si="336"/>
        <v>0</v>
      </c>
      <c r="K601" s="556">
        <f t="shared" ca="1" si="336"/>
        <v>0</v>
      </c>
      <c r="L601" s="556">
        <f t="shared" ca="1" si="336"/>
        <v>0</v>
      </c>
      <c r="M601" s="556"/>
      <c r="N601" s="556">
        <f t="shared" ca="1" si="336"/>
        <v>0</v>
      </c>
      <c r="O601" s="556">
        <f t="shared" ca="1" si="336"/>
        <v>0</v>
      </c>
      <c r="P601" s="182">
        <f>VLOOKUP($B601,dongia1,DG!$F$5,)</f>
        <v>4400000</v>
      </c>
      <c r="Q601" s="182"/>
      <c r="R601" s="182"/>
      <c r="S601" s="113">
        <f t="shared" ref="S601:U602" si="337">$G601*P601</f>
        <v>4400000</v>
      </c>
      <c r="T601" s="113">
        <f t="shared" si="337"/>
        <v>0</v>
      </c>
      <c r="U601" s="557">
        <f t="shared" si="337"/>
        <v>0</v>
      </c>
    </row>
    <row r="602" spans="1:21" s="552" customFormat="1" ht="15" hidden="1" customHeight="1">
      <c r="A602" s="621"/>
      <c r="B602" s="622" t="s">
        <v>1457</v>
      </c>
      <c r="C602" s="558" t="str">
        <f>C601</f>
        <v>x</v>
      </c>
      <c r="D602" s="553"/>
      <c r="E602" s="694" t="str">
        <f>VLOOKUP($B602,dongia1,DG!$C$5,)</f>
        <v>Vật liệu dựng trụ</v>
      </c>
      <c r="F602" s="555" t="str">
        <f>VLOOKUP($B602,dongia1,DG!$D$5,)</f>
        <v>trụ</v>
      </c>
      <c r="G602" s="205">
        <v>1</v>
      </c>
      <c r="H602" s="556"/>
      <c r="I602" s="556">
        <f t="shared" ca="1" si="336"/>
        <v>0</v>
      </c>
      <c r="J602" s="556">
        <f t="shared" ca="1" si="336"/>
        <v>0</v>
      </c>
      <c r="K602" s="556">
        <f t="shared" ca="1" si="336"/>
        <v>0</v>
      </c>
      <c r="L602" s="556">
        <f t="shared" ca="1" si="336"/>
        <v>0</v>
      </c>
      <c r="M602" s="556"/>
      <c r="N602" s="556">
        <f t="shared" ca="1" si="336"/>
        <v>0</v>
      </c>
      <c r="O602" s="556">
        <f t="shared" ca="1" si="336"/>
        <v>0</v>
      </c>
      <c r="P602" s="182">
        <f>VLOOKUP($B602,dongia1,DG!$F$5,)</f>
        <v>17400</v>
      </c>
      <c r="Q602" s="554"/>
      <c r="R602" s="554"/>
      <c r="S602" s="113">
        <f t="shared" si="337"/>
        <v>17400</v>
      </c>
      <c r="T602" s="113">
        <f t="shared" si="337"/>
        <v>0</v>
      </c>
      <c r="U602" s="557">
        <f t="shared" si="337"/>
        <v>0</v>
      </c>
    </row>
    <row r="603" spans="1:21" s="552" customFormat="1" ht="15" hidden="1" customHeight="1">
      <c r="A603" s="621"/>
      <c r="B603" s="622" t="s">
        <v>1574</v>
      </c>
      <c r="C603" s="558" t="s">
        <v>309</v>
      </c>
      <c r="D603" s="553"/>
      <c r="E603" s="694" t="str">
        <f>VLOOKUP($B603,dongia1,DG!$C$5,)</f>
        <v>Dựng trụ BTLT 12m bằng thủ công</v>
      </c>
      <c r="F603" s="555" t="str">
        <f>VLOOKUP($B603,dongia1,DG!$D$5,)</f>
        <v>trụ</v>
      </c>
      <c r="G603" s="205">
        <v>1</v>
      </c>
      <c r="H603" s="556"/>
      <c r="I603" s="556">
        <f t="shared" ca="1" si="336"/>
        <v>0</v>
      </c>
      <c r="J603" s="556">
        <f t="shared" ca="1" si="336"/>
        <v>0</v>
      </c>
      <c r="K603" s="556">
        <f t="shared" ca="1" si="336"/>
        <v>0</v>
      </c>
      <c r="L603" s="556">
        <f t="shared" ca="1" si="336"/>
        <v>0</v>
      </c>
      <c r="M603" s="556"/>
      <c r="N603" s="556">
        <f t="shared" ca="1" si="336"/>
        <v>0</v>
      </c>
      <c r="O603" s="556">
        <f t="shared" ca="1" si="336"/>
        <v>0</v>
      </c>
      <c r="P603" s="554"/>
      <c r="Q603" s="603" t="str">
        <f>TEXT(VLOOKUP($B603,dongia1,DG!$G$5,),"#")</f>
        <v>1168200</v>
      </c>
      <c r="R603" s="182">
        <f>VLOOKUP($B603,dongia1,DG!$H$5,)</f>
        <v>0</v>
      </c>
      <c r="S603" s="113">
        <f>$G603*P603</f>
        <v>0</v>
      </c>
      <c r="T603" s="603">
        <f>VLOOKUP($B603,dongia1,DG!G$5,)*G603</f>
        <v>1168200</v>
      </c>
      <c r="U603" s="557">
        <f>$G603*R603</f>
        <v>0</v>
      </c>
    </row>
    <row r="604" spans="1:21" s="552" customFormat="1" ht="15" hidden="1" customHeight="1">
      <c r="A604" s="634" t="s">
        <v>2101</v>
      </c>
      <c r="B604" s="622"/>
      <c r="C604" s="558" t="str">
        <f>IF(H604&lt;&gt;0,"x"," ")</f>
        <v xml:space="preserve"> </v>
      </c>
      <c r="D604" s="553"/>
      <c r="E604" s="727" t="s">
        <v>3561</v>
      </c>
      <c r="F604" s="600" t="s">
        <v>1133</v>
      </c>
      <c r="G604" s="205"/>
      <c r="H604" s="556"/>
      <c r="I604" s="556">
        <f ca="1">SUMIF(BTLT3pm,$A604,slBTLT3pm)</f>
        <v>0</v>
      </c>
      <c r="J604" s="556">
        <f ca="1">SUMIF(btltct,$A604,SLBTLTCT)</f>
        <v>0</v>
      </c>
      <c r="K604" s="556">
        <f ca="1">SUMIF(BTLT3p1m,$A604,slBTLT3p1m)</f>
        <v>0</v>
      </c>
      <c r="L604" s="556">
        <f ca="1">SUMIF(BTLT1pm,$A604,slBTLT1pm)</f>
        <v>0</v>
      </c>
      <c r="M604" s="556">
        <f ca="1">SUMIF(btlththh,$A604,slbtlththh)</f>
        <v>0</v>
      </c>
      <c r="N604" s="556">
        <f ca="1">SUMIF(btlthtdl,$A604,slbtlthtdl)</f>
        <v>0</v>
      </c>
      <c r="O604" s="556">
        <f ca="1">SUMIF(BTLTHTCS,$A604,slBTLTHTCS)</f>
        <v>0</v>
      </c>
      <c r="P604" s="554"/>
      <c r="Q604" s="554"/>
      <c r="R604" s="554"/>
      <c r="S604" s="601">
        <f>SUM(S605:S607)</f>
        <v>17400</v>
      </c>
      <c r="T604" s="601">
        <f>SUM(T605:T607)</f>
        <v>589996</v>
      </c>
      <c r="U604" s="602">
        <f>SUM(U605:U607)</f>
        <v>202564.7</v>
      </c>
    </row>
    <row r="605" spans="1:21" s="552" customFormat="1" ht="15" hidden="1" customHeight="1">
      <c r="A605" s="621"/>
      <c r="B605" s="622" t="s">
        <v>1012</v>
      </c>
      <c r="C605" s="558" t="str">
        <f>C604</f>
        <v xml:space="preserve"> </v>
      </c>
      <c r="D605" s="553"/>
      <c r="E605" s="694" t="str">
        <f>VLOOKUP($B605,dongia1,DG!$C$5,)</f>
        <v>Trụ BTLT 12m F350 dự ứng lực</v>
      </c>
      <c r="F605" s="555" t="str">
        <f>VLOOKUP($B605,dongia1,DG!$D$5,)</f>
        <v>trụ</v>
      </c>
      <c r="G605" s="205"/>
      <c r="H605" s="556"/>
      <c r="I605" s="556">
        <f t="shared" ref="I605:O607" ca="1" si="338">I$604*$G605</f>
        <v>0</v>
      </c>
      <c r="J605" s="556">
        <f t="shared" ca="1" si="338"/>
        <v>0</v>
      </c>
      <c r="K605" s="556">
        <f t="shared" ca="1" si="338"/>
        <v>0</v>
      </c>
      <c r="L605" s="556">
        <f t="shared" ca="1" si="338"/>
        <v>0</v>
      </c>
      <c r="M605" s="556"/>
      <c r="N605" s="556">
        <f t="shared" ca="1" si="338"/>
        <v>0</v>
      </c>
      <c r="O605" s="556">
        <f t="shared" ca="1" si="338"/>
        <v>0</v>
      </c>
      <c r="P605" s="182">
        <f>VLOOKUP($B605,dongia1,DG!$F$5,)</f>
        <v>4400000</v>
      </c>
      <c r="Q605" s="182"/>
      <c r="R605" s="182"/>
      <c r="S605" s="113">
        <f t="shared" ref="S605:U606" si="339">$G605*P605</f>
        <v>0</v>
      </c>
      <c r="T605" s="113">
        <f t="shared" si="339"/>
        <v>0</v>
      </c>
      <c r="U605" s="557">
        <f t="shared" si="339"/>
        <v>0</v>
      </c>
    </row>
    <row r="606" spans="1:21" s="552" customFormat="1" ht="15" hidden="1" customHeight="1">
      <c r="A606" s="621"/>
      <c r="B606" s="622" t="s">
        <v>1457</v>
      </c>
      <c r="C606" s="558" t="str">
        <f>C605</f>
        <v xml:space="preserve"> </v>
      </c>
      <c r="D606" s="553"/>
      <c r="E606" s="694" t="str">
        <f>VLOOKUP($B606,dongia1,DG!$C$5,)</f>
        <v>Vật liệu dựng trụ</v>
      </c>
      <c r="F606" s="555" t="str">
        <f>VLOOKUP($B606,dongia1,DG!$D$5,)</f>
        <v>trụ</v>
      </c>
      <c r="G606" s="205">
        <v>1</v>
      </c>
      <c r="H606" s="556"/>
      <c r="I606" s="556">
        <f t="shared" ca="1" si="338"/>
        <v>0</v>
      </c>
      <c r="J606" s="556">
        <f t="shared" ca="1" si="338"/>
        <v>0</v>
      </c>
      <c r="K606" s="556">
        <f t="shared" ca="1" si="338"/>
        <v>0</v>
      </c>
      <c r="L606" s="556">
        <f t="shared" ca="1" si="338"/>
        <v>0</v>
      </c>
      <c r="M606" s="556"/>
      <c r="N606" s="556">
        <f t="shared" ca="1" si="338"/>
        <v>0</v>
      </c>
      <c r="O606" s="556">
        <f t="shared" ca="1" si="338"/>
        <v>0</v>
      </c>
      <c r="P606" s="182">
        <f>VLOOKUP($B606,dongia1,DG!$F$5,)</f>
        <v>17400</v>
      </c>
      <c r="Q606" s="554"/>
      <c r="R606" s="554"/>
      <c r="S606" s="113">
        <f t="shared" si="339"/>
        <v>17400</v>
      </c>
      <c r="T606" s="113">
        <f t="shared" si="339"/>
        <v>0</v>
      </c>
      <c r="U606" s="557">
        <f t="shared" si="339"/>
        <v>0</v>
      </c>
    </row>
    <row r="607" spans="1:21" s="552" customFormat="1" ht="15" hidden="1" customHeight="1">
      <c r="A607" s="621"/>
      <c r="B607" s="622" t="s">
        <v>695</v>
      </c>
      <c r="C607" s="558" t="str">
        <f>C606</f>
        <v xml:space="preserve"> </v>
      </c>
      <c r="D607" s="553"/>
      <c r="E607" s="694" t="str">
        <f>VLOOKUP($B607,dongia1,DG!$C$5,)</f>
        <v>Dựng trụ BTLT 12m thủ công + cơ giới (cẩu)</v>
      </c>
      <c r="F607" s="555" t="str">
        <f>VLOOKUP($B607,dongia1,DG!$D$5,)</f>
        <v>trụ</v>
      </c>
      <c r="G607" s="205">
        <v>1</v>
      </c>
      <c r="H607" s="556"/>
      <c r="I607" s="556">
        <f t="shared" ca="1" si="338"/>
        <v>0</v>
      </c>
      <c r="J607" s="556">
        <f t="shared" ca="1" si="338"/>
        <v>0</v>
      </c>
      <c r="K607" s="556">
        <f t="shared" ca="1" si="338"/>
        <v>0</v>
      </c>
      <c r="L607" s="556">
        <f t="shared" ca="1" si="338"/>
        <v>0</v>
      </c>
      <c r="M607" s="556"/>
      <c r="N607" s="556">
        <f t="shared" ca="1" si="338"/>
        <v>0</v>
      </c>
      <c r="O607" s="556">
        <f t="shared" ca="1" si="338"/>
        <v>0</v>
      </c>
      <c r="P607" s="554"/>
      <c r="Q607" s="603" t="str">
        <f>TEXT(VLOOKUP($B607,dongia1,DG!$G$5,),"#")</f>
        <v>589996</v>
      </c>
      <c r="R607" s="182">
        <f>VLOOKUP($B607,dongia1,DG!$H$5,)</f>
        <v>202564.7</v>
      </c>
      <c r="S607" s="113">
        <f>$G607*P607</f>
        <v>0</v>
      </c>
      <c r="T607" s="603">
        <f>VLOOKUP($B607,dongia1,DG!G$5,)*G607</f>
        <v>589996</v>
      </c>
      <c r="U607" s="557">
        <f>$G607*R607</f>
        <v>202564.7</v>
      </c>
    </row>
    <row r="608" spans="1:21" s="858" customFormat="1" hidden="1">
      <c r="A608" s="640" t="s">
        <v>2141</v>
      </c>
      <c r="B608" s="848"/>
      <c r="C608" s="849" t="str">
        <f>IF(H608&lt;&gt;0,"x"," ")</f>
        <v xml:space="preserve"> </v>
      </c>
      <c r="D608" s="850"/>
      <c r="E608" s="851" t="s">
        <v>3562</v>
      </c>
      <c r="F608" s="852" t="s">
        <v>1133</v>
      </c>
      <c r="G608" s="853"/>
      <c r="H608" s="854"/>
      <c r="I608" s="854">
        <f ca="1">SUMIF(BTLT3pm,$A608,slBTLT3pm)</f>
        <v>0</v>
      </c>
      <c r="J608" s="854">
        <f ca="1">SUMIF(btltct,$A608,SLBTLTCT)</f>
        <v>0</v>
      </c>
      <c r="K608" s="854">
        <f ca="1">SUMIF(BTLT3p1m,$A608,slBTLT3p1m)</f>
        <v>0</v>
      </c>
      <c r="L608" s="854">
        <f ca="1">SUMIF(BTLT1pm,$A608,slBTLT1pm)</f>
        <v>0</v>
      </c>
      <c r="M608" s="854">
        <f ca="1">SUMIF(btlththh,$A608,slbtlththh)</f>
        <v>0</v>
      </c>
      <c r="N608" s="854">
        <f ca="1">SUMIF(btlthtdl,$A608,slbtlthtdl)</f>
        <v>0</v>
      </c>
      <c r="O608" s="854">
        <f ca="1">SUMIF(BTLTHTCS,$A608,slBTLTHTCS)</f>
        <v>0</v>
      </c>
      <c r="P608" s="855"/>
      <c r="Q608" s="855"/>
      <c r="R608" s="855"/>
      <c r="S608" s="856">
        <f>SUM(S609:S611)</f>
        <v>4617400</v>
      </c>
      <c r="T608" s="856">
        <f>SUM(T609:T611)</f>
        <v>589996</v>
      </c>
      <c r="U608" s="857">
        <f>SUM(U609:U611)</f>
        <v>202564.7</v>
      </c>
    </row>
    <row r="609" spans="1:21" hidden="1">
      <c r="B609" s="696" t="s">
        <v>2187</v>
      </c>
      <c r="C609" s="631" t="str">
        <f>C608</f>
        <v xml:space="preserve"> </v>
      </c>
      <c r="D609" s="698"/>
      <c r="E609" s="699" t="str">
        <f>VLOOKUP($B609,dongia1,DG!$C$5,)</f>
        <v>Trụ BTLT 12m F350 dự ứng lực có dây tiếp địa trong thân trụ</v>
      </c>
      <c r="F609" s="700" t="str">
        <f>VLOOKUP($B609,dongia1,DG!$D$5,)</f>
        <v>trụ</v>
      </c>
      <c r="G609" s="762">
        <v>1</v>
      </c>
      <c r="H609" s="701"/>
      <c r="I609" s="701">
        <f t="shared" ref="I609:O611" ca="1" si="340">I$608*$G609</f>
        <v>0</v>
      </c>
      <c r="J609" s="701">
        <f t="shared" ca="1" si="340"/>
        <v>0</v>
      </c>
      <c r="K609" s="701">
        <f t="shared" ca="1" si="340"/>
        <v>0</v>
      </c>
      <c r="L609" s="701">
        <f t="shared" ca="1" si="340"/>
        <v>0</v>
      </c>
      <c r="M609" s="701"/>
      <c r="N609" s="701">
        <f t="shared" ca="1" si="340"/>
        <v>0</v>
      </c>
      <c r="O609" s="701">
        <f t="shared" ca="1" si="340"/>
        <v>0</v>
      </c>
      <c r="P609" s="702">
        <f>VLOOKUP($B609,dongia1,DG!$F$5,)</f>
        <v>4600000</v>
      </c>
      <c r="Q609" s="702"/>
      <c r="R609" s="702"/>
      <c r="S609" s="702">
        <f t="shared" ref="S609:U610" si="341">$G609*P609</f>
        <v>4600000</v>
      </c>
      <c r="T609" s="702">
        <f t="shared" si="341"/>
        <v>0</v>
      </c>
      <c r="U609" s="704">
        <f t="shared" si="341"/>
        <v>0</v>
      </c>
    </row>
    <row r="610" spans="1:21" hidden="1">
      <c r="B610" s="696" t="s">
        <v>1457</v>
      </c>
      <c r="C610" s="631" t="str">
        <f>C609</f>
        <v xml:space="preserve"> </v>
      </c>
      <c r="D610" s="698"/>
      <c r="E610" s="699" t="str">
        <f>VLOOKUP($B610,dongia1,DG!$C$5,)</f>
        <v>Vật liệu dựng trụ</v>
      </c>
      <c r="F610" s="700" t="str">
        <f>VLOOKUP($B610,dongia1,DG!$D$5,)</f>
        <v>trụ</v>
      </c>
      <c r="G610" s="762">
        <v>1</v>
      </c>
      <c r="H610" s="701"/>
      <c r="I610" s="701">
        <f t="shared" ca="1" si="340"/>
        <v>0</v>
      </c>
      <c r="J610" s="701">
        <f t="shared" ca="1" si="340"/>
        <v>0</v>
      </c>
      <c r="K610" s="701">
        <f t="shared" ca="1" si="340"/>
        <v>0</v>
      </c>
      <c r="L610" s="701">
        <f t="shared" ca="1" si="340"/>
        <v>0</v>
      </c>
      <c r="M610" s="701"/>
      <c r="N610" s="701">
        <f t="shared" ca="1" si="340"/>
        <v>0</v>
      </c>
      <c r="O610" s="701">
        <f t="shared" ca="1" si="340"/>
        <v>0</v>
      </c>
      <c r="P610" s="702">
        <f>VLOOKUP($B610,dongia1,DG!$F$5,)</f>
        <v>17400</v>
      </c>
      <c r="Q610" s="703"/>
      <c r="R610" s="703"/>
      <c r="S610" s="702">
        <f t="shared" si="341"/>
        <v>17400</v>
      </c>
      <c r="T610" s="702">
        <f t="shared" si="341"/>
        <v>0</v>
      </c>
      <c r="U610" s="704">
        <f t="shared" si="341"/>
        <v>0</v>
      </c>
    </row>
    <row r="611" spans="1:21" hidden="1">
      <c r="B611" s="696" t="s">
        <v>695</v>
      </c>
      <c r="C611" s="631" t="str">
        <f>C610</f>
        <v xml:space="preserve"> </v>
      </c>
      <c r="D611" s="698" t="str">
        <f>VLOOKUP($B611,dongia1,DG!$B$5,)</f>
        <v>D2.5232</v>
      </c>
      <c r="E611" s="699" t="str">
        <f>VLOOKUP($B611,dongia1,DG!$C$5,)</f>
        <v>Dựng trụ BTLT 12m thủ công + cơ giới (cẩu)</v>
      </c>
      <c r="F611" s="700" t="str">
        <f>VLOOKUP($B611,dongia1,DG!$D$5,)</f>
        <v>trụ</v>
      </c>
      <c r="G611" s="762">
        <v>1</v>
      </c>
      <c r="H611" s="701"/>
      <c r="I611" s="701">
        <f t="shared" ca="1" si="340"/>
        <v>0</v>
      </c>
      <c r="J611" s="701">
        <f t="shared" ca="1" si="340"/>
        <v>0</v>
      </c>
      <c r="K611" s="701">
        <f t="shared" ca="1" si="340"/>
        <v>0</v>
      </c>
      <c r="L611" s="701">
        <f t="shared" ca="1" si="340"/>
        <v>0</v>
      </c>
      <c r="M611" s="701"/>
      <c r="N611" s="701">
        <f t="shared" ca="1" si="340"/>
        <v>0</v>
      </c>
      <c r="O611" s="701">
        <f t="shared" ca="1" si="340"/>
        <v>0</v>
      </c>
      <c r="P611" s="703"/>
      <c r="Q611" s="934" t="str">
        <f>TEXT(VLOOKUP($B611,dongia1,DG!$G$5,),"#")</f>
        <v>589996</v>
      </c>
      <c r="R611" s="702">
        <f>VLOOKUP($B611,dongia1,DG!$H$5,)</f>
        <v>202564.7</v>
      </c>
      <c r="S611" s="702">
        <f>$G611*P611</f>
        <v>0</v>
      </c>
      <c r="T611" s="934">
        <f>VLOOKUP($B611,dongia1,DG!G$5,)*G611</f>
        <v>589996</v>
      </c>
      <c r="U611" s="704">
        <f>$G611*R611</f>
        <v>202564.7</v>
      </c>
    </row>
    <row r="612" spans="1:21" s="858" customFormat="1" hidden="1">
      <c r="A612" s="640" t="s">
        <v>650</v>
      </c>
      <c r="B612" s="848"/>
      <c r="C612" s="849" t="str">
        <f ca="1">IF(H612&lt;&gt;0,"x"," ")</f>
        <v xml:space="preserve"> </v>
      </c>
      <c r="D612" s="850">
        <v>1</v>
      </c>
      <c r="E612" s="851" t="s">
        <v>3563</v>
      </c>
      <c r="F612" s="852" t="s">
        <v>1133</v>
      </c>
      <c r="G612" s="853">
        <f>pp3p1m!N10</f>
        <v>0</v>
      </c>
      <c r="H612" s="854">
        <f ca="1">SUM(I612:N612)</f>
        <v>0</v>
      </c>
      <c r="I612" s="854">
        <f ca="1">SUMIF(BTLT3pm,$A612,slBTLT3pm)</f>
        <v>0</v>
      </c>
      <c r="J612" s="854">
        <f ca="1">SUMIF(btltct,$A612,SLBTLTCT)</f>
        <v>0</v>
      </c>
      <c r="K612" s="854">
        <f ca="1">SUMIF(BTLT3p1m,$A612,slBTLT3p1m)</f>
        <v>0</v>
      </c>
      <c r="L612" s="854">
        <f ca="1">SUMIF(BTLT1pm,$A612,slBTLT1pm)</f>
        <v>0</v>
      </c>
      <c r="M612" s="854">
        <f ca="1">SUMIF(btlththh,$A612,slbtlththh)</f>
        <v>0</v>
      </c>
      <c r="N612" s="854">
        <f ca="1">SUMIF(btlthtdl,$A612,slbtlthtdl)</f>
        <v>0</v>
      </c>
      <c r="O612" s="854">
        <f ca="1">SUMIF(BTLTHTCS,$A612,slBTLTHTCS)</f>
        <v>0</v>
      </c>
      <c r="P612" s="855"/>
      <c r="Q612" s="855"/>
      <c r="R612" s="855"/>
      <c r="S612" s="856">
        <f>SUM(S613:S615)</f>
        <v>5914000</v>
      </c>
      <c r="T612" s="856">
        <f>SUM(T613:T615)</f>
        <v>589996</v>
      </c>
      <c r="U612" s="857">
        <f>SUM(U613:U615)</f>
        <v>202564.7</v>
      </c>
    </row>
    <row r="613" spans="1:21" hidden="1">
      <c r="B613" s="696" t="s">
        <v>2194</v>
      </c>
      <c r="C613" s="849" t="str">
        <f ca="1">IF(H613&lt;&gt;0,"x"," ")</f>
        <v xml:space="preserve"> </v>
      </c>
      <c r="D613" s="698"/>
      <c r="E613" s="699" t="str">
        <f>VLOOKUP($B613,dongia1,DG!$C$5,)</f>
        <v>Trụ BTLT 12m F540 dự ứng lực, K=2</v>
      </c>
      <c r="F613" s="700" t="str">
        <f>VLOOKUP($B613,dongia1,DG!$D$5,)</f>
        <v>trụ</v>
      </c>
      <c r="G613" s="762">
        <v>1</v>
      </c>
      <c r="H613" s="854">
        <f t="shared" ref="H613:H615" ca="1" si="342">SUM(I613:N613)</f>
        <v>0</v>
      </c>
      <c r="I613" s="701">
        <f t="shared" ref="I613:O615" ca="1" si="343">I$612*$G613</f>
        <v>0</v>
      </c>
      <c r="J613" s="701">
        <f t="shared" ca="1" si="343"/>
        <v>0</v>
      </c>
      <c r="K613" s="701">
        <f t="shared" ca="1" si="343"/>
        <v>0</v>
      </c>
      <c r="L613" s="701">
        <f t="shared" ca="1" si="343"/>
        <v>0</v>
      </c>
      <c r="M613" s="701"/>
      <c r="N613" s="701">
        <f t="shared" ca="1" si="343"/>
        <v>0</v>
      </c>
      <c r="O613" s="701">
        <f t="shared" ca="1" si="343"/>
        <v>0</v>
      </c>
      <c r="P613" s="702">
        <f>VLOOKUP($B613,dongia1,DG!$F$5,)</f>
        <v>5914000</v>
      </c>
      <c r="Q613" s="702"/>
      <c r="R613" s="702"/>
      <c r="S613" s="702">
        <f t="shared" ref="S613:U614" si="344">$G613*P613</f>
        <v>5914000</v>
      </c>
      <c r="T613" s="702">
        <f t="shared" si="344"/>
        <v>0</v>
      </c>
      <c r="U613" s="704">
        <f t="shared" si="344"/>
        <v>0</v>
      </c>
    </row>
    <row r="614" spans="1:21" hidden="1">
      <c r="B614" s="696" t="s">
        <v>1457</v>
      </c>
      <c r="C614" s="849" t="str">
        <f ca="1">IF(H614&lt;&gt;0,"x"," ")</f>
        <v xml:space="preserve"> </v>
      </c>
      <c r="D614" s="698"/>
      <c r="E614" s="699" t="str">
        <f>VLOOKUP($B614,dongia1,DG!$C$5,)</f>
        <v>Vật liệu dựng trụ</v>
      </c>
      <c r="F614" s="700" t="str">
        <f>VLOOKUP($B614,dongia1,DG!$D$5,)</f>
        <v>trụ</v>
      </c>
      <c r="G614" s="762"/>
      <c r="H614" s="854">
        <f t="shared" ca="1" si="342"/>
        <v>0</v>
      </c>
      <c r="I614" s="701">
        <f t="shared" ca="1" si="343"/>
        <v>0</v>
      </c>
      <c r="J614" s="701">
        <f t="shared" ca="1" si="343"/>
        <v>0</v>
      </c>
      <c r="K614" s="701">
        <f t="shared" ca="1" si="343"/>
        <v>0</v>
      </c>
      <c r="L614" s="701">
        <f t="shared" ca="1" si="343"/>
        <v>0</v>
      </c>
      <c r="M614" s="701"/>
      <c r="N614" s="701">
        <f t="shared" ca="1" si="343"/>
        <v>0</v>
      </c>
      <c r="O614" s="701">
        <f t="shared" ca="1" si="343"/>
        <v>0</v>
      </c>
      <c r="P614" s="702">
        <f>VLOOKUP($B614,dongia1,DG!$F$5,)</f>
        <v>17400</v>
      </c>
      <c r="Q614" s="703"/>
      <c r="R614" s="703"/>
      <c r="S614" s="702">
        <f t="shared" si="344"/>
        <v>0</v>
      </c>
      <c r="T614" s="702">
        <f t="shared" si="344"/>
        <v>0</v>
      </c>
      <c r="U614" s="704">
        <f t="shared" si="344"/>
        <v>0</v>
      </c>
    </row>
    <row r="615" spans="1:21" hidden="1">
      <c r="B615" s="696" t="s">
        <v>695</v>
      </c>
      <c r="C615" s="849" t="str">
        <f ca="1">IF(H615&lt;&gt;0,"x"," ")</f>
        <v xml:space="preserve"> </v>
      </c>
      <c r="D615" s="698"/>
      <c r="E615" s="699" t="str">
        <f>VLOOKUP($B615,dongia1,DG!$C$5,)</f>
        <v>Dựng trụ BTLT 12m thủ công + cơ giới (cẩu)</v>
      </c>
      <c r="F615" s="700" t="str">
        <f>VLOOKUP($B615,dongia1,DG!$D$5,)</f>
        <v>trụ</v>
      </c>
      <c r="G615" s="762">
        <v>1</v>
      </c>
      <c r="H615" s="854">
        <f t="shared" ca="1" si="342"/>
        <v>0</v>
      </c>
      <c r="I615" s="701">
        <f t="shared" ca="1" si="343"/>
        <v>0</v>
      </c>
      <c r="J615" s="701">
        <f t="shared" ca="1" si="343"/>
        <v>0</v>
      </c>
      <c r="K615" s="701">
        <f t="shared" ca="1" si="343"/>
        <v>0</v>
      </c>
      <c r="L615" s="701">
        <f t="shared" ca="1" si="343"/>
        <v>0</v>
      </c>
      <c r="M615" s="701"/>
      <c r="N615" s="701">
        <f t="shared" ca="1" si="343"/>
        <v>0</v>
      </c>
      <c r="O615" s="701">
        <f t="shared" ca="1" si="343"/>
        <v>0</v>
      </c>
      <c r="P615" s="703"/>
      <c r="Q615" s="182">
        <f>VLOOKUP($B615,dongia1,DG!$G$5,)</f>
        <v>589996</v>
      </c>
      <c r="R615" s="702">
        <f>VLOOKUP($B615,dongia1,DG!$H$5,)</f>
        <v>202564.7</v>
      </c>
      <c r="S615" s="702">
        <f>$G615*P615</f>
        <v>0</v>
      </c>
      <c r="T615" s="934">
        <f>VLOOKUP($B615,dongia1,DG!G$5,)*G615</f>
        <v>589996</v>
      </c>
      <c r="U615" s="930">
        <f>$G615*R615</f>
        <v>202564.7</v>
      </c>
    </row>
    <row r="616" spans="1:21" s="858" customFormat="1" hidden="1">
      <c r="A616" s="640" t="s">
        <v>623</v>
      </c>
      <c r="B616" s="848"/>
      <c r="C616" s="849"/>
      <c r="D616" s="850">
        <v>2</v>
      </c>
      <c r="E616" s="851" t="s">
        <v>3564</v>
      </c>
      <c r="F616" s="852" t="s">
        <v>1133</v>
      </c>
      <c r="G616" s="853">
        <f>pp3p1m!P10</f>
        <v>0</v>
      </c>
      <c r="H616" s="854"/>
      <c r="I616" s="854">
        <f ca="1">SUMIF(BTLT3pm,$A616,slBTLT3pm)</f>
        <v>0</v>
      </c>
      <c r="J616" s="854">
        <f ca="1">SUMIF(btltct,$A616,SLBTLTCT)</f>
        <v>0</v>
      </c>
      <c r="K616" s="854">
        <f ca="1">SUMIF(BTLT3p1m,$A616,slBTLT3p1m)</f>
        <v>0</v>
      </c>
      <c r="L616" s="854">
        <f ca="1">SUMIF(BTLT1pm,$A616,slBTLT1pm)</f>
        <v>0</v>
      </c>
      <c r="M616" s="854">
        <f ca="1">SUMIF(btlththh,$A616,slbtlththh)</f>
        <v>0</v>
      </c>
      <c r="N616" s="854">
        <f ca="1">SUMIF(btlthtdl,$A616,slbtlthtdl)</f>
        <v>0</v>
      </c>
      <c r="O616" s="854"/>
      <c r="P616" s="855"/>
      <c r="Q616" s="855"/>
      <c r="R616" s="855"/>
      <c r="S616" s="856">
        <f>SUM(S617:S619)</f>
        <v>6117400</v>
      </c>
      <c r="T616" s="856">
        <f>SUM(T617:T619)</f>
        <v>734712</v>
      </c>
      <c r="U616" s="931">
        <f>SUM(U617:U619)</f>
        <v>222821.17</v>
      </c>
    </row>
    <row r="617" spans="1:21" hidden="1">
      <c r="B617" s="696" t="s">
        <v>384</v>
      </c>
      <c r="C617" s="631"/>
      <c r="D617" s="698"/>
      <c r="E617" s="699" t="str">
        <f>VLOOKUP($B617,dongia1,DG!$C$5,)</f>
        <v>Trụ BTLT 14m F650 dự ứng lực</v>
      </c>
      <c r="F617" s="700" t="str">
        <f>VLOOKUP($B617,dongia1,DG!$D$5,)</f>
        <v>trụ</v>
      </c>
      <c r="G617" s="762">
        <v>1</v>
      </c>
      <c r="H617" s="701"/>
      <c r="I617" s="701">
        <f t="shared" ref="I617:O619" ca="1" si="345">I$616*$G617</f>
        <v>0</v>
      </c>
      <c r="J617" s="701">
        <f t="shared" ca="1" si="345"/>
        <v>0</v>
      </c>
      <c r="K617" s="701">
        <f ca="1">K$616*$G617</f>
        <v>0</v>
      </c>
      <c r="L617" s="701">
        <f t="shared" ca="1" si="345"/>
        <v>0</v>
      </c>
      <c r="M617" s="701"/>
      <c r="N617" s="701">
        <f t="shared" ca="1" si="345"/>
        <v>0</v>
      </c>
      <c r="O617" s="701">
        <f t="shared" si="345"/>
        <v>0</v>
      </c>
      <c r="P617" s="702">
        <f>VLOOKUP($B617,dongia1,DG!$F$5,)</f>
        <v>6100000</v>
      </c>
      <c r="Q617" s="703"/>
      <c r="R617" s="703"/>
      <c r="S617" s="702">
        <f t="shared" ref="S617:U618" si="346">$G617*P617</f>
        <v>6100000</v>
      </c>
      <c r="T617" s="702">
        <f t="shared" si="346"/>
        <v>0</v>
      </c>
      <c r="U617" s="704">
        <f t="shared" si="346"/>
        <v>0</v>
      </c>
    </row>
    <row r="618" spans="1:21" hidden="1">
      <c r="B618" s="696" t="s">
        <v>1457</v>
      </c>
      <c r="C618" s="631"/>
      <c r="D618" s="698"/>
      <c r="E618" s="699" t="str">
        <f>VLOOKUP($B618,dongia1,DG!$C$5,)</f>
        <v>Vật liệu dựng trụ</v>
      </c>
      <c r="F618" s="700" t="str">
        <f>VLOOKUP($B618,dongia1,DG!$D$5,)</f>
        <v>trụ</v>
      </c>
      <c r="G618" s="762">
        <v>1</v>
      </c>
      <c r="H618" s="701"/>
      <c r="I618" s="701">
        <f t="shared" ca="1" si="345"/>
        <v>0</v>
      </c>
      <c r="J618" s="701">
        <f t="shared" ca="1" si="345"/>
        <v>0</v>
      </c>
      <c r="K618" s="701">
        <f t="shared" ca="1" si="345"/>
        <v>0</v>
      </c>
      <c r="L618" s="701">
        <f t="shared" ca="1" si="345"/>
        <v>0</v>
      </c>
      <c r="M618" s="701"/>
      <c r="N618" s="701">
        <f t="shared" ca="1" si="345"/>
        <v>0</v>
      </c>
      <c r="O618" s="701">
        <f t="shared" si="345"/>
        <v>0</v>
      </c>
      <c r="P618" s="702">
        <f>VLOOKUP($B618,dongia1,DG!$F$5,)</f>
        <v>17400</v>
      </c>
      <c r="Q618" s="703"/>
      <c r="R618" s="703"/>
      <c r="S618" s="702">
        <f t="shared" si="346"/>
        <v>17400</v>
      </c>
      <c r="T618" s="702">
        <f t="shared" si="346"/>
        <v>0</v>
      </c>
      <c r="U618" s="704">
        <f t="shared" si="346"/>
        <v>0</v>
      </c>
    </row>
    <row r="619" spans="1:21" hidden="1">
      <c r="B619" s="696" t="s">
        <v>1683</v>
      </c>
      <c r="C619" s="631"/>
      <c r="D619" s="698"/>
      <c r="E619" s="699" t="str">
        <f>VLOOKUP($B619,dongia1,DG!$C$5,)</f>
        <v>Dựng trụ BTLT 14m thủ công + cơ giới (cẩu)</v>
      </c>
      <c r="F619" s="700" t="str">
        <f>VLOOKUP($B619,dongia1,DG!$D$5,)</f>
        <v>trụ</v>
      </c>
      <c r="G619" s="762">
        <v>1</v>
      </c>
      <c r="H619" s="701"/>
      <c r="I619" s="701">
        <f t="shared" ca="1" si="345"/>
        <v>0</v>
      </c>
      <c r="J619" s="701">
        <f t="shared" ca="1" si="345"/>
        <v>0</v>
      </c>
      <c r="K619" s="701">
        <f t="shared" ca="1" si="345"/>
        <v>0</v>
      </c>
      <c r="L619" s="701">
        <f t="shared" ca="1" si="345"/>
        <v>0</v>
      </c>
      <c r="M619" s="701"/>
      <c r="N619" s="701">
        <f t="shared" ca="1" si="345"/>
        <v>0</v>
      </c>
      <c r="O619" s="701">
        <f>O$616*$G619</f>
        <v>0</v>
      </c>
      <c r="P619" s="703"/>
      <c r="Q619" s="934">
        <f>VLOOKUP($B619,dongia1,DG!$G$5,)</f>
        <v>734712</v>
      </c>
      <c r="R619" s="702">
        <f>VLOOKUP($B619,dongia1,DG!$H$5,)</f>
        <v>222821.17</v>
      </c>
      <c r="S619" s="702">
        <f>$G619*P619</f>
        <v>0</v>
      </c>
      <c r="T619" s="934">
        <f>VLOOKUP($B619,dongia1,DG!G$5,)*G619</f>
        <v>734712</v>
      </c>
      <c r="U619" s="704">
        <f>$G619*R619</f>
        <v>222821.17</v>
      </c>
    </row>
    <row r="620" spans="1:21" s="552" customFormat="1" ht="15" hidden="1" customHeight="1">
      <c r="A620" s="634" t="s">
        <v>1816</v>
      </c>
      <c r="B620" s="622"/>
      <c r="C620" s="558"/>
      <c r="D620" s="553"/>
      <c r="E620" s="727" t="s">
        <v>3565</v>
      </c>
      <c r="F620" s="600" t="s">
        <v>1133</v>
      </c>
      <c r="G620" s="205"/>
      <c r="H620" s="556"/>
      <c r="I620" s="556">
        <f ca="1">SUMIF(BTLT3pm,$A620,slBTLT3pm)</f>
        <v>0</v>
      </c>
      <c r="J620" s="556">
        <f ca="1">SUMIF(btltct,$A620,SLBTLTCT)</f>
        <v>0</v>
      </c>
      <c r="K620" s="556">
        <f ca="1">SUMIF(BTLT3p1m,$A620,slBTLT3p1m)</f>
        <v>0</v>
      </c>
      <c r="L620" s="556">
        <f ca="1">SUMIF(BTLT1pm,$A620,slBTLT1pm)</f>
        <v>0</v>
      </c>
      <c r="M620" s="556">
        <f ca="1">SUMIF(btlththh,$A620,slbtlththh)</f>
        <v>0</v>
      </c>
      <c r="N620" s="556"/>
      <c r="O620" s="556"/>
      <c r="P620" s="554"/>
      <c r="Q620" s="554"/>
      <c r="R620" s="554"/>
      <c r="S620" s="601">
        <f>SUM(S621:S623)</f>
        <v>15471944</v>
      </c>
      <c r="T620" s="601">
        <f>SUM(T621:T623)</f>
        <v>851319.7</v>
      </c>
      <c r="U620" s="602">
        <f>SUM(U621:U623)</f>
        <v>405129.4</v>
      </c>
    </row>
    <row r="621" spans="1:21" s="552" customFormat="1" ht="15" hidden="1" customHeight="1">
      <c r="A621" s="621"/>
      <c r="B621" s="622" t="s">
        <v>1350</v>
      </c>
      <c r="C621" s="558">
        <f>C620</f>
        <v>0</v>
      </c>
      <c r="D621" s="553"/>
      <c r="E621" s="694" t="str">
        <f>VLOOKUP($B621,dongia1,DG!$C$5,)</f>
        <v>Trụ BTLT 20m F1000 dự ứng lực</v>
      </c>
      <c r="F621" s="555" t="str">
        <f>VLOOKUP($B621,dongia1,DG!$D$5,)</f>
        <v>trụ</v>
      </c>
      <c r="G621" s="205">
        <v>1</v>
      </c>
      <c r="H621" s="556"/>
      <c r="I621" s="556">
        <f t="shared" ref="I621:O623" ca="1" si="347">I$620*$G621</f>
        <v>0</v>
      </c>
      <c r="J621" s="556">
        <f t="shared" ca="1" si="347"/>
        <v>0</v>
      </c>
      <c r="K621" s="556">
        <f t="shared" ca="1" si="347"/>
        <v>0</v>
      </c>
      <c r="L621" s="556">
        <f t="shared" ca="1" si="347"/>
        <v>0</v>
      </c>
      <c r="M621" s="556"/>
      <c r="N621" s="556">
        <f t="shared" si="347"/>
        <v>0</v>
      </c>
      <c r="O621" s="556">
        <f t="shared" si="347"/>
        <v>0</v>
      </c>
      <c r="P621" s="182">
        <f>VLOOKUP($B621,dongia1,DG!$F$5,)</f>
        <v>15454544</v>
      </c>
      <c r="Q621" s="554"/>
      <c r="R621" s="554"/>
      <c r="S621" s="113">
        <f t="shared" ref="S621:U622" si="348">$G621*P621</f>
        <v>15454544</v>
      </c>
      <c r="T621" s="113">
        <f t="shared" si="348"/>
        <v>0</v>
      </c>
      <c r="U621" s="557">
        <f t="shared" si="348"/>
        <v>0</v>
      </c>
    </row>
    <row r="622" spans="1:21" s="552" customFormat="1" ht="15" hidden="1" customHeight="1">
      <c r="A622" s="621"/>
      <c r="B622" s="622" t="s">
        <v>1457</v>
      </c>
      <c r="C622" s="558">
        <f>C621</f>
        <v>0</v>
      </c>
      <c r="D622" s="553"/>
      <c r="E622" s="694" t="str">
        <f>VLOOKUP($B622,dongia1,DG!$C$5,)</f>
        <v>Vật liệu dựng trụ</v>
      </c>
      <c r="F622" s="555" t="str">
        <f>VLOOKUP($B622,dongia1,DG!$D$5,)</f>
        <v>trụ</v>
      </c>
      <c r="G622" s="205">
        <v>1</v>
      </c>
      <c r="H622" s="556"/>
      <c r="I622" s="556">
        <f t="shared" ca="1" si="347"/>
        <v>0</v>
      </c>
      <c r="J622" s="556">
        <f t="shared" ca="1" si="347"/>
        <v>0</v>
      </c>
      <c r="K622" s="556">
        <f t="shared" ca="1" si="347"/>
        <v>0</v>
      </c>
      <c r="L622" s="556">
        <f t="shared" ca="1" si="347"/>
        <v>0</v>
      </c>
      <c r="M622" s="556"/>
      <c r="N622" s="556">
        <f t="shared" si="347"/>
        <v>0</v>
      </c>
      <c r="O622" s="556">
        <f t="shared" si="347"/>
        <v>0</v>
      </c>
      <c r="P622" s="182">
        <f>VLOOKUP($B622,dongia1,DG!$F$5,)</f>
        <v>17400</v>
      </c>
      <c r="Q622" s="554"/>
      <c r="R622" s="554"/>
      <c r="S622" s="113">
        <f t="shared" si="348"/>
        <v>17400</v>
      </c>
      <c r="T622" s="113">
        <f t="shared" si="348"/>
        <v>0</v>
      </c>
      <c r="U622" s="557">
        <f t="shared" si="348"/>
        <v>0</v>
      </c>
    </row>
    <row r="623" spans="1:21" s="552" customFormat="1" ht="15" hidden="1" customHeight="1">
      <c r="A623" s="621"/>
      <c r="B623" s="622" t="s">
        <v>1629</v>
      </c>
      <c r="C623" s="558">
        <f>C622</f>
        <v>0</v>
      </c>
      <c r="D623" s="553"/>
      <c r="E623" s="694" t="str">
        <f>VLOOKUP($B623,dongia1,DG!$C$5,)</f>
        <v>Dựng trụ BTLT 20m thủ công + cơ giới</v>
      </c>
      <c r="F623" s="555" t="str">
        <f>VLOOKUP($B623,dongia1,DG!$D$5,)</f>
        <v>trụ</v>
      </c>
      <c r="G623" s="205">
        <v>1</v>
      </c>
      <c r="H623" s="556"/>
      <c r="I623" s="556">
        <f t="shared" ca="1" si="347"/>
        <v>0</v>
      </c>
      <c r="J623" s="556">
        <f t="shared" ca="1" si="347"/>
        <v>0</v>
      </c>
      <c r="K623" s="556">
        <f t="shared" ca="1" si="347"/>
        <v>0</v>
      </c>
      <c r="L623" s="556">
        <f t="shared" ca="1" si="347"/>
        <v>0</v>
      </c>
      <c r="M623" s="556"/>
      <c r="N623" s="556">
        <f t="shared" si="347"/>
        <v>0</v>
      </c>
      <c r="O623" s="556">
        <f t="shared" si="347"/>
        <v>0</v>
      </c>
      <c r="P623" s="554"/>
      <c r="Q623" s="603" t="str">
        <f>TEXT(VLOOKUP($B623,dongia1,DG!$G$5,),"#,##0")&amp;" x"&amp;hsdc</f>
        <v>1216171,0 x0,7</v>
      </c>
      <c r="R623" s="182">
        <f>VLOOKUP($B623,dongia1,DG!$H$5,)</f>
        <v>405129.4</v>
      </c>
      <c r="S623" s="113">
        <f>$G623*P623</f>
        <v>0</v>
      </c>
      <c r="T623" s="603">
        <f>VLOOKUP($B623,dongia1,DG!G$5,)*G623*hsdc</f>
        <v>851319.7</v>
      </c>
      <c r="U623" s="557">
        <f>$G623*R623</f>
        <v>405129.4</v>
      </c>
    </row>
    <row r="624" spans="1:21" s="858" customFormat="1" hidden="1">
      <c r="A624" s="847"/>
      <c r="B624" s="848"/>
      <c r="C624" s="849">
        <f>C626</f>
        <v>0</v>
      </c>
      <c r="D624" s="850"/>
      <c r="E624" s="851" t="s">
        <v>4447</v>
      </c>
      <c r="F624" s="852"/>
      <c r="G624" s="853"/>
      <c r="H624" s="854"/>
      <c r="I624" s="854"/>
      <c r="J624" s="854"/>
      <c r="K624" s="854"/>
      <c r="L624" s="854"/>
      <c r="M624" s="854"/>
      <c r="N624" s="854"/>
      <c r="O624" s="854"/>
      <c r="P624" s="855"/>
      <c r="Q624" s="935"/>
      <c r="R624" s="909"/>
      <c r="S624" s="909"/>
      <c r="T624" s="935"/>
      <c r="U624" s="933"/>
    </row>
    <row r="625" spans="1:21" s="552" customFormat="1" ht="15" hidden="1" customHeight="1">
      <c r="A625" s="621"/>
      <c r="B625" s="622" t="s">
        <v>1683</v>
      </c>
      <c r="C625" s="558">
        <f t="shared" ref="C625:C630" si="349">IF(H625&gt;0,"x",)</f>
        <v>0</v>
      </c>
      <c r="D625" s="553"/>
      <c r="E625" s="694" t="s">
        <v>4358</v>
      </c>
      <c r="F625" s="555" t="s">
        <v>1133</v>
      </c>
      <c r="G625" s="205">
        <v>1</v>
      </c>
      <c r="H625" s="556"/>
      <c r="I625" s="556"/>
      <c r="J625" s="556">
        <f>pptt_NC!KP41</f>
        <v>0</v>
      </c>
      <c r="K625" s="556"/>
      <c r="L625" s="556"/>
      <c r="M625" s="556"/>
      <c r="N625" s="556"/>
      <c r="O625" s="556"/>
      <c r="P625" s="554">
        <v>17400</v>
      </c>
      <c r="Q625" s="603">
        <f>VLOOKUP($B625,dongia1,DG!$G$5,)</f>
        <v>734712</v>
      </c>
      <c r="R625" s="182">
        <f>VLOOKUP($B625,dongia1,DG!$H$5,)</f>
        <v>222821.17</v>
      </c>
      <c r="S625" s="113">
        <f t="shared" ref="S625:S630" si="350">$G625*P625</f>
        <v>17400</v>
      </c>
      <c r="T625" s="603">
        <f>VLOOKUP($B625,dongia1,DG!G$5,)*G625</f>
        <v>734712</v>
      </c>
      <c r="U625" s="715">
        <f t="shared" ref="U625:U630" si="351">$G625*R625</f>
        <v>222821.17</v>
      </c>
    </row>
    <row r="626" spans="1:21" s="552" customFormat="1" ht="15" hidden="1" customHeight="1">
      <c r="A626" s="621"/>
      <c r="B626" s="622" t="s">
        <v>695</v>
      </c>
      <c r="C626" s="558">
        <f t="shared" si="349"/>
        <v>0</v>
      </c>
      <c r="D626" s="553"/>
      <c r="E626" s="694" t="s">
        <v>4282</v>
      </c>
      <c r="F626" s="555" t="s">
        <v>1133</v>
      </c>
      <c r="G626" s="205">
        <v>1</v>
      </c>
      <c r="H626" s="556"/>
      <c r="I626" s="556"/>
      <c r="J626" s="556">
        <f>pptt_NC!KO41</f>
        <v>0</v>
      </c>
      <c r="K626" s="556"/>
      <c r="L626" s="556"/>
      <c r="M626" s="556">
        <f>ppht_NC!IQ14</f>
        <v>0</v>
      </c>
      <c r="N626" s="556"/>
      <c r="O626" s="556"/>
      <c r="P626" s="554">
        <v>17400</v>
      </c>
      <c r="Q626" s="603">
        <f>VLOOKUP($B626,dongia1,DG!$G$5,)</f>
        <v>589996</v>
      </c>
      <c r="R626" s="182">
        <f>VLOOKUP($B626,dongia1,DG!$H$5,)</f>
        <v>202564.7</v>
      </c>
      <c r="S626" s="113">
        <f t="shared" si="350"/>
        <v>17400</v>
      </c>
      <c r="T626" s="603">
        <f>VLOOKUP($B626,dongia1,DG!G$5,)*G626</f>
        <v>589996</v>
      </c>
      <c r="U626" s="557">
        <f t="shared" si="351"/>
        <v>202564.7</v>
      </c>
    </row>
    <row r="627" spans="1:21" s="552" customFormat="1" ht="15" hidden="1" customHeight="1">
      <c r="A627" s="621"/>
      <c r="B627" s="622" t="s">
        <v>695</v>
      </c>
      <c r="C627" s="558">
        <f t="shared" si="349"/>
        <v>0</v>
      </c>
      <c r="D627" s="553"/>
      <c r="E627" s="694" t="s">
        <v>4281</v>
      </c>
      <c r="F627" s="555" t="s">
        <v>1133</v>
      </c>
      <c r="G627" s="205">
        <v>1</v>
      </c>
      <c r="H627" s="556"/>
      <c r="I627" s="556"/>
      <c r="J627" s="556">
        <f>pptt_NC!KN41</f>
        <v>0</v>
      </c>
      <c r="K627" s="556"/>
      <c r="L627" s="556"/>
      <c r="M627" s="556">
        <f>ppht_NC!IR14</f>
        <v>0</v>
      </c>
      <c r="N627" s="556"/>
      <c r="O627" s="556"/>
      <c r="P627" s="554">
        <v>17400</v>
      </c>
      <c r="Q627" s="603">
        <f>VLOOKUP($B627,dongia1,DG!$G$5,)</f>
        <v>589996</v>
      </c>
      <c r="R627" s="182">
        <f>VLOOKUP($B627,dongia1,DG!$H$5,)</f>
        <v>202564.7</v>
      </c>
      <c r="S627" s="113">
        <f t="shared" si="350"/>
        <v>17400</v>
      </c>
      <c r="T627" s="603">
        <f>VLOOKUP($B627,dongia1,DG!G$5,)*G627</f>
        <v>589996</v>
      </c>
      <c r="U627" s="557">
        <f t="shared" si="351"/>
        <v>202564.7</v>
      </c>
    </row>
    <row r="628" spans="1:21" s="552" customFormat="1" ht="15" hidden="1" customHeight="1">
      <c r="A628" s="621"/>
      <c r="B628" s="622" t="s">
        <v>924</v>
      </c>
      <c r="C628" s="558">
        <f t="shared" si="349"/>
        <v>0</v>
      </c>
      <c r="D628" s="553"/>
      <c r="E628" s="694" t="s">
        <v>4280</v>
      </c>
      <c r="F628" s="555" t="s">
        <v>1133</v>
      </c>
      <c r="G628" s="205">
        <v>1</v>
      </c>
      <c r="H628" s="556"/>
      <c r="I628" s="556"/>
      <c r="J628" s="556">
        <f>pptt_NC!KM41</f>
        <v>0</v>
      </c>
      <c r="K628" s="556"/>
      <c r="L628" s="556"/>
      <c r="M628" s="556">
        <f>ppht_NC!IS14</f>
        <v>0</v>
      </c>
      <c r="N628" s="556"/>
      <c r="O628" s="556"/>
      <c r="P628" s="554">
        <v>17400</v>
      </c>
      <c r="Q628" s="603">
        <f>VLOOKUP($B628,dongia1,DG!$G$5,)</f>
        <v>551034</v>
      </c>
      <c r="R628" s="182">
        <f>VLOOKUP($B628,dongia1,DG!$H$5,)</f>
        <v>141795.29</v>
      </c>
      <c r="S628" s="113">
        <f t="shared" si="350"/>
        <v>17400</v>
      </c>
      <c r="T628" s="603">
        <f>VLOOKUP($B628,dongia1,DG!G$5,)*G628</f>
        <v>551034</v>
      </c>
      <c r="U628" s="557">
        <f t="shared" si="351"/>
        <v>141795.29</v>
      </c>
    </row>
    <row r="629" spans="1:21" s="552" customFormat="1" ht="15" hidden="1" customHeight="1">
      <c r="A629" s="621"/>
      <c r="B629" s="622" t="s">
        <v>924</v>
      </c>
      <c r="C629" s="558">
        <f t="shared" si="349"/>
        <v>0</v>
      </c>
      <c r="D629" s="553"/>
      <c r="E629" s="694" t="s">
        <v>4359</v>
      </c>
      <c r="F629" s="555" t="s">
        <v>1133</v>
      </c>
      <c r="G629" s="205">
        <v>1</v>
      </c>
      <c r="H629" s="556"/>
      <c r="I629" s="556"/>
      <c r="J629" s="556"/>
      <c r="K629" s="556"/>
      <c r="L629" s="556"/>
      <c r="M629" s="556">
        <f>ppht_NC!IT14</f>
        <v>0</v>
      </c>
      <c r="N629" s="556"/>
      <c r="O629" s="556"/>
      <c r="P629" s="554">
        <v>17400</v>
      </c>
      <c r="Q629" s="603">
        <f>VLOOKUP($B629,dongia1,DG!$G$5,)</f>
        <v>551034</v>
      </c>
      <c r="R629" s="182">
        <f>VLOOKUP($B629,dongia1,DG!$H$5,)</f>
        <v>141795.29</v>
      </c>
      <c r="S629" s="113">
        <f t="shared" si="350"/>
        <v>17400</v>
      </c>
      <c r="T629" s="603">
        <f>VLOOKUP($B629,dongia1,DG!G$5,)*G629</f>
        <v>551034</v>
      </c>
      <c r="U629" s="557">
        <f t="shared" si="351"/>
        <v>141795.29</v>
      </c>
    </row>
    <row r="630" spans="1:21" s="552" customFormat="1" ht="15" hidden="1" customHeight="1">
      <c r="A630" s="621"/>
      <c r="B630" s="622" t="s">
        <v>924</v>
      </c>
      <c r="C630" s="558">
        <f t="shared" si="349"/>
        <v>0</v>
      </c>
      <c r="D630" s="553"/>
      <c r="E630" s="694" t="s">
        <v>4360</v>
      </c>
      <c r="F630" s="555" t="s">
        <v>1133</v>
      </c>
      <c r="G630" s="205">
        <v>1</v>
      </c>
      <c r="H630" s="556"/>
      <c r="I630" s="556"/>
      <c r="J630" s="556"/>
      <c r="K630" s="556"/>
      <c r="L630" s="556"/>
      <c r="M630" s="556">
        <f>ppht_NC!IU14</f>
        <v>0</v>
      </c>
      <c r="N630" s="556"/>
      <c r="O630" s="556"/>
      <c r="P630" s="554">
        <v>17400</v>
      </c>
      <c r="Q630" s="603">
        <f>VLOOKUP($B630,dongia1,DG!$G$5,)</f>
        <v>551034</v>
      </c>
      <c r="R630" s="182">
        <f>VLOOKUP($B630,dongia1,DG!$H$5,)</f>
        <v>141795.29</v>
      </c>
      <c r="S630" s="113">
        <f t="shared" si="350"/>
        <v>17400</v>
      </c>
      <c r="T630" s="603">
        <f>VLOOKUP($B630,dongia1,DG!G$5,)*G630</f>
        <v>551034</v>
      </c>
      <c r="U630" s="557">
        <f t="shared" si="351"/>
        <v>141795.29</v>
      </c>
    </row>
    <row r="631" spans="1:21" s="552" customFormat="1" ht="15" customHeight="1">
      <c r="A631" s="621"/>
      <c r="B631" s="622"/>
      <c r="C631" s="558"/>
      <c r="D631" s="553"/>
      <c r="E631" s="694"/>
      <c r="F631" s="555"/>
      <c r="G631" s="205"/>
      <c r="H631" s="556"/>
      <c r="I631" s="556"/>
      <c r="J631" s="556"/>
      <c r="K631" s="556"/>
      <c r="L631" s="556"/>
      <c r="M631" s="556"/>
      <c r="N631" s="556"/>
      <c r="O631" s="556"/>
      <c r="P631" s="554"/>
      <c r="Q631" s="603"/>
      <c r="R631" s="182"/>
      <c r="S631" s="113"/>
      <c r="T631" s="603"/>
      <c r="U631" s="557"/>
    </row>
    <row r="632" spans="1:21" s="552" customFormat="1" ht="15" customHeight="1">
      <c r="A632" s="621"/>
      <c r="B632" s="622"/>
      <c r="C632" s="558"/>
      <c r="D632" s="553"/>
      <c r="E632" s="694"/>
      <c r="F632" s="555"/>
      <c r="G632" s="205"/>
      <c r="H632" s="556"/>
      <c r="I632" s="556"/>
      <c r="J632" s="556"/>
      <c r="K632" s="556"/>
      <c r="L632" s="556"/>
      <c r="M632" s="556"/>
      <c r="N632" s="556"/>
      <c r="O632" s="556"/>
      <c r="P632" s="554"/>
      <c r="Q632" s="603"/>
      <c r="R632" s="182"/>
      <c r="S632" s="113"/>
      <c r="T632" s="603"/>
      <c r="U632" s="557"/>
    </row>
    <row r="633" spans="1:21">
      <c r="B633" s="696"/>
      <c r="C633" s="631" t="s">
        <v>309</v>
      </c>
      <c r="D633" s="850" t="s">
        <v>1575</v>
      </c>
      <c r="E633" s="851" t="s">
        <v>3566</v>
      </c>
      <c r="F633" s="703"/>
      <c r="G633" s="762"/>
      <c r="H633" s="701"/>
      <c r="I633" s="936"/>
      <c r="J633" s="936"/>
      <c r="K633" s="936"/>
      <c r="L633" s="936"/>
      <c r="M633" s="936"/>
      <c r="N633" s="936"/>
      <c r="O633" s="936"/>
      <c r="P633" s="703"/>
      <c r="Q633" s="703"/>
      <c r="R633" s="703"/>
      <c r="S633" s="702"/>
      <c r="T633" s="702"/>
      <c r="U633" s="704"/>
    </row>
    <row r="634" spans="1:21" s="858" customFormat="1">
      <c r="A634" s="847"/>
      <c r="B634" s="848"/>
      <c r="C634" s="849" t="str">
        <f>C633</f>
        <v>x</v>
      </c>
      <c r="D634" s="850" t="s">
        <v>4448</v>
      </c>
      <c r="E634" s="851" t="s">
        <v>4446</v>
      </c>
      <c r="F634" s="852" t="s">
        <v>2113</v>
      </c>
      <c r="G634" s="853"/>
      <c r="H634" s="854"/>
      <c r="I634" s="854">
        <f ca="1">SUMIF(xa3pm,chitiet!$A634,slxa3pm)</f>
        <v>6</v>
      </c>
      <c r="J634" s="854">
        <f ca="1">SUMIF(xact,chitiet!$A634,slxact)</f>
        <v>0</v>
      </c>
      <c r="K634" s="854">
        <f ca="1">SUMIF(xa3p1m,chitiet!$A634,slxa3p1m)</f>
        <v>0</v>
      </c>
      <c r="L634" s="854">
        <f ca="1">SUMIF(xa1pm,chitiet!$A634,slxa1pm)</f>
        <v>0</v>
      </c>
      <c r="M634" s="854"/>
      <c r="N634" s="854"/>
      <c r="O634" s="854"/>
      <c r="P634" s="855"/>
      <c r="Q634" s="855"/>
      <c r="R634" s="855"/>
      <c r="S634" s="856">
        <f t="shared" ref="S634:U635" si="352">SUM(S635:S640)</f>
        <v>1736020.0499999998</v>
      </c>
      <c r="T634" s="856">
        <f t="shared" si="352"/>
        <v>265621.5</v>
      </c>
      <c r="U634" s="931">
        <f t="shared" si="352"/>
        <v>0</v>
      </c>
    </row>
    <row r="635" spans="1:21" s="858" customFormat="1">
      <c r="A635" s="847" t="s">
        <v>3741</v>
      </c>
      <c r="B635" s="848"/>
      <c r="C635" s="849" t="str">
        <f>IF(H635&lt;&gt;0,"x"," ")</f>
        <v xml:space="preserve"> </v>
      </c>
      <c r="D635" s="850">
        <v>1</v>
      </c>
      <c r="E635" s="851" t="s">
        <v>3567</v>
      </c>
      <c r="F635" s="852" t="s">
        <v>2113</v>
      </c>
      <c r="G635" s="853"/>
      <c r="H635" s="854"/>
      <c r="I635" s="854">
        <f ca="1">SUMIF(xa3pm,chitiet!$A635,slxa3pm)</f>
        <v>0</v>
      </c>
      <c r="J635" s="854">
        <f ca="1">SUMIF(xact,chitiet!$A635,slxact)</f>
        <v>0</v>
      </c>
      <c r="K635" s="854">
        <f ca="1">SUMIF(xa3p1m,chitiet!$A635,slxa3p1m)</f>
        <v>0</v>
      </c>
      <c r="L635" s="854">
        <f ca="1">SUMIF(xa1pm,chitiet!$A635,slxa1pm)</f>
        <v>0</v>
      </c>
      <c r="M635" s="854"/>
      <c r="N635" s="854"/>
      <c r="O635" s="854"/>
      <c r="P635" s="855"/>
      <c r="Q635" s="855"/>
      <c r="R635" s="855"/>
      <c r="S635" s="856">
        <f t="shared" si="352"/>
        <v>868010.02499999991</v>
      </c>
      <c r="T635" s="856">
        <f t="shared" si="352"/>
        <v>265621.5</v>
      </c>
      <c r="U635" s="931">
        <f t="shared" si="352"/>
        <v>0</v>
      </c>
    </row>
    <row r="636" spans="1:21">
      <c r="B636" s="696" t="s">
        <v>386</v>
      </c>
      <c r="C636" s="631" t="str">
        <f t="shared" ref="C636:C641" si="353">C635</f>
        <v xml:space="preserve"> </v>
      </c>
      <c r="D636" s="698">
        <f>VLOOKUP($B636,dongia1,DG!$B$5,)</f>
        <v>0</v>
      </c>
      <c r="E636" s="699" t="str">
        <f>VLOOKUP($B636,dongia1,DG!$C$5,)</f>
        <v>Sắt góc L75 x75 x8</v>
      </c>
      <c r="F636" s="700" t="str">
        <f>VLOOKUP($B636,dongia1,DG!$D$5,)</f>
        <v>kg</v>
      </c>
      <c r="G636" s="762">
        <f>9.02*(1.66+0.07*2)</f>
        <v>16.235999999999997</v>
      </c>
      <c r="H636" s="701"/>
      <c r="I636" s="701">
        <f t="shared" ref="I636:O641" ca="1" si="354">I$635*$G636</f>
        <v>0</v>
      </c>
      <c r="J636" s="701">
        <f t="shared" ca="1" si="354"/>
        <v>0</v>
      </c>
      <c r="K636" s="701">
        <f t="shared" ca="1" si="354"/>
        <v>0</v>
      </c>
      <c r="L636" s="701">
        <f t="shared" ca="1" si="354"/>
        <v>0</v>
      </c>
      <c r="M636" s="701"/>
      <c r="N636" s="701">
        <f t="shared" si="354"/>
        <v>0</v>
      </c>
      <c r="O636" s="701">
        <f t="shared" si="354"/>
        <v>0</v>
      </c>
      <c r="P636" s="702">
        <f>VLOOKUP($B636,dongia1,DG!$F$5,)</f>
        <v>31625</v>
      </c>
      <c r="Q636" s="703"/>
      <c r="R636" s="703"/>
      <c r="S636" s="702">
        <f t="shared" ref="S636:U640" si="355">$G636*P636</f>
        <v>513463.49999999988</v>
      </c>
      <c r="T636" s="702">
        <f t="shared" si="355"/>
        <v>0</v>
      </c>
      <c r="U636" s="704">
        <f t="shared" si="355"/>
        <v>0</v>
      </c>
    </row>
    <row r="637" spans="1:21">
      <c r="B637" s="696" t="s">
        <v>2</v>
      </c>
      <c r="C637" s="631" t="str">
        <f t="shared" si="353"/>
        <v xml:space="preserve"> </v>
      </c>
      <c r="D637" s="698">
        <f>VLOOKUP($B637,dongia1,DG!$B$5,)</f>
        <v>0</v>
      </c>
      <c r="E637" s="699" t="str">
        <f>VLOOKUP($B637,dongia1,DG!$C$5,)</f>
        <v>Sắt góc L50 x50 x5</v>
      </c>
      <c r="F637" s="700" t="str">
        <f>VLOOKUP($B637,dongia1,DG!$D$5,)</f>
        <v>kg</v>
      </c>
      <c r="G637" s="762">
        <f>3.77*0.81*2</f>
        <v>6.1074000000000002</v>
      </c>
      <c r="H637" s="701"/>
      <c r="I637" s="701">
        <f t="shared" ca="1" si="354"/>
        <v>0</v>
      </c>
      <c r="J637" s="701">
        <f t="shared" ca="1" si="354"/>
        <v>0</v>
      </c>
      <c r="K637" s="701">
        <f t="shared" ca="1" si="354"/>
        <v>0</v>
      </c>
      <c r="L637" s="701">
        <f t="shared" ca="1" si="354"/>
        <v>0</v>
      </c>
      <c r="M637" s="701"/>
      <c r="N637" s="701">
        <f t="shared" si="354"/>
        <v>0</v>
      </c>
      <c r="O637" s="701">
        <f t="shared" si="354"/>
        <v>0</v>
      </c>
      <c r="P637" s="702">
        <f>VLOOKUP($B637,dongia1,DG!$F$5,)</f>
        <v>31625</v>
      </c>
      <c r="Q637" s="703"/>
      <c r="R637" s="703"/>
      <c r="S637" s="702">
        <f t="shared" si="355"/>
        <v>193146.52499999999</v>
      </c>
      <c r="T637" s="702">
        <f t="shared" si="355"/>
        <v>0</v>
      </c>
      <c r="U637" s="704">
        <f t="shared" si="355"/>
        <v>0</v>
      </c>
    </row>
    <row r="638" spans="1:21" s="552" customFormat="1" ht="15" customHeight="1">
      <c r="A638" s="621"/>
      <c r="B638" s="622" t="s">
        <v>415</v>
      </c>
      <c r="C638" s="558"/>
      <c r="D638" s="553">
        <f>VLOOKUP($B638,dongia1,DG!$B$5,)</f>
        <v>0</v>
      </c>
      <c r="E638" s="694" t="str">
        <f>VLOOKUP($B638,dongia1,DG!$C$5,)</f>
        <v>Chân sứ đỉnh thẳng dài 870mm</v>
      </c>
      <c r="F638" s="555" t="str">
        <f>VLOOKUP($B638,dongia1,DG!$D$5,)</f>
        <v>cái</v>
      </c>
      <c r="G638" s="205">
        <v>1</v>
      </c>
      <c r="H638" s="556"/>
      <c r="I638" s="556">
        <f t="shared" ca="1" si="354"/>
        <v>0</v>
      </c>
      <c r="J638" s="556">
        <f t="shared" ca="1" si="354"/>
        <v>0</v>
      </c>
      <c r="K638" s="556">
        <f t="shared" ca="1" si="354"/>
        <v>0</v>
      </c>
      <c r="L638" s="556">
        <f t="shared" ca="1" si="354"/>
        <v>0</v>
      </c>
      <c r="M638" s="556"/>
      <c r="N638" s="556">
        <f t="shared" si="354"/>
        <v>0</v>
      </c>
      <c r="O638" s="556">
        <f t="shared" si="354"/>
        <v>0</v>
      </c>
      <c r="P638" s="182">
        <f>VLOOKUP($B638,dongia1,DG!$F$5,)</f>
        <v>83000</v>
      </c>
      <c r="Q638" s="554"/>
      <c r="R638" s="554"/>
      <c r="S638" s="113">
        <f t="shared" si="355"/>
        <v>83000</v>
      </c>
      <c r="T638" s="113">
        <f t="shared" si="355"/>
        <v>0</v>
      </c>
      <c r="U638" s="557">
        <f t="shared" si="355"/>
        <v>0</v>
      </c>
    </row>
    <row r="639" spans="1:21">
      <c r="B639" s="696" t="s">
        <v>1261</v>
      </c>
      <c r="C639" s="631" t="str">
        <f>C637</f>
        <v xml:space="preserve"> </v>
      </c>
      <c r="D639" s="698">
        <f>VLOOKUP($B639,dongia1,DG!$B$5,)</f>
        <v>0</v>
      </c>
      <c r="E639" s="699" t="str">
        <f>VLOOKUP($B639,dongia1,DG!$C$5,)</f>
        <v>Boulon 16x250+ 2 long đền vuông D18-50x50x3/Zn</v>
      </c>
      <c r="F639" s="700" t="str">
        <f>VLOOKUP($B639,dongia1,DG!$D$5,)</f>
        <v>bộ</v>
      </c>
      <c r="G639" s="762">
        <v>4</v>
      </c>
      <c r="H639" s="701"/>
      <c r="I639" s="701">
        <f t="shared" ca="1" si="354"/>
        <v>0</v>
      </c>
      <c r="J639" s="701">
        <f t="shared" ca="1" si="354"/>
        <v>0</v>
      </c>
      <c r="K639" s="701">
        <f t="shared" ca="1" si="354"/>
        <v>0</v>
      </c>
      <c r="L639" s="701">
        <f t="shared" ca="1" si="354"/>
        <v>0</v>
      </c>
      <c r="M639" s="701"/>
      <c r="N639" s="701">
        <f t="shared" si="354"/>
        <v>0</v>
      </c>
      <c r="O639" s="701">
        <f t="shared" si="354"/>
        <v>0</v>
      </c>
      <c r="P639" s="702">
        <f>VLOOKUP($B639,dongia1,DG!$F$5,)</f>
        <v>13400</v>
      </c>
      <c r="Q639" s="703"/>
      <c r="R639" s="703"/>
      <c r="S639" s="702">
        <f t="shared" si="355"/>
        <v>53600</v>
      </c>
      <c r="T639" s="702">
        <f t="shared" si="355"/>
        <v>0</v>
      </c>
      <c r="U639" s="704">
        <f t="shared" si="355"/>
        <v>0</v>
      </c>
    </row>
    <row r="640" spans="1:21">
      <c r="B640" s="696" t="s">
        <v>1044</v>
      </c>
      <c r="C640" s="631" t="str">
        <f t="shared" si="353"/>
        <v xml:space="preserve"> </v>
      </c>
      <c r="D640" s="698">
        <f>VLOOKUP($B640,dongia1,DG!$B$5,)</f>
        <v>0</v>
      </c>
      <c r="E640" s="699" t="str">
        <f>VLOOKUP($B640,dongia1,DG!$C$5,)</f>
        <v>Boulon 16x50+ 2 long đền vuông D18-50x50x3/Zn</v>
      </c>
      <c r="F640" s="700" t="str">
        <f>VLOOKUP($B640,dongia1,DG!$D$5,)</f>
        <v>bộ</v>
      </c>
      <c r="G640" s="762">
        <v>2</v>
      </c>
      <c r="H640" s="701"/>
      <c r="I640" s="701">
        <f t="shared" ca="1" si="354"/>
        <v>0</v>
      </c>
      <c r="J640" s="701">
        <f t="shared" ca="1" si="354"/>
        <v>0</v>
      </c>
      <c r="K640" s="701">
        <f t="shared" ca="1" si="354"/>
        <v>0</v>
      </c>
      <c r="L640" s="701">
        <f t="shared" ca="1" si="354"/>
        <v>0</v>
      </c>
      <c r="M640" s="701"/>
      <c r="N640" s="701">
        <f t="shared" si="354"/>
        <v>0</v>
      </c>
      <c r="O640" s="701">
        <f t="shared" si="354"/>
        <v>0</v>
      </c>
      <c r="P640" s="702">
        <f>VLOOKUP($B640,dongia1,DG!$F$5,)</f>
        <v>12400</v>
      </c>
      <c r="Q640" s="703"/>
      <c r="R640" s="703"/>
      <c r="S640" s="702">
        <f t="shared" si="355"/>
        <v>24800</v>
      </c>
      <c r="T640" s="702">
        <f t="shared" si="355"/>
        <v>0</v>
      </c>
      <c r="U640" s="704">
        <f t="shared" si="355"/>
        <v>0</v>
      </c>
    </row>
    <row r="641" spans="1:21">
      <c r="B641" s="696" t="s">
        <v>371</v>
      </c>
      <c r="C641" s="631" t="str">
        <f t="shared" si="353"/>
        <v xml:space="preserve"> </v>
      </c>
      <c r="D641" s="698"/>
      <c r="E641" s="699" t="str">
        <f>VLOOKUP($B641,dongia1,DG!$C$5,)</f>
        <v>Lắp xà đỡ 1,66m đơn (26,550kg)</v>
      </c>
      <c r="F641" s="700" t="str">
        <f>VLOOKUP($B641,dongia1,DG!$D$5,)</f>
        <v>bộ</v>
      </c>
      <c r="G641" s="762">
        <v>1</v>
      </c>
      <c r="H641" s="701"/>
      <c r="I641" s="701">
        <f t="shared" ca="1" si="354"/>
        <v>0</v>
      </c>
      <c r="J641" s="701">
        <f t="shared" ca="1" si="354"/>
        <v>0</v>
      </c>
      <c r="K641" s="701">
        <f t="shared" ca="1" si="354"/>
        <v>0</v>
      </c>
      <c r="L641" s="701">
        <f t="shared" ca="1" si="354"/>
        <v>0</v>
      </c>
      <c r="M641" s="701"/>
      <c r="N641" s="701">
        <f t="shared" si="354"/>
        <v>0</v>
      </c>
      <c r="O641" s="701">
        <f t="shared" si="354"/>
        <v>0</v>
      </c>
      <c r="P641" s="703"/>
      <c r="Q641" s="934" t="str">
        <f>TEXT(VLOOKUP($B641,dongia1,DG!$G$5,),"#,##0")&amp;" x"&amp;hslx</f>
        <v>177081,0 x1,5</v>
      </c>
      <c r="R641" s="703"/>
      <c r="S641" s="702">
        <f>$G641*P641</f>
        <v>0</v>
      </c>
      <c r="T641" s="702">
        <f>VLOOKUP($B641,dongia1,DG!G$5,)*G641*hslx</f>
        <v>265621.5</v>
      </c>
      <c r="U641" s="704">
        <f>$G641*R641</f>
        <v>0</v>
      </c>
    </row>
    <row r="642" spans="1:21" s="552" customFormat="1" ht="15" customHeight="1">
      <c r="A642" s="621" t="s">
        <v>920</v>
      </c>
      <c r="B642" s="622"/>
      <c r="C642" s="558" t="str">
        <f>IF(H642&lt;&gt;0,"x"," ")</f>
        <v xml:space="preserve"> </v>
      </c>
      <c r="D642" s="553">
        <v>2</v>
      </c>
      <c r="E642" s="727" t="s">
        <v>3568</v>
      </c>
      <c r="F642" s="600" t="s">
        <v>2113</v>
      </c>
      <c r="G642" s="205"/>
      <c r="H642" s="556"/>
      <c r="I642" s="556">
        <f ca="1">SUMIF(xa3pm,chitiet!$A642,slxa3pm)</f>
        <v>0</v>
      </c>
      <c r="J642" s="556">
        <f ca="1">SUMIF(xact,chitiet!$A642,slxact)</f>
        <v>0</v>
      </c>
      <c r="K642" s="556">
        <f ca="1">SUMIF(xa3p1m,chitiet!$A642,slxa3p1m)</f>
        <v>0</v>
      </c>
      <c r="L642" s="556">
        <f ca="1">SUMIF(xa1pm,chitiet!$A642,slxa1pm)</f>
        <v>0</v>
      </c>
      <c r="M642" s="556"/>
      <c r="N642" s="556"/>
      <c r="O642" s="556"/>
      <c r="P642" s="554"/>
      <c r="Q642" s="554"/>
      <c r="R642" s="554"/>
      <c r="S642" s="601">
        <f>SUM(S643:S648)</f>
        <v>1576020.0499999998</v>
      </c>
      <c r="T642" s="601">
        <f>SUM(T643:T648)</f>
        <v>591800.17500000005</v>
      </c>
      <c r="U642" s="602">
        <f>SUM(U643:U648)</f>
        <v>0</v>
      </c>
    </row>
    <row r="643" spans="1:21" s="552" customFormat="1" ht="15" customHeight="1">
      <c r="A643" s="621"/>
      <c r="B643" s="622" t="s">
        <v>386</v>
      </c>
      <c r="C643" s="558" t="str">
        <f>C642</f>
        <v xml:space="preserve"> </v>
      </c>
      <c r="D643" s="553"/>
      <c r="E643" s="694" t="str">
        <f>VLOOKUP($B643,dongia1,DG!$C$5,)</f>
        <v>Sắt góc L75 x75 x8</v>
      </c>
      <c r="F643" s="555" t="str">
        <f>VLOOKUP($B643,dongia1,DG!$D$5,)</f>
        <v>kg</v>
      </c>
      <c r="G643" s="205">
        <f>9.02*(1.66+0.07*2)*2</f>
        <v>32.471999999999994</v>
      </c>
      <c r="H643" s="556"/>
      <c r="I643" s="556">
        <f t="shared" ref="I643:O648" ca="1" si="356">I$642*$G643</f>
        <v>0</v>
      </c>
      <c r="J643" s="556">
        <f t="shared" ca="1" si="356"/>
        <v>0</v>
      </c>
      <c r="K643" s="556">
        <f t="shared" ca="1" si="356"/>
        <v>0</v>
      </c>
      <c r="L643" s="556">
        <f t="shared" ca="1" si="356"/>
        <v>0</v>
      </c>
      <c r="M643" s="556"/>
      <c r="N643" s="556">
        <f t="shared" si="356"/>
        <v>0</v>
      </c>
      <c r="O643" s="556">
        <f t="shared" si="356"/>
        <v>0</v>
      </c>
      <c r="P643" s="182">
        <f>VLOOKUP($B643,dongia1,DG!$F$5,)</f>
        <v>31625</v>
      </c>
      <c r="Q643" s="554"/>
      <c r="R643" s="554"/>
      <c r="S643" s="113">
        <f t="shared" ref="S643:U647" si="357">$G643*P643</f>
        <v>1026926.9999999998</v>
      </c>
      <c r="T643" s="113">
        <f t="shared" si="357"/>
        <v>0</v>
      </c>
      <c r="U643" s="557">
        <f t="shared" si="357"/>
        <v>0</v>
      </c>
    </row>
    <row r="644" spans="1:21" s="552" customFormat="1" ht="15" customHeight="1">
      <c r="A644" s="621"/>
      <c r="B644" s="622" t="s">
        <v>2</v>
      </c>
      <c r="C644" s="558" t="str">
        <f>C643</f>
        <v xml:space="preserve"> </v>
      </c>
      <c r="D644" s="553"/>
      <c r="E644" s="694" t="str">
        <f>VLOOKUP($B644,dongia1,DG!$C$5,)</f>
        <v>Sắt góc L50 x50 x5</v>
      </c>
      <c r="F644" s="555" t="str">
        <f>VLOOKUP($B644,dongia1,DG!$D$5,)</f>
        <v>kg</v>
      </c>
      <c r="G644" s="205">
        <f>3.77*0.81*4</f>
        <v>12.2148</v>
      </c>
      <c r="H644" s="556"/>
      <c r="I644" s="556">
        <f t="shared" ca="1" si="356"/>
        <v>0</v>
      </c>
      <c r="J644" s="556">
        <f t="shared" ca="1" si="356"/>
        <v>0</v>
      </c>
      <c r="K644" s="556">
        <f t="shared" ca="1" si="356"/>
        <v>0</v>
      </c>
      <c r="L644" s="556">
        <f t="shared" ca="1" si="356"/>
        <v>0</v>
      </c>
      <c r="M644" s="556"/>
      <c r="N644" s="556">
        <f t="shared" si="356"/>
        <v>0</v>
      </c>
      <c r="O644" s="556">
        <f t="shared" si="356"/>
        <v>0</v>
      </c>
      <c r="P644" s="182">
        <f>VLOOKUP($B644,dongia1,DG!$F$5,)</f>
        <v>31625</v>
      </c>
      <c r="Q644" s="554"/>
      <c r="R644" s="554"/>
      <c r="S644" s="113">
        <f t="shared" si="357"/>
        <v>386293.05</v>
      </c>
      <c r="T644" s="113">
        <f t="shared" si="357"/>
        <v>0</v>
      </c>
      <c r="U644" s="557">
        <f t="shared" si="357"/>
        <v>0</v>
      </c>
    </row>
    <row r="645" spans="1:21" s="552" customFormat="1" ht="15" customHeight="1">
      <c r="A645" s="621"/>
      <c r="B645" s="622" t="s">
        <v>1261</v>
      </c>
      <c r="C645" s="558" t="str">
        <f>C644</f>
        <v xml:space="preserve"> </v>
      </c>
      <c r="D645" s="553"/>
      <c r="E645" s="694" t="str">
        <f>VLOOKUP($B645,dongia1,DG!$C$5,)</f>
        <v>Boulon 16x250+ 2 long đền vuông D18-50x50x3/Zn</v>
      </c>
      <c r="F645" s="555" t="str">
        <f>VLOOKUP($B645,dongia1,DG!$D$5,)</f>
        <v>bộ</v>
      </c>
      <c r="G645" s="205">
        <v>4</v>
      </c>
      <c r="H645" s="556"/>
      <c r="I645" s="556">
        <f t="shared" ca="1" si="356"/>
        <v>0</v>
      </c>
      <c r="J645" s="556">
        <f t="shared" ca="1" si="356"/>
        <v>0</v>
      </c>
      <c r="K645" s="556">
        <f t="shared" ca="1" si="356"/>
        <v>0</v>
      </c>
      <c r="L645" s="556">
        <f t="shared" ca="1" si="356"/>
        <v>0</v>
      </c>
      <c r="M645" s="556"/>
      <c r="N645" s="556">
        <f t="shared" si="356"/>
        <v>0</v>
      </c>
      <c r="O645" s="556">
        <f t="shared" si="356"/>
        <v>0</v>
      </c>
      <c r="P645" s="182">
        <f>VLOOKUP($B645,dongia1,DG!$F$5,)</f>
        <v>13400</v>
      </c>
      <c r="Q645" s="554"/>
      <c r="R645" s="554"/>
      <c r="S645" s="113">
        <f t="shared" si="357"/>
        <v>53600</v>
      </c>
      <c r="T645" s="113">
        <f t="shared" si="357"/>
        <v>0</v>
      </c>
      <c r="U645" s="557">
        <f t="shared" si="357"/>
        <v>0</v>
      </c>
    </row>
    <row r="646" spans="1:21" s="552" customFormat="1" ht="15" customHeight="1">
      <c r="A646" s="621"/>
      <c r="B646" s="622" t="s">
        <v>921</v>
      </c>
      <c r="C646" s="558" t="str">
        <f>C645</f>
        <v xml:space="preserve"> </v>
      </c>
      <c r="D646" s="553"/>
      <c r="E646" s="694" t="str">
        <f>VLOOKUP($B646,dongia1,DG!$C$5,)</f>
        <v>Boulon 16x250VRS+ 4 long đền vuông D18-50x50x3/Zn</v>
      </c>
      <c r="F646" s="555" t="str">
        <f>VLOOKUP($B646,dongia1,DG!$D$5,)</f>
        <v>bộ</v>
      </c>
      <c r="G646" s="205">
        <v>2</v>
      </c>
      <c r="H646" s="556"/>
      <c r="I646" s="556">
        <f t="shared" ca="1" si="356"/>
        <v>0</v>
      </c>
      <c r="J646" s="556">
        <f t="shared" ca="1" si="356"/>
        <v>0</v>
      </c>
      <c r="K646" s="556">
        <f t="shared" ca="1" si="356"/>
        <v>0</v>
      </c>
      <c r="L646" s="556">
        <f t="shared" ca="1" si="356"/>
        <v>0</v>
      </c>
      <c r="M646" s="556"/>
      <c r="N646" s="556">
        <f t="shared" si="356"/>
        <v>0</v>
      </c>
      <c r="O646" s="556">
        <f t="shared" si="356"/>
        <v>0</v>
      </c>
      <c r="P646" s="182">
        <f>VLOOKUP($B646,dongia1,DG!$F$5,)</f>
        <v>29800</v>
      </c>
      <c r="Q646" s="554"/>
      <c r="R646" s="554"/>
      <c r="S646" s="113">
        <f t="shared" si="357"/>
        <v>59600</v>
      </c>
      <c r="T646" s="113">
        <f t="shared" si="357"/>
        <v>0</v>
      </c>
      <c r="U646" s="557">
        <f t="shared" si="357"/>
        <v>0</v>
      </c>
    </row>
    <row r="647" spans="1:21" s="552" customFormat="1" ht="15" customHeight="1">
      <c r="A647" s="621"/>
      <c r="B647" s="622" t="s">
        <v>1044</v>
      </c>
      <c r="C647" s="558" t="str">
        <f>C645</f>
        <v xml:space="preserve"> </v>
      </c>
      <c r="D647" s="553"/>
      <c r="E647" s="694" t="str">
        <f>VLOOKUP($B647,dongia1,DG!$C$5,)</f>
        <v>Boulon 16x50+ 2 long đền vuông D18-50x50x3/Zn</v>
      </c>
      <c r="F647" s="555" t="str">
        <f>VLOOKUP($B647,dongia1,DG!$D$5,)</f>
        <v>bộ</v>
      </c>
      <c r="G647" s="205">
        <v>4</v>
      </c>
      <c r="H647" s="556"/>
      <c r="I647" s="556">
        <f t="shared" ca="1" si="356"/>
        <v>0</v>
      </c>
      <c r="J647" s="556">
        <f t="shared" ca="1" si="356"/>
        <v>0</v>
      </c>
      <c r="K647" s="556">
        <f t="shared" ca="1" si="356"/>
        <v>0</v>
      </c>
      <c r="L647" s="556">
        <f t="shared" ca="1" si="356"/>
        <v>0</v>
      </c>
      <c r="M647" s="556"/>
      <c r="N647" s="556">
        <f t="shared" si="356"/>
        <v>0</v>
      </c>
      <c r="O647" s="556">
        <f t="shared" si="356"/>
        <v>0</v>
      </c>
      <c r="P647" s="182">
        <f>VLOOKUP($B647,dongia1,DG!$F$5,)</f>
        <v>12400</v>
      </c>
      <c r="Q647" s="554"/>
      <c r="R647" s="554"/>
      <c r="S647" s="113">
        <f t="shared" si="357"/>
        <v>49600</v>
      </c>
      <c r="T647" s="113">
        <f t="shared" si="357"/>
        <v>0</v>
      </c>
      <c r="U647" s="557">
        <f t="shared" si="357"/>
        <v>0</v>
      </c>
    </row>
    <row r="648" spans="1:21" s="552" customFormat="1" ht="15" customHeight="1">
      <c r="A648" s="621"/>
      <c r="B648" s="622" t="s">
        <v>1036</v>
      </c>
      <c r="C648" s="558" t="str">
        <f>C647</f>
        <v xml:space="preserve"> </v>
      </c>
      <c r="D648" s="553"/>
      <c r="E648" s="694" t="str">
        <f>VLOOKUP($B648,dongia1,DG!$C$5,)</f>
        <v>Lắp xà néo 50kg</v>
      </c>
      <c r="F648" s="555" t="str">
        <f>VLOOKUP($B648,dongia1,DG!$D$5,)</f>
        <v>bộ</v>
      </c>
      <c r="G648" s="205">
        <v>1</v>
      </c>
      <c r="H648" s="556"/>
      <c r="I648" s="556">
        <f t="shared" ca="1" si="356"/>
        <v>0</v>
      </c>
      <c r="J648" s="556">
        <f t="shared" ca="1" si="356"/>
        <v>0</v>
      </c>
      <c r="K648" s="556">
        <f t="shared" ca="1" si="356"/>
        <v>0</v>
      </c>
      <c r="L648" s="556">
        <f t="shared" ca="1" si="356"/>
        <v>0</v>
      </c>
      <c r="M648" s="556"/>
      <c r="N648" s="556">
        <f t="shared" si="356"/>
        <v>0</v>
      </c>
      <c r="O648" s="556">
        <f t="shared" si="356"/>
        <v>0</v>
      </c>
      <c r="P648" s="554"/>
      <c r="Q648" s="603" t="str">
        <f>TEXT(VLOOKUP($B648,dongia1,DG!$G$5,),"#,##0")&amp;" x"&amp;hslx</f>
        <v>394533,450 x1,5</v>
      </c>
      <c r="R648" s="554"/>
      <c r="S648" s="113">
        <f>$G648*P648</f>
        <v>0</v>
      </c>
      <c r="T648" s="113">
        <f>VLOOKUP($B648,dongia1,DG!G$5,)*G648*hslx</f>
        <v>591800.17500000005</v>
      </c>
      <c r="U648" s="557">
        <f>$G648*R648</f>
        <v>0</v>
      </c>
    </row>
    <row r="649" spans="1:21" s="552" customFormat="1" ht="15" customHeight="1">
      <c r="A649" s="621" t="s">
        <v>3716</v>
      </c>
      <c r="B649" s="622"/>
      <c r="C649" s="558"/>
      <c r="D649" s="553"/>
      <c r="E649" s="727" t="s">
        <v>3569</v>
      </c>
      <c r="F649" s="600" t="s">
        <v>2113</v>
      </c>
      <c r="G649" s="205"/>
      <c r="H649" s="556"/>
      <c r="I649" s="556">
        <f ca="1">SUMIF(xa3pm,chitiet!$A649,slxa3pm)</f>
        <v>0</v>
      </c>
      <c r="J649" s="556">
        <f ca="1">SUMIF(xact,chitiet!$A649,slxact)</f>
        <v>0</v>
      </c>
      <c r="K649" s="556">
        <f ca="1">SUMIF(xa3p1m,chitiet!$A649,slxa3p1m)</f>
        <v>0</v>
      </c>
      <c r="L649" s="556">
        <f ca="1">SUMIF(xa1pm,chitiet!$A649,slxa1pm)</f>
        <v>0</v>
      </c>
      <c r="M649" s="556"/>
      <c r="N649" s="556"/>
      <c r="O649" s="556"/>
      <c r="P649" s="554"/>
      <c r="Q649" s="554"/>
      <c r="R649" s="554"/>
      <c r="S649" s="601">
        <f>SUM(S650:S654)</f>
        <v>850852.3</v>
      </c>
      <c r="T649" s="601">
        <f>SUM(T650:T654)</f>
        <v>328777.875</v>
      </c>
      <c r="U649" s="602">
        <f>SUM(U650:U654)</f>
        <v>0</v>
      </c>
    </row>
    <row r="650" spans="1:21" s="552" customFormat="1" ht="15" customHeight="1">
      <c r="A650" s="621"/>
      <c r="B650" s="622" t="s">
        <v>386</v>
      </c>
      <c r="C650" s="558"/>
      <c r="D650" s="553"/>
      <c r="E650" s="694" t="str">
        <f>VLOOKUP($B650,dongia1,DG!$C$5,)</f>
        <v>Sắt góc L75 x75 x8</v>
      </c>
      <c r="F650" s="555" t="str">
        <f>VLOOKUP($B650,dongia1,DG!$D$5,)</f>
        <v>kg</v>
      </c>
      <c r="G650" s="205">
        <f>9.02*2.2</f>
        <v>19.844000000000001</v>
      </c>
      <c r="H650" s="556"/>
      <c r="I650" s="556">
        <f t="shared" ref="I650:O654" ca="1" si="358">I$649*$G650</f>
        <v>0</v>
      </c>
      <c r="J650" s="556">
        <f t="shared" ca="1" si="358"/>
        <v>0</v>
      </c>
      <c r="K650" s="556">
        <f t="shared" ca="1" si="358"/>
        <v>0</v>
      </c>
      <c r="L650" s="556">
        <f t="shared" ca="1" si="358"/>
        <v>0</v>
      </c>
      <c r="M650" s="556"/>
      <c r="N650" s="556">
        <f t="shared" si="358"/>
        <v>0</v>
      </c>
      <c r="O650" s="556">
        <f t="shared" si="358"/>
        <v>0</v>
      </c>
      <c r="P650" s="182">
        <f>VLOOKUP($B650,dongia1,DG!$F$5,)</f>
        <v>31625</v>
      </c>
      <c r="Q650" s="554"/>
      <c r="R650" s="554"/>
      <c r="S650" s="113">
        <f t="shared" ref="S650:U653" si="359">$G650*P650</f>
        <v>627566.5</v>
      </c>
      <c r="T650" s="113">
        <f t="shared" si="359"/>
        <v>0</v>
      </c>
      <c r="U650" s="557">
        <f t="shared" si="359"/>
        <v>0</v>
      </c>
    </row>
    <row r="651" spans="1:21" s="552" customFormat="1" ht="15" customHeight="1">
      <c r="A651" s="621"/>
      <c r="B651" s="622" t="s">
        <v>2</v>
      </c>
      <c r="C651" s="558"/>
      <c r="D651" s="553"/>
      <c r="E651" s="694" t="str">
        <f>VLOOKUP($B651,dongia1,DG!$C$5,)</f>
        <v>Sắt góc L50 x50 x5</v>
      </c>
      <c r="F651" s="555" t="str">
        <f>VLOOKUP($B651,dongia1,DG!$D$5,)</f>
        <v>kg</v>
      </c>
      <c r="G651" s="205">
        <f>3.77*0.72*2</f>
        <v>5.4287999999999998</v>
      </c>
      <c r="H651" s="556"/>
      <c r="I651" s="556">
        <f t="shared" ca="1" si="358"/>
        <v>0</v>
      </c>
      <c r="J651" s="556">
        <f t="shared" ca="1" si="358"/>
        <v>0</v>
      </c>
      <c r="K651" s="556">
        <f t="shared" ca="1" si="358"/>
        <v>0</v>
      </c>
      <c r="L651" s="556">
        <f t="shared" ca="1" si="358"/>
        <v>0</v>
      </c>
      <c r="M651" s="556"/>
      <c r="N651" s="556">
        <f t="shared" si="358"/>
        <v>0</v>
      </c>
      <c r="O651" s="556">
        <f t="shared" si="358"/>
        <v>0</v>
      </c>
      <c r="P651" s="182">
        <f>VLOOKUP($B651,dongia1,DG!$F$5,)</f>
        <v>31625</v>
      </c>
      <c r="Q651" s="554"/>
      <c r="R651" s="554"/>
      <c r="S651" s="113">
        <f t="shared" si="359"/>
        <v>171685.8</v>
      </c>
      <c r="T651" s="113">
        <f t="shared" si="359"/>
        <v>0</v>
      </c>
      <c r="U651" s="557">
        <f t="shared" si="359"/>
        <v>0</v>
      </c>
    </row>
    <row r="652" spans="1:21" s="552" customFormat="1" ht="15" customHeight="1">
      <c r="A652" s="621"/>
      <c r="B652" s="622" t="s">
        <v>1261</v>
      </c>
      <c r="C652" s="558"/>
      <c r="D652" s="553"/>
      <c r="E652" s="694" t="str">
        <f>VLOOKUP($B652,dongia1,DG!$C$5,)</f>
        <v>Boulon 16x250+ 2 long đền vuông D18-50x50x3/Zn</v>
      </c>
      <c r="F652" s="555" t="str">
        <f>VLOOKUP($B652,dongia1,DG!$D$5,)</f>
        <v>bộ</v>
      </c>
      <c r="G652" s="205">
        <v>2</v>
      </c>
      <c r="H652" s="556"/>
      <c r="I652" s="556">
        <f t="shared" ca="1" si="358"/>
        <v>0</v>
      </c>
      <c r="J652" s="556">
        <f t="shared" ca="1" si="358"/>
        <v>0</v>
      </c>
      <c r="K652" s="556">
        <f t="shared" ca="1" si="358"/>
        <v>0</v>
      </c>
      <c r="L652" s="556">
        <f t="shared" ca="1" si="358"/>
        <v>0</v>
      </c>
      <c r="M652" s="556"/>
      <c r="N652" s="556">
        <f t="shared" si="358"/>
        <v>0</v>
      </c>
      <c r="O652" s="556">
        <f t="shared" si="358"/>
        <v>0</v>
      </c>
      <c r="P652" s="182">
        <f>VLOOKUP($B652,dongia1,DG!$F$5,)</f>
        <v>13400</v>
      </c>
      <c r="Q652" s="554"/>
      <c r="R652" s="554"/>
      <c r="S652" s="113">
        <f t="shared" si="359"/>
        <v>26800</v>
      </c>
      <c r="T652" s="113">
        <f t="shared" si="359"/>
        <v>0</v>
      </c>
      <c r="U652" s="557">
        <f t="shared" si="359"/>
        <v>0</v>
      </c>
    </row>
    <row r="653" spans="1:21" s="552" customFormat="1" ht="15" customHeight="1">
      <c r="A653" s="621"/>
      <c r="B653" s="622" t="s">
        <v>1044</v>
      </c>
      <c r="C653" s="558"/>
      <c r="D653" s="553"/>
      <c r="E653" s="694" t="str">
        <f>VLOOKUP($B653,dongia1,DG!$C$5,)</f>
        <v>Boulon 16x50+ 2 long đền vuông D18-50x50x3/Zn</v>
      </c>
      <c r="F653" s="555" t="str">
        <f>VLOOKUP($B653,dongia1,DG!$D$5,)</f>
        <v>bộ</v>
      </c>
      <c r="G653" s="205">
        <v>2</v>
      </c>
      <c r="H653" s="556"/>
      <c r="I653" s="556">
        <f t="shared" ca="1" si="358"/>
        <v>0</v>
      </c>
      <c r="J653" s="556">
        <f t="shared" ca="1" si="358"/>
        <v>0</v>
      </c>
      <c r="K653" s="556">
        <f t="shared" ca="1" si="358"/>
        <v>0</v>
      </c>
      <c r="L653" s="556">
        <f t="shared" ca="1" si="358"/>
        <v>0</v>
      </c>
      <c r="M653" s="556"/>
      <c r="N653" s="556">
        <f t="shared" si="358"/>
        <v>0</v>
      </c>
      <c r="O653" s="556">
        <f t="shared" si="358"/>
        <v>0</v>
      </c>
      <c r="P653" s="182">
        <f>VLOOKUP($B653,dongia1,DG!$F$5,)</f>
        <v>12400</v>
      </c>
      <c r="Q653" s="554"/>
      <c r="R653" s="554"/>
      <c r="S653" s="113">
        <f t="shared" si="359"/>
        <v>24800</v>
      </c>
      <c r="T653" s="113">
        <f t="shared" si="359"/>
        <v>0</v>
      </c>
      <c r="U653" s="557">
        <f t="shared" si="359"/>
        <v>0</v>
      </c>
    </row>
    <row r="654" spans="1:21" s="552" customFormat="1" ht="15" customHeight="1">
      <c r="A654" s="621"/>
      <c r="B654" s="622" t="s">
        <v>534</v>
      </c>
      <c r="C654" s="558"/>
      <c r="D654" s="553"/>
      <c r="E654" s="694" t="str">
        <f>VLOOKUP($B654,dongia1,DG!$C$5,)</f>
        <v>Lắp xà đỡ 25kg</v>
      </c>
      <c r="F654" s="555" t="str">
        <f>VLOOKUP($B654,dongia1,DG!$D$5,)</f>
        <v>bộ</v>
      </c>
      <c r="G654" s="205">
        <v>1</v>
      </c>
      <c r="H654" s="556"/>
      <c r="I654" s="556">
        <f t="shared" ca="1" si="358"/>
        <v>0</v>
      </c>
      <c r="J654" s="556">
        <f t="shared" ca="1" si="358"/>
        <v>0</v>
      </c>
      <c r="K654" s="556">
        <f t="shared" ca="1" si="358"/>
        <v>0</v>
      </c>
      <c r="L654" s="556">
        <f t="shared" ca="1" si="358"/>
        <v>0</v>
      </c>
      <c r="M654" s="556"/>
      <c r="N654" s="556">
        <f t="shared" si="358"/>
        <v>0</v>
      </c>
      <c r="O654" s="556">
        <f t="shared" si="358"/>
        <v>0</v>
      </c>
      <c r="P654" s="554"/>
      <c r="Q654" s="603" t="str">
        <f>TEXT(VLOOKUP($B654,dongia1,DG!$G$5,),"#,##0")&amp;" x"&amp;hslx</f>
        <v>219185,250 x1,5</v>
      </c>
      <c r="R654" s="554"/>
      <c r="S654" s="113">
        <f>$G654*P654</f>
        <v>0</v>
      </c>
      <c r="T654" s="603">
        <f>VLOOKUP($B654,dongia1,DG!G$5,)*G654*hslx</f>
        <v>328777.875</v>
      </c>
      <c r="U654" s="557">
        <f>$G654*R654</f>
        <v>0</v>
      </c>
    </row>
    <row r="655" spans="1:21" s="552" customFormat="1" ht="15" customHeight="1">
      <c r="A655" s="621" t="s">
        <v>673</v>
      </c>
      <c r="B655" s="622"/>
      <c r="C655" s="558"/>
      <c r="D655" s="553"/>
      <c r="E655" s="727" t="s">
        <v>3570</v>
      </c>
      <c r="F655" s="600" t="s">
        <v>2113</v>
      </c>
      <c r="G655" s="205"/>
      <c r="H655" s="556"/>
      <c r="I655" s="556">
        <f ca="1">SUMIF(xa3pm,chitiet!$A655,slxa3pm)</f>
        <v>0</v>
      </c>
      <c r="J655" s="556">
        <f ca="1">SUMIF(xact,chitiet!$A655,slxact)</f>
        <v>0</v>
      </c>
      <c r="K655" s="556">
        <f ca="1">SUMIF(xa3p1m,chitiet!$A655,slxa3p1m)</f>
        <v>0</v>
      </c>
      <c r="L655" s="556">
        <f ca="1">SUMIF(xa1pm,chitiet!$A655,slxa1pm)</f>
        <v>0</v>
      </c>
      <c r="M655" s="556"/>
      <c r="N655" s="556"/>
      <c r="O655" s="556"/>
      <c r="P655" s="554"/>
      <c r="Q655" s="554"/>
      <c r="R655" s="554"/>
      <c r="S655" s="601">
        <f>SUM(S656:S662)</f>
        <v>1750504.6</v>
      </c>
      <c r="T655" s="601">
        <f>SUM(T656:T662)</f>
        <v>591800.17500000005</v>
      </c>
      <c r="U655" s="602">
        <f>SUM(U656:U662)</f>
        <v>0</v>
      </c>
    </row>
    <row r="656" spans="1:21" s="552" customFormat="1" ht="15" customHeight="1">
      <c r="A656" s="621"/>
      <c r="B656" s="622" t="s">
        <v>386</v>
      </c>
      <c r="C656" s="558"/>
      <c r="D656" s="553"/>
      <c r="E656" s="694" t="str">
        <f>VLOOKUP($B656,dongia1,DG!$C$5,)</f>
        <v>Sắt góc L75 x75 x8</v>
      </c>
      <c r="F656" s="555" t="str">
        <f>VLOOKUP($B656,dongia1,DG!$D$5,)</f>
        <v>kg</v>
      </c>
      <c r="G656" s="205">
        <f>9.02*2.2*2</f>
        <v>39.688000000000002</v>
      </c>
      <c r="H656" s="556"/>
      <c r="I656" s="556">
        <f t="shared" ref="I656:O662" ca="1" si="360">I$655*$G656</f>
        <v>0</v>
      </c>
      <c r="J656" s="556">
        <f t="shared" ca="1" si="360"/>
        <v>0</v>
      </c>
      <c r="K656" s="556">
        <f t="shared" ca="1" si="360"/>
        <v>0</v>
      </c>
      <c r="L656" s="556">
        <f t="shared" ca="1" si="360"/>
        <v>0</v>
      </c>
      <c r="M656" s="556"/>
      <c r="N656" s="556">
        <f t="shared" si="360"/>
        <v>0</v>
      </c>
      <c r="O656" s="556">
        <f t="shared" si="360"/>
        <v>0</v>
      </c>
      <c r="P656" s="182">
        <f>VLOOKUP($B656,dongia1,DG!$F$5,)</f>
        <v>31625</v>
      </c>
      <c r="Q656" s="554"/>
      <c r="R656" s="554"/>
      <c r="S656" s="113">
        <f t="shared" ref="S656:U662" si="361">$G656*P656</f>
        <v>1255133</v>
      </c>
      <c r="T656" s="113">
        <f t="shared" si="361"/>
        <v>0</v>
      </c>
      <c r="U656" s="557">
        <f t="shared" si="361"/>
        <v>0</v>
      </c>
    </row>
    <row r="657" spans="1:21" s="552" customFormat="1" ht="15" customHeight="1">
      <c r="A657" s="621"/>
      <c r="B657" s="622" t="s">
        <v>2</v>
      </c>
      <c r="C657" s="558"/>
      <c r="D657" s="553"/>
      <c r="E657" s="694" t="str">
        <f>VLOOKUP($B657,dongia1,DG!$C$5,)</f>
        <v>Sắt góc L50 x50 x5</v>
      </c>
      <c r="F657" s="555" t="str">
        <f>VLOOKUP($B657,dongia1,DG!$D$5,)</f>
        <v>kg</v>
      </c>
      <c r="G657" s="205">
        <f>3.77*0.72*4</f>
        <v>10.8576</v>
      </c>
      <c r="H657" s="556"/>
      <c r="I657" s="556">
        <f t="shared" ca="1" si="360"/>
        <v>0</v>
      </c>
      <c r="J657" s="556">
        <f t="shared" ca="1" si="360"/>
        <v>0</v>
      </c>
      <c r="K657" s="556">
        <f t="shared" ca="1" si="360"/>
        <v>0</v>
      </c>
      <c r="L657" s="556">
        <f t="shared" ca="1" si="360"/>
        <v>0</v>
      </c>
      <c r="M657" s="556"/>
      <c r="N657" s="556">
        <f t="shared" si="360"/>
        <v>0</v>
      </c>
      <c r="O657" s="556">
        <f t="shared" si="360"/>
        <v>0</v>
      </c>
      <c r="P657" s="182">
        <f>VLOOKUP($B657,dongia1,DG!$F$5,)</f>
        <v>31625</v>
      </c>
      <c r="Q657" s="554"/>
      <c r="R657" s="554"/>
      <c r="S657" s="113">
        <f t="shared" si="361"/>
        <v>343371.6</v>
      </c>
      <c r="T657" s="113">
        <f t="shared" si="361"/>
        <v>0</v>
      </c>
      <c r="U657" s="557">
        <f t="shared" si="361"/>
        <v>0</v>
      </c>
    </row>
    <row r="658" spans="1:21" s="552" customFormat="1" ht="15" customHeight="1">
      <c r="A658" s="621"/>
      <c r="B658" s="622" t="s">
        <v>1044</v>
      </c>
      <c r="C658" s="558"/>
      <c r="D658" s="553"/>
      <c r="E658" s="694" t="str">
        <f>VLOOKUP($B658,dongia1,DG!$C$5,)</f>
        <v>Boulon 16x50+ 2 long đền vuông D18-50x50x3/Zn</v>
      </c>
      <c r="F658" s="555" t="str">
        <f>VLOOKUP($B658,dongia1,DG!$D$5,)</f>
        <v>bộ</v>
      </c>
      <c r="G658" s="205">
        <v>4</v>
      </c>
      <c r="H658" s="556"/>
      <c r="I658" s="556">
        <f t="shared" ca="1" si="360"/>
        <v>0</v>
      </c>
      <c r="J658" s="556">
        <f t="shared" ca="1" si="360"/>
        <v>0</v>
      </c>
      <c r="K658" s="556">
        <f t="shared" ca="1" si="360"/>
        <v>0</v>
      </c>
      <c r="L658" s="556">
        <f t="shared" ca="1" si="360"/>
        <v>0</v>
      </c>
      <c r="M658" s="556"/>
      <c r="N658" s="556">
        <f t="shared" si="360"/>
        <v>0</v>
      </c>
      <c r="O658" s="556">
        <f t="shared" si="360"/>
        <v>0</v>
      </c>
      <c r="P658" s="182">
        <f>VLOOKUP($B658,dongia1,DG!$F$5,)</f>
        <v>12400</v>
      </c>
      <c r="Q658" s="554"/>
      <c r="R658" s="554"/>
      <c r="S658" s="113">
        <f t="shared" si="361"/>
        <v>49600</v>
      </c>
      <c r="T658" s="113">
        <f t="shared" si="361"/>
        <v>0</v>
      </c>
      <c r="U658" s="557">
        <f t="shared" si="361"/>
        <v>0</v>
      </c>
    </row>
    <row r="659" spans="1:21" s="552" customFormat="1" ht="15" customHeight="1">
      <c r="A659" s="621"/>
      <c r="B659" s="622" t="s">
        <v>1261</v>
      </c>
      <c r="C659" s="558"/>
      <c r="D659" s="553"/>
      <c r="E659" s="694" t="str">
        <f>VLOOKUP($B659,dongia1,DG!$C$5,)</f>
        <v>Boulon 16x250+ 2 long đền vuông D18-50x50x3/Zn</v>
      </c>
      <c r="F659" s="555" t="str">
        <f>VLOOKUP($B659,dongia1,DG!$D$5,)</f>
        <v>bộ</v>
      </c>
      <c r="G659" s="205">
        <v>1</v>
      </c>
      <c r="H659" s="556"/>
      <c r="I659" s="556">
        <f t="shared" ca="1" si="360"/>
        <v>0</v>
      </c>
      <c r="J659" s="556">
        <f t="shared" ca="1" si="360"/>
        <v>0</v>
      </c>
      <c r="K659" s="556">
        <f t="shared" ca="1" si="360"/>
        <v>0</v>
      </c>
      <c r="L659" s="556">
        <f t="shared" ca="1" si="360"/>
        <v>0</v>
      </c>
      <c r="M659" s="556"/>
      <c r="N659" s="556">
        <f t="shared" si="360"/>
        <v>0</v>
      </c>
      <c r="O659" s="556">
        <f t="shared" si="360"/>
        <v>0</v>
      </c>
      <c r="P659" s="182">
        <f>VLOOKUP($B659,dongia1,DG!$F$5,)</f>
        <v>13400</v>
      </c>
      <c r="Q659" s="554"/>
      <c r="R659" s="554"/>
      <c r="S659" s="113">
        <f t="shared" ref="S659:U660" si="362">$G659*P659</f>
        <v>13400</v>
      </c>
      <c r="T659" s="113">
        <f t="shared" si="362"/>
        <v>0</v>
      </c>
      <c r="U659" s="557">
        <f t="shared" si="362"/>
        <v>0</v>
      </c>
    </row>
    <row r="660" spans="1:21" s="552" customFormat="1" ht="15" customHeight="1">
      <c r="A660" s="621"/>
      <c r="B660" s="622" t="s">
        <v>1262</v>
      </c>
      <c r="C660" s="558"/>
      <c r="D660" s="553"/>
      <c r="E660" s="694" t="str">
        <f>VLOOKUP($B660,dongia1,DG!$C$5,)</f>
        <v>Boulon 16x300+ 2 long đền vuông D18-50x50x3/Zn</v>
      </c>
      <c r="F660" s="555" t="str">
        <f>VLOOKUP($B660,dongia1,DG!$D$5,)</f>
        <v>bộ</v>
      </c>
      <c r="G660" s="205">
        <v>1</v>
      </c>
      <c r="H660" s="556"/>
      <c r="I660" s="556">
        <f t="shared" ca="1" si="360"/>
        <v>0</v>
      </c>
      <c r="J660" s="556">
        <f t="shared" ca="1" si="360"/>
        <v>0</v>
      </c>
      <c r="K660" s="556">
        <f t="shared" ca="1" si="360"/>
        <v>0</v>
      </c>
      <c r="L660" s="556">
        <f t="shared" ca="1" si="360"/>
        <v>0</v>
      </c>
      <c r="M660" s="556"/>
      <c r="N660" s="556">
        <f t="shared" si="360"/>
        <v>0</v>
      </c>
      <c r="O660" s="556">
        <f t="shared" si="360"/>
        <v>0</v>
      </c>
      <c r="P660" s="182">
        <f>VLOOKUP($B660,dongia1,DG!$F$5,)</f>
        <v>25400</v>
      </c>
      <c r="Q660" s="554"/>
      <c r="R660" s="554"/>
      <c r="S660" s="113">
        <f t="shared" si="362"/>
        <v>25400</v>
      </c>
      <c r="T660" s="113">
        <f t="shared" si="362"/>
        <v>0</v>
      </c>
      <c r="U660" s="557">
        <f t="shared" si="362"/>
        <v>0</v>
      </c>
    </row>
    <row r="661" spans="1:21" s="552" customFormat="1" ht="15" customHeight="1">
      <c r="A661" s="621"/>
      <c r="B661" s="622" t="s">
        <v>364</v>
      </c>
      <c r="C661" s="558"/>
      <c r="D661" s="553"/>
      <c r="E661" s="694" t="str">
        <f>VLOOKUP($B661,dongia1,DG!$C$5,)</f>
        <v>Boulon 16x300VRS+ 4 long đền vuông D18-50x50x3/Zn</v>
      </c>
      <c r="F661" s="555" t="str">
        <f>VLOOKUP($B661,dongia1,DG!$D$5,)</f>
        <v>bộ</v>
      </c>
      <c r="G661" s="205">
        <v>2</v>
      </c>
      <c r="H661" s="556"/>
      <c r="I661" s="556">
        <f t="shared" ca="1" si="360"/>
        <v>0</v>
      </c>
      <c r="J661" s="556">
        <f t="shared" ca="1" si="360"/>
        <v>0</v>
      </c>
      <c r="K661" s="556">
        <f t="shared" ca="1" si="360"/>
        <v>0</v>
      </c>
      <c r="L661" s="556">
        <f t="shared" ca="1" si="360"/>
        <v>0</v>
      </c>
      <c r="M661" s="556"/>
      <c r="N661" s="556">
        <f t="shared" si="360"/>
        <v>0</v>
      </c>
      <c r="O661" s="556">
        <f t="shared" si="360"/>
        <v>0</v>
      </c>
      <c r="P661" s="182">
        <f>VLOOKUP($B661,dongia1,DG!$F$5,)</f>
        <v>31800</v>
      </c>
      <c r="Q661" s="554"/>
      <c r="R661" s="554"/>
      <c r="S661" s="113">
        <f t="shared" si="361"/>
        <v>63600</v>
      </c>
      <c r="T661" s="113">
        <f t="shared" si="361"/>
        <v>0</v>
      </c>
      <c r="U661" s="557">
        <f t="shared" si="361"/>
        <v>0</v>
      </c>
    </row>
    <row r="662" spans="1:21" s="552" customFormat="1" ht="15" customHeight="1">
      <c r="A662" s="621"/>
      <c r="B662" s="622" t="s">
        <v>535</v>
      </c>
      <c r="C662" s="558"/>
      <c r="D662" s="553"/>
      <c r="E662" s="694" t="str">
        <f>VLOOKUP($B662,dongia1,DG!$C$5,)</f>
        <v>Lắp xà néo 50kg</v>
      </c>
      <c r="F662" s="555" t="str">
        <f>VLOOKUP($B662,dongia1,DG!$D$5,)</f>
        <v>bộ</v>
      </c>
      <c r="G662" s="205">
        <v>1</v>
      </c>
      <c r="H662" s="556"/>
      <c r="I662" s="556">
        <f t="shared" ca="1" si="360"/>
        <v>0</v>
      </c>
      <c r="J662" s="556">
        <f t="shared" ca="1" si="360"/>
        <v>0</v>
      </c>
      <c r="K662" s="556">
        <f t="shared" ca="1" si="360"/>
        <v>0</v>
      </c>
      <c r="L662" s="556">
        <f t="shared" ca="1" si="360"/>
        <v>0</v>
      </c>
      <c r="M662" s="556"/>
      <c r="N662" s="556">
        <f t="shared" si="360"/>
        <v>0</v>
      </c>
      <c r="O662" s="556">
        <f t="shared" si="360"/>
        <v>0</v>
      </c>
      <c r="P662" s="554"/>
      <c r="Q662" s="603" t="str">
        <f>TEXT(VLOOKUP($B662,dongia1,DG!$G$5,),"#,##0")&amp;" x"&amp;hslx</f>
        <v>394533,450 x1,5</v>
      </c>
      <c r="R662" s="554"/>
      <c r="S662" s="113">
        <f t="shared" si="361"/>
        <v>0</v>
      </c>
      <c r="T662" s="603">
        <f>VLOOKUP($B662,dongia1,DG!G$5,)*G662*hslx</f>
        <v>591800.17500000005</v>
      </c>
      <c r="U662" s="557">
        <f>$G662*R662</f>
        <v>0</v>
      </c>
    </row>
    <row r="663" spans="1:21" s="858" customFormat="1">
      <c r="A663" s="847" t="s">
        <v>3742</v>
      </c>
      <c r="B663" s="848"/>
      <c r="C663" s="849"/>
      <c r="D663" s="850"/>
      <c r="E663" s="851" t="s">
        <v>3571</v>
      </c>
      <c r="F663" s="852" t="s">
        <v>2113</v>
      </c>
      <c r="G663" s="853">
        <f>pp3p1m!BX10</f>
        <v>0</v>
      </c>
      <c r="H663" s="854"/>
      <c r="I663" s="854">
        <f ca="1">SUMIF(xa3pm,chitiet!$A663,slxa3pm)</f>
        <v>0</v>
      </c>
      <c r="J663" s="854">
        <f ca="1">SUMIF(xact,chitiet!$A663,slxact)</f>
        <v>0</v>
      </c>
      <c r="K663" s="854">
        <f ca="1">SUMIF(xa3p1m,chitiet!$A663,slxa3p1m)</f>
        <v>0</v>
      </c>
      <c r="L663" s="854">
        <f ca="1">SUMIF(xa1pm,chitiet!$A663,slxa1pm)</f>
        <v>0</v>
      </c>
      <c r="M663" s="854"/>
      <c r="N663" s="854"/>
      <c r="O663" s="854"/>
      <c r="P663" s="855"/>
      <c r="Q663" s="855"/>
      <c r="R663" s="855"/>
      <c r="S663" s="856">
        <f>SUM(S664:S670)</f>
        <v>952185.12500000012</v>
      </c>
      <c r="T663" s="856">
        <f>SUM(T664:T670)</f>
        <v>277317</v>
      </c>
      <c r="U663" s="857">
        <f>SUM(U664:U670)</f>
        <v>0</v>
      </c>
    </row>
    <row r="664" spans="1:21">
      <c r="B664" s="696" t="s">
        <v>386</v>
      </c>
      <c r="C664" s="631"/>
      <c r="D664" s="698"/>
      <c r="E664" s="699" t="str">
        <f>VLOOKUP($B664,dongia1,DG!$C$5,)</f>
        <v>Sắt góc L75 x75 x8</v>
      </c>
      <c r="F664" s="700" t="str">
        <f>VLOOKUP($B664,dongia1,DG!$D$5,)</f>
        <v>kg</v>
      </c>
      <c r="G664" s="762">
        <f>9.02*(2.2+4*0.07)</f>
        <v>22.369600000000002</v>
      </c>
      <c r="H664" s="701"/>
      <c r="I664" s="701">
        <f t="shared" ref="I664:O670" ca="1" si="363">I$663*$G664</f>
        <v>0</v>
      </c>
      <c r="J664" s="701">
        <f t="shared" ca="1" si="363"/>
        <v>0</v>
      </c>
      <c r="K664" s="701">
        <f t="shared" ca="1" si="363"/>
        <v>0</v>
      </c>
      <c r="L664" s="701">
        <f t="shared" ca="1" si="363"/>
        <v>0</v>
      </c>
      <c r="M664" s="701"/>
      <c r="N664" s="701">
        <f t="shared" si="363"/>
        <v>0</v>
      </c>
      <c r="O664" s="701">
        <f t="shared" si="363"/>
        <v>0</v>
      </c>
      <c r="P664" s="702">
        <f>VLOOKUP($B664,dongia1,DG!$F$5,)</f>
        <v>31625</v>
      </c>
      <c r="Q664" s="703"/>
      <c r="R664" s="937"/>
      <c r="S664" s="702">
        <f t="shared" ref="S664:U670" si="364">$G664*P664</f>
        <v>707438.60000000009</v>
      </c>
      <c r="T664" s="702">
        <f t="shared" si="364"/>
        <v>0</v>
      </c>
      <c r="U664" s="704">
        <f t="shared" si="364"/>
        <v>0</v>
      </c>
    </row>
    <row r="665" spans="1:21">
      <c r="B665" s="696" t="s">
        <v>2</v>
      </c>
      <c r="C665" s="631"/>
      <c r="D665" s="698"/>
      <c r="E665" s="699" t="str">
        <f>VLOOKUP($B665,dongia1,DG!$C$5,)&amp;": thanh chống 810"</f>
        <v>Sắt góc L50 x50 x5: thanh chống 810</v>
      </c>
      <c r="F665" s="700" t="str">
        <f>VLOOKUP($B665,dongia1,DG!$D$5,)</f>
        <v>kg</v>
      </c>
      <c r="G665" s="762">
        <f>3.77*0.81*2</f>
        <v>6.1074000000000002</v>
      </c>
      <c r="H665" s="701"/>
      <c r="I665" s="701">
        <f t="shared" ca="1" si="363"/>
        <v>0</v>
      </c>
      <c r="J665" s="701">
        <f t="shared" ca="1" si="363"/>
        <v>0</v>
      </c>
      <c r="K665" s="701">
        <f t="shared" ca="1" si="363"/>
        <v>0</v>
      </c>
      <c r="L665" s="701">
        <f t="shared" ca="1" si="363"/>
        <v>0</v>
      </c>
      <c r="M665" s="701"/>
      <c r="N665" s="701">
        <f t="shared" si="363"/>
        <v>0</v>
      </c>
      <c r="O665" s="701">
        <f t="shared" si="363"/>
        <v>0</v>
      </c>
      <c r="P665" s="702">
        <f>VLOOKUP($B665,dongia1,DG!$F$5,)</f>
        <v>31625</v>
      </c>
      <c r="Q665" s="703"/>
      <c r="R665" s="703"/>
      <c r="S665" s="702">
        <f t="shared" si="364"/>
        <v>193146.52499999999</v>
      </c>
      <c r="T665" s="702">
        <f t="shared" si="364"/>
        <v>0</v>
      </c>
      <c r="U665" s="930">
        <f t="shared" si="364"/>
        <v>0</v>
      </c>
    </row>
    <row r="666" spans="1:21" s="552" customFormat="1" ht="15" customHeight="1">
      <c r="A666" s="621"/>
      <c r="B666" s="622" t="s">
        <v>3722</v>
      </c>
      <c r="C666" s="558"/>
      <c r="D666" s="553"/>
      <c r="E666" s="694" t="str">
        <f>VLOOKUP($B666,dongia1,DG!$C$5,)&amp;": thanh chống 810"</f>
        <v>Cổ dê bắt xà + bulon: thanh chống 810</v>
      </c>
      <c r="F666" s="555" t="str">
        <f>VLOOKUP($B666,dongia1,DG!$D$5,)</f>
        <v>bộ</v>
      </c>
      <c r="G666" s="205"/>
      <c r="H666" s="556"/>
      <c r="I666" s="556">
        <f t="shared" ca="1" si="363"/>
        <v>0</v>
      </c>
      <c r="J666" s="556">
        <f t="shared" ca="1" si="363"/>
        <v>0</v>
      </c>
      <c r="K666" s="556">
        <f t="shared" ca="1" si="363"/>
        <v>0</v>
      </c>
      <c r="L666" s="556">
        <f t="shared" ca="1" si="363"/>
        <v>0</v>
      </c>
      <c r="M666" s="556"/>
      <c r="N666" s="556">
        <f t="shared" si="363"/>
        <v>0</v>
      </c>
      <c r="O666" s="556">
        <f t="shared" si="363"/>
        <v>0</v>
      </c>
      <c r="P666" s="182">
        <f>VLOOKUP($B666,dongia1,DG!$F$5,)</f>
        <v>40000</v>
      </c>
      <c r="Q666" s="603">
        <f>VLOOKUP($B666,dongia1,DG!$G$5,)</f>
        <v>0</v>
      </c>
      <c r="R666" s="554"/>
      <c r="S666" s="113">
        <f t="shared" ref="S666:U667" si="365">$G666*P666</f>
        <v>0</v>
      </c>
      <c r="T666" s="113">
        <f t="shared" si="365"/>
        <v>0</v>
      </c>
      <c r="U666" s="715">
        <f t="shared" si="365"/>
        <v>0</v>
      </c>
    </row>
    <row r="667" spans="1:21" s="552" customFormat="1" ht="15" customHeight="1">
      <c r="A667" s="621"/>
      <c r="B667" s="622" t="s">
        <v>955</v>
      </c>
      <c r="C667" s="558"/>
      <c r="D667" s="553"/>
      <c r="E667" s="694" t="str">
        <f>VLOOKUP($B667,dongia1,DG!$C$5,)&amp;": thanh chống 810"</f>
        <v>Cổ dê bắt xà 80x6: thanh chống 810</v>
      </c>
      <c r="F667" s="555" t="str">
        <f>VLOOKUP($B667,dongia1,DG!$D$5,)</f>
        <v>bộ</v>
      </c>
      <c r="G667" s="205"/>
      <c r="H667" s="556"/>
      <c r="I667" s="556">
        <f t="shared" ca="1" si="363"/>
        <v>0</v>
      </c>
      <c r="J667" s="556">
        <f t="shared" ca="1" si="363"/>
        <v>0</v>
      </c>
      <c r="K667" s="556">
        <f t="shared" ca="1" si="363"/>
        <v>0</v>
      </c>
      <c r="L667" s="556">
        <f t="shared" ca="1" si="363"/>
        <v>0</v>
      </c>
      <c r="M667" s="556"/>
      <c r="N667" s="556">
        <f t="shared" si="363"/>
        <v>0</v>
      </c>
      <c r="O667" s="556">
        <f t="shared" si="363"/>
        <v>0</v>
      </c>
      <c r="P667" s="182">
        <f>VLOOKUP($B667,dongia1,DG!$F$5,)</f>
        <v>178900</v>
      </c>
      <c r="Q667" s="603">
        <f>VLOOKUP($B667,dongia1,DG!$G$5,)</f>
        <v>0</v>
      </c>
      <c r="R667" s="554"/>
      <c r="S667" s="113">
        <f t="shared" si="365"/>
        <v>0</v>
      </c>
      <c r="T667" s="113">
        <f t="shared" si="365"/>
        <v>0</v>
      </c>
      <c r="U667" s="557">
        <f t="shared" si="365"/>
        <v>0</v>
      </c>
    </row>
    <row r="668" spans="1:21">
      <c r="B668" s="696" t="s">
        <v>1261</v>
      </c>
      <c r="C668" s="631"/>
      <c r="D668" s="698"/>
      <c r="E668" s="699" t="str">
        <f>VLOOKUP($B668,dongia1,DG!$C$5,)</f>
        <v>Boulon 16x250+ 2 long đền vuông D18-50x50x3/Zn</v>
      </c>
      <c r="F668" s="700" t="str">
        <f>VLOOKUP($B668,dongia1,DG!$D$5,)</f>
        <v>bộ</v>
      </c>
      <c r="G668" s="762">
        <v>2</v>
      </c>
      <c r="H668" s="701"/>
      <c r="I668" s="701">
        <f t="shared" ca="1" si="363"/>
        <v>0</v>
      </c>
      <c r="J668" s="701">
        <f t="shared" ca="1" si="363"/>
        <v>0</v>
      </c>
      <c r="K668" s="701">
        <f t="shared" ca="1" si="363"/>
        <v>0</v>
      </c>
      <c r="L668" s="701">
        <f t="shared" ca="1" si="363"/>
        <v>0</v>
      </c>
      <c r="M668" s="701"/>
      <c r="N668" s="701">
        <f t="shared" si="363"/>
        <v>0</v>
      </c>
      <c r="O668" s="701">
        <f t="shared" si="363"/>
        <v>0</v>
      </c>
      <c r="P668" s="702">
        <f>VLOOKUP($B668,dongia1,DG!$F$5,)</f>
        <v>13400</v>
      </c>
      <c r="Q668" s="703"/>
      <c r="R668" s="703"/>
      <c r="S668" s="702">
        <f t="shared" si="364"/>
        <v>26800</v>
      </c>
      <c r="T668" s="702">
        <f t="shared" si="364"/>
        <v>0</v>
      </c>
      <c r="U668" s="704">
        <f t="shared" si="364"/>
        <v>0</v>
      </c>
    </row>
    <row r="669" spans="1:21">
      <c r="B669" s="696" t="s">
        <v>1044</v>
      </c>
      <c r="C669" s="631"/>
      <c r="D669" s="698"/>
      <c r="E669" s="699" t="str">
        <f>VLOOKUP($B669,dongia1,DG!$C$5,)</f>
        <v>Boulon 16x50+ 2 long đền vuông D18-50x50x3/Zn</v>
      </c>
      <c r="F669" s="700" t="str">
        <f>VLOOKUP($B669,dongia1,DG!$D$5,)</f>
        <v>bộ</v>
      </c>
      <c r="G669" s="762">
        <v>2</v>
      </c>
      <c r="H669" s="701"/>
      <c r="I669" s="701">
        <f t="shared" ca="1" si="363"/>
        <v>0</v>
      </c>
      <c r="J669" s="701">
        <f t="shared" ca="1" si="363"/>
        <v>0</v>
      </c>
      <c r="K669" s="701">
        <f t="shared" ca="1" si="363"/>
        <v>0</v>
      </c>
      <c r="L669" s="701">
        <f t="shared" ca="1" si="363"/>
        <v>0</v>
      </c>
      <c r="M669" s="701"/>
      <c r="N669" s="701">
        <f t="shared" si="363"/>
        <v>0</v>
      </c>
      <c r="O669" s="701">
        <f t="shared" si="363"/>
        <v>0</v>
      </c>
      <c r="P669" s="702">
        <f>VLOOKUP($B669,dongia1,DG!$F$5,)</f>
        <v>12400</v>
      </c>
      <c r="Q669" s="703"/>
      <c r="R669" s="703"/>
      <c r="S669" s="702">
        <f t="shared" si="364"/>
        <v>24800</v>
      </c>
      <c r="T669" s="702">
        <f t="shared" si="364"/>
        <v>0</v>
      </c>
      <c r="U669" s="704">
        <f t="shared" si="364"/>
        <v>0</v>
      </c>
    </row>
    <row r="670" spans="1:21">
      <c r="B670" s="696" t="s">
        <v>1436</v>
      </c>
      <c r="C670" s="631"/>
      <c r="D670" s="698"/>
      <c r="E670" s="699" t="str">
        <f>VLOOKUP($B670,dongia1,DG!$C$5,)</f>
        <v>Lắp xà đỡ 2,2m đơn (29,759kg)</v>
      </c>
      <c r="F670" s="700" t="str">
        <f>VLOOKUP($B670,dongia1,DG!$D$5,)</f>
        <v>bộ</v>
      </c>
      <c r="G670" s="762">
        <v>1</v>
      </c>
      <c r="H670" s="701"/>
      <c r="I670" s="701">
        <f t="shared" ca="1" si="363"/>
        <v>0</v>
      </c>
      <c r="J670" s="701">
        <f t="shared" ca="1" si="363"/>
        <v>0</v>
      </c>
      <c r="K670" s="701">
        <f t="shared" ca="1" si="363"/>
        <v>0</v>
      </c>
      <c r="L670" s="701">
        <f t="shared" ca="1" si="363"/>
        <v>0</v>
      </c>
      <c r="M670" s="701"/>
      <c r="N670" s="701">
        <f t="shared" si="363"/>
        <v>0</v>
      </c>
      <c r="O670" s="701">
        <f t="shared" si="363"/>
        <v>0</v>
      </c>
      <c r="P670" s="703"/>
      <c r="Q670" s="934" t="str">
        <f>TEXT(VLOOKUP($B670,dongia1,DG!$G$5,),"#,##0")&amp;" x"&amp;hslx</f>
        <v>184878,0 x1,5</v>
      </c>
      <c r="R670" s="703"/>
      <c r="S670" s="702">
        <f t="shared" si="364"/>
        <v>0</v>
      </c>
      <c r="T670" s="934">
        <f>VLOOKUP($B670,dongia1,DG!G$5,)*G670*hslx</f>
        <v>277317</v>
      </c>
      <c r="U670" s="930">
        <f>$G670*R670</f>
        <v>0</v>
      </c>
    </row>
    <row r="671" spans="1:21" s="552" customFormat="1" ht="15" customHeight="1">
      <c r="A671" s="621" t="s">
        <v>3743</v>
      </c>
      <c r="B671" s="622"/>
      <c r="C671" s="558"/>
      <c r="D671" s="553"/>
      <c r="E671" s="727" t="s">
        <v>3572</v>
      </c>
      <c r="F671" s="600" t="s">
        <v>2113</v>
      </c>
      <c r="G671" s="205"/>
      <c r="H671" s="556"/>
      <c r="I671" s="556">
        <f ca="1">SUMIF(xa3pm,chitiet!$A671,slxa3pm)</f>
        <v>0</v>
      </c>
      <c r="J671" s="556">
        <f ca="1">SUMIF(xact,chitiet!$A671,slxact)</f>
        <v>0</v>
      </c>
      <c r="K671" s="556">
        <f ca="1">SUMIF(xa3p1m,chitiet!$A671,slxa3p1m)</f>
        <v>0</v>
      </c>
      <c r="L671" s="556">
        <f ca="1">SUMIF(xa1pm,chitiet!$A671,slxa1pm)</f>
        <v>0</v>
      </c>
      <c r="M671" s="556"/>
      <c r="N671" s="556"/>
      <c r="O671" s="556"/>
      <c r="P671" s="554"/>
      <c r="Q671" s="554"/>
      <c r="R671" s="554"/>
      <c r="S671" s="601">
        <f>SUM(S672:S676)</f>
        <v>978414.90000000014</v>
      </c>
      <c r="T671" s="601">
        <f>SUM(T672:T676)</f>
        <v>444817.125</v>
      </c>
      <c r="U671" s="714">
        <f>SUM(U672:U676)</f>
        <v>0</v>
      </c>
    </row>
    <row r="672" spans="1:21" s="552" customFormat="1" ht="15" customHeight="1">
      <c r="A672" s="621"/>
      <c r="B672" s="622" t="s">
        <v>386</v>
      </c>
      <c r="C672" s="558">
        <f>C671</f>
        <v>0</v>
      </c>
      <c r="D672" s="553"/>
      <c r="E672" s="694" t="str">
        <f>VLOOKUP($B672,dongia1,DG!$C$5,)</f>
        <v>Sắt góc L75 x75 x8</v>
      </c>
      <c r="F672" s="555" t="str">
        <f>VLOOKUP($B672,dongia1,DG!$D$5,)</f>
        <v>kg</v>
      </c>
      <c r="G672" s="205">
        <f>9.02*(2.2+4*0.07)</f>
        <v>22.369600000000002</v>
      </c>
      <c r="H672" s="556"/>
      <c r="I672" s="556">
        <f t="shared" ref="I672:O676" ca="1" si="366">I$671*$G672</f>
        <v>0</v>
      </c>
      <c r="J672" s="556">
        <f t="shared" ca="1" si="366"/>
        <v>0</v>
      </c>
      <c r="K672" s="556">
        <f t="shared" ca="1" si="366"/>
        <v>0</v>
      </c>
      <c r="L672" s="556">
        <f t="shared" ca="1" si="366"/>
        <v>0</v>
      </c>
      <c r="M672" s="556"/>
      <c r="N672" s="556">
        <f t="shared" si="366"/>
        <v>0</v>
      </c>
      <c r="O672" s="556">
        <f t="shared" si="366"/>
        <v>0</v>
      </c>
      <c r="P672" s="182">
        <f>VLOOKUP($B672,dongia1,DG!$F$5,)</f>
        <v>31625</v>
      </c>
      <c r="Q672" s="554"/>
      <c r="R672" s="554"/>
      <c r="S672" s="113">
        <f>$G672*P672</f>
        <v>707438.60000000009</v>
      </c>
      <c r="T672" s="113">
        <f t="shared" ref="T672:U675" si="367">$G672*Q672</f>
        <v>0</v>
      </c>
      <c r="U672" s="557">
        <f t="shared" si="367"/>
        <v>0</v>
      </c>
    </row>
    <row r="673" spans="1:21" s="552" customFormat="1" ht="15" customHeight="1">
      <c r="A673" s="621"/>
      <c r="B673" s="622" t="s">
        <v>2</v>
      </c>
      <c r="C673" s="558">
        <f>C672</f>
        <v>0</v>
      </c>
      <c r="D673" s="553"/>
      <c r="E673" s="694" t="str">
        <f>VLOOKUP($B673,dongia1,DG!$C$5,)&amp;" thanh chống 920"</f>
        <v>Sắt góc L50 x50 x5 thanh chống 920</v>
      </c>
      <c r="F673" s="555" t="str">
        <f>VLOOKUP($B673,dongia1,DG!$D$5,)</f>
        <v>kg</v>
      </c>
      <c r="G673" s="205">
        <f>3.77*0.92*2</f>
        <v>6.9368000000000007</v>
      </c>
      <c r="H673" s="556"/>
      <c r="I673" s="556">
        <f t="shared" ca="1" si="366"/>
        <v>0</v>
      </c>
      <c r="J673" s="556">
        <f t="shared" ca="1" si="366"/>
        <v>0</v>
      </c>
      <c r="K673" s="556">
        <f t="shared" ca="1" si="366"/>
        <v>0</v>
      </c>
      <c r="L673" s="556">
        <f t="shared" ca="1" si="366"/>
        <v>0</v>
      </c>
      <c r="M673" s="556"/>
      <c r="N673" s="556">
        <f t="shared" si="366"/>
        <v>0</v>
      </c>
      <c r="O673" s="556">
        <f t="shared" si="366"/>
        <v>0</v>
      </c>
      <c r="P673" s="182">
        <f>VLOOKUP($B673,dongia1,DG!$F$5,)</f>
        <v>31625</v>
      </c>
      <c r="Q673" s="554"/>
      <c r="R673" s="554"/>
      <c r="S673" s="113">
        <f>$G673*P673</f>
        <v>219376.30000000002</v>
      </c>
      <c r="T673" s="113">
        <f t="shared" si="367"/>
        <v>0</v>
      </c>
      <c r="U673" s="557">
        <f t="shared" si="367"/>
        <v>0</v>
      </c>
    </row>
    <row r="674" spans="1:21" s="552" customFormat="1" ht="15" customHeight="1">
      <c r="A674" s="621"/>
      <c r="B674" s="622" t="s">
        <v>1261</v>
      </c>
      <c r="C674" s="558">
        <f>C673</f>
        <v>0</v>
      </c>
      <c r="D674" s="553"/>
      <c r="E674" s="694" t="str">
        <f>VLOOKUP($B674,dongia1,DG!$C$5,)</f>
        <v>Boulon 16x250+ 2 long đền vuông D18-50x50x3/Zn</v>
      </c>
      <c r="F674" s="555" t="str">
        <f>VLOOKUP($B674,dongia1,DG!$D$5,)</f>
        <v>bộ</v>
      </c>
      <c r="G674" s="205">
        <v>2</v>
      </c>
      <c r="H674" s="556"/>
      <c r="I674" s="556">
        <f t="shared" ca="1" si="366"/>
        <v>0</v>
      </c>
      <c r="J674" s="556">
        <f t="shared" ca="1" si="366"/>
        <v>0</v>
      </c>
      <c r="K674" s="556">
        <f t="shared" ca="1" si="366"/>
        <v>0</v>
      </c>
      <c r="L674" s="556">
        <f t="shared" ca="1" si="366"/>
        <v>0</v>
      </c>
      <c r="M674" s="556"/>
      <c r="N674" s="556">
        <f t="shared" si="366"/>
        <v>0</v>
      </c>
      <c r="O674" s="556">
        <f t="shared" si="366"/>
        <v>0</v>
      </c>
      <c r="P674" s="182">
        <f>VLOOKUP($B674,dongia1,DG!$F$5,)</f>
        <v>13400</v>
      </c>
      <c r="Q674" s="554"/>
      <c r="R674" s="554"/>
      <c r="S674" s="113">
        <f>$G674*P674</f>
        <v>26800</v>
      </c>
      <c r="T674" s="113">
        <f t="shared" si="367"/>
        <v>0</v>
      </c>
      <c r="U674" s="557">
        <f t="shared" si="367"/>
        <v>0</v>
      </c>
    </row>
    <row r="675" spans="1:21" s="552" customFormat="1" ht="15" customHeight="1">
      <c r="A675" s="621"/>
      <c r="B675" s="622" t="s">
        <v>1044</v>
      </c>
      <c r="C675" s="558">
        <f>C674</f>
        <v>0</v>
      </c>
      <c r="D675" s="553"/>
      <c r="E675" s="694" t="str">
        <f>VLOOKUP($B675,dongia1,DG!$C$5,)</f>
        <v>Boulon 16x50+ 2 long đền vuông D18-50x50x3/Zn</v>
      </c>
      <c r="F675" s="555" t="str">
        <f>VLOOKUP($B675,dongia1,DG!$D$5,)</f>
        <v>bộ</v>
      </c>
      <c r="G675" s="205">
        <v>2</v>
      </c>
      <c r="H675" s="556"/>
      <c r="I675" s="556">
        <f t="shared" ca="1" si="366"/>
        <v>0</v>
      </c>
      <c r="J675" s="556">
        <f t="shared" ca="1" si="366"/>
        <v>0</v>
      </c>
      <c r="K675" s="556">
        <f t="shared" ca="1" si="366"/>
        <v>0</v>
      </c>
      <c r="L675" s="556">
        <f t="shared" ca="1" si="366"/>
        <v>0</v>
      </c>
      <c r="M675" s="556"/>
      <c r="N675" s="556">
        <f t="shared" si="366"/>
        <v>0</v>
      </c>
      <c r="O675" s="556">
        <f t="shared" si="366"/>
        <v>0</v>
      </c>
      <c r="P675" s="182">
        <f>VLOOKUP($B675,dongia1,DG!$F$5,)</f>
        <v>12400</v>
      </c>
      <c r="Q675" s="554"/>
      <c r="R675" s="554"/>
      <c r="S675" s="113">
        <f>$G675*P675</f>
        <v>24800</v>
      </c>
      <c r="T675" s="113">
        <f t="shared" si="367"/>
        <v>0</v>
      </c>
      <c r="U675" s="557">
        <f t="shared" si="367"/>
        <v>0</v>
      </c>
    </row>
    <row r="676" spans="1:21" s="552" customFormat="1" ht="15" customHeight="1">
      <c r="A676" s="621"/>
      <c r="B676" s="622" t="s">
        <v>813</v>
      </c>
      <c r="C676" s="558">
        <f>C675</f>
        <v>0</v>
      </c>
      <c r="D676" s="553"/>
      <c r="E676" s="694" t="str">
        <f>VLOOKUP($B676,dongia1,DG!$C$5,)</f>
        <v>Lắp xà đỡ 50kg</v>
      </c>
      <c r="F676" s="555" t="str">
        <f>VLOOKUP($B676,dongia1,DG!$D$5,)</f>
        <v>bộ</v>
      </c>
      <c r="G676" s="205">
        <v>1</v>
      </c>
      <c r="H676" s="556"/>
      <c r="I676" s="556">
        <f t="shared" ca="1" si="366"/>
        <v>0</v>
      </c>
      <c r="J676" s="556">
        <f t="shared" ca="1" si="366"/>
        <v>0</v>
      </c>
      <c r="K676" s="556">
        <f t="shared" ca="1" si="366"/>
        <v>0</v>
      </c>
      <c r="L676" s="556">
        <f t="shared" ca="1" si="366"/>
        <v>0</v>
      </c>
      <c r="M676" s="556"/>
      <c r="N676" s="556">
        <f t="shared" si="366"/>
        <v>0</v>
      </c>
      <c r="O676" s="556">
        <f t="shared" si="366"/>
        <v>0</v>
      </c>
      <c r="P676" s="554"/>
      <c r="Q676" s="603" t="str">
        <f>TEXT(VLOOKUP($B676,dongia1,DG!$G$5,),"#,##0")&amp;" x"&amp;hslx</f>
        <v>296544,750 x1,5</v>
      </c>
      <c r="R676" s="554"/>
      <c r="S676" s="113">
        <f>$G676*P676</f>
        <v>0</v>
      </c>
      <c r="T676" s="603">
        <f>VLOOKUP($B676,dongia1,DG!G$5,)*G676*hslx</f>
        <v>444817.125</v>
      </c>
      <c r="U676" s="557">
        <f>$G676*R676</f>
        <v>0</v>
      </c>
    </row>
    <row r="677" spans="1:21" s="552" customFormat="1" ht="15" customHeight="1">
      <c r="A677" s="621" t="s">
        <v>737</v>
      </c>
      <c r="B677" s="622"/>
      <c r="C677" s="558" t="str">
        <f>IF(H677&lt;&gt;0,"x"," ")</f>
        <v xml:space="preserve"> </v>
      </c>
      <c r="D677" s="553"/>
      <c r="E677" s="727" t="s">
        <v>3573</v>
      </c>
      <c r="F677" s="600" t="s">
        <v>2113</v>
      </c>
      <c r="G677" s="205"/>
      <c r="H677" s="556"/>
      <c r="I677" s="556">
        <f ca="1">SUMIF(xa3pm,chitiet!$A677,slxa3pm)</f>
        <v>0</v>
      </c>
      <c r="J677" s="556">
        <f ca="1">SUMIF(xact,chitiet!$A677,slxact)</f>
        <v>0</v>
      </c>
      <c r="K677" s="556">
        <f ca="1">SUMIF(xa3p1m,chitiet!$A677,slxa3p1m)</f>
        <v>0</v>
      </c>
      <c r="L677" s="556">
        <f ca="1">SUMIF(xa1pm,chitiet!$A677,slxa1pm)</f>
        <v>0</v>
      </c>
      <c r="M677" s="556"/>
      <c r="N677" s="556"/>
      <c r="O677" s="556"/>
      <c r="P677" s="554"/>
      <c r="Q677" s="554"/>
      <c r="R677" s="554"/>
      <c r="S677" s="601">
        <f>SUM(S678:S678)</f>
        <v>0</v>
      </c>
      <c r="T677" s="601">
        <f>SUM(T678:T678)</f>
        <v>196446</v>
      </c>
      <c r="U677" s="602">
        <f>SUM(U678:U678)</f>
        <v>0</v>
      </c>
    </row>
    <row r="678" spans="1:21" s="552" customFormat="1" ht="15" customHeight="1">
      <c r="A678" s="621"/>
      <c r="B678" s="622" t="s">
        <v>1324</v>
      </c>
      <c r="C678" s="558" t="str">
        <f>C677</f>
        <v xml:space="preserve"> </v>
      </c>
      <c r="D678" s="553"/>
      <c r="E678" s="694" t="str">
        <f>VLOOKUP($B678,dongia1,DG!$C$5,)</f>
        <v>Lắp xà trụ ghép ≤ 140kg</v>
      </c>
      <c r="F678" s="555" t="str">
        <f>VLOOKUP($B678,dongia1,DG!$D$5,)</f>
        <v>bộ</v>
      </c>
      <c r="G678" s="205">
        <v>1</v>
      </c>
      <c r="H678" s="556"/>
      <c r="I678" s="556">
        <f t="shared" ref="I678:N678" ca="1" si="368">I$677*$G678</f>
        <v>0</v>
      </c>
      <c r="J678" s="556">
        <f t="shared" ca="1" si="368"/>
        <v>0</v>
      </c>
      <c r="K678" s="556">
        <f t="shared" ca="1" si="368"/>
        <v>0</v>
      </c>
      <c r="L678" s="556">
        <f t="shared" ca="1" si="368"/>
        <v>0</v>
      </c>
      <c r="M678" s="556"/>
      <c r="N678" s="556">
        <f t="shared" si="368"/>
        <v>0</v>
      </c>
      <c r="O678" s="556"/>
      <c r="P678" s="182">
        <f>VLOOKUP($B678,dongia1,DG!$F$5,)</f>
        <v>0</v>
      </c>
      <c r="Q678" s="603" t="str">
        <f>TEXT(VLOOKUP($B678,dongia1,DG!$G$5,),"#.##0")&amp;" x 2 x"&amp;hslx</f>
        <v>65.482 x 2 x1,5</v>
      </c>
      <c r="R678" s="554"/>
      <c r="S678" s="113">
        <f>$G678*P678</f>
        <v>0</v>
      </c>
      <c r="T678" s="603">
        <f>VLOOKUP($B678,dongia1,DG!G$5,)*G678*hslx*2</f>
        <v>196446</v>
      </c>
      <c r="U678" s="557">
        <f>$G678*R678</f>
        <v>0</v>
      </c>
    </row>
    <row r="679" spans="1:21" s="858" customFormat="1">
      <c r="A679" s="847" t="s">
        <v>3744</v>
      </c>
      <c r="B679" s="848"/>
      <c r="C679" s="849" t="str">
        <f ca="1">IF(H679&lt;&gt;0,"x"," ")</f>
        <v>x</v>
      </c>
      <c r="D679" s="850">
        <v>1</v>
      </c>
      <c r="E679" s="851" t="s">
        <v>3574</v>
      </c>
      <c r="F679" s="852" t="s">
        <v>2113</v>
      </c>
      <c r="G679" s="1980">
        <f>pp3p1m!CC10</f>
        <v>2</v>
      </c>
      <c r="H679" s="854">
        <f ca="1">SUM(I679:N679)</f>
        <v>2</v>
      </c>
      <c r="I679" s="854">
        <f ca="1">SUMIF(xa3pm,chitiet!$A679,slxa3pm)</f>
        <v>0</v>
      </c>
      <c r="J679" s="854">
        <f ca="1">SUMIF(xact,chitiet!$A679,slxact)</f>
        <v>0</v>
      </c>
      <c r="K679" s="854">
        <f ca="1">SUMIF(xa3p1m,chitiet!$A679,slxa3p1m)</f>
        <v>2</v>
      </c>
      <c r="L679" s="854">
        <f ca="1">SUMIF(xa1pm,chitiet!$A679,slxa1pm)</f>
        <v>0</v>
      </c>
      <c r="M679" s="854"/>
      <c r="N679" s="854"/>
      <c r="O679" s="854"/>
      <c r="P679" s="855"/>
      <c r="Q679" s="855"/>
      <c r="R679" s="855"/>
      <c r="S679" s="856">
        <f>SUM(S680:S686)</f>
        <v>1964095</v>
      </c>
      <c r="T679" s="856">
        <f>SUM(T680:T686)</f>
        <v>394533.45</v>
      </c>
      <c r="U679" s="857">
        <f>SUM(U680:U686)</f>
        <v>0</v>
      </c>
    </row>
    <row r="680" spans="1:21">
      <c r="B680" s="696" t="s">
        <v>386</v>
      </c>
      <c r="C680" s="631" t="str">
        <f ca="1">C679</f>
        <v>x</v>
      </c>
      <c r="D680" s="698"/>
      <c r="E680" s="699" t="str">
        <f>VLOOKUP($B680,dongia1,DG!$C$5,)</f>
        <v>Sắt góc L75 x75 x8</v>
      </c>
      <c r="F680" s="700" t="str">
        <f>VLOOKUP($B680,dongia1,DG!$D$5,)</f>
        <v>kg</v>
      </c>
      <c r="G680" s="762">
        <f>2*(19.84+4*0.63)</f>
        <v>44.72</v>
      </c>
      <c r="H680" s="701"/>
      <c r="I680" s="701">
        <f t="shared" ref="I680:O686" ca="1" si="369">I$679*$G680</f>
        <v>0</v>
      </c>
      <c r="J680" s="701">
        <f t="shared" ca="1" si="369"/>
        <v>0</v>
      </c>
      <c r="K680" s="701">
        <f t="shared" ca="1" si="369"/>
        <v>89.44</v>
      </c>
      <c r="L680" s="701">
        <f t="shared" ca="1" si="369"/>
        <v>0</v>
      </c>
      <c r="M680" s="701"/>
      <c r="N680" s="701">
        <f t="shared" si="369"/>
        <v>0</v>
      </c>
      <c r="O680" s="701">
        <f t="shared" si="369"/>
        <v>0</v>
      </c>
      <c r="P680" s="702">
        <f>VLOOKUP($B680,dongia1,DG!$F$5,)</f>
        <v>31625</v>
      </c>
      <c r="Q680" s="703"/>
      <c r="R680" s="703"/>
      <c r="S680" s="702">
        <f t="shared" ref="S680:U686" si="370">$G680*P680</f>
        <v>1414270</v>
      </c>
      <c r="T680" s="702">
        <f t="shared" si="370"/>
        <v>0</v>
      </c>
      <c r="U680" s="704">
        <f t="shared" si="370"/>
        <v>0</v>
      </c>
    </row>
    <row r="681" spans="1:21">
      <c r="B681" s="696" t="s">
        <v>2</v>
      </c>
      <c r="C681" s="631" t="str">
        <f t="shared" ref="C681:C686" ca="1" si="371">C680</f>
        <v>x</v>
      </c>
      <c r="D681" s="698"/>
      <c r="E681" s="699" t="str">
        <f>VLOOKUP($B681,dongia1,DG!$C$5,)</f>
        <v>Sắt góc L50 x50 x5</v>
      </c>
      <c r="F681" s="700" t="str">
        <f>VLOOKUP($B681,dongia1,DG!$D$5,)</f>
        <v>kg</v>
      </c>
      <c r="G681" s="762">
        <f>2*3.05*2</f>
        <v>12.2</v>
      </c>
      <c r="H681" s="701"/>
      <c r="I681" s="701">
        <f t="shared" ca="1" si="369"/>
        <v>0</v>
      </c>
      <c r="J681" s="701">
        <f t="shared" ca="1" si="369"/>
        <v>0</v>
      </c>
      <c r="K681" s="701">
        <f t="shared" ca="1" si="369"/>
        <v>24.4</v>
      </c>
      <c r="L681" s="701">
        <f t="shared" ca="1" si="369"/>
        <v>0</v>
      </c>
      <c r="M681" s="701"/>
      <c r="N681" s="701">
        <f t="shared" si="369"/>
        <v>0</v>
      </c>
      <c r="O681" s="701">
        <f t="shared" si="369"/>
        <v>0</v>
      </c>
      <c r="P681" s="702">
        <f>VLOOKUP($B681,dongia1,DG!$F$5,)</f>
        <v>31625</v>
      </c>
      <c r="Q681" s="703"/>
      <c r="R681" s="703"/>
      <c r="S681" s="702">
        <f t="shared" si="370"/>
        <v>385825</v>
      </c>
      <c r="T681" s="702">
        <f t="shared" si="370"/>
        <v>0</v>
      </c>
      <c r="U681" s="704">
        <f t="shared" si="370"/>
        <v>0</v>
      </c>
    </row>
    <row r="682" spans="1:21">
      <c r="B682" s="696" t="s">
        <v>1261</v>
      </c>
      <c r="C682" s="631" t="str">
        <f t="shared" ca="1" si="371"/>
        <v>x</v>
      </c>
      <c r="D682" s="698"/>
      <c r="E682" s="699" t="str">
        <f>VLOOKUP($B682,dongia1,DG!$C$5,)</f>
        <v>Boulon 16x250+ 2 long đền vuông D18-50x50x3/Zn</v>
      </c>
      <c r="F682" s="700" t="str">
        <f>VLOOKUP($B682,dongia1,DG!$D$5,)</f>
        <v>bộ</v>
      </c>
      <c r="G682" s="762"/>
      <c r="H682" s="701"/>
      <c r="I682" s="701">
        <f t="shared" ca="1" si="369"/>
        <v>0</v>
      </c>
      <c r="J682" s="701">
        <f t="shared" ca="1" si="369"/>
        <v>0</v>
      </c>
      <c r="K682" s="701">
        <f t="shared" ca="1" si="369"/>
        <v>0</v>
      </c>
      <c r="L682" s="701">
        <f t="shared" ca="1" si="369"/>
        <v>0</v>
      </c>
      <c r="M682" s="701"/>
      <c r="N682" s="701">
        <f t="shared" si="369"/>
        <v>0</v>
      </c>
      <c r="O682" s="701">
        <f t="shared" si="369"/>
        <v>0</v>
      </c>
      <c r="P682" s="702">
        <f>VLOOKUP($B682,dongia1,DG!$F$5,)</f>
        <v>13400</v>
      </c>
      <c r="Q682" s="703"/>
      <c r="R682" s="703"/>
      <c r="S682" s="702">
        <f>$G682*P682</f>
        <v>0</v>
      </c>
      <c r="T682" s="702">
        <f>$G682*Q682</f>
        <v>0</v>
      </c>
      <c r="U682" s="704">
        <f>$G682*R682</f>
        <v>0</v>
      </c>
    </row>
    <row r="683" spans="1:21">
      <c r="B683" s="696" t="s">
        <v>1262</v>
      </c>
      <c r="C683" s="631" t="str">
        <f t="shared" ca="1" si="371"/>
        <v>x</v>
      </c>
      <c r="D683" s="698"/>
      <c r="E683" s="699" t="str">
        <f>VLOOKUP($B683,dongia1,DG!$C$5,)</f>
        <v>Boulon 16x300+ 2 long đền vuông D18-50x50x3/Zn</v>
      </c>
      <c r="F683" s="700" t="str">
        <f>VLOOKUP($B683,dongia1,DG!$D$5,)</f>
        <v>bộ</v>
      </c>
      <c r="G683" s="762">
        <v>2</v>
      </c>
      <c r="H683" s="701"/>
      <c r="I683" s="701">
        <f t="shared" ca="1" si="369"/>
        <v>0</v>
      </c>
      <c r="J683" s="701">
        <f t="shared" ca="1" si="369"/>
        <v>0</v>
      </c>
      <c r="K683" s="701">
        <f t="shared" ca="1" si="369"/>
        <v>4</v>
      </c>
      <c r="L683" s="701">
        <f t="shared" ca="1" si="369"/>
        <v>0</v>
      </c>
      <c r="M683" s="701"/>
      <c r="N683" s="701">
        <f t="shared" si="369"/>
        <v>0</v>
      </c>
      <c r="O683" s="701">
        <f t="shared" si="369"/>
        <v>0</v>
      </c>
      <c r="P683" s="702">
        <f>VLOOKUP($B683,dongia1,DG!$F$5,)</f>
        <v>25400</v>
      </c>
      <c r="Q683" s="703"/>
      <c r="R683" s="703"/>
      <c r="S683" s="702">
        <f t="shared" si="370"/>
        <v>50800</v>
      </c>
      <c r="T683" s="702">
        <f t="shared" si="370"/>
        <v>0</v>
      </c>
      <c r="U683" s="704">
        <f t="shared" si="370"/>
        <v>0</v>
      </c>
    </row>
    <row r="684" spans="1:21">
      <c r="B684" s="696" t="s">
        <v>364</v>
      </c>
      <c r="C684" s="631" t="str">
        <f t="shared" ca="1" si="371"/>
        <v>x</v>
      </c>
      <c r="D684" s="698"/>
      <c r="E684" s="699" t="str">
        <f>VLOOKUP($B684,dongia1,DG!$C$5,)</f>
        <v>Boulon 16x300VRS+ 4 long đền vuông D18-50x50x3/Zn</v>
      </c>
      <c r="F684" s="700" t="str">
        <f>VLOOKUP($B684,dongia1,DG!$D$5,)</f>
        <v>bộ</v>
      </c>
      <c r="G684" s="762">
        <v>2</v>
      </c>
      <c r="H684" s="701"/>
      <c r="I684" s="701">
        <f t="shared" ca="1" si="369"/>
        <v>0</v>
      </c>
      <c r="J684" s="701">
        <f t="shared" ca="1" si="369"/>
        <v>0</v>
      </c>
      <c r="K684" s="701">
        <f t="shared" ca="1" si="369"/>
        <v>4</v>
      </c>
      <c r="L684" s="701">
        <f t="shared" ca="1" si="369"/>
        <v>0</v>
      </c>
      <c r="M684" s="701"/>
      <c r="N684" s="701">
        <f t="shared" si="369"/>
        <v>0</v>
      </c>
      <c r="O684" s="701">
        <f t="shared" si="369"/>
        <v>0</v>
      </c>
      <c r="P684" s="702">
        <f>VLOOKUP($B684,dongia1,DG!$F$5,)</f>
        <v>31800</v>
      </c>
      <c r="Q684" s="703"/>
      <c r="R684" s="703"/>
      <c r="S684" s="702">
        <f t="shared" si="370"/>
        <v>63600</v>
      </c>
      <c r="T684" s="702">
        <f t="shared" si="370"/>
        <v>0</v>
      </c>
      <c r="U684" s="704">
        <f t="shared" si="370"/>
        <v>0</v>
      </c>
    </row>
    <row r="685" spans="1:21">
      <c r="B685" s="696" t="s">
        <v>1044</v>
      </c>
      <c r="C685" s="631" t="str">
        <f t="shared" ca="1" si="371"/>
        <v>x</v>
      </c>
      <c r="D685" s="698"/>
      <c r="E685" s="699" t="str">
        <f>VLOOKUP($B685,dongia1,DG!$C$5,)</f>
        <v>Boulon 16x50+ 2 long đền vuông D18-50x50x3/Zn</v>
      </c>
      <c r="F685" s="700" t="str">
        <f>VLOOKUP($B685,dongia1,DG!$D$5,)</f>
        <v>bộ</v>
      </c>
      <c r="G685" s="762">
        <v>4</v>
      </c>
      <c r="H685" s="701"/>
      <c r="I685" s="701">
        <f t="shared" ca="1" si="369"/>
        <v>0</v>
      </c>
      <c r="J685" s="701">
        <f t="shared" ca="1" si="369"/>
        <v>0</v>
      </c>
      <c r="K685" s="701">
        <f t="shared" ca="1" si="369"/>
        <v>8</v>
      </c>
      <c r="L685" s="701">
        <f t="shared" ca="1" si="369"/>
        <v>0</v>
      </c>
      <c r="M685" s="701"/>
      <c r="N685" s="701">
        <f t="shared" si="369"/>
        <v>0</v>
      </c>
      <c r="O685" s="701">
        <f t="shared" si="369"/>
        <v>0</v>
      </c>
      <c r="P685" s="702">
        <f>VLOOKUP($B685,dongia1,DG!$F$5,)</f>
        <v>12400</v>
      </c>
      <c r="Q685" s="703"/>
      <c r="R685" s="703"/>
      <c r="S685" s="702">
        <f>$G685*P685</f>
        <v>49600</v>
      </c>
      <c r="T685" s="702">
        <f t="shared" si="370"/>
        <v>0</v>
      </c>
      <c r="U685" s="704">
        <f>$G685*R685</f>
        <v>0</v>
      </c>
    </row>
    <row r="686" spans="1:21">
      <c r="B686" s="678" t="s">
        <v>535</v>
      </c>
      <c r="C686" s="631" t="str">
        <f t="shared" ca="1" si="371"/>
        <v>x</v>
      </c>
      <c r="D686" s="698"/>
      <c r="E686" s="699" t="str">
        <f>VLOOKUP($B686,dongia1,DG!$C$5,)</f>
        <v>Lắp xà néo 50kg</v>
      </c>
      <c r="F686" s="700" t="str">
        <f>VLOOKUP($B686,dongia1,DG!$D$5,)</f>
        <v>bộ</v>
      </c>
      <c r="G686" s="762">
        <v>1</v>
      </c>
      <c r="H686" s="701"/>
      <c r="I686" s="701">
        <f t="shared" ca="1" si="369"/>
        <v>0</v>
      </c>
      <c r="J686" s="701">
        <f t="shared" ca="1" si="369"/>
        <v>0</v>
      </c>
      <c r="K686" s="701">
        <f t="shared" ca="1" si="369"/>
        <v>2</v>
      </c>
      <c r="L686" s="701">
        <f t="shared" ca="1" si="369"/>
        <v>0</v>
      </c>
      <c r="M686" s="701"/>
      <c r="N686" s="701">
        <f t="shared" si="369"/>
        <v>0</v>
      </c>
      <c r="O686" s="701">
        <f t="shared" si="369"/>
        <v>0</v>
      </c>
      <c r="P686" s="703"/>
      <c r="Q686" s="182">
        <f>VLOOKUP($B686,dongia1,DG!$G$5,)</f>
        <v>394533.45</v>
      </c>
      <c r="R686" s="703"/>
      <c r="S686" s="702">
        <f t="shared" si="370"/>
        <v>0</v>
      </c>
      <c r="T686" s="702">
        <f t="shared" si="370"/>
        <v>394533.45</v>
      </c>
      <c r="U686" s="704">
        <f>$G686*R686</f>
        <v>0</v>
      </c>
    </row>
    <row r="687" spans="1:21" s="858" customFormat="1" ht="27.6">
      <c r="A687" s="847" t="s">
        <v>1910</v>
      </c>
      <c r="B687" s="848"/>
      <c r="C687" s="849" t="str">
        <f ca="1">IF(H687&lt;&gt;0,"x"," ")</f>
        <v xml:space="preserve"> </v>
      </c>
      <c r="D687" s="850">
        <v>2</v>
      </c>
      <c r="E687" s="851" t="s">
        <v>4451</v>
      </c>
      <c r="F687" s="852" t="s">
        <v>2113</v>
      </c>
      <c r="G687" s="853">
        <f>pp3p1m!CD10</f>
        <v>0</v>
      </c>
      <c r="H687" s="854">
        <f ca="1">SUM(I687:N687)</f>
        <v>0</v>
      </c>
      <c r="I687" s="854">
        <f ca="1">SUMIF(xa3pm,chitiet!$A687,slxa3pm)</f>
        <v>0</v>
      </c>
      <c r="J687" s="854">
        <f ca="1">SUMIF(xact,chitiet!$A687,slxact)</f>
        <v>0</v>
      </c>
      <c r="K687" s="854">
        <f ca="1">SUMIF(xa3p1m,chitiet!$A687,slxa3p1m)</f>
        <v>0</v>
      </c>
      <c r="L687" s="854">
        <f ca="1">SUMIF(xa1pm,chitiet!$A687,slxa1pm)</f>
        <v>0</v>
      </c>
      <c r="M687" s="854"/>
      <c r="N687" s="854"/>
      <c r="O687" s="854"/>
      <c r="P687" s="855"/>
      <c r="Q687" s="855"/>
      <c r="R687" s="855"/>
      <c r="S687" s="856">
        <f>SUM(S688:S694)</f>
        <v>2011405</v>
      </c>
      <c r="T687" s="856">
        <f>SUM(T688:T694)</f>
        <v>394533.45</v>
      </c>
      <c r="U687" s="857">
        <f>SUM(U688:U694)</f>
        <v>0</v>
      </c>
    </row>
    <row r="688" spans="1:21">
      <c r="B688" s="696" t="s">
        <v>386</v>
      </c>
      <c r="C688" s="631" t="str">
        <f t="shared" ref="C688:C694" ca="1" si="372">C687</f>
        <v xml:space="preserve"> </v>
      </c>
      <c r="D688" s="698"/>
      <c r="E688" s="699" t="str">
        <f>VLOOKUP($B688,dongia1,DG!$C$5,)</f>
        <v>Sắt góc L75 x75 x8</v>
      </c>
      <c r="F688" s="700" t="str">
        <f>VLOOKUP($B688,dongia1,DG!$D$5,)</f>
        <v>kg</v>
      </c>
      <c r="G688" s="762">
        <f>2*(19.84+4*0.63)</f>
        <v>44.72</v>
      </c>
      <c r="H688" s="701"/>
      <c r="I688" s="701">
        <f t="shared" ref="I688:O694" ca="1" si="373">I$687*$G688</f>
        <v>0</v>
      </c>
      <c r="J688" s="701">
        <f t="shared" ca="1" si="373"/>
        <v>0</v>
      </c>
      <c r="K688" s="701">
        <f t="shared" ca="1" si="373"/>
        <v>0</v>
      </c>
      <c r="L688" s="701">
        <f t="shared" ca="1" si="373"/>
        <v>0</v>
      </c>
      <c r="M688" s="701"/>
      <c r="N688" s="701">
        <f t="shared" si="373"/>
        <v>0</v>
      </c>
      <c r="O688" s="701">
        <f t="shared" si="373"/>
        <v>0</v>
      </c>
      <c r="P688" s="702">
        <f>VLOOKUP($B688,dongia1,DG!$F$5,)</f>
        <v>31625</v>
      </c>
      <c r="Q688" s="703"/>
      <c r="R688" s="703"/>
      <c r="S688" s="702">
        <f t="shared" ref="S688:U694" si="374">$G688*P688</f>
        <v>1414270</v>
      </c>
      <c r="T688" s="702">
        <f t="shared" si="374"/>
        <v>0</v>
      </c>
      <c r="U688" s="704">
        <f t="shared" si="374"/>
        <v>0</v>
      </c>
    </row>
    <row r="689" spans="1:21">
      <c r="B689" s="696" t="s">
        <v>2</v>
      </c>
      <c r="C689" s="631" t="str">
        <f t="shared" ca="1" si="372"/>
        <v xml:space="preserve"> </v>
      </c>
      <c r="D689" s="698"/>
      <c r="E689" s="699" t="str">
        <f>VLOOKUP($B689,dongia1,DG!$C$5,)&amp;": thanh chống 810"</f>
        <v>Sắt góc L50 x50 x5: thanh chống 810</v>
      </c>
      <c r="F689" s="700" t="str">
        <f>VLOOKUP($B689,dongia1,DG!$D$5,)</f>
        <v>kg</v>
      </c>
      <c r="G689" s="762">
        <f>2*3.05*2</f>
        <v>12.2</v>
      </c>
      <c r="H689" s="701"/>
      <c r="I689" s="701">
        <f t="shared" ca="1" si="373"/>
        <v>0</v>
      </c>
      <c r="J689" s="701">
        <f t="shared" ca="1" si="373"/>
        <v>0</v>
      </c>
      <c r="K689" s="701">
        <f t="shared" ca="1" si="373"/>
        <v>0</v>
      </c>
      <c r="L689" s="701">
        <f t="shared" ca="1" si="373"/>
        <v>0</v>
      </c>
      <c r="M689" s="701"/>
      <c r="N689" s="701">
        <f t="shared" si="373"/>
        <v>0</v>
      </c>
      <c r="O689" s="701">
        <f t="shared" si="373"/>
        <v>0</v>
      </c>
      <c r="P689" s="702">
        <f>VLOOKUP($B689,dongia1,DG!$F$5,)</f>
        <v>31625</v>
      </c>
      <c r="Q689" s="703"/>
      <c r="R689" s="703"/>
      <c r="S689" s="702">
        <f t="shared" si="374"/>
        <v>385825</v>
      </c>
      <c r="T689" s="702">
        <f t="shared" si="374"/>
        <v>0</v>
      </c>
      <c r="U689" s="704">
        <f t="shared" si="374"/>
        <v>0</v>
      </c>
    </row>
    <row r="690" spans="1:21">
      <c r="B690" s="696" t="s">
        <v>1172</v>
      </c>
      <c r="C690" s="631" t="str">
        <f t="shared" ca="1" si="372"/>
        <v xml:space="preserve"> </v>
      </c>
      <c r="D690" s="698"/>
      <c r="E690" s="699" t="str">
        <f>VLOOKUP($B690,dongia1,DG!$C$5,)</f>
        <v>Boulon 16x500+ 2 long đền vuông D18-50x50x3/Zn</v>
      </c>
      <c r="F690" s="700" t="str">
        <f>VLOOKUP($B690,dongia1,DG!$D$5,)</f>
        <v>bộ</v>
      </c>
      <c r="G690" s="762">
        <v>1</v>
      </c>
      <c r="H690" s="701"/>
      <c r="I690" s="701">
        <f t="shared" ca="1" si="373"/>
        <v>0</v>
      </c>
      <c r="J690" s="701">
        <f t="shared" ca="1" si="373"/>
        <v>0</v>
      </c>
      <c r="K690" s="701">
        <f t="shared" ca="1" si="373"/>
        <v>0</v>
      </c>
      <c r="L690" s="701">
        <f t="shared" ca="1" si="373"/>
        <v>0</v>
      </c>
      <c r="M690" s="701"/>
      <c r="N690" s="701">
        <f t="shared" si="373"/>
        <v>0</v>
      </c>
      <c r="O690" s="701">
        <f t="shared" si="373"/>
        <v>0</v>
      </c>
      <c r="P690" s="702">
        <f>VLOOKUP($B690,dongia1,DG!$F$5,)</f>
        <v>33500</v>
      </c>
      <c r="Q690" s="703"/>
      <c r="R690" s="703"/>
      <c r="S690" s="702">
        <f t="shared" si="374"/>
        <v>33500</v>
      </c>
      <c r="T690" s="702">
        <f t="shared" si="374"/>
        <v>0</v>
      </c>
      <c r="U690" s="704">
        <f t="shared" si="374"/>
        <v>0</v>
      </c>
    </row>
    <row r="691" spans="1:21">
      <c r="B691" s="696" t="s">
        <v>1040</v>
      </c>
      <c r="C691" s="631" t="str">
        <f t="shared" ca="1" si="372"/>
        <v xml:space="preserve"> </v>
      </c>
      <c r="D691" s="698"/>
      <c r="E691" s="699" t="str">
        <f>VLOOKUP($B691,dongia1,DG!$C$5,)</f>
        <v>Boulon 16x600+ 2 long đền vuông D18-50x50x3/Zn</v>
      </c>
      <c r="F691" s="700" t="str">
        <f>VLOOKUP($B691,dongia1,DG!$D$5,)</f>
        <v>bộ</v>
      </c>
      <c r="G691" s="762">
        <v>1</v>
      </c>
      <c r="H691" s="701"/>
      <c r="I691" s="701">
        <f t="shared" ca="1" si="373"/>
        <v>0</v>
      </c>
      <c r="J691" s="701">
        <f t="shared" ca="1" si="373"/>
        <v>0</v>
      </c>
      <c r="K691" s="701">
        <f t="shared" ca="1" si="373"/>
        <v>0</v>
      </c>
      <c r="L691" s="701">
        <f t="shared" ca="1" si="373"/>
        <v>0</v>
      </c>
      <c r="M691" s="701"/>
      <c r="N691" s="701">
        <f t="shared" si="373"/>
        <v>0</v>
      </c>
      <c r="O691" s="701">
        <f t="shared" si="373"/>
        <v>0</v>
      </c>
      <c r="P691" s="702">
        <f>VLOOKUP($B691,dongia1,DG!$F$5,)</f>
        <v>38610</v>
      </c>
      <c r="Q691" s="703"/>
      <c r="R691" s="703"/>
      <c r="S691" s="702">
        <f t="shared" si="374"/>
        <v>38610</v>
      </c>
      <c r="T691" s="702">
        <f t="shared" si="374"/>
        <v>0</v>
      </c>
      <c r="U691" s="704">
        <f t="shared" si="374"/>
        <v>0</v>
      </c>
    </row>
    <row r="692" spans="1:21">
      <c r="B692" s="696" t="s">
        <v>1909</v>
      </c>
      <c r="C692" s="631" t="str">
        <f t="shared" ca="1" si="372"/>
        <v xml:space="preserve"> </v>
      </c>
      <c r="D692" s="698"/>
      <c r="E692" s="699" t="str">
        <f>VLOOKUP($B692,dongia1,DG!$C$5,)</f>
        <v>Boulon 16x550VRS+ 4 long đền vuông D18-50x50x3/Zn</v>
      </c>
      <c r="F692" s="700" t="str">
        <f>VLOOKUP($B692,dongia1,DG!$D$5,)</f>
        <v>bộ</v>
      </c>
      <c r="G692" s="762">
        <v>2</v>
      </c>
      <c r="H692" s="701"/>
      <c r="I692" s="701">
        <f t="shared" ca="1" si="373"/>
        <v>0</v>
      </c>
      <c r="J692" s="701">
        <f t="shared" ca="1" si="373"/>
        <v>0</v>
      </c>
      <c r="K692" s="701">
        <f t="shared" ca="1" si="373"/>
        <v>0</v>
      </c>
      <c r="L692" s="701">
        <f t="shared" ca="1" si="373"/>
        <v>0</v>
      </c>
      <c r="M692" s="701"/>
      <c r="N692" s="701">
        <f t="shared" si="373"/>
        <v>0</v>
      </c>
      <c r="O692" s="701">
        <f t="shared" si="373"/>
        <v>0</v>
      </c>
      <c r="P692" s="702">
        <f>VLOOKUP($B692,dongia1,DG!$F$5,)</f>
        <v>44800</v>
      </c>
      <c r="Q692" s="703"/>
      <c r="R692" s="703"/>
      <c r="S692" s="702">
        <f t="shared" si="374"/>
        <v>89600</v>
      </c>
      <c r="T692" s="702">
        <f t="shared" si="374"/>
        <v>0</v>
      </c>
      <c r="U692" s="704">
        <f t="shared" si="374"/>
        <v>0</v>
      </c>
    </row>
    <row r="693" spans="1:21">
      <c r="B693" s="696" t="s">
        <v>1044</v>
      </c>
      <c r="C693" s="631" t="str">
        <f t="shared" ca="1" si="372"/>
        <v xml:space="preserve"> </v>
      </c>
      <c r="D693" s="698"/>
      <c r="E693" s="699" t="str">
        <f>VLOOKUP($B693,dongia1,DG!$C$5,)</f>
        <v>Boulon 16x50+ 2 long đền vuông D18-50x50x3/Zn</v>
      </c>
      <c r="F693" s="700" t="str">
        <f>VLOOKUP($B693,dongia1,DG!$D$5,)</f>
        <v>bộ</v>
      </c>
      <c r="G693" s="762">
        <v>4</v>
      </c>
      <c r="H693" s="701"/>
      <c r="I693" s="701">
        <f t="shared" ca="1" si="373"/>
        <v>0</v>
      </c>
      <c r="J693" s="701">
        <f t="shared" ca="1" si="373"/>
        <v>0</v>
      </c>
      <c r="K693" s="701">
        <f t="shared" ca="1" si="373"/>
        <v>0</v>
      </c>
      <c r="L693" s="701">
        <f t="shared" ca="1" si="373"/>
        <v>0</v>
      </c>
      <c r="M693" s="701"/>
      <c r="N693" s="701">
        <f t="shared" si="373"/>
        <v>0</v>
      </c>
      <c r="O693" s="701">
        <f t="shared" si="373"/>
        <v>0</v>
      </c>
      <c r="P693" s="702">
        <f>VLOOKUP($B693,dongia1,DG!$F$5,)</f>
        <v>12400</v>
      </c>
      <c r="Q693" s="703"/>
      <c r="R693" s="703"/>
      <c r="S693" s="702">
        <f t="shared" si="374"/>
        <v>49600</v>
      </c>
      <c r="T693" s="702">
        <f t="shared" si="374"/>
        <v>0</v>
      </c>
      <c r="U693" s="704">
        <f t="shared" si="374"/>
        <v>0</v>
      </c>
    </row>
    <row r="694" spans="1:21">
      <c r="B694" s="678" t="s">
        <v>535</v>
      </c>
      <c r="C694" s="631" t="str">
        <f t="shared" ca="1" si="372"/>
        <v xml:space="preserve"> </v>
      </c>
      <c r="D694" s="698"/>
      <c r="E694" s="699" t="str">
        <f>VLOOKUP($B694,dongia1,DG!$C$5,)</f>
        <v>Lắp xà néo 50kg</v>
      </c>
      <c r="F694" s="700" t="str">
        <f>VLOOKUP($B694,dongia1,DG!$D$5,)</f>
        <v>bộ</v>
      </c>
      <c r="G694" s="762">
        <v>1</v>
      </c>
      <c r="H694" s="701"/>
      <c r="I694" s="701">
        <f t="shared" ca="1" si="373"/>
        <v>0</v>
      </c>
      <c r="J694" s="701">
        <f t="shared" ca="1" si="373"/>
        <v>0</v>
      </c>
      <c r="K694" s="701">
        <f t="shared" ca="1" si="373"/>
        <v>0</v>
      </c>
      <c r="L694" s="701">
        <f t="shared" ca="1" si="373"/>
        <v>0</v>
      </c>
      <c r="M694" s="701"/>
      <c r="N694" s="701">
        <f t="shared" si="373"/>
        <v>0</v>
      </c>
      <c r="O694" s="701">
        <f t="shared" si="373"/>
        <v>0</v>
      </c>
      <c r="P694" s="703"/>
      <c r="Q694" s="182">
        <f>VLOOKUP($B694,dongia1,DG!$G$5,)</f>
        <v>394533.45</v>
      </c>
      <c r="R694" s="703"/>
      <c r="S694" s="702">
        <f>$G694*P694</f>
        <v>0</v>
      </c>
      <c r="T694" s="702">
        <f t="shared" si="374"/>
        <v>394533.45</v>
      </c>
      <c r="U694" s="704">
        <f t="shared" si="374"/>
        <v>0</v>
      </c>
    </row>
    <row r="695" spans="1:21" s="552" customFormat="1" ht="15" customHeight="1">
      <c r="A695" s="621" t="s">
        <v>912</v>
      </c>
      <c r="B695" s="622"/>
      <c r="C695" s="558" t="str">
        <f>IF(H695&lt;&gt;0,"x"," ")</f>
        <v xml:space="preserve"> </v>
      </c>
      <c r="D695" s="553"/>
      <c r="E695" s="727" t="s">
        <v>3575</v>
      </c>
      <c r="F695" s="600" t="s">
        <v>2113</v>
      </c>
      <c r="G695" s="205"/>
      <c r="H695" s="556"/>
      <c r="I695" s="556">
        <f ca="1">SUMIF(xa3pm,chitiet!$A695,slxa3pm)</f>
        <v>0</v>
      </c>
      <c r="J695" s="556">
        <f ca="1">SUMIF(xact,chitiet!$A695,slxact)</f>
        <v>0</v>
      </c>
      <c r="K695" s="556">
        <f ca="1">SUMIF(xa3p1m,chitiet!$A695,slxa3p1m)</f>
        <v>0</v>
      </c>
      <c r="L695" s="556">
        <f ca="1">SUMIF(xa1pm,chitiet!$A695,slxa1pm)</f>
        <v>0</v>
      </c>
      <c r="M695" s="556"/>
      <c r="N695" s="556"/>
      <c r="O695" s="556"/>
      <c r="P695" s="554"/>
      <c r="Q695" s="554"/>
      <c r="R695" s="554"/>
      <c r="S695" s="601">
        <f>SUM(S696:S702)</f>
        <v>2069229.8000000003</v>
      </c>
      <c r="T695" s="601">
        <f>SUM(T696:T702)</f>
        <v>444817.125</v>
      </c>
      <c r="U695" s="714">
        <f>SUM(U696:U702)</f>
        <v>0</v>
      </c>
    </row>
    <row r="696" spans="1:21" s="552" customFormat="1" ht="15" customHeight="1">
      <c r="A696" s="621"/>
      <c r="B696" s="622" t="s">
        <v>386</v>
      </c>
      <c r="C696" s="558" t="str">
        <f t="shared" ref="C696:C701" si="375">C695</f>
        <v xml:space="preserve"> </v>
      </c>
      <c r="D696" s="553"/>
      <c r="E696" s="694" t="str">
        <f>VLOOKUP($B696,dongia1,DG!$C$5,)</f>
        <v>Sắt góc L75 x75 x8</v>
      </c>
      <c r="F696" s="555" t="str">
        <f>VLOOKUP($B696,dongia1,DG!$D$5,)</f>
        <v>kg</v>
      </c>
      <c r="G696" s="205">
        <f>9.02*(2.2+4*0.07)*2</f>
        <v>44.739200000000004</v>
      </c>
      <c r="H696" s="556"/>
      <c r="I696" s="556">
        <f t="shared" ref="I696:O702" ca="1" si="376">I$695*$G696</f>
        <v>0</v>
      </c>
      <c r="J696" s="556">
        <f t="shared" ca="1" si="376"/>
        <v>0</v>
      </c>
      <c r="K696" s="556">
        <f t="shared" ca="1" si="376"/>
        <v>0</v>
      </c>
      <c r="L696" s="556">
        <f t="shared" ca="1" si="376"/>
        <v>0</v>
      </c>
      <c r="M696" s="556"/>
      <c r="N696" s="556">
        <f t="shared" si="376"/>
        <v>0</v>
      </c>
      <c r="O696" s="556">
        <f t="shared" si="376"/>
        <v>0</v>
      </c>
      <c r="P696" s="182">
        <f>VLOOKUP($B696,dongia1,DG!$F$5,)</f>
        <v>31625</v>
      </c>
      <c r="Q696" s="554"/>
      <c r="R696" s="554"/>
      <c r="S696" s="113">
        <f t="shared" ref="S696:U701" si="377">$G696*P696</f>
        <v>1414877.2000000002</v>
      </c>
      <c r="T696" s="113">
        <f t="shared" si="377"/>
        <v>0</v>
      </c>
      <c r="U696" s="557">
        <f t="shared" si="377"/>
        <v>0</v>
      </c>
    </row>
    <row r="697" spans="1:21" s="552" customFormat="1" ht="15" customHeight="1">
      <c r="A697" s="621"/>
      <c r="B697" s="622" t="s">
        <v>2</v>
      </c>
      <c r="C697" s="558" t="str">
        <f t="shared" si="375"/>
        <v xml:space="preserve"> </v>
      </c>
      <c r="D697" s="553"/>
      <c r="E697" s="694" t="str">
        <f>VLOOKUP($B697,dongia1,DG!$C$5,)&amp;": thanh chống 920"</f>
        <v>Sắt góc L50 x50 x5: thanh chống 920</v>
      </c>
      <c r="F697" s="555" t="str">
        <f>VLOOKUP($B697,dongia1,DG!$D$5,)</f>
        <v>kg</v>
      </c>
      <c r="G697" s="205">
        <f>3.77*0.92*4</f>
        <v>13.873600000000001</v>
      </c>
      <c r="H697" s="556"/>
      <c r="I697" s="556">
        <f t="shared" ca="1" si="376"/>
        <v>0</v>
      </c>
      <c r="J697" s="556">
        <f t="shared" ca="1" si="376"/>
        <v>0</v>
      </c>
      <c r="K697" s="556">
        <f t="shared" ca="1" si="376"/>
        <v>0</v>
      </c>
      <c r="L697" s="556">
        <f t="shared" ca="1" si="376"/>
        <v>0</v>
      </c>
      <c r="M697" s="556"/>
      <c r="N697" s="556">
        <f t="shared" si="376"/>
        <v>0</v>
      </c>
      <c r="O697" s="556">
        <f t="shared" si="376"/>
        <v>0</v>
      </c>
      <c r="P697" s="182">
        <f>VLOOKUP($B697,dongia1,DG!$F$5,)</f>
        <v>31625</v>
      </c>
      <c r="Q697" s="554"/>
      <c r="R697" s="554"/>
      <c r="S697" s="113">
        <f t="shared" si="377"/>
        <v>438752.60000000003</v>
      </c>
      <c r="T697" s="113">
        <f t="shared" si="377"/>
        <v>0</v>
      </c>
      <c r="U697" s="557">
        <f t="shared" si="377"/>
        <v>0</v>
      </c>
    </row>
    <row r="698" spans="1:21" s="552" customFormat="1" ht="15" customHeight="1">
      <c r="A698" s="621"/>
      <c r="B698" s="622" t="s">
        <v>1261</v>
      </c>
      <c r="C698" s="558" t="str">
        <f t="shared" si="375"/>
        <v xml:space="preserve"> </v>
      </c>
      <c r="D698" s="553"/>
      <c r="E698" s="694" t="str">
        <f>VLOOKUP($B698,dongia1,DG!$C$5,)</f>
        <v>Boulon 16x250+ 2 long đền vuông D18-50x50x3/Zn</v>
      </c>
      <c r="F698" s="555" t="str">
        <f>VLOOKUP($B698,dongia1,DG!$D$5,)</f>
        <v>bộ</v>
      </c>
      <c r="G698" s="205">
        <v>1</v>
      </c>
      <c r="H698" s="556"/>
      <c r="I698" s="556">
        <f t="shared" ca="1" si="376"/>
        <v>0</v>
      </c>
      <c r="J698" s="556">
        <f t="shared" ca="1" si="376"/>
        <v>0</v>
      </c>
      <c r="K698" s="556">
        <f t="shared" ca="1" si="376"/>
        <v>0</v>
      </c>
      <c r="L698" s="556">
        <f t="shared" ca="1" si="376"/>
        <v>0</v>
      </c>
      <c r="M698" s="556"/>
      <c r="N698" s="556">
        <f t="shared" si="376"/>
        <v>0</v>
      </c>
      <c r="O698" s="556">
        <f t="shared" si="376"/>
        <v>0</v>
      </c>
      <c r="P698" s="182">
        <f>VLOOKUP($B698,dongia1,DG!$F$5,)</f>
        <v>13400</v>
      </c>
      <c r="Q698" s="554"/>
      <c r="R698" s="554"/>
      <c r="S698" s="113">
        <f t="shared" si="377"/>
        <v>13400</v>
      </c>
      <c r="T698" s="113">
        <f t="shared" si="377"/>
        <v>0</v>
      </c>
      <c r="U698" s="557">
        <f t="shared" si="377"/>
        <v>0</v>
      </c>
    </row>
    <row r="699" spans="1:21" s="552" customFormat="1" ht="15" customHeight="1">
      <c r="A699" s="621"/>
      <c r="B699" s="622" t="s">
        <v>1262</v>
      </c>
      <c r="C699" s="558" t="str">
        <f t="shared" si="375"/>
        <v xml:space="preserve"> </v>
      </c>
      <c r="D699" s="553"/>
      <c r="E699" s="694" t="str">
        <f>VLOOKUP($B699,dongia1,DG!$C$5,)</f>
        <v>Boulon 16x300+ 2 long đền vuông D18-50x50x3/Zn</v>
      </c>
      <c r="F699" s="555" t="str">
        <f>VLOOKUP($B699,dongia1,DG!$D$5,)</f>
        <v>bộ</v>
      </c>
      <c r="G699" s="205">
        <v>1</v>
      </c>
      <c r="H699" s="556"/>
      <c r="I699" s="556">
        <f t="shared" ca="1" si="376"/>
        <v>0</v>
      </c>
      <c r="J699" s="556">
        <f t="shared" ca="1" si="376"/>
        <v>0</v>
      </c>
      <c r="K699" s="556">
        <f t="shared" ca="1" si="376"/>
        <v>0</v>
      </c>
      <c r="L699" s="556">
        <f t="shared" ca="1" si="376"/>
        <v>0</v>
      </c>
      <c r="M699" s="556"/>
      <c r="N699" s="556">
        <f t="shared" si="376"/>
        <v>0</v>
      </c>
      <c r="O699" s="556">
        <f t="shared" si="376"/>
        <v>0</v>
      </c>
      <c r="P699" s="182">
        <f>VLOOKUP($B699,dongia1,DG!$F$5,)</f>
        <v>25400</v>
      </c>
      <c r="Q699" s="554"/>
      <c r="R699" s="554"/>
      <c r="S699" s="113">
        <f t="shared" si="377"/>
        <v>25400</v>
      </c>
      <c r="T699" s="113">
        <f t="shared" si="377"/>
        <v>0</v>
      </c>
      <c r="U699" s="557">
        <f t="shared" si="377"/>
        <v>0</v>
      </c>
    </row>
    <row r="700" spans="1:21" s="552" customFormat="1" ht="15" customHeight="1">
      <c r="A700" s="621"/>
      <c r="B700" s="622" t="s">
        <v>364</v>
      </c>
      <c r="C700" s="558" t="str">
        <f t="shared" si="375"/>
        <v xml:space="preserve"> </v>
      </c>
      <c r="D700" s="553"/>
      <c r="E700" s="694" t="str">
        <f>VLOOKUP($B700,dongia1,DG!$C$5,)</f>
        <v>Boulon 16x300VRS+ 4 long đền vuông D18-50x50x3/Zn</v>
      </c>
      <c r="F700" s="555" t="str">
        <f>VLOOKUP($B700,dongia1,DG!$D$5,)</f>
        <v>bộ</v>
      </c>
      <c r="G700" s="205">
        <v>4</v>
      </c>
      <c r="H700" s="556"/>
      <c r="I700" s="556">
        <f t="shared" ca="1" si="376"/>
        <v>0</v>
      </c>
      <c r="J700" s="556">
        <f t="shared" ca="1" si="376"/>
        <v>0</v>
      </c>
      <c r="K700" s="556">
        <f t="shared" ca="1" si="376"/>
        <v>0</v>
      </c>
      <c r="L700" s="556">
        <f t="shared" ca="1" si="376"/>
        <v>0</v>
      </c>
      <c r="M700" s="556"/>
      <c r="N700" s="556">
        <f t="shared" si="376"/>
        <v>0</v>
      </c>
      <c r="O700" s="556">
        <f t="shared" si="376"/>
        <v>0</v>
      </c>
      <c r="P700" s="182">
        <f>VLOOKUP($B700,dongia1,DG!$F$5,)</f>
        <v>31800</v>
      </c>
      <c r="Q700" s="554"/>
      <c r="R700" s="554"/>
      <c r="S700" s="113">
        <f t="shared" si="377"/>
        <v>127200</v>
      </c>
      <c r="T700" s="113">
        <f t="shared" si="377"/>
        <v>0</v>
      </c>
      <c r="U700" s="557">
        <f t="shared" si="377"/>
        <v>0</v>
      </c>
    </row>
    <row r="701" spans="1:21" s="552" customFormat="1" ht="15" customHeight="1">
      <c r="A701" s="621"/>
      <c r="B701" s="622" t="s">
        <v>1044</v>
      </c>
      <c r="C701" s="558" t="str">
        <f t="shared" si="375"/>
        <v xml:space="preserve"> </v>
      </c>
      <c r="D701" s="553"/>
      <c r="E701" s="694" t="str">
        <f>VLOOKUP($B701,dongia1,DG!$C$5,)</f>
        <v>Boulon 16x50+ 2 long đền vuông D18-50x50x3/Zn</v>
      </c>
      <c r="F701" s="555" t="str">
        <f>VLOOKUP($B701,dongia1,DG!$D$5,)</f>
        <v>bộ</v>
      </c>
      <c r="G701" s="205">
        <v>4</v>
      </c>
      <c r="H701" s="556"/>
      <c r="I701" s="556">
        <f t="shared" ca="1" si="376"/>
        <v>0</v>
      </c>
      <c r="J701" s="556">
        <f t="shared" ca="1" si="376"/>
        <v>0</v>
      </c>
      <c r="K701" s="556">
        <f t="shared" ca="1" si="376"/>
        <v>0</v>
      </c>
      <c r="L701" s="556">
        <f t="shared" ca="1" si="376"/>
        <v>0</v>
      </c>
      <c r="M701" s="556"/>
      <c r="N701" s="556">
        <f t="shared" si="376"/>
        <v>0</v>
      </c>
      <c r="O701" s="556">
        <f t="shared" si="376"/>
        <v>0</v>
      </c>
      <c r="P701" s="182">
        <f>VLOOKUP($B701,dongia1,DG!$F$5,)</f>
        <v>12400</v>
      </c>
      <c r="Q701" s="554"/>
      <c r="R701" s="554"/>
      <c r="S701" s="113">
        <f t="shared" si="377"/>
        <v>49600</v>
      </c>
      <c r="T701" s="113">
        <f t="shared" si="377"/>
        <v>0</v>
      </c>
      <c r="U701" s="557">
        <f t="shared" si="377"/>
        <v>0</v>
      </c>
    </row>
    <row r="702" spans="1:21" s="552" customFormat="1" ht="15" customHeight="1">
      <c r="A702" s="621"/>
      <c r="B702" s="622" t="s">
        <v>815</v>
      </c>
      <c r="C702" s="558" t="str">
        <f>C700</f>
        <v xml:space="preserve"> </v>
      </c>
      <c r="D702" s="553"/>
      <c r="E702" s="694" t="str">
        <f>VLOOKUP($B702,dongia1,DG!$C$5,)</f>
        <v>Lắp xà néo ≤ 100kg</v>
      </c>
      <c r="F702" s="555" t="str">
        <f>VLOOKUP($B702,dongia1,DG!$D$5,)</f>
        <v>bộ</v>
      </c>
      <c r="G702" s="205">
        <v>1</v>
      </c>
      <c r="H702" s="556"/>
      <c r="I702" s="556">
        <f t="shared" ca="1" si="376"/>
        <v>0</v>
      </c>
      <c r="J702" s="556">
        <f t="shared" ca="1" si="376"/>
        <v>0</v>
      </c>
      <c r="K702" s="556">
        <f t="shared" ca="1" si="376"/>
        <v>0</v>
      </c>
      <c r="L702" s="556">
        <f t="shared" ca="1" si="376"/>
        <v>0</v>
      </c>
      <c r="M702" s="556"/>
      <c r="N702" s="556">
        <f t="shared" si="376"/>
        <v>0</v>
      </c>
      <c r="O702" s="556">
        <f t="shared" si="376"/>
        <v>0</v>
      </c>
      <c r="P702" s="554"/>
      <c r="Q702" s="603" t="str">
        <f>TEXT(VLOOKUP($B702,dongia1,DG!$G$5,),"#.##0")&amp;" x"&amp;hslx</f>
        <v>296.545 x1,5</v>
      </c>
      <c r="R702" s="554"/>
      <c r="S702" s="113">
        <f>$G702*P702</f>
        <v>0</v>
      </c>
      <c r="T702" s="113">
        <f>VLOOKUP($B702,dongia1,DG!G$5,)*G702*hslx</f>
        <v>444817.125</v>
      </c>
      <c r="U702" s="557">
        <f>$G702*R702</f>
        <v>0</v>
      </c>
    </row>
    <row r="703" spans="1:21" s="552" customFormat="1" ht="15" customHeight="1">
      <c r="A703" s="621" t="s">
        <v>3717</v>
      </c>
      <c r="B703" s="622"/>
      <c r="C703" s="558" t="str">
        <f>IF(H703&lt;&gt;0,"x"," ")</f>
        <v xml:space="preserve"> </v>
      </c>
      <c r="D703" s="553"/>
      <c r="E703" s="727" t="s">
        <v>3576</v>
      </c>
      <c r="F703" s="600" t="s">
        <v>2113</v>
      </c>
      <c r="G703" s="205"/>
      <c r="H703" s="556"/>
      <c r="I703" s="556">
        <f ca="1">SUMIF(xa3pm,chitiet!$A703,slxa3pm)</f>
        <v>0</v>
      </c>
      <c r="J703" s="556">
        <f ca="1">SUMIF(xact,chitiet!$A703,slxact)</f>
        <v>0</v>
      </c>
      <c r="K703" s="556">
        <f ca="1">SUMIF(xa3p1m,chitiet!$A703,slxa3p1m)</f>
        <v>0</v>
      </c>
      <c r="L703" s="556">
        <f ca="1">SUMIF(xa1pm,chitiet!$A703,slxa1pm)</f>
        <v>0</v>
      </c>
      <c r="M703" s="556"/>
      <c r="N703" s="556"/>
      <c r="O703" s="556"/>
      <c r="P703" s="554"/>
      <c r="Q703" s="554"/>
      <c r="R703" s="554"/>
      <c r="S703" s="601">
        <f>SUM(S704:S708)</f>
        <v>1059466.3999999999</v>
      </c>
      <c r="T703" s="601">
        <f>SUM(T704:T708)</f>
        <v>444817.125</v>
      </c>
      <c r="U703" s="602">
        <f>SUM(U704:U708)</f>
        <v>0</v>
      </c>
    </row>
    <row r="704" spans="1:21" s="552" customFormat="1" ht="15" customHeight="1">
      <c r="A704" s="621"/>
      <c r="B704" s="622" t="s">
        <v>386</v>
      </c>
      <c r="C704" s="558" t="str">
        <f>C703</f>
        <v xml:space="preserve"> </v>
      </c>
      <c r="D704" s="553"/>
      <c r="E704" s="694" t="str">
        <f>VLOOKUP($B704,dongia1,DG!$C$5,)</f>
        <v>Sắt góc L75 x75 x8</v>
      </c>
      <c r="F704" s="555" t="str">
        <f>VLOOKUP($B704,dongia1,DG!$D$5,)</f>
        <v>kg</v>
      </c>
      <c r="G704" s="205">
        <f>9.02*(2.4+4*0.07)</f>
        <v>24.173599999999997</v>
      </c>
      <c r="H704" s="556"/>
      <c r="I704" s="556">
        <f t="shared" ref="I704:O708" ca="1" si="378">I$703*$G704</f>
        <v>0</v>
      </c>
      <c r="J704" s="556">
        <f t="shared" ca="1" si="378"/>
        <v>0</v>
      </c>
      <c r="K704" s="556">
        <f t="shared" ca="1" si="378"/>
        <v>0</v>
      </c>
      <c r="L704" s="556">
        <f t="shared" ca="1" si="378"/>
        <v>0</v>
      </c>
      <c r="M704" s="556"/>
      <c r="N704" s="556">
        <f t="shared" si="378"/>
        <v>0</v>
      </c>
      <c r="O704" s="556">
        <f t="shared" si="378"/>
        <v>0</v>
      </c>
      <c r="P704" s="182">
        <f>VLOOKUP($B704,dongia1,DG!$F$5,)</f>
        <v>31625</v>
      </c>
      <c r="Q704" s="554"/>
      <c r="R704" s="554"/>
      <c r="S704" s="113">
        <f>$G704*P704</f>
        <v>764490.09999999986</v>
      </c>
      <c r="T704" s="113">
        <f t="shared" ref="T704:U707" si="379">$G704*Q704</f>
        <v>0</v>
      </c>
      <c r="U704" s="557">
        <f t="shared" si="379"/>
        <v>0</v>
      </c>
    </row>
    <row r="705" spans="1:21" s="552" customFormat="1" ht="15" customHeight="1">
      <c r="A705" s="621"/>
      <c r="B705" s="622" t="s">
        <v>2</v>
      </c>
      <c r="C705" s="558" t="str">
        <f>C704</f>
        <v xml:space="preserve"> </v>
      </c>
      <c r="D705" s="553"/>
      <c r="E705" s="694" t="str">
        <f>VLOOKUP($B705,dongia1,DG!$C$5,)&amp;" (chống 920)"</f>
        <v>Sắt góc L50 x50 x5 (chống 920)</v>
      </c>
      <c r="F705" s="555" t="str">
        <f>VLOOKUP($B705,dongia1,DG!$D$5,)</f>
        <v>kg</v>
      </c>
      <c r="G705" s="205">
        <f>3.77*0.92*2</f>
        <v>6.9368000000000007</v>
      </c>
      <c r="H705" s="556"/>
      <c r="I705" s="556">
        <f t="shared" ca="1" si="378"/>
        <v>0</v>
      </c>
      <c r="J705" s="556">
        <f t="shared" ca="1" si="378"/>
        <v>0</v>
      </c>
      <c r="K705" s="556">
        <f t="shared" ca="1" si="378"/>
        <v>0</v>
      </c>
      <c r="L705" s="556">
        <f t="shared" ca="1" si="378"/>
        <v>0</v>
      </c>
      <c r="M705" s="556"/>
      <c r="N705" s="556">
        <f t="shared" si="378"/>
        <v>0</v>
      </c>
      <c r="O705" s="556">
        <f t="shared" si="378"/>
        <v>0</v>
      </c>
      <c r="P705" s="182">
        <f>VLOOKUP($B705,dongia1,DG!$F$5,)</f>
        <v>31625</v>
      </c>
      <c r="Q705" s="554"/>
      <c r="R705" s="554"/>
      <c r="S705" s="113">
        <f>$G705*P705</f>
        <v>219376.30000000002</v>
      </c>
      <c r="T705" s="113">
        <f t="shared" si="379"/>
        <v>0</v>
      </c>
      <c r="U705" s="557">
        <f t="shared" si="379"/>
        <v>0</v>
      </c>
    </row>
    <row r="706" spans="1:21" s="552" customFormat="1" ht="15" customHeight="1">
      <c r="A706" s="621"/>
      <c r="B706" s="622" t="s">
        <v>1262</v>
      </c>
      <c r="C706" s="558" t="str">
        <f>C705</f>
        <v xml:space="preserve"> </v>
      </c>
      <c r="D706" s="553"/>
      <c r="E706" s="694" t="str">
        <f>VLOOKUP($B706,dongia1,DG!$C$5,)</f>
        <v>Boulon 16x300+ 2 long đền vuông D18-50x50x3/Zn</v>
      </c>
      <c r="F706" s="555" t="str">
        <f>VLOOKUP($B706,dongia1,DG!$D$5,)</f>
        <v>bộ</v>
      </c>
      <c r="G706" s="205">
        <v>2</v>
      </c>
      <c r="H706" s="556"/>
      <c r="I706" s="556">
        <f t="shared" ca="1" si="378"/>
        <v>0</v>
      </c>
      <c r="J706" s="556">
        <f t="shared" ca="1" si="378"/>
        <v>0</v>
      </c>
      <c r="K706" s="556">
        <f t="shared" ca="1" si="378"/>
        <v>0</v>
      </c>
      <c r="L706" s="556">
        <f t="shared" ca="1" si="378"/>
        <v>0</v>
      </c>
      <c r="M706" s="556"/>
      <c r="N706" s="556">
        <f t="shared" si="378"/>
        <v>0</v>
      </c>
      <c r="O706" s="556">
        <f t="shared" si="378"/>
        <v>0</v>
      </c>
      <c r="P706" s="182">
        <f>VLOOKUP($B706,dongia1,DG!$F$5,)</f>
        <v>25400</v>
      </c>
      <c r="Q706" s="554"/>
      <c r="R706" s="554"/>
      <c r="S706" s="113">
        <f>$G706*P706</f>
        <v>50800</v>
      </c>
      <c r="T706" s="113">
        <f t="shared" si="379"/>
        <v>0</v>
      </c>
      <c r="U706" s="557">
        <f t="shared" si="379"/>
        <v>0</v>
      </c>
    </row>
    <row r="707" spans="1:21" s="552" customFormat="1" ht="15" customHeight="1">
      <c r="A707" s="621"/>
      <c r="B707" s="622" t="s">
        <v>1044</v>
      </c>
      <c r="C707" s="558" t="str">
        <f>C706</f>
        <v xml:space="preserve"> </v>
      </c>
      <c r="D707" s="553"/>
      <c r="E707" s="694" t="str">
        <f>VLOOKUP($B707,dongia1,DG!$C$5,)</f>
        <v>Boulon 16x50+ 2 long đền vuông D18-50x50x3/Zn</v>
      </c>
      <c r="F707" s="555" t="str">
        <f>VLOOKUP($B707,dongia1,DG!$D$5,)</f>
        <v>bộ</v>
      </c>
      <c r="G707" s="205">
        <v>2</v>
      </c>
      <c r="H707" s="556"/>
      <c r="I707" s="556">
        <f t="shared" ca="1" si="378"/>
        <v>0</v>
      </c>
      <c r="J707" s="556">
        <f t="shared" ca="1" si="378"/>
        <v>0</v>
      </c>
      <c r="K707" s="556">
        <f t="shared" ca="1" si="378"/>
        <v>0</v>
      </c>
      <c r="L707" s="556">
        <f t="shared" ca="1" si="378"/>
        <v>0</v>
      </c>
      <c r="M707" s="556"/>
      <c r="N707" s="556">
        <f t="shared" si="378"/>
        <v>0</v>
      </c>
      <c r="O707" s="556">
        <f t="shared" si="378"/>
        <v>0</v>
      </c>
      <c r="P707" s="182">
        <f>VLOOKUP($B707,dongia1,DG!$F$5,)</f>
        <v>12400</v>
      </c>
      <c r="Q707" s="554"/>
      <c r="R707" s="554"/>
      <c r="S707" s="113">
        <f>$G707*P707</f>
        <v>24800</v>
      </c>
      <c r="T707" s="113">
        <f t="shared" si="379"/>
        <v>0</v>
      </c>
      <c r="U707" s="557">
        <f t="shared" si="379"/>
        <v>0</v>
      </c>
    </row>
    <row r="708" spans="1:21" s="552" customFormat="1" ht="15" customHeight="1">
      <c r="A708" s="621"/>
      <c r="B708" s="622" t="s">
        <v>813</v>
      </c>
      <c r="C708" s="558" t="str">
        <f>C707</f>
        <v xml:space="preserve"> </v>
      </c>
      <c r="D708" s="553"/>
      <c r="E708" s="694" t="str">
        <f>VLOOKUP($B708,dongia1,DG!$C$5,)</f>
        <v>Lắp xà đỡ 50kg</v>
      </c>
      <c r="F708" s="555" t="str">
        <f>VLOOKUP($B708,dongia1,DG!$D$5,)</f>
        <v>bộ</v>
      </c>
      <c r="G708" s="205">
        <v>1</v>
      </c>
      <c r="H708" s="556"/>
      <c r="I708" s="556">
        <f t="shared" ca="1" si="378"/>
        <v>0</v>
      </c>
      <c r="J708" s="556">
        <f t="shared" ca="1" si="378"/>
        <v>0</v>
      </c>
      <c r="K708" s="556">
        <f t="shared" ca="1" si="378"/>
        <v>0</v>
      </c>
      <c r="L708" s="556">
        <f t="shared" ca="1" si="378"/>
        <v>0</v>
      </c>
      <c r="M708" s="556"/>
      <c r="N708" s="556">
        <f t="shared" si="378"/>
        <v>0</v>
      </c>
      <c r="O708" s="556">
        <f t="shared" si="378"/>
        <v>0</v>
      </c>
      <c r="P708" s="554"/>
      <c r="Q708" s="603" t="str">
        <f>TEXT(VLOOKUP($B708,dongia1,DG!$G$5,),"#.##0")&amp;" x"&amp;hslx</f>
        <v>296.545 x1,5</v>
      </c>
      <c r="R708" s="554"/>
      <c r="S708" s="113">
        <f>$G708*P708</f>
        <v>0</v>
      </c>
      <c r="T708" s="113">
        <f>VLOOKUP($B708,dongia1,DG!G$5,)*G708*hslx</f>
        <v>444817.125</v>
      </c>
      <c r="U708" s="557">
        <f>$G708*R708</f>
        <v>0</v>
      </c>
    </row>
    <row r="709" spans="1:21" s="552" customFormat="1" ht="15" customHeight="1">
      <c r="A709" s="621" t="s">
        <v>674</v>
      </c>
      <c r="B709" s="622"/>
      <c r="C709" s="558" t="str">
        <f>IF(H709&lt;&gt;0,"x"," ")</f>
        <v xml:space="preserve"> </v>
      </c>
      <c r="D709" s="553"/>
      <c r="E709" s="727" t="s">
        <v>3577</v>
      </c>
      <c r="F709" s="600" t="s">
        <v>2113</v>
      </c>
      <c r="G709" s="205"/>
      <c r="H709" s="556"/>
      <c r="I709" s="556">
        <f ca="1">SUMIF(xa3pm,chitiet!$A709,slxa3pm)</f>
        <v>0</v>
      </c>
      <c r="J709" s="556">
        <f ca="1">SUMIF(xact,chitiet!$A709,slxact)</f>
        <v>0</v>
      </c>
      <c r="K709" s="556">
        <f ca="1">SUMIF(xa3p1m,chitiet!$A709,slxa3p1m)</f>
        <v>0</v>
      </c>
      <c r="L709" s="556">
        <f ca="1">SUMIF(xa1pm,chitiet!$A709,slxa1pm)</f>
        <v>0</v>
      </c>
      <c r="M709" s="556"/>
      <c r="N709" s="556"/>
      <c r="O709" s="556"/>
      <c r="P709" s="554"/>
      <c r="Q709" s="554"/>
      <c r="R709" s="554"/>
      <c r="S709" s="601">
        <f>SUM(S710:S715)</f>
        <v>2133732.7999999998</v>
      </c>
      <c r="T709" s="601">
        <f>SUM(T710:T715)</f>
        <v>444817.125</v>
      </c>
      <c r="U709" s="602">
        <f>SUM(U710:U715)</f>
        <v>0</v>
      </c>
    </row>
    <row r="710" spans="1:21" s="552" customFormat="1" ht="15" customHeight="1">
      <c r="A710" s="621"/>
      <c r="B710" s="622" t="s">
        <v>386</v>
      </c>
      <c r="C710" s="558" t="str">
        <f t="shared" ref="C710:C715" si="380">C709</f>
        <v xml:space="preserve"> </v>
      </c>
      <c r="D710" s="553"/>
      <c r="E710" s="694" t="str">
        <f>VLOOKUP($B710,dongia1,DG!$C$5,)</f>
        <v>Sắt góc L75 x75 x8</v>
      </c>
      <c r="F710" s="555" t="str">
        <f>VLOOKUP($B710,dongia1,DG!$D$5,)</f>
        <v>kg</v>
      </c>
      <c r="G710" s="205">
        <f>9.02*(2.4+4*0.07)*2</f>
        <v>48.347199999999994</v>
      </c>
      <c r="H710" s="556"/>
      <c r="I710" s="556">
        <f t="shared" ref="I710:O715" ca="1" si="381">I$709*$G710</f>
        <v>0</v>
      </c>
      <c r="J710" s="556">
        <f t="shared" ca="1" si="381"/>
        <v>0</v>
      </c>
      <c r="K710" s="556">
        <f t="shared" ca="1" si="381"/>
        <v>0</v>
      </c>
      <c r="L710" s="556">
        <f t="shared" ca="1" si="381"/>
        <v>0</v>
      </c>
      <c r="M710" s="556"/>
      <c r="N710" s="556">
        <f t="shared" si="381"/>
        <v>0</v>
      </c>
      <c r="O710" s="556">
        <f t="shared" si="381"/>
        <v>0</v>
      </c>
      <c r="P710" s="182">
        <f>VLOOKUP($B710,dongia1,DG!$F$5,)</f>
        <v>31625</v>
      </c>
      <c r="Q710" s="554"/>
      <c r="R710" s="620"/>
      <c r="S710" s="113">
        <f t="shared" ref="S710:U712" si="382">$G710*P710</f>
        <v>1528980.1999999997</v>
      </c>
      <c r="T710" s="113">
        <f t="shared" si="382"/>
        <v>0</v>
      </c>
      <c r="U710" s="557">
        <f t="shared" si="382"/>
        <v>0</v>
      </c>
    </row>
    <row r="711" spans="1:21" s="552" customFormat="1" ht="15" customHeight="1">
      <c r="A711" s="621"/>
      <c r="B711" s="622" t="s">
        <v>2</v>
      </c>
      <c r="C711" s="558" t="str">
        <f t="shared" si="380"/>
        <v xml:space="preserve"> </v>
      </c>
      <c r="D711" s="553"/>
      <c r="E711" s="694" t="str">
        <f>VLOOKUP($B711,dongia1,DG!$C$5,)&amp;" (chống 920)"</f>
        <v>Sắt góc L50 x50 x5 (chống 920)</v>
      </c>
      <c r="F711" s="555" t="str">
        <f>VLOOKUP($B711,dongia1,DG!$D$5,)</f>
        <v>kg</v>
      </c>
      <c r="G711" s="205">
        <f>3.77*0.92*4</f>
        <v>13.873600000000001</v>
      </c>
      <c r="H711" s="556"/>
      <c r="I711" s="556">
        <f t="shared" ca="1" si="381"/>
        <v>0</v>
      </c>
      <c r="J711" s="556">
        <f t="shared" ca="1" si="381"/>
        <v>0</v>
      </c>
      <c r="K711" s="556">
        <f t="shared" ca="1" si="381"/>
        <v>0</v>
      </c>
      <c r="L711" s="556">
        <f t="shared" ca="1" si="381"/>
        <v>0</v>
      </c>
      <c r="M711" s="556"/>
      <c r="N711" s="556">
        <f t="shared" si="381"/>
        <v>0</v>
      </c>
      <c r="O711" s="556">
        <f t="shared" si="381"/>
        <v>0</v>
      </c>
      <c r="P711" s="182">
        <f>VLOOKUP($B711,dongia1,DG!$F$5,)</f>
        <v>31625</v>
      </c>
      <c r="Q711" s="554"/>
      <c r="R711" s="554"/>
      <c r="S711" s="113">
        <f t="shared" si="382"/>
        <v>438752.60000000003</v>
      </c>
      <c r="T711" s="113">
        <f t="shared" si="382"/>
        <v>0</v>
      </c>
      <c r="U711" s="557">
        <f t="shared" si="382"/>
        <v>0</v>
      </c>
    </row>
    <row r="712" spans="1:21" s="552" customFormat="1" ht="15" customHeight="1">
      <c r="A712" s="621"/>
      <c r="B712" s="622" t="s">
        <v>1261</v>
      </c>
      <c r="C712" s="558" t="str">
        <f t="shared" si="380"/>
        <v xml:space="preserve"> </v>
      </c>
      <c r="D712" s="553"/>
      <c r="E712" s="694" t="str">
        <f>VLOOKUP($B712,dongia1,DG!$C$5,)</f>
        <v>Boulon 16x250+ 2 long đền vuông D18-50x50x3/Zn</v>
      </c>
      <c r="F712" s="555" t="str">
        <f>VLOOKUP($B712,dongia1,DG!$D$5,)</f>
        <v>bộ</v>
      </c>
      <c r="G712" s="205">
        <v>1</v>
      </c>
      <c r="H712" s="556"/>
      <c r="I712" s="556">
        <f t="shared" ca="1" si="381"/>
        <v>0</v>
      </c>
      <c r="J712" s="556">
        <f t="shared" ca="1" si="381"/>
        <v>0</v>
      </c>
      <c r="K712" s="556">
        <f t="shared" ca="1" si="381"/>
        <v>0</v>
      </c>
      <c r="L712" s="556">
        <f t="shared" ca="1" si="381"/>
        <v>0</v>
      </c>
      <c r="M712" s="556"/>
      <c r="N712" s="556">
        <f t="shared" si="381"/>
        <v>0</v>
      </c>
      <c r="O712" s="556">
        <f t="shared" si="381"/>
        <v>0</v>
      </c>
      <c r="P712" s="182">
        <f>VLOOKUP($B712,dongia1,DG!$F$5,)</f>
        <v>13400</v>
      </c>
      <c r="Q712" s="554"/>
      <c r="R712" s="554"/>
      <c r="S712" s="113">
        <f t="shared" si="382"/>
        <v>13400</v>
      </c>
      <c r="T712" s="113">
        <f t="shared" si="382"/>
        <v>0</v>
      </c>
      <c r="U712" s="557">
        <f t="shared" si="382"/>
        <v>0</v>
      </c>
    </row>
    <row r="713" spans="1:21" s="552" customFormat="1" ht="15" customHeight="1">
      <c r="A713" s="621"/>
      <c r="B713" s="622" t="s">
        <v>1262</v>
      </c>
      <c r="C713" s="558" t="str">
        <f t="shared" si="380"/>
        <v xml:space="preserve"> </v>
      </c>
      <c r="D713" s="553"/>
      <c r="E713" s="694" t="str">
        <f>VLOOKUP($B713,dongia1,DG!$C$5,)</f>
        <v>Boulon 16x300+ 2 long đền vuông D18-50x50x3/Zn</v>
      </c>
      <c r="F713" s="555" t="str">
        <f>VLOOKUP($B713,dongia1,DG!$D$5,)</f>
        <v>bộ</v>
      </c>
      <c r="G713" s="205">
        <v>1</v>
      </c>
      <c r="H713" s="556"/>
      <c r="I713" s="556">
        <f t="shared" ca="1" si="381"/>
        <v>0</v>
      </c>
      <c r="J713" s="556">
        <f t="shared" ca="1" si="381"/>
        <v>0</v>
      </c>
      <c r="K713" s="556">
        <f t="shared" ca="1" si="381"/>
        <v>0</v>
      </c>
      <c r="L713" s="556">
        <f t="shared" ca="1" si="381"/>
        <v>0</v>
      </c>
      <c r="M713" s="556"/>
      <c r="N713" s="556">
        <f t="shared" si="381"/>
        <v>0</v>
      </c>
      <c r="O713" s="556">
        <f t="shared" si="381"/>
        <v>0</v>
      </c>
      <c r="P713" s="182">
        <f>VLOOKUP($B713,dongia1,DG!$F$5,)</f>
        <v>25400</v>
      </c>
      <c r="Q713" s="554"/>
      <c r="R713" s="554"/>
      <c r="S713" s="113">
        <f t="shared" ref="S713:U714" si="383">$G713*P713</f>
        <v>25400</v>
      </c>
      <c r="T713" s="113">
        <f t="shared" si="383"/>
        <v>0</v>
      </c>
      <c r="U713" s="557">
        <f t="shared" si="383"/>
        <v>0</v>
      </c>
    </row>
    <row r="714" spans="1:21" s="552" customFormat="1" ht="15" customHeight="1">
      <c r="A714" s="621"/>
      <c r="B714" s="622" t="s">
        <v>364</v>
      </c>
      <c r="C714" s="558" t="str">
        <f t="shared" si="380"/>
        <v xml:space="preserve"> </v>
      </c>
      <c r="D714" s="553"/>
      <c r="E714" s="694" t="str">
        <f>VLOOKUP($B714,dongia1,DG!$C$5,)</f>
        <v>Boulon 16x300VRS+ 4 long đền vuông D18-50x50x3/Zn</v>
      </c>
      <c r="F714" s="555" t="str">
        <f>VLOOKUP($B714,dongia1,DG!$D$5,)</f>
        <v>bộ</v>
      </c>
      <c r="G714" s="205">
        <v>4</v>
      </c>
      <c r="H714" s="556"/>
      <c r="I714" s="556">
        <f t="shared" ca="1" si="381"/>
        <v>0</v>
      </c>
      <c r="J714" s="556">
        <f t="shared" ca="1" si="381"/>
        <v>0</v>
      </c>
      <c r="K714" s="556">
        <f t="shared" ca="1" si="381"/>
        <v>0</v>
      </c>
      <c r="L714" s="556">
        <f t="shared" ca="1" si="381"/>
        <v>0</v>
      </c>
      <c r="M714" s="556"/>
      <c r="N714" s="556">
        <f t="shared" si="381"/>
        <v>0</v>
      </c>
      <c r="O714" s="556">
        <f t="shared" si="381"/>
        <v>0</v>
      </c>
      <c r="P714" s="182">
        <f>VLOOKUP($B714,dongia1,DG!$F$5,)</f>
        <v>31800</v>
      </c>
      <c r="Q714" s="554"/>
      <c r="R714" s="554"/>
      <c r="S714" s="113">
        <f t="shared" si="383"/>
        <v>127200</v>
      </c>
      <c r="T714" s="113">
        <f t="shared" si="383"/>
        <v>0</v>
      </c>
      <c r="U714" s="557">
        <f t="shared" si="383"/>
        <v>0</v>
      </c>
    </row>
    <row r="715" spans="1:21" s="552" customFormat="1" ht="15" customHeight="1">
      <c r="A715" s="621"/>
      <c r="B715" s="622" t="s">
        <v>814</v>
      </c>
      <c r="C715" s="558" t="str">
        <f t="shared" si="380"/>
        <v xml:space="preserve"> </v>
      </c>
      <c r="D715" s="553"/>
      <c r="E715" s="694" t="str">
        <f>VLOOKUP($B715,dongia1,DG!$C$5,)</f>
        <v>Lắp xà néo ≤ 100kg</v>
      </c>
      <c r="F715" s="555" t="str">
        <f>VLOOKUP($B715,dongia1,DG!$D$5,)</f>
        <v>bộ</v>
      </c>
      <c r="G715" s="205">
        <v>1</v>
      </c>
      <c r="H715" s="556"/>
      <c r="I715" s="556">
        <f t="shared" ca="1" si="381"/>
        <v>0</v>
      </c>
      <c r="J715" s="556">
        <f t="shared" ca="1" si="381"/>
        <v>0</v>
      </c>
      <c r="K715" s="556">
        <f t="shared" ca="1" si="381"/>
        <v>0</v>
      </c>
      <c r="L715" s="556">
        <f t="shared" ca="1" si="381"/>
        <v>0</v>
      </c>
      <c r="M715" s="556"/>
      <c r="N715" s="556">
        <f t="shared" si="381"/>
        <v>0</v>
      </c>
      <c r="O715" s="556">
        <f t="shared" si="381"/>
        <v>0</v>
      </c>
      <c r="P715" s="554"/>
      <c r="Q715" s="603" t="str">
        <f>TEXT(VLOOKUP($B715,dongia1,DG!$G$5,),"#.##")&amp;" x"&amp;hslx</f>
        <v>296.545 x1,5</v>
      </c>
      <c r="R715" s="554"/>
      <c r="S715" s="113">
        <f>$G715*P715</f>
        <v>0</v>
      </c>
      <c r="T715" s="113">
        <f>VLOOKUP($B715,dongia1,DG!G$5,)*G715*hslx</f>
        <v>444817.125</v>
      </c>
      <c r="U715" s="557">
        <f>$G715*R715</f>
        <v>0</v>
      </c>
    </row>
    <row r="716" spans="1:21" s="552" customFormat="1" ht="15" customHeight="1">
      <c r="A716" s="621" t="s">
        <v>2092</v>
      </c>
      <c r="B716" s="622"/>
      <c r="C716" s="558" t="str">
        <f>IF(H716&lt;&gt;0,"x"," ")</f>
        <v xml:space="preserve"> </v>
      </c>
      <c r="D716" s="553"/>
      <c r="E716" s="727" t="s">
        <v>3578</v>
      </c>
      <c r="F716" s="600" t="s">
        <v>2113</v>
      </c>
      <c r="G716" s="205"/>
      <c r="H716" s="556"/>
      <c r="I716" s="556">
        <f ca="1">SUMIF(xa3pm,chitiet!$A716,slxa3pm)</f>
        <v>0</v>
      </c>
      <c r="J716" s="556">
        <f ca="1">SUMIF(xact,chitiet!$A716,slxact)</f>
        <v>0</v>
      </c>
      <c r="K716" s="556">
        <f ca="1">SUMIF(xa3p1m,chitiet!$A716,slxa3p1m)</f>
        <v>0</v>
      </c>
      <c r="L716" s="556">
        <f ca="1">SUMIF(xa1pm,chitiet!$A716,slxa1pm)</f>
        <v>0</v>
      </c>
      <c r="M716" s="556"/>
      <c r="N716" s="556"/>
      <c r="O716" s="556"/>
      <c r="P716" s="554"/>
      <c r="Q716" s="554"/>
      <c r="R716" s="554"/>
      <c r="S716" s="601">
        <f>SUM(S717:S717)</f>
        <v>0</v>
      </c>
      <c r="T716" s="601">
        <f>SUM(T717:T717)</f>
        <v>889634.25</v>
      </c>
      <c r="U716" s="602">
        <f>SUM(U717:U717)</f>
        <v>0</v>
      </c>
    </row>
    <row r="717" spans="1:21" s="552" customFormat="1" ht="15" customHeight="1">
      <c r="A717" s="621"/>
      <c r="B717" s="622" t="s">
        <v>815</v>
      </c>
      <c r="C717" s="558" t="str">
        <f>C716</f>
        <v xml:space="preserve"> </v>
      </c>
      <c r="D717" s="553"/>
      <c r="E717" s="694" t="str">
        <f>VLOOKUP($B717,dongia1,DG!$C$5,)</f>
        <v>Lắp xà néo ≤ 100kg</v>
      </c>
      <c r="F717" s="555" t="str">
        <f>VLOOKUP($B717,dongia1,DG!$D$5,)</f>
        <v>bộ</v>
      </c>
      <c r="G717" s="205">
        <v>1</v>
      </c>
      <c r="H717" s="556"/>
      <c r="I717" s="556">
        <f t="shared" ref="I717:O717" ca="1" si="384">+I$716*$G717</f>
        <v>0</v>
      </c>
      <c r="J717" s="556">
        <f t="shared" ca="1" si="384"/>
        <v>0</v>
      </c>
      <c r="K717" s="556">
        <f t="shared" ca="1" si="384"/>
        <v>0</v>
      </c>
      <c r="L717" s="556">
        <f t="shared" ca="1" si="384"/>
        <v>0</v>
      </c>
      <c r="M717" s="556"/>
      <c r="N717" s="556">
        <f t="shared" si="384"/>
        <v>0</v>
      </c>
      <c r="O717" s="556">
        <f t="shared" si="384"/>
        <v>0</v>
      </c>
      <c r="P717" s="554"/>
      <c r="Q717" s="603" t="str">
        <f>TEXT(VLOOKUP($B717,dongia1,DG!$G$5,),"#.##")&amp;" x 2 x"&amp;hslx</f>
        <v>296.545 x 2 x1,5</v>
      </c>
      <c r="R717" s="554"/>
      <c r="S717" s="113">
        <f>$G717*P717</f>
        <v>0</v>
      </c>
      <c r="T717" s="603">
        <f>VLOOKUP($B717,dongia1,DG!G$5,)*G717*hslx*2</f>
        <v>889634.25</v>
      </c>
      <c r="U717" s="557">
        <f>$G717*R717</f>
        <v>0</v>
      </c>
    </row>
    <row r="718" spans="1:21" s="610" customFormat="1" ht="14.25" customHeight="1">
      <c r="A718" s="635" t="s">
        <v>3720</v>
      </c>
      <c r="B718" s="636"/>
      <c r="C718" s="637" t="str">
        <f>IF(H718&lt;&gt;0,"x"," ")</f>
        <v xml:space="preserve"> </v>
      </c>
      <c r="D718" s="599"/>
      <c r="E718" s="727" t="s">
        <v>3579</v>
      </c>
      <c r="F718" s="600" t="s">
        <v>2113</v>
      </c>
      <c r="G718" s="604"/>
      <c r="H718" s="605"/>
      <c r="I718" s="605">
        <f ca="1">SUMIF(xa3pm,chitiet!$A718,slxa3pm)</f>
        <v>0</v>
      </c>
      <c r="J718" s="605">
        <f ca="1">SUMIF(xact,chitiet!$A718,slxact)</f>
        <v>0</v>
      </c>
      <c r="K718" s="605">
        <f ca="1">SUMIF(xa3p1m,chitiet!$A718,slxa3p1m)</f>
        <v>0</v>
      </c>
      <c r="L718" s="605">
        <f ca="1">SUMIF(xa1pm,chitiet!$A718,slxa1pm)</f>
        <v>0</v>
      </c>
      <c r="M718" s="605"/>
      <c r="N718" s="605"/>
      <c r="O718" s="605"/>
      <c r="P718" s="606"/>
      <c r="Q718" s="606"/>
      <c r="R718" s="606"/>
      <c r="S718" s="601">
        <f>SUM(S719:S723)</f>
        <v>394952.78750000003</v>
      </c>
      <c r="T718" s="601">
        <f>SUM(T719:T723)</f>
        <v>124597.5</v>
      </c>
      <c r="U718" s="602">
        <f>SUM(U719:U723)</f>
        <v>0</v>
      </c>
    </row>
    <row r="719" spans="1:21" s="552" customFormat="1" ht="15" customHeight="1">
      <c r="A719" s="621"/>
      <c r="B719" s="622" t="s">
        <v>386</v>
      </c>
      <c r="C719" s="558" t="str">
        <f>C718</f>
        <v xml:space="preserve"> </v>
      </c>
      <c r="D719" s="553"/>
      <c r="E719" s="694" t="str">
        <f>VLOOKUP($B719,dongia1,DG!$C$5,)</f>
        <v>Sắt góc L75 x75 x8</v>
      </c>
      <c r="F719" s="555" t="str">
        <f>VLOOKUP($B719,dongia1,DG!$D$5,)</f>
        <v>kg</v>
      </c>
      <c r="G719" s="205">
        <f>9.42*(0.8+0.07)</f>
        <v>8.1954000000000011</v>
      </c>
      <c r="H719" s="556"/>
      <c r="I719" s="556">
        <f t="shared" ref="I719:O723" ca="1" si="385">I$718*$G719</f>
        <v>0</v>
      </c>
      <c r="J719" s="556">
        <f t="shared" ca="1" si="385"/>
        <v>0</v>
      </c>
      <c r="K719" s="556">
        <f t="shared" ca="1" si="385"/>
        <v>0</v>
      </c>
      <c r="L719" s="556">
        <f t="shared" ca="1" si="385"/>
        <v>0</v>
      </c>
      <c r="M719" s="556"/>
      <c r="N719" s="556">
        <f t="shared" si="385"/>
        <v>0</v>
      </c>
      <c r="O719" s="556">
        <f t="shared" si="385"/>
        <v>0</v>
      </c>
      <c r="P719" s="182">
        <f>VLOOKUP($B719,dongia1,DG!$F$5,)</f>
        <v>31625</v>
      </c>
      <c r="Q719" s="554"/>
      <c r="R719" s="554"/>
      <c r="S719" s="113">
        <f t="shared" ref="S719:U722" si="386">$G719*P719</f>
        <v>259179.52500000002</v>
      </c>
      <c r="T719" s="113">
        <f t="shared" si="386"/>
        <v>0</v>
      </c>
      <c r="U719" s="557">
        <f t="shared" si="386"/>
        <v>0</v>
      </c>
    </row>
    <row r="720" spans="1:21" s="552" customFormat="1" ht="15" customHeight="1">
      <c r="A720" s="621"/>
      <c r="B720" s="622" t="s">
        <v>2</v>
      </c>
      <c r="C720" s="558" t="str">
        <f>C719</f>
        <v xml:space="preserve"> </v>
      </c>
      <c r="D720" s="553"/>
      <c r="E720" s="694" t="str">
        <f>VLOOKUP($B720,dongia1,DG!$C$5,)</f>
        <v>Sắt góc L50 x50 x5</v>
      </c>
      <c r="F720" s="555" t="str">
        <f>VLOOKUP($B720,dongia1,DG!$D$5,)</f>
        <v>kg</v>
      </c>
      <c r="G720" s="205">
        <f>3.77*0.81</f>
        <v>3.0537000000000001</v>
      </c>
      <c r="H720" s="556"/>
      <c r="I720" s="556">
        <f t="shared" ca="1" si="385"/>
        <v>0</v>
      </c>
      <c r="J720" s="556">
        <f t="shared" ca="1" si="385"/>
        <v>0</v>
      </c>
      <c r="K720" s="556">
        <f t="shared" ca="1" si="385"/>
        <v>0</v>
      </c>
      <c r="L720" s="556">
        <f t="shared" ca="1" si="385"/>
        <v>0</v>
      </c>
      <c r="M720" s="556"/>
      <c r="N720" s="556">
        <f t="shared" si="385"/>
        <v>0</v>
      </c>
      <c r="O720" s="556">
        <f t="shared" si="385"/>
        <v>0</v>
      </c>
      <c r="P720" s="182">
        <f>VLOOKUP($B720,dongia1,DG!$F$5,)</f>
        <v>31625</v>
      </c>
      <c r="Q720" s="554"/>
      <c r="R720" s="554"/>
      <c r="S720" s="113">
        <f t="shared" si="386"/>
        <v>96573.262499999997</v>
      </c>
      <c r="T720" s="113">
        <f t="shared" si="386"/>
        <v>0</v>
      </c>
      <c r="U720" s="557">
        <f t="shared" si="386"/>
        <v>0</v>
      </c>
    </row>
    <row r="721" spans="1:21" s="552" customFormat="1" ht="15" customHeight="1">
      <c r="A721" s="621"/>
      <c r="B721" s="622" t="s">
        <v>1261</v>
      </c>
      <c r="C721" s="558" t="str">
        <f>C720</f>
        <v xml:space="preserve"> </v>
      </c>
      <c r="D721" s="553"/>
      <c r="E721" s="694" t="str">
        <f>VLOOKUP($B721,dongia1,DG!$C$5,)</f>
        <v>Boulon 16x250+ 2 long đền vuông D18-50x50x3/Zn</v>
      </c>
      <c r="F721" s="555" t="str">
        <f>VLOOKUP($B721,dongia1,DG!$D$5,)</f>
        <v>bộ</v>
      </c>
      <c r="G721" s="205">
        <v>2</v>
      </c>
      <c r="H721" s="556"/>
      <c r="I721" s="556">
        <f t="shared" ca="1" si="385"/>
        <v>0</v>
      </c>
      <c r="J721" s="556">
        <f t="shared" ca="1" si="385"/>
        <v>0</v>
      </c>
      <c r="K721" s="556">
        <f t="shared" ca="1" si="385"/>
        <v>0</v>
      </c>
      <c r="L721" s="556">
        <f t="shared" ca="1" si="385"/>
        <v>0</v>
      </c>
      <c r="M721" s="556"/>
      <c r="N721" s="556">
        <f t="shared" si="385"/>
        <v>0</v>
      </c>
      <c r="O721" s="556">
        <f t="shared" si="385"/>
        <v>0</v>
      </c>
      <c r="P721" s="182">
        <f>VLOOKUP($B721,dongia1,DG!$F$5,)</f>
        <v>13400</v>
      </c>
      <c r="Q721" s="554"/>
      <c r="R721" s="554"/>
      <c r="S721" s="113">
        <f t="shared" si="386"/>
        <v>26800</v>
      </c>
      <c r="T721" s="113">
        <f t="shared" si="386"/>
        <v>0</v>
      </c>
      <c r="U721" s="557">
        <f t="shared" si="386"/>
        <v>0</v>
      </c>
    </row>
    <row r="722" spans="1:21" s="552" customFormat="1" ht="15" customHeight="1">
      <c r="A722" s="621"/>
      <c r="B722" s="622" t="s">
        <v>1044</v>
      </c>
      <c r="C722" s="558" t="str">
        <f>C721</f>
        <v xml:space="preserve"> </v>
      </c>
      <c r="D722" s="553"/>
      <c r="E722" s="694" t="str">
        <f>VLOOKUP($B722,dongia1,DG!$C$5,)</f>
        <v>Boulon 16x50+ 2 long đền vuông D18-50x50x3/Zn</v>
      </c>
      <c r="F722" s="555" t="str">
        <f>VLOOKUP($B722,dongia1,DG!$D$5,)</f>
        <v>bộ</v>
      </c>
      <c r="G722" s="205">
        <v>1</v>
      </c>
      <c r="H722" s="556"/>
      <c r="I722" s="556">
        <f t="shared" ca="1" si="385"/>
        <v>0</v>
      </c>
      <c r="J722" s="556">
        <f t="shared" ca="1" si="385"/>
        <v>0</v>
      </c>
      <c r="K722" s="556">
        <f t="shared" ca="1" si="385"/>
        <v>0</v>
      </c>
      <c r="L722" s="556">
        <f t="shared" ca="1" si="385"/>
        <v>0</v>
      </c>
      <c r="M722" s="556"/>
      <c r="N722" s="556">
        <f t="shared" si="385"/>
        <v>0</v>
      </c>
      <c r="O722" s="556">
        <f t="shared" si="385"/>
        <v>0</v>
      </c>
      <c r="P722" s="182">
        <f>VLOOKUP($B722,dongia1,DG!$F$5,)</f>
        <v>12400</v>
      </c>
      <c r="Q722" s="554"/>
      <c r="R722" s="554"/>
      <c r="S722" s="113">
        <f t="shared" si="386"/>
        <v>12400</v>
      </c>
      <c r="T722" s="113">
        <f t="shared" si="386"/>
        <v>0</v>
      </c>
      <c r="U722" s="557">
        <f t="shared" si="386"/>
        <v>0</v>
      </c>
    </row>
    <row r="723" spans="1:21" s="552" customFormat="1" ht="15" customHeight="1">
      <c r="A723" s="621"/>
      <c r="B723" s="16" t="s">
        <v>4516</v>
      </c>
      <c r="C723" s="558" t="str">
        <f>C722</f>
        <v xml:space="preserve"> </v>
      </c>
      <c r="D723" s="553"/>
      <c r="E723" s="694" t="str">
        <f>VLOOKUP($B723,dongia1,DG!$C$5,)</f>
        <v>Lắp xà đỡ 0,8m đơn (11,987kg)</v>
      </c>
      <c r="F723" s="555" t="str">
        <f>VLOOKUP($B723,dongia1,DG!$D$5,)</f>
        <v>bộ</v>
      </c>
      <c r="G723" s="205">
        <v>1</v>
      </c>
      <c r="H723" s="556"/>
      <c r="I723" s="556">
        <f t="shared" ca="1" si="385"/>
        <v>0</v>
      </c>
      <c r="J723" s="556">
        <f t="shared" ca="1" si="385"/>
        <v>0</v>
      </c>
      <c r="K723" s="556">
        <f t="shared" ca="1" si="385"/>
        <v>0</v>
      </c>
      <c r="L723" s="556">
        <f t="shared" ca="1" si="385"/>
        <v>0</v>
      </c>
      <c r="M723" s="556"/>
      <c r="N723" s="556">
        <f t="shared" si="385"/>
        <v>0</v>
      </c>
      <c r="O723" s="556">
        <f t="shared" si="385"/>
        <v>0</v>
      </c>
      <c r="P723" s="554"/>
      <c r="Q723" s="603" t="str">
        <f>TEXT(VLOOKUP($B723,dongia1,DG!$G$5,),"#,##0")&amp;" x"&amp;hslx</f>
        <v>83065,0 x1,5</v>
      </c>
      <c r="R723" s="554"/>
      <c r="S723" s="113">
        <f>$G723*P723</f>
        <v>0</v>
      </c>
      <c r="T723" s="113">
        <f>VLOOKUP($B723,dongia1,DG!G$5,)*G723*hslx</f>
        <v>124597.5</v>
      </c>
      <c r="U723" s="557">
        <f>$G723*R723</f>
        <v>0</v>
      </c>
    </row>
    <row r="724" spans="1:21" s="610" customFormat="1" ht="14.25" customHeight="1">
      <c r="A724" s="635" t="s">
        <v>79</v>
      </c>
      <c r="B724" s="636"/>
      <c r="C724" s="637" t="str">
        <f>IF(H724&lt;&gt;0,"x"," ")</f>
        <v xml:space="preserve"> </v>
      </c>
      <c r="D724" s="599"/>
      <c r="E724" s="727" t="s">
        <v>3580</v>
      </c>
      <c r="F724" s="600" t="s">
        <v>2113</v>
      </c>
      <c r="G724" s="604"/>
      <c r="H724" s="605"/>
      <c r="I724" s="605">
        <f ca="1">SUMIF(xa3pm,chitiet!$A724,slxa3pm)</f>
        <v>0</v>
      </c>
      <c r="J724" s="605">
        <f ca="1">SUMIF(xact,chitiet!$A724,slxact)</f>
        <v>0</v>
      </c>
      <c r="K724" s="605">
        <f ca="1">SUMIF(xa3p1m,chitiet!$A724,slxa3p1m)</f>
        <v>0</v>
      </c>
      <c r="L724" s="605">
        <f ca="1">SUMIF(xa1pm,chitiet!$A724,slxa1pm)</f>
        <v>0</v>
      </c>
      <c r="M724" s="605"/>
      <c r="N724" s="605"/>
      <c r="O724" s="605"/>
      <c r="P724" s="606"/>
      <c r="Q724" s="606"/>
      <c r="R724" s="606"/>
      <c r="S724" s="601">
        <f>SUM(S725:S730)</f>
        <v>808894.57500000007</v>
      </c>
      <c r="T724" s="601">
        <f>SUM(T725:T730)</f>
        <v>239994</v>
      </c>
      <c r="U724" s="602">
        <f>SUM(U725:U730)</f>
        <v>0</v>
      </c>
    </row>
    <row r="725" spans="1:21" s="552" customFormat="1" ht="15" customHeight="1">
      <c r="A725" s="621"/>
      <c r="B725" s="622" t="s">
        <v>386</v>
      </c>
      <c r="C725" s="558" t="str">
        <f t="shared" ref="C725:C730" si="387">C724</f>
        <v xml:space="preserve"> </v>
      </c>
      <c r="D725" s="553"/>
      <c r="E725" s="694" t="str">
        <f>VLOOKUP($B725,dongia1,DG!$C$5,)</f>
        <v>Sắt góc L75 x75 x8</v>
      </c>
      <c r="F725" s="555" t="str">
        <f>VLOOKUP($B725,dongia1,DG!$D$5,)</f>
        <v>kg</v>
      </c>
      <c r="G725" s="205">
        <f>9.02*(0.8+0.07)*2</f>
        <v>15.694800000000001</v>
      </c>
      <c r="H725" s="556"/>
      <c r="I725" s="556">
        <f t="shared" ref="I725:O730" ca="1" si="388">I$724*$G725</f>
        <v>0</v>
      </c>
      <c r="J725" s="556">
        <f t="shared" ca="1" si="388"/>
        <v>0</v>
      </c>
      <c r="K725" s="556">
        <f t="shared" ca="1" si="388"/>
        <v>0</v>
      </c>
      <c r="L725" s="556">
        <f t="shared" ca="1" si="388"/>
        <v>0</v>
      </c>
      <c r="M725" s="556"/>
      <c r="N725" s="556">
        <f t="shared" si="388"/>
        <v>0</v>
      </c>
      <c r="O725" s="556">
        <f t="shared" si="388"/>
        <v>0</v>
      </c>
      <c r="P725" s="182">
        <f>VLOOKUP($B725,dongia1,DG!$F$5,)</f>
        <v>31625</v>
      </c>
      <c r="Q725" s="554"/>
      <c r="R725" s="554"/>
      <c r="S725" s="113">
        <f t="shared" ref="S725:U729" si="389">$G725*P725</f>
        <v>496348.05000000005</v>
      </c>
      <c r="T725" s="113">
        <f t="shared" si="389"/>
        <v>0</v>
      </c>
      <c r="U725" s="557">
        <f t="shared" si="389"/>
        <v>0</v>
      </c>
    </row>
    <row r="726" spans="1:21" s="552" customFormat="1" ht="15" customHeight="1">
      <c r="A726" s="621"/>
      <c r="B726" s="622" t="s">
        <v>2</v>
      </c>
      <c r="C726" s="558" t="str">
        <f t="shared" si="387"/>
        <v xml:space="preserve"> </v>
      </c>
      <c r="D726" s="553"/>
      <c r="E726" s="694" t="str">
        <f>VLOOKUP($B726,dongia1,DG!$C$5,)</f>
        <v>Sắt góc L50 x50 x5</v>
      </c>
      <c r="F726" s="555" t="str">
        <f>VLOOKUP($B726,dongia1,DG!$D$5,)</f>
        <v>kg</v>
      </c>
      <c r="G726" s="205">
        <f>3.77*0.81*2</f>
        <v>6.1074000000000002</v>
      </c>
      <c r="H726" s="556"/>
      <c r="I726" s="556">
        <f t="shared" ca="1" si="388"/>
        <v>0</v>
      </c>
      <c r="J726" s="556">
        <f t="shared" ca="1" si="388"/>
        <v>0</v>
      </c>
      <c r="K726" s="556">
        <f t="shared" ca="1" si="388"/>
        <v>0</v>
      </c>
      <c r="L726" s="556">
        <f t="shared" ca="1" si="388"/>
        <v>0</v>
      </c>
      <c r="M726" s="556"/>
      <c r="N726" s="556">
        <f t="shared" si="388"/>
        <v>0</v>
      </c>
      <c r="O726" s="556">
        <f t="shared" si="388"/>
        <v>0</v>
      </c>
      <c r="P726" s="182">
        <f>VLOOKUP($B726,dongia1,DG!$F$5,)</f>
        <v>31625</v>
      </c>
      <c r="Q726" s="554"/>
      <c r="R726" s="554"/>
      <c r="S726" s="113">
        <f t="shared" si="389"/>
        <v>193146.52499999999</v>
      </c>
      <c r="T726" s="113">
        <f t="shared" si="389"/>
        <v>0</v>
      </c>
      <c r="U726" s="557">
        <f t="shared" si="389"/>
        <v>0</v>
      </c>
    </row>
    <row r="727" spans="1:21" s="552" customFormat="1" ht="15" customHeight="1">
      <c r="A727" s="621"/>
      <c r="B727" s="622" t="s">
        <v>82</v>
      </c>
      <c r="C727" s="558" t="str">
        <f t="shared" si="387"/>
        <v xml:space="preserve"> </v>
      </c>
      <c r="D727" s="553"/>
      <c r="E727" s="694" t="str">
        <f>VLOOKUP($B727,dongia1,DG!$C$5,)</f>
        <v>Boulon 16x400+ 2 long đền vuông D18-50x50x3/Zn</v>
      </c>
      <c r="F727" s="555" t="str">
        <f>VLOOKUP($B727,dongia1,DG!$D$5,)</f>
        <v>bộ</v>
      </c>
      <c r="G727" s="205">
        <v>2</v>
      </c>
      <c r="H727" s="556"/>
      <c r="I727" s="556">
        <f t="shared" ca="1" si="388"/>
        <v>0</v>
      </c>
      <c r="J727" s="556">
        <f t="shared" ca="1" si="388"/>
        <v>0</v>
      </c>
      <c r="K727" s="556">
        <f t="shared" ca="1" si="388"/>
        <v>0</v>
      </c>
      <c r="L727" s="556">
        <f t="shared" ca="1" si="388"/>
        <v>0</v>
      </c>
      <c r="M727" s="556"/>
      <c r="N727" s="556">
        <f t="shared" si="388"/>
        <v>0</v>
      </c>
      <c r="O727" s="556">
        <f t="shared" si="388"/>
        <v>0</v>
      </c>
      <c r="P727" s="182">
        <f>VLOOKUP($B727,dongia1,DG!$F$5,)</f>
        <v>29900</v>
      </c>
      <c r="Q727" s="554"/>
      <c r="R727" s="554"/>
      <c r="S727" s="113">
        <f t="shared" si="389"/>
        <v>59800</v>
      </c>
      <c r="T727" s="113">
        <f t="shared" si="389"/>
        <v>0</v>
      </c>
      <c r="U727" s="557">
        <f t="shared" si="389"/>
        <v>0</v>
      </c>
    </row>
    <row r="728" spans="1:21" s="552" customFormat="1" ht="15" customHeight="1">
      <c r="A728" s="621"/>
      <c r="B728" s="622" t="s">
        <v>1282</v>
      </c>
      <c r="C728" s="558" t="str">
        <f t="shared" si="387"/>
        <v xml:space="preserve"> </v>
      </c>
      <c r="D728" s="553"/>
      <c r="E728" s="694" t="str">
        <f>VLOOKUP($B728,dongia1,DG!$C$5,)</f>
        <v>Boulon 16x400VRS+ 4 long đền vuông D18-50x50x3/Zn</v>
      </c>
      <c r="F728" s="555" t="str">
        <f>VLOOKUP($B728,dongia1,DG!$D$5,)</f>
        <v>bộ</v>
      </c>
      <c r="G728" s="205">
        <v>1</v>
      </c>
      <c r="H728" s="556"/>
      <c r="I728" s="556">
        <f t="shared" ca="1" si="388"/>
        <v>0</v>
      </c>
      <c r="J728" s="556">
        <f t="shared" ca="1" si="388"/>
        <v>0</v>
      </c>
      <c r="K728" s="556">
        <f t="shared" ca="1" si="388"/>
        <v>0</v>
      </c>
      <c r="L728" s="556">
        <f t="shared" ca="1" si="388"/>
        <v>0</v>
      </c>
      <c r="M728" s="556"/>
      <c r="N728" s="556">
        <f t="shared" si="388"/>
        <v>0</v>
      </c>
      <c r="O728" s="556">
        <f t="shared" si="388"/>
        <v>0</v>
      </c>
      <c r="P728" s="182">
        <f>VLOOKUP($B728,dongia1,DG!$F$5,)</f>
        <v>34800</v>
      </c>
      <c r="Q728" s="554"/>
      <c r="R728" s="554"/>
      <c r="S728" s="113">
        <f t="shared" si="389"/>
        <v>34800</v>
      </c>
      <c r="T728" s="113">
        <f t="shared" si="389"/>
        <v>0</v>
      </c>
      <c r="U728" s="557">
        <f t="shared" si="389"/>
        <v>0</v>
      </c>
    </row>
    <row r="729" spans="1:21" s="552" customFormat="1" ht="15" customHeight="1">
      <c r="A729" s="621"/>
      <c r="B729" s="622" t="s">
        <v>1044</v>
      </c>
      <c r="C729" s="558" t="str">
        <f t="shared" si="387"/>
        <v xml:space="preserve"> </v>
      </c>
      <c r="D729" s="553"/>
      <c r="E729" s="694" t="str">
        <f>VLOOKUP($B729,dongia1,DG!$C$5,)</f>
        <v>Boulon 16x50+ 2 long đền vuông D18-50x50x3/Zn</v>
      </c>
      <c r="F729" s="555" t="str">
        <f>VLOOKUP($B729,dongia1,DG!$D$5,)</f>
        <v>bộ</v>
      </c>
      <c r="G729" s="205">
        <v>2</v>
      </c>
      <c r="H729" s="556"/>
      <c r="I729" s="556">
        <f t="shared" ca="1" si="388"/>
        <v>0</v>
      </c>
      <c r="J729" s="556">
        <f t="shared" ca="1" si="388"/>
        <v>0</v>
      </c>
      <c r="K729" s="556">
        <f t="shared" ca="1" si="388"/>
        <v>0</v>
      </c>
      <c r="L729" s="556">
        <f t="shared" ca="1" si="388"/>
        <v>0</v>
      </c>
      <c r="M729" s="556"/>
      <c r="N729" s="556">
        <f t="shared" si="388"/>
        <v>0</v>
      </c>
      <c r="O729" s="556">
        <f t="shared" si="388"/>
        <v>0</v>
      </c>
      <c r="P729" s="182">
        <f>VLOOKUP($B729,dongia1,DG!$F$5,)</f>
        <v>12400</v>
      </c>
      <c r="Q729" s="554"/>
      <c r="R729" s="554"/>
      <c r="S729" s="113">
        <f t="shared" si="389"/>
        <v>24800</v>
      </c>
      <c r="T729" s="113">
        <f t="shared" si="389"/>
        <v>0</v>
      </c>
      <c r="U729" s="557">
        <f t="shared" si="389"/>
        <v>0</v>
      </c>
    </row>
    <row r="730" spans="1:21" s="552" customFormat="1" ht="15" customHeight="1">
      <c r="A730" s="621"/>
      <c r="B730" s="16" t="s">
        <v>4517</v>
      </c>
      <c r="C730" s="558" t="str">
        <f t="shared" si="387"/>
        <v xml:space="preserve"> </v>
      </c>
      <c r="D730" s="553"/>
      <c r="E730" s="694" t="str">
        <f>VLOOKUP($B730,dongia1,DG!$C$5,)</f>
        <v>Lắp xà đỡ 0,8m kép (23,084kg)</v>
      </c>
      <c r="F730" s="555" t="str">
        <f>VLOOKUP($B730,dongia1,DG!$D$5,)</f>
        <v>bộ</v>
      </c>
      <c r="G730" s="205">
        <v>1</v>
      </c>
      <c r="H730" s="556"/>
      <c r="I730" s="556">
        <f t="shared" ca="1" si="388"/>
        <v>0</v>
      </c>
      <c r="J730" s="556">
        <f t="shared" ca="1" si="388"/>
        <v>0</v>
      </c>
      <c r="K730" s="556">
        <f t="shared" ca="1" si="388"/>
        <v>0</v>
      </c>
      <c r="L730" s="556">
        <f t="shared" ca="1" si="388"/>
        <v>0</v>
      </c>
      <c r="M730" s="556"/>
      <c r="N730" s="556">
        <f t="shared" si="388"/>
        <v>0</v>
      </c>
      <c r="O730" s="556">
        <f t="shared" si="388"/>
        <v>0</v>
      </c>
      <c r="P730" s="554"/>
      <c r="Q730" s="603" t="str">
        <f>TEXT(VLOOKUP($B730,dongia1,DG!$G$5,),"#,##0")&amp;" x"&amp;hslx</f>
        <v>159996,0 x1,5</v>
      </c>
      <c r="R730" s="554"/>
      <c r="S730" s="113">
        <f>$G730*P730</f>
        <v>0</v>
      </c>
      <c r="T730" s="113">
        <f>VLOOKUP($B730,dongia1,DG!G$5,)*G730*hslx</f>
        <v>239994</v>
      </c>
      <c r="U730" s="557">
        <f>$G730*R730</f>
        <v>0</v>
      </c>
    </row>
    <row r="731" spans="1:21" s="858" customFormat="1">
      <c r="A731" s="847" t="s">
        <v>2111</v>
      </c>
      <c r="B731" s="848"/>
      <c r="C731" s="849" t="str">
        <f>IF(H731&lt;&gt;0,"x"," ")</f>
        <v xml:space="preserve"> </v>
      </c>
      <c r="D731" s="850"/>
      <c r="E731" s="851" t="s">
        <v>2114</v>
      </c>
      <c r="F731" s="852" t="s">
        <v>2113</v>
      </c>
      <c r="G731" s="853"/>
      <c r="H731" s="854"/>
      <c r="I731" s="854">
        <f ca="1">SUMIF(xa3pm,chitiet!$A731,slxa3pm)</f>
        <v>0</v>
      </c>
      <c r="J731" s="854">
        <f ca="1">SUMIF(xact,chitiet!$A731,slxact)</f>
        <v>0</v>
      </c>
      <c r="K731" s="854">
        <f ca="1">SUMIF(xa3p1m,chitiet!$A731,slxa3p1m)</f>
        <v>0</v>
      </c>
      <c r="L731" s="854">
        <f ca="1">SUMIF(xa1pm,chitiet!$A731,slxa1pm)</f>
        <v>0</v>
      </c>
      <c r="M731" s="854"/>
      <c r="N731" s="854"/>
      <c r="O731" s="854"/>
      <c r="P731" s="855"/>
      <c r="Q731" s="855"/>
      <c r="R731" s="855"/>
      <c r="S731" s="856">
        <f>SUM(S732:S736)</f>
        <v>489700</v>
      </c>
      <c r="T731" s="856">
        <f>SUM(T732:T736)</f>
        <v>197266.72499999998</v>
      </c>
      <c r="U731" s="857">
        <f>SUM(U732:U736)</f>
        <v>0</v>
      </c>
    </row>
    <row r="732" spans="1:21">
      <c r="B732" s="696" t="s">
        <v>2116</v>
      </c>
      <c r="C732" s="631" t="str">
        <f>C731</f>
        <v xml:space="preserve"> </v>
      </c>
      <c r="D732" s="698"/>
      <c r="E732" s="699" t="str">
        <f>VLOOKUP($B732,dongia1,DG!$C$5,)</f>
        <v>Đà Composite 110x80x5x800</v>
      </c>
      <c r="F732" s="700" t="str">
        <f>VLOOKUP($B732,dongia1,DG!$D$5,)</f>
        <v>cây</v>
      </c>
      <c r="G732" s="762">
        <v>1</v>
      </c>
      <c r="H732" s="701"/>
      <c r="I732" s="701">
        <f t="shared" ref="I732:O736" ca="1" si="390">I$731*$G732</f>
        <v>0</v>
      </c>
      <c r="J732" s="701">
        <f t="shared" ca="1" si="390"/>
        <v>0</v>
      </c>
      <c r="K732" s="701">
        <f t="shared" ca="1" si="390"/>
        <v>0</v>
      </c>
      <c r="L732" s="701">
        <f t="shared" ca="1" si="390"/>
        <v>0</v>
      </c>
      <c r="M732" s="701"/>
      <c r="N732" s="701">
        <f t="shared" si="390"/>
        <v>0</v>
      </c>
      <c r="O732" s="701">
        <f t="shared" si="390"/>
        <v>0</v>
      </c>
      <c r="P732" s="702">
        <f>VLOOKUP($B732,dongia1,DG!$F$5,)</f>
        <v>320000</v>
      </c>
      <c r="Q732" s="703"/>
      <c r="R732" s="703"/>
      <c r="S732" s="702">
        <f t="shared" ref="S732:U736" si="391">$G732*P732</f>
        <v>320000</v>
      </c>
      <c r="T732" s="702">
        <f t="shared" si="391"/>
        <v>0</v>
      </c>
      <c r="U732" s="704">
        <f t="shared" si="391"/>
        <v>0</v>
      </c>
    </row>
    <row r="733" spans="1:21">
      <c r="B733" s="696" t="s">
        <v>2109</v>
      </c>
      <c r="C733" s="631" t="str">
        <f>C731</f>
        <v xml:space="preserve"> </v>
      </c>
      <c r="D733" s="698"/>
      <c r="E733" s="699" t="str">
        <f>VLOOKUP($B733,dongia1,DG!$C$5,)</f>
        <v>Chống Composite 40x10x710</v>
      </c>
      <c r="F733" s="700" t="str">
        <f>VLOOKUP($B733,dongia1,DG!$D$5,)</f>
        <v>Thanh</v>
      </c>
      <c r="G733" s="762">
        <v>1</v>
      </c>
      <c r="H733" s="701"/>
      <c r="I733" s="701">
        <f t="shared" ca="1" si="390"/>
        <v>0</v>
      </c>
      <c r="J733" s="701">
        <f t="shared" ca="1" si="390"/>
        <v>0</v>
      </c>
      <c r="K733" s="701">
        <f t="shared" ca="1" si="390"/>
        <v>0</v>
      </c>
      <c r="L733" s="701">
        <f t="shared" ca="1" si="390"/>
        <v>0</v>
      </c>
      <c r="M733" s="701"/>
      <c r="N733" s="701">
        <f t="shared" si="390"/>
        <v>0</v>
      </c>
      <c r="O733" s="701">
        <f t="shared" si="390"/>
        <v>0</v>
      </c>
      <c r="P733" s="702">
        <f>VLOOKUP($B733,dongia1,DG!$F$5,)</f>
        <v>95000</v>
      </c>
      <c r="Q733" s="703"/>
      <c r="R733" s="703"/>
      <c r="S733" s="702">
        <f t="shared" si="391"/>
        <v>95000</v>
      </c>
      <c r="T733" s="702">
        <f t="shared" si="391"/>
        <v>0</v>
      </c>
      <c r="U733" s="704">
        <f t="shared" si="391"/>
        <v>0</v>
      </c>
    </row>
    <row r="734" spans="1:21">
      <c r="B734" s="696" t="s">
        <v>746</v>
      </c>
      <c r="C734" s="631" t="str">
        <f>C733</f>
        <v xml:space="preserve"> </v>
      </c>
      <c r="D734" s="698"/>
      <c r="E734" s="699" t="str">
        <f>VLOOKUP($B734,dongia1,DG!$C$5,)</f>
        <v>Boulon 16x150+ 2 long đền vuông D18-50x50x3/Zn</v>
      </c>
      <c r="F734" s="700" t="str">
        <f>VLOOKUP($B734,dongia1,DG!$D$5,)</f>
        <v>bộ</v>
      </c>
      <c r="G734" s="762">
        <v>1</v>
      </c>
      <c r="H734" s="701"/>
      <c r="I734" s="701">
        <f t="shared" ca="1" si="390"/>
        <v>0</v>
      </c>
      <c r="J734" s="701">
        <f t="shared" ca="1" si="390"/>
        <v>0</v>
      </c>
      <c r="K734" s="701">
        <f t="shared" ca="1" si="390"/>
        <v>0</v>
      </c>
      <c r="L734" s="701">
        <f t="shared" ca="1" si="390"/>
        <v>0</v>
      </c>
      <c r="M734" s="701"/>
      <c r="N734" s="701">
        <f t="shared" si="390"/>
        <v>0</v>
      </c>
      <c r="O734" s="701">
        <f t="shared" si="390"/>
        <v>0</v>
      </c>
      <c r="P734" s="702">
        <f>VLOOKUP($B734,dongia1,DG!$F$5,)</f>
        <v>18900</v>
      </c>
      <c r="Q734" s="703"/>
      <c r="R734" s="703"/>
      <c r="S734" s="702">
        <f t="shared" si="391"/>
        <v>18900</v>
      </c>
      <c r="T734" s="702">
        <f t="shared" si="391"/>
        <v>0</v>
      </c>
      <c r="U734" s="704">
        <f t="shared" si="391"/>
        <v>0</v>
      </c>
    </row>
    <row r="735" spans="1:21">
      <c r="B735" s="696" t="s">
        <v>733</v>
      </c>
      <c r="C735" s="631" t="str">
        <f>C734</f>
        <v xml:space="preserve"> </v>
      </c>
      <c r="D735" s="698"/>
      <c r="E735" s="699" t="str">
        <f>VLOOKUP($B735,dongia1,DG!$C$5,)</f>
        <v>Boulon 16x350+ 2 long đền vuông D18-50x50x3/Zn</v>
      </c>
      <c r="F735" s="700" t="str">
        <f>VLOOKUP($B735,dongia1,DG!$D$5,)</f>
        <v>bộ</v>
      </c>
      <c r="G735" s="762">
        <v>2</v>
      </c>
      <c r="H735" s="701"/>
      <c r="I735" s="701">
        <f t="shared" ca="1" si="390"/>
        <v>0</v>
      </c>
      <c r="J735" s="701">
        <f t="shared" ca="1" si="390"/>
        <v>0</v>
      </c>
      <c r="K735" s="701">
        <f t="shared" ca="1" si="390"/>
        <v>0</v>
      </c>
      <c r="L735" s="701">
        <f t="shared" ca="1" si="390"/>
        <v>0</v>
      </c>
      <c r="M735" s="701"/>
      <c r="N735" s="701">
        <f t="shared" si="390"/>
        <v>0</v>
      </c>
      <c r="O735" s="701">
        <f t="shared" si="390"/>
        <v>0</v>
      </c>
      <c r="P735" s="702">
        <f>VLOOKUP($B735,dongia1,DG!$F$5,)</f>
        <v>27900</v>
      </c>
      <c r="Q735" s="703"/>
      <c r="R735" s="703"/>
      <c r="S735" s="702">
        <f t="shared" si="391"/>
        <v>55800</v>
      </c>
      <c r="T735" s="702">
        <f t="shared" si="391"/>
        <v>0</v>
      </c>
      <c r="U735" s="704">
        <f t="shared" si="391"/>
        <v>0</v>
      </c>
    </row>
    <row r="736" spans="1:21">
      <c r="B736" s="696" t="s">
        <v>372</v>
      </c>
      <c r="C736" s="631" t="str">
        <f>C735</f>
        <v xml:space="preserve"> </v>
      </c>
      <c r="D736" s="698"/>
      <c r="E736" s="699" t="str">
        <f>VLOOKUP($B736,dongia1,DG!$C$5,)</f>
        <v>Lắp xà đỡ 15kg</v>
      </c>
      <c r="F736" s="700" t="str">
        <f>VLOOKUP($B736,dongia1,DG!$D$5,)</f>
        <v>bộ</v>
      </c>
      <c r="G736" s="762">
        <v>1</v>
      </c>
      <c r="H736" s="701"/>
      <c r="I736" s="701">
        <f t="shared" ca="1" si="390"/>
        <v>0</v>
      </c>
      <c r="J736" s="701">
        <f t="shared" ca="1" si="390"/>
        <v>0</v>
      </c>
      <c r="K736" s="701">
        <f t="shared" ca="1" si="390"/>
        <v>0</v>
      </c>
      <c r="L736" s="701">
        <f t="shared" ca="1" si="390"/>
        <v>0</v>
      </c>
      <c r="M736" s="701"/>
      <c r="N736" s="701">
        <f t="shared" si="390"/>
        <v>0</v>
      </c>
      <c r="O736" s="701">
        <f t="shared" si="390"/>
        <v>0</v>
      </c>
      <c r="P736" s="703"/>
      <c r="Q736" s="934" t="str">
        <f>TEXT(VLOOKUP($B736,dongia1,DG!$G$5,),"#,##0")&amp;" x"&amp;hslx</f>
        <v>131511,150 x1,5</v>
      </c>
      <c r="R736" s="703"/>
      <c r="S736" s="702">
        <f t="shared" si="391"/>
        <v>0</v>
      </c>
      <c r="T736" s="934">
        <f>VLOOKUP($B736,dongia1,DG!G$5,)*G736*hslx</f>
        <v>197266.72499999998</v>
      </c>
      <c r="U736" s="930">
        <f>$G736*R736</f>
        <v>0</v>
      </c>
    </row>
    <row r="737" spans="1:21" s="610" customFormat="1" ht="14.25" customHeight="1">
      <c r="A737" s="635" t="s">
        <v>3719</v>
      </c>
      <c r="B737" s="636"/>
      <c r="C737" s="637" t="str">
        <f>IF(H737&lt;&gt;0,"x"," ")</f>
        <v xml:space="preserve"> </v>
      </c>
      <c r="D737" s="599"/>
      <c r="E737" s="727" t="s">
        <v>3581</v>
      </c>
      <c r="F737" s="600" t="s">
        <v>2113</v>
      </c>
      <c r="G737" s="604"/>
      <c r="H737" s="605"/>
      <c r="I737" s="605">
        <f ca="1">SUMIF(xa3pm,chitiet!$A737,slxa3pm)</f>
        <v>0</v>
      </c>
      <c r="J737" s="605">
        <f ca="1">SUMIF(xact,chitiet!$A737,slxact)</f>
        <v>0</v>
      </c>
      <c r="K737" s="605">
        <f ca="1">SUMIF(xa3p1m,chitiet!$A737,slxa3p1m)</f>
        <v>0</v>
      </c>
      <c r="L737" s="605">
        <f ca="1">SUMIF(xa1pm,chitiet!$A737,slxa1pm)</f>
        <v>0</v>
      </c>
      <c r="M737" s="605"/>
      <c r="N737" s="605"/>
      <c r="O737" s="605"/>
      <c r="P737" s="606"/>
      <c r="Q737" s="606"/>
      <c r="R737" s="606"/>
      <c r="S737" s="601">
        <f>SUM(S738:S742)</f>
        <v>704200</v>
      </c>
      <c r="T737" s="601">
        <f>SUM(T738:T742)</f>
        <v>444817.125</v>
      </c>
      <c r="U737" s="714">
        <f>SUM(U738:U742)</f>
        <v>0</v>
      </c>
    </row>
    <row r="738" spans="1:21" s="552" customFormat="1" ht="15" customHeight="1">
      <c r="A738" s="621"/>
      <c r="B738" s="622" t="s">
        <v>4970</v>
      </c>
      <c r="C738" s="558" t="str">
        <f>C737</f>
        <v xml:space="preserve"> </v>
      </c>
      <c r="D738" s="553"/>
      <c r="E738" s="694" t="str">
        <f>VLOOKUP($B738,dongia1,DG!$C$5,)</f>
        <v>Sắt góc L75 x75 x8x2100 (3 ốp)</v>
      </c>
      <c r="F738" s="555" t="str">
        <f>VLOOKUP($B738,dongia1,DG!$D$5,)</f>
        <v xml:space="preserve">thanh </v>
      </c>
      <c r="G738" s="205">
        <v>1</v>
      </c>
      <c r="H738" s="556"/>
      <c r="I738" s="556">
        <f t="shared" ref="I738:O742" ca="1" si="392">I$737*$G738</f>
        <v>0</v>
      </c>
      <c r="J738" s="556">
        <f t="shared" ca="1" si="392"/>
        <v>0</v>
      </c>
      <c r="K738" s="556">
        <f t="shared" ca="1" si="392"/>
        <v>0</v>
      </c>
      <c r="L738" s="556">
        <f t="shared" ca="1" si="392"/>
        <v>0</v>
      </c>
      <c r="M738" s="556"/>
      <c r="N738" s="556">
        <f t="shared" si="392"/>
        <v>0</v>
      </c>
      <c r="O738" s="556">
        <f t="shared" si="392"/>
        <v>0</v>
      </c>
      <c r="P738" s="182">
        <f>VLOOKUP($B738,dongia1,DG!$F$5,)</f>
        <v>520000</v>
      </c>
      <c r="Q738" s="554"/>
      <c r="R738" s="554"/>
      <c r="S738" s="113">
        <f t="shared" ref="S738:U741" si="393">$G738*P738</f>
        <v>520000</v>
      </c>
      <c r="T738" s="113">
        <f t="shared" si="393"/>
        <v>0</v>
      </c>
      <c r="U738" s="557">
        <f t="shared" si="393"/>
        <v>0</v>
      </c>
    </row>
    <row r="739" spans="1:21" s="552" customFormat="1" ht="15" customHeight="1">
      <c r="A739" s="621"/>
      <c r="B739" s="622" t="s">
        <v>4934</v>
      </c>
      <c r="C739" s="558" t="str">
        <f>C738</f>
        <v xml:space="preserve"> </v>
      </c>
      <c r="D739" s="553"/>
      <c r="E739" s="694" t="str">
        <f>VLOOKUP($B739,dongia1,DG!$C$5,)</f>
        <v>Sắt góc L50 x50 x5x1990</v>
      </c>
      <c r="F739" s="555" t="str">
        <f>VLOOKUP($B739,dongia1,DG!$D$5,)</f>
        <v xml:space="preserve">thanh </v>
      </c>
      <c r="G739" s="205">
        <v>1</v>
      </c>
      <c r="H739" s="556"/>
      <c r="I739" s="556">
        <f t="shared" ca="1" si="392"/>
        <v>0</v>
      </c>
      <c r="J739" s="556">
        <f t="shared" ca="1" si="392"/>
        <v>0</v>
      </c>
      <c r="K739" s="556">
        <f t="shared" ca="1" si="392"/>
        <v>0</v>
      </c>
      <c r="L739" s="556">
        <f t="shared" ca="1" si="392"/>
        <v>0</v>
      </c>
      <c r="M739" s="556"/>
      <c r="N739" s="556">
        <f t="shared" si="392"/>
        <v>0</v>
      </c>
      <c r="O739" s="556">
        <f t="shared" si="392"/>
        <v>0</v>
      </c>
      <c r="P739" s="182">
        <f>VLOOKUP($B739,dongia1,DG!$F$5,)</f>
        <v>145000</v>
      </c>
      <c r="Q739" s="554"/>
      <c r="R739" s="554"/>
      <c r="S739" s="113">
        <f t="shared" si="393"/>
        <v>145000</v>
      </c>
      <c r="T739" s="113">
        <f t="shared" si="393"/>
        <v>0</v>
      </c>
      <c r="U739" s="557">
        <f t="shared" si="393"/>
        <v>0</v>
      </c>
    </row>
    <row r="740" spans="1:21" s="552" customFormat="1" ht="15" customHeight="1">
      <c r="A740" s="621"/>
      <c r="B740" s="622" t="s">
        <v>1261</v>
      </c>
      <c r="C740" s="558" t="str">
        <f>C739</f>
        <v xml:space="preserve"> </v>
      </c>
      <c r="D740" s="553"/>
      <c r="E740" s="694" t="str">
        <f>VLOOKUP($B740,dongia1,DG!$C$5,)</f>
        <v>Boulon 16x250+ 2 long đền vuông D18-50x50x3/Zn</v>
      </c>
      <c r="F740" s="555" t="str">
        <f>VLOOKUP($B740,dongia1,DG!$D$5,)</f>
        <v>bộ</v>
      </c>
      <c r="G740" s="205">
        <v>2</v>
      </c>
      <c r="H740" s="556"/>
      <c r="I740" s="556">
        <f t="shared" ca="1" si="392"/>
        <v>0</v>
      </c>
      <c r="J740" s="556">
        <f t="shared" ca="1" si="392"/>
        <v>0</v>
      </c>
      <c r="K740" s="556">
        <f t="shared" ca="1" si="392"/>
        <v>0</v>
      </c>
      <c r="L740" s="556">
        <f t="shared" ca="1" si="392"/>
        <v>0</v>
      </c>
      <c r="M740" s="556"/>
      <c r="N740" s="556">
        <f t="shared" si="392"/>
        <v>0</v>
      </c>
      <c r="O740" s="556">
        <f t="shared" si="392"/>
        <v>0</v>
      </c>
      <c r="P740" s="182">
        <f>VLOOKUP($B740,dongia1,DG!$F$5,)</f>
        <v>13400</v>
      </c>
      <c r="Q740" s="554"/>
      <c r="R740" s="554"/>
      <c r="S740" s="113">
        <f t="shared" si="393"/>
        <v>26800</v>
      </c>
      <c r="T740" s="113">
        <f t="shared" si="393"/>
        <v>0</v>
      </c>
      <c r="U740" s="557">
        <f t="shared" si="393"/>
        <v>0</v>
      </c>
    </row>
    <row r="741" spans="1:21" s="552" customFormat="1" ht="15" customHeight="1">
      <c r="A741" s="621"/>
      <c r="B741" s="622" t="s">
        <v>1044</v>
      </c>
      <c r="C741" s="558" t="str">
        <f>C740</f>
        <v xml:space="preserve"> </v>
      </c>
      <c r="D741" s="553"/>
      <c r="E741" s="694" t="str">
        <f>VLOOKUP($B741,dongia1,DG!$C$5,)</f>
        <v>Boulon 16x50+ 2 long đền vuông D18-50x50x3/Zn</v>
      </c>
      <c r="F741" s="555" t="str">
        <f>VLOOKUP($B741,dongia1,DG!$D$5,)</f>
        <v>bộ</v>
      </c>
      <c r="G741" s="205">
        <v>1</v>
      </c>
      <c r="H741" s="556"/>
      <c r="I741" s="556">
        <f t="shared" ca="1" si="392"/>
        <v>0</v>
      </c>
      <c r="J741" s="556">
        <f t="shared" ca="1" si="392"/>
        <v>0</v>
      </c>
      <c r="K741" s="556">
        <f t="shared" ca="1" si="392"/>
        <v>0</v>
      </c>
      <c r="L741" s="556">
        <f t="shared" ca="1" si="392"/>
        <v>0</v>
      </c>
      <c r="M741" s="556"/>
      <c r="N741" s="556">
        <f t="shared" si="392"/>
        <v>0</v>
      </c>
      <c r="O741" s="556">
        <f t="shared" si="392"/>
        <v>0</v>
      </c>
      <c r="P741" s="182">
        <f>VLOOKUP($B741,dongia1,DG!$F$5,)</f>
        <v>12400</v>
      </c>
      <c r="Q741" s="554"/>
      <c r="R741" s="554"/>
      <c r="S741" s="113">
        <f t="shared" si="393"/>
        <v>12400</v>
      </c>
      <c r="T741" s="113">
        <f t="shared" si="393"/>
        <v>0</v>
      </c>
      <c r="U741" s="557">
        <f t="shared" si="393"/>
        <v>0</v>
      </c>
    </row>
    <row r="742" spans="1:21" s="552" customFormat="1" ht="15" customHeight="1">
      <c r="A742" s="621"/>
      <c r="B742" s="622" t="s">
        <v>32</v>
      </c>
      <c r="C742" s="558" t="str">
        <f>C741</f>
        <v xml:space="preserve"> </v>
      </c>
      <c r="D742" s="553"/>
      <c r="E742" s="694" t="str">
        <f>VLOOKUP($B742,dongia1,DG!$C$5,)</f>
        <v>Lắp xà đỡ 50kg</v>
      </c>
      <c r="F742" s="555" t="str">
        <f>VLOOKUP($B742,dongia1,DG!$D$5,)</f>
        <v>bộ</v>
      </c>
      <c r="G742" s="205">
        <v>1</v>
      </c>
      <c r="H742" s="556"/>
      <c r="I742" s="556">
        <f t="shared" ca="1" si="392"/>
        <v>0</v>
      </c>
      <c r="J742" s="556">
        <f t="shared" ca="1" si="392"/>
        <v>0</v>
      </c>
      <c r="K742" s="556">
        <f t="shared" ca="1" si="392"/>
        <v>0</v>
      </c>
      <c r="L742" s="556">
        <f t="shared" ca="1" si="392"/>
        <v>0</v>
      </c>
      <c r="M742" s="556"/>
      <c r="N742" s="556">
        <f t="shared" si="392"/>
        <v>0</v>
      </c>
      <c r="O742" s="556">
        <f t="shared" si="392"/>
        <v>0</v>
      </c>
      <c r="P742" s="554"/>
      <c r="Q742" s="603" t="str">
        <f>TEXT(VLOOKUP($B742,dongia1,DG!$G$5,),"#,##0")&amp;" x"&amp;hslx</f>
        <v>296544,750 x1,5</v>
      </c>
      <c r="R742" s="554"/>
      <c r="S742" s="113">
        <f>$G742*P742</f>
        <v>0</v>
      </c>
      <c r="T742" s="603">
        <f>VLOOKUP($B742,dongia1,DG!G$5,)*G742*hslx</f>
        <v>444817.125</v>
      </c>
      <c r="U742" s="557">
        <f>$G742*R742</f>
        <v>0</v>
      </c>
    </row>
    <row r="743" spans="1:21" s="858" customFormat="1">
      <c r="A743" s="847" t="s">
        <v>566</v>
      </c>
      <c r="B743" s="848"/>
      <c r="C743" s="849" t="str">
        <f>IF(H743&lt;&gt;0,"x"," ")</f>
        <v xml:space="preserve"> </v>
      </c>
      <c r="D743" s="850"/>
      <c r="E743" s="851" t="s">
        <v>3582</v>
      </c>
      <c r="F743" s="852" t="s">
        <v>2113</v>
      </c>
      <c r="G743" s="853"/>
      <c r="H743" s="854"/>
      <c r="I743" s="854">
        <f ca="1">SUMIF(xa3pm,chitiet!$A743,slxa3pm)</f>
        <v>0</v>
      </c>
      <c r="J743" s="854">
        <f ca="1">SUMIF(xact,chitiet!$A743,slxact)</f>
        <v>0</v>
      </c>
      <c r="K743" s="854">
        <f ca="1">SUMIF(xa3p1m,chitiet!$A743,slxa3p1m)</f>
        <v>0</v>
      </c>
      <c r="L743" s="854">
        <f ca="1">SUMIF(xa1pm,chitiet!$A743,slxa1pm)</f>
        <v>0</v>
      </c>
      <c r="M743" s="854"/>
      <c r="N743" s="854"/>
      <c r="O743" s="854"/>
      <c r="P743" s="855"/>
      <c r="Q743" s="855"/>
      <c r="R743" s="855"/>
      <c r="S743" s="856">
        <f>SUM(S744:S750)</f>
        <v>1926610.125</v>
      </c>
      <c r="T743" s="856">
        <f>SUM(T744:T750)</f>
        <v>373435.5</v>
      </c>
      <c r="U743" s="857">
        <f>SUM(U744:U750)</f>
        <v>0</v>
      </c>
    </row>
    <row r="744" spans="1:21">
      <c r="B744" s="696" t="s">
        <v>386</v>
      </c>
      <c r="C744" s="631" t="str">
        <f t="shared" ref="C744:C750" si="394">C743</f>
        <v xml:space="preserve"> </v>
      </c>
      <c r="D744" s="698"/>
      <c r="E744" s="699" t="str">
        <f>VLOOKUP($B744,dongia1,DG!$C$5,)</f>
        <v>Sắt góc L75 x75 x8</v>
      </c>
      <c r="F744" s="700" t="str">
        <f>VLOOKUP($B744,dongia1,DG!$D$5,)</f>
        <v>kg</v>
      </c>
      <c r="G744" s="762">
        <f>9.02*2*(2.1+3*0.07)</f>
        <v>41.672399999999996</v>
      </c>
      <c r="H744" s="701"/>
      <c r="I744" s="701">
        <f t="shared" ref="I744:O750" ca="1" si="395">I$743*$G744</f>
        <v>0</v>
      </c>
      <c r="J744" s="701">
        <f t="shared" ca="1" si="395"/>
        <v>0</v>
      </c>
      <c r="K744" s="701">
        <f t="shared" ca="1" si="395"/>
        <v>0</v>
      </c>
      <c r="L744" s="701">
        <f t="shared" ca="1" si="395"/>
        <v>0</v>
      </c>
      <c r="M744" s="701"/>
      <c r="N744" s="701">
        <f t="shared" si="395"/>
        <v>0</v>
      </c>
      <c r="O744" s="701">
        <f t="shared" si="395"/>
        <v>0</v>
      </c>
      <c r="P744" s="702">
        <f>VLOOKUP($B744,dongia1,DG!$F$5,)</f>
        <v>31625</v>
      </c>
      <c r="Q744" s="703"/>
      <c r="R744" s="703"/>
      <c r="S744" s="702">
        <f t="shared" ref="S744:S749" si="396">$G744*P744</f>
        <v>1317889.6499999999</v>
      </c>
      <c r="T744" s="702">
        <f t="shared" ref="T744:T749" si="397">$G744*Q744</f>
        <v>0</v>
      </c>
      <c r="U744" s="704">
        <f t="shared" ref="U744:U749" si="398">$G744*R744</f>
        <v>0</v>
      </c>
    </row>
    <row r="745" spans="1:21">
      <c r="B745" s="696" t="s">
        <v>2</v>
      </c>
      <c r="C745" s="631" t="str">
        <f t="shared" si="394"/>
        <v xml:space="preserve"> </v>
      </c>
      <c r="D745" s="698"/>
      <c r="E745" s="699" t="str">
        <f>VLOOKUP($B745,dongia1,DG!$C$5,)</f>
        <v>Sắt góc L50 x50 x5</v>
      </c>
      <c r="F745" s="700" t="str">
        <f>VLOOKUP($B745,dongia1,DG!$D$5,)</f>
        <v>kg</v>
      </c>
      <c r="G745" s="762">
        <f>3.77*1.99*2</f>
        <v>15.0046</v>
      </c>
      <c r="H745" s="701"/>
      <c r="I745" s="701">
        <f t="shared" ca="1" si="395"/>
        <v>0</v>
      </c>
      <c r="J745" s="701">
        <f t="shared" ca="1" si="395"/>
        <v>0</v>
      </c>
      <c r="K745" s="701">
        <f t="shared" ca="1" si="395"/>
        <v>0</v>
      </c>
      <c r="L745" s="701">
        <f t="shared" ca="1" si="395"/>
        <v>0</v>
      </c>
      <c r="M745" s="701"/>
      <c r="N745" s="701">
        <f t="shared" si="395"/>
        <v>0</v>
      </c>
      <c r="O745" s="701">
        <f t="shared" si="395"/>
        <v>0</v>
      </c>
      <c r="P745" s="702">
        <f>VLOOKUP($B745,dongia1,DG!$F$5,)</f>
        <v>31625</v>
      </c>
      <c r="Q745" s="703"/>
      <c r="R745" s="703"/>
      <c r="S745" s="702">
        <f t="shared" si="396"/>
        <v>474520.47499999998</v>
      </c>
      <c r="T745" s="702">
        <f t="shared" si="397"/>
        <v>0</v>
      </c>
      <c r="U745" s="930">
        <f t="shared" si="398"/>
        <v>0</v>
      </c>
    </row>
    <row r="746" spans="1:21" s="552" customFormat="1" ht="15" customHeight="1">
      <c r="A746" s="621"/>
      <c r="B746" s="622" t="s">
        <v>1804</v>
      </c>
      <c r="C746" s="558"/>
      <c r="D746" s="553"/>
      <c r="E746" s="694" t="str">
        <f>VLOOKUP($B746,dongia1,DG!$C$5,)</f>
        <v>Sắt dẹt 50 x 5</v>
      </c>
      <c r="F746" s="555" t="str">
        <f>VLOOKUP($B746,dongia1,DG!$D$5,)</f>
        <v>kg</v>
      </c>
      <c r="G746" s="205"/>
      <c r="H746" s="556"/>
      <c r="I746" s="556">
        <f t="shared" ca="1" si="395"/>
        <v>0</v>
      </c>
      <c r="J746" s="556">
        <f t="shared" ca="1" si="395"/>
        <v>0</v>
      </c>
      <c r="K746" s="556">
        <f t="shared" ca="1" si="395"/>
        <v>0</v>
      </c>
      <c r="L746" s="556">
        <f t="shared" ca="1" si="395"/>
        <v>0</v>
      </c>
      <c r="M746" s="556"/>
      <c r="N746" s="556">
        <f t="shared" si="395"/>
        <v>0</v>
      </c>
      <c r="O746" s="556">
        <f t="shared" si="395"/>
        <v>0</v>
      </c>
      <c r="P746" s="182">
        <f>VLOOKUP($B746,dongia1,DG!$F$5,)</f>
        <v>31625</v>
      </c>
      <c r="Q746" s="554"/>
      <c r="R746" s="554"/>
      <c r="S746" s="113">
        <f>$G746*P746</f>
        <v>0</v>
      </c>
      <c r="T746" s="113">
        <f>$G746*Q746</f>
        <v>0</v>
      </c>
      <c r="U746" s="715">
        <f>$G746*R746</f>
        <v>0</v>
      </c>
    </row>
    <row r="747" spans="1:21">
      <c r="B747" s="696" t="s">
        <v>364</v>
      </c>
      <c r="C747" s="631" t="str">
        <f>C745</f>
        <v xml:space="preserve"> </v>
      </c>
      <c r="D747" s="698"/>
      <c r="E747" s="699" t="str">
        <f>VLOOKUP($B747,dongia1,DG!$C$5,)</f>
        <v>Boulon 16x300VRS+ 4 long đền vuông D18-50x50x3/Zn</v>
      </c>
      <c r="F747" s="700" t="str">
        <f>VLOOKUP($B747,dongia1,DG!$D$5,)</f>
        <v>bộ</v>
      </c>
      <c r="G747" s="762">
        <v>3</v>
      </c>
      <c r="H747" s="701"/>
      <c r="I747" s="701">
        <f t="shared" ca="1" si="395"/>
        <v>0</v>
      </c>
      <c r="J747" s="701">
        <f t="shared" ca="1" si="395"/>
        <v>0</v>
      </c>
      <c r="K747" s="701">
        <f t="shared" ca="1" si="395"/>
        <v>0</v>
      </c>
      <c r="L747" s="701">
        <f t="shared" ca="1" si="395"/>
        <v>0</v>
      </c>
      <c r="M747" s="701"/>
      <c r="N747" s="701">
        <f t="shared" si="395"/>
        <v>0</v>
      </c>
      <c r="O747" s="701">
        <f t="shared" si="395"/>
        <v>0</v>
      </c>
      <c r="P747" s="702">
        <f>VLOOKUP($B747,dongia1,DG!$F$5,)</f>
        <v>31800</v>
      </c>
      <c r="Q747" s="703"/>
      <c r="R747" s="703"/>
      <c r="S747" s="702">
        <f t="shared" si="396"/>
        <v>95400</v>
      </c>
      <c r="T747" s="702">
        <f t="shared" si="397"/>
        <v>0</v>
      </c>
      <c r="U747" s="704">
        <f t="shared" si="398"/>
        <v>0</v>
      </c>
    </row>
    <row r="748" spans="1:21">
      <c r="B748" s="696" t="s">
        <v>1262</v>
      </c>
      <c r="C748" s="631" t="str">
        <f t="shared" si="394"/>
        <v xml:space="preserve"> </v>
      </c>
      <c r="D748" s="698"/>
      <c r="E748" s="699" t="str">
        <f>VLOOKUP($B748,dongia1,DG!$C$5,)</f>
        <v>Boulon 16x300+ 2 long đền vuông D18-50x50x3/Zn</v>
      </c>
      <c r="F748" s="700" t="str">
        <f>VLOOKUP($B748,dongia1,DG!$D$5,)</f>
        <v>bộ</v>
      </c>
      <c r="G748" s="762">
        <v>1</v>
      </c>
      <c r="H748" s="701"/>
      <c r="I748" s="701">
        <f t="shared" ca="1" si="395"/>
        <v>0</v>
      </c>
      <c r="J748" s="701">
        <f t="shared" ca="1" si="395"/>
        <v>0</v>
      </c>
      <c r="K748" s="701">
        <f t="shared" ca="1" si="395"/>
        <v>0</v>
      </c>
      <c r="L748" s="701">
        <f t="shared" ca="1" si="395"/>
        <v>0</v>
      </c>
      <c r="M748" s="701"/>
      <c r="N748" s="701">
        <f t="shared" si="395"/>
        <v>0</v>
      </c>
      <c r="O748" s="701">
        <f t="shared" si="395"/>
        <v>0</v>
      </c>
      <c r="P748" s="702">
        <f>VLOOKUP($B748,dongia1,DG!$F$5,)</f>
        <v>25400</v>
      </c>
      <c r="Q748" s="703"/>
      <c r="R748" s="703"/>
      <c r="S748" s="702">
        <f t="shared" si="396"/>
        <v>25400</v>
      </c>
      <c r="T748" s="702">
        <f t="shared" si="397"/>
        <v>0</v>
      </c>
      <c r="U748" s="704">
        <f t="shared" si="398"/>
        <v>0</v>
      </c>
    </row>
    <row r="749" spans="1:21">
      <c r="B749" s="696" t="s">
        <v>1261</v>
      </c>
      <c r="C749" s="631" t="str">
        <f t="shared" si="394"/>
        <v xml:space="preserve"> </v>
      </c>
      <c r="D749" s="698"/>
      <c r="E749" s="699" t="str">
        <f>VLOOKUP($B749,dongia1,DG!$C$5,)</f>
        <v>Boulon 16x250+ 2 long đền vuông D18-50x50x3/Zn</v>
      </c>
      <c r="F749" s="700" t="str">
        <f>VLOOKUP($B749,dongia1,DG!$D$5,)</f>
        <v>bộ</v>
      </c>
      <c r="G749" s="762">
        <v>1</v>
      </c>
      <c r="H749" s="701"/>
      <c r="I749" s="701">
        <f t="shared" ca="1" si="395"/>
        <v>0</v>
      </c>
      <c r="J749" s="701">
        <f t="shared" ca="1" si="395"/>
        <v>0</v>
      </c>
      <c r="K749" s="701">
        <f t="shared" ca="1" si="395"/>
        <v>0</v>
      </c>
      <c r="L749" s="701">
        <f t="shared" ca="1" si="395"/>
        <v>0</v>
      </c>
      <c r="M749" s="701"/>
      <c r="N749" s="701">
        <f t="shared" si="395"/>
        <v>0</v>
      </c>
      <c r="O749" s="701">
        <f t="shared" si="395"/>
        <v>0</v>
      </c>
      <c r="P749" s="702">
        <f>VLOOKUP($B749,dongia1,DG!$F$5,)</f>
        <v>13400</v>
      </c>
      <c r="Q749" s="703"/>
      <c r="R749" s="703"/>
      <c r="S749" s="702">
        <f t="shared" si="396"/>
        <v>13400</v>
      </c>
      <c r="T749" s="702">
        <f t="shared" si="397"/>
        <v>0</v>
      </c>
      <c r="U749" s="704">
        <f t="shared" si="398"/>
        <v>0</v>
      </c>
    </row>
    <row r="750" spans="1:21">
      <c r="B750" s="938" t="s">
        <v>4510</v>
      </c>
      <c r="C750" s="631" t="str">
        <f t="shared" si="394"/>
        <v xml:space="preserve"> </v>
      </c>
      <c r="D750" s="698"/>
      <c r="E750" s="699" t="str">
        <f>VLOOKUP($B750,dongia1,DG!$C$5,)</f>
        <v>Lắp xà đỡ 2,1m kép (58,889kg)</v>
      </c>
      <c r="F750" s="700" t="str">
        <f>VLOOKUP($B750,dongia1,DG!$D$5,)</f>
        <v>bộ</v>
      </c>
      <c r="G750" s="762">
        <v>1</v>
      </c>
      <c r="H750" s="701"/>
      <c r="I750" s="701">
        <f t="shared" ca="1" si="395"/>
        <v>0</v>
      </c>
      <c r="J750" s="701">
        <f t="shared" ca="1" si="395"/>
        <v>0</v>
      </c>
      <c r="K750" s="701">
        <f t="shared" ca="1" si="395"/>
        <v>0</v>
      </c>
      <c r="L750" s="701">
        <f t="shared" ca="1" si="395"/>
        <v>0</v>
      </c>
      <c r="M750" s="701"/>
      <c r="N750" s="701">
        <f t="shared" si="395"/>
        <v>0</v>
      </c>
      <c r="O750" s="701">
        <f t="shared" si="395"/>
        <v>0</v>
      </c>
      <c r="P750" s="703"/>
      <c r="Q750" s="934" t="str">
        <f>TEXT(VLOOKUP($B750,dongia1,DG!$G$5,),"#,##0")&amp;" x"&amp;hslx</f>
        <v>248957,0 x1,5</v>
      </c>
      <c r="R750" s="703"/>
      <c r="S750" s="702">
        <f>$G750*P750</f>
        <v>0</v>
      </c>
      <c r="T750" s="702">
        <f>VLOOKUP($B750,dongia1,DG!G$5,)*G750*hslx</f>
        <v>373435.5</v>
      </c>
      <c r="U750" s="704">
        <f>$G750*R750</f>
        <v>0</v>
      </c>
    </row>
    <row r="751" spans="1:21" s="858" customFormat="1">
      <c r="A751" s="847" t="s">
        <v>3718</v>
      </c>
      <c r="B751" s="848"/>
      <c r="C751" s="849" t="s">
        <v>309</v>
      </c>
      <c r="D751" s="850">
        <v>2</v>
      </c>
      <c r="E751" s="851" t="s">
        <v>3583</v>
      </c>
      <c r="F751" s="852" t="s">
        <v>2113</v>
      </c>
      <c r="G751" s="1980">
        <f>pp3p1m!BY10</f>
        <v>1</v>
      </c>
      <c r="H751" s="854">
        <f ca="1">SUM(I751:N751)</f>
        <v>1</v>
      </c>
      <c r="I751" s="854">
        <f ca="1">SUMIF(xa3pm,chitiet!$A751,slxa3pm)</f>
        <v>0</v>
      </c>
      <c r="J751" s="854">
        <f ca="1">SUMIF(xact,chitiet!$A751,slxact)</f>
        <v>0</v>
      </c>
      <c r="K751" s="854">
        <f ca="1">SUMIF(xa3p1m,chitiet!$A751,slxa3p1m)</f>
        <v>1</v>
      </c>
      <c r="L751" s="854">
        <f ca="1">SUMIF(xa1pm,chitiet!$A751,slxa1pm)</f>
        <v>0</v>
      </c>
      <c r="M751" s="854"/>
      <c r="N751" s="854"/>
      <c r="O751" s="854"/>
      <c r="P751" s="855"/>
      <c r="Q751" s="855"/>
      <c r="R751" s="855"/>
      <c r="S751" s="856">
        <f>SUM(S752:S756)</f>
        <v>805129.26249999995</v>
      </c>
      <c r="T751" s="856">
        <f>SUM(T752:T756)</f>
        <v>328777.875</v>
      </c>
      <c r="U751" s="857">
        <f>SUM(U752:U756)</f>
        <v>0</v>
      </c>
    </row>
    <row r="752" spans="1:21">
      <c r="B752" s="696" t="s">
        <v>386</v>
      </c>
      <c r="C752" s="631" t="s">
        <v>309</v>
      </c>
      <c r="D752" s="698"/>
      <c r="E752" s="699" t="str">
        <f>VLOOKUP($B752,dongia1,DG!$C$5,)</f>
        <v>Sắt góc L75 x75 x8</v>
      </c>
      <c r="F752" s="700" t="str">
        <f>VLOOKUP($B752,dongia1,DG!$D$5,)</f>
        <v>kg</v>
      </c>
      <c r="G752" s="762">
        <f>9.02*(2+3*0.07)</f>
        <v>19.934199999999997</v>
      </c>
      <c r="H752" s="701"/>
      <c r="I752" s="701">
        <f t="shared" ref="I752:O756" ca="1" si="399">I$751*$G752</f>
        <v>0</v>
      </c>
      <c r="J752" s="701">
        <f t="shared" ca="1" si="399"/>
        <v>0</v>
      </c>
      <c r="K752" s="701">
        <f t="shared" ca="1" si="399"/>
        <v>19.934199999999997</v>
      </c>
      <c r="L752" s="701">
        <f t="shared" ca="1" si="399"/>
        <v>0</v>
      </c>
      <c r="M752" s="701"/>
      <c r="N752" s="701">
        <f t="shared" si="399"/>
        <v>0</v>
      </c>
      <c r="O752" s="701">
        <f t="shared" si="399"/>
        <v>0</v>
      </c>
      <c r="P752" s="702">
        <f>VLOOKUP($B752,dongia1,DG!$F$5,)</f>
        <v>31625</v>
      </c>
      <c r="Q752" s="703"/>
      <c r="R752" s="703"/>
      <c r="S752" s="702">
        <f t="shared" ref="S752:U755" si="400">$G752*P752</f>
        <v>630419.07499999995</v>
      </c>
      <c r="T752" s="702">
        <f t="shared" si="400"/>
        <v>0</v>
      </c>
      <c r="U752" s="704">
        <f t="shared" si="400"/>
        <v>0</v>
      </c>
    </row>
    <row r="753" spans="1:21">
      <c r="B753" s="696" t="s">
        <v>2</v>
      </c>
      <c r="C753" s="631" t="s">
        <v>309</v>
      </c>
      <c r="D753" s="698"/>
      <c r="E753" s="699" t="str">
        <f>VLOOKUP($B753,dongia1,DG!$C$5,)</f>
        <v>Sắt góc L50 x50 x5</v>
      </c>
      <c r="F753" s="700" t="str">
        <f>VLOOKUP($B753,dongia1,DG!$D$5,)</f>
        <v>kg</v>
      </c>
      <c r="G753" s="205">
        <f>3.77*1.15</f>
        <v>4.3354999999999997</v>
      </c>
      <c r="H753" s="701"/>
      <c r="I753" s="701">
        <f t="shared" ca="1" si="399"/>
        <v>0</v>
      </c>
      <c r="J753" s="701">
        <f t="shared" ca="1" si="399"/>
        <v>0</v>
      </c>
      <c r="K753" s="701">
        <f t="shared" ca="1" si="399"/>
        <v>4.3354999999999997</v>
      </c>
      <c r="L753" s="701">
        <f t="shared" ca="1" si="399"/>
        <v>0</v>
      </c>
      <c r="M753" s="701"/>
      <c r="N753" s="701">
        <f t="shared" si="399"/>
        <v>0</v>
      </c>
      <c r="O753" s="701">
        <f t="shared" si="399"/>
        <v>0</v>
      </c>
      <c r="P753" s="702">
        <f>VLOOKUP($B753,dongia1,DG!$F$5,)</f>
        <v>31625</v>
      </c>
      <c r="Q753" s="703"/>
      <c r="R753" s="703"/>
      <c r="S753" s="702">
        <f t="shared" si="400"/>
        <v>137110.1875</v>
      </c>
      <c r="T753" s="702">
        <f t="shared" si="400"/>
        <v>0</v>
      </c>
      <c r="U753" s="704">
        <f t="shared" si="400"/>
        <v>0</v>
      </c>
    </row>
    <row r="754" spans="1:21">
      <c r="B754" s="696" t="s">
        <v>1261</v>
      </c>
      <c r="C754" s="631" t="s">
        <v>309</v>
      </c>
      <c r="D754" s="698"/>
      <c r="E754" s="699" t="str">
        <f>VLOOKUP($B754,dongia1,DG!$C$5,)</f>
        <v>Boulon 16x250+ 2 long đền vuông D18-50x50x3/Zn</v>
      </c>
      <c r="F754" s="700" t="str">
        <f>VLOOKUP($B754,dongia1,DG!$D$5,)</f>
        <v>bộ</v>
      </c>
      <c r="G754" s="762">
        <v>2</v>
      </c>
      <c r="H754" s="701"/>
      <c r="I754" s="701">
        <f t="shared" ca="1" si="399"/>
        <v>0</v>
      </c>
      <c r="J754" s="701">
        <f t="shared" ca="1" si="399"/>
        <v>0</v>
      </c>
      <c r="K754" s="701">
        <f t="shared" ca="1" si="399"/>
        <v>2</v>
      </c>
      <c r="L754" s="701">
        <f t="shared" ca="1" si="399"/>
        <v>0</v>
      </c>
      <c r="M754" s="701"/>
      <c r="N754" s="701">
        <f t="shared" si="399"/>
        <v>0</v>
      </c>
      <c r="O754" s="701">
        <f t="shared" si="399"/>
        <v>0</v>
      </c>
      <c r="P754" s="702">
        <f>VLOOKUP($B754,dongia1,DG!$F$5,)</f>
        <v>13400</v>
      </c>
      <c r="Q754" s="703"/>
      <c r="R754" s="703"/>
      <c r="S754" s="702">
        <f t="shared" si="400"/>
        <v>26800</v>
      </c>
      <c r="T754" s="702">
        <f t="shared" si="400"/>
        <v>0</v>
      </c>
      <c r="U754" s="704">
        <f t="shared" si="400"/>
        <v>0</v>
      </c>
    </row>
    <row r="755" spans="1:21">
      <c r="B755" s="696" t="s">
        <v>1043</v>
      </c>
      <c r="C755" s="631" t="s">
        <v>309</v>
      </c>
      <c r="D755" s="698"/>
      <c r="E755" s="699" t="str">
        <f>VLOOKUP($B755,dongia1,DG!$C$5,)</f>
        <v>Boulon 16x35+ 2 long đền vuông D18-50x50x3/Zn</v>
      </c>
      <c r="F755" s="700" t="str">
        <f>VLOOKUP($B755,dongia1,DG!$D$5,)</f>
        <v>bộ</v>
      </c>
      <c r="G755" s="762">
        <v>1</v>
      </c>
      <c r="H755" s="701"/>
      <c r="I755" s="701">
        <f t="shared" ca="1" si="399"/>
        <v>0</v>
      </c>
      <c r="J755" s="701">
        <f t="shared" ca="1" si="399"/>
        <v>0</v>
      </c>
      <c r="K755" s="701">
        <f t="shared" ca="1" si="399"/>
        <v>1</v>
      </c>
      <c r="L755" s="701">
        <f t="shared" ca="1" si="399"/>
        <v>0</v>
      </c>
      <c r="M755" s="701"/>
      <c r="N755" s="701">
        <f t="shared" si="399"/>
        <v>0</v>
      </c>
      <c r="O755" s="701">
        <f t="shared" si="399"/>
        <v>0</v>
      </c>
      <c r="P755" s="702">
        <f>VLOOKUP($B755,dongia1,DG!$F$5,)</f>
        <v>10800</v>
      </c>
      <c r="Q755" s="703"/>
      <c r="R755" s="703"/>
      <c r="S755" s="702">
        <f t="shared" si="400"/>
        <v>10800</v>
      </c>
      <c r="T755" s="702">
        <f t="shared" si="400"/>
        <v>0</v>
      </c>
      <c r="U755" s="704">
        <f t="shared" si="400"/>
        <v>0</v>
      </c>
    </row>
    <row r="756" spans="1:21">
      <c r="B756" s="678" t="s">
        <v>534</v>
      </c>
      <c r="C756" s="631" t="str">
        <f>C755</f>
        <v>x</v>
      </c>
      <c r="D756" s="698"/>
      <c r="E756" s="699" t="str">
        <f>VLOOKUP($B756,dongia1,DG!$C$5,)</f>
        <v>Lắp xà đỡ 25kg</v>
      </c>
      <c r="F756" s="700" t="str">
        <f>VLOOKUP($B756,dongia1,DG!$D$5,)</f>
        <v>bộ</v>
      </c>
      <c r="G756" s="762">
        <v>1</v>
      </c>
      <c r="H756" s="701"/>
      <c r="I756" s="701">
        <f t="shared" ca="1" si="399"/>
        <v>0</v>
      </c>
      <c r="J756" s="701">
        <f t="shared" ca="1" si="399"/>
        <v>0</v>
      </c>
      <c r="K756" s="701">
        <f t="shared" ca="1" si="399"/>
        <v>1</v>
      </c>
      <c r="L756" s="701">
        <f t="shared" ca="1" si="399"/>
        <v>0</v>
      </c>
      <c r="M756" s="701"/>
      <c r="N756" s="701">
        <f t="shared" si="399"/>
        <v>0</v>
      </c>
      <c r="O756" s="701">
        <f t="shared" si="399"/>
        <v>0</v>
      </c>
      <c r="P756" s="703"/>
      <c r="Q756" s="182">
        <f>VLOOKUP($B756,dongia1,DG!$G$5,)</f>
        <v>219185.25</v>
      </c>
      <c r="R756" s="703"/>
      <c r="S756" s="702">
        <f>$G756*P756</f>
        <v>0</v>
      </c>
      <c r="T756" s="934">
        <f>VLOOKUP($B756,dongia1,DG!G$5,)*G756*hslx</f>
        <v>328777.875</v>
      </c>
      <c r="U756" s="930">
        <f>$G756*R756</f>
        <v>0</v>
      </c>
    </row>
    <row r="757" spans="1:21" s="858" customFormat="1">
      <c r="A757" s="847" t="s">
        <v>1463</v>
      </c>
      <c r="B757" s="848"/>
      <c r="C757" s="849"/>
      <c r="D757" s="850">
        <v>4</v>
      </c>
      <c r="E757" s="851" t="s">
        <v>3584</v>
      </c>
      <c r="F757" s="852" t="s">
        <v>2113</v>
      </c>
      <c r="G757" s="853">
        <f>pp3p1m!BY10</f>
        <v>1</v>
      </c>
      <c r="H757" s="854"/>
      <c r="I757" s="854">
        <f ca="1">SUMIF(xa3pm,chitiet!$A757,slxa3pm)</f>
        <v>0</v>
      </c>
      <c r="J757" s="854">
        <f ca="1">SUMIF(xact,chitiet!$A757,slxact)</f>
        <v>0</v>
      </c>
      <c r="K757" s="854">
        <f ca="1">SUMIF(xa3p1m,chitiet!$A757,slxa3p1m)</f>
        <v>0</v>
      </c>
      <c r="L757" s="854">
        <f ca="1">SUMIF(xa1pm,chitiet!$A757,slxa1pm)</f>
        <v>0</v>
      </c>
      <c r="M757" s="854"/>
      <c r="N757" s="854"/>
      <c r="O757" s="854"/>
      <c r="P757" s="855"/>
      <c r="Q757" s="855"/>
      <c r="R757" s="855"/>
      <c r="S757" s="856">
        <f>SUM(S758:S764)</f>
        <v>1745994.575</v>
      </c>
      <c r="T757" s="856">
        <f>SUM(T758:T764)</f>
        <v>296544.75</v>
      </c>
      <c r="U757" s="704">
        <f>$G757*R757</f>
        <v>0</v>
      </c>
    </row>
    <row r="758" spans="1:21">
      <c r="B758" s="696" t="s">
        <v>386</v>
      </c>
      <c r="C758" s="631"/>
      <c r="D758" s="698"/>
      <c r="E758" s="699" t="str">
        <f>VLOOKUP($B758,dongia1,DG!$C$5,)</f>
        <v>Sắt góc L75 x75 x8</v>
      </c>
      <c r="F758" s="700" t="str">
        <f>VLOOKUP($B758,dongia1,DG!$D$5,)</f>
        <v>kg</v>
      </c>
      <c r="G758" s="205">
        <f>9.02*(2+4*0.07)*2</f>
        <v>41.1312</v>
      </c>
      <c r="H758" s="701"/>
      <c r="I758" s="701">
        <f t="shared" ref="I758:O764" ca="1" si="401">I$757*$G758</f>
        <v>0</v>
      </c>
      <c r="J758" s="701">
        <f t="shared" ca="1" si="401"/>
        <v>0</v>
      </c>
      <c r="K758" s="701">
        <f t="shared" ca="1" si="401"/>
        <v>0</v>
      </c>
      <c r="L758" s="701">
        <f t="shared" ca="1" si="401"/>
        <v>0</v>
      </c>
      <c r="M758" s="701"/>
      <c r="N758" s="701">
        <f t="shared" si="401"/>
        <v>0</v>
      </c>
      <c r="O758" s="701">
        <f t="shared" si="401"/>
        <v>0</v>
      </c>
      <c r="P758" s="702">
        <f>VLOOKUP($B758,dongia1,DG!$F$5,)</f>
        <v>31625</v>
      </c>
      <c r="Q758" s="703"/>
      <c r="R758" s="703"/>
      <c r="S758" s="702">
        <f t="shared" ref="S758:S763" si="402">$G758*P758</f>
        <v>1300774.2</v>
      </c>
      <c r="T758" s="702">
        <f t="shared" ref="T758:T764" si="403">$G758*Q758</f>
        <v>0</v>
      </c>
      <c r="U758" s="704">
        <f t="shared" ref="U758:U763" si="404">$G758*R758</f>
        <v>0</v>
      </c>
    </row>
    <row r="759" spans="1:21">
      <c r="B759" s="696" t="s">
        <v>2</v>
      </c>
      <c r="C759" s="631"/>
      <c r="D759" s="698"/>
      <c r="E759" s="699" t="str">
        <f>VLOOKUP($B759,dongia1,DG!$C$5,)</f>
        <v>Sắt góc L50 x50 x5</v>
      </c>
      <c r="F759" s="700" t="str">
        <f>VLOOKUP($B759,dongia1,DG!$D$5,)</f>
        <v>kg</v>
      </c>
      <c r="G759" s="205">
        <f>3.77*1.15*2</f>
        <v>8.6709999999999994</v>
      </c>
      <c r="H759" s="701"/>
      <c r="I759" s="701">
        <f t="shared" ca="1" si="401"/>
        <v>0</v>
      </c>
      <c r="J759" s="701">
        <f t="shared" ca="1" si="401"/>
        <v>0</v>
      </c>
      <c r="K759" s="701">
        <f t="shared" ca="1" si="401"/>
        <v>0</v>
      </c>
      <c r="L759" s="701">
        <f t="shared" ca="1" si="401"/>
        <v>0</v>
      </c>
      <c r="M759" s="701"/>
      <c r="N759" s="701">
        <f t="shared" si="401"/>
        <v>0</v>
      </c>
      <c r="O759" s="701">
        <f t="shared" si="401"/>
        <v>0</v>
      </c>
      <c r="P759" s="702">
        <f>VLOOKUP($B759,dongia1,DG!$F$5,)</f>
        <v>31625</v>
      </c>
      <c r="Q759" s="703"/>
      <c r="R759" s="703"/>
      <c r="S759" s="702">
        <f t="shared" si="402"/>
        <v>274220.375</v>
      </c>
      <c r="T759" s="702">
        <f t="shared" si="403"/>
        <v>0</v>
      </c>
      <c r="U759" s="704">
        <f t="shared" si="404"/>
        <v>0</v>
      </c>
    </row>
    <row r="760" spans="1:21">
      <c r="B760" s="696" t="s">
        <v>364</v>
      </c>
      <c r="C760" s="631"/>
      <c r="D760" s="698"/>
      <c r="E760" s="699" t="str">
        <f>VLOOKUP($B760,dongia1,DG!$C$5,)</f>
        <v>Boulon 16x300VRS+ 4 long đền vuông D18-50x50x3/Zn</v>
      </c>
      <c r="F760" s="700" t="str">
        <f>VLOOKUP($B760,dongia1,DG!$D$5,)</f>
        <v>bộ</v>
      </c>
      <c r="G760" s="762">
        <v>3</v>
      </c>
      <c r="H760" s="701"/>
      <c r="I760" s="701">
        <f t="shared" ca="1" si="401"/>
        <v>0</v>
      </c>
      <c r="J760" s="701">
        <f t="shared" ca="1" si="401"/>
        <v>0</v>
      </c>
      <c r="K760" s="701">
        <f t="shared" ca="1" si="401"/>
        <v>0</v>
      </c>
      <c r="L760" s="701">
        <f t="shared" ca="1" si="401"/>
        <v>0</v>
      </c>
      <c r="M760" s="701"/>
      <c r="N760" s="701">
        <f t="shared" si="401"/>
        <v>0</v>
      </c>
      <c r="O760" s="701">
        <f t="shared" si="401"/>
        <v>0</v>
      </c>
      <c r="P760" s="702">
        <f>VLOOKUP($B760,dongia1,DG!$F$5,)</f>
        <v>31800</v>
      </c>
      <c r="Q760" s="703"/>
      <c r="R760" s="703"/>
      <c r="S760" s="702">
        <f t="shared" si="402"/>
        <v>95400</v>
      </c>
      <c r="T760" s="702">
        <f t="shared" si="403"/>
        <v>0</v>
      </c>
      <c r="U760" s="704">
        <f t="shared" si="404"/>
        <v>0</v>
      </c>
    </row>
    <row r="761" spans="1:21">
      <c r="B761" s="696" t="s">
        <v>1262</v>
      </c>
      <c r="C761" s="631"/>
      <c r="D761" s="698"/>
      <c r="E761" s="699" t="str">
        <f>VLOOKUP($B761,dongia1,DG!$C$5,)</f>
        <v>Boulon 16x300+ 2 long đền vuông D18-50x50x3/Zn</v>
      </c>
      <c r="F761" s="700" t="str">
        <f>VLOOKUP($B761,dongia1,DG!$D$5,)</f>
        <v>bộ</v>
      </c>
      <c r="G761" s="762">
        <v>2</v>
      </c>
      <c r="H761" s="701"/>
      <c r="I761" s="701">
        <f t="shared" ca="1" si="401"/>
        <v>0</v>
      </c>
      <c r="J761" s="701">
        <f t="shared" ca="1" si="401"/>
        <v>0</v>
      </c>
      <c r="K761" s="701">
        <f t="shared" ca="1" si="401"/>
        <v>0</v>
      </c>
      <c r="L761" s="701">
        <f t="shared" ca="1" si="401"/>
        <v>0</v>
      </c>
      <c r="M761" s="701"/>
      <c r="N761" s="701">
        <f t="shared" si="401"/>
        <v>0</v>
      </c>
      <c r="O761" s="701">
        <f t="shared" si="401"/>
        <v>0</v>
      </c>
      <c r="P761" s="702">
        <f>VLOOKUP($B761,dongia1,DG!$F$5,)</f>
        <v>25400</v>
      </c>
      <c r="Q761" s="703"/>
      <c r="R761" s="703"/>
      <c r="S761" s="702">
        <f t="shared" ref="S761:U762" si="405">$G761*P761</f>
        <v>50800</v>
      </c>
      <c r="T761" s="702">
        <f t="shared" si="405"/>
        <v>0</v>
      </c>
      <c r="U761" s="704">
        <f t="shared" si="405"/>
        <v>0</v>
      </c>
    </row>
    <row r="762" spans="1:21">
      <c r="B762" s="696" t="s">
        <v>1261</v>
      </c>
      <c r="C762" s="631"/>
      <c r="D762" s="698"/>
      <c r="E762" s="699" t="str">
        <f>VLOOKUP($B762,dongia1,DG!$C$5,)</f>
        <v>Boulon 16x250+ 2 long đền vuông D18-50x50x3/Zn</v>
      </c>
      <c r="F762" s="700" t="str">
        <f>VLOOKUP($B762,dongia1,DG!$D$5,)</f>
        <v>bộ</v>
      </c>
      <c r="G762" s="762"/>
      <c r="H762" s="701"/>
      <c r="I762" s="701">
        <f t="shared" ca="1" si="401"/>
        <v>0</v>
      </c>
      <c r="J762" s="701">
        <f t="shared" ca="1" si="401"/>
        <v>0</v>
      </c>
      <c r="K762" s="701">
        <f t="shared" ca="1" si="401"/>
        <v>0</v>
      </c>
      <c r="L762" s="701">
        <f t="shared" ca="1" si="401"/>
        <v>0</v>
      </c>
      <c r="M762" s="701"/>
      <c r="N762" s="701">
        <f t="shared" si="401"/>
        <v>0</v>
      </c>
      <c r="O762" s="701">
        <f t="shared" si="401"/>
        <v>0</v>
      </c>
      <c r="P762" s="702">
        <f>VLOOKUP($B762,dongia1,DG!$F$5,)</f>
        <v>13400</v>
      </c>
      <c r="Q762" s="703"/>
      <c r="R762" s="703"/>
      <c r="S762" s="702">
        <f t="shared" si="405"/>
        <v>0</v>
      </c>
      <c r="T762" s="702">
        <f t="shared" si="403"/>
        <v>0</v>
      </c>
      <c r="U762" s="704">
        <f t="shared" si="405"/>
        <v>0</v>
      </c>
    </row>
    <row r="763" spans="1:21">
      <c r="B763" s="696" t="s">
        <v>1044</v>
      </c>
      <c r="C763" s="631"/>
      <c r="D763" s="698"/>
      <c r="E763" s="699" t="str">
        <f>VLOOKUP($B763,dongia1,DG!$C$5,)</f>
        <v>Boulon 16x50+ 2 long đền vuông D18-50x50x3/Zn</v>
      </c>
      <c r="F763" s="700" t="str">
        <f>VLOOKUP($B763,dongia1,DG!$D$5,)</f>
        <v>bộ</v>
      </c>
      <c r="G763" s="762">
        <v>2</v>
      </c>
      <c r="H763" s="701"/>
      <c r="I763" s="701">
        <f t="shared" ca="1" si="401"/>
        <v>0</v>
      </c>
      <c r="J763" s="701">
        <f t="shared" ca="1" si="401"/>
        <v>0</v>
      </c>
      <c r="K763" s="701">
        <f t="shared" ca="1" si="401"/>
        <v>0</v>
      </c>
      <c r="L763" s="701">
        <f t="shared" ca="1" si="401"/>
        <v>0</v>
      </c>
      <c r="M763" s="701"/>
      <c r="N763" s="701">
        <f t="shared" si="401"/>
        <v>0</v>
      </c>
      <c r="O763" s="701">
        <f t="shared" si="401"/>
        <v>0</v>
      </c>
      <c r="P763" s="702">
        <f>VLOOKUP($B763,dongia1,DG!$F$5,)</f>
        <v>12400</v>
      </c>
      <c r="Q763" s="703"/>
      <c r="R763" s="703"/>
      <c r="S763" s="702">
        <f t="shared" si="402"/>
        <v>24800</v>
      </c>
      <c r="T763" s="702">
        <f t="shared" si="403"/>
        <v>0</v>
      </c>
      <c r="U763" s="704">
        <f t="shared" si="404"/>
        <v>0</v>
      </c>
    </row>
    <row r="764" spans="1:21">
      <c r="B764" s="1690" t="s">
        <v>813</v>
      </c>
      <c r="C764" s="631"/>
      <c r="D764" s="698"/>
      <c r="E764" s="699" t="str">
        <f>VLOOKUP($B764,dongia1,DG!$C$5,)</f>
        <v>Lắp xà đỡ 50kg</v>
      </c>
      <c r="F764" s="700" t="str">
        <f>VLOOKUP($B764,dongia1,DG!$D$5,)</f>
        <v>bộ</v>
      </c>
      <c r="G764" s="762">
        <v>1</v>
      </c>
      <c r="H764" s="701"/>
      <c r="I764" s="701">
        <f t="shared" ca="1" si="401"/>
        <v>0</v>
      </c>
      <c r="J764" s="701">
        <f t="shared" ca="1" si="401"/>
        <v>0</v>
      </c>
      <c r="K764" s="701">
        <f t="shared" ca="1" si="401"/>
        <v>0</v>
      </c>
      <c r="L764" s="701">
        <f t="shared" ca="1" si="401"/>
        <v>0</v>
      </c>
      <c r="M764" s="701"/>
      <c r="N764" s="701">
        <f t="shared" si="401"/>
        <v>0</v>
      </c>
      <c r="O764" s="701">
        <f t="shared" si="401"/>
        <v>0</v>
      </c>
      <c r="P764" s="703"/>
      <c r="Q764" s="182">
        <f>VLOOKUP($B764,dongia1,DG!$G$5,)</f>
        <v>296544.75</v>
      </c>
      <c r="R764" s="703"/>
      <c r="S764" s="702">
        <f>$G764*P764</f>
        <v>0</v>
      </c>
      <c r="T764" s="702">
        <f t="shared" si="403"/>
        <v>296544.75</v>
      </c>
      <c r="U764" s="704">
        <f>$G764*R764</f>
        <v>0</v>
      </c>
    </row>
    <row r="765" spans="1:21" s="552" customFormat="1" ht="15" customHeight="1">
      <c r="A765" s="621" t="s">
        <v>3745</v>
      </c>
      <c r="B765" s="622"/>
      <c r="C765" s="558" t="str">
        <f>IF(H765&lt;&gt;0,"x"," ")</f>
        <v xml:space="preserve"> </v>
      </c>
      <c r="D765" s="553"/>
      <c r="E765" s="727" t="s">
        <v>3585</v>
      </c>
      <c r="F765" s="600" t="s">
        <v>2113</v>
      </c>
      <c r="G765" s="205"/>
      <c r="H765" s="556"/>
      <c r="I765" s="556">
        <f ca="1">SUMIF(xa3pm,chitiet!$A765,slxa3pm)</f>
        <v>0</v>
      </c>
      <c r="J765" s="556">
        <f ca="1">SUMIF(xact,chitiet!$A765,slxact)</f>
        <v>0</v>
      </c>
      <c r="K765" s="556">
        <f ca="1">SUMIF(xa3p1m,chitiet!$A765,slxa3p1m)</f>
        <v>0</v>
      </c>
      <c r="L765" s="556">
        <f ca="1">SUMIF(xa1pm,chitiet!$A765,slxa1pm)</f>
        <v>0</v>
      </c>
      <c r="M765" s="556"/>
      <c r="N765" s="556"/>
      <c r="O765" s="556"/>
      <c r="P765" s="554"/>
      <c r="Q765" s="554"/>
      <c r="R765" s="554"/>
      <c r="S765" s="601">
        <f>SUM(S766:S768)</f>
        <v>795322.07499999995</v>
      </c>
      <c r="T765" s="601">
        <f>SUM(T766:T768)</f>
        <v>58984.652999999998</v>
      </c>
      <c r="U765" s="602">
        <f>SUM(U766:U768)</f>
        <v>0</v>
      </c>
    </row>
    <row r="766" spans="1:21" s="552" customFormat="1" ht="15" customHeight="1">
      <c r="A766" s="621"/>
      <c r="B766" s="622" t="s">
        <v>386</v>
      </c>
      <c r="C766" s="558" t="str">
        <f>C765</f>
        <v xml:space="preserve"> </v>
      </c>
      <c r="D766" s="553"/>
      <c r="E766" s="694" t="str">
        <f>VLOOKUP($B766,dongia1,DG!$C$5,)</f>
        <v>Sắt góc L75 x75 x8</v>
      </c>
      <c r="F766" s="555" t="str">
        <f>VLOOKUP($B766,dongia1,DG!$D$5,)</f>
        <v>kg</v>
      </c>
      <c r="G766" s="205">
        <f>9.02*(2.4+3*0.07)</f>
        <v>23.542199999999998</v>
      </c>
      <c r="H766" s="556"/>
      <c r="I766" s="556">
        <f t="shared" ref="I766:O768" ca="1" si="406">I$765*$G766</f>
        <v>0</v>
      </c>
      <c r="J766" s="556">
        <f t="shared" ca="1" si="406"/>
        <v>0</v>
      </c>
      <c r="K766" s="556">
        <f t="shared" ca="1" si="406"/>
        <v>0</v>
      </c>
      <c r="L766" s="556">
        <f t="shared" ca="1" si="406"/>
        <v>0</v>
      </c>
      <c r="M766" s="556"/>
      <c r="N766" s="556">
        <f t="shared" si="406"/>
        <v>0</v>
      </c>
      <c r="O766" s="556">
        <f t="shared" si="406"/>
        <v>0</v>
      </c>
      <c r="P766" s="182">
        <f>VLOOKUP($B766,dongia1,DG!$F$5,)</f>
        <v>31625</v>
      </c>
      <c r="Q766" s="554"/>
      <c r="R766" s="554"/>
      <c r="S766" s="113">
        <f t="shared" ref="S766:U768" si="407">$G766*P766</f>
        <v>744522.07499999995</v>
      </c>
      <c r="T766" s="113">
        <f t="shared" si="407"/>
        <v>0</v>
      </c>
      <c r="U766" s="557">
        <f t="shared" si="407"/>
        <v>0</v>
      </c>
    </row>
    <row r="767" spans="1:21" s="552" customFormat="1" ht="15" customHeight="1">
      <c r="A767" s="621"/>
      <c r="B767" s="622" t="s">
        <v>1262</v>
      </c>
      <c r="C767" s="558" t="str">
        <f>C766</f>
        <v xml:space="preserve"> </v>
      </c>
      <c r="D767" s="553"/>
      <c r="E767" s="694" t="str">
        <f>VLOOKUP($B767,dongia1,DG!$C$5,)</f>
        <v>Boulon 16x300+ 2 long đền vuông D18-50x50x3/Zn</v>
      </c>
      <c r="F767" s="555" t="str">
        <f>VLOOKUP($B767,dongia1,DG!$D$5,)</f>
        <v>bộ</v>
      </c>
      <c r="G767" s="205">
        <v>2</v>
      </c>
      <c r="H767" s="556"/>
      <c r="I767" s="556">
        <f t="shared" ca="1" si="406"/>
        <v>0</v>
      </c>
      <c r="J767" s="556">
        <f t="shared" ca="1" si="406"/>
        <v>0</v>
      </c>
      <c r="K767" s="556">
        <f t="shared" ca="1" si="406"/>
        <v>0</v>
      </c>
      <c r="L767" s="556">
        <f t="shared" ca="1" si="406"/>
        <v>0</v>
      </c>
      <c r="M767" s="556"/>
      <c r="N767" s="556">
        <f t="shared" si="406"/>
        <v>0</v>
      </c>
      <c r="O767" s="556">
        <f t="shared" si="406"/>
        <v>0</v>
      </c>
      <c r="P767" s="182">
        <f>VLOOKUP($B767,dongia1,DG!$F$5,)</f>
        <v>25400</v>
      </c>
      <c r="Q767" s="554"/>
      <c r="R767" s="554"/>
      <c r="S767" s="113">
        <f t="shared" si="407"/>
        <v>50800</v>
      </c>
      <c r="T767" s="113">
        <f t="shared" si="407"/>
        <v>0</v>
      </c>
      <c r="U767" s="557">
        <f t="shared" si="407"/>
        <v>0</v>
      </c>
    </row>
    <row r="768" spans="1:21" s="552" customFormat="1" ht="15" customHeight="1">
      <c r="A768" s="621"/>
      <c r="B768" s="16" t="s">
        <v>4874</v>
      </c>
      <c r="C768" s="558" t="str">
        <f>C767</f>
        <v xml:space="preserve"> </v>
      </c>
      <c r="D768" s="553"/>
      <c r="E768" s="694" t="str">
        <f>VLOOKUP($B768,dongia1,DG!$C$5,)</f>
        <v>Lắp xà đỡ 2,4m đơn cột PI (25,8982kg)</v>
      </c>
      <c r="F768" s="555" t="str">
        <f>VLOOKUP($B768,dongia1,DG!$D$5,)</f>
        <v>bộ</v>
      </c>
      <c r="G768" s="205">
        <v>1</v>
      </c>
      <c r="H768" s="556"/>
      <c r="I768" s="556">
        <f t="shared" ca="1" si="406"/>
        <v>0</v>
      </c>
      <c r="J768" s="556">
        <f t="shared" ca="1" si="406"/>
        <v>0</v>
      </c>
      <c r="K768" s="556">
        <f t="shared" ca="1" si="406"/>
        <v>0</v>
      </c>
      <c r="L768" s="556">
        <f t="shared" ca="1" si="406"/>
        <v>0</v>
      </c>
      <c r="M768" s="556"/>
      <c r="N768" s="556">
        <f t="shared" si="406"/>
        <v>0</v>
      </c>
      <c r="O768" s="556">
        <f t="shared" si="406"/>
        <v>0</v>
      </c>
      <c r="P768" s="182">
        <f>VLOOKUP($B768,dongia1,DG!$F$5,)</f>
        <v>0</v>
      </c>
      <c r="Q768" s="603" t="str">
        <f>TEXT(VLOOKUP($B768,dongia1,DG!$G$5,),"#,##0")&amp;" x"&amp;hslx</f>
        <v>39323,102 x1,5</v>
      </c>
      <c r="R768" s="554"/>
      <c r="S768" s="113">
        <f t="shared" si="407"/>
        <v>0</v>
      </c>
      <c r="T768" s="603">
        <f>VLOOKUP($B768,dongia1,DG!G$5,)*G768*hslx</f>
        <v>58984.652999999998</v>
      </c>
      <c r="U768" s="557">
        <f t="shared" si="407"/>
        <v>0</v>
      </c>
    </row>
    <row r="769" spans="1:21" s="552" customFormat="1" ht="15" customHeight="1">
      <c r="A769" s="621" t="s">
        <v>50</v>
      </c>
      <c r="B769" s="622"/>
      <c r="C769" s="558" t="str">
        <f>IF(H769&lt;&gt;0,"x"," ")</f>
        <v xml:space="preserve"> </v>
      </c>
      <c r="D769" s="553"/>
      <c r="E769" s="727" t="s">
        <v>3586</v>
      </c>
      <c r="F769" s="600" t="s">
        <v>2113</v>
      </c>
      <c r="G769" s="205"/>
      <c r="H769" s="556"/>
      <c r="I769" s="556">
        <f ca="1">SUMIF(xa3pm,chitiet!$A769,slxa3pm)</f>
        <v>0</v>
      </c>
      <c r="J769" s="556">
        <f ca="1">SUMIF(xact,chitiet!$A769,slxact)</f>
        <v>0</v>
      </c>
      <c r="K769" s="556">
        <f ca="1">SUMIF(xa3p1m,chitiet!$A769,slxa3p1m)</f>
        <v>0</v>
      </c>
      <c r="L769" s="556">
        <f ca="1">SUMIF(xa1pm,chitiet!$A769,slxa1pm)</f>
        <v>0</v>
      </c>
      <c r="M769" s="556"/>
      <c r="N769" s="556"/>
      <c r="O769" s="556"/>
      <c r="P769" s="554"/>
      <c r="Q769" s="554"/>
      <c r="R769" s="554"/>
      <c r="S769" s="601">
        <f>SUM(S770:S773)</f>
        <v>1718390.5</v>
      </c>
      <c r="T769" s="601">
        <f>SUM(T770:T773)</f>
        <v>133698.54679999998</v>
      </c>
      <c r="U769" s="602">
        <f>SUM(U770:U773)</f>
        <v>0</v>
      </c>
    </row>
    <row r="770" spans="1:21" s="552" customFormat="1" ht="15" customHeight="1">
      <c r="A770" s="621"/>
      <c r="B770" s="622" t="s">
        <v>386</v>
      </c>
      <c r="C770" s="558" t="str">
        <f>C769</f>
        <v xml:space="preserve"> </v>
      </c>
      <c r="D770" s="553"/>
      <c r="E770" s="694" t="str">
        <f>VLOOKUP($B770,dongia1,DG!$C$5,)</f>
        <v>Sắt góc L75 x75 x8</v>
      </c>
      <c r="F770" s="555" t="str">
        <f>VLOOKUP($B770,dongia1,DG!$D$5,)</f>
        <v>kg</v>
      </c>
      <c r="G770" s="205">
        <f>9.02*(2.4+3*0.1)*2</f>
        <v>48.707999999999998</v>
      </c>
      <c r="H770" s="556"/>
      <c r="I770" s="556">
        <f t="shared" ref="I770:O773" ca="1" si="408">I$769*$G770</f>
        <v>0</v>
      </c>
      <c r="J770" s="556">
        <f t="shared" ca="1" si="408"/>
        <v>0</v>
      </c>
      <c r="K770" s="556">
        <f t="shared" ca="1" si="408"/>
        <v>0</v>
      </c>
      <c r="L770" s="556">
        <f t="shared" ca="1" si="408"/>
        <v>0</v>
      </c>
      <c r="M770" s="556"/>
      <c r="N770" s="556">
        <f t="shared" si="408"/>
        <v>0</v>
      </c>
      <c r="O770" s="556">
        <f t="shared" si="408"/>
        <v>0</v>
      </c>
      <c r="P770" s="182">
        <f>VLOOKUP($B770,dongia1,DG!$F$5,)</f>
        <v>31625</v>
      </c>
      <c r="Q770" s="554"/>
      <c r="R770" s="554"/>
      <c r="S770" s="113">
        <f t="shared" ref="S770:U773" si="409">$G770*P770</f>
        <v>1540390.5</v>
      </c>
      <c r="T770" s="113">
        <f t="shared" si="409"/>
        <v>0</v>
      </c>
      <c r="U770" s="557">
        <f t="shared" si="409"/>
        <v>0</v>
      </c>
    </row>
    <row r="771" spans="1:21" s="552" customFormat="1" ht="15" customHeight="1">
      <c r="A771" s="621"/>
      <c r="B771" s="622" t="s">
        <v>1262</v>
      </c>
      <c r="C771" s="558" t="str">
        <f>C770</f>
        <v xml:space="preserve"> </v>
      </c>
      <c r="D771" s="553"/>
      <c r="E771" s="694" t="str">
        <f>VLOOKUP($B771,dongia1,DG!$C$5,)</f>
        <v>Boulon 16x300+ 2 long đền vuông D18-50x50x3/Zn</v>
      </c>
      <c r="F771" s="555" t="str">
        <f>VLOOKUP($B771,dongia1,DG!$D$5,)</f>
        <v>bộ</v>
      </c>
      <c r="G771" s="205">
        <v>2</v>
      </c>
      <c r="H771" s="556"/>
      <c r="I771" s="556">
        <f t="shared" ca="1" si="408"/>
        <v>0</v>
      </c>
      <c r="J771" s="556">
        <f t="shared" ca="1" si="408"/>
        <v>0</v>
      </c>
      <c r="K771" s="556">
        <f t="shared" ca="1" si="408"/>
        <v>0</v>
      </c>
      <c r="L771" s="556">
        <f t="shared" ca="1" si="408"/>
        <v>0</v>
      </c>
      <c r="M771" s="556"/>
      <c r="N771" s="556">
        <f t="shared" si="408"/>
        <v>0</v>
      </c>
      <c r="O771" s="556">
        <f t="shared" si="408"/>
        <v>0</v>
      </c>
      <c r="P771" s="182">
        <f>VLOOKUP($B771,dongia1,DG!$F$5,)</f>
        <v>25400</v>
      </c>
      <c r="Q771" s="554"/>
      <c r="R771" s="554"/>
      <c r="S771" s="113">
        <f t="shared" si="409"/>
        <v>50800</v>
      </c>
      <c r="T771" s="113">
        <f t="shared" si="409"/>
        <v>0</v>
      </c>
      <c r="U771" s="557">
        <f t="shared" si="409"/>
        <v>0</v>
      </c>
    </row>
    <row r="772" spans="1:21" s="552" customFormat="1" ht="15" customHeight="1">
      <c r="A772" s="621"/>
      <c r="B772" s="622" t="s">
        <v>1042</v>
      </c>
      <c r="C772" s="558" t="str">
        <f>C771</f>
        <v xml:space="preserve"> </v>
      </c>
      <c r="D772" s="553"/>
      <c r="E772" s="694" t="str">
        <f>VLOOKUP($B772,dongia1,DG!$C$5,)</f>
        <v>Boulon 16x300VRS+ 4 long đền vuông D18-50x50x3/Zn</v>
      </c>
      <c r="F772" s="555" t="str">
        <f>VLOOKUP($B772,dongia1,DG!$D$5,)</f>
        <v>bộ</v>
      </c>
      <c r="G772" s="205">
        <v>4</v>
      </c>
      <c r="H772" s="556"/>
      <c r="I772" s="556">
        <f t="shared" ca="1" si="408"/>
        <v>0</v>
      </c>
      <c r="J772" s="556">
        <f t="shared" ca="1" si="408"/>
        <v>0</v>
      </c>
      <c r="K772" s="556">
        <f t="shared" ca="1" si="408"/>
        <v>0</v>
      </c>
      <c r="L772" s="556">
        <f t="shared" ca="1" si="408"/>
        <v>0</v>
      </c>
      <c r="M772" s="556"/>
      <c r="N772" s="556">
        <f t="shared" si="408"/>
        <v>0</v>
      </c>
      <c r="O772" s="556">
        <f t="shared" si="408"/>
        <v>0</v>
      </c>
      <c r="P772" s="182">
        <f>VLOOKUP($B772,dongia1,DG!$F$5,)</f>
        <v>31800</v>
      </c>
      <c r="Q772" s="554"/>
      <c r="R772" s="554"/>
      <c r="S772" s="113">
        <f t="shared" si="409"/>
        <v>127200</v>
      </c>
      <c r="T772" s="113">
        <f t="shared" si="409"/>
        <v>0</v>
      </c>
      <c r="U772" s="557">
        <f t="shared" si="409"/>
        <v>0</v>
      </c>
    </row>
    <row r="773" spans="1:21" s="552" customFormat="1" ht="15" customHeight="1">
      <c r="A773" s="621"/>
      <c r="B773" s="16" t="s">
        <v>4877</v>
      </c>
      <c r="C773" s="558" t="str">
        <f>C771</f>
        <v xml:space="preserve"> </v>
      </c>
      <c r="D773" s="553"/>
      <c r="E773" s="694" t="str">
        <f>VLOOKUP($B773,dongia1,DG!$C$5,)</f>
        <v>Lắp xà néo 2,4m kép cột PI (50,2507kg)</v>
      </c>
      <c r="F773" s="555" t="str">
        <f>VLOOKUP($B773,dongia1,DG!$D$5,)</f>
        <v>bộ</v>
      </c>
      <c r="G773" s="205">
        <v>1</v>
      </c>
      <c r="H773" s="556"/>
      <c r="I773" s="556">
        <f t="shared" ca="1" si="408"/>
        <v>0</v>
      </c>
      <c r="J773" s="556">
        <f t="shared" ca="1" si="408"/>
        <v>0</v>
      </c>
      <c r="K773" s="556">
        <f t="shared" ca="1" si="408"/>
        <v>0</v>
      </c>
      <c r="L773" s="556">
        <f t="shared" ca="1" si="408"/>
        <v>0</v>
      </c>
      <c r="M773" s="556"/>
      <c r="N773" s="556">
        <f t="shared" si="408"/>
        <v>0</v>
      </c>
      <c r="O773" s="556">
        <f t="shared" si="408"/>
        <v>0</v>
      </c>
      <c r="P773" s="182">
        <f>VLOOKUP($B773,dongia1,DG!$F$5,)</f>
        <v>0</v>
      </c>
      <c r="Q773" s="603" t="str">
        <f>TEXT(VLOOKUP($B773,dongia1,DG!$G$5,),"#,##0")&amp;" x"&amp;hslxh</f>
        <v>78646,204 x1,7</v>
      </c>
      <c r="R773" s="554"/>
      <c r="S773" s="113">
        <f t="shared" si="409"/>
        <v>0</v>
      </c>
      <c r="T773" s="603">
        <f>VLOOKUP($B773,dongia1,DG!G$5,)*G773*hslxh</f>
        <v>133698.54679999998</v>
      </c>
      <c r="U773" s="557">
        <f t="shared" si="409"/>
        <v>0</v>
      </c>
    </row>
    <row r="774" spans="1:21" s="858" customFormat="1">
      <c r="A774" s="847" t="s">
        <v>2110</v>
      </c>
      <c r="B774" s="848"/>
      <c r="C774" s="849" t="s">
        <v>309</v>
      </c>
      <c r="D774" s="850">
        <v>3</v>
      </c>
      <c r="E774" s="851" t="s">
        <v>2112</v>
      </c>
      <c r="F774" s="852" t="s">
        <v>2113</v>
      </c>
      <c r="G774" s="1980">
        <f>pp3p1m!CK10</f>
        <v>1</v>
      </c>
      <c r="H774" s="854">
        <f ca="1">SUM(I774:N774)</f>
        <v>0</v>
      </c>
      <c r="I774" s="854">
        <f ca="1">SUMIF(xa3pm,chitiet!$A774,slxa3pm)</f>
        <v>0</v>
      </c>
      <c r="J774" s="854">
        <f ca="1">SUMIF(xact,chitiet!$A774,slxact)</f>
        <v>0</v>
      </c>
      <c r="K774" s="854">
        <f ca="1">SUMIF(xa3p1m,chitiet!$A774,slxa3p1m)</f>
        <v>0</v>
      </c>
      <c r="L774" s="854">
        <f ca="1">SUMIF(xa1pm,chitiet!$A774,slxa1pm)</f>
        <v>0</v>
      </c>
      <c r="M774" s="854"/>
      <c r="N774" s="939"/>
      <c r="O774" s="939"/>
      <c r="P774" s="940"/>
      <c r="Q774" s="940"/>
      <c r="R774" s="940"/>
      <c r="S774" s="941">
        <f>SUM(S775:S780)</f>
        <v>1331100</v>
      </c>
      <c r="T774" s="941">
        <f>SUM(T775:T780)</f>
        <v>131511.15</v>
      </c>
      <c r="U774" s="942">
        <f>SUM(U775:U780)</f>
        <v>0</v>
      </c>
    </row>
    <row r="775" spans="1:21">
      <c r="B775" s="696" t="s">
        <v>2115</v>
      </c>
      <c r="C775" s="631" t="s">
        <v>309</v>
      </c>
      <c r="D775" s="698"/>
      <c r="E775" s="699" t="str">
        <f>VLOOKUP($B775,dongia1,DG!$C$5,)</f>
        <v>Đà Composite 110x80x5x2400</v>
      </c>
      <c r="F775" s="700" t="str">
        <f>VLOOKUP($B775,dongia1,DG!$D$5,)</f>
        <v>cây</v>
      </c>
      <c r="G775" s="762">
        <v>1</v>
      </c>
      <c r="H775" s="701"/>
      <c r="I775" s="701">
        <f t="shared" ref="I775:O780" ca="1" si="410">I$774*$G775</f>
        <v>0</v>
      </c>
      <c r="J775" s="701">
        <f t="shared" ca="1" si="410"/>
        <v>0</v>
      </c>
      <c r="K775" s="701">
        <f t="shared" ca="1" si="410"/>
        <v>0</v>
      </c>
      <c r="L775" s="701">
        <f t="shared" ca="1" si="410"/>
        <v>0</v>
      </c>
      <c r="M775" s="701"/>
      <c r="N775" s="701">
        <f t="shared" si="410"/>
        <v>0</v>
      </c>
      <c r="O775" s="701">
        <f t="shared" si="410"/>
        <v>0</v>
      </c>
      <c r="P775" s="702">
        <f>VLOOKUP($B775,dongia1,DG!$F$5,)</f>
        <v>960000</v>
      </c>
      <c r="Q775" s="703"/>
      <c r="R775" s="703"/>
      <c r="S775" s="702">
        <f t="shared" ref="S775:U780" si="411">$G775*P775</f>
        <v>960000</v>
      </c>
      <c r="T775" s="702">
        <f t="shared" si="411"/>
        <v>0</v>
      </c>
      <c r="U775" s="704">
        <f t="shared" si="411"/>
        <v>0</v>
      </c>
    </row>
    <row r="776" spans="1:21">
      <c r="B776" s="696" t="s">
        <v>2106</v>
      </c>
      <c r="C776" s="631" t="s">
        <v>309</v>
      </c>
      <c r="D776" s="698"/>
      <c r="E776" s="699" t="str">
        <f>VLOOKUP($B776,dongia1,DG!$C$5,)</f>
        <v>Chống Composite 40x10x920</v>
      </c>
      <c r="F776" s="700" t="str">
        <f>VLOOKUP($B776,dongia1,DG!$D$5,)</f>
        <v>Thanh</v>
      </c>
      <c r="G776" s="762">
        <v>2</v>
      </c>
      <c r="H776" s="701"/>
      <c r="I776" s="701">
        <f t="shared" ca="1" si="410"/>
        <v>0</v>
      </c>
      <c r="J776" s="701">
        <f t="shared" ca="1" si="410"/>
        <v>0</v>
      </c>
      <c r="K776" s="701">
        <f t="shared" ca="1" si="410"/>
        <v>0</v>
      </c>
      <c r="L776" s="701">
        <f t="shared" ca="1" si="410"/>
        <v>0</v>
      </c>
      <c r="M776" s="701"/>
      <c r="N776" s="701">
        <f t="shared" si="410"/>
        <v>0</v>
      </c>
      <c r="O776" s="701">
        <f t="shared" si="410"/>
        <v>0</v>
      </c>
      <c r="P776" s="702">
        <f>VLOOKUP($B776,dongia1,DG!$F$5,)</f>
        <v>140000</v>
      </c>
      <c r="Q776" s="703"/>
      <c r="R776" s="703"/>
      <c r="S776" s="702">
        <f t="shared" si="411"/>
        <v>280000</v>
      </c>
      <c r="T776" s="702">
        <f t="shared" si="411"/>
        <v>0</v>
      </c>
      <c r="U776" s="704">
        <f t="shared" si="411"/>
        <v>0</v>
      </c>
    </row>
    <row r="777" spans="1:21">
      <c r="B777" s="696" t="s">
        <v>746</v>
      </c>
      <c r="C777" s="631" t="s">
        <v>309</v>
      </c>
      <c r="D777" s="698"/>
      <c r="E777" s="699" t="str">
        <f>VLOOKUP($B777,dongia1,DG!$C$5,)</f>
        <v>Boulon 16x150+ 2 long đền vuông D18-50x50x3/Zn</v>
      </c>
      <c r="F777" s="700" t="str">
        <f>VLOOKUP($B777,dongia1,DG!$D$5,)</f>
        <v>bộ</v>
      </c>
      <c r="G777" s="762">
        <v>2</v>
      </c>
      <c r="H777" s="701"/>
      <c r="I777" s="701">
        <f t="shared" ca="1" si="410"/>
        <v>0</v>
      </c>
      <c r="J777" s="701">
        <f t="shared" ca="1" si="410"/>
        <v>0</v>
      </c>
      <c r="K777" s="701">
        <f t="shared" ca="1" si="410"/>
        <v>0</v>
      </c>
      <c r="L777" s="701">
        <f t="shared" ca="1" si="410"/>
        <v>0</v>
      </c>
      <c r="M777" s="701"/>
      <c r="N777" s="701">
        <f t="shared" si="410"/>
        <v>0</v>
      </c>
      <c r="O777" s="701">
        <f t="shared" si="410"/>
        <v>0</v>
      </c>
      <c r="P777" s="702">
        <f>VLOOKUP($B777,dongia1,DG!$F$5,)</f>
        <v>18900</v>
      </c>
      <c r="Q777" s="703"/>
      <c r="R777" s="703"/>
      <c r="S777" s="702">
        <f t="shared" si="411"/>
        <v>37800</v>
      </c>
      <c r="T777" s="702">
        <f t="shared" si="411"/>
        <v>0</v>
      </c>
      <c r="U777" s="704">
        <f t="shared" si="411"/>
        <v>0</v>
      </c>
    </row>
    <row r="778" spans="1:21">
      <c r="B778" s="696" t="s">
        <v>1262</v>
      </c>
      <c r="C778" s="631" t="s">
        <v>309</v>
      </c>
      <c r="D778" s="698"/>
      <c r="E778" s="699" t="str">
        <f>VLOOKUP($B778,dongia1,DG!$C$5,)</f>
        <v>Boulon 16x300+ 2 long đền vuông D18-50x50x3/Zn</v>
      </c>
      <c r="F778" s="700" t="str">
        <f>VLOOKUP($B778,dongia1,DG!$D$5,)</f>
        <v>bộ</v>
      </c>
      <c r="G778" s="762">
        <v>1</v>
      </c>
      <c r="H778" s="701"/>
      <c r="I778" s="701">
        <f t="shared" ca="1" si="410"/>
        <v>0</v>
      </c>
      <c r="J778" s="701">
        <f t="shared" ca="1" si="410"/>
        <v>0</v>
      </c>
      <c r="K778" s="701">
        <f t="shared" ca="1" si="410"/>
        <v>0</v>
      </c>
      <c r="L778" s="701">
        <f t="shared" ca="1" si="410"/>
        <v>0</v>
      </c>
      <c r="M778" s="701"/>
      <c r="N778" s="701">
        <f t="shared" si="410"/>
        <v>0</v>
      </c>
      <c r="O778" s="701">
        <f t="shared" si="410"/>
        <v>0</v>
      </c>
      <c r="P778" s="702">
        <f>VLOOKUP($B778,dongia1,DG!$F$5,)</f>
        <v>25400</v>
      </c>
      <c r="Q778" s="703"/>
      <c r="R778" s="703"/>
      <c r="S778" s="702">
        <f>$G778*P778</f>
        <v>25400</v>
      </c>
      <c r="T778" s="702">
        <f>$G778*Q778</f>
        <v>0</v>
      </c>
      <c r="U778" s="704">
        <f>$G778*R778</f>
        <v>0</v>
      </c>
    </row>
    <row r="779" spans="1:21">
      <c r="B779" s="696" t="s">
        <v>733</v>
      </c>
      <c r="C779" s="631" t="s">
        <v>309</v>
      </c>
      <c r="D779" s="698"/>
      <c r="E779" s="699" t="str">
        <f>VLOOKUP($B779,dongia1,DG!$C$5,)</f>
        <v>Boulon 16x350+ 2 long đền vuông D18-50x50x3/Zn</v>
      </c>
      <c r="F779" s="700" t="str">
        <f>VLOOKUP($B779,dongia1,DG!$D$5,)</f>
        <v>bộ</v>
      </c>
      <c r="G779" s="762">
        <v>1</v>
      </c>
      <c r="H779" s="701"/>
      <c r="I779" s="701">
        <f t="shared" ca="1" si="410"/>
        <v>0</v>
      </c>
      <c r="J779" s="701">
        <f t="shared" ca="1" si="410"/>
        <v>0</v>
      </c>
      <c r="K779" s="701">
        <f t="shared" ca="1" si="410"/>
        <v>0</v>
      </c>
      <c r="L779" s="701">
        <f t="shared" ca="1" si="410"/>
        <v>0</v>
      </c>
      <c r="M779" s="701"/>
      <c r="N779" s="701">
        <f t="shared" si="410"/>
        <v>0</v>
      </c>
      <c r="O779" s="701">
        <f t="shared" si="410"/>
        <v>0</v>
      </c>
      <c r="P779" s="702">
        <f>VLOOKUP($B779,dongia1,DG!$F$5,)</f>
        <v>27900</v>
      </c>
      <c r="Q779" s="703"/>
      <c r="R779" s="703"/>
      <c r="S779" s="702">
        <f t="shared" si="411"/>
        <v>27900</v>
      </c>
      <c r="T779" s="702">
        <f t="shared" si="411"/>
        <v>0</v>
      </c>
      <c r="U779" s="704">
        <f t="shared" si="411"/>
        <v>0</v>
      </c>
    </row>
    <row r="780" spans="1:21">
      <c r="B780" s="1690" t="s">
        <v>372</v>
      </c>
      <c r="C780" s="631" t="s">
        <v>309</v>
      </c>
      <c r="D780" s="698"/>
      <c r="E780" s="699" t="str">
        <f>VLOOKUP($B780,dongia1,DG!$C$5,)</f>
        <v>Lắp xà đỡ 15kg</v>
      </c>
      <c r="F780" s="700" t="str">
        <f>VLOOKUP($B780,dongia1,DG!$D$5,)</f>
        <v>bộ</v>
      </c>
      <c r="G780" s="762">
        <v>1</v>
      </c>
      <c r="H780" s="701"/>
      <c r="I780" s="701">
        <f t="shared" ca="1" si="410"/>
        <v>0</v>
      </c>
      <c r="J780" s="701">
        <f t="shared" ca="1" si="410"/>
        <v>0</v>
      </c>
      <c r="K780" s="701">
        <f t="shared" ca="1" si="410"/>
        <v>0</v>
      </c>
      <c r="L780" s="701">
        <f t="shared" ca="1" si="410"/>
        <v>0</v>
      </c>
      <c r="M780" s="701"/>
      <c r="N780" s="701">
        <f t="shared" si="410"/>
        <v>0</v>
      </c>
      <c r="O780" s="701">
        <f t="shared" si="410"/>
        <v>0</v>
      </c>
      <c r="P780" s="703"/>
      <c r="Q780" s="603">
        <f>VLOOKUP($B780,dongia1,DG!$G$5,)</f>
        <v>131511.15</v>
      </c>
      <c r="R780" s="703"/>
      <c r="S780" s="702">
        <f t="shared" si="411"/>
        <v>0</v>
      </c>
      <c r="T780" s="702">
        <f t="shared" si="411"/>
        <v>131511.15</v>
      </c>
      <c r="U780" s="930">
        <f>$G780*R780</f>
        <v>0</v>
      </c>
    </row>
    <row r="781" spans="1:21" s="552" customFormat="1" ht="15" customHeight="1">
      <c r="A781" s="621" t="s">
        <v>3746</v>
      </c>
      <c r="B781" s="622"/>
      <c r="C781" s="558" t="str">
        <f>IF(H781&lt;&gt;0,"x"," ")</f>
        <v xml:space="preserve"> </v>
      </c>
      <c r="D781" s="553"/>
      <c r="E781" s="727" t="s">
        <v>3587</v>
      </c>
      <c r="F781" s="600" t="s">
        <v>2113</v>
      </c>
      <c r="G781" s="205"/>
      <c r="H781" s="556"/>
      <c r="I781" s="556">
        <f ca="1">SUMIF(xa3pm,chitiet!$A781,slxa3pm)</f>
        <v>0</v>
      </c>
      <c r="J781" s="556">
        <f ca="1">SUMIF(xact,chitiet!$A781,slxact)</f>
        <v>0</v>
      </c>
      <c r="K781" s="556">
        <f ca="1">SUMIF(xa3p1m,chitiet!$A781,slxa3p1m)</f>
        <v>0</v>
      </c>
      <c r="L781" s="556">
        <f ca="1">SUMIF(xa1pm,chitiet!$A781,slxa1pm)</f>
        <v>0</v>
      </c>
      <c r="M781" s="556"/>
      <c r="N781" s="556"/>
      <c r="O781" s="556"/>
      <c r="P781" s="554"/>
      <c r="Q781" s="554"/>
      <c r="R781" s="554"/>
      <c r="S781" s="601">
        <f>SUM(S782:S784)</f>
        <v>309921.3</v>
      </c>
      <c r="T781" s="601">
        <f>SUM(T782:T784)</f>
        <v>807433.7</v>
      </c>
      <c r="U781" s="714">
        <f>SUM(U782:U784)</f>
        <v>0</v>
      </c>
    </row>
    <row r="782" spans="1:21" s="552" customFormat="1" ht="15" customHeight="1">
      <c r="A782" s="621"/>
      <c r="B782" s="622" t="s">
        <v>386</v>
      </c>
      <c r="C782" s="558" t="str">
        <f>C781</f>
        <v xml:space="preserve"> </v>
      </c>
      <c r="D782" s="553"/>
      <c r="E782" s="694" t="str">
        <f>VLOOKUP($B782,dongia1,DG!$C$5,)</f>
        <v>Sắt góc L75 x75 x8</v>
      </c>
      <c r="F782" s="555" t="str">
        <f>VLOOKUP($B782,dongia1,DG!$D$5,)</f>
        <v>kg</v>
      </c>
      <c r="G782" s="205">
        <f>9.02*(2.6+3*0.07)</f>
        <v>25.3462</v>
      </c>
      <c r="H782" s="556"/>
      <c r="I782" s="556">
        <f t="shared" ref="I782:O784" ca="1" si="412">+I$781*$G782</f>
        <v>0</v>
      </c>
      <c r="J782" s="556">
        <f t="shared" ca="1" si="412"/>
        <v>0</v>
      </c>
      <c r="K782" s="556">
        <f t="shared" ca="1" si="412"/>
        <v>0</v>
      </c>
      <c r="L782" s="556">
        <f t="shared" ca="1" si="412"/>
        <v>0</v>
      </c>
      <c r="M782" s="556"/>
      <c r="N782" s="556">
        <f t="shared" si="412"/>
        <v>0</v>
      </c>
      <c r="O782" s="556">
        <f t="shared" si="412"/>
        <v>0</v>
      </c>
      <c r="P782" s="182">
        <v>11500</v>
      </c>
      <c r="Q782" s="554"/>
      <c r="R782" s="554"/>
      <c r="S782" s="113">
        <f t="shared" ref="S782:U784" si="413">$G782*P782</f>
        <v>291481.3</v>
      </c>
      <c r="T782" s="113">
        <f t="shared" si="413"/>
        <v>0</v>
      </c>
      <c r="U782" s="557">
        <f t="shared" si="413"/>
        <v>0</v>
      </c>
    </row>
    <row r="783" spans="1:21" s="552" customFormat="1" ht="15" customHeight="1">
      <c r="A783" s="621"/>
      <c r="B783" s="622" t="s">
        <v>1261</v>
      </c>
      <c r="C783" s="558" t="str">
        <f>C782</f>
        <v xml:space="preserve"> </v>
      </c>
      <c r="D783" s="553"/>
      <c r="E783" s="694" t="str">
        <f>VLOOKUP($B783,dongia1,DG!$C$5,)</f>
        <v>Boulon 16x250+ 2 long đền vuông D18-50x50x3/Zn</v>
      </c>
      <c r="F783" s="555" t="str">
        <f>VLOOKUP($B783,dongia1,DG!$D$5,)</f>
        <v>bộ</v>
      </c>
      <c r="G783" s="205">
        <v>2</v>
      </c>
      <c r="H783" s="556"/>
      <c r="I783" s="556">
        <f t="shared" ca="1" si="412"/>
        <v>0</v>
      </c>
      <c r="J783" s="556">
        <f t="shared" ca="1" si="412"/>
        <v>0</v>
      </c>
      <c r="K783" s="556">
        <f t="shared" ca="1" si="412"/>
        <v>0</v>
      </c>
      <c r="L783" s="556">
        <f t="shared" ca="1" si="412"/>
        <v>0</v>
      </c>
      <c r="M783" s="556"/>
      <c r="N783" s="556">
        <f t="shared" si="412"/>
        <v>0</v>
      </c>
      <c r="O783" s="556">
        <f t="shared" si="412"/>
        <v>0</v>
      </c>
      <c r="P783" s="182">
        <v>9220</v>
      </c>
      <c r="Q783" s="554"/>
      <c r="R783" s="554"/>
      <c r="S783" s="113">
        <f t="shared" si="413"/>
        <v>18440</v>
      </c>
      <c r="T783" s="113">
        <f t="shared" si="413"/>
        <v>0</v>
      </c>
      <c r="U783" s="557">
        <f t="shared" si="413"/>
        <v>0</v>
      </c>
    </row>
    <row r="784" spans="1:21" s="552" customFormat="1" ht="15" customHeight="1">
      <c r="A784" s="621"/>
      <c r="B784" s="622" t="s">
        <v>728</v>
      </c>
      <c r="C784" s="558" t="str">
        <f>C783</f>
        <v xml:space="preserve"> </v>
      </c>
      <c r="D784" s="553"/>
      <c r="E784" s="694" t="str">
        <f>VLOOKUP($B784,dongia1,DG!$C$5,)</f>
        <v>Lắp xà cột Pi loại ≤140kg/xà</v>
      </c>
      <c r="F784" s="555" t="str">
        <f>VLOOKUP($B784,dongia1,DG!$D$5,)</f>
        <v>bộ</v>
      </c>
      <c r="G784" s="205">
        <v>1</v>
      </c>
      <c r="H784" s="556"/>
      <c r="I784" s="556">
        <f t="shared" ca="1" si="412"/>
        <v>0</v>
      </c>
      <c r="J784" s="556">
        <f t="shared" ca="1" si="412"/>
        <v>0</v>
      </c>
      <c r="K784" s="556">
        <f t="shared" ca="1" si="412"/>
        <v>0</v>
      </c>
      <c r="L784" s="556">
        <f t="shared" ca="1" si="412"/>
        <v>0</v>
      </c>
      <c r="M784" s="556"/>
      <c r="N784" s="556">
        <f t="shared" si="412"/>
        <v>0</v>
      </c>
      <c r="O784" s="556">
        <f t="shared" si="412"/>
        <v>0</v>
      </c>
      <c r="P784" s="182">
        <v>0</v>
      </c>
      <c r="Q784" s="603" t="str">
        <f>TEXT(VLOOKUP($B784,dongia1,DG!$G$5,),"#,##0")&amp;" x"&amp;hslxh</f>
        <v>474961,0 x1,7</v>
      </c>
      <c r="R784" s="554"/>
      <c r="S784" s="113">
        <f t="shared" si="413"/>
        <v>0</v>
      </c>
      <c r="T784" s="603">
        <f>VLOOKUP($B784,dongia1,DG!G$5,)*G784*hslxh</f>
        <v>807433.7</v>
      </c>
      <c r="U784" s="557">
        <f>$G784*R784</f>
        <v>0</v>
      </c>
    </row>
    <row r="785" spans="1:21" s="610" customFormat="1" ht="14.25" customHeight="1">
      <c r="A785" s="635" t="s">
        <v>2050</v>
      </c>
      <c r="B785" s="636"/>
      <c r="C785" s="637" t="str">
        <f>IF(H785&lt;&gt;0,"x"," ")</f>
        <v xml:space="preserve"> </v>
      </c>
      <c r="D785" s="599"/>
      <c r="E785" s="727" t="s">
        <v>3588</v>
      </c>
      <c r="F785" s="600" t="s">
        <v>2113</v>
      </c>
      <c r="G785" s="604"/>
      <c r="H785" s="605"/>
      <c r="I785" s="605">
        <f ca="1">SUMIF(xa3pm,chitiet!$A785,slxa3pm)</f>
        <v>0</v>
      </c>
      <c r="J785" s="605">
        <f ca="1">SUMIF(xact,chitiet!$A785,slxact)</f>
        <v>0</v>
      </c>
      <c r="K785" s="605">
        <f ca="1">SUMIF(xa3p1m,chitiet!$A785,slxa3p1m)</f>
        <v>0</v>
      </c>
      <c r="L785" s="605">
        <f ca="1">SUMIF(xa1pm,chitiet!$A785,slxa1pm)</f>
        <v>0</v>
      </c>
      <c r="M785" s="605"/>
      <c r="N785" s="605"/>
      <c r="O785" s="605"/>
      <c r="P785" s="606"/>
      <c r="Q785" s="606"/>
      <c r="R785" s="606"/>
      <c r="S785" s="601">
        <f>SUM(S786:S789)</f>
        <v>23911828</v>
      </c>
      <c r="T785" s="601">
        <f>SUM(T786:T789)</f>
        <v>579659.19999999995</v>
      </c>
      <c r="U785" s="602">
        <f>SUM(U786:U789)</f>
        <v>0</v>
      </c>
    </row>
    <row r="786" spans="1:21" s="552" customFormat="1" ht="15" customHeight="1">
      <c r="A786" s="621"/>
      <c r="B786" s="622" t="s">
        <v>4942</v>
      </c>
      <c r="C786" s="558" t="str">
        <f>C785</f>
        <v xml:space="preserve"> </v>
      </c>
      <c r="D786" s="553"/>
      <c r="E786" s="694" t="str">
        <f>VLOOKUP($B786,dongia1,DG!$C$5,)</f>
        <v>Sắt góc L75 x75 x8x2600 (3 ốp)</v>
      </c>
      <c r="F786" s="555" t="s">
        <v>1557</v>
      </c>
      <c r="G786" s="205">
        <f>9.02*(2.6+3*0.07)*2</f>
        <v>50.692399999999999</v>
      </c>
      <c r="H786" s="556"/>
      <c r="I786" s="556">
        <f t="shared" ref="I786:O789" ca="1" si="414">+I$785*$G786</f>
        <v>0</v>
      </c>
      <c r="J786" s="556">
        <f t="shared" ca="1" si="414"/>
        <v>0</v>
      </c>
      <c r="K786" s="556">
        <f t="shared" ca="1" si="414"/>
        <v>0</v>
      </c>
      <c r="L786" s="556">
        <f t="shared" ca="1" si="414"/>
        <v>0</v>
      </c>
      <c r="M786" s="556"/>
      <c r="N786" s="556">
        <f t="shared" si="414"/>
        <v>0</v>
      </c>
      <c r="O786" s="556">
        <f t="shared" si="414"/>
        <v>0</v>
      </c>
      <c r="P786" s="182">
        <f>VLOOKUP($B786,dongia1,DG!$F$5,)</f>
        <v>470000</v>
      </c>
      <c r="Q786" s="554"/>
      <c r="R786" s="554"/>
      <c r="S786" s="113">
        <f t="shared" ref="S786:U789" si="415">$G786*P786</f>
        <v>23825428</v>
      </c>
      <c r="T786" s="113">
        <f t="shared" si="415"/>
        <v>0</v>
      </c>
      <c r="U786" s="557">
        <f t="shared" si="415"/>
        <v>0</v>
      </c>
    </row>
    <row r="787" spans="1:21" s="552" customFormat="1" ht="15" customHeight="1">
      <c r="A787" s="621"/>
      <c r="B787" s="622" t="s">
        <v>1261</v>
      </c>
      <c r="C787" s="558" t="str">
        <f>C786</f>
        <v xml:space="preserve"> </v>
      </c>
      <c r="D787" s="553"/>
      <c r="E787" s="694" t="str">
        <f>VLOOKUP($B787,dongia1,DG!$C$5,)</f>
        <v>Boulon 16x250+ 2 long đền vuông D18-50x50x3/Zn</v>
      </c>
      <c r="F787" s="555" t="str">
        <f>VLOOKUP($B787,dongia1,DG!$D$5,)</f>
        <v>bộ</v>
      </c>
      <c r="G787" s="205">
        <v>2</v>
      </c>
      <c r="H787" s="556"/>
      <c r="I787" s="556">
        <f t="shared" ca="1" si="414"/>
        <v>0</v>
      </c>
      <c r="J787" s="556">
        <f t="shared" ca="1" si="414"/>
        <v>0</v>
      </c>
      <c r="K787" s="556">
        <f t="shared" ca="1" si="414"/>
        <v>0</v>
      </c>
      <c r="L787" s="556">
        <f t="shared" ca="1" si="414"/>
        <v>0</v>
      </c>
      <c r="M787" s="556"/>
      <c r="N787" s="556">
        <f t="shared" si="414"/>
        <v>0</v>
      </c>
      <c r="O787" s="556">
        <f t="shared" si="414"/>
        <v>0</v>
      </c>
      <c r="P787" s="182">
        <f>VLOOKUP($B787,dongia1,DG!$F$5,)</f>
        <v>13400</v>
      </c>
      <c r="Q787" s="554"/>
      <c r="R787" s="554"/>
      <c r="S787" s="113">
        <f t="shared" si="415"/>
        <v>26800</v>
      </c>
      <c r="T787" s="113">
        <f t="shared" si="415"/>
        <v>0</v>
      </c>
      <c r="U787" s="557">
        <f t="shared" si="415"/>
        <v>0</v>
      </c>
    </row>
    <row r="788" spans="1:21" s="552" customFormat="1" ht="15" customHeight="1">
      <c r="A788" s="621"/>
      <c r="B788" s="622" t="s">
        <v>1775</v>
      </c>
      <c r="C788" s="558" t="str">
        <f>C787</f>
        <v xml:space="preserve"> </v>
      </c>
      <c r="D788" s="553"/>
      <c r="E788" s="694" t="str">
        <f>VLOOKUP($B788,dongia1,DG!$C$5,)</f>
        <v>Boulon 16x250VRS+ 4 long đền vuông D18-50x50x3/Zn</v>
      </c>
      <c r="F788" s="555" t="str">
        <f>VLOOKUP($B788,dongia1,DG!$D$5,)</f>
        <v>bộ</v>
      </c>
      <c r="G788" s="205">
        <v>2</v>
      </c>
      <c r="H788" s="556"/>
      <c r="I788" s="556">
        <f t="shared" ca="1" si="414"/>
        <v>0</v>
      </c>
      <c r="J788" s="556">
        <f t="shared" ca="1" si="414"/>
        <v>0</v>
      </c>
      <c r="K788" s="556">
        <f t="shared" ca="1" si="414"/>
        <v>0</v>
      </c>
      <c r="L788" s="556">
        <f t="shared" ca="1" si="414"/>
        <v>0</v>
      </c>
      <c r="M788" s="556"/>
      <c r="N788" s="556">
        <f t="shared" si="414"/>
        <v>0</v>
      </c>
      <c r="O788" s="556">
        <f t="shared" si="414"/>
        <v>0</v>
      </c>
      <c r="P788" s="182">
        <f>VLOOKUP($B788,dongia1,DG!$F$5,)</f>
        <v>29800</v>
      </c>
      <c r="Q788" s="554"/>
      <c r="R788" s="554"/>
      <c r="S788" s="113">
        <f t="shared" si="415"/>
        <v>59600</v>
      </c>
      <c r="T788" s="113">
        <f t="shared" si="415"/>
        <v>0</v>
      </c>
      <c r="U788" s="557">
        <f t="shared" si="415"/>
        <v>0</v>
      </c>
    </row>
    <row r="789" spans="1:21" s="552" customFormat="1" ht="15" customHeight="1">
      <c r="A789" s="621"/>
      <c r="B789" s="622" t="s">
        <v>4540</v>
      </c>
      <c r="C789" s="558" t="str">
        <f>C787</f>
        <v xml:space="preserve"> </v>
      </c>
      <c r="D789" s="553"/>
      <c r="E789" s="694" t="str">
        <f>VLOOKUP($B789,dongia1,DG!$C$5,)</f>
        <v>Lắp xà pi 2,6m kép (52,512kg)</v>
      </c>
      <c r="F789" s="555" t="str">
        <f>VLOOKUP($B789,dongia1,DG!$D$5,)</f>
        <v>bộ</v>
      </c>
      <c r="G789" s="205">
        <v>1</v>
      </c>
      <c r="H789" s="556"/>
      <c r="I789" s="556">
        <f t="shared" ca="1" si="414"/>
        <v>0</v>
      </c>
      <c r="J789" s="556">
        <f t="shared" ca="1" si="414"/>
        <v>0</v>
      </c>
      <c r="K789" s="556">
        <f t="shared" ca="1" si="414"/>
        <v>0</v>
      </c>
      <c r="L789" s="556">
        <f t="shared" ca="1" si="414"/>
        <v>0</v>
      </c>
      <c r="M789" s="556"/>
      <c r="N789" s="556">
        <f t="shared" si="414"/>
        <v>0</v>
      </c>
      <c r="O789" s="556">
        <f t="shared" si="414"/>
        <v>0</v>
      </c>
      <c r="P789" s="182">
        <v>0</v>
      </c>
      <c r="Q789" s="603" t="str">
        <f>TEXT(VLOOKUP($B789,dongia1,DG!$G$5,),"#,##0")&amp;" x"&amp;hslxh</f>
        <v>340976,0 x1,7</v>
      </c>
      <c r="R789" s="554"/>
      <c r="S789" s="113">
        <f t="shared" si="415"/>
        <v>0</v>
      </c>
      <c r="T789" s="603">
        <f>VLOOKUP($B789,dongia1,DG!G$5,)*G789*hslxh</f>
        <v>579659.19999999995</v>
      </c>
      <c r="U789" s="557">
        <f>$G789*R789</f>
        <v>0</v>
      </c>
    </row>
    <row r="790" spans="1:21" s="552" customFormat="1" ht="15" customHeight="1">
      <c r="A790" s="621" t="s">
        <v>1274</v>
      </c>
      <c r="B790" s="622"/>
      <c r="C790" s="558" t="str">
        <f>IF(H790&lt;&gt;0,"x"," ")</f>
        <v xml:space="preserve"> </v>
      </c>
      <c r="D790" s="553"/>
      <c r="E790" s="727" t="s">
        <v>3589</v>
      </c>
      <c r="F790" s="600" t="s">
        <v>2113</v>
      </c>
      <c r="G790" s="205"/>
      <c r="H790" s="556"/>
      <c r="I790" s="556">
        <f ca="1">SUMIF(xa3pm,chitiet!$A790,slxa3pm)</f>
        <v>0</v>
      </c>
      <c r="J790" s="556">
        <f ca="1">SUMIF(xact,chitiet!$A790,slxact)</f>
        <v>0</v>
      </c>
      <c r="K790" s="556">
        <f ca="1">SUMIF(xa3p1m,chitiet!$A790,slxa3p1m)</f>
        <v>0</v>
      </c>
      <c r="L790" s="556">
        <f ca="1">SUMIF(xa1pm,chitiet!$A790,slxa1pm)</f>
        <v>0</v>
      </c>
      <c r="M790" s="556"/>
      <c r="N790" s="556"/>
      <c r="O790" s="556"/>
      <c r="P790" s="554"/>
      <c r="Q790" s="554"/>
      <c r="R790" s="554"/>
      <c r="S790" s="601">
        <f>SUM(S791:S796)</f>
        <v>2606924.0999999996</v>
      </c>
      <c r="T790" s="601">
        <f>SUM(T791:T796)</f>
        <v>712441.5</v>
      </c>
      <c r="U790" s="602">
        <f>SUM(U791:U796)</f>
        <v>0</v>
      </c>
    </row>
    <row r="791" spans="1:21" s="552" customFormat="1" ht="15" customHeight="1">
      <c r="A791" s="621"/>
      <c r="B791" s="622" t="s">
        <v>386</v>
      </c>
      <c r="C791" s="558" t="str">
        <f>C790</f>
        <v xml:space="preserve"> </v>
      </c>
      <c r="D791" s="553"/>
      <c r="E791" s="694" t="str">
        <f>VLOOKUP($B791,dongia1,DG!$C$5,)</f>
        <v>Sắt góc L75 x75 x8</v>
      </c>
      <c r="F791" s="555" t="str">
        <f>VLOOKUP($B791,dongia1,DG!$D$5,)</f>
        <v>kg</v>
      </c>
      <c r="G791" s="205">
        <f>9.02*(2.8+3*0.1)*2</f>
        <v>55.923999999999992</v>
      </c>
      <c r="H791" s="556"/>
      <c r="I791" s="556">
        <f t="shared" ref="I791:O796" ca="1" si="416">I$790*$G791</f>
        <v>0</v>
      </c>
      <c r="J791" s="556">
        <f t="shared" ca="1" si="416"/>
        <v>0</v>
      </c>
      <c r="K791" s="556">
        <f t="shared" ca="1" si="416"/>
        <v>0</v>
      </c>
      <c r="L791" s="556">
        <f t="shared" ca="1" si="416"/>
        <v>0</v>
      </c>
      <c r="M791" s="556"/>
      <c r="N791" s="556">
        <f t="shared" si="416"/>
        <v>0</v>
      </c>
      <c r="O791" s="556">
        <f t="shared" si="416"/>
        <v>0</v>
      </c>
      <c r="P791" s="182">
        <f>VLOOKUP($B791,dongia1,DG!$F$5,)</f>
        <v>31625</v>
      </c>
      <c r="Q791" s="554"/>
      <c r="R791" s="554"/>
      <c r="S791" s="113">
        <f t="shared" ref="S791:S796" si="417">$G791*P791</f>
        <v>1768596.4999999998</v>
      </c>
      <c r="T791" s="113">
        <f>$G791*Q791</f>
        <v>0</v>
      </c>
      <c r="U791" s="557">
        <f t="shared" ref="U791:U796" si="418">$G791*R791</f>
        <v>0</v>
      </c>
    </row>
    <row r="792" spans="1:21" s="552" customFormat="1" ht="15" customHeight="1">
      <c r="A792" s="621"/>
      <c r="B792" s="622" t="s">
        <v>2</v>
      </c>
      <c r="C792" s="558" t="str">
        <f>C791</f>
        <v xml:space="preserve"> </v>
      </c>
      <c r="D792" s="553"/>
      <c r="E792" s="694" t="str">
        <f>VLOOKUP($B792,dongia1,DG!$C$5,)</f>
        <v>Sắt góc L50 x50 x5</v>
      </c>
      <c r="F792" s="555" t="str">
        <f>VLOOKUP($B792,dongia1,DG!$D$5,)</f>
        <v>kg</v>
      </c>
      <c r="G792" s="205">
        <f>0.92*3.77*4</f>
        <v>13.873600000000001</v>
      </c>
      <c r="H792" s="556"/>
      <c r="I792" s="556">
        <f t="shared" ca="1" si="416"/>
        <v>0</v>
      </c>
      <c r="J792" s="556">
        <f t="shared" ca="1" si="416"/>
        <v>0</v>
      </c>
      <c r="K792" s="556">
        <f t="shared" ca="1" si="416"/>
        <v>0</v>
      </c>
      <c r="L792" s="556">
        <f t="shared" ca="1" si="416"/>
        <v>0</v>
      </c>
      <c r="M792" s="556"/>
      <c r="N792" s="556">
        <f t="shared" si="416"/>
        <v>0</v>
      </c>
      <c r="O792" s="556">
        <f t="shared" si="416"/>
        <v>0</v>
      </c>
      <c r="P792" s="182">
        <f>VLOOKUP($B792,dongia1,DG!$F$5,)</f>
        <v>31625</v>
      </c>
      <c r="Q792" s="554"/>
      <c r="R792" s="554"/>
      <c r="S792" s="113">
        <f t="shared" si="417"/>
        <v>438752.60000000003</v>
      </c>
      <c r="T792" s="113">
        <f>$G792*Q792</f>
        <v>0</v>
      </c>
      <c r="U792" s="557">
        <f t="shared" si="418"/>
        <v>0</v>
      </c>
    </row>
    <row r="793" spans="1:21" s="552" customFormat="1" ht="15" customHeight="1">
      <c r="A793" s="621"/>
      <c r="B793" s="622" t="s">
        <v>2</v>
      </c>
      <c r="C793" s="558" t="str">
        <f>C792</f>
        <v xml:space="preserve"> </v>
      </c>
      <c r="D793" s="553"/>
      <c r="E793" s="694" t="s">
        <v>3690</v>
      </c>
      <c r="F793" s="555" t="str">
        <f>VLOOKUP($B793,dongia1,DG!$D$5,)</f>
        <v>kg</v>
      </c>
      <c r="G793" s="205">
        <f>2*0.45*6</f>
        <v>5.4</v>
      </c>
      <c r="H793" s="556"/>
      <c r="I793" s="556">
        <f t="shared" ca="1" si="416"/>
        <v>0</v>
      </c>
      <c r="J793" s="556">
        <f t="shared" ca="1" si="416"/>
        <v>0</v>
      </c>
      <c r="K793" s="556">
        <f t="shared" ca="1" si="416"/>
        <v>0</v>
      </c>
      <c r="L793" s="556">
        <f t="shared" ca="1" si="416"/>
        <v>0</v>
      </c>
      <c r="M793" s="556"/>
      <c r="N793" s="556">
        <f t="shared" si="416"/>
        <v>0</v>
      </c>
      <c r="O793" s="556">
        <f t="shared" si="416"/>
        <v>0</v>
      </c>
      <c r="P793" s="182">
        <f>VLOOKUP($B793,dongia1,DG!$F$5,)</f>
        <v>31625</v>
      </c>
      <c r="Q793" s="554"/>
      <c r="R793" s="554"/>
      <c r="S793" s="113">
        <f t="shared" si="417"/>
        <v>170775</v>
      </c>
      <c r="T793" s="113">
        <f>$G793*Q793</f>
        <v>0</v>
      </c>
      <c r="U793" s="557">
        <f t="shared" si="418"/>
        <v>0</v>
      </c>
    </row>
    <row r="794" spans="1:21" s="552" customFormat="1" ht="15" customHeight="1">
      <c r="A794" s="621"/>
      <c r="B794" s="622" t="s">
        <v>1262</v>
      </c>
      <c r="C794" s="558" t="str">
        <f>C793</f>
        <v xml:space="preserve"> </v>
      </c>
      <c r="D794" s="553"/>
      <c r="E794" s="694" t="str">
        <f>VLOOKUP($B794,dongia1,DG!$C$5,)</f>
        <v>Boulon 16x300+ 2 long đền vuông D18-50x50x3/Zn</v>
      </c>
      <c r="F794" s="555" t="str">
        <f>VLOOKUP($B794,dongia1,DG!$D$5,)</f>
        <v>bộ</v>
      </c>
      <c r="G794" s="205">
        <v>4</v>
      </c>
      <c r="H794" s="556"/>
      <c r="I794" s="556">
        <f t="shared" ca="1" si="416"/>
        <v>0</v>
      </c>
      <c r="J794" s="556">
        <f t="shared" ca="1" si="416"/>
        <v>0</v>
      </c>
      <c r="K794" s="556">
        <f t="shared" ca="1" si="416"/>
        <v>0</v>
      </c>
      <c r="L794" s="556">
        <f t="shared" ca="1" si="416"/>
        <v>0</v>
      </c>
      <c r="M794" s="556"/>
      <c r="N794" s="556">
        <f t="shared" si="416"/>
        <v>0</v>
      </c>
      <c r="O794" s="556">
        <f t="shared" si="416"/>
        <v>0</v>
      </c>
      <c r="P794" s="182">
        <f>VLOOKUP($B794,dongia1,DG!$F$5,)</f>
        <v>25400</v>
      </c>
      <c r="Q794" s="554"/>
      <c r="R794" s="554"/>
      <c r="S794" s="113">
        <f t="shared" ref="S794:U795" si="419">$G794*P794</f>
        <v>101600</v>
      </c>
      <c r="T794" s="113">
        <f t="shared" si="419"/>
        <v>0</v>
      </c>
      <c r="U794" s="557">
        <f t="shared" si="419"/>
        <v>0</v>
      </c>
    </row>
    <row r="795" spans="1:21" s="552" customFormat="1" ht="15" customHeight="1">
      <c r="A795" s="621"/>
      <c r="B795" s="622" t="s">
        <v>1042</v>
      </c>
      <c r="C795" s="558" t="str">
        <f>C794</f>
        <v xml:space="preserve"> </v>
      </c>
      <c r="D795" s="553"/>
      <c r="E795" s="694" t="str">
        <f>VLOOKUP($B795,dongia1,DG!$C$5,)</f>
        <v>Boulon 16x300VRS+ 4 long đền vuông D18-50x50x3/Zn</v>
      </c>
      <c r="F795" s="555" t="str">
        <f>VLOOKUP($B795,dongia1,DG!$D$5,)</f>
        <v>bộ</v>
      </c>
      <c r="G795" s="205">
        <v>4</v>
      </c>
      <c r="H795" s="556"/>
      <c r="I795" s="556">
        <f t="shared" ca="1" si="416"/>
        <v>0</v>
      </c>
      <c r="J795" s="556">
        <f t="shared" ca="1" si="416"/>
        <v>0</v>
      </c>
      <c r="K795" s="556">
        <f t="shared" ca="1" si="416"/>
        <v>0</v>
      </c>
      <c r="L795" s="556">
        <f t="shared" ca="1" si="416"/>
        <v>0</v>
      </c>
      <c r="M795" s="556"/>
      <c r="N795" s="556">
        <f t="shared" si="416"/>
        <v>0</v>
      </c>
      <c r="O795" s="556">
        <f t="shared" si="416"/>
        <v>0</v>
      </c>
      <c r="P795" s="182">
        <f>VLOOKUP($B795,dongia1,DG!$F$5,)</f>
        <v>31800</v>
      </c>
      <c r="Q795" s="554"/>
      <c r="R795" s="554"/>
      <c r="S795" s="113">
        <f t="shared" si="419"/>
        <v>127200</v>
      </c>
      <c r="T795" s="113">
        <f t="shared" si="419"/>
        <v>0</v>
      </c>
      <c r="U795" s="557">
        <f t="shared" si="419"/>
        <v>0</v>
      </c>
    </row>
    <row r="796" spans="1:21" s="552" customFormat="1" ht="15" customHeight="1">
      <c r="A796" s="621"/>
      <c r="B796" s="622" t="s">
        <v>728</v>
      </c>
      <c r="C796" s="558" t="str">
        <f>C792</f>
        <v xml:space="preserve"> </v>
      </c>
      <c r="D796" s="553"/>
      <c r="E796" s="694" t="str">
        <f>VLOOKUP($B796,dongia1,DG!$C$5,)</f>
        <v>Lắp xà cột Pi loại ≤140kg/xà</v>
      </c>
      <c r="F796" s="555" t="str">
        <f>VLOOKUP($B796,dongia1,DG!$D$5,)</f>
        <v>bộ</v>
      </c>
      <c r="G796" s="205">
        <v>1</v>
      </c>
      <c r="H796" s="556"/>
      <c r="I796" s="556">
        <f t="shared" ca="1" si="416"/>
        <v>0</v>
      </c>
      <c r="J796" s="556">
        <f t="shared" ca="1" si="416"/>
        <v>0</v>
      </c>
      <c r="K796" s="556">
        <f t="shared" ca="1" si="416"/>
        <v>0</v>
      </c>
      <c r="L796" s="556">
        <f t="shared" ca="1" si="416"/>
        <v>0</v>
      </c>
      <c r="M796" s="556"/>
      <c r="N796" s="556">
        <f t="shared" si="416"/>
        <v>0</v>
      </c>
      <c r="O796" s="556">
        <f t="shared" si="416"/>
        <v>0</v>
      </c>
      <c r="P796" s="182">
        <f>VLOOKUP($B796,dongia1,DG!$F$5,)</f>
        <v>0</v>
      </c>
      <c r="Q796" s="603" t="str">
        <f>TEXT(VLOOKUP($B796,dongia1,DG!$G$5,),"#,##0")&amp;" x"&amp;hslx</f>
        <v>474961,0 x1,5</v>
      </c>
      <c r="R796" s="554"/>
      <c r="S796" s="113">
        <f t="shared" si="417"/>
        <v>0</v>
      </c>
      <c r="T796" s="603">
        <f>VLOOKUP($B796,dongia1,DG!G$5,)*G796*hslx</f>
        <v>712441.5</v>
      </c>
      <c r="U796" s="557">
        <f t="shared" si="418"/>
        <v>0</v>
      </c>
    </row>
    <row r="797" spans="1:21" s="552" customFormat="1" ht="15" customHeight="1">
      <c r="A797" s="621" t="s">
        <v>587</v>
      </c>
      <c r="B797" s="622"/>
      <c r="C797" s="558" t="str">
        <f>IF(H797&lt;&gt;0,"x"," ")</f>
        <v xml:space="preserve"> </v>
      </c>
      <c r="D797" s="553"/>
      <c r="E797" s="727" t="s">
        <v>3590</v>
      </c>
      <c r="F797" s="600" t="s">
        <v>2113</v>
      </c>
      <c r="G797" s="205"/>
      <c r="H797" s="556"/>
      <c r="I797" s="556">
        <f ca="1">SUMIF(xa3pm,chitiet!$A797,slxa3pm)</f>
        <v>0</v>
      </c>
      <c r="J797" s="556">
        <f ca="1">SUMIF(xact,chitiet!$A797,slxact)</f>
        <v>0</v>
      </c>
      <c r="K797" s="556">
        <f ca="1">SUMIF(xa3p1m,chitiet!$A797,slxa3p1m)</f>
        <v>0</v>
      </c>
      <c r="L797" s="556">
        <f ca="1">SUMIF(xa1pm,chitiet!$A797,slxa1pm)</f>
        <v>0</v>
      </c>
      <c r="M797" s="556"/>
      <c r="N797" s="556"/>
      <c r="O797" s="556"/>
      <c r="P797" s="554"/>
      <c r="Q797" s="554"/>
      <c r="R797" s="554"/>
      <c r="S797" s="601">
        <f>SUM(S798:S803)</f>
        <v>2441989.38</v>
      </c>
      <c r="T797" s="601">
        <f>SUM(T798:T803)</f>
        <v>712441.5</v>
      </c>
      <c r="U797" s="602">
        <f>SUM(U798:U803)</f>
        <v>0</v>
      </c>
    </row>
    <row r="798" spans="1:21" s="552" customFormat="1" ht="15" customHeight="1">
      <c r="A798" s="621"/>
      <c r="B798" s="622" t="s">
        <v>386</v>
      </c>
      <c r="C798" s="558" t="str">
        <f>C797</f>
        <v xml:space="preserve"> </v>
      </c>
      <c r="D798" s="553"/>
      <c r="E798" s="694" t="str">
        <f>VLOOKUP($B798,dongia1,DG!$C$5,)</f>
        <v>Sắt góc L75 x75 x8</v>
      </c>
      <c r="F798" s="555" t="str">
        <f>VLOOKUP($B798,dongia1,DG!$D$5,)</f>
        <v>kg</v>
      </c>
      <c r="G798" s="205">
        <f>9.02*(3+3*0.1)*2</f>
        <v>59.531999999999996</v>
      </c>
      <c r="H798" s="556"/>
      <c r="I798" s="556">
        <f t="shared" ref="I798:O803" ca="1" si="420">I$797*$G798</f>
        <v>0</v>
      </c>
      <c r="J798" s="556">
        <f t="shared" ca="1" si="420"/>
        <v>0</v>
      </c>
      <c r="K798" s="556">
        <f t="shared" ca="1" si="420"/>
        <v>0</v>
      </c>
      <c r="L798" s="556">
        <f t="shared" ca="1" si="420"/>
        <v>0</v>
      </c>
      <c r="M798" s="556"/>
      <c r="N798" s="556">
        <f t="shared" si="420"/>
        <v>0</v>
      </c>
      <c r="O798" s="556">
        <f t="shared" si="420"/>
        <v>0</v>
      </c>
      <c r="P798" s="182">
        <f>VLOOKUP($B798,dongia1,DG!$F$5,)</f>
        <v>31625</v>
      </c>
      <c r="Q798" s="554"/>
      <c r="R798" s="554"/>
      <c r="S798" s="113">
        <f t="shared" ref="S798:S803" si="421">$G798*P798</f>
        <v>1882699.5</v>
      </c>
      <c r="T798" s="113">
        <f>$G798*Q798</f>
        <v>0</v>
      </c>
      <c r="U798" s="557">
        <f t="shared" ref="U798:U803" si="422">$G798*R798</f>
        <v>0</v>
      </c>
    </row>
    <row r="799" spans="1:21" s="552" customFormat="1" ht="15" customHeight="1">
      <c r="A799" s="621"/>
      <c r="B799" s="622" t="s">
        <v>593</v>
      </c>
      <c r="C799" s="558" t="str">
        <f>C798</f>
        <v xml:space="preserve"> </v>
      </c>
      <c r="D799" s="553"/>
      <c r="E799" s="694" t="str">
        <f>VLOOKUP($B799,dongia1,DG!$C$5,)</f>
        <v>Sắt dẹt 60 x 6</v>
      </c>
      <c r="F799" s="555" t="str">
        <f>VLOOKUP($B799,dongia1,DG!$D$5,)</f>
        <v>kg</v>
      </c>
      <c r="G799" s="205">
        <f>0.92*2.826*4</f>
        <v>10.39968</v>
      </c>
      <c r="H799" s="556"/>
      <c r="I799" s="556">
        <f t="shared" ca="1" si="420"/>
        <v>0</v>
      </c>
      <c r="J799" s="556">
        <f t="shared" ca="1" si="420"/>
        <v>0</v>
      </c>
      <c r="K799" s="556">
        <f t="shared" ca="1" si="420"/>
        <v>0</v>
      </c>
      <c r="L799" s="556">
        <f t="shared" ca="1" si="420"/>
        <v>0</v>
      </c>
      <c r="M799" s="556"/>
      <c r="N799" s="556">
        <f t="shared" si="420"/>
        <v>0</v>
      </c>
      <c r="O799" s="556">
        <f t="shared" si="420"/>
        <v>0</v>
      </c>
      <c r="P799" s="182">
        <f>VLOOKUP($B799,dongia1,DG!$F$5,)</f>
        <v>31625</v>
      </c>
      <c r="Q799" s="554"/>
      <c r="R799" s="554"/>
      <c r="S799" s="113">
        <f t="shared" si="421"/>
        <v>328889.88</v>
      </c>
      <c r="T799" s="113">
        <f>$G799*Q799</f>
        <v>0</v>
      </c>
      <c r="U799" s="557">
        <f t="shared" si="422"/>
        <v>0</v>
      </c>
    </row>
    <row r="800" spans="1:21" s="552" customFormat="1" ht="15" customHeight="1">
      <c r="A800" s="621"/>
      <c r="B800" s="622" t="s">
        <v>1044</v>
      </c>
      <c r="C800" s="558" t="str">
        <f>C799</f>
        <v xml:space="preserve"> </v>
      </c>
      <c r="D800" s="553"/>
      <c r="E800" s="694" t="str">
        <f>VLOOKUP($B800,dongia1,DG!$C$5,)</f>
        <v>Boulon 16x50+ 2 long đền vuông D18-50x50x3/Zn</v>
      </c>
      <c r="F800" s="555" t="str">
        <f>VLOOKUP($B800,dongia1,DG!$D$5,)</f>
        <v>bộ</v>
      </c>
      <c r="G800" s="205">
        <v>4</v>
      </c>
      <c r="H800" s="556"/>
      <c r="I800" s="556">
        <f t="shared" ca="1" si="420"/>
        <v>0</v>
      </c>
      <c r="J800" s="556">
        <f t="shared" ca="1" si="420"/>
        <v>0</v>
      </c>
      <c r="K800" s="556">
        <f t="shared" ca="1" si="420"/>
        <v>0</v>
      </c>
      <c r="L800" s="556">
        <f t="shared" ca="1" si="420"/>
        <v>0</v>
      </c>
      <c r="M800" s="556"/>
      <c r="N800" s="556">
        <f t="shared" si="420"/>
        <v>0</v>
      </c>
      <c r="O800" s="556">
        <f t="shared" si="420"/>
        <v>0</v>
      </c>
      <c r="P800" s="182">
        <f>VLOOKUP($B800,dongia1,DG!$F$5,)</f>
        <v>12400</v>
      </c>
      <c r="Q800" s="554"/>
      <c r="R800" s="554"/>
      <c r="S800" s="113">
        <f t="shared" si="421"/>
        <v>49600</v>
      </c>
      <c r="T800" s="113">
        <f>$G800*Q800</f>
        <v>0</v>
      </c>
      <c r="U800" s="557">
        <f t="shared" si="422"/>
        <v>0</v>
      </c>
    </row>
    <row r="801" spans="1:21" s="552" customFormat="1" ht="15" customHeight="1">
      <c r="A801" s="621"/>
      <c r="B801" s="622" t="s">
        <v>1261</v>
      </c>
      <c r="C801" s="558" t="str">
        <f>C800</f>
        <v xml:space="preserve"> </v>
      </c>
      <c r="D801" s="553"/>
      <c r="E801" s="694" t="str">
        <f>VLOOKUP($B801,dongia1,DG!$C$5,)</f>
        <v>Boulon 16x250+ 2 long đền vuông D18-50x50x3/Zn</v>
      </c>
      <c r="F801" s="555" t="str">
        <f>VLOOKUP($B801,dongia1,DG!$D$5,)</f>
        <v>bộ</v>
      </c>
      <c r="G801" s="205">
        <v>4</v>
      </c>
      <c r="H801" s="556"/>
      <c r="I801" s="556">
        <f t="shared" ca="1" si="420"/>
        <v>0</v>
      </c>
      <c r="J801" s="556">
        <f t="shared" ca="1" si="420"/>
        <v>0</v>
      </c>
      <c r="K801" s="556">
        <f t="shared" ca="1" si="420"/>
        <v>0</v>
      </c>
      <c r="L801" s="556">
        <f t="shared" ca="1" si="420"/>
        <v>0</v>
      </c>
      <c r="M801" s="556"/>
      <c r="N801" s="556">
        <f t="shared" si="420"/>
        <v>0</v>
      </c>
      <c r="O801" s="556">
        <f t="shared" si="420"/>
        <v>0</v>
      </c>
      <c r="P801" s="182">
        <f>VLOOKUP($B801,dongia1,DG!$F$5,)</f>
        <v>13400</v>
      </c>
      <c r="Q801" s="554"/>
      <c r="R801" s="554"/>
      <c r="S801" s="113">
        <f>$G801*P801</f>
        <v>53600</v>
      </c>
      <c r="T801" s="113">
        <f>$G801*Q801</f>
        <v>0</v>
      </c>
      <c r="U801" s="557">
        <f>$G801*R801</f>
        <v>0</v>
      </c>
    </row>
    <row r="802" spans="1:21" s="552" customFormat="1" ht="15" customHeight="1">
      <c r="A802" s="621"/>
      <c r="B802" s="622" t="s">
        <v>1042</v>
      </c>
      <c r="C802" s="558" t="str">
        <f>C800</f>
        <v xml:space="preserve"> </v>
      </c>
      <c r="D802" s="553"/>
      <c r="E802" s="694" t="str">
        <f>VLOOKUP($B802,dongia1,DG!$C$5,)</f>
        <v>Boulon 16x300VRS+ 4 long đền vuông D18-50x50x3/Zn</v>
      </c>
      <c r="F802" s="555" t="str">
        <f>VLOOKUP($B802,dongia1,DG!$D$5,)</f>
        <v>bộ</v>
      </c>
      <c r="G802" s="205">
        <v>4</v>
      </c>
      <c r="H802" s="556"/>
      <c r="I802" s="556">
        <f t="shared" ca="1" si="420"/>
        <v>0</v>
      </c>
      <c r="J802" s="556">
        <f t="shared" ca="1" si="420"/>
        <v>0</v>
      </c>
      <c r="K802" s="556">
        <f t="shared" ca="1" si="420"/>
        <v>0</v>
      </c>
      <c r="L802" s="556">
        <f t="shared" ca="1" si="420"/>
        <v>0</v>
      </c>
      <c r="M802" s="556"/>
      <c r="N802" s="556">
        <f t="shared" si="420"/>
        <v>0</v>
      </c>
      <c r="O802" s="556">
        <f t="shared" si="420"/>
        <v>0</v>
      </c>
      <c r="P802" s="182">
        <f>VLOOKUP($B802,dongia1,DG!$F$5,)</f>
        <v>31800</v>
      </c>
      <c r="Q802" s="554"/>
      <c r="R802" s="554"/>
      <c r="S802" s="113">
        <f t="shared" si="421"/>
        <v>127200</v>
      </c>
      <c r="T802" s="113">
        <f>$G802*Q802</f>
        <v>0</v>
      </c>
      <c r="U802" s="557">
        <f t="shared" si="422"/>
        <v>0</v>
      </c>
    </row>
    <row r="803" spans="1:21" s="552" customFormat="1" ht="15" customHeight="1">
      <c r="A803" s="621"/>
      <c r="B803" s="622" t="s">
        <v>728</v>
      </c>
      <c r="C803" s="558" t="str">
        <f>C799</f>
        <v xml:space="preserve"> </v>
      </c>
      <c r="D803" s="553"/>
      <c r="E803" s="694" t="str">
        <f>VLOOKUP($B803,dongia1,DG!$C$5,)</f>
        <v>Lắp xà cột Pi loại ≤140kg/xà</v>
      </c>
      <c r="F803" s="555" t="str">
        <f>VLOOKUP($B803,dongia1,DG!$D$5,)</f>
        <v>bộ</v>
      </c>
      <c r="G803" s="205">
        <v>1</v>
      </c>
      <c r="H803" s="556"/>
      <c r="I803" s="556">
        <f t="shared" ca="1" si="420"/>
        <v>0</v>
      </c>
      <c r="J803" s="556">
        <f t="shared" ca="1" si="420"/>
        <v>0</v>
      </c>
      <c r="K803" s="556">
        <f t="shared" ca="1" si="420"/>
        <v>0</v>
      </c>
      <c r="L803" s="556">
        <f t="shared" ca="1" si="420"/>
        <v>0</v>
      </c>
      <c r="M803" s="556"/>
      <c r="N803" s="556">
        <f t="shared" si="420"/>
        <v>0</v>
      </c>
      <c r="O803" s="556">
        <f t="shared" si="420"/>
        <v>0</v>
      </c>
      <c r="P803" s="182">
        <f>VLOOKUP($B803,dongia1,DG!$F$5,)</f>
        <v>0</v>
      </c>
      <c r="Q803" s="603" t="str">
        <f>TEXT(VLOOKUP($B803,dongia1,DG!$G$5,),"#,##0")&amp;" x"&amp;hslx</f>
        <v>474961,0 x1,5</v>
      </c>
      <c r="R803" s="554"/>
      <c r="S803" s="113">
        <f t="shared" si="421"/>
        <v>0</v>
      </c>
      <c r="T803" s="603">
        <f>VLOOKUP($B803,dongia1,DG!G$5,)*G803*hslx</f>
        <v>712441.5</v>
      </c>
      <c r="U803" s="557">
        <f t="shared" si="422"/>
        <v>0</v>
      </c>
    </row>
    <row r="804" spans="1:21" s="552" customFormat="1" ht="15" customHeight="1">
      <c r="A804" s="621" t="s">
        <v>3747</v>
      </c>
      <c r="B804" s="622"/>
      <c r="C804" s="558" t="str">
        <f>IF(H804&lt;&gt;0,"x"," ")</f>
        <v xml:space="preserve"> </v>
      </c>
      <c r="D804" s="553"/>
      <c r="E804" s="727" t="s">
        <v>3591</v>
      </c>
      <c r="F804" s="600" t="s">
        <v>2113</v>
      </c>
      <c r="G804" s="205"/>
      <c r="H804" s="556"/>
      <c r="I804" s="556">
        <f ca="1">SUMIF(xa3pm,chitiet!$A804,slxa3pm)</f>
        <v>0</v>
      </c>
      <c r="J804" s="556">
        <f ca="1">SUMIF(xact,chitiet!$A804,slxact)</f>
        <v>0</v>
      </c>
      <c r="K804" s="556">
        <f ca="1">SUMIF(xa3p1m,chitiet!$A804,slxa3p1m)</f>
        <v>0</v>
      </c>
      <c r="L804" s="556">
        <f ca="1">SUMIF(xa1pm,chitiet!$A804,slxa1pm)</f>
        <v>0</v>
      </c>
      <c r="M804" s="556"/>
      <c r="N804" s="556"/>
      <c r="O804" s="556"/>
      <c r="P804" s="554"/>
      <c r="Q804" s="554"/>
      <c r="R804" s="554"/>
      <c r="S804" s="601">
        <f>SUM(S805:S810)</f>
        <v>1845224.5249999999</v>
      </c>
      <c r="T804" s="601">
        <f>SUM(T805:T810)</f>
        <v>328777.875</v>
      </c>
      <c r="U804" s="602">
        <f>SUM(U805:U810)</f>
        <v>0</v>
      </c>
    </row>
    <row r="805" spans="1:21" s="552" customFormat="1" ht="15" customHeight="1">
      <c r="A805" s="621"/>
      <c r="B805" s="622" t="s">
        <v>386</v>
      </c>
      <c r="C805" s="558" t="str">
        <f>C804</f>
        <v xml:space="preserve"> </v>
      </c>
      <c r="D805" s="553"/>
      <c r="E805" s="694" t="str">
        <f>VLOOKUP($B805,dongia1,DG!$C$5,)</f>
        <v>Sắt góc L75 x75 x8</v>
      </c>
      <c r="F805" s="555" t="str">
        <f>VLOOKUP($B805,dongia1,DG!$D$5,)</f>
        <v>kg</v>
      </c>
      <c r="G805" s="205">
        <f>9.02*(3.8+6*0.1)</f>
        <v>39.688000000000002</v>
      </c>
      <c r="H805" s="556"/>
      <c r="I805" s="556">
        <f t="shared" ref="I805:O810" ca="1" si="423">I$804*$G805</f>
        <v>0</v>
      </c>
      <c r="J805" s="556">
        <f t="shared" ca="1" si="423"/>
        <v>0</v>
      </c>
      <c r="K805" s="556">
        <f t="shared" ca="1" si="423"/>
        <v>0</v>
      </c>
      <c r="L805" s="556">
        <f t="shared" ca="1" si="423"/>
        <v>0</v>
      </c>
      <c r="M805" s="556"/>
      <c r="N805" s="556">
        <f t="shared" si="423"/>
        <v>0</v>
      </c>
      <c r="O805" s="556">
        <f t="shared" si="423"/>
        <v>0</v>
      </c>
      <c r="P805" s="182">
        <f>VLOOKUP($B805,dongia1,DG!$F$5,)</f>
        <v>31625</v>
      </c>
      <c r="Q805" s="554"/>
      <c r="R805" s="554"/>
      <c r="S805" s="113">
        <f t="shared" ref="S805:U809" si="424">$G805*P805</f>
        <v>1255133</v>
      </c>
      <c r="T805" s="113">
        <f t="shared" si="424"/>
        <v>0</v>
      </c>
      <c r="U805" s="557">
        <f t="shared" si="424"/>
        <v>0</v>
      </c>
    </row>
    <row r="806" spans="1:21" s="552" customFormat="1" ht="15" customHeight="1">
      <c r="A806" s="621"/>
      <c r="B806" s="622" t="s">
        <v>2</v>
      </c>
      <c r="C806" s="558" t="str">
        <f>C805</f>
        <v xml:space="preserve"> </v>
      </c>
      <c r="D806" s="553"/>
      <c r="E806" s="694" t="str">
        <f>VLOOKUP($B806,dongia1,DG!$C$5,)</f>
        <v>Sắt góc L50 x50 x5</v>
      </c>
      <c r="F806" s="555" t="str">
        <f>VLOOKUP($B806,dongia1,DG!$D$5,)</f>
        <v>kg</v>
      </c>
      <c r="G806" s="205">
        <f>3.77*2.05*2</f>
        <v>15.456999999999999</v>
      </c>
      <c r="H806" s="556"/>
      <c r="I806" s="556">
        <f t="shared" ca="1" si="423"/>
        <v>0</v>
      </c>
      <c r="J806" s="556">
        <f t="shared" ca="1" si="423"/>
        <v>0</v>
      </c>
      <c r="K806" s="556">
        <f t="shared" ca="1" si="423"/>
        <v>0</v>
      </c>
      <c r="L806" s="556">
        <f t="shared" ca="1" si="423"/>
        <v>0</v>
      </c>
      <c r="M806" s="556"/>
      <c r="N806" s="556">
        <f t="shared" si="423"/>
        <v>0</v>
      </c>
      <c r="O806" s="556">
        <f t="shared" si="423"/>
        <v>0</v>
      </c>
      <c r="P806" s="182">
        <f>VLOOKUP($B806,dongia1,DG!$F$5,)</f>
        <v>31625</v>
      </c>
      <c r="Q806" s="554"/>
      <c r="R806" s="554"/>
      <c r="S806" s="113">
        <f t="shared" si="424"/>
        <v>488827.62499999994</v>
      </c>
      <c r="T806" s="113">
        <f t="shared" si="424"/>
        <v>0</v>
      </c>
      <c r="U806" s="557">
        <f t="shared" si="424"/>
        <v>0</v>
      </c>
    </row>
    <row r="807" spans="1:21" s="552" customFormat="1" ht="15" customHeight="1">
      <c r="A807" s="621"/>
      <c r="B807" s="622" t="s">
        <v>1804</v>
      </c>
      <c r="C807" s="558" t="str">
        <f>C806</f>
        <v xml:space="preserve"> </v>
      </c>
      <c r="D807" s="553"/>
      <c r="E807" s="694" t="str">
        <f>VLOOKUP($B807,dongia1,DG!$C$5,)</f>
        <v>Sắt dẹt 50 x 5</v>
      </c>
      <c r="F807" s="555" t="str">
        <f>VLOOKUP($B807,dongia1,DG!$D$5,)</f>
        <v>kg</v>
      </c>
      <c r="G807" s="205">
        <f>1.963*0.4*2</f>
        <v>1.5704000000000002</v>
      </c>
      <c r="H807" s="556"/>
      <c r="I807" s="556">
        <f t="shared" ca="1" si="423"/>
        <v>0</v>
      </c>
      <c r="J807" s="556">
        <f t="shared" ca="1" si="423"/>
        <v>0</v>
      </c>
      <c r="K807" s="556">
        <f t="shared" ca="1" si="423"/>
        <v>0</v>
      </c>
      <c r="L807" s="556">
        <f t="shared" ca="1" si="423"/>
        <v>0</v>
      </c>
      <c r="M807" s="556"/>
      <c r="N807" s="556">
        <f t="shared" si="423"/>
        <v>0</v>
      </c>
      <c r="O807" s="556">
        <f t="shared" si="423"/>
        <v>0</v>
      </c>
      <c r="P807" s="182">
        <f>VLOOKUP($B807,dongia1,DG!$F$5,)</f>
        <v>31625</v>
      </c>
      <c r="Q807" s="554"/>
      <c r="R807" s="554"/>
      <c r="S807" s="113">
        <f t="shared" si="424"/>
        <v>49663.900000000009</v>
      </c>
      <c r="T807" s="113">
        <f t="shared" si="424"/>
        <v>0</v>
      </c>
      <c r="U807" s="557">
        <f t="shared" si="424"/>
        <v>0</v>
      </c>
    </row>
    <row r="808" spans="1:21" s="552" customFormat="1" ht="15" customHeight="1">
      <c r="A808" s="621"/>
      <c r="B808" s="622" t="s">
        <v>1261</v>
      </c>
      <c r="C808" s="558" t="str">
        <f>C806</f>
        <v xml:space="preserve"> </v>
      </c>
      <c r="D808" s="553"/>
      <c r="E808" s="694" t="str">
        <f>VLOOKUP($B808,dongia1,DG!$C$5,)</f>
        <v>Boulon 16x250+ 2 long đền vuông D18-50x50x3/Zn</v>
      </c>
      <c r="F808" s="555" t="str">
        <f>VLOOKUP($B808,dongia1,DG!$D$5,)</f>
        <v>bộ</v>
      </c>
      <c r="G808" s="205">
        <v>2</v>
      </c>
      <c r="H808" s="556"/>
      <c r="I808" s="556">
        <f t="shared" ca="1" si="423"/>
        <v>0</v>
      </c>
      <c r="J808" s="556">
        <f t="shared" ca="1" si="423"/>
        <v>0</v>
      </c>
      <c r="K808" s="556">
        <f t="shared" ca="1" si="423"/>
        <v>0</v>
      </c>
      <c r="L808" s="556">
        <f t="shared" ca="1" si="423"/>
        <v>0</v>
      </c>
      <c r="M808" s="556"/>
      <c r="N808" s="556">
        <f t="shared" si="423"/>
        <v>0</v>
      </c>
      <c r="O808" s="556">
        <f t="shared" si="423"/>
        <v>0</v>
      </c>
      <c r="P808" s="182">
        <f>VLOOKUP($B808,dongia1,DG!$F$5,)</f>
        <v>13400</v>
      </c>
      <c r="Q808" s="554"/>
      <c r="R808" s="554"/>
      <c r="S808" s="113">
        <f t="shared" si="424"/>
        <v>26800</v>
      </c>
      <c r="T808" s="113">
        <f t="shared" si="424"/>
        <v>0</v>
      </c>
      <c r="U808" s="557">
        <f t="shared" si="424"/>
        <v>0</v>
      </c>
    </row>
    <row r="809" spans="1:21" s="552" customFormat="1" ht="15" customHeight="1">
      <c r="A809" s="621"/>
      <c r="B809" s="622" t="s">
        <v>1044</v>
      </c>
      <c r="C809" s="558" t="str">
        <f>C808</f>
        <v xml:space="preserve"> </v>
      </c>
      <c r="D809" s="553"/>
      <c r="E809" s="694" t="str">
        <f>VLOOKUP($B809,dongia1,DG!$C$5,)</f>
        <v>Boulon 16x50+ 2 long đền vuông D18-50x50x3/Zn</v>
      </c>
      <c r="F809" s="555" t="str">
        <f>VLOOKUP($B809,dongia1,DG!$D$5,)</f>
        <v>bộ</v>
      </c>
      <c r="G809" s="205">
        <v>2</v>
      </c>
      <c r="H809" s="556"/>
      <c r="I809" s="556">
        <f t="shared" ca="1" si="423"/>
        <v>0</v>
      </c>
      <c r="J809" s="556">
        <f t="shared" ca="1" si="423"/>
        <v>0</v>
      </c>
      <c r="K809" s="556">
        <f t="shared" ca="1" si="423"/>
        <v>0</v>
      </c>
      <c r="L809" s="556">
        <f t="shared" ca="1" si="423"/>
        <v>0</v>
      </c>
      <c r="M809" s="556"/>
      <c r="N809" s="556">
        <f t="shared" si="423"/>
        <v>0</v>
      </c>
      <c r="O809" s="556">
        <f t="shared" si="423"/>
        <v>0</v>
      </c>
      <c r="P809" s="182">
        <f>VLOOKUP($B809,dongia1,DG!$F$5,)</f>
        <v>12400</v>
      </c>
      <c r="Q809" s="554"/>
      <c r="R809" s="554"/>
      <c r="S809" s="113">
        <f t="shared" si="424"/>
        <v>24800</v>
      </c>
      <c r="T809" s="113">
        <f t="shared" si="424"/>
        <v>0</v>
      </c>
      <c r="U809" s="557">
        <f t="shared" si="424"/>
        <v>0</v>
      </c>
    </row>
    <row r="810" spans="1:21" s="552" customFormat="1" ht="15" customHeight="1">
      <c r="A810" s="621"/>
      <c r="B810" s="622" t="s">
        <v>534</v>
      </c>
      <c r="C810" s="558" t="str">
        <f>C809</f>
        <v xml:space="preserve"> </v>
      </c>
      <c r="D810" s="553"/>
      <c r="E810" s="694" t="str">
        <f>VLOOKUP($B810,dongia1,DG!$C$5,)</f>
        <v>Lắp xà đỡ 25kg</v>
      </c>
      <c r="F810" s="555" t="str">
        <f>VLOOKUP($B810,dongia1,DG!$D$5,)</f>
        <v>bộ</v>
      </c>
      <c r="G810" s="205">
        <v>1</v>
      </c>
      <c r="H810" s="556"/>
      <c r="I810" s="556">
        <f t="shared" ca="1" si="423"/>
        <v>0</v>
      </c>
      <c r="J810" s="556">
        <f t="shared" ca="1" si="423"/>
        <v>0</v>
      </c>
      <c r="K810" s="556">
        <f t="shared" ca="1" si="423"/>
        <v>0</v>
      </c>
      <c r="L810" s="556">
        <f t="shared" ca="1" si="423"/>
        <v>0</v>
      </c>
      <c r="M810" s="556"/>
      <c r="N810" s="556">
        <f t="shared" si="423"/>
        <v>0</v>
      </c>
      <c r="O810" s="556">
        <f t="shared" si="423"/>
        <v>0</v>
      </c>
      <c r="P810" s="554"/>
      <c r="Q810" s="603" t="str">
        <f>TEXT(VLOOKUP($B810,dongia1,DG!$G$5,),"#,##0")&amp;" x"&amp;hslx</f>
        <v>219185,250 x1,5</v>
      </c>
      <c r="R810" s="554"/>
      <c r="S810" s="113">
        <f>$G810*P810</f>
        <v>0</v>
      </c>
      <c r="T810" s="603">
        <f>VLOOKUP($B810,dongia1,DG!G$5,)*G810*hslx</f>
        <v>328777.875</v>
      </c>
      <c r="U810" s="557">
        <f>$G810*R810</f>
        <v>0</v>
      </c>
    </row>
    <row r="811" spans="1:21" s="552" customFormat="1" ht="15" customHeight="1">
      <c r="A811" s="621" t="s">
        <v>1944</v>
      </c>
      <c r="B811" s="622"/>
      <c r="C811" s="558" t="str">
        <f>IF(H811&lt;&gt;0,"x"," ")</f>
        <v xml:space="preserve"> </v>
      </c>
      <c r="D811" s="553"/>
      <c r="E811" s="727" t="s">
        <v>3592</v>
      </c>
      <c r="F811" s="600" t="s">
        <v>2113</v>
      </c>
      <c r="G811" s="205"/>
      <c r="H811" s="556"/>
      <c r="I811" s="556">
        <f ca="1">SUMIF(xa3pm,chitiet!$A811,slxa3pm)</f>
        <v>0</v>
      </c>
      <c r="J811" s="556">
        <f ca="1">SUMIF(xact,chitiet!$A811,slxact)</f>
        <v>0</v>
      </c>
      <c r="K811" s="556">
        <f ca="1">SUMIF(xa3p1m,chitiet!$A811,slxa3p1m)</f>
        <v>0</v>
      </c>
      <c r="L811" s="556">
        <f ca="1">SUMIF(xa1pm,chitiet!$A811,slxa1pm)</f>
        <v>0</v>
      </c>
      <c r="M811" s="556"/>
      <c r="N811" s="556"/>
      <c r="O811" s="556"/>
      <c r="P811" s="554"/>
      <c r="Q811" s="554"/>
      <c r="R811" s="554"/>
      <c r="S811" s="601">
        <f>SUM(S812:S816)</f>
        <v>3640651.7600000007</v>
      </c>
      <c r="T811" s="601">
        <f>SUM(T812:T816)</f>
        <v>712441.5</v>
      </c>
      <c r="U811" s="602">
        <f>SUM(U812:U816)</f>
        <v>0</v>
      </c>
    </row>
    <row r="812" spans="1:21" s="552" customFormat="1" ht="15" customHeight="1">
      <c r="A812" s="621"/>
      <c r="B812" s="622" t="s">
        <v>386</v>
      </c>
      <c r="C812" s="558" t="str">
        <f>C811</f>
        <v xml:space="preserve"> </v>
      </c>
      <c r="D812" s="553"/>
      <c r="E812" s="694" t="str">
        <f>VLOOKUP($B812,dongia1,DG!$C$5,)</f>
        <v>Sắt góc L75 x75 x8</v>
      </c>
      <c r="F812" s="555" t="str">
        <f>VLOOKUP($B812,dongia1,DG!$D$5,)</f>
        <v>kg</v>
      </c>
      <c r="G812" s="205">
        <f>9.02*(4.2+6*0.1)*2</f>
        <v>86.592000000000013</v>
      </c>
      <c r="H812" s="556"/>
      <c r="I812" s="556">
        <f t="shared" ref="I812:O816" ca="1" si="425">I$811*$G812</f>
        <v>0</v>
      </c>
      <c r="J812" s="556">
        <f t="shared" ca="1" si="425"/>
        <v>0</v>
      </c>
      <c r="K812" s="556">
        <f t="shared" ca="1" si="425"/>
        <v>0</v>
      </c>
      <c r="L812" s="556">
        <f t="shared" ca="1" si="425"/>
        <v>0</v>
      </c>
      <c r="M812" s="556"/>
      <c r="N812" s="556">
        <f t="shared" si="425"/>
        <v>0</v>
      </c>
      <c r="O812" s="556">
        <f t="shared" si="425"/>
        <v>0</v>
      </c>
      <c r="P812" s="182">
        <f>VLOOKUP($B812,dongia1,DG!$F$5,)</f>
        <v>31625</v>
      </c>
      <c r="Q812" s="554"/>
      <c r="R812" s="554"/>
      <c r="S812" s="113">
        <f t="shared" ref="S812:U815" si="426">$G812*P812</f>
        <v>2738472.0000000005</v>
      </c>
      <c r="T812" s="113">
        <f t="shared" si="426"/>
        <v>0</v>
      </c>
      <c r="U812" s="557">
        <f t="shared" si="426"/>
        <v>0</v>
      </c>
    </row>
    <row r="813" spans="1:21" s="552" customFormat="1" ht="15" customHeight="1">
      <c r="A813" s="621"/>
      <c r="B813" s="622" t="s">
        <v>593</v>
      </c>
      <c r="C813" s="558" t="str">
        <f>C812</f>
        <v xml:space="preserve"> </v>
      </c>
      <c r="D813" s="553"/>
      <c r="E813" s="694" t="str">
        <f>VLOOKUP($B813,dongia1,DG!$C$5,)</f>
        <v>Sắt dẹt 60 x 6</v>
      </c>
      <c r="F813" s="555" t="str">
        <f>VLOOKUP($B813,dongia1,DG!$D$5,)</f>
        <v>kg</v>
      </c>
      <c r="G813" s="205">
        <f>2.826*0.92*8</f>
        <v>20.79936</v>
      </c>
      <c r="H813" s="556"/>
      <c r="I813" s="556">
        <f t="shared" ca="1" si="425"/>
        <v>0</v>
      </c>
      <c r="J813" s="556">
        <f t="shared" ca="1" si="425"/>
        <v>0</v>
      </c>
      <c r="K813" s="556">
        <f t="shared" ca="1" si="425"/>
        <v>0</v>
      </c>
      <c r="L813" s="556">
        <f t="shared" ca="1" si="425"/>
        <v>0</v>
      </c>
      <c r="M813" s="556"/>
      <c r="N813" s="556">
        <f t="shared" si="425"/>
        <v>0</v>
      </c>
      <c r="O813" s="556">
        <f t="shared" si="425"/>
        <v>0</v>
      </c>
      <c r="P813" s="182">
        <f>VLOOKUP($B813,dongia1,DG!$F$5,)</f>
        <v>31625</v>
      </c>
      <c r="Q813" s="554"/>
      <c r="R813" s="554"/>
      <c r="S813" s="113">
        <f t="shared" si="426"/>
        <v>657779.76</v>
      </c>
      <c r="T813" s="113">
        <f t="shared" si="426"/>
        <v>0</v>
      </c>
      <c r="U813" s="557">
        <f t="shared" si="426"/>
        <v>0</v>
      </c>
    </row>
    <row r="814" spans="1:21" s="552" customFormat="1" ht="15" customHeight="1">
      <c r="A814" s="621"/>
      <c r="B814" s="622" t="s">
        <v>1261</v>
      </c>
      <c r="C814" s="558" t="str">
        <f>C812</f>
        <v xml:space="preserve"> </v>
      </c>
      <c r="D814" s="553"/>
      <c r="E814" s="694" t="str">
        <f>VLOOKUP($B814,dongia1,DG!$C$5,)</f>
        <v>Boulon 16x250+ 2 long đền vuông D18-50x50x3/Zn</v>
      </c>
      <c r="F814" s="555" t="str">
        <f>VLOOKUP($B814,dongia1,DG!$D$5,)</f>
        <v>bộ</v>
      </c>
      <c r="G814" s="205">
        <v>4</v>
      </c>
      <c r="H814" s="556"/>
      <c r="I814" s="556">
        <f t="shared" ca="1" si="425"/>
        <v>0</v>
      </c>
      <c r="J814" s="556">
        <f t="shared" ca="1" si="425"/>
        <v>0</v>
      </c>
      <c r="K814" s="556">
        <f t="shared" ca="1" si="425"/>
        <v>0</v>
      </c>
      <c r="L814" s="556">
        <f t="shared" ca="1" si="425"/>
        <v>0</v>
      </c>
      <c r="M814" s="556"/>
      <c r="N814" s="556">
        <f t="shared" si="425"/>
        <v>0</v>
      </c>
      <c r="O814" s="556">
        <f t="shared" si="425"/>
        <v>0</v>
      </c>
      <c r="P814" s="182">
        <f>VLOOKUP($B814,dongia1,DG!$F$5,)</f>
        <v>13400</v>
      </c>
      <c r="Q814" s="554"/>
      <c r="R814" s="554"/>
      <c r="S814" s="113">
        <f t="shared" si="426"/>
        <v>53600</v>
      </c>
      <c r="T814" s="113">
        <f t="shared" si="426"/>
        <v>0</v>
      </c>
      <c r="U814" s="557">
        <f t="shared" si="426"/>
        <v>0</v>
      </c>
    </row>
    <row r="815" spans="1:21" s="552" customFormat="1" ht="15" customHeight="1">
      <c r="A815" s="621"/>
      <c r="B815" s="622" t="s">
        <v>1042</v>
      </c>
      <c r="C815" s="558" t="str">
        <f>C814</f>
        <v xml:space="preserve"> </v>
      </c>
      <c r="D815" s="553"/>
      <c r="E815" s="694" t="str">
        <f>VLOOKUP($B815,dongia1,DG!$C$5,)</f>
        <v>Boulon 16x300VRS+ 4 long đền vuông D18-50x50x3/Zn</v>
      </c>
      <c r="F815" s="555" t="str">
        <f>VLOOKUP($B815,dongia1,DG!$D$5,)</f>
        <v>bộ</v>
      </c>
      <c r="G815" s="205">
        <v>6</v>
      </c>
      <c r="H815" s="556"/>
      <c r="I815" s="556">
        <f t="shared" ca="1" si="425"/>
        <v>0</v>
      </c>
      <c r="J815" s="556">
        <f t="shared" ca="1" si="425"/>
        <v>0</v>
      </c>
      <c r="K815" s="556">
        <f t="shared" ca="1" si="425"/>
        <v>0</v>
      </c>
      <c r="L815" s="556">
        <f t="shared" ca="1" si="425"/>
        <v>0</v>
      </c>
      <c r="M815" s="556"/>
      <c r="N815" s="556">
        <f t="shared" si="425"/>
        <v>0</v>
      </c>
      <c r="O815" s="556">
        <f t="shared" si="425"/>
        <v>0</v>
      </c>
      <c r="P815" s="182">
        <f>VLOOKUP($B815,dongia1,DG!$F$5,)</f>
        <v>31800</v>
      </c>
      <c r="Q815" s="554"/>
      <c r="R815" s="554"/>
      <c r="S815" s="113">
        <f t="shared" si="426"/>
        <v>190800</v>
      </c>
      <c r="T815" s="113">
        <f t="shared" si="426"/>
        <v>0</v>
      </c>
      <c r="U815" s="557">
        <f t="shared" si="426"/>
        <v>0</v>
      </c>
    </row>
    <row r="816" spans="1:21" s="552" customFormat="1" ht="15" customHeight="1">
      <c r="A816" s="621"/>
      <c r="B816" s="622" t="s">
        <v>728</v>
      </c>
      <c r="C816" s="558" t="str">
        <f>C814</f>
        <v xml:space="preserve"> </v>
      </c>
      <c r="D816" s="553"/>
      <c r="E816" s="694" t="str">
        <f>VLOOKUP($B816,dongia1,DG!$C$5,)</f>
        <v>Lắp xà cột Pi loại ≤140kg/xà</v>
      </c>
      <c r="F816" s="555" t="str">
        <f>VLOOKUP($B816,dongia1,DG!$D$5,)</f>
        <v>bộ</v>
      </c>
      <c r="G816" s="205">
        <v>1</v>
      </c>
      <c r="H816" s="556"/>
      <c r="I816" s="556">
        <f t="shared" ca="1" si="425"/>
        <v>0</v>
      </c>
      <c r="J816" s="556">
        <f t="shared" ca="1" si="425"/>
        <v>0</v>
      </c>
      <c r="K816" s="556">
        <f t="shared" ca="1" si="425"/>
        <v>0</v>
      </c>
      <c r="L816" s="556">
        <f t="shared" ca="1" si="425"/>
        <v>0</v>
      </c>
      <c r="M816" s="556"/>
      <c r="N816" s="556">
        <f t="shared" si="425"/>
        <v>0</v>
      </c>
      <c r="O816" s="556">
        <f t="shared" si="425"/>
        <v>0</v>
      </c>
      <c r="P816" s="182">
        <f>VLOOKUP($B816,dongia1,DG!$F$5,)</f>
        <v>0</v>
      </c>
      <c r="Q816" s="603" t="str">
        <f>TEXT(VLOOKUP($B816,dongia1,DG!$G$5,),"#,##0")&amp;" x"&amp;hslx</f>
        <v>474961,0 x1,5</v>
      </c>
      <c r="R816" s="554"/>
      <c r="S816" s="113">
        <f>$G816*P816</f>
        <v>0</v>
      </c>
      <c r="T816" s="603">
        <f>VLOOKUP($B816,dongia1,DG!G$5,)*G816*hslx</f>
        <v>712441.5</v>
      </c>
      <c r="U816" s="557">
        <f>$G816*R816</f>
        <v>0</v>
      </c>
    </row>
    <row r="817" spans="1:21" s="552" customFormat="1" ht="15" customHeight="1">
      <c r="A817" s="621" t="s">
        <v>832</v>
      </c>
      <c r="B817" s="622"/>
      <c r="C817" s="558" t="str">
        <f>IF(H817&lt;&gt;0,"x"," ")</f>
        <v xml:space="preserve"> </v>
      </c>
      <c r="D817" s="553"/>
      <c r="E817" s="727" t="s">
        <v>3593</v>
      </c>
      <c r="F817" s="600" t="s">
        <v>2113</v>
      </c>
      <c r="G817" s="205"/>
      <c r="H817" s="556"/>
      <c r="I817" s="556">
        <f ca="1">SUMIF(xa3pm,chitiet!$A817,slxa3pm)</f>
        <v>0</v>
      </c>
      <c r="J817" s="556">
        <f ca="1">SUMIF(xact,chitiet!$A817,slxact)</f>
        <v>0</v>
      </c>
      <c r="K817" s="556">
        <f ca="1">SUMIF(xa3p1m,chitiet!$A817,slxa3p1m)</f>
        <v>0</v>
      </c>
      <c r="L817" s="556">
        <f ca="1">SUMIF(xa1pm,chitiet!$A817,slxa1pm)</f>
        <v>0</v>
      </c>
      <c r="M817" s="556"/>
      <c r="N817" s="556"/>
      <c r="O817" s="556"/>
      <c r="P817" s="554"/>
      <c r="Q817" s="554"/>
      <c r="R817" s="554"/>
      <c r="S817" s="601">
        <f>SUM(S818:S823)</f>
        <v>2150535.0499999998</v>
      </c>
      <c r="T817" s="601">
        <f>SUM(T818:T823)</f>
        <v>712441.5</v>
      </c>
      <c r="U817" s="602">
        <f>SUM(U818:U823)</f>
        <v>0</v>
      </c>
    </row>
    <row r="818" spans="1:21" s="552" customFormat="1" ht="15" customHeight="1">
      <c r="A818" s="621"/>
      <c r="B818" s="622" t="s">
        <v>386</v>
      </c>
      <c r="C818" s="558" t="str">
        <f>C817</f>
        <v xml:space="preserve"> </v>
      </c>
      <c r="D818" s="553"/>
      <c r="E818" s="694" t="str">
        <f>VLOOKUP($B818,dongia1,DG!$C$5,)</f>
        <v>Sắt góc L75 x75 x8</v>
      </c>
      <c r="F818" s="555" t="str">
        <f>VLOOKUP($B818,dongia1,DG!$D$5,)</f>
        <v>kg</v>
      </c>
      <c r="G818" s="205">
        <f>9.02*(2.4+4*0.1)*2</f>
        <v>50.511999999999993</v>
      </c>
      <c r="H818" s="556"/>
      <c r="I818" s="556">
        <f t="shared" ref="I818:O833" ca="1" si="427">I$817*$G818</f>
        <v>0</v>
      </c>
      <c r="J818" s="556">
        <f t="shared" ca="1" si="427"/>
        <v>0</v>
      </c>
      <c r="K818" s="556">
        <f t="shared" ca="1" si="427"/>
        <v>0</v>
      </c>
      <c r="L818" s="556">
        <f t="shared" ca="1" si="427"/>
        <v>0</v>
      </c>
      <c r="M818" s="556"/>
      <c r="N818" s="556">
        <f t="shared" si="427"/>
        <v>0</v>
      </c>
      <c r="O818" s="556">
        <f t="shared" si="427"/>
        <v>0</v>
      </c>
      <c r="P818" s="182">
        <f>VLOOKUP($B818,dongia1,DG!$F$5,)</f>
        <v>31625</v>
      </c>
      <c r="Q818" s="554"/>
      <c r="R818" s="554"/>
      <c r="S818" s="113">
        <f t="shared" ref="S818:S823" si="428">$G818*P818</f>
        <v>1597441.9999999998</v>
      </c>
      <c r="T818" s="113">
        <f>$G818*Q818</f>
        <v>0</v>
      </c>
      <c r="U818" s="557">
        <f t="shared" ref="U818:U823" si="429">$G818*R818</f>
        <v>0</v>
      </c>
    </row>
    <row r="819" spans="1:21" s="552" customFormat="1" ht="15" customHeight="1">
      <c r="A819" s="621"/>
      <c r="B819" s="622" t="s">
        <v>744</v>
      </c>
      <c r="C819" s="558" t="str">
        <f>C818</f>
        <v xml:space="preserve"> </v>
      </c>
      <c r="D819" s="553"/>
      <c r="E819" s="694" t="str">
        <f>VLOOKUP($B819,dongia1,DG!$C$5,)</f>
        <v>Sắt góc L50 x50 x5</v>
      </c>
      <c r="F819" s="555" t="str">
        <f>VLOOKUP($B819,dongia1,DG!$D$5,)</f>
        <v>kg</v>
      </c>
      <c r="G819" s="205">
        <f>3.77*0.81*4</f>
        <v>12.2148</v>
      </c>
      <c r="H819" s="556"/>
      <c r="I819" s="556">
        <f t="shared" ca="1" si="427"/>
        <v>0</v>
      </c>
      <c r="J819" s="556">
        <f t="shared" ca="1" si="427"/>
        <v>0</v>
      </c>
      <c r="K819" s="556">
        <f t="shared" ca="1" si="427"/>
        <v>0</v>
      </c>
      <c r="L819" s="556">
        <f t="shared" ca="1" si="427"/>
        <v>0</v>
      </c>
      <c r="M819" s="556"/>
      <c r="N819" s="556">
        <f t="shared" si="427"/>
        <v>0</v>
      </c>
      <c r="O819" s="556">
        <f t="shared" si="427"/>
        <v>0</v>
      </c>
      <c r="P819" s="182">
        <f>VLOOKUP($B819,dongia1,DG!$F$5,)</f>
        <v>31625</v>
      </c>
      <c r="Q819" s="554"/>
      <c r="R819" s="554"/>
      <c r="S819" s="113">
        <f>$G819*P819</f>
        <v>386293.05</v>
      </c>
      <c r="T819" s="113">
        <f>$G819*Q819</f>
        <v>0</v>
      </c>
      <c r="U819" s="557">
        <f>$G819*R819</f>
        <v>0</v>
      </c>
    </row>
    <row r="820" spans="1:21" s="552" customFormat="1" ht="15" customHeight="1">
      <c r="A820" s="621"/>
      <c r="B820" s="622" t="s">
        <v>1261</v>
      </c>
      <c r="C820" s="558" t="str">
        <f>C818</f>
        <v xml:space="preserve"> </v>
      </c>
      <c r="D820" s="553"/>
      <c r="E820" s="694" t="str">
        <f>VLOOKUP($B820,dongia1,DG!$C$5,)</f>
        <v>Boulon 16x250+ 2 long đền vuông D18-50x50x3/Zn</v>
      </c>
      <c r="F820" s="555" t="str">
        <f>VLOOKUP($B820,dongia1,DG!$D$5,)</f>
        <v>bộ</v>
      </c>
      <c r="G820" s="205">
        <v>4</v>
      </c>
      <c r="H820" s="556"/>
      <c r="I820" s="556">
        <f t="shared" ca="1" si="427"/>
        <v>0</v>
      </c>
      <c r="J820" s="556">
        <f t="shared" ca="1" si="427"/>
        <v>0</v>
      </c>
      <c r="K820" s="556">
        <f t="shared" ca="1" si="427"/>
        <v>0</v>
      </c>
      <c r="L820" s="556">
        <f t="shared" ca="1" si="427"/>
        <v>0</v>
      </c>
      <c r="M820" s="556"/>
      <c r="N820" s="556">
        <f t="shared" si="427"/>
        <v>0</v>
      </c>
      <c r="O820" s="556">
        <f t="shared" si="427"/>
        <v>0</v>
      </c>
      <c r="P820" s="182">
        <f>VLOOKUP($B820,dongia1,DG!$F$5,)</f>
        <v>13400</v>
      </c>
      <c r="Q820" s="554"/>
      <c r="R820" s="554"/>
      <c r="S820" s="113">
        <f t="shared" si="428"/>
        <v>53600</v>
      </c>
      <c r="T820" s="113">
        <f>$G820*Q820</f>
        <v>0</v>
      </c>
      <c r="U820" s="557">
        <f t="shared" si="429"/>
        <v>0</v>
      </c>
    </row>
    <row r="821" spans="1:21" s="552" customFormat="1" ht="15" customHeight="1">
      <c r="A821" s="621"/>
      <c r="B821" s="622" t="s">
        <v>1042</v>
      </c>
      <c r="C821" s="558" t="str">
        <f>C820</f>
        <v xml:space="preserve"> </v>
      </c>
      <c r="D821" s="553"/>
      <c r="E821" s="694" t="str">
        <f>VLOOKUP($B821,dongia1,DG!$C$5,)</f>
        <v>Boulon 16x300VRS+ 4 long đền vuông D18-50x50x3/Zn</v>
      </c>
      <c r="F821" s="555" t="str">
        <f>VLOOKUP($B821,dongia1,DG!$D$5,)</f>
        <v>bộ</v>
      </c>
      <c r="G821" s="205">
        <v>2</v>
      </c>
      <c r="H821" s="556"/>
      <c r="I821" s="556">
        <f t="shared" ca="1" si="427"/>
        <v>0</v>
      </c>
      <c r="J821" s="556">
        <f t="shared" ca="1" si="427"/>
        <v>0</v>
      </c>
      <c r="K821" s="556">
        <f t="shared" ca="1" si="427"/>
        <v>0</v>
      </c>
      <c r="L821" s="556">
        <f t="shared" ca="1" si="427"/>
        <v>0</v>
      </c>
      <c r="M821" s="556"/>
      <c r="N821" s="556">
        <f t="shared" si="427"/>
        <v>0</v>
      </c>
      <c r="O821" s="556">
        <f t="shared" si="427"/>
        <v>0</v>
      </c>
      <c r="P821" s="182">
        <f>VLOOKUP($B821,dongia1,DG!$F$5,)</f>
        <v>31800</v>
      </c>
      <c r="Q821" s="554"/>
      <c r="R821" s="554"/>
      <c r="S821" s="113">
        <f t="shared" si="428"/>
        <v>63600</v>
      </c>
      <c r="T821" s="113">
        <f>$G821*Q821</f>
        <v>0</v>
      </c>
      <c r="U821" s="557">
        <f t="shared" si="429"/>
        <v>0</v>
      </c>
    </row>
    <row r="822" spans="1:21" s="552" customFormat="1" ht="15" customHeight="1">
      <c r="A822" s="621"/>
      <c r="B822" s="622" t="s">
        <v>1044</v>
      </c>
      <c r="C822" s="558" t="str">
        <f>C820</f>
        <v xml:space="preserve"> </v>
      </c>
      <c r="D822" s="553"/>
      <c r="E822" s="694" t="str">
        <f>VLOOKUP($B822,dongia1,DG!$C$5,)</f>
        <v>Boulon 16x50+ 2 long đền vuông D18-50x50x3/Zn</v>
      </c>
      <c r="F822" s="555" t="str">
        <f>VLOOKUP($B822,dongia1,DG!$D$5,)</f>
        <v>bộ</v>
      </c>
      <c r="G822" s="205">
        <v>4</v>
      </c>
      <c r="H822" s="556"/>
      <c r="I822" s="556">
        <f t="shared" ca="1" si="427"/>
        <v>0</v>
      </c>
      <c r="J822" s="556">
        <f t="shared" ca="1" si="427"/>
        <v>0</v>
      </c>
      <c r="K822" s="556">
        <f t="shared" ca="1" si="427"/>
        <v>0</v>
      </c>
      <c r="L822" s="556">
        <f t="shared" ca="1" si="427"/>
        <v>0</v>
      </c>
      <c r="M822" s="556"/>
      <c r="N822" s="556">
        <f t="shared" si="427"/>
        <v>0</v>
      </c>
      <c r="O822" s="556">
        <f t="shared" si="427"/>
        <v>0</v>
      </c>
      <c r="P822" s="182">
        <f>VLOOKUP($B822,dongia1,DG!$F$5,)</f>
        <v>12400</v>
      </c>
      <c r="Q822" s="554"/>
      <c r="R822" s="554"/>
      <c r="S822" s="113">
        <f>$G822*P822</f>
        <v>49600</v>
      </c>
      <c r="T822" s="113">
        <f>$G822*Q822</f>
        <v>0</v>
      </c>
      <c r="U822" s="557">
        <f>$G822*R822</f>
        <v>0</v>
      </c>
    </row>
    <row r="823" spans="1:21" s="552" customFormat="1" ht="15" customHeight="1">
      <c r="A823" s="621"/>
      <c r="B823" s="622" t="s">
        <v>728</v>
      </c>
      <c r="C823" s="558" t="str">
        <f>C820</f>
        <v xml:space="preserve"> </v>
      </c>
      <c r="D823" s="553"/>
      <c r="E823" s="694" t="str">
        <f>VLOOKUP($B823,dongia1,DG!$C$5,)</f>
        <v>Lắp xà cột Pi loại ≤140kg/xà</v>
      </c>
      <c r="F823" s="555" t="str">
        <f>VLOOKUP($B823,dongia1,DG!$D$5,)</f>
        <v>bộ</v>
      </c>
      <c r="G823" s="205">
        <v>1</v>
      </c>
      <c r="H823" s="556"/>
      <c r="I823" s="556">
        <f t="shared" ca="1" si="427"/>
        <v>0</v>
      </c>
      <c r="J823" s="556">
        <f t="shared" ca="1" si="427"/>
        <v>0</v>
      </c>
      <c r="K823" s="556">
        <f t="shared" ca="1" si="427"/>
        <v>0</v>
      </c>
      <c r="L823" s="556">
        <f t="shared" ca="1" si="427"/>
        <v>0</v>
      </c>
      <c r="M823" s="556"/>
      <c r="N823" s="556">
        <f t="shared" si="427"/>
        <v>0</v>
      </c>
      <c r="O823" s="556">
        <f t="shared" si="427"/>
        <v>0</v>
      </c>
      <c r="P823" s="182">
        <f>VLOOKUP($B823,dongia1,DG!$F$5,)</f>
        <v>0</v>
      </c>
      <c r="Q823" s="603" t="str">
        <f>TEXT(VLOOKUP($B823,dongia1,DG!$G$5,),"#,##0")&amp;" x"&amp;hslx</f>
        <v>474961,0 x1,5</v>
      </c>
      <c r="R823" s="554"/>
      <c r="S823" s="113">
        <f t="shared" si="428"/>
        <v>0</v>
      </c>
      <c r="T823" s="603">
        <f>VLOOKUP($B823,dongia1,DG!G$5,)*G823*hslx</f>
        <v>712441.5</v>
      </c>
      <c r="U823" s="557">
        <f t="shared" si="429"/>
        <v>0</v>
      </c>
    </row>
    <row r="824" spans="1:21" s="610" customFormat="1" ht="27.6">
      <c r="A824" s="843" t="s">
        <v>4811</v>
      </c>
      <c r="B824" s="636"/>
      <c r="C824" s="558" t="str">
        <f>IF(H824&lt;&gt;0,"x"," ")</f>
        <v xml:space="preserve"> </v>
      </c>
      <c r="D824" s="599"/>
      <c r="E824" s="845" t="s">
        <v>4818</v>
      </c>
      <c r="F824" s="846" t="s">
        <v>2113</v>
      </c>
      <c r="G824" s="604"/>
      <c r="H824" s="605"/>
      <c r="I824" s="605">
        <f ca="1">SUMIF(xa3pm,chitiet!$A824,slxa3pm)</f>
        <v>0</v>
      </c>
      <c r="J824" s="605">
        <f ca="1">SUMIF(xact,chitiet!$A824,slxact)</f>
        <v>0</v>
      </c>
      <c r="K824" s="605">
        <f ca="1">SUMIF(xa3p1m,chitiet!$A824,slxa3p1m)</f>
        <v>0</v>
      </c>
      <c r="L824" s="605">
        <f ca="1">SUMIF(xa1pm,chitiet!$A824,slxa1pm)</f>
        <v>0</v>
      </c>
      <c r="M824" s="605"/>
      <c r="N824" s="605"/>
      <c r="O824" s="605"/>
      <c r="P824" s="606"/>
      <c r="Q824" s="606"/>
      <c r="R824" s="606"/>
      <c r="S824" s="601">
        <f>SUM(S825:S830)</f>
        <v>2724256.7</v>
      </c>
      <c r="T824" s="601">
        <f>SUM(T825:T830)</f>
        <v>404380.5</v>
      </c>
      <c r="U824" s="602">
        <f>SUM(U825:U830)</f>
        <v>0</v>
      </c>
    </row>
    <row r="825" spans="1:21" s="552" customFormat="1">
      <c r="A825" s="621"/>
      <c r="B825" s="622" t="s">
        <v>4813</v>
      </c>
      <c r="C825" s="558" t="str">
        <f>C824</f>
        <v xml:space="preserve"> </v>
      </c>
      <c r="D825" s="553"/>
      <c r="E825" s="694" t="str">
        <f>VLOOKUP($B825,dongia1,DG!$C$5,)</f>
        <v>Đà U120x52x4,8x2850mm</v>
      </c>
      <c r="F825" s="555" t="str">
        <f>VLOOKUP($B825,dongia1,DG!$D$5,)</f>
        <v>kg</v>
      </c>
      <c r="G825" s="205">
        <v>59.28</v>
      </c>
      <c r="H825" s="556"/>
      <c r="I825" s="556">
        <f t="shared" ref="I825:J830" ca="1" si="430">$G825*I$824</f>
        <v>0</v>
      </c>
      <c r="J825" s="556">
        <f ca="1">$G825*J$824</f>
        <v>0</v>
      </c>
      <c r="K825" s="556">
        <f t="shared" ref="K825:K830" ca="1" si="431">$G825*K$824</f>
        <v>0</v>
      </c>
      <c r="L825" s="556">
        <f t="shared" ca="1" si="427"/>
        <v>0</v>
      </c>
      <c r="M825" s="556"/>
      <c r="N825" s="556">
        <f t="shared" si="427"/>
        <v>0</v>
      </c>
      <c r="O825" s="556">
        <f t="shared" si="427"/>
        <v>0</v>
      </c>
      <c r="P825" s="182">
        <f>VLOOKUP($B825,dongia1,DG!$F$5,)</f>
        <v>31625</v>
      </c>
      <c r="Q825" s="554"/>
      <c r="R825" s="554"/>
      <c r="S825" s="113">
        <f t="shared" ref="S825:S837" si="432">$G825*P825</f>
        <v>1874730</v>
      </c>
      <c r="T825" s="113">
        <f t="shared" ref="T825:T836" si="433">$G825*Q825</f>
        <v>0</v>
      </c>
      <c r="U825" s="557">
        <f t="shared" ref="U825:U837" si="434">$G825*R825</f>
        <v>0</v>
      </c>
    </row>
    <row r="826" spans="1:21" s="552" customFormat="1">
      <c r="A826" s="621"/>
      <c r="B826" s="622" t="s">
        <v>651</v>
      </c>
      <c r="C826" s="558" t="str">
        <f>C824</f>
        <v xml:space="preserve"> </v>
      </c>
      <c r="D826" s="553"/>
      <c r="E826" s="694" t="str">
        <f>VLOOKUP($B826,dongia1,DG!$C$5,)</f>
        <v>Thép tấm 5mm</v>
      </c>
      <c r="F826" s="555" t="str">
        <f>VLOOKUP($B826,dongia1,DG!$D$5,)</f>
        <v>kg</v>
      </c>
      <c r="G826" s="205">
        <f>43.2*0.825*0.29*2</f>
        <v>20.671199999999999</v>
      </c>
      <c r="H826" s="556"/>
      <c r="I826" s="556">
        <f t="shared" ca="1" si="430"/>
        <v>0</v>
      </c>
      <c r="J826" s="556">
        <f t="shared" ca="1" si="430"/>
        <v>0</v>
      </c>
      <c r="K826" s="556">
        <f t="shared" ca="1" si="431"/>
        <v>0</v>
      </c>
      <c r="L826" s="556">
        <f t="shared" ca="1" si="427"/>
        <v>0</v>
      </c>
      <c r="M826" s="556"/>
      <c r="N826" s="556">
        <f t="shared" si="427"/>
        <v>0</v>
      </c>
      <c r="O826" s="556">
        <f t="shared" si="427"/>
        <v>0</v>
      </c>
      <c r="P826" s="182">
        <f>VLOOKUP($B826,dongia1,DG!$F$5,)</f>
        <v>31625</v>
      </c>
      <c r="Q826" s="554"/>
      <c r="R826" s="554"/>
      <c r="S826" s="113">
        <f t="shared" si="432"/>
        <v>653726.69999999995</v>
      </c>
      <c r="T826" s="113">
        <f t="shared" si="433"/>
        <v>0</v>
      </c>
      <c r="U826" s="557">
        <f t="shared" si="434"/>
        <v>0</v>
      </c>
    </row>
    <row r="827" spans="1:21" s="552" customFormat="1">
      <c r="A827" s="621"/>
      <c r="B827" s="622" t="s">
        <v>4814</v>
      </c>
      <c r="C827" s="558" t="str">
        <f>C824</f>
        <v xml:space="preserve"> </v>
      </c>
      <c r="D827" s="553"/>
      <c r="E827" s="694" t="str">
        <f>VLOOKUP($B827,dongia1,DG!$C$5,)</f>
        <v>Boulon 16x200VRS+ 4 long đền vuông D18-50x50x3/Zn</v>
      </c>
      <c r="F827" s="555" t="str">
        <f>VLOOKUP($B827,dongia1,DG!$D$5,)</f>
        <v>bộ</v>
      </c>
      <c r="G827" s="205">
        <v>4</v>
      </c>
      <c r="H827" s="556"/>
      <c r="I827" s="556">
        <f t="shared" ca="1" si="430"/>
        <v>0</v>
      </c>
      <c r="J827" s="556">
        <f t="shared" ca="1" si="430"/>
        <v>0</v>
      </c>
      <c r="K827" s="556">
        <f t="shared" ca="1" si="431"/>
        <v>0</v>
      </c>
      <c r="L827" s="556">
        <f t="shared" ca="1" si="427"/>
        <v>0</v>
      </c>
      <c r="M827" s="556"/>
      <c r="N827" s="556">
        <f t="shared" si="427"/>
        <v>0</v>
      </c>
      <c r="O827" s="556">
        <f t="shared" si="427"/>
        <v>0</v>
      </c>
      <c r="P827" s="182">
        <f>VLOOKUP($B827,dongia1,DG!$F$5,)</f>
        <v>26800</v>
      </c>
      <c r="Q827" s="554"/>
      <c r="R827" s="554"/>
      <c r="S827" s="113">
        <f t="shared" si="432"/>
        <v>107200</v>
      </c>
      <c r="T827" s="113">
        <f t="shared" si="433"/>
        <v>0</v>
      </c>
      <c r="U827" s="557">
        <f t="shared" si="434"/>
        <v>0</v>
      </c>
    </row>
    <row r="828" spans="1:21" s="552" customFormat="1">
      <c r="A828" s="621"/>
      <c r="B828" s="622" t="s">
        <v>1132</v>
      </c>
      <c r="C828" s="558" t="str">
        <f>C824</f>
        <v xml:space="preserve"> </v>
      </c>
      <c r="D828" s="553"/>
      <c r="E828" s="694" t="str">
        <f>VLOOKUP($B828,dongia1,DG!$C$5,)</f>
        <v>Boulon 16x350VRS+ 4 long đền vuông D18-50x50x3/Zn</v>
      </c>
      <c r="F828" s="555" t="str">
        <f>VLOOKUP($B828,dongia1,DG!$D$5,)</f>
        <v>bộ</v>
      </c>
      <c r="G828" s="205">
        <v>1</v>
      </c>
      <c r="H828" s="556"/>
      <c r="I828" s="556">
        <f t="shared" ca="1" si="430"/>
        <v>0</v>
      </c>
      <c r="J828" s="556">
        <f t="shared" ca="1" si="430"/>
        <v>0</v>
      </c>
      <c r="K828" s="556">
        <f t="shared" ca="1" si="431"/>
        <v>0</v>
      </c>
      <c r="L828" s="556">
        <f t="shared" ca="1" si="427"/>
        <v>0</v>
      </c>
      <c r="M828" s="556"/>
      <c r="N828" s="556">
        <f t="shared" si="427"/>
        <v>0</v>
      </c>
      <c r="O828" s="556">
        <f t="shared" si="427"/>
        <v>0</v>
      </c>
      <c r="P828" s="182">
        <f>VLOOKUP($B828,dongia1,DG!$F$5,)</f>
        <v>32800</v>
      </c>
      <c r="Q828" s="554"/>
      <c r="R828" s="554"/>
      <c r="S828" s="113">
        <f t="shared" si="432"/>
        <v>32800</v>
      </c>
      <c r="T828" s="113">
        <f t="shared" si="433"/>
        <v>0</v>
      </c>
      <c r="U828" s="557">
        <f t="shared" si="434"/>
        <v>0</v>
      </c>
    </row>
    <row r="829" spans="1:21" s="552" customFormat="1">
      <c r="A829" s="621"/>
      <c r="B829" s="622" t="s">
        <v>1539</v>
      </c>
      <c r="C829" s="558" t="str">
        <f>C824</f>
        <v xml:space="preserve"> </v>
      </c>
      <c r="D829" s="553"/>
      <c r="E829" s="694" t="str">
        <f>VLOOKUP($B829,dongia1,DG!$C$5,)</f>
        <v>Boulon 16x350+ 2 long đền vuông D18-50x50x3/Zn</v>
      </c>
      <c r="F829" s="555" t="str">
        <f>VLOOKUP($B829,dongia1,DG!$D$5,)</f>
        <v>bộ</v>
      </c>
      <c r="G829" s="205">
        <v>2</v>
      </c>
      <c r="H829" s="556"/>
      <c r="I829" s="556">
        <f t="shared" ca="1" si="430"/>
        <v>0</v>
      </c>
      <c r="J829" s="556">
        <f t="shared" ca="1" si="430"/>
        <v>0</v>
      </c>
      <c r="K829" s="556">
        <f t="shared" ca="1" si="431"/>
        <v>0</v>
      </c>
      <c r="L829" s="556">
        <f t="shared" ca="1" si="427"/>
        <v>0</v>
      </c>
      <c r="M829" s="556"/>
      <c r="N829" s="556">
        <f t="shared" si="427"/>
        <v>0</v>
      </c>
      <c r="O829" s="556">
        <f t="shared" si="427"/>
        <v>0</v>
      </c>
      <c r="P829" s="182">
        <f>VLOOKUP($B829,dongia1,DG!$F$5,)</f>
        <v>27900</v>
      </c>
      <c r="Q829" s="554"/>
      <c r="R829" s="554"/>
      <c r="S829" s="113">
        <f t="shared" si="432"/>
        <v>55800</v>
      </c>
      <c r="T829" s="113">
        <f t="shared" si="433"/>
        <v>0</v>
      </c>
      <c r="U829" s="557">
        <f t="shared" si="434"/>
        <v>0</v>
      </c>
    </row>
    <row r="830" spans="1:21" s="552" customFormat="1">
      <c r="A830" s="621"/>
      <c r="B830" s="622" t="s">
        <v>4815</v>
      </c>
      <c r="C830" s="558" t="str">
        <f>C824</f>
        <v xml:space="preserve"> </v>
      </c>
      <c r="D830" s="553"/>
      <c r="E830" s="694" t="str">
        <f>VLOOKUP($B830,dongia1,DG!$C$5,)</f>
        <v>Lắp đặt bộ tháp sắt (78kg)</v>
      </c>
      <c r="F830" s="555" t="str">
        <f>VLOOKUP($B830,dongia1,DG!$D$5,)</f>
        <v>bộ</v>
      </c>
      <c r="G830" s="205">
        <v>1</v>
      </c>
      <c r="H830" s="556"/>
      <c r="I830" s="556">
        <f t="shared" ca="1" si="430"/>
        <v>0</v>
      </c>
      <c r="J830" s="556">
        <f t="shared" ca="1" si="430"/>
        <v>0</v>
      </c>
      <c r="K830" s="556">
        <f t="shared" ca="1" si="431"/>
        <v>0</v>
      </c>
      <c r="L830" s="556">
        <f t="shared" ca="1" si="427"/>
        <v>0</v>
      </c>
      <c r="M830" s="556"/>
      <c r="N830" s="556">
        <f t="shared" si="427"/>
        <v>0</v>
      </c>
      <c r="O830" s="556">
        <f t="shared" si="427"/>
        <v>0</v>
      </c>
      <c r="P830" s="182">
        <f>VLOOKUP($B830,dongia1,DG!$F$5,)</f>
        <v>0</v>
      </c>
      <c r="Q830" s="603" t="str">
        <f>TEXT(VLOOKUP($B830,dongia1,DG!$G$5,),"#,##0")&amp;" x"&amp;hslx</f>
        <v>269587,0 x1,5</v>
      </c>
      <c r="R830" s="554"/>
      <c r="S830" s="113">
        <f t="shared" si="432"/>
        <v>0</v>
      </c>
      <c r="T830" s="603">
        <f>VLOOKUP($B830,dongia1,DG!G$5,)*G830*hslx</f>
        <v>404380.5</v>
      </c>
      <c r="U830" s="557">
        <f t="shared" si="434"/>
        <v>0</v>
      </c>
    </row>
    <row r="831" spans="1:21" s="552" customFormat="1" ht="28.5" customHeight="1">
      <c r="A831" s="843" t="s">
        <v>4812</v>
      </c>
      <c r="B831" s="844"/>
      <c r="C831" s="558" t="str">
        <f>IF(H831&lt;&gt;0,"x"," ")</f>
        <v xml:space="preserve"> </v>
      </c>
      <c r="D831" s="553"/>
      <c r="E831" s="845" t="s">
        <v>4819</v>
      </c>
      <c r="F831" s="846" t="s">
        <v>2113</v>
      </c>
      <c r="G831" s="205"/>
      <c r="H831" s="556"/>
      <c r="I831" s="556">
        <f ca="1">SUMIF(xa3pm,chitiet!$A831,slxa3pm)</f>
        <v>0</v>
      </c>
      <c r="J831" s="556">
        <f ca="1">SUMIF(xact,chitiet!$A831,slxact)</f>
        <v>0</v>
      </c>
      <c r="K831" s="556">
        <f ca="1">SUMIF(xa3p1m,chitiet!$A831,slxa3p1m)</f>
        <v>0</v>
      </c>
      <c r="L831" s="556">
        <f ca="1">SUMIF(xa1pm,chitiet!$A831,slxa1pm)</f>
        <v>0</v>
      </c>
      <c r="M831" s="556"/>
      <c r="N831" s="556"/>
      <c r="O831" s="556"/>
      <c r="P831" s="554"/>
      <c r="Q831" s="554"/>
      <c r="R831" s="554"/>
      <c r="S831" s="601">
        <f>SUM(S832:S837)</f>
        <v>3179760.4</v>
      </c>
      <c r="T831" s="601">
        <f>SUM(T832:T837)</f>
        <v>404380.5</v>
      </c>
      <c r="U831" s="602">
        <f>SUM(U832:U837)</f>
        <v>0</v>
      </c>
    </row>
    <row r="832" spans="1:21" s="552" customFormat="1" ht="15" customHeight="1">
      <c r="A832" s="621"/>
      <c r="B832" s="622" t="s">
        <v>4813</v>
      </c>
      <c r="C832" s="558" t="str">
        <f>C831</f>
        <v xml:space="preserve"> </v>
      </c>
      <c r="D832" s="553"/>
      <c r="E832" s="694" t="str">
        <f>VLOOKUP($B832,dongia1,DG!$C$5,)</f>
        <v>Đà U120x52x4,8x2850mm</v>
      </c>
      <c r="F832" s="555" t="str">
        <f>VLOOKUP($B832,dongia1,DG!$D$5,)</f>
        <v>kg</v>
      </c>
      <c r="G832" s="205">
        <v>59.28</v>
      </c>
      <c r="H832" s="556"/>
      <c r="I832" s="556">
        <f t="shared" ref="I832:J837" ca="1" si="435">$G832*I$831</f>
        <v>0</v>
      </c>
      <c r="J832" s="556">
        <f ca="1">$G832*J$831</f>
        <v>0</v>
      </c>
      <c r="K832" s="556">
        <f t="shared" ref="K832:K837" ca="1" si="436">$G832*K$831</f>
        <v>0</v>
      </c>
      <c r="L832" s="556">
        <f t="shared" ca="1" si="427"/>
        <v>0</v>
      </c>
      <c r="M832" s="556"/>
      <c r="N832" s="556">
        <f t="shared" si="427"/>
        <v>0</v>
      </c>
      <c r="O832" s="556">
        <f t="shared" si="427"/>
        <v>0</v>
      </c>
      <c r="P832" s="182">
        <f>VLOOKUP($B832,dongia1,DG!$F$5,)</f>
        <v>31625</v>
      </c>
      <c r="Q832" s="554"/>
      <c r="R832" s="554"/>
      <c r="S832" s="113">
        <f>$G832*P832</f>
        <v>1874730</v>
      </c>
      <c r="T832" s="113">
        <f t="shared" si="433"/>
        <v>0</v>
      </c>
      <c r="U832" s="557">
        <f t="shared" si="434"/>
        <v>0</v>
      </c>
    </row>
    <row r="833" spans="1:21" s="552" customFormat="1" ht="15" customHeight="1">
      <c r="A833" s="621"/>
      <c r="B833" s="622" t="s">
        <v>651</v>
      </c>
      <c r="C833" s="558" t="str">
        <f>C831</f>
        <v xml:space="preserve"> </v>
      </c>
      <c r="D833" s="553"/>
      <c r="E833" s="694" t="str">
        <f>VLOOKUP($B833,dongia1,DG!$C$5,)</f>
        <v>Thép tấm 5mm</v>
      </c>
      <c r="F833" s="555" t="str">
        <f>VLOOKUP($B833,dongia1,DG!$D$5,)</f>
        <v>kg</v>
      </c>
      <c r="G833" s="205">
        <f>43.2*0.825*0.48*2</f>
        <v>34.214399999999998</v>
      </c>
      <c r="H833" s="556"/>
      <c r="I833" s="556">
        <f t="shared" ca="1" si="435"/>
        <v>0</v>
      </c>
      <c r="J833" s="556">
        <f t="shared" ca="1" si="435"/>
        <v>0</v>
      </c>
      <c r="K833" s="556">
        <f t="shared" ca="1" si="436"/>
        <v>0</v>
      </c>
      <c r="L833" s="556">
        <f t="shared" ca="1" si="427"/>
        <v>0</v>
      </c>
      <c r="M833" s="556"/>
      <c r="N833" s="556">
        <f t="shared" si="427"/>
        <v>0</v>
      </c>
      <c r="O833" s="556">
        <f t="shared" si="427"/>
        <v>0</v>
      </c>
      <c r="P833" s="182">
        <f>VLOOKUP($B833,dongia1,DG!$F$5,)</f>
        <v>31625</v>
      </c>
      <c r="Q833" s="554"/>
      <c r="R833" s="554"/>
      <c r="S833" s="113">
        <f>$G833*P833</f>
        <v>1082030.3999999999</v>
      </c>
      <c r="T833" s="113">
        <f t="shared" si="433"/>
        <v>0</v>
      </c>
      <c r="U833" s="557">
        <f t="shared" si="434"/>
        <v>0</v>
      </c>
    </row>
    <row r="834" spans="1:21" s="552" customFormat="1" ht="15" customHeight="1">
      <c r="A834" s="621"/>
      <c r="B834" s="622" t="s">
        <v>4814</v>
      </c>
      <c r="C834" s="558" t="str">
        <f>C831</f>
        <v xml:space="preserve"> </v>
      </c>
      <c r="D834" s="553"/>
      <c r="E834" s="694" t="str">
        <f>VLOOKUP($B834,dongia1,DG!$C$5,)</f>
        <v>Boulon 16x200VRS+ 4 long đền vuông D18-50x50x3/Zn</v>
      </c>
      <c r="F834" s="555" t="str">
        <f>VLOOKUP($B834,dongia1,DG!$D$5,)</f>
        <v>bộ</v>
      </c>
      <c r="G834" s="205">
        <v>4</v>
      </c>
      <c r="H834" s="556"/>
      <c r="I834" s="556">
        <f t="shared" ca="1" si="435"/>
        <v>0</v>
      </c>
      <c r="J834" s="556">
        <f t="shared" ca="1" si="435"/>
        <v>0</v>
      </c>
      <c r="K834" s="556">
        <f t="shared" ca="1" si="436"/>
        <v>0</v>
      </c>
      <c r="L834" s="556">
        <f ca="1">L$817*$G834</f>
        <v>0</v>
      </c>
      <c r="M834" s="556"/>
      <c r="N834" s="556">
        <f>N$817*$G834</f>
        <v>0</v>
      </c>
      <c r="O834" s="556">
        <f>O$817*$G834</f>
        <v>0</v>
      </c>
      <c r="P834" s="182">
        <f>VLOOKUP($B834,dongia1,DG!$F$5,)</f>
        <v>26800</v>
      </c>
      <c r="Q834" s="554"/>
      <c r="R834" s="554"/>
      <c r="S834" s="113">
        <f>$G834*P834</f>
        <v>107200</v>
      </c>
      <c r="T834" s="113">
        <f t="shared" si="433"/>
        <v>0</v>
      </c>
      <c r="U834" s="557">
        <f t="shared" si="434"/>
        <v>0</v>
      </c>
    </row>
    <row r="835" spans="1:21" s="552" customFormat="1" ht="15" customHeight="1">
      <c r="A835" s="621"/>
      <c r="B835" s="622" t="s">
        <v>1675</v>
      </c>
      <c r="C835" s="558" t="str">
        <f>C831</f>
        <v xml:space="preserve"> </v>
      </c>
      <c r="D835" s="553"/>
      <c r="E835" s="694" t="str">
        <f>VLOOKUP($B835,dongia1,DG!$C$5,)</f>
        <v>Boulon 16x550VRS+ 4 long đền vuông D18-50x50x3/Zn</v>
      </c>
      <c r="F835" s="555" t="str">
        <f>VLOOKUP($B835,dongia1,DG!$D$5,)</f>
        <v>bộ</v>
      </c>
      <c r="G835" s="205">
        <v>1</v>
      </c>
      <c r="H835" s="556"/>
      <c r="I835" s="556">
        <f t="shared" ca="1" si="435"/>
        <v>0</v>
      </c>
      <c r="J835" s="556">
        <f t="shared" ca="1" si="435"/>
        <v>0</v>
      </c>
      <c r="K835" s="556">
        <f t="shared" ca="1" si="436"/>
        <v>0</v>
      </c>
      <c r="L835" s="556">
        <f t="shared" ref="L835:O837" ca="1" si="437">L$817*$G835</f>
        <v>0</v>
      </c>
      <c r="M835" s="556"/>
      <c r="N835" s="556">
        <f t="shared" si="437"/>
        <v>0</v>
      </c>
      <c r="O835" s="556">
        <f t="shared" si="437"/>
        <v>0</v>
      </c>
      <c r="P835" s="182">
        <f>VLOOKUP($B835,dongia1,DG!$F$5,)</f>
        <v>44800</v>
      </c>
      <c r="Q835" s="554"/>
      <c r="R835" s="554"/>
      <c r="S835" s="113">
        <f>$G835*P835</f>
        <v>44800</v>
      </c>
      <c r="T835" s="113">
        <f t="shared" si="433"/>
        <v>0</v>
      </c>
      <c r="U835" s="557">
        <f t="shared" si="434"/>
        <v>0</v>
      </c>
    </row>
    <row r="836" spans="1:21" s="552" customFormat="1" ht="15" customHeight="1">
      <c r="A836" s="621"/>
      <c r="B836" s="622" t="s">
        <v>4816</v>
      </c>
      <c r="C836" s="558" t="str">
        <f>C831</f>
        <v xml:space="preserve"> </v>
      </c>
      <c r="D836" s="553"/>
      <c r="E836" s="694" t="str">
        <f>VLOOKUP($B836,dongia1,DG!$C$5,)</f>
        <v>Boulon 16x550+ 2 long đền vuông D18-50x50x3/Zn</v>
      </c>
      <c r="F836" s="555" t="str">
        <f>VLOOKUP($B836,dongia1,DG!$D$5,)</f>
        <v>bộ</v>
      </c>
      <c r="G836" s="205">
        <v>2</v>
      </c>
      <c r="H836" s="556"/>
      <c r="I836" s="556">
        <f t="shared" ca="1" si="435"/>
        <v>0</v>
      </c>
      <c r="J836" s="556">
        <f t="shared" ca="1" si="435"/>
        <v>0</v>
      </c>
      <c r="K836" s="556">
        <f t="shared" ca="1" si="436"/>
        <v>0</v>
      </c>
      <c r="L836" s="556">
        <f t="shared" ca="1" si="437"/>
        <v>0</v>
      </c>
      <c r="M836" s="556"/>
      <c r="N836" s="556">
        <f t="shared" si="437"/>
        <v>0</v>
      </c>
      <c r="O836" s="556">
        <f t="shared" si="437"/>
        <v>0</v>
      </c>
      <c r="P836" s="182">
        <f>VLOOKUP($B836,dongia1,DG!$F$5,)</f>
        <v>35500</v>
      </c>
      <c r="Q836" s="554"/>
      <c r="R836" s="554"/>
      <c r="S836" s="113">
        <f>$G836*P836</f>
        <v>71000</v>
      </c>
      <c r="T836" s="113">
        <f t="shared" si="433"/>
        <v>0</v>
      </c>
      <c r="U836" s="557">
        <f t="shared" si="434"/>
        <v>0</v>
      </c>
    </row>
    <row r="837" spans="1:21" s="552" customFormat="1" ht="15" customHeight="1">
      <c r="A837" s="621"/>
      <c r="B837" s="622" t="s">
        <v>4817</v>
      </c>
      <c r="C837" s="558" t="str">
        <f>C831</f>
        <v xml:space="preserve"> </v>
      </c>
      <c r="D837" s="553"/>
      <c r="E837" s="694" t="str">
        <f>VLOOKUP($B837,dongia1,DG!$C$5,)</f>
        <v>Lắp đặt bộ tháp sắt (93kg)</v>
      </c>
      <c r="F837" s="555" t="str">
        <f>VLOOKUP($B837,dongia1,DG!$D$5,)</f>
        <v>bộ</v>
      </c>
      <c r="G837" s="205">
        <v>1</v>
      </c>
      <c r="H837" s="556"/>
      <c r="I837" s="556">
        <f t="shared" ca="1" si="435"/>
        <v>0</v>
      </c>
      <c r="J837" s="556">
        <f t="shared" ca="1" si="435"/>
        <v>0</v>
      </c>
      <c r="K837" s="556">
        <f t="shared" ca="1" si="436"/>
        <v>0</v>
      </c>
      <c r="L837" s="556">
        <f t="shared" ca="1" si="437"/>
        <v>0</v>
      </c>
      <c r="M837" s="556"/>
      <c r="N837" s="556">
        <f t="shared" si="437"/>
        <v>0</v>
      </c>
      <c r="O837" s="556">
        <f t="shared" si="437"/>
        <v>0</v>
      </c>
      <c r="P837" s="182">
        <f>VLOOKUP($B837,dongia1,DG!$F$5,)</f>
        <v>0</v>
      </c>
      <c r="Q837" s="603" t="str">
        <f>TEXT(VLOOKUP($B837,dongia1,DG!$G$5,),"#,##0")&amp;" x"&amp;hslx</f>
        <v>269587,0 x1,5</v>
      </c>
      <c r="R837" s="554"/>
      <c r="S837" s="113">
        <f t="shared" si="432"/>
        <v>0</v>
      </c>
      <c r="T837" s="603">
        <f>VLOOKUP($B837,dongia1,DG!G$5,)*G837*hslx</f>
        <v>404380.5</v>
      </c>
      <c r="U837" s="557">
        <f t="shared" si="434"/>
        <v>0</v>
      </c>
    </row>
    <row r="838" spans="1:21" s="552" customFormat="1" ht="15" customHeight="1">
      <c r="A838" s="621" t="s">
        <v>1943</v>
      </c>
      <c r="B838" s="622"/>
      <c r="C838" s="558" t="str">
        <f>IF(H838&lt;&gt;0,"x"," ")</f>
        <v xml:space="preserve"> </v>
      </c>
      <c r="D838" s="553"/>
      <c r="E838" s="727" t="s">
        <v>3594</v>
      </c>
      <c r="F838" s="600" t="s">
        <v>2113</v>
      </c>
      <c r="G838" s="205"/>
      <c r="H838" s="556"/>
      <c r="I838" s="556">
        <f ca="1">SUMIF(xa3pm,chitiet!$A838,slxa3pm)</f>
        <v>0</v>
      </c>
      <c r="J838" s="556">
        <f ca="1">SUMIF(xact,chitiet!$A838,slxact)</f>
        <v>0</v>
      </c>
      <c r="K838" s="556">
        <f ca="1">SUMIF(xa3p1m,chitiet!$A838,slxa3p1m)</f>
        <v>0</v>
      </c>
      <c r="L838" s="556">
        <f ca="1">SUMIF(xa1pm,chitiet!$A838,slxa1pm)</f>
        <v>0</v>
      </c>
      <c r="M838" s="556"/>
      <c r="N838" s="556"/>
      <c r="O838" s="556"/>
      <c r="P838" s="554"/>
      <c r="Q838" s="554"/>
      <c r="R838" s="554"/>
      <c r="S838" s="601">
        <f>SUM(S839:S844)</f>
        <v>1532630</v>
      </c>
      <c r="T838" s="601">
        <f>SUM(T839:T844)</f>
        <v>133698.54679999998</v>
      </c>
      <c r="U838" s="602">
        <f>SUM(U839:U844)</f>
        <v>0</v>
      </c>
    </row>
    <row r="839" spans="1:21" s="552" customFormat="1" ht="15" customHeight="1">
      <c r="A839" s="621"/>
      <c r="B839" s="622" t="s">
        <v>386</v>
      </c>
      <c r="C839" s="558" t="str">
        <f>C838</f>
        <v xml:space="preserve"> </v>
      </c>
      <c r="D839" s="553"/>
      <c r="E839" s="694" t="str">
        <f>VLOOKUP($B839,dongia1,DG!$C$5,)</f>
        <v>Sắt góc L75 x75 x8</v>
      </c>
      <c r="F839" s="555" t="str">
        <f>VLOOKUP($B839,dongia1,DG!$D$5,)</f>
        <v>kg</v>
      </c>
      <c r="G839" s="205">
        <v>36.08</v>
      </c>
      <c r="H839" s="556"/>
      <c r="I839" s="556">
        <f t="shared" ref="I839:O844" ca="1" si="438">I$838*$G839</f>
        <v>0</v>
      </c>
      <c r="J839" s="556">
        <f t="shared" ca="1" si="438"/>
        <v>0</v>
      </c>
      <c r="K839" s="556">
        <f t="shared" ca="1" si="438"/>
        <v>0</v>
      </c>
      <c r="L839" s="556">
        <f t="shared" ca="1" si="438"/>
        <v>0</v>
      </c>
      <c r="M839" s="556"/>
      <c r="N839" s="556">
        <f t="shared" si="438"/>
        <v>0</v>
      </c>
      <c r="O839" s="556">
        <f t="shared" si="438"/>
        <v>0</v>
      </c>
      <c r="P839" s="182">
        <f>VLOOKUP($B839,dongia1,DG!$F$5,)</f>
        <v>31625</v>
      </c>
      <c r="Q839" s="554"/>
      <c r="R839" s="554"/>
      <c r="S839" s="113">
        <f t="shared" ref="S839:S844" si="439">$G839*P839</f>
        <v>1141030</v>
      </c>
      <c r="T839" s="113">
        <f>$G839*Q839</f>
        <v>0</v>
      </c>
      <c r="U839" s="557">
        <f t="shared" ref="U839:U844" si="440">$G839*R839</f>
        <v>0</v>
      </c>
    </row>
    <row r="840" spans="1:21" s="552" customFormat="1" ht="15" customHeight="1">
      <c r="A840" s="621"/>
      <c r="B840" s="622" t="s">
        <v>1937</v>
      </c>
      <c r="C840" s="558" t="str">
        <f>C839</f>
        <v xml:space="preserve"> </v>
      </c>
      <c r="D840" s="553"/>
      <c r="E840" s="694" t="str">
        <f>VLOOKUP($B840,dongia1,DG!$C$5,)</f>
        <v>Cổ dê  Þ 240-Fe 8x100</v>
      </c>
      <c r="F840" s="555" t="str">
        <f>VLOOKUP($B840,dongia1,DG!$D$5,)</f>
        <v>bộ</v>
      </c>
      <c r="G840" s="205">
        <v>2</v>
      </c>
      <c r="H840" s="556"/>
      <c r="I840" s="556">
        <f t="shared" ca="1" si="438"/>
        <v>0</v>
      </c>
      <c r="J840" s="556">
        <f t="shared" ca="1" si="438"/>
        <v>0</v>
      </c>
      <c r="K840" s="556">
        <f t="shared" ca="1" si="438"/>
        <v>0</v>
      </c>
      <c r="L840" s="556">
        <f t="shared" ca="1" si="438"/>
        <v>0</v>
      </c>
      <c r="M840" s="556"/>
      <c r="N840" s="556">
        <f t="shared" si="438"/>
        <v>0</v>
      </c>
      <c r="O840" s="556">
        <f t="shared" si="438"/>
        <v>0</v>
      </c>
      <c r="P840" s="182">
        <f>VLOOKUP($B840,dongia1,DG!$F$5,)</f>
        <v>60000</v>
      </c>
      <c r="Q840" s="554"/>
      <c r="R840" s="554"/>
      <c r="S840" s="113">
        <f t="shared" si="439"/>
        <v>120000</v>
      </c>
      <c r="T840" s="113">
        <f>$G840*Q840</f>
        <v>0</v>
      </c>
      <c r="U840" s="557">
        <f t="shared" si="440"/>
        <v>0</v>
      </c>
    </row>
    <row r="841" spans="1:21" s="552" customFormat="1" ht="15" customHeight="1">
      <c r="A841" s="621"/>
      <c r="B841" s="622" t="s">
        <v>1938</v>
      </c>
      <c r="C841" s="558" t="str">
        <f>C840</f>
        <v xml:space="preserve"> </v>
      </c>
      <c r="D841" s="553"/>
      <c r="E841" s="694" t="str">
        <f>VLOOKUP($B841,dongia1,DG!$C$5,)</f>
        <v>Cổ dê Þ 250-Fe 8x100</v>
      </c>
      <c r="F841" s="555" t="str">
        <f>VLOOKUP($B841,dongia1,DG!$D$5,)</f>
        <v>bộ</v>
      </c>
      <c r="G841" s="205">
        <v>2</v>
      </c>
      <c r="H841" s="556"/>
      <c r="I841" s="556">
        <f t="shared" ca="1" si="438"/>
        <v>0</v>
      </c>
      <c r="J841" s="556">
        <f t="shared" ca="1" si="438"/>
        <v>0</v>
      </c>
      <c r="K841" s="556">
        <f t="shared" ca="1" si="438"/>
        <v>0</v>
      </c>
      <c r="L841" s="556">
        <f t="shared" ca="1" si="438"/>
        <v>0</v>
      </c>
      <c r="M841" s="556"/>
      <c r="N841" s="556">
        <f t="shared" si="438"/>
        <v>0</v>
      </c>
      <c r="O841" s="556">
        <f t="shared" si="438"/>
        <v>0</v>
      </c>
      <c r="P841" s="182">
        <f>VLOOKUP($B841,dongia1,DG!$F$5,)</f>
        <v>60000</v>
      </c>
      <c r="Q841" s="554"/>
      <c r="R841" s="554"/>
      <c r="S841" s="113">
        <f>$G841*P841</f>
        <v>120000</v>
      </c>
      <c r="T841" s="113">
        <f>$G841*Q841</f>
        <v>0</v>
      </c>
      <c r="U841" s="557">
        <f>$G841*R841</f>
        <v>0</v>
      </c>
    </row>
    <row r="842" spans="1:21" s="552" customFormat="1" ht="15" customHeight="1">
      <c r="A842" s="621"/>
      <c r="B842" s="622" t="s">
        <v>1044</v>
      </c>
      <c r="C842" s="558" t="str">
        <f>C841</f>
        <v xml:space="preserve"> </v>
      </c>
      <c r="D842" s="553"/>
      <c r="E842" s="694" t="str">
        <f>VLOOKUP($B842,dongia1,DG!$C$5,)</f>
        <v>Boulon 16x50+ 2 long đền vuông D18-50x50x3/Zn</v>
      </c>
      <c r="F842" s="555" t="str">
        <f>VLOOKUP($B842,dongia1,DG!$D$5,)</f>
        <v>bộ</v>
      </c>
      <c r="G842" s="205">
        <v>1</v>
      </c>
      <c r="H842" s="556"/>
      <c r="I842" s="556">
        <f t="shared" ca="1" si="438"/>
        <v>0</v>
      </c>
      <c r="J842" s="556">
        <f t="shared" ca="1" si="438"/>
        <v>0</v>
      </c>
      <c r="K842" s="556">
        <f t="shared" ca="1" si="438"/>
        <v>0</v>
      </c>
      <c r="L842" s="556">
        <f t="shared" ca="1" si="438"/>
        <v>0</v>
      </c>
      <c r="M842" s="556"/>
      <c r="N842" s="556">
        <f t="shared" si="438"/>
        <v>0</v>
      </c>
      <c r="O842" s="556">
        <f t="shared" si="438"/>
        <v>0</v>
      </c>
      <c r="P842" s="182">
        <f>VLOOKUP($B842,dongia1,DG!$F$5,)</f>
        <v>12400</v>
      </c>
      <c r="Q842" s="554"/>
      <c r="R842" s="554"/>
      <c r="S842" s="113">
        <f t="shared" ref="S842:U843" si="441">$G842*P842</f>
        <v>12400</v>
      </c>
      <c r="T842" s="113">
        <f t="shared" si="441"/>
        <v>0</v>
      </c>
      <c r="U842" s="557">
        <f t="shared" si="441"/>
        <v>0</v>
      </c>
    </row>
    <row r="843" spans="1:21" s="552" customFormat="1" ht="15" customHeight="1">
      <c r="A843" s="621"/>
      <c r="B843" s="622" t="s">
        <v>1939</v>
      </c>
      <c r="C843" s="558" t="str">
        <f>C842</f>
        <v xml:space="preserve"> </v>
      </c>
      <c r="D843" s="553"/>
      <c r="E843" s="694" t="str">
        <f>VLOOKUP($B843,dongia1,DG!$C$5,)</f>
        <v>Boulon 16x100+ 2 long đền vuông D18-50x50x3/Zn</v>
      </c>
      <c r="F843" s="555" t="str">
        <f>VLOOKUP($B843,dongia1,DG!$D$5,)</f>
        <v>bộ</v>
      </c>
      <c r="G843" s="205">
        <v>8</v>
      </c>
      <c r="H843" s="556"/>
      <c r="I843" s="556">
        <f t="shared" ca="1" si="438"/>
        <v>0</v>
      </c>
      <c r="J843" s="556">
        <f t="shared" ca="1" si="438"/>
        <v>0</v>
      </c>
      <c r="K843" s="556">
        <f t="shared" ca="1" si="438"/>
        <v>0</v>
      </c>
      <c r="L843" s="556">
        <f t="shared" ca="1" si="438"/>
        <v>0</v>
      </c>
      <c r="M843" s="556"/>
      <c r="N843" s="556">
        <f t="shared" si="438"/>
        <v>0</v>
      </c>
      <c r="O843" s="556">
        <f t="shared" si="438"/>
        <v>0</v>
      </c>
      <c r="P843" s="182">
        <f>VLOOKUP($B843,dongia1,DG!$F$5,)</f>
        <v>17400</v>
      </c>
      <c r="Q843" s="554"/>
      <c r="R843" s="554"/>
      <c r="S843" s="113">
        <f t="shared" si="441"/>
        <v>139200</v>
      </c>
      <c r="T843" s="113">
        <f t="shared" si="441"/>
        <v>0</v>
      </c>
      <c r="U843" s="557">
        <f t="shared" si="441"/>
        <v>0</v>
      </c>
    </row>
    <row r="844" spans="1:21" s="552" customFormat="1" ht="15" customHeight="1">
      <c r="A844" s="621"/>
      <c r="B844" s="16" t="s">
        <v>4880</v>
      </c>
      <c r="C844" s="558" t="str">
        <f>C840</f>
        <v xml:space="preserve"> </v>
      </c>
      <c r="D844" s="553"/>
      <c r="E844" s="694" t="str">
        <f>VLOOKUP($B844,dongia1,DG!$C$5,)</f>
        <v>Lắp bộ thanh giằng cột PI (50,14kg)</v>
      </c>
      <c r="F844" s="555" t="str">
        <f>VLOOKUP($B844,dongia1,DG!$D$5,)</f>
        <v>bộ</v>
      </c>
      <c r="G844" s="205">
        <v>1</v>
      </c>
      <c r="H844" s="556"/>
      <c r="I844" s="556">
        <f t="shared" ca="1" si="438"/>
        <v>0</v>
      </c>
      <c r="J844" s="556">
        <f t="shared" ca="1" si="438"/>
        <v>0</v>
      </c>
      <c r="K844" s="556">
        <f t="shared" ca="1" si="438"/>
        <v>0</v>
      </c>
      <c r="L844" s="556">
        <f ca="1">L$838*$G844</f>
        <v>0</v>
      </c>
      <c r="M844" s="556"/>
      <c r="N844" s="556">
        <f t="shared" si="438"/>
        <v>0</v>
      </c>
      <c r="O844" s="556">
        <f t="shared" si="438"/>
        <v>0</v>
      </c>
      <c r="P844" s="182">
        <f>VLOOKUP($B844,dongia1,DG!$F$5,)</f>
        <v>0</v>
      </c>
      <c r="Q844" s="603" t="str">
        <f>TEXT(VLOOKUP($B844,dongia1,DG!$G$5,),"#,##0")&amp;" x"&amp;hslxh</f>
        <v>78646,204 x1,7</v>
      </c>
      <c r="R844" s="554"/>
      <c r="S844" s="113">
        <f t="shared" si="439"/>
        <v>0</v>
      </c>
      <c r="T844" s="603">
        <f>VLOOKUP($B844,dongia1,DG!G$5,)*G844*hslxh</f>
        <v>133698.54679999998</v>
      </c>
      <c r="U844" s="557">
        <f t="shared" si="440"/>
        <v>0</v>
      </c>
    </row>
    <row r="845" spans="1:21" s="552" customFormat="1" ht="15" customHeight="1">
      <c r="A845" s="621" t="s">
        <v>1942</v>
      </c>
      <c r="B845" s="622"/>
      <c r="C845" s="558" t="str">
        <f>IF(H845&lt;&gt;0,"x"," ")</f>
        <v xml:space="preserve"> </v>
      </c>
      <c r="D845" s="553"/>
      <c r="E845" s="727" t="s">
        <v>3595</v>
      </c>
      <c r="F845" s="600" t="s">
        <v>2113</v>
      </c>
      <c r="G845" s="205"/>
      <c r="H845" s="556"/>
      <c r="I845" s="556">
        <f ca="1">SUMIF(xa3pm,chitiet!$A845,slxa3pm)</f>
        <v>0</v>
      </c>
      <c r="J845" s="556">
        <f ca="1">SUMIF(xact,chitiet!$A845,slxact)</f>
        <v>0</v>
      </c>
      <c r="K845" s="556">
        <f ca="1">SUMIF(xa3p1m,chitiet!$A845,slxa3p1m)</f>
        <v>0</v>
      </c>
      <c r="L845" s="556">
        <f ca="1">SUMIF(xa1pm,chitiet!$A845,slxa1pm)</f>
        <v>0</v>
      </c>
      <c r="M845" s="556"/>
      <c r="N845" s="556"/>
      <c r="O845" s="556"/>
      <c r="P845" s="554"/>
      <c r="Q845" s="554"/>
      <c r="R845" s="554"/>
      <c r="S845" s="601">
        <f>SUM(S846:S851)</f>
        <v>1854898.5</v>
      </c>
      <c r="T845" s="601">
        <f>SUM(T846:T851)</f>
        <v>712441.5</v>
      </c>
      <c r="U845" s="602">
        <f>SUM(U846:U851)</f>
        <v>0</v>
      </c>
    </row>
    <row r="846" spans="1:21" s="552" customFormat="1" ht="15" customHeight="1">
      <c r="A846" s="621"/>
      <c r="B846" s="622" t="s">
        <v>386</v>
      </c>
      <c r="C846" s="558" t="str">
        <f t="shared" ref="C846:C851" si="442">C845</f>
        <v xml:space="preserve"> </v>
      </c>
      <c r="D846" s="553"/>
      <c r="E846" s="694" t="str">
        <f>VLOOKUP($B846,dongia1,DG!$C$5,)</f>
        <v>Sắt góc L75 x75 x8</v>
      </c>
      <c r="F846" s="555" t="str">
        <f>VLOOKUP($B846,dongia1,DG!$D$5,)</f>
        <v>kg</v>
      </c>
      <c r="G846" s="205">
        <f>9.02*2.3*2</f>
        <v>41.491999999999997</v>
      </c>
      <c r="H846" s="556"/>
      <c r="I846" s="556">
        <f t="shared" ref="I846:O851" ca="1" si="443">I$845*$G846</f>
        <v>0</v>
      </c>
      <c r="J846" s="556">
        <f t="shared" ca="1" si="443"/>
        <v>0</v>
      </c>
      <c r="K846" s="556">
        <f t="shared" ca="1" si="443"/>
        <v>0</v>
      </c>
      <c r="L846" s="556">
        <f t="shared" ca="1" si="443"/>
        <v>0</v>
      </c>
      <c r="M846" s="556"/>
      <c r="N846" s="556">
        <f t="shared" si="443"/>
        <v>0</v>
      </c>
      <c r="O846" s="556">
        <f t="shared" si="443"/>
        <v>0</v>
      </c>
      <c r="P846" s="182">
        <f>VLOOKUP($B846,dongia1,DG!$F$5,)</f>
        <v>31625</v>
      </c>
      <c r="Q846" s="554"/>
      <c r="R846" s="554"/>
      <c r="S846" s="113">
        <f t="shared" ref="S846:S851" si="444">$G846*P846</f>
        <v>1312184.5</v>
      </c>
      <c r="T846" s="113">
        <f>$G846*Q846</f>
        <v>0</v>
      </c>
      <c r="U846" s="557">
        <f t="shared" ref="U846:U851" si="445">$G846*R846</f>
        <v>0</v>
      </c>
    </row>
    <row r="847" spans="1:21" s="552" customFormat="1" ht="15" customHeight="1">
      <c r="A847" s="621"/>
      <c r="B847" s="622" t="s">
        <v>199</v>
      </c>
      <c r="C847" s="558" t="str">
        <f>C846</f>
        <v xml:space="preserve"> </v>
      </c>
      <c r="D847" s="553"/>
      <c r="E847" s="694" t="str">
        <f>VLOOKUP($B847,dongia1,DG!$C$5,)</f>
        <v>Ê KE 5x300x300\Zn</v>
      </c>
      <c r="F847" s="555" t="str">
        <f>VLOOKUP($B847,dongia1,DG!$D$5,)</f>
        <v>kg</v>
      </c>
      <c r="G847" s="205">
        <v>3.5</v>
      </c>
      <c r="H847" s="556"/>
      <c r="I847" s="556">
        <f t="shared" ca="1" si="443"/>
        <v>0</v>
      </c>
      <c r="J847" s="556">
        <f t="shared" ca="1" si="443"/>
        <v>0</v>
      </c>
      <c r="K847" s="556">
        <f t="shared" ca="1" si="443"/>
        <v>0</v>
      </c>
      <c r="L847" s="556">
        <f t="shared" ca="1" si="443"/>
        <v>0</v>
      </c>
      <c r="M847" s="556"/>
      <c r="N847" s="556">
        <f t="shared" si="443"/>
        <v>0</v>
      </c>
      <c r="O847" s="556">
        <f t="shared" si="443"/>
        <v>0</v>
      </c>
      <c r="P847" s="182">
        <f>VLOOKUP($B847,dongia1,DG!$F$5,)</f>
        <v>29004</v>
      </c>
      <c r="Q847" s="554"/>
      <c r="R847" s="554"/>
      <c r="S847" s="113">
        <f>$G847*P847</f>
        <v>101514</v>
      </c>
      <c r="T847" s="113">
        <f>$G847*Q847</f>
        <v>0</v>
      </c>
      <c r="U847" s="557">
        <f>$G847*R847</f>
        <v>0</v>
      </c>
    </row>
    <row r="848" spans="1:21" s="552" customFormat="1" ht="15" customHeight="1">
      <c r="A848" s="621"/>
      <c r="B848" s="622" t="s">
        <v>1938</v>
      </c>
      <c r="C848" s="558" t="str">
        <f>C846</f>
        <v xml:space="preserve"> </v>
      </c>
      <c r="D848" s="553"/>
      <c r="E848" s="694" t="str">
        <f>VLOOKUP($B848,dongia1,DG!$C$5,)</f>
        <v>Cổ dê Þ 250-Fe 8x100</v>
      </c>
      <c r="F848" s="555" t="str">
        <f>VLOOKUP($B848,dongia1,DG!$D$5,)</f>
        <v>bộ</v>
      </c>
      <c r="G848" s="205">
        <v>4</v>
      </c>
      <c r="H848" s="556"/>
      <c r="I848" s="556">
        <f t="shared" ca="1" si="443"/>
        <v>0</v>
      </c>
      <c r="J848" s="556">
        <f t="shared" ca="1" si="443"/>
        <v>0</v>
      </c>
      <c r="K848" s="556">
        <f t="shared" ca="1" si="443"/>
        <v>0</v>
      </c>
      <c r="L848" s="556">
        <f t="shared" ca="1" si="443"/>
        <v>0</v>
      </c>
      <c r="M848" s="556"/>
      <c r="N848" s="556">
        <f t="shared" si="443"/>
        <v>0</v>
      </c>
      <c r="O848" s="556">
        <f t="shared" si="443"/>
        <v>0</v>
      </c>
      <c r="P848" s="182">
        <f>VLOOKUP($B848,dongia1,DG!$F$5,)</f>
        <v>60000</v>
      </c>
      <c r="Q848" s="554"/>
      <c r="R848" s="554"/>
      <c r="S848" s="113">
        <f t="shared" si="444"/>
        <v>240000</v>
      </c>
      <c r="T848" s="113">
        <f>$G848*Q848</f>
        <v>0</v>
      </c>
      <c r="U848" s="557">
        <f t="shared" si="445"/>
        <v>0</v>
      </c>
    </row>
    <row r="849" spans="1:21" s="552" customFormat="1" ht="15" customHeight="1">
      <c r="A849" s="621"/>
      <c r="B849" s="622" t="s">
        <v>1044</v>
      </c>
      <c r="C849" s="558" t="str">
        <f t="shared" si="442"/>
        <v xml:space="preserve"> </v>
      </c>
      <c r="D849" s="553"/>
      <c r="E849" s="694" t="str">
        <f>VLOOKUP($B849,dongia1,DG!$C$5,)</f>
        <v>Boulon 16x50+ 2 long đền vuông D18-50x50x3/Zn</v>
      </c>
      <c r="F849" s="555" t="str">
        <f>VLOOKUP($B849,dongia1,DG!$D$5,)</f>
        <v>bộ</v>
      </c>
      <c r="G849" s="205">
        <v>5</v>
      </c>
      <c r="H849" s="556"/>
      <c r="I849" s="556">
        <f t="shared" ca="1" si="443"/>
        <v>0</v>
      </c>
      <c r="J849" s="556">
        <f t="shared" ca="1" si="443"/>
        <v>0</v>
      </c>
      <c r="K849" s="556">
        <f t="shared" ca="1" si="443"/>
        <v>0</v>
      </c>
      <c r="L849" s="556">
        <f t="shared" ca="1" si="443"/>
        <v>0</v>
      </c>
      <c r="M849" s="556"/>
      <c r="N849" s="556">
        <f t="shared" si="443"/>
        <v>0</v>
      </c>
      <c r="O849" s="556">
        <f t="shared" si="443"/>
        <v>0</v>
      </c>
      <c r="P849" s="182">
        <f>VLOOKUP($B849,dongia1,DG!$F$5,)</f>
        <v>12400</v>
      </c>
      <c r="Q849" s="554"/>
      <c r="R849" s="554"/>
      <c r="S849" s="113">
        <f t="shared" si="444"/>
        <v>62000</v>
      </c>
      <c r="T849" s="113">
        <f>$G849*Q849</f>
        <v>0</v>
      </c>
      <c r="U849" s="557">
        <f t="shared" si="445"/>
        <v>0</v>
      </c>
    </row>
    <row r="850" spans="1:21" s="552" customFormat="1" ht="15" customHeight="1">
      <c r="A850" s="621"/>
      <c r="B850" s="622" t="s">
        <v>1939</v>
      </c>
      <c r="C850" s="558" t="str">
        <f t="shared" si="442"/>
        <v xml:space="preserve"> </v>
      </c>
      <c r="D850" s="553"/>
      <c r="E850" s="694" t="str">
        <f>VLOOKUP($B850,dongia1,DG!$C$5,)</f>
        <v>Boulon 16x100+ 2 long đền vuông D18-50x50x3/Zn</v>
      </c>
      <c r="F850" s="555" t="str">
        <f>VLOOKUP($B850,dongia1,DG!$D$5,)</f>
        <v>bộ</v>
      </c>
      <c r="G850" s="205">
        <v>8</v>
      </c>
      <c r="H850" s="556"/>
      <c r="I850" s="556">
        <f t="shared" ca="1" si="443"/>
        <v>0</v>
      </c>
      <c r="J850" s="556">
        <f t="shared" ca="1" si="443"/>
        <v>0</v>
      </c>
      <c r="K850" s="556">
        <f t="shared" ca="1" si="443"/>
        <v>0</v>
      </c>
      <c r="L850" s="556">
        <f t="shared" ca="1" si="443"/>
        <v>0</v>
      </c>
      <c r="M850" s="556"/>
      <c r="N850" s="556">
        <f t="shared" si="443"/>
        <v>0</v>
      </c>
      <c r="O850" s="556">
        <f t="shared" si="443"/>
        <v>0</v>
      </c>
      <c r="P850" s="182">
        <f>VLOOKUP($B850,dongia1,DG!$F$5,)</f>
        <v>17400</v>
      </c>
      <c r="Q850" s="554"/>
      <c r="R850" s="554"/>
      <c r="S850" s="113">
        <f t="shared" si="444"/>
        <v>139200</v>
      </c>
      <c r="T850" s="113">
        <f>$G850*Q850</f>
        <v>0</v>
      </c>
      <c r="U850" s="557">
        <f t="shared" si="445"/>
        <v>0</v>
      </c>
    </row>
    <row r="851" spans="1:21" s="552" customFormat="1" ht="15" customHeight="1">
      <c r="A851" s="621"/>
      <c r="B851" s="622" t="s">
        <v>728</v>
      </c>
      <c r="C851" s="558" t="str">
        <f t="shared" si="442"/>
        <v xml:space="preserve"> </v>
      </c>
      <c r="D851" s="553"/>
      <c r="E851" s="694" t="str">
        <f>VLOOKUP($B851,dongia1,DG!$C$5,)</f>
        <v>Lắp xà cột Pi loại ≤140kg/xà</v>
      </c>
      <c r="F851" s="555" t="str">
        <f>VLOOKUP($B851,dongia1,DG!$D$5,)</f>
        <v>bộ</v>
      </c>
      <c r="G851" s="205">
        <v>1</v>
      </c>
      <c r="H851" s="556"/>
      <c r="I851" s="556">
        <f t="shared" ca="1" si="443"/>
        <v>0</v>
      </c>
      <c r="J851" s="556">
        <f t="shared" ca="1" si="443"/>
        <v>0</v>
      </c>
      <c r="K851" s="556">
        <f t="shared" ca="1" si="443"/>
        <v>0</v>
      </c>
      <c r="L851" s="556">
        <f ca="1">L$845*$G851</f>
        <v>0</v>
      </c>
      <c r="M851" s="556"/>
      <c r="N851" s="556">
        <f t="shared" si="443"/>
        <v>0</v>
      </c>
      <c r="O851" s="556">
        <f t="shared" si="443"/>
        <v>0</v>
      </c>
      <c r="P851" s="182">
        <f>VLOOKUP($B851,dongia1,DG!$F$5,)</f>
        <v>0</v>
      </c>
      <c r="Q851" s="603" t="str">
        <f>TEXT(VLOOKUP($B851,dongia1,DG!$G$5,),"#,##0")&amp;" x"&amp;hslx</f>
        <v>474961,0 x1,5</v>
      </c>
      <c r="R851" s="554"/>
      <c r="S851" s="113">
        <f t="shared" si="444"/>
        <v>0</v>
      </c>
      <c r="T851" s="603">
        <f>VLOOKUP($B851,dongia1,DG!G$5,)*G851*hslx</f>
        <v>712441.5</v>
      </c>
      <c r="U851" s="557">
        <f t="shared" si="445"/>
        <v>0</v>
      </c>
    </row>
    <row r="852" spans="1:21" s="552" customFormat="1" ht="15" customHeight="1">
      <c r="A852" s="621" t="s">
        <v>743</v>
      </c>
      <c r="B852" s="622"/>
      <c r="C852" s="558" t="str">
        <f>IF(H852&lt;&gt;0,"x"," ")</f>
        <v xml:space="preserve"> </v>
      </c>
      <c r="D852" s="553"/>
      <c r="E852" s="727" t="s">
        <v>3596</v>
      </c>
      <c r="F852" s="600" t="s">
        <v>2113</v>
      </c>
      <c r="G852" s="205"/>
      <c r="H852" s="556"/>
      <c r="I852" s="556">
        <f ca="1">SUMIF(xa3pm,chitiet!$A852,slxa3pm)</f>
        <v>0</v>
      </c>
      <c r="J852" s="556">
        <f ca="1">SUMIF(xact,chitiet!$A852,slxact)</f>
        <v>0</v>
      </c>
      <c r="K852" s="556">
        <f ca="1">SUMIF(xa3p1m,chitiet!$A852,slxa3p1m)</f>
        <v>0</v>
      </c>
      <c r="L852" s="556">
        <f ca="1">SUMIF(xa1pm,chitiet!$A852,slxa1pm)</f>
        <v>0</v>
      </c>
      <c r="M852" s="556"/>
      <c r="N852" s="556"/>
      <c r="O852" s="556"/>
      <c r="P852" s="554"/>
      <c r="Q852" s="554"/>
      <c r="R852" s="554"/>
      <c r="S852" s="601">
        <f>SUM(S853:S856)</f>
        <v>479771.6</v>
      </c>
      <c r="T852" s="601">
        <f>SUM(T853:T856)</f>
        <v>328777.875</v>
      </c>
      <c r="U852" s="602">
        <f>SUM(U853:U856)</f>
        <v>0</v>
      </c>
    </row>
    <row r="853" spans="1:21" s="552" customFormat="1" ht="15" customHeight="1">
      <c r="A853" s="621"/>
      <c r="B853" s="622" t="s">
        <v>2</v>
      </c>
      <c r="C853" s="558" t="str">
        <f>C852</f>
        <v xml:space="preserve"> </v>
      </c>
      <c r="D853" s="553"/>
      <c r="E853" s="694" t="str">
        <f>VLOOKUP($B853,dongia1,DG!$C$5,)</f>
        <v>Sắt góc L50 x50 x5</v>
      </c>
      <c r="F853" s="555" t="str">
        <f>VLOOKUP($B853,dongia1,DG!$D$5,)</f>
        <v>kg</v>
      </c>
      <c r="G853" s="205">
        <f>3.77*(0.72)*4</f>
        <v>10.8576</v>
      </c>
      <c r="H853" s="556"/>
      <c r="I853" s="556">
        <f t="shared" ref="I853:O856" ca="1" si="446">I$852*$G853</f>
        <v>0</v>
      </c>
      <c r="J853" s="556">
        <f t="shared" ca="1" si="446"/>
        <v>0</v>
      </c>
      <c r="K853" s="556">
        <f t="shared" ca="1" si="446"/>
        <v>0</v>
      </c>
      <c r="L853" s="556">
        <f t="shared" ca="1" si="446"/>
        <v>0</v>
      </c>
      <c r="M853" s="556"/>
      <c r="N853" s="556">
        <f t="shared" si="446"/>
        <v>0</v>
      </c>
      <c r="O853" s="556">
        <f t="shared" si="446"/>
        <v>0</v>
      </c>
      <c r="P853" s="182">
        <f>VLOOKUP($B853,dongia1,DG!$F$5,)</f>
        <v>31625</v>
      </c>
      <c r="Q853" s="554"/>
      <c r="R853" s="554"/>
      <c r="S853" s="113">
        <f t="shared" ref="S853:U856" si="447">$G853*P853</f>
        <v>343371.6</v>
      </c>
      <c r="T853" s="113">
        <f t="shared" si="447"/>
        <v>0</v>
      </c>
      <c r="U853" s="557">
        <f t="shared" si="447"/>
        <v>0</v>
      </c>
    </row>
    <row r="854" spans="1:21" s="552" customFormat="1" ht="15" customHeight="1">
      <c r="A854" s="621"/>
      <c r="B854" s="622" t="s">
        <v>733</v>
      </c>
      <c r="C854" s="558" t="str">
        <f>C853</f>
        <v xml:space="preserve"> </v>
      </c>
      <c r="D854" s="553"/>
      <c r="E854" s="694" t="str">
        <f>VLOOKUP($B854,dongia1,DG!$C$5,)</f>
        <v>Boulon 16x350+ 2 long đền vuông D18-50x50x3/Zn</v>
      </c>
      <c r="F854" s="555" t="str">
        <f>VLOOKUP($B854,dongia1,DG!$D$5,)</f>
        <v>bộ</v>
      </c>
      <c r="G854" s="205">
        <v>4</v>
      </c>
      <c r="H854" s="556"/>
      <c r="I854" s="556">
        <f t="shared" ca="1" si="446"/>
        <v>0</v>
      </c>
      <c r="J854" s="556">
        <f t="shared" ca="1" si="446"/>
        <v>0</v>
      </c>
      <c r="K854" s="556">
        <f t="shared" ca="1" si="446"/>
        <v>0</v>
      </c>
      <c r="L854" s="556">
        <f t="shared" ca="1" si="446"/>
        <v>0</v>
      </c>
      <c r="M854" s="556"/>
      <c r="N854" s="556">
        <f t="shared" si="446"/>
        <v>0</v>
      </c>
      <c r="O854" s="556">
        <f t="shared" si="446"/>
        <v>0</v>
      </c>
      <c r="P854" s="182">
        <f>VLOOKUP($B854,dongia1,DG!$F$5,)</f>
        <v>27900</v>
      </c>
      <c r="Q854" s="554"/>
      <c r="R854" s="554"/>
      <c r="S854" s="113">
        <f t="shared" si="447"/>
        <v>111600</v>
      </c>
      <c r="T854" s="113">
        <f t="shared" si="447"/>
        <v>0</v>
      </c>
      <c r="U854" s="557">
        <f t="shared" si="447"/>
        <v>0</v>
      </c>
    </row>
    <row r="855" spans="1:21" s="552" customFormat="1" ht="15" customHeight="1">
      <c r="A855" s="621"/>
      <c r="B855" s="622" t="s">
        <v>1044</v>
      </c>
      <c r="C855" s="558" t="str">
        <f>C854</f>
        <v xml:space="preserve"> </v>
      </c>
      <c r="D855" s="553"/>
      <c r="E855" s="694" t="str">
        <f>VLOOKUP($B855,dongia1,DG!$C$5,)</f>
        <v>Boulon 16x50+ 2 long đền vuông D18-50x50x3/Zn</v>
      </c>
      <c r="F855" s="555" t="str">
        <f>VLOOKUP($B855,dongia1,DG!$D$5,)</f>
        <v>bộ</v>
      </c>
      <c r="G855" s="205">
        <v>2</v>
      </c>
      <c r="H855" s="556"/>
      <c r="I855" s="556">
        <f t="shared" ca="1" si="446"/>
        <v>0</v>
      </c>
      <c r="J855" s="556">
        <f t="shared" ca="1" si="446"/>
        <v>0</v>
      </c>
      <c r="K855" s="556">
        <f t="shared" ca="1" si="446"/>
        <v>0</v>
      </c>
      <c r="L855" s="556">
        <f t="shared" ca="1" si="446"/>
        <v>0</v>
      </c>
      <c r="M855" s="556"/>
      <c r="N855" s="556">
        <f t="shared" si="446"/>
        <v>0</v>
      </c>
      <c r="O855" s="556">
        <f t="shared" si="446"/>
        <v>0</v>
      </c>
      <c r="P855" s="182">
        <f>VLOOKUP($B855,dongia1,DG!$F$5,)</f>
        <v>12400</v>
      </c>
      <c r="Q855" s="554"/>
      <c r="R855" s="554"/>
      <c r="S855" s="113">
        <f t="shared" si="447"/>
        <v>24800</v>
      </c>
      <c r="T855" s="113">
        <f t="shared" si="447"/>
        <v>0</v>
      </c>
      <c r="U855" s="557">
        <f t="shared" si="447"/>
        <v>0</v>
      </c>
    </row>
    <row r="856" spans="1:21" s="552" customFormat="1" ht="15" customHeight="1">
      <c r="A856" s="621"/>
      <c r="B856" s="622" t="s">
        <v>534</v>
      </c>
      <c r="C856" s="558" t="str">
        <f>C854</f>
        <v xml:space="preserve"> </v>
      </c>
      <c r="D856" s="553"/>
      <c r="E856" s="694" t="str">
        <f>VLOOKUP($B856,dongia1,DG!$C$5,)</f>
        <v>Lắp xà đỡ 25kg</v>
      </c>
      <c r="F856" s="555" t="str">
        <f>VLOOKUP($B856,dongia1,DG!$D$5,)</f>
        <v>bộ</v>
      </c>
      <c r="G856" s="205">
        <v>1</v>
      </c>
      <c r="H856" s="556"/>
      <c r="I856" s="556">
        <f t="shared" ca="1" si="446"/>
        <v>0</v>
      </c>
      <c r="J856" s="556">
        <f t="shared" ca="1" si="446"/>
        <v>0</v>
      </c>
      <c r="K856" s="556">
        <f t="shared" ca="1" si="446"/>
        <v>0</v>
      </c>
      <c r="L856" s="556">
        <f t="shared" ca="1" si="446"/>
        <v>0</v>
      </c>
      <c r="M856" s="556"/>
      <c r="N856" s="556">
        <f t="shared" si="446"/>
        <v>0</v>
      </c>
      <c r="O856" s="556">
        <f t="shared" si="446"/>
        <v>0</v>
      </c>
      <c r="P856" s="182">
        <f>VLOOKUP($B856,dongia1,DG!$F$5,)</f>
        <v>0</v>
      </c>
      <c r="Q856" s="603" t="str">
        <f>TEXT(VLOOKUP($B856,dongia1,DG!$G$5,),"#,##0")&amp;" x"&amp;hslx</f>
        <v>219185,250 x1,5</v>
      </c>
      <c r="R856" s="554"/>
      <c r="S856" s="113">
        <f t="shared" si="447"/>
        <v>0</v>
      </c>
      <c r="T856" s="603">
        <f>VLOOKUP($B856,dongia1,DG!G$5,)*G856*hslx</f>
        <v>328777.875</v>
      </c>
      <c r="U856" s="557">
        <f t="shared" si="447"/>
        <v>0</v>
      </c>
    </row>
    <row r="857" spans="1:21" s="552" customFormat="1" ht="15" customHeight="1">
      <c r="A857" s="621" t="s">
        <v>1210</v>
      </c>
      <c r="B857" s="622"/>
      <c r="C857" s="558" t="str">
        <f>IF(H857&lt;&gt;0,"x"," ")</f>
        <v xml:space="preserve"> </v>
      </c>
      <c r="D857" s="553"/>
      <c r="E857" s="727" t="s">
        <v>3597</v>
      </c>
      <c r="F857" s="600" t="s">
        <v>2113</v>
      </c>
      <c r="G857" s="205"/>
      <c r="H857" s="556"/>
      <c r="I857" s="556">
        <f ca="1">SUMIF(xa3pm,chitiet!$A857,slxa3pm)</f>
        <v>0</v>
      </c>
      <c r="J857" s="556">
        <f ca="1">SUMIF(xact,chitiet!$A857,slxact)</f>
        <v>0</v>
      </c>
      <c r="K857" s="556">
        <f ca="1">SUMIF(xa3p1m,chitiet!$A857,slxa3p1m)</f>
        <v>0</v>
      </c>
      <c r="L857" s="556">
        <f ca="1">SUMIF(xa1pm,chitiet!$A857,slxa1pm)</f>
        <v>0</v>
      </c>
      <c r="M857" s="556"/>
      <c r="N857" s="556"/>
      <c r="O857" s="556"/>
      <c r="P857" s="554"/>
      <c r="Q857" s="554"/>
      <c r="R857" s="554"/>
      <c r="S857" s="601">
        <f>SUM(S858:S860)</f>
        <v>154800</v>
      </c>
      <c r="T857" s="601">
        <f>SUM(T858:T860)</f>
        <v>328777.875</v>
      </c>
      <c r="U857" s="602">
        <f>SUM(U858:U860)</f>
        <v>0</v>
      </c>
    </row>
    <row r="858" spans="1:21" s="552" customFormat="1" ht="15" customHeight="1">
      <c r="A858" s="621"/>
      <c r="B858" s="622" t="s">
        <v>1937</v>
      </c>
      <c r="C858" s="558" t="str">
        <f>C857</f>
        <v xml:space="preserve"> </v>
      </c>
      <c r="D858" s="553"/>
      <c r="E858" s="694" t="str">
        <f>VLOOKUP($B858,dongia1,DG!$C$5,)</f>
        <v>Cổ dê  Þ 240-Fe 8x100</v>
      </c>
      <c r="F858" s="555" t="str">
        <f>VLOOKUP($B858,dongia1,DG!$D$5,)</f>
        <v>bộ</v>
      </c>
      <c r="G858" s="205">
        <v>2</v>
      </c>
      <c r="H858" s="556"/>
      <c r="I858" s="556">
        <f t="shared" ref="I858:O860" ca="1" si="448">I$857*$G858</f>
        <v>0</v>
      </c>
      <c r="J858" s="556">
        <f t="shared" ca="1" si="448"/>
        <v>0</v>
      </c>
      <c r="K858" s="556">
        <f t="shared" ca="1" si="448"/>
        <v>0</v>
      </c>
      <c r="L858" s="556">
        <f t="shared" ca="1" si="448"/>
        <v>0</v>
      </c>
      <c r="M858" s="556"/>
      <c r="N858" s="556">
        <f t="shared" si="448"/>
        <v>0</v>
      </c>
      <c r="O858" s="556">
        <f t="shared" si="448"/>
        <v>0</v>
      </c>
      <c r="P858" s="182">
        <f>VLOOKUP($B858,dongia1,DG!$F$5,)</f>
        <v>60000</v>
      </c>
      <c r="Q858" s="554"/>
      <c r="R858" s="554"/>
      <c r="S858" s="113">
        <f t="shared" ref="S858:U860" si="449">$G858*P858</f>
        <v>120000</v>
      </c>
      <c r="T858" s="113">
        <f t="shared" si="449"/>
        <v>0</v>
      </c>
      <c r="U858" s="557">
        <f t="shared" si="449"/>
        <v>0</v>
      </c>
    </row>
    <row r="859" spans="1:21" s="552" customFormat="1" ht="15" customHeight="1">
      <c r="A859" s="621"/>
      <c r="B859" s="622" t="s">
        <v>1939</v>
      </c>
      <c r="C859" s="558" t="str">
        <f>C858</f>
        <v xml:space="preserve"> </v>
      </c>
      <c r="D859" s="553"/>
      <c r="E859" s="694" t="str">
        <f>VLOOKUP($B859,dongia1,DG!$C$5,)</f>
        <v>Boulon 16x100+ 2 long đền vuông D18-50x50x3/Zn</v>
      </c>
      <c r="F859" s="555" t="str">
        <f>VLOOKUP($B859,dongia1,DG!$D$5,)</f>
        <v>bộ</v>
      </c>
      <c r="G859" s="205">
        <v>2</v>
      </c>
      <c r="H859" s="556"/>
      <c r="I859" s="556">
        <f t="shared" ca="1" si="448"/>
        <v>0</v>
      </c>
      <c r="J859" s="556">
        <f t="shared" ca="1" si="448"/>
        <v>0</v>
      </c>
      <c r="K859" s="556">
        <f t="shared" ca="1" si="448"/>
        <v>0</v>
      </c>
      <c r="L859" s="556">
        <f t="shared" ca="1" si="448"/>
        <v>0</v>
      </c>
      <c r="M859" s="556"/>
      <c r="N859" s="556">
        <f t="shared" si="448"/>
        <v>0</v>
      </c>
      <c r="O859" s="556">
        <f t="shared" si="448"/>
        <v>0</v>
      </c>
      <c r="P859" s="182">
        <f>VLOOKUP($B859,dongia1,DG!$F$5,)</f>
        <v>17400</v>
      </c>
      <c r="Q859" s="554"/>
      <c r="R859" s="554"/>
      <c r="S859" s="113">
        <f t="shared" si="449"/>
        <v>34800</v>
      </c>
      <c r="T859" s="113">
        <f t="shared" si="449"/>
        <v>0</v>
      </c>
      <c r="U859" s="557">
        <f t="shared" si="449"/>
        <v>0</v>
      </c>
    </row>
    <row r="860" spans="1:21" s="552" customFormat="1" ht="15" customHeight="1">
      <c r="A860" s="621"/>
      <c r="B860" s="622" t="s">
        <v>534</v>
      </c>
      <c r="C860" s="558" t="str">
        <f>C859</f>
        <v xml:space="preserve"> </v>
      </c>
      <c r="D860" s="553"/>
      <c r="E860" s="694" t="str">
        <f>VLOOKUP($B860,dongia1,DG!$C$5,)</f>
        <v>Lắp xà đỡ 25kg</v>
      </c>
      <c r="F860" s="555" t="str">
        <f>VLOOKUP($B860,dongia1,DG!$D$5,)</f>
        <v>bộ</v>
      </c>
      <c r="G860" s="205">
        <v>1</v>
      </c>
      <c r="H860" s="556"/>
      <c r="I860" s="556">
        <f t="shared" ca="1" si="448"/>
        <v>0</v>
      </c>
      <c r="J860" s="556">
        <f t="shared" ca="1" si="448"/>
        <v>0</v>
      </c>
      <c r="K860" s="556">
        <f t="shared" ca="1" si="448"/>
        <v>0</v>
      </c>
      <c r="L860" s="556">
        <f t="shared" ca="1" si="448"/>
        <v>0</v>
      </c>
      <c r="M860" s="556"/>
      <c r="N860" s="556">
        <f t="shared" si="448"/>
        <v>0</v>
      </c>
      <c r="O860" s="556">
        <f t="shared" si="448"/>
        <v>0</v>
      </c>
      <c r="P860" s="182">
        <f>VLOOKUP($B860,dongia1,DG!$F$5,)</f>
        <v>0</v>
      </c>
      <c r="Q860" s="603" t="str">
        <f>TEXT(VLOOKUP($B860,dongia1,DG!$G$5,),"#,##0")&amp;" x"&amp;hslx</f>
        <v>219185,250 x1,5</v>
      </c>
      <c r="R860" s="554"/>
      <c r="S860" s="113">
        <f t="shared" si="449"/>
        <v>0</v>
      </c>
      <c r="T860" s="603">
        <f>VLOOKUP($B860,dongia1,DG!G$5,)*G860*hslx</f>
        <v>328777.875</v>
      </c>
      <c r="U860" s="557">
        <f t="shared" si="449"/>
        <v>0</v>
      </c>
    </row>
    <row r="861" spans="1:21" s="552" customFormat="1" ht="15" customHeight="1">
      <c r="A861" s="621" t="s">
        <v>1612</v>
      </c>
      <c r="B861" s="622"/>
      <c r="C861" s="558" t="str">
        <f>IF(H861&lt;&gt;0,"x"," ")</f>
        <v xml:space="preserve"> </v>
      </c>
      <c r="D861" s="553"/>
      <c r="E861" s="727" t="s">
        <v>3598</v>
      </c>
      <c r="F861" s="600" t="s">
        <v>2113</v>
      </c>
      <c r="G861" s="205"/>
      <c r="H861" s="556"/>
      <c r="I861" s="556">
        <f ca="1">SUMIF(chang3pm,chitiet!$A861,slchang3pm)</f>
        <v>0</v>
      </c>
      <c r="J861" s="556">
        <f ca="1">SUMIF(changct,chitiet!$A861,slchangct)</f>
        <v>0</v>
      </c>
      <c r="K861" s="556">
        <f ca="1">SUMIF(chang3p1m,chitiet!$A861,slchang3p1m)</f>
        <v>0</v>
      </c>
      <c r="L861" s="556">
        <f ca="1">SUMIF(chang1pm,chitiet!$A861,slchang1pm)</f>
        <v>0</v>
      </c>
      <c r="M861" s="556"/>
      <c r="N861" s="556">
        <f ca="1">SUMIF(changHTDL,chitiet!$A861,Slchanghtdl)</f>
        <v>0</v>
      </c>
      <c r="O861" s="556"/>
      <c r="P861" s="554"/>
      <c r="Q861" s="554"/>
      <c r="R861" s="554"/>
      <c r="S861" s="601">
        <f>SUM(S862:S868)</f>
        <v>901100</v>
      </c>
      <c r="T861" s="601">
        <f>SUM(T862:T868)</f>
        <v>99000</v>
      </c>
      <c r="U861" s="602">
        <f>SUM(U862:U868)</f>
        <v>0</v>
      </c>
    </row>
    <row r="862" spans="1:21" s="552" customFormat="1" ht="15" customHeight="1">
      <c r="A862" s="621"/>
      <c r="B862" s="622" t="s">
        <v>1432</v>
      </c>
      <c r="C862" s="558" t="str">
        <f t="shared" ref="C862:C868" si="450">C861</f>
        <v xml:space="preserve"> </v>
      </c>
      <c r="D862" s="553"/>
      <c r="E862" s="694" t="str">
        <f>VLOOKUP($B862,dongia1,DG!$C$5,)</f>
        <v>Boulon mắt 16x250+ 1 long đền vuông D18-50x50x3/Zn</v>
      </c>
      <c r="F862" s="555" t="str">
        <f>VLOOKUP($B862,dongia1,DG!$D$5,)</f>
        <v>bộ</v>
      </c>
      <c r="G862" s="205">
        <v>1</v>
      </c>
      <c r="H862" s="556"/>
      <c r="I862" s="556">
        <f t="shared" ref="I862:O868" ca="1" si="451">I$861*$G862</f>
        <v>0</v>
      </c>
      <c r="J862" s="556">
        <f t="shared" ca="1" si="451"/>
        <v>0</v>
      </c>
      <c r="K862" s="556">
        <f t="shared" ca="1" si="451"/>
        <v>0</v>
      </c>
      <c r="L862" s="556">
        <f t="shared" ca="1" si="451"/>
        <v>0</v>
      </c>
      <c r="M862" s="556"/>
      <c r="N862" s="556">
        <f t="shared" ca="1" si="451"/>
        <v>0</v>
      </c>
      <c r="O862" s="556">
        <f t="shared" si="451"/>
        <v>0</v>
      </c>
      <c r="P862" s="182">
        <f>VLOOKUP($B862,dongia1,DG!$F$5,)</f>
        <v>29200</v>
      </c>
      <c r="Q862" s="554"/>
      <c r="R862" s="554"/>
      <c r="S862" s="113">
        <f t="shared" ref="S862:S868" si="452">$G862*P862</f>
        <v>29200</v>
      </c>
      <c r="T862" s="113">
        <f t="shared" ref="T862:T868" si="453">$G862*Q862</f>
        <v>0</v>
      </c>
      <c r="U862" s="557">
        <f t="shared" ref="U862:U868" si="454">$G862*R862</f>
        <v>0</v>
      </c>
    </row>
    <row r="863" spans="1:21" s="552" customFormat="1" ht="15" customHeight="1">
      <c r="A863" s="621"/>
      <c r="B863" s="622" t="s">
        <v>1005</v>
      </c>
      <c r="C863" s="558" t="str">
        <f t="shared" si="450"/>
        <v xml:space="preserve"> </v>
      </c>
      <c r="D863" s="553"/>
      <c r="E863" s="694" t="str">
        <f>VLOOKUP($B863,dongia1,DG!$C$5,)</f>
        <v>Sứ chằng</v>
      </c>
      <c r="F863" s="555" t="str">
        <f>VLOOKUP($B863,dongia1,DG!$D$5,)</f>
        <v>cái</v>
      </c>
      <c r="G863" s="205">
        <v>1</v>
      </c>
      <c r="H863" s="556"/>
      <c r="I863" s="556">
        <f t="shared" ca="1" si="451"/>
        <v>0</v>
      </c>
      <c r="J863" s="556">
        <f t="shared" ca="1" si="451"/>
        <v>0</v>
      </c>
      <c r="K863" s="556">
        <f t="shared" ca="1" si="451"/>
        <v>0</v>
      </c>
      <c r="L863" s="556">
        <f t="shared" ca="1" si="451"/>
        <v>0</v>
      </c>
      <c r="M863" s="556"/>
      <c r="N863" s="556">
        <f t="shared" ca="1" si="451"/>
        <v>0</v>
      </c>
      <c r="O863" s="556">
        <f t="shared" si="451"/>
        <v>0</v>
      </c>
      <c r="P863" s="182">
        <f>VLOOKUP($B863,dongia1,DG!$F$5,)</f>
        <v>38000</v>
      </c>
      <c r="Q863" s="554"/>
      <c r="R863" s="554"/>
      <c r="S863" s="113">
        <f t="shared" si="452"/>
        <v>38000</v>
      </c>
      <c r="T863" s="113">
        <f t="shared" si="453"/>
        <v>0</v>
      </c>
      <c r="U863" s="557">
        <f t="shared" si="454"/>
        <v>0</v>
      </c>
    </row>
    <row r="864" spans="1:21" s="552" customFormat="1" ht="15" customHeight="1">
      <c r="A864" s="621"/>
      <c r="B864" s="622" t="s">
        <v>204</v>
      </c>
      <c r="C864" s="558" t="str">
        <f t="shared" si="450"/>
        <v xml:space="preserve"> </v>
      </c>
      <c r="D864" s="553"/>
      <c r="E864" s="694" t="str">
        <f>VLOOKUP($B864,dongia1,DG!$C$5,)</f>
        <v>Kẹp cáp 3 boulon</v>
      </c>
      <c r="F864" s="555" t="str">
        <f>VLOOKUP($B864,dongia1,DG!$D$5,)</f>
        <v>cái</v>
      </c>
      <c r="G864" s="205">
        <v>4</v>
      </c>
      <c r="H864" s="556"/>
      <c r="I864" s="556">
        <f t="shared" ca="1" si="451"/>
        <v>0</v>
      </c>
      <c r="J864" s="556">
        <f t="shared" ca="1" si="451"/>
        <v>0</v>
      </c>
      <c r="K864" s="556">
        <f t="shared" ca="1" si="451"/>
        <v>0</v>
      </c>
      <c r="L864" s="556">
        <f t="shared" ca="1" si="451"/>
        <v>0</v>
      </c>
      <c r="M864" s="556"/>
      <c r="N864" s="556">
        <f t="shared" ca="1" si="451"/>
        <v>0</v>
      </c>
      <c r="O864" s="556">
        <f t="shared" si="451"/>
        <v>0</v>
      </c>
      <c r="P864" s="182">
        <f>VLOOKUP($B864,dongia1,DG!$F$5,)</f>
        <v>38000</v>
      </c>
      <c r="Q864" s="554"/>
      <c r="R864" s="554"/>
      <c r="S864" s="113">
        <f t="shared" si="452"/>
        <v>152000</v>
      </c>
      <c r="T864" s="113">
        <f t="shared" si="453"/>
        <v>0</v>
      </c>
      <c r="U864" s="557">
        <f t="shared" si="454"/>
        <v>0</v>
      </c>
    </row>
    <row r="865" spans="1:21" s="552" customFormat="1" ht="15" customHeight="1">
      <c r="A865" s="621"/>
      <c r="B865" s="622" t="s">
        <v>2075</v>
      </c>
      <c r="C865" s="558" t="str">
        <f t="shared" si="450"/>
        <v xml:space="preserve"> </v>
      </c>
      <c r="D865" s="553"/>
      <c r="E865" s="694" t="str">
        <f>VLOOKUP($B865,dongia1,DG!$C$5,)</f>
        <v>Cáp thép 3/8"</v>
      </c>
      <c r="F865" s="555" t="str">
        <f>VLOOKUP($B865,dongia1,DG!$D$5,)</f>
        <v>kg</v>
      </c>
      <c r="G865" s="205">
        <v>13</v>
      </c>
      <c r="H865" s="556"/>
      <c r="I865" s="556">
        <f t="shared" ca="1" si="451"/>
        <v>0</v>
      </c>
      <c r="J865" s="556">
        <f t="shared" ca="1" si="451"/>
        <v>0</v>
      </c>
      <c r="K865" s="556">
        <f t="shared" ca="1" si="451"/>
        <v>0</v>
      </c>
      <c r="L865" s="556">
        <f t="shared" ca="1" si="451"/>
        <v>0</v>
      </c>
      <c r="M865" s="556"/>
      <c r="N865" s="556">
        <f t="shared" ca="1" si="451"/>
        <v>0</v>
      </c>
      <c r="O865" s="556">
        <f t="shared" si="451"/>
        <v>0</v>
      </c>
      <c r="P865" s="182">
        <f>VLOOKUP($B865,dongia1,DG!$F$5,)</f>
        <v>47300</v>
      </c>
      <c r="Q865" s="182"/>
      <c r="R865" s="554"/>
      <c r="S865" s="113">
        <f t="shared" si="452"/>
        <v>614900</v>
      </c>
      <c r="T865" s="113">
        <f t="shared" si="453"/>
        <v>0</v>
      </c>
      <c r="U865" s="557">
        <f t="shared" si="454"/>
        <v>0</v>
      </c>
    </row>
    <row r="866" spans="1:21" s="552" customFormat="1" ht="15" customHeight="1">
      <c r="A866" s="621"/>
      <c r="B866" s="622" t="s">
        <v>537</v>
      </c>
      <c r="C866" s="558" t="str">
        <f t="shared" si="450"/>
        <v xml:space="preserve"> </v>
      </c>
      <c r="D866" s="553"/>
      <c r="E866" s="694" t="str">
        <f>VLOOKUP($B866,dongia1,DG!$C$5,)</f>
        <v>Yếm đỡ dày chằng F1/2 mạ Zn (Yếm cáp)</v>
      </c>
      <c r="F866" s="555" t="str">
        <f>VLOOKUP($B866,dongia1,DG!$D$5,)</f>
        <v>cái</v>
      </c>
      <c r="G866" s="205">
        <v>2</v>
      </c>
      <c r="H866" s="556"/>
      <c r="I866" s="556">
        <f t="shared" ca="1" si="451"/>
        <v>0</v>
      </c>
      <c r="J866" s="556">
        <f t="shared" ca="1" si="451"/>
        <v>0</v>
      </c>
      <c r="K866" s="556">
        <f t="shared" ca="1" si="451"/>
        <v>0</v>
      </c>
      <c r="L866" s="556">
        <f t="shared" ca="1" si="451"/>
        <v>0</v>
      </c>
      <c r="M866" s="556"/>
      <c r="N866" s="556">
        <f t="shared" ca="1" si="451"/>
        <v>0</v>
      </c>
      <c r="O866" s="556">
        <f t="shared" si="451"/>
        <v>0</v>
      </c>
      <c r="P866" s="182">
        <f>VLOOKUP($B866,dongia1,DG!$F$5,)</f>
        <v>6000</v>
      </c>
      <c r="Q866" s="182"/>
      <c r="R866" s="554"/>
      <c r="S866" s="113">
        <f t="shared" si="452"/>
        <v>12000</v>
      </c>
      <c r="T866" s="113">
        <f t="shared" si="453"/>
        <v>0</v>
      </c>
      <c r="U866" s="557">
        <f t="shared" si="454"/>
        <v>0</v>
      </c>
    </row>
    <row r="867" spans="1:21" s="552" customFormat="1" ht="15" customHeight="1">
      <c r="A867" s="621"/>
      <c r="B867" s="622" t="s">
        <v>538</v>
      </c>
      <c r="C867" s="558" t="str">
        <f t="shared" si="450"/>
        <v xml:space="preserve"> </v>
      </c>
      <c r="D867" s="553"/>
      <c r="E867" s="694" t="str">
        <f>VLOOKUP($B867,dongia1,DG!$C$5,)</f>
        <v>Máng che dây chằng dày 1,6mm 0,4x2000</v>
      </c>
      <c r="F867" s="555" t="str">
        <f>VLOOKUP($B867,dongia1,DG!$D$5,)</f>
        <v>cái</v>
      </c>
      <c r="G867" s="205">
        <v>1</v>
      </c>
      <c r="H867" s="556"/>
      <c r="I867" s="556">
        <f t="shared" ca="1" si="451"/>
        <v>0</v>
      </c>
      <c r="J867" s="556">
        <f t="shared" ca="1" si="451"/>
        <v>0</v>
      </c>
      <c r="K867" s="556">
        <f t="shared" ca="1" si="451"/>
        <v>0</v>
      </c>
      <c r="L867" s="556">
        <f t="shared" ca="1" si="451"/>
        <v>0</v>
      </c>
      <c r="M867" s="556"/>
      <c r="N867" s="556">
        <f t="shared" ca="1" si="451"/>
        <v>0</v>
      </c>
      <c r="O867" s="556">
        <f t="shared" si="451"/>
        <v>0</v>
      </c>
      <c r="P867" s="182">
        <f>VLOOKUP($B867,dongia1,DG!$F$5,)</f>
        <v>55000</v>
      </c>
      <c r="Q867" s="182"/>
      <c r="R867" s="554"/>
      <c r="S867" s="113">
        <f t="shared" si="452"/>
        <v>55000</v>
      </c>
      <c r="T867" s="113">
        <f t="shared" si="453"/>
        <v>0</v>
      </c>
      <c r="U867" s="557">
        <f t="shared" si="454"/>
        <v>0</v>
      </c>
    </row>
    <row r="868" spans="1:21" s="552" customFormat="1" ht="15" customHeight="1">
      <c r="A868" s="621"/>
      <c r="B868" s="622" t="s">
        <v>1828</v>
      </c>
      <c r="C868" s="558" t="str">
        <f t="shared" si="450"/>
        <v xml:space="preserve"> </v>
      </c>
      <c r="D868" s="553"/>
      <c r="E868" s="694" t="str">
        <f>VLOOKUP($B868,dongia1,DG!$C$5,)</f>
        <v>Lắp bộ dây néo</v>
      </c>
      <c r="F868" s="555" t="str">
        <f>VLOOKUP($B868,dongia1,DG!$D$5,)</f>
        <v>bộ</v>
      </c>
      <c r="G868" s="205">
        <f>G862</f>
        <v>1</v>
      </c>
      <c r="H868" s="556"/>
      <c r="I868" s="556">
        <f t="shared" ca="1" si="451"/>
        <v>0</v>
      </c>
      <c r="J868" s="556">
        <f t="shared" ca="1" si="451"/>
        <v>0</v>
      </c>
      <c r="K868" s="556">
        <f t="shared" ca="1" si="451"/>
        <v>0</v>
      </c>
      <c r="L868" s="556">
        <f t="shared" ca="1" si="451"/>
        <v>0</v>
      </c>
      <c r="M868" s="556"/>
      <c r="N868" s="556">
        <f t="shared" ca="1" si="451"/>
        <v>0</v>
      </c>
      <c r="O868" s="556">
        <f t="shared" si="451"/>
        <v>0</v>
      </c>
      <c r="P868" s="554"/>
      <c r="Q868" s="182">
        <f>VLOOKUP($B868,dongia1,DG!$G$5,)</f>
        <v>99000</v>
      </c>
      <c r="R868" s="554"/>
      <c r="S868" s="113">
        <f t="shared" si="452"/>
        <v>0</v>
      </c>
      <c r="T868" s="113">
        <f t="shared" si="453"/>
        <v>99000</v>
      </c>
      <c r="U868" s="557">
        <f t="shared" si="454"/>
        <v>0</v>
      </c>
    </row>
    <row r="869" spans="1:21" s="552" customFormat="1" ht="15" customHeight="1">
      <c r="A869" s="621" t="s">
        <v>1526</v>
      </c>
      <c r="B869" s="622"/>
      <c r="C869" s="558" t="str">
        <f>IF(H869&lt;&gt;0,"x"," ")</f>
        <v xml:space="preserve"> </v>
      </c>
      <c r="D869" s="553"/>
      <c r="E869" s="727" t="s">
        <v>3599</v>
      </c>
      <c r="F869" s="600" t="s">
        <v>2113</v>
      </c>
      <c r="G869" s="205"/>
      <c r="H869" s="556"/>
      <c r="I869" s="556">
        <f ca="1">SUMIF(chang3pm,chitiet!$A869,slchang3pm)</f>
        <v>0</v>
      </c>
      <c r="J869" s="556">
        <f ca="1">SUMIF(changct,chitiet!$A869,slchangct)</f>
        <v>0</v>
      </c>
      <c r="K869" s="556">
        <f ca="1">SUMIF(chang3p1m,chitiet!$A869,slchang3p1m)</f>
        <v>0</v>
      </c>
      <c r="L869" s="556">
        <f ca="1">SUMIF(chang1pm,chitiet!$A869,slchang1pm)</f>
        <v>0</v>
      </c>
      <c r="M869" s="556"/>
      <c r="N869" s="556">
        <f ca="1">SUMIF(changHTDL,chitiet!$A869,Slchanghtdl)</f>
        <v>0</v>
      </c>
      <c r="O869" s="556"/>
      <c r="P869" s="554"/>
      <c r="Q869" s="554"/>
      <c r="R869" s="554"/>
      <c r="S869" s="601">
        <f>SUM(S870:S871)</f>
        <v>0</v>
      </c>
      <c r="T869" s="601">
        <f>SUM(T870:T871)</f>
        <v>112161</v>
      </c>
      <c r="U869" s="602">
        <f>SUM(U870:U871)</f>
        <v>0</v>
      </c>
    </row>
    <row r="870" spans="1:21" s="552" customFormat="1" ht="15" customHeight="1">
      <c r="A870" s="621"/>
      <c r="B870" s="622" t="s">
        <v>1828</v>
      </c>
      <c r="C870" s="558" t="str">
        <f>C869</f>
        <v xml:space="preserve"> </v>
      </c>
      <c r="D870" s="553"/>
      <c r="E870" s="694" t="s">
        <v>3691</v>
      </c>
      <c r="F870" s="555"/>
      <c r="G870" s="205">
        <v>1</v>
      </c>
      <c r="H870" s="556"/>
      <c r="I870" s="556">
        <f t="shared" ref="I870:O871" ca="1" si="455">I$869*$G870</f>
        <v>0</v>
      </c>
      <c r="J870" s="556">
        <f t="shared" ca="1" si="455"/>
        <v>0</v>
      </c>
      <c r="K870" s="556">
        <f t="shared" ca="1" si="455"/>
        <v>0</v>
      </c>
      <c r="L870" s="556">
        <f t="shared" ca="1" si="455"/>
        <v>0</v>
      </c>
      <c r="M870" s="556"/>
      <c r="N870" s="556">
        <f t="shared" ca="1" si="455"/>
        <v>0</v>
      </c>
      <c r="O870" s="556">
        <f t="shared" si="455"/>
        <v>0</v>
      </c>
      <c r="P870" s="182">
        <f>VLOOKUP($B870,dongia1,DG!$F$5,)</f>
        <v>0</v>
      </c>
      <c r="Q870" s="182">
        <f>VLOOKUP($B870,dongia1,DG!$G$5,)</f>
        <v>99000</v>
      </c>
      <c r="R870" s="554"/>
      <c r="S870" s="113">
        <f t="shared" ref="S870:U871" si="456">$G870*P870</f>
        <v>0</v>
      </c>
      <c r="T870" s="113">
        <f t="shared" si="456"/>
        <v>99000</v>
      </c>
      <c r="U870" s="557">
        <f t="shared" si="456"/>
        <v>0</v>
      </c>
    </row>
    <row r="871" spans="1:21" s="552" customFormat="1" ht="15" customHeight="1">
      <c r="A871" s="621"/>
      <c r="B871" s="622" t="s">
        <v>1601</v>
      </c>
      <c r="C871" s="558" t="str">
        <f>C870</f>
        <v xml:space="preserve"> </v>
      </c>
      <c r="D871" s="553"/>
      <c r="E871" s="694" t="s">
        <v>3692</v>
      </c>
      <c r="F871" s="555"/>
      <c r="G871" s="205">
        <v>1</v>
      </c>
      <c r="H871" s="556"/>
      <c r="I871" s="556">
        <f t="shared" ca="1" si="455"/>
        <v>0</v>
      </c>
      <c r="J871" s="556">
        <f t="shared" ca="1" si="455"/>
        <v>0</v>
      </c>
      <c r="K871" s="556">
        <f t="shared" ca="1" si="455"/>
        <v>0</v>
      </c>
      <c r="L871" s="556">
        <f t="shared" ca="1" si="455"/>
        <v>0</v>
      </c>
      <c r="M871" s="556"/>
      <c r="N871" s="556">
        <f t="shared" ca="1" si="455"/>
        <v>0</v>
      </c>
      <c r="O871" s="556">
        <f t="shared" si="455"/>
        <v>0</v>
      </c>
      <c r="P871" s="182">
        <f>VLOOKUP($B871,dongia1,DG!$F$5,)</f>
        <v>0</v>
      </c>
      <c r="Q871" s="182">
        <f>VLOOKUP($B871,dongia1,DG!$G$5,)</f>
        <v>13161</v>
      </c>
      <c r="R871" s="554"/>
      <c r="S871" s="113">
        <f t="shared" si="456"/>
        <v>0</v>
      </c>
      <c r="T871" s="113">
        <f t="shared" si="456"/>
        <v>13161</v>
      </c>
      <c r="U871" s="557">
        <f t="shared" si="456"/>
        <v>0</v>
      </c>
    </row>
    <row r="872" spans="1:21" s="552" customFormat="1" ht="15" customHeight="1">
      <c r="A872" s="621" t="s">
        <v>1611</v>
      </c>
      <c r="B872" s="622"/>
      <c r="C872" s="558" t="str">
        <f>IF(H872&lt;&gt;0,"x"," ")</f>
        <v xml:space="preserve"> </v>
      </c>
      <c r="D872" s="553"/>
      <c r="E872" s="727" t="s">
        <v>3600</v>
      </c>
      <c r="F872" s="600" t="s">
        <v>2113</v>
      </c>
      <c r="G872" s="205"/>
      <c r="H872" s="556"/>
      <c r="I872" s="556">
        <f ca="1">SUMIF(chang3pm,chitiet!$A872,slchang3pm)</f>
        <v>0</v>
      </c>
      <c r="J872" s="556">
        <f ca="1">SUMIF(changct,chitiet!$A872,slchangct)</f>
        <v>0</v>
      </c>
      <c r="K872" s="556">
        <f ca="1">SUMIF(chang3p1m,chitiet!$A872,slchang3p1m)</f>
        <v>0</v>
      </c>
      <c r="L872" s="556">
        <f ca="1">SUMIF(chang1pm,chitiet!$A872,slchang1pm)</f>
        <v>0</v>
      </c>
      <c r="M872" s="556"/>
      <c r="N872" s="556">
        <f ca="1">SUMIF(changHTDL,chitiet!$A872,Slchanghtdl)</f>
        <v>0</v>
      </c>
      <c r="O872" s="556"/>
      <c r="P872" s="554"/>
      <c r="Q872" s="554"/>
      <c r="R872" s="554"/>
      <c r="S872" s="601">
        <f>SUM(S873:S881)</f>
        <v>956900</v>
      </c>
      <c r="T872" s="601">
        <f>SUM(T873:T881)</f>
        <v>112161</v>
      </c>
      <c r="U872" s="602">
        <f>SUM(U873:U881)</f>
        <v>0</v>
      </c>
    </row>
    <row r="873" spans="1:21" s="552" customFormat="1" ht="15" customHeight="1">
      <c r="A873" s="621"/>
      <c r="B873" s="622" t="s">
        <v>1432</v>
      </c>
      <c r="C873" s="558" t="str">
        <f t="shared" ref="C873:C881" si="457">C872</f>
        <v xml:space="preserve"> </v>
      </c>
      <c r="D873" s="553"/>
      <c r="E873" s="694" t="str">
        <f>VLOOKUP($B873,dongia1,DG!$C$5,)</f>
        <v>Boulon mắt 16x250+ 1 long đền vuông D18-50x50x3/Zn</v>
      </c>
      <c r="F873" s="555" t="str">
        <f>VLOOKUP($B873,dongia1,DG!$D$5,)</f>
        <v>bộ</v>
      </c>
      <c r="G873" s="205">
        <v>1</v>
      </c>
      <c r="H873" s="556"/>
      <c r="I873" s="556">
        <f t="shared" ref="I873:O881" ca="1" si="458">I$872*$G873</f>
        <v>0</v>
      </c>
      <c r="J873" s="556">
        <f t="shared" ca="1" si="458"/>
        <v>0</v>
      </c>
      <c r="K873" s="556">
        <f t="shared" ca="1" si="458"/>
        <v>0</v>
      </c>
      <c r="L873" s="556">
        <f t="shared" ca="1" si="458"/>
        <v>0</v>
      </c>
      <c r="M873" s="556"/>
      <c r="N873" s="556">
        <f t="shared" ca="1" si="458"/>
        <v>0</v>
      </c>
      <c r="O873" s="556">
        <f t="shared" si="458"/>
        <v>0</v>
      </c>
      <c r="P873" s="182">
        <f>VLOOKUP($B873,dongia1,DG!$F$5,)</f>
        <v>29200</v>
      </c>
      <c r="Q873" s="554"/>
      <c r="R873" s="554"/>
      <c r="S873" s="113">
        <f t="shared" ref="S873:S880" si="459">$G873*P873</f>
        <v>29200</v>
      </c>
      <c r="T873" s="113">
        <f t="shared" ref="T873:T880" si="460">$G873*Q873</f>
        <v>0</v>
      </c>
      <c r="U873" s="557">
        <f t="shared" ref="U873:U880" si="461">$G873*R873</f>
        <v>0</v>
      </c>
    </row>
    <row r="874" spans="1:21" s="552" customFormat="1" ht="15" customHeight="1">
      <c r="A874" s="621"/>
      <c r="B874" s="622" t="s">
        <v>1005</v>
      </c>
      <c r="C874" s="558" t="str">
        <f t="shared" si="457"/>
        <v xml:space="preserve"> </v>
      </c>
      <c r="D874" s="553"/>
      <c r="E874" s="694" t="str">
        <f>VLOOKUP($B874,dongia1,DG!$C$5,)</f>
        <v>Sứ chằng</v>
      </c>
      <c r="F874" s="555" t="str">
        <f>VLOOKUP($B874,dongia1,DG!$D$5,)</f>
        <v>cái</v>
      </c>
      <c r="G874" s="205">
        <v>1</v>
      </c>
      <c r="H874" s="556"/>
      <c r="I874" s="556">
        <f t="shared" ca="1" si="458"/>
        <v>0</v>
      </c>
      <c r="J874" s="556">
        <f t="shared" ca="1" si="458"/>
        <v>0</v>
      </c>
      <c r="K874" s="556">
        <f t="shared" ca="1" si="458"/>
        <v>0</v>
      </c>
      <c r="L874" s="556">
        <f t="shared" ca="1" si="458"/>
        <v>0</v>
      </c>
      <c r="M874" s="556"/>
      <c r="N874" s="556">
        <f t="shared" ca="1" si="458"/>
        <v>0</v>
      </c>
      <c r="O874" s="556">
        <f t="shared" si="458"/>
        <v>0</v>
      </c>
      <c r="P874" s="182">
        <f>VLOOKUP($B874,dongia1,DG!$F$5,)</f>
        <v>38000</v>
      </c>
      <c r="Q874" s="554"/>
      <c r="R874" s="554"/>
      <c r="S874" s="113">
        <f t="shared" si="459"/>
        <v>38000</v>
      </c>
      <c r="T874" s="113">
        <f t="shared" si="460"/>
        <v>0</v>
      </c>
      <c r="U874" s="557">
        <f t="shared" si="461"/>
        <v>0</v>
      </c>
    </row>
    <row r="875" spans="1:21" s="552" customFormat="1" ht="15" customHeight="1">
      <c r="A875" s="621"/>
      <c r="B875" s="622" t="s">
        <v>204</v>
      </c>
      <c r="C875" s="558" t="str">
        <f t="shared" si="457"/>
        <v xml:space="preserve"> </v>
      </c>
      <c r="D875" s="553"/>
      <c r="E875" s="694" t="str">
        <f>VLOOKUP($B875,dongia1,DG!$C$5,)</f>
        <v>Kẹp cáp 3 boulon</v>
      </c>
      <c r="F875" s="555" t="str">
        <f>VLOOKUP($B875,dongia1,DG!$D$5,)</f>
        <v>cái</v>
      </c>
      <c r="G875" s="205">
        <v>4</v>
      </c>
      <c r="H875" s="556"/>
      <c r="I875" s="556">
        <f t="shared" ca="1" si="458"/>
        <v>0</v>
      </c>
      <c r="J875" s="556">
        <f t="shared" ca="1" si="458"/>
        <v>0</v>
      </c>
      <c r="K875" s="556">
        <f t="shared" ca="1" si="458"/>
        <v>0</v>
      </c>
      <c r="L875" s="556">
        <f t="shared" ca="1" si="458"/>
        <v>0</v>
      </c>
      <c r="M875" s="556"/>
      <c r="N875" s="556">
        <f t="shared" ca="1" si="458"/>
        <v>0</v>
      </c>
      <c r="O875" s="556">
        <f t="shared" si="458"/>
        <v>0</v>
      </c>
      <c r="P875" s="182">
        <f>VLOOKUP($B875,dongia1,DG!$F$5,)</f>
        <v>38000</v>
      </c>
      <c r="Q875" s="554"/>
      <c r="R875" s="554"/>
      <c r="S875" s="113">
        <f t="shared" si="459"/>
        <v>152000</v>
      </c>
      <c r="T875" s="113">
        <f t="shared" si="460"/>
        <v>0</v>
      </c>
      <c r="U875" s="557">
        <f t="shared" si="461"/>
        <v>0</v>
      </c>
    </row>
    <row r="876" spans="1:21" s="552" customFormat="1" ht="15" customHeight="1">
      <c r="A876" s="621"/>
      <c r="B876" s="622" t="s">
        <v>2075</v>
      </c>
      <c r="C876" s="558" t="str">
        <f t="shared" si="457"/>
        <v xml:space="preserve"> </v>
      </c>
      <c r="D876" s="553"/>
      <c r="E876" s="694" t="str">
        <f>VLOOKUP($B876,dongia1,DG!$C$5,)</f>
        <v>Cáp thép 3/8"</v>
      </c>
      <c r="F876" s="555" t="str">
        <f>VLOOKUP($B876,dongia1,DG!$D$5,)</f>
        <v>kg</v>
      </c>
      <c r="G876" s="205">
        <v>9</v>
      </c>
      <c r="H876" s="556"/>
      <c r="I876" s="556">
        <f t="shared" ca="1" si="458"/>
        <v>0</v>
      </c>
      <c r="J876" s="556">
        <f t="shared" ca="1" si="458"/>
        <v>0</v>
      </c>
      <c r="K876" s="556">
        <f t="shared" ca="1" si="458"/>
        <v>0</v>
      </c>
      <c r="L876" s="556">
        <f t="shared" ca="1" si="458"/>
        <v>0</v>
      </c>
      <c r="M876" s="556"/>
      <c r="N876" s="556">
        <f t="shared" ca="1" si="458"/>
        <v>0</v>
      </c>
      <c r="O876" s="556">
        <f t="shared" si="458"/>
        <v>0</v>
      </c>
      <c r="P876" s="182">
        <f>VLOOKUP($B876,dongia1,DG!$F$5,)</f>
        <v>47300</v>
      </c>
      <c r="Q876" s="182"/>
      <c r="R876" s="554"/>
      <c r="S876" s="113">
        <f t="shared" si="459"/>
        <v>425700</v>
      </c>
      <c r="T876" s="113">
        <f t="shared" si="460"/>
        <v>0</v>
      </c>
      <c r="U876" s="557">
        <f t="shared" si="461"/>
        <v>0</v>
      </c>
    </row>
    <row r="877" spans="1:21" s="552" customFormat="1" ht="15" customHeight="1">
      <c r="A877" s="621"/>
      <c r="B877" s="622" t="s">
        <v>1511</v>
      </c>
      <c r="C877" s="558" t="str">
        <f t="shared" si="457"/>
        <v xml:space="preserve"> </v>
      </c>
      <c r="D877" s="553"/>
      <c r="E877" s="694" t="str">
        <f>VLOOKUP($B877,dongia1,DG!$C$5,)</f>
        <v>Bộ chống chằng hẹp Þ60/50x1200+2BL12x40+BL16x200/50</v>
      </c>
      <c r="F877" s="555" t="str">
        <f>VLOOKUP($B877,dongia1,DG!$D$5,)</f>
        <v>bộ</v>
      </c>
      <c r="G877" s="205">
        <v>1</v>
      </c>
      <c r="H877" s="556"/>
      <c r="I877" s="556">
        <f t="shared" ca="1" si="458"/>
        <v>0</v>
      </c>
      <c r="J877" s="556">
        <f t="shared" ca="1" si="458"/>
        <v>0</v>
      </c>
      <c r="K877" s="556">
        <f t="shared" ca="1" si="458"/>
        <v>0</v>
      </c>
      <c r="L877" s="556">
        <f t="shared" ca="1" si="458"/>
        <v>0</v>
      </c>
      <c r="M877" s="556"/>
      <c r="N877" s="556">
        <f t="shared" ca="1" si="458"/>
        <v>0</v>
      </c>
      <c r="O877" s="556">
        <f t="shared" si="458"/>
        <v>0</v>
      </c>
      <c r="P877" s="182">
        <f>VLOOKUP($B877,dongia1,DG!$F$5,)</f>
        <v>245000</v>
      </c>
      <c r="Q877" s="182"/>
      <c r="R877" s="554"/>
      <c r="S877" s="113">
        <f t="shared" si="459"/>
        <v>245000</v>
      </c>
      <c r="T877" s="113">
        <f t="shared" si="460"/>
        <v>0</v>
      </c>
      <c r="U877" s="557">
        <f t="shared" si="461"/>
        <v>0</v>
      </c>
    </row>
    <row r="878" spans="1:21" s="552" customFormat="1" ht="15" customHeight="1">
      <c r="A878" s="621"/>
      <c r="B878" s="622" t="s">
        <v>537</v>
      </c>
      <c r="C878" s="558" t="str">
        <f t="shared" si="457"/>
        <v xml:space="preserve"> </v>
      </c>
      <c r="D878" s="553"/>
      <c r="E878" s="694" t="str">
        <f>VLOOKUP($B878,dongia1,DG!$C$5,)</f>
        <v>Yếm đỡ dày chằng F1/2 mạ Zn (Yếm cáp)</v>
      </c>
      <c r="F878" s="555" t="str">
        <f>VLOOKUP($B878,dongia1,DG!$D$5,)</f>
        <v>cái</v>
      </c>
      <c r="G878" s="205">
        <v>2</v>
      </c>
      <c r="H878" s="556"/>
      <c r="I878" s="556">
        <f t="shared" ca="1" si="458"/>
        <v>0</v>
      </c>
      <c r="J878" s="556">
        <f t="shared" ca="1" si="458"/>
        <v>0</v>
      </c>
      <c r="K878" s="556">
        <f t="shared" ca="1" si="458"/>
        <v>0</v>
      </c>
      <c r="L878" s="556">
        <f t="shared" ca="1" si="458"/>
        <v>0</v>
      </c>
      <c r="M878" s="556"/>
      <c r="N878" s="556">
        <f t="shared" ca="1" si="458"/>
        <v>0</v>
      </c>
      <c r="O878" s="556">
        <f t="shared" si="458"/>
        <v>0</v>
      </c>
      <c r="P878" s="182">
        <f>VLOOKUP($B878,dongia1,DG!$F$5,)</f>
        <v>6000</v>
      </c>
      <c r="Q878" s="182"/>
      <c r="R878" s="554"/>
      <c r="S878" s="113">
        <f t="shared" si="459"/>
        <v>12000</v>
      </c>
      <c r="T878" s="113">
        <f t="shared" si="460"/>
        <v>0</v>
      </c>
      <c r="U878" s="557">
        <f t="shared" si="461"/>
        <v>0</v>
      </c>
    </row>
    <row r="879" spans="1:21" s="552" customFormat="1" ht="15" customHeight="1">
      <c r="A879" s="621"/>
      <c r="B879" s="622" t="s">
        <v>538</v>
      </c>
      <c r="C879" s="558" t="str">
        <f t="shared" si="457"/>
        <v xml:space="preserve"> </v>
      </c>
      <c r="D879" s="553"/>
      <c r="E879" s="694" t="str">
        <f>VLOOKUP($B879,dongia1,DG!$C$5,)</f>
        <v>Máng che dây chằng dày 1,6mm 0,4x2000</v>
      </c>
      <c r="F879" s="555" t="str">
        <f>VLOOKUP($B879,dongia1,DG!$D$5,)</f>
        <v>cái</v>
      </c>
      <c r="G879" s="205">
        <v>1</v>
      </c>
      <c r="H879" s="556"/>
      <c r="I879" s="556">
        <f t="shared" ca="1" si="458"/>
        <v>0</v>
      </c>
      <c r="J879" s="556">
        <f t="shared" ca="1" si="458"/>
        <v>0</v>
      </c>
      <c r="K879" s="556">
        <f t="shared" ca="1" si="458"/>
        <v>0</v>
      </c>
      <c r="L879" s="556">
        <f t="shared" ca="1" si="458"/>
        <v>0</v>
      </c>
      <c r="M879" s="556"/>
      <c r="N879" s="556">
        <f t="shared" ca="1" si="458"/>
        <v>0</v>
      </c>
      <c r="O879" s="556">
        <f t="shared" si="458"/>
        <v>0</v>
      </c>
      <c r="P879" s="182">
        <f>VLOOKUP($B879,dongia1,DG!$F$5,)</f>
        <v>55000</v>
      </c>
      <c r="Q879" s="182"/>
      <c r="R879" s="554"/>
      <c r="S879" s="113">
        <f t="shared" si="459"/>
        <v>55000</v>
      </c>
      <c r="T879" s="113">
        <f t="shared" si="460"/>
        <v>0</v>
      </c>
      <c r="U879" s="557">
        <f t="shared" si="461"/>
        <v>0</v>
      </c>
    </row>
    <row r="880" spans="1:21" s="552" customFormat="1" ht="15" customHeight="1">
      <c r="A880" s="621"/>
      <c r="B880" s="622" t="s">
        <v>1828</v>
      </c>
      <c r="C880" s="558" t="str">
        <f t="shared" si="457"/>
        <v xml:space="preserve"> </v>
      </c>
      <c r="D880" s="553"/>
      <c r="E880" s="694" t="str">
        <f>VLOOKUP($B880,dongia1,DG!$C$5,)</f>
        <v>Lắp bộ dây néo</v>
      </c>
      <c r="F880" s="555" t="str">
        <f>VLOOKUP($B880,dongia1,DG!$D$5,)</f>
        <v>bộ</v>
      </c>
      <c r="G880" s="205">
        <f>G873</f>
        <v>1</v>
      </c>
      <c r="H880" s="556"/>
      <c r="I880" s="556">
        <f t="shared" ca="1" si="458"/>
        <v>0</v>
      </c>
      <c r="J880" s="556">
        <f t="shared" ca="1" si="458"/>
        <v>0</v>
      </c>
      <c r="K880" s="556">
        <f t="shared" ca="1" si="458"/>
        <v>0</v>
      </c>
      <c r="L880" s="556">
        <f t="shared" ca="1" si="458"/>
        <v>0</v>
      </c>
      <c r="M880" s="556"/>
      <c r="N880" s="556">
        <f t="shared" ca="1" si="458"/>
        <v>0</v>
      </c>
      <c r="O880" s="556">
        <f t="shared" si="458"/>
        <v>0</v>
      </c>
      <c r="P880" s="554"/>
      <c r="Q880" s="182">
        <f>VLOOKUP($B880,dongia1,DG!$G$5,)</f>
        <v>99000</v>
      </c>
      <c r="R880" s="554"/>
      <c r="S880" s="113">
        <f t="shared" si="459"/>
        <v>0</v>
      </c>
      <c r="T880" s="113">
        <f t="shared" si="460"/>
        <v>99000</v>
      </c>
      <c r="U880" s="557">
        <f t="shared" si="461"/>
        <v>0</v>
      </c>
    </row>
    <row r="881" spans="1:21" s="552" customFormat="1" ht="15" customHeight="1">
      <c r="A881" s="621"/>
      <c r="B881" s="622" t="s">
        <v>1601</v>
      </c>
      <c r="C881" s="558" t="str">
        <f t="shared" si="457"/>
        <v xml:space="preserve"> </v>
      </c>
      <c r="D881" s="553"/>
      <c r="E881" s="694" t="str">
        <f>VLOOKUP($B881,dongia1,DG!$C$5,)</f>
        <v>Lắp bộ chống lệch</v>
      </c>
      <c r="F881" s="555" t="str">
        <f>VLOOKUP($B881,dongia1,DG!$D$5,)</f>
        <v>bộ</v>
      </c>
      <c r="G881" s="205">
        <f>G868</f>
        <v>1</v>
      </c>
      <c r="H881" s="556"/>
      <c r="I881" s="556">
        <f t="shared" ca="1" si="458"/>
        <v>0</v>
      </c>
      <c r="J881" s="556">
        <f t="shared" ca="1" si="458"/>
        <v>0</v>
      </c>
      <c r="K881" s="556">
        <f t="shared" ca="1" si="458"/>
        <v>0</v>
      </c>
      <c r="L881" s="556">
        <f t="shared" ca="1" si="458"/>
        <v>0</v>
      </c>
      <c r="M881" s="556"/>
      <c r="N881" s="556">
        <f t="shared" ca="1" si="458"/>
        <v>0</v>
      </c>
      <c r="O881" s="556">
        <f t="shared" si="458"/>
        <v>0</v>
      </c>
      <c r="P881" s="554"/>
      <c r="Q881" s="182">
        <f>VLOOKUP($B881,dongia1,DG!$G$5,)</f>
        <v>13161</v>
      </c>
      <c r="R881" s="554"/>
      <c r="S881" s="113">
        <f>$G881*P881</f>
        <v>0</v>
      </c>
      <c r="T881" s="113">
        <f>$G881*Q881</f>
        <v>13161</v>
      </c>
      <c r="U881" s="557">
        <f>$G881*R881</f>
        <v>0</v>
      </c>
    </row>
    <row r="882" spans="1:21" s="552" customFormat="1" ht="15" customHeight="1">
      <c r="A882" s="621" t="s">
        <v>1482</v>
      </c>
      <c r="B882" s="622"/>
      <c r="C882" s="558" t="str">
        <f>IF(H882&lt;&gt;0,"x"," ")</f>
        <v xml:space="preserve"> </v>
      </c>
      <c r="D882" s="553"/>
      <c r="E882" s="727" t="s">
        <v>3601</v>
      </c>
      <c r="F882" s="600" t="s">
        <v>2113</v>
      </c>
      <c r="G882" s="205"/>
      <c r="H882" s="556"/>
      <c r="I882" s="556">
        <f ca="1">SUMIF(chang3pm,chitiet!$A882,slchang3pm)</f>
        <v>0</v>
      </c>
      <c r="J882" s="556">
        <f ca="1">SUMIF(changct,chitiet!$A882,slchangct)</f>
        <v>0</v>
      </c>
      <c r="K882" s="556">
        <f ca="1">SUMIF(chang3p1m,chitiet!$A882,slchang3p1m)</f>
        <v>0</v>
      </c>
      <c r="L882" s="556">
        <f ca="1">SUMIF(chang1pm,chitiet!$A882,slchang1pm)</f>
        <v>0</v>
      </c>
      <c r="M882" s="556"/>
      <c r="N882" s="556">
        <f ca="1">SUMIF(changHTDL,chitiet!$A882,Slchanghtdl)</f>
        <v>0</v>
      </c>
      <c r="O882" s="556"/>
      <c r="P882" s="554"/>
      <c r="Q882" s="554"/>
      <c r="R882" s="554"/>
      <c r="S882" s="601">
        <f>SUM(S883:S889)</f>
        <v>757475</v>
      </c>
      <c r="T882" s="601">
        <f>SUM(T883:T889)</f>
        <v>99000</v>
      </c>
      <c r="U882" s="602">
        <f>SUM(U883:U889)</f>
        <v>0</v>
      </c>
    </row>
    <row r="883" spans="1:21" s="552" customFormat="1" ht="15" customHeight="1">
      <c r="A883" s="621"/>
      <c r="B883" s="622" t="s">
        <v>1432</v>
      </c>
      <c r="C883" s="558" t="str">
        <f t="shared" ref="C883:C889" si="462">C882</f>
        <v xml:space="preserve"> </v>
      </c>
      <c r="D883" s="553"/>
      <c r="E883" s="694" t="str">
        <f>VLOOKUP($B883,dongia1,DG!$C$5,)</f>
        <v>Boulon mắt 16x250+ 1 long đền vuông D18-50x50x3/Zn</v>
      </c>
      <c r="F883" s="555" t="str">
        <f>VLOOKUP($B883,dongia1,DG!$D$5,)</f>
        <v>bộ</v>
      </c>
      <c r="G883" s="205">
        <v>1</v>
      </c>
      <c r="H883" s="556"/>
      <c r="I883" s="556">
        <f t="shared" ref="I883:O889" ca="1" si="463">I$882*$G883</f>
        <v>0</v>
      </c>
      <c r="J883" s="556">
        <f t="shared" ca="1" si="463"/>
        <v>0</v>
      </c>
      <c r="K883" s="556">
        <f t="shared" ca="1" si="463"/>
        <v>0</v>
      </c>
      <c r="L883" s="556">
        <f t="shared" ca="1" si="463"/>
        <v>0</v>
      </c>
      <c r="M883" s="556"/>
      <c r="N883" s="556">
        <f t="shared" ca="1" si="463"/>
        <v>0</v>
      </c>
      <c r="O883" s="556">
        <f t="shared" si="463"/>
        <v>0</v>
      </c>
      <c r="P883" s="182">
        <f>VLOOKUP($B883,dongia1,DG!$F$5,)</f>
        <v>29200</v>
      </c>
      <c r="Q883" s="554"/>
      <c r="R883" s="554"/>
      <c r="S883" s="113">
        <f t="shared" ref="S883:S889" si="464">$G883*P883</f>
        <v>29200</v>
      </c>
      <c r="T883" s="113">
        <f t="shared" ref="T883:T889" si="465">$G883*Q883</f>
        <v>0</v>
      </c>
      <c r="U883" s="557">
        <f t="shared" ref="U883:U889" si="466">$G883*R883</f>
        <v>0</v>
      </c>
    </row>
    <row r="884" spans="1:21" s="552" customFormat="1" ht="15" customHeight="1">
      <c r="A884" s="621"/>
      <c r="B884" s="622" t="s">
        <v>1005</v>
      </c>
      <c r="C884" s="558" t="str">
        <f t="shared" si="462"/>
        <v xml:space="preserve"> </v>
      </c>
      <c r="D884" s="553"/>
      <c r="E884" s="694" t="str">
        <f>VLOOKUP($B884,dongia1,DG!$C$5,)</f>
        <v>Sứ chằng</v>
      </c>
      <c r="F884" s="555" t="str">
        <f>VLOOKUP($B884,dongia1,DG!$D$5,)</f>
        <v>cái</v>
      </c>
      <c r="G884" s="205">
        <v>1</v>
      </c>
      <c r="H884" s="556"/>
      <c r="I884" s="556">
        <f t="shared" ca="1" si="463"/>
        <v>0</v>
      </c>
      <c r="J884" s="556">
        <f t="shared" ca="1" si="463"/>
        <v>0</v>
      </c>
      <c r="K884" s="556">
        <f t="shared" ca="1" si="463"/>
        <v>0</v>
      </c>
      <c r="L884" s="556">
        <f t="shared" ca="1" si="463"/>
        <v>0</v>
      </c>
      <c r="M884" s="556"/>
      <c r="N884" s="556">
        <f t="shared" ca="1" si="463"/>
        <v>0</v>
      </c>
      <c r="O884" s="556">
        <f t="shared" si="463"/>
        <v>0</v>
      </c>
      <c r="P884" s="182">
        <f>VLOOKUP($B884,dongia1,DG!$F$5,)</f>
        <v>38000</v>
      </c>
      <c r="Q884" s="554"/>
      <c r="R884" s="554"/>
      <c r="S884" s="113">
        <f t="shared" si="464"/>
        <v>38000</v>
      </c>
      <c r="T884" s="113">
        <f t="shared" si="465"/>
        <v>0</v>
      </c>
      <c r="U884" s="557">
        <f t="shared" si="466"/>
        <v>0</v>
      </c>
    </row>
    <row r="885" spans="1:21" s="552" customFormat="1" ht="15" customHeight="1">
      <c r="A885" s="621"/>
      <c r="B885" s="622" t="s">
        <v>204</v>
      </c>
      <c r="C885" s="558" t="str">
        <f t="shared" si="462"/>
        <v xml:space="preserve"> </v>
      </c>
      <c r="D885" s="553"/>
      <c r="E885" s="694" t="str">
        <f>VLOOKUP($B885,dongia1,DG!$C$5,)</f>
        <v>Kẹp cáp 3 boulon</v>
      </c>
      <c r="F885" s="555" t="str">
        <f>VLOOKUP($B885,dongia1,DG!$D$5,)</f>
        <v>cái</v>
      </c>
      <c r="G885" s="205">
        <v>8</v>
      </c>
      <c r="H885" s="556"/>
      <c r="I885" s="556">
        <f t="shared" ca="1" si="463"/>
        <v>0</v>
      </c>
      <c r="J885" s="556">
        <f t="shared" ca="1" si="463"/>
        <v>0</v>
      </c>
      <c r="K885" s="556">
        <f t="shared" ca="1" si="463"/>
        <v>0</v>
      </c>
      <c r="L885" s="556">
        <f t="shared" ca="1" si="463"/>
        <v>0</v>
      </c>
      <c r="M885" s="556"/>
      <c r="N885" s="556">
        <f t="shared" ca="1" si="463"/>
        <v>0</v>
      </c>
      <c r="O885" s="556">
        <f t="shared" si="463"/>
        <v>0</v>
      </c>
      <c r="P885" s="182">
        <f>VLOOKUP($B885,dongia1,DG!$F$5,)</f>
        <v>38000</v>
      </c>
      <c r="Q885" s="554"/>
      <c r="R885" s="554"/>
      <c r="S885" s="113">
        <f t="shared" si="464"/>
        <v>304000</v>
      </c>
      <c r="T885" s="113">
        <f t="shared" si="465"/>
        <v>0</v>
      </c>
      <c r="U885" s="557">
        <f t="shared" si="466"/>
        <v>0</v>
      </c>
    </row>
    <row r="886" spans="1:21" s="552" customFormat="1" ht="15" customHeight="1">
      <c r="A886" s="621"/>
      <c r="B886" s="622" t="s">
        <v>2075</v>
      </c>
      <c r="C886" s="558" t="str">
        <f t="shared" si="462"/>
        <v xml:space="preserve"> </v>
      </c>
      <c r="D886" s="553"/>
      <c r="E886" s="694" t="str">
        <f>VLOOKUP($B886,dongia1,DG!$C$5,)</f>
        <v>Cáp thép 3/8"</v>
      </c>
      <c r="F886" s="555" t="str">
        <f>VLOOKUP($B886,dongia1,DG!$D$5,)</f>
        <v>kg</v>
      </c>
      <c r="G886" s="205">
        <f>18*3/8</f>
        <v>6.75</v>
      </c>
      <c r="H886" s="556"/>
      <c r="I886" s="556">
        <f t="shared" ca="1" si="463"/>
        <v>0</v>
      </c>
      <c r="J886" s="556">
        <f t="shared" ca="1" si="463"/>
        <v>0</v>
      </c>
      <c r="K886" s="556">
        <f t="shared" ca="1" si="463"/>
        <v>0</v>
      </c>
      <c r="L886" s="556">
        <f t="shared" ca="1" si="463"/>
        <v>0</v>
      </c>
      <c r="M886" s="556"/>
      <c r="N886" s="556">
        <f t="shared" ca="1" si="463"/>
        <v>0</v>
      </c>
      <c r="O886" s="556">
        <f t="shared" si="463"/>
        <v>0</v>
      </c>
      <c r="P886" s="182">
        <f>VLOOKUP($B886,dongia1,DG!$F$5,)</f>
        <v>47300</v>
      </c>
      <c r="Q886" s="182"/>
      <c r="R886" s="554"/>
      <c r="S886" s="113">
        <f t="shared" si="464"/>
        <v>319275</v>
      </c>
      <c r="T886" s="113">
        <f t="shared" si="465"/>
        <v>0</v>
      </c>
      <c r="U886" s="557">
        <f t="shared" si="466"/>
        <v>0</v>
      </c>
    </row>
    <row r="887" spans="1:21" s="552" customFormat="1" ht="15" customHeight="1">
      <c r="A887" s="621"/>
      <c r="B887" s="622" t="s">
        <v>537</v>
      </c>
      <c r="C887" s="558" t="str">
        <f t="shared" si="462"/>
        <v xml:space="preserve"> </v>
      </c>
      <c r="D887" s="553"/>
      <c r="E887" s="694" t="str">
        <f>VLOOKUP($B887,dongia1,DG!$C$5,)</f>
        <v>Yếm đỡ dày chằng F1/2 mạ Zn (Yếm cáp)</v>
      </c>
      <c r="F887" s="555" t="str">
        <f>VLOOKUP($B887,dongia1,DG!$D$5,)</f>
        <v>cái</v>
      </c>
      <c r="G887" s="205">
        <v>2</v>
      </c>
      <c r="H887" s="556"/>
      <c r="I887" s="556">
        <f t="shared" ca="1" si="463"/>
        <v>0</v>
      </c>
      <c r="J887" s="556">
        <f t="shared" ca="1" si="463"/>
        <v>0</v>
      </c>
      <c r="K887" s="556">
        <f t="shared" ca="1" si="463"/>
        <v>0</v>
      </c>
      <c r="L887" s="556">
        <f t="shared" ca="1" si="463"/>
        <v>0</v>
      </c>
      <c r="M887" s="556"/>
      <c r="N887" s="556">
        <f t="shared" ca="1" si="463"/>
        <v>0</v>
      </c>
      <c r="O887" s="556">
        <f t="shared" si="463"/>
        <v>0</v>
      </c>
      <c r="P887" s="182">
        <f>VLOOKUP($B887,dongia1,DG!$F$5,)</f>
        <v>6000</v>
      </c>
      <c r="Q887" s="182"/>
      <c r="R887" s="554"/>
      <c r="S887" s="113">
        <f t="shared" si="464"/>
        <v>12000</v>
      </c>
      <c r="T887" s="113">
        <f t="shared" si="465"/>
        <v>0</v>
      </c>
      <c r="U887" s="557">
        <f t="shared" si="466"/>
        <v>0</v>
      </c>
    </row>
    <row r="888" spans="1:21" s="552" customFormat="1" ht="15" customHeight="1">
      <c r="A888" s="621"/>
      <c r="B888" s="622" t="s">
        <v>538</v>
      </c>
      <c r="C888" s="558" t="str">
        <f t="shared" si="462"/>
        <v xml:space="preserve"> </v>
      </c>
      <c r="D888" s="553"/>
      <c r="E888" s="694" t="str">
        <f>VLOOKUP($B888,dongia1,DG!$C$5,)</f>
        <v>Máng che dây chằng dày 1,6mm 0,4x2000</v>
      </c>
      <c r="F888" s="555" t="str">
        <f>VLOOKUP($B888,dongia1,DG!$D$5,)</f>
        <v>cái</v>
      </c>
      <c r="G888" s="205">
        <v>1</v>
      </c>
      <c r="H888" s="556"/>
      <c r="I888" s="556">
        <f t="shared" ca="1" si="463"/>
        <v>0</v>
      </c>
      <c r="J888" s="556">
        <f t="shared" ca="1" si="463"/>
        <v>0</v>
      </c>
      <c r="K888" s="556">
        <f t="shared" ca="1" si="463"/>
        <v>0</v>
      </c>
      <c r="L888" s="556">
        <f t="shared" ca="1" si="463"/>
        <v>0</v>
      </c>
      <c r="M888" s="556"/>
      <c r="N888" s="556">
        <f t="shared" ca="1" si="463"/>
        <v>0</v>
      </c>
      <c r="O888" s="556">
        <f t="shared" si="463"/>
        <v>0</v>
      </c>
      <c r="P888" s="182">
        <f>VLOOKUP($B888,dongia1,DG!$F$5,)</f>
        <v>55000</v>
      </c>
      <c r="Q888" s="182"/>
      <c r="R888" s="554"/>
      <c r="S888" s="113">
        <f t="shared" si="464"/>
        <v>55000</v>
      </c>
      <c r="T888" s="113">
        <f t="shared" si="465"/>
        <v>0</v>
      </c>
      <c r="U888" s="557">
        <f t="shared" si="466"/>
        <v>0</v>
      </c>
    </row>
    <row r="889" spans="1:21" s="552" customFormat="1" ht="15" customHeight="1">
      <c r="A889" s="621"/>
      <c r="B889" s="622" t="s">
        <v>1828</v>
      </c>
      <c r="C889" s="558" t="str">
        <f t="shared" si="462"/>
        <v xml:space="preserve"> </v>
      </c>
      <c r="D889" s="553"/>
      <c r="E889" s="694" t="str">
        <f>VLOOKUP($B889,dongia1,DG!$C$5,)</f>
        <v>Lắp bộ dây néo</v>
      </c>
      <c r="F889" s="555" t="str">
        <f>VLOOKUP($B889,dongia1,DG!$D$5,)</f>
        <v>bộ</v>
      </c>
      <c r="G889" s="205">
        <f>G883</f>
        <v>1</v>
      </c>
      <c r="H889" s="556"/>
      <c r="I889" s="556">
        <f t="shared" ca="1" si="463"/>
        <v>0</v>
      </c>
      <c r="J889" s="556">
        <f t="shared" ca="1" si="463"/>
        <v>0</v>
      </c>
      <c r="K889" s="556">
        <f t="shared" ca="1" si="463"/>
        <v>0</v>
      </c>
      <c r="L889" s="556">
        <f t="shared" ca="1" si="463"/>
        <v>0</v>
      </c>
      <c r="M889" s="556"/>
      <c r="N889" s="556">
        <f t="shared" ca="1" si="463"/>
        <v>0</v>
      </c>
      <c r="O889" s="556">
        <f t="shared" si="463"/>
        <v>0</v>
      </c>
      <c r="P889" s="554"/>
      <c r="Q889" s="182">
        <f>VLOOKUP($B889,dongia1,DG!$G$5,)</f>
        <v>99000</v>
      </c>
      <c r="R889" s="554"/>
      <c r="S889" s="113">
        <f t="shared" si="464"/>
        <v>0</v>
      </c>
      <c r="T889" s="113">
        <f t="shared" si="465"/>
        <v>99000</v>
      </c>
      <c r="U889" s="557">
        <f t="shared" si="466"/>
        <v>0</v>
      </c>
    </row>
    <row r="890" spans="1:21" s="552" customFormat="1" ht="15" customHeight="1">
      <c r="A890" s="621" t="s">
        <v>1483</v>
      </c>
      <c r="B890" s="622"/>
      <c r="C890" s="558" t="str">
        <f>IF(H890&lt;&gt;0,"x"," ")</f>
        <v xml:space="preserve"> </v>
      </c>
      <c r="D890" s="553"/>
      <c r="E890" s="727" t="s">
        <v>3602</v>
      </c>
      <c r="F890" s="600" t="s">
        <v>2113</v>
      </c>
      <c r="G890" s="205"/>
      <c r="H890" s="556"/>
      <c r="I890" s="556">
        <f ca="1">SUMIF(chang3pm,chitiet!$A890,slchang3pm)</f>
        <v>0</v>
      </c>
      <c r="J890" s="556">
        <f ca="1">SUMIF(changct,chitiet!$A890,slchangct)</f>
        <v>0</v>
      </c>
      <c r="K890" s="556">
        <f ca="1">SUMIF(chang3p1m,chitiet!$A890,slchang3p1m)</f>
        <v>0</v>
      </c>
      <c r="L890" s="556">
        <f ca="1">SUMIF(chang1pm,chitiet!$A890,slchang1pm)</f>
        <v>0</v>
      </c>
      <c r="M890" s="556"/>
      <c r="N890" s="556">
        <f ca="1">SUMIF(changHTDL,chitiet!$A890,Slchanghtdl)</f>
        <v>0</v>
      </c>
      <c r="O890" s="556"/>
      <c r="P890" s="554"/>
      <c r="Q890" s="554"/>
      <c r="R890" s="554"/>
      <c r="S890" s="601">
        <f>SUM(S891:S899)</f>
        <v>941312.5</v>
      </c>
      <c r="T890" s="601">
        <f>SUM(T891:T899)</f>
        <v>112161</v>
      </c>
      <c r="U890" s="602">
        <f>SUM(U891:U899)</f>
        <v>0</v>
      </c>
    </row>
    <row r="891" spans="1:21" s="552" customFormat="1" ht="15" customHeight="1">
      <c r="A891" s="621"/>
      <c r="B891" s="622" t="s">
        <v>366</v>
      </c>
      <c r="C891" s="558" t="str">
        <f t="shared" ref="C891:C899" si="467">C890</f>
        <v xml:space="preserve"> </v>
      </c>
      <c r="D891" s="553"/>
      <c r="E891" s="694" t="str">
        <f>VLOOKUP($B891,dongia1,DG!$C$5,)</f>
        <v>Boulon mắt 16x300+ 1 long đền vuông D18-50x50x3/Zn</v>
      </c>
      <c r="F891" s="555" t="str">
        <f>VLOOKUP($B891,dongia1,DG!$D$5,)</f>
        <v>bộ</v>
      </c>
      <c r="G891" s="205">
        <v>1</v>
      </c>
      <c r="H891" s="556"/>
      <c r="I891" s="556">
        <f t="shared" ref="I891:O899" ca="1" si="468">I$890*$G891</f>
        <v>0</v>
      </c>
      <c r="J891" s="556">
        <f t="shared" ca="1" si="468"/>
        <v>0</v>
      </c>
      <c r="K891" s="556">
        <f t="shared" ca="1" si="468"/>
        <v>0</v>
      </c>
      <c r="L891" s="556">
        <f t="shared" ca="1" si="468"/>
        <v>0</v>
      </c>
      <c r="M891" s="556"/>
      <c r="N891" s="556">
        <f t="shared" ca="1" si="468"/>
        <v>0</v>
      </c>
      <c r="O891" s="556">
        <f t="shared" si="468"/>
        <v>0</v>
      </c>
      <c r="P891" s="182">
        <f>VLOOKUP($B891,dongia1,DG!$F$5,)</f>
        <v>32200</v>
      </c>
      <c r="Q891" s="554"/>
      <c r="R891" s="554"/>
      <c r="S891" s="113">
        <f t="shared" ref="S891:S898" si="469">$G891*P891</f>
        <v>32200</v>
      </c>
      <c r="T891" s="113">
        <f t="shared" ref="T891:T898" si="470">$G891*Q891</f>
        <v>0</v>
      </c>
      <c r="U891" s="557">
        <f t="shared" ref="U891:U898" si="471">$G891*R891</f>
        <v>0</v>
      </c>
    </row>
    <row r="892" spans="1:21" s="552" customFormat="1" ht="15" customHeight="1">
      <c r="A892" s="621"/>
      <c r="B892" s="622" t="s">
        <v>1005</v>
      </c>
      <c r="C892" s="558" t="str">
        <f t="shared" si="467"/>
        <v xml:space="preserve"> </v>
      </c>
      <c r="D892" s="553"/>
      <c r="E892" s="694" t="str">
        <f>VLOOKUP($B892,dongia1,DG!$C$5,)</f>
        <v>Sứ chằng</v>
      </c>
      <c r="F892" s="555" t="str">
        <f>VLOOKUP($B892,dongia1,DG!$D$5,)</f>
        <v>cái</v>
      </c>
      <c r="G892" s="205">
        <v>1</v>
      </c>
      <c r="H892" s="556"/>
      <c r="I892" s="556">
        <f t="shared" ca="1" si="468"/>
        <v>0</v>
      </c>
      <c r="J892" s="556">
        <f t="shared" ca="1" si="468"/>
        <v>0</v>
      </c>
      <c r="K892" s="556">
        <f t="shared" ca="1" si="468"/>
        <v>0</v>
      </c>
      <c r="L892" s="556">
        <f t="shared" ca="1" si="468"/>
        <v>0</v>
      </c>
      <c r="M892" s="556"/>
      <c r="N892" s="556">
        <f t="shared" ca="1" si="468"/>
        <v>0</v>
      </c>
      <c r="O892" s="556">
        <f t="shared" si="468"/>
        <v>0</v>
      </c>
      <c r="P892" s="182">
        <f>VLOOKUP($B892,dongia1,DG!$F$5,)</f>
        <v>38000</v>
      </c>
      <c r="Q892" s="554"/>
      <c r="R892" s="554"/>
      <c r="S892" s="113">
        <f t="shared" si="469"/>
        <v>38000</v>
      </c>
      <c r="T892" s="113">
        <f t="shared" si="470"/>
        <v>0</v>
      </c>
      <c r="U892" s="557">
        <f t="shared" si="471"/>
        <v>0</v>
      </c>
    </row>
    <row r="893" spans="1:21" s="552" customFormat="1" ht="15" customHeight="1">
      <c r="A893" s="621"/>
      <c r="B893" s="622" t="s">
        <v>204</v>
      </c>
      <c r="C893" s="558" t="str">
        <f t="shared" si="467"/>
        <v xml:space="preserve"> </v>
      </c>
      <c r="D893" s="553"/>
      <c r="E893" s="694" t="str">
        <f>VLOOKUP($B893,dongia1,DG!$C$5,)</f>
        <v>Kẹp cáp 3 boulon</v>
      </c>
      <c r="F893" s="555" t="str">
        <f>VLOOKUP($B893,dongia1,DG!$D$5,)</f>
        <v>cái</v>
      </c>
      <c r="G893" s="205">
        <v>8</v>
      </c>
      <c r="H893" s="556"/>
      <c r="I893" s="556">
        <f t="shared" ca="1" si="468"/>
        <v>0</v>
      </c>
      <c r="J893" s="556">
        <f t="shared" ca="1" si="468"/>
        <v>0</v>
      </c>
      <c r="K893" s="556">
        <f t="shared" ca="1" si="468"/>
        <v>0</v>
      </c>
      <c r="L893" s="556">
        <f t="shared" ca="1" si="468"/>
        <v>0</v>
      </c>
      <c r="M893" s="556"/>
      <c r="N893" s="556">
        <f t="shared" ca="1" si="468"/>
        <v>0</v>
      </c>
      <c r="O893" s="556">
        <f t="shared" si="468"/>
        <v>0</v>
      </c>
      <c r="P893" s="182">
        <f>VLOOKUP($B893,dongia1,DG!$F$5,)</f>
        <v>38000</v>
      </c>
      <c r="Q893" s="554"/>
      <c r="R893" s="554"/>
      <c r="S893" s="113">
        <f t="shared" si="469"/>
        <v>304000</v>
      </c>
      <c r="T893" s="113">
        <f t="shared" si="470"/>
        <v>0</v>
      </c>
      <c r="U893" s="557">
        <f t="shared" si="471"/>
        <v>0</v>
      </c>
    </row>
    <row r="894" spans="1:21" s="552" customFormat="1" ht="15" customHeight="1">
      <c r="A894" s="621"/>
      <c r="B894" s="622" t="s">
        <v>2075</v>
      </c>
      <c r="C894" s="558" t="str">
        <f t="shared" si="467"/>
        <v xml:space="preserve"> </v>
      </c>
      <c r="D894" s="553"/>
      <c r="E894" s="694" t="str">
        <f>VLOOKUP($B894,dongia1,DG!$C$5,)</f>
        <v>Cáp thép 3/8"</v>
      </c>
      <c r="F894" s="555" t="str">
        <f>VLOOKUP($B894,dongia1,DG!$D$5,)</f>
        <v>kg</v>
      </c>
      <c r="G894" s="205">
        <f>11*3/8</f>
        <v>4.125</v>
      </c>
      <c r="H894" s="556"/>
      <c r="I894" s="556">
        <f t="shared" ca="1" si="468"/>
        <v>0</v>
      </c>
      <c r="J894" s="556">
        <f t="shared" ca="1" si="468"/>
        <v>0</v>
      </c>
      <c r="K894" s="556">
        <f t="shared" ca="1" si="468"/>
        <v>0</v>
      </c>
      <c r="L894" s="556">
        <f t="shared" ca="1" si="468"/>
        <v>0</v>
      </c>
      <c r="M894" s="556"/>
      <c r="N894" s="556">
        <f t="shared" ca="1" si="468"/>
        <v>0</v>
      </c>
      <c r="O894" s="556">
        <f t="shared" si="468"/>
        <v>0</v>
      </c>
      <c r="P894" s="182">
        <f>VLOOKUP($B894,dongia1,DG!$F$5,)</f>
        <v>47300</v>
      </c>
      <c r="Q894" s="182"/>
      <c r="R894" s="554"/>
      <c r="S894" s="113">
        <f t="shared" si="469"/>
        <v>195112.5</v>
      </c>
      <c r="T894" s="113">
        <f t="shared" si="470"/>
        <v>0</v>
      </c>
      <c r="U894" s="557">
        <f t="shared" si="471"/>
        <v>0</v>
      </c>
    </row>
    <row r="895" spans="1:21" s="552" customFormat="1" ht="15" customHeight="1">
      <c r="A895" s="621"/>
      <c r="B895" s="622" t="s">
        <v>1451</v>
      </c>
      <c r="C895" s="558" t="str">
        <f t="shared" si="467"/>
        <v xml:space="preserve"> </v>
      </c>
      <c r="D895" s="553"/>
      <c r="E895" s="694" t="str">
        <f>VLOOKUP($B895,dongia1,DG!$C$5,)</f>
        <v>Bộ chống chằng hẹp Þ60/50x1500+2BL12x40+BL16x250/80</v>
      </c>
      <c r="F895" s="555" t="str">
        <f>VLOOKUP($B895,dongia1,DG!$D$5,)</f>
        <v>bộ</v>
      </c>
      <c r="G895" s="205">
        <v>1</v>
      </c>
      <c r="H895" s="556"/>
      <c r="I895" s="556">
        <f t="shared" ca="1" si="468"/>
        <v>0</v>
      </c>
      <c r="J895" s="556">
        <f t="shared" ca="1" si="468"/>
        <v>0</v>
      </c>
      <c r="K895" s="556">
        <f t="shared" ca="1" si="468"/>
        <v>0</v>
      </c>
      <c r="L895" s="556">
        <f t="shared" ca="1" si="468"/>
        <v>0</v>
      </c>
      <c r="M895" s="556"/>
      <c r="N895" s="556">
        <f t="shared" ca="1" si="468"/>
        <v>0</v>
      </c>
      <c r="O895" s="556">
        <f t="shared" si="468"/>
        <v>0</v>
      </c>
      <c r="P895" s="182">
        <f>VLOOKUP($B895,dongia1,DG!$F$5,)</f>
        <v>305000</v>
      </c>
      <c r="Q895" s="182"/>
      <c r="R895" s="554"/>
      <c r="S895" s="113">
        <f t="shared" si="469"/>
        <v>305000</v>
      </c>
      <c r="T895" s="113">
        <f t="shared" si="470"/>
        <v>0</v>
      </c>
      <c r="U895" s="557">
        <f t="shared" si="471"/>
        <v>0</v>
      </c>
    </row>
    <row r="896" spans="1:21" s="552" customFormat="1" ht="15" customHeight="1">
      <c r="A896" s="621"/>
      <c r="B896" s="622" t="s">
        <v>537</v>
      </c>
      <c r="C896" s="558" t="str">
        <f t="shared" si="467"/>
        <v xml:space="preserve"> </v>
      </c>
      <c r="D896" s="553"/>
      <c r="E896" s="694" t="str">
        <f>VLOOKUP($B896,dongia1,DG!$C$5,)</f>
        <v>Yếm đỡ dày chằng F1/2 mạ Zn (Yếm cáp)</v>
      </c>
      <c r="F896" s="555" t="str">
        <f>VLOOKUP($B896,dongia1,DG!$D$5,)</f>
        <v>cái</v>
      </c>
      <c r="G896" s="205">
        <v>2</v>
      </c>
      <c r="H896" s="556"/>
      <c r="I896" s="556">
        <f t="shared" ca="1" si="468"/>
        <v>0</v>
      </c>
      <c r="J896" s="556">
        <f t="shared" ca="1" si="468"/>
        <v>0</v>
      </c>
      <c r="K896" s="556">
        <f t="shared" ca="1" si="468"/>
        <v>0</v>
      </c>
      <c r="L896" s="556">
        <f t="shared" ca="1" si="468"/>
        <v>0</v>
      </c>
      <c r="M896" s="556"/>
      <c r="N896" s="556">
        <f t="shared" ca="1" si="468"/>
        <v>0</v>
      </c>
      <c r="O896" s="556">
        <f t="shared" si="468"/>
        <v>0</v>
      </c>
      <c r="P896" s="182">
        <f>VLOOKUP($B896,dongia1,DG!$F$5,)</f>
        <v>6000</v>
      </c>
      <c r="Q896" s="182"/>
      <c r="R896" s="554"/>
      <c r="S896" s="113">
        <f t="shared" si="469"/>
        <v>12000</v>
      </c>
      <c r="T896" s="113">
        <f t="shared" si="470"/>
        <v>0</v>
      </c>
      <c r="U896" s="557">
        <f t="shared" si="471"/>
        <v>0</v>
      </c>
    </row>
    <row r="897" spans="1:21" s="552" customFormat="1" ht="15" customHeight="1">
      <c r="A897" s="621"/>
      <c r="B897" s="622" t="s">
        <v>538</v>
      </c>
      <c r="C897" s="558" t="str">
        <f t="shared" si="467"/>
        <v xml:space="preserve"> </v>
      </c>
      <c r="D897" s="553"/>
      <c r="E897" s="694" t="str">
        <f>VLOOKUP($B897,dongia1,DG!$C$5,)</f>
        <v>Máng che dây chằng dày 1,6mm 0,4x2000</v>
      </c>
      <c r="F897" s="555" t="str">
        <f>VLOOKUP($B897,dongia1,DG!$D$5,)</f>
        <v>cái</v>
      </c>
      <c r="G897" s="205">
        <v>1</v>
      </c>
      <c r="H897" s="556"/>
      <c r="I897" s="556">
        <f t="shared" ca="1" si="468"/>
        <v>0</v>
      </c>
      <c r="J897" s="556">
        <f t="shared" ca="1" si="468"/>
        <v>0</v>
      </c>
      <c r="K897" s="556">
        <f t="shared" ca="1" si="468"/>
        <v>0</v>
      </c>
      <c r="L897" s="556">
        <f t="shared" ca="1" si="468"/>
        <v>0</v>
      </c>
      <c r="M897" s="556"/>
      <c r="N897" s="556">
        <f t="shared" ca="1" si="468"/>
        <v>0</v>
      </c>
      <c r="O897" s="556">
        <f t="shared" si="468"/>
        <v>0</v>
      </c>
      <c r="P897" s="182">
        <f>VLOOKUP($B897,dongia1,DG!$F$5,)</f>
        <v>55000</v>
      </c>
      <c r="Q897" s="182"/>
      <c r="R897" s="554"/>
      <c r="S897" s="113">
        <f t="shared" si="469"/>
        <v>55000</v>
      </c>
      <c r="T897" s="113">
        <f t="shared" si="470"/>
        <v>0</v>
      </c>
      <c r="U897" s="557">
        <f t="shared" si="471"/>
        <v>0</v>
      </c>
    </row>
    <row r="898" spans="1:21" s="552" customFormat="1" ht="15" customHeight="1">
      <c r="A898" s="621"/>
      <c r="B898" s="622" t="s">
        <v>1828</v>
      </c>
      <c r="C898" s="558" t="str">
        <f t="shared" si="467"/>
        <v xml:space="preserve"> </v>
      </c>
      <c r="D898" s="553"/>
      <c r="E898" s="694" t="str">
        <f>VLOOKUP($B898,dongia1,DG!$C$5,)</f>
        <v>Lắp bộ dây néo</v>
      </c>
      <c r="F898" s="555" t="str">
        <f>VLOOKUP($B898,dongia1,DG!$D$5,)</f>
        <v>bộ</v>
      </c>
      <c r="G898" s="205">
        <f>G891</f>
        <v>1</v>
      </c>
      <c r="H898" s="556"/>
      <c r="I898" s="556">
        <f t="shared" ca="1" si="468"/>
        <v>0</v>
      </c>
      <c r="J898" s="556">
        <f t="shared" ca="1" si="468"/>
        <v>0</v>
      </c>
      <c r="K898" s="556">
        <f t="shared" ca="1" si="468"/>
        <v>0</v>
      </c>
      <c r="L898" s="556">
        <f t="shared" ca="1" si="468"/>
        <v>0</v>
      </c>
      <c r="M898" s="556"/>
      <c r="N898" s="556">
        <f t="shared" ca="1" si="468"/>
        <v>0</v>
      </c>
      <c r="O898" s="556">
        <f t="shared" si="468"/>
        <v>0</v>
      </c>
      <c r="P898" s="554"/>
      <c r="Q898" s="182">
        <f>VLOOKUP($B898,dongia1,DG!$G$5,)</f>
        <v>99000</v>
      </c>
      <c r="R898" s="554"/>
      <c r="S898" s="113">
        <f t="shared" si="469"/>
        <v>0</v>
      </c>
      <c r="T898" s="113">
        <f t="shared" si="470"/>
        <v>99000</v>
      </c>
      <c r="U898" s="557">
        <f t="shared" si="471"/>
        <v>0</v>
      </c>
    </row>
    <row r="899" spans="1:21" s="552" customFormat="1" ht="15" customHeight="1">
      <c r="A899" s="621"/>
      <c r="B899" s="622" t="s">
        <v>1601</v>
      </c>
      <c r="C899" s="558" t="str">
        <f t="shared" si="467"/>
        <v xml:space="preserve"> </v>
      </c>
      <c r="D899" s="553"/>
      <c r="E899" s="694" t="str">
        <f>VLOOKUP($B899,dongia1,DG!$C$5,)</f>
        <v>Lắp bộ chống lệch</v>
      </c>
      <c r="F899" s="555" t="str">
        <f>VLOOKUP($B899,dongia1,DG!$D$5,)</f>
        <v>bộ</v>
      </c>
      <c r="G899" s="205">
        <f>G889</f>
        <v>1</v>
      </c>
      <c r="H899" s="556"/>
      <c r="I899" s="556">
        <f t="shared" ca="1" si="468"/>
        <v>0</v>
      </c>
      <c r="J899" s="556">
        <f t="shared" ca="1" si="468"/>
        <v>0</v>
      </c>
      <c r="K899" s="556">
        <f t="shared" ca="1" si="468"/>
        <v>0</v>
      </c>
      <c r="L899" s="556">
        <f t="shared" ca="1" si="468"/>
        <v>0</v>
      </c>
      <c r="M899" s="556"/>
      <c r="N899" s="556">
        <f t="shared" ca="1" si="468"/>
        <v>0</v>
      </c>
      <c r="O899" s="556">
        <f t="shared" si="468"/>
        <v>0</v>
      </c>
      <c r="P899" s="554"/>
      <c r="Q899" s="182">
        <f>VLOOKUP($B899,dongia1,DG!$G$5,)</f>
        <v>13161</v>
      </c>
      <c r="R899" s="554"/>
      <c r="S899" s="113">
        <f>$G899*P899</f>
        <v>0</v>
      </c>
      <c r="T899" s="113">
        <f>$G899*Q899</f>
        <v>13161</v>
      </c>
      <c r="U899" s="557">
        <f>$G899*R899</f>
        <v>0</v>
      </c>
    </row>
    <row r="900" spans="1:21" s="552" customFormat="1" ht="15" customHeight="1">
      <c r="A900" s="621" t="s">
        <v>1484</v>
      </c>
      <c r="B900" s="622"/>
      <c r="C900" s="558" t="str">
        <f>IF(H900&lt;&gt;0,"x"," ")</f>
        <v xml:space="preserve"> </v>
      </c>
      <c r="D900" s="553"/>
      <c r="E900" s="727" t="s">
        <v>3603</v>
      </c>
      <c r="F900" s="600" t="s">
        <v>2113</v>
      </c>
      <c r="G900" s="205"/>
      <c r="H900" s="556"/>
      <c r="I900" s="556">
        <f ca="1">SUMIF(chang3pm,chitiet!$A900,slchang3pm)</f>
        <v>0</v>
      </c>
      <c r="J900" s="556">
        <f ca="1">SUMIF(changct,chitiet!$A900,slchangct)</f>
        <v>0</v>
      </c>
      <c r="K900" s="556">
        <f ca="1">SUMIF(chang3p1m,chitiet!$A900,slchang3p1m)</f>
        <v>0</v>
      </c>
      <c r="L900" s="556">
        <f ca="1">SUMIF(chang1pm,chitiet!$A900,slchang1pm)</f>
        <v>0</v>
      </c>
      <c r="M900" s="556"/>
      <c r="N900" s="556">
        <f ca="1">SUMIF(changHTDL,chitiet!$A900,Slchanghtdl)</f>
        <v>0</v>
      </c>
      <c r="O900" s="556"/>
      <c r="P900" s="554"/>
      <c r="Q900" s="554"/>
      <c r="R900" s="554"/>
      <c r="S900" s="601">
        <f>SUM(S901:S907)</f>
        <v>2342700</v>
      </c>
      <c r="T900" s="601">
        <f>SUM(T901:T907)</f>
        <v>198000</v>
      </c>
      <c r="U900" s="602">
        <f>SUM(U901:U907)</f>
        <v>0</v>
      </c>
    </row>
    <row r="901" spans="1:21" s="552" customFormat="1" ht="15" customHeight="1">
      <c r="A901" s="621"/>
      <c r="B901" s="622" t="s">
        <v>1432</v>
      </c>
      <c r="C901" s="558" t="str">
        <f t="shared" ref="C901:C907" si="472">C900</f>
        <v xml:space="preserve"> </v>
      </c>
      <c r="D901" s="553"/>
      <c r="E901" s="694" t="str">
        <f>VLOOKUP($B901,dongia1,DG!$C$5,)</f>
        <v>Boulon mắt 16x250+ 1 long đền vuông D18-50x50x3/Zn</v>
      </c>
      <c r="F901" s="555" t="str">
        <f>VLOOKUP($B901,dongia1,DG!$D$5,)</f>
        <v>bộ</v>
      </c>
      <c r="G901" s="205">
        <v>2</v>
      </c>
      <c r="H901" s="556"/>
      <c r="I901" s="556">
        <f t="shared" ref="I901:O907" ca="1" si="473">I$900*$G901</f>
        <v>0</v>
      </c>
      <c r="J901" s="556">
        <f t="shared" ca="1" si="473"/>
        <v>0</v>
      </c>
      <c r="K901" s="556">
        <f t="shared" ca="1" si="473"/>
        <v>0</v>
      </c>
      <c r="L901" s="556">
        <f t="shared" ca="1" si="473"/>
        <v>0</v>
      </c>
      <c r="M901" s="556"/>
      <c r="N901" s="556">
        <f t="shared" ca="1" si="473"/>
        <v>0</v>
      </c>
      <c r="O901" s="556">
        <f t="shared" si="473"/>
        <v>0</v>
      </c>
      <c r="P901" s="182">
        <f>VLOOKUP($B901,dongia1,DG!$F$5,)</f>
        <v>29200</v>
      </c>
      <c r="Q901" s="554"/>
      <c r="R901" s="554"/>
      <c r="S901" s="113">
        <f t="shared" ref="S901:S907" si="474">$G901*P901</f>
        <v>58400</v>
      </c>
      <c r="T901" s="113">
        <f t="shared" ref="T901:T907" si="475">$G901*Q901</f>
        <v>0</v>
      </c>
      <c r="U901" s="557">
        <f t="shared" ref="U901:U907" si="476">$G901*R901</f>
        <v>0</v>
      </c>
    </row>
    <row r="902" spans="1:21" s="552" customFormat="1" ht="15" customHeight="1">
      <c r="A902" s="621"/>
      <c r="B902" s="622" t="s">
        <v>1005</v>
      </c>
      <c r="C902" s="558" t="str">
        <f t="shared" si="472"/>
        <v xml:space="preserve"> </v>
      </c>
      <c r="D902" s="553"/>
      <c r="E902" s="694" t="str">
        <f>VLOOKUP($B902,dongia1,DG!$C$5,)</f>
        <v>Sứ chằng</v>
      </c>
      <c r="F902" s="555" t="str">
        <f>VLOOKUP($B902,dongia1,DG!$D$5,)</f>
        <v>cái</v>
      </c>
      <c r="G902" s="205">
        <v>2</v>
      </c>
      <c r="H902" s="556"/>
      <c r="I902" s="556">
        <f t="shared" ca="1" si="473"/>
        <v>0</v>
      </c>
      <c r="J902" s="556">
        <f t="shared" ca="1" si="473"/>
        <v>0</v>
      </c>
      <c r="K902" s="556">
        <f t="shared" ca="1" si="473"/>
        <v>0</v>
      </c>
      <c r="L902" s="556">
        <f t="shared" ca="1" si="473"/>
        <v>0</v>
      </c>
      <c r="M902" s="556"/>
      <c r="N902" s="556">
        <f t="shared" ca="1" si="473"/>
        <v>0</v>
      </c>
      <c r="O902" s="556">
        <f t="shared" si="473"/>
        <v>0</v>
      </c>
      <c r="P902" s="182">
        <f>VLOOKUP($B902,dongia1,DG!$F$5,)</f>
        <v>38000</v>
      </c>
      <c r="Q902" s="554"/>
      <c r="R902" s="554"/>
      <c r="S902" s="113">
        <f t="shared" si="474"/>
        <v>76000</v>
      </c>
      <c r="T902" s="113">
        <f t="shared" si="475"/>
        <v>0</v>
      </c>
      <c r="U902" s="557">
        <f t="shared" si="476"/>
        <v>0</v>
      </c>
    </row>
    <row r="903" spans="1:21" s="552" customFormat="1" ht="15" customHeight="1">
      <c r="A903" s="621"/>
      <c r="B903" s="622" t="s">
        <v>204</v>
      </c>
      <c r="C903" s="558" t="str">
        <f t="shared" si="472"/>
        <v xml:space="preserve"> </v>
      </c>
      <c r="D903" s="553"/>
      <c r="E903" s="694" t="str">
        <f>VLOOKUP($B903,dongia1,DG!$C$5,)</f>
        <v>Kẹp cáp 3 boulon</v>
      </c>
      <c r="F903" s="555" t="str">
        <f>VLOOKUP($B903,dongia1,DG!$D$5,)</f>
        <v>cái</v>
      </c>
      <c r="G903" s="205">
        <v>16</v>
      </c>
      <c r="H903" s="556"/>
      <c r="I903" s="556">
        <f t="shared" ca="1" si="473"/>
        <v>0</v>
      </c>
      <c r="J903" s="556">
        <f t="shared" ca="1" si="473"/>
        <v>0</v>
      </c>
      <c r="K903" s="556">
        <f t="shared" ca="1" si="473"/>
        <v>0</v>
      </c>
      <c r="L903" s="556">
        <f t="shared" ca="1" si="473"/>
        <v>0</v>
      </c>
      <c r="M903" s="556"/>
      <c r="N903" s="556">
        <f t="shared" ca="1" si="473"/>
        <v>0</v>
      </c>
      <c r="O903" s="556">
        <f t="shared" si="473"/>
        <v>0</v>
      </c>
      <c r="P903" s="182">
        <f>VLOOKUP($B903,dongia1,DG!$F$5,)</f>
        <v>38000</v>
      </c>
      <c r="Q903" s="554"/>
      <c r="R903" s="554"/>
      <c r="S903" s="113">
        <f t="shared" si="474"/>
        <v>608000</v>
      </c>
      <c r="T903" s="113">
        <f t="shared" si="475"/>
        <v>0</v>
      </c>
      <c r="U903" s="557">
        <f t="shared" si="476"/>
        <v>0</v>
      </c>
    </row>
    <row r="904" spans="1:21" s="552" customFormat="1" ht="15" customHeight="1">
      <c r="A904" s="621"/>
      <c r="B904" s="622" t="s">
        <v>2075</v>
      </c>
      <c r="C904" s="558" t="str">
        <f t="shared" si="472"/>
        <v xml:space="preserve"> </v>
      </c>
      <c r="D904" s="553"/>
      <c r="E904" s="694" t="str">
        <f>VLOOKUP($B904,dongia1,DG!$C$5,)</f>
        <v>Cáp thép 3/8"</v>
      </c>
      <c r="F904" s="555" t="str">
        <f>VLOOKUP($B904,dongia1,DG!$D$5,)</f>
        <v>kg</v>
      </c>
      <c r="G904" s="205">
        <v>31</v>
      </c>
      <c r="H904" s="556"/>
      <c r="I904" s="556">
        <f t="shared" ca="1" si="473"/>
        <v>0</v>
      </c>
      <c r="J904" s="556">
        <f t="shared" ca="1" si="473"/>
        <v>0</v>
      </c>
      <c r="K904" s="556">
        <f t="shared" ca="1" si="473"/>
        <v>0</v>
      </c>
      <c r="L904" s="556">
        <f t="shared" ca="1" si="473"/>
        <v>0</v>
      </c>
      <c r="M904" s="556"/>
      <c r="N904" s="556">
        <f t="shared" ca="1" si="473"/>
        <v>0</v>
      </c>
      <c r="O904" s="556">
        <f t="shared" si="473"/>
        <v>0</v>
      </c>
      <c r="P904" s="182">
        <f>VLOOKUP($B904,dongia1,DG!$F$5,)</f>
        <v>47300</v>
      </c>
      <c r="Q904" s="182"/>
      <c r="R904" s="554"/>
      <c r="S904" s="113">
        <f t="shared" si="474"/>
        <v>1466300</v>
      </c>
      <c r="T904" s="113">
        <f t="shared" si="475"/>
        <v>0</v>
      </c>
      <c r="U904" s="557">
        <f t="shared" si="476"/>
        <v>0</v>
      </c>
    </row>
    <row r="905" spans="1:21" s="552" customFormat="1" ht="15" customHeight="1">
      <c r="A905" s="621"/>
      <c r="B905" s="622" t="s">
        <v>537</v>
      </c>
      <c r="C905" s="558" t="str">
        <f t="shared" si="472"/>
        <v xml:space="preserve"> </v>
      </c>
      <c r="D905" s="553"/>
      <c r="E905" s="694" t="str">
        <f>VLOOKUP($B905,dongia1,DG!$C$5,)</f>
        <v>Yếm đỡ dày chằng F1/2 mạ Zn (Yếm cáp)</v>
      </c>
      <c r="F905" s="555" t="str">
        <f>VLOOKUP($B905,dongia1,DG!$D$5,)</f>
        <v>cái</v>
      </c>
      <c r="G905" s="205">
        <v>4</v>
      </c>
      <c r="H905" s="556"/>
      <c r="I905" s="556">
        <f t="shared" ca="1" si="473"/>
        <v>0</v>
      </c>
      <c r="J905" s="556">
        <f t="shared" ca="1" si="473"/>
        <v>0</v>
      </c>
      <c r="K905" s="556">
        <f t="shared" ca="1" si="473"/>
        <v>0</v>
      </c>
      <c r="L905" s="556">
        <f t="shared" ca="1" si="473"/>
        <v>0</v>
      </c>
      <c r="M905" s="556"/>
      <c r="N905" s="556">
        <f t="shared" ca="1" si="473"/>
        <v>0</v>
      </c>
      <c r="O905" s="556">
        <f t="shared" si="473"/>
        <v>0</v>
      </c>
      <c r="P905" s="182">
        <f>VLOOKUP($B905,dongia1,DG!$F$5,)</f>
        <v>6000</v>
      </c>
      <c r="Q905" s="182"/>
      <c r="R905" s="554"/>
      <c r="S905" s="113">
        <f t="shared" si="474"/>
        <v>24000</v>
      </c>
      <c r="T905" s="113">
        <f t="shared" si="475"/>
        <v>0</v>
      </c>
      <c r="U905" s="557">
        <f t="shared" si="476"/>
        <v>0</v>
      </c>
    </row>
    <row r="906" spans="1:21" s="552" customFormat="1" ht="15" customHeight="1">
      <c r="A906" s="621"/>
      <c r="B906" s="622" t="s">
        <v>538</v>
      </c>
      <c r="C906" s="558" t="str">
        <f t="shared" si="472"/>
        <v xml:space="preserve"> </v>
      </c>
      <c r="D906" s="553"/>
      <c r="E906" s="694" t="str">
        <f>VLOOKUP($B906,dongia1,DG!$C$5,)</f>
        <v>Máng che dây chằng dày 1,6mm 0,4x2000</v>
      </c>
      <c r="F906" s="555" t="str">
        <f>VLOOKUP($B906,dongia1,DG!$D$5,)</f>
        <v>cái</v>
      </c>
      <c r="G906" s="205">
        <v>2</v>
      </c>
      <c r="H906" s="556"/>
      <c r="I906" s="556">
        <f t="shared" ca="1" si="473"/>
        <v>0</v>
      </c>
      <c r="J906" s="556">
        <f t="shared" ca="1" si="473"/>
        <v>0</v>
      </c>
      <c r="K906" s="556">
        <f t="shared" ca="1" si="473"/>
        <v>0</v>
      </c>
      <c r="L906" s="556">
        <f t="shared" ca="1" si="473"/>
        <v>0</v>
      </c>
      <c r="M906" s="556"/>
      <c r="N906" s="556">
        <f t="shared" ca="1" si="473"/>
        <v>0</v>
      </c>
      <c r="O906" s="556">
        <f t="shared" si="473"/>
        <v>0</v>
      </c>
      <c r="P906" s="182">
        <f>VLOOKUP($B906,dongia1,DG!$F$5,)</f>
        <v>55000</v>
      </c>
      <c r="Q906" s="182"/>
      <c r="R906" s="554"/>
      <c r="S906" s="113">
        <f t="shared" si="474"/>
        <v>110000</v>
      </c>
      <c r="T906" s="113">
        <f t="shared" si="475"/>
        <v>0</v>
      </c>
      <c r="U906" s="557">
        <f t="shared" si="476"/>
        <v>0</v>
      </c>
    </row>
    <row r="907" spans="1:21" s="552" customFormat="1" ht="15" customHeight="1">
      <c r="A907" s="621"/>
      <c r="B907" s="622" t="s">
        <v>1828</v>
      </c>
      <c r="C907" s="558" t="str">
        <f t="shared" si="472"/>
        <v xml:space="preserve"> </v>
      </c>
      <c r="D907" s="553"/>
      <c r="E907" s="694" t="str">
        <f>VLOOKUP($B907,dongia1,DG!$C$5,)</f>
        <v>Lắp bộ dây néo</v>
      </c>
      <c r="F907" s="555" t="str">
        <f>VLOOKUP($B907,dongia1,DG!$D$5,)</f>
        <v>bộ</v>
      </c>
      <c r="G907" s="205">
        <f>G901</f>
        <v>2</v>
      </c>
      <c r="H907" s="556"/>
      <c r="I907" s="556">
        <f t="shared" ca="1" si="473"/>
        <v>0</v>
      </c>
      <c r="J907" s="556">
        <f t="shared" ca="1" si="473"/>
        <v>0</v>
      </c>
      <c r="K907" s="556">
        <f t="shared" ca="1" si="473"/>
        <v>0</v>
      </c>
      <c r="L907" s="556">
        <f t="shared" ca="1" si="473"/>
        <v>0</v>
      </c>
      <c r="M907" s="556"/>
      <c r="N907" s="556">
        <f t="shared" ca="1" si="473"/>
        <v>0</v>
      </c>
      <c r="O907" s="556">
        <f t="shared" si="473"/>
        <v>0</v>
      </c>
      <c r="P907" s="554"/>
      <c r="Q907" s="182">
        <f>VLOOKUP($B907,dongia1,DG!$G$5,)</f>
        <v>99000</v>
      </c>
      <c r="R907" s="554"/>
      <c r="S907" s="113">
        <f t="shared" si="474"/>
        <v>0</v>
      </c>
      <c r="T907" s="113">
        <f t="shared" si="475"/>
        <v>198000</v>
      </c>
      <c r="U907" s="557">
        <f t="shared" si="476"/>
        <v>0</v>
      </c>
    </row>
    <row r="908" spans="1:21" s="552" customFormat="1" ht="15" customHeight="1">
      <c r="A908" s="621" t="s">
        <v>1358</v>
      </c>
      <c r="B908" s="622"/>
      <c r="C908" s="558" t="str">
        <f>IF(H908&lt;&gt;0,"x"," ")</f>
        <v xml:space="preserve"> </v>
      </c>
      <c r="D908" s="553"/>
      <c r="E908" s="727" t="s">
        <v>3604</v>
      </c>
      <c r="F908" s="600" t="s">
        <v>2113</v>
      </c>
      <c r="G908" s="205"/>
      <c r="H908" s="556"/>
      <c r="I908" s="556">
        <f ca="1">SUMIF(chang3pm,chitiet!$A908,slchang3pm)</f>
        <v>0</v>
      </c>
      <c r="J908" s="556">
        <f ca="1">SUMIF(changct,chitiet!$A908,slchangct)</f>
        <v>0</v>
      </c>
      <c r="K908" s="556">
        <f ca="1">SUMIF(chang3p1m,chitiet!$A908,slchang3p1m)</f>
        <v>0</v>
      </c>
      <c r="L908" s="556">
        <f ca="1">SUMIF(chang1pm,chitiet!$A908,slchang1pm)</f>
        <v>0</v>
      </c>
      <c r="M908" s="556"/>
      <c r="N908" s="556">
        <f ca="1">SUMIF(changHTDL,chitiet!$A908,Slchanghtdl)</f>
        <v>0</v>
      </c>
      <c r="O908" s="556"/>
      <c r="P908" s="554"/>
      <c r="Q908" s="554"/>
      <c r="R908" s="554"/>
      <c r="S908" s="601">
        <f>SUM(S909:S910)</f>
        <v>0</v>
      </c>
      <c r="T908" s="601">
        <f>SUM(T909:T910)</f>
        <v>198000</v>
      </c>
      <c r="U908" s="602">
        <f>SUM(U909:U910)</f>
        <v>0</v>
      </c>
    </row>
    <row r="909" spans="1:21" s="552" customFormat="1" ht="15" customHeight="1">
      <c r="A909" s="621"/>
      <c r="B909" s="622" t="s">
        <v>1828</v>
      </c>
      <c r="C909" s="558" t="str">
        <f>C908</f>
        <v xml:space="preserve"> </v>
      </c>
      <c r="D909" s="553"/>
      <c r="E909" s="694" t="s">
        <v>3691</v>
      </c>
      <c r="F909" s="555" t="str">
        <f>VLOOKUP($B909,dongia1,DG!$D$5,)</f>
        <v>bộ</v>
      </c>
      <c r="G909" s="205">
        <v>1</v>
      </c>
      <c r="H909" s="556"/>
      <c r="I909" s="556">
        <f t="shared" ref="I909:O910" ca="1" si="477">I$908*$G909</f>
        <v>0</v>
      </c>
      <c r="J909" s="556">
        <f t="shared" ca="1" si="477"/>
        <v>0</v>
      </c>
      <c r="K909" s="556">
        <f t="shared" ca="1" si="477"/>
        <v>0</v>
      </c>
      <c r="L909" s="556">
        <f t="shared" ca="1" si="477"/>
        <v>0</v>
      </c>
      <c r="M909" s="556"/>
      <c r="N909" s="556">
        <f t="shared" ca="1" si="477"/>
        <v>0</v>
      </c>
      <c r="O909" s="556">
        <f t="shared" si="477"/>
        <v>0</v>
      </c>
      <c r="P909" s="182">
        <f>VLOOKUP($B909,dongia1,DG!$F$5,)</f>
        <v>0</v>
      </c>
      <c r="Q909" s="182">
        <f>VLOOKUP($B909,dongia1,DG!$G$5,)</f>
        <v>99000</v>
      </c>
      <c r="R909" s="554"/>
      <c r="S909" s="113">
        <f t="shared" ref="S909:U910" si="478">$G909*P909</f>
        <v>0</v>
      </c>
      <c r="T909" s="113">
        <f t="shared" si="478"/>
        <v>99000</v>
      </c>
      <c r="U909" s="557">
        <f t="shared" si="478"/>
        <v>0</v>
      </c>
    </row>
    <row r="910" spans="1:21" s="552" customFormat="1" ht="15" customHeight="1">
      <c r="A910" s="621"/>
      <c r="B910" s="622" t="s">
        <v>1828</v>
      </c>
      <c r="C910" s="558" t="str">
        <f>C909</f>
        <v xml:space="preserve"> </v>
      </c>
      <c r="D910" s="553"/>
      <c r="E910" s="694" t="str">
        <f>VLOOKUP($B910,dongia1,DG!$C$5,)</f>
        <v>Lắp bộ dây néo</v>
      </c>
      <c r="F910" s="555" t="str">
        <f>VLOOKUP($B910,dongia1,DG!$D$5,)</f>
        <v>bộ</v>
      </c>
      <c r="G910" s="205">
        <v>1</v>
      </c>
      <c r="H910" s="556"/>
      <c r="I910" s="556">
        <f t="shared" ca="1" si="477"/>
        <v>0</v>
      </c>
      <c r="J910" s="556">
        <f t="shared" ca="1" si="477"/>
        <v>0</v>
      </c>
      <c r="K910" s="556">
        <f t="shared" ca="1" si="477"/>
        <v>0</v>
      </c>
      <c r="L910" s="556">
        <f t="shared" ca="1" si="477"/>
        <v>0</v>
      </c>
      <c r="M910" s="556"/>
      <c r="N910" s="556">
        <f t="shared" ca="1" si="477"/>
        <v>0</v>
      </c>
      <c r="O910" s="556">
        <f t="shared" si="477"/>
        <v>0</v>
      </c>
      <c r="P910" s="182">
        <f>VLOOKUP($B910,dongia1,DG!$F$5,)</f>
        <v>0</v>
      </c>
      <c r="Q910" s="182">
        <f>VLOOKUP($B910,dongia1,DG!$G$5,)</f>
        <v>99000</v>
      </c>
      <c r="R910" s="554"/>
      <c r="S910" s="113">
        <f t="shared" si="478"/>
        <v>0</v>
      </c>
      <c r="T910" s="113">
        <f t="shared" si="478"/>
        <v>99000</v>
      </c>
      <c r="U910" s="557">
        <f t="shared" si="478"/>
        <v>0</v>
      </c>
    </row>
    <row r="911" spans="1:21" s="858" customFormat="1">
      <c r="A911" s="847" t="s">
        <v>1833</v>
      </c>
      <c r="B911" s="848"/>
      <c r="C911" s="849" t="s">
        <v>309</v>
      </c>
      <c r="D911" s="850">
        <v>4</v>
      </c>
      <c r="E911" s="851" t="s">
        <v>3605</v>
      </c>
      <c r="F911" s="852" t="s">
        <v>2113</v>
      </c>
      <c r="G911" s="853">
        <f>pp3p1m!AP10</f>
        <v>2</v>
      </c>
      <c r="H911" s="854"/>
      <c r="I911" s="854">
        <f ca="1">SUMIF(chang3pm,chitiet!$A911,slchang3pm)</f>
        <v>0</v>
      </c>
      <c r="J911" s="854">
        <f ca="1">SUMIF(changct,chitiet!$A911,slchangct)</f>
        <v>0</v>
      </c>
      <c r="K911" s="854">
        <f ca="1">SUMIF(chang3p1m,chitiet!$A911,slchang3p1m)</f>
        <v>2</v>
      </c>
      <c r="L911" s="854">
        <f ca="1">SUMIF(chang1pm,chitiet!$A911,slchang1pm)</f>
        <v>0</v>
      </c>
      <c r="M911" s="854"/>
      <c r="N911" s="854">
        <f ca="1">SUMIF(changHTDL,chitiet!$A911,Slchanghtdl)</f>
        <v>0</v>
      </c>
      <c r="O911" s="854"/>
      <c r="P911" s="855"/>
      <c r="Q911" s="855"/>
      <c r="R911" s="855"/>
      <c r="S911" s="856">
        <f>SUM(S912:S918)</f>
        <v>679430</v>
      </c>
      <c r="T911" s="856">
        <f>SUM(T912:T918)</f>
        <v>99000</v>
      </c>
      <c r="U911" s="857">
        <f>SUM(U912:U918)</f>
        <v>0</v>
      </c>
    </row>
    <row r="912" spans="1:21">
      <c r="B912" s="696" t="s">
        <v>1432</v>
      </c>
      <c r="C912" s="631" t="s">
        <v>309</v>
      </c>
      <c r="D912" s="698"/>
      <c r="E912" s="699" t="str">
        <f>VLOOKUP($B912,dongia1,DG!$C$5,)</f>
        <v>Boulon mắt 16x250+ 1 long đền vuông D18-50x50x3/Zn</v>
      </c>
      <c r="F912" s="700" t="str">
        <f>VLOOKUP($B912,dongia1,DG!$D$5,)</f>
        <v>bộ</v>
      </c>
      <c r="G912" s="1006">
        <v>1</v>
      </c>
      <c r="H912" s="701"/>
      <c r="I912" s="701">
        <f t="shared" ref="I912:O918" ca="1" si="479">I$911*$G912</f>
        <v>0</v>
      </c>
      <c r="J912" s="701">
        <f t="shared" ca="1" si="479"/>
        <v>0</v>
      </c>
      <c r="K912" s="701">
        <f t="shared" ca="1" si="479"/>
        <v>2</v>
      </c>
      <c r="L912" s="701">
        <f t="shared" ca="1" si="479"/>
        <v>0</v>
      </c>
      <c r="M912" s="701"/>
      <c r="N912" s="701">
        <f t="shared" ca="1" si="479"/>
        <v>0</v>
      </c>
      <c r="O912" s="701">
        <f t="shared" si="479"/>
        <v>0</v>
      </c>
      <c r="P912" s="702">
        <f>VLOOKUP($B912,dongia1,DG!$F$5,)</f>
        <v>29200</v>
      </c>
      <c r="Q912" s="703"/>
      <c r="R912" s="703"/>
      <c r="S912" s="702">
        <f t="shared" ref="S912:S918" si="480">$G912*P912</f>
        <v>29200</v>
      </c>
      <c r="T912" s="702">
        <f t="shared" ref="T912:T918" si="481">$G912*Q912</f>
        <v>0</v>
      </c>
      <c r="U912" s="704">
        <f t="shared" ref="U912:U918" si="482">$G912*R912</f>
        <v>0</v>
      </c>
    </row>
    <row r="913" spans="1:21">
      <c r="B913" s="696" t="s">
        <v>1005</v>
      </c>
      <c r="C913" s="631" t="s">
        <v>309</v>
      </c>
      <c r="D913" s="698"/>
      <c r="E913" s="699" t="str">
        <f>VLOOKUP($B913,dongia1,DG!$C$5,)</f>
        <v>Sứ chằng</v>
      </c>
      <c r="F913" s="700" t="str">
        <f>VLOOKUP($B913,dongia1,DG!$D$5,)</f>
        <v>cái</v>
      </c>
      <c r="G913" s="762">
        <v>1</v>
      </c>
      <c r="H913" s="701"/>
      <c r="I913" s="701">
        <f t="shared" ca="1" si="479"/>
        <v>0</v>
      </c>
      <c r="J913" s="701">
        <f t="shared" ca="1" si="479"/>
        <v>0</v>
      </c>
      <c r="K913" s="701">
        <f t="shared" ca="1" si="479"/>
        <v>2</v>
      </c>
      <c r="L913" s="701">
        <f t="shared" ca="1" si="479"/>
        <v>0</v>
      </c>
      <c r="M913" s="701"/>
      <c r="N913" s="701">
        <f t="shared" ca="1" si="479"/>
        <v>0</v>
      </c>
      <c r="O913" s="701">
        <f t="shared" si="479"/>
        <v>0</v>
      </c>
      <c r="P913" s="702">
        <f>VLOOKUP($B913,dongia1,DG!$F$5,)</f>
        <v>38000</v>
      </c>
      <c r="Q913" s="703"/>
      <c r="R913" s="703"/>
      <c r="S913" s="702">
        <f t="shared" si="480"/>
        <v>38000</v>
      </c>
      <c r="T913" s="702">
        <f t="shared" si="481"/>
        <v>0</v>
      </c>
      <c r="U913" s="704">
        <f t="shared" si="482"/>
        <v>0</v>
      </c>
    </row>
    <row r="914" spans="1:21">
      <c r="B914" s="696" t="s">
        <v>204</v>
      </c>
      <c r="C914" s="631" t="s">
        <v>309</v>
      </c>
      <c r="D914" s="698"/>
      <c r="E914" s="699" t="str">
        <f>VLOOKUP($B914,dongia1,DG!$C$5,)</f>
        <v>Kẹp cáp 3 boulon</v>
      </c>
      <c r="F914" s="700" t="str">
        <f>VLOOKUP($B914,dongia1,DG!$D$5,)</f>
        <v>cái</v>
      </c>
      <c r="G914" s="762">
        <v>8</v>
      </c>
      <c r="H914" s="701"/>
      <c r="I914" s="701">
        <f t="shared" ca="1" si="479"/>
        <v>0</v>
      </c>
      <c r="J914" s="701">
        <f t="shared" ca="1" si="479"/>
        <v>0</v>
      </c>
      <c r="K914" s="701">
        <f t="shared" ca="1" si="479"/>
        <v>16</v>
      </c>
      <c r="L914" s="701">
        <f t="shared" ca="1" si="479"/>
        <v>0</v>
      </c>
      <c r="M914" s="701"/>
      <c r="N914" s="701">
        <f t="shared" ca="1" si="479"/>
        <v>0</v>
      </c>
      <c r="O914" s="701">
        <f t="shared" si="479"/>
        <v>0</v>
      </c>
      <c r="P914" s="702">
        <f>VLOOKUP($B914,dongia1,DG!$F$5,)</f>
        <v>38000</v>
      </c>
      <c r="Q914" s="703"/>
      <c r="R914" s="703"/>
      <c r="S914" s="702">
        <f t="shared" si="480"/>
        <v>304000</v>
      </c>
      <c r="T914" s="702">
        <f t="shared" si="481"/>
        <v>0</v>
      </c>
      <c r="U914" s="704">
        <f t="shared" si="482"/>
        <v>0</v>
      </c>
    </row>
    <row r="915" spans="1:21">
      <c r="B915" s="696" t="s">
        <v>2075</v>
      </c>
      <c r="C915" s="631" t="s">
        <v>309</v>
      </c>
      <c r="D915" s="698"/>
      <c r="E915" s="699" t="str">
        <f>VLOOKUP($B915,dongia1,DG!$C$5,)</f>
        <v>Cáp thép 3/8"</v>
      </c>
      <c r="F915" s="700" t="str">
        <f>VLOOKUP($B915,dongia1,DG!$D$5,)</f>
        <v>kg</v>
      </c>
      <c r="G915" s="762">
        <f>ROUND(14*0.366,1)</f>
        <v>5.0999999999999996</v>
      </c>
      <c r="H915" s="701"/>
      <c r="I915" s="701">
        <f t="shared" ca="1" si="479"/>
        <v>0</v>
      </c>
      <c r="J915" s="701">
        <f t="shared" ca="1" si="479"/>
        <v>0</v>
      </c>
      <c r="K915" s="701">
        <f t="shared" ca="1" si="479"/>
        <v>10.199999999999999</v>
      </c>
      <c r="L915" s="701">
        <f t="shared" ca="1" si="479"/>
        <v>0</v>
      </c>
      <c r="M915" s="701"/>
      <c r="N915" s="701">
        <f t="shared" ca="1" si="479"/>
        <v>0</v>
      </c>
      <c r="O915" s="701">
        <f t="shared" si="479"/>
        <v>0</v>
      </c>
      <c r="P915" s="702">
        <f>VLOOKUP($B915,dongia1,DG!$F$5,)</f>
        <v>47300</v>
      </c>
      <c r="Q915" s="702"/>
      <c r="R915" s="703"/>
      <c r="S915" s="702">
        <f t="shared" si="480"/>
        <v>241229.99999999997</v>
      </c>
      <c r="T915" s="702">
        <f t="shared" si="481"/>
        <v>0</v>
      </c>
      <c r="U915" s="704">
        <f t="shared" si="482"/>
        <v>0</v>
      </c>
    </row>
    <row r="916" spans="1:21">
      <c r="B916" s="696" t="s">
        <v>537</v>
      </c>
      <c r="C916" s="631" t="s">
        <v>309</v>
      </c>
      <c r="D916" s="698"/>
      <c r="E916" s="699" t="str">
        <f>VLOOKUP($B916,dongia1,DG!$C$5,)</f>
        <v>Yếm đỡ dày chằng F1/2 mạ Zn (Yếm cáp)</v>
      </c>
      <c r="F916" s="700" t="str">
        <f>VLOOKUP($B916,dongia1,DG!$D$5,)</f>
        <v>cái</v>
      </c>
      <c r="G916" s="762">
        <v>2</v>
      </c>
      <c r="H916" s="701"/>
      <c r="I916" s="701">
        <f t="shared" ca="1" si="479"/>
        <v>0</v>
      </c>
      <c r="J916" s="701">
        <f t="shared" ca="1" si="479"/>
        <v>0</v>
      </c>
      <c r="K916" s="701">
        <f t="shared" ca="1" si="479"/>
        <v>4</v>
      </c>
      <c r="L916" s="701">
        <f t="shared" ca="1" si="479"/>
        <v>0</v>
      </c>
      <c r="M916" s="701"/>
      <c r="N916" s="701">
        <f t="shared" ca="1" si="479"/>
        <v>0</v>
      </c>
      <c r="O916" s="701">
        <f t="shared" si="479"/>
        <v>0</v>
      </c>
      <c r="P916" s="702">
        <f>VLOOKUP($B916,dongia1,DG!$F$5,)</f>
        <v>6000</v>
      </c>
      <c r="Q916" s="702"/>
      <c r="R916" s="703"/>
      <c r="S916" s="702">
        <f t="shared" si="480"/>
        <v>12000</v>
      </c>
      <c r="T916" s="702">
        <f t="shared" si="481"/>
        <v>0</v>
      </c>
      <c r="U916" s="704">
        <f t="shared" si="482"/>
        <v>0</v>
      </c>
    </row>
    <row r="917" spans="1:21">
      <c r="B917" s="696" t="s">
        <v>538</v>
      </c>
      <c r="C917" s="631" t="s">
        <v>309</v>
      </c>
      <c r="D917" s="698"/>
      <c r="E917" s="699" t="str">
        <f>VLOOKUP($B917,dongia1,DG!$C$5,)</f>
        <v>Máng che dây chằng dày 1,6mm 0,4x2000</v>
      </c>
      <c r="F917" s="700" t="str">
        <f>VLOOKUP($B917,dongia1,DG!$D$5,)</f>
        <v>cái</v>
      </c>
      <c r="G917" s="762">
        <v>1</v>
      </c>
      <c r="H917" s="701"/>
      <c r="I917" s="701">
        <f t="shared" ca="1" si="479"/>
        <v>0</v>
      </c>
      <c r="J917" s="701">
        <f t="shared" ca="1" si="479"/>
        <v>0</v>
      </c>
      <c r="K917" s="701">
        <f t="shared" ca="1" si="479"/>
        <v>2</v>
      </c>
      <c r="L917" s="701">
        <f t="shared" ca="1" si="479"/>
        <v>0</v>
      </c>
      <c r="M917" s="701"/>
      <c r="N917" s="701">
        <f t="shared" ca="1" si="479"/>
        <v>0</v>
      </c>
      <c r="O917" s="701">
        <f t="shared" si="479"/>
        <v>0</v>
      </c>
      <c r="P917" s="702">
        <f>VLOOKUP($B917,dongia1,DG!$F$5,)</f>
        <v>55000</v>
      </c>
      <c r="Q917" s="702"/>
      <c r="R917" s="703"/>
      <c r="S917" s="702">
        <f t="shared" si="480"/>
        <v>55000</v>
      </c>
      <c r="T917" s="702">
        <f t="shared" si="481"/>
        <v>0</v>
      </c>
      <c r="U917" s="704">
        <f t="shared" si="482"/>
        <v>0</v>
      </c>
    </row>
    <row r="918" spans="1:21">
      <c r="B918" s="696" t="s">
        <v>1828</v>
      </c>
      <c r="C918" s="631" t="str">
        <f t="shared" ref="C918" si="483">C917</f>
        <v>x</v>
      </c>
      <c r="D918" s="698"/>
      <c r="E918" s="699" t="str">
        <f>VLOOKUP($B918,dongia1,DG!$C$5,)</f>
        <v>Lắp bộ dây néo</v>
      </c>
      <c r="F918" s="700" t="str">
        <f>VLOOKUP($B918,dongia1,DG!$D$5,)</f>
        <v>bộ</v>
      </c>
      <c r="G918" s="762">
        <f>G912</f>
        <v>1</v>
      </c>
      <c r="H918" s="701"/>
      <c r="I918" s="701">
        <f t="shared" ca="1" si="479"/>
        <v>0</v>
      </c>
      <c r="J918" s="701">
        <f t="shared" ca="1" si="479"/>
        <v>0</v>
      </c>
      <c r="K918" s="701">
        <f t="shared" ca="1" si="479"/>
        <v>2</v>
      </c>
      <c r="L918" s="701">
        <f t="shared" ca="1" si="479"/>
        <v>0</v>
      </c>
      <c r="M918" s="701"/>
      <c r="N918" s="701">
        <f t="shared" ca="1" si="479"/>
        <v>0</v>
      </c>
      <c r="O918" s="701">
        <f t="shared" si="479"/>
        <v>0</v>
      </c>
      <c r="P918" s="702">
        <f>VLOOKUP($B918,dongia1,DG!$F$5,)</f>
        <v>0</v>
      </c>
      <c r="Q918" s="702">
        <f>VLOOKUP($B918,dongia1,DG!$G$5,)</f>
        <v>99000</v>
      </c>
      <c r="R918" s="703"/>
      <c r="S918" s="702">
        <f t="shared" si="480"/>
        <v>0</v>
      </c>
      <c r="T918" s="702">
        <f t="shared" si="481"/>
        <v>99000</v>
      </c>
      <c r="U918" s="704">
        <f t="shared" si="482"/>
        <v>0</v>
      </c>
    </row>
    <row r="919" spans="1:21" s="552" customFormat="1" ht="15" customHeight="1">
      <c r="A919" s="621" t="s">
        <v>187</v>
      </c>
      <c r="B919" s="622"/>
      <c r="C919" s="558" t="str">
        <f>IF(H919&lt;&gt;0,"x"," ")</f>
        <v xml:space="preserve"> </v>
      </c>
      <c r="D919" s="553"/>
      <c r="E919" s="727" t="s">
        <v>3606</v>
      </c>
      <c r="F919" s="600" t="s">
        <v>2113</v>
      </c>
      <c r="G919" s="205"/>
      <c r="H919" s="556"/>
      <c r="I919" s="556">
        <f ca="1">SUMIF(chang3pm,chitiet!$A919,slchang3pm)</f>
        <v>0</v>
      </c>
      <c r="J919" s="556">
        <f ca="1">SUMIF(changct,chitiet!$A919,slchangct)</f>
        <v>0</v>
      </c>
      <c r="K919" s="556">
        <f ca="1">SUMIF(chang3p1m,chitiet!$A919,slchang3p1m)</f>
        <v>0</v>
      </c>
      <c r="L919" s="556">
        <f ca="1">SUMIF(chang1pm,chitiet!$A919,slchang1pm)</f>
        <v>0</v>
      </c>
      <c r="M919" s="556"/>
      <c r="N919" s="556">
        <f ca="1">SUMIF(changHTDL,chitiet!$A919,Slchanghtdl)</f>
        <v>0</v>
      </c>
      <c r="O919" s="556"/>
      <c r="P919" s="554"/>
      <c r="Q919" s="554"/>
      <c r="R919" s="554"/>
      <c r="S919" s="601">
        <f>SUM(S920:S921)</f>
        <v>0</v>
      </c>
      <c r="T919" s="601">
        <f>SUM(T920:T921)</f>
        <v>112161</v>
      </c>
      <c r="U919" s="602">
        <f>SUM(U920:U921)</f>
        <v>0</v>
      </c>
    </row>
    <row r="920" spans="1:21" s="552" customFormat="1" ht="15" customHeight="1">
      <c r="A920" s="621"/>
      <c r="B920" s="622" t="s">
        <v>1828</v>
      </c>
      <c r="C920" s="558" t="str">
        <f>C919</f>
        <v xml:space="preserve"> </v>
      </c>
      <c r="D920" s="553"/>
      <c r="E920" s="694" t="str">
        <f>VLOOKUP($B920,dongia1,DG!$C$5,)</f>
        <v>Lắp bộ dây néo</v>
      </c>
      <c r="F920" s="555" t="str">
        <f>VLOOKUP($B920,dongia1,DG!$D$5,)</f>
        <v>bộ</v>
      </c>
      <c r="G920" s="205">
        <v>1</v>
      </c>
      <c r="H920" s="556"/>
      <c r="I920" s="556">
        <f t="shared" ref="I920:O921" ca="1" si="484">I$919*$G920</f>
        <v>0</v>
      </c>
      <c r="J920" s="556">
        <f t="shared" ca="1" si="484"/>
        <v>0</v>
      </c>
      <c r="K920" s="556">
        <f t="shared" ca="1" si="484"/>
        <v>0</v>
      </c>
      <c r="L920" s="556">
        <f t="shared" ca="1" si="484"/>
        <v>0</v>
      </c>
      <c r="M920" s="556"/>
      <c r="N920" s="556">
        <f t="shared" ca="1" si="484"/>
        <v>0</v>
      </c>
      <c r="O920" s="556">
        <f t="shared" si="484"/>
        <v>0</v>
      </c>
      <c r="P920" s="182">
        <f>VLOOKUP($B920,dongia1,DG!$F$5,)</f>
        <v>0</v>
      </c>
      <c r="Q920" s="182">
        <f>VLOOKUP($B920,dongia1,DG!$G$5,)</f>
        <v>99000</v>
      </c>
      <c r="R920" s="554"/>
      <c r="S920" s="113">
        <f t="shared" ref="S920:U921" si="485">$G920*P920</f>
        <v>0</v>
      </c>
      <c r="T920" s="113">
        <f t="shared" si="485"/>
        <v>99000</v>
      </c>
      <c r="U920" s="557">
        <f t="shared" si="485"/>
        <v>0</v>
      </c>
    </row>
    <row r="921" spans="1:21" s="552" customFormat="1" ht="15" customHeight="1">
      <c r="A921" s="621"/>
      <c r="B921" s="622" t="s">
        <v>1601</v>
      </c>
      <c r="C921" s="558" t="str">
        <f>C920</f>
        <v xml:space="preserve"> </v>
      </c>
      <c r="D921" s="553"/>
      <c r="E921" s="694" t="str">
        <f>VLOOKUP($B921,dongia1,DG!$C$5,)</f>
        <v>Lắp bộ chống lệch</v>
      </c>
      <c r="F921" s="555" t="str">
        <f>VLOOKUP($B921,dongia1,DG!$D$5,)</f>
        <v>bộ</v>
      </c>
      <c r="G921" s="205">
        <v>1</v>
      </c>
      <c r="H921" s="556"/>
      <c r="I921" s="556">
        <f t="shared" ca="1" si="484"/>
        <v>0</v>
      </c>
      <c r="J921" s="556">
        <f t="shared" ca="1" si="484"/>
        <v>0</v>
      </c>
      <c r="K921" s="556">
        <f t="shared" ca="1" si="484"/>
        <v>0</v>
      </c>
      <c r="L921" s="556">
        <f t="shared" ca="1" si="484"/>
        <v>0</v>
      </c>
      <c r="M921" s="556"/>
      <c r="N921" s="556">
        <f t="shared" ca="1" si="484"/>
        <v>0</v>
      </c>
      <c r="O921" s="556">
        <f t="shared" si="484"/>
        <v>0</v>
      </c>
      <c r="P921" s="182">
        <f>VLOOKUP($B921,dongia1,DG!$F$5,)</f>
        <v>0</v>
      </c>
      <c r="Q921" s="182">
        <f>VLOOKUP($B921,dongia1,DG!$G$5,)</f>
        <v>13161</v>
      </c>
      <c r="R921" s="554"/>
      <c r="S921" s="113">
        <f t="shared" si="485"/>
        <v>0</v>
      </c>
      <c r="T921" s="113">
        <f t="shared" si="485"/>
        <v>13161</v>
      </c>
      <c r="U921" s="557">
        <f t="shared" si="485"/>
        <v>0</v>
      </c>
    </row>
    <row r="922" spans="1:21" s="858" customFormat="1">
      <c r="A922" s="847" t="s">
        <v>1834</v>
      </c>
      <c r="B922" s="848"/>
      <c r="C922" s="849" t="str">
        <f ca="1">IF(H922&lt;&gt;0,"x"," ")</f>
        <v xml:space="preserve"> </v>
      </c>
      <c r="D922" s="850"/>
      <c r="E922" s="851" t="s">
        <v>3607</v>
      </c>
      <c r="F922" s="852" t="s">
        <v>2113</v>
      </c>
      <c r="G922" s="853"/>
      <c r="H922" s="854">
        <f ca="1">SUM(I922:N922)</f>
        <v>0</v>
      </c>
      <c r="I922" s="854">
        <f ca="1">SUMIF(chang3pm,chitiet!$A922,slchang3pm)</f>
        <v>0</v>
      </c>
      <c r="J922" s="854">
        <f ca="1">SUMIF(changct,chitiet!$A922,slchangct)</f>
        <v>0</v>
      </c>
      <c r="K922" s="854">
        <f ca="1">SUMIF(chang3p1m,chitiet!$A922,slchang3p1m)</f>
        <v>0</v>
      </c>
      <c r="L922" s="854">
        <f ca="1">SUMIF(chang1pm,chitiet!$A922,slchang1pm)</f>
        <v>0</v>
      </c>
      <c r="M922" s="854"/>
      <c r="N922" s="854">
        <f ca="1">SUMIF(changHTDL,chitiet!$A922,Slchanghtdl)</f>
        <v>0</v>
      </c>
      <c r="O922" s="854"/>
      <c r="P922" s="855"/>
      <c r="Q922" s="855"/>
      <c r="R922" s="855"/>
      <c r="S922" s="856">
        <f>SUM(S923:S931)</f>
        <v>973240</v>
      </c>
      <c r="T922" s="856">
        <f>SUM(T923:T931)</f>
        <v>112161</v>
      </c>
      <c r="U922" s="857">
        <f>SUM(U923:U931)</f>
        <v>0</v>
      </c>
    </row>
    <row r="923" spans="1:21">
      <c r="B923" s="696" t="s">
        <v>366</v>
      </c>
      <c r="C923" s="631" t="str">
        <f t="shared" ref="C923:C931" ca="1" si="486">C922</f>
        <v xml:space="preserve"> </v>
      </c>
      <c r="D923" s="698"/>
      <c r="E923" s="699" t="str">
        <f>VLOOKUP($B923,dongia1,DG!$C$5,)</f>
        <v>Boulon mắt 16x300+ 1 long đền vuông D18-50x50x3/Zn</v>
      </c>
      <c r="F923" s="700" t="str">
        <f>VLOOKUP($B923,dongia1,DG!$D$5,)</f>
        <v>bộ</v>
      </c>
      <c r="G923" s="762">
        <v>1</v>
      </c>
      <c r="H923" s="701"/>
      <c r="I923" s="701">
        <f t="shared" ref="I923:O931" ca="1" si="487">I$922*$G923</f>
        <v>0</v>
      </c>
      <c r="J923" s="701">
        <f t="shared" ca="1" si="487"/>
        <v>0</v>
      </c>
      <c r="K923" s="701">
        <f t="shared" ca="1" si="487"/>
        <v>0</v>
      </c>
      <c r="L923" s="701">
        <f t="shared" ca="1" si="487"/>
        <v>0</v>
      </c>
      <c r="M923" s="701"/>
      <c r="N923" s="701">
        <f t="shared" ca="1" si="487"/>
        <v>0</v>
      </c>
      <c r="O923" s="701">
        <f t="shared" si="487"/>
        <v>0</v>
      </c>
      <c r="P923" s="702">
        <f>VLOOKUP($B923,dongia1,DG!$F$5,)</f>
        <v>32200</v>
      </c>
      <c r="Q923" s="703"/>
      <c r="R923" s="703"/>
      <c r="S923" s="702">
        <f t="shared" ref="S923:S930" si="488">$G923*P923</f>
        <v>32200</v>
      </c>
      <c r="T923" s="702">
        <f t="shared" ref="T923:T930" si="489">$G923*Q923</f>
        <v>0</v>
      </c>
      <c r="U923" s="704">
        <f t="shared" ref="U923:U930" si="490">$G923*R923</f>
        <v>0</v>
      </c>
    </row>
    <row r="924" spans="1:21">
      <c r="B924" s="696" t="s">
        <v>1005</v>
      </c>
      <c r="C924" s="631" t="str">
        <f t="shared" ca="1" si="486"/>
        <v xml:space="preserve"> </v>
      </c>
      <c r="D924" s="698"/>
      <c r="E924" s="699" t="str">
        <f>VLOOKUP($B924,dongia1,DG!$C$5,)</f>
        <v>Sứ chằng</v>
      </c>
      <c r="F924" s="700" t="str">
        <f>VLOOKUP($B924,dongia1,DG!$D$5,)</f>
        <v>cái</v>
      </c>
      <c r="G924" s="762">
        <v>1</v>
      </c>
      <c r="H924" s="701"/>
      <c r="I924" s="701">
        <f t="shared" ca="1" si="487"/>
        <v>0</v>
      </c>
      <c r="J924" s="701">
        <f t="shared" ca="1" si="487"/>
        <v>0</v>
      </c>
      <c r="K924" s="701">
        <f t="shared" ca="1" si="487"/>
        <v>0</v>
      </c>
      <c r="L924" s="701">
        <f t="shared" ca="1" si="487"/>
        <v>0</v>
      </c>
      <c r="M924" s="701"/>
      <c r="N924" s="701">
        <f t="shared" ca="1" si="487"/>
        <v>0</v>
      </c>
      <c r="O924" s="701">
        <f t="shared" si="487"/>
        <v>0</v>
      </c>
      <c r="P924" s="702">
        <f>VLOOKUP($B924,dongia1,DG!$F$5,)</f>
        <v>38000</v>
      </c>
      <c r="Q924" s="703"/>
      <c r="R924" s="703"/>
      <c r="S924" s="702">
        <f t="shared" si="488"/>
        <v>38000</v>
      </c>
      <c r="T924" s="702">
        <f t="shared" si="489"/>
        <v>0</v>
      </c>
      <c r="U924" s="704">
        <f t="shared" si="490"/>
        <v>0</v>
      </c>
    </row>
    <row r="925" spans="1:21">
      <c r="B925" s="696" t="s">
        <v>204</v>
      </c>
      <c r="C925" s="631" t="str">
        <f t="shared" ca="1" si="486"/>
        <v xml:space="preserve"> </v>
      </c>
      <c r="D925" s="698"/>
      <c r="E925" s="699" t="str">
        <f>VLOOKUP($B925,dongia1,DG!$C$5,)</f>
        <v>Kẹp cáp 3 boulon</v>
      </c>
      <c r="F925" s="700" t="str">
        <f>VLOOKUP($B925,dongia1,DG!$D$5,)</f>
        <v>cái</v>
      </c>
      <c r="G925" s="762">
        <v>8</v>
      </c>
      <c r="H925" s="701"/>
      <c r="I925" s="701">
        <f t="shared" ca="1" si="487"/>
        <v>0</v>
      </c>
      <c r="J925" s="701">
        <f t="shared" ca="1" si="487"/>
        <v>0</v>
      </c>
      <c r="K925" s="701">
        <f t="shared" ca="1" si="487"/>
        <v>0</v>
      </c>
      <c r="L925" s="701">
        <f t="shared" ca="1" si="487"/>
        <v>0</v>
      </c>
      <c r="M925" s="701"/>
      <c r="N925" s="701">
        <f t="shared" ca="1" si="487"/>
        <v>0</v>
      </c>
      <c r="O925" s="701">
        <f t="shared" si="487"/>
        <v>0</v>
      </c>
      <c r="P925" s="702">
        <f>VLOOKUP($B925,dongia1,DG!$F$5,)</f>
        <v>38000</v>
      </c>
      <c r="Q925" s="703"/>
      <c r="R925" s="703"/>
      <c r="S925" s="702">
        <f t="shared" si="488"/>
        <v>304000</v>
      </c>
      <c r="T925" s="702">
        <f t="shared" si="489"/>
        <v>0</v>
      </c>
      <c r="U925" s="704">
        <f t="shared" si="490"/>
        <v>0</v>
      </c>
    </row>
    <row r="926" spans="1:21">
      <c r="B926" s="696" t="s">
        <v>2075</v>
      </c>
      <c r="C926" s="631" t="str">
        <f t="shared" ca="1" si="486"/>
        <v xml:space="preserve"> </v>
      </c>
      <c r="D926" s="698"/>
      <c r="E926" s="699" t="str">
        <f>VLOOKUP($B926,dongia1,DG!$C$5,)</f>
        <v>Cáp thép 3/8"</v>
      </c>
      <c r="F926" s="700" t="str">
        <f>VLOOKUP($B926,dongia1,DG!$D$5,)</f>
        <v>kg</v>
      </c>
      <c r="G926" s="762">
        <f>ROUND(13*0.366,1)</f>
        <v>4.8</v>
      </c>
      <c r="H926" s="701"/>
      <c r="I926" s="701">
        <f t="shared" ca="1" si="487"/>
        <v>0</v>
      </c>
      <c r="J926" s="701">
        <f t="shared" ca="1" si="487"/>
        <v>0</v>
      </c>
      <c r="K926" s="701">
        <f t="shared" ca="1" si="487"/>
        <v>0</v>
      </c>
      <c r="L926" s="701">
        <f t="shared" ca="1" si="487"/>
        <v>0</v>
      </c>
      <c r="M926" s="701"/>
      <c r="N926" s="701">
        <f t="shared" ca="1" si="487"/>
        <v>0</v>
      </c>
      <c r="O926" s="701">
        <f t="shared" si="487"/>
        <v>0</v>
      </c>
      <c r="P926" s="702">
        <f>VLOOKUP($B926,dongia1,DG!$F$5,)</f>
        <v>47300</v>
      </c>
      <c r="Q926" s="702"/>
      <c r="R926" s="703"/>
      <c r="S926" s="702">
        <f t="shared" si="488"/>
        <v>227040</v>
      </c>
      <c r="T926" s="702">
        <f t="shared" si="489"/>
        <v>0</v>
      </c>
      <c r="U926" s="704">
        <f t="shared" si="490"/>
        <v>0</v>
      </c>
    </row>
    <row r="927" spans="1:21">
      <c r="B927" s="696" t="s">
        <v>1451</v>
      </c>
      <c r="C927" s="631" t="str">
        <f t="shared" ca="1" si="486"/>
        <v xml:space="preserve"> </v>
      </c>
      <c r="D927" s="698"/>
      <c r="E927" s="699" t="str">
        <f>VLOOKUP($B927,dongia1,DG!$C$5,)</f>
        <v>Bộ chống chằng hẹp Þ60/50x1500+2BL12x40+BL16x250/80</v>
      </c>
      <c r="F927" s="700" t="str">
        <f>VLOOKUP($B927,dongia1,DG!$D$5,)</f>
        <v>bộ</v>
      </c>
      <c r="G927" s="762">
        <v>1</v>
      </c>
      <c r="H927" s="701"/>
      <c r="I927" s="701">
        <f t="shared" ca="1" si="487"/>
        <v>0</v>
      </c>
      <c r="J927" s="701">
        <f t="shared" ca="1" si="487"/>
        <v>0</v>
      </c>
      <c r="K927" s="701">
        <f t="shared" ca="1" si="487"/>
        <v>0</v>
      </c>
      <c r="L927" s="701">
        <f t="shared" ca="1" si="487"/>
        <v>0</v>
      </c>
      <c r="M927" s="701"/>
      <c r="N927" s="701">
        <f t="shared" ca="1" si="487"/>
        <v>0</v>
      </c>
      <c r="O927" s="701">
        <f t="shared" si="487"/>
        <v>0</v>
      </c>
      <c r="P927" s="702">
        <f>VLOOKUP($B927,dongia1,DG!$F$5,)</f>
        <v>305000</v>
      </c>
      <c r="Q927" s="702"/>
      <c r="R927" s="703"/>
      <c r="S927" s="702">
        <f t="shared" si="488"/>
        <v>305000</v>
      </c>
      <c r="T927" s="702">
        <f t="shared" si="489"/>
        <v>0</v>
      </c>
      <c r="U927" s="704">
        <f t="shared" si="490"/>
        <v>0</v>
      </c>
    </row>
    <row r="928" spans="1:21">
      <c r="B928" s="696" t="s">
        <v>537</v>
      </c>
      <c r="C928" s="631" t="str">
        <f t="shared" ca="1" si="486"/>
        <v xml:space="preserve"> </v>
      </c>
      <c r="D928" s="698"/>
      <c r="E928" s="1639" t="str">
        <f>VLOOKUP($B928,dongia1,DG!$C$5,)</f>
        <v>Yếm đỡ dày chằng F1/2 mạ Zn (Yếm cáp)</v>
      </c>
      <c r="F928" s="700" t="str">
        <f>VLOOKUP($B928,dongia1,DG!$D$5,)</f>
        <v>cái</v>
      </c>
      <c r="G928" s="762">
        <v>2</v>
      </c>
      <c r="H928" s="701"/>
      <c r="I928" s="701">
        <f t="shared" ca="1" si="487"/>
        <v>0</v>
      </c>
      <c r="J928" s="701">
        <f t="shared" ca="1" si="487"/>
        <v>0</v>
      </c>
      <c r="K928" s="701">
        <f t="shared" ca="1" si="487"/>
        <v>0</v>
      </c>
      <c r="L928" s="701">
        <f t="shared" ca="1" si="487"/>
        <v>0</v>
      </c>
      <c r="M928" s="701"/>
      <c r="N928" s="701">
        <f t="shared" ca="1" si="487"/>
        <v>0</v>
      </c>
      <c r="O928" s="701">
        <f t="shared" si="487"/>
        <v>0</v>
      </c>
      <c r="P928" s="702">
        <f>VLOOKUP($B928,dongia1,DG!$F$5,)</f>
        <v>6000</v>
      </c>
      <c r="Q928" s="702"/>
      <c r="R928" s="703"/>
      <c r="S928" s="702">
        <f t="shared" si="488"/>
        <v>12000</v>
      </c>
      <c r="T928" s="702">
        <f t="shared" si="489"/>
        <v>0</v>
      </c>
      <c r="U928" s="704">
        <f t="shared" si="490"/>
        <v>0</v>
      </c>
    </row>
    <row r="929" spans="1:21">
      <c r="B929" s="696" t="s">
        <v>538</v>
      </c>
      <c r="C929" s="631" t="str">
        <f t="shared" ca="1" si="486"/>
        <v xml:space="preserve"> </v>
      </c>
      <c r="D929" s="698"/>
      <c r="E929" s="699" t="str">
        <f>VLOOKUP($B929,dongia1,DG!$C$5,)</f>
        <v>Máng che dây chằng dày 1,6mm 0,4x2000</v>
      </c>
      <c r="F929" s="700" t="str">
        <f>VLOOKUP($B929,dongia1,DG!$D$5,)</f>
        <v>cái</v>
      </c>
      <c r="G929" s="762">
        <v>1</v>
      </c>
      <c r="H929" s="701"/>
      <c r="I929" s="701">
        <f t="shared" ca="1" si="487"/>
        <v>0</v>
      </c>
      <c r="J929" s="701">
        <f t="shared" ca="1" si="487"/>
        <v>0</v>
      </c>
      <c r="K929" s="701">
        <f t="shared" ca="1" si="487"/>
        <v>0</v>
      </c>
      <c r="L929" s="701">
        <f t="shared" ca="1" si="487"/>
        <v>0</v>
      </c>
      <c r="M929" s="701"/>
      <c r="N929" s="701">
        <f t="shared" ca="1" si="487"/>
        <v>0</v>
      </c>
      <c r="O929" s="701">
        <f t="shared" si="487"/>
        <v>0</v>
      </c>
      <c r="P929" s="702">
        <f>VLOOKUP($B929,dongia1,DG!$F$5,)</f>
        <v>55000</v>
      </c>
      <c r="Q929" s="702"/>
      <c r="R929" s="703"/>
      <c r="S929" s="702">
        <f t="shared" si="488"/>
        <v>55000</v>
      </c>
      <c r="T929" s="702">
        <f t="shared" si="489"/>
        <v>0</v>
      </c>
      <c r="U929" s="704">
        <f t="shared" si="490"/>
        <v>0</v>
      </c>
    </row>
    <row r="930" spans="1:21">
      <c r="B930" s="696" t="s">
        <v>1828</v>
      </c>
      <c r="C930" s="631" t="str">
        <f t="shared" ca="1" si="486"/>
        <v xml:space="preserve"> </v>
      </c>
      <c r="D930" s="698"/>
      <c r="E930" s="699" t="str">
        <f>VLOOKUP($B930,dongia1,DG!$C$5,)</f>
        <v>Lắp bộ dây néo</v>
      </c>
      <c r="F930" s="700" t="str">
        <f>VLOOKUP($B930,dongia1,DG!$D$5,)</f>
        <v>bộ</v>
      </c>
      <c r="G930" s="762">
        <v>1</v>
      </c>
      <c r="H930" s="701"/>
      <c r="I930" s="701">
        <f t="shared" ca="1" si="487"/>
        <v>0</v>
      </c>
      <c r="J930" s="701">
        <f t="shared" ca="1" si="487"/>
        <v>0</v>
      </c>
      <c r="K930" s="701">
        <f t="shared" ca="1" si="487"/>
        <v>0</v>
      </c>
      <c r="L930" s="701">
        <f t="shared" ca="1" si="487"/>
        <v>0</v>
      </c>
      <c r="M930" s="701"/>
      <c r="N930" s="701">
        <f t="shared" ca="1" si="487"/>
        <v>0</v>
      </c>
      <c r="O930" s="701">
        <f t="shared" si="487"/>
        <v>0</v>
      </c>
      <c r="P930" s="703"/>
      <c r="Q930" s="702">
        <f>VLOOKUP($B930,dongia1,DG!$G$5,)</f>
        <v>99000</v>
      </c>
      <c r="R930" s="703"/>
      <c r="S930" s="702">
        <f t="shared" si="488"/>
        <v>0</v>
      </c>
      <c r="T930" s="702">
        <f t="shared" si="489"/>
        <v>99000</v>
      </c>
      <c r="U930" s="704">
        <f t="shared" si="490"/>
        <v>0</v>
      </c>
    </row>
    <row r="931" spans="1:21">
      <c r="B931" s="696" t="s">
        <v>1601</v>
      </c>
      <c r="C931" s="631" t="str">
        <f t="shared" ca="1" si="486"/>
        <v xml:space="preserve"> </v>
      </c>
      <c r="D931" s="698"/>
      <c r="E931" s="699" t="str">
        <f>VLOOKUP($B931,dongia1,DG!$C$5,)</f>
        <v>Lắp bộ chống lệch</v>
      </c>
      <c r="F931" s="700" t="str">
        <f>VLOOKUP($B931,dongia1,DG!$D$5,)</f>
        <v>bộ</v>
      </c>
      <c r="G931" s="762">
        <v>1</v>
      </c>
      <c r="H931" s="701"/>
      <c r="I931" s="701">
        <f t="shared" ca="1" si="487"/>
        <v>0</v>
      </c>
      <c r="J931" s="701">
        <f t="shared" ca="1" si="487"/>
        <v>0</v>
      </c>
      <c r="K931" s="701">
        <f t="shared" ca="1" si="487"/>
        <v>0</v>
      </c>
      <c r="L931" s="701">
        <f t="shared" ca="1" si="487"/>
        <v>0</v>
      </c>
      <c r="M931" s="701"/>
      <c r="N931" s="701">
        <f t="shared" ca="1" si="487"/>
        <v>0</v>
      </c>
      <c r="O931" s="701">
        <f t="shared" si="487"/>
        <v>0</v>
      </c>
      <c r="P931" s="703"/>
      <c r="Q931" s="702">
        <f>VLOOKUP($B931,dongia1,DG!$G$5,)</f>
        <v>13161</v>
      </c>
      <c r="R931" s="703"/>
      <c r="S931" s="702">
        <f>$G931*P931</f>
        <v>0</v>
      </c>
      <c r="T931" s="702">
        <f>$G931*Q931</f>
        <v>13161</v>
      </c>
      <c r="U931" s="704">
        <f>$G931*R931</f>
        <v>0</v>
      </c>
    </row>
    <row r="932" spans="1:21" s="552" customFormat="1" ht="15" customHeight="1">
      <c r="A932" s="621" t="s">
        <v>1835</v>
      </c>
      <c r="B932" s="622"/>
      <c r="C932" s="558" t="str">
        <f>IF(H932&lt;&gt;0,"x"," ")</f>
        <v xml:space="preserve"> </v>
      </c>
      <c r="D932" s="553"/>
      <c r="E932" s="727" t="s">
        <v>3608</v>
      </c>
      <c r="F932" s="600" t="s">
        <v>2113</v>
      </c>
      <c r="G932" s="205"/>
      <c r="H932" s="556"/>
      <c r="I932" s="556">
        <f ca="1">SUMIF(chang3pm,chitiet!$A932,slchang3pm)</f>
        <v>0</v>
      </c>
      <c r="J932" s="556">
        <f ca="1">SUMIF(changct,chitiet!$A932,slchangct)</f>
        <v>0</v>
      </c>
      <c r="K932" s="556">
        <f ca="1">SUMIF(chang3p1m,chitiet!$A932,slchang3p1m)</f>
        <v>0</v>
      </c>
      <c r="L932" s="556">
        <f ca="1">SUMIF(chang1pm,chitiet!$A932,slchang1pm)</f>
        <v>0</v>
      </c>
      <c r="M932" s="556"/>
      <c r="N932" s="556">
        <f ca="1">SUMIF(changHTDL,chitiet!$A932,Slchanghtdl)</f>
        <v>0</v>
      </c>
      <c r="O932" s="556"/>
      <c r="P932" s="554"/>
      <c r="Q932" s="554"/>
      <c r="R932" s="554"/>
      <c r="S932" s="601">
        <f>SUM(S933:S939)</f>
        <v>2531900</v>
      </c>
      <c r="T932" s="601">
        <f>SUM(T933:T939)</f>
        <v>198000</v>
      </c>
      <c r="U932" s="602">
        <f>SUM(U933:U939)</f>
        <v>0</v>
      </c>
    </row>
    <row r="933" spans="1:21" s="552" customFormat="1" ht="15" customHeight="1">
      <c r="A933" s="621"/>
      <c r="B933" s="622" t="s">
        <v>1432</v>
      </c>
      <c r="C933" s="558" t="str">
        <f t="shared" ref="C933:C939" si="491">C932</f>
        <v xml:space="preserve"> </v>
      </c>
      <c r="D933" s="553"/>
      <c r="E933" s="694" t="str">
        <f>VLOOKUP($B933,dongia1,DG!$C$5,)</f>
        <v>Boulon mắt 16x250+ 1 long đền vuông D18-50x50x3/Zn</v>
      </c>
      <c r="F933" s="555" t="str">
        <f>VLOOKUP($B933,dongia1,DG!$D$5,)</f>
        <v>bộ</v>
      </c>
      <c r="G933" s="205">
        <v>2</v>
      </c>
      <c r="H933" s="556"/>
      <c r="I933" s="556">
        <f t="shared" ref="I933:O939" ca="1" si="492">I$932*$G933</f>
        <v>0</v>
      </c>
      <c r="J933" s="556">
        <f t="shared" ca="1" si="492"/>
        <v>0</v>
      </c>
      <c r="K933" s="556">
        <f t="shared" ca="1" si="492"/>
        <v>0</v>
      </c>
      <c r="L933" s="556">
        <f t="shared" ca="1" si="492"/>
        <v>0</v>
      </c>
      <c r="M933" s="556"/>
      <c r="N933" s="556">
        <f t="shared" ca="1" si="492"/>
        <v>0</v>
      </c>
      <c r="O933" s="556">
        <f t="shared" si="492"/>
        <v>0</v>
      </c>
      <c r="P933" s="182">
        <f>VLOOKUP($B933,dongia1,DG!$F$5,)</f>
        <v>29200</v>
      </c>
      <c r="Q933" s="554"/>
      <c r="R933" s="554"/>
      <c r="S933" s="113">
        <f t="shared" ref="S933:S939" si="493">$G933*P933</f>
        <v>58400</v>
      </c>
      <c r="T933" s="113">
        <f t="shared" ref="T933:T939" si="494">$G933*Q933</f>
        <v>0</v>
      </c>
      <c r="U933" s="557">
        <f t="shared" ref="U933:U939" si="495">$G933*R933</f>
        <v>0</v>
      </c>
    </row>
    <row r="934" spans="1:21" s="552" customFormat="1" ht="15" customHeight="1">
      <c r="A934" s="621"/>
      <c r="B934" s="622" t="s">
        <v>1005</v>
      </c>
      <c r="C934" s="558" t="str">
        <f t="shared" si="491"/>
        <v xml:space="preserve"> </v>
      </c>
      <c r="D934" s="553"/>
      <c r="E934" s="694" t="str">
        <f>VLOOKUP($B934,dongia1,DG!$C$5,)</f>
        <v>Sứ chằng</v>
      </c>
      <c r="F934" s="555" t="str">
        <f>VLOOKUP($B934,dongia1,DG!$D$5,)</f>
        <v>cái</v>
      </c>
      <c r="G934" s="205">
        <v>2</v>
      </c>
      <c r="H934" s="556"/>
      <c r="I934" s="556">
        <f t="shared" ca="1" si="492"/>
        <v>0</v>
      </c>
      <c r="J934" s="556">
        <f t="shared" ca="1" si="492"/>
        <v>0</v>
      </c>
      <c r="K934" s="556">
        <f t="shared" ca="1" si="492"/>
        <v>0</v>
      </c>
      <c r="L934" s="556">
        <f t="shared" ca="1" si="492"/>
        <v>0</v>
      </c>
      <c r="M934" s="556"/>
      <c r="N934" s="556">
        <f t="shared" ca="1" si="492"/>
        <v>0</v>
      </c>
      <c r="O934" s="556">
        <f t="shared" si="492"/>
        <v>0</v>
      </c>
      <c r="P934" s="182">
        <f>VLOOKUP($B934,dongia1,DG!$F$5,)</f>
        <v>38000</v>
      </c>
      <c r="Q934" s="554"/>
      <c r="R934" s="554"/>
      <c r="S934" s="113">
        <f t="shared" si="493"/>
        <v>76000</v>
      </c>
      <c r="T934" s="113">
        <f t="shared" si="494"/>
        <v>0</v>
      </c>
      <c r="U934" s="557">
        <f t="shared" si="495"/>
        <v>0</v>
      </c>
    </row>
    <row r="935" spans="1:21" s="552" customFormat="1" ht="15" customHeight="1">
      <c r="A935" s="621"/>
      <c r="B935" s="622" t="s">
        <v>204</v>
      </c>
      <c r="C935" s="558" t="str">
        <f t="shared" si="491"/>
        <v xml:space="preserve"> </v>
      </c>
      <c r="D935" s="553"/>
      <c r="E935" s="694" t="str">
        <f>VLOOKUP($B935,dongia1,DG!$C$5,)</f>
        <v>Kẹp cáp 3 boulon</v>
      </c>
      <c r="F935" s="555" t="str">
        <f>VLOOKUP($B935,dongia1,DG!$D$5,)</f>
        <v>cái</v>
      </c>
      <c r="G935" s="205">
        <v>16</v>
      </c>
      <c r="H935" s="556"/>
      <c r="I935" s="556">
        <f t="shared" ca="1" si="492"/>
        <v>0</v>
      </c>
      <c r="J935" s="556">
        <f t="shared" ca="1" si="492"/>
        <v>0</v>
      </c>
      <c r="K935" s="556">
        <f t="shared" ca="1" si="492"/>
        <v>0</v>
      </c>
      <c r="L935" s="556">
        <f t="shared" ca="1" si="492"/>
        <v>0</v>
      </c>
      <c r="M935" s="556"/>
      <c r="N935" s="556">
        <f t="shared" ca="1" si="492"/>
        <v>0</v>
      </c>
      <c r="O935" s="556">
        <f t="shared" si="492"/>
        <v>0</v>
      </c>
      <c r="P935" s="182">
        <f>VLOOKUP($B935,dongia1,DG!$F$5,)</f>
        <v>38000</v>
      </c>
      <c r="Q935" s="554"/>
      <c r="R935" s="554"/>
      <c r="S935" s="113">
        <f t="shared" si="493"/>
        <v>608000</v>
      </c>
      <c r="T935" s="113">
        <f t="shared" si="494"/>
        <v>0</v>
      </c>
      <c r="U935" s="557">
        <f t="shared" si="495"/>
        <v>0</v>
      </c>
    </row>
    <row r="936" spans="1:21" s="552" customFormat="1" ht="15" customHeight="1">
      <c r="A936" s="621"/>
      <c r="B936" s="622" t="s">
        <v>374</v>
      </c>
      <c r="C936" s="558" t="str">
        <f t="shared" si="491"/>
        <v xml:space="preserve"> </v>
      </c>
      <c r="D936" s="553"/>
      <c r="E936" s="694" t="str">
        <f>VLOOKUP($B936,dongia1,DG!$C$5,)</f>
        <v>Cáp thép 5/8"</v>
      </c>
      <c r="F936" s="555" t="str">
        <f>VLOOKUP($B936,dongia1,DG!$D$5,)</f>
        <v>kg</v>
      </c>
      <c r="G936" s="205">
        <v>35</v>
      </c>
      <c r="H936" s="556"/>
      <c r="I936" s="556">
        <f t="shared" ca="1" si="492"/>
        <v>0</v>
      </c>
      <c r="J936" s="556">
        <f t="shared" ca="1" si="492"/>
        <v>0</v>
      </c>
      <c r="K936" s="556">
        <f t="shared" ca="1" si="492"/>
        <v>0</v>
      </c>
      <c r="L936" s="556">
        <f t="shared" ca="1" si="492"/>
        <v>0</v>
      </c>
      <c r="M936" s="556"/>
      <c r="N936" s="556">
        <f t="shared" ca="1" si="492"/>
        <v>0</v>
      </c>
      <c r="O936" s="556">
        <f t="shared" si="492"/>
        <v>0</v>
      </c>
      <c r="P936" s="182">
        <f>VLOOKUP($B936,dongia1,DG!$F$5,)</f>
        <v>47300</v>
      </c>
      <c r="Q936" s="182"/>
      <c r="R936" s="554"/>
      <c r="S936" s="113">
        <f t="shared" si="493"/>
        <v>1655500</v>
      </c>
      <c r="T936" s="113">
        <f t="shared" si="494"/>
        <v>0</v>
      </c>
      <c r="U936" s="557">
        <f t="shared" si="495"/>
        <v>0</v>
      </c>
    </row>
    <row r="937" spans="1:21" s="552" customFormat="1" ht="15" customHeight="1">
      <c r="A937" s="621"/>
      <c r="B937" s="622" t="s">
        <v>537</v>
      </c>
      <c r="C937" s="558" t="str">
        <f t="shared" si="491"/>
        <v xml:space="preserve"> </v>
      </c>
      <c r="D937" s="553"/>
      <c r="E937" s="694" t="str">
        <f>VLOOKUP($B937,dongia1,DG!$C$5,)</f>
        <v>Yếm đỡ dày chằng F1/2 mạ Zn (Yếm cáp)</v>
      </c>
      <c r="F937" s="555" t="str">
        <f>VLOOKUP($B937,dongia1,DG!$D$5,)</f>
        <v>cái</v>
      </c>
      <c r="G937" s="205">
        <v>4</v>
      </c>
      <c r="H937" s="556"/>
      <c r="I937" s="556">
        <f t="shared" ca="1" si="492"/>
        <v>0</v>
      </c>
      <c r="J937" s="556">
        <f t="shared" ca="1" si="492"/>
        <v>0</v>
      </c>
      <c r="K937" s="556">
        <f t="shared" ca="1" si="492"/>
        <v>0</v>
      </c>
      <c r="L937" s="556">
        <f t="shared" ca="1" si="492"/>
        <v>0</v>
      </c>
      <c r="M937" s="556"/>
      <c r="N937" s="556">
        <f t="shared" ca="1" si="492"/>
        <v>0</v>
      </c>
      <c r="O937" s="556">
        <f t="shared" si="492"/>
        <v>0</v>
      </c>
      <c r="P937" s="182">
        <f>VLOOKUP($B937,dongia1,DG!$F$5,)</f>
        <v>6000</v>
      </c>
      <c r="Q937" s="182"/>
      <c r="R937" s="554"/>
      <c r="S937" s="113">
        <f t="shared" si="493"/>
        <v>24000</v>
      </c>
      <c r="T937" s="113">
        <f t="shared" si="494"/>
        <v>0</v>
      </c>
      <c r="U937" s="557">
        <f t="shared" si="495"/>
        <v>0</v>
      </c>
    </row>
    <row r="938" spans="1:21" s="552" customFormat="1" ht="15" customHeight="1">
      <c r="A938" s="621"/>
      <c r="B938" s="622" t="s">
        <v>538</v>
      </c>
      <c r="C938" s="558" t="str">
        <f t="shared" si="491"/>
        <v xml:space="preserve"> </v>
      </c>
      <c r="D938" s="553"/>
      <c r="E938" s="694" t="str">
        <f>VLOOKUP($B938,dongia1,DG!$C$5,)</f>
        <v>Máng che dây chằng dày 1,6mm 0,4x2000</v>
      </c>
      <c r="F938" s="555" t="str">
        <f>VLOOKUP($B938,dongia1,DG!$D$5,)</f>
        <v>cái</v>
      </c>
      <c r="G938" s="205">
        <v>2</v>
      </c>
      <c r="H938" s="556"/>
      <c r="I938" s="556">
        <f t="shared" ca="1" si="492"/>
        <v>0</v>
      </c>
      <c r="J938" s="556">
        <f t="shared" ca="1" si="492"/>
        <v>0</v>
      </c>
      <c r="K938" s="556">
        <f t="shared" ca="1" si="492"/>
        <v>0</v>
      </c>
      <c r="L938" s="556">
        <f t="shared" ca="1" si="492"/>
        <v>0</v>
      </c>
      <c r="M938" s="556"/>
      <c r="N938" s="556">
        <f t="shared" ca="1" si="492"/>
        <v>0</v>
      </c>
      <c r="O938" s="556">
        <f t="shared" si="492"/>
        <v>0</v>
      </c>
      <c r="P938" s="182">
        <f>VLOOKUP($B938,dongia1,DG!$F$5,)</f>
        <v>55000</v>
      </c>
      <c r="Q938" s="182"/>
      <c r="R938" s="554"/>
      <c r="S938" s="113">
        <f t="shared" si="493"/>
        <v>110000</v>
      </c>
      <c r="T938" s="113">
        <f t="shared" si="494"/>
        <v>0</v>
      </c>
      <c r="U938" s="557">
        <f t="shared" si="495"/>
        <v>0</v>
      </c>
    </row>
    <row r="939" spans="1:21" s="552" customFormat="1" ht="15" customHeight="1">
      <c r="A939" s="621"/>
      <c r="B939" s="622" t="s">
        <v>1828</v>
      </c>
      <c r="C939" s="558" t="str">
        <f t="shared" si="491"/>
        <v xml:space="preserve"> </v>
      </c>
      <c r="D939" s="553"/>
      <c r="E939" s="694" t="str">
        <f>VLOOKUP($B939,dongia1,DG!$C$5,)</f>
        <v>Lắp bộ dây néo</v>
      </c>
      <c r="F939" s="555" t="str">
        <f>VLOOKUP($B939,dongia1,DG!$D$5,)</f>
        <v>bộ</v>
      </c>
      <c r="G939" s="205">
        <v>2</v>
      </c>
      <c r="H939" s="556"/>
      <c r="I939" s="556">
        <f t="shared" ca="1" si="492"/>
        <v>0</v>
      </c>
      <c r="J939" s="556">
        <f t="shared" ca="1" si="492"/>
        <v>0</v>
      </c>
      <c r="K939" s="556">
        <f t="shared" ca="1" si="492"/>
        <v>0</v>
      </c>
      <c r="L939" s="556">
        <f t="shared" ca="1" si="492"/>
        <v>0</v>
      </c>
      <c r="M939" s="556"/>
      <c r="N939" s="556">
        <f t="shared" ca="1" si="492"/>
        <v>0</v>
      </c>
      <c r="O939" s="556">
        <f t="shared" si="492"/>
        <v>0</v>
      </c>
      <c r="P939" s="554"/>
      <c r="Q939" s="182">
        <f>VLOOKUP($B939,dongia1,DG!$G$5,)</f>
        <v>99000</v>
      </c>
      <c r="R939" s="554"/>
      <c r="S939" s="113">
        <f t="shared" si="493"/>
        <v>0</v>
      </c>
      <c r="T939" s="113">
        <f t="shared" si="494"/>
        <v>198000</v>
      </c>
      <c r="U939" s="557">
        <f t="shared" si="495"/>
        <v>0</v>
      </c>
    </row>
    <row r="940" spans="1:21" s="552" customFormat="1" ht="15" customHeight="1">
      <c r="A940" s="621" t="s">
        <v>1836</v>
      </c>
      <c r="B940" s="622"/>
      <c r="C940" s="558" t="str">
        <f>IF(H940&lt;&gt;0,"x"," ")</f>
        <v xml:space="preserve"> </v>
      </c>
      <c r="D940" s="553"/>
      <c r="E940" s="727" t="s">
        <v>3609</v>
      </c>
      <c r="F940" s="600" t="s">
        <v>2113</v>
      </c>
      <c r="G940" s="205"/>
      <c r="H940" s="556"/>
      <c r="I940" s="556">
        <f ca="1">SUMIF(chang3pm,chitiet!$A940,slchang3pm)</f>
        <v>0</v>
      </c>
      <c r="J940" s="556">
        <f ca="1">SUMIF(changct,chitiet!$A940,slchangct)</f>
        <v>0</v>
      </c>
      <c r="K940" s="556">
        <f ca="1">SUMIF(chang3p1m,chitiet!$A940,slchang3p1m)</f>
        <v>0</v>
      </c>
      <c r="L940" s="556">
        <f ca="1">SUMIF(chang1pm,chitiet!$A940,slchang1pm)</f>
        <v>0</v>
      </c>
      <c r="M940" s="556"/>
      <c r="N940" s="556">
        <f ca="1">SUMIF(changHTDL,chitiet!$A940,Slchanghtdl)</f>
        <v>0</v>
      </c>
      <c r="O940" s="556"/>
      <c r="P940" s="554"/>
      <c r="Q940" s="554"/>
      <c r="R940" s="554"/>
      <c r="S940" s="601">
        <f>SUM(S941:S947)</f>
        <v>715188.8</v>
      </c>
      <c r="T940" s="601">
        <f>SUM(T941:T947)</f>
        <v>99000</v>
      </c>
      <c r="U940" s="602">
        <f>SUM(U941:U947)</f>
        <v>0</v>
      </c>
    </row>
    <row r="941" spans="1:21" s="552" customFormat="1" ht="15" customHeight="1">
      <c r="A941" s="621"/>
      <c r="B941" s="622" t="s">
        <v>1432</v>
      </c>
      <c r="C941" s="558" t="str">
        <f t="shared" ref="C941:C947" si="496">C940</f>
        <v xml:space="preserve"> </v>
      </c>
      <c r="D941" s="553"/>
      <c r="E941" s="694" t="str">
        <f>VLOOKUP($B941,dongia1,DG!$C$5,)</f>
        <v>Boulon mắt 16x250+ 1 long đền vuông D18-50x50x3/Zn</v>
      </c>
      <c r="F941" s="555" t="str">
        <f>VLOOKUP($B941,dongia1,DG!$D$5,)</f>
        <v>bộ</v>
      </c>
      <c r="G941" s="205">
        <v>1</v>
      </c>
      <c r="H941" s="556"/>
      <c r="I941" s="556">
        <f t="shared" ref="I941:O947" ca="1" si="497">I$940*$G941</f>
        <v>0</v>
      </c>
      <c r="J941" s="556">
        <f t="shared" ca="1" si="497"/>
        <v>0</v>
      </c>
      <c r="K941" s="556">
        <f t="shared" ca="1" si="497"/>
        <v>0</v>
      </c>
      <c r="L941" s="556">
        <f t="shared" ca="1" si="497"/>
        <v>0</v>
      </c>
      <c r="M941" s="556"/>
      <c r="N941" s="556">
        <f t="shared" ca="1" si="497"/>
        <v>0</v>
      </c>
      <c r="O941" s="556">
        <f t="shared" si="497"/>
        <v>0</v>
      </c>
      <c r="P941" s="182">
        <f>VLOOKUP($B941,dongia1,DG!$F$5,)</f>
        <v>29200</v>
      </c>
      <c r="Q941" s="554"/>
      <c r="R941" s="554"/>
      <c r="S941" s="113">
        <f t="shared" ref="S941:S947" si="498">$G941*P941</f>
        <v>29200</v>
      </c>
      <c r="T941" s="113">
        <f t="shared" ref="T941:T947" si="499">$G941*Q941</f>
        <v>0</v>
      </c>
      <c r="U941" s="557">
        <f t="shared" ref="U941:U947" si="500">$G941*R941</f>
        <v>0</v>
      </c>
    </row>
    <row r="942" spans="1:21" s="552" customFormat="1" ht="15" customHeight="1">
      <c r="A942" s="621"/>
      <c r="B942" s="622" t="s">
        <v>1005</v>
      </c>
      <c r="C942" s="558" t="str">
        <f t="shared" si="496"/>
        <v xml:space="preserve"> </v>
      </c>
      <c r="D942" s="553"/>
      <c r="E942" s="694" t="str">
        <f>VLOOKUP($B942,dongia1,DG!$C$5,)</f>
        <v>Sứ chằng</v>
      </c>
      <c r="F942" s="555" t="str">
        <f>VLOOKUP($B942,dongia1,DG!$D$5,)</f>
        <v>cái</v>
      </c>
      <c r="G942" s="205">
        <v>1</v>
      </c>
      <c r="H942" s="556"/>
      <c r="I942" s="556">
        <f t="shared" ca="1" si="497"/>
        <v>0</v>
      </c>
      <c r="J942" s="556">
        <f t="shared" ca="1" si="497"/>
        <v>0</v>
      </c>
      <c r="K942" s="556">
        <f t="shared" ca="1" si="497"/>
        <v>0</v>
      </c>
      <c r="L942" s="556">
        <f t="shared" ca="1" si="497"/>
        <v>0</v>
      </c>
      <c r="M942" s="556"/>
      <c r="N942" s="556">
        <f t="shared" ca="1" si="497"/>
        <v>0</v>
      </c>
      <c r="O942" s="556">
        <f t="shared" si="497"/>
        <v>0</v>
      </c>
      <c r="P942" s="182">
        <f>VLOOKUP($B942,dongia1,DG!$F$5,)</f>
        <v>38000</v>
      </c>
      <c r="Q942" s="554"/>
      <c r="R942" s="554"/>
      <c r="S942" s="113">
        <f t="shared" si="498"/>
        <v>38000</v>
      </c>
      <c r="T942" s="113">
        <f t="shared" si="499"/>
        <v>0</v>
      </c>
      <c r="U942" s="557">
        <f t="shared" si="500"/>
        <v>0</v>
      </c>
    </row>
    <row r="943" spans="1:21" s="552" customFormat="1" ht="15" customHeight="1">
      <c r="A943" s="621"/>
      <c r="B943" s="622" t="s">
        <v>204</v>
      </c>
      <c r="C943" s="558" t="str">
        <f t="shared" si="496"/>
        <v xml:space="preserve"> </v>
      </c>
      <c r="D943" s="553"/>
      <c r="E943" s="694" t="str">
        <f>VLOOKUP($B943,dongia1,DG!$C$5,)</f>
        <v>Kẹp cáp 3 boulon</v>
      </c>
      <c r="F943" s="555" t="str">
        <f>VLOOKUP($B943,dongia1,DG!$D$5,)</f>
        <v>cái</v>
      </c>
      <c r="G943" s="205">
        <v>8</v>
      </c>
      <c r="H943" s="556"/>
      <c r="I943" s="556">
        <f t="shared" ca="1" si="497"/>
        <v>0</v>
      </c>
      <c r="J943" s="556">
        <f t="shared" ca="1" si="497"/>
        <v>0</v>
      </c>
      <c r="K943" s="556">
        <f t="shared" ca="1" si="497"/>
        <v>0</v>
      </c>
      <c r="L943" s="556">
        <f t="shared" ca="1" si="497"/>
        <v>0</v>
      </c>
      <c r="M943" s="556"/>
      <c r="N943" s="556">
        <f t="shared" ca="1" si="497"/>
        <v>0</v>
      </c>
      <c r="O943" s="556">
        <f t="shared" si="497"/>
        <v>0</v>
      </c>
      <c r="P943" s="182">
        <f>VLOOKUP($B943,dongia1,DG!$F$5,)</f>
        <v>38000</v>
      </c>
      <c r="Q943" s="554"/>
      <c r="R943" s="554"/>
      <c r="S943" s="113">
        <f t="shared" si="498"/>
        <v>304000</v>
      </c>
      <c r="T943" s="113">
        <f t="shared" si="499"/>
        <v>0</v>
      </c>
      <c r="U943" s="557">
        <f t="shared" si="500"/>
        <v>0</v>
      </c>
    </row>
    <row r="944" spans="1:21" s="552" customFormat="1" ht="15" customHeight="1">
      <c r="A944" s="621"/>
      <c r="B944" s="622" t="s">
        <v>2075</v>
      </c>
      <c r="C944" s="558" t="str">
        <f t="shared" si="496"/>
        <v xml:space="preserve"> </v>
      </c>
      <c r="D944" s="553"/>
      <c r="E944" s="694" t="str">
        <f>VLOOKUP($B944,dongia1,DG!$C$5,)</f>
        <v>Cáp thép 3/8"</v>
      </c>
      <c r="F944" s="555" t="str">
        <f>VLOOKUP($B944,dongia1,DG!$D$5,)</f>
        <v>kg</v>
      </c>
      <c r="G944" s="205">
        <f>16*0.366</f>
        <v>5.8559999999999999</v>
      </c>
      <c r="H944" s="556"/>
      <c r="I944" s="556">
        <f t="shared" ca="1" si="497"/>
        <v>0</v>
      </c>
      <c r="J944" s="556">
        <f t="shared" ca="1" si="497"/>
        <v>0</v>
      </c>
      <c r="K944" s="556">
        <f t="shared" ca="1" si="497"/>
        <v>0</v>
      </c>
      <c r="L944" s="556">
        <f t="shared" ca="1" si="497"/>
        <v>0</v>
      </c>
      <c r="M944" s="556"/>
      <c r="N944" s="556">
        <f t="shared" ca="1" si="497"/>
        <v>0</v>
      </c>
      <c r="O944" s="556">
        <f t="shared" si="497"/>
        <v>0</v>
      </c>
      <c r="P944" s="182">
        <f>VLOOKUP($B944,dongia1,DG!$F$5,)</f>
        <v>47300</v>
      </c>
      <c r="Q944" s="182"/>
      <c r="R944" s="554"/>
      <c r="S944" s="113">
        <f t="shared" si="498"/>
        <v>276988.79999999999</v>
      </c>
      <c r="T944" s="113">
        <f t="shared" si="499"/>
        <v>0</v>
      </c>
      <c r="U944" s="557">
        <f t="shared" si="500"/>
        <v>0</v>
      </c>
    </row>
    <row r="945" spans="1:21" s="552" customFormat="1" ht="15" customHeight="1">
      <c r="A945" s="621"/>
      <c r="B945" s="622" t="s">
        <v>537</v>
      </c>
      <c r="C945" s="558" t="str">
        <f t="shared" si="496"/>
        <v xml:space="preserve"> </v>
      </c>
      <c r="D945" s="553"/>
      <c r="E945" s="694" t="str">
        <f>VLOOKUP($B945,dongia1,DG!$C$5,)</f>
        <v>Yếm đỡ dày chằng F1/2 mạ Zn (Yếm cáp)</v>
      </c>
      <c r="F945" s="555" t="str">
        <f>VLOOKUP($B945,dongia1,DG!$D$5,)</f>
        <v>cái</v>
      </c>
      <c r="G945" s="205">
        <v>2</v>
      </c>
      <c r="H945" s="556"/>
      <c r="I945" s="556">
        <f t="shared" ca="1" si="497"/>
        <v>0</v>
      </c>
      <c r="J945" s="556">
        <f t="shared" ca="1" si="497"/>
        <v>0</v>
      </c>
      <c r="K945" s="556">
        <f t="shared" ca="1" si="497"/>
        <v>0</v>
      </c>
      <c r="L945" s="556">
        <f t="shared" ca="1" si="497"/>
        <v>0</v>
      </c>
      <c r="M945" s="556"/>
      <c r="N945" s="556">
        <f t="shared" ca="1" si="497"/>
        <v>0</v>
      </c>
      <c r="O945" s="556">
        <f t="shared" si="497"/>
        <v>0</v>
      </c>
      <c r="P945" s="182">
        <f>VLOOKUP($B945,dongia1,DG!$F$5,)</f>
        <v>6000</v>
      </c>
      <c r="Q945" s="182"/>
      <c r="R945" s="554"/>
      <c r="S945" s="113">
        <f t="shared" si="498"/>
        <v>12000</v>
      </c>
      <c r="T945" s="113">
        <f t="shared" si="499"/>
        <v>0</v>
      </c>
      <c r="U945" s="557">
        <f t="shared" si="500"/>
        <v>0</v>
      </c>
    </row>
    <row r="946" spans="1:21" s="552" customFormat="1" ht="15" customHeight="1">
      <c r="A946" s="621"/>
      <c r="B946" s="622" t="s">
        <v>538</v>
      </c>
      <c r="C946" s="558" t="str">
        <f t="shared" si="496"/>
        <v xml:space="preserve"> </v>
      </c>
      <c r="D946" s="553"/>
      <c r="E946" s="694" t="str">
        <f>VLOOKUP($B946,dongia1,DG!$C$5,)</f>
        <v>Máng che dây chằng dày 1,6mm 0,4x2000</v>
      </c>
      <c r="F946" s="555" t="str">
        <f>VLOOKUP($B946,dongia1,DG!$D$5,)</f>
        <v>cái</v>
      </c>
      <c r="G946" s="205">
        <v>1</v>
      </c>
      <c r="H946" s="556"/>
      <c r="I946" s="556">
        <f t="shared" ca="1" si="497"/>
        <v>0</v>
      </c>
      <c r="J946" s="556">
        <f t="shared" ca="1" si="497"/>
        <v>0</v>
      </c>
      <c r="K946" s="556">
        <f t="shared" ca="1" si="497"/>
        <v>0</v>
      </c>
      <c r="L946" s="556">
        <f t="shared" ca="1" si="497"/>
        <v>0</v>
      </c>
      <c r="M946" s="556"/>
      <c r="N946" s="556">
        <f t="shared" ca="1" si="497"/>
        <v>0</v>
      </c>
      <c r="O946" s="556">
        <f t="shared" si="497"/>
        <v>0</v>
      </c>
      <c r="P946" s="182">
        <f>VLOOKUP($B946,dongia1,DG!$F$5,)</f>
        <v>55000</v>
      </c>
      <c r="Q946" s="182"/>
      <c r="R946" s="554"/>
      <c r="S946" s="113">
        <f t="shared" si="498"/>
        <v>55000</v>
      </c>
      <c r="T946" s="113">
        <f t="shared" si="499"/>
        <v>0</v>
      </c>
      <c r="U946" s="557">
        <f t="shared" si="500"/>
        <v>0</v>
      </c>
    </row>
    <row r="947" spans="1:21" s="552" customFormat="1" ht="15" customHeight="1">
      <c r="A947" s="621"/>
      <c r="B947" s="622" t="s">
        <v>1828</v>
      </c>
      <c r="C947" s="558" t="str">
        <f t="shared" si="496"/>
        <v xml:space="preserve"> </v>
      </c>
      <c r="D947" s="553"/>
      <c r="E947" s="694" t="str">
        <f>VLOOKUP($B947,dongia1,DG!$C$5,)</f>
        <v>Lắp bộ dây néo</v>
      </c>
      <c r="F947" s="555" t="str">
        <f>VLOOKUP($B947,dongia1,DG!$D$5,)</f>
        <v>bộ</v>
      </c>
      <c r="G947" s="205">
        <f>G941</f>
        <v>1</v>
      </c>
      <c r="H947" s="556"/>
      <c r="I947" s="556">
        <f t="shared" ca="1" si="497"/>
        <v>0</v>
      </c>
      <c r="J947" s="556">
        <f t="shared" ca="1" si="497"/>
        <v>0</v>
      </c>
      <c r="K947" s="556">
        <f t="shared" ca="1" si="497"/>
        <v>0</v>
      </c>
      <c r="L947" s="556">
        <f t="shared" ca="1" si="497"/>
        <v>0</v>
      </c>
      <c r="M947" s="556"/>
      <c r="N947" s="556">
        <f t="shared" ca="1" si="497"/>
        <v>0</v>
      </c>
      <c r="O947" s="556">
        <f t="shared" si="497"/>
        <v>0</v>
      </c>
      <c r="P947" s="554"/>
      <c r="Q947" s="182">
        <f>VLOOKUP($B947,dongia1,DG!$G$5,)</f>
        <v>99000</v>
      </c>
      <c r="R947" s="554"/>
      <c r="S947" s="113">
        <f t="shared" si="498"/>
        <v>0</v>
      </c>
      <c r="T947" s="113">
        <f t="shared" si="499"/>
        <v>99000</v>
      </c>
      <c r="U947" s="557">
        <f t="shared" si="500"/>
        <v>0</v>
      </c>
    </row>
    <row r="948" spans="1:21" s="552" customFormat="1" ht="15" customHeight="1">
      <c r="A948" s="621" t="s">
        <v>676</v>
      </c>
      <c r="B948" s="622"/>
      <c r="C948" s="558" t="str">
        <f>IF(H948&lt;&gt;0,"x"," ")</f>
        <v xml:space="preserve"> </v>
      </c>
      <c r="D948" s="553"/>
      <c r="E948" s="727" t="s">
        <v>3610</v>
      </c>
      <c r="F948" s="600" t="s">
        <v>2113</v>
      </c>
      <c r="G948" s="205"/>
      <c r="H948" s="556"/>
      <c r="I948" s="556">
        <f ca="1">SUMIF(chang3pm,chitiet!$A948,slchang3pm)</f>
        <v>0</v>
      </c>
      <c r="J948" s="556">
        <f ca="1">SUMIF(changct,chitiet!$A948,slchangct)</f>
        <v>0</v>
      </c>
      <c r="K948" s="556">
        <f ca="1">SUMIF(chang3p1m,chitiet!$A948,slchang3p1m)</f>
        <v>0</v>
      </c>
      <c r="L948" s="556">
        <f ca="1">SUMIF(chang1pm,chitiet!$A948,slchang1pm)</f>
        <v>0</v>
      </c>
      <c r="M948" s="556"/>
      <c r="N948" s="556">
        <f ca="1">SUMIF(changHTDL,chitiet!$A948,Slchanghtdl)</f>
        <v>0</v>
      </c>
      <c r="O948" s="556"/>
      <c r="P948" s="554"/>
      <c r="Q948" s="554"/>
      <c r="R948" s="554"/>
      <c r="S948" s="601">
        <f>SUM(S949:S957)</f>
        <v>1452700</v>
      </c>
      <c r="T948" s="601">
        <f>SUM(T949:T957)</f>
        <v>112161</v>
      </c>
      <c r="U948" s="602">
        <f>SUM(U949:U957)</f>
        <v>0</v>
      </c>
    </row>
    <row r="949" spans="1:21" s="552" customFormat="1" ht="15" customHeight="1">
      <c r="A949" s="621"/>
      <c r="B949" s="622" t="s">
        <v>1432</v>
      </c>
      <c r="C949" s="558" t="str">
        <f t="shared" ref="C949:C957" si="501">C948</f>
        <v xml:space="preserve"> </v>
      </c>
      <c r="D949" s="553"/>
      <c r="E949" s="694" t="str">
        <f>VLOOKUP($B949,dongia1,DG!$C$5,)</f>
        <v>Boulon mắt 16x250+ 1 long đền vuông D18-50x50x3/Zn</v>
      </c>
      <c r="F949" s="555" t="str">
        <f>VLOOKUP($B949,dongia1,DG!$D$5,)</f>
        <v>bộ</v>
      </c>
      <c r="G949" s="205">
        <v>1</v>
      </c>
      <c r="H949" s="556"/>
      <c r="I949" s="556">
        <f t="shared" ref="I949:O957" ca="1" si="502">I$948*$G949</f>
        <v>0</v>
      </c>
      <c r="J949" s="556">
        <f t="shared" ca="1" si="502"/>
        <v>0</v>
      </c>
      <c r="K949" s="556">
        <f t="shared" ca="1" si="502"/>
        <v>0</v>
      </c>
      <c r="L949" s="556">
        <f t="shared" ca="1" si="502"/>
        <v>0</v>
      </c>
      <c r="M949" s="556"/>
      <c r="N949" s="556">
        <f t="shared" ca="1" si="502"/>
        <v>0</v>
      </c>
      <c r="O949" s="556">
        <f t="shared" si="502"/>
        <v>0</v>
      </c>
      <c r="P949" s="182">
        <f>VLOOKUP($B949,dongia1,DG!$F$5,)</f>
        <v>29200</v>
      </c>
      <c r="Q949" s="554"/>
      <c r="R949" s="554"/>
      <c r="S949" s="113">
        <f t="shared" ref="S949:S957" si="503">$G949*P949</f>
        <v>29200</v>
      </c>
      <c r="T949" s="113">
        <f t="shared" ref="T949:T957" si="504">$G949*Q949</f>
        <v>0</v>
      </c>
      <c r="U949" s="557">
        <f t="shared" ref="U949:U957" si="505">$G949*R949</f>
        <v>0</v>
      </c>
    </row>
    <row r="950" spans="1:21" s="552" customFormat="1" ht="15" customHeight="1">
      <c r="A950" s="621"/>
      <c r="B950" s="622" t="s">
        <v>1005</v>
      </c>
      <c r="C950" s="558" t="str">
        <f t="shared" si="501"/>
        <v xml:space="preserve"> </v>
      </c>
      <c r="D950" s="553"/>
      <c r="E950" s="694" t="str">
        <f>VLOOKUP($B950,dongia1,DG!$C$5,)</f>
        <v>Sứ chằng</v>
      </c>
      <c r="F950" s="555" t="str">
        <f>VLOOKUP($B950,dongia1,DG!$D$5,)</f>
        <v>cái</v>
      </c>
      <c r="G950" s="205">
        <v>1</v>
      </c>
      <c r="H950" s="556"/>
      <c r="I950" s="556">
        <f t="shared" ca="1" si="502"/>
        <v>0</v>
      </c>
      <c r="J950" s="556">
        <f t="shared" ca="1" si="502"/>
        <v>0</v>
      </c>
      <c r="K950" s="556">
        <f t="shared" ca="1" si="502"/>
        <v>0</v>
      </c>
      <c r="L950" s="556">
        <f t="shared" ca="1" si="502"/>
        <v>0</v>
      </c>
      <c r="M950" s="556"/>
      <c r="N950" s="556">
        <f t="shared" ca="1" si="502"/>
        <v>0</v>
      </c>
      <c r="O950" s="556">
        <f t="shared" si="502"/>
        <v>0</v>
      </c>
      <c r="P950" s="182">
        <f>VLOOKUP($B950,dongia1,DG!$F$5,)</f>
        <v>38000</v>
      </c>
      <c r="Q950" s="554"/>
      <c r="R950" s="554"/>
      <c r="S950" s="113">
        <f t="shared" si="503"/>
        <v>38000</v>
      </c>
      <c r="T950" s="113">
        <f t="shared" si="504"/>
        <v>0</v>
      </c>
      <c r="U950" s="557">
        <f t="shared" si="505"/>
        <v>0</v>
      </c>
    </row>
    <row r="951" spans="1:21" s="552" customFormat="1" ht="15" customHeight="1">
      <c r="A951" s="621"/>
      <c r="B951" s="622" t="s">
        <v>204</v>
      </c>
      <c r="C951" s="558" t="str">
        <f t="shared" si="501"/>
        <v xml:space="preserve"> </v>
      </c>
      <c r="D951" s="553"/>
      <c r="E951" s="694" t="str">
        <f>VLOOKUP($B951,dongia1,DG!$C$5,)</f>
        <v>Kẹp cáp 3 boulon</v>
      </c>
      <c r="F951" s="555" t="str">
        <f>VLOOKUP($B951,dongia1,DG!$D$5,)</f>
        <v>cái</v>
      </c>
      <c r="G951" s="205">
        <v>8</v>
      </c>
      <c r="H951" s="556"/>
      <c r="I951" s="556">
        <f t="shared" ca="1" si="502"/>
        <v>0</v>
      </c>
      <c r="J951" s="556">
        <f t="shared" ca="1" si="502"/>
        <v>0</v>
      </c>
      <c r="K951" s="556">
        <f t="shared" ca="1" si="502"/>
        <v>0</v>
      </c>
      <c r="L951" s="556">
        <f t="shared" ca="1" si="502"/>
        <v>0</v>
      </c>
      <c r="M951" s="556"/>
      <c r="N951" s="556">
        <f t="shared" ca="1" si="502"/>
        <v>0</v>
      </c>
      <c r="O951" s="556">
        <f t="shared" si="502"/>
        <v>0</v>
      </c>
      <c r="P951" s="182">
        <f>VLOOKUP($B951,dongia1,DG!$F$5,)</f>
        <v>38000</v>
      </c>
      <c r="Q951" s="554"/>
      <c r="R951" s="554"/>
      <c r="S951" s="113">
        <f t="shared" si="503"/>
        <v>304000</v>
      </c>
      <c r="T951" s="113">
        <f t="shared" si="504"/>
        <v>0</v>
      </c>
      <c r="U951" s="557">
        <f t="shared" si="505"/>
        <v>0</v>
      </c>
    </row>
    <row r="952" spans="1:21" s="552" customFormat="1" ht="15" customHeight="1">
      <c r="A952" s="621"/>
      <c r="B952" s="622" t="s">
        <v>2075</v>
      </c>
      <c r="C952" s="558" t="str">
        <f t="shared" si="501"/>
        <v xml:space="preserve"> </v>
      </c>
      <c r="D952" s="553"/>
      <c r="E952" s="694" t="str">
        <f>VLOOKUP($B952,dongia1,DG!$C$5,)</f>
        <v>Cáp thép 3/8"</v>
      </c>
      <c r="F952" s="555" t="str">
        <f>VLOOKUP($B952,dongia1,DG!$D$5,)</f>
        <v>kg</v>
      </c>
      <c r="G952" s="205">
        <v>15</v>
      </c>
      <c r="H952" s="556"/>
      <c r="I952" s="556">
        <f t="shared" ca="1" si="502"/>
        <v>0</v>
      </c>
      <c r="J952" s="556">
        <f t="shared" ca="1" si="502"/>
        <v>0</v>
      </c>
      <c r="K952" s="556">
        <f t="shared" ca="1" si="502"/>
        <v>0</v>
      </c>
      <c r="L952" s="556">
        <f t="shared" ca="1" si="502"/>
        <v>0</v>
      </c>
      <c r="M952" s="556"/>
      <c r="N952" s="556">
        <f t="shared" ca="1" si="502"/>
        <v>0</v>
      </c>
      <c r="O952" s="556">
        <f t="shared" si="502"/>
        <v>0</v>
      </c>
      <c r="P952" s="182">
        <f>VLOOKUP($B952,dongia1,DG!$F$5,)</f>
        <v>47300</v>
      </c>
      <c r="Q952" s="182"/>
      <c r="R952" s="554"/>
      <c r="S952" s="113">
        <f t="shared" si="503"/>
        <v>709500</v>
      </c>
      <c r="T952" s="113">
        <f t="shared" si="504"/>
        <v>0</v>
      </c>
      <c r="U952" s="557">
        <f t="shared" si="505"/>
        <v>0</v>
      </c>
    </row>
    <row r="953" spans="1:21" s="552" customFormat="1" ht="15" customHeight="1">
      <c r="A953" s="621"/>
      <c r="B953" s="622" t="s">
        <v>1451</v>
      </c>
      <c r="C953" s="558" t="str">
        <f t="shared" si="501"/>
        <v xml:space="preserve"> </v>
      </c>
      <c r="D953" s="553"/>
      <c r="E953" s="694" t="str">
        <f>VLOOKUP($B953,dongia1,DG!$C$5,)</f>
        <v>Bộ chống chằng hẹp Þ60/50x1500+2BL12x40+BL16x250/80</v>
      </c>
      <c r="F953" s="555" t="str">
        <f>VLOOKUP($B953,dongia1,DG!$D$5,)</f>
        <v>bộ</v>
      </c>
      <c r="G953" s="205">
        <v>1</v>
      </c>
      <c r="H953" s="556"/>
      <c r="I953" s="556">
        <f t="shared" ca="1" si="502"/>
        <v>0</v>
      </c>
      <c r="J953" s="556">
        <f t="shared" ca="1" si="502"/>
        <v>0</v>
      </c>
      <c r="K953" s="556">
        <f t="shared" ca="1" si="502"/>
        <v>0</v>
      </c>
      <c r="L953" s="556">
        <f t="shared" ca="1" si="502"/>
        <v>0</v>
      </c>
      <c r="M953" s="556"/>
      <c r="N953" s="556">
        <f t="shared" ca="1" si="502"/>
        <v>0</v>
      </c>
      <c r="O953" s="556">
        <f t="shared" si="502"/>
        <v>0</v>
      </c>
      <c r="P953" s="182">
        <f>VLOOKUP($B953,dongia1,DG!$F$5,)</f>
        <v>305000</v>
      </c>
      <c r="Q953" s="182"/>
      <c r="R953" s="554"/>
      <c r="S953" s="113">
        <f t="shared" si="503"/>
        <v>305000</v>
      </c>
      <c r="T953" s="113">
        <f t="shared" si="504"/>
        <v>0</v>
      </c>
      <c r="U953" s="557">
        <f t="shared" si="505"/>
        <v>0</v>
      </c>
    </row>
    <row r="954" spans="1:21" s="552" customFormat="1" ht="15" customHeight="1">
      <c r="A954" s="621"/>
      <c r="B954" s="622" t="s">
        <v>537</v>
      </c>
      <c r="C954" s="558" t="str">
        <f t="shared" si="501"/>
        <v xml:space="preserve"> </v>
      </c>
      <c r="D954" s="553"/>
      <c r="E954" s="694" t="str">
        <f>VLOOKUP($B954,dongia1,DG!$C$5,)</f>
        <v>Yếm đỡ dày chằng F1/2 mạ Zn (Yếm cáp)</v>
      </c>
      <c r="F954" s="555" t="str">
        <f>VLOOKUP($B954,dongia1,DG!$D$5,)</f>
        <v>cái</v>
      </c>
      <c r="G954" s="205">
        <v>2</v>
      </c>
      <c r="H954" s="556"/>
      <c r="I954" s="556">
        <f t="shared" ca="1" si="502"/>
        <v>0</v>
      </c>
      <c r="J954" s="556">
        <f t="shared" ca="1" si="502"/>
        <v>0</v>
      </c>
      <c r="K954" s="556">
        <f t="shared" ca="1" si="502"/>
        <v>0</v>
      </c>
      <c r="L954" s="556">
        <f t="shared" ca="1" si="502"/>
        <v>0</v>
      </c>
      <c r="M954" s="556"/>
      <c r="N954" s="556">
        <f t="shared" ca="1" si="502"/>
        <v>0</v>
      </c>
      <c r="O954" s="556">
        <f t="shared" si="502"/>
        <v>0</v>
      </c>
      <c r="P954" s="182">
        <f>VLOOKUP($B954,dongia1,DG!$F$5,)</f>
        <v>6000</v>
      </c>
      <c r="Q954" s="182"/>
      <c r="R954" s="554"/>
      <c r="S954" s="113">
        <f t="shared" si="503"/>
        <v>12000</v>
      </c>
      <c r="T954" s="113">
        <f t="shared" si="504"/>
        <v>0</v>
      </c>
      <c r="U954" s="557">
        <f t="shared" si="505"/>
        <v>0</v>
      </c>
    </row>
    <row r="955" spans="1:21" s="552" customFormat="1" ht="15" customHeight="1">
      <c r="A955" s="621"/>
      <c r="B955" s="622" t="s">
        <v>538</v>
      </c>
      <c r="C955" s="558" t="str">
        <f t="shared" si="501"/>
        <v xml:space="preserve"> </v>
      </c>
      <c r="D955" s="553"/>
      <c r="E955" s="694" t="str">
        <f>VLOOKUP($B955,dongia1,DG!$C$5,)</f>
        <v>Máng che dây chằng dày 1,6mm 0,4x2000</v>
      </c>
      <c r="F955" s="555" t="str">
        <f>VLOOKUP($B955,dongia1,DG!$D$5,)</f>
        <v>cái</v>
      </c>
      <c r="G955" s="205">
        <v>1</v>
      </c>
      <c r="H955" s="556"/>
      <c r="I955" s="556">
        <f t="shared" ca="1" si="502"/>
        <v>0</v>
      </c>
      <c r="J955" s="556">
        <f t="shared" ca="1" si="502"/>
        <v>0</v>
      </c>
      <c r="K955" s="556">
        <f t="shared" ca="1" si="502"/>
        <v>0</v>
      </c>
      <c r="L955" s="556">
        <f t="shared" ca="1" si="502"/>
        <v>0</v>
      </c>
      <c r="M955" s="556"/>
      <c r="N955" s="556">
        <f t="shared" ca="1" si="502"/>
        <v>0</v>
      </c>
      <c r="O955" s="556">
        <f t="shared" si="502"/>
        <v>0</v>
      </c>
      <c r="P955" s="182">
        <f>VLOOKUP($B955,dongia1,DG!$F$5,)</f>
        <v>55000</v>
      </c>
      <c r="Q955" s="182"/>
      <c r="R955" s="554"/>
      <c r="S955" s="113">
        <f t="shared" si="503"/>
        <v>55000</v>
      </c>
      <c r="T955" s="113">
        <f t="shared" si="504"/>
        <v>0</v>
      </c>
      <c r="U955" s="557">
        <f t="shared" si="505"/>
        <v>0</v>
      </c>
    </row>
    <row r="956" spans="1:21" s="552" customFormat="1" ht="15" customHeight="1">
      <c r="A956" s="621"/>
      <c r="B956" s="622" t="s">
        <v>1828</v>
      </c>
      <c r="C956" s="558" t="str">
        <f t="shared" si="501"/>
        <v xml:space="preserve"> </v>
      </c>
      <c r="D956" s="553"/>
      <c r="E956" s="694" t="str">
        <f>VLOOKUP($B956,dongia1,DG!$C$5,)</f>
        <v>Lắp bộ dây néo</v>
      </c>
      <c r="F956" s="555" t="str">
        <f>VLOOKUP($B956,dongia1,DG!$D$5,)</f>
        <v>bộ</v>
      </c>
      <c r="G956" s="205">
        <v>1</v>
      </c>
      <c r="H956" s="556"/>
      <c r="I956" s="556">
        <f t="shared" ca="1" si="502"/>
        <v>0</v>
      </c>
      <c r="J956" s="556">
        <f t="shared" ca="1" si="502"/>
        <v>0</v>
      </c>
      <c r="K956" s="556">
        <f t="shared" ca="1" si="502"/>
        <v>0</v>
      </c>
      <c r="L956" s="556">
        <f t="shared" ca="1" si="502"/>
        <v>0</v>
      </c>
      <c r="M956" s="556"/>
      <c r="N956" s="556">
        <f t="shared" ca="1" si="502"/>
        <v>0</v>
      </c>
      <c r="O956" s="556">
        <f t="shared" si="502"/>
        <v>0</v>
      </c>
      <c r="P956" s="554"/>
      <c r="Q956" s="182">
        <f>VLOOKUP($B956,dongia1,DG!$G$5,)</f>
        <v>99000</v>
      </c>
      <c r="R956" s="554"/>
      <c r="S956" s="113">
        <f t="shared" si="503"/>
        <v>0</v>
      </c>
      <c r="T956" s="113">
        <f t="shared" si="504"/>
        <v>99000</v>
      </c>
      <c r="U956" s="557">
        <f t="shared" si="505"/>
        <v>0</v>
      </c>
    </row>
    <row r="957" spans="1:21" s="552" customFormat="1" ht="15" customHeight="1">
      <c r="A957" s="621"/>
      <c r="B957" s="622" t="s">
        <v>1601</v>
      </c>
      <c r="C957" s="558" t="str">
        <f t="shared" si="501"/>
        <v xml:space="preserve"> </v>
      </c>
      <c r="D957" s="553"/>
      <c r="E957" s="694" t="str">
        <f>VLOOKUP($B957,dongia1,DG!$C$5,)</f>
        <v>Lắp bộ chống lệch</v>
      </c>
      <c r="F957" s="555" t="str">
        <f>VLOOKUP($B957,dongia1,DG!$D$5,)</f>
        <v>bộ</v>
      </c>
      <c r="G957" s="205">
        <v>1</v>
      </c>
      <c r="H957" s="556"/>
      <c r="I957" s="556">
        <f t="shared" ca="1" si="502"/>
        <v>0</v>
      </c>
      <c r="J957" s="556">
        <f t="shared" ca="1" si="502"/>
        <v>0</v>
      </c>
      <c r="K957" s="556">
        <f t="shared" ca="1" si="502"/>
        <v>0</v>
      </c>
      <c r="L957" s="556">
        <f t="shared" ca="1" si="502"/>
        <v>0</v>
      </c>
      <c r="M957" s="556"/>
      <c r="N957" s="556">
        <f t="shared" ca="1" si="502"/>
        <v>0</v>
      </c>
      <c r="O957" s="556">
        <f t="shared" si="502"/>
        <v>0</v>
      </c>
      <c r="P957" s="554"/>
      <c r="Q957" s="182">
        <f>VLOOKUP($B957,dongia1,DG!$G$5,)</f>
        <v>13161</v>
      </c>
      <c r="R957" s="554"/>
      <c r="S957" s="113">
        <f t="shared" si="503"/>
        <v>0</v>
      </c>
      <c r="T957" s="113">
        <f t="shared" si="504"/>
        <v>13161</v>
      </c>
      <c r="U957" s="557">
        <f t="shared" si="505"/>
        <v>0</v>
      </c>
    </row>
    <row r="958" spans="1:21" s="552" customFormat="1" ht="15" customHeight="1">
      <c r="A958" s="621" t="s">
        <v>677</v>
      </c>
      <c r="B958" s="622"/>
      <c r="C958" s="558" t="str">
        <f>IF(H958&lt;&gt;0,"x"," ")</f>
        <v xml:space="preserve"> </v>
      </c>
      <c r="D958" s="553"/>
      <c r="E958" s="727" t="s">
        <v>3611</v>
      </c>
      <c r="F958" s="600" t="s">
        <v>2113</v>
      </c>
      <c r="G958" s="205"/>
      <c r="H958" s="556"/>
      <c r="I958" s="556">
        <f ca="1">SUMIF(chang3pm,chitiet!$A958,slchang3pm)</f>
        <v>0</v>
      </c>
      <c r="J958" s="556">
        <f ca="1">SUMIF(changct,chitiet!$A958,slchangct)</f>
        <v>0</v>
      </c>
      <c r="K958" s="556">
        <f ca="1">SUMIF(chang3p1m,chitiet!$A958,slchang3p1m)</f>
        <v>0</v>
      </c>
      <c r="L958" s="556">
        <f ca="1">SUMIF(chang1pm,chitiet!$A958,slchang1pm)</f>
        <v>0</v>
      </c>
      <c r="M958" s="556"/>
      <c r="N958" s="556">
        <f ca="1">SUMIF(changHTDL,chitiet!$A958,Slchanghtdl)</f>
        <v>0</v>
      </c>
      <c r="O958" s="556"/>
      <c r="P958" s="554"/>
      <c r="Q958" s="554"/>
      <c r="R958" s="554"/>
      <c r="S958" s="601">
        <f>SUM(S959:S965)</f>
        <v>2721100</v>
      </c>
      <c r="T958" s="601">
        <f>SUM(T959:T965)</f>
        <v>198000</v>
      </c>
      <c r="U958" s="602">
        <f>SUM(U959:U965)</f>
        <v>0</v>
      </c>
    </row>
    <row r="959" spans="1:21" s="552" customFormat="1" ht="15" customHeight="1">
      <c r="A959" s="621"/>
      <c r="B959" s="622" t="s">
        <v>1432</v>
      </c>
      <c r="C959" s="558" t="str">
        <f t="shared" ref="C959:C965" si="506">C958</f>
        <v xml:space="preserve"> </v>
      </c>
      <c r="D959" s="553"/>
      <c r="E959" s="694" t="str">
        <f>VLOOKUP($B959,dongia1,DG!$C$5,)</f>
        <v>Boulon mắt 16x250+ 1 long đền vuông D18-50x50x3/Zn</v>
      </c>
      <c r="F959" s="555" t="str">
        <f>VLOOKUP($B959,dongia1,DG!$D$5,)</f>
        <v>bộ</v>
      </c>
      <c r="G959" s="205">
        <v>2</v>
      </c>
      <c r="H959" s="556"/>
      <c r="I959" s="556">
        <f t="shared" ref="I959:O965" ca="1" si="507">I$958*$G959</f>
        <v>0</v>
      </c>
      <c r="J959" s="556">
        <f t="shared" ca="1" si="507"/>
        <v>0</v>
      </c>
      <c r="K959" s="556">
        <f t="shared" ca="1" si="507"/>
        <v>0</v>
      </c>
      <c r="L959" s="556">
        <f t="shared" ca="1" si="507"/>
        <v>0</v>
      </c>
      <c r="M959" s="556"/>
      <c r="N959" s="556">
        <f t="shared" ca="1" si="507"/>
        <v>0</v>
      </c>
      <c r="O959" s="556">
        <f t="shared" si="507"/>
        <v>0</v>
      </c>
      <c r="P959" s="182">
        <f>VLOOKUP($B959,dongia1,DG!$F$5,)</f>
        <v>29200</v>
      </c>
      <c r="Q959" s="554"/>
      <c r="R959" s="554"/>
      <c r="S959" s="113">
        <f t="shared" ref="S959:S965" si="508">$G959*P959</f>
        <v>58400</v>
      </c>
      <c r="T959" s="113">
        <f t="shared" ref="T959:T965" si="509">$G959*Q959</f>
        <v>0</v>
      </c>
      <c r="U959" s="557">
        <f t="shared" ref="U959:U965" si="510">$G959*R959</f>
        <v>0</v>
      </c>
    </row>
    <row r="960" spans="1:21" s="552" customFormat="1" ht="15" customHeight="1">
      <c r="A960" s="621"/>
      <c r="B960" s="622" t="s">
        <v>1005</v>
      </c>
      <c r="C960" s="558" t="str">
        <f t="shared" si="506"/>
        <v xml:space="preserve"> </v>
      </c>
      <c r="D960" s="553"/>
      <c r="E960" s="694" t="str">
        <f>VLOOKUP($B960,dongia1,DG!$C$5,)</f>
        <v>Sứ chằng</v>
      </c>
      <c r="F960" s="555" t="str">
        <f>VLOOKUP($B960,dongia1,DG!$D$5,)</f>
        <v>cái</v>
      </c>
      <c r="G960" s="205">
        <v>2</v>
      </c>
      <c r="H960" s="556"/>
      <c r="I960" s="556">
        <f t="shared" ca="1" si="507"/>
        <v>0</v>
      </c>
      <c r="J960" s="556">
        <f t="shared" ca="1" si="507"/>
        <v>0</v>
      </c>
      <c r="K960" s="556">
        <f t="shared" ca="1" si="507"/>
        <v>0</v>
      </c>
      <c r="L960" s="556">
        <f t="shared" ca="1" si="507"/>
        <v>0</v>
      </c>
      <c r="M960" s="556"/>
      <c r="N960" s="556">
        <f t="shared" ca="1" si="507"/>
        <v>0</v>
      </c>
      <c r="O960" s="556">
        <f t="shared" si="507"/>
        <v>0</v>
      </c>
      <c r="P960" s="182">
        <f>VLOOKUP($B960,dongia1,DG!$F$5,)</f>
        <v>38000</v>
      </c>
      <c r="Q960" s="554"/>
      <c r="R960" s="554"/>
      <c r="S960" s="113">
        <f t="shared" si="508"/>
        <v>76000</v>
      </c>
      <c r="T960" s="113">
        <f t="shared" si="509"/>
        <v>0</v>
      </c>
      <c r="U960" s="557">
        <f t="shared" si="510"/>
        <v>0</v>
      </c>
    </row>
    <row r="961" spans="1:21" s="552" customFormat="1" ht="15" customHeight="1">
      <c r="A961" s="621"/>
      <c r="B961" s="622" t="s">
        <v>204</v>
      </c>
      <c r="C961" s="558" t="str">
        <f t="shared" si="506"/>
        <v xml:space="preserve"> </v>
      </c>
      <c r="D961" s="553"/>
      <c r="E961" s="694" t="str">
        <f>VLOOKUP($B961,dongia1,DG!$C$5,)</f>
        <v>Kẹp cáp 3 boulon</v>
      </c>
      <c r="F961" s="555" t="str">
        <f>VLOOKUP($B961,dongia1,DG!$D$5,)</f>
        <v>cái</v>
      </c>
      <c r="G961" s="205">
        <v>16</v>
      </c>
      <c r="H961" s="556"/>
      <c r="I961" s="556">
        <f t="shared" ca="1" si="507"/>
        <v>0</v>
      </c>
      <c r="J961" s="556">
        <f t="shared" ca="1" si="507"/>
        <v>0</v>
      </c>
      <c r="K961" s="556">
        <f t="shared" ca="1" si="507"/>
        <v>0</v>
      </c>
      <c r="L961" s="556">
        <f t="shared" ca="1" si="507"/>
        <v>0</v>
      </c>
      <c r="M961" s="556"/>
      <c r="N961" s="556">
        <f t="shared" ca="1" si="507"/>
        <v>0</v>
      </c>
      <c r="O961" s="556">
        <f t="shared" si="507"/>
        <v>0</v>
      </c>
      <c r="P961" s="182">
        <f>VLOOKUP($B961,dongia1,DG!$F$5,)</f>
        <v>38000</v>
      </c>
      <c r="Q961" s="554"/>
      <c r="R961" s="554"/>
      <c r="S961" s="113">
        <f t="shared" si="508"/>
        <v>608000</v>
      </c>
      <c r="T961" s="113">
        <f t="shared" si="509"/>
        <v>0</v>
      </c>
      <c r="U961" s="557">
        <f t="shared" si="510"/>
        <v>0</v>
      </c>
    </row>
    <row r="962" spans="1:21" s="552" customFormat="1" ht="15" customHeight="1">
      <c r="A962" s="621"/>
      <c r="B962" s="622" t="s">
        <v>374</v>
      </c>
      <c r="C962" s="558" t="str">
        <f t="shared" si="506"/>
        <v xml:space="preserve"> </v>
      </c>
      <c r="D962" s="553"/>
      <c r="E962" s="694" t="str">
        <f>VLOOKUP($B962,dongia1,DG!$C$5,)</f>
        <v>Cáp thép 5/8"</v>
      </c>
      <c r="F962" s="555" t="str">
        <f>VLOOKUP($B962,dongia1,DG!$D$5,)</f>
        <v>kg</v>
      </c>
      <c r="G962" s="205">
        <v>39</v>
      </c>
      <c r="H962" s="556"/>
      <c r="I962" s="556">
        <f t="shared" ca="1" si="507"/>
        <v>0</v>
      </c>
      <c r="J962" s="556">
        <f t="shared" ca="1" si="507"/>
        <v>0</v>
      </c>
      <c r="K962" s="556">
        <f t="shared" ca="1" si="507"/>
        <v>0</v>
      </c>
      <c r="L962" s="556">
        <f t="shared" ca="1" si="507"/>
        <v>0</v>
      </c>
      <c r="M962" s="556"/>
      <c r="N962" s="556">
        <f t="shared" ca="1" si="507"/>
        <v>0</v>
      </c>
      <c r="O962" s="556">
        <f t="shared" si="507"/>
        <v>0</v>
      </c>
      <c r="P962" s="182">
        <f>VLOOKUP($B962,dongia1,DG!$F$5,)</f>
        <v>47300</v>
      </c>
      <c r="Q962" s="182"/>
      <c r="R962" s="554"/>
      <c r="S962" s="113">
        <f t="shared" si="508"/>
        <v>1844700</v>
      </c>
      <c r="T962" s="113">
        <f t="shared" si="509"/>
        <v>0</v>
      </c>
      <c r="U962" s="557">
        <f t="shared" si="510"/>
        <v>0</v>
      </c>
    </row>
    <row r="963" spans="1:21" s="552" customFormat="1" ht="15" customHeight="1">
      <c r="A963" s="621"/>
      <c r="B963" s="622" t="s">
        <v>537</v>
      </c>
      <c r="C963" s="558" t="str">
        <f t="shared" si="506"/>
        <v xml:space="preserve"> </v>
      </c>
      <c r="D963" s="553"/>
      <c r="E963" s="694" t="str">
        <f>VLOOKUP($B963,dongia1,DG!$C$5,)</f>
        <v>Yếm đỡ dày chằng F1/2 mạ Zn (Yếm cáp)</v>
      </c>
      <c r="F963" s="555" t="str">
        <f>VLOOKUP($B963,dongia1,DG!$D$5,)</f>
        <v>cái</v>
      </c>
      <c r="G963" s="205">
        <v>4</v>
      </c>
      <c r="H963" s="556"/>
      <c r="I963" s="556">
        <f t="shared" ca="1" si="507"/>
        <v>0</v>
      </c>
      <c r="J963" s="556">
        <f t="shared" ca="1" si="507"/>
        <v>0</v>
      </c>
      <c r="K963" s="556">
        <f t="shared" ca="1" si="507"/>
        <v>0</v>
      </c>
      <c r="L963" s="556">
        <f t="shared" ca="1" si="507"/>
        <v>0</v>
      </c>
      <c r="M963" s="556"/>
      <c r="N963" s="556">
        <f t="shared" ca="1" si="507"/>
        <v>0</v>
      </c>
      <c r="O963" s="556">
        <f t="shared" si="507"/>
        <v>0</v>
      </c>
      <c r="P963" s="182">
        <f>VLOOKUP($B963,dongia1,DG!$F$5,)</f>
        <v>6000</v>
      </c>
      <c r="Q963" s="182"/>
      <c r="R963" s="554"/>
      <c r="S963" s="113">
        <f t="shared" si="508"/>
        <v>24000</v>
      </c>
      <c r="T963" s="113">
        <f t="shared" si="509"/>
        <v>0</v>
      </c>
      <c r="U963" s="557">
        <f t="shared" si="510"/>
        <v>0</v>
      </c>
    </row>
    <row r="964" spans="1:21" s="552" customFormat="1" ht="15" customHeight="1">
      <c r="A964" s="621"/>
      <c r="B964" s="622" t="s">
        <v>538</v>
      </c>
      <c r="C964" s="558" t="str">
        <f t="shared" si="506"/>
        <v xml:space="preserve"> </v>
      </c>
      <c r="D964" s="553"/>
      <c r="E964" s="694" t="str">
        <f>VLOOKUP($B964,dongia1,DG!$C$5,)</f>
        <v>Máng che dây chằng dày 1,6mm 0,4x2000</v>
      </c>
      <c r="F964" s="555" t="str">
        <f>VLOOKUP($B964,dongia1,DG!$D$5,)</f>
        <v>cái</v>
      </c>
      <c r="G964" s="205">
        <v>2</v>
      </c>
      <c r="H964" s="556"/>
      <c r="I964" s="556">
        <f t="shared" ca="1" si="507"/>
        <v>0</v>
      </c>
      <c r="J964" s="556">
        <f t="shared" ca="1" si="507"/>
        <v>0</v>
      </c>
      <c r="K964" s="556">
        <f t="shared" ca="1" si="507"/>
        <v>0</v>
      </c>
      <c r="L964" s="556">
        <f t="shared" ca="1" si="507"/>
        <v>0</v>
      </c>
      <c r="M964" s="556"/>
      <c r="N964" s="556">
        <f t="shared" ca="1" si="507"/>
        <v>0</v>
      </c>
      <c r="O964" s="556">
        <f t="shared" si="507"/>
        <v>0</v>
      </c>
      <c r="P964" s="182">
        <f>VLOOKUP($B964,dongia1,DG!$F$5,)</f>
        <v>55000</v>
      </c>
      <c r="Q964" s="182"/>
      <c r="R964" s="554"/>
      <c r="S964" s="113">
        <f t="shared" si="508"/>
        <v>110000</v>
      </c>
      <c r="T964" s="113">
        <f t="shared" si="509"/>
        <v>0</v>
      </c>
      <c r="U964" s="557">
        <f t="shared" si="510"/>
        <v>0</v>
      </c>
    </row>
    <row r="965" spans="1:21" s="552" customFormat="1" ht="15" customHeight="1">
      <c r="A965" s="621"/>
      <c r="B965" s="622" t="s">
        <v>1828</v>
      </c>
      <c r="C965" s="558" t="str">
        <f t="shared" si="506"/>
        <v xml:space="preserve"> </v>
      </c>
      <c r="D965" s="553"/>
      <c r="E965" s="694" t="str">
        <f>VLOOKUP($B965,dongia1,DG!$C$5,)</f>
        <v>Lắp bộ dây néo</v>
      </c>
      <c r="F965" s="555" t="str">
        <f>VLOOKUP($B965,dongia1,DG!$D$5,)</f>
        <v>bộ</v>
      </c>
      <c r="G965" s="205">
        <v>2</v>
      </c>
      <c r="H965" s="556"/>
      <c r="I965" s="556">
        <f t="shared" ca="1" si="507"/>
        <v>0</v>
      </c>
      <c r="J965" s="556">
        <f t="shared" ca="1" si="507"/>
        <v>0</v>
      </c>
      <c r="K965" s="556">
        <f t="shared" ca="1" si="507"/>
        <v>0</v>
      </c>
      <c r="L965" s="556">
        <f t="shared" ca="1" si="507"/>
        <v>0</v>
      </c>
      <c r="M965" s="556"/>
      <c r="N965" s="556">
        <f t="shared" ca="1" si="507"/>
        <v>0</v>
      </c>
      <c r="O965" s="556">
        <f t="shared" si="507"/>
        <v>0</v>
      </c>
      <c r="P965" s="554"/>
      <c r="Q965" s="182">
        <f>VLOOKUP($B965,dongia1,DG!$G$5,)</f>
        <v>99000</v>
      </c>
      <c r="R965" s="554"/>
      <c r="S965" s="113">
        <f t="shared" si="508"/>
        <v>0</v>
      </c>
      <c r="T965" s="113">
        <f t="shared" si="509"/>
        <v>198000</v>
      </c>
      <c r="U965" s="557">
        <f t="shared" si="510"/>
        <v>0</v>
      </c>
    </row>
    <row r="966" spans="1:21" s="552" customFormat="1" ht="15" customHeight="1">
      <c r="A966" s="621" t="s">
        <v>1726</v>
      </c>
      <c r="B966" s="622"/>
      <c r="C966" s="558" t="str">
        <f>IF(H966&lt;&gt;0,"x"," ")</f>
        <v xml:space="preserve"> </v>
      </c>
      <c r="D966" s="553"/>
      <c r="E966" s="727" t="s">
        <v>3612</v>
      </c>
      <c r="F966" s="600" t="s">
        <v>2113</v>
      </c>
      <c r="G966" s="205"/>
      <c r="H966" s="556"/>
      <c r="I966" s="556">
        <f ca="1">SUMIF(chang3pm,chitiet!$A966,slchang3pm)</f>
        <v>0</v>
      </c>
      <c r="J966" s="556">
        <f ca="1">SUMIF(changct,chitiet!$A966,slchangct)</f>
        <v>0</v>
      </c>
      <c r="K966" s="556">
        <f ca="1">SUMIF(chang3p1m,chitiet!$A966,slchang3p1m)</f>
        <v>0</v>
      </c>
      <c r="L966" s="556">
        <f ca="1">SUMIF(chang1pm,chitiet!$A966,slchang1pm)</f>
        <v>0</v>
      </c>
      <c r="M966" s="556"/>
      <c r="N966" s="556">
        <f ca="1">SUMIF(changHTDL,chitiet!$A966,Slchanghtdl)</f>
        <v>0</v>
      </c>
      <c r="O966" s="556"/>
      <c r="P966" s="554"/>
      <c r="Q966" s="554"/>
      <c r="R966" s="554"/>
      <c r="S966" s="601">
        <f>SUM(S967:S972)</f>
        <v>1170000</v>
      </c>
      <c r="T966" s="601">
        <f>SUM(T967:T972)</f>
        <v>198000</v>
      </c>
      <c r="U966" s="602">
        <f>SUM(U967:U972)</f>
        <v>0</v>
      </c>
    </row>
    <row r="967" spans="1:21" s="552" customFormat="1" ht="15" customHeight="1">
      <c r="A967" s="621"/>
      <c r="B967" s="622" t="s">
        <v>1432</v>
      </c>
      <c r="C967" s="558" t="str">
        <f t="shared" ref="C967:C972" si="511">C966</f>
        <v xml:space="preserve"> </v>
      </c>
      <c r="D967" s="553"/>
      <c r="E967" s="694" t="str">
        <f>VLOOKUP($B967,dongia1,DG!$C$5,)</f>
        <v>Boulon mắt 16x250+ 1 long đền vuông D18-50x50x3/Zn</v>
      </c>
      <c r="F967" s="555" t="str">
        <f>VLOOKUP($B967,dongia1,DG!$D$5,)</f>
        <v>bộ</v>
      </c>
      <c r="G967" s="205">
        <v>2</v>
      </c>
      <c r="H967" s="556"/>
      <c r="I967" s="556">
        <f t="shared" ref="I967:O972" ca="1" si="512">I$966*$G967</f>
        <v>0</v>
      </c>
      <c r="J967" s="556">
        <f t="shared" ca="1" si="512"/>
        <v>0</v>
      </c>
      <c r="K967" s="556">
        <f t="shared" ca="1" si="512"/>
        <v>0</v>
      </c>
      <c r="L967" s="556">
        <f t="shared" ca="1" si="512"/>
        <v>0</v>
      </c>
      <c r="M967" s="556"/>
      <c r="N967" s="556">
        <f t="shared" ca="1" si="512"/>
        <v>0</v>
      </c>
      <c r="O967" s="556">
        <f t="shared" si="512"/>
        <v>0</v>
      </c>
      <c r="P967" s="182">
        <f>VLOOKUP($B967,dongia1,DG!$F$5,)</f>
        <v>29200</v>
      </c>
      <c r="Q967" s="554"/>
      <c r="R967" s="554"/>
      <c r="S967" s="113">
        <f t="shared" ref="S967:S972" si="513">$G967*P967</f>
        <v>58400</v>
      </c>
      <c r="T967" s="113">
        <f t="shared" ref="T967:T972" si="514">$G967*Q967</f>
        <v>0</v>
      </c>
      <c r="U967" s="557">
        <f t="shared" ref="U967:U972" si="515">$G967*R967</f>
        <v>0</v>
      </c>
    </row>
    <row r="968" spans="1:21" s="552" customFormat="1" ht="15" customHeight="1">
      <c r="A968" s="621"/>
      <c r="B968" s="622" t="s">
        <v>1005</v>
      </c>
      <c r="C968" s="558" t="str">
        <f t="shared" si="511"/>
        <v xml:space="preserve"> </v>
      </c>
      <c r="D968" s="553"/>
      <c r="E968" s="694" t="str">
        <f>VLOOKUP($B968,dongia1,DG!$C$5,)</f>
        <v>Sứ chằng</v>
      </c>
      <c r="F968" s="555" t="str">
        <f>VLOOKUP($B968,dongia1,DG!$D$5,)</f>
        <v>cái</v>
      </c>
      <c r="G968" s="205">
        <v>2</v>
      </c>
      <c r="H968" s="556"/>
      <c r="I968" s="556">
        <f t="shared" ca="1" si="512"/>
        <v>0</v>
      </c>
      <c r="J968" s="556">
        <f t="shared" ca="1" si="512"/>
        <v>0</v>
      </c>
      <c r="K968" s="556">
        <f t="shared" ca="1" si="512"/>
        <v>0</v>
      </c>
      <c r="L968" s="556">
        <f t="shared" ca="1" si="512"/>
        <v>0</v>
      </c>
      <c r="M968" s="556"/>
      <c r="N968" s="556">
        <f t="shared" ca="1" si="512"/>
        <v>0</v>
      </c>
      <c r="O968" s="556">
        <f t="shared" si="512"/>
        <v>0</v>
      </c>
      <c r="P968" s="182">
        <f>VLOOKUP($B968,dongia1,DG!$F$5,)</f>
        <v>38000</v>
      </c>
      <c r="Q968" s="554"/>
      <c r="R968" s="554"/>
      <c r="S968" s="113">
        <f t="shared" si="513"/>
        <v>76000</v>
      </c>
      <c r="T968" s="113">
        <f t="shared" si="514"/>
        <v>0</v>
      </c>
      <c r="U968" s="557">
        <f t="shared" si="515"/>
        <v>0</v>
      </c>
    </row>
    <row r="969" spans="1:21" s="552" customFormat="1" ht="15" customHeight="1">
      <c r="A969" s="621"/>
      <c r="B969" s="622" t="s">
        <v>204</v>
      </c>
      <c r="C969" s="558" t="str">
        <f t="shared" si="511"/>
        <v xml:space="preserve"> </v>
      </c>
      <c r="D969" s="553"/>
      <c r="E969" s="694" t="str">
        <f>VLOOKUP($B969,dongia1,DG!$C$5,)</f>
        <v>Kẹp cáp 3 boulon</v>
      </c>
      <c r="F969" s="555" t="str">
        <f>VLOOKUP($B969,dongia1,DG!$D$5,)</f>
        <v>cái</v>
      </c>
      <c r="G969" s="205">
        <v>12</v>
      </c>
      <c r="H969" s="556"/>
      <c r="I969" s="556">
        <f t="shared" ca="1" si="512"/>
        <v>0</v>
      </c>
      <c r="J969" s="556">
        <f t="shared" ca="1" si="512"/>
        <v>0</v>
      </c>
      <c r="K969" s="556">
        <f t="shared" ca="1" si="512"/>
        <v>0</v>
      </c>
      <c r="L969" s="556">
        <f t="shared" ca="1" si="512"/>
        <v>0</v>
      </c>
      <c r="M969" s="556"/>
      <c r="N969" s="556">
        <f t="shared" ca="1" si="512"/>
        <v>0</v>
      </c>
      <c r="O969" s="556">
        <f t="shared" si="512"/>
        <v>0</v>
      </c>
      <c r="P969" s="182">
        <f>VLOOKUP($B969,dongia1,DG!$F$5,)</f>
        <v>38000</v>
      </c>
      <c r="Q969" s="554"/>
      <c r="R969" s="554"/>
      <c r="S969" s="113">
        <f t="shared" si="513"/>
        <v>456000</v>
      </c>
      <c r="T969" s="113">
        <f t="shared" si="514"/>
        <v>0</v>
      </c>
      <c r="U969" s="557">
        <f t="shared" si="515"/>
        <v>0</v>
      </c>
    </row>
    <row r="970" spans="1:21" s="552" customFormat="1" ht="15" customHeight="1">
      <c r="A970" s="621"/>
      <c r="B970" s="622" t="s">
        <v>374</v>
      </c>
      <c r="C970" s="558" t="str">
        <f t="shared" si="511"/>
        <v xml:space="preserve"> </v>
      </c>
      <c r="D970" s="553"/>
      <c r="E970" s="694" t="str">
        <f>VLOOKUP($B970,dongia1,DG!$C$5,)</f>
        <v>Cáp thép 5/8"</v>
      </c>
      <c r="F970" s="555" t="str">
        <f>VLOOKUP($B970,dongia1,DG!$D$5,)</f>
        <v>kg</v>
      </c>
      <c r="G970" s="205">
        <v>12</v>
      </c>
      <c r="H970" s="556"/>
      <c r="I970" s="556">
        <f t="shared" ca="1" si="512"/>
        <v>0</v>
      </c>
      <c r="J970" s="556">
        <f t="shared" ca="1" si="512"/>
        <v>0</v>
      </c>
      <c r="K970" s="556">
        <f t="shared" ca="1" si="512"/>
        <v>0</v>
      </c>
      <c r="L970" s="556">
        <f t="shared" ca="1" si="512"/>
        <v>0</v>
      </c>
      <c r="M970" s="556"/>
      <c r="N970" s="556">
        <f t="shared" ca="1" si="512"/>
        <v>0</v>
      </c>
      <c r="O970" s="556">
        <f t="shared" si="512"/>
        <v>0</v>
      </c>
      <c r="P970" s="182">
        <f>VLOOKUP($B970,dongia1,DG!$F$5,)</f>
        <v>47300</v>
      </c>
      <c r="Q970" s="182"/>
      <c r="R970" s="554"/>
      <c r="S970" s="113">
        <f t="shared" si="513"/>
        <v>567600</v>
      </c>
      <c r="T970" s="113">
        <f t="shared" si="514"/>
        <v>0</v>
      </c>
      <c r="U970" s="557">
        <f t="shared" si="515"/>
        <v>0</v>
      </c>
    </row>
    <row r="971" spans="1:21" s="552" customFormat="1" ht="15" customHeight="1">
      <c r="A971" s="621"/>
      <c r="B971" s="622" t="s">
        <v>537</v>
      </c>
      <c r="C971" s="558" t="str">
        <f t="shared" si="511"/>
        <v xml:space="preserve"> </v>
      </c>
      <c r="D971" s="553"/>
      <c r="E971" s="694" t="str">
        <f>VLOOKUP($B971,dongia1,DG!$C$5,)</f>
        <v>Yếm đỡ dày chằng F1/2 mạ Zn (Yếm cáp)</v>
      </c>
      <c r="F971" s="555" t="str">
        <f>VLOOKUP($B971,dongia1,DG!$D$5,)</f>
        <v>cái</v>
      </c>
      <c r="G971" s="205">
        <v>2</v>
      </c>
      <c r="H971" s="556"/>
      <c r="I971" s="556">
        <f t="shared" ca="1" si="512"/>
        <v>0</v>
      </c>
      <c r="J971" s="556">
        <f t="shared" ca="1" si="512"/>
        <v>0</v>
      </c>
      <c r="K971" s="556">
        <f t="shared" ca="1" si="512"/>
        <v>0</v>
      </c>
      <c r="L971" s="556">
        <f t="shared" ca="1" si="512"/>
        <v>0</v>
      </c>
      <c r="M971" s="556"/>
      <c r="N971" s="556">
        <f t="shared" ca="1" si="512"/>
        <v>0</v>
      </c>
      <c r="O971" s="556">
        <f t="shared" si="512"/>
        <v>0</v>
      </c>
      <c r="P971" s="182">
        <f>VLOOKUP($B971,dongia1,DG!$F$5,)</f>
        <v>6000</v>
      </c>
      <c r="Q971" s="182"/>
      <c r="R971" s="554"/>
      <c r="S971" s="113">
        <f t="shared" si="513"/>
        <v>12000</v>
      </c>
      <c r="T971" s="113">
        <f t="shared" si="514"/>
        <v>0</v>
      </c>
      <c r="U971" s="557">
        <f t="shared" si="515"/>
        <v>0</v>
      </c>
    </row>
    <row r="972" spans="1:21" s="552" customFormat="1" ht="15" customHeight="1">
      <c r="A972" s="621"/>
      <c r="B972" s="622" t="s">
        <v>1828</v>
      </c>
      <c r="C972" s="558" t="str">
        <f t="shared" si="511"/>
        <v xml:space="preserve"> </v>
      </c>
      <c r="D972" s="553"/>
      <c r="E972" s="694" t="str">
        <f>VLOOKUP($B972,dongia1,DG!$C$5,)</f>
        <v>Lắp bộ dây néo</v>
      </c>
      <c r="F972" s="555" t="str">
        <f>VLOOKUP($B972,dongia1,DG!$D$5,)</f>
        <v>bộ</v>
      </c>
      <c r="G972" s="205">
        <v>2</v>
      </c>
      <c r="H972" s="556"/>
      <c r="I972" s="556">
        <f t="shared" ca="1" si="512"/>
        <v>0</v>
      </c>
      <c r="J972" s="556">
        <f t="shared" ca="1" si="512"/>
        <v>0</v>
      </c>
      <c r="K972" s="556">
        <f t="shared" ca="1" si="512"/>
        <v>0</v>
      </c>
      <c r="L972" s="556">
        <f t="shared" ca="1" si="512"/>
        <v>0</v>
      </c>
      <c r="M972" s="556"/>
      <c r="N972" s="556">
        <f t="shared" ca="1" si="512"/>
        <v>0</v>
      </c>
      <c r="O972" s="556">
        <f t="shared" si="512"/>
        <v>0</v>
      </c>
      <c r="P972" s="554"/>
      <c r="Q972" s="182">
        <f>VLOOKUP($B972,dongia1,DG!$G$5,)</f>
        <v>99000</v>
      </c>
      <c r="R972" s="554"/>
      <c r="S972" s="113">
        <f t="shared" si="513"/>
        <v>0</v>
      </c>
      <c r="T972" s="113">
        <f t="shared" si="514"/>
        <v>198000</v>
      </c>
      <c r="U972" s="557">
        <f t="shared" si="515"/>
        <v>0</v>
      </c>
    </row>
    <row r="973" spans="1:21" s="858" customFormat="1">
      <c r="A973" s="847" t="s">
        <v>1725</v>
      </c>
      <c r="B973" s="848"/>
      <c r="C973" s="849" t="str">
        <f>IF(H973&lt;&gt;0,"x"," ")</f>
        <v xml:space="preserve"> </v>
      </c>
      <c r="D973" s="850"/>
      <c r="E973" s="851" t="s">
        <v>3613</v>
      </c>
      <c r="F973" s="852" t="s">
        <v>2113</v>
      </c>
      <c r="G973" s="853"/>
      <c r="H973" s="854"/>
      <c r="I973" s="854">
        <f ca="1">SUMIF(chang3pm,chitiet!$A973,slchang3pm)</f>
        <v>0</v>
      </c>
      <c r="J973" s="854">
        <f ca="1">SUMIF(changct,chitiet!$A973,slchangct)</f>
        <v>0</v>
      </c>
      <c r="K973" s="854">
        <f ca="1">SUMIF(chang3p1m,chitiet!$A973,slchang3p1m)</f>
        <v>0</v>
      </c>
      <c r="L973" s="854">
        <f ca="1">SUMIF(chang1pm,chitiet!$A973,slchang1pm)</f>
        <v>0</v>
      </c>
      <c r="M973" s="854"/>
      <c r="N973" s="854">
        <f ca="1">SUMIF(changHTDL,chitiet!$A973,Slchanghtdl)</f>
        <v>0</v>
      </c>
      <c r="O973" s="854"/>
      <c r="P973" s="855"/>
      <c r="Q973" s="855"/>
      <c r="R973" s="855"/>
      <c r="S973" s="856">
        <f>SUM(S974:S979)</f>
        <v>1512278.4</v>
      </c>
      <c r="T973" s="856">
        <f>SUM(T974:T979)</f>
        <v>198000</v>
      </c>
      <c r="U973" s="857">
        <f>SUM(U974:U979)</f>
        <v>0</v>
      </c>
    </row>
    <row r="974" spans="1:21">
      <c r="B974" s="696" t="s">
        <v>1432</v>
      </c>
      <c r="C974" s="631" t="str">
        <f t="shared" ref="C974:C979" si="516">C973</f>
        <v xml:space="preserve"> </v>
      </c>
      <c r="D974" s="698"/>
      <c r="E974" s="699" t="str">
        <f>VLOOKUP($B974,dongia1,DG!$C$5,)</f>
        <v>Boulon mắt 16x250+ 1 long đền vuông D18-50x50x3/Zn</v>
      </c>
      <c r="F974" s="700" t="str">
        <f>VLOOKUP($B974,dongia1,DG!$D$5,)</f>
        <v>bộ</v>
      </c>
      <c r="G974" s="762">
        <v>4</v>
      </c>
      <c r="H974" s="701"/>
      <c r="I974" s="701">
        <f t="shared" ref="I974:O979" ca="1" si="517">I$973*$G974</f>
        <v>0</v>
      </c>
      <c r="J974" s="701">
        <f t="shared" ca="1" si="517"/>
        <v>0</v>
      </c>
      <c r="K974" s="701">
        <f t="shared" ca="1" si="517"/>
        <v>0</v>
      </c>
      <c r="L974" s="701">
        <f t="shared" ca="1" si="517"/>
        <v>0</v>
      </c>
      <c r="M974" s="701"/>
      <c r="N974" s="701">
        <f t="shared" ca="1" si="517"/>
        <v>0</v>
      </c>
      <c r="O974" s="701">
        <f t="shared" si="517"/>
        <v>0</v>
      </c>
      <c r="P974" s="702">
        <f>VLOOKUP($B974,dongia1,DG!$F$5,)</f>
        <v>29200</v>
      </c>
      <c r="Q974" s="703"/>
      <c r="R974" s="703"/>
      <c r="S974" s="702">
        <f t="shared" ref="S974:S979" si="518">$G974*P974</f>
        <v>116800</v>
      </c>
      <c r="T974" s="702">
        <f t="shared" ref="T974:T979" si="519">$G974*Q974</f>
        <v>0</v>
      </c>
      <c r="U974" s="704">
        <f t="shared" ref="U974:U979" si="520">$G974*R974</f>
        <v>0</v>
      </c>
    </row>
    <row r="975" spans="1:21">
      <c r="B975" s="696" t="s">
        <v>1005</v>
      </c>
      <c r="C975" s="631" t="str">
        <f t="shared" si="516"/>
        <v xml:space="preserve"> </v>
      </c>
      <c r="D975" s="698"/>
      <c r="E975" s="699" t="str">
        <f>VLOOKUP($B975,dongia1,DG!$C$5,)</f>
        <v>Sứ chằng</v>
      </c>
      <c r="F975" s="700" t="str">
        <f>VLOOKUP($B975,dongia1,DG!$D$5,)</f>
        <v>cái</v>
      </c>
      <c r="G975" s="762">
        <v>4</v>
      </c>
      <c r="H975" s="701"/>
      <c r="I975" s="701">
        <f t="shared" ca="1" si="517"/>
        <v>0</v>
      </c>
      <c r="J975" s="701">
        <f t="shared" ca="1" si="517"/>
        <v>0</v>
      </c>
      <c r="K975" s="701">
        <f t="shared" ca="1" si="517"/>
        <v>0</v>
      </c>
      <c r="L975" s="701">
        <f t="shared" ca="1" si="517"/>
        <v>0</v>
      </c>
      <c r="M975" s="701"/>
      <c r="N975" s="701">
        <f t="shared" ca="1" si="517"/>
        <v>0</v>
      </c>
      <c r="O975" s="701">
        <f t="shared" si="517"/>
        <v>0</v>
      </c>
      <c r="P975" s="702">
        <f>VLOOKUP($B975,dongia1,DG!$F$5,)</f>
        <v>38000</v>
      </c>
      <c r="Q975" s="703"/>
      <c r="R975" s="703"/>
      <c r="S975" s="702">
        <f t="shared" si="518"/>
        <v>152000</v>
      </c>
      <c r="T975" s="702">
        <f t="shared" si="519"/>
        <v>0</v>
      </c>
      <c r="U975" s="704">
        <f t="shared" si="520"/>
        <v>0</v>
      </c>
    </row>
    <row r="976" spans="1:21">
      <c r="B976" s="696" t="s">
        <v>204</v>
      </c>
      <c r="C976" s="631" t="str">
        <f t="shared" si="516"/>
        <v xml:space="preserve"> </v>
      </c>
      <c r="D976" s="698"/>
      <c r="E976" s="699" t="str">
        <f>VLOOKUP($B976,dongia1,DG!$C$5,)</f>
        <v>Kẹp cáp 3 boulon</v>
      </c>
      <c r="F976" s="700" t="str">
        <f>VLOOKUP($B976,dongia1,DG!$D$5,)</f>
        <v>cái</v>
      </c>
      <c r="G976" s="762">
        <v>24</v>
      </c>
      <c r="H976" s="701"/>
      <c r="I976" s="701">
        <f t="shared" ca="1" si="517"/>
        <v>0</v>
      </c>
      <c r="J976" s="701">
        <f t="shared" ca="1" si="517"/>
        <v>0</v>
      </c>
      <c r="K976" s="701">
        <f t="shared" ca="1" si="517"/>
        <v>0</v>
      </c>
      <c r="L976" s="701">
        <f t="shared" ca="1" si="517"/>
        <v>0</v>
      </c>
      <c r="M976" s="701"/>
      <c r="N976" s="701">
        <f t="shared" ca="1" si="517"/>
        <v>0</v>
      </c>
      <c r="O976" s="701">
        <f t="shared" si="517"/>
        <v>0</v>
      </c>
      <c r="P976" s="702">
        <f>VLOOKUP($B976,dongia1,DG!$F$5,)</f>
        <v>38000</v>
      </c>
      <c r="Q976" s="703"/>
      <c r="R976" s="703"/>
      <c r="S976" s="702">
        <f t="shared" si="518"/>
        <v>912000</v>
      </c>
      <c r="T976" s="702">
        <f t="shared" si="519"/>
        <v>0</v>
      </c>
      <c r="U976" s="704">
        <f t="shared" si="520"/>
        <v>0</v>
      </c>
    </row>
    <row r="977" spans="1:21">
      <c r="B977" s="696" t="s">
        <v>374</v>
      </c>
      <c r="C977" s="631" t="str">
        <f t="shared" si="516"/>
        <v xml:space="preserve"> </v>
      </c>
      <c r="D977" s="698"/>
      <c r="E977" s="699" t="str">
        <f>VLOOKUP($B977,dongia1,DG!$C$5,)</f>
        <v>Cáp thép 5/8"</v>
      </c>
      <c r="F977" s="700" t="str">
        <f>VLOOKUP($B977,dongia1,DG!$D$5,)</f>
        <v>kg</v>
      </c>
      <c r="G977" s="762">
        <f>8*2*0.438</f>
        <v>7.008</v>
      </c>
      <c r="H977" s="701"/>
      <c r="I977" s="701">
        <f t="shared" ca="1" si="517"/>
        <v>0</v>
      </c>
      <c r="J977" s="701">
        <f t="shared" ca="1" si="517"/>
        <v>0</v>
      </c>
      <c r="K977" s="701">
        <f t="shared" ca="1" si="517"/>
        <v>0</v>
      </c>
      <c r="L977" s="701">
        <f t="shared" ca="1" si="517"/>
        <v>0</v>
      </c>
      <c r="M977" s="701"/>
      <c r="N977" s="701">
        <f t="shared" ca="1" si="517"/>
        <v>0</v>
      </c>
      <c r="O977" s="701">
        <f t="shared" si="517"/>
        <v>0</v>
      </c>
      <c r="P977" s="702">
        <f>VLOOKUP($B977,dongia1,DG!$F$5,)</f>
        <v>47300</v>
      </c>
      <c r="Q977" s="702"/>
      <c r="R977" s="703"/>
      <c r="S977" s="702">
        <f t="shared" si="518"/>
        <v>331478.40000000002</v>
      </c>
      <c r="T977" s="702">
        <f t="shared" si="519"/>
        <v>0</v>
      </c>
      <c r="U977" s="704">
        <f t="shared" si="520"/>
        <v>0</v>
      </c>
    </row>
    <row r="978" spans="1:21">
      <c r="B978" s="696" t="s">
        <v>537</v>
      </c>
      <c r="C978" s="631" t="str">
        <f t="shared" si="516"/>
        <v xml:space="preserve"> </v>
      </c>
      <c r="D978" s="698"/>
      <c r="E978" s="699" t="str">
        <f>VLOOKUP($B978,dongia1,DG!$C$5,)</f>
        <v>Yếm đỡ dày chằng F1/2 mạ Zn (Yếm cáp)</v>
      </c>
      <c r="F978" s="700" t="str">
        <f>VLOOKUP($B978,dongia1,DG!$D$5,)</f>
        <v>cái</v>
      </c>
      <c r="G978" s="762">
        <f>4*0</f>
        <v>0</v>
      </c>
      <c r="H978" s="701"/>
      <c r="I978" s="701">
        <f t="shared" ca="1" si="517"/>
        <v>0</v>
      </c>
      <c r="J978" s="701">
        <f t="shared" ca="1" si="517"/>
        <v>0</v>
      </c>
      <c r="K978" s="701">
        <f t="shared" ca="1" si="517"/>
        <v>0</v>
      </c>
      <c r="L978" s="701">
        <f t="shared" ca="1" si="517"/>
        <v>0</v>
      </c>
      <c r="M978" s="701"/>
      <c r="N978" s="701">
        <f t="shared" ca="1" si="517"/>
        <v>0</v>
      </c>
      <c r="O978" s="701">
        <f t="shared" si="517"/>
        <v>0</v>
      </c>
      <c r="P978" s="702">
        <f>VLOOKUP($B978,dongia1,DG!$F$5,)</f>
        <v>6000</v>
      </c>
      <c r="Q978" s="702"/>
      <c r="R978" s="703"/>
      <c r="S978" s="702">
        <f t="shared" si="518"/>
        <v>0</v>
      </c>
      <c r="T978" s="702">
        <f t="shared" si="519"/>
        <v>0</v>
      </c>
      <c r="U978" s="704">
        <f t="shared" si="520"/>
        <v>0</v>
      </c>
    </row>
    <row r="979" spans="1:21">
      <c r="B979" s="696" t="s">
        <v>1828</v>
      </c>
      <c r="C979" s="631" t="str">
        <f t="shared" si="516"/>
        <v xml:space="preserve"> </v>
      </c>
      <c r="D979" s="698"/>
      <c r="E979" s="699" t="str">
        <f>VLOOKUP($B979,dongia1,DG!$C$5,)</f>
        <v>Lắp bộ dây néo</v>
      </c>
      <c r="F979" s="700" t="str">
        <f>VLOOKUP($B979,dongia1,DG!$D$5,)</f>
        <v>bộ</v>
      </c>
      <c r="G979" s="762">
        <v>2</v>
      </c>
      <c r="H979" s="701"/>
      <c r="I979" s="701">
        <f t="shared" ca="1" si="517"/>
        <v>0</v>
      </c>
      <c r="J979" s="701">
        <f t="shared" ca="1" si="517"/>
        <v>0</v>
      </c>
      <c r="K979" s="701">
        <f t="shared" ca="1" si="517"/>
        <v>0</v>
      </c>
      <c r="L979" s="701">
        <f t="shared" ca="1" si="517"/>
        <v>0</v>
      </c>
      <c r="M979" s="701"/>
      <c r="N979" s="701">
        <f t="shared" ca="1" si="517"/>
        <v>0</v>
      </c>
      <c r="O979" s="701">
        <f t="shared" si="517"/>
        <v>0</v>
      </c>
      <c r="P979" s="703"/>
      <c r="Q979" s="702">
        <f>VLOOKUP($B979,dongia1,DG!$G$5,)</f>
        <v>99000</v>
      </c>
      <c r="R979" s="703"/>
      <c r="S979" s="702">
        <f t="shared" si="518"/>
        <v>0</v>
      </c>
      <c r="T979" s="702">
        <f t="shared" si="519"/>
        <v>198000</v>
      </c>
      <c r="U979" s="704">
        <f t="shared" si="520"/>
        <v>0</v>
      </c>
    </row>
    <row r="980" spans="1:21" s="552" customFormat="1" ht="15" customHeight="1">
      <c r="A980" s="621" t="s">
        <v>80</v>
      </c>
      <c r="B980" s="622"/>
      <c r="C980" s="558" t="str">
        <f>IF(H980&lt;&gt;0,"x"," ")</f>
        <v xml:space="preserve"> </v>
      </c>
      <c r="D980" s="553"/>
      <c r="E980" s="727" t="s">
        <v>3614</v>
      </c>
      <c r="F980" s="600" t="s">
        <v>2113</v>
      </c>
      <c r="G980" s="205"/>
      <c r="H980" s="556"/>
      <c r="I980" s="556">
        <f ca="1">SUMIF(chang3pm,chitiet!$A980,slchang3pm)</f>
        <v>0</v>
      </c>
      <c r="J980" s="556">
        <f ca="1">SUMIF(changct,chitiet!$A980,slchangct)</f>
        <v>0</v>
      </c>
      <c r="K980" s="556">
        <f ca="1">SUMIF(chang3p1m,chitiet!$A980,slchang3p1m)</f>
        <v>0</v>
      </c>
      <c r="L980" s="556">
        <f ca="1">SUMIF(chang1pm,chitiet!$A980,slchang1pm)</f>
        <v>0</v>
      </c>
      <c r="M980" s="556"/>
      <c r="N980" s="556">
        <f ca="1">SUMIF(changHTDL,chitiet!$A980,Slchanghtdl)</f>
        <v>0</v>
      </c>
      <c r="O980" s="556"/>
      <c r="P980" s="554"/>
      <c r="Q980" s="554"/>
      <c r="R980" s="554"/>
      <c r="S980" s="601">
        <f>SUM(S981:S991)</f>
        <v>2439550</v>
      </c>
      <c r="T980" s="601">
        <f>SUM(T981:T991)</f>
        <v>176000</v>
      </c>
      <c r="U980" s="602">
        <f>SUM(U981:U991)</f>
        <v>0</v>
      </c>
    </row>
    <row r="981" spans="1:21" s="552" customFormat="1" ht="15" customHeight="1">
      <c r="A981" s="621"/>
      <c r="B981" s="622" t="s">
        <v>233</v>
      </c>
      <c r="C981" s="558" t="str">
        <f t="shared" ref="C981:C991" si="521">C980</f>
        <v xml:space="preserve"> </v>
      </c>
      <c r="D981" s="553"/>
      <c r="E981" s="694" t="str">
        <f>VLOOKUP($B981,dongia1,DG!$C$5,)&amp;"-Fe8x100 nhúng kẽm"</f>
        <v>Cổ dê Þ 195 nẹp trụ-Fe8x100 nhúng kẽm</v>
      </c>
      <c r="F981" s="555" t="str">
        <f>VLOOKUP($B981,dongia1,DG!$D$5,)</f>
        <v>bộ</v>
      </c>
      <c r="G981" s="205">
        <v>1</v>
      </c>
      <c r="H981" s="556"/>
      <c r="I981" s="556">
        <f t="shared" ref="I981:O991" ca="1" si="522">I$980*$G981</f>
        <v>0</v>
      </c>
      <c r="J981" s="556">
        <f t="shared" ca="1" si="522"/>
        <v>0</v>
      </c>
      <c r="K981" s="556">
        <f t="shared" ca="1" si="522"/>
        <v>0</v>
      </c>
      <c r="L981" s="556">
        <f t="shared" ca="1" si="522"/>
        <v>0</v>
      </c>
      <c r="M981" s="556"/>
      <c r="N981" s="556">
        <f t="shared" ca="1" si="522"/>
        <v>0</v>
      </c>
      <c r="O981" s="556">
        <f t="shared" si="522"/>
        <v>0</v>
      </c>
      <c r="P981" s="182">
        <f>VLOOKUP($B981,dongia1,DG!$F$5,)</f>
        <v>213700</v>
      </c>
      <c r="Q981" s="554"/>
      <c r="R981" s="554"/>
      <c r="S981" s="113">
        <f t="shared" ref="S981:S991" si="523">$G981*P981</f>
        <v>213700</v>
      </c>
      <c r="T981" s="113">
        <f t="shared" ref="T981:T991" si="524">$G981*Q981</f>
        <v>0</v>
      </c>
      <c r="U981" s="557">
        <f t="shared" ref="U981:U991" si="525">$G981*R981</f>
        <v>0</v>
      </c>
    </row>
    <row r="982" spans="1:21" s="552" customFormat="1" ht="15" customHeight="1">
      <c r="A982" s="621"/>
      <c r="B982" s="622" t="s">
        <v>1005</v>
      </c>
      <c r="C982" s="558" t="str">
        <f t="shared" si="521"/>
        <v xml:space="preserve"> </v>
      </c>
      <c r="D982" s="553"/>
      <c r="E982" s="694" t="str">
        <f>VLOOKUP($B982,dongia1,DG!$C$5,)</f>
        <v>Sứ chằng</v>
      </c>
      <c r="F982" s="555" t="str">
        <f>VLOOKUP($B982,dongia1,DG!$D$5,)</f>
        <v>cái</v>
      </c>
      <c r="G982" s="205">
        <v>1</v>
      </c>
      <c r="H982" s="556"/>
      <c r="I982" s="556">
        <f t="shared" ca="1" si="522"/>
        <v>0</v>
      </c>
      <c r="J982" s="556">
        <f t="shared" ca="1" si="522"/>
        <v>0</v>
      </c>
      <c r="K982" s="556">
        <f t="shared" ca="1" si="522"/>
        <v>0</v>
      </c>
      <c r="L982" s="556">
        <f t="shared" ca="1" si="522"/>
        <v>0</v>
      </c>
      <c r="M982" s="556"/>
      <c r="N982" s="556">
        <f t="shared" ca="1" si="522"/>
        <v>0</v>
      </c>
      <c r="O982" s="556">
        <f t="shared" si="522"/>
        <v>0</v>
      </c>
      <c r="P982" s="182">
        <f>VLOOKUP($B982,dongia1,DG!$F$5,)</f>
        <v>38000</v>
      </c>
      <c r="Q982" s="554"/>
      <c r="R982" s="554"/>
      <c r="S982" s="113">
        <f t="shared" si="523"/>
        <v>38000</v>
      </c>
      <c r="T982" s="113">
        <f t="shared" si="524"/>
        <v>0</v>
      </c>
      <c r="U982" s="557">
        <f t="shared" si="525"/>
        <v>0</v>
      </c>
    </row>
    <row r="983" spans="1:21" s="552" customFormat="1" ht="15" customHeight="1">
      <c r="A983" s="621"/>
      <c r="B983" s="622" t="s">
        <v>204</v>
      </c>
      <c r="C983" s="558" t="str">
        <f t="shared" si="521"/>
        <v xml:space="preserve"> </v>
      </c>
      <c r="D983" s="553"/>
      <c r="E983" s="694" t="str">
        <f>VLOOKUP($B983,dongia1,DG!$C$5,)</f>
        <v>Kẹp cáp 3 boulon</v>
      </c>
      <c r="F983" s="555" t="str">
        <f>VLOOKUP($B983,dongia1,DG!$D$5,)</f>
        <v>cái</v>
      </c>
      <c r="G983" s="205">
        <v>8</v>
      </c>
      <c r="H983" s="556"/>
      <c r="I983" s="556">
        <f t="shared" ca="1" si="522"/>
        <v>0</v>
      </c>
      <c r="J983" s="556">
        <f t="shared" ca="1" si="522"/>
        <v>0</v>
      </c>
      <c r="K983" s="556">
        <f t="shared" ca="1" si="522"/>
        <v>0</v>
      </c>
      <c r="L983" s="556">
        <f t="shared" ca="1" si="522"/>
        <v>0</v>
      </c>
      <c r="M983" s="556"/>
      <c r="N983" s="556">
        <f t="shared" ca="1" si="522"/>
        <v>0</v>
      </c>
      <c r="O983" s="556">
        <f t="shared" si="522"/>
        <v>0</v>
      </c>
      <c r="P983" s="182">
        <f>VLOOKUP($B983,dongia1,DG!$F$5,)</f>
        <v>38000</v>
      </c>
      <c r="Q983" s="554"/>
      <c r="R983" s="554"/>
      <c r="S983" s="113">
        <f t="shared" si="523"/>
        <v>304000</v>
      </c>
      <c r="T983" s="113">
        <f t="shared" si="524"/>
        <v>0</v>
      </c>
      <c r="U983" s="557">
        <f t="shared" si="525"/>
        <v>0</v>
      </c>
    </row>
    <row r="984" spans="1:21" s="552" customFormat="1" ht="15" customHeight="1">
      <c r="A984" s="621"/>
      <c r="B984" s="622" t="s">
        <v>968</v>
      </c>
      <c r="C984" s="558" t="str">
        <f t="shared" si="521"/>
        <v xml:space="preserve"> </v>
      </c>
      <c r="D984" s="553"/>
      <c r="E984" s="694" t="str">
        <f>VLOOKUP($B984,dongia1,DG!$C$5,)</f>
        <v>Kẹp hotline 4/0</v>
      </c>
      <c r="F984" s="555" t="str">
        <f>VLOOKUP($B984,dongia1,DG!$D$5,)</f>
        <v>cái</v>
      </c>
      <c r="G984" s="205">
        <v>15</v>
      </c>
      <c r="H984" s="556"/>
      <c r="I984" s="556">
        <f t="shared" ca="1" si="522"/>
        <v>0</v>
      </c>
      <c r="J984" s="556">
        <f t="shared" ca="1" si="522"/>
        <v>0</v>
      </c>
      <c r="K984" s="556">
        <f t="shared" ca="1" si="522"/>
        <v>0</v>
      </c>
      <c r="L984" s="556">
        <f t="shared" ca="1" si="522"/>
        <v>0</v>
      </c>
      <c r="M984" s="556"/>
      <c r="N984" s="556">
        <f t="shared" ca="1" si="522"/>
        <v>0</v>
      </c>
      <c r="O984" s="556">
        <f t="shared" si="522"/>
        <v>0</v>
      </c>
      <c r="P984" s="182">
        <f>VLOOKUP($B984,dongia1,DG!$F$5,)</f>
        <v>112000</v>
      </c>
      <c r="Q984" s="182"/>
      <c r="R984" s="554"/>
      <c r="S984" s="113">
        <f t="shared" si="523"/>
        <v>1680000</v>
      </c>
      <c r="T984" s="113">
        <f t="shared" si="524"/>
        <v>0</v>
      </c>
      <c r="U984" s="557">
        <f t="shared" si="525"/>
        <v>0</v>
      </c>
    </row>
    <row r="985" spans="1:21" s="552" customFormat="1" ht="15" customHeight="1">
      <c r="A985" s="621"/>
      <c r="B985" s="622" t="s">
        <v>593</v>
      </c>
      <c r="C985" s="558" t="str">
        <f t="shared" si="521"/>
        <v xml:space="preserve"> </v>
      </c>
      <c r="D985" s="553"/>
      <c r="E985" s="694" t="str">
        <f>VLOOKUP($B985,dongia1,DG!$C$5,)</f>
        <v>Sắt dẹt 60 x 6</v>
      </c>
      <c r="F985" s="555" t="str">
        <f>VLOOKUP($B985,dongia1,DG!$D$5,)</f>
        <v>kg</v>
      </c>
      <c r="G985" s="205">
        <v>2</v>
      </c>
      <c r="H985" s="556"/>
      <c r="I985" s="556">
        <f t="shared" ca="1" si="522"/>
        <v>0</v>
      </c>
      <c r="J985" s="556">
        <f t="shared" ca="1" si="522"/>
        <v>0</v>
      </c>
      <c r="K985" s="556">
        <f t="shared" ca="1" si="522"/>
        <v>0</v>
      </c>
      <c r="L985" s="556">
        <f t="shared" ca="1" si="522"/>
        <v>0</v>
      </c>
      <c r="M985" s="556"/>
      <c r="N985" s="556">
        <f t="shared" ca="1" si="522"/>
        <v>0</v>
      </c>
      <c r="O985" s="556">
        <f t="shared" si="522"/>
        <v>0</v>
      </c>
      <c r="P985" s="182">
        <f>VLOOKUP($B985,dongia1,DG!$F$5,)</f>
        <v>31625</v>
      </c>
      <c r="Q985" s="182"/>
      <c r="R985" s="554"/>
      <c r="S985" s="113">
        <f t="shared" ref="S985:U987" si="526">$G985*P985</f>
        <v>63250</v>
      </c>
      <c r="T985" s="113">
        <f t="shared" si="526"/>
        <v>0</v>
      </c>
      <c r="U985" s="557">
        <f t="shared" si="526"/>
        <v>0</v>
      </c>
    </row>
    <row r="986" spans="1:21" s="552" customFormat="1" ht="15" customHeight="1">
      <c r="A986" s="621"/>
      <c r="B986" s="622" t="s">
        <v>143</v>
      </c>
      <c r="C986" s="558" t="str">
        <f t="shared" si="521"/>
        <v xml:space="preserve"> </v>
      </c>
      <c r="D986" s="553"/>
      <c r="E986" s="694" t="str">
        <f>VLOOKUP($B986,dongia1,DG!$C$5,)</f>
        <v xml:space="preserve">Móc treo chữ U F16 dài </v>
      </c>
      <c r="F986" s="555" t="str">
        <f>VLOOKUP($B986,dongia1,DG!$D$5,)</f>
        <v>cái</v>
      </c>
      <c r="G986" s="205">
        <v>1</v>
      </c>
      <c r="H986" s="556"/>
      <c r="I986" s="556">
        <f t="shared" ca="1" si="522"/>
        <v>0</v>
      </c>
      <c r="J986" s="556">
        <f t="shared" ca="1" si="522"/>
        <v>0</v>
      </c>
      <c r="K986" s="556">
        <f t="shared" ca="1" si="522"/>
        <v>0</v>
      </c>
      <c r="L986" s="556">
        <f t="shared" ca="1" si="522"/>
        <v>0</v>
      </c>
      <c r="M986" s="556"/>
      <c r="N986" s="556">
        <f t="shared" ca="1" si="522"/>
        <v>0</v>
      </c>
      <c r="O986" s="556">
        <f t="shared" si="522"/>
        <v>0</v>
      </c>
      <c r="P986" s="182">
        <f>VLOOKUP($B986,dongia1,DG!$F$5,)</f>
        <v>28000</v>
      </c>
      <c r="Q986" s="182"/>
      <c r="R986" s="554"/>
      <c r="S986" s="113">
        <f t="shared" si="526"/>
        <v>28000</v>
      </c>
      <c r="T986" s="113">
        <f t="shared" si="526"/>
        <v>0</v>
      </c>
      <c r="U986" s="557">
        <f t="shared" si="526"/>
        <v>0</v>
      </c>
    </row>
    <row r="987" spans="1:21" s="552" customFormat="1" ht="15" customHeight="1">
      <c r="A987" s="621"/>
      <c r="B987" s="622" t="s">
        <v>1770</v>
      </c>
      <c r="C987" s="558" t="str">
        <f t="shared" si="521"/>
        <v xml:space="preserve"> </v>
      </c>
      <c r="D987" s="553"/>
      <c r="E987" s="694" t="str">
        <f>VLOOKUP($B987,dongia1,DG!$C$5,)</f>
        <v>Boulon 16x100VRS+ 4 long đền vuông D18-50x50x3/Zn</v>
      </c>
      <c r="F987" s="555" t="str">
        <f>VLOOKUP($B987,dongia1,DG!$D$5,)</f>
        <v>bộ</v>
      </c>
      <c r="G987" s="205">
        <v>2</v>
      </c>
      <c r="H987" s="556"/>
      <c r="I987" s="556">
        <f t="shared" ca="1" si="522"/>
        <v>0</v>
      </c>
      <c r="J987" s="556">
        <f t="shared" ca="1" si="522"/>
        <v>0</v>
      </c>
      <c r="K987" s="556">
        <f t="shared" ca="1" si="522"/>
        <v>0</v>
      </c>
      <c r="L987" s="556">
        <f t="shared" ca="1" si="522"/>
        <v>0</v>
      </c>
      <c r="M987" s="556"/>
      <c r="N987" s="556">
        <f t="shared" ca="1" si="522"/>
        <v>0</v>
      </c>
      <c r="O987" s="556">
        <f t="shared" si="522"/>
        <v>0</v>
      </c>
      <c r="P987" s="182">
        <f>VLOOKUP($B987,dongia1,DG!$F$5,)</f>
        <v>22800</v>
      </c>
      <c r="Q987" s="182">
        <f>VLOOKUP($B987,dongia1,DG!$G$5,)</f>
        <v>0</v>
      </c>
      <c r="R987" s="554"/>
      <c r="S987" s="113">
        <f t="shared" si="526"/>
        <v>45600</v>
      </c>
      <c r="T987" s="113">
        <f t="shared" si="526"/>
        <v>0</v>
      </c>
      <c r="U987" s="557">
        <f t="shared" si="526"/>
        <v>0</v>
      </c>
    </row>
    <row r="988" spans="1:21" s="552" customFormat="1" ht="15" customHeight="1">
      <c r="A988" s="621"/>
      <c r="B988" s="622" t="s">
        <v>537</v>
      </c>
      <c r="C988" s="558" t="str">
        <f t="shared" si="521"/>
        <v xml:space="preserve"> </v>
      </c>
      <c r="D988" s="553"/>
      <c r="E988" s="694" t="str">
        <f>VLOOKUP($B988,dongia1,DG!$C$5,)</f>
        <v>Yếm đỡ dày chằng F1/2 mạ Zn (Yếm cáp)</v>
      </c>
      <c r="F988" s="555" t="str">
        <f>VLOOKUP($B988,dongia1,DG!$D$5,)</f>
        <v>cái</v>
      </c>
      <c r="G988" s="205">
        <v>2</v>
      </c>
      <c r="H988" s="556"/>
      <c r="I988" s="556">
        <f t="shared" ca="1" si="522"/>
        <v>0</v>
      </c>
      <c r="J988" s="556">
        <f t="shared" ca="1" si="522"/>
        <v>0</v>
      </c>
      <c r="K988" s="556">
        <f t="shared" ca="1" si="522"/>
        <v>0</v>
      </c>
      <c r="L988" s="556">
        <f t="shared" ca="1" si="522"/>
        <v>0</v>
      </c>
      <c r="M988" s="556"/>
      <c r="N988" s="556">
        <f t="shared" ca="1" si="522"/>
        <v>0</v>
      </c>
      <c r="O988" s="556">
        <f t="shared" si="522"/>
        <v>0</v>
      </c>
      <c r="P988" s="182">
        <f>VLOOKUP($B988,dongia1,DG!$F$5,)</f>
        <v>6000</v>
      </c>
      <c r="Q988" s="182"/>
      <c r="R988" s="554"/>
      <c r="S988" s="113">
        <f t="shared" si="523"/>
        <v>12000</v>
      </c>
      <c r="T988" s="113">
        <f t="shared" si="524"/>
        <v>0</v>
      </c>
      <c r="U988" s="557">
        <f t="shared" si="525"/>
        <v>0</v>
      </c>
    </row>
    <row r="989" spans="1:21" s="552" customFormat="1" ht="15" customHeight="1">
      <c r="A989" s="621"/>
      <c r="B989" s="622" t="s">
        <v>538</v>
      </c>
      <c r="C989" s="558" t="str">
        <f t="shared" si="521"/>
        <v xml:space="preserve"> </v>
      </c>
      <c r="D989" s="553"/>
      <c r="E989" s="694" t="str">
        <f>VLOOKUP($B989,dongia1,DG!$C$5,)</f>
        <v>Máng che dây chằng dày 1,6mm 0,4x2000</v>
      </c>
      <c r="F989" s="555" t="str">
        <f>VLOOKUP($B989,dongia1,DG!$D$5,)</f>
        <v>cái</v>
      </c>
      <c r="G989" s="205">
        <v>1</v>
      </c>
      <c r="H989" s="556"/>
      <c r="I989" s="556">
        <f t="shared" ca="1" si="522"/>
        <v>0</v>
      </c>
      <c r="J989" s="556">
        <f t="shared" ca="1" si="522"/>
        <v>0</v>
      </c>
      <c r="K989" s="556">
        <f t="shared" ca="1" si="522"/>
        <v>0</v>
      </c>
      <c r="L989" s="556">
        <f t="shared" ca="1" si="522"/>
        <v>0</v>
      </c>
      <c r="M989" s="556"/>
      <c r="N989" s="556">
        <f t="shared" ca="1" si="522"/>
        <v>0</v>
      </c>
      <c r="O989" s="556">
        <f t="shared" si="522"/>
        <v>0</v>
      </c>
      <c r="P989" s="182">
        <f>VLOOKUP($B989,dongia1,DG!$F$5,)</f>
        <v>55000</v>
      </c>
      <c r="Q989" s="182"/>
      <c r="R989" s="554"/>
      <c r="S989" s="113">
        <f t="shared" si="523"/>
        <v>55000</v>
      </c>
      <c r="T989" s="113">
        <f t="shared" si="524"/>
        <v>0</v>
      </c>
      <c r="U989" s="557">
        <f t="shared" si="525"/>
        <v>0</v>
      </c>
    </row>
    <row r="990" spans="1:21" s="552" customFormat="1" ht="15" customHeight="1">
      <c r="A990" s="621"/>
      <c r="B990" s="622" t="s">
        <v>1828</v>
      </c>
      <c r="C990" s="558" t="str">
        <f t="shared" si="521"/>
        <v xml:space="preserve"> </v>
      </c>
      <c r="D990" s="553"/>
      <c r="E990" s="694" t="str">
        <f>VLOOKUP($B990,dongia1,DG!$C$5,)</f>
        <v>Lắp bộ dây néo</v>
      </c>
      <c r="F990" s="555" t="str">
        <f>VLOOKUP($B990,dongia1,DG!$D$5,)</f>
        <v>bộ</v>
      </c>
      <c r="G990" s="205">
        <v>1</v>
      </c>
      <c r="H990" s="556"/>
      <c r="I990" s="556">
        <f t="shared" ca="1" si="522"/>
        <v>0</v>
      </c>
      <c r="J990" s="556">
        <f t="shared" ca="1" si="522"/>
        <v>0</v>
      </c>
      <c r="K990" s="556">
        <f t="shared" ca="1" si="522"/>
        <v>0</v>
      </c>
      <c r="L990" s="556">
        <f t="shared" ca="1" si="522"/>
        <v>0</v>
      </c>
      <c r="M990" s="556"/>
      <c r="N990" s="556">
        <f t="shared" ca="1" si="522"/>
        <v>0</v>
      </c>
      <c r="O990" s="556">
        <f t="shared" si="522"/>
        <v>0</v>
      </c>
      <c r="P990" s="554"/>
      <c r="Q990" s="182">
        <f>VLOOKUP($B990,dongia1,DG!$G$5,)</f>
        <v>99000</v>
      </c>
      <c r="R990" s="554"/>
      <c r="S990" s="113">
        <f>$G990*P990</f>
        <v>0</v>
      </c>
      <c r="T990" s="113">
        <f>$G990*Q990</f>
        <v>99000</v>
      </c>
      <c r="U990" s="557">
        <f>$G990*R990</f>
        <v>0</v>
      </c>
    </row>
    <row r="991" spans="1:21" s="552" customFormat="1" ht="15" customHeight="1">
      <c r="A991" s="621"/>
      <c r="B991" s="622" t="s">
        <v>1301</v>
      </c>
      <c r="C991" s="558" t="str">
        <f t="shared" si="521"/>
        <v xml:space="preserve"> </v>
      </c>
      <c r="D991" s="553"/>
      <c r="E991" s="694" t="str">
        <f>VLOOKUP($B991,dongia1,DG!$C$5,)</f>
        <v>Lắp cổ dê</v>
      </c>
      <c r="F991" s="555" t="str">
        <f>VLOOKUP($B991,dongia1,DG!$D$5,)</f>
        <v>cái</v>
      </c>
      <c r="G991" s="205">
        <v>1</v>
      </c>
      <c r="H991" s="556"/>
      <c r="I991" s="556">
        <f t="shared" ca="1" si="522"/>
        <v>0</v>
      </c>
      <c r="J991" s="556">
        <f t="shared" ca="1" si="522"/>
        <v>0</v>
      </c>
      <c r="K991" s="556">
        <f t="shared" ca="1" si="522"/>
        <v>0</v>
      </c>
      <c r="L991" s="556">
        <f t="shared" ca="1" si="522"/>
        <v>0</v>
      </c>
      <c r="M991" s="556"/>
      <c r="N991" s="556">
        <f t="shared" ca="1" si="522"/>
        <v>0</v>
      </c>
      <c r="O991" s="556">
        <f t="shared" si="522"/>
        <v>0</v>
      </c>
      <c r="P991" s="554"/>
      <c r="Q991" s="182">
        <f>VLOOKUP($B991,dongia1,DG!$G$5,)</f>
        <v>77000</v>
      </c>
      <c r="R991" s="554"/>
      <c r="S991" s="113">
        <f t="shared" si="523"/>
        <v>0</v>
      </c>
      <c r="T991" s="113">
        <f t="shared" si="524"/>
        <v>77000</v>
      </c>
      <c r="U991" s="557">
        <f t="shared" si="525"/>
        <v>0</v>
      </c>
    </row>
    <row r="992" spans="1:21" s="552" customFormat="1" ht="15" customHeight="1">
      <c r="A992" s="621" t="s">
        <v>83</v>
      </c>
      <c r="B992" s="622"/>
      <c r="C992" s="558" t="str">
        <f>IF(H992&lt;&gt;0,"x"," ")</f>
        <v xml:space="preserve"> </v>
      </c>
      <c r="D992" s="553"/>
      <c r="E992" s="727" t="s">
        <v>3615</v>
      </c>
      <c r="F992" s="600" t="s">
        <v>2113</v>
      </c>
      <c r="G992" s="205"/>
      <c r="H992" s="556"/>
      <c r="I992" s="556">
        <f ca="1">SUMIF(chang3pm,chitiet!$A992,slchang3pm)</f>
        <v>0</v>
      </c>
      <c r="J992" s="556">
        <f ca="1">SUMIF(changct,chitiet!$A992,slchangct)</f>
        <v>0</v>
      </c>
      <c r="K992" s="556">
        <f ca="1">SUMIF(chang3p1m,chitiet!$A992,slchang3p1m)</f>
        <v>0</v>
      </c>
      <c r="L992" s="556">
        <f ca="1">SUMIF(chang1pm,chitiet!$A992,slchang1pm)</f>
        <v>0</v>
      </c>
      <c r="M992" s="556"/>
      <c r="N992" s="556">
        <f ca="1">SUMIF(changHTDL,chitiet!$A992,Slchanghtdl)</f>
        <v>0</v>
      </c>
      <c r="O992" s="556"/>
      <c r="P992" s="554"/>
      <c r="Q992" s="554"/>
      <c r="R992" s="554"/>
      <c r="S992" s="601">
        <f>SUM(S993:S1005)</f>
        <v>2296550</v>
      </c>
      <c r="T992" s="601">
        <f>SUM(T993:T1005)</f>
        <v>189161</v>
      </c>
      <c r="U992" s="602">
        <f>SUM(U993:U1005)</f>
        <v>0</v>
      </c>
    </row>
    <row r="993" spans="1:21" s="552" customFormat="1" ht="15" customHeight="1">
      <c r="A993" s="621"/>
      <c r="B993" s="622" t="s">
        <v>233</v>
      </c>
      <c r="C993" s="558" t="str">
        <f t="shared" ref="C993:C1005" si="527">C992</f>
        <v xml:space="preserve"> </v>
      </c>
      <c r="D993" s="553"/>
      <c r="E993" s="694" t="str">
        <f>VLOOKUP($B993,dongia1,DG!$C$5,)&amp;"-Fe8x100 nhúng kẽm"</f>
        <v>Cổ dê Þ 195 nẹp trụ-Fe8x100 nhúng kẽm</v>
      </c>
      <c r="F993" s="555" t="str">
        <f>VLOOKUP($B993,dongia1,DG!$D$5,)</f>
        <v>bộ</v>
      </c>
      <c r="G993" s="205">
        <v>1</v>
      </c>
      <c r="H993" s="556"/>
      <c r="I993" s="556">
        <f t="shared" ref="I993:O1005" ca="1" si="528">I$992*$G993</f>
        <v>0</v>
      </c>
      <c r="J993" s="556">
        <f t="shared" ca="1" si="528"/>
        <v>0</v>
      </c>
      <c r="K993" s="556">
        <f t="shared" ca="1" si="528"/>
        <v>0</v>
      </c>
      <c r="L993" s="556">
        <f t="shared" ca="1" si="528"/>
        <v>0</v>
      </c>
      <c r="M993" s="556"/>
      <c r="N993" s="556">
        <f t="shared" ca="1" si="528"/>
        <v>0</v>
      </c>
      <c r="O993" s="556">
        <f t="shared" si="528"/>
        <v>0</v>
      </c>
      <c r="P993" s="182">
        <f>VLOOKUP($B993,dongia1,DG!$F$5,)</f>
        <v>213700</v>
      </c>
      <c r="Q993" s="554"/>
      <c r="R993" s="554"/>
      <c r="S993" s="113">
        <f t="shared" ref="S993:S1004" si="529">$G993*P993</f>
        <v>213700</v>
      </c>
      <c r="T993" s="113">
        <f t="shared" ref="T993:T1004" si="530">$G993*Q993</f>
        <v>0</v>
      </c>
      <c r="U993" s="557">
        <f t="shared" ref="U993:U1004" si="531">$G993*R993</f>
        <v>0</v>
      </c>
    </row>
    <row r="994" spans="1:21" s="552" customFormat="1" ht="15" customHeight="1">
      <c r="A994" s="621"/>
      <c r="B994" s="622" t="s">
        <v>1005</v>
      </c>
      <c r="C994" s="558" t="str">
        <f t="shared" si="527"/>
        <v xml:space="preserve"> </v>
      </c>
      <c r="D994" s="553"/>
      <c r="E994" s="694" t="str">
        <f>VLOOKUP($B994,dongia1,DG!$C$5,)</f>
        <v>Sứ chằng</v>
      </c>
      <c r="F994" s="555" t="str">
        <f>VLOOKUP($B994,dongia1,DG!$D$5,)</f>
        <v>cái</v>
      </c>
      <c r="G994" s="205">
        <v>1</v>
      </c>
      <c r="H994" s="556"/>
      <c r="I994" s="556">
        <f t="shared" ca="1" si="528"/>
        <v>0</v>
      </c>
      <c r="J994" s="556">
        <f t="shared" ca="1" si="528"/>
        <v>0</v>
      </c>
      <c r="K994" s="556">
        <f t="shared" ca="1" si="528"/>
        <v>0</v>
      </c>
      <c r="L994" s="556">
        <f t="shared" ca="1" si="528"/>
        <v>0</v>
      </c>
      <c r="M994" s="556"/>
      <c r="N994" s="556">
        <f t="shared" ca="1" si="528"/>
        <v>0</v>
      </c>
      <c r="O994" s="556">
        <f t="shared" si="528"/>
        <v>0</v>
      </c>
      <c r="P994" s="182">
        <f>VLOOKUP($B994,dongia1,DG!$F$5,)</f>
        <v>38000</v>
      </c>
      <c r="Q994" s="554"/>
      <c r="R994" s="554"/>
      <c r="S994" s="113">
        <f t="shared" si="529"/>
        <v>38000</v>
      </c>
      <c r="T994" s="113">
        <f t="shared" si="530"/>
        <v>0</v>
      </c>
      <c r="U994" s="557">
        <f t="shared" si="531"/>
        <v>0</v>
      </c>
    </row>
    <row r="995" spans="1:21" s="552" customFormat="1" ht="15" customHeight="1">
      <c r="A995" s="621"/>
      <c r="B995" s="622" t="s">
        <v>204</v>
      </c>
      <c r="C995" s="558" t="str">
        <f t="shared" si="527"/>
        <v xml:space="preserve"> </v>
      </c>
      <c r="D995" s="553"/>
      <c r="E995" s="694" t="str">
        <f>VLOOKUP($B995,dongia1,DG!$C$5,)</f>
        <v>Kẹp cáp 3 boulon</v>
      </c>
      <c r="F995" s="555" t="str">
        <f>VLOOKUP($B995,dongia1,DG!$D$5,)</f>
        <v>cái</v>
      </c>
      <c r="G995" s="205">
        <v>8</v>
      </c>
      <c r="H995" s="556"/>
      <c r="I995" s="556">
        <f t="shared" ca="1" si="528"/>
        <v>0</v>
      </c>
      <c r="J995" s="556">
        <f t="shared" ca="1" si="528"/>
        <v>0</v>
      </c>
      <c r="K995" s="556">
        <f t="shared" ca="1" si="528"/>
        <v>0</v>
      </c>
      <c r="L995" s="556">
        <f t="shared" ca="1" si="528"/>
        <v>0</v>
      </c>
      <c r="M995" s="556"/>
      <c r="N995" s="556">
        <f t="shared" ca="1" si="528"/>
        <v>0</v>
      </c>
      <c r="O995" s="556">
        <f t="shared" si="528"/>
        <v>0</v>
      </c>
      <c r="P995" s="182">
        <f>VLOOKUP($B995,dongia1,DG!$F$5,)</f>
        <v>38000</v>
      </c>
      <c r="Q995" s="554"/>
      <c r="R995" s="554"/>
      <c r="S995" s="113">
        <f t="shared" si="529"/>
        <v>304000</v>
      </c>
      <c r="T995" s="113">
        <f t="shared" si="530"/>
        <v>0</v>
      </c>
      <c r="U995" s="557">
        <f t="shared" si="531"/>
        <v>0</v>
      </c>
    </row>
    <row r="996" spans="1:21" s="552" customFormat="1" ht="15" customHeight="1">
      <c r="A996" s="621"/>
      <c r="B996" s="622" t="s">
        <v>968</v>
      </c>
      <c r="C996" s="558" t="str">
        <f t="shared" si="527"/>
        <v xml:space="preserve"> </v>
      </c>
      <c r="D996" s="553"/>
      <c r="E996" s="694" t="str">
        <f>VLOOKUP($B996,dongia1,DG!$C$5,)</f>
        <v>Kẹp hotline 4/0</v>
      </c>
      <c r="F996" s="555" t="str">
        <f>VLOOKUP($B996,dongia1,DG!$D$5,)</f>
        <v>cái</v>
      </c>
      <c r="G996" s="205">
        <v>11</v>
      </c>
      <c r="H996" s="556"/>
      <c r="I996" s="556">
        <f t="shared" ca="1" si="528"/>
        <v>0</v>
      </c>
      <c r="J996" s="556">
        <f t="shared" ca="1" si="528"/>
        <v>0</v>
      </c>
      <c r="K996" s="556">
        <f t="shared" ca="1" si="528"/>
        <v>0</v>
      </c>
      <c r="L996" s="556">
        <f t="shared" ca="1" si="528"/>
        <v>0</v>
      </c>
      <c r="M996" s="556"/>
      <c r="N996" s="556">
        <f t="shared" ca="1" si="528"/>
        <v>0</v>
      </c>
      <c r="O996" s="556">
        <f t="shared" si="528"/>
        <v>0</v>
      </c>
      <c r="P996" s="182">
        <f>VLOOKUP($B996,dongia1,DG!$F$5,)</f>
        <v>112000</v>
      </c>
      <c r="Q996" s="182"/>
      <c r="R996" s="554"/>
      <c r="S996" s="113">
        <f t="shared" si="529"/>
        <v>1232000</v>
      </c>
      <c r="T996" s="113">
        <f t="shared" si="530"/>
        <v>0</v>
      </c>
      <c r="U996" s="557">
        <f t="shared" si="531"/>
        <v>0</v>
      </c>
    </row>
    <row r="997" spans="1:21" s="552" customFormat="1" ht="15" customHeight="1">
      <c r="A997" s="621"/>
      <c r="B997" s="622" t="s">
        <v>1451</v>
      </c>
      <c r="C997" s="558" t="str">
        <f t="shared" si="527"/>
        <v xml:space="preserve"> </v>
      </c>
      <c r="D997" s="553"/>
      <c r="E997" s="694" t="str">
        <f>VLOOKUP($B997,dongia1,DG!$C$5,)</f>
        <v>Bộ chống chằng hẹp Þ60/50x1500+2BL12x40+BL16x250/80</v>
      </c>
      <c r="F997" s="555" t="str">
        <f>VLOOKUP($B997,dongia1,DG!$D$5,)</f>
        <v>bộ</v>
      </c>
      <c r="G997" s="205">
        <v>1</v>
      </c>
      <c r="H997" s="556"/>
      <c r="I997" s="556">
        <f t="shared" ca="1" si="528"/>
        <v>0</v>
      </c>
      <c r="J997" s="556">
        <f t="shared" ca="1" si="528"/>
        <v>0</v>
      </c>
      <c r="K997" s="556">
        <f t="shared" ca="1" si="528"/>
        <v>0</v>
      </c>
      <c r="L997" s="556">
        <f t="shared" ca="1" si="528"/>
        <v>0</v>
      </c>
      <c r="M997" s="556"/>
      <c r="N997" s="556">
        <f t="shared" ca="1" si="528"/>
        <v>0</v>
      </c>
      <c r="O997" s="556">
        <f t="shared" si="528"/>
        <v>0</v>
      </c>
      <c r="P997" s="182">
        <f>VLOOKUP($B997,dongia1,DG!$F$5,)</f>
        <v>305000</v>
      </c>
      <c r="Q997" s="182"/>
      <c r="R997" s="554"/>
      <c r="S997" s="113">
        <f t="shared" si="529"/>
        <v>305000</v>
      </c>
      <c r="T997" s="113">
        <f t="shared" si="530"/>
        <v>0</v>
      </c>
      <c r="U997" s="557">
        <f t="shared" si="531"/>
        <v>0</v>
      </c>
    </row>
    <row r="998" spans="1:21" s="552" customFormat="1" ht="15" customHeight="1">
      <c r="A998" s="621"/>
      <c r="B998" s="622" t="s">
        <v>593</v>
      </c>
      <c r="C998" s="558" t="str">
        <f t="shared" si="527"/>
        <v xml:space="preserve"> </v>
      </c>
      <c r="D998" s="553"/>
      <c r="E998" s="694" t="str">
        <f>VLOOKUP($B998,dongia1,DG!$C$5,)</f>
        <v>Sắt dẹt 60 x 6</v>
      </c>
      <c r="F998" s="555" t="str">
        <f>VLOOKUP($B998,dongia1,DG!$D$5,)</f>
        <v>kg</v>
      </c>
      <c r="G998" s="205">
        <v>2</v>
      </c>
      <c r="H998" s="556"/>
      <c r="I998" s="556">
        <f t="shared" ca="1" si="528"/>
        <v>0</v>
      </c>
      <c r="J998" s="556">
        <f t="shared" ca="1" si="528"/>
        <v>0</v>
      </c>
      <c r="K998" s="556">
        <f t="shared" ca="1" si="528"/>
        <v>0</v>
      </c>
      <c r="L998" s="556">
        <f t="shared" ca="1" si="528"/>
        <v>0</v>
      </c>
      <c r="M998" s="556"/>
      <c r="N998" s="556">
        <f t="shared" ca="1" si="528"/>
        <v>0</v>
      </c>
      <c r="O998" s="556">
        <f t="shared" si="528"/>
        <v>0</v>
      </c>
      <c r="P998" s="182">
        <f>VLOOKUP($B998,dongia1,DG!$F$5,)</f>
        <v>31625</v>
      </c>
      <c r="Q998" s="182"/>
      <c r="R998" s="554"/>
      <c r="S998" s="113">
        <f t="shared" si="529"/>
        <v>63250</v>
      </c>
      <c r="T998" s="113">
        <f t="shared" si="530"/>
        <v>0</v>
      </c>
      <c r="U998" s="557">
        <f t="shared" si="531"/>
        <v>0</v>
      </c>
    </row>
    <row r="999" spans="1:21" s="552" customFormat="1" ht="15" customHeight="1">
      <c r="A999" s="621"/>
      <c r="B999" s="622" t="s">
        <v>143</v>
      </c>
      <c r="C999" s="558" t="str">
        <f t="shared" si="527"/>
        <v xml:space="preserve"> </v>
      </c>
      <c r="D999" s="553"/>
      <c r="E999" s="694" t="str">
        <f>VLOOKUP($B999,dongia1,DG!$C$5,)</f>
        <v xml:space="preserve">Móc treo chữ U F16 dài </v>
      </c>
      <c r="F999" s="555" t="str">
        <f>VLOOKUP($B999,dongia1,DG!$D$5,)</f>
        <v>cái</v>
      </c>
      <c r="G999" s="205">
        <v>1</v>
      </c>
      <c r="H999" s="556"/>
      <c r="I999" s="556">
        <f t="shared" ca="1" si="528"/>
        <v>0</v>
      </c>
      <c r="J999" s="556">
        <f t="shared" ca="1" si="528"/>
        <v>0</v>
      </c>
      <c r="K999" s="556">
        <f t="shared" ca="1" si="528"/>
        <v>0</v>
      </c>
      <c r="L999" s="556">
        <f t="shared" ca="1" si="528"/>
        <v>0</v>
      </c>
      <c r="M999" s="556"/>
      <c r="N999" s="556">
        <f t="shared" ca="1" si="528"/>
        <v>0</v>
      </c>
      <c r="O999" s="556">
        <f t="shared" si="528"/>
        <v>0</v>
      </c>
      <c r="P999" s="182">
        <f>VLOOKUP($B999,dongia1,DG!$F$5,)</f>
        <v>28000</v>
      </c>
      <c r="Q999" s="182"/>
      <c r="R999" s="554"/>
      <c r="S999" s="113">
        <f t="shared" si="529"/>
        <v>28000</v>
      </c>
      <c r="T999" s="113">
        <f t="shared" si="530"/>
        <v>0</v>
      </c>
      <c r="U999" s="557">
        <f t="shared" si="531"/>
        <v>0</v>
      </c>
    </row>
    <row r="1000" spans="1:21" s="552" customFormat="1" ht="15" customHeight="1">
      <c r="A1000" s="621"/>
      <c r="B1000" s="622" t="s">
        <v>1770</v>
      </c>
      <c r="C1000" s="558" t="str">
        <f t="shared" si="527"/>
        <v xml:space="preserve"> </v>
      </c>
      <c r="D1000" s="553"/>
      <c r="E1000" s="694" t="str">
        <f>VLOOKUP($B1000,dongia1,DG!$C$5,)</f>
        <v>Boulon 16x100VRS+ 4 long đền vuông D18-50x50x3/Zn</v>
      </c>
      <c r="F1000" s="555" t="str">
        <f>VLOOKUP($B1000,dongia1,DG!$D$5,)</f>
        <v>bộ</v>
      </c>
      <c r="G1000" s="205">
        <v>2</v>
      </c>
      <c r="H1000" s="556"/>
      <c r="I1000" s="556">
        <f t="shared" ca="1" si="528"/>
        <v>0</v>
      </c>
      <c r="J1000" s="556">
        <f t="shared" ca="1" si="528"/>
        <v>0</v>
      </c>
      <c r="K1000" s="556">
        <f t="shared" ca="1" si="528"/>
        <v>0</v>
      </c>
      <c r="L1000" s="556">
        <f t="shared" ca="1" si="528"/>
        <v>0</v>
      </c>
      <c r="M1000" s="556"/>
      <c r="N1000" s="556">
        <f t="shared" ca="1" si="528"/>
        <v>0</v>
      </c>
      <c r="O1000" s="556">
        <f t="shared" si="528"/>
        <v>0</v>
      </c>
      <c r="P1000" s="182">
        <f>VLOOKUP($B1000,dongia1,DG!$F$5,)</f>
        <v>22800</v>
      </c>
      <c r="Q1000" s="182">
        <f>VLOOKUP($B1000,dongia1,DG!$G$5,)</f>
        <v>0</v>
      </c>
      <c r="R1000" s="554"/>
      <c r="S1000" s="113">
        <f t="shared" si="529"/>
        <v>45600</v>
      </c>
      <c r="T1000" s="113">
        <f t="shared" si="530"/>
        <v>0</v>
      </c>
      <c r="U1000" s="557">
        <f t="shared" si="531"/>
        <v>0</v>
      </c>
    </row>
    <row r="1001" spans="1:21" s="552" customFormat="1" ht="15" customHeight="1">
      <c r="A1001" s="621"/>
      <c r="B1001" s="622" t="s">
        <v>537</v>
      </c>
      <c r="C1001" s="558" t="str">
        <f t="shared" si="527"/>
        <v xml:space="preserve"> </v>
      </c>
      <c r="D1001" s="553"/>
      <c r="E1001" s="694" t="str">
        <f>VLOOKUP($B1001,dongia1,DG!$C$5,)</f>
        <v>Yếm đỡ dày chằng F1/2 mạ Zn (Yếm cáp)</v>
      </c>
      <c r="F1001" s="555" t="str">
        <f>VLOOKUP($B1001,dongia1,DG!$D$5,)</f>
        <v>cái</v>
      </c>
      <c r="G1001" s="205">
        <v>2</v>
      </c>
      <c r="H1001" s="556"/>
      <c r="I1001" s="556">
        <f t="shared" ca="1" si="528"/>
        <v>0</v>
      </c>
      <c r="J1001" s="556">
        <f t="shared" ca="1" si="528"/>
        <v>0</v>
      </c>
      <c r="K1001" s="556">
        <f t="shared" ca="1" si="528"/>
        <v>0</v>
      </c>
      <c r="L1001" s="556">
        <f t="shared" ca="1" si="528"/>
        <v>0</v>
      </c>
      <c r="M1001" s="556"/>
      <c r="N1001" s="556">
        <f t="shared" ca="1" si="528"/>
        <v>0</v>
      </c>
      <c r="O1001" s="556">
        <f t="shared" si="528"/>
        <v>0</v>
      </c>
      <c r="P1001" s="182">
        <f>VLOOKUP($B1001,dongia1,DG!$F$5,)</f>
        <v>6000</v>
      </c>
      <c r="Q1001" s="182"/>
      <c r="R1001" s="554"/>
      <c r="S1001" s="113">
        <f t="shared" si="529"/>
        <v>12000</v>
      </c>
      <c r="T1001" s="113">
        <f t="shared" si="530"/>
        <v>0</v>
      </c>
      <c r="U1001" s="557">
        <f t="shared" si="531"/>
        <v>0</v>
      </c>
    </row>
    <row r="1002" spans="1:21" s="552" customFormat="1" ht="15" customHeight="1">
      <c r="A1002" s="621"/>
      <c r="B1002" s="622" t="s">
        <v>538</v>
      </c>
      <c r="C1002" s="558" t="str">
        <f t="shared" si="527"/>
        <v xml:space="preserve"> </v>
      </c>
      <c r="D1002" s="553"/>
      <c r="E1002" s="694" t="str">
        <f>VLOOKUP($B1002,dongia1,DG!$C$5,)</f>
        <v>Máng che dây chằng dày 1,6mm 0,4x2000</v>
      </c>
      <c r="F1002" s="555" t="str">
        <f>VLOOKUP($B1002,dongia1,DG!$D$5,)</f>
        <v>cái</v>
      </c>
      <c r="G1002" s="205">
        <v>1</v>
      </c>
      <c r="H1002" s="556"/>
      <c r="I1002" s="556">
        <f t="shared" ca="1" si="528"/>
        <v>0</v>
      </c>
      <c r="J1002" s="556">
        <f t="shared" ca="1" si="528"/>
        <v>0</v>
      </c>
      <c r="K1002" s="556">
        <f t="shared" ca="1" si="528"/>
        <v>0</v>
      </c>
      <c r="L1002" s="556">
        <f t="shared" ca="1" si="528"/>
        <v>0</v>
      </c>
      <c r="M1002" s="556"/>
      <c r="N1002" s="556">
        <f t="shared" ca="1" si="528"/>
        <v>0</v>
      </c>
      <c r="O1002" s="556">
        <f t="shared" si="528"/>
        <v>0</v>
      </c>
      <c r="P1002" s="182">
        <f>VLOOKUP($B1002,dongia1,DG!$F$5,)</f>
        <v>55000</v>
      </c>
      <c r="Q1002" s="182"/>
      <c r="R1002" s="554"/>
      <c r="S1002" s="113">
        <f t="shared" si="529"/>
        <v>55000</v>
      </c>
      <c r="T1002" s="113">
        <f t="shared" si="530"/>
        <v>0</v>
      </c>
      <c r="U1002" s="557">
        <f t="shared" si="531"/>
        <v>0</v>
      </c>
    </row>
    <row r="1003" spans="1:21" s="552" customFormat="1" ht="15" customHeight="1">
      <c r="A1003" s="621"/>
      <c r="B1003" s="622" t="s">
        <v>1828</v>
      </c>
      <c r="C1003" s="558" t="str">
        <f t="shared" si="527"/>
        <v xml:space="preserve"> </v>
      </c>
      <c r="D1003" s="553"/>
      <c r="E1003" s="694" t="str">
        <f>VLOOKUP($B1003,dongia1,DG!$C$5,)</f>
        <v>Lắp bộ dây néo</v>
      </c>
      <c r="F1003" s="555" t="str">
        <f>VLOOKUP($B1003,dongia1,DG!$D$5,)</f>
        <v>bộ</v>
      </c>
      <c r="G1003" s="205">
        <v>1</v>
      </c>
      <c r="H1003" s="556"/>
      <c r="I1003" s="556">
        <f t="shared" ca="1" si="528"/>
        <v>0</v>
      </c>
      <c r="J1003" s="556">
        <f t="shared" ca="1" si="528"/>
        <v>0</v>
      </c>
      <c r="K1003" s="556">
        <f t="shared" ca="1" si="528"/>
        <v>0</v>
      </c>
      <c r="L1003" s="556">
        <f t="shared" ca="1" si="528"/>
        <v>0</v>
      </c>
      <c r="M1003" s="556"/>
      <c r="N1003" s="556">
        <f t="shared" ca="1" si="528"/>
        <v>0</v>
      </c>
      <c r="O1003" s="556">
        <f t="shared" si="528"/>
        <v>0</v>
      </c>
      <c r="P1003" s="554"/>
      <c r="Q1003" s="182">
        <f>VLOOKUP($B1003,dongia1,DG!$G$5,)</f>
        <v>99000</v>
      </c>
      <c r="R1003" s="554"/>
      <c r="S1003" s="113">
        <f t="shared" si="529"/>
        <v>0</v>
      </c>
      <c r="T1003" s="113">
        <f t="shared" si="530"/>
        <v>99000</v>
      </c>
      <c r="U1003" s="557">
        <f t="shared" si="531"/>
        <v>0</v>
      </c>
    </row>
    <row r="1004" spans="1:21" s="552" customFormat="1" ht="15" customHeight="1">
      <c r="A1004" s="621"/>
      <c r="B1004" s="622" t="s">
        <v>1301</v>
      </c>
      <c r="C1004" s="558" t="str">
        <f t="shared" si="527"/>
        <v xml:space="preserve"> </v>
      </c>
      <c r="D1004" s="553"/>
      <c r="E1004" s="694" t="str">
        <f>VLOOKUP($B1004,dongia1,DG!$C$5,)</f>
        <v>Lắp cổ dê</v>
      </c>
      <c r="F1004" s="555" t="str">
        <f>VLOOKUP($B1004,dongia1,DG!$D$5,)</f>
        <v>cái</v>
      </c>
      <c r="G1004" s="205">
        <v>1</v>
      </c>
      <c r="H1004" s="556"/>
      <c r="I1004" s="556">
        <f t="shared" ca="1" si="528"/>
        <v>0</v>
      </c>
      <c r="J1004" s="556">
        <f t="shared" ca="1" si="528"/>
        <v>0</v>
      </c>
      <c r="K1004" s="556">
        <f t="shared" ca="1" si="528"/>
        <v>0</v>
      </c>
      <c r="L1004" s="556">
        <f t="shared" ca="1" si="528"/>
        <v>0</v>
      </c>
      <c r="M1004" s="556"/>
      <c r="N1004" s="556">
        <f t="shared" ca="1" si="528"/>
        <v>0</v>
      </c>
      <c r="O1004" s="556">
        <f t="shared" si="528"/>
        <v>0</v>
      </c>
      <c r="P1004" s="554"/>
      <c r="Q1004" s="182">
        <f>VLOOKUP($B1004,dongia1,DG!$G$5,)</f>
        <v>77000</v>
      </c>
      <c r="R1004" s="554"/>
      <c r="S1004" s="113">
        <f t="shared" si="529"/>
        <v>0</v>
      </c>
      <c r="T1004" s="113">
        <f t="shared" si="530"/>
        <v>77000</v>
      </c>
      <c r="U1004" s="557">
        <f t="shared" si="531"/>
        <v>0</v>
      </c>
    </row>
    <row r="1005" spans="1:21" s="552" customFormat="1" ht="15" customHeight="1">
      <c r="A1005" s="621"/>
      <c r="B1005" s="622" t="s">
        <v>1601</v>
      </c>
      <c r="C1005" s="558" t="str">
        <f t="shared" si="527"/>
        <v xml:space="preserve"> </v>
      </c>
      <c r="D1005" s="553"/>
      <c r="E1005" s="694" t="str">
        <f>VLOOKUP($B1005,dongia1,DG!$C$5,)</f>
        <v>Lắp bộ chống lệch</v>
      </c>
      <c r="F1005" s="555" t="str">
        <f>VLOOKUP($B1005,dongia1,DG!$D$5,)</f>
        <v>bộ</v>
      </c>
      <c r="G1005" s="205">
        <v>1</v>
      </c>
      <c r="H1005" s="556"/>
      <c r="I1005" s="556">
        <f t="shared" ca="1" si="528"/>
        <v>0</v>
      </c>
      <c r="J1005" s="556">
        <f t="shared" ca="1" si="528"/>
        <v>0</v>
      </c>
      <c r="K1005" s="556">
        <f t="shared" ca="1" si="528"/>
        <v>0</v>
      </c>
      <c r="L1005" s="556">
        <f t="shared" ca="1" si="528"/>
        <v>0</v>
      </c>
      <c r="M1005" s="556"/>
      <c r="N1005" s="556">
        <f t="shared" ca="1" si="528"/>
        <v>0</v>
      </c>
      <c r="O1005" s="556">
        <f t="shared" si="528"/>
        <v>0</v>
      </c>
      <c r="P1005" s="554"/>
      <c r="Q1005" s="182">
        <f>VLOOKUP($B1005,dongia1,DG!$G$5,)</f>
        <v>13161</v>
      </c>
      <c r="R1005" s="554"/>
      <c r="S1005" s="113">
        <f>$G1005*P1005</f>
        <v>0</v>
      </c>
      <c r="T1005" s="113">
        <f>$G1005*Q1005</f>
        <v>13161</v>
      </c>
      <c r="U1005" s="557">
        <f>$G1005*R1005</f>
        <v>0</v>
      </c>
    </row>
    <row r="1006" spans="1:21" s="552" customFormat="1" ht="15" customHeight="1">
      <c r="A1006" s="621" t="s">
        <v>84</v>
      </c>
      <c r="B1006" s="622"/>
      <c r="C1006" s="558" t="str">
        <f>IF(H1006&lt;&gt;0,"x"," ")</f>
        <v xml:space="preserve"> </v>
      </c>
      <c r="D1006" s="553"/>
      <c r="E1006" s="727" t="s">
        <v>3616</v>
      </c>
      <c r="F1006" s="600" t="s">
        <v>2113</v>
      </c>
      <c r="G1006" s="205"/>
      <c r="H1006" s="556"/>
      <c r="I1006" s="556">
        <f ca="1">SUMIF(chang3pm,chitiet!$A1006,slchang3pm)</f>
        <v>0</v>
      </c>
      <c r="J1006" s="556">
        <f ca="1">SUMIF(changct,chitiet!$A1006,slchangct)</f>
        <v>0</v>
      </c>
      <c r="K1006" s="556">
        <f ca="1">SUMIF(chang3p1m,chitiet!$A1006,slchang3p1m)</f>
        <v>0</v>
      </c>
      <c r="L1006" s="556">
        <f ca="1">SUMIF(chang1pm,chitiet!$A1006,slchang1pm)</f>
        <v>0</v>
      </c>
      <c r="M1006" s="556"/>
      <c r="N1006" s="556">
        <f ca="1">SUMIF(changHTDL,chitiet!$A1006,Slchanghtdl)</f>
        <v>0</v>
      </c>
      <c r="O1006" s="556"/>
      <c r="P1006" s="554"/>
      <c r="Q1006" s="554"/>
      <c r="R1006" s="554"/>
      <c r="S1006" s="601">
        <f>SUM(S1007:S1018)</f>
        <v>4462900</v>
      </c>
      <c r="T1006" s="601">
        <f>SUM(T1007:T1018)</f>
        <v>352000</v>
      </c>
      <c r="U1006" s="602">
        <f>SUM(U1007:U1018)</f>
        <v>0</v>
      </c>
    </row>
    <row r="1007" spans="1:21" s="552" customFormat="1" ht="15" customHeight="1">
      <c r="A1007" s="621"/>
      <c r="B1007" s="622" t="s">
        <v>233</v>
      </c>
      <c r="C1007" s="558" t="str">
        <f t="shared" ref="C1007:C1018" si="532">C1006</f>
        <v xml:space="preserve"> </v>
      </c>
      <c r="D1007" s="553"/>
      <c r="E1007" s="694" t="str">
        <f>VLOOKUP($B1007,dongia1,DG!$C$5,)&amp;"-Fe8x100 nhúng kẽm"</f>
        <v>Cổ dê Þ 195 nẹp trụ-Fe8x100 nhúng kẽm</v>
      </c>
      <c r="F1007" s="555" t="str">
        <f>VLOOKUP($B1007,dongia1,DG!$D$5,)</f>
        <v>bộ</v>
      </c>
      <c r="G1007" s="205">
        <v>1</v>
      </c>
      <c r="H1007" s="556"/>
      <c r="I1007" s="556">
        <f t="shared" ref="I1007:O1018" ca="1" si="533">I$1006*$G1007</f>
        <v>0</v>
      </c>
      <c r="J1007" s="556">
        <f t="shared" ca="1" si="533"/>
        <v>0</v>
      </c>
      <c r="K1007" s="556">
        <f t="shared" ca="1" si="533"/>
        <v>0</v>
      </c>
      <c r="L1007" s="556">
        <f t="shared" ca="1" si="533"/>
        <v>0</v>
      </c>
      <c r="M1007" s="556"/>
      <c r="N1007" s="556">
        <f t="shared" ca="1" si="533"/>
        <v>0</v>
      </c>
      <c r="O1007" s="556">
        <f t="shared" si="533"/>
        <v>0</v>
      </c>
      <c r="P1007" s="182">
        <f>VLOOKUP($B1007,dongia1,DG!$F$5,)</f>
        <v>213700</v>
      </c>
      <c r="Q1007" s="554"/>
      <c r="R1007" s="554"/>
      <c r="S1007" s="113">
        <f t="shared" ref="S1007:S1018" si="534">$G1007*P1007</f>
        <v>213700</v>
      </c>
      <c r="T1007" s="113">
        <f t="shared" ref="T1007:T1018" si="535">$G1007*Q1007</f>
        <v>0</v>
      </c>
      <c r="U1007" s="557">
        <f t="shared" ref="U1007:U1018" si="536">$G1007*R1007</f>
        <v>0</v>
      </c>
    </row>
    <row r="1008" spans="1:21" s="552" customFormat="1" ht="15" customHeight="1">
      <c r="A1008" s="621"/>
      <c r="B1008" s="622" t="s">
        <v>845</v>
      </c>
      <c r="C1008" s="558" t="str">
        <f>C1007</f>
        <v xml:space="preserve"> </v>
      </c>
      <c r="D1008" s="553"/>
      <c r="E1008" s="694" t="str">
        <f>VLOOKUP($B1008,dongia1,DG!$C$5,)&amp;"-Fe8x100 nhúng kẽm"</f>
        <v>Cổ dê Þ 220 nẹp trụ-Fe8x100 nhúng kẽm</v>
      </c>
      <c r="F1008" s="555" t="str">
        <f>VLOOKUP($B1008,dongia1,DG!$D$5,)</f>
        <v>bộ</v>
      </c>
      <c r="G1008" s="205">
        <v>1</v>
      </c>
      <c r="H1008" s="556"/>
      <c r="I1008" s="556">
        <f t="shared" ca="1" si="533"/>
        <v>0</v>
      </c>
      <c r="J1008" s="556">
        <f t="shared" ca="1" si="533"/>
        <v>0</v>
      </c>
      <c r="K1008" s="556">
        <f t="shared" ca="1" si="533"/>
        <v>0</v>
      </c>
      <c r="L1008" s="556">
        <f t="shared" ca="1" si="533"/>
        <v>0</v>
      </c>
      <c r="M1008" s="556"/>
      <c r="N1008" s="556">
        <f t="shared" ca="1" si="533"/>
        <v>0</v>
      </c>
      <c r="O1008" s="556">
        <f t="shared" si="533"/>
        <v>0</v>
      </c>
      <c r="P1008" s="182">
        <f>VLOOKUP($B1008,dongia1,DG!$F$5,)</f>
        <v>245500</v>
      </c>
      <c r="Q1008" s="554"/>
      <c r="R1008" s="554"/>
      <c r="S1008" s="113">
        <f>$G1008*P1008</f>
        <v>245500</v>
      </c>
      <c r="T1008" s="113">
        <f>$G1008*Q1008</f>
        <v>0</v>
      </c>
      <c r="U1008" s="557">
        <f>$G1008*R1008</f>
        <v>0</v>
      </c>
    </row>
    <row r="1009" spans="1:21" s="552" customFormat="1" ht="15" customHeight="1">
      <c r="A1009" s="621"/>
      <c r="B1009" s="622" t="s">
        <v>1005</v>
      </c>
      <c r="C1009" s="558" t="str">
        <f>C1008</f>
        <v xml:space="preserve"> </v>
      </c>
      <c r="D1009" s="553"/>
      <c r="E1009" s="694" t="str">
        <f>VLOOKUP($B1009,dongia1,DG!$C$5,)</f>
        <v>Sứ chằng</v>
      </c>
      <c r="F1009" s="555" t="str">
        <f>VLOOKUP($B1009,dongia1,DG!$D$5,)</f>
        <v>cái</v>
      </c>
      <c r="G1009" s="205">
        <v>2</v>
      </c>
      <c r="H1009" s="556"/>
      <c r="I1009" s="556">
        <f t="shared" ca="1" si="533"/>
        <v>0</v>
      </c>
      <c r="J1009" s="556">
        <f t="shared" ca="1" si="533"/>
        <v>0</v>
      </c>
      <c r="K1009" s="556">
        <f t="shared" ca="1" si="533"/>
        <v>0</v>
      </c>
      <c r="L1009" s="556">
        <f t="shared" ca="1" si="533"/>
        <v>0</v>
      </c>
      <c r="M1009" s="556"/>
      <c r="N1009" s="556">
        <f t="shared" ca="1" si="533"/>
        <v>0</v>
      </c>
      <c r="O1009" s="556">
        <f t="shared" si="533"/>
        <v>0</v>
      </c>
      <c r="P1009" s="182">
        <f>VLOOKUP($B1009,dongia1,DG!$F$5,)</f>
        <v>38000</v>
      </c>
      <c r="Q1009" s="554"/>
      <c r="R1009" s="554"/>
      <c r="S1009" s="113">
        <f t="shared" si="534"/>
        <v>76000</v>
      </c>
      <c r="T1009" s="113">
        <f t="shared" si="535"/>
        <v>0</v>
      </c>
      <c r="U1009" s="557">
        <f t="shared" si="536"/>
        <v>0</v>
      </c>
    </row>
    <row r="1010" spans="1:21" s="552" customFormat="1" ht="15" customHeight="1">
      <c r="A1010" s="621"/>
      <c r="B1010" s="622" t="s">
        <v>204</v>
      </c>
      <c r="C1010" s="558" t="str">
        <f t="shared" si="532"/>
        <v xml:space="preserve"> </v>
      </c>
      <c r="D1010" s="553"/>
      <c r="E1010" s="694" t="str">
        <f>VLOOKUP($B1010,dongia1,DG!$C$5,)</f>
        <v>Kẹp cáp 3 boulon</v>
      </c>
      <c r="F1010" s="555" t="str">
        <f>VLOOKUP($B1010,dongia1,DG!$D$5,)</f>
        <v>cái</v>
      </c>
      <c r="G1010" s="205">
        <v>16</v>
      </c>
      <c r="H1010" s="556"/>
      <c r="I1010" s="556">
        <f t="shared" ca="1" si="533"/>
        <v>0</v>
      </c>
      <c r="J1010" s="556">
        <f t="shared" ca="1" si="533"/>
        <v>0</v>
      </c>
      <c r="K1010" s="556">
        <f t="shared" ca="1" si="533"/>
        <v>0</v>
      </c>
      <c r="L1010" s="556">
        <f t="shared" ca="1" si="533"/>
        <v>0</v>
      </c>
      <c r="M1010" s="556"/>
      <c r="N1010" s="556">
        <f t="shared" ca="1" si="533"/>
        <v>0</v>
      </c>
      <c r="O1010" s="556">
        <f t="shared" si="533"/>
        <v>0</v>
      </c>
      <c r="P1010" s="182">
        <f>VLOOKUP($B1010,dongia1,DG!$F$5,)</f>
        <v>38000</v>
      </c>
      <c r="Q1010" s="554"/>
      <c r="R1010" s="554"/>
      <c r="S1010" s="113">
        <f t="shared" si="534"/>
        <v>608000</v>
      </c>
      <c r="T1010" s="113">
        <f t="shared" si="535"/>
        <v>0</v>
      </c>
      <c r="U1010" s="557">
        <f t="shared" si="536"/>
        <v>0</v>
      </c>
    </row>
    <row r="1011" spans="1:21" s="552" customFormat="1" ht="15" customHeight="1">
      <c r="A1011" s="621"/>
      <c r="B1011" s="622" t="s">
        <v>968</v>
      </c>
      <c r="C1011" s="558" t="str">
        <f t="shared" si="532"/>
        <v xml:space="preserve"> </v>
      </c>
      <c r="D1011" s="553"/>
      <c r="E1011" s="694" t="str">
        <f>VLOOKUP($B1011,dongia1,DG!$C$5,)</f>
        <v>Kẹp hotline 4/0</v>
      </c>
      <c r="F1011" s="555" t="str">
        <f>VLOOKUP($B1011,dongia1,DG!$D$5,)</f>
        <v>cái</v>
      </c>
      <c r="G1011" s="205">
        <v>26</v>
      </c>
      <c r="H1011" s="556"/>
      <c r="I1011" s="556">
        <f t="shared" ca="1" si="533"/>
        <v>0</v>
      </c>
      <c r="J1011" s="556">
        <f t="shared" ca="1" si="533"/>
        <v>0</v>
      </c>
      <c r="K1011" s="556">
        <f t="shared" ca="1" si="533"/>
        <v>0</v>
      </c>
      <c r="L1011" s="556">
        <f t="shared" ca="1" si="533"/>
        <v>0</v>
      </c>
      <c r="M1011" s="556"/>
      <c r="N1011" s="556">
        <f t="shared" ca="1" si="533"/>
        <v>0</v>
      </c>
      <c r="O1011" s="556">
        <f t="shared" si="533"/>
        <v>0</v>
      </c>
      <c r="P1011" s="182">
        <f>VLOOKUP($B1011,dongia1,DG!$F$5,)</f>
        <v>112000</v>
      </c>
      <c r="Q1011" s="182"/>
      <c r="R1011" s="554"/>
      <c r="S1011" s="113">
        <f t="shared" si="534"/>
        <v>2912000</v>
      </c>
      <c r="T1011" s="113">
        <f t="shared" si="535"/>
        <v>0</v>
      </c>
      <c r="U1011" s="557">
        <f t="shared" si="536"/>
        <v>0</v>
      </c>
    </row>
    <row r="1012" spans="1:21" s="552" customFormat="1" ht="15" customHeight="1">
      <c r="A1012" s="621"/>
      <c r="B1012" s="622" t="s">
        <v>593</v>
      </c>
      <c r="C1012" s="558" t="str">
        <f t="shared" si="532"/>
        <v xml:space="preserve"> </v>
      </c>
      <c r="D1012" s="553"/>
      <c r="E1012" s="694" t="str">
        <f>VLOOKUP($B1012,dongia1,DG!$C$5,)</f>
        <v>Sắt dẹt 60 x 6</v>
      </c>
      <c r="F1012" s="555" t="str">
        <f>VLOOKUP($B1012,dongia1,DG!$D$5,)</f>
        <v>kg</v>
      </c>
      <c r="G1012" s="205">
        <v>4</v>
      </c>
      <c r="H1012" s="556"/>
      <c r="I1012" s="556">
        <f t="shared" ca="1" si="533"/>
        <v>0</v>
      </c>
      <c r="J1012" s="556">
        <f t="shared" ca="1" si="533"/>
        <v>0</v>
      </c>
      <c r="K1012" s="556">
        <f t="shared" ca="1" si="533"/>
        <v>0</v>
      </c>
      <c r="L1012" s="556">
        <f t="shared" ca="1" si="533"/>
        <v>0</v>
      </c>
      <c r="M1012" s="556"/>
      <c r="N1012" s="556">
        <f t="shared" ca="1" si="533"/>
        <v>0</v>
      </c>
      <c r="O1012" s="556">
        <f t="shared" si="533"/>
        <v>0</v>
      </c>
      <c r="P1012" s="182">
        <f>VLOOKUP($B1012,dongia1,DG!$F$5,)</f>
        <v>31625</v>
      </c>
      <c r="Q1012" s="182"/>
      <c r="R1012" s="554"/>
      <c r="S1012" s="113">
        <f t="shared" si="534"/>
        <v>126500</v>
      </c>
      <c r="T1012" s="113">
        <f t="shared" si="535"/>
        <v>0</v>
      </c>
      <c r="U1012" s="557">
        <f t="shared" si="536"/>
        <v>0</v>
      </c>
    </row>
    <row r="1013" spans="1:21" s="552" customFormat="1" ht="15" customHeight="1">
      <c r="A1013" s="621"/>
      <c r="B1013" s="622" t="s">
        <v>143</v>
      </c>
      <c r="C1013" s="558" t="str">
        <f t="shared" si="532"/>
        <v xml:space="preserve"> </v>
      </c>
      <c r="D1013" s="553"/>
      <c r="E1013" s="694" t="str">
        <f>VLOOKUP($B1013,dongia1,DG!$C$5,)</f>
        <v xml:space="preserve">Móc treo chữ U F16 dài </v>
      </c>
      <c r="F1013" s="555" t="str">
        <f>VLOOKUP($B1013,dongia1,DG!$D$5,)</f>
        <v>cái</v>
      </c>
      <c r="G1013" s="205">
        <v>2</v>
      </c>
      <c r="H1013" s="556"/>
      <c r="I1013" s="556">
        <f t="shared" ca="1" si="533"/>
        <v>0</v>
      </c>
      <c r="J1013" s="556">
        <f t="shared" ca="1" si="533"/>
        <v>0</v>
      </c>
      <c r="K1013" s="556">
        <f t="shared" ca="1" si="533"/>
        <v>0</v>
      </c>
      <c r="L1013" s="556">
        <f t="shared" ca="1" si="533"/>
        <v>0</v>
      </c>
      <c r="M1013" s="556"/>
      <c r="N1013" s="556">
        <f t="shared" ca="1" si="533"/>
        <v>0</v>
      </c>
      <c r="O1013" s="556">
        <f t="shared" si="533"/>
        <v>0</v>
      </c>
      <c r="P1013" s="182">
        <f>VLOOKUP($B1013,dongia1,DG!$F$5,)</f>
        <v>28000</v>
      </c>
      <c r="Q1013" s="182"/>
      <c r="R1013" s="554"/>
      <c r="S1013" s="113">
        <f t="shared" si="534"/>
        <v>56000</v>
      </c>
      <c r="T1013" s="113">
        <f t="shared" si="535"/>
        <v>0</v>
      </c>
      <c r="U1013" s="557">
        <f t="shared" si="536"/>
        <v>0</v>
      </c>
    </row>
    <row r="1014" spans="1:21" s="552" customFormat="1" ht="15" customHeight="1">
      <c r="A1014" s="621"/>
      <c r="B1014" s="622" t="s">
        <v>1770</v>
      </c>
      <c r="C1014" s="558" t="str">
        <f t="shared" si="532"/>
        <v xml:space="preserve"> </v>
      </c>
      <c r="D1014" s="553"/>
      <c r="E1014" s="694" t="str">
        <f>VLOOKUP($B1014,dongia1,DG!$C$5,)</f>
        <v>Boulon 16x100VRS+ 4 long đền vuông D18-50x50x3/Zn</v>
      </c>
      <c r="F1014" s="555" t="str">
        <f>VLOOKUP($B1014,dongia1,DG!$D$5,)</f>
        <v>bộ</v>
      </c>
      <c r="G1014" s="205">
        <v>4</v>
      </c>
      <c r="H1014" s="556"/>
      <c r="I1014" s="556">
        <f t="shared" ca="1" si="533"/>
        <v>0</v>
      </c>
      <c r="J1014" s="556">
        <f t="shared" ca="1" si="533"/>
        <v>0</v>
      </c>
      <c r="K1014" s="556">
        <f t="shared" ca="1" si="533"/>
        <v>0</v>
      </c>
      <c r="L1014" s="556">
        <f t="shared" ca="1" si="533"/>
        <v>0</v>
      </c>
      <c r="M1014" s="556"/>
      <c r="N1014" s="556">
        <f t="shared" ca="1" si="533"/>
        <v>0</v>
      </c>
      <c r="O1014" s="556">
        <f t="shared" si="533"/>
        <v>0</v>
      </c>
      <c r="P1014" s="182">
        <f>VLOOKUP($B1014,dongia1,DG!$F$5,)</f>
        <v>22800</v>
      </c>
      <c r="Q1014" s="182">
        <f>VLOOKUP($B1014,dongia1,DG!$G$5,)</f>
        <v>0</v>
      </c>
      <c r="R1014" s="554"/>
      <c r="S1014" s="113">
        <f t="shared" si="534"/>
        <v>91200</v>
      </c>
      <c r="T1014" s="113">
        <f t="shared" si="535"/>
        <v>0</v>
      </c>
      <c r="U1014" s="557">
        <f t="shared" si="536"/>
        <v>0</v>
      </c>
    </row>
    <row r="1015" spans="1:21" s="552" customFormat="1" ht="15" customHeight="1">
      <c r="A1015" s="621"/>
      <c r="B1015" s="622" t="s">
        <v>537</v>
      </c>
      <c r="C1015" s="558" t="str">
        <f t="shared" si="532"/>
        <v xml:space="preserve"> </v>
      </c>
      <c r="D1015" s="553"/>
      <c r="E1015" s="694" t="str">
        <f>VLOOKUP($B1015,dongia1,DG!$C$5,)</f>
        <v>Yếm đỡ dày chằng F1/2 mạ Zn (Yếm cáp)</v>
      </c>
      <c r="F1015" s="555" t="str">
        <f>VLOOKUP($B1015,dongia1,DG!$D$5,)</f>
        <v>cái</v>
      </c>
      <c r="G1015" s="205">
        <v>4</v>
      </c>
      <c r="H1015" s="556"/>
      <c r="I1015" s="556">
        <f t="shared" ca="1" si="533"/>
        <v>0</v>
      </c>
      <c r="J1015" s="556">
        <f t="shared" ca="1" si="533"/>
        <v>0</v>
      </c>
      <c r="K1015" s="556">
        <f t="shared" ca="1" si="533"/>
        <v>0</v>
      </c>
      <c r="L1015" s="556">
        <f t="shared" ca="1" si="533"/>
        <v>0</v>
      </c>
      <c r="M1015" s="556"/>
      <c r="N1015" s="556">
        <f t="shared" ca="1" si="533"/>
        <v>0</v>
      </c>
      <c r="O1015" s="556">
        <f t="shared" si="533"/>
        <v>0</v>
      </c>
      <c r="P1015" s="182">
        <f>VLOOKUP($B1015,dongia1,DG!$F$5,)</f>
        <v>6000</v>
      </c>
      <c r="Q1015" s="182"/>
      <c r="R1015" s="554"/>
      <c r="S1015" s="113">
        <f t="shared" si="534"/>
        <v>24000</v>
      </c>
      <c r="T1015" s="113">
        <f t="shared" si="535"/>
        <v>0</v>
      </c>
      <c r="U1015" s="557">
        <f t="shared" si="536"/>
        <v>0</v>
      </c>
    </row>
    <row r="1016" spans="1:21" s="552" customFormat="1" ht="15" customHeight="1">
      <c r="A1016" s="621"/>
      <c r="B1016" s="622" t="s">
        <v>538</v>
      </c>
      <c r="C1016" s="558" t="str">
        <f t="shared" si="532"/>
        <v xml:space="preserve"> </v>
      </c>
      <c r="D1016" s="553"/>
      <c r="E1016" s="694" t="str">
        <f>VLOOKUP($B1016,dongia1,DG!$C$5,)</f>
        <v>Máng che dây chằng dày 1,6mm 0,4x2000</v>
      </c>
      <c r="F1016" s="555" t="str">
        <f>VLOOKUP($B1016,dongia1,DG!$D$5,)</f>
        <v>cái</v>
      </c>
      <c r="G1016" s="205">
        <v>2</v>
      </c>
      <c r="H1016" s="556"/>
      <c r="I1016" s="556">
        <f t="shared" ca="1" si="533"/>
        <v>0</v>
      </c>
      <c r="J1016" s="556">
        <f t="shared" ca="1" si="533"/>
        <v>0</v>
      </c>
      <c r="K1016" s="556">
        <f t="shared" ca="1" si="533"/>
        <v>0</v>
      </c>
      <c r="L1016" s="556">
        <f t="shared" ca="1" si="533"/>
        <v>0</v>
      </c>
      <c r="M1016" s="556"/>
      <c r="N1016" s="556">
        <f t="shared" ca="1" si="533"/>
        <v>0</v>
      </c>
      <c r="O1016" s="556">
        <f t="shared" si="533"/>
        <v>0</v>
      </c>
      <c r="P1016" s="182">
        <f>VLOOKUP($B1016,dongia1,DG!$F$5,)</f>
        <v>55000</v>
      </c>
      <c r="Q1016" s="182"/>
      <c r="R1016" s="554"/>
      <c r="S1016" s="113">
        <f t="shared" si="534"/>
        <v>110000</v>
      </c>
      <c r="T1016" s="113">
        <f t="shared" si="535"/>
        <v>0</v>
      </c>
      <c r="U1016" s="557">
        <f t="shared" si="536"/>
        <v>0</v>
      </c>
    </row>
    <row r="1017" spans="1:21" s="552" customFormat="1" ht="15" customHeight="1">
      <c r="A1017" s="621"/>
      <c r="B1017" s="622" t="s">
        <v>1828</v>
      </c>
      <c r="C1017" s="558" t="str">
        <f t="shared" si="532"/>
        <v xml:space="preserve"> </v>
      </c>
      <c r="D1017" s="553"/>
      <c r="E1017" s="694" t="str">
        <f>VLOOKUP($B1017,dongia1,DG!$C$5,)</f>
        <v>Lắp bộ dây néo</v>
      </c>
      <c r="F1017" s="555" t="str">
        <f>VLOOKUP($B1017,dongia1,DG!$D$5,)</f>
        <v>bộ</v>
      </c>
      <c r="G1017" s="205">
        <v>2</v>
      </c>
      <c r="H1017" s="556"/>
      <c r="I1017" s="556">
        <f t="shared" ca="1" si="533"/>
        <v>0</v>
      </c>
      <c r="J1017" s="556">
        <f t="shared" ca="1" si="533"/>
        <v>0</v>
      </c>
      <c r="K1017" s="556">
        <f t="shared" ca="1" si="533"/>
        <v>0</v>
      </c>
      <c r="L1017" s="556">
        <f t="shared" ca="1" si="533"/>
        <v>0</v>
      </c>
      <c r="M1017" s="556"/>
      <c r="N1017" s="556">
        <f t="shared" ca="1" si="533"/>
        <v>0</v>
      </c>
      <c r="O1017" s="556">
        <f t="shared" si="533"/>
        <v>0</v>
      </c>
      <c r="P1017" s="554"/>
      <c r="Q1017" s="182">
        <f>VLOOKUP($B1017,dongia1,DG!$G$5,)</f>
        <v>99000</v>
      </c>
      <c r="R1017" s="554"/>
      <c r="S1017" s="113">
        <f t="shared" si="534"/>
        <v>0</v>
      </c>
      <c r="T1017" s="113">
        <f t="shared" si="535"/>
        <v>198000</v>
      </c>
      <c r="U1017" s="557">
        <f t="shared" si="536"/>
        <v>0</v>
      </c>
    </row>
    <row r="1018" spans="1:21" s="552" customFormat="1" ht="15" customHeight="1">
      <c r="A1018" s="621"/>
      <c r="B1018" s="622" t="s">
        <v>1301</v>
      </c>
      <c r="C1018" s="558" t="str">
        <f t="shared" si="532"/>
        <v xml:space="preserve"> </v>
      </c>
      <c r="D1018" s="553"/>
      <c r="E1018" s="694" t="str">
        <f>VLOOKUP($B1018,dongia1,DG!$C$5,)</f>
        <v>Lắp cổ dê</v>
      </c>
      <c r="F1018" s="555" t="str">
        <f>VLOOKUP($B1018,dongia1,DG!$D$5,)</f>
        <v>cái</v>
      </c>
      <c r="G1018" s="205">
        <v>2</v>
      </c>
      <c r="H1018" s="556"/>
      <c r="I1018" s="556">
        <f t="shared" ca="1" si="533"/>
        <v>0</v>
      </c>
      <c r="J1018" s="556">
        <f t="shared" ca="1" si="533"/>
        <v>0</v>
      </c>
      <c r="K1018" s="556">
        <f t="shared" ca="1" si="533"/>
        <v>0</v>
      </c>
      <c r="L1018" s="556">
        <f t="shared" ca="1" si="533"/>
        <v>0</v>
      </c>
      <c r="M1018" s="556"/>
      <c r="N1018" s="556">
        <f t="shared" ca="1" si="533"/>
        <v>0</v>
      </c>
      <c r="O1018" s="556">
        <f t="shared" si="533"/>
        <v>0</v>
      </c>
      <c r="P1018" s="554"/>
      <c r="Q1018" s="182">
        <f>VLOOKUP($B1018,dongia1,DG!$G$5,)</f>
        <v>77000</v>
      </c>
      <c r="R1018" s="554"/>
      <c r="S1018" s="113">
        <f t="shared" si="534"/>
        <v>0</v>
      </c>
      <c r="T1018" s="113">
        <f t="shared" si="535"/>
        <v>154000</v>
      </c>
      <c r="U1018" s="557">
        <f t="shared" si="536"/>
        <v>0</v>
      </c>
    </row>
    <row r="1019" spans="1:21" s="552" customFormat="1" ht="15" customHeight="1">
      <c r="A1019" s="621" t="s">
        <v>85</v>
      </c>
      <c r="B1019" s="622"/>
      <c r="C1019" s="558" t="str">
        <f>IF(H1019&lt;&gt;0,"x"," ")</f>
        <v xml:space="preserve"> </v>
      </c>
      <c r="D1019" s="553"/>
      <c r="E1019" s="727" t="s">
        <v>3617</v>
      </c>
      <c r="F1019" s="600" t="s">
        <v>2113</v>
      </c>
      <c r="G1019" s="205"/>
      <c r="H1019" s="556"/>
      <c r="I1019" s="556">
        <f ca="1">SUMIF(chang3pm,chitiet!$A1019,slchang3pm)</f>
        <v>0</v>
      </c>
      <c r="J1019" s="556">
        <f ca="1">SUMIF(changct,chitiet!$A1019,slchangct)</f>
        <v>0</v>
      </c>
      <c r="K1019" s="556">
        <f ca="1">SUMIF(chang3p1m,chitiet!$A1019,slchang3p1m)</f>
        <v>0</v>
      </c>
      <c r="L1019" s="556">
        <f ca="1">SUMIF(chang1pm,chitiet!$A1019,slchang1pm)</f>
        <v>0</v>
      </c>
      <c r="M1019" s="556"/>
      <c r="N1019" s="556">
        <f ca="1">SUMIF(changHTDL,chitiet!$A1019,Slchanghtdl)</f>
        <v>0</v>
      </c>
      <c r="O1019" s="556"/>
      <c r="P1019" s="554"/>
      <c r="Q1019" s="554"/>
      <c r="R1019" s="554"/>
      <c r="S1019" s="601">
        <f>SUM(S1020:S1030)</f>
        <v>2663550</v>
      </c>
      <c r="T1019" s="601">
        <f>SUM(T1020:T1030)</f>
        <v>176000</v>
      </c>
      <c r="U1019" s="602">
        <f>SUM(U1020:U1030)</f>
        <v>0</v>
      </c>
    </row>
    <row r="1020" spans="1:21" s="552" customFormat="1" ht="15" customHeight="1">
      <c r="A1020" s="621"/>
      <c r="B1020" s="622" t="s">
        <v>233</v>
      </c>
      <c r="C1020" s="558" t="str">
        <f t="shared" ref="C1020:C1030" si="537">C1019</f>
        <v xml:space="preserve"> </v>
      </c>
      <c r="D1020" s="553"/>
      <c r="E1020" s="694" t="str">
        <f>VLOOKUP($B1020,dongia1,DG!$C$5,)&amp;"-Fe8x100 nhúng kẽm"</f>
        <v>Cổ dê Þ 195 nẹp trụ-Fe8x100 nhúng kẽm</v>
      </c>
      <c r="F1020" s="555" t="str">
        <f>VLOOKUP($B1020,dongia1,DG!$D$5,)</f>
        <v>bộ</v>
      </c>
      <c r="G1020" s="205">
        <v>1</v>
      </c>
      <c r="H1020" s="556"/>
      <c r="I1020" s="556">
        <f t="shared" ref="I1020:O1030" ca="1" si="538">I$1019*$G1020</f>
        <v>0</v>
      </c>
      <c r="J1020" s="556">
        <f t="shared" ca="1" si="538"/>
        <v>0</v>
      </c>
      <c r="K1020" s="556">
        <f t="shared" ca="1" si="538"/>
        <v>0</v>
      </c>
      <c r="L1020" s="556">
        <f t="shared" ca="1" si="538"/>
        <v>0</v>
      </c>
      <c r="M1020" s="556"/>
      <c r="N1020" s="556">
        <f t="shared" ca="1" si="538"/>
        <v>0</v>
      </c>
      <c r="O1020" s="556">
        <f t="shared" si="538"/>
        <v>0</v>
      </c>
      <c r="P1020" s="182">
        <f>VLOOKUP($B1020,dongia1,DG!$F$5,)</f>
        <v>213700</v>
      </c>
      <c r="Q1020" s="554"/>
      <c r="R1020" s="554"/>
      <c r="S1020" s="113">
        <f t="shared" ref="S1020:S1030" si="539">$G1020*P1020</f>
        <v>213700</v>
      </c>
      <c r="T1020" s="113">
        <f t="shared" ref="T1020:T1030" si="540">$G1020*Q1020</f>
        <v>0</v>
      </c>
      <c r="U1020" s="557">
        <f t="shared" ref="U1020:U1030" si="541">$G1020*R1020</f>
        <v>0</v>
      </c>
    </row>
    <row r="1021" spans="1:21" s="552" customFormat="1" ht="15" customHeight="1">
      <c r="A1021" s="621"/>
      <c r="B1021" s="622" t="s">
        <v>1005</v>
      </c>
      <c r="C1021" s="558" t="str">
        <f t="shared" si="537"/>
        <v xml:space="preserve"> </v>
      </c>
      <c r="D1021" s="553"/>
      <c r="E1021" s="694" t="str">
        <f>VLOOKUP($B1021,dongia1,DG!$C$5,)</f>
        <v>Sứ chằng</v>
      </c>
      <c r="F1021" s="555" t="str">
        <f>VLOOKUP($B1021,dongia1,DG!$D$5,)</f>
        <v>cái</v>
      </c>
      <c r="G1021" s="205">
        <v>1</v>
      </c>
      <c r="H1021" s="556"/>
      <c r="I1021" s="556">
        <f t="shared" ca="1" si="538"/>
        <v>0</v>
      </c>
      <c r="J1021" s="556">
        <f t="shared" ca="1" si="538"/>
        <v>0</v>
      </c>
      <c r="K1021" s="556">
        <f t="shared" ca="1" si="538"/>
        <v>0</v>
      </c>
      <c r="L1021" s="556">
        <f t="shared" ca="1" si="538"/>
        <v>0</v>
      </c>
      <c r="M1021" s="556"/>
      <c r="N1021" s="556">
        <f t="shared" ca="1" si="538"/>
        <v>0</v>
      </c>
      <c r="O1021" s="556">
        <f t="shared" si="538"/>
        <v>0</v>
      </c>
      <c r="P1021" s="182">
        <f>VLOOKUP($B1021,dongia1,DG!$F$5,)</f>
        <v>38000</v>
      </c>
      <c r="Q1021" s="554"/>
      <c r="R1021" s="554"/>
      <c r="S1021" s="113">
        <f t="shared" si="539"/>
        <v>38000</v>
      </c>
      <c r="T1021" s="113">
        <f t="shared" si="540"/>
        <v>0</v>
      </c>
      <c r="U1021" s="557">
        <f t="shared" si="541"/>
        <v>0</v>
      </c>
    </row>
    <row r="1022" spans="1:21" s="552" customFormat="1" ht="15" customHeight="1">
      <c r="A1022" s="621"/>
      <c r="B1022" s="622" t="s">
        <v>204</v>
      </c>
      <c r="C1022" s="558" t="str">
        <f t="shared" si="537"/>
        <v xml:space="preserve"> </v>
      </c>
      <c r="D1022" s="553"/>
      <c r="E1022" s="694" t="str">
        <f>VLOOKUP($B1022,dongia1,DG!$C$5,)</f>
        <v>Kẹp cáp 3 boulon</v>
      </c>
      <c r="F1022" s="555" t="str">
        <f>VLOOKUP($B1022,dongia1,DG!$D$5,)</f>
        <v>cái</v>
      </c>
      <c r="G1022" s="205">
        <v>8</v>
      </c>
      <c r="H1022" s="556"/>
      <c r="I1022" s="556">
        <f t="shared" ca="1" si="538"/>
        <v>0</v>
      </c>
      <c r="J1022" s="556">
        <f t="shared" ca="1" si="538"/>
        <v>0</v>
      </c>
      <c r="K1022" s="556">
        <f t="shared" ca="1" si="538"/>
        <v>0</v>
      </c>
      <c r="L1022" s="556">
        <f t="shared" ca="1" si="538"/>
        <v>0</v>
      </c>
      <c r="M1022" s="556"/>
      <c r="N1022" s="556">
        <f t="shared" ca="1" si="538"/>
        <v>0</v>
      </c>
      <c r="O1022" s="556">
        <f t="shared" si="538"/>
        <v>0</v>
      </c>
      <c r="P1022" s="182">
        <f>VLOOKUP($B1022,dongia1,DG!$F$5,)</f>
        <v>38000</v>
      </c>
      <c r="Q1022" s="554"/>
      <c r="R1022" s="554"/>
      <c r="S1022" s="113">
        <f t="shared" si="539"/>
        <v>304000</v>
      </c>
      <c r="T1022" s="113">
        <f t="shared" si="540"/>
        <v>0</v>
      </c>
      <c r="U1022" s="557">
        <f t="shared" si="541"/>
        <v>0</v>
      </c>
    </row>
    <row r="1023" spans="1:21" s="552" customFormat="1" ht="15" customHeight="1">
      <c r="A1023" s="621"/>
      <c r="B1023" s="622" t="s">
        <v>968</v>
      </c>
      <c r="C1023" s="558" t="str">
        <f t="shared" si="537"/>
        <v xml:space="preserve"> </v>
      </c>
      <c r="D1023" s="553"/>
      <c r="E1023" s="694" t="str">
        <f>VLOOKUP($B1023,dongia1,DG!$C$5,)</f>
        <v>Kẹp hotline 4/0</v>
      </c>
      <c r="F1023" s="555" t="str">
        <f>VLOOKUP($B1023,dongia1,DG!$D$5,)</f>
        <v>cái</v>
      </c>
      <c r="G1023" s="205">
        <v>17</v>
      </c>
      <c r="H1023" s="556"/>
      <c r="I1023" s="556">
        <f t="shared" ca="1" si="538"/>
        <v>0</v>
      </c>
      <c r="J1023" s="556">
        <f t="shared" ca="1" si="538"/>
        <v>0</v>
      </c>
      <c r="K1023" s="556">
        <f t="shared" ca="1" si="538"/>
        <v>0</v>
      </c>
      <c r="L1023" s="556">
        <f t="shared" ca="1" si="538"/>
        <v>0</v>
      </c>
      <c r="M1023" s="556"/>
      <c r="N1023" s="556">
        <f t="shared" ca="1" si="538"/>
        <v>0</v>
      </c>
      <c r="O1023" s="556">
        <f t="shared" si="538"/>
        <v>0</v>
      </c>
      <c r="P1023" s="182">
        <f>VLOOKUP($B1023,dongia1,DG!$F$5,)</f>
        <v>112000</v>
      </c>
      <c r="Q1023" s="182"/>
      <c r="R1023" s="554"/>
      <c r="S1023" s="113">
        <f t="shared" si="539"/>
        <v>1904000</v>
      </c>
      <c r="T1023" s="113">
        <f t="shared" si="540"/>
        <v>0</v>
      </c>
      <c r="U1023" s="557">
        <f t="shared" si="541"/>
        <v>0</v>
      </c>
    </row>
    <row r="1024" spans="1:21" s="552" customFormat="1" ht="15" customHeight="1">
      <c r="A1024" s="621"/>
      <c r="B1024" s="622" t="s">
        <v>593</v>
      </c>
      <c r="C1024" s="558" t="str">
        <f t="shared" si="537"/>
        <v xml:space="preserve"> </v>
      </c>
      <c r="D1024" s="553"/>
      <c r="E1024" s="694" t="str">
        <f>VLOOKUP($B1024,dongia1,DG!$C$5,)</f>
        <v>Sắt dẹt 60 x 6</v>
      </c>
      <c r="F1024" s="555" t="str">
        <f>VLOOKUP($B1024,dongia1,DG!$D$5,)</f>
        <v>kg</v>
      </c>
      <c r="G1024" s="205">
        <v>2</v>
      </c>
      <c r="H1024" s="556"/>
      <c r="I1024" s="556">
        <f t="shared" ca="1" si="538"/>
        <v>0</v>
      </c>
      <c r="J1024" s="556">
        <f t="shared" ca="1" si="538"/>
        <v>0</v>
      </c>
      <c r="K1024" s="556">
        <f t="shared" ca="1" si="538"/>
        <v>0</v>
      </c>
      <c r="L1024" s="556">
        <f t="shared" ca="1" si="538"/>
        <v>0</v>
      </c>
      <c r="M1024" s="556"/>
      <c r="N1024" s="556">
        <f t="shared" ca="1" si="538"/>
        <v>0</v>
      </c>
      <c r="O1024" s="556">
        <f t="shared" si="538"/>
        <v>0</v>
      </c>
      <c r="P1024" s="182">
        <f>VLOOKUP($B1024,dongia1,DG!$F$5,)</f>
        <v>31625</v>
      </c>
      <c r="Q1024" s="182"/>
      <c r="R1024" s="554"/>
      <c r="S1024" s="113">
        <f t="shared" si="539"/>
        <v>63250</v>
      </c>
      <c r="T1024" s="113">
        <f t="shared" si="540"/>
        <v>0</v>
      </c>
      <c r="U1024" s="557">
        <f t="shared" si="541"/>
        <v>0</v>
      </c>
    </row>
    <row r="1025" spans="1:21" s="552" customFormat="1" ht="15" customHeight="1">
      <c r="A1025" s="621"/>
      <c r="B1025" s="622" t="s">
        <v>143</v>
      </c>
      <c r="C1025" s="558" t="str">
        <f t="shared" si="537"/>
        <v xml:space="preserve"> </v>
      </c>
      <c r="D1025" s="553"/>
      <c r="E1025" s="694" t="str">
        <f>VLOOKUP($B1025,dongia1,DG!$C$5,)</f>
        <v xml:space="preserve">Móc treo chữ U F16 dài </v>
      </c>
      <c r="F1025" s="555" t="str">
        <f>VLOOKUP($B1025,dongia1,DG!$D$5,)</f>
        <v>cái</v>
      </c>
      <c r="G1025" s="205">
        <v>1</v>
      </c>
      <c r="H1025" s="556"/>
      <c r="I1025" s="556">
        <f t="shared" ca="1" si="538"/>
        <v>0</v>
      </c>
      <c r="J1025" s="556">
        <f t="shared" ca="1" si="538"/>
        <v>0</v>
      </c>
      <c r="K1025" s="556">
        <f t="shared" ca="1" si="538"/>
        <v>0</v>
      </c>
      <c r="L1025" s="556">
        <f t="shared" ca="1" si="538"/>
        <v>0</v>
      </c>
      <c r="M1025" s="556"/>
      <c r="N1025" s="556">
        <f t="shared" ca="1" si="538"/>
        <v>0</v>
      </c>
      <c r="O1025" s="556">
        <f t="shared" si="538"/>
        <v>0</v>
      </c>
      <c r="P1025" s="182">
        <f>VLOOKUP($B1025,dongia1,DG!$F$5,)</f>
        <v>28000</v>
      </c>
      <c r="Q1025" s="182"/>
      <c r="R1025" s="554"/>
      <c r="S1025" s="113">
        <f t="shared" si="539"/>
        <v>28000</v>
      </c>
      <c r="T1025" s="113">
        <f t="shared" si="540"/>
        <v>0</v>
      </c>
      <c r="U1025" s="557">
        <f t="shared" si="541"/>
        <v>0</v>
      </c>
    </row>
    <row r="1026" spans="1:21" s="552" customFormat="1" ht="15" customHeight="1">
      <c r="A1026" s="621"/>
      <c r="B1026" s="622" t="s">
        <v>1770</v>
      </c>
      <c r="C1026" s="558" t="str">
        <f t="shared" si="537"/>
        <v xml:space="preserve"> </v>
      </c>
      <c r="D1026" s="553"/>
      <c r="E1026" s="694" t="str">
        <f>VLOOKUP($B1026,dongia1,DG!$C$5,)</f>
        <v>Boulon 16x100VRS+ 4 long đền vuông D18-50x50x3/Zn</v>
      </c>
      <c r="F1026" s="555" t="str">
        <f>VLOOKUP($B1026,dongia1,DG!$D$5,)</f>
        <v>bộ</v>
      </c>
      <c r="G1026" s="205">
        <v>2</v>
      </c>
      <c r="H1026" s="556"/>
      <c r="I1026" s="556">
        <f t="shared" ca="1" si="538"/>
        <v>0</v>
      </c>
      <c r="J1026" s="556">
        <f t="shared" ca="1" si="538"/>
        <v>0</v>
      </c>
      <c r="K1026" s="556">
        <f t="shared" ca="1" si="538"/>
        <v>0</v>
      </c>
      <c r="L1026" s="556">
        <f t="shared" ca="1" si="538"/>
        <v>0</v>
      </c>
      <c r="M1026" s="556"/>
      <c r="N1026" s="556">
        <f t="shared" ca="1" si="538"/>
        <v>0</v>
      </c>
      <c r="O1026" s="556">
        <f t="shared" si="538"/>
        <v>0</v>
      </c>
      <c r="P1026" s="182">
        <f>VLOOKUP($B1026,dongia1,DG!$F$5,)</f>
        <v>22800</v>
      </c>
      <c r="Q1026" s="182">
        <f>VLOOKUP($B1026,dongia1,DG!$G$5,)</f>
        <v>0</v>
      </c>
      <c r="R1026" s="554"/>
      <c r="S1026" s="113">
        <f t="shared" si="539"/>
        <v>45600</v>
      </c>
      <c r="T1026" s="113">
        <f t="shared" si="540"/>
        <v>0</v>
      </c>
      <c r="U1026" s="557">
        <f t="shared" si="541"/>
        <v>0</v>
      </c>
    </row>
    <row r="1027" spans="1:21" s="552" customFormat="1" ht="15" customHeight="1">
      <c r="A1027" s="621"/>
      <c r="B1027" s="622" t="s">
        <v>537</v>
      </c>
      <c r="C1027" s="558" t="str">
        <f t="shared" si="537"/>
        <v xml:space="preserve"> </v>
      </c>
      <c r="D1027" s="553"/>
      <c r="E1027" s="694" t="str">
        <f>VLOOKUP($B1027,dongia1,DG!$C$5,)</f>
        <v>Yếm đỡ dày chằng F1/2 mạ Zn (Yếm cáp)</v>
      </c>
      <c r="F1027" s="555" t="str">
        <f>VLOOKUP($B1027,dongia1,DG!$D$5,)</f>
        <v>cái</v>
      </c>
      <c r="G1027" s="205">
        <v>2</v>
      </c>
      <c r="H1027" s="556"/>
      <c r="I1027" s="556">
        <f t="shared" ca="1" si="538"/>
        <v>0</v>
      </c>
      <c r="J1027" s="556">
        <f t="shared" ca="1" si="538"/>
        <v>0</v>
      </c>
      <c r="K1027" s="556">
        <f t="shared" ca="1" si="538"/>
        <v>0</v>
      </c>
      <c r="L1027" s="556">
        <f t="shared" ca="1" si="538"/>
        <v>0</v>
      </c>
      <c r="M1027" s="556"/>
      <c r="N1027" s="556">
        <f t="shared" ca="1" si="538"/>
        <v>0</v>
      </c>
      <c r="O1027" s="556">
        <f t="shared" si="538"/>
        <v>0</v>
      </c>
      <c r="P1027" s="182">
        <f>VLOOKUP($B1027,dongia1,DG!$F$5,)</f>
        <v>6000</v>
      </c>
      <c r="Q1027" s="182"/>
      <c r="R1027" s="554"/>
      <c r="S1027" s="113">
        <f t="shared" si="539"/>
        <v>12000</v>
      </c>
      <c r="T1027" s="113">
        <f t="shared" si="540"/>
        <v>0</v>
      </c>
      <c r="U1027" s="557">
        <f t="shared" si="541"/>
        <v>0</v>
      </c>
    </row>
    <row r="1028" spans="1:21" s="552" customFormat="1" ht="15" customHeight="1">
      <c r="A1028" s="621"/>
      <c r="B1028" s="622" t="s">
        <v>538</v>
      </c>
      <c r="C1028" s="558" t="str">
        <f t="shared" si="537"/>
        <v xml:space="preserve"> </v>
      </c>
      <c r="D1028" s="553"/>
      <c r="E1028" s="694" t="str">
        <f>VLOOKUP($B1028,dongia1,DG!$C$5,)</f>
        <v>Máng che dây chằng dày 1,6mm 0,4x2000</v>
      </c>
      <c r="F1028" s="555" t="str">
        <f>VLOOKUP($B1028,dongia1,DG!$D$5,)</f>
        <v>cái</v>
      </c>
      <c r="G1028" s="205">
        <v>1</v>
      </c>
      <c r="H1028" s="556"/>
      <c r="I1028" s="556">
        <f t="shared" ca="1" si="538"/>
        <v>0</v>
      </c>
      <c r="J1028" s="556">
        <f t="shared" ca="1" si="538"/>
        <v>0</v>
      </c>
      <c r="K1028" s="556">
        <f t="shared" ca="1" si="538"/>
        <v>0</v>
      </c>
      <c r="L1028" s="556">
        <f t="shared" ca="1" si="538"/>
        <v>0</v>
      </c>
      <c r="M1028" s="556"/>
      <c r="N1028" s="556">
        <f t="shared" ca="1" si="538"/>
        <v>0</v>
      </c>
      <c r="O1028" s="556">
        <f t="shared" si="538"/>
        <v>0</v>
      </c>
      <c r="P1028" s="182">
        <f>VLOOKUP($B1028,dongia1,DG!$F$5,)</f>
        <v>55000</v>
      </c>
      <c r="Q1028" s="182"/>
      <c r="R1028" s="554"/>
      <c r="S1028" s="113">
        <f t="shared" si="539"/>
        <v>55000</v>
      </c>
      <c r="T1028" s="113">
        <f t="shared" si="540"/>
        <v>0</v>
      </c>
      <c r="U1028" s="557">
        <f t="shared" si="541"/>
        <v>0</v>
      </c>
    </row>
    <row r="1029" spans="1:21" s="552" customFormat="1" ht="15" customHeight="1">
      <c r="A1029" s="621"/>
      <c r="B1029" s="622" t="s">
        <v>1828</v>
      </c>
      <c r="C1029" s="558" t="str">
        <f t="shared" si="537"/>
        <v xml:space="preserve"> </v>
      </c>
      <c r="D1029" s="553"/>
      <c r="E1029" s="694" t="str">
        <f>VLOOKUP($B1029,dongia1,DG!$C$5,)</f>
        <v>Lắp bộ dây néo</v>
      </c>
      <c r="F1029" s="555" t="str">
        <f>VLOOKUP($B1029,dongia1,DG!$D$5,)</f>
        <v>bộ</v>
      </c>
      <c r="G1029" s="205">
        <f>G1020</f>
        <v>1</v>
      </c>
      <c r="H1029" s="556"/>
      <c r="I1029" s="556">
        <f t="shared" ca="1" si="538"/>
        <v>0</v>
      </c>
      <c r="J1029" s="556">
        <f t="shared" ca="1" si="538"/>
        <v>0</v>
      </c>
      <c r="K1029" s="556">
        <f t="shared" ca="1" si="538"/>
        <v>0</v>
      </c>
      <c r="L1029" s="556">
        <f t="shared" ca="1" si="538"/>
        <v>0</v>
      </c>
      <c r="M1029" s="556"/>
      <c r="N1029" s="556">
        <f t="shared" ca="1" si="538"/>
        <v>0</v>
      </c>
      <c r="O1029" s="556">
        <f t="shared" si="538"/>
        <v>0</v>
      </c>
      <c r="P1029" s="554"/>
      <c r="Q1029" s="182">
        <f>VLOOKUP($B1029,dongia1,DG!$G$5,)</f>
        <v>99000</v>
      </c>
      <c r="R1029" s="554"/>
      <c r="S1029" s="113">
        <f t="shared" si="539"/>
        <v>0</v>
      </c>
      <c r="T1029" s="113">
        <f t="shared" si="540"/>
        <v>99000</v>
      </c>
      <c r="U1029" s="557">
        <f t="shared" si="541"/>
        <v>0</v>
      </c>
    </row>
    <row r="1030" spans="1:21" s="552" customFormat="1" ht="15" customHeight="1">
      <c r="A1030" s="621"/>
      <c r="B1030" s="622" t="s">
        <v>1301</v>
      </c>
      <c r="C1030" s="558" t="str">
        <f t="shared" si="537"/>
        <v xml:space="preserve"> </v>
      </c>
      <c r="D1030" s="553"/>
      <c r="E1030" s="694" t="str">
        <f>VLOOKUP($B1030,dongia1,DG!$C$5,)</f>
        <v>Lắp cổ dê</v>
      </c>
      <c r="F1030" s="555" t="str">
        <f>VLOOKUP($B1030,dongia1,DG!$D$5,)</f>
        <v>cái</v>
      </c>
      <c r="G1030" s="205">
        <v>1</v>
      </c>
      <c r="H1030" s="556"/>
      <c r="I1030" s="556">
        <f t="shared" ca="1" si="538"/>
        <v>0</v>
      </c>
      <c r="J1030" s="556">
        <f t="shared" ca="1" si="538"/>
        <v>0</v>
      </c>
      <c r="K1030" s="556">
        <f t="shared" ca="1" si="538"/>
        <v>0</v>
      </c>
      <c r="L1030" s="556">
        <f t="shared" ca="1" si="538"/>
        <v>0</v>
      </c>
      <c r="M1030" s="556"/>
      <c r="N1030" s="556">
        <f t="shared" ca="1" si="538"/>
        <v>0</v>
      </c>
      <c r="O1030" s="556">
        <f t="shared" si="538"/>
        <v>0</v>
      </c>
      <c r="P1030" s="554"/>
      <c r="Q1030" s="182">
        <f>VLOOKUP($B1030,dongia1,DG!$G$5,)</f>
        <v>77000</v>
      </c>
      <c r="R1030" s="554"/>
      <c r="S1030" s="113">
        <f t="shared" si="539"/>
        <v>0</v>
      </c>
      <c r="T1030" s="113">
        <f t="shared" si="540"/>
        <v>77000</v>
      </c>
      <c r="U1030" s="557">
        <f t="shared" si="541"/>
        <v>0</v>
      </c>
    </row>
    <row r="1031" spans="1:21" s="552" customFormat="1" ht="15" customHeight="1">
      <c r="A1031" s="621" t="s">
        <v>86</v>
      </c>
      <c r="B1031" s="622"/>
      <c r="C1031" s="558" t="str">
        <f>IF(H1031&lt;&gt;0,"x"," ")</f>
        <v xml:space="preserve"> </v>
      </c>
      <c r="D1031" s="553"/>
      <c r="E1031" s="727" t="s">
        <v>3618</v>
      </c>
      <c r="F1031" s="600" t="s">
        <v>2113</v>
      </c>
      <c r="G1031" s="205"/>
      <c r="H1031" s="556"/>
      <c r="I1031" s="556">
        <f ca="1">SUMIF(chang3pm,chitiet!$A1031,slchang3pm)</f>
        <v>0</v>
      </c>
      <c r="J1031" s="556">
        <f ca="1">SUMIF(changct,chitiet!$A1031,slchangct)</f>
        <v>0</v>
      </c>
      <c r="K1031" s="556">
        <f ca="1">SUMIF(chang3p1m,chitiet!$A1031,slchang3p1m)</f>
        <v>0</v>
      </c>
      <c r="L1031" s="556">
        <f ca="1">SUMIF(chang1pm,chitiet!$A1031,slchang1pm)</f>
        <v>0</v>
      </c>
      <c r="M1031" s="556"/>
      <c r="N1031" s="556">
        <f ca="1">SUMIF(changHTDL,chitiet!$A1031,Slchanghtdl)</f>
        <v>0</v>
      </c>
      <c r="O1031" s="556"/>
      <c r="P1031" s="554"/>
      <c r="Q1031" s="554"/>
      <c r="R1031" s="554"/>
      <c r="S1031" s="601">
        <f>SUM(S1032:S1044)</f>
        <v>2520550</v>
      </c>
      <c r="T1031" s="601">
        <f>SUM(T1032:T1044)</f>
        <v>189161</v>
      </c>
      <c r="U1031" s="602">
        <f>SUM(U1032:U1044)</f>
        <v>0</v>
      </c>
    </row>
    <row r="1032" spans="1:21" s="552" customFormat="1" ht="15" customHeight="1">
      <c r="A1032" s="621"/>
      <c r="B1032" s="622" t="s">
        <v>233</v>
      </c>
      <c r="C1032" s="558" t="str">
        <f t="shared" ref="C1032:C1044" si="542">C1031</f>
        <v xml:space="preserve"> </v>
      </c>
      <c r="D1032" s="553"/>
      <c r="E1032" s="694" t="str">
        <f>VLOOKUP($B1032,dongia1,DG!$C$5,)&amp;"-Fe8x100 nhúng kẽm"</f>
        <v>Cổ dê Þ 195 nẹp trụ-Fe8x100 nhúng kẽm</v>
      </c>
      <c r="F1032" s="555" t="str">
        <f>VLOOKUP($B1032,dongia1,DG!$D$5,)</f>
        <v>bộ</v>
      </c>
      <c r="G1032" s="205">
        <v>1</v>
      </c>
      <c r="H1032" s="556"/>
      <c r="I1032" s="556">
        <f t="shared" ref="I1032:O1044" ca="1" si="543">I$1031*$G1032</f>
        <v>0</v>
      </c>
      <c r="J1032" s="556">
        <f t="shared" ca="1" si="543"/>
        <v>0</v>
      </c>
      <c r="K1032" s="556">
        <f t="shared" ca="1" si="543"/>
        <v>0</v>
      </c>
      <c r="L1032" s="556">
        <f t="shared" ca="1" si="543"/>
        <v>0</v>
      </c>
      <c r="M1032" s="556"/>
      <c r="N1032" s="556">
        <f t="shared" ca="1" si="543"/>
        <v>0</v>
      </c>
      <c r="O1032" s="556">
        <f t="shared" si="543"/>
        <v>0</v>
      </c>
      <c r="P1032" s="182">
        <f>VLOOKUP($B1032,dongia1,DG!$F$5,)</f>
        <v>213700</v>
      </c>
      <c r="Q1032" s="554"/>
      <c r="R1032" s="554"/>
      <c r="S1032" s="113">
        <f t="shared" ref="S1032:S1043" si="544">$G1032*P1032</f>
        <v>213700</v>
      </c>
      <c r="T1032" s="113">
        <f t="shared" ref="T1032:T1043" si="545">$G1032*Q1032</f>
        <v>0</v>
      </c>
      <c r="U1032" s="557">
        <f t="shared" ref="U1032:U1043" si="546">$G1032*R1032</f>
        <v>0</v>
      </c>
    </row>
    <row r="1033" spans="1:21" s="552" customFormat="1" ht="15" customHeight="1">
      <c r="A1033" s="621"/>
      <c r="B1033" s="622" t="s">
        <v>1005</v>
      </c>
      <c r="C1033" s="558" t="str">
        <f t="shared" si="542"/>
        <v xml:space="preserve"> </v>
      </c>
      <c r="D1033" s="553"/>
      <c r="E1033" s="694" t="str">
        <f>VLOOKUP($B1033,dongia1,DG!$C$5,)</f>
        <v>Sứ chằng</v>
      </c>
      <c r="F1033" s="555" t="str">
        <f>VLOOKUP($B1033,dongia1,DG!$D$5,)</f>
        <v>cái</v>
      </c>
      <c r="G1033" s="205">
        <v>1</v>
      </c>
      <c r="H1033" s="556"/>
      <c r="I1033" s="556">
        <f t="shared" ca="1" si="543"/>
        <v>0</v>
      </c>
      <c r="J1033" s="556">
        <f t="shared" ca="1" si="543"/>
        <v>0</v>
      </c>
      <c r="K1033" s="556">
        <f t="shared" ca="1" si="543"/>
        <v>0</v>
      </c>
      <c r="L1033" s="556">
        <f t="shared" ca="1" si="543"/>
        <v>0</v>
      </c>
      <c r="M1033" s="556"/>
      <c r="N1033" s="556">
        <f t="shared" ca="1" si="543"/>
        <v>0</v>
      </c>
      <c r="O1033" s="556">
        <f t="shared" si="543"/>
        <v>0</v>
      </c>
      <c r="P1033" s="182">
        <f>VLOOKUP($B1033,dongia1,DG!$F$5,)</f>
        <v>38000</v>
      </c>
      <c r="Q1033" s="554"/>
      <c r="R1033" s="554"/>
      <c r="S1033" s="113">
        <f t="shared" si="544"/>
        <v>38000</v>
      </c>
      <c r="T1033" s="113">
        <f t="shared" si="545"/>
        <v>0</v>
      </c>
      <c r="U1033" s="557">
        <f t="shared" si="546"/>
        <v>0</v>
      </c>
    </row>
    <row r="1034" spans="1:21" s="552" customFormat="1" ht="15" customHeight="1">
      <c r="A1034" s="621"/>
      <c r="B1034" s="622" t="s">
        <v>204</v>
      </c>
      <c r="C1034" s="558" t="str">
        <f t="shared" si="542"/>
        <v xml:space="preserve"> </v>
      </c>
      <c r="D1034" s="553"/>
      <c r="E1034" s="694" t="str">
        <f>VLOOKUP($B1034,dongia1,DG!$C$5,)</f>
        <v>Kẹp cáp 3 boulon</v>
      </c>
      <c r="F1034" s="555" t="str">
        <f>VLOOKUP($B1034,dongia1,DG!$D$5,)</f>
        <v>cái</v>
      </c>
      <c r="G1034" s="205">
        <v>8</v>
      </c>
      <c r="H1034" s="556"/>
      <c r="I1034" s="556">
        <f t="shared" ca="1" si="543"/>
        <v>0</v>
      </c>
      <c r="J1034" s="556">
        <f t="shared" ca="1" si="543"/>
        <v>0</v>
      </c>
      <c r="K1034" s="556">
        <f t="shared" ca="1" si="543"/>
        <v>0</v>
      </c>
      <c r="L1034" s="556">
        <f t="shared" ca="1" si="543"/>
        <v>0</v>
      </c>
      <c r="M1034" s="556"/>
      <c r="N1034" s="556">
        <f t="shared" ca="1" si="543"/>
        <v>0</v>
      </c>
      <c r="O1034" s="556">
        <f t="shared" si="543"/>
        <v>0</v>
      </c>
      <c r="P1034" s="182">
        <f>VLOOKUP($B1034,dongia1,DG!$F$5,)</f>
        <v>38000</v>
      </c>
      <c r="Q1034" s="554"/>
      <c r="R1034" s="554"/>
      <c r="S1034" s="113">
        <f t="shared" si="544"/>
        <v>304000</v>
      </c>
      <c r="T1034" s="113">
        <f t="shared" si="545"/>
        <v>0</v>
      </c>
      <c r="U1034" s="557">
        <f t="shared" si="546"/>
        <v>0</v>
      </c>
    </row>
    <row r="1035" spans="1:21" s="552" customFormat="1" ht="15" customHeight="1">
      <c r="A1035" s="621"/>
      <c r="B1035" s="622" t="s">
        <v>968</v>
      </c>
      <c r="C1035" s="558" t="str">
        <f t="shared" si="542"/>
        <v xml:space="preserve"> </v>
      </c>
      <c r="D1035" s="553"/>
      <c r="E1035" s="694" t="str">
        <f>VLOOKUP($B1035,dongia1,DG!$C$5,)</f>
        <v>Kẹp hotline 4/0</v>
      </c>
      <c r="F1035" s="555" t="str">
        <f>VLOOKUP($B1035,dongia1,DG!$D$5,)</f>
        <v>cái</v>
      </c>
      <c r="G1035" s="205">
        <v>13</v>
      </c>
      <c r="H1035" s="556"/>
      <c r="I1035" s="556">
        <f t="shared" ca="1" si="543"/>
        <v>0</v>
      </c>
      <c r="J1035" s="556">
        <f t="shared" ca="1" si="543"/>
        <v>0</v>
      </c>
      <c r="K1035" s="556">
        <f t="shared" ca="1" si="543"/>
        <v>0</v>
      </c>
      <c r="L1035" s="556">
        <f t="shared" ca="1" si="543"/>
        <v>0</v>
      </c>
      <c r="M1035" s="556"/>
      <c r="N1035" s="556">
        <f t="shared" ca="1" si="543"/>
        <v>0</v>
      </c>
      <c r="O1035" s="556">
        <f t="shared" si="543"/>
        <v>0</v>
      </c>
      <c r="P1035" s="182">
        <f>VLOOKUP($B1035,dongia1,DG!$F$5,)</f>
        <v>112000</v>
      </c>
      <c r="Q1035" s="182"/>
      <c r="R1035" s="554"/>
      <c r="S1035" s="113">
        <f t="shared" si="544"/>
        <v>1456000</v>
      </c>
      <c r="T1035" s="113">
        <f t="shared" si="545"/>
        <v>0</v>
      </c>
      <c r="U1035" s="557">
        <f t="shared" si="546"/>
        <v>0</v>
      </c>
    </row>
    <row r="1036" spans="1:21" s="552" customFormat="1" ht="15" customHeight="1">
      <c r="A1036" s="621"/>
      <c r="B1036" s="622" t="s">
        <v>1451</v>
      </c>
      <c r="C1036" s="558" t="str">
        <f t="shared" si="542"/>
        <v xml:space="preserve"> </v>
      </c>
      <c r="D1036" s="553"/>
      <c r="E1036" s="694" t="str">
        <f>VLOOKUP($B1036,dongia1,DG!$C$5,)</f>
        <v>Bộ chống chằng hẹp Þ60/50x1500+2BL12x40+BL16x250/80</v>
      </c>
      <c r="F1036" s="555" t="str">
        <f>VLOOKUP($B1036,dongia1,DG!$D$5,)</f>
        <v>bộ</v>
      </c>
      <c r="G1036" s="205">
        <v>1</v>
      </c>
      <c r="H1036" s="556"/>
      <c r="I1036" s="556">
        <f t="shared" ca="1" si="543"/>
        <v>0</v>
      </c>
      <c r="J1036" s="556">
        <f t="shared" ca="1" si="543"/>
        <v>0</v>
      </c>
      <c r="K1036" s="556">
        <f t="shared" ca="1" si="543"/>
        <v>0</v>
      </c>
      <c r="L1036" s="556">
        <f t="shared" ca="1" si="543"/>
        <v>0</v>
      </c>
      <c r="M1036" s="556"/>
      <c r="N1036" s="556">
        <f t="shared" ca="1" si="543"/>
        <v>0</v>
      </c>
      <c r="O1036" s="556">
        <f t="shared" si="543"/>
        <v>0</v>
      </c>
      <c r="P1036" s="182">
        <f>VLOOKUP($B1036,dongia1,DG!$F$5,)</f>
        <v>305000</v>
      </c>
      <c r="Q1036" s="182"/>
      <c r="R1036" s="554"/>
      <c r="S1036" s="113">
        <f t="shared" si="544"/>
        <v>305000</v>
      </c>
      <c r="T1036" s="113">
        <f t="shared" si="545"/>
        <v>0</v>
      </c>
      <c r="U1036" s="557">
        <f t="shared" si="546"/>
        <v>0</v>
      </c>
    </row>
    <row r="1037" spans="1:21" s="552" customFormat="1" ht="15" customHeight="1">
      <c r="A1037" s="621"/>
      <c r="B1037" s="622" t="s">
        <v>593</v>
      </c>
      <c r="C1037" s="558" t="str">
        <f t="shared" si="542"/>
        <v xml:space="preserve"> </v>
      </c>
      <c r="D1037" s="553"/>
      <c r="E1037" s="694" t="str">
        <f>VLOOKUP($B1037,dongia1,DG!$C$5,)</f>
        <v>Sắt dẹt 60 x 6</v>
      </c>
      <c r="F1037" s="555" t="str">
        <f>VLOOKUP($B1037,dongia1,DG!$D$5,)</f>
        <v>kg</v>
      </c>
      <c r="G1037" s="205">
        <v>2</v>
      </c>
      <c r="H1037" s="556"/>
      <c r="I1037" s="556">
        <f t="shared" ca="1" si="543"/>
        <v>0</v>
      </c>
      <c r="J1037" s="556">
        <f t="shared" ca="1" si="543"/>
        <v>0</v>
      </c>
      <c r="K1037" s="556">
        <f t="shared" ca="1" si="543"/>
        <v>0</v>
      </c>
      <c r="L1037" s="556">
        <f t="shared" ca="1" si="543"/>
        <v>0</v>
      </c>
      <c r="M1037" s="556"/>
      <c r="N1037" s="556">
        <f t="shared" ca="1" si="543"/>
        <v>0</v>
      </c>
      <c r="O1037" s="556">
        <f t="shared" si="543"/>
        <v>0</v>
      </c>
      <c r="P1037" s="182">
        <f>VLOOKUP($B1037,dongia1,DG!$F$5,)</f>
        <v>31625</v>
      </c>
      <c r="Q1037" s="182"/>
      <c r="R1037" s="554"/>
      <c r="S1037" s="113">
        <f t="shared" si="544"/>
        <v>63250</v>
      </c>
      <c r="T1037" s="113">
        <f t="shared" si="545"/>
        <v>0</v>
      </c>
      <c r="U1037" s="557">
        <f t="shared" si="546"/>
        <v>0</v>
      </c>
    </row>
    <row r="1038" spans="1:21" s="552" customFormat="1" ht="15" customHeight="1">
      <c r="A1038" s="621"/>
      <c r="B1038" s="622" t="s">
        <v>143</v>
      </c>
      <c r="C1038" s="558" t="str">
        <f t="shared" si="542"/>
        <v xml:space="preserve"> </v>
      </c>
      <c r="D1038" s="553"/>
      <c r="E1038" s="694" t="str">
        <f>VLOOKUP($B1038,dongia1,DG!$C$5,)</f>
        <v xml:space="preserve">Móc treo chữ U F16 dài </v>
      </c>
      <c r="F1038" s="555" t="str">
        <f>VLOOKUP($B1038,dongia1,DG!$D$5,)</f>
        <v>cái</v>
      </c>
      <c r="G1038" s="205">
        <v>1</v>
      </c>
      <c r="H1038" s="556"/>
      <c r="I1038" s="556">
        <f t="shared" ca="1" si="543"/>
        <v>0</v>
      </c>
      <c r="J1038" s="556">
        <f t="shared" ca="1" si="543"/>
        <v>0</v>
      </c>
      <c r="K1038" s="556">
        <f t="shared" ca="1" si="543"/>
        <v>0</v>
      </c>
      <c r="L1038" s="556">
        <f t="shared" ca="1" si="543"/>
        <v>0</v>
      </c>
      <c r="M1038" s="556"/>
      <c r="N1038" s="556">
        <f t="shared" ca="1" si="543"/>
        <v>0</v>
      </c>
      <c r="O1038" s="556">
        <f t="shared" si="543"/>
        <v>0</v>
      </c>
      <c r="P1038" s="182">
        <f>VLOOKUP($B1038,dongia1,DG!$F$5,)</f>
        <v>28000</v>
      </c>
      <c r="Q1038" s="182"/>
      <c r="R1038" s="554"/>
      <c r="S1038" s="113">
        <f t="shared" si="544"/>
        <v>28000</v>
      </c>
      <c r="T1038" s="113">
        <f t="shared" si="545"/>
        <v>0</v>
      </c>
      <c r="U1038" s="557">
        <f t="shared" si="546"/>
        <v>0</v>
      </c>
    </row>
    <row r="1039" spans="1:21" s="552" customFormat="1" ht="15" customHeight="1">
      <c r="A1039" s="621"/>
      <c r="B1039" s="622" t="s">
        <v>1770</v>
      </c>
      <c r="C1039" s="558" t="str">
        <f t="shared" si="542"/>
        <v xml:space="preserve"> </v>
      </c>
      <c r="D1039" s="553"/>
      <c r="E1039" s="694" t="str">
        <f>VLOOKUP($B1039,dongia1,DG!$C$5,)</f>
        <v>Boulon 16x100VRS+ 4 long đền vuông D18-50x50x3/Zn</v>
      </c>
      <c r="F1039" s="555" t="str">
        <f>VLOOKUP($B1039,dongia1,DG!$D$5,)</f>
        <v>bộ</v>
      </c>
      <c r="G1039" s="205">
        <v>2</v>
      </c>
      <c r="H1039" s="556"/>
      <c r="I1039" s="556">
        <f t="shared" ca="1" si="543"/>
        <v>0</v>
      </c>
      <c r="J1039" s="556">
        <f t="shared" ca="1" si="543"/>
        <v>0</v>
      </c>
      <c r="K1039" s="556">
        <f t="shared" ca="1" si="543"/>
        <v>0</v>
      </c>
      <c r="L1039" s="556">
        <f t="shared" ca="1" si="543"/>
        <v>0</v>
      </c>
      <c r="M1039" s="556"/>
      <c r="N1039" s="556">
        <f t="shared" ca="1" si="543"/>
        <v>0</v>
      </c>
      <c r="O1039" s="556">
        <f t="shared" si="543"/>
        <v>0</v>
      </c>
      <c r="P1039" s="182">
        <f>VLOOKUP($B1039,dongia1,DG!$F$5,)</f>
        <v>22800</v>
      </c>
      <c r="Q1039" s="182">
        <f>VLOOKUP($B1039,dongia1,DG!$G$5,)</f>
        <v>0</v>
      </c>
      <c r="R1039" s="554"/>
      <c r="S1039" s="113">
        <f t="shared" si="544"/>
        <v>45600</v>
      </c>
      <c r="T1039" s="113">
        <f t="shared" si="545"/>
        <v>0</v>
      </c>
      <c r="U1039" s="557">
        <f t="shared" si="546"/>
        <v>0</v>
      </c>
    </row>
    <row r="1040" spans="1:21" s="552" customFormat="1" ht="15" customHeight="1">
      <c r="A1040" s="621"/>
      <c r="B1040" s="622" t="s">
        <v>537</v>
      </c>
      <c r="C1040" s="558" t="str">
        <f t="shared" si="542"/>
        <v xml:space="preserve"> </v>
      </c>
      <c r="D1040" s="553"/>
      <c r="E1040" s="694" t="str">
        <f>VLOOKUP($B1040,dongia1,DG!$C$5,)</f>
        <v>Yếm đỡ dày chằng F1/2 mạ Zn (Yếm cáp)</v>
      </c>
      <c r="F1040" s="555" t="str">
        <f>VLOOKUP($B1040,dongia1,DG!$D$5,)</f>
        <v>cái</v>
      </c>
      <c r="G1040" s="205">
        <v>2</v>
      </c>
      <c r="H1040" s="556"/>
      <c r="I1040" s="556">
        <f t="shared" ca="1" si="543"/>
        <v>0</v>
      </c>
      <c r="J1040" s="556">
        <f t="shared" ca="1" si="543"/>
        <v>0</v>
      </c>
      <c r="K1040" s="556">
        <f t="shared" ca="1" si="543"/>
        <v>0</v>
      </c>
      <c r="L1040" s="556">
        <f t="shared" ca="1" si="543"/>
        <v>0</v>
      </c>
      <c r="M1040" s="556"/>
      <c r="N1040" s="556">
        <f t="shared" ca="1" si="543"/>
        <v>0</v>
      </c>
      <c r="O1040" s="556">
        <f t="shared" si="543"/>
        <v>0</v>
      </c>
      <c r="P1040" s="182">
        <f>VLOOKUP($B1040,dongia1,DG!$F$5,)</f>
        <v>6000</v>
      </c>
      <c r="Q1040" s="182"/>
      <c r="R1040" s="554"/>
      <c r="S1040" s="113">
        <f t="shared" si="544"/>
        <v>12000</v>
      </c>
      <c r="T1040" s="113">
        <f t="shared" si="545"/>
        <v>0</v>
      </c>
      <c r="U1040" s="557">
        <f t="shared" si="546"/>
        <v>0</v>
      </c>
    </row>
    <row r="1041" spans="1:21" s="552" customFormat="1" ht="15" customHeight="1">
      <c r="A1041" s="621"/>
      <c r="B1041" s="622" t="s">
        <v>538</v>
      </c>
      <c r="C1041" s="558" t="str">
        <f t="shared" si="542"/>
        <v xml:space="preserve"> </v>
      </c>
      <c r="D1041" s="553"/>
      <c r="E1041" s="694" t="str">
        <f>VLOOKUP($B1041,dongia1,DG!$C$5,)</f>
        <v>Máng che dây chằng dày 1,6mm 0,4x2000</v>
      </c>
      <c r="F1041" s="555" t="str">
        <f>VLOOKUP($B1041,dongia1,DG!$D$5,)</f>
        <v>cái</v>
      </c>
      <c r="G1041" s="205">
        <v>1</v>
      </c>
      <c r="H1041" s="556"/>
      <c r="I1041" s="556">
        <f t="shared" ca="1" si="543"/>
        <v>0</v>
      </c>
      <c r="J1041" s="556">
        <f t="shared" ca="1" si="543"/>
        <v>0</v>
      </c>
      <c r="K1041" s="556">
        <f t="shared" ca="1" si="543"/>
        <v>0</v>
      </c>
      <c r="L1041" s="556">
        <f t="shared" ca="1" si="543"/>
        <v>0</v>
      </c>
      <c r="M1041" s="556"/>
      <c r="N1041" s="556">
        <f t="shared" ca="1" si="543"/>
        <v>0</v>
      </c>
      <c r="O1041" s="556">
        <f t="shared" si="543"/>
        <v>0</v>
      </c>
      <c r="P1041" s="182">
        <f>VLOOKUP($B1041,dongia1,DG!$F$5,)</f>
        <v>55000</v>
      </c>
      <c r="Q1041" s="182"/>
      <c r="R1041" s="554"/>
      <c r="S1041" s="113">
        <f t="shared" si="544"/>
        <v>55000</v>
      </c>
      <c r="T1041" s="113">
        <f t="shared" si="545"/>
        <v>0</v>
      </c>
      <c r="U1041" s="557">
        <f t="shared" si="546"/>
        <v>0</v>
      </c>
    </row>
    <row r="1042" spans="1:21" s="552" customFormat="1" ht="15" customHeight="1">
      <c r="A1042" s="621"/>
      <c r="B1042" s="622" t="s">
        <v>1828</v>
      </c>
      <c r="C1042" s="558" t="str">
        <f t="shared" si="542"/>
        <v xml:space="preserve"> </v>
      </c>
      <c r="D1042" s="553"/>
      <c r="E1042" s="694" t="str">
        <f>VLOOKUP($B1042,dongia1,DG!$C$5,)</f>
        <v>Lắp bộ dây néo</v>
      </c>
      <c r="F1042" s="555" t="str">
        <f>VLOOKUP($B1042,dongia1,DG!$D$5,)</f>
        <v>bộ</v>
      </c>
      <c r="G1042" s="205">
        <f>G1032</f>
        <v>1</v>
      </c>
      <c r="H1042" s="556"/>
      <c r="I1042" s="556">
        <f t="shared" ca="1" si="543"/>
        <v>0</v>
      </c>
      <c r="J1042" s="556">
        <f t="shared" ca="1" si="543"/>
        <v>0</v>
      </c>
      <c r="K1042" s="556">
        <f t="shared" ca="1" si="543"/>
        <v>0</v>
      </c>
      <c r="L1042" s="556">
        <f t="shared" ca="1" si="543"/>
        <v>0</v>
      </c>
      <c r="M1042" s="556"/>
      <c r="N1042" s="556">
        <f t="shared" ca="1" si="543"/>
        <v>0</v>
      </c>
      <c r="O1042" s="556">
        <f t="shared" si="543"/>
        <v>0</v>
      </c>
      <c r="P1042" s="554"/>
      <c r="Q1042" s="182">
        <f>VLOOKUP($B1042,dongia1,DG!$G$5,)</f>
        <v>99000</v>
      </c>
      <c r="R1042" s="554"/>
      <c r="S1042" s="113">
        <f t="shared" si="544"/>
        <v>0</v>
      </c>
      <c r="T1042" s="113">
        <f t="shared" si="545"/>
        <v>99000</v>
      </c>
      <c r="U1042" s="557">
        <f t="shared" si="546"/>
        <v>0</v>
      </c>
    </row>
    <row r="1043" spans="1:21" s="552" customFormat="1" ht="15" customHeight="1">
      <c r="A1043" s="621"/>
      <c r="B1043" s="622" t="s">
        <v>1301</v>
      </c>
      <c r="C1043" s="558" t="str">
        <f t="shared" si="542"/>
        <v xml:space="preserve"> </v>
      </c>
      <c r="D1043" s="553"/>
      <c r="E1043" s="694" t="str">
        <f>VLOOKUP($B1043,dongia1,DG!$C$5,)</f>
        <v>Lắp cổ dê</v>
      </c>
      <c r="F1043" s="555" t="str">
        <f>VLOOKUP($B1043,dongia1,DG!$D$5,)</f>
        <v>cái</v>
      </c>
      <c r="G1043" s="205">
        <v>1</v>
      </c>
      <c r="H1043" s="556"/>
      <c r="I1043" s="556">
        <f t="shared" ca="1" si="543"/>
        <v>0</v>
      </c>
      <c r="J1043" s="556">
        <f t="shared" ca="1" si="543"/>
        <v>0</v>
      </c>
      <c r="K1043" s="556">
        <f t="shared" ca="1" si="543"/>
        <v>0</v>
      </c>
      <c r="L1043" s="556">
        <f t="shared" ca="1" si="543"/>
        <v>0</v>
      </c>
      <c r="M1043" s="556"/>
      <c r="N1043" s="556">
        <f t="shared" ca="1" si="543"/>
        <v>0</v>
      </c>
      <c r="O1043" s="556">
        <f t="shared" si="543"/>
        <v>0</v>
      </c>
      <c r="P1043" s="554"/>
      <c r="Q1043" s="182">
        <f>VLOOKUP($B1043,dongia1,DG!$G$5,)</f>
        <v>77000</v>
      </c>
      <c r="R1043" s="554"/>
      <c r="S1043" s="113">
        <f t="shared" si="544"/>
        <v>0</v>
      </c>
      <c r="T1043" s="113">
        <f t="shared" si="545"/>
        <v>77000</v>
      </c>
      <c r="U1043" s="557">
        <f t="shared" si="546"/>
        <v>0</v>
      </c>
    </row>
    <row r="1044" spans="1:21" s="552" customFormat="1" ht="15" customHeight="1">
      <c r="A1044" s="621"/>
      <c r="B1044" s="622" t="s">
        <v>1601</v>
      </c>
      <c r="C1044" s="558" t="str">
        <f t="shared" si="542"/>
        <v xml:space="preserve"> </v>
      </c>
      <c r="D1044" s="553"/>
      <c r="E1044" s="694" t="str">
        <f>VLOOKUP($B1044,dongia1,DG!$C$5,)</f>
        <v>Lắp bộ chống lệch</v>
      </c>
      <c r="F1044" s="555" t="str">
        <f>VLOOKUP($B1044,dongia1,DG!$D$5,)</f>
        <v>bộ</v>
      </c>
      <c r="G1044" s="205">
        <f>G1029</f>
        <v>1</v>
      </c>
      <c r="H1044" s="556"/>
      <c r="I1044" s="556">
        <f t="shared" ca="1" si="543"/>
        <v>0</v>
      </c>
      <c r="J1044" s="556">
        <f t="shared" ca="1" si="543"/>
        <v>0</v>
      </c>
      <c r="K1044" s="556">
        <f t="shared" ca="1" si="543"/>
        <v>0</v>
      </c>
      <c r="L1044" s="556">
        <f t="shared" ca="1" si="543"/>
        <v>0</v>
      </c>
      <c r="M1044" s="556"/>
      <c r="N1044" s="556">
        <f t="shared" ca="1" si="543"/>
        <v>0</v>
      </c>
      <c r="O1044" s="556">
        <f t="shared" si="543"/>
        <v>0</v>
      </c>
      <c r="P1044" s="554"/>
      <c r="Q1044" s="182">
        <f>VLOOKUP($B1044,dongia1,DG!$G$5,)</f>
        <v>13161</v>
      </c>
      <c r="R1044" s="554"/>
      <c r="S1044" s="113">
        <f>$G1044*P1044</f>
        <v>0</v>
      </c>
      <c r="T1044" s="113">
        <f>$G1044*Q1044</f>
        <v>13161</v>
      </c>
      <c r="U1044" s="557">
        <f>$G1044*R1044</f>
        <v>0</v>
      </c>
    </row>
    <row r="1045" spans="1:21" s="552" customFormat="1" ht="15" customHeight="1">
      <c r="A1045" s="621" t="s">
        <v>87</v>
      </c>
      <c r="B1045" s="622"/>
      <c r="C1045" s="558" t="str">
        <f>IF(H1045&lt;&gt;0,"x"," ")</f>
        <v xml:space="preserve"> </v>
      </c>
      <c r="D1045" s="553"/>
      <c r="E1045" s="727" t="s">
        <v>3619</v>
      </c>
      <c r="F1045" s="600" t="s">
        <v>2113</v>
      </c>
      <c r="G1045" s="205"/>
      <c r="H1045" s="556"/>
      <c r="I1045" s="556">
        <f ca="1">SUMIF(chang3pm,chitiet!$A1045,slchang3pm)</f>
        <v>0</v>
      </c>
      <c r="J1045" s="556">
        <f ca="1">SUMIF(changct,chitiet!$A1045,slchangct)</f>
        <v>0</v>
      </c>
      <c r="K1045" s="556">
        <f ca="1">SUMIF(chang3p1m,chitiet!$A1045,slchang3p1m)</f>
        <v>0</v>
      </c>
      <c r="L1045" s="556">
        <f ca="1">SUMIF(chang1pm,chitiet!$A1045,slchang1pm)</f>
        <v>0</v>
      </c>
      <c r="M1045" s="556"/>
      <c r="N1045" s="556">
        <f ca="1">SUMIF(changHTDL,chitiet!$A1045,Slchanghtdl)</f>
        <v>0</v>
      </c>
      <c r="O1045" s="556"/>
      <c r="P1045" s="554"/>
      <c r="Q1045" s="554"/>
      <c r="R1045" s="554"/>
      <c r="S1045" s="601">
        <f>SUM(S1046:S1057)</f>
        <v>4910900</v>
      </c>
      <c r="T1045" s="601">
        <f>SUM(T1046:T1057)</f>
        <v>253000</v>
      </c>
      <c r="U1045" s="602">
        <f>SUM(U1046:U1057)</f>
        <v>0</v>
      </c>
    </row>
    <row r="1046" spans="1:21" s="552" customFormat="1" ht="15" customHeight="1">
      <c r="A1046" s="621"/>
      <c r="B1046" s="622" t="s">
        <v>233</v>
      </c>
      <c r="C1046" s="558" t="str">
        <f t="shared" ref="C1046:C1057" si="547">C1045</f>
        <v xml:space="preserve"> </v>
      </c>
      <c r="D1046" s="553"/>
      <c r="E1046" s="694" t="str">
        <f>VLOOKUP($B1046,dongia1,DG!$C$5,)&amp;"-Fe8x100 nhúng kẽm"</f>
        <v>Cổ dê Þ 195 nẹp trụ-Fe8x100 nhúng kẽm</v>
      </c>
      <c r="F1046" s="555" t="str">
        <f>VLOOKUP($B1046,dongia1,DG!$D$5,)</f>
        <v>bộ</v>
      </c>
      <c r="G1046" s="205">
        <v>1</v>
      </c>
      <c r="H1046" s="556"/>
      <c r="I1046" s="556">
        <f t="shared" ref="I1046:O1057" ca="1" si="548">I$1045*$G1046</f>
        <v>0</v>
      </c>
      <c r="J1046" s="556">
        <f t="shared" ca="1" si="548"/>
        <v>0</v>
      </c>
      <c r="K1046" s="556">
        <f t="shared" ca="1" si="548"/>
        <v>0</v>
      </c>
      <c r="L1046" s="556">
        <f t="shared" ca="1" si="548"/>
        <v>0</v>
      </c>
      <c r="M1046" s="556"/>
      <c r="N1046" s="556">
        <f t="shared" ca="1" si="548"/>
        <v>0</v>
      </c>
      <c r="O1046" s="556">
        <f t="shared" si="548"/>
        <v>0</v>
      </c>
      <c r="P1046" s="182">
        <f>VLOOKUP($B1046,dongia1,DG!$F$5,)</f>
        <v>213700</v>
      </c>
      <c r="Q1046" s="554"/>
      <c r="R1046" s="554"/>
      <c r="S1046" s="113">
        <f t="shared" ref="S1046:S1057" si="549">$G1046*P1046</f>
        <v>213700</v>
      </c>
      <c r="T1046" s="113">
        <f t="shared" ref="T1046:T1057" si="550">$G1046*Q1046</f>
        <v>0</v>
      </c>
      <c r="U1046" s="557">
        <f t="shared" ref="U1046:U1057" si="551">$G1046*R1046</f>
        <v>0</v>
      </c>
    </row>
    <row r="1047" spans="1:21" s="552" customFormat="1" ht="15" customHeight="1">
      <c r="A1047" s="621"/>
      <c r="B1047" s="622" t="s">
        <v>845</v>
      </c>
      <c r="C1047" s="558" t="str">
        <f>C1046</f>
        <v xml:space="preserve"> </v>
      </c>
      <c r="D1047" s="553"/>
      <c r="E1047" s="694" t="str">
        <f>VLOOKUP($B1047,dongia1,DG!$C$5,)&amp;"-Fe8x100 nhúng kẽm"</f>
        <v>Cổ dê Þ 220 nẹp trụ-Fe8x100 nhúng kẽm</v>
      </c>
      <c r="F1047" s="555" t="str">
        <f>VLOOKUP($B1047,dongia1,DG!$D$5,)</f>
        <v>bộ</v>
      </c>
      <c r="G1047" s="205">
        <v>1</v>
      </c>
      <c r="H1047" s="556"/>
      <c r="I1047" s="556">
        <f t="shared" ca="1" si="548"/>
        <v>0</v>
      </c>
      <c r="J1047" s="556">
        <f t="shared" ca="1" si="548"/>
        <v>0</v>
      </c>
      <c r="K1047" s="556">
        <f t="shared" ca="1" si="548"/>
        <v>0</v>
      </c>
      <c r="L1047" s="556">
        <f t="shared" ca="1" si="548"/>
        <v>0</v>
      </c>
      <c r="M1047" s="556"/>
      <c r="N1047" s="556">
        <f t="shared" ca="1" si="548"/>
        <v>0</v>
      </c>
      <c r="O1047" s="556">
        <f t="shared" si="548"/>
        <v>0</v>
      </c>
      <c r="P1047" s="182">
        <f>VLOOKUP($B1047,dongia1,DG!$F$5,)</f>
        <v>245500</v>
      </c>
      <c r="Q1047" s="554"/>
      <c r="R1047" s="554"/>
      <c r="S1047" s="113">
        <f>$G1047*P1047</f>
        <v>245500</v>
      </c>
      <c r="T1047" s="113">
        <f>$G1047*Q1047</f>
        <v>0</v>
      </c>
      <c r="U1047" s="557">
        <f>$G1047*R1047</f>
        <v>0</v>
      </c>
    </row>
    <row r="1048" spans="1:21" s="552" customFormat="1" ht="15" customHeight="1">
      <c r="A1048" s="621"/>
      <c r="B1048" s="622" t="s">
        <v>1005</v>
      </c>
      <c r="C1048" s="558" t="str">
        <f>C1046</f>
        <v xml:space="preserve"> </v>
      </c>
      <c r="D1048" s="553"/>
      <c r="E1048" s="694" t="str">
        <f>VLOOKUP($B1048,dongia1,DG!$C$5,)</f>
        <v>Sứ chằng</v>
      </c>
      <c r="F1048" s="555" t="str">
        <f>VLOOKUP($B1048,dongia1,DG!$D$5,)</f>
        <v>cái</v>
      </c>
      <c r="G1048" s="205">
        <v>2</v>
      </c>
      <c r="H1048" s="556"/>
      <c r="I1048" s="556">
        <f t="shared" ca="1" si="548"/>
        <v>0</v>
      </c>
      <c r="J1048" s="556">
        <f t="shared" ca="1" si="548"/>
        <v>0</v>
      </c>
      <c r="K1048" s="556">
        <f t="shared" ca="1" si="548"/>
        <v>0</v>
      </c>
      <c r="L1048" s="556">
        <f t="shared" ca="1" si="548"/>
        <v>0</v>
      </c>
      <c r="M1048" s="556"/>
      <c r="N1048" s="556">
        <f t="shared" ca="1" si="548"/>
        <v>0</v>
      </c>
      <c r="O1048" s="556">
        <f t="shared" si="548"/>
        <v>0</v>
      </c>
      <c r="P1048" s="182">
        <f>VLOOKUP($B1048,dongia1,DG!$F$5,)</f>
        <v>38000</v>
      </c>
      <c r="Q1048" s="554"/>
      <c r="R1048" s="554"/>
      <c r="S1048" s="113">
        <f t="shared" si="549"/>
        <v>76000</v>
      </c>
      <c r="T1048" s="113">
        <f t="shared" si="550"/>
        <v>0</v>
      </c>
      <c r="U1048" s="557">
        <f t="shared" si="551"/>
        <v>0</v>
      </c>
    </row>
    <row r="1049" spans="1:21" s="552" customFormat="1" ht="15" customHeight="1">
      <c r="A1049" s="621"/>
      <c r="B1049" s="622" t="s">
        <v>204</v>
      </c>
      <c r="C1049" s="558" t="str">
        <f>C1048</f>
        <v xml:space="preserve"> </v>
      </c>
      <c r="D1049" s="553"/>
      <c r="E1049" s="694" t="str">
        <f>VLOOKUP($B1049,dongia1,DG!$C$5,)</f>
        <v>Kẹp cáp 3 boulon</v>
      </c>
      <c r="F1049" s="555" t="str">
        <f>VLOOKUP($B1049,dongia1,DG!$D$5,)</f>
        <v>cái</v>
      </c>
      <c r="G1049" s="205">
        <v>16</v>
      </c>
      <c r="H1049" s="556"/>
      <c r="I1049" s="556">
        <f t="shared" ca="1" si="548"/>
        <v>0</v>
      </c>
      <c r="J1049" s="556">
        <f t="shared" ca="1" si="548"/>
        <v>0</v>
      </c>
      <c r="K1049" s="556">
        <f t="shared" ca="1" si="548"/>
        <v>0</v>
      </c>
      <c r="L1049" s="556">
        <f t="shared" ca="1" si="548"/>
        <v>0</v>
      </c>
      <c r="M1049" s="556"/>
      <c r="N1049" s="556">
        <f t="shared" ca="1" si="548"/>
        <v>0</v>
      </c>
      <c r="O1049" s="556">
        <f t="shared" si="548"/>
        <v>0</v>
      </c>
      <c r="P1049" s="182">
        <f>VLOOKUP($B1049,dongia1,DG!$F$5,)</f>
        <v>38000</v>
      </c>
      <c r="Q1049" s="554"/>
      <c r="R1049" s="554"/>
      <c r="S1049" s="113">
        <f t="shared" si="549"/>
        <v>608000</v>
      </c>
      <c r="T1049" s="113">
        <f t="shared" si="550"/>
        <v>0</v>
      </c>
      <c r="U1049" s="557">
        <f t="shared" si="551"/>
        <v>0</v>
      </c>
    </row>
    <row r="1050" spans="1:21" s="552" customFormat="1" ht="15" customHeight="1">
      <c r="A1050" s="621"/>
      <c r="B1050" s="622" t="s">
        <v>968</v>
      </c>
      <c r="C1050" s="558" t="str">
        <f>C1049</f>
        <v xml:space="preserve"> </v>
      </c>
      <c r="D1050" s="553"/>
      <c r="E1050" s="694" t="str">
        <f>VLOOKUP($B1050,dongia1,DG!$C$5,)</f>
        <v>Kẹp hotline 4/0</v>
      </c>
      <c r="F1050" s="555" t="str">
        <f>VLOOKUP($B1050,dongia1,DG!$D$5,)</f>
        <v>cái</v>
      </c>
      <c r="G1050" s="205">
        <v>30</v>
      </c>
      <c r="H1050" s="556"/>
      <c r="I1050" s="556">
        <f t="shared" ca="1" si="548"/>
        <v>0</v>
      </c>
      <c r="J1050" s="556">
        <f t="shared" ca="1" si="548"/>
        <v>0</v>
      </c>
      <c r="K1050" s="556">
        <f t="shared" ca="1" si="548"/>
        <v>0</v>
      </c>
      <c r="L1050" s="556">
        <f t="shared" ca="1" si="548"/>
        <v>0</v>
      </c>
      <c r="M1050" s="556"/>
      <c r="N1050" s="556">
        <f t="shared" ca="1" si="548"/>
        <v>0</v>
      </c>
      <c r="O1050" s="556">
        <f t="shared" si="548"/>
        <v>0</v>
      </c>
      <c r="P1050" s="182">
        <f>VLOOKUP($B1050,dongia1,DG!$F$5,)</f>
        <v>112000</v>
      </c>
      <c r="Q1050" s="182"/>
      <c r="R1050" s="554"/>
      <c r="S1050" s="113">
        <f t="shared" si="549"/>
        <v>3360000</v>
      </c>
      <c r="T1050" s="113">
        <f t="shared" si="550"/>
        <v>0</v>
      </c>
      <c r="U1050" s="557">
        <f t="shared" si="551"/>
        <v>0</v>
      </c>
    </row>
    <row r="1051" spans="1:21" s="552" customFormat="1" ht="15" customHeight="1">
      <c r="A1051" s="621"/>
      <c r="B1051" s="622" t="s">
        <v>593</v>
      </c>
      <c r="C1051" s="558" t="str">
        <f>C1050</f>
        <v xml:space="preserve"> </v>
      </c>
      <c r="D1051" s="553"/>
      <c r="E1051" s="694" t="str">
        <f>VLOOKUP($B1051,dongia1,DG!$C$5,)</f>
        <v>Sắt dẹt 60 x 6</v>
      </c>
      <c r="F1051" s="555" t="str">
        <f>VLOOKUP($B1051,dongia1,DG!$D$5,)</f>
        <v>kg</v>
      </c>
      <c r="G1051" s="205">
        <v>4</v>
      </c>
      <c r="H1051" s="556"/>
      <c r="I1051" s="556">
        <f t="shared" ca="1" si="548"/>
        <v>0</v>
      </c>
      <c r="J1051" s="556">
        <f t="shared" ca="1" si="548"/>
        <v>0</v>
      </c>
      <c r="K1051" s="556">
        <f t="shared" ca="1" si="548"/>
        <v>0</v>
      </c>
      <c r="L1051" s="556">
        <f t="shared" ca="1" si="548"/>
        <v>0</v>
      </c>
      <c r="M1051" s="556"/>
      <c r="N1051" s="556">
        <f t="shared" ca="1" si="548"/>
        <v>0</v>
      </c>
      <c r="O1051" s="556">
        <f t="shared" si="548"/>
        <v>0</v>
      </c>
      <c r="P1051" s="182">
        <f>VLOOKUP($B1051,dongia1,DG!$F$5,)</f>
        <v>31625</v>
      </c>
      <c r="Q1051" s="182"/>
      <c r="R1051" s="554"/>
      <c r="S1051" s="113">
        <f t="shared" si="549"/>
        <v>126500</v>
      </c>
      <c r="T1051" s="113">
        <f t="shared" si="550"/>
        <v>0</v>
      </c>
      <c r="U1051" s="557">
        <f t="shared" si="551"/>
        <v>0</v>
      </c>
    </row>
    <row r="1052" spans="1:21" s="552" customFormat="1" ht="15" customHeight="1">
      <c r="A1052" s="621"/>
      <c r="B1052" s="622" t="s">
        <v>143</v>
      </c>
      <c r="C1052" s="558" t="str">
        <f>C1051</f>
        <v xml:space="preserve"> </v>
      </c>
      <c r="D1052" s="553"/>
      <c r="E1052" s="694" t="str">
        <f>VLOOKUP($B1052,dongia1,DG!$C$5,)</f>
        <v xml:space="preserve">Móc treo chữ U F16 dài </v>
      </c>
      <c r="F1052" s="555" t="str">
        <f>VLOOKUP($B1052,dongia1,DG!$D$5,)</f>
        <v>cái</v>
      </c>
      <c r="G1052" s="205">
        <v>2</v>
      </c>
      <c r="H1052" s="556"/>
      <c r="I1052" s="556">
        <f t="shared" ca="1" si="548"/>
        <v>0</v>
      </c>
      <c r="J1052" s="556">
        <f t="shared" ca="1" si="548"/>
        <v>0</v>
      </c>
      <c r="K1052" s="556">
        <f t="shared" ca="1" si="548"/>
        <v>0</v>
      </c>
      <c r="L1052" s="556">
        <f t="shared" ca="1" si="548"/>
        <v>0</v>
      </c>
      <c r="M1052" s="556"/>
      <c r="N1052" s="556">
        <f t="shared" ca="1" si="548"/>
        <v>0</v>
      </c>
      <c r="O1052" s="556">
        <f t="shared" si="548"/>
        <v>0</v>
      </c>
      <c r="P1052" s="182">
        <f>VLOOKUP($B1052,dongia1,DG!$F$5,)</f>
        <v>28000</v>
      </c>
      <c r="Q1052" s="182"/>
      <c r="R1052" s="554"/>
      <c r="S1052" s="113">
        <f t="shared" si="549"/>
        <v>56000</v>
      </c>
      <c r="T1052" s="113">
        <f t="shared" si="550"/>
        <v>0</v>
      </c>
      <c r="U1052" s="557">
        <f t="shared" si="551"/>
        <v>0</v>
      </c>
    </row>
    <row r="1053" spans="1:21" s="552" customFormat="1" ht="15" customHeight="1">
      <c r="A1053" s="621"/>
      <c r="B1053" s="622" t="s">
        <v>1770</v>
      </c>
      <c r="C1053" s="558" t="str">
        <f t="shared" si="547"/>
        <v xml:space="preserve"> </v>
      </c>
      <c r="D1053" s="553"/>
      <c r="E1053" s="694" t="str">
        <f>VLOOKUP($B1053,dongia1,DG!$C$5,)</f>
        <v>Boulon 16x100VRS+ 4 long đền vuông D18-50x50x3/Zn</v>
      </c>
      <c r="F1053" s="555" t="str">
        <f>VLOOKUP($B1053,dongia1,DG!$D$5,)</f>
        <v>bộ</v>
      </c>
      <c r="G1053" s="205">
        <v>4</v>
      </c>
      <c r="H1053" s="556"/>
      <c r="I1053" s="556">
        <f t="shared" ca="1" si="548"/>
        <v>0</v>
      </c>
      <c r="J1053" s="556">
        <f t="shared" ca="1" si="548"/>
        <v>0</v>
      </c>
      <c r="K1053" s="556">
        <f t="shared" ca="1" si="548"/>
        <v>0</v>
      </c>
      <c r="L1053" s="556">
        <f t="shared" ca="1" si="548"/>
        <v>0</v>
      </c>
      <c r="M1053" s="556"/>
      <c r="N1053" s="556">
        <f t="shared" ca="1" si="548"/>
        <v>0</v>
      </c>
      <c r="O1053" s="556">
        <f t="shared" si="548"/>
        <v>0</v>
      </c>
      <c r="P1053" s="182">
        <f>VLOOKUP($B1053,dongia1,DG!$F$5,)</f>
        <v>22800</v>
      </c>
      <c r="Q1053" s="182">
        <f>VLOOKUP($B1053,dongia1,DG!$G$5,)</f>
        <v>0</v>
      </c>
      <c r="R1053" s="554"/>
      <c r="S1053" s="113">
        <f t="shared" si="549"/>
        <v>91200</v>
      </c>
      <c r="T1053" s="113">
        <f t="shared" si="550"/>
        <v>0</v>
      </c>
      <c r="U1053" s="557">
        <f t="shared" si="551"/>
        <v>0</v>
      </c>
    </row>
    <row r="1054" spans="1:21" s="552" customFormat="1" ht="15" customHeight="1">
      <c r="A1054" s="621"/>
      <c r="B1054" s="622" t="s">
        <v>537</v>
      </c>
      <c r="C1054" s="558" t="str">
        <f t="shared" si="547"/>
        <v xml:space="preserve"> </v>
      </c>
      <c r="D1054" s="553"/>
      <c r="E1054" s="694" t="str">
        <f>VLOOKUP($B1054,dongia1,DG!$C$5,)</f>
        <v>Yếm đỡ dày chằng F1/2 mạ Zn (Yếm cáp)</v>
      </c>
      <c r="F1054" s="555" t="str">
        <f>VLOOKUP($B1054,dongia1,DG!$D$5,)</f>
        <v>cái</v>
      </c>
      <c r="G1054" s="205">
        <v>4</v>
      </c>
      <c r="H1054" s="556"/>
      <c r="I1054" s="556">
        <f t="shared" ca="1" si="548"/>
        <v>0</v>
      </c>
      <c r="J1054" s="556">
        <f t="shared" ca="1" si="548"/>
        <v>0</v>
      </c>
      <c r="K1054" s="556">
        <f t="shared" ca="1" si="548"/>
        <v>0</v>
      </c>
      <c r="L1054" s="556">
        <f t="shared" ca="1" si="548"/>
        <v>0</v>
      </c>
      <c r="M1054" s="556"/>
      <c r="N1054" s="556">
        <f t="shared" ca="1" si="548"/>
        <v>0</v>
      </c>
      <c r="O1054" s="556">
        <f t="shared" si="548"/>
        <v>0</v>
      </c>
      <c r="P1054" s="182">
        <f>VLOOKUP($B1054,dongia1,DG!$F$5,)</f>
        <v>6000</v>
      </c>
      <c r="Q1054" s="182"/>
      <c r="R1054" s="554"/>
      <c r="S1054" s="113">
        <f t="shared" si="549"/>
        <v>24000</v>
      </c>
      <c r="T1054" s="113">
        <f t="shared" si="550"/>
        <v>0</v>
      </c>
      <c r="U1054" s="557">
        <f t="shared" si="551"/>
        <v>0</v>
      </c>
    </row>
    <row r="1055" spans="1:21" s="552" customFormat="1" ht="15" customHeight="1">
      <c r="A1055" s="621"/>
      <c r="B1055" s="622" t="s">
        <v>538</v>
      </c>
      <c r="C1055" s="558" t="str">
        <f t="shared" si="547"/>
        <v xml:space="preserve"> </v>
      </c>
      <c r="D1055" s="553"/>
      <c r="E1055" s="694" t="str">
        <f>VLOOKUP($B1055,dongia1,DG!$C$5,)</f>
        <v>Máng che dây chằng dày 1,6mm 0,4x2000</v>
      </c>
      <c r="F1055" s="555" t="str">
        <f>VLOOKUP($B1055,dongia1,DG!$D$5,)</f>
        <v>cái</v>
      </c>
      <c r="G1055" s="205">
        <v>2</v>
      </c>
      <c r="H1055" s="556"/>
      <c r="I1055" s="556">
        <f t="shared" ca="1" si="548"/>
        <v>0</v>
      </c>
      <c r="J1055" s="556">
        <f t="shared" ca="1" si="548"/>
        <v>0</v>
      </c>
      <c r="K1055" s="556">
        <f t="shared" ca="1" si="548"/>
        <v>0</v>
      </c>
      <c r="L1055" s="556">
        <f t="shared" ca="1" si="548"/>
        <v>0</v>
      </c>
      <c r="M1055" s="556"/>
      <c r="N1055" s="556">
        <f t="shared" ca="1" si="548"/>
        <v>0</v>
      </c>
      <c r="O1055" s="556">
        <f t="shared" si="548"/>
        <v>0</v>
      </c>
      <c r="P1055" s="182">
        <f>VLOOKUP($B1055,dongia1,DG!$F$5,)</f>
        <v>55000</v>
      </c>
      <c r="Q1055" s="182"/>
      <c r="R1055" s="554"/>
      <c r="S1055" s="113">
        <f t="shared" si="549"/>
        <v>110000</v>
      </c>
      <c r="T1055" s="113">
        <f t="shared" si="550"/>
        <v>0</v>
      </c>
      <c r="U1055" s="557">
        <f t="shared" si="551"/>
        <v>0</v>
      </c>
    </row>
    <row r="1056" spans="1:21" s="552" customFormat="1" ht="15" customHeight="1">
      <c r="A1056" s="621"/>
      <c r="B1056" s="622" t="s">
        <v>1828</v>
      </c>
      <c r="C1056" s="558" t="str">
        <f t="shared" si="547"/>
        <v xml:space="preserve"> </v>
      </c>
      <c r="D1056" s="553"/>
      <c r="E1056" s="694" t="str">
        <f>VLOOKUP($B1056,dongia1,DG!$C$5,)</f>
        <v>Lắp bộ dây néo</v>
      </c>
      <c r="F1056" s="555" t="str">
        <f>VLOOKUP($B1056,dongia1,DG!$D$5,)</f>
        <v>bộ</v>
      </c>
      <c r="G1056" s="205">
        <f>G1046</f>
        <v>1</v>
      </c>
      <c r="H1056" s="556"/>
      <c r="I1056" s="556">
        <f t="shared" ca="1" si="548"/>
        <v>0</v>
      </c>
      <c r="J1056" s="556">
        <f t="shared" ca="1" si="548"/>
        <v>0</v>
      </c>
      <c r="K1056" s="556">
        <f t="shared" ca="1" si="548"/>
        <v>0</v>
      </c>
      <c r="L1056" s="556">
        <f t="shared" ca="1" si="548"/>
        <v>0</v>
      </c>
      <c r="M1056" s="556"/>
      <c r="N1056" s="556">
        <f t="shared" ca="1" si="548"/>
        <v>0</v>
      </c>
      <c r="O1056" s="556">
        <f t="shared" si="548"/>
        <v>0</v>
      </c>
      <c r="P1056" s="554"/>
      <c r="Q1056" s="182">
        <f>VLOOKUP($B1056,dongia1,DG!$G$5,)</f>
        <v>99000</v>
      </c>
      <c r="R1056" s="554"/>
      <c r="S1056" s="113">
        <f t="shared" si="549"/>
        <v>0</v>
      </c>
      <c r="T1056" s="113">
        <f t="shared" si="550"/>
        <v>99000</v>
      </c>
      <c r="U1056" s="557">
        <f t="shared" si="551"/>
        <v>0</v>
      </c>
    </row>
    <row r="1057" spans="1:21" s="552" customFormat="1" ht="15" customHeight="1">
      <c r="A1057" s="621"/>
      <c r="B1057" s="622" t="s">
        <v>1301</v>
      </c>
      <c r="C1057" s="558" t="str">
        <f t="shared" si="547"/>
        <v xml:space="preserve"> </v>
      </c>
      <c r="D1057" s="553"/>
      <c r="E1057" s="694" t="str">
        <f>VLOOKUP($B1057,dongia1,DG!$C$5,)</f>
        <v>Lắp cổ dê</v>
      </c>
      <c r="F1057" s="555" t="str">
        <f>VLOOKUP($B1057,dongia1,DG!$D$5,)</f>
        <v>cái</v>
      </c>
      <c r="G1057" s="205">
        <v>2</v>
      </c>
      <c r="H1057" s="556"/>
      <c r="I1057" s="556">
        <f t="shared" ca="1" si="548"/>
        <v>0</v>
      </c>
      <c r="J1057" s="556">
        <f t="shared" ca="1" si="548"/>
        <v>0</v>
      </c>
      <c r="K1057" s="556">
        <f t="shared" ca="1" si="548"/>
        <v>0</v>
      </c>
      <c r="L1057" s="556">
        <f t="shared" ca="1" si="548"/>
        <v>0</v>
      </c>
      <c r="M1057" s="556"/>
      <c r="N1057" s="556">
        <f t="shared" ca="1" si="548"/>
        <v>0</v>
      </c>
      <c r="O1057" s="556">
        <f t="shared" si="548"/>
        <v>0</v>
      </c>
      <c r="P1057" s="554"/>
      <c r="Q1057" s="182">
        <f>VLOOKUP($B1057,dongia1,DG!$G$5,)</f>
        <v>77000</v>
      </c>
      <c r="R1057" s="554"/>
      <c r="S1057" s="113">
        <f t="shared" si="549"/>
        <v>0</v>
      </c>
      <c r="T1057" s="113">
        <f t="shared" si="550"/>
        <v>154000</v>
      </c>
      <c r="U1057" s="557">
        <f t="shared" si="551"/>
        <v>0</v>
      </c>
    </row>
    <row r="1058" spans="1:21" s="552" customFormat="1" ht="15" customHeight="1">
      <c r="A1058" s="621" t="s">
        <v>1586</v>
      </c>
      <c r="B1058" s="622"/>
      <c r="C1058" s="558" t="str">
        <f>IF(H1058&lt;&gt;0,"x"," ")</f>
        <v xml:space="preserve"> </v>
      </c>
      <c r="D1058" s="553"/>
      <c r="E1058" s="727" t="s">
        <v>3620</v>
      </c>
      <c r="F1058" s="600" t="s">
        <v>2113</v>
      </c>
      <c r="G1058" s="205"/>
      <c r="H1058" s="556"/>
      <c r="I1058" s="556">
        <f ca="1">SUMIF(chang3pm,chitiet!$A1058,slchang3pm)</f>
        <v>0</v>
      </c>
      <c r="J1058" s="556">
        <f ca="1">SUMIF(changct,chitiet!$A1058,slchangct)</f>
        <v>0</v>
      </c>
      <c r="K1058" s="556">
        <f ca="1">SUMIF(chang3p1m,chitiet!$A1058,slchang3p1m)</f>
        <v>0</v>
      </c>
      <c r="L1058" s="556">
        <f ca="1">SUMIF(chang1pm,chitiet!$A1058,slchang1pm)</f>
        <v>0</v>
      </c>
      <c r="M1058" s="556"/>
      <c r="N1058" s="556">
        <f ca="1">SUMIF(changHTDL,chitiet!$A1058,Slchanghtdl)</f>
        <v>0</v>
      </c>
      <c r="O1058" s="556"/>
      <c r="P1058" s="554"/>
      <c r="Q1058" s="554"/>
      <c r="R1058" s="554"/>
      <c r="S1058" s="601">
        <f>SUM(S1059:S1069)</f>
        <v>2925550</v>
      </c>
      <c r="T1058" s="601">
        <f>SUM(T1059:T1069)</f>
        <v>176000</v>
      </c>
      <c r="U1058" s="602">
        <f>SUM(U1059:U1069)</f>
        <v>0</v>
      </c>
    </row>
    <row r="1059" spans="1:21" s="552" customFormat="1" ht="15" customHeight="1">
      <c r="A1059" s="621"/>
      <c r="B1059" s="622" t="s">
        <v>233</v>
      </c>
      <c r="C1059" s="558" t="str">
        <f t="shared" ref="C1059:C1069" si="552">C1058</f>
        <v xml:space="preserve"> </v>
      </c>
      <c r="D1059" s="553"/>
      <c r="E1059" s="694" t="str">
        <f>VLOOKUP($B1059,dongia1,DG!$C$5,)&amp;"-Fe8x100 nhúng kẽm"</f>
        <v>Cổ dê Þ 195 nẹp trụ-Fe8x100 nhúng kẽm</v>
      </c>
      <c r="F1059" s="555" t="str">
        <f>VLOOKUP($B1059,dongia1,DG!$D$5,)</f>
        <v>bộ</v>
      </c>
      <c r="G1059" s="205">
        <v>1</v>
      </c>
      <c r="H1059" s="556"/>
      <c r="I1059" s="556">
        <f t="shared" ref="I1059:O1069" ca="1" si="553">I$1058*$G1059</f>
        <v>0</v>
      </c>
      <c r="J1059" s="556">
        <f t="shared" ca="1" si="553"/>
        <v>0</v>
      </c>
      <c r="K1059" s="556">
        <f t="shared" ca="1" si="553"/>
        <v>0</v>
      </c>
      <c r="L1059" s="556">
        <f t="shared" ca="1" si="553"/>
        <v>0</v>
      </c>
      <c r="M1059" s="556"/>
      <c r="N1059" s="556">
        <f t="shared" ca="1" si="553"/>
        <v>0</v>
      </c>
      <c r="O1059" s="556">
        <f t="shared" si="553"/>
        <v>0</v>
      </c>
      <c r="P1059" s="182">
        <f>VLOOKUP($B1059,dongia1,DG!$F$5,)</f>
        <v>213700</v>
      </c>
      <c r="Q1059" s="554"/>
      <c r="R1059" s="554"/>
      <c r="S1059" s="113">
        <f t="shared" ref="S1059:S1069" si="554">$G1059*P1059</f>
        <v>213700</v>
      </c>
      <c r="T1059" s="113">
        <f t="shared" ref="T1059:T1069" si="555">$G1059*Q1059</f>
        <v>0</v>
      </c>
      <c r="U1059" s="557">
        <f t="shared" ref="U1059:U1069" si="556">$G1059*R1059</f>
        <v>0</v>
      </c>
    </row>
    <row r="1060" spans="1:21" s="552" customFormat="1" ht="15" customHeight="1">
      <c r="A1060" s="621"/>
      <c r="B1060" s="622" t="s">
        <v>1005</v>
      </c>
      <c r="C1060" s="558" t="str">
        <f>C1059</f>
        <v xml:space="preserve"> </v>
      </c>
      <c r="D1060" s="553"/>
      <c r="E1060" s="694" t="str">
        <f>VLOOKUP($B1060,dongia1,DG!$C$5,)</f>
        <v>Sứ chằng</v>
      </c>
      <c r="F1060" s="555" t="str">
        <f>VLOOKUP($B1060,dongia1,DG!$D$5,)</f>
        <v>cái</v>
      </c>
      <c r="G1060" s="205">
        <v>2</v>
      </c>
      <c r="H1060" s="556"/>
      <c r="I1060" s="556">
        <f t="shared" ca="1" si="553"/>
        <v>0</v>
      </c>
      <c r="J1060" s="556">
        <f t="shared" ca="1" si="553"/>
        <v>0</v>
      </c>
      <c r="K1060" s="556">
        <f t="shared" ca="1" si="553"/>
        <v>0</v>
      </c>
      <c r="L1060" s="556">
        <f t="shared" ca="1" si="553"/>
        <v>0</v>
      </c>
      <c r="M1060" s="556"/>
      <c r="N1060" s="556">
        <f t="shared" ca="1" si="553"/>
        <v>0</v>
      </c>
      <c r="O1060" s="556">
        <f t="shared" si="553"/>
        <v>0</v>
      </c>
      <c r="P1060" s="182">
        <f>VLOOKUP($B1060,dongia1,DG!$F$5,)</f>
        <v>38000</v>
      </c>
      <c r="Q1060" s="554"/>
      <c r="R1060" s="554"/>
      <c r="S1060" s="113">
        <f t="shared" si="554"/>
        <v>76000</v>
      </c>
      <c r="T1060" s="113">
        <f t="shared" si="555"/>
        <v>0</v>
      </c>
      <c r="U1060" s="557">
        <f t="shared" si="556"/>
        <v>0</v>
      </c>
    </row>
    <row r="1061" spans="1:21" s="552" customFormat="1" ht="15" customHeight="1">
      <c r="A1061" s="621"/>
      <c r="B1061" s="622" t="s">
        <v>204</v>
      </c>
      <c r="C1061" s="558" t="str">
        <f t="shared" si="552"/>
        <v xml:space="preserve"> </v>
      </c>
      <c r="D1061" s="553"/>
      <c r="E1061" s="694" t="str">
        <f>VLOOKUP($B1061,dongia1,DG!$C$5,)</f>
        <v>Kẹp cáp 3 boulon</v>
      </c>
      <c r="F1061" s="555" t="str">
        <f>VLOOKUP($B1061,dongia1,DG!$D$5,)</f>
        <v>cái</v>
      </c>
      <c r="G1061" s="205">
        <v>8</v>
      </c>
      <c r="H1061" s="556"/>
      <c r="I1061" s="556">
        <f t="shared" ca="1" si="553"/>
        <v>0</v>
      </c>
      <c r="J1061" s="556">
        <f t="shared" ca="1" si="553"/>
        <v>0</v>
      </c>
      <c r="K1061" s="556">
        <f t="shared" ca="1" si="553"/>
        <v>0</v>
      </c>
      <c r="L1061" s="556">
        <f t="shared" ca="1" si="553"/>
        <v>0</v>
      </c>
      <c r="M1061" s="556"/>
      <c r="N1061" s="556">
        <f t="shared" ca="1" si="553"/>
        <v>0</v>
      </c>
      <c r="O1061" s="556">
        <f t="shared" si="553"/>
        <v>0</v>
      </c>
      <c r="P1061" s="182">
        <f>VLOOKUP($B1061,dongia1,DG!$F$5,)</f>
        <v>38000</v>
      </c>
      <c r="Q1061" s="554"/>
      <c r="R1061" s="554"/>
      <c r="S1061" s="113">
        <f t="shared" si="554"/>
        <v>304000</v>
      </c>
      <c r="T1061" s="113">
        <f t="shared" si="555"/>
        <v>0</v>
      </c>
      <c r="U1061" s="557">
        <f t="shared" si="556"/>
        <v>0</v>
      </c>
    </row>
    <row r="1062" spans="1:21" s="552" customFormat="1" ht="15" customHeight="1">
      <c r="A1062" s="621"/>
      <c r="B1062" s="622" t="s">
        <v>968</v>
      </c>
      <c r="C1062" s="558" t="str">
        <f t="shared" si="552"/>
        <v xml:space="preserve"> </v>
      </c>
      <c r="D1062" s="553"/>
      <c r="E1062" s="694" t="str">
        <f>VLOOKUP($B1062,dongia1,DG!$C$5,)</f>
        <v>Kẹp hotline 4/0</v>
      </c>
      <c r="F1062" s="555" t="str">
        <f>VLOOKUP($B1062,dongia1,DG!$D$5,)</f>
        <v>cái</v>
      </c>
      <c r="G1062" s="205">
        <v>19</v>
      </c>
      <c r="H1062" s="556"/>
      <c r="I1062" s="556">
        <f t="shared" ca="1" si="553"/>
        <v>0</v>
      </c>
      <c r="J1062" s="556">
        <f t="shared" ca="1" si="553"/>
        <v>0</v>
      </c>
      <c r="K1062" s="556">
        <f t="shared" ca="1" si="553"/>
        <v>0</v>
      </c>
      <c r="L1062" s="556">
        <f t="shared" ca="1" si="553"/>
        <v>0</v>
      </c>
      <c r="M1062" s="556"/>
      <c r="N1062" s="556">
        <f t="shared" ca="1" si="553"/>
        <v>0</v>
      </c>
      <c r="O1062" s="556">
        <f t="shared" si="553"/>
        <v>0</v>
      </c>
      <c r="P1062" s="182">
        <f>VLOOKUP($B1062,dongia1,DG!$F$5,)</f>
        <v>112000</v>
      </c>
      <c r="Q1062" s="182"/>
      <c r="R1062" s="554"/>
      <c r="S1062" s="113">
        <f t="shared" si="554"/>
        <v>2128000</v>
      </c>
      <c r="T1062" s="113">
        <f t="shared" si="555"/>
        <v>0</v>
      </c>
      <c r="U1062" s="557">
        <f t="shared" si="556"/>
        <v>0</v>
      </c>
    </row>
    <row r="1063" spans="1:21" s="552" customFormat="1" ht="15" customHeight="1">
      <c r="A1063" s="621"/>
      <c r="B1063" s="622" t="s">
        <v>593</v>
      </c>
      <c r="C1063" s="558" t="str">
        <f t="shared" si="552"/>
        <v xml:space="preserve"> </v>
      </c>
      <c r="D1063" s="553"/>
      <c r="E1063" s="694" t="str">
        <f>VLOOKUP($B1063,dongia1,DG!$C$5,)</f>
        <v>Sắt dẹt 60 x 6</v>
      </c>
      <c r="F1063" s="555" t="str">
        <f>VLOOKUP($B1063,dongia1,DG!$D$5,)</f>
        <v>kg</v>
      </c>
      <c r="G1063" s="205">
        <v>2</v>
      </c>
      <c r="H1063" s="556"/>
      <c r="I1063" s="556">
        <f t="shared" ca="1" si="553"/>
        <v>0</v>
      </c>
      <c r="J1063" s="556">
        <f t="shared" ca="1" si="553"/>
        <v>0</v>
      </c>
      <c r="K1063" s="556">
        <f t="shared" ca="1" si="553"/>
        <v>0</v>
      </c>
      <c r="L1063" s="556">
        <f t="shared" ca="1" si="553"/>
        <v>0</v>
      </c>
      <c r="M1063" s="556"/>
      <c r="N1063" s="556">
        <f t="shared" ca="1" si="553"/>
        <v>0</v>
      </c>
      <c r="O1063" s="556">
        <f t="shared" si="553"/>
        <v>0</v>
      </c>
      <c r="P1063" s="182">
        <f>VLOOKUP($B1063,dongia1,DG!$F$5,)</f>
        <v>31625</v>
      </c>
      <c r="Q1063" s="182"/>
      <c r="R1063" s="554"/>
      <c r="S1063" s="113">
        <f t="shared" si="554"/>
        <v>63250</v>
      </c>
      <c r="T1063" s="113">
        <f t="shared" si="555"/>
        <v>0</v>
      </c>
      <c r="U1063" s="557">
        <f t="shared" si="556"/>
        <v>0</v>
      </c>
    </row>
    <row r="1064" spans="1:21" s="552" customFormat="1" ht="15" customHeight="1">
      <c r="A1064" s="621"/>
      <c r="B1064" s="622" t="s">
        <v>143</v>
      </c>
      <c r="C1064" s="558" t="str">
        <f t="shared" si="552"/>
        <v xml:space="preserve"> </v>
      </c>
      <c r="D1064" s="553"/>
      <c r="E1064" s="694" t="str">
        <f>VLOOKUP($B1064,dongia1,DG!$C$5,)</f>
        <v xml:space="preserve">Móc treo chữ U F16 dài </v>
      </c>
      <c r="F1064" s="555" t="str">
        <f>VLOOKUP($B1064,dongia1,DG!$D$5,)</f>
        <v>cái</v>
      </c>
      <c r="G1064" s="205">
        <v>1</v>
      </c>
      <c r="H1064" s="556"/>
      <c r="I1064" s="556">
        <f t="shared" ca="1" si="553"/>
        <v>0</v>
      </c>
      <c r="J1064" s="556">
        <f t="shared" ca="1" si="553"/>
        <v>0</v>
      </c>
      <c r="K1064" s="556">
        <f t="shared" ca="1" si="553"/>
        <v>0</v>
      </c>
      <c r="L1064" s="556">
        <f t="shared" ca="1" si="553"/>
        <v>0</v>
      </c>
      <c r="M1064" s="556"/>
      <c r="N1064" s="556">
        <f t="shared" ca="1" si="553"/>
        <v>0</v>
      </c>
      <c r="O1064" s="556">
        <f t="shared" si="553"/>
        <v>0</v>
      </c>
      <c r="P1064" s="182">
        <f>VLOOKUP($B1064,dongia1,DG!$F$5,)</f>
        <v>28000</v>
      </c>
      <c r="Q1064" s="182"/>
      <c r="R1064" s="554"/>
      <c r="S1064" s="113">
        <f t="shared" si="554"/>
        <v>28000</v>
      </c>
      <c r="T1064" s="113">
        <f t="shared" si="555"/>
        <v>0</v>
      </c>
      <c r="U1064" s="557">
        <f t="shared" si="556"/>
        <v>0</v>
      </c>
    </row>
    <row r="1065" spans="1:21" s="552" customFormat="1" ht="15" customHeight="1">
      <c r="A1065" s="621"/>
      <c r="B1065" s="622" t="s">
        <v>1770</v>
      </c>
      <c r="C1065" s="558" t="str">
        <f t="shared" si="552"/>
        <v xml:space="preserve"> </v>
      </c>
      <c r="D1065" s="553"/>
      <c r="E1065" s="694" t="str">
        <f>VLOOKUP($B1065,dongia1,DG!$C$5,)</f>
        <v>Boulon 16x100VRS+ 4 long đền vuông D18-50x50x3/Zn</v>
      </c>
      <c r="F1065" s="555" t="str">
        <f>VLOOKUP($B1065,dongia1,DG!$D$5,)</f>
        <v>bộ</v>
      </c>
      <c r="G1065" s="205">
        <v>2</v>
      </c>
      <c r="H1065" s="556"/>
      <c r="I1065" s="556">
        <f t="shared" ca="1" si="553"/>
        <v>0</v>
      </c>
      <c r="J1065" s="556">
        <f t="shared" ca="1" si="553"/>
        <v>0</v>
      </c>
      <c r="K1065" s="556">
        <f t="shared" ca="1" si="553"/>
        <v>0</v>
      </c>
      <c r="L1065" s="556">
        <f t="shared" ca="1" si="553"/>
        <v>0</v>
      </c>
      <c r="M1065" s="556"/>
      <c r="N1065" s="556">
        <f t="shared" ca="1" si="553"/>
        <v>0</v>
      </c>
      <c r="O1065" s="556">
        <f t="shared" si="553"/>
        <v>0</v>
      </c>
      <c r="P1065" s="182">
        <f>VLOOKUP($B1065,dongia1,DG!$F$5,)</f>
        <v>22800</v>
      </c>
      <c r="Q1065" s="182">
        <f>VLOOKUP($B1065,dongia1,DG!$G$5,)</f>
        <v>0</v>
      </c>
      <c r="R1065" s="554"/>
      <c r="S1065" s="113">
        <f t="shared" si="554"/>
        <v>45600</v>
      </c>
      <c r="T1065" s="113">
        <f t="shared" si="555"/>
        <v>0</v>
      </c>
      <c r="U1065" s="557">
        <f t="shared" si="556"/>
        <v>0</v>
      </c>
    </row>
    <row r="1066" spans="1:21" s="552" customFormat="1" ht="15" customHeight="1">
      <c r="A1066" s="621"/>
      <c r="B1066" s="622" t="s">
        <v>537</v>
      </c>
      <c r="C1066" s="558" t="str">
        <f t="shared" si="552"/>
        <v xml:space="preserve"> </v>
      </c>
      <c r="D1066" s="553"/>
      <c r="E1066" s="694" t="str">
        <f>VLOOKUP($B1066,dongia1,DG!$C$5,)</f>
        <v>Yếm đỡ dày chằng F1/2 mạ Zn (Yếm cáp)</v>
      </c>
      <c r="F1066" s="555" t="str">
        <f>VLOOKUP($B1066,dongia1,DG!$D$5,)</f>
        <v>cái</v>
      </c>
      <c r="G1066" s="205">
        <v>2</v>
      </c>
      <c r="H1066" s="556"/>
      <c r="I1066" s="556">
        <f t="shared" ca="1" si="553"/>
        <v>0</v>
      </c>
      <c r="J1066" s="556">
        <f t="shared" ca="1" si="553"/>
        <v>0</v>
      </c>
      <c r="K1066" s="556">
        <f t="shared" ca="1" si="553"/>
        <v>0</v>
      </c>
      <c r="L1066" s="556">
        <f t="shared" ca="1" si="553"/>
        <v>0</v>
      </c>
      <c r="M1066" s="556"/>
      <c r="N1066" s="556">
        <f t="shared" ca="1" si="553"/>
        <v>0</v>
      </c>
      <c r="O1066" s="556">
        <f t="shared" si="553"/>
        <v>0</v>
      </c>
      <c r="P1066" s="182">
        <f>VLOOKUP($B1066,dongia1,DG!$F$5,)</f>
        <v>6000</v>
      </c>
      <c r="Q1066" s="182"/>
      <c r="R1066" s="554"/>
      <c r="S1066" s="113">
        <f t="shared" si="554"/>
        <v>12000</v>
      </c>
      <c r="T1066" s="113">
        <f t="shared" si="555"/>
        <v>0</v>
      </c>
      <c r="U1066" s="557">
        <f t="shared" si="556"/>
        <v>0</v>
      </c>
    </row>
    <row r="1067" spans="1:21" s="552" customFormat="1" ht="15" customHeight="1">
      <c r="A1067" s="621"/>
      <c r="B1067" s="622" t="s">
        <v>538</v>
      </c>
      <c r="C1067" s="558" t="str">
        <f t="shared" si="552"/>
        <v xml:space="preserve"> </v>
      </c>
      <c r="D1067" s="553"/>
      <c r="E1067" s="694" t="str">
        <f>VLOOKUP($B1067,dongia1,DG!$C$5,)</f>
        <v>Máng che dây chằng dày 1,6mm 0,4x2000</v>
      </c>
      <c r="F1067" s="555" t="str">
        <f>VLOOKUP($B1067,dongia1,DG!$D$5,)</f>
        <v>cái</v>
      </c>
      <c r="G1067" s="205">
        <v>1</v>
      </c>
      <c r="H1067" s="556"/>
      <c r="I1067" s="556">
        <f t="shared" ca="1" si="553"/>
        <v>0</v>
      </c>
      <c r="J1067" s="556">
        <f t="shared" ca="1" si="553"/>
        <v>0</v>
      </c>
      <c r="K1067" s="556">
        <f t="shared" ca="1" si="553"/>
        <v>0</v>
      </c>
      <c r="L1067" s="556">
        <f t="shared" ca="1" si="553"/>
        <v>0</v>
      </c>
      <c r="M1067" s="556"/>
      <c r="N1067" s="556">
        <f t="shared" ca="1" si="553"/>
        <v>0</v>
      </c>
      <c r="O1067" s="556">
        <f t="shared" si="553"/>
        <v>0</v>
      </c>
      <c r="P1067" s="182">
        <f>VLOOKUP($B1067,dongia1,DG!$F$5,)</f>
        <v>55000</v>
      </c>
      <c r="Q1067" s="182"/>
      <c r="R1067" s="554"/>
      <c r="S1067" s="113">
        <f t="shared" si="554"/>
        <v>55000</v>
      </c>
      <c r="T1067" s="113">
        <f t="shared" si="555"/>
        <v>0</v>
      </c>
      <c r="U1067" s="557">
        <f t="shared" si="556"/>
        <v>0</v>
      </c>
    </row>
    <row r="1068" spans="1:21" s="552" customFormat="1" ht="15" customHeight="1">
      <c r="A1068" s="621"/>
      <c r="B1068" s="622" t="s">
        <v>1828</v>
      </c>
      <c r="C1068" s="558" t="str">
        <f t="shared" si="552"/>
        <v xml:space="preserve"> </v>
      </c>
      <c r="D1068" s="553"/>
      <c r="E1068" s="694" t="str">
        <f>VLOOKUP($B1068,dongia1,DG!$C$5,)</f>
        <v>Lắp bộ dây néo</v>
      </c>
      <c r="F1068" s="555" t="str">
        <f>VLOOKUP($B1068,dongia1,DG!$D$5,)</f>
        <v>bộ</v>
      </c>
      <c r="G1068" s="205">
        <f>G1059</f>
        <v>1</v>
      </c>
      <c r="H1068" s="556"/>
      <c r="I1068" s="556">
        <f t="shared" ca="1" si="553"/>
        <v>0</v>
      </c>
      <c r="J1068" s="556">
        <f t="shared" ca="1" si="553"/>
        <v>0</v>
      </c>
      <c r="K1068" s="556">
        <f t="shared" ca="1" si="553"/>
        <v>0</v>
      </c>
      <c r="L1068" s="556">
        <f t="shared" ca="1" si="553"/>
        <v>0</v>
      </c>
      <c r="M1068" s="556"/>
      <c r="N1068" s="556">
        <f t="shared" ca="1" si="553"/>
        <v>0</v>
      </c>
      <c r="O1068" s="556">
        <f t="shared" si="553"/>
        <v>0</v>
      </c>
      <c r="P1068" s="554"/>
      <c r="Q1068" s="182">
        <f>VLOOKUP($B1068,dongia1,DG!$G$5,)</f>
        <v>99000</v>
      </c>
      <c r="R1068" s="554"/>
      <c r="S1068" s="113">
        <f t="shared" si="554"/>
        <v>0</v>
      </c>
      <c r="T1068" s="113">
        <f t="shared" si="555"/>
        <v>99000</v>
      </c>
      <c r="U1068" s="557">
        <f t="shared" si="556"/>
        <v>0</v>
      </c>
    </row>
    <row r="1069" spans="1:21" s="552" customFormat="1" ht="15" customHeight="1">
      <c r="A1069" s="621"/>
      <c r="B1069" s="622" t="s">
        <v>1301</v>
      </c>
      <c r="C1069" s="558" t="str">
        <f t="shared" si="552"/>
        <v xml:space="preserve"> </v>
      </c>
      <c r="D1069" s="553"/>
      <c r="E1069" s="694" t="str">
        <f>VLOOKUP($B1069,dongia1,DG!$C$5,)</f>
        <v>Lắp cổ dê</v>
      </c>
      <c r="F1069" s="555" t="str">
        <f>VLOOKUP($B1069,dongia1,DG!$D$5,)</f>
        <v>cái</v>
      </c>
      <c r="G1069" s="205">
        <v>1</v>
      </c>
      <c r="H1069" s="556"/>
      <c r="I1069" s="556">
        <f t="shared" ca="1" si="553"/>
        <v>0</v>
      </c>
      <c r="J1069" s="556">
        <f t="shared" ca="1" si="553"/>
        <v>0</v>
      </c>
      <c r="K1069" s="556">
        <f t="shared" ca="1" si="553"/>
        <v>0</v>
      </c>
      <c r="L1069" s="556">
        <f t="shared" ca="1" si="553"/>
        <v>0</v>
      </c>
      <c r="M1069" s="556"/>
      <c r="N1069" s="556">
        <f t="shared" ca="1" si="553"/>
        <v>0</v>
      </c>
      <c r="O1069" s="556">
        <f t="shared" si="553"/>
        <v>0</v>
      </c>
      <c r="P1069" s="554"/>
      <c r="Q1069" s="182">
        <f>VLOOKUP($B1069,dongia1,DG!$G$5,)</f>
        <v>77000</v>
      </c>
      <c r="R1069" s="554"/>
      <c r="S1069" s="113">
        <f t="shared" si="554"/>
        <v>0</v>
      </c>
      <c r="T1069" s="113">
        <f t="shared" si="555"/>
        <v>77000</v>
      </c>
      <c r="U1069" s="557">
        <f t="shared" si="556"/>
        <v>0</v>
      </c>
    </row>
    <row r="1070" spans="1:21" s="552" customFormat="1" ht="15" customHeight="1">
      <c r="A1070" s="621" t="s">
        <v>1486</v>
      </c>
      <c r="B1070" s="622"/>
      <c r="C1070" s="558" t="str">
        <f>IF(H1070&lt;&gt;0,"x"," ")</f>
        <v xml:space="preserve"> </v>
      </c>
      <c r="D1070" s="553"/>
      <c r="E1070" s="727" t="s">
        <v>3621</v>
      </c>
      <c r="F1070" s="600" t="s">
        <v>2113</v>
      </c>
      <c r="G1070" s="205"/>
      <c r="H1070" s="556"/>
      <c r="I1070" s="556">
        <f ca="1">SUMIF(chang3pm,chitiet!$A1070,slchang3pm)</f>
        <v>0</v>
      </c>
      <c r="J1070" s="556">
        <f ca="1">SUMIF(changct,chitiet!$A1070,slchangct)</f>
        <v>0</v>
      </c>
      <c r="K1070" s="556">
        <f ca="1">SUMIF(chang3p1m,chitiet!$A1070,slchang3p1m)</f>
        <v>0</v>
      </c>
      <c r="L1070" s="556">
        <f ca="1">SUMIF(chang1pm,chitiet!$A1070,slchang1pm)</f>
        <v>0</v>
      </c>
      <c r="M1070" s="556"/>
      <c r="N1070" s="556">
        <f ca="1">SUMIF(changHTDL,chitiet!$A1070,Slchanghtdl)</f>
        <v>0</v>
      </c>
      <c r="O1070" s="556"/>
      <c r="P1070" s="554"/>
      <c r="Q1070" s="554"/>
      <c r="R1070" s="554"/>
      <c r="S1070" s="601">
        <f>SUM(S1071:S1084)</f>
        <v>2769950</v>
      </c>
      <c r="T1070" s="601">
        <f>SUM(T1071:T1084)</f>
        <v>189161</v>
      </c>
      <c r="U1070" s="602">
        <f>SUM(U1071:U1084)</f>
        <v>0</v>
      </c>
    </row>
    <row r="1071" spans="1:21" s="552" customFormat="1" ht="15" customHeight="1">
      <c r="A1071" s="621"/>
      <c r="B1071" s="622" t="s">
        <v>233</v>
      </c>
      <c r="C1071" s="558" t="str">
        <f t="shared" ref="C1071:C1084" si="557">C1070</f>
        <v xml:space="preserve"> </v>
      </c>
      <c r="D1071" s="553"/>
      <c r="E1071" s="694" t="str">
        <f>VLOOKUP($B1071,dongia1,DG!$C$5,)&amp;"-Fe8x100 nhúng kẽm"</f>
        <v>Cổ dê Þ 195 nẹp trụ-Fe8x100 nhúng kẽm</v>
      </c>
      <c r="F1071" s="555" t="str">
        <f>VLOOKUP($B1071,dongia1,DG!$D$5,)</f>
        <v>bộ</v>
      </c>
      <c r="G1071" s="205">
        <v>1</v>
      </c>
      <c r="H1071" s="556"/>
      <c r="I1071" s="556">
        <f t="shared" ref="I1071:O1084" ca="1" si="558">I$1070*$G1071</f>
        <v>0</v>
      </c>
      <c r="J1071" s="556">
        <f t="shared" ca="1" si="558"/>
        <v>0</v>
      </c>
      <c r="K1071" s="556">
        <f t="shared" ca="1" si="558"/>
        <v>0</v>
      </c>
      <c r="L1071" s="556">
        <f t="shared" ca="1" si="558"/>
        <v>0</v>
      </c>
      <c r="M1071" s="556"/>
      <c r="N1071" s="556">
        <f t="shared" ca="1" si="558"/>
        <v>0</v>
      </c>
      <c r="O1071" s="556">
        <f t="shared" si="558"/>
        <v>0</v>
      </c>
      <c r="P1071" s="182">
        <f>VLOOKUP($B1071,dongia1,DG!$F$5,)</f>
        <v>213700</v>
      </c>
      <c r="Q1071" s="554"/>
      <c r="R1071" s="554"/>
      <c r="S1071" s="113">
        <f t="shared" ref="S1071:S1084" si="559">$G1071*P1071</f>
        <v>213700</v>
      </c>
      <c r="T1071" s="113">
        <f t="shared" ref="T1071:T1084" si="560">$G1071*Q1071</f>
        <v>0</v>
      </c>
      <c r="U1071" s="557">
        <f t="shared" ref="U1071:U1084" si="561">$G1071*R1071</f>
        <v>0</v>
      </c>
    </row>
    <row r="1072" spans="1:21" s="552" customFormat="1" ht="15" customHeight="1">
      <c r="A1072" s="621"/>
      <c r="B1072" s="622" t="s">
        <v>1005</v>
      </c>
      <c r="C1072" s="558" t="str">
        <f t="shared" si="557"/>
        <v xml:space="preserve"> </v>
      </c>
      <c r="D1072" s="553"/>
      <c r="E1072" s="694" t="str">
        <f>VLOOKUP($B1072,dongia1,DG!$C$5,)</f>
        <v>Sứ chằng</v>
      </c>
      <c r="F1072" s="555" t="str">
        <f>VLOOKUP($B1072,dongia1,DG!$D$5,)</f>
        <v>cái</v>
      </c>
      <c r="G1072" s="205">
        <v>1</v>
      </c>
      <c r="H1072" s="556"/>
      <c r="I1072" s="556">
        <f t="shared" ca="1" si="558"/>
        <v>0</v>
      </c>
      <c r="J1072" s="556">
        <f t="shared" ca="1" si="558"/>
        <v>0</v>
      </c>
      <c r="K1072" s="556">
        <f t="shared" ca="1" si="558"/>
        <v>0</v>
      </c>
      <c r="L1072" s="556">
        <f t="shared" ca="1" si="558"/>
        <v>0</v>
      </c>
      <c r="M1072" s="556"/>
      <c r="N1072" s="556">
        <f t="shared" ca="1" si="558"/>
        <v>0</v>
      </c>
      <c r="O1072" s="556">
        <f t="shared" si="558"/>
        <v>0</v>
      </c>
      <c r="P1072" s="182">
        <f>VLOOKUP($B1072,dongia1,DG!$F$5,)</f>
        <v>38000</v>
      </c>
      <c r="Q1072" s="554"/>
      <c r="R1072" s="554"/>
      <c r="S1072" s="113">
        <f t="shared" si="559"/>
        <v>38000</v>
      </c>
      <c r="T1072" s="113">
        <f t="shared" si="560"/>
        <v>0</v>
      </c>
      <c r="U1072" s="557">
        <f t="shared" si="561"/>
        <v>0</v>
      </c>
    </row>
    <row r="1073" spans="1:21" s="552" customFormat="1" ht="15" customHeight="1">
      <c r="A1073" s="621"/>
      <c r="B1073" s="622" t="s">
        <v>204</v>
      </c>
      <c r="C1073" s="558" t="str">
        <f t="shared" si="557"/>
        <v xml:space="preserve"> </v>
      </c>
      <c r="D1073" s="553"/>
      <c r="E1073" s="694" t="str">
        <f>VLOOKUP($B1073,dongia1,DG!$C$5,)</f>
        <v>Kẹp cáp 3 boulon</v>
      </c>
      <c r="F1073" s="555" t="str">
        <f>VLOOKUP($B1073,dongia1,DG!$D$5,)</f>
        <v>cái</v>
      </c>
      <c r="G1073" s="205">
        <v>8</v>
      </c>
      <c r="H1073" s="556"/>
      <c r="I1073" s="556">
        <f t="shared" ca="1" si="558"/>
        <v>0</v>
      </c>
      <c r="J1073" s="556">
        <f t="shared" ca="1" si="558"/>
        <v>0</v>
      </c>
      <c r="K1073" s="556">
        <f t="shared" ca="1" si="558"/>
        <v>0</v>
      </c>
      <c r="L1073" s="556">
        <f t="shared" ca="1" si="558"/>
        <v>0</v>
      </c>
      <c r="M1073" s="556"/>
      <c r="N1073" s="556">
        <f t="shared" ca="1" si="558"/>
        <v>0</v>
      </c>
      <c r="O1073" s="556">
        <f t="shared" si="558"/>
        <v>0</v>
      </c>
      <c r="P1073" s="182">
        <f>VLOOKUP($B1073,dongia1,DG!$F$5,)</f>
        <v>38000</v>
      </c>
      <c r="Q1073" s="554"/>
      <c r="R1073" s="554"/>
      <c r="S1073" s="113">
        <f t="shared" si="559"/>
        <v>304000</v>
      </c>
      <c r="T1073" s="113">
        <f t="shared" si="560"/>
        <v>0</v>
      </c>
      <c r="U1073" s="557">
        <f t="shared" si="561"/>
        <v>0</v>
      </c>
    </row>
    <row r="1074" spans="1:21" s="552" customFormat="1" ht="15" customHeight="1">
      <c r="A1074" s="621"/>
      <c r="B1074" s="622" t="s">
        <v>968</v>
      </c>
      <c r="C1074" s="558" t="str">
        <f t="shared" si="557"/>
        <v xml:space="preserve"> </v>
      </c>
      <c r="D1074" s="553"/>
      <c r="E1074" s="694" t="str">
        <f>VLOOKUP($B1074,dongia1,DG!$C$5,)</f>
        <v>Kẹp hotline 4/0</v>
      </c>
      <c r="F1074" s="555" t="str">
        <f>VLOOKUP($B1074,dongia1,DG!$D$5,)</f>
        <v>cái</v>
      </c>
      <c r="G1074" s="205">
        <v>15</v>
      </c>
      <c r="H1074" s="556"/>
      <c r="I1074" s="556">
        <f t="shared" ca="1" si="558"/>
        <v>0</v>
      </c>
      <c r="J1074" s="556">
        <f t="shared" ca="1" si="558"/>
        <v>0</v>
      </c>
      <c r="K1074" s="556">
        <f t="shared" ca="1" si="558"/>
        <v>0</v>
      </c>
      <c r="L1074" s="556">
        <f t="shared" ca="1" si="558"/>
        <v>0</v>
      </c>
      <c r="M1074" s="556"/>
      <c r="N1074" s="556">
        <f t="shared" ca="1" si="558"/>
        <v>0</v>
      </c>
      <c r="O1074" s="556">
        <f t="shared" si="558"/>
        <v>0</v>
      </c>
      <c r="P1074" s="182">
        <f>VLOOKUP($B1074,dongia1,DG!$F$5,)</f>
        <v>112000</v>
      </c>
      <c r="Q1074" s="182"/>
      <c r="R1074" s="554"/>
      <c r="S1074" s="113">
        <f t="shared" si="559"/>
        <v>1680000</v>
      </c>
      <c r="T1074" s="113">
        <f t="shared" si="560"/>
        <v>0</v>
      </c>
      <c r="U1074" s="557">
        <f t="shared" si="561"/>
        <v>0</v>
      </c>
    </row>
    <row r="1075" spans="1:21" s="552" customFormat="1" ht="15" customHeight="1">
      <c r="A1075" s="621"/>
      <c r="B1075" s="622" t="s">
        <v>1451</v>
      </c>
      <c r="C1075" s="558" t="str">
        <f t="shared" si="557"/>
        <v xml:space="preserve"> </v>
      </c>
      <c r="D1075" s="553"/>
      <c r="E1075" s="694" t="str">
        <f>VLOOKUP($B1075,dongia1,DG!$C$5,)</f>
        <v>Bộ chống chằng hẹp Þ60/50x1500+2BL12x40+BL16x250/80</v>
      </c>
      <c r="F1075" s="555" t="str">
        <f>VLOOKUP($B1075,dongia1,DG!$D$5,)</f>
        <v>bộ</v>
      </c>
      <c r="G1075" s="205">
        <v>1</v>
      </c>
      <c r="H1075" s="556"/>
      <c r="I1075" s="556">
        <f t="shared" ca="1" si="558"/>
        <v>0</v>
      </c>
      <c r="J1075" s="556">
        <f t="shared" ca="1" si="558"/>
        <v>0</v>
      </c>
      <c r="K1075" s="556">
        <f t="shared" ca="1" si="558"/>
        <v>0</v>
      </c>
      <c r="L1075" s="556">
        <f t="shared" ca="1" si="558"/>
        <v>0</v>
      </c>
      <c r="M1075" s="556"/>
      <c r="N1075" s="556">
        <f t="shared" ca="1" si="558"/>
        <v>0</v>
      </c>
      <c r="O1075" s="556">
        <f t="shared" si="558"/>
        <v>0</v>
      </c>
      <c r="P1075" s="182">
        <f>VLOOKUP($B1075,dongia1,DG!$F$5,)</f>
        <v>305000</v>
      </c>
      <c r="Q1075" s="182"/>
      <c r="R1075" s="554"/>
      <c r="S1075" s="113">
        <f t="shared" si="559"/>
        <v>305000</v>
      </c>
      <c r="T1075" s="113">
        <f t="shared" si="560"/>
        <v>0</v>
      </c>
      <c r="U1075" s="557">
        <f t="shared" si="561"/>
        <v>0</v>
      </c>
    </row>
    <row r="1076" spans="1:21" s="552" customFormat="1" ht="15" customHeight="1">
      <c r="A1076" s="621"/>
      <c r="B1076" s="622" t="s">
        <v>593</v>
      </c>
      <c r="C1076" s="558" t="str">
        <f t="shared" si="557"/>
        <v xml:space="preserve"> </v>
      </c>
      <c r="D1076" s="553"/>
      <c r="E1076" s="694" t="str">
        <f>VLOOKUP($B1076,dongia1,DG!$C$5,)</f>
        <v>Sắt dẹt 60 x 6</v>
      </c>
      <c r="F1076" s="555" t="str">
        <f>VLOOKUP($B1076,dongia1,DG!$D$5,)</f>
        <v>kg</v>
      </c>
      <c r="G1076" s="205">
        <v>2</v>
      </c>
      <c r="H1076" s="556"/>
      <c r="I1076" s="556">
        <f t="shared" ca="1" si="558"/>
        <v>0</v>
      </c>
      <c r="J1076" s="556">
        <f t="shared" ca="1" si="558"/>
        <v>0</v>
      </c>
      <c r="K1076" s="556">
        <f t="shared" ca="1" si="558"/>
        <v>0</v>
      </c>
      <c r="L1076" s="556">
        <f t="shared" ca="1" si="558"/>
        <v>0</v>
      </c>
      <c r="M1076" s="556"/>
      <c r="N1076" s="556">
        <f t="shared" ca="1" si="558"/>
        <v>0</v>
      </c>
      <c r="O1076" s="556">
        <f t="shared" si="558"/>
        <v>0</v>
      </c>
      <c r="P1076" s="182">
        <f>VLOOKUP($B1076,dongia1,DG!$F$5,)</f>
        <v>31625</v>
      </c>
      <c r="Q1076" s="182"/>
      <c r="R1076" s="554"/>
      <c r="S1076" s="113">
        <f t="shared" si="559"/>
        <v>63250</v>
      </c>
      <c r="T1076" s="113">
        <f t="shared" si="560"/>
        <v>0</v>
      </c>
      <c r="U1076" s="557">
        <f t="shared" si="561"/>
        <v>0</v>
      </c>
    </row>
    <row r="1077" spans="1:21" s="552" customFormat="1" ht="15" customHeight="1">
      <c r="A1077" s="621"/>
      <c r="B1077" s="622" t="s">
        <v>143</v>
      </c>
      <c r="C1077" s="558" t="str">
        <f t="shared" si="557"/>
        <v xml:space="preserve"> </v>
      </c>
      <c r="D1077" s="553"/>
      <c r="E1077" s="694" t="str">
        <f>VLOOKUP($B1077,dongia1,DG!$C$5,)</f>
        <v xml:space="preserve">Móc treo chữ U F16 dài </v>
      </c>
      <c r="F1077" s="555" t="str">
        <f>VLOOKUP($B1077,dongia1,DG!$D$5,)</f>
        <v>cái</v>
      </c>
      <c r="G1077" s="205">
        <v>1</v>
      </c>
      <c r="H1077" s="556"/>
      <c r="I1077" s="556">
        <f t="shared" ca="1" si="558"/>
        <v>0</v>
      </c>
      <c r="J1077" s="556">
        <f t="shared" ca="1" si="558"/>
        <v>0</v>
      </c>
      <c r="K1077" s="556">
        <f t="shared" ca="1" si="558"/>
        <v>0</v>
      </c>
      <c r="L1077" s="556">
        <f t="shared" ca="1" si="558"/>
        <v>0</v>
      </c>
      <c r="M1077" s="556"/>
      <c r="N1077" s="556">
        <f t="shared" ca="1" si="558"/>
        <v>0</v>
      </c>
      <c r="O1077" s="556">
        <f t="shared" si="558"/>
        <v>0</v>
      </c>
      <c r="P1077" s="182">
        <f>VLOOKUP($B1077,dongia1,DG!$F$5,)</f>
        <v>28000</v>
      </c>
      <c r="Q1077" s="182"/>
      <c r="R1077" s="554"/>
      <c r="S1077" s="113">
        <f t="shared" si="559"/>
        <v>28000</v>
      </c>
      <c r="T1077" s="113">
        <f t="shared" si="560"/>
        <v>0</v>
      </c>
      <c r="U1077" s="557">
        <f t="shared" si="561"/>
        <v>0</v>
      </c>
    </row>
    <row r="1078" spans="1:21" s="552" customFormat="1" ht="15" customHeight="1">
      <c r="A1078" s="621"/>
      <c r="B1078" s="622" t="s">
        <v>1770</v>
      </c>
      <c r="C1078" s="558" t="str">
        <f t="shared" si="557"/>
        <v xml:space="preserve"> </v>
      </c>
      <c r="D1078" s="553"/>
      <c r="E1078" s="694" t="str">
        <f>VLOOKUP($B1078,dongia1,DG!$C$5,)</f>
        <v>Boulon 16x100VRS+ 4 long đền vuông D18-50x50x3/Zn</v>
      </c>
      <c r="F1078" s="555" t="str">
        <f>VLOOKUP($B1078,dongia1,DG!$D$5,)</f>
        <v>bộ</v>
      </c>
      <c r="G1078" s="205">
        <v>2</v>
      </c>
      <c r="H1078" s="556"/>
      <c r="I1078" s="556">
        <f t="shared" ca="1" si="558"/>
        <v>0</v>
      </c>
      <c r="J1078" s="556">
        <f t="shared" ca="1" si="558"/>
        <v>0</v>
      </c>
      <c r="K1078" s="556">
        <f t="shared" ca="1" si="558"/>
        <v>0</v>
      </c>
      <c r="L1078" s="556">
        <f t="shared" ca="1" si="558"/>
        <v>0</v>
      </c>
      <c r="M1078" s="556"/>
      <c r="N1078" s="556">
        <f t="shared" ca="1" si="558"/>
        <v>0</v>
      </c>
      <c r="O1078" s="556">
        <f t="shared" si="558"/>
        <v>0</v>
      </c>
      <c r="P1078" s="182">
        <f>VLOOKUP($B1078,dongia1,DG!$F$5,)</f>
        <v>22800</v>
      </c>
      <c r="Q1078" s="182">
        <f>VLOOKUP($B1078,dongia1,DG!$G$5,)</f>
        <v>0</v>
      </c>
      <c r="R1078" s="554"/>
      <c r="S1078" s="113">
        <f t="shared" si="559"/>
        <v>45600</v>
      </c>
      <c r="T1078" s="113">
        <f t="shared" si="560"/>
        <v>0</v>
      </c>
      <c r="U1078" s="557">
        <f t="shared" si="561"/>
        <v>0</v>
      </c>
    </row>
    <row r="1079" spans="1:21" s="552" customFormat="1" ht="15" customHeight="1">
      <c r="A1079" s="621"/>
      <c r="B1079" s="622" t="s">
        <v>1262</v>
      </c>
      <c r="C1079" s="558" t="str">
        <f>C1078</f>
        <v xml:space="preserve"> </v>
      </c>
      <c r="D1079" s="553"/>
      <c r="E1079" s="694" t="str">
        <f>VLOOKUP($B1079,dongia1,DG!$C$5,)</f>
        <v>Boulon 16x300+ 2 long đền vuông D18-50x50x3/Zn</v>
      </c>
      <c r="F1079" s="555" t="str">
        <f>VLOOKUP($B1079,dongia1,DG!$D$5,)</f>
        <v>bộ</v>
      </c>
      <c r="G1079" s="205">
        <v>1</v>
      </c>
      <c r="H1079" s="556"/>
      <c r="I1079" s="556">
        <f t="shared" ca="1" si="558"/>
        <v>0</v>
      </c>
      <c r="J1079" s="556">
        <f t="shared" ca="1" si="558"/>
        <v>0</v>
      </c>
      <c r="K1079" s="556">
        <f t="shared" ca="1" si="558"/>
        <v>0</v>
      </c>
      <c r="L1079" s="556">
        <f t="shared" ca="1" si="558"/>
        <v>0</v>
      </c>
      <c r="M1079" s="556"/>
      <c r="N1079" s="556">
        <f t="shared" ca="1" si="558"/>
        <v>0</v>
      </c>
      <c r="O1079" s="556">
        <f t="shared" si="558"/>
        <v>0</v>
      </c>
      <c r="P1079" s="182">
        <f>VLOOKUP($B1079,dongia1,DG!$F$5,)</f>
        <v>25400</v>
      </c>
      <c r="Q1079" s="182">
        <f>VLOOKUP($B1079,dongia1,DG!$G$5,)</f>
        <v>0</v>
      </c>
      <c r="R1079" s="554"/>
      <c r="S1079" s="113">
        <f>$G1079*P1079</f>
        <v>25400</v>
      </c>
      <c r="T1079" s="113">
        <f>$G1079*Q1079</f>
        <v>0</v>
      </c>
      <c r="U1079" s="557">
        <f>$G1079*R1079</f>
        <v>0</v>
      </c>
    </row>
    <row r="1080" spans="1:21" s="552" customFormat="1" ht="15" customHeight="1">
      <c r="A1080" s="621"/>
      <c r="B1080" s="622" t="s">
        <v>537</v>
      </c>
      <c r="C1080" s="558" t="str">
        <f>C1078</f>
        <v xml:space="preserve"> </v>
      </c>
      <c r="D1080" s="553"/>
      <c r="E1080" s="694" t="str">
        <f>VLOOKUP($B1080,dongia1,DG!$C$5,)</f>
        <v>Yếm đỡ dày chằng F1/2 mạ Zn (Yếm cáp)</v>
      </c>
      <c r="F1080" s="555" t="str">
        <f>VLOOKUP($B1080,dongia1,DG!$D$5,)</f>
        <v>cái</v>
      </c>
      <c r="G1080" s="205">
        <v>2</v>
      </c>
      <c r="H1080" s="556"/>
      <c r="I1080" s="556">
        <f t="shared" ca="1" si="558"/>
        <v>0</v>
      </c>
      <c r="J1080" s="556">
        <f t="shared" ca="1" si="558"/>
        <v>0</v>
      </c>
      <c r="K1080" s="556">
        <f t="shared" ca="1" si="558"/>
        <v>0</v>
      </c>
      <c r="L1080" s="556">
        <f t="shared" ca="1" si="558"/>
        <v>0</v>
      </c>
      <c r="M1080" s="556"/>
      <c r="N1080" s="556">
        <f t="shared" ca="1" si="558"/>
        <v>0</v>
      </c>
      <c r="O1080" s="556">
        <f t="shared" si="558"/>
        <v>0</v>
      </c>
      <c r="P1080" s="182">
        <f>VLOOKUP($B1080,dongia1,DG!$F$5,)</f>
        <v>6000</v>
      </c>
      <c r="Q1080" s="182"/>
      <c r="R1080" s="554"/>
      <c r="S1080" s="113">
        <f t="shared" si="559"/>
        <v>12000</v>
      </c>
      <c r="T1080" s="113">
        <f t="shared" si="560"/>
        <v>0</v>
      </c>
      <c r="U1080" s="557">
        <f t="shared" si="561"/>
        <v>0</v>
      </c>
    </row>
    <row r="1081" spans="1:21" s="552" customFormat="1" ht="15" customHeight="1">
      <c r="A1081" s="621"/>
      <c r="B1081" s="622" t="s">
        <v>538</v>
      </c>
      <c r="C1081" s="558" t="str">
        <f t="shared" si="557"/>
        <v xml:space="preserve"> </v>
      </c>
      <c r="D1081" s="553"/>
      <c r="E1081" s="694" t="str">
        <f>VLOOKUP($B1081,dongia1,DG!$C$5,)</f>
        <v>Máng che dây chằng dày 1,6mm 0,4x2000</v>
      </c>
      <c r="F1081" s="555" t="str">
        <f>VLOOKUP($B1081,dongia1,DG!$D$5,)</f>
        <v>cái</v>
      </c>
      <c r="G1081" s="205">
        <v>1</v>
      </c>
      <c r="H1081" s="556"/>
      <c r="I1081" s="556">
        <f t="shared" ca="1" si="558"/>
        <v>0</v>
      </c>
      <c r="J1081" s="556">
        <f t="shared" ca="1" si="558"/>
        <v>0</v>
      </c>
      <c r="K1081" s="556">
        <f t="shared" ca="1" si="558"/>
        <v>0</v>
      </c>
      <c r="L1081" s="556">
        <f t="shared" ca="1" si="558"/>
        <v>0</v>
      </c>
      <c r="M1081" s="556"/>
      <c r="N1081" s="556">
        <f t="shared" ca="1" si="558"/>
        <v>0</v>
      </c>
      <c r="O1081" s="556">
        <f t="shared" si="558"/>
        <v>0</v>
      </c>
      <c r="P1081" s="182">
        <f>VLOOKUP($B1081,dongia1,DG!$F$5,)</f>
        <v>55000</v>
      </c>
      <c r="Q1081" s="182"/>
      <c r="R1081" s="554"/>
      <c r="S1081" s="113">
        <f t="shared" si="559"/>
        <v>55000</v>
      </c>
      <c r="T1081" s="113">
        <f t="shared" si="560"/>
        <v>0</v>
      </c>
      <c r="U1081" s="557">
        <f t="shared" si="561"/>
        <v>0</v>
      </c>
    </row>
    <row r="1082" spans="1:21" s="552" customFormat="1" ht="15" customHeight="1">
      <c r="A1082" s="621"/>
      <c r="B1082" s="622" t="s">
        <v>1828</v>
      </c>
      <c r="C1082" s="558" t="str">
        <f t="shared" si="557"/>
        <v xml:space="preserve"> </v>
      </c>
      <c r="D1082" s="553"/>
      <c r="E1082" s="694" t="str">
        <f>VLOOKUP($B1082,dongia1,DG!$C$5,)</f>
        <v>Lắp bộ dây néo</v>
      </c>
      <c r="F1082" s="555" t="str">
        <f>VLOOKUP($B1082,dongia1,DG!$D$5,)</f>
        <v>bộ</v>
      </c>
      <c r="G1082" s="205">
        <f>G1071</f>
        <v>1</v>
      </c>
      <c r="H1082" s="556"/>
      <c r="I1082" s="556">
        <f t="shared" ca="1" si="558"/>
        <v>0</v>
      </c>
      <c r="J1082" s="556">
        <f t="shared" ca="1" si="558"/>
        <v>0</v>
      </c>
      <c r="K1082" s="556">
        <f t="shared" ca="1" si="558"/>
        <v>0</v>
      </c>
      <c r="L1082" s="556">
        <f t="shared" ca="1" si="558"/>
        <v>0</v>
      </c>
      <c r="M1082" s="556"/>
      <c r="N1082" s="556">
        <f t="shared" ca="1" si="558"/>
        <v>0</v>
      </c>
      <c r="O1082" s="556">
        <f t="shared" si="558"/>
        <v>0</v>
      </c>
      <c r="P1082" s="554"/>
      <c r="Q1082" s="182">
        <f>VLOOKUP($B1082,dongia1,DG!$G$5,)</f>
        <v>99000</v>
      </c>
      <c r="R1082" s="554"/>
      <c r="S1082" s="113">
        <f t="shared" si="559"/>
        <v>0</v>
      </c>
      <c r="T1082" s="113">
        <f t="shared" si="560"/>
        <v>99000</v>
      </c>
      <c r="U1082" s="557">
        <f t="shared" si="561"/>
        <v>0</v>
      </c>
    </row>
    <row r="1083" spans="1:21" s="552" customFormat="1" ht="15" customHeight="1">
      <c r="A1083" s="621"/>
      <c r="B1083" s="622" t="s">
        <v>1301</v>
      </c>
      <c r="C1083" s="558" t="str">
        <f t="shared" si="557"/>
        <v xml:space="preserve"> </v>
      </c>
      <c r="D1083" s="553"/>
      <c r="E1083" s="694" t="str">
        <f>VLOOKUP($B1083,dongia1,DG!$C$5,)</f>
        <v>Lắp cổ dê</v>
      </c>
      <c r="F1083" s="555" t="str">
        <f>VLOOKUP($B1083,dongia1,DG!$D$5,)</f>
        <v>cái</v>
      </c>
      <c r="G1083" s="205">
        <v>1</v>
      </c>
      <c r="H1083" s="556"/>
      <c r="I1083" s="556">
        <f t="shared" ca="1" si="558"/>
        <v>0</v>
      </c>
      <c r="J1083" s="556">
        <f t="shared" ca="1" si="558"/>
        <v>0</v>
      </c>
      <c r="K1083" s="556">
        <f t="shared" ca="1" si="558"/>
        <v>0</v>
      </c>
      <c r="L1083" s="556">
        <f t="shared" ca="1" si="558"/>
        <v>0</v>
      </c>
      <c r="M1083" s="556"/>
      <c r="N1083" s="556">
        <f t="shared" ca="1" si="558"/>
        <v>0</v>
      </c>
      <c r="O1083" s="556">
        <f t="shared" si="558"/>
        <v>0</v>
      </c>
      <c r="P1083" s="554"/>
      <c r="Q1083" s="182">
        <f>VLOOKUP($B1083,dongia1,DG!$G$5,)</f>
        <v>77000</v>
      </c>
      <c r="R1083" s="554"/>
      <c r="S1083" s="113">
        <f t="shared" si="559"/>
        <v>0</v>
      </c>
      <c r="T1083" s="113">
        <f t="shared" si="560"/>
        <v>77000</v>
      </c>
      <c r="U1083" s="557">
        <f t="shared" si="561"/>
        <v>0</v>
      </c>
    </row>
    <row r="1084" spans="1:21" s="552" customFormat="1" ht="15" customHeight="1">
      <c r="A1084" s="621"/>
      <c r="B1084" s="622" t="s">
        <v>1601</v>
      </c>
      <c r="C1084" s="558" t="str">
        <f t="shared" si="557"/>
        <v xml:space="preserve"> </v>
      </c>
      <c r="D1084" s="553"/>
      <c r="E1084" s="694" t="str">
        <f>VLOOKUP($B1084,dongia1,DG!$C$5,)</f>
        <v>Lắp bộ chống lệch</v>
      </c>
      <c r="F1084" s="555" t="str">
        <f>VLOOKUP($B1084,dongia1,DG!$D$5,)</f>
        <v>bộ</v>
      </c>
      <c r="G1084" s="205">
        <f>G1068</f>
        <v>1</v>
      </c>
      <c r="H1084" s="556"/>
      <c r="I1084" s="556">
        <f t="shared" ca="1" si="558"/>
        <v>0</v>
      </c>
      <c r="J1084" s="556">
        <f t="shared" ca="1" si="558"/>
        <v>0</v>
      </c>
      <c r="K1084" s="556">
        <f t="shared" ca="1" si="558"/>
        <v>0</v>
      </c>
      <c r="L1084" s="556">
        <f t="shared" ca="1" si="558"/>
        <v>0</v>
      </c>
      <c r="M1084" s="556"/>
      <c r="N1084" s="556">
        <f t="shared" ca="1" si="558"/>
        <v>0</v>
      </c>
      <c r="O1084" s="556">
        <f t="shared" si="558"/>
        <v>0</v>
      </c>
      <c r="P1084" s="554"/>
      <c r="Q1084" s="182">
        <f>VLOOKUP($B1084,dongia1,DG!$G$5,)</f>
        <v>13161</v>
      </c>
      <c r="R1084" s="554"/>
      <c r="S1084" s="113">
        <f t="shared" si="559"/>
        <v>0</v>
      </c>
      <c r="T1084" s="113">
        <f t="shared" si="560"/>
        <v>13161</v>
      </c>
      <c r="U1084" s="557">
        <f t="shared" si="561"/>
        <v>0</v>
      </c>
    </row>
    <row r="1085" spans="1:21" s="552" customFormat="1" ht="15" customHeight="1">
      <c r="A1085" s="621" t="s">
        <v>1587</v>
      </c>
      <c r="B1085" s="622"/>
      <c r="C1085" s="558" t="str">
        <f>IF(H1085&lt;&gt;0,"x"," ")</f>
        <v xml:space="preserve"> </v>
      </c>
      <c r="D1085" s="553"/>
      <c r="E1085" s="727" t="s">
        <v>3622</v>
      </c>
      <c r="F1085" s="600" t="s">
        <v>2113</v>
      </c>
      <c r="G1085" s="205"/>
      <c r="H1085" s="556"/>
      <c r="I1085" s="556">
        <f ca="1">SUMIF(chang3pm,chitiet!$A1085,slchang3pm)</f>
        <v>0</v>
      </c>
      <c r="J1085" s="556">
        <f ca="1">SUMIF(changct,chitiet!$A1085,slchangct)</f>
        <v>0</v>
      </c>
      <c r="K1085" s="556">
        <f ca="1">SUMIF(chang3p1m,chitiet!$A1085,slchang3p1m)</f>
        <v>0</v>
      </c>
      <c r="L1085" s="556">
        <f ca="1">SUMIF(chang1pm,chitiet!$A1085,slchang1pm)</f>
        <v>0</v>
      </c>
      <c r="M1085" s="556"/>
      <c r="N1085" s="556">
        <f ca="1">SUMIF(changHTDL,chitiet!$A1085,Slchanghtdl)</f>
        <v>0</v>
      </c>
      <c r="O1085" s="556"/>
      <c r="P1085" s="554"/>
      <c r="Q1085" s="554"/>
      <c r="R1085" s="554"/>
      <c r="S1085" s="601">
        <f>SUM(S1086:S1097)</f>
        <v>2109418.4</v>
      </c>
      <c r="T1085" s="601">
        <f>SUM(T1086:T1097)</f>
        <v>253000</v>
      </c>
      <c r="U1085" s="602">
        <f>SUM(U1086:U1097)</f>
        <v>0</v>
      </c>
    </row>
    <row r="1086" spans="1:21" s="552" customFormat="1" ht="15" customHeight="1">
      <c r="A1086" s="621"/>
      <c r="B1086" s="622" t="s">
        <v>233</v>
      </c>
      <c r="C1086" s="558" t="str">
        <f t="shared" ref="C1086:C1097" si="562">C1085</f>
        <v xml:space="preserve"> </v>
      </c>
      <c r="D1086" s="553"/>
      <c r="E1086" s="694" t="str">
        <f>VLOOKUP($B1086,dongia1,DG!$C$5,)&amp;"-Fe8x100 nhúng kẽm"</f>
        <v>Cổ dê Þ 195 nẹp trụ-Fe8x100 nhúng kẽm</v>
      </c>
      <c r="F1086" s="555" t="str">
        <f>VLOOKUP($B1086,dongia1,DG!$D$5,)</f>
        <v>bộ</v>
      </c>
      <c r="G1086" s="205">
        <v>1</v>
      </c>
      <c r="H1086" s="556"/>
      <c r="I1086" s="556">
        <f t="shared" ref="I1086:O1097" ca="1" si="563">I$1085*$G1086</f>
        <v>0</v>
      </c>
      <c r="J1086" s="556">
        <f t="shared" ca="1" si="563"/>
        <v>0</v>
      </c>
      <c r="K1086" s="556">
        <f t="shared" ca="1" si="563"/>
        <v>0</v>
      </c>
      <c r="L1086" s="556">
        <f t="shared" ca="1" si="563"/>
        <v>0</v>
      </c>
      <c r="M1086" s="556"/>
      <c r="N1086" s="556">
        <f t="shared" ca="1" si="563"/>
        <v>0</v>
      </c>
      <c r="O1086" s="556">
        <f t="shared" si="563"/>
        <v>0</v>
      </c>
      <c r="P1086" s="182">
        <f>VLOOKUP($B1086,dongia1,DG!$F$5,)</f>
        <v>213700</v>
      </c>
      <c r="Q1086" s="554"/>
      <c r="R1086" s="554"/>
      <c r="S1086" s="113">
        <f t="shared" ref="S1086:S1097" si="564">$G1086*P1086</f>
        <v>213700</v>
      </c>
      <c r="T1086" s="113">
        <f t="shared" ref="T1086:T1097" si="565">$G1086*Q1086</f>
        <v>0</v>
      </c>
      <c r="U1086" s="557">
        <f t="shared" ref="U1086:U1097" si="566">$G1086*R1086</f>
        <v>0</v>
      </c>
    </row>
    <row r="1087" spans="1:21" s="552" customFormat="1" ht="15" customHeight="1">
      <c r="A1087" s="621"/>
      <c r="B1087" s="622" t="s">
        <v>845</v>
      </c>
      <c r="C1087" s="558" t="str">
        <f>C1086</f>
        <v xml:space="preserve"> </v>
      </c>
      <c r="D1087" s="553"/>
      <c r="E1087" s="694" t="str">
        <f>VLOOKUP($B1087,dongia1,DG!$C$5,)&amp;"-Fe8x100 nhúng kẽm"</f>
        <v>Cổ dê Þ 220 nẹp trụ-Fe8x100 nhúng kẽm</v>
      </c>
      <c r="F1087" s="555" t="str">
        <f>VLOOKUP($B1087,dongia1,DG!$D$5,)</f>
        <v>bộ</v>
      </c>
      <c r="G1087" s="205">
        <v>1</v>
      </c>
      <c r="H1087" s="556"/>
      <c r="I1087" s="556">
        <f t="shared" ca="1" si="563"/>
        <v>0</v>
      </c>
      <c r="J1087" s="556">
        <f t="shared" ca="1" si="563"/>
        <v>0</v>
      </c>
      <c r="K1087" s="556">
        <f t="shared" ca="1" si="563"/>
        <v>0</v>
      </c>
      <c r="L1087" s="556">
        <f t="shared" ca="1" si="563"/>
        <v>0</v>
      </c>
      <c r="M1087" s="556"/>
      <c r="N1087" s="556">
        <f t="shared" ca="1" si="563"/>
        <v>0</v>
      </c>
      <c r="O1087" s="556">
        <f t="shared" si="563"/>
        <v>0</v>
      </c>
      <c r="P1087" s="182">
        <f>VLOOKUP($B1087,dongia1,DG!$F$5,)</f>
        <v>245500</v>
      </c>
      <c r="Q1087" s="554"/>
      <c r="R1087" s="554"/>
      <c r="S1087" s="113">
        <f>$G1087*P1087</f>
        <v>245500</v>
      </c>
      <c r="T1087" s="113">
        <f>$G1087*Q1087</f>
        <v>0</v>
      </c>
      <c r="U1087" s="557">
        <f>$G1087*R1087</f>
        <v>0</v>
      </c>
    </row>
    <row r="1088" spans="1:21" s="552" customFormat="1" ht="15" customHeight="1">
      <c r="A1088" s="621"/>
      <c r="B1088" s="622" t="s">
        <v>1005</v>
      </c>
      <c r="C1088" s="558" t="str">
        <f>C1086</f>
        <v xml:space="preserve"> </v>
      </c>
      <c r="D1088" s="553"/>
      <c r="E1088" s="694" t="str">
        <f>VLOOKUP($B1088,dongia1,DG!$C$5,)</f>
        <v>Sứ chằng</v>
      </c>
      <c r="F1088" s="555" t="str">
        <f>VLOOKUP($B1088,dongia1,DG!$D$5,)</f>
        <v>cái</v>
      </c>
      <c r="G1088" s="205">
        <v>2</v>
      </c>
      <c r="H1088" s="556"/>
      <c r="I1088" s="556">
        <f t="shared" ca="1" si="563"/>
        <v>0</v>
      </c>
      <c r="J1088" s="556">
        <f t="shared" ca="1" si="563"/>
        <v>0</v>
      </c>
      <c r="K1088" s="556">
        <f t="shared" ca="1" si="563"/>
        <v>0</v>
      </c>
      <c r="L1088" s="556">
        <f t="shared" ca="1" si="563"/>
        <v>0</v>
      </c>
      <c r="M1088" s="556"/>
      <c r="N1088" s="556">
        <f t="shared" ca="1" si="563"/>
        <v>0</v>
      </c>
      <c r="O1088" s="556">
        <f t="shared" si="563"/>
        <v>0</v>
      </c>
      <c r="P1088" s="182">
        <f>VLOOKUP($B1088,dongia1,DG!$F$5,)</f>
        <v>38000</v>
      </c>
      <c r="Q1088" s="554"/>
      <c r="R1088" s="554"/>
      <c r="S1088" s="113">
        <f t="shared" si="564"/>
        <v>76000</v>
      </c>
      <c r="T1088" s="113">
        <f t="shared" si="565"/>
        <v>0</v>
      </c>
      <c r="U1088" s="557">
        <f t="shared" si="566"/>
        <v>0</v>
      </c>
    </row>
    <row r="1089" spans="1:21" s="552" customFormat="1" ht="15" customHeight="1">
      <c r="A1089" s="621"/>
      <c r="B1089" s="622" t="s">
        <v>204</v>
      </c>
      <c r="C1089" s="558" t="str">
        <f t="shared" si="562"/>
        <v xml:space="preserve"> </v>
      </c>
      <c r="D1089" s="553"/>
      <c r="E1089" s="694" t="str">
        <f>VLOOKUP($B1089,dongia1,DG!$C$5,)</f>
        <v>Kẹp cáp 3 boulon</v>
      </c>
      <c r="F1089" s="555" t="str">
        <f>VLOOKUP($B1089,dongia1,DG!$D$5,)</f>
        <v>cái</v>
      </c>
      <c r="G1089" s="205">
        <v>16</v>
      </c>
      <c r="H1089" s="556"/>
      <c r="I1089" s="556">
        <f t="shared" ca="1" si="563"/>
        <v>0</v>
      </c>
      <c r="J1089" s="556">
        <f t="shared" ca="1" si="563"/>
        <v>0</v>
      </c>
      <c r="K1089" s="556">
        <f t="shared" ca="1" si="563"/>
        <v>0</v>
      </c>
      <c r="L1089" s="556">
        <f t="shared" ca="1" si="563"/>
        <v>0</v>
      </c>
      <c r="M1089" s="556"/>
      <c r="N1089" s="556">
        <f t="shared" ca="1" si="563"/>
        <v>0</v>
      </c>
      <c r="O1089" s="556">
        <f t="shared" si="563"/>
        <v>0</v>
      </c>
      <c r="P1089" s="182">
        <f>VLOOKUP($B1089,dongia1,DG!$F$5,)</f>
        <v>38000</v>
      </c>
      <c r="Q1089" s="554"/>
      <c r="R1089" s="554"/>
      <c r="S1089" s="113">
        <f t="shared" si="564"/>
        <v>608000</v>
      </c>
      <c r="T1089" s="113">
        <f t="shared" si="565"/>
        <v>0</v>
      </c>
      <c r="U1089" s="557">
        <f t="shared" si="566"/>
        <v>0</v>
      </c>
    </row>
    <row r="1090" spans="1:21" s="552" customFormat="1" ht="15" customHeight="1">
      <c r="A1090" s="621"/>
      <c r="B1090" s="622" t="s">
        <v>714</v>
      </c>
      <c r="C1090" s="558" t="str">
        <f t="shared" si="562"/>
        <v xml:space="preserve"> </v>
      </c>
      <c r="D1090" s="553"/>
      <c r="E1090" s="694" t="str">
        <f>VLOOKUP($B1090,dongia1,DG!$C$5,)</f>
        <v>Cáp thép 3/8"</v>
      </c>
      <c r="F1090" s="555" t="str">
        <f>VLOOKUP($B1090,dongia1,DG!$D$5,)</f>
        <v>kg</v>
      </c>
      <c r="G1090" s="205">
        <f>36*0.328</f>
        <v>11.808</v>
      </c>
      <c r="H1090" s="556"/>
      <c r="I1090" s="556">
        <f t="shared" ca="1" si="563"/>
        <v>0</v>
      </c>
      <c r="J1090" s="556">
        <f t="shared" ca="1" si="563"/>
        <v>0</v>
      </c>
      <c r="K1090" s="556">
        <f t="shared" ca="1" si="563"/>
        <v>0</v>
      </c>
      <c r="L1090" s="556">
        <f t="shared" ca="1" si="563"/>
        <v>0</v>
      </c>
      <c r="M1090" s="556"/>
      <c r="N1090" s="556">
        <f t="shared" ca="1" si="563"/>
        <v>0</v>
      </c>
      <c r="O1090" s="556">
        <f t="shared" si="563"/>
        <v>0</v>
      </c>
      <c r="P1090" s="182">
        <f>VLOOKUP($B1090,dongia1,DG!$F$5,)</f>
        <v>47300</v>
      </c>
      <c r="Q1090" s="182"/>
      <c r="R1090" s="554"/>
      <c r="S1090" s="113">
        <f t="shared" si="564"/>
        <v>558518.4</v>
      </c>
      <c r="T1090" s="113">
        <f t="shared" si="565"/>
        <v>0</v>
      </c>
      <c r="U1090" s="557">
        <f t="shared" si="566"/>
        <v>0</v>
      </c>
    </row>
    <row r="1091" spans="1:21" s="552" customFormat="1" ht="15" customHeight="1">
      <c r="A1091" s="621"/>
      <c r="B1091" s="622" t="s">
        <v>593</v>
      </c>
      <c r="C1091" s="558" t="str">
        <f t="shared" si="562"/>
        <v xml:space="preserve"> </v>
      </c>
      <c r="D1091" s="553"/>
      <c r="E1091" s="694" t="str">
        <f>VLOOKUP($B1091,dongia1,DG!$C$5,)</f>
        <v>Sắt dẹt 60 x 6</v>
      </c>
      <c r="F1091" s="555" t="str">
        <f>VLOOKUP($B1091,dongia1,DG!$D$5,)</f>
        <v>kg</v>
      </c>
      <c r="G1091" s="205">
        <v>4</v>
      </c>
      <c r="H1091" s="556"/>
      <c r="I1091" s="556">
        <f t="shared" ca="1" si="563"/>
        <v>0</v>
      </c>
      <c r="J1091" s="556">
        <f t="shared" ca="1" si="563"/>
        <v>0</v>
      </c>
      <c r="K1091" s="556">
        <f t="shared" ca="1" si="563"/>
        <v>0</v>
      </c>
      <c r="L1091" s="556">
        <f t="shared" ca="1" si="563"/>
        <v>0</v>
      </c>
      <c r="M1091" s="556"/>
      <c r="N1091" s="556">
        <f t="shared" ca="1" si="563"/>
        <v>0</v>
      </c>
      <c r="O1091" s="556">
        <f t="shared" si="563"/>
        <v>0</v>
      </c>
      <c r="P1091" s="182">
        <f>VLOOKUP($B1091,dongia1,DG!$F$5,)</f>
        <v>31625</v>
      </c>
      <c r="Q1091" s="182"/>
      <c r="R1091" s="554"/>
      <c r="S1091" s="113">
        <f t="shared" si="564"/>
        <v>126500</v>
      </c>
      <c r="T1091" s="113">
        <f t="shared" si="565"/>
        <v>0</v>
      </c>
      <c r="U1091" s="557">
        <f t="shared" si="566"/>
        <v>0</v>
      </c>
    </row>
    <row r="1092" spans="1:21" s="552" customFormat="1" ht="15" customHeight="1">
      <c r="A1092" s="621"/>
      <c r="B1092" s="622" t="s">
        <v>143</v>
      </c>
      <c r="C1092" s="558" t="str">
        <f t="shared" si="562"/>
        <v xml:space="preserve"> </v>
      </c>
      <c r="D1092" s="553"/>
      <c r="E1092" s="694" t="str">
        <f>VLOOKUP($B1092,dongia1,DG!$C$5,)</f>
        <v xml:space="preserve">Móc treo chữ U F16 dài </v>
      </c>
      <c r="F1092" s="555" t="str">
        <f>VLOOKUP($B1092,dongia1,DG!$D$5,)</f>
        <v>cái</v>
      </c>
      <c r="G1092" s="205">
        <v>2</v>
      </c>
      <c r="H1092" s="556"/>
      <c r="I1092" s="556">
        <f t="shared" ca="1" si="563"/>
        <v>0</v>
      </c>
      <c r="J1092" s="556">
        <f t="shared" ca="1" si="563"/>
        <v>0</v>
      </c>
      <c r="K1092" s="556">
        <f t="shared" ca="1" si="563"/>
        <v>0</v>
      </c>
      <c r="L1092" s="556">
        <f t="shared" ca="1" si="563"/>
        <v>0</v>
      </c>
      <c r="M1092" s="556"/>
      <c r="N1092" s="556">
        <f t="shared" ca="1" si="563"/>
        <v>0</v>
      </c>
      <c r="O1092" s="556">
        <f t="shared" si="563"/>
        <v>0</v>
      </c>
      <c r="P1092" s="182">
        <f>VLOOKUP($B1092,dongia1,DG!$F$5,)</f>
        <v>28000</v>
      </c>
      <c r="Q1092" s="182"/>
      <c r="R1092" s="554"/>
      <c r="S1092" s="113">
        <f t="shared" si="564"/>
        <v>56000</v>
      </c>
      <c r="T1092" s="113">
        <f t="shared" si="565"/>
        <v>0</v>
      </c>
      <c r="U1092" s="557">
        <f t="shared" si="566"/>
        <v>0</v>
      </c>
    </row>
    <row r="1093" spans="1:21" s="552" customFormat="1" ht="15" customHeight="1">
      <c r="A1093" s="621"/>
      <c r="B1093" s="622" t="s">
        <v>1770</v>
      </c>
      <c r="C1093" s="558" t="str">
        <f t="shared" si="562"/>
        <v xml:space="preserve"> </v>
      </c>
      <c r="D1093" s="553"/>
      <c r="E1093" s="694" t="str">
        <f>VLOOKUP($B1093,dongia1,DG!$C$5,)</f>
        <v>Boulon 16x100VRS+ 4 long đền vuông D18-50x50x3/Zn</v>
      </c>
      <c r="F1093" s="555" t="str">
        <f>VLOOKUP($B1093,dongia1,DG!$D$5,)</f>
        <v>bộ</v>
      </c>
      <c r="G1093" s="205">
        <v>4</v>
      </c>
      <c r="H1093" s="556"/>
      <c r="I1093" s="556">
        <f t="shared" ca="1" si="563"/>
        <v>0</v>
      </c>
      <c r="J1093" s="556">
        <f t="shared" ca="1" si="563"/>
        <v>0</v>
      </c>
      <c r="K1093" s="556">
        <f t="shared" ca="1" si="563"/>
        <v>0</v>
      </c>
      <c r="L1093" s="556">
        <f t="shared" ca="1" si="563"/>
        <v>0</v>
      </c>
      <c r="M1093" s="556"/>
      <c r="N1093" s="556">
        <f t="shared" ca="1" si="563"/>
        <v>0</v>
      </c>
      <c r="O1093" s="556">
        <f t="shared" si="563"/>
        <v>0</v>
      </c>
      <c r="P1093" s="182">
        <f>VLOOKUP($B1093,dongia1,DG!$F$5,)</f>
        <v>22800</v>
      </c>
      <c r="Q1093" s="182">
        <f>VLOOKUP($B1093,dongia1,DG!$G$5,)</f>
        <v>0</v>
      </c>
      <c r="R1093" s="554"/>
      <c r="S1093" s="113">
        <f t="shared" si="564"/>
        <v>91200</v>
      </c>
      <c r="T1093" s="113">
        <f t="shared" si="565"/>
        <v>0</v>
      </c>
      <c r="U1093" s="557">
        <f t="shared" si="566"/>
        <v>0</v>
      </c>
    </row>
    <row r="1094" spans="1:21" s="552" customFormat="1" ht="15" customHeight="1">
      <c r="A1094" s="621"/>
      <c r="B1094" s="622" t="s">
        <v>537</v>
      </c>
      <c r="C1094" s="558" t="str">
        <f t="shared" si="562"/>
        <v xml:space="preserve"> </v>
      </c>
      <c r="D1094" s="553"/>
      <c r="E1094" s="694" t="str">
        <f>VLOOKUP($B1094,dongia1,DG!$C$5,)</f>
        <v>Yếm đỡ dày chằng F1/2 mạ Zn (Yếm cáp)</v>
      </c>
      <c r="F1094" s="555" t="str">
        <f>VLOOKUP($B1094,dongia1,DG!$D$5,)</f>
        <v>cái</v>
      </c>
      <c r="G1094" s="205">
        <v>4</v>
      </c>
      <c r="H1094" s="556"/>
      <c r="I1094" s="556">
        <f t="shared" ca="1" si="563"/>
        <v>0</v>
      </c>
      <c r="J1094" s="556">
        <f t="shared" ca="1" si="563"/>
        <v>0</v>
      </c>
      <c r="K1094" s="556">
        <f t="shared" ca="1" si="563"/>
        <v>0</v>
      </c>
      <c r="L1094" s="556">
        <f t="shared" ca="1" si="563"/>
        <v>0</v>
      </c>
      <c r="M1094" s="556"/>
      <c r="N1094" s="556">
        <f t="shared" ca="1" si="563"/>
        <v>0</v>
      </c>
      <c r="O1094" s="556">
        <f t="shared" si="563"/>
        <v>0</v>
      </c>
      <c r="P1094" s="182">
        <f>VLOOKUP($B1094,dongia1,DG!$F$5,)</f>
        <v>6000</v>
      </c>
      <c r="Q1094" s="182"/>
      <c r="R1094" s="554"/>
      <c r="S1094" s="113">
        <f t="shared" si="564"/>
        <v>24000</v>
      </c>
      <c r="T1094" s="113">
        <f t="shared" si="565"/>
        <v>0</v>
      </c>
      <c r="U1094" s="557">
        <f t="shared" si="566"/>
        <v>0</v>
      </c>
    </row>
    <row r="1095" spans="1:21" s="552" customFormat="1" ht="15" customHeight="1">
      <c r="A1095" s="621"/>
      <c r="B1095" s="622" t="s">
        <v>538</v>
      </c>
      <c r="C1095" s="558" t="str">
        <f t="shared" si="562"/>
        <v xml:space="preserve"> </v>
      </c>
      <c r="D1095" s="553"/>
      <c r="E1095" s="694" t="str">
        <f>VLOOKUP($B1095,dongia1,DG!$C$5,)</f>
        <v>Máng che dây chằng dày 1,6mm 0,4x2000</v>
      </c>
      <c r="F1095" s="555" t="str">
        <f>VLOOKUP($B1095,dongia1,DG!$D$5,)</f>
        <v>cái</v>
      </c>
      <c r="G1095" s="205">
        <v>2</v>
      </c>
      <c r="H1095" s="556"/>
      <c r="I1095" s="556">
        <f t="shared" ca="1" si="563"/>
        <v>0</v>
      </c>
      <c r="J1095" s="556">
        <f t="shared" ca="1" si="563"/>
        <v>0</v>
      </c>
      <c r="K1095" s="556">
        <f t="shared" ca="1" si="563"/>
        <v>0</v>
      </c>
      <c r="L1095" s="556">
        <f t="shared" ca="1" si="563"/>
        <v>0</v>
      </c>
      <c r="M1095" s="556"/>
      <c r="N1095" s="556">
        <f t="shared" ca="1" si="563"/>
        <v>0</v>
      </c>
      <c r="O1095" s="556">
        <f t="shared" si="563"/>
        <v>0</v>
      </c>
      <c r="P1095" s="182">
        <f>VLOOKUP($B1095,dongia1,DG!$F$5,)</f>
        <v>55000</v>
      </c>
      <c r="Q1095" s="182"/>
      <c r="R1095" s="554"/>
      <c r="S1095" s="113">
        <f t="shared" si="564"/>
        <v>110000</v>
      </c>
      <c r="T1095" s="113">
        <f t="shared" si="565"/>
        <v>0</v>
      </c>
      <c r="U1095" s="557">
        <f t="shared" si="566"/>
        <v>0</v>
      </c>
    </row>
    <row r="1096" spans="1:21" s="552" customFormat="1" ht="15" customHeight="1">
      <c r="A1096" s="621"/>
      <c r="B1096" s="622" t="s">
        <v>1828</v>
      </c>
      <c r="C1096" s="558" t="str">
        <f t="shared" si="562"/>
        <v xml:space="preserve"> </v>
      </c>
      <c r="D1096" s="553"/>
      <c r="E1096" s="694" t="str">
        <f>VLOOKUP($B1096,dongia1,DG!$C$5,)</f>
        <v>Lắp bộ dây néo</v>
      </c>
      <c r="F1096" s="555" t="str">
        <f>VLOOKUP($B1096,dongia1,DG!$D$5,)</f>
        <v>bộ</v>
      </c>
      <c r="G1096" s="205">
        <f>G1086</f>
        <v>1</v>
      </c>
      <c r="H1096" s="556"/>
      <c r="I1096" s="556">
        <f t="shared" ca="1" si="563"/>
        <v>0</v>
      </c>
      <c r="J1096" s="556">
        <f t="shared" ca="1" si="563"/>
        <v>0</v>
      </c>
      <c r="K1096" s="556">
        <f t="shared" ca="1" si="563"/>
        <v>0</v>
      </c>
      <c r="L1096" s="556">
        <f t="shared" ca="1" si="563"/>
        <v>0</v>
      </c>
      <c r="M1096" s="556"/>
      <c r="N1096" s="556">
        <f t="shared" ca="1" si="563"/>
        <v>0</v>
      </c>
      <c r="O1096" s="556">
        <f t="shared" si="563"/>
        <v>0</v>
      </c>
      <c r="P1096" s="554"/>
      <c r="Q1096" s="182">
        <f>VLOOKUP($B1096,dongia1,DG!$G$5,)</f>
        <v>99000</v>
      </c>
      <c r="R1096" s="554"/>
      <c r="S1096" s="113">
        <f t="shared" si="564"/>
        <v>0</v>
      </c>
      <c r="T1096" s="113">
        <f t="shared" si="565"/>
        <v>99000</v>
      </c>
      <c r="U1096" s="557">
        <f t="shared" si="566"/>
        <v>0</v>
      </c>
    </row>
    <row r="1097" spans="1:21" s="552" customFormat="1" ht="15" customHeight="1">
      <c r="A1097" s="621"/>
      <c r="B1097" s="622" t="s">
        <v>1301</v>
      </c>
      <c r="C1097" s="558" t="str">
        <f t="shared" si="562"/>
        <v xml:space="preserve"> </v>
      </c>
      <c r="D1097" s="553"/>
      <c r="E1097" s="694" t="str">
        <f>VLOOKUP($B1097,dongia1,DG!$C$5,)</f>
        <v>Lắp cổ dê</v>
      </c>
      <c r="F1097" s="555" t="str">
        <f>VLOOKUP($B1097,dongia1,DG!$D$5,)</f>
        <v>cái</v>
      </c>
      <c r="G1097" s="205">
        <v>2</v>
      </c>
      <c r="H1097" s="556"/>
      <c r="I1097" s="556">
        <f t="shared" ca="1" si="563"/>
        <v>0</v>
      </c>
      <c r="J1097" s="556">
        <f t="shared" ca="1" si="563"/>
        <v>0</v>
      </c>
      <c r="K1097" s="556">
        <f t="shared" ca="1" si="563"/>
        <v>0</v>
      </c>
      <c r="L1097" s="556">
        <f t="shared" ca="1" si="563"/>
        <v>0</v>
      </c>
      <c r="M1097" s="556"/>
      <c r="N1097" s="556">
        <f t="shared" ca="1" si="563"/>
        <v>0</v>
      </c>
      <c r="O1097" s="556">
        <f t="shared" si="563"/>
        <v>0</v>
      </c>
      <c r="P1097" s="554"/>
      <c r="Q1097" s="182">
        <f>VLOOKUP($B1097,dongia1,DG!$G$5,)</f>
        <v>77000</v>
      </c>
      <c r="R1097" s="554"/>
      <c r="S1097" s="113">
        <f t="shared" si="564"/>
        <v>0</v>
      </c>
      <c r="T1097" s="113">
        <f t="shared" si="565"/>
        <v>154000</v>
      </c>
      <c r="U1097" s="557">
        <f t="shared" si="566"/>
        <v>0</v>
      </c>
    </row>
    <row r="1098" spans="1:21" s="552" customFormat="1" ht="15" customHeight="1">
      <c r="A1098" s="621" t="s">
        <v>900</v>
      </c>
      <c r="B1098" s="622"/>
      <c r="C1098" s="558" t="str">
        <f>IF(H1098&lt;&gt;0,"x"," ")</f>
        <v xml:space="preserve"> </v>
      </c>
      <c r="D1098" s="553"/>
      <c r="E1098" s="727" t="s">
        <v>3623</v>
      </c>
      <c r="F1098" s="600" t="s">
        <v>2113</v>
      </c>
      <c r="G1098" s="205"/>
      <c r="H1098" s="556"/>
      <c r="I1098" s="556">
        <f ca="1">SUMIF(chang3pm,chitiet!$A1098,slchang3pm)</f>
        <v>0</v>
      </c>
      <c r="J1098" s="556">
        <f ca="1">SUMIF(changct,chitiet!$A1098,slchangct)</f>
        <v>0</v>
      </c>
      <c r="K1098" s="556">
        <f ca="1">SUMIF(chang3p1m,chitiet!$A1098,slchang3p1m)</f>
        <v>0</v>
      </c>
      <c r="L1098" s="556">
        <f ca="1">SUMIF(chang1pm,chitiet!$A1098,slchang1pm)</f>
        <v>0</v>
      </c>
      <c r="M1098" s="556"/>
      <c r="N1098" s="556">
        <f ca="1">SUMIF(changHTDL,chitiet!$A1098,Slchanghtdl)</f>
        <v>0</v>
      </c>
      <c r="O1098" s="556"/>
      <c r="P1098" s="554"/>
      <c r="Q1098" s="554"/>
      <c r="R1098" s="554"/>
      <c r="S1098" s="601">
        <f>SUM(S1099:S1109)</f>
        <v>1696250</v>
      </c>
      <c r="T1098" s="601">
        <f>SUM(T1099:T1109)</f>
        <v>176000</v>
      </c>
      <c r="U1098" s="602">
        <f>SUM(U1099:U1109)</f>
        <v>0</v>
      </c>
    </row>
    <row r="1099" spans="1:21" s="552" customFormat="1" ht="15" customHeight="1">
      <c r="A1099" s="621"/>
      <c r="B1099" s="622" t="s">
        <v>233</v>
      </c>
      <c r="C1099" s="558" t="str">
        <f>C1098</f>
        <v xml:space="preserve"> </v>
      </c>
      <c r="D1099" s="553"/>
      <c r="E1099" s="694" t="str">
        <f>VLOOKUP($B1099,dongia1,DG!$C$5,)&amp;"-Fe8x100 nhúng kẽm"</f>
        <v>Cổ dê Þ 195 nẹp trụ-Fe8x100 nhúng kẽm</v>
      </c>
      <c r="F1099" s="555" t="str">
        <f>VLOOKUP($B1099,dongia1,DG!$D$5,)</f>
        <v>bộ</v>
      </c>
      <c r="G1099" s="205">
        <v>1</v>
      </c>
      <c r="H1099" s="556"/>
      <c r="I1099" s="556">
        <f t="shared" ref="I1099:O1109" ca="1" si="567">I$1098*$G1099</f>
        <v>0</v>
      </c>
      <c r="J1099" s="556">
        <f t="shared" ca="1" si="567"/>
        <v>0</v>
      </c>
      <c r="K1099" s="556">
        <f t="shared" ca="1" si="567"/>
        <v>0</v>
      </c>
      <c r="L1099" s="556">
        <f t="shared" ca="1" si="567"/>
        <v>0</v>
      </c>
      <c r="M1099" s="556"/>
      <c r="N1099" s="556">
        <f t="shared" ca="1" si="567"/>
        <v>0</v>
      </c>
      <c r="O1099" s="556">
        <f t="shared" si="567"/>
        <v>0</v>
      </c>
      <c r="P1099" s="182">
        <f>VLOOKUP($B1099,dongia1,DG!$F$5,)</f>
        <v>213700</v>
      </c>
      <c r="Q1099" s="554"/>
      <c r="R1099" s="554"/>
      <c r="S1099" s="113">
        <f t="shared" ref="S1099:S1109" si="568">$G1099*P1099</f>
        <v>213700</v>
      </c>
      <c r="T1099" s="113">
        <f t="shared" ref="T1099:T1109" si="569">$G1099*Q1099</f>
        <v>0</v>
      </c>
      <c r="U1099" s="557">
        <f t="shared" ref="U1099:U1109" si="570">$G1099*R1099</f>
        <v>0</v>
      </c>
    </row>
    <row r="1100" spans="1:21" s="552" customFormat="1" ht="15" customHeight="1">
      <c r="A1100" s="621"/>
      <c r="B1100" s="622" t="s">
        <v>1005</v>
      </c>
      <c r="C1100" s="558" t="str">
        <f>C1099</f>
        <v xml:space="preserve"> </v>
      </c>
      <c r="D1100" s="553"/>
      <c r="E1100" s="694" t="str">
        <f>VLOOKUP($B1100,dongia1,DG!$C$5,)</f>
        <v>Sứ chằng</v>
      </c>
      <c r="F1100" s="555" t="str">
        <f>VLOOKUP($B1100,dongia1,DG!$D$5,)</f>
        <v>cái</v>
      </c>
      <c r="G1100" s="205">
        <v>2</v>
      </c>
      <c r="H1100" s="556"/>
      <c r="I1100" s="556">
        <f t="shared" ca="1" si="567"/>
        <v>0</v>
      </c>
      <c r="J1100" s="556">
        <f t="shared" ca="1" si="567"/>
        <v>0</v>
      </c>
      <c r="K1100" s="556">
        <f t="shared" ca="1" si="567"/>
        <v>0</v>
      </c>
      <c r="L1100" s="556">
        <f t="shared" ca="1" si="567"/>
        <v>0</v>
      </c>
      <c r="M1100" s="556"/>
      <c r="N1100" s="556">
        <f t="shared" ca="1" si="567"/>
        <v>0</v>
      </c>
      <c r="O1100" s="556">
        <f t="shared" si="567"/>
        <v>0</v>
      </c>
      <c r="P1100" s="182">
        <f>VLOOKUP($B1100,dongia1,DG!$F$5,)</f>
        <v>38000</v>
      </c>
      <c r="Q1100" s="554"/>
      <c r="R1100" s="554"/>
      <c r="S1100" s="113">
        <f t="shared" si="568"/>
        <v>76000</v>
      </c>
      <c r="T1100" s="113">
        <f t="shared" si="569"/>
        <v>0</v>
      </c>
      <c r="U1100" s="557">
        <f t="shared" si="570"/>
        <v>0</v>
      </c>
    </row>
    <row r="1101" spans="1:21" s="552" customFormat="1" ht="15" customHeight="1">
      <c r="A1101" s="621"/>
      <c r="B1101" s="622" t="s">
        <v>204</v>
      </c>
      <c r="C1101" s="558" t="str">
        <f t="shared" ref="C1101:C1109" si="571">C1100</f>
        <v xml:space="preserve"> </v>
      </c>
      <c r="D1101" s="553"/>
      <c r="E1101" s="694" t="str">
        <f>VLOOKUP($B1101,dongia1,DG!$C$5,)</f>
        <v>Kẹp cáp 3 boulon</v>
      </c>
      <c r="F1101" s="555" t="str">
        <f>VLOOKUP($B1101,dongia1,DG!$D$5,)</f>
        <v>cái</v>
      </c>
      <c r="G1101" s="205">
        <v>8</v>
      </c>
      <c r="H1101" s="556"/>
      <c r="I1101" s="556">
        <f t="shared" ca="1" si="567"/>
        <v>0</v>
      </c>
      <c r="J1101" s="556">
        <f t="shared" ca="1" si="567"/>
        <v>0</v>
      </c>
      <c r="K1101" s="556">
        <f t="shared" ca="1" si="567"/>
        <v>0</v>
      </c>
      <c r="L1101" s="556">
        <f t="shared" ca="1" si="567"/>
        <v>0</v>
      </c>
      <c r="M1101" s="556"/>
      <c r="N1101" s="556">
        <f t="shared" ca="1" si="567"/>
        <v>0</v>
      </c>
      <c r="O1101" s="556">
        <f t="shared" si="567"/>
        <v>0</v>
      </c>
      <c r="P1101" s="182">
        <f>VLOOKUP($B1101,dongia1,DG!$F$5,)</f>
        <v>38000</v>
      </c>
      <c r="Q1101" s="554"/>
      <c r="R1101" s="554"/>
      <c r="S1101" s="113">
        <f t="shared" si="568"/>
        <v>304000</v>
      </c>
      <c r="T1101" s="113">
        <f t="shared" si="569"/>
        <v>0</v>
      </c>
      <c r="U1101" s="557">
        <f t="shared" si="570"/>
        <v>0</v>
      </c>
    </row>
    <row r="1102" spans="1:21" s="552" customFormat="1" ht="15" customHeight="1">
      <c r="A1102" s="621"/>
      <c r="B1102" s="622" t="s">
        <v>374</v>
      </c>
      <c r="C1102" s="558" t="str">
        <f t="shared" si="571"/>
        <v xml:space="preserve"> </v>
      </c>
      <c r="D1102" s="553"/>
      <c r="E1102" s="694" t="str">
        <f>VLOOKUP($B1102,dongia1,DG!$C$5,)</f>
        <v>Cáp thép 5/8"</v>
      </c>
      <c r="F1102" s="555" t="str">
        <f>VLOOKUP($B1102,dongia1,DG!$D$5,)</f>
        <v>kg</v>
      </c>
      <c r="G1102" s="205">
        <v>19</v>
      </c>
      <c r="H1102" s="556"/>
      <c r="I1102" s="556">
        <f t="shared" ca="1" si="567"/>
        <v>0</v>
      </c>
      <c r="J1102" s="556">
        <f t="shared" ca="1" si="567"/>
        <v>0</v>
      </c>
      <c r="K1102" s="556">
        <f t="shared" ca="1" si="567"/>
        <v>0</v>
      </c>
      <c r="L1102" s="556">
        <f t="shared" ca="1" si="567"/>
        <v>0</v>
      </c>
      <c r="M1102" s="556"/>
      <c r="N1102" s="556">
        <f t="shared" ca="1" si="567"/>
        <v>0</v>
      </c>
      <c r="O1102" s="556">
        <f t="shared" si="567"/>
        <v>0</v>
      </c>
      <c r="P1102" s="182">
        <f>VLOOKUP($B1102,dongia1,DG!$F$5,)</f>
        <v>47300</v>
      </c>
      <c r="Q1102" s="182"/>
      <c r="R1102" s="554"/>
      <c r="S1102" s="113">
        <f t="shared" si="568"/>
        <v>898700</v>
      </c>
      <c r="T1102" s="113">
        <f t="shared" si="569"/>
        <v>0</v>
      </c>
      <c r="U1102" s="557">
        <f t="shared" si="570"/>
        <v>0</v>
      </c>
    </row>
    <row r="1103" spans="1:21" s="552" customFormat="1" ht="15" customHeight="1">
      <c r="A1103" s="621"/>
      <c r="B1103" s="622" t="s">
        <v>593</v>
      </c>
      <c r="C1103" s="558" t="str">
        <f t="shared" si="571"/>
        <v xml:space="preserve"> </v>
      </c>
      <c r="D1103" s="553"/>
      <c r="E1103" s="694" t="str">
        <f>VLOOKUP($B1103,dongia1,DG!$C$5,)</f>
        <v>Sắt dẹt 60 x 6</v>
      </c>
      <c r="F1103" s="555" t="str">
        <f>VLOOKUP($B1103,dongia1,DG!$D$5,)</f>
        <v>kg</v>
      </c>
      <c r="G1103" s="205">
        <v>2</v>
      </c>
      <c r="H1103" s="556"/>
      <c r="I1103" s="556">
        <f t="shared" ca="1" si="567"/>
        <v>0</v>
      </c>
      <c r="J1103" s="556">
        <f t="shared" ca="1" si="567"/>
        <v>0</v>
      </c>
      <c r="K1103" s="556">
        <f t="shared" ca="1" si="567"/>
        <v>0</v>
      </c>
      <c r="L1103" s="556">
        <f t="shared" ca="1" si="567"/>
        <v>0</v>
      </c>
      <c r="M1103" s="556"/>
      <c r="N1103" s="556">
        <f t="shared" ca="1" si="567"/>
        <v>0</v>
      </c>
      <c r="O1103" s="556">
        <f t="shared" si="567"/>
        <v>0</v>
      </c>
      <c r="P1103" s="182">
        <f>VLOOKUP($B1103,dongia1,DG!$F$5,)</f>
        <v>31625</v>
      </c>
      <c r="Q1103" s="182"/>
      <c r="R1103" s="554"/>
      <c r="S1103" s="113">
        <f t="shared" si="568"/>
        <v>63250</v>
      </c>
      <c r="T1103" s="113">
        <f t="shared" si="569"/>
        <v>0</v>
      </c>
      <c r="U1103" s="557">
        <f t="shared" si="570"/>
        <v>0</v>
      </c>
    </row>
    <row r="1104" spans="1:21" s="552" customFormat="1" ht="15" customHeight="1">
      <c r="A1104" s="621"/>
      <c r="B1104" s="622" t="s">
        <v>143</v>
      </c>
      <c r="C1104" s="558" t="str">
        <f t="shared" si="571"/>
        <v xml:space="preserve"> </v>
      </c>
      <c r="D1104" s="553"/>
      <c r="E1104" s="694" t="str">
        <f>VLOOKUP($B1104,dongia1,DG!$C$5,)</f>
        <v xml:space="preserve">Móc treo chữ U F16 dài </v>
      </c>
      <c r="F1104" s="555" t="str">
        <f>VLOOKUP($B1104,dongia1,DG!$D$5,)</f>
        <v>cái</v>
      </c>
      <c r="G1104" s="205">
        <v>1</v>
      </c>
      <c r="H1104" s="556"/>
      <c r="I1104" s="556">
        <f t="shared" ca="1" si="567"/>
        <v>0</v>
      </c>
      <c r="J1104" s="556">
        <f t="shared" ca="1" si="567"/>
        <v>0</v>
      </c>
      <c r="K1104" s="556">
        <f t="shared" ca="1" si="567"/>
        <v>0</v>
      </c>
      <c r="L1104" s="556">
        <f t="shared" ca="1" si="567"/>
        <v>0</v>
      </c>
      <c r="M1104" s="556"/>
      <c r="N1104" s="556">
        <f t="shared" ca="1" si="567"/>
        <v>0</v>
      </c>
      <c r="O1104" s="556">
        <f t="shared" si="567"/>
        <v>0</v>
      </c>
      <c r="P1104" s="182">
        <f>VLOOKUP($B1104,dongia1,DG!$F$5,)</f>
        <v>28000</v>
      </c>
      <c r="Q1104" s="182"/>
      <c r="R1104" s="554"/>
      <c r="S1104" s="113">
        <f t="shared" si="568"/>
        <v>28000</v>
      </c>
      <c r="T1104" s="113">
        <f t="shared" si="569"/>
        <v>0</v>
      </c>
      <c r="U1104" s="557">
        <f t="shared" si="570"/>
        <v>0</v>
      </c>
    </row>
    <row r="1105" spans="1:21" s="552" customFormat="1" ht="15" customHeight="1">
      <c r="A1105" s="621"/>
      <c r="B1105" s="622" t="s">
        <v>1770</v>
      </c>
      <c r="C1105" s="558" t="str">
        <f t="shared" si="571"/>
        <v xml:space="preserve"> </v>
      </c>
      <c r="D1105" s="553"/>
      <c r="E1105" s="694" t="str">
        <f>VLOOKUP($B1105,dongia1,DG!$C$5,)</f>
        <v>Boulon 16x100VRS+ 4 long đền vuông D18-50x50x3/Zn</v>
      </c>
      <c r="F1105" s="555" t="str">
        <f>VLOOKUP($B1105,dongia1,DG!$D$5,)</f>
        <v>bộ</v>
      </c>
      <c r="G1105" s="205">
        <v>2</v>
      </c>
      <c r="H1105" s="556"/>
      <c r="I1105" s="556">
        <f t="shared" ca="1" si="567"/>
        <v>0</v>
      </c>
      <c r="J1105" s="556">
        <f t="shared" ca="1" si="567"/>
        <v>0</v>
      </c>
      <c r="K1105" s="556">
        <f t="shared" ca="1" si="567"/>
        <v>0</v>
      </c>
      <c r="L1105" s="556">
        <f t="shared" ca="1" si="567"/>
        <v>0</v>
      </c>
      <c r="M1105" s="556"/>
      <c r="N1105" s="556">
        <f t="shared" ca="1" si="567"/>
        <v>0</v>
      </c>
      <c r="O1105" s="556">
        <f t="shared" si="567"/>
        <v>0</v>
      </c>
      <c r="P1105" s="182">
        <f>VLOOKUP($B1105,dongia1,DG!$F$5,)</f>
        <v>22800</v>
      </c>
      <c r="Q1105" s="182">
        <f>VLOOKUP($B1105,dongia1,DG!$G$5,)</f>
        <v>0</v>
      </c>
      <c r="R1105" s="554"/>
      <c r="S1105" s="113">
        <f t="shared" si="568"/>
        <v>45600</v>
      </c>
      <c r="T1105" s="113">
        <f t="shared" si="569"/>
        <v>0</v>
      </c>
      <c r="U1105" s="557">
        <f t="shared" si="570"/>
        <v>0</v>
      </c>
    </row>
    <row r="1106" spans="1:21" s="552" customFormat="1" ht="15" customHeight="1">
      <c r="A1106" s="621"/>
      <c r="B1106" s="622" t="s">
        <v>537</v>
      </c>
      <c r="C1106" s="558" t="str">
        <f t="shared" si="571"/>
        <v xml:space="preserve"> </v>
      </c>
      <c r="D1106" s="553"/>
      <c r="E1106" s="694" t="str">
        <f>VLOOKUP($B1106,dongia1,DG!$C$5,)</f>
        <v>Yếm đỡ dày chằng F1/2 mạ Zn (Yếm cáp)</v>
      </c>
      <c r="F1106" s="555" t="str">
        <f>VLOOKUP($B1106,dongia1,DG!$D$5,)</f>
        <v>cái</v>
      </c>
      <c r="G1106" s="205">
        <v>2</v>
      </c>
      <c r="H1106" s="556"/>
      <c r="I1106" s="556">
        <f t="shared" ca="1" si="567"/>
        <v>0</v>
      </c>
      <c r="J1106" s="556">
        <f t="shared" ca="1" si="567"/>
        <v>0</v>
      </c>
      <c r="K1106" s="556">
        <f t="shared" ca="1" si="567"/>
        <v>0</v>
      </c>
      <c r="L1106" s="556">
        <f t="shared" ca="1" si="567"/>
        <v>0</v>
      </c>
      <c r="M1106" s="556"/>
      <c r="N1106" s="556">
        <f t="shared" ca="1" si="567"/>
        <v>0</v>
      </c>
      <c r="O1106" s="556">
        <f t="shared" si="567"/>
        <v>0</v>
      </c>
      <c r="P1106" s="182">
        <f>VLOOKUP($B1106,dongia1,DG!$F$5,)</f>
        <v>6000</v>
      </c>
      <c r="Q1106" s="182"/>
      <c r="R1106" s="554"/>
      <c r="S1106" s="113">
        <f t="shared" si="568"/>
        <v>12000</v>
      </c>
      <c r="T1106" s="113">
        <f t="shared" si="569"/>
        <v>0</v>
      </c>
      <c r="U1106" s="557">
        <f t="shared" si="570"/>
        <v>0</v>
      </c>
    </row>
    <row r="1107" spans="1:21" s="552" customFormat="1" ht="15" customHeight="1">
      <c r="A1107" s="621"/>
      <c r="B1107" s="622" t="s">
        <v>538</v>
      </c>
      <c r="C1107" s="558" t="str">
        <f t="shared" si="571"/>
        <v xml:space="preserve"> </v>
      </c>
      <c r="D1107" s="553"/>
      <c r="E1107" s="694" t="str">
        <f>VLOOKUP($B1107,dongia1,DG!$C$5,)</f>
        <v>Máng che dây chằng dày 1,6mm 0,4x2000</v>
      </c>
      <c r="F1107" s="555" t="str">
        <f>VLOOKUP($B1107,dongia1,DG!$D$5,)</f>
        <v>cái</v>
      </c>
      <c r="G1107" s="205">
        <v>1</v>
      </c>
      <c r="H1107" s="556"/>
      <c r="I1107" s="556">
        <f t="shared" ca="1" si="567"/>
        <v>0</v>
      </c>
      <c r="J1107" s="556">
        <f t="shared" ca="1" si="567"/>
        <v>0</v>
      </c>
      <c r="K1107" s="556">
        <f t="shared" ca="1" si="567"/>
        <v>0</v>
      </c>
      <c r="L1107" s="556">
        <f t="shared" ca="1" si="567"/>
        <v>0</v>
      </c>
      <c r="M1107" s="556"/>
      <c r="N1107" s="556">
        <f t="shared" ca="1" si="567"/>
        <v>0</v>
      </c>
      <c r="O1107" s="556">
        <f t="shared" si="567"/>
        <v>0</v>
      </c>
      <c r="P1107" s="182">
        <f>VLOOKUP($B1107,dongia1,DG!$F$5,)</f>
        <v>55000</v>
      </c>
      <c r="Q1107" s="182"/>
      <c r="R1107" s="554"/>
      <c r="S1107" s="113">
        <f t="shared" si="568"/>
        <v>55000</v>
      </c>
      <c r="T1107" s="113">
        <f t="shared" si="569"/>
        <v>0</v>
      </c>
      <c r="U1107" s="557">
        <f t="shared" si="570"/>
        <v>0</v>
      </c>
    </row>
    <row r="1108" spans="1:21" s="552" customFormat="1" ht="15" customHeight="1">
      <c r="A1108" s="621"/>
      <c r="B1108" s="622" t="s">
        <v>1828</v>
      </c>
      <c r="C1108" s="558" t="str">
        <f t="shared" si="571"/>
        <v xml:space="preserve"> </v>
      </c>
      <c r="D1108" s="553"/>
      <c r="E1108" s="694" t="str">
        <f>VLOOKUP($B1108,dongia1,DG!$C$5,)</f>
        <v>Lắp bộ dây néo</v>
      </c>
      <c r="F1108" s="555" t="str">
        <f>VLOOKUP($B1108,dongia1,DG!$D$5,)</f>
        <v>bộ</v>
      </c>
      <c r="G1108" s="205">
        <f>G1099</f>
        <v>1</v>
      </c>
      <c r="H1108" s="556"/>
      <c r="I1108" s="556">
        <f t="shared" ca="1" si="567"/>
        <v>0</v>
      </c>
      <c r="J1108" s="556">
        <f t="shared" ca="1" si="567"/>
        <v>0</v>
      </c>
      <c r="K1108" s="556">
        <f t="shared" ca="1" si="567"/>
        <v>0</v>
      </c>
      <c r="L1108" s="556">
        <f t="shared" ca="1" si="567"/>
        <v>0</v>
      </c>
      <c r="M1108" s="556"/>
      <c r="N1108" s="556">
        <f t="shared" ca="1" si="567"/>
        <v>0</v>
      </c>
      <c r="O1108" s="556">
        <f t="shared" si="567"/>
        <v>0</v>
      </c>
      <c r="P1108" s="554"/>
      <c r="Q1108" s="182">
        <f>VLOOKUP($B1108,dongia1,DG!$G$5,)</f>
        <v>99000</v>
      </c>
      <c r="R1108" s="554"/>
      <c r="S1108" s="113">
        <f t="shared" si="568"/>
        <v>0</v>
      </c>
      <c r="T1108" s="113">
        <f t="shared" si="569"/>
        <v>99000</v>
      </c>
      <c r="U1108" s="557">
        <f t="shared" si="570"/>
        <v>0</v>
      </c>
    </row>
    <row r="1109" spans="1:21" s="552" customFormat="1" ht="15" customHeight="1">
      <c r="A1109" s="621"/>
      <c r="B1109" s="622" t="s">
        <v>1301</v>
      </c>
      <c r="C1109" s="558" t="str">
        <f t="shared" si="571"/>
        <v xml:space="preserve"> </v>
      </c>
      <c r="D1109" s="553"/>
      <c r="E1109" s="694" t="str">
        <f>VLOOKUP($B1109,dongia1,DG!$C$5,)</f>
        <v>Lắp cổ dê</v>
      </c>
      <c r="F1109" s="555" t="str">
        <f>VLOOKUP($B1109,dongia1,DG!$D$5,)</f>
        <v>cái</v>
      </c>
      <c r="G1109" s="205">
        <v>1</v>
      </c>
      <c r="H1109" s="556"/>
      <c r="I1109" s="556">
        <f t="shared" ca="1" si="567"/>
        <v>0</v>
      </c>
      <c r="J1109" s="556">
        <f t="shared" ca="1" si="567"/>
        <v>0</v>
      </c>
      <c r="K1109" s="556">
        <f t="shared" ca="1" si="567"/>
        <v>0</v>
      </c>
      <c r="L1109" s="556">
        <f t="shared" ca="1" si="567"/>
        <v>0</v>
      </c>
      <c r="M1109" s="556"/>
      <c r="N1109" s="556">
        <f t="shared" ca="1" si="567"/>
        <v>0</v>
      </c>
      <c r="O1109" s="556">
        <f t="shared" si="567"/>
        <v>0</v>
      </c>
      <c r="P1109" s="554"/>
      <c r="Q1109" s="182">
        <f>VLOOKUP($B1109,dongia1,DG!$G$5,)</f>
        <v>77000</v>
      </c>
      <c r="R1109" s="554"/>
      <c r="S1109" s="113">
        <f t="shared" si="568"/>
        <v>0</v>
      </c>
      <c r="T1109" s="113">
        <f t="shared" si="569"/>
        <v>77000</v>
      </c>
      <c r="U1109" s="557">
        <f t="shared" si="570"/>
        <v>0</v>
      </c>
    </row>
    <row r="1110" spans="1:21" s="552" customFormat="1" ht="15" customHeight="1">
      <c r="A1110" s="621" t="s">
        <v>88</v>
      </c>
      <c r="B1110" s="622"/>
      <c r="C1110" s="558" t="str">
        <f>IF(H1110&lt;&gt;0,"x"," ")</f>
        <v xml:space="preserve"> </v>
      </c>
      <c r="D1110" s="553"/>
      <c r="E1110" s="727" t="s">
        <v>3624</v>
      </c>
      <c r="F1110" s="600" t="s">
        <v>2113</v>
      </c>
      <c r="G1110" s="205"/>
      <c r="H1110" s="556"/>
      <c r="I1110" s="556">
        <f ca="1">SUMIF(chang3pm,chitiet!$A1110,slchang3pm)</f>
        <v>0</v>
      </c>
      <c r="J1110" s="556">
        <f ca="1">SUMIF(changct,chitiet!$A1110,slchangct)</f>
        <v>0</v>
      </c>
      <c r="K1110" s="556">
        <f ca="1">SUMIF(chang3p1m,chitiet!$A1110,slchang3p1m)</f>
        <v>0</v>
      </c>
      <c r="L1110" s="556">
        <f ca="1">SUMIF(chang1pm,chitiet!$A1110,slchang1pm)</f>
        <v>0</v>
      </c>
      <c r="M1110" s="556"/>
      <c r="N1110" s="556">
        <f ca="1">SUMIF(changHTDL,chitiet!$A1110,Slchanghtdl)</f>
        <v>0</v>
      </c>
      <c r="O1110" s="556"/>
      <c r="P1110" s="554"/>
      <c r="Q1110" s="554"/>
      <c r="R1110" s="554"/>
      <c r="S1110" s="601">
        <f>SUM(S1111:S1120)</f>
        <v>1594550</v>
      </c>
      <c r="T1110" s="601">
        <f>SUM(T1111:T1120)</f>
        <v>176000</v>
      </c>
      <c r="U1110" s="602">
        <f>SUM(U1111:U1120)</f>
        <v>0</v>
      </c>
    </row>
    <row r="1111" spans="1:21" s="552" customFormat="1" ht="15" customHeight="1">
      <c r="A1111" s="621"/>
      <c r="B1111" s="622" t="s">
        <v>233</v>
      </c>
      <c r="C1111" s="558" t="str">
        <f t="shared" ref="C1111:C1120" si="572">C1110</f>
        <v xml:space="preserve"> </v>
      </c>
      <c r="D1111" s="553"/>
      <c r="E1111" s="694" t="str">
        <f>VLOOKUP($B1111,dongia1,DG!$C$5,)&amp;"-Fe8x100 nhúng kẽm"</f>
        <v>Cổ dê Þ 195 nẹp trụ-Fe8x100 nhúng kẽm</v>
      </c>
      <c r="F1111" s="555" t="str">
        <f>VLOOKUP($B1111,dongia1,DG!$D$5,)</f>
        <v>bộ</v>
      </c>
      <c r="G1111" s="205">
        <v>1</v>
      </c>
      <c r="H1111" s="556"/>
      <c r="I1111" s="556">
        <f t="shared" ref="I1111:O1120" ca="1" si="573">I$1110*$G1111</f>
        <v>0</v>
      </c>
      <c r="J1111" s="556">
        <f t="shared" ca="1" si="573"/>
        <v>0</v>
      </c>
      <c r="K1111" s="556">
        <f t="shared" ca="1" si="573"/>
        <v>0</v>
      </c>
      <c r="L1111" s="556">
        <f t="shared" ca="1" si="573"/>
        <v>0</v>
      </c>
      <c r="M1111" s="556"/>
      <c r="N1111" s="556">
        <f t="shared" ca="1" si="573"/>
        <v>0</v>
      </c>
      <c r="O1111" s="556">
        <f t="shared" si="573"/>
        <v>0</v>
      </c>
      <c r="P1111" s="182">
        <f>VLOOKUP($B1111,dongia1,DG!$F$5,)</f>
        <v>213700</v>
      </c>
      <c r="Q1111" s="554"/>
      <c r="R1111" s="554"/>
      <c r="S1111" s="113">
        <f t="shared" ref="S1111:S1120" si="574">$G1111*P1111</f>
        <v>213700</v>
      </c>
      <c r="T1111" s="113">
        <f t="shared" ref="T1111:T1120" si="575">$G1111*Q1111</f>
        <v>0</v>
      </c>
      <c r="U1111" s="557">
        <f t="shared" ref="U1111:U1120" si="576">$G1111*R1111</f>
        <v>0</v>
      </c>
    </row>
    <row r="1112" spans="1:21" s="552" customFormat="1" ht="15" customHeight="1">
      <c r="A1112" s="621"/>
      <c r="B1112" s="622" t="s">
        <v>1005</v>
      </c>
      <c r="C1112" s="558" t="str">
        <f t="shared" si="572"/>
        <v xml:space="preserve"> </v>
      </c>
      <c r="D1112" s="553"/>
      <c r="E1112" s="694" t="str">
        <f>VLOOKUP($B1112,dongia1,DG!$C$5,)</f>
        <v>Sứ chằng</v>
      </c>
      <c r="F1112" s="555" t="str">
        <f>VLOOKUP($B1112,dongia1,DG!$D$5,)</f>
        <v>cái</v>
      </c>
      <c r="G1112" s="205">
        <v>2</v>
      </c>
      <c r="H1112" s="556"/>
      <c r="I1112" s="556">
        <f t="shared" ca="1" si="573"/>
        <v>0</v>
      </c>
      <c r="J1112" s="556">
        <f t="shared" ca="1" si="573"/>
        <v>0</v>
      </c>
      <c r="K1112" s="556">
        <f t="shared" ca="1" si="573"/>
        <v>0</v>
      </c>
      <c r="L1112" s="556">
        <f t="shared" ca="1" si="573"/>
        <v>0</v>
      </c>
      <c r="M1112" s="556"/>
      <c r="N1112" s="556">
        <f t="shared" ca="1" si="573"/>
        <v>0</v>
      </c>
      <c r="O1112" s="556">
        <f t="shared" si="573"/>
        <v>0</v>
      </c>
      <c r="P1112" s="182">
        <f>VLOOKUP($B1112,dongia1,DG!$F$5,)</f>
        <v>38000</v>
      </c>
      <c r="Q1112" s="554"/>
      <c r="R1112" s="554"/>
      <c r="S1112" s="113">
        <f t="shared" si="574"/>
        <v>76000</v>
      </c>
      <c r="T1112" s="113">
        <f t="shared" si="575"/>
        <v>0</v>
      </c>
      <c r="U1112" s="557">
        <f t="shared" si="576"/>
        <v>0</v>
      </c>
    </row>
    <row r="1113" spans="1:21" s="552" customFormat="1" ht="15" customHeight="1">
      <c r="A1113" s="621"/>
      <c r="B1113" s="622" t="s">
        <v>204</v>
      </c>
      <c r="C1113" s="558" t="str">
        <f t="shared" si="572"/>
        <v xml:space="preserve"> </v>
      </c>
      <c r="D1113" s="553"/>
      <c r="E1113" s="694" t="str">
        <f>VLOOKUP($B1113,dongia1,DG!$C$5,)</f>
        <v>Kẹp cáp 3 boulon</v>
      </c>
      <c r="F1113" s="555" t="str">
        <f>VLOOKUP($B1113,dongia1,DG!$D$5,)</f>
        <v>cái</v>
      </c>
      <c r="G1113" s="205">
        <v>12</v>
      </c>
      <c r="H1113" s="556"/>
      <c r="I1113" s="556">
        <f t="shared" ca="1" si="573"/>
        <v>0</v>
      </c>
      <c r="J1113" s="556">
        <f t="shared" ca="1" si="573"/>
        <v>0</v>
      </c>
      <c r="K1113" s="556">
        <f t="shared" ca="1" si="573"/>
        <v>0</v>
      </c>
      <c r="L1113" s="556">
        <f t="shared" ca="1" si="573"/>
        <v>0</v>
      </c>
      <c r="M1113" s="556"/>
      <c r="N1113" s="556">
        <f t="shared" ca="1" si="573"/>
        <v>0</v>
      </c>
      <c r="O1113" s="556">
        <f t="shared" si="573"/>
        <v>0</v>
      </c>
      <c r="P1113" s="182">
        <f>VLOOKUP($B1113,dongia1,DG!$F$5,)</f>
        <v>38000</v>
      </c>
      <c r="Q1113" s="554"/>
      <c r="R1113" s="554"/>
      <c r="S1113" s="113">
        <f t="shared" si="574"/>
        <v>456000</v>
      </c>
      <c r="T1113" s="113">
        <f t="shared" si="575"/>
        <v>0</v>
      </c>
      <c r="U1113" s="557">
        <f t="shared" si="576"/>
        <v>0</v>
      </c>
    </row>
    <row r="1114" spans="1:21" s="552" customFormat="1" ht="15" customHeight="1">
      <c r="A1114" s="621"/>
      <c r="B1114" s="622" t="s">
        <v>968</v>
      </c>
      <c r="C1114" s="558" t="str">
        <f t="shared" si="572"/>
        <v xml:space="preserve"> </v>
      </c>
      <c r="D1114" s="553"/>
      <c r="E1114" s="694" t="str">
        <f>VLOOKUP($B1114,dongia1,DG!$C$5,)</f>
        <v>Kẹp hotline 4/0</v>
      </c>
      <c r="F1114" s="555" t="str">
        <f>VLOOKUP($B1114,dongia1,DG!$D$5,)</f>
        <v>cái</v>
      </c>
      <c r="G1114" s="205">
        <v>6</v>
      </c>
      <c r="H1114" s="556"/>
      <c r="I1114" s="556">
        <f t="shared" ca="1" si="573"/>
        <v>0</v>
      </c>
      <c r="J1114" s="556">
        <f t="shared" ca="1" si="573"/>
        <v>0</v>
      </c>
      <c r="K1114" s="556">
        <f t="shared" ca="1" si="573"/>
        <v>0</v>
      </c>
      <c r="L1114" s="556">
        <f t="shared" ca="1" si="573"/>
        <v>0</v>
      </c>
      <c r="M1114" s="556"/>
      <c r="N1114" s="556">
        <f t="shared" ca="1" si="573"/>
        <v>0</v>
      </c>
      <c r="O1114" s="556">
        <f t="shared" si="573"/>
        <v>0</v>
      </c>
      <c r="P1114" s="182">
        <f>VLOOKUP($B1114,dongia1,DG!$F$5,)</f>
        <v>112000</v>
      </c>
      <c r="Q1114" s="182"/>
      <c r="R1114" s="554"/>
      <c r="S1114" s="113">
        <f t="shared" si="574"/>
        <v>672000</v>
      </c>
      <c r="T1114" s="113">
        <f t="shared" si="575"/>
        <v>0</v>
      </c>
      <c r="U1114" s="557">
        <f t="shared" si="576"/>
        <v>0</v>
      </c>
    </row>
    <row r="1115" spans="1:21" s="552" customFormat="1" ht="15" customHeight="1">
      <c r="A1115" s="621"/>
      <c r="B1115" s="622" t="s">
        <v>593</v>
      </c>
      <c r="C1115" s="558" t="str">
        <f t="shared" si="572"/>
        <v xml:space="preserve"> </v>
      </c>
      <c r="D1115" s="553"/>
      <c r="E1115" s="694" t="str">
        <f>VLOOKUP($B1115,dongia1,DG!$C$5,)</f>
        <v>Sắt dẹt 60 x 6</v>
      </c>
      <c r="F1115" s="555" t="str">
        <f>VLOOKUP($B1115,dongia1,DG!$D$5,)</f>
        <v>kg</v>
      </c>
      <c r="G1115" s="205">
        <v>2</v>
      </c>
      <c r="H1115" s="556"/>
      <c r="I1115" s="556">
        <f t="shared" ca="1" si="573"/>
        <v>0</v>
      </c>
      <c r="J1115" s="556">
        <f t="shared" ca="1" si="573"/>
        <v>0</v>
      </c>
      <c r="K1115" s="556">
        <f t="shared" ca="1" si="573"/>
        <v>0</v>
      </c>
      <c r="L1115" s="556">
        <f t="shared" ca="1" si="573"/>
        <v>0</v>
      </c>
      <c r="M1115" s="556"/>
      <c r="N1115" s="556">
        <f t="shared" ca="1" si="573"/>
        <v>0</v>
      </c>
      <c r="O1115" s="556">
        <f t="shared" si="573"/>
        <v>0</v>
      </c>
      <c r="P1115" s="182">
        <f>VLOOKUP($B1115,dongia1,DG!$F$5,)</f>
        <v>31625</v>
      </c>
      <c r="Q1115" s="182"/>
      <c r="R1115" s="554"/>
      <c r="S1115" s="113">
        <f t="shared" si="574"/>
        <v>63250</v>
      </c>
      <c r="T1115" s="113">
        <f t="shared" si="575"/>
        <v>0</v>
      </c>
      <c r="U1115" s="557">
        <f t="shared" si="576"/>
        <v>0</v>
      </c>
    </row>
    <row r="1116" spans="1:21" s="552" customFormat="1" ht="15" customHeight="1">
      <c r="A1116" s="621"/>
      <c r="B1116" s="622" t="s">
        <v>143</v>
      </c>
      <c r="C1116" s="558" t="str">
        <f t="shared" si="572"/>
        <v xml:space="preserve"> </v>
      </c>
      <c r="D1116" s="553"/>
      <c r="E1116" s="694" t="str">
        <f>VLOOKUP($B1116,dongia1,DG!$C$5,)</f>
        <v xml:space="preserve">Móc treo chữ U F16 dài </v>
      </c>
      <c r="F1116" s="555" t="str">
        <f>VLOOKUP($B1116,dongia1,DG!$D$5,)</f>
        <v>cái</v>
      </c>
      <c r="G1116" s="205">
        <v>2</v>
      </c>
      <c r="H1116" s="556"/>
      <c r="I1116" s="556">
        <f t="shared" ca="1" si="573"/>
        <v>0</v>
      </c>
      <c r="J1116" s="556">
        <f t="shared" ca="1" si="573"/>
        <v>0</v>
      </c>
      <c r="K1116" s="556">
        <f t="shared" ca="1" si="573"/>
        <v>0</v>
      </c>
      <c r="L1116" s="556">
        <f t="shared" ca="1" si="573"/>
        <v>0</v>
      </c>
      <c r="M1116" s="556"/>
      <c r="N1116" s="556">
        <f t="shared" ca="1" si="573"/>
        <v>0</v>
      </c>
      <c r="O1116" s="556">
        <f t="shared" si="573"/>
        <v>0</v>
      </c>
      <c r="P1116" s="182">
        <f>VLOOKUP($B1116,dongia1,DG!$F$5,)</f>
        <v>28000</v>
      </c>
      <c r="Q1116" s="182"/>
      <c r="R1116" s="554"/>
      <c r="S1116" s="113">
        <f t="shared" si="574"/>
        <v>56000</v>
      </c>
      <c r="T1116" s="113">
        <f t="shared" si="575"/>
        <v>0</v>
      </c>
      <c r="U1116" s="557">
        <f t="shared" si="576"/>
        <v>0</v>
      </c>
    </row>
    <row r="1117" spans="1:21" s="552" customFormat="1" ht="15" customHeight="1">
      <c r="A1117" s="621"/>
      <c r="B1117" s="622" t="s">
        <v>1770</v>
      </c>
      <c r="C1117" s="558" t="str">
        <f t="shared" si="572"/>
        <v xml:space="preserve"> </v>
      </c>
      <c r="D1117" s="553"/>
      <c r="E1117" s="694" t="str">
        <f>VLOOKUP($B1117,dongia1,DG!$C$5,)</f>
        <v>Boulon 16x100VRS+ 4 long đền vuông D18-50x50x3/Zn</v>
      </c>
      <c r="F1117" s="555" t="str">
        <f>VLOOKUP($B1117,dongia1,DG!$D$5,)</f>
        <v>bộ</v>
      </c>
      <c r="G1117" s="205">
        <v>2</v>
      </c>
      <c r="H1117" s="556"/>
      <c r="I1117" s="556">
        <f t="shared" ca="1" si="573"/>
        <v>0</v>
      </c>
      <c r="J1117" s="556">
        <f t="shared" ca="1" si="573"/>
        <v>0</v>
      </c>
      <c r="K1117" s="556">
        <f t="shared" ca="1" si="573"/>
        <v>0</v>
      </c>
      <c r="L1117" s="556">
        <f t="shared" ca="1" si="573"/>
        <v>0</v>
      </c>
      <c r="M1117" s="556"/>
      <c r="N1117" s="556">
        <f t="shared" ca="1" si="573"/>
        <v>0</v>
      </c>
      <c r="O1117" s="556">
        <f t="shared" si="573"/>
        <v>0</v>
      </c>
      <c r="P1117" s="182">
        <f>VLOOKUP($B1117,dongia1,DG!$F$5,)</f>
        <v>22800</v>
      </c>
      <c r="Q1117" s="182">
        <f>VLOOKUP($B1117,dongia1,DG!$G$5,)</f>
        <v>0</v>
      </c>
      <c r="R1117" s="554"/>
      <c r="S1117" s="113">
        <f t="shared" si="574"/>
        <v>45600</v>
      </c>
      <c r="T1117" s="113">
        <f t="shared" si="575"/>
        <v>0</v>
      </c>
      <c r="U1117" s="557">
        <f t="shared" si="576"/>
        <v>0</v>
      </c>
    </row>
    <row r="1118" spans="1:21" s="552" customFormat="1" ht="15" customHeight="1">
      <c r="A1118" s="621"/>
      <c r="B1118" s="622" t="s">
        <v>537</v>
      </c>
      <c r="C1118" s="558" t="str">
        <f t="shared" si="572"/>
        <v xml:space="preserve"> </v>
      </c>
      <c r="D1118" s="553"/>
      <c r="E1118" s="694" t="str">
        <f>VLOOKUP($B1118,dongia1,DG!$C$5,)</f>
        <v>Yếm đỡ dày chằng F1/2 mạ Zn (Yếm cáp)</v>
      </c>
      <c r="F1118" s="555" t="str">
        <f>VLOOKUP($B1118,dongia1,DG!$D$5,)</f>
        <v>cái</v>
      </c>
      <c r="G1118" s="205">
        <v>2</v>
      </c>
      <c r="H1118" s="556"/>
      <c r="I1118" s="556">
        <f t="shared" ca="1" si="573"/>
        <v>0</v>
      </c>
      <c r="J1118" s="556">
        <f t="shared" ca="1" si="573"/>
        <v>0</v>
      </c>
      <c r="K1118" s="556">
        <f t="shared" ca="1" si="573"/>
        <v>0</v>
      </c>
      <c r="L1118" s="556">
        <f t="shared" ca="1" si="573"/>
        <v>0</v>
      </c>
      <c r="M1118" s="556"/>
      <c r="N1118" s="556">
        <f t="shared" ca="1" si="573"/>
        <v>0</v>
      </c>
      <c r="O1118" s="556">
        <f t="shared" si="573"/>
        <v>0</v>
      </c>
      <c r="P1118" s="182">
        <f>VLOOKUP($B1118,dongia1,DG!$F$5,)</f>
        <v>6000</v>
      </c>
      <c r="Q1118" s="182"/>
      <c r="R1118" s="554"/>
      <c r="S1118" s="113">
        <f t="shared" si="574"/>
        <v>12000</v>
      </c>
      <c r="T1118" s="113">
        <f t="shared" si="575"/>
        <v>0</v>
      </c>
      <c r="U1118" s="557">
        <f t="shared" si="576"/>
        <v>0</v>
      </c>
    </row>
    <row r="1119" spans="1:21" s="552" customFormat="1" ht="15" customHeight="1">
      <c r="A1119" s="621"/>
      <c r="B1119" s="622" t="s">
        <v>1828</v>
      </c>
      <c r="C1119" s="558" t="str">
        <f t="shared" si="572"/>
        <v xml:space="preserve"> </v>
      </c>
      <c r="D1119" s="553"/>
      <c r="E1119" s="694" t="str">
        <f>VLOOKUP($B1119,dongia1,DG!$C$5,)</f>
        <v>Lắp bộ dây néo</v>
      </c>
      <c r="F1119" s="555" t="str">
        <f>VLOOKUP($B1119,dongia1,DG!$D$5,)</f>
        <v>bộ</v>
      </c>
      <c r="G1119" s="205">
        <f>G1111</f>
        <v>1</v>
      </c>
      <c r="H1119" s="556"/>
      <c r="I1119" s="556">
        <f t="shared" ca="1" si="573"/>
        <v>0</v>
      </c>
      <c r="J1119" s="556">
        <f t="shared" ca="1" si="573"/>
        <v>0</v>
      </c>
      <c r="K1119" s="556">
        <f t="shared" ca="1" si="573"/>
        <v>0</v>
      </c>
      <c r="L1119" s="556">
        <f t="shared" ca="1" si="573"/>
        <v>0</v>
      </c>
      <c r="M1119" s="556"/>
      <c r="N1119" s="556">
        <f t="shared" ca="1" si="573"/>
        <v>0</v>
      </c>
      <c r="O1119" s="556">
        <f t="shared" si="573"/>
        <v>0</v>
      </c>
      <c r="P1119" s="554"/>
      <c r="Q1119" s="182">
        <f>VLOOKUP($B1119,dongia1,DG!$G$5,)</f>
        <v>99000</v>
      </c>
      <c r="R1119" s="554"/>
      <c r="S1119" s="113">
        <f t="shared" si="574"/>
        <v>0</v>
      </c>
      <c r="T1119" s="113">
        <f t="shared" si="575"/>
        <v>99000</v>
      </c>
      <c r="U1119" s="557">
        <f t="shared" si="576"/>
        <v>0</v>
      </c>
    </row>
    <row r="1120" spans="1:21" s="552" customFormat="1" ht="15" customHeight="1">
      <c r="A1120" s="621"/>
      <c r="B1120" s="622" t="s">
        <v>1301</v>
      </c>
      <c r="C1120" s="558" t="str">
        <f t="shared" si="572"/>
        <v xml:space="preserve"> </v>
      </c>
      <c r="D1120" s="553"/>
      <c r="E1120" s="694" t="str">
        <f>VLOOKUP($B1120,dongia1,DG!$C$5,)</f>
        <v>Lắp cổ dê</v>
      </c>
      <c r="F1120" s="555" t="str">
        <f>VLOOKUP($B1120,dongia1,DG!$D$5,)</f>
        <v>cái</v>
      </c>
      <c r="G1120" s="205">
        <v>1</v>
      </c>
      <c r="H1120" s="556"/>
      <c r="I1120" s="556">
        <f t="shared" ca="1" si="573"/>
        <v>0</v>
      </c>
      <c r="J1120" s="556">
        <f t="shared" ca="1" si="573"/>
        <v>0</v>
      </c>
      <c r="K1120" s="556">
        <f t="shared" ca="1" si="573"/>
        <v>0</v>
      </c>
      <c r="L1120" s="556">
        <f t="shared" ca="1" si="573"/>
        <v>0</v>
      </c>
      <c r="M1120" s="556"/>
      <c r="N1120" s="556">
        <f t="shared" ca="1" si="573"/>
        <v>0</v>
      </c>
      <c r="O1120" s="556">
        <f t="shared" si="573"/>
        <v>0</v>
      </c>
      <c r="P1120" s="554"/>
      <c r="Q1120" s="182">
        <f>VLOOKUP($B1120,dongia1,DG!$G$5,)</f>
        <v>77000</v>
      </c>
      <c r="R1120" s="554"/>
      <c r="S1120" s="113">
        <f t="shared" si="574"/>
        <v>0</v>
      </c>
      <c r="T1120" s="113">
        <f t="shared" si="575"/>
        <v>77000</v>
      </c>
      <c r="U1120" s="557">
        <f t="shared" si="576"/>
        <v>0</v>
      </c>
    </row>
    <row r="1121" spans="1:21" s="552" customFormat="1" ht="15" customHeight="1">
      <c r="A1121" s="621" t="s">
        <v>89</v>
      </c>
      <c r="B1121" s="622"/>
      <c r="C1121" s="558" t="str">
        <f>IF(H1121&lt;&gt;0,"x"," ")</f>
        <v xml:space="preserve"> </v>
      </c>
      <c r="D1121" s="553"/>
      <c r="E1121" s="727" t="s">
        <v>3625</v>
      </c>
      <c r="F1121" s="600" t="s">
        <v>2113</v>
      </c>
      <c r="G1121" s="205"/>
      <c r="H1121" s="556"/>
      <c r="I1121" s="556">
        <f ca="1">SUMIF(chang3pm,chitiet!$A1121,slchang3pm)</f>
        <v>0</v>
      </c>
      <c r="J1121" s="556">
        <f ca="1">SUMIF(changct,chitiet!$A1121,slchangct)</f>
        <v>0</v>
      </c>
      <c r="K1121" s="556">
        <f ca="1">SUMIF(chang3p1m,chitiet!$A1121,slchang3p1m)</f>
        <v>0</v>
      </c>
      <c r="L1121" s="556">
        <f ca="1">SUMIF(chang1pm,chitiet!$A1121,slchang1pm)</f>
        <v>0</v>
      </c>
      <c r="M1121" s="556"/>
      <c r="N1121" s="556">
        <f ca="1">SUMIF(changHTDL,chitiet!$A1121,Slchanghtdl)</f>
        <v>0</v>
      </c>
      <c r="O1121" s="556"/>
      <c r="P1121" s="554"/>
      <c r="Q1121" s="554"/>
      <c r="R1121" s="554"/>
      <c r="S1121" s="601">
        <f>SUM(S1122:S1131)</f>
        <v>3371600</v>
      </c>
      <c r="T1121" s="601">
        <f>SUM(T1122:T1131)</f>
        <v>352000</v>
      </c>
      <c r="U1121" s="602">
        <f>SUM(U1122:U1131)</f>
        <v>0</v>
      </c>
    </row>
    <row r="1122" spans="1:21" s="552" customFormat="1" ht="15" customHeight="1">
      <c r="A1122" s="621"/>
      <c r="B1122" s="622" t="s">
        <v>233</v>
      </c>
      <c r="C1122" s="558" t="str">
        <f t="shared" ref="C1122:C1131" si="577">C1121</f>
        <v xml:space="preserve"> </v>
      </c>
      <c r="D1122" s="553"/>
      <c r="E1122" s="694" t="str">
        <f>VLOOKUP($B1122,dongia1,DG!$C$5,)&amp;"-Fe8x100 nhúng kẽm"</f>
        <v>Cổ dê Þ 195 nẹp trụ-Fe8x100 nhúng kẽm</v>
      </c>
      <c r="F1122" s="555" t="str">
        <f>VLOOKUP($B1122,dongia1,DG!$D$5,)</f>
        <v>bộ</v>
      </c>
      <c r="G1122" s="205">
        <v>2</v>
      </c>
      <c r="H1122" s="556"/>
      <c r="I1122" s="556">
        <f t="shared" ref="I1122:O1131" ca="1" si="578">I$1121*$G1122</f>
        <v>0</v>
      </c>
      <c r="J1122" s="556">
        <f t="shared" ca="1" si="578"/>
        <v>0</v>
      </c>
      <c r="K1122" s="556">
        <f t="shared" ca="1" si="578"/>
        <v>0</v>
      </c>
      <c r="L1122" s="556">
        <f t="shared" ca="1" si="578"/>
        <v>0</v>
      </c>
      <c r="M1122" s="556"/>
      <c r="N1122" s="556">
        <f t="shared" ca="1" si="578"/>
        <v>0</v>
      </c>
      <c r="O1122" s="556">
        <f t="shared" si="578"/>
        <v>0</v>
      </c>
      <c r="P1122" s="182">
        <f>VLOOKUP($B1122,dongia1,DG!$F$5,)</f>
        <v>213700</v>
      </c>
      <c r="Q1122" s="554"/>
      <c r="R1122" s="554"/>
      <c r="S1122" s="113">
        <f t="shared" ref="S1122:S1131" si="579">$G1122*P1122</f>
        <v>427400</v>
      </c>
      <c r="T1122" s="113">
        <f t="shared" ref="T1122:T1131" si="580">$G1122*Q1122</f>
        <v>0</v>
      </c>
      <c r="U1122" s="557">
        <f t="shared" ref="U1122:U1131" si="581">$G1122*R1122</f>
        <v>0</v>
      </c>
    </row>
    <row r="1123" spans="1:21" s="552" customFormat="1" ht="15" customHeight="1">
      <c r="A1123" s="621"/>
      <c r="B1123" s="622" t="s">
        <v>1005</v>
      </c>
      <c r="C1123" s="558" t="str">
        <f t="shared" si="577"/>
        <v xml:space="preserve"> </v>
      </c>
      <c r="D1123" s="553"/>
      <c r="E1123" s="694" t="str">
        <f>VLOOKUP($B1123,dongia1,DG!$C$5,)</f>
        <v>Sứ chằng</v>
      </c>
      <c r="F1123" s="555" t="str">
        <f>VLOOKUP($B1123,dongia1,DG!$D$5,)</f>
        <v>cái</v>
      </c>
      <c r="G1123" s="205">
        <v>4</v>
      </c>
      <c r="H1123" s="556"/>
      <c r="I1123" s="556">
        <f t="shared" ca="1" si="578"/>
        <v>0</v>
      </c>
      <c r="J1123" s="556">
        <f t="shared" ca="1" si="578"/>
        <v>0</v>
      </c>
      <c r="K1123" s="556">
        <f t="shared" ca="1" si="578"/>
        <v>0</v>
      </c>
      <c r="L1123" s="556">
        <f t="shared" ca="1" si="578"/>
        <v>0</v>
      </c>
      <c r="M1123" s="556"/>
      <c r="N1123" s="556">
        <f t="shared" ca="1" si="578"/>
        <v>0</v>
      </c>
      <c r="O1123" s="556">
        <f t="shared" si="578"/>
        <v>0</v>
      </c>
      <c r="P1123" s="182">
        <f>VLOOKUP($B1123,dongia1,DG!$F$5,)</f>
        <v>38000</v>
      </c>
      <c r="Q1123" s="554"/>
      <c r="R1123" s="554"/>
      <c r="S1123" s="113">
        <f t="shared" si="579"/>
        <v>152000</v>
      </c>
      <c r="T1123" s="113">
        <f t="shared" si="580"/>
        <v>0</v>
      </c>
      <c r="U1123" s="557">
        <f t="shared" si="581"/>
        <v>0</v>
      </c>
    </row>
    <row r="1124" spans="1:21" s="552" customFormat="1" ht="15" customHeight="1">
      <c r="A1124" s="621"/>
      <c r="B1124" s="622" t="s">
        <v>204</v>
      </c>
      <c r="C1124" s="558" t="str">
        <f t="shared" si="577"/>
        <v xml:space="preserve"> </v>
      </c>
      <c r="D1124" s="553"/>
      <c r="E1124" s="694" t="str">
        <f>VLOOKUP($B1124,dongia1,DG!$C$5,)</f>
        <v>Kẹp cáp 3 boulon</v>
      </c>
      <c r="F1124" s="555" t="str">
        <f>VLOOKUP($B1124,dongia1,DG!$D$5,)</f>
        <v>cái</v>
      </c>
      <c r="G1124" s="205">
        <v>24</v>
      </c>
      <c r="H1124" s="556"/>
      <c r="I1124" s="556">
        <f t="shared" ca="1" si="578"/>
        <v>0</v>
      </c>
      <c r="J1124" s="556">
        <f t="shared" ca="1" si="578"/>
        <v>0</v>
      </c>
      <c r="K1124" s="556">
        <f t="shared" ca="1" si="578"/>
        <v>0</v>
      </c>
      <c r="L1124" s="556">
        <f t="shared" ca="1" si="578"/>
        <v>0</v>
      </c>
      <c r="M1124" s="556"/>
      <c r="N1124" s="556">
        <f t="shared" ca="1" si="578"/>
        <v>0</v>
      </c>
      <c r="O1124" s="556">
        <f t="shared" si="578"/>
        <v>0</v>
      </c>
      <c r="P1124" s="182">
        <f>VLOOKUP($B1124,dongia1,DG!$F$5,)</f>
        <v>38000</v>
      </c>
      <c r="Q1124" s="554"/>
      <c r="R1124" s="554"/>
      <c r="S1124" s="113">
        <f t="shared" si="579"/>
        <v>912000</v>
      </c>
      <c r="T1124" s="113">
        <f t="shared" si="580"/>
        <v>0</v>
      </c>
      <c r="U1124" s="557">
        <f t="shared" si="581"/>
        <v>0</v>
      </c>
    </row>
    <row r="1125" spans="1:21" s="552" customFormat="1" ht="15" customHeight="1">
      <c r="A1125" s="621"/>
      <c r="B1125" s="622" t="s">
        <v>968</v>
      </c>
      <c r="C1125" s="558" t="str">
        <f t="shared" si="577"/>
        <v xml:space="preserve"> </v>
      </c>
      <c r="D1125" s="553"/>
      <c r="E1125" s="694" t="str">
        <f>VLOOKUP($B1125,dongia1,DG!$C$5,)</f>
        <v>Kẹp hotline 4/0</v>
      </c>
      <c r="F1125" s="555" t="str">
        <f>VLOOKUP($B1125,dongia1,DG!$D$5,)</f>
        <v>cái</v>
      </c>
      <c r="G1125" s="205">
        <v>12</v>
      </c>
      <c r="H1125" s="556"/>
      <c r="I1125" s="556">
        <f t="shared" ca="1" si="578"/>
        <v>0</v>
      </c>
      <c r="J1125" s="556">
        <f t="shared" ca="1" si="578"/>
        <v>0</v>
      </c>
      <c r="K1125" s="556">
        <f t="shared" ca="1" si="578"/>
        <v>0</v>
      </c>
      <c r="L1125" s="556">
        <f t="shared" ca="1" si="578"/>
        <v>0</v>
      </c>
      <c r="M1125" s="556"/>
      <c r="N1125" s="556">
        <f t="shared" ca="1" si="578"/>
        <v>0</v>
      </c>
      <c r="O1125" s="556">
        <f t="shared" si="578"/>
        <v>0</v>
      </c>
      <c r="P1125" s="182">
        <f>VLOOKUP($B1125,dongia1,DG!$F$5,)</f>
        <v>112000</v>
      </c>
      <c r="Q1125" s="182"/>
      <c r="R1125" s="554"/>
      <c r="S1125" s="113">
        <f t="shared" si="579"/>
        <v>1344000</v>
      </c>
      <c r="T1125" s="113">
        <f t="shared" si="580"/>
        <v>0</v>
      </c>
      <c r="U1125" s="557">
        <f t="shared" si="581"/>
        <v>0</v>
      </c>
    </row>
    <row r="1126" spans="1:21" s="552" customFormat="1" ht="15" customHeight="1">
      <c r="A1126" s="621"/>
      <c r="B1126" s="622" t="s">
        <v>593</v>
      </c>
      <c r="C1126" s="558" t="str">
        <f t="shared" si="577"/>
        <v xml:space="preserve"> </v>
      </c>
      <c r="D1126" s="553"/>
      <c r="E1126" s="694" t="str">
        <f>VLOOKUP($B1126,dongia1,DG!$C$5,)</f>
        <v>Sắt dẹt 60 x 6</v>
      </c>
      <c r="F1126" s="555" t="str">
        <f>VLOOKUP($B1126,dongia1,DG!$D$5,)</f>
        <v>kg</v>
      </c>
      <c r="G1126" s="205">
        <v>8</v>
      </c>
      <c r="H1126" s="556"/>
      <c r="I1126" s="556">
        <f t="shared" ca="1" si="578"/>
        <v>0</v>
      </c>
      <c r="J1126" s="556">
        <f t="shared" ca="1" si="578"/>
        <v>0</v>
      </c>
      <c r="K1126" s="556">
        <f t="shared" ca="1" si="578"/>
        <v>0</v>
      </c>
      <c r="L1126" s="556">
        <f t="shared" ca="1" si="578"/>
        <v>0</v>
      </c>
      <c r="M1126" s="556"/>
      <c r="N1126" s="556">
        <f t="shared" ca="1" si="578"/>
        <v>0</v>
      </c>
      <c r="O1126" s="556">
        <f t="shared" si="578"/>
        <v>0</v>
      </c>
      <c r="P1126" s="182">
        <f>VLOOKUP($B1126,dongia1,DG!$F$5,)</f>
        <v>31625</v>
      </c>
      <c r="Q1126" s="182"/>
      <c r="R1126" s="554"/>
      <c r="S1126" s="113">
        <f t="shared" si="579"/>
        <v>253000</v>
      </c>
      <c r="T1126" s="113">
        <f t="shared" si="580"/>
        <v>0</v>
      </c>
      <c r="U1126" s="557">
        <f t="shared" si="581"/>
        <v>0</v>
      </c>
    </row>
    <row r="1127" spans="1:21" s="552" customFormat="1" ht="15" customHeight="1">
      <c r="A1127" s="621"/>
      <c r="B1127" s="622" t="s">
        <v>143</v>
      </c>
      <c r="C1127" s="558" t="str">
        <f t="shared" si="577"/>
        <v xml:space="preserve"> </v>
      </c>
      <c r="D1127" s="553"/>
      <c r="E1127" s="694" t="str">
        <f>VLOOKUP($B1127,dongia1,DG!$C$5,)</f>
        <v xml:space="preserve">Móc treo chữ U F16 dài </v>
      </c>
      <c r="F1127" s="555" t="str">
        <f>VLOOKUP($B1127,dongia1,DG!$D$5,)</f>
        <v>cái</v>
      </c>
      <c r="G1127" s="205">
        <v>6</v>
      </c>
      <c r="H1127" s="556"/>
      <c r="I1127" s="556">
        <f t="shared" ca="1" si="578"/>
        <v>0</v>
      </c>
      <c r="J1127" s="556">
        <f t="shared" ca="1" si="578"/>
        <v>0</v>
      </c>
      <c r="K1127" s="556">
        <f t="shared" ca="1" si="578"/>
        <v>0</v>
      </c>
      <c r="L1127" s="556">
        <f t="shared" ca="1" si="578"/>
        <v>0</v>
      </c>
      <c r="M1127" s="556"/>
      <c r="N1127" s="556">
        <f t="shared" ca="1" si="578"/>
        <v>0</v>
      </c>
      <c r="O1127" s="556">
        <f t="shared" si="578"/>
        <v>0</v>
      </c>
      <c r="P1127" s="182">
        <f>VLOOKUP($B1127,dongia1,DG!$F$5,)</f>
        <v>28000</v>
      </c>
      <c r="Q1127" s="182"/>
      <c r="R1127" s="554"/>
      <c r="S1127" s="113">
        <f t="shared" si="579"/>
        <v>168000</v>
      </c>
      <c r="T1127" s="113">
        <f t="shared" si="580"/>
        <v>0</v>
      </c>
      <c r="U1127" s="557">
        <f t="shared" si="581"/>
        <v>0</v>
      </c>
    </row>
    <row r="1128" spans="1:21" s="552" customFormat="1" ht="15" customHeight="1">
      <c r="A1128" s="621"/>
      <c r="B1128" s="622" t="s">
        <v>1770</v>
      </c>
      <c r="C1128" s="558" t="str">
        <f t="shared" si="577"/>
        <v xml:space="preserve"> </v>
      </c>
      <c r="D1128" s="553"/>
      <c r="E1128" s="694" t="str">
        <f>VLOOKUP($B1128,dongia1,DG!$C$5,)</f>
        <v>Boulon 16x100VRS+ 4 long đền vuông D18-50x50x3/Zn</v>
      </c>
      <c r="F1128" s="555" t="str">
        <f>VLOOKUP($B1128,dongia1,DG!$D$5,)</f>
        <v>bộ</v>
      </c>
      <c r="G1128" s="205">
        <v>4</v>
      </c>
      <c r="H1128" s="556"/>
      <c r="I1128" s="556">
        <f t="shared" ca="1" si="578"/>
        <v>0</v>
      </c>
      <c r="J1128" s="556">
        <f t="shared" ca="1" si="578"/>
        <v>0</v>
      </c>
      <c r="K1128" s="556">
        <f t="shared" ca="1" si="578"/>
        <v>0</v>
      </c>
      <c r="L1128" s="556">
        <f t="shared" ca="1" si="578"/>
        <v>0</v>
      </c>
      <c r="M1128" s="556"/>
      <c r="N1128" s="556">
        <f t="shared" ca="1" si="578"/>
        <v>0</v>
      </c>
      <c r="O1128" s="556">
        <f t="shared" si="578"/>
        <v>0</v>
      </c>
      <c r="P1128" s="182">
        <f>VLOOKUP($B1128,dongia1,DG!$F$5,)</f>
        <v>22800</v>
      </c>
      <c r="Q1128" s="182">
        <f>VLOOKUP($B1128,dongia1,DG!$G$5,)</f>
        <v>0</v>
      </c>
      <c r="R1128" s="554"/>
      <c r="S1128" s="113">
        <f t="shared" si="579"/>
        <v>91200</v>
      </c>
      <c r="T1128" s="113">
        <f t="shared" si="580"/>
        <v>0</v>
      </c>
      <c r="U1128" s="557">
        <f t="shared" si="581"/>
        <v>0</v>
      </c>
    </row>
    <row r="1129" spans="1:21" s="552" customFormat="1" ht="15" customHeight="1">
      <c r="A1129" s="621"/>
      <c r="B1129" s="622" t="s">
        <v>537</v>
      </c>
      <c r="C1129" s="558" t="str">
        <f t="shared" si="577"/>
        <v xml:space="preserve"> </v>
      </c>
      <c r="D1129" s="553"/>
      <c r="E1129" s="694" t="str">
        <f>VLOOKUP($B1129,dongia1,DG!$C$5,)</f>
        <v>Yếm đỡ dày chằng F1/2 mạ Zn (Yếm cáp)</v>
      </c>
      <c r="F1129" s="555" t="str">
        <f>VLOOKUP($B1129,dongia1,DG!$D$5,)</f>
        <v>cái</v>
      </c>
      <c r="G1129" s="205">
        <v>4</v>
      </c>
      <c r="H1129" s="556"/>
      <c r="I1129" s="556">
        <f t="shared" ca="1" si="578"/>
        <v>0</v>
      </c>
      <c r="J1129" s="556">
        <f t="shared" ca="1" si="578"/>
        <v>0</v>
      </c>
      <c r="K1129" s="556">
        <f t="shared" ca="1" si="578"/>
        <v>0</v>
      </c>
      <c r="L1129" s="556">
        <f t="shared" ca="1" si="578"/>
        <v>0</v>
      </c>
      <c r="M1129" s="556"/>
      <c r="N1129" s="556">
        <f t="shared" ca="1" si="578"/>
        <v>0</v>
      </c>
      <c r="O1129" s="556">
        <f t="shared" si="578"/>
        <v>0</v>
      </c>
      <c r="P1129" s="182">
        <f>VLOOKUP($B1129,dongia1,DG!$F$5,)</f>
        <v>6000</v>
      </c>
      <c r="Q1129" s="182"/>
      <c r="R1129" s="554"/>
      <c r="S1129" s="113">
        <f t="shared" si="579"/>
        <v>24000</v>
      </c>
      <c r="T1129" s="113">
        <f t="shared" si="580"/>
        <v>0</v>
      </c>
      <c r="U1129" s="557">
        <f t="shared" si="581"/>
        <v>0</v>
      </c>
    </row>
    <row r="1130" spans="1:21" s="552" customFormat="1" ht="15" customHeight="1">
      <c r="A1130" s="621"/>
      <c r="B1130" s="622" t="s">
        <v>1828</v>
      </c>
      <c r="C1130" s="558" t="str">
        <f t="shared" si="577"/>
        <v xml:space="preserve"> </v>
      </c>
      <c r="D1130" s="553"/>
      <c r="E1130" s="694" t="str">
        <f>VLOOKUP($B1130,dongia1,DG!$C$5,)</f>
        <v>Lắp bộ dây néo</v>
      </c>
      <c r="F1130" s="555" t="str">
        <f>VLOOKUP($B1130,dongia1,DG!$D$5,)</f>
        <v>bộ</v>
      </c>
      <c r="G1130" s="205">
        <v>2</v>
      </c>
      <c r="H1130" s="556"/>
      <c r="I1130" s="556">
        <f t="shared" ca="1" si="578"/>
        <v>0</v>
      </c>
      <c r="J1130" s="556">
        <f t="shared" ca="1" si="578"/>
        <v>0</v>
      </c>
      <c r="K1130" s="556">
        <f t="shared" ca="1" si="578"/>
        <v>0</v>
      </c>
      <c r="L1130" s="556">
        <f t="shared" ca="1" si="578"/>
        <v>0</v>
      </c>
      <c r="M1130" s="556"/>
      <c r="N1130" s="556">
        <f t="shared" ca="1" si="578"/>
        <v>0</v>
      </c>
      <c r="O1130" s="556">
        <f t="shared" si="578"/>
        <v>0</v>
      </c>
      <c r="P1130" s="554"/>
      <c r="Q1130" s="182">
        <f>VLOOKUP($B1130,dongia1,DG!$G$5,)</f>
        <v>99000</v>
      </c>
      <c r="R1130" s="554"/>
      <c r="S1130" s="113">
        <f t="shared" si="579"/>
        <v>0</v>
      </c>
      <c r="T1130" s="113">
        <f t="shared" si="580"/>
        <v>198000</v>
      </c>
      <c r="U1130" s="557">
        <f t="shared" si="581"/>
        <v>0</v>
      </c>
    </row>
    <row r="1131" spans="1:21" s="552" customFormat="1" ht="15" customHeight="1">
      <c r="A1131" s="621"/>
      <c r="B1131" s="622" t="s">
        <v>1301</v>
      </c>
      <c r="C1131" s="558" t="str">
        <f t="shared" si="577"/>
        <v xml:space="preserve"> </v>
      </c>
      <c r="D1131" s="553"/>
      <c r="E1131" s="694" t="str">
        <f>VLOOKUP($B1131,dongia1,DG!$C$5,)</f>
        <v>Lắp cổ dê</v>
      </c>
      <c r="F1131" s="555" t="str">
        <f>VLOOKUP($B1131,dongia1,DG!$D$5,)</f>
        <v>cái</v>
      </c>
      <c r="G1131" s="205">
        <v>2</v>
      </c>
      <c r="H1131" s="556"/>
      <c r="I1131" s="556">
        <f t="shared" ca="1" si="578"/>
        <v>0</v>
      </c>
      <c r="J1131" s="556">
        <f t="shared" ca="1" si="578"/>
        <v>0</v>
      </c>
      <c r="K1131" s="556">
        <f t="shared" ca="1" si="578"/>
        <v>0</v>
      </c>
      <c r="L1131" s="556">
        <f t="shared" ca="1" si="578"/>
        <v>0</v>
      </c>
      <c r="M1131" s="556"/>
      <c r="N1131" s="556">
        <f t="shared" ca="1" si="578"/>
        <v>0</v>
      </c>
      <c r="O1131" s="556">
        <f t="shared" si="578"/>
        <v>0</v>
      </c>
      <c r="P1131" s="554"/>
      <c r="Q1131" s="182">
        <f>VLOOKUP($B1131,dongia1,DG!$G$5,)</f>
        <v>77000</v>
      </c>
      <c r="R1131" s="554"/>
      <c r="S1131" s="113">
        <f t="shared" si="579"/>
        <v>0</v>
      </c>
      <c r="T1131" s="113">
        <f t="shared" si="580"/>
        <v>154000</v>
      </c>
      <c r="U1131" s="557">
        <f t="shared" si="581"/>
        <v>0</v>
      </c>
    </row>
    <row r="1132" spans="1:21" s="858" customFormat="1">
      <c r="A1132" s="640" t="s">
        <v>2042</v>
      </c>
      <c r="B1132" s="848"/>
      <c r="C1132" s="849" t="s">
        <v>309</v>
      </c>
      <c r="D1132" s="850">
        <v>5</v>
      </c>
      <c r="E1132" s="851" t="s">
        <v>3626</v>
      </c>
      <c r="F1132" s="852" t="s">
        <v>2113</v>
      </c>
      <c r="G1132" s="853">
        <f>pp3p1m!AA10</f>
        <v>2</v>
      </c>
      <c r="H1132" s="854"/>
      <c r="I1132" s="854">
        <f ca="1">SUMIF(mongneo3pm,chitiet!$A1132,slmongneo3pm)</f>
        <v>0</v>
      </c>
      <c r="J1132" s="854">
        <f ca="1">SUMIF(mongneoct,chitiet!$A1132,SLMONGNEOCT)</f>
        <v>0</v>
      </c>
      <c r="K1132" s="854">
        <f ca="1">SUMIF(mongneo3p1m,chitiet!$A1132,slmongneo3p1m)</f>
        <v>0</v>
      </c>
      <c r="L1132" s="854">
        <f ca="1">SUMIF(mongneo1pm,chitiet!$A1132,slmongneo1pm)</f>
        <v>0</v>
      </c>
      <c r="M1132" s="854"/>
      <c r="N1132" s="854">
        <f ca="1">SUMIF(mongneoHTDL,chitiet!$A1132,slmongneohtdl)</f>
        <v>0</v>
      </c>
      <c r="O1132" s="854"/>
      <c r="P1132" s="855"/>
      <c r="Q1132" s="855"/>
      <c r="R1132" s="855"/>
      <c r="S1132" s="856">
        <f>SUM(S1133:S1136)</f>
        <v>254800</v>
      </c>
      <c r="T1132" s="856">
        <f>SUM(T1133:T1136)</f>
        <v>210556.40399999998</v>
      </c>
      <c r="U1132" s="857">
        <f>SUM(U1133:U1136)</f>
        <v>0</v>
      </c>
    </row>
    <row r="1133" spans="1:21">
      <c r="B1133" s="696" t="s">
        <v>689</v>
      </c>
      <c r="C1133" s="631" t="s">
        <v>309</v>
      </c>
      <c r="D1133" s="698"/>
      <c r="E1133" s="699" t="str">
        <f>VLOOKUP($B1133,dongia1,DG!$C$5,)</f>
        <v>Ty neo Þ18x2400</v>
      </c>
      <c r="F1133" s="700" t="str">
        <f>VLOOKUP($B1133,dongia1,DG!$D$5,)</f>
        <v>cái</v>
      </c>
      <c r="G1133" s="762">
        <v>1</v>
      </c>
      <c r="H1133" s="701"/>
      <c r="I1133" s="701">
        <f t="shared" ref="I1133:O1136" ca="1" si="582">I$1132*$G1133</f>
        <v>0</v>
      </c>
      <c r="J1133" s="701">
        <f t="shared" ca="1" si="582"/>
        <v>0</v>
      </c>
      <c r="K1133" s="701">
        <f t="shared" ca="1" si="582"/>
        <v>0</v>
      </c>
      <c r="L1133" s="701">
        <f t="shared" ca="1" si="582"/>
        <v>0</v>
      </c>
      <c r="M1133" s="701"/>
      <c r="N1133" s="701">
        <f t="shared" ca="1" si="582"/>
        <v>0</v>
      </c>
      <c r="O1133" s="701">
        <f t="shared" si="582"/>
        <v>0</v>
      </c>
      <c r="P1133" s="702">
        <f>VLOOKUP($B1133,dongia1,DG!$F$5,)</f>
        <v>190800</v>
      </c>
      <c r="Q1133" s="702"/>
      <c r="R1133" s="703"/>
      <c r="S1133" s="702">
        <f t="shared" ref="S1133:U1136" si="583">$G1133*P1133</f>
        <v>190800</v>
      </c>
      <c r="T1133" s="702">
        <f t="shared" si="583"/>
        <v>0</v>
      </c>
      <c r="U1133" s="704">
        <f t="shared" si="583"/>
        <v>0</v>
      </c>
    </row>
    <row r="1134" spans="1:21">
      <c r="B1134" s="696" t="s">
        <v>918</v>
      </c>
      <c r="C1134" s="631" t="s">
        <v>309</v>
      </c>
      <c r="D1134" s="698"/>
      <c r="E1134" s="699" t="str">
        <f>VLOOKUP($B1134,dongia1,DG!$C$5,)</f>
        <v>Neo xòe đĩa sen (8 hướng dày 3,2mm)</v>
      </c>
      <c r="F1134" s="700" t="str">
        <f>VLOOKUP($B1134,dongia1,DG!$D$5,)</f>
        <v>cái</v>
      </c>
      <c r="G1134" s="762">
        <v>1</v>
      </c>
      <c r="H1134" s="701"/>
      <c r="I1134" s="701">
        <f t="shared" ca="1" si="582"/>
        <v>0</v>
      </c>
      <c r="J1134" s="701">
        <f t="shared" ca="1" si="582"/>
        <v>0</v>
      </c>
      <c r="K1134" s="701">
        <f t="shared" ca="1" si="582"/>
        <v>0</v>
      </c>
      <c r="L1134" s="701">
        <f t="shared" ca="1" si="582"/>
        <v>0</v>
      </c>
      <c r="M1134" s="701"/>
      <c r="N1134" s="701">
        <f t="shared" ca="1" si="582"/>
        <v>0</v>
      </c>
      <c r="O1134" s="701">
        <f t="shared" si="582"/>
        <v>0</v>
      </c>
      <c r="P1134" s="702">
        <f>VLOOKUP($B1134,dongia1,DG!$F$5,)</f>
        <v>64000</v>
      </c>
      <c r="Q1134" s="702"/>
      <c r="R1134" s="703"/>
      <c r="S1134" s="702">
        <f t="shared" si="583"/>
        <v>64000</v>
      </c>
      <c r="T1134" s="702">
        <f t="shared" si="583"/>
        <v>0</v>
      </c>
      <c r="U1134" s="704">
        <f t="shared" si="583"/>
        <v>0</v>
      </c>
    </row>
    <row r="1135" spans="1:21">
      <c r="B1135" s="622" t="s">
        <v>4946</v>
      </c>
      <c r="C1135" s="631" t="s">
        <v>309</v>
      </c>
      <c r="D1135" s="698"/>
      <c r="E1135" s="699" t="str">
        <f>VLOOKUP($B1135,dongia1,DG!$C$5,)</f>
        <v>Đào hố móng kiểm tra đất cấp III rộng &lt;=1m, sâu &gt;1m</v>
      </c>
      <c r="F1135" s="700" t="str">
        <f>VLOOKUP($B1135,dongia1,DG!$D$5,)</f>
        <v>m3</v>
      </c>
      <c r="G1135" s="762">
        <v>0.36</v>
      </c>
      <c r="H1135" s="701"/>
      <c r="I1135" s="701">
        <f t="shared" ca="1" si="582"/>
        <v>0</v>
      </c>
      <c r="J1135" s="701">
        <f t="shared" ca="1" si="582"/>
        <v>0</v>
      </c>
      <c r="K1135" s="701">
        <f t="shared" ca="1" si="582"/>
        <v>0</v>
      </c>
      <c r="L1135" s="701">
        <f t="shared" ca="1" si="582"/>
        <v>0</v>
      </c>
      <c r="M1135" s="701"/>
      <c r="N1135" s="701">
        <f t="shared" ca="1" si="582"/>
        <v>0</v>
      </c>
      <c r="O1135" s="701">
        <f t="shared" si="582"/>
        <v>0</v>
      </c>
      <c r="P1135" s="702"/>
      <c r="Q1135" s="702">
        <f>VLOOKUP($B1135,dongia1,DG!$G$5,)</f>
        <v>491832.89999999997</v>
      </c>
      <c r="R1135" s="703"/>
      <c r="S1135" s="702">
        <f t="shared" si="583"/>
        <v>0</v>
      </c>
      <c r="T1135" s="702">
        <f t="shared" si="583"/>
        <v>177059.84399999998</v>
      </c>
      <c r="U1135" s="704">
        <f t="shared" si="583"/>
        <v>0</v>
      </c>
    </row>
    <row r="1136" spans="1:21">
      <c r="B1136" s="696" t="s">
        <v>492</v>
      </c>
      <c r="C1136" s="631" t="s">
        <v>309</v>
      </c>
      <c r="D1136" s="698"/>
      <c r="E1136" s="699" t="str">
        <f>VLOOKUP($B1136,dongia1,DG!$C$5,)</f>
        <v>Đắp đất hố móng K=0,85</v>
      </c>
      <c r="F1136" s="700" t="str">
        <f>VLOOKUP($B1136,dongia1,DG!$D$5,)</f>
        <v>m3</v>
      </c>
      <c r="G1136" s="762">
        <v>0.36</v>
      </c>
      <c r="H1136" s="701"/>
      <c r="I1136" s="701">
        <f t="shared" ca="1" si="582"/>
        <v>0</v>
      </c>
      <c r="J1136" s="701">
        <f t="shared" ca="1" si="582"/>
        <v>0</v>
      </c>
      <c r="K1136" s="701">
        <f t="shared" ca="1" si="582"/>
        <v>0</v>
      </c>
      <c r="L1136" s="701">
        <f t="shared" ca="1" si="582"/>
        <v>0</v>
      </c>
      <c r="M1136" s="701"/>
      <c r="N1136" s="701">
        <f t="shared" ca="1" si="582"/>
        <v>0</v>
      </c>
      <c r="O1136" s="701">
        <f t="shared" si="582"/>
        <v>0</v>
      </c>
      <c r="P1136" s="702"/>
      <c r="Q1136" s="702">
        <f>VLOOKUP($B1136,dongia1,DG!$G$5,)</f>
        <v>93046</v>
      </c>
      <c r="R1136" s="703"/>
      <c r="S1136" s="702">
        <f t="shared" si="583"/>
        <v>0</v>
      </c>
      <c r="T1136" s="702">
        <f t="shared" si="583"/>
        <v>33496.559999999998</v>
      </c>
      <c r="U1136" s="704">
        <f t="shared" si="583"/>
        <v>0</v>
      </c>
    </row>
    <row r="1137" spans="1:21" s="610" customFormat="1" ht="14.25" customHeight="1">
      <c r="A1137" s="640" t="s">
        <v>2043</v>
      </c>
      <c r="B1137" s="636"/>
      <c r="C1137" s="637" t="str">
        <f ca="1">IF(H1137&lt;&gt;0,"x"," ")</f>
        <v xml:space="preserve"> </v>
      </c>
      <c r="D1137" s="599"/>
      <c r="E1137" s="727" t="s">
        <v>3627</v>
      </c>
      <c r="F1137" s="600" t="s">
        <v>2113</v>
      </c>
      <c r="G1137" s="604"/>
      <c r="H1137" s="854">
        <f ca="1">SUM(I1137:N1137)</f>
        <v>0</v>
      </c>
      <c r="I1137" s="605">
        <f ca="1">SUMIF(mongneo3pm,chitiet!$A1137,slmongneo3pm)</f>
        <v>0</v>
      </c>
      <c r="J1137" s="605">
        <f ca="1">SUMIF(mongneoct,chitiet!$A1137,SLMONGNEOCT)</f>
        <v>0</v>
      </c>
      <c r="K1137" s="605">
        <f ca="1">SUMIF(mongneo3p1m,chitiet!$A1137,slmongneo3p1m)</f>
        <v>0</v>
      </c>
      <c r="L1137" s="605">
        <f ca="1">SUMIF(mongneo1pm,chitiet!$A1137,slmongneo1pm)</f>
        <v>0</v>
      </c>
      <c r="M1137" s="605"/>
      <c r="N1137" s="605">
        <f ca="1">SUMIF(mongneoHTDL,chitiet!$A1137,slmongneohtdl)</f>
        <v>0</v>
      </c>
      <c r="O1137" s="605"/>
      <c r="P1137" s="606"/>
      <c r="Q1137" s="606"/>
      <c r="R1137" s="606"/>
      <c r="S1137" s="601">
        <f>SUM(S1138:S1141)</f>
        <v>254800</v>
      </c>
      <c r="T1137" s="601">
        <f>SUM(T1138:T1141)</f>
        <v>169614.88099999996</v>
      </c>
      <c r="U1137" s="602">
        <f>SUM(U1138:U1141)</f>
        <v>0</v>
      </c>
    </row>
    <row r="1138" spans="1:21" s="552" customFormat="1" ht="15" customHeight="1">
      <c r="A1138" s="621"/>
      <c r="B1138" s="622" t="s">
        <v>689</v>
      </c>
      <c r="C1138" s="558" t="str">
        <f ca="1">C1137</f>
        <v xml:space="preserve"> </v>
      </c>
      <c r="D1138" s="553"/>
      <c r="E1138" s="694" t="str">
        <f>VLOOKUP($B1138,dongia1,DG!$C$5,)</f>
        <v>Ty neo Þ18x2400</v>
      </c>
      <c r="F1138" s="555" t="str">
        <f>VLOOKUP($B1138,dongia1,DG!$D$5,)</f>
        <v>cái</v>
      </c>
      <c r="G1138" s="205">
        <v>1</v>
      </c>
      <c r="H1138" s="556"/>
      <c r="I1138" s="556">
        <f t="shared" ref="I1138:O1141" ca="1" si="584">I$1137*$G1138</f>
        <v>0</v>
      </c>
      <c r="J1138" s="556">
        <f t="shared" ca="1" si="584"/>
        <v>0</v>
      </c>
      <c r="K1138" s="556">
        <f t="shared" ca="1" si="584"/>
        <v>0</v>
      </c>
      <c r="L1138" s="556">
        <f t="shared" ca="1" si="584"/>
        <v>0</v>
      </c>
      <c r="M1138" s="556"/>
      <c r="N1138" s="556">
        <f t="shared" ca="1" si="584"/>
        <v>0</v>
      </c>
      <c r="O1138" s="556">
        <f t="shared" si="584"/>
        <v>0</v>
      </c>
      <c r="P1138" s="182">
        <f>VLOOKUP($B1138,dongia1,DG!$F$5,)</f>
        <v>190800</v>
      </c>
      <c r="Q1138" s="182"/>
      <c r="R1138" s="554"/>
      <c r="S1138" s="113">
        <f t="shared" ref="S1138:U1141" si="585">$G1138*P1138</f>
        <v>190800</v>
      </c>
      <c r="T1138" s="113">
        <f t="shared" si="585"/>
        <v>0</v>
      </c>
      <c r="U1138" s="557">
        <f t="shared" si="585"/>
        <v>0</v>
      </c>
    </row>
    <row r="1139" spans="1:21" s="552" customFormat="1" ht="15" customHeight="1">
      <c r="A1139" s="621"/>
      <c r="B1139" s="622" t="s">
        <v>918</v>
      </c>
      <c r="C1139" s="558" t="str">
        <f ca="1">C1138</f>
        <v xml:space="preserve"> </v>
      </c>
      <c r="D1139" s="553"/>
      <c r="E1139" s="694" t="str">
        <f>VLOOKUP($B1139,dongia1,DG!$C$5,)</f>
        <v>Neo xòe đĩa sen (8 hướng dày 3,2mm)</v>
      </c>
      <c r="F1139" s="555" t="str">
        <f>VLOOKUP($B1139,dongia1,DG!$D$5,)</f>
        <v>cái</v>
      </c>
      <c r="G1139" s="205">
        <v>1</v>
      </c>
      <c r="H1139" s="556"/>
      <c r="I1139" s="556">
        <f t="shared" ca="1" si="584"/>
        <v>0</v>
      </c>
      <c r="J1139" s="556">
        <f t="shared" ca="1" si="584"/>
        <v>0</v>
      </c>
      <c r="K1139" s="556">
        <f t="shared" ca="1" si="584"/>
        <v>0</v>
      </c>
      <c r="L1139" s="556">
        <f t="shared" ca="1" si="584"/>
        <v>0</v>
      </c>
      <c r="M1139" s="556"/>
      <c r="N1139" s="556">
        <f t="shared" ca="1" si="584"/>
        <v>0</v>
      </c>
      <c r="O1139" s="556">
        <f t="shared" si="584"/>
        <v>0</v>
      </c>
      <c r="P1139" s="182">
        <f>VLOOKUP($B1139,dongia1,DG!$F$5,)</f>
        <v>64000</v>
      </c>
      <c r="Q1139" s="182"/>
      <c r="R1139" s="554"/>
      <c r="S1139" s="113">
        <f t="shared" si="585"/>
        <v>64000</v>
      </c>
      <c r="T1139" s="113">
        <f t="shared" si="585"/>
        <v>0</v>
      </c>
      <c r="U1139" s="557">
        <f t="shared" si="585"/>
        <v>0</v>
      </c>
    </row>
    <row r="1140" spans="1:21" s="552" customFormat="1" ht="15" customHeight="1">
      <c r="A1140" s="621"/>
      <c r="B1140" s="622" t="s">
        <v>4946</v>
      </c>
      <c r="C1140" s="558" t="str">
        <f ca="1">C1139</f>
        <v xml:space="preserve"> </v>
      </c>
      <c r="D1140" s="553"/>
      <c r="E1140" s="694" t="str">
        <f>VLOOKUP($B1140,dongia1,DG!$C$5,)</f>
        <v>Đào hố móng kiểm tra đất cấp III rộng &lt;=1m, sâu &gt;1m</v>
      </c>
      <c r="F1140" s="555" t="str">
        <f>VLOOKUP($B1140,dongia1,DG!$D$5,)</f>
        <v>m3</v>
      </c>
      <c r="G1140" s="205">
        <v>0.28999999999999998</v>
      </c>
      <c r="H1140" s="556"/>
      <c r="I1140" s="556">
        <f t="shared" ca="1" si="584"/>
        <v>0</v>
      </c>
      <c r="J1140" s="556">
        <f t="shared" ca="1" si="584"/>
        <v>0</v>
      </c>
      <c r="K1140" s="556">
        <f t="shared" ca="1" si="584"/>
        <v>0</v>
      </c>
      <c r="L1140" s="556">
        <f t="shared" ca="1" si="584"/>
        <v>0</v>
      </c>
      <c r="M1140" s="556"/>
      <c r="N1140" s="556">
        <f t="shared" ca="1" si="584"/>
        <v>0</v>
      </c>
      <c r="O1140" s="556">
        <f t="shared" si="584"/>
        <v>0</v>
      </c>
      <c r="P1140" s="182"/>
      <c r="Q1140" s="182">
        <f>VLOOKUP($B1140,dongia1,DG!$G$5,)</f>
        <v>491832.89999999997</v>
      </c>
      <c r="R1140" s="554"/>
      <c r="S1140" s="113">
        <f t="shared" si="585"/>
        <v>0</v>
      </c>
      <c r="T1140" s="113">
        <f t="shared" si="585"/>
        <v>142631.54099999997</v>
      </c>
      <c r="U1140" s="557">
        <f t="shared" si="585"/>
        <v>0</v>
      </c>
    </row>
    <row r="1141" spans="1:21" s="552" customFormat="1" ht="15" customHeight="1">
      <c r="A1141" s="621"/>
      <c r="B1141" s="622" t="s">
        <v>492</v>
      </c>
      <c r="C1141" s="558" t="str">
        <f ca="1">C1140</f>
        <v xml:space="preserve"> </v>
      </c>
      <c r="D1141" s="553"/>
      <c r="E1141" s="694" t="str">
        <f>VLOOKUP($B1141,dongia1,DG!$C$5,)</f>
        <v>Đắp đất hố móng K=0,85</v>
      </c>
      <c r="F1141" s="555" t="str">
        <f>VLOOKUP($B1141,dongia1,DG!$D$5,)</f>
        <v>m3</v>
      </c>
      <c r="G1141" s="205">
        <v>0.28999999999999998</v>
      </c>
      <c r="H1141" s="556"/>
      <c r="I1141" s="556">
        <f t="shared" ca="1" si="584"/>
        <v>0</v>
      </c>
      <c r="J1141" s="556">
        <f t="shared" ca="1" si="584"/>
        <v>0</v>
      </c>
      <c r="K1141" s="556">
        <f t="shared" ca="1" si="584"/>
        <v>0</v>
      </c>
      <c r="L1141" s="556">
        <f t="shared" ca="1" si="584"/>
        <v>0</v>
      </c>
      <c r="M1141" s="556"/>
      <c r="N1141" s="556">
        <f t="shared" ca="1" si="584"/>
        <v>0</v>
      </c>
      <c r="O1141" s="556">
        <f t="shared" si="584"/>
        <v>0</v>
      </c>
      <c r="P1141" s="182"/>
      <c r="Q1141" s="182">
        <f>VLOOKUP($B1141,dongia1,DG!$G$5,)</f>
        <v>93046</v>
      </c>
      <c r="R1141" s="554"/>
      <c r="S1141" s="113">
        <f t="shared" si="585"/>
        <v>0</v>
      </c>
      <c r="T1141" s="113">
        <f t="shared" si="585"/>
        <v>26983.339999999997</v>
      </c>
      <c r="U1141" s="557">
        <f t="shared" si="585"/>
        <v>0</v>
      </c>
    </row>
    <row r="1142" spans="1:21" s="858" customFormat="1">
      <c r="A1142" s="640" t="s">
        <v>4838</v>
      </c>
      <c r="B1142" s="848"/>
      <c r="C1142" s="849" t="str">
        <f>IF(H1142&lt;&gt;0,"x"," ")</f>
        <v xml:space="preserve"> </v>
      </c>
      <c r="D1142" s="850"/>
      <c r="E1142" s="851" t="s">
        <v>4840</v>
      </c>
      <c r="F1142" s="852" t="s">
        <v>2113</v>
      </c>
      <c r="G1142" s="853"/>
      <c r="H1142" s="854"/>
      <c r="I1142" s="854">
        <f ca="1">SUMIF(mongneo3pm,chitiet!$A1142,slmongneo3pm)</f>
        <v>0</v>
      </c>
      <c r="J1142" s="854">
        <f ca="1">SUMIF(mongneoct,chitiet!$A1142,SLMONGNEOCT)</f>
        <v>0</v>
      </c>
      <c r="K1142" s="854">
        <f ca="1">SUMIF(mongneo3p1m,chitiet!$A1142,slmongneo3p1m)</f>
        <v>0</v>
      </c>
      <c r="L1142" s="854">
        <f ca="1">SUMIF(mongneo1pm,chitiet!$A1142,slmongneo1pm)</f>
        <v>0</v>
      </c>
      <c r="M1142" s="854"/>
      <c r="N1142" s="854">
        <f ca="1">SUMIF(mongneoHTDL,chitiet!$A1142,slmongneohtdl)</f>
        <v>0</v>
      </c>
      <c r="O1142" s="854"/>
      <c r="P1142" s="855"/>
      <c r="Q1142" s="855"/>
      <c r="R1142" s="855"/>
      <c r="S1142" s="856">
        <f>SUM(S1143:S1147)</f>
        <v>190000</v>
      </c>
      <c r="T1142" s="856">
        <f>SUM(T1143:T1147)</f>
        <v>745448.06479999993</v>
      </c>
      <c r="U1142" s="857">
        <f>SUM(U1143:U1147)</f>
        <v>0</v>
      </c>
    </row>
    <row r="1143" spans="1:21">
      <c r="B1143" s="696" t="s">
        <v>1723</v>
      </c>
      <c r="C1143" s="631" t="str">
        <f>C1142</f>
        <v xml:space="preserve"> </v>
      </c>
      <c r="D1143" s="698"/>
      <c r="E1143" s="699" t="str">
        <f>VLOOKUP($B1143,dongia1,DG!$C$5,)</f>
        <v>Ty neo Þ16x2400</v>
      </c>
      <c r="F1143" s="700" t="str">
        <f>VLOOKUP($B1143,dongia1,DG!$D$5,)</f>
        <v>cái</v>
      </c>
      <c r="G1143" s="762">
        <v>1</v>
      </c>
      <c r="H1143" s="701"/>
      <c r="I1143" s="701">
        <f t="shared" ref="I1143:O1147" ca="1" si="586">I$1132*$G1143</f>
        <v>0</v>
      </c>
      <c r="J1143" s="701">
        <f t="shared" ca="1" si="586"/>
        <v>0</v>
      </c>
      <c r="K1143" s="701">
        <f t="shared" ca="1" si="586"/>
        <v>0</v>
      </c>
      <c r="L1143" s="701">
        <f t="shared" ca="1" si="586"/>
        <v>0</v>
      </c>
      <c r="M1143" s="701"/>
      <c r="N1143" s="701">
        <f t="shared" ca="1" si="586"/>
        <v>0</v>
      </c>
      <c r="O1143" s="701">
        <f t="shared" si="586"/>
        <v>0</v>
      </c>
      <c r="P1143" s="702">
        <f>VLOOKUP($B1143,dongia1,DG!$F$5,)</f>
        <v>126000</v>
      </c>
      <c r="Q1143" s="702"/>
      <c r="R1143" s="703"/>
      <c r="S1143" s="702">
        <f t="shared" ref="S1143:U1147" si="587">$G1143*P1143</f>
        <v>126000</v>
      </c>
      <c r="T1143" s="702">
        <f t="shared" si="587"/>
        <v>0</v>
      </c>
      <c r="U1143" s="704">
        <f t="shared" si="587"/>
        <v>0</v>
      </c>
    </row>
    <row r="1144" spans="1:21">
      <c r="B1144" s="696" t="s">
        <v>918</v>
      </c>
      <c r="C1144" s="631" t="str">
        <f>C1143</f>
        <v xml:space="preserve"> </v>
      </c>
      <c r="D1144" s="698"/>
      <c r="E1144" s="699" t="str">
        <f>VLOOKUP($B1144,dongia1,DG!$C$5,)</f>
        <v>Neo xòe đĩa sen (8 hướng dày 3,2mm)</v>
      </c>
      <c r="F1144" s="700" t="str">
        <f>VLOOKUP($B1144,dongia1,DG!$D$5,)</f>
        <v>cái</v>
      </c>
      <c r="G1144" s="762">
        <v>1</v>
      </c>
      <c r="H1144" s="701"/>
      <c r="I1144" s="701">
        <f t="shared" ca="1" si="586"/>
        <v>0</v>
      </c>
      <c r="J1144" s="701">
        <f t="shared" ca="1" si="586"/>
        <v>0</v>
      </c>
      <c r="K1144" s="701">
        <f t="shared" ca="1" si="586"/>
        <v>0</v>
      </c>
      <c r="L1144" s="701">
        <f t="shared" ca="1" si="586"/>
        <v>0</v>
      </c>
      <c r="M1144" s="701"/>
      <c r="N1144" s="701">
        <f t="shared" ca="1" si="586"/>
        <v>0</v>
      </c>
      <c r="O1144" s="701">
        <f t="shared" si="586"/>
        <v>0</v>
      </c>
      <c r="P1144" s="702">
        <f>VLOOKUP($B1144,dongia1,DG!$F$5,)</f>
        <v>64000</v>
      </c>
      <c r="Q1144" s="702"/>
      <c r="R1144" s="703"/>
      <c r="S1144" s="702">
        <f t="shared" si="587"/>
        <v>64000</v>
      </c>
      <c r="T1144" s="702">
        <f t="shared" si="587"/>
        <v>0</v>
      </c>
      <c r="U1144" s="704">
        <f t="shared" si="587"/>
        <v>0</v>
      </c>
    </row>
    <row r="1145" spans="1:21" ht="14.25" customHeight="1">
      <c r="B1145" s="622" t="s">
        <v>1322</v>
      </c>
      <c r="C1145" s="631" t="str">
        <f>C1143</f>
        <v xml:space="preserve"> </v>
      </c>
      <c r="D1145" s="698"/>
      <c r="E1145" s="699" t="str">
        <f>VLOOKUP($B1145,dongia1,DG!$C$5,)</f>
        <v>Đào móng cột trụ, hố kiểm tra đất cấp III rộng &lt;=1m, sâu &lt;=1m</v>
      </c>
      <c r="F1145" s="700" t="str">
        <f>VLOOKUP($B1145,dongia1,DG!$D$5,)</f>
        <v>m3</v>
      </c>
      <c r="G1145" s="1006">
        <v>0.57599999999999996</v>
      </c>
      <c r="H1145" s="701"/>
      <c r="I1145" s="701">
        <f t="shared" ca="1" si="586"/>
        <v>0</v>
      </c>
      <c r="J1145" s="701">
        <f t="shared" ca="1" si="586"/>
        <v>0</v>
      </c>
      <c r="K1145" s="701">
        <f t="shared" ca="1" si="586"/>
        <v>0</v>
      </c>
      <c r="L1145" s="701">
        <f t="shared" ca="1" si="586"/>
        <v>0</v>
      </c>
      <c r="M1145" s="701"/>
      <c r="N1145" s="701">
        <f t="shared" ca="1" si="586"/>
        <v>0</v>
      </c>
      <c r="O1145" s="701">
        <f t="shared" si="586"/>
        <v>0</v>
      </c>
      <c r="P1145" s="702"/>
      <c r="Q1145" s="702">
        <f>VLOOKUP($B1145,dongia1,DG!$G$5,)</f>
        <v>315693</v>
      </c>
      <c r="R1145" s="703"/>
      <c r="S1145" s="702">
        <f>$G1145*P1145</f>
        <v>0</v>
      </c>
      <c r="T1145" s="702">
        <f>$G1145*Q1145</f>
        <v>181839.16799999998</v>
      </c>
      <c r="U1145" s="704">
        <f>$G1145*R1145</f>
        <v>0</v>
      </c>
    </row>
    <row r="1146" spans="1:21" ht="14.25" customHeight="1">
      <c r="B1146" s="696" t="s">
        <v>4946</v>
      </c>
      <c r="C1146" s="631" t="str">
        <f>C1144</f>
        <v xml:space="preserve"> </v>
      </c>
      <c r="D1146" s="698"/>
      <c r="E1146" s="699" t="str">
        <f>VLOOKUP($B1146,dongia1,DG!$C$5,)</f>
        <v>Đào hố móng kiểm tra đất cấp III rộng &lt;=1m, sâu &gt;1m</v>
      </c>
      <c r="F1146" s="700" t="str">
        <f>VLOOKUP($B1146,dongia1,DG!$D$5,)</f>
        <v>m3</v>
      </c>
      <c r="G1146" s="1006">
        <v>0.872</v>
      </c>
      <c r="H1146" s="701"/>
      <c r="I1146" s="701">
        <f t="shared" ca="1" si="586"/>
        <v>0</v>
      </c>
      <c r="J1146" s="701">
        <f t="shared" ca="1" si="586"/>
        <v>0</v>
      </c>
      <c r="K1146" s="701">
        <f t="shared" ca="1" si="586"/>
        <v>0</v>
      </c>
      <c r="L1146" s="701">
        <f t="shared" ca="1" si="586"/>
        <v>0</v>
      </c>
      <c r="M1146" s="701"/>
      <c r="N1146" s="701">
        <f t="shared" ca="1" si="586"/>
        <v>0</v>
      </c>
      <c r="O1146" s="701">
        <f t="shared" si="586"/>
        <v>0</v>
      </c>
      <c r="P1146" s="702"/>
      <c r="Q1146" s="702">
        <f>VLOOKUP($B1146,dongia1,DG!$G$5,)</f>
        <v>491832.89999999997</v>
      </c>
      <c r="R1146" s="703"/>
      <c r="S1146" s="702">
        <f t="shared" si="587"/>
        <v>0</v>
      </c>
      <c r="T1146" s="702">
        <f t="shared" si="587"/>
        <v>428878.28879999998</v>
      </c>
      <c r="U1146" s="704">
        <f t="shared" si="587"/>
        <v>0</v>
      </c>
    </row>
    <row r="1147" spans="1:21">
      <c r="B1147" s="696" t="s">
        <v>492</v>
      </c>
      <c r="C1147" s="631" t="str">
        <f>C1146</f>
        <v xml:space="preserve"> </v>
      </c>
      <c r="D1147" s="698"/>
      <c r="E1147" s="699" t="str">
        <f>VLOOKUP($B1147,dongia1,DG!$C$5,)</f>
        <v>Đắp đất hố móng K=0,85</v>
      </c>
      <c r="F1147" s="700" t="str">
        <f>VLOOKUP($B1147,dongia1,DG!$D$5,)</f>
        <v>m3</v>
      </c>
      <c r="G1147" s="1006">
        <v>1.448</v>
      </c>
      <c r="H1147" s="701"/>
      <c r="I1147" s="701">
        <f t="shared" ca="1" si="586"/>
        <v>0</v>
      </c>
      <c r="J1147" s="701">
        <f t="shared" ca="1" si="586"/>
        <v>0</v>
      </c>
      <c r="K1147" s="701">
        <f t="shared" ca="1" si="586"/>
        <v>0</v>
      </c>
      <c r="L1147" s="701">
        <f t="shared" ca="1" si="586"/>
        <v>0</v>
      </c>
      <c r="M1147" s="701"/>
      <c r="N1147" s="701">
        <f t="shared" ca="1" si="586"/>
        <v>0</v>
      </c>
      <c r="O1147" s="701">
        <f t="shared" si="586"/>
        <v>0</v>
      </c>
      <c r="P1147" s="702"/>
      <c r="Q1147" s="702">
        <f>VLOOKUP($B1147,dongia1,DG!$G$5,)</f>
        <v>93046</v>
      </c>
      <c r="R1147" s="703"/>
      <c r="S1147" s="702">
        <f t="shared" si="587"/>
        <v>0</v>
      </c>
      <c r="T1147" s="702">
        <f t="shared" si="587"/>
        <v>134730.60800000001</v>
      </c>
      <c r="U1147" s="704">
        <f t="shared" si="587"/>
        <v>0</v>
      </c>
    </row>
    <row r="1148" spans="1:21" s="858" customFormat="1">
      <c r="A1148" s="640" t="s">
        <v>4839</v>
      </c>
      <c r="B1148" s="848"/>
      <c r="C1148" s="849" t="str">
        <f>IF(H1148&lt;&gt;0,"x"," ")</f>
        <v xml:space="preserve"> </v>
      </c>
      <c r="D1148" s="850"/>
      <c r="E1148" s="851" t="s">
        <v>4841</v>
      </c>
      <c r="F1148" s="852" t="s">
        <v>2113</v>
      </c>
      <c r="G1148" s="853"/>
      <c r="H1148" s="854"/>
      <c r="I1148" s="854">
        <f ca="1">SUMIF(mongneo3pm,chitiet!$A1148,slmongneo3pm)</f>
        <v>0</v>
      </c>
      <c r="J1148" s="854">
        <f ca="1">SUMIF(mongneoct,chitiet!$A1148,SLMONGNEOCT)</f>
        <v>0</v>
      </c>
      <c r="K1148" s="854">
        <f ca="1">SUMIF(mongneo3p1m,chitiet!$A1148,slmongneo3p1m)</f>
        <v>0</v>
      </c>
      <c r="L1148" s="854">
        <f ca="1">SUMIF(mongneo1pm,chitiet!$A1148,slmongneo1pm)</f>
        <v>0</v>
      </c>
      <c r="M1148" s="854"/>
      <c r="N1148" s="854">
        <f ca="1">SUMIF(mongneoHTDL,chitiet!$A1148,slmongneohtdl)</f>
        <v>0</v>
      </c>
      <c r="O1148" s="854"/>
      <c r="P1148" s="855"/>
      <c r="Q1148" s="855"/>
      <c r="R1148" s="855"/>
      <c r="S1148" s="856">
        <f>SUM(S1149:S1153)</f>
        <v>190000</v>
      </c>
      <c r="T1148" s="856">
        <f>SUM(T1149:T1153)</f>
        <v>771769.65599999996</v>
      </c>
      <c r="U1148" s="857">
        <f>SUM(U1149:U1153)</f>
        <v>0</v>
      </c>
    </row>
    <row r="1149" spans="1:21">
      <c r="B1149" s="696" t="s">
        <v>1723</v>
      </c>
      <c r="C1149" s="631" t="str">
        <f>C1148</f>
        <v xml:space="preserve"> </v>
      </c>
      <c r="D1149" s="698"/>
      <c r="E1149" s="699" t="str">
        <f>VLOOKUP($B1149,dongia1,DG!$C$5,)</f>
        <v>Ty neo Þ16x2400</v>
      </c>
      <c r="F1149" s="700" t="str">
        <f>VLOOKUP($B1149,dongia1,DG!$D$5,)</f>
        <v>cái</v>
      </c>
      <c r="G1149" s="762">
        <v>1</v>
      </c>
      <c r="H1149" s="701"/>
      <c r="I1149" s="701">
        <f t="shared" ref="I1149:O1153" ca="1" si="588">I$1137*$G1149</f>
        <v>0</v>
      </c>
      <c r="J1149" s="701">
        <f t="shared" ca="1" si="588"/>
        <v>0</v>
      </c>
      <c r="K1149" s="701">
        <f t="shared" ca="1" si="588"/>
        <v>0</v>
      </c>
      <c r="L1149" s="701">
        <f t="shared" ca="1" si="588"/>
        <v>0</v>
      </c>
      <c r="M1149" s="701"/>
      <c r="N1149" s="701">
        <f t="shared" ca="1" si="588"/>
        <v>0</v>
      </c>
      <c r="O1149" s="701">
        <f t="shared" si="588"/>
        <v>0</v>
      </c>
      <c r="P1149" s="702">
        <f>VLOOKUP($B1149,dongia1,DG!$F$5,)</f>
        <v>126000</v>
      </c>
      <c r="Q1149" s="702"/>
      <c r="R1149" s="703"/>
      <c r="S1149" s="702">
        <f t="shared" ref="S1149:U1153" si="589">$G1149*P1149</f>
        <v>126000</v>
      </c>
      <c r="T1149" s="702">
        <f t="shared" si="589"/>
        <v>0</v>
      </c>
      <c r="U1149" s="704">
        <f t="shared" si="589"/>
        <v>0</v>
      </c>
    </row>
    <row r="1150" spans="1:21">
      <c r="B1150" s="696" t="s">
        <v>918</v>
      </c>
      <c r="C1150" s="631" t="str">
        <f>C1149</f>
        <v xml:space="preserve"> </v>
      </c>
      <c r="D1150" s="698"/>
      <c r="E1150" s="699" t="str">
        <f>VLOOKUP($B1150,dongia1,DG!$C$5,)</f>
        <v>Neo xòe đĩa sen (8 hướng dày 3,2mm)</v>
      </c>
      <c r="F1150" s="700" t="str">
        <f>VLOOKUP($B1150,dongia1,DG!$D$5,)</f>
        <v>cái</v>
      </c>
      <c r="G1150" s="762">
        <v>1</v>
      </c>
      <c r="H1150" s="701"/>
      <c r="I1150" s="701">
        <f t="shared" ca="1" si="588"/>
        <v>0</v>
      </c>
      <c r="J1150" s="701">
        <f t="shared" ca="1" si="588"/>
        <v>0</v>
      </c>
      <c r="K1150" s="701">
        <f t="shared" ca="1" si="588"/>
        <v>0</v>
      </c>
      <c r="L1150" s="701">
        <f t="shared" ca="1" si="588"/>
        <v>0</v>
      </c>
      <c r="M1150" s="701"/>
      <c r="N1150" s="701">
        <f t="shared" ca="1" si="588"/>
        <v>0</v>
      </c>
      <c r="O1150" s="701">
        <f t="shared" si="588"/>
        <v>0</v>
      </c>
      <c r="P1150" s="702">
        <f>VLOOKUP($B1150,dongia1,DG!$F$5,)</f>
        <v>64000</v>
      </c>
      <c r="Q1150" s="702"/>
      <c r="R1150" s="703"/>
      <c r="S1150" s="702">
        <f t="shared" si="589"/>
        <v>64000</v>
      </c>
      <c r="T1150" s="702">
        <f t="shared" si="589"/>
        <v>0</v>
      </c>
      <c r="U1150" s="704">
        <f t="shared" si="589"/>
        <v>0</v>
      </c>
    </row>
    <row r="1151" spans="1:21">
      <c r="B1151" s="622" t="s">
        <v>1322</v>
      </c>
      <c r="C1151" s="631" t="str">
        <f>C1149</f>
        <v xml:space="preserve"> </v>
      </c>
      <c r="D1151" s="698"/>
      <c r="E1151" s="699" t="str">
        <f>VLOOKUP($B1151,dongia1,DG!$C$5,)</f>
        <v>Đào móng cột trụ, hố kiểm tra đất cấp III rộng &lt;=1m, sâu &lt;=1m</v>
      </c>
      <c r="F1151" s="700" t="str">
        <f>VLOOKUP($B1151,dongia1,DG!$D$5,)</f>
        <v>m3</v>
      </c>
      <c r="G1151" s="1006">
        <v>0.4</v>
      </c>
      <c r="H1151" s="701"/>
      <c r="I1151" s="701">
        <f t="shared" ca="1" si="588"/>
        <v>0</v>
      </c>
      <c r="J1151" s="701">
        <f t="shared" ca="1" si="588"/>
        <v>0</v>
      </c>
      <c r="K1151" s="701">
        <f t="shared" ca="1" si="588"/>
        <v>0</v>
      </c>
      <c r="L1151" s="701">
        <f t="shared" ca="1" si="588"/>
        <v>0</v>
      </c>
      <c r="M1151" s="701"/>
      <c r="N1151" s="701">
        <f t="shared" ca="1" si="588"/>
        <v>0</v>
      </c>
      <c r="O1151" s="701">
        <f t="shared" si="588"/>
        <v>0</v>
      </c>
      <c r="P1151" s="702"/>
      <c r="Q1151" s="702">
        <f>VLOOKUP($B1151,dongia1,DG!$G$5,)</f>
        <v>315693</v>
      </c>
      <c r="R1151" s="703"/>
      <c r="S1151" s="702">
        <f>$G1151*P1151</f>
        <v>0</v>
      </c>
      <c r="T1151" s="702">
        <f>$G1151*Q1151</f>
        <v>126277.20000000001</v>
      </c>
      <c r="U1151" s="704">
        <f>$G1151*R1151</f>
        <v>0</v>
      </c>
    </row>
    <row r="1152" spans="1:21">
      <c r="B1152" s="696" t="s">
        <v>4946</v>
      </c>
      <c r="C1152" s="631" t="str">
        <f>C1150</f>
        <v xml:space="preserve"> </v>
      </c>
      <c r="D1152" s="698"/>
      <c r="E1152" s="699" t="str">
        <f>VLOOKUP($B1152,dongia1,DG!$C$5,)</f>
        <v>Đào hố móng kiểm tra đất cấp III rộng &lt;=1m, sâu &gt;1m</v>
      </c>
      <c r="F1152" s="700" t="str">
        <f>VLOOKUP($B1152,dongia1,DG!$D$5,)</f>
        <v>m3</v>
      </c>
      <c r="G1152" s="1006">
        <v>1.04</v>
      </c>
      <c r="H1152" s="701"/>
      <c r="I1152" s="701">
        <f t="shared" ca="1" si="588"/>
        <v>0</v>
      </c>
      <c r="J1152" s="701">
        <f t="shared" ca="1" si="588"/>
        <v>0</v>
      </c>
      <c r="K1152" s="701">
        <f t="shared" ca="1" si="588"/>
        <v>0</v>
      </c>
      <c r="L1152" s="701">
        <f t="shared" ca="1" si="588"/>
        <v>0</v>
      </c>
      <c r="M1152" s="701"/>
      <c r="N1152" s="701">
        <f t="shared" ca="1" si="588"/>
        <v>0</v>
      </c>
      <c r="O1152" s="701">
        <f t="shared" si="588"/>
        <v>0</v>
      </c>
      <c r="P1152" s="702"/>
      <c r="Q1152" s="702">
        <f>VLOOKUP($B1152,dongia1,DG!$G$5,)</f>
        <v>491832.89999999997</v>
      </c>
      <c r="R1152" s="703"/>
      <c r="S1152" s="702">
        <f t="shared" si="589"/>
        <v>0</v>
      </c>
      <c r="T1152" s="702">
        <f t="shared" si="589"/>
        <v>511506.21599999996</v>
      </c>
      <c r="U1152" s="704">
        <f t="shared" si="589"/>
        <v>0</v>
      </c>
    </row>
    <row r="1153" spans="1:21">
      <c r="B1153" s="696" t="s">
        <v>492</v>
      </c>
      <c r="C1153" s="631" t="str">
        <f>C1152</f>
        <v xml:space="preserve"> </v>
      </c>
      <c r="D1153" s="698"/>
      <c r="E1153" s="699" t="str">
        <f>VLOOKUP($B1153,dongia1,DG!$C$5,)</f>
        <v>Đắp đất hố móng K=0,85</v>
      </c>
      <c r="F1153" s="700" t="str">
        <f>VLOOKUP($B1153,dongia1,DG!$D$5,)</f>
        <v>m3</v>
      </c>
      <c r="G1153" s="1006">
        <v>1.44</v>
      </c>
      <c r="H1153" s="701"/>
      <c r="I1153" s="701">
        <f t="shared" ca="1" si="588"/>
        <v>0</v>
      </c>
      <c r="J1153" s="701">
        <f t="shared" ca="1" si="588"/>
        <v>0</v>
      </c>
      <c r="K1153" s="701">
        <f t="shared" ca="1" si="588"/>
        <v>0</v>
      </c>
      <c r="L1153" s="701">
        <f t="shared" ca="1" si="588"/>
        <v>0</v>
      </c>
      <c r="M1153" s="701"/>
      <c r="N1153" s="701">
        <f t="shared" ca="1" si="588"/>
        <v>0</v>
      </c>
      <c r="O1153" s="701">
        <f t="shared" si="588"/>
        <v>0</v>
      </c>
      <c r="P1153" s="702"/>
      <c r="Q1153" s="702">
        <f>VLOOKUP($B1153,dongia1,DG!$G$5,)</f>
        <v>93046</v>
      </c>
      <c r="R1153" s="703"/>
      <c r="S1153" s="702">
        <f t="shared" si="589"/>
        <v>0</v>
      </c>
      <c r="T1153" s="702">
        <f t="shared" si="589"/>
        <v>133986.23999999999</v>
      </c>
      <c r="U1153" s="704">
        <f t="shared" si="589"/>
        <v>0</v>
      </c>
    </row>
    <row r="1154" spans="1:21" s="858" customFormat="1">
      <c r="A1154" s="640" t="s">
        <v>1759</v>
      </c>
      <c r="B1154" s="848"/>
      <c r="C1154" s="849" t="str">
        <f>IF(H1154&lt;&gt;0,"x"," ")</f>
        <v xml:space="preserve"> </v>
      </c>
      <c r="D1154" s="850"/>
      <c r="E1154" s="851" t="s">
        <v>3628</v>
      </c>
      <c r="F1154" s="852" t="s">
        <v>2113</v>
      </c>
      <c r="G1154" s="853"/>
      <c r="H1154" s="854"/>
      <c r="I1154" s="854">
        <f ca="1">SUMIF(mongneo3pm,chitiet!$A1154,slmongneo3pm)</f>
        <v>0</v>
      </c>
      <c r="J1154" s="854">
        <f ca="1">SUMIF(mongneoct,chitiet!$A1154,SLMONGNEOCT)</f>
        <v>0</v>
      </c>
      <c r="K1154" s="854">
        <f ca="1">SUMIF(mongneo3p1m,chitiet!$A1154,slmongneo3p1m)</f>
        <v>0</v>
      </c>
      <c r="L1154" s="854">
        <f ca="1">SUMIF(mongneo1pm,chitiet!$A1154,slmongneo1pm)</f>
        <v>0</v>
      </c>
      <c r="M1154" s="854"/>
      <c r="N1154" s="854">
        <f ca="1">SUMIF(mongneoHTDL,chitiet!$A1154,slmongneohtdl)</f>
        <v>0</v>
      </c>
      <c r="O1154" s="854"/>
      <c r="P1154" s="855"/>
      <c r="Q1154" s="855"/>
      <c r="R1154" s="855"/>
      <c r="S1154" s="856">
        <f>SUM(S1155:S1158)</f>
        <v>604802</v>
      </c>
      <c r="T1154" s="856">
        <f>SUM(T1155:T1158)</f>
        <v>2047076.15</v>
      </c>
      <c r="U1154" s="857">
        <f>SUM(U1155:U1158)</f>
        <v>0</v>
      </c>
    </row>
    <row r="1155" spans="1:21">
      <c r="B1155" s="696" t="s">
        <v>536</v>
      </c>
      <c r="C1155" s="631" t="str">
        <f>C1154</f>
        <v xml:space="preserve"> </v>
      </c>
      <c r="D1155" s="698"/>
      <c r="E1155" s="699" t="str">
        <f>VLOOKUP($B1155,dongia1,DG!$C$5,)</f>
        <v>Ty neo Þ22x3000</v>
      </c>
      <c r="F1155" s="700" t="str">
        <f>VLOOKUP($B1155,dongia1,DG!$D$5,)</f>
        <v>cái</v>
      </c>
      <c r="G1155" s="762">
        <v>1</v>
      </c>
      <c r="H1155" s="701"/>
      <c r="I1155" s="701">
        <f t="shared" ref="I1155:O1158" ca="1" si="590">I$1154*$G1155</f>
        <v>0</v>
      </c>
      <c r="J1155" s="701">
        <f t="shared" ca="1" si="590"/>
        <v>0</v>
      </c>
      <c r="K1155" s="701">
        <f t="shared" ca="1" si="590"/>
        <v>0</v>
      </c>
      <c r="L1155" s="701">
        <f t="shared" ca="1" si="590"/>
        <v>0</v>
      </c>
      <c r="M1155" s="701"/>
      <c r="N1155" s="701">
        <f t="shared" ca="1" si="590"/>
        <v>0</v>
      </c>
      <c r="O1155" s="701">
        <f t="shared" si="590"/>
        <v>0</v>
      </c>
      <c r="P1155" s="702">
        <f>VLOOKUP($B1155,dongia1,DG!$F$5,)</f>
        <v>329000</v>
      </c>
      <c r="Q1155" s="702"/>
      <c r="R1155" s="703"/>
      <c r="S1155" s="702">
        <f t="shared" ref="S1155:U1158" si="591">$G1155*P1155</f>
        <v>329000</v>
      </c>
      <c r="T1155" s="702">
        <f t="shared" si="591"/>
        <v>0</v>
      </c>
      <c r="U1155" s="704">
        <f t="shared" si="591"/>
        <v>0</v>
      </c>
    </row>
    <row r="1156" spans="1:21">
      <c r="B1156" s="696" t="s">
        <v>1852</v>
      </c>
      <c r="C1156" s="631" t="str">
        <f>C1155</f>
        <v xml:space="preserve"> </v>
      </c>
      <c r="D1156" s="698"/>
      <c r="E1156" s="699" t="str">
        <f>VLOOKUP($B1156,dongia1,DG!$C$5,)</f>
        <v>Đế neo BTCT 200x1200</v>
      </c>
      <c r="F1156" s="700" t="str">
        <f>VLOOKUP($B1156,dongia1,DG!$D$5,)</f>
        <v>cái</v>
      </c>
      <c r="G1156" s="762">
        <v>1</v>
      </c>
      <c r="H1156" s="701"/>
      <c r="I1156" s="701">
        <f t="shared" ca="1" si="590"/>
        <v>0</v>
      </c>
      <c r="J1156" s="701">
        <f t="shared" ca="1" si="590"/>
        <v>0</v>
      </c>
      <c r="K1156" s="701">
        <f t="shared" ca="1" si="590"/>
        <v>0</v>
      </c>
      <c r="L1156" s="701">
        <f t="shared" ca="1" si="590"/>
        <v>0</v>
      </c>
      <c r="M1156" s="701"/>
      <c r="N1156" s="701">
        <f t="shared" ca="1" si="590"/>
        <v>0</v>
      </c>
      <c r="O1156" s="701">
        <f t="shared" si="590"/>
        <v>0</v>
      </c>
      <c r="P1156" s="702">
        <f>VLOOKUP($B1156,dongia1,DG!$F$5,)</f>
        <v>275802</v>
      </c>
      <c r="Q1156" s="702"/>
      <c r="R1156" s="703"/>
      <c r="S1156" s="702">
        <f t="shared" si="591"/>
        <v>275802</v>
      </c>
      <c r="T1156" s="702">
        <f t="shared" si="591"/>
        <v>0</v>
      </c>
      <c r="U1156" s="704">
        <f t="shared" si="591"/>
        <v>0</v>
      </c>
    </row>
    <row r="1157" spans="1:21">
      <c r="B1157" s="622" t="s">
        <v>4946</v>
      </c>
      <c r="C1157" s="631" t="str">
        <f>+C1156</f>
        <v xml:space="preserve"> </v>
      </c>
      <c r="D1157" s="698"/>
      <c r="E1157" s="699" t="str">
        <f>VLOOKUP($B1157,dongia1,DG!$C$5,)</f>
        <v>Đào hố móng kiểm tra đất cấp III rộng &lt;=1m, sâu &gt;1m</v>
      </c>
      <c r="F1157" s="700" t="str">
        <f>VLOOKUP($B1157,dongia1,DG!$D$5,)</f>
        <v>m3</v>
      </c>
      <c r="G1157" s="762">
        <v>3.5</v>
      </c>
      <c r="H1157" s="701"/>
      <c r="I1157" s="701">
        <f t="shared" ca="1" si="590"/>
        <v>0</v>
      </c>
      <c r="J1157" s="701">
        <f t="shared" ca="1" si="590"/>
        <v>0</v>
      </c>
      <c r="K1157" s="701">
        <f t="shared" ca="1" si="590"/>
        <v>0</v>
      </c>
      <c r="L1157" s="701">
        <f t="shared" ca="1" si="590"/>
        <v>0</v>
      </c>
      <c r="M1157" s="701"/>
      <c r="N1157" s="701">
        <f t="shared" ca="1" si="590"/>
        <v>0</v>
      </c>
      <c r="O1157" s="701">
        <f t="shared" si="590"/>
        <v>0</v>
      </c>
      <c r="P1157" s="702"/>
      <c r="Q1157" s="702">
        <f>VLOOKUP($B1157,dongia1,DG!$G$5,)</f>
        <v>491832.89999999997</v>
      </c>
      <c r="R1157" s="703"/>
      <c r="S1157" s="702">
        <f t="shared" si="591"/>
        <v>0</v>
      </c>
      <c r="T1157" s="702">
        <f t="shared" si="591"/>
        <v>1721415.15</v>
      </c>
      <c r="U1157" s="704">
        <f t="shared" si="591"/>
        <v>0</v>
      </c>
    </row>
    <row r="1158" spans="1:21">
      <c r="B1158" s="696" t="s">
        <v>492</v>
      </c>
      <c r="C1158" s="631" t="str">
        <f>C1157</f>
        <v xml:space="preserve"> </v>
      </c>
      <c r="D1158" s="698"/>
      <c r="E1158" s="699" t="str">
        <f>VLOOKUP($B1158,dongia1,DG!$C$5,)</f>
        <v>Đắp đất hố móng K=0,85</v>
      </c>
      <c r="F1158" s="700" t="str">
        <f>VLOOKUP($B1158,dongia1,DG!$D$5,)</f>
        <v>m3</v>
      </c>
      <c r="G1158" s="762">
        <v>3.5</v>
      </c>
      <c r="H1158" s="701"/>
      <c r="I1158" s="701">
        <f t="shared" ca="1" si="590"/>
        <v>0</v>
      </c>
      <c r="J1158" s="701">
        <f t="shared" ca="1" si="590"/>
        <v>0</v>
      </c>
      <c r="K1158" s="701">
        <f t="shared" ca="1" si="590"/>
        <v>0</v>
      </c>
      <c r="L1158" s="701">
        <f t="shared" ca="1" si="590"/>
        <v>0</v>
      </c>
      <c r="M1158" s="701"/>
      <c r="N1158" s="701">
        <f t="shared" ca="1" si="590"/>
        <v>0</v>
      </c>
      <c r="O1158" s="701">
        <f t="shared" si="590"/>
        <v>0</v>
      </c>
      <c r="P1158" s="702"/>
      <c r="Q1158" s="702">
        <f>VLOOKUP($B1158,dongia1,DG!$G$5,)</f>
        <v>93046</v>
      </c>
      <c r="R1158" s="703"/>
      <c r="S1158" s="702">
        <f t="shared" si="591"/>
        <v>0</v>
      </c>
      <c r="T1158" s="702">
        <f t="shared" si="591"/>
        <v>325661</v>
      </c>
      <c r="U1158" s="704">
        <f t="shared" si="591"/>
        <v>0</v>
      </c>
    </row>
    <row r="1159" spans="1:21" s="552" customFormat="1" ht="15" customHeight="1">
      <c r="A1159" s="621" t="s">
        <v>90</v>
      </c>
      <c r="B1159" s="622"/>
      <c r="C1159" s="558" t="str">
        <f>IF(H1159&lt;&gt;0,"x"," ")</f>
        <v xml:space="preserve"> </v>
      </c>
      <c r="D1159" s="553"/>
      <c r="E1159" s="727" t="s">
        <v>3629</v>
      </c>
      <c r="F1159" s="600" t="s">
        <v>2113</v>
      </c>
      <c r="G1159" s="205"/>
      <c r="H1159" s="556"/>
      <c r="I1159" s="556">
        <f ca="1">SUMIF(mongneo3pm,chitiet!$A1159,slmongneo3pm)</f>
        <v>0</v>
      </c>
      <c r="J1159" s="556">
        <f ca="1">SUMIF(mongneoct,chitiet!$A1159,SLMONGNEOCT)</f>
        <v>0</v>
      </c>
      <c r="K1159" s="556">
        <f ca="1">SUMIF(mongneo3p1m,chitiet!$A1159,slmongneo3p1m)</f>
        <v>0</v>
      </c>
      <c r="L1159" s="556">
        <f ca="1">SUMIF(mongneo1pm,chitiet!$A1159,slmongneo1pm)</f>
        <v>0</v>
      </c>
      <c r="M1159" s="556"/>
      <c r="N1159" s="556">
        <f ca="1">SUMIF(mongneoHTDL,chitiet!$A1159,slmongneohtdl)</f>
        <v>0</v>
      </c>
      <c r="O1159" s="556"/>
      <c r="P1159" s="554"/>
      <c r="Q1159" s="554"/>
      <c r="R1159" s="554"/>
      <c r="S1159" s="601">
        <f>SUM(S1160:S1164)</f>
        <v>391802</v>
      </c>
      <c r="T1159" s="601">
        <f>SUM(T1160:T1164)</f>
        <v>1725392.7549999999</v>
      </c>
      <c r="U1159" s="602">
        <f>SUM(U1160:U1164)</f>
        <v>0</v>
      </c>
    </row>
    <row r="1160" spans="1:21" s="552" customFormat="1" ht="15" customHeight="1">
      <c r="A1160" s="621"/>
      <c r="B1160" s="622" t="s">
        <v>1378</v>
      </c>
      <c r="C1160" s="558" t="str">
        <f>C1159</f>
        <v xml:space="preserve"> </v>
      </c>
      <c r="D1160" s="553"/>
      <c r="E1160" s="694" t="str">
        <f>VLOOKUP($B1160,dongia1,DG!$C$5,)</f>
        <v>Ty neo Þ16x1800</v>
      </c>
      <c r="F1160" s="555" t="str">
        <f>VLOOKUP($B1160,dongia1,DG!$D$5,)</f>
        <v>cái</v>
      </c>
      <c r="G1160" s="205">
        <v>1</v>
      </c>
      <c r="H1160" s="556"/>
      <c r="I1160" s="556">
        <f t="shared" ref="I1160:O1164" ca="1" si="592">I$1159*$G1160</f>
        <v>0</v>
      </c>
      <c r="J1160" s="556">
        <f t="shared" ca="1" si="592"/>
        <v>0</v>
      </c>
      <c r="K1160" s="556">
        <f t="shared" ca="1" si="592"/>
        <v>0</v>
      </c>
      <c r="L1160" s="556">
        <f t="shared" ca="1" si="592"/>
        <v>0</v>
      </c>
      <c r="M1160" s="556"/>
      <c r="N1160" s="556">
        <f t="shared" ca="1" si="592"/>
        <v>0</v>
      </c>
      <c r="O1160" s="556">
        <f t="shared" si="592"/>
        <v>0</v>
      </c>
      <c r="P1160" s="182">
        <f>VLOOKUP($B1160,dongia1,DG!$F$5,)</f>
        <v>116000</v>
      </c>
      <c r="Q1160" s="182"/>
      <c r="R1160" s="554"/>
      <c r="S1160" s="113">
        <f t="shared" ref="S1160:U1164" si="593">$G1160*P1160</f>
        <v>116000</v>
      </c>
      <c r="T1160" s="113">
        <f t="shared" si="593"/>
        <v>0</v>
      </c>
      <c r="U1160" s="557">
        <f t="shared" si="593"/>
        <v>0</v>
      </c>
    </row>
    <row r="1161" spans="1:21" s="552" customFormat="1" ht="15" customHeight="1">
      <c r="A1161" s="621"/>
      <c r="B1161" s="622" t="s">
        <v>1852</v>
      </c>
      <c r="C1161" s="558" t="str">
        <f>C1160</f>
        <v xml:space="preserve"> </v>
      </c>
      <c r="D1161" s="553"/>
      <c r="E1161" s="694" t="str">
        <f>VLOOKUP($B1161,dongia1,DG!$C$5,)</f>
        <v>Đế neo BTCT 200x1200</v>
      </c>
      <c r="F1161" s="555" t="str">
        <f>VLOOKUP($B1161,dongia1,DG!$D$5,)</f>
        <v>cái</v>
      </c>
      <c r="G1161" s="205">
        <v>1</v>
      </c>
      <c r="H1161" s="556"/>
      <c r="I1161" s="556">
        <f t="shared" ca="1" si="592"/>
        <v>0</v>
      </c>
      <c r="J1161" s="556">
        <f t="shared" ca="1" si="592"/>
        <v>0</v>
      </c>
      <c r="K1161" s="556">
        <f t="shared" ca="1" si="592"/>
        <v>0</v>
      </c>
      <c r="L1161" s="556">
        <f t="shared" ca="1" si="592"/>
        <v>0</v>
      </c>
      <c r="M1161" s="556"/>
      <c r="N1161" s="556">
        <f t="shared" ca="1" si="592"/>
        <v>0</v>
      </c>
      <c r="O1161" s="556">
        <f t="shared" si="592"/>
        <v>0</v>
      </c>
      <c r="P1161" s="182">
        <f>VLOOKUP($B1161,dongia1,DG!$F$5,)</f>
        <v>275802</v>
      </c>
      <c r="Q1161" s="182"/>
      <c r="R1161" s="554"/>
      <c r="S1161" s="113">
        <f t="shared" si="593"/>
        <v>275802</v>
      </c>
      <c r="T1161" s="113">
        <f t="shared" si="593"/>
        <v>0</v>
      </c>
      <c r="U1161" s="557">
        <f t="shared" si="593"/>
        <v>0</v>
      </c>
    </row>
    <row r="1162" spans="1:21" s="552" customFormat="1" ht="15" customHeight="1">
      <c r="A1162" s="621"/>
      <c r="B1162" s="622" t="s">
        <v>1019</v>
      </c>
      <c r="C1162" s="558"/>
      <c r="D1162" s="553"/>
      <c r="E1162" s="694" t="str">
        <f>VLOOKUP($B1162,dongia1,DG!$C$5,)</f>
        <v>Bitum</v>
      </c>
      <c r="F1162" s="555" t="str">
        <f>VLOOKUP($B1162,dongia1,DG!$D$5,)</f>
        <v>m2</v>
      </c>
      <c r="G1162" s="205"/>
      <c r="H1162" s="556"/>
      <c r="I1162" s="556">
        <f t="shared" ca="1" si="592"/>
        <v>0</v>
      </c>
      <c r="J1162" s="556">
        <f t="shared" ca="1" si="592"/>
        <v>0</v>
      </c>
      <c r="K1162" s="556">
        <f t="shared" ca="1" si="592"/>
        <v>0</v>
      </c>
      <c r="L1162" s="556">
        <f t="shared" ca="1" si="592"/>
        <v>0</v>
      </c>
      <c r="M1162" s="556"/>
      <c r="N1162" s="556">
        <f t="shared" ca="1" si="592"/>
        <v>0</v>
      </c>
      <c r="O1162" s="556">
        <f t="shared" si="592"/>
        <v>0</v>
      </c>
      <c r="P1162" s="182">
        <f>VLOOKUP($B1162,dongia1,DG!$F$5,)</f>
        <v>5849</v>
      </c>
      <c r="Q1162" s="182">
        <f>VLOOKUP($B1162,dongia1,DG!$G$5,)</f>
        <v>1083.8</v>
      </c>
      <c r="R1162" s="554"/>
      <c r="S1162" s="113">
        <f t="shared" si="593"/>
        <v>0</v>
      </c>
      <c r="T1162" s="113">
        <f t="shared" si="593"/>
        <v>0</v>
      </c>
      <c r="U1162" s="557">
        <f t="shared" si="593"/>
        <v>0</v>
      </c>
    </row>
    <row r="1163" spans="1:21" s="552" customFormat="1" ht="15" customHeight="1">
      <c r="A1163" s="621"/>
      <c r="B1163" s="622" t="s">
        <v>4946</v>
      </c>
      <c r="C1163" s="558" t="str">
        <f>C1161</f>
        <v xml:space="preserve"> </v>
      </c>
      <c r="D1163" s="553"/>
      <c r="E1163" s="694" t="str">
        <f>VLOOKUP($B1163,dongia1,DG!$C$5,)</f>
        <v>Đào hố móng kiểm tra đất cấp III rộng &lt;=1m, sâu &gt;1m</v>
      </c>
      <c r="F1163" s="555" t="str">
        <f>VLOOKUP($B1163,dongia1,DG!$D$5,)</f>
        <v>m3</v>
      </c>
      <c r="G1163" s="205">
        <v>2.95</v>
      </c>
      <c r="H1163" s="556"/>
      <c r="I1163" s="556">
        <f t="shared" ca="1" si="592"/>
        <v>0</v>
      </c>
      <c r="J1163" s="556">
        <f t="shared" ca="1" si="592"/>
        <v>0</v>
      </c>
      <c r="K1163" s="556">
        <f t="shared" ca="1" si="592"/>
        <v>0</v>
      </c>
      <c r="L1163" s="556">
        <f t="shared" ca="1" si="592"/>
        <v>0</v>
      </c>
      <c r="M1163" s="556"/>
      <c r="N1163" s="556">
        <f t="shared" ca="1" si="592"/>
        <v>0</v>
      </c>
      <c r="O1163" s="556">
        <f t="shared" si="592"/>
        <v>0</v>
      </c>
      <c r="P1163" s="182"/>
      <c r="Q1163" s="182">
        <f>VLOOKUP($B1163,dongia1,DG!$G$5,)</f>
        <v>491832.89999999997</v>
      </c>
      <c r="R1163" s="554"/>
      <c r="S1163" s="113">
        <f t="shared" si="593"/>
        <v>0</v>
      </c>
      <c r="T1163" s="113">
        <f t="shared" si="593"/>
        <v>1450907.0549999999</v>
      </c>
      <c r="U1163" s="557">
        <f t="shared" si="593"/>
        <v>0</v>
      </c>
    </row>
    <row r="1164" spans="1:21" s="552" customFormat="1" ht="15" customHeight="1">
      <c r="A1164" s="621"/>
      <c r="B1164" s="622" t="s">
        <v>492</v>
      </c>
      <c r="C1164" s="558" t="str">
        <f>C1163</f>
        <v xml:space="preserve"> </v>
      </c>
      <c r="D1164" s="553"/>
      <c r="E1164" s="694" t="str">
        <f>VLOOKUP($B1164,dongia1,DG!$C$5,)</f>
        <v>Đắp đất hố móng K=0,85</v>
      </c>
      <c r="F1164" s="555" t="str">
        <f>VLOOKUP($B1164,dongia1,DG!$D$5,)</f>
        <v>m3</v>
      </c>
      <c r="G1164" s="205">
        <v>2.95</v>
      </c>
      <c r="H1164" s="556"/>
      <c r="I1164" s="556">
        <f t="shared" ca="1" si="592"/>
        <v>0</v>
      </c>
      <c r="J1164" s="556">
        <f t="shared" ca="1" si="592"/>
        <v>0</v>
      </c>
      <c r="K1164" s="556">
        <f t="shared" ca="1" si="592"/>
        <v>0</v>
      </c>
      <c r="L1164" s="556">
        <f t="shared" ca="1" si="592"/>
        <v>0</v>
      </c>
      <c r="M1164" s="556"/>
      <c r="N1164" s="556">
        <f t="shared" ca="1" si="592"/>
        <v>0</v>
      </c>
      <c r="O1164" s="556">
        <f t="shared" si="592"/>
        <v>0</v>
      </c>
      <c r="P1164" s="182"/>
      <c r="Q1164" s="182">
        <f>VLOOKUP($B1164,dongia1,DG!$G$5,)</f>
        <v>93046</v>
      </c>
      <c r="R1164" s="554"/>
      <c r="S1164" s="113">
        <f t="shared" si="593"/>
        <v>0</v>
      </c>
      <c r="T1164" s="113">
        <f t="shared" si="593"/>
        <v>274485.7</v>
      </c>
      <c r="U1164" s="557">
        <f t="shared" si="593"/>
        <v>0</v>
      </c>
    </row>
    <row r="1165" spans="1:21" s="552" customFormat="1" ht="15" customHeight="1">
      <c r="A1165" s="621" t="s">
        <v>787</v>
      </c>
      <c r="B1165" s="622"/>
      <c r="C1165" s="558" t="str">
        <f>IF(H1165&lt;&gt;0,"x"," ")</f>
        <v xml:space="preserve"> </v>
      </c>
      <c r="D1165" s="553"/>
      <c r="E1165" s="727" t="s">
        <v>3630</v>
      </c>
      <c r="F1165" s="600" t="s">
        <v>2113</v>
      </c>
      <c r="G1165" s="205"/>
      <c r="H1165" s="556"/>
      <c r="I1165" s="556">
        <f ca="1">SUMIF(mongneo3pm,chitiet!$A1165,slmongneo3pm)</f>
        <v>0</v>
      </c>
      <c r="J1165" s="556">
        <f ca="1">SUMIF(mongneoct,chitiet!$A1165,SLMONGNEOCT)</f>
        <v>0</v>
      </c>
      <c r="K1165" s="556">
        <f ca="1">SUMIF(mongneo3p1m,chitiet!$A1165,slmongneo3p1m)</f>
        <v>0</v>
      </c>
      <c r="L1165" s="556">
        <f ca="1">SUMIF(mongneo1pm,chitiet!$A1165,slmongneo1pm)</f>
        <v>0</v>
      </c>
      <c r="M1165" s="556"/>
      <c r="N1165" s="556">
        <f ca="1">SUMIF(mongneoHTDL,chitiet!$A1165,slmongneohtdl)</f>
        <v>0</v>
      </c>
      <c r="O1165" s="556"/>
      <c r="P1165" s="554"/>
      <c r="Q1165" s="554"/>
      <c r="R1165" s="554"/>
      <c r="S1165" s="601">
        <f>SUM(S1166:S1170)</f>
        <v>578241.42000000004</v>
      </c>
      <c r="T1165" s="601">
        <f>SUM(T1166:T1170)</f>
        <v>4067539.375</v>
      </c>
      <c r="U1165" s="602">
        <f>SUM(U1166:U1170)</f>
        <v>0</v>
      </c>
    </row>
    <row r="1166" spans="1:21" s="552" customFormat="1" ht="15" customHeight="1">
      <c r="A1166" s="621"/>
      <c r="B1166" s="622" t="s">
        <v>1009</v>
      </c>
      <c r="C1166" s="558" t="str">
        <f>C1165</f>
        <v xml:space="preserve"> </v>
      </c>
      <c r="D1166" s="553"/>
      <c r="E1166" s="694" t="str">
        <f>VLOOKUP($B1166,dongia1,DG!$C$5,)</f>
        <v>Ty neo Þ22x3700</v>
      </c>
      <c r="F1166" s="555" t="str">
        <f>VLOOKUP($B1166,dongia1,DG!$D$5,)</f>
        <v>cái</v>
      </c>
      <c r="G1166" s="205">
        <v>1</v>
      </c>
      <c r="H1166" s="556"/>
      <c r="I1166" s="556">
        <f t="shared" ref="I1166:O1170" ca="1" si="594">I$1165*$G1166</f>
        <v>0</v>
      </c>
      <c r="J1166" s="556">
        <f t="shared" ca="1" si="594"/>
        <v>0</v>
      </c>
      <c r="K1166" s="556">
        <f t="shared" ca="1" si="594"/>
        <v>0</v>
      </c>
      <c r="L1166" s="556">
        <f t="shared" ca="1" si="594"/>
        <v>0</v>
      </c>
      <c r="M1166" s="556"/>
      <c r="N1166" s="556">
        <f t="shared" ca="1" si="594"/>
        <v>0</v>
      </c>
      <c r="O1166" s="556">
        <f t="shared" si="594"/>
        <v>0</v>
      </c>
      <c r="P1166" s="182">
        <f>VLOOKUP($B1166,dongia1,DG!$F$5,)</f>
        <v>399000</v>
      </c>
      <c r="Q1166" s="182"/>
      <c r="R1166" s="554"/>
      <c r="S1166" s="113">
        <f t="shared" ref="S1166:U1170" si="595">$G1166*P1166</f>
        <v>399000</v>
      </c>
      <c r="T1166" s="113">
        <f t="shared" si="595"/>
        <v>0</v>
      </c>
      <c r="U1166" s="557">
        <f t="shared" si="595"/>
        <v>0</v>
      </c>
    </row>
    <row r="1167" spans="1:21" s="552" customFormat="1" ht="15" customHeight="1">
      <c r="A1167" s="621"/>
      <c r="B1167" s="622" t="s">
        <v>77</v>
      </c>
      <c r="C1167" s="558" t="str">
        <f>C1166</f>
        <v xml:space="preserve"> </v>
      </c>
      <c r="D1167" s="553"/>
      <c r="E1167" s="694" t="str">
        <f>VLOOKUP($B1167,dongia1,DG!$C$5,)</f>
        <v>Đế neo BTCT 400x1200</v>
      </c>
      <c r="F1167" s="555" t="str">
        <f>VLOOKUP($B1167,dongia1,DG!$D$5,)</f>
        <v>cái</v>
      </c>
      <c r="G1167" s="205">
        <v>1</v>
      </c>
      <c r="H1167" s="556"/>
      <c r="I1167" s="556">
        <f t="shared" ca="1" si="594"/>
        <v>0</v>
      </c>
      <c r="J1167" s="556">
        <f t="shared" ca="1" si="594"/>
        <v>0</v>
      </c>
      <c r="K1167" s="556">
        <f t="shared" ca="1" si="594"/>
        <v>0</v>
      </c>
      <c r="L1167" s="556">
        <f t="shared" ca="1" si="594"/>
        <v>0</v>
      </c>
      <c r="M1167" s="556"/>
      <c r="N1167" s="556">
        <f t="shared" ca="1" si="594"/>
        <v>0</v>
      </c>
      <c r="O1167" s="556">
        <f t="shared" si="594"/>
        <v>0</v>
      </c>
      <c r="P1167" s="182">
        <f>VLOOKUP($B1167,dongia1,DG!$F$5,)</f>
        <v>170000</v>
      </c>
      <c r="Q1167" s="182">
        <f>VLOOKUP($B1167,dongia1,DG!$G$5,)</f>
        <v>22255</v>
      </c>
      <c r="R1167" s="554"/>
      <c r="S1167" s="113">
        <f t="shared" si="595"/>
        <v>170000</v>
      </c>
      <c r="T1167" s="113">
        <f t="shared" si="595"/>
        <v>22255</v>
      </c>
      <c r="U1167" s="557">
        <f t="shared" si="595"/>
        <v>0</v>
      </c>
    </row>
    <row r="1168" spans="1:21" s="552" customFormat="1" ht="15" customHeight="1">
      <c r="A1168" s="621"/>
      <c r="B1168" s="622" t="s">
        <v>1019</v>
      </c>
      <c r="C1168" s="558" t="str">
        <f>C1167</f>
        <v xml:space="preserve"> </v>
      </c>
      <c r="D1168" s="553"/>
      <c r="E1168" s="694" t="str">
        <f>VLOOKUP($B1168,dongia1,DG!$C$5,)</f>
        <v>Bitum</v>
      </c>
      <c r="F1168" s="555" t="str">
        <f>VLOOKUP($B1168,dongia1,DG!$D$5,)</f>
        <v>m2</v>
      </c>
      <c r="G1168" s="205">
        <v>1.58</v>
      </c>
      <c r="H1168" s="556"/>
      <c r="I1168" s="556">
        <f t="shared" ca="1" si="594"/>
        <v>0</v>
      </c>
      <c r="J1168" s="556">
        <f t="shared" ca="1" si="594"/>
        <v>0</v>
      </c>
      <c r="K1168" s="556">
        <f t="shared" ca="1" si="594"/>
        <v>0</v>
      </c>
      <c r="L1168" s="556">
        <f t="shared" ca="1" si="594"/>
        <v>0</v>
      </c>
      <c r="M1168" s="556"/>
      <c r="N1168" s="556">
        <f t="shared" ca="1" si="594"/>
        <v>0</v>
      </c>
      <c r="O1168" s="556">
        <f t="shared" si="594"/>
        <v>0</v>
      </c>
      <c r="P1168" s="182">
        <f>VLOOKUP($B1168,dongia1,DG!$F$5,)</f>
        <v>5849</v>
      </c>
      <c r="Q1168" s="182">
        <f>VLOOKUP($B1168,dongia1,DG!$G$5,)</f>
        <v>1083.8</v>
      </c>
      <c r="R1168" s="554"/>
      <c r="S1168" s="113">
        <f t="shared" si="595"/>
        <v>9241.42</v>
      </c>
      <c r="T1168" s="113">
        <f t="shared" si="595"/>
        <v>1712.404</v>
      </c>
      <c r="U1168" s="557">
        <f t="shared" si="595"/>
        <v>0</v>
      </c>
    </row>
    <row r="1169" spans="1:21" s="552" customFormat="1" ht="15" customHeight="1">
      <c r="A1169" s="621"/>
      <c r="B1169" s="622" t="s">
        <v>1645</v>
      </c>
      <c r="C1169" s="558" t="str">
        <f>C1168</f>
        <v xml:space="preserve"> </v>
      </c>
      <c r="D1169" s="553"/>
      <c r="E1169" s="694" t="str">
        <f>VLOOKUP($B1169,dongia1,DG!$C$5,)</f>
        <v>Đào hố móng đất cấp 3 sâu &gt;1m DT&lt;5m2</v>
      </c>
      <c r="F1169" s="555" t="str">
        <f>VLOOKUP($B1169,dongia1,DG!$D$5,)</f>
        <v>m3</v>
      </c>
      <c r="G1169" s="205">
        <v>9.39</v>
      </c>
      <c r="H1169" s="556"/>
      <c r="I1169" s="556">
        <f t="shared" ca="1" si="594"/>
        <v>0</v>
      </c>
      <c r="J1169" s="556">
        <f t="shared" ca="1" si="594"/>
        <v>0</v>
      </c>
      <c r="K1169" s="556">
        <f t="shared" ca="1" si="594"/>
        <v>0</v>
      </c>
      <c r="L1169" s="556">
        <f t="shared" ca="1" si="594"/>
        <v>0</v>
      </c>
      <c r="M1169" s="556"/>
      <c r="N1169" s="556">
        <f t="shared" ca="1" si="594"/>
        <v>0</v>
      </c>
      <c r="O1169" s="556">
        <f t="shared" si="594"/>
        <v>0</v>
      </c>
      <c r="P1169" s="182"/>
      <c r="Q1169" s="182">
        <f>VLOOKUP($B1169,dongia1,DG!$G$5,)</f>
        <v>296500.89999999997</v>
      </c>
      <c r="R1169" s="554"/>
      <c r="S1169" s="113">
        <f t="shared" si="595"/>
        <v>0</v>
      </c>
      <c r="T1169" s="113">
        <f t="shared" si="595"/>
        <v>2784143.4509999999</v>
      </c>
      <c r="U1169" s="557">
        <f t="shared" si="595"/>
        <v>0</v>
      </c>
    </row>
    <row r="1170" spans="1:21" s="552" customFormat="1" ht="15" customHeight="1">
      <c r="A1170" s="621"/>
      <c r="B1170" s="622" t="s">
        <v>501</v>
      </c>
      <c r="C1170" s="558" t="str">
        <f>C1169</f>
        <v xml:space="preserve"> </v>
      </c>
      <c r="D1170" s="553"/>
      <c r="E1170" s="694" t="str">
        <f>VLOOKUP($B1170,dongia1,DG!$C$5,)</f>
        <v>Đắp đất hố móng, đất cấp 3 (độ chặt k = 0.85)</v>
      </c>
      <c r="F1170" s="555" t="str">
        <f>VLOOKUP($B1170,dongia1,DG!$D$5,)</f>
        <v>m3</v>
      </c>
      <c r="G1170" s="205">
        <v>10.7</v>
      </c>
      <c r="H1170" s="556"/>
      <c r="I1170" s="556">
        <f t="shared" ca="1" si="594"/>
        <v>0</v>
      </c>
      <c r="J1170" s="556">
        <f t="shared" ca="1" si="594"/>
        <v>0</v>
      </c>
      <c r="K1170" s="556">
        <f t="shared" ca="1" si="594"/>
        <v>0</v>
      </c>
      <c r="L1170" s="556">
        <f t="shared" ca="1" si="594"/>
        <v>0</v>
      </c>
      <c r="M1170" s="556"/>
      <c r="N1170" s="556">
        <f t="shared" ca="1" si="594"/>
        <v>0</v>
      </c>
      <c r="O1170" s="556">
        <f t="shared" si="594"/>
        <v>0</v>
      </c>
      <c r="P1170" s="182"/>
      <c r="Q1170" s="182">
        <f>VLOOKUP($B1170,dongia1,DG!$G$5,)</f>
        <v>117703.6</v>
      </c>
      <c r="R1170" s="554"/>
      <c r="S1170" s="113">
        <f t="shared" si="595"/>
        <v>0</v>
      </c>
      <c r="T1170" s="113">
        <f t="shared" si="595"/>
        <v>1259428.52</v>
      </c>
      <c r="U1170" s="557">
        <f t="shared" si="595"/>
        <v>0</v>
      </c>
    </row>
    <row r="1171" spans="1:21" s="552" customFormat="1" ht="15" customHeight="1">
      <c r="A1171" s="621" t="s">
        <v>91</v>
      </c>
      <c r="B1171" s="622"/>
      <c r="C1171" s="558" t="str">
        <f>IF(H1171&lt;&gt;0,"x"," ")</f>
        <v xml:space="preserve"> </v>
      </c>
      <c r="D1171" s="553"/>
      <c r="E1171" s="727" t="s">
        <v>3631</v>
      </c>
      <c r="F1171" s="600" t="s">
        <v>2113</v>
      </c>
      <c r="G1171" s="205"/>
      <c r="H1171" s="556"/>
      <c r="I1171" s="556">
        <f ca="1">SUMIF(mongneo3pm,chitiet!$A1171,slmongneo3pm)</f>
        <v>0</v>
      </c>
      <c r="J1171" s="556">
        <f ca="1">SUMIF(mongneoct,chitiet!$A1171,SLMONGNEOCT)</f>
        <v>0</v>
      </c>
      <c r="K1171" s="556">
        <f ca="1">SUMIF(mongneo3p1m,chitiet!$A1171,slmongneo3p1m)</f>
        <v>0</v>
      </c>
      <c r="L1171" s="556">
        <f ca="1">SUMIF(mongneo1pm,chitiet!$A1171,slmongneo1pm)</f>
        <v>0</v>
      </c>
      <c r="M1171" s="556"/>
      <c r="N1171" s="556">
        <f ca="1">SUMIF(mongneoHTDL,chitiet!$A1171,slmongneohtdl)</f>
        <v>0</v>
      </c>
      <c r="O1171" s="556"/>
      <c r="P1171" s="554"/>
      <c r="Q1171" s="554"/>
      <c r="R1171" s="554"/>
      <c r="S1171" s="601">
        <f>SUM(S1172:S1176)</f>
        <v>508241.42</v>
      </c>
      <c r="T1171" s="601">
        <f>SUM(T1172:T1176)</f>
        <v>3557636.2549999999</v>
      </c>
      <c r="U1171" s="602">
        <f>SUM(U1172:U1176)</f>
        <v>0</v>
      </c>
    </row>
    <row r="1172" spans="1:21" s="552" customFormat="1" ht="15" customHeight="1">
      <c r="A1172" s="621"/>
      <c r="B1172" s="622" t="s">
        <v>536</v>
      </c>
      <c r="C1172" s="558" t="str">
        <f>C1171</f>
        <v xml:space="preserve"> </v>
      </c>
      <c r="D1172" s="553"/>
      <c r="E1172" s="694" t="str">
        <f>VLOOKUP($B1172,dongia1,DG!$C$5,)</f>
        <v>Ty neo Þ22x3000</v>
      </c>
      <c r="F1172" s="555" t="str">
        <f>VLOOKUP($B1172,dongia1,DG!$D$5,)</f>
        <v>cái</v>
      </c>
      <c r="G1172" s="205">
        <v>1</v>
      </c>
      <c r="H1172" s="556"/>
      <c r="I1172" s="556">
        <f t="shared" ref="I1172:O1176" ca="1" si="596">I$1171*$G1172</f>
        <v>0</v>
      </c>
      <c r="J1172" s="556">
        <f t="shared" ca="1" si="596"/>
        <v>0</v>
      </c>
      <c r="K1172" s="556">
        <f t="shared" ca="1" si="596"/>
        <v>0</v>
      </c>
      <c r="L1172" s="556">
        <f t="shared" ca="1" si="596"/>
        <v>0</v>
      </c>
      <c r="M1172" s="556"/>
      <c r="N1172" s="556">
        <f t="shared" ca="1" si="596"/>
        <v>0</v>
      </c>
      <c r="O1172" s="556">
        <f t="shared" si="596"/>
        <v>0</v>
      </c>
      <c r="P1172" s="182">
        <f>VLOOKUP($B1172,dongia1,DG!$F$5,)</f>
        <v>329000</v>
      </c>
      <c r="Q1172" s="182"/>
      <c r="R1172" s="554"/>
      <c r="S1172" s="113">
        <f t="shared" ref="S1172:U1176" si="597">$G1172*P1172</f>
        <v>329000</v>
      </c>
      <c r="T1172" s="113">
        <f t="shared" si="597"/>
        <v>0</v>
      </c>
      <c r="U1172" s="557">
        <f t="shared" si="597"/>
        <v>0</v>
      </c>
    </row>
    <row r="1173" spans="1:21" s="552" customFormat="1" ht="15" customHeight="1">
      <c r="A1173" s="621"/>
      <c r="B1173" s="622" t="s">
        <v>77</v>
      </c>
      <c r="C1173" s="558" t="str">
        <f>C1172</f>
        <v xml:space="preserve"> </v>
      </c>
      <c r="D1173" s="553"/>
      <c r="E1173" s="694" t="str">
        <f>VLOOKUP($B1173,dongia1,DG!$C$5,)</f>
        <v>Đế neo BTCT 400x1200</v>
      </c>
      <c r="F1173" s="555" t="str">
        <f>VLOOKUP($B1173,dongia1,DG!$D$5,)</f>
        <v>cái</v>
      </c>
      <c r="G1173" s="205">
        <v>1</v>
      </c>
      <c r="H1173" s="556"/>
      <c r="I1173" s="556">
        <f t="shared" ca="1" si="596"/>
        <v>0</v>
      </c>
      <c r="J1173" s="556">
        <f t="shared" ca="1" si="596"/>
        <v>0</v>
      </c>
      <c r="K1173" s="556">
        <f t="shared" ca="1" si="596"/>
        <v>0</v>
      </c>
      <c r="L1173" s="556">
        <f t="shared" ca="1" si="596"/>
        <v>0</v>
      </c>
      <c r="M1173" s="556"/>
      <c r="N1173" s="556">
        <f t="shared" ca="1" si="596"/>
        <v>0</v>
      </c>
      <c r="O1173" s="556">
        <f t="shared" si="596"/>
        <v>0</v>
      </c>
      <c r="P1173" s="182">
        <f>VLOOKUP($B1173,dongia1,DG!$F$5,)</f>
        <v>170000</v>
      </c>
      <c r="Q1173" s="182">
        <f>VLOOKUP($B1173,dongia1,DG!$G$5,)</f>
        <v>22255</v>
      </c>
      <c r="R1173" s="554"/>
      <c r="S1173" s="113">
        <f t="shared" si="597"/>
        <v>170000</v>
      </c>
      <c r="T1173" s="113">
        <f t="shared" si="597"/>
        <v>22255</v>
      </c>
      <c r="U1173" s="557">
        <f t="shared" si="597"/>
        <v>0</v>
      </c>
    </row>
    <row r="1174" spans="1:21" s="552" customFormat="1" ht="15" customHeight="1">
      <c r="A1174" s="621"/>
      <c r="B1174" s="622" t="s">
        <v>1019</v>
      </c>
      <c r="C1174" s="558" t="str">
        <f>C1173</f>
        <v xml:space="preserve"> </v>
      </c>
      <c r="D1174" s="553"/>
      <c r="E1174" s="694" t="str">
        <f>VLOOKUP($B1174,dongia1,DG!$C$5,)</f>
        <v>Bitum</v>
      </c>
      <c r="F1174" s="555" t="str">
        <f>VLOOKUP($B1174,dongia1,DG!$D$5,)</f>
        <v>m2</v>
      </c>
      <c r="G1174" s="205">
        <v>1.58</v>
      </c>
      <c r="H1174" s="556"/>
      <c r="I1174" s="556">
        <f t="shared" ca="1" si="596"/>
        <v>0</v>
      </c>
      <c r="J1174" s="556">
        <f t="shared" ca="1" si="596"/>
        <v>0</v>
      </c>
      <c r="K1174" s="556">
        <f t="shared" ca="1" si="596"/>
        <v>0</v>
      </c>
      <c r="L1174" s="556">
        <f t="shared" ca="1" si="596"/>
        <v>0</v>
      </c>
      <c r="M1174" s="556"/>
      <c r="N1174" s="556">
        <f t="shared" ca="1" si="596"/>
        <v>0</v>
      </c>
      <c r="O1174" s="556">
        <f t="shared" si="596"/>
        <v>0</v>
      </c>
      <c r="P1174" s="182">
        <f>VLOOKUP($B1174,dongia1,DG!$F$5,)</f>
        <v>5849</v>
      </c>
      <c r="Q1174" s="182">
        <f>VLOOKUP($B1174,dongia1,DG!$G$5,)</f>
        <v>1083.8</v>
      </c>
      <c r="R1174" s="554"/>
      <c r="S1174" s="113">
        <f t="shared" si="597"/>
        <v>9241.42</v>
      </c>
      <c r="T1174" s="113">
        <f t="shared" si="597"/>
        <v>1712.404</v>
      </c>
      <c r="U1174" s="557">
        <f t="shared" si="597"/>
        <v>0</v>
      </c>
    </row>
    <row r="1175" spans="1:21" s="552" customFormat="1" ht="15" customHeight="1">
      <c r="A1175" s="621"/>
      <c r="B1175" s="622" t="s">
        <v>1645</v>
      </c>
      <c r="C1175" s="558" t="str">
        <f>C1174</f>
        <v xml:space="preserve"> </v>
      </c>
      <c r="D1175" s="553"/>
      <c r="E1175" s="694" t="str">
        <f>VLOOKUP($B1175,dongia1,DG!$C$5,)</f>
        <v>Đào hố móng đất cấp 3 sâu &gt;1m DT&lt;5m2</v>
      </c>
      <c r="F1175" s="555" t="str">
        <f>VLOOKUP($B1175,dongia1,DG!$D$5,)</f>
        <v>m3</v>
      </c>
      <c r="G1175" s="205">
        <v>8.23</v>
      </c>
      <c r="H1175" s="556"/>
      <c r="I1175" s="556">
        <f t="shared" ca="1" si="596"/>
        <v>0</v>
      </c>
      <c r="J1175" s="556">
        <f t="shared" ca="1" si="596"/>
        <v>0</v>
      </c>
      <c r="K1175" s="556">
        <f t="shared" ca="1" si="596"/>
        <v>0</v>
      </c>
      <c r="L1175" s="556">
        <f t="shared" ca="1" si="596"/>
        <v>0</v>
      </c>
      <c r="M1175" s="556"/>
      <c r="N1175" s="556">
        <f t="shared" ca="1" si="596"/>
        <v>0</v>
      </c>
      <c r="O1175" s="556">
        <f t="shared" si="596"/>
        <v>0</v>
      </c>
      <c r="P1175" s="182"/>
      <c r="Q1175" s="182">
        <f>VLOOKUP($B1175,dongia1,DG!$G$5,)</f>
        <v>296500.89999999997</v>
      </c>
      <c r="R1175" s="554"/>
      <c r="S1175" s="113">
        <f t="shared" si="597"/>
        <v>0</v>
      </c>
      <c r="T1175" s="113">
        <f t="shared" si="597"/>
        <v>2440202.4069999997</v>
      </c>
      <c r="U1175" s="557">
        <f t="shared" si="597"/>
        <v>0</v>
      </c>
    </row>
    <row r="1176" spans="1:21" s="552" customFormat="1" ht="15" customHeight="1">
      <c r="A1176" s="621"/>
      <c r="B1176" s="622" t="s">
        <v>501</v>
      </c>
      <c r="C1176" s="558" t="str">
        <f>C1175</f>
        <v xml:space="preserve"> </v>
      </c>
      <c r="D1176" s="553"/>
      <c r="E1176" s="694" t="str">
        <f>VLOOKUP($B1176,dongia1,DG!$C$5,)</f>
        <v>Đắp đất hố móng, đất cấp 3 (độ chặt k = 0.85)</v>
      </c>
      <c r="F1176" s="555" t="str">
        <f>VLOOKUP($B1176,dongia1,DG!$D$5,)</f>
        <v>m3</v>
      </c>
      <c r="G1176" s="205">
        <v>9.2899999999999991</v>
      </c>
      <c r="H1176" s="556"/>
      <c r="I1176" s="556">
        <f t="shared" ca="1" si="596"/>
        <v>0</v>
      </c>
      <c r="J1176" s="556">
        <f t="shared" ca="1" si="596"/>
        <v>0</v>
      </c>
      <c r="K1176" s="556">
        <f t="shared" ca="1" si="596"/>
        <v>0</v>
      </c>
      <c r="L1176" s="556">
        <f t="shared" ca="1" si="596"/>
        <v>0</v>
      </c>
      <c r="M1176" s="556"/>
      <c r="N1176" s="556">
        <f t="shared" ca="1" si="596"/>
        <v>0</v>
      </c>
      <c r="O1176" s="556">
        <f t="shared" si="596"/>
        <v>0</v>
      </c>
      <c r="P1176" s="182"/>
      <c r="Q1176" s="182">
        <f>VLOOKUP($B1176,dongia1,DG!$G$5,)</f>
        <v>117703.6</v>
      </c>
      <c r="R1176" s="554"/>
      <c r="S1176" s="113">
        <f t="shared" si="597"/>
        <v>0</v>
      </c>
      <c r="T1176" s="113">
        <f t="shared" si="597"/>
        <v>1093466.4439999999</v>
      </c>
      <c r="U1176" s="557">
        <f t="shared" si="597"/>
        <v>0</v>
      </c>
    </row>
    <row r="1177" spans="1:21" s="552" customFormat="1" ht="15" customHeight="1">
      <c r="A1177" s="432" t="s">
        <v>1254</v>
      </c>
      <c r="B1177" s="622"/>
      <c r="C1177" s="558" t="str">
        <f>IF(H1177&lt;&gt;0,"x"," ")</f>
        <v xml:space="preserve"> </v>
      </c>
      <c r="D1177" s="553"/>
      <c r="E1177" s="727" t="s">
        <v>3632</v>
      </c>
      <c r="F1177" s="600" t="s">
        <v>2113</v>
      </c>
      <c r="G1177" s="205"/>
      <c r="H1177" s="556"/>
      <c r="I1177" s="556">
        <f ca="1">SUMIF(mongneo3pm,chitiet!$A1177,slmongneo3pm)</f>
        <v>0</v>
      </c>
      <c r="J1177" s="556">
        <f ca="1">SUMIF(mongneoct,chitiet!$A1177,SLMONGNEOCT)</f>
        <v>0</v>
      </c>
      <c r="K1177" s="556">
        <f ca="1">SUMIF(mongneo3p1m,chitiet!$A1177,slmongneo3p1m)</f>
        <v>0</v>
      </c>
      <c r="L1177" s="556">
        <f ca="1">SUMIF(mongneo1pm,chitiet!$A1177,slmongneo1pm)</f>
        <v>0</v>
      </c>
      <c r="M1177" s="556"/>
      <c r="N1177" s="556">
        <f ca="1">SUMIF(mongneoHTDL,chitiet!$A1177,slmongneohtdl)</f>
        <v>0</v>
      </c>
      <c r="O1177" s="556"/>
      <c r="P1177" s="554"/>
      <c r="Q1177" s="554"/>
      <c r="R1177" s="554"/>
      <c r="S1177" s="601">
        <f>SUM(S1178:S1182)</f>
        <v>754398.3</v>
      </c>
      <c r="T1177" s="601">
        <f>SUM(T1178:T1182)</f>
        <v>4570424.93</v>
      </c>
      <c r="U1177" s="602">
        <f>SUM(U1178:U1182)</f>
        <v>0</v>
      </c>
    </row>
    <row r="1178" spans="1:21" s="552" customFormat="1" ht="15" customHeight="1">
      <c r="A1178" s="621"/>
      <c r="B1178" s="622" t="s">
        <v>1009</v>
      </c>
      <c r="C1178" s="558" t="str">
        <f>C1177</f>
        <v xml:space="preserve"> </v>
      </c>
      <c r="D1178" s="553"/>
      <c r="E1178" s="694" t="str">
        <f>VLOOKUP($B1178,dongia1,DG!$C$5,)</f>
        <v>Ty neo Þ22x3700</v>
      </c>
      <c r="F1178" s="555" t="str">
        <f>VLOOKUP($B1178,dongia1,DG!$D$5,)</f>
        <v>cái</v>
      </c>
      <c r="G1178" s="205">
        <v>1</v>
      </c>
      <c r="H1178" s="556"/>
      <c r="I1178" s="556">
        <f t="shared" ref="I1178:O1182" ca="1" si="598">I$1177*$G1178</f>
        <v>0</v>
      </c>
      <c r="J1178" s="556">
        <f t="shared" ca="1" si="598"/>
        <v>0</v>
      </c>
      <c r="K1178" s="556">
        <f t="shared" ca="1" si="598"/>
        <v>0</v>
      </c>
      <c r="L1178" s="556">
        <f t="shared" ca="1" si="598"/>
        <v>0</v>
      </c>
      <c r="M1178" s="556"/>
      <c r="N1178" s="556">
        <f t="shared" ca="1" si="598"/>
        <v>0</v>
      </c>
      <c r="O1178" s="556">
        <f t="shared" si="598"/>
        <v>0</v>
      </c>
      <c r="P1178" s="182">
        <f>VLOOKUP($B1178,dongia1,DG!$F$5,)</f>
        <v>399000</v>
      </c>
      <c r="Q1178" s="182"/>
      <c r="R1178" s="554"/>
      <c r="S1178" s="113">
        <f t="shared" ref="S1178:U1182" si="599">$G1178*P1178</f>
        <v>399000</v>
      </c>
      <c r="T1178" s="113">
        <f t="shared" si="599"/>
        <v>0</v>
      </c>
      <c r="U1178" s="557">
        <f t="shared" si="599"/>
        <v>0</v>
      </c>
    </row>
    <row r="1179" spans="1:21" s="552" customFormat="1" ht="15" customHeight="1">
      <c r="A1179" s="621"/>
      <c r="B1179" s="622" t="s">
        <v>1530</v>
      </c>
      <c r="C1179" s="558" t="str">
        <f>C1178</f>
        <v xml:space="preserve"> </v>
      </c>
      <c r="D1179" s="553"/>
      <c r="E1179" s="694" t="str">
        <f>VLOOKUP($B1179,dongia1,DG!$C$5,)</f>
        <v>Đế neo BTCT 400x1500</v>
      </c>
      <c r="F1179" s="555" t="str">
        <f>VLOOKUP($B1179,dongia1,DG!$D$5,)</f>
        <v>cái</v>
      </c>
      <c r="G1179" s="205">
        <v>1</v>
      </c>
      <c r="H1179" s="556"/>
      <c r="I1179" s="556">
        <f t="shared" ca="1" si="598"/>
        <v>0</v>
      </c>
      <c r="J1179" s="556">
        <f t="shared" ca="1" si="598"/>
        <v>0</v>
      </c>
      <c r="K1179" s="556">
        <f t="shared" ca="1" si="598"/>
        <v>0</v>
      </c>
      <c r="L1179" s="556">
        <f t="shared" ca="1" si="598"/>
        <v>0</v>
      </c>
      <c r="M1179" s="556"/>
      <c r="N1179" s="556">
        <f t="shared" ca="1" si="598"/>
        <v>0</v>
      </c>
      <c r="O1179" s="556">
        <f t="shared" si="598"/>
        <v>0</v>
      </c>
      <c r="P1179" s="182">
        <f>VLOOKUP($B1179,dongia1,DG!$F$5,)</f>
        <v>345455</v>
      </c>
      <c r="Q1179" s="182">
        <f>VLOOKUP($B1179,dongia1,DG!$G$5,)</f>
        <v>48765</v>
      </c>
      <c r="R1179" s="554"/>
      <c r="S1179" s="113">
        <f t="shared" si="599"/>
        <v>345455</v>
      </c>
      <c r="T1179" s="113">
        <f t="shared" si="599"/>
        <v>48765</v>
      </c>
      <c r="U1179" s="557">
        <f t="shared" si="599"/>
        <v>0</v>
      </c>
    </row>
    <row r="1180" spans="1:21" s="552" customFormat="1" ht="15" customHeight="1">
      <c r="A1180" s="621"/>
      <c r="B1180" s="622" t="s">
        <v>1019</v>
      </c>
      <c r="C1180" s="558" t="str">
        <f>C1179</f>
        <v xml:space="preserve"> </v>
      </c>
      <c r="D1180" s="553"/>
      <c r="E1180" s="694" t="str">
        <f>VLOOKUP($B1180,dongia1,DG!$C$5,)</f>
        <v>Bitum</v>
      </c>
      <c r="F1180" s="555" t="str">
        <f>VLOOKUP($B1180,dongia1,DG!$D$5,)</f>
        <v>m2</v>
      </c>
      <c r="G1180" s="205">
        <v>1.7</v>
      </c>
      <c r="H1180" s="556"/>
      <c r="I1180" s="556">
        <f t="shared" ca="1" si="598"/>
        <v>0</v>
      </c>
      <c r="J1180" s="556">
        <f t="shared" ca="1" si="598"/>
        <v>0</v>
      </c>
      <c r="K1180" s="556">
        <f t="shared" ca="1" si="598"/>
        <v>0</v>
      </c>
      <c r="L1180" s="556">
        <f t="shared" ca="1" si="598"/>
        <v>0</v>
      </c>
      <c r="M1180" s="556"/>
      <c r="N1180" s="556">
        <f t="shared" ca="1" si="598"/>
        <v>0</v>
      </c>
      <c r="O1180" s="556">
        <f t="shared" si="598"/>
        <v>0</v>
      </c>
      <c r="P1180" s="182">
        <f>VLOOKUP($B1180,dongia1,DG!$F$5,)</f>
        <v>5849</v>
      </c>
      <c r="Q1180" s="182">
        <f>VLOOKUP($B1180,dongia1,DG!$G$5,)</f>
        <v>1083.8</v>
      </c>
      <c r="R1180" s="554"/>
      <c r="S1180" s="113">
        <f t="shared" si="599"/>
        <v>9943.2999999999993</v>
      </c>
      <c r="T1180" s="113">
        <f t="shared" si="599"/>
        <v>1842.4599999999998</v>
      </c>
      <c r="U1180" s="557">
        <f t="shared" si="599"/>
        <v>0</v>
      </c>
    </row>
    <row r="1181" spans="1:21" s="552" customFormat="1" ht="15" customHeight="1">
      <c r="A1181" s="621"/>
      <c r="B1181" s="622" t="s">
        <v>1645</v>
      </c>
      <c r="C1181" s="558" t="str">
        <f>C1180</f>
        <v xml:space="preserve"> </v>
      </c>
      <c r="D1181" s="553"/>
      <c r="E1181" s="694" t="str">
        <f>VLOOKUP($B1181,dongia1,DG!$C$5,)</f>
        <v>Đào hố móng đất cấp 3 sâu &gt;1m DT&lt;5m2</v>
      </c>
      <c r="F1181" s="555" t="str">
        <f>VLOOKUP($B1181,dongia1,DG!$D$5,)</f>
        <v>m3</v>
      </c>
      <c r="G1181" s="205">
        <v>10.5</v>
      </c>
      <c r="H1181" s="556"/>
      <c r="I1181" s="556">
        <f t="shared" ca="1" si="598"/>
        <v>0</v>
      </c>
      <c r="J1181" s="556">
        <f t="shared" ca="1" si="598"/>
        <v>0</v>
      </c>
      <c r="K1181" s="556">
        <f t="shared" ca="1" si="598"/>
        <v>0</v>
      </c>
      <c r="L1181" s="556">
        <f t="shared" ca="1" si="598"/>
        <v>0</v>
      </c>
      <c r="M1181" s="556"/>
      <c r="N1181" s="556">
        <f t="shared" ca="1" si="598"/>
        <v>0</v>
      </c>
      <c r="O1181" s="556">
        <f t="shared" si="598"/>
        <v>0</v>
      </c>
      <c r="P1181" s="182"/>
      <c r="Q1181" s="182">
        <f>VLOOKUP($B1181,dongia1,DG!$G$5,)</f>
        <v>296500.89999999997</v>
      </c>
      <c r="R1181" s="554"/>
      <c r="S1181" s="113">
        <f t="shared" si="599"/>
        <v>0</v>
      </c>
      <c r="T1181" s="113">
        <f t="shared" si="599"/>
        <v>3113259.4499999997</v>
      </c>
      <c r="U1181" s="557">
        <f t="shared" si="599"/>
        <v>0</v>
      </c>
    </row>
    <row r="1182" spans="1:21" s="552" customFormat="1" ht="15" customHeight="1">
      <c r="A1182" s="621"/>
      <c r="B1182" s="622" t="s">
        <v>501</v>
      </c>
      <c r="C1182" s="558" t="str">
        <f>C1181</f>
        <v xml:space="preserve"> </v>
      </c>
      <c r="D1182" s="553"/>
      <c r="E1182" s="694" t="str">
        <f>VLOOKUP($B1182,dongia1,DG!$C$5,)</f>
        <v>Đắp đất hố móng, đất cấp 3 (độ chặt k = 0.85)</v>
      </c>
      <c r="F1182" s="555" t="str">
        <f>VLOOKUP($B1182,dongia1,DG!$D$5,)</f>
        <v>m3</v>
      </c>
      <c r="G1182" s="205">
        <v>11.95</v>
      </c>
      <c r="H1182" s="556"/>
      <c r="I1182" s="556">
        <f t="shared" ca="1" si="598"/>
        <v>0</v>
      </c>
      <c r="J1182" s="556">
        <f t="shared" ca="1" si="598"/>
        <v>0</v>
      </c>
      <c r="K1182" s="556">
        <f t="shared" ca="1" si="598"/>
        <v>0</v>
      </c>
      <c r="L1182" s="556">
        <f t="shared" ca="1" si="598"/>
        <v>0</v>
      </c>
      <c r="M1182" s="556"/>
      <c r="N1182" s="556">
        <f t="shared" ca="1" si="598"/>
        <v>0</v>
      </c>
      <c r="O1182" s="556">
        <f t="shared" si="598"/>
        <v>0</v>
      </c>
      <c r="P1182" s="182"/>
      <c r="Q1182" s="182">
        <f>VLOOKUP($B1182,dongia1,DG!$G$5,)</f>
        <v>117703.6</v>
      </c>
      <c r="R1182" s="554"/>
      <c r="S1182" s="113">
        <f t="shared" si="599"/>
        <v>0</v>
      </c>
      <c r="T1182" s="113">
        <f t="shared" si="599"/>
        <v>1406558.02</v>
      </c>
      <c r="U1182" s="557">
        <f t="shared" si="599"/>
        <v>0</v>
      </c>
    </row>
    <row r="1183" spans="1:21" s="552" customFormat="1" ht="15" customHeight="1">
      <c r="A1183" s="621" t="s">
        <v>92</v>
      </c>
      <c r="B1183" s="622"/>
      <c r="C1183" s="558" t="str">
        <f>IF(H1183&lt;&gt;0,"x"," ")</f>
        <v xml:space="preserve"> </v>
      </c>
      <c r="D1183" s="553"/>
      <c r="E1183" s="727" t="s">
        <v>3633</v>
      </c>
      <c r="F1183" s="600" t="s">
        <v>2113</v>
      </c>
      <c r="G1183" s="205"/>
      <c r="H1183" s="556"/>
      <c r="I1183" s="556">
        <f ca="1">SUMIF(mongneo3pm,chitiet!$A1183,slmongneo3pm)</f>
        <v>0</v>
      </c>
      <c r="J1183" s="556">
        <f ca="1">SUMIF(mongneoct,chitiet!$A1183,SLMONGNEOCT)</f>
        <v>0</v>
      </c>
      <c r="K1183" s="556">
        <f ca="1">SUMIF(mongneo3p1m,chitiet!$A1183,slmongneo3p1m)</f>
        <v>0</v>
      </c>
      <c r="L1183" s="556">
        <f ca="1">SUMIF(mongneo1pm,chitiet!$A1183,slmongneo1pm)</f>
        <v>0</v>
      </c>
      <c r="M1183" s="556"/>
      <c r="N1183" s="556">
        <f ca="1">SUMIF(mongneoHTDL,chitiet!$A1183,slmongneohtdl)</f>
        <v>0</v>
      </c>
      <c r="O1183" s="556"/>
      <c r="P1183" s="554"/>
      <c r="Q1183" s="554"/>
      <c r="R1183" s="554"/>
      <c r="S1183" s="601">
        <f>SUM(S1184:S1188)</f>
        <v>684398.3</v>
      </c>
      <c r="T1183" s="601">
        <f>SUM(T1184:T1188)</f>
        <v>3950922.9479999994</v>
      </c>
      <c r="U1183" s="602">
        <f>SUM(U1184:U1188)</f>
        <v>0</v>
      </c>
    </row>
    <row r="1184" spans="1:21" s="552" customFormat="1" ht="15" customHeight="1">
      <c r="A1184" s="621"/>
      <c r="B1184" s="622" t="s">
        <v>536</v>
      </c>
      <c r="C1184" s="558" t="str">
        <f>C1183</f>
        <v xml:space="preserve"> </v>
      </c>
      <c r="D1184" s="553"/>
      <c r="E1184" s="694" t="str">
        <f>VLOOKUP($B1184,dongia1,DG!$C$5,)</f>
        <v>Ty neo Þ22x3000</v>
      </c>
      <c r="F1184" s="555" t="str">
        <f>VLOOKUP($B1184,dongia1,DG!$D$5,)</f>
        <v>cái</v>
      </c>
      <c r="G1184" s="205">
        <v>1</v>
      </c>
      <c r="H1184" s="556"/>
      <c r="I1184" s="556">
        <f t="shared" ref="I1184:O1188" ca="1" si="600">I$1183*$G1184</f>
        <v>0</v>
      </c>
      <c r="J1184" s="556">
        <f t="shared" ca="1" si="600"/>
        <v>0</v>
      </c>
      <c r="K1184" s="556">
        <f t="shared" ca="1" si="600"/>
        <v>0</v>
      </c>
      <c r="L1184" s="556">
        <f t="shared" ca="1" si="600"/>
        <v>0</v>
      </c>
      <c r="M1184" s="556"/>
      <c r="N1184" s="556">
        <f t="shared" ca="1" si="600"/>
        <v>0</v>
      </c>
      <c r="O1184" s="556">
        <f t="shared" si="600"/>
        <v>0</v>
      </c>
      <c r="P1184" s="182">
        <f>VLOOKUP($B1184,dongia1,DG!$F$5,)</f>
        <v>329000</v>
      </c>
      <c r="Q1184" s="182"/>
      <c r="R1184" s="554"/>
      <c r="S1184" s="113">
        <f t="shared" ref="S1184:U1188" si="601">$G1184*P1184</f>
        <v>329000</v>
      </c>
      <c r="T1184" s="113">
        <f t="shared" si="601"/>
        <v>0</v>
      </c>
      <c r="U1184" s="557">
        <f t="shared" si="601"/>
        <v>0</v>
      </c>
    </row>
    <row r="1185" spans="1:21" s="552" customFormat="1" ht="15" customHeight="1">
      <c r="A1185" s="621"/>
      <c r="B1185" s="622" t="s">
        <v>1530</v>
      </c>
      <c r="C1185" s="558" t="str">
        <f>C1184</f>
        <v xml:space="preserve"> </v>
      </c>
      <c r="D1185" s="553"/>
      <c r="E1185" s="694" t="str">
        <f>VLOOKUP($B1185,dongia1,DG!$C$5,)</f>
        <v>Đế neo BTCT 400x1500</v>
      </c>
      <c r="F1185" s="555" t="str">
        <f>VLOOKUP($B1185,dongia1,DG!$D$5,)</f>
        <v>cái</v>
      </c>
      <c r="G1185" s="205">
        <v>1</v>
      </c>
      <c r="H1185" s="556"/>
      <c r="I1185" s="556">
        <f t="shared" ca="1" si="600"/>
        <v>0</v>
      </c>
      <c r="J1185" s="556">
        <f t="shared" ca="1" si="600"/>
        <v>0</v>
      </c>
      <c r="K1185" s="556">
        <f t="shared" ca="1" si="600"/>
        <v>0</v>
      </c>
      <c r="L1185" s="556">
        <f t="shared" ca="1" si="600"/>
        <v>0</v>
      </c>
      <c r="M1185" s="556"/>
      <c r="N1185" s="556">
        <f t="shared" ca="1" si="600"/>
        <v>0</v>
      </c>
      <c r="O1185" s="556">
        <f t="shared" si="600"/>
        <v>0</v>
      </c>
      <c r="P1185" s="182">
        <f>VLOOKUP($B1185,dongia1,DG!$F$5,)</f>
        <v>345455</v>
      </c>
      <c r="Q1185" s="182">
        <f>VLOOKUP($B1185,dongia1,DG!$G$5,)</f>
        <v>48765</v>
      </c>
      <c r="R1185" s="554"/>
      <c r="S1185" s="113">
        <f t="shared" si="601"/>
        <v>345455</v>
      </c>
      <c r="T1185" s="113">
        <f t="shared" si="601"/>
        <v>48765</v>
      </c>
      <c r="U1185" s="557">
        <f t="shared" si="601"/>
        <v>0</v>
      </c>
    </row>
    <row r="1186" spans="1:21" s="552" customFormat="1" ht="15" customHeight="1">
      <c r="A1186" s="621"/>
      <c r="B1186" s="622" t="s">
        <v>1019</v>
      </c>
      <c r="C1186" s="558" t="str">
        <f>C1185</f>
        <v xml:space="preserve"> </v>
      </c>
      <c r="D1186" s="553"/>
      <c r="E1186" s="694" t="str">
        <f>VLOOKUP($B1186,dongia1,DG!$C$5,)</f>
        <v>Bitum</v>
      </c>
      <c r="F1186" s="555" t="str">
        <f>VLOOKUP($B1186,dongia1,DG!$D$5,)</f>
        <v>m2</v>
      </c>
      <c r="G1186" s="205">
        <v>1.7</v>
      </c>
      <c r="H1186" s="556"/>
      <c r="I1186" s="556">
        <f t="shared" ca="1" si="600"/>
        <v>0</v>
      </c>
      <c r="J1186" s="556">
        <f t="shared" ca="1" si="600"/>
        <v>0</v>
      </c>
      <c r="K1186" s="556">
        <f t="shared" ca="1" si="600"/>
        <v>0</v>
      </c>
      <c r="L1186" s="556">
        <f t="shared" ca="1" si="600"/>
        <v>0</v>
      </c>
      <c r="M1186" s="556"/>
      <c r="N1186" s="556">
        <f t="shared" ca="1" si="600"/>
        <v>0</v>
      </c>
      <c r="O1186" s="556">
        <f t="shared" si="600"/>
        <v>0</v>
      </c>
      <c r="P1186" s="182">
        <f>VLOOKUP($B1186,dongia1,DG!$F$5,)</f>
        <v>5849</v>
      </c>
      <c r="Q1186" s="182">
        <f>VLOOKUP($B1186,dongia1,DG!$G$5,)</f>
        <v>1083.8</v>
      </c>
      <c r="R1186" s="554"/>
      <c r="S1186" s="113">
        <f t="shared" si="601"/>
        <v>9943.2999999999993</v>
      </c>
      <c r="T1186" s="113">
        <f t="shared" si="601"/>
        <v>1842.4599999999998</v>
      </c>
      <c r="U1186" s="557">
        <f t="shared" si="601"/>
        <v>0</v>
      </c>
    </row>
    <row r="1187" spans="1:21" s="552" customFormat="1" ht="15" customHeight="1">
      <c r="A1187" s="621"/>
      <c r="B1187" s="622" t="s">
        <v>1645</v>
      </c>
      <c r="C1187" s="558" t="str">
        <f>C1186</f>
        <v xml:space="preserve"> </v>
      </c>
      <c r="D1187" s="553"/>
      <c r="E1187" s="694" t="str">
        <f>VLOOKUP($B1187,dongia1,DG!$C$5,)</f>
        <v>Đào hố móng đất cấp 3 sâu &gt;1m DT&lt;5m2</v>
      </c>
      <c r="F1187" s="555" t="str">
        <f>VLOOKUP($B1187,dongia1,DG!$D$5,)</f>
        <v>m3</v>
      </c>
      <c r="G1187" s="205">
        <v>9.2799999999999994</v>
      </c>
      <c r="H1187" s="556"/>
      <c r="I1187" s="556">
        <f t="shared" ca="1" si="600"/>
        <v>0</v>
      </c>
      <c r="J1187" s="556">
        <f t="shared" ca="1" si="600"/>
        <v>0</v>
      </c>
      <c r="K1187" s="556">
        <f t="shared" ca="1" si="600"/>
        <v>0</v>
      </c>
      <c r="L1187" s="556">
        <f t="shared" ca="1" si="600"/>
        <v>0</v>
      </c>
      <c r="M1187" s="556"/>
      <c r="N1187" s="556">
        <f t="shared" ca="1" si="600"/>
        <v>0</v>
      </c>
      <c r="O1187" s="556">
        <f t="shared" si="600"/>
        <v>0</v>
      </c>
      <c r="P1187" s="182"/>
      <c r="Q1187" s="182">
        <f>VLOOKUP($B1187,dongia1,DG!$G$5,)</f>
        <v>296500.89999999997</v>
      </c>
      <c r="R1187" s="554"/>
      <c r="S1187" s="113">
        <f t="shared" si="601"/>
        <v>0</v>
      </c>
      <c r="T1187" s="113">
        <f t="shared" si="601"/>
        <v>2751528.3519999995</v>
      </c>
      <c r="U1187" s="557">
        <f t="shared" si="601"/>
        <v>0</v>
      </c>
    </row>
    <row r="1188" spans="1:21" s="552" customFormat="1" ht="15" customHeight="1">
      <c r="A1188" s="621"/>
      <c r="B1188" s="622" t="s">
        <v>501</v>
      </c>
      <c r="C1188" s="558" t="str">
        <f>C1187</f>
        <v xml:space="preserve"> </v>
      </c>
      <c r="D1188" s="553"/>
      <c r="E1188" s="694" t="str">
        <f>VLOOKUP($B1188,dongia1,DG!$C$5,)</f>
        <v>Đắp đất hố móng, đất cấp 3 (độ chặt k = 0.85)</v>
      </c>
      <c r="F1188" s="555" t="str">
        <f>VLOOKUP($B1188,dongia1,DG!$D$5,)</f>
        <v>m3</v>
      </c>
      <c r="G1188" s="205">
        <v>9.76</v>
      </c>
      <c r="H1188" s="556"/>
      <c r="I1188" s="556">
        <f t="shared" ca="1" si="600"/>
        <v>0</v>
      </c>
      <c r="J1188" s="556">
        <f t="shared" ca="1" si="600"/>
        <v>0</v>
      </c>
      <c r="K1188" s="556">
        <f t="shared" ca="1" si="600"/>
        <v>0</v>
      </c>
      <c r="L1188" s="556">
        <f t="shared" ca="1" si="600"/>
        <v>0</v>
      </c>
      <c r="M1188" s="556"/>
      <c r="N1188" s="556">
        <f t="shared" ca="1" si="600"/>
        <v>0</v>
      </c>
      <c r="O1188" s="556">
        <f t="shared" si="600"/>
        <v>0</v>
      </c>
      <c r="P1188" s="182"/>
      <c r="Q1188" s="182">
        <f>VLOOKUP($B1188,dongia1,DG!$G$5,)</f>
        <v>117703.6</v>
      </c>
      <c r="R1188" s="554"/>
      <c r="S1188" s="113">
        <f t="shared" si="601"/>
        <v>0</v>
      </c>
      <c r="T1188" s="113">
        <f t="shared" si="601"/>
        <v>1148787.1359999999</v>
      </c>
      <c r="U1188" s="557">
        <f t="shared" si="601"/>
        <v>0</v>
      </c>
    </row>
    <row r="1189" spans="1:21" s="552" customFormat="1" ht="15" customHeight="1">
      <c r="A1189" s="638" t="s">
        <v>1376</v>
      </c>
      <c r="B1189" s="622"/>
      <c r="C1189" s="558" t="str">
        <f>IF(H1189&lt;&gt;0,"x"," ")</f>
        <v xml:space="preserve"> </v>
      </c>
      <c r="D1189" s="553"/>
      <c r="E1189" s="727" t="s">
        <v>3634</v>
      </c>
      <c r="F1189" s="600" t="s">
        <v>2113</v>
      </c>
      <c r="G1189" s="205"/>
      <c r="H1189" s="556"/>
      <c r="I1189" s="556">
        <f ca="1">SUMIF(mongneo3pm,chitiet!$A1189,slmongneo3pm)</f>
        <v>0</v>
      </c>
      <c r="J1189" s="556">
        <f ca="1">SUMIF(mongneoct,chitiet!$A1189,SLMONGNEOCT)</f>
        <v>0</v>
      </c>
      <c r="K1189" s="556">
        <f ca="1">SUMIF(mongneo3p1m,chitiet!$A1189,slmongneo3p1m)</f>
        <v>0</v>
      </c>
      <c r="L1189" s="556">
        <f ca="1">SUMIF(mongneo1pm,chitiet!$A1189,slmongneo1pm)</f>
        <v>0</v>
      </c>
      <c r="M1189" s="556"/>
      <c r="N1189" s="556">
        <f ca="1">SUMIF(mongneoHTDL,chitiet!$A1189,slmongneohtdl)</f>
        <v>0</v>
      </c>
      <c r="O1189" s="556"/>
      <c r="P1189" s="554"/>
      <c r="Q1189" s="554"/>
      <c r="R1189" s="554"/>
      <c r="S1189" s="601">
        <f>SUM(S1190:S1194)</f>
        <v>630698</v>
      </c>
      <c r="T1189" s="601">
        <f>SUM(T1190:T1194)</f>
        <v>4784348.4369999999</v>
      </c>
      <c r="U1189" s="602">
        <f>SUM(U1190:U1194)</f>
        <v>0</v>
      </c>
    </row>
    <row r="1190" spans="1:21" s="552" customFormat="1" ht="15" customHeight="1">
      <c r="A1190" s="621"/>
      <c r="B1190" s="622" t="s">
        <v>1009</v>
      </c>
      <c r="C1190" s="558" t="str">
        <f>C1189</f>
        <v xml:space="preserve"> </v>
      </c>
      <c r="D1190" s="553"/>
      <c r="E1190" s="694" t="str">
        <f>VLOOKUP($B1190,dongia1,DG!$C$5,)</f>
        <v>Ty neo Þ22x3700</v>
      </c>
      <c r="F1190" s="555" t="str">
        <f>VLOOKUP($B1190,dongia1,DG!$D$5,)</f>
        <v>cái</v>
      </c>
      <c r="G1190" s="205">
        <v>1</v>
      </c>
      <c r="H1190" s="556"/>
      <c r="I1190" s="556">
        <f t="shared" ref="I1190:O1194" ca="1" si="602">I$1189*$G1190</f>
        <v>0</v>
      </c>
      <c r="J1190" s="556">
        <f t="shared" ca="1" si="602"/>
        <v>0</v>
      </c>
      <c r="K1190" s="556">
        <f t="shared" ca="1" si="602"/>
        <v>0</v>
      </c>
      <c r="L1190" s="556">
        <f t="shared" ca="1" si="602"/>
        <v>0</v>
      </c>
      <c r="M1190" s="556"/>
      <c r="N1190" s="556">
        <f t="shared" ca="1" si="602"/>
        <v>0</v>
      </c>
      <c r="O1190" s="556">
        <f t="shared" si="602"/>
        <v>0</v>
      </c>
      <c r="P1190" s="182">
        <f>VLOOKUP($B1190,dongia1,DG!$F$5,)</f>
        <v>399000</v>
      </c>
      <c r="Q1190" s="182"/>
      <c r="R1190" s="554"/>
      <c r="S1190" s="113">
        <f t="shared" ref="S1190:U1194" si="603">$G1190*P1190</f>
        <v>399000</v>
      </c>
      <c r="T1190" s="113">
        <f t="shared" si="603"/>
        <v>0</v>
      </c>
      <c r="U1190" s="557">
        <f t="shared" si="603"/>
        <v>0</v>
      </c>
    </row>
    <row r="1191" spans="1:21" s="552" customFormat="1" ht="15" customHeight="1">
      <c r="A1191" s="621"/>
      <c r="B1191" s="622" t="s">
        <v>1531</v>
      </c>
      <c r="C1191" s="558" t="str">
        <f>C1190</f>
        <v xml:space="preserve"> </v>
      </c>
      <c r="D1191" s="553"/>
      <c r="E1191" s="694" t="str">
        <f>VLOOKUP($B1191,dongia1,DG!$C$5,)</f>
        <v>Đế neo BTCT 600x1500</v>
      </c>
      <c r="F1191" s="555" t="str">
        <f>VLOOKUP($B1191,dongia1,DG!$D$5,)</f>
        <v>cái</v>
      </c>
      <c r="G1191" s="205">
        <v>1</v>
      </c>
      <c r="H1191" s="556"/>
      <c r="I1191" s="556">
        <f t="shared" ca="1" si="602"/>
        <v>0</v>
      </c>
      <c r="J1191" s="556">
        <f t="shared" ca="1" si="602"/>
        <v>0</v>
      </c>
      <c r="K1191" s="556">
        <f t="shared" ca="1" si="602"/>
        <v>0</v>
      </c>
      <c r="L1191" s="556">
        <f t="shared" ca="1" si="602"/>
        <v>0</v>
      </c>
      <c r="M1191" s="556"/>
      <c r="N1191" s="556">
        <f t="shared" ca="1" si="602"/>
        <v>0</v>
      </c>
      <c r="O1191" s="556">
        <f t="shared" si="602"/>
        <v>0</v>
      </c>
      <c r="P1191" s="182">
        <f>VLOOKUP($B1191,dongia1,DG!$F$5,)</f>
        <v>220000</v>
      </c>
      <c r="Q1191" s="182">
        <f>VLOOKUP($B1191,dongia1,DG!$G$5,)</f>
        <v>48765</v>
      </c>
      <c r="R1191" s="554"/>
      <c r="S1191" s="113">
        <f t="shared" si="603"/>
        <v>220000</v>
      </c>
      <c r="T1191" s="113">
        <f t="shared" si="603"/>
        <v>48765</v>
      </c>
      <c r="U1191" s="557">
        <f t="shared" si="603"/>
        <v>0</v>
      </c>
    </row>
    <row r="1192" spans="1:21" s="552" customFormat="1" ht="15" customHeight="1">
      <c r="A1192" s="621"/>
      <c r="B1192" s="622" t="s">
        <v>1019</v>
      </c>
      <c r="C1192" s="558" t="str">
        <f>C1191</f>
        <v xml:space="preserve"> </v>
      </c>
      <c r="D1192" s="553"/>
      <c r="E1192" s="694" t="str">
        <f>VLOOKUP($B1192,dongia1,DG!$C$5,)</f>
        <v>Bitum</v>
      </c>
      <c r="F1192" s="555" t="str">
        <f>VLOOKUP($B1192,dongia1,DG!$D$5,)</f>
        <v>m2</v>
      </c>
      <c r="G1192" s="205">
        <v>2</v>
      </c>
      <c r="H1192" s="556"/>
      <c r="I1192" s="556">
        <f t="shared" ca="1" si="602"/>
        <v>0</v>
      </c>
      <c r="J1192" s="556">
        <f t="shared" ca="1" si="602"/>
        <v>0</v>
      </c>
      <c r="K1192" s="556">
        <f t="shared" ca="1" si="602"/>
        <v>0</v>
      </c>
      <c r="L1192" s="556">
        <f t="shared" ca="1" si="602"/>
        <v>0</v>
      </c>
      <c r="M1192" s="556"/>
      <c r="N1192" s="556">
        <f t="shared" ca="1" si="602"/>
        <v>0</v>
      </c>
      <c r="O1192" s="556">
        <f t="shared" si="602"/>
        <v>0</v>
      </c>
      <c r="P1192" s="182">
        <f>VLOOKUP($B1192,dongia1,DG!$F$5,)</f>
        <v>5849</v>
      </c>
      <c r="Q1192" s="182">
        <f>VLOOKUP($B1192,dongia1,DG!$G$5,)</f>
        <v>1083.8</v>
      </c>
      <c r="R1192" s="554"/>
      <c r="S1192" s="113">
        <f t="shared" si="603"/>
        <v>11698</v>
      </c>
      <c r="T1192" s="113">
        <f t="shared" si="603"/>
        <v>2167.6</v>
      </c>
      <c r="U1192" s="557">
        <f t="shared" si="603"/>
        <v>0</v>
      </c>
    </row>
    <row r="1193" spans="1:21" s="552" customFormat="1" ht="15" customHeight="1">
      <c r="A1193" s="621"/>
      <c r="B1193" s="622" t="s">
        <v>1645</v>
      </c>
      <c r="C1193" s="558" t="str">
        <f>C1192</f>
        <v xml:space="preserve"> </v>
      </c>
      <c r="D1193" s="553"/>
      <c r="E1193" s="694" t="str">
        <f>VLOOKUP($B1193,dongia1,DG!$C$5,)</f>
        <v>Đào hố móng đất cấp 3 sâu &gt;1m DT&lt;5m2</v>
      </c>
      <c r="F1193" s="555" t="str">
        <f>VLOOKUP($B1193,dongia1,DG!$D$5,)</f>
        <v>m3</v>
      </c>
      <c r="G1193" s="205">
        <v>11.01</v>
      </c>
      <c r="H1193" s="556"/>
      <c r="I1193" s="556">
        <f t="shared" ca="1" si="602"/>
        <v>0</v>
      </c>
      <c r="J1193" s="556">
        <f t="shared" ca="1" si="602"/>
        <v>0</v>
      </c>
      <c r="K1193" s="556">
        <f t="shared" ca="1" si="602"/>
        <v>0</v>
      </c>
      <c r="L1193" s="556">
        <f t="shared" ca="1" si="602"/>
        <v>0</v>
      </c>
      <c r="M1193" s="556"/>
      <c r="N1193" s="556">
        <f t="shared" ca="1" si="602"/>
        <v>0</v>
      </c>
      <c r="O1193" s="556">
        <f t="shared" si="602"/>
        <v>0</v>
      </c>
      <c r="P1193" s="182"/>
      <c r="Q1193" s="182">
        <f>VLOOKUP($B1193,dongia1,DG!$G$5,)</f>
        <v>296500.89999999997</v>
      </c>
      <c r="R1193" s="554"/>
      <c r="S1193" s="113">
        <f t="shared" si="603"/>
        <v>0</v>
      </c>
      <c r="T1193" s="113">
        <f t="shared" si="603"/>
        <v>3264474.9089999995</v>
      </c>
      <c r="U1193" s="557">
        <f t="shared" si="603"/>
        <v>0</v>
      </c>
    </row>
    <row r="1194" spans="1:21" s="552" customFormat="1" ht="15" customHeight="1">
      <c r="A1194" s="621"/>
      <c r="B1194" s="622" t="s">
        <v>501</v>
      </c>
      <c r="C1194" s="558" t="str">
        <f>C1193</f>
        <v xml:space="preserve"> </v>
      </c>
      <c r="D1194" s="553"/>
      <c r="E1194" s="694" t="str">
        <f>VLOOKUP($B1194,dongia1,DG!$C$5,)</f>
        <v>Đắp đất hố móng, đất cấp 3 (độ chặt k = 0.85)</v>
      </c>
      <c r="F1194" s="555" t="str">
        <f>VLOOKUP($B1194,dongia1,DG!$D$5,)</f>
        <v>m3</v>
      </c>
      <c r="G1194" s="205">
        <v>12.48</v>
      </c>
      <c r="H1194" s="556"/>
      <c r="I1194" s="556">
        <f t="shared" ca="1" si="602"/>
        <v>0</v>
      </c>
      <c r="J1194" s="556">
        <f t="shared" ca="1" si="602"/>
        <v>0</v>
      </c>
      <c r="K1194" s="556">
        <f t="shared" ca="1" si="602"/>
        <v>0</v>
      </c>
      <c r="L1194" s="556">
        <f t="shared" ca="1" si="602"/>
        <v>0</v>
      </c>
      <c r="M1194" s="556"/>
      <c r="N1194" s="556">
        <f t="shared" ca="1" si="602"/>
        <v>0</v>
      </c>
      <c r="O1194" s="556">
        <f t="shared" si="602"/>
        <v>0</v>
      </c>
      <c r="P1194" s="182"/>
      <c r="Q1194" s="182">
        <f>VLOOKUP($B1194,dongia1,DG!$G$5,)</f>
        <v>117703.6</v>
      </c>
      <c r="R1194" s="554"/>
      <c r="S1194" s="113">
        <f t="shared" si="603"/>
        <v>0</v>
      </c>
      <c r="T1194" s="113">
        <f t="shared" si="603"/>
        <v>1468940.9280000001</v>
      </c>
      <c r="U1194" s="557">
        <f t="shared" si="603"/>
        <v>0</v>
      </c>
    </row>
    <row r="1195" spans="1:21" s="552" customFormat="1" ht="15" customHeight="1">
      <c r="A1195" s="638" t="s">
        <v>93</v>
      </c>
      <c r="B1195" s="622"/>
      <c r="C1195" s="558" t="str">
        <f>IF(H1195&lt;&gt;0,"x"," ")</f>
        <v xml:space="preserve"> </v>
      </c>
      <c r="D1195" s="553"/>
      <c r="E1195" s="727" t="s">
        <v>3635</v>
      </c>
      <c r="F1195" s="600" t="s">
        <v>2113</v>
      </c>
      <c r="G1195" s="205"/>
      <c r="H1195" s="556"/>
      <c r="I1195" s="556">
        <f ca="1">SUMIF(mongneo3pm,chitiet!$A1195,slmongneo3pm)</f>
        <v>0</v>
      </c>
      <c r="J1195" s="556">
        <f ca="1">SUMIF(mongneoct,chitiet!$A1195,SLMONGNEOCT)</f>
        <v>0</v>
      </c>
      <c r="K1195" s="556">
        <f ca="1">SUMIF(mongneo3p1m,chitiet!$A1195,slmongneo3p1m)</f>
        <v>0</v>
      </c>
      <c r="L1195" s="556">
        <f ca="1">SUMIF(mongneo1pm,chitiet!$A1195,slmongneo1pm)</f>
        <v>0</v>
      </c>
      <c r="M1195" s="556"/>
      <c r="N1195" s="556">
        <f ca="1">SUMIF(mongneoHTDL,chitiet!$A1195,slmongneohtdl)</f>
        <v>0</v>
      </c>
      <c r="O1195" s="556"/>
      <c r="P1195" s="554"/>
      <c r="Q1195" s="554"/>
      <c r="R1195" s="554"/>
      <c r="S1195" s="601">
        <f>SUM(S1196:S1200)</f>
        <v>560698</v>
      </c>
      <c r="T1195" s="601">
        <f>SUM(T1196:T1200)</f>
        <v>4568530.5120000001</v>
      </c>
      <c r="U1195" s="602">
        <f>SUM(U1196:U1200)</f>
        <v>0</v>
      </c>
    </row>
    <row r="1196" spans="1:21" s="552" customFormat="1" ht="15" customHeight="1">
      <c r="A1196" s="621"/>
      <c r="B1196" s="622" t="s">
        <v>536</v>
      </c>
      <c r="C1196" s="558" t="str">
        <f>C1195</f>
        <v xml:space="preserve"> </v>
      </c>
      <c r="D1196" s="553"/>
      <c r="E1196" s="694" t="str">
        <f>VLOOKUP($B1196,dongia1,DG!$C$5,)</f>
        <v>Ty neo Þ22x3000</v>
      </c>
      <c r="F1196" s="555" t="str">
        <f>VLOOKUP($B1196,dongia1,DG!$D$5,)</f>
        <v>cái</v>
      </c>
      <c r="G1196" s="205">
        <v>1</v>
      </c>
      <c r="H1196" s="556"/>
      <c r="I1196" s="556">
        <f t="shared" ref="I1196:O1200" ca="1" si="604">I$1195*$G1196</f>
        <v>0</v>
      </c>
      <c r="J1196" s="556">
        <f t="shared" ca="1" si="604"/>
        <v>0</v>
      </c>
      <c r="K1196" s="556">
        <f t="shared" ca="1" si="604"/>
        <v>0</v>
      </c>
      <c r="L1196" s="556">
        <f t="shared" ca="1" si="604"/>
        <v>0</v>
      </c>
      <c r="M1196" s="556"/>
      <c r="N1196" s="556">
        <f t="shared" ca="1" si="604"/>
        <v>0</v>
      </c>
      <c r="O1196" s="556">
        <f t="shared" si="604"/>
        <v>0</v>
      </c>
      <c r="P1196" s="182">
        <f>VLOOKUP($B1196,dongia1,DG!$F$5,)</f>
        <v>329000</v>
      </c>
      <c r="Q1196" s="182"/>
      <c r="R1196" s="554"/>
      <c r="S1196" s="113">
        <f t="shared" ref="S1196:U1200" si="605">$G1196*P1196</f>
        <v>329000</v>
      </c>
      <c r="T1196" s="113">
        <f t="shared" si="605"/>
        <v>0</v>
      </c>
      <c r="U1196" s="557">
        <f t="shared" si="605"/>
        <v>0</v>
      </c>
    </row>
    <row r="1197" spans="1:21" s="552" customFormat="1" ht="15" customHeight="1">
      <c r="A1197" s="621"/>
      <c r="B1197" s="622" t="s">
        <v>1531</v>
      </c>
      <c r="C1197" s="558" t="str">
        <f>C1196</f>
        <v xml:space="preserve"> </v>
      </c>
      <c r="D1197" s="553"/>
      <c r="E1197" s="694" t="str">
        <f>VLOOKUP($B1197,dongia1,DG!$C$5,)</f>
        <v>Đế neo BTCT 600x1500</v>
      </c>
      <c r="F1197" s="555" t="str">
        <f>VLOOKUP($B1197,dongia1,DG!$D$5,)</f>
        <v>cái</v>
      </c>
      <c r="G1197" s="205">
        <v>1</v>
      </c>
      <c r="H1197" s="556"/>
      <c r="I1197" s="556">
        <f t="shared" ca="1" si="604"/>
        <v>0</v>
      </c>
      <c r="J1197" s="556">
        <f t="shared" ca="1" si="604"/>
        <v>0</v>
      </c>
      <c r="K1197" s="556">
        <f t="shared" ca="1" si="604"/>
        <v>0</v>
      </c>
      <c r="L1197" s="556">
        <f t="shared" ca="1" si="604"/>
        <v>0</v>
      </c>
      <c r="M1197" s="556"/>
      <c r="N1197" s="556">
        <f t="shared" ca="1" si="604"/>
        <v>0</v>
      </c>
      <c r="O1197" s="556">
        <f t="shared" si="604"/>
        <v>0</v>
      </c>
      <c r="P1197" s="182">
        <f>VLOOKUP($B1197,dongia1,DG!$F$5,)</f>
        <v>220000</v>
      </c>
      <c r="Q1197" s="182">
        <f>VLOOKUP($B1197,dongia1,DG!$G$5,)</f>
        <v>48765</v>
      </c>
      <c r="R1197" s="554"/>
      <c r="S1197" s="113">
        <f t="shared" si="605"/>
        <v>220000</v>
      </c>
      <c r="T1197" s="113">
        <f t="shared" si="605"/>
        <v>48765</v>
      </c>
      <c r="U1197" s="557">
        <f t="shared" si="605"/>
        <v>0</v>
      </c>
    </row>
    <row r="1198" spans="1:21" s="552" customFormat="1" ht="15" customHeight="1">
      <c r="A1198" s="621"/>
      <c r="B1198" s="622" t="s">
        <v>1019</v>
      </c>
      <c r="C1198" s="558" t="str">
        <f>C1197</f>
        <v xml:space="preserve"> </v>
      </c>
      <c r="D1198" s="553"/>
      <c r="E1198" s="694" t="str">
        <f>VLOOKUP($B1198,dongia1,DG!$C$5,)</f>
        <v>Bitum</v>
      </c>
      <c r="F1198" s="555" t="str">
        <f>VLOOKUP($B1198,dongia1,DG!$D$5,)</f>
        <v>m2</v>
      </c>
      <c r="G1198" s="205">
        <v>2</v>
      </c>
      <c r="H1198" s="556"/>
      <c r="I1198" s="556">
        <f t="shared" ca="1" si="604"/>
        <v>0</v>
      </c>
      <c r="J1198" s="556">
        <f t="shared" ca="1" si="604"/>
        <v>0</v>
      </c>
      <c r="K1198" s="556">
        <f t="shared" ca="1" si="604"/>
        <v>0</v>
      </c>
      <c r="L1198" s="556">
        <f t="shared" ca="1" si="604"/>
        <v>0</v>
      </c>
      <c r="M1198" s="556"/>
      <c r="N1198" s="556">
        <f t="shared" ca="1" si="604"/>
        <v>0</v>
      </c>
      <c r="O1198" s="556">
        <f t="shared" si="604"/>
        <v>0</v>
      </c>
      <c r="P1198" s="182">
        <f>VLOOKUP($B1198,dongia1,DG!$F$5,)</f>
        <v>5849</v>
      </c>
      <c r="Q1198" s="182">
        <f>VLOOKUP($B1198,dongia1,DG!$G$5,)</f>
        <v>1083.8</v>
      </c>
      <c r="R1198" s="554"/>
      <c r="S1198" s="113">
        <f t="shared" si="605"/>
        <v>11698</v>
      </c>
      <c r="T1198" s="113">
        <f t="shared" si="605"/>
        <v>2167.6</v>
      </c>
      <c r="U1198" s="557">
        <f t="shared" si="605"/>
        <v>0</v>
      </c>
    </row>
    <row r="1199" spans="1:21" s="552" customFormat="1" ht="15" customHeight="1">
      <c r="A1199" s="621"/>
      <c r="B1199" s="622" t="s">
        <v>1645</v>
      </c>
      <c r="C1199" s="558" t="str">
        <f>C1198</f>
        <v xml:space="preserve"> </v>
      </c>
      <c r="D1199" s="553"/>
      <c r="E1199" s="694" t="str">
        <f>VLOOKUP($B1199,dongia1,DG!$C$5,)</f>
        <v>Đào hố móng đất cấp 3 sâu &gt;1m DT&lt;5m2</v>
      </c>
      <c r="F1199" s="555" t="str">
        <f>VLOOKUP($B1199,dongia1,DG!$D$5,)</f>
        <v>m3</v>
      </c>
      <c r="G1199" s="205">
        <v>10.56</v>
      </c>
      <c r="H1199" s="556"/>
      <c r="I1199" s="556">
        <f t="shared" ca="1" si="604"/>
        <v>0</v>
      </c>
      <c r="J1199" s="556">
        <f t="shared" ca="1" si="604"/>
        <v>0</v>
      </c>
      <c r="K1199" s="556">
        <f t="shared" ca="1" si="604"/>
        <v>0</v>
      </c>
      <c r="L1199" s="556">
        <f t="shared" ca="1" si="604"/>
        <v>0</v>
      </c>
      <c r="M1199" s="556"/>
      <c r="N1199" s="556">
        <f t="shared" ca="1" si="604"/>
        <v>0</v>
      </c>
      <c r="O1199" s="556">
        <f t="shared" si="604"/>
        <v>0</v>
      </c>
      <c r="P1199" s="182"/>
      <c r="Q1199" s="182">
        <f>VLOOKUP($B1199,dongia1,DG!$G$5,)</f>
        <v>296500.89999999997</v>
      </c>
      <c r="R1199" s="554"/>
      <c r="S1199" s="113">
        <f t="shared" si="605"/>
        <v>0</v>
      </c>
      <c r="T1199" s="113">
        <f t="shared" si="605"/>
        <v>3131049.5039999997</v>
      </c>
      <c r="U1199" s="557">
        <f t="shared" si="605"/>
        <v>0</v>
      </c>
    </row>
    <row r="1200" spans="1:21" s="552" customFormat="1" ht="15" customHeight="1">
      <c r="A1200" s="621"/>
      <c r="B1200" s="622" t="s">
        <v>501</v>
      </c>
      <c r="C1200" s="558" t="str">
        <f>C1199</f>
        <v xml:space="preserve"> </v>
      </c>
      <c r="D1200" s="553"/>
      <c r="E1200" s="694" t="str">
        <f>VLOOKUP($B1200,dongia1,DG!$C$5,)</f>
        <v>Đắp đất hố móng, đất cấp 3 (độ chặt k = 0.85)</v>
      </c>
      <c r="F1200" s="555" t="str">
        <f>VLOOKUP($B1200,dongia1,DG!$D$5,)</f>
        <v>m3</v>
      </c>
      <c r="G1200" s="205">
        <v>11.78</v>
      </c>
      <c r="H1200" s="556"/>
      <c r="I1200" s="556">
        <f t="shared" ca="1" si="604"/>
        <v>0</v>
      </c>
      <c r="J1200" s="556">
        <f t="shared" ca="1" si="604"/>
        <v>0</v>
      </c>
      <c r="K1200" s="556">
        <f t="shared" ca="1" si="604"/>
        <v>0</v>
      </c>
      <c r="L1200" s="556">
        <f t="shared" ca="1" si="604"/>
        <v>0</v>
      </c>
      <c r="M1200" s="556"/>
      <c r="N1200" s="556">
        <f t="shared" ca="1" si="604"/>
        <v>0</v>
      </c>
      <c r="O1200" s="556">
        <f t="shared" si="604"/>
        <v>0</v>
      </c>
      <c r="P1200" s="182"/>
      <c r="Q1200" s="182">
        <f>VLOOKUP($B1200,dongia1,DG!$G$5,)</f>
        <v>117703.6</v>
      </c>
      <c r="R1200" s="554"/>
      <c r="S1200" s="113">
        <f t="shared" si="605"/>
        <v>0</v>
      </c>
      <c r="T1200" s="113">
        <f t="shared" si="605"/>
        <v>1386548.4080000001</v>
      </c>
      <c r="U1200" s="557">
        <f t="shared" si="605"/>
        <v>0</v>
      </c>
    </row>
    <row r="1201" spans="1:21" s="552" customFormat="1" ht="15" customHeight="1">
      <c r="A1201" s="621"/>
      <c r="B1201" s="622"/>
      <c r="C1201" s="558"/>
      <c r="D1201" s="553"/>
      <c r="E1201" s="694"/>
      <c r="F1201" s="555"/>
      <c r="G1201" s="205"/>
      <c r="H1201" s="556"/>
      <c r="I1201" s="556"/>
      <c r="J1201" s="556"/>
      <c r="K1201" s="556"/>
      <c r="L1201" s="556"/>
      <c r="M1201" s="556"/>
      <c r="N1201" s="556"/>
      <c r="O1201" s="556"/>
      <c r="P1201" s="182"/>
      <c r="Q1201" s="182"/>
      <c r="R1201" s="554"/>
      <c r="S1201" s="113"/>
      <c r="T1201" s="113"/>
      <c r="U1201" s="557"/>
    </row>
    <row r="1202" spans="1:21" s="858" customFormat="1">
      <c r="A1202" s="638"/>
      <c r="B1202" s="848"/>
      <c r="C1202" s="849"/>
      <c r="D1202" s="850" t="s">
        <v>4449</v>
      </c>
      <c r="E1202" s="851" t="s">
        <v>4445</v>
      </c>
      <c r="F1202" s="852"/>
      <c r="G1202" s="853"/>
      <c r="H1202" s="854"/>
      <c r="I1202" s="854"/>
      <c r="J1202" s="854"/>
      <c r="K1202" s="854"/>
      <c r="L1202" s="854"/>
      <c r="M1202" s="854"/>
      <c r="N1202" s="854"/>
      <c r="O1202" s="854"/>
      <c r="P1202" s="855"/>
      <c r="Q1202" s="855"/>
      <c r="R1202" s="855"/>
      <c r="S1202" s="856"/>
      <c r="T1202" s="856"/>
      <c r="U1202" s="609"/>
    </row>
    <row r="1203" spans="1:21" s="552" customFormat="1" ht="15" customHeight="1">
      <c r="A1203" s="621"/>
      <c r="B1203" s="16" t="s">
        <v>4877</v>
      </c>
      <c r="C1203" s="558">
        <f>IF(H1203&gt;0,"x",)</f>
        <v>0</v>
      </c>
      <c r="D1203" s="553"/>
      <c r="E1203" s="694" t="str">
        <f>pptt_NC!IX5</f>
        <v>Lắp lại bộ xà X-2.4KP</v>
      </c>
      <c r="F1203" s="555" t="str">
        <f>VLOOKUP($B1203,dongia1,DG!$D$5,)</f>
        <v>bộ</v>
      </c>
      <c r="G1203" s="205">
        <v>1</v>
      </c>
      <c r="H1203" s="556"/>
      <c r="I1203" s="556">
        <f t="shared" ref="I1203:I1244" ca="1" si="606">I$1195*$G1203</f>
        <v>0</v>
      </c>
      <c r="J1203" s="556">
        <f ca="1">SUMIF(lapxacaitao,E1203,sllapxacaitao)</f>
        <v>0</v>
      </c>
      <c r="K1203" s="556"/>
      <c r="L1203" s="556">
        <f t="shared" ref="L1203:L1244" ca="1" si="607">L$1195*$G1203</f>
        <v>0</v>
      </c>
      <c r="M1203" s="556"/>
      <c r="N1203" s="556"/>
      <c r="O1203" s="556">
        <f t="shared" ref="O1203:O1244" si="608">O$1195*$G1203</f>
        <v>0</v>
      </c>
      <c r="P1203" s="182">
        <f>VLOOKUP($B1203,dongia1,DG!$F$5,)</f>
        <v>0</v>
      </c>
      <c r="Q1203" s="603"/>
      <c r="R1203" s="554"/>
      <c r="S1203" s="113">
        <f t="shared" ref="S1203:T1237" si="609">$G1203*P1203</f>
        <v>0</v>
      </c>
      <c r="T1203" s="113">
        <f t="shared" si="609"/>
        <v>0</v>
      </c>
      <c r="U1203" s="557"/>
    </row>
    <row r="1204" spans="1:21" s="552" customFormat="1" ht="15" customHeight="1">
      <c r="A1204" s="621"/>
      <c r="B1204" s="622" t="s">
        <v>813</v>
      </c>
      <c r="C1204" s="558">
        <f t="shared" ref="C1204:C1244" si="610">IF(H1204&gt;0,"x",)</f>
        <v>0</v>
      </c>
      <c r="D1204" s="553"/>
      <c r="E1204" s="694" t="str">
        <f>pptt_NC!IY5</f>
        <v>Lắp lại bộ xà X-2.4K</v>
      </c>
      <c r="F1204" s="555" t="str">
        <f>VLOOKUP($B1204,dongia1,DG!$D$5,)</f>
        <v>bộ</v>
      </c>
      <c r="G1204" s="205">
        <v>1</v>
      </c>
      <c r="H1204" s="556"/>
      <c r="I1204" s="556">
        <f t="shared" ca="1" si="606"/>
        <v>0</v>
      </c>
      <c r="J1204" s="556">
        <f ca="1">SUMIF(lapxacaitao,E1204,sllapxacaitao)</f>
        <v>0</v>
      </c>
      <c r="K1204" s="556"/>
      <c r="L1204" s="556">
        <f t="shared" ca="1" si="607"/>
        <v>0</v>
      </c>
      <c r="M1204" s="556"/>
      <c r="N1204" s="556"/>
      <c r="O1204" s="556">
        <f t="shared" si="608"/>
        <v>0</v>
      </c>
      <c r="P1204" s="182">
        <f>VLOOKUP($B1204,dongia1,DG!$F$5,)</f>
        <v>0</v>
      </c>
      <c r="Q1204" s="603"/>
      <c r="R1204" s="554"/>
      <c r="S1204" s="113">
        <f t="shared" si="609"/>
        <v>0</v>
      </c>
      <c r="T1204" s="113">
        <f t="shared" si="609"/>
        <v>0</v>
      </c>
      <c r="U1204" s="557"/>
    </row>
    <row r="1205" spans="1:21" s="552" customFormat="1" ht="15" customHeight="1">
      <c r="A1205" s="621"/>
      <c r="B1205" s="622" t="s">
        <v>813</v>
      </c>
      <c r="C1205" s="558">
        <f t="shared" si="610"/>
        <v>0</v>
      </c>
      <c r="D1205" s="553"/>
      <c r="E1205" s="694" t="str">
        <f>pptt_NC!IZ5</f>
        <v>Lắp lại bộ xà X-2.4Đ</v>
      </c>
      <c r="F1205" s="555" t="str">
        <f>VLOOKUP($B1205,dongia1,DG!$D$5,)</f>
        <v>bộ</v>
      </c>
      <c r="G1205" s="205">
        <v>1</v>
      </c>
      <c r="H1205" s="556"/>
      <c r="I1205" s="556">
        <f t="shared" ca="1" si="606"/>
        <v>0</v>
      </c>
      <c r="J1205" s="556">
        <f ca="1">SUMIF(lapxacaitao,E1205,sllapxacaitao)</f>
        <v>0</v>
      </c>
      <c r="K1205" s="556"/>
      <c r="L1205" s="556">
        <f t="shared" ca="1" si="607"/>
        <v>0</v>
      </c>
      <c r="M1205" s="556"/>
      <c r="N1205" s="556"/>
      <c r="O1205" s="556">
        <f t="shared" si="608"/>
        <v>0</v>
      </c>
      <c r="P1205" s="182">
        <f>VLOOKUP($B1205,dongia1,DG!$F$5,)</f>
        <v>0</v>
      </c>
      <c r="Q1205" s="603"/>
      <c r="R1205" s="554"/>
      <c r="S1205" s="113">
        <f t="shared" si="609"/>
        <v>0</v>
      </c>
      <c r="T1205" s="113">
        <f t="shared" si="609"/>
        <v>0</v>
      </c>
      <c r="U1205" s="557"/>
    </row>
    <row r="1206" spans="1:21" s="610" customFormat="1" ht="15" customHeight="1">
      <c r="A1206" s="635"/>
      <c r="B1206" s="636" t="s">
        <v>372</v>
      </c>
      <c r="C1206" s="637">
        <f t="shared" si="610"/>
        <v>0</v>
      </c>
      <c r="D1206" s="599">
        <v>6</v>
      </c>
      <c r="E1206" s="727" t="str">
        <f>pptt_NC!JA5</f>
        <v>Lắp lại bộ xà X-24DCP</v>
      </c>
      <c r="F1206" s="600" t="str">
        <f>VLOOKUP($B1206,dongia1,DG!$D$5,)</f>
        <v>bộ</v>
      </c>
      <c r="G1206" s="604">
        <v>1</v>
      </c>
      <c r="H1206" s="605"/>
      <c r="I1206" s="1890">
        <f t="shared" ca="1" si="606"/>
        <v>0</v>
      </c>
      <c r="J1206" s="1890">
        <f ca="1">SUMIF(lapxacaitao,E1206,sllapxacaitao)</f>
        <v>0</v>
      </c>
      <c r="K1206" s="1890"/>
      <c r="L1206" s="1890">
        <f t="shared" ca="1" si="607"/>
        <v>0</v>
      </c>
      <c r="M1206" s="1890"/>
      <c r="N1206" s="1890"/>
      <c r="O1206" s="1890">
        <f t="shared" si="608"/>
        <v>0</v>
      </c>
      <c r="P1206" s="607">
        <f>VLOOKUP($B1206,dongia1,DG!$F$5,)</f>
        <v>0</v>
      </c>
      <c r="Q1206" s="1895">
        <f>VLOOKUP($B1206,dongia1,DG!$G$5,)*0</f>
        <v>0</v>
      </c>
      <c r="R1206" s="606"/>
      <c r="S1206" s="601">
        <f>SUM(S1207:S1211)</f>
        <v>111910</v>
      </c>
      <c r="T1206" s="113">
        <f t="shared" si="609"/>
        <v>0</v>
      </c>
      <c r="U1206" s="557"/>
    </row>
    <row r="1207" spans="1:21" s="552" customFormat="1" ht="15" customHeight="1">
      <c r="A1207" s="621"/>
      <c r="B1207" s="696" t="s">
        <v>2115</v>
      </c>
      <c r="C1207" s="631">
        <f>C1206</f>
        <v>0</v>
      </c>
      <c r="D1207" s="698"/>
      <c r="E1207" s="699" t="str">
        <f>VLOOKUP($B1207,dongia1,DG!$C$5,)&amp;" (hiện hữu di dời)"</f>
        <v>Đà Composite 110x80x5x2400 (hiện hữu di dời)</v>
      </c>
      <c r="F1207" s="700" t="str">
        <f>VLOOKUP($B1207,dongia1,DG!$D$5,)</f>
        <v>cây</v>
      </c>
      <c r="G1207" s="762">
        <v>1</v>
      </c>
      <c r="H1207" s="556"/>
      <c r="I1207" s="1891"/>
      <c r="J1207" s="1891"/>
      <c r="K1207" s="1891"/>
      <c r="L1207" s="1891"/>
      <c r="M1207" s="1891"/>
      <c r="N1207" s="1891"/>
      <c r="O1207" s="1891"/>
      <c r="P1207" s="182">
        <f>VLOOKUP($B1207,dongia1,DG!$F$5,)*0</f>
        <v>0</v>
      </c>
      <c r="Q1207" s="182">
        <f>VLOOKUP($B1207,dongia1,DG!$G$5,)</f>
        <v>0</v>
      </c>
      <c r="R1207" s="554"/>
      <c r="S1207" s="113">
        <f t="shared" si="609"/>
        <v>0</v>
      </c>
      <c r="T1207" s="113">
        <f t="shared" si="609"/>
        <v>0</v>
      </c>
      <c r="U1207" s="557">
        <f t="shared" ref="U1207:U1212" si="611">$G1207*R1207</f>
        <v>0</v>
      </c>
    </row>
    <row r="1208" spans="1:21" s="552" customFormat="1" ht="15" customHeight="1">
      <c r="A1208" s="621"/>
      <c r="B1208" s="696" t="s">
        <v>2106</v>
      </c>
      <c r="C1208" s="631">
        <f>C1206</f>
        <v>0</v>
      </c>
      <c r="D1208" s="698"/>
      <c r="E1208" s="699" t="str">
        <f>VLOOKUP($B1208,dongia1,DG!$C$5,)&amp;" (hiện hữu di dời)"</f>
        <v>Chống Composite 40x10x920 (hiện hữu di dời)</v>
      </c>
      <c r="F1208" s="700" t="str">
        <f>VLOOKUP($B1208,dongia1,DG!$D$5,)</f>
        <v>Thanh</v>
      </c>
      <c r="G1208" s="762">
        <v>2</v>
      </c>
      <c r="H1208" s="556"/>
      <c r="I1208" s="1891"/>
      <c r="J1208" s="1891"/>
      <c r="K1208" s="1891"/>
      <c r="L1208" s="1891"/>
      <c r="M1208" s="1891"/>
      <c r="N1208" s="1891"/>
      <c r="O1208" s="1891"/>
      <c r="P1208" s="182">
        <f>VLOOKUP($B1208,dongia1,DG!$F$5,)*0</f>
        <v>0</v>
      </c>
      <c r="Q1208" s="182">
        <f>VLOOKUP($B1208,dongia1,DG!$G$5,)</f>
        <v>0</v>
      </c>
      <c r="R1208" s="554"/>
      <c r="S1208" s="113">
        <f t="shared" si="609"/>
        <v>0</v>
      </c>
      <c r="T1208" s="113">
        <f t="shared" si="609"/>
        <v>0</v>
      </c>
      <c r="U1208" s="557">
        <f t="shared" si="611"/>
        <v>0</v>
      </c>
    </row>
    <row r="1209" spans="1:21" s="552" customFormat="1" ht="15" customHeight="1">
      <c r="A1209" s="621"/>
      <c r="B1209" s="696" t="s">
        <v>746</v>
      </c>
      <c r="C1209" s="631">
        <f>C1208</f>
        <v>0</v>
      </c>
      <c r="D1209" s="698"/>
      <c r="E1209" s="699" t="str">
        <f>VLOOKUP($B1209,dongia1,DG!$C$5,)</f>
        <v>Boulon 16x150+ 2 long đền vuông D18-50x50x3/Zn</v>
      </c>
      <c r="F1209" s="700" t="str">
        <f>VLOOKUP($B1209,dongia1,DG!$D$5,)</f>
        <v>bộ</v>
      </c>
      <c r="G1209" s="762">
        <v>2</v>
      </c>
      <c r="H1209" s="556"/>
      <c r="I1209" s="1891"/>
      <c r="J1209" s="1891"/>
      <c r="K1209" s="1891"/>
      <c r="L1209" s="1891"/>
      <c r="M1209" s="1891"/>
      <c r="N1209" s="1891"/>
      <c r="O1209" s="1891"/>
      <c r="P1209" s="182">
        <f>VLOOKUP($B1209,dongia1,DG!$F$5,)</f>
        <v>18900</v>
      </c>
      <c r="Q1209" s="182">
        <f>VLOOKUP($B1209,dongia1,DG!$G$5,)</f>
        <v>0</v>
      </c>
      <c r="R1209" s="554"/>
      <c r="S1209" s="113">
        <f t="shared" si="609"/>
        <v>37800</v>
      </c>
      <c r="T1209" s="113">
        <f t="shared" si="609"/>
        <v>0</v>
      </c>
      <c r="U1209" s="557">
        <f t="shared" si="611"/>
        <v>0</v>
      </c>
    </row>
    <row r="1210" spans="1:21" s="552" customFormat="1" ht="15" customHeight="1">
      <c r="A1210" s="621"/>
      <c r="B1210" s="696" t="s">
        <v>1040</v>
      </c>
      <c r="C1210" s="631">
        <f>C1208</f>
        <v>0</v>
      </c>
      <c r="D1210" s="698"/>
      <c r="E1210" s="699" t="str">
        <f>VLOOKUP($B1210,dongia1,DG!$C$5,)</f>
        <v>Boulon 16x600+ 2 long đền vuông D18-50x50x3/Zn</v>
      </c>
      <c r="F1210" s="700" t="str">
        <f>VLOOKUP($B1210,dongia1,DG!$D$5,)</f>
        <v>bộ</v>
      </c>
      <c r="G1210" s="762">
        <v>1</v>
      </c>
      <c r="H1210" s="556"/>
      <c r="I1210" s="1891"/>
      <c r="J1210" s="1891"/>
      <c r="K1210" s="1891"/>
      <c r="L1210" s="1891"/>
      <c r="M1210" s="1891"/>
      <c r="N1210" s="1891"/>
      <c r="O1210" s="1891"/>
      <c r="P1210" s="182">
        <f>VLOOKUP($B1210,dongia1,DG!$F$5,)</f>
        <v>38610</v>
      </c>
      <c r="Q1210" s="182">
        <f>VLOOKUP($B1210,dongia1,DG!$G$5,)</f>
        <v>0</v>
      </c>
      <c r="R1210" s="554"/>
      <c r="S1210" s="113">
        <f t="shared" si="609"/>
        <v>38610</v>
      </c>
      <c r="T1210" s="113">
        <f t="shared" si="609"/>
        <v>0</v>
      </c>
      <c r="U1210" s="557">
        <f t="shared" si="611"/>
        <v>0</v>
      </c>
    </row>
    <row r="1211" spans="1:21" s="552" customFormat="1" ht="15" customHeight="1">
      <c r="A1211" s="621"/>
      <c r="B1211" s="696" t="s">
        <v>4821</v>
      </c>
      <c r="C1211" s="631">
        <f>C1209</f>
        <v>0</v>
      </c>
      <c r="D1211" s="698"/>
      <c r="E1211" s="699" t="str">
        <f>VLOOKUP($B1211,dongia1,DG!$C$5,)</f>
        <v>Boulon 16x550+ 2 long đền vuông D18-50x50x3/Zn</v>
      </c>
      <c r="F1211" s="700" t="str">
        <f>VLOOKUP($B1211,dongia1,DG!$D$5,)</f>
        <v>bộ</v>
      </c>
      <c r="G1211" s="762">
        <v>1</v>
      </c>
      <c r="H1211" s="556"/>
      <c r="I1211" s="1891"/>
      <c r="J1211" s="1891"/>
      <c r="K1211" s="1891"/>
      <c r="L1211" s="1891"/>
      <c r="M1211" s="1891"/>
      <c r="N1211" s="1891"/>
      <c r="O1211" s="1891"/>
      <c r="P1211" s="182">
        <f>VLOOKUP($B1211,dongia1,DG!$F$5,)</f>
        <v>35500</v>
      </c>
      <c r="Q1211" s="182">
        <f>VLOOKUP($B1211,dongia1,DG!$G$5,)</f>
        <v>0</v>
      </c>
      <c r="R1211" s="554"/>
      <c r="S1211" s="113">
        <f t="shared" si="609"/>
        <v>35500</v>
      </c>
      <c r="T1211" s="113">
        <f t="shared" si="609"/>
        <v>0</v>
      </c>
      <c r="U1211" s="557">
        <f t="shared" si="611"/>
        <v>0</v>
      </c>
    </row>
    <row r="1212" spans="1:21" s="610" customFormat="1" ht="15" customHeight="1">
      <c r="A1212" s="635"/>
      <c r="B1212" s="636" t="s">
        <v>1435</v>
      </c>
      <c r="C1212" s="637">
        <f t="shared" si="610"/>
        <v>0</v>
      </c>
      <c r="D1212" s="599">
        <v>7</v>
      </c>
      <c r="E1212" s="727" t="str">
        <f>pptt_NC!JB5</f>
        <v>Lắp lại bộ xà X-2.2K</v>
      </c>
      <c r="F1212" s="600" t="str">
        <f>VLOOKUP($B1212,dongia1,DG!$D$5,)</f>
        <v>bộ</v>
      </c>
      <c r="G1212" s="604">
        <v>1</v>
      </c>
      <c r="H1212" s="605"/>
      <c r="I1212" s="1890">
        <f t="shared" ca="1" si="606"/>
        <v>0</v>
      </c>
      <c r="J1212" s="1890">
        <f ca="1">SUMIF(lapxacaitao,E1212,sllapxacaitao)</f>
        <v>0</v>
      </c>
      <c r="K1212" s="1890"/>
      <c r="L1212" s="1890">
        <f t="shared" ca="1" si="607"/>
        <v>0</v>
      </c>
      <c r="M1212" s="1890"/>
      <c r="N1212" s="1890"/>
      <c r="O1212" s="1890">
        <f t="shared" si="608"/>
        <v>0</v>
      </c>
      <c r="P1212" s="607">
        <f>VLOOKUP($B1212,dongia1,DG!$F$5,)</f>
        <v>0</v>
      </c>
      <c r="Q1212" s="1895">
        <f>VLOOKUP($B1212,dongia1,DG!$G$5,)*0</f>
        <v>0</v>
      </c>
      <c r="R1212" s="606"/>
      <c r="S1212" s="601">
        <f>SUM(S1213:S1217)</f>
        <v>161710</v>
      </c>
      <c r="T1212" s="601">
        <f>SUM(T1213:T1217)</f>
        <v>0</v>
      </c>
      <c r="U1212" s="609">
        <f t="shared" si="611"/>
        <v>0</v>
      </c>
    </row>
    <row r="1213" spans="1:21" s="610" customFormat="1" ht="15" customHeight="1">
      <c r="A1213" s="635"/>
      <c r="B1213" s="696" t="s">
        <v>386</v>
      </c>
      <c r="C1213" s="631">
        <f t="shared" ref="C1213:C1218" si="612">C1212</f>
        <v>0</v>
      </c>
      <c r="D1213" s="698"/>
      <c r="E1213" s="699" t="str">
        <f>VLOOKUP($B1213,dongia1,DG!$C$5,)&amp;" (hiện hữu di dời)"</f>
        <v>Sắt góc L75 x75 x8 (hiện hữu di dời)</v>
      </c>
      <c r="F1213" s="700" t="str">
        <f>VLOOKUP($B1213,dongia1,DG!$D$5,)</f>
        <v>kg</v>
      </c>
      <c r="G1213" s="762">
        <f>9.02*(2.2+4*0.07)*2</f>
        <v>44.739200000000004</v>
      </c>
      <c r="H1213" s="556"/>
      <c r="I1213" s="1894"/>
      <c r="J1213" s="1894"/>
      <c r="K1213" s="1894"/>
      <c r="L1213" s="1894"/>
      <c r="M1213" s="1894"/>
      <c r="N1213" s="1894"/>
      <c r="O1213" s="1894"/>
      <c r="P1213" s="607"/>
      <c r="Q1213" s="1895"/>
      <c r="R1213" s="606"/>
      <c r="S1213" s="608"/>
      <c r="T1213" s="608"/>
      <c r="U1213" s="609"/>
    </row>
    <row r="1214" spans="1:21" s="610" customFormat="1" ht="15" customHeight="1">
      <c r="A1214" s="635"/>
      <c r="B1214" s="696" t="s">
        <v>2</v>
      </c>
      <c r="C1214" s="631">
        <f t="shared" si="612"/>
        <v>0</v>
      </c>
      <c r="D1214" s="698"/>
      <c r="E1214" s="699" t="str">
        <f>VLOOKUP($B1214,dongia1,DG!$C$5,)&amp;": thanh chống 810" &amp;" (hiện hữu di dời)"</f>
        <v>Sắt góc L50 x50 x5: thanh chống 810 (hiện hữu di dời)</v>
      </c>
      <c r="F1214" s="700" t="str">
        <f>VLOOKUP($B1214,dongia1,DG!$D$5,)</f>
        <v>kg</v>
      </c>
      <c r="G1214" s="762">
        <f>3.77*0.81*4</f>
        <v>12.2148</v>
      </c>
      <c r="H1214" s="556"/>
      <c r="I1214" s="1894"/>
      <c r="J1214" s="1894"/>
      <c r="K1214" s="1894"/>
      <c r="L1214" s="1894"/>
      <c r="M1214" s="1894"/>
      <c r="N1214" s="1894"/>
      <c r="O1214" s="1894"/>
      <c r="P1214" s="607"/>
      <c r="Q1214" s="1895"/>
      <c r="R1214" s="606"/>
      <c r="S1214" s="608"/>
      <c r="T1214" s="608"/>
      <c r="U1214" s="609"/>
    </row>
    <row r="1215" spans="1:21" s="610" customFormat="1" ht="15" customHeight="1">
      <c r="A1215" s="635"/>
      <c r="B1215" s="696" t="s">
        <v>1172</v>
      </c>
      <c r="C1215" s="631">
        <f t="shared" si="612"/>
        <v>0</v>
      </c>
      <c r="D1215" s="698"/>
      <c r="E1215" s="699" t="str">
        <f>VLOOKUP($B1215,dongia1,DG!$C$5,)</f>
        <v>Boulon 16x500+ 2 long đền vuông D18-50x50x3/Zn</v>
      </c>
      <c r="F1215" s="700" t="str">
        <f>VLOOKUP($B1215,dongia1,DG!$D$5,)</f>
        <v>bộ</v>
      </c>
      <c r="G1215" s="762">
        <v>1</v>
      </c>
      <c r="H1215" s="556"/>
      <c r="I1215" s="1894"/>
      <c r="J1215" s="1894"/>
      <c r="K1215" s="1894"/>
      <c r="L1215" s="1894"/>
      <c r="M1215" s="1894"/>
      <c r="N1215" s="1894"/>
      <c r="O1215" s="1894"/>
      <c r="P1215" s="182">
        <f>VLOOKUP($B1215,dongia1,DG!$F$5,)</f>
        <v>33500</v>
      </c>
      <c r="Q1215" s="1895"/>
      <c r="R1215" s="606"/>
      <c r="S1215" s="113">
        <f t="shared" si="609"/>
        <v>33500</v>
      </c>
      <c r="T1215" s="608"/>
      <c r="U1215" s="609"/>
    </row>
    <row r="1216" spans="1:21" s="610" customFormat="1" ht="15" customHeight="1">
      <c r="A1216" s="635"/>
      <c r="B1216" s="696" t="s">
        <v>1040</v>
      </c>
      <c r="C1216" s="631">
        <f t="shared" si="612"/>
        <v>0</v>
      </c>
      <c r="D1216" s="698"/>
      <c r="E1216" s="699" t="str">
        <f>VLOOKUP($B1216,dongia1,DG!$C$5,)</f>
        <v>Boulon 16x600+ 2 long đền vuông D18-50x50x3/Zn</v>
      </c>
      <c r="F1216" s="700" t="str">
        <f>VLOOKUP($B1216,dongia1,DG!$D$5,)</f>
        <v>bộ</v>
      </c>
      <c r="G1216" s="762">
        <v>1</v>
      </c>
      <c r="H1216" s="556"/>
      <c r="I1216" s="1894"/>
      <c r="J1216" s="1894"/>
      <c r="K1216" s="1894"/>
      <c r="L1216" s="1894"/>
      <c r="M1216" s="1894"/>
      <c r="N1216" s="1894"/>
      <c r="O1216" s="1894"/>
      <c r="P1216" s="182">
        <f>VLOOKUP($B1216,dongia1,DG!$F$5,)</f>
        <v>38610</v>
      </c>
      <c r="Q1216" s="1895"/>
      <c r="R1216" s="606"/>
      <c r="S1216" s="113">
        <f t="shared" si="609"/>
        <v>38610</v>
      </c>
      <c r="T1216" s="608"/>
      <c r="U1216" s="609"/>
    </row>
    <row r="1217" spans="1:21" s="610" customFormat="1" ht="15" customHeight="1">
      <c r="A1217" s="635"/>
      <c r="B1217" s="696" t="s">
        <v>1909</v>
      </c>
      <c r="C1217" s="631">
        <f t="shared" si="612"/>
        <v>0</v>
      </c>
      <c r="D1217" s="698"/>
      <c r="E1217" s="699" t="str">
        <f>VLOOKUP($B1217,dongia1,DG!$C$5,)</f>
        <v>Boulon 16x550VRS+ 4 long đền vuông D18-50x50x3/Zn</v>
      </c>
      <c r="F1217" s="700" t="str">
        <f>VLOOKUP($B1217,dongia1,DG!$D$5,)</f>
        <v>bộ</v>
      </c>
      <c r="G1217" s="762">
        <v>2</v>
      </c>
      <c r="H1217" s="556"/>
      <c r="I1217" s="1894"/>
      <c r="J1217" s="1894"/>
      <c r="K1217" s="1894"/>
      <c r="L1217" s="1894"/>
      <c r="M1217" s="1894"/>
      <c r="N1217" s="1894"/>
      <c r="O1217" s="1894"/>
      <c r="P1217" s="182">
        <f>VLOOKUP($B1217,dongia1,DG!$F$5,)</f>
        <v>44800</v>
      </c>
      <c r="Q1217" s="1895"/>
      <c r="R1217" s="606"/>
      <c r="S1217" s="113">
        <f t="shared" si="609"/>
        <v>89600</v>
      </c>
      <c r="T1217" s="608"/>
      <c r="U1217" s="609"/>
    </row>
    <row r="1218" spans="1:21" s="610" customFormat="1" ht="15" customHeight="1">
      <c r="A1218" s="635"/>
      <c r="B1218" s="696" t="s">
        <v>1044</v>
      </c>
      <c r="C1218" s="631">
        <f t="shared" si="612"/>
        <v>0</v>
      </c>
      <c r="D1218" s="698"/>
      <c r="E1218" s="699" t="str">
        <f>VLOOKUP($B1218,dongia1,DG!$C$5,)</f>
        <v>Boulon 16x50+ 2 long đền vuông D18-50x50x3/Zn</v>
      </c>
      <c r="F1218" s="700" t="str">
        <f>VLOOKUP($B1218,dongia1,DG!$D$5,)</f>
        <v>bộ</v>
      </c>
      <c r="G1218" s="762">
        <v>4</v>
      </c>
      <c r="H1218" s="556"/>
      <c r="I1218" s="1894"/>
      <c r="J1218" s="1894"/>
      <c r="K1218" s="1894"/>
      <c r="L1218" s="1894"/>
      <c r="M1218" s="1894"/>
      <c r="N1218" s="1894"/>
      <c r="O1218" s="1894"/>
      <c r="P1218" s="182">
        <f>VLOOKUP($B1218,dongia1,DG!$F$5,)</f>
        <v>12400</v>
      </c>
      <c r="Q1218" s="1895"/>
      <c r="R1218" s="606"/>
      <c r="S1218" s="113">
        <f t="shared" si="609"/>
        <v>49600</v>
      </c>
      <c r="T1218" s="608"/>
      <c r="U1218" s="609"/>
    </row>
    <row r="1219" spans="1:21" s="552" customFormat="1" ht="15" customHeight="1">
      <c r="A1219" s="621"/>
      <c r="B1219" s="622" t="s">
        <v>1436</v>
      </c>
      <c r="C1219" s="558">
        <f t="shared" si="610"/>
        <v>0</v>
      </c>
      <c r="D1219" s="553"/>
      <c r="E1219" s="694" t="str">
        <f>pptt_NC!JC5</f>
        <v>Lắp lại bộ xà X-2.2Đ</v>
      </c>
      <c r="F1219" s="555" t="str">
        <f>VLOOKUP($B1219,dongia1,DG!$D$5,)</f>
        <v>bộ</v>
      </c>
      <c r="G1219" s="205">
        <v>1</v>
      </c>
      <c r="H1219" s="556"/>
      <c r="I1219" s="556">
        <f t="shared" ca="1" si="606"/>
        <v>0</v>
      </c>
      <c r="J1219" s="556">
        <f ca="1">SUMIF(lapxacaitao,E1219,sllapxacaitao)</f>
        <v>0</v>
      </c>
      <c r="K1219" s="556"/>
      <c r="L1219" s="556">
        <f t="shared" ca="1" si="607"/>
        <v>0</v>
      </c>
      <c r="M1219" s="556"/>
      <c r="N1219" s="556"/>
      <c r="O1219" s="556">
        <f t="shared" si="608"/>
        <v>0</v>
      </c>
      <c r="P1219" s="182">
        <f>VLOOKUP($B1219,dongia1,DG!$F$5,)</f>
        <v>0</v>
      </c>
      <c r="Q1219" s="603"/>
      <c r="R1219" s="554"/>
      <c r="S1219" s="113">
        <f t="shared" si="609"/>
        <v>0</v>
      </c>
      <c r="T1219" s="113">
        <f t="shared" si="609"/>
        <v>0</v>
      </c>
      <c r="U1219" s="609">
        <f>$G1219*R1219</f>
        <v>0</v>
      </c>
    </row>
    <row r="1220" spans="1:21" s="552" customFormat="1" ht="15" customHeight="1">
      <c r="A1220" s="621"/>
      <c r="B1220" s="622" t="s">
        <v>813</v>
      </c>
      <c r="C1220" s="558">
        <f t="shared" si="610"/>
        <v>0</v>
      </c>
      <c r="D1220" s="553"/>
      <c r="E1220" s="694" t="str">
        <f>pptt_NC!JD5</f>
        <v>Lắp lại bộ xà X-2.1KL</v>
      </c>
      <c r="F1220" s="555" t="str">
        <f>VLOOKUP($B1220,dongia1,DG!$D$5,)</f>
        <v>bộ</v>
      </c>
      <c r="G1220" s="205">
        <v>1</v>
      </c>
      <c r="H1220" s="556"/>
      <c r="I1220" s="556">
        <f t="shared" ca="1" si="606"/>
        <v>0</v>
      </c>
      <c r="J1220" s="556">
        <f ca="1">SUMIF(lapxacaitao,E1220,sllapxacaitao)</f>
        <v>0</v>
      </c>
      <c r="K1220" s="556"/>
      <c r="L1220" s="556">
        <f t="shared" ca="1" si="607"/>
        <v>0</v>
      </c>
      <c r="M1220" s="556"/>
      <c r="N1220" s="556"/>
      <c r="O1220" s="556">
        <f t="shared" si="608"/>
        <v>0</v>
      </c>
      <c r="P1220" s="182">
        <f>VLOOKUP($B1220,dongia1,DG!$F$5,)</f>
        <v>0</v>
      </c>
      <c r="Q1220" s="603"/>
      <c r="R1220" s="554"/>
      <c r="S1220" s="113">
        <f t="shared" si="609"/>
        <v>0</v>
      </c>
      <c r="T1220" s="113">
        <f t="shared" si="609"/>
        <v>0</v>
      </c>
      <c r="U1220" s="609">
        <f>$G1220*R1220</f>
        <v>0</v>
      </c>
    </row>
    <row r="1221" spans="1:21" s="552" customFormat="1" ht="15" customHeight="1">
      <c r="A1221" s="621"/>
      <c r="B1221" s="622" t="s">
        <v>534</v>
      </c>
      <c r="C1221" s="558">
        <f t="shared" si="610"/>
        <v>0</v>
      </c>
      <c r="D1221" s="553"/>
      <c r="E1221" s="694" t="str">
        <f>pptt_NC!JE5</f>
        <v>Lắp lại bộ xà X-2.1ĐL</v>
      </c>
      <c r="F1221" s="555" t="str">
        <f>VLOOKUP($B1221,dongia1,DG!$D$5,)</f>
        <v>bộ</v>
      </c>
      <c r="G1221" s="205">
        <v>1</v>
      </c>
      <c r="H1221" s="556"/>
      <c r="I1221" s="556">
        <f t="shared" ca="1" si="606"/>
        <v>0</v>
      </c>
      <c r="J1221" s="556">
        <f ca="1">SUMIF(lapxacaitao,E1221,sllapxacaitao)</f>
        <v>0</v>
      </c>
      <c r="K1221" s="556"/>
      <c r="L1221" s="556">
        <f t="shared" ca="1" si="607"/>
        <v>0</v>
      </c>
      <c r="M1221" s="556"/>
      <c r="N1221" s="556"/>
      <c r="O1221" s="556">
        <f t="shared" si="608"/>
        <v>0</v>
      </c>
      <c r="P1221" s="182">
        <f>VLOOKUP($B1221,dongia1,DG!$F$5,)</f>
        <v>0</v>
      </c>
      <c r="Q1221" s="603"/>
      <c r="R1221" s="554"/>
      <c r="S1221" s="113">
        <f t="shared" si="609"/>
        <v>0</v>
      </c>
      <c r="T1221" s="113">
        <f t="shared" si="609"/>
        <v>0</v>
      </c>
      <c r="U1221" s="609">
        <f>$G1221*R1221</f>
        <v>0</v>
      </c>
    </row>
    <row r="1222" spans="1:21" s="610" customFormat="1" ht="15" customHeight="1">
      <c r="A1222" s="635"/>
      <c r="B1222" s="636" t="s">
        <v>4873</v>
      </c>
      <c r="C1222" s="637">
        <f t="shared" si="610"/>
        <v>0</v>
      </c>
      <c r="D1222" s="599">
        <v>8</v>
      </c>
      <c r="E1222" s="727" t="str">
        <f>pptt_NC!JF5</f>
        <v>Lắp lại bộ xà X-2.0KL2/3</v>
      </c>
      <c r="F1222" s="600" t="str">
        <f>VLOOKUP($B1222,dongia1,DG!$D$5,)</f>
        <v>bộ</v>
      </c>
      <c r="G1222" s="604">
        <v>1</v>
      </c>
      <c r="H1222" s="605"/>
      <c r="I1222" s="1894">
        <f t="shared" ca="1" si="606"/>
        <v>0</v>
      </c>
      <c r="J1222" s="1894">
        <f ca="1">SUMIF(lapxacaitao,E1222,sllapxacaitao)</f>
        <v>0</v>
      </c>
      <c r="K1222" s="1894"/>
      <c r="L1222" s="1894">
        <f t="shared" ca="1" si="607"/>
        <v>0</v>
      </c>
      <c r="M1222" s="1894"/>
      <c r="N1222" s="1894"/>
      <c r="O1222" s="1894">
        <f t="shared" si="608"/>
        <v>0</v>
      </c>
      <c r="P1222" s="607">
        <f>VLOOKUP($B1222,dongia1,DG!$F$5,)</f>
        <v>0</v>
      </c>
      <c r="Q1222" s="1895"/>
      <c r="R1222" s="606"/>
      <c r="S1222" s="601">
        <f>SUM(S1223:S1227)</f>
        <v>139200</v>
      </c>
      <c r="T1222" s="601">
        <f>SUM(T1223:T1227)</f>
        <v>0</v>
      </c>
      <c r="U1222" s="609">
        <f>$G1222*R1222</f>
        <v>0</v>
      </c>
    </row>
    <row r="1223" spans="1:21" s="552" customFormat="1" ht="15" customHeight="1">
      <c r="A1223" s="621"/>
      <c r="B1223" s="622" t="s">
        <v>386</v>
      </c>
      <c r="C1223" s="558">
        <f>C1222</f>
        <v>0</v>
      </c>
      <c r="D1223" s="553"/>
      <c r="E1223" s="694" t="str">
        <f>VLOOKUP($B1223,dongia1,DG!$C$5,)&amp;" (hiện hữu di dời)"</f>
        <v>Sắt góc L75 x75 x8 (hiện hữu di dời)</v>
      </c>
      <c r="F1223" s="555" t="str">
        <f>VLOOKUP($B1223,dongia1,DG!$D$5,)</f>
        <v>kg</v>
      </c>
      <c r="G1223" s="205">
        <f>9.02*(2+4*0.07)*2</f>
        <v>41.1312</v>
      </c>
      <c r="H1223" s="556"/>
      <c r="I1223" s="826"/>
      <c r="J1223" s="826"/>
      <c r="K1223" s="826"/>
      <c r="L1223" s="826"/>
      <c r="M1223" s="826"/>
      <c r="N1223" s="826"/>
      <c r="O1223" s="826"/>
      <c r="P1223" s="182"/>
      <c r="Q1223" s="603"/>
      <c r="R1223" s="554"/>
      <c r="S1223" s="113">
        <f t="shared" si="609"/>
        <v>0</v>
      </c>
      <c r="T1223" s="113"/>
      <c r="U1223" s="609"/>
    </row>
    <row r="1224" spans="1:21" s="552" customFormat="1" ht="15" customHeight="1">
      <c r="A1224" s="621"/>
      <c r="B1224" s="622" t="s">
        <v>2</v>
      </c>
      <c r="C1224" s="558">
        <f>C1223</f>
        <v>0</v>
      </c>
      <c r="D1224" s="553"/>
      <c r="E1224" s="694" t="str">
        <f>VLOOKUP($B1224,dongia1,DG!$C$5,)&amp;" (hiện hữu di dời)"</f>
        <v>Sắt góc L50 x50 x5 (hiện hữu di dời)</v>
      </c>
      <c r="F1224" s="555" t="str">
        <f>VLOOKUP($B1224,dongia1,DG!$D$5,)</f>
        <v>kg</v>
      </c>
      <c r="G1224" s="205">
        <f>3.77*1.15*2</f>
        <v>8.6709999999999994</v>
      </c>
      <c r="H1224" s="556"/>
      <c r="I1224" s="826"/>
      <c r="J1224" s="826"/>
      <c r="K1224" s="826"/>
      <c r="L1224" s="826"/>
      <c r="M1224" s="826"/>
      <c r="N1224" s="826"/>
      <c r="O1224" s="826"/>
      <c r="P1224" s="182"/>
      <c r="Q1224" s="603"/>
      <c r="R1224" s="554"/>
      <c r="S1224" s="113">
        <f t="shared" si="609"/>
        <v>0</v>
      </c>
      <c r="T1224" s="113"/>
      <c r="U1224" s="609"/>
    </row>
    <row r="1225" spans="1:21" s="552" customFormat="1" ht="15" customHeight="1">
      <c r="A1225" s="621"/>
      <c r="B1225" s="622" t="s">
        <v>364</v>
      </c>
      <c r="C1225" s="558">
        <f>C1223</f>
        <v>0</v>
      </c>
      <c r="D1225" s="553"/>
      <c r="E1225" s="694" t="str">
        <f>VLOOKUP($B1225,dongia1,DG!$C$5,)</f>
        <v>Boulon 16x300VRS+ 4 long đền vuông D18-50x50x3/Zn</v>
      </c>
      <c r="F1225" s="555" t="str">
        <f>VLOOKUP($B1225,dongia1,DG!$D$5,)</f>
        <v>bộ</v>
      </c>
      <c r="G1225" s="205">
        <v>2</v>
      </c>
      <c r="H1225" s="556"/>
      <c r="I1225" s="826"/>
      <c r="J1225" s="826"/>
      <c r="K1225" s="826"/>
      <c r="L1225" s="826"/>
      <c r="M1225" s="826"/>
      <c r="N1225" s="826"/>
      <c r="O1225" s="826"/>
      <c r="P1225" s="182">
        <f>VLOOKUP($B1225,dongia1,DG!$F$5,)</f>
        <v>31800</v>
      </c>
      <c r="Q1225" s="603"/>
      <c r="R1225" s="554"/>
      <c r="S1225" s="113">
        <f>$G1225*P1225</f>
        <v>63600</v>
      </c>
      <c r="T1225" s="113"/>
      <c r="U1225" s="609"/>
    </row>
    <row r="1226" spans="1:21" s="552" customFormat="1" ht="15" customHeight="1">
      <c r="A1226" s="621"/>
      <c r="B1226" s="622" t="s">
        <v>1262</v>
      </c>
      <c r="C1226" s="558">
        <f>C1224</f>
        <v>0</v>
      </c>
      <c r="D1226" s="553"/>
      <c r="E1226" s="694" t="str">
        <f>VLOOKUP($B1226,dongia1,DG!$C$5,)</f>
        <v>Boulon 16x300+ 2 long đền vuông D18-50x50x3/Zn</v>
      </c>
      <c r="F1226" s="555" t="str">
        <f>VLOOKUP($B1226,dongia1,DG!$D$5,)</f>
        <v>bộ</v>
      </c>
      <c r="G1226" s="205">
        <v>2</v>
      </c>
      <c r="H1226" s="556"/>
      <c r="I1226" s="826"/>
      <c r="J1226" s="826"/>
      <c r="K1226" s="826"/>
      <c r="L1226" s="826"/>
      <c r="M1226" s="826"/>
      <c r="N1226" s="826"/>
      <c r="O1226" s="826"/>
      <c r="P1226" s="182">
        <f>VLOOKUP($B1226,dongia1,DG!$F$5,)</f>
        <v>25400</v>
      </c>
      <c r="Q1226" s="603"/>
      <c r="R1226" s="554"/>
      <c r="S1226" s="113">
        <f t="shared" si="609"/>
        <v>50800</v>
      </c>
      <c r="T1226" s="113"/>
      <c r="U1226" s="609"/>
    </row>
    <row r="1227" spans="1:21" s="552" customFormat="1" ht="15" customHeight="1">
      <c r="A1227" s="621"/>
      <c r="B1227" s="622" t="s">
        <v>1044</v>
      </c>
      <c r="C1227" s="558">
        <f>C1226</f>
        <v>0</v>
      </c>
      <c r="D1227" s="553"/>
      <c r="E1227" s="694" t="str">
        <f>VLOOKUP($B1227,dongia1,DG!$C$5,)</f>
        <v>Boulon 16x50+ 2 long đền vuông D18-50x50x3/Zn</v>
      </c>
      <c r="F1227" s="555" t="str">
        <f>VLOOKUP($B1227,dongia1,DG!$D$5,)</f>
        <v>bộ</v>
      </c>
      <c r="G1227" s="205">
        <v>2</v>
      </c>
      <c r="H1227" s="556"/>
      <c r="I1227" s="826"/>
      <c r="J1227" s="826"/>
      <c r="K1227" s="826"/>
      <c r="L1227" s="826"/>
      <c r="M1227" s="826"/>
      <c r="N1227" s="826"/>
      <c r="O1227" s="826"/>
      <c r="P1227" s="182">
        <f>VLOOKUP($B1227,dongia1,DG!$F$5,)</f>
        <v>12400</v>
      </c>
      <c r="Q1227" s="603"/>
      <c r="R1227" s="554"/>
      <c r="S1227" s="113">
        <f t="shared" si="609"/>
        <v>24800</v>
      </c>
      <c r="T1227" s="113"/>
      <c r="U1227" s="609"/>
    </row>
    <row r="1228" spans="1:21" s="610" customFormat="1" ht="15" customHeight="1">
      <c r="A1228" s="635"/>
      <c r="B1228" s="636" t="s">
        <v>4905</v>
      </c>
      <c r="C1228" s="637">
        <f t="shared" si="610"/>
        <v>0</v>
      </c>
      <c r="D1228" s="599">
        <v>9</v>
      </c>
      <c r="E1228" s="727" t="str">
        <f>pptt_NC!JG5</f>
        <v>Lắp lại bộ xà X-2.0ĐL2/3</v>
      </c>
      <c r="F1228" s="600" t="str">
        <f>VLOOKUP($B1228,dongia1,DG!$D$5,)</f>
        <v>bộ</v>
      </c>
      <c r="G1228" s="604">
        <v>1</v>
      </c>
      <c r="H1228" s="605"/>
      <c r="I1228" s="605">
        <f t="shared" ca="1" si="606"/>
        <v>0</v>
      </c>
      <c r="J1228" s="605">
        <f ca="1">SUMIF(lapxacaitao,E1228,sllapxacaitao)</f>
        <v>0</v>
      </c>
      <c r="K1228" s="605"/>
      <c r="L1228" s="605">
        <f t="shared" ca="1" si="607"/>
        <v>0</v>
      </c>
      <c r="M1228" s="605"/>
      <c r="N1228" s="605"/>
      <c r="O1228" s="605">
        <f t="shared" si="608"/>
        <v>0</v>
      </c>
      <c r="P1228" s="607">
        <f>VLOOKUP($B1228,dongia1,DG!$F$5,)</f>
        <v>0</v>
      </c>
      <c r="Q1228" s="1895"/>
      <c r="R1228" s="606"/>
      <c r="S1228" s="601">
        <f>SUM(S1229:S1233)</f>
        <v>75600</v>
      </c>
      <c r="T1228" s="601">
        <f>SUM(T1229:T1233)</f>
        <v>0</v>
      </c>
      <c r="U1228" s="609">
        <f>$G1228*R1228</f>
        <v>0</v>
      </c>
    </row>
    <row r="1229" spans="1:21" s="552" customFormat="1" ht="15" customHeight="1">
      <c r="A1229" s="621"/>
      <c r="B1229" s="622" t="s">
        <v>386</v>
      </c>
      <c r="C1229" s="558">
        <f>C1228</f>
        <v>0</v>
      </c>
      <c r="D1229" s="553"/>
      <c r="E1229" s="694" t="str">
        <f>VLOOKUP($B1229,dongia1,DG!$C$5,)&amp;" (hiện hữu di dời)"</f>
        <v>Sắt góc L75 x75 x8 (hiện hữu di dời)</v>
      </c>
      <c r="F1229" s="555" t="str">
        <f>VLOOKUP($B1229,dongia1,DG!$D$5,)</f>
        <v>kg</v>
      </c>
      <c r="G1229" s="205">
        <f>9.02*2.2</f>
        <v>19.844000000000001</v>
      </c>
      <c r="H1229" s="556"/>
      <c r="I1229" s="826"/>
      <c r="J1229" s="826"/>
      <c r="K1229" s="826"/>
      <c r="L1229" s="826"/>
      <c r="M1229" s="826"/>
      <c r="N1229" s="826"/>
      <c r="O1229" s="826"/>
      <c r="P1229" s="182"/>
      <c r="Q1229" s="603"/>
      <c r="R1229" s="554"/>
      <c r="S1229" s="113">
        <f>$G1229*P1229</f>
        <v>0</v>
      </c>
      <c r="T1229" s="113"/>
      <c r="U1229" s="609"/>
    </row>
    <row r="1230" spans="1:21" s="552" customFormat="1" ht="15" customHeight="1">
      <c r="A1230" s="621"/>
      <c r="B1230" s="622" t="s">
        <v>2</v>
      </c>
      <c r="C1230" s="558">
        <f>C1229</f>
        <v>0</v>
      </c>
      <c r="D1230" s="553"/>
      <c r="E1230" s="694" t="str">
        <f>VLOOKUP($B1230,dongia1,DG!$C$5,)&amp;" (hiện hữu di dời)"</f>
        <v>Sắt góc L50 x50 x5 (hiện hữu di dời)</v>
      </c>
      <c r="F1230" s="555" t="str">
        <f>VLOOKUP($B1230,dongia1,DG!$D$5,)</f>
        <v>kg</v>
      </c>
      <c r="G1230" s="205">
        <f>3.77*0.72*2</f>
        <v>5.4287999999999998</v>
      </c>
      <c r="H1230" s="556"/>
      <c r="I1230" s="826"/>
      <c r="J1230" s="826"/>
      <c r="K1230" s="826"/>
      <c r="L1230" s="826"/>
      <c r="M1230" s="826"/>
      <c r="N1230" s="826"/>
      <c r="O1230" s="826"/>
      <c r="P1230" s="182"/>
      <c r="Q1230" s="603"/>
      <c r="R1230" s="554"/>
      <c r="S1230" s="113">
        <f>$G1230*P1230</f>
        <v>0</v>
      </c>
      <c r="T1230" s="113"/>
      <c r="U1230" s="609"/>
    </row>
    <row r="1231" spans="1:21" s="552" customFormat="1" ht="15" customHeight="1">
      <c r="A1231" s="621"/>
      <c r="B1231" s="622" t="s">
        <v>1262</v>
      </c>
      <c r="C1231" s="558">
        <f>C1230</f>
        <v>0</v>
      </c>
      <c r="D1231" s="553"/>
      <c r="E1231" s="694" t="str">
        <f>VLOOKUP($B1231,dongia1,DG!$C$5,)</f>
        <v>Boulon 16x300+ 2 long đền vuông D18-50x50x3/Zn</v>
      </c>
      <c r="F1231" s="555" t="str">
        <f>VLOOKUP($B1231,dongia1,DG!$D$5,)</f>
        <v>bộ</v>
      </c>
      <c r="G1231" s="205">
        <v>2</v>
      </c>
      <c r="H1231" s="556"/>
      <c r="I1231" s="826"/>
      <c r="J1231" s="826"/>
      <c r="K1231" s="826"/>
      <c r="L1231" s="826"/>
      <c r="M1231" s="826"/>
      <c r="N1231" s="826"/>
      <c r="O1231" s="826"/>
      <c r="P1231" s="182">
        <f>VLOOKUP($B1231,dongia1,DG!$F$5,)</f>
        <v>25400</v>
      </c>
      <c r="Q1231" s="603"/>
      <c r="R1231" s="554"/>
      <c r="S1231" s="113">
        <f>$G1231*P1231</f>
        <v>50800</v>
      </c>
      <c r="T1231" s="113"/>
      <c r="U1231" s="609"/>
    </row>
    <row r="1232" spans="1:21" s="552" customFormat="1" ht="15" customHeight="1">
      <c r="A1232" s="621"/>
      <c r="B1232" s="622" t="s">
        <v>1044</v>
      </c>
      <c r="C1232" s="558">
        <f>C1231</f>
        <v>0</v>
      </c>
      <c r="D1232" s="553"/>
      <c r="E1232" s="694" t="str">
        <f>VLOOKUP($B1232,dongia1,DG!$C$5,)</f>
        <v>Boulon 16x50+ 2 long đền vuông D18-50x50x3/Zn</v>
      </c>
      <c r="F1232" s="555" t="str">
        <f>VLOOKUP($B1232,dongia1,DG!$D$5,)</f>
        <v>bộ</v>
      </c>
      <c r="G1232" s="205">
        <v>2</v>
      </c>
      <c r="H1232" s="556"/>
      <c r="I1232" s="826"/>
      <c r="J1232" s="826"/>
      <c r="K1232" s="826"/>
      <c r="L1232" s="826"/>
      <c r="M1232" s="826"/>
      <c r="N1232" s="826"/>
      <c r="O1232" s="826"/>
      <c r="P1232" s="182">
        <f>VLOOKUP($B1232,dongia1,DG!$F$5,)</f>
        <v>12400</v>
      </c>
      <c r="Q1232" s="603"/>
      <c r="R1232" s="554"/>
      <c r="S1232" s="113">
        <f>$G1232*P1232</f>
        <v>24800</v>
      </c>
      <c r="T1232" s="113"/>
      <c r="U1232" s="609"/>
    </row>
    <row r="1233" spans="1:21" s="552" customFormat="1" ht="15" customHeight="1">
      <c r="A1233" s="621"/>
      <c r="B1233" s="622" t="s">
        <v>534</v>
      </c>
      <c r="C1233" s="558">
        <f t="shared" si="610"/>
        <v>0</v>
      </c>
      <c r="D1233" s="553"/>
      <c r="E1233" s="694" t="str">
        <f>pptt_NC!JH5</f>
        <v>Lắp lại bộ xà X-1.66K</v>
      </c>
      <c r="F1233" s="555" t="str">
        <f>VLOOKUP($B1233,dongia1,DG!$D$5,)</f>
        <v>bộ</v>
      </c>
      <c r="G1233" s="205">
        <v>1</v>
      </c>
      <c r="H1233" s="556"/>
      <c r="I1233" s="556">
        <f t="shared" ca="1" si="606"/>
        <v>0</v>
      </c>
      <c r="J1233" s="556">
        <f t="shared" ref="J1233:J1244" ca="1" si="613">SUMIF(lapxacaitao,E1233,sllapxacaitao)</f>
        <v>0</v>
      </c>
      <c r="K1233" s="556"/>
      <c r="L1233" s="556">
        <f t="shared" ca="1" si="607"/>
        <v>0</v>
      </c>
      <c r="M1233" s="556"/>
      <c r="N1233" s="556"/>
      <c r="O1233" s="556">
        <f t="shared" si="608"/>
        <v>0</v>
      </c>
      <c r="P1233" s="182">
        <f>VLOOKUP($B1233,dongia1,DG!$F$5,)</f>
        <v>0</v>
      </c>
      <c r="Q1233" s="603"/>
      <c r="R1233" s="554"/>
      <c r="S1233" s="113">
        <f t="shared" si="609"/>
        <v>0</v>
      </c>
      <c r="T1233" s="113">
        <f t="shared" si="609"/>
        <v>0</v>
      </c>
      <c r="U1233" s="609">
        <f t="shared" ref="U1233:U1244" si="614">$G1233*R1233</f>
        <v>0</v>
      </c>
    </row>
    <row r="1234" spans="1:21" s="998" customFormat="1" ht="15" customHeight="1">
      <c r="A1234" s="989"/>
      <c r="B1234" s="678" t="s">
        <v>371</v>
      </c>
      <c r="C1234" s="1027">
        <f t="shared" si="610"/>
        <v>0</v>
      </c>
      <c r="D1234" s="992"/>
      <c r="E1234" s="999" t="str">
        <f>pptt_NC!JI5</f>
        <v>Lắp lại bộ xà X-1.66Đ</v>
      </c>
      <c r="F1234" s="794" t="str">
        <f>VLOOKUP($B1234,dongia1,DG!$D$5,)</f>
        <v>bộ</v>
      </c>
      <c r="G1234" s="1028">
        <v>1</v>
      </c>
      <c r="H1234" s="994"/>
      <c r="I1234" s="556">
        <f t="shared" ca="1" si="606"/>
        <v>0</v>
      </c>
      <c r="J1234" s="556">
        <f t="shared" ca="1" si="613"/>
        <v>0</v>
      </c>
      <c r="K1234" s="556">
        <f>pp3p1m!IB10</f>
        <v>0</v>
      </c>
      <c r="L1234" s="556">
        <f t="shared" ca="1" si="607"/>
        <v>0</v>
      </c>
      <c r="M1234" s="556"/>
      <c r="N1234" s="556"/>
      <c r="O1234" s="556">
        <f t="shared" si="608"/>
        <v>0</v>
      </c>
      <c r="P1234" s="995">
        <f>VLOOKUP($B1234,dongia1,DG!$F$5,)</f>
        <v>0</v>
      </c>
      <c r="Q1234" s="1030"/>
      <c r="R1234" s="1031"/>
      <c r="S1234" s="996">
        <f t="shared" si="609"/>
        <v>0</v>
      </c>
      <c r="T1234" s="113">
        <f t="shared" si="609"/>
        <v>0</v>
      </c>
      <c r="U1234" s="609">
        <f t="shared" si="614"/>
        <v>0</v>
      </c>
    </row>
    <row r="1235" spans="1:21" s="552" customFormat="1" ht="15" customHeight="1">
      <c r="A1235" s="621"/>
      <c r="B1235" s="622" t="s">
        <v>32</v>
      </c>
      <c r="C1235" s="558">
        <f t="shared" si="610"/>
        <v>0</v>
      </c>
      <c r="D1235" s="553"/>
      <c r="E1235" s="694" t="str">
        <f>pptt_NC!JJ5</f>
        <v>Lắp lại bộ xà X-8ĐL</v>
      </c>
      <c r="F1235" s="555" t="str">
        <f>VLOOKUP($B1235,dongia1,DG!$D$5,)</f>
        <v>bộ</v>
      </c>
      <c r="G1235" s="205">
        <v>1</v>
      </c>
      <c r="H1235" s="556"/>
      <c r="I1235" s="556">
        <f t="shared" ca="1" si="606"/>
        <v>0</v>
      </c>
      <c r="J1235" s="556">
        <f t="shared" ca="1" si="613"/>
        <v>0</v>
      </c>
      <c r="K1235" s="556"/>
      <c r="L1235" s="556">
        <f t="shared" ca="1" si="607"/>
        <v>0</v>
      </c>
      <c r="M1235" s="556"/>
      <c r="N1235" s="556"/>
      <c r="O1235" s="556">
        <f t="shared" si="608"/>
        <v>0</v>
      </c>
      <c r="P1235" s="182">
        <f>VLOOKUP($B1235,dongia1,DG!$F$5,)</f>
        <v>0</v>
      </c>
      <c r="Q1235" s="603"/>
      <c r="R1235" s="554"/>
      <c r="S1235" s="113">
        <f t="shared" si="609"/>
        <v>0</v>
      </c>
      <c r="T1235" s="113">
        <f t="shared" si="609"/>
        <v>0</v>
      </c>
      <c r="U1235" s="609">
        <f t="shared" si="614"/>
        <v>0</v>
      </c>
    </row>
    <row r="1236" spans="1:21" s="552" customFormat="1" ht="15" customHeight="1">
      <c r="A1236" s="621"/>
      <c r="B1236" s="622" t="s">
        <v>534</v>
      </c>
      <c r="C1236" s="558">
        <f t="shared" si="610"/>
        <v>0</v>
      </c>
      <c r="D1236" s="553"/>
      <c r="E1236" s="694" t="str">
        <f>pptt_NC!JK5</f>
        <v>Lắp lại bộ xà X-8KL</v>
      </c>
      <c r="F1236" s="555" t="str">
        <f>VLOOKUP($B1236,dongia1,DG!$D$5,)</f>
        <v>bộ</v>
      </c>
      <c r="G1236" s="205">
        <v>1</v>
      </c>
      <c r="H1236" s="556"/>
      <c r="I1236" s="556">
        <f t="shared" ca="1" si="606"/>
        <v>0</v>
      </c>
      <c r="J1236" s="556">
        <f t="shared" ca="1" si="613"/>
        <v>0</v>
      </c>
      <c r="K1236" s="556"/>
      <c r="L1236" s="556">
        <f t="shared" ca="1" si="607"/>
        <v>0</v>
      </c>
      <c r="M1236" s="556"/>
      <c r="N1236" s="556"/>
      <c r="O1236" s="556">
        <f t="shared" si="608"/>
        <v>0</v>
      </c>
      <c r="P1236" s="182">
        <f>VLOOKUP($B1236,dongia1,DG!$F$5,)</f>
        <v>0</v>
      </c>
      <c r="Q1236" s="603"/>
      <c r="R1236" s="554"/>
      <c r="S1236" s="113">
        <f t="shared" si="609"/>
        <v>0</v>
      </c>
      <c r="T1236" s="113">
        <f t="shared" si="609"/>
        <v>0</v>
      </c>
      <c r="U1236" s="609">
        <f t="shared" si="614"/>
        <v>0</v>
      </c>
    </row>
    <row r="1237" spans="1:21" s="998" customFormat="1">
      <c r="A1237" s="989"/>
      <c r="B1237" s="622" t="s">
        <v>372</v>
      </c>
      <c r="C1237" s="1027">
        <f t="shared" si="610"/>
        <v>0</v>
      </c>
      <c r="D1237" s="992"/>
      <c r="E1237" s="999" t="str">
        <f>pptt_NC!JL5</f>
        <v>Lắp lại bộ xà X-8DCP</v>
      </c>
      <c r="F1237" s="794" t="str">
        <f>VLOOKUP($B1237,dongia1,DG!$D$5,)</f>
        <v>bộ</v>
      </c>
      <c r="G1237" s="1028">
        <v>1</v>
      </c>
      <c r="H1237" s="994"/>
      <c r="I1237" s="556">
        <f t="shared" ca="1" si="606"/>
        <v>0</v>
      </c>
      <c r="J1237" s="556">
        <f t="shared" ca="1" si="613"/>
        <v>0</v>
      </c>
      <c r="K1237" s="556"/>
      <c r="L1237" s="556">
        <f t="shared" ca="1" si="607"/>
        <v>0</v>
      </c>
      <c r="M1237" s="556"/>
      <c r="N1237" s="556"/>
      <c r="O1237" s="556">
        <f t="shared" si="608"/>
        <v>0</v>
      </c>
      <c r="P1237" s="995">
        <f>VLOOKUP($B1237,dongia1,DG!$F$5,)</f>
        <v>0</v>
      </c>
      <c r="Q1237" s="1030"/>
      <c r="R1237" s="1031"/>
      <c r="S1237" s="996">
        <f t="shared" si="609"/>
        <v>0</v>
      </c>
      <c r="T1237" s="113">
        <f t="shared" si="609"/>
        <v>0</v>
      </c>
      <c r="U1237" s="609">
        <f t="shared" si="614"/>
        <v>0</v>
      </c>
    </row>
    <row r="1238" spans="1:21" s="1011" customFormat="1">
      <c r="A1238" s="1000"/>
      <c r="B1238" s="696" t="s">
        <v>372</v>
      </c>
      <c r="C1238" s="1029">
        <f t="shared" si="610"/>
        <v>0</v>
      </c>
      <c r="D1238" s="1003"/>
      <c r="E1238" s="1004" t="str">
        <f>pptt_NC!JM5</f>
        <v>Lắp lại giá T đỡ FCO</v>
      </c>
      <c r="F1238" s="1005" t="str">
        <f>VLOOKUP($B1238,dongia1,DG!$D$5,)</f>
        <v>bộ</v>
      </c>
      <c r="G1238" s="1006">
        <v>1</v>
      </c>
      <c r="H1238" s="1007"/>
      <c r="I1238" s="701">
        <f t="shared" ca="1" si="606"/>
        <v>0</v>
      </c>
      <c r="J1238" s="701">
        <f t="shared" ca="1" si="613"/>
        <v>0</v>
      </c>
      <c r="K1238" s="701"/>
      <c r="L1238" s="701">
        <f t="shared" ca="1" si="607"/>
        <v>0</v>
      </c>
      <c r="M1238" s="701"/>
      <c r="N1238" s="701"/>
      <c r="O1238" s="701">
        <f t="shared" si="608"/>
        <v>0</v>
      </c>
      <c r="P1238" s="1008">
        <f>VLOOKUP($B1238,dongia1,DG!$F$5,)</f>
        <v>0</v>
      </c>
      <c r="Q1238" s="1012"/>
      <c r="R1238" s="1009"/>
      <c r="S1238" s="1008">
        <f t="shared" ref="S1238:T1244" si="615">$G1238*P1238</f>
        <v>0</v>
      </c>
      <c r="T1238" s="113">
        <f t="shared" si="615"/>
        <v>0</v>
      </c>
      <c r="U1238" s="609">
        <f t="shared" si="614"/>
        <v>0</v>
      </c>
    </row>
    <row r="1239" spans="1:21" s="998" customFormat="1">
      <c r="A1239" s="989"/>
      <c r="B1239" s="990" t="s">
        <v>4444</v>
      </c>
      <c r="C1239" s="1027">
        <f t="shared" si="610"/>
        <v>0</v>
      </c>
      <c r="D1239" s="992"/>
      <c r="E1239" s="999" t="str">
        <f>pptt_NC!JN5</f>
        <v>Lắp lại bộ chằng xuống kép trung thế</v>
      </c>
      <c r="F1239" s="794" t="str">
        <f>VLOOKUP($B1239,dongia1,DG!$D$5,)</f>
        <v>bộ</v>
      </c>
      <c r="G1239" s="1028">
        <v>1</v>
      </c>
      <c r="H1239" s="994"/>
      <c r="I1239" s="556">
        <f t="shared" ca="1" si="606"/>
        <v>0</v>
      </c>
      <c r="J1239" s="556">
        <f t="shared" ca="1" si="613"/>
        <v>0</v>
      </c>
      <c r="K1239" s="556"/>
      <c r="L1239" s="556">
        <f t="shared" ca="1" si="607"/>
        <v>0</v>
      </c>
      <c r="M1239" s="556"/>
      <c r="N1239" s="556"/>
      <c r="O1239" s="556">
        <f t="shared" si="608"/>
        <v>0</v>
      </c>
      <c r="P1239" s="995">
        <f>VLOOKUP($B1239,dongia1,DG!$F$5,)</f>
        <v>0</v>
      </c>
      <c r="Q1239" s="995"/>
      <c r="R1239" s="1031"/>
      <c r="S1239" s="996">
        <f t="shared" si="615"/>
        <v>0</v>
      </c>
      <c r="T1239" s="996">
        <f t="shared" ref="T1239:T1244" si="616">$G1239*Q1239</f>
        <v>0</v>
      </c>
      <c r="U1239" s="609">
        <f t="shared" si="614"/>
        <v>0</v>
      </c>
    </row>
    <row r="1240" spans="1:21" s="552" customFormat="1" ht="15" customHeight="1">
      <c r="A1240" s="621"/>
      <c r="B1240" s="622" t="s">
        <v>4444</v>
      </c>
      <c r="C1240" s="558">
        <f t="shared" si="610"/>
        <v>0</v>
      </c>
      <c r="D1240" s="553"/>
      <c r="E1240" s="694" t="str">
        <f>pptt_NC!JO5</f>
        <v>Lắp lại bộ chằng lệch kép trung thế</v>
      </c>
      <c r="F1240" s="555" t="str">
        <f>VLOOKUP($B1240,dongia1,DG!$D$5,)</f>
        <v>bộ</v>
      </c>
      <c r="G1240" s="205">
        <v>1</v>
      </c>
      <c r="H1240" s="556"/>
      <c r="I1240" s="556">
        <f t="shared" ca="1" si="606"/>
        <v>0</v>
      </c>
      <c r="J1240" s="556">
        <f t="shared" ca="1" si="613"/>
        <v>0</v>
      </c>
      <c r="K1240" s="556"/>
      <c r="L1240" s="556">
        <f t="shared" ca="1" si="607"/>
        <v>0</v>
      </c>
      <c r="M1240" s="556"/>
      <c r="N1240" s="556"/>
      <c r="O1240" s="556">
        <f t="shared" si="608"/>
        <v>0</v>
      </c>
      <c r="P1240" s="182">
        <f>VLOOKUP($B1240,dongia1,DG!$F$5,)</f>
        <v>0</v>
      </c>
      <c r="Q1240" s="182"/>
      <c r="R1240" s="554"/>
      <c r="S1240" s="113">
        <f t="shared" si="615"/>
        <v>0</v>
      </c>
      <c r="T1240" s="113">
        <f t="shared" si="616"/>
        <v>0</v>
      </c>
      <c r="U1240" s="557">
        <f t="shared" si="614"/>
        <v>0</v>
      </c>
    </row>
    <row r="1241" spans="1:21" s="998" customFormat="1">
      <c r="A1241" s="989"/>
      <c r="B1241" s="990" t="s">
        <v>4444</v>
      </c>
      <c r="C1241" s="1027">
        <f t="shared" si="610"/>
        <v>0</v>
      </c>
      <c r="D1241" s="992"/>
      <c r="E1241" s="999">
        <f>pptt_NC!JP4</f>
        <v>0</v>
      </c>
      <c r="F1241" s="794" t="str">
        <f>VLOOKUP($B1241,dongia1,DG!$D$5,)</f>
        <v>bộ</v>
      </c>
      <c r="G1241" s="1028">
        <v>1</v>
      </c>
      <c r="H1241" s="994"/>
      <c r="I1241" s="556">
        <f t="shared" ca="1" si="606"/>
        <v>0</v>
      </c>
      <c r="J1241" s="556">
        <f t="shared" ca="1" si="613"/>
        <v>0</v>
      </c>
      <c r="K1241" s="556"/>
      <c r="L1241" s="556">
        <f t="shared" ca="1" si="607"/>
        <v>0</v>
      </c>
      <c r="M1241" s="556"/>
      <c r="N1241" s="556"/>
      <c r="O1241" s="556">
        <f t="shared" si="608"/>
        <v>0</v>
      </c>
      <c r="P1241" s="995">
        <f>VLOOKUP($B1241,dongia1,DG!$F$5,)</f>
        <v>0</v>
      </c>
      <c r="Q1241" s="995"/>
      <c r="R1241" s="1031"/>
      <c r="S1241" s="996">
        <f t="shared" si="615"/>
        <v>0</v>
      </c>
      <c r="T1241" s="996">
        <f t="shared" si="616"/>
        <v>0</v>
      </c>
      <c r="U1241" s="997">
        <f t="shared" si="614"/>
        <v>0</v>
      </c>
    </row>
    <row r="1242" spans="1:21" s="552" customFormat="1" ht="15" customHeight="1">
      <c r="A1242" s="621"/>
      <c r="B1242" s="622" t="s">
        <v>4443</v>
      </c>
      <c r="C1242" s="558">
        <f t="shared" si="610"/>
        <v>0</v>
      </c>
      <c r="D1242" s="553"/>
      <c r="E1242" s="694" t="str">
        <f>pptt_NC!JQ5</f>
        <v>Lắp lại bộ chằng lệch đơn trung thế</v>
      </c>
      <c r="F1242" s="555" t="str">
        <f>VLOOKUP($B1242,dongia1,DG!$D$5,)</f>
        <v>bộ</v>
      </c>
      <c r="G1242" s="205">
        <v>1</v>
      </c>
      <c r="H1242" s="556"/>
      <c r="I1242" s="556">
        <f t="shared" ca="1" si="606"/>
        <v>0</v>
      </c>
      <c r="J1242" s="556">
        <f t="shared" ca="1" si="613"/>
        <v>0</v>
      </c>
      <c r="K1242" s="556"/>
      <c r="L1242" s="556">
        <f t="shared" ca="1" si="607"/>
        <v>0</v>
      </c>
      <c r="M1242" s="556"/>
      <c r="N1242" s="556"/>
      <c r="O1242" s="556">
        <f t="shared" si="608"/>
        <v>0</v>
      </c>
      <c r="P1242" s="182">
        <f>VLOOKUP($B1242,dongia1,DG!$F$5,)</f>
        <v>0</v>
      </c>
      <c r="Q1242" s="182"/>
      <c r="R1242" s="554"/>
      <c r="S1242" s="113">
        <f t="shared" si="615"/>
        <v>0</v>
      </c>
      <c r="T1242" s="113">
        <f t="shared" si="616"/>
        <v>0</v>
      </c>
      <c r="U1242" s="557">
        <f t="shared" si="614"/>
        <v>0</v>
      </c>
    </row>
    <row r="1243" spans="1:21" s="998" customFormat="1">
      <c r="A1243" s="989"/>
      <c r="B1243" s="990" t="s">
        <v>4444</v>
      </c>
      <c r="C1243" s="1027">
        <f t="shared" si="610"/>
        <v>0</v>
      </c>
      <c r="D1243" s="992"/>
      <c r="E1243" s="999" t="str">
        <f>pptt_NC!JR5</f>
        <v>Lắp lại bộ chằng xuống đơn hạ thế</v>
      </c>
      <c r="F1243" s="794" t="str">
        <f>VLOOKUP($B1243,dongia1,DG!$D$5,)</f>
        <v>bộ</v>
      </c>
      <c r="G1243" s="1028">
        <v>1</v>
      </c>
      <c r="H1243" s="994"/>
      <c r="I1243" s="556">
        <f t="shared" ca="1" si="606"/>
        <v>0</v>
      </c>
      <c r="J1243" s="556">
        <f t="shared" ca="1" si="613"/>
        <v>0</v>
      </c>
      <c r="K1243" s="556"/>
      <c r="L1243" s="556">
        <f t="shared" ca="1" si="607"/>
        <v>0</v>
      </c>
      <c r="M1243" s="556">
        <f>ppht_NC!JK14</f>
        <v>0</v>
      </c>
      <c r="N1243" s="556"/>
      <c r="O1243" s="556">
        <f t="shared" si="608"/>
        <v>0</v>
      </c>
      <c r="P1243" s="995">
        <f>VLOOKUP($B1243,dongia1,DG!$F$5,)</f>
        <v>0</v>
      </c>
      <c r="Q1243" s="995"/>
      <c r="R1243" s="1031"/>
      <c r="S1243" s="996">
        <f t="shared" si="615"/>
        <v>0</v>
      </c>
      <c r="T1243" s="996">
        <f t="shared" si="616"/>
        <v>0</v>
      </c>
      <c r="U1243" s="997">
        <f t="shared" si="614"/>
        <v>0</v>
      </c>
    </row>
    <row r="1244" spans="1:21" s="552" customFormat="1" ht="15" customHeight="1">
      <c r="A1244" s="621"/>
      <c r="B1244" s="622" t="s">
        <v>4443</v>
      </c>
      <c r="C1244" s="558">
        <f t="shared" si="610"/>
        <v>0</v>
      </c>
      <c r="D1244" s="553"/>
      <c r="E1244" s="694" t="str">
        <f>pptt_NC!JS5</f>
        <v>Lắp lại bộ chằng lệch đơn hạ thế thế</v>
      </c>
      <c r="F1244" s="555" t="str">
        <f>VLOOKUP($B1244,dongia1,DG!$D$5,)</f>
        <v>bộ</v>
      </c>
      <c r="G1244" s="205">
        <v>1</v>
      </c>
      <c r="H1244" s="556"/>
      <c r="I1244" s="556">
        <f t="shared" ca="1" si="606"/>
        <v>0</v>
      </c>
      <c r="J1244" s="556">
        <f t="shared" ca="1" si="613"/>
        <v>0</v>
      </c>
      <c r="K1244" s="556"/>
      <c r="L1244" s="556">
        <f t="shared" ca="1" si="607"/>
        <v>0</v>
      </c>
      <c r="M1244" s="556">
        <f>ppht_NC!JL14</f>
        <v>0</v>
      </c>
      <c r="N1244" s="556"/>
      <c r="O1244" s="556">
        <f t="shared" si="608"/>
        <v>0</v>
      </c>
      <c r="P1244" s="182">
        <f>VLOOKUP($B1244,dongia1,DG!$F$5,)</f>
        <v>0</v>
      </c>
      <c r="Q1244" s="182"/>
      <c r="R1244" s="554"/>
      <c r="S1244" s="113">
        <f t="shared" si="615"/>
        <v>0</v>
      </c>
      <c r="T1244" s="113">
        <f t="shared" si="616"/>
        <v>0</v>
      </c>
      <c r="U1244" s="557">
        <f t="shared" si="614"/>
        <v>0</v>
      </c>
    </row>
    <row r="1245" spans="1:21" s="552" customFormat="1" ht="15" customHeight="1">
      <c r="A1245" s="621"/>
      <c r="B1245" s="622"/>
      <c r="C1245" s="558"/>
      <c r="D1245" s="553"/>
      <c r="E1245" s="694"/>
      <c r="F1245" s="555"/>
      <c r="G1245" s="205"/>
      <c r="H1245" s="556"/>
      <c r="I1245" s="556"/>
      <c r="J1245" s="556"/>
      <c r="K1245" s="556"/>
      <c r="L1245" s="556"/>
      <c r="M1245" s="556"/>
      <c r="N1245" s="556"/>
      <c r="O1245" s="556"/>
      <c r="P1245" s="182"/>
      <c r="Q1245" s="182"/>
      <c r="R1245" s="554"/>
      <c r="S1245" s="113"/>
      <c r="T1245" s="113"/>
      <c r="U1245" s="557"/>
    </row>
    <row r="1246" spans="1:21" s="552" customFormat="1" ht="15" customHeight="1">
      <c r="A1246" s="621"/>
      <c r="B1246" s="622"/>
      <c r="C1246" s="558"/>
      <c r="D1246" s="553"/>
      <c r="E1246" s="694"/>
      <c r="F1246" s="555"/>
      <c r="G1246" s="205"/>
      <c r="H1246" s="556"/>
      <c r="I1246" s="556"/>
      <c r="J1246" s="556"/>
      <c r="K1246" s="556"/>
      <c r="L1246" s="556"/>
      <c r="M1246" s="556"/>
      <c r="N1246" s="556"/>
      <c r="O1246" s="556"/>
      <c r="P1246" s="182"/>
      <c r="Q1246" s="182"/>
      <c r="R1246" s="554"/>
      <c r="S1246" s="113"/>
      <c r="T1246" s="113"/>
      <c r="U1246" s="557"/>
    </row>
    <row r="1247" spans="1:21">
      <c r="B1247" s="696"/>
      <c r="C1247" s="631" t="s">
        <v>309</v>
      </c>
      <c r="D1247" s="850" t="s">
        <v>1603</v>
      </c>
      <c r="E1247" s="851" t="s">
        <v>3636</v>
      </c>
      <c r="F1247" s="703"/>
      <c r="G1247" s="762"/>
      <c r="H1247" s="701"/>
      <c r="I1247" s="936"/>
      <c r="J1247" s="936"/>
      <c r="K1247" s="936"/>
      <c r="L1247" s="936"/>
      <c r="M1247" s="936"/>
      <c r="N1247" s="936"/>
      <c r="O1247" s="936"/>
      <c r="P1247" s="703"/>
      <c r="Q1247" s="703"/>
      <c r="R1247" s="703"/>
      <c r="S1247" s="702"/>
      <c r="T1247" s="702"/>
      <c r="U1247" s="704"/>
    </row>
    <row r="1248" spans="1:21" s="858" customFormat="1">
      <c r="A1248" s="847" t="s">
        <v>2105</v>
      </c>
      <c r="B1248" s="848"/>
      <c r="C1248" s="849" t="str">
        <f>IF(G1248=0,"x"," ")</f>
        <v>x</v>
      </c>
      <c r="D1248" s="850" t="s">
        <v>696</v>
      </c>
      <c r="E1248" s="851" t="s">
        <v>3645</v>
      </c>
      <c r="F1248" s="852" t="s">
        <v>3694</v>
      </c>
      <c r="G1248" s="853">
        <f>IF(SUM(G1249:G1292)=0,1,0)</f>
        <v>0</v>
      </c>
      <c r="H1248" s="854"/>
      <c r="I1248" s="854"/>
      <c r="J1248" s="854"/>
      <c r="K1248" s="854"/>
      <c r="L1248" s="854"/>
      <c r="M1248" s="854"/>
      <c r="N1248" s="854"/>
      <c r="O1248" s="854"/>
      <c r="P1248" s="855"/>
      <c r="Q1248" s="855"/>
      <c r="R1248" s="855"/>
      <c r="S1248" s="856">
        <f>SUM(S1249:S1456)</f>
        <v>25106395.263999999</v>
      </c>
      <c r="T1248" s="856">
        <f>SUM(T1249:T1456)</f>
        <v>1029008.7835499999</v>
      </c>
      <c r="U1248" s="857">
        <f>SUM(U1249:U1456)</f>
        <v>0</v>
      </c>
    </row>
    <row r="1249" spans="1:21">
      <c r="B1249" s="696" t="s">
        <v>472</v>
      </c>
      <c r="C1249" s="697" t="s">
        <v>309</v>
      </c>
      <c r="D1249" s="1849"/>
      <c r="E1249" s="699" t="str">
        <f>VLOOKUP($B1249,dongia1,DG!$C$5,)</f>
        <v>Cáp nhôm lõi thép AC-50/8</v>
      </c>
      <c r="F1249" s="700" t="str">
        <f>VLOOKUP($B1249,dongia1,DG!$D$5,)</f>
        <v>kg</v>
      </c>
      <c r="G1249" s="762">
        <f>pp3p1m!D10*1.02*0.198</f>
        <v>12.723480000000002</v>
      </c>
      <c r="H1249" s="701"/>
      <c r="I1249" s="701"/>
      <c r="J1249" s="701"/>
      <c r="K1249" s="701">
        <f t="shared" ref="K1249:K1313" si="617">G1249</f>
        <v>12.723480000000002</v>
      </c>
      <c r="L1249" s="701"/>
      <c r="M1249" s="701"/>
      <c r="N1249" s="701"/>
      <c r="O1249" s="701"/>
      <c r="P1249" s="702">
        <f>VLOOKUP($B1249,dongia1,DG!$F$5,)</f>
        <v>76800</v>
      </c>
      <c r="Q1249" s="703"/>
      <c r="R1249" s="703"/>
      <c r="S1249" s="702">
        <f t="shared" ref="S1249:U1256" si="618">$G1249*P1249</f>
        <v>977163.2640000002</v>
      </c>
      <c r="T1249" s="702">
        <f t="shared" si="618"/>
        <v>0</v>
      </c>
      <c r="U1249" s="930">
        <f t="shared" si="618"/>
        <v>0</v>
      </c>
    </row>
    <row r="1250" spans="1:21" s="552" customFormat="1" ht="15" customHeight="1">
      <c r="A1250" s="621"/>
      <c r="B1250" s="622" t="s">
        <v>876</v>
      </c>
      <c r="C1250" s="633" t="str">
        <f t="shared" ref="C1250:C1280" si="619">IF(G1250&lt;&gt;0,$C$1248," ")</f>
        <v xml:space="preserve"> </v>
      </c>
      <c r="D1250" s="611"/>
      <c r="E1250" s="694" t="str">
        <f>VLOOKUP($B1250,dongia1,DG!$C$5,)</f>
        <v>Cáp nhôm lõi thép AC-70/11</v>
      </c>
      <c r="F1250" s="555" t="str">
        <f>VLOOKUP($B1250,dongia1,DG!$D$5,)</f>
        <v>kg</v>
      </c>
      <c r="G1250" s="205">
        <f>ROUND(D1250*1.02*0.276,2)</f>
        <v>0</v>
      </c>
      <c r="H1250" s="556"/>
      <c r="I1250" s="556"/>
      <c r="J1250" s="556"/>
      <c r="K1250" s="556">
        <f t="shared" si="617"/>
        <v>0</v>
      </c>
      <c r="L1250" s="556"/>
      <c r="M1250" s="556"/>
      <c r="N1250" s="556"/>
      <c r="O1250" s="556"/>
      <c r="P1250" s="182">
        <f>VLOOKUP($B1250,dongia1,DG!$F$5,)</f>
        <v>63000</v>
      </c>
      <c r="Q1250" s="554"/>
      <c r="R1250" s="554"/>
      <c r="S1250" s="113">
        <f t="shared" si="618"/>
        <v>0</v>
      </c>
      <c r="T1250" s="113">
        <f t="shared" si="618"/>
        <v>0</v>
      </c>
      <c r="U1250" s="715">
        <f t="shared" si="618"/>
        <v>0</v>
      </c>
    </row>
    <row r="1251" spans="1:21" s="552" customFormat="1" ht="15" customHeight="1">
      <c r="A1251" s="621"/>
      <c r="B1251" s="622" t="s">
        <v>2069</v>
      </c>
      <c r="C1251" s="633" t="str">
        <f t="shared" si="619"/>
        <v xml:space="preserve"> </v>
      </c>
      <c r="D1251" s="611"/>
      <c r="E1251" s="694" t="str">
        <f>VLOOKUP($B1251,dongia1,DG!$C$5,)</f>
        <v>Cáp nhôm lõi thép AC-95/16</v>
      </c>
      <c r="F1251" s="555" t="str">
        <f>VLOOKUP($B1251,dongia1,DG!$D$5,)</f>
        <v>kg</v>
      </c>
      <c r="G1251" s="205">
        <f>ROUND(D1251*1.02*0.385,2)</f>
        <v>0</v>
      </c>
      <c r="H1251" s="556"/>
      <c r="I1251" s="556"/>
      <c r="J1251" s="556"/>
      <c r="K1251" s="556">
        <f t="shared" si="617"/>
        <v>0</v>
      </c>
      <c r="L1251" s="556"/>
      <c r="M1251" s="556"/>
      <c r="N1251" s="556"/>
      <c r="O1251" s="556"/>
      <c r="P1251" s="182">
        <f>VLOOKUP($B1251,dongia1,DG!$F$5,)</f>
        <v>63000</v>
      </c>
      <c r="Q1251" s="554"/>
      <c r="R1251" s="554"/>
      <c r="S1251" s="113">
        <f t="shared" si="618"/>
        <v>0</v>
      </c>
      <c r="T1251" s="113">
        <f t="shared" si="618"/>
        <v>0</v>
      </c>
      <c r="U1251" s="557">
        <f t="shared" si="618"/>
        <v>0</v>
      </c>
    </row>
    <row r="1252" spans="1:21" s="552" customFormat="1" ht="15" customHeight="1">
      <c r="A1252" s="621"/>
      <c r="B1252" s="622" t="s">
        <v>1070</v>
      </c>
      <c r="C1252" s="633" t="str">
        <f t="shared" si="619"/>
        <v xml:space="preserve"> </v>
      </c>
      <c r="D1252" s="611"/>
      <c r="E1252" s="694" t="str">
        <f>VLOOKUP($B1252,dongia1,DG!$C$5,)</f>
        <v>Cáp nhôm lõi thép AC-120/19</v>
      </c>
      <c r="F1252" s="555" t="str">
        <f>VLOOKUP($B1252,dongia1,DG!$D$5,)</f>
        <v>kg</v>
      </c>
      <c r="G1252" s="205">
        <f>ROUND(D1252*1.02*0.471,2)</f>
        <v>0</v>
      </c>
      <c r="H1252" s="556"/>
      <c r="I1252" s="556"/>
      <c r="J1252" s="556"/>
      <c r="K1252" s="556">
        <f t="shared" si="617"/>
        <v>0</v>
      </c>
      <c r="L1252" s="556"/>
      <c r="M1252" s="556"/>
      <c r="N1252" s="556"/>
      <c r="O1252" s="556"/>
      <c r="P1252" s="182">
        <f>VLOOKUP($B1252,dongia1,DG!$F$5,)</f>
        <v>73200</v>
      </c>
      <c r="Q1252" s="554"/>
      <c r="R1252" s="554"/>
      <c r="S1252" s="113">
        <f t="shared" si="618"/>
        <v>0</v>
      </c>
      <c r="T1252" s="113">
        <f t="shared" si="618"/>
        <v>0</v>
      </c>
      <c r="U1252" s="557">
        <f t="shared" si="618"/>
        <v>0</v>
      </c>
    </row>
    <row r="1253" spans="1:21" s="552" customFormat="1" ht="15" customHeight="1">
      <c r="A1253" s="621"/>
      <c r="B1253" s="622" t="s">
        <v>1023</v>
      </c>
      <c r="C1253" s="633" t="str">
        <f t="shared" si="619"/>
        <v xml:space="preserve"> </v>
      </c>
      <c r="D1253" s="611"/>
      <c r="E1253" s="694" t="str">
        <f>VLOOKUP($B1253,dongia1,DG!$C$5,)</f>
        <v>Cáp nhôm lõi thép AC-150/19</v>
      </c>
      <c r="F1253" s="555" t="str">
        <f>VLOOKUP($B1253,dongia1,DG!$D$5,)</f>
        <v>kg</v>
      </c>
      <c r="G1253" s="205">
        <f>ROUND(D1253*1.02*0.599,2)</f>
        <v>0</v>
      </c>
      <c r="H1253" s="556"/>
      <c r="I1253" s="556"/>
      <c r="J1253" s="556"/>
      <c r="K1253" s="556">
        <f t="shared" si="617"/>
        <v>0</v>
      </c>
      <c r="L1253" s="556"/>
      <c r="M1253" s="556"/>
      <c r="N1253" s="556"/>
      <c r="O1253" s="556"/>
      <c r="P1253" s="182">
        <f>VLOOKUP($B1253,dongia1,DG!$F$5,)</f>
        <v>64600</v>
      </c>
      <c r="Q1253" s="554"/>
      <c r="R1253" s="554"/>
      <c r="S1253" s="113">
        <f t="shared" si="618"/>
        <v>0</v>
      </c>
      <c r="T1253" s="113">
        <f t="shared" si="618"/>
        <v>0</v>
      </c>
      <c r="U1253" s="557">
        <f t="shared" si="618"/>
        <v>0</v>
      </c>
    </row>
    <row r="1254" spans="1:21" s="552" customFormat="1" ht="15" customHeight="1">
      <c r="A1254" s="621"/>
      <c r="B1254" s="622" t="s">
        <v>191</v>
      </c>
      <c r="C1254" s="633" t="str">
        <f t="shared" si="619"/>
        <v xml:space="preserve"> </v>
      </c>
      <c r="D1254" s="611"/>
      <c r="E1254" s="694" t="str">
        <f>VLOOKUP($B1254,dongia1,DG!$C$5,)</f>
        <v>Cáp nhôm lõi thép AC-185/24</v>
      </c>
      <c r="F1254" s="555" t="str">
        <f>VLOOKUP($B1254,dongia1,DG!$D$5,)</f>
        <v>kg</v>
      </c>
      <c r="G1254" s="205">
        <f>ROUND(D1254*1.02*0.728,2)</f>
        <v>0</v>
      </c>
      <c r="H1254" s="556"/>
      <c r="I1254" s="556"/>
      <c r="J1254" s="556"/>
      <c r="K1254" s="556">
        <f t="shared" si="617"/>
        <v>0</v>
      </c>
      <c r="L1254" s="556"/>
      <c r="M1254" s="556"/>
      <c r="N1254" s="556"/>
      <c r="O1254" s="556"/>
      <c r="P1254" s="182">
        <f>VLOOKUP($B1254,dongia1,DG!$F$5,)</f>
        <v>64600</v>
      </c>
      <c r="Q1254" s="554"/>
      <c r="R1254" s="554"/>
      <c r="S1254" s="113">
        <f t="shared" si="618"/>
        <v>0</v>
      </c>
      <c r="T1254" s="113">
        <f t="shared" si="618"/>
        <v>0</v>
      </c>
      <c r="U1254" s="557">
        <f t="shared" si="618"/>
        <v>0</v>
      </c>
    </row>
    <row r="1255" spans="1:21" s="552" customFormat="1" ht="15" customHeight="1">
      <c r="A1255" s="621"/>
      <c r="B1255" s="622" t="s">
        <v>190</v>
      </c>
      <c r="C1255" s="633" t="str">
        <f t="shared" si="619"/>
        <v xml:space="preserve"> </v>
      </c>
      <c r="D1255" s="611"/>
      <c r="E1255" s="694" t="str">
        <f>VLOOKUP($B1255,dongia1,DG!$C$5,)</f>
        <v>Cáp nhôm lõi thép AC-240/32</v>
      </c>
      <c r="F1255" s="555" t="str">
        <f>VLOOKUP($B1255,dongia1,DG!$D$5,)</f>
        <v>kg</v>
      </c>
      <c r="G1255" s="205">
        <f>ROUND(D1255*1.02*0.921,2)</f>
        <v>0</v>
      </c>
      <c r="H1255" s="556"/>
      <c r="I1255" s="556"/>
      <c r="J1255" s="556"/>
      <c r="K1255" s="556">
        <f t="shared" si="617"/>
        <v>0</v>
      </c>
      <c r="L1255" s="556"/>
      <c r="M1255" s="556"/>
      <c r="N1255" s="556"/>
      <c r="O1255" s="556"/>
      <c r="P1255" s="182">
        <f>VLOOKUP($B1255,dongia1,DG!$F$5,)</f>
        <v>64600</v>
      </c>
      <c r="Q1255" s="554"/>
      <c r="R1255" s="554"/>
      <c r="S1255" s="113">
        <f t="shared" si="618"/>
        <v>0</v>
      </c>
      <c r="T1255" s="113">
        <f t="shared" si="618"/>
        <v>0</v>
      </c>
      <c r="U1255" s="557">
        <f t="shared" si="618"/>
        <v>0</v>
      </c>
    </row>
    <row r="1256" spans="1:21" s="552" customFormat="1" ht="15" customHeight="1">
      <c r="A1256" s="621"/>
      <c r="B1256" s="622" t="s">
        <v>3991</v>
      </c>
      <c r="C1256" s="633" t="str">
        <f t="shared" si="619"/>
        <v xml:space="preserve"> </v>
      </c>
      <c r="D1256" s="611"/>
      <c r="E1256" s="694" t="str">
        <f>VLOOKUP($B1256,dongia1,DG!$C$5,)</f>
        <v>Cáp 24KV AC/XLPE 50mm2</v>
      </c>
      <c r="F1256" s="555" t="str">
        <f>VLOOKUP($B1256,dongia1,DG!$D$5,)</f>
        <v>mét</v>
      </c>
      <c r="G1256" s="205">
        <f t="shared" ref="G1256:G1284" si="620">ROUND(D1256*1.02,2)</f>
        <v>0</v>
      </c>
      <c r="H1256" s="556"/>
      <c r="I1256" s="556"/>
      <c r="J1256" s="556"/>
      <c r="K1256" s="556">
        <f t="shared" si="617"/>
        <v>0</v>
      </c>
      <c r="L1256" s="556"/>
      <c r="M1256" s="556"/>
      <c r="N1256" s="556"/>
      <c r="O1256" s="556"/>
      <c r="P1256" s="182">
        <f>VLOOKUP($B1256,dongia1,DG!$F$5,)</f>
        <v>56400</v>
      </c>
      <c r="Q1256" s="554"/>
      <c r="R1256" s="554"/>
      <c r="S1256" s="113">
        <f t="shared" si="618"/>
        <v>0</v>
      </c>
      <c r="T1256" s="113">
        <f t="shared" si="618"/>
        <v>0</v>
      </c>
      <c r="U1256" s="557">
        <f t="shared" si="618"/>
        <v>0</v>
      </c>
    </row>
    <row r="1257" spans="1:21" s="552" customFormat="1" ht="15" customHeight="1">
      <c r="A1257" s="621"/>
      <c r="B1257" s="622" t="s">
        <v>771</v>
      </c>
      <c r="C1257" s="633" t="str">
        <f t="shared" si="619"/>
        <v xml:space="preserve"> </v>
      </c>
      <c r="D1257" s="611"/>
      <c r="E1257" s="694" t="str">
        <f>VLOOKUP($B1257,dongia1,DG!$C$5,)</f>
        <v>Cáp 24KV AC/XLPE/PVC 70mm2</v>
      </c>
      <c r="F1257" s="555" t="str">
        <f>VLOOKUP($B1257,dongia1,DG!$D$5,)</f>
        <v>mét</v>
      </c>
      <c r="G1257" s="205">
        <f t="shared" si="620"/>
        <v>0</v>
      </c>
      <c r="H1257" s="556"/>
      <c r="I1257" s="556"/>
      <c r="J1257" s="556"/>
      <c r="K1257" s="556">
        <f t="shared" si="617"/>
        <v>0</v>
      </c>
      <c r="L1257" s="556"/>
      <c r="M1257" s="556"/>
      <c r="N1257" s="556"/>
      <c r="O1257" s="556"/>
      <c r="P1257" s="182">
        <f>VLOOKUP($B1257,dongia1,DG!$F$5,)</f>
        <v>52100</v>
      </c>
      <c r="Q1257" s="554"/>
      <c r="R1257" s="554"/>
      <c r="S1257" s="113">
        <f t="shared" ref="S1257:S1263" si="621">$G1257*P1257</f>
        <v>0</v>
      </c>
      <c r="T1257" s="113">
        <f t="shared" ref="T1257:T1263" si="622">$G1257*Q1257</f>
        <v>0</v>
      </c>
      <c r="U1257" s="557">
        <f t="shared" ref="U1257:U1263" si="623">$G1257*R1257</f>
        <v>0</v>
      </c>
    </row>
    <row r="1258" spans="1:21" s="552" customFormat="1" ht="15" customHeight="1">
      <c r="A1258" s="621"/>
      <c r="B1258" s="16" t="s">
        <v>5819</v>
      </c>
      <c r="C1258" s="633" t="s">
        <v>309</v>
      </c>
      <c r="D1258" s="611"/>
      <c r="E1258" s="694" t="str">
        <f>VLOOKUP($B1258,dongia1,DG!$C$5,)</f>
        <v>Cáp 24KV ACXH 95mm2</v>
      </c>
      <c r="F1258" s="555" t="str">
        <f>VLOOKUP($B1258,dongia1,DG!$D$5,)</f>
        <v>mét</v>
      </c>
      <c r="G1258" s="205">
        <f>pp3p1m!B10*3*1.02</f>
        <v>192.78</v>
      </c>
      <c r="H1258" s="556"/>
      <c r="I1258" s="556"/>
      <c r="J1258" s="556"/>
      <c r="K1258" s="556">
        <f t="shared" si="617"/>
        <v>192.78</v>
      </c>
      <c r="L1258" s="556"/>
      <c r="M1258" s="556"/>
      <c r="N1258" s="556"/>
      <c r="O1258" s="556"/>
      <c r="P1258" s="182">
        <f>VLOOKUP($B1258,dongia1,DG!$F$5,)</f>
        <v>64400</v>
      </c>
      <c r="Q1258" s="554"/>
      <c r="R1258" s="554"/>
      <c r="S1258" s="113">
        <f t="shared" si="621"/>
        <v>12415032</v>
      </c>
      <c r="T1258" s="113">
        <f t="shared" si="622"/>
        <v>0</v>
      </c>
      <c r="U1258" s="557">
        <f t="shared" si="623"/>
        <v>0</v>
      </c>
    </row>
    <row r="1259" spans="1:21" s="552" customFormat="1" ht="15" customHeight="1">
      <c r="A1259" s="621"/>
      <c r="B1259" s="622" t="s">
        <v>773</v>
      </c>
      <c r="C1259" s="633" t="str">
        <f t="shared" si="619"/>
        <v xml:space="preserve"> </v>
      </c>
      <c r="D1259" s="611"/>
      <c r="E1259" s="694" t="str">
        <f>VLOOKUP($B1259,dongia1,DG!$C$5,)</f>
        <v>Cáp 24KV AC/XLPE/PVC 120mm2</v>
      </c>
      <c r="F1259" s="555" t="str">
        <f>VLOOKUP($B1259,dongia1,DG!$D$5,)</f>
        <v>mét</v>
      </c>
      <c r="G1259" s="205">
        <f t="shared" si="620"/>
        <v>0</v>
      </c>
      <c r="H1259" s="556"/>
      <c r="I1259" s="556"/>
      <c r="J1259" s="556"/>
      <c r="K1259" s="556">
        <f t="shared" si="617"/>
        <v>0</v>
      </c>
      <c r="L1259" s="556"/>
      <c r="M1259" s="556"/>
      <c r="N1259" s="556"/>
      <c r="O1259" s="556"/>
      <c r="P1259" s="182">
        <f>VLOOKUP($B1259,dongia1,DG!$F$5,)</f>
        <v>74800</v>
      </c>
      <c r="Q1259" s="554"/>
      <c r="R1259" s="554"/>
      <c r="S1259" s="113">
        <f t="shared" si="621"/>
        <v>0</v>
      </c>
      <c r="T1259" s="113">
        <f t="shared" si="622"/>
        <v>0</v>
      </c>
      <c r="U1259" s="557">
        <f t="shared" si="623"/>
        <v>0</v>
      </c>
    </row>
    <row r="1260" spans="1:21" s="552" customFormat="1" ht="15" customHeight="1">
      <c r="A1260" s="621"/>
      <c r="B1260" s="622" t="s">
        <v>774</v>
      </c>
      <c r="C1260" s="633" t="str">
        <f t="shared" si="619"/>
        <v xml:space="preserve"> </v>
      </c>
      <c r="D1260" s="611"/>
      <c r="E1260" s="694" t="str">
        <f>VLOOKUP($B1260,dongia1,DG!$C$5,)</f>
        <v>Cáp 24KV AC/XLPE/PVC 150mm2</v>
      </c>
      <c r="F1260" s="555" t="str">
        <f>VLOOKUP($B1260,dongia1,DG!$D$5,)</f>
        <v>mét</v>
      </c>
      <c r="G1260" s="205">
        <f t="shared" si="620"/>
        <v>0</v>
      </c>
      <c r="H1260" s="556"/>
      <c r="I1260" s="556"/>
      <c r="J1260" s="556"/>
      <c r="K1260" s="556">
        <f t="shared" si="617"/>
        <v>0</v>
      </c>
      <c r="L1260" s="556"/>
      <c r="M1260" s="556"/>
      <c r="N1260" s="556"/>
      <c r="O1260" s="556"/>
      <c r="P1260" s="182">
        <f>VLOOKUP($B1260,dongia1,DG!$F$5,)</f>
        <v>86000</v>
      </c>
      <c r="Q1260" s="554"/>
      <c r="R1260" s="554"/>
      <c r="S1260" s="113">
        <f t="shared" si="621"/>
        <v>0</v>
      </c>
      <c r="T1260" s="113">
        <f t="shared" si="622"/>
        <v>0</v>
      </c>
      <c r="U1260" s="557">
        <f t="shared" si="623"/>
        <v>0</v>
      </c>
    </row>
    <row r="1261" spans="1:21" s="552" customFormat="1" ht="15" customHeight="1">
      <c r="A1261" s="621"/>
      <c r="B1261" s="622" t="s">
        <v>775</v>
      </c>
      <c r="C1261" s="633" t="str">
        <f t="shared" si="619"/>
        <v xml:space="preserve"> </v>
      </c>
      <c r="D1261" s="611"/>
      <c r="E1261" s="694" t="str">
        <f>VLOOKUP($B1261,dongia1,DG!$C$5,)</f>
        <v>Cáp 24KV AC/XLPE/PVC 185mm2</v>
      </c>
      <c r="F1261" s="555" t="str">
        <f>VLOOKUP($B1261,dongia1,DG!$D$5,)</f>
        <v>mét</v>
      </c>
      <c r="G1261" s="205">
        <f t="shared" si="620"/>
        <v>0</v>
      </c>
      <c r="H1261" s="556"/>
      <c r="I1261" s="556"/>
      <c r="J1261" s="556"/>
      <c r="K1261" s="556">
        <f t="shared" si="617"/>
        <v>0</v>
      </c>
      <c r="L1261" s="556"/>
      <c r="M1261" s="556"/>
      <c r="N1261" s="556"/>
      <c r="O1261" s="556"/>
      <c r="P1261" s="182">
        <f>VLOOKUP($B1261,dongia1,DG!$F$5,)</f>
        <v>100800</v>
      </c>
      <c r="Q1261" s="554"/>
      <c r="R1261" s="554"/>
      <c r="S1261" s="113">
        <f t="shared" si="621"/>
        <v>0</v>
      </c>
      <c r="T1261" s="113">
        <f t="shared" si="622"/>
        <v>0</v>
      </c>
      <c r="U1261" s="557">
        <f t="shared" si="623"/>
        <v>0</v>
      </c>
    </row>
    <row r="1262" spans="1:21" s="552" customFormat="1" ht="15" customHeight="1">
      <c r="A1262" s="621"/>
      <c r="B1262" s="622" t="s">
        <v>776</v>
      </c>
      <c r="C1262" s="633" t="str">
        <f t="shared" si="619"/>
        <v xml:space="preserve"> </v>
      </c>
      <c r="D1262" s="611"/>
      <c r="E1262" s="694" t="str">
        <f>VLOOKUP($B1262,dongia1,DG!$C$5,)</f>
        <v>Cáp 24KV AC/XLPE/PVC 240mm2</v>
      </c>
      <c r="F1262" s="555" t="str">
        <f>VLOOKUP($B1262,dongia1,DG!$D$5,)</f>
        <v>mét</v>
      </c>
      <c r="G1262" s="205">
        <f t="shared" si="620"/>
        <v>0</v>
      </c>
      <c r="H1262" s="556"/>
      <c r="I1262" s="556"/>
      <c r="J1262" s="556"/>
      <c r="K1262" s="556">
        <f t="shared" si="617"/>
        <v>0</v>
      </c>
      <c r="L1262" s="556"/>
      <c r="M1262" s="556"/>
      <c r="N1262" s="556"/>
      <c r="O1262" s="556"/>
      <c r="P1262" s="182">
        <f>VLOOKUP($B1262,dongia1,DG!$F$5,)</f>
        <v>121800</v>
      </c>
      <c r="Q1262" s="554"/>
      <c r="R1262" s="554"/>
      <c r="S1262" s="113">
        <f t="shared" si="621"/>
        <v>0</v>
      </c>
      <c r="T1262" s="113">
        <f t="shared" si="622"/>
        <v>0</v>
      </c>
      <c r="U1262" s="557">
        <f t="shared" si="623"/>
        <v>0</v>
      </c>
    </row>
    <row r="1263" spans="1:21">
      <c r="B1263" s="696" t="s">
        <v>3991</v>
      </c>
      <c r="C1263" s="697" t="str">
        <f t="shared" si="619"/>
        <v xml:space="preserve"> </v>
      </c>
      <c r="D1263" s="1849">
        <f>pp3p1m!E10*3</f>
        <v>0</v>
      </c>
      <c r="E1263" s="699" t="str">
        <f>VLOOKUP($B1263,dongia1,DG!$C$5,)</f>
        <v>Cáp 24KV AC/XLPE 50mm2</v>
      </c>
      <c r="F1263" s="700" t="str">
        <f>VLOOKUP($B1263,dongia1,DG!$D$5,)</f>
        <v>mét</v>
      </c>
      <c r="G1263" s="762">
        <f t="shared" si="620"/>
        <v>0</v>
      </c>
      <c r="H1263" s="701"/>
      <c r="I1263" s="702"/>
      <c r="J1263" s="702"/>
      <c r="K1263" s="701">
        <f t="shared" si="617"/>
        <v>0</v>
      </c>
      <c r="L1263" s="702"/>
      <c r="M1263" s="702"/>
      <c r="N1263" s="704"/>
      <c r="O1263" s="596"/>
      <c r="P1263" s="702">
        <f>VLOOKUP($B1263,dongia1,DG!$F$5,)</f>
        <v>56400</v>
      </c>
      <c r="Q1263" s="702"/>
      <c r="R1263" s="596"/>
      <c r="S1263" s="702">
        <f t="shared" si="621"/>
        <v>0</v>
      </c>
      <c r="T1263" s="1057">
        <f t="shared" si="622"/>
        <v>0</v>
      </c>
      <c r="U1263" s="1058">
        <f t="shared" si="623"/>
        <v>0</v>
      </c>
    </row>
    <row r="1264" spans="1:21" s="552" customFormat="1" ht="15" customHeight="1">
      <c r="A1264" s="621"/>
      <c r="B1264" s="622" t="s">
        <v>3992</v>
      </c>
      <c r="C1264" s="633" t="str">
        <f t="shared" si="619"/>
        <v xml:space="preserve"> </v>
      </c>
      <c r="D1264" s="611"/>
      <c r="E1264" s="694" t="str">
        <f>VLOOKUP($B1264,dongia1,DG!$C$5,)</f>
        <v>Cáp 24KV AC/XLPE 70mm2</v>
      </c>
      <c r="F1264" s="555" t="str">
        <f>VLOOKUP($B1264,dongia1,DG!$D$5,)</f>
        <v>mét</v>
      </c>
      <c r="G1264" s="205">
        <f t="shared" si="620"/>
        <v>0</v>
      </c>
      <c r="H1264" s="556"/>
      <c r="I1264" s="556"/>
      <c r="J1264" s="556"/>
      <c r="K1264" s="556">
        <f t="shared" si="617"/>
        <v>0</v>
      </c>
      <c r="L1264" s="556"/>
      <c r="M1264" s="556"/>
      <c r="N1264" s="556"/>
      <c r="O1264" s="556"/>
      <c r="P1264" s="182">
        <f>VLOOKUP($B1264,dongia1,DG!$F$5,)</f>
        <v>52100</v>
      </c>
      <c r="Q1264" s="554"/>
      <c r="R1264" s="554"/>
      <c r="S1264" s="113">
        <f t="shared" ref="S1264:S1269" si="624">$G1264*P1264</f>
        <v>0</v>
      </c>
      <c r="T1264" s="113">
        <f t="shared" ref="T1264:T1269" si="625">$G1264*Q1264</f>
        <v>0</v>
      </c>
      <c r="U1264" s="715">
        <f t="shared" ref="U1264:U1269" si="626">$G1264*R1264</f>
        <v>0</v>
      </c>
    </row>
    <row r="1265" spans="1:21" s="552" customFormat="1" ht="15" customHeight="1">
      <c r="A1265" s="621"/>
      <c r="B1265" s="622" t="s">
        <v>4205</v>
      </c>
      <c r="C1265" s="633" t="str">
        <f t="shared" si="619"/>
        <v xml:space="preserve"> </v>
      </c>
      <c r="D1265" s="611"/>
      <c r="E1265" s="694" t="str">
        <f>VLOOKUP($B1265,dongia1,DG!$C$5,)</f>
        <v>Cáp 24KV C/XLPE/PVC 95mm2</v>
      </c>
      <c r="F1265" s="555" t="str">
        <f>VLOOKUP($B1265,dongia1,DG!$D$5,)</f>
        <v>mét</v>
      </c>
      <c r="G1265" s="205">
        <f t="shared" si="620"/>
        <v>0</v>
      </c>
      <c r="H1265" s="556"/>
      <c r="I1265" s="556"/>
      <c r="J1265" s="556"/>
      <c r="K1265" s="556">
        <f t="shared" si="617"/>
        <v>0</v>
      </c>
      <c r="L1265" s="556"/>
      <c r="M1265" s="556"/>
      <c r="N1265" s="556"/>
      <c r="O1265" s="556"/>
      <c r="P1265" s="182">
        <f>VLOOKUP($B1265,dongia1,DG!$F$5,)</f>
        <v>265000</v>
      </c>
      <c r="Q1265" s="554"/>
      <c r="R1265" s="554"/>
      <c r="S1265" s="113">
        <f t="shared" si="624"/>
        <v>0</v>
      </c>
      <c r="T1265" s="113">
        <f t="shared" si="625"/>
        <v>0</v>
      </c>
      <c r="U1265" s="557">
        <f t="shared" si="626"/>
        <v>0</v>
      </c>
    </row>
    <row r="1266" spans="1:21" s="552" customFormat="1" ht="15" customHeight="1">
      <c r="A1266" s="621"/>
      <c r="B1266" s="622" t="s">
        <v>4206</v>
      </c>
      <c r="C1266" s="633" t="str">
        <f t="shared" si="619"/>
        <v xml:space="preserve"> </v>
      </c>
      <c r="D1266" s="611"/>
      <c r="E1266" s="694" t="str">
        <f>VLOOKUP($B1266,dongia1,DG!$C$5,)</f>
        <v>Cáp 24KV AC/XLPE 120mm2</v>
      </c>
      <c r="F1266" s="555" t="str">
        <f>VLOOKUP($B1266,dongia1,DG!$D$5,)</f>
        <v>mét</v>
      </c>
      <c r="G1266" s="205">
        <f t="shared" si="620"/>
        <v>0</v>
      </c>
      <c r="H1266" s="556"/>
      <c r="I1266" s="556"/>
      <c r="J1266" s="556"/>
      <c r="K1266" s="556">
        <f t="shared" si="617"/>
        <v>0</v>
      </c>
      <c r="L1266" s="556"/>
      <c r="M1266" s="556"/>
      <c r="N1266" s="556"/>
      <c r="O1266" s="556"/>
      <c r="P1266" s="182">
        <f>VLOOKUP($B1266,dongia1,DG!$F$5,)</f>
        <v>74800</v>
      </c>
      <c r="Q1266" s="554"/>
      <c r="R1266" s="554"/>
      <c r="S1266" s="113">
        <f t="shared" si="624"/>
        <v>0</v>
      </c>
      <c r="T1266" s="113">
        <f t="shared" si="625"/>
        <v>0</v>
      </c>
      <c r="U1266" s="557">
        <f t="shared" si="626"/>
        <v>0</v>
      </c>
    </row>
    <row r="1267" spans="1:21" s="552" customFormat="1" ht="15" customHeight="1">
      <c r="A1267" s="621"/>
      <c r="B1267" s="622" t="s">
        <v>4207</v>
      </c>
      <c r="C1267" s="633" t="str">
        <f t="shared" si="619"/>
        <v xml:space="preserve"> </v>
      </c>
      <c r="D1267" s="611"/>
      <c r="E1267" s="694" t="str">
        <f>VLOOKUP($B1267,dongia1,DG!$C$5,)</f>
        <v>Cáp 24KV AC/XLPE 150mm2</v>
      </c>
      <c r="F1267" s="555" t="str">
        <f>VLOOKUP($B1267,dongia1,DG!$D$5,)</f>
        <v>mét</v>
      </c>
      <c r="G1267" s="205">
        <f t="shared" si="620"/>
        <v>0</v>
      </c>
      <c r="H1267" s="556"/>
      <c r="I1267" s="556"/>
      <c r="J1267" s="556"/>
      <c r="K1267" s="556">
        <f t="shared" si="617"/>
        <v>0</v>
      </c>
      <c r="L1267" s="556"/>
      <c r="M1267" s="556"/>
      <c r="N1267" s="556"/>
      <c r="O1267" s="556"/>
      <c r="P1267" s="182">
        <f>VLOOKUP($B1267,dongia1,DG!$F$5,)</f>
        <v>86000</v>
      </c>
      <c r="Q1267" s="554"/>
      <c r="R1267" s="554"/>
      <c r="S1267" s="113">
        <f t="shared" si="624"/>
        <v>0</v>
      </c>
      <c r="T1267" s="113">
        <f t="shared" si="625"/>
        <v>0</v>
      </c>
      <c r="U1267" s="557">
        <f t="shared" si="626"/>
        <v>0</v>
      </c>
    </row>
    <row r="1268" spans="1:21" s="552" customFormat="1" ht="15" customHeight="1">
      <c r="A1268" s="621"/>
      <c r="B1268" s="622" t="s">
        <v>4208</v>
      </c>
      <c r="C1268" s="633" t="str">
        <f t="shared" si="619"/>
        <v xml:space="preserve"> </v>
      </c>
      <c r="D1268" s="611"/>
      <c r="E1268" s="694" t="str">
        <f>VLOOKUP($B1268,dongia1,DG!$C$5,)</f>
        <v>Cáp 24KV AC/XLPE 185mm2</v>
      </c>
      <c r="F1268" s="555" t="str">
        <f>VLOOKUP($B1268,dongia1,DG!$D$5,)</f>
        <v>mét</v>
      </c>
      <c r="G1268" s="205">
        <f t="shared" si="620"/>
        <v>0</v>
      </c>
      <c r="H1268" s="556"/>
      <c r="I1268" s="556"/>
      <c r="J1268" s="556"/>
      <c r="K1268" s="556">
        <f t="shared" si="617"/>
        <v>0</v>
      </c>
      <c r="L1268" s="556"/>
      <c r="M1268" s="556"/>
      <c r="N1268" s="556"/>
      <c r="O1268" s="556"/>
      <c r="P1268" s="182">
        <f>VLOOKUP($B1268,dongia1,DG!$F$5,)</f>
        <v>100800</v>
      </c>
      <c r="Q1268" s="554"/>
      <c r="R1268" s="554"/>
      <c r="S1268" s="113">
        <f t="shared" si="624"/>
        <v>0</v>
      </c>
      <c r="T1268" s="113">
        <f t="shared" si="625"/>
        <v>0</v>
      </c>
      <c r="U1268" s="557">
        <f t="shared" si="626"/>
        <v>0</v>
      </c>
    </row>
    <row r="1269" spans="1:21" s="552" customFormat="1" ht="15" customHeight="1">
      <c r="A1269" s="621"/>
      <c r="B1269" s="622" t="s">
        <v>4209</v>
      </c>
      <c r="C1269" s="633" t="str">
        <f t="shared" si="619"/>
        <v xml:space="preserve"> </v>
      </c>
      <c r="D1269" s="611"/>
      <c r="E1269" s="694" t="str">
        <f>VLOOKUP($B1269,dongia1,DG!$C$5,)</f>
        <v>Cáp 24KV AC/XLPE 240mm2</v>
      </c>
      <c r="F1269" s="555" t="str">
        <f>VLOOKUP($B1269,dongia1,DG!$D$5,)</f>
        <v>mét</v>
      </c>
      <c r="G1269" s="205">
        <f t="shared" si="620"/>
        <v>0</v>
      </c>
      <c r="H1269" s="556"/>
      <c r="I1269" s="556"/>
      <c r="J1269" s="556"/>
      <c r="K1269" s="556">
        <f t="shared" si="617"/>
        <v>0</v>
      </c>
      <c r="L1269" s="556"/>
      <c r="M1269" s="556"/>
      <c r="N1269" s="556"/>
      <c r="O1269" s="556"/>
      <c r="P1269" s="182">
        <f>VLOOKUP($B1269,dongia1,DG!$F$5,)</f>
        <v>154900</v>
      </c>
      <c r="Q1269" s="554"/>
      <c r="R1269" s="554"/>
      <c r="S1269" s="113">
        <f t="shared" si="624"/>
        <v>0</v>
      </c>
      <c r="T1269" s="113">
        <f t="shared" si="625"/>
        <v>0</v>
      </c>
      <c r="U1269" s="557">
        <f t="shared" si="626"/>
        <v>0</v>
      </c>
    </row>
    <row r="1270" spans="1:21" s="552" customFormat="1" ht="15" customHeight="1">
      <c r="A1270" s="621"/>
      <c r="B1270" s="622" t="s">
        <v>268</v>
      </c>
      <c r="C1270" s="633" t="str">
        <f t="shared" si="619"/>
        <v xml:space="preserve"> </v>
      </c>
      <c r="D1270" s="611"/>
      <c r="E1270" s="694" t="str">
        <f>VLOOKUP($B1270,dongia1,DG!$C$5,)</f>
        <v>Cáp 24KV A/XLPE 50mm2</v>
      </c>
      <c r="F1270" s="555" t="str">
        <f>VLOOKUP($B1270,dongia1,DG!$D$5,)</f>
        <v>mét</v>
      </c>
      <c r="G1270" s="205">
        <f t="shared" si="620"/>
        <v>0</v>
      </c>
      <c r="H1270" s="556"/>
      <c r="I1270" s="556"/>
      <c r="J1270" s="556"/>
      <c r="K1270" s="556">
        <f t="shared" si="617"/>
        <v>0</v>
      </c>
      <c r="L1270" s="556"/>
      <c r="M1270" s="556"/>
      <c r="N1270" s="556"/>
      <c r="O1270" s="556"/>
      <c r="P1270" s="182">
        <f>VLOOKUP($B1270,dongia1,DG!$F$5,)</f>
        <v>58300</v>
      </c>
      <c r="Q1270" s="554"/>
      <c r="R1270" s="554"/>
      <c r="S1270" s="113">
        <f t="shared" ref="S1270:U1271" si="627">$G1270*P1270</f>
        <v>0</v>
      </c>
      <c r="T1270" s="113">
        <f t="shared" si="627"/>
        <v>0</v>
      </c>
      <c r="U1270" s="557">
        <f t="shared" si="627"/>
        <v>0</v>
      </c>
    </row>
    <row r="1271" spans="1:21" s="552" customFormat="1" ht="15" customHeight="1">
      <c r="A1271" s="621"/>
      <c r="B1271" s="622" t="s">
        <v>269</v>
      </c>
      <c r="C1271" s="633" t="str">
        <f t="shared" si="619"/>
        <v xml:space="preserve"> </v>
      </c>
      <c r="D1271" s="611"/>
      <c r="E1271" s="694" t="str">
        <f>VLOOKUP($B1271,dongia1,DG!$C$5,)</f>
        <v>Cáp 24KV A/XLPE 70mm2</v>
      </c>
      <c r="F1271" s="555" t="str">
        <f>VLOOKUP($B1271,dongia1,DG!$D$5,)</f>
        <v>mét</v>
      </c>
      <c r="G1271" s="205">
        <f t="shared" si="620"/>
        <v>0</v>
      </c>
      <c r="H1271" s="556"/>
      <c r="I1271" s="556"/>
      <c r="J1271" s="556"/>
      <c r="K1271" s="556">
        <f t="shared" si="617"/>
        <v>0</v>
      </c>
      <c r="L1271" s="556"/>
      <c r="M1271" s="556"/>
      <c r="N1271" s="556"/>
      <c r="O1271" s="556"/>
      <c r="P1271" s="182">
        <f>VLOOKUP($B1271,dongia1,DG!$F$5,)</f>
        <v>69000</v>
      </c>
      <c r="Q1271" s="554"/>
      <c r="R1271" s="554"/>
      <c r="S1271" s="113">
        <f t="shared" si="627"/>
        <v>0</v>
      </c>
      <c r="T1271" s="113">
        <f t="shared" si="627"/>
        <v>0</v>
      </c>
      <c r="U1271" s="557">
        <f t="shared" si="627"/>
        <v>0</v>
      </c>
    </row>
    <row r="1272" spans="1:21" s="552" customFormat="1" ht="15" customHeight="1">
      <c r="A1272" s="621"/>
      <c r="B1272" s="622" t="s">
        <v>270</v>
      </c>
      <c r="C1272" s="633" t="str">
        <f t="shared" si="619"/>
        <v xml:space="preserve"> </v>
      </c>
      <c r="D1272" s="611"/>
      <c r="E1272" s="694" t="str">
        <f>VLOOKUP($B1272,dongia1,DG!$C$5,)</f>
        <v>Cáp 24KV A/XLPE/PVC 95mm2</v>
      </c>
      <c r="F1272" s="555" t="str">
        <f>VLOOKUP($B1272,dongia1,DG!$D$5,)</f>
        <v>mét</v>
      </c>
      <c r="G1272" s="205">
        <f t="shared" si="620"/>
        <v>0</v>
      </c>
      <c r="H1272" s="556"/>
      <c r="I1272" s="556"/>
      <c r="J1272" s="556"/>
      <c r="K1272" s="556">
        <f t="shared" si="617"/>
        <v>0</v>
      </c>
      <c r="L1272" s="556"/>
      <c r="M1272" s="556"/>
      <c r="N1272" s="556"/>
      <c r="O1272" s="556"/>
      <c r="P1272" s="182">
        <f>VLOOKUP($B1272,dongia1,DG!$F$5,)</f>
        <v>46400</v>
      </c>
      <c r="Q1272" s="554"/>
      <c r="R1272" s="554"/>
      <c r="S1272" s="113">
        <f t="shared" ref="S1272:U1274" si="628">$G1272*P1272</f>
        <v>0</v>
      </c>
      <c r="T1272" s="113">
        <f t="shared" si="628"/>
        <v>0</v>
      </c>
      <c r="U1272" s="557">
        <f t="shared" si="628"/>
        <v>0</v>
      </c>
    </row>
    <row r="1273" spans="1:21" s="552" customFormat="1" ht="15" customHeight="1">
      <c r="A1273" s="621"/>
      <c r="B1273" s="622" t="s">
        <v>1505</v>
      </c>
      <c r="C1273" s="633" t="str">
        <f t="shared" si="619"/>
        <v xml:space="preserve"> </v>
      </c>
      <c r="D1273" s="611"/>
      <c r="E1273" s="694" t="str">
        <f>VLOOKUP($B1273,dongia1,DG!$C$5,)</f>
        <v>Cáp 24KV A/XLPE/PVC 120mm2</v>
      </c>
      <c r="F1273" s="555" t="str">
        <f>VLOOKUP($B1273,dongia1,DG!$D$5,)</f>
        <v>mét</v>
      </c>
      <c r="G1273" s="205">
        <f t="shared" si="620"/>
        <v>0</v>
      </c>
      <c r="H1273" s="556"/>
      <c r="I1273" s="556"/>
      <c r="J1273" s="556"/>
      <c r="K1273" s="556">
        <f t="shared" si="617"/>
        <v>0</v>
      </c>
      <c r="L1273" s="556"/>
      <c r="M1273" s="556"/>
      <c r="N1273" s="556"/>
      <c r="O1273" s="556"/>
      <c r="P1273" s="182">
        <f>VLOOKUP($B1273,dongia1,DG!$F$5,)</f>
        <v>54100</v>
      </c>
      <c r="Q1273" s="554"/>
      <c r="R1273" s="554"/>
      <c r="S1273" s="113">
        <f t="shared" si="628"/>
        <v>0</v>
      </c>
      <c r="T1273" s="113">
        <f t="shared" si="628"/>
        <v>0</v>
      </c>
      <c r="U1273" s="557">
        <f t="shared" si="628"/>
        <v>0</v>
      </c>
    </row>
    <row r="1274" spans="1:21" s="552" customFormat="1" ht="15" customHeight="1">
      <c r="A1274" s="621"/>
      <c r="B1274" s="622" t="s">
        <v>1199</v>
      </c>
      <c r="C1274" s="633" t="str">
        <f t="shared" si="619"/>
        <v xml:space="preserve"> </v>
      </c>
      <c r="D1274" s="611"/>
      <c r="E1274" s="694" t="str">
        <f>VLOOKUP($B1274,dongia1,DG!$C$5,)</f>
        <v>Cáp 24KV A/XLPE/PVC 150mm2</v>
      </c>
      <c r="F1274" s="555" t="str">
        <f>VLOOKUP($B1274,dongia1,DG!$D$5,)</f>
        <v>mét</v>
      </c>
      <c r="G1274" s="205">
        <f t="shared" si="620"/>
        <v>0</v>
      </c>
      <c r="H1274" s="556"/>
      <c r="I1274" s="556"/>
      <c r="J1274" s="556"/>
      <c r="K1274" s="556">
        <f t="shared" si="617"/>
        <v>0</v>
      </c>
      <c r="L1274" s="556"/>
      <c r="M1274" s="556"/>
      <c r="N1274" s="556"/>
      <c r="O1274" s="556"/>
      <c r="P1274" s="182">
        <f>VLOOKUP($B1274,dongia1,DG!$F$5,)</f>
        <v>65000</v>
      </c>
      <c r="Q1274" s="624"/>
      <c r="R1274" s="554"/>
      <c r="S1274" s="113">
        <f t="shared" si="628"/>
        <v>0</v>
      </c>
      <c r="T1274" s="113">
        <f t="shared" si="628"/>
        <v>0</v>
      </c>
      <c r="U1274" s="557">
        <f t="shared" si="628"/>
        <v>0</v>
      </c>
    </row>
    <row r="1275" spans="1:21" s="552" customFormat="1" ht="15" customHeight="1">
      <c r="A1275" s="621"/>
      <c r="B1275" s="622" t="s">
        <v>1198</v>
      </c>
      <c r="C1275" s="633" t="str">
        <f t="shared" si="619"/>
        <v xml:space="preserve"> </v>
      </c>
      <c r="D1275" s="611"/>
      <c r="E1275" s="694" t="str">
        <f>VLOOKUP($B1275,dongia1,DG!$C$5,)</f>
        <v>Cáp 24KV A/XLPE/PVC 185mm2</v>
      </c>
      <c r="F1275" s="555" t="str">
        <f>VLOOKUP($B1275,dongia1,DG!$D$5,)</f>
        <v>mét</v>
      </c>
      <c r="G1275" s="205">
        <f t="shared" si="620"/>
        <v>0</v>
      </c>
      <c r="H1275" s="556"/>
      <c r="I1275" s="556"/>
      <c r="J1275" s="556"/>
      <c r="K1275" s="556">
        <f t="shared" si="617"/>
        <v>0</v>
      </c>
      <c r="L1275" s="556"/>
      <c r="M1275" s="556"/>
      <c r="N1275" s="556"/>
      <c r="O1275" s="556"/>
      <c r="P1275" s="182">
        <f>VLOOKUP($B1275,dongia1,DG!$F$5,)</f>
        <v>74900</v>
      </c>
      <c r="Q1275" s="624"/>
      <c r="R1275" s="554"/>
      <c r="S1275" s="113">
        <f t="shared" ref="S1275:U1276" si="629">$G1275*P1275</f>
        <v>0</v>
      </c>
      <c r="T1275" s="113">
        <f t="shared" si="629"/>
        <v>0</v>
      </c>
      <c r="U1275" s="557">
        <f t="shared" si="629"/>
        <v>0</v>
      </c>
    </row>
    <row r="1276" spans="1:21" s="552" customFormat="1" ht="15" customHeight="1">
      <c r="A1276" s="621"/>
      <c r="B1276" s="622" t="s">
        <v>1990</v>
      </c>
      <c r="C1276" s="633" t="str">
        <f t="shared" si="619"/>
        <v xml:space="preserve"> </v>
      </c>
      <c r="D1276" s="611"/>
      <c r="E1276" s="694" t="str">
        <f>VLOOKUP($B1276,dongia1,DG!$C$5,)</f>
        <v>Cáp 24KV A/XLPE/PVC 240mm2</v>
      </c>
      <c r="F1276" s="555" t="str">
        <f>VLOOKUP($B1276,dongia1,DG!$D$5,)</f>
        <v>mét</v>
      </c>
      <c r="G1276" s="205">
        <f t="shared" si="620"/>
        <v>0</v>
      </c>
      <c r="H1276" s="556"/>
      <c r="I1276" s="556"/>
      <c r="J1276" s="556"/>
      <c r="K1276" s="556">
        <f t="shared" si="617"/>
        <v>0</v>
      </c>
      <c r="L1276" s="556"/>
      <c r="M1276" s="556"/>
      <c r="N1276" s="556"/>
      <c r="O1276" s="556"/>
      <c r="P1276" s="182">
        <f>VLOOKUP($B1276,dongia1,DG!$F$5,)</f>
        <v>127400</v>
      </c>
      <c r="Q1276" s="624"/>
      <c r="R1276" s="554"/>
      <c r="S1276" s="113">
        <f t="shared" si="629"/>
        <v>0</v>
      </c>
      <c r="T1276" s="113">
        <f t="shared" si="629"/>
        <v>0</v>
      </c>
      <c r="U1276" s="557">
        <f t="shared" si="629"/>
        <v>0</v>
      </c>
    </row>
    <row r="1277" spans="1:21" s="552" customFormat="1" ht="15" customHeight="1">
      <c r="A1277" s="621"/>
      <c r="B1277" s="622" t="s">
        <v>648</v>
      </c>
      <c r="C1277" s="633" t="str">
        <f t="shared" si="619"/>
        <v xml:space="preserve"> </v>
      </c>
      <c r="D1277" s="625"/>
      <c r="E1277" s="694" t="str">
        <f>VLOOKUP($B1277,dongia1,DG!$C$5,)&amp;": Đấu FCO"</f>
        <v>Cáp 24KV C/XLPE/PVC- 25mm2: Đấu FCO</v>
      </c>
      <c r="F1277" s="555" t="str">
        <f>VLOOKUP($B1277,dongia1,DG!$D$5,)</f>
        <v>mét</v>
      </c>
      <c r="G1277" s="205">
        <f t="shared" si="620"/>
        <v>0</v>
      </c>
      <c r="H1277" s="556"/>
      <c r="I1277" s="556"/>
      <c r="J1277" s="556"/>
      <c r="K1277" s="556">
        <f t="shared" si="617"/>
        <v>0</v>
      </c>
      <c r="L1277" s="556"/>
      <c r="M1277" s="556"/>
      <c r="N1277" s="556"/>
      <c r="O1277" s="556"/>
      <c r="P1277" s="182">
        <f>VLOOKUP($B1277,dongia1,DG!$F$5,)</f>
        <v>50996</v>
      </c>
      <c r="Q1277" s="624"/>
      <c r="R1277" s="554"/>
      <c r="S1277" s="113">
        <f>$G1277*P1277</f>
        <v>0</v>
      </c>
      <c r="T1277" s="113">
        <f t="shared" ref="T1277:T1284" si="630">$G1277*Q1277</f>
        <v>0</v>
      </c>
      <c r="U1277" s="557">
        <f t="shared" ref="U1277:U1284" si="631">$G1277*R1277</f>
        <v>0</v>
      </c>
    </row>
    <row r="1278" spans="1:21" s="739" customFormat="1" ht="15" customHeight="1">
      <c r="A1278" s="729"/>
      <c r="B1278" s="730" t="s">
        <v>2071</v>
      </c>
      <c r="C1278" s="731" t="str">
        <f t="shared" si="619"/>
        <v xml:space="preserve"> </v>
      </c>
      <c r="D1278" s="732"/>
      <c r="E1278" s="733" t="str">
        <f>VLOOKUP($B1278,dongia1,DG!$C$5,)&amp;": Đấu hottine"</f>
        <v>Cáp 24KV C/XLPE/PVC 50mm2: Đấu hottine</v>
      </c>
      <c r="F1278" s="734" t="str">
        <f>VLOOKUP($B1278,dongia1,DG!$D$5,)</f>
        <v>mét</v>
      </c>
      <c r="G1278" s="753">
        <f t="shared" si="620"/>
        <v>0</v>
      </c>
      <c r="H1278" s="756"/>
      <c r="I1278" s="556"/>
      <c r="J1278" s="556"/>
      <c r="K1278" s="556">
        <f t="shared" si="617"/>
        <v>0</v>
      </c>
      <c r="L1278" s="556"/>
      <c r="M1278" s="556"/>
      <c r="N1278" s="556"/>
      <c r="O1278" s="556"/>
      <c r="P1278" s="735">
        <f>VLOOKUP($B1278,dongia1,DG!$F$5,)</f>
        <v>204900</v>
      </c>
      <c r="Q1278" s="736"/>
      <c r="R1278" s="737"/>
      <c r="S1278" s="735">
        <f t="shared" ref="S1278:S1284" si="632">$G1278*P1278</f>
        <v>0</v>
      </c>
      <c r="T1278" s="735">
        <f t="shared" si="630"/>
        <v>0</v>
      </c>
      <c r="U1278" s="738">
        <f t="shared" si="631"/>
        <v>0</v>
      </c>
    </row>
    <row r="1279" spans="1:21" s="552" customFormat="1" ht="15" customHeight="1">
      <c r="A1279" s="621"/>
      <c r="B1279" s="622" t="s">
        <v>2071</v>
      </c>
      <c r="C1279" s="633" t="str">
        <f t="shared" si="619"/>
        <v xml:space="preserve"> </v>
      </c>
      <c r="D1279" s="611"/>
      <c r="E1279" s="694" t="str">
        <f>VLOOKUP($B1279,dongia1,DG!$C$5,)</f>
        <v>Cáp 24KV C/XLPE/PVC 50mm2</v>
      </c>
      <c r="F1279" s="555" t="str">
        <f>VLOOKUP($B1279,dongia1,DG!$D$5,)</f>
        <v>mét</v>
      </c>
      <c r="G1279" s="205">
        <f t="shared" si="620"/>
        <v>0</v>
      </c>
      <c r="H1279" s="556"/>
      <c r="I1279" s="556"/>
      <c r="J1279" s="556"/>
      <c r="K1279" s="556">
        <f t="shared" si="617"/>
        <v>0</v>
      </c>
      <c r="L1279" s="556"/>
      <c r="M1279" s="556"/>
      <c r="N1279" s="556"/>
      <c r="O1279" s="556"/>
      <c r="P1279" s="182">
        <f>VLOOKUP($B1279,dongia1,DG!$F$5,)</f>
        <v>204900</v>
      </c>
      <c r="Q1279" s="624"/>
      <c r="R1279" s="554"/>
      <c r="S1279" s="113">
        <f t="shared" si="632"/>
        <v>0</v>
      </c>
      <c r="T1279" s="113">
        <f t="shared" si="630"/>
        <v>0</v>
      </c>
      <c r="U1279" s="715">
        <f t="shared" si="631"/>
        <v>0</v>
      </c>
    </row>
    <row r="1280" spans="1:21" s="552" customFormat="1" ht="15" customHeight="1">
      <c r="A1280" s="621"/>
      <c r="B1280" s="622" t="s">
        <v>2070</v>
      </c>
      <c r="C1280" s="633" t="str">
        <f t="shared" si="619"/>
        <v xml:space="preserve"> </v>
      </c>
      <c r="D1280" s="611"/>
      <c r="E1280" s="694" t="str">
        <f>VLOOKUP($B1280,dongia1,DG!$C$5,)</f>
        <v>Cáp 24KV C/XLPE/PVC 70mm2</v>
      </c>
      <c r="F1280" s="555" t="str">
        <f>VLOOKUP($B1280,dongia1,DG!$D$5,)</f>
        <v>mét</v>
      </c>
      <c r="G1280" s="205">
        <f t="shared" si="620"/>
        <v>0</v>
      </c>
      <c r="H1280" s="556"/>
      <c r="I1280" s="556"/>
      <c r="J1280" s="556"/>
      <c r="K1280" s="556">
        <f t="shared" si="617"/>
        <v>0</v>
      </c>
      <c r="L1280" s="556"/>
      <c r="M1280" s="556"/>
      <c r="N1280" s="556"/>
      <c r="O1280" s="556"/>
      <c r="P1280" s="182">
        <f>VLOOKUP($B1280,dongia1,DG!$F$5,)</f>
        <v>197600</v>
      </c>
      <c r="Q1280" s="624"/>
      <c r="R1280" s="554"/>
      <c r="S1280" s="113">
        <f t="shared" si="632"/>
        <v>0</v>
      </c>
      <c r="T1280" s="113">
        <f t="shared" si="630"/>
        <v>0</v>
      </c>
      <c r="U1280" s="557">
        <f t="shared" si="631"/>
        <v>0</v>
      </c>
    </row>
    <row r="1281" spans="1:21" s="552" customFormat="1" ht="15" customHeight="1">
      <c r="A1281" s="621"/>
      <c r="B1281" s="622" t="s">
        <v>1365</v>
      </c>
      <c r="C1281" s="633" t="str">
        <f t="shared" ref="C1281:C1317" si="633">IF(G1281&lt;&gt;0,$C$1248," ")</f>
        <v xml:space="preserve"> </v>
      </c>
      <c r="D1281" s="611"/>
      <c r="E1281" s="694" t="str">
        <f>VLOOKUP($B1281,dongia1,DG!$C$5,)</f>
        <v>Cáp 24KV C/XLPE/PVC 95mm2</v>
      </c>
      <c r="F1281" s="555" t="str">
        <f>VLOOKUP($B1281,dongia1,DG!$D$5,)</f>
        <v>mét</v>
      </c>
      <c r="G1281" s="205">
        <f t="shared" si="620"/>
        <v>0</v>
      </c>
      <c r="H1281" s="556"/>
      <c r="I1281" s="556"/>
      <c r="J1281" s="556"/>
      <c r="K1281" s="556">
        <f t="shared" si="617"/>
        <v>0</v>
      </c>
      <c r="L1281" s="556"/>
      <c r="M1281" s="556"/>
      <c r="N1281" s="556"/>
      <c r="O1281" s="556"/>
      <c r="P1281" s="182">
        <f>VLOOKUP($B1281,dongia1,DG!$F$5,)</f>
        <v>265000</v>
      </c>
      <c r="Q1281" s="624"/>
      <c r="R1281" s="554"/>
      <c r="S1281" s="113">
        <f t="shared" si="632"/>
        <v>0</v>
      </c>
      <c r="T1281" s="113">
        <f t="shared" si="630"/>
        <v>0</v>
      </c>
      <c r="U1281" s="557">
        <f t="shared" si="631"/>
        <v>0</v>
      </c>
    </row>
    <row r="1282" spans="1:21" s="552" customFormat="1" ht="15" customHeight="1">
      <c r="A1282" s="621"/>
      <c r="B1282" s="622" t="s">
        <v>823</v>
      </c>
      <c r="C1282" s="633" t="str">
        <f t="shared" si="633"/>
        <v xml:space="preserve"> </v>
      </c>
      <c r="D1282" s="611"/>
      <c r="E1282" s="694" t="str">
        <f>VLOOKUP($B1282,dongia1,DG!$C$5,)</f>
        <v>Cáp 24KV C/XLPE/PVC 120mm2</v>
      </c>
      <c r="F1282" s="555" t="str">
        <f>VLOOKUP($B1282,dongia1,DG!$D$5,)</f>
        <v>mét</v>
      </c>
      <c r="G1282" s="205">
        <f t="shared" si="620"/>
        <v>0</v>
      </c>
      <c r="H1282" s="556"/>
      <c r="I1282" s="556"/>
      <c r="J1282" s="556"/>
      <c r="K1282" s="556">
        <f t="shared" si="617"/>
        <v>0</v>
      </c>
      <c r="L1282" s="556"/>
      <c r="M1282" s="556"/>
      <c r="N1282" s="556"/>
      <c r="O1282" s="556"/>
      <c r="P1282" s="182">
        <f>VLOOKUP($B1282,dongia1,DG!$F$5,)</f>
        <v>383800</v>
      </c>
      <c r="Q1282" s="624"/>
      <c r="R1282" s="554"/>
      <c r="S1282" s="113">
        <f t="shared" si="632"/>
        <v>0</v>
      </c>
      <c r="T1282" s="113">
        <f t="shared" si="630"/>
        <v>0</v>
      </c>
      <c r="U1282" s="557">
        <f t="shared" si="631"/>
        <v>0</v>
      </c>
    </row>
    <row r="1283" spans="1:21" s="552" customFormat="1" ht="15" customHeight="1">
      <c r="A1283" s="621"/>
      <c r="B1283" s="622" t="s">
        <v>324</v>
      </c>
      <c r="C1283" s="633" t="str">
        <f t="shared" si="633"/>
        <v xml:space="preserve"> </v>
      </c>
      <c r="D1283" s="611"/>
      <c r="E1283" s="694" t="str">
        <f>VLOOKUP($B1283,dongia1,DG!$C$5,)</f>
        <v>Cáp 24KV C/XLPE/PVC 150mm2</v>
      </c>
      <c r="F1283" s="555" t="str">
        <f>VLOOKUP($B1283,dongia1,DG!$D$5,)</f>
        <v>mét</v>
      </c>
      <c r="G1283" s="205">
        <f t="shared" si="620"/>
        <v>0</v>
      </c>
      <c r="H1283" s="556"/>
      <c r="I1283" s="556"/>
      <c r="J1283" s="556"/>
      <c r="K1283" s="556">
        <f t="shared" si="617"/>
        <v>0</v>
      </c>
      <c r="L1283" s="556"/>
      <c r="M1283" s="556"/>
      <c r="N1283" s="556"/>
      <c r="O1283" s="556"/>
      <c r="P1283" s="182">
        <f>VLOOKUP($B1283,dongia1,DG!$F$5,)</f>
        <v>497800</v>
      </c>
      <c r="Q1283" s="624"/>
      <c r="R1283" s="554"/>
      <c r="S1283" s="113">
        <f t="shared" si="632"/>
        <v>0</v>
      </c>
      <c r="T1283" s="113">
        <f t="shared" si="630"/>
        <v>0</v>
      </c>
      <c r="U1283" s="557">
        <f t="shared" si="631"/>
        <v>0</v>
      </c>
    </row>
    <row r="1284" spans="1:21" s="552" customFormat="1" ht="15" customHeight="1">
      <c r="A1284" s="621"/>
      <c r="B1284" s="622" t="s">
        <v>576</v>
      </c>
      <c r="C1284" s="633" t="str">
        <f t="shared" si="633"/>
        <v xml:space="preserve"> </v>
      </c>
      <c r="D1284" s="611"/>
      <c r="E1284" s="694" t="str">
        <f>VLOOKUP($B1284,dongia1,DG!$C$5,)</f>
        <v>Cáp 24KV C/XLPE/PVC 185mm2</v>
      </c>
      <c r="F1284" s="555" t="str">
        <f>VLOOKUP($B1284,dongia1,DG!$D$5,)</f>
        <v>mét</v>
      </c>
      <c r="G1284" s="205">
        <f t="shared" si="620"/>
        <v>0</v>
      </c>
      <c r="H1284" s="556"/>
      <c r="I1284" s="556"/>
      <c r="J1284" s="556"/>
      <c r="K1284" s="556">
        <f t="shared" si="617"/>
        <v>0</v>
      </c>
      <c r="L1284" s="556"/>
      <c r="M1284" s="556"/>
      <c r="N1284" s="556"/>
      <c r="O1284" s="556"/>
      <c r="P1284" s="182">
        <f>VLOOKUP($B1284,dongia1,DG!$F$5,)</f>
        <v>592500</v>
      </c>
      <c r="Q1284" s="624"/>
      <c r="R1284" s="554"/>
      <c r="S1284" s="113">
        <f t="shared" si="632"/>
        <v>0</v>
      </c>
      <c r="T1284" s="113">
        <f t="shared" si="630"/>
        <v>0</v>
      </c>
      <c r="U1284" s="557">
        <f t="shared" si="631"/>
        <v>0</v>
      </c>
    </row>
    <row r="1285" spans="1:21" s="858" customFormat="1" ht="14.4">
      <c r="A1285" s="847"/>
      <c r="B1285" s="848" t="s">
        <v>3723</v>
      </c>
      <c r="C1285" s="905" t="str">
        <f t="shared" si="633"/>
        <v>x</v>
      </c>
      <c r="D1285" s="850">
        <v>1</v>
      </c>
      <c r="E1285" s="906" t="s">
        <v>4179</v>
      </c>
      <c r="F1285" s="907" t="s">
        <v>2226</v>
      </c>
      <c r="G1285" s="908">
        <f>pp3p1m!CW10</f>
        <v>1</v>
      </c>
      <c r="H1285" s="854"/>
      <c r="I1285" s="854"/>
      <c r="J1285" s="854"/>
      <c r="K1285" s="701">
        <f>G1285</f>
        <v>1</v>
      </c>
      <c r="L1285" s="854"/>
      <c r="M1285" s="854"/>
      <c r="N1285" s="854"/>
      <c r="O1285" s="854"/>
      <c r="P1285" s="909"/>
      <c r="Q1285" s="909"/>
      <c r="R1285" s="855"/>
      <c r="S1285" s="909"/>
      <c r="T1285" s="909"/>
      <c r="U1285" s="910"/>
    </row>
    <row r="1286" spans="1:21">
      <c r="B1286" s="696" t="s">
        <v>1355</v>
      </c>
      <c r="C1286" s="697" t="str">
        <f t="shared" si="633"/>
        <v>x</v>
      </c>
      <c r="D1286" s="698"/>
      <c r="E1286" s="699" t="str">
        <f>VLOOKUP($B1286,dongia1,DG!$C$5,)</f>
        <v>Uclevis (loại gân)+ sứ ống chỉ</v>
      </c>
      <c r="F1286" s="700" t="str">
        <f>VLOOKUP($B1286,dongia1,DG!$D$5,)</f>
        <v>bộ</v>
      </c>
      <c r="G1286" s="762">
        <f>G1285</f>
        <v>1</v>
      </c>
      <c r="H1286" s="701"/>
      <c r="I1286" s="701"/>
      <c r="J1286" s="701"/>
      <c r="K1286" s="701">
        <f>G1286</f>
        <v>1</v>
      </c>
      <c r="L1286" s="701"/>
      <c r="M1286" s="701"/>
      <c r="N1286" s="701"/>
      <c r="O1286" s="701"/>
      <c r="P1286" s="702">
        <f>VLOOKUP($B1286,dongia1,DG!$F$5,)</f>
        <v>35000</v>
      </c>
      <c r="Q1286" s="702"/>
      <c r="R1286" s="703"/>
      <c r="S1286" s="702">
        <f t="shared" ref="S1286:U1287" si="634">$G1286*P1286</f>
        <v>35000</v>
      </c>
      <c r="T1286" s="702">
        <f t="shared" si="634"/>
        <v>0</v>
      </c>
      <c r="U1286" s="704">
        <f t="shared" si="634"/>
        <v>0</v>
      </c>
    </row>
    <row r="1287" spans="1:21">
      <c r="B1287" s="696" t="s">
        <v>1262</v>
      </c>
      <c r="C1287" s="697" t="str">
        <f t="shared" si="633"/>
        <v>x</v>
      </c>
      <c r="D1287" s="698"/>
      <c r="E1287" s="699" t="str">
        <f>VLOOKUP($B1287,dongia1,DG!$C$5,)</f>
        <v>Boulon 16x300+ 2 long đền vuông D18-50x50x3/Zn</v>
      </c>
      <c r="F1287" s="700" t="str">
        <f>VLOOKUP($B1287,dongia1,DG!$D$5,)</f>
        <v>bộ</v>
      </c>
      <c r="G1287" s="762">
        <f>G1285</f>
        <v>1</v>
      </c>
      <c r="H1287" s="701"/>
      <c r="I1287" s="701"/>
      <c r="J1287" s="701"/>
      <c r="K1287" s="701">
        <f t="shared" si="617"/>
        <v>1</v>
      </c>
      <c r="L1287" s="701"/>
      <c r="M1287" s="701"/>
      <c r="N1287" s="701"/>
      <c r="O1287" s="701"/>
      <c r="P1287" s="702">
        <f>VLOOKUP($B1287,dongia1,DG!$F$5,)</f>
        <v>25400</v>
      </c>
      <c r="Q1287" s="702"/>
      <c r="R1287" s="703"/>
      <c r="S1287" s="702">
        <f t="shared" si="634"/>
        <v>25400</v>
      </c>
      <c r="T1287" s="702">
        <f t="shared" si="634"/>
        <v>0</v>
      </c>
      <c r="U1287" s="930">
        <f t="shared" si="634"/>
        <v>0</v>
      </c>
    </row>
    <row r="1288" spans="1:21" s="610" customFormat="1" ht="21.75" customHeight="1">
      <c r="A1288" s="635"/>
      <c r="B1288" s="636" t="s">
        <v>3730</v>
      </c>
      <c r="C1288" s="641" t="str">
        <f t="shared" si="633"/>
        <v xml:space="preserve"> </v>
      </c>
      <c r="D1288" s="599"/>
      <c r="E1288" s="728" t="s">
        <v>4180</v>
      </c>
      <c r="F1288" s="642" t="s">
        <v>2226</v>
      </c>
      <c r="G1288" s="643">
        <f>pp3p1m!CX10</f>
        <v>0</v>
      </c>
      <c r="H1288" s="605"/>
      <c r="I1288" s="605"/>
      <c r="J1288" s="605"/>
      <c r="K1288" s="556">
        <f t="shared" si="617"/>
        <v>0</v>
      </c>
      <c r="L1288" s="605"/>
      <c r="M1288" s="605"/>
      <c r="N1288" s="605"/>
      <c r="O1288" s="605"/>
      <c r="P1288" s="607"/>
      <c r="Q1288" s="607"/>
      <c r="R1288" s="606"/>
      <c r="S1288" s="608"/>
      <c r="T1288" s="608"/>
      <c r="U1288" s="716"/>
    </row>
    <row r="1289" spans="1:21" s="552" customFormat="1" ht="15" customHeight="1">
      <c r="A1289" s="621"/>
      <c r="B1289" s="622" t="s">
        <v>1355</v>
      </c>
      <c r="C1289" s="633" t="str">
        <f t="shared" si="633"/>
        <v xml:space="preserve"> </v>
      </c>
      <c r="D1289" s="553"/>
      <c r="E1289" s="694" t="str">
        <f>VLOOKUP($B1289,dongia1,DG!$C$5,)</f>
        <v>Uclevis (loại gân)+ sứ ống chỉ</v>
      </c>
      <c r="F1289" s="555" t="str">
        <f>VLOOKUP($B1289,dongia1,DG!$D$5,)</f>
        <v>bộ</v>
      </c>
      <c r="G1289" s="205">
        <f>G1288</f>
        <v>0</v>
      </c>
      <c r="H1289" s="556"/>
      <c r="I1289" s="556"/>
      <c r="J1289" s="556"/>
      <c r="K1289" s="556">
        <f t="shared" si="617"/>
        <v>0</v>
      </c>
      <c r="L1289" s="556"/>
      <c r="M1289" s="556"/>
      <c r="N1289" s="556"/>
      <c r="O1289" s="556"/>
      <c r="P1289" s="182">
        <f>VLOOKUP($B1289,dongia1,DG!$F$5,)</f>
        <v>35000</v>
      </c>
      <c r="Q1289" s="182"/>
      <c r="R1289" s="554"/>
      <c r="S1289" s="113">
        <f t="shared" ref="S1289:U1290" si="635">$G1289*P1289</f>
        <v>0</v>
      </c>
      <c r="T1289" s="113">
        <f t="shared" si="635"/>
        <v>0</v>
      </c>
      <c r="U1289" s="557">
        <f t="shared" si="635"/>
        <v>0</v>
      </c>
    </row>
    <row r="1290" spans="1:21" s="552" customFormat="1" ht="15" customHeight="1">
      <c r="A1290" s="621"/>
      <c r="B1290" s="622" t="s">
        <v>1040</v>
      </c>
      <c r="C1290" s="633" t="str">
        <f t="shared" si="633"/>
        <v xml:space="preserve"> </v>
      </c>
      <c r="D1290" s="553"/>
      <c r="E1290" s="694" t="str">
        <f>VLOOKUP($B1290,dongia1,DG!$C$5,)</f>
        <v>Boulon 16x600+ 2 long đền vuông D18-50x50x3/Zn</v>
      </c>
      <c r="F1290" s="555" t="str">
        <f>VLOOKUP($B1290,dongia1,DG!$D$5,)</f>
        <v>bộ</v>
      </c>
      <c r="G1290" s="205">
        <f>G1288</f>
        <v>0</v>
      </c>
      <c r="H1290" s="556"/>
      <c r="I1290" s="556"/>
      <c r="J1290" s="556"/>
      <c r="K1290" s="556">
        <f t="shared" si="617"/>
        <v>0</v>
      </c>
      <c r="L1290" s="556"/>
      <c r="M1290" s="556"/>
      <c r="N1290" s="556"/>
      <c r="O1290" s="556"/>
      <c r="P1290" s="182">
        <f>VLOOKUP($B1290,dongia1,DG!$F$5,)</f>
        <v>38610</v>
      </c>
      <c r="Q1290" s="182"/>
      <c r="R1290" s="554"/>
      <c r="S1290" s="113">
        <f t="shared" si="635"/>
        <v>0</v>
      </c>
      <c r="T1290" s="113">
        <f t="shared" si="635"/>
        <v>0</v>
      </c>
      <c r="U1290" s="557">
        <f t="shared" si="635"/>
        <v>0</v>
      </c>
    </row>
    <row r="1291" spans="1:21" s="610" customFormat="1" ht="15" customHeight="1">
      <c r="A1291" s="635"/>
      <c r="B1291" s="636" t="s">
        <v>4185</v>
      </c>
      <c r="C1291" s="641"/>
      <c r="D1291" s="599"/>
      <c r="E1291" s="728" t="s">
        <v>4040</v>
      </c>
      <c r="F1291" s="642" t="s">
        <v>2226</v>
      </c>
      <c r="G1291" s="643">
        <f>pp3p1m!CY10</f>
        <v>0</v>
      </c>
      <c r="H1291" s="605"/>
      <c r="I1291" s="605"/>
      <c r="J1291" s="605"/>
      <c r="K1291" s="556">
        <f t="shared" si="617"/>
        <v>0</v>
      </c>
      <c r="L1291" s="605"/>
      <c r="M1291" s="605"/>
      <c r="N1291" s="605"/>
      <c r="O1291" s="605"/>
      <c r="P1291" s="607"/>
      <c r="Q1291" s="607"/>
      <c r="R1291" s="606"/>
      <c r="S1291" s="608"/>
      <c r="T1291" s="608"/>
      <c r="U1291" s="609"/>
    </row>
    <row r="1292" spans="1:21" s="552" customFormat="1" ht="15" customHeight="1">
      <c r="A1292" s="621"/>
      <c r="B1292" s="622" t="s">
        <v>1355</v>
      </c>
      <c r="C1292" s="633"/>
      <c r="D1292" s="553"/>
      <c r="E1292" s="694" t="str">
        <f>VLOOKUP($B1292,dongia1,DG!$C$5,)</f>
        <v>Uclevis (loại gân)+ sứ ống chỉ</v>
      </c>
      <c r="F1292" s="555" t="str">
        <f>VLOOKUP($B1292,dongia1,DG!$D$5,)</f>
        <v>bộ</v>
      </c>
      <c r="G1292" s="205">
        <f>G1291</f>
        <v>0</v>
      </c>
      <c r="H1292" s="556"/>
      <c r="I1292" s="556"/>
      <c r="J1292" s="556"/>
      <c r="K1292" s="556">
        <f t="shared" si="617"/>
        <v>0</v>
      </c>
      <c r="L1292" s="556"/>
      <c r="M1292" s="556"/>
      <c r="N1292" s="556"/>
      <c r="O1292" s="556"/>
      <c r="P1292" s="182">
        <f>VLOOKUP($B1292,dongia1,DG!$F$5,)</f>
        <v>35000</v>
      </c>
      <c r="Q1292" s="182"/>
      <c r="R1292" s="554"/>
      <c r="S1292" s="113">
        <f t="shared" ref="S1292:U1293" si="636">$G1292*P1292</f>
        <v>0</v>
      </c>
      <c r="T1292" s="113">
        <f t="shared" si="636"/>
        <v>0</v>
      </c>
      <c r="U1292" s="557">
        <f t="shared" si="636"/>
        <v>0</v>
      </c>
    </row>
    <row r="1293" spans="1:21" s="552" customFormat="1" ht="15" customHeight="1">
      <c r="A1293" s="621"/>
      <c r="B1293" s="622" t="s">
        <v>1371</v>
      </c>
      <c r="C1293" s="633"/>
      <c r="D1293" s="553"/>
      <c r="E1293" s="694" t="str">
        <f>VLOOKUP($B1293,dongia1,DG!$C$5,)</f>
        <v>Boulon 14x50+ 2 long đền vuông D16-50x50x3/Zn</v>
      </c>
      <c r="F1293" s="555" t="str">
        <f>VLOOKUP($B1293,dongia1,DG!$D$5,)</f>
        <v>bộ</v>
      </c>
      <c r="G1293" s="205">
        <f>G1291</f>
        <v>0</v>
      </c>
      <c r="H1293" s="556"/>
      <c r="I1293" s="556"/>
      <c r="J1293" s="556"/>
      <c r="K1293" s="556">
        <f t="shared" si="617"/>
        <v>0</v>
      </c>
      <c r="L1293" s="556"/>
      <c r="M1293" s="556"/>
      <c r="N1293" s="556"/>
      <c r="O1293" s="556"/>
      <c r="P1293" s="182">
        <f>VLOOKUP($B1293,dongia1,DG!$F$5,)</f>
        <v>10400</v>
      </c>
      <c r="Q1293" s="182"/>
      <c r="R1293" s="554"/>
      <c r="S1293" s="113">
        <f t="shared" si="636"/>
        <v>0</v>
      </c>
      <c r="T1293" s="113">
        <f t="shared" si="636"/>
        <v>0</v>
      </c>
      <c r="U1293" s="557">
        <f t="shared" si="636"/>
        <v>0</v>
      </c>
    </row>
    <row r="1294" spans="1:21" s="610" customFormat="1" ht="15" customHeight="1">
      <c r="A1294" s="635"/>
      <c r="B1294" s="636" t="s">
        <v>1582</v>
      </c>
      <c r="C1294" s="641" t="str">
        <f t="shared" si="633"/>
        <v xml:space="preserve"> </v>
      </c>
      <c r="D1294" s="599"/>
      <c r="E1294" s="728" t="s">
        <v>4183</v>
      </c>
      <c r="F1294" s="642" t="s">
        <v>2226</v>
      </c>
      <c r="G1294" s="643">
        <f>pp3p1m!CZ10</f>
        <v>0</v>
      </c>
      <c r="H1294" s="605"/>
      <c r="I1294" s="605"/>
      <c r="J1294" s="605"/>
      <c r="K1294" s="556">
        <f t="shared" si="617"/>
        <v>0</v>
      </c>
      <c r="L1294" s="605"/>
      <c r="M1294" s="605"/>
      <c r="N1294" s="605"/>
      <c r="O1294" s="605"/>
      <c r="P1294" s="607"/>
      <c r="Q1294" s="607"/>
      <c r="R1294" s="606"/>
      <c r="S1294" s="608"/>
      <c r="T1294" s="608"/>
      <c r="U1294" s="609"/>
    </row>
    <row r="1295" spans="1:21" s="552" customFormat="1" ht="15" customHeight="1">
      <c r="A1295" s="621"/>
      <c r="B1295" s="622" t="s">
        <v>1829</v>
      </c>
      <c r="C1295" s="633" t="str">
        <f t="shared" si="633"/>
        <v xml:space="preserve"> </v>
      </c>
      <c r="D1295" s="553"/>
      <c r="E1295" s="694" t="str">
        <f>VLOOKUP($B1295,dongia1,DG!$C$5,)</f>
        <v>Khóa néo dây 5U-4mm (95-120mm2)</v>
      </c>
      <c r="F1295" s="555" t="str">
        <f>VLOOKUP($B1295,dongia1,DG!$D$5,)</f>
        <v>cái</v>
      </c>
      <c r="G1295" s="205">
        <f>G1294</f>
        <v>0</v>
      </c>
      <c r="H1295" s="556"/>
      <c r="I1295" s="556"/>
      <c r="J1295" s="556"/>
      <c r="K1295" s="556">
        <f t="shared" si="617"/>
        <v>0</v>
      </c>
      <c r="L1295" s="556"/>
      <c r="M1295" s="556"/>
      <c r="N1295" s="556"/>
      <c r="O1295" s="556"/>
      <c r="P1295" s="182">
        <f>VLOOKUP($B1295,dongia1,DG!$F$5,)</f>
        <v>133000</v>
      </c>
      <c r="Q1295" s="182"/>
      <c r="R1295" s="554"/>
      <c r="S1295" s="113">
        <f t="shared" ref="S1295:U1297" si="637">$G1295*P1295</f>
        <v>0</v>
      </c>
      <c r="T1295" s="113">
        <f t="shared" si="637"/>
        <v>0</v>
      </c>
      <c r="U1295" s="557">
        <f t="shared" si="637"/>
        <v>0</v>
      </c>
    </row>
    <row r="1296" spans="1:21" s="552" customFormat="1" ht="15" customHeight="1">
      <c r="A1296" s="621"/>
      <c r="B1296" s="622" t="s">
        <v>2035</v>
      </c>
      <c r="C1296" s="633" t="str">
        <f t="shared" si="633"/>
        <v xml:space="preserve"> </v>
      </c>
      <c r="D1296" s="553"/>
      <c r="E1296" s="694" t="str">
        <f>VLOOKUP($B1296,dongia1,DG!$C$5,)</f>
        <v xml:space="preserve">Móc treo chữ U F16 dài </v>
      </c>
      <c r="F1296" s="555" t="str">
        <f>VLOOKUP($B1296,dongia1,DG!$D$5,)</f>
        <v>cái</v>
      </c>
      <c r="G1296" s="205">
        <f>G1294*2</f>
        <v>0</v>
      </c>
      <c r="H1296" s="556"/>
      <c r="I1296" s="556"/>
      <c r="J1296" s="556"/>
      <c r="K1296" s="556">
        <f t="shared" si="617"/>
        <v>0</v>
      </c>
      <c r="L1296" s="556"/>
      <c r="M1296" s="556"/>
      <c r="N1296" s="556"/>
      <c r="O1296" s="556"/>
      <c r="P1296" s="182">
        <f>VLOOKUP($B1296,dongia1,DG!$F$5,)</f>
        <v>28000</v>
      </c>
      <c r="Q1296" s="182"/>
      <c r="R1296" s="554"/>
      <c r="S1296" s="113">
        <f t="shared" si="637"/>
        <v>0</v>
      </c>
      <c r="T1296" s="113">
        <f t="shared" si="637"/>
        <v>0</v>
      </c>
      <c r="U1296" s="557">
        <f t="shared" si="637"/>
        <v>0</v>
      </c>
    </row>
    <row r="1297" spans="1:21" s="552" customFormat="1" ht="15" customHeight="1">
      <c r="A1297" s="621"/>
      <c r="B1297" s="622" t="s">
        <v>1371</v>
      </c>
      <c r="C1297" s="633" t="str">
        <f t="shared" si="633"/>
        <v xml:space="preserve"> </v>
      </c>
      <c r="D1297" s="553"/>
      <c r="E1297" s="694" t="str">
        <f>VLOOKUP($B1297,dongia1,DG!$C$5,)</f>
        <v>Boulon 14x50+ 2 long đền vuông D16-50x50x3/Zn</v>
      </c>
      <c r="F1297" s="555" t="str">
        <f>VLOOKUP($B1297,dongia1,DG!$D$5,)</f>
        <v>bộ</v>
      </c>
      <c r="G1297" s="205">
        <f>G1295</f>
        <v>0</v>
      </c>
      <c r="H1297" s="556"/>
      <c r="I1297" s="556"/>
      <c r="J1297" s="556"/>
      <c r="K1297" s="556">
        <f t="shared" si="617"/>
        <v>0</v>
      </c>
      <c r="L1297" s="556"/>
      <c r="M1297" s="556"/>
      <c r="N1297" s="556"/>
      <c r="O1297" s="556"/>
      <c r="P1297" s="182">
        <f>VLOOKUP($B1297,dongia1,DG!$F$5,)</f>
        <v>10400</v>
      </c>
      <c r="Q1297" s="182"/>
      <c r="R1297" s="554"/>
      <c r="S1297" s="113">
        <f t="shared" si="637"/>
        <v>0</v>
      </c>
      <c r="T1297" s="113">
        <f t="shared" si="637"/>
        <v>0</v>
      </c>
      <c r="U1297" s="557">
        <f t="shared" si="637"/>
        <v>0</v>
      </c>
    </row>
    <row r="1298" spans="1:21" s="858" customFormat="1" ht="14.4">
      <c r="A1298" s="847"/>
      <c r="B1298" s="848" t="s">
        <v>1582</v>
      </c>
      <c r="C1298" s="905" t="s">
        <v>309</v>
      </c>
      <c r="D1298" s="850">
        <v>2</v>
      </c>
      <c r="E1298" s="906" t="s">
        <v>4183</v>
      </c>
      <c r="F1298" s="907" t="s">
        <v>2226</v>
      </c>
      <c r="G1298" s="908">
        <f>pp3p1m!DC10</f>
        <v>2</v>
      </c>
      <c r="H1298" s="854"/>
      <c r="I1298" s="854"/>
      <c r="J1298" s="854"/>
      <c r="K1298" s="701">
        <f t="shared" si="617"/>
        <v>2</v>
      </c>
      <c r="L1298" s="854"/>
      <c r="M1298" s="854"/>
      <c r="N1298" s="854"/>
      <c r="O1298" s="854"/>
      <c r="P1298" s="909"/>
      <c r="Q1298" s="909"/>
      <c r="R1298" s="855"/>
      <c r="S1298" s="909"/>
      <c r="T1298" s="909"/>
      <c r="U1298" s="910"/>
    </row>
    <row r="1299" spans="1:21">
      <c r="B1299" s="696" t="s">
        <v>74</v>
      </c>
      <c r="C1299" s="697" t="s">
        <v>309</v>
      </c>
      <c r="D1299" s="698"/>
      <c r="E1299" s="699" t="str">
        <f>VLOOKUP($B1299,dongia1,DG!$C$5,)</f>
        <v>Khóa néo dây cỡ dây 50(kẹp dừng dây 3U-3mm)</v>
      </c>
      <c r="F1299" s="700" t="str">
        <f>VLOOKUP($B1299,dongia1,DG!$D$5,)</f>
        <v>cái</v>
      </c>
      <c r="G1299" s="762">
        <f>G1298</f>
        <v>2</v>
      </c>
      <c r="H1299" s="701"/>
      <c r="I1299" s="701"/>
      <c r="J1299" s="701"/>
      <c r="K1299" s="701">
        <f t="shared" si="617"/>
        <v>2</v>
      </c>
      <c r="L1299" s="701"/>
      <c r="M1299" s="701"/>
      <c r="N1299" s="701"/>
      <c r="O1299" s="701"/>
      <c r="P1299" s="702">
        <f>VLOOKUP($B1299,dongia1,DG!$F$5,)</f>
        <v>58000</v>
      </c>
      <c r="Q1299" s="702"/>
      <c r="R1299" s="703"/>
      <c r="S1299" s="702">
        <f t="shared" ref="S1299:U1301" si="638">$G1299*P1299</f>
        <v>116000</v>
      </c>
      <c r="T1299" s="702">
        <f t="shared" si="638"/>
        <v>0</v>
      </c>
      <c r="U1299" s="704">
        <f t="shared" si="638"/>
        <v>0</v>
      </c>
    </row>
    <row r="1300" spans="1:21">
      <c r="B1300" s="696" t="s">
        <v>2035</v>
      </c>
      <c r="C1300" s="697" t="s">
        <v>309</v>
      </c>
      <c r="D1300" s="698"/>
      <c r="E1300" s="699" t="str">
        <f>VLOOKUP($B1300,dongia1,DG!$C$5,)</f>
        <v xml:space="preserve">Móc treo chữ U F16 dài </v>
      </c>
      <c r="F1300" s="700" t="str">
        <f>VLOOKUP($B1300,dongia1,DG!$D$5,)</f>
        <v>cái</v>
      </c>
      <c r="G1300" s="762"/>
      <c r="H1300" s="701"/>
      <c r="I1300" s="701"/>
      <c r="J1300" s="701"/>
      <c r="K1300" s="701">
        <f t="shared" si="617"/>
        <v>0</v>
      </c>
      <c r="L1300" s="701"/>
      <c r="M1300" s="701"/>
      <c r="N1300" s="701"/>
      <c r="O1300" s="701"/>
      <c r="P1300" s="702">
        <f>VLOOKUP($B1300,dongia1,DG!$F$5,)</f>
        <v>28000</v>
      </c>
      <c r="Q1300" s="702"/>
      <c r="R1300" s="703"/>
      <c r="S1300" s="702">
        <f t="shared" si="638"/>
        <v>0</v>
      </c>
      <c r="T1300" s="702">
        <f t="shared" si="638"/>
        <v>0</v>
      </c>
      <c r="U1300" s="704">
        <f t="shared" si="638"/>
        <v>0</v>
      </c>
    </row>
    <row r="1301" spans="1:21">
      <c r="B1301" s="696" t="s">
        <v>366</v>
      </c>
      <c r="C1301" s="697" t="s">
        <v>309</v>
      </c>
      <c r="D1301" s="698"/>
      <c r="E1301" s="699" t="str">
        <f>VLOOKUP($B1301,dongia1,DG!$C$5,)</f>
        <v>Boulon mắt 16x300+ 1 long đền vuông D18-50x50x3/Zn</v>
      </c>
      <c r="F1301" s="700" t="str">
        <f>VLOOKUP($B1301,dongia1,DG!$D$5,)</f>
        <v>bộ</v>
      </c>
      <c r="G1301" s="762">
        <f>G1299</f>
        <v>2</v>
      </c>
      <c r="H1301" s="701"/>
      <c r="I1301" s="701"/>
      <c r="J1301" s="701"/>
      <c r="K1301" s="701">
        <f t="shared" si="617"/>
        <v>2</v>
      </c>
      <c r="L1301" s="701"/>
      <c r="M1301" s="701"/>
      <c r="N1301" s="701"/>
      <c r="O1301" s="701"/>
      <c r="P1301" s="702">
        <f>VLOOKUP($B1301,dongia1,DG!$F$5,)</f>
        <v>32200</v>
      </c>
      <c r="Q1301" s="702"/>
      <c r="R1301" s="703"/>
      <c r="S1301" s="702">
        <f t="shared" si="638"/>
        <v>64400</v>
      </c>
      <c r="T1301" s="702">
        <f t="shared" si="638"/>
        <v>0</v>
      </c>
      <c r="U1301" s="704">
        <f t="shared" si="638"/>
        <v>0</v>
      </c>
    </row>
    <row r="1302" spans="1:21" s="858" customFormat="1" ht="14.4">
      <c r="A1302" s="847"/>
      <c r="B1302" s="848" t="s">
        <v>1911</v>
      </c>
      <c r="C1302" s="905"/>
      <c r="D1302" s="850">
        <v>3</v>
      </c>
      <c r="E1302" s="906" t="s">
        <v>4184</v>
      </c>
      <c r="F1302" s="907" t="s">
        <v>2226</v>
      </c>
      <c r="G1302" s="908">
        <f>pp3p1m!DB7</f>
        <v>0</v>
      </c>
      <c r="H1302" s="854"/>
      <c r="I1302" s="854"/>
      <c r="J1302" s="854"/>
      <c r="K1302" s="701">
        <f t="shared" si="617"/>
        <v>0</v>
      </c>
      <c r="L1302" s="854"/>
      <c r="M1302" s="854"/>
      <c r="N1302" s="854"/>
      <c r="O1302" s="854"/>
      <c r="P1302" s="909"/>
      <c r="Q1302" s="909"/>
      <c r="R1302" s="855"/>
      <c r="S1302" s="909"/>
      <c r="T1302" s="909"/>
      <c r="U1302" s="910"/>
    </row>
    <row r="1303" spans="1:21">
      <c r="B1303" s="696" t="s">
        <v>74</v>
      </c>
      <c r="C1303" s="697"/>
      <c r="D1303" s="698"/>
      <c r="E1303" s="699" t="str">
        <f>VLOOKUP($B1303,dongia1,DG!$C$5,)</f>
        <v>Khóa néo dây cỡ dây 50(kẹp dừng dây 3U-3mm)</v>
      </c>
      <c r="F1303" s="700" t="str">
        <f>VLOOKUP($B1303,dongia1,DG!$D$5,)</f>
        <v>cái</v>
      </c>
      <c r="G1303" s="762">
        <f>G1302</f>
        <v>0</v>
      </c>
      <c r="H1303" s="701"/>
      <c r="I1303" s="701"/>
      <c r="J1303" s="701"/>
      <c r="K1303" s="701">
        <f t="shared" si="617"/>
        <v>0</v>
      </c>
      <c r="L1303" s="701"/>
      <c r="M1303" s="701"/>
      <c r="N1303" s="701"/>
      <c r="O1303" s="701"/>
      <c r="P1303" s="702">
        <f>VLOOKUP($B1303,dongia1,DG!$F$5,)</f>
        <v>58000</v>
      </c>
      <c r="Q1303" s="702"/>
      <c r="R1303" s="703"/>
      <c r="S1303" s="702">
        <f t="shared" ref="S1303:U1305" si="639">$G1303*P1303</f>
        <v>0</v>
      </c>
      <c r="T1303" s="702">
        <f t="shared" si="639"/>
        <v>0</v>
      </c>
      <c r="U1303" s="704">
        <f t="shared" si="639"/>
        <v>0</v>
      </c>
    </row>
    <row r="1304" spans="1:21">
      <c r="B1304" s="696" t="s">
        <v>2035</v>
      </c>
      <c r="C1304" s="697"/>
      <c r="D1304" s="698"/>
      <c r="E1304" s="699" t="str">
        <f>VLOOKUP($B1304,dongia1,DG!$C$5,)</f>
        <v xml:space="preserve">Móc treo chữ U F16 dài </v>
      </c>
      <c r="F1304" s="700" t="str">
        <f>VLOOKUP($B1304,dongia1,DG!$D$5,)</f>
        <v>cái</v>
      </c>
      <c r="G1304" s="762"/>
      <c r="H1304" s="701"/>
      <c r="I1304" s="701"/>
      <c r="J1304" s="701"/>
      <c r="K1304" s="701">
        <f t="shared" si="617"/>
        <v>0</v>
      </c>
      <c r="L1304" s="701"/>
      <c r="M1304" s="701"/>
      <c r="N1304" s="701"/>
      <c r="O1304" s="701"/>
      <c r="P1304" s="702">
        <f>VLOOKUP($B1304,dongia1,DG!$F$5,)</f>
        <v>28000</v>
      </c>
      <c r="Q1304" s="702"/>
      <c r="R1304" s="703"/>
      <c r="S1304" s="702">
        <f t="shared" si="639"/>
        <v>0</v>
      </c>
      <c r="T1304" s="702">
        <f t="shared" si="639"/>
        <v>0</v>
      </c>
      <c r="U1304" s="704">
        <f t="shared" si="639"/>
        <v>0</v>
      </c>
    </row>
    <row r="1305" spans="1:21">
      <c r="B1305" s="696" t="s">
        <v>4689</v>
      </c>
      <c r="C1305" s="697"/>
      <c r="D1305" s="698"/>
      <c r="E1305" s="699" t="str">
        <f>VLOOKUP($B1305,dongia1,DG!$C$5,)</f>
        <v>Boulon mắt 16x550+ 1 long đền vuông D18-50x50x3/Zn</v>
      </c>
      <c r="F1305" s="700" t="str">
        <f>VLOOKUP($B1305,dongia1,DG!$D$5,)</f>
        <v>bộ</v>
      </c>
      <c r="G1305" s="762">
        <f>G1303</f>
        <v>0</v>
      </c>
      <c r="H1305" s="701"/>
      <c r="I1305" s="701"/>
      <c r="J1305" s="701"/>
      <c r="K1305" s="701">
        <f t="shared" si="617"/>
        <v>0</v>
      </c>
      <c r="L1305" s="701"/>
      <c r="M1305" s="701"/>
      <c r="N1305" s="701"/>
      <c r="O1305" s="701"/>
      <c r="P1305" s="702">
        <f>VLOOKUP($B1305,dongia1,DG!$F$5,)</f>
        <v>62200</v>
      </c>
      <c r="Q1305" s="702"/>
      <c r="R1305" s="703"/>
      <c r="S1305" s="702">
        <f t="shared" si="639"/>
        <v>0</v>
      </c>
      <c r="T1305" s="702">
        <f t="shared" si="639"/>
        <v>0</v>
      </c>
      <c r="U1305" s="704">
        <f t="shared" si="639"/>
        <v>0</v>
      </c>
    </row>
    <row r="1306" spans="1:21" s="858" customFormat="1" ht="14.4">
      <c r="A1306" s="847"/>
      <c r="B1306" s="848" t="s">
        <v>3724</v>
      </c>
      <c r="C1306" s="905" t="s">
        <v>309</v>
      </c>
      <c r="D1306" s="850">
        <v>3</v>
      </c>
      <c r="E1306" s="906" t="s">
        <v>4186</v>
      </c>
      <c r="F1306" s="907" t="s">
        <v>2226</v>
      </c>
      <c r="G1306" s="908">
        <f>pp3p1m!CR10</f>
        <v>8</v>
      </c>
      <c r="H1306" s="854"/>
      <c r="I1306" s="854"/>
      <c r="J1306" s="854"/>
      <c r="K1306" s="701">
        <f t="shared" si="617"/>
        <v>8</v>
      </c>
      <c r="L1306" s="854"/>
      <c r="M1306" s="854"/>
      <c r="N1306" s="854"/>
      <c r="O1306" s="854"/>
      <c r="P1306" s="909"/>
      <c r="Q1306" s="909"/>
      <c r="R1306" s="855"/>
      <c r="S1306" s="909"/>
      <c r="T1306" s="909">
        <f t="shared" ref="T1306:U1313" si="640">$G1306*Q1306</f>
        <v>0</v>
      </c>
      <c r="U1306" s="910">
        <f t="shared" si="640"/>
        <v>0</v>
      </c>
    </row>
    <row r="1307" spans="1:21">
      <c r="B1307" s="696" t="s">
        <v>647</v>
      </c>
      <c r="C1307" s="697" t="s">
        <v>309</v>
      </c>
      <c r="D1307" s="698"/>
      <c r="E1307" s="699" t="str">
        <f>VLOOKUP($B1307,dongia1,DG!$C$5,)</f>
        <v xml:space="preserve">Sứ đứng 24KV </v>
      </c>
      <c r="F1307" s="700" t="str">
        <f>VLOOKUP($B1307,dongia1,DG!$D$5,)</f>
        <v>cái</v>
      </c>
      <c r="G1307" s="762">
        <f>G1306</f>
        <v>8</v>
      </c>
      <c r="H1307" s="701"/>
      <c r="I1307" s="701"/>
      <c r="J1307" s="701"/>
      <c r="K1307" s="701">
        <f t="shared" si="617"/>
        <v>8</v>
      </c>
      <c r="L1307" s="701"/>
      <c r="M1307" s="701"/>
      <c r="N1307" s="701"/>
      <c r="O1307" s="701"/>
      <c r="P1307" s="702">
        <f>VLOOKUP($B1307,dongia1,DG!$F$5,)</f>
        <v>205000</v>
      </c>
      <c r="Q1307" s="702"/>
      <c r="R1307" s="703"/>
      <c r="S1307" s="702">
        <f>$G1307*P1307</f>
        <v>1640000</v>
      </c>
      <c r="T1307" s="702">
        <f t="shared" si="640"/>
        <v>0</v>
      </c>
      <c r="U1307" s="704">
        <f t="shared" si="640"/>
        <v>0</v>
      </c>
    </row>
    <row r="1308" spans="1:21">
      <c r="B1308" s="696" t="s">
        <v>414</v>
      </c>
      <c r="C1308" s="697" t="s">
        <v>309</v>
      </c>
      <c r="D1308" s="698"/>
      <c r="E1308" s="699" t="str">
        <f>VLOOKUP($B1308,dongia1,DG!$C$5,)</f>
        <v>Chân sứ đứng D20</v>
      </c>
      <c r="F1308" s="700" t="str">
        <f>VLOOKUP($B1308,dongia1,DG!$D$5,)</f>
        <v>cái</v>
      </c>
      <c r="G1308" s="762">
        <f>G1306</f>
        <v>8</v>
      </c>
      <c r="H1308" s="701"/>
      <c r="I1308" s="701"/>
      <c r="J1308" s="701"/>
      <c r="K1308" s="701">
        <f t="shared" si="617"/>
        <v>8</v>
      </c>
      <c r="L1308" s="701"/>
      <c r="M1308" s="701"/>
      <c r="N1308" s="701"/>
      <c r="O1308" s="701"/>
      <c r="P1308" s="702">
        <f>VLOOKUP($B1308,dongia1,DG!$F$5,)</f>
        <v>65000</v>
      </c>
      <c r="Q1308" s="702"/>
      <c r="R1308" s="703"/>
      <c r="S1308" s="702">
        <f>$G1308*P1308</f>
        <v>520000</v>
      </c>
      <c r="T1308" s="702">
        <f t="shared" si="640"/>
        <v>0</v>
      </c>
      <c r="U1308" s="930">
        <f t="shared" si="640"/>
        <v>0</v>
      </c>
    </row>
    <row r="1309" spans="1:21">
      <c r="B1309" s="696" t="s">
        <v>5785</v>
      </c>
      <c r="C1309" s="1983" t="s">
        <v>309</v>
      </c>
      <c r="D1309" s="698"/>
      <c r="E1309" s="699" t="str">
        <f>VLOOKUP($B1309,dongia1,DG!$C$5,)</f>
        <v>Dây buộc đầu sứ đỡ thẳng 50mm2</v>
      </c>
      <c r="F1309" s="700" t="str">
        <f>VLOOKUP($B1309,dongia1,DG!$D$5,)</f>
        <v>cái</v>
      </c>
      <c r="G1309" s="762">
        <f>G1306</f>
        <v>8</v>
      </c>
      <c r="H1309" s="701"/>
      <c r="I1309" s="701"/>
      <c r="J1309" s="701"/>
      <c r="K1309" s="701">
        <f>G1309</f>
        <v>8</v>
      </c>
      <c r="L1309" s="701"/>
      <c r="M1309" s="701"/>
      <c r="N1309" s="701"/>
      <c r="O1309" s="701"/>
      <c r="P1309" s="702">
        <f>VLOOKUP($B1309,dongia1,DG!$F$5,)</f>
        <v>132000</v>
      </c>
      <c r="Q1309" s="702"/>
      <c r="R1309" s="703"/>
      <c r="S1309" s="702">
        <f>$G1309*P1309</f>
        <v>1056000</v>
      </c>
      <c r="T1309" s="702">
        <f>$G1309*Q1309</f>
        <v>0</v>
      </c>
      <c r="U1309" s="930">
        <f>$G1309*R1309</f>
        <v>0</v>
      </c>
    </row>
    <row r="1310" spans="1:21" s="858" customFormat="1" ht="14.4">
      <c r="A1310" s="847"/>
      <c r="B1310" s="848" t="s">
        <v>3725</v>
      </c>
      <c r="C1310" s="905" t="str">
        <f t="shared" si="633"/>
        <v xml:space="preserve"> </v>
      </c>
      <c r="D1310" s="850"/>
      <c r="E1310" s="906" t="s">
        <v>4187</v>
      </c>
      <c r="F1310" s="907" t="s">
        <v>2226</v>
      </c>
      <c r="G1310" s="908">
        <f>pp3p1m!CP10</f>
        <v>0</v>
      </c>
      <c r="H1310" s="854"/>
      <c r="I1310" s="854"/>
      <c r="J1310" s="854"/>
      <c r="K1310" s="701">
        <f t="shared" si="617"/>
        <v>0</v>
      </c>
      <c r="L1310" s="854"/>
      <c r="M1310" s="854"/>
      <c r="N1310" s="854"/>
      <c r="O1310" s="854"/>
      <c r="P1310" s="909"/>
      <c r="Q1310" s="909"/>
      <c r="R1310" s="855"/>
      <c r="S1310" s="909"/>
      <c r="T1310" s="909">
        <f t="shared" si="640"/>
        <v>0</v>
      </c>
      <c r="U1310" s="944">
        <f t="shared" si="640"/>
        <v>0</v>
      </c>
    </row>
    <row r="1311" spans="1:21">
      <c r="B1311" s="696" t="s">
        <v>647</v>
      </c>
      <c r="C1311" s="697" t="str">
        <f t="shared" si="633"/>
        <v xml:space="preserve"> </v>
      </c>
      <c r="D1311" s="698"/>
      <c r="E1311" s="699" t="str">
        <f>VLOOKUP($B1311,dongia1,DG!$C$5,)</f>
        <v xml:space="preserve">Sứ đứng 24KV </v>
      </c>
      <c r="F1311" s="700" t="str">
        <f>VLOOKUP($B1311,dongia1,DG!$D$5,)</f>
        <v>cái</v>
      </c>
      <c r="G1311" s="762">
        <f>G1310</f>
        <v>0</v>
      </c>
      <c r="H1311" s="701"/>
      <c r="I1311" s="701"/>
      <c r="J1311" s="701"/>
      <c r="K1311" s="701">
        <f t="shared" si="617"/>
        <v>0</v>
      </c>
      <c r="L1311" s="701"/>
      <c r="M1311" s="701"/>
      <c r="N1311" s="701"/>
      <c r="O1311" s="701"/>
      <c r="P1311" s="702">
        <f>VLOOKUP($B1311,dongia1,DG!$F$5,)</f>
        <v>205000</v>
      </c>
      <c r="Q1311" s="702"/>
      <c r="R1311" s="703"/>
      <c r="S1311" s="702">
        <f>$G1311*P1311</f>
        <v>0</v>
      </c>
      <c r="T1311" s="702">
        <f t="shared" si="640"/>
        <v>0</v>
      </c>
      <c r="U1311" s="704">
        <f t="shared" si="640"/>
        <v>0</v>
      </c>
    </row>
    <row r="1312" spans="1:21">
      <c r="B1312" s="696" t="s">
        <v>415</v>
      </c>
      <c r="C1312" s="697" t="str">
        <f t="shared" si="633"/>
        <v xml:space="preserve"> </v>
      </c>
      <c r="D1312" s="698"/>
      <c r="E1312" s="699" t="str">
        <f>VLOOKUP($B1312,dongia1,DG!$C$5,)</f>
        <v>Chân sứ đỉnh thẳng dài 870mm</v>
      </c>
      <c r="F1312" s="700" t="str">
        <f>VLOOKUP($B1312,dongia1,DG!$D$5,)</f>
        <v>cái</v>
      </c>
      <c r="G1312" s="762">
        <f>G1310</f>
        <v>0</v>
      </c>
      <c r="H1312" s="701"/>
      <c r="I1312" s="701"/>
      <c r="J1312" s="701"/>
      <c r="K1312" s="701">
        <f t="shared" si="617"/>
        <v>0</v>
      </c>
      <c r="L1312" s="701"/>
      <c r="M1312" s="701"/>
      <c r="N1312" s="701"/>
      <c r="O1312" s="701"/>
      <c r="P1312" s="702">
        <f>VLOOKUP($B1312,dongia1,DG!$F$5,)</f>
        <v>83000</v>
      </c>
      <c r="Q1312" s="702"/>
      <c r="R1312" s="703"/>
      <c r="S1312" s="702">
        <f>$G1312*P1312</f>
        <v>0</v>
      </c>
      <c r="T1312" s="702">
        <f t="shared" si="640"/>
        <v>0</v>
      </c>
      <c r="U1312" s="704">
        <f t="shared" si="640"/>
        <v>0</v>
      </c>
    </row>
    <row r="1313" spans="1:21">
      <c r="B1313" s="696" t="s">
        <v>1262</v>
      </c>
      <c r="C1313" s="697" t="str">
        <f t="shared" si="633"/>
        <v xml:space="preserve"> </v>
      </c>
      <c r="D1313" s="698"/>
      <c r="E1313" s="699" t="str">
        <f>VLOOKUP($B1313,dongia1,DG!$C$5,)</f>
        <v>Boulon 16x300+ 2 long đền vuông D18-50x50x3/Zn</v>
      </c>
      <c r="F1313" s="700" t="str">
        <f>VLOOKUP($B1313,dongia1,DG!$D$5,)</f>
        <v>bộ</v>
      </c>
      <c r="G1313" s="762">
        <f>G1310*2</f>
        <v>0</v>
      </c>
      <c r="H1313" s="701"/>
      <c r="I1313" s="701"/>
      <c r="J1313" s="701"/>
      <c r="K1313" s="701">
        <f t="shared" si="617"/>
        <v>0</v>
      </c>
      <c r="L1313" s="701"/>
      <c r="M1313" s="701"/>
      <c r="N1313" s="701"/>
      <c r="O1313" s="701"/>
      <c r="P1313" s="702">
        <f>VLOOKUP($B1313,dongia1,DG!$F$5,)</f>
        <v>25400</v>
      </c>
      <c r="Q1313" s="702"/>
      <c r="R1313" s="703"/>
      <c r="S1313" s="702">
        <f>$G1313*P1313</f>
        <v>0</v>
      </c>
      <c r="T1313" s="702">
        <f t="shared" si="640"/>
        <v>0</v>
      </c>
      <c r="U1313" s="704">
        <f t="shared" si="640"/>
        <v>0</v>
      </c>
    </row>
    <row r="1314" spans="1:21" s="610" customFormat="1" ht="15" customHeight="1">
      <c r="A1314" s="635"/>
      <c r="B1314" s="636" t="s">
        <v>3726</v>
      </c>
      <c r="C1314" s="641" t="str">
        <f t="shared" si="633"/>
        <v xml:space="preserve"> </v>
      </c>
      <c r="D1314" s="599"/>
      <c r="E1314" s="728" t="s">
        <v>4188</v>
      </c>
      <c r="F1314" s="642" t="s">
        <v>2226</v>
      </c>
      <c r="G1314" s="643">
        <f>pp3p1m!CQ10</f>
        <v>0</v>
      </c>
      <c r="H1314" s="605"/>
      <c r="I1314" s="605"/>
      <c r="J1314" s="605"/>
      <c r="K1314" s="556">
        <f t="shared" ref="K1314:K1387" si="641">G1314</f>
        <v>0</v>
      </c>
      <c r="L1314" s="605"/>
      <c r="M1314" s="605"/>
      <c r="N1314" s="605"/>
      <c r="O1314" s="605"/>
      <c r="P1314" s="607"/>
      <c r="Q1314" s="607"/>
      <c r="R1314" s="606"/>
      <c r="S1314" s="608"/>
      <c r="T1314" s="608">
        <f t="shared" ref="T1314:U1322" si="642">$G1314*Q1314</f>
        <v>0</v>
      </c>
      <c r="U1314" s="609">
        <f t="shared" si="642"/>
        <v>0</v>
      </c>
    </row>
    <row r="1315" spans="1:21" s="552" customFormat="1" ht="15" customHeight="1">
      <c r="A1315" s="621"/>
      <c r="B1315" s="622" t="s">
        <v>647</v>
      </c>
      <c r="C1315" s="633" t="str">
        <f t="shared" si="633"/>
        <v xml:space="preserve"> </v>
      </c>
      <c r="D1315" s="553"/>
      <c r="E1315" s="694" t="str">
        <f>VLOOKUP($B1315,dongia1,DG!$C$5,)</f>
        <v xml:space="preserve">Sứ đứng 24KV </v>
      </c>
      <c r="F1315" s="555" t="str">
        <f>VLOOKUP($B1315,dongia1,DG!$D$5,)</f>
        <v>cái</v>
      </c>
      <c r="G1315" s="205">
        <f>G1314*2</f>
        <v>0</v>
      </c>
      <c r="H1315" s="556"/>
      <c r="I1315" s="556"/>
      <c r="J1315" s="556"/>
      <c r="K1315" s="556">
        <f t="shared" si="641"/>
        <v>0</v>
      </c>
      <c r="L1315" s="556"/>
      <c r="M1315" s="556"/>
      <c r="N1315" s="556"/>
      <c r="O1315" s="556"/>
      <c r="P1315" s="182">
        <f>VLOOKUP($B1315,dongia1,DG!$F$5,)</f>
        <v>205000</v>
      </c>
      <c r="Q1315" s="182"/>
      <c r="R1315" s="554"/>
      <c r="S1315" s="113">
        <f t="shared" ref="S1315:S1326" si="643">$G1315*P1315</f>
        <v>0</v>
      </c>
      <c r="T1315" s="113">
        <f t="shared" si="642"/>
        <v>0</v>
      </c>
      <c r="U1315" s="557">
        <f t="shared" si="642"/>
        <v>0</v>
      </c>
    </row>
    <row r="1316" spans="1:21" s="552" customFormat="1" ht="15" customHeight="1">
      <c r="A1316" s="621"/>
      <c r="B1316" s="622" t="s">
        <v>1999</v>
      </c>
      <c r="C1316" s="633" t="str">
        <f t="shared" si="633"/>
        <v xml:space="preserve"> </v>
      </c>
      <c r="D1316" s="553"/>
      <c r="E1316" s="694" t="str">
        <f>VLOOKUP($B1316,dongia1,DG!$C$5,)</f>
        <v>Chân sứ đỉnh đỡ góc dài 870mm</v>
      </c>
      <c r="F1316" s="555" t="str">
        <f>VLOOKUP($B1316,dongia1,DG!$D$5,)</f>
        <v>cái</v>
      </c>
      <c r="G1316" s="205">
        <f>G1314*2</f>
        <v>0</v>
      </c>
      <c r="H1316" s="556"/>
      <c r="I1316" s="556"/>
      <c r="J1316" s="556"/>
      <c r="K1316" s="556">
        <f t="shared" si="641"/>
        <v>0</v>
      </c>
      <c r="L1316" s="556"/>
      <c r="M1316" s="556"/>
      <c r="N1316" s="556"/>
      <c r="O1316" s="556"/>
      <c r="P1316" s="182">
        <f>VLOOKUP($B1316,dongia1,DG!$F$5,)</f>
        <v>85000</v>
      </c>
      <c r="Q1316" s="182"/>
      <c r="R1316" s="554"/>
      <c r="S1316" s="113">
        <f t="shared" si="643"/>
        <v>0</v>
      </c>
      <c r="T1316" s="113">
        <f t="shared" si="642"/>
        <v>0</v>
      </c>
      <c r="U1316" s="557">
        <f t="shared" si="642"/>
        <v>0</v>
      </c>
    </row>
    <row r="1317" spans="1:21" s="552" customFormat="1" ht="15" customHeight="1">
      <c r="A1317" s="621"/>
      <c r="B1317" s="622" t="s">
        <v>1262</v>
      </c>
      <c r="C1317" s="633" t="str">
        <f t="shared" si="633"/>
        <v xml:space="preserve"> </v>
      </c>
      <c r="D1317" s="553"/>
      <c r="E1317" s="694" t="str">
        <f>VLOOKUP($B1317,dongia1,DG!$C$5,)</f>
        <v>Boulon 16x300+ 2 long đền vuông D18-50x50x3/Zn</v>
      </c>
      <c r="F1317" s="555" t="str">
        <f>VLOOKUP($B1317,dongia1,DG!$D$5,)</f>
        <v>bộ</v>
      </c>
      <c r="G1317" s="205">
        <f>G1314*2</f>
        <v>0</v>
      </c>
      <c r="H1317" s="556"/>
      <c r="I1317" s="556"/>
      <c r="J1317" s="556"/>
      <c r="K1317" s="556">
        <f t="shared" si="641"/>
        <v>0</v>
      </c>
      <c r="L1317" s="556"/>
      <c r="M1317" s="556"/>
      <c r="N1317" s="556"/>
      <c r="O1317" s="556"/>
      <c r="P1317" s="182">
        <f>VLOOKUP($B1317,dongia1,DG!$F$5,)</f>
        <v>25400</v>
      </c>
      <c r="Q1317" s="182"/>
      <c r="R1317" s="554"/>
      <c r="S1317" s="113">
        <f t="shared" si="643"/>
        <v>0</v>
      </c>
      <c r="T1317" s="113">
        <f t="shared" si="642"/>
        <v>0</v>
      </c>
      <c r="U1317" s="557">
        <f t="shared" si="642"/>
        <v>0</v>
      </c>
    </row>
    <row r="1318" spans="1:21" s="610" customFormat="1" ht="15" customHeight="1">
      <c r="A1318" s="635"/>
      <c r="B1318" s="636" t="s">
        <v>3733</v>
      </c>
      <c r="C1318" s="641" t="str">
        <f t="shared" ref="C1318:C1326" si="644">IF(G1318&lt;&gt;0,C$1457," ")</f>
        <v xml:space="preserve"> </v>
      </c>
      <c r="D1318" s="599"/>
      <c r="E1318" s="728" t="s">
        <v>4294</v>
      </c>
      <c r="F1318" s="642" t="s">
        <v>3693</v>
      </c>
      <c r="G1318" s="645">
        <f>pp3p1m!CT10</f>
        <v>0</v>
      </c>
      <c r="H1318" s="605"/>
      <c r="I1318" s="605"/>
      <c r="J1318" s="605"/>
      <c r="K1318" s="556">
        <f>G1318</f>
        <v>0</v>
      </c>
      <c r="L1318" s="605"/>
      <c r="M1318" s="605"/>
      <c r="N1318" s="605"/>
      <c r="O1318" s="605"/>
      <c r="P1318" s="607"/>
      <c r="Q1318" s="607"/>
      <c r="R1318" s="606"/>
      <c r="S1318" s="608">
        <f t="shared" si="643"/>
        <v>0</v>
      </c>
      <c r="T1318" s="608">
        <f t="shared" si="642"/>
        <v>0</v>
      </c>
      <c r="U1318" s="609">
        <f t="shared" si="642"/>
        <v>0</v>
      </c>
    </row>
    <row r="1319" spans="1:21" s="552" customFormat="1" ht="15" customHeight="1">
      <c r="A1319" s="621"/>
      <c r="B1319" s="622" t="s">
        <v>1096</v>
      </c>
      <c r="C1319" s="633" t="str">
        <f t="shared" si="644"/>
        <v xml:space="preserve"> </v>
      </c>
      <c r="D1319" s="553"/>
      <c r="E1319" s="694" t="str">
        <f>VLOOKUP($B1319,dongia1,DG!$C$5,)&amp;" "</f>
        <v xml:space="preserve">Sứ treo polymer  </v>
      </c>
      <c r="F1319" s="555" t="str">
        <f>VLOOKUP($B1319,dongia1,DG!$D$5,)</f>
        <v>chuỗi</v>
      </c>
      <c r="G1319" s="205">
        <f>G1318</f>
        <v>0</v>
      </c>
      <c r="H1319" s="556"/>
      <c r="I1319" s="556"/>
      <c r="J1319" s="556"/>
      <c r="K1319" s="556">
        <f t="shared" si="641"/>
        <v>0</v>
      </c>
      <c r="L1319" s="556"/>
      <c r="M1319" s="556"/>
      <c r="N1319" s="556"/>
      <c r="O1319" s="556"/>
      <c r="P1319" s="182">
        <f>VLOOKUP($B1319,dongia1,DG!$F$5,)</f>
        <v>235000</v>
      </c>
      <c r="Q1319" s="182"/>
      <c r="R1319" s="554"/>
      <c r="S1319" s="113">
        <f t="shared" si="643"/>
        <v>0</v>
      </c>
      <c r="T1319" s="113">
        <f t="shared" si="642"/>
        <v>0</v>
      </c>
      <c r="U1319" s="557">
        <f t="shared" si="642"/>
        <v>0</v>
      </c>
    </row>
    <row r="1320" spans="1:21" s="552" customFormat="1" ht="15" customHeight="1">
      <c r="A1320" s="621"/>
      <c r="B1320" s="622" t="s">
        <v>2035</v>
      </c>
      <c r="C1320" s="633" t="str">
        <f t="shared" si="644"/>
        <v xml:space="preserve"> </v>
      </c>
      <c r="D1320" s="553"/>
      <c r="E1320" s="694" t="str">
        <f>VLOOKUP($B1320,dongia1,DG!$C$5,)&amp;""</f>
        <v xml:space="preserve">Móc treo chữ U F16 dài </v>
      </c>
      <c r="F1320" s="555" t="str">
        <f>VLOOKUP($B1320,dongia1,DG!$D$5,)</f>
        <v>cái</v>
      </c>
      <c r="G1320" s="205">
        <f>G1318*2</f>
        <v>0</v>
      </c>
      <c r="H1320" s="556"/>
      <c r="I1320" s="556"/>
      <c r="J1320" s="556"/>
      <c r="K1320" s="556">
        <f t="shared" si="641"/>
        <v>0</v>
      </c>
      <c r="L1320" s="556"/>
      <c r="M1320" s="556"/>
      <c r="N1320" s="556"/>
      <c r="O1320" s="556"/>
      <c r="P1320" s="182">
        <f>VLOOKUP($B1320,dongia1,DG!$F$5,)</f>
        <v>28000</v>
      </c>
      <c r="Q1320" s="182"/>
      <c r="R1320" s="182">
        <f>VLOOKUP($B1320,dongia1,DG!$H$5,)</f>
        <v>0</v>
      </c>
      <c r="S1320" s="113">
        <f t="shared" si="643"/>
        <v>0</v>
      </c>
      <c r="T1320" s="113">
        <f t="shared" si="642"/>
        <v>0</v>
      </c>
      <c r="U1320" s="557">
        <f t="shared" si="642"/>
        <v>0</v>
      </c>
    </row>
    <row r="1321" spans="1:21" s="552" customFormat="1" ht="30" customHeight="1">
      <c r="A1321" s="621"/>
      <c r="B1321" s="622" t="s">
        <v>1851</v>
      </c>
      <c r="C1321" s="633" t="str">
        <f t="shared" si="644"/>
        <v xml:space="preserve"> </v>
      </c>
      <c r="D1321" s="553"/>
      <c r="E1321" s="694" t="str">
        <f>VLOOKUP($B1321,dongia1,DG!$C$5,)</f>
        <v>Khóa néo dây cỡ dây 95 (dây bọc 50): kẹp dừng dây 5U-3mm</v>
      </c>
      <c r="F1321" s="555" t="str">
        <f>VLOOKUP($B1321,dongia1,DG!$D$5,)</f>
        <v>cái</v>
      </c>
      <c r="G1321" s="205">
        <f>G1318</f>
        <v>0</v>
      </c>
      <c r="H1321" s="556"/>
      <c r="I1321" s="556"/>
      <c r="J1321" s="556"/>
      <c r="K1321" s="556">
        <f t="shared" si="641"/>
        <v>0</v>
      </c>
      <c r="L1321" s="556"/>
      <c r="M1321" s="556"/>
      <c r="N1321" s="556"/>
      <c r="O1321" s="556"/>
      <c r="P1321" s="182">
        <f>VLOOKUP($B1321,dongia1,DG!$F$5,)</f>
        <v>126000</v>
      </c>
      <c r="Q1321" s="182"/>
      <c r="R1321" s="182">
        <f>VLOOKUP($B1321,dongia1,DG!$H$5,)</f>
        <v>0</v>
      </c>
      <c r="S1321" s="113">
        <f t="shared" si="643"/>
        <v>0</v>
      </c>
      <c r="T1321" s="113">
        <f t="shared" si="642"/>
        <v>0</v>
      </c>
      <c r="U1321" s="557">
        <f t="shared" si="642"/>
        <v>0</v>
      </c>
    </row>
    <row r="1322" spans="1:21" s="552" customFormat="1" ht="15" customHeight="1">
      <c r="A1322" s="621"/>
      <c r="B1322" s="622" t="s">
        <v>366</v>
      </c>
      <c r="C1322" s="633" t="str">
        <f t="shared" si="644"/>
        <v xml:space="preserve"> </v>
      </c>
      <c r="D1322" s="553"/>
      <c r="E1322" s="694" t="str">
        <f>VLOOKUP($B1322,dongia1,DG!$C$5,)</f>
        <v>Boulon mắt 16x300+ 1 long đền vuông D18-50x50x3/Zn</v>
      </c>
      <c r="F1322" s="555" t="str">
        <f>VLOOKUP($B1322,dongia1,DG!$D$5,)</f>
        <v>bộ</v>
      </c>
      <c r="G1322" s="205">
        <f>G1318</f>
        <v>0</v>
      </c>
      <c r="H1322" s="556"/>
      <c r="I1322" s="556"/>
      <c r="J1322" s="556"/>
      <c r="K1322" s="556">
        <f t="shared" si="641"/>
        <v>0</v>
      </c>
      <c r="L1322" s="556"/>
      <c r="M1322" s="556"/>
      <c r="N1322" s="556"/>
      <c r="O1322" s="556"/>
      <c r="P1322" s="182">
        <f>VLOOKUP($B1322,dongia1,DG!$F$5,)</f>
        <v>32200</v>
      </c>
      <c r="Q1322" s="182"/>
      <c r="R1322" s="182">
        <f>VLOOKUP($B1322,dongia1,DG!$H$5,)</f>
        <v>0</v>
      </c>
      <c r="S1322" s="113">
        <f t="shared" si="643"/>
        <v>0</v>
      </c>
      <c r="T1322" s="113">
        <f t="shared" si="642"/>
        <v>0</v>
      </c>
      <c r="U1322" s="557">
        <f t="shared" si="642"/>
        <v>0</v>
      </c>
    </row>
    <row r="1323" spans="1:21" s="552" customFormat="1" ht="15" customHeight="1">
      <c r="A1323" s="621"/>
      <c r="B1323" s="622" t="s">
        <v>4289</v>
      </c>
      <c r="C1323" s="633" t="str">
        <f t="shared" si="644"/>
        <v xml:space="preserve"> </v>
      </c>
      <c r="D1323" s="553"/>
      <c r="E1323" s="694" t="str">
        <f>VLOOKUP($B1323,dongia1,DG!$C$5,)</f>
        <v>Giáp níu dừng dây bọc ACX 50mm2</v>
      </c>
      <c r="F1323" s="555" t="str">
        <f>VLOOKUP($B1323,dongia1,DG!$D$5,)</f>
        <v>bộ</v>
      </c>
      <c r="G1323" s="205">
        <f>G1318*0</f>
        <v>0</v>
      </c>
      <c r="H1323" s="556"/>
      <c r="I1323" s="556"/>
      <c r="J1323" s="556"/>
      <c r="K1323" s="556">
        <f t="shared" si="641"/>
        <v>0</v>
      </c>
      <c r="L1323" s="556"/>
      <c r="M1323" s="556"/>
      <c r="N1323" s="556"/>
      <c r="O1323" s="556"/>
      <c r="P1323" s="182">
        <f>VLOOKUP($B1323,dongia1,DG!$F$5,)</f>
        <v>310000</v>
      </c>
      <c r="Q1323" s="182"/>
      <c r="R1323" s="182">
        <f>VLOOKUP($B1323,dongia1,DG!$H$5,)</f>
        <v>0</v>
      </c>
      <c r="S1323" s="113">
        <f t="shared" si="643"/>
        <v>0</v>
      </c>
      <c r="T1323" s="113">
        <f t="shared" ref="T1323:T1332" si="645">$G1323*Q1323</f>
        <v>0</v>
      </c>
      <c r="U1323" s="718">
        <f t="shared" ref="U1323:U1332" si="646">$G1323*R1323</f>
        <v>0</v>
      </c>
    </row>
    <row r="1324" spans="1:21" s="552" customFormat="1" ht="15" customHeight="1">
      <c r="A1324" s="621"/>
      <c r="B1324" s="622" t="s">
        <v>4478</v>
      </c>
      <c r="C1324" s="633" t="s">
        <v>309</v>
      </c>
      <c r="D1324" s="553"/>
      <c r="E1324" s="694" t="str">
        <f>VLOOKUP($B1324,dongia1,DG!$C$5,)</f>
        <v>Giáp níu dừng dây bọc (70-95mm2)</v>
      </c>
      <c r="F1324" s="555" t="str">
        <f>VLOOKUP($B1324,dongia1,DG!$D$5,)</f>
        <v>cái</v>
      </c>
      <c r="G1324" s="762">
        <f>G1336</f>
        <v>6</v>
      </c>
      <c r="H1324" s="556"/>
      <c r="I1324" s="556"/>
      <c r="J1324" s="556"/>
      <c r="K1324" s="556">
        <f t="shared" si="641"/>
        <v>6</v>
      </c>
      <c r="L1324" s="556"/>
      <c r="M1324" s="556"/>
      <c r="N1324" s="556"/>
      <c r="O1324" s="556"/>
      <c r="P1324" s="182">
        <f>VLOOKUP($B1324,dongia1,DG!$F$5,)</f>
        <v>280000</v>
      </c>
      <c r="Q1324" s="182"/>
      <c r="R1324" s="554"/>
      <c r="S1324" s="113">
        <f t="shared" si="643"/>
        <v>1680000</v>
      </c>
      <c r="T1324" s="113">
        <f t="shared" si="645"/>
        <v>0</v>
      </c>
      <c r="U1324" s="715">
        <f t="shared" si="646"/>
        <v>0</v>
      </c>
    </row>
    <row r="1325" spans="1:21" s="552" customFormat="1" ht="15" customHeight="1">
      <c r="A1325" s="621"/>
      <c r="B1325" s="622" t="s">
        <v>4479</v>
      </c>
      <c r="C1325" s="633" t="str">
        <f t="shared" si="644"/>
        <v xml:space="preserve"> </v>
      </c>
      <c r="D1325" s="553"/>
      <c r="E1325" s="694" t="str">
        <f>VLOOKUP($B1325,dongia1,DG!$C$5,)</f>
        <v>Giáp níu dừng dây bọc (120-150mm2)</v>
      </c>
      <c r="F1325" s="555" t="str">
        <f>VLOOKUP($B1325,dongia1,DG!$D$5,)</f>
        <v>cái</v>
      </c>
      <c r="G1325" s="205"/>
      <c r="H1325" s="556"/>
      <c r="I1325" s="556"/>
      <c r="J1325" s="556"/>
      <c r="K1325" s="556">
        <f t="shared" si="641"/>
        <v>0</v>
      </c>
      <c r="L1325" s="556"/>
      <c r="M1325" s="556"/>
      <c r="N1325" s="556"/>
      <c r="O1325" s="556"/>
      <c r="P1325" s="182">
        <f>VLOOKUP($B1325,dongia1,DG!$F$5,)</f>
        <v>350000</v>
      </c>
      <c r="Q1325" s="182"/>
      <c r="R1325" s="554"/>
      <c r="S1325" s="113">
        <f t="shared" si="643"/>
        <v>0</v>
      </c>
      <c r="T1325" s="113">
        <f t="shared" si="645"/>
        <v>0</v>
      </c>
      <c r="U1325" s="557">
        <f t="shared" si="646"/>
        <v>0</v>
      </c>
    </row>
    <row r="1326" spans="1:21" s="552" customFormat="1" ht="15" customHeight="1">
      <c r="A1326" s="621"/>
      <c r="B1326" s="622" t="s">
        <v>4480</v>
      </c>
      <c r="C1326" s="633" t="str">
        <f t="shared" si="644"/>
        <v xml:space="preserve"> </v>
      </c>
      <c r="D1326" s="553"/>
      <c r="E1326" s="694" t="str">
        <f>VLOOKUP($B1326,dongia1,DG!$C$5,)</f>
        <v>Giáp níu dừng dây bọc (185-240mm2)</v>
      </c>
      <c r="F1326" s="555" t="str">
        <f>VLOOKUP($B1326,dongia1,DG!$D$5,)</f>
        <v>cái</v>
      </c>
      <c r="G1326" s="205"/>
      <c r="H1326" s="556"/>
      <c r="I1326" s="556"/>
      <c r="J1326" s="556"/>
      <c r="K1326" s="556">
        <f t="shared" si="641"/>
        <v>0</v>
      </c>
      <c r="L1326" s="556"/>
      <c r="M1326" s="556"/>
      <c r="N1326" s="556"/>
      <c r="O1326" s="556"/>
      <c r="P1326" s="182">
        <f>VLOOKUP($B1326,dongia1,DG!$F$5,)</f>
        <v>460000</v>
      </c>
      <c r="Q1326" s="182"/>
      <c r="R1326" s="554"/>
      <c r="S1326" s="113">
        <f t="shared" si="643"/>
        <v>0</v>
      </c>
      <c r="T1326" s="113">
        <f t="shared" si="645"/>
        <v>0</v>
      </c>
      <c r="U1326" s="557">
        <f t="shared" si="646"/>
        <v>0</v>
      </c>
    </row>
    <row r="1327" spans="1:21" s="610" customFormat="1" ht="15" customHeight="1">
      <c r="A1327" s="635"/>
      <c r="B1327" s="636" t="s">
        <v>3727</v>
      </c>
      <c r="C1327" s="641" t="str">
        <f t="shared" ref="C1327:C1343" si="647">IF(G1327&lt;&gt;0,$C$1248," ")</f>
        <v xml:space="preserve"> </v>
      </c>
      <c r="D1327" s="599"/>
      <c r="E1327" s="728" t="s">
        <v>4189</v>
      </c>
      <c r="F1327" s="642" t="s">
        <v>3693</v>
      </c>
      <c r="G1327" s="643"/>
      <c r="H1327" s="605"/>
      <c r="I1327" s="605"/>
      <c r="J1327" s="605"/>
      <c r="K1327" s="556">
        <f t="shared" si="641"/>
        <v>0</v>
      </c>
      <c r="L1327" s="605"/>
      <c r="M1327" s="605"/>
      <c r="N1327" s="605"/>
      <c r="O1327" s="605"/>
      <c r="P1327" s="607"/>
      <c r="Q1327" s="607"/>
      <c r="R1327" s="606"/>
      <c r="S1327" s="608"/>
      <c r="T1327" s="608">
        <f t="shared" si="645"/>
        <v>0</v>
      </c>
      <c r="U1327" s="609">
        <f t="shared" si="646"/>
        <v>0</v>
      </c>
    </row>
    <row r="1328" spans="1:21" s="552" customFormat="1" ht="15" customHeight="1">
      <c r="A1328" s="621"/>
      <c r="B1328" s="622" t="s">
        <v>416</v>
      </c>
      <c r="C1328" s="633" t="str">
        <f t="shared" si="647"/>
        <v xml:space="preserve"> </v>
      </c>
      <c r="D1328" s="553"/>
      <c r="E1328" s="694" t="str">
        <f>VLOOKUP($B1328,dongia1,DG!$C$5,)</f>
        <v>Sứ treo loại 70kN</v>
      </c>
      <c r="F1328" s="555" t="str">
        <f>VLOOKUP($B1328,dongia1,DG!$D$5,)</f>
        <v>bát</v>
      </c>
      <c r="G1328" s="205">
        <f>G1327*2</f>
        <v>0</v>
      </c>
      <c r="H1328" s="556"/>
      <c r="I1328" s="556"/>
      <c r="J1328" s="556"/>
      <c r="K1328" s="556">
        <f t="shared" si="641"/>
        <v>0</v>
      </c>
      <c r="L1328" s="556"/>
      <c r="M1328" s="556"/>
      <c r="N1328" s="556"/>
      <c r="O1328" s="556"/>
      <c r="P1328" s="182">
        <f>VLOOKUP($B1328,dongia1,DG!$F$5,)</f>
        <v>73500</v>
      </c>
      <c r="Q1328" s="182"/>
      <c r="R1328" s="554"/>
      <c r="S1328" s="113">
        <f>$G1328*P1328</f>
        <v>0</v>
      </c>
      <c r="T1328" s="113">
        <f t="shared" si="645"/>
        <v>0</v>
      </c>
      <c r="U1328" s="557">
        <f t="shared" si="646"/>
        <v>0</v>
      </c>
    </row>
    <row r="1329" spans="1:21" s="552" customFormat="1" ht="15" customHeight="1">
      <c r="A1329" s="621"/>
      <c r="B1329" s="622" t="s">
        <v>2035</v>
      </c>
      <c r="C1329" s="633" t="str">
        <f t="shared" si="647"/>
        <v xml:space="preserve"> </v>
      </c>
      <c r="D1329" s="553"/>
      <c r="E1329" s="694" t="str">
        <f>VLOOKUP($B1329,dongia1,DG!$C$5,)</f>
        <v xml:space="preserve">Móc treo chữ U F16 dài </v>
      </c>
      <c r="F1329" s="555" t="str">
        <f>VLOOKUP($B1329,dongia1,DG!$D$5,)</f>
        <v>cái</v>
      </c>
      <c r="G1329" s="205">
        <f>G1327*2</f>
        <v>0</v>
      </c>
      <c r="H1329" s="556"/>
      <c r="I1329" s="556"/>
      <c r="J1329" s="556"/>
      <c r="K1329" s="556">
        <f t="shared" si="641"/>
        <v>0</v>
      </c>
      <c r="L1329" s="556"/>
      <c r="M1329" s="556"/>
      <c r="N1329" s="556"/>
      <c r="O1329" s="556"/>
      <c r="P1329" s="182">
        <f>VLOOKUP($B1329,dongia1,DG!$F$5,)</f>
        <v>28000</v>
      </c>
      <c r="Q1329" s="182"/>
      <c r="R1329" s="554"/>
      <c r="S1329" s="113">
        <f>$G1329*P1329</f>
        <v>0</v>
      </c>
      <c r="T1329" s="113">
        <f t="shared" si="645"/>
        <v>0</v>
      </c>
      <c r="U1329" s="557">
        <f t="shared" si="646"/>
        <v>0</v>
      </c>
    </row>
    <row r="1330" spans="1:21" s="552" customFormat="1" ht="15" customHeight="1">
      <c r="A1330" s="621"/>
      <c r="B1330" s="622" t="s">
        <v>1277</v>
      </c>
      <c r="C1330" s="633" t="str">
        <f t="shared" si="647"/>
        <v xml:space="preserve"> </v>
      </c>
      <c r="D1330" s="553"/>
      <c r="E1330" s="694" t="str">
        <f>VLOOKUP($B1330,dongia1,DG!$C$5,)</f>
        <v>Vòng treo đầu tròn</v>
      </c>
      <c r="F1330" s="555" t="str">
        <f>VLOOKUP($B1330,dongia1,DG!$D$5,)</f>
        <v>cái</v>
      </c>
      <c r="G1330" s="205">
        <f>G1327</f>
        <v>0</v>
      </c>
      <c r="H1330" s="556"/>
      <c r="I1330" s="556"/>
      <c r="J1330" s="556"/>
      <c r="K1330" s="556">
        <f t="shared" si="641"/>
        <v>0</v>
      </c>
      <c r="L1330" s="556"/>
      <c r="M1330" s="556"/>
      <c r="N1330" s="556"/>
      <c r="O1330" s="556"/>
      <c r="P1330" s="182">
        <f>VLOOKUP($B1330,dongia1,DG!$F$5,)</f>
        <v>4700</v>
      </c>
      <c r="Q1330" s="182"/>
      <c r="R1330" s="554"/>
      <c r="S1330" s="113">
        <f>$G1330*P1330</f>
        <v>0</v>
      </c>
      <c r="T1330" s="113">
        <f t="shared" si="645"/>
        <v>0</v>
      </c>
      <c r="U1330" s="557">
        <f t="shared" si="646"/>
        <v>0</v>
      </c>
    </row>
    <row r="1331" spans="1:21" s="552" customFormat="1" ht="15" customHeight="1">
      <c r="A1331" s="621"/>
      <c r="B1331" s="622" t="s">
        <v>2033</v>
      </c>
      <c r="C1331" s="633" t="str">
        <f t="shared" si="647"/>
        <v xml:space="preserve"> </v>
      </c>
      <c r="D1331" s="553"/>
      <c r="E1331" s="694" t="str">
        <f>VLOOKUP($B1331,dongia1,DG!$C$5,)</f>
        <v>Mắt nối đơn</v>
      </c>
      <c r="F1331" s="555" t="str">
        <f>VLOOKUP($B1331,dongia1,DG!$D$5,)</f>
        <v>cái</v>
      </c>
      <c r="G1331" s="205">
        <f>G1327</f>
        <v>0</v>
      </c>
      <c r="H1331" s="556"/>
      <c r="I1331" s="556"/>
      <c r="J1331" s="556"/>
      <c r="K1331" s="556">
        <f t="shared" si="641"/>
        <v>0</v>
      </c>
      <c r="L1331" s="556"/>
      <c r="M1331" s="556"/>
      <c r="N1331" s="556"/>
      <c r="O1331" s="556"/>
      <c r="P1331" s="182">
        <f>VLOOKUP($B1331,dongia1,DG!$F$5,)</f>
        <v>10100</v>
      </c>
      <c r="Q1331" s="182"/>
      <c r="R1331" s="554"/>
      <c r="S1331" s="113">
        <f>$G1331*P1331</f>
        <v>0</v>
      </c>
      <c r="T1331" s="113">
        <f t="shared" si="645"/>
        <v>0</v>
      </c>
      <c r="U1331" s="557">
        <f t="shared" si="646"/>
        <v>0</v>
      </c>
    </row>
    <row r="1332" spans="1:21" s="552" customFormat="1" ht="15" customHeight="1">
      <c r="A1332" s="621"/>
      <c r="B1332" s="622" t="s">
        <v>417</v>
      </c>
      <c r="C1332" s="633" t="str">
        <f t="shared" si="647"/>
        <v xml:space="preserve"> </v>
      </c>
      <c r="D1332" s="553"/>
      <c r="E1332" s="694" t="str">
        <f>VLOOKUP($B1332,dongia1,DG!$C$5,)</f>
        <v>Boulon mắt 16x300+ 1 long đền vuông D18-50x50x3/Zn</v>
      </c>
      <c r="F1332" s="555" t="str">
        <f>VLOOKUP($B1332,dongia1,DG!$D$5,)</f>
        <v>bộ</v>
      </c>
      <c r="G1332" s="205">
        <f>G1327</f>
        <v>0</v>
      </c>
      <c r="H1332" s="556"/>
      <c r="I1332" s="556"/>
      <c r="J1332" s="556"/>
      <c r="K1332" s="556">
        <f t="shared" si="641"/>
        <v>0</v>
      </c>
      <c r="L1332" s="556"/>
      <c r="M1332" s="556"/>
      <c r="N1332" s="556"/>
      <c r="O1332" s="556"/>
      <c r="P1332" s="182">
        <f>VLOOKUP($B1332,dongia1,DG!$F$5,)</f>
        <v>32200</v>
      </c>
      <c r="Q1332" s="182"/>
      <c r="R1332" s="554"/>
      <c r="S1332" s="113">
        <f>$G1332*P1332</f>
        <v>0</v>
      </c>
      <c r="T1332" s="113">
        <f t="shared" si="645"/>
        <v>0</v>
      </c>
      <c r="U1332" s="557">
        <f t="shared" si="646"/>
        <v>0</v>
      </c>
    </row>
    <row r="1333" spans="1:21" s="610" customFormat="1" ht="15" customHeight="1">
      <c r="A1333" s="635"/>
      <c r="B1333" s="636" t="s">
        <v>3729</v>
      </c>
      <c r="C1333" s="641" t="str">
        <f t="shared" si="647"/>
        <v xml:space="preserve"> </v>
      </c>
      <c r="D1333" s="644"/>
      <c r="E1333" s="728" t="s">
        <v>3647</v>
      </c>
      <c r="F1333" s="642" t="s">
        <v>3693</v>
      </c>
      <c r="G1333" s="643"/>
      <c r="H1333" s="605"/>
      <c r="I1333" s="605"/>
      <c r="J1333" s="605"/>
      <c r="K1333" s="556">
        <f t="shared" si="641"/>
        <v>0</v>
      </c>
      <c r="L1333" s="605"/>
      <c r="M1333" s="605"/>
      <c r="N1333" s="605"/>
      <c r="O1333" s="605"/>
      <c r="P1333" s="607"/>
      <c r="Q1333" s="607"/>
      <c r="R1333" s="606"/>
      <c r="S1333" s="608">
        <f t="shared" ref="S1333:U1335" si="648">$G1333*P1333</f>
        <v>0</v>
      </c>
      <c r="T1333" s="608">
        <f t="shared" si="648"/>
        <v>0</v>
      </c>
      <c r="U1333" s="609">
        <f t="shared" si="648"/>
        <v>0</v>
      </c>
    </row>
    <row r="1334" spans="1:21" s="552" customFormat="1" ht="15" customHeight="1">
      <c r="A1334" s="621"/>
      <c r="B1334" s="622" t="s">
        <v>1008</v>
      </c>
      <c r="C1334" s="633" t="str">
        <f t="shared" si="647"/>
        <v xml:space="preserve"> </v>
      </c>
      <c r="D1334" s="553"/>
      <c r="E1334" s="694" t="str">
        <f>VLOOKUP($B1334,dongia1,DG!$C$5,)</f>
        <v>Sứ treo loại 70kN</v>
      </c>
      <c r="F1334" s="555" t="str">
        <f>VLOOKUP($B1334,dongia1,DG!$D$5,)</f>
        <v>bát</v>
      </c>
      <c r="G1334" s="205">
        <f>G1333*2</f>
        <v>0</v>
      </c>
      <c r="H1334" s="556"/>
      <c r="I1334" s="556"/>
      <c r="J1334" s="556"/>
      <c r="K1334" s="556">
        <f t="shared" si="641"/>
        <v>0</v>
      </c>
      <c r="L1334" s="556"/>
      <c r="M1334" s="556"/>
      <c r="N1334" s="556"/>
      <c r="O1334" s="556"/>
      <c r="P1334" s="182">
        <f>VLOOKUP($B1334,dongia1,DG!$F$5,)</f>
        <v>73500</v>
      </c>
      <c r="Q1334" s="182"/>
      <c r="R1334" s="554"/>
      <c r="S1334" s="113">
        <f t="shared" si="648"/>
        <v>0</v>
      </c>
      <c r="T1334" s="113">
        <f t="shared" si="648"/>
        <v>0</v>
      </c>
      <c r="U1334" s="557">
        <f t="shared" si="648"/>
        <v>0</v>
      </c>
    </row>
    <row r="1335" spans="1:21" s="552" customFormat="1" ht="15" customHeight="1">
      <c r="A1335" s="621"/>
      <c r="B1335" s="622" t="s">
        <v>2035</v>
      </c>
      <c r="C1335" s="633" t="str">
        <f t="shared" si="647"/>
        <v xml:space="preserve"> </v>
      </c>
      <c r="D1335" s="553"/>
      <c r="E1335" s="694" t="str">
        <f>VLOOKUP($B1335,dongia1,DG!$C$5,)</f>
        <v xml:space="preserve">Móc treo chữ U F16 dài </v>
      </c>
      <c r="F1335" s="555" t="str">
        <f>VLOOKUP($B1335,dongia1,DG!$D$5,)</f>
        <v>cái</v>
      </c>
      <c r="G1335" s="205">
        <f>G1333*2</f>
        <v>0</v>
      </c>
      <c r="H1335" s="556"/>
      <c r="I1335" s="556"/>
      <c r="J1335" s="556"/>
      <c r="K1335" s="556">
        <f t="shared" si="641"/>
        <v>0</v>
      </c>
      <c r="L1335" s="556"/>
      <c r="M1335" s="556"/>
      <c r="N1335" s="556"/>
      <c r="O1335" s="556"/>
      <c r="P1335" s="182">
        <f>VLOOKUP($B1335,dongia1,DG!$F$5,)</f>
        <v>28000</v>
      </c>
      <c r="Q1335" s="182"/>
      <c r="R1335" s="554"/>
      <c r="S1335" s="113">
        <f t="shared" si="648"/>
        <v>0</v>
      </c>
      <c r="T1335" s="113">
        <f t="shared" si="648"/>
        <v>0</v>
      </c>
      <c r="U1335" s="557">
        <f t="shared" si="648"/>
        <v>0</v>
      </c>
    </row>
    <row r="1336" spans="1:21" s="858" customFormat="1" ht="18.75" customHeight="1">
      <c r="A1336" s="847"/>
      <c r="B1336" s="848" t="s">
        <v>4190</v>
      </c>
      <c r="C1336" s="905" t="str">
        <f t="shared" si="647"/>
        <v>x</v>
      </c>
      <c r="D1336" s="850">
        <v>4</v>
      </c>
      <c r="E1336" s="906" t="s">
        <v>4191</v>
      </c>
      <c r="F1336" s="907" t="s">
        <v>3693</v>
      </c>
      <c r="G1336" s="908">
        <f>pp3p1m!CS10</f>
        <v>6</v>
      </c>
      <c r="H1336" s="854"/>
      <c r="I1336" s="854"/>
      <c r="J1336" s="854"/>
      <c r="K1336" s="701">
        <f t="shared" si="641"/>
        <v>6</v>
      </c>
      <c r="L1336" s="854"/>
      <c r="M1336" s="854"/>
      <c r="N1336" s="854"/>
      <c r="O1336" s="854"/>
      <c r="P1336" s="909"/>
      <c r="Q1336" s="909"/>
      <c r="R1336" s="855"/>
      <c r="S1336" s="909">
        <f t="shared" ref="S1336:U1339" si="649">$G1336*P1336</f>
        <v>0</v>
      </c>
      <c r="T1336" s="909">
        <f t="shared" si="649"/>
        <v>0</v>
      </c>
      <c r="U1336" s="910">
        <f t="shared" si="649"/>
        <v>0</v>
      </c>
    </row>
    <row r="1337" spans="1:21">
      <c r="B1337" s="696" t="s">
        <v>1096</v>
      </c>
      <c r="C1337" s="697" t="str">
        <f t="shared" si="647"/>
        <v>x</v>
      </c>
      <c r="D1337" s="698"/>
      <c r="E1337" s="699" t="str">
        <f>VLOOKUP($B1337,dongia1,DG!$C$5,)</f>
        <v xml:space="preserve">Sứ treo polymer </v>
      </c>
      <c r="F1337" s="700" t="str">
        <f>VLOOKUP($B1337,dongia1,DG!$D$5,)</f>
        <v>chuỗi</v>
      </c>
      <c r="G1337" s="762">
        <f>G1336</f>
        <v>6</v>
      </c>
      <c r="H1337" s="701"/>
      <c r="I1337" s="701"/>
      <c r="J1337" s="701"/>
      <c r="K1337" s="701">
        <f t="shared" si="641"/>
        <v>6</v>
      </c>
      <c r="L1337" s="701"/>
      <c r="M1337" s="701"/>
      <c r="N1337" s="701"/>
      <c r="O1337" s="701"/>
      <c r="P1337" s="702">
        <f>VLOOKUP($B1337,dongia1,DG!$F$5,)</f>
        <v>235000</v>
      </c>
      <c r="Q1337" s="702"/>
      <c r="R1337" s="703"/>
      <c r="S1337" s="702">
        <f t="shared" si="649"/>
        <v>1410000</v>
      </c>
      <c r="T1337" s="702">
        <f t="shared" si="649"/>
        <v>0</v>
      </c>
      <c r="U1337" s="704">
        <f t="shared" si="649"/>
        <v>0</v>
      </c>
    </row>
    <row r="1338" spans="1:21">
      <c r="B1338" s="696" t="s">
        <v>2035</v>
      </c>
      <c r="C1338" s="697" t="str">
        <f t="shared" si="647"/>
        <v>x</v>
      </c>
      <c r="D1338" s="698"/>
      <c r="E1338" s="699" t="str">
        <f>VLOOKUP($B1338,dongia1,DG!$C$5,)</f>
        <v xml:space="preserve">Móc treo chữ U F16 dài </v>
      </c>
      <c r="F1338" s="700" t="str">
        <f>VLOOKUP($B1338,dongia1,DG!$D$5,)</f>
        <v>cái</v>
      </c>
      <c r="G1338" s="762">
        <f>2*G1336</f>
        <v>12</v>
      </c>
      <c r="H1338" s="701"/>
      <c r="I1338" s="701"/>
      <c r="J1338" s="701"/>
      <c r="K1338" s="701">
        <f t="shared" si="641"/>
        <v>12</v>
      </c>
      <c r="L1338" s="701"/>
      <c r="M1338" s="701"/>
      <c r="N1338" s="701"/>
      <c r="O1338" s="701"/>
      <c r="P1338" s="702">
        <f>VLOOKUP($B1338,dongia1,DG!$F$5,)</f>
        <v>28000</v>
      </c>
      <c r="Q1338" s="702"/>
      <c r="R1338" s="703"/>
      <c r="S1338" s="702">
        <f t="shared" si="649"/>
        <v>336000</v>
      </c>
      <c r="T1338" s="702">
        <f t="shared" si="649"/>
        <v>0</v>
      </c>
      <c r="U1338" s="704">
        <f t="shared" si="649"/>
        <v>0</v>
      </c>
    </row>
    <row r="1339" spans="1:21" ht="20.25" customHeight="1">
      <c r="B1339" s="696" t="s">
        <v>74</v>
      </c>
      <c r="C1339" s="697" t="str">
        <f t="shared" si="647"/>
        <v xml:space="preserve"> </v>
      </c>
      <c r="D1339" s="698"/>
      <c r="E1339" s="699" t="str">
        <f>VLOOKUP($B1339,dongia1,DG!$C$5,)</f>
        <v>Khóa néo dây cỡ dây 50(kẹp dừng dây 3U-3mm)</v>
      </c>
      <c r="F1339" s="700" t="str">
        <f>VLOOKUP($B1339,dongia1,DG!$D$5,)</f>
        <v>cái</v>
      </c>
      <c r="G1339" s="762"/>
      <c r="H1339" s="701"/>
      <c r="I1339" s="701"/>
      <c r="J1339" s="701"/>
      <c r="K1339" s="701">
        <f t="shared" si="641"/>
        <v>0</v>
      </c>
      <c r="L1339" s="701"/>
      <c r="M1339" s="701"/>
      <c r="N1339" s="701"/>
      <c r="O1339" s="701"/>
      <c r="P1339" s="702">
        <f>VLOOKUP($B1339,dongia1,DG!$F$5,)</f>
        <v>58000</v>
      </c>
      <c r="Q1339" s="702"/>
      <c r="R1339" s="703"/>
      <c r="S1339" s="702">
        <f t="shared" si="649"/>
        <v>0</v>
      </c>
      <c r="T1339" s="702">
        <f t="shared" si="649"/>
        <v>0</v>
      </c>
      <c r="U1339" s="930">
        <f t="shared" si="649"/>
        <v>0</v>
      </c>
    </row>
    <row r="1340" spans="1:21" s="552" customFormat="1" ht="15" customHeight="1">
      <c r="A1340" s="621"/>
      <c r="B1340" s="622" t="s">
        <v>4289</v>
      </c>
      <c r="C1340" s="697"/>
      <c r="D1340" s="553"/>
      <c r="E1340" s="694" t="str">
        <f>VLOOKUP($B1340,dongia1,DG!$C$5,)</f>
        <v>Giáp níu dừng dây bọc ACX 50mm2</v>
      </c>
      <c r="F1340" s="555" t="str">
        <f>VLOOKUP($B1340,dongia1,DG!$D$5,)</f>
        <v>bộ</v>
      </c>
      <c r="G1340" s="205"/>
      <c r="H1340" s="701"/>
      <c r="I1340" s="556"/>
      <c r="J1340" s="556"/>
      <c r="K1340" s="556">
        <f t="shared" si="641"/>
        <v>0</v>
      </c>
      <c r="L1340" s="556"/>
      <c r="M1340" s="556"/>
      <c r="N1340" s="556"/>
      <c r="O1340" s="556"/>
      <c r="P1340" s="182">
        <f>VLOOKUP($B1340,dongia1,DG!$F$5,)</f>
        <v>310000</v>
      </c>
      <c r="Q1340" s="182"/>
      <c r="R1340" s="182">
        <f>VLOOKUP($B1340,dongia1,DG!$H$5,)</f>
        <v>0</v>
      </c>
      <c r="S1340" s="113">
        <f t="shared" ref="S1340:U1343" si="650">$G1340*P1340</f>
        <v>0</v>
      </c>
      <c r="T1340" s="113">
        <f t="shared" si="650"/>
        <v>0</v>
      </c>
      <c r="U1340" s="715">
        <f t="shared" si="650"/>
        <v>0</v>
      </c>
    </row>
    <row r="1341" spans="1:21" s="552" customFormat="1" ht="15" customHeight="1">
      <c r="A1341" s="621"/>
      <c r="B1341" s="622" t="s">
        <v>4478</v>
      </c>
      <c r="C1341" s="697" t="str">
        <f t="shared" si="647"/>
        <v xml:space="preserve"> </v>
      </c>
      <c r="D1341" s="553"/>
      <c r="E1341" s="694" t="str">
        <f>VLOOKUP($B1341,dongia1,DG!$C$5,)</f>
        <v>Giáp níu dừng dây bọc (70-95mm2)</v>
      </c>
      <c r="F1341" s="555" t="str">
        <f>VLOOKUP($B1341,dongia1,DG!$D$5,)</f>
        <v>cái</v>
      </c>
      <c r="G1341" s="205"/>
      <c r="H1341" s="556"/>
      <c r="I1341" s="556"/>
      <c r="J1341" s="556"/>
      <c r="K1341" s="556">
        <f t="shared" si="641"/>
        <v>0</v>
      </c>
      <c r="L1341" s="556"/>
      <c r="M1341" s="556"/>
      <c r="N1341" s="556"/>
      <c r="O1341" s="556"/>
      <c r="P1341" s="182">
        <f>VLOOKUP($B1341,dongia1,DG!$F$5,)</f>
        <v>280000</v>
      </c>
      <c r="Q1341" s="182"/>
      <c r="R1341" s="554"/>
      <c r="S1341" s="113">
        <f t="shared" si="650"/>
        <v>0</v>
      </c>
      <c r="T1341" s="113">
        <f t="shared" si="650"/>
        <v>0</v>
      </c>
      <c r="U1341" s="557">
        <f t="shared" si="650"/>
        <v>0</v>
      </c>
    </row>
    <row r="1342" spans="1:21" s="552" customFormat="1" ht="15" customHeight="1">
      <c r="A1342" s="621"/>
      <c r="B1342" s="622" t="s">
        <v>4479</v>
      </c>
      <c r="C1342" s="697" t="str">
        <f t="shared" si="647"/>
        <v xml:space="preserve"> </v>
      </c>
      <c r="D1342" s="553"/>
      <c r="E1342" s="694" t="str">
        <f>VLOOKUP($B1342,dongia1,DG!$C$5,)</f>
        <v>Giáp níu dừng dây bọc (120-150mm2)</v>
      </c>
      <c r="F1342" s="555" t="str">
        <f>VLOOKUP($B1342,dongia1,DG!$D$5,)</f>
        <v>cái</v>
      </c>
      <c r="G1342" s="205"/>
      <c r="H1342" s="556"/>
      <c r="I1342" s="556"/>
      <c r="J1342" s="556"/>
      <c r="K1342" s="556">
        <f t="shared" si="641"/>
        <v>0</v>
      </c>
      <c r="L1342" s="556"/>
      <c r="M1342" s="556"/>
      <c r="N1342" s="556"/>
      <c r="O1342" s="556"/>
      <c r="P1342" s="182">
        <f>VLOOKUP($B1342,dongia1,DG!$F$5,)</f>
        <v>350000</v>
      </c>
      <c r="Q1342" s="182"/>
      <c r="R1342" s="554"/>
      <c r="S1342" s="113">
        <f t="shared" si="650"/>
        <v>0</v>
      </c>
      <c r="T1342" s="113">
        <f t="shared" si="650"/>
        <v>0</v>
      </c>
      <c r="U1342" s="557">
        <f t="shared" si="650"/>
        <v>0</v>
      </c>
    </row>
    <row r="1343" spans="1:21" s="552" customFormat="1" ht="15" customHeight="1">
      <c r="A1343" s="621"/>
      <c r="B1343" s="622" t="s">
        <v>4480</v>
      </c>
      <c r="C1343" s="697" t="str">
        <f t="shared" si="647"/>
        <v xml:space="preserve"> </v>
      </c>
      <c r="D1343" s="553"/>
      <c r="E1343" s="694" t="str">
        <f>VLOOKUP($B1343,dongia1,DG!$C$5,)</f>
        <v>Giáp níu dừng dây bọc (185-240mm2)</v>
      </c>
      <c r="F1343" s="555" t="str">
        <f>VLOOKUP($B1343,dongia1,DG!$D$5,)</f>
        <v>cái</v>
      </c>
      <c r="G1343" s="205"/>
      <c r="H1343" s="556"/>
      <c r="I1343" s="556"/>
      <c r="J1343" s="556"/>
      <c r="K1343" s="556">
        <f t="shared" si="641"/>
        <v>0</v>
      </c>
      <c r="L1343" s="556"/>
      <c r="M1343" s="556"/>
      <c r="N1343" s="556"/>
      <c r="O1343" s="556"/>
      <c r="P1343" s="182">
        <f>VLOOKUP($B1343,dongia1,DG!$F$5,)</f>
        <v>460000</v>
      </c>
      <c r="Q1343" s="182"/>
      <c r="R1343" s="554"/>
      <c r="S1343" s="113">
        <f t="shared" si="650"/>
        <v>0</v>
      </c>
      <c r="T1343" s="113">
        <f t="shared" si="650"/>
        <v>0</v>
      </c>
      <c r="U1343" s="557">
        <f t="shared" si="650"/>
        <v>0</v>
      </c>
    </row>
    <row r="1344" spans="1:21" s="858" customFormat="1" ht="14.4">
      <c r="A1344" s="847"/>
      <c r="B1344" s="848" t="s">
        <v>4193</v>
      </c>
      <c r="C1344" s="905" t="str">
        <f>IF(G1344&lt;&gt;0,$C$1248," ")</f>
        <v xml:space="preserve"> </v>
      </c>
      <c r="D1344" s="850">
        <v>6</v>
      </c>
      <c r="E1344" s="906" t="s">
        <v>4192</v>
      </c>
      <c r="F1344" s="907" t="s">
        <v>3693</v>
      </c>
      <c r="G1344" s="908">
        <f>pp3p1m!CU10</f>
        <v>0</v>
      </c>
      <c r="H1344" s="854"/>
      <c r="I1344" s="854"/>
      <c r="J1344" s="854"/>
      <c r="K1344" s="701">
        <f t="shared" si="641"/>
        <v>0</v>
      </c>
      <c r="L1344" s="854"/>
      <c r="M1344" s="854"/>
      <c r="N1344" s="854"/>
      <c r="O1344" s="854"/>
      <c r="P1344" s="909"/>
      <c r="Q1344" s="909"/>
      <c r="R1344" s="855"/>
      <c r="S1344" s="909">
        <f t="shared" ref="S1344:U1348" si="651">$G1344*P1344</f>
        <v>0</v>
      </c>
      <c r="T1344" s="909">
        <f t="shared" si="651"/>
        <v>0</v>
      </c>
      <c r="U1344" s="910">
        <f t="shared" si="651"/>
        <v>0</v>
      </c>
    </row>
    <row r="1345" spans="1:21">
      <c r="B1345" s="696" t="s">
        <v>1096</v>
      </c>
      <c r="C1345" s="697" t="str">
        <f>IF(G1345&lt;&gt;0,$C$1248," ")</f>
        <v xml:space="preserve"> </v>
      </c>
      <c r="D1345" s="698"/>
      <c r="E1345" s="699" t="str">
        <f>VLOOKUP($B1345,dongia1,DG!$C$5,)</f>
        <v xml:space="preserve">Sứ treo polymer </v>
      </c>
      <c r="F1345" s="700" t="str">
        <f>VLOOKUP($B1345,dongia1,DG!$D$5,)</f>
        <v>chuỗi</v>
      </c>
      <c r="G1345" s="762">
        <f>G1344*2</f>
        <v>0</v>
      </c>
      <c r="H1345" s="701"/>
      <c r="I1345" s="701"/>
      <c r="J1345" s="701"/>
      <c r="K1345" s="701">
        <f t="shared" si="641"/>
        <v>0</v>
      </c>
      <c r="L1345" s="701"/>
      <c r="M1345" s="701"/>
      <c r="N1345" s="701"/>
      <c r="O1345" s="701"/>
      <c r="P1345" s="702">
        <f>VLOOKUP($B1345,dongia1,DG!$F$5,)</f>
        <v>235000</v>
      </c>
      <c r="Q1345" s="702"/>
      <c r="R1345" s="703"/>
      <c r="S1345" s="702">
        <f t="shared" si="651"/>
        <v>0</v>
      </c>
      <c r="T1345" s="702">
        <f t="shared" si="651"/>
        <v>0</v>
      </c>
      <c r="U1345" s="704">
        <f t="shared" si="651"/>
        <v>0</v>
      </c>
    </row>
    <row r="1346" spans="1:21">
      <c r="B1346" s="696" t="s">
        <v>2035</v>
      </c>
      <c r="C1346" s="697" t="str">
        <f>IF(G1346&lt;&gt;0,$C$1248," ")</f>
        <v xml:space="preserve"> </v>
      </c>
      <c r="D1346" s="698"/>
      <c r="E1346" s="699" t="str">
        <f>VLOOKUP($B1346,dongia1,DG!$C$5,)</f>
        <v xml:space="preserve">Móc treo chữ U F16 dài </v>
      </c>
      <c r="F1346" s="700" t="str">
        <f>VLOOKUP($B1346,dongia1,DG!$D$5,)</f>
        <v>cái</v>
      </c>
      <c r="G1346" s="762">
        <f>G1344*3</f>
        <v>0</v>
      </c>
      <c r="H1346" s="701"/>
      <c r="I1346" s="701"/>
      <c r="J1346" s="701"/>
      <c r="K1346" s="701">
        <f t="shared" si="641"/>
        <v>0</v>
      </c>
      <c r="L1346" s="701"/>
      <c r="M1346" s="701"/>
      <c r="N1346" s="701"/>
      <c r="O1346" s="701"/>
      <c r="P1346" s="702">
        <f>VLOOKUP($B1346,dongia1,DG!$F$5,)</f>
        <v>28000</v>
      </c>
      <c r="Q1346" s="702"/>
      <c r="R1346" s="703"/>
      <c r="S1346" s="702">
        <f t="shared" si="651"/>
        <v>0</v>
      </c>
      <c r="T1346" s="702">
        <f t="shared" si="651"/>
        <v>0</v>
      </c>
      <c r="U1346" s="704">
        <f t="shared" si="651"/>
        <v>0</v>
      </c>
    </row>
    <row r="1347" spans="1:21">
      <c r="B1347" s="945" t="s">
        <v>4194</v>
      </c>
      <c r="C1347" s="697" t="str">
        <f>IF(G1347&lt;&gt;0,$C$1248," ")</f>
        <v xml:space="preserve"> </v>
      </c>
      <c r="D1347" s="698"/>
      <c r="E1347" s="699" t="str">
        <f>VLOOKUP($B1347,dongia1,DG!$C$5,)</f>
        <v>Khánh treo chuỗi polymer kép</v>
      </c>
      <c r="F1347" s="700" t="str">
        <f>VLOOKUP($B1347,dongia1,DG!$D$5,)</f>
        <v>cái</v>
      </c>
      <c r="G1347" s="762">
        <f>G1344*2</f>
        <v>0</v>
      </c>
      <c r="H1347" s="701"/>
      <c r="I1347" s="701"/>
      <c r="J1347" s="701"/>
      <c r="K1347" s="701">
        <f t="shared" si="641"/>
        <v>0</v>
      </c>
      <c r="L1347" s="701"/>
      <c r="M1347" s="701"/>
      <c r="N1347" s="701"/>
      <c r="O1347" s="701"/>
      <c r="P1347" s="702">
        <f>VLOOKUP($B1347,dongia1,DG!$F$5,)</f>
        <v>120000</v>
      </c>
      <c r="Q1347" s="702"/>
      <c r="R1347" s="703"/>
      <c r="S1347" s="702">
        <f t="shared" si="651"/>
        <v>0</v>
      </c>
      <c r="T1347" s="702">
        <f t="shared" si="651"/>
        <v>0</v>
      </c>
      <c r="U1347" s="704">
        <f t="shared" si="651"/>
        <v>0</v>
      </c>
    </row>
    <row r="1348" spans="1:21">
      <c r="B1348" s="696" t="s">
        <v>1851</v>
      </c>
      <c r="C1348" s="697" t="str">
        <f>IF(G1348&lt;&gt;0,$C$1248," ")</f>
        <v xml:space="preserve"> </v>
      </c>
      <c r="D1348" s="698"/>
      <c r="E1348" s="699" t="str">
        <f>VLOOKUP($B1348,dongia1,DG!$C$5,)</f>
        <v>Khóa néo dây cỡ dây 95 (dây bọc 50): kẹp dừng dây 5U-3mm</v>
      </c>
      <c r="F1348" s="700" t="str">
        <f>VLOOKUP($B1348,dongia1,DG!$D$5,)</f>
        <v>cái</v>
      </c>
      <c r="G1348" s="762">
        <f>G1344</f>
        <v>0</v>
      </c>
      <c r="H1348" s="701"/>
      <c r="I1348" s="701"/>
      <c r="J1348" s="701"/>
      <c r="K1348" s="701">
        <f t="shared" si="641"/>
        <v>0</v>
      </c>
      <c r="L1348" s="701"/>
      <c r="M1348" s="701"/>
      <c r="N1348" s="701"/>
      <c r="O1348" s="701"/>
      <c r="P1348" s="702">
        <f>VLOOKUP($B1348,dongia1,DG!$F$5,)</f>
        <v>126000</v>
      </c>
      <c r="Q1348" s="702"/>
      <c r="R1348" s="703"/>
      <c r="S1348" s="702">
        <f t="shared" si="651"/>
        <v>0</v>
      </c>
      <c r="T1348" s="702">
        <f t="shared" si="651"/>
        <v>0</v>
      </c>
      <c r="U1348" s="930">
        <f t="shared" si="651"/>
        <v>0</v>
      </c>
    </row>
    <row r="1349" spans="1:21" s="552" customFormat="1" ht="15" customHeight="1">
      <c r="A1349" s="621"/>
      <c r="B1349" s="622" t="s">
        <v>4289</v>
      </c>
      <c r="C1349" s="633" t="str">
        <f>IF(G1349&lt;&gt;0,C$1457," ")</f>
        <v xml:space="preserve"> </v>
      </c>
      <c r="D1349" s="553"/>
      <c r="E1349" s="694" t="str">
        <f>VLOOKUP($B1349,dongia1,DG!$C$5,)</f>
        <v>Giáp níu dừng dây bọc ACX 50mm2</v>
      </c>
      <c r="F1349" s="555" t="str">
        <f>VLOOKUP($B1349,dongia1,DG!$D$5,)</f>
        <v>bộ</v>
      </c>
      <c r="G1349" s="205"/>
      <c r="H1349" s="556"/>
      <c r="I1349" s="556"/>
      <c r="J1349" s="556"/>
      <c r="K1349" s="556">
        <f t="shared" si="641"/>
        <v>0</v>
      </c>
      <c r="L1349" s="556"/>
      <c r="M1349" s="556"/>
      <c r="N1349" s="556"/>
      <c r="O1349" s="556"/>
      <c r="P1349" s="182">
        <f>VLOOKUP($B1349,dongia1,DG!$F$5,)</f>
        <v>310000</v>
      </c>
      <c r="Q1349" s="182"/>
      <c r="R1349" s="182">
        <f>VLOOKUP($B1349,dongia1,DG!$H$5,)</f>
        <v>0</v>
      </c>
      <c r="S1349" s="113">
        <f t="shared" ref="S1349:U1357" si="652">$G1349*P1349</f>
        <v>0</v>
      </c>
      <c r="T1349" s="113">
        <f t="shared" si="652"/>
        <v>0</v>
      </c>
      <c r="U1349" s="715">
        <f t="shared" si="652"/>
        <v>0</v>
      </c>
    </row>
    <row r="1350" spans="1:21" s="552" customFormat="1" ht="15" customHeight="1">
      <c r="A1350" s="621"/>
      <c r="B1350" s="622" t="s">
        <v>4478</v>
      </c>
      <c r="C1350" s="633" t="s">
        <v>309</v>
      </c>
      <c r="D1350" s="553"/>
      <c r="E1350" s="694" t="str">
        <f>VLOOKUP($B1350,dongia1,DG!$C$5,)</f>
        <v>Giáp níu dừng dây bọc (70-95mm2)</v>
      </c>
      <c r="F1350" s="555" t="str">
        <f>VLOOKUP($B1350,dongia1,DG!$D$5,)</f>
        <v>cái</v>
      </c>
      <c r="G1350" s="205">
        <f>pp3p1m!CS10</f>
        <v>6</v>
      </c>
      <c r="H1350" s="556"/>
      <c r="I1350" s="556"/>
      <c r="J1350" s="556"/>
      <c r="K1350" s="556">
        <f t="shared" si="641"/>
        <v>6</v>
      </c>
      <c r="L1350" s="556"/>
      <c r="M1350" s="556"/>
      <c r="N1350" s="556"/>
      <c r="O1350" s="556"/>
      <c r="P1350" s="182">
        <f>VLOOKUP($B1350,dongia1,DG!$F$5,)</f>
        <v>280000</v>
      </c>
      <c r="Q1350" s="182"/>
      <c r="R1350" s="554"/>
      <c r="S1350" s="113">
        <f t="shared" si="652"/>
        <v>1680000</v>
      </c>
      <c r="T1350" s="113">
        <f t="shared" si="652"/>
        <v>0</v>
      </c>
      <c r="U1350" s="557">
        <f t="shared" si="652"/>
        <v>0</v>
      </c>
    </row>
    <row r="1351" spans="1:21" s="552" customFormat="1" ht="15" customHeight="1">
      <c r="A1351" s="621"/>
      <c r="B1351" s="622" t="s">
        <v>4479</v>
      </c>
      <c r="C1351" s="633" t="str">
        <f>IF(G1351&lt;&gt;0,C$1457," ")</f>
        <v xml:space="preserve"> </v>
      </c>
      <c r="D1351" s="553"/>
      <c r="E1351" s="694" t="str">
        <f>VLOOKUP($B1351,dongia1,DG!$C$5,)</f>
        <v>Giáp níu dừng dây bọc (120-150mm2)</v>
      </c>
      <c r="F1351" s="555" t="str">
        <f>VLOOKUP($B1351,dongia1,DG!$D$5,)</f>
        <v>cái</v>
      </c>
      <c r="G1351" s="205"/>
      <c r="H1351" s="556"/>
      <c r="I1351" s="556"/>
      <c r="J1351" s="556"/>
      <c r="K1351" s="556">
        <f t="shared" si="641"/>
        <v>0</v>
      </c>
      <c r="L1351" s="556"/>
      <c r="M1351" s="556"/>
      <c r="N1351" s="556"/>
      <c r="O1351" s="556"/>
      <c r="P1351" s="182">
        <f>VLOOKUP($B1351,dongia1,DG!$F$5,)</f>
        <v>350000</v>
      </c>
      <c r="Q1351" s="182"/>
      <c r="R1351" s="554"/>
      <c r="S1351" s="113">
        <f t="shared" si="652"/>
        <v>0</v>
      </c>
      <c r="T1351" s="113">
        <f t="shared" si="652"/>
        <v>0</v>
      </c>
      <c r="U1351" s="557">
        <f t="shared" si="652"/>
        <v>0</v>
      </c>
    </row>
    <row r="1352" spans="1:21" s="552" customFormat="1" ht="15" customHeight="1">
      <c r="A1352" s="621"/>
      <c r="B1352" s="622" t="s">
        <v>4480</v>
      </c>
      <c r="C1352" s="633" t="str">
        <f>IF(G1352&lt;&gt;0,C$1457," ")</f>
        <v xml:space="preserve"> </v>
      </c>
      <c r="D1352" s="553"/>
      <c r="E1352" s="694" t="str">
        <f>VLOOKUP($B1352,dongia1,DG!$C$5,)</f>
        <v>Giáp níu dừng dây bọc (185-240mm2)</v>
      </c>
      <c r="F1352" s="555" t="str">
        <f>VLOOKUP($B1352,dongia1,DG!$D$5,)</f>
        <v>cái</v>
      </c>
      <c r="G1352" s="205"/>
      <c r="H1352" s="556"/>
      <c r="I1352" s="556"/>
      <c r="J1352" s="556"/>
      <c r="K1352" s="556">
        <f t="shared" si="641"/>
        <v>0</v>
      </c>
      <c r="L1352" s="556"/>
      <c r="M1352" s="556"/>
      <c r="N1352" s="556"/>
      <c r="O1352" s="556"/>
      <c r="P1352" s="182">
        <f>VLOOKUP($B1352,dongia1,DG!$F$5,)</f>
        <v>460000</v>
      </c>
      <c r="Q1352" s="182"/>
      <c r="R1352" s="554"/>
      <c r="S1352" s="113">
        <f t="shared" si="652"/>
        <v>0</v>
      </c>
      <c r="T1352" s="113">
        <f t="shared" si="652"/>
        <v>0</v>
      </c>
      <c r="U1352" s="557">
        <f t="shared" si="652"/>
        <v>0</v>
      </c>
    </row>
    <row r="1353" spans="1:21" s="610" customFormat="1" ht="30" customHeight="1">
      <c r="A1353" s="635"/>
      <c r="B1353" s="636" t="s">
        <v>4593</v>
      </c>
      <c r="C1353" s="641"/>
      <c r="D1353" s="599"/>
      <c r="E1353" s="728" t="s">
        <v>4594</v>
      </c>
      <c r="F1353" s="642" t="s">
        <v>3693</v>
      </c>
      <c r="G1353" s="643"/>
      <c r="H1353" s="605"/>
      <c r="I1353" s="605"/>
      <c r="J1353" s="605"/>
      <c r="K1353" s="556">
        <f t="shared" ref="K1353:K1361" si="653">G1353</f>
        <v>0</v>
      </c>
      <c r="L1353" s="605"/>
      <c r="M1353" s="605"/>
      <c r="N1353" s="605"/>
      <c r="O1353" s="605"/>
      <c r="P1353" s="607"/>
      <c r="Q1353" s="607"/>
      <c r="R1353" s="606"/>
      <c r="S1353" s="608">
        <f t="shared" si="652"/>
        <v>0</v>
      </c>
      <c r="T1353" s="608">
        <f t="shared" si="652"/>
        <v>0</v>
      </c>
      <c r="U1353" s="609">
        <f t="shared" si="652"/>
        <v>0</v>
      </c>
    </row>
    <row r="1354" spans="1:21" s="552" customFormat="1" ht="15" customHeight="1">
      <c r="A1354" s="621"/>
      <c r="B1354" s="622" t="s">
        <v>1096</v>
      </c>
      <c r="C1354" s="633"/>
      <c r="D1354" s="553"/>
      <c r="E1354" s="694" t="str">
        <f>VLOOKUP($B1354,dongia1,DG!$C$5,)</f>
        <v xml:space="preserve">Sứ treo polymer </v>
      </c>
      <c r="F1354" s="555" t="str">
        <f>VLOOKUP($B1354,dongia1,DG!$D$5,)</f>
        <v>chuỗi</v>
      </c>
      <c r="G1354" s="205">
        <f>G1353*2</f>
        <v>0</v>
      </c>
      <c r="H1354" s="556"/>
      <c r="I1354" s="556"/>
      <c r="J1354" s="556"/>
      <c r="K1354" s="556">
        <f t="shared" si="653"/>
        <v>0</v>
      </c>
      <c r="L1354" s="556"/>
      <c r="M1354" s="556"/>
      <c r="N1354" s="556"/>
      <c r="O1354" s="556"/>
      <c r="P1354" s="182">
        <f>VLOOKUP($B1354,dongia1,DG!$F$5,)</f>
        <v>235000</v>
      </c>
      <c r="Q1354" s="182"/>
      <c r="R1354" s="554"/>
      <c r="S1354" s="113">
        <f t="shared" si="652"/>
        <v>0</v>
      </c>
      <c r="T1354" s="113">
        <f t="shared" si="652"/>
        <v>0</v>
      </c>
      <c r="U1354" s="557">
        <f t="shared" si="652"/>
        <v>0</v>
      </c>
    </row>
    <row r="1355" spans="1:21" s="552" customFormat="1" ht="15" customHeight="1">
      <c r="A1355" s="621"/>
      <c r="B1355" s="622" t="s">
        <v>2035</v>
      </c>
      <c r="C1355" s="633"/>
      <c r="D1355" s="553"/>
      <c r="E1355" s="694" t="str">
        <f>VLOOKUP($B1355,dongia1,DG!$C$5,)</f>
        <v xml:space="preserve">Móc treo chữ U F16 dài </v>
      </c>
      <c r="F1355" s="555" t="str">
        <f>VLOOKUP($B1355,dongia1,DG!$D$5,)</f>
        <v>cái</v>
      </c>
      <c r="G1355" s="205">
        <f>G1353*3</f>
        <v>0</v>
      </c>
      <c r="H1355" s="556"/>
      <c r="I1355" s="556"/>
      <c r="J1355" s="556"/>
      <c r="K1355" s="556">
        <f t="shared" si="653"/>
        <v>0</v>
      </c>
      <c r="L1355" s="556"/>
      <c r="M1355" s="556"/>
      <c r="N1355" s="556"/>
      <c r="O1355" s="556"/>
      <c r="P1355" s="182">
        <f>VLOOKUP($B1355,dongia1,DG!$F$5,)</f>
        <v>28000</v>
      </c>
      <c r="Q1355" s="182"/>
      <c r="R1355" s="554"/>
      <c r="S1355" s="113">
        <f t="shared" si="652"/>
        <v>0</v>
      </c>
      <c r="T1355" s="113">
        <f t="shared" si="652"/>
        <v>0</v>
      </c>
      <c r="U1355" s="557">
        <f t="shared" si="652"/>
        <v>0</v>
      </c>
    </row>
    <row r="1356" spans="1:21" s="552" customFormat="1" ht="15" customHeight="1">
      <c r="A1356" s="621"/>
      <c r="B1356" s="613" t="s">
        <v>4194</v>
      </c>
      <c r="C1356" s="633"/>
      <c r="D1356" s="553"/>
      <c r="E1356" s="694" t="str">
        <f>VLOOKUP($B1356,dongia1,DG!$C$5,)</f>
        <v>Khánh treo chuỗi polymer kép</v>
      </c>
      <c r="F1356" s="555" t="str">
        <f>VLOOKUP($B1356,dongia1,DG!$D$5,)</f>
        <v>cái</v>
      </c>
      <c r="G1356" s="205">
        <f>G1353*2</f>
        <v>0</v>
      </c>
      <c r="H1356" s="556"/>
      <c r="I1356" s="556"/>
      <c r="J1356" s="556"/>
      <c r="K1356" s="556">
        <f t="shared" si="653"/>
        <v>0</v>
      </c>
      <c r="L1356" s="556"/>
      <c r="M1356" s="556"/>
      <c r="N1356" s="556"/>
      <c r="O1356" s="556"/>
      <c r="P1356" s="182">
        <f>VLOOKUP($B1356,dongia1,DG!$F$5,)</f>
        <v>120000</v>
      </c>
      <c r="Q1356" s="182"/>
      <c r="R1356" s="554"/>
      <c r="S1356" s="113">
        <f t="shared" si="652"/>
        <v>0</v>
      </c>
      <c r="T1356" s="113">
        <f t="shared" si="652"/>
        <v>0</v>
      </c>
      <c r="U1356" s="557">
        <f t="shared" si="652"/>
        <v>0</v>
      </c>
    </row>
    <row r="1357" spans="1:21" s="552" customFormat="1" ht="30" customHeight="1">
      <c r="A1357" s="621"/>
      <c r="B1357" s="16" t="s">
        <v>1074</v>
      </c>
      <c r="C1357" s="633"/>
      <c r="D1357" s="553"/>
      <c r="E1357" s="694" t="str">
        <f>VLOOKUP($B1357,dongia1,DG!$C$5,)</f>
        <v>Giáp níu dừng dây bọc ACX 50mm2</v>
      </c>
      <c r="F1357" s="555" t="str">
        <f>VLOOKUP($B1357,dongia1,DG!$D$5,)</f>
        <v>bộ</v>
      </c>
      <c r="G1357" s="205">
        <f>G1353</f>
        <v>0</v>
      </c>
      <c r="H1357" s="556"/>
      <c r="I1357" s="556"/>
      <c r="J1357" s="556"/>
      <c r="K1357" s="556">
        <f t="shared" si="653"/>
        <v>0</v>
      </c>
      <c r="L1357" s="556"/>
      <c r="M1357" s="556"/>
      <c r="N1357" s="556"/>
      <c r="O1357" s="556"/>
      <c r="P1357" s="182">
        <f>VLOOKUP($B1357,dongia1,DG!$F$5,)</f>
        <v>310000</v>
      </c>
      <c r="Q1357" s="182"/>
      <c r="R1357" s="554"/>
      <c r="S1357" s="113">
        <f t="shared" si="652"/>
        <v>0</v>
      </c>
      <c r="T1357" s="113">
        <f t="shared" si="652"/>
        <v>0</v>
      </c>
      <c r="U1357" s="718">
        <f t="shared" si="652"/>
        <v>0</v>
      </c>
    </row>
    <row r="1358" spans="1:21" s="552" customFormat="1" ht="15" customHeight="1">
      <c r="A1358" s="621"/>
      <c r="B1358" s="622" t="s">
        <v>4289</v>
      </c>
      <c r="C1358" s="633" t="str">
        <f>IF(G1358&lt;&gt;0,C$1457," ")</f>
        <v xml:space="preserve"> </v>
      </c>
      <c r="D1358" s="553"/>
      <c r="E1358" s="694" t="str">
        <f>VLOOKUP($B1358,dongia1,DG!$C$5,)</f>
        <v>Giáp níu dừng dây bọc ACX 50mm2</v>
      </c>
      <c r="F1358" s="555" t="str">
        <f>VLOOKUP($B1358,dongia1,DG!$D$5,)</f>
        <v>bộ</v>
      </c>
      <c r="G1358" s="205"/>
      <c r="H1358" s="556"/>
      <c r="I1358" s="556"/>
      <c r="J1358" s="556"/>
      <c r="K1358" s="556">
        <f t="shared" si="653"/>
        <v>0</v>
      </c>
      <c r="L1358" s="556"/>
      <c r="M1358" s="556"/>
      <c r="N1358" s="556"/>
      <c r="O1358" s="556"/>
      <c r="P1358" s="182">
        <f>VLOOKUP($B1358,dongia1,DG!$F$5,)</f>
        <v>310000</v>
      </c>
      <c r="Q1358" s="182"/>
      <c r="R1358" s="182">
        <f>VLOOKUP($B1358,dongia1,DG!$H$5,)</f>
        <v>0</v>
      </c>
      <c r="S1358" s="113">
        <f t="shared" ref="S1358:U1362" si="654">$G1358*P1358</f>
        <v>0</v>
      </c>
      <c r="T1358" s="113">
        <f t="shared" si="654"/>
        <v>0</v>
      </c>
      <c r="U1358" s="715">
        <f t="shared" si="654"/>
        <v>0</v>
      </c>
    </row>
    <row r="1359" spans="1:21" s="552" customFormat="1" ht="15" customHeight="1">
      <c r="A1359" s="621"/>
      <c r="B1359" s="622" t="s">
        <v>4478</v>
      </c>
      <c r="C1359" s="633"/>
      <c r="D1359" s="553"/>
      <c r="E1359" s="694" t="str">
        <f>VLOOKUP($B1359,dongia1,DG!$C$5,)</f>
        <v>Giáp níu dừng dây bọc (70-95mm2)</v>
      </c>
      <c r="F1359" s="555" t="str">
        <f>VLOOKUP($B1359,dongia1,DG!$D$5,)</f>
        <v>cái</v>
      </c>
      <c r="G1359" s="205"/>
      <c r="H1359" s="556"/>
      <c r="I1359" s="556"/>
      <c r="J1359" s="556"/>
      <c r="K1359" s="556">
        <f t="shared" si="653"/>
        <v>0</v>
      </c>
      <c r="L1359" s="556"/>
      <c r="M1359" s="556"/>
      <c r="N1359" s="556"/>
      <c r="O1359" s="556"/>
      <c r="P1359" s="182">
        <f>VLOOKUP($B1359,dongia1,DG!$F$5,)</f>
        <v>280000</v>
      </c>
      <c r="Q1359" s="182"/>
      <c r="R1359" s="554"/>
      <c r="S1359" s="113">
        <f t="shared" si="654"/>
        <v>0</v>
      </c>
      <c r="T1359" s="113">
        <f t="shared" si="654"/>
        <v>0</v>
      </c>
      <c r="U1359" s="557">
        <f t="shared" si="654"/>
        <v>0</v>
      </c>
    </row>
    <row r="1360" spans="1:21" s="552" customFormat="1" ht="15" customHeight="1">
      <c r="A1360" s="621"/>
      <c r="B1360" s="622" t="s">
        <v>4479</v>
      </c>
      <c r="C1360" s="633" t="str">
        <f>IF(G1360&lt;&gt;0,C$1457," ")</f>
        <v xml:space="preserve"> </v>
      </c>
      <c r="D1360" s="553"/>
      <c r="E1360" s="694" t="str">
        <f>VLOOKUP($B1360,dongia1,DG!$C$5,)</f>
        <v>Giáp níu dừng dây bọc (120-150mm2)</v>
      </c>
      <c r="F1360" s="555" t="str">
        <f>VLOOKUP($B1360,dongia1,DG!$D$5,)</f>
        <v>cái</v>
      </c>
      <c r="G1360" s="205"/>
      <c r="H1360" s="556"/>
      <c r="I1360" s="556"/>
      <c r="J1360" s="556"/>
      <c r="K1360" s="556">
        <f t="shared" si="653"/>
        <v>0</v>
      </c>
      <c r="L1360" s="556"/>
      <c r="M1360" s="556"/>
      <c r="N1360" s="556"/>
      <c r="O1360" s="556"/>
      <c r="P1360" s="182">
        <f>VLOOKUP($B1360,dongia1,DG!$F$5,)</f>
        <v>350000</v>
      </c>
      <c r="Q1360" s="182"/>
      <c r="R1360" s="554"/>
      <c r="S1360" s="113">
        <f t="shared" si="654"/>
        <v>0</v>
      </c>
      <c r="T1360" s="113">
        <f t="shared" si="654"/>
        <v>0</v>
      </c>
      <c r="U1360" s="557">
        <f t="shared" si="654"/>
        <v>0</v>
      </c>
    </row>
    <row r="1361" spans="1:21" s="552" customFormat="1" ht="15" customHeight="1">
      <c r="A1361" s="621"/>
      <c r="B1361" s="622" t="s">
        <v>4480</v>
      </c>
      <c r="C1361" s="633" t="str">
        <f>IF(G1361&lt;&gt;0,C$1457," ")</f>
        <v xml:space="preserve"> </v>
      </c>
      <c r="D1361" s="553"/>
      <c r="E1361" s="694" t="str">
        <f>VLOOKUP($B1361,dongia1,DG!$C$5,)</f>
        <v>Giáp níu dừng dây bọc (185-240mm2)</v>
      </c>
      <c r="F1361" s="555" t="str">
        <f>VLOOKUP($B1361,dongia1,DG!$D$5,)</f>
        <v>cái</v>
      </c>
      <c r="G1361" s="205"/>
      <c r="H1361" s="556"/>
      <c r="I1361" s="556"/>
      <c r="J1361" s="556"/>
      <c r="K1361" s="556">
        <f t="shared" si="653"/>
        <v>0</v>
      </c>
      <c r="L1361" s="556"/>
      <c r="M1361" s="556"/>
      <c r="N1361" s="556"/>
      <c r="O1361" s="556"/>
      <c r="P1361" s="182">
        <f>VLOOKUP($B1361,dongia1,DG!$F$5,)</f>
        <v>460000</v>
      </c>
      <c r="Q1361" s="182"/>
      <c r="R1361" s="554"/>
      <c r="S1361" s="113">
        <f t="shared" si="654"/>
        <v>0</v>
      </c>
      <c r="T1361" s="113">
        <f t="shared" si="654"/>
        <v>0</v>
      </c>
      <c r="U1361" s="557">
        <f t="shared" si="654"/>
        <v>0</v>
      </c>
    </row>
    <row r="1362" spans="1:21" s="552" customFormat="1" ht="15" customHeight="1">
      <c r="A1362" s="621"/>
      <c r="B1362" s="622" t="s">
        <v>366</v>
      </c>
      <c r="C1362" s="633" t="str">
        <f>IF(G1362&lt;&gt;0,C$1457," ")</f>
        <v xml:space="preserve"> </v>
      </c>
      <c r="D1362" s="553"/>
      <c r="E1362" s="694" t="str">
        <f>VLOOKUP($B1362,dongia1,DG!$C$5,)</f>
        <v>Boulon mắt 16x300+ 1 long đền vuông D18-50x50x3/Zn</v>
      </c>
      <c r="F1362" s="555" t="str">
        <f>VLOOKUP($B1362,dongia1,DG!$D$5,)</f>
        <v>bộ</v>
      </c>
      <c r="G1362" s="205">
        <f>G1353</f>
        <v>0</v>
      </c>
      <c r="H1362" s="556"/>
      <c r="I1362" s="556"/>
      <c r="J1362" s="556"/>
      <c r="K1362" s="556">
        <f>G1362</f>
        <v>0</v>
      </c>
      <c r="L1362" s="556"/>
      <c r="M1362" s="556"/>
      <c r="N1362" s="556"/>
      <c r="O1362" s="556"/>
      <c r="P1362" s="182">
        <f>VLOOKUP($B1362,dongia1,DG!$F$5,)</f>
        <v>32200</v>
      </c>
      <c r="Q1362" s="182"/>
      <c r="R1362" s="554"/>
      <c r="S1362" s="113">
        <f t="shared" si="654"/>
        <v>0</v>
      </c>
      <c r="T1362" s="113">
        <f t="shared" si="654"/>
        <v>0</v>
      </c>
      <c r="U1362" s="557">
        <f t="shared" si="654"/>
        <v>0</v>
      </c>
    </row>
    <row r="1363" spans="1:21" s="858" customFormat="1" ht="14.4">
      <c r="A1363" s="847"/>
      <c r="B1363" s="848"/>
      <c r="C1363" s="946" t="str">
        <f>C1248</f>
        <v>x</v>
      </c>
      <c r="D1363" s="850">
        <v>5</v>
      </c>
      <c r="E1363" s="906" t="s">
        <v>4481</v>
      </c>
      <c r="F1363" s="852"/>
      <c r="G1363" s="853"/>
      <c r="H1363" s="854"/>
      <c r="I1363" s="854"/>
      <c r="J1363" s="854"/>
      <c r="K1363" s="701">
        <f t="shared" si="641"/>
        <v>0</v>
      </c>
      <c r="L1363" s="854"/>
      <c r="M1363" s="854"/>
      <c r="N1363" s="854"/>
      <c r="O1363" s="854"/>
      <c r="P1363" s="909"/>
      <c r="Q1363" s="909"/>
      <c r="R1363" s="855"/>
      <c r="S1363" s="909"/>
      <c r="T1363" s="909"/>
      <c r="U1363" s="933"/>
    </row>
    <row r="1364" spans="1:21" s="552" customFormat="1" ht="15" customHeight="1">
      <c r="A1364" s="621"/>
      <c r="B1364" s="622" t="s">
        <v>488</v>
      </c>
      <c r="C1364" s="633" t="str">
        <f t="shared" ref="C1364:C1399" si="655">IF(G1364&lt;&gt;0,$C$1248," ")</f>
        <v xml:space="preserve"> </v>
      </c>
      <c r="D1364" s="553"/>
      <c r="E1364" s="694" t="str">
        <f>VLOOKUP($B1364,dongia1,DG!$C$5,)</f>
        <v>Khóa đỡ dây cỡ dây 240</v>
      </c>
      <c r="F1364" s="555" t="str">
        <f>VLOOKUP($B1364,dongia1,DG!$D$5,)</f>
        <v>cái</v>
      </c>
      <c r="G1364" s="560"/>
      <c r="H1364" s="556"/>
      <c r="I1364" s="556"/>
      <c r="J1364" s="556"/>
      <c r="K1364" s="556">
        <f t="shared" si="641"/>
        <v>0</v>
      </c>
      <c r="L1364" s="556"/>
      <c r="M1364" s="556"/>
      <c r="N1364" s="556"/>
      <c r="O1364" s="556"/>
      <c r="P1364" s="182">
        <f>VLOOKUP($B1364,dongia1,DG!$F$5,)</f>
        <v>38091</v>
      </c>
      <c r="Q1364" s="182"/>
      <c r="R1364" s="554"/>
      <c r="S1364" s="113">
        <f t="shared" ref="S1364:S1377" si="656">$G1364*P1364</f>
        <v>0</v>
      </c>
      <c r="T1364" s="113">
        <f t="shared" ref="T1364:T1377" si="657">$G1364*Q1364</f>
        <v>0</v>
      </c>
      <c r="U1364" s="715">
        <f t="shared" ref="U1364:U1377" si="658">$G1364*R1364</f>
        <v>0</v>
      </c>
    </row>
    <row r="1365" spans="1:21" s="552" customFormat="1" ht="15" customHeight="1">
      <c r="A1365" s="621"/>
      <c r="B1365" s="622" t="s">
        <v>487</v>
      </c>
      <c r="C1365" s="633" t="str">
        <f t="shared" si="655"/>
        <v xml:space="preserve"> </v>
      </c>
      <c r="D1365" s="553"/>
      <c r="E1365" s="694" t="str">
        <f>VLOOKUP($B1365,dongia1,DG!$C$5,)</f>
        <v>Khóa đỡ dây cỡ dây 185</v>
      </c>
      <c r="F1365" s="555" t="str">
        <f>VLOOKUP($B1365,dongia1,DG!$D$5,)</f>
        <v>cái</v>
      </c>
      <c r="G1365" s="560"/>
      <c r="H1365" s="556"/>
      <c r="I1365" s="556"/>
      <c r="J1365" s="556"/>
      <c r="K1365" s="556">
        <f t="shared" si="641"/>
        <v>0</v>
      </c>
      <c r="L1365" s="556"/>
      <c r="M1365" s="556"/>
      <c r="N1365" s="556"/>
      <c r="O1365" s="556"/>
      <c r="P1365" s="182">
        <f>VLOOKUP($B1365,dongia1,DG!$F$5,)</f>
        <v>38091</v>
      </c>
      <c r="Q1365" s="182"/>
      <c r="R1365" s="554"/>
      <c r="S1365" s="113">
        <f t="shared" si="656"/>
        <v>0</v>
      </c>
      <c r="T1365" s="113">
        <f t="shared" si="657"/>
        <v>0</v>
      </c>
      <c r="U1365" s="557">
        <f t="shared" si="658"/>
        <v>0</v>
      </c>
    </row>
    <row r="1366" spans="1:21" s="552" customFormat="1" ht="15" customHeight="1">
      <c r="A1366" s="621"/>
      <c r="B1366" s="622" t="s">
        <v>486</v>
      </c>
      <c r="C1366" s="633" t="str">
        <f t="shared" si="655"/>
        <v xml:space="preserve"> </v>
      </c>
      <c r="D1366" s="553"/>
      <c r="E1366" s="694" t="str">
        <f>VLOOKUP($B1366,dongia1,DG!$C$5,)</f>
        <v>Khóa đỡ dây cỡ dây 150</v>
      </c>
      <c r="F1366" s="555" t="str">
        <f>VLOOKUP($B1366,dongia1,DG!$D$5,)</f>
        <v>cái</v>
      </c>
      <c r="G1366" s="560"/>
      <c r="H1366" s="556"/>
      <c r="I1366" s="556"/>
      <c r="J1366" s="556"/>
      <c r="K1366" s="556">
        <f t="shared" si="641"/>
        <v>0</v>
      </c>
      <c r="L1366" s="556"/>
      <c r="M1366" s="556"/>
      <c r="N1366" s="556"/>
      <c r="O1366" s="556"/>
      <c r="P1366" s="182">
        <f>VLOOKUP($B1366,dongia1,DG!$F$5,)</f>
        <v>38091</v>
      </c>
      <c r="Q1366" s="182"/>
      <c r="R1366" s="554"/>
      <c r="S1366" s="113">
        <f t="shared" si="656"/>
        <v>0</v>
      </c>
      <c r="T1366" s="113">
        <f t="shared" si="657"/>
        <v>0</v>
      </c>
      <c r="U1366" s="557">
        <f t="shared" si="658"/>
        <v>0</v>
      </c>
    </row>
    <row r="1367" spans="1:21" s="552" customFormat="1" ht="15" customHeight="1">
      <c r="A1367" s="621"/>
      <c r="B1367" s="622" t="s">
        <v>485</v>
      </c>
      <c r="C1367" s="633" t="str">
        <f t="shared" si="655"/>
        <v xml:space="preserve"> </v>
      </c>
      <c r="D1367" s="553"/>
      <c r="E1367" s="694" t="str">
        <f>VLOOKUP($B1367,dongia1,DG!$C$5,)</f>
        <v>Khóa đỡ dây cỡ dây 120</v>
      </c>
      <c r="F1367" s="555" t="str">
        <f>VLOOKUP($B1367,dongia1,DG!$D$5,)</f>
        <v>cái</v>
      </c>
      <c r="G1367" s="560"/>
      <c r="H1367" s="556"/>
      <c r="I1367" s="556"/>
      <c r="J1367" s="556"/>
      <c r="K1367" s="556">
        <f t="shared" si="641"/>
        <v>0</v>
      </c>
      <c r="L1367" s="556"/>
      <c r="M1367" s="556"/>
      <c r="N1367" s="556"/>
      <c r="O1367" s="556"/>
      <c r="P1367" s="182">
        <f>VLOOKUP($B1367,dongia1,DG!$F$5,)</f>
        <v>23545</v>
      </c>
      <c r="Q1367" s="182"/>
      <c r="R1367" s="554"/>
      <c r="S1367" s="113">
        <f t="shared" si="656"/>
        <v>0</v>
      </c>
      <c r="T1367" s="113">
        <f t="shared" si="657"/>
        <v>0</v>
      </c>
      <c r="U1367" s="557">
        <f t="shared" si="658"/>
        <v>0</v>
      </c>
    </row>
    <row r="1368" spans="1:21" s="552" customFormat="1" ht="15" customHeight="1">
      <c r="A1368" s="621"/>
      <c r="B1368" s="622" t="s">
        <v>484</v>
      </c>
      <c r="C1368" s="633" t="str">
        <f t="shared" si="655"/>
        <v xml:space="preserve"> </v>
      </c>
      <c r="D1368" s="553"/>
      <c r="E1368" s="694" t="str">
        <f>VLOOKUP($B1368,dongia1,DG!$C$5,)</f>
        <v>Khóa đỡ dây cỡ dây 95</v>
      </c>
      <c r="F1368" s="555" t="str">
        <f>VLOOKUP($B1368,dongia1,DG!$D$5,)</f>
        <v>cái</v>
      </c>
      <c r="G1368" s="560"/>
      <c r="H1368" s="556"/>
      <c r="I1368" s="556"/>
      <c r="J1368" s="556"/>
      <c r="K1368" s="556">
        <f t="shared" si="641"/>
        <v>0</v>
      </c>
      <c r="L1368" s="556"/>
      <c r="M1368" s="556"/>
      <c r="N1368" s="556"/>
      <c r="O1368" s="556"/>
      <c r="P1368" s="182">
        <f>VLOOKUP($B1368,dongia1,DG!$F$5,)</f>
        <v>23545</v>
      </c>
      <c r="Q1368" s="182"/>
      <c r="R1368" s="554"/>
      <c r="S1368" s="113">
        <f t="shared" si="656"/>
        <v>0</v>
      </c>
      <c r="T1368" s="113">
        <f t="shared" si="657"/>
        <v>0</v>
      </c>
      <c r="U1368" s="557">
        <f t="shared" si="658"/>
        <v>0</v>
      </c>
    </row>
    <row r="1369" spans="1:21" s="552" customFormat="1" ht="15" customHeight="1">
      <c r="A1369" s="621"/>
      <c r="B1369" s="622" t="s">
        <v>2030</v>
      </c>
      <c r="C1369" s="633" t="str">
        <f t="shared" si="655"/>
        <v xml:space="preserve"> </v>
      </c>
      <c r="D1369" s="553"/>
      <c r="E1369" s="694" t="str">
        <f>VLOOKUP($B1369,dongia1,DG!$C$5,)</f>
        <v>Khóa đỡ dây cỡ dây 70</v>
      </c>
      <c r="F1369" s="555" t="str">
        <f>VLOOKUP($B1369,dongia1,DG!$D$5,)</f>
        <v>cái</v>
      </c>
      <c r="G1369" s="560"/>
      <c r="H1369" s="556"/>
      <c r="I1369" s="556"/>
      <c r="J1369" s="556"/>
      <c r="K1369" s="556">
        <f t="shared" si="641"/>
        <v>0</v>
      </c>
      <c r="L1369" s="556"/>
      <c r="M1369" s="556"/>
      <c r="N1369" s="556"/>
      <c r="O1369" s="556"/>
      <c r="P1369" s="182">
        <f>VLOOKUP($B1369,dongia1,DG!$F$5,)</f>
        <v>21727</v>
      </c>
      <c r="Q1369" s="182"/>
      <c r="R1369" s="554"/>
      <c r="S1369" s="113">
        <f t="shared" si="656"/>
        <v>0</v>
      </c>
      <c r="T1369" s="113">
        <f t="shared" si="657"/>
        <v>0</v>
      </c>
      <c r="U1369" s="557">
        <f t="shared" si="658"/>
        <v>0</v>
      </c>
    </row>
    <row r="1370" spans="1:21" s="552" customFormat="1" ht="15" customHeight="1">
      <c r="A1370" s="621"/>
      <c r="B1370" s="622" t="s">
        <v>1154</v>
      </c>
      <c r="C1370" s="633" t="str">
        <f t="shared" si="655"/>
        <v xml:space="preserve"> </v>
      </c>
      <c r="D1370" s="553"/>
      <c r="E1370" s="694" t="str">
        <f>VLOOKUP($B1370,dongia1,DG!$C$5,)</f>
        <v>Khóa đỡ dây cỡ dây 50</v>
      </c>
      <c r="F1370" s="555" t="str">
        <f>VLOOKUP($B1370,dongia1,DG!$D$5,)</f>
        <v>cái</v>
      </c>
      <c r="G1370" s="560"/>
      <c r="H1370" s="556"/>
      <c r="I1370" s="556"/>
      <c r="J1370" s="556"/>
      <c r="K1370" s="556">
        <f t="shared" si="641"/>
        <v>0</v>
      </c>
      <c r="L1370" s="556"/>
      <c r="M1370" s="556"/>
      <c r="N1370" s="556"/>
      <c r="O1370" s="556"/>
      <c r="P1370" s="182">
        <f>VLOOKUP($B1370,dongia1,DG!$F$5,)</f>
        <v>21727</v>
      </c>
      <c r="Q1370" s="182"/>
      <c r="R1370" s="554"/>
      <c r="S1370" s="113">
        <f t="shared" si="656"/>
        <v>0</v>
      </c>
      <c r="T1370" s="113">
        <f t="shared" si="657"/>
        <v>0</v>
      </c>
      <c r="U1370" s="557">
        <f t="shared" si="658"/>
        <v>0</v>
      </c>
    </row>
    <row r="1371" spans="1:21" s="552" customFormat="1" ht="15" customHeight="1">
      <c r="A1371" s="621"/>
      <c r="B1371" s="622" t="s">
        <v>1284</v>
      </c>
      <c r="C1371" s="633" t="str">
        <f t="shared" si="655"/>
        <v xml:space="preserve"> </v>
      </c>
      <c r="D1371" s="553"/>
      <c r="E1371" s="694" t="str">
        <f>VLOOKUP($B1371,dongia1,DG!$C$5,)</f>
        <v>Khóa néo dây cỡ dây 240</v>
      </c>
      <c r="F1371" s="555" t="str">
        <f>VLOOKUP($B1371,dongia1,DG!$D$5,)</f>
        <v>cái</v>
      </c>
      <c r="G1371" s="205"/>
      <c r="H1371" s="556"/>
      <c r="I1371" s="556"/>
      <c r="J1371" s="556"/>
      <c r="K1371" s="556">
        <f t="shared" si="641"/>
        <v>0</v>
      </c>
      <c r="L1371" s="556"/>
      <c r="M1371" s="556"/>
      <c r="N1371" s="556"/>
      <c r="O1371" s="556"/>
      <c r="P1371" s="182">
        <f>VLOOKUP($B1371,dongia1,DG!$F$5,)</f>
        <v>157000</v>
      </c>
      <c r="Q1371" s="182"/>
      <c r="R1371" s="554"/>
      <c r="S1371" s="113">
        <f t="shared" si="656"/>
        <v>0</v>
      </c>
      <c r="T1371" s="113">
        <f t="shared" si="657"/>
        <v>0</v>
      </c>
      <c r="U1371" s="557">
        <f t="shared" si="658"/>
        <v>0</v>
      </c>
    </row>
    <row r="1372" spans="1:21" s="552" customFormat="1" ht="15" customHeight="1">
      <c r="A1372" s="621"/>
      <c r="B1372" s="622" t="s">
        <v>1285</v>
      </c>
      <c r="C1372" s="633" t="str">
        <f t="shared" si="655"/>
        <v xml:space="preserve"> </v>
      </c>
      <c r="D1372" s="553"/>
      <c r="E1372" s="694" t="str">
        <f>VLOOKUP($B1372,dongia1,DG!$C$5,)</f>
        <v>Khóa néo dây 5U-4mm (185-240mm2)</v>
      </c>
      <c r="F1372" s="555" t="str">
        <f>VLOOKUP($B1372,dongia1,DG!$D$5,)</f>
        <v>cái</v>
      </c>
      <c r="G1372" s="205"/>
      <c r="H1372" s="556"/>
      <c r="I1372" s="556"/>
      <c r="J1372" s="556"/>
      <c r="K1372" s="556">
        <f t="shared" si="641"/>
        <v>0</v>
      </c>
      <c r="L1372" s="556"/>
      <c r="M1372" s="556"/>
      <c r="N1372" s="556"/>
      <c r="O1372" s="556"/>
      <c r="P1372" s="182">
        <f>VLOOKUP($B1372,dongia1,DG!$F$5,)</f>
        <v>164000</v>
      </c>
      <c r="Q1372" s="182"/>
      <c r="R1372" s="554"/>
      <c r="S1372" s="113">
        <f t="shared" si="656"/>
        <v>0</v>
      </c>
      <c r="T1372" s="113">
        <f t="shared" si="657"/>
        <v>0</v>
      </c>
      <c r="U1372" s="557">
        <f t="shared" si="658"/>
        <v>0</v>
      </c>
    </row>
    <row r="1373" spans="1:21" s="552" customFormat="1" ht="15" customHeight="1">
      <c r="A1373" s="621"/>
      <c r="B1373" s="622" t="s">
        <v>1925</v>
      </c>
      <c r="C1373" s="633" t="str">
        <f t="shared" si="655"/>
        <v xml:space="preserve"> </v>
      </c>
      <c r="D1373" s="553"/>
      <c r="E1373" s="694" t="str">
        <f>VLOOKUP($B1373,dongia1,DG!$C$5,)</f>
        <v>Khóa néo dây 5U 150mm2</v>
      </c>
      <c r="F1373" s="555" t="str">
        <f>VLOOKUP($B1373,dongia1,DG!$D$5,)</f>
        <v>cái</v>
      </c>
      <c r="G1373" s="205">
        <f>'pp3p2m '!CX45</f>
        <v>0</v>
      </c>
      <c r="H1373" s="556"/>
      <c r="I1373" s="556"/>
      <c r="J1373" s="556"/>
      <c r="K1373" s="556">
        <f t="shared" si="641"/>
        <v>0</v>
      </c>
      <c r="L1373" s="556"/>
      <c r="M1373" s="556"/>
      <c r="N1373" s="556"/>
      <c r="O1373" s="556"/>
      <c r="P1373" s="182">
        <f>VLOOKUP($B1373,dongia1,DG!$F$5,)</f>
        <v>168000</v>
      </c>
      <c r="Q1373" s="182"/>
      <c r="R1373" s="554"/>
      <c r="S1373" s="113">
        <f t="shared" si="656"/>
        <v>0</v>
      </c>
      <c r="T1373" s="113">
        <f t="shared" si="657"/>
        <v>0</v>
      </c>
      <c r="U1373" s="557">
        <f t="shared" si="658"/>
        <v>0</v>
      </c>
    </row>
    <row r="1374" spans="1:21" s="552" customFormat="1" ht="15" customHeight="1">
      <c r="A1374" s="621"/>
      <c r="B1374" s="622" t="s">
        <v>1402</v>
      </c>
      <c r="C1374" s="633" t="str">
        <f t="shared" si="655"/>
        <v xml:space="preserve"> </v>
      </c>
      <c r="D1374" s="553"/>
      <c r="E1374" s="694" t="str">
        <f>VLOOKUP($B1374,dongia1,DG!$C$5,)</f>
        <v>Khóa néo dây 5U-4mm (95-120mm2)</v>
      </c>
      <c r="F1374" s="555" t="str">
        <f>VLOOKUP($B1374,dongia1,DG!$D$5,)</f>
        <v>cái</v>
      </c>
      <c r="G1374" s="205"/>
      <c r="H1374" s="556"/>
      <c r="I1374" s="556"/>
      <c r="J1374" s="556"/>
      <c r="K1374" s="556">
        <f t="shared" si="641"/>
        <v>0</v>
      </c>
      <c r="L1374" s="556"/>
      <c r="M1374" s="556"/>
      <c r="N1374" s="556"/>
      <c r="O1374" s="556"/>
      <c r="P1374" s="182">
        <f>VLOOKUP($B1374,dongia1,DG!$F$5,)</f>
        <v>133000</v>
      </c>
      <c r="Q1374" s="182"/>
      <c r="R1374" s="554"/>
      <c r="S1374" s="113">
        <f t="shared" si="656"/>
        <v>0</v>
      </c>
      <c r="T1374" s="113">
        <f t="shared" si="657"/>
        <v>0</v>
      </c>
      <c r="U1374" s="557">
        <f t="shared" si="658"/>
        <v>0</v>
      </c>
    </row>
    <row r="1375" spans="1:21" s="552" customFormat="1" ht="15" customHeight="1">
      <c r="A1375" s="621"/>
      <c r="B1375" s="622" t="s">
        <v>1851</v>
      </c>
      <c r="C1375" s="633" t="str">
        <f t="shared" si="655"/>
        <v xml:space="preserve"> </v>
      </c>
      <c r="D1375" s="553"/>
      <c r="E1375" s="694" t="str">
        <f>VLOOKUP($B1375,dongia1,DG!$C$5,)</f>
        <v>Khóa néo dây cỡ dây 95 (dây bọc 50): kẹp dừng dây 5U-3mm</v>
      </c>
      <c r="F1375" s="555" t="str">
        <f>VLOOKUP($B1375,dongia1,DG!$D$5,)</f>
        <v>cái</v>
      </c>
      <c r="G1375" s="205"/>
      <c r="H1375" s="556"/>
      <c r="I1375" s="556"/>
      <c r="J1375" s="556"/>
      <c r="K1375" s="556">
        <f t="shared" si="641"/>
        <v>0</v>
      </c>
      <c r="L1375" s="556"/>
      <c r="M1375" s="556"/>
      <c r="N1375" s="556"/>
      <c r="O1375" s="556"/>
      <c r="P1375" s="182">
        <f>VLOOKUP($B1375,dongia1,DG!$F$5,)</f>
        <v>126000</v>
      </c>
      <c r="Q1375" s="182"/>
      <c r="R1375" s="554"/>
      <c r="S1375" s="113">
        <f t="shared" si="656"/>
        <v>0</v>
      </c>
      <c r="T1375" s="113">
        <f t="shared" si="657"/>
        <v>0</v>
      </c>
      <c r="U1375" s="557">
        <f t="shared" si="658"/>
        <v>0</v>
      </c>
    </row>
    <row r="1376" spans="1:21" s="552" customFormat="1" ht="15" customHeight="1">
      <c r="A1376" s="621"/>
      <c r="B1376" s="622" t="s">
        <v>1246</v>
      </c>
      <c r="C1376" s="633" t="str">
        <f t="shared" si="655"/>
        <v xml:space="preserve"> </v>
      </c>
      <c r="D1376" s="553"/>
      <c r="E1376" s="694" t="str">
        <f>VLOOKUP($B1376,dongia1,DG!$C$5,)</f>
        <v>Khóa néo dây cỡ dây 70(kẹp dừng dây 3U-3mm)</v>
      </c>
      <c r="F1376" s="555" t="str">
        <f>VLOOKUP($B1376,dongia1,DG!$D$5,)</f>
        <v>cái</v>
      </c>
      <c r="G1376" s="205"/>
      <c r="H1376" s="556"/>
      <c r="I1376" s="556"/>
      <c r="J1376" s="556"/>
      <c r="K1376" s="556">
        <f t="shared" si="641"/>
        <v>0</v>
      </c>
      <c r="L1376" s="556"/>
      <c r="M1376" s="556"/>
      <c r="N1376" s="556"/>
      <c r="O1376" s="556"/>
      <c r="P1376" s="182">
        <f>VLOOKUP($B1376,dongia1,DG!$F$5,)</f>
        <v>78000</v>
      </c>
      <c r="Q1376" s="182"/>
      <c r="R1376" s="554"/>
      <c r="S1376" s="113">
        <f t="shared" si="656"/>
        <v>0</v>
      </c>
      <c r="T1376" s="113">
        <f t="shared" si="657"/>
        <v>0</v>
      </c>
      <c r="U1376" s="557">
        <f t="shared" si="658"/>
        <v>0</v>
      </c>
    </row>
    <row r="1377" spans="1:21" s="552" customFormat="1" ht="15" customHeight="1">
      <c r="A1377" s="621"/>
      <c r="B1377" s="622" t="s">
        <v>2031</v>
      </c>
      <c r="C1377" s="633" t="str">
        <f t="shared" si="655"/>
        <v xml:space="preserve"> </v>
      </c>
      <c r="D1377" s="553"/>
      <c r="E1377" s="694" t="str">
        <f>VLOOKUP($B1377,dongia1,DG!$C$5,)</f>
        <v>Khóa néo dây cỡ dây 50(kẹp dừng dây 3U-3mm)</v>
      </c>
      <c r="F1377" s="555" t="str">
        <f>VLOOKUP($B1377,dongia1,DG!$D$5,)</f>
        <v>cái</v>
      </c>
      <c r="G1377" s="205"/>
      <c r="H1377" s="556"/>
      <c r="I1377" s="556"/>
      <c r="J1377" s="556"/>
      <c r="K1377" s="556">
        <f t="shared" si="641"/>
        <v>0</v>
      </c>
      <c r="L1377" s="556"/>
      <c r="M1377" s="556"/>
      <c r="N1377" s="556"/>
      <c r="O1377" s="556"/>
      <c r="P1377" s="182">
        <f>VLOOKUP($B1377,dongia1,DG!$F$5,)</f>
        <v>58000</v>
      </c>
      <c r="Q1377" s="182"/>
      <c r="R1377" s="554"/>
      <c r="S1377" s="113">
        <f t="shared" si="656"/>
        <v>0</v>
      </c>
      <c r="T1377" s="113">
        <f t="shared" si="657"/>
        <v>0</v>
      </c>
      <c r="U1377" s="557">
        <f t="shared" si="658"/>
        <v>0</v>
      </c>
    </row>
    <row r="1378" spans="1:21" s="552" customFormat="1" ht="15" customHeight="1">
      <c r="A1378" s="621"/>
      <c r="B1378" s="622" t="s">
        <v>208</v>
      </c>
      <c r="C1378" s="633" t="str">
        <f t="shared" si="655"/>
        <v xml:space="preserve"> </v>
      </c>
      <c r="D1378" s="553"/>
      <c r="E1378" s="694" t="str">
        <f>VLOOKUP($B1378,dongia1,DG!$C$5,)</f>
        <v>Kẹp 2 rãnh (APC) cỡ dây 50mm2</v>
      </c>
      <c r="F1378" s="555" t="str">
        <f>VLOOKUP($B1378,dongia1,DG!$D$5,)</f>
        <v>cái</v>
      </c>
      <c r="G1378" s="560">
        <f>pp3p1m!DD$10</f>
        <v>0</v>
      </c>
      <c r="H1378" s="556"/>
      <c r="I1378" s="556"/>
      <c r="J1378" s="556"/>
      <c r="K1378" s="556">
        <f t="shared" si="641"/>
        <v>0</v>
      </c>
      <c r="L1378" s="556"/>
      <c r="M1378" s="556"/>
      <c r="N1378" s="556"/>
      <c r="O1378" s="556"/>
      <c r="P1378" s="182">
        <f>VLOOKUP($B1378,dongia1,DG!$F$5,)</f>
        <v>6400</v>
      </c>
      <c r="Q1378" s="182"/>
      <c r="R1378" s="554"/>
      <c r="S1378" s="113">
        <f t="shared" ref="S1378:U1380" si="659">$G1378*P1378</f>
        <v>0</v>
      </c>
      <c r="T1378" s="113">
        <f t="shared" si="659"/>
        <v>0</v>
      </c>
      <c r="U1378" s="557">
        <f t="shared" si="659"/>
        <v>0</v>
      </c>
    </row>
    <row r="1379" spans="1:21" s="552" customFormat="1" ht="15" customHeight="1">
      <c r="A1379" s="621"/>
      <c r="B1379" s="622" t="s">
        <v>207</v>
      </c>
      <c r="C1379" s="633" t="str">
        <f t="shared" si="655"/>
        <v xml:space="preserve"> </v>
      </c>
      <c r="D1379" s="553"/>
      <c r="E1379" s="694" t="str">
        <f>VLOOKUP($B1379,dongia1,DG!$C$5,)</f>
        <v>Kẹp 2 rãnh (APC) cỡ dây 70mm2</v>
      </c>
      <c r="F1379" s="555" t="str">
        <f>VLOOKUP($B1379,dongia1,DG!$D$5,)</f>
        <v>cái</v>
      </c>
      <c r="G1379" s="560">
        <f>pp3p1m!DE$10</f>
        <v>0</v>
      </c>
      <c r="H1379" s="556"/>
      <c r="I1379" s="556"/>
      <c r="J1379" s="556"/>
      <c r="K1379" s="556">
        <f t="shared" si="641"/>
        <v>0</v>
      </c>
      <c r="L1379" s="556"/>
      <c r="M1379" s="556"/>
      <c r="N1379" s="556"/>
      <c r="O1379" s="556"/>
      <c r="P1379" s="182">
        <f>VLOOKUP($B1379,dongia1,DG!$F$5,)</f>
        <v>6400</v>
      </c>
      <c r="Q1379" s="182"/>
      <c r="R1379" s="554"/>
      <c r="S1379" s="113">
        <f t="shared" si="659"/>
        <v>0</v>
      </c>
      <c r="T1379" s="113">
        <f t="shared" si="659"/>
        <v>0</v>
      </c>
      <c r="U1379" s="557">
        <f t="shared" si="659"/>
        <v>0</v>
      </c>
    </row>
    <row r="1380" spans="1:21" s="552" customFormat="1" ht="15" customHeight="1">
      <c r="A1380" s="621"/>
      <c r="B1380" s="622" t="s">
        <v>713</v>
      </c>
      <c r="C1380" s="633" t="str">
        <f t="shared" si="655"/>
        <v xml:space="preserve"> </v>
      </c>
      <c r="D1380" s="553"/>
      <c r="E1380" s="694" t="str">
        <f>VLOOKUP($B1380,dongia1,DG!$C$5,)</f>
        <v>Kẹp 2 rãnh (APC) cỡ dây 95mm2</v>
      </c>
      <c r="F1380" s="555" t="str">
        <f>VLOOKUP($B1380,dongia1,DG!$D$5,)</f>
        <v>cái</v>
      </c>
      <c r="G1380" s="560">
        <f>pp3p1m!DF$10</f>
        <v>0</v>
      </c>
      <c r="H1380" s="556"/>
      <c r="I1380" s="556"/>
      <c r="J1380" s="556"/>
      <c r="K1380" s="556">
        <f t="shared" si="641"/>
        <v>0</v>
      </c>
      <c r="L1380" s="556"/>
      <c r="M1380" s="556"/>
      <c r="N1380" s="556"/>
      <c r="O1380" s="556"/>
      <c r="P1380" s="182">
        <f>VLOOKUP($B1380,dongia1,DG!$F$5,)</f>
        <v>10600</v>
      </c>
      <c r="Q1380" s="182"/>
      <c r="R1380" s="554"/>
      <c r="S1380" s="113">
        <f t="shared" si="659"/>
        <v>0</v>
      </c>
      <c r="T1380" s="113">
        <f t="shared" si="659"/>
        <v>0</v>
      </c>
      <c r="U1380" s="557">
        <f t="shared" si="659"/>
        <v>0</v>
      </c>
    </row>
    <row r="1381" spans="1:21" s="552" customFormat="1" ht="15" customHeight="1">
      <c r="A1381" s="621"/>
      <c r="B1381" s="622" t="s">
        <v>4196</v>
      </c>
      <c r="C1381" s="633" t="str">
        <f t="shared" si="655"/>
        <v xml:space="preserve"> </v>
      </c>
      <c r="D1381" s="553"/>
      <c r="E1381" s="694" t="str">
        <f>VLOOKUP($B1381,dongia1,DG!$C$5,)</f>
        <v>Kẹp 2 rãnh (APC) cỡ dây 120mm2</v>
      </c>
      <c r="F1381" s="555" t="str">
        <f>VLOOKUP($B1381,dongia1,DG!$D$5,)</f>
        <v>cái</v>
      </c>
      <c r="G1381" s="560">
        <f>pp3p1m!DG$10</f>
        <v>0</v>
      </c>
      <c r="H1381" s="556">
        <f t="shared" ref="H1381:H1404" si="660">$G1381</f>
        <v>0</v>
      </c>
      <c r="I1381" s="556"/>
      <c r="J1381" s="556"/>
      <c r="K1381" s="556">
        <f t="shared" si="641"/>
        <v>0</v>
      </c>
      <c r="L1381" s="556"/>
      <c r="M1381" s="556"/>
      <c r="N1381" s="556"/>
      <c r="O1381" s="556"/>
      <c r="P1381" s="182">
        <f>VLOOKUP($B1381,dongia1,DG!$F$5,)</f>
        <v>16000</v>
      </c>
      <c r="Q1381" s="182"/>
      <c r="R1381" s="554"/>
      <c r="S1381" s="113">
        <f t="shared" ref="S1381:U1384" si="661">$G1381*P1381</f>
        <v>0</v>
      </c>
      <c r="T1381" s="113">
        <f t="shared" si="661"/>
        <v>0</v>
      </c>
      <c r="U1381" s="557">
        <f t="shared" si="661"/>
        <v>0</v>
      </c>
    </row>
    <row r="1382" spans="1:21" s="552" customFormat="1" ht="15" customHeight="1">
      <c r="A1382" s="621"/>
      <c r="B1382" s="622" t="s">
        <v>790</v>
      </c>
      <c r="C1382" s="633" t="str">
        <f t="shared" si="655"/>
        <v xml:space="preserve"> </v>
      </c>
      <c r="D1382" s="553"/>
      <c r="E1382" s="694" t="str">
        <f>VLOOKUP($B1382,dongia1,DG!$C$5,)</f>
        <v>Kẹp 2 rãnh (APC) cỡ dây 150mm2</v>
      </c>
      <c r="F1382" s="555" t="str">
        <f>VLOOKUP($B1382,dongia1,DG!$D$5,)</f>
        <v>cái</v>
      </c>
      <c r="G1382" s="560">
        <f>pp3p1m!DH$10</f>
        <v>0</v>
      </c>
      <c r="H1382" s="556">
        <f t="shared" si="660"/>
        <v>0</v>
      </c>
      <c r="I1382" s="556"/>
      <c r="J1382" s="556"/>
      <c r="K1382" s="556">
        <f t="shared" si="641"/>
        <v>0</v>
      </c>
      <c r="L1382" s="556"/>
      <c r="M1382" s="556"/>
      <c r="N1382" s="556"/>
      <c r="O1382" s="556"/>
      <c r="P1382" s="182">
        <f>VLOOKUP($B1382,dongia1,DG!$F$5,)</f>
        <v>16000</v>
      </c>
      <c r="Q1382" s="182"/>
      <c r="R1382" s="554"/>
      <c r="S1382" s="113">
        <f t="shared" si="661"/>
        <v>0</v>
      </c>
      <c r="T1382" s="113">
        <f t="shared" si="661"/>
        <v>0</v>
      </c>
      <c r="U1382" s="557">
        <f t="shared" si="661"/>
        <v>0</v>
      </c>
    </row>
    <row r="1383" spans="1:21" s="552" customFormat="1" ht="15" customHeight="1">
      <c r="A1383" s="621"/>
      <c r="B1383" s="622" t="s">
        <v>297</v>
      </c>
      <c r="C1383" s="633" t="str">
        <f t="shared" si="655"/>
        <v xml:space="preserve"> </v>
      </c>
      <c r="D1383" s="553"/>
      <c r="E1383" s="694" t="str">
        <f>VLOOKUP($B1383,dongia1,DG!$C$5,)</f>
        <v>Kẹp 2 rãnh (APC) cỡ dây 185mm2</v>
      </c>
      <c r="F1383" s="555" t="str">
        <f>VLOOKUP($B1383,dongia1,DG!$D$5,)</f>
        <v>cái</v>
      </c>
      <c r="G1383" s="560"/>
      <c r="H1383" s="556">
        <f t="shared" si="660"/>
        <v>0</v>
      </c>
      <c r="I1383" s="556"/>
      <c r="J1383" s="556"/>
      <c r="K1383" s="556">
        <f t="shared" si="641"/>
        <v>0</v>
      </c>
      <c r="L1383" s="556"/>
      <c r="M1383" s="556"/>
      <c r="N1383" s="556"/>
      <c r="O1383" s="556"/>
      <c r="P1383" s="182">
        <f>VLOOKUP($B1383,dongia1,DG!$F$5,)</f>
        <v>19100</v>
      </c>
      <c r="Q1383" s="182"/>
      <c r="R1383" s="554"/>
      <c r="S1383" s="113">
        <f t="shared" si="661"/>
        <v>0</v>
      </c>
      <c r="T1383" s="113">
        <f t="shared" si="661"/>
        <v>0</v>
      </c>
      <c r="U1383" s="557">
        <f t="shared" si="661"/>
        <v>0</v>
      </c>
    </row>
    <row r="1384" spans="1:21" s="552" customFormat="1" ht="15" customHeight="1">
      <c r="A1384" s="621"/>
      <c r="B1384" s="622" t="s">
        <v>1797</v>
      </c>
      <c r="C1384" s="633" t="str">
        <f t="shared" si="655"/>
        <v xml:space="preserve"> </v>
      </c>
      <c r="D1384" s="553"/>
      <c r="E1384" s="694" t="str">
        <f>VLOOKUP($B1384,dongia1,DG!$C$5,)</f>
        <v>Kẹp 2 rãnh (APC) cỡ dây 240 mm2</v>
      </c>
      <c r="F1384" s="555" t="str">
        <f>VLOOKUP($B1384,dongia1,DG!$D$5,)</f>
        <v>cái</v>
      </c>
      <c r="G1384" s="560"/>
      <c r="H1384" s="556">
        <f t="shared" si="660"/>
        <v>0</v>
      </c>
      <c r="I1384" s="556"/>
      <c r="J1384" s="556"/>
      <c r="K1384" s="556">
        <f t="shared" si="641"/>
        <v>0</v>
      </c>
      <c r="L1384" s="556"/>
      <c r="M1384" s="556"/>
      <c r="N1384" s="556"/>
      <c r="O1384" s="556"/>
      <c r="P1384" s="182">
        <f>VLOOKUP($B1384,dongia1,DG!$F$5,)</f>
        <v>19100</v>
      </c>
      <c r="Q1384" s="182"/>
      <c r="R1384" s="554"/>
      <c r="S1384" s="113">
        <f t="shared" si="661"/>
        <v>0</v>
      </c>
      <c r="T1384" s="113">
        <f t="shared" si="661"/>
        <v>0</v>
      </c>
      <c r="U1384" s="557">
        <f t="shared" si="661"/>
        <v>0</v>
      </c>
    </row>
    <row r="1385" spans="1:21">
      <c r="B1385" s="696" t="s">
        <v>75</v>
      </c>
      <c r="C1385" s="697" t="str">
        <f t="shared" si="655"/>
        <v>x</v>
      </c>
      <c r="D1385" s="698"/>
      <c r="E1385" s="699" t="str">
        <f>VLOOKUP($B1385,dongia1,DG!$C$5,)</f>
        <v>Kẹp ép WR cỡ dây 50mm2</v>
      </c>
      <c r="F1385" s="700" t="str">
        <f>VLOOKUP($B1385,dongia1,DG!$D$5,)</f>
        <v>cái</v>
      </c>
      <c r="G1385" s="754">
        <f>pp3p1m!DS10</f>
        <v>4</v>
      </c>
      <c r="H1385" s="701">
        <f t="shared" si="660"/>
        <v>4</v>
      </c>
      <c r="I1385" s="701"/>
      <c r="J1385" s="701"/>
      <c r="K1385" s="701">
        <f t="shared" si="641"/>
        <v>4</v>
      </c>
      <c r="L1385" s="701"/>
      <c r="M1385" s="701"/>
      <c r="N1385" s="701"/>
      <c r="O1385" s="701"/>
      <c r="P1385" s="702">
        <f>VLOOKUP($B1385,dongia1,DG!$F$5,)</f>
        <v>8000</v>
      </c>
      <c r="Q1385" s="702"/>
      <c r="R1385" s="703"/>
      <c r="S1385" s="702">
        <f t="shared" ref="S1385:U1388" si="662">$G1385*P1385</f>
        <v>32000</v>
      </c>
      <c r="T1385" s="702">
        <f t="shared" si="662"/>
        <v>0</v>
      </c>
      <c r="U1385" s="930">
        <f t="shared" si="662"/>
        <v>0</v>
      </c>
    </row>
    <row r="1386" spans="1:21" s="552" customFormat="1" ht="15" customHeight="1">
      <c r="A1386" s="621"/>
      <c r="B1386" s="622" t="s">
        <v>1778</v>
      </c>
      <c r="C1386" s="633" t="str">
        <f t="shared" si="655"/>
        <v xml:space="preserve"> </v>
      </c>
      <c r="D1386" s="553"/>
      <c r="E1386" s="694" t="str">
        <f>VLOOKUP($B1386,dongia1,DG!$C$5,)</f>
        <v>Kẹp ép WR cỡ dây 70mm2</v>
      </c>
      <c r="F1386" s="555" t="str">
        <f>VLOOKUP($B1386,dongia1,DG!$D$5,)</f>
        <v>cái</v>
      </c>
      <c r="G1386" s="560">
        <f>pp3p1m!DT10</f>
        <v>0</v>
      </c>
      <c r="H1386" s="556">
        <f t="shared" si="660"/>
        <v>0</v>
      </c>
      <c r="I1386" s="556"/>
      <c r="J1386" s="556"/>
      <c r="K1386" s="556">
        <f t="shared" si="641"/>
        <v>0</v>
      </c>
      <c r="L1386" s="556"/>
      <c r="M1386" s="556"/>
      <c r="N1386" s="556"/>
      <c r="O1386" s="556"/>
      <c r="P1386" s="182">
        <f>VLOOKUP($B1386,dongia1,DG!$F$5,)</f>
        <v>10000</v>
      </c>
      <c r="Q1386" s="182"/>
      <c r="R1386" s="554"/>
      <c r="S1386" s="113">
        <f t="shared" ref="S1386:U1387" si="663">$G1386*P1386</f>
        <v>0</v>
      </c>
      <c r="T1386" s="113">
        <f t="shared" si="663"/>
        <v>0</v>
      </c>
      <c r="U1386" s="715">
        <f t="shared" si="663"/>
        <v>0</v>
      </c>
    </row>
    <row r="1387" spans="1:21" s="552" customFormat="1" ht="15" customHeight="1">
      <c r="A1387" s="621"/>
      <c r="B1387" s="622" t="s">
        <v>1779</v>
      </c>
      <c r="C1387" s="633" t="str">
        <f t="shared" si="655"/>
        <v>x</v>
      </c>
      <c r="D1387" s="553"/>
      <c r="E1387" s="694" t="str">
        <f>VLOOKUP($B1387,dongia1,DG!$C$5,)</f>
        <v>Kẹp ép WR cỡ dây 95mm2</v>
      </c>
      <c r="F1387" s="555" t="str">
        <f>VLOOKUP($B1387,dongia1,DG!$D$5,)</f>
        <v>cái</v>
      </c>
      <c r="G1387" s="560">
        <f>pp3p1m!DU10</f>
        <v>6</v>
      </c>
      <c r="H1387" s="556">
        <f t="shared" si="660"/>
        <v>6</v>
      </c>
      <c r="I1387" s="556"/>
      <c r="J1387" s="556"/>
      <c r="K1387" s="556">
        <f t="shared" si="641"/>
        <v>6</v>
      </c>
      <c r="L1387" s="556"/>
      <c r="M1387" s="556"/>
      <c r="N1387" s="556"/>
      <c r="O1387" s="556"/>
      <c r="P1387" s="182">
        <f>VLOOKUP($B1387,dongia1,DG!$F$5,)</f>
        <v>13000</v>
      </c>
      <c r="Q1387" s="182"/>
      <c r="R1387" s="554"/>
      <c r="S1387" s="113">
        <f t="shared" si="663"/>
        <v>78000</v>
      </c>
      <c r="T1387" s="113">
        <f t="shared" si="663"/>
        <v>0</v>
      </c>
      <c r="U1387" s="557">
        <f t="shared" si="663"/>
        <v>0</v>
      </c>
    </row>
    <row r="1388" spans="1:21">
      <c r="B1388" s="696" t="s">
        <v>1899</v>
      </c>
      <c r="C1388" s="697"/>
      <c r="D1388" s="698"/>
      <c r="E1388" s="699" t="str">
        <f>VLOOKUP($B1388,dongia1,DG!$C$5,)</f>
        <v>Kẹp ép WR cỡ dây 120mm2</v>
      </c>
      <c r="F1388" s="700" t="str">
        <f>VLOOKUP($B1388,dongia1,DG!$D$5,)</f>
        <v>cái</v>
      </c>
      <c r="G1388" s="754">
        <f>pp3p1m!DV10</f>
        <v>0</v>
      </c>
      <c r="H1388" s="701">
        <f t="shared" si="660"/>
        <v>0</v>
      </c>
      <c r="I1388" s="701"/>
      <c r="J1388" s="701"/>
      <c r="K1388" s="701">
        <f t="shared" ref="K1388:K1453" si="664">G1388</f>
        <v>0</v>
      </c>
      <c r="L1388" s="701"/>
      <c r="M1388" s="701"/>
      <c r="N1388" s="701"/>
      <c r="O1388" s="701"/>
      <c r="P1388" s="702">
        <f>VLOOKUP($B1388,dongia1,DG!$F$5,)</f>
        <v>14000</v>
      </c>
      <c r="Q1388" s="702"/>
      <c r="R1388" s="703"/>
      <c r="S1388" s="702">
        <f t="shared" si="662"/>
        <v>0</v>
      </c>
      <c r="T1388" s="702">
        <f t="shared" si="662"/>
        <v>0</v>
      </c>
      <c r="U1388" s="704">
        <f t="shared" si="662"/>
        <v>0</v>
      </c>
    </row>
    <row r="1389" spans="1:21" s="552" customFormat="1" ht="15" customHeight="1">
      <c r="A1389" s="621"/>
      <c r="B1389" s="622" t="s">
        <v>36</v>
      </c>
      <c r="C1389" s="633" t="str">
        <f t="shared" si="655"/>
        <v xml:space="preserve"> </v>
      </c>
      <c r="D1389" s="553"/>
      <c r="E1389" s="694" t="str">
        <f>VLOOKUP($B1389,dongia1,DG!$C$5,)</f>
        <v>Kẹp ép WR cỡ dây 150mm2</v>
      </c>
      <c r="F1389" s="555" t="str">
        <f>VLOOKUP($B1389,dongia1,DG!$D$5,)</f>
        <v>cái</v>
      </c>
      <c r="G1389" s="560">
        <f>pp3p1m!DW10</f>
        <v>0</v>
      </c>
      <c r="H1389" s="556">
        <f t="shared" si="660"/>
        <v>0</v>
      </c>
      <c r="I1389" s="556"/>
      <c r="J1389" s="556"/>
      <c r="K1389" s="556">
        <f t="shared" si="664"/>
        <v>0</v>
      </c>
      <c r="L1389" s="556"/>
      <c r="M1389" s="556"/>
      <c r="N1389" s="556"/>
      <c r="O1389" s="556"/>
      <c r="P1389" s="182">
        <f>VLOOKUP($B1389,dongia1,DG!$F$5,)</f>
        <v>18000</v>
      </c>
      <c r="Q1389" s="182"/>
      <c r="R1389" s="554"/>
      <c r="S1389" s="113">
        <f t="shared" ref="S1389:U1392" si="665">$G1389*P1389</f>
        <v>0</v>
      </c>
      <c r="T1389" s="113">
        <f t="shared" si="665"/>
        <v>0</v>
      </c>
      <c r="U1389" s="557">
        <f t="shared" si="665"/>
        <v>0</v>
      </c>
    </row>
    <row r="1390" spans="1:21">
      <c r="B1390" s="696" t="s">
        <v>1699</v>
      </c>
      <c r="C1390" s="697" t="str">
        <f t="shared" si="655"/>
        <v xml:space="preserve"> </v>
      </c>
      <c r="D1390" s="698"/>
      <c r="E1390" s="699" t="str">
        <f>VLOOKUP($B1390,dongia1,DG!$C$5,)</f>
        <v>Kẹp ép WR cỡ dây 185mm2</v>
      </c>
      <c r="F1390" s="700" t="str">
        <f>VLOOKUP($B1390,dongia1,DG!$D$5,)</f>
        <v>cái</v>
      </c>
      <c r="G1390" s="754">
        <f>pp3p1m!DX10</f>
        <v>0</v>
      </c>
      <c r="H1390" s="701">
        <f t="shared" si="660"/>
        <v>0</v>
      </c>
      <c r="I1390" s="701"/>
      <c r="J1390" s="701"/>
      <c r="K1390" s="701">
        <f t="shared" si="664"/>
        <v>0</v>
      </c>
      <c r="L1390" s="701"/>
      <c r="M1390" s="701"/>
      <c r="N1390" s="701"/>
      <c r="O1390" s="701"/>
      <c r="P1390" s="702">
        <f>VLOOKUP($B1390,dongia1,DG!$F$5,)</f>
        <v>18000</v>
      </c>
      <c r="Q1390" s="702"/>
      <c r="R1390" s="703"/>
      <c r="S1390" s="702">
        <f t="shared" si="665"/>
        <v>0</v>
      </c>
      <c r="T1390" s="702">
        <f t="shared" si="665"/>
        <v>0</v>
      </c>
      <c r="U1390" s="704">
        <f t="shared" si="665"/>
        <v>0</v>
      </c>
    </row>
    <row r="1391" spans="1:21">
      <c r="B1391" s="696" t="s">
        <v>55</v>
      </c>
      <c r="C1391" s="697" t="str">
        <f t="shared" si="655"/>
        <v xml:space="preserve"> </v>
      </c>
      <c r="D1391" s="698"/>
      <c r="E1391" s="699" t="str">
        <f>VLOOKUP($B1391,dongia1,DG!$C$5,)</f>
        <v>Kẹp ép WR cỡ dây 240mm2</v>
      </c>
      <c r="F1391" s="700" t="str">
        <f>VLOOKUP($B1391,dongia1,DG!$D$5,)</f>
        <v>cái</v>
      </c>
      <c r="G1391" s="754">
        <f>pp3p1m!DY10</f>
        <v>0</v>
      </c>
      <c r="H1391" s="701">
        <f t="shared" si="660"/>
        <v>0</v>
      </c>
      <c r="I1391" s="701"/>
      <c r="J1391" s="701"/>
      <c r="K1391" s="701">
        <f t="shared" si="664"/>
        <v>0</v>
      </c>
      <c r="L1391" s="701"/>
      <c r="M1391" s="701"/>
      <c r="N1391" s="701"/>
      <c r="O1391" s="701"/>
      <c r="P1391" s="702">
        <f>VLOOKUP($B1391,dongia1,DG!$F$5,)</f>
        <v>40000</v>
      </c>
      <c r="Q1391" s="702"/>
      <c r="R1391" s="703"/>
      <c r="S1391" s="702">
        <f t="shared" si="665"/>
        <v>0</v>
      </c>
      <c r="T1391" s="702">
        <f t="shared" si="665"/>
        <v>0</v>
      </c>
      <c r="U1391" s="704">
        <f t="shared" si="665"/>
        <v>0</v>
      </c>
    </row>
    <row r="1392" spans="1:21" s="552" customFormat="1" ht="15" customHeight="1">
      <c r="A1392" s="621"/>
      <c r="B1392" s="622" t="s">
        <v>2057</v>
      </c>
      <c r="C1392" s="633" t="str">
        <f t="shared" si="655"/>
        <v>x</v>
      </c>
      <c r="D1392" s="553"/>
      <c r="E1392" s="694" t="str">
        <f>VLOOKUP($B1392,dongia1,DG!$C$5,)</f>
        <v>Đầu cosse ép Cu-Al 50mm2</v>
      </c>
      <c r="F1392" s="555" t="str">
        <f>VLOOKUP($B1392,dongia1,DG!$D$5,)</f>
        <v>cái</v>
      </c>
      <c r="G1392" s="560">
        <f>pp3p1m!DZ10</f>
        <v>6</v>
      </c>
      <c r="H1392" s="556">
        <f>$G1392</f>
        <v>6</v>
      </c>
      <c r="I1392" s="556"/>
      <c r="J1392" s="556"/>
      <c r="K1392" s="556">
        <f t="shared" si="664"/>
        <v>6</v>
      </c>
      <c r="L1392" s="556"/>
      <c r="M1392" s="556"/>
      <c r="N1392" s="556"/>
      <c r="O1392" s="556"/>
      <c r="P1392" s="182">
        <f>VLOOKUP($B1392,dongia1,DG!$F$5,)</f>
        <v>26000</v>
      </c>
      <c r="Q1392" s="182">
        <f>VLOOKUP($B1392,dongia1,DG!$G$5,)</f>
        <v>10608.955000000002</v>
      </c>
      <c r="R1392" s="554"/>
      <c r="S1392" s="113">
        <f t="shared" si="665"/>
        <v>156000</v>
      </c>
      <c r="T1392" s="113">
        <f t="shared" si="665"/>
        <v>63653.73000000001</v>
      </c>
      <c r="U1392" s="557">
        <f t="shared" si="665"/>
        <v>0</v>
      </c>
    </row>
    <row r="1393" spans="1:21" s="552" customFormat="1" ht="15" customHeight="1">
      <c r="A1393" s="621"/>
      <c r="B1393" s="622" t="s">
        <v>4197</v>
      </c>
      <c r="C1393" s="633" t="str">
        <f t="shared" si="655"/>
        <v xml:space="preserve"> </v>
      </c>
      <c r="D1393" s="553"/>
      <c r="E1393" s="694" t="str">
        <f>VLOOKUP($B1393,dongia1,DG!$C$5,)</f>
        <v>Đầu cosse ép Cu 70mm2</v>
      </c>
      <c r="F1393" s="555" t="str">
        <f>VLOOKUP($B1393,dongia1,DG!$D$5,)</f>
        <v>cái</v>
      </c>
      <c r="G1393" s="560">
        <f>pp3p1m!EA10</f>
        <v>0</v>
      </c>
      <c r="H1393" s="556">
        <f>$G1393</f>
        <v>0</v>
      </c>
      <c r="I1393" s="556"/>
      <c r="J1393" s="556"/>
      <c r="K1393" s="556">
        <f t="shared" si="664"/>
        <v>0</v>
      </c>
      <c r="L1393" s="556"/>
      <c r="M1393" s="556"/>
      <c r="N1393" s="556"/>
      <c r="O1393" s="556"/>
      <c r="P1393" s="182">
        <f>VLOOKUP($B1393,dongia1,DG!$F$5,)</f>
        <v>14000</v>
      </c>
      <c r="Q1393" s="182">
        <f>VLOOKUP($B1393,dongia1,DG!$G$5,)</f>
        <v>16671.215</v>
      </c>
      <c r="R1393" s="554"/>
      <c r="S1393" s="113">
        <f t="shared" ref="S1393:S1413" si="666">$G1393*P1393</f>
        <v>0</v>
      </c>
      <c r="T1393" s="113">
        <f t="shared" ref="T1393:T1413" si="667">$G1393*Q1393</f>
        <v>0</v>
      </c>
      <c r="U1393" s="557">
        <f t="shared" ref="U1393:U1413" si="668">$G1393*R1393</f>
        <v>0</v>
      </c>
    </row>
    <row r="1394" spans="1:21" s="552" customFormat="1" ht="15" customHeight="1">
      <c r="A1394" s="621"/>
      <c r="B1394" s="622" t="s">
        <v>4198</v>
      </c>
      <c r="C1394" s="633" t="str">
        <f t="shared" si="655"/>
        <v xml:space="preserve"> </v>
      </c>
      <c r="D1394" s="553"/>
      <c r="E1394" s="694" t="str">
        <f>VLOOKUP($B1394,dongia1,DG!$C$5,)</f>
        <v>Đầu cosse ép Cu 95mm2</v>
      </c>
      <c r="F1394" s="555" t="str">
        <f>VLOOKUP($B1394,dongia1,DG!$D$5,)</f>
        <v>cái</v>
      </c>
      <c r="G1394" s="560">
        <f>pp3p1m!EB10</f>
        <v>0</v>
      </c>
      <c r="H1394" s="556">
        <f t="shared" si="660"/>
        <v>0</v>
      </c>
      <c r="I1394" s="556"/>
      <c r="J1394" s="556"/>
      <c r="K1394" s="556">
        <f t="shared" si="664"/>
        <v>0</v>
      </c>
      <c r="L1394" s="556"/>
      <c r="M1394" s="556"/>
      <c r="N1394" s="556"/>
      <c r="O1394" s="556"/>
      <c r="P1394" s="182">
        <f>VLOOKUP($B1394,dongia1,DG!$F$5,)</f>
        <v>21000</v>
      </c>
      <c r="Q1394" s="182">
        <f>VLOOKUP($B1394,dongia1,DG!$G$5,)</f>
        <v>21217.910000000003</v>
      </c>
      <c r="R1394" s="554"/>
      <c r="S1394" s="113">
        <f t="shared" si="666"/>
        <v>0</v>
      </c>
      <c r="T1394" s="113">
        <f t="shared" si="667"/>
        <v>0</v>
      </c>
      <c r="U1394" s="557">
        <f t="shared" si="668"/>
        <v>0</v>
      </c>
    </row>
    <row r="1395" spans="1:21" s="552" customFormat="1" ht="15" customHeight="1">
      <c r="A1395" s="621"/>
      <c r="B1395" s="622" t="s">
        <v>4199</v>
      </c>
      <c r="C1395" s="633" t="str">
        <f t="shared" si="655"/>
        <v xml:space="preserve"> </v>
      </c>
      <c r="D1395" s="553"/>
      <c r="E1395" s="694" t="str">
        <f>VLOOKUP($B1395,dongia1,DG!$C$5,)</f>
        <v>Đầu cosse ép Cu 120mm2</v>
      </c>
      <c r="F1395" s="555" t="str">
        <f>VLOOKUP($B1395,dongia1,DG!$D$5,)</f>
        <v>cái</v>
      </c>
      <c r="G1395" s="560">
        <f>pp3p1m!EC10</f>
        <v>0</v>
      </c>
      <c r="H1395" s="556">
        <f t="shared" si="660"/>
        <v>0</v>
      </c>
      <c r="I1395" s="556"/>
      <c r="J1395" s="556"/>
      <c r="K1395" s="556">
        <f t="shared" si="664"/>
        <v>0</v>
      </c>
      <c r="L1395" s="556"/>
      <c r="M1395" s="556"/>
      <c r="N1395" s="556"/>
      <c r="O1395" s="556"/>
      <c r="P1395" s="182">
        <f>VLOOKUP($B1395,dongia1,DG!$F$5,)</f>
        <v>27000</v>
      </c>
      <c r="Q1395" s="182">
        <f>VLOOKUP($B1395,dongia1,DG!$G$5,)</f>
        <v>27280.17</v>
      </c>
      <c r="R1395" s="554"/>
      <c r="S1395" s="113">
        <f t="shared" si="666"/>
        <v>0</v>
      </c>
      <c r="T1395" s="113">
        <f t="shared" si="667"/>
        <v>0</v>
      </c>
      <c r="U1395" s="557">
        <f t="shared" si="668"/>
        <v>0</v>
      </c>
    </row>
    <row r="1396" spans="1:21" s="552" customFormat="1" ht="15" customHeight="1">
      <c r="A1396" s="621"/>
      <c r="B1396" s="622" t="s">
        <v>4200</v>
      </c>
      <c r="C1396" s="633" t="str">
        <f t="shared" si="655"/>
        <v xml:space="preserve"> </v>
      </c>
      <c r="D1396" s="553"/>
      <c r="E1396" s="694" t="str">
        <f>VLOOKUP($B1396,dongia1,DG!$C$5,)</f>
        <v>Đầu cosse ép Cu 150mm2</v>
      </c>
      <c r="F1396" s="555" t="str">
        <f>VLOOKUP($B1396,dongia1,DG!$D$5,)</f>
        <v>cái</v>
      </c>
      <c r="G1396" s="560">
        <f>pp3p1m!ED10</f>
        <v>0</v>
      </c>
      <c r="H1396" s="556">
        <f t="shared" si="660"/>
        <v>0</v>
      </c>
      <c r="I1396" s="556"/>
      <c r="J1396" s="556"/>
      <c r="K1396" s="556">
        <f t="shared" si="664"/>
        <v>0</v>
      </c>
      <c r="L1396" s="556"/>
      <c r="M1396" s="556"/>
      <c r="N1396" s="556"/>
      <c r="O1396" s="556"/>
      <c r="P1396" s="182">
        <f>VLOOKUP($B1396,dongia1,DG!$F$5,)</f>
        <v>36000</v>
      </c>
      <c r="Q1396" s="182">
        <f>VLOOKUP($B1396,dongia1,DG!$G$5,)</f>
        <v>33342.43</v>
      </c>
      <c r="R1396" s="554"/>
      <c r="S1396" s="113">
        <f t="shared" si="666"/>
        <v>0</v>
      </c>
      <c r="T1396" s="113">
        <f t="shared" si="667"/>
        <v>0</v>
      </c>
      <c r="U1396" s="557">
        <f t="shared" si="668"/>
        <v>0</v>
      </c>
    </row>
    <row r="1397" spans="1:21" s="552" customFormat="1" ht="15" customHeight="1">
      <c r="A1397" s="621"/>
      <c r="B1397" s="622" t="s">
        <v>4201</v>
      </c>
      <c r="C1397" s="633" t="str">
        <f t="shared" si="655"/>
        <v xml:space="preserve"> </v>
      </c>
      <c r="D1397" s="553"/>
      <c r="E1397" s="694" t="str">
        <f>VLOOKUP($B1397,dongia1,DG!$C$5,)</f>
        <v>Đầu cosse ép Cu 185mm2</v>
      </c>
      <c r="F1397" s="555" t="str">
        <f>VLOOKUP($B1397,dongia1,DG!$D$5,)</f>
        <v>cái</v>
      </c>
      <c r="G1397" s="560">
        <f>pp3p1m!EE10</f>
        <v>0</v>
      </c>
      <c r="H1397" s="556">
        <f t="shared" si="660"/>
        <v>0</v>
      </c>
      <c r="I1397" s="556"/>
      <c r="J1397" s="556"/>
      <c r="K1397" s="556">
        <f t="shared" si="664"/>
        <v>0</v>
      </c>
      <c r="L1397" s="556"/>
      <c r="M1397" s="556"/>
      <c r="N1397" s="556"/>
      <c r="O1397" s="556"/>
      <c r="P1397" s="182">
        <f>VLOOKUP($B1397,dongia1,DG!$F$5,)</f>
        <v>51000</v>
      </c>
      <c r="Q1397" s="182">
        <f>VLOOKUP($B1397,dongia1,DG!$G$5,)</f>
        <v>40010.916000000005</v>
      </c>
      <c r="R1397" s="554"/>
      <c r="S1397" s="113">
        <f t="shared" si="666"/>
        <v>0</v>
      </c>
      <c r="T1397" s="113">
        <f t="shared" si="667"/>
        <v>0</v>
      </c>
      <c r="U1397" s="557">
        <f t="shared" si="668"/>
        <v>0</v>
      </c>
    </row>
    <row r="1398" spans="1:21">
      <c r="B1398" s="696" t="s">
        <v>76</v>
      </c>
      <c r="C1398" s="697" t="str">
        <f t="shared" si="655"/>
        <v xml:space="preserve"> </v>
      </c>
      <c r="D1398" s="698"/>
      <c r="E1398" s="699" t="str">
        <f>VLOOKUP($B1398,dongia1,DG!$C$5,)</f>
        <v>Đầu cosse ép Cu-Al 50mm2</v>
      </c>
      <c r="F1398" s="700" t="str">
        <f>VLOOKUP($B1398,dongia1,DG!$D$5,)</f>
        <v>cái</v>
      </c>
      <c r="G1398" s="754"/>
      <c r="H1398" s="701">
        <f t="shared" si="660"/>
        <v>0</v>
      </c>
      <c r="I1398" s="701"/>
      <c r="J1398" s="701"/>
      <c r="K1398" s="701">
        <f t="shared" si="664"/>
        <v>0</v>
      </c>
      <c r="L1398" s="701"/>
      <c r="M1398" s="701"/>
      <c r="N1398" s="701"/>
      <c r="O1398" s="701"/>
      <c r="P1398" s="702">
        <f>VLOOKUP($B1398,dongia1,DG!$F$5,)</f>
        <v>26000</v>
      </c>
      <c r="Q1398" s="702">
        <f>VLOOKUP($B1398,dongia1,DG!$G$5,)</f>
        <v>10608.955000000002</v>
      </c>
      <c r="R1398" s="702">
        <f>VLOOKUP($B1398,dongia1,DG!$H$5,)</f>
        <v>2777.0232475000003</v>
      </c>
      <c r="S1398" s="702">
        <f t="shared" si="666"/>
        <v>0</v>
      </c>
      <c r="T1398" s="702">
        <f t="shared" si="667"/>
        <v>0</v>
      </c>
      <c r="U1398" s="930">
        <f t="shared" si="668"/>
        <v>0</v>
      </c>
    </row>
    <row r="1399" spans="1:21" s="552" customFormat="1" ht="15" customHeight="1">
      <c r="A1399" s="621"/>
      <c r="B1399" s="622" t="s">
        <v>619</v>
      </c>
      <c r="C1399" s="633" t="str">
        <f t="shared" si="655"/>
        <v xml:space="preserve"> </v>
      </c>
      <c r="D1399" s="553"/>
      <c r="E1399" s="694" t="str">
        <f>VLOOKUP($B1399,dongia1,DG!$C$5,)</f>
        <v>Boulon 12x30+ 2 long đền vuông D14-50x50x3/Zn</v>
      </c>
      <c r="F1399" s="555" t="str">
        <f>VLOOKUP($B1399,dongia1,DG!$D$5,)</f>
        <v>bộ</v>
      </c>
      <c r="G1399" s="560"/>
      <c r="H1399" s="556">
        <f t="shared" si="660"/>
        <v>0</v>
      </c>
      <c r="I1399" s="556"/>
      <c r="J1399" s="556"/>
      <c r="K1399" s="556">
        <f t="shared" si="664"/>
        <v>0</v>
      </c>
      <c r="L1399" s="556"/>
      <c r="M1399" s="556"/>
      <c r="N1399" s="556"/>
      <c r="O1399" s="556"/>
      <c r="P1399" s="182">
        <f>VLOOKUP($B1399,dongia1,DG!$F$5,)</f>
        <v>8200</v>
      </c>
      <c r="Q1399" s="182">
        <f>VLOOKUP($B1399,dongia1,DG!$G$5,)</f>
        <v>0</v>
      </c>
      <c r="R1399" s="554"/>
      <c r="S1399" s="113">
        <f t="shared" ref="S1399:U1401" si="669">$G1399*P1399</f>
        <v>0</v>
      </c>
      <c r="T1399" s="113">
        <f t="shared" si="669"/>
        <v>0</v>
      </c>
      <c r="U1399" s="715">
        <f t="shared" si="669"/>
        <v>0</v>
      </c>
    </row>
    <row r="1400" spans="1:21">
      <c r="B1400" s="696" t="s">
        <v>1080</v>
      </c>
      <c r="C1400" s="697" t="str">
        <f>IF(G1400&lt;&gt;0,$C$2263," ")</f>
        <v xml:space="preserve">x </v>
      </c>
      <c r="D1400" s="698"/>
      <c r="E1400" s="699" t="str">
        <f>VLOOKUP($B1400,dongia1,DG!$C$5,)</f>
        <v>Bass LI bắt FCO</v>
      </c>
      <c r="F1400" s="700" t="str">
        <f>VLOOKUP($B1400,dongia1,DG!$D$5,)</f>
        <v>Bộ</v>
      </c>
      <c r="G1400" s="762">
        <f>G2265+G2266</f>
        <v>3</v>
      </c>
      <c r="H1400" s="701">
        <f>$G1400</f>
        <v>3</v>
      </c>
      <c r="I1400" s="701"/>
      <c r="J1400" s="701"/>
      <c r="K1400" s="701">
        <f t="shared" si="664"/>
        <v>3</v>
      </c>
      <c r="L1400" s="701"/>
      <c r="M1400" s="701"/>
      <c r="N1400" s="701"/>
      <c r="O1400" s="701"/>
      <c r="P1400" s="702">
        <f>VLOOKUP($B1400,dongia1,DG!$F$5,)</f>
        <v>34000</v>
      </c>
      <c r="Q1400" s="702"/>
      <c r="R1400" s="703"/>
      <c r="S1400" s="702">
        <f t="shared" si="669"/>
        <v>102000</v>
      </c>
      <c r="T1400" s="702">
        <f t="shared" si="669"/>
        <v>0</v>
      </c>
      <c r="U1400" s="930">
        <f t="shared" si="669"/>
        <v>0</v>
      </c>
    </row>
    <row r="1401" spans="1:21" s="552" customFormat="1" ht="15" customHeight="1">
      <c r="A1401" s="621"/>
      <c r="B1401" s="622" t="s">
        <v>528</v>
      </c>
      <c r="C1401" s="633" t="str">
        <f>IF(G1401&lt;&gt;0,$C$2263," ")</f>
        <v xml:space="preserve">x </v>
      </c>
      <c r="D1401" s="553"/>
      <c r="E1401" s="694" t="str">
        <f>VLOOKUP($B1401,dongia1,DG!$C$5,)</f>
        <v>Bass LI bắt LA</v>
      </c>
      <c r="F1401" s="555" t="str">
        <f>VLOOKUP($B1401,dongia1,DG!$D$5,)</f>
        <v>Bộ</v>
      </c>
      <c r="G1401" s="205">
        <f>G2275</f>
        <v>3</v>
      </c>
      <c r="H1401" s="556">
        <f>$G1401</f>
        <v>3</v>
      </c>
      <c r="I1401" s="556"/>
      <c r="J1401" s="556"/>
      <c r="K1401" s="556">
        <f t="shared" si="664"/>
        <v>3</v>
      </c>
      <c r="L1401" s="556"/>
      <c r="M1401" s="556"/>
      <c r="N1401" s="556"/>
      <c r="O1401" s="556"/>
      <c r="P1401" s="182">
        <f>VLOOKUP($B1401,dongia1,DG!$F$5,)</f>
        <v>34000</v>
      </c>
      <c r="Q1401" s="182"/>
      <c r="R1401" s="554"/>
      <c r="S1401" s="113">
        <f t="shared" si="669"/>
        <v>102000</v>
      </c>
      <c r="T1401" s="113">
        <f t="shared" si="669"/>
        <v>0</v>
      </c>
      <c r="U1401" s="715">
        <f t="shared" si="669"/>
        <v>0</v>
      </c>
    </row>
    <row r="1402" spans="1:21" s="552" customFormat="1" ht="15" customHeight="1">
      <c r="A1402" s="621"/>
      <c r="B1402" s="622" t="s">
        <v>2028</v>
      </c>
      <c r="C1402" s="633"/>
      <c r="D1402" s="553"/>
      <c r="E1402" s="694" t="str">
        <f>VLOOKUP($B1402,dongia1,DG!$C$5,)</f>
        <v>Kẹp quai 2/0</v>
      </c>
      <c r="F1402" s="555" t="str">
        <f>VLOOKUP($B1402,dongia1,DG!$D$5,)</f>
        <v>cái</v>
      </c>
      <c r="G1402" s="560">
        <f>pp3p1m!DN10</f>
        <v>0</v>
      </c>
      <c r="H1402" s="556">
        <f t="shared" si="660"/>
        <v>0</v>
      </c>
      <c r="I1402" s="556"/>
      <c r="J1402" s="556"/>
      <c r="K1402" s="556">
        <f t="shared" si="664"/>
        <v>0</v>
      </c>
      <c r="L1402" s="556"/>
      <c r="M1402" s="556"/>
      <c r="N1402" s="556"/>
      <c r="O1402" s="556"/>
      <c r="P1402" s="182">
        <f>VLOOKUP($B1402,dongia1,DG!$F$5,)</f>
        <v>46000</v>
      </c>
      <c r="Q1402" s="182"/>
      <c r="R1402" s="554"/>
      <c r="S1402" s="113">
        <f t="shared" si="666"/>
        <v>0</v>
      </c>
      <c r="T1402" s="113">
        <f t="shared" si="667"/>
        <v>0</v>
      </c>
      <c r="U1402" s="557">
        <f t="shared" si="668"/>
        <v>0</v>
      </c>
    </row>
    <row r="1403" spans="1:21" s="552" customFormat="1" ht="15" customHeight="1">
      <c r="A1403" s="621"/>
      <c r="B1403" s="622" t="s">
        <v>898</v>
      </c>
      <c r="C1403" s="633" t="str">
        <f>IF(G1403&lt;&gt;0,$C$1248," ")</f>
        <v xml:space="preserve"> </v>
      </c>
      <c r="D1403" s="553"/>
      <c r="E1403" s="694" t="str">
        <f>VLOOKUP($B1403,dongia1,DG!$C$5,)</f>
        <v>Kẹp quai 4/0</v>
      </c>
      <c r="F1403" s="555" t="str">
        <f>VLOOKUP($B1403,dongia1,DG!$D$5,)</f>
        <v>cái</v>
      </c>
      <c r="G1403" s="205">
        <f>pp3p1m!DP10</f>
        <v>0</v>
      </c>
      <c r="H1403" s="556">
        <f t="shared" si="660"/>
        <v>0</v>
      </c>
      <c r="I1403" s="556"/>
      <c r="J1403" s="556"/>
      <c r="K1403" s="556">
        <f t="shared" si="664"/>
        <v>0</v>
      </c>
      <c r="L1403" s="556"/>
      <c r="M1403" s="556"/>
      <c r="N1403" s="556"/>
      <c r="O1403" s="556"/>
      <c r="P1403" s="182">
        <f>VLOOKUP($B1403,dongia1,DG!$F$5,)</f>
        <v>78000</v>
      </c>
      <c r="Q1403" s="182"/>
      <c r="R1403" s="554"/>
      <c r="S1403" s="113">
        <f t="shared" si="666"/>
        <v>0</v>
      </c>
      <c r="T1403" s="113">
        <f t="shared" si="667"/>
        <v>0</v>
      </c>
      <c r="U1403" s="557">
        <f t="shared" si="668"/>
        <v>0</v>
      </c>
    </row>
    <row r="1404" spans="1:21" s="552" customFormat="1" ht="15" customHeight="1">
      <c r="A1404" s="621"/>
      <c r="B1404" s="622" t="s">
        <v>2026</v>
      </c>
      <c r="C1404" s="633"/>
      <c r="D1404" s="553"/>
      <c r="E1404" s="694" t="str">
        <f>VLOOKUP($B1404,dongia1,DG!$C$5,)</f>
        <v>Kẹp hotline 2/0</v>
      </c>
      <c r="F1404" s="555" t="str">
        <f>VLOOKUP($B1404,dongia1,DG!$D$5,)</f>
        <v>cái</v>
      </c>
      <c r="G1404" s="205">
        <f>pp3p1m!DO10</f>
        <v>0</v>
      </c>
      <c r="H1404" s="556">
        <f t="shared" si="660"/>
        <v>0</v>
      </c>
      <c r="I1404" s="556"/>
      <c r="J1404" s="556"/>
      <c r="K1404" s="556">
        <f t="shared" si="664"/>
        <v>0</v>
      </c>
      <c r="L1404" s="556"/>
      <c r="M1404" s="556"/>
      <c r="N1404" s="556"/>
      <c r="O1404" s="556"/>
      <c r="P1404" s="182">
        <f>VLOOKUP($B1404,dongia1,DG!$F$5,)</f>
        <v>77000</v>
      </c>
      <c r="Q1404" s="182"/>
      <c r="R1404" s="554"/>
      <c r="S1404" s="113">
        <f t="shared" si="666"/>
        <v>0</v>
      </c>
      <c r="T1404" s="113">
        <f t="shared" si="667"/>
        <v>0</v>
      </c>
      <c r="U1404" s="557">
        <f t="shared" si="668"/>
        <v>0</v>
      </c>
    </row>
    <row r="1405" spans="1:21" s="552" customFormat="1" ht="15" customHeight="1">
      <c r="A1405" s="621"/>
      <c r="B1405" s="622" t="s">
        <v>968</v>
      </c>
      <c r="C1405" s="633" t="str">
        <f>IF(G1405&lt;&gt;0,$C$1248," ")</f>
        <v xml:space="preserve"> </v>
      </c>
      <c r="D1405" s="553"/>
      <c r="E1405" s="694" t="str">
        <f>VLOOKUP($B1405,dongia1,DG!$C$5,)</f>
        <v>Kẹp hotline 4/0</v>
      </c>
      <c r="F1405" s="555" t="str">
        <f>VLOOKUP($B1405,dongia1,DG!$D$5,)</f>
        <v>cái</v>
      </c>
      <c r="G1405" s="560">
        <f>pp3p1m!DQ10</f>
        <v>0</v>
      </c>
      <c r="H1405" s="556">
        <f t="shared" ref="H1405:H1430" si="670">$G1405</f>
        <v>0</v>
      </c>
      <c r="I1405" s="556"/>
      <c r="J1405" s="556"/>
      <c r="K1405" s="556">
        <f t="shared" si="664"/>
        <v>0</v>
      </c>
      <c r="L1405" s="556"/>
      <c r="M1405" s="556"/>
      <c r="N1405" s="556"/>
      <c r="O1405" s="556"/>
      <c r="P1405" s="182">
        <f>VLOOKUP($B1405,dongia1,DG!$F$5,)</f>
        <v>112000</v>
      </c>
      <c r="Q1405" s="182"/>
      <c r="R1405" s="554"/>
      <c r="S1405" s="113">
        <f t="shared" si="666"/>
        <v>0</v>
      </c>
      <c r="T1405" s="113">
        <f t="shared" si="667"/>
        <v>0</v>
      </c>
      <c r="U1405" s="557">
        <f t="shared" si="668"/>
        <v>0</v>
      </c>
    </row>
    <row r="1406" spans="1:21" s="552" customFormat="1" ht="15" customHeight="1">
      <c r="A1406" s="621"/>
      <c r="B1406" s="761" t="s">
        <v>4765</v>
      </c>
      <c r="C1406" s="633" t="str">
        <f>IF(G1406&lt;&gt;0,$C$2263," ")</f>
        <v xml:space="preserve"> </v>
      </c>
      <c r="D1406" s="553"/>
      <c r="E1406" s="694" t="str">
        <f>VLOOKUP($B1406,dongia1,DG!$C$5,)</f>
        <v>Chụp cách điện kẹp quai</v>
      </c>
      <c r="F1406" s="555" t="str">
        <f>VLOOKUP($B1406,dongia1,DG!$D$5,)</f>
        <v>Cái</v>
      </c>
      <c r="G1406" s="205">
        <f>pp3p1m!DR10</f>
        <v>0</v>
      </c>
      <c r="H1406" s="556">
        <f t="shared" si="670"/>
        <v>0</v>
      </c>
      <c r="I1406" s="556"/>
      <c r="J1406" s="556"/>
      <c r="K1406" s="556">
        <f>G1406</f>
        <v>0</v>
      </c>
      <c r="L1406" s="556"/>
      <c r="M1406" s="556"/>
      <c r="N1406" s="556"/>
      <c r="O1406" s="556"/>
      <c r="P1406" s="182">
        <f>VLOOKUP($B1406,dongia1,DG!$F$5,)</f>
        <v>136800</v>
      </c>
      <c r="Q1406" s="182"/>
      <c r="R1406" s="554"/>
      <c r="S1406" s="113">
        <f t="shared" ref="S1406:U1408" si="671">$G1406*P1406</f>
        <v>0</v>
      </c>
      <c r="T1406" s="113">
        <f t="shared" si="671"/>
        <v>0</v>
      </c>
      <c r="U1406" s="557">
        <f t="shared" si="671"/>
        <v>0</v>
      </c>
    </row>
    <row r="1407" spans="1:21" s="552" customFormat="1" ht="15" customHeight="1">
      <c r="A1407" s="621"/>
      <c r="B1407" s="16" t="s">
        <v>4908</v>
      </c>
      <c r="C1407" s="633" t="str">
        <f>IF(G1407&lt;&gt;0,$C$2263," ")</f>
        <v xml:space="preserve">x </v>
      </c>
      <c r="D1407" s="553"/>
      <c r="E1407" s="694" t="str">
        <f>VLOOKUP($B1407,dongia1,DG!$C$5,)</f>
        <v>Cáp 24KV C/XLPE- 50mm2</v>
      </c>
      <c r="F1407" s="555" t="str">
        <f>VLOOKUP($B1407,dongia1,DG!$D$5,)</f>
        <v>mét</v>
      </c>
      <c r="G1407" s="205">
        <v>9</v>
      </c>
      <c r="H1407" s="556">
        <f t="shared" si="670"/>
        <v>9</v>
      </c>
      <c r="I1407" s="556"/>
      <c r="J1407" s="556"/>
      <c r="K1407" s="556">
        <f>G1407</f>
        <v>9</v>
      </c>
      <c r="L1407" s="556"/>
      <c r="M1407" s="556"/>
      <c r="N1407" s="556"/>
      <c r="O1407" s="556"/>
      <c r="P1407" s="182">
        <f>VLOOKUP($B1407,dongia1,DG!$F$5,)</f>
        <v>149500</v>
      </c>
      <c r="Q1407" s="182"/>
      <c r="R1407" s="554"/>
      <c r="S1407" s="113">
        <f t="shared" si="671"/>
        <v>1345500</v>
      </c>
      <c r="T1407" s="113">
        <f t="shared" si="671"/>
        <v>0</v>
      </c>
      <c r="U1407" s="557">
        <f t="shared" si="671"/>
        <v>0</v>
      </c>
    </row>
    <row r="1408" spans="1:21">
      <c r="B1408" s="761" t="s">
        <v>2144</v>
      </c>
      <c r="C1408" s="697" t="str">
        <f>IF(G1408&lt;&gt;0,$C$2263," ")</f>
        <v xml:space="preserve">x </v>
      </c>
      <c r="D1408" s="698"/>
      <c r="E1408" s="699" t="str">
        <f>VLOOKUP($B1408,dongia1,DG!$C$5,)</f>
        <v>Nắp che đầu cực FCO</v>
      </c>
      <c r="F1408" s="700" t="str">
        <f>VLOOKUP($B1408,dongia1,DG!$D$5,)</f>
        <v>cái</v>
      </c>
      <c r="G1408" s="762">
        <f>G1400</f>
        <v>3</v>
      </c>
      <c r="H1408" s="701">
        <f t="shared" si="670"/>
        <v>3</v>
      </c>
      <c r="I1408" s="701"/>
      <c r="J1408" s="701"/>
      <c r="K1408" s="701">
        <f t="shared" si="664"/>
        <v>3</v>
      </c>
      <c r="L1408" s="701"/>
      <c r="M1408" s="701"/>
      <c r="N1408" s="701"/>
      <c r="O1408" s="701"/>
      <c r="P1408" s="702">
        <f>VLOOKUP($B1408,dongia1,DG!$F$5,)</f>
        <v>218200</v>
      </c>
      <c r="Q1408" s="702"/>
      <c r="R1408" s="703"/>
      <c r="S1408" s="702">
        <f t="shared" si="666"/>
        <v>654600</v>
      </c>
      <c r="T1408" s="113">
        <f t="shared" si="671"/>
        <v>0</v>
      </c>
      <c r="U1408" s="557">
        <f t="shared" si="671"/>
        <v>0</v>
      </c>
    </row>
    <row r="1409" spans="1:21" s="552" customFormat="1" ht="15" customHeight="1">
      <c r="A1409" s="621"/>
      <c r="B1409" s="622" t="s">
        <v>2121</v>
      </c>
      <c r="C1409" s="633" t="str">
        <f>IF(G1409&lt;&gt;0,$C$2263," ")</f>
        <v xml:space="preserve">x </v>
      </c>
      <c r="D1409" s="553"/>
      <c r="E1409" s="694" t="str">
        <f>VLOOKUP($B1409,dongia1,DG!$C$5,)</f>
        <v>Nắp che đầu cực LA</v>
      </c>
      <c r="F1409" s="555" t="str">
        <f>VLOOKUP($B1409,dongia1,DG!$D$5,)</f>
        <v>cái</v>
      </c>
      <c r="G1409" s="205">
        <f>G2275</f>
        <v>3</v>
      </c>
      <c r="H1409" s="556">
        <f t="shared" si="670"/>
        <v>3</v>
      </c>
      <c r="I1409" s="556"/>
      <c r="J1409" s="556"/>
      <c r="K1409" s="556">
        <f t="shared" si="664"/>
        <v>3</v>
      </c>
      <c r="L1409" s="556"/>
      <c r="M1409" s="556"/>
      <c r="N1409" s="556"/>
      <c r="O1409" s="556"/>
      <c r="P1409" s="182">
        <f>VLOOKUP($B1409,dongia1,DG!$F$5,)</f>
        <v>39100</v>
      </c>
      <c r="Q1409" s="182"/>
      <c r="R1409" s="554"/>
      <c r="S1409" s="113">
        <f t="shared" si="666"/>
        <v>117300</v>
      </c>
      <c r="T1409" s="113">
        <f t="shared" si="667"/>
        <v>0</v>
      </c>
      <c r="U1409" s="715">
        <f t="shared" si="668"/>
        <v>0</v>
      </c>
    </row>
    <row r="1410" spans="1:21">
      <c r="B1410" s="761" t="s">
        <v>4612</v>
      </c>
      <c r="C1410" s="697" t="str">
        <f>IF(G1410&lt;&gt;0,$C$2263," ")</f>
        <v xml:space="preserve">x </v>
      </c>
      <c r="D1410" s="698"/>
      <c r="E1410" s="699" t="str">
        <f>VLOOKUP($B1410,dongia1,DG!$C$5,)</f>
        <v>Ông Co nhiệt Ø 60(65)</v>
      </c>
      <c r="F1410" s="700" t="str">
        <f>VLOOKUP($B1410,dongia1,DG!$D$5,)</f>
        <v>m</v>
      </c>
      <c r="G1410" s="762">
        <f>pp3p1m!EF10</f>
        <v>1</v>
      </c>
      <c r="H1410" s="701">
        <f t="shared" si="670"/>
        <v>1</v>
      </c>
      <c r="I1410" s="701"/>
      <c r="J1410" s="701"/>
      <c r="K1410" s="701">
        <f>G1410</f>
        <v>1</v>
      </c>
      <c r="L1410" s="701"/>
      <c r="M1410" s="701"/>
      <c r="N1410" s="701"/>
      <c r="O1410" s="701"/>
      <c r="P1410" s="702">
        <f>VLOOKUP($B1410,dongia1,DG!$F$5,)</f>
        <v>135000</v>
      </c>
      <c r="Q1410" s="702"/>
      <c r="R1410" s="703"/>
      <c r="S1410" s="702">
        <f>$G1410*P1410</f>
        <v>135000</v>
      </c>
      <c r="T1410" s="702">
        <f>$G1410*Q1410</f>
        <v>0</v>
      </c>
      <c r="U1410" s="704">
        <f>$G1410*R1410</f>
        <v>0</v>
      </c>
    </row>
    <row r="1411" spans="1:21">
      <c r="B1411" s="696" t="s">
        <v>2036</v>
      </c>
      <c r="C1411" s="697" t="str">
        <f t="shared" ref="C1411:C1417" si="672">IF(G1411&lt;&gt;0,$C$1248," ")</f>
        <v xml:space="preserve"> </v>
      </c>
      <c r="D1411" s="698"/>
      <c r="E1411" s="699" t="str">
        <f>VLOOKUP($B1411,dongia1,DG!$C$5,)</f>
        <v>Ống nối dây cỡ 50mm2 (có lõi thép)</v>
      </c>
      <c r="F1411" s="700" t="str">
        <f>VLOOKUP($B1411,dongia1,DG!$D$5,)</f>
        <v>cái</v>
      </c>
      <c r="G1411" s="762">
        <f>ROUND((D1249)*1.03/1500,0)</f>
        <v>0</v>
      </c>
      <c r="H1411" s="701">
        <f t="shared" si="670"/>
        <v>0</v>
      </c>
      <c r="I1411" s="701"/>
      <c r="J1411" s="701"/>
      <c r="K1411" s="701">
        <f t="shared" si="664"/>
        <v>0</v>
      </c>
      <c r="L1411" s="701"/>
      <c r="M1411" s="701"/>
      <c r="N1411" s="701"/>
      <c r="O1411" s="701"/>
      <c r="P1411" s="702">
        <f>VLOOKUP($B1411,dongia1,DG!$F$5,)</f>
        <v>32000</v>
      </c>
      <c r="Q1411" s="702"/>
      <c r="R1411" s="703"/>
      <c r="S1411" s="702">
        <f t="shared" si="666"/>
        <v>0</v>
      </c>
      <c r="T1411" s="702">
        <f t="shared" si="667"/>
        <v>0</v>
      </c>
      <c r="U1411" s="930">
        <f t="shared" si="668"/>
        <v>0</v>
      </c>
    </row>
    <row r="1412" spans="1:21" s="552" customFormat="1" ht="15" customHeight="1">
      <c r="A1412" s="621"/>
      <c r="B1412" s="622" t="s">
        <v>2037</v>
      </c>
      <c r="C1412" s="633" t="str">
        <f t="shared" si="672"/>
        <v xml:space="preserve"> </v>
      </c>
      <c r="D1412" s="553"/>
      <c r="E1412" s="694" t="str">
        <f>VLOOKUP($B1412,dongia1,DG!$C$5,)</f>
        <v>Ống nối dây cỡ 70mm2</v>
      </c>
      <c r="F1412" s="555" t="str">
        <f>VLOOKUP($B1412,dongia1,DG!$D$5,)</f>
        <v>cái</v>
      </c>
      <c r="G1412" s="205">
        <f>ROUND((D1250+D1274)*1.03/1400,0)</f>
        <v>0</v>
      </c>
      <c r="H1412" s="556">
        <f t="shared" si="670"/>
        <v>0</v>
      </c>
      <c r="I1412" s="556"/>
      <c r="J1412" s="556"/>
      <c r="K1412" s="556">
        <f t="shared" si="664"/>
        <v>0</v>
      </c>
      <c r="L1412" s="556"/>
      <c r="M1412" s="556"/>
      <c r="N1412" s="556"/>
      <c r="O1412" s="556"/>
      <c r="P1412" s="182">
        <f>VLOOKUP($B1412,dongia1,DG!$F$5,)</f>
        <v>32000</v>
      </c>
      <c r="Q1412" s="182"/>
      <c r="R1412" s="554"/>
      <c r="S1412" s="113">
        <f t="shared" si="666"/>
        <v>0</v>
      </c>
      <c r="T1412" s="113">
        <f t="shared" si="667"/>
        <v>0</v>
      </c>
      <c r="U1412" s="715">
        <f t="shared" si="668"/>
        <v>0</v>
      </c>
    </row>
    <row r="1413" spans="1:21" s="552" customFormat="1" ht="15" customHeight="1">
      <c r="A1413" s="621"/>
      <c r="B1413" s="622" t="s">
        <v>1403</v>
      </c>
      <c r="C1413" s="633" t="str">
        <f t="shared" si="672"/>
        <v xml:space="preserve"> </v>
      </c>
      <c r="D1413" s="553"/>
      <c r="E1413" s="694" t="str">
        <f>VLOOKUP($B1413,dongia1,DG!$C$5,)</f>
        <v>Ống nối dây cỡ 95mm2</v>
      </c>
      <c r="F1413" s="555" t="str">
        <f>VLOOKUP($B1413,dongia1,DG!$D$5,)</f>
        <v>cái</v>
      </c>
      <c r="G1413" s="205">
        <f>ROUND((D1251+D1273)*1.03/1200,0)</f>
        <v>0</v>
      </c>
      <c r="H1413" s="556">
        <f t="shared" si="670"/>
        <v>0</v>
      </c>
      <c r="I1413" s="556"/>
      <c r="J1413" s="556"/>
      <c r="K1413" s="556">
        <f t="shared" si="664"/>
        <v>0</v>
      </c>
      <c r="L1413" s="556"/>
      <c r="M1413" s="556"/>
      <c r="N1413" s="556"/>
      <c r="O1413" s="556"/>
      <c r="P1413" s="182">
        <f>VLOOKUP($B1413,dongia1,DG!$F$5,)</f>
        <v>45000</v>
      </c>
      <c r="Q1413" s="182"/>
      <c r="R1413" s="554"/>
      <c r="S1413" s="113">
        <f t="shared" si="666"/>
        <v>0</v>
      </c>
      <c r="T1413" s="113">
        <f t="shared" si="667"/>
        <v>0</v>
      </c>
      <c r="U1413" s="557">
        <f t="shared" si="668"/>
        <v>0</v>
      </c>
    </row>
    <row r="1414" spans="1:21" s="552" customFormat="1" ht="15" customHeight="1">
      <c r="A1414" s="621"/>
      <c r="B1414" s="622" t="s">
        <v>260</v>
      </c>
      <c r="C1414" s="633" t="str">
        <f t="shared" si="672"/>
        <v xml:space="preserve"> </v>
      </c>
      <c r="D1414" s="553"/>
      <c r="E1414" s="694" t="str">
        <f>VLOOKUP($B1414,dongia1,DG!$C$5,)</f>
        <v>Ống nối dây cỡ 120mm2</v>
      </c>
      <c r="F1414" s="555" t="str">
        <f>VLOOKUP($B1414,dongia1,DG!$D$5,)</f>
        <v>cái</v>
      </c>
      <c r="G1414" s="205">
        <f>ROUND((D1252+D1272)*1.02/1200,0)</f>
        <v>0</v>
      </c>
      <c r="H1414" s="556">
        <f t="shared" si="670"/>
        <v>0</v>
      </c>
      <c r="I1414" s="556"/>
      <c r="J1414" s="556"/>
      <c r="K1414" s="556">
        <f t="shared" si="664"/>
        <v>0</v>
      </c>
      <c r="L1414" s="556"/>
      <c r="M1414" s="556"/>
      <c r="N1414" s="556"/>
      <c r="O1414" s="556"/>
      <c r="P1414" s="182">
        <f>VLOOKUP($B1414,dongia1,DG!$F$5,)</f>
        <v>63000</v>
      </c>
      <c r="Q1414" s="182"/>
      <c r="R1414" s="554"/>
      <c r="S1414" s="113">
        <f t="shared" ref="S1414:U1417" si="673">$G1414*P1414</f>
        <v>0</v>
      </c>
      <c r="T1414" s="113">
        <f t="shared" si="673"/>
        <v>0</v>
      </c>
      <c r="U1414" s="557">
        <f t="shared" si="673"/>
        <v>0</v>
      </c>
    </row>
    <row r="1415" spans="1:21" s="552" customFormat="1" ht="15" customHeight="1">
      <c r="A1415" s="621"/>
      <c r="B1415" s="622" t="s">
        <v>712</v>
      </c>
      <c r="C1415" s="633" t="str">
        <f t="shared" si="672"/>
        <v xml:space="preserve"> </v>
      </c>
      <c r="D1415" s="553"/>
      <c r="E1415" s="694" t="str">
        <f>VLOOKUP($B1415,dongia1,DG!$C$5,)</f>
        <v>Ống nối dây cỡ 150mm2</v>
      </c>
      <c r="F1415" s="555" t="str">
        <f>VLOOKUP($B1415,dongia1,DG!$D$5,)</f>
        <v>cái</v>
      </c>
      <c r="G1415" s="205">
        <f>ROUND((D1253+D1271)*1.03/1200,0)</f>
        <v>0</v>
      </c>
      <c r="H1415" s="556">
        <f t="shared" si="670"/>
        <v>0</v>
      </c>
      <c r="I1415" s="556"/>
      <c r="J1415" s="556"/>
      <c r="K1415" s="556">
        <f t="shared" si="664"/>
        <v>0</v>
      </c>
      <c r="L1415" s="556"/>
      <c r="M1415" s="556"/>
      <c r="N1415" s="556"/>
      <c r="O1415" s="556"/>
      <c r="P1415" s="182">
        <f>VLOOKUP($B1415,dongia1,DG!$F$5,)</f>
        <v>85000</v>
      </c>
      <c r="Q1415" s="182"/>
      <c r="R1415" s="554"/>
      <c r="S1415" s="113">
        <f t="shared" si="673"/>
        <v>0</v>
      </c>
      <c r="T1415" s="113">
        <f t="shared" si="673"/>
        <v>0</v>
      </c>
      <c r="U1415" s="557">
        <f t="shared" si="673"/>
        <v>0</v>
      </c>
    </row>
    <row r="1416" spans="1:21" s="552" customFormat="1" ht="15" customHeight="1">
      <c r="A1416" s="621"/>
      <c r="B1416" s="622" t="s">
        <v>259</v>
      </c>
      <c r="C1416" s="633" t="str">
        <f t="shared" si="672"/>
        <v xml:space="preserve"> </v>
      </c>
      <c r="D1416" s="553"/>
      <c r="E1416" s="694" t="str">
        <f>VLOOKUP($B1416,dongia1,DG!$C$5,)</f>
        <v>Ống nối dây cỡ 185mm2</v>
      </c>
      <c r="F1416" s="555" t="str">
        <f>VLOOKUP($B1416,dongia1,DG!$D$5,)</f>
        <v>cái</v>
      </c>
      <c r="G1416" s="205">
        <f>ROUND((D1254+D1270)*1.02/1200,0)</f>
        <v>0</v>
      </c>
      <c r="H1416" s="556">
        <f t="shared" si="670"/>
        <v>0</v>
      </c>
      <c r="I1416" s="556"/>
      <c r="J1416" s="556"/>
      <c r="K1416" s="556">
        <f t="shared" si="664"/>
        <v>0</v>
      </c>
      <c r="L1416" s="556"/>
      <c r="M1416" s="556"/>
      <c r="N1416" s="556"/>
      <c r="O1416" s="556"/>
      <c r="P1416" s="182">
        <f>VLOOKUP($B1416,dongia1,DG!$F$5,)</f>
        <v>113000</v>
      </c>
      <c r="Q1416" s="182"/>
      <c r="R1416" s="554"/>
      <c r="S1416" s="113">
        <f t="shared" si="673"/>
        <v>0</v>
      </c>
      <c r="T1416" s="113">
        <f t="shared" si="673"/>
        <v>0</v>
      </c>
      <c r="U1416" s="557">
        <f t="shared" si="673"/>
        <v>0</v>
      </c>
    </row>
    <row r="1417" spans="1:21" s="552" customFormat="1" ht="15" customHeight="1">
      <c r="A1417" s="621"/>
      <c r="B1417" s="622" t="s">
        <v>258</v>
      </c>
      <c r="C1417" s="633" t="str">
        <f t="shared" si="672"/>
        <v xml:space="preserve"> </v>
      </c>
      <c r="D1417" s="553"/>
      <c r="E1417" s="694" t="str">
        <f>VLOOKUP($B1417,dongia1,DG!$C$5,)</f>
        <v>Ống nối dây cỡ 240mm2</v>
      </c>
      <c r="F1417" s="555" t="str">
        <f>VLOOKUP($B1417,dongia1,DG!$D$5,)</f>
        <v>cái</v>
      </c>
      <c r="G1417" s="205">
        <f>ROUND((D1255+D1256)*1.03/1200,0)</f>
        <v>0</v>
      </c>
      <c r="H1417" s="556">
        <f t="shared" si="670"/>
        <v>0</v>
      </c>
      <c r="I1417" s="556"/>
      <c r="J1417" s="556"/>
      <c r="K1417" s="556">
        <f t="shared" si="664"/>
        <v>0</v>
      </c>
      <c r="L1417" s="556"/>
      <c r="M1417" s="556"/>
      <c r="N1417" s="556"/>
      <c r="O1417" s="556"/>
      <c r="P1417" s="182">
        <f>VLOOKUP($B1417,dongia1,DG!$F$5,)</f>
        <v>140000</v>
      </c>
      <c r="Q1417" s="182"/>
      <c r="R1417" s="554"/>
      <c r="S1417" s="113">
        <f t="shared" si="673"/>
        <v>0</v>
      </c>
      <c r="T1417" s="113">
        <f t="shared" si="673"/>
        <v>0</v>
      </c>
      <c r="U1417" s="557">
        <f t="shared" si="673"/>
        <v>0</v>
      </c>
    </row>
    <row r="1418" spans="1:21" s="552" customFormat="1" ht="15" customHeight="1">
      <c r="A1418" s="621"/>
      <c r="B1418" s="622" t="s">
        <v>4609</v>
      </c>
      <c r="C1418" s="633" t="str">
        <f>IF(G1418&lt;&gt;0,$C$1904," ")</f>
        <v xml:space="preserve"> </v>
      </c>
      <c r="D1418" s="553"/>
      <c r="E1418" s="694" t="str">
        <f>VLOOKUP($B1418,dongia1,DG!$C$5,)</f>
        <v>Chụp đầu cực TI, TU</v>
      </c>
      <c r="F1418" s="555" t="str">
        <f>VLOOKUP($B1418,dongia1,DG!$D$5,)</f>
        <v>Cái</v>
      </c>
      <c r="G1418" s="560"/>
      <c r="H1418" s="556">
        <f t="shared" si="670"/>
        <v>0</v>
      </c>
      <c r="I1418" s="556"/>
      <c r="J1418" s="556"/>
      <c r="K1418" s="556">
        <f t="shared" si="664"/>
        <v>0</v>
      </c>
      <c r="L1418" s="556"/>
      <c r="M1418" s="556"/>
      <c r="N1418" s="556"/>
      <c r="O1418" s="556"/>
      <c r="P1418" s="182">
        <f>VLOOKUP($B1418,dongia1,DG!$F$5,)</f>
        <v>25000</v>
      </c>
      <c r="Q1418" s="182"/>
      <c r="R1418" s="554"/>
      <c r="S1418" s="113">
        <f t="shared" ref="S1418:U1424" si="674">$G1418*P1418</f>
        <v>0</v>
      </c>
      <c r="T1418" s="113">
        <f t="shared" si="674"/>
        <v>0</v>
      </c>
      <c r="U1418" s="557">
        <f t="shared" si="674"/>
        <v>0</v>
      </c>
    </row>
    <row r="1419" spans="1:21" s="552" customFormat="1" ht="15" customHeight="1">
      <c r="A1419" s="621"/>
      <c r="B1419" s="622" t="s">
        <v>4613</v>
      </c>
      <c r="C1419" s="633" t="str">
        <f t="shared" ref="C1419:C1456" si="675">IF(G1419&lt;&gt;0,$C$1248," ")</f>
        <v>x</v>
      </c>
      <c r="D1419" s="553"/>
      <c r="E1419" s="694" t="str">
        <f>VLOOKUP($B1419,dongia1,DG!$C$5,)</f>
        <v>Băng keo cách điện trung thế</v>
      </c>
      <c r="F1419" s="555" t="str">
        <f>VLOOKUP($B1419,dongia1,DG!$D$5,)</f>
        <v>cuộn</v>
      </c>
      <c r="G1419" s="205">
        <f>pp3p1m!EG10</f>
        <v>1</v>
      </c>
      <c r="H1419" s="556">
        <f t="shared" si="670"/>
        <v>1</v>
      </c>
      <c r="I1419" s="556"/>
      <c r="J1419" s="556"/>
      <c r="K1419" s="556">
        <f>G1419</f>
        <v>1</v>
      </c>
      <c r="L1419" s="556"/>
      <c r="M1419" s="556"/>
      <c r="N1419" s="556"/>
      <c r="O1419" s="556"/>
      <c r="P1419" s="182">
        <f>VLOOKUP($B1419,dongia1,DG!$F$5,)</f>
        <v>165000</v>
      </c>
      <c r="Q1419" s="182"/>
      <c r="R1419" s="554"/>
      <c r="S1419" s="113">
        <f t="shared" si="674"/>
        <v>165000</v>
      </c>
      <c r="T1419" s="113">
        <f t="shared" si="674"/>
        <v>0</v>
      </c>
      <c r="U1419" s="557">
        <f t="shared" si="674"/>
        <v>0</v>
      </c>
    </row>
    <row r="1420" spans="1:21" s="552" customFormat="1" ht="15" customHeight="1">
      <c r="A1420" s="621"/>
      <c r="B1420" s="622" t="s">
        <v>5785</v>
      </c>
      <c r="C1420" s="633"/>
      <c r="D1420" s="553"/>
      <c r="E1420" s="1640" t="s">
        <v>5815</v>
      </c>
      <c r="F1420" s="555" t="str">
        <f>VLOOKUP($B1420,dongia1,DG!$D$5,)</f>
        <v>cái</v>
      </c>
      <c r="G1420" s="1048">
        <f>pp3p1m!DI10</f>
        <v>2</v>
      </c>
      <c r="H1420" s="701">
        <f t="shared" si="670"/>
        <v>2</v>
      </c>
      <c r="I1420" s="1042"/>
      <c r="J1420" s="1042">
        <f>G1420</f>
        <v>2</v>
      </c>
      <c r="K1420" s="1042"/>
      <c r="L1420" s="1042"/>
      <c r="M1420" s="1042"/>
      <c r="N1420" s="1042"/>
      <c r="O1420" s="1042"/>
      <c r="P1420" s="182">
        <f>VLOOKUP($B1420,dongia1,DG!$F$5,)</f>
        <v>132000</v>
      </c>
      <c r="Q1420" s="182"/>
      <c r="R1420" s="554"/>
      <c r="S1420" s="113">
        <f t="shared" si="674"/>
        <v>264000</v>
      </c>
      <c r="T1420" s="113">
        <f t="shared" si="674"/>
        <v>0</v>
      </c>
      <c r="U1420" s="715">
        <f t="shared" si="674"/>
        <v>0</v>
      </c>
    </row>
    <row r="1421" spans="1:21" s="1047" customFormat="1" ht="15" customHeight="1">
      <c r="A1421" s="1036"/>
      <c r="B1421" s="1037" t="s">
        <v>4902</v>
      </c>
      <c r="C1421" s="1038"/>
      <c r="D1421" s="1039"/>
      <c r="E1421" s="1640" t="str">
        <f>VLOOKUP($B1421,dongia1,DG!$C$5,)</f>
        <v>Dây buộc cổ sứ đỡ góc SSF 2202 (70-95mm2)</v>
      </c>
      <c r="F1421" s="1040" t="str">
        <f>VLOOKUP($B1421,dongia1,DG!$D$5,)</f>
        <v>cái</v>
      </c>
      <c r="G1421" s="1048"/>
      <c r="H1421" s="701">
        <f t="shared" si="670"/>
        <v>0</v>
      </c>
      <c r="I1421" s="1042"/>
      <c r="J1421" s="1042">
        <f>G1421</f>
        <v>0</v>
      </c>
      <c r="K1421" s="1042"/>
      <c r="L1421" s="1042"/>
      <c r="M1421" s="1042"/>
      <c r="N1421" s="1042"/>
      <c r="O1421" s="1042"/>
      <c r="P1421" s="1043">
        <f>VLOOKUP($B1421,dongia1,DG!$F$5,)</f>
        <v>200000</v>
      </c>
      <c r="Q1421" s="1043"/>
      <c r="R1421" s="1044"/>
      <c r="S1421" s="1045">
        <f t="shared" si="674"/>
        <v>0</v>
      </c>
      <c r="T1421" s="1045">
        <f t="shared" si="674"/>
        <v>0</v>
      </c>
      <c r="U1421" s="1046">
        <f t="shared" si="674"/>
        <v>0</v>
      </c>
    </row>
    <row r="1422" spans="1:21">
      <c r="B1422" s="696" t="s">
        <v>998</v>
      </c>
      <c r="C1422" s="697" t="str">
        <f t="shared" si="675"/>
        <v xml:space="preserve"> </v>
      </c>
      <c r="D1422" s="698"/>
      <c r="E1422" s="699" t="str">
        <f>VLOOKUP($B1422,dongia1,DG!$C$5,)</f>
        <v xml:space="preserve">Dây nhôm buộc </v>
      </c>
      <c r="F1422" s="700" t="str">
        <f>VLOOKUP($B1422,dongia1,DG!$D$5,)</f>
        <v>kg</v>
      </c>
      <c r="G1422" s="762">
        <f>ROUND(0.189*1.4*G1286/7,1)*0</f>
        <v>0</v>
      </c>
      <c r="H1422" s="701">
        <f>$G1422</f>
        <v>0</v>
      </c>
      <c r="I1422" s="701"/>
      <c r="J1422" s="701"/>
      <c r="K1422" s="701">
        <f t="shared" si="664"/>
        <v>0</v>
      </c>
      <c r="L1422" s="701"/>
      <c r="M1422" s="701"/>
      <c r="N1422" s="701"/>
      <c r="O1422" s="701"/>
      <c r="P1422" s="702">
        <f>VLOOKUP($B1422,dongia1,DG!$F$5,)</f>
        <v>51336</v>
      </c>
      <c r="Q1422" s="702"/>
      <c r="R1422" s="703"/>
      <c r="S1422" s="702">
        <f>$G1422*P1422</f>
        <v>0</v>
      </c>
      <c r="T1422" s="702">
        <f t="shared" si="674"/>
        <v>0</v>
      </c>
      <c r="U1422" s="930">
        <f t="shared" si="674"/>
        <v>0</v>
      </c>
    </row>
    <row r="1423" spans="1:21" s="552" customFormat="1" ht="15" customHeight="1">
      <c r="A1423" s="621"/>
      <c r="B1423" s="622" t="s">
        <v>1278</v>
      </c>
      <c r="C1423" s="633" t="s">
        <v>309</v>
      </c>
      <c r="D1423" s="553"/>
      <c r="E1423" s="694" t="str">
        <f>VLOOKUP($B1423,dongia1,DG!$C$5,)</f>
        <v>Biển số - Bảng nguy hiểm</v>
      </c>
      <c r="F1423" s="555" t="str">
        <f>VLOOKUP($B1423,dongia1,DG!$D$5,)</f>
        <v>cái</v>
      </c>
      <c r="G1423" s="205"/>
      <c r="H1423" s="556">
        <f t="shared" si="670"/>
        <v>0</v>
      </c>
      <c r="I1423" s="556"/>
      <c r="J1423" s="556"/>
      <c r="K1423" s="556">
        <f t="shared" si="664"/>
        <v>0</v>
      </c>
      <c r="L1423" s="556"/>
      <c r="M1423" s="556"/>
      <c r="N1423" s="556"/>
      <c r="O1423" s="556"/>
      <c r="P1423" s="182">
        <f>VLOOKUP($B1423,dongia1,DG!$F$5,)</f>
        <v>60000</v>
      </c>
      <c r="Q1423" s="182"/>
      <c r="R1423" s="554"/>
      <c r="S1423" s="113">
        <f t="shared" si="674"/>
        <v>0</v>
      </c>
      <c r="T1423" s="113">
        <f t="shared" si="674"/>
        <v>0</v>
      </c>
      <c r="U1423" s="715">
        <f t="shared" si="674"/>
        <v>0</v>
      </c>
    </row>
    <row r="1424" spans="1:21">
      <c r="B1424" s="696" t="s">
        <v>418</v>
      </c>
      <c r="C1424" s="697" t="s">
        <v>309</v>
      </c>
      <c r="D1424" s="698"/>
      <c r="E1424" s="699" t="str">
        <f>VLOOKUP($B1424,dongia1,DG!$C$5,)</f>
        <v>Kéo dây nhôm lõi thép cỡ dây 50mm2 (TC)</v>
      </c>
      <c r="F1424" s="700" t="str">
        <f>VLOOKUP($B1424,dongia1,DG!$D$5,)</f>
        <v>km</v>
      </c>
      <c r="G1424" s="205">
        <f>pp3p1m!D8/1000</f>
        <v>0.03</v>
      </c>
      <c r="H1424" s="701">
        <f t="shared" si="670"/>
        <v>0.03</v>
      </c>
      <c r="I1424" s="701"/>
      <c r="J1424" s="701"/>
      <c r="K1424" s="701">
        <f t="shared" si="664"/>
        <v>0.03</v>
      </c>
      <c r="L1424" s="701"/>
      <c r="M1424" s="701"/>
      <c r="N1424" s="701"/>
      <c r="O1424" s="701"/>
      <c r="P1424" s="702">
        <f>VLOOKUP($B1424,dongia1,DG!$F$5,)</f>
        <v>0</v>
      </c>
      <c r="Q1424" s="182">
        <f>VLOOKUP($B1424,dongia1,DG!$G$5,)</f>
        <v>3600186.2049999996</v>
      </c>
      <c r="R1424" s="702">
        <f>VLOOKUP($B1424,dongia1,DG!$H$5,)</f>
        <v>0</v>
      </c>
      <c r="S1424" s="702">
        <f t="shared" ref="S1424:S1430" si="676">$G1424*P1424</f>
        <v>0</v>
      </c>
      <c r="T1424" s="113">
        <f t="shared" si="674"/>
        <v>108005.58614999999</v>
      </c>
      <c r="U1424" s="557">
        <f t="shared" si="674"/>
        <v>0</v>
      </c>
    </row>
    <row r="1425" spans="1:21" s="552" customFormat="1" ht="15" customHeight="1">
      <c r="A1425" s="621"/>
      <c r="B1425" s="622" t="s">
        <v>1518</v>
      </c>
      <c r="C1425" s="633"/>
      <c r="D1425" s="553"/>
      <c r="E1425" s="694" t="str">
        <f>VLOOKUP($B1425,dongia1,DG!$C$5,)</f>
        <v>Kéo dây nhôm lõi thép cỡ dây 70mm2 (TC)</v>
      </c>
      <c r="F1425" s="555" t="str">
        <f>VLOOKUP($B1425,dongia1,DG!$D$5,)</f>
        <v>km</v>
      </c>
      <c r="G1425" s="205"/>
      <c r="H1425" s="556">
        <f t="shared" si="670"/>
        <v>0</v>
      </c>
      <c r="I1425" s="556"/>
      <c r="J1425" s="556"/>
      <c r="K1425" s="556">
        <f t="shared" si="664"/>
        <v>0</v>
      </c>
      <c r="L1425" s="556"/>
      <c r="M1425" s="556"/>
      <c r="N1425" s="556"/>
      <c r="O1425" s="556"/>
      <c r="P1425" s="182">
        <f>VLOOKUP($B1425,dongia1,DG!$F$5,)</f>
        <v>0</v>
      </c>
      <c r="Q1425" s="182">
        <f>VLOOKUP($B1425,dongia1,DG!$G$5,)</f>
        <v>5975101</v>
      </c>
      <c r="R1425" s="554"/>
      <c r="S1425" s="113">
        <f t="shared" si="676"/>
        <v>0</v>
      </c>
      <c r="T1425" s="1059">
        <f>VLOOKUP($B1425,dongia1,DG!G$5,)*G1425*hskd</f>
        <v>0</v>
      </c>
      <c r="U1425" s="715">
        <f t="shared" ref="U1425:U1452" si="677">$G1425*R1425</f>
        <v>0</v>
      </c>
    </row>
    <row r="1426" spans="1:21" s="552" customFormat="1" ht="15" customHeight="1">
      <c r="A1426" s="621"/>
      <c r="B1426" s="622" t="s">
        <v>223</v>
      </c>
      <c r="C1426" s="633" t="s">
        <v>309</v>
      </c>
      <c r="D1426" s="553"/>
      <c r="E1426" s="694" t="str">
        <f>VLOOKUP($B1426,dongia1,DG!$C$5,)</f>
        <v>Kéo dây nhôm lõi thép cỡ dây 95mm2</v>
      </c>
      <c r="F1426" s="555" t="str">
        <f>VLOOKUP($B1426,dongia1,DG!$D$5,)</f>
        <v>km</v>
      </c>
      <c r="G1426" s="205">
        <f>3*pp3p1m!C10/1000</f>
        <v>0.189</v>
      </c>
      <c r="H1426" s="556">
        <f t="shared" si="670"/>
        <v>0.189</v>
      </c>
      <c r="I1426" s="556"/>
      <c r="J1426" s="556"/>
      <c r="K1426" s="556">
        <f t="shared" si="664"/>
        <v>0.189</v>
      </c>
      <c r="L1426" s="556"/>
      <c r="M1426" s="556"/>
      <c r="N1426" s="556"/>
      <c r="O1426" s="556"/>
      <c r="P1426" s="182">
        <f>VLOOKUP($B1426,dongia1,DG!$F$5,)</f>
        <v>0</v>
      </c>
      <c r="Q1426" s="182">
        <f>VLOOKUP($B1426,dongia1,DG!$G$5,)</f>
        <v>2839438</v>
      </c>
      <c r="R1426" s="554"/>
      <c r="S1426" s="113">
        <f t="shared" si="676"/>
        <v>0</v>
      </c>
      <c r="T1426" s="182">
        <f>VLOOKUP($B1426,dongia1,DG!G$5,)*G1426*hskd</f>
        <v>375657.64739999996</v>
      </c>
      <c r="U1426" s="557">
        <f t="shared" si="677"/>
        <v>0</v>
      </c>
    </row>
    <row r="1427" spans="1:21" s="552" customFormat="1" ht="15" customHeight="1">
      <c r="A1427" s="621"/>
      <c r="B1427" s="622" t="s">
        <v>1333</v>
      </c>
      <c r="C1427" s="633" t="str">
        <f t="shared" si="675"/>
        <v xml:space="preserve"> </v>
      </c>
      <c r="D1427" s="553"/>
      <c r="E1427" s="694" t="str">
        <f>VLOOKUP($B1427,dongia1,DG!$C$5,)</f>
        <v>Kéo dây nhôm lõi thép cỡ dây 120mm2</v>
      </c>
      <c r="F1427" s="555" t="str">
        <f>VLOOKUP($B1427,dongia1,DG!$D$5,)</f>
        <v>km</v>
      </c>
      <c r="G1427" s="205">
        <f t="shared" ref="G1427:G1430" si="678">(D1252)/1000</f>
        <v>0</v>
      </c>
      <c r="H1427" s="556">
        <f t="shared" si="670"/>
        <v>0</v>
      </c>
      <c r="I1427" s="556"/>
      <c r="J1427" s="556"/>
      <c r="K1427" s="556">
        <f t="shared" si="664"/>
        <v>0</v>
      </c>
      <c r="L1427" s="556"/>
      <c r="M1427" s="556"/>
      <c r="N1427" s="556"/>
      <c r="O1427" s="556"/>
      <c r="P1427" s="182">
        <f>VLOOKUP($B1427,dongia1,DG!$F$5,)</f>
        <v>0</v>
      </c>
      <c r="Q1427" s="182">
        <f>VLOOKUP($B1427,dongia1,DG!$G$5,)</f>
        <v>3888951</v>
      </c>
      <c r="R1427" s="554"/>
      <c r="S1427" s="113">
        <f t="shared" si="676"/>
        <v>0</v>
      </c>
      <c r="T1427" s="182">
        <f>VLOOKUP($B1427,dongia1,DG!G$5,)*G1427*hskd</f>
        <v>0</v>
      </c>
      <c r="U1427" s="557">
        <f t="shared" si="677"/>
        <v>0</v>
      </c>
    </row>
    <row r="1428" spans="1:21" s="552" customFormat="1" ht="15" customHeight="1">
      <c r="A1428" s="621"/>
      <c r="B1428" s="622" t="s">
        <v>663</v>
      </c>
      <c r="C1428" s="633" t="str">
        <f t="shared" si="675"/>
        <v xml:space="preserve"> </v>
      </c>
      <c r="D1428" s="553"/>
      <c r="E1428" s="694" t="str">
        <f>VLOOKUP($B1428,dongia1,DG!$C$5,)</f>
        <v>Kéo dây nhôm lõi thép cỡ dây 150mm2</v>
      </c>
      <c r="F1428" s="555" t="str">
        <f>VLOOKUP($B1428,dongia1,DG!$D$5,)</f>
        <v>km</v>
      </c>
      <c r="G1428" s="205">
        <f t="shared" si="678"/>
        <v>0</v>
      </c>
      <c r="H1428" s="556">
        <f t="shared" si="670"/>
        <v>0</v>
      </c>
      <c r="I1428" s="556"/>
      <c r="J1428" s="556"/>
      <c r="K1428" s="556">
        <f t="shared" si="664"/>
        <v>0</v>
      </c>
      <c r="L1428" s="556"/>
      <c r="M1428" s="556"/>
      <c r="N1428" s="556"/>
      <c r="O1428" s="556"/>
      <c r="P1428" s="182">
        <f>VLOOKUP($B1428,dongia1,DG!$F$5,)</f>
        <v>0</v>
      </c>
      <c r="Q1428" s="182">
        <f>VLOOKUP($B1428,dongia1,DG!$G$5,)</f>
        <v>4413708</v>
      </c>
      <c r="R1428" s="554"/>
      <c r="S1428" s="113">
        <f t="shared" si="676"/>
        <v>0</v>
      </c>
      <c r="T1428" s="182">
        <f>VLOOKUP($B1428,dongia1,DG!G$5,)*G1428*hskd</f>
        <v>0</v>
      </c>
      <c r="U1428" s="557">
        <f t="shared" si="677"/>
        <v>0</v>
      </c>
    </row>
    <row r="1429" spans="1:21" s="552" customFormat="1" ht="15" customHeight="1">
      <c r="A1429" s="621"/>
      <c r="B1429" s="622" t="s">
        <v>1334</v>
      </c>
      <c r="C1429" s="633" t="str">
        <f t="shared" si="675"/>
        <v xml:space="preserve"> </v>
      </c>
      <c r="D1429" s="553"/>
      <c r="E1429" s="694" t="str">
        <f>VLOOKUP($B1429,dongia1,DG!$C$5,)</f>
        <v>Kéo dây nhôm lõi thép cỡ dây 185mm2</v>
      </c>
      <c r="F1429" s="555" t="str">
        <f>VLOOKUP($B1429,dongia1,DG!$D$5,)</f>
        <v>km</v>
      </c>
      <c r="G1429" s="205">
        <f t="shared" si="678"/>
        <v>0</v>
      </c>
      <c r="H1429" s="556">
        <f t="shared" si="670"/>
        <v>0</v>
      </c>
      <c r="I1429" s="556"/>
      <c r="J1429" s="556"/>
      <c r="K1429" s="556">
        <f t="shared" si="664"/>
        <v>0</v>
      </c>
      <c r="L1429" s="556"/>
      <c r="M1429" s="556"/>
      <c r="N1429" s="556"/>
      <c r="O1429" s="556"/>
      <c r="P1429" s="182">
        <f>VLOOKUP($B1429,dongia1,DG!$F$5,)</f>
        <v>0</v>
      </c>
      <c r="Q1429" s="182">
        <f>VLOOKUP($B1429,dongia1,DG!$G$5,)</f>
        <v>4612589</v>
      </c>
      <c r="R1429" s="554"/>
      <c r="S1429" s="113">
        <f t="shared" si="676"/>
        <v>0</v>
      </c>
      <c r="T1429" s="182">
        <f>VLOOKUP($B1429,dongia1,DG!G$5,)*G1429*hskd</f>
        <v>0</v>
      </c>
      <c r="U1429" s="557">
        <f t="shared" si="677"/>
        <v>0</v>
      </c>
    </row>
    <row r="1430" spans="1:21" s="552" customFormat="1" ht="15" customHeight="1">
      <c r="A1430" s="621"/>
      <c r="B1430" s="622" t="s">
        <v>1510</v>
      </c>
      <c r="C1430" s="633" t="str">
        <f t="shared" si="675"/>
        <v xml:space="preserve"> </v>
      </c>
      <c r="D1430" s="553"/>
      <c r="E1430" s="694" t="str">
        <f>VLOOKUP($B1430,dongia1,DG!$C$5,)</f>
        <v>Kéo dây nhôm lõi thép cỡ dây 240mm2</v>
      </c>
      <c r="F1430" s="555" t="str">
        <f>VLOOKUP($B1430,dongia1,DG!$D$5,)</f>
        <v>km</v>
      </c>
      <c r="G1430" s="205">
        <f t="shared" si="678"/>
        <v>0</v>
      </c>
      <c r="H1430" s="556">
        <f t="shared" si="670"/>
        <v>0</v>
      </c>
      <c r="I1430" s="556"/>
      <c r="J1430" s="556"/>
      <c r="K1430" s="556">
        <f t="shared" si="664"/>
        <v>0</v>
      </c>
      <c r="L1430" s="556"/>
      <c r="M1430" s="556"/>
      <c r="N1430" s="556"/>
      <c r="O1430" s="556"/>
      <c r="P1430" s="182">
        <f>VLOOKUP($B1430,dongia1,DG!$F$5,)</f>
        <v>0</v>
      </c>
      <c r="Q1430" s="182">
        <f>VLOOKUP($B1430,dongia1,DG!$G$5,)</f>
        <v>5638141</v>
      </c>
      <c r="R1430" s="554"/>
      <c r="S1430" s="113">
        <f t="shared" si="676"/>
        <v>0</v>
      </c>
      <c r="T1430" s="182">
        <f>VLOOKUP($B1430,dongia1,DG!G$5,)*G1430*hskd</f>
        <v>0</v>
      </c>
      <c r="U1430" s="557">
        <f t="shared" si="677"/>
        <v>0</v>
      </c>
    </row>
    <row r="1431" spans="1:21">
      <c r="B1431" s="696" t="s">
        <v>4215</v>
      </c>
      <c r="C1431" s="697" t="str">
        <f t="shared" si="675"/>
        <v xml:space="preserve"> </v>
      </c>
      <c r="D1431" s="698"/>
      <c r="E1431" s="699" t="str">
        <f>VLOOKUP($B1431,dongia1,DG!$C$5,)</f>
        <v>Kéo dây nhôm lõi thép bọc cỡ dây 50mm2 (TC + MK)</v>
      </c>
      <c r="F1431" s="700" t="str">
        <f>VLOOKUP($B1431,dongia1,DG!$D$5,)</f>
        <v>km</v>
      </c>
      <c r="G1431" s="762">
        <f t="shared" ref="G1431:G1437" si="679">(D1256+D1263)/1000</f>
        <v>0</v>
      </c>
      <c r="H1431" s="701">
        <f t="shared" ref="H1431:H1437" si="680">$G1431</f>
        <v>0</v>
      </c>
      <c r="I1431" s="596"/>
      <c r="J1431" s="596"/>
      <c r="K1431" s="701">
        <f t="shared" si="664"/>
        <v>0</v>
      </c>
      <c r="L1431" s="596"/>
      <c r="M1431" s="596"/>
      <c r="N1431" s="596"/>
      <c r="O1431" s="596"/>
      <c r="P1431" s="596">
        <f>VLOOKUP($B1431,dongia1,DG!$F$5,)</f>
        <v>0</v>
      </c>
      <c r="Q1431" s="182">
        <f>VLOOKUP($B1431,dongia1,DG!$G$5,)</f>
        <v>2646176.4900000002</v>
      </c>
      <c r="R1431" s="702">
        <f>VLOOKUP($B1431,dongia1,DG!$H$5,)</f>
        <v>144216</v>
      </c>
      <c r="S1431" s="596">
        <f t="shared" ref="S1431:T1437" si="681">$G1431*P1431</f>
        <v>0</v>
      </c>
      <c r="T1431" s="113">
        <f t="shared" si="681"/>
        <v>0</v>
      </c>
      <c r="U1431" s="557">
        <f t="shared" si="677"/>
        <v>0</v>
      </c>
    </row>
    <row r="1432" spans="1:21" s="552" customFormat="1" ht="15" customHeight="1">
      <c r="A1432" s="621"/>
      <c r="B1432" s="622" t="s">
        <v>4216</v>
      </c>
      <c r="C1432" s="633" t="str">
        <f t="shared" si="675"/>
        <v xml:space="preserve"> </v>
      </c>
      <c r="D1432" s="553"/>
      <c r="E1432" s="694" t="str">
        <f>VLOOKUP($B1432,dongia1,DG!$C$5,)</f>
        <v>Kéo dây nhôm lõi thép bọc cỡ dây 70mm2 (TC + MK)</v>
      </c>
      <c r="F1432" s="555" t="str">
        <f>VLOOKUP($B1432,dongia1,DG!$D$5,)</f>
        <v>km</v>
      </c>
      <c r="G1432" s="205">
        <f t="shared" si="679"/>
        <v>0</v>
      </c>
      <c r="H1432" s="556">
        <f t="shared" si="680"/>
        <v>0</v>
      </c>
      <c r="I1432" s="556"/>
      <c r="J1432" s="556"/>
      <c r="K1432" s="556">
        <f t="shared" si="664"/>
        <v>0</v>
      </c>
      <c r="L1432" s="556"/>
      <c r="M1432" s="556"/>
      <c r="N1432" s="556"/>
      <c r="O1432" s="556"/>
      <c r="P1432" s="182">
        <f>VLOOKUP($B1432,dongia1,DG!$F$5,)</f>
        <v>0</v>
      </c>
      <c r="Q1432" s="182">
        <f>VLOOKUP($B1432,dongia1,DG!$G$5,)</f>
        <v>2646176.4900000002</v>
      </c>
      <c r="R1432" s="554"/>
      <c r="S1432" s="113">
        <f t="shared" si="681"/>
        <v>0</v>
      </c>
      <c r="T1432" s="1059">
        <f>VLOOKUP($B1432,dongia1,DG!G$5,)*G1432*hskd</f>
        <v>0</v>
      </c>
      <c r="U1432" s="715">
        <f t="shared" ref="U1432:U1437" si="682">$G1432*R1432</f>
        <v>0</v>
      </c>
    </row>
    <row r="1433" spans="1:21" s="552" customFormat="1" ht="15" customHeight="1">
      <c r="A1433" s="621"/>
      <c r="B1433" s="622" t="s">
        <v>4217</v>
      </c>
      <c r="C1433" s="633" t="str">
        <f t="shared" si="675"/>
        <v xml:space="preserve"> </v>
      </c>
      <c r="D1433" s="553"/>
      <c r="E1433" s="694" t="str">
        <f>VLOOKUP($B1433,dongia1,DG!$C$5,)</f>
        <v>Kéo dây nhôm lõi thép bọc cỡ dây 95mm2 (TC + MK)</v>
      </c>
      <c r="F1433" s="555" t="str">
        <f>VLOOKUP($B1433,dongia1,DG!$D$5,)</f>
        <v>km</v>
      </c>
      <c r="G1433" s="205">
        <f t="shared" si="679"/>
        <v>0</v>
      </c>
      <c r="H1433" s="556">
        <f t="shared" si="680"/>
        <v>0</v>
      </c>
      <c r="I1433" s="556"/>
      <c r="J1433" s="556"/>
      <c r="K1433" s="556">
        <f t="shared" si="664"/>
        <v>0</v>
      </c>
      <c r="L1433" s="556"/>
      <c r="M1433" s="556"/>
      <c r="N1433" s="556"/>
      <c r="O1433" s="556"/>
      <c r="P1433" s="182">
        <f>VLOOKUP($B1433,dongia1,DG!$F$5,)</f>
        <v>0</v>
      </c>
      <c r="Q1433" s="182">
        <f>VLOOKUP($B1433,dongia1,DG!$G$5,)</f>
        <v>3792533.2499999995</v>
      </c>
      <c r="R1433" s="554"/>
      <c r="S1433" s="113">
        <f t="shared" si="681"/>
        <v>0</v>
      </c>
      <c r="T1433" s="182">
        <f>VLOOKUP($B1433,dongia1,DG!G$5,)*G1433*hskd</f>
        <v>0</v>
      </c>
      <c r="U1433" s="557">
        <f t="shared" si="682"/>
        <v>0</v>
      </c>
    </row>
    <row r="1434" spans="1:21" s="552" customFormat="1" ht="15" customHeight="1">
      <c r="A1434" s="621"/>
      <c r="B1434" s="622" t="s">
        <v>4218</v>
      </c>
      <c r="C1434" s="633" t="str">
        <f t="shared" si="675"/>
        <v xml:space="preserve"> </v>
      </c>
      <c r="D1434" s="553"/>
      <c r="E1434" s="694" t="str">
        <f>VLOOKUP($B1434,dongia1,DG!$C$5,)</f>
        <v>Kéo dây nhôm lõi thép bọc cỡ dây 120mm2</v>
      </c>
      <c r="F1434" s="555" t="str">
        <f>VLOOKUP($B1434,dongia1,DG!$D$5,)</f>
        <v>km</v>
      </c>
      <c r="G1434" s="205">
        <f t="shared" si="679"/>
        <v>0</v>
      </c>
      <c r="H1434" s="556">
        <f t="shared" si="680"/>
        <v>0</v>
      </c>
      <c r="I1434" s="556"/>
      <c r="J1434" s="556"/>
      <c r="K1434" s="556">
        <f t="shared" si="664"/>
        <v>0</v>
      </c>
      <c r="L1434" s="556"/>
      <c r="M1434" s="556"/>
      <c r="N1434" s="556"/>
      <c r="O1434" s="556"/>
      <c r="P1434" s="182">
        <f>VLOOKUP($B1434,dongia1,DG!$F$5,)</f>
        <v>0</v>
      </c>
      <c r="Q1434" s="182">
        <f>VLOOKUP($B1434,dongia1,DG!$G$5,)</f>
        <v>3888951</v>
      </c>
      <c r="R1434" s="554"/>
      <c r="S1434" s="113">
        <f t="shared" si="681"/>
        <v>0</v>
      </c>
      <c r="T1434" s="182">
        <f>VLOOKUP($B1434,dongia1,DG!G$5,)*G1434*hskd</f>
        <v>0</v>
      </c>
      <c r="U1434" s="557">
        <f t="shared" si="682"/>
        <v>0</v>
      </c>
    </row>
    <row r="1435" spans="1:21" s="552" customFormat="1" ht="15" customHeight="1">
      <c r="A1435" s="621"/>
      <c r="B1435" s="622" t="s">
        <v>144</v>
      </c>
      <c r="C1435" s="633" t="str">
        <f t="shared" si="675"/>
        <v xml:space="preserve"> </v>
      </c>
      <c r="D1435" s="553"/>
      <c r="E1435" s="694" t="str">
        <f>VLOOKUP($B1435,dongia1,DG!$C$5,)</f>
        <v>Kéo dây nhôm lõi thép bọc cỡ dây 150mm2</v>
      </c>
      <c r="F1435" s="555" t="str">
        <f>VLOOKUP($B1435,dongia1,DG!$D$5,)</f>
        <v>km</v>
      </c>
      <c r="G1435" s="205">
        <f t="shared" si="679"/>
        <v>0</v>
      </c>
      <c r="H1435" s="556">
        <f t="shared" si="680"/>
        <v>0</v>
      </c>
      <c r="I1435" s="556"/>
      <c r="J1435" s="556"/>
      <c r="K1435" s="556">
        <f t="shared" si="664"/>
        <v>0</v>
      </c>
      <c r="L1435" s="556"/>
      <c r="M1435" s="556"/>
      <c r="N1435" s="556"/>
      <c r="O1435" s="556"/>
      <c r="P1435" s="182">
        <f>VLOOKUP($B1435,dongia1,DG!$F$5,)</f>
        <v>0</v>
      </c>
      <c r="Q1435" s="182">
        <f>VLOOKUP($B1435,dongia1,DG!$G$5,)</f>
        <v>4413708</v>
      </c>
      <c r="R1435" s="554"/>
      <c r="S1435" s="113">
        <f t="shared" si="681"/>
        <v>0</v>
      </c>
      <c r="T1435" s="182">
        <f>VLOOKUP($B1435,dongia1,DG!G$5,)*G1435*hskd</f>
        <v>0</v>
      </c>
      <c r="U1435" s="557">
        <f t="shared" si="682"/>
        <v>0</v>
      </c>
    </row>
    <row r="1436" spans="1:21" s="552" customFormat="1" ht="15" customHeight="1">
      <c r="A1436" s="621"/>
      <c r="B1436" s="622" t="s">
        <v>4219</v>
      </c>
      <c r="C1436" s="633" t="str">
        <f t="shared" si="675"/>
        <v xml:space="preserve"> </v>
      </c>
      <c r="D1436" s="553"/>
      <c r="E1436" s="694" t="str">
        <f>VLOOKUP($B1436,dongia1,DG!$C$5,)</f>
        <v>Kéo dây nhôm lõi thép bọc cỡ dây 185mm2</v>
      </c>
      <c r="F1436" s="555" t="str">
        <f>VLOOKUP($B1436,dongia1,DG!$D$5,)</f>
        <v>km</v>
      </c>
      <c r="G1436" s="205">
        <f t="shared" si="679"/>
        <v>0</v>
      </c>
      <c r="H1436" s="556">
        <f t="shared" si="680"/>
        <v>0</v>
      </c>
      <c r="I1436" s="556"/>
      <c r="J1436" s="556"/>
      <c r="K1436" s="556">
        <f t="shared" si="664"/>
        <v>0</v>
      </c>
      <c r="L1436" s="556"/>
      <c r="M1436" s="556"/>
      <c r="N1436" s="556"/>
      <c r="O1436" s="556"/>
      <c r="P1436" s="182">
        <f>VLOOKUP($B1436,dongia1,DG!$F$5,)</f>
        <v>0</v>
      </c>
      <c r="Q1436" s="182">
        <f>VLOOKUP($B1436,dongia1,DG!$G$5,)</f>
        <v>4612589</v>
      </c>
      <c r="R1436" s="554"/>
      <c r="S1436" s="113">
        <f t="shared" si="681"/>
        <v>0</v>
      </c>
      <c r="T1436" s="182">
        <f>VLOOKUP($B1436,dongia1,DG!G$5,)*G1436*hskd</f>
        <v>0</v>
      </c>
      <c r="U1436" s="557">
        <f t="shared" si="682"/>
        <v>0</v>
      </c>
    </row>
    <row r="1437" spans="1:21" s="552" customFormat="1" ht="15" customHeight="1">
      <c r="A1437" s="621"/>
      <c r="B1437" s="622" t="s">
        <v>4220</v>
      </c>
      <c r="C1437" s="633" t="str">
        <f t="shared" si="675"/>
        <v xml:space="preserve"> </v>
      </c>
      <c r="D1437" s="553"/>
      <c r="E1437" s="694" t="str">
        <f>VLOOKUP($B1437,dongia1,DG!$C$5,)</f>
        <v>Kéo dây nhôm lõi thép bọc cỡ dây 240mm2</v>
      </c>
      <c r="F1437" s="555" t="str">
        <f>VLOOKUP($B1437,dongia1,DG!$D$5,)</f>
        <v>km</v>
      </c>
      <c r="G1437" s="205">
        <f t="shared" si="679"/>
        <v>0</v>
      </c>
      <c r="H1437" s="556">
        <f t="shared" si="680"/>
        <v>0</v>
      </c>
      <c r="I1437" s="556"/>
      <c r="J1437" s="556"/>
      <c r="K1437" s="556">
        <f t="shared" si="664"/>
        <v>0</v>
      </c>
      <c r="L1437" s="556"/>
      <c r="M1437" s="556"/>
      <c r="N1437" s="556"/>
      <c r="O1437" s="556"/>
      <c r="P1437" s="182">
        <f>VLOOKUP($B1437,dongia1,DG!$F$5,)</f>
        <v>0</v>
      </c>
      <c r="Q1437" s="182">
        <f>VLOOKUP($B1437,dongia1,DG!$G$5,)</f>
        <v>5638141</v>
      </c>
      <c r="R1437" s="554"/>
      <c r="S1437" s="113">
        <f t="shared" si="681"/>
        <v>0</v>
      </c>
      <c r="T1437" s="182">
        <f>VLOOKUP($B1437,dongia1,DG!G$5,)*G1437*hskd</f>
        <v>0</v>
      </c>
      <c r="U1437" s="557">
        <f t="shared" si="682"/>
        <v>0</v>
      </c>
    </row>
    <row r="1438" spans="1:21" s="552" customFormat="1" ht="15" customHeight="1">
      <c r="A1438" s="621"/>
      <c r="B1438" s="622" t="s">
        <v>1109</v>
      </c>
      <c r="C1438" s="633" t="str">
        <f t="shared" si="675"/>
        <v xml:space="preserve"> </v>
      </c>
      <c r="D1438" s="553"/>
      <c r="E1438" s="694" t="str">
        <f>VLOOKUP($B1438,dongia1,DG!$C$5,)</f>
        <v>Kéo dây nhôm bọc 50mm2</v>
      </c>
      <c r="F1438" s="555" t="str">
        <f>VLOOKUP($B1438,dongia1,DG!$D$5,)</f>
        <v>km</v>
      </c>
      <c r="G1438" s="205">
        <f t="shared" ref="G1438:G1444" si="683">D1270</f>
        <v>0</v>
      </c>
      <c r="H1438" s="556">
        <f t="shared" ref="H1438:H1445" si="684">$G1438</f>
        <v>0</v>
      </c>
      <c r="I1438" s="556"/>
      <c r="J1438" s="556"/>
      <c r="K1438" s="556">
        <f t="shared" si="664"/>
        <v>0</v>
      </c>
      <c r="L1438" s="556"/>
      <c r="M1438" s="556"/>
      <c r="N1438" s="556"/>
      <c r="O1438" s="556"/>
      <c r="P1438" s="182">
        <f>VLOOKUP($B1438,dongia1,DG!$F$5,)</f>
        <v>0</v>
      </c>
      <c r="Q1438" s="182">
        <f>VLOOKUP($B1438,dongia1,DG!$G$5,)</f>
        <v>1986408</v>
      </c>
      <c r="R1438" s="554"/>
      <c r="S1438" s="113">
        <f t="shared" ref="S1438:S1445" si="685">$G1438*P1438</f>
        <v>0</v>
      </c>
      <c r="T1438" s="182">
        <f>VLOOKUP($B1438,dongia1,DG!G$5,)*G1438*hskd</f>
        <v>0</v>
      </c>
      <c r="U1438" s="557">
        <f>$G1438*R1438</f>
        <v>0</v>
      </c>
    </row>
    <row r="1439" spans="1:21" s="552" customFormat="1" ht="15" customHeight="1">
      <c r="A1439" s="621"/>
      <c r="B1439" s="622" t="s">
        <v>909</v>
      </c>
      <c r="C1439" s="633" t="str">
        <f t="shared" si="675"/>
        <v xml:space="preserve"> </v>
      </c>
      <c r="D1439" s="553"/>
      <c r="E1439" s="694" t="str">
        <f>VLOOKUP($B1439,dongia1,DG!$C$5,)</f>
        <v>Kéo dây nhôm bọc 70mm2</v>
      </c>
      <c r="F1439" s="555" t="str">
        <f>VLOOKUP($B1439,dongia1,DG!$D$5,)</f>
        <v>km</v>
      </c>
      <c r="G1439" s="205">
        <f t="shared" si="683"/>
        <v>0</v>
      </c>
      <c r="H1439" s="556">
        <f t="shared" si="684"/>
        <v>0</v>
      </c>
      <c r="I1439" s="556"/>
      <c r="J1439" s="556"/>
      <c r="K1439" s="556">
        <f t="shared" si="664"/>
        <v>0</v>
      </c>
      <c r="L1439" s="556"/>
      <c r="M1439" s="556"/>
      <c r="N1439" s="556"/>
      <c r="O1439" s="556"/>
      <c r="P1439" s="182">
        <f>VLOOKUP($B1439,dongia1,DG!$F$5,)</f>
        <v>0</v>
      </c>
      <c r="Q1439" s="182">
        <f>VLOOKUP($B1439,dongia1,DG!$G$5,)</f>
        <v>1986408</v>
      </c>
      <c r="R1439" s="554"/>
      <c r="S1439" s="113">
        <f t="shared" si="685"/>
        <v>0</v>
      </c>
      <c r="T1439" s="182">
        <f>VLOOKUP($B1439,dongia1,DG!G$5,)*G1439*hskd</f>
        <v>0</v>
      </c>
      <c r="U1439" s="557">
        <f t="shared" si="677"/>
        <v>0</v>
      </c>
    </row>
    <row r="1440" spans="1:21" s="552" customFormat="1" ht="15" customHeight="1">
      <c r="A1440" s="621"/>
      <c r="B1440" s="622" t="s">
        <v>1099</v>
      </c>
      <c r="C1440" s="633" t="str">
        <f t="shared" si="675"/>
        <v xml:space="preserve"> </v>
      </c>
      <c r="D1440" s="553"/>
      <c r="E1440" s="694" t="str">
        <f>VLOOKUP($B1440,dongia1,DG!$C$5,)</f>
        <v>Kéo dây nhôm bọc 95mm2</v>
      </c>
      <c r="F1440" s="555" t="str">
        <f>VLOOKUP($B1440,dongia1,DG!$D$5,)</f>
        <v>km</v>
      </c>
      <c r="G1440" s="205">
        <f t="shared" si="683"/>
        <v>0</v>
      </c>
      <c r="H1440" s="556">
        <f t="shared" si="684"/>
        <v>0</v>
      </c>
      <c r="I1440" s="556"/>
      <c r="J1440" s="556"/>
      <c r="K1440" s="556">
        <f t="shared" si="664"/>
        <v>0</v>
      </c>
      <c r="L1440" s="556"/>
      <c r="M1440" s="556"/>
      <c r="N1440" s="556"/>
      <c r="O1440" s="556"/>
      <c r="P1440" s="182">
        <f>VLOOKUP($B1440,dongia1,DG!$F$5,)</f>
        <v>0</v>
      </c>
      <c r="Q1440" s="182">
        <f>VLOOKUP($B1440,dongia1,DG!$G$5,)</f>
        <v>2698065</v>
      </c>
      <c r="R1440" s="554"/>
      <c r="S1440" s="113">
        <f t="shared" si="685"/>
        <v>0</v>
      </c>
      <c r="T1440" s="182">
        <f>VLOOKUP($B1440,dongia1,DG!G$5,)*G1440*hskd</f>
        <v>0</v>
      </c>
      <c r="U1440" s="557">
        <f t="shared" si="677"/>
        <v>0</v>
      </c>
    </row>
    <row r="1441" spans="1:21" s="552" customFormat="1" ht="15" customHeight="1">
      <c r="A1441" s="621"/>
      <c r="B1441" s="622" t="s">
        <v>256</v>
      </c>
      <c r="C1441" s="633" t="str">
        <f t="shared" si="675"/>
        <v xml:space="preserve"> </v>
      </c>
      <c r="D1441" s="553"/>
      <c r="E1441" s="694" t="str">
        <f>VLOOKUP($B1441,dongia1,DG!$C$5,)</f>
        <v>Kéo dây nhôm bọc 120mm2</v>
      </c>
      <c r="F1441" s="555" t="str">
        <f>VLOOKUP($B1441,dongia1,DG!$D$5,)</f>
        <v>km</v>
      </c>
      <c r="G1441" s="205">
        <f t="shared" si="683"/>
        <v>0</v>
      </c>
      <c r="H1441" s="556">
        <f t="shared" si="684"/>
        <v>0</v>
      </c>
      <c r="I1441" s="556"/>
      <c r="J1441" s="556"/>
      <c r="K1441" s="556">
        <f t="shared" si="664"/>
        <v>0</v>
      </c>
      <c r="L1441" s="556"/>
      <c r="M1441" s="556"/>
      <c r="N1441" s="556"/>
      <c r="O1441" s="556"/>
      <c r="P1441" s="182">
        <f>VLOOKUP($B1441,dongia1,DG!$F$5,)</f>
        <v>0</v>
      </c>
      <c r="Q1441" s="182">
        <f>VLOOKUP($B1441,dongia1,DG!$G$5,)</f>
        <v>3694863</v>
      </c>
      <c r="R1441" s="554"/>
      <c r="S1441" s="113">
        <f t="shared" si="685"/>
        <v>0</v>
      </c>
      <c r="T1441" s="182">
        <f>VLOOKUP($B1441,dongia1,DG!G$5,)*G1441*hskd</f>
        <v>0</v>
      </c>
      <c r="U1441" s="557">
        <f t="shared" si="677"/>
        <v>0</v>
      </c>
    </row>
    <row r="1442" spans="1:21" s="552" customFormat="1" ht="15" customHeight="1">
      <c r="A1442" s="621"/>
      <c r="B1442" s="622" t="s">
        <v>666</v>
      </c>
      <c r="C1442" s="633" t="str">
        <f t="shared" si="675"/>
        <v xml:space="preserve"> </v>
      </c>
      <c r="D1442" s="553"/>
      <c r="E1442" s="694" t="str">
        <f>VLOOKUP($B1442,dongia1,DG!$C$5,)</f>
        <v>Kéo dây nhôm bọc 150mm2</v>
      </c>
      <c r="F1442" s="555" t="str">
        <f>VLOOKUP($B1442,dongia1,DG!$D$5,)</f>
        <v>km</v>
      </c>
      <c r="G1442" s="205">
        <f t="shared" si="683"/>
        <v>0</v>
      </c>
      <c r="H1442" s="556">
        <f t="shared" si="684"/>
        <v>0</v>
      </c>
      <c r="I1442" s="556"/>
      <c r="J1442" s="556"/>
      <c r="K1442" s="556">
        <f t="shared" si="664"/>
        <v>0</v>
      </c>
      <c r="L1442" s="556"/>
      <c r="M1442" s="556"/>
      <c r="N1442" s="556"/>
      <c r="O1442" s="556"/>
      <c r="P1442" s="182">
        <f>VLOOKUP($B1442,dongia1,DG!$F$5,)</f>
        <v>0</v>
      </c>
      <c r="Q1442" s="182">
        <f>VLOOKUP($B1442,dongia1,DG!$G$5,)</f>
        <v>4193263</v>
      </c>
      <c r="R1442" s="554"/>
      <c r="S1442" s="113">
        <f t="shared" si="685"/>
        <v>0</v>
      </c>
      <c r="T1442" s="182">
        <f>VLOOKUP($B1442,dongia1,DG!G$5,)*G1442*hskd</f>
        <v>0</v>
      </c>
      <c r="U1442" s="557">
        <f t="shared" si="677"/>
        <v>0</v>
      </c>
    </row>
    <row r="1443" spans="1:21" s="552" customFormat="1" ht="15" customHeight="1">
      <c r="A1443" s="621"/>
      <c r="B1443" s="622" t="s">
        <v>667</v>
      </c>
      <c r="C1443" s="633" t="str">
        <f t="shared" si="675"/>
        <v xml:space="preserve"> </v>
      </c>
      <c r="D1443" s="553"/>
      <c r="E1443" s="694" t="str">
        <f>VLOOKUP($B1443,dongia1,DG!$C$5,)</f>
        <v>Kéo dây nhôm bọc 185mm2</v>
      </c>
      <c r="F1443" s="555" t="str">
        <f>VLOOKUP($B1443,dongia1,DG!$D$5,)</f>
        <v>km</v>
      </c>
      <c r="G1443" s="205">
        <f t="shared" si="683"/>
        <v>0</v>
      </c>
      <c r="H1443" s="556">
        <f t="shared" si="684"/>
        <v>0</v>
      </c>
      <c r="I1443" s="556"/>
      <c r="J1443" s="556"/>
      <c r="K1443" s="556">
        <f t="shared" si="664"/>
        <v>0</v>
      </c>
      <c r="L1443" s="556"/>
      <c r="M1443" s="556"/>
      <c r="N1443" s="556"/>
      <c r="O1443" s="556"/>
      <c r="P1443" s="182">
        <f>VLOOKUP($B1443,dongia1,DG!$F$5,)</f>
        <v>0</v>
      </c>
      <c r="Q1443" s="182">
        <f>VLOOKUP($B1443,dongia1,DG!$G$5,)</f>
        <v>4382558</v>
      </c>
      <c r="R1443" s="554"/>
      <c r="S1443" s="113">
        <f t="shared" si="685"/>
        <v>0</v>
      </c>
      <c r="T1443" s="182">
        <f>VLOOKUP($B1443,dongia1,DG!G$5,)*G1443*hskd</f>
        <v>0</v>
      </c>
      <c r="U1443" s="557">
        <f t="shared" si="677"/>
        <v>0</v>
      </c>
    </row>
    <row r="1444" spans="1:21" s="552" customFormat="1" ht="15" customHeight="1">
      <c r="A1444" s="621"/>
      <c r="B1444" s="622" t="s">
        <v>1066</v>
      </c>
      <c r="C1444" s="633" t="str">
        <f t="shared" si="675"/>
        <v xml:space="preserve"> </v>
      </c>
      <c r="D1444" s="553"/>
      <c r="E1444" s="694" t="str">
        <f>VLOOKUP($B1444,dongia1,DG!$C$5,)</f>
        <v>Kéo dây nhôm bọc 240mm2</v>
      </c>
      <c r="F1444" s="555" t="str">
        <f>VLOOKUP($B1444,dongia1,DG!$D$5,)</f>
        <v>km</v>
      </c>
      <c r="G1444" s="205">
        <f t="shared" si="683"/>
        <v>0</v>
      </c>
      <c r="H1444" s="556">
        <f t="shared" si="684"/>
        <v>0</v>
      </c>
      <c r="I1444" s="556"/>
      <c r="J1444" s="556"/>
      <c r="K1444" s="556">
        <f t="shared" si="664"/>
        <v>0</v>
      </c>
      <c r="L1444" s="556"/>
      <c r="M1444" s="556"/>
      <c r="N1444" s="556"/>
      <c r="O1444" s="556"/>
      <c r="P1444" s="182">
        <f>VLOOKUP($B1444,dongia1,DG!$F$5,)</f>
        <v>0</v>
      </c>
      <c r="Q1444" s="182">
        <f>VLOOKUP($B1444,dongia1,DG!$G$5,)</f>
        <v>4900127</v>
      </c>
      <c r="R1444" s="554"/>
      <c r="S1444" s="113">
        <f t="shared" si="685"/>
        <v>0</v>
      </c>
      <c r="T1444" s="182">
        <f>VLOOKUP($B1444,dongia1,DG!G$5,)*G1444*hskd</f>
        <v>0</v>
      </c>
      <c r="U1444" s="557">
        <f t="shared" si="677"/>
        <v>0</v>
      </c>
    </row>
    <row r="1445" spans="1:21" s="552" customFormat="1" ht="15" customHeight="1">
      <c r="A1445" s="621"/>
      <c r="B1445" s="537" t="s">
        <v>224</v>
      </c>
      <c r="C1445" s="633" t="str">
        <f t="shared" si="675"/>
        <v xml:space="preserve"> </v>
      </c>
      <c r="D1445" s="553"/>
      <c r="E1445" s="694" t="str">
        <f>VLOOKUP($B1445,dongia1,DG!$C$5,)</f>
        <v>Lắp cáp đồng xuống thiết bị D ≤ 95mm2</v>
      </c>
      <c r="F1445" s="555" t="str">
        <f>VLOOKUP($B1445,dongia1,DG!$D$5,)</f>
        <v>m</v>
      </c>
      <c r="G1445" s="205">
        <f>SUM(D1277:D1281)</f>
        <v>0</v>
      </c>
      <c r="H1445" s="556">
        <f t="shared" si="684"/>
        <v>0</v>
      </c>
      <c r="I1445" s="556"/>
      <c r="J1445" s="556"/>
      <c r="K1445" s="556">
        <f>G1445</f>
        <v>0</v>
      </c>
      <c r="L1445" s="556"/>
      <c r="M1445" s="556"/>
      <c r="N1445" s="556"/>
      <c r="O1445" s="556"/>
      <c r="P1445" s="182"/>
      <c r="Q1445" s="182">
        <f>VLOOKUP($B1445,dongia1,DG!$G$5,)</f>
        <v>13915</v>
      </c>
      <c r="R1445" s="554"/>
      <c r="S1445" s="113">
        <f t="shared" si="685"/>
        <v>0</v>
      </c>
      <c r="T1445" s="113">
        <f>$G1445*Q1445</f>
        <v>0</v>
      </c>
      <c r="U1445" s="557">
        <f>$G1445*R1445</f>
        <v>0</v>
      </c>
    </row>
    <row r="1446" spans="1:21">
      <c r="B1446" s="696" t="s">
        <v>1116</v>
      </c>
      <c r="C1446" s="697" t="str">
        <f t="shared" si="675"/>
        <v>x</v>
      </c>
      <c r="D1446" s="698"/>
      <c r="E1446" s="699" t="str">
        <f>VLOOKUP($B1446,dongia1,DG!$C$5,)</f>
        <v>Lắp sứ đứng 24KV</v>
      </c>
      <c r="F1446" s="700" t="str">
        <f>VLOOKUP($B1446,dongia1,DG!$D$5,)</f>
        <v>bộ</v>
      </c>
      <c r="G1446" s="762">
        <f>G1307+G1311+G1315</f>
        <v>8</v>
      </c>
      <c r="H1446" s="701">
        <f t="shared" ref="H1446:H1456" si="686">$G1446</f>
        <v>8</v>
      </c>
      <c r="I1446" s="701"/>
      <c r="J1446" s="701"/>
      <c r="K1446" s="701">
        <f t="shared" si="664"/>
        <v>8</v>
      </c>
      <c r="L1446" s="701"/>
      <c r="M1446" s="701"/>
      <c r="N1446" s="701"/>
      <c r="O1446" s="701"/>
      <c r="P1446" s="702"/>
      <c r="Q1446" s="182">
        <f>VLOOKUP($B1446,dongia1,DG!$G$5,)</f>
        <v>58277.49</v>
      </c>
      <c r="R1446" s="702">
        <f>VLOOKUP($B1446,dongia1,DG!$H$5,)</f>
        <v>0</v>
      </c>
      <c r="S1446" s="702">
        <f t="shared" ref="S1446:T1456" si="687">$G1446*P1446</f>
        <v>0</v>
      </c>
      <c r="T1446" s="702">
        <f t="shared" si="687"/>
        <v>466219.92</v>
      </c>
      <c r="U1446" s="930">
        <f t="shared" si="677"/>
        <v>0</v>
      </c>
    </row>
    <row r="1447" spans="1:21">
      <c r="B1447" s="696" t="s">
        <v>1117</v>
      </c>
      <c r="C1447" s="697" t="str">
        <f t="shared" si="675"/>
        <v xml:space="preserve"> </v>
      </c>
      <c r="D1447" s="698"/>
      <c r="E1447" s="699" t="str">
        <f>VLOOKUP($B1447,dongia1,DG!$C$5,)</f>
        <v>Lắp chân sứ đỉnh</v>
      </c>
      <c r="F1447" s="700" t="str">
        <f>VLOOKUP($B1447,dongia1,DG!$D$5,)</f>
        <v>cái</v>
      </c>
      <c r="G1447" s="762">
        <f>G1312+G1316</f>
        <v>0</v>
      </c>
      <c r="H1447" s="701">
        <f t="shared" si="686"/>
        <v>0</v>
      </c>
      <c r="I1447" s="701"/>
      <c r="J1447" s="701"/>
      <c r="K1447" s="701">
        <f t="shared" si="664"/>
        <v>0</v>
      </c>
      <c r="L1447" s="701"/>
      <c r="M1447" s="701"/>
      <c r="N1447" s="701"/>
      <c r="O1447" s="701"/>
      <c r="P1447" s="702"/>
      <c r="Q1447" s="182">
        <f>VLOOKUP($B1447,dongia1,DG!$G$5,)</f>
        <v>11455</v>
      </c>
      <c r="R1447" s="703"/>
      <c r="S1447" s="702">
        <f t="shared" si="687"/>
        <v>0</v>
      </c>
      <c r="T1447" s="702">
        <f t="shared" si="687"/>
        <v>0</v>
      </c>
      <c r="U1447" s="717">
        <f t="shared" si="677"/>
        <v>0</v>
      </c>
    </row>
    <row r="1448" spans="1:21" s="1011" customFormat="1">
      <c r="A1448" s="1000"/>
      <c r="B1448" s="1001" t="s">
        <v>1116</v>
      </c>
      <c r="C1448" s="1002" t="str">
        <f t="shared" si="675"/>
        <v xml:space="preserve"> </v>
      </c>
      <c r="D1448" s="1003"/>
      <c r="E1448" s="1004" t="str">
        <f>VLOOKUP($B1448,dongia1,DG!$C$5,)&amp;": Sử dụng lại"</f>
        <v>Lắp sứ đứng 24KV: Sử dụng lại</v>
      </c>
      <c r="F1448" s="1005" t="str">
        <f>VLOOKUP($B1448,dongia1,DG!$D$5,)</f>
        <v>bộ</v>
      </c>
      <c r="G1448" s="1006">
        <f>pp3p1m!HK10+pp3p1m!HL10</f>
        <v>0</v>
      </c>
      <c r="H1448" s="1007">
        <f t="shared" si="686"/>
        <v>0</v>
      </c>
      <c r="I1448" s="1007"/>
      <c r="J1448" s="1007"/>
      <c r="K1448" s="1007">
        <f>G1448</f>
        <v>0</v>
      </c>
      <c r="L1448" s="1007"/>
      <c r="M1448" s="1007"/>
      <c r="N1448" s="1007"/>
      <c r="O1448" s="1007"/>
      <c r="P1448" s="1008"/>
      <c r="Q1448" s="1008">
        <f>VLOOKUP($B1448,dongia1,DG!$G$5,)</f>
        <v>58277.49</v>
      </c>
      <c r="R1448" s="1009"/>
      <c r="S1448" s="1008">
        <f t="shared" ref="S1448:U1449" si="688">$G1448*P1448</f>
        <v>0</v>
      </c>
      <c r="T1448" s="1008">
        <f t="shared" si="688"/>
        <v>0</v>
      </c>
      <c r="U1448" s="1010">
        <f t="shared" si="688"/>
        <v>0</v>
      </c>
    </row>
    <row r="1449" spans="1:21" s="1011" customFormat="1">
      <c r="A1449" s="1000"/>
      <c r="B1449" s="1001" t="s">
        <v>1117</v>
      </c>
      <c r="C1449" s="1002" t="str">
        <f t="shared" si="675"/>
        <v xml:space="preserve"> </v>
      </c>
      <c r="D1449" s="1003"/>
      <c r="E1449" s="1004" t="str">
        <f>VLOOKUP($B1449,dongia1,DG!$C$5,)&amp;": Sử dụng lại"</f>
        <v>Lắp chân sứ đỉnh: Sử dụng lại</v>
      </c>
      <c r="F1449" s="1005" t="str">
        <f>VLOOKUP($B1449,dongia1,DG!$D$5,)</f>
        <v>cái</v>
      </c>
      <c r="G1449" s="1006">
        <f>+pp3p1m!HL10</f>
        <v>0</v>
      </c>
      <c r="H1449" s="1007">
        <f t="shared" si="686"/>
        <v>0</v>
      </c>
      <c r="I1449" s="1007"/>
      <c r="J1449" s="1007"/>
      <c r="K1449" s="1007">
        <f>G1449</f>
        <v>0</v>
      </c>
      <c r="L1449" s="1007"/>
      <c r="M1449" s="1007"/>
      <c r="N1449" s="1007"/>
      <c r="O1449" s="1007"/>
      <c r="P1449" s="1008"/>
      <c r="Q1449" s="1008">
        <f>VLOOKUP($B1449,dongia1,DG!$G$5,)</f>
        <v>11455</v>
      </c>
      <c r="R1449" s="1009"/>
      <c r="S1449" s="1008">
        <f t="shared" si="688"/>
        <v>0</v>
      </c>
      <c r="T1449" s="1008">
        <f t="shared" si="688"/>
        <v>0</v>
      </c>
      <c r="U1449" s="1049">
        <f t="shared" si="688"/>
        <v>0</v>
      </c>
    </row>
    <row r="1450" spans="1:21" s="552" customFormat="1" ht="15" customHeight="1">
      <c r="A1450" s="621"/>
      <c r="B1450" s="622" t="s">
        <v>1118</v>
      </c>
      <c r="C1450" s="633" t="str">
        <f t="shared" si="675"/>
        <v xml:space="preserve"> </v>
      </c>
      <c r="D1450" s="553"/>
      <c r="E1450" s="694" t="str">
        <f>VLOOKUP($B1450,dongia1,DG!$C$5,)</f>
        <v>Lắp chuỗi sứ đỡ 2 bát/chuỗi</v>
      </c>
      <c r="F1450" s="555" t="str">
        <f>VLOOKUP($B1450,dongia1,DG!$D$5,)</f>
        <v>chuỗi</v>
      </c>
      <c r="G1450" s="205">
        <f>G1327</f>
        <v>0</v>
      </c>
      <c r="H1450" s="556">
        <f t="shared" si="686"/>
        <v>0</v>
      </c>
      <c r="I1450" s="556"/>
      <c r="J1450" s="556"/>
      <c r="K1450" s="556">
        <f t="shared" si="664"/>
        <v>0</v>
      </c>
      <c r="L1450" s="556"/>
      <c r="M1450" s="556"/>
      <c r="N1450" s="556"/>
      <c r="O1450" s="556"/>
      <c r="P1450" s="182"/>
      <c r="Q1450" s="182">
        <f>VLOOKUP($B1450,dongia1,DG!$G$5,)</f>
        <v>39600</v>
      </c>
      <c r="R1450" s="554"/>
      <c r="S1450" s="113">
        <f t="shared" si="687"/>
        <v>0</v>
      </c>
      <c r="T1450" s="113">
        <f t="shared" si="687"/>
        <v>0</v>
      </c>
      <c r="U1450" s="557">
        <f t="shared" si="677"/>
        <v>0</v>
      </c>
    </row>
    <row r="1451" spans="1:21" s="552" customFormat="1" ht="15" customHeight="1">
      <c r="A1451" s="621"/>
      <c r="B1451" s="622" t="s">
        <v>1119</v>
      </c>
      <c r="C1451" s="633" t="str">
        <f t="shared" si="675"/>
        <v xml:space="preserve"> </v>
      </c>
      <c r="D1451" s="553"/>
      <c r="E1451" s="694" t="str">
        <f>VLOOKUP($B1451,dongia1,DG!$C$5,)</f>
        <v>Lắp chuỗi sứ néo 2 bát/chuỗi</v>
      </c>
      <c r="F1451" s="555" t="str">
        <f>VLOOKUP($B1451,dongia1,DG!$D$5,)</f>
        <v>chuỗi</v>
      </c>
      <c r="G1451" s="205">
        <f>G1334</f>
        <v>0</v>
      </c>
      <c r="H1451" s="556">
        <f t="shared" si="686"/>
        <v>0</v>
      </c>
      <c r="I1451" s="556"/>
      <c r="J1451" s="556"/>
      <c r="K1451" s="556">
        <f t="shared" si="664"/>
        <v>0</v>
      </c>
      <c r="L1451" s="556"/>
      <c r="M1451" s="556"/>
      <c r="N1451" s="556"/>
      <c r="O1451" s="556"/>
      <c r="P1451" s="554"/>
      <c r="Q1451" s="182">
        <f>VLOOKUP($B1451,dongia1,DG!$G$5,)</f>
        <v>41800</v>
      </c>
      <c r="R1451" s="554"/>
      <c r="S1451" s="113">
        <f t="shared" si="687"/>
        <v>0</v>
      </c>
      <c r="T1451" s="113">
        <f t="shared" si="687"/>
        <v>0</v>
      </c>
      <c r="U1451" s="557">
        <f t="shared" si="677"/>
        <v>0</v>
      </c>
    </row>
    <row r="1452" spans="1:21">
      <c r="B1452" s="696" t="s">
        <v>1097</v>
      </c>
      <c r="C1452" s="697" t="str">
        <f t="shared" si="675"/>
        <v xml:space="preserve"> </v>
      </c>
      <c r="D1452" s="698"/>
      <c r="E1452" s="699" t="str">
        <f>VLOOKUP($B1452,dongia1,DG!$C$5,)</f>
        <v>Lắp chuỗi sứ néo Polymer đơn</v>
      </c>
      <c r="F1452" s="700" t="str">
        <f>VLOOKUP($B1452,dongia1,DG!$D$5,)</f>
        <v>bộ</v>
      </c>
      <c r="G1452" s="762"/>
      <c r="H1452" s="701">
        <f t="shared" si="686"/>
        <v>0</v>
      </c>
      <c r="I1452" s="701"/>
      <c r="J1452" s="701"/>
      <c r="K1452" s="701">
        <f t="shared" si="664"/>
        <v>0</v>
      </c>
      <c r="L1452" s="701"/>
      <c r="M1452" s="701"/>
      <c r="N1452" s="701"/>
      <c r="O1452" s="701"/>
      <c r="P1452" s="703"/>
      <c r="Q1452" s="182">
        <f>VLOOKUP($B1452,dongia1,DG!$G$5,)</f>
        <v>70131.600000000006</v>
      </c>
      <c r="R1452" s="702">
        <f>VLOOKUP($B1452,dongia1,DG!$H$5,)</f>
        <v>0</v>
      </c>
      <c r="S1452" s="702">
        <f>$G1452*P1452</f>
        <v>0</v>
      </c>
      <c r="T1452" s="113">
        <f t="shared" si="687"/>
        <v>0</v>
      </c>
      <c r="U1452" s="557">
        <f t="shared" si="677"/>
        <v>0</v>
      </c>
    </row>
    <row r="1453" spans="1:21">
      <c r="B1453" s="696" t="s">
        <v>4224</v>
      </c>
      <c r="C1453" s="697" t="str">
        <f t="shared" si="675"/>
        <v xml:space="preserve"> </v>
      </c>
      <c r="D1453" s="698"/>
      <c r="E1453" s="699" t="str">
        <f>VLOOKUP($B1453,dongia1,DG!$C$5,)</f>
        <v>Lắp chuỗi sứ néo Polymer kép</v>
      </c>
      <c r="F1453" s="700" t="str">
        <f>VLOOKUP($B1453,dongia1,DG!$D$5,)</f>
        <v>bộ</v>
      </c>
      <c r="G1453" s="762">
        <f>G1344</f>
        <v>0</v>
      </c>
      <c r="H1453" s="701">
        <f t="shared" si="686"/>
        <v>0</v>
      </c>
      <c r="I1453" s="701"/>
      <c r="J1453" s="701"/>
      <c r="K1453" s="701">
        <f t="shared" si="664"/>
        <v>0</v>
      </c>
      <c r="L1453" s="701"/>
      <c r="M1453" s="701"/>
      <c r="N1453" s="701"/>
      <c r="O1453" s="701"/>
      <c r="P1453" s="703"/>
      <c r="Q1453" s="702">
        <f>VLOOKUP($B1453,dongia1,DG!$G$5,)</f>
        <v>138860.568</v>
      </c>
      <c r="R1453" s="702">
        <f>VLOOKUP($B1453,dongia1,DG!$H$5,)</f>
        <v>0</v>
      </c>
      <c r="S1453" s="702">
        <f>$G1453*P1453</f>
        <v>0</v>
      </c>
      <c r="T1453" s="702">
        <f>$G1453*Q1453</f>
        <v>0</v>
      </c>
      <c r="U1453" s="704">
        <f>$G1453*R1453</f>
        <v>0</v>
      </c>
    </row>
    <row r="1454" spans="1:21">
      <c r="B1454" s="696" t="s">
        <v>602</v>
      </c>
      <c r="C1454" s="697"/>
      <c r="D1454" s="698"/>
      <c r="E1454" s="699" t="str">
        <f>VLOOKUP($B1454,dongia1,DG!$C$5,)</f>
        <v>Lắp rack sứ + sứ ống chỉ</v>
      </c>
      <c r="F1454" s="700" t="str">
        <f>VLOOKUP($B1454,dongia1,DG!$D$5,)</f>
        <v>bộ</v>
      </c>
      <c r="G1454" s="762">
        <f>G1285+G1288+G1291</f>
        <v>1</v>
      </c>
      <c r="H1454" s="701">
        <f t="shared" si="686"/>
        <v>1</v>
      </c>
      <c r="I1454" s="701"/>
      <c r="J1454" s="701"/>
      <c r="K1454" s="701">
        <f>G1454</f>
        <v>1</v>
      </c>
      <c r="L1454" s="701"/>
      <c r="M1454" s="701"/>
      <c r="N1454" s="701"/>
      <c r="O1454" s="701"/>
      <c r="P1454" s="703"/>
      <c r="Q1454" s="702">
        <f>VLOOKUP($B1454,dongia1,DG!$G$5,)</f>
        <v>15471.9</v>
      </c>
      <c r="R1454" s="702">
        <f>VLOOKUP($B1454,dongia1,DG!$H$5,)</f>
        <v>0</v>
      </c>
      <c r="S1454" s="702">
        <f t="shared" si="687"/>
        <v>0</v>
      </c>
      <c r="T1454" s="702">
        <f t="shared" si="687"/>
        <v>15471.9</v>
      </c>
      <c r="U1454" s="704">
        <f t="shared" ref="U1454:U1464" si="689">$G1454*R1454</f>
        <v>0</v>
      </c>
    </row>
    <row r="1455" spans="1:21" s="552" customFormat="1" ht="15" customHeight="1">
      <c r="A1455" s="621"/>
      <c r="B1455" s="622" t="s">
        <v>604</v>
      </c>
      <c r="C1455" s="633" t="str">
        <f t="shared" si="675"/>
        <v xml:space="preserve"> </v>
      </c>
      <c r="D1455" s="553"/>
      <c r="E1455" s="694" t="str">
        <f>VLOOKUP($B1455,dongia1,DG!$C$5,)</f>
        <v xml:space="preserve">Kéo dây qua vị trí bẻ góc dây </v>
      </c>
      <c r="F1455" s="555" t="str">
        <f>VLOOKUP($B1455,dongia1,DG!$D$5,)</f>
        <v>vị trí</v>
      </c>
      <c r="G1455" s="205"/>
      <c r="H1455" s="556">
        <f t="shared" si="686"/>
        <v>0</v>
      </c>
      <c r="I1455" s="556"/>
      <c r="J1455" s="556"/>
      <c r="K1455" s="556">
        <f>G1455</f>
        <v>0</v>
      </c>
      <c r="L1455" s="556"/>
      <c r="M1455" s="556"/>
      <c r="N1455" s="556"/>
      <c r="O1455" s="556"/>
      <c r="P1455" s="554"/>
      <c r="Q1455" s="182">
        <f>VLOOKUP($B1455,dongia1,DG!$G$5,)</f>
        <v>61933</v>
      </c>
      <c r="R1455" s="554"/>
      <c r="S1455" s="113">
        <f t="shared" si="687"/>
        <v>0</v>
      </c>
      <c r="T1455" s="113">
        <f t="shared" si="687"/>
        <v>0</v>
      </c>
      <c r="U1455" s="704">
        <f t="shared" si="689"/>
        <v>0</v>
      </c>
    </row>
    <row r="1456" spans="1:21" s="552" customFormat="1" ht="15" customHeight="1">
      <c r="A1456" s="621"/>
      <c r="B1456" s="622" t="s">
        <v>605</v>
      </c>
      <c r="C1456" s="633" t="str">
        <f t="shared" si="675"/>
        <v xml:space="preserve"> </v>
      </c>
      <c r="D1456" s="553"/>
      <c r="E1456" s="694" t="str">
        <f>VLOOKUP($B1456,dongia1,DG!$C$5,)</f>
        <v>Kéo dây qua sông ( S&lt;=300)</v>
      </c>
      <c r="F1456" s="555" t="str">
        <f>VLOOKUP($B1456,dongia1,DG!$D$5,)</f>
        <v>vị trí</v>
      </c>
      <c r="G1456" s="205"/>
      <c r="H1456" s="556">
        <f t="shared" si="686"/>
        <v>0</v>
      </c>
      <c r="I1456" s="556"/>
      <c r="J1456" s="556"/>
      <c r="K1456" s="556">
        <f>G1456</f>
        <v>0</v>
      </c>
      <c r="L1456" s="556"/>
      <c r="M1456" s="556"/>
      <c r="N1456" s="556"/>
      <c r="O1456" s="556"/>
      <c r="P1456" s="554"/>
      <c r="Q1456" s="182">
        <f>VLOOKUP($B1456,dongia1,DG!$G$5,)</f>
        <v>261513</v>
      </c>
      <c r="R1456" s="554"/>
      <c r="S1456" s="113">
        <f t="shared" si="687"/>
        <v>0</v>
      </c>
      <c r="T1456" s="113">
        <f t="shared" si="687"/>
        <v>0</v>
      </c>
      <c r="U1456" s="704">
        <f t="shared" si="689"/>
        <v>0</v>
      </c>
    </row>
    <row r="1457" spans="1:21" s="858" customFormat="1">
      <c r="A1457" s="847" t="s">
        <v>506</v>
      </c>
      <c r="B1457" s="848"/>
      <c r="C1457" s="849" t="str">
        <f>IF(G1457=0,"x"," ")</f>
        <v xml:space="preserve"> </v>
      </c>
      <c r="D1457" s="850" t="s">
        <v>606</v>
      </c>
      <c r="E1457" s="851" t="s">
        <v>4750</v>
      </c>
      <c r="F1457" s="852" t="s">
        <v>3694</v>
      </c>
      <c r="G1457" s="853">
        <f>IF(SUM(G1458:G1493)=0,1,0)</f>
        <v>1</v>
      </c>
      <c r="H1457" s="854"/>
      <c r="I1457" s="854"/>
      <c r="J1457" s="854"/>
      <c r="K1457" s="854"/>
      <c r="L1457" s="854"/>
      <c r="M1457" s="854"/>
      <c r="N1457" s="854"/>
      <c r="O1457" s="854"/>
      <c r="P1457" s="855"/>
      <c r="Q1457" s="855"/>
      <c r="R1457" s="856"/>
      <c r="S1457" s="856" t="e">
        <f>SUM(S1458:S1715)-S1626</f>
        <v>#REF!</v>
      </c>
      <c r="T1457" s="856" t="e">
        <f>SUM(T1458:T1715)</f>
        <v>#REF!</v>
      </c>
      <c r="U1457" s="704">
        <f t="shared" si="689"/>
        <v>0</v>
      </c>
    </row>
    <row r="1458" spans="1:21">
      <c r="B1458" s="696" t="s">
        <v>472</v>
      </c>
      <c r="C1458" s="697" t="str">
        <f t="shared" ref="C1458:C1489" si="690">IF(G1458&lt;&gt;0,C$1457," ")</f>
        <v xml:space="preserve"> </v>
      </c>
      <c r="D1458" s="1851"/>
      <c r="E1458" s="699" t="str">
        <f>VLOOKUP($B1458,dongia1,DG!$C$5,)</f>
        <v>Cáp nhôm lõi thép AC-50/8</v>
      </c>
      <c r="F1458" s="700" t="str">
        <f>VLOOKUP($B1458,dongia1,DG!$D$5,)</f>
        <v>kg</v>
      </c>
      <c r="G1458" s="762">
        <f>ROUND(D1458*1.02*0.195,2)</f>
        <v>0</v>
      </c>
      <c r="H1458" s="701">
        <f t="shared" ref="H1458:H1463" si="691">$G1458</f>
        <v>0</v>
      </c>
      <c r="I1458" s="701"/>
      <c r="J1458" s="701">
        <f t="shared" ref="J1458:J1463" si="692">G1458</f>
        <v>0</v>
      </c>
      <c r="K1458" s="701"/>
      <c r="L1458" s="701"/>
      <c r="M1458" s="701"/>
      <c r="N1458" s="701"/>
      <c r="O1458" s="701"/>
      <c r="P1458" s="702">
        <f>VLOOKUP($B1458,dongia1,DG!$F$5,)</f>
        <v>76800</v>
      </c>
      <c r="Q1458" s="703"/>
      <c r="R1458" s="703"/>
      <c r="S1458" s="702">
        <f t="shared" ref="S1458:U1473" si="693">$G1458*P1458</f>
        <v>0</v>
      </c>
      <c r="T1458" s="702">
        <f t="shared" si="693"/>
        <v>0</v>
      </c>
      <c r="U1458" s="704">
        <f t="shared" si="689"/>
        <v>0</v>
      </c>
    </row>
    <row r="1459" spans="1:21" s="552" customFormat="1" ht="15" customHeight="1">
      <c r="A1459" s="621"/>
      <c r="B1459" s="622" t="s">
        <v>876</v>
      </c>
      <c r="C1459" s="633" t="str">
        <f t="shared" si="690"/>
        <v xml:space="preserve"> </v>
      </c>
      <c r="D1459" s="611"/>
      <c r="E1459" s="694" t="str">
        <f>VLOOKUP($B1459,dongia1,DG!$C$5,)</f>
        <v>Cáp nhôm lõi thép AC-70/11</v>
      </c>
      <c r="F1459" s="555" t="str">
        <f>VLOOKUP($B1459,dongia1,DG!$D$5,)</f>
        <v>kg</v>
      </c>
      <c r="G1459" s="205">
        <f>ROUND(D1459*1.02*0.276,2)</f>
        <v>0</v>
      </c>
      <c r="H1459" s="556">
        <f t="shared" si="691"/>
        <v>0</v>
      </c>
      <c r="I1459" s="556"/>
      <c r="J1459" s="556">
        <f t="shared" si="692"/>
        <v>0</v>
      </c>
      <c r="K1459" s="556"/>
      <c r="L1459" s="556"/>
      <c r="M1459" s="556"/>
      <c r="N1459" s="556"/>
      <c r="O1459" s="556"/>
      <c r="P1459" s="182">
        <f>VLOOKUP($B1459,dongia1,DG!$F$5,)</f>
        <v>63000</v>
      </c>
      <c r="Q1459" s="554"/>
      <c r="R1459" s="554"/>
      <c r="S1459" s="113">
        <f t="shared" ref="S1459:T1463" si="694">$G1459*P1459</f>
        <v>0</v>
      </c>
      <c r="T1459" s="113">
        <f t="shared" si="694"/>
        <v>0</v>
      </c>
      <c r="U1459" s="704">
        <f t="shared" si="689"/>
        <v>0</v>
      </c>
    </row>
    <row r="1460" spans="1:21" s="552" customFormat="1" ht="15" customHeight="1">
      <c r="A1460" s="621"/>
      <c r="B1460" s="622" t="s">
        <v>2069</v>
      </c>
      <c r="C1460" s="633" t="str">
        <f t="shared" si="690"/>
        <v xml:space="preserve"> </v>
      </c>
      <c r="D1460" s="611"/>
      <c r="E1460" s="694" t="str">
        <f>VLOOKUP($B1460,dongia1,DG!$C$5,)</f>
        <v>Cáp nhôm lõi thép AC-95/16</v>
      </c>
      <c r="F1460" s="555" t="str">
        <f>VLOOKUP($B1460,dongia1,DG!$D$5,)</f>
        <v>kg</v>
      </c>
      <c r="G1460" s="205">
        <f>ROUND(D1460*1.02*0.385,2)</f>
        <v>0</v>
      </c>
      <c r="H1460" s="556">
        <f t="shared" si="691"/>
        <v>0</v>
      </c>
      <c r="I1460" s="556"/>
      <c r="J1460" s="556">
        <f t="shared" si="692"/>
        <v>0</v>
      </c>
      <c r="K1460" s="556"/>
      <c r="L1460" s="556"/>
      <c r="M1460" s="556"/>
      <c r="N1460" s="556"/>
      <c r="O1460" s="556"/>
      <c r="P1460" s="182">
        <f>VLOOKUP($B1460,dongia1,DG!$F$5,)</f>
        <v>63000</v>
      </c>
      <c r="Q1460" s="554"/>
      <c r="R1460" s="554"/>
      <c r="S1460" s="113">
        <f t="shared" si="694"/>
        <v>0</v>
      </c>
      <c r="T1460" s="113">
        <f t="shared" si="694"/>
        <v>0</v>
      </c>
      <c r="U1460" s="704">
        <f t="shared" si="689"/>
        <v>0</v>
      </c>
    </row>
    <row r="1461" spans="1:21" s="552" customFormat="1" ht="15" customHeight="1">
      <c r="A1461" s="621"/>
      <c r="B1461" s="622" t="s">
        <v>1070</v>
      </c>
      <c r="C1461" s="633" t="str">
        <f t="shared" si="690"/>
        <v xml:space="preserve"> </v>
      </c>
      <c r="D1461" s="1856"/>
      <c r="E1461" s="694" t="str">
        <f>VLOOKUP($B1461,dongia1,DG!$C$5,)</f>
        <v>Cáp nhôm lõi thép AC-120/19</v>
      </c>
      <c r="F1461" s="555" t="str">
        <f>VLOOKUP($B1461,dongia1,DG!$D$5,)</f>
        <v>kg</v>
      </c>
      <c r="G1461" s="205">
        <f>ROUND(D1461*1.02*0.471,2)</f>
        <v>0</v>
      </c>
      <c r="H1461" s="556">
        <f t="shared" si="691"/>
        <v>0</v>
      </c>
      <c r="I1461" s="556"/>
      <c r="J1461" s="556">
        <f t="shared" si="692"/>
        <v>0</v>
      </c>
      <c r="K1461" s="556"/>
      <c r="L1461" s="556"/>
      <c r="M1461" s="556"/>
      <c r="N1461" s="556"/>
      <c r="O1461" s="556"/>
      <c r="P1461" s="182">
        <f>VLOOKUP($B1461,dongia1,DG!$F$5,)</f>
        <v>73200</v>
      </c>
      <c r="Q1461" s="554"/>
      <c r="R1461" s="554"/>
      <c r="S1461" s="113">
        <f t="shared" si="694"/>
        <v>0</v>
      </c>
      <c r="T1461" s="113">
        <f t="shared" si="694"/>
        <v>0</v>
      </c>
      <c r="U1461" s="704">
        <f t="shared" si="689"/>
        <v>0</v>
      </c>
    </row>
    <row r="1462" spans="1:21" s="552" customFormat="1" ht="15" customHeight="1">
      <c r="A1462" s="621"/>
      <c r="B1462" s="622" t="s">
        <v>1023</v>
      </c>
      <c r="C1462" s="633" t="str">
        <f t="shared" si="690"/>
        <v xml:space="preserve"> </v>
      </c>
      <c r="D1462" s="611"/>
      <c r="E1462" s="694" t="str">
        <f>VLOOKUP($B1462,dongia1,DG!$C$5,)</f>
        <v>Cáp nhôm lõi thép AC-150/19</v>
      </c>
      <c r="F1462" s="555" t="str">
        <f>VLOOKUP($B1462,dongia1,DG!$D$5,)</f>
        <v>kg</v>
      </c>
      <c r="G1462" s="205">
        <f>ROUND(D1462*1.02*0.599,2)</f>
        <v>0</v>
      </c>
      <c r="H1462" s="556">
        <f t="shared" si="691"/>
        <v>0</v>
      </c>
      <c r="I1462" s="556"/>
      <c r="J1462" s="556">
        <f t="shared" si="692"/>
        <v>0</v>
      </c>
      <c r="K1462" s="556"/>
      <c r="L1462" s="556"/>
      <c r="M1462" s="556"/>
      <c r="N1462" s="556"/>
      <c r="O1462" s="556"/>
      <c r="P1462" s="182">
        <f>VLOOKUP($B1462,dongia1,DG!$F$5,)</f>
        <v>64600</v>
      </c>
      <c r="Q1462" s="554"/>
      <c r="R1462" s="554"/>
      <c r="S1462" s="113">
        <f t="shared" si="694"/>
        <v>0</v>
      </c>
      <c r="T1462" s="113">
        <f t="shared" si="694"/>
        <v>0</v>
      </c>
      <c r="U1462" s="704">
        <f t="shared" si="689"/>
        <v>0</v>
      </c>
    </row>
    <row r="1463" spans="1:21" s="552" customFormat="1" ht="15" customHeight="1">
      <c r="A1463" s="621"/>
      <c r="B1463" s="622" t="s">
        <v>191</v>
      </c>
      <c r="C1463" s="633" t="str">
        <f t="shared" si="690"/>
        <v xml:space="preserve"> </v>
      </c>
      <c r="D1463" s="611"/>
      <c r="E1463" s="694" t="str">
        <f>VLOOKUP($B1463,dongia1,DG!$C$5,)</f>
        <v>Cáp nhôm lõi thép AC-185/24</v>
      </c>
      <c r="F1463" s="555" t="str">
        <f>VLOOKUP($B1463,dongia1,DG!$D$5,)</f>
        <v>kg</v>
      </c>
      <c r="G1463" s="205">
        <f>ROUND(D1463*1.02*0.728,2)</f>
        <v>0</v>
      </c>
      <c r="H1463" s="556">
        <f t="shared" si="691"/>
        <v>0</v>
      </c>
      <c r="I1463" s="556"/>
      <c r="J1463" s="556">
        <f t="shared" si="692"/>
        <v>0</v>
      </c>
      <c r="K1463" s="556"/>
      <c r="L1463" s="556"/>
      <c r="M1463" s="556"/>
      <c r="N1463" s="556"/>
      <c r="O1463" s="556"/>
      <c r="P1463" s="182">
        <f>VLOOKUP($B1463,dongia1,DG!$F$5,)</f>
        <v>64600</v>
      </c>
      <c r="Q1463" s="554"/>
      <c r="R1463" s="554"/>
      <c r="S1463" s="113">
        <f t="shared" si="694"/>
        <v>0</v>
      </c>
      <c r="T1463" s="113">
        <f t="shared" si="694"/>
        <v>0</v>
      </c>
      <c r="U1463" s="704">
        <f t="shared" si="689"/>
        <v>0</v>
      </c>
    </row>
    <row r="1464" spans="1:21" s="552" customFormat="1" ht="15" customHeight="1">
      <c r="A1464" s="621"/>
      <c r="B1464" s="622" t="s">
        <v>190</v>
      </c>
      <c r="C1464" s="633" t="str">
        <f t="shared" si="690"/>
        <v xml:space="preserve"> </v>
      </c>
      <c r="D1464" s="611"/>
      <c r="E1464" s="694" t="str">
        <f>VLOOKUP($B1464,dongia1,DG!$C$5,)</f>
        <v>Cáp nhôm lõi thép AC-240/32</v>
      </c>
      <c r="F1464" s="555" t="str">
        <f>VLOOKUP($B1464,dongia1,DG!$D$5,)</f>
        <v>kg</v>
      </c>
      <c r="G1464" s="205">
        <f>ROUND(D1464*1.02*0.921,2)</f>
        <v>0</v>
      </c>
      <c r="H1464" s="556">
        <f t="shared" ref="H1464:H1627" si="695">$G1464</f>
        <v>0</v>
      </c>
      <c r="I1464" s="556"/>
      <c r="J1464" s="556">
        <f t="shared" ref="J1464:J1541" si="696">G1464</f>
        <v>0</v>
      </c>
      <c r="K1464" s="556"/>
      <c r="L1464" s="556"/>
      <c r="M1464" s="556"/>
      <c r="N1464" s="556"/>
      <c r="O1464" s="556"/>
      <c r="P1464" s="182">
        <f>VLOOKUP($B1464,dongia1,DG!$F$5,)</f>
        <v>64600</v>
      </c>
      <c r="Q1464" s="554"/>
      <c r="R1464" s="554"/>
      <c r="S1464" s="113">
        <f t="shared" si="693"/>
        <v>0</v>
      </c>
      <c r="T1464" s="113">
        <f t="shared" si="693"/>
        <v>0</v>
      </c>
      <c r="U1464" s="704">
        <f t="shared" si="689"/>
        <v>0</v>
      </c>
    </row>
    <row r="1465" spans="1:21" s="552" customFormat="1" ht="15" customHeight="1">
      <c r="A1465" s="621"/>
      <c r="B1465" s="622" t="s">
        <v>770</v>
      </c>
      <c r="C1465" s="633" t="str">
        <f t="shared" si="690"/>
        <v xml:space="preserve"> </v>
      </c>
      <c r="D1465" s="1856"/>
      <c r="E1465" s="694" t="str">
        <f>VLOOKUP($B1465,dongia1,DG!$C$5,)</f>
        <v>Cáp 24KV AC/XLPE/PVC 50mm2</v>
      </c>
      <c r="F1465" s="555" t="str">
        <f>VLOOKUP($B1465,dongia1,DG!$D$5,)</f>
        <v>mét</v>
      </c>
      <c r="G1465" s="205">
        <f t="shared" ref="G1465:G1493" si="697">ROUND(D1465*1.02,2)</f>
        <v>0</v>
      </c>
      <c r="H1465" s="556">
        <f t="shared" si="695"/>
        <v>0</v>
      </c>
      <c r="I1465" s="556"/>
      <c r="J1465" s="556">
        <f t="shared" ref="J1465:J1473" si="698">G1465</f>
        <v>0</v>
      </c>
      <c r="K1465" s="556"/>
      <c r="L1465" s="556"/>
      <c r="M1465" s="556"/>
      <c r="N1465" s="556"/>
      <c r="O1465" s="556"/>
      <c r="P1465" s="182">
        <f>VLOOKUP($B1465,dongia1,DG!$F$5,)</f>
        <v>43500</v>
      </c>
      <c r="Q1465" s="554"/>
      <c r="R1465" s="554"/>
      <c r="S1465" s="113">
        <f t="shared" si="693"/>
        <v>0</v>
      </c>
      <c r="T1465" s="113">
        <f t="shared" si="693"/>
        <v>0</v>
      </c>
      <c r="U1465" s="557">
        <f t="shared" si="693"/>
        <v>0</v>
      </c>
    </row>
    <row r="1466" spans="1:21" s="552" customFormat="1" ht="15" customHeight="1">
      <c r="A1466" s="621"/>
      <c r="B1466" s="622" t="s">
        <v>771</v>
      </c>
      <c r="C1466" s="633" t="str">
        <f t="shared" si="690"/>
        <v xml:space="preserve"> </v>
      </c>
      <c r="D1466" s="611"/>
      <c r="E1466" s="694" t="str">
        <f>VLOOKUP($B1466,dongia1,DG!$C$5,)</f>
        <v>Cáp 24KV AC/XLPE/PVC 70mm2</v>
      </c>
      <c r="F1466" s="555" t="str">
        <f>VLOOKUP($B1466,dongia1,DG!$D$5,)</f>
        <v>mét</v>
      </c>
      <c r="G1466" s="205">
        <f t="shared" si="697"/>
        <v>0</v>
      </c>
      <c r="H1466" s="556">
        <f t="shared" si="695"/>
        <v>0</v>
      </c>
      <c r="I1466" s="556"/>
      <c r="J1466" s="556">
        <f t="shared" si="698"/>
        <v>0</v>
      </c>
      <c r="K1466" s="556"/>
      <c r="L1466" s="556"/>
      <c r="M1466" s="556"/>
      <c r="N1466" s="556"/>
      <c r="O1466" s="556"/>
      <c r="P1466" s="182">
        <f>VLOOKUP($B1466,dongia1,DG!$F$5,)</f>
        <v>52100</v>
      </c>
      <c r="Q1466" s="554"/>
      <c r="R1466" s="554"/>
      <c r="S1466" s="113">
        <f t="shared" si="693"/>
        <v>0</v>
      </c>
      <c r="T1466" s="113">
        <f t="shared" si="693"/>
        <v>0</v>
      </c>
      <c r="U1466" s="557">
        <f t="shared" si="693"/>
        <v>0</v>
      </c>
    </row>
    <row r="1467" spans="1:21" s="552" customFormat="1" ht="15" customHeight="1">
      <c r="A1467" s="621"/>
      <c r="B1467" s="622" t="s">
        <v>772</v>
      </c>
      <c r="C1467" s="633" t="str">
        <f t="shared" si="690"/>
        <v xml:space="preserve"> </v>
      </c>
      <c r="D1467" s="611"/>
      <c r="E1467" s="694" t="str">
        <f>VLOOKUP($B1467,dongia1,DG!$C$5,)</f>
        <v>Cáp 24KV AC/XLPE/PVC 95mm2</v>
      </c>
      <c r="F1467" s="555" t="str">
        <f>VLOOKUP($B1467,dongia1,DG!$D$5,)</f>
        <v>mét</v>
      </c>
      <c r="G1467" s="205">
        <f t="shared" si="697"/>
        <v>0</v>
      </c>
      <c r="H1467" s="556">
        <f t="shared" si="695"/>
        <v>0</v>
      </c>
      <c r="I1467" s="556"/>
      <c r="J1467" s="556">
        <f t="shared" si="698"/>
        <v>0</v>
      </c>
      <c r="K1467" s="556"/>
      <c r="L1467" s="556"/>
      <c r="M1467" s="556"/>
      <c r="N1467" s="556"/>
      <c r="O1467" s="556"/>
      <c r="P1467" s="182">
        <f>VLOOKUP($B1467,dongia1,DG!$F$5,)</f>
        <v>64400</v>
      </c>
      <c r="Q1467" s="554"/>
      <c r="R1467" s="554"/>
      <c r="S1467" s="113">
        <f t="shared" si="693"/>
        <v>0</v>
      </c>
      <c r="T1467" s="113">
        <f t="shared" si="693"/>
        <v>0</v>
      </c>
      <c r="U1467" s="557">
        <f t="shared" si="693"/>
        <v>0</v>
      </c>
    </row>
    <row r="1468" spans="1:21" s="552" customFormat="1" ht="15" customHeight="1">
      <c r="A1468" s="621"/>
      <c r="B1468" s="622" t="s">
        <v>773</v>
      </c>
      <c r="C1468" s="633" t="str">
        <f t="shared" si="690"/>
        <v xml:space="preserve"> </v>
      </c>
      <c r="D1468" s="611"/>
      <c r="E1468" s="694" t="str">
        <f>VLOOKUP($B1468,dongia1,DG!$C$5,)</f>
        <v>Cáp 24KV AC/XLPE/PVC 120mm2</v>
      </c>
      <c r="F1468" s="555" t="str">
        <f>VLOOKUP($B1468,dongia1,DG!$D$5,)</f>
        <v>mét</v>
      </c>
      <c r="G1468" s="205">
        <f t="shared" si="697"/>
        <v>0</v>
      </c>
      <c r="H1468" s="556">
        <f t="shared" si="695"/>
        <v>0</v>
      </c>
      <c r="I1468" s="556"/>
      <c r="J1468" s="556">
        <f t="shared" si="698"/>
        <v>0</v>
      </c>
      <c r="K1468" s="556"/>
      <c r="L1468" s="556"/>
      <c r="M1468" s="556"/>
      <c r="N1468" s="556"/>
      <c r="O1468" s="556"/>
      <c r="P1468" s="182">
        <f>VLOOKUP($B1468,dongia1,DG!$F$5,)</f>
        <v>74800</v>
      </c>
      <c r="Q1468" s="554"/>
      <c r="R1468" s="554"/>
      <c r="S1468" s="113">
        <f t="shared" si="693"/>
        <v>0</v>
      </c>
      <c r="T1468" s="113">
        <f t="shared" si="693"/>
        <v>0</v>
      </c>
      <c r="U1468" s="557">
        <f t="shared" si="693"/>
        <v>0</v>
      </c>
    </row>
    <row r="1469" spans="1:21" s="552" customFormat="1" ht="15" customHeight="1">
      <c r="A1469" s="621"/>
      <c r="B1469" s="622" t="s">
        <v>774</v>
      </c>
      <c r="C1469" s="633" t="str">
        <f t="shared" si="690"/>
        <v xml:space="preserve"> </v>
      </c>
      <c r="D1469" s="611"/>
      <c r="E1469" s="694" t="str">
        <f>VLOOKUP($B1469,dongia1,DG!$C$5,)</f>
        <v>Cáp 24KV AC/XLPE/PVC 150mm2</v>
      </c>
      <c r="F1469" s="555" t="str">
        <f>VLOOKUP($B1469,dongia1,DG!$D$5,)</f>
        <v>mét</v>
      </c>
      <c r="G1469" s="205">
        <f t="shared" si="697"/>
        <v>0</v>
      </c>
      <c r="H1469" s="556">
        <f t="shared" si="695"/>
        <v>0</v>
      </c>
      <c r="I1469" s="556"/>
      <c r="J1469" s="556">
        <f t="shared" si="698"/>
        <v>0</v>
      </c>
      <c r="K1469" s="556"/>
      <c r="L1469" s="556"/>
      <c r="M1469" s="556"/>
      <c r="N1469" s="556"/>
      <c r="O1469" s="556"/>
      <c r="P1469" s="182">
        <f>VLOOKUP($B1469,dongia1,DG!$F$5,)</f>
        <v>86000</v>
      </c>
      <c r="Q1469" s="554"/>
      <c r="R1469" s="554"/>
      <c r="S1469" s="113">
        <f t="shared" si="693"/>
        <v>0</v>
      </c>
      <c r="T1469" s="113">
        <f t="shared" si="693"/>
        <v>0</v>
      </c>
      <c r="U1469" s="557">
        <f t="shared" si="693"/>
        <v>0</v>
      </c>
    </row>
    <row r="1470" spans="1:21" s="552" customFormat="1" ht="15" customHeight="1">
      <c r="A1470" s="621"/>
      <c r="B1470" s="622" t="s">
        <v>775</v>
      </c>
      <c r="C1470" s="633" t="str">
        <f t="shared" si="690"/>
        <v xml:space="preserve"> </v>
      </c>
      <c r="D1470" s="611"/>
      <c r="E1470" s="694" t="str">
        <f>VLOOKUP($B1470,dongia1,DG!$C$5,)</f>
        <v>Cáp 24KV AC/XLPE/PVC 185mm2</v>
      </c>
      <c r="F1470" s="555" t="str">
        <f>VLOOKUP($B1470,dongia1,DG!$D$5,)</f>
        <v>mét</v>
      </c>
      <c r="G1470" s="205">
        <f t="shared" si="697"/>
        <v>0</v>
      </c>
      <c r="H1470" s="556">
        <f t="shared" si="695"/>
        <v>0</v>
      </c>
      <c r="I1470" s="556"/>
      <c r="J1470" s="556">
        <f t="shared" si="698"/>
        <v>0</v>
      </c>
      <c r="K1470" s="556"/>
      <c r="L1470" s="556"/>
      <c r="M1470" s="556"/>
      <c r="N1470" s="556"/>
      <c r="O1470" s="556"/>
      <c r="P1470" s="182">
        <f>VLOOKUP($B1470,dongia1,DG!$F$5,)</f>
        <v>100800</v>
      </c>
      <c r="Q1470" s="554"/>
      <c r="R1470" s="554"/>
      <c r="S1470" s="113">
        <f t="shared" si="693"/>
        <v>0</v>
      </c>
      <c r="T1470" s="113">
        <f t="shared" si="693"/>
        <v>0</v>
      </c>
      <c r="U1470" s="557">
        <f t="shared" si="693"/>
        <v>0</v>
      </c>
    </row>
    <row r="1471" spans="1:21" s="552" customFormat="1" ht="15" customHeight="1">
      <c r="A1471" s="621"/>
      <c r="B1471" s="622" t="s">
        <v>776</v>
      </c>
      <c r="C1471" s="633" t="str">
        <f t="shared" si="690"/>
        <v xml:space="preserve"> </v>
      </c>
      <c r="D1471" s="611"/>
      <c r="E1471" s="694" t="str">
        <f>VLOOKUP($B1471,dongia1,DG!$C$5,)</f>
        <v>Cáp 24KV AC/XLPE/PVC 240mm2</v>
      </c>
      <c r="F1471" s="555" t="str">
        <f>VLOOKUP($B1471,dongia1,DG!$D$5,)</f>
        <v>mét</v>
      </c>
      <c r="G1471" s="205">
        <f t="shared" si="697"/>
        <v>0</v>
      </c>
      <c r="H1471" s="556">
        <f t="shared" si="695"/>
        <v>0</v>
      </c>
      <c r="I1471" s="556"/>
      <c r="J1471" s="556">
        <f t="shared" si="698"/>
        <v>0</v>
      </c>
      <c r="K1471" s="556"/>
      <c r="L1471" s="556"/>
      <c r="M1471" s="556"/>
      <c r="N1471" s="556"/>
      <c r="O1471" s="556"/>
      <c r="P1471" s="182">
        <f>VLOOKUP($B1471,dongia1,DG!$F$5,)</f>
        <v>121800</v>
      </c>
      <c r="Q1471" s="554"/>
      <c r="R1471" s="554"/>
      <c r="S1471" s="113">
        <f t="shared" si="693"/>
        <v>0</v>
      </c>
      <c r="T1471" s="113">
        <f t="shared" si="693"/>
        <v>0</v>
      </c>
      <c r="U1471" s="557">
        <f t="shared" si="693"/>
        <v>0</v>
      </c>
    </row>
    <row r="1472" spans="1:21" ht="16.5" customHeight="1">
      <c r="B1472" s="696" t="s">
        <v>3991</v>
      </c>
      <c r="C1472" s="697" t="str">
        <f t="shared" si="690"/>
        <v xml:space="preserve"> </v>
      </c>
      <c r="D1472" s="1851"/>
      <c r="E1472" s="699" t="str">
        <f>VLOOKUP($B1472,dongia1,DG!$C$5,)</f>
        <v>Cáp 24KV AC/XLPE 50mm2</v>
      </c>
      <c r="F1472" s="700" t="str">
        <f>VLOOKUP($B1472,dongia1,DG!$D$5,)</f>
        <v>mét</v>
      </c>
      <c r="G1472" s="762">
        <f t="shared" si="697"/>
        <v>0</v>
      </c>
      <c r="H1472" s="701">
        <f t="shared" si="695"/>
        <v>0</v>
      </c>
      <c r="I1472" s="701"/>
      <c r="J1472" s="701">
        <f t="shared" si="698"/>
        <v>0</v>
      </c>
      <c r="K1472" s="701"/>
      <c r="L1472" s="701"/>
      <c r="M1472" s="701"/>
      <c r="N1472" s="701"/>
      <c r="O1472" s="701"/>
      <c r="P1472" s="702">
        <f>VLOOKUP($B1472,dongia1,DG!$F$5,)</f>
        <v>56400</v>
      </c>
      <c r="Q1472" s="703"/>
      <c r="R1472" s="703"/>
      <c r="S1472" s="702">
        <f t="shared" si="693"/>
        <v>0</v>
      </c>
      <c r="T1472" s="702">
        <f t="shared" si="693"/>
        <v>0</v>
      </c>
      <c r="U1472" s="930">
        <f t="shared" si="693"/>
        <v>0</v>
      </c>
    </row>
    <row r="1473" spans="1:21" s="552" customFormat="1" ht="15" customHeight="1">
      <c r="A1473" s="621"/>
      <c r="B1473" s="622" t="s">
        <v>3992</v>
      </c>
      <c r="C1473" s="633" t="str">
        <f t="shared" si="690"/>
        <v xml:space="preserve"> </v>
      </c>
      <c r="D1473" s="611"/>
      <c r="E1473" s="694" t="str">
        <f>VLOOKUP($B1473,dongia1,DG!$C$5,)</f>
        <v>Cáp 24KV AC/XLPE 70mm2</v>
      </c>
      <c r="F1473" s="555" t="str">
        <f>VLOOKUP($B1473,dongia1,DG!$D$5,)</f>
        <v>mét</v>
      </c>
      <c r="G1473" s="205">
        <f t="shared" si="697"/>
        <v>0</v>
      </c>
      <c r="H1473" s="556">
        <f t="shared" si="695"/>
        <v>0</v>
      </c>
      <c r="I1473" s="556"/>
      <c r="J1473" s="556">
        <f t="shared" si="698"/>
        <v>0</v>
      </c>
      <c r="K1473" s="556"/>
      <c r="L1473" s="556"/>
      <c r="M1473" s="556"/>
      <c r="N1473" s="556"/>
      <c r="O1473" s="556"/>
      <c r="P1473" s="182">
        <f>VLOOKUP($B1473,dongia1,DG!$F$5,)</f>
        <v>52100</v>
      </c>
      <c r="Q1473" s="554"/>
      <c r="R1473" s="554"/>
      <c r="S1473" s="113">
        <f t="shared" si="693"/>
        <v>0</v>
      </c>
      <c r="T1473" s="113">
        <f t="shared" si="693"/>
        <v>0</v>
      </c>
      <c r="U1473" s="715">
        <f t="shared" si="693"/>
        <v>0</v>
      </c>
    </row>
    <row r="1474" spans="1:21" s="552" customFormat="1" ht="15" customHeight="1">
      <c r="A1474" s="621"/>
      <c r="B1474" s="622" t="s">
        <v>4205</v>
      </c>
      <c r="C1474" s="633" t="str">
        <f t="shared" si="690"/>
        <v xml:space="preserve"> </v>
      </c>
      <c r="D1474" s="1856"/>
      <c r="E1474" s="694" t="str">
        <f>VLOOKUP($B1474,dongia1,DG!$C$5,)</f>
        <v>Cáp 24KV C/XLPE/PVC 95mm2</v>
      </c>
      <c r="F1474" s="555" t="str">
        <f>VLOOKUP($B1474,dongia1,DG!$D$5,)</f>
        <v>mét</v>
      </c>
      <c r="G1474" s="205">
        <f t="shared" si="697"/>
        <v>0</v>
      </c>
      <c r="H1474" s="556">
        <f t="shared" si="695"/>
        <v>0</v>
      </c>
      <c r="I1474" s="556"/>
      <c r="J1474" s="556">
        <f t="shared" si="696"/>
        <v>0</v>
      </c>
      <c r="K1474" s="556"/>
      <c r="L1474" s="556"/>
      <c r="M1474" s="556"/>
      <c r="N1474" s="556"/>
      <c r="O1474" s="556"/>
      <c r="P1474" s="182">
        <f>VLOOKUP($B1474,dongia1,DG!$F$5,)</f>
        <v>265000</v>
      </c>
      <c r="Q1474" s="554"/>
      <c r="R1474" s="554"/>
      <c r="S1474" s="113">
        <f t="shared" ref="S1474:S1485" si="699">$G1474*P1474</f>
        <v>0</v>
      </c>
      <c r="T1474" s="113">
        <f t="shared" ref="T1474:T1485" si="700">$G1474*Q1474</f>
        <v>0</v>
      </c>
      <c r="U1474" s="557">
        <f t="shared" ref="U1474:U1485" si="701">$G1474*R1474</f>
        <v>0</v>
      </c>
    </row>
    <row r="1475" spans="1:21" s="552" customFormat="1" ht="15" customHeight="1">
      <c r="A1475" s="621"/>
      <c r="B1475" s="622" t="s">
        <v>4206</v>
      </c>
      <c r="C1475" s="633" t="str">
        <f t="shared" si="690"/>
        <v xml:space="preserve"> </v>
      </c>
      <c r="D1475" s="611"/>
      <c r="E1475" s="694" t="str">
        <f>VLOOKUP($B1475,dongia1,DG!$C$5,)</f>
        <v>Cáp 24KV AC/XLPE 120mm2</v>
      </c>
      <c r="F1475" s="555" t="str">
        <f>VLOOKUP($B1475,dongia1,DG!$D$5,)</f>
        <v>mét</v>
      </c>
      <c r="G1475" s="205">
        <f t="shared" si="697"/>
        <v>0</v>
      </c>
      <c r="H1475" s="556">
        <f t="shared" si="695"/>
        <v>0</v>
      </c>
      <c r="I1475" s="556"/>
      <c r="J1475" s="556">
        <f t="shared" si="696"/>
        <v>0</v>
      </c>
      <c r="K1475" s="556"/>
      <c r="L1475" s="556"/>
      <c r="M1475" s="556"/>
      <c r="N1475" s="556"/>
      <c r="O1475" s="556"/>
      <c r="P1475" s="182">
        <f>VLOOKUP($B1475,dongia1,DG!$F$5,)</f>
        <v>74800</v>
      </c>
      <c r="Q1475" s="554"/>
      <c r="R1475" s="554"/>
      <c r="S1475" s="113">
        <f t="shared" si="699"/>
        <v>0</v>
      </c>
      <c r="T1475" s="113">
        <f t="shared" si="700"/>
        <v>0</v>
      </c>
      <c r="U1475" s="557">
        <f t="shared" si="701"/>
        <v>0</v>
      </c>
    </row>
    <row r="1476" spans="1:21" s="552" customFormat="1" ht="15" customHeight="1">
      <c r="A1476" s="621"/>
      <c r="B1476" s="622" t="s">
        <v>4207</v>
      </c>
      <c r="C1476" s="633" t="str">
        <f t="shared" si="690"/>
        <v xml:space="preserve"> </v>
      </c>
      <c r="D1476" s="611"/>
      <c r="E1476" s="694" t="str">
        <f>VLOOKUP($B1476,dongia1,DG!$C$5,)</f>
        <v>Cáp 24KV AC/XLPE 150mm2</v>
      </c>
      <c r="F1476" s="555" t="str">
        <f>VLOOKUP($B1476,dongia1,DG!$D$5,)</f>
        <v>mét</v>
      </c>
      <c r="G1476" s="205">
        <f t="shared" si="697"/>
        <v>0</v>
      </c>
      <c r="H1476" s="556">
        <f>$G1476</f>
        <v>0</v>
      </c>
      <c r="I1476" s="556"/>
      <c r="J1476" s="556">
        <f t="shared" si="696"/>
        <v>0</v>
      </c>
      <c r="K1476" s="556"/>
      <c r="L1476" s="556"/>
      <c r="M1476" s="556"/>
      <c r="N1476" s="556"/>
      <c r="O1476" s="556"/>
      <c r="P1476" s="182">
        <f>VLOOKUP($B1476,dongia1,DG!$F$5,)</f>
        <v>86000</v>
      </c>
      <c r="Q1476" s="554"/>
      <c r="R1476" s="554"/>
      <c r="S1476" s="113">
        <f t="shared" si="699"/>
        <v>0</v>
      </c>
      <c r="T1476" s="113">
        <f t="shared" si="700"/>
        <v>0</v>
      </c>
      <c r="U1476" s="557">
        <f t="shared" si="701"/>
        <v>0</v>
      </c>
    </row>
    <row r="1477" spans="1:21" s="552" customFormat="1" ht="15" customHeight="1">
      <c r="A1477" s="621"/>
      <c r="B1477" s="622" t="s">
        <v>4208</v>
      </c>
      <c r="C1477" s="633" t="str">
        <f t="shared" si="690"/>
        <v xml:space="preserve"> </v>
      </c>
      <c r="D1477" s="611"/>
      <c r="E1477" s="694" t="str">
        <f>VLOOKUP($B1477,dongia1,DG!$C$5,)</f>
        <v>Cáp 24KV AC/XLPE 185mm2</v>
      </c>
      <c r="F1477" s="555" t="str">
        <f>VLOOKUP($B1477,dongia1,DG!$D$5,)</f>
        <v>mét</v>
      </c>
      <c r="G1477" s="205">
        <f t="shared" si="697"/>
        <v>0</v>
      </c>
      <c r="H1477" s="556">
        <f t="shared" si="695"/>
        <v>0</v>
      </c>
      <c r="I1477" s="556"/>
      <c r="J1477" s="556">
        <f t="shared" si="696"/>
        <v>0</v>
      </c>
      <c r="K1477" s="556"/>
      <c r="L1477" s="556"/>
      <c r="M1477" s="556"/>
      <c r="N1477" s="556"/>
      <c r="O1477" s="556"/>
      <c r="P1477" s="182">
        <f>VLOOKUP($B1477,dongia1,DG!$F$5,)</f>
        <v>100800</v>
      </c>
      <c r="Q1477" s="554"/>
      <c r="R1477" s="554"/>
      <c r="S1477" s="113">
        <f t="shared" si="699"/>
        <v>0</v>
      </c>
      <c r="T1477" s="113">
        <f t="shared" si="700"/>
        <v>0</v>
      </c>
      <c r="U1477" s="557">
        <f t="shared" si="701"/>
        <v>0</v>
      </c>
    </row>
    <row r="1478" spans="1:21" s="552" customFormat="1" ht="15" customHeight="1">
      <c r="A1478" s="621"/>
      <c r="B1478" s="622" t="s">
        <v>4209</v>
      </c>
      <c r="C1478" s="633" t="str">
        <f t="shared" si="690"/>
        <v xml:space="preserve"> </v>
      </c>
      <c r="D1478" s="1856"/>
      <c r="E1478" s="694" t="str">
        <f>VLOOKUP($B1478,dongia1,DG!$C$5,)</f>
        <v>Cáp 24KV AC/XLPE 240mm2</v>
      </c>
      <c r="F1478" s="555" t="str">
        <f>VLOOKUP($B1478,dongia1,DG!$D$5,)</f>
        <v>mét</v>
      </c>
      <c r="G1478" s="205">
        <f t="shared" si="697"/>
        <v>0</v>
      </c>
      <c r="H1478" s="556">
        <f t="shared" si="695"/>
        <v>0</v>
      </c>
      <c r="I1478" s="556"/>
      <c r="J1478" s="556">
        <f t="shared" si="696"/>
        <v>0</v>
      </c>
      <c r="K1478" s="556"/>
      <c r="L1478" s="556"/>
      <c r="M1478" s="556"/>
      <c r="N1478" s="556"/>
      <c r="O1478" s="556"/>
      <c r="P1478" s="182">
        <f>VLOOKUP($B1478,dongia1,DG!$F$5,)</f>
        <v>154900</v>
      </c>
      <c r="Q1478" s="554"/>
      <c r="R1478" s="554"/>
      <c r="S1478" s="113">
        <f t="shared" si="699"/>
        <v>0</v>
      </c>
      <c r="T1478" s="113">
        <f t="shared" si="700"/>
        <v>0</v>
      </c>
      <c r="U1478" s="718">
        <f t="shared" si="701"/>
        <v>0</v>
      </c>
    </row>
    <row r="1479" spans="1:21" s="552" customFormat="1" ht="15" customHeight="1">
      <c r="A1479" s="621"/>
      <c r="B1479" s="622" t="s">
        <v>268</v>
      </c>
      <c r="C1479" s="633" t="str">
        <f t="shared" si="690"/>
        <v xml:space="preserve"> </v>
      </c>
      <c r="D1479" s="611"/>
      <c r="E1479" s="694" t="str">
        <f>VLOOKUP($B1479,dongia1,DG!$C$5,)</f>
        <v>Cáp 24KV A/XLPE 50mm2</v>
      </c>
      <c r="F1479" s="555" t="str">
        <f>VLOOKUP($B1479,dongia1,DG!$D$5,)</f>
        <v>mét</v>
      </c>
      <c r="G1479" s="205">
        <f t="shared" si="697"/>
        <v>0</v>
      </c>
      <c r="H1479" s="556">
        <f t="shared" si="695"/>
        <v>0</v>
      </c>
      <c r="I1479" s="556"/>
      <c r="J1479" s="556">
        <f t="shared" ref="J1479:J1484" si="702">G1479</f>
        <v>0</v>
      </c>
      <c r="K1479" s="556"/>
      <c r="L1479" s="556"/>
      <c r="M1479" s="556"/>
      <c r="N1479" s="556"/>
      <c r="O1479" s="556"/>
      <c r="P1479" s="182">
        <f>VLOOKUP($B1479,dongia1,DG!$F$5,)</f>
        <v>58300</v>
      </c>
      <c r="Q1479" s="554"/>
      <c r="R1479" s="554"/>
      <c r="S1479" s="113">
        <f t="shared" ref="S1479:S1484" si="703">$G1479*P1479</f>
        <v>0</v>
      </c>
      <c r="T1479" s="113">
        <f t="shared" ref="T1479:T1484" si="704">$G1479*Q1479</f>
        <v>0</v>
      </c>
      <c r="U1479" s="715">
        <f t="shared" ref="U1479:U1484" si="705">$G1479*R1479</f>
        <v>0</v>
      </c>
    </row>
    <row r="1480" spans="1:21" s="552" customFormat="1" ht="15" customHeight="1">
      <c r="A1480" s="621"/>
      <c r="B1480" s="622" t="s">
        <v>269</v>
      </c>
      <c r="C1480" s="633" t="str">
        <f t="shared" si="690"/>
        <v xml:space="preserve"> </v>
      </c>
      <c r="D1480" s="611"/>
      <c r="E1480" s="694" t="str">
        <f>VLOOKUP($B1480,dongia1,DG!$C$5,)</f>
        <v>Cáp 24KV A/XLPE 70mm2</v>
      </c>
      <c r="F1480" s="555" t="str">
        <f>VLOOKUP($B1480,dongia1,DG!$D$5,)</f>
        <v>mét</v>
      </c>
      <c r="G1480" s="205">
        <f t="shared" si="697"/>
        <v>0</v>
      </c>
      <c r="H1480" s="556">
        <f t="shared" si="695"/>
        <v>0</v>
      </c>
      <c r="I1480" s="556"/>
      <c r="J1480" s="556">
        <f t="shared" si="702"/>
        <v>0</v>
      </c>
      <c r="K1480" s="556"/>
      <c r="L1480" s="556"/>
      <c r="M1480" s="556"/>
      <c r="N1480" s="556"/>
      <c r="O1480" s="556"/>
      <c r="P1480" s="182">
        <f>VLOOKUP($B1480,dongia1,DG!$F$5,)</f>
        <v>69000</v>
      </c>
      <c r="Q1480" s="554"/>
      <c r="R1480" s="554"/>
      <c r="S1480" s="113">
        <f t="shared" si="703"/>
        <v>0</v>
      </c>
      <c r="T1480" s="113">
        <f t="shared" si="704"/>
        <v>0</v>
      </c>
      <c r="U1480" s="557">
        <f t="shared" si="705"/>
        <v>0</v>
      </c>
    </row>
    <row r="1481" spans="1:21" s="552" customFormat="1" ht="15" customHeight="1">
      <c r="A1481" s="621"/>
      <c r="B1481" s="622" t="s">
        <v>270</v>
      </c>
      <c r="C1481" s="633" t="str">
        <f t="shared" si="690"/>
        <v xml:space="preserve"> </v>
      </c>
      <c r="D1481" s="611"/>
      <c r="E1481" s="694" t="str">
        <f>VLOOKUP($B1481,dongia1,DG!$C$5,)</f>
        <v>Cáp 24KV A/XLPE/PVC 95mm2</v>
      </c>
      <c r="F1481" s="555" t="str">
        <f>VLOOKUP($B1481,dongia1,DG!$D$5,)</f>
        <v>mét</v>
      </c>
      <c r="G1481" s="205">
        <f t="shared" si="697"/>
        <v>0</v>
      </c>
      <c r="H1481" s="556">
        <f t="shared" si="695"/>
        <v>0</v>
      </c>
      <c r="I1481" s="556"/>
      <c r="J1481" s="556">
        <f t="shared" si="702"/>
        <v>0</v>
      </c>
      <c r="K1481" s="556"/>
      <c r="L1481" s="556"/>
      <c r="M1481" s="556"/>
      <c r="N1481" s="556"/>
      <c r="O1481" s="556"/>
      <c r="P1481" s="182">
        <f>VLOOKUP($B1481,dongia1,DG!$F$5,)</f>
        <v>46400</v>
      </c>
      <c r="Q1481" s="554"/>
      <c r="R1481" s="554"/>
      <c r="S1481" s="113">
        <f t="shared" si="703"/>
        <v>0</v>
      </c>
      <c r="T1481" s="113">
        <f t="shared" si="704"/>
        <v>0</v>
      </c>
      <c r="U1481" s="557">
        <f t="shared" si="705"/>
        <v>0</v>
      </c>
    </row>
    <row r="1482" spans="1:21" s="552" customFormat="1" ht="57" customHeight="1">
      <c r="A1482" s="621"/>
      <c r="B1482" s="622" t="s">
        <v>1505</v>
      </c>
      <c r="C1482" s="633" t="str">
        <f t="shared" si="690"/>
        <v xml:space="preserve"> </v>
      </c>
      <c r="D1482" s="611"/>
      <c r="E1482" s="694" t="str">
        <f>VLOOKUP($B1482,dongia1,DG!$C$5,)</f>
        <v>Cáp 24KV A/XLPE/PVC 120mm2</v>
      </c>
      <c r="F1482" s="555" t="str">
        <f>VLOOKUP($B1482,dongia1,DG!$D$5,)</f>
        <v>mét</v>
      </c>
      <c r="G1482" s="205">
        <f t="shared" si="697"/>
        <v>0</v>
      </c>
      <c r="H1482" s="556">
        <f t="shared" si="695"/>
        <v>0</v>
      </c>
      <c r="I1482" s="556"/>
      <c r="J1482" s="556">
        <f t="shared" si="702"/>
        <v>0</v>
      </c>
      <c r="K1482" s="556"/>
      <c r="L1482" s="556"/>
      <c r="M1482" s="556"/>
      <c r="N1482" s="556"/>
      <c r="O1482" s="556"/>
      <c r="P1482" s="182">
        <f>VLOOKUP($B1482,dongia1,DG!$F$5,)</f>
        <v>54100</v>
      </c>
      <c r="Q1482" s="554"/>
      <c r="R1482" s="554"/>
      <c r="S1482" s="113">
        <f t="shared" si="703"/>
        <v>0</v>
      </c>
      <c r="T1482" s="113">
        <f t="shared" si="704"/>
        <v>0</v>
      </c>
      <c r="U1482" s="557">
        <f t="shared" si="705"/>
        <v>0</v>
      </c>
    </row>
    <row r="1483" spans="1:21" s="552" customFormat="1" ht="15" customHeight="1">
      <c r="A1483" s="621"/>
      <c r="B1483" s="622" t="s">
        <v>1199</v>
      </c>
      <c r="C1483" s="633" t="str">
        <f t="shared" si="690"/>
        <v xml:space="preserve"> </v>
      </c>
      <c r="D1483" s="611"/>
      <c r="E1483" s="694" t="str">
        <f>VLOOKUP($B1483,dongia1,DG!$C$5,)</f>
        <v>Cáp 24KV A/XLPE/PVC 150mm2</v>
      </c>
      <c r="F1483" s="555" t="str">
        <f>VLOOKUP($B1483,dongia1,DG!$D$5,)</f>
        <v>mét</v>
      </c>
      <c r="G1483" s="205">
        <f t="shared" si="697"/>
        <v>0</v>
      </c>
      <c r="H1483" s="556">
        <f t="shared" si="695"/>
        <v>0</v>
      </c>
      <c r="I1483" s="556"/>
      <c r="J1483" s="556">
        <f t="shared" si="702"/>
        <v>0</v>
      </c>
      <c r="K1483" s="556"/>
      <c r="L1483" s="556"/>
      <c r="M1483" s="556"/>
      <c r="N1483" s="556"/>
      <c r="O1483" s="556"/>
      <c r="P1483" s="182">
        <f>VLOOKUP($B1483,dongia1,DG!$F$5,)</f>
        <v>65000</v>
      </c>
      <c r="Q1483" s="554"/>
      <c r="R1483" s="554"/>
      <c r="S1483" s="113">
        <f t="shared" si="703"/>
        <v>0</v>
      </c>
      <c r="T1483" s="113">
        <f t="shared" si="704"/>
        <v>0</v>
      </c>
      <c r="U1483" s="557">
        <f t="shared" si="705"/>
        <v>0</v>
      </c>
    </row>
    <row r="1484" spans="1:21" s="552" customFormat="1" ht="15" customHeight="1">
      <c r="A1484" s="621"/>
      <c r="B1484" s="622" t="s">
        <v>1198</v>
      </c>
      <c r="C1484" s="633" t="str">
        <f t="shared" si="690"/>
        <v xml:space="preserve"> </v>
      </c>
      <c r="D1484" s="611"/>
      <c r="E1484" s="694" t="str">
        <f>VLOOKUP($B1484,dongia1,DG!$C$5,)</f>
        <v>Cáp 24KV A/XLPE/PVC 185mm2</v>
      </c>
      <c r="F1484" s="555" t="str">
        <f>VLOOKUP($B1484,dongia1,DG!$D$5,)</f>
        <v>mét</v>
      </c>
      <c r="G1484" s="205">
        <f t="shared" si="697"/>
        <v>0</v>
      </c>
      <c r="H1484" s="556">
        <f t="shared" si="695"/>
        <v>0</v>
      </c>
      <c r="I1484" s="556"/>
      <c r="J1484" s="556">
        <f t="shared" si="702"/>
        <v>0</v>
      </c>
      <c r="K1484" s="556"/>
      <c r="L1484" s="556"/>
      <c r="M1484" s="556"/>
      <c r="N1484" s="556"/>
      <c r="O1484" s="556"/>
      <c r="P1484" s="182">
        <f>VLOOKUP($B1484,dongia1,DG!$F$5,)</f>
        <v>74900</v>
      </c>
      <c r="Q1484" s="554"/>
      <c r="R1484" s="554"/>
      <c r="S1484" s="113">
        <f t="shared" si="703"/>
        <v>0</v>
      </c>
      <c r="T1484" s="113">
        <f t="shared" si="704"/>
        <v>0</v>
      </c>
      <c r="U1484" s="557">
        <f t="shared" si="705"/>
        <v>0</v>
      </c>
    </row>
    <row r="1485" spans="1:21" s="552" customFormat="1" ht="15" customHeight="1">
      <c r="A1485" s="621"/>
      <c r="B1485" s="622" t="s">
        <v>1990</v>
      </c>
      <c r="C1485" s="633" t="str">
        <f t="shared" si="690"/>
        <v xml:space="preserve"> </v>
      </c>
      <c r="D1485" s="611"/>
      <c r="E1485" s="694" t="str">
        <f>VLOOKUP($B1485,dongia1,DG!$C$5,)</f>
        <v>Cáp 24KV A/XLPE/PVC 240mm2</v>
      </c>
      <c r="F1485" s="555" t="str">
        <f>VLOOKUP($B1485,dongia1,DG!$D$5,)</f>
        <v>mét</v>
      </c>
      <c r="G1485" s="205">
        <f t="shared" si="697"/>
        <v>0</v>
      </c>
      <c r="H1485" s="556">
        <f t="shared" si="695"/>
        <v>0</v>
      </c>
      <c r="I1485" s="556"/>
      <c r="J1485" s="556">
        <f t="shared" si="696"/>
        <v>0</v>
      </c>
      <c r="K1485" s="556"/>
      <c r="L1485" s="556"/>
      <c r="M1485" s="556"/>
      <c r="N1485" s="556"/>
      <c r="O1485" s="556"/>
      <c r="P1485" s="182">
        <f>VLOOKUP($B1485,dongia1,DG!$F$5,)</f>
        <v>127400</v>
      </c>
      <c r="Q1485" s="554"/>
      <c r="R1485" s="554"/>
      <c r="S1485" s="113">
        <f t="shared" si="699"/>
        <v>0</v>
      </c>
      <c r="T1485" s="113">
        <f t="shared" si="700"/>
        <v>0</v>
      </c>
      <c r="U1485" s="557">
        <f t="shared" si="701"/>
        <v>0</v>
      </c>
    </row>
    <row r="1486" spans="1:21" s="552" customFormat="1" ht="15" customHeight="1">
      <c r="A1486" s="621"/>
      <c r="B1486" s="622" t="s">
        <v>648</v>
      </c>
      <c r="C1486" s="633" t="str">
        <f t="shared" si="690"/>
        <v xml:space="preserve"> </v>
      </c>
      <c r="D1486" s="611"/>
      <c r="E1486" s="694" t="str">
        <f>VLOOKUP($B1486,dongia1,DG!$C$5,)&amp;": Đấu hotline"</f>
        <v>Cáp 24KV C/XLPE/PVC- 25mm2: Đấu hotline</v>
      </c>
      <c r="F1486" s="555" t="str">
        <f>VLOOKUP($B1486,dongia1,DG!$D$5,)</f>
        <v>mét</v>
      </c>
      <c r="G1486" s="205">
        <f t="shared" si="697"/>
        <v>0</v>
      </c>
      <c r="H1486" s="556">
        <f t="shared" si="695"/>
        <v>0</v>
      </c>
      <c r="I1486" s="556"/>
      <c r="J1486" s="556">
        <f t="shared" si="696"/>
        <v>0</v>
      </c>
      <c r="K1486" s="556"/>
      <c r="L1486" s="556"/>
      <c r="M1486" s="556"/>
      <c r="N1486" s="556"/>
      <c r="O1486" s="556"/>
      <c r="P1486" s="182">
        <f>VLOOKUP($B1486,dongia1,DG!$F$5,)</f>
        <v>50996</v>
      </c>
      <c r="Q1486" s="624"/>
      <c r="R1486" s="554"/>
      <c r="S1486" s="113">
        <f>$G1486*P1486</f>
        <v>0</v>
      </c>
      <c r="T1486" s="113">
        <f>$G1486*Q1486</f>
        <v>0</v>
      </c>
      <c r="U1486" s="557">
        <f>$G1486*R1486</f>
        <v>0</v>
      </c>
    </row>
    <row r="1487" spans="1:21" s="739" customFormat="1" ht="30" customHeight="1">
      <c r="A1487" s="729"/>
      <c r="B1487" s="730" t="s">
        <v>4907</v>
      </c>
      <c r="C1487" s="731" t="str">
        <f t="shared" si="690"/>
        <v xml:space="preserve"> </v>
      </c>
      <c r="D1487" s="732"/>
      <c r="E1487" s="733" t="str">
        <f>VLOOKUP($B1487,dongia1,DG!$C$5,)&amp;": Đấu hotline FCO + LA (TBA)"</f>
        <v>Cáp 24KV C/XLPE- 25mm2: Đấu hotline FCO + LA (TBA)</v>
      </c>
      <c r="F1487" s="734" t="str">
        <f>VLOOKUP($B1487,dongia1,DG!$D$5,)</f>
        <v>mét</v>
      </c>
      <c r="G1487" s="753">
        <f t="shared" si="697"/>
        <v>0</v>
      </c>
      <c r="H1487" s="756">
        <f t="shared" si="695"/>
        <v>0</v>
      </c>
      <c r="I1487" s="756"/>
      <c r="J1487" s="756">
        <f t="shared" ref="J1487:J1492" si="706">G1487</f>
        <v>0</v>
      </c>
      <c r="K1487" s="756"/>
      <c r="L1487" s="756"/>
      <c r="M1487" s="756"/>
      <c r="N1487" s="756"/>
      <c r="O1487" s="756"/>
      <c r="P1487" s="735">
        <f>VLOOKUP($B1487,dongia1,DG!$F$5,)</f>
        <v>99600</v>
      </c>
      <c r="Q1487" s="736"/>
      <c r="R1487" s="737"/>
      <c r="S1487" s="735">
        <f t="shared" ref="S1487:S1492" si="707">$G1487*P1487</f>
        <v>0</v>
      </c>
      <c r="T1487" s="735">
        <f t="shared" ref="T1487:T1492" si="708">$G1487*Q1487</f>
        <v>0</v>
      </c>
      <c r="U1487" s="738">
        <f t="shared" ref="U1487:U1492" si="709">$G1487*R1487</f>
        <v>0</v>
      </c>
    </row>
    <row r="1488" spans="1:21" s="552" customFormat="1" ht="15" customHeight="1">
      <c r="A1488" s="621"/>
      <c r="B1488" s="622" t="s">
        <v>2071</v>
      </c>
      <c r="C1488" s="633" t="str">
        <f t="shared" si="690"/>
        <v xml:space="preserve"> </v>
      </c>
      <c r="D1488" s="611"/>
      <c r="E1488" s="694" t="str">
        <f>VLOOKUP($B1488,dongia1,DG!$C$5,)</f>
        <v>Cáp 24KV C/XLPE/PVC 50mm2</v>
      </c>
      <c r="F1488" s="555" t="str">
        <f>VLOOKUP($B1488,dongia1,DG!$D$5,)</f>
        <v>mét</v>
      </c>
      <c r="G1488" s="205">
        <f t="shared" si="697"/>
        <v>0</v>
      </c>
      <c r="H1488" s="556">
        <f t="shared" si="695"/>
        <v>0</v>
      </c>
      <c r="I1488" s="556"/>
      <c r="J1488" s="556">
        <f t="shared" si="706"/>
        <v>0</v>
      </c>
      <c r="K1488" s="556"/>
      <c r="L1488" s="556"/>
      <c r="M1488" s="556"/>
      <c r="N1488" s="556"/>
      <c r="O1488" s="556"/>
      <c r="P1488" s="182">
        <f>VLOOKUP($B1488,dongia1,DG!$F$5,)</f>
        <v>204900</v>
      </c>
      <c r="Q1488" s="624"/>
      <c r="R1488" s="554"/>
      <c r="S1488" s="113">
        <f t="shared" si="707"/>
        <v>0</v>
      </c>
      <c r="T1488" s="113">
        <f t="shared" si="708"/>
        <v>0</v>
      </c>
      <c r="U1488" s="715">
        <f t="shared" si="709"/>
        <v>0</v>
      </c>
    </row>
    <row r="1489" spans="1:21" s="552" customFormat="1" ht="15" customHeight="1">
      <c r="A1489" s="621"/>
      <c r="B1489" s="622" t="s">
        <v>2070</v>
      </c>
      <c r="C1489" s="633" t="str">
        <f t="shared" si="690"/>
        <v xml:space="preserve"> </v>
      </c>
      <c r="D1489" s="611"/>
      <c r="E1489" s="694" t="str">
        <f>VLOOKUP($B1489,dongia1,DG!$C$5,)</f>
        <v>Cáp 24KV C/XLPE/PVC 70mm2</v>
      </c>
      <c r="F1489" s="555" t="str">
        <f>VLOOKUP($B1489,dongia1,DG!$D$5,)</f>
        <v>mét</v>
      </c>
      <c r="G1489" s="205">
        <f t="shared" si="697"/>
        <v>0</v>
      </c>
      <c r="H1489" s="556">
        <f t="shared" si="695"/>
        <v>0</v>
      </c>
      <c r="I1489" s="556"/>
      <c r="J1489" s="556">
        <f t="shared" si="706"/>
        <v>0</v>
      </c>
      <c r="K1489" s="556"/>
      <c r="L1489" s="556"/>
      <c r="M1489" s="556"/>
      <c r="N1489" s="556"/>
      <c r="O1489" s="556"/>
      <c r="P1489" s="182">
        <f>VLOOKUP($B1489,dongia1,DG!$F$5,)</f>
        <v>197600</v>
      </c>
      <c r="Q1489" s="624"/>
      <c r="R1489" s="554"/>
      <c r="S1489" s="113">
        <f t="shared" si="707"/>
        <v>0</v>
      </c>
      <c r="T1489" s="113">
        <f t="shared" si="708"/>
        <v>0</v>
      </c>
      <c r="U1489" s="557">
        <f t="shared" si="709"/>
        <v>0</v>
      </c>
    </row>
    <row r="1490" spans="1:21" s="552" customFormat="1" ht="15" customHeight="1">
      <c r="A1490" s="621"/>
      <c r="B1490" s="622" t="s">
        <v>1365</v>
      </c>
      <c r="C1490" s="633" t="str">
        <f t="shared" ref="C1490:C1521" si="710">IF(G1490&lt;&gt;0,C$1457," ")</f>
        <v xml:space="preserve"> </v>
      </c>
      <c r="D1490" s="611"/>
      <c r="E1490" s="694" t="str">
        <f>VLOOKUP($B1490,dongia1,DG!$C$5,)</f>
        <v>Cáp 24KV C/XLPE/PVC 95mm2</v>
      </c>
      <c r="F1490" s="555" t="str">
        <f>VLOOKUP($B1490,dongia1,DG!$D$5,)</f>
        <v>mét</v>
      </c>
      <c r="G1490" s="205">
        <f t="shared" si="697"/>
        <v>0</v>
      </c>
      <c r="H1490" s="556">
        <f t="shared" si="695"/>
        <v>0</v>
      </c>
      <c r="I1490" s="556"/>
      <c r="J1490" s="556">
        <f t="shared" si="706"/>
        <v>0</v>
      </c>
      <c r="K1490" s="556"/>
      <c r="L1490" s="556"/>
      <c r="M1490" s="556"/>
      <c r="N1490" s="556"/>
      <c r="O1490" s="556"/>
      <c r="P1490" s="182">
        <f>VLOOKUP($B1490,dongia1,DG!$F$5,)</f>
        <v>265000</v>
      </c>
      <c r="Q1490" s="624"/>
      <c r="R1490" s="554"/>
      <c r="S1490" s="113">
        <f t="shared" si="707"/>
        <v>0</v>
      </c>
      <c r="T1490" s="113">
        <f t="shared" si="708"/>
        <v>0</v>
      </c>
      <c r="U1490" s="557">
        <f t="shared" si="709"/>
        <v>0</v>
      </c>
    </row>
    <row r="1491" spans="1:21" s="552" customFormat="1" ht="15" customHeight="1">
      <c r="A1491" s="621"/>
      <c r="B1491" s="622" t="s">
        <v>823</v>
      </c>
      <c r="C1491" s="633" t="str">
        <f t="shared" si="710"/>
        <v xml:space="preserve"> </v>
      </c>
      <c r="D1491" s="611"/>
      <c r="E1491" s="694" t="str">
        <f>VLOOKUP($B1491,dongia1,DG!$C$5,)</f>
        <v>Cáp 24KV C/XLPE/PVC 120mm2</v>
      </c>
      <c r="F1491" s="555" t="str">
        <f>VLOOKUP($B1491,dongia1,DG!$D$5,)</f>
        <v>mét</v>
      </c>
      <c r="G1491" s="205">
        <f t="shared" si="697"/>
        <v>0</v>
      </c>
      <c r="H1491" s="556">
        <f t="shared" si="695"/>
        <v>0</v>
      </c>
      <c r="I1491" s="556"/>
      <c r="J1491" s="556">
        <f t="shared" si="706"/>
        <v>0</v>
      </c>
      <c r="K1491" s="556"/>
      <c r="L1491" s="556"/>
      <c r="M1491" s="556"/>
      <c r="N1491" s="556"/>
      <c r="O1491" s="556"/>
      <c r="P1491" s="182">
        <f>VLOOKUP($B1491,dongia1,DG!$F$5,)</f>
        <v>383800</v>
      </c>
      <c r="Q1491" s="624"/>
      <c r="R1491" s="554"/>
      <c r="S1491" s="113">
        <f t="shared" si="707"/>
        <v>0</v>
      </c>
      <c r="T1491" s="113">
        <f t="shared" si="708"/>
        <v>0</v>
      </c>
      <c r="U1491" s="557">
        <f t="shared" si="709"/>
        <v>0</v>
      </c>
    </row>
    <row r="1492" spans="1:21" s="552" customFormat="1" ht="15" customHeight="1">
      <c r="A1492" s="621"/>
      <c r="B1492" s="622" t="s">
        <v>324</v>
      </c>
      <c r="C1492" s="633" t="str">
        <f t="shared" si="710"/>
        <v xml:space="preserve"> </v>
      </c>
      <c r="D1492" s="611"/>
      <c r="E1492" s="694" t="str">
        <f>VLOOKUP($B1492,dongia1,DG!$C$5,)</f>
        <v>Cáp 24KV C/XLPE/PVC 150mm2</v>
      </c>
      <c r="F1492" s="555" t="str">
        <f>VLOOKUP($B1492,dongia1,DG!$D$5,)</f>
        <v>mét</v>
      </c>
      <c r="G1492" s="205">
        <f t="shared" si="697"/>
        <v>0</v>
      </c>
      <c r="H1492" s="556">
        <f t="shared" si="695"/>
        <v>0</v>
      </c>
      <c r="I1492" s="556"/>
      <c r="J1492" s="556">
        <f t="shared" si="706"/>
        <v>0</v>
      </c>
      <c r="K1492" s="556"/>
      <c r="L1492" s="556"/>
      <c r="M1492" s="556"/>
      <c r="N1492" s="556"/>
      <c r="O1492" s="556"/>
      <c r="P1492" s="182">
        <f>VLOOKUP($B1492,dongia1,DG!$F$5,)</f>
        <v>497800</v>
      </c>
      <c r="Q1492" s="624"/>
      <c r="R1492" s="554"/>
      <c r="S1492" s="113">
        <f t="shared" si="707"/>
        <v>0</v>
      </c>
      <c r="T1492" s="113">
        <f t="shared" si="708"/>
        <v>0</v>
      </c>
      <c r="U1492" s="557">
        <f t="shared" si="709"/>
        <v>0</v>
      </c>
    </row>
    <row r="1493" spans="1:21" s="552" customFormat="1" ht="15" customHeight="1">
      <c r="A1493" s="621"/>
      <c r="B1493" s="622" t="s">
        <v>576</v>
      </c>
      <c r="C1493" s="633" t="str">
        <f t="shared" si="710"/>
        <v xml:space="preserve"> </v>
      </c>
      <c r="D1493" s="611"/>
      <c r="E1493" s="694" t="str">
        <f>VLOOKUP($B1493,dongia1,DG!$C$5,)</f>
        <v>Cáp 24KV C/XLPE/PVC 185mm2</v>
      </c>
      <c r="F1493" s="555" t="str">
        <f>VLOOKUP($B1493,dongia1,DG!$D$5,)</f>
        <v>mét</v>
      </c>
      <c r="G1493" s="205">
        <f t="shared" si="697"/>
        <v>0</v>
      </c>
      <c r="H1493" s="556">
        <f t="shared" si="695"/>
        <v>0</v>
      </c>
      <c r="I1493" s="556"/>
      <c r="J1493" s="556">
        <f t="shared" si="696"/>
        <v>0</v>
      </c>
      <c r="K1493" s="556"/>
      <c r="L1493" s="556"/>
      <c r="M1493" s="556"/>
      <c r="N1493" s="556"/>
      <c r="O1493" s="556"/>
      <c r="P1493" s="182">
        <f>VLOOKUP($B1493,dongia1,DG!$F$5,)</f>
        <v>592500</v>
      </c>
      <c r="Q1493" s="624"/>
      <c r="R1493" s="554"/>
      <c r="S1493" s="113">
        <f>$G1493*P1493</f>
        <v>0</v>
      </c>
      <c r="T1493" s="113">
        <f>$G1493*Q1493</f>
        <v>0</v>
      </c>
      <c r="U1493" s="557">
        <f>$G1493*R1493</f>
        <v>0</v>
      </c>
    </row>
    <row r="1494" spans="1:21" s="858" customFormat="1" ht="14.4">
      <c r="A1494" s="847"/>
      <c r="B1494" s="848" t="s">
        <v>3723</v>
      </c>
      <c r="C1494" s="905" t="str">
        <f t="shared" si="710"/>
        <v xml:space="preserve"> </v>
      </c>
      <c r="D1494" s="850">
        <v>1</v>
      </c>
      <c r="E1494" s="906" t="s">
        <v>4287</v>
      </c>
      <c r="F1494" s="907" t="s">
        <v>2226</v>
      </c>
      <c r="G1494" s="947">
        <f>pptt_NC!DD41</f>
        <v>0</v>
      </c>
      <c r="H1494" s="854">
        <f t="shared" si="695"/>
        <v>0</v>
      </c>
      <c r="I1494" s="854"/>
      <c r="J1494" s="854">
        <f t="shared" si="696"/>
        <v>0</v>
      </c>
      <c r="K1494" s="854"/>
      <c r="L1494" s="854"/>
      <c r="M1494" s="854"/>
      <c r="N1494" s="854"/>
      <c r="O1494" s="854"/>
      <c r="P1494" s="909"/>
      <c r="Q1494" s="909"/>
      <c r="R1494" s="855"/>
      <c r="S1494" s="909"/>
      <c r="T1494" s="909">
        <f>$G1494*Q1494</f>
        <v>0</v>
      </c>
      <c r="U1494" s="910">
        <f>$G1494*R1494</f>
        <v>0</v>
      </c>
    </row>
    <row r="1495" spans="1:21">
      <c r="B1495" s="696" t="s">
        <v>1355</v>
      </c>
      <c r="C1495" s="697" t="str">
        <f t="shared" si="710"/>
        <v xml:space="preserve"> </v>
      </c>
      <c r="D1495" s="698"/>
      <c r="E1495" s="699" t="str">
        <f>VLOOKUP($B1495,dongia1,DG!$C$5,)</f>
        <v>Uclevis (loại gân)+ sứ ống chỉ</v>
      </c>
      <c r="F1495" s="700" t="str">
        <f>VLOOKUP($B1495,dongia1,DG!$D$5,)</f>
        <v>bộ</v>
      </c>
      <c r="G1495" s="762">
        <f>G1494</f>
        <v>0</v>
      </c>
      <c r="H1495" s="701">
        <f t="shared" si="695"/>
        <v>0</v>
      </c>
      <c r="I1495" s="701"/>
      <c r="J1495" s="701">
        <f t="shared" si="696"/>
        <v>0</v>
      </c>
      <c r="K1495" s="701"/>
      <c r="L1495" s="701"/>
      <c r="M1495" s="701"/>
      <c r="N1495" s="701"/>
      <c r="O1495" s="701"/>
      <c r="P1495" s="702">
        <f>VLOOKUP($B1495,dongia1,DG!$F$5,)</f>
        <v>35000</v>
      </c>
      <c r="Q1495" s="702"/>
      <c r="R1495" s="703"/>
      <c r="S1495" s="702">
        <f t="shared" ref="S1495:U1496" si="711">$G1495*P1495</f>
        <v>0</v>
      </c>
      <c r="T1495" s="702">
        <f t="shared" si="711"/>
        <v>0</v>
      </c>
      <c r="U1495" s="704">
        <f t="shared" si="711"/>
        <v>0</v>
      </c>
    </row>
    <row r="1496" spans="1:21">
      <c r="B1496" s="696" t="s">
        <v>1262</v>
      </c>
      <c r="C1496" s="697" t="str">
        <f t="shared" si="710"/>
        <v xml:space="preserve"> </v>
      </c>
      <c r="D1496" s="698"/>
      <c r="E1496" s="699" t="str">
        <f>VLOOKUP($B1496,dongia1,DG!$C$5,)</f>
        <v>Boulon 16x300+ 2 long đền vuông D18-50x50x3/Zn</v>
      </c>
      <c r="F1496" s="700" t="str">
        <f>VLOOKUP($B1496,dongia1,DG!$D$5,)</f>
        <v>bộ</v>
      </c>
      <c r="G1496" s="762">
        <f>G1494</f>
        <v>0</v>
      </c>
      <c r="H1496" s="701">
        <f t="shared" si="695"/>
        <v>0</v>
      </c>
      <c r="I1496" s="701"/>
      <c r="J1496" s="701">
        <f t="shared" si="696"/>
        <v>0</v>
      </c>
      <c r="K1496" s="701"/>
      <c r="L1496" s="701"/>
      <c r="M1496" s="701"/>
      <c r="N1496" s="701"/>
      <c r="O1496" s="701"/>
      <c r="P1496" s="702">
        <f>VLOOKUP($B1496,dongia1,DG!$F$5,)</f>
        <v>25400</v>
      </c>
      <c r="Q1496" s="702"/>
      <c r="R1496" s="703"/>
      <c r="S1496" s="702">
        <f t="shared" si="711"/>
        <v>0</v>
      </c>
      <c r="T1496" s="702">
        <f t="shared" si="711"/>
        <v>0</v>
      </c>
      <c r="U1496" s="930">
        <f t="shared" si="711"/>
        <v>0</v>
      </c>
    </row>
    <row r="1497" spans="1:21" s="858" customFormat="1" ht="14.4">
      <c r="A1497" s="847"/>
      <c r="B1497" s="848" t="s">
        <v>3730</v>
      </c>
      <c r="C1497" s="905" t="str">
        <f t="shared" si="710"/>
        <v xml:space="preserve"> </v>
      </c>
      <c r="D1497" s="850"/>
      <c r="E1497" s="906" t="s">
        <v>4288</v>
      </c>
      <c r="F1497" s="907" t="s">
        <v>2226</v>
      </c>
      <c r="G1497" s="947">
        <f>pptt_NC!DE41</f>
        <v>0</v>
      </c>
      <c r="H1497" s="854">
        <f t="shared" si="695"/>
        <v>0</v>
      </c>
      <c r="I1497" s="854"/>
      <c r="J1497" s="854">
        <f t="shared" si="696"/>
        <v>0</v>
      </c>
      <c r="K1497" s="854"/>
      <c r="L1497" s="854"/>
      <c r="M1497" s="854"/>
      <c r="N1497" s="854"/>
      <c r="O1497" s="854"/>
      <c r="P1497" s="909"/>
      <c r="Q1497" s="909"/>
      <c r="R1497" s="855"/>
      <c r="S1497" s="909"/>
      <c r="T1497" s="909"/>
      <c r="U1497" s="944"/>
    </row>
    <row r="1498" spans="1:21">
      <c r="B1498" s="696" t="s">
        <v>1355</v>
      </c>
      <c r="C1498" s="697" t="str">
        <f t="shared" si="710"/>
        <v xml:space="preserve"> </v>
      </c>
      <c r="D1498" s="698"/>
      <c r="E1498" s="699" t="str">
        <f>VLOOKUP($B1498,dongia1,DG!$C$5,)</f>
        <v>Uclevis (loại gân)+ sứ ống chỉ</v>
      </c>
      <c r="F1498" s="700" t="str">
        <f>VLOOKUP($B1498,dongia1,DG!$D$5,)</f>
        <v>bộ</v>
      </c>
      <c r="G1498" s="762">
        <f>G1497</f>
        <v>0</v>
      </c>
      <c r="H1498" s="701">
        <f t="shared" si="695"/>
        <v>0</v>
      </c>
      <c r="I1498" s="701"/>
      <c r="J1498" s="701">
        <f t="shared" si="696"/>
        <v>0</v>
      </c>
      <c r="K1498" s="701"/>
      <c r="L1498" s="701"/>
      <c r="M1498" s="701"/>
      <c r="N1498" s="701"/>
      <c r="O1498" s="701"/>
      <c r="P1498" s="702">
        <f>VLOOKUP($B1498,dongia1,DG!$F$5,)</f>
        <v>35000</v>
      </c>
      <c r="Q1498" s="702"/>
      <c r="R1498" s="703"/>
      <c r="S1498" s="702">
        <f t="shared" ref="S1498:U1499" si="712">$G1498*P1498</f>
        <v>0</v>
      </c>
      <c r="T1498" s="702">
        <f t="shared" si="712"/>
        <v>0</v>
      </c>
      <c r="U1498" s="704">
        <f t="shared" si="712"/>
        <v>0</v>
      </c>
    </row>
    <row r="1499" spans="1:21">
      <c r="B1499" s="696" t="s">
        <v>1040</v>
      </c>
      <c r="C1499" s="697" t="str">
        <f t="shared" si="710"/>
        <v xml:space="preserve"> </v>
      </c>
      <c r="D1499" s="698"/>
      <c r="E1499" s="699" t="str">
        <f>VLOOKUP($B1499,dongia1,DG!$C$5,)</f>
        <v>Boulon 16x600+ 2 long đền vuông D18-50x50x3/Zn</v>
      </c>
      <c r="F1499" s="700" t="str">
        <f>VLOOKUP($B1499,dongia1,DG!$D$5,)</f>
        <v>bộ</v>
      </c>
      <c r="G1499" s="762">
        <f>G1497</f>
        <v>0</v>
      </c>
      <c r="H1499" s="701">
        <f t="shared" si="695"/>
        <v>0</v>
      </c>
      <c r="I1499" s="701"/>
      <c r="J1499" s="701">
        <f t="shared" si="696"/>
        <v>0</v>
      </c>
      <c r="K1499" s="701"/>
      <c r="L1499" s="701"/>
      <c r="M1499" s="701"/>
      <c r="N1499" s="701"/>
      <c r="O1499" s="701"/>
      <c r="P1499" s="702">
        <f>VLOOKUP($B1499,dongia1,DG!$F$5,)</f>
        <v>38610</v>
      </c>
      <c r="Q1499" s="702"/>
      <c r="R1499" s="703"/>
      <c r="S1499" s="702">
        <f t="shared" si="712"/>
        <v>0</v>
      </c>
      <c r="T1499" s="702">
        <f t="shared" si="712"/>
        <v>0</v>
      </c>
      <c r="U1499" s="704">
        <f t="shared" si="712"/>
        <v>0</v>
      </c>
    </row>
    <row r="1500" spans="1:21" s="610" customFormat="1" ht="15" customHeight="1">
      <c r="A1500" s="635"/>
      <c r="B1500" s="636" t="s">
        <v>3731</v>
      </c>
      <c r="C1500" s="641" t="str">
        <f t="shared" si="710"/>
        <v xml:space="preserve"> </v>
      </c>
      <c r="D1500" s="599"/>
      <c r="E1500" s="728" t="s">
        <v>3650</v>
      </c>
      <c r="F1500" s="642" t="s">
        <v>2226</v>
      </c>
      <c r="G1500" s="645"/>
      <c r="H1500" s="605">
        <f t="shared" si="695"/>
        <v>0</v>
      </c>
      <c r="I1500" s="605"/>
      <c r="J1500" s="605">
        <f t="shared" si="696"/>
        <v>0</v>
      </c>
      <c r="K1500" s="605"/>
      <c r="L1500" s="605"/>
      <c r="M1500" s="605"/>
      <c r="N1500" s="605"/>
      <c r="O1500" s="605"/>
      <c r="P1500" s="607"/>
      <c r="Q1500" s="607"/>
      <c r="R1500" s="606"/>
      <c r="S1500" s="608"/>
      <c r="T1500" s="608"/>
      <c r="U1500" s="609"/>
    </row>
    <row r="1501" spans="1:21" s="552" customFormat="1" ht="15" customHeight="1">
      <c r="A1501" s="621"/>
      <c r="B1501" s="622" t="s">
        <v>1355</v>
      </c>
      <c r="C1501" s="633" t="str">
        <f t="shared" si="710"/>
        <v xml:space="preserve"> </v>
      </c>
      <c r="D1501" s="553"/>
      <c r="E1501" s="694" t="str">
        <f>VLOOKUP($B1501,dongia1,DG!$C$5,)</f>
        <v>Uclevis (loại gân)+ sứ ống chỉ</v>
      </c>
      <c r="F1501" s="555" t="str">
        <f>VLOOKUP($B1501,dongia1,DG!$D$5,)</f>
        <v>bộ</v>
      </c>
      <c r="G1501" s="205">
        <f>G1500</f>
        <v>0</v>
      </c>
      <c r="H1501" s="556">
        <f t="shared" si="695"/>
        <v>0</v>
      </c>
      <c r="I1501" s="556"/>
      <c r="J1501" s="556">
        <f t="shared" si="696"/>
        <v>0</v>
      </c>
      <c r="K1501" s="556"/>
      <c r="L1501" s="556"/>
      <c r="M1501" s="556"/>
      <c r="N1501" s="556"/>
      <c r="O1501" s="556"/>
      <c r="P1501" s="182">
        <f>VLOOKUP($B1501,dongia1,DG!$F$5,)</f>
        <v>35000</v>
      </c>
      <c r="Q1501" s="182"/>
      <c r="R1501" s="554"/>
      <c r="S1501" s="113">
        <f t="shared" ref="S1501:U1502" si="713">$G1501*P1501</f>
        <v>0</v>
      </c>
      <c r="T1501" s="113">
        <f t="shared" si="713"/>
        <v>0</v>
      </c>
      <c r="U1501" s="557">
        <f t="shared" si="713"/>
        <v>0</v>
      </c>
    </row>
    <row r="1502" spans="1:21" s="552" customFormat="1" ht="15" customHeight="1">
      <c r="A1502" s="621"/>
      <c r="B1502" s="622" t="s">
        <v>1939</v>
      </c>
      <c r="C1502" s="633" t="str">
        <f t="shared" si="710"/>
        <v xml:space="preserve"> </v>
      </c>
      <c r="D1502" s="553"/>
      <c r="E1502" s="694" t="str">
        <f>VLOOKUP($B1502,dongia1,DG!$C$5,)</f>
        <v>Boulon 16x100+ 2 long đền vuông D18-50x50x3/Zn</v>
      </c>
      <c r="F1502" s="555" t="str">
        <f>VLOOKUP($B1502,dongia1,DG!$D$5,)</f>
        <v>bộ</v>
      </c>
      <c r="G1502" s="205">
        <f>G1500</f>
        <v>0</v>
      </c>
      <c r="H1502" s="556">
        <f t="shared" si="695"/>
        <v>0</v>
      </c>
      <c r="I1502" s="556"/>
      <c r="J1502" s="556">
        <f t="shared" si="696"/>
        <v>0</v>
      </c>
      <c r="K1502" s="556"/>
      <c r="L1502" s="556"/>
      <c r="M1502" s="556"/>
      <c r="N1502" s="556"/>
      <c r="O1502" s="556"/>
      <c r="P1502" s="182">
        <f>VLOOKUP($B1502,dongia1,DG!$F$5,)</f>
        <v>17400</v>
      </c>
      <c r="Q1502" s="182"/>
      <c r="R1502" s="554"/>
      <c r="S1502" s="113">
        <f t="shared" si="713"/>
        <v>0</v>
      </c>
      <c r="T1502" s="113">
        <f t="shared" si="713"/>
        <v>0</v>
      </c>
      <c r="U1502" s="557">
        <f t="shared" si="713"/>
        <v>0</v>
      </c>
    </row>
    <row r="1503" spans="1:21" s="610" customFormat="1" ht="15" customHeight="1">
      <c r="A1503" s="635"/>
      <c r="B1503" s="636" t="s">
        <v>1581</v>
      </c>
      <c r="C1503" s="641" t="str">
        <f t="shared" si="710"/>
        <v xml:space="preserve"> </v>
      </c>
      <c r="D1503" s="599"/>
      <c r="E1503" s="728" t="s">
        <v>3638</v>
      </c>
      <c r="F1503" s="642" t="s">
        <v>2226</v>
      </c>
      <c r="G1503" s="645"/>
      <c r="H1503" s="605">
        <f t="shared" si="695"/>
        <v>0</v>
      </c>
      <c r="I1503" s="605"/>
      <c r="J1503" s="605">
        <f t="shared" si="696"/>
        <v>0</v>
      </c>
      <c r="K1503" s="605"/>
      <c r="L1503" s="605"/>
      <c r="M1503" s="605"/>
      <c r="N1503" s="605"/>
      <c r="O1503" s="605"/>
      <c r="P1503" s="607"/>
      <c r="Q1503" s="607"/>
      <c r="R1503" s="606"/>
      <c r="S1503" s="608"/>
      <c r="T1503" s="608"/>
      <c r="U1503" s="609"/>
    </row>
    <row r="1504" spans="1:21" s="552" customFormat="1" ht="15" customHeight="1">
      <c r="A1504" s="621"/>
      <c r="B1504" s="622" t="s">
        <v>1355</v>
      </c>
      <c r="C1504" s="633" t="str">
        <f t="shared" si="710"/>
        <v xml:space="preserve"> </v>
      </c>
      <c r="D1504" s="553"/>
      <c r="E1504" s="694" t="str">
        <f>VLOOKUP($B1504,dongia1,DG!$C$5,)</f>
        <v>Uclevis (loại gân)+ sứ ống chỉ</v>
      </c>
      <c r="F1504" s="555" t="str">
        <f>VLOOKUP($B1504,dongia1,DG!$D$5,)</f>
        <v>bộ</v>
      </c>
      <c r="G1504" s="205">
        <f>G1503</f>
        <v>0</v>
      </c>
      <c r="H1504" s="556">
        <f t="shared" si="695"/>
        <v>0</v>
      </c>
      <c r="I1504" s="556"/>
      <c r="J1504" s="556">
        <f t="shared" si="696"/>
        <v>0</v>
      </c>
      <c r="K1504" s="556"/>
      <c r="L1504" s="556"/>
      <c r="M1504" s="556"/>
      <c r="N1504" s="556"/>
      <c r="O1504" s="556"/>
      <c r="P1504" s="182">
        <f>VLOOKUP($B1504,dongia1,DG!$F$5,)</f>
        <v>35000</v>
      </c>
      <c r="Q1504" s="182"/>
      <c r="R1504" s="554"/>
      <c r="S1504" s="113">
        <f t="shared" ref="S1504:U1506" si="714">$G1504*P1504</f>
        <v>0</v>
      </c>
      <c r="T1504" s="113">
        <f t="shared" si="714"/>
        <v>0</v>
      </c>
      <c r="U1504" s="557">
        <f t="shared" si="714"/>
        <v>0</v>
      </c>
    </row>
    <row r="1505" spans="1:21" s="552" customFormat="1" ht="15" customHeight="1">
      <c r="A1505" s="621"/>
      <c r="B1505" s="622" t="s">
        <v>1262</v>
      </c>
      <c r="C1505" s="633" t="str">
        <f t="shared" si="710"/>
        <v xml:space="preserve"> </v>
      </c>
      <c r="D1505" s="553"/>
      <c r="E1505" s="694" t="str">
        <f>VLOOKUP($B1505,dongia1,DG!$C$5,)</f>
        <v>Boulon 16x300+ 2 long đền vuông D18-50x50x3/Zn</v>
      </c>
      <c r="F1505" s="555" t="str">
        <f>VLOOKUP($B1505,dongia1,DG!$D$5,)</f>
        <v>bộ</v>
      </c>
      <c r="G1505" s="205">
        <f>G1503</f>
        <v>0</v>
      </c>
      <c r="H1505" s="556">
        <f t="shared" si="695"/>
        <v>0</v>
      </c>
      <c r="I1505" s="556"/>
      <c r="J1505" s="556">
        <f t="shared" si="696"/>
        <v>0</v>
      </c>
      <c r="K1505" s="556"/>
      <c r="L1505" s="556"/>
      <c r="M1505" s="556"/>
      <c r="N1505" s="556"/>
      <c r="O1505" s="556"/>
      <c r="P1505" s="182">
        <f>VLOOKUP($B1505,dongia1,DG!$F$5,)</f>
        <v>25400</v>
      </c>
      <c r="Q1505" s="182"/>
      <c r="R1505" s="554"/>
      <c r="S1505" s="113">
        <f t="shared" si="714"/>
        <v>0</v>
      </c>
      <c r="T1505" s="113">
        <f t="shared" si="714"/>
        <v>0</v>
      </c>
      <c r="U1505" s="557">
        <f t="shared" si="714"/>
        <v>0</v>
      </c>
    </row>
    <row r="1506" spans="1:21" s="552" customFormat="1" ht="15" customHeight="1">
      <c r="A1506" s="621"/>
      <c r="B1506" s="622" t="s">
        <v>75</v>
      </c>
      <c r="C1506" s="633" t="str">
        <f t="shared" si="710"/>
        <v xml:space="preserve"> </v>
      </c>
      <c r="D1506" s="553"/>
      <c r="E1506" s="694" t="str">
        <f>VLOOKUP($B1506,dongia1,DG!$C$5,)</f>
        <v>Kẹp ép WR cỡ dây 50mm2</v>
      </c>
      <c r="F1506" s="555" t="str">
        <f>VLOOKUP($B1506,dongia1,DG!$D$5,)</f>
        <v>cái</v>
      </c>
      <c r="G1506" s="205">
        <f>G1503*2</f>
        <v>0</v>
      </c>
      <c r="H1506" s="556">
        <f t="shared" si="695"/>
        <v>0</v>
      </c>
      <c r="I1506" s="556"/>
      <c r="J1506" s="556">
        <f t="shared" si="696"/>
        <v>0</v>
      </c>
      <c r="K1506" s="556"/>
      <c r="L1506" s="556"/>
      <c r="M1506" s="556"/>
      <c r="N1506" s="556"/>
      <c r="O1506" s="556"/>
      <c r="P1506" s="182">
        <f>VLOOKUP($B1506,dongia1,DG!$F$5,)</f>
        <v>8000</v>
      </c>
      <c r="Q1506" s="182"/>
      <c r="R1506" s="554"/>
      <c r="S1506" s="113">
        <f t="shared" si="714"/>
        <v>0</v>
      </c>
      <c r="T1506" s="113">
        <f t="shared" si="714"/>
        <v>0</v>
      </c>
      <c r="U1506" s="557">
        <f t="shared" si="714"/>
        <v>0</v>
      </c>
    </row>
    <row r="1507" spans="1:21" s="858" customFormat="1" ht="14.4">
      <c r="A1507" s="847"/>
      <c r="B1507" s="848" t="s">
        <v>1582</v>
      </c>
      <c r="C1507" s="905" t="str">
        <f t="shared" si="710"/>
        <v xml:space="preserve"> </v>
      </c>
      <c r="D1507" s="850">
        <v>2</v>
      </c>
      <c r="E1507" s="906" t="s">
        <v>3639</v>
      </c>
      <c r="F1507" s="907" t="s">
        <v>2226</v>
      </c>
      <c r="G1507" s="947">
        <f>pptt_NC!DG41</f>
        <v>0</v>
      </c>
      <c r="H1507" s="854">
        <f t="shared" si="695"/>
        <v>0</v>
      </c>
      <c r="I1507" s="854"/>
      <c r="J1507" s="854">
        <f t="shared" si="696"/>
        <v>0</v>
      </c>
      <c r="K1507" s="854"/>
      <c r="L1507" s="854"/>
      <c r="M1507" s="854"/>
      <c r="N1507" s="854"/>
      <c r="O1507" s="854"/>
      <c r="P1507" s="909"/>
      <c r="Q1507" s="909"/>
      <c r="R1507" s="855"/>
      <c r="S1507" s="909"/>
      <c r="T1507" s="909"/>
      <c r="U1507" s="910"/>
    </row>
    <row r="1508" spans="1:21">
      <c r="B1508" s="696" t="s">
        <v>74</v>
      </c>
      <c r="C1508" s="697" t="str">
        <f t="shared" si="710"/>
        <v xml:space="preserve"> </v>
      </c>
      <c r="D1508" s="698"/>
      <c r="E1508" s="699" t="str">
        <f>VLOOKUP($B1508,dongia1,DG!$C$5,)</f>
        <v>Khóa néo dây cỡ dây 50(kẹp dừng dây 3U-3mm)</v>
      </c>
      <c r="F1508" s="700" t="str">
        <f>VLOOKUP($B1508,dongia1,DG!$D$5,)</f>
        <v>cái</v>
      </c>
      <c r="G1508" s="762">
        <f>G1507</f>
        <v>0</v>
      </c>
      <c r="H1508" s="701">
        <f t="shared" si="695"/>
        <v>0</v>
      </c>
      <c r="I1508" s="701"/>
      <c r="J1508" s="701">
        <f t="shared" si="696"/>
        <v>0</v>
      </c>
      <c r="K1508" s="701"/>
      <c r="L1508" s="701"/>
      <c r="M1508" s="701"/>
      <c r="N1508" s="701"/>
      <c r="O1508" s="701"/>
      <c r="P1508" s="702">
        <f>VLOOKUP($B1508,dongia1,DG!$F$5,)</f>
        <v>58000</v>
      </c>
      <c r="Q1508" s="702"/>
      <c r="R1508" s="703"/>
      <c r="S1508" s="702">
        <f>$G1508*P1508</f>
        <v>0</v>
      </c>
      <c r="T1508" s="702">
        <f t="shared" ref="T1508:T1533" si="715">$G1508*Q1508</f>
        <v>0</v>
      </c>
      <c r="U1508" s="704">
        <f t="shared" ref="U1508:U1533" si="716">$G1508*R1508</f>
        <v>0</v>
      </c>
    </row>
    <row r="1509" spans="1:21">
      <c r="B1509" s="696" t="s">
        <v>366</v>
      </c>
      <c r="C1509" s="697" t="str">
        <f t="shared" si="710"/>
        <v xml:space="preserve"> </v>
      </c>
      <c r="D1509" s="698"/>
      <c r="E1509" s="699" t="str">
        <f>VLOOKUP($B1509,dongia1,DG!$C$5,)</f>
        <v>Boulon mắt 16x300+ 1 long đền vuông D18-50x50x3/Zn</v>
      </c>
      <c r="F1509" s="700" t="str">
        <f>VLOOKUP($B1509,dongia1,DG!$D$5,)</f>
        <v>bộ</v>
      </c>
      <c r="G1509" s="762">
        <f>G1507</f>
        <v>0</v>
      </c>
      <c r="H1509" s="701">
        <f t="shared" si="695"/>
        <v>0</v>
      </c>
      <c r="I1509" s="701"/>
      <c r="J1509" s="701">
        <f t="shared" si="696"/>
        <v>0</v>
      </c>
      <c r="K1509" s="701"/>
      <c r="L1509" s="701"/>
      <c r="M1509" s="701"/>
      <c r="N1509" s="701"/>
      <c r="O1509" s="701"/>
      <c r="P1509" s="702">
        <f>VLOOKUP($B1509,dongia1,DG!$F$5,)</f>
        <v>32200</v>
      </c>
      <c r="Q1509" s="702"/>
      <c r="R1509" s="703"/>
      <c r="S1509" s="702">
        <f>$G1509*P1509</f>
        <v>0</v>
      </c>
      <c r="T1509" s="702">
        <f t="shared" si="715"/>
        <v>0</v>
      </c>
      <c r="U1509" s="930">
        <f t="shared" si="716"/>
        <v>0</v>
      </c>
    </row>
    <row r="1510" spans="1:21" s="552" customFormat="1" ht="15" customHeight="1">
      <c r="A1510" s="621"/>
      <c r="B1510" s="622" t="s">
        <v>75</v>
      </c>
      <c r="C1510" s="633" t="str">
        <f t="shared" si="710"/>
        <v xml:space="preserve"> </v>
      </c>
      <c r="D1510" s="553"/>
      <c r="E1510" s="694" t="str">
        <f>VLOOKUP($B1510,dongia1,DG!$C$5,)</f>
        <v>Kẹp ép WR cỡ dây 50mm2</v>
      </c>
      <c r="F1510" s="555" t="str">
        <f>VLOOKUP($B1510,dongia1,DG!$D$5,)</f>
        <v>cái</v>
      </c>
      <c r="G1510" s="205">
        <f>G1507*0</f>
        <v>0</v>
      </c>
      <c r="H1510" s="556">
        <f t="shared" si="695"/>
        <v>0</v>
      </c>
      <c r="I1510" s="556"/>
      <c r="J1510" s="556">
        <f t="shared" si="696"/>
        <v>0</v>
      </c>
      <c r="K1510" s="556"/>
      <c r="L1510" s="556"/>
      <c r="M1510" s="556"/>
      <c r="N1510" s="556"/>
      <c r="O1510" s="556"/>
      <c r="P1510" s="182">
        <f>VLOOKUP($B1510,dongia1,DG!$F$5,)</f>
        <v>8000</v>
      </c>
      <c r="Q1510" s="182"/>
      <c r="R1510" s="554"/>
      <c r="S1510" s="113">
        <f>$G1510*P1510</f>
        <v>0</v>
      </c>
      <c r="T1510" s="113">
        <f t="shared" si="715"/>
        <v>0</v>
      </c>
      <c r="U1510" s="715">
        <f t="shared" si="716"/>
        <v>0</v>
      </c>
    </row>
    <row r="1511" spans="1:21" s="858" customFormat="1" ht="14.4">
      <c r="A1511" s="847"/>
      <c r="B1511" s="848" t="s">
        <v>1911</v>
      </c>
      <c r="C1511" s="905" t="str">
        <f t="shared" si="710"/>
        <v xml:space="preserve"> </v>
      </c>
      <c r="D1511" s="850"/>
      <c r="E1511" s="906" t="s">
        <v>3651</v>
      </c>
      <c r="F1511" s="907" t="s">
        <v>2226</v>
      </c>
      <c r="G1511" s="853">
        <f>pptt_NC!DF41</f>
        <v>0</v>
      </c>
      <c r="H1511" s="854">
        <f t="shared" si="695"/>
        <v>0</v>
      </c>
      <c r="I1511" s="854"/>
      <c r="J1511" s="854">
        <f t="shared" si="696"/>
        <v>0</v>
      </c>
      <c r="K1511" s="854"/>
      <c r="L1511" s="854"/>
      <c r="M1511" s="854"/>
      <c r="N1511" s="854"/>
      <c r="O1511" s="854"/>
      <c r="P1511" s="909"/>
      <c r="Q1511" s="909"/>
      <c r="R1511" s="855"/>
      <c r="S1511" s="909"/>
      <c r="T1511" s="909"/>
      <c r="U1511" s="910"/>
    </row>
    <row r="1512" spans="1:21">
      <c r="B1512" s="696" t="s">
        <v>74</v>
      </c>
      <c r="C1512" s="697" t="str">
        <f t="shared" si="710"/>
        <v xml:space="preserve"> </v>
      </c>
      <c r="D1512" s="698"/>
      <c r="E1512" s="699" t="str">
        <f>VLOOKUP($B1512,dongia1,DG!$C$5,)</f>
        <v>Khóa néo dây cỡ dây 50(kẹp dừng dây 3U-3mm)</v>
      </c>
      <c r="F1512" s="700" t="str">
        <f>VLOOKUP($B1512,dongia1,DG!$D$5,)</f>
        <v>cái</v>
      </c>
      <c r="G1512" s="762">
        <f>G1511</f>
        <v>0</v>
      </c>
      <c r="H1512" s="701">
        <f t="shared" si="695"/>
        <v>0</v>
      </c>
      <c r="I1512" s="701"/>
      <c r="J1512" s="701">
        <f t="shared" si="696"/>
        <v>0</v>
      </c>
      <c r="K1512" s="701"/>
      <c r="L1512" s="701"/>
      <c r="M1512" s="701"/>
      <c r="N1512" s="701"/>
      <c r="O1512" s="701"/>
      <c r="P1512" s="702">
        <f>VLOOKUP($B1512,dongia1,DG!$F$5,)</f>
        <v>58000</v>
      </c>
      <c r="Q1512" s="702"/>
      <c r="R1512" s="703"/>
      <c r="S1512" s="702">
        <f t="shared" ref="S1512:U1514" si="717">$G1512*P1512</f>
        <v>0</v>
      </c>
      <c r="T1512" s="702">
        <f t="shared" si="717"/>
        <v>0</v>
      </c>
      <c r="U1512" s="704">
        <f t="shared" si="717"/>
        <v>0</v>
      </c>
    </row>
    <row r="1513" spans="1:21">
      <c r="B1513" s="696" t="s">
        <v>4689</v>
      </c>
      <c r="C1513" s="697" t="str">
        <f t="shared" si="710"/>
        <v xml:space="preserve"> </v>
      </c>
      <c r="D1513" s="698"/>
      <c r="E1513" s="699" t="str">
        <f>VLOOKUP($B1513,dongia1,DG!$C$5,)</f>
        <v>Boulon mắt 16x550+ 1 long đền vuông D18-50x50x3/Zn</v>
      </c>
      <c r="F1513" s="700" t="str">
        <f>VLOOKUP($B1513,dongia1,DG!$D$5,)</f>
        <v>bộ</v>
      </c>
      <c r="G1513" s="762">
        <f>G1511</f>
        <v>0</v>
      </c>
      <c r="H1513" s="701">
        <f t="shared" si="695"/>
        <v>0</v>
      </c>
      <c r="I1513" s="701"/>
      <c r="J1513" s="701">
        <f t="shared" si="696"/>
        <v>0</v>
      </c>
      <c r="K1513" s="701"/>
      <c r="L1513" s="701"/>
      <c r="M1513" s="701"/>
      <c r="N1513" s="701"/>
      <c r="O1513" s="701"/>
      <c r="P1513" s="702">
        <f>VLOOKUP($B1513,dongia1,DG!$F$5,)</f>
        <v>62200</v>
      </c>
      <c r="Q1513" s="702"/>
      <c r="R1513" s="703"/>
      <c r="S1513" s="702">
        <f t="shared" si="717"/>
        <v>0</v>
      </c>
      <c r="T1513" s="702">
        <f t="shared" si="717"/>
        <v>0</v>
      </c>
      <c r="U1513" s="704">
        <f t="shared" si="717"/>
        <v>0</v>
      </c>
    </row>
    <row r="1514" spans="1:21" ht="15" customHeight="1">
      <c r="B1514" s="696" t="s">
        <v>75</v>
      </c>
      <c r="C1514" s="697" t="str">
        <f t="shared" si="710"/>
        <v xml:space="preserve"> </v>
      </c>
      <c r="D1514" s="698"/>
      <c r="E1514" s="699" t="str">
        <f>VLOOKUP($B1514,dongia1,DG!$C$5,)</f>
        <v>Kẹp ép WR cỡ dây 50mm2</v>
      </c>
      <c r="F1514" s="700" t="str">
        <f>VLOOKUP($B1514,dongia1,DG!$D$5,)</f>
        <v>cái</v>
      </c>
      <c r="G1514" s="762">
        <f>G1511*2*0</f>
        <v>0</v>
      </c>
      <c r="H1514" s="701">
        <f t="shared" si="695"/>
        <v>0</v>
      </c>
      <c r="I1514" s="701"/>
      <c r="J1514" s="701">
        <f t="shared" si="696"/>
        <v>0</v>
      </c>
      <c r="K1514" s="701"/>
      <c r="L1514" s="701"/>
      <c r="M1514" s="701"/>
      <c r="N1514" s="701"/>
      <c r="O1514" s="701"/>
      <c r="P1514" s="702">
        <f>VLOOKUP($B1514,dongia1,DG!$F$5,)</f>
        <v>8000</v>
      </c>
      <c r="Q1514" s="702"/>
      <c r="R1514" s="703"/>
      <c r="S1514" s="702">
        <f t="shared" si="717"/>
        <v>0</v>
      </c>
      <c r="T1514" s="702">
        <f t="shared" si="717"/>
        <v>0</v>
      </c>
      <c r="U1514" s="930">
        <f t="shared" si="717"/>
        <v>0</v>
      </c>
    </row>
    <row r="1515" spans="1:21" s="610" customFormat="1" ht="15" customHeight="1">
      <c r="A1515" s="635"/>
      <c r="B1515" s="636" t="s">
        <v>686</v>
      </c>
      <c r="C1515" s="641" t="str">
        <f t="shared" si="710"/>
        <v xml:space="preserve"> </v>
      </c>
      <c r="D1515" s="599"/>
      <c r="E1515" s="728" t="s">
        <v>3652</v>
      </c>
      <c r="F1515" s="642" t="s">
        <v>2226</v>
      </c>
      <c r="G1515" s="643"/>
      <c r="H1515" s="605">
        <f t="shared" si="695"/>
        <v>0</v>
      </c>
      <c r="I1515" s="605"/>
      <c r="J1515" s="605">
        <f t="shared" si="696"/>
        <v>0</v>
      </c>
      <c r="K1515" s="605"/>
      <c r="L1515" s="605"/>
      <c r="M1515" s="605"/>
      <c r="N1515" s="605"/>
      <c r="O1515" s="605"/>
      <c r="P1515" s="607"/>
      <c r="Q1515" s="607"/>
      <c r="R1515" s="606"/>
      <c r="S1515" s="608"/>
      <c r="T1515" s="608"/>
      <c r="U1515" s="716"/>
    </row>
    <row r="1516" spans="1:21" s="552" customFormat="1" ht="15" customHeight="1">
      <c r="A1516" s="621"/>
      <c r="B1516" s="622" t="s">
        <v>74</v>
      </c>
      <c r="C1516" s="633" t="str">
        <f t="shared" si="710"/>
        <v xml:space="preserve"> </v>
      </c>
      <c r="D1516" s="553"/>
      <c r="E1516" s="694" t="str">
        <f>VLOOKUP($B1516,dongia1,DG!$C$5,)</f>
        <v>Khóa néo dây cỡ dây 50(kẹp dừng dây 3U-3mm)</v>
      </c>
      <c r="F1516" s="555" t="str">
        <f>VLOOKUP($B1516,dongia1,DG!$D$5,)</f>
        <v>cái</v>
      </c>
      <c r="G1516" s="205">
        <f>G1515</f>
        <v>0</v>
      </c>
      <c r="H1516" s="556">
        <f t="shared" si="695"/>
        <v>0</v>
      </c>
      <c r="I1516" s="556"/>
      <c r="J1516" s="556">
        <f t="shared" si="696"/>
        <v>0</v>
      </c>
      <c r="K1516" s="556"/>
      <c r="L1516" s="556"/>
      <c r="M1516" s="556"/>
      <c r="N1516" s="556"/>
      <c r="O1516" s="556"/>
      <c r="P1516" s="182">
        <f>VLOOKUP($B1516,dongia1,DG!$F$5,)</f>
        <v>58000</v>
      </c>
      <c r="Q1516" s="182"/>
      <c r="R1516" s="554"/>
      <c r="S1516" s="113">
        <f t="shared" ref="S1516:U1518" si="718">$G1516*P1516</f>
        <v>0</v>
      </c>
      <c r="T1516" s="113">
        <f t="shared" si="718"/>
        <v>0</v>
      </c>
      <c r="U1516" s="557">
        <f t="shared" si="718"/>
        <v>0</v>
      </c>
    </row>
    <row r="1517" spans="1:21" s="552" customFormat="1" ht="15" customHeight="1">
      <c r="A1517" s="621"/>
      <c r="B1517" s="622" t="s">
        <v>2035</v>
      </c>
      <c r="C1517" s="633" t="str">
        <f t="shared" si="710"/>
        <v xml:space="preserve"> </v>
      </c>
      <c r="D1517" s="553"/>
      <c r="E1517" s="694" t="str">
        <f>VLOOKUP($B1517,dongia1,DG!$C$5,)</f>
        <v xml:space="preserve">Móc treo chữ U F16 dài </v>
      </c>
      <c r="F1517" s="555" t="str">
        <f>VLOOKUP($B1517,dongia1,DG!$D$5,)</f>
        <v>cái</v>
      </c>
      <c r="G1517" s="205">
        <f>G1515*2</f>
        <v>0</v>
      </c>
      <c r="H1517" s="556">
        <f t="shared" si="695"/>
        <v>0</v>
      </c>
      <c r="I1517" s="556"/>
      <c r="J1517" s="556">
        <f t="shared" si="696"/>
        <v>0</v>
      </c>
      <c r="K1517" s="556"/>
      <c r="L1517" s="556"/>
      <c r="M1517" s="556"/>
      <c r="N1517" s="556"/>
      <c r="O1517" s="556"/>
      <c r="P1517" s="182">
        <f>VLOOKUP($B1517,dongia1,DG!$F$5,)</f>
        <v>28000</v>
      </c>
      <c r="Q1517" s="182"/>
      <c r="R1517" s="554"/>
      <c r="S1517" s="113">
        <f t="shared" si="718"/>
        <v>0</v>
      </c>
      <c r="T1517" s="113">
        <f t="shared" si="718"/>
        <v>0</v>
      </c>
      <c r="U1517" s="557">
        <f t="shared" si="718"/>
        <v>0</v>
      </c>
    </row>
    <row r="1518" spans="1:21" s="552" customFormat="1" ht="15" customHeight="1">
      <c r="A1518" s="621"/>
      <c r="B1518" s="622" t="s">
        <v>205</v>
      </c>
      <c r="C1518" s="633" t="str">
        <f t="shared" si="710"/>
        <v xml:space="preserve"> </v>
      </c>
      <c r="D1518" s="553"/>
      <c r="E1518" s="694" t="str">
        <f>VLOOKUP($B1518,dongia1,DG!$C$5,)</f>
        <v>Kẹp ép WR cỡ dây 50mm2</v>
      </c>
      <c r="F1518" s="555" t="str">
        <f>VLOOKUP($B1518,dongia1,DG!$D$5,)</f>
        <v>cái</v>
      </c>
      <c r="G1518" s="205">
        <f>G1515*2</f>
        <v>0</v>
      </c>
      <c r="H1518" s="556">
        <f t="shared" si="695"/>
        <v>0</v>
      </c>
      <c r="I1518" s="556"/>
      <c r="J1518" s="556">
        <f t="shared" si="696"/>
        <v>0</v>
      </c>
      <c r="K1518" s="556"/>
      <c r="L1518" s="556"/>
      <c r="M1518" s="556"/>
      <c r="N1518" s="556"/>
      <c r="O1518" s="556"/>
      <c r="P1518" s="182">
        <f>VLOOKUP($B1518,dongia1,DG!$F$5,)</f>
        <v>8000</v>
      </c>
      <c r="Q1518" s="182"/>
      <c r="R1518" s="554"/>
      <c r="S1518" s="113">
        <f t="shared" si="718"/>
        <v>0</v>
      </c>
      <c r="T1518" s="113">
        <f t="shared" si="718"/>
        <v>0</v>
      </c>
      <c r="U1518" s="557">
        <f t="shared" si="718"/>
        <v>0</v>
      </c>
    </row>
    <row r="1519" spans="1:21" s="918" customFormat="1" ht="14.4">
      <c r="A1519" s="911"/>
      <c r="B1519" s="912" t="s">
        <v>3724</v>
      </c>
      <c r="C1519" s="913" t="str">
        <f t="shared" si="710"/>
        <v xml:space="preserve"> </v>
      </c>
      <c r="D1519" s="850">
        <v>3</v>
      </c>
      <c r="E1519" s="906" t="s">
        <v>3640</v>
      </c>
      <c r="F1519" s="907" t="s">
        <v>2226</v>
      </c>
      <c r="G1519" s="908">
        <f>pptt_NC!CZ41</f>
        <v>0</v>
      </c>
      <c r="H1519" s="914">
        <f t="shared" si="695"/>
        <v>0</v>
      </c>
      <c r="I1519" s="914"/>
      <c r="J1519" s="914">
        <f t="shared" si="696"/>
        <v>0</v>
      </c>
      <c r="K1519" s="914"/>
      <c r="L1519" s="914"/>
      <c r="M1519" s="914"/>
      <c r="N1519" s="914"/>
      <c r="O1519" s="914"/>
      <c r="P1519" s="915"/>
      <c r="Q1519" s="915"/>
      <c r="R1519" s="916"/>
      <c r="S1519" s="915"/>
      <c r="T1519" s="915">
        <f>$G1519*Q1519</f>
        <v>0</v>
      </c>
      <c r="U1519" s="917">
        <f>$G1519*R1519</f>
        <v>0</v>
      </c>
    </row>
    <row r="1520" spans="1:21">
      <c r="B1520" s="696" t="s">
        <v>647</v>
      </c>
      <c r="C1520" s="697" t="str">
        <f t="shared" si="710"/>
        <v xml:space="preserve"> </v>
      </c>
      <c r="D1520" s="698"/>
      <c r="E1520" s="699" t="str">
        <f>VLOOKUP($B1520,dongia1,DG!$C$5,)</f>
        <v xml:space="preserve">Sứ đứng 24KV </v>
      </c>
      <c r="F1520" s="700" t="str">
        <f>VLOOKUP($B1520,dongia1,DG!$D$5,)</f>
        <v>cái</v>
      </c>
      <c r="G1520" s="762">
        <f>G1519</f>
        <v>0</v>
      </c>
      <c r="H1520" s="701">
        <f t="shared" si="695"/>
        <v>0</v>
      </c>
      <c r="I1520" s="701"/>
      <c r="J1520" s="701">
        <f t="shared" si="696"/>
        <v>0</v>
      </c>
      <c r="K1520" s="701"/>
      <c r="L1520" s="701"/>
      <c r="M1520" s="701"/>
      <c r="N1520" s="701"/>
      <c r="O1520" s="701"/>
      <c r="P1520" s="702">
        <f>VLOOKUP($B1520,dongia1,DG!$F$5,)</f>
        <v>205000</v>
      </c>
      <c r="Q1520" s="702"/>
      <c r="R1520" s="703"/>
      <c r="S1520" s="702">
        <f>$G1520*P1520</f>
        <v>0</v>
      </c>
      <c r="T1520" s="702">
        <f t="shared" si="715"/>
        <v>0</v>
      </c>
      <c r="U1520" s="704">
        <f t="shared" si="716"/>
        <v>0</v>
      </c>
    </row>
    <row r="1521" spans="1:21">
      <c r="B1521" s="696" t="s">
        <v>414</v>
      </c>
      <c r="C1521" s="697" t="str">
        <f t="shared" si="710"/>
        <v xml:space="preserve"> </v>
      </c>
      <c r="D1521" s="698"/>
      <c r="E1521" s="699" t="str">
        <f>VLOOKUP($B1521,dongia1,DG!$C$5,)</f>
        <v>Chân sứ đứng D20</v>
      </c>
      <c r="F1521" s="700" t="str">
        <f>VLOOKUP($B1521,dongia1,DG!$D$5,)</f>
        <v>cái</v>
      </c>
      <c r="G1521" s="762">
        <f>G1519</f>
        <v>0</v>
      </c>
      <c r="H1521" s="701">
        <f t="shared" si="695"/>
        <v>0</v>
      </c>
      <c r="I1521" s="701"/>
      <c r="J1521" s="701">
        <f t="shared" si="696"/>
        <v>0</v>
      </c>
      <c r="K1521" s="701"/>
      <c r="L1521" s="701"/>
      <c r="M1521" s="701"/>
      <c r="N1521" s="701"/>
      <c r="O1521" s="701"/>
      <c r="P1521" s="702">
        <f>VLOOKUP($B1521,dongia1,DG!$F$5,)</f>
        <v>65000</v>
      </c>
      <c r="Q1521" s="702"/>
      <c r="R1521" s="703"/>
      <c r="S1521" s="702">
        <f>$G1521*P1521</f>
        <v>0</v>
      </c>
      <c r="T1521" s="702">
        <f t="shared" si="715"/>
        <v>0</v>
      </c>
      <c r="U1521" s="930">
        <f t="shared" si="716"/>
        <v>0</v>
      </c>
    </row>
    <row r="1522" spans="1:21" s="1011" customFormat="1">
      <c r="A1522" s="1000"/>
      <c r="B1522" s="1001" t="s">
        <v>414</v>
      </c>
      <c r="C1522" s="1002" t="str">
        <f t="shared" ref="C1522:C1553" si="719">IF(G1522&lt;&gt;0,C$1457," ")</f>
        <v xml:space="preserve"> </v>
      </c>
      <c r="D1522" s="1003"/>
      <c r="E1522" s="1004" t="str">
        <f>VLOOKUP($B1522,dongia1,DG!$C$5,)&amp;": Bổ sung cho sứ đứng sử dụng từ bộ sứ đỉnh"</f>
        <v>Chân sứ đứng D20: Bổ sung cho sứ đứng sử dụng từ bộ sứ đỉnh</v>
      </c>
      <c r="F1522" s="1005" t="str">
        <f>VLOOKUP($B1522,dongia1,DG!$D$5,)</f>
        <v>cái</v>
      </c>
      <c r="G1522" s="1006">
        <f>G1693</f>
        <v>0</v>
      </c>
      <c r="H1522" s="1007">
        <f t="shared" si="695"/>
        <v>0</v>
      </c>
      <c r="I1522" s="701"/>
      <c r="J1522" s="701">
        <f>G1522</f>
        <v>0</v>
      </c>
      <c r="K1522" s="701"/>
      <c r="L1522" s="701"/>
      <c r="M1522" s="701"/>
      <c r="N1522" s="701"/>
      <c r="O1522" s="701"/>
      <c r="P1522" s="1008">
        <f>VLOOKUP($B1522,dongia1,DG!$F$5,)</f>
        <v>65000</v>
      </c>
      <c r="Q1522" s="1008"/>
      <c r="R1522" s="1009"/>
      <c r="S1522" s="1008">
        <f>$G1522*P1522</f>
        <v>0</v>
      </c>
      <c r="T1522" s="1008">
        <f>$G1522*Q1522</f>
        <v>0</v>
      </c>
      <c r="U1522" s="1010">
        <f>$G1522*R1522</f>
        <v>0</v>
      </c>
    </row>
    <row r="1523" spans="1:21" s="610" customFormat="1" ht="15" customHeight="1">
      <c r="A1523" s="635"/>
      <c r="B1523" s="636" t="s">
        <v>3725</v>
      </c>
      <c r="C1523" s="641" t="str">
        <f t="shared" si="719"/>
        <v xml:space="preserve"> </v>
      </c>
      <c r="D1523" s="599"/>
      <c r="E1523" s="728" t="s">
        <v>3641</v>
      </c>
      <c r="F1523" s="642" t="s">
        <v>2226</v>
      </c>
      <c r="G1523" s="643">
        <f>pptt_NC!CX41</f>
        <v>0</v>
      </c>
      <c r="H1523" s="605">
        <f t="shared" si="695"/>
        <v>0</v>
      </c>
      <c r="I1523" s="605"/>
      <c r="J1523" s="605">
        <f t="shared" si="696"/>
        <v>0</v>
      </c>
      <c r="K1523" s="605"/>
      <c r="L1523" s="605"/>
      <c r="M1523" s="605"/>
      <c r="N1523" s="605"/>
      <c r="O1523" s="605"/>
      <c r="P1523" s="607"/>
      <c r="Q1523" s="607"/>
      <c r="R1523" s="606"/>
      <c r="S1523" s="608"/>
      <c r="T1523" s="608">
        <f t="shared" si="715"/>
        <v>0</v>
      </c>
      <c r="U1523" s="716">
        <f t="shared" si="716"/>
        <v>0</v>
      </c>
    </row>
    <row r="1524" spans="1:21" s="552" customFormat="1" ht="15" customHeight="1">
      <c r="A1524" s="621"/>
      <c r="B1524" s="622" t="s">
        <v>647</v>
      </c>
      <c r="C1524" s="633" t="str">
        <f t="shared" si="719"/>
        <v xml:space="preserve"> </v>
      </c>
      <c r="D1524" s="553"/>
      <c r="E1524" s="694" t="str">
        <f>VLOOKUP($B1524,dongia1,DG!$C$5,)</f>
        <v xml:space="preserve">Sứ đứng 24KV </v>
      </c>
      <c r="F1524" s="555" t="str">
        <f>VLOOKUP($B1524,dongia1,DG!$D$5,)</f>
        <v>cái</v>
      </c>
      <c r="G1524" s="205">
        <f>G1523</f>
        <v>0</v>
      </c>
      <c r="H1524" s="556">
        <f t="shared" si="695"/>
        <v>0</v>
      </c>
      <c r="I1524" s="556"/>
      <c r="J1524" s="556">
        <f t="shared" si="696"/>
        <v>0</v>
      </c>
      <c r="K1524" s="556"/>
      <c r="L1524" s="556"/>
      <c r="M1524" s="556"/>
      <c r="N1524" s="556"/>
      <c r="O1524" s="556"/>
      <c r="P1524" s="182">
        <f>VLOOKUP($B1524,dongia1,DG!$F$5,)</f>
        <v>205000</v>
      </c>
      <c r="Q1524" s="182"/>
      <c r="R1524" s="554"/>
      <c r="S1524" s="113">
        <f>$G1524*P1524</f>
        <v>0</v>
      </c>
      <c r="T1524" s="113">
        <f t="shared" si="715"/>
        <v>0</v>
      </c>
      <c r="U1524" s="557">
        <f t="shared" si="716"/>
        <v>0</v>
      </c>
    </row>
    <row r="1525" spans="1:21" s="552" customFormat="1" ht="15" customHeight="1">
      <c r="A1525" s="621"/>
      <c r="B1525" s="622" t="s">
        <v>415</v>
      </c>
      <c r="C1525" s="633" t="str">
        <f t="shared" si="719"/>
        <v xml:space="preserve"> </v>
      </c>
      <c r="D1525" s="553"/>
      <c r="E1525" s="694" t="str">
        <f>VLOOKUP($B1525,dongia1,DG!$C$5,)</f>
        <v>Chân sứ đỉnh thẳng dài 870mm</v>
      </c>
      <c r="F1525" s="555" t="str">
        <f>VLOOKUP($B1525,dongia1,DG!$D$5,)</f>
        <v>cái</v>
      </c>
      <c r="G1525" s="205">
        <f>G1523</f>
        <v>0</v>
      </c>
      <c r="H1525" s="556">
        <f t="shared" si="695"/>
        <v>0</v>
      </c>
      <c r="I1525" s="556"/>
      <c r="J1525" s="556">
        <f t="shared" si="696"/>
        <v>0</v>
      </c>
      <c r="K1525" s="556"/>
      <c r="L1525" s="556"/>
      <c r="M1525" s="556"/>
      <c r="N1525" s="556"/>
      <c r="O1525" s="556"/>
      <c r="P1525" s="182">
        <f>VLOOKUP($B1525,dongia1,DG!$F$5,)</f>
        <v>83000</v>
      </c>
      <c r="Q1525" s="182"/>
      <c r="R1525" s="554"/>
      <c r="S1525" s="113">
        <f>$G1525*P1525</f>
        <v>0</v>
      </c>
      <c r="T1525" s="113">
        <f t="shared" si="715"/>
        <v>0</v>
      </c>
      <c r="U1525" s="557">
        <f t="shared" si="716"/>
        <v>0</v>
      </c>
    </row>
    <row r="1526" spans="1:21" s="552" customFormat="1" ht="15" customHeight="1">
      <c r="A1526" s="621"/>
      <c r="B1526" s="622" t="s">
        <v>1261</v>
      </c>
      <c r="C1526" s="633" t="str">
        <f t="shared" si="719"/>
        <v xml:space="preserve"> </v>
      </c>
      <c r="D1526" s="553"/>
      <c r="E1526" s="694" t="str">
        <f>VLOOKUP($B1526,dongia1,DG!$C$5,)</f>
        <v>Boulon 16x250+ 2 long đền vuông D18-50x50x3/Zn</v>
      </c>
      <c r="F1526" s="555" t="str">
        <f>VLOOKUP($B1526,dongia1,DG!$D$5,)</f>
        <v>bộ</v>
      </c>
      <c r="G1526" s="205">
        <f>G1523*2</f>
        <v>0</v>
      </c>
      <c r="H1526" s="556">
        <f t="shared" si="695"/>
        <v>0</v>
      </c>
      <c r="I1526" s="556"/>
      <c r="J1526" s="556">
        <f t="shared" si="696"/>
        <v>0</v>
      </c>
      <c r="K1526" s="556"/>
      <c r="L1526" s="556"/>
      <c r="M1526" s="556"/>
      <c r="N1526" s="556"/>
      <c r="O1526" s="556"/>
      <c r="P1526" s="182">
        <f>VLOOKUP($B1526,dongia1,DG!$F$5,)</f>
        <v>13400</v>
      </c>
      <c r="Q1526" s="182"/>
      <c r="R1526" s="554"/>
      <c r="S1526" s="113">
        <f>$G1526*P1526</f>
        <v>0</v>
      </c>
      <c r="T1526" s="113">
        <f t="shared" si="715"/>
        <v>0</v>
      </c>
      <c r="U1526" s="557">
        <f t="shared" si="716"/>
        <v>0</v>
      </c>
    </row>
    <row r="1527" spans="1:21" s="610" customFormat="1" ht="15" customHeight="1">
      <c r="A1527" s="635"/>
      <c r="B1527" s="636" t="s">
        <v>3726</v>
      </c>
      <c r="C1527" s="641" t="str">
        <f t="shared" si="719"/>
        <v xml:space="preserve"> </v>
      </c>
      <c r="D1527" s="599"/>
      <c r="E1527" s="728" t="s">
        <v>3642</v>
      </c>
      <c r="F1527" s="642" t="s">
        <v>2226</v>
      </c>
      <c r="G1527" s="643">
        <f>pptt_NC!CY41</f>
        <v>0</v>
      </c>
      <c r="H1527" s="605">
        <f t="shared" si="695"/>
        <v>0</v>
      </c>
      <c r="I1527" s="605"/>
      <c r="J1527" s="605">
        <f t="shared" si="696"/>
        <v>0</v>
      </c>
      <c r="K1527" s="605"/>
      <c r="L1527" s="605"/>
      <c r="M1527" s="605"/>
      <c r="N1527" s="605"/>
      <c r="O1527" s="605"/>
      <c r="P1527" s="607"/>
      <c r="Q1527" s="607"/>
      <c r="R1527" s="606"/>
      <c r="S1527" s="608"/>
      <c r="T1527" s="608">
        <f t="shared" si="715"/>
        <v>0</v>
      </c>
      <c r="U1527" s="609">
        <f t="shared" si="716"/>
        <v>0</v>
      </c>
    </row>
    <row r="1528" spans="1:21" s="552" customFormat="1" ht="15" customHeight="1">
      <c r="A1528" s="621"/>
      <c r="B1528" s="622" t="s">
        <v>647</v>
      </c>
      <c r="C1528" s="633" t="str">
        <f t="shared" si="719"/>
        <v xml:space="preserve"> </v>
      </c>
      <c r="D1528" s="553"/>
      <c r="E1528" s="694" t="str">
        <f>VLOOKUP($B1528,dongia1,DG!$C$5,)</f>
        <v xml:space="preserve">Sứ đứng 24KV </v>
      </c>
      <c r="F1528" s="555" t="str">
        <f>VLOOKUP($B1528,dongia1,DG!$D$5,)</f>
        <v>cái</v>
      </c>
      <c r="G1528" s="205">
        <f>G1527*2</f>
        <v>0</v>
      </c>
      <c r="H1528" s="556">
        <f t="shared" si="695"/>
        <v>0</v>
      </c>
      <c r="I1528" s="556"/>
      <c r="J1528" s="556">
        <f t="shared" si="696"/>
        <v>0</v>
      </c>
      <c r="K1528" s="556"/>
      <c r="L1528" s="556"/>
      <c r="M1528" s="556"/>
      <c r="N1528" s="556"/>
      <c r="O1528" s="556"/>
      <c r="P1528" s="182">
        <f>VLOOKUP($B1528,dongia1,DG!$F$5,)</f>
        <v>205000</v>
      </c>
      <c r="Q1528" s="182"/>
      <c r="R1528" s="554"/>
      <c r="S1528" s="113">
        <f>$G1528*P1528</f>
        <v>0</v>
      </c>
      <c r="T1528" s="113">
        <f t="shared" si="715"/>
        <v>0</v>
      </c>
      <c r="U1528" s="557">
        <f t="shared" si="716"/>
        <v>0</v>
      </c>
    </row>
    <row r="1529" spans="1:21" s="552" customFormat="1" ht="15" customHeight="1">
      <c r="A1529" s="621"/>
      <c r="B1529" s="622" t="s">
        <v>1999</v>
      </c>
      <c r="C1529" s="633" t="str">
        <f t="shared" si="719"/>
        <v xml:space="preserve"> </v>
      </c>
      <c r="D1529" s="553"/>
      <c r="E1529" s="694" t="str">
        <f>VLOOKUP($B1529,dongia1,DG!$C$5,)</f>
        <v>Chân sứ đỉnh đỡ góc dài 870mm</v>
      </c>
      <c r="F1529" s="555" t="str">
        <f>VLOOKUP($B1529,dongia1,DG!$D$5,)</f>
        <v>cái</v>
      </c>
      <c r="G1529" s="205">
        <f>G1527*2</f>
        <v>0</v>
      </c>
      <c r="H1529" s="556">
        <f t="shared" si="695"/>
        <v>0</v>
      </c>
      <c r="I1529" s="556"/>
      <c r="J1529" s="556">
        <f t="shared" si="696"/>
        <v>0</v>
      </c>
      <c r="K1529" s="556"/>
      <c r="L1529" s="556"/>
      <c r="M1529" s="556"/>
      <c r="N1529" s="556"/>
      <c r="O1529" s="556"/>
      <c r="P1529" s="182">
        <f>VLOOKUP($B1529,dongia1,DG!$F$5,)</f>
        <v>85000</v>
      </c>
      <c r="Q1529" s="182"/>
      <c r="R1529" s="554"/>
      <c r="S1529" s="113">
        <f>$G1529*P1529</f>
        <v>0</v>
      </c>
      <c r="T1529" s="113">
        <f t="shared" si="715"/>
        <v>0</v>
      </c>
      <c r="U1529" s="557">
        <f t="shared" si="716"/>
        <v>0</v>
      </c>
    </row>
    <row r="1530" spans="1:21" s="552" customFormat="1" ht="15" customHeight="1">
      <c r="A1530" s="621"/>
      <c r="B1530" s="622" t="s">
        <v>1261</v>
      </c>
      <c r="C1530" s="633" t="str">
        <f t="shared" si="719"/>
        <v xml:space="preserve"> </v>
      </c>
      <c r="D1530" s="553"/>
      <c r="E1530" s="694" t="str">
        <f>VLOOKUP($B1530,dongia1,DG!$C$5,)</f>
        <v>Boulon 16x250+ 2 long đền vuông D18-50x50x3/Zn</v>
      </c>
      <c r="F1530" s="555" t="str">
        <f>VLOOKUP($B1530,dongia1,DG!$D$5,)</f>
        <v>bộ</v>
      </c>
      <c r="G1530" s="205">
        <f>G1527*2</f>
        <v>0</v>
      </c>
      <c r="H1530" s="556">
        <f t="shared" si="695"/>
        <v>0</v>
      </c>
      <c r="I1530" s="556"/>
      <c r="J1530" s="556">
        <f t="shared" si="696"/>
        <v>0</v>
      </c>
      <c r="K1530" s="556"/>
      <c r="L1530" s="556"/>
      <c r="M1530" s="556"/>
      <c r="N1530" s="556"/>
      <c r="O1530" s="556"/>
      <c r="P1530" s="182">
        <f>VLOOKUP($B1530,dongia1,DG!$F$5,)</f>
        <v>13400</v>
      </c>
      <c r="Q1530" s="182"/>
      <c r="R1530" s="554"/>
      <c r="S1530" s="113">
        <f>$G1530*P1530</f>
        <v>0</v>
      </c>
      <c r="T1530" s="113">
        <f t="shared" si="715"/>
        <v>0</v>
      </c>
      <c r="U1530" s="557">
        <f t="shared" si="716"/>
        <v>0</v>
      </c>
    </row>
    <row r="1531" spans="1:21" s="610" customFormat="1" ht="15" customHeight="1">
      <c r="A1531" s="635"/>
      <c r="B1531" s="636" t="s">
        <v>3727</v>
      </c>
      <c r="C1531" s="641" t="str">
        <f t="shared" si="719"/>
        <v xml:space="preserve"> </v>
      </c>
      <c r="D1531" s="599"/>
      <c r="E1531" s="728" t="s">
        <v>3646</v>
      </c>
      <c r="F1531" s="642" t="s">
        <v>3693</v>
      </c>
      <c r="G1531" s="643"/>
      <c r="H1531" s="605">
        <f t="shared" si="695"/>
        <v>0</v>
      </c>
      <c r="I1531" s="605"/>
      <c r="J1531" s="605">
        <f t="shared" si="696"/>
        <v>0</v>
      </c>
      <c r="K1531" s="605"/>
      <c r="L1531" s="605"/>
      <c r="M1531" s="605"/>
      <c r="N1531" s="605"/>
      <c r="O1531" s="605"/>
      <c r="P1531" s="607"/>
      <c r="Q1531" s="607"/>
      <c r="R1531" s="606"/>
      <c r="S1531" s="608"/>
      <c r="T1531" s="608">
        <f t="shared" si="715"/>
        <v>0</v>
      </c>
      <c r="U1531" s="609">
        <f t="shared" si="716"/>
        <v>0</v>
      </c>
    </row>
    <row r="1532" spans="1:21" s="552" customFormat="1" ht="15" customHeight="1">
      <c r="A1532" s="621"/>
      <c r="B1532" s="622" t="s">
        <v>416</v>
      </c>
      <c r="C1532" s="633" t="str">
        <f t="shared" si="719"/>
        <v xml:space="preserve"> </v>
      </c>
      <c r="D1532" s="553"/>
      <c r="E1532" s="694" t="str">
        <f>VLOOKUP($B1532,dongia1,DG!$C$5,)</f>
        <v>Sứ treo loại 70kN</v>
      </c>
      <c r="F1532" s="555" t="str">
        <f>VLOOKUP($B1532,dongia1,DG!$D$5,)</f>
        <v>bát</v>
      </c>
      <c r="G1532" s="205">
        <f>G1531*2</f>
        <v>0</v>
      </c>
      <c r="H1532" s="556">
        <f t="shared" si="695"/>
        <v>0</v>
      </c>
      <c r="I1532" s="556"/>
      <c r="J1532" s="556">
        <f t="shared" si="696"/>
        <v>0</v>
      </c>
      <c r="K1532" s="556"/>
      <c r="L1532" s="556"/>
      <c r="M1532" s="556"/>
      <c r="N1532" s="556"/>
      <c r="O1532" s="556"/>
      <c r="P1532" s="182">
        <f>VLOOKUP($B1532,dongia1,DG!$F$5,)</f>
        <v>73500</v>
      </c>
      <c r="Q1532" s="182"/>
      <c r="R1532" s="554"/>
      <c r="S1532" s="113">
        <f t="shared" ref="S1532:S1539" si="720">$G1532*P1532</f>
        <v>0</v>
      </c>
      <c r="T1532" s="113">
        <f t="shared" si="715"/>
        <v>0</v>
      </c>
      <c r="U1532" s="557">
        <f t="shared" si="716"/>
        <v>0</v>
      </c>
    </row>
    <row r="1533" spans="1:21" s="552" customFormat="1" ht="15" customHeight="1">
      <c r="A1533" s="621"/>
      <c r="B1533" s="622" t="s">
        <v>2035</v>
      </c>
      <c r="C1533" s="633" t="str">
        <f t="shared" si="719"/>
        <v xml:space="preserve"> </v>
      </c>
      <c r="D1533" s="553"/>
      <c r="E1533" s="694" t="str">
        <f>VLOOKUP($B1533,dongia1,DG!$C$5,)</f>
        <v xml:space="preserve">Móc treo chữ U F16 dài </v>
      </c>
      <c r="F1533" s="555" t="str">
        <f>VLOOKUP($B1533,dongia1,DG!$D$5,)</f>
        <v>cái</v>
      </c>
      <c r="G1533" s="205">
        <f>G1531*2</f>
        <v>0</v>
      </c>
      <c r="H1533" s="556">
        <f t="shared" si="695"/>
        <v>0</v>
      </c>
      <c r="I1533" s="556"/>
      <c r="J1533" s="556">
        <f t="shared" si="696"/>
        <v>0</v>
      </c>
      <c r="K1533" s="556"/>
      <c r="L1533" s="556"/>
      <c r="M1533" s="556"/>
      <c r="N1533" s="556"/>
      <c r="O1533" s="556"/>
      <c r="P1533" s="182">
        <f>VLOOKUP($B1533,dongia1,DG!$F$5,)</f>
        <v>28000</v>
      </c>
      <c r="Q1533" s="182"/>
      <c r="R1533" s="554"/>
      <c r="S1533" s="113">
        <f t="shared" si="720"/>
        <v>0</v>
      </c>
      <c r="T1533" s="113">
        <f t="shared" si="715"/>
        <v>0</v>
      </c>
      <c r="U1533" s="557">
        <f t="shared" si="716"/>
        <v>0</v>
      </c>
    </row>
    <row r="1534" spans="1:21" s="552" customFormat="1" ht="15" customHeight="1">
      <c r="A1534" s="621"/>
      <c r="B1534" s="622" t="s">
        <v>1277</v>
      </c>
      <c r="C1534" s="633" t="str">
        <f t="shared" si="719"/>
        <v xml:space="preserve"> </v>
      </c>
      <c r="D1534" s="553"/>
      <c r="E1534" s="694" t="str">
        <f>VLOOKUP($B1534,dongia1,DG!$C$5,)</f>
        <v>Vòng treo đầu tròn</v>
      </c>
      <c r="F1534" s="555" t="str">
        <f>VLOOKUP($B1534,dongia1,DG!$D$5,)</f>
        <v>cái</v>
      </c>
      <c r="G1534" s="205">
        <f>G1531</f>
        <v>0</v>
      </c>
      <c r="H1534" s="556">
        <f t="shared" si="695"/>
        <v>0</v>
      </c>
      <c r="I1534" s="556"/>
      <c r="J1534" s="556">
        <f t="shared" si="696"/>
        <v>0</v>
      </c>
      <c r="K1534" s="556"/>
      <c r="L1534" s="556"/>
      <c r="M1534" s="556"/>
      <c r="N1534" s="556"/>
      <c r="O1534" s="556"/>
      <c r="P1534" s="182">
        <f>VLOOKUP($B1534,dongia1,DG!$F$5,)</f>
        <v>4700</v>
      </c>
      <c r="Q1534" s="182"/>
      <c r="R1534" s="554"/>
      <c r="S1534" s="113">
        <f t="shared" si="720"/>
        <v>0</v>
      </c>
      <c r="T1534" s="113">
        <f t="shared" ref="T1534:U1539" si="721">$G1534*Q1534</f>
        <v>0</v>
      </c>
      <c r="U1534" s="557">
        <f t="shared" si="721"/>
        <v>0</v>
      </c>
    </row>
    <row r="1535" spans="1:21" s="552" customFormat="1" ht="15" customHeight="1">
      <c r="A1535" s="621"/>
      <c r="B1535" s="622" t="s">
        <v>2033</v>
      </c>
      <c r="C1535" s="633" t="str">
        <f t="shared" si="719"/>
        <v xml:space="preserve"> </v>
      </c>
      <c r="D1535" s="553"/>
      <c r="E1535" s="694" t="str">
        <f>VLOOKUP($B1535,dongia1,DG!$C$5,)</f>
        <v>Mắt nối đơn</v>
      </c>
      <c r="F1535" s="555" t="str">
        <f>VLOOKUP($B1535,dongia1,DG!$D$5,)</f>
        <v>cái</v>
      </c>
      <c r="G1535" s="205">
        <f>G1531</f>
        <v>0</v>
      </c>
      <c r="H1535" s="556">
        <f t="shared" si="695"/>
        <v>0</v>
      </c>
      <c r="I1535" s="556"/>
      <c r="J1535" s="556">
        <f t="shared" si="696"/>
        <v>0</v>
      </c>
      <c r="K1535" s="556"/>
      <c r="L1535" s="556"/>
      <c r="M1535" s="556"/>
      <c r="N1535" s="556"/>
      <c r="O1535" s="556"/>
      <c r="P1535" s="182">
        <f>VLOOKUP($B1535,dongia1,DG!$F$5,)</f>
        <v>10100</v>
      </c>
      <c r="Q1535" s="182"/>
      <c r="R1535" s="554"/>
      <c r="S1535" s="113">
        <f t="shared" si="720"/>
        <v>0</v>
      </c>
      <c r="T1535" s="113">
        <f t="shared" si="721"/>
        <v>0</v>
      </c>
      <c r="U1535" s="557">
        <f t="shared" si="721"/>
        <v>0</v>
      </c>
    </row>
    <row r="1536" spans="1:21" s="552" customFormat="1" ht="15" customHeight="1">
      <c r="A1536" s="621"/>
      <c r="B1536" s="622" t="s">
        <v>417</v>
      </c>
      <c r="C1536" s="633" t="str">
        <f t="shared" si="719"/>
        <v xml:space="preserve"> </v>
      </c>
      <c r="D1536" s="553"/>
      <c r="E1536" s="694" t="str">
        <f>VLOOKUP($B1536,dongia1,DG!$C$5,)</f>
        <v>Boulon mắt 16x300+ 1 long đền vuông D18-50x50x3/Zn</v>
      </c>
      <c r="F1536" s="555" t="str">
        <f>VLOOKUP($B1536,dongia1,DG!$D$5,)</f>
        <v>bộ</v>
      </c>
      <c r="G1536" s="205">
        <f>G1531</f>
        <v>0</v>
      </c>
      <c r="H1536" s="556">
        <f t="shared" si="695"/>
        <v>0</v>
      </c>
      <c r="I1536" s="556"/>
      <c r="J1536" s="556">
        <f t="shared" si="696"/>
        <v>0</v>
      </c>
      <c r="K1536" s="556"/>
      <c r="L1536" s="556"/>
      <c r="M1536" s="556"/>
      <c r="N1536" s="556"/>
      <c r="O1536" s="556"/>
      <c r="P1536" s="182">
        <f>VLOOKUP($B1536,dongia1,DG!$F$5,)</f>
        <v>32200</v>
      </c>
      <c r="Q1536" s="182"/>
      <c r="R1536" s="554"/>
      <c r="S1536" s="113">
        <f t="shared" si="720"/>
        <v>0</v>
      </c>
      <c r="T1536" s="113">
        <f t="shared" si="721"/>
        <v>0</v>
      </c>
      <c r="U1536" s="557">
        <f t="shared" si="721"/>
        <v>0</v>
      </c>
    </row>
    <row r="1537" spans="1:21 16377:16383" s="610" customFormat="1" ht="15" customHeight="1">
      <c r="A1537" s="635"/>
      <c r="B1537" s="636" t="s">
        <v>3728</v>
      </c>
      <c r="C1537" s="641" t="str">
        <f t="shared" si="719"/>
        <v xml:space="preserve"> </v>
      </c>
      <c r="D1537" s="599"/>
      <c r="E1537" s="728" t="s">
        <v>3653</v>
      </c>
      <c r="F1537" s="642" t="s">
        <v>3693</v>
      </c>
      <c r="G1537" s="643"/>
      <c r="H1537" s="605">
        <f t="shared" si="695"/>
        <v>0</v>
      </c>
      <c r="I1537" s="605"/>
      <c r="J1537" s="605">
        <f t="shared" si="696"/>
        <v>0</v>
      </c>
      <c r="K1537" s="605"/>
      <c r="L1537" s="605"/>
      <c r="M1537" s="605"/>
      <c r="N1537" s="605"/>
      <c r="O1537" s="605"/>
      <c r="P1537" s="607"/>
      <c r="Q1537" s="607"/>
      <c r="R1537" s="606"/>
      <c r="S1537" s="608">
        <f t="shared" si="720"/>
        <v>0</v>
      </c>
      <c r="T1537" s="608">
        <f t="shared" si="721"/>
        <v>0</v>
      </c>
      <c r="U1537" s="609">
        <f t="shared" si="721"/>
        <v>0</v>
      </c>
    </row>
    <row r="1538" spans="1:21 16377:16383" s="552" customFormat="1" ht="15" customHeight="1">
      <c r="A1538" s="621"/>
      <c r="B1538" s="622" t="s">
        <v>1008</v>
      </c>
      <c r="C1538" s="633" t="str">
        <f t="shared" si="719"/>
        <v xml:space="preserve"> </v>
      </c>
      <c r="D1538" s="553"/>
      <c r="E1538" s="694" t="str">
        <f>VLOOKUP($B1538,dongia1,DG!$C$5,)</f>
        <v>Sứ treo loại 70kN</v>
      </c>
      <c r="F1538" s="555" t="str">
        <f>VLOOKUP($B1538,dongia1,DG!$D$5,)</f>
        <v>bát</v>
      </c>
      <c r="G1538" s="205"/>
      <c r="H1538" s="556">
        <f t="shared" si="695"/>
        <v>0</v>
      </c>
      <c r="I1538" s="556"/>
      <c r="J1538" s="556">
        <f t="shared" si="696"/>
        <v>0</v>
      </c>
      <c r="K1538" s="556"/>
      <c r="L1538" s="556"/>
      <c r="M1538" s="556"/>
      <c r="N1538" s="556"/>
      <c r="O1538" s="556"/>
      <c r="P1538" s="182">
        <f>VLOOKUP($B1538,dongia1,DG!$F$5,)</f>
        <v>73500</v>
      </c>
      <c r="Q1538" s="182"/>
      <c r="R1538" s="554"/>
      <c r="S1538" s="113">
        <f t="shared" si="720"/>
        <v>0</v>
      </c>
      <c r="T1538" s="113">
        <f t="shared" si="721"/>
        <v>0</v>
      </c>
      <c r="U1538" s="557">
        <f t="shared" si="721"/>
        <v>0</v>
      </c>
    </row>
    <row r="1539" spans="1:21 16377:16383" s="552" customFormat="1" ht="15" customHeight="1">
      <c r="A1539" s="621"/>
      <c r="B1539" s="622" t="s">
        <v>2035</v>
      </c>
      <c r="C1539" s="633" t="str">
        <f t="shared" si="719"/>
        <v xml:space="preserve"> </v>
      </c>
      <c r="D1539" s="553"/>
      <c r="E1539" s="694" t="str">
        <f>VLOOKUP($B1539,dongia1,DG!$C$5,)</f>
        <v xml:space="preserve">Móc treo chữ U F16 dài </v>
      </c>
      <c r="F1539" s="555" t="str">
        <f>VLOOKUP($B1539,dongia1,DG!$D$5,)</f>
        <v>cái</v>
      </c>
      <c r="G1539" s="205">
        <f>G1537*2</f>
        <v>0</v>
      </c>
      <c r="H1539" s="556">
        <f t="shared" si="695"/>
        <v>0</v>
      </c>
      <c r="I1539" s="556"/>
      <c r="J1539" s="556">
        <f t="shared" si="696"/>
        <v>0</v>
      </c>
      <c r="K1539" s="556"/>
      <c r="L1539" s="556"/>
      <c r="M1539" s="556"/>
      <c r="N1539" s="556"/>
      <c r="O1539" s="556"/>
      <c r="P1539" s="182">
        <f>VLOOKUP($B1539,dongia1,DG!$F$5,)</f>
        <v>28000</v>
      </c>
      <c r="Q1539" s="182"/>
      <c r="R1539" s="554"/>
      <c r="S1539" s="113">
        <f t="shared" si="720"/>
        <v>0</v>
      </c>
      <c r="T1539" s="113">
        <f t="shared" si="721"/>
        <v>0</v>
      </c>
      <c r="U1539" s="557">
        <f t="shared" si="721"/>
        <v>0</v>
      </c>
    </row>
    <row r="1540" spans="1:21 16377:16383" s="918" customFormat="1" ht="14.4">
      <c r="A1540" s="911"/>
      <c r="B1540" s="912" t="s">
        <v>3732</v>
      </c>
      <c r="C1540" s="913" t="str">
        <f t="shared" si="719"/>
        <v xml:space="preserve"> </v>
      </c>
      <c r="D1540" s="850">
        <v>4</v>
      </c>
      <c r="E1540" s="906" t="s">
        <v>4292</v>
      </c>
      <c r="F1540" s="907" t="s">
        <v>3693</v>
      </c>
      <c r="G1540" s="914">
        <f>pptt_NC!DA41</f>
        <v>0</v>
      </c>
      <c r="H1540" s="914">
        <f t="shared" si="695"/>
        <v>0</v>
      </c>
      <c r="I1540" s="915"/>
      <c r="J1540" s="916">
        <f t="shared" si="696"/>
        <v>0</v>
      </c>
      <c r="K1540" s="915"/>
      <c r="L1540" s="915"/>
      <c r="M1540" s="917"/>
      <c r="P1540" s="702"/>
      <c r="Q1540" s="702"/>
      <c r="R1540" s="703"/>
      <c r="S1540" s="702"/>
      <c r="T1540" s="702"/>
      <c r="U1540" s="930"/>
      <c r="XEW1540" s="911"/>
      <c r="XEX1540" s="912"/>
      <c r="XEY1540" s="913"/>
      <c r="XEZ1540" s="850"/>
      <c r="XFA1540" s="906"/>
      <c r="XFB1540" s="907"/>
      <c r="XFC1540" s="914"/>
    </row>
    <row r="1541" spans="1:21 16377:16383">
      <c r="B1541" s="696" t="s">
        <v>1096</v>
      </c>
      <c r="C1541" s="697" t="str">
        <f t="shared" si="719"/>
        <v xml:space="preserve"> </v>
      </c>
      <c r="D1541" s="698"/>
      <c r="E1541" s="699" t="str">
        <f>VLOOKUP($B1541,dongia1,DG!$C$5,)&amp;" "</f>
        <v xml:space="preserve">Sứ treo polymer  </v>
      </c>
      <c r="F1541" s="700" t="str">
        <f>VLOOKUP($B1541,dongia1,DG!$D$5,)</f>
        <v>chuỗi</v>
      </c>
      <c r="G1541" s="762">
        <f>G1540</f>
        <v>0</v>
      </c>
      <c r="H1541" s="701">
        <f t="shared" si="695"/>
        <v>0</v>
      </c>
      <c r="I1541" s="701"/>
      <c r="J1541" s="701">
        <f t="shared" si="696"/>
        <v>0</v>
      </c>
      <c r="K1541" s="701"/>
      <c r="L1541" s="701"/>
      <c r="M1541" s="701"/>
      <c r="N1541" s="701"/>
      <c r="O1541" s="701"/>
      <c r="P1541" s="702">
        <f>VLOOKUP($B1541,dongia1,DG!$F$5,)</f>
        <v>235000</v>
      </c>
      <c r="Q1541" s="702"/>
      <c r="R1541" s="703"/>
      <c r="S1541" s="702">
        <f t="shared" ref="S1541:U1542" si="722">$G1541*P1541</f>
        <v>0</v>
      </c>
      <c r="T1541" s="702">
        <f t="shared" si="722"/>
        <v>0</v>
      </c>
      <c r="U1541" s="704">
        <f t="shared" si="722"/>
        <v>0</v>
      </c>
    </row>
    <row r="1542" spans="1:21 16377:16383">
      <c r="B1542" s="696" t="s">
        <v>2035</v>
      </c>
      <c r="C1542" s="697" t="str">
        <f t="shared" si="719"/>
        <v xml:space="preserve"> </v>
      </c>
      <c r="D1542" s="698"/>
      <c r="E1542" s="699" t="str">
        <f>VLOOKUP($B1542,dongia1,DG!$C$5,)&amp;""</f>
        <v xml:space="preserve">Móc treo chữ U F16 dài </v>
      </c>
      <c r="F1542" s="700" t="str">
        <f>VLOOKUP($B1542,dongia1,DG!$D$5,)</f>
        <v>cái</v>
      </c>
      <c r="G1542" s="762">
        <f>G1540*2</f>
        <v>0</v>
      </c>
      <c r="H1542" s="701">
        <f t="shared" si="695"/>
        <v>0</v>
      </c>
      <c r="I1542" s="701"/>
      <c r="J1542" s="701">
        <f t="shared" ref="J1542:J1636" si="723">G1542</f>
        <v>0</v>
      </c>
      <c r="K1542" s="701"/>
      <c r="L1542" s="701"/>
      <c r="M1542" s="701"/>
      <c r="N1542" s="701"/>
      <c r="O1542" s="701"/>
      <c r="P1542" s="702">
        <f>VLOOKUP($B1542,dongia1,DG!$F$5,)</f>
        <v>28000</v>
      </c>
      <c r="Q1542" s="702"/>
      <c r="R1542" s="702">
        <f>VLOOKUP($B1542,dongia1,DG!$H$5,)</f>
        <v>0</v>
      </c>
      <c r="S1542" s="702">
        <f t="shared" si="722"/>
        <v>0</v>
      </c>
      <c r="T1542" s="702">
        <f t="shared" si="722"/>
        <v>0</v>
      </c>
      <c r="U1542" s="704">
        <f t="shared" si="722"/>
        <v>0</v>
      </c>
    </row>
    <row r="1543" spans="1:21 16377:16383" s="552" customFormat="1" ht="15" customHeight="1">
      <c r="A1543" s="621"/>
      <c r="B1543" s="16" t="s">
        <v>1074</v>
      </c>
      <c r="C1543" s="633" t="str">
        <f t="shared" si="719"/>
        <v xml:space="preserve"> </v>
      </c>
      <c r="D1543" s="553"/>
      <c r="E1543" s="694" t="str">
        <f>VLOOKUP($B1543,dongia1,DG!$C$5,)</f>
        <v>Giáp níu dừng dây bọc ACX 50mm2</v>
      </c>
      <c r="F1543" s="555" t="str">
        <f>VLOOKUP($B1543,dongia1,DG!$D$5,)</f>
        <v>bộ</v>
      </c>
      <c r="G1543" s="205"/>
      <c r="H1543" s="556">
        <f t="shared" si="695"/>
        <v>0</v>
      </c>
      <c r="I1543" s="556"/>
      <c r="J1543" s="556">
        <f t="shared" si="723"/>
        <v>0</v>
      </c>
      <c r="K1543" s="556"/>
      <c r="L1543" s="556"/>
      <c r="M1543" s="556"/>
      <c r="N1543" s="556"/>
      <c r="O1543" s="556"/>
      <c r="P1543" s="182">
        <f>VLOOKUP($B1543,dongia1,DG!$F$5,)</f>
        <v>310000</v>
      </c>
      <c r="Q1543" s="182"/>
      <c r="R1543" s="182">
        <f>VLOOKUP($B1543,dongia1,DG!$H$5,)</f>
        <v>0</v>
      </c>
      <c r="S1543" s="113">
        <f>$G1543*P1543</f>
        <v>0</v>
      </c>
      <c r="T1543" s="113">
        <f>$G1543*Q1543</f>
        <v>0</v>
      </c>
      <c r="U1543" s="718">
        <f>$G1543*R1543</f>
        <v>0</v>
      </c>
    </row>
    <row r="1544" spans="1:21 16377:16383" s="552" customFormat="1" ht="15" customHeight="1">
      <c r="A1544" s="621"/>
      <c r="B1544" s="622" t="s">
        <v>1554</v>
      </c>
      <c r="C1544" s="633" t="str">
        <f t="shared" si="719"/>
        <v xml:space="preserve"> </v>
      </c>
      <c r="D1544" s="553"/>
      <c r="E1544" s="694" t="str">
        <f>VLOOKUP($B1544,dongia1,DG!$C$5,)</f>
        <v>Khóa néo dây cỡ dây 240</v>
      </c>
      <c r="F1544" s="555" t="str">
        <f>VLOOKUP($B1544,dongia1,DG!$D$5,)</f>
        <v>cái</v>
      </c>
      <c r="G1544" s="205"/>
      <c r="H1544" s="556"/>
      <c r="I1544" s="556"/>
      <c r="J1544" s="556">
        <f t="shared" si="723"/>
        <v>0</v>
      </c>
      <c r="K1544" s="556"/>
      <c r="L1544" s="556"/>
      <c r="M1544" s="556"/>
      <c r="N1544" s="556"/>
      <c r="O1544" s="556"/>
      <c r="P1544" s="182">
        <f>VLOOKUP($B1544,dongia1,DG!$F$5,)</f>
        <v>157000</v>
      </c>
      <c r="Q1544" s="182"/>
      <c r="R1544" s="182">
        <f>VLOOKUP($B1544,dongia1,DG!$H$5,)</f>
        <v>0</v>
      </c>
      <c r="S1544" s="113">
        <f t="shared" ref="S1544:U1555" si="724">$G1544*P1544</f>
        <v>0</v>
      </c>
      <c r="T1544" s="113">
        <f t="shared" si="724"/>
        <v>0</v>
      </c>
      <c r="U1544" s="715">
        <f t="shared" si="724"/>
        <v>0</v>
      </c>
    </row>
    <row r="1545" spans="1:21 16377:16383" s="552" customFormat="1" ht="15" customHeight="1">
      <c r="A1545" s="621"/>
      <c r="B1545" s="622" t="s">
        <v>1797</v>
      </c>
      <c r="C1545" s="633" t="str">
        <f t="shared" si="719"/>
        <v xml:space="preserve"> </v>
      </c>
      <c r="D1545" s="553"/>
      <c r="E1545" s="694" t="str">
        <f>VLOOKUP($B1545,dongia1,DG!$C$5,)</f>
        <v>Kẹp 2 rãnh (APC) cỡ dây 240 mm2</v>
      </c>
      <c r="F1545" s="555" t="str">
        <f>VLOOKUP($B1545,dongia1,DG!$D$5,)</f>
        <v>cái</v>
      </c>
      <c r="G1545" s="205"/>
      <c r="H1545" s="556">
        <f t="shared" si="695"/>
        <v>0</v>
      </c>
      <c r="I1545" s="556"/>
      <c r="J1545" s="556">
        <f t="shared" si="723"/>
        <v>0</v>
      </c>
      <c r="K1545" s="556"/>
      <c r="L1545" s="556"/>
      <c r="M1545" s="556"/>
      <c r="N1545" s="556"/>
      <c r="O1545" s="556"/>
      <c r="P1545" s="182">
        <f>VLOOKUP($B1545,dongia1,DG!$F$5,)</f>
        <v>19100</v>
      </c>
      <c r="Q1545" s="182"/>
      <c r="R1545" s="182">
        <f>VLOOKUP($B1545,dongia1,DG!$H$5,)</f>
        <v>0</v>
      </c>
      <c r="S1545" s="113">
        <f t="shared" si="724"/>
        <v>0</v>
      </c>
      <c r="T1545" s="113">
        <f t="shared" si="724"/>
        <v>0</v>
      </c>
      <c r="U1545" s="557">
        <f t="shared" si="724"/>
        <v>0</v>
      </c>
    </row>
    <row r="1546" spans="1:21 16377:16383" s="552" customFormat="1" ht="15" customHeight="1">
      <c r="A1546" s="621"/>
      <c r="B1546" s="622" t="s">
        <v>4289</v>
      </c>
      <c r="C1546" s="633" t="str">
        <f t="shared" si="719"/>
        <v xml:space="preserve"> </v>
      </c>
      <c r="D1546" s="553"/>
      <c r="E1546" s="694" t="str">
        <f>VLOOKUP($B1546,dongia1,DG!$C$5,)</f>
        <v>Giáp níu dừng dây bọc ACX 50mm2</v>
      </c>
      <c r="F1546" s="555" t="str">
        <f>VLOOKUP($B1546,dongia1,DG!$D$5,)</f>
        <v>bộ</v>
      </c>
      <c r="G1546" s="205">
        <f>G1540</f>
        <v>0</v>
      </c>
      <c r="H1546" s="556">
        <f t="shared" si="695"/>
        <v>0</v>
      </c>
      <c r="I1546" s="556"/>
      <c r="J1546" s="556">
        <f t="shared" si="723"/>
        <v>0</v>
      </c>
      <c r="K1546" s="556"/>
      <c r="L1546" s="556"/>
      <c r="M1546" s="556"/>
      <c r="N1546" s="556"/>
      <c r="O1546" s="556"/>
      <c r="P1546" s="182">
        <f>VLOOKUP($B1546,dongia1,DG!$F$5,)</f>
        <v>310000</v>
      </c>
      <c r="Q1546" s="182"/>
      <c r="R1546" s="554"/>
      <c r="S1546" s="113">
        <f t="shared" si="724"/>
        <v>0</v>
      </c>
      <c r="T1546" s="113">
        <f t="shared" si="724"/>
        <v>0</v>
      </c>
      <c r="U1546" s="557">
        <f t="shared" si="724"/>
        <v>0</v>
      </c>
    </row>
    <row r="1547" spans="1:21 16377:16383" ht="14.25" customHeight="1">
      <c r="B1547" s="696" t="s">
        <v>1851</v>
      </c>
      <c r="C1547" s="697" t="str">
        <f t="shared" si="719"/>
        <v xml:space="preserve"> </v>
      </c>
      <c r="D1547" s="698"/>
      <c r="E1547" s="699" t="str">
        <f>VLOOKUP($B1547,dongia1,DG!$C$5,)</f>
        <v>Khóa néo dây cỡ dây 95 (dây bọc 50): kẹp dừng dây 5U-3mm</v>
      </c>
      <c r="F1547" s="700" t="str">
        <f>VLOOKUP($B1547,dongia1,DG!$D$5,)</f>
        <v>cái</v>
      </c>
      <c r="G1547" s="762"/>
      <c r="H1547" s="701">
        <f t="shared" si="695"/>
        <v>0</v>
      </c>
      <c r="I1547" s="701"/>
      <c r="J1547" s="701">
        <f t="shared" si="723"/>
        <v>0</v>
      </c>
      <c r="K1547" s="701"/>
      <c r="L1547" s="701"/>
      <c r="M1547" s="701"/>
      <c r="N1547" s="701"/>
      <c r="O1547" s="701"/>
      <c r="P1547" s="702">
        <f>VLOOKUP($B1547,dongia1,DG!$F$5,)</f>
        <v>126000</v>
      </c>
      <c r="Q1547" s="702"/>
      <c r="R1547" s="703"/>
      <c r="S1547" s="702">
        <f t="shared" si="724"/>
        <v>0</v>
      </c>
      <c r="T1547" s="702">
        <f t="shared" si="724"/>
        <v>0</v>
      </c>
      <c r="U1547" s="704">
        <f t="shared" si="724"/>
        <v>0</v>
      </c>
    </row>
    <row r="1548" spans="1:21 16377:16383" s="552" customFormat="1" ht="14.25" customHeight="1">
      <c r="A1548" s="621"/>
      <c r="B1548" s="622" t="s">
        <v>4479</v>
      </c>
      <c r="C1548" s="633" t="str">
        <f t="shared" si="719"/>
        <v xml:space="preserve"> </v>
      </c>
      <c r="D1548" s="553"/>
      <c r="E1548" s="694" t="str">
        <f>VLOOKUP($B1548,dongia1,DG!$C$5,)</f>
        <v>Giáp níu dừng dây bọc (120-150mm2)</v>
      </c>
      <c r="F1548" s="555" t="str">
        <f>VLOOKUP($B1548,dongia1,DG!$D$5,)</f>
        <v>cái</v>
      </c>
      <c r="G1548" s="205"/>
      <c r="H1548" s="556">
        <f t="shared" si="695"/>
        <v>0</v>
      </c>
      <c r="I1548" s="556"/>
      <c r="J1548" s="556">
        <f t="shared" si="723"/>
        <v>0</v>
      </c>
      <c r="K1548" s="556"/>
      <c r="L1548" s="556"/>
      <c r="M1548" s="556"/>
      <c r="N1548" s="556"/>
      <c r="O1548" s="556"/>
      <c r="P1548" s="182">
        <f>VLOOKUP($B1548,dongia1,DG!$F$5,)</f>
        <v>350000</v>
      </c>
      <c r="Q1548" s="182"/>
      <c r="R1548" s="554"/>
      <c r="S1548" s="113">
        <f t="shared" si="724"/>
        <v>0</v>
      </c>
      <c r="T1548" s="113">
        <f t="shared" si="724"/>
        <v>0</v>
      </c>
      <c r="U1548" s="557">
        <f t="shared" si="724"/>
        <v>0</v>
      </c>
    </row>
    <row r="1549" spans="1:21 16377:16383" s="552" customFormat="1" ht="14.25" customHeight="1">
      <c r="A1549" s="621"/>
      <c r="B1549" s="622" t="s">
        <v>4480</v>
      </c>
      <c r="C1549" s="633" t="str">
        <f t="shared" si="719"/>
        <v xml:space="preserve"> </v>
      </c>
      <c r="D1549" s="553"/>
      <c r="E1549" s="694" t="str">
        <f>VLOOKUP($B1549,dongia1,DG!$C$5,)</f>
        <v>Giáp níu dừng dây bọc (185-240mm2)</v>
      </c>
      <c r="F1549" s="555" t="str">
        <f>VLOOKUP($B1549,dongia1,DG!$D$5,)</f>
        <v>cái</v>
      </c>
      <c r="G1549" s="205"/>
      <c r="H1549" s="556">
        <f t="shared" si="695"/>
        <v>0</v>
      </c>
      <c r="I1549" s="556"/>
      <c r="J1549" s="556">
        <f t="shared" si="723"/>
        <v>0</v>
      </c>
      <c r="K1549" s="556"/>
      <c r="L1549" s="556"/>
      <c r="M1549" s="556"/>
      <c r="N1549" s="556"/>
      <c r="O1549" s="556"/>
      <c r="P1549" s="182">
        <f>VLOOKUP($B1549,dongia1,DG!$F$5,)</f>
        <v>460000</v>
      </c>
      <c r="Q1549" s="182"/>
      <c r="R1549" s="554"/>
      <c r="S1549" s="113">
        <f t="shared" si="724"/>
        <v>0</v>
      </c>
      <c r="T1549" s="113">
        <f t="shared" si="724"/>
        <v>0</v>
      </c>
      <c r="U1549" s="718">
        <f t="shared" si="724"/>
        <v>0</v>
      </c>
    </row>
    <row r="1550" spans="1:21 16377:16383" ht="14.25" customHeight="1">
      <c r="B1550" s="696" t="s">
        <v>4480</v>
      </c>
      <c r="C1550" s="697" t="str">
        <f t="shared" si="719"/>
        <v xml:space="preserve"> </v>
      </c>
      <c r="D1550" s="698"/>
      <c r="E1550" s="699" t="str">
        <f>VLOOKUP($B1550,dongia1,DG!$C$5,)&amp;": Bổ sung thay thế kẹp dừng hiện hữu"</f>
        <v>Giáp níu dừng dây bọc (185-240mm2): Bổ sung thay thế kẹp dừng hiện hữu</v>
      </c>
      <c r="F1550" s="700" t="str">
        <f>VLOOKUP($B1550,dongia1,DG!$D$5,)</f>
        <v>cái</v>
      </c>
      <c r="G1550" s="762"/>
      <c r="H1550" s="701">
        <f t="shared" si="695"/>
        <v>0</v>
      </c>
      <c r="I1550" s="701"/>
      <c r="J1550" s="701">
        <f>G1550</f>
        <v>0</v>
      </c>
      <c r="K1550" s="701"/>
      <c r="L1550" s="701"/>
      <c r="M1550" s="701"/>
      <c r="N1550" s="701"/>
      <c r="O1550" s="701"/>
      <c r="P1550" s="702">
        <f>VLOOKUP($B1550,dongia1,DG!$F$5,)</f>
        <v>460000</v>
      </c>
      <c r="Q1550" s="702"/>
      <c r="R1550" s="703"/>
      <c r="S1550" s="702">
        <f>$G1550*P1550</f>
        <v>0</v>
      </c>
      <c r="T1550" s="702">
        <f>$G1550*Q1550</f>
        <v>0</v>
      </c>
      <c r="U1550" s="717">
        <f>$G1550*R1550</f>
        <v>0</v>
      </c>
    </row>
    <row r="1551" spans="1:21 16377:16383" s="655" customFormat="1" ht="14.25" customHeight="1">
      <c r="A1551" s="646"/>
      <c r="B1551" s="647" t="s">
        <v>3732</v>
      </c>
      <c r="C1551" s="648" t="str">
        <f t="shared" si="719"/>
        <v xml:space="preserve"> </v>
      </c>
      <c r="D1551" s="649"/>
      <c r="E1551" s="728" t="s">
        <v>4293</v>
      </c>
      <c r="F1551" s="642" t="s">
        <v>3693</v>
      </c>
      <c r="G1551" s="643">
        <f>pptt_NC!DB41</f>
        <v>0</v>
      </c>
      <c r="H1551" s="650">
        <f t="shared" si="695"/>
        <v>0</v>
      </c>
      <c r="I1551" s="650"/>
      <c r="J1551" s="650">
        <f t="shared" si="723"/>
        <v>0</v>
      </c>
      <c r="K1551" s="650"/>
      <c r="L1551" s="650"/>
      <c r="M1551" s="650"/>
      <c r="N1551" s="650"/>
      <c r="O1551" s="650"/>
      <c r="P1551" s="651"/>
      <c r="Q1551" s="651"/>
      <c r="R1551" s="652"/>
      <c r="S1551" s="653">
        <f t="shared" si="724"/>
        <v>0</v>
      </c>
      <c r="T1551" s="653">
        <f t="shared" si="724"/>
        <v>0</v>
      </c>
      <c r="U1551" s="654">
        <f t="shared" si="724"/>
        <v>0</v>
      </c>
    </row>
    <row r="1552" spans="1:21 16377:16383" s="552" customFormat="1" ht="14.25" customHeight="1">
      <c r="A1552" s="621"/>
      <c r="B1552" s="622" t="s">
        <v>1096</v>
      </c>
      <c r="C1552" s="633" t="str">
        <f t="shared" si="719"/>
        <v xml:space="preserve"> </v>
      </c>
      <c r="D1552" s="553"/>
      <c r="E1552" s="694" t="str">
        <f>VLOOKUP($B1552,dongia1,DG!$C$5,)&amp;" "</f>
        <v xml:space="preserve">Sứ treo polymer  </v>
      </c>
      <c r="F1552" s="555" t="str">
        <f>VLOOKUP($B1552,dongia1,DG!$D$5,)</f>
        <v>chuỗi</v>
      </c>
      <c r="G1552" s="205">
        <f>G1551*2</f>
        <v>0</v>
      </c>
      <c r="H1552" s="556">
        <f t="shared" si="695"/>
        <v>0</v>
      </c>
      <c r="I1552" s="556"/>
      <c r="J1552" s="556">
        <f t="shared" si="723"/>
        <v>0</v>
      </c>
      <c r="K1552" s="556"/>
      <c r="L1552" s="556"/>
      <c r="M1552" s="556"/>
      <c r="N1552" s="556"/>
      <c r="O1552" s="556"/>
      <c r="P1552" s="182">
        <f>VLOOKUP($B1552,dongia1,DG!$F$5,)</f>
        <v>235000</v>
      </c>
      <c r="Q1552" s="182"/>
      <c r="R1552" s="554"/>
      <c r="S1552" s="113">
        <f t="shared" si="724"/>
        <v>0</v>
      </c>
      <c r="T1552" s="113">
        <f t="shared" si="724"/>
        <v>0</v>
      </c>
      <c r="U1552" s="557">
        <f t="shared" si="724"/>
        <v>0</v>
      </c>
    </row>
    <row r="1553" spans="1:21" s="552" customFormat="1" ht="14.25" customHeight="1">
      <c r="A1553" s="621"/>
      <c r="B1553" s="622" t="s">
        <v>2035</v>
      </c>
      <c r="C1553" s="633" t="str">
        <f t="shared" si="719"/>
        <v xml:space="preserve"> </v>
      </c>
      <c r="D1553" s="553"/>
      <c r="E1553" s="694" t="str">
        <f>VLOOKUP($B1553,dongia1,DG!$C$5,)&amp;""</f>
        <v xml:space="preserve">Móc treo chữ U F16 dài </v>
      </c>
      <c r="F1553" s="555" t="str">
        <f>VLOOKUP($B1553,dongia1,DG!$D$5,)</f>
        <v>cái</v>
      </c>
      <c r="G1553" s="205">
        <f>G1551*3</f>
        <v>0</v>
      </c>
      <c r="H1553" s="556">
        <f t="shared" si="695"/>
        <v>0</v>
      </c>
      <c r="I1553" s="556"/>
      <c r="J1553" s="556">
        <f t="shared" ref="J1553:J1559" si="725">G1553</f>
        <v>0</v>
      </c>
      <c r="K1553" s="556"/>
      <c r="L1553" s="556"/>
      <c r="M1553" s="556"/>
      <c r="N1553" s="556"/>
      <c r="O1553" s="556"/>
      <c r="P1553" s="182">
        <f>VLOOKUP($B1553,dongia1,DG!$F$5,)</f>
        <v>28000</v>
      </c>
      <c r="Q1553" s="182"/>
      <c r="R1553" s="182">
        <f>VLOOKUP($B1553,dongia1,DG!$H$5,)</f>
        <v>0</v>
      </c>
      <c r="S1553" s="113">
        <f t="shared" si="724"/>
        <v>0</v>
      </c>
      <c r="T1553" s="113">
        <f t="shared" si="724"/>
        <v>0</v>
      </c>
      <c r="U1553" s="557">
        <f t="shared" si="724"/>
        <v>0</v>
      </c>
    </row>
    <row r="1554" spans="1:21" s="552" customFormat="1" ht="14.25" customHeight="1">
      <c r="A1554" s="621"/>
      <c r="B1554" s="622" t="s">
        <v>4291</v>
      </c>
      <c r="C1554" s="633" t="str">
        <f t="shared" ref="C1554:C1573" si="726">IF(G1554&lt;&gt;0,C$1457," ")</f>
        <v xml:space="preserve"> </v>
      </c>
      <c r="D1554" s="553"/>
      <c r="E1554" s="694" t="str">
        <f>VLOOKUP($B1554,dongia1,DG!$C$5,)&amp;""</f>
        <v>Khánh treo chuỗi polymer kép</v>
      </c>
      <c r="F1554" s="555" t="str">
        <f>VLOOKUP($B1554,dongia1,DG!$D$5,)</f>
        <v>cái</v>
      </c>
      <c r="G1554" s="205">
        <f>G1551*2</f>
        <v>0</v>
      </c>
      <c r="H1554" s="556">
        <f t="shared" si="695"/>
        <v>0</v>
      </c>
      <c r="I1554" s="556"/>
      <c r="J1554" s="556">
        <f t="shared" si="725"/>
        <v>0</v>
      </c>
      <c r="K1554" s="556"/>
      <c r="L1554" s="556"/>
      <c r="M1554" s="556"/>
      <c r="N1554" s="556"/>
      <c r="O1554" s="556"/>
      <c r="P1554" s="182">
        <f>VLOOKUP($B1554,dongia1,DG!$F$5,)</f>
        <v>120000</v>
      </c>
      <c r="Q1554" s="182"/>
      <c r="R1554" s="182">
        <f>VLOOKUP($B1554,dongia1,DG!$H$5,)</f>
        <v>0</v>
      </c>
      <c r="S1554" s="113">
        <f>$G1554*P1554</f>
        <v>0</v>
      </c>
      <c r="T1554" s="113">
        <f>$G1554*Q1554</f>
        <v>0</v>
      </c>
      <c r="U1554" s="557">
        <f>$G1554*R1554</f>
        <v>0</v>
      </c>
    </row>
    <row r="1555" spans="1:21" s="552" customFormat="1" ht="14.25" customHeight="1">
      <c r="A1555" s="621"/>
      <c r="B1555" s="16" t="s">
        <v>1074</v>
      </c>
      <c r="C1555" s="633" t="str">
        <f t="shared" si="726"/>
        <v xml:space="preserve"> </v>
      </c>
      <c r="D1555" s="553"/>
      <c r="E1555" s="694" t="str">
        <f>VLOOKUP($B1555,dongia1,DG!$C$5,)</f>
        <v>Giáp níu dừng dây bọc ACX 50mm2</v>
      </c>
      <c r="F1555" s="555" t="str">
        <f>VLOOKUP($B1555,dongia1,DG!$D$5,)</f>
        <v>bộ</v>
      </c>
      <c r="G1555" s="205"/>
      <c r="H1555" s="556">
        <f t="shared" si="695"/>
        <v>0</v>
      </c>
      <c r="I1555" s="556"/>
      <c r="J1555" s="556">
        <f t="shared" si="725"/>
        <v>0</v>
      </c>
      <c r="K1555" s="556"/>
      <c r="L1555" s="556"/>
      <c r="M1555" s="556"/>
      <c r="N1555" s="556"/>
      <c r="O1555" s="556"/>
      <c r="P1555" s="182">
        <f>VLOOKUP($B1555,dongia1,DG!$F$5,)</f>
        <v>310000</v>
      </c>
      <c r="Q1555" s="182"/>
      <c r="R1555" s="182">
        <f>VLOOKUP($B1555,dongia1,DG!$H$5,)</f>
        <v>0</v>
      </c>
      <c r="S1555" s="113">
        <f t="shared" si="724"/>
        <v>0</v>
      </c>
      <c r="T1555" s="113">
        <f t="shared" si="724"/>
        <v>0</v>
      </c>
      <c r="U1555" s="718">
        <f t="shared" si="724"/>
        <v>0</v>
      </c>
    </row>
    <row r="1556" spans="1:21" s="552" customFormat="1" ht="14.25" customHeight="1">
      <c r="A1556" s="621"/>
      <c r="B1556" s="622" t="s">
        <v>4289</v>
      </c>
      <c r="C1556" s="633" t="str">
        <f t="shared" si="726"/>
        <v xml:space="preserve"> </v>
      </c>
      <c r="D1556" s="553"/>
      <c r="E1556" s="694" t="str">
        <f>VLOOKUP($B1556,dongia1,DG!$C$5,)</f>
        <v>Giáp níu dừng dây bọc ACX 50mm2</v>
      </c>
      <c r="F1556" s="555" t="str">
        <f>VLOOKUP($B1556,dongia1,DG!$D$5,)</f>
        <v>bộ</v>
      </c>
      <c r="G1556" s="205">
        <f>G1552*0</f>
        <v>0</v>
      </c>
      <c r="H1556" s="556"/>
      <c r="I1556" s="556"/>
      <c r="J1556" s="556">
        <f t="shared" si="725"/>
        <v>0</v>
      </c>
      <c r="K1556" s="556"/>
      <c r="L1556" s="556"/>
      <c r="M1556" s="556"/>
      <c r="N1556" s="556"/>
      <c r="O1556" s="556"/>
      <c r="P1556" s="182">
        <f>VLOOKUP($B1556,dongia1,DG!$F$5,)</f>
        <v>310000</v>
      </c>
      <c r="Q1556" s="182"/>
      <c r="R1556" s="182">
        <f>VLOOKUP($B1556,dongia1,DG!$H$5,)</f>
        <v>0</v>
      </c>
      <c r="S1556" s="113">
        <f t="shared" ref="S1556:U1559" si="727">$G1556*P1556</f>
        <v>0</v>
      </c>
      <c r="T1556" s="113">
        <f t="shared" si="727"/>
        <v>0</v>
      </c>
      <c r="U1556" s="715">
        <f t="shared" si="727"/>
        <v>0</v>
      </c>
    </row>
    <row r="1557" spans="1:21" s="552" customFormat="1" ht="14.25" customHeight="1">
      <c r="A1557" s="621"/>
      <c r="B1557" s="622" t="s">
        <v>4478</v>
      </c>
      <c r="C1557" s="633" t="str">
        <f t="shared" si="726"/>
        <v xml:space="preserve"> </v>
      </c>
      <c r="D1557" s="553"/>
      <c r="E1557" s="694" t="str">
        <f>VLOOKUP($B1557,dongia1,DG!$C$5,)</f>
        <v>Giáp níu dừng dây bọc (70-95mm2)</v>
      </c>
      <c r="F1557" s="555" t="str">
        <f>VLOOKUP($B1557,dongia1,DG!$D$5,)</f>
        <v>cái</v>
      </c>
      <c r="G1557" s="205"/>
      <c r="H1557" s="556">
        <f t="shared" si="695"/>
        <v>0</v>
      </c>
      <c r="I1557" s="556"/>
      <c r="J1557" s="556">
        <f t="shared" si="725"/>
        <v>0</v>
      </c>
      <c r="K1557" s="556"/>
      <c r="L1557" s="556"/>
      <c r="M1557" s="556"/>
      <c r="N1557" s="556"/>
      <c r="O1557" s="556"/>
      <c r="P1557" s="182">
        <f>VLOOKUP($B1557,dongia1,DG!$F$5,)</f>
        <v>280000</v>
      </c>
      <c r="Q1557" s="182"/>
      <c r="R1557" s="554"/>
      <c r="S1557" s="113">
        <f t="shared" si="727"/>
        <v>0</v>
      </c>
      <c r="T1557" s="113">
        <f t="shared" si="727"/>
        <v>0</v>
      </c>
      <c r="U1557" s="557">
        <f t="shared" si="727"/>
        <v>0</v>
      </c>
    </row>
    <row r="1558" spans="1:21" s="552" customFormat="1" ht="14.25" customHeight="1">
      <c r="A1558" s="621"/>
      <c r="B1558" s="622" t="s">
        <v>4479</v>
      </c>
      <c r="C1558" s="633" t="str">
        <f t="shared" si="726"/>
        <v xml:space="preserve"> </v>
      </c>
      <c r="D1558" s="553"/>
      <c r="E1558" s="694" t="str">
        <f>VLOOKUP($B1558,dongia1,DG!$C$5,)</f>
        <v>Giáp níu dừng dây bọc (120-150mm2)</v>
      </c>
      <c r="F1558" s="555" t="str">
        <f>VLOOKUP($B1558,dongia1,DG!$D$5,)</f>
        <v>cái</v>
      </c>
      <c r="G1558" s="205"/>
      <c r="H1558" s="556">
        <f t="shared" si="695"/>
        <v>0</v>
      </c>
      <c r="I1558" s="556"/>
      <c r="J1558" s="556">
        <f t="shared" si="725"/>
        <v>0</v>
      </c>
      <c r="K1558" s="556"/>
      <c r="L1558" s="556"/>
      <c r="M1558" s="556"/>
      <c r="N1558" s="556"/>
      <c r="O1558" s="556"/>
      <c r="P1558" s="182">
        <f>VLOOKUP($B1558,dongia1,DG!$F$5,)</f>
        <v>350000</v>
      </c>
      <c r="Q1558" s="182"/>
      <c r="R1558" s="554"/>
      <c r="S1558" s="113">
        <f t="shared" si="727"/>
        <v>0</v>
      </c>
      <c r="T1558" s="113">
        <f t="shared" si="727"/>
        <v>0</v>
      </c>
      <c r="U1558" s="557">
        <f t="shared" si="727"/>
        <v>0</v>
      </c>
    </row>
    <row r="1559" spans="1:21" s="552" customFormat="1" ht="14.25" customHeight="1">
      <c r="A1559" s="621"/>
      <c r="B1559" s="622" t="s">
        <v>4480</v>
      </c>
      <c r="C1559" s="633" t="str">
        <f t="shared" si="726"/>
        <v xml:space="preserve"> </v>
      </c>
      <c r="D1559" s="553"/>
      <c r="E1559" s="694" t="str">
        <f>VLOOKUP($B1559,dongia1,DG!$C$5,)</f>
        <v>Giáp níu dừng dây bọc (185-240mm2)</v>
      </c>
      <c r="F1559" s="555" t="str">
        <f>VLOOKUP($B1559,dongia1,DG!$D$5,)</f>
        <v>cái</v>
      </c>
      <c r="G1559" s="205"/>
      <c r="H1559" s="556">
        <f t="shared" si="695"/>
        <v>0</v>
      </c>
      <c r="I1559" s="556"/>
      <c r="J1559" s="556">
        <f t="shared" si="725"/>
        <v>0</v>
      </c>
      <c r="K1559" s="556"/>
      <c r="L1559" s="556"/>
      <c r="M1559" s="556"/>
      <c r="N1559" s="556"/>
      <c r="O1559" s="556"/>
      <c r="P1559" s="182">
        <f>VLOOKUP($B1559,dongia1,DG!$F$5,)</f>
        <v>460000</v>
      </c>
      <c r="Q1559" s="182"/>
      <c r="R1559" s="554"/>
      <c r="S1559" s="113">
        <f t="shared" si="727"/>
        <v>0</v>
      </c>
      <c r="T1559" s="113">
        <f t="shared" si="727"/>
        <v>0</v>
      </c>
      <c r="U1559" s="557">
        <f t="shared" si="727"/>
        <v>0</v>
      </c>
    </row>
    <row r="1560" spans="1:21" s="655" customFormat="1" ht="14.25" customHeight="1">
      <c r="A1560" s="646"/>
      <c r="B1560" s="647" t="s">
        <v>3733</v>
      </c>
      <c r="C1560" s="648" t="str">
        <f t="shared" si="726"/>
        <v xml:space="preserve"> </v>
      </c>
      <c r="D1560" s="649">
        <v>4</v>
      </c>
      <c r="E1560" s="728" t="s">
        <v>4294</v>
      </c>
      <c r="F1560" s="642" t="s">
        <v>3693</v>
      </c>
      <c r="G1560" s="643">
        <f>pptt_NC!DC41</f>
        <v>0</v>
      </c>
      <c r="H1560" s="650">
        <f t="shared" si="695"/>
        <v>0</v>
      </c>
      <c r="I1560" s="650"/>
      <c r="J1560" s="650">
        <f t="shared" si="723"/>
        <v>0</v>
      </c>
      <c r="K1560" s="650"/>
      <c r="L1560" s="650"/>
      <c r="M1560" s="650"/>
      <c r="N1560" s="650"/>
      <c r="O1560" s="650"/>
      <c r="P1560" s="651"/>
      <c r="Q1560" s="651"/>
      <c r="R1560" s="652"/>
      <c r="S1560" s="653">
        <f>$G1560*P1560</f>
        <v>0</v>
      </c>
      <c r="T1560" s="653">
        <f t="shared" ref="T1560:U1562" si="728">$G1560*Q1560</f>
        <v>0</v>
      </c>
      <c r="U1560" s="654">
        <f t="shared" si="728"/>
        <v>0</v>
      </c>
    </row>
    <row r="1561" spans="1:21" s="552" customFormat="1" ht="14.25" customHeight="1">
      <c r="A1561" s="621"/>
      <c r="B1561" s="622" t="s">
        <v>1096</v>
      </c>
      <c r="C1561" s="633" t="str">
        <f t="shared" si="726"/>
        <v xml:space="preserve"> </v>
      </c>
      <c r="D1561" s="553"/>
      <c r="E1561" s="694" t="str">
        <f>VLOOKUP($B1561,dongia1,DG!$C$5,)&amp;" "</f>
        <v xml:space="preserve">Sứ treo polymer  </v>
      </c>
      <c r="F1561" s="555" t="str">
        <f>VLOOKUP($B1561,dongia1,DG!$D$5,)</f>
        <v>chuỗi</v>
      </c>
      <c r="G1561" s="205">
        <f>G1560</f>
        <v>0</v>
      </c>
      <c r="H1561" s="556">
        <f t="shared" si="695"/>
        <v>0</v>
      </c>
      <c r="I1561" s="556"/>
      <c r="J1561" s="556">
        <f t="shared" si="723"/>
        <v>0</v>
      </c>
      <c r="K1561" s="556"/>
      <c r="L1561" s="556"/>
      <c r="M1561" s="556"/>
      <c r="N1561" s="556"/>
      <c r="O1561" s="556"/>
      <c r="P1561" s="182">
        <f>VLOOKUP($B1561,dongia1,DG!$F$5,)</f>
        <v>235000</v>
      </c>
      <c r="Q1561" s="182"/>
      <c r="R1561" s="554"/>
      <c r="S1561" s="113">
        <f>$G1561*P1561</f>
        <v>0</v>
      </c>
      <c r="T1561" s="113">
        <f t="shared" si="728"/>
        <v>0</v>
      </c>
      <c r="U1561" s="557">
        <f t="shared" si="728"/>
        <v>0</v>
      </c>
    </row>
    <row r="1562" spans="1:21" s="552" customFormat="1" ht="14.25" customHeight="1">
      <c r="A1562" s="621"/>
      <c r="B1562" s="622" t="s">
        <v>2035</v>
      </c>
      <c r="C1562" s="633" t="str">
        <f t="shared" si="726"/>
        <v xml:space="preserve"> </v>
      </c>
      <c r="D1562" s="553"/>
      <c r="E1562" s="694" t="str">
        <f>VLOOKUP($B1562,dongia1,DG!$C$5,)&amp;""</f>
        <v xml:space="preserve">Móc treo chữ U F16 dài </v>
      </c>
      <c r="F1562" s="555" t="str">
        <f>VLOOKUP($B1562,dongia1,DG!$D$5,)</f>
        <v>cái</v>
      </c>
      <c r="G1562" s="205">
        <f>G1560*2</f>
        <v>0</v>
      </c>
      <c r="H1562" s="556">
        <f t="shared" si="695"/>
        <v>0</v>
      </c>
      <c r="I1562" s="556"/>
      <c r="J1562" s="556">
        <f t="shared" si="723"/>
        <v>0</v>
      </c>
      <c r="K1562" s="556"/>
      <c r="L1562" s="556"/>
      <c r="M1562" s="556"/>
      <c r="N1562" s="556"/>
      <c r="O1562" s="556"/>
      <c r="P1562" s="182">
        <f>VLOOKUP($B1562,dongia1,DG!$F$5,)</f>
        <v>28000</v>
      </c>
      <c r="Q1562" s="182"/>
      <c r="R1562" s="182">
        <f>VLOOKUP($B1562,dongia1,DG!$H$5,)</f>
        <v>0</v>
      </c>
      <c r="S1562" s="113">
        <f>$G1562*P1562</f>
        <v>0</v>
      </c>
      <c r="T1562" s="113">
        <f t="shared" si="728"/>
        <v>0</v>
      </c>
      <c r="U1562" s="557">
        <f t="shared" si="728"/>
        <v>0</v>
      </c>
    </row>
    <row r="1563" spans="1:21" s="552" customFormat="1" ht="14.25" customHeight="1">
      <c r="A1563" s="621"/>
      <c r="B1563" s="16" t="s">
        <v>1074</v>
      </c>
      <c r="C1563" s="633" t="str">
        <f t="shared" si="726"/>
        <v xml:space="preserve"> </v>
      </c>
      <c r="D1563" s="553"/>
      <c r="E1563" s="694" t="str">
        <f>VLOOKUP($B1563,dongia1,DG!$C$5,)</f>
        <v>Giáp níu dừng dây bọc ACX 50mm2</v>
      </c>
      <c r="F1563" s="555" t="str">
        <f>VLOOKUP($B1563,dongia1,DG!$D$5,)</f>
        <v>bộ</v>
      </c>
      <c r="G1563" s="205">
        <f>G1560</f>
        <v>0</v>
      </c>
      <c r="H1563" s="556">
        <f t="shared" si="695"/>
        <v>0</v>
      </c>
      <c r="I1563" s="556"/>
      <c r="J1563" s="556">
        <f t="shared" si="723"/>
        <v>0</v>
      </c>
      <c r="K1563" s="556"/>
      <c r="L1563" s="556"/>
      <c r="M1563" s="556"/>
      <c r="N1563" s="556"/>
      <c r="O1563" s="556"/>
      <c r="P1563" s="182">
        <f>VLOOKUP($B1563,dongia1,DG!$F$5,)</f>
        <v>310000</v>
      </c>
      <c r="Q1563" s="182"/>
      <c r="R1563" s="182">
        <f>VLOOKUP($B1563,dongia1,DG!$H$5,)</f>
        <v>0</v>
      </c>
      <c r="S1563" s="113">
        <f t="shared" ref="S1563:U1564" si="729">$G1563*P1563</f>
        <v>0</v>
      </c>
      <c r="T1563" s="113">
        <f t="shared" si="729"/>
        <v>0</v>
      </c>
      <c r="U1563" s="557">
        <f t="shared" si="729"/>
        <v>0</v>
      </c>
    </row>
    <row r="1564" spans="1:21" s="552" customFormat="1" ht="14.25" customHeight="1">
      <c r="A1564" s="621"/>
      <c r="B1564" s="622" t="s">
        <v>366</v>
      </c>
      <c r="C1564" s="633" t="str">
        <f t="shared" si="726"/>
        <v xml:space="preserve"> </v>
      </c>
      <c r="D1564" s="553"/>
      <c r="E1564" s="694" t="str">
        <f>VLOOKUP($B1564,dongia1,DG!$C$5,)</f>
        <v>Boulon mắt 16x300+ 1 long đền vuông D18-50x50x3/Zn</v>
      </c>
      <c r="F1564" s="555" t="str">
        <f>VLOOKUP($B1564,dongia1,DG!$D$5,)</f>
        <v>bộ</v>
      </c>
      <c r="G1564" s="205">
        <f>G1560</f>
        <v>0</v>
      </c>
      <c r="H1564" s="556">
        <f t="shared" si="695"/>
        <v>0</v>
      </c>
      <c r="I1564" s="556"/>
      <c r="J1564" s="556">
        <f t="shared" si="723"/>
        <v>0</v>
      </c>
      <c r="K1564" s="556"/>
      <c r="L1564" s="556"/>
      <c r="M1564" s="556"/>
      <c r="N1564" s="556"/>
      <c r="O1564" s="556"/>
      <c r="P1564" s="182">
        <f>VLOOKUP($B1564,dongia1,DG!$F$5,)</f>
        <v>32200</v>
      </c>
      <c r="Q1564" s="182"/>
      <c r="R1564" s="182">
        <f>VLOOKUP($B1564,dongia1,DG!$H$5,)</f>
        <v>0</v>
      </c>
      <c r="S1564" s="113">
        <f t="shared" si="729"/>
        <v>0</v>
      </c>
      <c r="T1564" s="113">
        <f t="shared" si="729"/>
        <v>0</v>
      </c>
      <c r="U1564" s="718">
        <f t="shared" si="729"/>
        <v>0</v>
      </c>
    </row>
    <row r="1565" spans="1:21" s="552" customFormat="1" ht="14.25" customHeight="1">
      <c r="A1565" s="621"/>
      <c r="B1565" s="622" t="s">
        <v>3722</v>
      </c>
      <c r="C1565" s="633" t="str">
        <f t="shared" si="726"/>
        <v xml:space="preserve"> </v>
      </c>
      <c r="D1565" s="553"/>
      <c r="E1565" s="694" t="str">
        <f>VLOOKUP($B1565,dongia1,DG!$C$5,)&amp;""</f>
        <v>Cổ dê bắt xà + bulon</v>
      </c>
      <c r="F1565" s="555" t="str">
        <f>VLOOKUP($B1565,dongia1,DG!$D$5,)</f>
        <v>bộ</v>
      </c>
      <c r="G1565" s="205"/>
      <c r="H1565" s="556">
        <f t="shared" si="695"/>
        <v>0</v>
      </c>
      <c r="I1565" s="556"/>
      <c r="J1565" s="556">
        <f t="shared" si="723"/>
        <v>0</v>
      </c>
      <c r="K1565" s="556"/>
      <c r="L1565" s="556"/>
      <c r="M1565" s="556"/>
      <c r="N1565" s="556"/>
      <c r="O1565" s="556"/>
      <c r="P1565" s="182">
        <f>VLOOKUP($B1565,dongia1,DG!$F$5,)</f>
        <v>40000</v>
      </c>
      <c r="Q1565" s="182"/>
      <c r="R1565" s="182">
        <f>VLOOKUP($B1565,dongia1,DG!$H$5,)</f>
        <v>0</v>
      </c>
      <c r="S1565" s="113">
        <f t="shared" ref="S1565:U1570" si="730">$G1565*P1565</f>
        <v>0</v>
      </c>
      <c r="T1565" s="113">
        <f t="shared" si="730"/>
        <v>0</v>
      </c>
      <c r="U1565" s="715">
        <f t="shared" si="730"/>
        <v>0</v>
      </c>
    </row>
    <row r="1566" spans="1:21" s="552" customFormat="1" ht="14.25" customHeight="1">
      <c r="A1566" s="621"/>
      <c r="B1566" s="622" t="s">
        <v>1360</v>
      </c>
      <c r="C1566" s="633" t="str">
        <f t="shared" si="726"/>
        <v xml:space="preserve"> </v>
      </c>
      <c r="D1566" s="553"/>
      <c r="E1566" s="694" t="str">
        <f>VLOOKUP($B1566,dongia1,DG!$C$5,)&amp;""</f>
        <v xml:space="preserve">Cổ dê giữ ống D140 vào trụ + Bulon </v>
      </c>
      <c r="F1566" s="555" t="str">
        <f>VLOOKUP($B1566,dongia1,DG!$D$5,)</f>
        <v>bộ</v>
      </c>
      <c r="G1566" s="205"/>
      <c r="H1566" s="556">
        <f t="shared" si="695"/>
        <v>0</v>
      </c>
      <c r="I1566" s="556"/>
      <c r="J1566" s="556">
        <f t="shared" si="723"/>
        <v>0</v>
      </c>
      <c r="K1566" s="556"/>
      <c r="L1566" s="556"/>
      <c r="M1566" s="556"/>
      <c r="N1566" s="556"/>
      <c r="O1566" s="556"/>
      <c r="P1566" s="182">
        <f>VLOOKUP($B1566,dongia1,DG!$F$5,)</f>
        <v>40000</v>
      </c>
      <c r="Q1566" s="182"/>
      <c r="R1566" s="182">
        <f>VLOOKUP($B1566,dongia1,DG!$H$5,)</f>
        <v>0</v>
      </c>
      <c r="S1566" s="113">
        <f t="shared" si="730"/>
        <v>0</v>
      </c>
      <c r="T1566" s="113">
        <f t="shared" si="730"/>
        <v>0</v>
      </c>
      <c r="U1566" s="557">
        <f t="shared" si="730"/>
        <v>0</v>
      </c>
    </row>
    <row r="1567" spans="1:21" s="552" customFormat="1" ht="14.25" customHeight="1">
      <c r="A1567" s="621"/>
      <c r="B1567" s="622" t="s">
        <v>4289</v>
      </c>
      <c r="C1567" s="633" t="str">
        <f t="shared" si="726"/>
        <v xml:space="preserve"> </v>
      </c>
      <c r="D1567" s="553"/>
      <c r="E1567" s="694" t="str">
        <f>VLOOKUP($B1567,dongia1,DG!$C$5,)</f>
        <v>Giáp níu dừng dây bọc ACX 50mm2</v>
      </c>
      <c r="F1567" s="555" t="str">
        <f>VLOOKUP($B1567,dongia1,DG!$D$5,)</f>
        <v>bộ</v>
      </c>
      <c r="G1567" s="205">
        <f>G1563*0</f>
        <v>0</v>
      </c>
      <c r="H1567" s="556"/>
      <c r="I1567" s="556"/>
      <c r="J1567" s="556">
        <f>G1567</f>
        <v>0</v>
      </c>
      <c r="K1567" s="556"/>
      <c r="L1567" s="556"/>
      <c r="M1567" s="556"/>
      <c r="N1567" s="556"/>
      <c r="O1567" s="556"/>
      <c r="P1567" s="182">
        <f>VLOOKUP($B1567,dongia1,DG!$F$5,)</f>
        <v>310000</v>
      </c>
      <c r="Q1567" s="182"/>
      <c r="R1567" s="182">
        <f>VLOOKUP($B1567,dongia1,DG!$H$5,)</f>
        <v>0</v>
      </c>
      <c r="S1567" s="113">
        <f t="shared" si="730"/>
        <v>0</v>
      </c>
      <c r="T1567" s="113">
        <f t="shared" si="730"/>
        <v>0</v>
      </c>
      <c r="U1567" s="557">
        <f t="shared" si="730"/>
        <v>0</v>
      </c>
    </row>
    <row r="1568" spans="1:21" s="552" customFormat="1" ht="14.25" customHeight="1">
      <c r="A1568" s="621"/>
      <c r="B1568" s="622" t="s">
        <v>4478</v>
      </c>
      <c r="C1568" s="633" t="str">
        <f t="shared" si="726"/>
        <v xml:space="preserve"> </v>
      </c>
      <c r="D1568" s="553"/>
      <c r="E1568" s="694" t="str">
        <f>VLOOKUP($B1568,dongia1,DG!$C$5,)</f>
        <v>Giáp níu dừng dây bọc (70-95mm2)</v>
      </c>
      <c r="F1568" s="555" t="str">
        <f>VLOOKUP($B1568,dongia1,DG!$D$5,)</f>
        <v>cái</v>
      </c>
      <c r="G1568" s="205"/>
      <c r="H1568" s="556">
        <f t="shared" si="695"/>
        <v>0</v>
      </c>
      <c r="I1568" s="556"/>
      <c r="J1568" s="556">
        <f>G1568</f>
        <v>0</v>
      </c>
      <c r="K1568" s="556"/>
      <c r="L1568" s="556"/>
      <c r="M1568" s="556"/>
      <c r="N1568" s="556"/>
      <c r="O1568" s="556"/>
      <c r="P1568" s="182">
        <f>VLOOKUP($B1568,dongia1,DG!$F$5,)</f>
        <v>280000</v>
      </c>
      <c r="Q1568" s="182"/>
      <c r="R1568" s="554"/>
      <c r="S1568" s="113">
        <f t="shared" si="730"/>
        <v>0</v>
      </c>
      <c r="T1568" s="113">
        <f t="shared" si="730"/>
        <v>0</v>
      </c>
      <c r="U1568" s="557">
        <f t="shared" si="730"/>
        <v>0</v>
      </c>
    </row>
    <row r="1569" spans="1:21" s="552" customFormat="1" ht="14.25" customHeight="1">
      <c r="A1569" s="621"/>
      <c r="B1569" s="622" t="s">
        <v>4479</v>
      </c>
      <c r="C1569" s="633" t="str">
        <f t="shared" si="726"/>
        <v xml:space="preserve"> </v>
      </c>
      <c r="D1569" s="553"/>
      <c r="E1569" s="694" t="str">
        <f>VLOOKUP($B1569,dongia1,DG!$C$5,)</f>
        <v>Giáp níu dừng dây bọc (120-150mm2)</v>
      </c>
      <c r="F1569" s="555" t="str">
        <f>VLOOKUP($B1569,dongia1,DG!$D$5,)</f>
        <v>cái</v>
      </c>
      <c r="G1569" s="205"/>
      <c r="H1569" s="556">
        <f t="shared" si="695"/>
        <v>0</v>
      </c>
      <c r="I1569" s="556"/>
      <c r="J1569" s="556">
        <f>G1569</f>
        <v>0</v>
      </c>
      <c r="K1569" s="556"/>
      <c r="L1569" s="556"/>
      <c r="M1569" s="556"/>
      <c r="N1569" s="556"/>
      <c r="O1569" s="556"/>
      <c r="P1569" s="182">
        <f>VLOOKUP($B1569,dongia1,DG!$F$5,)</f>
        <v>350000</v>
      </c>
      <c r="Q1569" s="182"/>
      <c r="R1569" s="554"/>
      <c r="S1569" s="113">
        <f t="shared" si="730"/>
        <v>0</v>
      </c>
      <c r="T1569" s="113">
        <f t="shared" si="730"/>
        <v>0</v>
      </c>
      <c r="U1569" s="557">
        <f t="shared" si="730"/>
        <v>0</v>
      </c>
    </row>
    <row r="1570" spans="1:21" s="552" customFormat="1" ht="14.25" customHeight="1">
      <c r="A1570" s="621"/>
      <c r="B1570" s="622" t="s">
        <v>4480</v>
      </c>
      <c r="C1570" s="633" t="str">
        <f t="shared" si="726"/>
        <v xml:space="preserve"> </v>
      </c>
      <c r="D1570" s="553"/>
      <c r="E1570" s="694" t="str">
        <f>VLOOKUP($B1570,dongia1,DG!$C$5,)</f>
        <v>Giáp níu dừng dây bọc (185-240mm2)</v>
      </c>
      <c r="F1570" s="555" t="str">
        <f>VLOOKUP($B1570,dongia1,DG!$D$5,)</f>
        <v>cái</v>
      </c>
      <c r="G1570" s="205"/>
      <c r="H1570" s="556">
        <f t="shared" si="695"/>
        <v>0</v>
      </c>
      <c r="I1570" s="556"/>
      <c r="J1570" s="556">
        <f>G1570</f>
        <v>0</v>
      </c>
      <c r="K1570" s="556"/>
      <c r="L1570" s="556"/>
      <c r="M1570" s="556"/>
      <c r="N1570" s="556"/>
      <c r="O1570" s="556"/>
      <c r="P1570" s="182">
        <f>VLOOKUP($B1570,dongia1,DG!$F$5,)</f>
        <v>460000</v>
      </c>
      <c r="Q1570" s="182"/>
      <c r="R1570" s="554"/>
      <c r="S1570" s="113">
        <f t="shared" si="730"/>
        <v>0</v>
      </c>
      <c r="T1570" s="113">
        <f t="shared" si="730"/>
        <v>0</v>
      </c>
      <c r="U1570" s="557">
        <f t="shared" si="730"/>
        <v>0</v>
      </c>
    </row>
    <row r="1571" spans="1:21" s="610" customFormat="1" ht="14.25" customHeight="1">
      <c r="A1571" s="635"/>
      <c r="B1571" s="636" t="s">
        <v>3695</v>
      </c>
      <c r="C1571" s="641" t="str">
        <f t="shared" si="726"/>
        <v xml:space="preserve"> </v>
      </c>
      <c r="D1571" s="599"/>
      <c r="E1571" s="728" t="s">
        <v>3654</v>
      </c>
      <c r="F1571" s="600" t="s">
        <v>2226</v>
      </c>
      <c r="G1571" s="645"/>
      <c r="H1571" s="605"/>
      <c r="I1571" s="605"/>
      <c r="J1571" s="605">
        <f t="shared" si="723"/>
        <v>0</v>
      </c>
      <c r="K1571" s="605"/>
      <c r="L1571" s="605"/>
      <c r="M1571" s="605"/>
      <c r="N1571" s="605"/>
      <c r="O1571" s="605"/>
      <c r="P1571" s="607"/>
      <c r="Q1571" s="607"/>
      <c r="R1571" s="607"/>
      <c r="S1571" s="608"/>
      <c r="T1571" s="608"/>
      <c r="U1571" s="609"/>
    </row>
    <row r="1572" spans="1:21" s="552" customFormat="1" ht="14.25" customHeight="1">
      <c r="A1572" s="621"/>
      <c r="B1572" s="622" t="s">
        <v>1804</v>
      </c>
      <c r="C1572" s="633" t="str">
        <f t="shared" si="726"/>
        <v xml:space="preserve"> </v>
      </c>
      <c r="D1572" s="553"/>
      <c r="E1572" s="694" t="str">
        <f>VLOOKUP($B1572,dongia1,DG!$C$5,)&amp;""</f>
        <v>Sắt dẹt 50 x 5</v>
      </c>
      <c r="F1572" s="555" t="str">
        <f>VLOOKUP($B1572,dongia1,DG!$D$5,)</f>
        <v>kg</v>
      </c>
      <c r="G1572" s="205">
        <f>2.826*(3.14159*0.225+0.06*4)*G1571</f>
        <v>0</v>
      </c>
      <c r="H1572" s="556"/>
      <c r="I1572" s="556"/>
      <c r="J1572" s="556">
        <f t="shared" si="723"/>
        <v>0</v>
      </c>
      <c r="K1572" s="556"/>
      <c r="L1572" s="556"/>
      <c r="M1572" s="556"/>
      <c r="N1572" s="556"/>
      <c r="O1572" s="556"/>
      <c r="P1572" s="182">
        <f>VLOOKUP($B1572,dongia1,DG!$F$5,)</f>
        <v>31625</v>
      </c>
      <c r="Q1572" s="182"/>
      <c r="R1572" s="182">
        <f>VLOOKUP($B1572,dongia1,DG!$H$5,)</f>
        <v>0</v>
      </c>
      <c r="S1572" s="113">
        <f t="shared" ref="S1572:U1573" si="731">$G1572*P1572</f>
        <v>0</v>
      </c>
      <c r="T1572" s="113">
        <f t="shared" si="731"/>
        <v>0</v>
      </c>
      <c r="U1572" s="557">
        <f t="shared" si="731"/>
        <v>0</v>
      </c>
    </row>
    <row r="1573" spans="1:21" s="552" customFormat="1" ht="15" customHeight="1">
      <c r="A1573" s="621"/>
      <c r="B1573" s="622" t="s">
        <v>1799</v>
      </c>
      <c r="C1573" s="633" t="str">
        <f t="shared" si="726"/>
        <v xml:space="preserve"> </v>
      </c>
      <c r="D1573" s="553"/>
      <c r="E1573" s="694" t="str">
        <f>VLOOKUP($B1573,dongia1,DG!$C$5,)&amp;""</f>
        <v>Boulon 10x40+ 2 long đền vuông D12-50x50x3/Zn</v>
      </c>
      <c r="F1573" s="555" t="str">
        <f>VLOOKUP($B1573,dongia1,DG!$D$5,)</f>
        <v>bộ</v>
      </c>
      <c r="G1573" s="205">
        <f>G1571*2</f>
        <v>0</v>
      </c>
      <c r="H1573" s="556"/>
      <c r="I1573" s="556"/>
      <c r="J1573" s="556">
        <f t="shared" si="723"/>
        <v>0</v>
      </c>
      <c r="K1573" s="556"/>
      <c r="L1573" s="556"/>
      <c r="M1573" s="556"/>
      <c r="N1573" s="556"/>
      <c r="O1573" s="556"/>
      <c r="P1573" s="182">
        <f>VLOOKUP($B1573,dongia1,DG!$F$5,)</f>
        <v>1500</v>
      </c>
      <c r="Q1573" s="182"/>
      <c r="R1573" s="182">
        <f>VLOOKUP($B1573,dongia1,DG!$H$5,)</f>
        <v>0</v>
      </c>
      <c r="S1573" s="113">
        <f t="shared" si="731"/>
        <v>0</v>
      </c>
      <c r="T1573" s="113">
        <f t="shared" si="731"/>
        <v>0</v>
      </c>
      <c r="U1573" s="557">
        <f t="shared" si="731"/>
        <v>0</v>
      </c>
    </row>
    <row r="1574" spans="1:21" s="918" customFormat="1" ht="14.4">
      <c r="A1574" s="911"/>
      <c r="B1574" s="912"/>
      <c r="C1574" s="913" t="str">
        <f>C1457</f>
        <v xml:space="preserve"> </v>
      </c>
      <c r="D1574" s="850">
        <v>5</v>
      </c>
      <c r="E1574" s="906" t="s">
        <v>3648</v>
      </c>
      <c r="F1574" s="907"/>
      <c r="G1574" s="948"/>
      <c r="H1574" s="914"/>
      <c r="I1574" s="914"/>
      <c r="J1574" s="914">
        <f t="shared" si="723"/>
        <v>0</v>
      </c>
      <c r="K1574" s="914"/>
      <c r="L1574" s="914"/>
      <c r="M1574" s="914"/>
      <c r="N1574" s="914"/>
      <c r="O1574" s="914"/>
      <c r="P1574" s="916"/>
      <c r="Q1574" s="916"/>
      <c r="R1574" s="949"/>
      <c r="S1574" s="949"/>
      <c r="T1574" s="949"/>
      <c r="U1574" s="950"/>
    </row>
    <row r="1575" spans="1:21" s="552" customFormat="1" ht="15" customHeight="1">
      <c r="A1575" s="621"/>
      <c r="B1575" s="622" t="s">
        <v>488</v>
      </c>
      <c r="C1575" s="633" t="str">
        <f t="shared" ref="C1575:C1606" si="732">IF(G1575&lt;&gt;0,$C$1457," ")</f>
        <v xml:space="preserve"> </v>
      </c>
      <c r="D1575" s="553"/>
      <c r="E1575" s="694" t="str">
        <f>VLOOKUP($B1575,dongia1,DG!$C$5,)</f>
        <v>Khóa đỡ dây cỡ dây 240</v>
      </c>
      <c r="F1575" s="555" t="str">
        <f>VLOOKUP($B1575,dongia1,DG!$D$5,)</f>
        <v>cái</v>
      </c>
      <c r="G1575" s="560"/>
      <c r="H1575" s="556">
        <f t="shared" si="695"/>
        <v>0</v>
      </c>
      <c r="I1575" s="556"/>
      <c r="J1575" s="556">
        <f t="shared" si="723"/>
        <v>0</v>
      </c>
      <c r="K1575" s="556"/>
      <c r="L1575" s="556"/>
      <c r="M1575" s="556"/>
      <c r="N1575" s="556"/>
      <c r="O1575" s="556"/>
      <c r="P1575" s="182">
        <f>VLOOKUP($B1575,dongia1,DG!$F$5,)</f>
        <v>38091</v>
      </c>
      <c r="Q1575" s="182"/>
      <c r="R1575" s="182">
        <f>VLOOKUP($B1575,dongia1,DG!$H$5,)</f>
        <v>0</v>
      </c>
      <c r="S1575" s="113">
        <f t="shared" ref="S1575:S1601" si="733">$G1575*P1575</f>
        <v>0</v>
      </c>
      <c r="T1575" s="113">
        <f t="shared" ref="T1575:T1601" si="734">$G1575*Q1575</f>
        <v>0</v>
      </c>
      <c r="U1575" s="715">
        <f t="shared" ref="U1575:U1601" si="735">$G1575*R1575</f>
        <v>0</v>
      </c>
    </row>
    <row r="1576" spans="1:21" s="552" customFormat="1" ht="15" customHeight="1">
      <c r="A1576" s="621"/>
      <c r="B1576" s="622" t="s">
        <v>487</v>
      </c>
      <c r="C1576" s="633" t="str">
        <f t="shared" si="732"/>
        <v xml:space="preserve"> </v>
      </c>
      <c r="D1576" s="553"/>
      <c r="E1576" s="694" t="str">
        <f>VLOOKUP($B1576,dongia1,DG!$C$5,)</f>
        <v>Khóa đỡ dây cỡ dây 185</v>
      </c>
      <c r="F1576" s="555" t="str">
        <f>VLOOKUP($B1576,dongia1,DG!$D$5,)</f>
        <v>cái</v>
      </c>
      <c r="G1576" s="205"/>
      <c r="H1576" s="556">
        <f t="shared" si="695"/>
        <v>0</v>
      </c>
      <c r="I1576" s="556"/>
      <c r="J1576" s="556">
        <f t="shared" si="723"/>
        <v>0</v>
      </c>
      <c r="K1576" s="556"/>
      <c r="L1576" s="556"/>
      <c r="M1576" s="556"/>
      <c r="N1576" s="556"/>
      <c r="O1576" s="556"/>
      <c r="P1576" s="182">
        <f>VLOOKUP($B1576,dongia1,DG!$F$5,)</f>
        <v>38091</v>
      </c>
      <c r="Q1576" s="182"/>
      <c r="R1576" s="182">
        <f>VLOOKUP($B1576,dongia1,DG!$H$5,)</f>
        <v>0</v>
      </c>
      <c r="S1576" s="113">
        <f t="shared" si="733"/>
        <v>0</v>
      </c>
      <c r="T1576" s="113">
        <f t="shared" si="734"/>
        <v>0</v>
      </c>
      <c r="U1576" s="557">
        <f t="shared" si="735"/>
        <v>0</v>
      </c>
    </row>
    <row r="1577" spans="1:21" s="552" customFormat="1" ht="15" customHeight="1">
      <c r="A1577" s="621"/>
      <c r="B1577" s="622" t="s">
        <v>486</v>
      </c>
      <c r="C1577" s="633" t="str">
        <f t="shared" si="732"/>
        <v xml:space="preserve"> </v>
      </c>
      <c r="D1577" s="553"/>
      <c r="E1577" s="694" t="str">
        <f>VLOOKUP($B1577,dongia1,DG!$C$5,)</f>
        <v>Khóa đỡ dây cỡ dây 150</v>
      </c>
      <c r="F1577" s="555" t="str">
        <f>VLOOKUP($B1577,dongia1,DG!$D$5,)</f>
        <v>cái</v>
      </c>
      <c r="G1577" s="560"/>
      <c r="H1577" s="556">
        <f t="shared" si="695"/>
        <v>0</v>
      </c>
      <c r="I1577" s="556"/>
      <c r="J1577" s="556">
        <f t="shared" si="723"/>
        <v>0</v>
      </c>
      <c r="K1577" s="556"/>
      <c r="L1577" s="556"/>
      <c r="M1577" s="556"/>
      <c r="N1577" s="556"/>
      <c r="O1577" s="556"/>
      <c r="P1577" s="182">
        <f>VLOOKUP($B1577,dongia1,DG!$F$5,)</f>
        <v>38091</v>
      </c>
      <c r="Q1577" s="182"/>
      <c r="R1577" s="182">
        <f>VLOOKUP($B1577,dongia1,DG!$H$5,)</f>
        <v>0</v>
      </c>
      <c r="S1577" s="113">
        <f t="shared" si="733"/>
        <v>0</v>
      </c>
      <c r="T1577" s="113">
        <f t="shared" si="734"/>
        <v>0</v>
      </c>
      <c r="U1577" s="557">
        <f t="shared" si="735"/>
        <v>0</v>
      </c>
    </row>
    <row r="1578" spans="1:21" s="552" customFormat="1" ht="15" customHeight="1">
      <c r="A1578" s="621"/>
      <c r="B1578" s="622" t="s">
        <v>485</v>
      </c>
      <c r="C1578" s="633" t="str">
        <f t="shared" si="732"/>
        <v xml:space="preserve"> </v>
      </c>
      <c r="D1578" s="553"/>
      <c r="E1578" s="694" t="str">
        <f>VLOOKUP($B1578,dongia1,DG!$C$5,)</f>
        <v>Khóa đỡ dây cỡ dây 120</v>
      </c>
      <c r="F1578" s="555" t="str">
        <f>VLOOKUP($B1578,dongia1,DG!$D$5,)</f>
        <v>cái</v>
      </c>
      <c r="G1578" s="205"/>
      <c r="H1578" s="556">
        <f t="shared" si="695"/>
        <v>0</v>
      </c>
      <c r="I1578" s="556"/>
      <c r="J1578" s="556">
        <f t="shared" si="723"/>
        <v>0</v>
      </c>
      <c r="K1578" s="556"/>
      <c r="L1578" s="556"/>
      <c r="M1578" s="556"/>
      <c r="N1578" s="556"/>
      <c r="O1578" s="556"/>
      <c r="P1578" s="182">
        <f>VLOOKUP($B1578,dongia1,DG!$F$5,)</f>
        <v>23545</v>
      </c>
      <c r="Q1578" s="182"/>
      <c r="R1578" s="182">
        <f>VLOOKUP($B1578,dongia1,DG!$H$5,)</f>
        <v>0</v>
      </c>
      <c r="S1578" s="113">
        <f t="shared" si="733"/>
        <v>0</v>
      </c>
      <c r="T1578" s="113">
        <f t="shared" si="734"/>
        <v>0</v>
      </c>
      <c r="U1578" s="557">
        <f t="shared" si="735"/>
        <v>0</v>
      </c>
    </row>
    <row r="1579" spans="1:21" s="552" customFormat="1" ht="15" customHeight="1">
      <c r="A1579" s="621"/>
      <c r="B1579" s="622" t="s">
        <v>484</v>
      </c>
      <c r="C1579" s="633" t="str">
        <f t="shared" si="732"/>
        <v xml:space="preserve"> </v>
      </c>
      <c r="D1579" s="553"/>
      <c r="E1579" s="694" t="str">
        <f>VLOOKUP($B1579,dongia1,DG!$C$5,)</f>
        <v>Khóa đỡ dây cỡ dây 95</v>
      </c>
      <c r="F1579" s="555" t="str">
        <f>VLOOKUP($B1579,dongia1,DG!$D$5,)</f>
        <v>cái</v>
      </c>
      <c r="G1579" s="560"/>
      <c r="H1579" s="556">
        <f t="shared" si="695"/>
        <v>0</v>
      </c>
      <c r="I1579" s="556"/>
      <c r="J1579" s="556">
        <f t="shared" si="723"/>
        <v>0</v>
      </c>
      <c r="K1579" s="556"/>
      <c r="L1579" s="556"/>
      <c r="M1579" s="556"/>
      <c r="N1579" s="556"/>
      <c r="O1579" s="556"/>
      <c r="P1579" s="182">
        <f>VLOOKUP($B1579,dongia1,DG!$F$5,)</f>
        <v>23545</v>
      </c>
      <c r="Q1579" s="182"/>
      <c r="R1579" s="182">
        <f>VLOOKUP($B1579,dongia1,DG!$H$5,)</f>
        <v>0</v>
      </c>
      <c r="S1579" s="113">
        <f t="shared" si="733"/>
        <v>0</v>
      </c>
      <c r="T1579" s="113">
        <f t="shared" si="734"/>
        <v>0</v>
      </c>
      <c r="U1579" s="557">
        <f t="shared" si="735"/>
        <v>0</v>
      </c>
    </row>
    <row r="1580" spans="1:21" s="552" customFormat="1" ht="15" customHeight="1">
      <c r="A1580" s="621"/>
      <c r="B1580" s="622" t="s">
        <v>2030</v>
      </c>
      <c r="C1580" s="633" t="str">
        <f t="shared" si="732"/>
        <v xml:space="preserve"> </v>
      </c>
      <c r="D1580" s="553"/>
      <c r="E1580" s="694" t="str">
        <f>VLOOKUP($B1580,dongia1,DG!$C$5,)</f>
        <v>Khóa đỡ dây cỡ dây 70</v>
      </c>
      <c r="F1580" s="555" t="str">
        <f>VLOOKUP($B1580,dongia1,DG!$D$5,)</f>
        <v>cái</v>
      </c>
      <c r="G1580" s="205"/>
      <c r="H1580" s="556">
        <f t="shared" si="695"/>
        <v>0</v>
      </c>
      <c r="I1580" s="556"/>
      <c r="J1580" s="556">
        <f t="shared" si="723"/>
        <v>0</v>
      </c>
      <c r="K1580" s="556"/>
      <c r="L1580" s="556"/>
      <c r="M1580" s="556"/>
      <c r="N1580" s="556"/>
      <c r="O1580" s="556"/>
      <c r="P1580" s="182">
        <f>VLOOKUP($B1580,dongia1,DG!$F$5,)</f>
        <v>21727</v>
      </c>
      <c r="Q1580" s="182"/>
      <c r="R1580" s="182">
        <f>VLOOKUP($B1580,dongia1,DG!$H$5,)</f>
        <v>0</v>
      </c>
      <c r="S1580" s="113">
        <f t="shared" si="733"/>
        <v>0</v>
      </c>
      <c r="T1580" s="113">
        <f t="shared" si="734"/>
        <v>0</v>
      </c>
      <c r="U1580" s="557">
        <f t="shared" si="735"/>
        <v>0</v>
      </c>
    </row>
    <row r="1581" spans="1:21" s="552" customFormat="1" ht="15" customHeight="1">
      <c r="A1581" s="621"/>
      <c r="B1581" s="622" t="s">
        <v>1154</v>
      </c>
      <c r="C1581" s="633" t="str">
        <f t="shared" si="732"/>
        <v xml:space="preserve"> </v>
      </c>
      <c r="D1581" s="553"/>
      <c r="E1581" s="694" t="str">
        <f>VLOOKUP($B1581,dongia1,DG!$C$5,)</f>
        <v>Khóa đỡ dây cỡ dây 50</v>
      </c>
      <c r="F1581" s="555" t="str">
        <f>VLOOKUP($B1581,dongia1,DG!$D$5,)</f>
        <v>cái</v>
      </c>
      <c r="G1581" s="205"/>
      <c r="H1581" s="556">
        <f t="shared" si="695"/>
        <v>0</v>
      </c>
      <c r="I1581" s="556"/>
      <c r="J1581" s="556">
        <f t="shared" si="723"/>
        <v>0</v>
      </c>
      <c r="K1581" s="556"/>
      <c r="L1581" s="556"/>
      <c r="M1581" s="556"/>
      <c r="N1581" s="556"/>
      <c r="O1581" s="556"/>
      <c r="P1581" s="182">
        <f>VLOOKUP($B1581,dongia1,DG!$F$5,)</f>
        <v>21727</v>
      </c>
      <c r="Q1581" s="182"/>
      <c r="R1581" s="182">
        <f>VLOOKUP($B1581,dongia1,DG!$H$5,)</f>
        <v>0</v>
      </c>
      <c r="S1581" s="113">
        <f t="shared" si="733"/>
        <v>0</v>
      </c>
      <c r="T1581" s="113">
        <f t="shared" si="734"/>
        <v>0</v>
      </c>
      <c r="U1581" s="557">
        <f t="shared" si="735"/>
        <v>0</v>
      </c>
    </row>
    <row r="1582" spans="1:21" s="552" customFormat="1" ht="15" customHeight="1">
      <c r="A1582" s="621"/>
      <c r="B1582" s="622" t="s">
        <v>1284</v>
      </c>
      <c r="C1582" s="633" t="str">
        <f t="shared" si="732"/>
        <v xml:space="preserve"> </v>
      </c>
      <c r="D1582" s="553"/>
      <c r="E1582" s="694" t="str">
        <f>VLOOKUP($B1582,dongia1,DG!$C$5,)</f>
        <v>Khóa néo dây cỡ dây 240</v>
      </c>
      <c r="F1582" s="555" t="str">
        <f>VLOOKUP($B1582,dongia1,DG!$D$5,)</f>
        <v>cái</v>
      </c>
      <c r="G1582" s="205"/>
      <c r="H1582" s="556">
        <f t="shared" si="695"/>
        <v>0</v>
      </c>
      <c r="I1582" s="556"/>
      <c r="J1582" s="556">
        <f t="shared" si="723"/>
        <v>0</v>
      </c>
      <c r="K1582" s="556"/>
      <c r="L1582" s="556"/>
      <c r="M1582" s="556"/>
      <c r="N1582" s="556"/>
      <c r="O1582" s="556"/>
      <c r="P1582" s="182">
        <f>VLOOKUP($B1582,dongia1,DG!$F$5,)</f>
        <v>157000</v>
      </c>
      <c r="Q1582" s="182"/>
      <c r="R1582" s="182">
        <f>VLOOKUP($B1582,dongia1,DG!$H$5,)</f>
        <v>0</v>
      </c>
      <c r="S1582" s="113">
        <f t="shared" si="733"/>
        <v>0</v>
      </c>
      <c r="T1582" s="113">
        <f t="shared" si="734"/>
        <v>0</v>
      </c>
      <c r="U1582" s="557">
        <f t="shared" si="735"/>
        <v>0</v>
      </c>
    </row>
    <row r="1583" spans="1:21" s="552" customFormat="1" ht="30" customHeight="1">
      <c r="A1583" s="621"/>
      <c r="B1583" s="622" t="s">
        <v>4480</v>
      </c>
      <c r="C1583" s="633" t="e">
        <f t="shared" si="732"/>
        <v>#REF!</v>
      </c>
      <c r="D1583" s="553"/>
      <c r="E1583" s="694" t="str">
        <f>VLOOKUP($B1583,dongia1,DG!$C$5,)&amp;": Bổ sung thây thế kẹp dừng hiện hữu"</f>
        <v>Giáp níu dừng dây bọc (185-240mm2): Bổ sung thây thế kẹp dừng hiện hữu</v>
      </c>
      <c r="F1583" s="555" t="str">
        <f>VLOOKUP($B1583,dongia1,DG!$D$5,)</f>
        <v>cái</v>
      </c>
      <c r="G1583" s="205" t="e">
        <f>#REF!</f>
        <v>#REF!</v>
      </c>
      <c r="H1583" s="556" t="e">
        <f>$G1583</f>
        <v>#REF!</v>
      </c>
      <c r="I1583" s="556"/>
      <c r="J1583" s="556" t="e">
        <f t="shared" si="723"/>
        <v>#REF!</v>
      </c>
      <c r="K1583" s="556"/>
      <c r="L1583" s="556"/>
      <c r="M1583" s="556"/>
      <c r="N1583" s="556"/>
      <c r="O1583" s="556"/>
      <c r="P1583" s="182">
        <f>VLOOKUP($B1583,dongia1,DG!$F$5,)</f>
        <v>460000</v>
      </c>
      <c r="Q1583" s="182"/>
      <c r="R1583" s="182">
        <f>VLOOKUP($B1583,dongia1,DG!$H$5,)</f>
        <v>0</v>
      </c>
      <c r="S1583" s="113" t="e">
        <f t="shared" si="733"/>
        <v>#REF!</v>
      </c>
      <c r="T1583" s="113" t="e">
        <f t="shared" si="734"/>
        <v>#REF!</v>
      </c>
      <c r="U1583" s="718" t="e">
        <f t="shared" si="735"/>
        <v>#REF!</v>
      </c>
    </row>
    <row r="1584" spans="1:21" s="552" customFormat="1" ht="30" customHeight="1">
      <c r="A1584" s="621"/>
      <c r="B1584" s="622" t="s">
        <v>4478</v>
      </c>
      <c r="C1584" s="633" t="str">
        <f t="shared" si="732"/>
        <v xml:space="preserve"> </v>
      </c>
      <c r="D1584" s="553"/>
      <c r="E1584" s="694" t="str">
        <f>VLOOKUP($B1584,dongia1,DG!$C$5,)&amp;": Bổ sung thây thế kẹp dừng hiện hữu"</f>
        <v>Giáp níu dừng dây bọc (70-95mm2): Bổ sung thây thế kẹp dừng hiện hữu</v>
      </c>
      <c r="F1584" s="555" t="str">
        <f>VLOOKUP($B1584,dongia1,DG!$D$5,)</f>
        <v>cái</v>
      </c>
      <c r="G1584" s="205">
        <f>pptt_NC!DH41</f>
        <v>0</v>
      </c>
      <c r="H1584" s="556">
        <f>$G1584</f>
        <v>0</v>
      </c>
      <c r="I1584" s="556"/>
      <c r="J1584" s="556">
        <f>G1584</f>
        <v>0</v>
      </c>
      <c r="K1584" s="556"/>
      <c r="L1584" s="556"/>
      <c r="M1584" s="556"/>
      <c r="N1584" s="556"/>
      <c r="O1584" s="556"/>
      <c r="P1584" s="182">
        <f>VLOOKUP($B1584,dongia1,DG!$F$5,)</f>
        <v>280000</v>
      </c>
      <c r="Q1584" s="182"/>
      <c r="R1584" s="182">
        <f>VLOOKUP($B1584,dongia1,DG!$H$5,)</f>
        <v>0</v>
      </c>
      <c r="S1584" s="113">
        <f t="shared" ref="S1584:U1585" si="736">$G1584*P1584</f>
        <v>0</v>
      </c>
      <c r="T1584" s="113">
        <f t="shared" si="736"/>
        <v>0</v>
      </c>
      <c r="U1584" s="718">
        <f t="shared" si="736"/>
        <v>0</v>
      </c>
    </row>
    <row r="1585" spans="1:21" s="552" customFormat="1" ht="30" customHeight="1">
      <c r="A1585" s="621"/>
      <c r="B1585" s="622" t="s">
        <v>4479</v>
      </c>
      <c r="C1585" s="633" t="str">
        <f t="shared" si="732"/>
        <v xml:space="preserve"> </v>
      </c>
      <c r="D1585" s="553"/>
      <c r="E1585" s="694" t="str">
        <f>VLOOKUP($B1585,dongia1,DG!$C$5,)&amp;": Bổ sung thây thế kẹp dừng hiện hữu"</f>
        <v>Giáp níu dừng dây bọc (120-150mm2): Bổ sung thây thế kẹp dừng hiện hữu</v>
      </c>
      <c r="F1585" s="555" t="str">
        <f>VLOOKUP($B1585,dongia1,DG!$D$5,)</f>
        <v>cái</v>
      </c>
      <c r="G1585" s="205">
        <f>pptt_NC!DI41</f>
        <v>0</v>
      </c>
      <c r="H1585" s="556">
        <f>$G1585</f>
        <v>0</v>
      </c>
      <c r="I1585" s="556"/>
      <c r="J1585" s="556">
        <f>G1585</f>
        <v>0</v>
      </c>
      <c r="K1585" s="556"/>
      <c r="L1585" s="556"/>
      <c r="M1585" s="556"/>
      <c r="N1585" s="556"/>
      <c r="O1585" s="556"/>
      <c r="P1585" s="182">
        <f>VLOOKUP($B1585,dongia1,DG!$F$5,)</f>
        <v>350000</v>
      </c>
      <c r="Q1585" s="182"/>
      <c r="R1585" s="182">
        <f>VLOOKUP($B1585,dongia1,DG!$H$5,)</f>
        <v>0</v>
      </c>
      <c r="S1585" s="113">
        <f t="shared" si="736"/>
        <v>0</v>
      </c>
      <c r="T1585" s="113">
        <f t="shared" si="736"/>
        <v>0</v>
      </c>
      <c r="U1585" s="718">
        <f t="shared" si="736"/>
        <v>0</v>
      </c>
    </row>
    <row r="1586" spans="1:21" s="552" customFormat="1" ht="15" customHeight="1">
      <c r="A1586" s="621"/>
      <c r="B1586" s="622" t="s">
        <v>1925</v>
      </c>
      <c r="C1586" s="633" t="str">
        <f t="shared" si="732"/>
        <v xml:space="preserve"> </v>
      </c>
      <c r="D1586" s="553"/>
      <c r="E1586" s="694" t="str">
        <f>VLOOKUP($B1586,dongia1,DG!$C$5,)</f>
        <v>Khóa néo dây 5U 150mm2</v>
      </c>
      <c r="F1586" s="555" t="str">
        <f>VLOOKUP($B1586,dongia1,DG!$D$5,)</f>
        <v>cái</v>
      </c>
      <c r="G1586" s="205"/>
      <c r="H1586" s="556">
        <f t="shared" si="695"/>
        <v>0</v>
      </c>
      <c r="I1586" s="556"/>
      <c r="J1586" s="556">
        <f t="shared" si="723"/>
        <v>0</v>
      </c>
      <c r="K1586" s="556"/>
      <c r="L1586" s="556"/>
      <c r="M1586" s="556"/>
      <c r="N1586" s="556"/>
      <c r="O1586" s="556"/>
      <c r="P1586" s="182">
        <f>VLOOKUP($B1586,dongia1,DG!$F$5,)</f>
        <v>168000</v>
      </c>
      <c r="Q1586" s="182"/>
      <c r="R1586" s="182">
        <f>VLOOKUP($B1586,dongia1,DG!$H$5,)</f>
        <v>0</v>
      </c>
      <c r="S1586" s="113">
        <f t="shared" si="733"/>
        <v>0</v>
      </c>
      <c r="T1586" s="113">
        <f t="shared" si="734"/>
        <v>0</v>
      </c>
      <c r="U1586" s="715">
        <f t="shared" si="735"/>
        <v>0</v>
      </c>
    </row>
    <row r="1587" spans="1:21" s="552" customFormat="1" ht="15" customHeight="1">
      <c r="A1587" s="621"/>
      <c r="B1587" s="622" t="s">
        <v>1402</v>
      </c>
      <c r="C1587" s="633" t="str">
        <f t="shared" si="732"/>
        <v xml:space="preserve"> </v>
      </c>
      <c r="D1587" s="553"/>
      <c r="E1587" s="694" t="str">
        <f>VLOOKUP($B1587,dongia1,DG!$C$5,)</f>
        <v>Khóa néo dây 5U-4mm (95-120mm2)</v>
      </c>
      <c r="F1587" s="555" t="str">
        <f>VLOOKUP($B1587,dongia1,DG!$D$5,)</f>
        <v>cái</v>
      </c>
      <c r="G1587" s="205"/>
      <c r="H1587" s="556">
        <f t="shared" si="695"/>
        <v>0</v>
      </c>
      <c r="I1587" s="556"/>
      <c r="J1587" s="556">
        <f t="shared" si="723"/>
        <v>0</v>
      </c>
      <c r="K1587" s="556"/>
      <c r="L1587" s="556"/>
      <c r="M1587" s="556"/>
      <c r="N1587" s="556"/>
      <c r="O1587" s="556"/>
      <c r="P1587" s="182">
        <f>VLOOKUP($B1587,dongia1,DG!$F$5,)</f>
        <v>133000</v>
      </c>
      <c r="Q1587" s="182"/>
      <c r="R1587" s="182">
        <f>VLOOKUP($B1587,dongia1,DG!$H$5,)</f>
        <v>0</v>
      </c>
      <c r="S1587" s="113">
        <f t="shared" si="733"/>
        <v>0</v>
      </c>
      <c r="T1587" s="113">
        <f t="shared" si="734"/>
        <v>0</v>
      </c>
      <c r="U1587" s="557">
        <f t="shared" si="735"/>
        <v>0</v>
      </c>
    </row>
    <row r="1588" spans="1:21" s="552" customFormat="1" ht="15" customHeight="1">
      <c r="A1588" s="621"/>
      <c r="B1588" s="622" t="s">
        <v>1851</v>
      </c>
      <c r="C1588" s="633" t="str">
        <f t="shared" si="732"/>
        <v xml:space="preserve"> </v>
      </c>
      <c r="D1588" s="553"/>
      <c r="E1588" s="694" t="str">
        <f>VLOOKUP($B1588,dongia1,DG!$C$5,)</f>
        <v>Khóa néo dây cỡ dây 95 (dây bọc 50): kẹp dừng dây 5U-3mm</v>
      </c>
      <c r="F1588" s="555" t="str">
        <f>VLOOKUP($B1588,dongia1,DG!$D$5,)</f>
        <v>cái</v>
      </c>
      <c r="G1588" s="205"/>
      <c r="H1588" s="556">
        <f>$G1588</f>
        <v>0</v>
      </c>
      <c r="I1588" s="556"/>
      <c r="J1588" s="556">
        <f t="shared" si="723"/>
        <v>0</v>
      </c>
      <c r="K1588" s="556"/>
      <c r="L1588" s="556"/>
      <c r="M1588" s="556"/>
      <c r="N1588" s="556"/>
      <c r="O1588" s="556"/>
      <c r="P1588" s="182">
        <f>VLOOKUP($B1588,dongia1,DG!$F$5,)</f>
        <v>126000</v>
      </c>
      <c r="Q1588" s="182"/>
      <c r="R1588" s="182">
        <f>VLOOKUP($B1588,dongia1,DG!$H$5,)</f>
        <v>0</v>
      </c>
      <c r="S1588" s="113">
        <f t="shared" si="733"/>
        <v>0</v>
      </c>
      <c r="T1588" s="113">
        <f t="shared" si="734"/>
        <v>0</v>
      </c>
      <c r="U1588" s="557">
        <f t="shared" si="735"/>
        <v>0</v>
      </c>
    </row>
    <row r="1589" spans="1:21" s="552" customFormat="1" ht="15" customHeight="1">
      <c r="A1589" s="621"/>
      <c r="B1589" s="622" t="s">
        <v>1246</v>
      </c>
      <c r="C1589" s="633" t="str">
        <f t="shared" si="732"/>
        <v xml:space="preserve"> </v>
      </c>
      <c r="D1589" s="553"/>
      <c r="E1589" s="694" t="str">
        <f>VLOOKUP($B1589,dongia1,DG!$C$5,)</f>
        <v>Khóa néo dây cỡ dây 70(kẹp dừng dây 3U-3mm)</v>
      </c>
      <c r="F1589" s="555" t="str">
        <f>VLOOKUP($B1589,dongia1,DG!$D$5,)</f>
        <v>cái</v>
      </c>
      <c r="G1589" s="205"/>
      <c r="H1589" s="556">
        <f t="shared" si="695"/>
        <v>0</v>
      </c>
      <c r="I1589" s="556"/>
      <c r="J1589" s="556">
        <f t="shared" si="723"/>
        <v>0</v>
      </c>
      <c r="K1589" s="556"/>
      <c r="L1589" s="556"/>
      <c r="M1589" s="556"/>
      <c r="N1589" s="556"/>
      <c r="O1589" s="556"/>
      <c r="P1589" s="182">
        <f>VLOOKUP($B1589,dongia1,DG!$F$5,)</f>
        <v>78000</v>
      </c>
      <c r="Q1589" s="182"/>
      <c r="R1589" s="182">
        <f>VLOOKUP($B1589,dongia1,DG!$H$5,)</f>
        <v>0</v>
      </c>
      <c r="S1589" s="113">
        <f t="shared" si="733"/>
        <v>0</v>
      </c>
      <c r="T1589" s="113">
        <f t="shared" si="734"/>
        <v>0</v>
      </c>
      <c r="U1589" s="557">
        <f t="shared" si="735"/>
        <v>0</v>
      </c>
    </row>
    <row r="1590" spans="1:21" s="552" customFormat="1" ht="15" customHeight="1">
      <c r="A1590" s="621"/>
      <c r="B1590" s="622" t="s">
        <v>2031</v>
      </c>
      <c r="C1590" s="633" t="str">
        <f t="shared" si="732"/>
        <v xml:space="preserve"> </v>
      </c>
      <c r="D1590" s="553"/>
      <c r="E1590" s="694" t="str">
        <f>VLOOKUP($B1590,dongia1,DG!$C$5,)</f>
        <v>Khóa néo dây cỡ dây 50(kẹp dừng dây 3U-3mm)</v>
      </c>
      <c r="F1590" s="555" t="str">
        <f>VLOOKUP($B1590,dongia1,DG!$D$5,)</f>
        <v>cái</v>
      </c>
      <c r="G1590" s="205"/>
      <c r="H1590" s="556">
        <f t="shared" si="695"/>
        <v>0</v>
      </c>
      <c r="I1590" s="556"/>
      <c r="J1590" s="556">
        <f t="shared" si="723"/>
        <v>0</v>
      </c>
      <c r="K1590" s="556"/>
      <c r="L1590" s="556"/>
      <c r="M1590" s="556"/>
      <c r="N1590" s="556"/>
      <c r="O1590" s="556"/>
      <c r="P1590" s="182">
        <f>VLOOKUP($B1590,dongia1,DG!$F$5,)</f>
        <v>58000</v>
      </c>
      <c r="Q1590" s="182"/>
      <c r="R1590" s="182">
        <f>VLOOKUP($B1590,dongia1,DG!$H$5,)</f>
        <v>0</v>
      </c>
      <c r="S1590" s="113">
        <f t="shared" si="733"/>
        <v>0</v>
      </c>
      <c r="T1590" s="113">
        <f t="shared" si="734"/>
        <v>0</v>
      </c>
      <c r="U1590" s="557">
        <f t="shared" si="735"/>
        <v>0</v>
      </c>
    </row>
    <row r="1591" spans="1:21" ht="15.75" customHeight="1">
      <c r="B1591" s="696" t="s">
        <v>75</v>
      </c>
      <c r="C1591" s="697" t="str">
        <f t="shared" si="732"/>
        <v xml:space="preserve"> </v>
      </c>
      <c r="D1591" s="698"/>
      <c r="E1591" s="699" t="str">
        <f>VLOOKUP($B1591,dongia1,DG!$C$5,)</f>
        <v>Kẹp ép WR cỡ dây 50mm2</v>
      </c>
      <c r="F1591" s="700" t="str">
        <f>VLOOKUP($B1591,dongia1,DG!$D$5,)</f>
        <v>cái</v>
      </c>
      <c r="G1591" s="754">
        <f>pptt_NC!EA41</f>
        <v>0</v>
      </c>
      <c r="H1591" s="701">
        <f t="shared" ref="H1591:H1597" si="737">$G1591</f>
        <v>0</v>
      </c>
      <c r="I1591" s="701"/>
      <c r="J1591" s="701">
        <f t="shared" si="723"/>
        <v>0</v>
      </c>
      <c r="K1591" s="701"/>
      <c r="L1591" s="701"/>
      <c r="M1591" s="701"/>
      <c r="N1591" s="701"/>
      <c r="O1591" s="701"/>
      <c r="P1591" s="702">
        <f>VLOOKUP($B1591,dongia1,DG!$F$5,)</f>
        <v>8000</v>
      </c>
      <c r="Q1591" s="702"/>
      <c r="R1591" s="702">
        <f>VLOOKUP($B1591,dongia1,DG!$H$5,)</f>
        <v>0</v>
      </c>
      <c r="S1591" s="702">
        <f t="shared" ref="S1591:U1594" si="738">$G1591*P1591</f>
        <v>0</v>
      </c>
      <c r="T1591" s="702">
        <f t="shared" si="738"/>
        <v>0</v>
      </c>
      <c r="U1591" s="930">
        <f t="shared" si="738"/>
        <v>0</v>
      </c>
    </row>
    <row r="1592" spans="1:21">
      <c r="B1592" s="696" t="s">
        <v>1778</v>
      </c>
      <c r="C1592" s="697" t="str">
        <f t="shared" si="732"/>
        <v xml:space="preserve"> </v>
      </c>
      <c r="D1592" s="698"/>
      <c r="E1592" s="699" t="str">
        <f>VLOOKUP($B1592,dongia1,DG!$C$5,)</f>
        <v>Kẹp ép WR cỡ dây 70mm2</v>
      </c>
      <c r="F1592" s="700" t="str">
        <f>VLOOKUP($B1592,dongia1,DG!$D$5,)</f>
        <v>cái</v>
      </c>
      <c r="G1592" s="754">
        <f>pptt_NC!EB41</f>
        <v>0</v>
      </c>
      <c r="H1592" s="701">
        <f t="shared" si="737"/>
        <v>0</v>
      </c>
      <c r="I1592" s="701"/>
      <c r="J1592" s="701">
        <f t="shared" si="723"/>
        <v>0</v>
      </c>
      <c r="K1592" s="701"/>
      <c r="L1592" s="701"/>
      <c r="M1592" s="701"/>
      <c r="N1592" s="701"/>
      <c r="O1592" s="701"/>
      <c r="P1592" s="702">
        <f>VLOOKUP($B1592,dongia1,DG!$F$5,)</f>
        <v>10000</v>
      </c>
      <c r="Q1592" s="702"/>
      <c r="R1592" s="702">
        <f>VLOOKUP($B1592,dongia1,DG!$H$5,)</f>
        <v>0</v>
      </c>
      <c r="S1592" s="702">
        <f t="shared" si="738"/>
        <v>0</v>
      </c>
      <c r="T1592" s="702">
        <f t="shared" si="738"/>
        <v>0</v>
      </c>
      <c r="U1592" s="717">
        <f t="shared" si="738"/>
        <v>0</v>
      </c>
    </row>
    <row r="1593" spans="1:21" s="552" customFormat="1" ht="15" customHeight="1">
      <c r="A1593" s="621"/>
      <c r="B1593" s="622" t="s">
        <v>1779</v>
      </c>
      <c r="C1593" s="633" t="str">
        <f t="shared" si="732"/>
        <v xml:space="preserve"> </v>
      </c>
      <c r="D1593" s="553"/>
      <c r="E1593" s="694" t="str">
        <f>VLOOKUP($B1593,dongia1,DG!$C$5,)</f>
        <v>Kẹp ép WR cỡ dây 95mm2</v>
      </c>
      <c r="F1593" s="555" t="str">
        <f>VLOOKUP($B1593,dongia1,DG!$D$5,)</f>
        <v>cái</v>
      </c>
      <c r="G1593" s="560">
        <f>pptt_NC!EC41</f>
        <v>0</v>
      </c>
      <c r="H1593" s="556">
        <f t="shared" si="737"/>
        <v>0</v>
      </c>
      <c r="I1593" s="556"/>
      <c r="J1593" s="556">
        <f t="shared" si="723"/>
        <v>0</v>
      </c>
      <c r="K1593" s="556"/>
      <c r="L1593" s="556"/>
      <c r="M1593" s="556"/>
      <c r="N1593" s="556"/>
      <c r="O1593" s="556"/>
      <c r="P1593" s="182">
        <f>VLOOKUP($B1593,dongia1,DG!$F$5,)</f>
        <v>13000</v>
      </c>
      <c r="Q1593" s="182"/>
      <c r="R1593" s="182">
        <f>VLOOKUP($B1593,dongia1,DG!$H$5,)</f>
        <v>0</v>
      </c>
      <c r="S1593" s="113">
        <f t="shared" si="738"/>
        <v>0</v>
      </c>
      <c r="T1593" s="113">
        <f t="shared" si="738"/>
        <v>0</v>
      </c>
      <c r="U1593" s="557">
        <f t="shared" si="738"/>
        <v>0</v>
      </c>
    </row>
    <row r="1594" spans="1:21">
      <c r="B1594" s="696" t="s">
        <v>1698</v>
      </c>
      <c r="C1594" s="697" t="str">
        <f t="shared" si="732"/>
        <v xml:space="preserve"> </v>
      </c>
      <c r="D1594" s="698"/>
      <c r="E1594" s="699" t="str">
        <f>VLOOKUP($B1594,dongia1,DG!$C$5,)</f>
        <v>Kẹp ép WR cỡ dây 120mm2</v>
      </c>
      <c r="F1594" s="700" t="str">
        <f>VLOOKUP($B1594,dongia1,DG!$D$5,)</f>
        <v>cái</v>
      </c>
      <c r="G1594" s="754">
        <f>pptt_NC!ED41</f>
        <v>0</v>
      </c>
      <c r="H1594" s="701">
        <f t="shared" si="737"/>
        <v>0</v>
      </c>
      <c r="I1594" s="701"/>
      <c r="J1594" s="701">
        <f t="shared" si="723"/>
        <v>0</v>
      </c>
      <c r="K1594" s="701"/>
      <c r="L1594" s="701"/>
      <c r="M1594" s="701"/>
      <c r="N1594" s="701"/>
      <c r="O1594" s="701"/>
      <c r="P1594" s="702">
        <f>VLOOKUP($B1594,dongia1,DG!$F$5,)</f>
        <v>14000</v>
      </c>
      <c r="Q1594" s="702"/>
      <c r="R1594" s="702">
        <f>VLOOKUP($B1594,dongia1,DG!$H$5,)</f>
        <v>0</v>
      </c>
      <c r="S1594" s="702">
        <f t="shared" si="738"/>
        <v>0</v>
      </c>
      <c r="T1594" s="702">
        <f t="shared" si="738"/>
        <v>0</v>
      </c>
      <c r="U1594" s="930">
        <f t="shared" si="738"/>
        <v>0</v>
      </c>
    </row>
    <row r="1595" spans="1:21" s="552" customFormat="1" ht="15" customHeight="1">
      <c r="A1595" s="621"/>
      <c r="B1595" s="622" t="s">
        <v>289</v>
      </c>
      <c r="C1595" s="633" t="str">
        <f t="shared" si="732"/>
        <v xml:space="preserve"> </v>
      </c>
      <c r="D1595" s="553"/>
      <c r="E1595" s="694" t="str">
        <f>VLOOKUP($B1595,dongia1,DG!$C$5,)</f>
        <v>Kẹp ép WR cỡ dây 150mm2</v>
      </c>
      <c r="F1595" s="555" t="str">
        <f>VLOOKUP($B1595,dongia1,DG!$D$5,)</f>
        <v>cái</v>
      </c>
      <c r="G1595" s="560">
        <f>pptt_NC!EE41</f>
        <v>0</v>
      </c>
      <c r="H1595" s="556">
        <f t="shared" si="737"/>
        <v>0</v>
      </c>
      <c r="I1595" s="556"/>
      <c r="J1595" s="556">
        <f t="shared" si="723"/>
        <v>0</v>
      </c>
      <c r="K1595" s="556"/>
      <c r="L1595" s="556"/>
      <c r="M1595" s="556"/>
      <c r="N1595" s="556"/>
      <c r="O1595" s="556"/>
      <c r="P1595" s="182">
        <f>VLOOKUP($B1595,dongia1,DG!$F$5,)</f>
        <v>18000</v>
      </c>
      <c r="Q1595" s="182"/>
      <c r="R1595" s="182">
        <f>VLOOKUP($B1595,dongia1,DG!$H$5,)</f>
        <v>0</v>
      </c>
      <c r="S1595" s="113">
        <f t="shared" ref="S1595:U1597" si="739">$G1595*P1595</f>
        <v>0</v>
      </c>
      <c r="T1595" s="113">
        <f t="shared" si="739"/>
        <v>0</v>
      </c>
      <c r="U1595" s="715">
        <f t="shared" si="739"/>
        <v>0</v>
      </c>
    </row>
    <row r="1596" spans="1:21">
      <c r="B1596" s="696" t="s">
        <v>1699</v>
      </c>
      <c r="C1596" s="697" t="str">
        <f t="shared" si="732"/>
        <v xml:space="preserve"> </v>
      </c>
      <c r="D1596" s="698"/>
      <c r="E1596" s="699" t="str">
        <f>VLOOKUP($B1596,dongia1,DG!$C$5,)</f>
        <v>Kẹp ép WR cỡ dây 185mm2</v>
      </c>
      <c r="F1596" s="700" t="str">
        <f>VLOOKUP($B1596,dongia1,DG!$D$5,)</f>
        <v>cái</v>
      </c>
      <c r="G1596" s="754">
        <f>pptt_NC!EF41</f>
        <v>0</v>
      </c>
      <c r="H1596" s="701">
        <f t="shared" si="737"/>
        <v>0</v>
      </c>
      <c r="I1596" s="701"/>
      <c r="J1596" s="701">
        <f t="shared" si="723"/>
        <v>0</v>
      </c>
      <c r="K1596" s="701"/>
      <c r="L1596" s="701"/>
      <c r="M1596" s="701"/>
      <c r="N1596" s="701"/>
      <c r="O1596" s="701"/>
      <c r="P1596" s="702">
        <f>VLOOKUP($B1596,dongia1,DG!$F$5,)</f>
        <v>18000</v>
      </c>
      <c r="Q1596" s="702"/>
      <c r="R1596" s="702">
        <f>VLOOKUP($B1596,dongia1,DG!$H$5,)</f>
        <v>0</v>
      </c>
      <c r="S1596" s="702">
        <f>$G1596*P1596</f>
        <v>0</v>
      </c>
      <c r="T1596" s="702">
        <f>$G1596*Q1596</f>
        <v>0</v>
      </c>
      <c r="U1596" s="704">
        <f>$G1596*R1596</f>
        <v>0</v>
      </c>
    </row>
    <row r="1597" spans="1:21" s="552" customFormat="1" ht="15" customHeight="1">
      <c r="A1597" s="621"/>
      <c r="B1597" s="622" t="s">
        <v>55</v>
      </c>
      <c r="C1597" s="633" t="str">
        <f t="shared" si="732"/>
        <v xml:space="preserve"> </v>
      </c>
      <c r="D1597" s="553"/>
      <c r="E1597" s="694" t="str">
        <f>VLOOKUP($B1597,dongia1,DG!$C$5,)</f>
        <v>Kẹp ép WR cỡ dây 240mm2</v>
      </c>
      <c r="F1597" s="555" t="str">
        <f>VLOOKUP($B1597,dongia1,DG!$D$5,)</f>
        <v>cái</v>
      </c>
      <c r="G1597" s="560">
        <f>pptt_NC!EG41</f>
        <v>0</v>
      </c>
      <c r="H1597" s="556">
        <f t="shared" si="737"/>
        <v>0</v>
      </c>
      <c r="I1597" s="556"/>
      <c r="J1597" s="556">
        <f t="shared" si="723"/>
        <v>0</v>
      </c>
      <c r="K1597" s="556"/>
      <c r="L1597" s="556"/>
      <c r="M1597" s="556"/>
      <c r="N1597" s="556"/>
      <c r="O1597" s="556"/>
      <c r="P1597" s="182">
        <f>VLOOKUP($B1597,dongia1,DG!$F$5,)</f>
        <v>40000</v>
      </c>
      <c r="Q1597" s="182"/>
      <c r="R1597" s="182">
        <f>VLOOKUP($B1597,dongia1,DG!$H$5,)</f>
        <v>0</v>
      </c>
      <c r="S1597" s="113">
        <f t="shared" si="739"/>
        <v>0</v>
      </c>
      <c r="T1597" s="113">
        <f t="shared" si="739"/>
        <v>0</v>
      </c>
      <c r="U1597" s="718">
        <f t="shared" si="739"/>
        <v>0</v>
      </c>
    </row>
    <row r="1598" spans="1:21" s="552" customFormat="1" ht="15" customHeight="1">
      <c r="A1598" s="621"/>
      <c r="B1598" s="622" t="s">
        <v>208</v>
      </c>
      <c r="C1598" s="633" t="str">
        <f t="shared" si="732"/>
        <v xml:space="preserve"> </v>
      </c>
      <c r="D1598" s="553"/>
      <c r="E1598" s="694" t="str">
        <f>VLOOKUP($B1598,dongia1,DG!$C$5,)</f>
        <v>Kẹp 2 rãnh (APC) cỡ dây 50mm2</v>
      </c>
      <c r="F1598" s="555" t="str">
        <f>VLOOKUP($B1598,dongia1,DG!$D$5,)</f>
        <v>cái</v>
      </c>
      <c r="G1598" s="560"/>
      <c r="H1598" s="556">
        <f t="shared" si="695"/>
        <v>0</v>
      </c>
      <c r="I1598" s="556"/>
      <c r="J1598" s="556">
        <f t="shared" si="723"/>
        <v>0</v>
      </c>
      <c r="K1598" s="556"/>
      <c r="L1598" s="556"/>
      <c r="M1598" s="556"/>
      <c r="N1598" s="556"/>
      <c r="O1598" s="556"/>
      <c r="P1598" s="182">
        <f>VLOOKUP($B1598,dongia1,DG!$F$5,)</f>
        <v>6400</v>
      </c>
      <c r="Q1598" s="182"/>
      <c r="R1598" s="182">
        <f>VLOOKUP($B1598,dongia1,DG!$H$5,)</f>
        <v>0</v>
      </c>
      <c r="S1598" s="113">
        <f t="shared" si="733"/>
        <v>0</v>
      </c>
      <c r="T1598" s="113">
        <f t="shared" si="734"/>
        <v>0</v>
      </c>
      <c r="U1598" s="715">
        <f t="shared" si="735"/>
        <v>0</v>
      </c>
    </row>
    <row r="1599" spans="1:21" s="552" customFormat="1" ht="15" customHeight="1">
      <c r="A1599" s="621"/>
      <c r="B1599" s="622" t="s">
        <v>207</v>
      </c>
      <c r="C1599" s="633" t="str">
        <f t="shared" si="732"/>
        <v xml:space="preserve"> </v>
      </c>
      <c r="D1599" s="553"/>
      <c r="E1599" s="694" t="str">
        <f>VLOOKUP($B1599,dongia1,DG!$C$5,)</f>
        <v>Kẹp 2 rãnh (APC) cỡ dây 70mm2</v>
      </c>
      <c r="F1599" s="555" t="str">
        <f>VLOOKUP($B1599,dongia1,DG!$D$5,)</f>
        <v>cái</v>
      </c>
      <c r="G1599" s="560"/>
      <c r="H1599" s="556">
        <f t="shared" si="695"/>
        <v>0</v>
      </c>
      <c r="I1599" s="556"/>
      <c r="J1599" s="556">
        <f t="shared" si="723"/>
        <v>0</v>
      </c>
      <c r="K1599" s="556"/>
      <c r="L1599" s="556"/>
      <c r="M1599" s="556"/>
      <c r="N1599" s="556"/>
      <c r="O1599" s="556"/>
      <c r="P1599" s="182">
        <f>VLOOKUP($B1599,dongia1,DG!$F$5,)</f>
        <v>6400</v>
      </c>
      <c r="Q1599" s="182"/>
      <c r="R1599" s="182">
        <f>VLOOKUP($B1599,dongia1,DG!$H$5,)</f>
        <v>0</v>
      </c>
      <c r="S1599" s="113">
        <f t="shared" si="733"/>
        <v>0</v>
      </c>
      <c r="T1599" s="113">
        <f t="shared" si="734"/>
        <v>0</v>
      </c>
      <c r="U1599" s="557">
        <f t="shared" si="735"/>
        <v>0</v>
      </c>
    </row>
    <row r="1600" spans="1:21" s="552" customFormat="1" ht="15" customHeight="1">
      <c r="A1600" s="621"/>
      <c r="B1600" s="622" t="s">
        <v>713</v>
      </c>
      <c r="C1600" s="633" t="str">
        <f t="shared" si="732"/>
        <v xml:space="preserve"> </v>
      </c>
      <c r="D1600" s="553"/>
      <c r="E1600" s="694" t="str">
        <f>VLOOKUP($B1600,dongia1,DG!$C$5,)</f>
        <v>Kẹp 2 rãnh (APC) cỡ dây 95mm2</v>
      </c>
      <c r="F1600" s="555" t="str">
        <f>VLOOKUP($B1600,dongia1,DG!$D$5,)</f>
        <v>cái</v>
      </c>
      <c r="G1600" s="560"/>
      <c r="H1600" s="556">
        <f t="shared" si="695"/>
        <v>0</v>
      </c>
      <c r="I1600" s="556"/>
      <c r="J1600" s="556">
        <f t="shared" si="723"/>
        <v>0</v>
      </c>
      <c r="K1600" s="556"/>
      <c r="L1600" s="556"/>
      <c r="M1600" s="556"/>
      <c r="N1600" s="556"/>
      <c r="O1600" s="556"/>
      <c r="P1600" s="182">
        <f>VLOOKUP($B1600,dongia1,DG!$F$5,)</f>
        <v>10600</v>
      </c>
      <c r="Q1600" s="182"/>
      <c r="R1600" s="182">
        <f>VLOOKUP($B1600,dongia1,DG!$H$5,)</f>
        <v>0</v>
      </c>
      <c r="S1600" s="113">
        <f t="shared" si="733"/>
        <v>0</v>
      </c>
      <c r="T1600" s="113">
        <f t="shared" si="734"/>
        <v>0</v>
      </c>
      <c r="U1600" s="557">
        <f t="shared" si="735"/>
        <v>0</v>
      </c>
    </row>
    <row r="1601" spans="1:21" s="552" customFormat="1" ht="15" customHeight="1">
      <c r="A1601" s="621"/>
      <c r="B1601" s="622" t="s">
        <v>790</v>
      </c>
      <c r="C1601" s="633" t="str">
        <f t="shared" si="732"/>
        <v xml:space="preserve"> </v>
      </c>
      <c r="D1601" s="553"/>
      <c r="E1601" s="694" t="str">
        <f>VLOOKUP($B1601,dongia1,DG!$C$5,)</f>
        <v>Kẹp 2 rãnh (APC) cỡ dây 150mm2</v>
      </c>
      <c r="F1601" s="555" t="str">
        <f>VLOOKUP($B1601,dongia1,DG!$D$5,)</f>
        <v>cái</v>
      </c>
      <c r="G1601" s="560"/>
      <c r="H1601" s="556">
        <f t="shared" si="695"/>
        <v>0</v>
      </c>
      <c r="I1601" s="556"/>
      <c r="J1601" s="556">
        <f t="shared" si="723"/>
        <v>0</v>
      </c>
      <c r="K1601" s="556"/>
      <c r="L1601" s="556"/>
      <c r="M1601" s="556"/>
      <c r="N1601" s="556"/>
      <c r="O1601" s="556"/>
      <c r="P1601" s="182">
        <f>VLOOKUP($B1601,dongia1,DG!$F$5,)</f>
        <v>16000</v>
      </c>
      <c r="Q1601" s="182"/>
      <c r="R1601" s="182">
        <f>VLOOKUP($B1601,dongia1,DG!$H$5,)</f>
        <v>0</v>
      </c>
      <c r="S1601" s="113">
        <f t="shared" si="733"/>
        <v>0</v>
      </c>
      <c r="T1601" s="113">
        <f t="shared" si="734"/>
        <v>0</v>
      </c>
      <c r="U1601" s="557">
        <f t="shared" si="735"/>
        <v>0</v>
      </c>
    </row>
    <row r="1602" spans="1:21" s="552" customFormat="1" ht="15" customHeight="1">
      <c r="A1602" s="621"/>
      <c r="B1602" s="622" t="s">
        <v>297</v>
      </c>
      <c r="C1602" s="633" t="str">
        <f t="shared" si="732"/>
        <v xml:space="preserve"> </v>
      </c>
      <c r="D1602" s="553"/>
      <c r="E1602" s="694" t="str">
        <f>VLOOKUP($B1602,dongia1,DG!$C$5,)</f>
        <v>Kẹp 2 rãnh (APC) cỡ dây 185mm2</v>
      </c>
      <c r="F1602" s="555" t="str">
        <f>VLOOKUP($B1602,dongia1,DG!$D$5,)</f>
        <v>cái</v>
      </c>
      <c r="G1602" s="560"/>
      <c r="H1602" s="556">
        <f t="shared" si="695"/>
        <v>0</v>
      </c>
      <c r="I1602" s="556"/>
      <c r="J1602" s="556">
        <f t="shared" si="723"/>
        <v>0</v>
      </c>
      <c r="K1602" s="556"/>
      <c r="L1602" s="556"/>
      <c r="M1602" s="556"/>
      <c r="N1602" s="556"/>
      <c r="O1602" s="556"/>
      <c r="P1602" s="182">
        <f>VLOOKUP($B1602,dongia1,DG!$F$5,)</f>
        <v>19100</v>
      </c>
      <c r="Q1602" s="182"/>
      <c r="R1602" s="182">
        <f>VLOOKUP($B1602,dongia1,DG!$H$5,)</f>
        <v>0</v>
      </c>
      <c r="S1602" s="113">
        <f t="shared" ref="S1602:U1609" si="740">$G1602*P1602</f>
        <v>0</v>
      </c>
      <c r="T1602" s="113">
        <f t="shared" si="740"/>
        <v>0</v>
      </c>
      <c r="U1602" s="557">
        <f t="shared" si="740"/>
        <v>0</v>
      </c>
    </row>
    <row r="1603" spans="1:21" s="552" customFormat="1" ht="15" customHeight="1">
      <c r="A1603" s="621"/>
      <c r="B1603" s="622" t="s">
        <v>4204</v>
      </c>
      <c r="C1603" s="633" t="str">
        <f t="shared" si="732"/>
        <v xml:space="preserve"> </v>
      </c>
      <c r="D1603" s="553"/>
      <c r="E1603" s="694" t="str">
        <f>VLOOKUP($B1603,dongia1,DG!$C$5,)</f>
        <v>Đầu cosse ép Cu 50mm2</v>
      </c>
      <c r="F1603" s="555" t="str">
        <f>VLOOKUP($B1603,dongia1,DG!$D$5,)</f>
        <v>cái</v>
      </c>
      <c r="G1603" s="560">
        <f>pptt_NC!EH41</f>
        <v>0</v>
      </c>
      <c r="H1603" s="556">
        <f>$G1603</f>
        <v>0</v>
      </c>
      <c r="I1603" s="556"/>
      <c r="J1603" s="556">
        <f t="shared" si="723"/>
        <v>0</v>
      </c>
      <c r="K1603" s="556"/>
      <c r="L1603" s="556"/>
      <c r="M1603" s="556"/>
      <c r="N1603" s="556"/>
      <c r="O1603" s="556"/>
      <c r="P1603" s="182">
        <f>VLOOKUP($B1603,dongia1,DG!$F$5,)</f>
        <v>9100</v>
      </c>
      <c r="Q1603" s="182">
        <f>VLOOKUP($B1603,dongia1,DG!$G$5,)</f>
        <v>10608.955000000002</v>
      </c>
      <c r="R1603" s="182">
        <f>VLOOKUP($B1603,dongia1,DG!$H$5,)</f>
        <v>2777.0232475000003</v>
      </c>
      <c r="S1603" s="113">
        <f t="shared" si="740"/>
        <v>0</v>
      </c>
      <c r="T1603" s="113">
        <f t="shared" si="740"/>
        <v>0</v>
      </c>
      <c r="U1603" s="557">
        <f t="shared" si="740"/>
        <v>0</v>
      </c>
    </row>
    <row r="1604" spans="1:21" s="552" customFormat="1" ht="15" customHeight="1">
      <c r="A1604" s="621"/>
      <c r="B1604" s="622" t="s">
        <v>4197</v>
      </c>
      <c r="C1604" s="633" t="str">
        <f t="shared" si="732"/>
        <v xml:space="preserve"> </v>
      </c>
      <c r="D1604" s="553"/>
      <c r="E1604" s="694" t="str">
        <f>VLOOKUP($B1604,dongia1,DG!$C$5,)</f>
        <v>Đầu cosse ép Cu 70mm2</v>
      </c>
      <c r="F1604" s="555" t="str">
        <f>VLOOKUP($B1604,dongia1,DG!$D$5,)</f>
        <v>cái</v>
      </c>
      <c r="G1604" s="560">
        <f>pptt_NC!EI41</f>
        <v>0</v>
      </c>
      <c r="H1604" s="556">
        <f t="shared" si="695"/>
        <v>0</v>
      </c>
      <c r="I1604" s="556"/>
      <c r="J1604" s="556">
        <f t="shared" si="723"/>
        <v>0</v>
      </c>
      <c r="K1604" s="556"/>
      <c r="L1604" s="556"/>
      <c r="M1604" s="556"/>
      <c r="N1604" s="556"/>
      <c r="O1604" s="556"/>
      <c r="P1604" s="182">
        <f>VLOOKUP($B1604,dongia1,DG!$F$5,)</f>
        <v>14000</v>
      </c>
      <c r="Q1604" s="182">
        <f>VLOOKUP($B1604,dongia1,DG!$G$5,)</f>
        <v>16671.215</v>
      </c>
      <c r="R1604" s="182">
        <f>VLOOKUP($B1604,dongia1,DG!$H$5,)</f>
        <v>3332.427897</v>
      </c>
      <c r="S1604" s="113">
        <f t="shared" si="740"/>
        <v>0</v>
      </c>
      <c r="T1604" s="113">
        <f t="shared" si="740"/>
        <v>0</v>
      </c>
      <c r="U1604" s="557">
        <f t="shared" si="740"/>
        <v>0</v>
      </c>
    </row>
    <row r="1605" spans="1:21" s="552" customFormat="1" ht="15" customHeight="1">
      <c r="A1605" s="621"/>
      <c r="B1605" s="622" t="s">
        <v>4198</v>
      </c>
      <c r="C1605" s="633" t="str">
        <f t="shared" si="732"/>
        <v xml:space="preserve"> </v>
      </c>
      <c r="D1605" s="553"/>
      <c r="E1605" s="694" t="str">
        <f>VLOOKUP($B1605,dongia1,DG!$C$5,)</f>
        <v>Đầu cosse ép Cu 95mm2</v>
      </c>
      <c r="F1605" s="555" t="str">
        <f>VLOOKUP($B1605,dongia1,DG!$D$5,)</f>
        <v>cái</v>
      </c>
      <c r="G1605" s="560">
        <f>pptt_NC!EJ41</f>
        <v>0</v>
      </c>
      <c r="H1605" s="556">
        <f t="shared" si="695"/>
        <v>0</v>
      </c>
      <c r="I1605" s="556"/>
      <c r="J1605" s="556">
        <f t="shared" si="723"/>
        <v>0</v>
      </c>
      <c r="K1605" s="556"/>
      <c r="L1605" s="556"/>
      <c r="M1605" s="556"/>
      <c r="N1605" s="556"/>
      <c r="O1605" s="556"/>
      <c r="P1605" s="182">
        <f>VLOOKUP($B1605,dongia1,DG!$F$5,)</f>
        <v>21000</v>
      </c>
      <c r="Q1605" s="182">
        <f>VLOOKUP($B1605,dongia1,DG!$G$5,)</f>
        <v>21217.910000000003</v>
      </c>
      <c r="R1605" s="182">
        <f>VLOOKUP($B1605,dongia1,DG!$H$5,)</f>
        <v>3332.427897</v>
      </c>
      <c r="S1605" s="113">
        <f t="shared" si="740"/>
        <v>0</v>
      </c>
      <c r="T1605" s="113">
        <f t="shared" si="740"/>
        <v>0</v>
      </c>
      <c r="U1605" s="557">
        <f t="shared" si="740"/>
        <v>0</v>
      </c>
    </row>
    <row r="1606" spans="1:21" s="552" customFormat="1" ht="15" customHeight="1">
      <c r="A1606" s="621"/>
      <c r="B1606" s="622" t="s">
        <v>4199</v>
      </c>
      <c r="C1606" s="633" t="str">
        <f t="shared" si="732"/>
        <v xml:space="preserve"> </v>
      </c>
      <c r="D1606" s="553"/>
      <c r="E1606" s="694" t="str">
        <f>VLOOKUP($B1606,dongia1,DG!$C$5,)</f>
        <v>Đầu cosse ép Cu 120mm2</v>
      </c>
      <c r="F1606" s="555" t="str">
        <f>VLOOKUP($B1606,dongia1,DG!$D$5,)</f>
        <v>cái</v>
      </c>
      <c r="G1606" s="560">
        <f>pptt_NC!EK41</f>
        <v>0</v>
      </c>
      <c r="H1606" s="556">
        <f t="shared" si="695"/>
        <v>0</v>
      </c>
      <c r="I1606" s="556"/>
      <c r="J1606" s="556">
        <f t="shared" si="723"/>
        <v>0</v>
      </c>
      <c r="K1606" s="556"/>
      <c r="L1606" s="556"/>
      <c r="M1606" s="556"/>
      <c r="N1606" s="556"/>
      <c r="O1606" s="556"/>
      <c r="P1606" s="182">
        <f>VLOOKUP($B1606,dongia1,DG!$F$5,)</f>
        <v>27000</v>
      </c>
      <c r="Q1606" s="182">
        <f>VLOOKUP($B1606,dongia1,DG!$G$5,)</f>
        <v>27280.17</v>
      </c>
      <c r="R1606" s="182">
        <f>VLOOKUP($B1606,dongia1,DG!$H$5,)</f>
        <v>3887.8325465000003</v>
      </c>
      <c r="S1606" s="113">
        <f t="shared" si="740"/>
        <v>0</v>
      </c>
      <c r="T1606" s="113">
        <f t="shared" si="740"/>
        <v>0</v>
      </c>
      <c r="U1606" s="557">
        <f t="shared" si="740"/>
        <v>0</v>
      </c>
    </row>
    <row r="1607" spans="1:21" s="552" customFormat="1" ht="15" customHeight="1">
      <c r="A1607" s="621"/>
      <c r="B1607" s="622" t="s">
        <v>4200</v>
      </c>
      <c r="C1607" s="633" t="str">
        <f t="shared" ref="C1607:C1624" si="741">IF(G1607&lt;&gt;0,$C$1457," ")</f>
        <v xml:space="preserve"> </v>
      </c>
      <c r="D1607" s="553"/>
      <c r="E1607" s="694" t="str">
        <f>VLOOKUP($B1607,dongia1,DG!$C$5,)</f>
        <v>Đầu cosse ép Cu 150mm2</v>
      </c>
      <c r="F1607" s="555" t="str">
        <f>VLOOKUP($B1607,dongia1,DG!$D$5,)</f>
        <v>cái</v>
      </c>
      <c r="G1607" s="560">
        <f>pptt_NC!EL41</f>
        <v>0</v>
      </c>
      <c r="H1607" s="556">
        <f t="shared" si="695"/>
        <v>0</v>
      </c>
      <c r="I1607" s="556"/>
      <c r="J1607" s="556">
        <f>G1607</f>
        <v>0</v>
      </c>
      <c r="K1607" s="556"/>
      <c r="L1607" s="556"/>
      <c r="M1607" s="556"/>
      <c r="N1607" s="556"/>
      <c r="O1607" s="556"/>
      <c r="P1607" s="182">
        <f>VLOOKUP($B1607,dongia1,DG!$F$5,)</f>
        <v>36000</v>
      </c>
      <c r="Q1607" s="182">
        <f>VLOOKUP($B1607,dongia1,DG!$G$5,)</f>
        <v>33342.43</v>
      </c>
      <c r="R1607" s="182">
        <f>VLOOKUP($B1607,dongia1,DG!$H$5,)</f>
        <v>4443.237196</v>
      </c>
      <c r="S1607" s="113">
        <f t="shared" si="740"/>
        <v>0</v>
      </c>
      <c r="T1607" s="113">
        <f t="shared" si="740"/>
        <v>0</v>
      </c>
      <c r="U1607" s="557">
        <f t="shared" si="740"/>
        <v>0</v>
      </c>
    </row>
    <row r="1608" spans="1:21" s="552" customFormat="1" ht="15" customHeight="1">
      <c r="A1608" s="621"/>
      <c r="B1608" s="622" t="s">
        <v>4201</v>
      </c>
      <c r="C1608" s="633" t="str">
        <f t="shared" si="741"/>
        <v xml:space="preserve"> </v>
      </c>
      <c r="D1608" s="553"/>
      <c r="E1608" s="694" t="str">
        <f>VLOOKUP($B1608,dongia1,DG!$C$5,)</f>
        <v>Đầu cosse ép Cu 185mm2</v>
      </c>
      <c r="F1608" s="555" t="str">
        <f>VLOOKUP($B1608,dongia1,DG!$D$5,)</f>
        <v>cái</v>
      </c>
      <c r="G1608" s="560">
        <f>pptt_NC!EM41</f>
        <v>0</v>
      </c>
      <c r="H1608" s="556">
        <f t="shared" si="695"/>
        <v>0</v>
      </c>
      <c r="I1608" s="556"/>
      <c r="J1608" s="556">
        <f>G1608</f>
        <v>0</v>
      </c>
      <c r="K1608" s="556"/>
      <c r="L1608" s="556"/>
      <c r="M1608" s="556"/>
      <c r="N1608" s="556"/>
      <c r="O1608" s="556"/>
      <c r="P1608" s="182">
        <f>VLOOKUP($B1608,dongia1,DG!$F$5,)</f>
        <v>51000</v>
      </c>
      <c r="Q1608" s="182">
        <f>VLOOKUP($B1608,dongia1,DG!$G$5,)</f>
        <v>40010.916000000005</v>
      </c>
      <c r="R1608" s="182">
        <f>VLOOKUP($B1608,dongia1,DG!$H$5,)</f>
        <v>4998.6418455000003</v>
      </c>
      <c r="S1608" s="113">
        <f t="shared" si="740"/>
        <v>0</v>
      </c>
      <c r="T1608" s="113">
        <f t="shared" si="740"/>
        <v>0</v>
      </c>
      <c r="U1608" s="557">
        <f t="shared" si="740"/>
        <v>0</v>
      </c>
    </row>
    <row r="1609" spans="1:21" s="552" customFormat="1" ht="15" customHeight="1">
      <c r="A1609" s="621"/>
      <c r="B1609" s="622" t="s">
        <v>4202</v>
      </c>
      <c r="C1609" s="633" t="str">
        <f t="shared" si="741"/>
        <v xml:space="preserve"> </v>
      </c>
      <c r="D1609" s="553"/>
      <c r="E1609" s="694" t="str">
        <f>VLOOKUP($B1609,dongia1,DG!$C$5,)</f>
        <v>Đầu cosse ép Cu 240mm2</v>
      </c>
      <c r="F1609" s="555" t="str">
        <f>VLOOKUP($B1609,dongia1,DG!$D$5,)</f>
        <v>cái</v>
      </c>
      <c r="G1609" s="560">
        <f>pptt_NC!EN41</f>
        <v>0</v>
      </c>
      <c r="H1609" s="556">
        <f t="shared" si="695"/>
        <v>0</v>
      </c>
      <c r="I1609" s="556"/>
      <c r="J1609" s="556">
        <f t="shared" si="723"/>
        <v>0</v>
      </c>
      <c r="K1609" s="556"/>
      <c r="L1609" s="556"/>
      <c r="M1609" s="556"/>
      <c r="N1609" s="556"/>
      <c r="O1609" s="556"/>
      <c r="P1609" s="182">
        <f>VLOOKUP($B1609,dongia1,DG!$F$5,)</f>
        <v>163900</v>
      </c>
      <c r="Q1609" s="182">
        <f>VLOOKUP($B1609,dongia1,DG!$G$5,)</f>
        <v>50013.645000000004</v>
      </c>
      <c r="R1609" s="182">
        <f>VLOOKUP($B1609,dongia1,DG!$H$5,)</f>
        <v>5554.0464950000005</v>
      </c>
      <c r="S1609" s="113">
        <f t="shared" si="740"/>
        <v>0</v>
      </c>
      <c r="T1609" s="113">
        <f t="shared" si="740"/>
        <v>0</v>
      </c>
      <c r="U1609" s="557">
        <f t="shared" si="740"/>
        <v>0</v>
      </c>
    </row>
    <row r="1610" spans="1:21" s="552" customFormat="1">
      <c r="A1610" s="621"/>
      <c r="B1610" s="622" t="s">
        <v>76</v>
      </c>
      <c r="C1610" s="633" t="str">
        <f t="shared" si="741"/>
        <v xml:space="preserve"> </v>
      </c>
      <c r="D1610" s="553"/>
      <c r="E1610" s="694" t="str">
        <f>VLOOKUP($B1610,dongia1,DG!$C$5,)</f>
        <v>Đầu cosse ép Cu-Al 50mm2</v>
      </c>
      <c r="F1610" s="555" t="str">
        <f>VLOOKUP($B1610,dongia1,DG!$D$5,)</f>
        <v>cái</v>
      </c>
      <c r="G1610" s="560">
        <f>(G2250+G2236+G2253+G2257)*2+(G2258+G2259+G2260)*6</f>
        <v>0</v>
      </c>
      <c r="H1610" s="556">
        <f t="shared" si="695"/>
        <v>0</v>
      </c>
      <c r="I1610" s="556"/>
      <c r="J1610" s="556">
        <f t="shared" ref="J1610:J1615" si="742">G1610</f>
        <v>0</v>
      </c>
      <c r="K1610" s="556"/>
      <c r="L1610" s="556"/>
      <c r="M1610" s="556"/>
      <c r="N1610" s="556"/>
      <c r="O1610" s="556"/>
      <c r="P1610" s="182">
        <f>VLOOKUP($B1610,dongia1,DG!$F$5,)</f>
        <v>26000</v>
      </c>
      <c r="Q1610" s="182">
        <f>VLOOKUP($B1610,dongia1,DG!$G$5,)</f>
        <v>10608.955000000002</v>
      </c>
      <c r="R1610" s="182">
        <f>VLOOKUP($B1610,dongia1,DG!$H$5,)</f>
        <v>2777.0232475000003</v>
      </c>
      <c r="S1610" s="113">
        <f t="shared" ref="S1610:S1615" si="743">$G1610*P1610</f>
        <v>0</v>
      </c>
      <c r="T1610" s="113">
        <f t="shared" ref="T1610:T1615" si="744">$G1610*Q1610</f>
        <v>0</v>
      </c>
      <c r="U1610" s="557">
        <f t="shared" ref="U1610:U1615" si="745">$G1610*R1610</f>
        <v>0</v>
      </c>
    </row>
    <row r="1611" spans="1:21" s="552" customFormat="1" ht="15" customHeight="1">
      <c r="A1611" s="621"/>
      <c r="B1611" s="622" t="s">
        <v>1766</v>
      </c>
      <c r="C1611" s="633" t="str">
        <f t="shared" si="741"/>
        <v xml:space="preserve"> </v>
      </c>
      <c r="D1611" s="553"/>
      <c r="E1611" s="694" t="str">
        <f>VLOOKUP($B1611,dongia1,DG!$C$5,)</f>
        <v>Đầu cosse ép Cu-Al 70mm2</v>
      </c>
      <c r="F1611" s="555" t="str">
        <f>VLOOKUP($B1611,dongia1,DG!$D$5,)</f>
        <v>cái</v>
      </c>
      <c r="G1611" s="560"/>
      <c r="H1611" s="556">
        <f t="shared" si="695"/>
        <v>0</v>
      </c>
      <c r="I1611" s="556"/>
      <c r="J1611" s="556">
        <f t="shared" si="742"/>
        <v>0</v>
      </c>
      <c r="K1611" s="556"/>
      <c r="L1611" s="556"/>
      <c r="M1611" s="556"/>
      <c r="N1611" s="556"/>
      <c r="O1611" s="556"/>
      <c r="P1611" s="182">
        <f>VLOOKUP($B1611,dongia1,DG!$F$5,)</f>
        <v>18000</v>
      </c>
      <c r="Q1611" s="182">
        <f>VLOOKUP($B1611,dongia1,DG!$G$5,)</f>
        <v>16671.215</v>
      </c>
      <c r="R1611" s="182">
        <f>VLOOKUP($B1611,dongia1,DG!$H$5,)</f>
        <v>3332.427897</v>
      </c>
      <c r="S1611" s="113">
        <f t="shared" si="743"/>
        <v>0</v>
      </c>
      <c r="T1611" s="113">
        <f t="shared" si="744"/>
        <v>0</v>
      </c>
      <c r="U1611" s="557">
        <f t="shared" si="745"/>
        <v>0</v>
      </c>
    </row>
    <row r="1612" spans="1:21" s="552" customFormat="1" ht="15" customHeight="1">
      <c r="A1612" s="621"/>
      <c r="B1612" s="622" t="s">
        <v>1767</v>
      </c>
      <c r="C1612" s="633" t="str">
        <f t="shared" si="741"/>
        <v xml:space="preserve"> </v>
      </c>
      <c r="D1612" s="553"/>
      <c r="E1612" s="694" t="str">
        <f>VLOOKUP($B1612,dongia1,DG!$C$5,)</f>
        <v>Đầu cosse ép Cu-Al 95mm2</v>
      </c>
      <c r="F1612" s="555" t="str">
        <f>VLOOKUP($B1612,dongia1,DG!$D$5,)</f>
        <v>cái</v>
      </c>
      <c r="G1612" s="560">
        <f>pptt_NC!DU41</f>
        <v>0</v>
      </c>
      <c r="H1612" s="556">
        <f t="shared" si="695"/>
        <v>0</v>
      </c>
      <c r="I1612" s="556"/>
      <c r="J1612" s="556">
        <f t="shared" si="742"/>
        <v>0</v>
      </c>
      <c r="K1612" s="556"/>
      <c r="L1612" s="556"/>
      <c r="M1612" s="556"/>
      <c r="N1612" s="556"/>
      <c r="O1612" s="556"/>
      <c r="P1612" s="182">
        <f>VLOOKUP($B1612,dongia1,DG!$F$5,)</f>
        <v>25000</v>
      </c>
      <c r="Q1612" s="182">
        <f>VLOOKUP($B1612,dongia1,DG!$G$5,)</f>
        <v>21217.910000000003</v>
      </c>
      <c r="R1612" s="182">
        <f>VLOOKUP($B1612,dongia1,DG!$H$5,)</f>
        <v>3332.427897</v>
      </c>
      <c r="S1612" s="113">
        <f t="shared" si="743"/>
        <v>0</v>
      </c>
      <c r="T1612" s="113">
        <f t="shared" si="744"/>
        <v>0</v>
      </c>
      <c r="U1612" s="557">
        <f t="shared" si="745"/>
        <v>0</v>
      </c>
    </row>
    <row r="1613" spans="1:21" s="552" customFormat="1" ht="15" customHeight="1">
      <c r="A1613" s="621"/>
      <c r="B1613" s="622" t="s">
        <v>1768</v>
      </c>
      <c r="C1613" s="633" t="str">
        <f t="shared" si="741"/>
        <v xml:space="preserve"> </v>
      </c>
      <c r="D1613" s="553"/>
      <c r="E1613" s="694" t="str">
        <f>VLOOKUP($B1613,dongia1,DG!$C$5,)</f>
        <v>Đầu cosse ép Cu-Al 120mm2</v>
      </c>
      <c r="F1613" s="555" t="str">
        <f>VLOOKUP($B1613,dongia1,DG!$D$5,)</f>
        <v>cái</v>
      </c>
      <c r="G1613" s="560">
        <f>pptt_NC!DV41</f>
        <v>0</v>
      </c>
      <c r="H1613" s="556">
        <f t="shared" si="695"/>
        <v>0</v>
      </c>
      <c r="I1613" s="556"/>
      <c r="J1613" s="556">
        <f t="shared" si="742"/>
        <v>0</v>
      </c>
      <c r="K1613" s="556"/>
      <c r="L1613" s="556"/>
      <c r="M1613" s="556"/>
      <c r="N1613" s="556"/>
      <c r="O1613" s="556"/>
      <c r="P1613" s="182">
        <f>VLOOKUP($B1613,dongia1,DG!$F$5,)</f>
        <v>34000</v>
      </c>
      <c r="Q1613" s="182">
        <f>VLOOKUP($B1613,dongia1,DG!$G$5,)</f>
        <v>27280.17</v>
      </c>
      <c r="R1613" s="182">
        <f>VLOOKUP($B1613,dongia1,DG!$H$5,)</f>
        <v>3887.8325465000003</v>
      </c>
      <c r="S1613" s="113">
        <f t="shared" si="743"/>
        <v>0</v>
      </c>
      <c r="T1613" s="113">
        <f t="shared" si="744"/>
        <v>0</v>
      </c>
      <c r="U1613" s="557">
        <f t="shared" si="745"/>
        <v>0</v>
      </c>
    </row>
    <row r="1614" spans="1:21" s="552" customFormat="1" ht="15" customHeight="1">
      <c r="A1614" s="621"/>
      <c r="B1614" s="622" t="s">
        <v>318</v>
      </c>
      <c r="C1614" s="633" t="str">
        <f t="shared" si="741"/>
        <v xml:space="preserve"> </v>
      </c>
      <c r="D1614" s="553"/>
      <c r="E1614" s="694" t="str">
        <f>VLOOKUP($B1614,dongia1,DG!$C$5,)</f>
        <v>Đầu cosse ép Cu-Al 150mm2</v>
      </c>
      <c r="F1614" s="555" t="str">
        <f>VLOOKUP($B1614,dongia1,DG!$D$5,)</f>
        <v>cái</v>
      </c>
      <c r="G1614" s="560">
        <f>pptt_NC!DW41</f>
        <v>0</v>
      </c>
      <c r="H1614" s="556">
        <f t="shared" si="695"/>
        <v>0</v>
      </c>
      <c r="I1614" s="556"/>
      <c r="J1614" s="556">
        <f t="shared" si="742"/>
        <v>0</v>
      </c>
      <c r="K1614" s="556"/>
      <c r="L1614" s="556"/>
      <c r="M1614" s="556"/>
      <c r="N1614" s="556"/>
      <c r="O1614" s="556"/>
      <c r="P1614" s="182">
        <f>VLOOKUP($B1614,dongia1,DG!$F$5,)</f>
        <v>39000</v>
      </c>
      <c r="Q1614" s="182">
        <f>VLOOKUP($B1614,dongia1,DG!$G$5,)</f>
        <v>33342.43</v>
      </c>
      <c r="R1614" s="182">
        <f>VLOOKUP($B1614,dongia1,DG!$H$5,)</f>
        <v>4443.237196</v>
      </c>
      <c r="S1614" s="113">
        <f t="shared" si="743"/>
        <v>0</v>
      </c>
      <c r="T1614" s="113">
        <f t="shared" si="744"/>
        <v>0</v>
      </c>
      <c r="U1614" s="557">
        <f t="shared" si="745"/>
        <v>0</v>
      </c>
    </row>
    <row r="1615" spans="1:21" s="552" customFormat="1" ht="15" customHeight="1">
      <c r="A1615" s="621"/>
      <c r="B1615" s="622" t="s">
        <v>319</v>
      </c>
      <c r="C1615" s="633" t="str">
        <f t="shared" si="741"/>
        <v xml:space="preserve"> </v>
      </c>
      <c r="D1615" s="553"/>
      <c r="E1615" s="694" t="str">
        <f>VLOOKUP($B1615,dongia1,DG!$C$5,)</f>
        <v>Đầu cosse ép Cu-Al 185mm2</v>
      </c>
      <c r="F1615" s="555" t="str">
        <f>VLOOKUP($B1615,dongia1,DG!$D$5,)</f>
        <v>cái</v>
      </c>
      <c r="G1615" s="560">
        <f>pptt_NC!DX41</f>
        <v>0</v>
      </c>
      <c r="H1615" s="556">
        <f t="shared" si="695"/>
        <v>0</v>
      </c>
      <c r="I1615" s="556"/>
      <c r="J1615" s="556">
        <f t="shared" si="742"/>
        <v>0</v>
      </c>
      <c r="K1615" s="556"/>
      <c r="L1615" s="556"/>
      <c r="M1615" s="556"/>
      <c r="N1615" s="556"/>
      <c r="O1615" s="556"/>
      <c r="P1615" s="182">
        <f>VLOOKUP($B1615,dongia1,DG!$F$5,)</f>
        <v>46000</v>
      </c>
      <c r="Q1615" s="182">
        <f>VLOOKUP($B1615,dongia1,DG!$G$5,)</f>
        <v>40010.916000000005</v>
      </c>
      <c r="R1615" s="182">
        <f>VLOOKUP($B1615,dongia1,DG!$H$5,)</f>
        <v>4998.6418455000003</v>
      </c>
      <c r="S1615" s="113">
        <f t="shared" si="743"/>
        <v>0</v>
      </c>
      <c r="T1615" s="113">
        <f t="shared" si="744"/>
        <v>0</v>
      </c>
      <c r="U1615" s="557">
        <f t="shared" si="745"/>
        <v>0</v>
      </c>
    </row>
    <row r="1616" spans="1:21" s="552" customFormat="1" ht="15" customHeight="1">
      <c r="A1616" s="621"/>
      <c r="B1616" s="622" t="s">
        <v>1364</v>
      </c>
      <c r="C1616" s="633" t="str">
        <f t="shared" si="741"/>
        <v xml:space="preserve"> </v>
      </c>
      <c r="D1616" s="553"/>
      <c r="E1616" s="694" t="str">
        <f>VLOOKUP($B1616,dongia1,DG!$C$5,)</f>
        <v>Đầu cosse ép Cu-Al 240mm2</v>
      </c>
      <c r="F1616" s="555" t="str">
        <f>VLOOKUP($B1616,dongia1,DG!$D$5,)</f>
        <v>cái</v>
      </c>
      <c r="G1616" s="560">
        <f>pptt_NC!DY41</f>
        <v>0</v>
      </c>
      <c r="H1616" s="556">
        <f t="shared" si="695"/>
        <v>0</v>
      </c>
      <c r="I1616" s="556"/>
      <c r="J1616" s="556">
        <f t="shared" si="723"/>
        <v>0</v>
      </c>
      <c r="K1616" s="556"/>
      <c r="L1616" s="556"/>
      <c r="M1616" s="556"/>
      <c r="N1616" s="556"/>
      <c r="O1616" s="556"/>
      <c r="P1616" s="182">
        <f>VLOOKUP($B1616,dongia1,DG!$F$5,)</f>
        <v>59000</v>
      </c>
      <c r="Q1616" s="182">
        <f>VLOOKUP($B1616,dongia1,DG!$G$5,)</f>
        <v>50013.645000000004</v>
      </c>
      <c r="R1616" s="182">
        <f>VLOOKUP($B1616,dongia1,DG!$H$5,)</f>
        <v>5554.0464950000005</v>
      </c>
      <c r="S1616" s="113">
        <f t="shared" ref="S1616:U1617" si="746">$G1616*P1616</f>
        <v>0</v>
      </c>
      <c r="T1616" s="113">
        <f t="shared" si="746"/>
        <v>0</v>
      </c>
      <c r="U1616" s="718">
        <f t="shared" si="746"/>
        <v>0</v>
      </c>
    </row>
    <row r="1617" spans="1:21" s="552" customFormat="1" ht="15" customHeight="1">
      <c r="A1617" s="621"/>
      <c r="B1617" s="622" t="s">
        <v>619</v>
      </c>
      <c r="C1617" s="633" t="str">
        <f t="shared" si="741"/>
        <v xml:space="preserve"> </v>
      </c>
      <c r="D1617" s="553"/>
      <c r="E1617" s="694" t="str">
        <f>VLOOKUP($B1617,dongia1,DG!$C$5,)</f>
        <v>Boulon 12x30+ 2 long đền vuông D14-50x50x3/Zn</v>
      </c>
      <c r="F1617" s="555" t="str">
        <f>VLOOKUP($B1617,dongia1,DG!$D$5,)</f>
        <v>bộ</v>
      </c>
      <c r="G1617" s="560"/>
      <c r="H1617" s="556">
        <f t="shared" si="695"/>
        <v>0</v>
      </c>
      <c r="I1617" s="556"/>
      <c r="J1617" s="556">
        <f t="shared" si="723"/>
        <v>0</v>
      </c>
      <c r="K1617" s="556"/>
      <c r="L1617" s="556"/>
      <c r="M1617" s="556"/>
      <c r="N1617" s="556"/>
      <c r="O1617" s="556"/>
      <c r="P1617" s="182">
        <f>VLOOKUP($B1617,dongia1,DG!$F$5,)</f>
        <v>8200</v>
      </c>
      <c r="Q1617" s="182">
        <f>VLOOKUP($B1617,dongia1,DG!$G$5,)</f>
        <v>0</v>
      </c>
      <c r="R1617" s="554"/>
      <c r="S1617" s="113">
        <f t="shared" si="746"/>
        <v>0</v>
      </c>
      <c r="T1617" s="113">
        <f t="shared" si="746"/>
        <v>0</v>
      </c>
      <c r="U1617" s="715">
        <f t="shared" si="746"/>
        <v>0</v>
      </c>
    </row>
    <row r="1618" spans="1:21">
      <c r="B1618" s="696" t="s">
        <v>2028</v>
      </c>
      <c r="C1618" s="697" t="str">
        <f t="shared" si="741"/>
        <v xml:space="preserve"> </v>
      </c>
      <c r="D1618" s="698"/>
      <c r="E1618" s="699" t="str">
        <f>VLOOKUP($B1618,dongia1,DG!$C$5,)</f>
        <v>Kẹp quai 2/0</v>
      </c>
      <c r="F1618" s="700" t="str">
        <f>VLOOKUP($B1618,dongia1,DG!$D$5,)</f>
        <v>cái</v>
      </c>
      <c r="G1618" s="754">
        <f>pptt_NC!DM41</f>
        <v>0</v>
      </c>
      <c r="H1618" s="701">
        <f t="shared" si="695"/>
        <v>0</v>
      </c>
      <c r="I1618" s="701"/>
      <c r="J1618" s="701">
        <f t="shared" si="723"/>
        <v>0</v>
      </c>
      <c r="K1618" s="701"/>
      <c r="L1618" s="701"/>
      <c r="M1618" s="701"/>
      <c r="N1618" s="701"/>
      <c r="O1618" s="701"/>
      <c r="P1618" s="702">
        <f>VLOOKUP($B1618,dongia1,DG!$F$5,)</f>
        <v>46000</v>
      </c>
      <c r="Q1618" s="702">
        <f>VLOOKUP($B1618,dongia1,DG!$G$5,)</f>
        <v>0</v>
      </c>
      <c r="R1618" s="703"/>
      <c r="S1618" s="702">
        <f t="shared" ref="S1618:S1635" si="747">$G1618*P1618</f>
        <v>0</v>
      </c>
      <c r="T1618" s="702">
        <f t="shared" ref="T1618:T1636" si="748">$G1618*Q1618</f>
        <v>0</v>
      </c>
      <c r="U1618" s="930">
        <f>$G1618*R1618</f>
        <v>0</v>
      </c>
    </row>
    <row r="1619" spans="1:21" s="552" customFormat="1" ht="15" customHeight="1">
      <c r="A1619" s="621"/>
      <c r="B1619" s="622" t="s">
        <v>898</v>
      </c>
      <c r="C1619" s="633" t="str">
        <f t="shared" si="741"/>
        <v xml:space="preserve"> </v>
      </c>
      <c r="D1619" s="553"/>
      <c r="E1619" s="694" t="str">
        <f>VLOOKUP($B1619,dongia1,DG!$C$5,)</f>
        <v>Kẹp quai 4/0</v>
      </c>
      <c r="F1619" s="555" t="str">
        <f>VLOOKUP($B1619,dongia1,DG!$D$5,)</f>
        <v>cái</v>
      </c>
      <c r="G1619" s="560">
        <f>pptt_NC!DO41</f>
        <v>0</v>
      </c>
      <c r="H1619" s="556">
        <f t="shared" si="695"/>
        <v>0</v>
      </c>
      <c r="I1619" s="556"/>
      <c r="J1619" s="556">
        <f t="shared" si="723"/>
        <v>0</v>
      </c>
      <c r="K1619" s="556"/>
      <c r="L1619" s="556"/>
      <c r="M1619" s="556"/>
      <c r="N1619" s="556"/>
      <c r="O1619" s="556"/>
      <c r="P1619" s="182">
        <f>VLOOKUP($B1619,dongia1,DG!$F$5,)</f>
        <v>78000</v>
      </c>
      <c r="Q1619" s="182">
        <f>VLOOKUP($B1619,dongia1,DG!$G$5,)</f>
        <v>0</v>
      </c>
      <c r="R1619" s="554"/>
      <c r="S1619" s="113">
        <f t="shared" si="747"/>
        <v>0</v>
      </c>
      <c r="T1619" s="113">
        <f t="shared" si="748"/>
        <v>0</v>
      </c>
      <c r="U1619" s="715">
        <f t="shared" ref="U1619:U1636" si="749">$G1619*R1619</f>
        <v>0</v>
      </c>
    </row>
    <row r="1620" spans="1:21">
      <c r="B1620" s="696" t="s">
        <v>2026</v>
      </c>
      <c r="C1620" s="697" t="str">
        <f t="shared" si="741"/>
        <v xml:space="preserve"> </v>
      </c>
      <c r="D1620" s="698"/>
      <c r="E1620" s="699" t="str">
        <f>VLOOKUP($B1620,dongia1,DG!$C$5,)</f>
        <v>Kẹp hotline 2/0</v>
      </c>
      <c r="F1620" s="700" t="str">
        <f>VLOOKUP($B1620,dongia1,DG!$D$5,)</f>
        <v>cái</v>
      </c>
      <c r="G1620" s="762">
        <f>G1618</f>
        <v>0</v>
      </c>
      <c r="H1620" s="701">
        <f t="shared" si="695"/>
        <v>0</v>
      </c>
      <c r="I1620" s="701"/>
      <c r="J1620" s="701">
        <f t="shared" si="723"/>
        <v>0</v>
      </c>
      <c r="K1620" s="701"/>
      <c r="L1620" s="701"/>
      <c r="M1620" s="701"/>
      <c r="N1620" s="701"/>
      <c r="O1620" s="701"/>
      <c r="P1620" s="702">
        <f>VLOOKUP($B1620,dongia1,DG!$F$5,)</f>
        <v>77000</v>
      </c>
      <c r="Q1620" s="702">
        <f>VLOOKUP($B1620,dongia1,DG!$G$5,)</f>
        <v>0</v>
      </c>
      <c r="R1620" s="703"/>
      <c r="S1620" s="702">
        <f t="shared" si="747"/>
        <v>0</v>
      </c>
      <c r="T1620" s="702">
        <f t="shared" si="748"/>
        <v>0</v>
      </c>
      <c r="U1620" s="930">
        <f>$G1620*R1620</f>
        <v>0</v>
      </c>
    </row>
    <row r="1621" spans="1:21" s="552" customFormat="1" ht="15" customHeight="1">
      <c r="A1621" s="621"/>
      <c r="B1621" s="622" t="s">
        <v>968</v>
      </c>
      <c r="C1621" s="633" t="str">
        <f t="shared" si="741"/>
        <v xml:space="preserve"> </v>
      </c>
      <c r="D1621" s="553"/>
      <c r="E1621" s="694" t="str">
        <f>VLOOKUP($B1621,dongia1,DG!$C$5,)</f>
        <v>Kẹp hotline 4/0</v>
      </c>
      <c r="F1621" s="555" t="str">
        <f>VLOOKUP($B1621,dongia1,DG!$D$5,)</f>
        <v>cái</v>
      </c>
      <c r="G1621" s="205">
        <f>G1619</f>
        <v>0</v>
      </c>
      <c r="H1621" s="556">
        <f t="shared" si="695"/>
        <v>0</v>
      </c>
      <c r="I1621" s="556"/>
      <c r="J1621" s="556">
        <f t="shared" si="723"/>
        <v>0</v>
      </c>
      <c r="K1621" s="556"/>
      <c r="L1621" s="556"/>
      <c r="M1621" s="556"/>
      <c r="N1621" s="556"/>
      <c r="O1621" s="556"/>
      <c r="P1621" s="182">
        <f>VLOOKUP($B1621,dongia1,DG!$F$5,)</f>
        <v>112000</v>
      </c>
      <c r="Q1621" s="182">
        <f>VLOOKUP($B1621,dongia1,DG!$G$5,)</f>
        <v>0</v>
      </c>
      <c r="R1621" s="554"/>
      <c r="S1621" s="113">
        <f t="shared" si="747"/>
        <v>0</v>
      </c>
      <c r="T1621" s="113">
        <f t="shared" si="748"/>
        <v>0</v>
      </c>
      <c r="U1621" s="715">
        <f t="shared" si="749"/>
        <v>0</v>
      </c>
    </row>
    <row r="1622" spans="1:21">
      <c r="B1622" s="696" t="s">
        <v>4501</v>
      </c>
      <c r="C1622" s="697" t="str">
        <f t="shared" si="741"/>
        <v xml:space="preserve"> </v>
      </c>
      <c r="D1622" s="698"/>
      <c r="E1622" s="699" t="str">
        <f>VLOOKUP($B1622,dongia1,DG!$C$5,)</f>
        <v>Chụp cách điện kẹp quai</v>
      </c>
      <c r="F1622" s="700" t="str">
        <f>VLOOKUP($B1622,dongia1,DG!$D$5,)</f>
        <v>Cái</v>
      </c>
      <c r="G1622" s="762">
        <f>G1618</f>
        <v>0</v>
      </c>
      <c r="H1622" s="701">
        <f t="shared" si="695"/>
        <v>0</v>
      </c>
      <c r="I1622" s="701"/>
      <c r="J1622" s="701">
        <f>G1622</f>
        <v>0</v>
      </c>
      <c r="K1622" s="701"/>
      <c r="L1622" s="701"/>
      <c r="M1622" s="701"/>
      <c r="N1622" s="701"/>
      <c r="O1622" s="701"/>
      <c r="P1622" s="702">
        <f>VLOOKUP($B1622,dongia1,DG!$F$5,)</f>
        <v>136800</v>
      </c>
      <c r="Q1622" s="702">
        <f>VLOOKUP($B1622,dongia1,DG!$G$5,)</f>
        <v>0</v>
      </c>
      <c r="R1622" s="703"/>
      <c r="S1622" s="702">
        <f>$G1622*P1622</f>
        <v>0</v>
      </c>
      <c r="T1622" s="702">
        <f t="shared" si="748"/>
        <v>0</v>
      </c>
      <c r="U1622" s="930">
        <f>$G1622*R1622</f>
        <v>0</v>
      </c>
    </row>
    <row r="1623" spans="1:21" s="552" customFormat="1">
      <c r="A1623" s="621"/>
      <c r="B1623" s="622" t="s">
        <v>4613</v>
      </c>
      <c r="C1623" s="633" t="str">
        <f t="shared" si="741"/>
        <v xml:space="preserve"> </v>
      </c>
      <c r="D1623" s="698"/>
      <c r="E1623" s="694" t="str">
        <f>VLOOKUP($B1623,dongia1,DG!$C$5,)</f>
        <v>Băng keo cách điện trung thế</v>
      </c>
      <c r="F1623" s="555" t="str">
        <f>VLOOKUP($B1623,dongia1,DG!$D$5,)</f>
        <v>cuộn</v>
      </c>
      <c r="G1623" s="205">
        <f>(pptt_NC!O44+pptt_NC!O46+pptt_NC!O48)*3</f>
        <v>0</v>
      </c>
      <c r="H1623" s="556">
        <f t="shared" si="695"/>
        <v>0</v>
      </c>
      <c r="I1623" s="556"/>
      <c r="J1623" s="556">
        <f>G1623</f>
        <v>0</v>
      </c>
      <c r="K1623" s="556"/>
      <c r="L1623" s="556"/>
      <c r="M1623" s="556"/>
      <c r="N1623" s="556"/>
      <c r="O1623" s="556"/>
      <c r="P1623" s="182">
        <f>VLOOKUP($B1623,dongia1,DG!$F$5,)</f>
        <v>165000</v>
      </c>
      <c r="Q1623" s="702">
        <f>VLOOKUP($B1623,dongia1,DG!$G$5,)</f>
        <v>0</v>
      </c>
      <c r="R1623" s="554"/>
      <c r="S1623" s="113">
        <f>$G1623*P1623</f>
        <v>0</v>
      </c>
      <c r="T1623" s="113">
        <f t="shared" si="748"/>
        <v>0</v>
      </c>
      <c r="U1623" s="930">
        <f>$G1623*R1623</f>
        <v>0</v>
      </c>
    </row>
    <row r="1624" spans="1:21">
      <c r="B1624" s="696" t="s">
        <v>4612</v>
      </c>
      <c r="C1624" s="697" t="str">
        <f t="shared" si="741"/>
        <v xml:space="preserve"> </v>
      </c>
      <c r="D1624" s="698"/>
      <c r="E1624" s="699" t="str">
        <f>VLOOKUP($B1624,dongia1,DG!$C$5,)</f>
        <v>Ông Co nhiệt Ø 60(65)</v>
      </c>
      <c r="F1624" s="700" t="str">
        <f>VLOOKUP($B1624,dongia1,DG!$D$5,)</f>
        <v>m</v>
      </c>
      <c r="G1624" s="762">
        <f>pptt_NC!DS41</f>
        <v>0</v>
      </c>
      <c r="H1624" s="701">
        <f t="shared" si="695"/>
        <v>0</v>
      </c>
      <c r="I1624" s="701"/>
      <c r="J1624" s="701">
        <f>G1624</f>
        <v>0</v>
      </c>
      <c r="K1624" s="701"/>
      <c r="L1624" s="701"/>
      <c r="M1624" s="701"/>
      <c r="N1624" s="701"/>
      <c r="O1624" s="701"/>
      <c r="P1624" s="702">
        <f>VLOOKUP($B1624,dongia1,DG!$F$5,)</f>
        <v>135000</v>
      </c>
      <c r="Q1624" s="702">
        <f>VLOOKUP($B1624,dongia1,DG!$G$5,)</f>
        <v>0</v>
      </c>
      <c r="R1624" s="703"/>
      <c r="S1624" s="702">
        <f>$G1624*P1624</f>
        <v>0</v>
      </c>
      <c r="T1624" s="702">
        <f t="shared" si="748"/>
        <v>0</v>
      </c>
      <c r="U1624" s="717">
        <f>$G1624*R1624</f>
        <v>0</v>
      </c>
    </row>
    <row r="1625" spans="1:21" s="552" customFormat="1" ht="15" customHeight="1">
      <c r="A1625" s="621"/>
      <c r="B1625" s="622" t="s">
        <v>297</v>
      </c>
      <c r="C1625" s="633" t="str">
        <f>IF(G1625&lt;&gt;0,C$1457," ")</f>
        <v xml:space="preserve"> </v>
      </c>
      <c r="D1625" s="553"/>
      <c r="E1625" s="694" t="str">
        <f>VLOOKUP($B1625,dongia1,DG!$C$5,)</f>
        <v>Kẹp 2 rãnh (APC) cỡ dây 185mm2</v>
      </c>
      <c r="F1625" s="555" t="str">
        <f>VLOOKUP($B1625,dongia1,DG!$D$5,)</f>
        <v>cái</v>
      </c>
      <c r="G1625" s="205"/>
      <c r="H1625" s="556">
        <f t="shared" si="695"/>
        <v>0</v>
      </c>
      <c r="I1625" s="556"/>
      <c r="J1625" s="556">
        <f t="shared" si="723"/>
        <v>0</v>
      </c>
      <c r="K1625" s="556"/>
      <c r="L1625" s="556"/>
      <c r="M1625" s="556"/>
      <c r="N1625" s="556"/>
      <c r="O1625" s="556"/>
      <c r="P1625" s="182">
        <f>VLOOKUP($B1625,dongia1,DG!$F$5,)</f>
        <v>19100</v>
      </c>
      <c r="Q1625" s="182"/>
      <c r="R1625" s="182">
        <f>VLOOKUP($B1625,dongia1,DG!$H$5,)</f>
        <v>0</v>
      </c>
      <c r="S1625" s="113">
        <f>$G1625*P1625</f>
        <v>0</v>
      </c>
      <c r="T1625" s="113">
        <f t="shared" si="748"/>
        <v>0</v>
      </c>
      <c r="U1625" s="557">
        <f t="shared" si="749"/>
        <v>0</v>
      </c>
    </row>
    <row r="1626" spans="1:21" s="552" customFormat="1">
      <c r="A1626" s="621"/>
      <c r="B1626" s="622" t="s">
        <v>5766</v>
      </c>
      <c r="C1626" s="633" t="str">
        <f t="shared" ref="C1626:C1644" si="750">IF(G1626&lt;&gt;0,$C$1457," ")</f>
        <v xml:space="preserve"> </v>
      </c>
      <c r="D1626" s="698"/>
      <c r="E1626" s="694" t="str">
        <f>VLOOKUP($B1626,dongia1,DG!$C$5,)</f>
        <v>Cáp 24KV C/XLPE- 50mm2</v>
      </c>
      <c r="F1626" s="555" t="str">
        <f>VLOOKUP($B1626,dongia1,DG!$D$5,)</f>
        <v>mét</v>
      </c>
      <c r="G1626" s="205">
        <f>G1618*3</f>
        <v>0</v>
      </c>
      <c r="H1626" s="556">
        <f t="shared" si="695"/>
        <v>0</v>
      </c>
      <c r="I1626" s="556"/>
      <c r="J1626" s="556">
        <f t="shared" si="723"/>
        <v>0</v>
      </c>
      <c r="K1626" s="556"/>
      <c r="L1626" s="556"/>
      <c r="M1626" s="556"/>
      <c r="N1626" s="556"/>
      <c r="O1626" s="556"/>
      <c r="P1626" s="182">
        <f>VLOOKUP($B1626,dongia1,DG!$F$5,)</f>
        <v>149500</v>
      </c>
      <c r="Q1626" s="702">
        <f>VLOOKUP($B1626,dongia1,DG!$G$5,)</f>
        <v>0</v>
      </c>
      <c r="R1626" s="554"/>
      <c r="S1626" s="113">
        <f t="shared" si="747"/>
        <v>0</v>
      </c>
      <c r="T1626" s="113">
        <f t="shared" si="748"/>
        <v>0</v>
      </c>
      <c r="U1626" s="930">
        <f t="shared" si="749"/>
        <v>0</v>
      </c>
    </row>
    <row r="1627" spans="1:21" s="552" customFormat="1" ht="15" customHeight="1">
      <c r="A1627" s="621"/>
      <c r="B1627" s="622" t="s">
        <v>648</v>
      </c>
      <c r="C1627" s="633" t="str">
        <f t="shared" si="750"/>
        <v xml:space="preserve"> </v>
      </c>
      <c r="D1627" s="625"/>
      <c r="E1627" s="694" t="str">
        <f>VLOOKUP($B1627,dongia1,DG!$C$5,)</f>
        <v>Cáp 24KV C/XLPE/PVC- 25mm2</v>
      </c>
      <c r="F1627" s="555" t="str">
        <f>VLOOKUP($B1627,dongia1,DG!$D$5,)</f>
        <v>mét</v>
      </c>
      <c r="G1627" s="205"/>
      <c r="H1627" s="556">
        <f t="shared" si="695"/>
        <v>0</v>
      </c>
      <c r="I1627" s="556"/>
      <c r="J1627" s="556">
        <f t="shared" si="723"/>
        <v>0</v>
      </c>
      <c r="K1627" s="556"/>
      <c r="L1627" s="556"/>
      <c r="M1627" s="556"/>
      <c r="N1627" s="556"/>
      <c r="O1627" s="556"/>
      <c r="P1627" s="182">
        <f>VLOOKUP($B1627,dongia1,DG!$F$5,)</f>
        <v>50996</v>
      </c>
      <c r="Q1627" s="182"/>
      <c r="R1627" s="554"/>
      <c r="S1627" s="113">
        <f>$G1627*P1627</f>
        <v>0</v>
      </c>
      <c r="T1627" s="113">
        <f t="shared" si="748"/>
        <v>0</v>
      </c>
      <c r="U1627" s="557">
        <f t="shared" si="749"/>
        <v>0</v>
      </c>
    </row>
    <row r="1628" spans="1:21" s="552" customFormat="1" ht="15" customHeight="1">
      <c r="A1628" s="621"/>
      <c r="B1628" s="622" t="s">
        <v>2036</v>
      </c>
      <c r="C1628" s="633" t="str">
        <f t="shared" si="750"/>
        <v xml:space="preserve"> </v>
      </c>
      <c r="D1628" s="553"/>
      <c r="E1628" s="694" t="str">
        <f>VLOOKUP($B1628,dongia1,DG!$C$5,)</f>
        <v>Ống nối dây cỡ 50mm2 (có lõi thép)</v>
      </c>
      <c r="F1628" s="555" t="str">
        <f>VLOOKUP($B1628,dongia1,DG!$D$5,)</f>
        <v>cái</v>
      </c>
      <c r="G1628" s="205"/>
      <c r="H1628" s="556">
        <f t="shared" ref="H1628:H1714" si="751">$G1628</f>
        <v>0</v>
      </c>
      <c r="I1628" s="556"/>
      <c r="J1628" s="556">
        <f t="shared" si="723"/>
        <v>0</v>
      </c>
      <c r="K1628" s="556"/>
      <c r="L1628" s="556"/>
      <c r="M1628" s="556"/>
      <c r="N1628" s="556"/>
      <c r="O1628" s="556"/>
      <c r="P1628" s="182">
        <f>VLOOKUP($B1628,dongia1,DG!$F$5,)</f>
        <v>32000</v>
      </c>
      <c r="Q1628" s="182"/>
      <c r="R1628" s="554"/>
      <c r="S1628" s="113">
        <f t="shared" si="747"/>
        <v>0</v>
      </c>
      <c r="T1628" s="113">
        <f t="shared" si="748"/>
        <v>0</v>
      </c>
      <c r="U1628" s="557">
        <f t="shared" si="749"/>
        <v>0</v>
      </c>
    </row>
    <row r="1629" spans="1:21" s="552" customFormat="1" ht="15" customHeight="1">
      <c r="A1629" s="621"/>
      <c r="B1629" s="622" t="s">
        <v>2037</v>
      </c>
      <c r="C1629" s="633" t="str">
        <f t="shared" si="750"/>
        <v xml:space="preserve"> </v>
      </c>
      <c r="D1629" s="553"/>
      <c r="E1629" s="694" t="str">
        <f>VLOOKUP($B1629,dongia1,DG!$C$5,)</f>
        <v>Ống nối dây cỡ 70mm2</v>
      </c>
      <c r="F1629" s="555" t="str">
        <f>VLOOKUP($B1629,dongia1,DG!$D$5,)</f>
        <v>cái</v>
      </c>
      <c r="G1629" s="205"/>
      <c r="H1629" s="556">
        <f t="shared" si="751"/>
        <v>0</v>
      </c>
      <c r="I1629" s="556"/>
      <c r="J1629" s="556">
        <f t="shared" si="723"/>
        <v>0</v>
      </c>
      <c r="K1629" s="556"/>
      <c r="L1629" s="556"/>
      <c r="M1629" s="556"/>
      <c r="N1629" s="556"/>
      <c r="O1629" s="556"/>
      <c r="P1629" s="182">
        <f>VLOOKUP($B1629,dongia1,DG!$F$5,)</f>
        <v>32000</v>
      </c>
      <c r="Q1629" s="182"/>
      <c r="R1629" s="554"/>
      <c r="S1629" s="113">
        <f t="shared" si="747"/>
        <v>0</v>
      </c>
      <c r="T1629" s="113">
        <f t="shared" si="748"/>
        <v>0</v>
      </c>
      <c r="U1629" s="557">
        <f t="shared" si="749"/>
        <v>0</v>
      </c>
    </row>
    <row r="1630" spans="1:21" s="552" customFormat="1" ht="15" customHeight="1">
      <c r="A1630" s="621"/>
      <c r="B1630" s="622" t="s">
        <v>1403</v>
      </c>
      <c r="C1630" s="633" t="str">
        <f t="shared" si="750"/>
        <v xml:space="preserve"> </v>
      </c>
      <c r="D1630" s="553"/>
      <c r="E1630" s="694" t="str">
        <f>VLOOKUP($B1630,dongia1,DG!$C$5,)</f>
        <v>Ống nối dây cỡ 95mm2</v>
      </c>
      <c r="F1630" s="555" t="str">
        <f>VLOOKUP($B1630,dongia1,DG!$D$5,)</f>
        <v>cái</v>
      </c>
      <c r="G1630" s="205"/>
      <c r="H1630" s="556">
        <f t="shared" si="751"/>
        <v>0</v>
      </c>
      <c r="I1630" s="556"/>
      <c r="J1630" s="556">
        <f t="shared" si="723"/>
        <v>0</v>
      </c>
      <c r="K1630" s="556"/>
      <c r="L1630" s="556"/>
      <c r="M1630" s="556"/>
      <c r="N1630" s="556"/>
      <c r="O1630" s="556"/>
      <c r="P1630" s="182">
        <f>VLOOKUP($B1630,dongia1,DG!$F$5,)</f>
        <v>45000</v>
      </c>
      <c r="Q1630" s="182"/>
      <c r="R1630" s="554"/>
      <c r="S1630" s="113">
        <f t="shared" si="747"/>
        <v>0</v>
      </c>
      <c r="T1630" s="113">
        <f t="shared" si="748"/>
        <v>0</v>
      </c>
      <c r="U1630" s="557">
        <f t="shared" si="749"/>
        <v>0</v>
      </c>
    </row>
    <row r="1631" spans="1:21" s="552" customFormat="1" ht="15" customHeight="1">
      <c r="A1631" s="621"/>
      <c r="B1631" s="622" t="s">
        <v>260</v>
      </c>
      <c r="C1631" s="633" t="str">
        <f t="shared" si="750"/>
        <v xml:space="preserve"> </v>
      </c>
      <c r="D1631" s="553"/>
      <c r="E1631" s="694" t="str">
        <f>VLOOKUP($B1631,dongia1,DG!$C$5,)</f>
        <v>Ống nối dây cỡ 120mm2</v>
      </c>
      <c r="F1631" s="555" t="str">
        <f>VLOOKUP($B1631,dongia1,DG!$D$5,)</f>
        <v>cái</v>
      </c>
      <c r="G1631" s="205"/>
      <c r="H1631" s="556">
        <f t="shared" si="751"/>
        <v>0</v>
      </c>
      <c r="I1631" s="556"/>
      <c r="J1631" s="556">
        <f t="shared" si="723"/>
        <v>0</v>
      </c>
      <c r="K1631" s="556"/>
      <c r="L1631" s="556"/>
      <c r="M1631" s="556"/>
      <c r="N1631" s="556"/>
      <c r="O1631" s="556"/>
      <c r="P1631" s="182">
        <f>VLOOKUP($B1631,dongia1,DG!$F$5,)</f>
        <v>63000</v>
      </c>
      <c r="Q1631" s="182"/>
      <c r="R1631" s="554"/>
      <c r="S1631" s="113">
        <f t="shared" si="747"/>
        <v>0</v>
      </c>
      <c r="T1631" s="113">
        <f t="shared" si="748"/>
        <v>0</v>
      </c>
      <c r="U1631" s="557">
        <f t="shared" si="749"/>
        <v>0</v>
      </c>
    </row>
    <row r="1632" spans="1:21" s="552" customFormat="1" ht="15" customHeight="1">
      <c r="A1632" s="621"/>
      <c r="B1632" s="622" t="s">
        <v>712</v>
      </c>
      <c r="C1632" s="633" t="str">
        <f t="shared" si="750"/>
        <v xml:space="preserve"> </v>
      </c>
      <c r="D1632" s="553"/>
      <c r="E1632" s="694" t="str">
        <f>VLOOKUP($B1632,dongia1,DG!$C$5,)</f>
        <v>Ống nối dây cỡ 150mm2</v>
      </c>
      <c r="F1632" s="555" t="str">
        <f>VLOOKUP($B1632,dongia1,DG!$D$5,)</f>
        <v>cái</v>
      </c>
      <c r="G1632" s="205"/>
      <c r="H1632" s="556">
        <f t="shared" si="751"/>
        <v>0</v>
      </c>
      <c r="I1632" s="556"/>
      <c r="J1632" s="556">
        <f t="shared" si="723"/>
        <v>0</v>
      </c>
      <c r="K1632" s="556"/>
      <c r="L1632" s="556"/>
      <c r="M1632" s="556"/>
      <c r="N1632" s="556"/>
      <c r="O1632" s="556"/>
      <c r="P1632" s="182">
        <f>VLOOKUP($B1632,dongia1,DG!$F$5,)</f>
        <v>85000</v>
      </c>
      <c r="Q1632" s="182"/>
      <c r="R1632" s="554"/>
      <c r="S1632" s="113">
        <f t="shared" si="747"/>
        <v>0</v>
      </c>
      <c r="T1632" s="113">
        <f t="shared" si="748"/>
        <v>0</v>
      </c>
      <c r="U1632" s="557">
        <f t="shared" si="749"/>
        <v>0</v>
      </c>
    </row>
    <row r="1633" spans="1:21" s="552" customFormat="1" ht="15" customHeight="1">
      <c r="A1633" s="621"/>
      <c r="B1633" s="622" t="s">
        <v>259</v>
      </c>
      <c r="C1633" s="633" t="str">
        <f t="shared" si="750"/>
        <v xml:space="preserve"> </v>
      </c>
      <c r="D1633" s="553"/>
      <c r="E1633" s="694" t="str">
        <f>VLOOKUP($B1633,dongia1,DG!$C$5,)</f>
        <v>Ống nối dây cỡ 185mm2</v>
      </c>
      <c r="F1633" s="555" t="str">
        <f>VLOOKUP($B1633,dongia1,DG!$D$5,)</f>
        <v>cái</v>
      </c>
      <c r="G1633" s="205"/>
      <c r="H1633" s="556">
        <f t="shared" si="751"/>
        <v>0</v>
      </c>
      <c r="I1633" s="556"/>
      <c r="J1633" s="556">
        <f t="shared" si="723"/>
        <v>0</v>
      </c>
      <c r="K1633" s="556"/>
      <c r="L1633" s="556"/>
      <c r="M1633" s="556"/>
      <c r="N1633" s="556"/>
      <c r="O1633" s="556"/>
      <c r="P1633" s="182">
        <f>VLOOKUP($B1633,dongia1,DG!$F$5,)</f>
        <v>113000</v>
      </c>
      <c r="Q1633" s="182"/>
      <c r="R1633" s="554"/>
      <c r="S1633" s="113">
        <f t="shared" si="747"/>
        <v>0</v>
      </c>
      <c r="T1633" s="113">
        <f t="shared" si="748"/>
        <v>0</v>
      </c>
      <c r="U1633" s="557">
        <f t="shared" si="749"/>
        <v>0</v>
      </c>
    </row>
    <row r="1634" spans="1:21" s="552" customFormat="1" ht="15" customHeight="1">
      <c r="A1634" s="621"/>
      <c r="B1634" s="622" t="s">
        <v>258</v>
      </c>
      <c r="C1634" s="633" t="str">
        <f t="shared" si="750"/>
        <v xml:space="preserve"> </v>
      </c>
      <c r="D1634" s="553"/>
      <c r="E1634" s="694" t="str">
        <f>VLOOKUP($B1634,dongia1,DG!$C$5,)</f>
        <v>Ống nối dây cỡ 240mm2</v>
      </c>
      <c r="F1634" s="555" t="str">
        <f>VLOOKUP($B1634,dongia1,DG!$D$5,)</f>
        <v>cái</v>
      </c>
      <c r="G1634" s="205"/>
      <c r="H1634" s="556">
        <f t="shared" si="751"/>
        <v>0</v>
      </c>
      <c r="I1634" s="556"/>
      <c r="J1634" s="556">
        <f t="shared" si="723"/>
        <v>0</v>
      </c>
      <c r="K1634" s="556"/>
      <c r="L1634" s="556"/>
      <c r="M1634" s="556"/>
      <c r="N1634" s="556"/>
      <c r="O1634" s="556"/>
      <c r="P1634" s="182">
        <f>VLOOKUP($B1634,dongia1,DG!$F$5,)</f>
        <v>140000</v>
      </c>
      <c r="Q1634" s="182"/>
      <c r="R1634" s="554"/>
      <c r="S1634" s="113">
        <f t="shared" si="747"/>
        <v>0</v>
      </c>
      <c r="T1634" s="113">
        <f t="shared" si="748"/>
        <v>0</v>
      </c>
      <c r="U1634" s="557">
        <f t="shared" si="749"/>
        <v>0</v>
      </c>
    </row>
    <row r="1635" spans="1:21" s="552" customFormat="1" ht="15" customHeight="1">
      <c r="A1635" s="621"/>
      <c r="B1635" s="622" t="s">
        <v>1946</v>
      </c>
      <c r="C1635" s="633" t="str">
        <f t="shared" si="750"/>
        <v xml:space="preserve"> </v>
      </c>
      <c r="D1635" s="553"/>
      <c r="E1635" s="694" t="str">
        <f>VLOOKUP($B1635,dongia1,DG!$C$5,)</f>
        <v>Cổ dê trụ đôi bắt sứ treo</v>
      </c>
      <c r="F1635" s="555" t="str">
        <f>VLOOKUP($B1635,dongia1,DG!$D$5,)</f>
        <v>bộ</v>
      </c>
      <c r="G1635" s="205"/>
      <c r="H1635" s="556">
        <f t="shared" si="751"/>
        <v>0</v>
      </c>
      <c r="I1635" s="556"/>
      <c r="J1635" s="556">
        <f t="shared" si="723"/>
        <v>0</v>
      </c>
      <c r="K1635" s="556"/>
      <c r="L1635" s="556"/>
      <c r="M1635" s="556"/>
      <c r="N1635" s="556"/>
      <c r="O1635" s="556"/>
      <c r="P1635" s="182">
        <f>VLOOKUP($B1635,dongia1,DG!$F$5,)</f>
        <v>50000</v>
      </c>
      <c r="Q1635" s="182">
        <f>VLOOKUP($B1635,dongia1,DG!$G$5,)</f>
        <v>0</v>
      </c>
      <c r="R1635" s="182"/>
      <c r="S1635" s="113">
        <f t="shared" si="747"/>
        <v>0</v>
      </c>
      <c r="T1635" s="113">
        <f t="shared" si="748"/>
        <v>0</v>
      </c>
      <c r="U1635" s="557">
        <f t="shared" si="749"/>
        <v>0</v>
      </c>
    </row>
    <row r="1636" spans="1:21" s="552" customFormat="1" ht="15" customHeight="1">
      <c r="A1636" s="621"/>
      <c r="B1636" s="622" t="s">
        <v>364</v>
      </c>
      <c r="C1636" s="633" t="str">
        <f t="shared" si="750"/>
        <v xml:space="preserve"> </v>
      </c>
      <c r="D1636" s="553"/>
      <c r="E1636" s="694" t="str">
        <f>VLOOKUP($B1636,dongia1,DG!$C$5,)</f>
        <v>Boulon 16x300VRS+ 4 long đền vuông D18-50x50x3/Zn</v>
      </c>
      <c r="F1636" s="555" t="str">
        <f>VLOOKUP($B1636,dongia1,DG!$D$5,)</f>
        <v>bộ</v>
      </c>
      <c r="G1636" s="205"/>
      <c r="H1636" s="556">
        <f t="shared" si="751"/>
        <v>0</v>
      </c>
      <c r="I1636" s="556"/>
      <c r="J1636" s="556">
        <f t="shared" si="723"/>
        <v>0</v>
      </c>
      <c r="K1636" s="556"/>
      <c r="L1636" s="556"/>
      <c r="M1636" s="556"/>
      <c r="N1636" s="556"/>
      <c r="O1636" s="556"/>
      <c r="P1636" s="182">
        <f>VLOOKUP($B1636,dongia1,DG!$F$5,)</f>
        <v>31800</v>
      </c>
      <c r="Q1636" s="182"/>
      <c r="R1636" s="182">
        <f>VLOOKUP($B1636,dongia1,DG!$G$5,)</f>
        <v>0</v>
      </c>
      <c r="S1636" s="113">
        <f>$G1636*P1636</f>
        <v>0</v>
      </c>
      <c r="T1636" s="113">
        <f t="shared" si="748"/>
        <v>0</v>
      </c>
      <c r="U1636" s="557">
        <f t="shared" si="749"/>
        <v>0</v>
      </c>
    </row>
    <row r="1637" spans="1:21" s="552" customFormat="1" ht="15" customHeight="1">
      <c r="A1637" s="621"/>
      <c r="B1637" s="622" t="s">
        <v>250</v>
      </c>
      <c r="C1637" s="633" t="str">
        <f t="shared" si="750"/>
        <v xml:space="preserve"> </v>
      </c>
      <c r="D1637" s="553"/>
      <c r="E1637" s="694" t="str">
        <f>VLOOKUP($B1637,dongia1,DG!$C$5,)</f>
        <v>Boulon 16x500VRS+ 4 long đền vuông D18-50x50x3/Zn</v>
      </c>
      <c r="F1637" s="555" t="str">
        <f>VLOOKUP($B1637,dongia1,DG!$D$5,)</f>
        <v>bộ</v>
      </c>
      <c r="G1637" s="560"/>
      <c r="H1637" s="556">
        <f t="shared" si="751"/>
        <v>0</v>
      </c>
      <c r="I1637" s="556"/>
      <c r="J1637" s="556">
        <f t="shared" ref="J1637:J1715" si="752">G1637</f>
        <v>0</v>
      </c>
      <c r="K1637" s="556"/>
      <c r="L1637" s="556"/>
      <c r="M1637" s="556"/>
      <c r="N1637" s="556"/>
      <c r="O1637" s="556"/>
      <c r="P1637" s="182">
        <f>VLOOKUP($B1637,dongia1,DG!$F$5,)</f>
        <v>40800</v>
      </c>
      <c r="Q1637" s="182"/>
      <c r="R1637" s="554"/>
      <c r="S1637" s="113">
        <f t="shared" ref="S1637:U1638" si="753">$G1637*P1637</f>
        <v>0</v>
      </c>
      <c r="T1637" s="113">
        <f t="shared" si="753"/>
        <v>0</v>
      </c>
      <c r="U1637" s="557">
        <f t="shared" si="753"/>
        <v>0</v>
      </c>
    </row>
    <row r="1638" spans="1:21" s="552" customFormat="1" ht="15" customHeight="1">
      <c r="A1638" s="621"/>
      <c r="B1638" s="622" t="s">
        <v>1909</v>
      </c>
      <c r="C1638" s="633" t="str">
        <f t="shared" si="750"/>
        <v xml:space="preserve"> </v>
      </c>
      <c r="D1638" s="553"/>
      <c r="E1638" s="694" t="str">
        <f>VLOOKUP($B1638,dongia1,DG!$C$5,)</f>
        <v>Boulon 16x550VRS+ 4 long đền vuông D18-50x50x3/Zn</v>
      </c>
      <c r="F1638" s="555" t="str">
        <f>VLOOKUP($B1638,dongia1,DG!$D$5,)</f>
        <v>bộ</v>
      </c>
      <c r="G1638" s="560"/>
      <c r="H1638" s="556">
        <f t="shared" si="751"/>
        <v>0</v>
      </c>
      <c r="I1638" s="556"/>
      <c r="J1638" s="556">
        <f t="shared" si="752"/>
        <v>0</v>
      </c>
      <c r="K1638" s="556"/>
      <c r="L1638" s="556"/>
      <c r="M1638" s="556"/>
      <c r="N1638" s="556"/>
      <c r="O1638" s="556"/>
      <c r="P1638" s="182">
        <f>VLOOKUP($B1638,dongia1,DG!$F$5,)</f>
        <v>44800</v>
      </c>
      <c r="Q1638" s="182"/>
      <c r="R1638" s="554"/>
      <c r="S1638" s="113">
        <f t="shared" si="753"/>
        <v>0</v>
      </c>
      <c r="T1638" s="113">
        <f t="shared" si="753"/>
        <v>0</v>
      </c>
      <c r="U1638" s="557">
        <f t="shared" si="753"/>
        <v>0</v>
      </c>
    </row>
    <row r="1639" spans="1:21" s="552" customFormat="1" ht="15" customHeight="1">
      <c r="A1639" s="621"/>
      <c r="B1639" s="622" t="s">
        <v>153</v>
      </c>
      <c r="C1639" s="633" t="str">
        <f t="shared" si="750"/>
        <v xml:space="preserve"> </v>
      </c>
      <c r="D1639" s="553"/>
      <c r="E1639" s="694" t="str">
        <f>VLOOKUP($B1639,dongia1,DG!$C$5,)</f>
        <v>Boulon 16x600VRS+ 4 long đền vuông D18-50x50x3/Zn</v>
      </c>
      <c r="F1639" s="555" t="str">
        <f>VLOOKUP($B1639,dongia1,DG!$D$5,)</f>
        <v>bộ</v>
      </c>
      <c r="G1639" s="560"/>
      <c r="H1639" s="556">
        <f t="shared" si="751"/>
        <v>0</v>
      </c>
      <c r="I1639" s="556"/>
      <c r="J1639" s="556">
        <f t="shared" si="752"/>
        <v>0</v>
      </c>
      <c r="K1639" s="556"/>
      <c r="L1639" s="556"/>
      <c r="M1639" s="556"/>
      <c r="N1639" s="556"/>
      <c r="O1639" s="556"/>
      <c r="P1639" s="182">
        <f>VLOOKUP($B1639,dongia1,DG!$F$5,)</f>
        <v>48800</v>
      </c>
      <c r="Q1639" s="182"/>
      <c r="R1639" s="554"/>
      <c r="S1639" s="113">
        <f t="shared" ref="S1639:U1642" si="754">$G1639*P1639</f>
        <v>0</v>
      </c>
      <c r="T1639" s="113">
        <f t="shared" si="754"/>
        <v>0</v>
      </c>
      <c r="U1639" s="557">
        <f t="shared" si="754"/>
        <v>0</v>
      </c>
    </row>
    <row r="1640" spans="1:21" s="552" customFormat="1" ht="15" customHeight="1">
      <c r="A1640" s="621"/>
      <c r="B1640" s="622" t="s">
        <v>1432</v>
      </c>
      <c r="C1640" s="633" t="str">
        <f t="shared" si="750"/>
        <v xml:space="preserve"> </v>
      </c>
      <c r="D1640" s="553"/>
      <c r="E1640" s="694" t="str">
        <f>VLOOKUP($B1640,dongia1,DG!$C$5,)</f>
        <v>Boulon mắt 16x250+ 1 long đền vuông D18-50x50x3/Zn</v>
      </c>
      <c r="F1640" s="555" t="str">
        <f>VLOOKUP($B1640,dongia1,DG!$D$5,)</f>
        <v>bộ</v>
      </c>
      <c r="G1640" s="560"/>
      <c r="H1640" s="556">
        <f t="shared" si="751"/>
        <v>0</v>
      </c>
      <c r="I1640" s="556"/>
      <c r="J1640" s="556">
        <f t="shared" si="752"/>
        <v>0</v>
      </c>
      <c r="K1640" s="556"/>
      <c r="L1640" s="556"/>
      <c r="M1640" s="556"/>
      <c r="N1640" s="556"/>
      <c r="O1640" s="556"/>
      <c r="P1640" s="182">
        <f>VLOOKUP($B1640,dongia1,DG!$F$5,)</f>
        <v>29200</v>
      </c>
      <c r="Q1640" s="182"/>
      <c r="R1640" s="554"/>
      <c r="S1640" s="113">
        <f t="shared" si="754"/>
        <v>0</v>
      </c>
      <c r="T1640" s="113">
        <f t="shared" si="754"/>
        <v>0</v>
      </c>
      <c r="U1640" s="557">
        <f t="shared" si="754"/>
        <v>0</v>
      </c>
    </row>
    <row r="1641" spans="1:21" s="552" customFormat="1" ht="15" customHeight="1">
      <c r="A1641" s="621"/>
      <c r="B1641" s="622" t="s">
        <v>1558</v>
      </c>
      <c r="C1641" s="633" t="str">
        <f t="shared" si="750"/>
        <v xml:space="preserve"> </v>
      </c>
      <c r="D1641" s="553"/>
      <c r="E1641" s="694" t="str">
        <f>VLOOKUP($B1641,dongia1,DG!$C$5,)&amp;" + bulon"</f>
        <v>Rack 2 sứ + sứ ống chỉ + bulon</v>
      </c>
      <c r="F1641" s="555" t="str">
        <f>VLOOKUP($B1641,dongia1,DG!$D$5,)</f>
        <v>bộ</v>
      </c>
      <c r="G1641" s="205"/>
      <c r="H1641" s="556">
        <f t="shared" si="751"/>
        <v>0</v>
      </c>
      <c r="I1641" s="556"/>
      <c r="J1641" s="556">
        <f t="shared" si="752"/>
        <v>0</v>
      </c>
      <c r="K1641" s="556"/>
      <c r="L1641" s="556"/>
      <c r="M1641" s="556"/>
      <c r="N1641" s="556"/>
      <c r="O1641" s="556"/>
      <c r="P1641" s="182">
        <f>VLOOKUP($B1641,dongia1,DG!$F$5,)</f>
        <v>101000</v>
      </c>
      <c r="Q1641" s="182"/>
      <c r="R1641" s="554"/>
      <c r="S1641" s="113">
        <f t="shared" si="754"/>
        <v>0</v>
      </c>
      <c r="T1641" s="113">
        <f t="shared" si="754"/>
        <v>0</v>
      </c>
      <c r="U1641" s="557">
        <f t="shared" si="754"/>
        <v>0</v>
      </c>
    </row>
    <row r="1642" spans="1:21" s="552" customFormat="1" ht="15" customHeight="1">
      <c r="A1642" s="621"/>
      <c r="B1642" s="622" t="s">
        <v>232</v>
      </c>
      <c r="C1642" s="633" t="str">
        <f t="shared" si="750"/>
        <v xml:space="preserve"> </v>
      </c>
      <c r="D1642" s="553"/>
      <c r="E1642" s="694" t="str">
        <f>VLOOKUP($B1642,dongia1,DG!$C$5,)&amp;" + bulon"</f>
        <v>Rack 3 sứ + sứ ống chỉ + bulon</v>
      </c>
      <c r="F1642" s="555" t="str">
        <f>VLOOKUP($B1642,dongia1,DG!$D$5,)</f>
        <v>bộ</v>
      </c>
      <c r="G1642" s="205"/>
      <c r="H1642" s="556">
        <f t="shared" si="751"/>
        <v>0</v>
      </c>
      <c r="I1642" s="556"/>
      <c r="J1642" s="556">
        <f t="shared" si="752"/>
        <v>0</v>
      </c>
      <c r="K1642" s="556"/>
      <c r="L1642" s="556"/>
      <c r="M1642" s="556"/>
      <c r="N1642" s="556"/>
      <c r="O1642" s="556"/>
      <c r="P1642" s="182">
        <f>VLOOKUP($B1642,dongia1,DG!$F$5,)</f>
        <v>147000</v>
      </c>
      <c r="Q1642" s="182"/>
      <c r="R1642" s="554"/>
      <c r="S1642" s="113">
        <f t="shared" si="754"/>
        <v>0</v>
      </c>
      <c r="T1642" s="113">
        <f t="shared" si="754"/>
        <v>0</v>
      </c>
      <c r="U1642" s="557">
        <f t="shared" si="754"/>
        <v>0</v>
      </c>
    </row>
    <row r="1643" spans="1:21" s="552" customFormat="1" ht="15" customHeight="1">
      <c r="A1643" s="621"/>
      <c r="B1643" s="622" t="s">
        <v>265</v>
      </c>
      <c r="C1643" s="633" t="str">
        <f t="shared" si="750"/>
        <v xml:space="preserve"> </v>
      </c>
      <c r="D1643" s="553"/>
      <c r="E1643" s="694" t="str">
        <f>VLOOKUP($B1643,dongia1,DG!$C$5,)&amp;" + bulon"</f>
        <v>Rack 4 sứ + sứ ống chỉ + bulon</v>
      </c>
      <c r="F1643" s="555" t="str">
        <f>VLOOKUP($B1643,dongia1,DG!$D$5,)</f>
        <v>bộ</v>
      </c>
      <c r="G1643" s="205"/>
      <c r="H1643" s="556">
        <f t="shared" si="751"/>
        <v>0</v>
      </c>
      <c r="I1643" s="556"/>
      <c r="J1643" s="556">
        <f t="shared" si="752"/>
        <v>0</v>
      </c>
      <c r="K1643" s="556"/>
      <c r="L1643" s="556"/>
      <c r="M1643" s="556"/>
      <c r="N1643" s="556"/>
      <c r="O1643" s="556"/>
      <c r="P1643" s="182">
        <f>VLOOKUP($B1643,dongia1,DG!$F$5,)</f>
        <v>196000</v>
      </c>
      <c r="Q1643" s="182"/>
      <c r="R1643" s="554"/>
      <c r="S1643" s="113">
        <f t="shared" ref="S1643:U1645" si="755">$G1643*P1643</f>
        <v>0</v>
      </c>
      <c r="T1643" s="113">
        <f t="shared" si="755"/>
        <v>0</v>
      </c>
      <c r="U1643" s="557">
        <f t="shared" si="755"/>
        <v>0</v>
      </c>
    </row>
    <row r="1644" spans="1:21" s="552" customFormat="1" ht="15" customHeight="1">
      <c r="A1644" s="621"/>
      <c r="B1644" s="622" t="s">
        <v>1539</v>
      </c>
      <c r="C1644" s="633" t="str">
        <f t="shared" si="750"/>
        <v xml:space="preserve"> </v>
      </c>
      <c r="D1644" s="553"/>
      <c r="E1644" s="694" t="str">
        <f>VLOOKUP($B1644,dongia1,DG!$C$5,)</f>
        <v>Boulon 16x350+ 2 long đền vuông D18-50x50x3/Zn</v>
      </c>
      <c r="F1644" s="555" t="str">
        <f>VLOOKUP($B1644,dongia1,DG!$D$5,)</f>
        <v>bộ</v>
      </c>
      <c r="G1644" s="205"/>
      <c r="H1644" s="556">
        <f t="shared" si="751"/>
        <v>0</v>
      </c>
      <c r="I1644" s="556"/>
      <c r="J1644" s="556">
        <f t="shared" si="752"/>
        <v>0</v>
      </c>
      <c r="K1644" s="556"/>
      <c r="L1644" s="556"/>
      <c r="M1644" s="556"/>
      <c r="N1644" s="556"/>
      <c r="O1644" s="556"/>
      <c r="P1644" s="182">
        <f>VLOOKUP($B1644,dongia1,DG!$F$5,)</f>
        <v>27900</v>
      </c>
      <c r="Q1644" s="182"/>
      <c r="R1644" s="554"/>
      <c r="S1644" s="113">
        <f t="shared" si="755"/>
        <v>0</v>
      </c>
      <c r="T1644" s="113">
        <f t="shared" si="755"/>
        <v>0</v>
      </c>
      <c r="U1644" s="557">
        <f t="shared" si="755"/>
        <v>0</v>
      </c>
    </row>
    <row r="1645" spans="1:21" s="552" customFormat="1" ht="15" customHeight="1">
      <c r="A1645" s="621"/>
      <c r="B1645" s="761" t="s">
        <v>4610</v>
      </c>
      <c r="C1645" s="633" t="str">
        <f>IF(G1645&lt;&gt;0,$C$2263," ")</f>
        <v xml:space="preserve"> </v>
      </c>
      <c r="D1645" s="553"/>
      <c r="E1645" s="694" t="str">
        <f>VLOOKUP($B1645,dongia1,DG!$C$5,)</f>
        <v>Chụp đầu cực TI, TU</v>
      </c>
      <c r="F1645" s="555" t="str">
        <f>VLOOKUP($B1645,dongia1,DG!$D$5,)</f>
        <v>Cái</v>
      </c>
      <c r="G1645" s="205"/>
      <c r="H1645" s="556">
        <f t="shared" si="751"/>
        <v>0</v>
      </c>
      <c r="I1645" s="556"/>
      <c r="J1645" s="556"/>
      <c r="K1645" s="556">
        <f>G1645</f>
        <v>0</v>
      </c>
      <c r="L1645" s="556"/>
      <c r="M1645" s="556"/>
      <c r="N1645" s="556"/>
      <c r="O1645" s="556"/>
      <c r="P1645" s="182">
        <f>VLOOKUP($B1645,dongia1,DG!$F$5,)</f>
        <v>25000</v>
      </c>
      <c r="Q1645" s="182"/>
      <c r="R1645" s="554"/>
      <c r="S1645" s="113">
        <f t="shared" si="755"/>
        <v>0</v>
      </c>
      <c r="T1645" s="113">
        <f t="shared" si="755"/>
        <v>0</v>
      </c>
      <c r="U1645" s="557">
        <f t="shared" si="755"/>
        <v>0</v>
      </c>
    </row>
    <row r="1646" spans="1:21" s="552" customFormat="1" ht="15" customHeight="1">
      <c r="A1646" s="621"/>
      <c r="B1646" s="537" t="s">
        <v>4612</v>
      </c>
      <c r="C1646" s="633" t="str">
        <f>IF(G1646&lt;&gt;0,$C$2263," ")</f>
        <v xml:space="preserve"> </v>
      </c>
      <c r="D1646" s="553"/>
      <c r="E1646" s="694" t="str">
        <f>VLOOKUP($B1646,dongia1,DG!$C$5,)</f>
        <v>Ông Co nhiệt Ø 60(65)</v>
      </c>
      <c r="F1646" s="555" t="str">
        <f>VLOOKUP($B1646,dongia1,DG!$D$5,)</f>
        <v>m</v>
      </c>
      <c r="G1646" s="205"/>
      <c r="H1646" s="556">
        <f t="shared" si="751"/>
        <v>0</v>
      </c>
      <c r="I1646" s="556"/>
      <c r="J1646" s="556"/>
      <c r="K1646" s="556">
        <f>G1646</f>
        <v>0</v>
      </c>
      <c r="L1646" s="556"/>
      <c r="M1646" s="556"/>
      <c r="N1646" s="556"/>
      <c r="O1646" s="556"/>
      <c r="P1646" s="182">
        <f>VLOOKUP($B1646,dongia1,DG!$F$5,)</f>
        <v>135000</v>
      </c>
      <c r="Q1646" s="182"/>
      <c r="R1646" s="554"/>
      <c r="S1646" s="113">
        <f t="shared" ref="S1646:U1652" si="756">$G1646*P1646</f>
        <v>0</v>
      </c>
      <c r="T1646" s="113">
        <f t="shared" si="756"/>
        <v>0</v>
      </c>
      <c r="U1646" s="557">
        <f t="shared" si="756"/>
        <v>0</v>
      </c>
    </row>
    <row r="1647" spans="1:21" s="552" customFormat="1" ht="15" customHeight="1">
      <c r="A1647" s="621"/>
      <c r="B1647" s="16" t="s">
        <v>4613</v>
      </c>
      <c r="C1647" s="633" t="str">
        <f>IF(G1647&lt;&gt;0,$C$2263," ")</f>
        <v xml:space="preserve"> </v>
      </c>
      <c r="D1647" s="553"/>
      <c r="E1647" s="694" t="str">
        <f>VLOOKUP($B1647,dongia1,DG!$C$5,)</f>
        <v>Băng keo cách điện trung thế</v>
      </c>
      <c r="F1647" s="555" t="str">
        <f>VLOOKUP($B1647,dongia1,DG!$D$5,)</f>
        <v>cuộn</v>
      </c>
      <c r="G1647" s="205"/>
      <c r="H1647" s="556">
        <f t="shared" si="751"/>
        <v>0</v>
      </c>
      <c r="I1647" s="556"/>
      <c r="J1647" s="556"/>
      <c r="K1647" s="556">
        <f>G1647</f>
        <v>0</v>
      </c>
      <c r="L1647" s="556"/>
      <c r="M1647" s="556"/>
      <c r="N1647" s="556"/>
      <c r="O1647" s="556"/>
      <c r="P1647" s="182">
        <f>VLOOKUP($B1647,dongia1,DG!$F$5,)</f>
        <v>165000</v>
      </c>
      <c r="Q1647" s="182"/>
      <c r="R1647" s="554"/>
      <c r="S1647" s="113">
        <f t="shared" si="756"/>
        <v>0</v>
      </c>
      <c r="T1647" s="113">
        <f t="shared" si="756"/>
        <v>0</v>
      </c>
      <c r="U1647" s="557">
        <f t="shared" si="756"/>
        <v>0</v>
      </c>
    </row>
    <row r="1648" spans="1:21" s="552" customFormat="1" ht="15" customHeight="1">
      <c r="A1648" s="621"/>
      <c r="B1648" s="622" t="s">
        <v>76</v>
      </c>
      <c r="C1648" s="633" t="str">
        <f t="shared" ref="C1648:C1679" si="757">IF(G1648&lt;&gt;0,$C$1457," ")</f>
        <v xml:space="preserve"> </v>
      </c>
      <c r="D1648" s="698"/>
      <c r="E1648" s="694" t="str">
        <f>VLOOKUP($B1648,dongia1,DG!$C$5,)</f>
        <v>Đầu cosse ép Cu-Al 50mm2</v>
      </c>
      <c r="F1648" s="555" t="str">
        <f>VLOOKUP($B1648,dongia1,DG!$D$5,)</f>
        <v>cái</v>
      </c>
      <c r="G1648" s="205">
        <f>pptt_NC!DT41</f>
        <v>0</v>
      </c>
      <c r="H1648" s="556">
        <f t="shared" si="751"/>
        <v>0</v>
      </c>
      <c r="I1648" s="556"/>
      <c r="J1648" s="556"/>
      <c r="K1648" s="556"/>
      <c r="L1648" s="556"/>
      <c r="M1648" s="556"/>
      <c r="N1648" s="556"/>
      <c r="O1648" s="556"/>
      <c r="P1648" s="182">
        <f>VLOOKUP($B1648,dongia1,DG!$F$5,)</f>
        <v>26000</v>
      </c>
      <c r="Q1648" s="702">
        <f>VLOOKUP($B1648,dongia1,DG!$G$5,)</f>
        <v>10608.955000000002</v>
      </c>
      <c r="R1648" s="554"/>
      <c r="S1648" s="113">
        <f t="shared" si="756"/>
        <v>0</v>
      </c>
      <c r="T1648" s="113">
        <f t="shared" si="756"/>
        <v>0</v>
      </c>
      <c r="U1648" s="930">
        <f t="shared" si="756"/>
        <v>0</v>
      </c>
    </row>
    <row r="1649" spans="1:21">
      <c r="B1649" s="696" t="s">
        <v>5778</v>
      </c>
      <c r="C1649" s="697" t="str">
        <f t="shared" si="757"/>
        <v xml:space="preserve"> </v>
      </c>
      <c r="D1649" s="698"/>
      <c r="E1649" s="699" t="str">
        <f>VLOOKUP($B1649,dongia1,DG!$C$5,)</f>
        <v>Bass LL bắt FCO và LA</v>
      </c>
      <c r="F1649" s="700" t="str">
        <f>VLOOKUP($B1649,dongia1,DG!$D$5,)</f>
        <v>bộ</v>
      </c>
      <c r="G1649" s="762">
        <f>G2236+G2237</f>
        <v>0</v>
      </c>
      <c r="H1649" s="701">
        <f t="shared" si="751"/>
        <v>0</v>
      </c>
      <c r="I1649" s="701"/>
      <c r="J1649" s="701">
        <f t="shared" si="752"/>
        <v>0</v>
      </c>
      <c r="K1649" s="701"/>
      <c r="L1649" s="701"/>
      <c r="M1649" s="701"/>
      <c r="N1649" s="701"/>
      <c r="O1649" s="701"/>
      <c r="P1649" s="702">
        <f>VLOOKUP($B1649,dongia1,DG!$F$5,)</f>
        <v>65000</v>
      </c>
      <c r="Q1649" s="702">
        <f>VLOOKUP($B1649,dongia1,DG!$G$5,)</f>
        <v>0</v>
      </c>
      <c r="R1649" s="703"/>
      <c r="S1649" s="702">
        <f t="shared" si="756"/>
        <v>0</v>
      </c>
      <c r="T1649" s="702">
        <f t="shared" si="756"/>
        <v>0</v>
      </c>
      <c r="U1649" s="930">
        <f t="shared" si="756"/>
        <v>0</v>
      </c>
    </row>
    <row r="1650" spans="1:21">
      <c r="B1650" s="696" t="s">
        <v>4856</v>
      </c>
      <c r="C1650" s="697" t="str">
        <f t="shared" si="757"/>
        <v xml:space="preserve"> </v>
      </c>
      <c r="D1650" s="698"/>
      <c r="E1650" s="699" t="str">
        <f>VLOOKUP($B1650,dongia1,DG!$C$5,)</f>
        <v>Nắp che đầu cực FCO</v>
      </c>
      <c r="F1650" s="700" t="str">
        <f>VLOOKUP($B1650,dongia1,DG!$D$5,)</f>
        <v>cái</v>
      </c>
      <c r="G1650" s="762">
        <f>G2236+G2237+G2250</f>
        <v>0</v>
      </c>
      <c r="H1650" s="701">
        <f t="shared" si="751"/>
        <v>0</v>
      </c>
      <c r="I1650" s="701"/>
      <c r="J1650" s="701">
        <f>G1650</f>
        <v>0</v>
      </c>
      <c r="K1650" s="701"/>
      <c r="L1650" s="701"/>
      <c r="M1650" s="701"/>
      <c r="N1650" s="701"/>
      <c r="O1650" s="701"/>
      <c r="P1650" s="702">
        <f>VLOOKUP($B1650,dongia1,DG!$F$5,)</f>
        <v>218200</v>
      </c>
      <c r="Q1650" s="702">
        <f>VLOOKUP($B1650,dongia1,DG!$G$5,)</f>
        <v>0</v>
      </c>
      <c r="R1650" s="703"/>
      <c r="S1650" s="702">
        <f t="shared" si="756"/>
        <v>0</v>
      </c>
      <c r="T1650" s="702">
        <f t="shared" si="756"/>
        <v>0</v>
      </c>
      <c r="U1650" s="930">
        <f t="shared" si="756"/>
        <v>0</v>
      </c>
    </row>
    <row r="1651" spans="1:21" s="552" customFormat="1" ht="15" customHeight="1">
      <c r="A1651" s="621"/>
      <c r="B1651" s="622" t="s">
        <v>528</v>
      </c>
      <c r="C1651" s="633" t="str">
        <f t="shared" si="757"/>
        <v xml:space="preserve"> </v>
      </c>
      <c r="D1651" s="553"/>
      <c r="E1651" s="694" t="str">
        <f>VLOOKUP($B1651,dongia1,DG!$C$5,)</f>
        <v>Bass LI bắt LA</v>
      </c>
      <c r="F1651" s="555" t="str">
        <f>VLOOKUP($B1651,dongia1,DG!$D$5,)</f>
        <v>Bộ</v>
      </c>
      <c r="G1651" s="205">
        <f>G2244</f>
        <v>0</v>
      </c>
      <c r="H1651" s="556"/>
      <c r="I1651" s="556"/>
      <c r="J1651" s="556">
        <f t="shared" si="752"/>
        <v>0</v>
      </c>
      <c r="K1651" s="556"/>
      <c r="L1651" s="556"/>
      <c r="M1651" s="556"/>
      <c r="N1651" s="556"/>
      <c r="O1651" s="556"/>
      <c r="P1651" s="182">
        <f>VLOOKUP($B1651,dongia1,DG!$F$5,)</f>
        <v>34000</v>
      </c>
      <c r="Q1651" s="182"/>
      <c r="R1651" s="554"/>
      <c r="S1651" s="113">
        <f t="shared" si="756"/>
        <v>0</v>
      </c>
      <c r="T1651" s="113">
        <f t="shared" si="756"/>
        <v>0</v>
      </c>
      <c r="U1651" s="715">
        <f t="shared" si="756"/>
        <v>0</v>
      </c>
    </row>
    <row r="1652" spans="1:21" s="552" customFormat="1" ht="15" customHeight="1">
      <c r="A1652" s="621"/>
      <c r="B1652" s="622" t="s">
        <v>4901</v>
      </c>
      <c r="C1652" s="633" t="str">
        <f t="shared" si="757"/>
        <v xml:space="preserve"> </v>
      </c>
      <c r="D1652" s="698"/>
      <c r="E1652" s="694" t="str">
        <f>VLOOKUP($B1652,dongia1,DG!$C$5,)</f>
        <v>Dây buộc cổ sứ đỡ thẳng TTF 1202 (70-95mm2)</v>
      </c>
      <c r="F1652" s="555" t="str">
        <f>VLOOKUP($B1652,dongia1,DG!$D$5,)</f>
        <v>cái</v>
      </c>
      <c r="G1652" s="701">
        <f>G1520</f>
        <v>0</v>
      </c>
      <c r="H1652" s="701">
        <f t="shared" si="751"/>
        <v>0</v>
      </c>
      <c r="I1652" s="1042"/>
      <c r="J1652" s="1042">
        <f>G1652</f>
        <v>0</v>
      </c>
      <c r="K1652" s="1042"/>
      <c r="L1652" s="1042"/>
      <c r="M1652" s="1042"/>
      <c r="N1652" s="1042"/>
      <c r="O1652" s="1042"/>
      <c r="P1652" s="182">
        <f>VLOOKUP($B1652,dongia1,DG!$F$5,)</f>
        <v>132000</v>
      </c>
      <c r="Q1652" s="702">
        <f>VLOOKUP($B1652,dongia1,DG!$G$5,)</f>
        <v>0</v>
      </c>
      <c r="R1652" s="554"/>
      <c r="S1652" s="113">
        <f t="shared" ref="S1652:T1658" si="758">$G1652*P1652</f>
        <v>0</v>
      </c>
      <c r="T1652" s="113">
        <f t="shared" si="758"/>
        <v>0</v>
      </c>
      <c r="U1652" s="930">
        <f t="shared" si="756"/>
        <v>0</v>
      </c>
    </row>
    <row r="1653" spans="1:21" s="1047" customFormat="1" ht="15" customHeight="1">
      <c r="A1653" s="1036"/>
      <c r="B1653" s="1037" t="s">
        <v>4902</v>
      </c>
      <c r="C1653" s="1038" t="str">
        <f t="shared" si="757"/>
        <v xml:space="preserve"> </v>
      </c>
      <c r="D1653" s="1039"/>
      <c r="E1653" s="1640" t="str">
        <f>VLOOKUP($B1653,dongia1,DG!$C$5,)</f>
        <v>Dây buộc cổ sứ đỡ góc SSF 2202 (70-95mm2)</v>
      </c>
      <c r="F1653" s="1040" t="str">
        <f>VLOOKUP($B1653,dongia1,DG!$D$5,)</f>
        <v>cái</v>
      </c>
      <c r="G1653" s="1041"/>
      <c r="H1653" s="701">
        <f t="shared" si="751"/>
        <v>0</v>
      </c>
      <c r="I1653" s="1042"/>
      <c r="J1653" s="1042">
        <f>G1653</f>
        <v>0</v>
      </c>
      <c r="K1653" s="1042"/>
      <c r="L1653" s="1042"/>
      <c r="M1653" s="1042"/>
      <c r="N1653" s="1042"/>
      <c r="O1653" s="1042"/>
      <c r="P1653" s="1043">
        <f>VLOOKUP($B1653,dongia1,DG!$F$5,)</f>
        <v>200000</v>
      </c>
      <c r="Q1653" s="1043"/>
      <c r="R1653" s="1044"/>
      <c r="S1653" s="1045">
        <f t="shared" si="758"/>
        <v>0</v>
      </c>
      <c r="T1653" s="1045">
        <f t="shared" si="758"/>
        <v>0</v>
      </c>
      <c r="U1653" s="1046">
        <f>$G1653*R1653</f>
        <v>0</v>
      </c>
    </row>
    <row r="1654" spans="1:21">
      <c r="B1654" s="696" t="s">
        <v>998</v>
      </c>
      <c r="C1654" s="697" t="str">
        <f t="shared" si="757"/>
        <v xml:space="preserve"> </v>
      </c>
      <c r="D1654" s="698"/>
      <c r="E1654" s="699" t="str">
        <f>VLOOKUP($B1654,dongia1,DG!$C$5,)</f>
        <v xml:space="preserve">Dây nhôm buộc </v>
      </c>
      <c r="F1654" s="700" t="str">
        <f>VLOOKUP($B1654,dongia1,DG!$D$5,)</f>
        <v>kg</v>
      </c>
      <c r="G1654" s="762"/>
      <c r="H1654" s="701">
        <f t="shared" si="751"/>
        <v>0</v>
      </c>
      <c r="I1654" s="701"/>
      <c r="J1654" s="701">
        <f t="shared" si="752"/>
        <v>0</v>
      </c>
      <c r="K1654" s="701"/>
      <c r="L1654" s="701"/>
      <c r="M1654" s="701"/>
      <c r="N1654" s="701"/>
      <c r="O1654" s="701"/>
      <c r="P1654" s="702">
        <f>VLOOKUP($B1654,dongia1,DG!$F$5,)</f>
        <v>51336</v>
      </c>
      <c r="Q1654" s="702"/>
      <c r="R1654" s="703"/>
      <c r="S1654" s="702">
        <f t="shared" si="758"/>
        <v>0</v>
      </c>
      <c r="T1654" s="702">
        <f t="shared" si="758"/>
        <v>0</v>
      </c>
      <c r="U1654" s="930">
        <f>$G1654*R1654</f>
        <v>0</v>
      </c>
    </row>
    <row r="1655" spans="1:21">
      <c r="B1655" s="696" t="s">
        <v>2041</v>
      </c>
      <c r="C1655" s="697" t="str">
        <f t="shared" si="757"/>
        <v xml:space="preserve"> </v>
      </c>
      <c r="D1655" s="698"/>
      <c r="E1655" s="699" t="str">
        <f>VLOOKUP($B1655,dongia1,DG!$C$5,)</f>
        <v>Rack 2 sứ + sứ ống chỉ</v>
      </c>
      <c r="F1655" s="700" t="str">
        <f>VLOOKUP($B1655,dongia1,DG!$D$5,)</f>
        <v>bộ</v>
      </c>
      <c r="G1655" s="762">
        <f>pptt_NC!DJ41</f>
        <v>0</v>
      </c>
      <c r="H1655" s="701">
        <f t="shared" si="751"/>
        <v>0</v>
      </c>
      <c r="I1655" s="701"/>
      <c r="J1655" s="701">
        <f>G1655</f>
        <v>0</v>
      </c>
      <c r="K1655" s="701"/>
      <c r="L1655" s="701"/>
      <c r="M1655" s="701"/>
      <c r="N1655" s="701"/>
      <c r="O1655" s="701"/>
      <c r="P1655" s="702">
        <f>VLOOKUP($B1655,dongia1,DG!$F$5,)</f>
        <v>101000</v>
      </c>
      <c r="Q1655" s="702"/>
      <c r="R1655" s="703"/>
      <c r="S1655" s="702">
        <f t="shared" si="758"/>
        <v>0</v>
      </c>
      <c r="T1655" s="702">
        <f t="shared" si="758"/>
        <v>0</v>
      </c>
      <c r="U1655" s="704">
        <f>$G1655*R1655</f>
        <v>0</v>
      </c>
    </row>
    <row r="1656" spans="1:21">
      <c r="B1656" s="696" t="s">
        <v>592</v>
      </c>
      <c r="C1656" s="697" t="str">
        <f t="shared" si="757"/>
        <v xml:space="preserve"> </v>
      </c>
      <c r="D1656" s="698"/>
      <c r="E1656" s="699" t="str">
        <f>VLOOKUP($B1656,dongia1,DG!$C$5,)</f>
        <v>Rack 3 sứ + sứ ống chỉ</v>
      </c>
      <c r="F1656" s="700" t="str">
        <f>VLOOKUP($B1656,dongia1,DG!$D$5,)</f>
        <v>bộ</v>
      </c>
      <c r="G1656" s="762">
        <f>pptt_NC!DK41</f>
        <v>0</v>
      </c>
      <c r="H1656" s="701">
        <f t="shared" si="751"/>
        <v>0</v>
      </c>
      <c r="I1656" s="701"/>
      <c r="J1656" s="701">
        <f>G1656</f>
        <v>0</v>
      </c>
      <c r="K1656" s="701"/>
      <c r="L1656" s="701"/>
      <c r="M1656" s="701"/>
      <c r="N1656" s="701"/>
      <c r="O1656" s="701"/>
      <c r="P1656" s="702">
        <f>VLOOKUP($B1656,dongia1,DG!$F$5,)</f>
        <v>147000</v>
      </c>
      <c r="Q1656" s="702"/>
      <c r="R1656" s="703"/>
      <c r="S1656" s="702">
        <f t="shared" si="758"/>
        <v>0</v>
      </c>
      <c r="T1656" s="702">
        <f t="shared" si="758"/>
        <v>0</v>
      </c>
      <c r="U1656" s="704">
        <f>$G1656*R1656</f>
        <v>0</v>
      </c>
    </row>
    <row r="1657" spans="1:21" s="552" customFormat="1" ht="15" customHeight="1">
      <c r="A1657" s="621"/>
      <c r="B1657" s="622" t="s">
        <v>1278</v>
      </c>
      <c r="C1657" s="633" t="str">
        <f t="shared" si="757"/>
        <v xml:space="preserve"> </v>
      </c>
      <c r="D1657" s="553"/>
      <c r="E1657" s="694" t="str">
        <f>VLOOKUP($B1657,dongia1,DG!$C$5,)</f>
        <v>Biển số - Bảng nguy hiểm</v>
      </c>
      <c r="F1657" s="555" t="str">
        <f>VLOOKUP($B1657,dongia1,DG!$D$5,)</f>
        <v>cái</v>
      </c>
      <c r="G1657" s="205"/>
      <c r="H1657" s="556">
        <f t="shared" si="751"/>
        <v>0</v>
      </c>
      <c r="I1657" s="556"/>
      <c r="J1657" s="556">
        <f t="shared" si="752"/>
        <v>0</v>
      </c>
      <c r="K1657" s="556"/>
      <c r="L1657" s="556"/>
      <c r="M1657" s="556"/>
      <c r="N1657" s="556"/>
      <c r="O1657" s="556"/>
      <c r="P1657" s="182">
        <f>VLOOKUP($B1657,dongia1,DG!$F$5,)</f>
        <v>60000</v>
      </c>
      <c r="Q1657" s="182"/>
      <c r="R1657" s="554"/>
      <c r="S1657" s="113">
        <f t="shared" si="758"/>
        <v>0</v>
      </c>
      <c r="T1657" s="113">
        <f t="shared" si="758"/>
        <v>0</v>
      </c>
      <c r="U1657" s="557">
        <f t="shared" ref="U1657:U1665" si="759">$G1657*R1657</f>
        <v>0</v>
      </c>
    </row>
    <row r="1658" spans="1:21">
      <c r="B1658" s="696" t="s">
        <v>418</v>
      </c>
      <c r="C1658" s="697" t="str">
        <f t="shared" si="757"/>
        <v xml:space="preserve"> </v>
      </c>
      <c r="D1658" s="698"/>
      <c r="E1658" s="699" t="str">
        <f>VLOOKUP($B1658,dongia1,DG!$C$5,)</f>
        <v>Kéo dây nhôm lõi thép cỡ dây 50mm2 (TC)</v>
      </c>
      <c r="F1658" s="700" t="str">
        <f>VLOOKUP($B1658,dongia1,DG!$D$5,)</f>
        <v>km</v>
      </c>
      <c r="G1658" s="762">
        <f t="shared" ref="G1658:G1664" si="760">D1458/1000</f>
        <v>0</v>
      </c>
      <c r="H1658" s="701">
        <f t="shared" si="751"/>
        <v>0</v>
      </c>
      <c r="I1658" s="701"/>
      <c r="J1658" s="701">
        <f t="shared" si="752"/>
        <v>0</v>
      </c>
      <c r="K1658" s="701"/>
      <c r="L1658" s="701"/>
      <c r="M1658" s="701"/>
      <c r="N1658" s="701"/>
      <c r="O1658" s="701"/>
      <c r="P1658" s="702">
        <f>VLOOKUP($B1658,dongia1,DG!$F$5,)*0</f>
        <v>0</v>
      </c>
      <c r="Q1658" s="702">
        <f>VLOOKUP($B1658,dongia1,DG!$G$5,)</f>
        <v>3600186.2049999996</v>
      </c>
      <c r="R1658" s="702">
        <f>VLOOKUP($B1658,dongia1,DG!$H$5,)</f>
        <v>0</v>
      </c>
      <c r="S1658" s="702">
        <f t="shared" si="758"/>
        <v>0</v>
      </c>
      <c r="T1658" s="702">
        <f t="shared" si="758"/>
        <v>0</v>
      </c>
      <c r="U1658" s="930">
        <f t="shared" si="759"/>
        <v>0</v>
      </c>
    </row>
    <row r="1659" spans="1:21" s="552" customFormat="1" ht="15" customHeight="1">
      <c r="A1659" s="621"/>
      <c r="B1659" s="622" t="s">
        <v>1518</v>
      </c>
      <c r="C1659" s="633" t="str">
        <f t="shared" si="757"/>
        <v xml:space="preserve"> </v>
      </c>
      <c r="D1659" s="553"/>
      <c r="E1659" s="694" t="str">
        <f>VLOOKUP($B1659,dongia1,DG!$C$5,)</f>
        <v>Kéo dây nhôm lõi thép cỡ dây 70mm2 (TC)</v>
      </c>
      <c r="F1659" s="555" t="str">
        <f>VLOOKUP($B1659,dongia1,DG!$D$5,)</f>
        <v>km</v>
      </c>
      <c r="G1659" s="205">
        <f t="shared" si="760"/>
        <v>0</v>
      </c>
      <c r="H1659" s="556">
        <f t="shared" si="751"/>
        <v>0</v>
      </c>
      <c r="I1659" s="556"/>
      <c r="J1659" s="556">
        <f t="shared" si="752"/>
        <v>0</v>
      </c>
      <c r="K1659" s="556"/>
      <c r="L1659" s="556"/>
      <c r="M1659" s="556"/>
      <c r="N1659" s="556"/>
      <c r="O1659" s="556"/>
      <c r="P1659" s="182">
        <f>VLOOKUP($B1659,dongia1,DG!$F$5,)</f>
        <v>0</v>
      </c>
      <c r="Q1659" s="702">
        <f>VLOOKUP($B1659,dongia1,DG!$G$5,)</f>
        <v>5975101</v>
      </c>
      <c r="R1659" s="554"/>
      <c r="S1659" s="113">
        <f t="shared" ref="S1659:S1664" si="761">$G1659*P1659</f>
        <v>0</v>
      </c>
      <c r="T1659" s="182">
        <f>VLOOKUP($B1659,dongia1,DG!G$5,)*G1659*hskd</f>
        <v>0</v>
      </c>
      <c r="U1659" s="557">
        <f t="shared" si="759"/>
        <v>0</v>
      </c>
    </row>
    <row r="1660" spans="1:21" s="552" customFormat="1" ht="15" customHeight="1">
      <c r="A1660" s="621"/>
      <c r="B1660" s="622" t="s">
        <v>223</v>
      </c>
      <c r="C1660" s="633" t="str">
        <f t="shared" si="757"/>
        <v xml:space="preserve"> </v>
      </c>
      <c r="D1660" s="553"/>
      <c r="E1660" s="694" t="str">
        <f>VLOOKUP($B1660,dongia1,DG!$C$5,)</f>
        <v>Kéo dây nhôm lõi thép cỡ dây 95mm2</v>
      </c>
      <c r="F1660" s="555" t="str">
        <f>VLOOKUP($B1660,dongia1,DG!$D$5,)</f>
        <v>km</v>
      </c>
      <c r="G1660" s="205">
        <f t="shared" si="760"/>
        <v>0</v>
      </c>
      <c r="H1660" s="556">
        <f t="shared" si="751"/>
        <v>0</v>
      </c>
      <c r="I1660" s="556"/>
      <c r="J1660" s="556">
        <f t="shared" si="752"/>
        <v>0</v>
      </c>
      <c r="K1660" s="556"/>
      <c r="L1660" s="556"/>
      <c r="M1660" s="556"/>
      <c r="N1660" s="556"/>
      <c r="O1660" s="556"/>
      <c r="P1660" s="182">
        <f>VLOOKUP($B1660,dongia1,DG!$F$5,)</f>
        <v>0</v>
      </c>
      <c r="Q1660" s="702">
        <f>VLOOKUP($B1660,dongia1,DG!$G$5,)</f>
        <v>2839438</v>
      </c>
      <c r="R1660" s="554"/>
      <c r="S1660" s="113">
        <f t="shared" si="761"/>
        <v>0</v>
      </c>
      <c r="T1660" s="182">
        <f>VLOOKUP($B1660,dongia1,DG!G$5,)*G1660*hskd</f>
        <v>0</v>
      </c>
      <c r="U1660" s="557">
        <f t="shared" si="759"/>
        <v>0</v>
      </c>
    </row>
    <row r="1661" spans="1:21" s="552" customFormat="1" ht="15" customHeight="1">
      <c r="A1661" s="621"/>
      <c r="B1661" s="622" t="s">
        <v>1333</v>
      </c>
      <c r="C1661" s="633" t="str">
        <f t="shared" si="757"/>
        <v xml:space="preserve"> </v>
      </c>
      <c r="D1661" s="553"/>
      <c r="E1661" s="694" t="str">
        <f>VLOOKUP($B1661,dongia1,DG!$C$5,)</f>
        <v>Kéo dây nhôm lõi thép cỡ dây 120mm2</v>
      </c>
      <c r="F1661" s="555" t="str">
        <f>VLOOKUP($B1661,dongia1,DG!$D$5,)</f>
        <v>km</v>
      </c>
      <c r="G1661" s="205">
        <f t="shared" si="760"/>
        <v>0</v>
      </c>
      <c r="H1661" s="556">
        <f t="shared" si="751"/>
        <v>0</v>
      </c>
      <c r="I1661" s="556"/>
      <c r="J1661" s="556">
        <f t="shared" si="752"/>
        <v>0</v>
      </c>
      <c r="K1661" s="556"/>
      <c r="L1661" s="556"/>
      <c r="M1661" s="556"/>
      <c r="N1661" s="556"/>
      <c r="O1661" s="556"/>
      <c r="P1661" s="182">
        <f>VLOOKUP($B1661,dongia1,DG!$F$5,)</f>
        <v>0</v>
      </c>
      <c r="Q1661" s="702">
        <f>VLOOKUP($B1661,dongia1,DG!$G$5,)</f>
        <v>3888951</v>
      </c>
      <c r="R1661" s="554"/>
      <c r="S1661" s="113">
        <f t="shared" si="761"/>
        <v>0</v>
      </c>
      <c r="T1661" s="182">
        <f>VLOOKUP($B1661,dongia1,DG!G$5,)*G1661*hskd</f>
        <v>0</v>
      </c>
      <c r="U1661" s="718">
        <f t="shared" si="759"/>
        <v>0</v>
      </c>
    </row>
    <row r="1662" spans="1:21" s="552" customFormat="1" ht="15" customHeight="1">
      <c r="A1662" s="621"/>
      <c r="B1662" s="622" t="s">
        <v>663</v>
      </c>
      <c r="C1662" s="633" t="str">
        <f t="shared" si="757"/>
        <v xml:space="preserve"> </v>
      </c>
      <c r="D1662" s="553"/>
      <c r="E1662" s="694" t="str">
        <f>VLOOKUP($B1662,dongia1,DG!$C$5,)</f>
        <v>Kéo dây nhôm lõi thép cỡ dây 150mm2</v>
      </c>
      <c r="F1662" s="555" t="str">
        <f>VLOOKUP($B1662,dongia1,DG!$D$5,)</f>
        <v>km</v>
      </c>
      <c r="G1662" s="205">
        <f t="shared" si="760"/>
        <v>0</v>
      </c>
      <c r="H1662" s="556">
        <f t="shared" si="751"/>
        <v>0</v>
      </c>
      <c r="I1662" s="556"/>
      <c r="J1662" s="556">
        <f t="shared" si="752"/>
        <v>0</v>
      </c>
      <c r="K1662" s="556"/>
      <c r="L1662" s="556"/>
      <c r="M1662" s="556"/>
      <c r="N1662" s="556"/>
      <c r="O1662" s="556"/>
      <c r="P1662" s="182">
        <f>VLOOKUP($B1662,dongia1,DG!$F$5,)</f>
        <v>0</v>
      </c>
      <c r="Q1662" s="702">
        <f>VLOOKUP($B1662,dongia1,DG!$G$5,)</f>
        <v>4413708</v>
      </c>
      <c r="R1662" s="554"/>
      <c r="S1662" s="113">
        <f t="shared" si="761"/>
        <v>0</v>
      </c>
      <c r="T1662" s="182">
        <f>VLOOKUP($B1662,dongia1,DG!G$5,)*G1662*hskd</f>
        <v>0</v>
      </c>
      <c r="U1662" s="715">
        <f t="shared" si="759"/>
        <v>0</v>
      </c>
    </row>
    <row r="1663" spans="1:21" s="552" customFormat="1" ht="15" customHeight="1">
      <c r="A1663" s="621"/>
      <c r="B1663" s="622" t="s">
        <v>1334</v>
      </c>
      <c r="C1663" s="633" t="str">
        <f t="shared" si="757"/>
        <v xml:space="preserve"> </v>
      </c>
      <c r="D1663" s="553"/>
      <c r="E1663" s="694" t="str">
        <f>VLOOKUP($B1663,dongia1,DG!$C$5,)</f>
        <v>Kéo dây nhôm lõi thép cỡ dây 185mm2</v>
      </c>
      <c r="F1663" s="555" t="str">
        <f>VLOOKUP($B1663,dongia1,DG!$D$5,)</f>
        <v>km</v>
      </c>
      <c r="G1663" s="205">
        <f t="shared" si="760"/>
        <v>0</v>
      </c>
      <c r="H1663" s="556">
        <f t="shared" si="751"/>
        <v>0</v>
      </c>
      <c r="I1663" s="556"/>
      <c r="J1663" s="556">
        <f t="shared" si="752"/>
        <v>0</v>
      </c>
      <c r="K1663" s="556"/>
      <c r="L1663" s="556"/>
      <c r="M1663" s="556"/>
      <c r="N1663" s="556"/>
      <c r="O1663" s="556"/>
      <c r="P1663" s="182">
        <f>VLOOKUP($B1663,dongia1,DG!$F$5,)</f>
        <v>0</v>
      </c>
      <c r="Q1663" s="702">
        <f>VLOOKUP($B1663,dongia1,DG!$G$5,)</f>
        <v>4612589</v>
      </c>
      <c r="R1663" s="554"/>
      <c r="S1663" s="113">
        <f t="shared" si="761"/>
        <v>0</v>
      </c>
      <c r="T1663" s="182">
        <f>VLOOKUP($B1663,dongia1,DG!G$5,)*G1663*hskd</f>
        <v>0</v>
      </c>
      <c r="U1663" s="557">
        <f t="shared" si="759"/>
        <v>0</v>
      </c>
    </row>
    <row r="1664" spans="1:21" s="552" customFormat="1" ht="15" customHeight="1">
      <c r="A1664" s="621"/>
      <c r="B1664" s="622" t="s">
        <v>1510</v>
      </c>
      <c r="C1664" s="633" t="str">
        <f t="shared" si="757"/>
        <v xml:space="preserve"> </v>
      </c>
      <c r="D1664" s="553"/>
      <c r="E1664" s="694" t="str">
        <f>VLOOKUP($B1664,dongia1,DG!$C$5,)</f>
        <v>Kéo dây nhôm lõi thép cỡ dây 240mm2</v>
      </c>
      <c r="F1664" s="555" t="str">
        <f>VLOOKUP($B1664,dongia1,DG!$D$5,)</f>
        <v>km</v>
      </c>
      <c r="G1664" s="205">
        <f t="shared" si="760"/>
        <v>0</v>
      </c>
      <c r="H1664" s="556">
        <f t="shared" si="751"/>
        <v>0</v>
      </c>
      <c r="I1664" s="556"/>
      <c r="J1664" s="556">
        <f t="shared" si="752"/>
        <v>0</v>
      </c>
      <c r="K1664" s="556"/>
      <c r="L1664" s="556"/>
      <c r="M1664" s="556"/>
      <c r="N1664" s="556"/>
      <c r="O1664" s="556"/>
      <c r="P1664" s="182">
        <f>VLOOKUP($B1664,dongia1,DG!$F$5,)</f>
        <v>0</v>
      </c>
      <c r="Q1664" s="702">
        <f>VLOOKUP($B1664,dongia1,DG!$G$5,)</f>
        <v>5638141</v>
      </c>
      <c r="R1664" s="554"/>
      <c r="S1664" s="113">
        <f t="shared" si="761"/>
        <v>0</v>
      </c>
      <c r="T1664" s="182">
        <f>VLOOKUP($B1664,dongia1,DG!G$5,)*G1664*hskd</f>
        <v>0</v>
      </c>
      <c r="U1664" s="557">
        <f t="shared" si="759"/>
        <v>0</v>
      </c>
    </row>
    <row r="1665" spans="1:21">
      <c r="B1665" s="696" t="s">
        <v>4215</v>
      </c>
      <c r="C1665" s="697" t="str">
        <f t="shared" si="757"/>
        <v xml:space="preserve"> </v>
      </c>
      <c r="D1665" s="698"/>
      <c r="E1665" s="699" t="str">
        <f>VLOOKUP($B1665,dongia1,DG!$C$5,)</f>
        <v>Kéo dây nhôm lõi thép bọc cỡ dây 50mm2 (TC + MK)</v>
      </c>
      <c r="F1665" s="700" t="str">
        <f>VLOOKUP($B1665,dongia1,DG!$D$5,)</f>
        <v>km</v>
      </c>
      <c r="G1665" s="762">
        <f t="shared" ref="G1665:G1671" si="762">(D1465+D1472)/1000</f>
        <v>0</v>
      </c>
      <c r="H1665" s="701">
        <f t="shared" si="751"/>
        <v>0</v>
      </c>
      <c r="I1665" s="701"/>
      <c r="J1665" s="701">
        <f t="shared" ref="J1665:J1679" si="763">G1665</f>
        <v>0</v>
      </c>
      <c r="K1665" s="701"/>
      <c r="L1665" s="701"/>
      <c r="M1665" s="701"/>
      <c r="N1665" s="701"/>
      <c r="O1665" s="701"/>
      <c r="P1665" s="702">
        <f>VLOOKUP($B1665,dongia1,DG!$F$5,)</f>
        <v>0</v>
      </c>
      <c r="Q1665" s="702">
        <f>VLOOKUP($B1665,dongia1,DG!$G$5,)</f>
        <v>2646176.4900000002</v>
      </c>
      <c r="R1665" s="703"/>
      <c r="S1665" s="702">
        <f t="shared" ref="S1665:T1679" si="764">$G1665*P1665</f>
        <v>0</v>
      </c>
      <c r="T1665" s="702">
        <f t="shared" si="764"/>
        <v>0</v>
      </c>
      <c r="U1665" s="930">
        <f t="shared" si="759"/>
        <v>0</v>
      </c>
    </row>
    <row r="1666" spans="1:21" s="552" customFormat="1" ht="15" customHeight="1">
      <c r="A1666" s="621"/>
      <c r="B1666" s="622" t="s">
        <v>4216</v>
      </c>
      <c r="C1666" s="633" t="str">
        <f t="shared" si="757"/>
        <v xml:space="preserve"> </v>
      </c>
      <c r="D1666" s="553"/>
      <c r="E1666" s="694" t="str">
        <f>VLOOKUP($B1666,dongia1,DG!$C$5,)</f>
        <v>Kéo dây nhôm lõi thép bọc cỡ dây 70mm2 (TC + MK)</v>
      </c>
      <c r="F1666" s="555" t="str">
        <f>VLOOKUP($B1666,dongia1,DG!$D$5,)</f>
        <v>km</v>
      </c>
      <c r="G1666" s="205">
        <f t="shared" si="762"/>
        <v>0</v>
      </c>
      <c r="H1666" s="556">
        <f t="shared" si="751"/>
        <v>0</v>
      </c>
      <c r="I1666" s="556"/>
      <c r="J1666" s="556">
        <f t="shared" si="763"/>
        <v>0</v>
      </c>
      <c r="K1666" s="556"/>
      <c r="L1666" s="556"/>
      <c r="M1666" s="556"/>
      <c r="N1666" s="556"/>
      <c r="O1666" s="556"/>
      <c r="P1666" s="182">
        <f>VLOOKUP($B1666,dongia1,DG!$F$5,)</f>
        <v>0</v>
      </c>
      <c r="Q1666" s="702">
        <f>VLOOKUP($B1666,dongia1,DG!$G$5,)</f>
        <v>2646176.4900000002</v>
      </c>
      <c r="R1666" s="554"/>
      <c r="S1666" s="113">
        <f t="shared" si="764"/>
        <v>0</v>
      </c>
      <c r="T1666" s="182">
        <f>VLOOKUP($B1666,dongia1,DG!G$5,)*G1666*hskd</f>
        <v>0</v>
      </c>
      <c r="U1666" s="715">
        <f t="shared" ref="U1666:U1679" si="765">$G1666*R1666</f>
        <v>0</v>
      </c>
    </row>
    <row r="1667" spans="1:21" s="552" customFormat="1" ht="15" customHeight="1">
      <c r="A1667" s="621"/>
      <c r="B1667" s="622" t="s">
        <v>4217</v>
      </c>
      <c r="C1667" s="633" t="str">
        <f t="shared" si="757"/>
        <v xml:space="preserve"> </v>
      </c>
      <c r="D1667" s="553"/>
      <c r="E1667" s="694" t="str">
        <f>VLOOKUP($B1667,dongia1,DG!$C$5,)</f>
        <v>Kéo dây nhôm lõi thép bọc cỡ dây 95mm2 (TC + MK)</v>
      </c>
      <c r="F1667" s="555" t="str">
        <f>VLOOKUP($B1667,dongia1,DG!$D$5,)</f>
        <v>km</v>
      </c>
      <c r="G1667" s="205">
        <f t="shared" si="762"/>
        <v>0</v>
      </c>
      <c r="H1667" s="556">
        <f t="shared" si="751"/>
        <v>0</v>
      </c>
      <c r="I1667" s="556"/>
      <c r="J1667" s="556">
        <f t="shared" si="763"/>
        <v>0</v>
      </c>
      <c r="K1667" s="556"/>
      <c r="L1667" s="556"/>
      <c r="M1667" s="556"/>
      <c r="N1667" s="556"/>
      <c r="O1667" s="556"/>
      <c r="P1667" s="182">
        <f>VLOOKUP($B1667,dongia1,DG!$F$5,)</f>
        <v>0</v>
      </c>
      <c r="Q1667" s="702">
        <f>VLOOKUP($B1667,dongia1,DG!$G$5,)</f>
        <v>3792533.2499999995</v>
      </c>
      <c r="R1667" s="554"/>
      <c r="S1667" s="113">
        <f t="shared" si="764"/>
        <v>0</v>
      </c>
      <c r="T1667" s="182">
        <f>VLOOKUP($B1667,dongia1,DG!G$5,)*G1667*hskd</f>
        <v>0</v>
      </c>
      <c r="U1667" s="557">
        <f t="shared" si="765"/>
        <v>0</v>
      </c>
    </row>
    <row r="1668" spans="1:21" s="552" customFormat="1" ht="15" customHeight="1">
      <c r="A1668" s="621"/>
      <c r="B1668" s="622" t="s">
        <v>4218</v>
      </c>
      <c r="C1668" s="633" t="str">
        <f t="shared" si="757"/>
        <v xml:space="preserve"> </v>
      </c>
      <c r="D1668" s="553"/>
      <c r="E1668" s="694" t="str">
        <f>VLOOKUP($B1668,dongia1,DG!$C$5,)</f>
        <v>Kéo dây nhôm lõi thép bọc cỡ dây 120mm2</v>
      </c>
      <c r="F1668" s="555" t="str">
        <f>VLOOKUP($B1668,dongia1,DG!$D$5,)</f>
        <v>km</v>
      </c>
      <c r="G1668" s="205">
        <f t="shared" si="762"/>
        <v>0</v>
      </c>
      <c r="H1668" s="556">
        <f t="shared" si="751"/>
        <v>0</v>
      </c>
      <c r="I1668" s="556"/>
      <c r="J1668" s="556">
        <f t="shared" si="763"/>
        <v>0</v>
      </c>
      <c r="K1668" s="556"/>
      <c r="L1668" s="556"/>
      <c r="M1668" s="556"/>
      <c r="N1668" s="556"/>
      <c r="O1668" s="556"/>
      <c r="P1668" s="182">
        <f>VLOOKUP($B1668,dongia1,DG!$F$5,)</f>
        <v>0</v>
      </c>
      <c r="Q1668" s="702">
        <f>VLOOKUP($B1668,dongia1,DG!$G$5,)</f>
        <v>3888951</v>
      </c>
      <c r="R1668" s="554"/>
      <c r="S1668" s="113">
        <f t="shared" si="764"/>
        <v>0</v>
      </c>
      <c r="T1668" s="182">
        <f>VLOOKUP($B1668,dongia1,DG!G$5,)*G1668*hskd</f>
        <v>0</v>
      </c>
      <c r="U1668" s="557">
        <f t="shared" si="765"/>
        <v>0</v>
      </c>
    </row>
    <row r="1669" spans="1:21" s="552" customFormat="1" ht="15" customHeight="1">
      <c r="A1669" s="621"/>
      <c r="B1669" s="622" t="s">
        <v>144</v>
      </c>
      <c r="C1669" s="633" t="str">
        <f t="shared" si="757"/>
        <v xml:space="preserve"> </v>
      </c>
      <c r="D1669" s="553"/>
      <c r="E1669" s="694" t="str">
        <f>VLOOKUP($B1669,dongia1,DG!$C$5,)</f>
        <v>Kéo dây nhôm lõi thép bọc cỡ dây 150mm2</v>
      </c>
      <c r="F1669" s="555" t="str">
        <f>VLOOKUP($B1669,dongia1,DG!$D$5,)</f>
        <v>km</v>
      </c>
      <c r="G1669" s="205">
        <f t="shared" si="762"/>
        <v>0</v>
      </c>
      <c r="H1669" s="556">
        <f t="shared" si="751"/>
        <v>0</v>
      </c>
      <c r="I1669" s="556"/>
      <c r="J1669" s="556">
        <f t="shared" si="763"/>
        <v>0</v>
      </c>
      <c r="K1669" s="556"/>
      <c r="L1669" s="556"/>
      <c r="M1669" s="556"/>
      <c r="N1669" s="556"/>
      <c r="O1669" s="556"/>
      <c r="P1669" s="182">
        <f>VLOOKUP($B1669,dongia1,DG!$F$5,)</f>
        <v>0</v>
      </c>
      <c r="Q1669" s="702">
        <f>VLOOKUP($B1669,dongia1,DG!$G$5,)</f>
        <v>4413708</v>
      </c>
      <c r="R1669" s="554"/>
      <c r="S1669" s="113">
        <f t="shared" si="764"/>
        <v>0</v>
      </c>
      <c r="T1669" s="182">
        <f>VLOOKUP($B1669,dongia1,DG!G$5,)*G1669*hskd</f>
        <v>0</v>
      </c>
      <c r="U1669" s="557">
        <f t="shared" si="765"/>
        <v>0</v>
      </c>
    </row>
    <row r="1670" spans="1:21" s="552" customFormat="1" ht="15" customHeight="1">
      <c r="A1670" s="621"/>
      <c r="B1670" s="622" t="s">
        <v>4219</v>
      </c>
      <c r="C1670" s="633" t="str">
        <f t="shared" si="757"/>
        <v xml:space="preserve"> </v>
      </c>
      <c r="D1670" s="553"/>
      <c r="E1670" s="694" t="str">
        <f>VLOOKUP($B1670,dongia1,DG!$C$5,)</f>
        <v>Kéo dây nhôm lõi thép bọc cỡ dây 185mm2</v>
      </c>
      <c r="F1670" s="555" t="str">
        <f>VLOOKUP($B1670,dongia1,DG!$D$5,)</f>
        <v>km</v>
      </c>
      <c r="G1670" s="205">
        <f t="shared" si="762"/>
        <v>0</v>
      </c>
      <c r="H1670" s="556">
        <f t="shared" si="751"/>
        <v>0</v>
      </c>
      <c r="I1670" s="556"/>
      <c r="J1670" s="556">
        <f t="shared" si="763"/>
        <v>0</v>
      </c>
      <c r="K1670" s="556"/>
      <c r="L1670" s="556"/>
      <c r="M1670" s="556"/>
      <c r="N1670" s="556"/>
      <c r="O1670" s="556"/>
      <c r="P1670" s="182">
        <f>VLOOKUP($B1670,dongia1,DG!$F$5,)</f>
        <v>0</v>
      </c>
      <c r="Q1670" s="702">
        <f>VLOOKUP($B1670,dongia1,DG!$G$5,)</f>
        <v>4612589</v>
      </c>
      <c r="R1670" s="554"/>
      <c r="S1670" s="113">
        <f t="shared" si="764"/>
        <v>0</v>
      </c>
      <c r="T1670" s="182">
        <f>VLOOKUP($B1670,dongia1,DG!G$5,)*G1670*hskd</f>
        <v>0</v>
      </c>
      <c r="U1670" s="557">
        <f t="shared" si="765"/>
        <v>0</v>
      </c>
    </row>
    <row r="1671" spans="1:21" s="552" customFormat="1" ht="15" customHeight="1">
      <c r="A1671" s="621"/>
      <c r="B1671" s="622" t="s">
        <v>4220</v>
      </c>
      <c r="C1671" s="633" t="str">
        <f t="shared" si="757"/>
        <v xml:space="preserve"> </v>
      </c>
      <c r="D1671" s="553"/>
      <c r="E1671" s="694" t="str">
        <f>VLOOKUP($B1671,dongia1,DG!$C$5,)</f>
        <v>Kéo dây nhôm lõi thép bọc cỡ dây 240mm2</v>
      </c>
      <c r="F1671" s="555" t="str">
        <f>VLOOKUP($B1671,dongia1,DG!$D$5,)</f>
        <v>km</v>
      </c>
      <c r="G1671" s="205">
        <f t="shared" si="762"/>
        <v>0</v>
      </c>
      <c r="H1671" s="556">
        <f t="shared" si="751"/>
        <v>0</v>
      </c>
      <c r="I1671" s="556"/>
      <c r="J1671" s="556">
        <f t="shared" si="763"/>
        <v>0</v>
      </c>
      <c r="K1671" s="556"/>
      <c r="L1671" s="556"/>
      <c r="M1671" s="556"/>
      <c r="N1671" s="556"/>
      <c r="O1671" s="556"/>
      <c r="P1671" s="182">
        <f>VLOOKUP($B1671,dongia1,DG!$F$5,)</f>
        <v>0</v>
      </c>
      <c r="Q1671" s="702">
        <f>VLOOKUP($B1671,dongia1,DG!$G$5,)</f>
        <v>5638141</v>
      </c>
      <c r="R1671" s="554"/>
      <c r="S1671" s="113">
        <f t="shared" si="764"/>
        <v>0</v>
      </c>
      <c r="T1671" s="182">
        <f>VLOOKUP($B1671,dongia1,DG!G$5,)*G1671</f>
        <v>0</v>
      </c>
      <c r="U1671" s="718">
        <f t="shared" si="765"/>
        <v>0</v>
      </c>
    </row>
    <row r="1672" spans="1:21" s="1011" customFormat="1">
      <c r="A1672" s="1000"/>
      <c r="B1672" s="1001" t="s">
        <v>418</v>
      </c>
      <c r="C1672" s="1002" t="str">
        <f t="shared" si="757"/>
        <v xml:space="preserve"> </v>
      </c>
      <c r="D1672" s="1003"/>
      <c r="E1672" s="1004" t="str">
        <f>VLOOKUP($B1672,dongia1,DG!$C$5,)&amp;": Lắp sử dụng lại"</f>
        <v>Kéo dây nhôm lõi thép cỡ dây 50mm2 (TC): Lắp sử dụng lại</v>
      </c>
      <c r="F1672" s="1005" t="str">
        <f>VLOOKUP($B1672,dongia1,DG!$D$5,)</f>
        <v>km</v>
      </c>
      <c r="G1672" s="1006">
        <f>(pptt_NC!ID41+pptt_NC!IG41*3)/1000</f>
        <v>0</v>
      </c>
      <c r="H1672" s="1007">
        <f t="shared" si="751"/>
        <v>0</v>
      </c>
      <c r="I1672" s="701"/>
      <c r="J1672" s="701">
        <f t="shared" si="763"/>
        <v>0</v>
      </c>
      <c r="K1672" s="701"/>
      <c r="L1672" s="701"/>
      <c r="M1672" s="701"/>
      <c r="N1672" s="701"/>
      <c r="O1672" s="701"/>
      <c r="P1672" s="1008">
        <f>VLOOKUP($B1672,dongia1,DG!$F$5,)*0</f>
        <v>0</v>
      </c>
      <c r="Q1672" s="702">
        <f>VLOOKUP($B1672,dongia1,DG!$G$5,)</f>
        <v>3600186.2049999996</v>
      </c>
      <c r="R1672" s="1008">
        <f>VLOOKUP($B1672,dongia1,DG!$H$5,)</f>
        <v>0</v>
      </c>
      <c r="S1672" s="1008">
        <f t="shared" si="764"/>
        <v>0</v>
      </c>
      <c r="T1672" s="1008">
        <f>VLOOKUP($B1672,dongia1,DG!G$5,)*G1672*hskd</f>
        <v>0</v>
      </c>
      <c r="U1672" s="1013">
        <f t="shared" si="765"/>
        <v>0</v>
      </c>
    </row>
    <row r="1673" spans="1:21" s="552" customFormat="1" ht="15" customHeight="1">
      <c r="A1673" s="621"/>
      <c r="B1673" s="622" t="s">
        <v>1109</v>
      </c>
      <c r="C1673" s="633" t="str">
        <f t="shared" si="757"/>
        <v xml:space="preserve"> </v>
      </c>
      <c r="D1673" s="553"/>
      <c r="E1673" s="694" t="str">
        <f>VLOOKUP($B1673,dongia1,DG!$C$5,)</f>
        <v>Kéo dây nhôm bọc 50mm2</v>
      </c>
      <c r="F1673" s="555" t="str">
        <f>VLOOKUP($B1673,dongia1,DG!$D$5,)</f>
        <v>km</v>
      </c>
      <c r="G1673" s="205">
        <f t="shared" ref="G1673:G1679" si="766">D1479/1000</f>
        <v>0</v>
      </c>
      <c r="H1673" s="556">
        <f t="shared" si="751"/>
        <v>0</v>
      </c>
      <c r="I1673" s="556"/>
      <c r="J1673" s="556">
        <f t="shared" si="763"/>
        <v>0</v>
      </c>
      <c r="K1673" s="556"/>
      <c r="L1673" s="556"/>
      <c r="M1673" s="556"/>
      <c r="N1673" s="556"/>
      <c r="O1673" s="556"/>
      <c r="P1673" s="182">
        <f>VLOOKUP($B1673,dongia1,DG!$F$5,)</f>
        <v>0</v>
      </c>
      <c r="Q1673" s="702">
        <f>VLOOKUP($B1673,dongia1,DG!$G$5,)</f>
        <v>1986408</v>
      </c>
      <c r="R1673" s="554"/>
      <c r="S1673" s="113">
        <f t="shared" si="764"/>
        <v>0</v>
      </c>
      <c r="T1673" s="182">
        <f>VLOOKUP($B1673,dongia1,DG!G$5,)*G1673*hskd</f>
        <v>0</v>
      </c>
      <c r="U1673" s="715">
        <f t="shared" si="765"/>
        <v>0</v>
      </c>
    </row>
    <row r="1674" spans="1:21" s="552" customFormat="1" ht="15" customHeight="1">
      <c r="A1674" s="621"/>
      <c r="B1674" s="622" t="s">
        <v>909</v>
      </c>
      <c r="C1674" s="633" t="str">
        <f t="shared" si="757"/>
        <v xml:space="preserve"> </v>
      </c>
      <c r="D1674" s="553"/>
      <c r="E1674" s="694" t="str">
        <f>VLOOKUP($B1674,dongia1,DG!$C$5,)</f>
        <v>Kéo dây nhôm bọc 70mm2</v>
      </c>
      <c r="F1674" s="555" t="str">
        <f>VLOOKUP($B1674,dongia1,DG!$D$5,)</f>
        <v>km</v>
      </c>
      <c r="G1674" s="205">
        <f t="shared" si="766"/>
        <v>0</v>
      </c>
      <c r="H1674" s="556">
        <f t="shared" si="751"/>
        <v>0</v>
      </c>
      <c r="I1674" s="556"/>
      <c r="J1674" s="556">
        <f t="shared" si="763"/>
        <v>0</v>
      </c>
      <c r="K1674" s="556"/>
      <c r="L1674" s="556"/>
      <c r="M1674" s="556"/>
      <c r="N1674" s="556"/>
      <c r="O1674" s="556"/>
      <c r="P1674" s="182">
        <f>VLOOKUP($B1674,dongia1,DG!$F$5,)</f>
        <v>0</v>
      </c>
      <c r="Q1674" s="702">
        <f>VLOOKUP($B1674,dongia1,DG!$G$5,)</f>
        <v>1986408</v>
      </c>
      <c r="R1674" s="554"/>
      <c r="S1674" s="113">
        <f t="shared" si="764"/>
        <v>0</v>
      </c>
      <c r="T1674" s="182">
        <f>VLOOKUP($B1674,dongia1,DG!G$5,)*G1674*hskd</f>
        <v>0</v>
      </c>
      <c r="U1674" s="557">
        <f t="shared" si="765"/>
        <v>0</v>
      </c>
    </row>
    <row r="1675" spans="1:21" s="552" customFormat="1" ht="15" customHeight="1">
      <c r="A1675" s="621"/>
      <c r="B1675" s="622" t="s">
        <v>1099</v>
      </c>
      <c r="C1675" s="633" t="str">
        <f t="shared" si="757"/>
        <v xml:space="preserve"> </v>
      </c>
      <c r="D1675" s="553"/>
      <c r="E1675" s="694" t="str">
        <f>VLOOKUP($B1675,dongia1,DG!$C$5,)</f>
        <v>Kéo dây nhôm bọc 95mm2</v>
      </c>
      <c r="F1675" s="555" t="str">
        <f>VLOOKUP($B1675,dongia1,DG!$D$5,)</f>
        <v>km</v>
      </c>
      <c r="G1675" s="205">
        <f t="shared" si="766"/>
        <v>0</v>
      </c>
      <c r="H1675" s="556">
        <f t="shared" si="751"/>
        <v>0</v>
      </c>
      <c r="I1675" s="556"/>
      <c r="J1675" s="556">
        <f t="shared" si="763"/>
        <v>0</v>
      </c>
      <c r="K1675" s="556"/>
      <c r="L1675" s="556"/>
      <c r="M1675" s="556"/>
      <c r="N1675" s="556"/>
      <c r="O1675" s="556"/>
      <c r="P1675" s="182">
        <f>VLOOKUP($B1675,dongia1,DG!$F$5,)</f>
        <v>0</v>
      </c>
      <c r="Q1675" s="702">
        <f>VLOOKUP($B1675,dongia1,DG!$G$5,)</f>
        <v>2698065</v>
      </c>
      <c r="R1675" s="554"/>
      <c r="S1675" s="113">
        <f t="shared" si="764"/>
        <v>0</v>
      </c>
      <c r="T1675" s="182">
        <f>VLOOKUP($B1675,dongia1,DG!G$5,)*G1675*hskd</f>
        <v>0</v>
      </c>
      <c r="U1675" s="557">
        <f t="shared" si="765"/>
        <v>0</v>
      </c>
    </row>
    <row r="1676" spans="1:21" s="552" customFormat="1" ht="15" customHeight="1">
      <c r="A1676" s="621"/>
      <c r="B1676" s="622" t="s">
        <v>256</v>
      </c>
      <c r="C1676" s="633" t="str">
        <f t="shared" si="757"/>
        <v xml:space="preserve"> </v>
      </c>
      <c r="D1676" s="553"/>
      <c r="E1676" s="694" t="str">
        <f>VLOOKUP($B1676,dongia1,DG!$C$5,)</f>
        <v>Kéo dây nhôm bọc 120mm2</v>
      </c>
      <c r="F1676" s="555" t="str">
        <f>VLOOKUP($B1676,dongia1,DG!$D$5,)</f>
        <v>km</v>
      </c>
      <c r="G1676" s="205">
        <f t="shared" si="766"/>
        <v>0</v>
      </c>
      <c r="H1676" s="556">
        <f t="shared" si="751"/>
        <v>0</v>
      </c>
      <c r="I1676" s="556"/>
      <c r="J1676" s="556">
        <f t="shared" si="763"/>
        <v>0</v>
      </c>
      <c r="K1676" s="556"/>
      <c r="L1676" s="556"/>
      <c r="M1676" s="556"/>
      <c r="N1676" s="556"/>
      <c r="O1676" s="556"/>
      <c r="P1676" s="182">
        <f>VLOOKUP($B1676,dongia1,DG!$F$5,)</f>
        <v>0</v>
      </c>
      <c r="Q1676" s="702">
        <f>VLOOKUP($B1676,dongia1,DG!$G$5,)</f>
        <v>3694863</v>
      </c>
      <c r="R1676" s="554"/>
      <c r="S1676" s="113">
        <f t="shared" si="764"/>
        <v>0</v>
      </c>
      <c r="T1676" s="182">
        <f>VLOOKUP($B1676,dongia1,DG!G$5,)*G1676*hskd</f>
        <v>0</v>
      </c>
      <c r="U1676" s="557">
        <f t="shared" si="765"/>
        <v>0</v>
      </c>
    </row>
    <row r="1677" spans="1:21" s="552" customFormat="1" ht="15" customHeight="1">
      <c r="A1677" s="621"/>
      <c r="B1677" s="622" t="s">
        <v>666</v>
      </c>
      <c r="C1677" s="633" t="str">
        <f t="shared" si="757"/>
        <v xml:space="preserve"> </v>
      </c>
      <c r="D1677" s="553"/>
      <c r="E1677" s="694" t="str">
        <f>VLOOKUP($B1677,dongia1,DG!$C$5,)</f>
        <v>Kéo dây nhôm bọc 150mm2</v>
      </c>
      <c r="F1677" s="555" t="str">
        <f>VLOOKUP($B1677,dongia1,DG!$D$5,)</f>
        <v>km</v>
      </c>
      <c r="G1677" s="205">
        <f t="shared" si="766"/>
        <v>0</v>
      </c>
      <c r="H1677" s="556">
        <f t="shared" si="751"/>
        <v>0</v>
      </c>
      <c r="I1677" s="556"/>
      <c r="J1677" s="556">
        <f t="shared" si="763"/>
        <v>0</v>
      </c>
      <c r="K1677" s="556"/>
      <c r="L1677" s="556"/>
      <c r="M1677" s="556"/>
      <c r="N1677" s="556"/>
      <c r="O1677" s="556"/>
      <c r="P1677" s="182">
        <f>VLOOKUP($B1677,dongia1,DG!$F$5,)</f>
        <v>0</v>
      </c>
      <c r="Q1677" s="702">
        <f>VLOOKUP($B1677,dongia1,DG!$G$5,)</f>
        <v>4193263</v>
      </c>
      <c r="R1677" s="554"/>
      <c r="S1677" s="113">
        <f t="shared" si="764"/>
        <v>0</v>
      </c>
      <c r="T1677" s="182">
        <f>VLOOKUP($B1677,dongia1,DG!G$5,)*G1677*hskd</f>
        <v>0</v>
      </c>
      <c r="U1677" s="557">
        <f t="shared" si="765"/>
        <v>0</v>
      </c>
    </row>
    <row r="1678" spans="1:21" s="552" customFormat="1" ht="15" customHeight="1">
      <c r="A1678" s="621"/>
      <c r="B1678" s="622" t="s">
        <v>667</v>
      </c>
      <c r="C1678" s="633" t="str">
        <f t="shared" si="757"/>
        <v xml:space="preserve"> </v>
      </c>
      <c r="D1678" s="553"/>
      <c r="E1678" s="694" t="str">
        <f>VLOOKUP($B1678,dongia1,DG!$C$5,)</f>
        <v>Kéo dây nhôm bọc 185mm2</v>
      </c>
      <c r="F1678" s="555" t="str">
        <f>VLOOKUP($B1678,dongia1,DG!$D$5,)</f>
        <v>km</v>
      </c>
      <c r="G1678" s="205">
        <f t="shared" si="766"/>
        <v>0</v>
      </c>
      <c r="H1678" s="556">
        <f t="shared" si="751"/>
        <v>0</v>
      </c>
      <c r="I1678" s="556"/>
      <c r="J1678" s="556">
        <f t="shared" si="763"/>
        <v>0</v>
      </c>
      <c r="K1678" s="556"/>
      <c r="L1678" s="556"/>
      <c r="M1678" s="556"/>
      <c r="N1678" s="556"/>
      <c r="O1678" s="556"/>
      <c r="P1678" s="182">
        <f>VLOOKUP($B1678,dongia1,DG!$F$5,)</f>
        <v>0</v>
      </c>
      <c r="Q1678" s="702">
        <f>VLOOKUP($B1678,dongia1,DG!$G$5,)</f>
        <v>4382558</v>
      </c>
      <c r="R1678" s="554"/>
      <c r="S1678" s="113">
        <f t="shared" si="764"/>
        <v>0</v>
      </c>
      <c r="T1678" s="182">
        <f>VLOOKUP($B1678,dongia1,DG!G$5,)*G1678*hskd</f>
        <v>0</v>
      </c>
      <c r="U1678" s="557">
        <f t="shared" si="765"/>
        <v>0</v>
      </c>
    </row>
    <row r="1679" spans="1:21" s="552" customFormat="1" ht="15" customHeight="1">
      <c r="A1679" s="621"/>
      <c r="B1679" s="622" t="s">
        <v>1066</v>
      </c>
      <c r="C1679" s="633" t="str">
        <f t="shared" si="757"/>
        <v xml:space="preserve"> </v>
      </c>
      <c r="D1679" s="553"/>
      <c r="E1679" s="694" t="str">
        <f>VLOOKUP($B1679,dongia1,DG!$C$5,)</f>
        <v>Kéo dây nhôm bọc 240mm2</v>
      </c>
      <c r="F1679" s="555" t="str">
        <f>VLOOKUP($B1679,dongia1,DG!$D$5,)</f>
        <v>km</v>
      </c>
      <c r="G1679" s="205">
        <f t="shared" si="766"/>
        <v>0</v>
      </c>
      <c r="H1679" s="556">
        <f t="shared" si="751"/>
        <v>0</v>
      </c>
      <c r="I1679" s="556"/>
      <c r="J1679" s="556">
        <f t="shared" si="763"/>
        <v>0</v>
      </c>
      <c r="K1679" s="556"/>
      <c r="L1679" s="556"/>
      <c r="M1679" s="556"/>
      <c r="N1679" s="556"/>
      <c r="O1679" s="556"/>
      <c r="P1679" s="182">
        <f>VLOOKUP($B1679,dongia1,DG!$F$5,)</f>
        <v>0</v>
      </c>
      <c r="Q1679" s="702">
        <f>VLOOKUP($B1679,dongia1,DG!$G$5,)</f>
        <v>4900127</v>
      </c>
      <c r="R1679" s="554"/>
      <c r="S1679" s="113">
        <f t="shared" si="764"/>
        <v>0</v>
      </c>
      <c r="T1679" s="182">
        <f>VLOOKUP($B1679,dongia1,DG!G$5,)*G1679*hskd</f>
        <v>0</v>
      </c>
      <c r="U1679" s="557">
        <f t="shared" si="765"/>
        <v>0</v>
      </c>
    </row>
    <row r="1680" spans="1:21" s="552" customFormat="1" ht="15" customHeight="1">
      <c r="A1680" s="621"/>
      <c r="B1680" s="622" t="s">
        <v>493</v>
      </c>
      <c r="C1680" s="633" t="str">
        <f t="shared" ref="C1680:C1711" si="767">IF(G1680&lt;&gt;0,$C$1457," ")</f>
        <v xml:space="preserve"> </v>
      </c>
      <c r="D1680" s="553"/>
      <c r="E1680" s="694" t="str">
        <f>VLOOKUP($B1680,dongia1,DG!$C$5,)</f>
        <v>Kéo dây  đồng (M), tiết diện &lt;=25mm2, bằng thủ công</v>
      </c>
      <c r="F1680" s="555" t="str">
        <f>VLOOKUP($B1680,dongia1,DG!$D$5,)</f>
        <v>km</v>
      </c>
      <c r="G1680" s="205"/>
      <c r="H1680" s="556">
        <f t="shared" si="751"/>
        <v>0</v>
      </c>
      <c r="I1680" s="556"/>
      <c r="J1680" s="556">
        <f t="shared" si="752"/>
        <v>0</v>
      </c>
      <c r="K1680" s="556"/>
      <c r="L1680" s="556"/>
      <c r="M1680" s="556"/>
      <c r="N1680" s="556"/>
      <c r="O1680" s="556"/>
      <c r="P1680" s="182">
        <f>VLOOKUP($B1680,dongia1,DG!$F$5,)</f>
        <v>0</v>
      </c>
      <c r="Q1680" s="702">
        <f>VLOOKUP($B1680,dongia1,DG!$G$5,)</f>
        <v>3183400</v>
      </c>
      <c r="R1680" s="554"/>
      <c r="S1680" s="113">
        <f t="shared" ref="S1680:S1691" si="768">$G1680*P1680</f>
        <v>0</v>
      </c>
      <c r="T1680" s="182">
        <f>VLOOKUP($B1680,dongia1,DG!G$5,)*G1680*hskd</f>
        <v>0</v>
      </c>
      <c r="U1680" s="557">
        <f t="shared" ref="U1680:U1698" si="769">$G1680*R1680</f>
        <v>0</v>
      </c>
    </row>
    <row r="1681" spans="1:21" s="552" customFormat="1" ht="15" customHeight="1">
      <c r="A1681" s="621"/>
      <c r="B1681" s="622" t="s">
        <v>480</v>
      </c>
      <c r="C1681" s="633" t="str">
        <f t="shared" si="767"/>
        <v xml:space="preserve"> </v>
      </c>
      <c r="D1681" s="553"/>
      <c r="E1681" s="694" t="str">
        <f>VLOOKUP($B1681,dongia1,DG!$C$5,)</f>
        <v>Kéo dây đồng bọc 25mm2</v>
      </c>
      <c r="F1681" s="555" t="str">
        <f>VLOOKUP($B1681,dongia1,DG!$D$5,)</f>
        <v>km</v>
      </c>
      <c r="G1681" s="205"/>
      <c r="H1681" s="556">
        <f t="shared" si="751"/>
        <v>0</v>
      </c>
      <c r="I1681" s="556"/>
      <c r="J1681" s="556">
        <f t="shared" si="752"/>
        <v>0</v>
      </c>
      <c r="K1681" s="556"/>
      <c r="L1681" s="556"/>
      <c r="M1681" s="556"/>
      <c r="N1681" s="556"/>
      <c r="O1681" s="556"/>
      <c r="P1681" s="182">
        <f>VLOOKUP($B1681,dongia1,DG!$F$5,)</f>
        <v>0</v>
      </c>
      <c r="Q1681" s="702">
        <f>VLOOKUP($B1681,dongia1,DG!$G$5,)</f>
        <v>1244973</v>
      </c>
      <c r="R1681" s="554"/>
      <c r="S1681" s="113">
        <f t="shared" si="768"/>
        <v>0</v>
      </c>
      <c r="T1681" s="182">
        <f>VLOOKUP($B1681,dongia1,DG!G$5,)*G1681*hskd</f>
        <v>0</v>
      </c>
      <c r="U1681" s="557">
        <f t="shared" si="769"/>
        <v>0</v>
      </c>
    </row>
    <row r="1682" spans="1:21" s="552" customFormat="1" ht="15" customHeight="1">
      <c r="A1682" s="621"/>
      <c r="B1682" s="622" t="s">
        <v>1516</v>
      </c>
      <c r="C1682" s="633" t="str">
        <f t="shared" si="767"/>
        <v xml:space="preserve"> </v>
      </c>
      <c r="D1682" s="553"/>
      <c r="E1682" s="694" t="str">
        <f>VLOOKUP($B1682,dongia1,DG!$C$5,)</f>
        <v>Kéo dây đồng bọc 50mm2</v>
      </c>
      <c r="F1682" s="555" t="str">
        <f>VLOOKUP($B1682,dongia1,DG!$D$5,)</f>
        <v>km</v>
      </c>
      <c r="G1682" s="205"/>
      <c r="H1682" s="556">
        <f t="shared" si="751"/>
        <v>0</v>
      </c>
      <c r="I1682" s="556"/>
      <c r="J1682" s="556">
        <f t="shared" si="752"/>
        <v>0</v>
      </c>
      <c r="K1682" s="556"/>
      <c r="L1682" s="556"/>
      <c r="M1682" s="556"/>
      <c r="N1682" s="556"/>
      <c r="O1682" s="556"/>
      <c r="P1682" s="182">
        <f>VLOOKUP($B1682,dongia1,DG!$F$5,)</f>
        <v>0</v>
      </c>
      <c r="Q1682" s="702">
        <f>VLOOKUP($B1682,dongia1,DG!$G$5,)</f>
        <v>1244973</v>
      </c>
      <c r="R1682" s="554"/>
      <c r="S1682" s="113">
        <f t="shared" si="768"/>
        <v>0</v>
      </c>
      <c r="T1682" s="182">
        <f>VLOOKUP($B1682,dongia1,DG!G$5,)*G1682*hskd</f>
        <v>0</v>
      </c>
      <c r="U1682" s="557">
        <f t="shared" si="769"/>
        <v>0</v>
      </c>
    </row>
    <row r="1683" spans="1:21" s="552" customFormat="1" ht="15" customHeight="1">
      <c r="A1683" s="621"/>
      <c r="B1683" s="622" t="s">
        <v>1109</v>
      </c>
      <c r="C1683" s="633" t="str">
        <f t="shared" si="767"/>
        <v xml:space="preserve"> </v>
      </c>
      <c r="D1683" s="553"/>
      <c r="E1683" s="694" t="str">
        <f>VLOOKUP($B1683,dongia1,DG!$C$5,)</f>
        <v>Kéo dây nhôm bọc 50mm2</v>
      </c>
      <c r="F1683" s="555" t="str">
        <f>VLOOKUP($B1683,dongia1,DG!$D$5,)</f>
        <v>km</v>
      </c>
      <c r="G1683" s="205"/>
      <c r="H1683" s="556">
        <f t="shared" si="751"/>
        <v>0</v>
      </c>
      <c r="I1683" s="556"/>
      <c r="J1683" s="556">
        <f t="shared" si="752"/>
        <v>0</v>
      </c>
      <c r="K1683" s="556"/>
      <c r="L1683" s="556"/>
      <c r="M1683" s="556"/>
      <c r="N1683" s="556"/>
      <c r="O1683" s="556"/>
      <c r="P1683" s="182">
        <f>VLOOKUP($B1683,dongia1,DG!$F$5,)*0</f>
        <v>0</v>
      </c>
      <c r="Q1683" s="702">
        <f>VLOOKUP($B1683,dongia1,DG!$G$5,)</f>
        <v>1986408</v>
      </c>
      <c r="R1683" s="554"/>
      <c r="S1683" s="113">
        <f t="shared" si="768"/>
        <v>0</v>
      </c>
      <c r="T1683" s="182">
        <f>VLOOKUP($B1683,dongia1,DG!G$5,)*G1683*hskd</f>
        <v>0</v>
      </c>
      <c r="U1683" s="557">
        <f t="shared" si="769"/>
        <v>0</v>
      </c>
    </row>
    <row r="1684" spans="1:21" s="552" customFormat="1" ht="15" customHeight="1">
      <c r="A1684" s="621"/>
      <c r="B1684" s="622" t="s">
        <v>909</v>
      </c>
      <c r="C1684" s="633" t="str">
        <f t="shared" si="767"/>
        <v xml:space="preserve"> </v>
      </c>
      <c r="D1684" s="553"/>
      <c r="E1684" s="694" t="str">
        <f>VLOOKUP($B1684,dongia1,DG!$C$5,)</f>
        <v>Kéo dây nhôm bọc 70mm2</v>
      </c>
      <c r="F1684" s="555" t="str">
        <f>VLOOKUP($B1684,dongia1,DG!$D$5,)</f>
        <v>km</v>
      </c>
      <c r="G1684" s="205"/>
      <c r="H1684" s="556">
        <f t="shared" si="751"/>
        <v>0</v>
      </c>
      <c r="I1684" s="556"/>
      <c r="J1684" s="556">
        <f t="shared" si="752"/>
        <v>0</v>
      </c>
      <c r="K1684" s="556"/>
      <c r="L1684" s="556"/>
      <c r="M1684" s="556"/>
      <c r="N1684" s="556"/>
      <c r="O1684" s="556"/>
      <c r="P1684" s="182">
        <f>VLOOKUP($B1684,dongia1,DG!$F$5,)</f>
        <v>0</v>
      </c>
      <c r="Q1684" s="702">
        <f>VLOOKUP($B1684,dongia1,DG!$G$5,)</f>
        <v>1986408</v>
      </c>
      <c r="R1684" s="554"/>
      <c r="S1684" s="113">
        <f t="shared" si="768"/>
        <v>0</v>
      </c>
      <c r="T1684" s="182">
        <f>VLOOKUP($B1684,dongia1,DG!G$5,)*G1684*hskd</f>
        <v>0</v>
      </c>
      <c r="U1684" s="557">
        <f t="shared" si="769"/>
        <v>0</v>
      </c>
    </row>
    <row r="1685" spans="1:21" s="552" customFormat="1" ht="15" customHeight="1">
      <c r="A1685" s="621"/>
      <c r="B1685" s="622" t="s">
        <v>1099</v>
      </c>
      <c r="C1685" s="633" t="str">
        <f t="shared" si="767"/>
        <v xml:space="preserve"> </v>
      </c>
      <c r="D1685" s="553"/>
      <c r="E1685" s="694" t="str">
        <f>VLOOKUP($B1685,dongia1,DG!$C$5,)</f>
        <v>Kéo dây nhôm bọc 95mm2</v>
      </c>
      <c r="F1685" s="555" t="str">
        <f>VLOOKUP($B1685,dongia1,DG!$D$5,)</f>
        <v>km</v>
      </c>
      <c r="G1685" s="205"/>
      <c r="H1685" s="556">
        <f t="shared" si="751"/>
        <v>0</v>
      </c>
      <c r="I1685" s="556"/>
      <c r="J1685" s="556">
        <f t="shared" si="752"/>
        <v>0</v>
      </c>
      <c r="K1685" s="556"/>
      <c r="L1685" s="556"/>
      <c r="M1685" s="556"/>
      <c r="N1685" s="556"/>
      <c r="O1685" s="556"/>
      <c r="P1685" s="182">
        <f>VLOOKUP($B1685,dongia1,DG!$F$5,)</f>
        <v>0</v>
      </c>
      <c r="Q1685" s="702">
        <f>VLOOKUP($B1685,dongia1,DG!$G$5,)</f>
        <v>2698065</v>
      </c>
      <c r="R1685" s="554"/>
      <c r="S1685" s="113">
        <f t="shared" si="768"/>
        <v>0</v>
      </c>
      <c r="T1685" s="182">
        <f>VLOOKUP($B1685,dongia1,DG!G$5,)*G1685*hskd</f>
        <v>0</v>
      </c>
      <c r="U1685" s="557">
        <f t="shared" si="769"/>
        <v>0</v>
      </c>
    </row>
    <row r="1686" spans="1:21" s="552" customFormat="1" ht="15" customHeight="1">
      <c r="A1686" s="621"/>
      <c r="B1686" s="622" t="s">
        <v>256</v>
      </c>
      <c r="C1686" s="633" t="str">
        <f t="shared" si="767"/>
        <v xml:space="preserve"> </v>
      </c>
      <c r="D1686" s="553"/>
      <c r="E1686" s="694" t="str">
        <f>VLOOKUP($B1686,dongia1,DG!$C$5,)</f>
        <v>Kéo dây nhôm bọc 120mm2</v>
      </c>
      <c r="F1686" s="555" t="str">
        <f>VLOOKUP($B1686,dongia1,DG!$D$5,)</f>
        <v>km</v>
      </c>
      <c r="G1686" s="205"/>
      <c r="H1686" s="556">
        <f t="shared" si="751"/>
        <v>0</v>
      </c>
      <c r="I1686" s="556"/>
      <c r="J1686" s="556">
        <f t="shared" si="752"/>
        <v>0</v>
      </c>
      <c r="K1686" s="556"/>
      <c r="L1686" s="556"/>
      <c r="M1686" s="556"/>
      <c r="N1686" s="556"/>
      <c r="O1686" s="556"/>
      <c r="P1686" s="182">
        <f>VLOOKUP($B1686,dongia1,DG!$F$5,)</f>
        <v>0</v>
      </c>
      <c r="Q1686" s="702">
        <f>VLOOKUP($B1686,dongia1,DG!$G$5,)</f>
        <v>3694863</v>
      </c>
      <c r="R1686" s="554"/>
      <c r="S1686" s="113">
        <f t="shared" si="768"/>
        <v>0</v>
      </c>
      <c r="T1686" s="182">
        <f>VLOOKUP($B1686,dongia1,DG!G$5,)*G1686*hskd</f>
        <v>0</v>
      </c>
      <c r="U1686" s="557">
        <f t="shared" si="769"/>
        <v>0</v>
      </c>
    </row>
    <row r="1687" spans="1:21" s="552" customFormat="1" ht="15" customHeight="1">
      <c r="A1687" s="621"/>
      <c r="B1687" s="622" t="s">
        <v>666</v>
      </c>
      <c r="C1687" s="633" t="str">
        <f t="shared" si="767"/>
        <v xml:space="preserve"> </v>
      </c>
      <c r="D1687" s="553"/>
      <c r="E1687" s="694" t="str">
        <f>VLOOKUP($B1687,dongia1,DG!$C$5,)</f>
        <v>Kéo dây nhôm bọc 150mm2</v>
      </c>
      <c r="F1687" s="555" t="str">
        <f>VLOOKUP($B1687,dongia1,DG!$D$5,)</f>
        <v>km</v>
      </c>
      <c r="G1687" s="205"/>
      <c r="H1687" s="556">
        <f t="shared" si="751"/>
        <v>0</v>
      </c>
      <c r="I1687" s="556"/>
      <c r="J1687" s="556">
        <f t="shared" si="752"/>
        <v>0</v>
      </c>
      <c r="K1687" s="556"/>
      <c r="L1687" s="556"/>
      <c r="M1687" s="556"/>
      <c r="N1687" s="556"/>
      <c r="O1687" s="556"/>
      <c r="P1687" s="182">
        <f>VLOOKUP($B1687,dongia1,DG!$F$5,)</f>
        <v>0</v>
      </c>
      <c r="Q1687" s="702">
        <f>VLOOKUP($B1687,dongia1,DG!$G$5,)</f>
        <v>4193263</v>
      </c>
      <c r="R1687" s="554"/>
      <c r="S1687" s="113">
        <f t="shared" si="768"/>
        <v>0</v>
      </c>
      <c r="T1687" s="182">
        <f>VLOOKUP($B1687,dongia1,DG!G$5,)*G1687*hskd</f>
        <v>0</v>
      </c>
      <c r="U1687" s="557">
        <f t="shared" si="769"/>
        <v>0</v>
      </c>
    </row>
    <row r="1688" spans="1:21" s="552" customFormat="1" ht="15" customHeight="1">
      <c r="A1688" s="621"/>
      <c r="B1688" s="622" t="s">
        <v>667</v>
      </c>
      <c r="C1688" s="633" t="str">
        <f t="shared" si="767"/>
        <v xml:space="preserve"> </v>
      </c>
      <c r="D1688" s="553"/>
      <c r="E1688" s="694" t="str">
        <f>VLOOKUP($B1688,dongia1,DG!$C$5,)</f>
        <v>Kéo dây nhôm bọc 185mm2</v>
      </c>
      <c r="F1688" s="555" t="str">
        <f>VLOOKUP($B1688,dongia1,DG!$D$5,)</f>
        <v>km</v>
      </c>
      <c r="G1688" s="205"/>
      <c r="H1688" s="556">
        <f t="shared" si="751"/>
        <v>0</v>
      </c>
      <c r="I1688" s="556"/>
      <c r="J1688" s="556">
        <f t="shared" si="752"/>
        <v>0</v>
      </c>
      <c r="K1688" s="556"/>
      <c r="L1688" s="556"/>
      <c r="M1688" s="556"/>
      <c r="N1688" s="556"/>
      <c r="O1688" s="556"/>
      <c r="P1688" s="182">
        <f>VLOOKUP($B1688,dongia1,DG!$F$5,)</f>
        <v>0</v>
      </c>
      <c r="Q1688" s="702">
        <f>VLOOKUP($B1688,dongia1,DG!$G$5,)</f>
        <v>4382558</v>
      </c>
      <c r="R1688" s="554"/>
      <c r="S1688" s="113">
        <f t="shared" si="768"/>
        <v>0</v>
      </c>
      <c r="T1688" s="182">
        <f>VLOOKUP($B1688,dongia1,DG!G$5,)*G1688*hskd</f>
        <v>0</v>
      </c>
      <c r="U1688" s="557">
        <f t="shared" si="769"/>
        <v>0</v>
      </c>
    </row>
    <row r="1689" spans="1:21" s="552" customFormat="1" ht="15" customHeight="1">
      <c r="A1689" s="621"/>
      <c r="B1689" s="622" t="s">
        <v>1066</v>
      </c>
      <c r="C1689" s="633" t="str">
        <f t="shared" si="767"/>
        <v xml:space="preserve"> </v>
      </c>
      <c r="D1689" s="553"/>
      <c r="E1689" s="694" t="str">
        <f>VLOOKUP($B1689,dongia1,DG!$C$5,)</f>
        <v>Kéo dây nhôm bọc 240mm2</v>
      </c>
      <c r="F1689" s="555" t="str">
        <f>VLOOKUP($B1689,dongia1,DG!$D$5,)</f>
        <v>km</v>
      </c>
      <c r="G1689" s="205"/>
      <c r="H1689" s="556">
        <f t="shared" si="751"/>
        <v>0</v>
      </c>
      <c r="I1689" s="556"/>
      <c r="J1689" s="556">
        <f t="shared" si="752"/>
        <v>0</v>
      </c>
      <c r="K1689" s="556"/>
      <c r="L1689" s="556"/>
      <c r="M1689" s="556"/>
      <c r="N1689" s="556"/>
      <c r="O1689" s="556"/>
      <c r="P1689" s="182">
        <f>VLOOKUP($B1689,dongia1,DG!$F$5,)</f>
        <v>0</v>
      </c>
      <c r="Q1689" s="702">
        <f>VLOOKUP($B1689,dongia1,DG!$G$5,)</f>
        <v>4900127</v>
      </c>
      <c r="R1689" s="554"/>
      <c r="S1689" s="113">
        <f t="shared" si="768"/>
        <v>0</v>
      </c>
      <c r="T1689" s="182">
        <f>VLOOKUP($B1689,dongia1,DG!G$5,)*G1689*hskd</f>
        <v>0</v>
      </c>
      <c r="U1689" s="557">
        <f t="shared" si="769"/>
        <v>0</v>
      </c>
    </row>
    <row r="1690" spans="1:21" s="1025" customFormat="1">
      <c r="A1690" s="1014"/>
      <c r="B1690" s="1015" t="s">
        <v>909</v>
      </c>
      <c r="C1690" s="1016" t="str">
        <f t="shared" si="767"/>
        <v xml:space="preserve"> </v>
      </c>
      <c r="D1690" s="1017"/>
      <c r="E1690" s="1018" t="str">
        <f>VLOOKUP($B1690,dongia1,DG!$C$5,)&amp;":  (Cáp AV 70mm2 sử dụng lại)"</f>
        <v>Kéo dây nhôm bọc 70mm2:  (Cáp AV 70mm2 sử dụng lại)</v>
      </c>
      <c r="F1690" s="1019" t="str">
        <f>VLOOKUP($B1690,dongia1,DG!$D$5,)</f>
        <v>km</v>
      </c>
      <c r="G1690" s="1020">
        <f>pptt_NC!IN41*2/1000</f>
        <v>0</v>
      </c>
      <c r="H1690" s="1021">
        <f t="shared" si="751"/>
        <v>0</v>
      </c>
      <c r="I1690" s="756"/>
      <c r="J1690" s="756">
        <f>G1690</f>
        <v>0</v>
      </c>
      <c r="K1690" s="756"/>
      <c r="L1690" s="756"/>
      <c r="M1690" s="756"/>
      <c r="N1690" s="756"/>
      <c r="O1690" s="756"/>
      <c r="P1690" s="1022">
        <f>VLOOKUP($B1690,dongia1,DG!$F$5,)</f>
        <v>0</v>
      </c>
      <c r="Q1690" s="702">
        <f>VLOOKUP($B1690,dongia1,DG!$G$5,)</f>
        <v>1986408</v>
      </c>
      <c r="R1690" s="1023"/>
      <c r="S1690" s="1022">
        <f>$G1690*P1690</f>
        <v>0</v>
      </c>
      <c r="T1690" s="1022">
        <f>VLOOKUP($B1690,dongia1,DG!G$5,)*G1690*hskd</f>
        <v>0</v>
      </c>
      <c r="U1690" s="1024">
        <f>$G1690*R1690</f>
        <v>0</v>
      </c>
    </row>
    <row r="1691" spans="1:21" ht="15" customHeight="1">
      <c r="B1691" s="761" t="s">
        <v>224</v>
      </c>
      <c r="C1691" s="697" t="str">
        <f t="shared" si="767"/>
        <v xml:space="preserve"> </v>
      </c>
      <c r="D1691" s="698"/>
      <c r="E1691" s="699" t="str">
        <f>VLOOKUP($B1691,dongia1,DG!$C$5,)</f>
        <v>Lắp cáp đồng xuống thiết bị D ≤ 95mm2</v>
      </c>
      <c r="F1691" s="700" t="str">
        <f>VLOOKUP($B1691,dongia1,DG!$D$5,)</f>
        <v>m</v>
      </c>
      <c r="G1691" s="762">
        <f>SUM(D1486:D1490)</f>
        <v>0</v>
      </c>
      <c r="H1691" s="701">
        <f t="shared" si="751"/>
        <v>0</v>
      </c>
      <c r="I1691" s="701"/>
      <c r="J1691" s="701">
        <f>G1691</f>
        <v>0</v>
      </c>
      <c r="K1691" s="701"/>
      <c r="L1691" s="701"/>
      <c r="M1691" s="701"/>
      <c r="N1691" s="701"/>
      <c r="O1691" s="701"/>
      <c r="P1691" s="702"/>
      <c r="Q1691" s="702">
        <f>VLOOKUP($B1691,dongia1,DG!$G$5,)</f>
        <v>13915</v>
      </c>
      <c r="R1691" s="703"/>
      <c r="S1691" s="702">
        <f t="shared" si="768"/>
        <v>0</v>
      </c>
      <c r="T1691" s="702">
        <f>$G1691*Q1691</f>
        <v>0</v>
      </c>
      <c r="U1691" s="704">
        <f>$G1691*R1691</f>
        <v>0</v>
      </c>
    </row>
    <row r="1692" spans="1:21">
      <c r="B1692" s="696" t="s">
        <v>1116</v>
      </c>
      <c r="C1692" s="697" t="str">
        <f t="shared" si="767"/>
        <v xml:space="preserve"> </v>
      </c>
      <c r="D1692" s="698"/>
      <c r="E1692" s="699" t="str">
        <f>VLOOKUP($B1692,dongia1,DG!$C$5,)</f>
        <v>Lắp sứ đứng 24KV</v>
      </c>
      <c r="F1692" s="700" t="str">
        <f>VLOOKUP($B1692,dongia1,DG!$D$5,)</f>
        <v>bộ</v>
      </c>
      <c r="G1692" s="762">
        <f>G1520+G1524+G1528</f>
        <v>0</v>
      </c>
      <c r="H1692" s="701">
        <f t="shared" si="751"/>
        <v>0</v>
      </c>
      <c r="I1692" s="701"/>
      <c r="J1692" s="701">
        <f t="shared" si="752"/>
        <v>0</v>
      </c>
      <c r="K1692" s="701"/>
      <c r="L1692" s="701"/>
      <c r="M1692" s="701"/>
      <c r="N1692" s="701"/>
      <c r="O1692" s="701"/>
      <c r="P1692" s="702"/>
      <c r="Q1692" s="702">
        <f>VLOOKUP($B1692,dongia1,DG!$G$5,)</f>
        <v>58277.49</v>
      </c>
      <c r="R1692" s="703"/>
      <c r="S1692" s="702">
        <f t="shared" ref="S1692:S1703" si="770">$G1692*P1692</f>
        <v>0</v>
      </c>
      <c r="T1692" s="702">
        <f t="shared" ref="T1692:T1703" si="771">$G1692*Q1692</f>
        <v>0</v>
      </c>
      <c r="U1692" s="930">
        <f t="shared" si="769"/>
        <v>0</v>
      </c>
    </row>
    <row r="1693" spans="1:21" s="1011" customFormat="1">
      <c r="A1693" s="1000"/>
      <c r="B1693" s="1001" t="s">
        <v>1116</v>
      </c>
      <c r="C1693" s="1002" t="str">
        <f t="shared" si="767"/>
        <v xml:space="preserve"> </v>
      </c>
      <c r="D1693" s="1003"/>
      <c r="E1693" s="1004" t="str">
        <f>VLOOKUP($B1693,dongia1,DG!$C$5,)&amp;": sử dụng lại (từ bộ sứ đỉnh)"</f>
        <v>Lắp sứ đứng 24KV: sử dụng lại (từ bộ sứ đỉnh)</v>
      </c>
      <c r="F1693" s="1005" t="str">
        <f>VLOOKUP($B1693,dongia1,DG!$D$5,)</f>
        <v>bộ</v>
      </c>
      <c r="G1693" s="1026">
        <f>pptt_NC!IR41*0</f>
        <v>0</v>
      </c>
      <c r="H1693" s="1007">
        <f t="shared" si="751"/>
        <v>0</v>
      </c>
      <c r="I1693" s="701"/>
      <c r="J1693" s="701">
        <f>G1693</f>
        <v>0</v>
      </c>
      <c r="K1693" s="701"/>
      <c r="L1693" s="701"/>
      <c r="M1693" s="701"/>
      <c r="N1693" s="701"/>
      <c r="O1693" s="701"/>
      <c r="P1693" s="1008"/>
      <c r="Q1693" s="702">
        <f>VLOOKUP($B1693,dongia1,DG!$G$5,)</f>
        <v>58277.49</v>
      </c>
      <c r="R1693" s="1009"/>
      <c r="S1693" s="1008">
        <f>$G1693*P1693</f>
        <v>0</v>
      </c>
      <c r="T1693" s="1008">
        <f>$G1693*Q1693</f>
        <v>0</v>
      </c>
      <c r="U1693" s="1010">
        <f>$G1693*R1693</f>
        <v>0</v>
      </c>
    </row>
    <row r="1694" spans="1:21" s="552" customFormat="1" ht="15" customHeight="1">
      <c r="A1694" s="621"/>
      <c r="B1694" s="622" t="s">
        <v>1117</v>
      </c>
      <c r="C1694" s="633" t="str">
        <f t="shared" si="767"/>
        <v xml:space="preserve"> </v>
      </c>
      <c r="D1694" s="553"/>
      <c r="E1694" s="694" t="str">
        <f>VLOOKUP($B1694,dongia1,DG!$C$5,)</f>
        <v>Lắp chân sứ đỉnh</v>
      </c>
      <c r="F1694" s="555" t="str">
        <f>VLOOKUP($B1694,dongia1,DG!$D$5,)</f>
        <v>cái</v>
      </c>
      <c r="G1694" s="205">
        <f>(G1525+G1529)*0</f>
        <v>0</v>
      </c>
      <c r="H1694" s="556">
        <f t="shared" si="751"/>
        <v>0</v>
      </c>
      <c r="I1694" s="556"/>
      <c r="J1694" s="556">
        <f t="shared" si="752"/>
        <v>0</v>
      </c>
      <c r="K1694" s="556"/>
      <c r="L1694" s="556"/>
      <c r="M1694" s="556"/>
      <c r="N1694" s="556"/>
      <c r="O1694" s="556"/>
      <c r="P1694" s="182"/>
      <c r="Q1694" s="702">
        <f>VLOOKUP($B1694,dongia1,DG!$G$5,)</f>
        <v>11455</v>
      </c>
      <c r="R1694" s="554"/>
      <c r="S1694" s="113">
        <f t="shared" si="770"/>
        <v>0</v>
      </c>
      <c r="T1694" s="113">
        <f t="shared" si="771"/>
        <v>0</v>
      </c>
      <c r="U1694" s="715">
        <f t="shared" si="769"/>
        <v>0</v>
      </c>
    </row>
    <row r="1695" spans="1:21" s="552" customFormat="1" ht="15" customHeight="1">
      <c r="A1695" s="621"/>
      <c r="B1695" s="622" t="s">
        <v>1118</v>
      </c>
      <c r="C1695" s="633" t="str">
        <f t="shared" si="767"/>
        <v xml:space="preserve"> </v>
      </c>
      <c r="D1695" s="553"/>
      <c r="E1695" s="694" t="str">
        <f>VLOOKUP($B1695,dongia1,DG!$C$5,)</f>
        <v>Lắp chuỗi sứ đỡ 2 bát/chuỗi</v>
      </c>
      <c r="F1695" s="555" t="str">
        <f>VLOOKUP($B1695,dongia1,DG!$D$5,)</f>
        <v>chuỗi</v>
      </c>
      <c r="G1695" s="205">
        <f>G1531</f>
        <v>0</v>
      </c>
      <c r="H1695" s="556">
        <f t="shared" si="751"/>
        <v>0</v>
      </c>
      <c r="I1695" s="556"/>
      <c r="J1695" s="556">
        <f t="shared" si="752"/>
        <v>0</v>
      </c>
      <c r="K1695" s="556"/>
      <c r="L1695" s="556"/>
      <c r="M1695" s="556"/>
      <c r="N1695" s="556"/>
      <c r="O1695" s="556"/>
      <c r="P1695" s="182"/>
      <c r="Q1695" s="702">
        <f>VLOOKUP($B1695,dongia1,DG!$G$5,)</f>
        <v>39600</v>
      </c>
      <c r="R1695" s="554"/>
      <c r="S1695" s="113">
        <f t="shared" si="770"/>
        <v>0</v>
      </c>
      <c r="T1695" s="113">
        <f t="shared" si="771"/>
        <v>0</v>
      </c>
      <c r="U1695" s="557">
        <f t="shared" si="769"/>
        <v>0</v>
      </c>
    </row>
    <row r="1696" spans="1:21" s="552" customFormat="1" ht="15" customHeight="1">
      <c r="A1696" s="621"/>
      <c r="B1696" s="622" t="s">
        <v>1119</v>
      </c>
      <c r="C1696" s="633" t="str">
        <f t="shared" si="767"/>
        <v xml:space="preserve"> </v>
      </c>
      <c r="D1696" s="553"/>
      <c r="E1696" s="694" t="str">
        <f>VLOOKUP($B1696,dongia1,DG!$C$5,)</f>
        <v>Lắp chuỗi sứ néo 2 bát/chuỗi</v>
      </c>
      <c r="F1696" s="555" t="str">
        <f>VLOOKUP($B1696,dongia1,DG!$D$5,)</f>
        <v>chuỗi</v>
      </c>
      <c r="G1696" s="205">
        <f>G1537</f>
        <v>0</v>
      </c>
      <c r="H1696" s="556">
        <f t="shared" si="751"/>
        <v>0</v>
      </c>
      <c r="I1696" s="556"/>
      <c r="J1696" s="556">
        <f t="shared" si="752"/>
        <v>0</v>
      </c>
      <c r="K1696" s="556"/>
      <c r="L1696" s="556"/>
      <c r="M1696" s="556"/>
      <c r="N1696" s="556"/>
      <c r="O1696" s="556"/>
      <c r="P1696" s="554"/>
      <c r="Q1696" s="702">
        <f>VLOOKUP($B1696,dongia1,DG!$G$5,)</f>
        <v>41800</v>
      </c>
      <c r="R1696" s="554"/>
      <c r="S1696" s="113">
        <f t="shared" si="770"/>
        <v>0</v>
      </c>
      <c r="T1696" s="113">
        <f t="shared" si="771"/>
        <v>0</v>
      </c>
      <c r="U1696" s="557">
        <f t="shared" si="769"/>
        <v>0</v>
      </c>
    </row>
    <row r="1697" spans="1:21">
      <c r="B1697" s="696" t="s">
        <v>1097</v>
      </c>
      <c r="C1697" s="697" t="str">
        <f t="shared" si="767"/>
        <v xml:space="preserve"> </v>
      </c>
      <c r="D1697" s="698"/>
      <c r="E1697" s="699" t="str">
        <f>VLOOKUP($B1697,dongia1,DG!$C$5,)</f>
        <v>Lắp chuỗi sứ néo Polymer đơn</v>
      </c>
      <c r="F1697" s="700" t="str">
        <f>VLOOKUP($B1697,dongia1,DG!$D$5,)</f>
        <v>bộ</v>
      </c>
      <c r="G1697" s="762">
        <f>G1540+G1560</f>
        <v>0</v>
      </c>
      <c r="H1697" s="701">
        <f t="shared" si="751"/>
        <v>0</v>
      </c>
      <c r="I1697" s="701"/>
      <c r="J1697" s="701">
        <f t="shared" si="752"/>
        <v>0</v>
      </c>
      <c r="K1697" s="701"/>
      <c r="L1697" s="701"/>
      <c r="M1697" s="701"/>
      <c r="N1697" s="701"/>
      <c r="O1697" s="701"/>
      <c r="P1697" s="703"/>
      <c r="Q1697" s="702">
        <f>VLOOKUP($B1697,dongia1,DG!$G$5,)</f>
        <v>70131.600000000006</v>
      </c>
      <c r="R1697" s="703"/>
      <c r="S1697" s="702">
        <f t="shared" si="770"/>
        <v>0</v>
      </c>
      <c r="T1697" s="702">
        <f t="shared" si="771"/>
        <v>0</v>
      </c>
      <c r="U1697" s="704">
        <f t="shared" si="769"/>
        <v>0</v>
      </c>
    </row>
    <row r="1698" spans="1:21" s="552" customFormat="1" ht="15" customHeight="1">
      <c r="A1698" s="621"/>
      <c r="B1698" s="622" t="s">
        <v>4296</v>
      </c>
      <c r="C1698" s="633" t="str">
        <f t="shared" si="767"/>
        <v xml:space="preserve"> </v>
      </c>
      <c r="D1698" s="553"/>
      <c r="E1698" s="694" t="str">
        <f>VLOOKUP($B1698,dongia1,DG!$C$5,)</f>
        <v>Lắp chuỗi sứ néo Polymer kép</v>
      </c>
      <c r="F1698" s="555" t="str">
        <f>VLOOKUP($B1698,dongia1,DG!$D$5,)</f>
        <v>bộ</v>
      </c>
      <c r="G1698" s="205">
        <f>G1551</f>
        <v>0</v>
      </c>
      <c r="H1698" s="556">
        <f t="shared" si="751"/>
        <v>0</v>
      </c>
      <c r="I1698" s="556"/>
      <c r="J1698" s="556">
        <f>G1698</f>
        <v>0</v>
      </c>
      <c r="K1698" s="556"/>
      <c r="L1698" s="556"/>
      <c r="M1698" s="556"/>
      <c r="N1698" s="556"/>
      <c r="O1698" s="556"/>
      <c r="P1698" s="554"/>
      <c r="Q1698" s="702">
        <f>VLOOKUP($B1698,dongia1,DG!$G$5,)</f>
        <v>138860.568</v>
      </c>
      <c r="R1698" s="554"/>
      <c r="S1698" s="113">
        <f t="shared" ref="S1698:T1702" si="772">$G1698*P1698</f>
        <v>0</v>
      </c>
      <c r="T1698" s="113">
        <f t="shared" si="772"/>
        <v>0</v>
      </c>
      <c r="U1698" s="557">
        <f t="shared" si="769"/>
        <v>0</v>
      </c>
    </row>
    <row r="1699" spans="1:21" s="552" customFormat="1" ht="15" customHeight="1">
      <c r="A1699" s="621"/>
      <c r="B1699" s="622" t="s">
        <v>1116</v>
      </c>
      <c r="C1699" s="633" t="str">
        <f t="shared" si="767"/>
        <v xml:space="preserve"> </v>
      </c>
      <c r="D1699" s="553"/>
      <c r="E1699" s="694" t="str">
        <f>VLOOKUP($B1699,dongia1,DG!$C$5,)&amp;"(bao gồm ty): Sử dụng lại"</f>
        <v>Lắp sứ đứng 24KV(bao gồm ty): Sử dụng lại</v>
      </c>
      <c r="F1699" s="555" t="str">
        <f>VLOOKUP($B1699,dongia1,DG!$D$5,)</f>
        <v>bộ</v>
      </c>
      <c r="G1699" s="205">
        <f>pptt_NC!IQ41</f>
        <v>0</v>
      </c>
      <c r="H1699" s="556">
        <f t="shared" si="751"/>
        <v>0</v>
      </c>
      <c r="I1699" s="556"/>
      <c r="J1699" s="556">
        <f>G1699</f>
        <v>0</v>
      </c>
      <c r="K1699" s="556"/>
      <c r="L1699" s="556"/>
      <c r="M1699" s="556"/>
      <c r="N1699" s="556"/>
      <c r="O1699" s="556"/>
      <c r="P1699" s="182"/>
      <c r="Q1699" s="702">
        <f>VLOOKUP($B1699,dongia1,DG!$G$5,)</f>
        <v>58277.49</v>
      </c>
      <c r="R1699" s="554"/>
      <c r="S1699" s="113">
        <f t="shared" si="772"/>
        <v>0</v>
      </c>
      <c r="T1699" s="113">
        <f t="shared" si="772"/>
        <v>0</v>
      </c>
      <c r="U1699" s="557">
        <f t="shared" ref="U1699:U1704" si="773">$G1699*R1699</f>
        <v>0</v>
      </c>
    </row>
    <row r="1700" spans="1:21" s="552" customFormat="1" ht="15" customHeight="1">
      <c r="A1700" s="621"/>
      <c r="B1700" s="622" t="s">
        <v>1097</v>
      </c>
      <c r="C1700" s="633" t="str">
        <f t="shared" si="767"/>
        <v xml:space="preserve"> </v>
      </c>
      <c r="D1700" s="553"/>
      <c r="E1700" s="694" t="str">
        <f>VLOOKUP($B1700,dongia1,DG!$C$5,)&amp;": Sử dụng lại"</f>
        <v>Lắp chuỗi sứ néo Polymer đơn: Sử dụng lại</v>
      </c>
      <c r="F1700" s="555" t="str">
        <f>VLOOKUP($B1700,dongia1,DG!$D$5,)</f>
        <v>bộ</v>
      </c>
      <c r="G1700" s="205">
        <f>pptt_NC!IU41*0</f>
        <v>0</v>
      </c>
      <c r="H1700" s="556">
        <f t="shared" si="751"/>
        <v>0</v>
      </c>
      <c r="I1700" s="556"/>
      <c r="J1700" s="556">
        <f>G1700</f>
        <v>0</v>
      </c>
      <c r="K1700" s="556"/>
      <c r="L1700" s="556"/>
      <c r="M1700" s="556"/>
      <c r="N1700" s="556"/>
      <c r="O1700" s="556"/>
      <c r="P1700" s="554"/>
      <c r="Q1700" s="702">
        <f>VLOOKUP($B1700,dongia1,DG!$G$5,)</f>
        <v>70131.600000000006</v>
      </c>
      <c r="R1700" s="554"/>
      <c r="S1700" s="113">
        <f t="shared" si="772"/>
        <v>0</v>
      </c>
      <c r="T1700" s="113">
        <f t="shared" si="772"/>
        <v>0</v>
      </c>
      <c r="U1700" s="718">
        <f t="shared" si="773"/>
        <v>0</v>
      </c>
    </row>
    <row r="1701" spans="1:21" s="552" customFormat="1" ht="15" customHeight="1">
      <c r="A1701" s="621"/>
      <c r="B1701" s="622" t="s">
        <v>4296</v>
      </c>
      <c r="C1701" s="633" t="str">
        <f t="shared" si="767"/>
        <v xml:space="preserve"> </v>
      </c>
      <c r="D1701" s="553"/>
      <c r="E1701" s="694" t="str">
        <f>VLOOKUP($B1701,dongia1,DG!$C$5,)&amp;": Sử dụng lại"</f>
        <v>Lắp chuỗi sứ néo Polymer kép: Sử dụng lại</v>
      </c>
      <c r="F1701" s="555" t="str">
        <f>VLOOKUP($B1701,dongia1,DG!$D$5,)</f>
        <v>bộ</v>
      </c>
      <c r="G1701" s="205"/>
      <c r="H1701" s="556">
        <f t="shared" si="751"/>
        <v>0</v>
      </c>
      <c r="I1701" s="556"/>
      <c r="J1701" s="556">
        <f>G1701</f>
        <v>0</v>
      </c>
      <c r="K1701" s="556"/>
      <c r="L1701" s="556"/>
      <c r="M1701" s="556"/>
      <c r="N1701" s="556"/>
      <c r="O1701" s="556"/>
      <c r="P1701" s="554"/>
      <c r="Q1701" s="702">
        <f>VLOOKUP($B1701,dongia1,DG!$G$5,)</f>
        <v>138860.568</v>
      </c>
      <c r="R1701" s="554"/>
      <c r="S1701" s="113">
        <f t="shared" si="772"/>
        <v>0</v>
      </c>
      <c r="T1701" s="113">
        <f t="shared" si="772"/>
        <v>0</v>
      </c>
      <c r="U1701" s="715">
        <f t="shared" si="773"/>
        <v>0</v>
      </c>
    </row>
    <row r="1702" spans="1:21" s="1011" customFormat="1">
      <c r="A1702" s="1000"/>
      <c r="B1702" s="1001" t="s">
        <v>2028</v>
      </c>
      <c r="C1702" s="1002" t="str">
        <f t="shared" si="767"/>
        <v xml:space="preserve"> </v>
      </c>
      <c r="D1702" s="1003"/>
      <c r="E1702" s="1004" t="str">
        <f>VLOOKUP($B1702,dongia1,DG!$C$5,)&amp;": Sử dụng lại"</f>
        <v>Kẹp quai 2/0: Sử dụng lại</v>
      </c>
      <c r="F1702" s="1005" t="str">
        <f>VLOOKUP($B1702,dongia1,DG!$D$5,)</f>
        <v>cái</v>
      </c>
      <c r="G1702" s="1032">
        <f>pptt_NC!KJ41</f>
        <v>0</v>
      </c>
      <c r="H1702" s="1007">
        <f t="shared" si="751"/>
        <v>0</v>
      </c>
      <c r="I1702" s="701"/>
      <c r="J1702" s="701">
        <f>G1702</f>
        <v>0</v>
      </c>
      <c r="K1702" s="701"/>
      <c r="L1702" s="701"/>
      <c r="M1702" s="701"/>
      <c r="N1702" s="701"/>
      <c r="O1702" s="701"/>
      <c r="P1702" s="1008">
        <f>VLOOKUP($B1702,dongia1,DG!$F$5,)</f>
        <v>46000</v>
      </c>
      <c r="Q1702" s="702">
        <f>VLOOKUP($B1702,dongia1,DG!$G$5,)</f>
        <v>0</v>
      </c>
      <c r="R1702" s="1009"/>
      <c r="S1702" s="1008">
        <f t="shared" si="772"/>
        <v>0</v>
      </c>
      <c r="T1702" s="1008">
        <f t="shared" si="772"/>
        <v>0</v>
      </c>
      <c r="U1702" s="1010">
        <f t="shared" si="773"/>
        <v>0</v>
      </c>
    </row>
    <row r="1703" spans="1:21">
      <c r="B1703" s="696" t="s">
        <v>602</v>
      </c>
      <c r="C1703" s="697" t="str">
        <f t="shared" si="767"/>
        <v xml:space="preserve"> </v>
      </c>
      <c r="D1703" s="698"/>
      <c r="E1703" s="699" t="str">
        <f>VLOOKUP($B1703,dongia1,DG!$C$5,)</f>
        <v>Lắp rack sứ + sứ ống chỉ</v>
      </c>
      <c r="F1703" s="700" t="str">
        <f>VLOOKUP($B1703,dongia1,DG!$D$5,)</f>
        <v>bộ</v>
      </c>
      <c r="G1703" s="762">
        <f>G1494+G1497+G1500+G1503</f>
        <v>0</v>
      </c>
      <c r="H1703" s="701">
        <f t="shared" si="751"/>
        <v>0</v>
      </c>
      <c r="I1703" s="701"/>
      <c r="J1703" s="701">
        <f t="shared" si="752"/>
        <v>0</v>
      </c>
      <c r="K1703" s="701"/>
      <c r="L1703" s="701"/>
      <c r="M1703" s="701"/>
      <c r="N1703" s="701"/>
      <c r="O1703" s="701"/>
      <c r="P1703" s="703"/>
      <c r="Q1703" s="702">
        <f>VLOOKUP($B1703,dongia1,DG!$G$5,)</f>
        <v>15471.9</v>
      </c>
      <c r="R1703" s="703"/>
      <c r="S1703" s="702">
        <f t="shared" si="770"/>
        <v>0</v>
      </c>
      <c r="T1703" s="702">
        <f t="shared" si="771"/>
        <v>0</v>
      </c>
      <c r="U1703" s="557">
        <f t="shared" si="773"/>
        <v>0</v>
      </c>
    </row>
    <row r="1704" spans="1:21" s="998" customFormat="1">
      <c r="A1704" s="989"/>
      <c r="B1704" s="990" t="s">
        <v>602</v>
      </c>
      <c r="C1704" s="991" t="str">
        <f t="shared" si="767"/>
        <v xml:space="preserve"> </v>
      </c>
      <c r="D1704" s="992"/>
      <c r="E1704" s="999" t="str">
        <f>VLOOKUP($B1704,dongia1,DG!$C$5,)&amp;": (Bộ đỡ dây TH sử dụng lại)"</f>
        <v>Lắp rack sứ + sứ ống chỉ: (Bộ đỡ dây TH sử dụng lại)</v>
      </c>
      <c r="F1704" s="794" t="str">
        <f>VLOOKUP($B1704,dongia1,DG!$D$5,)</f>
        <v>bộ</v>
      </c>
      <c r="G1704" s="1028">
        <f>pptt_NC!IV41</f>
        <v>0</v>
      </c>
      <c r="H1704" s="994">
        <f t="shared" si="751"/>
        <v>0</v>
      </c>
      <c r="I1704" s="556"/>
      <c r="J1704" s="556">
        <f>G1704</f>
        <v>0</v>
      </c>
      <c r="K1704" s="556"/>
      <c r="L1704" s="556"/>
      <c r="M1704" s="556"/>
      <c r="N1704" s="556"/>
      <c r="O1704" s="556"/>
      <c r="P1704" s="1031"/>
      <c r="Q1704" s="702">
        <f>VLOOKUP($B1704,dongia1,DG!$G$5,)</f>
        <v>15471.9</v>
      </c>
      <c r="R1704" s="1031"/>
      <c r="S1704" s="996">
        <f>$G1704*P1704</f>
        <v>0</v>
      </c>
      <c r="T1704" s="996">
        <f>$G1704*Q1704</f>
        <v>0</v>
      </c>
      <c r="U1704" s="1033">
        <f t="shared" si="773"/>
        <v>0</v>
      </c>
    </row>
    <row r="1705" spans="1:21" s="552" customFormat="1" ht="15" customHeight="1">
      <c r="A1705" s="621"/>
      <c r="B1705" s="622" t="s">
        <v>1442</v>
      </c>
      <c r="C1705" s="633" t="str">
        <f t="shared" si="767"/>
        <v xml:space="preserve"> </v>
      </c>
      <c r="D1705" s="553"/>
      <c r="E1705" s="694" t="str">
        <f>VLOOKUP($B1705,dongia1,DG!$C$5,)</f>
        <v>Lắp rack 2 sứ + sứ ống chỉ</v>
      </c>
      <c r="F1705" s="555" t="str">
        <f>VLOOKUP($B1705,dongia1,DG!$D$5,)</f>
        <v>bộ</v>
      </c>
      <c r="G1705" s="205">
        <f>pptt_NC!DJ41</f>
        <v>0</v>
      </c>
      <c r="H1705" s="556">
        <f t="shared" si="751"/>
        <v>0</v>
      </c>
      <c r="I1705" s="556"/>
      <c r="J1705" s="556">
        <f t="shared" si="752"/>
        <v>0</v>
      </c>
      <c r="K1705" s="556"/>
      <c r="L1705" s="556"/>
      <c r="M1705" s="556"/>
      <c r="N1705" s="556"/>
      <c r="O1705" s="556"/>
      <c r="P1705" s="554"/>
      <c r="Q1705" s="702">
        <f>VLOOKUP($B1705,dongia1,DG!$G$5,)</f>
        <v>57077</v>
      </c>
      <c r="R1705" s="554"/>
      <c r="S1705" s="113">
        <f t="shared" ref="S1705:U1706" si="774">$G1705*P1705</f>
        <v>0</v>
      </c>
      <c r="T1705" s="113">
        <f t="shared" si="774"/>
        <v>0</v>
      </c>
      <c r="U1705" s="715">
        <f t="shared" si="774"/>
        <v>0</v>
      </c>
    </row>
    <row r="1706" spans="1:21" s="552" customFormat="1" ht="15" customHeight="1">
      <c r="A1706" s="621"/>
      <c r="B1706" s="622" t="s">
        <v>1784</v>
      </c>
      <c r="C1706" s="633" t="str">
        <f t="shared" si="767"/>
        <v xml:space="preserve"> </v>
      </c>
      <c r="D1706" s="553"/>
      <c r="E1706" s="694" t="str">
        <f>VLOOKUP($B1706,dongia1,DG!$C$5,)</f>
        <v>Lắp rack 3 sứ + sứ ống chỉ</v>
      </c>
      <c r="F1706" s="555" t="str">
        <f>VLOOKUP($B1706,dongia1,DG!$D$5,)</f>
        <v>bộ</v>
      </c>
      <c r="G1706" s="205">
        <f>pptt_NC!DK41</f>
        <v>0</v>
      </c>
      <c r="H1706" s="556">
        <f t="shared" si="751"/>
        <v>0</v>
      </c>
      <c r="I1706" s="556"/>
      <c r="J1706" s="556">
        <f t="shared" si="752"/>
        <v>0</v>
      </c>
      <c r="K1706" s="556"/>
      <c r="L1706" s="556"/>
      <c r="M1706" s="556"/>
      <c r="N1706" s="556"/>
      <c r="O1706" s="556"/>
      <c r="P1706" s="554"/>
      <c r="Q1706" s="702">
        <f>VLOOKUP($B1706,dongia1,DG!$G$5,)</f>
        <v>79500</v>
      </c>
      <c r="R1706" s="554"/>
      <c r="S1706" s="113">
        <f t="shared" si="774"/>
        <v>0</v>
      </c>
      <c r="T1706" s="113">
        <f t="shared" si="774"/>
        <v>0</v>
      </c>
      <c r="U1706" s="557">
        <f t="shared" si="774"/>
        <v>0</v>
      </c>
    </row>
    <row r="1707" spans="1:21" s="552" customFormat="1" ht="15" customHeight="1">
      <c r="A1707" s="621"/>
      <c r="B1707" s="622" t="s">
        <v>1037</v>
      </c>
      <c r="C1707" s="633" t="str">
        <f t="shared" si="767"/>
        <v xml:space="preserve"> </v>
      </c>
      <c r="D1707" s="553"/>
      <c r="E1707" s="694" t="str">
        <f>VLOOKUP($B1707,dongia1,DG!$C$5,)</f>
        <v>Lắp rack 4 sứ + sứ ống chỉ</v>
      </c>
      <c r="F1707" s="555" t="str">
        <f>VLOOKUP($B1707,dongia1,DG!$D$5,)</f>
        <v>bộ</v>
      </c>
      <c r="G1707" s="205">
        <f>pptt_NC!DL41</f>
        <v>0</v>
      </c>
      <c r="H1707" s="556">
        <f t="shared" si="751"/>
        <v>0</v>
      </c>
      <c r="I1707" s="556"/>
      <c r="J1707" s="556">
        <f t="shared" si="752"/>
        <v>0</v>
      </c>
      <c r="K1707" s="556"/>
      <c r="L1707" s="556"/>
      <c r="M1707" s="556"/>
      <c r="N1707" s="556"/>
      <c r="O1707" s="556"/>
      <c r="P1707" s="554"/>
      <c r="Q1707" s="702">
        <f>VLOOKUP($B1707,dongia1,DG!$G$5,)</f>
        <v>112115</v>
      </c>
      <c r="R1707" s="554"/>
      <c r="S1707" s="113">
        <f t="shared" ref="S1707:U1715" si="775">$G1707*P1707</f>
        <v>0</v>
      </c>
      <c r="T1707" s="113">
        <f t="shared" si="775"/>
        <v>0</v>
      </c>
      <c r="U1707" s="557">
        <f t="shared" si="775"/>
        <v>0</v>
      </c>
    </row>
    <row r="1708" spans="1:21" s="998" customFormat="1">
      <c r="A1708" s="989"/>
      <c r="B1708" s="990" t="s">
        <v>602</v>
      </c>
      <c r="C1708" s="991" t="str">
        <f t="shared" si="767"/>
        <v xml:space="preserve"> </v>
      </c>
      <c r="D1708" s="992"/>
      <c r="E1708" s="999" t="str">
        <f>VLOOKUP($B1708,dongia1,DG!$C$5,)&amp;": sử dụng lại"</f>
        <v>Lắp rack sứ + sứ ống chỉ: sử dụng lại</v>
      </c>
      <c r="F1708" s="794" t="str">
        <f>VLOOKUP($B1708,dongia1,DG!$D$5,)</f>
        <v>bộ</v>
      </c>
      <c r="G1708" s="1028">
        <f>pptt_NC!KF41</f>
        <v>0</v>
      </c>
      <c r="H1708" s="994">
        <f t="shared" si="751"/>
        <v>0</v>
      </c>
      <c r="I1708" s="556"/>
      <c r="J1708" s="556">
        <f>G1708</f>
        <v>0</v>
      </c>
      <c r="K1708" s="556"/>
      <c r="L1708" s="556"/>
      <c r="M1708" s="556"/>
      <c r="N1708" s="556"/>
      <c r="O1708" s="556"/>
      <c r="P1708" s="1031"/>
      <c r="Q1708" s="702">
        <f>VLOOKUP($B1708,dongia1,DG!$G$5,)</f>
        <v>15471.9</v>
      </c>
      <c r="R1708" s="1031"/>
      <c r="S1708" s="996">
        <f>$G1708*P1708</f>
        <v>0</v>
      </c>
      <c r="T1708" s="996">
        <f>$G1708*Q1708</f>
        <v>0</v>
      </c>
      <c r="U1708" s="1033">
        <f>$G1708*R1708</f>
        <v>0</v>
      </c>
    </row>
    <row r="1709" spans="1:21" s="998" customFormat="1" ht="15" customHeight="1">
      <c r="A1709" s="989"/>
      <c r="B1709" s="990" t="s">
        <v>1442</v>
      </c>
      <c r="C1709" s="991" t="str">
        <f t="shared" si="767"/>
        <v xml:space="preserve"> </v>
      </c>
      <c r="D1709" s="992"/>
      <c r="E1709" s="999" t="str">
        <f>VLOOKUP($B1709,dongia1,DG!$C$5,)&amp;": Sử dụng lại"</f>
        <v>Lắp rack 2 sứ + sứ ống chỉ: Sử dụng lại</v>
      </c>
      <c r="F1709" s="794" t="str">
        <f>VLOOKUP($B1709,dongia1,DG!$D$5,)</f>
        <v>bộ</v>
      </c>
      <c r="G1709" s="1028">
        <f>pptt_NC!KG41</f>
        <v>0</v>
      </c>
      <c r="H1709" s="994">
        <f t="shared" si="751"/>
        <v>0</v>
      </c>
      <c r="I1709" s="994"/>
      <c r="J1709" s="994">
        <f>G1709</f>
        <v>0</v>
      </c>
      <c r="K1709" s="994"/>
      <c r="L1709" s="994"/>
      <c r="M1709" s="994"/>
      <c r="N1709" s="994"/>
      <c r="O1709" s="994"/>
      <c r="P1709" s="1031"/>
      <c r="Q1709" s="702">
        <f>VLOOKUP($B1709,dongia1,DG!$G$5,)</f>
        <v>57077</v>
      </c>
      <c r="R1709" s="1031"/>
      <c r="S1709" s="996">
        <f t="shared" si="775"/>
        <v>0</v>
      </c>
      <c r="T1709" s="996">
        <f t="shared" si="775"/>
        <v>0</v>
      </c>
      <c r="U1709" s="1034">
        <f t="shared" si="775"/>
        <v>0</v>
      </c>
    </row>
    <row r="1710" spans="1:21" s="998" customFormat="1" ht="15" customHeight="1">
      <c r="A1710" s="989"/>
      <c r="B1710" s="990" t="s">
        <v>1784</v>
      </c>
      <c r="C1710" s="991" t="str">
        <f t="shared" si="767"/>
        <v xml:space="preserve"> </v>
      </c>
      <c r="D1710" s="992"/>
      <c r="E1710" s="999" t="str">
        <f>VLOOKUP($B1710,dongia1,DG!$C$5,)&amp;": Sử dụng lại"</f>
        <v>Lắp rack 3 sứ + sứ ống chỉ: Sử dụng lại</v>
      </c>
      <c r="F1710" s="794" t="str">
        <f>VLOOKUP($B1710,dongia1,DG!$D$5,)</f>
        <v>bộ</v>
      </c>
      <c r="G1710" s="1028">
        <f>pptt_NC!KH41</f>
        <v>0</v>
      </c>
      <c r="H1710" s="994">
        <f t="shared" si="751"/>
        <v>0</v>
      </c>
      <c r="I1710" s="994"/>
      <c r="J1710" s="994">
        <f>G1710</f>
        <v>0</v>
      </c>
      <c r="K1710" s="994"/>
      <c r="L1710" s="994"/>
      <c r="M1710" s="994"/>
      <c r="N1710" s="994"/>
      <c r="O1710" s="994"/>
      <c r="P1710" s="1031"/>
      <c r="Q1710" s="702">
        <f>VLOOKUP($B1710,dongia1,DG!$G$5,)</f>
        <v>79500</v>
      </c>
      <c r="R1710" s="1031"/>
      <c r="S1710" s="996">
        <f t="shared" si="775"/>
        <v>0</v>
      </c>
      <c r="T1710" s="996">
        <f t="shared" si="775"/>
        <v>0</v>
      </c>
      <c r="U1710" s="997">
        <f t="shared" si="775"/>
        <v>0</v>
      </c>
    </row>
    <row r="1711" spans="1:21" s="998" customFormat="1" ht="15" customHeight="1">
      <c r="A1711" s="989"/>
      <c r="B1711" s="990" t="s">
        <v>1037</v>
      </c>
      <c r="C1711" s="991" t="str">
        <f t="shared" si="767"/>
        <v xml:space="preserve"> </v>
      </c>
      <c r="D1711" s="992"/>
      <c r="E1711" s="999" t="str">
        <f>VLOOKUP($B1711,dongia1,DG!$C$5,)&amp;": Sử dụng lại"</f>
        <v>Lắp rack 4 sứ + sứ ống chỉ: Sử dụng lại</v>
      </c>
      <c r="F1711" s="794" t="str">
        <f>VLOOKUP($B1711,dongia1,DG!$D$5,)</f>
        <v>bộ</v>
      </c>
      <c r="G1711" s="1028">
        <f>pptt_NC!KI41</f>
        <v>0</v>
      </c>
      <c r="H1711" s="994">
        <f t="shared" si="751"/>
        <v>0</v>
      </c>
      <c r="I1711" s="994"/>
      <c r="J1711" s="994">
        <f>G1711</f>
        <v>0</v>
      </c>
      <c r="K1711" s="994"/>
      <c r="L1711" s="994"/>
      <c r="M1711" s="994"/>
      <c r="N1711" s="994"/>
      <c r="O1711" s="994"/>
      <c r="P1711" s="1031"/>
      <c r="Q1711" s="702">
        <f>VLOOKUP($B1711,dongia1,DG!$G$5,)</f>
        <v>112115</v>
      </c>
      <c r="R1711" s="1031"/>
      <c r="S1711" s="996">
        <f t="shared" ref="S1711:U1713" si="776">$G1711*P1711</f>
        <v>0</v>
      </c>
      <c r="T1711" s="996">
        <f t="shared" si="776"/>
        <v>0</v>
      </c>
      <c r="U1711" s="997">
        <f t="shared" si="776"/>
        <v>0</v>
      </c>
    </row>
    <row r="1712" spans="1:21" s="998" customFormat="1" ht="15" customHeight="1">
      <c r="A1712" s="989"/>
      <c r="B1712" s="990" t="s">
        <v>3769</v>
      </c>
      <c r="C1712" s="991" t="str">
        <f>IF(G1712&lt;&gt;0,$C$2025," ")</f>
        <v xml:space="preserve"> </v>
      </c>
      <c r="D1712" s="992"/>
      <c r="E1712" s="999" t="s">
        <v>4436</v>
      </c>
      <c r="F1712" s="794" t="str">
        <f>VLOOKUP($B1712,dongia1,DG!$D$5,)</f>
        <v>cái</v>
      </c>
      <c r="G1712" s="1028">
        <f>pptt_NC!KK41</f>
        <v>0</v>
      </c>
      <c r="H1712" s="994">
        <f>G1712</f>
        <v>0</v>
      </c>
      <c r="I1712" s="994"/>
      <c r="J1712" s="994"/>
      <c r="K1712" s="994"/>
      <c r="L1712" s="994"/>
      <c r="M1712" s="994"/>
      <c r="N1712" s="994"/>
      <c r="O1712" s="994"/>
      <c r="P1712" s="1031"/>
      <c r="Q1712" s="702">
        <f>VLOOKUP($B1712,dongia1,DG!$G$5,)</f>
        <v>56565</v>
      </c>
      <c r="R1712" s="1031"/>
      <c r="S1712" s="996">
        <f t="shared" si="776"/>
        <v>0</v>
      </c>
      <c r="T1712" s="996">
        <f t="shared" si="776"/>
        <v>0</v>
      </c>
      <c r="U1712" s="1033">
        <f t="shared" si="776"/>
        <v>0</v>
      </c>
    </row>
    <row r="1713" spans="1:21" s="998" customFormat="1" ht="15" customHeight="1">
      <c r="A1713" s="989"/>
      <c r="B1713" s="990" t="s">
        <v>602</v>
      </c>
      <c r="C1713" s="991" t="str">
        <f>IF(G1713&lt;&gt;0,$C$1457," ")</f>
        <v xml:space="preserve"> </v>
      </c>
      <c r="D1713" s="992"/>
      <c r="E1713" s="999" t="s">
        <v>4895</v>
      </c>
      <c r="F1713" s="794" t="str">
        <f>VLOOKUP($B1713,dongia1,DG!$D$5,)</f>
        <v>bộ</v>
      </c>
      <c r="G1713" s="1028">
        <f>pptt_NC!EW41</f>
        <v>0</v>
      </c>
      <c r="H1713" s="994">
        <f t="shared" si="751"/>
        <v>0</v>
      </c>
      <c r="I1713" s="994"/>
      <c r="J1713" s="994">
        <f>G1713</f>
        <v>0</v>
      </c>
      <c r="K1713" s="994"/>
      <c r="L1713" s="994"/>
      <c r="M1713" s="994"/>
      <c r="N1713" s="994"/>
      <c r="O1713" s="994"/>
      <c r="P1713" s="1031"/>
      <c r="Q1713" s="702">
        <f>VLOOKUP($B1713,dongia1,DG!$G$5,)</f>
        <v>15471.9</v>
      </c>
      <c r="R1713" s="1031"/>
      <c r="S1713" s="996">
        <f t="shared" si="776"/>
        <v>0</v>
      </c>
      <c r="T1713" s="996">
        <f t="shared" si="776"/>
        <v>0</v>
      </c>
      <c r="U1713" s="997">
        <f t="shared" si="776"/>
        <v>0</v>
      </c>
    </row>
    <row r="1714" spans="1:21" s="552" customFormat="1" ht="15" customHeight="1">
      <c r="A1714" s="621"/>
      <c r="B1714" s="622" t="s">
        <v>604</v>
      </c>
      <c r="C1714" s="633" t="str">
        <f>IF(G1714&lt;&gt;0,$C$1457," ")</f>
        <v xml:space="preserve"> </v>
      </c>
      <c r="D1714" s="553"/>
      <c r="E1714" s="694" t="str">
        <f>VLOOKUP($B1714,dongia1,DG!$C$5,)</f>
        <v xml:space="preserve">Kéo dây qua vị trí bẻ góc dây </v>
      </c>
      <c r="F1714" s="555" t="str">
        <f>VLOOKUP($B1714,dongia1,DG!$D$5,)</f>
        <v>vị trí</v>
      </c>
      <c r="G1714" s="205"/>
      <c r="H1714" s="556">
        <f t="shared" si="751"/>
        <v>0</v>
      </c>
      <c r="I1714" s="556"/>
      <c r="J1714" s="556">
        <f t="shared" si="752"/>
        <v>0</v>
      </c>
      <c r="K1714" s="556"/>
      <c r="L1714" s="556"/>
      <c r="M1714" s="556"/>
      <c r="N1714" s="556"/>
      <c r="O1714" s="556"/>
      <c r="P1714" s="554"/>
      <c r="Q1714" s="702">
        <f>VLOOKUP($B1714,dongia1,DG!$G$5,)</f>
        <v>61933</v>
      </c>
      <c r="R1714" s="554"/>
      <c r="S1714" s="113">
        <f t="shared" si="775"/>
        <v>0</v>
      </c>
      <c r="T1714" s="113">
        <f t="shared" si="775"/>
        <v>0</v>
      </c>
      <c r="U1714" s="557">
        <f t="shared" si="775"/>
        <v>0</v>
      </c>
    </row>
    <row r="1715" spans="1:21" s="552" customFormat="1" ht="15" customHeight="1">
      <c r="A1715" s="621"/>
      <c r="B1715" s="622" t="s">
        <v>605</v>
      </c>
      <c r="C1715" s="633" t="str">
        <f>IF(G1715&lt;&gt;0,$C$1457," ")</f>
        <v xml:space="preserve"> </v>
      </c>
      <c r="D1715" s="553"/>
      <c r="E1715" s="694" t="str">
        <f>VLOOKUP($B1715,dongia1,DG!$C$5,)</f>
        <v>Kéo dây qua sông ( S&lt;=300)</v>
      </c>
      <c r="F1715" s="555" t="str">
        <f>VLOOKUP($B1715,dongia1,DG!$D$5,)</f>
        <v>vị trí</v>
      </c>
      <c r="G1715" s="205"/>
      <c r="H1715" s="556">
        <f>$G1715</f>
        <v>0</v>
      </c>
      <c r="I1715" s="556"/>
      <c r="J1715" s="556">
        <f t="shared" si="752"/>
        <v>0</v>
      </c>
      <c r="K1715" s="556"/>
      <c r="L1715" s="556"/>
      <c r="M1715" s="556"/>
      <c r="N1715" s="556"/>
      <c r="O1715" s="556"/>
      <c r="P1715" s="554"/>
      <c r="Q1715" s="702">
        <f>VLOOKUP($B1715,dongia1,DG!$G$5,)</f>
        <v>261513</v>
      </c>
      <c r="R1715" s="554"/>
      <c r="S1715" s="113">
        <f t="shared" si="775"/>
        <v>0</v>
      </c>
      <c r="T1715" s="113">
        <f t="shared" si="775"/>
        <v>0</v>
      </c>
      <c r="U1715" s="557">
        <f t="shared" si="775"/>
        <v>0</v>
      </c>
    </row>
    <row r="1716" spans="1:21" s="552" customFormat="1" ht="15" customHeight="1">
      <c r="A1716" s="621" t="s">
        <v>247</v>
      </c>
      <c r="B1716" s="622"/>
      <c r="C1716" s="558" t="str">
        <f>IF(G1716=0,"x"," ")</f>
        <v xml:space="preserve"> </v>
      </c>
      <c r="D1716" s="599"/>
      <c r="E1716" s="727" t="s">
        <v>3665</v>
      </c>
      <c r="F1716" s="600" t="s">
        <v>3694</v>
      </c>
      <c r="G1716" s="205">
        <f>IF(SUM(G1717:G1718)=0,1,0)</f>
        <v>1</v>
      </c>
      <c r="H1716" s="556"/>
      <c r="I1716" s="556"/>
      <c r="J1716" s="556"/>
      <c r="K1716" s="556"/>
      <c r="L1716" s="556"/>
      <c r="M1716" s="556"/>
      <c r="N1716" s="556"/>
      <c r="O1716" s="556"/>
      <c r="P1716" s="554"/>
      <c r="Q1716" s="554"/>
      <c r="R1716" s="601"/>
      <c r="S1716" s="601">
        <f>SUM(S1717:S1804)-S1758</f>
        <v>0</v>
      </c>
      <c r="T1716" s="601">
        <f>SUM(T1717:T1804)</f>
        <v>0</v>
      </c>
      <c r="U1716" s="602">
        <f>SUM(U1717:U1804)</f>
        <v>0</v>
      </c>
    </row>
    <row r="1717" spans="1:21" s="552" customFormat="1" ht="15" customHeight="1">
      <c r="A1717" s="621"/>
      <c r="B1717" s="622" t="s">
        <v>191</v>
      </c>
      <c r="C1717" s="633" t="str">
        <f t="shared" ref="C1717:C1742" si="777">IF(G1717&lt;&gt;0,C$1457," ")</f>
        <v xml:space="preserve"> </v>
      </c>
      <c r="D1717" s="611"/>
      <c r="E1717" s="694" t="str">
        <f>VLOOKUP($B1717,dongia1,DG!$C$5,)</f>
        <v>Cáp nhôm lõi thép AC-185/24</v>
      </c>
      <c r="F1717" s="555" t="str">
        <f>VLOOKUP($B1717,dongia1,DG!$D$5,)</f>
        <v>kg</v>
      </c>
      <c r="G1717" s="205">
        <f>ROUND(D1717*1.02*0.728,2)</f>
        <v>0</v>
      </c>
      <c r="H1717" s="556">
        <f t="shared" ref="H1717:H1759" si="778">$G1717</f>
        <v>0</v>
      </c>
      <c r="I1717" s="556"/>
      <c r="J1717" s="556"/>
      <c r="K1717" s="556"/>
      <c r="L1717" s="556"/>
      <c r="M1717" s="556"/>
      <c r="N1717" s="556"/>
      <c r="O1717" s="556"/>
      <c r="P1717" s="182">
        <f>VLOOKUP($B1717,dongia1,DG!$F$5,)</f>
        <v>64600</v>
      </c>
      <c r="Q1717" s="554"/>
      <c r="R1717" s="554"/>
      <c r="S1717" s="113">
        <f t="shared" ref="S1717:U1718" si="779">$G1717*P1717</f>
        <v>0</v>
      </c>
      <c r="T1717" s="113">
        <f t="shared" si="779"/>
        <v>0</v>
      </c>
      <c r="U1717" s="557">
        <f t="shared" si="779"/>
        <v>0</v>
      </c>
    </row>
    <row r="1718" spans="1:21" s="552" customFormat="1" ht="15" customHeight="1">
      <c r="A1718" s="621"/>
      <c r="B1718" s="622" t="s">
        <v>1070</v>
      </c>
      <c r="C1718" s="633" t="str">
        <f t="shared" si="777"/>
        <v xml:space="preserve"> </v>
      </c>
      <c r="D1718" s="611"/>
      <c r="E1718" s="694" t="str">
        <f>VLOOKUP($B1718,dongia1,DG!$C$5,)</f>
        <v>Cáp nhôm lõi thép AC-120/19</v>
      </c>
      <c r="F1718" s="555" t="str">
        <f>VLOOKUP($B1718,dongia1,DG!$D$5,)</f>
        <v>kg</v>
      </c>
      <c r="G1718" s="205">
        <f>ROUND(D1718*1.02*0.471,2)</f>
        <v>0</v>
      </c>
      <c r="H1718" s="556">
        <f t="shared" si="778"/>
        <v>0</v>
      </c>
      <c r="I1718" s="556"/>
      <c r="J1718" s="556"/>
      <c r="K1718" s="556"/>
      <c r="L1718" s="556"/>
      <c r="M1718" s="556"/>
      <c r="N1718" s="556"/>
      <c r="O1718" s="556"/>
      <c r="P1718" s="182">
        <f>VLOOKUP($B1718,dongia1,DG!$I$5,)</f>
        <v>30800</v>
      </c>
      <c r="Q1718" s="554"/>
      <c r="R1718" s="554"/>
      <c r="S1718" s="113">
        <f t="shared" si="779"/>
        <v>0</v>
      </c>
      <c r="T1718" s="113">
        <f t="shared" si="779"/>
        <v>0</v>
      </c>
      <c r="U1718" s="557">
        <f t="shared" si="779"/>
        <v>0</v>
      </c>
    </row>
    <row r="1719" spans="1:21" s="552" customFormat="1" ht="15" customHeight="1">
      <c r="A1719" s="621"/>
      <c r="B1719" s="622" t="s">
        <v>3723</v>
      </c>
      <c r="C1719" s="633" t="str">
        <f t="shared" si="777"/>
        <v xml:space="preserve"> </v>
      </c>
      <c r="D1719" s="553"/>
      <c r="E1719" s="1641" t="s">
        <v>3649</v>
      </c>
      <c r="F1719" s="612" t="s">
        <v>2226</v>
      </c>
      <c r="G1719" s="560"/>
      <c r="H1719" s="556">
        <f t="shared" si="778"/>
        <v>0</v>
      </c>
      <c r="I1719" s="556"/>
      <c r="J1719" s="556"/>
      <c r="K1719" s="556"/>
      <c r="L1719" s="556"/>
      <c r="M1719" s="556"/>
      <c r="N1719" s="556"/>
      <c r="O1719" s="556"/>
      <c r="P1719" s="182"/>
      <c r="Q1719" s="182"/>
      <c r="R1719" s="554"/>
      <c r="S1719" s="113"/>
      <c r="T1719" s="113"/>
      <c r="U1719" s="557"/>
    </row>
    <row r="1720" spans="1:21" s="552" customFormat="1" ht="15" customHeight="1">
      <c r="A1720" s="621"/>
      <c r="B1720" s="622" t="s">
        <v>1355</v>
      </c>
      <c r="C1720" s="633" t="str">
        <f t="shared" si="777"/>
        <v xml:space="preserve"> </v>
      </c>
      <c r="D1720" s="553"/>
      <c r="E1720" s="694" t="str">
        <f>VLOOKUP($B1720,dongia1,DG!$C$5,)</f>
        <v>Uclevis (loại gân)+ sứ ống chỉ</v>
      </c>
      <c r="F1720" s="555" t="str">
        <f>VLOOKUP($B1720,dongia1,DG!$D$5,)</f>
        <v>bộ</v>
      </c>
      <c r="G1720" s="205">
        <f>G1719</f>
        <v>0</v>
      </c>
      <c r="H1720" s="556">
        <f t="shared" si="778"/>
        <v>0</v>
      </c>
      <c r="I1720" s="556"/>
      <c r="J1720" s="556"/>
      <c r="K1720" s="556"/>
      <c r="L1720" s="556"/>
      <c r="M1720" s="556"/>
      <c r="N1720" s="556"/>
      <c r="O1720" s="556"/>
      <c r="P1720" s="182">
        <f>VLOOKUP($B1720,dongia1,DG!$F$5,)</f>
        <v>35000</v>
      </c>
      <c r="Q1720" s="182"/>
      <c r="R1720" s="554"/>
      <c r="S1720" s="113">
        <f t="shared" ref="S1720:U1721" si="780">$G1720*P1720</f>
        <v>0</v>
      </c>
      <c r="T1720" s="113">
        <f t="shared" si="780"/>
        <v>0</v>
      </c>
      <c r="U1720" s="557">
        <f t="shared" si="780"/>
        <v>0</v>
      </c>
    </row>
    <row r="1721" spans="1:21" s="552" customFormat="1" ht="15" customHeight="1">
      <c r="A1721" s="621"/>
      <c r="B1721" s="622" t="s">
        <v>1262</v>
      </c>
      <c r="C1721" s="633" t="str">
        <f t="shared" si="777"/>
        <v xml:space="preserve"> </v>
      </c>
      <c r="D1721" s="553"/>
      <c r="E1721" s="694" t="str">
        <f>VLOOKUP($B1721,dongia1,DG!$C$5,)</f>
        <v>Boulon 16x300+ 2 long đền vuông D18-50x50x3/Zn</v>
      </c>
      <c r="F1721" s="555" t="str">
        <f>VLOOKUP($B1721,dongia1,DG!$D$5,)</f>
        <v>bộ</v>
      </c>
      <c r="G1721" s="205">
        <f>G1719</f>
        <v>0</v>
      </c>
      <c r="H1721" s="556">
        <f t="shared" si="778"/>
        <v>0</v>
      </c>
      <c r="I1721" s="556"/>
      <c r="J1721" s="556"/>
      <c r="K1721" s="556"/>
      <c r="L1721" s="556"/>
      <c r="M1721" s="556"/>
      <c r="N1721" s="556"/>
      <c r="O1721" s="556"/>
      <c r="P1721" s="182">
        <f>VLOOKUP($B1721,dongia1,DG!$F$5,)</f>
        <v>25400</v>
      </c>
      <c r="Q1721" s="182"/>
      <c r="R1721" s="554"/>
      <c r="S1721" s="113">
        <f t="shared" si="780"/>
        <v>0</v>
      </c>
      <c r="T1721" s="113">
        <f t="shared" si="780"/>
        <v>0</v>
      </c>
      <c r="U1721" s="557">
        <f t="shared" si="780"/>
        <v>0</v>
      </c>
    </row>
    <row r="1722" spans="1:21" s="552" customFormat="1" ht="15" customHeight="1">
      <c r="A1722" s="621"/>
      <c r="B1722" s="622" t="s">
        <v>1911</v>
      </c>
      <c r="C1722" s="633" t="str">
        <f t="shared" si="777"/>
        <v xml:space="preserve"> </v>
      </c>
      <c r="D1722" s="553"/>
      <c r="E1722" s="1641" t="s">
        <v>3651</v>
      </c>
      <c r="F1722" s="612" t="s">
        <v>2226</v>
      </c>
      <c r="G1722" s="559"/>
      <c r="H1722" s="556">
        <f t="shared" si="778"/>
        <v>0</v>
      </c>
      <c r="I1722" s="556"/>
      <c r="J1722" s="556"/>
      <c r="K1722" s="556"/>
      <c r="L1722" s="556"/>
      <c r="M1722" s="556"/>
      <c r="N1722" s="556"/>
      <c r="O1722" s="556"/>
      <c r="P1722" s="182"/>
      <c r="Q1722" s="182"/>
      <c r="R1722" s="554"/>
      <c r="S1722" s="113"/>
      <c r="T1722" s="113"/>
      <c r="U1722" s="557"/>
    </row>
    <row r="1723" spans="1:21" s="552" customFormat="1" ht="15" customHeight="1">
      <c r="A1723" s="621"/>
      <c r="B1723" s="622" t="s">
        <v>74</v>
      </c>
      <c r="C1723" s="633" t="str">
        <f t="shared" si="777"/>
        <v xml:space="preserve"> </v>
      </c>
      <c r="D1723" s="553"/>
      <c r="E1723" s="694" t="str">
        <f>VLOOKUP($B1723,dongia1,DG!$C$5,)</f>
        <v>Khóa néo dây cỡ dây 50(kẹp dừng dây 3U-3mm)</v>
      </c>
      <c r="F1723" s="555" t="str">
        <f>VLOOKUP($B1723,dongia1,DG!$D$5,)</f>
        <v>cái</v>
      </c>
      <c r="G1723" s="205">
        <f>G1722</f>
        <v>0</v>
      </c>
      <c r="H1723" s="556">
        <f t="shared" si="778"/>
        <v>0</v>
      </c>
      <c r="I1723" s="556"/>
      <c r="J1723" s="556"/>
      <c r="K1723" s="556"/>
      <c r="L1723" s="556"/>
      <c r="M1723" s="556"/>
      <c r="N1723" s="556"/>
      <c r="O1723" s="556"/>
      <c r="P1723" s="182">
        <f>VLOOKUP($B1723,dongia1,DG!$F$5,)</f>
        <v>58000</v>
      </c>
      <c r="Q1723" s="182"/>
      <c r="R1723" s="554"/>
      <c r="S1723" s="113">
        <f t="shared" ref="S1723:U1725" si="781">$G1723*P1723</f>
        <v>0</v>
      </c>
      <c r="T1723" s="113">
        <f t="shared" si="781"/>
        <v>0</v>
      </c>
      <c r="U1723" s="557">
        <f t="shared" si="781"/>
        <v>0</v>
      </c>
    </row>
    <row r="1724" spans="1:21" s="552" customFormat="1" ht="15" customHeight="1">
      <c r="A1724" s="621"/>
      <c r="B1724" s="622" t="s">
        <v>366</v>
      </c>
      <c r="C1724" s="633" t="str">
        <f t="shared" si="777"/>
        <v xml:space="preserve"> </v>
      </c>
      <c r="D1724" s="553"/>
      <c r="E1724" s="694" t="str">
        <f>VLOOKUP($B1724,dongia1,DG!$C$5,)</f>
        <v>Boulon mắt 16x300+ 1 long đền vuông D18-50x50x3/Zn</v>
      </c>
      <c r="F1724" s="555" t="str">
        <f>VLOOKUP($B1724,dongia1,DG!$D$5,)</f>
        <v>bộ</v>
      </c>
      <c r="G1724" s="205">
        <f>G1722</f>
        <v>0</v>
      </c>
      <c r="H1724" s="556">
        <f t="shared" si="778"/>
        <v>0</v>
      </c>
      <c r="I1724" s="556"/>
      <c r="J1724" s="556"/>
      <c r="K1724" s="556"/>
      <c r="L1724" s="556"/>
      <c r="M1724" s="556"/>
      <c r="N1724" s="556"/>
      <c r="O1724" s="556"/>
      <c r="P1724" s="182">
        <f>VLOOKUP($B1724,dongia1,DG!$F$5,)</f>
        <v>32200</v>
      </c>
      <c r="Q1724" s="182"/>
      <c r="R1724" s="554"/>
      <c r="S1724" s="113">
        <f t="shared" si="781"/>
        <v>0</v>
      </c>
      <c r="T1724" s="113">
        <f t="shared" si="781"/>
        <v>0</v>
      </c>
      <c r="U1724" s="557">
        <f t="shared" si="781"/>
        <v>0</v>
      </c>
    </row>
    <row r="1725" spans="1:21" s="552" customFormat="1" ht="15" customHeight="1">
      <c r="A1725" s="621"/>
      <c r="B1725" s="622" t="s">
        <v>75</v>
      </c>
      <c r="C1725" s="633" t="str">
        <f t="shared" si="777"/>
        <v xml:space="preserve"> </v>
      </c>
      <c r="D1725" s="553"/>
      <c r="E1725" s="694" t="str">
        <f>VLOOKUP($B1725,dongia1,DG!$C$5,)</f>
        <v>Kẹp ép WR cỡ dây 50mm2</v>
      </c>
      <c r="F1725" s="555" t="str">
        <f>VLOOKUP($B1725,dongia1,DG!$D$5,)</f>
        <v>cái</v>
      </c>
      <c r="G1725" s="205">
        <f>G1722*2</f>
        <v>0</v>
      </c>
      <c r="H1725" s="556">
        <f t="shared" si="778"/>
        <v>0</v>
      </c>
      <c r="I1725" s="556"/>
      <c r="J1725" s="556"/>
      <c r="K1725" s="556"/>
      <c r="L1725" s="556"/>
      <c r="M1725" s="556"/>
      <c r="N1725" s="556"/>
      <c r="O1725" s="556"/>
      <c r="P1725" s="182">
        <f>VLOOKUP($B1725,dongia1,DG!$F$5,)</f>
        <v>8000</v>
      </c>
      <c r="Q1725" s="182"/>
      <c r="R1725" s="554"/>
      <c r="S1725" s="113">
        <f t="shared" si="781"/>
        <v>0</v>
      </c>
      <c r="T1725" s="113">
        <f t="shared" si="781"/>
        <v>0</v>
      </c>
      <c r="U1725" s="557">
        <f t="shared" si="781"/>
        <v>0</v>
      </c>
    </row>
    <row r="1726" spans="1:21" s="552" customFormat="1" ht="15" customHeight="1">
      <c r="A1726" s="621"/>
      <c r="B1726" s="622" t="s">
        <v>3724</v>
      </c>
      <c r="C1726" s="633" t="str">
        <f t="shared" si="777"/>
        <v xml:space="preserve"> </v>
      </c>
      <c r="D1726" s="553"/>
      <c r="E1726" s="694" t="s">
        <v>3640</v>
      </c>
      <c r="F1726" s="612" t="s">
        <v>2226</v>
      </c>
      <c r="G1726" s="560">
        <f>+'pp3p_NC2M-3M'!DL24</f>
        <v>0</v>
      </c>
      <c r="H1726" s="556">
        <f t="shared" si="778"/>
        <v>0</v>
      </c>
      <c r="I1726" s="556"/>
      <c r="J1726" s="556"/>
      <c r="K1726" s="556"/>
      <c r="L1726" s="556"/>
      <c r="M1726" s="556"/>
      <c r="N1726" s="556"/>
      <c r="O1726" s="556"/>
      <c r="P1726" s="182"/>
      <c r="Q1726" s="182"/>
      <c r="R1726" s="554"/>
      <c r="S1726" s="113"/>
      <c r="T1726" s="113">
        <f t="shared" ref="T1726:T1742" si="782">$G1726*Q1726</f>
        <v>0</v>
      </c>
      <c r="U1726" s="557">
        <f t="shared" ref="U1726:U1742" si="783">$G1726*R1726</f>
        <v>0</v>
      </c>
    </row>
    <row r="1727" spans="1:21" s="552" customFormat="1" ht="15" customHeight="1">
      <c r="A1727" s="621"/>
      <c r="B1727" s="622" t="s">
        <v>647</v>
      </c>
      <c r="C1727" s="633" t="str">
        <f t="shared" si="777"/>
        <v xml:space="preserve"> </v>
      </c>
      <c r="D1727" s="553"/>
      <c r="E1727" s="694" t="str">
        <f>VLOOKUP($B1727,dongia1,DG!$C$5,)</f>
        <v xml:space="preserve">Sứ đứng 24KV </v>
      </c>
      <c r="F1727" s="555" t="str">
        <f>VLOOKUP($B1727,dongia1,DG!$D$5,)</f>
        <v>cái</v>
      </c>
      <c r="G1727" s="205">
        <f>G1726</f>
        <v>0</v>
      </c>
      <c r="H1727" s="556">
        <f t="shared" si="778"/>
        <v>0</v>
      </c>
      <c r="I1727" s="556"/>
      <c r="J1727" s="556"/>
      <c r="K1727" s="556"/>
      <c r="L1727" s="556"/>
      <c r="M1727" s="556"/>
      <c r="N1727" s="556"/>
      <c r="O1727" s="556"/>
      <c r="P1727" s="182">
        <f>VLOOKUP($B1727,dongia1,DG!$F$5,)</f>
        <v>205000</v>
      </c>
      <c r="Q1727" s="182"/>
      <c r="R1727" s="554"/>
      <c r="S1727" s="113">
        <f>$G1727*P1727</f>
        <v>0</v>
      </c>
      <c r="T1727" s="113">
        <f t="shared" si="782"/>
        <v>0</v>
      </c>
      <c r="U1727" s="557">
        <f t="shared" si="783"/>
        <v>0</v>
      </c>
    </row>
    <row r="1728" spans="1:21" s="552" customFormat="1" ht="15" customHeight="1">
      <c r="A1728" s="621"/>
      <c r="B1728" s="622" t="s">
        <v>414</v>
      </c>
      <c r="C1728" s="633" t="str">
        <f t="shared" si="777"/>
        <v xml:space="preserve"> </v>
      </c>
      <c r="D1728" s="553"/>
      <c r="E1728" s="694" t="str">
        <f>VLOOKUP($B1728,dongia1,DG!$C$5,)</f>
        <v>Chân sứ đứng D20</v>
      </c>
      <c r="F1728" s="555" t="str">
        <f>VLOOKUP($B1728,dongia1,DG!$D$5,)</f>
        <v>cái</v>
      </c>
      <c r="G1728" s="205">
        <f>G1726</f>
        <v>0</v>
      </c>
      <c r="H1728" s="556">
        <f t="shared" si="778"/>
        <v>0</v>
      </c>
      <c r="I1728" s="556"/>
      <c r="J1728" s="556"/>
      <c r="K1728" s="556"/>
      <c r="L1728" s="556"/>
      <c r="M1728" s="556"/>
      <c r="N1728" s="556"/>
      <c r="O1728" s="556"/>
      <c r="P1728" s="182">
        <f>VLOOKUP($B1728,dongia1,DG!$F$5,)</f>
        <v>65000</v>
      </c>
      <c r="Q1728" s="182"/>
      <c r="R1728" s="554"/>
      <c r="S1728" s="113">
        <f>$G1728*P1728</f>
        <v>0</v>
      </c>
      <c r="T1728" s="113">
        <f t="shared" si="782"/>
        <v>0</v>
      </c>
      <c r="U1728" s="557">
        <f t="shared" si="783"/>
        <v>0</v>
      </c>
    </row>
    <row r="1729" spans="1:21" s="552" customFormat="1" ht="15" customHeight="1">
      <c r="A1729" s="621"/>
      <c r="B1729" s="622" t="s">
        <v>3725</v>
      </c>
      <c r="C1729" s="633" t="str">
        <f t="shared" si="777"/>
        <v xml:space="preserve"> </v>
      </c>
      <c r="D1729" s="553"/>
      <c r="E1729" s="1641" t="s">
        <v>3641</v>
      </c>
      <c r="F1729" s="612" t="s">
        <v>2226</v>
      </c>
      <c r="G1729" s="559"/>
      <c r="H1729" s="556">
        <f t="shared" si="778"/>
        <v>0</v>
      </c>
      <c r="I1729" s="556"/>
      <c r="J1729" s="556"/>
      <c r="K1729" s="556"/>
      <c r="L1729" s="556"/>
      <c r="M1729" s="556"/>
      <c r="N1729" s="556"/>
      <c r="O1729" s="556"/>
      <c r="P1729" s="182"/>
      <c r="Q1729" s="182"/>
      <c r="R1729" s="554"/>
      <c r="S1729" s="113"/>
      <c r="T1729" s="113">
        <f t="shared" si="782"/>
        <v>0</v>
      </c>
      <c r="U1729" s="557">
        <f t="shared" si="783"/>
        <v>0</v>
      </c>
    </row>
    <row r="1730" spans="1:21" s="552" customFormat="1" ht="15" customHeight="1">
      <c r="A1730" s="621"/>
      <c r="B1730" s="622" t="s">
        <v>647</v>
      </c>
      <c r="C1730" s="633" t="str">
        <f t="shared" si="777"/>
        <v xml:space="preserve"> </v>
      </c>
      <c r="D1730" s="553"/>
      <c r="E1730" s="694" t="str">
        <f>VLOOKUP($B1730,dongia1,DG!$C$5,)</f>
        <v xml:space="preserve">Sứ đứng 24KV </v>
      </c>
      <c r="F1730" s="555" t="str">
        <f>VLOOKUP($B1730,dongia1,DG!$D$5,)</f>
        <v>cái</v>
      </c>
      <c r="G1730" s="205">
        <f>G1729</f>
        <v>0</v>
      </c>
      <c r="H1730" s="556">
        <f t="shared" si="778"/>
        <v>0</v>
      </c>
      <c r="I1730" s="556"/>
      <c r="J1730" s="556"/>
      <c r="K1730" s="556"/>
      <c r="L1730" s="556"/>
      <c r="M1730" s="556"/>
      <c r="N1730" s="556"/>
      <c r="O1730" s="556"/>
      <c r="P1730" s="182">
        <f>VLOOKUP($B1730,dongia1,DG!$F$5,)</f>
        <v>205000</v>
      </c>
      <c r="Q1730" s="182"/>
      <c r="R1730" s="554"/>
      <c r="S1730" s="113">
        <f>$G1730*P1730</f>
        <v>0</v>
      </c>
      <c r="T1730" s="113">
        <f t="shared" si="782"/>
        <v>0</v>
      </c>
      <c r="U1730" s="557">
        <f t="shared" si="783"/>
        <v>0</v>
      </c>
    </row>
    <row r="1731" spans="1:21" s="552" customFormat="1" ht="15" customHeight="1">
      <c r="A1731" s="621"/>
      <c r="B1731" s="622" t="s">
        <v>415</v>
      </c>
      <c r="C1731" s="633" t="str">
        <f t="shared" si="777"/>
        <v xml:space="preserve"> </v>
      </c>
      <c r="D1731" s="553"/>
      <c r="E1731" s="694" t="str">
        <f>VLOOKUP($B1731,dongia1,DG!$C$5,)</f>
        <v>Chân sứ đỉnh thẳng dài 870mm</v>
      </c>
      <c r="F1731" s="555" t="str">
        <f>VLOOKUP($B1731,dongia1,DG!$D$5,)</f>
        <v>cái</v>
      </c>
      <c r="G1731" s="205">
        <f>G1729</f>
        <v>0</v>
      </c>
      <c r="H1731" s="556">
        <f t="shared" si="778"/>
        <v>0</v>
      </c>
      <c r="I1731" s="556"/>
      <c r="J1731" s="556"/>
      <c r="K1731" s="556"/>
      <c r="L1731" s="556"/>
      <c r="M1731" s="556"/>
      <c r="N1731" s="556"/>
      <c r="O1731" s="556"/>
      <c r="P1731" s="182">
        <f>VLOOKUP($B1731,dongia1,DG!$F$5,)</f>
        <v>83000</v>
      </c>
      <c r="Q1731" s="182"/>
      <c r="R1731" s="554"/>
      <c r="S1731" s="113">
        <f>$G1731*P1731</f>
        <v>0</v>
      </c>
      <c r="T1731" s="113">
        <f t="shared" si="782"/>
        <v>0</v>
      </c>
      <c r="U1731" s="557">
        <f t="shared" si="783"/>
        <v>0</v>
      </c>
    </row>
    <row r="1732" spans="1:21" s="552" customFormat="1" ht="15" customHeight="1">
      <c r="A1732" s="621"/>
      <c r="B1732" s="622" t="s">
        <v>1261</v>
      </c>
      <c r="C1732" s="633" t="str">
        <f t="shared" si="777"/>
        <v xml:space="preserve"> </v>
      </c>
      <c r="D1732" s="553"/>
      <c r="E1732" s="694" t="str">
        <f>VLOOKUP($B1732,dongia1,DG!$C$5,)</f>
        <v>Boulon 16x250+ 2 long đền vuông D18-50x50x3/Zn</v>
      </c>
      <c r="F1732" s="555" t="str">
        <f>VLOOKUP($B1732,dongia1,DG!$D$5,)</f>
        <v>bộ</v>
      </c>
      <c r="G1732" s="205">
        <f>G1729*2</f>
        <v>0</v>
      </c>
      <c r="H1732" s="556">
        <f t="shared" si="778"/>
        <v>0</v>
      </c>
      <c r="I1732" s="556"/>
      <c r="J1732" s="556"/>
      <c r="K1732" s="556"/>
      <c r="L1732" s="556"/>
      <c r="M1732" s="556"/>
      <c r="N1732" s="556"/>
      <c r="O1732" s="556"/>
      <c r="P1732" s="182">
        <f>VLOOKUP($B1732,dongia1,DG!$F$5,)</f>
        <v>13400</v>
      </c>
      <c r="Q1732" s="182"/>
      <c r="R1732" s="554"/>
      <c r="S1732" s="113">
        <f>$G1732*P1732</f>
        <v>0</v>
      </c>
      <c r="T1732" s="113">
        <f t="shared" si="782"/>
        <v>0</v>
      </c>
      <c r="U1732" s="557">
        <f t="shared" si="783"/>
        <v>0</v>
      </c>
    </row>
    <row r="1733" spans="1:21" s="552" customFormat="1" ht="15" customHeight="1">
      <c r="A1733" s="621"/>
      <c r="B1733" s="622" t="s">
        <v>3726</v>
      </c>
      <c r="C1733" s="633" t="str">
        <f t="shared" si="777"/>
        <v xml:space="preserve"> </v>
      </c>
      <c r="D1733" s="553"/>
      <c r="E1733" s="1641" t="s">
        <v>3642</v>
      </c>
      <c r="F1733" s="612" t="s">
        <v>2226</v>
      </c>
      <c r="G1733" s="559"/>
      <c r="H1733" s="556">
        <f t="shared" si="778"/>
        <v>0</v>
      </c>
      <c r="I1733" s="556"/>
      <c r="J1733" s="556"/>
      <c r="K1733" s="556"/>
      <c r="L1733" s="556"/>
      <c r="M1733" s="556"/>
      <c r="N1733" s="556"/>
      <c r="O1733" s="556"/>
      <c r="P1733" s="182"/>
      <c r="Q1733" s="182"/>
      <c r="R1733" s="554"/>
      <c r="S1733" s="113"/>
      <c r="T1733" s="113">
        <f t="shared" si="782"/>
        <v>0</v>
      </c>
      <c r="U1733" s="557">
        <f t="shared" si="783"/>
        <v>0</v>
      </c>
    </row>
    <row r="1734" spans="1:21" s="552" customFormat="1" ht="15" customHeight="1">
      <c r="A1734" s="621"/>
      <c r="B1734" s="622" t="s">
        <v>647</v>
      </c>
      <c r="C1734" s="633" t="str">
        <f t="shared" si="777"/>
        <v xml:space="preserve"> </v>
      </c>
      <c r="D1734" s="553"/>
      <c r="E1734" s="694" t="str">
        <f>VLOOKUP($B1734,dongia1,DG!$C$5,)</f>
        <v xml:space="preserve">Sứ đứng 24KV </v>
      </c>
      <c r="F1734" s="555" t="str">
        <f>VLOOKUP($B1734,dongia1,DG!$D$5,)</f>
        <v>cái</v>
      </c>
      <c r="G1734" s="205">
        <f>G1733*2</f>
        <v>0</v>
      </c>
      <c r="H1734" s="556">
        <f t="shared" si="778"/>
        <v>0</v>
      </c>
      <c r="I1734" s="556"/>
      <c r="J1734" s="556"/>
      <c r="K1734" s="556"/>
      <c r="L1734" s="556"/>
      <c r="M1734" s="556"/>
      <c r="N1734" s="556"/>
      <c r="O1734" s="556"/>
      <c r="P1734" s="182">
        <f>VLOOKUP($B1734,dongia1,DG!$F$5,)</f>
        <v>205000</v>
      </c>
      <c r="Q1734" s="182"/>
      <c r="R1734" s="554"/>
      <c r="S1734" s="113">
        <f>$G1734*P1734</f>
        <v>0</v>
      </c>
      <c r="T1734" s="113">
        <f t="shared" si="782"/>
        <v>0</v>
      </c>
      <c r="U1734" s="557">
        <f t="shared" si="783"/>
        <v>0</v>
      </c>
    </row>
    <row r="1735" spans="1:21" s="552" customFormat="1" ht="15" customHeight="1">
      <c r="A1735" s="621"/>
      <c r="B1735" s="622" t="s">
        <v>1999</v>
      </c>
      <c r="C1735" s="633" t="str">
        <f t="shared" si="777"/>
        <v xml:space="preserve"> </v>
      </c>
      <c r="D1735" s="553"/>
      <c r="E1735" s="694" t="str">
        <f>VLOOKUP($B1735,dongia1,DG!$C$5,)</f>
        <v>Chân sứ đỉnh đỡ góc dài 870mm</v>
      </c>
      <c r="F1735" s="555" t="str">
        <f>VLOOKUP($B1735,dongia1,DG!$D$5,)</f>
        <v>cái</v>
      </c>
      <c r="G1735" s="205">
        <f>G1733*2</f>
        <v>0</v>
      </c>
      <c r="H1735" s="556">
        <f t="shared" si="778"/>
        <v>0</v>
      </c>
      <c r="I1735" s="556"/>
      <c r="J1735" s="556"/>
      <c r="K1735" s="556"/>
      <c r="L1735" s="556"/>
      <c r="M1735" s="556"/>
      <c r="N1735" s="556"/>
      <c r="O1735" s="556"/>
      <c r="P1735" s="182">
        <f>VLOOKUP($B1735,dongia1,DG!$F$5,)</f>
        <v>85000</v>
      </c>
      <c r="Q1735" s="182"/>
      <c r="R1735" s="554"/>
      <c r="S1735" s="113">
        <f>$G1735*P1735</f>
        <v>0</v>
      </c>
      <c r="T1735" s="113">
        <f t="shared" si="782"/>
        <v>0</v>
      </c>
      <c r="U1735" s="557">
        <f t="shared" si="783"/>
        <v>0</v>
      </c>
    </row>
    <row r="1736" spans="1:21" s="552" customFormat="1" ht="15" customHeight="1">
      <c r="A1736" s="621"/>
      <c r="B1736" s="622" t="s">
        <v>1261</v>
      </c>
      <c r="C1736" s="633" t="str">
        <f t="shared" si="777"/>
        <v xml:space="preserve"> </v>
      </c>
      <c r="D1736" s="553"/>
      <c r="E1736" s="694" t="str">
        <f>VLOOKUP($B1736,dongia1,DG!$C$5,)</f>
        <v>Boulon 16x250+ 2 long đền vuông D18-50x50x3/Zn</v>
      </c>
      <c r="F1736" s="555" t="str">
        <f>VLOOKUP($B1736,dongia1,DG!$D$5,)</f>
        <v>bộ</v>
      </c>
      <c r="G1736" s="205">
        <f>G1733*2</f>
        <v>0</v>
      </c>
      <c r="H1736" s="556">
        <f t="shared" si="778"/>
        <v>0</v>
      </c>
      <c r="I1736" s="556"/>
      <c r="J1736" s="556"/>
      <c r="K1736" s="556"/>
      <c r="L1736" s="556"/>
      <c r="M1736" s="556"/>
      <c r="N1736" s="556"/>
      <c r="O1736" s="556"/>
      <c r="P1736" s="182">
        <f>VLOOKUP($B1736,dongia1,DG!$F$5,)</f>
        <v>13400</v>
      </c>
      <c r="Q1736" s="182"/>
      <c r="R1736" s="554"/>
      <c r="S1736" s="113">
        <f>$G1736*P1736</f>
        <v>0</v>
      </c>
      <c r="T1736" s="113">
        <f t="shared" si="782"/>
        <v>0</v>
      </c>
      <c r="U1736" s="557">
        <f t="shared" si="783"/>
        <v>0</v>
      </c>
    </row>
    <row r="1737" spans="1:21" s="552" customFormat="1" ht="15" customHeight="1">
      <c r="A1737" s="621"/>
      <c r="B1737" s="622" t="s">
        <v>3732</v>
      </c>
      <c r="C1737" s="633" t="str">
        <f t="shared" si="777"/>
        <v xml:space="preserve"> </v>
      </c>
      <c r="D1737" s="553"/>
      <c r="E1737" s="1641" t="s">
        <v>3644</v>
      </c>
      <c r="F1737" s="612" t="s">
        <v>3693</v>
      </c>
      <c r="G1737" s="560">
        <f>+'pp3p_NC2M-3M'!DM24</f>
        <v>0</v>
      </c>
      <c r="H1737" s="556">
        <f t="shared" si="778"/>
        <v>0</v>
      </c>
      <c r="I1737" s="556"/>
      <c r="J1737" s="556"/>
      <c r="K1737" s="556"/>
      <c r="L1737" s="556"/>
      <c r="M1737" s="556"/>
      <c r="N1737" s="556"/>
      <c r="O1737" s="556"/>
      <c r="P1737" s="182"/>
      <c r="Q1737" s="182"/>
      <c r="R1737" s="554"/>
      <c r="S1737" s="113">
        <f t="shared" ref="S1737:S1742" si="784">$G1737*P1737</f>
        <v>0</v>
      </c>
      <c r="T1737" s="113">
        <f t="shared" si="782"/>
        <v>0</v>
      </c>
      <c r="U1737" s="557">
        <f t="shared" si="783"/>
        <v>0</v>
      </c>
    </row>
    <row r="1738" spans="1:21" s="552" customFormat="1" ht="15" customHeight="1">
      <c r="A1738" s="621"/>
      <c r="B1738" s="622" t="s">
        <v>1096</v>
      </c>
      <c r="C1738" s="633" t="str">
        <f t="shared" si="777"/>
        <v xml:space="preserve"> </v>
      </c>
      <c r="D1738" s="553"/>
      <c r="E1738" s="694" t="str">
        <f>VLOOKUP($B1738,dongia1,DG!$C$5,)&amp;" "</f>
        <v xml:space="preserve">Sứ treo polymer  </v>
      </c>
      <c r="F1738" s="555" t="str">
        <f>VLOOKUP($B1738,dongia1,DG!$D$5,)</f>
        <v>chuỗi</v>
      </c>
      <c r="G1738" s="205">
        <f>G1737</f>
        <v>0</v>
      </c>
      <c r="H1738" s="556">
        <f t="shared" si="778"/>
        <v>0</v>
      </c>
      <c r="I1738" s="556"/>
      <c r="J1738" s="556"/>
      <c r="K1738" s="556"/>
      <c r="L1738" s="556"/>
      <c r="M1738" s="556"/>
      <c r="N1738" s="556"/>
      <c r="O1738" s="556"/>
      <c r="P1738" s="182">
        <f>VLOOKUP($B1738,dongia1,DG!$F$5,)</f>
        <v>235000</v>
      </c>
      <c r="Q1738" s="182"/>
      <c r="R1738" s="554"/>
      <c r="S1738" s="113">
        <f t="shared" si="784"/>
        <v>0</v>
      </c>
      <c r="T1738" s="113">
        <f t="shared" si="782"/>
        <v>0</v>
      </c>
      <c r="U1738" s="557">
        <f t="shared" si="783"/>
        <v>0</v>
      </c>
    </row>
    <row r="1739" spans="1:21" s="552" customFormat="1" ht="15" customHeight="1">
      <c r="A1739" s="621"/>
      <c r="B1739" s="622" t="s">
        <v>2035</v>
      </c>
      <c r="C1739" s="633" t="str">
        <f t="shared" si="777"/>
        <v xml:space="preserve"> </v>
      </c>
      <c r="D1739" s="553"/>
      <c r="E1739" s="694" t="str">
        <f>VLOOKUP($B1739,dongia1,DG!$C$5,)&amp;""</f>
        <v xml:space="preserve">Móc treo chữ U F16 dài </v>
      </c>
      <c r="F1739" s="555" t="str">
        <f>VLOOKUP($B1739,dongia1,DG!$D$5,)</f>
        <v>cái</v>
      </c>
      <c r="G1739" s="205">
        <f>G1737*2</f>
        <v>0</v>
      </c>
      <c r="H1739" s="556">
        <f t="shared" si="778"/>
        <v>0</v>
      </c>
      <c r="I1739" s="556"/>
      <c r="J1739" s="556"/>
      <c r="K1739" s="556"/>
      <c r="L1739" s="556"/>
      <c r="M1739" s="556"/>
      <c r="N1739" s="556"/>
      <c r="O1739" s="556"/>
      <c r="P1739" s="182">
        <f>VLOOKUP($B1739,dongia1,DG!$F$5,)</f>
        <v>28000</v>
      </c>
      <c r="Q1739" s="182"/>
      <c r="R1739" s="182">
        <f>VLOOKUP($B1739,dongia1,DG!$H$5,)</f>
        <v>0</v>
      </c>
      <c r="S1739" s="113">
        <f t="shared" si="784"/>
        <v>0</v>
      </c>
      <c r="T1739" s="113">
        <f t="shared" si="782"/>
        <v>0</v>
      </c>
      <c r="U1739" s="557">
        <f t="shared" si="783"/>
        <v>0</v>
      </c>
    </row>
    <row r="1740" spans="1:21" s="552" customFormat="1" ht="15" customHeight="1">
      <c r="A1740" s="621"/>
      <c r="B1740" s="622" t="s">
        <v>248</v>
      </c>
      <c r="C1740" s="633" t="str">
        <f t="shared" si="777"/>
        <v xml:space="preserve"> </v>
      </c>
      <c r="D1740" s="553"/>
      <c r="E1740" s="694" t="str">
        <f>VLOOKUP($B1740,dongia1,DG!$C$5,)</f>
        <v>Khóa néo dây 5U-4mm (185-240mm2)</v>
      </c>
      <c r="F1740" s="555" t="str">
        <f>VLOOKUP($B1740,dongia1,DG!$D$5,)</f>
        <v>cái</v>
      </c>
      <c r="G1740" s="205">
        <f>G1738</f>
        <v>0</v>
      </c>
      <c r="H1740" s="556">
        <f t="shared" si="778"/>
        <v>0</v>
      </c>
      <c r="I1740" s="556"/>
      <c r="J1740" s="556"/>
      <c r="K1740" s="556"/>
      <c r="L1740" s="556"/>
      <c r="M1740" s="556"/>
      <c r="N1740" s="556"/>
      <c r="O1740" s="556"/>
      <c r="P1740" s="182">
        <f>VLOOKUP($B1740,dongia1,DG!$F$5,)</f>
        <v>164000</v>
      </c>
      <c r="Q1740" s="182"/>
      <c r="R1740" s="182">
        <f>VLOOKUP($B1740,dongia1,DG!$H$5,)</f>
        <v>0</v>
      </c>
      <c r="S1740" s="113">
        <f t="shared" si="784"/>
        <v>0</v>
      </c>
      <c r="T1740" s="113">
        <f t="shared" si="782"/>
        <v>0</v>
      </c>
      <c r="U1740" s="557">
        <f t="shared" si="783"/>
        <v>0</v>
      </c>
    </row>
    <row r="1741" spans="1:21" s="552" customFormat="1" ht="15" customHeight="1">
      <c r="A1741" s="621"/>
      <c r="B1741" s="622" t="s">
        <v>1554</v>
      </c>
      <c r="C1741" s="633" t="str">
        <f t="shared" si="777"/>
        <v xml:space="preserve"> </v>
      </c>
      <c r="D1741" s="553"/>
      <c r="E1741" s="694" t="str">
        <f>VLOOKUP($B1741,dongia1,DG!$C$5,)</f>
        <v>Khóa néo dây cỡ dây 240</v>
      </c>
      <c r="F1741" s="555" t="str">
        <f>VLOOKUP($B1741,dongia1,DG!$D$5,)</f>
        <v>cái</v>
      </c>
      <c r="G1741" s="205">
        <f>G1738*0</f>
        <v>0</v>
      </c>
      <c r="H1741" s="556"/>
      <c r="I1741" s="556"/>
      <c r="J1741" s="556"/>
      <c r="K1741" s="556"/>
      <c r="L1741" s="556"/>
      <c r="M1741" s="556"/>
      <c r="N1741" s="556"/>
      <c r="O1741" s="556"/>
      <c r="P1741" s="182">
        <f>VLOOKUP($B1741,dongia1,DG!$F$5,)</f>
        <v>157000</v>
      </c>
      <c r="Q1741" s="182"/>
      <c r="R1741" s="182">
        <f>VLOOKUP($B1741,dongia1,DG!$H$5,)</f>
        <v>0</v>
      </c>
      <c r="S1741" s="113">
        <f t="shared" si="784"/>
        <v>0</v>
      </c>
      <c r="T1741" s="113">
        <f t="shared" si="782"/>
        <v>0</v>
      </c>
      <c r="U1741" s="557">
        <f t="shared" si="783"/>
        <v>0</v>
      </c>
    </row>
    <row r="1742" spans="1:21" s="552" customFormat="1" ht="15" customHeight="1">
      <c r="A1742" s="621"/>
      <c r="B1742" s="622" t="s">
        <v>1797</v>
      </c>
      <c r="C1742" s="633" t="str">
        <f t="shared" si="777"/>
        <v xml:space="preserve"> </v>
      </c>
      <c r="D1742" s="553"/>
      <c r="E1742" s="694" t="str">
        <f>VLOOKUP($B1742,dongia1,DG!$C$5,)</f>
        <v>Kẹp 2 rãnh (APC) cỡ dây 240 mm2</v>
      </c>
      <c r="F1742" s="555" t="str">
        <f>VLOOKUP($B1742,dongia1,DG!$D$5,)</f>
        <v>cái</v>
      </c>
      <c r="G1742" s="205">
        <f>G1737*G1741</f>
        <v>0</v>
      </c>
      <c r="H1742" s="556">
        <f t="shared" si="778"/>
        <v>0</v>
      </c>
      <c r="I1742" s="556"/>
      <c r="J1742" s="556"/>
      <c r="K1742" s="556"/>
      <c r="L1742" s="556"/>
      <c r="M1742" s="556"/>
      <c r="N1742" s="556"/>
      <c r="O1742" s="556"/>
      <c r="P1742" s="182">
        <f>VLOOKUP($B1742,dongia1,DG!$F$5,)</f>
        <v>19100</v>
      </c>
      <c r="Q1742" s="182"/>
      <c r="R1742" s="182">
        <f>VLOOKUP($B1742,dongia1,DG!$H$5,)</f>
        <v>0</v>
      </c>
      <c r="S1742" s="113">
        <f t="shared" si="784"/>
        <v>0</v>
      </c>
      <c r="T1742" s="113">
        <f t="shared" si="782"/>
        <v>0</v>
      </c>
      <c r="U1742" s="557">
        <f t="shared" si="783"/>
        <v>0</v>
      </c>
    </row>
    <row r="1743" spans="1:21" s="552" customFormat="1" ht="15" customHeight="1">
      <c r="A1743" s="621"/>
      <c r="B1743" s="622"/>
      <c r="C1743" s="633"/>
      <c r="D1743" s="553"/>
      <c r="E1743" s="1641" t="s">
        <v>3648</v>
      </c>
      <c r="F1743" s="555"/>
      <c r="G1743" s="205"/>
      <c r="H1743" s="556"/>
      <c r="I1743" s="556"/>
      <c r="J1743" s="556"/>
      <c r="K1743" s="556"/>
      <c r="L1743" s="556"/>
      <c r="M1743" s="556"/>
      <c r="N1743" s="556"/>
      <c r="O1743" s="556"/>
      <c r="P1743" s="554"/>
      <c r="Q1743" s="554"/>
      <c r="R1743" s="561"/>
      <c r="S1743" s="561"/>
      <c r="T1743" s="561"/>
      <c r="U1743" s="562"/>
    </row>
    <row r="1744" spans="1:21" s="552" customFormat="1" ht="15" customHeight="1">
      <c r="A1744" s="621"/>
      <c r="B1744" s="622" t="s">
        <v>1698</v>
      </c>
      <c r="C1744" s="633" t="str">
        <f t="shared" ref="C1744:C1756" si="785">IF(G1744&lt;&gt;0,$C$1457," ")</f>
        <v xml:space="preserve"> </v>
      </c>
      <c r="D1744" s="553"/>
      <c r="E1744" s="694" t="str">
        <f>VLOOKUP($B1744,dongia1,DG!$C$5,)</f>
        <v>Kẹp ép WR cỡ dây 120mm2</v>
      </c>
      <c r="F1744" s="555" t="str">
        <f>VLOOKUP($B1744,dongia1,DG!$D$5,)</f>
        <v>cái</v>
      </c>
      <c r="G1744" s="560">
        <f>+'pp3p_NC2M-3M'!EQ24</f>
        <v>0</v>
      </c>
      <c r="H1744" s="556">
        <f t="shared" si="778"/>
        <v>0</v>
      </c>
      <c r="I1744" s="556"/>
      <c r="J1744" s="556"/>
      <c r="K1744" s="556"/>
      <c r="L1744" s="556"/>
      <c r="M1744" s="556"/>
      <c r="N1744" s="556"/>
      <c r="O1744" s="556"/>
      <c r="P1744" s="182">
        <f>VLOOKUP($B1744,dongia1,DG!$F$5,)</f>
        <v>14000</v>
      </c>
      <c r="Q1744" s="182"/>
      <c r="R1744" s="182">
        <f>VLOOKUP($B1744,dongia1,DG!$H$5,)</f>
        <v>0</v>
      </c>
      <c r="S1744" s="113">
        <f t="shared" ref="S1744:U1745" si="786">$G1744*P1744</f>
        <v>0</v>
      </c>
      <c r="T1744" s="113">
        <f t="shared" si="786"/>
        <v>0</v>
      </c>
      <c r="U1744" s="557">
        <f t="shared" si="786"/>
        <v>0</v>
      </c>
    </row>
    <row r="1745" spans="1:21" s="552" customFormat="1" ht="15" customHeight="1">
      <c r="A1745" s="621"/>
      <c r="B1745" s="622" t="s">
        <v>1699</v>
      </c>
      <c r="C1745" s="633" t="str">
        <f t="shared" si="785"/>
        <v xml:space="preserve"> </v>
      </c>
      <c r="D1745" s="553"/>
      <c r="E1745" s="694" t="str">
        <f>VLOOKUP($B1745,dongia1,DG!$C$5,)</f>
        <v>Kẹp ép WR cỡ dây 185mm2</v>
      </c>
      <c r="F1745" s="555" t="str">
        <f>VLOOKUP($B1745,dongia1,DG!$D$5,)</f>
        <v>cái</v>
      </c>
      <c r="G1745" s="560">
        <f>+'pp3p_NC2M-3M'!ES24</f>
        <v>0</v>
      </c>
      <c r="H1745" s="556">
        <f t="shared" si="778"/>
        <v>0</v>
      </c>
      <c r="I1745" s="556"/>
      <c r="J1745" s="556"/>
      <c r="K1745" s="556"/>
      <c r="L1745" s="556"/>
      <c r="M1745" s="556"/>
      <c r="N1745" s="556"/>
      <c r="O1745" s="556"/>
      <c r="P1745" s="182">
        <f>VLOOKUP($B1745,dongia1,DG!$F$5,)</f>
        <v>18000</v>
      </c>
      <c r="Q1745" s="182"/>
      <c r="R1745" s="182">
        <f>VLOOKUP($B1745,dongia1,DG!$H$5,)</f>
        <v>0</v>
      </c>
      <c r="S1745" s="113">
        <f t="shared" si="786"/>
        <v>0</v>
      </c>
      <c r="T1745" s="113">
        <f t="shared" si="786"/>
        <v>0</v>
      </c>
      <c r="U1745" s="557">
        <f t="shared" si="786"/>
        <v>0</v>
      </c>
    </row>
    <row r="1746" spans="1:21" s="552" customFormat="1" ht="15" customHeight="1">
      <c r="A1746" s="621"/>
      <c r="B1746" s="622" t="s">
        <v>76</v>
      </c>
      <c r="C1746" s="633" t="str">
        <f t="shared" si="785"/>
        <v xml:space="preserve"> </v>
      </c>
      <c r="D1746" s="553"/>
      <c r="E1746" s="694" t="str">
        <f>VLOOKUP($B1746,dongia1,DG!$C$5,)</f>
        <v>Đầu cosse ép Cu-Al 50mm2</v>
      </c>
      <c r="F1746" s="555" t="str">
        <f>VLOOKUP($B1746,dongia1,DG!$D$5,)</f>
        <v>cái</v>
      </c>
      <c r="G1746" s="560"/>
      <c r="H1746" s="556">
        <f>$G1746</f>
        <v>0</v>
      </c>
      <c r="I1746" s="556"/>
      <c r="J1746" s="556"/>
      <c r="K1746" s="556"/>
      <c r="L1746" s="556"/>
      <c r="M1746" s="556"/>
      <c r="N1746" s="556"/>
      <c r="O1746" s="556"/>
      <c r="P1746" s="182">
        <f>VLOOKUP($B1746,dongia1,DG!$F$5,)</f>
        <v>26000</v>
      </c>
      <c r="Q1746" s="182">
        <f>VLOOKUP($B1746,dongia1,DG!$G$5,)</f>
        <v>10608.955000000002</v>
      </c>
      <c r="R1746" s="182">
        <f>VLOOKUP($B1746,dongia1,DG!$H$5,)</f>
        <v>2777.0232475000003</v>
      </c>
      <c r="S1746" s="113">
        <f t="shared" ref="S1746:S1751" si="787">$G1746*P1746</f>
        <v>0</v>
      </c>
      <c r="T1746" s="113">
        <f t="shared" ref="T1746:T1751" si="788">$G1746*Q1746</f>
        <v>0</v>
      </c>
      <c r="U1746" s="557">
        <f t="shared" ref="U1746:U1751" si="789">$G1746*R1746</f>
        <v>0</v>
      </c>
    </row>
    <row r="1747" spans="1:21" s="552" customFormat="1" ht="15" customHeight="1">
      <c r="A1747" s="621"/>
      <c r="B1747" s="622" t="s">
        <v>44</v>
      </c>
      <c r="C1747" s="633" t="str">
        <f t="shared" si="785"/>
        <v xml:space="preserve"> </v>
      </c>
      <c r="D1747" s="553"/>
      <c r="E1747" s="694" t="str">
        <f>VLOOKUP($B1747,dongia1,DG!$C$5,)</f>
        <v>Đầu cosse ép Cu 95mm2</v>
      </c>
      <c r="F1747" s="555" t="str">
        <f>VLOOKUP($B1747,dongia1,DG!$D$5,)</f>
        <v>cái</v>
      </c>
      <c r="G1747" s="560"/>
      <c r="H1747" s="556">
        <f t="shared" si="778"/>
        <v>0</v>
      </c>
      <c r="I1747" s="556"/>
      <c r="J1747" s="556"/>
      <c r="K1747" s="556"/>
      <c r="L1747" s="556"/>
      <c r="M1747" s="556"/>
      <c r="N1747" s="556"/>
      <c r="O1747" s="556"/>
      <c r="P1747" s="182">
        <f>VLOOKUP($B1747,dongia1,DG!$F$5,)</f>
        <v>21000</v>
      </c>
      <c r="Q1747" s="182">
        <f>VLOOKUP($B1747,dongia1,DG!$G$5,)</f>
        <v>21217.910000000003</v>
      </c>
      <c r="R1747" s="182">
        <f>VLOOKUP($B1747,dongia1,DG!$H$5,)</f>
        <v>3332.427897</v>
      </c>
      <c r="S1747" s="113">
        <f t="shared" si="787"/>
        <v>0</v>
      </c>
      <c r="T1747" s="113">
        <f t="shared" si="788"/>
        <v>0</v>
      </c>
      <c r="U1747" s="557">
        <f t="shared" si="789"/>
        <v>0</v>
      </c>
    </row>
    <row r="1748" spans="1:21" s="552" customFormat="1" ht="15" customHeight="1">
      <c r="A1748" s="621"/>
      <c r="B1748" s="622" t="s">
        <v>264</v>
      </c>
      <c r="C1748" s="633" t="str">
        <f t="shared" si="785"/>
        <v xml:space="preserve"> </v>
      </c>
      <c r="D1748" s="553"/>
      <c r="E1748" s="694" t="str">
        <f>VLOOKUP($B1748,dongia1,DG!$C$5,)</f>
        <v>Đầu cosse ép Cu 120mm2</v>
      </c>
      <c r="F1748" s="555" t="str">
        <f>VLOOKUP($B1748,dongia1,DG!$D$5,)</f>
        <v>cái</v>
      </c>
      <c r="G1748" s="560"/>
      <c r="H1748" s="556">
        <f t="shared" si="778"/>
        <v>0</v>
      </c>
      <c r="I1748" s="556"/>
      <c r="J1748" s="556"/>
      <c r="K1748" s="556"/>
      <c r="L1748" s="556"/>
      <c r="M1748" s="556"/>
      <c r="N1748" s="556"/>
      <c r="O1748" s="556"/>
      <c r="P1748" s="182">
        <f>VLOOKUP($B1748,dongia1,DG!$F$5,)</f>
        <v>27000</v>
      </c>
      <c r="Q1748" s="182">
        <f>VLOOKUP($B1748,dongia1,DG!$G$5,)</f>
        <v>27280.17</v>
      </c>
      <c r="R1748" s="182">
        <f>VLOOKUP($B1748,dongia1,DG!$H$5,)</f>
        <v>3887.8325465000003</v>
      </c>
      <c r="S1748" s="113">
        <f t="shared" si="787"/>
        <v>0</v>
      </c>
      <c r="T1748" s="113">
        <f t="shared" si="788"/>
        <v>0</v>
      </c>
      <c r="U1748" s="557">
        <f t="shared" si="789"/>
        <v>0</v>
      </c>
    </row>
    <row r="1749" spans="1:21" s="552" customFormat="1" ht="15" customHeight="1">
      <c r="A1749" s="621"/>
      <c r="B1749" s="622" t="s">
        <v>1869</v>
      </c>
      <c r="C1749" s="633" t="str">
        <f t="shared" si="785"/>
        <v xml:space="preserve"> </v>
      </c>
      <c r="D1749" s="553"/>
      <c r="E1749" s="694" t="str">
        <f>VLOOKUP($B1749,dongia1,DG!$C$5,)</f>
        <v>Đầu cosse ép Cu 150mm2</v>
      </c>
      <c r="F1749" s="555" t="str">
        <f>VLOOKUP($B1749,dongia1,DG!$D$5,)</f>
        <v>cái</v>
      </c>
      <c r="G1749" s="560"/>
      <c r="H1749" s="556">
        <f t="shared" si="778"/>
        <v>0</v>
      </c>
      <c r="I1749" s="556"/>
      <c r="J1749" s="556"/>
      <c r="K1749" s="556"/>
      <c r="L1749" s="556"/>
      <c r="M1749" s="556"/>
      <c r="N1749" s="556"/>
      <c r="O1749" s="556"/>
      <c r="P1749" s="182">
        <f>VLOOKUP($B1749,dongia1,DG!$F$5,)</f>
        <v>36000</v>
      </c>
      <c r="Q1749" s="182">
        <f>VLOOKUP($B1749,dongia1,DG!$G$5,)</f>
        <v>33342.43</v>
      </c>
      <c r="R1749" s="182">
        <f>VLOOKUP($B1749,dongia1,DG!$H$5,)</f>
        <v>4443.237196</v>
      </c>
      <c r="S1749" s="113">
        <f t="shared" si="787"/>
        <v>0</v>
      </c>
      <c r="T1749" s="113">
        <f t="shared" si="788"/>
        <v>0</v>
      </c>
      <c r="U1749" s="557">
        <f t="shared" si="789"/>
        <v>0</v>
      </c>
    </row>
    <row r="1750" spans="1:21" s="552" customFormat="1" ht="15" customHeight="1">
      <c r="A1750" s="621"/>
      <c r="B1750" s="622" t="s">
        <v>319</v>
      </c>
      <c r="C1750" s="633" t="str">
        <f t="shared" si="785"/>
        <v xml:space="preserve"> </v>
      </c>
      <c r="D1750" s="553"/>
      <c r="E1750" s="694" t="str">
        <f>VLOOKUP($B1750,dongia1,DG!$C$5,)</f>
        <v>Đầu cosse ép Cu-Al 185mm2</v>
      </c>
      <c r="F1750" s="555" t="str">
        <f>VLOOKUP($B1750,dongia1,DG!$D$5,)</f>
        <v>cái</v>
      </c>
      <c r="G1750" s="560"/>
      <c r="H1750" s="556">
        <f t="shared" si="778"/>
        <v>0</v>
      </c>
      <c r="I1750" s="556"/>
      <c r="J1750" s="556"/>
      <c r="K1750" s="556"/>
      <c r="L1750" s="556"/>
      <c r="M1750" s="556"/>
      <c r="N1750" s="556"/>
      <c r="O1750" s="556"/>
      <c r="P1750" s="182">
        <f>VLOOKUP($B1750,dongia1,DG!$F$5,)</f>
        <v>46000</v>
      </c>
      <c r="Q1750" s="182">
        <f>VLOOKUP($B1750,dongia1,DG!$G$5,)</f>
        <v>40010.916000000005</v>
      </c>
      <c r="R1750" s="182">
        <f>VLOOKUP($B1750,dongia1,DG!$H$5,)</f>
        <v>4998.6418455000003</v>
      </c>
      <c r="S1750" s="113">
        <f t="shared" si="787"/>
        <v>0</v>
      </c>
      <c r="T1750" s="113">
        <f t="shared" si="788"/>
        <v>0</v>
      </c>
      <c r="U1750" s="557">
        <f t="shared" si="789"/>
        <v>0</v>
      </c>
    </row>
    <row r="1751" spans="1:21" s="552" customFormat="1" ht="15" customHeight="1">
      <c r="A1751" s="621"/>
      <c r="B1751" s="622" t="s">
        <v>1364</v>
      </c>
      <c r="C1751" s="633" t="str">
        <f t="shared" si="785"/>
        <v xml:space="preserve"> </v>
      </c>
      <c r="D1751" s="553"/>
      <c r="E1751" s="694" t="str">
        <f>VLOOKUP($B1751,dongia1,DG!$C$5,)</f>
        <v>Đầu cosse ép Cu-Al 240mm2</v>
      </c>
      <c r="F1751" s="555" t="str">
        <f>VLOOKUP($B1751,dongia1,DG!$D$5,)</f>
        <v>cái</v>
      </c>
      <c r="G1751" s="560"/>
      <c r="H1751" s="556">
        <f t="shared" si="778"/>
        <v>0</v>
      </c>
      <c r="I1751" s="556"/>
      <c r="J1751" s="556"/>
      <c r="K1751" s="556"/>
      <c r="L1751" s="556"/>
      <c r="M1751" s="556"/>
      <c r="N1751" s="556"/>
      <c r="O1751" s="556"/>
      <c r="P1751" s="182">
        <f>VLOOKUP($B1751,dongia1,DG!$F$5,)</f>
        <v>59000</v>
      </c>
      <c r="Q1751" s="182">
        <f>VLOOKUP($B1751,dongia1,DG!$G$5,)</f>
        <v>50013.645000000004</v>
      </c>
      <c r="R1751" s="182">
        <f>VLOOKUP($B1751,dongia1,DG!$H$5,)</f>
        <v>5554.0464950000005</v>
      </c>
      <c r="S1751" s="113">
        <f t="shared" si="787"/>
        <v>0</v>
      </c>
      <c r="T1751" s="113">
        <f t="shared" si="788"/>
        <v>0</v>
      </c>
      <c r="U1751" s="557">
        <f t="shared" si="789"/>
        <v>0</v>
      </c>
    </row>
    <row r="1752" spans="1:21" s="552" customFormat="1" ht="15" customHeight="1">
      <c r="A1752" s="621"/>
      <c r="B1752" s="622" t="s">
        <v>619</v>
      </c>
      <c r="C1752" s="633" t="str">
        <f t="shared" si="785"/>
        <v xml:space="preserve"> </v>
      </c>
      <c r="D1752" s="553"/>
      <c r="E1752" s="694" t="str">
        <f>VLOOKUP($B1752,dongia1,DG!$C$5,)</f>
        <v>Boulon 12x30+ 2 long đền vuông D14-50x50x3/Zn</v>
      </c>
      <c r="F1752" s="555" t="str">
        <f>VLOOKUP($B1752,dongia1,DG!$D$5,)</f>
        <v>bộ</v>
      </c>
      <c r="G1752" s="560"/>
      <c r="H1752" s="556">
        <f t="shared" si="778"/>
        <v>0</v>
      </c>
      <c r="I1752" s="556"/>
      <c r="J1752" s="556"/>
      <c r="K1752" s="556"/>
      <c r="L1752" s="556"/>
      <c r="M1752" s="556"/>
      <c r="N1752" s="556"/>
      <c r="O1752" s="556"/>
      <c r="P1752" s="182">
        <f>VLOOKUP($B1752,dongia1,DG!$F$5,)</f>
        <v>8200</v>
      </c>
      <c r="Q1752" s="182">
        <f>VLOOKUP($B1752,dongia1,DG!$G$5,)</f>
        <v>0</v>
      </c>
      <c r="R1752" s="554"/>
      <c r="S1752" s="113">
        <f t="shared" ref="S1752:U1759" si="790">$G1752*P1752</f>
        <v>0</v>
      </c>
      <c r="T1752" s="113">
        <f t="shared" si="790"/>
        <v>0</v>
      </c>
      <c r="U1752" s="557">
        <f t="shared" si="790"/>
        <v>0</v>
      </c>
    </row>
    <row r="1753" spans="1:21" s="552" customFormat="1" ht="15" customHeight="1">
      <c r="A1753" s="621"/>
      <c r="B1753" s="622" t="s">
        <v>2028</v>
      </c>
      <c r="C1753" s="633" t="str">
        <f t="shared" si="785"/>
        <v xml:space="preserve"> </v>
      </c>
      <c r="D1753" s="553"/>
      <c r="E1753" s="694" t="str">
        <f>VLOOKUP($B1753,dongia1,DG!$C$5,)</f>
        <v>Kẹp quai 2/0</v>
      </c>
      <c r="F1753" s="555" t="str">
        <f>VLOOKUP($B1753,dongia1,DG!$D$5,)</f>
        <v>cái</v>
      </c>
      <c r="G1753" s="560"/>
      <c r="H1753" s="556">
        <f t="shared" si="778"/>
        <v>0</v>
      </c>
      <c r="I1753" s="556"/>
      <c r="J1753" s="556"/>
      <c r="K1753" s="556"/>
      <c r="L1753" s="556"/>
      <c r="M1753" s="556"/>
      <c r="N1753" s="556"/>
      <c r="O1753" s="556"/>
      <c r="P1753" s="182">
        <f>VLOOKUP($B1753,dongia1,DG!$F$5,)</f>
        <v>46000</v>
      </c>
      <c r="Q1753" s="182">
        <f>VLOOKUP($B1753,dongia1,DG!$G$5,)</f>
        <v>0</v>
      </c>
      <c r="R1753" s="554"/>
      <c r="S1753" s="113">
        <f t="shared" si="790"/>
        <v>0</v>
      </c>
      <c r="T1753" s="113">
        <f t="shared" si="790"/>
        <v>0</v>
      </c>
      <c r="U1753" s="557">
        <f t="shared" si="790"/>
        <v>0</v>
      </c>
    </row>
    <row r="1754" spans="1:21" s="552" customFormat="1" ht="15" customHeight="1">
      <c r="A1754" s="621"/>
      <c r="B1754" s="622" t="s">
        <v>898</v>
      </c>
      <c r="C1754" s="633" t="str">
        <f t="shared" si="785"/>
        <v xml:space="preserve"> </v>
      </c>
      <c r="D1754" s="553"/>
      <c r="E1754" s="694" t="str">
        <f>VLOOKUP($B1754,dongia1,DG!$C$5,)</f>
        <v>Kẹp quai 4/0</v>
      </c>
      <c r="F1754" s="555" t="str">
        <f>VLOOKUP($B1754,dongia1,DG!$D$5,)</f>
        <v>cái</v>
      </c>
      <c r="G1754" s="560"/>
      <c r="H1754" s="556">
        <f t="shared" si="778"/>
        <v>0</v>
      </c>
      <c r="I1754" s="556"/>
      <c r="J1754" s="556"/>
      <c r="K1754" s="556"/>
      <c r="L1754" s="556"/>
      <c r="M1754" s="556"/>
      <c r="N1754" s="556"/>
      <c r="O1754" s="556"/>
      <c r="P1754" s="182">
        <f>VLOOKUP($B1754,dongia1,DG!$F$5,)</f>
        <v>78000</v>
      </c>
      <c r="Q1754" s="182">
        <f>VLOOKUP($B1754,dongia1,DG!$G$5,)</f>
        <v>0</v>
      </c>
      <c r="R1754" s="554"/>
      <c r="S1754" s="113">
        <f t="shared" si="790"/>
        <v>0</v>
      </c>
      <c r="T1754" s="113">
        <f t="shared" si="790"/>
        <v>0</v>
      </c>
      <c r="U1754" s="557">
        <f t="shared" si="790"/>
        <v>0</v>
      </c>
    </row>
    <row r="1755" spans="1:21" s="552" customFormat="1" ht="15" customHeight="1">
      <c r="A1755" s="621"/>
      <c r="B1755" s="622" t="s">
        <v>2026</v>
      </c>
      <c r="C1755" s="633" t="str">
        <f t="shared" si="785"/>
        <v xml:space="preserve"> </v>
      </c>
      <c r="D1755" s="553"/>
      <c r="E1755" s="694" t="str">
        <f>VLOOKUP($B1755,dongia1,DG!$C$5,)</f>
        <v>Kẹp hotline 2/0</v>
      </c>
      <c r="F1755" s="555" t="str">
        <f>VLOOKUP($B1755,dongia1,DG!$D$5,)</f>
        <v>cái</v>
      </c>
      <c r="G1755" s="205"/>
      <c r="H1755" s="556">
        <f t="shared" si="778"/>
        <v>0</v>
      </c>
      <c r="I1755" s="556"/>
      <c r="J1755" s="556"/>
      <c r="K1755" s="556"/>
      <c r="L1755" s="556"/>
      <c r="M1755" s="556"/>
      <c r="N1755" s="556"/>
      <c r="O1755" s="556"/>
      <c r="P1755" s="182">
        <f>VLOOKUP($B1755,dongia1,DG!$F$5,)</f>
        <v>77000</v>
      </c>
      <c r="Q1755" s="182">
        <f>VLOOKUP($B1755,dongia1,DG!$G$5,)</f>
        <v>0</v>
      </c>
      <c r="R1755" s="554"/>
      <c r="S1755" s="113">
        <f t="shared" si="790"/>
        <v>0</v>
      </c>
      <c r="T1755" s="113">
        <f t="shared" si="790"/>
        <v>0</v>
      </c>
      <c r="U1755" s="557">
        <f t="shared" si="790"/>
        <v>0</v>
      </c>
    </row>
    <row r="1756" spans="1:21" s="552" customFormat="1" ht="15" customHeight="1">
      <c r="A1756" s="621"/>
      <c r="B1756" s="622" t="s">
        <v>968</v>
      </c>
      <c r="C1756" s="633" t="str">
        <f t="shared" si="785"/>
        <v xml:space="preserve"> </v>
      </c>
      <c r="D1756" s="553"/>
      <c r="E1756" s="694" t="str">
        <f>VLOOKUP($B1756,dongia1,DG!$C$5,)</f>
        <v>Kẹp hotline 4/0</v>
      </c>
      <c r="F1756" s="555" t="str">
        <f>VLOOKUP($B1756,dongia1,DG!$D$5,)</f>
        <v>cái</v>
      </c>
      <c r="G1756" s="205"/>
      <c r="H1756" s="556">
        <f t="shared" si="778"/>
        <v>0</v>
      </c>
      <c r="I1756" s="556"/>
      <c r="J1756" s="556"/>
      <c r="K1756" s="556"/>
      <c r="L1756" s="556"/>
      <c r="M1756" s="556"/>
      <c r="N1756" s="556"/>
      <c r="O1756" s="556"/>
      <c r="P1756" s="182">
        <f>VLOOKUP($B1756,dongia1,DG!$F$5,)</f>
        <v>112000</v>
      </c>
      <c r="Q1756" s="182">
        <f>VLOOKUP($B1756,dongia1,DG!$G$5,)</f>
        <v>0</v>
      </c>
      <c r="R1756" s="554"/>
      <c r="S1756" s="113">
        <f t="shared" si="790"/>
        <v>0</v>
      </c>
      <c r="T1756" s="113">
        <f t="shared" si="790"/>
        <v>0</v>
      </c>
      <c r="U1756" s="557">
        <f t="shared" si="790"/>
        <v>0</v>
      </c>
    </row>
    <row r="1757" spans="1:21" s="552" customFormat="1" ht="15" customHeight="1">
      <c r="A1757" s="621"/>
      <c r="B1757" s="622" t="s">
        <v>297</v>
      </c>
      <c r="C1757" s="633" t="str">
        <f>IF(G1757&lt;&gt;0,C$1457," ")</f>
        <v xml:space="preserve"> </v>
      </c>
      <c r="D1757" s="553"/>
      <c r="E1757" s="694" t="str">
        <f>VLOOKUP($B1757,dongia1,DG!$C$5,)</f>
        <v>Kẹp 2 rãnh (APC) cỡ dây 185mm2</v>
      </c>
      <c r="F1757" s="555" t="str">
        <f>VLOOKUP($B1757,dongia1,DG!$D$5,)</f>
        <v>cái</v>
      </c>
      <c r="G1757" s="205"/>
      <c r="H1757" s="556">
        <f t="shared" si="778"/>
        <v>0</v>
      </c>
      <c r="I1757" s="556"/>
      <c r="J1757" s="556"/>
      <c r="K1757" s="556"/>
      <c r="L1757" s="556"/>
      <c r="M1757" s="556"/>
      <c r="N1757" s="556"/>
      <c r="O1757" s="556"/>
      <c r="P1757" s="182">
        <f>VLOOKUP($B1757,dongia1,DG!$F$5,)</f>
        <v>19100</v>
      </c>
      <c r="Q1757" s="182"/>
      <c r="R1757" s="182">
        <f>VLOOKUP($B1757,dongia1,DG!$H$5,)</f>
        <v>0</v>
      </c>
      <c r="S1757" s="113">
        <f t="shared" si="790"/>
        <v>0</v>
      </c>
      <c r="T1757" s="113">
        <f t="shared" si="790"/>
        <v>0</v>
      </c>
      <c r="U1757" s="557">
        <f t="shared" si="790"/>
        <v>0</v>
      </c>
    </row>
    <row r="1758" spans="1:21" s="552" customFormat="1" ht="15" customHeight="1">
      <c r="A1758" s="621"/>
      <c r="B1758" s="622" t="s">
        <v>648</v>
      </c>
      <c r="C1758" s="633" t="str">
        <f t="shared" ref="C1758:C1804" si="791">IF(G1758&lt;&gt;0,$C$1457," ")</f>
        <v xml:space="preserve"> </v>
      </c>
      <c r="D1758" s="625"/>
      <c r="E1758" s="694" t="str">
        <f>VLOOKUP($B1758,dongia1,DG!$C$5,)</f>
        <v>Cáp 24KV C/XLPE/PVC- 25mm2</v>
      </c>
      <c r="F1758" s="555" t="str">
        <f>VLOOKUP($B1758,dongia1,DG!$D$5,)</f>
        <v>mét</v>
      </c>
      <c r="G1758" s="205">
        <f>G1755*1*0</f>
        <v>0</v>
      </c>
      <c r="H1758" s="556">
        <f t="shared" si="778"/>
        <v>0</v>
      </c>
      <c r="I1758" s="556"/>
      <c r="J1758" s="556"/>
      <c r="K1758" s="556"/>
      <c r="L1758" s="556"/>
      <c r="M1758" s="556"/>
      <c r="N1758" s="556"/>
      <c r="O1758" s="556"/>
      <c r="P1758" s="182">
        <f>VLOOKUP($B1758,dongia1,DG!$F$5,)</f>
        <v>50996</v>
      </c>
      <c r="Q1758" s="182"/>
      <c r="R1758" s="554"/>
      <c r="S1758" s="113">
        <f t="shared" si="790"/>
        <v>0</v>
      </c>
      <c r="T1758" s="113">
        <f t="shared" si="790"/>
        <v>0</v>
      </c>
      <c r="U1758" s="557">
        <f t="shared" si="790"/>
        <v>0</v>
      </c>
    </row>
    <row r="1759" spans="1:21" s="552" customFormat="1" ht="15" customHeight="1">
      <c r="A1759" s="621"/>
      <c r="B1759" s="622" t="s">
        <v>648</v>
      </c>
      <c r="C1759" s="633" t="str">
        <f t="shared" si="791"/>
        <v xml:space="preserve"> </v>
      </c>
      <c r="D1759" s="625"/>
      <c r="E1759" s="694" t="str">
        <f>VLOOKUP($B1759,dongia1,DG!$C$5,)</f>
        <v>Cáp 24KV C/XLPE/PVC- 25mm2</v>
      </c>
      <c r="F1759" s="555" t="str">
        <f>VLOOKUP($B1759,dongia1,DG!$D$5,)</f>
        <v>mét</v>
      </c>
      <c r="G1759" s="205">
        <f>D1759</f>
        <v>0</v>
      </c>
      <c r="H1759" s="556">
        <f t="shared" si="778"/>
        <v>0</v>
      </c>
      <c r="I1759" s="556"/>
      <c r="J1759" s="556"/>
      <c r="K1759" s="556"/>
      <c r="L1759" s="556"/>
      <c r="M1759" s="556"/>
      <c r="N1759" s="556"/>
      <c r="O1759" s="556"/>
      <c r="P1759" s="182">
        <f>VLOOKUP($B1759,dongia1,DG!$F$5,)</f>
        <v>50996</v>
      </c>
      <c r="Q1759" s="182"/>
      <c r="R1759" s="554"/>
      <c r="S1759" s="113">
        <f t="shared" si="790"/>
        <v>0</v>
      </c>
      <c r="T1759" s="113">
        <f t="shared" si="790"/>
        <v>0</v>
      </c>
      <c r="U1759" s="557">
        <f t="shared" si="790"/>
        <v>0</v>
      </c>
    </row>
    <row r="1760" spans="1:21" s="552" customFormat="1" ht="15" customHeight="1">
      <c r="A1760" s="621"/>
      <c r="B1760" s="622" t="s">
        <v>2036</v>
      </c>
      <c r="C1760" s="633" t="str">
        <f t="shared" si="791"/>
        <v xml:space="preserve"> </v>
      </c>
      <c r="D1760" s="553"/>
      <c r="E1760" s="694" t="str">
        <f>VLOOKUP($B1760,dongia1,DG!$C$5,)</f>
        <v>Ống nối dây cỡ 50mm2 (có lõi thép)</v>
      </c>
      <c r="F1760" s="555" t="str">
        <f>VLOOKUP($B1760,dongia1,DG!$D$5,)</f>
        <v>cái</v>
      </c>
      <c r="G1760" s="205"/>
      <c r="H1760" s="556">
        <f t="shared" ref="H1760:H1778" si="792">$G1760</f>
        <v>0</v>
      </c>
      <c r="I1760" s="556"/>
      <c r="J1760" s="556"/>
      <c r="K1760" s="556"/>
      <c r="L1760" s="556"/>
      <c r="M1760" s="556"/>
      <c r="N1760" s="556"/>
      <c r="O1760" s="556"/>
      <c r="P1760" s="182">
        <f>VLOOKUP($B1760,dongia1,DG!$F$5,)</f>
        <v>32000</v>
      </c>
      <c r="Q1760" s="182"/>
      <c r="R1760" s="554"/>
      <c r="S1760" s="113">
        <f t="shared" ref="S1760:S1765" si="793">$G1760*P1760</f>
        <v>0</v>
      </c>
      <c r="T1760" s="113">
        <f t="shared" ref="T1760:T1765" si="794">$G1760*Q1760</f>
        <v>0</v>
      </c>
      <c r="U1760" s="557">
        <f t="shared" ref="U1760:U1765" si="795">$G1760*R1760</f>
        <v>0</v>
      </c>
    </row>
    <row r="1761" spans="1:21" s="552" customFormat="1" ht="15" customHeight="1">
      <c r="A1761" s="621"/>
      <c r="B1761" s="622" t="s">
        <v>2037</v>
      </c>
      <c r="C1761" s="633" t="str">
        <f t="shared" si="791"/>
        <v xml:space="preserve"> </v>
      </c>
      <c r="D1761" s="553"/>
      <c r="E1761" s="694" t="str">
        <f>VLOOKUP($B1761,dongia1,DG!$C$5,)</f>
        <v>Ống nối dây cỡ 70mm2</v>
      </c>
      <c r="F1761" s="555" t="str">
        <f>VLOOKUP($B1761,dongia1,DG!$D$5,)</f>
        <v>cái</v>
      </c>
      <c r="G1761" s="205"/>
      <c r="H1761" s="556">
        <f t="shared" si="792"/>
        <v>0</v>
      </c>
      <c r="I1761" s="556"/>
      <c r="J1761" s="556"/>
      <c r="K1761" s="556"/>
      <c r="L1761" s="556"/>
      <c r="M1761" s="556"/>
      <c r="N1761" s="556"/>
      <c r="O1761" s="556"/>
      <c r="P1761" s="182">
        <f>VLOOKUP($B1761,dongia1,DG!$F$5,)</f>
        <v>32000</v>
      </c>
      <c r="Q1761" s="182"/>
      <c r="R1761" s="554"/>
      <c r="S1761" s="113">
        <f t="shared" si="793"/>
        <v>0</v>
      </c>
      <c r="T1761" s="113">
        <f t="shared" si="794"/>
        <v>0</v>
      </c>
      <c r="U1761" s="557">
        <f t="shared" si="795"/>
        <v>0</v>
      </c>
    </row>
    <row r="1762" spans="1:21" s="552" customFormat="1" ht="15" customHeight="1">
      <c r="A1762" s="621"/>
      <c r="B1762" s="622" t="s">
        <v>1403</v>
      </c>
      <c r="C1762" s="633" t="str">
        <f t="shared" si="791"/>
        <v xml:space="preserve"> </v>
      </c>
      <c r="D1762" s="553"/>
      <c r="E1762" s="694" t="str">
        <f>VLOOKUP($B1762,dongia1,DG!$C$5,)</f>
        <v>Ống nối dây cỡ 95mm2</v>
      </c>
      <c r="F1762" s="555" t="str">
        <f>VLOOKUP($B1762,dongia1,DG!$D$5,)</f>
        <v>cái</v>
      </c>
      <c r="G1762" s="205"/>
      <c r="H1762" s="556">
        <f t="shared" si="792"/>
        <v>0</v>
      </c>
      <c r="I1762" s="556"/>
      <c r="J1762" s="556"/>
      <c r="K1762" s="556"/>
      <c r="L1762" s="556"/>
      <c r="M1762" s="556"/>
      <c r="N1762" s="556"/>
      <c r="O1762" s="556"/>
      <c r="P1762" s="182">
        <f>VLOOKUP($B1762,dongia1,DG!$F$5,)</f>
        <v>45000</v>
      </c>
      <c r="Q1762" s="182"/>
      <c r="R1762" s="554"/>
      <c r="S1762" s="113">
        <f t="shared" si="793"/>
        <v>0</v>
      </c>
      <c r="T1762" s="113">
        <f t="shared" si="794"/>
        <v>0</v>
      </c>
      <c r="U1762" s="557">
        <f t="shared" si="795"/>
        <v>0</v>
      </c>
    </row>
    <row r="1763" spans="1:21" s="552" customFormat="1" ht="15" customHeight="1">
      <c r="A1763" s="621"/>
      <c r="B1763" s="622" t="s">
        <v>260</v>
      </c>
      <c r="C1763" s="633" t="str">
        <f t="shared" si="791"/>
        <v xml:space="preserve"> </v>
      </c>
      <c r="D1763" s="553"/>
      <c r="E1763" s="694" t="str">
        <f>VLOOKUP($B1763,dongia1,DG!$C$5,)</f>
        <v>Ống nối dây cỡ 120mm2</v>
      </c>
      <c r="F1763" s="555" t="str">
        <f>VLOOKUP($B1763,dongia1,DG!$D$5,)</f>
        <v>cái</v>
      </c>
      <c r="G1763" s="205">
        <f>ROUND((D1718)*1.03/1200,0)</f>
        <v>0</v>
      </c>
      <c r="H1763" s="556">
        <f t="shared" si="792"/>
        <v>0</v>
      </c>
      <c r="I1763" s="556"/>
      <c r="J1763" s="556"/>
      <c r="K1763" s="556"/>
      <c r="L1763" s="556"/>
      <c r="M1763" s="556"/>
      <c r="N1763" s="556"/>
      <c r="O1763" s="556"/>
      <c r="P1763" s="182">
        <f>VLOOKUP($B1763,dongia1,DG!$F$5,)</f>
        <v>63000</v>
      </c>
      <c r="Q1763" s="182"/>
      <c r="R1763" s="554"/>
      <c r="S1763" s="113">
        <f t="shared" si="793"/>
        <v>0</v>
      </c>
      <c r="T1763" s="113">
        <f t="shared" si="794"/>
        <v>0</v>
      </c>
      <c r="U1763" s="557">
        <f t="shared" si="795"/>
        <v>0</v>
      </c>
    </row>
    <row r="1764" spans="1:21" s="552" customFormat="1" ht="15" customHeight="1">
      <c r="A1764" s="621"/>
      <c r="B1764" s="622" t="s">
        <v>259</v>
      </c>
      <c r="C1764" s="633" t="str">
        <f t="shared" si="791"/>
        <v xml:space="preserve"> </v>
      </c>
      <c r="D1764" s="553"/>
      <c r="E1764" s="694" t="str">
        <f>VLOOKUP($B1764,dongia1,DG!$C$5,)</f>
        <v>Ống nối dây cỡ 185mm2</v>
      </c>
      <c r="F1764" s="555" t="str">
        <f>VLOOKUP($B1764,dongia1,DG!$D$5,)</f>
        <v>cái</v>
      </c>
      <c r="G1764" s="205">
        <f>ROUND((D1717)*1.03/1200,0)</f>
        <v>0</v>
      </c>
      <c r="H1764" s="556">
        <f t="shared" si="792"/>
        <v>0</v>
      </c>
      <c r="I1764" s="556"/>
      <c r="J1764" s="556"/>
      <c r="K1764" s="556"/>
      <c r="L1764" s="556"/>
      <c r="M1764" s="556"/>
      <c r="N1764" s="556"/>
      <c r="O1764" s="556"/>
      <c r="P1764" s="182">
        <f>VLOOKUP($B1764,dongia1,DG!$F$5,)</f>
        <v>113000</v>
      </c>
      <c r="Q1764" s="182"/>
      <c r="R1764" s="554"/>
      <c r="S1764" s="113">
        <f t="shared" si="793"/>
        <v>0</v>
      </c>
      <c r="T1764" s="113">
        <f t="shared" si="794"/>
        <v>0</v>
      </c>
      <c r="U1764" s="557">
        <f t="shared" si="795"/>
        <v>0</v>
      </c>
    </row>
    <row r="1765" spans="1:21" s="552" customFormat="1" ht="15" customHeight="1">
      <c r="A1765" s="621"/>
      <c r="B1765" s="622" t="s">
        <v>1946</v>
      </c>
      <c r="C1765" s="633" t="str">
        <f t="shared" si="791"/>
        <v xml:space="preserve"> </v>
      </c>
      <c r="D1765" s="553"/>
      <c r="E1765" s="694" t="str">
        <f>VLOOKUP($B1765,dongia1,DG!$C$5,)</f>
        <v>Cổ dê trụ đôi bắt sứ treo</v>
      </c>
      <c r="F1765" s="555" t="str">
        <f>VLOOKUP($B1765,dongia1,DG!$D$5,)</f>
        <v>bộ</v>
      </c>
      <c r="G1765" s="205"/>
      <c r="H1765" s="556">
        <f t="shared" si="792"/>
        <v>0</v>
      </c>
      <c r="I1765" s="556"/>
      <c r="J1765" s="556"/>
      <c r="K1765" s="556"/>
      <c r="L1765" s="556"/>
      <c r="M1765" s="556"/>
      <c r="N1765" s="556"/>
      <c r="O1765" s="556"/>
      <c r="P1765" s="182">
        <f>VLOOKUP($B1765,dongia1,DG!$F$5,)</f>
        <v>50000</v>
      </c>
      <c r="Q1765" s="182">
        <f>VLOOKUP($B1765,dongia1,DG!$G$5,)</f>
        <v>0</v>
      </c>
      <c r="R1765" s="182"/>
      <c r="S1765" s="113">
        <f t="shared" si="793"/>
        <v>0</v>
      </c>
      <c r="T1765" s="113">
        <f t="shared" si="794"/>
        <v>0</v>
      </c>
      <c r="U1765" s="557">
        <f t="shared" si="795"/>
        <v>0</v>
      </c>
    </row>
    <row r="1766" spans="1:21" s="552" customFormat="1" ht="15" customHeight="1">
      <c r="A1766" s="621"/>
      <c r="B1766" s="622" t="s">
        <v>364</v>
      </c>
      <c r="C1766" s="633" t="str">
        <f t="shared" si="791"/>
        <v xml:space="preserve"> </v>
      </c>
      <c r="D1766" s="553"/>
      <c r="E1766" s="694" t="str">
        <f>VLOOKUP($B1766,dongia1,DG!$C$5,)</f>
        <v>Boulon 16x300VRS+ 4 long đền vuông D18-50x50x3/Zn</v>
      </c>
      <c r="F1766" s="555" t="str">
        <f>VLOOKUP($B1766,dongia1,DG!$D$5,)</f>
        <v>bộ</v>
      </c>
      <c r="G1766" s="205"/>
      <c r="H1766" s="556">
        <f t="shared" si="792"/>
        <v>0</v>
      </c>
      <c r="I1766" s="556"/>
      <c r="J1766" s="556"/>
      <c r="K1766" s="556"/>
      <c r="L1766" s="556"/>
      <c r="M1766" s="556"/>
      <c r="N1766" s="556"/>
      <c r="O1766" s="556"/>
      <c r="P1766" s="182">
        <f>VLOOKUP($B1766,dongia1,DG!$F$5,)</f>
        <v>31800</v>
      </c>
      <c r="Q1766" s="182"/>
      <c r="R1766" s="182">
        <f>VLOOKUP($B1766,dongia1,DG!$G$5,)</f>
        <v>0</v>
      </c>
      <c r="S1766" s="113">
        <f t="shared" ref="S1766:S1778" si="796">$G1766*P1766</f>
        <v>0</v>
      </c>
      <c r="T1766" s="113">
        <f t="shared" ref="T1766:T1778" si="797">$G1766*Q1766</f>
        <v>0</v>
      </c>
      <c r="U1766" s="557">
        <f t="shared" ref="U1766:U1778" si="798">$G1766*R1766</f>
        <v>0</v>
      </c>
    </row>
    <row r="1767" spans="1:21" s="552" customFormat="1" ht="15" customHeight="1">
      <c r="A1767" s="621"/>
      <c r="B1767" s="622" t="s">
        <v>250</v>
      </c>
      <c r="C1767" s="633" t="str">
        <f t="shared" si="791"/>
        <v xml:space="preserve"> </v>
      </c>
      <c r="D1767" s="553"/>
      <c r="E1767" s="694" t="str">
        <f>VLOOKUP($B1767,dongia1,DG!$C$5,)</f>
        <v>Boulon 16x500VRS+ 4 long đền vuông D18-50x50x3/Zn</v>
      </c>
      <c r="F1767" s="555" t="str">
        <f>VLOOKUP($B1767,dongia1,DG!$D$5,)</f>
        <v>bộ</v>
      </c>
      <c r="G1767" s="560"/>
      <c r="H1767" s="556">
        <f t="shared" si="792"/>
        <v>0</v>
      </c>
      <c r="I1767" s="556"/>
      <c r="J1767" s="556"/>
      <c r="K1767" s="556"/>
      <c r="L1767" s="556"/>
      <c r="M1767" s="556"/>
      <c r="N1767" s="556"/>
      <c r="O1767" s="556"/>
      <c r="P1767" s="182">
        <f>VLOOKUP($B1767,dongia1,DG!$F$5,)</f>
        <v>40800</v>
      </c>
      <c r="Q1767" s="182"/>
      <c r="R1767" s="554"/>
      <c r="S1767" s="113">
        <f t="shared" si="796"/>
        <v>0</v>
      </c>
      <c r="T1767" s="113">
        <f t="shared" si="797"/>
        <v>0</v>
      </c>
      <c r="U1767" s="557">
        <f t="shared" si="798"/>
        <v>0</v>
      </c>
    </row>
    <row r="1768" spans="1:21" s="552" customFormat="1" ht="15" customHeight="1">
      <c r="A1768" s="621"/>
      <c r="B1768" s="622" t="s">
        <v>1909</v>
      </c>
      <c r="C1768" s="633" t="str">
        <f t="shared" si="791"/>
        <v xml:space="preserve"> </v>
      </c>
      <c r="D1768" s="553"/>
      <c r="E1768" s="694" t="str">
        <f>VLOOKUP($B1768,dongia1,DG!$C$5,)</f>
        <v>Boulon 16x550VRS+ 4 long đền vuông D18-50x50x3/Zn</v>
      </c>
      <c r="F1768" s="555" t="str">
        <f>VLOOKUP($B1768,dongia1,DG!$D$5,)</f>
        <v>bộ</v>
      </c>
      <c r="G1768" s="560"/>
      <c r="H1768" s="556">
        <f t="shared" si="792"/>
        <v>0</v>
      </c>
      <c r="I1768" s="556"/>
      <c r="J1768" s="556"/>
      <c r="K1768" s="556"/>
      <c r="L1768" s="556"/>
      <c r="M1768" s="556"/>
      <c r="N1768" s="556"/>
      <c r="O1768" s="556"/>
      <c r="P1768" s="182">
        <f>VLOOKUP($B1768,dongia1,DG!$F$5,)</f>
        <v>44800</v>
      </c>
      <c r="Q1768" s="182"/>
      <c r="R1768" s="554"/>
      <c r="S1768" s="113">
        <f t="shared" si="796"/>
        <v>0</v>
      </c>
      <c r="T1768" s="113">
        <f t="shared" si="797"/>
        <v>0</v>
      </c>
      <c r="U1768" s="557">
        <f t="shared" si="798"/>
        <v>0</v>
      </c>
    </row>
    <row r="1769" spans="1:21" s="552" customFormat="1" ht="15" customHeight="1">
      <c r="A1769" s="621"/>
      <c r="B1769" s="622" t="s">
        <v>153</v>
      </c>
      <c r="C1769" s="633" t="str">
        <f t="shared" si="791"/>
        <v xml:space="preserve"> </v>
      </c>
      <c r="D1769" s="553"/>
      <c r="E1769" s="694" t="str">
        <f>VLOOKUP($B1769,dongia1,DG!$C$5,)</f>
        <v>Boulon 16x600VRS+ 4 long đền vuông D18-50x50x3/Zn</v>
      </c>
      <c r="F1769" s="555" t="str">
        <f>VLOOKUP($B1769,dongia1,DG!$D$5,)</f>
        <v>bộ</v>
      </c>
      <c r="G1769" s="560"/>
      <c r="H1769" s="556">
        <f t="shared" si="792"/>
        <v>0</v>
      </c>
      <c r="I1769" s="556"/>
      <c r="J1769" s="556"/>
      <c r="K1769" s="556"/>
      <c r="L1769" s="556"/>
      <c r="M1769" s="556"/>
      <c r="N1769" s="556"/>
      <c r="O1769" s="556"/>
      <c r="P1769" s="182">
        <f>VLOOKUP($B1769,dongia1,DG!$F$5,)</f>
        <v>48800</v>
      </c>
      <c r="Q1769" s="182"/>
      <c r="R1769" s="554"/>
      <c r="S1769" s="113">
        <f t="shared" si="796"/>
        <v>0</v>
      </c>
      <c r="T1769" s="113">
        <f t="shared" si="797"/>
        <v>0</v>
      </c>
      <c r="U1769" s="557">
        <f t="shared" si="798"/>
        <v>0</v>
      </c>
    </row>
    <row r="1770" spans="1:21" s="552" customFormat="1" ht="15" customHeight="1">
      <c r="A1770" s="621"/>
      <c r="B1770" s="622" t="s">
        <v>1432</v>
      </c>
      <c r="C1770" s="633" t="str">
        <f t="shared" si="791"/>
        <v xml:space="preserve"> </v>
      </c>
      <c r="D1770" s="553"/>
      <c r="E1770" s="694" t="str">
        <f>VLOOKUP($B1770,dongia1,DG!$C$5,)</f>
        <v>Boulon mắt 16x250+ 1 long đền vuông D18-50x50x3/Zn</v>
      </c>
      <c r="F1770" s="555" t="str">
        <f>VLOOKUP($B1770,dongia1,DG!$D$5,)</f>
        <v>bộ</v>
      </c>
      <c r="G1770" s="560"/>
      <c r="H1770" s="556">
        <f t="shared" si="792"/>
        <v>0</v>
      </c>
      <c r="I1770" s="556"/>
      <c r="J1770" s="556"/>
      <c r="K1770" s="556"/>
      <c r="L1770" s="556"/>
      <c r="M1770" s="556"/>
      <c r="N1770" s="556"/>
      <c r="O1770" s="556"/>
      <c r="P1770" s="182">
        <f>VLOOKUP($B1770,dongia1,DG!$F$5,)</f>
        <v>29200</v>
      </c>
      <c r="Q1770" s="182"/>
      <c r="R1770" s="554"/>
      <c r="S1770" s="113">
        <f t="shared" si="796"/>
        <v>0</v>
      </c>
      <c r="T1770" s="113">
        <f t="shared" si="797"/>
        <v>0</v>
      </c>
      <c r="U1770" s="557">
        <f t="shared" si="798"/>
        <v>0</v>
      </c>
    </row>
    <row r="1771" spans="1:21" s="552" customFormat="1" ht="15" customHeight="1">
      <c r="A1771" s="621"/>
      <c r="B1771" s="622" t="s">
        <v>1558</v>
      </c>
      <c r="C1771" s="633" t="str">
        <f t="shared" si="791"/>
        <v xml:space="preserve"> </v>
      </c>
      <c r="D1771" s="553"/>
      <c r="E1771" s="694" t="str">
        <f>VLOOKUP($B1771,dongia1,DG!$C$5,)&amp;" + bulon"</f>
        <v>Rack 2 sứ + sứ ống chỉ + bulon</v>
      </c>
      <c r="F1771" s="555" t="str">
        <f>VLOOKUP($B1771,dongia1,DG!$D$5,)</f>
        <v>bộ</v>
      </c>
      <c r="G1771" s="205">
        <f>pp3p1m!DK205</f>
        <v>0</v>
      </c>
      <c r="H1771" s="556">
        <f t="shared" si="792"/>
        <v>0</v>
      </c>
      <c r="I1771" s="556"/>
      <c r="J1771" s="556"/>
      <c r="K1771" s="556"/>
      <c r="L1771" s="556"/>
      <c r="M1771" s="556"/>
      <c r="N1771" s="556"/>
      <c r="O1771" s="556"/>
      <c r="P1771" s="182">
        <f>VLOOKUP($B1771,dongia1,DG!$F$5,)</f>
        <v>101000</v>
      </c>
      <c r="Q1771" s="182"/>
      <c r="R1771" s="554"/>
      <c r="S1771" s="113">
        <f t="shared" si="796"/>
        <v>0</v>
      </c>
      <c r="T1771" s="113">
        <f t="shared" si="797"/>
        <v>0</v>
      </c>
      <c r="U1771" s="557">
        <f t="shared" si="798"/>
        <v>0</v>
      </c>
    </row>
    <row r="1772" spans="1:21" s="552" customFormat="1" ht="15" customHeight="1">
      <c r="A1772" s="621"/>
      <c r="B1772" s="622" t="s">
        <v>232</v>
      </c>
      <c r="C1772" s="633" t="str">
        <f t="shared" si="791"/>
        <v xml:space="preserve"> </v>
      </c>
      <c r="D1772" s="553"/>
      <c r="E1772" s="694" t="str">
        <f>VLOOKUP($B1772,dongia1,DG!$C$5,)&amp;" + bulon"</f>
        <v>Rack 3 sứ + sứ ống chỉ + bulon</v>
      </c>
      <c r="F1772" s="555" t="str">
        <f>VLOOKUP($B1772,dongia1,DG!$D$5,)</f>
        <v>bộ</v>
      </c>
      <c r="G1772" s="205">
        <f>pp3p1m!DL205</f>
        <v>0</v>
      </c>
      <c r="H1772" s="556">
        <f t="shared" si="792"/>
        <v>0</v>
      </c>
      <c r="I1772" s="556"/>
      <c r="J1772" s="556"/>
      <c r="K1772" s="556"/>
      <c r="L1772" s="556"/>
      <c r="M1772" s="556"/>
      <c r="N1772" s="556"/>
      <c r="O1772" s="556"/>
      <c r="P1772" s="182">
        <f>VLOOKUP($B1772,dongia1,DG!$F$5,)</f>
        <v>147000</v>
      </c>
      <c r="Q1772" s="182"/>
      <c r="R1772" s="554"/>
      <c r="S1772" s="113">
        <f t="shared" si="796"/>
        <v>0</v>
      </c>
      <c r="T1772" s="113">
        <f t="shared" si="797"/>
        <v>0</v>
      </c>
      <c r="U1772" s="557">
        <f t="shared" si="798"/>
        <v>0</v>
      </c>
    </row>
    <row r="1773" spans="1:21" s="552" customFormat="1" ht="15" customHeight="1">
      <c r="A1773" s="621"/>
      <c r="B1773" s="622" t="s">
        <v>265</v>
      </c>
      <c r="C1773" s="633" t="str">
        <f t="shared" si="791"/>
        <v xml:space="preserve"> </v>
      </c>
      <c r="D1773" s="553"/>
      <c r="E1773" s="694" t="str">
        <f>VLOOKUP($B1773,dongia1,DG!$C$5,)&amp;" + bulon"</f>
        <v>Rack 4 sứ + sứ ống chỉ + bulon</v>
      </c>
      <c r="F1773" s="555" t="str">
        <f>VLOOKUP($B1773,dongia1,DG!$D$5,)</f>
        <v>bộ</v>
      </c>
      <c r="G1773" s="205">
        <f>pp3p1m!DM205</f>
        <v>0</v>
      </c>
      <c r="H1773" s="556">
        <f t="shared" si="792"/>
        <v>0</v>
      </c>
      <c r="I1773" s="556"/>
      <c r="J1773" s="556"/>
      <c r="K1773" s="556"/>
      <c r="L1773" s="556"/>
      <c r="M1773" s="556"/>
      <c r="N1773" s="556"/>
      <c r="O1773" s="556"/>
      <c r="P1773" s="182">
        <f>VLOOKUP($B1773,dongia1,DG!$F$5,)</f>
        <v>196000</v>
      </c>
      <c r="Q1773" s="182"/>
      <c r="R1773" s="554"/>
      <c r="S1773" s="113">
        <f t="shared" si="796"/>
        <v>0</v>
      </c>
      <c r="T1773" s="113">
        <f t="shared" si="797"/>
        <v>0</v>
      </c>
      <c r="U1773" s="557">
        <f t="shared" si="798"/>
        <v>0</v>
      </c>
    </row>
    <row r="1774" spans="1:21" s="552" customFormat="1" ht="15" customHeight="1">
      <c r="A1774" s="621"/>
      <c r="B1774" s="622" t="s">
        <v>1539</v>
      </c>
      <c r="C1774" s="633" t="str">
        <f t="shared" si="791"/>
        <v xml:space="preserve"> </v>
      </c>
      <c r="D1774" s="553"/>
      <c r="E1774" s="694" t="str">
        <f>VLOOKUP($B1774,dongia1,DG!$C$5,)</f>
        <v>Boulon 16x350+ 2 long đền vuông D18-50x50x3/Zn</v>
      </c>
      <c r="F1774" s="555" t="str">
        <f>VLOOKUP($B1774,dongia1,DG!$D$5,)</f>
        <v>bộ</v>
      </c>
      <c r="G1774" s="205">
        <f>G1771+G1773*3</f>
        <v>0</v>
      </c>
      <c r="H1774" s="556">
        <f t="shared" si="792"/>
        <v>0</v>
      </c>
      <c r="I1774" s="556"/>
      <c r="J1774" s="556"/>
      <c r="K1774" s="556"/>
      <c r="L1774" s="556"/>
      <c r="M1774" s="556"/>
      <c r="N1774" s="556"/>
      <c r="O1774" s="556"/>
      <c r="P1774" s="182">
        <f>VLOOKUP($B1774,dongia1,DG!$F$5,)</f>
        <v>27900</v>
      </c>
      <c r="Q1774" s="182"/>
      <c r="R1774" s="554"/>
      <c r="S1774" s="113">
        <f t="shared" si="796"/>
        <v>0</v>
      </c>
      <c r="T1774" s="113">
        <f t="shared" si="797"/>
        <v>0</v>
      </c>
      <c r="U1774" s="557">
        <f t="shared" si="798"/>
        <v>0</v>
      </c>
    </row>
    <row r="1775" spans="1:21" s="552" customFormat="1" ht="15" customHeight="1">
      <c r="A1775" s="621"/>
      <c r="B1775" s="622" t="s">
        <v>1080</v>
      </c>
      <c r="C1775" s="633" t="str">
        <f t="shared" si="791"/>
        <v xml:space="preserve"> </v>
      </c>
      <c r="D1775" s="553"/>
      <c r="E1775" s="694" t="str">
        <f>VLOOKUP($B1775,dongia1,DG!$C$5,)</f>
        <v>Bass LI bắt FCO</v>
      </c>
      <c r="F1775" s="555" t="str">
        <f>VLOOKUP($B1775,dongia1,DG!$D$5,)</f>
        <v>Bộ</v>
      </c>
      <c r="G1775" s="205">
        <f>G2450+G2452+G2454+G2455+G2464</f>
        <v>0</v>
      </c>
      <c r="H1775" s="556">
        <f t="shared" si="792"/>
        <v>0</v>
      </c>
      <c r="I1775" s="556"/>
      <c r="J1775" s="556"/>
      <c r="K1775" s="556"/>
      <c r="L1775" s="556"/>
      <c r="M1775" s="556"/>
      <c r="N1775" s="556"/>
      <c r="O1775" s="556"/>
      <c r="P1775" s="182">
        <f>VLOOKUP($B1775,dongia1,DG!$F$5,)</f>
        <v>34000</v>
      </c>
      <c r="Q1775" s="182"/>
      <c r="R1775" s="554"/>
      <c r="S1775" s="113">
        <f t="shared" si="796"/>
        <v>0</v>
      </c>
      <c r="T1775" s="113">
        <f t="shared" si="797"/>
        <v>0</v>
      </c>
      <c r="U1775" s="557">
        <f t="shared" si="798"/>
        <v>0</v>
      </c>
    </row>
    <row r="1776" spans="1:21" s="552" customFormat="1" ht="15" customHeight="1">
      <c r="A1776" s="621"/>
      <c r="B1776" s="622" t="s">
        <v>528</v>
      </c>
      <c r="C1776" s="633" t="str">
        <f t="shared" si="791"/>
        <v xml:space="preserve"> </v>
      </c>
      <c r="D1776" s="553"/>
      <c r="E1776" s="694" t="str">
        <f>VLOOKUP($B1776,dongia1,DG!$C$5,)</f>
        <v>Bass LI bắt LA</v>
      </c>
      <c r="F1776" s="555" t="str">
        <f>VLOOKUP($B1776,dongia1,DG!$D$5,)</f>
        <v>Bộ</v>
      </c>
      <c r="G1776" s="205">
        <f>G2464+G2465</f>
        <v>0</v>
      </c>
      <c r="H1776" s="556"/>
      <c r="I1776" s="556"/>
      <c r="J1776" s="556"/>
      <c r="K1776" s="556"/>
      <c r="L1776" s="556"/>
      <c r="M1776" s="556"/>
      <c r="N1776" s="556"/>
      <c r="O1776" s="556"/>
      <c r="P1776" s="182">
        <f>VLOOKUP($B1776,dongia1,DG!$F$5,)</f>
        <v>34000</v>
      </c>
      <c r="Q1776" s="182"/>
      <c r="R1776" s="554"/>
      <c r="S1776" s="113">
        <f t="shared" si="796"/>
        <v>0</v>
      </c>
      <c r="T1776" s="113">
        <f t="shared" si="797"/>
        <v>0</v>
      </c>
      <c r="U1776" s="557">
        <f t="shared" si="798"/>
        <v>0</v>
      </c>
    </row>
    <row r="1777" spans="1:21" s="552" customFormat="1" ht="15" customHeight="1">
      <c r="A1777" s="621"/>
      <c r="B1777" s="622" t="s">
        <v>1507</v>
      </c>
      <c r="C1777" s="633" t="str">
        <f t="shared" si="791"/>
        <v xml:space="preserve"> </v>
      </c>
      <c r="D1777" s="553"/>
      <c r="E1777" s="694" t="str">
        <f>VLOOKUP($B1777,dongia1,DG!$C$5,)</f>
        <v>Cáp nhôm A-70</v>
      </c>
      <c r="F1777" s="555" t="str">
        <f>VLOOKUP($B1777,dongia1,DG!$D$5,)</f>
        <v>kg</v>
      </c>
      <c r="G1777" s="205">
        <f>SUM(G1779:G1780)*5/1.4</f>
        <v>0</v>
      </c>
      <c r="H1777" s="556">
        <f t="shared" si="792"/>
        <v>0</v>
      </c>
      <c r="I1777" s="556"/>
      <c r="J1777" s="556"/>
      <c r="K1777" s="556"/>
      <c r="L1777" s="556"/>
      <c r="M1777" s="556"/>
      <c r="N1777" s="556"/>
      <c r="O1777" s="556"/>
      <c r="P1777" s="182">
        <f>VLOOKUP($B1777,dongia1,DG!$F$5,)</f>
        <v>89000</v>
      </c>
      <c r="Q1777" s="182"/>
      <c r="R1777" s="554"/>
      <c r="S1777" s="113">
        <f t="shared" si="796"/>
        <v>0</v>
      </c>
      <c r="T1777" s="113">
        <f t="shared" si="797"/>
        <v>0</v>
      </c>
      <c r="U1777" s="557">
        <f t="shared" si="798"/>
        <v>0</v>
      </c>
    </row>
    <row r="1778" spans="1:21" s="552" customFormat="1" ht="15" customHeight="1">
      <c r="A1778" s="621"/>
      <c r="B1778" s="622" t="s">
        <v>1278</v>
      </c>
      <c r="C1778" s="633" t="str">
        <f t="shared" si="791"/>
        <v xml:space="preserve"> </v>
      </c>
      <c r="D1778" s="553"/>
      <c r="E1778" s="694" t="str">
        <f>VLOOKUP($B1778,dongia1,DG!$C$5,)</f>
        <v>Biển số - Bảng nguy hiểm</v>
      </c>
      <c r="F1778" s="555" t="str">
        <f>VLOOKUP($B1778,dongia1,DG!$D$5,)</f>
        <v>cái</v>
      </c>
      <c r="G1778" s="205"/>
      <c r="H1778" s="556">
        <f t="shared" si="792"/>
        <v>0</v>
      </c>
      <c r="I1778" s="556"/>
      <c r="J1778" s="556"/>
      <c r="K1778" s="556"/>
      <c r="L1778" s="556"/>
      <c r="M1778" s="556"/>
      <c r="N1778" s="556"/>
      <c r="O1778" s="556"/>
      <c r="P1778" s="182">
        <f>VLOOKUP($B1778,dongia1,DG!$F$5,)</f>
        <v>60000</v>
      </c>
      <c r="Q1778" s="182"/>
      <c r="R1778" s="554"/>
      <c r="S1778" s="113">
        <f t="shared" si="796"/>
        <v>0</v>
      </c>
      <c r="T1778" s="113">
        <f t="shared" si="797"/>
        <v>0</v>
      </c>
      <c r="U1778" s="557">
        <f t="shared" si="798"/>
        <v>0</v>
      </c>
    </row>
    <row r="1779" spans="1:21" s="552" customFormat="1" ht="15" customHeight="1">
      <c r="A1779" s="621"/>
      <c r="B1779" s="622" t="s">
        <v>1333</v>
      </c>
      <c r="C1779" s="633" t="str">
        <f t="shared" si="791"/>
        <v xml:space="preserve"> </v>
      </c>
      <c r="D1779" s="553"/>
      <c r="E1779" s="694" t="str">
        <f>VLOOKUP($B1779,dongia1,DG!$C$5,)</f>
        <v>Kéo dây nhôm lõi thép cỡ dây 120mm2</v>
      </c>
      <c r="F1779" s="555" t="str">
        <f>VLOOKUP($B1779,dongia1,DG!$D$5,)</f>
        <v>km</v>
      </c>
      <c r="G1779" s="205">
        <f>(D1718)/1000</f>
        <v>0</v>
      </c>
      <c r="H1779" s="556"/>
      <c r="I1779" s="556"/>
      <c r="J1779" s="556"/>
      <c r="K1779" s="556"/>
      <c r="L1779" s="556"/>
      <c r="M1779" s="556"/>
      <c r="N1779" s="556"/>
      <c r="O1779" s="556"/>
      <c r="P1779" s="182">
        <f>VLOOKUP($B1779,dongia1,DG!$F$5,)</f>
        <v>0</v>
      </c>
      <c r="Q1779" s="603" t="str">
        <f>TEXT(VLOOKUP($B1779,dongia1,DG!$G$5,),"#.###,##0")</f>
        <v>3.888.951,0</v>
      </c>
      <c r="R1779" s="554"/>
      <c r="S1779" s="113">
        <f t="shared" ref="S1779:S1785" si="799">$G1779*P1779</f>
        <v>0</v>
      </c>
      <c r="T1779" s="182">
        <f>VLOOKUP($B1779,dongia1,DG!G$5,)*G1779*hskd</f>
        <v>0</v>
      </c>
      <c r="U1779" s="557">
        <f t="shared" ref="U1779:U1795" si="800">$G1779*R1779</f>
        <v>0</v>
      </c>
    </row>
    <row r="1780" spans="1:21" s="552" customFormat="1" ht="15" customHeight="1">
      <c r="A1780" s="621"/>
      <c r="B1780" s="622" t="s">
        <v>1334</v>
      </c>
      <c r="C1780" s="633" t="str">
        <f t="shared" si="791"/>
        <v xml:space="preserve"> </v>
      </c>
      <c r="D1780" s="553"/>
      <c r="E1780" s="694" t="str">
        <f>VLOOKUP($B1780,dongia1,DG!$C$5,)</f>
        <v>Kéo dây nhôm lõi thép cỡ dây 185mm2</v>
      </c>
      <c r="F1780" s="555" t="str">
        <f>VLOOKUP($B1780,dongia1,DG!$D$5,)</f>
        <v>km</v>
      </c>
      <c r="G1780" s="205">
        <f>(D1717)/1000</f>
        <v>0</v>
      </c>
      <c r="H1780" s="556"/>
      <c r="I1780" s="556"/>
      <c r="J1780" s="556"/>
      <c r="K1780" s="556"/>
      <c r="L1780" s="556"/>
      <c r="M1780" s="556"/>
      <c r="N1780" s="556"/>
      <c r="O1780" s="556"/>
      <c r="P1780" s="182">
        <f>VLOOKUP($B1780,dongia1,DG!$F$5,)</f>
        <v>0</v>
      </c>
      <c r="Q1780" s="603" t="str">
        <f>TEXT(VLOOKUP($B1780,dongia1,DG!$G$5,),"#.###,##0")</f>
        <v>4.612.589,0</v>
      </c>
      <c r="R1780" s="554"/>
      <c r="S1780" s="113">
        <f t="shared" si="799"/>
        <v>0</v>
      </c>
      <c r="T1780" s="182">
        <f>VLOOKUP($B1780,dongia1,DG!G$5,)*G1780*hskd</f>
        <v>0</v>
      </c>
      <c r="U1780" s="557">
        <f t="shared" si="800"/>
        <v>0</v>
      </c>
    </row>
    <row r="1781" spans="1:21" s="552" customFormat="1" ht="15" customHeight="1">
      <c r="A1781" s="621"/>
      <c r="B1781" s="622" t="s">
        <v>1097</v>
      </c>
      <c r="C1781" s="633" t="str">
        <f t="shared" si="791"/>
        <v xml:space="preserve"> </v>
      </c>
      <c r="D1781" s="553"/>
      <c r="E1781" s="694" t="s">
        <v>3655</v>
      </c>
      <c r="F1781" s="555" t="str">
        <f>VLOOKUP($B1781,dongia1,DG!$D$5,)</f>
        <v>bộ</v>
      </c>
      <c r="G1781" s="205">
        <f>pp3p1m!FI205*0</f>
        <v>0</v>
      </c>
      <c r="H1781" s="556"/>
      <c r="I1781" s="556"/>
      <c r="J1781" s="556"/>
      <c r="K1781" s="556"/>
      <c r="L1781" s="556"/>
      <c r="M1781" s="556"/>
      <c r="N1781" s="556"/>
      <c r="O1781" s="556"/>
      <c r="P1781" s="554"/>
      <c r="Q1781" s="182">
        <f>VLOOKUP($B1781,dongia1,DG!$G$5,)</f>
        <v>70131.600000000006</v>
      </c>
      <c r="R1781" s="554"/>
      <c r="S1781" s="113">
        <f t="shared" si="799"/>
        <v>0</v>
      </c>
      <c r="T1781" s="113">
        <f>$G1781*Q1781</f>
        <v>0</v>
      </c>
      <c r="U1781" s="557">
        <f t="shared" si="800"/>
        <v>0</v>
      </c>
    </row>
    <row r="1782" spans="1:21" s="552" customFormat="1" ht="15" customHeight="1">
      <c r="A1782" s="621"/>
      <c r="B1782" s="622" t="s">
        <v>1116</v>
      </c>
      <c r="C1782" s="633" t="str">
        <f t="shared" si="791"/>
        <v xml:space="preserve"> </v>
      </c>
      <c r="D1782" s="553"/>
      <c r="E1782" s="694" t="s">
        <v>3666</v>
      </c>
      <c r="F1782" s="555" t="str">
        <f>VLOOKUP($B1782,dongia1,DG!$D$5,)</f>
        <v>bộ</v>
      </c>
      <c r="G1782" s="205">
        <f>pp3p1m!GQ205*0</f>
        <v>0</v>
      </c>
      <c r="H1782" s="556"/>
      <c r="I1782" s="556"/>
      <c r="J1782" s="556"/>
      <c r="K1782" s="556"/>
      <c r="L1782" s="556"/>
      <c r="M1782" s="556"/>
      <c r="N1782" s="556"/>
      <c r="O1782" s="556"/>
      <c r="P1782" s="182"/>
      <c r="Q1782" s="182">
        <f>VLOOKUP($B1782,dongia1,DG!$G$5,)</f>
        <v>58277.49</v>
      </c>
      <c r="R1782" s="554"/>
      <c r="S1782" s="113">
        <f t="shared" si="799"/>
        <v>0</v>
      </c>
      <c r="T1782" s="113">
        <f>$G1782*Q1782</f>
        <v>0</v>
      </c>
      <c r="U1782" s="557">
        <f t="shared" si="800"/>
        <v>0</v>
      </c>
    </row>
    <row r="1783" spans="1:21" s="552" customFormat="1" ht="15" customHeight="1">
      <c r="A1783" s="621"/>
      <c r="B1783" s="622" t="s">
        <v>1116</v>
      </c>
      <c r="C1783" s="633" t="str">
        <f t="shared" si="791"/>
        <v xml:space="preserve"> </v>
      </c>
      <c r="D1783" s="553"/>
      <c r="E1783" s="694" t="str">
        <f>VLOOKUP($B1783,dongia1,DG!$C$5,)</f>
        <v>Lắp sứ đứng 24KV</v>
      </c>
      <c r="F1783" s="555" t="str">
        <f>VLOOKUP($B1783,dongia1,DG!$D$5,)</f>
        <v>bộ</v>
      </c>
      <c r="G1783" s="205">
        <f>G1727+G1729</f>
        <v>0</v>
      </c>
      <c r="H1783" s="556"/>
      <c r="I1783" s="556"/>
      <c r="J1783" s="556"/>
      <c r="K1783" s="556"/>
      <c r="L1783" s="556"/>
      <c r="M1783" s="556"/>
      <c r="N1783" s="556"/>
      <c r="O1783" s="556"/>
      <c r="P1783" s="182"/>
      <c r="Q1783" s="182">
        <f>VLOOKUP($B1783,dongia1,DG!$G$5,)</f>
        <v>58277.49</v>
      </c>
      <c r="R1783" s="554"/>
      <c r="S1783" s="113">
        <f t="shared" si="799"/>
        <v>0</v>
      </c>
      <c r="T1783" s="113">
        <f>$G1783*Q1783</f>
        <v>0</v>
      </c>
      <c r="U1783" s="557">
        <f t="shared" si="800"/>
        <v>0</v>
      </c>
    </row>
    <row r="1784" spans="1:21" s="552" customFormat="1" ht="15" customHeight="1">
      <c r="A1784" s="621"/>
      <c r="B1784" s="622" t="s">
        <v>1117</v>
      </c>
      <c r="C1784" s="633" t="str">
        <f t="shared" si="791"/>
        <v xml:space="preserve"> </v>
      </c>
      <c r="D1784" s="553"/>
      <c r="E1784" s="694" t="str">
        <f>VLOOKUP($B1784,dongia1,DG!$C$5,)</f>
        <v>Lắp chân sứ đỉnh</v>
      </c>
      <c r="F1784" s="555" t="str">
        <f>VLOOKUP($B1784,dongia1,DG!$D$5,)</f>
        <v>cái</v>
      </c>
      <c r="G1784" s="205">
        <f>G1729+G1733*2</f>
        <v>0</v>
      </c>
      <c r="H1784" s="556"/>
      <c r="I1784" s="556"/>
      <c r="J1784" s="556"/>
      <c r="K1784" s="556"/>
      <c r="L1784" s="556"/>
      <c r="M1784" s="556"/>
      <c r="N1784" s="556"/>
      <c r="O1784" s="556"/>
      <c r="P1784" s="182"/>
      <c r="Q1784" s="182">
        <f>VLOOKUP($B1784,dongia1,DG!$G$5,)</f>
        <v>11455</v>
      </c>
      <c r="R1784" s="554"/>
      <c r="S1784" s="113">
        <f t="shared" si="799"/>
        <v>0</v>
      </c>
      <c r="T1784" s="113">
        <f>$G1784*Q1784</f>
        <v>0</v>
      </c>
      <c r="U1784" s="557">
        <f t="shared" si="800"/>
        <v>0</v>
      </c>
    </row>
    <row r="1785" spans="1:21" s="552" customFormat="1" ht="15" customHeight="1">
      <c r="A1785" s="621"/>
      <c r="B1785" s="622" t="s">
        <v>1119</v>
      </c>
      <c r="C1785" s="633" t="str">
        <f t="shared" si="791"/>
        <v xml:space="preserve"> </v>
      </c>
      <c r="D1785" s="553"/>
      <c r="E1785" s="694" t="s">
        <v>3668</v>
      </c>
      <c r="F1785" s="555" t="str">
        <f>VLOOKUP($B1785,dongia1,DG!$D$5,)</f>
        <v>chuỗi</v>
      </c>
      <c r="G1785" s="205">
        <f>pp3p1m!FH205</f>
        <v>0</v>
      </c>
      <c r="H1785" s="556"/>
      <c r="I1785" s="556"/>
      <c r="J1785" s="556"/>
      <c r="K1785" s="556"/>
      <c r="L1785" s="556"/>
      <c r="M1785" s="556"/>
      <c r="N1785" s="556"/>
      <c r="O1785" s="556"/>
      <c r="P1785" s="182"/>
      <c r="Q1785" s="182">
        <f>VLOOKUP($B1785,dongia1,DG!$G$5,)</f>
        <v>41800</v>
      </c>
      <c r="R1785" s="554"/>
      <c r="S1785" s="113">
        <f t="shared" si="799"/>
        <v>0</v>
      </c>
      <c r="T1785" s="113">
        <f>$G1785*Q1785</f>
        <v>0</v>
      </c>
      <c r="U1785" s="557">
        <f t="shared" si="800"/>
        <v>0</v>
      </c>
    </row>
    <row r="1786" spans="1:21" s="552" customFormat="1" ht="15" customHeight="1">
      <c r="A1786" s="621"/>
      <c r="B1786" s="622" t="s">
        <v>1119</v>
      </c>
      <c r="C1786" s="633" t="str">
        <f t="shared" si="791"/>
        <v xml:space="preserve"> </v>
      </c>
      <c r="D1786" s="553"/>
      <c r="E1786" s="694" t="str">
        <f>VLOOKUP($B1786,dongia1,DG!$C$5,)</f>
        <v>Lắp chuỗi sứ néo 2 bát/chuỗi</v>
      </c>
      <c r="F1786" s="555" t="str">
        <f>VLOOKUP($B1786,dongia1,DG!$D$5,)</f>
        <v>chuỗi</v>
      </c>
      <c r="G1786" s="205">
        <f>G1785</f>
        <v>0</v>
      </c>
      <c r="H1786" s="556"/>
      <c r="I1786" s="556"/>
      <c r="J1786" s="556"/>
      <c r="K1786" s="556"/>
      <c r="L1786" s="556"/>
      <c r="M1786" s="556"/>
      <c r="N1786" s="556"/>
      <c r="O1786" s="556"/>
      <c r="P1786" s="554"/>
      <c r="Q1786" s="182">
        <f>VLOOKUP($B1786,dongia1,DG!$G$5,)</f>
        <v>41800</v>
      </c>
      <c r="R1786" s="554"/>
      <c r="S1786" s="113">
        <f t="shared" ref="S1786:S1793" si="801">$G1786*P1786</f>
        <v>0</v>
      </c>
      <c r="T1786" s="113">
        <f t="shared" ref="T1786:T1793" si="802">$G1786*Q1786</f>
        <v>0</v>
      </c>
      <c r="U1786" s="557">
        <f t="shared" si="800"/>
        <v>0</v>
      </c>
    </row>
    <row r="1787" spans="1:21" s="552" customFormat="1" ht="15" customHeight="1">
      <c r="A1787" s="621"/>
      <c r="B1787" s="622" t="s">
        <v>1097</v>
      </c>
      <c r="C1787" s="633" t="str">
        <f t="shared" si="791"/>
        <v xml:space="preserve"> </v>
      </c>
      <c r="D1787" s="553"/>
      <c r="E1787" s="694" t="str">
        <f>VLOOKUP($B1787,dongia1,DG!$C$5,)</f>
        <v>Lắp chuỗi sứ néo Polymer đơn</v>
      </c>
      <c r="F1787" s="555" t="str">
        <f>VLOOKUP($B1787,dongia1,DG!$D$5,)</f>
        <v>bộ</v>
      </c>
      <c r="G1787" s="205">
        <f>+G1737+G1781-G2421*3</f>
        <v>0</v>
      </c>
      <c r="H1787" s="556"/>
      <c r="I1787" s="556"/>
      <c r="J1787" s="556"/>
      <c r="K1787" s="556"/>
      <c r="L1787" s="556"/>
      <c r="M1787" s="556"/>
      <c r="N1787" s="556"/>
      <c r="O1787" s="556"/>
      <c r="P1787" s="554"/>
      <c r="Q1787" s="182">
        <f>VLOOKUP($B1787,dongia1,DG!$G$5,)</f>
        <v>70131.600000000006</v>
      </c>
      <c r="R1787" s="554"/>
      <c r="S1787" s="113">
        <f t="shared" si="801"/>
        <v>0</v>
      </c>
      <c r="T1787" s="113">
        <f t="shared" si="802"/>
        <v>0</v>
      </c>
      <c r="U1787" s="557">
        <f t="shared" si="800"/>
        <v>0</v>
      </c>
    </row>
    <row r="1788" spans="1:21" s="552" customFormat="1" ht="15" customHeight="1">
      <c r="A1788" s="621"/>
      <c r="B1788" s="622" t="s">
        <v>1631</v>
      </c>
      <c r="C1788" s="633" t="str">
        <f t="shared" si="791"/>
        <v xml:space="preserve"> </v>
      </c>
      <c r="D1788" s="553"/>
      <c r="E1788" s="694" t="s">
        <v>3669</v>
      </c>
      <c r="F1788" s="555" t="str">
        <f>VLOOKUP($B1788,dongia1,DG!$D$5,)</f>
        <v>cái</v>
      </c>
      <c r="G1788" s="205">
        <f>pp3p1m!IO205+pp3p1m!IR205*0</f>
        <v>0</v>
      </c>
      <c r="H1788" s="556"/>
      <c r="I1788" s="556"/>
      <c r="J1788" s="556"/>
      <c r="K1788" s="556"/>
      <c r="L1788" s="556"/>
      <c r="M1788" s="556"/>
      <c r="N1788" s="556"/>
      <c r="O1788" s="556"/>
      <c r="P1788" s="554"/>
      <c r="Q1788" s="182">
        <f>VLOOKUP($B1788,dongia1,DG!$G$5,)</f>
        <v>222639.99999999997</v>
      </c>
      <c r="R1788" s="554"/>
      <c r="S1788" s="113">
        <f t="shared" si="801"/>
        <v>0</v>
      </c>
      <c r="T1788" s="113">
        <f t="shared" si="802"/>
        <v>0</v>
      </c>
      <c r="U1788" s="557">
        <f t="shared" si="800"/>
        <v>0</v>
      </c>
    </row>
    <row r="1789" spans="1:21" s="552" customFormat="1" ht="15" customHeight="1">
      <c r="A1789" s="621"/>
      <c r="B1789" s="622" t="s">
        <v>145</v>
      </c>
      <c r="C1789" s="633" t="str">
        <f t="shared" si="791"/>
        <v xml:space="preserve"> </v>
      </c>
      <c r="D1789" s="553"/>
      <c r="E1789" s="694" t="s">
        <v>3659</v>
      </c>
      <c r="F1789" s="555" t="str">
        <f>VLOOKUP($B1789,dongia1,DG!$D$5,)</f>
        <v>cái</v>
      </c>
      <c r="G1789" s="205">
        <f>pp3p1m!IS205</f>
        <v>0</v>
      </c>
      <c r="H1789" s="556"/>
      <c r="I1789" s="556"/>
      <c r="J1789" s="556"/>
      <c r="K1789" s="556"/>
      <c r="L1789" s="556"/>
      <c r="M1789" s="556"/>
      <c r="N1789" s="556"/>
      <c r="O1789" s="556"/>
      <c r="P1789" s="554"/>
      <c r="Q1789" s="182">
        <f>VLOOKUP($B1789,dongia1,DG!$G$5,)</f>
        <v>83490</v>
      </c>
      <c r="R1789" s="554"/>
      <c r="S1789" s="113">
        <f t="shared" si="801"/>
        <v>0</v>
      </c>
      <c r="T1789" s="113">
        <f t="shared" si="802"/>
        <v>0</v>
      </c>
      <c r="U1789" s="557">
        <f t="shared" si="800"/>
        <v>0</v>
      </c>
    </row>
    <row r="1790" spans="1:21" s="552" customFormat="1" ht="15" customHeight="1">
      <c r="A1790" s="621"/>
      <c r="B1790" s="622" t="s">
        <v>1631</v>
      </c>
      <c r="C1790" s="633" t="str">
        <f t="shared" si="791"/>
        <v xml:space="preserve"> </v>
      </c>
      <c r="D1790" s="553"/>
      <c r="E1790" s="694" t="s">
        <v>3660</v>
      </c>
      <c r="F1790" s="555" t="str">
        <f>VLOOKUP($B1790,dongia1,DG!$D$5,)</f>
        <v>cái</v>
      </c>
      <c r="G1790" s="205">
        <f>pp3p1m!IR205*0</f>
        <v>0</v>
      </c>
      <c r="H1790" s="556"/>
      <c r="I1790" s="556"/>
      <c r="J1790" s="556"/>
      <c r="K1790" s="556"/>
      <c r="L1790" s="556"/>
      <c r="M1790" s="556"/>
      <c r="N1790" s="556"/>
      <c r="O1790" s="556"/>
      <c r="P1790" s="554"/>
      <c r="Q1790" s="182">
        <f>VLOOKUP($B1790,dongia1,DG!$G$5,)</f>
        <v>222639.99999999997</v>
      </c>
      <c r="R1790" s="554"/>
      <c r="S1790" s="113">
        <f t="shared" si="801"/>
        <v>0</v>
      </c>
      <c r="T1790" s="113">
        <f t="shared" si="802"/>
        <v>0</v>
      </c>
      <c r="U1790" s="557">
        <f t="shared" si="800"/>
        <v>0</v>
      </c>
    </row>
    <row r="1791" spans="1:21" s="552" customFormat="1" ht="15" customHeight="1">
      <c r="A1791" s="621"/>
      <c r="B1791" s="622" t="s">
        <v>145</v>
      </c>
      <c r="C1791" s="633" t="str">
        <f t="shared" si="791"/>
        <v xml:space="preserve"> </v>
      </c>
      <c r="D1791" s="553"/>
      <c r="E1791" s="694" t="s">
        <v>3661</v>
      </c>
      <c r="F1791" s="555" t="str">
        <f>VLOOKUP($B1791,dongia1,DG!$D$5,)</f>
        <v>cái</v>
      </c>
      <c r="G1791" s="205">
        <f>pp3p1m!IS205</f>
        <v>0</v>
      </c>
      <c r="H1791" s="556"/>
      <c r="I1791" s="556"/>
      <c r="J1791" s="556"/>
      <c r="K1791" s="556"/>
      <c r="L1791" s="556"/>
      <c r="M1791" s="556"/>
      <c r="N1791" s="556"/>
      <c r="O1791" s="556"/>
      <c r="P1791" s="554"/>
      <c r="Q1791" s="182">
        <f>VLOOKUP($B1791,dongia1,DG!$G$5,)</f>
        <v>83490</v>
      </c>
      <c r="R1791" s="554"/>
      <c r="S1791" s="113">
        <f t="shared" si="801"/>
        <v>0</v>
      </c>
      <c r="T1791" s="113">
        <f t="shared" si="802"/>
        <v>0</v>
      </c>
      <c r="U1791" s="557">
        <f t="shared" si="800"/>
        <v>0</v>
      </c>
    </row>
    <row r="1792" spans="1:21" s="552" customFormat="1" ht="15" customHeight="1">
      <c r="A1792" s="621"/>
      <c r="B1792" s="622" t="s">
        <v>293</v>
      </c>
      <c r="C1792" s="633" t="str">
        <f t="shared" si="791"/>
        <v xml:space="preserve"> </v>
      </c>
      <c r="D1792" s="553"/>
      <c r="E1792" s="694" t="s">
        <v>3662</v>
      </c>
      <c r="F1792" s="555" t="str">
        <f>VLOOKUP($B1792,dongia1,DG!$D$5,)</f>
        <v>bộ</v>
      </c>
      <c r="G1792" s="205">
        <f>pp3p1m!IM205+pp3p1m!IN205</f>
        <v>0</v>
      </c>
      <c r="H1792" s="556"/>
      <c r="I1792" s="556"/>
      <c r="J1792" s="556"/>
      <c r="K1792" s="556"/>
      <c r="L1792" s="556"/>
      <c r="M1792" s="556"/>
      <c r="N1792" s="556"/>
      <c r="O1792" s="556"/>
      <c r="P1792" s="554"/>
      <c r="Q1792" s="182">
        <f>VLOOKUP($B1792,dongia1,DG!$G$5,)</f>
        <v>0</v>
      </c>
      <c r="R1792" s="554"/>
      <c r="S1792" s="113">
        <f t="shared" si="801"/>
        <v>0</v>
      </c>
      <c r="T1792" s="113">
        <f t="shared" si="802"/>
        <v>0</v>
      </c>
      <c r="U1792" s="557">
        <f t="shared" si="800"/>
        <v>0</v>
      </c>
    </row>
    <row r="1793" spans="1:21" s="552" customFormat="1" ht="15" customHeight="1">
      <c r="A1793" s="621"/>
      <c r="B1793" s="622" t="s">
        <v>1924</v>
      </c>
      <c r="C1793" s="633" t="str">
        <f t="shared" si="791"/>
        <v xml:space="preserve"> </v>
      </c>
      <c r="D1793" s="553"/>
      <c r="E1793" s="694" t="s">
        <v>3656</v>
      </c>
      <c r="F1793" s="555" t="str">
        <f>VLOOKUP($B1793,dongia1,DG!$D$5,)</f>
        <v>bộ</v>
      </c>
      <c r="G1793" s="205">
        <f>pp3p1m!IN205</f>
        <v>0</v>
      </c>
      <c r="H1793" s="556"/>
      <c r="I1793" s="556"/>
      <c r="J1793" s="556"/>
      <c r="K1793" s="556"/>
      <c r="L1793" s="556"/>
      <c r="M1793" s="556"/>
      <c r="N1793" s="556"/>
      <c r="O1793" s="556"/>
      <c r="P1793" s="554"/>
      <c r="Q1793" s="182">
        <f>VLOOKUP($B1793,dongia1,DG!$G$5,)</f>
        <v>0</v>
      </c>
      <c r="R1793" s="554"/>
      <c r="S1793" s="113">
        <f t="shared" si="801"/>
        <v>0</v>
      </c>
      <c r="T1793" s="113">
        <f t="shared" si="802"/>
        <v>0</v>
      </c>
      <c r="U1793" s="557">
        <f t="shared" si="800"/>
        <v>0</v>
      </c>
    </row>
    <row r="1794" spans="1:21" s="552" customFormat="1" ht="15" customHeight="1">
      <c r="A1794" s="621"/>
      <c r="B1794" s="622" t="s">
        <v>1117</v>
      </c>
      <c r="C1794" s="633" t="str">
        <f t="shared" si="791"/>
        <v xml:space="preserve"> </v>
      </c>
      <c r="D1794" s="553"/>
      <c r="E1794" s="694" t="s">
        <v>3667</v>
      </c>
      <c r="F1794" s="555" t="str">
        <f>VLOOKUP($B1794,dongia1,DG!$D$5,)</f>
        <v>cái</v>
      </c>
      <c r="G1794" s="205">
        <f>pp3p1m!FG205</f>
        <v>0</v>
      </c>
      <c r="H1794" s="556"/>
      <c r="I1794" s="556"/>
      <c r="J1794" s="556"/>
      <c r="K1794" s="556"/>
      <c r="L1794" s="556"/>
      <c r="M1794" s="556"/>
      <c r="N1794" s="556"/>
      <c r="O1794" s="556"/>
      <c r="P1794" s="554"/>
      <c r="Q1794" s="182">
        <f>VLOOKUP($B1794,dongia1,DG!$G$5,)</f>
        <v>11455</v>
      </c>
      <c r="R1794" s="554"/>
      <c r="S1794" s="113">
        <f>$G1794*P1794</f>
        <v>0</v>
      </c>
      <c r="T1794" s="113">
        <f>$G1794*Q1794</f>
        <v>0</v>
      </c>
      <c r="U1794" s="557">
        <f t="shared" si="800"/>
        <v>0</v>
      </c>
    </row>
    <row r="1795" spans="1:21" s="552" customFormat="1" ht="15" customHeight="1">
      <c r="A1795" s="621"/>
      <c r="B1795" s="622" t="s">
        <v>1601</v>
      </c>
      <c r="C1795" s="633" t="str">
        <f t="shared" si="791"/>
        <v xml:space="preserve"> </v>
      </c>
      <c r="D1795" s="553"/>
      <c r="E1795" s="694" t="s">
        <v>3657</v>
      </c>
      <c r="F1795" s="555" t="str">
        <f>VLOOKUP($B1795,dongia1,DG!$D$5,)</f>
        <v>bộ</v>
      </c>
      <c r="G1795" s="205">
        <f>pp3p1m!IG205*0</f>
        <v>0</v>
      </c>
      <c r="H1795" s="556"/>
      <c r="I1795" s="556"/>
      <c r="J1795" s="556"/>
      <c r="K1795" s="556"/>
      <c r="L1795" s="556"/>
      <c r="M1795" s="556"/>
      <c r="N1795" s="556"/>
      <c r="O1795" s="556"/>
      <c r="P1795" s="554"/>
      <c r="Q1795" s="182">
        <f>VLOOKUP($B1795,dongia1,DG!$G$5,)</f>
        <v>13161</v>
      </c>
      <c r="R1795" s="554"/>
      <c r="S1795" s="113">
        <f>$G1795*P1795</f>
        <v>0</v>
      </c>
      <c r="T1795" s="113">
        <f>$G1795*Q1795*2</f>
        <v>0</v>
      </c>
      <c r="U1795" s="557">
        <f t="shared" si="800"/>
        <v>0</v>
      </c>
    </row>
    <row r="1796" spans="1:21" s="552" customFormat="1" ht="15" customHeight="1">
      <c r="A1796" s="621"/>
      <c r="B1796" s="622" t="s">
        <v>602</v>
      </c>
      <c r="C1796" s="633" t="str">
        <f t="shared" si="791"/>
        <v xml:space="preserve"> </v>
      </c>
      <c r="D1796" s="553"/>
      <c r="E1796" s="694" t="s">
        <v>3658</v>
      </c>
      <c r="F1796" s="555" t="str">
        <f>VLOOKUP($B1796,dongia1,DG!$D$5,)</f>
        <v>bộ</v>
      </c>
      <c r="G1796" s="205">
        <f>pp3p1m!FJ205*0</f>
        <v>0</v>
      </c>
      <c r="H1796" s="556"/>
      <c r="I1796" s="556"/>
      <c r="J1796" s="556"/>
      <c r="K1796" s="556"/>
      <c r="L1796" s="556"/>
      <c r="M1796" s="556"/>
      <c r="N1796" s="556"/>
      <c r="O1796" s="556"/>
      <c r="P1796" s="554"/>
      <c r="Q1796" s="182">
        <f>VLOOKUP($B1796,dongia1,DG!$G$5,)</f>
        <v>15471.9</v>
      </c>
      <c r="R1796" s="554"/>
      <c r="S1796" s="113">
        <f t="shared" ref="S1796:S1802" si="803">$G1796*P1796</f>
        <v>0</v>
      </c>
      <c r="T1796" s="113">
        <f t="shared" ref="T1796:T1802" si="804">$G1796*Q1796</f>
        <v>0</v>
      </c>
      <c r="U1796" s="557">
        <f t="shared" ref="U1796:U1804" si="805">$G1796*R1796</f>
        <v>0</v>
      </c>
    </row>
    <row r="1797" spans="1:21" s="552" customFormat="1" ht="15" customHeight="1">
      <c r="A1797" s="621"/>
      <c r="B1797" s="622" t="s">
        <v>602</v>
      </c>
      <c r="C1797" s="633" t="str">
        <f t="shared" si="791"/>
        <v xml:space="preserve"> </v>
      </c>
      <c r="D1797" s="553"/>
      <c r="E1797" s="694" t="str">
        <f>VLOOKUP($B1797,dongia1,DG!$C$5,)</f>
        <v>Lắp rack sứ + sứ ống chỉ</v>
      </c>
      <c r="F1797" s="555" t="str">
        <f>VLOOKUP($B1797,dongia1,DG!$D$5,)</f>
        <v>bộ</v>
      </c>
      <c r="G1797" s="205">
        <f>G1719</f>
        <v>0</v>
      </c>
      <c r="H1797" s="556"/>
      <c r="I1797" s="556"/>
      <c r="J1797" s="556"/>
      <c r="K1797" s="556"/>
      <c r="L1797" s="556"/>
      <c r="M1797" s="556"/>
      <c r="N1797" s="556"/>
      <c r="O1797" s="556"/>
      <c r="P1797" s="554"/>
      <c r="Q1797" s="182">
        <f>VLOOKUP($B1797,dongia1,DG!$G$5,)</f>
        <v>15471.9</v>
      </c>
      <c r="R1797" s="554"/>
      <c r="S1797" s="113">
        <f t="shared" si="803"/>
        <v>0</v>
      </c>
      <c r="T1797" s="113">
        <f t="shared" si="804"/>
        <v>0</v>
      </c>
      <c r="U1797" s="557">
        <f t="shared" si="805"/>
        <v>0</v>
      </c>
    </row>
    <row r="1798" spans="1:21" s="552" customFormat="1" ht="15" customHeight="1">
      <c r="A1798" s="621"/>
      <c r="B1798" s="622" t="s">
        <v>1442</v>
      </c>
      <c r="C1798" s="633" t="str">
        <f t="shared" si="791"/>
        <v xml:space="preserve"> </v>
      </c>
      <c r="D1798" s="553"/>
      <c r="E1798" s="694" t="str">
        <f>VLOOKUP($B1798,dongia1,DG!$C$5,)</f>
        <v>Lắp rack 2 sứ + sứ ống chỉ</v>
      </c>
      <c r="F1798" s="555" t="str">
        <f>VLOOKUP($B1798,dongia1,DG!$D$5,)</f>
        <v>bộ</v>
      </c>
      <c r="G1798" s="205">
        <f>G1771</f>
        <v>0</v>
      </c>
      <c r="H1798" s="556"/>
      <c r="I1798" s="556"/>
      <c r="J1798" s="556"/>
      <c r="K1798" s="556"/>
      <c r="L1798" s="556"/>
      <c r="M1798" s="556"/>
      <c r="N1798" s="556"/>
      <c r="O1798" s="556"/>
      <c r="P1798" s="554"/>
      <c r="Q1798" s="182">
        <f>VLOOKUP($B1798,dongia1,DG!$G$5,)</f>
        <v>57077</v>
      </c>
      <c r="R1798" s="554"/>
      <c r="S1798" s="113">
        <f t="shared" si="803"/>
        <v>0</v>
      </c>
      <c r="T1798" s="113">
        <f t="shared" si="804"/>
        <v>0</v>
      </c>
      <c r="U1798" s="557">
        <f t="shared" si="805"/>
        <v>0</v>
      </c>
    </row>
    <row r="1799" spans="1:21" s="552" customFormat="1" ht="15" customHeight="1">
      <c r="A1799" s="621"/>
      <c r="B1799" s="622" t="s">
        <v>1783</v>
      </c>
      <c r="C1799" s="633" t="str">
        <f t="shared" si="791"/>
        <v xml:space="preserve"> </v>
      </c>
      <c r="D1799" s="553"/>
      <c r="E1799" s="694" t="s">
        <v>3663</v>
      </c>
      <c r="F1799" s="555" t="str">
        <f>VLOOKUP($B1799,dongia1,DG!$D$5,)</f>
        <v>bộ</v>
      </c>
      <c r="G1799" s="205">
        <f>pp3p1m!GU205</f>
        <v>0</v>
      </c>
      <c r="H1799" s="556"/>
      <c r="I1799" s="556"/>
      <c r="J1799" s="556"/>
      <c r="K1799" s="556"/>
      <c r="L1799" s="556"/>
      <c r="M1799" s="556"/>
      <c r="N1799" s="556"/>
      <c r="O1799" s="556"/>
      <c r="P1799" s="554"/>
      <c r="Q1799" s="182">
        <f>VLOOKUP($B1799,dongia1,DG!$G$5,)</f>
        <v>79500</v>
      </c>
      <c r="R1799" s="554"/>
      <c r="S1799" s="113">
        <f t="shared" si="803"/>
        <v>0</v>
      </c>
      <c r="T1799" s="113">
        <f t="shared" si="804"/>
        <v>0</v>
      </c>
      <c r="U1799" s="557">
        <f t="shared" si="805"/>
        <v>0</v>
      </c>
    </row>
    <row r="1800" spans="1:21" s="552" customFormat="1" ht="15" customHeight="1">
      <c r="A1800" s="621"/>
      <c r="B1800" s="622" t="s">
        <v>1784</v>
      </c>
      <c r="C1800" s="633" t="str">
        <f t="shared" si="791"/>
        <v xml:space="preserve"> </v>
      </c>
      <c r="D1800" s="553"/>
      <c r="E1800" s="694" t="str">
        <f>VLOOKUP($B1800,dongia1,DG!$C$5,)</f>
        <v>Lắp rack 3 sứ + sứ ống chỉ</v>
      </c>
      <c r="F1800" s="555" t="str">
        <f>VLOOKUP($B1800,dongia1,DG!$D$5,)</f>
        <v>bộ</v>
      </c>
      <c r="G1800" s="205">
        <f>G1772+G1799</f>
        <v>0</v>
      </c>
      <c r="H1800" s="556"/>
      <c r="I1800" s="556"/>
      <c r="J1800" s="556"/>
      <c r="K1800" s="556"/>
      <c r="L1800" s="556"/>
      <c r="M1800" s="556"/>
      <c r="N1800" s="556"/>
      <c r="O1800" s="556"/>
      <c r="P1800" s="554"/>
      <c r="Q1800" s="182">
        <f>VLOOKUP($B1800,dongia1,DG!$G$5,)</f>
        <v>79500</v>
      </c>
      <c r="R1800" s="554"/>
      <c r="S1800" s="113">
        <f t="shared" si="803"/>
        <v>0</v>
      </c>
      <c r="T1800" s="113">
        <f t="shared" si="804"/>
        <v>0</v>
      </c>
      <c r="U1800" s="557">
        <f t="shared" si="805"/>
        <v>0</v>
      </c>
    </row>
    <row r="1801" spans="1:21" s="552" customFormat="1" ht="15" customHeight="1">
      <c r="A1801" s="621"/>
      <c r="B1801" s="622" t="s">
        <v>348</v>
      </c>
      <c r="C1801" s="633" t="str">
        <f t="shared" si="791"/>
        <v xml:space="preserve"> </v>
      </c>
      <c r="D1801" s="553"/>
      <c r="E1801" s="694" t="s">
        <v>3664</v>
      </c>
      <c r="F1801" s="555" t="str">
        <f>VLOOKUP($B1801,dongia1,DG!$D$5,)</f>
        <v>bộ</v>
      </c>
      <c r="G1801" s="205">
        <f>pp3p1m!GV205</f>
        <v>0</v>
      </c>
      <c r="H1801" s="556"/>
      <c r="I1801" s="556"/>
      <c r="J1801" s="556"/>
      <c r="K1801" s="556"/>
      <c r="L1801" s="556"/>
      <c r="M1801" s="556"/>
      <c r="N1801" s="556"/>
      <c r="O1801" s="556"/>
      <c r="P1801" s="554"/>
      <c r="Q1801" s="182">
        <f>VLOOKUP($B1801,dongia1,DG!$G$5,)</f>
        <v>112115</v>
      </c>
      <c r="R1801" s="554"/>
      <c r="S1801" s="113">
        <f t="shared" si="803"/>
        <v>0</v>
      </c>
      <c r="T1801" s="113">
        <f t="shared" si="804"/>
        <v>0</v>
      </c>
      <c r="U1801" s="557">
        <f t="shared" si="805"/>
        <v>0</v>
      </c>
    </row>
    <row r="1802" spans="1:21" s="552" customFormat="1" ht="15" customHeight="1">
      <c r="A1802" s="621"/>
      <c r="B1802" s="622" t="s">
        <v>1037</v>
      </c>
      <c r="C1802" s="633" t="str">
        <f t="shared" si="791"/>
        <v xml:space="preserve"> </v>
      </c>
      <c r="D1802" s="553"/>
      <c r="E1802" s="694" t="str">
        <f>VLOOKUP($B1802,dongia1,DG!$C$5,)</f>
        <v>Lắp rack 4 sứ + sứ ống chỉ</v>
      </c>
      <c r="F1802" s="555" t="str">
        <f>VLOOKUP($B1802,dongia1,DG!$D$5,)</f>
        <v>bộ</v>
      </c>
      <c r="G1802" s="205">
        <f>G1773+G1801</f>
        <v>0</v>
      </c>
      <c r="H1802" s="556"/>
      <c r="I1802" s="556"/>
      <c r="J1802" s="556"/>
      <c r="K1802" s="556"/>
      <c r="L1802" s="556"/>
      <c r="M1802" s="556"/>
      <c r="N1802" s="556"/>
      <c r="O1802" s="556"/>
      <c r="P1802" s="554"/>
      <c r="Q1802" s="182">
        <f>VLOOKUP($B1802,dongia1,DG!$G$5,)</f>
        <v>112115</v>
      </c>
      <c r="R1802" s="554"/>
      <c r="S1802" s="113">
        <f t="shared" si="803"/>
        <v>0</v>
      </c>
      <c r="T1802" s="113">
        <f t="shared" si="804"/>
        <v>0</v>
      </c>
      <c r="U1802" s="557">
        <f t="shared" si="805"/>
        <v>0</v>
      </c>
    </row>
    <row r="1803" spans="1:21" s="552" customFormat="1" ht="15" customHeight="1">
      <c r="A1803" s="621"/>
      <c r="B1803" s="622" t="s">
        <v>604</v>
      </c>
      <c r="C1803" s="633" t="str">
        <f t="shared" si="791"/>
        <v xml:space="preserve"> </v>
      </c>
      <c r="D1803" s="553"/>
      <c r="E1803" s="694" t="str">
        <f>VLOOKUP($B1803,dongia1,DG!$C$5,)</f>
        <v xml:space="preserve">Kéo dây qua vị trí bẻ góc dây </v>
      </c>
      <c r="F1803" s="555" t="str">
        <f>VLOOKUP($B1803,dongia1,DG!$D$5,)</f>
        <v>vị trí</v>
      </c>
      <c r="G1803" s="205"/>
      <c r="H1803" s="556"/>
      <c r="I1803" s="556"/>
      <c r="J1803" s="556"/>
      <c r="K1803" s="556"/>
      <c r="L1803" s="556"/>
      <c r="M1803" s="556"/>
      <c r="N1803" s="556"/>
      <c r="O1803" s="556"/>
      <c r="P1803" s="554"/>
      <c r="Q1803" s="182">
        <f>VLOOKUP($B1803,dongia1,DG!$G$5,)</f>
        <v>61933</v>
      </c>
      <c r="R1803" s="554"/>
      <c r="S1803" s="113">
        <f>$G1803*P1803</f>
        <v>0</v>
      </c>
      <c r="T1803" s="113">
        <f>$G1803*Q1803</f>
        <v>0</v>
      </c>
      <c r="U1803" s="557">
        <f t="shared" si="805"/>
        <v>0</v>
      </c>
    </row>
    <row r="1804" spans="1:21" s="552" customFormat="1" ht="15" customHeight="1">
      <c r="A1804" s="621"/>
      <c r="B1804" s="622" t="s">
        <v>605</v>
      </c>
      <c r="C1804" s="633" t="str">
        <f t="shared" si="791"/>
        <v xml:space="preserve"> </v>
      </c>
      <c r="D1804" s="553"/>
      <c r="E1804" s="694" t="str">
        <f>VLOOKUP($B1804,dongia1,DG!$C$5,)</f>
        <v>Kéo dây qua sông ( S&lt;=300)</v>
      </c>
      <c r="F1804" s="555" t="str">
        <f>VLOOKUP($B1804,dongia1,DG!$D$5,)</f>
        <v>vị trí</v>
      </c>
      <c r="G1804" s="205"/>
      <c r="H1804" s="556"/>
      <c r="I1804" s="556"/>
      <c r="J1804" s="556"/>
      <c r="K1804" s="556"/>
      <c r="L1804" s="556"/>
      <c r="M1804" s="556"/>
      <c r="N1804" s="556"/>
      <c r="O1804" s="556"/>
      <c r="P1804" s="554"/>
      <c r="Q1804" s="182">
        <f>VLOOKUP($B1804,dongia1,DG!$G$5,)</f>
        <v>261513</v>
      </c>
      <c r="R1804" s="554"/>
      <c r="S1804" s="113">
        <f>$G1804*P1804</f>
        <v>0</v>
      </c>
      <c r="T1804" s="113">
        <f>$G1804*Q1804</f>
        <v>0</v>
      </c>
      <c r="U1804" s="557">
        <f t="shared" si="805"/>
        <v>0</v>
      </c>
    </row>
    <row r="1805" spans="1:21">
      <c r="A1805" s="630" t="s">
        <v>1978</v>
      </c>
      <c r="B1805" s="696"/>
      <c r="C1805" s="631" t="str">
        <f>IF(G1805=0,"x"," ")</f>
        <v xml:space="preserve"> </v>
      </c>
      <c r="D1805" s="850"/>
      <c r="E1805" s="851" t="s">
        <v>3670</v>
      </c>
      <c r="F1805" s="852" t="s">
        <v>3694</v>
      </c>
      <c r="G1805" s="762">
        <f>IF(SUM(G1806:G1826)=0,1,0)</f>
        <v>1</v>
      </c>
      <c r="H1805" s="701"/>
      <c r="I1805" s="701"/>
      <c r="J1805" s="701"/>
      <c r="K1805" s="701"/>
      <c r="L1805" s="701"/>
      <c r="M1805" s="701"/>
      <c r="N1805" s="701"/>
      <c r="O1805" s="701"/>
      <c r="P1805" s="703"/>
      <c r="Q1805" s="703"/>
      <c r="R1805" s="703"/>
      <c r="S1805" s="856">
        <f>SUM(S1806:S1903)</f>
        <v>0</v>
      </c>
      <c r="T1805" s="856">
        <f>SUM(T1806:T1903)</f>
        <v>0</v>
      </c>
      <c r="U1805" s="857">
        <f>SUM(U1806:U1903)</f>
        <v>0</v>
      </c>
    </row>
    <row r="1806" spans="1:21" s="552" customFormat="1" ht="15" customHeight="1">
      <c r="A1806" s="621"/>
      <c r="B1806" s="622" t="s">
        <v>876</v>
      </c>
      <c r="C1806" s="633" t="str">
        <f t="shared" ref="C1806:C1818" si="806">IF(G1806&lt;&gt;0,$C$1805," ")</f>
        <v xml:space="preserve"> </v>
      </c>
      <c r="D1806" s="611"/>
      <c r="E1806" s="694" t="str">
        <f>VLOOKUP($B1806,dongia1,DG!$C$5,)</f>
        <v>Cáp nhôm lõi thép AC-70/11</v>
      </c>
      <c r="F1806" s="555" t="str">
        <f>VLOOKUP($B1806,dongia1,DG!$D$5,)</f>
        <v>kg</v>
      </c>
      <c r="G1806" s="205">
        <f>ROUND(D1806*1.03*0.276,2)</f>
        <v>0</v>
      </c>
      <c r="H1806" s="556">
        <f t="shared" ref="H1806:H1818" si="807">G1806</f>
        <v>0</v>
      </c>
      <c r="I1806" s="556"/>
      <c r="J1806" s="556"/>
      <c r="K1806" s="556"/>
      <c r="L1806" s="556">
        <f>H1806</f>
        <v>0</v>
      </c>
      <c r="M1806" s="556"/>
      <c r="N1806" s="556"/>
      <c r="O1806" s="556"/>
      <c r="P1806" s="182">
        <f>VLOOKUP($B1806,dongia1,DG!$F$5,)</f>
        <v>63000</v>
      </c>
      <c r="Q1806" s="554"/>
      <c r="R1806" s="554"/>
      <c r="S1806" s="113">
        <f t="shared" ref="S1806:U1808" si="808">$G1806*P1806</f>
        <v>0</v>
      </c>
      <c r="T1806" s="113">
        <f t="shared" si="808"/>
        <v>0</v>
      </c>
      <c r="U1806" s="557">
        <f t="shared" si="808"/>
        <v>0</v>
      </c>
    </row>
    <row r="1807" spans="1:21">
      <c r="B1807" s="696" t="s">
        <v>472</v>
      </c>
      <c r="C1807" s="697" t="str">
        <f t="shared" si="806"/>
        <v xml:space="preserve"> </v>
      </c>
      <c r="D1807" s="943"/>
      <c r="E1807" s="699" t="str">
        <f>VLOOKUP($B1807,dongia1,DG!$C$5,)</f>
        <v>Cáp nhôm lõi thép AC-50/8</v>
      </c>
      <c r="F1807" s="700" t="str">
        <f>VLOOKUP($B1807,dongia1,DG!$D$5,)</f>
        <v>kg</v>
      </c>
      <c r="G1807" s="762">
        <f>ROUND(D1807*1.02*0.195,2)</f>
        <v>0</v>
      </c>
      <c r="H1807" s="701">
        <f t="shared" si="807"/>
        <v>0</v>
      </c>
      <c r="I1807" s="701"/>
      <c r="J1807" s="701"/>
      <c r="K1807" s="701"/>
      <c r="L1807" s="701">
        <f t="shared" ref="L1807:L1841" si="809">H1807</f>
        <v>0</v>
      </c>
      <c r="M1807" s="701"/>
      <c r="N1807" s="701"/>
      <c r="O1807" s="701"/>
      <c r="P1807" s="702">
        <f>VLOOKUP($B1807,dongia1,DG!$F$5,)</f>
        <v>76800</v>
      </c>
      <c r="Q1807" s="703"/>
      <c r="R1807" s="703"/>
      <c r="S1807" s="702">
        <f t="shared" si="808"/>
        <v>0</v>
      </c>
      <c r="T1807" s="702">
        <f t="shared" si="808"/>
        <v>0</v>
      </c>
      <c r="U1807" s="704">
        <f t="shared" si="808"/>
        <v>0</v>
      </c>
    </row>
    <row r="1808" spans="1:21" s="552" customFormat="1" ht="15" customHeight="1">
      <c r="A1808" s="621"/>
      <c r="B1808" s="622" t="s">
        <v>770</v>
      </c>
      <c r="C1808" s="633" t="str">
        <f t="shared" si="806"/>
        <v xml:space="preserve"> </v>
      </c>
      <c r="D1808" s="611"/>
      <c r="E1808" s="694" t="str">
        <f>VLOOKUP($B1808,dongia1,DG!$C$5,)</f>
        <v>Cáp 24KV AC/XLPE/PVC 50mm2</v>
      </c>
      <c r="F1808" s="555" t="str">
        <f>VLOOKUP($B1808,dongia1,DG!$D$5,)</f>
        <v>mét</v>
      </c>
      <c r="G1808" s="205">
        <f>ROUND(D1808*1.02,2)</f>
        <v>0</v>
      </c>
      <c r="H1808" s="556">
        <f t="shared" si="807"/>
        <v>0</v>
      </c>
      <c r="I1808" s="556"/>
      <c r="J1808" s="556"/>
      <c r="K1808" s="556"/>
      <c r="L1808" s="556">
        <f t="shared" si="809"/>
        <v>0</v>
      </c>
      <c r="M1808" s="556"/>
      <c r="N1808" s="556"/>
      <c r="O1808" s="556"/>
      <c r="P1808" s="182">
        <f>VLOOKUP($B1808,dongia1,DG!$F$5,)</f>
        <v>43500</v>
      </c>
      <c r="Q1808" s="554"/>
      <c r="R1808" s="554"/>
      <c r="S1808" s="113">
        <f t="shared" si="808"/>
        <v>0</v>
      </c>
      <c r="T1808" s="113">
        <f t="shared" si="808"/>
        <v>0</v>
      </c>
      <c r="U1808" s="557">
        <f t="shared" si="808"/>
        <v>0</v>
      </c>
    </row>
    <row r="1809" spans="1:21" s="552" customFormat="1" ht="15" customHeight="1">
      <c r="A1809" s="621"/>
      <c r="B1809" s="622" t="s">
        <v>771</v>
      </c>
      <c r="C1809" s="633" t="str">
        <f t="shared" si="806"/>
        <v xml:space="preserve"> </v>
      </c>
      <c r="D1809" s="611"/>
      <c r="E1809" s="694" t="str">
        <f>VLOOKUP($B1809,dongia1,DG!$C$5,)</f>
        <v>Cáp 24KV AC/XLPE/PVC 70mm2</v>
      </c>
      <c r="F1809" s="555" t="str">
        <f>VLOOKUP($B1809,dongia1,DG!$D$5,)</f>
        <v>mét</v>
      </c>
      <c r="G1809" s="205">
        <f>ROUND(D1809*1.02,2)</f>
        <v>0</v>
      </c>
      <c r="H1809" s="556">
        <f>G1809</f>
        <v>0</v>
      </c>
      <c r="I1809" s="556"/>
      <c r="J1809" s="556"/>
      <c r="K1809" s="556"/>
      <c r="L1809" s="556">
        <f>H1809</f>
        <v>0</v>
      </c>
      <c r="M1809" s="556"/>
      <c r="N1809" s="556"/>
      <c r="O1809" s="556"/>
      <c r="P1809" s="182">
        <f>VLOOKUP($B1809,dongia1,DG!$F$5,)</f>
        <v>52100</v>
      </c>
      <c r="Q1809" s="554"/>
      <c r="R1809" s="554"/>
      <c r="S1809" s="113">
        <f t="shared" ref="S1809:U1811" si="810">$G1809*P1809</f>
        <v>0</v>
      </c>
      <c r="T1809" s="113">
        <f t="shared" si="810"/>
        <v>0</v>
      </c>
      <c r="U1809" s="557">
        <f t="shared" si="810"/>
        <v>0</v>
      </c>
    </row>
    <row r="1810" spans="1:21">
      <c r="B1810" s="696" t="s">
        <v>3991</v>
      </c>
      <c r="C1810" s="697" t="str">
        <f t="shared" si="806"/>
        <v xml:space="preserve"> </v>
      </c>
      <c r="D1810" s="943"/>
      <c r="E1810" s="699" t="str">
        <f>VLOOKUP($B1810,dongia1,DG!$C$5,)</f>
        <v>Cáp 24KV AC/XLPE 50mm2</v>
      </c>
      <c r="F1810" s="700" t="str">
        <f>VLOOKUP($B1810,dongia1,DG!$D$5,)</f>
        <v>mét</v>
      </c>
      <c r="G1810" s="762">
        <f>ROUND(D1810*1.02,2)</f>
        <v>0</v>
      </c>
      <c r="H1810" s="701">
        <f>G1810</f>
        <v>0</v>
      </c>
      <c r="I1810" s="701"/>
      <c r="J1810" s="701"/>
      <c r="K1810" s="701"/>
      <c r="L1810" s="701">
        <f>H1810</f>
        <v>0</v>
      </c>
      <c r="M1810" s="701"/>
      <c r="N1810" s="701"/>
      <c r="O1810" s="701"/>
      <c r="P1810" s="702">
        <f>VLOOKUP($B1810,dongia1,DG!$F$5,)</f>
        <v>56400</v>
      </c>
      <c r="Q1810" s="703"/>
      <c r="R1810" s="703"/>
      <c r="S1810" s="702">
        <f t="shared" si="810"/>
        <v>0</v>
      </c>
      <c r="T1810" s="702">
        <f t="shared" si="810"/>
        <v>0</v>
      </c>
      <c r="U1810" s="704">
        <f t="shared" si="810"/>
        <v>0</v>
      </c>
    </row>
    <row r="1811" spans="1:21" s="552" customFormat="1" ht="15" customHeight="1">
      <c r="A1811" s="621"/>
      <c r="B1811" s="622" t="s">
        <v>3992</v>
      </c>
      <c r="C1811" s="633" t="str">
        <f t="shared" si="806"/>
        <v xml:space="preserve"> </v>
      </c>
      <c r="D1811" s="611"/>
      <c r="E1811" s="694" t="str">
        <f>VLOOKUP($B1811,dongia1,DG!$C$5,)</f>
        <v>Cáp 24KV AC/XLPE 70mm2</v>
      </c>
      <c r="F1811" s="555" t="str">
        <f>VLOOKUP($B1811,dongia1,DG!$D$5,)</f>
        <v>mét</v>
      </c>
      <c r="G1811" s="205">
        <f>ROUND(D1811*1.02,2)</f>
        <v>0</v>
      </c>
      <c r="H1811" s="556">
        <f>G1811</f>
        <v>0</v>
      </c>
      <c r="I1811" s="556"/>
      <c r="J1811" s="556"/>
      <c r="K1811" s="556"/>
      <c r="L1811" s="556">
        <f>H1811</f>
        <v>0</v>
      </c>
      <c r="M1811" s="556"/>
      <c r="N1811" s="556"/>
      <c r="O1811" s="556"/>
      <c r="P1811" s="182">
        <f>VLOOKUP($B1811,dongia1,DG!$F$5,)</f>
        <v>52100</v>
      </c>
      <c r="Q1811" s="554"/>
      <c r="R1811" s="554"/>
      <c r="S1811" s="113">
        <f t="shared" si="810"/>
        <v>0</v>
      </c>
      <c r="T1811" s="113">
        <f t="shared" si="810"/>
        <v>0</v>
      </c>
      <c r="U1811" s="557">
        <f t="shared" si="810"/>
        <v>0</v>
      </c>
    </row>
    <row r="1812" spans="1:21" s="858" customFormat="1" ht="14.4">
      <c r="A1812" s="847"/>
      <c r="B1812" s="848" t="s">
        <v>3723</v>
      </c>
      <c r="C1812" s="905" t="str">
        <f t="shared" si="806"/>
        <v xml:space="preserve"> </v>
      </c>
      <c r="D1812" s="850"/>
      <c r="E1812" s="906" t="s">
        <v>3637</v>
      </c>
      <c r="F1812" s="907" t="s">
        <v>2226</v>
      </c>
      <c r="G1812" s="908">
        <f>pp1p!CP86</f>
        <v>0</v>
      </c>
      <c r="H1812" s="854">
        <f t="shared" si="807"/>
        <v>0</v>
      </c>
      <c r="I1812" s="701"/>
      <c r="J1812" s="701"/>
      <c r="K1812" s="701"/>
      <c r="L1812" s="701">
        <f t="shared" si="809"/>
        <v>0</v>
      </c>
      <c r="M1812" s="701"/>
      <c r="N1812" s="701"/>
      <c r="O1812" s="701"/>
      <c r="P1812" s="909"/>
      <c r="Q1812" s="909"/>
      <c r="R1812" s="855"/>
      <c r="S1812" s="909"/>
      <c r="T1812" s="909"/>
      <c r="U1812" s="910"/>
    </row>
    <row r="1813" spans="1:21">
      <c r="B1813" s="696" t="s">
        <v>1355</v>
      </c>
      <c r="C1813" s="697" t="str">
        <f t="shared" si="806"/>
        <v xml:space="preserve"> </v>
      </c>
      <c r="D1813" s="698"/>
      <c r="E1813" s="699" t="str">
        <f>VLOOKUP($B1813,dongia1,DG!$C$5,)</f>
        <v>Uclevis (loại gân)+ sứ ống chỉ</v>
      </c>
      <c r="F1813" s="700" t="str">
        <f>VLOOKUP($B1813,dongia1,DG!$D$5,)</f>
        <v>bộ</v>
      </c>
      <c r="G1813" s="762">
        <f>G1812</f>
        <v>0</v>
      </c>
      <c r="H1813" s="701">
        <f t="shared" si="807"/>
        <v>0</v>
      </c>
      <c r="I1813" s="701"/>
      <c r="J1813" s="701"/>
      <c r="K1813" s="701"/>
      <c r="L1813" s="701">
        <f t="shared" si="809"/>
        <v>0</v>
      </c>
      <c r="M1813" s="701"/>
      <c r="N1813" s="701"/>
      <c r="O1813" s="701"/>
      <c r="P1813" s="702">
        <f>VLOOKUP($B1813,dongia1,DG!$F$5,)</f>
        <v>35000</v>
      </c>
      <c r="Q1813" s="702"/>
      <c r="R1813" s="703"/>
      <c r="S1813" s="702">
        <f t="shared" ref="S1813:U1814" si="811">$G1813*P1813</f>
        <v>0</v>
      </c>
      <c r="T1813" s="702">
        <f t="shared" si="811"/>
        <v>0</v>
      </c>
      <c r="U1813" s="704">
        <f t="shared" si="811"/>
        <v>0</v>
      </c>
    </row>
    <row r="1814" spans="1:21">
      <c r="B1814" s="696" t="s">
        <v>1262</v>
      </c>
      <c r="C1814" s="697" t="str">
        <f t="shared" si="806"/>
        <v xml:space="preserve"> </v>
      </c>
      <c r="D1814" s="698"/>
      <c r="E1814" s="699" t="str">
        <f>VLOOKUP($B1814,dongia1,DG!$C$5,)</f>
        <v>Boulon 16x300+ 2 long đền vuông D18-50x50x3/Zn</v>
      </c>
      <c r="F1814" s="700" t="str">
        <f>VLOOKUP($B1814,dongia1,DG!$D$5,)</f>
        <v>bộ</v>
      </c>
      <c r="G1814" s="762">
        <f>G1812</f>
        <v>0</v>
      </c>
      <c r="H1814" s="701">
        <f t="shared" si="807"/>
        <v>0</v>
      </c>
      <c r="I1814" s="701"/>
      <c r="J1814" s="701"/>
      <c r="K1814" s="701"/>
      <c r="L1814" s="701">
        <f t="shared" si="809"/>
        <v>0</v>
      </c>
      <c r="M1814" s="701"/>
      <c r="N1814" s="701"/>
      <c r="O1814" s="701"/>
      <c r="P1814" s="702">
        <f>VLOOKUP($B1814,dongia1,DG!$F$5,)</f>
        <v>25400</v>
      </c>
      <c r="Q1814" s="702"/>
      <c r="R1814" s="703"/>
      <c r="S1814" s="702">
        <f t="shared" si="811"/>
        <v>0</v>
      </c>
      <c r="T1814" s="702">
        <f t="shared" si="811"/>
        <v>0</v>
      </c>
      <c r="U1814" s="704">
        <f t="shared" si="811"/>
        <v>0</v>
      </c>
    </row>
    <row r="1815" spans="1:21" s="552" customFormat="1" ht="15" customHeight="1">
      <c r="A1815" s="621"/>
      <c r="B1815" s="622" t="s">
        <v>1581</v>
      </c>
      <c r="C1815" s="633" t="str">
        <f t="shared" si="806"/>
        <v xml:space="preserve"> </v>
      </c>
      <c r="D1815" s="553"/>
      <c r="E1815" s="1641" t="s">
        <v>3638</v>
      </c>
      <c r="F1815" s="612" t="s">
        <v>2226</v>
      </c>
      <c r="G1815" s="559">
        <f>pp1p!CQ86</f>
        <v>0</v>
      </c>
      <c r="H1815" s="556">
        <f t="shared" si="807"/>
        <v>0</v>
      </c>
      <c r="I1815" s="556"/>
      <c r="J1815" s="556"/>
      <c r="K1815" s="556"/>
      <c r="L1815" s="556">
        <f t="shared" si="809"/>
        <v>0</v>
      </c>
      <c r="M1815" s="556"/>
      <c r="N1815" s="556"/>
      <c r="O1815" s="556"/>
      <c r="P1815" s="182"/>
      <c r="Q1815" s="182"/>
      <c r="R1815" s="554"/>
      <c r="S1815" s="113"/>
      <c r="T1815" s="113"/>
      <c r="U1815" s="557"/>
    </row>
    <row r="1816" spans="1:21" s="552" customFormat="1" ht="15" customHeight="1">
      <c r="A1816" s="621"/>
      <c r="B1816" s="622" t="s">
        <v>1355</v>
      </c>
      <c r="C1816" s="633" t="str">
        <f t="shared" si="806"/>
        <v xml:space="preserve"> </v>
      </c>
      <c r="D1816" s="553"/>
      <c r="E1816" s="694" t="str">
        <f>VLOOKUP($B1816,dongia1,DG!$C$5,)</f>
        <v>Uclevis (loại gân)+ sứ ống chỉ</v>
      </c>
      <c r="F1816" s="555" t="str">
        <f>VLOOKUP($B1816,dongia1,DG!$D$5,)</f>
        <v>bộ</v>
      </c>
      <c r="G1816" s="205">
        <f>G1815</f>
        <v>0</v>
      </c>
      <c r="H1816" s="556">
        <f t="shared" si="807"/>
        <v>0</v>
      </c>
      <c r="I1816" s="556"/>
      <c r="J1816" s="556"/>
      <c r="K1816" s="556"/>
      <c r="L1816" s="556">
        <f t="shared" si="809"/>
        <v>0</v>
      </c>
      <c r="M1816" s="556"/>
      <c r="N1816" s="556"/>
      <c r="O1816" s="556"/>
      <c r="P1816" s="182">
        <f>VLOOKUP($B1816,dongia1,DG!$F$5,)</f>
        <v>35000</v>
      </c>
      <c r="Q1816" s="182"/>
      <c r="R1816" s="554"/>
      <c r="S1816" s="113">
        <f>$G1816*P1816</f>
        <v>0</v>
      </c>
      <c r="T1816" s="113">
        <f t="shared" ref="T1816:T1855" si="812">$G1816*Q1816</f>
        <v>0</v>
      </c>
      <c r="U1816" s="557">
        <f t="shared" ref="U1816:U1855" si="813">$G1816*R1816</f>
        <v>0</v>
      </c>
    </row>
    <row r="1817" spans="1:21" s="552" customFormat="1" ht="15" customHeight="1">
      <c r="A1817" s="621"/>
      <c r="B1817" s="622" t="s">
        <v>1262</v>
      </c>
      <c r="C1817" s="633" t="str">
        <f t="shared" si="806"/>
        <v xml:space="preserve"> </v>
      </c>
      <c r="D1817" s="553"/>
      <c r="E1817" s="694" t="str">
        <f>VLOOKUP($B1817,dongia1,DG!$C$5,)</f>
        <v>Boulon 16x300+ 2 long đền vuông D18-50x50x3/Zn</v>
      </c>
      <c r="F1817" s="555" t="str">
        <f>VLOOKUP($B1817,dongia1,DG!$D$5,)</f>
        <v>bộ</v>
      </c>
      <c r="G1817" s="205">
        <f>G1815</f>
        <v>0</v>
      </c>
      <c r="H1817" s="556">
        <f t="shared" si="807"/>
        <v>0</v>
      </c>
      <c r="I1817" s="556"/>
      <c r="J1817" s="556"/>
      <c r="K1817" s="556"/>
      <c r="L1817" s="556">
        <f t="shared" si="809"/>
        <v>0</v>
      </c>
      <c r="M1817" s="556"/>
      <c r="N1817" s="556"/>
      <c r="O1817" s="556"/>
      <c r="P1817" s="182">
        <f>VLOOKUP($B1817,dongia1,DG!$F$5,)</f>
        <v>25400</v>
      </c>
      <c r="Q1817" s="182"/>
      <c r="R1817" s="554"/>
      <c r="S1817" s="113">
        <f>$G1817*P1817</f>
        <v>0</v>
      </c>
      <c r="T1817" s="113">
        <f t="shared" si="812"/>
        <v>0</v>
      </c>
      <c r="U1817" s="557">
        <f t="shared" si="813"/>
        <v>0</v>
      </c>
    </row>
    <row r="1818" spans="1:21" s="552" customFormat="1" ht="15" customHeight="1">
      <c r="A1818" s="621"/>
      <c r="B1818" s="622" t="s">
        <v>1206</v>
      </c>
      <c r="C1818" s="633" t="str">
        <f t="shared" si="806"/>
        <v xml:space="preserve"> </v>
      </c>
      <c r="D1818" s="553"/>
      <c r="E1818" s="694" t="str">
        <f>VLOOKUP($B1818,dongia1,DG!$C$5,)</f>
        <v>Kẹp 2 rãnh (APC) cỡ dây 50mm2</v>
      </c>
      <c r="F1818" s="555" t="str">
        <f>VLOOKUP($B1818,dongia1,DG!$D$5,)</f>
        <v>cái</v>
      </c>
      <c r="G1818" s="205">
        <f>G1815*6</f>
        <v>0</v>
      </c>
      <c r="H1818" s="556">
        <f t="shared" si="807"/>
        <v>0</v>
      </c>
      <c r="I1818" s="556"/>
      <c r="J1818" s="556"/>
      <c r="K1818" s="556"/>
      <c r="L1818" s="556">
        <f t="shared" si="809"/>
        <v>0</v>
      </c>
      <c r="M1818" s="556"/>
      <c r="N1818" s="556"/>
      <c r="O1818" s="556"/>
      <c r="P1818" s="182">
        <f>VLOOKUP($B1818,dongia1,DG!$F$5,)</f>
        <v>6400</v>
      </c>
      <c r="Q1818" s="182"/>
      <c r="R1818" s="554"/>
      <c r="S1818" s="113">
        <f>$G1818*P1818</f>
        <v>0</v>
      </c>
      <c r="T1818" s="113">
        <f t="shared" si="812"/>
        <v>0</v>
      </c>
      <c r="U1818" s="557">
        <f t="shared" si="813"/>
        <v>0</v>
      </c>
    </row>
    <row r="1819" spans="1:21" s="858" customFormat="1" ht="14.4">
      <c r="A1819" s="847"/>
      <c r="B1819" s="848" t="s">
        <v>1582</v>
      </c>
      <c r="C1819" s="905" t="str">
        <f>IF(G1819&lt;&gt;0,$C$1248," ")</f>
        <v xml:space="preserve"> </v>
      </c>
      <c r="D1819" s="850"/>
      <c r="E1819" s="906" t="s">
        <v>3639</v>
      </c>
      <c r="F1819" s="907" t="s">
        <v>2226</v>
      </c>
      <c r="G1819" s="908">
        <f>pp1p!CR86</f>
        <v>0</v>
      </c>
      <c r="H1819" s="854">
        <f>$G1819</f>
        <v>0</v>
      </c>
      <c r="I1819" s="701"/>
      <c r="J1819" s="701"/>
      <c r="K1819" s="701"/>
      <c r="L1819" s="701">
        <f t="shared" si="809"/>
        <v>0</v>
      </c>
      <c r="M1819" s="701"/>
      <c r="N1819" s="701"/>
      <c r="O1819" s="701"/>
      <c r="P1819" s="909"/>
      <c r="Q1819" s="909"/>
      <c r="R1819" s="855"/>
      <c r="S1819" s="909"/>
      <c r="T1819" s="909"/>
      <c r="U1819" s="910"/>
    </row>
    <row r="1820" spans="1:21">
      <c r="B1820" s="696" t="s">
        <v>74</v>
      </c>
      <c r="C1820" s="697" t="str">
        <f>IF(G1820&lt;&gt;0,$C$1248," ")</f>
        <v xml:space="preserve"> </v>
      </c>
      <c r="D1820" s="698"/>
      <c r="E1820" s="699" t="str">
        <f>VLOOKUP($B1820,dongia1,DG!$C$5,)</f>
        <v>Khóa néo dây cỡ dây 50(kẹp dừng dây 3U-3mm)</v>
      </c>
      <c r="F1820" s="700" t="str">
        <f>VLOOKUP($B1820,dongia1,DG!$D$5,)</f>
        <v>cái</v>
      </c>
      <c r="G1820" s="762">
        <f>G1819</f>
        <v>0</v>
      </c>
      <c r="H1820" s="701">
        <f>$G1820</f>
        <v>0</v>
      </c>
      <c r="I1820" s="701"/>
      <c r="J1820" s="701"/>
      <c r="K1820" s="701"/>
      <c r="L1820" s="701">
        <f t="shared" si="809"/>
        <v>0</v>
      </c>
      <c r="M1820" s="701"/>
      <c r="N1820" s="701"/>
      <c r="O1820" s="701"/>
      <c r="P1820" s="702">
        <f>VLOOKUP($B1820,dongia1,DG!$F$5,)</f>
        <v>58000</v>
      </c>
      <c r="Q1820" s="702"/>
      <c r="R1820" s="703"/>
      <c r="S1820" s="702">
        <f>$G1820*P1820</f>
        <v>0</v>
      </c>
      <c r="T1820" s="702">
        <f t="shared" ref="T1820:U1823" si="814">$G1820*Q1820</f>
        <v>0</v>
      </c>
      <c r="U1820" s="704">
        <f t="shared" si="814"/>
        <v>0</v>
      </c>
    </row>
    <row r="1821" spans="1:21">
      <c r="B1821" s="696" t="s">
        <v>2035</v>
      </c>
      <c r="C1821" s="697" t="str">
        <f>IF(G1821&lt;&gt;0,$C$1248," ")</f>
        <v xml:space="preserve"> </v>
      </c>
      <c r="D1821" s="698"/>
      <c r="E1821" s="699" t="str">
        <f>VLOOKUP($B1821,dongia1,DG!$C$5,)</f>
        <v xml:space="preserve">Móc treo chữ U F16 dài </v>
      </c>
      <c r="F1821" s="700" t="str">
        <f>VLOOKUP($B1821,dongia1,DG!$D$5,)</f>
        <v>cái</v>
      </c>
      <c r="G1821" s="762">
        <f>G1819*2</f>
        <v>0</v>
      </c>
      <c r="H1821" s="701">
        <f>$G1821</f>
        <v>0</v>
      </c>
      <c r="I1821" s="701"/>
      <c r="J1821" s="701"/>
      <c r="K1821" s="701"/>
      <c r="L1821" s="701">
        <f t="shared" si="809"/>
        <v>0</v>
      </c>
      <c r="M1821" s="701"/>
      <c r="N1821" s="701"/>
      <c r="O1821" s="701"/>
      <c r="P1821" s="702">
        <f>VLOOKUP($B1821,dongia1,DG!$F$5,)</f>
        <v>28000</v>
      </c>
      <c r="Q1821" s="702"/>
      <c r="R1821" s="703"/>
      <c r="S1821" s="702">
        <f>$G1821*P1821</f>
        <v>0</v>
      </c>
      <c r="T1821" s="702">
        <f t="shared" si="814"/>
        <v>0</v>
      </c>
      <c r="U1821" s="704">
        <f t="shared" si="814"/>
        <v>0</v>
      </c>
    </row>
    <row r="1822" spans="1:21">
      <c r="B1822" s="696" t="s">
        <v>366</v>
      </c>
      <c r="C1822" s="697" t="str">
        <f>IF(G1822&lt;&gt;0,$C$1248," ")</f>
        <v xml:space="preserve"> </v>
      </c>
      <c r="D1822" s="698"/>
      <c r="E1822" s="699" t="str">
        <f>VLOOKUP($B1822,dongia1,DG!$C$5,)</f>
        <v>Boulon mắt 16x300+ 1 long đền vuông D18-50x50x3/Zn</v>
      </c>
      <c r="F1822" s="700" t="str">
        <f>VLOOKUP($B1822,dongia1,DG!$D$5,)</f>
        <v>bộ</v>
      </c>
      <c r="G1822" s="762">
        <f>G1820</f>
        <v>0</v>
      </c>
      <c r="H1822" s="701">
        <f>$G1822</f>
        <v>0</v>
      </c>
      <c r="I1822" s="701"/>
      <c r="J1822" s="701"/>
      <c r="K1822" s="701"/>
      <c r="L1822" s="701">
        <f t="shared" si="809"/>
        <v>0</v>
      </c>
      <c r="M1822" s="701"/>
      <c r="N1822" s="701"/>
      <c r="O1822" s="701"/>
      <c r="P1822" s="702">
        <f>VLOOKUP($B1822,dongia1,DG!$F$5,)</f>
        <v>32200</v>
      </c>
      <c r="Q1822" s="702"/>
      <c r="R1822" s="703"/>
      <c r="S1822" s="702">
        <f>$G1822*P1822</f>
        <v>0</v>
      </c>
      <c r="T1822" s="702">
        <f t="shared" si="814"/>
        <v>0</v>
      </c>
      <c r="U1822" s="704">
        <f t="shared" si="814"/>
        <v>0</v>
      </c>
    </row>
    <row r="1823" spans="1:21">
      <c r="B1823" s="696" t="s">
        <v>205</v>
      </c>
      <c r="C1823" s="697" t="str">
        <f>IF(G1823&lt;&gt;0,$C$1248," ")</f>
        <v xml:space="preserve"> </v>
      </c>
      <c r="D1823" s="698"/>
      <c r="E1823" s="699" t="str">
        <f>VLOOKUP($B1823,dongia1,DG!$C$5,)</f>
        <v>Kẹp ép WR cỡ dây 50mm2</v>
      </c>
      <c r="F1823" s="700" t="str">
        <f>VLOOKUP($B1823,dongia1,DG!$D$5,)</f>
        <v>cái</v>
      </c>
      <c r="G1823" s="762">
        <f>G1819</f>
        <v>0</v>
      </c>
      <c r="H1823" s="701">
        <f>$G1823</f>
        <v>0</v>
      </c>
      <c r="I1823" s="701"/>
      <c r="J1823" s="701"/>
      <c r="K1823" s="701"/>
      <c r="L1823" s="701">
        <f t="shared" si="809"/>
        <v>0</v>
      </c>
      <c r="M1823" s="701"/>
      <c r="N1823" s="701"/>
      <c r="O1823" s="701"/>
      <c r="P1823" s="702">
        <f>VLOOKUP($B1823,dongia1,DG!$F$5,)</f>
        <v>8000</v>
      </c>
      <c r="Q1823" s="702"/>
      <c r="R1823" s="703"/>
      <c r="S1823" s="702">
        <f>$G1823*P1823</f>
        <v>0</v>
      </c>
      <c r="T1823" s="702">
        <f t="shared" si="814"/>
        <v>0</v>
      </c>
      <c r="U1823" s="704">
        <f t="shared" si="814"/>
        <v>0</v>
      </c>
    </row>
    <row r="1824" spans="1:21" s="552" customFormat="1" ht="15" customHeight="1">
      <c r="A1824" s="621"/>
      <c r="B1824" s="622" t="s">
        <v>3724</v>
      </c>
      <c r="C1824" s="633" t="str">
        <f t="shared" ref="C1824:C1855" si="815">IF(G1824&lt;&gt;0,$C$1805," ")</f>
        <v xml:space="preserve"> </v>
      </c>
      <c r="D1824" s="553"/>
      <c r="E1824" s="1641" t="s">
        <v>3640</v>
      </c>
      <c r="F1824" s="612" t="s">
        <v>2226</v>
      </c>
      <c r="G1824" s="559">
        <f>pp1p!CK86</f>
        <v>0</v>
      </c>
      <c r="H1824" s="556">
        <f t="shared" ref="H1824:H1840" si="816">G1824</f>
        <v>0</v>
      </c>
      <c r="I1824" s="556"/>
      <c r="J1824" s="556"/>
      <c r="K1824" s="556"/>
      <c r="L1824" s="556">
        <f t="shared" si="809"/>
        <v>0</v>
      </c>
      <c r="M1824" s="556"/>
      <c r="N1824" s="556"/>
      <c r="O1824" s="556"/>
      <c r="P1824" s="182"/>
      <c r="Q1824" s="182"/>
      <c r="R1824" s="554"/>
      <c r="S1824" s="113"/>
      <c r="T1824" s="113">
        <f t="shared" si="812"/>
        <v>0</v>
      </c>
      <c r="U1824" s="557">
        <f t="shared" si="813"/>
        <v>0</v>
      </c>
    </row>
    <row r="1825" spans="1:21" s="552" customFormat="1" ht="15" customHeight="1">
      <c r="A1825" s="621"/>
      <c r="B1825" s="622" t="s">
        <v>647</v>
      </c>
      <c r="C1825" s="633" t="str">
        <f t="shared" si="815"/>
        <v xml:space="preserve"> </v>
      </c>
      <c r="D1825" s="553"/>
      <c r="E1825" s="694" t="str">
        <f>VLOOKUP($B1825,dongia1,DG!$C$5,)</f>
        <v xml:space="preserve">Sứ đứng 24KV </v>
      </c>
      <c r="F1825" s="555" t="str">
        <f>VLOOKUP($B1825,dongia1,DG!$D$5,)</f>
        <v>cái</v>
      </c>
      <c r="G1825" s="205">
        <f>G1824</f>
        <v>0</v>
      </c>
      <c r="H1825" s="556">
        <f t="shared" si="816"/>
        <v>0</v>
      </c>
      <c r="I1825" s="556"/>
      <c r="J1825" s="556"/>
      <c r="K1825" s="556"/>
      <c r="L1825" s="556">
        <f t="shared" si="809"/>
        <v>0</v>
      </c>
      <c r="M1825" s="556"/>
      <c r="N1825" s="556"/>
      <c r="O1825" s="556"/>
      <c r="P1825" s="182">
        <f>VLOOKUP($B1825,dongia1,DG!$F$5,)</f>
        <v>205000</v>
      </c>
      <c r="Q1825" s="182"/>
      <c r="R1825" s="554"/>
      <c r="S1825" s="113">
        <f>$G1825*P1825</f>
        <v>0</v>
      </c>
      <c r="T1825" s="113">
        <f t="shared" si="812"/>
        <v>0</v>
      </c>
      <c r="U1825" s="557">
        <f t="shared" si="813"/>
        <v>0</v>
      </c>
    </row>
    <row r="1826" spans="1:21" s="552" customFormat="1" ht="15" customHeight="1">
      <c r="A1826" s="621"/>
      <c r="B1826" s="622" t="s">
        <v>414</v>
      </c>
      <c r="C1826" s="633" t="str">
        <f t="shared" si="815"/>
        <v xml:space="preserve"> </v>
      </c>
      <c r="D1826" s="553"/>
      <c r="E1826" s="694" t="str">
        <f>VLOOKUP($B1826,dongia1,DG!$C$5,)</f>
        <v>Chân sứ đứng D20</v>
      </c>
      <c r="F1826" s="555" t="str">
        <f>VLOOKUP($B1826,dongia1,DG!$D$5,)</f>
        <v>cái</v>
      </c>
      <c r="G1826" s="205">
        <f>G1824</f>
        <v>0</v>
      </c>
      <c r="H1826" s="556">
        <f t="shared" si="816"/>
        <v>0</v>
      </c>
      <c r="I1826" s="556"/>
      <c r="J1826" s="556"/>
      <c r="K1826" s="556"/>
      <c r="L1826" s="556">
        <f t="shared" si="809"/>
        <v>0</v>
      </c>
      <c r="M1826" s="556"/>
      <c r="N1826" s="556"/>
      <c r="O1826" s="556"/>
      <c r="P1826" s="182">
        <f>VLOOKUP($B1826,dongia1,DG!$F$5,)</f>
        <v>65000</v>
      </c>
      <c r="Q1826" s="182"/>
      <c r="R1826" s="554"/>
      <c r="S1826" s="113">
        <f>$G1826*P1826</f>
        <v>0</v>
      </c>
      <c r="T1826" s="113">
        <f t="shared" si="812"/>
        <v>0</v>
      </c>
      <c r="U1826" s="557">
        <f t="shared" si="813"/>
        <v>0</v>
      </c>
    </row>
    <row r="1827" spans="1:21" s="858" customFormat="1" ht="14.4">
      <c r="A1827" s="847"/>
      <c r="B1827" s="848" t="s">
        <v>3725</v>
      </c>
      <c r="C1827" s="905" t="str">
        <f t="shared" si="815"/>
        <v xml:space="preserve"> </v>
      </c>
      <c r="D1827" s="850"/>
      <c r="E1827" s="906" t="s">
        <v>3641</v>
      </c>
      <c r="F1827" s="907" t="s">
        <v>2226</v>
      </c>
      <c r="G1827" s="908">
        <f>pp1p!CI86</f>
        <v>0</v>
      </c>
      <c r="H1827" s="854">
        <f t="shared" si="816"/>
        <v>0</v>
      </c>
      <c r="I1827" s="701"/>
      <c r="J1827" s="701"/>
      <c r="K1827" s="701"/>
      <c r="L1827" s="701">
        <f t="shared" si="809"/>
        <v>0</v>
      </c>
      <c r="M1827" s="701"/>
      <c r="N1827" s="701"/>
      <c r="O1827" s="701"/>
      <c r="P1827" s="909"/>
      <c r="Q1827" s="909"/>
      <c r="R1827" s="855"/>
      <c r="S1827" s="909"/>
      <c r="T1827" s="909">
        <f t="shared" si="812"/>
        <v>0</v>
      </c>
      <c r="U1827" s="910">
        <f t="shared" si="813"/>
        <v>0</v>
      </c>
    </row>
    <row r="1828" spans="1:21">
      <c r="B1828" s="696" t="s">
        <v>647</v>
      </c>
      <c r="C1828" s="697" t="str">
        <f t="shared" si="815"/>
        <v xml:space="preserve"> </v>
      </c>
      <c r="D1828" s="698"/>
      <c r="E1828" s="699" t="str">
        <f>VLOOKUP($B1828,dongia1,DG!$C$5,)</f>
        <v xml:space="preserve">Sứ đứng 24KV </v>
      </c>
      <c r="F1828" s="700" t="str">
        <f>VLOOKUP($B1828,dongia1,DG!$D$5,)</f>
        <v>cái</v>
      </c>
      <c r="G1828" s="762">
        <f>G1827</f>
        <v>0</v>
      </c>
      <c r="H1828" s="701">
        <f t="shared" si="816"/>
        <v>0</v>
      </c>
      <c r="I1828" s="701"/>
      <c r="J1828" s="701"/>
      <c r="K1828" s="701"/>
      <c r="L1828" s="701">
        <f t="shared" si="809"/>
        <v>0</v>
      </c>
      <c r="M1828" s="701"/>
      <c r="N1828" s="701"/>
      <c r="O1828" s="701"/>
      <c r="P1828" s="702">
        <f>VLOOKUP($B1828,dongia1,DG!$F$5,)</f>
        <v>205000</v>
      </c>
      <c r="Q1828" s="702"/>
      <c r="R1828" s="703"/>
      <c r="S1828" s="702">
        <f>$G1828*P1828</f>
        <v>0</v>
      </c>
      <c r="T1828" s="702">
        <f t="shared" si="812"/>
        <v>0</v>
      </c>
      <c r="U1828" s="704">
        <f t="shared" si="813"/>
        <v>0</v>
      </c>
    </row>
    <row r="1829" spans="1:21">
      <c r="B1829" s="696" t="s">
        <v>415</v>
      </c>
      <c r="C1829" s="697" t="str">
        <f t="shared" si="815"/>
        <v xml:space="preserve"> </v>
      </c>
      <c r="D1829" s="698"/>
      <c r="E1829" s="699" t="str">
        <f>VLOOKUP($B1829,dongia1,DG!$C$5,)</f>
        <v>Chân sứ đỉnh thẳng dài 870mm</v>
      </c>
      <c r="F1829" s="700" t="str">
        <f>VLOOKUP($B1829,dongia1,DG!$D$5,)</f>
        <v>cái</v>
      </c>
      <c r="G1829" s="762">
        <f>G1827</f>
        <v>0</v>
      </c>
      <c r="H1829" s="701">
        <f t="shared" si="816"/>
        <v>0</v>
      </c>
      <c r="I1829" s="701"/>
      <c r="J1829" s="701"/>
      <c r="K1829" s="701"/>
      <c r="L1829" s="701">
        <f t="shared" si="809"/>
        <v>0</v>
      </c>
      <c r="M1829" s="701"/>
      <c r="N1829" s="701"/>
      <c r="O1829" s="701"/>
      <c r="P1829" s="702">
        <f>VLOOKUP($B1829,dongia1,DG!$F$5,)</f>
        <v>83000</v>
      </c>
      <c r="Q1829" s="702"/>
      <c r="R1829" s="703"/>
      <c r="S1829" s="702">
        <f>$G1829*P1829</f>
        <v>0</v>
      </c>
      <c r="T1829" s="702">
        <f t="shared" si="812"/>
        <v>0</v>
      </c>
      <c r="U1829" s="704">
        <f t="shared" si="813"/>
        <v>0</v>
      </c>
    </row>
    <row r="1830" spans="1:21">
      <c r="B1830" s="696" t="s">
        <v>1262</v>
      </c>
      <c r="C1830" s="697" t="str">
        <f t="shared" si="815"/>
        <v xml:space="preserve"> </v>
      </c>
      <c r="D1830" s="698"/>
      <c r="E1830" s="699" t="str">
        <f>VLOOKUP($B1830,dongia1,DG!$C$5,)</f>
        <v>Boulon 16x300+ 2 long đền vuông D18-50x50x3/Zn</v>
      </c>
      <c r="F1830" s="700" t="str">
        <f>VLOOKUP($B1830,dongia1,DG!$D$5,)</f>
        <v>bộ</v>
      </c>
      <c r="G1830" s="762">
        <f>G1827*2</f>
        <v>0</v>
      </c>
      <c r="H1830" s="701">
        <f t="shared" si="816"/>
        <v>0</v>
      </c>
      <c r="I1830" s="701"/>
      <c r="J1830" s="701"/>
      <c r="K1830" s="701"/>
      <c r="L1830" s="701">
        <f t="shared" si="809"/>
        <v>0</v>
      </c>
      <c r="M1830" s="701"/>
      <c r="N1830" s="701"/>
      <c r="O1830" s="701"/>
      <c r="P1830" s="702">
        <f>VLOOKUP($B1830,dongia1,DG!$F$5,)</f>
        <v>25400</v>
      </c>
      <c r="Q1830" s="702"/>
      <c r="R1830" s="703"/>
      <c r="S1830" s="702">
        <f>$G1830*P1830</f>
        <v>0</v>
      </c>
      <c r="T1830" s="702">
        <f t="shared" si="812"/>
        <v>0</v>
      </c>
      <c r="U1830" s="704">
        <f t="shared" si="813"/>
        <v>0</v>
      </c>
    </row>
    <row r="1831" spans="1:21" s="858" customFormat="1" ht="14.4">
      <c r="A1831" s="847"/>
      <c r="B1831" s="848" t="s">
        <v>3726</v>
      </c>
      <c r="C1831" s="905" t="str">
        <f t="shared" si="815"/>
        <v xml:space="preserve"> </v>
      </c>
      <c r="D1831" s="850"/>
      <c r="E1831" s="906" t="s">
        <v>3642</v>
      </c>
      <c r="F1831" s="907" t="s">
        <v>2226</v>
      </c>
      <c r="G1831" s="908">
        <f>pp1p!CJ86</f>
        <v>0</v>
      </c>
      <c r="H1831" s="854">
        <f t="shared" si="816"/>
        <v>0</v>
      </c>
      <c r="I1831" s="701"/>
      <c r="J1831" s="701"/>
      <c r="K1831" s="701"/>
      <c r="L1831" s="701">
        <f t="shared" si="809"/>
        <v>0</v>
      </c>
      <c r="M1831" s="701"/>
      <c r="N1831" s="701"/>
      <c r="O1831" s="701"/>
      <c r="P1831" s="909"/>
      <c r="Q1831" s="909"/>
      <c r="R1831" s="855"/>
      <c r="S1831" s="909"/>
      <c r="T1831" s="909">
        <f t="shared" si="812"/>
        <v>0</v>
      </c>
      <c r="U1831" s="910">
        <f t="shared" si="813"/>
        <v>0</v>
      </c>
    </row>
    <row r="1832" spans="1:21">
      <c r="B1832" s="696" t="s">
        <v>647</v>
      </c>
      <c r="C1832" s="697" t="str">
        <f t="shared" si="815"/>
        <v xml:space="preserve"> </v>
      </c>
      <c r="D1832" s="698"/>
      <c r="E1832" s="699" t="str">
        <f>VLOOKUP($B1832,dongia1,DG!$C$5,)</f>
        <v xml:space="preserve">Sứ đứng 24KV </v>
      </c>
      <c r="F1832" s="700" t="str">
        <f>VLOOKUP($B1832,dongia1,DG!$D$5,)</f>
        <v>cái</v>
      </c>
      <c r="G1832" s="762">
        <f>G1831*2</f>
        <v>0</v>
      </c>
      <c r="H1832" s="701">
        <f t="shared" si="816"/>
        <v>0</v>
      </c>
      <c r="I1832" s="701"/>
      <c r="J1832" s="701"/>
      <c r="K1832" s="701"/>
      <c r="L1832" s="701">
        <f t="shared" si="809"/>
        <v>0</v>
      </c>
      <c r="M1832" s="701"/>
      <c r="N1832" s="701"/>
      <c r="O1832" s="701"/>
      <c r="P1832" s="702">
        <f>VLOOKUP($B1832,dongia1,DG!$F$5,)</f>
        <v>205000</v>
      </c>
      <c r="Q1832" s="702"/>
      <c r="R1832" s="703"/>
      <c r="S1832" s="702">
        <f>$G1832*P1832</f>
        <v>0</v>
      </c>
      <c r="T1832" s="702">
        <f t="shared" si="812"/>
        <v>0</v>
      </c>
      <c r="U1832" s="704">
        <f t="shared" si="813"/>
        <v>0</v>
      </c>
    </row>
    <row r="1833" spans="1:21">
      <c r="B1833" s="696" t="s">
        <v>1999</v>
      </c>
      <c r="C1833" s="697" t="str">
        <f t="shared" si="815"/>
        <v xml:space="preserve"> </v>
      </c>
      <c r="D1833" s="698"/>
      <c r="E1833" s="699" t="str">
        <f>VLOOKUP($B1833,dongia1,DG!$C$5,)</f>
        <v>Chân sứ đỉnh đỡ góc dài 870mm</v>
      </c>
      <c r="F1833" s="700" t="str">
        <f>VLOOKUP($B1833,dongia1,DG!$D$5,)</f>
        <v>cái</v>
      </c>
      <c r="G1833" s="762">
        <f>G1831*2</f>
        <v>0</v>
      </c>
      <c r="H1833" s="701">
        <f t="shared" si="816"/>
        <v>0</v>
      </c>
      <c r="I1833" s="701"/>
      <c r="J1833" s="701"/>
      <c r="K1833" s="701"/>
      <c r="L1833" s="701">
        <f t="shared" si="809"/>
        <v>0</v>
      </c>
      <c r="M1833" s="701"/>
      <c r="N1833" s="701"/>
      <c r="O1833" s="701"/>
      <c r="P1833" s="702">
        <f>VLOOKUP($B1833,dongia1,DG!$F$5,)</f>
        <v>85000</v>
      </c>
      <c r="Q1833" s="702"/>
      <c r="R1833" s="703"/>
      <c r="S1833" s="702">
        <f>$G1833*P1833</f>
        <v>0</v>
      </c>
      <c r="T1833" s="702">
        <f t="shared" si="812"/>
        <v>0</v>
      </c>
      <c r="U1833" s="704">
        <f t="shared" si="813"/>
        <v>0</v>
      </c>
    </row>
    <row r="1834" spans="1:21">
      <c r="B1834" s="696" t="s">
        <v>1262</v>
      </c>
      <c r="C1834" s="697" t="str">
        <f t="shared" si="815"/>
        <v xml:space="preserve"> </v>
      </c>
      <c r="D1834" s="698"/>
      <c r="E1834" s="699" t="str">
        <f>VLOOKUP($B1834,dongia1,DG!$C$5,)</f>
        <v>Boulon 16x300+ 2 long đền vuông D18-50x50x3/Zn</v>
      </c>
      <c r="F1834" s="700" t="str">
        <f>VLOOKUP($B1834,dongia1,DG!$D$5,)</f>
        <v>bộ</v>
      </c>
      <c r="G1834" s="762">
        <f>G1831*2</f>
        <v>0</v>
      </c>
      <c r="H1834" s="701">
        <f t="shared" si="816"/>
        <v>0</v>
      </c>
      <c r="I1834" s="701"/>
      <c r="J1834" s="701"/>
      <c r="K1834" s="701"/>
      <c r="L1834" s="701">
        <f t="shared" si="809"/>
        <v>0</v>
      </c>
      <c r="M1834" s="701"/>
      <c r="N1834" s="701"/>
      <c r="O1834" s="701"/>
      <c r="P1834" s="702">
        <f>VLOOKUP($B1834,dongia1,DG!$F$5,)</f>
        <v>25400</v>
      </c>
      <c r="Q1834" s="702"/>
      <c r="R1834" s="703"/>
      <c r="S1834" s="702">
        <f>$G1834*P1834</f>
        <v>0</v>
      </c>
      <c r="T1834" s="702">
        <f t="shared" si="812"/>
        <v>0</v>
      </c>
      <c r="U1834" s="704">
        <f t="shared" si="813"/>
        <v>0</v>
      </c>
    </row>
    <row r="1835" spans="1:21" s="552" customFormat="1" ht="15" customHeight="1">
      <c r="A1835" s="621"/>
      <c r="B1835" s="622" t="s">
        <v>3727</v>
      </c>
      <c r="C1835" s="633" t="str">
        <f t="shared" si="815"/>
        <v xml:space="preserve"> </v>
      </c>
      <c r="D1835" s="553"/>
      <c r="E1835" s="1641" t="s">
        <v>3643</v>
      </c>
      <c r="F1835" s="612" t="s">
        <v>3693</v>
      </c>
      <c r="G1835" s="559">
        <f>pp1p!CN86</f>
        <v>0</v>
      </c>
      <c r="H1835" s="556">
        <f t="shared" si="816"/>
        <v>0</v>
      </c>
      <c r="I1835" s="556"/>
      <c r="J1835" s="556"/>
      <c r="K1835" s="556"/>
      <c r="L1835" s="556">
        <f t="shared" si="809"/>
        <v>0</v>
      </c>
      <c r="M1835" s="556"/>
      <c r="N1835" s="556"/>
      <c r="O1835" s="556"/>
      <c r="P1835" s="182"/>
      <c r="Q1835" s="182"/>
      <c r="R1835" s="554"/>
      <c r="S1835" s="113"/>
      <c r="T1835" s="113">
        <f t="shared" si="812"/>
        <v>0</v>
      </c>
      <c r="U1835" s="557">
        <f t="shared" si="813"/>
        <v>0</v>
      </c>
    </row>
    <row r="1836" spans="1:21" s="552" customFormat="1" ht="15" customHeight="1">
      <c r="A1836" s="621"/>
      <c r="B1836" s="622" t="s">
        <v>416</v>
      </c>
      <c r="C1836" s="633" t="str">
        <f t="shared" si="815"/>
        <v xml:space="preserve"> </v>
      </c>
      <c r="D1836" s="553"/>
      <c r="E1836" s="694" t="str">
        <f>VLOOKUP($B1836,dongia1,DG!$C$5,)</f>
        <v>Sứ treo loại 70kN</v>
      </c>
      <c r="F1836" s="555" t="str">
        <f>VLOOKUP($B1836,dongia1,DG!$D$5,)</f>
        <v>bát</v>
      </c>
      <c r="G1836" s="205">
        <f>G1835*2</f>
        <v>0</v>
      </c>
      <c r="H1836" s="556">
        <f t="shared" si="816"/>
        <v>0</v>
      </c>
      <c r="I1836" s="556"/>
      <c r="J1836" s="556"/>
      <c r="K1836" s="556"/>
      <c r="L1836" s="556">
        <f t="shared" si="809"/>
        <v>0</v>
      </c>
      <c r="M1836" s="556"/>
      <c r="N1836" s="556"/>
      <c r="O1836" s="556"/>
      <c r="P1836" s="182">
        <f>VLOOKUP($B1836,dongia1,DG!$F$5,)</f>
        <v>73500</v>
      </c>
      <c r="Q1836" s="182"/>
      <c r="R1836" s="554"/>
      <c r="S1836" s="113">
        <f t="shared" ref="S1836:S1855" si="817">$G1836*P1836</f>
        <v>0</v>
      </c>
      <c r="T1836" s="113">
        <f t="shared" si="812"/>
        <v>0</v>
      </c>
      <c r="U1836" s="557">
        <f t="shared" si="813"/>
        <v>0</v>
      </c>
    </row>
    <row r="1837" spans="1:21" s="552" customFormat="1" ht="15" customHeight="1">
      <c r="A1837" s="621"/>
      <c r="B1837" s="622" t="s">
        <v>2035</v>
      </c>
      <c r="C1837" s="633" t="str">
        <f t="shared" si="815"/>
        <v xml:space="preserve"> </v>
      </c>
      <c r="D1837" s="553"/>
      <c r="E1837" s="694" t="str">
        <f>VLOOKUP($B1837,dongia1,DG!$C$5,)</f>
        <v xml:space="preserve">Móc treo chữ U F16 dài </v>
      </c>
      <c r="F1837" s="555" t="str">
        <f>VLOOKUP($B1837,dongia1,DG!$D$5,)</f>
        <v>cái</v>
      </c>
      <c r="G1837" s="205">
        <f>G1835*2</f>
        <v>0</v>
      </c>
      <c r="H1837" s="556">
        <f t="shared" si="816"/>
        <v>0</v>
      </c>
      <c r="I1837" s="556"/>
      <c r="J1837" s="556"/>
      <c r="K1837" s="556"/>
      <c r="L1837" s="556">
        <f t="shared" si="809"/>
        <v>0</v>
      </c>
      <c r="M1837" s="556"/>
      <c r="N1837" s="556"/>
      <c r="O1837" s="556"/>
      <c r="P1837" s="182">
        <f>VLOOKUP($B1837,dongia1,DG!$F$5,)</f>
        <v>28000</v>
      </c>
      <c r="Q1837" s="182"/>
      <c r="R1837" s="554"/>
      <c r="S1837" s="113">
        <f t="shared" si="817"/>
        <v>0</v>
      </c>
      <c r="T1837" s="113">
        <f t="shared" si="812"/>
        <v>0</v>
      </c>
      <c r="U1837" s="557">
        <f t="shared" si="813"/>
        <v>0</v>
      </c>
    </row>
    <row r="1838" spans="1:21" s="552" customFormat="1" ht="15" customHeight="1">
      <c r="A1838" s="621"/>
      <c r="B1838" s="622" t="s">
        <v>1277</v>
      </c>
      <c r="C1838" s="633" t="str">
        <f t="shared" si="815"/>
        <v xml:space="preserve"> </v>
      </c>
      <c r="D1838" s="553"/>
      <c r="E1838" s="694" t="str">
        <f>VLOOKUP($B1838,dongia1,DG!$C$5,)</f>
        <v>Vòng treo đầu tròn</v>
      </c>
      <c r="F1838" s="555" t="str">
        <f>VLOOKUP($B1838,dongia1,DG!$D$5,)</f>
        <v>cái</v>
      </c>
      <c r="G1838" s="205">
        <f>G1835</f>
        <v>0</v>
      </c>
      <c r="H1838" s="556">
        <f t="shared" si="816"/>
        <v>0</v>
      </c>
      <c r="I1838" s="556"/>
      <c r="J1838" s="556"/>
      <c r="K1838" s="556"/>
      <c r="L1838" s="556">
        <f t="shared" si="809"/>
        <v>0</v>
      </c>
      <c r="M1838" s="556"/>
      <c r="N1838" s="556"/>
      <c r="O1838" s="556"/>
      <c r="P1838" s="182">
        <f>VLOOKUP($B1838,dongia1,DG!$F$5,)</f>
        <v>4700</v>
      </c>
      <c r="Q1838" s="182"/>
      <c r="R1838" s="554"/>
      <c r="S1838" s="113">
        <f t="shared" si="817"/>
        <v>0</v>
      </c>
      <c r="T1838" s="113">
        <f t="shared" si="812"/>
        <v>0</v>
      </c>
      <c r="U1838" s="557">
        <f t="shared" si="813"/>
        <v>0</v>
      </c>
    </row>
    <row r="1839" spans="1:21" s="552" customFormat="1" ht="15" customHeight="1">
      <c r="A1839" s="621"/>
      <c r="B1839" s="622" t="s">
        <v>2033</v>
      </c>
      <c r="C1839" s="633" t="str">
        <f t="shared" si="815"/>
        <v xml:space="preserve"> </v>
      </c>
      <c r="D1839" s="553"/>
      <c r="E1839" s="694" t="str">
        <f>VLOOKUP($B1839,dongia1,DG!$C$5,)</f>
        <v>Mắt nối đơn</v>
      </c>
      <c r="F1839" s="555" t="str">
        <f>VLOOKUP($B1839,dongia1,DG!$D$5,)</f>
        <v>cái</v>
      </c>
      <c r="G1839" s="205">
        <f>G1835</f>
        <v>0</v>
      </c>
      <c r="H1839" s="556">
        <f t="shared" si="816"/>
        <v>0</v>
      </c>
      <c r="I1839" s="556"/>
      <c r="J1839" s="556"/>
      <c r="K1839" s="556"/>
      <c r="L1839" s="556">
        <f t="shared" si="809"/>
        <v>0</v>
      </c>
      <c r="M1839" s="556"/>
      <c r="N1839" s="556"/>
      <c r="O1839" s="556"/>
      <c r="P1839" s="182">
        <f>VLOOKUP($B1839,dongia1,DG!$F$5,)</f>
        <v>10100</v>
      </c>
      <c r="Q1839" s="182"/>
      <c r="R1839" s="554"/>
      <c r="S1839" s="113">
        <f t="shared" si="817"/>
        <v>0</v>
      </c>
      <c r="T1839" s="113">
        <f t="shared" si="812"/>
        <v>0</v>
      </c>
      <c r="U1839" s="557">
        <f t="shared" si="813"/>
        <v>0</v>
      </c>
    </row>
    <row r="1840" spans="1:21" s="552" customFormat="1" ht="15" customHeight="1">
      <c r="A1840" s="621"/>
      <c r="B1840" s="622" t="s">
        <v>417</v>
      </c>
      <c r="C1840" s="633" t="str">
        <f t="shared" si="815"/>
        <v xml:space="preserve"> </v>
      </c>
      <c r="D1840" s="553"/>
      <c r="E1840" s="694" t="str">
        <f>VLOOKUP($B1840,dongia1,DG!$C$5,)</f>
        <v>Boulon mắt 16x300+ 1 long đền vuông D18-50x50x3/Zn</v>
      </c>
      <c r="F1840" s="555" t="str">
        <f>VLOOKUP($B1840,dongia1,DG!$D$5,)</f>
        <v>bộ</v>
      </c>
      <c r="G1840" s="205">
        <f>G1835</f>
        <v>0</v>
      </c>
      <c r="H1840" s="556">
        <f t="shared" si="816"/>
        <v>0</v>
      </c>
      <c r="I1840" s="556"/>
      <c r="J1840" s="556"/>
      <c r="K1840" s="556"/>
      <c r="L1840" s="556">
        <f t="shared" si="809"/>
        <v>0</v>
      </c>
      <c r="M1840" s="556"/>
      <c r="N1840" s="556"/>
      <c r="O1840" s="556"/>
      <c r="P1840" s="182">
        <f>VLOOKUP($B1840,dongia1,DG!$F$5,)</f>
        <v>32200</v>
      </c>
      <c r="Q1840" s="182"/>
      <c r="R1840" s="554"/>
      <c r="S1840" s="113">
        <f t="shared" si="817"/>
        <v>0</v>
      </c>
      <c r="T1840" s="113">
        <f t="shared" si="812"/>
        <v>0</v>
      </c>
      <c r="U1840" s="557">
        <f t="shared" si="813"/>
        <v>0</v>
      </c>
    </row>
    <row r="1841" spans="1:21" ht="15" customHeight="1">
      <c r="B1841" s="696" t="s">
        <v>3732</v>
      </c>
      <c r="C1841" s="697" t="str">
        <f t="shared" si="815"/>
        <v xml:space="preserve"> </v>
      </c>
      <c r="D1841" s="698"/>
      <c r="E1841" s="1642" t="s">
        <v>3644</v>
      </c>
      <c r="F1841" s="951" t="s">
        <v>3693</v>
      </c>
      <c r="G1841" s="754">
        <f>pp1p!CL86</f>
        <v>0</v>
      </c>
      <c r="H1841" s="701">
        <f>$G1841</f>
        <v>0</v>
      </c>
      <c r="I1841" s="701"/>
      <c r="J1841" s="701"/>
      <c r="K1841" s="701"/>
      <c r="L1841" s="701">
        <f t="shared" si="809"/>
        <v>0</v>
      </c>
      <c r="M1841" s="701"/>
      <c r="N1841" s="701"/>
      <c r="O1841" s="701"/>
      <c r="P1841" s="702"/>
      <c r="Q1841" s="702"/>
      <c r="R1841" s="703"/>
      <c r="S1841" s="702">
        <f t="shared" si="817"/>
        <v>0</v>
      </c>
      <c r="T1841" s="702">
        <f t="shared" si="812"/>
        <v>0</v>
      </c>
      <c r="U1841" s="704">
        <f t="shared" si="813"/>
        <v>0</v>
      </c>
    </row>
    <row r="1842" spans="1:21" ht="15" customHeight="1">
      <c r="B1842" s="696" t="s">
        <v>1096</v>
      </c>
      <c r="C1842" s="697" t="str">
        <f t="shared" si="815"/>
        <v xml:space="preserve"> </v>
      </c>
      <c r="D1842" s="698"/>
      <c r="E1842" s="699" t="str">
        <f>VLOOKUP($B1842,dongia1,DG!$C$5,)</f>
        <v xml:space="preserve">Sứ treo polymer </v>
      </c>
      <c r="F1842" s="700" t="str">
        <f>VLOOKUP($B1842,dongia1,DG!$D$5,)</f>
        <v>chuỗi</v>
      </c>
      <c r="G1842" s="762">
        <f>G1841</f>
        <v>0</v>
      </c>
      <c r="H1842" s="701">
        <f>$G1842</f>
        <v>0</v>
      </c>
      <c r="I1842" s="701"/>
      <c r="J1842" s="701"/>
      <c r="K1842" s="701"/>
      <c r="L1842" s="701">
        <f t="shared" ref="L1842:L1875" si="818">H1842</f>
        <v>0</v>
      </c>
      <c r="M1842" s="701"/>
      <c r="N1842" s="701"/>
      <c r="O1842" s="701"/>
      <c r="P1842" s="702">
        <f>VLOOKUP($B1842,dongia1,DG!$F$5,)</f>
        <v>235000</v>
      </c>
      <c r="Q1842" s="702"/>
      <c r="R1842" s="703"/>
      <c r="S1842" s="702">
        <f t="shared" si="817"/>
        <v>0</v>
      </c>
      <c r="T1842" s="702">
        <f t="shared" si="812"/>
        <v>0</v>
      </c>
      <c r="U1842" s="704">
        <f t="shared" si="813"/>
        <v>0</v>
      </c>
    </row>
    <row r="1843" spans="1:21" ht="15" customHeight="1">
      <c r="B1843" s="696" t="s">
        <v>2035</v>
      </c>
      <c r="C1843" s="697" t="str">
        <f t="shared" si="815"/>
        <v xml:space="preserve"> </v>
      </c>
      <c r="D1843" s="698"/>
      <c r="E1843" s="699" t="str">
        <f>VLOOKUP($B1843,dongia1,DG!$C$5,)</f>
        <v xml:space="preserve">Móc treo chữ U F16 dài </v>
      </c>
      <c r="F1843" s="700" t="str">
        <f>VLOOKUP($B1843,dongia1,DG!$D$5,)</f>
        <v>cái</v>
      </c>
      <c r="G1843" s="762">
        <f>G1841*2</f>
        <v>0</v>
      </c>
      <c r="H1843" s="701">
        <f>$G1843</f>
        <v>0</v>
      </c>
      <c r="I1843" s="701"/>
      <c r="J1843" s="701"/>
      <c r="K1843" s="701"/>
      <c r="L1843" s="701">
        <f t="shared" si="818"/>
        <v>0</v>
      </c>
      <c r="M1843" s="701"/>
      <c r="N1843" s="701"/>
      <c r="O1843" s="701"/>
      <c r="P1843" s="702">
        <f>VLOOKUP($B1843,dongia1,DG!$F$5,)</f>
        <v>28000</v>
      </c>
      <c r="Q1843" s="702"/>
      <c r="R1843" s="702">
        <v>0</v>
      </c>
      <c r="S1843" s="702">
        <f t="shared" si="817"/>
        <v>0</v>
      </c>
      <c r="T1843" s="702">
        <f t="shared" si="812"/>
        <v>0</v>
      </c>
      <c r="U1843" s="704">
        <f t="shared" si="813"/>
        <v>0</v>
      </c>
    </row>
    <row r="1844" spans="1:21" ht="15" customHeight="1">
      <c r="B1844" s="696" t="s">
        <v>74</v>
      </c>
      <c r="C1844" s="697" t="str">
        <f t="shared" si="815"/>
        <v xml:space="preserve"> </v>
      </c>
      <c r="D1844" s="698"/>
      <c r="E1844" s="699" t="str">
        <f>VLOOKUP($B1844,dongia1,DG!$C$5,)</f>
        <v>Khóa néo dây cỡ dây 50(kẹp dừng dây 3U-3mm)</v>
      </c>
      <c r="F1844" s="700" t="str">
        <f>VLOOKUP($B1844,dongia1,DG!$D$5,)</f>
        <v>cái</v>
      </c>
      <c r="G1844" s="762">
        <f>G1841</f>
        <v>0</v>
      </c>
      <c r="H1844" s="701">
        <f>G1844</f>
        <v>0</v>
      </c>
      <c r="I1844" s="701"/>
      <c r="J1844" s="701"/>
      <c r="K1844" s="701"/>
      <c r="L1844" s="701">
        <f t="shared" si="818"/>
        <v>0</v>
      </c>
      <c r="M1844" s="701"/>
      <c r="N1844" s="701"/>
      <c r="O1844" s="701"/>
      <c r="P1844" s="702">
        <f>VLOOKUP($B1844,dongia1,DG!$F$5,)</f>
        <v>58000</v>
      </c>
      <c r="Q1844" s="702"/>
      <c r="R1844" s="703"/>
      <c r="S1844" s="702">
        <f t="shared" si="817"/>
        <v>0</v>
      </c>
      <c r="T1844" s="702">
        <f t="shared" si="812"/>
        <v>0</v>
      </c>
      <c r="U1844" s="704">
        <f t="shared" si="813"/>
        <v>0</v>
      </c>
    </row>
    <row r="1845" spans="1:21" s="858" customFormat="1" ht="14.4">
      <c r="A1845" s="847"/>
      <c r="B1845" s="848" t="s">
        <v>3733</v>
      </c>
      <c r="C1845" s="905" t="str">
        <f t="shared" si="815"/>
        <v xml:space="preserve"> </v>
      </c>
      <c r="D1845" s="850"/>
      <c r="E1845" s="906" t="s">
        <v>3671</v>
      </c>
      <c r="F1845" s="907" t="s">
        <v>3693</v>
      </c>
      <c r="G1845" s="947">
        <f>pp1p!CM86</f>
        <v>0</v>
      </c>
      <c r="H1845" s="854">
        <f>$G1845</f>
        <v>0</v>
      </c>
      <c r="I1845" s="701"/>
      <c r="J1845" s="701"/>
      <c r="K1845" s="701"/>
      <c r="L1845" s="701">
        <f t="shared" si="818"/>
        <v>0</v>
      </c>
      <c r="M1845" s="701"/>
      <c r="N1845" s="701"/>
      <c r="O1845" s="701"/>
      <c r="P1845" s="909"/>
      <c r="Q1845" s="909"/>
      <c r="R1845" s="855"/>
      <c r="S1845" s="909">
        <f t="shared" si="817"/>
        <v>0</v>
      </c>
      <c r="T1845" s="909">
        <f t="shared" ref="T1845:U1850" si="819">$G1845*Q1845</f>
        <v>0</v>
      </c>
      <c r="U1845" s="910">
        <f t="shared" si="819"/>
        <v>0</v>
      </c>
    </row>
    <row r="1846" spans="1:21">
      <c r="B1846" s="696" t="s">
        <v>1096</v>
      </c>
      <c r="C1846" s="697" t="str">
        <f t="shared" si="815"/>
        <v xml:space="preserve"> </v>
      </c>
      <c r="D1846" s="698"/>
      <c r="E1846" s="699" t="str">
        <f>VLOOKUP($B1846,dongia1,DG!$C$5,)</f>
        <v xml:space="preserve">Sứ treo polymer </v>
      </c>
      <c r="F1846" s="700" t="str">
        <f>VLOOKUP($B1846,dongia1,DG!$D$5,)</f>
        <v>chuỗi</v>
      </c>
      <c r="G1846" s="762">
        <f>G1845</f>
        <v>0</v>
      </c>
      <c r="H1846" s="701">
        <f>$G1846</f>
        <v>0</v>
      </c>
      <c r="I1846" s="701"/>
      <c r="J1846" s="701"/>
      <c r="K1846" s="701"/>
      <c r="L1846" s="701">
        <f t="shared" si="818"/>
        <v>0</v>
      </c>
      <c r="M1846" s="701"/>
      <c r="N1846" s="701"/>
      <c r="O1846" s="701"/>
      <c r="P1846" s="702">
        <f>VLOOKUP($B1846,dongia1,DG!$F$5,)</f>
        <v>235000</v>
      </c>
      <c r="Q1846" s="702"/>
      <c r="R1846" s="703"/>
      <c r="S1846" s="702">
        <f t="shared" si="817"/>
        <v>0</v>
      </c>
      <c r="T1846" s="702">
        <f t="shared" si="819"/>
        <v>0</v>
      </c>
      <c r="U1846" s="704">
        <f t="shared" si="819"/>
        <v>0</v>
      </c>
    </row>
    <row r="1847" spans="1:21">
      <c r="B1847" s="696" t="s">
        <v>1851</v>
      </c>
      <c r="C1847" s="697" t="str">
        <f t="shared" si="815"/>
        <v xml:space="preserve"> </v>
      </c>
      <c r="D1847" s="698"/>
      <c r="E1847" s="699" t="str">
        <f>VLOOKUP($B1847,dongia1,DG!$C$5,)</f>
        <v>Khóa néo dây cỡ dây 95 (dây bọc 50): kẹp dừng dây 5U-3mm</v>
      </c>
      <c r="F1847" s="700" t="str">
        <f>VLOOKUP($B1847,dongia1,DG!$D$5,)</f>
        <v>cái</v>
      </c>
      <c r="G1847" s="762">
        <f>G1846</f>
        <v>0</v>
      </c>
      <c r="H1847" s="701">
        <f>$G1847</f>
        <v>0</v>
      </c>
      <c r="I1847" s="701"/>
      <c r="J1847" s="701"/>
      <c r="K1847" s="701"/>
      <c r="L1847" s="701">
        <f t="shared" si="818"/>
        <v>0</v>
      </c>
      <c r="M1847" s="701"/>
      <c r="N1847" s="701"/>
      <c r="O1847" s="701"/>
      <c r="P1847" s="702">
        <f>VLOOKUP($B1847,dongia1,DG!$F$5,)</f>
        <v>126000</v>
      </c>
      <c r="Q1847" s="702"/>
      <c r="R1847" s="703"/>
      <c r="S1847" s="702">
        <f t="shared" si="817"/>
        <v>0</v>
      </c>
      <c r="T1847" s="702">
        <f t="shared" si="819"/>
        <v>0</v>
      </c>
      <c r="U1847" s="704">
        <f t="shared" si="819"/>
        <v>0</v>
      </c>
    </row>
    <row r="1848" spans="1:21">
      <c r="B1848" s="696" t="s">
        <v>2035</v>
      </c>
      <c r="C1848" s="697" t="str">
        <f t="shared" si="815"/>
        <v xml:space="preserve"> </v>
      </c>
      <c r="D1848" s="698"/>
      <c r="E1848" s="699" t="str">
        <f>VLOOKUP($B1848,dongia1,DG!$C$5,)</f>
        <v xml:space="preserve">Móc treo chữ U F16 dài </v>
      </c>
      <c r="F1848" s="700" t="str">
        <f>VLOOKUP($B1848,dongia1,DG!$D$5,)</f>
        <v>cái</v>
      </c>
      <c r="G1848" s="762">
        <f>G1845*2</f>
        <v>0</v>
      </c>
      <c r="H1848" s="701">
        <f>$G1848</f>
        <v>0</v>
      </c>
      <c r="I1848" s="701"/>
      <c r="J1848" s="701"/>
      <c r="K1848" s="701"/>
      <c r="L1848" s="701">
        <f t="shared" si="818"/>
        <v>0</v>
      </c>
      <c r="M1848" s="701"/>
      <c r="N1848" s="701"/>
      <c r="O1848" s="701"/>
      <c r="P1848" s="702">
        <f>VLOOKUP($B1848,dongia1,DG!$F$5,)</f>
        <v>28000</v>
      </c>
      <c r="Q1848" s="702"/>
      <c r="R1848" s="702">
        <v>0</v>
      </c>
      <c r="S1848" s="702">
        <f t="shared" si="817"/>
        <v>0</v>
      </c>
      <c r="T1848" s="702">
        <f t="shared" si="819"/>
        <v>0</v>
      </c>
      <c r="U1848" s="704">
        <f t="shared" si="819"/>
        <v>0</v>
      </c>
    </row>
    <row r="1849" spans="1:21" s="552" customFormat="1" ht="15" customHeight="1">
      <c r="A1849" s="621"/>
      <c r="B1849" s="622" t="s">
        <v>1206</v>
      </c>
      <c r="C1849" s="633" t="str">
        <f t="shared" si="815"/>
        <v xml:space="preserve"> </v>
      </c>
      <c r="D1849" s="553"/>
      <c r="E1849" s="694" t="str">
        <f>VLOOKUP($B1849,dongia1,DG!$C$5,)</f>
        <v>Kẹp 2 rãnh (APC) cỡ dây 50mm2</v>
      </c>
      <c r="F1849" s="555" t="str">
        <f>VLOOKUP($B1849,dongia1,DG!$D$5,)</f>
        <v>cái</v>
      </c>
      <c r="G1849" s="205">
        <f>G1848*0</f>
        <v>0</v>
      </c>
      <c r="H1849" s="556">
        <f>$G1849</f>
        <v>0</v>
      </c>
      <c r="I1849" s="556"/>
      <c r="J1849" s="556"/>
      <c r="K1849" s="556"/>
      <c r="L1849" s="556">
        <f t="shared" si="818"/>
        <v>0</v>
      </c>
      <c r="M1849" s="556"/>
      <c r="N1849" s="556"/>
      <c r="O1849" s="556"/>
      <c r="P1849" s="182">
        <f>VLOOKUP($B1849,dongia1,DG!$F$5,)</f>
        <v>6400</v>
      </c>
      <c r="Q1849" s="182"/>
      <c r="R1849" s="182">
        <v>0</v>
      </c>
      <c r="S1849" s="113">
        <f>$G1849*P1849</f>
        <v>0</v>
      </c>
      <c r="T1849" s="113">
        <f>$G1849*Q1849</f>
        <v>0</v>
      </c>
      <c r="U1849" s="557">
        <f>$G1849*R1849</f>
        <v>0</v>
      </c>
    </row>
    <row r="1850" spans="1:21">
      <c r="B1850" s="696" t="s">
        <v>417</v>
      </c>
      <c r="C1850" s="697" t="str">
        <f t="shared" si="815"/>
        <v xml:space="preserve"> </v>
      </c>
      <c r="D1850" s="698"/>
      <c r="E1850" s="699" t="str">
        <f>VLOOKUP($B1850,dongia1,DG!$C$5,)</f>
        <v>Boulon mắt 16x300+ 1 long đền vuông D18-50x50x3/Zn</v>
      </c>
      <c r="F1850" s="700" t="str">
        <f>VLOOKUP($B1850,dongia1,DG!$D$5,)</f>
        <v>bộ</v>
      </c>
      <c r="G1850" s="762">
        <f>G1845</f>
        <v>0</v>
      </c>
      <c r="H1850" s="701">
        <f t="shared" ref="H1850:H1855" si="820">G1850</f>
        <v>0</v>
      </c>
      <c r="I1850" s="701"/>
      <c r="J1850" s="701"/>
      <c r="K1850" s="701"/>
      <c r="L1850" s="701">
        <f t="shared" si="818"/>
        <v>0</v>
      </c>
      <c r="M1850" s="701"/>
      <c r="N1850" s="701"/>
      <c r="O1850" s="701"/>
      <c r="P1850" s="702">
        <f>VLOOKUP($B1850,dongia1,DG!$F$5,)</f>
        <v>32200</v>
      </c>
      <c r="Q1850" s="702"/>
      <c r="R1850" s="703"/>
      <c r="S1850" s="702">
        <f t="shared" si="817"/>
        <v>0</v>
      </c>
      <c r="T1850" s="702">
        <f t="shared" si="819"/>
        <v>0</v>
      </c>
      <c r="U1850" s="704">
        <f t="shared" si="819"/>
        <v>0</v>
      </c>
    </row>
    <row r="1851" spans="1:21" s="552" customFormat="1" ht="15" customHeight="1">
      <c r="A1851" s="621"/>
      <c r="B1851" s="622" t="s">
        <v>3728</v>
      </c>
      <c r="C1851" s="633" t="str">
        <f t="shared" si="815"/>
        <v xml:space="preserve"> </v>
      </c>
      <c r="D1851" s="553"/>
      <c r="E1851" s="1641" t="s">
        <v>3672</v>
      </c>
      <c r="F1851" s="612" t="s">
        <v>3693</v>
      </c>
      <c r="G1851" s="559">
        <f>pp1p!CO86</f>
        <v>0</v>
      </c>
      <c r="H1851" s="556">
        <f t="shared" si="820"/>
        <v>0</v>
      </c>
      <c r="I1851" s="556"/>
      <c r="J1851" s="556"/>
      <c r="K1851" s="556"/>
      <c r="L1851" s="556">
        <f t="shared" si="818"/>
        <v>0</v>
      </c>
      <c r="M1851" s="556"/>
      <c r="N1851" s="556"/>
      <c r="O1851" s="556"/>
      <c r="P1851" s="182"/>
      <c r="Q1851" s="182"/>
      <c r="R1851" s="554"/>
      <c r="S1851" s="113">
        <f t="shared" si="817"/>
        <v>0</v>
      </c>
      <c r="T1851" s="113">
        <f t="shared" si="812"/>
        <v>0</v>
      </c>
      <c r="U1851" s="557">
        <f t="shared" si="813"/>
        <v>0</v>
      </c>
    </row>
    <row r="1852" spans="1:21" s="552" customFormat="1" ht="15" customHeight="1">
      <c r="A1852" s="621"/>
      <c r="B1852" s="622" t="s">
        <v>1008</v>
      </c>
      <c r="C1852" s="633" t="str">
        <f t="shared" si="815"/>
        <v xml:space="preserve"> </v>
      </c>
      <c r="D1852" s="553"/>
      <c r="E1852" s="694" t="str">
        <f>VLOOKUP($B1852,dongia1,DG!$C$5,)</f>
        <v>Sứ treo loại 70kN</v>
      </c>
      <c r="F1852" s="555" t="str">
        <f>VLOOKUP($B1852,dongia1,DG!$D$5,)</f>
        <v>bát</v>
      </c>
      <c r="G1852" s="205">
        <f>G1851*2</f>
        <v>0</v>
      </c>
      <c r="H1852" s="556">
        <f t="shared" si="820"/>
        <v>0</v>
      </c>
      <c r="I1852" s="556"/>
      <c r="J1852" s="556"/>
      <c r="K1852" s="556"/>
      <c r="L1852" s="556">
        <f t="shared" si="818"/>
        <v>0</v>
      </c>
      <c r="M1852" s="556"/>
      <c r="N1852" s="556"/>
      <c r="O1852" s="556"/>
      <c r="P1852" s="182">
        <f>VLOOKUP($B1852,dongia1,DG!$F$5,)</f>
        <v>73500</v>
      </c>
      <c r="Q1852" s="182"/>
      <c r="R1852" s="554"/>
      <c r="S1852" s="113">
        <f t="shared" si="817"/>
        <v>0</v>
      </c>
      <c r="T1852" s="113">
        <f t="shared" si="812"/>
        <v>0</v>
      </c>
      <c r="U1852" s="557">
        <f t="shared" si="813"/>
        <v>0</v>
      </c>
    </row>
    <row r="1853" spans="1:21" s="552" customFormat="1" ht="15" customHeight="1">
      <c r="A1853" s="621"/>
      <c r="B1853" s="622" t="s">
        <v>2035</v>
      </c>
      <c r="C1853" s="633" t="str">
        <f t="shared" si="815"/>
        <v xml:space="preserve"> </v>
      </c>
      <c r="D1853" s="553"/>
      <c r="E1853" s="694" t="str">
        <f>VLOOKUP($B1853,dongia1,DG!$C$5,)</f>
        <v xml:space="preserve">Móc treo chữ U F16 dài </v>
      </c>
      <c r="F1853" s="555" t="str">
        <f>VLOOKUP($B1853,dongia1,DG!$D$5,)</f>
        <v>cái</v>
      </c>
      <c r="G1853" s="205">
        <f>G1851*2</f>
        <v>0</v>
      </c>
      <c r="H1853" s="556">
        <f t="shared" si="820"/>
        <v>0</v>
      </c>
      <c r="I1853" s="556"/>
      <c r="J1853" s="556"/>
      <c r="K1853" s="556"/>
      <c r="L1853" s="556">
        <f t="shared" si="818"/>
        <v>0</v>
      </c>
      <c r="M1853" s="556"/>
      <c r="N1853" s="556"/>
      <c r="O1853" s="556"/>
      <c r="P1853" s="182">
        <f>VLOOKUP($B1853,dongia1,DG!$F$5,)</f>
        <v>28000</v>
      </c>
      <c r="Q1853" s="182"/>
      <c r="R1853" s="554"/>
      <c r="S1853" s="113">
        <f t="shared" si="817"/>
        <v>0</v>
      </c>
      <c r="T1853" s="113">
        <f t="shared" si="812"/>
        <v>0</v>
      </c>
      <c r="U1853" s="557">
        <f t="shared" si="813"/>
        <v>0</v>
      </c>
    </row>
    <row r="1854" spans="1:21" s="552" customFormat="1" ht="15" customHeight="1">
      <c r="A1854" s="621"/>
      <c r="B1854" s="622" t="s">
        <v>1277</v>
      </c>
      <c r="C1854" s="633" t="str">
        <f t="shared" si="815"/>
        <v xml:space="preserve"> </v>
      </c>
      <c r="D1854" s="553"/>
      <c r="E1854" s="694" t="str">
        <f>VLOOKUP($B1854,dongia1,DG!$C$5,)</f>
        <v>Vòng treo đầu tròn</v>
      </c>
      <c r="F1854" s="555" t="str">
        <f>VLOOKUP($B1854,dongia1,DG!$D$5,)</f>
        <v>cái</v>
      </c>
      <c r="G1854" s="205">
        <f>G1851</f>
        <v>0</v>
      </c>
      <c r="H1854" s="556">
        <f t="shared" si="820"/>
        <v>0</v>
      </c>
      <c r="I1854" s="556"/>
      <c r="J1854" s="556"/>
      <c r="K1854" s="556"/>
      <c r="L1854" s="556">
        <f t="shared" si="818"/>
        <v>0</v>
      </c>
      <c r="M1854" s="556"/>
      <c r="N1854" s="556"/>
      <c r="O1854" s="556"/>
      <c r="P1854" s="182">
        <f>VLOOKUP($B1854,dongia1,DG!$F$5,)</f>
        <v>4700</v>
      </c>
      <c r="Q1854" s="182"/>
      <c r="R1854" s="554"/>
      <c r="S1854" s="113">
        <f t="shared" si="817"/>
        <v>0</v>
      </c>
      <c r="T1854" s="113">
        <f t="shared" si="812"/>
        <v>0</v>
      </c>
      <c r="U1854" s="557">
        <f t="shared" si="813"/>
        <v>0</v>
      </c>
    </row>
    <row r="1855" spans="1:21" s="552" customFormat="1" ht="15" customHeight="1">
      <c r="A1855" s="621"/>
      <c r="B1855" s="622" t="s">
        <v>2033</v>
      </c>
      <c r="C1855" s="633" t="str">
        <f t="shared" si="815"/>
        <v xml:space="preserve"> </v>
      </c>
      <c r="D1855" s="553"/>
      <c r="E1855" s="694" t="str">
        <f>VLOOKUP($B1855,dongia1,DG!$C$5,)</f>
        <v>Mắt nối đơn</v>
      </c>
      <c r="F1855" s="555" t="str">
        <f>VLOOKUP($B1855,dongia1,DG!$D$5,)</f>
        <v>cái</v>
      </c>
      <c r="G1855" s="205">
        <f>G1851</f>
        <v>0</v>
      </c>
      <c r="H1855" s="556">
        <f t="shared" si="820"/>
        <v>0</v>
      </c>
      <c r="I1855" s="556"/>
      <c r="J1855" s="556"/>
      <c r="K1855" s="556"/>
      <c r="L1855" s="556">
        <f t="shared" si="818"/>
        <v>0</v>
      </c>
      <c r="M1855" s="556"/>
      <c r="N1855" s="556"/>
      <c r="O1855" s="556"/>
      <c r="P1855" s="182">
        <f>VLOOKUP($B1855,dongia1,DG!$F$5,)</f>
        <v>10100</v>
      </c>
      <c r="Q1855" s="182"/>
      <c r="R1855" s="554"/>
      <c r="S1855" s="113">
        <f t="shared" si="817"/>
        <v>0</v>
      </c>
      <c r="T1855" s="113">
        <f t="shared" si="812"/>
        <v>0</v>
      </c>
      <c r="U1855" s="557">
        <f t="shared" si="813"/>
        <v>0</v>
      </c>
    </row>
    <row r="1856" spans="1:21" s="858" customFormat="1" ht="14.4">
      <c r="A1856" s="847"/>
      <c r="B1856" s="848"/>
      <c r="C1856" s="946" t="str">
        <f>C1805</f>
        <v xml:space="preserve"> </v>
      </c>
      <c r="D1856" s="850"/>
      <c r="E1856" s="906" t="s">
        <v>3673</v>
      </c>
      <c r="F1856" s="852"/>
      <c r="G1856" s="853"/>
      <c r="H1856" s="854"/>
      <c r="I1856" s="701"/>
      <c r="J1856" s="701"/>
      <c r="K1856" s="701"/>
      <c r="L1856" s="701">
        <f t="shared" si="818"/>
        <v>0</v>
      </c>
      <c r="M1856" s="701"/>
      <c r="N1856" s="701"/>
      <c r="O1856" s="701"/>
      <c r="P1856" s="909"/>
      <c r="Q1856" s="909"/>
      <c r="R1856" s="855"/>
      <c r="S1856" s="909"/>
      <c r="T1856" s="909"/>
      <c r="U1856" s="910"/>
    </row>
    <row r="1857" spans="1:21" s="552" customFormat="1" ht="15" customHeight="1">
      <c r="A1857" s="621"/>
      <c r="B1857" s="622" t="s">
        <v>1154</v>
      </c>
      <c r="C1857" s="633" t="str">
        <f t="shared" ref="C1857:C1888" si="821">IF(G1857&lt;&gt;0,$C$1805," ")</f>
        <v xml:space="preserve"> </v>
      </c>
      <c r="D1857" s="553"/>
      <c r="E1857" s="694" t="str">
        <f>VLOOKUP($B1857,dongia1,DG!$C$5,)</f>
        <v>Khóa đỡ dây cỡ dây 50</v>
      </c>
      <c r="F1857" s="555" t="str">
        <f>VLOOKUP($B1857,dongia1,DG!$D$5,)</f>
        <v>cái</v>
      </c>
      <c r="G1857" s="560">
        <f>pp1p!DN86</f>
        <v>0</v>
      </c>
      <c r="H1857" s="556">
        <f t="shared" ref="H1857:H1875" si="822">G1857</f>
        <v>0</v>
      </c>
      <c r="I1857" s="556"/>
      <c r="J1857" s="556"/>
      <c r="K1857" s="556"/>
      <c r="L1857" s="556">
        <f t="shared" si="818"/>
        <v>0</v>
      </c>
      <c r="M1857" s="556"/>
      <c r="N1857" s="556"/>
      <c r="O1857" s="556"/>
      <c r="P1857" s="182">
        <f>VLOOKUP($B1857,dongia1,DG!$F$5,)</f>
        <v>21727</v>
      </c>
      <c r="Q1857" s="182"/>
      <c r="R1857" s="554"/>
      <c r="S1857" s="113">
        <f t="shared" ref="S1857:U1858" si="823">$G1857*P1857</f>
        <v>0</v>
      </c>
      <c r="T1857" s="113">
        <f t="shared" si="823"/>
        <v>0</v>
      </c>
      <c r="U1857" s="557">
        <f t="shared" si="823"/>
        <v>0</v>
      </c>
    </row>
    <row r="1858" spans="1:21" s="552" customFormat="1" ht="15" customHeight="1">
      <c r="A1858" s="621"/>
      <c r="B1858" s="622" t="s">
        <v>2031</v>
      </c>
      <c r="C1858" s="633" t="str">
        <f t="shared" si="821"/>
        <v xml:space="preserve"> </v>
      </c>
      <c r="D1858" s="553"/>
      <c r="E1858" s="694" t="str">
        <f>VLOOKUP($B1858,dongia1,DG!$C$5,)</f>
        <v>Khóa néo dây cỡ dây 50(kẹp dừng dây 3U-3mm)</v>
      </c>
      <c r="F1858" s="555" t="str">
        <f>VLOOKUP($B1858,dongia1,DG!$D$5,)</f>
        <v>cái</v>
      </c>
      <c r="G1858" s="205">
        <f>(G1835+G1851)-G1857-G1859</f>
        <v>0</v>
      </c>
      <c r="H1858" s="556">
        <f t="shared" si="822"/>
        <v>0</v>
      </c>
      <c r="I1858" s="556"/>
      <c r="J1858" s="556"/>
      <c r="K1858" s="556"/>
      <c r="L1858" s="556">
        <f t="shared" si="818"/>
        <v>0</v>
      </c>
      <c r="M1858" s="556"/>
      <c r="N1858" s="556"/>
      <c r="O1858" s="556"/>
      <c r="P1858" s="182">
        <f>VLOOKUP($B1858,dongia1,DG!$F$5,)</f>
        <v>58000</v>
      </c>
      <c r="Q1858" s="182"/>
      <c r="R1858" s="554"/>
      <c r="S1858" s="113">
        <f t="shared" si="823"/>
        <v>0</v>
      </c>
      <c r="T1858" s="113">
        <f t="shared" si="823"/>
        <v>0</v>
      </c>
      <c r="U1858" s="557">
        <f t="shared" si="823"/>
        <v>0</v>
      </c>
    </row>
    <row r="1859" spans="1:21" s="552" customFormat="1" ht="15" customHeight="1">
      <c r="A1859" s="621"/>
      <c r="B1859" s="622" t="s">
        <v>489</v>
      </c>
      <c r="C1859" s="633" t="str">
        <f t="shared" si="821"/>
        <v xml:space="preserve"> </v>
      </c>
      <c r="D1859" s="553"/>
      <c r="E1859" s="694" t="str">
        <f>VLOOKUP($B1859,dongia1,DG!$C$5,)</f>
        <v>Khóa néo dây cỡ dây 70(kẹp dừng dây 3U-3mm)</v>
      </c>
      <c r="F1859" s="555" t="str">
        <f>VLOOKUP($B1859,dongia1,DG!$D$5,)</f>
        <v>cái</v>
      </c>
      <c r="G1859" s="205"/>
      <c r="H1859" s="556">
        <f t="shared" si="822"/>
        <v>0</v>
      </c>
      <c r="I1859" s="556"/>
      <c r="J1859" s="556"/>
      <c r="K1859" s="556"/>
      <c r="L1859" s="556">
        <f t="shared" si="818"/>
        <v>0</v>
      </c>
      <c r="M1859" s="556"/>
      <c r="N1859" s="556"/>
      <c r="O1859" s="556"/>
      <c r="P1859" s="182">
        <f>VLOOKUP($B1859,dongia1,DG!$F$5,)</f>
        <v>78000</v>
      </c>
      <c r="Q1859" s="182"/>
      <c r="R1859" s="554"/>
      <c r="S1859" s="113">
        <f t="shared" ref="S1859:U1860" si="824">$G1859*P1859</f>
        <v>0</v>
      </c>
      <c r="T1859" s="113">
        <f t="shared" si="824"/>
        <v>0</v>
      </c>
      <c r="U1859" s="557">
        <f t="shared" si="824"/>
        <v>0</v>
      </c>
    </row>
    <row r="1860" spans="1:21">
      <c r="B1860" s="696" t="s">
        <v>1764</v>
      </c>
      <c r="C1860" s="697" t="str">
        <f t="shared" si="821"/>
        <v xml:space="preserve"> </v>
      </c>
      <c r="D1860" s="698"/>
      <c r="E1860" s="699" t="str">
        <f>VLOOKUP($B1860,dongia1,DG!$C$5,)</f>
        <v>Kẹp ép WR cỡ dây 50mm2</v>
      </c>
      <c r="F1860" s="700" t="str">
        <f>VLOOKUP($B1860,dongia1,DG!$D$5,)</f>
        <v>cái</v>
      </c>
      <c r="G1860" s="754">
        <f>pp1p!CW86</f>
        <v>0</v>
      </c>
      <c r="H1860" s="701">
        <f t="shared" si="822"/>
        <v>0</v>
      </c>
      <c r="I1860" s="701"/>
      <c r="J1860" s="701"/>
      <c r="K1860" s="701"/>
      <c r="L1860" s="701">
        <f t="shared" si="818"/>
        <v>0</v>
      </c>
      <c r="M1860" s="701"/>
      <c r="N1860" s="701"/>
      <c r="O1860" s="701"/>
      <c r="P1860" s="702">
        <f>VLOOKUP($B1860,dongia1,DG!$F$5,)</f>
        <v>8000</v>
      </c>
      <c r="Q1860" s="702"/>
      <c r="R1860" s="703"/>
      <c r="S1860" s="702">
        <f t="shared" si="824"/>
        <v>0</v>
      </c>
      <c r="T1860" s="702">
        <f t="shared" si="824"/>
        <v>0</v>
      </c>
      <c r="U1860" s="704">
        <f t="shared" si="824"/>
        <v>0</v>
      </c>
    </row>
    <row r="1861" spans="1:21" s="552" customFormat="1" ht="15" customHeight="1">
      <c r="A1861" s="621"/>
      <c r="B1861" s="622" t="s">
        <v>1778</v>
      </c>
      <c r="C1861" s="633" t="str">
        <f t="shared" si="821"/>
        <v xml:space="preserve"> </v>
      </c>
      <c r="D1861" s="553"/>
      <c r="E1861" s="694" t="str">
        <f>VLOOKUP($B1861,dongia1,DG!$C$5,)</f>
        <v>Kẹp ép WR cỡ dây 70mm2</v>
      </c>
      <c r="F1861" s="555" t="str">
        <f>VLOOKUP($B1861,dongia1,DG!$D$5,)</f>
        <v>cái</v>
      </c>
      <c r="G1861" s="560">
        <f>pp1p!CX86</f>
        <v>0</v>
      </c>
      <c r="H1861" s="556">
        <f t="shared" si="822"/>
        <v>0</v>
      </c>
      <c r="I1861" s="556"/>
      <c r="J1861" s="556"/>
      <c r="K1861" s="556"/>
      <c r="L1861" s="556">
        <f t="shared" si="818"/>
        <v>0</v>
      </c>
      <c r="M1861" s="556"/>
      <c r="N1861" s="556"/>
      <c r="O1861" s="556"/>
      <c r="P1861" s="182">
        <f>VLOOKUP($B1861,dongia1,DG!$F$5,)</f>
        <v>10000</v>
      </c>
      <c r="Q1861" s="182"/>
      <c r="R1861" s="554"/>
      <c r="S1861" s="113">
        <f t="shared" ref="S1861:U1867" si="825">$G1861*P1861</f>
        <v>0</v>
      </c>
      <c r="T1861" s="113">
        <f t="shared" si="825"/>
        <v>0</v>
      </c>
      <c r="U1861" s="557">
        <f t="shared" si="825"/>
        <v>0</v>
      </c>
    </row>
    <row r="1862" spans="1:21" s="552" customFormat="1" ht="15" customHeight="1">
      <c r="A1862" s="621"/>
      <c r="B1862" s="622" t="s">
        <v>1779</v>
      </c>
      <c r="C1862" s="633" t="str">
        <f t="shared" si="821"/>
        <v xml:space="preserve"> </v>
      </c>
      <c r="D1862" s="553"/>
      <c r="E1862" s="694" t="str">
        <f>VLOOKUP($B1862,dongia1,DG!$C$5,)</f>
        <v>Kẹp ép WR cỡ dây 95mm2</v>
      </c>
      <c r="F1862" s="555" t="str">
        <f>VLOOKUP($B1862,dongia1,DG!$D$5,)</f>
        <v>cái</v>
      </c>
      <c r="G1862" s="560">
        <f>pp1p!CY86</f>
        <v>0</v>
      </c>
      <c r="H1862" s="556">
        <f t="shared" si="822"/>
        <v>0</v>
      </c>
      <c r="I1862" s="556"/>
      <c r="J1862" s="556"/>
      <c r="K1862" s="556"/>
      <c r="L1862" s="556">
        <f t="shared" si="818"/>
        <v>0</v>
      </c>
      <c r="M1862" s="556"/>
      <c r="N1862" s="556"/>
      <c r="O1862" s="556"/>
      <c r="P1862" s="182">
        <f>VLOOKUP($B1862,dongia1,DG!$F$5,)</f>
        <v>13000</v>
      </c>
      <c r="Q1862" s="182"/>
      <c r="R1862" s="554"/>
      <c r="S1862" s="113">
        <f t="shared" si="825"/>
        <v>0</v>
      </c>
      <c r="T1862" s="113">
        <f t="shared" si="825"/>
        <v>0</v>
      </c>
      <c r="U1862" s="557">
        <f t="shared" si="825"/>
        <v>0</v>
      </c>
    </row>
    <row r="1863" spans="1:21" s="552" customFormat="1" ht="15" customHeight="1">
      <c r="A1863" s="621"/>
      <c r="B1863" s="622" t="s">
        <v>1698</v>
      </c>
      <c r="C1863" s="633" t="str">
        <f t="shared" si="821"/>
        <v xml:space="preserve"> </v>
      </c>
      <c r="D1863" s="553"/>
      <c r="E1863" s="694" t="str">
        <f>VLOOKUP($B1863,dongia1,DG!$C$5,)</f>
        <v>Kẹp ép WR cỡ dây 120mm2</v>
      </c>
      <c r="F1863" s="555" t="str">
        <f>VLOOKUP($B1863,dongia1,DG!$D$5,)</f>
        <v>cái</v>
      </c>
      <c r="G1863" s="560">
        <f>pp1p!CZ86</f>
        <v>0</v>
      </c>
      <c r="H1863" s="556">
        <f t="shared" si="822"/>
        <v>0</v>
      </c>
      <c r="I1863" s="556"/>
      <c r="J1863" s="556"/>
      <c r="K1863" s="556"/>
      <c r="L1863" s="556">
        <f t="shared" si="818"/>
        <v>0</v>
      </c>
      <c r="M1863" s="556"/>
      <c r="N1863" s="556"/>
      <c r="O1863" s="556"/>
      <c r="P1863" s="182">
        <f>VLOOKUP($B1863,dongia1,DG!$F$5,)</f>
        <v>14000</v>
      </c>
      <c r="Q1863" s="182"/>
      <c r="R1863" s="554"/>
      <c r="S1863" s="113">
        <f t="shared" si="825"/>
        <v>0</v>
      </c>
      <c r="T1863" s="113">
        <f t="shared" si="825"/>
        <v>0</v>
      </c>
      <c r="U1863" s="557">
        <f t="shared" si="825"/>
        <v>0</v>
      </c>
    </row>
    <row r="1864" spans="1:21" s="552" customFormat="1" ht="15" customHeight="1">
      <c r="A1864" s="621"/>
      <c r="B1864" s="622" t="s">
        <v>289</v>
      </c>
      <c r="C1864" s="633" t="str">
        <f t="shared" si="821"/>
        <v xml:space="preserve"> </v>
      </c>
      <c r="D1864" s="553"/>
      <c r="E1864" s="694" t="str">
        <f>VLOOKUP($B1864,dongia1,DG!$C$5,)</f>
        <v>Kẹp ép WR cỡ dây 150mm2</v>
      </c>
      <c r="F1864" s="555" t="str">
        <f>VLOOKUP($B1864,dongia1,DG!$D$5,)</f>
        <v>cái</v>
      </c>
      <c r="G1864" s="560">
        <f>pp1p!DA86</f>
        <v>0</v>
      </c>
      <c r="H1864" s="556">
        <f t="shared" si="822"/>
        <v>0</v>
      </c>
      <c r="I1864" s="556"/>
      <c r="J1864" s="556"/>
      <c r="K1864" s="556"/>
      <c r="L1864" s="556">
        <f t="shared" si="818"/>
        <v>0</v>
      </c>
      <c r="M1864" s="556"/>
      <c r="N1864" s="556"/>
      <c r="O1864" s="556"/>
      <c r="P1864" s="182">
        <f>VLOOKUP($B1864,dongia1,DG!$F$5,)</f>
        <v>18000</v>
      </c>
      <c r="Q1864" s="182"/>
      <c r="R1864" s="554"/>
      <c r="S1864" s="113">
        <f t="shared" si="825"/>
        <v>0</v>
      </c>
      <c r="T1864" s="113">
        <f t="shared" si="825"/>
        <v>0</v>
      </c>
      <c r="U1864" s="557">
        <f t="shared" si="825"/>
        <v>0</v>
      </c>
    </row>
    <row r="1865" spans="1:21" s="552" customFormat="1" ht="15" customHeight="1">
      <c r="A1865" s="621"/>
      <c r="B1865" s="622" t="s">
        <v>1699</v>
      </c>
      <c r="C1865" s="633" t="str">
        <f t="shared" si="821"/>
        <v xml:space="preserve"> </v>
      </c>
      <c r="D1865" s="553"/>
      <c r="E1865" s="694" t="str">
        <f>VLOOKUP($B1865,dongia1,DG!$C$5,)</f>
        <v>Kẹp ép WR cỡ dây 185mm2</v>
      </c>
      <c r="F1865" s="555" t="str">
        <f>VLOOKUP($B1865,dongia1,DG!$D$5,)</f>
        <v>cái</v>
      </c>
      <c r="G1865" s="560">
        <f>pp1p!DB86</f>
        <v>0</v>
      </c>
      <c r="H1865" s="556">
        <f t="shared" si="822"/>
        <v>0</v>
      </c>
      <c r="I1865" s="556"/>
      <c r="J1865" s="556"/>
      <c r="K1865" s="556"/>
      <c r="L1865" s="556">
        <f t="shared" si="818"/>
        <v>0</v>
      </c>
      <c r="M1865" s="556"/>
      <c r="N1865" s="556"/>
      <c r="O1865" s="556"/>
      <c r="P1865" s="182">
        <f>VLOOKUP($B1865,dongia1,DG!$F$5,)</f>
        <v>18000</v>
      </c>
      <c r="Q1865" s="182"/>
      <c r="R1865" s="554"/>
      <c r="S1865" s="113">
        <f t="shared" si="825"/>
        <v>0</v>
      </c>
      <c r="T1865" s="113">
        <f t="shared" si="825"/>
        <v>0</v>
      </c>
      <c r="U1865" s="557">
        <f t="shared" si="825"/>
        <v>0</v>
      </c>
    </row>
    <row r="1866" spans="1:21" s="552" customFormat="1" ht="15" customHeight="1">
      <c r="A1866" s="621"/>
      <c r="B1866" s="622" t="s">
        <v>55</v>
      </c>
      <c r="C1866" s="633" t="str">
        <f t="shared" si="821"/>
        <v xml:space="preserve"> </v>
      </c>
      <c r="D1866" s="553"/>
      <c r="E1866" s="694" t="str">
        <f>VLOOKUP($B1866,dongia1,DG!$C$5,)</f>
        <v>Kẹp ép WR cỡ dây 240mm2</v>
      </c>
      <c r="F1866" s="555" t="str">
        <f>VLOOKUP($B1866,dongia1,DG!$D$5,)</f>
        <v>cái</v>
      </c>
      <c r="G1866" s="560">
        <f>pp1p!DC86</f>
        <v>0</v>
      </c>
      <c r="H1866" s="556">
        <f t="shared" si="822"/>
        <v>0</v>
      </c>
      <c r="I1866" s="556"/>
      <c r="J1866" s="556"/>
      <c r="K1866" s="556"/>
      <c r="L1866" s="556">
        <f t="shared" si="818"/>
        <v>0</v>
      </c>
      <c r="M1866" s="556"/>
      <c r="N1866" s="556"/>
      <c r="O1866" s="556"/>
      <c r="P1866" s="182">
        <f>VLOOKUP($B1866,dongia1,DG!$F$5,)</f>
        <v>40000</v>
      </c>
      <c r="Q1866" s="182"/>
      <c r="R1866" s="554"/>
      <c r="S1866" s="113">
        <f t="shared" si="825"/>
        <v>0</v>
      </c>
      <c r="T1866" s="113">
        <f t="shared" si="825"/>
        <v>0</v>
      </c>
      <c r="U1866" s="557">
        <f t="shared" si="825"/>
        <v>0</v>
      </c>
    </row>
    <row r="1867" spans="1:21" s="552" customFormat="1">
      <c r="A1867" s="621"/>
      <c r="B1867" s="622" t="s">
        <v>76</v>
      </c>
      <c r="C1867" s="633" t="str">
        <f t="shared" si="821"/>
        <v xml:space="preserve"> </v>
      </c>
      <c r="D1867" s="553"/>
      <c r="E1867" s="694" t="str">
        <f>VLOOKUP($B1867,dongia1,DG!$C$5,)</f>
        <v>Đầu cosse ép Cu-Al 50mm2</v>
      </c>
      <c r="F1867" s="555" t="str">
        <f>VLOOKUP($B1867,dongia1,DG!$D$5,)</f>
        <v>cái</v>
      </c>
      <c r="G1867" s="560">
        <f>G2302*2</f>
        <v>0</v>
      </c>
      <c r="H1867" s="556">
        <f>G1867</f>
        <v>0</v>
      </c>
      <c r="I1867" s="556"/>
      <c r="J1867" s="556"/>
      <c r="K1867" s="556"/>
      <c r="L1867" s="556">
        <f>H1867</f>
        <v>0</v>
      </c>
      <c r="M1867" s="556"/>
      <c r="N1867" s="556"/>
      <c r="O1867" s="556"/>
      <c r="P1867" s="182">
        <f>VLOOKUP($B1867,dongia1,DG!$F$5,)</f>
        <v>26000</v>
      </c>
      <c r="Q1867" s="182">
        <f>VLOOKUP($B1867,dongia1,DG!$G$5,)</f>
        <v>10608.955000000002</v>
      </c>
      <c r="R1867" s="554"/>
      <c r="S1867" s="113">
        <f t="shared" si="825"/>
        <v>0</v>
      </c>
      <c r="T1867" s="113">
        <f t="shared" si="825"/>
        <v>0</v>
      </c>
      <c r="U1867" s="557">
        <f t="shared" si="825"/>
        <v>0</v>
      </c>
    </row>
    <row r="1868" spans="1:21" s="552" customFormat="1" ht="15" customHeight="1">
      <c r="A1868" s="621"/>
      <c r="B1868" s="622" t="s">
        <v>1766</v>
      </c>
      <c r="C1868" s="633" t="str">
        <f t="shared" si="821"/>
        <v xml:space="preserve"> </v>
      </c>
      <c r="D1868" s="553"/>
      <c r="E1868" s="694" t="str">
        <f>VLOOKUP($B1868,dongia1,DG!$C$5,)</f>
        <v>Đầu cosse ép Cu-Al 70mm2</v>
      </c>
      <c r="F1868" s="555" t="str">
        <f>VLOOKUP($B1868,dongia1,DG!$D$5,)</f>
        <v>cái</v>
      </c>
      <c r="G1868" s="560">
        <f>pp1p!DD86</f>
        <v>0</v>
      </c>
      <c r="H1868" s="556">
        <f t="shared" si="822"/>
        <v>0</v>
      </c>
      <c r="I1868" s="556"/>
      <c r="J1868" s="556"/>
      <c r="K1868" s="556"/>
      <c r="L1868" s="556">
        <f t="shared" si="818"/>
        <v>0</v>
      </c>
      <c r="M1868" s="556"/>
      <c r="N1868" s="556"/>
      <c r="O1868" s="556"/>
      <c r="P1868" s="182">
        <f>VLOOKUP($B1868,dongia1,DG!$F$5,)</f>
        <v>18000</v>
      </c>
      <c r="Q1868" s="182">
        <f>VLOOKUP($B1868,dongia1,DG!$G$5,)</f>
        <v>16671.215</v>
      </c>
      <c r="R1868" s="554"/>
      <c r="S1868" s="113">
        <f t="shared" ref="S1868:S1873" si="826">$G1868*P1868</f>
        <v>0</v>
      </c>
      <c r="T1868" s="113">
        <f t="shared" ref="T1868:T1873" si="827">$G1868*Q1868</f>
        <v>0</v>
      </c>
      <c r="U1868" s="557">
        <f t="shared" ref="U1868:U1873" si="828">$G1868*R1868</f>
        <v>0</v>
      </c>
    </row>
    <row r="1869" spans="1:21" s="552" customFormat="1" ht="15" customHeight="1">
      <c r="A1869" s="621"/>
      <c r="B1869" s="622" t="s">
        <v>1767</v>
      </c>
      <c r="C1869" s="633" t="str">
        <f t="shared" si="821"/>
        <v xml:space="preserve"> </v>
      </c>
      <c r="D1869" s="553"/>
      <c r="E1869" s="694" t="str">
        <f>VLOOKUP($B1869,dongia1,DG!$C$5,)</f>
        <v>Đầu cosse ép Cu-Al 95mm2</v>
      </c>
      <c r="F1869" s="555" t="str">
        <f>VLOOKUP($B1869,dongia1,DG!$D$5,)</f>
        <v>cái</v>
      </c>
      <c r="G1869" s="560">
        <f>pp1p!DE86</f>
        <v>0</v>
      </c>
      <c r="H1869" s="556">
        <f t="shared" si="822"/>
        <v>0</v>
      </c>
      <c r="I1869" s="556"/>
      <c r="J1869" s="556"/>
      <c r="K1869" s="556"/>
      <c r="L1869" s="556">
        <f t="shared" si="818"/>
        <v>0</v>
      </c>
      <c r="M1869" s="556"/>
      <c r="N1869" s="556"/>
      <c r="O1869" s="556"/>
      <c r="P1869" s="182">
        <f>VLOOKUP($B1869,dongia1,DG!$F$5,)</f>
        <v>25000</v>
      </c>
      <c r="Q1869" s="182">
        <f>VLOOKUP($B1869,dongia1,DG!$G$5,)</f>
        <v>21217.910000000003</v>
      </c>
      <c r="R1869" s="554"/>
      <c r="S1869" s="113">
        <f t="shared" si="826"/>
        <v>0</v>
      </c>
      <c r="T1869" s="113">
        <f t="shared" si="827"/>
        <v>0</v>
      </c>
      <c r="U1869" s="557">
        <f t="shared" si="828"/>
        <v>0</v>
      </c>
    </row>
    <row r="1870" spans="1:21" s="552" customFormat="1" ht="15" customHeight="1">
      <c r="A1870" s="621"/>
      <c r="B1870" s="622" t="s">
        <v>1768</v>
      </c>
      <c r="C1870" s="633" t="str">
        <f t="shared" si="821"/>
        <v xml:space="preserve"> </v>
      </c>
      <c r="D1870" s="553"/>
      <c r="E1870" s="694" t="str">
        <f>VLOOKUP($B1870,dongia1,DG!$C$5,)</f>
        <v>Đầu cosse ép Cu-Al 120mm2</v>
      </c>
      <c r="F1870" s="555" t="str">
        <f>VLOOKUP($B1870,dongia1,DG!$D$5,)</f>
        <v>cái</v>
      </c>
      <c r="G1870" s="560">
        <f>pp1p!DF86</f>
        <v>0</v>
      </c>
      <c r="H1870" s="556">
        <f t="shared" si="822"/>
        <v>0</v>
      </c>
      <c r="I1870" s="556"/>
      <c r="J1870" s="556"/>
      <c r="K1870" s="556"/>
      <c r="L1870" s="556">
        <f t="shared" si="818"/>
        <v>0</v>
      </c>
      <c r="M1870" s="556"/>
      <c r="N1870" s="556"/>
      <c r="O1870" s="556"/>
      <c r="P1870" s="182">
        <f>VLOOKUP($B1870,dongia1,DG!$F$5,)</f>
        <v>34000</v>
      </c>
      <c r="Q1870" s="182">
        <f>VLOOKUP($B1870,dongia1,DG!$G$5,)</f>
        <v>27280.17</v>
      </c>
      <c r="R1870" s="554"/>
      <c r="S1870" s="113">
        <f t="shared" si="826"/>
        <v>0</v>
      </c>
      <c r="T1870" s="113">
        <f t="shared" si="827"/>
        <v>0</v>
      </c>
      <c r="U1870" s="557">
        <f t="shared" si="828"/>
        <v>0</v>
      </c>
    </row>
    <row r="1871" spans="1:21" s="552" customFormat="1" ht="15" customHeight="1">
      <c r="A1871" s="621"/>
      <c r="B1871" s="622" t="s">
        <v>318</v>
      </c>
      <c r="C1871" s="633" t="str">
        <f t="shared" si="821"/>
        <v xml:space="preserve"> </v>
      </c>
      <c r="D1871" s="553"/>
      <c r="E1871" s="694" t="str">
        <f>VLOOKUP($B1871,dongia1,DG!$C$5,)</f>
        <v>Đầu cosse ép Cu-Al 150mm2</v>
      </c>
      <c r="F1871" s="555" t="str">
        <f>VLOOKUP($B1871,dongia1,DG!$D$5,)</f>
        <v>cái</v>
      </c>
      <c r="G1871" s="560">
        <f>pp1p!DG86</f>
        <v>0</v>
      </c>
      <c r="H1871" s="556">
        <f t="shared" si="822"/>
        <v>0</v>
      </c>
      <c r="I1871" s="556"/>
      <c r="J1871" s="556"/>
      <c r="K1871" s="556"/>
      <c r="L1871" s="556">
        <f t="shared" si="818"/>
        <v>0</v>
      </c>
      <c r="M1871" s="556"/>
      <c r="N1871" s="556"/>
      <c r="O1871" s="556"/>
      <c r="P1871" s="182">
        <f>VLOOKUP($B1871,dongia1,DG!$F$5,)</f>
        <v>39000</v>
      </c>
      <c r="Q1871" s="182">
        <f>VLOOKUP($B1871,dongia1,DG!$G$5,)</f>
        <v>33342.43</v>
      </c>
      <c r="R1871" s="554"/>
      <c r="S1871" s="113">
        <f t="shared" si="826"/>
        <v>0</v>
      </c>
      <c r="T1871" s="113">
        <f t="shared" si="827"/>
        <v>0</v>
      </c>
      <c r="U1871" s="557">
        <f t="shared" si="828"/>
        <v>0</v>
      </c>
    </row>
    <row r="1872" spans="1:21" s="552" customFormat="1" ht="15" customHeight="1">
      <c r="A1872" s="621"/>
      <c r="B1872" s="622" t="s">
        <v>319</v>
      </c>
      <c r="C1872" s="633" t="str">
        <f t="shared" si="821"/>
        <v xml:space="preserve"> </v>
      </c>
      <c r="D1872" s="553"/>
      <c r="E1872" s="694" t="str">
        <f>VLOOKUP($B1872,dongia1,DG!$C$5,)</f>
        <v>Đầu cosse ép Cu-Al 185mm2</v>
      </c>
      <c r="F1872" s="555" t="str">
        <f>VLOOKUP($B1872,dongia1,DG!$D$5,)</f>
        <v>cái</v>
      </c>
      <c r="G1872" s="560">
        <f>pp1p!DH86</f>
        <v>0</v>
      </c>
      <c r="H1872" s="556">
        <f t="shared" si="822"/>
        <v>0</v>
      </c>
      <c r="I1872" s="556"/>
      <c r="J1872" s="556"/>
      <c r="K1872" s="556"/>
      <c r="L1872" s="556">
        <f t="shared" si="818"/>
        <v>0</v>
      </c>
      <c r="M1872" s="556"/>
      <c r="N1872" s="556"/>
      <c r="O1872" s="556"/>
      <c r="P1872" s="182">
        <f>VLOOKUP($B1872,dongia1,DG!$F$5,)</f>
        <v>46000</v>
      </c>
      <c r="Q1872" s="182">
        <f>VLOOKUP($B1872,dongia1,DG!$G$5,)</f>
        <v>40010.916000000005</v>
      </c>
      <c r="R1872" s="554"/>
      <c r="S1872" s="113">
        <f t="shared" si="826"/>
        <v>0</v>
      </c>
      <c r="T1872" s="113">
        <f t="shared" si="827"/>
        <v>0</v>
      </c>
      <c r="U1872" s="557">
        <f t="shared" si="828"/>
        <v>0</v>
      </c>
    </row>
    <row r="1873" spans="1:21" s="552" customFormat="1" ht="15" customHeight="1">
      <c r="A1873" s="621"/>
      <c r="B1873" s="622" t="s">
        <v>1364</v>
      </c>
      <c r="C1873" s="633" t="str">
        <f t="shared" si="821"/>
        <v xml:space="preserve"> </v>
      </c>
      <c r="D1873" s="553"/>
      <c r="E1873" s="694" t="str">
        <f>VLOOKUP($B1873,dongia1,DG!$C$5,)</f>
        <v>Đầu cosse ép Cu-Al 240mm2</v>
      </c>
      <c r="F1873" s="555" t="str">
        <f>VLOOKUP($B1873,dongia1,DG!$D$5,)</f>
        <v>cái</v>
      </c>
      <c r="G1873" s="560">
        <f>pp1p!DI86</f>
        <v>0</v>
      </c>
      <c r="H1873" s="556">
        <f t="shared" si="822"/>
        <v>0</v>
      </c>
      <c r="I1873" s="556"/>
      <c r="J1873" s="556"/>
      <c r="K1873" s="556"/>
      <c r="L1873" s="556">
        <f t="shared" si="818"/>
        <v>0</v>
      </c>
      <c r="M1873" s="556"/>
      <c r="N1873" s="556"/>
      <c r="O1873" s="556"/>
      <c r="P1873" s="182">
        <f>VLOOKUP($B1873,dongia1,DG!$F$5,)</f>
        <v>59000</v>
      </c>
      <c r="Q1873" s="182">
        <f>VLOOKUP($B1873,dongia1,DG!$G$5,)</f>
        <v>50013.645000000004</v>
      </c>
      <c r="R1873" s="554"/>
      <c r="S1873" s="113">
        <f t="shared" si="826"/>
        <v>0</v>
      </c>
      <c r="T1873" s="113">
        <f t="shared" si="827"/>
        <v>0</v>
      </c>
      <c r="U1873" s="557">
        <f t="shared" si="828"/>
        <v>0</v>
      </c>
    </row>
    <row r="1874" spans="1:21" s="552" customFormat="1" ht="15" customHeight="1">
      <c r="A1874" s="621"/>
      <c r="B1874" s="622" t="s">
        <v>619</v>
      </c>
      <c r="C1874" s="633" t="str">
        <f t="shared" si="821"/>
        <v xml:space="preserve"> </v>
      </c>
      <c r="D1874" s="553"/>
      <c r="E1874" s="694" t="str">
        <f>VLOOKUP($B1874,dongia1,DG!$C$5,)</f>
        <v>Boulon 12x30+ 2 long đền vuông D14-50x50x3/Zn</v>
      </c>
      <c r="F1874" s="555" t="str">
        <f>VLOOKUP($B1874,dongia1,DG!$D$5,)</f>
        <v>bộ</v>
      </c>
      <c r="G1874" s="560">
        <f>SUM(G1868:G1873)/2</f>
        <v>0</v>
      </c>
      <c r="H1874" s="556">
        <f t="shared" si="822"/>
        <v>0</v>
      </c>
      <c r="I1874" s="556"/>
      <c r="J1874" s="556"/>
      <c r="K1874" s="556"/>
      <c r="L1874" s="556">
        <f t="shared" si="818"/>
        <v>0</v>
      </c>
      <c r="M1874" s="556"/>
      <c r="N1874" s="556"/>
      <c r="O1874" s="556"/>
      <c r="P1874" s="182">
        <f>VLOOKUP($B1874,dongia1,DG!$F$5,)</f>
        <v>8200</v>
      </c>
      <c r="Q1874" s="182">
        <f>VLOOKUP($B1874,dongia1,DG!$G$5,)</f>
        <v>0</v>
      </c>
      <c r="R1874" s="554"/>
      <c r="S1874" s="113">
        <f t="shared" ref="S1874:U1876" si="829">$G1874*P1874</f>
        <v>0</v>
      </c>
      <c r="T1874" s="113">
        <f t="shared" si="829"/>
        <v>0</v>
      </c>
      <c r="U1874" s="557">
        <f t="shared" si="829"/>
        <v>0</v>
      </c>
    </row>
    <row r="1875" spans="1:21" s="552" customFormat="1" ht="15" customHeight="1">
      <c r="A1875" s="621"/>
      <c r="B1875" s="622" t="s">
        <v>2019</v>
      </c>
      <c r="C1875" s="633" t="str">
        <f t="shared" si="821"/>
        <v xml:space="preserve"> </v>
      </c>
      <c r="D1875" s="553"/>
      <c r="E1875" s="694" t="str">
        <f>VLOOKUP($B1875,dongia1,DG!$C$5,)</f>
        <v>Boulon 22x500+ 2 long đền vuông D24-60x60x3/Zn</v>
      </c>
      <c r="F1875" s="555" t="str">
        <f>VLOOKUP($B1875,dongia1,DG!$D$5,)</f>
        <v>bộ</v>
      </c>
      <c r="G1875" s="560"/>
      <c r="H1875" s="556">
        <f t="shared" si="822"/>
        <v>0</v>
      </c>
      <c r="I1875" s="556"/>
      <c r="J1875" s="556"/>
      <c r="K1875" s="556"/>
      <c r="L1875" s="556">
        <f t="shared" si="818"/>
        <v>0</v>
      </c>
      <c r="M1875" s="556"/>
      <c r="N1875" s="556"/>
      <c r="O1875" s="556"/>
      <c r="P1875" s="182">
        <f>VLOOKUP($B1875,dongia1,DG!$F$5,)</f>
        <v>75800</v>
      </c>
      <c r="Q1875" s="182">
        <f>VLOOKUP($B1875,dongia1,DG!$G$5,)</f>
        <v>0</v>
      </c>
      <c r="R1875" s="554"/>
      <c r="S1875" s="113">
        <f>$G1875*P1875</f>
        <v>0</v>
      </c>
      <c r="T1875" s="113">
        <f>$G1875*Q1875</f>
        <v>0</v>
      </c>
      <c r="U1875" s="557">
        <f>$G1875*R1875</f>
        <v>0</v>
      </c>
    </row>
    <row r="1876" spans="1:21">
      <c r="B1876" s="696" t="s">
        <v>1080</v>
      </c>
      <c r="C1876" s="697" t="str">
        <f t="shared" si="821"/>
        <v xml:space="preserve"> </v>
      </c>
      <c r="D1876" s="698"/>
      <c r="E1876" s="699" t="str">
        <f>VLOOKUP($B1876,dongia1,DG!$C$5,)</f>
        <v>Bass LI bắt FCO</v>
      </c>
      <c r="F1876" s="700" t="str">
        <f>VLOOKUP($B1876,dongia1,DG!$D$5,)</f>
        <v>Bộ</v>
      </c>
      <c r="G1876" s="762">
        <f>G2302</f>
        <v>0</v>
      </c>
      <c r="H1876" s="701">
        <f>$G1876</f>
        <v>0</v>
      </c>
      <c r="I1876" s="701"/>
      <c r="J1876" s="701"/>
      <c r="K1876" s="701"/>
      <c r="L1876" s="701"/>
      <c r="M1876" s="701"/>
      <c r="N1876" s="701"/>
      <c r="O1876" s="701"/>
      <c r="P1876" s="702">
        <f>VLOOKUP($B1876,dongia1,DG!$F$5,)</f>
        <v>34000</v>
      </c>
      <c r="Q1876" s="702"/>
      <c r="R1876" s="703"/>
      <c r="S1876" s="702">
        <f t="shared" si="829"/>
        <v>0</v>
      </c>
      <c r="T1876" s="702">
        <f t="shared" si="829"/>
        <v>0</v>
      </c>
      <c r="U1876" s="704">
        <f t="shared" si="829"/>
        <v>0</v>
      </c>
    </row>
    <row r="1877" spans="1:21">
      <c r="B1877" s="696" t="s">
        <v>4857</v>
      </c>
      <c r="C1877" s="697" t="str">
        <f t="shared" si="821"/>
        <v xml:space="preserve"> </v>
      </c>
      <c r="D1877" s="698"/>
      <c r="E1877" s="699" t="str">
        <f>VLOOKUP($B1877,dongia1,DG!$C$5,)</f>
        <v>Nắp che đầu cực FCO</v>
      </c>
      <c r="F1877" s="700" t="str">
        <f>VLOOKUP($B1877,dongia1,DG!$D$5,)</f>
        <v>cái</v>
      </c>
      <c r="G1877" s="762">
        <f>G1876</f>
        <v>0</v>
      </c>
      <c r="H1877" s="701">
        <f>$G1877</f>
        <v>0</v>
      </c>
      <c r="I1877" s="701"/>
      <c r="J1877" s="701"/>
      <c r="K1877" s="701"/>
      <c r="L1877" s="701"/>
      <c r="M1877" s="701"/>
      <c r="N1877" s="701"/>
      <c r="O1877" s="701"/>
      <c r="P1877" s="702">
        <f>VLOOKUP($B1877,dongia1,DG!$F$5,)</f>
        <v>218200</v>
      </c>
      <c r="Q1877" s="702"/>
      <c r="R1877" s="703"/>
      <c r="S1877" s="702">
        <f>$G1877*P1877</f>
        <v>0</v>
      </c>
      <c r="T1877" s="702">
        <f>$G1877*Q1877</f>
        <v>0</v>
      </c>
      <c r="U1877" s="704">
        <f>$G1877*R1877</f>
        <v>0</v>
      </c>
    </row>
    <row r="1878" spans="1:21" ht="15" customHeight="1">
      <c r="B1878" s="696" t="s">
        <v>2117</v>
      </c>
      <c r="C1878" s="697" t="str">
        <f t="shared" si="821"/>
        <v xml:space="preserve"> </v>
      </c>
      <c r="D1878" s="698"/>
      <c r="E1878" s="699" t="str">
        <f>VLOOKUP($B1878,dongia1,DG!$C$5,)</f>
        <v>Nắp che đầu cực dưới FCO</v>
      </c>
      <c r="F1878" s="700" t="str">
        <f>VLOOKUP($B1878,dongia1,DG!$D$5,)</f>
        <v>cái</v>
      </c>
      <c r="G1878" s="762">
        <f>G1876*0</f>
        <v>0</v>
      </c>
      <c r="H1878" s="701">
        <f>$G1878</f>
        <v>0</v>
      </c>
      <c r="I1878" s="701"/>
      <c r="J1878" s="701"/>
      <c r="K1878" s="701"/>
      <c r="L1878" s="701"/>
      <c r="M1878" s="701"/>
      <c r="N1878" s="701"/>
      <c r="O1878" s="701"/>
      <c r="P1878" s="702">
        <f>VLOOKUP($B1878,dongia1,DG!$F$5,)</f>
        <v>154000</v>
      </c>
      <c r="Q1878" s="702"/>
      <c r="R1878" s="703"/>
      <c r="S1878" s="702">
        <f t="shared" ref="S1878:U1880" si="830">$G1878*P1878</f>
        <v>0</v>
      </c>
      <c r="T1878" s="702">
        <f t="shared" si="830"/>
        <v>0</v>
      </c>
      <c r="U1878" s="704">
        <f t="shared" si="830"/>
        <v>0</v>
      </c>
    </row>
    <row r="1879" spans="1:21" ht="15" customHeight="1">
      <c r="B1879" s="696" t="s">
        <v>2119</v>
      </c>
      <c r="C1879" s="697" t="str">
        <f t="shared" si="821"/>
        <v xml:space="preserve"> </v>
      </c>
      <c r="D1879" s="698"/>
      <c r="E1879" s="699" t="str">
        <f>VLOOKUP($B1879,dongia1,DG!$C$5,)</f>
        <v>Nắp che đầu cực dưới FCO</v>
      </c>
      <c r="F1879" s="700" t="str">
        <f>VLOOKUP($B1879,dongia1,DG!$D$5,)</f>
        <v>cái</v>
      </c>
      <c r="G1879" s="762">
        <f>G1876*0</f>
        <v>0</v>
      </c>
      <c r="H1879" s="701">
        <f>$G1879</f>
        <v>0</v>
      </c>
      <c r="I1879" s="701"/>
      <c r="J1879" s="701"/>
      <c r="K1879" s="701"/>
      <c r="L1879" s="701"/>
      <c r="M1879" s="701"/>
      <c r="N1879" s="701"/>
      <c r="O1879" s="701"/>
      <c r="P1879" s="702">
        <f>VLOOKUP($B1879,dongia1,DG!$F$5,)</f>
        <v>154000</v>
      </c>
      <c r="Q1879" s="702"/>
      <c r="R1879" s="703"/>
      <c r="S1879" s="702">
        <f t="shared" si="830"/>
        <v>0</v>
      </c>
      <c r="T1879" s="702">
        <f t="shared" si="830"/>
        <v>0</v>
      </c>
      <c r="U1879" s="704">
        <f t="shared" si="830"/>
        <v>0</v>
      </c>
    </row>
    <row r="1880" spans="1:21" s="552" customFormat="1" ht="15" customHeight="1">
      <c r="A1880" s="621"/>
      <c r="B1880" s="622" t="s">
        <v>2121</v>
      </c>
      <c r="C1880" s="633" t="str">
        <f t="shared" si="821"/>
        <v xml:space="preserve"> </v>
      </c>
      <c r="D1880" s="553"/>
      <c r="E1880" s="694" t="str">
        <f>VLOOKUP($B1880,dongia1,DG!$C$5,)</f>
        <v>Nắp che đầu cực LA</v>
      </c>
      <c r="F1880" s="555" t="str">
        <f>VLOOKUP($B1880,dongia1,DG!$D$5,)</f>
        <v>cái</v>
      </c>
      <c r="G1880" s="205">
        <f>G2305</f>
        <v>0</v>
      </c>
      <c r="H1880" s="556">
        <f>$G1880</f>
        <v>0</v>
      </c>
      <c r="I1880" s="556"/>
      <c r="J1880" s="556"/>
      <c r="K1880" s="556"/>
      <c r="L1880" s="556"/>
      <c r="M1880" s="556"/>
      <c r="N1880" s="556"/>
      <c r="O1880" s="556"/>
      <c r="P1880" s="182">
        <f>VLOOKUP($B1880,dongia1,DG!$F$5,)</f>
        <v>39100</v>
      </c>
      <c r="Q1880" s="182"/>
      <c r="R1880" s="554"/>
      <c r="S1880" s="113">
        <f t="shared" si="830"/>
        <v>0</v>
      </c>
      <c r="T1880" s="113">
        <f t="shared" si="830"/>
        <v>0</v>
      </c>
      <c r="U1880" s="557">
        <f t="shared" si="830"/>
        <v>0</v>
      </c>
    </row>
    <row r="1881" spans="1:21">
      <c r="B1881" s="696" t="s">
        <v>2028</v>
      </c>
      <c r="C1881" s="697" t="str">
        <f t="shared" si="821"/>
        <v xml:space="preserve"> </v>
      </c>
      <c r="D1881" s="698"/>
      <c r="E1881" s="699" t="str">
        <f>VLOOKUP($B1881,dongia1,DG!$C$5,)</f>
        <v>Kẹp quai 2/0</v>
      </c>
      <c r="F1881" s="700" t="str">
        <f>VLOOKUP($B1881,dongia1,DG!$D$5,)</f>
        <v>cái</v>
      </c>
      <c r="G1881" s="754">
        <f>pp1p!CS86</f>
        <v>0</v>
      </c>
      <c r="H1881" s="701">
        <f t="shared" ref="H1881:H1893" si="831">G1881</f>
        <v>0</v>
      </c>
      <c r="I1881" s="701"/>
      <c r="J1881" s="701"/>
      <c r="K1881" s="701"/>
      <c r="L1881" s="701">
        <f t="shared" ref="L1881:L1892" si="832">H1881</f>
        <v>0</v>
      </c>
      <c r="M1881" s="701"/>
      <c r="N1881" s="701"/>
      <c r="O1881" s="701"/>
      <c r="P1881" s="702">
        <f>VLOOKUP($B1881,dongia1,DG!$F$5,)</f>
        <v>46000</v>
      </c>
      <c r="Q1881" s="702">
        <f>VLOOKUP($B1881,dongia1,DG!$G$5,)</f>
        <v>0</v>
      </c>
      <c r="R1881" s="703"/>
      <c r="S1881" s="702">
        <f t="shared" ref="S1881:T1892" si="833">$G1881*P1881</f>
        <v>0</v>
      </c>
      <c r="T1881" s="702">
        <f t="shared" si="833"/>
        <v>0</v>
      </c>
      <c r="U1881" s="704">
        <f t="shared" ref="U1881:U1901" si="834">$G1881*R1881</f>
        <v>0</v>
      </c>
    </row>
    <row r="1882" spans="1:21">
      <c r="B1882" s="696" t="s">
        <v>2026</v>
      </c>
      <c r="C1882" s="697" t="str">
        <f t="shared" si="821"/>
        <v xml:space="preserve"> </v>
      </c>
      <c r="D1882" s="698"/>
      <c r="E1882" s="699" t="str">
        <f>VLOOKUP($B1882,dongia1,DG!$C$5,)</f>
        <v>Kẹp hotline 2/0</v>
      </c>
      <c r="F1882" s="700" t="str">
        <f>VLOOKUP($B1882,dongia1,DG!$D$5,)</f>
        <v>cái</v>
      </c>
      <c r="G1882" s="762">
        <f>G1881</f>
        <v>0</v>
      </c>
      <c r="H1882" s="701">
        <f t="shared" si="831"/>
        <v>0</v>
      </c>
      <c r="I1882" s="701"/>
      <c r="J1882" s="701"/>
      <c r="K1882" s="701"/>
      <c r="L1882" s="701">
        <f t="shared" si="832"/>
        <v>0</v>
      </c>
      <c r="M1882" s="701"/>
      <c r="N1882" s="701"/>
      <c r="O1882" s="701"/>
      <c r="P1882" s="702">
        <f>VLOOKUP($B1882,dongia1,DG!$F$5,)</f>
        <v>77000</v>
      </c>
      <c r="Q1882" s="702">
        <f>VLOOKUP($B1882,dongia1,DG!$G$5,)</f>
        <v>0</v>
      </c>
      <c r="R1882" s="703"/>
      <c r="S1882" s="702">
        <f t="shared" si="833"/>
        <v>0</v>
      </c>
      <c r="T1882" s="702">
        <f t="shared" si="833"/>
        <v>0</v>
      </c>
      <c r="U1882" s="704">
        <f t="shared" si="834"/>
        <v>0</v>
      </c>
    </row>
    <row r="1883" spans="1:21">
      <c r="B1883" s="696" t="s">
        <v>4501</v>
      </c>
      <c r="C1883" s="697" t="str">
        <f t="shared" si="821"/>
        <v xml:space="preserve"> </v>
      </c>
      <c r="D1883" s="698"/>
      <c r="E1883" s="699" t="str">
        <f>VLOOKUP($B1883,dongia1,DG!$C$5,)</f>
        <v>Chụp cách điện kẹp quai</v>
      </c>
      <c r="F1883" s="700" t="str">
        <f>VLOOKUP($B1883,dongia1,DG!$D$5,)</f>
        <v>Cái</v>
      </c>
      <c r="G1883" s="762">
        <f>pp1p!CT86</f>
        <v>0</v>
      </c>
      <c r="H1883" s="701">
        <f>G1883</f>
        <v>0</v>
      </c>
      <c r="I1883" s="701"/>
      <c r="J1883" s="701"/>
      <c r="K1883" s="701"/>
      <c r="L1883" s="701">
        <f>H1883</f>
        <v>0</v>
      </c>
      <c r="M1883" s="701"/>
      <c r="N1883" s="701"/>
      <c r="O1883" s="701"/>
      <c r="P1883" s="702">
        <f>VLOOKUP($B1883,dongia1,DG!$F$5,)</f>
        <v>136800</v>
      </c>
      <c r="Q1883" s="702">
        <f>VLOOKUP($B1883,dongia1,DG!$G$5,)</f>
        <v>0</v>
      </c>
      <c r="R1883" s="703"/>
      <c r="S1883" s="702">
        <f>$G1883*P1883</f>
        <v>0</v>
      </c>
      <c r="T1883" s="702">
        <f>$G1883*Q1883</f>
        <v>0</v>
      </c>
      <c r="U1883" s="704">
        <f>$G1883*R1883</f>
        <v>0</v>
      </c>
    </row>
    <row r="1884" spans="1:21">
      <c r="B1884" s="696" t="s">
        <v>4908</v>
      </c>
      <c r="C1884" s="697" t="str">
        <f t="shared" si="821"/>
        <v xml:space="preserve"> </v>
      </c>
      <c r="D1884" s="698"/>
      <c r="E1884" s="699" t="str">
        <f>VLOOKUP($B1884,dongia1,DG!$C$5,)</f>
        <v>Cáp 24KV C/XLPE- 50mm2</v>
      </c>
      <c r="F1884" s="700" t="str">
        <f>VLOOKUP($B1884,dongia1,DG!$D$5,)</f>
        <v>mét</v>
      </c>
      <c r="G1884" s="762">
        <f>G1881*3</f>
        <v>0</v>
      </c>
      <c r="H1884" s="701">
        <f t="shared" si="831"/>
        <v>0</v>
      </c>
      <c r="I1884" s="701"/>
      <c r="J1884" s="701"/>
      <c r="K1884" s="701"/>
      <c r="L1884" s="701">
        <f t="shared" si="832"/>
        <v>0</v>
      </c>
      <c r="M1884" s="701"/>
      <c r="N1884" s="701"/>
      <c r="O1884" s="701"/>
      <c r="P1884" s="702">
        <f>VLOOKUP($B1884,dongia1,DG!$F$5,)</f>
        <v>149500</v>
      </c>
      <c r="Q1884" s="702"/>
      <c r="R1884" s="703"/>
      <c r="S1884" s="702">
        <f t="shared" si="833"/>
        <v>0</v>
      </c>
      <c r="T1884" s="702">
        <f t="shared" si="833"/>
        <v>0</v>
      </c>
      <c r="U1884" s="704">
        <f t="shared" si="834"/>
        <v>0</v>
      </c>
    </row>
    <row r="1885" spans="1:21" s="552" customFormat="1" ht="15" customHeight="1">
      <c r="A1885" s="621"/>
      <c r="B1885" s="622" t="s">
        <v>714</v>
      </c>
      <c r="C1885" s="633" t="str">
        <f t="shared" si="821"/>
        <v xml:space="preserve"> </v>
      </c>
      <c r="D1885" s="553"/>
      <c r="E1885" s="694" t="str">
        <f>VLOOKUP($B1885,dongia1,DG!$C$5,)</f>
        <v>Cáp thép 3/8"</v>
      </c>
      <c r="F1885" s="555" t="str">
        <f>VLOOKUP($B1885,dongia1,DG!$D$5,)</f>
        <v>kg</v>
      </c>
      <c r="G1885" s="560">
        <f>pp1p!BD86</f>
        <v>0</v>
      </c>
      <c r="H1885" s="556">
        <f t="shared" si="831"/>
        <v>0</v>
      </c>
      <c r="I1885" s="556"/>
      <c r="J1885" s="556"/>
      <c r="K1885" s="556"/>
      <c r="L1885" s="556">
        <f t="shared" si="832"/>
        <v>0</v>
      </c>
      <c r="M1885" s="556"/>
      <c r="N1885" s="556"/>
      <c r="O1885" s="556"/>
      <c r="P1885" s="182">
        <f>VLOOKUP($B1885,dongia1,DG!$F$5,)</f>
        <v>47300</v>
      </c>
      <c r="Q1885" s="182"/>
      <c r="R1885" s="554"/>
      <c r="S1885" s="113">
        <f t="shared" si="833"/>
        <v>0</v>
      </c>
      <c r="T1885" s="113">
        <f t="shared" si="833"/>
        <v>0</v>
      </c>
      <c r="U1885" s="557">
        <f t="shared" si="834"/>
        <v>0</v>
      </c>
    </row>
    <row r="1886" spans="1:21">
      <c r="B1886" s="696" t="s">
        <v>2036</v>
      </c>
      <c r="C1886" s="697" t="str">
        <f t="shared" si="821"/>
        <v xml:space="preserve"> </v>
      </c>
      <c r="D1886" s="698"/>
      <c r="E1886" s="699" t="str">
        <f>VLOOKUP($B1886,dongia1,DG!$C$5,)</f>
        <v>Ống nối dây cỡ 50mm2 (có lõi thép)</v>
      </c>
      <c r="F1886" s="700" t="str">
        <f>VLOOKUP($B1886,dongia1,DG!$D$5,)</f>
        <v>cái</v>
      </c>
      <c r="G1886" s="762">
        <f>ROUND((G1807/0.195*1.02)/1500,0)</f>
        <v>0</v>
      </c>
      <c r="H1886" s="701">
        <f t="shared" si="831"/>
        <v>0</v>
      </c>
      <c r="I1886" s="701"/>
      <c r="J1886" s="701"/>
      <c r="K1886" s="701"/>
      <c r="L1886" s="701">
        <f t="shared" si="832"/>
        <v>0</v>
      </c>
      <c r="M1886" s="701"/>
      <c r="N1886" s="701"/>
      <c r="O1886" s="701"/>
      <c r="P1886" s="702">
        <f>VLOOKUP($B1886,dongia1,DG!$F$5,)</f>
        <v>32000</v>
      </c>
      <c r="Q1886" s="702"/>
      <c r="R1886" s="703"/>
      <c r="S1886" s="702">
        <f t="shared" si="833"/>
        <v>0</v>
      </c>
      <c r="T1886" s="702">
        <f t="shared" si="833"/>
        <v>0</v>
      </c>
      <c r="U1886" s="704">
        <f t="shared" si="834"/>
        <v>0</v>
      </c>
    </row>
    <row r="1887" spans="1:21" s="552" customFormat="1">
      <c r="A1887" s="621"/>
      <c r="B1887" s="622" t="s">
        <v>4913</v>
      </c>
      <c r="C1887" s="633" t="str">
        <f t="shared" si="821"/>
        <v xml:space="preserve"> </v>
      </c>
      <c r="D1887" s="553"/>
      <c r="E1887" s="694" t="str">
        <f>VLOOKUP($B1887,dongia1,DG!$C$5,)</f>
        <v>Băng keo cách điện trung thế</v>
      </c>
      <c r="F1887" s="555" t="str">
        <f>VLOOKUP($B1887,dongia1,DG!$D$5,)</f>
        <v>cuộn</v>
      </c>
      <c r="G1887" s="205">
        <f>(pp1p!J88+pp1p!J90+pp1p!J92)</f>
        <v>0</v>
      </c>
      <c r="H1887" s="556">
        <f>G1887</f>
        <v>0</v>
      </c>
      <c r="I1887" s="556"/>
      <c r="J1887" s="556"/>
      <c r="K1887" s="556"/>
      <c r="L1887" s="556">
        <f>H1887</f>
        <v>0</v>
      </c>
      <c r="M1887" s="556"/>
      <c r="N1887" s="556"/>
      <c r="O1887" s="556"/>
      <c r="P1887" s="182">
        <f>VLOOKUP($B1887,dongia1,DG!$F$5,)</f>
        <v>165000</v>
      </c>
      <c r="Q1887" s="182"/>
      <c r="R1887" s="554"/>
      <c r="S1887" s="113">
        <f>$G1887*P1887</f>
        <v>0</v>
      </c>
      <c r="T1887" s="113">
        <f>$G1887*Q1887</f>
        <v>0</v>
      </c>
      <c r="U1887" s="557">
        <f>$G1887*R1887</f>
        <v>0</v>
      </c>
    </row>
    <row r="1888" spans="1:21" s="552" customFormat="1">
      <c r="A1888" s="621"/>
      <c r="B1888" s="622" t="s">
        <v>4858</v>
      </c>
      <c r="C1888" s="633" t="str">
        <f t="shared" si="821"/>
        <v xml:space="preserve"> </v>
      </c>
      <c r="D1888" s="553"/>
      <c r="E1888" s="694" t="str">
        <f>VLOOKUP($B1888,dongia1,DG!$C$5,)</f>
        <v>Ông Co nhiệt Ø 60(65)</v>
      </c>
      <c r="F1888" s="555" t="str">
        <f>VLOOKUP($B1888,dongia1,DG!$D$5,)</f>
        <v>m</v>
      </c>
      <c r="G1888" s="205">
        <f>pp1p!CV86</f>
        <v>0</v>
      </c>
      <c r="H1888" s="556">
        <f t="shared" si="831"/>
        <v>0</v>
      </c>
      <c r="I1888" s="556"/>
      <c r="J1888" s="556"/>
      <c r="K1888" s="556"/>
      <c r="L1888" s="556">
        <f t="shared" si="832"/>
        <v>0</v>
      </c>
      <c r="M1888" s="556"/>
      <c r="N1888" s="556"/>
      <c r="O1888" s="556"/>
      <c r="P1888" s="182">
        <f>VLOOKUP($B1888,dongia1,DG!$F$5,)</f>
        <v>135000</v>
      </c>
      <c r="Q1888" s="182"/>
      <c r="R1888" s="554"/>
      <c r="S1888" s="113">
        <f t="shared" si="833"/>
        <v>0</v>
      </c>
      <c r="T1888" s="113">
        <f t="shared" si="833"/>
        <v>0</v>
      </c>
      <c r="U1888" s="557">
        <f t="shared" si="834"/>
        <v>0</v>
      </c>
    </row>
    <row r="1889" spans="1:21" s="1047" customFormat="1" ht="15" customHeight="1">
      <c r="A1889" s="1036"/>
      <c r="B1889" s="1037" t="s">
        <v>4901</v>
      </c>
      <c r="C1889" s="1038" t="str">
        <f>IF(G1889&lt;&gt;0,$C$1457," ")</f>
        <v xml:space="preserve"> </v>
      </c>
      <c r="D1889" s="1039"/>
      <c r="E1889" s="1640" t="str">
        <f>VLOOKUP($B1889,dongia1,DG!$C$5,)</f>
        <v>Dây buộc cổ sứ đỡ thẳng TTF 1202 (70-95mm2)</v>
      </c>
      <c r="F1889" s="1040" t="str">
        <f>VLOOKUP($B1889,dongia1,DG!$D$5,)</f>
        <v>cái</v>
      </c>
      <c r="G1889" s="1041">
        <f>+pp1p!CI86</f>
        <v>0</v>
      </c>
      <c r="H1889" s="1042"/>
      <c r="I1889" s="1042"/>
      <c r="J1889" s="1042">
        <f>G1889</f>
        <v>0</v>
      </c>
      <c r="K1889" s="1042"/>
      <c r="L1889" s="1042"/>
      <c r="M1889" s="1042"/>
      <c r="N1889" s="1042"/>
      <c r="O1889" s="1042"/>
      <c r="P1889" s="1043">
        <f>VLOOKUP($B1889,dongia1,DG!$F$5,)</f>
        <v>132000</v>
      </c>
      <c r="Q1889" s="1043"/>
      <c r="R1889" s="1044"/>
      <c r="S1889" s="1045">
        <f t="shared" si="833"/>
        <v>0</v>
      </c>
      <c r="T1889" s="1045">
        <f t="shared" si="833"/>
        <v>0</v>
      </c>
      <c r="U1889" s="1046">
        <f t="shared" si="834"/>
        <v>0</v>
      </c>
    </row>
    <row r="1890" spans="1:21" s="1047" customFormat="1" ht="15" customHeight="1">
      <c r="A1890" s="1036"/>
      <c r="B1890" s="1037" t="s">
        <v>4902</v>
      </c>
      <c r="C1890" s="1038" t="str">
        <f>IF(G1890&lt;&gt;0,$C$1457," ")</f>
        <v xml:space="preserve"> </v>
      </c>
      <c r="D1890" s="1039"/>
      <c r="E1890" s="1640" t="str">
        <f>VLOOKUP($B1890,dongia1,DG!$C$5,)</f>
        <v>Dây buộc cổ sứ đỡ góc SSF 2202 (70-95mm2)</v>
      </c>
      <c r="F1890" s="1040" t="str">
        <f>VLOOKUP($B1890,dongia1,DG!$D$5,)</f>
        <v>cái</v>
      </c>
      <c r="G1890" s="1041">
        <f>+pp1p!CJ86</f>
        <v>0</v>
      </c>
      <c r="H1890" s="1042"/>
      <c r="I1890" s="1042"/>
      <c r="J1890" s="1042">
        <f>G1890</f>
        <v>0</v>
      </c>
      <c r="K1890" s="1042"/>
      <c r="L1890" s="1042"/>
      <c r="M1890" s="1042"/>
      <c r="N1890" s="1042"/>
      <c r="O1890" s="1042"/>
      <c r="P1890" s="1043">
        <f>VLOOKUP($B1890,dongia1,DG!$F$5,)</f>
        <v>200000</v>
      </c>
      <c r="Q1890" s="1043"/>
      <c r="R1890" s="1044"/>
      <c r="S1890" s="1045">
        <f t="shared" si="833"/>
        <v>0</v>
      </c>
      <c r="T1890" s="1045">
        <f t="shared" si="833"/>
        <v>0</v>
      </c>
      <c r="U1890" s="1046">
        <f t="shared" si="834"/>
        <v>0</v>
      </c>
    </row>
    <row r="1891" spans="1:21">
      <c r="B1891" s="696" t="s">
        <v>998</v>
      </c>
      <c r="C1891" s="697" t="str">
        <f t="shared" ref="C1891:C1903" si="835">IF(G1891&lt;&gt;0,$C$1805," ")</f>
        <v xml:space="preserve"> </v>
      </c>
      <c r="D1891" s="698"/>
      <c r="E1891" s="699" t="str">
        <f>VLOOKUP($B1891,dongia1,DG!$C$5,)</f>
        <v xml:space="preserve">Dây nhôm buộc </v>
      </c>
      <c r="F1891" s="700" t="str">
        <f>VLOOKUP($B1891,dongia1,DG!$D$5,)</f>
        <v>kg</v>
      </c>
      <c r="G1891" s="762">
        <f>SUM(G1893:G1894)*5/1.4</f>
        <v>0</v>
      </c>
      <c r="H1891" s="701">
        <f t="shared" si="831"/>
        <v>0</v>
      </c>
      <c r="I1891" s="701"/>
      <c r="J1891" s="701"/>
      <c r="K1891" s="701"/>
      <c r="L1891" s="701">
        <f t="shared" si="832"/>
        <v>0</v>
      </c>
      <c r="M1891" s="701"/>
      <c r="N1891" s="701"/>
      <c r="O1891" s="701"/>
      <c r="P1891" s="702">
        <f>VLOOKUP($B1891,dongia1,DG!$F$5,)</f>
        <v>51336</v>
      </c>
      <c r="Q1891" s="702"/>
      <c r="R1891" s="703"/>
      <c r="S1891" s="702">
        <f t="shared" si="833"/>
        <v>0</v>
      </c>
      <c r="T1891" s="702">
        <f t="shared" si="833"/>
        <v>0</v>
      </c>
      <c r="U1891" s="704">
        <f t="shared" si="834"/>
        <v>0</v>
      </c>
    </row>
    <row r="1892" spans="1:21" s="552" customFormat="1" ht="15" customHeight="1">
      <c r="A1892" s="621"/>
      <c r="B1892" s="622" t="s">
        <v>1278</v>
      </c>
      <c r="C1892" s="633" t="str">
        <f t="shared" si="835"/>
        <v xml:space="preserve"> </v>
      </c>
      <c r="D1892" s="553"/>
      <c r="E1892" s="694" t="str">
        <f>VLOOKUP($B1892,dongia1,DG!$C$5,)</f>
        <v>Biển số - Bảng nguy hiểm</v>
      </c>
      <c r="F1892" s="555" t="str">
        <f>VLOOKUP($B1892,dongia1,DG!$D$5,)</f>
        <v>cái</v>
      </c>
      <c r="G1892" s="205"/>
      <c r="H1892" s="556">
        <f t="shared" si="831"/>
        <v>0</v>
      </c>
      <c r="I1892" s="556"/>
      <c r="J1892" s="556"/>
      <c r="K1892" s="556"/>
      <c r="L1892" s="556">
        <f t="shared" si="832"/>
        <v>0</v>
      </c>
      <c r="M1892" s="556"/>
      <c r="N1892" s="556"/>
      <c r="O1892" s="556"/>
      <c r="P1892" s="182">
        <f>VLOOKUP($B1892,dongia1,DG!$F$5,)</f>
        <v>60000</v>
      </c>
      <c r="Q1892" s="182"/>
      <c r="R1892" s="554"/>
      <c r="S1892" s="113">
        <f t="shared" si="833"/>
        <v>0</v>
      </c>
      <c r="T1892" s="113">
        <f t="shared" si="833"/>
        <v>0</v>
      </c>
      <c r="U1892" s="557">
        <f t="shared" si="834"/>
        <v>0</v>
      </c>
    </row>
    <row r="1893" spans="1:21">
      <c r="B1893" s="696" t="s">
        <v>418</v>
      </c>
      <c r="C1893" s="697" t="str">
        <f t="shared" si="835"/>
        <v xml:space="preserve"> </v>
      </c>
      <c r="D1893" s="698"/>
      <c r="E1893" s="699" t="str">
        <f>VLOOKUP($B1893,dongia1,DG!$C$5,)</f>
        <v>Kéo dây nhôm lõi thép cỡ dây 50mm2 (TC)</v>
      </c>
      <c r="F1893" s="700" t="str">
        <f>VLOOKUP($B1893,dongia1,DG!$D$5,)</f>
        <v>km</v>
      </c>
      <c r="G1893" s="762">
        <f>(D1807)/1000</f>
        <v>0</v>
      </c>
      <c r="H1893" s="701">
        <f t="shared" si="831"/>
        <v>0</v>
      </c>
      <c r="I1893" s="701"/>
      <c r="J1893" s="701"/>
      <c r="K1893" s="701"/>
      <c r="L1893" s="701"/>
      <c r="M1893" s="701"/>
      <c r="N1893" s="701"/>
      <c r="O1893" s="701"/>
      <c r="P1893" s="702">
        <f>VLOOKUP($B1893,dongia1,DG!$F$5,)</f>
        <v>0</v>
      </c>
      <c r="Q1893" s="934" t="str">
        <f>TEXT(VLOOKUP($B1893,dongia1,DG!$G$5,),"#.###,##0")&amp;" x"&amp;hskd</f>
        <v>3.600.186,205 x0,7</v>
      </c>
      <c r="R1893" s="703"/>
      <c r="S1893" s="702">
        <f>$G1893*P1893</f>
        <v>0</v>
      </c>
      <c r="T1893" s="702">
        <f>VLOOKUP($B1893,dongia1,DG!G$5,)*G1893*hskd</f>
        <v>0</v>
      </c>
      <c r="U1893" s="704">
        <f t="shared" si="834"/>
        <v>0</v>
      </c>
    </row>
    <row r="1894" spans="1:21" s="552" customFormat="1" ht="15" customHeight="1">
      <c r="A1894" s="621"/>
      <c r="B1894" s="622" t="s">
        <v>1518</v>
      </c>
      <c r="C1894" s="633" t="str">
        <f t="shared" si="835"/>
        <v xml:space="preserve"> </v>
      </c>
      <c r="D1894" s="553"/>
      <c r="E1894" s="694" t="str">
        <f>VLOOKUP($B1894,dongia1,DG!$C$5,)</f>
        <v>Kéo dây nhôm lõi thép cỡ dây 70mm2 (TC)</v>
      </c>
      <c r="F1894" s="555" t="str">
        <f>VLOOKUP($B1894,dongia1,DG!$D$5,)</f>
        <v>km</v>
      </c>
      <c r="G1894" s="205">
        <f>(D1806)/1000</f>
        <v>0</v>
      </c>
      <c r="H1894" s="556"/>
      <c r="I1894" s="556"/>
      <c r="J1894" s="556"/>
      <c r="K1894" s="556"/>
      <c r="L1894" s="556"/>
      <c r="M1894" s="556"/>
      <c r="N1894" s="556"/>
      <c r="O1894" s="556"/>
      <c r="P1894" s="182">
        <f>VLOOKUP($B1894,dongia1,DG!$F$5,)</f>
        <v>0</v>
      </c>
      <c r="Q1894" s="603" t="str">
        <f>TEXT(VLOOKUP($B1894,dongia1,DG!$G$5,),"#.###,##0")&amp;" x"&amp;hskd</f>
        <v>5.975.101,0 x0,7</v>
      </c>
      <c r="R1894" s="554"/>
      <c r="S1894" s="113">
        <f>$G1894*P1894</f>
        <v>0</v>
      </c>
      <c r="T1894" s="182">
        <f>VLOOKUP($B1894,dongia1,DG!G$5,)*G1894*hskd</f>
        <v>0</v>
      </c>
      <c r="U1894" s="557">
        <f t="shared" si="834"/>
        <v>0</v>
      </c>
    </row>
    <row r="1895" spans="1:21" s="552" customFormat="1" ht="15" customHeight="1">
      <c r="A1895" s="621"/>
      <c r="B1895" s="622" t="s">
        <v>1109</v>
      </c>
      <c r="C1895" s="633" t="str">
        <f t="shared" si="835"/>
        <v xml:space="preserve"> </v>
      </c>
      <c r="D1895" s="553"/>
      <c r="E1895" s="694" t="str">
        <f>VLOOKUP($B1895,dongia1,DG!$C$5,)</f>
        <v>Kéo dây nhôm bọc 50mm2</v>
      </c>
      <c r="F1895" s="555" t="str">
        <f>VLOOKUP($B1895,dongia1,DG!$D$5,)</f>
        <v>km</v>
      </c>
      <c r="G1895" s="205">
        <f>D1808/1000</f>
        <v>0</v>
      </c>
      <c r="H1895" s="556">
        <f>G1895</f>
        <v>0</v>
      </c>
      <c r="I1895" s="556"/>
      <c r="J1895" s="556"/>
      <c r="K1895" s="556"/>
      <c r="L1895" s="556"/>
      <c r="M1895" s="556"/>
      <c r="N1895" s="556"/>
      <c r="O1895" s="556"/>
      <c r="P1895" s="182">
        <f>VLOOKUP($B1895,dongia1,DG!$F$5,)</f>
        <v>0</v>
      </c>
      <c r="Q1895" s="603" t="str">
        <f>TEXT(VLOOKUP($B1895,dongia1,DG!$G$5,),"#.###,##0")&amp;" x"&amp;hskd</f>
        <v>1.986.408,0 x0,7</v>
      </c>
      <c r="R1895" s="554"/>
      <c r="S1895" s="113">
        <f>$G1895*P1895</f>
        <v>0</v>
      </c>
      <c r="T1895" s="182">
        <f>VLOOKUP($B1895,dongia1,DG!G$5,)*G1895*hskd</f>
        <v>0</v>
      </c>
      <c r="U1895" s="557">
        <f t="shared" si="834"/>
        <v>0</v>
      </c>
    </row>
    <row r="1896" spans="1:21">
      <c r="B1896" s="696" t="s">
        <v>1116</v>
      </c>
      <c r="C1896" s="697" t="str">
        <f t="shared" si="835"/>
        <v xml:space="preserve"> </v>
      </c>
      <c r="D1896" s="698"/>
      <c r="E1896" s="699" t="str">
        <f>VLOOKUP($B1896,dongia1,DG!$C$5,)</f>
        <v>Lắp sứ đứng 24KV</v>
      </c>
      <c r="F1896" s="700" t="str">
        <f>VLOOKUP($B1896,dongia1,DG!$D$5,)</f>
        <v>bộ</v>
      </c>
      <c r="G1896" s="762">
        <f>G1825+G1828+G1832</f>
        <v>0</v>
      </c>
      <c r="H1896" s="701">
        <f>G1896</f>
        <v>0</v>
      </c>
      <c r="I1896" s="701"/>
      <c r="J1896" s="701"/>
      <c r="K1896" s="701"/>
      <c r="L1896" s="701"/>
      <c r="M1896" s="701"/>
      <c r="N1896" s="701"/>
      <c r="O1896" s="701"/>
      <c r="P1896" s="702">
        <f>VLOOKUP($B1896,dongia1,DG!$F$5,)</f>
        <v>510</v>
      </c>
      <c r="Q1896" s="702">
        <f>VLOOKUP($B1896,dongia1,DG!$G$5,)</f>
        <v>58277.49</v>
      </c>
      <c r="R1896" s="703"/>
      <c r="S1896" s="702">
        <f t="shared" ref="S1896:S1903" si="836">$G1896*P1896</f>
        <v>0</v>
      </c>
      <c r="T1896" s="702">
        <f>$G1896*Q1896</f>
        <v>0</v>
      </c>
      <c r="U1896" s="704">
        <f t="shared" si="834"/>
        <v>0</v>
      </c>
    </row>
    <row r="1897" spans="1:21">
      <c r="B1897" s="696" t="s">
        <v>1117</v>
      </c>
      <c r="C1897" s="697" t="str">
        <f t="shared" si="835"/>
        <v xml:space="preserve"> </v>
      </c>
      <c r="D1897" s="698"/>
      <c r="E1897" s="699" t="str">
        <f>VLOOKUP($B1897,dongia1,DG!$C$5,)</f>
        <v>Lắp chân sứ đỉnh</v>
      </c>
      <c r="F1897" s="700" t="str">
        <f>VLOOKUP($B1897,dongia1,DG!$D$5,)</f>
        <v>cái</v>
      </c>
      <c r="G1897" s="762">
        <f>G1829+G1833</f>
        <v>0</v>
      </c>
      <c r="H1897" s="701">
        <f>G1897</f>
        <v>0</v>
      </c>
      <c r="I1897" s="701"/>
      <c r="J1897" s="701"/>
      <c r="K1897" s="701"/>
      <c r="L1897" s="701"/>
      <c r="M1897" s="701"/>
      <c r="N1897" s="701"/>
      <c r="O1897" s="701"/>
      <c r="P1897" s="702"/>
      <c r="Q1897" s="702">
        <f>VLOOKUP($B1897,dongia1,DG!$G$5,)</f>
        <v>11455</v>
      </c>
      <c r="R1897" s="703"/>
      <c r="S1897" s="702">
        <f t="shared" si="836"/>
        <v>0</v>
      </c>
      <c r="T1897" s="702">
        <f t="shared" ref="T1897:T1903" si="837">$G1897*Q1897</f>
        <v>0</v>
      </c>
      <c r="U1897" s="704">
        <f t="shared" si="834"/>
        <v>0</v>
      </c>
    </row>
    <row r="1898" spans="1:21" s="552" customFormat="1" ht="15" customHeight="1">
      <c r="A1898" s="621"/>
      <c r="B1898" s="622" t="s">
        <v>1118</v>
      </c>
      <c r="C1898" s="633" t="str">
        <f t="shared" si="835"/>
        <v xml:space="preserve"> </v>
      </c>
      <c r="D1898" s="553"/>
      <c r="E1898" s="694" t="str">
        <f>VLOOKUP($B1898,dongia1,DG!$C$5,)</f>
        <v>Lắp chuỗi sứ đỡ 2 bát/chuỗi</v>
      </c>
      <c r="F1898" s="555" t="str">
        <f>VLOOKUP($B1898,dongia1,DG!$D$5,)</f>
        <v>chuỗi</v>
      </c>
      <c r="G1898" s="205">
        <f>G1857</f>
        <v>0</v>
      </c>
      <c r="H1898" s="556"/>
      <c r="I1898" s="556"/>
      <c r="J1898" s="556"/>
      <c r="K1898" s="556"/>
      <c r="L1898" s="556"/>
      <c r="M1898" s="556"/>
      <c r="N1898" s="556"/>
      <c r="O1898" s="556"/>
      <c r="P1898" s="182"/>
      <c r="Q1898" s="182">
        <f>VLOOKUP($B1898,dongia1,DG!$G$5,)</f>
        <v>39600</v>
      </c>
      <c r="R1898" s="554"/>
      <c r="S1898" s="113">
        <f t="shared" si="836"/>
        <v>0</v>
      </c>
      <c r="T1898" s="113">
        <f t="shared" si="837"/>
        <v>0</v>
      </c>
      <c r="U1898" s="557">
        <f t="shared" si="834"/>
        <v>0</v>
      </c>
    </row>
    <row r="1899" spans="1:21" s="552" customFormat="1" ht="15" customHeight="1">
      <c r="A1899" s="621"/>
      <c r="B1899" s="622" t="s">
        <v>1119</v>
      </c>
      <c r="C1899" s="633" t="str">
        <f t="shared" si="835"/>
        <v xml:space="preserve"> </v>
      </c>
      <c r="D1899" s="553"/>
      <c r="E1899" s="694" t="str">
        <f>VLOOKUP($B1899,dongia1,DG!$C$5,)</f>
        <v>Lắp chuỗi sứ néo 2 bát/chuỗi</v>
      </c>
      <c r="F1899" s="555" t="str">
        <f>VLOOKUP($B1899,dongia1,DG!$D$5,)</f>
        <v>chuỗi</v>
      </c>
      <c r="G1899" s="205">
        <f>SUM(G1858:G1859)</f>
        <v>0</v>
      </c>
      <c r="H1899" s="556"/>
      <c r="I1899" s="556"/>
      <c r="J1899" s="556"/>
      <c r="K1899" s="556"/>
      <c r="L1899" s="556"/>
      <c r="M1899" s="556"/>
      <c r="N1899" s="556"/>
      <c r="O1899" s="556"/>
      <c r="P1899" s="554"/>
      <c r="Q1899" s="182">
        <f>VLOOKUP($B1899,dongia1,DG!$G$5,)</f>
        <v>41800</v>
      </c>
      <c r="R1899" s="554"/>
      <c r="S1899" s="113">
        <f t="shared" si="836"/>
        <v>0</v>
      </c>
      <c r="T1899" s="113">
        <f t="shared" si="837"/>
        <v>0</v>
      </c>
      <c r="U1899" s="557">
        <f t="shared" si="834"/>
        <v>0</v>
      </c>
    </row>
    <row r="1900" spans="1:21">
      <c r="B1900" s="696" t="s">
        <v>1097</v>
      </c>
      <c r="C1900" s="697" t="str">
        <f t="shared" si="835"/>
        <v xml:space="preserve"> </v>
      </c>
      <c r="D1900" s="698"/>
      <c r="E1900" s="699" t="str">
        <f>VLOOKUP($B1900,dongia1,DG!$C$5,)</f>
        <v>Lắp chuỗi sứ néo Polymer đơn</v>
      </c>
      <c r="F1900" s="700" t="str">
        <f>VLOOKUP($B1900,dongia1,DG!$D$5,)</f>
        <v>bộ</v>
      </c>
      <c r="G1900" s="762">
        <f>G1845+G1841</f>
        <v>0</v>
      </c>
      <c r="H1900" s="701">
        <f>G1900</f>
        <v>0</v>
      </c>
      <c r="I1900" s="701"/>
      <c r="J1900" s="701"/>
      <c r="K1900" s="701"/>
      <c r="L1900" s="701"/>
      <c r="M1900" s="701"/>
      <c r="N1900" s="701"/>
      <c r="O1900" s="701"/>
      <c r="P1900" s="703"/>
      <c r="Q1900" s="702">
        <f>VLOOKUP($B1900,dongia1,DG!$G$5,)</f>
        <v>70131.600000000006</v>
      </c>
      <c r="R1900" s="703"/>
      <c r="S1900" s="702">
        <f>$G1900*P1900</f>
        <v>0</v>
      </c>
      <c r="T1900" s="702">
        <f>$G1900*Q1900</f>
        <v>0</v>
      </c>
      <c r="U1900" s="704">
        <f>$G1900*R1900</f>
        <v>0</v>
      </c>
    </row>
    <row r="1901" spans="1:21">
      <c r="B1901" s="696" t="s">
        <v>602</v>
      </c>
      <c r="C1901" s="697" t="str">
        <f t="shared" si="835"/>
        <v xml:space="preserve"> </v>
      </c>
      <c r="D1901" s="698"/>
      <c r="E1901" s="699" t="str">
        <f>VLOOKUP($B1901,dongia1,DG!$C$5,)</f>
        <v>Lắp rack sứ + sứ ống chỉ</v>
      </c>
      <c r="F1901" s="700" t="str">
        <f>VLOOKUP($B1901,dongia1,DG!$D$5,)</f>
        <v>bộ</v>
      </c>
      <c r="G1901" s="762">
        <f>G1813+G1816</f>
        <v>0</v>
      </c>
      <c r="H1901" s="701">
        <f>G1901</f>
        <v>0</v>
      </c>
      <c r="I1901" s="701"/>
      <c r="J1901" s="701"/>
      <c r="K1901" s="701"/>
      <c r="L1901" s="701"/>
      <c r="M1901" s="701"/>
      <c r="N1901" s="701"/>
      <c r="O1901" s="701"/>
      <c r="P1901" s="703"/>
      <c r="Q1901" s="702">
        <f>VLOOKUP($B1901,dongia1,DG!$G$5,)</f>
        <v>15471.9</v>
      </c>
      <c r="R1901" s="703"/>
      <c r="S1901" s="702">
        <f t="shared" si="836"/>
        <v>0</v>
      </c>
      <c r="T1901" s="702">
        <f t="shared" si="837"/>
        <v>0</v>
      </c>
      <c r="U1901" s="704">
        <f t="shared" si="834"/>
        <v>0</v>
      </c>
    </row>
    <row r="1902" spans="1:21" s="552" customFormat="1" ht="15" customHeight="1">
      <c r="A1902" s="621"/>
      <c r="B1902" s="622" t="s">
        <v>604</v>
      </c>
      <c r="C1902" s="633" t="str">
        <f t="shared" si="835"/>
        <v xml:space="preserve"> </v>
      </c>
      <c r="D1902" s="553"/>
      <c r="E1902" s="694" t="str">
        <f>VLOOKUP($B1902,dongia1,DG!$C$5,)</f>
        <v xml:space="preserve">Kéo dây qua vị trí bẻ góc dây </v>
      </c>
      <c r="F1902" s="555" t="str">
        <f>VLOOKUP($B1902,dongia1,DG!$D$5,)</f>
        <v>vị trí</v>
      </c>
      <c r="G1902" s="205"/>
      <c r="H1902" s="556"/>
      <c r="I1902" s="556"/>
      <c r="J1902" s="556"/>
      <c r="K1902" s="556"/>
      <c r="L1902" s="556"/>
      <c r="M1902" s="556"/>
      <c r="N1902" s="556"/>
      <c r="O1902" s="556"/>
      <c r="P1902" s="554"/>
      <c r="Q1902" s="182">
        <f>VLOOKUP($B1902,dongia1,DG!$G$5,)</f>
        <v>61933</v>
      </c>
      <c r="R1902" s="554"/>
      <c r="S1902" s="113">
        <f t="shared" si="836"/>
        <v>0</v>
      </c>
      <c r="T1902" s="113">
        <f t="shared" si="837"/>
        <v>0</v>
      </c>
      <c r="U1902" s="557">
        <f>$G1902*R1902</f>
        <v>0</v>
      </c>
    </row>
    <row r="1903" spans="1:21" s="552" customFormat="1" ht="15" customHeight="1">
      <c r="A1903" s="621"/>
      <c r="B1903" s="622" t="s">
        <v>605</v>
      </c>
      <c r="C1903" s="633" t="str">
        <f t="shared" si="835"/>
        <v xml:space="preserve"> </v>
      </c>
      <c r="D1903" s="553"/>
      <c r="E1903" s="694" t="s">
        <v>3674</v>
      </c>
      <c r="F1903" s="555" t="str">
        <f>VLOOKUP($B1903,dongia1,DG!$D$5,)</f>
        <v>vị trí</v>
      </c>
      <c r="G1903" s="205"/>
      <c r="H1903" s="556"/>
      <c r="I1903" s="556"/>
      <c r="J1903" s="556"/>
      <c r="K1903" s="556"/>
      <c r="L1903" s="556"/>
      <c r="M1903" s="556"/>
      <c r="N1903" s="556"/>
      <c r="O1903" s="556"/>
      <c r="P1903" s="554"/>
      <c r="Q1903" s="182">
        <f>VLOOKUP($B1903,dongia1,DG!$G$5,)</f>
        <v>261513</v>
      </c>
      <c r="R1903" s="554"/>
      <c r="S1903" s="113">
        <f t="shared" si="836"/>
        <v>0</v>
      </c>
      <c r="T1903" s="113">
        <f t="shared" si="837"/>
        <v>0</v>
      </c>
      <c r="U1903" s="557">
        <f>$G1903*R1903</f>
        <v>0</v>
      </c>
    </row>
    <row r="1904" spans="1:21" s="552" customFormat="1" ht="15" customHeight="1">
      <c r="A1904" s="621" t="s">
        <v>1207</v>
      </c>
      <c r="B1904" s="622"/>
      <c r="C1904" s="558" t="str">
        <f>IF(G1904=0,"x"," ")</f>
        <v xml:space="preserve"> </v>
      </c>
      <c r="D1904" s="599"/>
      <c r="E1904" s="727" t="s">
        <v>3675</v>
      </c>
      <c r="F1904" s="600" t="s">
        <v>3694</v>
      </c>
      <c r="G1904" s="205">
        <f>IF(SUM(G1905:G2001)=0,1,0)</f>
        <v>1</v>
      </c>
      <c r="H1904" s="556"/>
      <c r="I1904" s="556"/>
      <c r="J1904" s="556"/>
      <c r="K1904" s="556"/>
      <c r="L1904" s="556"/>
      <c r="M1904" s="556"/>
      <c r="N1904" s="556"/>
      <c r="O1904" s="556"/>
      <c r="P1904" s="554"/>
      <c r="Q1904" s="554"/>
      <c r="R1904" s="601">
        <f>SUM(R1905:R2024)</f>
        <v>0</v>
      </c>
      <c r="S1904" s="601">
        <f>SUM(S1905:S2024)</f>
        <v>0</v>
      </c>
      <c r="T1904" s="601">
        <f>SUM(T1905:T2024)</f>
        <v>0</v>
      </c>
      <c r="U1904" s="719">
        <f>SUM(U1905:U2024)</f>
        <v>0</v>
      </c>
    </row>
    <row r="1905" spans="1:21" s="552" customFormat="1" ht="15" customHeight="1">
      <c r="A1905" s="621"/>
      <c r="B1905" s="622" t="s">
        <v>4384</v>
      </c>
      <c r="C1905" s="633" t="str">
        <f t="shared" ref="C1905:C1936" si="838">IF(G1905&lt;&gt;0,$C$1904," ")</f>
        <v xml:space="preserve"> </v>
      </c>
      <c r="D1905" s="611"/>
      <c r="E1905" s="694" t="str">
        <f>VLOOKUP($B1905,dongia1,DG!$C$5,)</f>
        <v>Cáp nhôm bọc AV120</v>
      </c>
      <c r="F1905" s="555" t="str">
        <f>VLOOKUP($B1905,dongia1,DG!$D$5,)</f>
        <v>mét</v>
      </c>
      <c r="G1905" s="205">
        <f>ROUND(D1905*1.02,0)</f>
        <v>0</v>
      </c>
      <c r="H1905" s="556">
        <f t="shared" ref="H1905:H1911" si="839">$G1905</f>
        <v>0</v>
      </c>
      <c r="I1905" s="556"/>
      <c r="J1905" s="556"/>
      <c r="K1905" s="556"/>
      <c r="L1905" s="556"/>
      <c r="M1905" s="556"/>
      <c r="N1905" s="556">
        <f t="shared" ref="N1905:N1921" si="840">G1905</f>
        <v>0</v>
      </c>
      <c r="O1905" s="556"/>
      <c r="P1905" s="182">
        <f>VLOOKUP($B1905,dongia1,DG!$F$5,)</f>
        <v>31700</v>
      </c>
      <c r="Q1905" s="554"/>
      <c r="R1905" s="554"/>
      <c r="S1905" s="113">
        <f t="shared" ref="S1905:U1917" si="841">$G1905*P1905</f>
        <v>0</v>
      </c>
      <c r="T1905" s="113">
        <f t="shared" si="841"/>
        <v>0</v>
      </c>
      <c r="U1905" s="715">
        <f t="shared" si="841"/>
        <v>0</v>
      </c>
    </row>
    <row r="1906" spans="1:21" s="552" customFormat="1" ht="15" customHeight="1">
      <c r="A1906" s="621"/>
      <c r="B1906" s="622" t="s">
        <v>4385</v>
      </c>
      <c r="C1906" s="633" t="str">
        <f t="shared" si="838"/>
        <v xml:space="preserve"> </v>
      </c>
      <c r="D1906" s="611"/>
      <c r="E1906" s="694" t="str">
        <f>VLOOKUP($B1906,dongia1,DG!$C$5,)</f>
        <v>Cáp nhôm bọc AV95</v>
      </c>
      <c r="F1906" s="555" t="str">
        <f>VLOOKUP($B1906,dongia1,DG!$D$5,)</f>
        <v>mét</v>
      </c>
      <c r="G1906" s="205">
        <f>ROUND(D1906*1.02,0)</f>
        <v>0</v>
      </c>
      <c r="H1906" s="556">
        <f t="shared" si="839"/>
        <v>0</v>
      </c>
      <c r="I1906" s="556"/>
      <c r="J1906" s="556"/>
      <c r="K1906" s="556"/>
      <c r="L1906" s="556"/>
      <c r="M1906" s="556"/>
      <c r="N1906" s="556">
        <f>G1906</f>
        <v>0</v>
      </c>
      <c r="O1906" s="556"/>
      <c r="P1906" s="182">
        <f>VLOOKUP($B1906,dongia1,DG!$F$5,)</f>
        <v>27300</v>
      </c>
      <c r="Q1906" s="554"/>
      <c r="R1906" s="554"/>
      <c r="S1906" s="113">
        <f t="shared" ref="S1906:U1910" si="842">$G1906*P1906</f>
        <v>0</v>
      </c>
      <c r="T1906" s="113">
        <f t="shared" si="842"/>
        <v>0</v>
      </c>
      <c r="U1906" s="557">
        <f t="shared" si="842"/>
        <v>0</v>
      </c>
    </row>
    <row r="1907" spans="1:21" s="552" customFormat="1" ht="15" customHeight="1">
      <c r="A1907" s="621"/>
      <c r="B1907" s="622" t="s">
        <v>490</v>
      </c>
      <c r="C1907" s="633" t="str">
        <f t="shared" si="838"/>
        <v xml:space="preserve"> </v>
      </c>
      <c r="D1907" s="611"/>
      <c r="E1907" s="694" t="str">
        <f>VLOOKUP($B1907,dongia1,DG!$C$5,)</f>
        <v>Cáp nhôm bọc AV70</v>
      </c>
      <c r="F1907" s="555" t="str">
        <f>VLOOKUP($B1907,dongia1,DG!$D$5,)</f>
        <v>mét</v>
      </c>
      <c r="G1907" s="205">
        <f>ROUND(D1907*1.02,0)</f>
        <v>0</v>
      </c>
      <c r="H1907" s="556">
        <f t="shared" si="839"/>
        <v>0</v>
      </c>
      <c r="I1907" s="556"/>
      <c r="J1907" s="556"/>
      <c r="K1907" s="556"/>
      <c r="L1907" s="556"/>
      <c r="M1907" s="556"/>
      <c r="N1907" s="556">
        <f>G1907</f>
        <v>0</v>
      </c>
      <c r="O1907" s="556"/>
      <c r="P1907" s="182">
        <f>VLOOKUP($B1907,dongia1,DG!$F$5,)</f>
        <v>20200</v>
      </c>
      <c r="Q1907" s="554"/>
      <c r="R1907" s="554"/>
      <c r="S1907" s="113">
        <f t="shared" si="842"/>
        <v>0</v>
      </c>
      <c r="T1907" s="113">
        <f t="shared" si="842"/>
        <v>0</v>
      </c>
      <c r="U1907" s="557">
        <f t="shared" si="842"/>
        <v>0</v>
      </c>
    </row>
    <row r="1908" spans="1:21" s="552" customFormat="1" ht="15" customHeight="1">
      <c r="A1908" s="621"/>
      <c r="B1908" s="622" t="s">
        <v>1201</v>
      </c>
      <c r="C1908" s="633" t="str">
        <f t="shared" si="838"/>
        <v xml:space="preserve"> </v>
      </c>
      <c r="D1908" s="611"/>
      <c r="E1908" s="694" t="str">
        <f>VLOOKUP($B1908,dongia1,DG!$C$5,)</f>
        <v>Cáp nhôm bọc AV50</v>
      </c>
      <c r="F1908" s="555" t="str">
        <f>VLOOKUP($B1908,dongia1,DG!$D$5,)</f>
        <v>mét</v>
      </c>
      <c r="G1908" s="205">
        <f>ROUND(D1908*1.02,0)</f>
        <v>0</v>
      </c>
      <c r="H1908" s="556">
        <f t="shared" si="839"/>
        <v>0</v>
      </c>
      <c r="I1908" s="556"/>
      <c r="J1908" s="556"/>
      <c r="K1908" s="556"/>
      <c r="L1908" s="556"/>
      <c r="M1908" s="556"/>
      <c r="N1908" s="556">
        <f>G1908</f>
        <v>0</v>
      </c>
      <c r="O1908" s="556"/>
      <c r="P1908" s="182">
        <f>VLOOKUP($B1908,dongia1,DG!$F$5,)</f>
        <v>15310</v>
      </c>
      <c r="Q1908" s="554"/>
      <c r="R1908" s="554"/>
      <c r="S1908" s="113">
        <f t="shared" si="842"/>
        <v>0</v>
      </c>
      <c r="T1908" s="113">
        <f t="shared" si="842"/>
        <v>0</v>
      </c>
      <c r="U1908" s="557">
        <f t="shared" si="842"/>
        <v>0</v>
      </c>
    </row>
    <row r="1909" spans="1:21" s="552" customFormat="1" ht="15" customHeight="1">
      <c r="A1909" s="621"/>
      <c r="B1909" s="622" t="s">
        <v>4386</v>
      </c>
      <c r="C1909" s="633" t="str">
        <f t="shared" si="838"/>
        <v xml:space="preserve"> </v>
      </c>
      <c r="D1909" s="611"/>
      <c r="E1909" s="694" t="str">
        <f>VLOOKUP($B1909,dongia1,DG!$C$5,)</f>
        <v>Cáp nhôm lõi thép AC-70/11</v>
      </c>
      <c r="F1909" s="555" t="str">
        <f>VLOOKUP($B1909,dongia1,DG!$D$5,)</f>
        <v>kg</v>
      </c>
      <c r="G1909" s="205">
        <f>ROUND(D1909*1.02*0.276,2)</f>
        <v>0</v>
      </c>
      <c r="H1909" s="556">
        <f t="shared" si="839"/>
        <v>0</v>
      </c>
      <c r="I1909" s="556"/>
      <c r="J1909" s="556"/>
      <c r="K1909" s="556"/>
      <c r="L1909" s="556"/>
      <c r="M1909" s="556"/>
      <c r="N1909" s="556">
        <f>G1909</f>
        <v>0</v>
      </c>
      <c r="O1909" s="556"/>
      <c r="P1909" s="182">
        <f>VLOOKUP($B1909,dongia1,DG!$F$5,)</f>
        <v>63000</v>
      </c>
      <c r="Q1909" s="554"/>
      <c r="R1909" s="554"/>
      <c r="S1909" s="113">
        <f t="shared" si="842"/>
        <v>0</v>
      </c>
      <c r="T1909" s="113">
        <f t="shared" si="842"/>
        <v>0</v>
      </c>
      <c r="U1909" s="557">
        <f t="shared" si="842"/>
        <v>0</v>
      </c>
    </row>
    <row r="1910" spans="1:21" s="552" customFormat="1" ht="15" customHeight="1">
      <c r="A1910" s="621"/>
      <c r="B1910" s="622" t="s">
        <v>4387</v>
      </c>
      <c r="C1910" s="633" t="str">
        <f t="shared" si="838"/>
        <v xml:space="preserve"> </v>
      </c>
      <c r="D1910" s="611"/>
      <c r="E1910" s="694" t="str">
        <f>VLOOKUP($B1910,dongia1,DG!$C$5,)</f>
        <v>Cáp nhôm lõi thép AC-50/8</v>
      </c>
      <c r="F1910" s="555" t="str">
        <f>VLOOKUP($B1910,dongia1,DG!$D$5,)</f>
        <v>kg</v>
      </c>
      <c r="G1910" s="205">
        <f>ROUND(D1910*1.02*0.195,2)</f>
        <v>0</v>
      </c>
      <c r="H1910" s="556">
        <f t="shared" si="839"/>
        <v>0</v>
      </c>
      <c r="I1910" s="556"/>
      <c r="J1910" s="556"/>
      <c r="K1910" s="556"/>
      <c r="L1910" s="556"/>
      <c r="M1910" s="556"/>
      <c r="N1910" s="556">
        <f>G1910</f>
        <v>0</v>
      </c>
      <c r="O1910" s="556"/>
      <c r="P1910" s="182">
        <f>VLOOKUP($B1910,dongia1,DG!$F$5,)</f>
        <v>76800</v>
      </c>
      <c r="Q1910" s="554"/>
      <c r="R1910" s="554"/>
      <c r="S1910" s="113">
        <f t="shared" si="842"/>
        <v>0</v>
      </c>
      <c r="T1910" s="113">
        <f t="shared" si="842"/>
        <v>0</v>
      </c>
      <c r="U1910" s="557">
        <f t="shared" si="842"/>
        <v>0</v>
      </c>
    </row>
    <row r="1911" spans="1:21" s="552" customFormat="1" ht="15" customHeight="1">
      <c r="A1911" s="621"/>
      <c r="B1911" s="622" t="s">
        <v>1013</v>
      </c>
      <c r="C1911" s="633" t="str">
        <f t="shared" si="838"/>
        <v xml:space="preserve"> </v>
      </c>
      <c r="D1911" s="611"/>
      <c r="E1911" s="694" t="str">
        <f>VLOOKUP($B1911,dongia1,DG!$C$5,)</f>
        <v>Cáp nhôm ABC 4x150mm2</v>
      </c>
      <c r="F1911" s="555" t="str">
        <f>VLOOKUP($B1911,dongia1,DG!$D$5,)</f>
        <v>mét</v>
      </c>
      <c r="G1911" s="205">
        <f t="shared" ref="G1911:G1919" si="843">ROUND(D1911*1.02,0)</f>
        <v>0</v>
      </c>
      <c r="H1911" s="556">
        <f t="shared" si="839"/>
        <v>0</v>
      </c>
      <c r="I1911" s="556"/>
      <c r="J1911" s="556"/>
      <c r="K1911" s="556"/>
      <c r="L1911" s="556"/>
      <c r="M1911" s="556"/>
      <c r="N1911" s="556">
        <f t="shared" si="840"/>
        <v>0</v>
      </c>
      <c r="O1911" s="556"/>
      <c r="P1911" s="182">
        <f>VLOOKUP($B1911,dongia1,DG!$F$5,)</f>
        <v>187900</v>
      </c>
      <c r="Q1911" s="554"/>
      <c r="R1911" s="554"/>
      <c r="S1911" s="113">
        <f t="shared" si="841"/>
        <v>0</v>
      </c>
      <c r="T1911" s="113">
        <f t="shared" si="841"/>
        <v>0</v>
      </c>
      <c r="U1911" s="557">
        <f t="shared" si="841"/>
        <v>0</v>
      </c>
    </row>
    <row r="1912" spans="1:21" s="552" customFormat="1" ht="15" customHeight="1">
      <c r="A1912" s="621"/>
      <c r="B1912" s="622" t="s">
        <v>1087</v>
      </c>
      <c r="C1912" s="633" t="str">
        <f t="shared" si="838"/>
        <v xml:space="preserve"> </v>
      </c>
      <c r="D1912" s="611"/>
      <c r="E1912" s="694" t="str">
        <f>VLOOKUP($B1912,dongia1,DG!$C$5,)</f>
        <v>Cáp nhôm ABC 4x120mm2</v>
      </c>
      <c r="F1912" s="555" t="str">
        <f>VLOOKUP($B1912,dongia1,DG!$D$5,)</f>
        <v>mét</v>
      </c>
      <c r="G1912" s="205">
        <f t="shared" si="843"/>
        <v>0</v>
      </c>
      <c r="H1912" s="556">
        <f t="shared" ref="H1912:H1921" si="844">G1912</f>
        <v>0</v>
      </c>
      <c r="I1912" s="556"/>
      <c r="J1912" s="556"/>
      <c r="K1912" s="556"/>
      <c r="L1912" s="556"/>
      <c r="M1912" s="556"/>
      <c r="N1912" s="556">
        <f t="shared" si="840"/>
        <v>0</v>
      </c>
      <c r="O1912" s="556"/>
      <c r="P1912" s="182">
        <f>VLOOKUP($B1912,dongia1,DG!$F$5,)</f>
        <v>96867</v>
      </c>
      <c r="Q1912" s="554"/>
      <c r="R1912" s="554"/>
      <c r="S1912" s="113">
        <f t="shared" si="841"/>
        <v>0</v>
      </c>
      <c r="T1912" s="113">
        <f t="shared" si="841"/>
        <v>0</v>
      </c>
      <c r="U1912" s="718">
        <f t="shared" si="841"/>
        <v>0</v>
      </c>
    </row>
    <row r="1913" spans="1:21" s="552" customFormat="1" ht="15" customHeight="1">
      <c r="A1913" s="621"/>
      <c r="B1913" s="622" t="s">
        <v>1086</v>
      </c>
      <c r="C1913" s="633" t="str">
        <f t="shared" si="838"/>
        <v xml:space="preserve"> </v>
      </c>
      <c r="D1913" s="611"/>
      <c r="E1913" s="694" t="str">
        <f>VLOOKUP($B1913,dongia1,DG!$C$5,)</f>
        <v>Cáp nhôm ABC 4x95mm2</v>
      </c>
      <c r="F1913" s="555" t="str">
        <f>VLOOKUP($B1913,dongia1,DG!$D$5,)</f>
        <v>mét</v>
      </c>
      <c r="G1913" s="205">
        <f t="shared" si="843"/>
        <v>0</v>
      </c>
      <c r="H1913" s="556">
        <f t="shared" si="844"/>
        <v>0</v>
      </c>
      <c r="I1913" s="556"/>
      <c r="J1913" s="556"/>
      <c r="K1913" s="556"/>
      <c r="L1913" s="556"/>
      <c r="M1913" s="556"/>
      <c r="N1913" s="556">
        <f t="shared" si="840"/>
        <v>0</v>
      </c>
      <c r="O1913" s="556"/>
      <c r="P1913" s="182">
        <f>VLOOKUP($B1913,dongia1,DG!$F$5,)</f>
        <v>82607</v>
      </c>
      <c r="Q1913" s="554"/>
      <c r="R1913" s="554"/>
      <c r="S1913" s="113">
        <f t="shared" si="841"/>
        <v>0</v>
      </c>
      <c r="T1913" s="113">
        <f t="shared" si="841"/>
        <v>0</v>
      </c>
      <c r="U1913" s="715">
        <f t="shared" si="841"/>
        <v>0</v>
      </c>
    </row>
    <row r="1914" spans="1:21" s="552" customFormat="1" ht="15" customHeight="1">
      <c r="A1914" s="621"/>
      <c r="B1914" s="622" t="s">
        <v>1085</v>
      </c>
      <c r="C1914" s="633" t="str">
        <f t="shared" si="838"/>
        <v xml:space="preserve"> </v>
      </c>
      <c r="D1914" s="611"/>
      <c r="E1914" s="694" t="str">
        <f>VLOOKUP($B1914,dongia1,DG!$C$5,)</f>
        <v>Cáp nhôm ABC 4x70mm2</v>
      </c>
      <c r="F1914" s="555" t="str">
        <f>VLOOKUP($B1914,dongia1,DG!$D$5,)</f>
        <v>mét</v>
      </c>
      <c r="G1914" s="205">
        <f t="shared" si="843"/>
        <v>0</v>
      </c>
      <c r="H1914" s="556">
        <f t="shared" si="844"/>
        <v>0</v>
      </c>
      <c r="I1914" s="556"/>
      <c r="J1914" s="556"/>
      <c r="K1914" s="556"/>
      <c r="L1914" s="556"/>
      <c r="M1914" s="556"/>
      <c r="N1914" s="556">
        <f t="shared" si="840"/>
        <v>0</v>
      </c>
      <c r="O1914" s="556"/>
      <c r="P1914" s="182">
        <f>VLOOKUP($B1914,dongia1,DG!$F$5,)</f>
        <v>94300</v>
      </c>
      <c r="Q1914" s="554"/>
      <c r="R1914" s="554"/>
      <c r="S1914" s="113">
        <f t="shared" si="841"/>
        <v>0</v>
      </c>
      <c r="T1914" s="113">
        <f t="shared" si="841"/>
        <v>0</v>
      </c>
      <c r="U1914" s="557">
        <f t="shared" si="841"/>
        <v>0</v>
      </c>
    </row>
    <row r="1915" spans="1:21" s="552" customFormat="1" ht="15" customHeight="1">
      <c r="A1915" s="621"/>
      <c r="B1915" s="622" t="s">
        <v>1084</v>
      </c>
      <c r="C1915" s="633" t="str">
        <f t="shared" si="838"/>
        <v xml:space="preserve"> </v>
      </c>
      <c r="D1915" s="611"/>
      <c r="E1915" s="694" t="str">
        <f>VLOOKUP($B1915,dongia1,DG!$C$5,)</f>
        <v>Cáp nhôm ABC 4x50mm2</v>
      </c>
      <c r="F1915" s="555" t="str">
        <f>VLOOKUP($B1915,dongia1,DG!$D$5,)</f>
        <v>mét</v>
      </c>
      <c r="G1915" s="205">
        <f t="shared" si="843"/>
        <v>0</v>
      </c>
      <c r="H1915" s="556">
        <f t="shared" si="844"/>
        <v>0</v>
      </c>
      <c r="I1915" s="556"/>
      <c r="J1915" s="556"/>
      <c r="K1915" s="556"/>
      <c r="L1915" s="556"/>
      <c r="M1915" s="556"/>
      <c r="N1915" s="556">
        <f t="shared" si="840"/>
        <v>0</v>
      </c>
      <c r="O1915" s="556"/>
      <c r="P1915" s="182">
        <f>VLOOKUP($B1915,dongia1,DG!$F$5,)</f>
        <v>68800</v>
      </c>
      <c r="Q1915" s="554"/>
      <c r="R1915" s="554"/>
      <c r="S1915" s="113">
        <f t="shared" si="841"/>
        <v>0</v>
      </c>
      <c r="T1915" s="113">
        <f t="shared" si="841"/>
        <v>0</v>
      </c>
      <c r="U1915" s="557">
        <f t="shared" si="841"/>
        <v>0</v>
      </c>
    </row>
    <row r="1916" spans="1:21" s="552" customFormat="1" ht="15" customHeight="1">
      <c r="A1916" s="621"/>
      <c r="B1916" s="622" t="s">
        <v>4388</v>
      </c>
      <c r="C1916" s="633" t="str">
        <f t="shared" si="838"/>
        <v xml:space="preserve"> </v>
      </c>
      <c r="D1916" s="611"/>
      <c r="E1916" s="694" t="str">
        <f>VLOOKUP($B1916,dongia1,DG!$C$5,)</f>
        <v>Cáp nhôm ABC 3x120mm2</v>
      </c>
      <c r="F1916" s="555" t="str">
        <f>VLOOKUP($B1916,dongia1,DG!$D$5,)</f>
        <v>mét</v>
      </c>
      <c r="G1916" s="205">
        <f t="shared" si="843"/>
        <v>0</v>
      </c>
      <c r="H1916" s="556">
        <f>G1916</f>
        <v>0</v>
      </c>
      <c r="I1916" s="556"/>
      <c r="J1916" s="556"/>
      <c r="K1916" s="556"/>
      <c r="L1916" s="556"/>
      <c r="M1916" s="556"/>
      <c r="N1916" s="556">
        <f t="shared" si="840"/>
        <v>0</v>
      </c>
      <c r="O1916" s="556"/>
      <c r="P1916" s="182">
        <f>VLOOKUP($B1916,dongia1,DG!$F$5,)</f>
        <v>119400</v>
      </c>
      <c r="Q1916" s="554"/>
      <c r="R1916" s="554"/>
      <c r="S1916" s="113">
        <f>$G1916*P1916</f>
        <v>0</v>
      </c>
      <c r="T1916" s="113">
        <f>$G1916*Q1916</f>
        <v>0</v>
      </c>
      <c r="U1916" s="557">
        <f>$G1916*R1916</f>
        <v>0</v>
      </c>
    </row>
    <row r="1917" spans="1:21" s="552" customFormat="1" ht="15" customHeight="1">
      <c r="A1917" s="621"/>
      <c r="B1917" s="622" t="s">
        <v>4389</v>
      </c>
      <c r="C1917" s="633" t="str">
        <f t="shared" si="838"/>
        <v xml:space="preserve"> </v>
      </c>
      <c r="D1917" s="611"/>
      <c r="E1917" s="694" t="str">
        <f>VLOOKUP($B1917,dongia1,DG!$C$5,)</f>
        <v>Cáp nhôm ABC 3x95mm2</v>
      </c>
      <c r="F1917" s="555" t="str">
        <f>VLOOKUP($B1917,dongia1,DG!$D$5,)</f>
        <v>mét</v>
      </c>
      <c r="G1917" s="205">
        <f t="shared" si="843"/>
        <v>0</v>
      </c>
      <c r="H1917" s="556">
        <f t="shared" si="844"/>
        <v>0</v>
      </c>
      <c r="I1917" s="556"/>
      <c r="J1917" s="556"/>
      <c r="K1917" s="556"/>
      <c r="L1917" s="556"/>
      <c r="M1917" s="556"/>
      <c r="N1917" s="556">
        <f t="shared" si="840"/>
        <v>0</v>
      </c>
      <c r="O1917" s="556"/>
      <c r="P1917" s="182">
        <f>VLOOKUP($B1917,dongia1,DG!$F$5,)</f>
        <v>78000</v>
      </c>
      <c r="Q1917" s="554"/>
      <c r="R1917" s="554"/>
      <c r="S1917" s="113">
        <f t="shared" si="841"/>
        <v>0</v>
      </c>
      <c r="T1917" s="113">
        <f t="shared" si="841"/>
        <v>0</v>
      </c>
      <c r="U1917" s="557">
        <f t="shared" si="841"/>
        <v>0</v>
      </c>
    </row>
    <row r="1918" spans="1:21" s="552" customFormat="1" ht="15" customHeight="1">
      <c r="A1918" s="621"/>
      <c r="B1918" s="622" t="s">
        <v>1654</v>
      </c>
      <c r="C1918" s="633" t="str">
        <f t="shared" si="838"/>
        <v xml:space="preserve"> </v>
      </c>
      <c r="D1918" s="611"/>
      <c r="E1918" s="694" t="str">
        <f>VLOOKUP($B1918,dongia1,DG!$C$5,)</f>
        <v>Cáp nhôm ABC 3x70mm2</v>
      </c>
      <c r="F1918" s="555" t="str">
        <f>VLOOKUP($B1918,dongia1,DG!$D$5,)</f>
        <v>mét</v>
      </c>
      <c r="G1918" s="205">
        <f t="shared" si="843"/>
        <v>0</v>
      </c>
      <c r="H1918" s="556">
        <f>G1918</f>
        <v>0</v>
      </c>
      <c r="I1918" s="556"/>
      <c r="J1918" s="556"/>
      <c r="K1918" s="556"/>
      <c r="L1918" s="556"/>
      <c r="M1918" s="556"/>
      <c r="N1918" s="556">
        <f>G1918</f>
        <v>0</v>
      </c>
      <c r="O1918" s="556"/>
      <c r="P1918" s="182">
        <f>VLOOKUP($B1918,dongia1,DG!$F$5,)</f>
        <v>67800</v>
      </c>
      <c r="Q1918" s="554"/>
      <c r="R1918" s="554"/>
      <c r="S1918" s="113">
        <f t="shared" ref="S1918:U1921" si="845">$G1918*P1918</f>
        <v>0</v>
      </c>
      <c r="T1918" s="113">
        <f t="shared" si="845"/>
        <v>0</v>
      </c>
      <c r="U1918" s="557">
        <f t="shared" si="845"/>
        <v>0</v>
      </c>
    </row>
    <row r="1919" spans="1:21" s="552" customFormat="1" ht="15" customHeight="1">
      <c r="A1919" s="621"/>
      <c r="B1919" s="622" t="s">
        <v>1653</v>
      </c>
      <c r="C1919" s="633" t="str">
        <f t="shared" si="838"/>
        <v xml:space="preserve"> </v>
      </c>
      <c r="D1919" s="611"/>
      <c r="E1919" s="694" t="str">
        <f>VLOOKUP($B1919,dongia1,DG!$C$5,)</f>
        <v>Cáp nhôm ABC 3x50mm2</v>
      </c>
      <c r="F1919" s="555" t="str">
        <f>VLOOKUP($B1919,dongia1,DG!$D$5,)</f>
        <v>mét</v>
      </c>
      <c r="G1919" s="205">
        <f t="shared" si="843"/>
        <v>0</v>
      </c>
      <c r="H1919" s="556">
        <f>G1919</f>
        <v>0</v>
      </c>
      <c r="I1919" s="556"/>
      <c r="J1919" s="556"/>
      <c r="K1919" s="556"/>
      <c r="L1919" s="556"/>
      <c r="M1919" s="556"/>
      <c r="N1919" s="556">
        <f>G1919</f>
        <v>0</v>
      </c>
      <c r="O1919" s="556"/>
      <c r="P1919" s="182">
        <f>VLOOKUP($B1919,dongia1,DG!$F$5,)</f>
        <v>45800</v>
      </c>
      <c r="Q1919" s="554"/>
      <c r="R1919" s="554"/>
      <c r="S1919" s="113">
        <f t="shared" si="845"/>
        <v>0</v>
      </c>
      <c r="T1919" s="113">
        <f t="shared" si="845"/>
        <v>0</v>
      </c>
      <c r="U1919" s="557">
        <f t="shared" si="845"/>
        <v>0</v>
      </c>
    </row>
    <row r="1920" spans="1:21" s="552" customFormat="1" ht="15" customHeight="1">
      <c r="A1920" s="621"/>
      <c r="B1920" s="622" t="s">
        <v>1995</v>
      </c>
      <c r="C1920" s="633" t="str">
        <f t="shared" si="838"/>
        <v xml:space="preserve"> </v>
      </c>
      <c r="D1920" s="553"/>
      <c r="E1920" s="694" t="str">
        <f>VLOOKUP($B1920,dongia1,DG!$C$5,)</f>
        <v xml:space="preserve">Sứ ống chỉ </v>
      </c>
      <c r="F1920" s="555" t="str">
        <f>VLOOKUP($B1920,dongia1,DG!$D$5,)</f>
        <v>cái</v>
      </c>
      <c r="G1920" s="205">
        <f>ppht!CP14</f>
        <v>0</v>
      </c>
      <c r="H1920" s="556">
        <f t="shared" si="844"/>
        <v>0</v>
      </c>
      <c r="I1920" s="556"/>
      <c r="J1920" s="556"/>
      <c r="K1920" s="556"/>
      <c r="L1920" s="556"/>
      <c r="M1920" s="556"/>
      <c r="N1920" s="556">
        <f t="shared" si="840"/>
        <v>0</v>
      </c>
      <c r="O1920" s="556"/>
      <c r="P1920" s="182">
        <f>VLOOKUP($B1920,dongia1,DG!$F$5,)</f>
        <v>16000</v>
      </c>
      <c r="Q1920" s="182">
        <f>VLOOKUP($B1920,dongia1,DG!$G$5,)</f>
        <v>0</v>
      </c>
      <c r="R1920" s="554"/>
      <c r="S1920" s="113">
        <f t="shared" si="845"/>
        <v>0</v>
      </c>
      <c r="T1920" s="113">
        <f t="shared" si="845"/>
        <v>0</v>
      </c>
      <c r="U1920" s="557">
        <f t="shared" si="845"/>
        <v>0</v>
      </c>
    </row>
    <row r="1921" spans="1:21" s="552" customFormat="1" ht="15" customHeight="1">
      <c r="A1921" s="621"/>
      <c r="B1921" s="622" t="s">
        <v>1276</v>
      </c>
      <c r="C1921" s="633" t="str">
        <f t="shared" si="838"/>
        <v xml:space="preserve"> </v>
      </c>
      <c r="D1921" s="553"/>
      <c r="E1921" s="694" t="str">
        <f>VLOOKUP($B1921,dongia1,DG!$C$5,)</f>
        <v>Uclevis (loại gân)+ sứ ống chỉ</v>
      </c>
      <c r="F1921" s="555" t="str">
        <f>VLOOKUP($B1921,dongia1,DG!$D$5,)</f>
        <v>bộ</v>
      </c>
      <c r="G1921" s="205">
        <f>ppht!CQ14</f>
        <v>0</v>
      </c>
      <c r="H1921" s="556">
        <f t="shared" si="844"/>
        <v>0</v>
      </c>
      <c r="I1921" s="556"/>
      <c r="J1921" s="556"/>
      <c r="K1921" s="556"/>
      <c r="L1921" s="556"/>
      <c r="M1921" s="556"/>
      <c r="N1921" s="556">
        <f t="shared" si="840"/>
        <v>0</v>
      </c>
      <c r="O1921" s="556"/>
      <c r="P1921" s="182">
        <f>VLOOKUP($B1921,dongia1,DG!$F$5,)</f>
        <v>35000</v>
      </c>
      <c r="Q1921" s="182">
        <f>VLOOKUP($B1921,dongia1,DG!$G$5,)</f>
        <v>0</v>
      </c>
      <c r="R1921" s="554"/>
      <c r="S1921" s="113">
        <f t="shared" si="845"/>
        <v>0</v>
      </c>
      <c r="T1921" s="113">
        <f t="shared" si="845"/>
        <v>0</v>
      </c>
      <c r="U1921" s="557">
        <f t="shared" si="845"/>
        <v>0</v>
      </c>
    </row>
    <row r="1922" spans="1:21" s="552" customFormat="1" ht="15" customHeight="1">
      <c r="A1922" s="621"/>
      <c r="B1922" s="622" t="s">
        <v>2041</v>
      </c>
      <c r="C1922" s="633" t="str">
        <f t="shared" si="838"/>
        <v xml:space="preserve"> </v>
      </c>
      <c r="D1922" s="553"/>
      <c r="E1922" s="694" t="str">
        <f>VLOOKUP($B1922,dongia1,DG!$C$5,)</f>
        <v>Rack 2 sứ + sứ ống chỉ</v>
      </c>
      <c r="F1922" s="555" t="str">
        <f>VLOOKUP($B1922,dongia1,DG!$D$5,)</f>
        <v>bộ</v>
      </c>
      <c r="G1922" s="205">
        <f>ppht!CR14</f>
        <v>0</v>
      </c>
      <c r="H1922" s="556">
        <f t="shared" ref="H1922:H2001" si="846">G1922</f>
        <v>0</v>
      </c>
      <c r="I1922" s="556"/>
      <c r="J1922" s="556"/>
      <c r="K1922" s="556"/>
      <c r="L1922" s="556"/>
      <c r="M1922" s="556"/>
      <c r="N1922" s="556">
        <f t="shared" ref="N1922:N2001" si="847">G1922</f>
        <v>0</v>
      </c>
      <c r="O1922" s="556"/>
      <c r="P1922" s="182">
        <f>VLOOKUP($B1922,dongia1,DG!$F$5,)</f>
        <v>101000</v>
      </c>
      <c r="Q1922" s="182">
        <f>VLOOKUP($B1922,dongia1,DG!$G$5,)</f>
        <v>0</v>
      </c>
      <c r="R1922" s="554"/>
      <c r="S1922" s="113">
        <f t="shared" ref="S1922:S2001" si="848">$G1922*P1922</f>
        <v>0</v>
      </c>
      <c r="T1922" s="113">
        <f t="shared" ref="T1922:T2001" si="849">$G1922*Q1922</f>
        <v>0</v>
      </c>
      <c r="U1922" s="557">
        <f t="shared" ref="U1922:U2001" si="850">$G1922*R1922</f>
        <v>0</v>
      </c>
    </row>
    <row r="1923" spans="1:21" s="552" customFormat="1" ht="15" customHeight="1">
      <c r="A1923" s="621"/>
      <c r="B1923" s="622" t="s">
        <v>592</v>
      </c>
      <c r="C1923" s="633" t="str">
        <f t="shared" si="838"/>
        <v xml:space="preserve"> </v>
      </c>
      <c r="D1923" s="553"/>
      <c r="E1923" s="694" t="str">
        <f>VLOOKUP($B1923,dongia1,DG!$C$5,)</f>
        <v>Rack 3 sứ + sứ ống chỉ</v>
      </c>
      <c r="F1923" s="555" t="str">
        <f>VLOOKUP($B1923,dongia1,DG!$D$5,)</f>
        <v>bộ</v>
      </c>
      <c r="G1923" s="205">
        <f>ppht!CS14</f>
        <v>0</v>
      </c>
      <c r="H1923" s="556">
        <f t="shared" si="846"/>
        <v>0</v>
      </c>
      <c r="I1923" s="556"/>
      <c r="J1923" s="556"/>
      <c r="K1923" s="556"/>
      <c r="L1923" s="556"/>
      <c r="M1923" s="556"/>
      <c r="N1923" s="556">
        <f t="shared" si="847"/>
        <v>0</v>
      </c>
      <c r="O1923" s="556"/>
      <c r="P1923" s="182">
        <f>VLOOKUP($B1923,dongia1,DG!$F$5,)</f>
        <v>147000</v>
      </c>
      <c r="Q1923" s="182">
        <f>VLOOKUP($B1923,dongia1,DG!$G$5,)</f>
        <v>0</v>
      </c>
      <c r="R1923" s="554"/>
      <c r="S1923" s="113">
        <f t="shared" si="848"/>
        <v>0</v>
      </c>
      <c r="T1923" s="113">
        <f t="shared" si="849"/>
        <v>0</v>
      </c>
      <c r="U1923" s="557">
        <f t="shared" si="850"/>
        <v>0</v>
      </c>
    </row>
    <row r="1924" spans="1:21" s="552" customFormat="1" ht="15" customHeight="1">
      <c r="A1924" s="621"/>
      <c r="B1924" s="622" t="s">
        <v>649</v>
      </c>
      <c r="C1924" s="633" t="str">
        <f t="shared" si="838"/>
        <v xml:space="preserve"> </v>
      </c>
      <c r="D1924" s="553"/>
      <c r="E1924" s="694" t="str">
        <f>VLOOKUP($B1924,dongia1,DG!$C$5,)</f>
        <v>Rack 4 sứ + sứ ống chỉ</v>
      </c>
      <c r="F1924" s="555" t="str">
        <f>VLOOKUP($B1924,dongia1,DG!$D$5,)</f>
        <v>bộ</v>
      </c>
      <c r="G1924" s="205">
        <f>ppht!CT14</f>
        <v>0</v>
      </c>
      <c r="H1924" s="556">
        <f t="shared" si="846"/>
        <v>0</v>
      </c>
      <c r="I1924" s="556"/>
      <c r="J1924" s="556"/>
      <c r="K1924" s="556"/>
      <c r="L1924" s="556"/>
      <c r="M1924" s="556"/>
      <c r="N1924" s="556">
        <f t="shared" si="847"/>
        <v>0</v>
      </c>
      <c r="O1924" s="556"/>
      <c r="P1924" s="182">
        <f>VLOOKUP($B1924,dongia1,DG!$F$5,)</f>
        <v>196000</v>
      </c>
      <c r="Q1924" s="182">
        <f>VLOOKUP($B1924,dongia1,DG!$G$5,)</f>
        <v>0</v>
      </c>
      <c r="R1924" s="554"/>
      <c r="S1924" s="113">
        <f t="shared" si="848"/>
        <v>0</v>
      </c>
      <c r="T1924" s="113">
        <f t="shared" si="849"/>
        <v>0</v>
      </c>
      <c r="U1924" s="557">
        <f t="shared" si="850"/>
        <v>0</v>
      </c>
    </row>
    <row r="1925" spans="1:21" s="552" customFormat="1" ht="15" customHeight="1">
      <c r="A1925" s="621"/>
      <c r="B1925" s="622" t="s">
        <v>1673</v>
      </c>
      <c r="C1925" s="633" t="str">
        <f t="shared" si="838"/>
        <v xml:space="preserve"> </v>
      </c>
      <c r="D1925" s="553"/>
      <c r="E1925" s="694" t="str">
        <f>VLOOKUP($B1925,dongia1,DG!$C$5,)</f>
        <v>Boulon 16x250+ 2 long đền vuông D18-50x50x3/Zn</v>
      </c>
      <c r="F1925" s="555" t="str">
        <f>VLOOKUP($B1925,dongia1,DG!$D$5,)</f>
        <v>bộ</v>
      </c>
      <c r="G1925" s="205">
        <f>ppht!CU14</f>
        <v>0</v>
      </c>
      <c r="H1925" s="556">
        <f t="shared" si="846"/>
        <v>0</v>
      </c>
      <c r="I1925" s="556"/>
      <c r="J1925" s="556"/>
      <c r="K1925" s="556"/>
      <c r="L1925" s="556"/>
      <c r="M1925" s="556"/>
      <c r="N1925" s="556">
        <f t="shared" si="847"/>
        <v>0</v>
      </c>
      <c r="O1925" s="556"/>
      <c r="P1925" s="182">
        <f>VLOOKUP($B1925,dongia1,DG!$F$5,)</f>
        <v>13400</v>
      </c>
      <c r="Q1925" s="182">
        <f>VLOOKUP($B1925,dongia1,DG!$G$5,)</f>
        <v>0</v>
      </c>
      <c r="R1925" s="554"/>
      <c r="S1925" s="113">
        <f t="shared" si="848"/>
        <v>0</v>
      </c>
      <c r="T1925" s="113">
        <f t="shared" si="849"/>
        <v>0</v>
      </c>
      <c r="U1925" s="557">
        <f t="shared" si="850"/>
        <v>0</v>
      </c>
    </row>
    <row r="1926" spans="1:21" s="552" customFormat="1" ht="15" customHeight="1">
      <c r="A1926" s="621"/>
      <c r="B1926" s="622" t="s">
        <v>847</v>
      </c>
      <c r="C1926" s="633" t="str">
        <f t="shared" si="838"/>
        <v xml:space="preserve"> </v>
      </c>
      <c r="D1926" s="553"/>
      <c r="E1926" s="694" t="str">
        <f>VLOOKUP($B1926,dongia1,DG!$C$5,)</f>
        <v>Boulon 16x300+ 2 long đền vuông D18-50x50x3/Zn</v>
      </c>
      <c r="F1926" s="555" t="str">
        <f>VLOOKUP($B1926,dongia1,DG!$D$5,)</f>
        <v>bộ</v>
      </c>
      <c r="G1926" s="205">
        <f>ppht!CV14</f>
        <v>0</v>
      </c>
      <c r="H1926" s="556">
        <f>G1926</f>
        <v>0</v>
      </c>
      <c r="I1926" s="556"/>
      <c r="J1926" s="556"/>
      <c r="K1926" s="556"/>
      <c r="L1926" s="556"/>
      <c r="M1926" s="556"/>
      <c r="N1926" s="556">
        <f>G1926</f>
        <v>0</v>
      </c>
      <c r="O1926" s="556"/>
      <c r="P1926" s="182">
        <f>VLOOKUP($B1926,dongia1,DG!$F$5,)</f>
        <v>25400</v>
      </c>
      <c r="Q1926" s="182">
        <f>VLOOKUP($B1926,dongia1,DG!$G$5,)</f>
        <v>0</v>
      </c>
      <c r="R1926" s="554"/>
      <c r="S1926" s="113">
        <f t="shared" ref="S1926:U1927" si="851">$G1926*P1926</f>
        <v>0</v>
      </c>
      <c r="T1926" s="113">
        <f t="shared" si="851"/>
        <v>0</v>
      </c>
      <c r="U1926" s="557">
        <f t="shared" si="851"/>
        <v>0</v>
      </c>
    </row>
    <row r="1927" spans="1:21" s="552" customFormat="1" ht="15" customHeight="1">
      <c r="A1927" s="621"/>
      <c r="B1927" s="622" t="s">
        <v>4394</v>
      </c>
      <c r="C1927" s="633" t="str">
        <f t="shared" si="838"/>
        <v xml:space="preserve"> </v>
      </c>
      <c r="D1927" s="553"/>
      <c r="E1927" s="694" t="str">
        <f>VLOOKUP($B1927,dongia1,DG!$C$5,)</f>
        <v>Boulon 16x500+ 2 long đền vuông D18-50x50x3/Zn</v>
      </c>
      <c r="F1927" s="555" t="str">
        <f>VLOOKUP($B1927,dongia1,DG!$D$5,)</f>
        <v>bộ</v>
      </c>
      <c r="G1927" s="205">
        <f>ppht!CW14</f>
        <v>0</v>
      </c>
      <c r="H1927" s="556">
        <f>G1927</f>
        <v>0</v>
      </c>
      <c r="I1927" s="556"/>
      <c r="J1927" s="556"/>
      <c r="K1927" s="556"/>
      <c r="L1927" s="556"/>
      <c r="M1927" s="556"/>
      <c r="N1927" s="556">
        <f>G1927</f>
        <v>0</v>
      </c>
      <c r="O1927" s="556"/>
      <c r="P1927" s="182">
        <f>VLOOKUP($B1927,dongia1,DG!$F$5,)</f>
        <v>33500</v>
      </c>
      <c r="Q1927" s="182">
        <f>VLOOKUP($B1927,dongia1,DG!$G$5,)</f>
        <v>0</v>
      </c>
      <c r="R1927" s="554"/>
      <c r="S1927" s="113">
        <f t="shared" si="851"/>
        <v>0</v>
      </c>
      <c r="T1927" s="113">
        <f t="shared" si="851"/>
        <v>0</v>
      </c>
      <c r="U1927" s="557">
        <f t="shared" si="851"/>
        <v>0</v>
      </c>
    </row>
    <row r="1928" spans="1:21" s="552" customFormat="1" ht="15" customHeight="1">
      <c r="A1928" s="621"/>
      <c r="B1928" s="622" t="s">
        <v>4394</v>
      </c>
      <c r="C1928" s="633" t="str">
        <f t="shared" si="838"/>
        <v xml:space="preserve"> </v>
      </c>
      <c r="D1928" s="553"/>
      <c r="E1928" s="694" t="str">
        <f>VLOOKUP($B1928,dongia1,DG!$C$5,)</f>
        <v>Boulon 16x500+ 2 long đền vuông D18-50x50x3/Zn</v>
      </c>
      <c r="F1928" s="555" t="str">
        <f>VLOOKUP($B1928,dongia1,DG!$D$5,)</f>
        <v>bộ</v>
      </c>
      <c r="G1928" s="205">
        <f>ppht!CW14</f>
        <v>0</v>
      </c>
      <c r="H1928" s="556">
        <f t="shared" si="846"/>
        <v>0</v>
      </c>
      <c r="I1928" s="556"/>
      <c r="J1928" s="556"/>
      <c r="K1928" s="556"/>
      <c r="L1928" s="556"/>
      <c r="M1928" s="556"/>
      <c r="N1928" s="556">
        <f t="shared" si="847"/>
        <v>0</v>
      </c>
      <c r="O1928" s="556"/>
      <c r="P1928" s="182">
        <f>VLOOKUP($B1928,dongia1,DG!$F$5,)</f>
        <v>33500</v>
      </c>
      <c r="Q1928" s="182">
        <f>VLOOKUP($B1928,dongia1,DG!$G$5,)</f>
        <v>0</v>
      </c>
      <c r="R1928" s="554"/>
      <c r="S1928" s="113">
        <f t="shared" si="848"/>
        <v>0</v>
      </c>
      <c r="T1928" s="113">
        <f t="shared" si="849"/>
        <v>0</v>
      </c>
      <c r="U1928" s="557">
        <f t="shared" si="850"/>
        <v>0</v>
      </c>
    </row>
    <row r="1929" spans="1:21" s="552" customFormat="1" ht="15" customHeight="1">
      <c r="A1929" s="621"/>
      <c r="B1929" s="563" t="s">
        <v>800</v>
      </c>
      <c r="C1929" s="633" t="str">
        <f t="shared" si="838"/>
        <v xml:space="preserve"> </v>
      </c>
      <c r="D1929" s="553"/>
      <c r="E1929" s="694" t="str">
        <f>VLOOKUP($B1929,dongia1,DG!$C$5,)</f>
        <v>Boulon móc 16x250+ 1 long đền vuông D18-50x50x3/Zn</v>
      </c>
      <c r="F1929" s="555" t="str">
        <f>VLOOKUP($B1929,dongia1,DG!$D$5,)</f>
        <v>bộ</v>
      </c>
      <c r="G1929" s="205">
        <f>ppht!CX14</f>
        <v>0</v>
      </c>
      <c r="H1929" s="556">
        <f t="shared" si="846"/>
        <v>0</v>
      </c>
      <c r="I1929" s="556"/>
      <c r="J1929" s="556"/>
      <c r="K1929" s="556"/>
      <c r="L1929" s="556"/>
      <c r="M1929" s="556"/>
      <c r="N1929" s="556">
        <f t="shared" si="847"/>
        <v>0</v>
      </c>
      <c r="O1929" s="556"/>
      <c r="P1929" s="182">
        <f>VLOOKUP($B1929,dongia1,DG!$F$5,)</f>
        <v>28200</v>
      </c>
      <c r="Q1929" s="182">
        <f>VLOOKUP($B1929,dongia1,DG!$G$5,)</f>
        <v>0</v>
      </c>
      <c r="R1929" s="554"/>
      <c r="S1929" s="113">
        <f t="shared" si="848"/>
        <v>0</v>
      </c>
      <c r="T1929" s="113">
        <f t="shared" si="849"/>
        <v>0</v>
      </c>
      <c r="U1929" s="557">
        <f t="shared" si="850"/>
        <v>0</v>
      </c>
    </row>
    <row r="1930" spans="1:21" s="552" customFormat="1" ht="15" customHeight="1">
      <c r="A1930" s="621"/>
      <c r="B1930" s="563" t="s">
        <v>801</v>
      </c>
      <c r="C1930" s="633" t="str">
        <f t="shared" si="838"/>
        <v xml:space="preserve"> </v>
      </c>
      <c r="D1930" s="553"/>
      <c r="E1930" s="694" t="str">
        <f>VLOOKUP($B1930,dongia1,DG!$C$5,)</f>
        <v>Boulon móc 16x300+ 1 long đền vuông D18-50x50x3/Zn</v>
      </c>
      <c r="F1930" s="555" t="str">
        <f>VLOOKUP($B1930,dongia1,DG!$D$5,)</f>
        <v>bộ</v>
      </c>
      <c r="G1930" s="205">
        <f>ppht!CY14</f>
        <v>0</v>
      </c>
      <c r="H1930" s="556">
        <f t="shared" si="846"/>
        <v>0</v>
      </c>
      <c r="I1930" s="556"/>
      <c r="J1930" s="556"/>
      <c r="K1930" s="556"/>
      <c r="L1930" s="556"/>
      <c r="M1930" s="556"/>
      <c r="N1930" s="556">
        <f t="shared" si="847"/>
        <v>0</v>
      </c>
      <c r="O1930" s="556"/>
      <c r="P1930" s="182">
        <f>VLOOKUP($B1930,dongia1,DG!$F$5,)</f>
        <v>30200</v>
      </c>
      <c r="Q1930" s="182">
        <f>VLOOKUP($B1930,dongia1,DG!$G$5,)</f>
        <v>0</v>
      </c>
      <c r="R1930" s="554"/>
      <c r="S1930" s="113">
        <f t="shared" si="848"/>
        <v>0</v>
      </c>
      <c r="T1930" s="113">
        <f t="shared" si="849"/>
        <v>0</v>
      </c>
      <c r="U1930" s="557">
        <f t="shared" si="850"/>
        <v>0</v>
      </c>
    </row>
    <row r="1931" spans="1:21" s="552" customFormat="1" ht="15" customHeight="1">
      <c r="A1931" s="621"/>
      <c r="B1931" s="563" t="s">
        <v>4100</v>
      </c>
      <c r="C1931" s="633" t="str">
        <f t="shared" si="838"/>
        <v xml:space="preserve"> </v>
      </c>
      <c r="D1931" s="553"/>
      <c r="E1931" s="694" t="str">
        <f>VLOOKUP($B1931,dongia1,DG!$C$5,)</f>
        <v>Boulon móc 16x500+ 1 long đền vuông D18-50x50x3/Zn</v>
      </c>
      <c r="F1931" s="555" t="str">
        <f>VLOOKUP($B1931,dongia1,DG!$D$5,)</f>
        <v>bộ</v>
      </c>
      <c r="G1931" s="205">
        <f>ppht!CZ14</f>
        <v>0</v>
      </c>
      <c r="H1931" s="556">
        <f t="shared" si="846"/>
        <v>0</v>
      </c>
      <c r="I1931" s="556"/>
      <c r="J1931" s="556"/>
      <c r="K1931" s="556"/>
      <c r="L1931" s="556"/>
      <c r="M1931" s="556"/>
      <c r="N1931" s="556">
        <f t="shared" si="847"/>
        <v>0</v>
      </c>
      <c r="O1931" s="556"/>
      <c r="P1931" s="182">
        <f>VLOOKUP($B1931,dongia1,DG!$F$5,)</f>
        <v>49200</v>
      </c>
      <c r="Q1931" s="182">
        <f>VLOOKUP($B1931,dongia1,DG!$G$5,)</f>
        <v>0</v>
      </c>
      <c r="R1931" s="554"/>
      <c r="S1931" s="113">
        <f t="shared" si="848"/>
        <v>0</v>
      </c>
      <c r="T1931" s="113">
        <f t="shared" si="849"/>
        <v>0</v>
      </c>
      <c r="U1931" s="718">
        <f t="shared" si="850"/>
        <v>0</v>
      </c>
    </row>
    <row r="1932" spans="1:21" s="552" customFormat="1" ht="15" customHeight="1">
      <c r="A1932" s="621"/>
      <c r="B1932" s="622" t="s">
        <v>4395</v>
      </c>
      <c r="C1932" s="633" t="str">
        <f t="shared" si="838"/>
        <v xml:space="preserve"> </v>
      </c>
      <c r="D1932" s="553"/>
      <c r="E1932" s="694" t="str">
        <f>VLOOKUP($B1932,dongia1,DG!$C$5,)</f>
        <v>Ghíp nối IPC 150-35</v>
      </c>
      <c r="F1932" s="555" t="str">
        <f>VLOOKUP($B1932,dongia1,DG!$D$5,)</f>
        <v>cái</v>
      </c>
      <c r="G1932" s="205">
        <f>ppht!DA14</f>
        <v>0</v>
      </c>
      <c r="H1932" s="556">
        <f t="shared" si="846"/>
        <v>0</v>
      </c>
      <c r="I1932" s="556"/>
      <c r="J1932" s="556"/>
      <c r="K1932" s="556"/>
      <c r="L1932" s="556"/>
      <c r="M1932" s="556"/>
      <c r="N1932" s="556">
        <f t="shared" si="847"/>
        <v>0</v>
      </c>
      <c r="O1932" s="556"/>
      <c r="P1932" s="182">
        <f>VLOOKUP($B1932,dongia1,DG!$F$5,)</f>
        <v>25001</v>
      </c>
      <c r="Q1932" s="182">
        <f>VLOOKUP($B1932,dongia1,DG!$G$5,)</f>
        <v>6547</v>
      </c>
      <c r="R1932" s="554"/>
      <c r="S1932" s="113">
        <f t="shared" si="848"/>
        <v>0</v>
      </c>
      <c r="T1932" s="113">
        <f t="shared" si="849"/>
        <v>0</v>
      </c>
      <c r="U1932" s="715">
        <f t="shared" si="850"/>
        <v>0</v>
      </c>
    </row>
    <row r="1933" spans="1:21" s="552" customFormat="1" ht="15" customHeight="1">
      <c r="A1933" s="621"/>
      <c r="B1933" s="622" t="s">
        <v>4396</v>
      </c>
      <c r="C1933" s="633" t="str">
        <f t="shared" si="838"/>
        <v xml:space="preserve"> </v>
      </c>
      <c r="D1933" s="553"/>
      <c r="E1933" s="694" t="str">
        <f>VLOOKUP($B1933,dongia1,DG!$C$5,)</f>
        <v>Ghíp nối IPC 150-50</v>
      </c>
      <c r="F1933" s="555" t="str">
        <f>VLOOKUP($B1933,dongia1,DG!$D$5,)</f>
        <v>cái</v>
      </c>
      <c r="G1933" s="205">
        <f>ppht!DB14</f>
        <v>0</v>
      </c>
      <c r="H1933" s="556">
        <f t="shared" si="846"/>
        <v>0</v>
      </c>
      <c r="I1933" s="556"/>
      <c r="J1933" s="556"/>
      <c r="K1933" s="556"/>
      <c r="L1933" s="556"/>
      <c r="M1933" s="556"/>
      <c r="N1933" s="556">
        <f t="shared" si="847"/>
        <v>0</v>
      </c>
      <c r="O1933" s="556"/>
      <c r="P1933" s="182">
        <f>VLOOKUP($B1933,dongia1,DG!$F$5,)</f>
        <v>68000</v>
      </c>
      <c r="Q1933" s="182">
        <f>VLOOKUP($B1933,dongia1,DG!$G$5,)</f>
        <v>6546</v>
      </c>
      <c r="R1933" s="554"/>
      <c r="S1933" s="113">
        <f t="shared" si="848"/>
        <v>0</v>
      </c>
      <c r="T1933" s="113">
        <f t="shared" si="849"/>
        <v>0</v>
      </c>
      <c r="U1933" s="557">
        <f t="shared" si="850"/>
        <v>0</v>
      </c>
    </row>
    <row r="1934" spans="1:21" s="552" customFormat="1" ht="15" customHeight="1">
      <c r="A1934" s="621"/>
      <c r="B1934" s="622" t="s">
        <v>4397</v>
      </c>
      <c r="C1934" s="633" t="str">
        <f t="shared" si="838"/>
        <v xml:space="preserve"> </v>
      </c>
      <c r="D1934" s="553"/>
      <c r="E1934" s="694" t="str">
        <f>VLOOKUP($B1934,dongia1,DG!$C$5,)</f>
        <v>Ghíp nối IPC 150-70</v>
      </c>
      <c r="F1934" s="555" t="str">
        <f>VLOOKUP($B1934,dongia1,DG!$D$5,)</f>
        <v>cái</v>
      </c>
      <c r="G1934" s="205">
        <f>ppht!DC14</f>
        <v>0</v>
      </c>
      <c r="H1934" s="556">
        <f t="shared" si="846"/>
        <v>0</v>
      </c>
      <c r="I1934" s="556"/>
      <c r="J1934" s="556"/>
      <c r="K1934" s="556"/>
      <c r="L1934" s="556"/>
      <c r="M1934" s="556"/>
      <c r="N1934" s="556">
        <f t="shared" si="847"/>
        <v>0</v>
      </c>
      <c r="O1934" s="556"/>
      <c r="P1934" s="182">
        <f>VLOOKUP($B1934,dongia1,DG!$F$5,)</f>
        <v>68000</v>
      </c>
      <c r="Q1934" s="182">
        <f>VLOOKUP($B1934,dongia1,DG!$G$5,)</f>
        <v>6546</v>
      </c>
      <c r="R1934" s="554"/>
      <c r="S1934" s="113">
        <f t="shared" si="848"/>
        <v>0</v>
      </c>
      <c r="T1934" s="113">
        <f t="shared" si="849"/>
        <v>0</v>
      </c>
      <c r="U1934" s="557">
        <f t="shared" si="850"/>
        <v>0</v>
      </c>
    </row>
    <row r="1935" spans="1:21" s="552" customFormat="1" ht="15" customHeight="1">
      <c r="A1935" s="621"/>
      <c r="B1935" s="622" t="s">
        <v>4398</v>
      </c>
      <c r="C1935" s="633" t="str">
        <f t="shared" si="838"/>
        <v xml:space="preserve"> </v>
      </c>
      <c r="D1935" s="553"/>
      <c r="E1935" s="694" t="str">
        <f>VLOOKUP($B1935,dongia1,DG!$C$5,)</f>
        <v>Ghíp nối IPC 150-95</v>
      </c>
      <c r="F1935" s="555" t="str">
        <f>VLOOKUP($B1935,dongia1,DG!$D$5,)</f>
        <v>cái</v>
      </c>
      <c r="G1935" s="205">
        <f>ppht!DD14</f>
        <v>0</v>
      </c>
      <c r="H1935" s="556">
        <f t="shared" si="846"/>
        <v>0</v>
      </c>
      <c r="I1935" s="556"/>
      <c r="J1935" s="556"/>
      <c r="K1935" s="556"/>
      <c r="L1935" s="556"/>
      <c r="M1935" s="556"/>
      <c r="N1935" s="556">
        <f t="shared" si="847"/>
        <v>0</v>
      </c>
      <c r="O1935" s="556"/>
      <c r="P1935" s="182">
        <f>VLOOKUP($B1935,dongia1,DG!$F$5,)</f>
        <v>68000</v>
      </c>
      <c r="Q1935" s="182">
        <f>VLOOKUP($B1935,dongia1,DG!$G$5,)</f>
        <v>6546</v>
      </c>
      <c r="R1935" s="554"/>
      <c r="S1935" s="113">
        <f t="shared" si="848"/>
        <v>0</v>
      </c>
      <c r="T1935" s="113">
        <f t="shared" si="849"/>
        <v>0</v>
      </c>
      <c r="U1935" s="557">
        <f t="shared" si="850"/>
        <v>0</v>
      </c>
    </row>
    <row r="1936" spans="1:21" s="552" customFormat="1" ht="15" customHeight="1">
      <c r="A1936" s="621"/>
      <c r="B1936" s="622" t="s">
        <v>4399</v>
      </c>
      <c r="C1936" s="633" t="str">
        <f t="shared" si="838"/>
        <v xml:space="preserve"> </v>
      </c>
      <c r="D1936" s="553"/>
      <c r="E1936" s="694" t="str">
        <f>VLOOKUP($B1936,dongia1,DG!$C$5,)</f>
        <v>Ghíp nối IPC 150-120</v>
      </c>
      <c r="F1936" s="555" t="str">
        <f>VLOOKUP($B1936,dongia1,DG!$D$5,)</f>
        <v>cái</v>
      </c>
      <c r="G1936" s="205">
        <f>ppht!DE14</f>
        <v>0</v>
      </c>
      <c r="H1936" s="556">
        <f t="shared" si="846"/>
        <v>0</v>
      </c>
      <c r="I1936" s="556"/>
      <c r="J1936" s="556"/>
      <c r="K1936" s="556"/>
      <c r="L1936" s="556"/>
      <c r="M1936" s="556"/>
      <c r="N1936" s="556">
        <f t="shared" si="847"/>
        <v>0</v>
      </c>
      <c r="O1936" s="556"/>
      <c r="P1936" s="182">
        <f>VLOOKUP($B1936,dongia1,DG!$F$5,)</f>
        <v>68000</v>
      </c>
      <c r="Q1936" s="182">
        <f>VLOOKUP($B1936,dongia1,DG!$G$5,)</f>
        <v>6546</v>
      </c>
      <c r="R1936" s="554"/>
      <c r="S1936" s="113">
        <f t="shared" si="848"/>
        <v>0</v>
      </c>
      <c r="T1936" s="113">
        <f t="shared" si="849"/>
        <v>0</v>
      </c>
      <c r="U1936" s="557">
        <f t="shared" si="850"/>
        <v>0</v>
      </c>
    </row>
    <row r="1937" spans="1:21" s="552" customFormat="1" ht="15" customHeight="1">
      <c r="A1937" s="621"/>
      <c r="B1937" s="622" t="s">
        <v>4400</v>
      </c>
      <c r="C1937" s="633" t="str">
        <f t="shared" ref="C1937:C1968" si="852">IF(G1937&lt;&gt;0,$C$1904," ")</f>
        <v xml:space="preserve"> </v>
      </c>
      <c r="D1937" s="553"/>
      <c r="E1937" s="694" t="str">
        <f>VLOOKUP($B1937,dongia1,DG!$C$5,)</f>
        <v>Ghíp nối IPC 150-150</v>
      </c>
      <c r="F1937" s="555" t="str">
        <f>VLOOKUP($B1937,dongia1,DG!$D$5,)</f>
        <v>cái</v>
      </c>
      <c r="G1937" s="205">
        <f>ppht!DF14</f>
        <v>0</v>
      </c>
      <c r="H1937" s="556">
        <f t="shared" si="846"/>
        <v>0</v>
      </c>
      <c r="I1937" s="556"/>
      <c r="J1937" s="556"/>
      <c r="K1937" s="556"/>
      <c r="L1937" s="556"/>
      <c r="M1937" s="556"/>
      <c r="N1937" s="556">
        <f t="shared" si="847"/>
        <v>0</v>
      </c>
      <c r="O1937" s="556"/>
      <c r="P1937" s="182">
        <f>VLOOKUP($B1937,dongia1,DG!$F$5,)</f>
        <v>68000</v>
      </c>
      <c r="Q1937" s="182">
        <f>VLOOKUP($B1937,dongia1,DG!$G$5,)</f>
        <v>6546</v>
      </c>
      <c r="R1937" s="554"/>
      <c r="S1937" s="113">
        <f t="shared" si="848"/>
        <v>0</v>
      </c>
      <c r="T1937" s="113">
        <f t="shared" si="849"/>
        <v>0</v>
      </c>
      <c r="U1937" s="557">
        <f t="shared" si="850"/>
        <v>0</v>
      </c>
    </row>
    <row r="1938" spans="1:21" s="552" customFormat="1" ht="15" customHeight="1">
      <c r="A1938" s="621"/>
      <c r="B1938" s="622" t="s">
        <v>4401</v>
      </c>
      <c r="C1938" s="633" t="str">
        <f t="shared" si="852"/>
        <v xml:space="preserve"> </v>
      </c>
      <c r="D1938" s="553"/>
      <c r="E1938" s="694" t="str">
        <f>VLOOKUP($B1938,dongia1,DG!$C$5,)</f>
        <v>Ghíp nối IPC 120-35(25)</v>
      </c>
      <c r="F1938" s="555" t="str">
        <f>VLOOKUP($B1938,dongia1,DG!$D$5,)</f>
        <v>cái</v>
      </c>
      <c r="G1938" s="205">
        <f>ppht!DG14</f>
        <v>0</v>
      </c>
      <c r="H1938" s="556">
        <f t="shared" si="846"/>
        <v>0</v>
      </c>
      <c r="I1938" s="556"/>
      <c r="J1938" s="556"/>
      <c r="K1938" s="556"/>
      <c r="L1938" s="556"/>
      <c r="M1938" s="556"/>
      <c r="N1938" s="556">
        <f t="shared" si="847"/>
        <v>0</v>
      </c>
      <c r="O1938" s="556"/>
      <c r="P1938" s="182">
        <f>VLOOKUP($B1938,dongia1,DG!$F$5,)</f>
        <v>32000</v>
      </c>
      <c r="Q1938" s="182">
        <f>VLOOKUP($B1938,dongia1,DG!$G$5,)</f>
        <v>6546</v>
      </c>
      <c r="R1938" s="554"/>
      <c r="S1938" s="113">
        <f t="shared" si="848"/>
        <v>0</v>
      </c>
      <c r="T1938" s="113">
        <f t="shared" si="849"/>
        <v>0</v>
      </c>
      <c r="U1938" s="557">
        <f t="shared" si="850"/>
        <v>0</v>
      </c>
    </row>
    <row r="1939" spans="1:21" s="552" customFormat="1" ht="15" customHeight="1">
      <c r="A1939" s="621"/>
      <c r="B1939" s="622" t="s">
        <v>4402</v>
      </c>
      <c r="C1939" s="633" t="str">
        <f t="shared" si="852"/>
        <v xml:space="preserve"> </v>
      </c>
      <c r="D1939" s="553"/>
      <c r="E1939" s="694" t="str">
        <f>VLOOKUP($B1939,dongia1,DG!$C$5,)</f>
        <v>Ghíp nối IPC 120-50</v>
      </c>
      <c r="F1939" s="555" t="str">
        <f>VLOOKUP($B1939,dongia1,DG!$D$5,)</f>
        <v>cái</v>
      </c>
      <c r="G1939" s="205">
        <f>ppht!DH14</f>
        <v>0</v>
      </c>
      <c r="H1939" s="556">
        <f t="shared" si="846"/>
        <v>0</v>
      </c>
      <c r="I1939" s="556"/>
      <c r="J1939" s="556"/>
      <c r="K1939" s="556"/>
      <c r="L1939" s="556"/>
      <c r="M1939" s="556"/>
      <c r="N1939" s="556">
        <f t="shared" si="847"/>
        <v>0</v>
      </c>
      <c r="O1939" s="556"/>
      <c r="P1939" s="182">
        <f>VLOOKUP($B1939,dongia1,DG!$F$5,)</f>
        <v>39500</v>
      </c>
      <c r="Q1939" s="182">
        <f>VLOOKUP($B1939,dongia1,DG!$G$5,)</f>
        <v>6546</v>
      </c>
      <c r="R1939" s="554"/>
      <c r="S1939" s="113">
        <f t="shared" si="848"/>
        <v>0</v>
      </c>
      <c r="T1939" s="113">
        <f t="shared" si="849"/>
        <v>0</v>
      </c>
      <c r="U1939" s="557">
        <f t="shared" si="850"/>
        <v>0</v>
      </c>
    </row>
    <row r="1940" spans="1:21" s="552" customFormat="1" ht="15" customHeight="1">
      <c r="A1940" s="621"/>
      <c r="B1940" s="622" t="s">
        <v>4403</v>
      </c>
      <c r="C1940" s="633" t="str">
        <f t="shared" si="852"/>
        <v xml:space="preserve"> </v>
      </c>
      <c r="D1940" s="553"/>
      <c r="E1940" s="694" t="str">
        <f>VLOOKUP($B1940,dongia1,DG!$C$5,)</f>
        <v>Ghíp nối IPC 120-70</v>
      </c>
      <c r="F1940" s="555" t="str">
        <f>VLOOKUP($B1940,dongia1,DG!$D$5,)</f>
        <v>cái</v>
      </c>
      <c r="G1940" s="205">
        <f>ppht!DI14</f>
        <v>0</v>
      </c>
      <c r="H1940" s="556">
        <f t="shared" si="846"/>
        <v>0</v>
      </c>
      <c r="I1940" s="556"/>
      <c r="J1940" s="556"/>
      <c r="K1940" s="556"/>
      <c r="L1940" s="556"/>
      <c r="M1940" s="556"/>
      <c r="N1940" s="556">
        <f t="shared" si="847"/>
        <v>0</v>
      </c>
      <c r="O1940" s="556"/>
      <c r="P1940" s="182">
        <f>VLOOKUP($B1940,dongia1,DG!$F$5,)</f>
        <v>39500</v>
      </c>
      <c r="Q1940" s="182">
        <f>VLOOKUP($B1940,dongia1,DG!$G$5,)</f>
        <v>6546</v>
      </c>
      <c r="R1940" s="554"/>
      <c r="S1940" s="113">
        <f t="shared" si="848"/>
        <v>0</v>
      </c>
      <c r="T1940" s="113">
        <f t="shared" si="849"/>
        <v>0</v>
      </c>
      <c r="U1940" s="557">
        <f t="shared" si="850"/>
        <v>0</v>
      </c>
    </row>
    <row r="1941" spans="1:21" s="552" customFormat="1" ht="15" customHeight="1">
      <c r="A1941" s="621"/>
      <c r="B1941" s="622" t="s">
        <v>4404</v>
      </c>
      <c r="C1941" s="633" t="str">
        <f t="shared" si="852"/>
        <v xml:space="preserve"> </v>
      </c>
      <c r="D1941" s="553"/>
      <c r="E1941" s="694" t="str">
        <f>VLOOKUP($B1941,dongia1,DG!$C$5,)</f>
        <v>Ghíp nối IPC 120-95</v>
      </c>
      <c r="F1941" s="555" t="str">
        <f>VLOOKUP($B1941,dongia1,DG!$D$5,)</f>
        <v>cái</v>
      </c>
      <c r="G1941" s="205">
        <f>ppht!DJ14</f>
        <v>0</v>
      </c>
      <c r="H1941" s="556">
        <f t="shared" si="846"/>
        <v>0</v>
      </c>
      <c r="I1941" s="556"/>
      <c r="J1941" s="556"/>
      <c r="K1941" s="556"/>
      <c r="L1941" s="556"/>
      <c r="M1941" s="556"/>
      <c r="N1941" s="556">
        <f t="shared" si="847"/>
        <v>0</v>
      </c>
      <c r="O1941" s="556"/>
      <c r="P1941" s="182">
        <f>VLOOKUP($B1941,dongia1,DG!$F$5,)</f>
        <v>39500</v>
      </c>
      <c r="Q1941" s="182">
        <f>VLOOKUP($B1941,dongia1,DG!$G$5,)</f>
        <v>6546</v>
      </c>
      <c r="R1941" s="554"/>
      <c r="S1941" s="113">
        <f t="shared" si="848"/>
        <v>0</v>
      </c>
      <c r="T1941" s="113">
        <f t="shared" si="849"/>
        <v>0</v>
      </c>
      <c r="U1941" s="557">
        <f t="shared" si="850"/>
        <v>0</v>
      </c>
    </row>
    <row r="1942" spans="1:21" s="552" customFormat="1" ht="15" customHeight="1">
      <c r="A1942" s="621"/>
      <c r="B1942" s="622" t="s">
        <v>4405</v>
      </c>
      <c r="C1942" s="633" t="str">
        <f t="shared" si="852"/>
        <v xml:space="preserve"> </v>
      </c>
      <c r="D1942" s="553"/>
      <c r="E1942" s="694" t="str">
        <f>VLOOKUP($B1942,dongia1,DG!$C$5,)</f>
        <v>Ghíp nối IPC 120-120</v>
      </c>
      <c r="F1942" s="555" t="str">
        <f>VLOOKUP($B1942,dongia1,DG!$D$5,)</f>
        <v>cái</v>
      </c>
      <c r="G1942" s="205">
        <f>ppht!DK14</f>
        <v>0</v>
      </c>
      <c r="H1942" s="556">
        <f t="shared" si="846"/>
        <v>0</v>
      </c>
      <c r="I1942" s="556"/>
      <c r="J1942" s="556"/>
      <c r="K1942" s="556"/>
      <c r="L1942" s="556"/>
      <c r="M1942" s="556"/>
      <c r="N1942" s="556">
        <f t="shared" si="847"/>
        <v>0</v>
      </c>
      <c r="O1942" s="556"/>
      <c r="P1942" s="182">
        <f>VLOOKUP($B1942,dongia1,DG!$F$5,)</f>
        <v>45000</v>
      </c>
      <c r="Q1942" s="182">
        <f>VLOOKUP($B1942,dongia1,DG!$G$5,)</f>
        <v>6546</v>
      </c>
      <c r="R1942" s="554"/>
      <c r="S1942" s="113">
        <f t="shared" si="848"/>
        <v>0</v>
      </c>
      <c r="T1942" s="113">
        <f t="shared" si="849"/>
        <v>0</v>
      </c>
      <c r="U1942" s="557">
        <f t="shared" si="850"/>
        <v>0</v>
      </c>
    </row>
    <row r="1943" spans="1:21" s="552" customFormat="1" ht="15" customHeight="1">
      <c r="A1943" s="621"/>
      <c r="B1943" s="622" t="s">
        <v>4406</v>
      </c>
      <c r="C1943" s="633" t="str">
        <f t="shared" si="852"/>
        <v xml:space="preserve"> </v>
      </c>
      <c r="D1943" s="553"/>
      <c r="E1943" s="694" t="str">
        <f>VLOOKUP($B1943,dongia1,DG!$C$5,)</f>
        <v>Ghíp nối IPC 95-35</v>
      </c>
      <c r="F1943" s="555" t="str">
        <f>VLOOKUP($B1943,dongia1,DG!$D$5,)</f>
        <v>cái</v>
      </c>
      <c r="G1943" s="205">
        <f>ppht!DL14</f>
        <v>0</v>
      </c>
      <c r="H1943" s="556">
        <f t="shared" si="846"/>
        <v>0</v>
      </c>
      <c r="I1943" s="556"/>
      <c r="J1943" s="556"/>
      <c r="K1943" s="556"/>
      <c r="L1943" s="556"/>
      <c r="M1943" s="556"/>
      <c r="N1943" s="556">
        <f t="shared" si="847"/>
        <v>0</v>
      </c>
      <c r="O1943" s="556"/>
      <c r="P1943" s="182">
        <f>VLOOKUP($B1943,dongia1,DG!$F$5,)</f>
        <v>22000</v>
      </c>
      <c r="Q1943" s="182">
        <f>VLOOKUP($B1943,dongia1,DG!$G$5,)</f>
        <v>6546</v>
      </c>
      <c r="R1943" s="554"/>
      <c r="S1943" s="113">
        <f t="shared" si="848"/>
        <v>0</v>
      </c>
      <c r="T1943" s="113">
        <f t="shared" si="849"/>
        <v>0</v>
      </c>
      <c r="U1943" s="557">
        <f t="shared" si="850"/>
        <v>0</v>
      </c>
    </row>
    <row r="1944" spans="1:21" s="552" customFormat="1" ht="15" customHeight="1">
      <c r="A1944" s="621"/>
      <c r="B1944" s="622" t="s">
        <v>4407</v>
      </c>
      <c r="C1944" s="633" t="str">
        <f t="shared" si="852"/>
        <v xml:space="preserve"> </v>
      </c>
      <c r="D1944" s="553"/>
      <c r="E1944" s="694" t="str">
        <f>VLOOKUP($B1944,dongia1,DG!$C$5,)</f>
        <v>Ghíp nối IPC 95-50</v>
      </c>
      <c r="F1944" s="555" t="str">
        <f>VLOOKUP($B1944,dongia1,DG!$D$5,)</f>
        <v>cái</v>
      </c>
      <c r="G1944" s="205">
        <f>ppht!DM14</f>
        <v>0</v>
      </c>
      <c r="H1944" s="556">
        <f t="shared" si="846"/>
        <v>0</v>
      </c>
      <c r="I1944" s="556"/>
      <c r="J1944" s="556"/>
      <c r="K1944" s="556"/>
      <c r="L1944" s="556"/>
      <c r="M1944" s="556"/>
      <c r="N1944" s="556">
        <f t="shared" si="847"/>
        <v>0</v>
      </c>
      <c r="O1944" s="556"/>
      <c r="P1944" s="182">
        <f>VLOOKUP($B1944,dongia1,DG!$F$5,)</f>
        <v>30500</v>
      </c>
      <c r="Q1944" s="182">
        <f>VLOOKUP($B1944,dongia1,DG!$G$5,)</f>
        <v>6546</v>
      </c>
      <c r="R1944" s="554"/>
      <c r="S1944" s="113">
        <f t="shared" si="848"/>
        <v>0</v>
      </c>
      <c r="T1944" s="113">
        <f t="shared" si="849"/>
        <v>0</v>
      </c>
      <c r="U1944" s="557">
        <f t="shared" si="850"/>
        <v>0</v>
      </c>
    </row>
    <row r="1945" spans="1:21" s="552" customFormat="1" ht="15" customHeight="1">
      <c r="A1945" s="621"/>
      <c r="B1945" s="622" t="s">
        <v>4408</v>
      </c>
      <c r="C1945" s="633" t="str">
        <f t="shared" si="852"/>
        <v xml:space="preserve"> </v>
      </c>
      <c r="D1945" s="553"/>
      <c r="E1945" s="694" t="str">
        <f>VLOOKUP($B1945,dongia1,DG!$C$5,)</f>
        <v>Ghíp nối IPC 95-70</v>
      </c>
      <c r="F1945" s="555" t="str">
        <f>VLOOKUP($B1945,dongia1,DG!$D$5,)</f>
        <v>cái</v>
      </c>
      <c r="G1945" s="205">
        <f>ppht!DN$14</f>
        <v>0</v>
      </c>
      <c r="H1945" s="556">
        <f t="shared" si="846"/>
        <v>0</v>
      </c>
      <c r="I1945" s="556"/>
      <c r="J1945" s="556"/>
      <c r="K1945" s="556"/>
      <c r="L1945" s="556"/>
      <c r="M1945" s="556"/>
      <c r="N1945" s="556">
        <f t="shared" si="847"/>
        <v>0</v>
      </c>
      <c r="O1945" s="556"/>
      <c r="P1945" s="182">
        <f>VLOOKUP($B1945,dongia1,DG!$F$5,)</f>
        <v>30500</v>
      </c>
      <c r="Q1945" s="182">
        <f>VLOOKUP($B1945,dongia1,DG!$G$5,)</f>
        <v>6546</v>
      </c>
      <c r="R1945" s="554"/>
      <c r="S1945" s="113">
        <f t="shared" si="848"/>
        <v>0</v>
      </c>
      <c r="T1945" s="113">
        <f t="shared" si="849"/>
        <v>0</v>
      </c>
      <c r="U1945" s="557">
        <f t="shared" si="850"/>
        <v>0</v>
      </c>
    </row>
    <row r="1946" spans="1:21" s="552" customFormat="1" ht="15" customHeight="1">
      <c r="A1946" s="621"/>
      <c r="B1946" s="622" t="s">
        <v>4409</v>
      </c>
      <c r="C1946" s="633" t="str">
        <f t="shared" si="852"/>
        <v xml:space="preserve"> </v>
      </c>
      <c r="D1946" s="553"/>
      <c r="E1946" s="694" t="str">
        <f>VLOOKUP($B1946,dongia1,DG!$C$5,)</f>
        <v>Ghíp nối IPC 95-95</v>
      </c>
      <c r="F1946" s="555" t="str">
        <f>VLOOKUP($B1946,dongia1,DG!$D$5,)</f>
        <v>cái</v>
      </c>
      <c r="G1946" s="205">
        <f>ppht!DO$14</f>
        <v>0</v>
      </c>
      <c r="H1946" s="556">
        <f t="shared" si="846"/>
        <v>0</v>
      </c>
      <c r="I1946" s="556"/>
      <c r="J1946" s="556"/>
      <c r="K1946" s="556"/>
      <c r="L1946" s="556"/>
      <c r="M1946" s="556"/>
      <c r="N1946" s="556">
        <f t="shared" si="847"/>
        <v>0</v>
      </c>
      <c r="O1946" s="556"/>
      <c r="P1946" s="182">
        <f>VLOOKUP($B1946,dongia1,DG!$F$5,)</f>
        <v>45000</v>
      </c>
      <c r="Q1946" s="182">
        <f>VLOOKUP($B1946,dongia1,DG!$G$5,)</f>
        <v>6546</v>
      </c>
      <c r="R1946" s="554"/>
      <c r="S1946" s="113">
        <f t="shared" si="848"/>
        <v>0</v>
      </c>
      <c r="T1946" s="113">
        <f t="shared" si="849"/>
        <v>0</v>
      </c>
      <c r="U1946" s="557">
        <f t="shared" si="850"/>
        <v>0</v>
      </c>
    </row>
    <row r="1947" spans="1:21" s="552" customFormat="1" ht="15" customHeight="1">
      <c r="A1947" s="621"/>
      <c r="B1947" s="622" t="s">
        <v>4410</v>
      </c>
      <c r="C1947" s="633" t="str">
        <f t="shared" si="852"/>
        <v xml:space="preserve"> </v>
      </c>
      <c r="D1947" s="553"/>
      <c r="E1947" s="694" t="str">
        <f>VLOOKUP($B1947,dongia1,DG!$C$5,)</f>
        <v>Ghíp nối IPC 70-35</v>
      </c>
      <c r="F1947" s="555" t="str">
        <f>VLOOKUP($B1947,dongia1,DG!$D$5,)</f>
        <v>cái</v>
      </c>
      <c r="G1947" s="205">
        <f>ppht!DP$14</f>
        <v>0</v>
      </c>
      <c r="H1947" s="556">
        <f t="shared" si="846"/>
        <v>0</v>
      </c>
      <c r="I1947" s="556"/>
      <c r="J1947" s="556"/>
      <c r="K1947" s="556"/>
      <c r="L1947" s="556"/>
      <c r="M1947" s="556"/>
      <c r="N1947" s="556">
        <f t="shared" si="847"/>
        <v>0</v>
      </c>
      <c r="O1947" s="556"/>
      <c r="P1947" s="182">
        <f>VLOOKUP($B1947,dongia1,DG!$F$5,)</f>
        <v>22000</v>
      </c>
      <c r="Q1947" s="182">
        <f>VLOOKUP($B1947,dongia1,DG!$G$5,)</f>
        <v>6546</v>
      </c>
      <c r="R1947" s="554"/>
      <c r="S1947" s="113">
        <f t="shared" si="848"/>
        <v>0</v>
      </c>
      <c r="T1947" s="113">
        <f t="shared" si="849"/>
        <v>0</v>
      </c>
      <c r="U1947" s="557">
        <f t="shared" si="850"/>
        <v>0</v>
      </c>
    </row>
    <row r="1948" spans="1:21" s="552" customFormat="1" ht="15" customHeight="1">
      <c r="A1948" s="621"/>
      <c r="B1948" s="622" t="s">
        <v>4411</v>
      </c>
      <c r="C1948" s="633" t="str">
        <f t="shared" si="852"/>
        <v xml:space="preserve"> </v>
      </c>
      <c r="D1948" s="553"/>
      <c r="E1948" s="694" t="str">
        <f>VLOOKUP($B1948,dongia1,DG!$C$5,)</f>
        <v>Ghíp nối IPC 70-50</v>
      </c>
      <c r="F1948" s="555" t="str">
        <f>VLOOKUP($B1948,dongia1,DG!$D$5,)</f>
        <v>cái</v>
      </c>
      <c r="G1948" s="205">
        <f>ppht!DQ$14</f>
        <v>0</v>
      </c>
      <c r="H1948" s="556">
        <f t="shared" si="846"/>
        <v>0</v>
      </c>
      <c r="I1948" s="556"/>
      <c r="J1948" s="556"/>
      <c r="K1948" s="556"/>
      <c r="L1948" s="556"/>
      <c r="M1948" s="556"/>
      <c r="N1948" s="556">
        <f t="shared" si="847"/>
        <v>0</v>
      </c>
      <c r="O1948" s="556"/>
      <c r="P1948" s="182">
        <f>VLOOKUP($B1948,dongia1,DG!$F$5,)</f>
        <v>30500</v>
      </c>
      <c r="Q1948" s="182">
        <f>VLOOKUP($B1948,dongia1,DG!$G$5,)</f>
        <v>6546</v>
      </c>
      <c r="R1948" s="554"/>
      <c r="S1948" s="113">
        <f t="shared" si="848"/>
        <v>0</v>
      </c>
      <c r="T1948" s="113">
        <f t="shared" si="849"/>
        <v>0</v>
      </c>
      <c r="U1948" s="557">
        <f t="shared" si="850"/>
        <v>0</v>
      </c>
    </row>
    <row r="1949" spans="1:21" s="552" customFormat="1" ht="15" customHeight="1">
      <c r="A1949" s="621"/>
      <c r="B1949" s="622" t="s">
        <v>4412</v>
      </c>
      <c r="C1949" s="633" t="str">
        <f t="shared" si="852"/>
        <v xml:space="preserve"> </v>
      </c>
      <c r="D1949" s="553"/>
      <c r="E1949" s="694" t="str">
        <f>VLOOKUP($B1949,dongia1,DG!$C$5,)</f>
        <v>Ghíp nối IPC 70-70</v>
      </c>
      <c r="F1949" s="555" t="str">
        <f>VLOOKUP($B1949,dongia1,DG!$D$5,)</f>
        <v>cái</v>
      </c>
      <c r="G1949" s="205">
        <f>ppht!DR$14</f>
        <v>0</v>
      </c>
      <c r="H1949" s="556">
        <f t="shared" si="846"/>
        <v>0</v>
      </c>
      <c r="I1949" s="556"/>
      <c r="J1949" s="556"/>
      <c r="K1949" s="556"/>
      <c r="L1949" s="556"/>
      <c r="M1949" s="556"/>
      <c r="N1949" s="556">
        <f t="shared" si="847"/>
        <v>0</v>
      </c>
      <c r="O1949" s="556"/>
      <c r="P1949" s="182">
        <f>VLOOKUP($B1949,dongia1,DG!$F$5,)</f>
        <v>45000</v>
      </c>
      <c r="Q1949" s="182">
        <f>VLOOKUP($B1949,dongia1,DG!$G$5,)</f>
        <v>6546</v>
      </c>
      <c r="R1949" s="554"/>
      <c r="S1949" s="113">
        <f t="shared" si="848"/>
        <v>0</v>
      </c>
      <c r="T1949" s="113">
        <f t="shared" si="849"/>
        <v>0</v>
      </c>
      <c r="U1949" s="557">
        <f t="shared" si="850"/>
        <v>0</v>
      </c>
    </row>
    <row r="1950" spans="1:21" s="552" customFormat="1" ht="15" customHeight="1">
      <c r="A1950" s="621"/>
      <c r="B1950" s="622" t="s">
        <v>4413</v>
      </c>
      <c r="C1950" s="633" t="str">
        <f t="shared" si="852"/>
        <v xml:space="preserve"> </v>
      </c>
      <c r="D1950" s="553"/>
      <c r="E1950" s="694" t="str">
        <f>VLOOKUP($B1950,dongia1,DG!$C$5,)</f>
        <v>Ghíp nối IPC 50-35</v>
      </c>
      <c r="F1950" s="555" t="str">
        <f>VLOOKUP($B1950,dongia1,DG!$D$5,)</f>
        <v>cái</v>
      </c>
      <c r="G1950" s="205">
        <f>ppht!DS$14</f>
        <v>0</v>
      </c>
      <c r="H1950" s="556">
        <f t="shared" si="846"/>
        <v>0</v>
      </c>
      <c r="I1950" s="556"/>
      <c r="J1950" s="556"/>
      <c r="K1950" s="556"/>
      <c r="L1950" s="556"/>
      <c r="M1950" s="556"/>
      <c r="N1950" s="556">
        <f t="shared" si="847"/>
        <v>0</v>
      </c>
      <c r="O1950" s="556"/>
      <c r="P1950" s="182">
        <f>VLOOKUP($B1950,dongia1,DG!$F$5,)</f>
        <v>29085</v>
      </c>
      <c r="Q1950" s="182">
        <f>VLOOKUP($B1950,dongia1,DG!$G$5,)</f>
        <v>6546</v>
      </c>
      <c r="R1950" s="554"/>
      <c r="S1950" s="113">
        <f t="shared" si="848"/>
        <v>0</v>
      </c>
      <c r="T1950" s="113">
        <f t="shared" si="849"/>
        <v>0</v>
      </c>
      <c r="U1950" s="557">
        <f t="shared" si="850"/>
        <v>0</v>
      </c>
    </row>
    <row r="1951" spans="1:21" s="552" customFormat="1" ht="15" customHeight="1">
      <c r="A1951" s="621"/>
      <c r="B1951" s="622" t="s">
        <v>4414</v>
      </c>
      <c r="C1951" s="633" t="str">
        <f t="shared" si="852"/>
        <v xml:space="preserve"> </v>
      </c>
      <c r="D1951" s="553"/>
      <c r="E1951" s="694" t="str">
        <f>VLOOKUP($B1951,dongia1,DG!$C$5,)</f>
        <v>Ghíp nối IPC 50-50</v>
      </c>
      <c r="F1951" s="555" t="str">
        <f>VLOOKUP($B1951,dongia1,DG!$D$5,)</f>
        <v>cái</v>
      </c>
      <c r="G1951" s="205">
        <f>ppht!DT$14</f>
        <v>0</v>
      </c>
      <c r="H1951" s="556">
        <f t="shared" si="846"/>
        <v>0</v>
      </c>
      <c r="I1951" s="556"/>
      <c r="J1951" s="556"/>
      <c r="K1951" s="556"/>
      <c r="L1951" s="556"/>
      <c r="M1951" s="556"/>
      <c r="N1951" s="556">
        <f t="shared" si="847"/>
        <v>0</v>
      </c>
      <c r="O1951" s="556"/>
      <c r="P1951" s="182">
        <f>VLOOKUP($B1951,dongia1,DG!$F$5,)</f>
        <v>30500</v>
      </c>
      <c r="Q1951" s="182">
        <f>VLOOKUP($B1951,dongia1,DG!$G$5,)</f>
        <v>6546</v>
      </c>
      <c r="R1951" s="554"/>
      <c r="S1951" s="113">
        <f t="shared" si="848"/>
        <v>0</v>
      </c>
      <c r="T1951" s="113">
        <f t="shared" si="849"/>
        <v>0</v>
      </c>
      <c r="U1951" s="557">
        <f t="shared" si="850"/>
        <v>0</v>
      </c>
    </row>
    <row r="1952" spans="1:21" s="552" customFormat="1" ht="15" customHeight="1">
      <c r="A1952" s="621"/>
      <c r="B1952" s="622" t="s">
        <v>4431</v>
      </c>
      <c r="C1952" s="633" t="str">
        <f t="shared" si="852"/>
        <v xml:space="preserve"> </v>
      </c>
      <c r="D1952" s="553"/>
      <c r="E1952" s="694" t="str">
        <f>VLOOKUP($B1952,dongia1,DG!$C$5,)</f>
        <v>Ghíp nối IPC 35-35</v>
      </c>
      <c r="F1952" s="555" t="str">
        <f>VLOOKUP($B1952,dongia1,DG!$D$5,)</f>
        <v>cái</v>
      </c>
      <c r="G1952" s="205">
        <f>ppht!DU$14</f>
        <v>0</v>
      </c>
      <c r="H1952" s="556">
        <f>G1952</f>
        <v>0</v>
      </c>
      <c r="I1952" s="556"/>
      <c r="J1952" s="556"/>
      <c r="K1952" s="556"/>
      <c r="L1952" s="556"/>
      <c r="M1952" s="556"/>
      <c r="N1952" s="556">
        <f>G1952</f>
        <v>0</v>
      </c>
      <c r="O1952" s="556"/>
      <c r="P1952" s="182">
        <f>VLOOKUP($B1952,dongia1,DG!$F$5,)</f>
        <v>22500</v>
      </c>
      <c r="Q1952" s="182">
        <f>VLOOKUP($B1952,dongia1,DG!$G$5,)</f>
        <v>6546</v>
      </c>
      <c r="R1952" s="554"/>
      <c r="S1952" s="113">
        <f>$G1952*P1952</f>
        <v>0</v>
      </c>
      <c r="T1952" s="113">
        <f>$G1952*Q1952</f>
        <v>0</v>
      </c>
      <c r="U1952" s="557">
        <f>$G1952*R1952</f>
        <v>0</v>
      </c>
    </row>
    <row r="1953" spans="1:21" s="552" customFormat="1" ht="15" customHeight="1">
      <c r="A1953" s="621"/>
      <c r="B1953" s="622" t="s">
        <v>3771</v>
      </c>
      <c r="C1953" s="633" t="str">
        <f t="shared" si="852"/>
        <v xml:space="preserve"> </v>
      </c>
      <c r="D1953" s="553"/>
      <c r="E1953" s="694" t="str">
        <f>VLOOKUP($B1953,dongia1,DG!$C$5,)</f>
        <v>Nắp bịt đầu cáp ABC150mm2</v>
      </c>
      <c r="F1953" s="555" t="str">
        <f>VLOOKUP($B1953,dongia1,DG!$D$5,)</f>
        <v>cái</v>
      </c>
      <c r="G1953" s="205">
        <f>ppht!DV$14</f>
        <v>0</v>
      </c>
      <c r="H1953" s="556">
        <f t="shared" si="846"/>
        <v>0</v>
      </c>
      <c r="I1953" s="556"/>
      <c r="J1953" s="556"/>
      <c r="K1953" s="556"/>
      <c r="L1953" s="556"/>
      <c r="M1953" s="556"/>
      <c r="N1953" s="556">
        <f t="shared" si="847"/>
        <v>0</v>
      </c>
      <c r="O1953" s="556"/>
      <c r="P1953" s="182">
        <f>VLOOKUP($B1953,dongia1,DG!$F$5,)</f>
        <v>3000</v>
      </c>
      <c r="Q1953" s="182">
        <f>VLOOKUP($B1953,dongia1,DG!$G$5,)</f>
        <v>0</v>
      </c>
      <c r="R1953" s="554"/>
      <c r="S1953" s="113">
        <f t="shared" si="848"/>
        <v>0</v>
      </c>
      <c r="T1953" s="113">
        <f t="shared" si="849"/>
        <v>0</v>
      </c>
      <c r="U1953" s="557">
        <f t="shared" si="850"/>
        <v>0</v>
      </c>
    </row>
    <row r="1954" spans="1:21" s="552" customFormat="1" ht="15" customHeight="1">
      <c r="A1954" s="621"/>
      <c r="B1954" s="622" t="s">
        <v>3772</v>
      </c>
      <c r="C1954" s="633" t="str">
        <f t="shared" si="852"/>
        <v xml:space="preserve"> </v>
      </c>
      <c r="D1954" s="553"/>
      <c r="E1954" s="694" t="str">
        <f>VLOOKUP($B1954,dongia1,DG!$C$5,)</f>
        <v>Nắp bịt đầu cáp ABC120mm2</v>
      </c>
      <c r="F1954" s="555" t="str">
        <f>VLOOKUP($B1954,dongia1,DG!$D$5,)</f>
        <v>cái</v>
      </c>
      <c r="G1954" s="205">
        <f>ppht!DW$14</f>
        <v>0</v>
      </c>
      <c r="H1954" s="556">
        <f t="shared" si="846"/>
        <v>0</v>
      </c>
      <c r="I1954" s="556"/>
      <c r="J1954" s="556"/>
      <c r="K1954" s="556"/>
      <c r="L1954" s="556"/>
      <c r="M1954" s="556"/>
      <c r="N1954" s="556">
        <f t="shared" si="847"/>
        <v>0</v>
      </c>
      <c r="O1954" s="556"/>
      <c r="P1954" s="182">
        <f>VLOOKUP($B1954,dongia1,DG!$F$5,)</f>
        <v>3000</v>
      </c>
      <c r="Q1954" s="182">
        <f>VLOOKUP($B1954,dongia1,DG!$G$5,)</f>
        <v>0</v>
      </c>
      <c r="R1954" s="554"/>
      <c r="S1954" s="113">
        <f t="shared" si="848"/>
        <v>0</v>
      </c>
      <c r="T1954" s="113">
        <f t="shared" si="849"/>
        <v>0</v>
      </c>
      <c r="U1954" s="718">
        <f t="shared" si="850"/>
        <v>0</v>
      </c>
    </row>
    <row r="1955" spans="1:21" s="552" customFormat="1" ht="15" customHeight="1">
      <c r="A1955" s="621"/>
      <c r="B1955" s="622" t="s">
        <v>3773</v>
      </c>
      <c r="C1955" s="633" t="str">
        <f t="shared" si="852"/>
        <v xml:space="preserve"> </v>
      </c>
      <c r="D1955" s="553"/>
      <c r="E1955" s="694" t="str">
        <f>VLOOKUP($B1955,dongia1,DG!$C$5,)</f>
        <v>Nắp bịt đầu cáp ABC95mm2</v>
      </c>
      <c r="F1955" s="555" t="str">
        <f>VLOOKUP($B1955,dongia1,DG!$D$5,)</f>
        <v>cái</v>
      </c>
      <c r="G1955" s="205">
        <f>ppht!DX$14</f>
        <v>0</v>
      </c>
      <c r="H1955" s="556">
        <f t="shared" si="846"/>
        <v>0</v>
      </c>
      <c r="I1955" s="556"/>
      <c r="J1955" s="556"/>
      <c r="K1955" s="556"/>
      <c r="L1955" s="556"/>
      <c r="M1955" s="556"/>
      <c r="N1955" s="556">
        <f t="shared" si="847"/>
        <v>0</v>
      </c>
      <c r="O1955" s="556"/>
      <c r="P1955" s="182">
        <f>VLOOKUP($B1955,dongia1,DG!$F$5,)</f>
        <v>3000</v>
      </c>
      <c r="Q1955" s="182">
        <f>VLOOKUP($B1955,dongia1,DG!$G$5,)</f>
        <v>0</v>
      </c>
      <c r="R1955" s="554"/>
      <c r="S1955" s="113">
        <f t="shared" si="848"/>
        <v>0</v>
      </c>
      <c r="T1955" s="113">
        <f t="shared" si="849"/>
        <v>0</v>
      </c>
      <c r="U1955" s="715">
        <f t="shared" si="850"/>
        <v>0</v>
      </c>
    </row>
    <row r="1956" spans="1:21" s="552" customFormat="1" ht="15" customHeight="1">
      <c r="A1956" s="621"/>
      <c r="B1956" s="622" t="s">
        <v>3774</v>
      </c>
      <c r="C1956" s="633" t="str">
        <f t="shared" si="852"/>
        <v xml:space="preserve"> </v>
      </c>
      <c r="D1956" s="553"/>
      <c r="E1956" s="694" t="str">
        <f>VLOOKUP($B1956,dongia1,DG!$C$5,)</f>
        <v>Nắp bịt đầu cáp ABC70mm2</v>
      </c>
      <c r="F1956" s="555" t="str">
        <f>VLOOKUP($B1956,dongia1,DG!$D$5,)</f>
        <v>cái</v>
      </c>
      <c r="G1956" s="205">
        <f>ppht!DY$14</f>
        <v>0</v>
      </c>
      <c r="H1956" s="556">
        <f t="shared" si="846"/>
        <v>0</v>
      </c>
      <c r="I1956" s="556"/>
      <c r="J1956" s="556"/>
      <c r="K1956" s="556"/>
      <c r="L1956" s="556"/>
      <c r="M1956" s="556"/>
      <c r="N1956" s="556">
        <f t="shared" si="847"/>
        <v>0</v>
      </c>
      <c r="O1956" s="556"/>
      <c r="P1956" s="182">
        <f>VLOOKUP($B1956,dongia1,DG!$F$5,)</f>
        <v>3000</v>
      </c>
      <c r="Q1956" s="182">
        <f>VLOOKUP($B1956,dongia1,DG!$G$5,)</f>
        <v>0</v>
      </c>
      <c r="R1956" s="554"/>
      <c r="S1956" s="113">
        <f t="shared" si="848"/>
        <v>0</v>
      </c>
      <c r="T1956" s="113">
        <f t="shared" si="849"/>
        <v>0</v>
      </c>
      <c r="U1956" s="557">
        <f t="shared" si="850"/>
        <v>0</v>
      </c>
    </row>
    <row r="1957" spans="1:21" s="552" customFormat="1" ht="15" customHeight="1">
      <c r="A1957" s="621"/>
      <c r="B1957" s="622" t="s">
        <v>3775</v>
      </c>
      <c r="C1957" s="633" t="str">
        <f t="shared" si="852"/>
        <v xml:space="preserve"> </v>
      </c>
      <c r="D1957" s="553"/>
      <c r="E1957" s="694" t="str">
        <f>VLOOKUP($B1957,dongia1,DG!$C$5,)</f>
        <v>Nắp bịt đầu cáp ABC50mm2</v>
      </c>
      <c r="F1957" s="555" t="str">
        <f>VLOOKUP($B1957,dongia1,DG!$D$5,)</f>
        <v>cái</v>
      </c>
      <c r="G1957" s="205">
        <f>ppht!DZ$14</f>
        <v>0</v>
      </c>
      <c r="H1957" s="556">
        <f t="shared" si="846"/>
        <v>0</v>
      </c>
      <c r="I1957" s="556"/>
      <c r="J1957" s="556"/>
      <c r="K1957" s="556"/>
      <c r="L1957" s="556"/>
      <c r="M1957" s="556"/>
      <c r="N1957" s="556">
        <f t="shared" si="847"/>
        <v>0</v>
      </c>
      <c r="O1957" s="556"/>
      <c r="P1957" s="182">
        <f>VLOOKUP($B1957,dongia1,DG!$F$5,)</f>
        <v>3000</v>
      </c>
      <c r="Q1957" s="182">
        <f>VLOOKUP($B1957,dongia1,DG!$G$5,)</f>
        <v>0</v>
      </c>
      <c r="R1957" s="554"/>
      <c r="S1957" s="113">
        <f t="shared" si="848"/>
        <v>0</v>
      </c>
      <c r="T1957" s="113">
        <f t="shared" si="849"/>
        <v>0</v>
      </c>
      <c r="U1957" s="557">
        <f t="shared" si="850"/>
        <v>0</v>
      </c>
    </row>
    <row r="1958" spans="1:21" s="552" customFormat="1" ht="15" customHeight="1">
      <c r="A1958" s="621"/>
      <c r="B1958" s="622" t="s">
        <v>3793</v>
      </c>
      <c r="C1958" s="633" t="str">
        <f t="shared" si="852"/>
        <v xml:space="preserve"> </v>
      </c>
      <c r="D1958" s="553"/>
      <c r="E1958" s="694" t="str">
        <f>VLOOKUP($B1958,dongia1,DG!$C$5,)</f>
        <v>Kẹp treo cáp ABC4x150mm2</v>
      </c>
      <c r="F1958" s="555" t="str">
        <f>VLOOKUP($B1958,dongia1,DG!$D$5,)</f>
        <v>cái</v>
      </c>
      <c r="G1958" s="205">
        <f>ppht!EA$14</f>
        <v>0</v>
      </c>
      <c r="H1958" s="556">
        <f t="shared" si="846"/>
        <v>0</v>
      </c>
      <c r="I1958" s="556"/>
      <c r="J1958" s="556"/>
      <c r="K1958" s="556"/>
      <c r="L1958" s="556"/>
      <c r="M1958" s="556"/>
      <c r="N1958" s="556">
        <f t="shared" si="847"/>
        <v>0</v>
      </c>
      <c r="O1958" s="556"/>
      <c r="P1958" s="182">
        <f>VLOOKUP($B1958,dongia1,DG!$F$5,)</f>
        <v>27200</v>
      </c>
      <c r="Q1958" s="182">
        <f>VLOOKUP($B1958,dongia1,DG!$G$5,)</f>
        <v>0</v>
      </c>
      <c r="R1958" s="554"/>
      <c r="S1958" s="113">
        <f t="shared" si="848"/>
        <v>0</v>
      </c>
      <c r="T1958" s="113">
        <f t="shared" si="849"/>
        <v>0</v>
      </c>
      <c r="U1958" s="557">
        <f t="shared" si="850"/>
        <v>0</v>
      </c>
    </row>
    <row r="1959" spans="1:21" s="552" customFormat="1" ht="15" customHeight="1">
      <c r="A1959" s="621"/>
      <c r="B1959" s="622" t="s">
        <v>3792</v>
      </c>
      <c r="C1959" s="633" t="str">
        <f t="shared" si="852"/>
        <v xml:space="preserve"> </v>
      </c>
      <c r="D1959" s="553"/>
      <c r="E1959" s="694" t="str">
        <f>VLOOKUP($B1959,dongia1,DG!$C$5,)</f>
        <v>Kẹp treo cáp ABC4x120mm2</v>
      </c>
      <c r="F1959" s="555" t="str">
        <f>VLOOKUP($B1959,dongia1,DG!$D$5,)</f>
        <v>cái</v>
      </c>
      <c r="G1959" s="205">
        <f>ppht!EB$14</f>
        <v>0</v>
      </c>
      <c r="H1959" s="556">
        <f t="shared" si="846"/>
        <v>0</v>
      </c>
      <c r="I1959" s="556"/>
      <c r="J1959" s="556"/>
      <c r="K1959" s="556"/>
      <c r="L1959" s="556"/>
      <c r="M1959" s="556"/>
      <c r="N1959" s="556">
        <f t="shared" si="847"/>
        <v>0</v>
      </c>
      <c r="O1959" s="556"/>
      <c r="P1959" s="182">
        <f>VLOOKUP($B1959,dongia1,DG!$F$5,)</f>
        <v>29000</v>
      </c>
      <c r="Q1959" s="182">
        <f>VLOOKUP($B1959,dongia1,DG!$G$5,)</f>
        <v>0</v>
      </c>
      <c r="R1959" s="554"/>
      <c r="S1959" s="113">
        <f t="shared" si="848"/>
        <v>0</v>
      </c>
      <c r="T1959" s="113">
        <f t="shared" si="849"/>
        <v>0</v>
      </c>
      <c r="U1959" s="718">
        <f t="shared" si="850"/>
        <v>0</v>
      </c>
    </row>
    <row r="1960" spans="1:21" s="552" customFormat="1" ht="15" customHeight="1">
      <c r="A1960" s="621"/>
      <c r="B1960" s="622" t="s">
        <v>3791</v>
      </c>
      <c r="C1960" s="633" t="str">
        <f t="shared" si="852"/>
        <v xml:space="preserve"> </v>
      </c>
      <c r="D1960" s="553"/>
      <c r="E1960" s="694" t="str">
        <f>VLOOKUP($B1960,dongia1,DG!$C$5,)</f>
        <v>Kẹp treo cáp ABC4x95mm2</v>
      </c>
      <c r="F1960" s="555" t="str">
        <f>VLOOKUP($B1960,dongia1,DG!$D$5,)</f>
        <v>cái</v>
      </c>
      <c r="G1960" s="205">
        <f>ppht!EC$14</f>
        <v>0</v>
      </c>
      <c r="H1960" s="556">
        <f t="shared" si="846"/>
        <v>0</v>
      </c>
      <c r="I1960" s="556"/>
      <c r="J1960" s="556"/>
      <c r="K1960" s="556"/>
      <c r="L1960" s="556"/>
      <c r="M1960" s="556"/>
      <c r="N1960" s="556">
        <f t="shared" si="847"/>
        <v>0</v>
      </c>
      <c r="O1960" s="556"/>
      <c r="P1960" s="182">
        <f>VLOOKUP($B1960,dongia1,DG!$F$5,)</f>
        <v>27000</v>
      </c>
      <c r="Q1960" s="182">
        <f>VLOOKUP($B1960,dongia1,DG!$G$5,)</f>
        <v>0</v>
      </c>
      <c r="R1960" s="554"/>
      <c r="S1960" s="113">
        <f t="shared" si="848"/>
        <v>0</v>
      </c>
      <c r="T1960" s="113">
        <f t="shared" si="849"/>
        <v>0</v>
      </c>
      <c r="U1960" s="715">
        <f t="shared" si="850"/>
        <v>0</v>
      </c>
    </row>
    <row r="1961" spans="1:21" s="552" customFormat="1" ht="15" customHeight="1">
      <c r="A1961" s="621"/>
      <c r="B1961" s="622" t="s">
        <v>3790</v>
      </c>
      <c r="C1961" s="633" t="str">
        <f t="shared" si="852"/>
        <v xml:space="preserve"> </v>
      </c>
      <c r="D1961" s="553"/>
      <c r="E1961" s="694" t="str">
        <f>VLOOKUP($B1961,dongia1,DG!$C$5,)</f>
        <v>Kẹp treo cáp ABC4x70mm2</v>
      </c>
      <c r="F1961" s="555" t="str">
        <f>VLOOKUP($B1961,dongia1,DG!$D$5,)</f>
        <v>cái</v>
      </c>
      <c r="G1961" s="205">
        <f>ppht!ED$14</f>
        <v>0</v>
      </c>
      <c r="H1961" s="556">
        <f t="shared" si="846"/>
        <v>0</v>
      </c>
      <c r="I1961" s="556"/>
      <c r="J1961" s="556"/>
      <c r="K1961" s="556"/>
      <c r="L1961" s="556"/>
      <c r="M1961" s="556"/>
      <c r="N1961" s="556">
        <f t="shared" si="847"/>
        <v>0</v>
      </c>
      <c r="O1961" s="556"/>
      <c r="P1961" s="182">
        <f>VLOOKUP($B1961,dongia1,DG!$F$5,)</f>
        <v>27000</v>
      </c>
      <c r="Q1961" s="182">
        <f>VLOOKUP($B1961,dongia1,DG!$G$5,)</f>
        <v>0</v>
      </c>
      <c r="R1961" s="554"/>
      <c r="S1961" s="113">
        <f t="shared" si="848"/>
        <v>0</v>
      </c>
      <c r="T1961" s="113">
        <f t="shared" si="849"/>
        <v>0</v>
      </c>
      <c r="U1961" s="557">
        <f t="shared" si="850"/>
        <v>0</v>
      </c>
    </row>
    <row r="1962" spans="1:21" s="552" customFormat="1" ht="15" customHeight="1">
      <c r="A1962" s="621"/>
      <c r="B1962" s="622" t="s">
        <v>3789</v>
      </c>
      <c r="C1962" s="633" t="str">
        <f t="shared" si="852"/>
        <v xml:space="preserve"> </v>
      </c>
      <c r="D1962" s="553"/>
      <c r="E1962" s="694" t="str">
        <f>VLOOKUP($B1962,dongia1,DG!$C$5,)</f>
        <v>Kẹp treo cáp ABC4x50mm2</v>
      </c>
      <c r="F1962" s="555" t="str">
        <f>VLOOKUP($B1962,dongia1,DG!$D$5,)</f>
        <v>cái</v>
      </c>
      <c r="G1962" s="205">
        <f>ppht!EE$14</f>
        <v>0</v>
      </c>
      <c r="H1962" s="556">
        <f t="shared" si="846"/>
        <v>0</v>
      </c>
      <c r="I1962" s="556"/>
      <c r="J1962" s="556"/>
      <c r="K1962" s="556"/>
      <c r="L1962" s="556"/>
      <c r="M1962" s="556"/>
      <c r="N1962" s="556">
        <f t="shared" si="847"/>
        <v>0</v>
      </c>
      <c r="O1962" s="556"/>
      <c r="P1962" s="182">
        <f>VLOOKUP($B1962,dongia1,DG!$F$5,)</f>
        <v>31815</v>
      </c>
      <c r="Q1962" s="182">
        <f>VLOOKUP($B1962,dongia1,DG!$G$5,)</f>
        <v>0</v>
      </c>
      <c r="R1962" s="554"/>
      <c r="S1962" s="113">
        <f t="shared" si="848"/>
        <v>0</v>
      </c>
      <c r="T1962" s="113">
        <f t="shared" si="849"/>
        <v>0</v>
      </c>
      <c r="U1962" s="557">
        <f t="shared" si="850"/>
        <v>0</v>
      </c>
    </row>
    <row r="1963" spans="1:21" s="552" customFormat="1" ht="15" customHeight="1">
      <c r="A1963" s="621"/>
      <c r="B1963" s="622" t="s">
        <v>3784</v>
      </c>
      <c r="C1963" s="633" t="str">
        <f t="shared" si="852"/>
        <v xml:space="preserve"> </v>
      </c>
      <c r="D1963" s="553"/>
      <c r="E1963" s="694" t="str">
        <f>VLOOKUP($B1963,dongia1,DG!$C$5,)</f>
        <v>Kẹp ngừng cáp ABC4x150mm2</v>
      </c>
      <c r="F1963" s="555" t="str">
        <f>VLOOKUP($B1963,dongia1,DG!$D$5,)</f>
        <v>cái</v>
      </c>
      <c r="G1963" s="205">
        <f>ppht!EF$14</f>
        <v>0</v>
      </c>
      <c r="H1963" s="556">
        <f t="shared" si="846"/>
        <v>0</v>
      </c>
      <c r="I1963" s="556"/>
      <c r="J1963" s="556"/>
      <c r="K1963" s="556"/>
      <c r="L1963" s="556"/>
      <c r="M1963" s="556"/>
      <c r="N1963" s="556">
        <f t="shared" si="847"/>
        <v>0</v>
      </c>
      <c r="O1963" s="556"/>
      <c r="P1963" s="182">
        <f>VLOOKUP($B1963,dongia1,DG!$F$5,)</f>
        <v>51500</v>
      </c>
      <c r="Q1963" s="182">
        <f>VLOOKUP($B1963,dongia1,DG!$G$5,)</f>
        <v>0</v>
      </c>
      <c r="R1963" s="554"/>
      <c r="S1963" s="113">
        <f t="shared" si="848"/>
        <v>0</v>
      </c>
      <c r="T1963" s="113">
        <f t="shared" si="849"/>
        <v>0</v>
      </c>
      <c r="U1963" s="557">
        <f t="shared" si="850"/>
        <v>0</v>
      </c>
    </row>
    <row r="1964" spans="1:21" s="552" customFormat="1" ht="15" customHeight="1">
      <c r="A1964" s="621"/>
      <c r="B1964" s="622" t="s">
        <v>3783</v>
      </c>
      <c r="C1964" s="633" t="str">
        <f t="shared" si="852"/>
        <v xml:space="preserve"> </v>
      </c>
      <c r="D1964" s="553"/>
      <c r="E1964" s="694" t="str">
        <f>VLOOKUP($B1964,dongia1,DG!$C$5,)</f>
        <v>Kẹp ngừng cáp ABC4x120mm2</v>
      </c>
      <c r="F1964" s="555" t="str">
        <f>VLOOKUP($B1964,dongia1,DG!$D$5,)</f>
        <v>cái</v>
      </c>
      <c r="G1964" s="205">
        <f>ppht!EG$14</f>
        <v>0</v>
      </c>
      <c r="H1964" s="556">
        <f t="shared" si="846"/>
        <v>0</v>
      </c>
      <c r="I1964" s="556"/>
      <c r="J1964" s="556"/>
      <c r="K1964" s="556"/>
      <c r="L1964" s="556"/>
      <c r="M1964" s="556"/>
      <c r="N1964" s="556">
        <f t="shared" si="847"/>
        <v>0</v>
      </c>
      <c r="O1964" s="556"/>
      <c r="P1964" s="182">
        <f>VLOOKUP($B1964,dongia1,DG!$F$5,)</f>
        <v>74000</v>
      </c>
      <c r="Q1964" s="182">
        <f>VLOOKUP($B1964,dongia1,DG!$G$5,)</f>
        <v>0</v>
      </c>
      <c r="R1964" s="554"/>
      <c r="S1964" s="113">
        <f t="shared" si="848"/>
        <v>0</v>
      </c>
      <c r="T1964" s="113">
        <f t="shared" si="849"/>
        <v>0</v>
      </c>
      <c r="U1964" s="718">
        <f t="shared" si="850"/>
        <v>0</v>
      </c>
    </row>
    <row r="1965" spans="1:21" s="552" customFormat="1" ht="15" customHeight="1">
      <c r="A1965" s="621"/>
      <c r="B1965" s="622" t="s">
        <v>3782</v>
      </c>
      <c r="C1965" s="633" t="str">
        <f t="shared" si="852"/>
        <v xml:space="preserve"> </v>
      </c>
      <c r="D1965" s="553"/>
      <c r="E1965" s="694" t="str">
        <f>VLOOKUP($B1965,dongia1,DG!$C$5,)</f>
        <v>Kẹp ngừng cáp ABC4x95mm2</v>
      </c>
      <c r="F1965" s="555" t="str">
        <f>VLOOKUP($B1965,dongia1,DG!$D$5,)</f>
        <v>cái</v>
      </c>
      <c r="G1965" s="205">
        <f>ppht!EH$14</f>
        <v>0</v>
      </c>
      <c r="H1965" s="556">
        <f t="shared" si="846"/>
        <v>0</v>
      </c>
      <c r="I1965" s="556"/>
      <c r="J1965" s="556"/>
      <c r="K1965" s="556"/>
      <c r="L1965" s="556"/>
      <c r="M1965" s="556"/>
      <c r="N1965" s="556">
        <f t="shared" si="847"/>
        <v>0</v>
      </c>
      <c r="O1965" s="556"/>
      <c r="P1965" s="182">
        <f>VLOOKUP($B1965,dongia1,DG!$F$5,)</f>
        <v>50000</v>
      </c>
      <c r="Q1965" s="182">
        <f>VLOOKUP($B1965,dongia1,DG!$G$5,)</f>
        <v>0</v>
      </c>
      <c r="R1965" s="554"/>
      <c r="S1965" s="113">
        <f t="shared" si="848"/>
        <v>0</v>
      </c>
      <c r="T1965" s="113">
        <f t="shared" si="849"/>
        <v>0</v>
      </c>
      <c r="U1965" s="715">
        <f t="shared" si="850"/>
        <v>0</v>
      </c>
    </row>
    <row r="1966" spans="1:21" s="552" customFormat="1" ht="15" customHeight="1">
      <c r="A1966" s="621"/>
      <c r="B1966" s="622" t="s">
        <v>3781</v>
      </c>
      <c r="C1966" s="633" t="str">
        <f t="shared" si="852"/>
        <v xml:space="preserve"> </v>
      </c>
      <c r="D1966" s="553"/>
      <c r="E1966" s="694" t="str">
        <f>VLOOKUP($B1966,dongia1,DG!$C$5,)</f>
        <v>Kẹp ngừng cáp ABC4x70mm2</v>
      </c>
      <c r="F1966" s="555" t="str">
        <f>VLOOKUP($B1966,dongia1,DG!$D$5,)</f>
        <v>cái</v>
      </c>
      <c r="G1966" s="205">
        <f>ppht!EI$14</f>
        <v>0</v>
      </c>
      <c r="H1966" s="556">
        <f t="shared" si="846"/>
        <v>0</v>
      </c>
      <c r="I1966" s="556"/>
      <c r="J1966" s="556"/>
      <c r="K1966" s="556"/>
      <c r="L1966" s="556"/>
      <c r="M1966" s="556"/>
      <c r="N1966" s="556">
        <f t="shared" si="847"/>
        <v>0</v>
      </c>
      <c r="O1966" s="556"/>
      <c r="P1966" s="182">
        <f>VLOOKUP($B1966,dongia1,DG!$F$5,)</f>
        <v>50000</v>
      </c>
      <c r="Q1966" s="182">
        <f>VLOOKUP($B1966,dongia1,DG!$G$5,)</f>
        <v>0</v>
      </c>
      <c r="R1966" s="554"/>
      <c r="S1966" s="113">
        <f t="shared" si="848"/>
        <v>0</v>
      </c>
      <c r="T1966" s="113">
        <f t="shared" si="849"/>
        <v>0</v>
      </c>
      <c r="U1966" s="557">
        <f t="shared" si="850"/>
        <v>0</v>
      </c>
    </row>
    <row r="1967" spans="1:21" s="552" customFormat="1" ht="15" customHeight="1">
      <c r="A1967" s="621"/>
      <c r="B1967" s="622" t="s">
        <v>3780</v>
      </c>
      <c r="C1967" s="633" t="str">
        <f t="shared" si="852"/>
        <v xml:space="preserve"> </v>
      </c>
      <c r="D1967" s="553"/>
      <c r="E1967" s="694" t="str">
        <f>VLOOKUP($B1967,dongia1,DG!$C$5,)</f>
        <v>Kẹp ngừng cáp ABC4x50mm2</v>
      </c>
      <c r="F1967" s="555" t="str">
        <f>VLOOKUP($B1967,dongia1,DG!$D$5,)</f>
        <v>cái</v>
      </c>
      <c r="G1967" s="205">
        <f>ppht!EJ$14</f>
        <v>0</v>
      </c>
      <c r="H1967" s="556">
        <f t="shared" si="846"/>
        <v>0</v>
      </c>
      <c r="I1967" s="556"/>
      <c r="J1967" s="556"/>
      <c r="K1967" s="556"/>
      <c r="L1967" s="556"/>
      <c r="M1967" s="556"/>
      <c r="N1967" s="556">
        <f t="shared" si="847"/>
        <v>0</v>
      </c>
      <c r="O1967" s="556"/>
      <c r="P1967" s="182">
        <f>VLOOKUP($B1967,dongia1,DG!$F$5,)</f>
        <v>56910</v>
      </c>
      <c r="Q1967" s="182">
        <f>VLOOKUP($B1967,dongia1,DG!$G$5,)</f>
        <v>0</v>
      </c>
      <c r="R1967" s="554"/>
      <c r="S1967" s="113">
        <f t="shared" si="848"/>
        <v>0</v>
      </c>
      <c r="T1967" s="113">
        <f t="shared" si="849"/>
        <v>0</v>
      </c>
      <c r="U1967" s="557">
        <f t="shared" si="850"/>
        <v>0</v>
      </c>
    </row>
    <row r="1968" spans="1:21" s="552" customFormat="1" ht="15" customHeight="1">
      <c r="A1968" s="621"/>
      <c r="B1968" s="622" t="s">
        <v>3769</v>
      </c>
      <c r="C1968" s="633" t="str">
        <f t="shared" si="852"/>
        <v xml:space="preserve"> </v>
      </c>
      <c r="D1968" s="553"/>
      <c r="E1968" s="694" t="str">
        <f>VLOOKUP($B1968,dongia1,DG!$C$5,)</f>
        <v>Hộp phân phối 9 cực rỗng</v>
      </c>
      <c r="F1968" s="555" t="str">
        <f>VLOOKUP($B1968,dongia1,DG!$D$5,)</f>
        <v>cái</v>
      </c>
      <c r="G1968" s="205">
        <f>ppht!EK$14</f>
        <v>0</v>
      </c>
      <c r="H1968" s="556">
        <f t="shared" si="846"/>
        <v>0</v>
      </c>
      <c r="I1968" s="556"/>
      <c r="J1968" s="556"/>
      <c r="K1968" s="556"/>
      <c r="L1968" s="556"/>
      <c r="M1968" s="556"/>
      <c r="N1968" s="556">
        <f t="shared" si="847"/>
        <v>0</v>
      </c>
      <c r="O1968" s="556"/>
      <c r="P1968" s="182">
        <f>VLOOKUP($B1968,dongia1,DG!$F$5,)</f>
        <v>315000</v>
      </c>
      <c r="Q1968" s="182">
        <f>VLOOKUP($B1968,dongia1,DG!$G$5,)</f>
        <v>56565</v>
      </c>
      <c r="R1968" s="554"/>
      <c r="S1968" s="113">
        <f t="shared" si="848"/>
        <v>0</v>
      </c>
      <c r="T1968" s="113">
        <f t="shared" si="849"/>
        <v>0</v>
      </c>
      <c r="U1968" s="557">
        <f t="shared" si="850"/>
        <v>0</v>
      </c>
    </row>
    <row r="1969" spans="1:21" s="552" customFormat="1" ht="15" customHeight="1">
      <c r="A1969" s="621"/>
      <c r="B1969" s="622" t="s">
        <v>3770</v>
      </c>
      <c r="C1969" s="633" t="str">
        <f t="shared" ref="C1969:C2000" si="853">IF(G1969&lt;&gt;0,$C$1904," ")</f>
        <v xml:space="preserve"> </v>
      </c>
      <c r="D1969" s="553"/>
      <c r="E1969" s="694" t="str">
        <f>VLOOKUP($B1969,dongia1,DG!$C$5,)</f>
        <v>Hộp phân phối 6 cực rỗng</v>
      </c>
      <c r="F1969" s="555" t="str">
        <f>VLOOKUP($B1969,dongia1,DG!$D$5,)</f>
        <v>cái</v>
      </c>
      <c r="G1969" s="205">
        <f>ppht!EL$14</f>
        <v>0</v>
      </c>
      <c r="H1969" s="556">
        <f t="shared" si="846"/>
        <v>0</v>
      </c>
      <c r="I1969" s="556"/>
      <c r="J1969" s="556"/>
      <c r="K1969" s="556"/>
      <c r="L1969" s="556"/>
      <c r="M1969" s="556"/>
      <c r="N1969" s="556">
        <f t="shared" si="847"/>
        <v>0</v>
      </c>
      <c r="O1969" s="556"/>
      <c r="P1969" s="182">
        <f>VLOOKUP($B1969,dongia1,DG!$F$5,)</f>
        <v>305000</v>
      </c>
      <c r="Q1969" s="182">
        <f>VLOOKUP($B1969,dongia1,DG!$G$5,)</f>
        <v>56565</v>
      </c>
      <c r="R1969" s="554"/>
      <c r="S1969" s="113">
        <f t="shared" si="848"/>
        <v>0</v>
      </c>
      <c r="T1969" s="113">
        <f t="shared" si="849"/>
        <v>0</v>
      </c>
      <c r="U1969" s="557">
        <f t="shared" si="850"/>
        <v>0</v>
      </c>
    </row>
    <row r="1970" spans="1:21" s="552" customFormat="1" ht="15" customHeight="1">
      <c r="A1970" s="621"/>
      <c r="B1970" s="563" t="s">
        <v>4101</v>
      </c>
      <c r="C1970" s="633" t="str">
        <f t="shared" si="853"/>
        <v xml:space="preserve"> </v>
      </c>
      <c r="D1970" s="553"/>
      <c r="E1970" s="694" t="str">
        <f>VLOOKUP($B1970,dongia1,DG!$C$5,)</f>
        <v>CB tép 63A</v>
      </c>
      <c r="F1970" s="555" t="str">
        <f>VLOOKUP($B1970,dongia1,DG!$D$5,)</f>
        <v>cái</v>
      </c>
      <c r="G1970" s="205">
        <f>ppht!EM$14</f>
        <v>0</v>
      </c>
      <c r="H1970" s="556">
        <f t="shared" si="846"/>
        <v>0</v>
      </c>
      <c r="I1970" s="556"/>
      <c r="J1970" s="556"/>
      <c r="K1970" s="556"/>
      <c r="L1970" s="556"/>
      <c r="M1970" s="556"/>
      <c r="N1970" s="556">
        <f t="shared" si="847"/>
        <v>0</v>
      </c>
      <c r="O1970" s="556"/>
      <c r="P1970" s="182">
        <f>VLOOKUP($B1970,dongia1,DG!$F$5,)</f>
        <v>70000</v>
      </c>
      <c r="Q1970" s="182">
        <f>VLOOKUP($B1970,dongia1,DG!$G$5,)</f>
        <v>15000</v>
      </c>
      <c r="R1970" s="554"/>
      <c r="S1970" s="113">
        <f t="shared" si="848"/>
        <v>0</v>
      </c>
      <c r="T1970" s="113">
        <f t="shared" si="849"/>
        <v>0</v>
      </c>
      <c r="U1970" s="557">
        <f t="shared" si="850"/>
        <v>0</v>
      </c>
    </row>
    <row r="1971" spans="1:21" s="552" customFormat="1" ht="15" customHeight="1">
      <c r="A1971" s="621"/>
      <c r="B1971" s="563" t="s">
        <v>4103</v>
      </c>
      <c r="C1971" s="633" t="str">
        <f t="shared" si="853"/>
        <v xml:space="preserve"> </v>
      </c>
      <c r="D1971" s="553"/>
      <c r="E1971" s="694" t="str">
        <f>VLOOKUP($B1971,dongia1,DG!$C$5,)</f>
        <v>CB tép 32A</v>
      </c>
      <c r="F1971" s="555" t="str">
        <f>VLOOKUP($B1971,dongia1,DG!$D$5,)</f>
        <v>cái</v>
      </c>
      <c r="G1971" s="205">
        <f>ppht!EN$14</f>
        <v>0</v>
      </c>
      <c r="H1971" s="556">
        <f t="shared" si="846"/>
        <v>0</v>
      </c>
      <c r="I1971" s="556"/>
      <c r="J1971" s="556"/>
      <c r="K1971" s="556"/>
      <c r="L1971" s="556"/>
      <c r="M1971" s="556"/>
      <c r="N1971" s="556">
        <f t="shared" si="847"/>
        <v>0</v>
      </c>
      <c r="O1971" s="556"/>
      <c r="P1971" s="182">
        <f>VLOOKUP($B1971,dongia1,DG!$F$5,)</f>
        <v>75000</v>
      </c>
      <c r="Q1971" s="182">
        <f>VLOOKUP($B1971,dongia1,DG!$G$5,)</f>
        <v>9800</v>
      </c>
      <c r="R1971" s="554"/>
      <c r="S1971" s="113">
        <f t="shared" si="848"/>
        <v>0</v>
      </c>
      <c r="T1971" s="113">
        <f t="shared" si="849"/>
        <v>0</v>
      </c>
      <c r="U1971" s="557">
        <f t="shared" si="850"/>
        <v>0</v>
      </c>
    </row>
    <row r="1972" spans="1:21" s="552" customFormat="1" ht="15" customHeight="1">
      <c r="A1972" s="621"/>
      <c r="B1972" s="563" t="s">
        <v>272</v>
      </c>
      <c r="C1972" s="633" t="str">
        <f t="shared" si="853"/>
        <v xml:space="preserve"> </v>
      </c>
      <c r="D1972" s="553"/>
      <c r="E1972" s="694" t="str">
        <f>VLOOKUP($B1972,dongia1,DG!$C$5,)</f>
        <v>Cáp đồng bọc CV35</v>
      </c>
      <c r="F1972" s="555" t="str">
        <f>VLOOKUP($B1972,dongia1,DG!$D$5,)</f>
        <v>mét</v>
      </c>
      <c r="G1972" s="205">
        <f>(G1968+G1969)*1.5</f>
        <v>0</v>
      </c>
      <c r="H1972" s="556">
        <f>G1972</f>
        <v>0</v>
      </c>
      <c r="I1972" s="556"/>
      <c r="J1972" s="556"/>
      <c r="K1972" s="556"/>
      <c r="L1972" s="556"/>
      <c r="M1972" s="556"/>
      <c r="N1972" s="556">
        <f>G1972</f>
        <v>0</v>
      </c>
      <c r="O1972" s="556"/>
      <c r="P1972" s="182">
        <f>VLOOKUP($B1972,dongia1,DG!$F$5,)</f>
        <v>62910</v>
      </c>
      <c r="Q1972" s="182">
        <f>VLOOKUP($B1972,dongia1,DG!$G$5,)</f>
        <v>0</v>
      </c>
      <c r="R1972" s="554"/>
      <c r="S1972" s="113">
        <f>$G1972*P1972</f>
        <v>0</v>
      </c>
      <c r="T1972" s="113">
        <f>$G1972*Q1972</f>
        <v>0</v>
      </c>
      <c r="U1972" s="557">
        <f>$G1972*R1972</f>
        <v>0</v>
      </c>
    </row>
    <row r="1973" spans="1:21" s="552" customFormat="1" ht="15" customHeight="1">
      <c r="A1973" s="621"/>
      <c r="B1973" s="622" t="s">
        <v>2012</v>
      </c>
      <c r="C1973" s="633" t="str">
        <f t="shared" si="853"/>
        <v xml:space="preserve"> </v>
      </c>
      <c r="D1973" s="553"/>
      <c r="E1973" s="694" t="str">
        <f>VLOOKUP($B1973,dongia1,DG!$C$5,)</f>
        <v xml:space="preserve">Cổ dê trụ đôi 8,4m bắt móc dừng </v>
      </c>
      <c r="F1973" s="555" t="str">
        <f>VLOOKUP($B1973,dongia1,DG!$D$5,)</f>
        <v>bộ</v>
      </c>
      <c r="G1973" s="205">
        <f>ppht!EO$14</f>
        <v>0</v>
      </c>
      <c r="H1973" s="556">
        <f t="shared" si="846"/>
        <v>0</v>
      </c>
      <c r="I1973" s="556"/>
      <c r="J1973" s="556"/>
      <c r="K1973" s="556"/>
      <c r="L1973" s="556"/>
      <c r="M1973" s="556"/>
      <c r="N1973" s="556">
        <f t="shared" si="847"/>
        <v>0</v>
      </c>
      <c r="O1973" s="556"/>
      <c r="P1973" s="182">
        <f>VLOOKUP($B1973,dongia1,DG!$F$5,)</f>
        <v>40000</v>
      </c>
      <c r="Q1973" s="182">
        <f>VLOOKUP($B1973,dongia1,DG!$G$5,)</f>
        <v>0</v>
      </c>
      <c r="R1973" s="554"/>
      <c r="S1973" s="113">
        <f t="shared" si="848"/>
        <v>0</v>
      </c>
      <c r="T1973" s="113">
        <f t="shared" si="849"/>
        <v>0</v>
      </c>
      <c r="U1973" s="557">
        <f t="shared" si="850"/>
        <v>0</v>
      </c>
    </row>
    <row r="1974" spans="1:21" s="552" customFormat="1" ht="15" customHeight="1">
      <c r="A1974" s="621"/>
      <c r="B1974" s="622" t="s">
        <v>323</v>
      </c>
      <c r="C1974" s="633" t="str">
        <f t="shared" si="853"/>
        <v xml:space="preserve"> </v>
      </c>
      <c r="D1974" s="553"/>
      <c r="E1974" s="694" t="str">
        <f>VLOOKUP($B1974,dongia1,DG!$C$5,)</f>
        <v xml:space="preserve">Móc dừng </v>
      </c>
      <c r="F1974" s="555" t="str">
        <f>VLOOKUP($B1974,dongia1,DG!$D$5,)</f>
        <v>cái</v>
      </c>
      <c r="G1974" s="205">
        <f>ppht!EP$14</f>
        <v>0</v>
      </c>
      <c r="H1974" s="556">
        <f t="shared" si="846"/>
        <v>0</v>
      </c>
      <c r="I1974" s="556"/>
      <c r="J1974" s="556"/>
      <c r="K1974" s="556"/>
      <c r="L1974" s="556"/>
      <c r="M1974" s="556"/>
      <c r="N1974" s="556">
        <f t="shared" si="847"/>
        <v>0</v>
      </c>
      <c r="O1974" s="556"/>
      <c r="P1974" s="182">
        <f>VLOOKUP($B1974,dongia1,DG!$F$5,)</f>
        <v>11400</v>
      </c>
      <c r="Q1974" s="182">
        <f>VLOOKUP($B1974,dongia1,DG!$G$5,)</f>
        <v>0</v>
      </c>
      <c r="R1974" s="554"/>
      <c r="S1974" s="113">
        <f t="shared" si="848"/>
        <v>0</v>
      </c>
      <c r="T1974" s="113">
        <f t="shared" si="849"/>
        <v>0</v>
      </c>
      <c r="U1974" s="557">
        <f t="shared" si="850"/>
        <v>0</v>
      </c>
    </row>
    <row r="1975" spans="1:21" s="552" customFormat="1" ht="15" customHeight="1">
      <c r="A1975" s="621"/>
      <c r="B1975" s="622" t="s">
        <v>1628</v>
      </c>
      <c r="C1975" s="633" t="str">
        <f t="shared" si="853"/>
        <v xml:space="preserve"> </v>
      </c>
      <c r="D1975" s="553"/>
      <c r="E1975" s="694" t="str">
        <f>VLOOKUP($B1975,dongia1,DG!$C$5,)</f>
        <v>Kẹp dừng cáp duplex</v>
      </c>
      <c r="F1975" s="555" t="str">
        <f>VLOOKUP($B1975,dongia1,DG!$D$5,)</f>
        <v>cái</v>
      </c>
      <c r="G1975" s="205">
        <f>ppht!EQ$14</f>
        <v>0</v>
      </c>
      <c r="H1975" s="556">
        <f t="shared" si="846"/>
        <v>0</v>
      </c>
      <c r="I1975" s="556"/>
      <c r="J1975" s="556"/>
      <c r="K1975" s="556"/>
      <c r="L1975" s="556"/>
      <c r="M1975" s="556"/>
      <c r="N1975" s="556">
        <f t="shared" si="847"/>
        <v>0</v>
      </c>
      <c r="O1975" s="556"/>
      <c r="P1975" s="182">
        <f>VLOOKUP($B1975,dongia1,DG!$F$5,)</f>
        <v>17000</v>
      </c>
      <c r="Q1975" s="182">
        <f>VLOOKUP($B1975,dongia1,DG!$G$5,)</f>
        <v>0</v>
      </c>
      <c r="R1975" s="554"/>
      <c r="S1975" s="113">
        <f t="shared" si="848"/>
        <v>0</v>
      </c>
      <c r="T1975" s="113">
        <f t="shared" si="849"/>
        <v>0</v>
      </c>
      <c r="U1975" s="557">
        <f t="shared" si="850"/>
        <v>0</v>
      </c>
    </row>
    <row r="1976" spans="1:21" s="552" customFormat="1" ht="15" customHeight="1">
      <c r="A1976" s="621"/>
      <c r="B1976" s="622" t="s">
        <v>1932</v>
      </c>
      <c r="C1976" s="633" t="str">
        <f t="shared" si="853"/>
        <v xml:space="preserve"> </v>
      </c>
      <c r="D1976" s="553"/>
      <c r="E1976" s="694" t="str">
        <f>VLOOKUP($B1976,dongia1,DG!$C$5,)</f>
        <v>Móc treo chữ A</v>
      </c>
      <c r="F1976" s="555" t="str">
        <f>VLOOKUP($B1976,dongia1,DG!$D$5,)</f>
        <v>cái</v>
      </c>
      <c r="G1976" s="205">
        <f>ppht!ER$14</f>
        <v>0</v>
      </c>
      <c r="H1976" s="556">
        <f t="shared" si="846"/>
        <v>0</v>
      </c>
      <c r="I1976" s="556"/>
      <c r="J1976" s="556"/>
      <c r="K1976" s="556"/>
      <c r="L1976" s="556"/>
      <c r="M1976" s="556"/>
      <c r="N1976" s="556">
        <f t="shared" si="847"/>
        <v>0</v>
      </c>
      <c r="O1976" s="556"/>
      <c r="P1976" s="182">
        <f>VLOOKUP($B1976,dongia1,DG!$F$5,)</f>
        <v>13800</v>
      </c>
      <c r="Q1976" s="182">
        <f>VLOOKUP($B1976,dongia1,DG!$G$5,)</f>
        <v>0</v>
      </c>
      <c r="R1976" s="554"/>
      <c r="S1976" s="113">
        <f t="shared" si="848"/>
        <v>0</v>
      </c>
      <c r="T1976" s="113">
        <f t="shared" si="849"/>
        <v>0</v>
      </c>
      <c r="U1976" s="557">
        <f t="shared" si="850"/>
        <v>0</v>
      </c>
    </row>
    <row r="1977" spans="1:21" s="552" customFormat="1" ht="15" customHeight="1">
      <c r="A1977" s="621"/>
      <c r="B1977" s="622" t="s">
        <v>143</v>
      </c>
      <c r="C1977" s="633" t="str">
        <f t="shared" si="853"/>
        <v xml:space="preserve"> </v>
      </c>
      <c r="D1977" s="553"/>
      <c r="E1977" s="694" t="str">
        <f>VLOOKUP($B1977,dongia1,DG!$C$5,)</f>
        <v xml:space="preserve">Móc treo chữ U F16 dài </v>
      </c>
      <c r="F1977" s="555" t="str">
        <f>VLOOKUP($B1977,dongia1,DG!$D$5,)</f>
        <v>cái</v>
      </c>
      <c r="G1977" s="205">
        <f>ppht!ES$14</f>
        <v>0</v>
      </c>
      <c r="H1977" s="556">
        <f t="shared" si="846"/>
        <v>0</v>
      </c>
      <c r="I1977" s="556"/>
      <c r="J1977" s="556"/>
      <c r="K1977" s="556"/>
      <c r="L1977" s="556"/>
      <c r="M1977" s="556"/>
      <c r="N1977" s="556">
        <f t="shared" si="847"/>
        <v>0</v>
      </c>
      <c r="O1977" s="556"/>
      <c r="P1977" s="182">
        <f>VLOOKUP($B1977,dongia1,DG!$F$5,)</f>
        <v>28000</v>
      </c>
      <c r="Q1977" s="182">
        <f>VLOOKUP($B1977,dongia1,DG!$G$5,)</f>
        <v>0</v>
      </c>
      <c r="R1977" s="554"/>
      <c r="S1977" s="113">
        <f t="shared" si="848"/>
        <v>0</v>
      </c>
      <c r="T1977" s="113">
        <f t="shared" si="849"/>
        <v>0</v>
      </c>
      <c r="U1977" s="557">
        <f t="shared" si="850"/>
        <v>0</v>
      </c>
    </row>
    <row r="1978" spans="1:21" s="552" customFormat="1" ht="15" customHeight="1">
      <c r="A1978" s="621"/>
      <c r="B1978" s="688" t="s">
        <v>4428</v>
      </c>
      <c r="C1978" s="633" t="str">
        <f t="shared" si="853"/>
        <v xml:space="preserve"> </v>
      </c>
      <c r="D1978" s="553"/>
      <c r="E1978" s="694" t="str">
        <f>VLOOKUP($B1978,dongia1,DG!$C$5,)</f>
        <v>Ghíp nối IPC 120-120</v>
      </c>
      <c r="F1978" s="555" t="str">
        <f>VLOOKUP($B1978,dongia1,DG!$D$5,)</f>
        <v>cái</v>
      </c>
      <c r="G1978" s="205">
        <f>ppht!ET$14</f>
        <v>0</v>
      </c>
      <c r="H1978" s="556">
        <f t="shared" si="846"/>
        <v>0</v>
      </c>
      <c r="I1978" s="556"/>
      <c r="J1978" s="556"/>
      <c r="K1978" s="556"/>
      <c r="L1978" s="556"/>
      <c r="M1978" s="556"/>
      <c r="N1978" s="556">
        <f t="shared" si="847"/>
        <v>0</v>
      </c>
      <c r="O1978" s="556"/>
      <c r="P1978" s="182">
        <f>VLOOKUP($B1978,dongia1,DG!$F$5,)</f>
        <v>45000</v>
      </c>
      <c r="Q1978" s="182"/>
      <c r="R1978" s="554"/>
      <c r="S1978" s="113">
        <f t="shared" si="848"/>
        <v>0</v>
      </c>
      <c r="T1978" s="113">
        <f t="shared" si="849"/>
        <v>0</v>
      </c>
      <c r="U1978" s="557">
        <f t="shared" si="850"/>
        <v>0</v>
      </c>
    </row>
    <row r="1979" spans="1:21" s="552" customFormat="1" ht="15" customHeight="1">
      <c r="A1979" s="621"/>
      <c r="B1979" s="622" t="s">
        <v>961</v>
      </c>
      <c r="C1979" s="633" t="str">
        <f t="shared" si="853"/>
        <v xml:space="preserve"> </v>
      </c>
      <c r="D1979" s="553"/>
      <c r="E1979" s="694" t="str">
        <f>VLOOKUP($B1979,dongia1,DG!$C$5,)</f>
        <v xml:space="preserve">Ống PVC D114x4,9mm </v>
      </c>
      <c r="F1979" s="555" t="str">
        <f>VLOOKUP($B1979,dongia1,DG!$D$5,)</f>
        <v>m</v>
      </c>
      <c r="G1979" s="560">
        <f>ppht!FA14</f>
        <v>0</v>
      </c>
      <c r="H1979" s="556">
        <f t="shared" si="846"/>
        <v>0</v>
      </c>
      <c r="I1979" s="556"/>
      <c r="J1979" s="556"/>
      <c r="K1979" s="556"/>
      <c r="L1979" s="556"/>
      <c r="M1979" s="556"/>
      <c r="N1979" s="556">
        <f t="shared" si="847"/>
        <v>0</v>
      </c>
      <c r="O1979" s="556"/>
      <c r="P1979" s="182">
        <f>VLOOKUP($B1979,dongia1,DG!$F$5,)</f>
        <v>103700</v>
      </c>
      <c r="Q1979" s="182"/>
      <c r="R1979" s="554"/>
      <c r="S1979" s="113">
        <f t="shared" si="848"/>
        <v>0</v>
      </c>
      <c r="T1979" s="113">
        <f t="shared" si="849"/>
        <v>0</v>
      </c>
      <c r="U1979" s="718">
        <f t="shared" si="850"/>
        <v>0</v>
      </c>
    </row>
    <row r="1980" spans="1:21" s="552" customFormat="1" ht="15" customHeight="1">
      <c r="A1980" s="621"/>
      <c r="B1980" s="622" t="s">
        <v>1861</v>
      </c>
      <c r="C1980" s="633" t="str">
        <f t="shared" si="853"/>
        <v xml:space="preserve"> </v>
      </c>
      <c r="D1980" s="553"/>
      <c r="E1980" s="694" t="str">
        <f>VLOOKUP($B1980,dongia1,DG!$C$5,)</f>
        <v>Ống PVC D140x6,7mm</v>
      </c>
      <c r="F1980" s="555" t="str">
        <f>VLOOKUP($B1980,dongia1,DG!$D$5,)</f>
        <v>m</v>
      </c>
      <c r="G1980" s="560">
        <f>ppht!EZ14</f>
        <v>0</v>
      </c>
      <c r="H1980" s="556">
        <f t="shared" si="846"/>
        <v>0</v>
      </c>
      <c r="I1980" s="556"/>
      <c r="J1980" s="556"/>
      <c r="K1980" s="556"/>
      <c r="L1980" s="556"/>
      <c r="M1980" s="556"/>
      <c r="N1980" s="556">
        <f t="shared" si="847"/>
        <v>0</v>
      </c>
      <c r="O1980" s="556"/>
      <c r="P1980" s="182">
        <f>VLOOKUP($B1980,dongia1,DG!$F$5,)</f>
        <v>165250</v>
      </c>
      <c r="Q1980" s="182"/>
      <c r="R1980" s="554"/>
      <c r="S1980" s="113">
        <f t="shared" si="848"/>
        <v>0</v>
      </c>
      <c r="T1980" s="113">
        <f t="shared" si="849"/>
        <v>0</v>
      </c>
      <c r="U1980" s="715">
        <f t="shared" si="850"/>
        <v>0</v>
      </c>
    </row>
    <row r="1981" spans="1:21" s="552" customFormat="1" ht="15" customHeight="1">
      <c r="A1981" s="621"/>
      <c r="B1981" s="622" t="s">
        <v>4620</v>
      </c>
      <c r="C1981" s="633" t="str">
        <f t="shared" si="853"/>
        <v xml:space="preserve"> </v>
      </c>
      <c r="D1981" s="553"/>
      <c r="E1981" s="694" t="str">
        <f>VLOOKUP($B1981,dongia1,DG!$C$5,)</f>
        <v>Co  90 độ PVC 114</v>
      </c>
      <c r="F1981" s="555" t="str">
        <f>VLOOKUP($B1981,dongia1,DG!$D$5,)</f>
        <v>cái</v>
      </c>
      <c r="G1981" s="560">
        <f>ppht!FE14</f>
        <v>0</v>
      </c>
      <c r="H1981" s="556">
        <f t="shared" si="846"/>
        <v>0</v>
      </c>
      <c r="I1981" s="556"/>
      <c r="J1981" s="556"/>
      <c r="K1981" s="556"/>
      <c r="L1981" s="556"/>
      <c r="M1981" s="556"/>
      <c r="N1981" s="556">
        <f t="shared" si="847"/>
        <v>0</v>
      </c>
      <c r="O1981" s="556"/>
      <c r="P1981" s="182">
        <f>VLOOKUP($B1981,dongia1,DG!$F$5,)</f>
        <v>104800</v>
      </c>
      <c r="Q1981" s="182"/>
      <c r="R1981" s="554"/>
      <c r="S1981" s="113">
        <f t="shared" si="848"/>
        <v>0</v>
      </c>
      <c r="T1981" s="113">
        <f t="shared" si="849"/>
        <v>0</v>
      </c>
      <c r="U1981" s="718">
        <f t="shared" si="850"/>
        <v>0</v>
      </c>
    </row>
    <row r="1982" spans="1:21" s="552" customFormat="1" ht="15" customHeight="1">
      <c r="A1982" s="621"/>
      <c r="B1982" s="622" t="s">
        <v>4690</v>
      </c>
      <c r="C1982" s="633" t="str">
        <f t="shared" si="853"/>
        <v xml:space="preserve"> </v>
      </c>
      <c r="D1982" s="553"/>
      <c r="E1982" s="694" t="str">
        <f>VLOOKUP($B1982,dongia1,DG!$C$5,)</f>
        <v>Co 90 độ PVC 140</v>
      </c>
      <c r="F1982" s="555" t="str">
        <f>VLOOKUP($B1982,dongia1,DG!$D$5,)</f>
        <v>cái</v>
      </c>
      <c r="G1982" s="560">
        <f>ppht!FD14</f>
        <v>0</v>
      </c>
      <c r="H1982" s="556">
        <f t="shared" ref="H1982:H1987" si="854">G1982</f>
        <v>0</v>
      </c>
      <c r="I1982" s="556"/>
      <c r="J1982" s="556"/>
      <c r="K1982" s="556"/>
      <c r="L1982" s="556"/>
      <c r="M1982" s="556"/>
      <c r="N1982" s="556">
        <f t="shared" ref="N1982:N1987" si="855">G1982</f>
        <v>0</v>
      </c>
      <c r="O1982" s="556"/>
      <c r="P1982" s="182">
        <f>VLOOKUP($B1982,dongia1,DG!$F$5,)</f>
        <v>138000</v>
      </c>
      <c r="Q1982" s="182"/>
      <c r="R1982" s="554"/>
      <c r="S1982" s="113">
        <f t="shared" ref="S1982:U1987" si="856">$G1982*P1982</f>
        <v>0</v>
      </c>
      <c r="T1982" s="113">
        <f t="shared" si="856"/>
        <v>0</v>
      </c>
      <c r="U1982" s="718">
        <f t="shared" si="856"/>
        <v>0</v>
      </c>
    </row>
    <row r="1983" spans="1:21" s="552" customFormat="1" ht="15" customHeight="1">
      <c r="A1983" s="621"/>
      <c r="B1983" s="622" t="s">
        <v>738</v>
      </c>
      <c r="C1983" s="633" t="str">
        <f t="shared" si="853"/>
        <v xml:space="preserve"> </v>
      </c>
      <c r="D1983" s="553"/>
      <c r="E1983" s="694" t="str">
        <f>VLOOKUP($B1983,dongia1,DG!$C$5,)</f>
        <v>Co  sừng 90 độ PVC 114</v>
      </c>
      <c r="F1983" s="555" t="str">
        <f>VLOOKUP($B1983,dongia1,DG!$D$5,)</f>
        <v>cái</v>
      </c>
      <c r="G1983" s="560">
        <f>ppht!FC14</f>
        <v>0</v>
      </c>
      <c r="H1983" s="556">
        <f t="shared" si="854"/>
        <v>0</v>
      </c>
      <c r="I1983" s="556"/>
      <c r="J1983" s="556"/>
      <c r="K1983" s="556"/>
      <c r="L1983" s="556"/>
      <c r="M1983" s="556"/>
      <c r="N1983" s="556">
        <f t="shared" si="855"/>
        <v>0</v>
      </c>
      <c r="O1983" s="556"/>
      <c r="P1983" s="182">
        <f>VLOOKUP($B1983,dongia1,DG!$F$5,)</f>
        <v>104800</v>
      </c>
      <c r="Q1983" s="182"/>
      <c r="R1983" s="554"/>
      <c r="S1983" s="113">
        <f t="shared" si="856"/>
        <v>0</v>
      </c>
      <c r="T1983" s="113">
        <f t="shared" si="856"/>
        <v>0</v>
      </c>
      <c r="U1983" s="718">
        <f t="shared" si="856"/>
        <v>0</v>
      </c>
    </row>
    <row r="1984" spans="1:21" s="552" customFormat="1" ht="15" customHeight="1">
      <c r="A1984" s="621"/>
      <c r="B1984" s="622" t="s">
        <v>4565</v>
      </c>
      <c r="C1984" s="633" t="str">
        <f t="shared" si="853"/>
        <v xml:space="preserve"> </v>
      </c>
      <c r="D1984" s="553"/>
      <c r="E1984" s="694" t="str">
        <f>VLOOKUP($B1984,dongia1,DG!$C$5,)</f>
        <v>Co sừng 90 độ PVC 140</v>
      </c>
      <c r="F1984" s="555" t="str">
        <f>VLOOKUP($B1984,dongia1,DG!$D$5,)</f>
        <v>cái</v>
      </c>
      <c r="G1984" s="560">
        <f>ppht!FB14</f>
        <v>0</v>
      </c>
      <c r="H1984" s="556">
        <f t="shared" si="854"/>
        <v>0</v>
      </c>
      <c r="I1984" s="556"/>
      <c r="J1984" s="556"/>
      <c r="K1984" s="556"/>
      <c r="L1984" s="556"/>
      <c r="M1984" s="556"/>
      <c r="N1984" s="556">
        <f t="shared" si="855"/>
        <v>0</v>
      </c>
      <c r="O1984" s="556"/>
      <c r="P1984" s="182">
        <f>VLOOKUP($B1984,dongia1,DG!$F$5,)</f>
        <v>138000</v>
      </c>
      <c r="Q1984" s="182"/>
      <c r="R1984" s="554"/>
      <c r="S1984" s="113">
        <f t="shared" si="856"/>
        <v>0</v>
      </c>
      <c r="T1984" s="113">
        <f t="shared" si="856"/>
        <v>0</v>
      </c>
      <c r="U1984" s="718">
        <f t="shared" si="856"/>
        <v>0</v>
      </c>
    </row>
    <row r="1985" spans="1:21" s="552" customFormat="1" ht="15" customHeight="1">
      <c r="A1985" s="621"/>
      <c r="B1985" s="622" t="s">
        <v>193</v>
      </c>
      <c r="C1985" s="633" t="str">
        <f t="shared" si="853"/>
        <v xml:space="preserve"> </v>
      </c>
      <c r="D1985" s="553"/>
      <c r="E1985" s="694" t="str">
        <f>VLOOKUP($B1985,dongia1,DG!$C$5,)</f>
        <v>Cổ dê kẹp ống PVC Þ 114</v>
      </c>
      <c r="F1985" s="555" t="str">
        <f>VLOOKUP($B1985,dongia1,DG!$D$5,)</f>
        <v>bộ</v>
      </c>
      <c r="G1985" s="560">
        <f>ppht!FK14</f>
        <v>0</v>
      </c>
      <c r="H1985" s="556">
        <f t="shared" si="854"/>
        <v>0</v>
      </c>
      <c r="I1985" s="556"/>
      <c r="J1985" s="556"/>
      <c r="K1985" s="556"/>
      <c r="L1985" s="556"/>
      <c r="M1985" s="556"/>
      <c r="N1985" s="556">
        <f t="shared" si="855"/>
        <v>0</v>
      </c>
      <c r="O1985" s="556"/>
      <c r="P1985" s="182">
        <f>VLOOKUP($B1985,dongia1,DG!$F$5,)</f>
        <v>50000</v>
      </c>
      <c r="Q1985" s="182"/>
      <c r="R1985" s="554"/>
      <c r="S1985" s="113">
        <f t="shared" si="856"/>
        <v>0</v>
      </c>
      <c r="T1985" s="113">
        <f t="shared" si="856"/>
        <v>0</v>
      </c>
      <c r="U1985" s="718">
        <f t="shared" si="856"/>
        <v>0</v>
      </c>
    </row>
    <row r="1986" spans="1:21" s="552" customFormat="1" ht="15" customHeight="1">
      <c r="A1986" s="621"/>
      <c r="B1986" s="622" t="s">
        <v>1169</v>
      </c>
      <c r="C1986" s="633" t="str">
        <f t="shared" si="853"/>
        <v xml:space="preserve"> </v>
      </c>
      <c r="D1986" s="553"/>
      <c r="E1986" s="694" t="str">
        <f>VLOOKUP($B1986,dongia1,DG!$C$5,)</f>
        <v>Cổ dê kẹp ống PVC Þ 140</v>
      </c>
      <c r="F1986" s="555" t="str">
        <f>VLOOKUP($B1986,dongia1,DG!$D$5,)</f>
        <v>bộ</v>
      </c>
      <c r="G1986" s="560">
        <f>ppht!FJ14</f>
        <v>0</v>
      </c>
      <c r="H1986" s="556">
        <f t="shared" si="854"/>
        <v>0</v>
      </c>
      <c r="I1986" s="556"/>
      <c r="J1986" s="556"/>
      <c r="K1986" s="556"/>
      <c r="L1986" s="556"/>
      <c r="M1986" s="556"/>
      <c r="N1986" s="556">
        <f t="shared" si="855"/>
        <v>0</v>
      </c>
      <c r="O1986" s="556"/>
      <c r="P1986" s="182">
        <f>VLOOKUP($B1986,dongia1,DG!$F$5,)</f>
        <v>56000</v>
      </c>
      <c r="Q1986" s="182"/>
      <c r="R1986" s="554"/>
      <c r="S1986" s="113">
        <f t="shared" si="856"/>
        <v>0</v>
      </c>
      <c r="T1986" s="113">
        <f t="shared" si="856"/>
        <v>0</v>
      </c>
      <c r="U1986" s="718">
        <f t="shared" si="856"/>
        <v>0</v>
      </c>
    </row>
    <row r="1987" spans="1:21" s="552" customFormat="1" ht="15" customHeight="1">
      <c r="A1987" s="621"/>
      <c r="B1987" s="622" t="s">
        <v>693</v>
      </c>
      <c r="C1987" s="633" t="str">
        <f t="shared" si="853"/>
        <v xml:space="preserve"> </v>
      </c>
      <c r="D1987" s="553"/>
      <c r="E1987" s="694" t="str">
        <f>VLOOKUP($B1987,dongia1,DG!$C$5,)</f>
        <v>Khâu ven răng trong D114</v>
      </c>
      <c r="F1987" s="555" t="str">
        <f>VLOOKUP($B1987,dongia1,DG!$D$5,)</f>
        <v>cái</v>
      </c>
      <c r="G1987" s="560">
        <f>ppht!FG14</f>
        <v>0</v>
      </c>
      <c r="H1987" s="556">
        <f t="shared" si="854"/>
        <v>0</v>
      </c>
      <c r="I1987" s="556"/>
      <c r="J1987" s="556"/>
      <c r="K1987" s="556"/>
      <c r="L1987" s="556"/>
      <c r="M1987" s="556"/>
      <c r="N1987" s="556">
        <f t="shared" si="855"/>
        <v>0</v>
      </c>
      <c r="O1987" s="556"/>
      <c r="P1987" s="182">
        <f>VLOOKUP($B1987,dongia1,DG!$F$5,)</f>
        <v>41900</v>
      </c>
      <c r="Q1987" s="182"/>
      <c r="R1987" s="554"/>
      <c r="S1987" s="113">
        <f t="shared" si="856"/>
        <v>0</v>
      </c>
      <c r="T1987" s="113">
        <f t="shared" si="856"/>
        <v>0</v>
      </c>
      <c r="U1987" s="718">
        <f t="shared" si="856"/>
        <v>0</v>
      </c>
    </row>
    <row r="1988" spans="1:21" s="552" customFormat="1" ht="15" customHeight="1">
      <c r="A1988" s="621"/>
      <c r="B1988" s="622" t="s">
        <v>694</v>
      </c>
      <c r="C1988" s="633" t="str">
        <f t="shared" si="853"/>
        <v xml:space="preserve"> </v>
      </c>
      <c r="D1988" s="553"/>
      <c r="E1988" s="694" t="str">
        <f>VLOOKUP($B1988,dongia1,DG!$C$5,)</f>
        <v>Khâu ven răng ngoài D114</v>
      </c>
      <c r="F1988" s="555" t="str">
        <f>VLOOKUP($B1988,dongia1,DG!$D$5,)</f>
        <v>cái</v>
      </c>
      <c r="G1988" s="560">
        <f>G1987</f>
        <v>0</v>
      </c>
      <c r="H1988" s="556">
        <f t="shared" si="846"/>
        <v>0</v>
      </c>
      <c r="I1988" s="556"/>
      <c r="J1988" s="556"/>
      <c r="K1988" s="556"/>
      <c r="L1988" s="556"/>
      <c r="M1988" s="556"/>
      <c r="N1988" s="556">
        <f t="shared" si="847"/>
        <v>0</v>
      </c>
      <c r="O1988" s="556"/>
      <c r="P1988" s="182">
        <f>VLOOKUP($B1988,dongia1,DG!$F$5,)</f>
        <v>41900</v>
      </c>
      <c r="Q1988" s="182"/>
      <c r="R1988" s="554"/>
      <c r="S1988" s="113">
        <f t="shared" si="848"/>
        <v>0</v>
      </c>
      <c r="T1988" s="113">
        <f t="shared" si="849"/>
        <v>0</v>
      </c>
      <c r="U1988" s="715">
        <f t="shared" si="850"/>
        <v>0</v>
      </c>
    </row>
    <row r="1989" spans="1:21" s="552" customFormat="1" ht="15" customHeight="1">
      <c r="A1989" s="621"/>
      <c r="B1989" s="622" t="s">
        <v>1049</v>
      </c>
      <c r="C1989" s="633" t="str">
        <f t="shared" si="853"/>
        <v xml:space="preserve"> </v>
      </c>
      <c r="D1989" s="553"/>
      <c r="E1989" s="694" t="str">
        <f>VLOOKUP($B1989,dongia1,DG!$C$5,)</f>
        <v>Khâu ven răng trong D140</v>
      </c>
      <c r="F1989" s="555" t="str">
        <f>VLOOKUP($B1989,dongia1,DG!$D$5,)</f>
        <v>cái</v>
      </c>
      <c r="G1989" s="560">
        <f>ppht!FF14</f>
        <v>0</v>
      </c>
      <c r="H1989" s="556">
        <f t="shared" si="846"/>
        <v>0</v>
      </c>
      <c r="I1989" s="556"/>
      <c r="J1989" s="556"/>
      <c r="K1989" s="556"/>
      <c r="L1989" s="556"/>
      <c r="M1989" s="556"/>
      <c r="N1989" s="556">
        <f t="shared" si="847"/>
        <v>0</v>
      </c>
      <c r="O1989" s="556"/>
      <c r="P1989" s="182">
        <f>VLOOKUP($B1989,dongia1,DG!$F$5,)</f>
        <v>40133.333333333452</v>
      </c>
      <c r="Q1989" s="182"/>
      <c r="R1989" s="554"/>
      <c r="S1989" s="113">
        <f t="shared" si="848"/>
        <v>0</v>
      </c>
      <c r="T1989" s="113">
        <f t="shared" si="849"/>
        <v>0</v>
      </c>
      <c r="U1989" s="718">
        <f t="shared" si="850"/>
        <v>0</v>
      </c>
    </row>
    <row r="1990" spans="1:21" s="552" customFormat="1" ht="15" customHeight="1">
      <c r="A1990" s="621"/>
      <c r="B1990" s="622" t="s">
        <v>1050</v>
      </c>
      <c r="C1990" s="633" t="str">
        <f t="shared" si="853"/>
        <v xml:space="preserve"> </v>
      </c>
      <c r="D1990" s="553"/>
      <c r="E1990" s="694" t="str">
        <f>VLOOKUP($B1990,dongia1,DG!$C$5,)</f>
        <v>Khâu ven răng ngoài D140</v>
      </c>
      <c r="F1990" s="555" t="str">
        <f>VLOOKUP($B1990,dongia1,DG!$D$5,)</f>
        <v>cái</v>
      </c>
      <c r="G1990" s="560">
        <f>G1989</f>
        <v>0</v>
      </c>
      <c r="H1990" s="556">
        <f t="shared" si="846"/>
        <v>0</v>
      </c>
      <c r="I1990" s="556"/>
      <c r="J1990" s="556"/>
      <c r="K1990" s="556"/>
      <c r="L1990" s="556"/>
      <c r="M1990" s="556"/>
      <c r="N1990" s="556">
        <f t="shared" si="847"/>
        <v>0</v>
      </c>
      <c r="O1990" s="556"/>
      <c r="P1990" s="182">
        <f>VLOOKUP($B1990,dongia1,DG!$F$5,)</f>
        <v>51456.140350877191</v>
      </c>
      <c r="Q1990" s="182"/>
      <c r="R1990" s="554"/>
      <c r="S1990" s="113">
        <f t="shared" si="848"/>
        <v>0</v>
      </c>
      <c r="T1990" s="113">
        <f t="shared" si="849"/>
        <v>0</v>
      </c>
      <c r="U1990" s="715">
        <f t="shared" si="850"/>
        <v>0</v>
      </c>
    </row>
    <row r="1991" spans="1:21" s="552" customFormat="1" ht="15" customHeight="1">
      <c r="A1991" s="621"/>
      <c r="B1991" s="622" t="s">
        <v>1283</v>
      </c>
      <c r="C1991" s="633" t="str">
        <f t="shared" si="853"/>
        <v xml:space="preserve"> </v>
      </c>
      <c r="D1991" s="553"/>
      <c r="E1991" s="694" t="str">
        <f>VLOOKUP($B1991,dongia1,DG!$C$5,)</f>
        <v>Ống đàn hồi 114 (Ruột gà)</v>
      </c>
      <c r="F1991" s="555" t="str">
        <f>VLOOKUP($B1991,dongia1,DG!$D$5,)</f>
        <v>m</v>
      </c>
      <c r="G1991" s="560">
        <f>ppht!FI14</f>
        <v>0</v>
      </c>
      <c r="H1991" s="556">
        <f t="shared" si="846"/>
        <v>0</v>
      </c>
      <c r="I1991" s="556"/>
      <c r="J1991" s="556"/>
      <c r="K1991" s="556"/>
      <c r="L1991" s="556"/>
      <c r="M1991" s="556"/>
      <c r="N1991" s="556">
        <f t="shared" si="847"/>
        <v>0</v>
      </c>
      <c r="O1991" s="556"/>
      <c r="P1991" s="182">
        <f>VLOOKUP($B1991,dongia1,DG!$F$5,)</f>
        <v>58700</v>
      </c>
      <c r="Q1991" s="182"/>
      <c r="R1991" s="554"/>
      <c r="S1991" s="113">
        <f t="shared" si="848"/>
        <v>0</v>
      </c>
      <c r="T1991" s="113">
        <f t="shared" si="849"/>
        <v>0</v>
      </c>
      <c r="U1991" s="557">
        <f t="shared" si="850"/>
        <v>0</v>
      </c>
    </row>
    <row r="1992" spans="1:21" s="552" customFormat="1" ht="15" customHeight="1">
      <c r="A1992" s="621"/>
      <c r="B1992" s="622" t="s">
        <v>4572</v>
      </c>
      <c r="C1992" s="633" t="str">
        <f t="shared" si="853"/>
        <v xml:space="preserve"> </v>
      </c>
      <c r="D1992" s="553"/>
      <c r="E1992" s="694" t="str">
        <f>VLOOKUP($B1992,dongia1,DG!$C$5,)</f>
        <v>Ống HDPE 140x5,4</v>
      </c>
      <c r="F1992" s="555" t="str">
        <f>VLOOKUP($B1992,dongia1,DG!$D$5,)</f>
        <v>m</v>
      </c>
      <c r="G1992" s="560">
        <f>ppht!FH14</f>
        <v>0</v>
      </c>
      <c r="H1992" s="556">
        <f t="shared" si="846"/>
        <v>0</v>
      </c>
      <c r="I1992" s="556"/>
      <c r="J1992" s="556"/>
      <c r="K1992" s="556"/>
      <c r="L1992" s="556"/>
      <c r="M1992" s="556"/>
      <c r="N1992" s="556">
        <f t="shared" si="847"/>
        <v>0</v>
      </c>
      <c r="O1992" s="556"/>
      <c r="P1992" s="182">
        <f>VLOOKUP($B1992,dongia1,DG!$F$5,)</f>
        <v>156700</v>
      </c>
      <c r="Q1992" s="182"/>
      <c r="R1992" s="554"/>
      <c r="S1992" s="113">
        <f t="shared" si="848"/>
        <v>0</v>
      </c>
      <c r="T1992" s="113">
        <f t="shared" si="849"/>
        <v>0</v>
      </c>
      <c r="U1992" s="718">
        <f t="shared" si="850"/>
        <v>0</v>
      </c>
    </row>
    <row r="1993" spans="1:21" s="552" customFormat="1" ht="15" customHeight="1">
      <c r="A1993" s="621"/>
      <c r="B1993" s="622" t="s">
        <v>887</v>
      </c>
      <c r="C1993" s="633" t="str">
        <f t="shared" si="853"/>
        <v xml:space="preserve"> </v>
      </c>
      <c r="D1993" s="553"/>
      <c r="E1993" s="694" t="str">
        <f>VLOOKUP($B1993,dongia1,DG!$C$5,)</f>
        <v>Keo dán ống PVC (100gr)</v>
      </c>
      <c r="F1993" s="555" t="str">
        <f>VLOOKUP($B1993,dongia1,DG!$D$5,)</f>
        <v>tuýp</v>
      </c>
      <c r="G1993" s="560">
        <f>ROUND((G1987+G1988)/2,0)+ROUND((G1989+G1990)/2,0)</f>
        <v>0</v>
      </c>
      <c r="H1993" s="556">
        <f t="shared" si="846"/>
        <v>0</v>
      </c>
      <c r="I1993" s="556"/>
      <c r="J1993" s="556"/>
      <c r="K1993" s="556"/>
      <c r="L1993" s="556"/>
      <c r="M1993" s="556"/>
      <c r="N1993" s="556">
        <f t="shared" si="847"/>
        <v>0</v>
      </c>
      <c r="O1993" s="556"/>
      <c r="P1993" s="182">
        <f>VLOOKUP($B1993,dongia1,DG!$F$5,)</f>
        <v>11500</v>
      </c>
      <c r="Q1993" s="182"/>
      <c r="R1993" s="554"/>
      <c r="S1993" s="113">
        <f t="shared" si="848"/>
        <v>0</v>
      </c>
      <c r="T1993" s="113">
        <f t="shared" si="849"/>
        <v>0</v>
      </c>
      <c r="U1993" s="715">
        <f t="shared" si="850"/>
        <v>0</v>
      </c>
    </row>
    <row r="1994" spans="1:21" s="552" customFormat="1" ht="15" customHeight="1">
      <c r="A1994" s="621"/>
      <c r="B1994" s="622" t="s">
        <v>1690</v>
      </c>
      <c r="C1994" s="633" t="str">
        <f t="shared" si="853"/>
        <v xml:space="preserve"> </v>
      </c>
      <c r="D1994" s="553"/>
      <c r="E1994" s="694" t="str">
        <f>VLOOKUP($B1994,dongia1,DG!$C$5,)</f>
        <v>Keo silicon bít miệng ống</v>
      </c>
      <c r="F1994" s="555" t="str">
        <f>VLOOKUP($B1994,dongia1,DG!$D$5,)</f>
        <v>chai</v>
      </c>
      <c r="G1994" s="560">
        <f>G1981+G1984</f>
        <v>0</v>
      </c>
      <c r="H1994" s="556">
        <f t="shared" si="846"/>
        <v>0</v>
      </c>
      <c r="I1994" s="556"/>
      <c r="J1994" s="556"/>
      <c r="K1994" s="556"/>
      <c r="L1994" s="556"/>
      <c r="M1994" s="556"/>
      <c r="N1994" s="556">
        <f t="shared" si="847"/>
        <v>0</v>
      </c>
      <c r="O1994" s="556"/>
      <c r="P1994" s="182">
        <f>VLOOKUP($B1994,dongia1,DG!$F$5,)</f>
        <v>45000</v>
      </c>
      <c r="Q1994" s="182"/>
      <c r="R1994" s="554"/>
      <c r="S1994" s="113">
        <f t="shared" si="848"/>
        <v>0</v>
      </c>
      <c r="T1994" s="113">
        <f t="shared" si="849"/>
        <v>0</v>
      </c>
      <c r="U1994" s="557">
        <f t="shared" si="850"/>
        <v>0</v>
      </c>
    </row>
    <row r="1995" spans="1:21" s="552" customFormat="1" ht="15" customHeight="1">
      <c r="A1995" s="621"/>
      <c r="B1995" s="622" t="s">
        <v>236</v>
      </c>
      <c r="C1995" s="633" t="str">
        <f t="shared" si="853"/>
        <v xml:space="preserve"> </v>
      </c>
      <c r="D1995" s="553"/>
      <c r="E1995" s="694" t="str">
        <f>VLOOKUP($B1995,dongia1,DG!$C$5,)</f>
        <v>Băng keo cách điện hạ thế</v>
      </c>
      <c r="F1995" s="555" t="str">
        <f>VLOOKUP($B1995,dongia1,DG!$D$5,)</f>
        <v>cuộn</v>
      </c>
      <c r="G1995" s="560">
        <f>ppht!FL14</f>
        <v>0</v>
      </c>
      <c r="H1995" s="556">
        <f>G1995</f>
        <v>0</v>
      </c>
      <c r="I1995" s="556"/>
      <c r="J1995" s="556"/>
      <c r="K1995" s="556"/>
      <c r="L1995" s="556"/>
      <c r="M1995" s="556"/>
      <c r="N1995" s="556">
        <f>G1995</f>
        <v>0</v>
      </c>
      <c r="O1995" s="556"/>
      <c r="P1995" s="182">
        <f>VLOOKUP($B1995,dongia1,DG!$F$5,)</f>
        <v>6500</v>
      </c>
      <c r="Q1995" s="182"/>
      <c r="R1995" s="554"/>
      <c r="S1995" s="113">
        <f>$G1995*P1995</f>
        <v>0</v>
      </c>
      <c r="T1995" s="113">
        <f>$G1995*Q1995</f>
        <v>0</v>
      </c>
      <c r="U1995" s="718">
        <f>$G1995*R1995</f>
        <v>0</v>
      </c>
    </row>
    <row r="1996" spans="1:21" s="552" customFormat="1" ht="15" customHeight="1">
      <c r="A1996" s="621"/>
      <c r="B1996" s="622" t="s">
        <v>4695</v>
      </c>
      <c r="C1996" s="633" t="str">
        <f t="shared" si="853"/>
        <v xml:space="preserve"> </v>
      </c>
      <c r="D1996" s="553"/>
      <c r="E1996" s="694" t="str">
        <f>VLOOKUP($B1996,dongia1,DG!$C$5,)</f>
        <v>Tiếp địa cố định cáp ABC 95mm2</v>
      </c>
      <c r="F1996" s="555" t="str">
        <f>VLOOKUP($B1996,dongia1,DG!$D$5,)</f>
        <v>cái</v>
      </c>
      <c r="G1996" s="560">
        <f>ppht!CI14</f>
        <v>0</v>
      </c>
      <c r="H1996" s="556">
        <f t="shared" si="846"/>
        <v>0</v>
      </c>
      <c r="I1996" s="556"/>
      <c r="J1996" s="556"/>
      <c r="K1996" s="556"/>
      <c r="L1996" s="556"/>
      <c r="M1996" s="556"/>
      <c r="N1996" s="556">
        <f t="shared" si="847"/>
        <v>0</v>
      </c>
      <c r="O1996" s="556"/>
      <c r="P1996" s="182">
        <f>VLOOKUP($B1996,dongia1,DG!$F$5,)</f>
        <v>170000</v>
      </c>
      <c r="Q1996" s="182"/>
      <c r="R1996" s="554"/>
      <c r="S1996" s="113">
        <f t="shared" si="848"/>
        <v>0</v>
      </c>
      <c r="T1996" s="113">
        <f t="shared" si="849"/>
        <v>0</v>
      </c>
      <c r="U1996" s="557">
        <f t="shared" si="850"/>
        <v>0</v>
      </c>
    </row>
    <row r="1997" spans="1:21" s="552" customFormat="1" ht="15" customHeight="1">
      <c r="A1997" s="621"/>
      <c r="B1997" s="622" t="s">
        <v>4692</v>
      </c>
      <c r="C1997" s="633" t="str">
        <f t="shared" si="853"/>
        <v xml:space="preserve"> </v>
      </c>
      <c r="D1997" s="553"/>
      <c r="E1997" s="694" t="str">
        <f>VLOOKUP($B1997,dongia1,DG!$C$5,)</f>
        <v>Tiếp địa cố định cáp ABC 120mm2</v>
      </c>
      <c r="F1997" s="555" t="str">
        <f>VLOOKUP($B1997,dongia1,DG!$D$5,)</f>
        <v>cái</v>
      </c>
      <c r="G1997" s="560">
        <f>ppht!CH14</f>
        <v>0</v>
      </c>
      <c r="H1997" s="556">
        <f t="shared" si="846"/>
        <v>0</v>
      </c>
      <c r="I1997" s="556"/>
      <c r="J1997" s="556"/>
      <c r="K1997" s="556"/>
      <c r="L1997" s="556"/>
      <c r="M1997" s="556"/>
      <c r="N1997" s="556">
        <f t="shared" si="847"/>
        <v>0</v>
      </c>
      <c r="O1997" s="556"/>
      <c r="P1997" s="182">
        <f>VLOOKUP($B1997,dongia1,DG!$F$5,)</f>
        <v>190000</v>
      </c>
      <c r="Q1997" s="182"/>
      <c r="R1997" s="554"/>
      <c r="S1997" s="113">
        <f t="shared" si="848"/>
        <v>0</v>
      </c>
      <c r="T1997" s="113">
        <f t="shared" si="849"/>
        <v>0</v>
      </c>
      <c r="U1997" s="557">
        <f t="shared" si="850"/>
        <v>0</v>
      </c>
    </row>
    <row r="1998" spans="1:21" s="552" customFormat="1" ht="15" customHeight="1">
      <c r="A1998" s="621"/>
      <c r="B1998" s="622" t="s">
        <v>680</v>
      </c>
      <c r="C1998" s="633" t="str">
        <f t="shared" si="853"/>
        <v xml:space="preserve"> </v>
      </c>
      <c r="D1998" s="553"/>
      <c r="E1998" s="694" t="str">
        <f>VLOOKUP($B1998,dongia1,DG!$C$5,)</f>
        <v>p</v>
      </c>
      <c r="F1998" s="555" t="str">
        <f>VLOOKUP($B1998,dongia1,DG!$D$5,)</f>
        <v>cái</v>
      </c>
      <c r="G1998" s="205">
        <f>ppht!EU$14</f>
        <v>0</v>
      </c>
      <c r="H1998" s="556">
        <f t="shared" si="846"/>
        <v>0</v>
      </c>
      <c r="I1998" s="556"/>
      <c r="J1998" s="556"/>
      <c r="K1998" s="556"/>
      <c r="L1998" s="556"/>
      <c r="M1998" s="556"/>
      <c r="N1998" s="556">
        <f t="shared" si="847"/>
        <v>0</v>
      </c>
      <c r="O1998" s="556"/>
      <c r="P1998" s="182">
        <f>VLOOKUP($B1998,dongia1,DG!$F$5,)</f>
        <v>5931200</v>
      </c>
      <c r="Q1998" s="182">
        <f>VLOOKUP($B1998,dongia1,DG!$G$5,)</f>
        <v>85158</v>
      </c>
      <c r="R1998" s="554"/>
      <c r="S1998" s="113">
        <f t="shared" si="848"/>
        <v>0</v>
      </c>
      <c r="T1998" s="113">
        <f t="shared" si="849"/>
        <v>0</v>
      </c>
      <c r="U1998" s="715">
        <f t="shared" si="850"/>
        <v>0</v>
      </c>
    </row>
    <row r="1999" spans="1:21" s="552" customFormat="1" ht="15" customHeight="1">
      <c r="A1999" s="621"/>
      <c r="B1999" s="622" t="s">
        <v>2058</v>
      </c>
      <c r="C1999" s="633" t="str">
        <f t="shared" si="853"/>
        <v xml:space="preserve"> </v>
      </c>
      <c r="D1999" s="553"/>
      <c r="E1999" s="694" t="str">
        <f>VLOOKUP($B1999,dongia1,DG!$C$5,)</f>
        <v>Đầu cosse ép Cu-Al 95mm2</v>
      </c>
      <c r="F1999" s="555" t="str">
        <f>VLOOKUP($B1999,dongia1,DG!$D$5,)</f>
        <v>cái</v>
      </c>
      <c r="G1999" s="205">
        <f>ppht!EW14</f>
        <v>0</v>
      </c>
      <c r="H1999" s="556">
        <f>G1999</f>
        <v>0</v>
      </c>
      <c r="I1999" s="556"/>
      <c r="J1999" s="556"/>
      <c r="K1999" s="556"/>
      <c r="L1999" s="556"/>
      <c r="M1999" s="556"/>
      <c r="N1999" s="556">
        <f>G1999</f>
        <v>0</v>
      </c>
      <c r="O1999" s="556"/>
      <c r="P1999" s="182">
        <f>VLOOKUP($B1999,dongia1,DG!$F$5,)</f>
        <v>25000</v>
      </c>
      <c r="Q1999" s="182">
        <f>VLOOKUP($B1999,dongia1,DG!$G$5,)</f>
        <v>21217.910000000003</v>
      </c>
      <c r="R1999" s="554"/>
      <c r="S1999" s="113">
        <f>$G1999*P1999</f>
        <v>0</v>
      </c>
      <c r="T1999" s="113">
        <f>$G1999*Q1999</f>
        <v>0</v>
      </c>
      <c r="U1999" s="715">
        <f>$G1999*R1999</f>
        <v>0</v>
      </c>
    </row>
    <row r="2000" spans="1:21" s="552" customFormat="1" ht="15" customHeight="1">
      <c r="A2000" s="621"/>
      <c r="B2000" s="622" t="s">
        <v>1738</v>
      </c>
      <c r="C2000" s="633" t="str">
        <f t="shared" si="853"/>
        <v xml:space="preserve"> </v>
      </c>
      <c r="D2000" s="553"/>
      <c r="E2000" s="694" t="str">
        <f>VLOOKUP($B2000,dongia1,DG!$C$5,)</f>
        <v>Đầu cosse ép Cu-Al 120mm2</v>
      </c>
      <c r="F2000" s="555" t="str">
        <f>VLOOKUP($B2000,dongia1,DG!$D$5,)</f>
        <v>cái</v>
      </c>
      <c r="G2000" s="205">
        <f>ppht!EV$14</f>
        <v>0</v>
      </c>
      <c r="H2000" s="556">
        <f t="shared" si="846"/>
        <v>0</v>
      </c>
      <c r="I2000" s="556"/>
      <c r="J2000" s="556"/>
      <c r="K2000" s="556"/>
      <c r="L2000" s="556"/>
      <c r="M2000" s="556"/>
      <c r="N2000" s="556">
        <f t="shared" si="847"/>
        <v>0</v>
      </c>
      <c r="O2000" s="556"/>
      <c r="P2000" s="182">
        <f>VLOOKUP($B2000,dongia1,DG!$F$5,)</f>
        <v>34000</v>
      </c>
      <c r="Q2000" s="182">
        <f>VLOOKUP($B2000,dongia1,DG!$G$5,)</f>
        <v>27280.17</v>
      </c>
      <c r="R2000" s="554"/>
      <c r="S2000" s="113">
        <f t="shared" si="848"/>
        <v>0</v>
      </c>
      <c r="T2000" s="113">
        <f t="shared" si="849"/>
        <v>0</v>
      </c>
      <c r="U2000" s="718">
        <f t="shared" si="850"/>
        <v>0</v>
      </c>
    </row>
    <row r="2001" spans="1:21" s="552" customFormat="1" ht="15" customHeight="1">
      <c r="A2001" s="621"/>
      <c r="B2001" s="622" t="s">
        <v>4430</v>
      </c>
      <c r="C2001" s="633" t="str">
        <f t="shared" ref="C2001:C2024" si="857">IF(G2001&lt;&gt;0,$C$1904," ")</f>
        <v xml:space="preserve"> </v>
      </c>
      <c r="D2001" s="553"/>
      <c r="E2001" s="694" t="str">
        <f>VLOOKUP($B2001,dongia1,DG!$C$5,)</f>
        <v>Kẹp cáp 3 boulon</v>
      </c>
      <c r="F2001" s="555" t="str">
        <f>VLOOKUP($B2001,dongia1,DG!$D$5,)</f>
        <v>cái</v>
      </c>
      <c r="G2001" s="205">
        <f>ppht!EY$14</f>
        <v>0</v>
      </c>
      <c r="H2001" s="556">
        <f t="shared" si="846"/>
        <v>0</v>
      </c>
      <c r="I2001" s="556"/>
      <c r="J2001" s="556"/>
      <c r="K2001" s="556"/>
      <c r="L2001" s="556"/>
      <c r="M2001" s="556"/>
      <c r="N2001" s="556">
        <f t="shared" si="847"/>
        <v>0</v>
      </c>
      <c r="O2001" s="556"/>
      <c r="P2001" s="182">
        <f>VLOOKUP($B2001,dongia1,DG!$F$5,)</f>
        <v>38000</v>
      </c>
      <c r="Q2001" s="182">
        <f>VLOOKUP($B2001,dongia1,DG!$G$5,)</f>
        <v>0</v>
      </c>
      <c r="R2001" s="554"/>
      <c r="S2001" s="113">
        <f t="shared" si="848"/>
        <v>0</v>
      </c>
      <c r="T2001" s="113">
        <f t="shared" si="849"/>
        <v>0</v>
      </c>
      <c r="U2001" s="715">
        <f t="shared" si="850"/>
        <v>0</v>
      </c>
    </row>
    <row r="2002" spans="1:21" s="552" customFormat="1" ht="15" customHeight="1">
      <c r="A2002" s="621"/>
      <c r="B2002" s="622" t="s">
        <v>1698</v>
      </c>
      <c r="C2002" s="633" t="str">
        <f t="shared" si="857"/>
        <v xml:space="preserve"> </v>
      </c>
      <c r="D2002" s="553"/>
      <c r="E2002" s="694" t="str">
        <f>VLOOKUP($B2002,dongia1,DG!$C$5,)</f>
        <v>Kẹp ép WR cỡ dây 120mm2</v>
      </c>
      <c r="F2002" s="555" t="str">
        <f>VLOOKUP($B2002,dongia1,DG!$D$5,)</f>
        <v>cái</v>
      </c>
      <c r="G2002" s="205">
        <f>ppht!EX14</f>
        <v>0</v>
      </c>
      <c r="H2002" s="556">
        <f>G2002</f>
        <v>0</v>
      </c>
      <c r="I2002" s="556"/>
      <c r="J2002" s="556"/>
      <c r="K2002" s="556"/>
      <c r="L2002" s="556"/>
      <c r="M2002" s="556"/>
      <c r="N2002" s="556">
        <f>G2002</f>
        <v>0</v>
      </c>
      <c r="O2002" s="556"/>
      <c r="P2002" s="182">
        <f>VLOOKUP($B2002,dongia1,DG!$F$5,)</f>
        <v>14000</v>
      </c>
      <c r="Q2002" s="182">
        <f>VLOOKUP($B2002,dongia1,DG!$G$5,)</f>
        <v>0</v>
      </c>
      <c r="R2002" s="554"/>
      <c r="S2002" s="113">
        <f>$G2002*P2002</f>
        <v>0</v>
      </c>
      <c r="T2002" s="113">
        <f>$G2002*Q2002</f>
        <v>0</v>
      </c>
      <c r="U2002" s="715">
        <f>$G2002*R2002</f>
        <v>0</v>
      </c>
    </row>
    <row r="2003" spans="1:21" s="552" customFormat="1" ht="15" customHeight="1">
      <c r="A2003" s="621"/>
      <c r="B2003" s="622" t="s">
        <v>2036</v>
      </c>
      <c r="C2003" s="633" t="str">
        <f t="shared" si="857"/>
        <v xml:space="preserve"> </v>
      </c>
      <c r="D2003" s="553"/>
      <c r="E2003" s="694" t="str">
        <f>VLOOKUP($B2003,dongia1,DG!$C$5,)</f>
        <v>Ống nối dây cỡ 50mm2 (có lõi thép)</v>
      </c>
      <c r="F2003" s="555" t="str">
        <f>VLOOKUP($B2003,dongia1,DG!$D$5,)</f>
        <v>cái</v>
      </c>
      <c r="G2003" s="205">
        <f>ROUND(G1910/0.195/1500,0)</f>
        <v>0</v>
      </c>
      <c r="H2003" s="556">
        <f>G2003</f>
        <v>0</v>
      </c>
      <c r="I2003" s="556"/>
      <c r="J2003" s="556"/>
      <c r="K2003" s="556"/>
      <c r="L2003" s="556"/>
      <c r="M2003" s="556"/>
      <c r="N2003" s="556">
        <f>G2003</f>
        <v>0</v>
      </c>
      <c r="O2003" s="556"/>
      <c r="P2003" s="182">
        <f>VLOOKUP($B2003,dongia1,DG!$F$5,)</f>
        <v>32000</v>
      </c>
      <c r="Q2003" s="182">
        <f>VLOOKUP($B2003,dongia1,DG!$G$5,)</f>
        <v>0</v>
      </c>
      <c r="R2003" s="554"/>
      <c r="S2003" s="113">
        <f t="shared" ref="S2003:U2006" si="858">$G2003*P2003</f>
        <v>0</v>
      </c>
      <c r="T2003" s="113">
        <f t="shared" si="858"/>
        <v>0</v>
      </c>
      <c r="U2003" s="557">
        <f t="shared" si="858"/>
        <v>0</v>
      </c>
    </row>
    <row r="2004" spans="1:21" s="552" customFormat="1" ht="15" customHeight="1">
      <c r="A2004" s="621"/>
      <c r="B2004" s="622" t="s">
        <v>2037</v>
      </c>
      <c r="C2004" s="633" t="str">
        <f t="shared" si="857"/>
        <v xml:space="preserve"> </v>
      </c>
      <c r="D2004" s="553"/>
      <c r="E2004" s="694" t="str">
        <f>VLOOKUP($B2004,dongia1,DG!$C$5,)</f>
        <v>Ống nối dây cỡ 70mm2</v>
      </c>
      <c r="F2004" s="555" t="str">
        <f>VLOOKUP($B2004,dongia1,DG!$D$5,)</f>
        <v>cái</v>
      </c>
      <c r="G2004" s="205">
        <f>ROUND(G1910/2000,0)</f>
        <v>0</v>
      </c>
      <c r="H2004" s="556">
        <f>G2004</f>
        <v>0</v>
      </c>
      <c r="I2004" s="556"/>
      <c r="J2004" s="556"/>
      <c r="K2004" s="556"/>
      <c r="L2004" s="556"/>
      <c r="M2004" s="556"/>
      <c r="N2004" s="556">
        <f>G2004</f>
        <v>0</v>
      </c>
      <c r="O2004" s="556"/>
      <c r="P2004" s="182">
        <f>VLOOKUP($B2004,dongia1,DG!$F$5,)</f>
        <v>32000</v>
      </c>
      <c r="Q2004" s="182">
        <f>VLOOKUP($B2004,dongia1,DG!$G$5,)</f>
        <v>0</v>
      </c>
      <c r="R2004" s="554"/>
      <c r="S2004" s="113">
        <f t="shared" si="858"/>
        <v>0</v>
      </c>
      <c r="T2004" s="113">
        <f t="shared" si="858"/>
        <v>0</v>
      </c>
      <c r="U2004" s="557">
        <f t="shared" si="858"/>
        <v>0</v>
      </c>
    </row>
    <row r="2005" spans="1:21" s="552" customFormat="1" ht="15" customHeight="1">
      <c r="A2005" s="621"/>
      <c r="B2005" s="622" t="s">
        <v>1278</v>
      </c>
      <c r="C2005" s="633" t="str">
        <f t="shared" si="857"/>
        <v xml:space="preserve"> </v>
      </c>
      <c r="D2005" s="553"/>
      <c r="E2005" s="694" t="str">
        <f>VLOOKUP($B2005,dongia1,DG!$C$5,)</f>
        <v>Biển số - Bảng nguy hiểm</v>
      </c>
      <c r="F2005" s="555" t="str">
        <f>VLOOKUP($B2005,dongia1,DG!$D$5,)</f>
        <v>cái</v>
      </c>
      <c r="G2005" s="205"/>
      <c r="H2005" s="556">
        <f>G2005</f>
        <v>0</v>
      </c>
      <c r="I2005" s="556"/>
      <c r="J2005" s="556"/>
      <c r="K2005" s="556"/>
      <c r="L2005" s="556"/>
      <c r="M2005" s="556"/>
      <c r="N2005" s="556">
        <f>G2005</f>
        <v>0</v>
      </c>
      <c r="O2005" s="556"/>
      <c r="P2005" s="182">
        <f>VLOOKUP($B2005,dongia1,DG!$F$5,)</f>
        <v>60000</v>
      </c>
      <c r="Q2005" s="182">
        <f>VLOOKUP($B2005,dongia1,DG!$G$5,)</f>
        <v>19963</v>
      </c>
      <c r="R2005" s="554"/>
      <c r="S2005" s="113">
        <f t="shared" si="858"/>
        <v>0</v>
      </c>
      <c r="T2005" s="113">
        <f t="shared" si="858"/>
        <v>0</v>
      </c>
      <c r="U2005" s="557">
        <f t="shared" si="858"/>
        <v>0</v>
      </c>
    </row>
    <row r="2006" spans="1:21" s="552" customFormat="1" ht="15" customHeight="1">
      <c r="A2006" s="621"/>
      <c r="B2006" s="622" t="s">
        <v>998</v>
      </c>
      <c r="C2006" s="633" t="str">
        <f t="shared" si="857"/>
        <v xml:space="preserve"> </v>
      </c>
      <c r="D2006" s="553"/>
      <c r="E2006" s="694" t="str">
        <f>VLOOKUP($B2006,dongia1,DG!$C$5,)</f>
        <v xml:space="preserve">Dây nhôm buộc </v>
      </c>
      <c r="F2006" s="555" t="str">
        <f>VLOOKUP($B2006,dongia1,DG!$D$5,)</f>
        <v>kg</v>
      </c>
      <c r="G2006" s="205">
        <f>SUM(G2014:G2014)*5/1.4*0</f>
        <v>0</v>
      </c>
      <c r="H2006" s="556">
        <f>G2006</f>
        <v>0</v>
      </c>
      <c r="I2006" s="556"/>
      <c r="J2006" s="556"/>
      <c r="K2006" s="556"/>
      <c r="L2006" s="556"/>
      <c r="M2006" s="556"/>
      <c r="N2006" s="556">
        <f>G2006</f>
        <v>0</v>
      </c>
      <c r="O2006" s="556"/>
      <c r="P2006" s="182">
        <f>VLOOKUP($B2006,dongia1,DG!$F$5,)</f>
        <v>51336</v>
      </c>
      <c r="Q2006" s="182">
        <f>VLOOKUP($B2006,dongia1,DG!$G$5,)</f>
        <v>0</v>
      </c>
      <c r="R2006" s="554"/>
      <c r="S2006" s="113">
        <f t="shared" si="858"/>
        <v>0</v>
      </c>
      <c r="T2006" s="113">
        <f t="shared" si="858"/>
        <v>0</v>
      </c>
      <c r="U2006" s="718">
        <f t="shared" si="858"/>
        <v>0</v>
      </c>
    </row>
    <row r="2007" spans="1:21" s="552" customFormat="1" ht="15" customHeight="1">
      <c r="A2007" s="621"/>
      <c r="B2007" s="622" t="s">
        <v>256</v>
      </c>
      <c r="C2007" s="633" t="str">
        <f t="shared" si="857"/>
        <v xml:space="preserve"> </v>
      </c>
      <c r="D2007" s="553"/>
      <c r="E2007" s="694" t="str">
        <f>VLOOKUP($B2007,dongia1,DG!$C$5,)</f>
        <v>Kéo dây nhôm bọc 120mm2</v>
      </c>
      <c r="F2007" s="555" t="str">
        <f>VLOOKUP($B2007,dongia1,DG!$D$5,)</f>
        <v>km</v>
      </c>
      <c r="G2007" s="205">
        <f>ROUND(D1905/1000,2)</f>
        <v>0</v>
      </c>
      <c r="H2007" s="556"/>
      <c r="I2007" s="556"/>
      <c r="J2007" s="556"/>
      <c r="K2007" s="556"/>
      <c r="L2007" s="556"/>
      <c r="M2007" s="556"/>
      <c r="N2007" s="556"/>
      <c r="O2007" s="556"/>
      <c r="P2007" s="182">
        <f>VLOOKUP($B2007,dongia1,DG!$F$5,)</f>
        <v>0</v>
      </c>
      <c r="Q2007" s="603" t="str">
        <f>TEXT(VLOOKUP($B2007,dongia1,DG!$G$5,),"#.###,##0")&amp;" x"&amp;hskd</f>
        <v>3.694.863,0 x0,7</v>
      </c>
      <c r="R2007" s="554"/>
      <c r="S2007" s="113">
        <f t="shared" ref="S2007:S2024" si="859">$G2007*P2007</f>
        <v>0</v>
      </c>
      <c r="T2007" s="182">
        <f>VLOOKUP($B2007,dongia1,DG!G$5,)*G2007*hskd</f>
        <v>0</v>
      </c>
      <c r="U2007" s="715">
        <f t="shared" ref="U2007:U2012" si="860">$G2007*R2007</f>
        <v>0</v>
      </c>
    </row>
    <row r="2008" spans="1:21" s="552" customFormat="1" ht="15" customHeight="1">
      <c r="A2008" s="621"/>
      <c r="B2008" s="622" t="s">
        <v>1099</v>
      </c>
      <c r="C2008" s="633" t="str">
        <f t="shared" si="857"/>
        <v xml:space="preserve"> </v>
      </c>
      <c r="D2008" s="553"/>
      <c r="E2008" s="694" t="str">
        <f>VLOOKUP($B2008,dongia1,DG!$C$5,)</f>
        <v>Kéo dây nhôm bọc 95mm2</v>
      </c>
      <c r="F2008" s="555" t="str">
        <f>VLOOKUP($B2008,dongia1,DG!$D$5,)</f>
        <v>km</v>
      </c>
      <c r="G2008" s="205">
        <f>ROUND(D1906/1000,2)</f>
        <v>0</v>
      </c>
      <c r="H2008" s="556"/>
      <c r="I2008" s="556"/>
      <c r="J2008" s="556"/>
      <c r="K2008" s="556"/>
      <c r="L2008" s="556"/>
      <c r="M2008" s="556"/>
      <c r="N2008" s="556"/>
      <c r="O2008" s="556"/>
      <c r="P2008" s="182">
        <f>VLOOKUP($B2008,dongia1,DG!$F$5,)</f>
        <v>0</v>
      </c>
      <c r="Q2008" s="603" t="str">
        <f>TEXT(VLOOKUP($B2008,dongia1,DG!$G$5,),"#.###,##0")&amp;" x"&amp;hskd</f>
        <v>2.698.065,0 x0,7</v>
      </c>
      <c r="R2008" s="554"/>
      <c r="S2008" s="113">
        <f t="shared" si="859"/>
        <v>0</v>
      </c>
      <c r="T2008" s="182">
        <f>VLOOKUP($B2008,dongia1,DG!G$5,)*G2008*hskd</f>
        <v>0</v>
      </c>
      <c r="U2008" s="557">
        <f t="shared" si="860"/>
        <v>0</v>
      </c>
    </row>
    <row r="2009" spans="1:21" s="552" customFormat="1" ht="15" customHeight="1">
      <c r="A2009" s="621"/>
      <c r="B2009" s="622" t="s">
        <v>909</v>
      </c>
      <c r="C2009" s="633" t="str">
        <f t="shared" si="857"/>
        <v xml:space="preserve"> </v>
      </c>
      <c r="D2009" s="553"/>
      <c r="E2009" s="694" t="str">
        <f>VLOOKUP($B2009,dongia1,DG!$C$5,)</f>
        <v>Kéo dây nhôm bọc 70mm2</v>
      </c>
      <c r="F2009" s="555" t="str">
        <f>VLOOKUP($B2009,dongia1,DG!$D$5,)</f>
        <v>km</v>
      </c>
      <c r="G2009" s="205">
        <f>ROUND(D1907/1000,2)</f>
        <v>0</v>
      </c>
      <c r="H2009" s="556"/>
      <c r="I2009" s="556"/>
      <c r="J2009" s="556"/>
      <c r="K2009" s="556"/>
      <c r="L2009" s="556"/>
      <c r="M2009" s="556"/>
      <c r="N2009" s="556"/>
      <c r="O2009" s="556"/>
      <c r="P2009" s="182">
        <f>VLOOKUP($B2009,dongia1,DG!$F$5,)</f>
        <v>0</v>
      </c>
      <c r="Q2009" s="603" t="str">
        <f>TEXT(VLOOKUP($B2009,dongia1,DG!$G$5,),"#.###,##0")&amp;" x"&amp;hskd</f>
        <v>1.986.408,0 x0,7</v>
      </c>
      <c r="R2009" s="554"/>
      <c r="S2009" s="113">
        <f t="shared" si="859"/>
        <v>0</v>
      </c>
      <c r="T2009" s="182">
        <f>VLOOKUP($B2009,dongia1,DG!G$5,)*G2009*hskd</f>
        <v>0</v>
      </c>
      <c r="U2009" s="557">
        <f t="shared" si="860"/>
        <v>0</v>
      </c>
    </row>
    <row r="2010" spans="1:21" s="552" customFormat="1" ht="15" customHeight="1">
      <c r="A2010" s="621"/>
      <c r="B2010" s="622" t="s">
        <v>1109</v>
      </c>
      <c r="C2010" s="633" t="str">
        <f t="shared" si="857"/>
        <v xml:space="preserve"> </v>
      </c>
      <c r="D2010" s="553"/>
      <c r="E2010" s="694" t="str">
        <f>VLOOKUP($B2010,dongia1,DG!$C$5,)</f>
        <v>Kéo dây nhôm bọc 50mm2</v>
      </c>
      <c r="F2010" s="555" t="str">
        <f>VLOOKUP($B2010,dongia1,DG!$D$5,)</f>
        <v>km</v>
      </c>
      <c r="G2010" s="205">
        <f>ROUND(D1908/1000,2)</f>
        <v>0</v>
      </c>
      <c r="H2010" s="556"/>
      <c r="I2010" s="556"/>
      <c r="J2010" s="556"/>
      <c r="K2010" s="556"/>
      <c r="L2010" s="556"/>
      <c r="M2010" s="556"/>
      <c r="N2010" s="556"/>
      <c r="O2010" s="556"/>
      <c r="P2010" s="182">
        <f>VLOOKUP($B2010,dongia1,DG!$F$5,)</f>
        <v>0</v>
      </c>
      <c r="Q2010" s="603" t="str">
        <f>TEXT(VLOOKUP($B2010,dongia1,DG!$G$5,),"#.###,##0")&amp;" x"&amp;hskd</f>
        <v>1.986.408,0 x0,7</v>
      </c>
      <c r="R2010" s="554"/>
      <c r="S2010" s="113">
        <f t="shared" si="859"/>
        <v>0</v>
      </c>
      <c r="T2010" s="182">
        <f>VLOOKUP($B2010,dongia1,DG!G$5,)*G2010*hskd</f>
        <v>0</v>
      </c>
      <c r="U2010" s="557">
        <f t="shared" si="860"/>
        <v>0</v>
      </c>
    </row>
    <row r="2011" spans="1:21" s="552" customFormat="1" ht="15" customHeight="1">
      <c r="A2011" s="621"/>
      <c r="B2011" s="622" t="s">
        <v>4392</v>
      </c>
      <c r="C2011" s="633" t="str">
        <f t="shared" si="857"/>
        <v xml:space="preserve"> </v>
      </c>
      <c r="D2011" s="553"/>
      <c r="E2011" s="694" t="str">
        <f>VLOOKUP($B2011,dongia1,DG!$C$5,)</f>
        <v>Kéo dây nhôm lõi thép cỡ dây 70mm2 (TC)</v>
      </c>
      <c r="F2011" s="555" t="str">
        <f>VLOOKUP($B2011,dongia1,DG!$D$5,)</f>
        <v>km</v>
      </c>
      <c r="G2011" s="205">
        <f>D1909/1000</f>
        <v>0</v>
      </c>
      <c r="H2011" s="556"/>
      <c r="I2011" s="556"/>
      <c r="J2011" s="556"/>
      <c r="K2011" s="556"/>
      <c r="L2011" s="556"/>
      <c r="M2011" s="556"/>
      <c r="N2011" s="556"/>
      <c r="O2011" s="556"/>
      <c r="P2011" s="182">
        <f>VLOOKUP($B2011,dongia1,DG!$F$5,)</f>
        <v>0</v>
      </c>
      <c r="Q2011" s="603" t="str">
        <f>TEXT(VLOOKUP($B2011,dongia1,DG!$G$5,),"#.###,##0")&amp;" x"&amp;hskd</f>
        <v>5.975.101,0 x0,7</v>
      </c>
      <c r="R2011" s="554"/>
      <c r="S2011" s="113">
        <f t="shared" si="859"/>
        <v>0</v>
      </c>
      <c r="T2011" s="182">
        <f>VLOOKUP($B2011,dongia1,DG!G$5,)*G2011*hskd</f>
        <v>0</v>
      </c>
      <c r="U2011" s="557">
        <f t="shared" si="860"/>
        <v>0</v>
      </c>
    </row>
    <row r="2012" spans="1:21" s="552" customFormat="1" ht="15" customHeight="1">
      <c r="A2012" s="621"/>
      <c r="B2012" s="622" t="s">
        <v>418</v>
      </c>
      <c r="C2012" s="633" t="str">
        <f t="shared" si="857"/>
        <v xml:space="preserve"> </v>
      </c>
      <c r="D2012" s="553"/>
      <c r="E2012" s="694" t="str">
        <f>VLOOKUP($B2012,dongia1,DG!$C$5,)</f>
        <v>Kéo dây nhôm lõi thép cỡ dây 50mm2 (TC)</v>
      </c>
      <c r="F2012" s="555" t="str">
        <f>VLOOKUP($B2012,dongia1,DG!$D$5,)</f>
        <v>km</v>
      </c>
      <c r="G2012" s="205">
        <f>D1912/1000*0</f>
        <v>0</v>
      </c>
      <c r="H2012" s="556"/>
      <c r="I2012" s="556"/>
      <c r="J2012" s="556"/>
      <c r="K2012" s="556"/>
      <c r="L2012" s="556"/>
      <c r="M2012" s="556"/>
      <c r="N2012" s="556"/>
      <c r="O2012" s="556"/>
      <c r="P2012" s="182">
        <f>VLOOKUP($B2012,dongia1,DG!$F$5,)</f>
        <v>0</v>
      </c>
      <c r="Q2012" s="603" t="str">
        <f>TEXT(VLOOKUP($B2012,dongia1,DG!$G$5,),"#.###,##0")&amp;" x"&amp;hskd</f>
        <v>3.600.186,205 x0,7</v>
      </c>
      <c r="R2012" s="554"/>
      <c r="S2012" s="113">
        <f t="shared" si="859"/>
        <v>0</v>
      </c>
      <c r="T2012" s="182">
        <f>VLOOKUP($B2012,dongia1,DG!G$5,)*G2012*hskd</f>
        <v>0</v>
      </c>
      <c r="U2012" s="718">
        <f t="shared" si="860"/>
        <v>0</v>
      </c>
    </row>
    <row r="2013" spans="1:21" s="552" customFormat="1" ht="15" customHeight="1">
      <c r="A2013" s="621"/>
      <c r="B2013" s="622" t="s">
        <v>3794</v>
      </c>
      <c r="C2013" s="633" t="str">
        <f t="shared" si="857"/>
        <v xml:space="preserve"> </v>
      </c>
      <c r="D2013" s="553"/>
      <c r="E2013" s="694" t="str">
        <f>VLOOKUP($B2013,dongia1,DG!$C$5,)</f>
        <v>Kéo dây ABC 4x150mm2</v>
      </c>
      <c r="F2013" s="555" t="str">
        <f>VLOOKUP($B2013,dongia1,DG!$D$5,)</f>
        <v>km</v>
      </c>
      <c r="G2013" s="205">
        <f>(D1911)/1000</f>
        <v>0</v>
      </c>
      <c r="H2013" s="556"/>
      <c r="I2013" s="556"/>
      <c r="J2013" s="556"/>
      <c r="K2013" s="556"/>
      <c r="L2013" s="556"/>
      <c r="M2013" s="556"/>
      <c r="N2013" s="556"/>
      <c r="O2013" s="556"/>
      <c r="P2013" s="182">
        <f>VLOOKUP($B2013,dongia1,DG!$F$5,)</f>
        <v>0</v>
      </c>
      <c r="Q2013" s="603" t="str">
        <f>TEXT(VLOOKUP($B2013,dongia1,DG!$G$5,),"#.###,##0")&amp;" x"&amp;hskd</f>
        <v>13.607.000,0 x0,7</v>
      </c>
      <c r="R2013" s="614"/>
      <c r="S2013" s="113">
        <f t="shared" si="859"/>
        <v>0</v>
      </c>
      <c r="T2013" s="182">
        <f>VLOOKUP($B2013,dongia1,DG!G$5,)*G2013*hskd</f>
        <v>0</v>
      </c>
      <c r="U2013" s="715">
        <f t="shared" ref="U2013:U2023" si="861">$G2013*R2013</f>
        <v>0</v>
      </c>
    </row>
    <row r="2014" spans="1:21" s="552" customFormat="1" ht="15" customHeight="1">
      <c r="A2014" s="621"/>
      <c r="B2014" s="622" t="s">
        <v>5100</v>
      </c>
      <c r="C2014" s="633" t="str">
        <f t="shared" si="857"/>
        <v xml:space="preserve"> </v>
      </c>
      <c r="D2014" s="553"/>
      <c r="E2014" s="694" t="str">
        <f>VLOOKUP($B2014,dongia1,DG!$C$5,)</f>
        <v>Kéo dây ABC 4x120mm2</v>
      </c>
      <c r="F2014" s="555" t="str">
        <f>VLOOKUP($B2014,dongia1,DG!$D$5,)</f>
        <v>km</v>
      </c>
      <c r="G2014" s="205">
        <f>(D1912+D1916)/1000</f>
        <v>0</v>
      </c>
      <c r="H2014" s="556"/>
      <c r="I2014" s="556"/>
      <c r="J2014" s="556"/>
      <c r="K2014" s="556"/>
      <c r="L2014" s="556"/>
      <c r="M2014" s="556"/>
      <c r="N2014" s="556"/>
      <c r="O2014" s="556"/>
      <c r="P2014" s="182">
        <f>VLOOKUP($B2014,dongia1,DG!$F$5,)*0</f>
        <v>0</v>
      </c>
      <c r="Q2014" s="603" t="str">
        <f>TEXT(VLOOKUP($B2014,dongia1,DG!$G$5,),"#.###,##0")&amp;" x"&amp;hskd</f>
        <v>11.338.800,0 x0,7</v>
      </c>
      <c r="R2014" s="614"/>
      <c r="S2014" s="113">
        <f t="shared" si="859"/>
        <v>0</v>
      </c>
      <c r="T2014" s="182">
        <f>VLOOKUP($B2014,dongia1,DG!G$5,)*G2014*hskd</f>
        <v>0</v>
      </c>
      <c r="U2014" s="718">
        <f>$G2014*R2014</f>
        <v>0</v>
      </c>
    </row>
    <row r="2015" spans="1:21" s="552" customFormat="1" ht="15" customHeight="1">
      <c r="A2015" s="621"/>
      <c r="B2015" s="622" t="s">
        <v>5097</v>
      </c>
      <c r="C2015" s="633" t="str">
        <f t="shared" si="857"/>
        <v xml:space="preserve"> </v>
      </c>
      <c r="D2015" s="553"/>
      <c r="E2015" s="694" t="str">
        <f>VLOOKUP($B2015,dongia1,DG!$C$5,)</f>
        <v>Kéo dây ABC 4x95mm2</v>
      </c>
      <c r="F2015" s="555" t="str">
        <f>VLOOKUP($B2015,dongia1,DG!$D$5,)</f>
        <v>km</v>
      </c>
      <c r="G2015" s="205">
        <f>(D1913+D1917)/1000</f>
        <v>0</v>
      </c>
      <c r="H2015" s="556"/>
      <c r="I2015" s="556"/>
      <c r="J2015" s="556"/>
      <c r="K2015" s="556"/>
      <c r="L2015" s="556"/>
      <c r="M2015" s="556"/>
      <c r="N2015" s="556"/>
      <c r="O2015" s="556"/>
      <c r="P2015" s="182">
        <f>VLOOKUP($B2015,dongia1,DG!$F$5,)</f>
        <v>0</v>
      </c>
      <c r="Q2015" s="603" t="str">
        <f>TEXT(VLOOKUP($B2015,dongia1,DG!$G$5,),"#.###,##0")&amp;" x"&amp;hskd</f>
        <v>8.588.800,0 x0,7</v>
      </c>
      <c r="R2015" s="554"/>
      <c r="S2015" s="113">
        <f t="shared" si="859"/>
        <v>0</v>
      </c>
      <c r="T2015" s="182">
        <f>VLOOKUP($B2015,dongia1,DG!G$5,)*G2015*hskd</f>
        <v>0</v>
      </c>
      <c r="U2015" s="715">
        <f t="shared" si="861"/>
        <v>0</v>
      </c>
    </row>
    <row r="2016" spans="1:21" s="552" customFormat="1" ht="15" customHeight="1">
      <c r="A2016" s="621"/>
      <c r="B2016" s="622" t="s">
        <v>5094</v>
      </c>
      <c r="C2016" s="633" t="str">
        <f t="shared" si="857"/>
        <v xml:space="preserve"> </v>
      </c>
      <c r="D2016" s="553"/>
      <c r="E2016" s="694" t="str">
        <f>VLOOKUP($B2016,dongia1,DG!$C$5,)</f>
        <v>Kéo dây ABC 4x70mm2</v>
      </c>
      <c r="F2016" s="555" t="str">
        <f>VLOOKUP($B2016,dongia1,DG!$D$5,)</f>
        <v>km</v>
      </c>
      <c r="G2016" s="205">
        <f>(D1914+D1918)/1000</f>
        <v>0</v>
      </c>
      <c r="H2016" s="556"/>
      <c r="I2016" s="556"/>
      <c r="J2016" s="556"/>
      <c r="K2016" s="556"/>
      <c r="L2016" s="556"/>
      <c r="M2016" s="556"/>
      <c r="N2016" s="556"/>
      <c r="O2016" s="556"/>
      <c r="P2016" s="182">
        <f>VLOOKUP($B2016,dongia1,DG!$F$5,)</f>
        <v>0</v>
      </c>
      <c r="Q2016" s="603" t="str">
        <f>TEXT(VLOOKUP($B2016,dongia1,DG!$G$5,),"#.###,##0")&amp;" x"&amp;hskd</f>
        <v>6.193.000,0 x0,7</v>
      </c>
      <c r="R2016" s="614"/>
      <c r="S2016" s="113">
        <f t="shared" si="859"/>
        <v>0</v>
      </c>
      <c r="T2016" s="182">
        <f>VLOOKUP($B2016,dongia1,DG!G$5,)*G2016*hskd</f>
        <v>0</v>
      </c>
      <c r="U2016" s="557">
        <f t="shared" si="861"/>
        <v>0</v>
      </c>
    </row>
    <row r="2017" spans="1:21" s="552" customFormat="1" ht="15" customHeight="1">
      <c r="A2017" s="621"/>
      <c r="B2017" s="622" t="s">
        <v>5091</v>
      </c>
      <c r="C2017" s="633" t="str">
        <f t="shared" si="857"/>
        <v xml:space="preserve"> </v>
      </c>
      <c r="D2017" s="553"/>
      <c r="E2017" s="694" t="str">
        <f>VLOOKUP($B2017,dongia1,DG!$C$5,)</f>
        <v>Kéo dây ABC 4x50mm2</v>
      </c>
      <c r="F2017" s="555" t="str">
        <f>VLOOKUP($B2017,dongia1,DG!$D$5,)</f>
        <v>km</v>
      </c>
      <c r="G2017" s="205">
        <f>(D1915+D1919)/1000</f>
        <v>0</v>
      </c>
      <c r="H2017" s="556"/>
      <c r="I2017" s="556"/>
      <c r="J2017" s="556"/>
      <c r="K2017" s="556"/>
      <c r="L2017" s="556"/>
      <c r="M2017" s="556"/>
      <c r="N2017" s="556"/>
      <c r="O2017" s="556"/>
      <c r="P2017" s="182">
        <f>VLOOKUP($B2017,dongia1,DG!$F$5,)</f>
        <v>0</v>
      </c>
      <c r="Q2017" s="603" t="str">
        <f>TEXT(VLOOKUP($B2017,dongia1,DG!$G$5,),"#.###,##0")&amp;" x"&amp;hskd</f>
        <v>5.247.000,0 x0,7</v>
      </c>
      <c r="R2017" s="554"/>
      <c r="S2017" s="113">
        <f t="shared" si="859"/>
        <v>0</v>
      </c>
      <c r="T2017" s="182">
        <f>VLOOKUP($B2017,dongia1,DG!G$5,)*G2017*hskd</f>
        <v>0</v>
      </c>
      <c r="U2017" s="557">
        <f t="shared" si="861"/>
        <v>0</v>
      </c>
    </row>
    <row r="2018" spans="1:21" s="552" customFormat="1" ht="15" customHeight="1">
      <c r="A2018" s="621"/>
      <c r="B2018" s="622" t="s">
        <v>5100</v>
      </c>
      <c r="C2018" s="633" t="str">
        <f t="shared" si="857"/>
        <v xml:space="preserve"> </v>
      </c>
      <c r="D2018" s="553"/>
      <c r="E2018" s="694" t="str">
        <f>VLOOKUP($B2018,dongia1,DG!$C$5,)</f>
        <v>Kéo dây ABC 4x120mm2</v>
      </c>
      <c r="F2018" s="555" t="str">
        <f>VLOOKUP($B2018,dongia1,DG!$D$5,)</f>
        <v>km</v>
      </c>
      <c r="G2018" s="205">
        <f>(D1916+D1920)/1000*0</f>
        <v>0</v>
      </c>
      <c r="H2018" s="556"/>
      <c r="I2018" s="556"/>
      <c r="J2018" s="556"/>
      <c r="K2018" s="556"/>
      <c r="L2018" s="556"/>
      <c r="M2018" s="556"/>
      <c r="N2018" s="556"/>
      <c r="O2018" s="556"/>
      <c r="P2018" s="182">
        <f>VLOOKUP($B2018,dongia1,DG!$F$5,)</f>
        <v>0</v>
      </c>
      <c r="Q2018" s="603" t="str">
        <f>TEXT(VLOOKUP($B2018,dongia1,DG!$G$5,),"#.###,##0")&amp;" x"&amp;hskd</f>
        <v>11.338.800,0 x0,7</v>
      </c>
      <c r="R2018" s="614"/>
      <c r="S2018" s="113">
        <f t="shared" si="859"/>
        <v>0</v>
      </c>
      <c r="T2018" s="182">
        <f>VLOOKUP($B2018,dongia1,DG!G$5,)*G2018*hskd</f>
        <v>0</v>
      </c>
      <c r="U2018" s="557">
        <f>$G2018*R2018</f>
        <v>0</v>
      </c>
    </row>
    <row r="2019" spans="1:21" s="552" customFormat="1" ht="15" customHeight="1">
      <c r="A2019" s="621"/>
      <c r="B2019" s="622" t="s">
        <v>602</v>
      </c>
      <c r="C2019" s="633" t="str">
        <f t="shared" si="857"/>
        <v xml:space="preserve"> </v>
      </c>
      <c r="D2019" s="553"/>
      <c r="E2019" s="694" t="str">
        <f>VLOOKUP($B2019,dongia1,DG!$C$5,)</f>
        <v>Lắp rack sứ + sứ ống chỉ</v>
      </c>
      <c r="F2019" s="555" t="str">
        <f>VLOOKUP($B2019,dongia1,DG!$D$5,)</f>
        <v>bộ</v>
      </c>
      <c r="G2019" s="205">
        <f>G1921</f>
        <v>0</v>
      </c>
      <c r="H2019" s="556"/>
      <c r="I2019" s="556"/>
      <c r="J2019" s="556"/>
      <c r="K2019" s="556"/>
      <c r="L2019" s="556"/>
      <c r="M2019" s="556"/>
      <c r="N2019" s="556"/>
      <c r="O2019" s="556"/>
      <c r="P2019" s="182">
        <f>VLOOKUP($B2019,dongia1,DG!$F$5,)</f>
        <v>115</v>
      </c>
      <c r="Q2019" s="182">
        <f>VLOOKUP($B2019,dongia1,DG!$G$5,)</f>
        <v>15471.9</v>
      </c>
      <c r="R2019" s="554"/>
      <c r="S2019" s="113">
        <f t="shared" si="859"/>
        <v>0</v>
      </c>
      <c r="T2019" s="113">
        <f t="shared" ref="T2019:T2024" si="862">$G2019*Q2019</f>
        <v>0</v>
      </c>
      <c r="U2019" s="557">
        <f>$G2019*R2019</f>
        <v>0</v>
      </c>
    </row>
    <row r="2020" spans="1:21" s="552" customFormat="1" ht="15" customHeight="1">
      <c r="A2020" s="621"/>
      <c r="B2020" s="622" t="s">
        <v>1471</v>
      </c>
      <c r="C2020" s="633" t="str">
        <f t="shared" si="857"/>
        <v xml:space="preserve"> </v>
      </c>
      <c r="D2020" s="553"/>
      <c r="E2020" s="694" t="str">
        <f>VLOOKUP($B2020,dongia1,DG!$C$5,)</f>
        <v>Lắp rack 2 sứ + sứ ống chỉ</v>
      </c>
      <c r="F2020" s="555" t="str">
        <f>VLOOKUP($B2020,dongia1,DG!$D$5,)</f>
        <v>bộ</v>
      </c>
      <c r="G2020" s="205">
        <f>G1922</f>
        <v>0</v>
      </c>
      <c r="H2020" s="556"/>
      <c r="I2020" s="556"/>
      <c r="J2020" s="556"/>
      <c r="K2020" s="556"/>
      <c r="L2020" s="556"/>
      <c r="M2020" s="556"/>
      <c r="N2020" s="556"/>
      <c r="O2020" s="556"/>
      <c r="P2020" s="182">
        <f>VLOOKUP($B2020,dongia1,DG!$F$5,)</f>
        <v>0</v>
      </c>
      <c r="Q2020" s="182">
        <f>VLOOKUP($B2020,dongia1,DG!$G$5,)</f>
        <v>57077</v>
      </c>
      <c r="R2020" s="554"/>
      <c r="S2020" s="113">
        <f t="shared" si="859"/>
        <v>0</v>
      </c>
      <c r="T2020" s="113">
        <f t="shared" si="862"/>
        <v>0</v>
      </c>
      <c r="U2020" s="557">
        <f t="shared" si="861"/>
        <v>0</v>
      </c>
    </row>
    <row r="2021" spans="1:21" s="552" customFormat="1" ht="15" customHeight="1">
      <c r="A2021" s="621"/>
      <c r="B2021" s="622" t="s">
        <v>1110</v>
      </c>
      <c r="C2021" s="633" t="str">
        <f t="shared" si="857"/>
        <v xml:space="preserve"> </v>
      </c>
      <c r="D2021" s="553"/>
      <c r="E2021" s="694" t="str">
        <f>VLOOKUP($B2021,dongia1,DG!$C$5,)</f>
        <v>Lắp rack 3 sứ + sứ ống chỉ</v>
      </c>
      <c r="F2021" s="555" t="str">
        <f>VLOOKUP($B2021,dongia1,DG!$D$5,)</f>
        <v>bộ</v>
      </c>
      <c r="G2021" s="205">
        <f>G1923</f>
        <v>0</v>
      </c>
      <c r="H2021" s="556"/>
      <c r="I2021" s="556"/>
      <c r="J2021" s="556"/>
      <c r="K2021" s="556"/>
      <c r="L2021" s="556"/>
      <c r="M2021" s="556"/>
      <c r="N2021" s="556"/>
      <c r="O2021" s="556"/>
      <c r="P2021" s="554"/>
      <c r="Q2021" s="182">
        <f>VLOOKUP($B2021,dongia1,DG!$G$5,)</f>
        <v>79500</v>
      </c>
      <c r="R2021" s="554"/>
      <c r="S2021" s="113">
        <f t="shared" si="859"/>
        <v>0</v>
      </c>
      <c r="T2021" s="113">
        <f t="shared" si="862"/>
        <v>0</v>
      </c>
      <c r="U2021" s="557">
        <f t="shared" si="861"/>
        <v>0</v>
      </c>
    </row>
    <row r="2022" spans="1:21" s="552" customFormat="1" ht="15" customHeight="1">
      <c r="A2022" s="621"/>
      <c r="B2022" s="622" t="s">
        <v>531</v>
      </c>
      <c r="C2022" s="633" t="str">
        <f t="shared" si="857"/>
        <v xml:space="preserve"> </v>
      </c>
      <c r="D2022" s="553"/>
      <c r="E2022" s="694" t="str">
        <f>VLOOKUP($B2022,dongia1,DG!$C$5,)</f>
        <v>Lắp rack 4 sứ + sứ ống chỉ</v>
      </c>
      <c r="F2022" s="555" t="str">
        <f>VLOOKUP($B2022,dongia1,DG!$D$5,)</f>
        <v>bộ</v>
      </c>
      <c r="G2022" s="205">
        <f>G1924</f>
        <v>0</v>
      </c>
      <c r="H2022" s="556"/>
      <c r="I2022" s="556"/>
      <c r="J2022" s="556"/>
      <c r="K2022" s="556"/>
      <c r="L2022" s="556"/>
      <c r="M2022" s="556"/>
      <c r="N2022" s="556"/>
      <c r="O2022" s="556"/>
      <c r="P2022" s="182">
        <f>VLOOKUP($B2022,dongia1,DG!$F$5,)</f>
        <v>0</v>
      </c>
      <c r="Q2022" s="182">
        <f>VLOOKUP($B2022,dongia1,DG!$G$5,)</f>
        <v>112115</v>
      </c>
      <c r="R2022" s="554"/>
      <c r="S2022" s="113">
        <f t="shared" si="859"/>
        <v>0</v>
      </c>
      <c r="T2022" s="113">
        <f t="shared" si="862"/>
        <v>0</v>
      </c>
      <c r="U2022" s="557">
        <f t="shared" si="861"/>
        <v>0</v>
      </c>
    </row>
    <row r="2023" spans="1:21" s="552" customFormat="1" ht="15" customHeight="1">
      <c r="A2023" s="621"/>
      <c r="B2023" s="622"/>
      <c r="C2023" s="633" t="str">
        <f t="shared" si="857"/>
        <v xml:space="preserve"> </v>
      </c>
      <c r="D2023" s="553"/>
      <c r="E2023" s="694" t="s">
        <v>4372</v>
      </c>
      <c r="F2023" s="555" t="s">
        <v>2226</v>
      </c>
      <c r="G2023" s="205">
        <f>ppht!GF14</f>
        <v>0</v>
      </c>
      <c r="H2023" s="556">
        <f>G2023</f>
        <v>0</v>
      </c>
      <c r="I2023" s="556"/>
      <c r="J2023" s="556"/>
      <c r="K2023" s="556"/>
      <c r="L2023" s="556"/>
      <c r="M2023" s="556"/>
      <c r="N2023" s="556"/>
      <c r="O2023" s="556"/>
      <c r="P2023" s="182"/>
      <c r="Q2023" s="182"/>
      <c r="R2023" s="554"/>
      <c r="S2023" s="113">
        <f t="shared" si="859"/>
        <v>0</v>
      </c>
      <c r="T2023" s="113">
        <f t="shared" si="862"/>
        <v>0</v>
      </c>
      <c r="U2023" s="557">
        <f t="shared" si="861"/>
        <v>0</v>
      </c>
    </row>
    <row r="2024" spans="1:21" s="552" customFormat="1" ht="15" customHeight="1">
      <c r="A2024" s="621"/>
      <c r="B2024" s="622" t="s">
        <v>603</v>
      </c>
      <c r="C2024" s="633" t="str">
        <f t="shared" si="857"/>
        <v xml:space="preserve"> </v>
      </c>
      <c r="D2024" s="553"/>
      <c r="E2024" s="694" t="str">
        <f>VLOOKUP($B2024,dongia1,DG!$C$5,)</f>
        <v>Sơn biển số- bảng nguy hiểm</v>
      </c>
      <c r="F2024" s="555" t="str">
        <f>VLOOKUP($B2024,dongia1,DG!$D$5,)</f>
        <v>cái</v>
      </c>
      <c r="G2024" s="205"/>
      <c r="H2024" s="556"/>
      <c r="I2024" s="556"/>
      <c r="J2024" s="556"/>
      <c r="K2024" s="556"/>
      <c r="L2024" s="556"/>
      <c r="M2024" s="556"/>
      <c r="N2024" s="556"/>
      <c r="O2024" s="556"/>
      <c r="P2024" s="182">
        <f>VLOOKUP($B2024,dongia1,DG!$F$5,)</f>
        <v>0</v>
      </c>
      <c r="Q2024" s="182">
        <f>VLOOKUP($B2024,dongia1,DG!$G$5,)</f>
        <v>6546</v>
      </c>
      <c r="R2024" s="554"/>
      <c r="S2024" s="113">
        <f t="shared" si="859"/>
        <v>0</v>
      </c>
      <c r="T2024" s="113">
        <f t="shared" si="862"/>
        <v>0</v>
      </c>
      <c r="U2024" s="557">
        <f>$G2024*R2024</f>
        <v>0</v>
      </c>
    </row>
    <row r="2025" spans="1:21" s="552" customFormat="1" ht="15" customHeight="1">
      <c r="A2025" s="621" t="s">
        <v>1311</v>
      </c>
      <c r="B2025" s="622"/>
      <c r="C2025" s="558" t="str">
        <f>IF(G2025=0,"x"," ")</f>
        <v xml:space="preserve"> </v>
      </c>
      <c r="D2025" s="599"/>
      <c r="E2025" s="727" t="s">
        <v>3676</v>
      </c>
      <c r="F2025" s="600" t="s">
        <v>3694</v>
      </c>
      <c r="G2025" s="205">
        <f>IF(SUM(G2026:G2111)=0,1,0)</f>
        <v>1</v>
      </c>
      <c r="H2025" s="556"/>
      <c r="I2025" s="556"/>
      <c r="J2025" s="556"/>
      <c r="K2025" s="556"/>
      <c r="L2025" s="556"/>
      <c r="M2025" s="556"/>
      <c r="N2025" s="556"/>
      <c r="O2025" s="556"/>
      <c r="P2025" s="554"/>
      <c r="Q2025" s="554"/>
      <c r="R2025" s="554"/>
      <c r="S2025" s="601">
        <f ca="1">SUM(S2026:S2177)</f>
        <v>0</v>
      </c>
      <c r="T2025" s="601">
        <f ca="1">SUM(T2026:T2177)</f>
        <v>0</v>
      </c>
      <c r="U2025" s="719">
        <f ca="1">SUM(U2026:U2177)</f>
        <v>0</v>
      </c>
    </row>
    <row r="2026" spans="1:21" s="552" customFormat="1" ht="15" customHeight="1">
      <c r="A2026" s="621"/>
      <c r="B2026" s="622" t="s">
        <v>4384</v>
      </c>
      <c r="C2026" s="633" t="str">
        <f t="shared" ref="C2026:C2057" si="863">IF(G2026&lt;&gt;0,$C$2025," ")</f>
        <v xml:space="preserve"> </v>
      </c>
      <c r="D2026" s="611"/>
      <c r="E2026" s="694" t="str">
        <f>VLOOKUP($B2026,dongia1,DG!$C$5,)</f>
        <v>Cáp nhôm bọc AV120</v>
      </c>
      <c r="F2026" s="555" t="str">
        <f>VLOOKUP($B2026,dongia1,DG!$D$5,)</f>
        <v>mét</v>
      </c>
      <c r="G2026" s="205">
        <f>ROUND(D2026*1.02,0)</f>
        <v>0</v>
      </c>
      <c r="H2026" s="556">
        <f>$G2026</f>
        <v>0</v>
      </c>
      <c r="I2026" s="556"/>
      <c r="J2026" s="556"/>
      <c r="K2026" s="556"/>
      <c r="L2026" s="556"/>
      <c r="M2026" s="556">
        <f>G2026</f>
        <v>0</v>
      </c>
      <c r="N2026" s="556"/>
      <c r="O2026" s="556"/>
      <c r="P2026" s="182">
        <f>VLOOKUP($B2026,dongia1,DG!$F$5,)</f>
        <v>31700</v>
      </c>
      <c r="Q2026" s="554"/>
      <c r="R2026" s="554"/>
      <c r="S2026" s="113">
        <f>$G2026*P2026</f>
        <v>0</v>
      </c>
      <c r="T2026" s="113">
        <f>$G2026*Q2026</f>
        <v>0</v>
      </c>
      <c r="U2026" s="715">
        <f>$G2026*R2026</f>
        <v>0</v>
      </c>
    </row>
    <row r="2027" spans="1:21" s="552" customFormat="1" ht="15" customHeight="1">
      <c r="A2027" s="621"/>
      <c r="B2027" s="622" t="s">
        <v>4385</v>
      </c>
      <c r="C2027" s="633" t="str">
        <f t="shared" si="863"/>
        <v xml:space="preserve"> </v>
      </c>
      <c r="D2027" s="611"/>
      <c r="E2027" s="694" t="str">
        <f>VLOOKUP($B2027,dongia1,DG!$C$5,)</f>
        <v>Cáp nhôm bọc AV95</v>
      </c>
      <c r="F2027" s="555" t="str">
        <f>VLOOKUP($B2027,dongia1,DG!$D$5,)</f>
        <v>mét</v>
      </c>
      <c r="G2027" s="205">
        <f>ROUND(D2027*1.02,0)</f>
        <v>0</v>
      </c>
      <c r="H2027" s="556">
        <f t="shared" ref="H2027:H2040" si="864">$G2027</f>
        <v>0</v>
      </c>
      <c r="I2027" s="556"/>
      <c r="J2027" s="556"/>
      <c r="K2027" s="556"/>
      <c r="L2027" s="556"/>
      <c r="M2027" s="556">
        <f t="shared" ref="M2027:M2092" si="865">G2027</f>
        <v>0</v>
      </c>
      <c r="N2027" s="556"/>
      <c r="O2027" s="556"/>
      <c r="P2027" s="182">
        <f>VLOOKUP($B2027,dongia1,DG!$F$5,)</f>
        <v>27300</v>
      </c>
      <c r="Q2027" s="554"/>
      <c r="R2027" s="554"/>
      <c r="S2027" s="113">
        <f t="shared" ref="S2027:S2040" si="866">$G2027*P2027</f>
        <v>0</v>
      </c>
      <c r="T2027" s="113">
        <f t="shared" ref="T2027:T2040" si="867">$G2027*Q2027</f>
        <v>0</v>
      </c>
      <c r="U2027" s="557">
        <f t="shared" ref="U2027:U2040" si="868">$G2027*R2027</f>
        <v>0</v>
      </c>
    </row>
    <row r="2028" spans="1:21" s="552" customFormat="1" ht="15" customHeight="1">
      <c r="A2028" s="621"/>
      <c r="B2028" s="622" t="s">
        <v>490</v>
      </c>
      <c r="C2028" s="633" t="str">
        <f t="shared" si="863"/>
        <v xml:space="preserve"> </v>
      </c>
      <c r="D2028" s="611"/>
      <c r="E2028" s="694" t="str">
        <f>VLOOKUP($B2028,dongia1,DG!$C$5,)</f>
        <v>Cáp nhôm bọc AV70</v>
      </c>
      <c r="F2028" s="555" t="str">
        <f>VLOOKUP($B2028,dongia1,DG!$D$5,)</f>
        <v>mét</v>
      </c>
      <c r="G2028" s="205">
        <f>ROUND(D2028*1.02,0)</f>
        <v>0</v>
      </c>
      <c r="H2028" s="556">
        <f t="shared" si="864"/>
        <v>0</v>
      </c>
      <c r="I2028" s="556"/>
      <c r="J2028" s="556"/>
      <c r="K2028" s="556"/>
      <c r="L2028" s="556"/>
      <c r="M2028" s="556">
        <f t="shared" si="865"/>
        <v>0</v>
      </c>
      <c r="N2028" s="556"/>
      <c r="O2028" s="556"/>
      <c r="P2028" s="182">
        <f>VLOOKUP($B2028,dongia1,DG!$F$5,)</f>
        <v>20200</v>
      </c>
      <c r="Q2028" s="554"/>
      <c r="R2028" s="554"/>
      <c r="S2028" s="113">
        <f t="shared" si="866"/>
        <v>0</v>
      </c>
      <c r="T2028" s="113">
        <f t="shared" si="867"/>
        <v>0</v>
      </c>
      <c r="U2028" s="557">
        <f t="shared" si="868"/>
        <v>0</v>
      </c>
    </row>
    <row r="2029" spans="1:21" s="552" customFormat="1" ht="15" customHeight="1">
      <c r="A2029" s="621"/>
      <c r="B2029" s="622" t="s">
        <v>1201</v>
      </c>
      <c r="C2029" s="633" t="str">
        <f t="shared" si="863"/>
        <v xml:space="preserve"> </v>
      </c>
      <c r="D2029" s="611"/>
      <c r="E2029" s="694" t="str">
        <f>VLOOKUP($B2029,dongia1,DG!$C$5,)</f>
        <v>Cáp nhôm bọc AV50</v>
      </c>
      <c r="F2029" s="555" t="str">
        <f>VLOOKUP($B2029,dongia1,DG!$D$5,)</f>
        <v>mét</v>
      </c>
      <c r="G2029" s="205">
        <f>ROUND(D2029*1.02,0)</f>
        <v>0</v>
      </c>
      <c r="H2029" s="556">
        <f t="shared" si="864"/>
        <v>0</v>
      </c>
      <c r="I2029" s="556"/>
      <c r="J2029" s="556"/>
      <c r="K2029" s="556"/>
      <c r="L2029" s="556"/>
      <c r="M2029" s="556">
        <f t="shared" si="865"/>
        <v>0</v>
      </c>
      <c r="N2029" s="556"/>
      <c r="O2029" s="556"/>
      <c r="P2029" s="182">
        <f>VLOOKUP($B2029,dongia1,DG!$F$5,)</f>
        <v>15310</v>
      </c>
      <c r="Q2029" s="554"/>
      <c r="R2029" s="554"/>
      <c r="S2029" s="113">
        <f t="shared" si="866"/>
        <v>0</v>
      </c>
      <c r="T2029" s="113">
        <f t="shared" si="867"/>
        <v>0</v>
      </c>
      <c r="U2029" s="557">
        <f t="shared" si="868"/>
        <v>0</v>
      </c>
    </row>
    <row r="2030" spans="1:21" s="552" customFormat="1" ht="15" customHeight="1">
      <c r="A2030" s="621"/>
      <c r="B2030" s="622" t="s">
        <v>4386</v>
      </c>
      <c r="C2030" s="633" t="str">
        <f t="shared" si="863"/>
        <v xml:space="preserve"> </v>
      </c>
      <c r="D2030" s="611"/>
      <c r="E2030" s="694" t="str">
        <f>VLOOKUP($B2030,dongia1,DG!$C$5,)</f>
        <v>Cáp nhôm lõi thép AC-70/11</v>
      </c>
      <c r="F2030" s="555" t="str">
        <f>VLOOKUP($B2030,dongia1,DG!$D$5,)</f>
        <v>kg</v>
      </c>
      <c r="G2030" s="205">
        <f>ROUND(D2030*1.02*0.276,2)</f>
        <v>0</v>
      </c>
      <c r="H2030" s="556">
        <f t="shared" si="864"/>
        <v>0</v>
      </c>
      <c r="I2030" s="556"/>
      <c r="J2030" s="556"/>
      <c r="K2030" s="556"/>
      <c r="L2030" s="556"/>
      <c r="M2030" s="556">
        <f t="shared" si="865"/>
        <v>0</v>
      </c>
      <c r="N2030" s="556"/>
      <c r="O2030" s="556"/>
      <c r="P2030" s="182">
        <f>VLOOKUP($B2030,dongia1,DG!$F$5,)</f>
        <v>63000</v>
      </c>
      <c r="Q2030" s="554"/>
      <c r="R2030" s="554"/>
      <c r="S2030" s="113">
        <f t="shared" si="866"/>
        <v>0</v>
      </c>
      <c r="T2030" s="113">
        <f t="shared" si="867"/>
        <v>0</v>
      </c>
      <c r="U2030" s="557">
        <f t="shared" si="868"/>
        <v>0</v>
      </c>
    </row>
    <row r="2031" spans="1:21" s="552" customFormat="1" ht="15" customHeight="1">
      <c r="A2031" s="621"/>
      <c r="B2031" s="622" t="s">
        <v>4387</v>
      </c>
      <c r="C2031" s="633" t="str">
        <f t="shared" si="863"/>
        <v xml:space="preserve"> </v>
      </c>
      <c r="D2031" s="611"/>
      <c r="E2031" s="694" t="str">
        <f>VLOOKUP($B2031,dongia1,DG!$C$5,)</f>
        <v>Cáp nhôm lõi thép AC-50/8</v>
      </c>
      <c r="F2031" s="555" t="str">
        <f>VLOOKUP($B2031,dongia1,DG!$D$5,)</f>
        <v>kg</v>
      </c>
      <c r="G2031" s="205">
        <f>ROUND(D2031*1.02*0.195,2)</f>
        <v>0</v>
      </c>
      <c r="H2031" s="556">
        <f t="shared" si="864"/>
        <v>0</v>
      </c>
      <c r="I2031" s="556"/>
      <c r="J2031" s="556"/>
      <c r="K2031" s="556"/>
      <c r="L2031" s="556"/>
      <c r="M2031" s="556">
        <f t="shared" si="865"/>
        <v>0</v>
      </c>
      <c r="N2031" s="556"/>
      <c r="O2031" s="556"/>
      <c r="P2031" s="182">
        <f>VLOOKUP($B2031,dongia1,DG!$F$5,)</f>
        <v>76800</v>
      </c>
      <c r="Q2031" s="554"/>
      <c r="R2031" s="554"/>
      <c r="S2031" s="113">
        <f t="shared" si="866"/>
        <v>0</v>
      </c>
      <c r="T2031" s="113">
        <f t="shared" si="867"/>
        <v>0</v>
      </c>
      <c r="U2031" s="557">
        <f t="shared" si="868"/>
        <v>0</v>
      </c>
    </row>
    <row r="2032" spans="1:21" s="552" customFormat="1" ht="15" customHeight="1">
      <c r="A2032" s="621"/>
      <c r="B2032" s="622" t="s">
        <v>1013</v>
      </c>
      <c r="C2032" s="633" t="str">
        <f t="shared" si="863"/>
        <v xml:space="preserve"> </v>
      </c>
      <c r="D2032" s="611"/>
      <c r="E2032" s="694" t="str">
        <f>VLOOKUP($B2032,dongia1,DG!$C$5,)</f>
        <v>Cáp nhôm ABC 4x150mm2</v>
      </c>
      <c r="F2032" s="555" t="str">
        <f>VLOOKUP($B2032,dongia1,DG!$D$5,)</f>
        <v>mét</v>
      </c>
      <c r="G2032" s="205">
        <f t="shared" ref="G2032:G2040" si="869">ROUND(D2032*1.02,0)</f>
        <v>0</v>
      </c>
      <c r="H2032" s="556">
        <f t="shared" si="864"/>
        <v>0</v>
      </c>
      <c r="I2032" s="556"/>
      <c r="J2032" s="556"/>
      <c r="K2032" s="556"/>
      <c r="L2032" s="556"/>
      <c r="M2032" s="556">
        <f t="shared" si="865"/>
        <v>0</v>
      </c>
      <c r="N2032" s="556"/>
      <c r="O2032" s="556"/>
      <c r="P2032" s="182">
        <f>VLOOKUP($B2032,dongia1,DG!$F$5,)</f>
        <v>187900</v>
      </c>
      <c r="Q2032" s="554"/>
      <c r="R2032" s="554"/>
      <c r="S2032" s="113">
        <f t="shared" si="866"/>
        <v>0</v>
      </c>
      <c r="T2032" s="113">
        <f t="shared" si="867"/>
        <v>0</v>
      </c>
      <c r="U2032" s="557">
        <f t="shared" si="868"/>
        <v>0</v>
      </c>
    </row>
    <row r="2033" spans="1:21" s="552" customFormat="1" ht="15" customHeight="1">
      <c r="A2033" s="621"/>
      <c r="B2033" s="622" t="s">
        <v>1087</v>
      </c>
      <c r="C2033" s="633" t="str">
        <f t="shared" si="863"/>
        <v xml:space="preserve"> </v>
      </c>
      <c r="D2033" s="611"/>
      <c r="E2033" s="694" t="str">
        <f>VLOOKUP($B2033,dongia1,DG!$C$5,)</f>
        <v>Cáp nhôm ABC 4x120mm2</v>
      </c>
      <c r="F2033" s="555" t="str">
        <f>VLOOKUP($B2033,dongia1,DG!$D$5,)</f>
        <v>mét</v>
      </c>
      <c r="G2033" s="205">
        <f t="shared" si="869"/>
        <v>0</v>
      </c>
      <c r="H2033" s="556">
        <f t="shared" si="864"/>
        <v>0</v>
      </c>
      <c r="I2033" s="556"/>
      <c r="J2033" s="556"/>
      <c r="K2033" s="556"/>
      <c r="L2033" s="556"/>
      <c r="M2033" s="556">
        <f t="shared" si="865"/>
        <v>0</v>
      </c>
      <c r="N2033" s="556"/>
      <c r="O2033" s="556"/>
      <c r="P2033" s="182">
        <f>VLOOKUP($B2033,dongia1,DG!$F$5,)</f>
        <v>96867</v>
      </c>
      <c r="Q2033" s="554"/>
      <c r="R2033" s="554"/>
      <c r="S2033" s="113">
        <f t="shared" ref="S2033:S2038" si="870">$G2033*P2033</f>
        <v>0</v>
      </c>
      <c r="T2033" s="113">
        <f t="shared" ref="T2033:T2038" si="871">$G2033*Q2033</f>
        <v>0</v>
      </c>
      <c r="U2033" s="557">
        <f t="shared" ref="U2033:U2038" si="872">$G2033*R2033</f>
        <v>0</v>
      </c>
    </row>
    <row r="2034" spans="1:21" s="552" customFormat="1" ht="15" customHeight="1">
      <c r="A2034" s="621"/>
      <c r="B2034" s="622" t="s">
        <v>1086</v>
      </c>
      <c r="C2034" s="633" t="str">
        <f t="shared" si="863"/>
        <v xml:space="preserve"> </v>
      </c>
      <c r="D2034" s="611"/>
      <c r="E2034" s="694" t="str">
        <f>VLOOKUP($B2034,dongia1,DG!$C$5,)</f>
        <v>Cáp nhôm ABC 4x95mm2</v>
      </c>
      <c r="F2034" s="555" t="str">
        <f>VLOOKUP($B2034,dongia1,DG!$D$5,)</f>
        <v>mét</v>
      </c>
      <c r="G2034" s="205">
        <f t="shared" si="869"/>
        <v>0</v>
      </c>
      <c r="H2034" s="556">
        <f t="shared" si="864"/>
        <v>0</v>
      </c>
      <c r="I2034" s="556"/>
      <c r="J2034" s="556"/>
      <c r="K2034" s="556"/>
      <c r="L2034" s="556"/>
      <c r="M2034" s="556">
        <f t="shared" si="865"/>
        <v>0</v>
      </c>
      <c r="N2034" s="556"/>
      <c r="O2034" s="556"/>
      <c r="P2034" s="182">
        <f>VLOOKUP($B2034,dongia1,DG!$F$5,)</f>
        <v>82607</v>
      </c>
      <c r="Q2034" s="554"/>
      <c r="R2034" s="554"/>
      <c r="S2034" s="113">
        <f t="shared" si="870"/>
        <v>0</v>
      </c>
      <c r="T2034" s="113">
        <f t="shared" si="871"/>
        <v>0</v>
      </c>
      <c r="U2034" s="557">
        <f t="shared" si="872"/>
        <v>0</v>
      </c>
    </row>
    <row r="2035" spans="1:21" s="552" customFormat="1" ht="15" customHeight="1">
      <c r="A2035" s="621"/>
      <c r="B2035" s="622" t="s">
        <v>1085</v>
      </c>
      <c r="C2035" s="633" t="str">
        <f t="shared" si="863"/>
        <v xml:space="preserve"> </v>
      </c>
      <c r="D2035" s="611"/>
      <c r="E2035" s="694" t="str">
        <f>VLOOKUP($B2035,dongia1,DG!$C$5,)</f>
        <v>Cáp nhôm ABC 4x70mm2</v>
      </c>
      <c r="F2035" s="555" t="str">
        <f>VLOOKUP($B2035,dongia1,DG!$D$5,)</f>
        <v>mét</v>
      </c>
      <c r="G2035" s="205">
        <f t="shared" si="869"/>
        <v>0</v>
      </c>
      <c r="H2035" s="556">
        <f t="shared" si="864"/>
        <v>0</v>
      </c>
      <c r="I2035" s="556"/>
      <c r="J2035" s="556"/>
      <c r="K2035" s="556"/>
      <c r="L2035" s="556"/>
      <c r="M2035" s="556">
        <f t="shared" si="865"/>
        <v>0</v>
      </c>
      <c r="N2035" s="556"/>
      <c r="O2035" s="556"/>
      <c r="P2035" s="182">
        <f>VLOOKUP($B2035,dongia1,DG!$F$5,)</f>
        <v>94300</v>
      </c>
      <c r="Q2035" s="554"/>
      <c r="R2035" s="554"/>
      <c r="S2035" s="113">
        <f t="shared" si="870"/>
        <v>0</v>
      </c>
      <c r="T2035" s="113">
        <f t="shared" si="871"/>
        <v>0</v>
      </c>
      <c r="U2035" s="718">
        <f t="shared" si="872"/>
        <v>0</v>
      </c>
    </row>
    <row r="2036" spans="1:21" s="552" customFormat="1" ht="15" customHeight="1">
      <c r="A2036" s="621"/>
      <c r="B2036" s="622" t="s">
        <v>1084</v>
      </c>
      <c r="C2036" s="633" t="str">
        <f t="shared" si="863"/>
        <v xml:space="preserve"> </v>
      </c>
      <c r="D2036" s="611"/>
      <c r="E2036" s="694" t="str">
        <f>VLOOKUP($B2036,dongia1,DG!$C$5,)</f>
        <v>Cáp nhôm ABC 4x50mm2</v>
      </c>
      <c r="F2036" s="555" t="str">
        <f>VLOOKUP($B2036,dongia1,DG!$D$5,)</f>
        <v>mét</v>
      </c>
      <c r="G2036" s="205">
        <f t="shared" si="869"/>
        <v>0</v>
      </c>
      <c r="H2036" s="556">
        <f t="shared" si="864"/>
        <v>0</v>
      </c>
      <c r="I2036" s="556"/>
      <c r="J2036" s="556"/>
      <c r="K2036" s="556"/>
      <c r="L2036" s="556"/>
      <c r="M2036" s="556">
        <f t="shared" si="865"/>
        <v>0</v>
      </c>
      <c r="N2036" s="556"/>
      <c r="O2036" s="556"/>
      <c r="P2036" s="182">
        <f>VLOOKUP($B2036,dongia1,DG!$F$5,)</f>
        <v>68800</v>
      </c>
      <c r="Q2036" s="554"/>
      <c r="R2036" s="554"/>
      <c r="S2036" s="113">
        <f t="shared" si="870"/>
        <v>0</v>
      </c>
      <c r="T2036" s="113">
        <f t="shared" si="871"/>
        <v>0</v>
      </c>
      <c r="U2036" s="715">
        <f t="shared" si="872"/>
        <v>0</v>
      </c>
    </row>
    <row r="2037" spans="1:21" s="552" customFormat="1" ht="15" customHeight="1">
      <c r="A2037" s="621"/>
      <c r="B2037" s="622" t="s">
        <v>4388</v>
      </c>
      <c r="C2037" s="633" t="str">
        <f t="shared" si="863"/>
        <v xml:space="preserve"> </v>
      </c>
      <c r="D2037" s="611"/>
      <c r="E2037" s="694" t="str">
        <f>VLOOKUP($B2037,dongia1,DG!$C$5,)</f>
        <v>Cáp nhôm ABC 3x120mm2</v>
      </c>
      <c r="F2037" s="555" t="str">
        <f>VLOOKUP($B2037,dongia1,DG!$D$5,)</f>
        <v>mét</v>
      </c>
      <c r="G2037" s="205">
        <f t="shared" si="869"/>
        <v>0</v>
      </c>
      <c r="H2037" s="556">
        <f t="shared" si="864"/>
        <v>0</v>
      </c>
      <c r="I2037" s="556"/>
      <c r="J2037" s="556"/>
      <c r="K2037" s="556"/>
      <c r="L2037" s="556"/>
      <c r="M2037" s="556">
        <f t="shared" si="865"/>
        <v>0</v>
      </c>
      <c r="N2037" s="556"/>
      <c r="O2037" s="556"/>
      <c r="P2037" s="182">
        <f>VLOOKUP($B2037,dongia1,DG!$F$5,)</f>
        <v>119400</v>
      </c>
      <c r="Q2037" s="554"/>
      <c r="R2037" s="554"/>
      <c r="S2037" s="113">
        <f t="shared" si="870"/>
        <v>0</v>
      </c>
      <c r="T2037" s="113">
        <f t="shared" si="871"/>
        <v>0</v>
      </c>
      <c r="U2037" s="557">
        <f t="shared" si="872"/>
        <v>0</v>
      </c>
    </row>
    <row r="2038" spans="1:21" s="552" customFormat="1" ht="15" customHeight="1">
      <c r="A2038" s="621"/>
      <c r="B2038" s="622" t="s">
        <v>4389</v>
      </c>
      <c r="C2038" s="633" t="str">
        <f t="shared" si="863"/>
        <v xml:space="preserve"> </v>
      </c>
      <c r="D2038" s="611"/>
      <c r="E2038" s="694" t="str">
        <f>VLOOKUP($B2038,dongia1,DG!$C$5,)</f>
        <v>Cáp nhôm ABC 3x95mm2</v>
      </c>
      <c r="F2038" s="555" t="str">
        <f>VLOOKUP($B2038,dongia1,DG!$D$5,)</f>
        <v>mét</v>
      </c>
      <c r="G2038" s="205">
        <f t="shared" si="869"/>
        <v>0</v>
      </c>
      <c r="H2038" s="556">
        <f t="shared" si="864"/>
        <v>0</v>
      </c>
      <c r="I2038" s="556"/>
      <c r="J2038" s="556"/>
      <c r="K2038" s="556"/>
      <c r="L2038" s="556"/>
      <c r="M2038" s="556">
        <f t="shared" si="865"/>
        <v>0</v>
      </c>
      <c r="N2038" s="556"/>
      <c r="O2038" s="556"/>
      <c r="P2038" s="182">
        <f>VLOOKUP($B2038,dongia1,DG!$F$5,)</f>
        <v>78000</v>
      </c>
      <c r="Q2038" s="554"/>
      <c r="R2038" s="554"/>
      <c r="S2038" s="113">
        <f t="shared" si="870"/>
        <v>0</v>
      </c>
      <c r="T2038" s="113">
        <f t="shared" si="871"/>
        <v>0</v>
      </c>
      <c r="U2038" s="557">
        <f t="shared" si="872"/>
        <v>0</v>
      </c>
    </row>
    <row r="2039" spans="1:21" s="552" customFormat="1" ht="15" customHeight="1">
      <c r="A2039" s="621"/>
      <c r="B2039" s="622" t="s">
        <v>1654</v>
      </c>
      <c r="C2039" s="633" t="str">
        <f t="shared" si="863"/>
        <v xml:space="preserve"> </v>
      </c>
      <c r="D2039" s="611"/>
      <c r="E2039" s="694" t="str">
        <f>VLOOKUP($B2039,dongia1,DG!$C$5,)</f>
        <v>Cáp nhôm ABC 3x70mm2</v>
      </c>
      <c r="F2039" s="555" t="str">
        <f>VLOOKUP($B2039,dongia1,DG!$D$5,)</f>
        <v>mét</v>
      </c>
      <c r="G2039" s="205">
        <f t="shared" si="869"/>
        <v>0</v>
      </c>
      <c r="H2039" s="556">
        <f t="shared" si="864"/>
        <v>0</v>
      </c>
      <c r="I2039" s="556"/>
      <c r="J2039" s="556"/>
      <c r="K2039" s="556"/>
      <c r="L2039" s="556"/>
      <c r="M2039" s="556">
        <f t="shared" si="865"/>
        <v>0</v>
      </c>
      <c r="N2039" s="556"/>
      <c r="O2039" s="556"/>
      <c r="P2039" s="182">
        <f>VLOOKUP($B2039,dongia1,DG!$F$5,)</f>
        <v>67800</v>
      </c>
      <c r="Q2039" s="554"/>
      <c r="R2039" s="554"/>
      <c r="S2039" s="113">
        <f t="shared" si="866"/>
        <v>0</v>
      </c>
      <c r="T2039" s="113">
        <f t="shared" si="867"/>
        <v>0</v>
      </c>
      <c r="U2039" s="557">
        <f t="shared" si="868"/>
        <v>0</v>
      </c>
    </row>
    <row r="2040" spans="1:21" s="552" customFormat="1" ht="15" customHeight="1">
      <c r="A2040" s="621"/>
      <c r="B2040" s="622" t="s">
        <v>1653</v>
      </c>
      <c r="C2040" s="633" t="str">
        <f t="shared" si="863"/>
        <v xml:space="preserve"> </v>
      </c>
      <c r="D2040" s="611"/>
      <c r="E2040" s="694" t="str">
        <f>VLOOKUP($B2040,dongia1,DG!$C$5,)</f>
        <v>Cáp nhôm ABC 3x50mm2</v>
      </c>
      <c r="F2040" s="555" t="str">
        <f>VLOOKUP($B2040,dongia1,DG!$D$5,)</f>
        <v>mét</v>
      </c>
      <c r="G2040" s="205">
        <f t="shared" si="869"/>
        <v>0</v>
      </c>
      <c r="H2040" s="556">
        <f t="shared" si="864"/>
        <v>0</v>
      </c>
      <c r="I2040" s="556"/>
      <c r="J2040" s="556"/>
      <c r="K2040" s="556"/>
      <c r="L2040" s="556"/>
      <c r="M2040" s="556">
        <f t="shared" si="865"/>
        <v>0</v>
      </c>
      <c r="N2040" s="556"/>
      <c r="O2040" s="556"/>
      <c r="P2040" s="182">
        <f>VLOOKUP($B2040,dongia1,DG!$F$5,)</f>
        <v>45800</v>
      </c>
      <c r="Q2040" s="554"/>
      <c r="R2040" s="554"/>
      <c r="S2040" s="113">
        <f t="shared" si="866"/>
        <v>0</v>
      </c>
      <c r="T2040" s="113">
        <f t="shared" si="867"/>
        <v>0</v>
      </c>
      <c r="U2040" s="557">
        <f t="shared" si="868"/>
        <v>0</v>
      </c>
    </row>
    <row r="2041" spans="1:21" s="552" customFormat="1" ht="15" customHeight="1">
      <c r="A2041" s="621"/>
      <c r="B2041" s="622" t="s">
        <v>1995</v>
      </c>
      <c r="C2041" s="633" t="str">
        <f t="shared" si="863"/>
        <v xml:space="preserve"> </v>
      </c>
      <c r="D2041" s="553"/>
      <c r="E2041" s="694" t="str">
        <f>VLOOKUP($B2041,dongia1,DG!$C$5,)</f>
        <v xml:space="preserve">Sứ ống chỉ </v>
      </c>
      <c r="F2041" s="555" t="str">
        <f>VLOOKUP($B2041,dongia1,DG!$D$5,)</f>
        <v>cái</v>
      </c>
      <c r="G2041" s="560">
        <f>ppht_NC!DC14</f>
        <v>0</v>
      </c>
      <c r="H2041" s="556">
        <f t="shared" ref="H2041:H2050" si="873">G2041</f>
        <v>0</v>
      </c>
      <c r="I2041" s="556"/>
      <c r="J2041" s="556"/>
      <c r="K2041" s="556"/>
      <c r="L2041" s="556"/>
      <c r="M2041" s="556">
        <f t="shared" si="865"/>
        <v>0</v>
      </c>
      <c r="N2041" s="556"/>
      <c r="O2041" s="556"/>
      <c r="P2041" s="182">
        <f>VLOOKUP($B2041,dongia1,DG!$F$5,)</f>
        <v>16000</v>
      </c>
      <c r="Q2041" s="182"/>
      <c r="R2041" s="554"/>
      <c r="S2041" s="113">
        <f t="shared" ref="S2041:U2050" si="874">$G2041*P2041</f>
        <v>0</v>
      </c>
      <c r="T2041" s="113">
        <f t="shared" si="874"/>
        <v>0</v>
      </c>
      <c r="U2041" s="557">
        <f t="shared" si="874"/>
        <v>0</v>
      </c>
    </row>
    <row r="2042" spans="1:21" s="552" customFormat="1" ht="15" customHeight="1">
      <c r="A2042" s="621"/>
      <c r="B2042" s="622" t="s">
        <v>1276</v>
      </c>
      <c r="C2042" s="633" t="str">
        <f t="shared" si="863"/>
        <v xml:space="preserve"> </v>
      </c>
      <c r="D2042" s="553"/>
      <c r="E2042" s="694" t="str">
        <f>VLOOKUP($B2042,dongia1,DG!$C$5,)</f>
        <v>Uclevis (loại gân)+ sứ ống chỉ</v>
      </c>
      <c r="F2042" s="555" t="str">
        <f>VLOOKUP($B2042,dongia1,DG!$D$5,)</f>
        <v>bộ</v>
      </c>
      <c r="G2042" s="560">
        <f>ppht_NC!DD14</f>
        <v>0</v>
      </c>
      <c r="H2042" s="556">
        <f t="shared" si="873"/>
        <v>0</v>
      </c>
      <c r="I2042" s="556"/>
      <c r="J2042" s="556"/>
      <c r="K2042" s="556"/>
      <c r="L2042" s="556"/>
      <c r="M2042" s="556">
        <f t="shared" si="865"/>
        <v>0</v>
      </c>
      <c r="N2042" s="556"/>
      <c r="O2042" s="556"/>
      <c r="P2042" s="182">
        <f>VLOOKUP($B2042,dongia1,DG!$F$5,)</f>
        <v>35000</v>
      </c>
      <c r="Q2042" s="182"/>
      <c r="R2042" s="554"/>
      <c r="S2042" s="113">
        <f t="shared" si="874"/>
        <v>0</v>
      </c>
      <c r="T2042" s="113">
        <f t="shared" si="874"/>
        <v>0</v>
      </c>
      <c r="U2042" s="557">
        <f t="shared" si="874"/>
        <v>0</v>
      </c>
    </row>
    <row r="2043" spans="1:21" s="552" customFormat="1" ht="15" customHeight="1">
      <c r="A2043" s="621"/>
      <c r="B2043" s="622" t="s">
        <v>2041</v>
      </c>
      <c r="C2043" s="633" t="str">
        <f t="shared" si="863"/>
        <v xml:space="preserve"> </v>
      </c>
      <c r="D2043" s="553"/>
      <c r="E2043" s="694" t="str">
        <f>VLOOKUP($B2043,dongia1,DG!$C$5,)</f>
        <v>Rack 2 sứ + sứ ống chỉ</v>
      </c>
      <c r="F2043" s="555" t="str">
        <f>VLOOKUP($B2043,dongia1,DG!$D$5,)</f>
        <v>bộ</v>
      </c>
      <c r="G2043" s="560">
        <f>ppht_NC!DE14</f>
        <v>0</v>
      </c>
      <c r="H2043" s="556">
        <f t="shared" si="873"/>
        <v>0</v>
      </c>
      <c r="I2043" s="556"/>
      <c r="J2043" s="556"/>
      <c r="K2043" s="556"/>
      <c r="L2043" s="556"/>
      <c r="M2043" s="556">
        <f t="shared" si="865"/>
        <v>0</v>
      </c>
      <c r="N2043" s="556"/>
      <c r="O2043" s="556"/>
      <c r="P2043" s="182">
        <f>VLOOKUP($B2043,dongia1,DG!$F$5,)</f>
        <v>101000</v>
      </c>
      <c r="Q2043" s="182"/>
      <c r="R2043" s="554"/>
      <c r="S2043" s="113">
        <f t="shared" si="874"/>
        <v>0</v>
      </c>
      <c r="T2043" s="113">
        <f t="shared" si="874"/>
        <v>0</v>
      </c>
      <c r="U2043" s="557">
        <f t="shared" si="874"/>
        <v>0</v>
      </c>
    </row>
    <row r="2044" spans="1:21" s="552" customFormat="1" ht="15" customHeight="1">
      <c r="A2044" s="621"/>
      <c r="B2044" s="622" t="s">
        <v>592</v>
      </c>
      <c r="C2044" s="633" t="str">
        <f t="shared" si="863"/>
        <v xml:space="preserve"> </v>
      </c>
      <c r="D2044" s="553"/>
      <c r="E2044" s="694" t="str">
        <f>VLOOKUP($B2044,dongia1,DG!$C$5,)</f>
        <v>Rack 3 sứ + sứ ống chỉ</v>
      </c>
      <c r="F2044" s="555" t="str">
        <f>VLOOKUP($B2044,dongia1,DG!$D$5,)</f>
        <v>bộ</v>
      </c>
      <c r="G2044" s="560">
        <f>ppht_NC!DF14</f>
        <v>0</v>
      </c>
      <c r="H2044" s="556">
        <f t="shared" si="873"/>
        <v>0</v>
      </c>
      <c r="I2044" s="556"/>
      <c r="J2044" s="556"/>
      <c r="K2044" s="556"/>
      <c r="L2044" s="556"/>
      <c r="M2044" s="556">
        <f t="shared" si="865"/>
        <v>0</v>
      </c>
      <c r="N2044" s="556"/>
      <c r="O2044" s="556"/>
      <c r="P2044" s="182">
        <f>VLOOKUP($B2044,dongia1,DG!$F$5,)</f>
        <v>147000</v>
      </c>
      <c r="Q2044" s="182"/>
      <c r="R2044" s="554"/>
      <c r="S2044" s="113">
        <f t="shared" si="874"/>
        <v>0</v>
      </c>
      <c r="T2044" s="113">
        <f t="shared" si="874"/>
        <v>0</v>
      </c>
      <c r="U2044" s="557">
        <f t="shared" si="874"/>
        <v>0</v>
      </c>
    </row>
    <row r="2045" spans="1:21" s="552" customFormat="1" ht="15" customHeight="1">
      <c r="A2045" s="621"/>
      <c r="B2045" s="622" t="s">
        <v>649</v>
      </c>
      <c r="C2045" s="633" t="str">
        <f t="shared" si="863"/>
        <v xml:space="preserve"> </v>
      </c>
      <c r="D2045" s="553"/>
      <c r="E2045" s="694" t="str">
        <f>VLOOKUP($B2045,dongia1,DG!$C$5,)</f>
        <v>Rack 4 sứ + sứ ống chỉ</v>
      </c>
      <c r="F2045" s="555" t="str">
        <f>VLOOKUP($B2045,dongia1,DG!$D$5,)</f>
        <v>bộ</v>
      </c>
      <c r="G2045" s="560">
        <f>ppht_NC!DG14</f>
        <v>0</v>
      </c>
      <c r="H2045" s="556">
        <f t="shared" si="873"/>
        <v>0</v>
      </c>
      <c r="I2045" s="556"/>
      <c r="J2045" s="556"/>
      <c r="K2045" s="556"/>
      <c r="L2045" s="556"/>
      <c r="M2045" s="556">
        <f t="shared" si="865"/>
        <v>0</v>
      </c>
      <c r="N2045" s="556"/>
      <c r="O2045" s="556"/>
      <c r="P2045" s="182">
        <f>VLOOKUP($B2045,dongia1,DG!$F$5,)</f>
        <v>196000</v>
      </c>
      <c r="Q2045" s="182"/>
      <c r="R2045" s="554"/>
      <c r="S2045" s="113">
        <f t="shared" si="874"/>
        <v>0</v>
      </c>
      <c r="T2045" s="113">
        <f t="shared" si="874"/>
        <v>0</v>
      </c>
      <c r="U2045" s="557">
        <f t="shared" si="874"/>
        <v>0</v>
      </c>
    </row>
    <row r="2046" spans="1:21" s="552" customFormat="1" ht="15" customHeight="1">
      <c r="A2046" s="621"/>
      <c r="B2046" s="622" t="s">
        <v>1673</v>
      </c>
      <c r="C2046" s="633" t="str">
        <f t="shared" si="863"/>
        <v xml:space="preserve"> </v>
      </c>
      <c r="D2046" s="553"/>
      <c r="E2046" s="694" t="str">
        <f>VLOOKUP($B2046,dongia1,DG!$C$5,)</f>
        <v>Boulon 16x250+ 2 long đền vuông D18-50x50x3/Zn</v>
      </c>
      <c r="F2046" s="555" t="str">
        <f>VLOOKUP($B2046,dongia1,DG!$D$5,)</f>
        <v>bộ</v>
      </c>
      <c r="G2046" s="560">
        <f>ppht_NC!DH14</f>
        <v>0</v>
      </c>
      <c r="H2046" s="556">
        <f t="shared" si="873"/>
        <v>0</v>
      </c>
      <c r="I2046" s="556"/>
      <c r="J2046" s="556"/>
      <c r="K2046" s="556"/>
      <c r="L2046" s="556"/>
      <c r="M2046" s="556">
        <f t="shared" si="865"/>
        <v>0</v>
      </c>
      <c r="N2046" s="556"/>
      <c r="O2046" s="556"/>
      <c r="P2046" s="182">
        <f>VLOOKUP($B2046,dongia1,DG!$F$5,)</f>
        <v>13400</v>
      </c>
      <c r="Q2046" s="182"/>
      <c r="R2046" s="554"/>
      <c r="S2046" s="113">
        <f t="shared" si="874"/>
        <v>0</v>
      </c>
      <c r="T2046" s="113">
        <f t="shared" si="874"/>
        <v>0</v>
      </c>
      <c r="U2046" s="557">
        <f t="shared" si="874"/>
        <v>0</v>
      </c>
    </row>
    <row r="2047" spans="1:21" s="552" customFormat="1" ht="15" customHeight="1">
      <c r="A2047" s="621"/>
      <c r="B2047" s="622" t="s">
        <v>847</v>
      </c>
      <c r="C2047" s="633" t="str">
        <f t="shared" si="863"/>
        <v xml:space="preserve"> </v>
      </c>
      <c r="D2047" s="553"/>
      <c r="E2047" s="694" t="str">
        <f>VLOOKUP($B2047,dongia1,DG!$C$5,)</f>
        <v>Boulon 16x300+ 2 long đền vuông D18-50x50x3/Zn</v>
      </c>
      <c r="F2047" s="555" t="str">
        <f>VLOOKUP($B2047,dongia1,DG!$D$5,)</f>
        <v>bộ</v>
      </c>
      <c r="G2047" s="560">
        <f>ppht_NC!DI14</f>
        <v>0</v>
      </c>
      <c r="H2047" s="556">
        <f>G2047</f>
        <v>0</v>
      </c>
      <c r="I2047" s="556"/>
      <c r="J2047" s="556"/>
      <c r="K2047" s="556"/>
      <c r="L2047" s="556"/>
      <c r="M2047" s="556">
        <f>G2047</f>
        <v>0</v>
      </c>
      <c r="N2047" s="556"/>
      <c r="O2047" s="556"/>
      <c r="P2047" s="182">
        <f>VLOOKUP($B2047,dongia1,DG!$F$5,)</f>
        <v>25400</v>
      </c>
      <c r="Q2047" s="182"/>
      <c r="R2047" s="554"/>
      <c r="S2047" s="113">
        <f t="shared" ref="S2047:U2049" si="875">$G2047*P2047</f>
        <v>0</v>
      </c>
      <c r="T2047" s="113">
        <f t="shared" si="875"/>
        <v>0</v>
      </c>
      <c r="U2047" s="557">
        <f t="shared" si="875"/>
        <v>0</v>
      </c>
    </row>
    <row r="2048" spans="1:21" s="552" customFormat="1" ht="15" customHeight="1">
      <c r="A2048" s="621"/>
      <c r="B2048" s="622" t="s">
        <v>4394</v>
      </c>
      <c r="C2048" s="633" t="str">
        <f t="shared" si="863"/>
        <v xml:space="preserve"> </v>
      </c>
      <c r="D2048" s="553"/>
      <c r="E2048" s="694" t="str">
        <f>VLOOKUP($B2048,dongia1,DG!$C$5,)</f>
        <v>Boulon 16x500+ 2 long đền vuông D18-50x50x3/Zn</v>
      </c>
      <c r="F2048" s="555" t="str">
        <f>VLOOKUP($B2048,dongia1,DG!$D$5,)</f>
        <v>bộ</v>
      </c>
      <c r="G2048" s="560">
        <f>ppht_NC!DJ14</f>
        <v>0</v>
      </c>
      <c r="H2048" s="556">
        <f>G2048</f>
        <v>0</v>
      </c>
      <c r="I2048" s="556"/>
      <c r="J2048" s="556"/>
      <c r="K2048" s="556"/>
      <c r="L2048" s="556"/>
      <c r="M2048" s="556">
        <f>G2048</f>
        <v>0</v>
      </c>
      <c r="N2048" s="556"/>
      <c r="O2048" s="556"/>
      <c r="P2048" s="182">
        <f>VLOOKUP($B2048,dongia1,DG!$F$5,)</f>
        <v>33500</v>
      </c>
      <c r="Q2048" s="182"/>
      <c r="R2048" s="554"/>
      <c r="S2048" s="113">
        <f t="shared" si="875"/>
        <v>0</v>
      </c>
      <c r="T2048" s="113">
        <f t="shared" si="875"/>
        <v>0</v>
      </c>
      <c r="U2048" s="557">
        <f t="shared" si="875"/>
        <v>0</v>
      </c>
    </row>
    <row r="2049" spans="1:21" s="552" customFormat="1" ht="15" customHeight="1">
      <c r="A2049" s="621"/>
      <c r="B2049" s="622" t="s">
        <v>4394</v>
      </c>
      <c r="C2049" s="633" t="str">
        <f t="shared" si="863"/>
        <v xml:space="preserve"> </v>
      </c>
      <c r="D2049" s="553"/>
      <c r="E2049" s="694" t="str">
        <f>VLOOKUP($B2049,dongia1,DG!$C$5,)</f>
        <v>Boulon 16x500+ 2 long đền vuông D18-50x50x3/Zn</v>
      </c>
      <c r="F2049" s="555" t="str">
        <f>VLOOKUP($B2049,dongia1,DG!$D$5,)</f>
        <v>bộ</v>
      </c>
      <c r="G2049" s="560"/>
      <c r="H2049" s="556">
        <f>G2049</f>
        <v>0</v>
      </c>
      <c r="I2049" s="556"/>
      <c r="J2049" s="556"/>
      <c r="K2049" s="556"/>
      <c r="L2049" s="556"/>
      <c r="M2049" s="556">
        <f>G2049</f>
        <v>0</v>
      </c>
      <c r="N2049" s="556"/>
      <c r="O2049" s="556"/>
      <c r="P2049" s="182">
        <f>VLOOKUP($B2049,dongia1,DG!$F$5,)</f>
        <v>33500</v>
      </c>
      <c r="Q2049" s="182"/>
      <c r="R2049" s="554"/>
      <c r="S2049" s="113">
        <f t="shared" si="875"/>
        <v>0</v>
      </c>
      <c r="T2049" s="113">
        <f t="shared" si="875"/>
        <v>0</v>
      </c>
      <c r="U2049" s="557">
        <f t="shared" si="875"/>
        <v>0</v>
      </c>
    </row>
    <row r="2050" spans="1:21" s="552" customFormat="1" ht="15" customHeight="1">
      <c r="A2050" s="621"/>
      <c r="B2050" s="622" t="s">
        <v>800</v>
      </c>
      <c r="C2050" s="633" t="str">
        <f t="shared" si="863"/>
        <v xml:space="preserve"> </v>
      </c>
      <c r="D2050" s="553"/>
      <c r="E2050" s="694" t="str">
        <f>VLOOKUP($B2050,dongia1,DG!$C$5,)</f>
        <v>Boulon móc 16x250+ 1 long đền vuông D18-50x50x3/Zn</v>
      </c>
      <c r="F2050" s="555" t="str">
        <f>VLOOKUP($B2050,dongia1,DG!$D$5,)</f>
        <v>bộ</v>
      </c>
      <c r="G2050" s="560">
        <f>ppht_NC!DL14</f>
        <v>0</v>
      </c>
      <c r="H2050" s="556">
        <f t="shared" si="873"/>
        <v>0</v>
      </c>
      <c r="I2050" s="556"/>
      <c r="J2050" s="556"/>
      <c r="K2050" s="556"/>
      <c r="L2050" s="556"/>
      <c r="M2050" s="556">
        <f t="shared" si="865"/>
        <v>0</v>
      </c>
      <c r="N2050" s="556"/>
      <c r="O2050" s="556"/>
      <c r="P2050" s="182">
        <f>VLOOKUP($B2050,dongia1,DG!$F$5,)</f>
        <v>28200</v>
      </c>
      <c r="Q2050" s="182"/>
      <c r="R2050" s="554"/>
      <c r="S2050" s="113">
        <f t="shared" si="874"/>
        <v>0</v>
      </c>
      <c r="T2050" s="113">
        <f t="shared" si="874"/>
        <v>0</v>
      </c>
      <c r="U2050" s="557">
        <f t="shared" si="874"/>
        <v>0</v>
      </c>
    </row>
    <row r="2051" spans="1:21" s="552" customFormat="1" ht="15" customHeight="1">
      <c r="A2051" s="621"/>
      <c r="B2051" s="622" t="s">
        <v>801</v>
      </c>
      <c r="C2051" s="633" t="str">
        <f t="shared" si="863"/>
        <v xml:space="preserve"> </v>
      </c>
      <c r="D2051" s="553"/>
      <c r="E2051" s="694" t="str">
        <f>VLOOKUP($B2051,dongia1,DG!$C$5,)</f>
        <v>Boulon móc 16x300+ 1 long đền vuông D18-50x50x3/Zn</v>
      </c>
      <c r="F2051" s="555" t="str">
        <f>VLOOKUP($B2051,dongia1,DG!$D$5,)</f>
        <v>bộ</v>
      </c>
      <c r="G2051" s="560">
        <f>ppht_NC!DM14</f>
        <v>0</v>
      </c>
      <c r="H2051" s="556">
        <f t="shared" ref="H2051:H2133" si="876">G2051</f>
        <v>0</v>
      </c>
      <c r="I2051" s="556"/>
      <c r="J2051" s="556"/>
      <c r="K2051" s="556"/>
      <c r="L2051" s="556"/>
      <c r="M2051" s="556">
        <f t="shared" si="865"/>
        <v>0</v>
      </c>
      <c r="N2051" s="556"/>
      <c r="O2051" s="556"/>
      <c r="P2051" s="182">
        <f>VLOOKUP($B2051,dongia1,DG!$F$5,)</f>
        <v>30200</v>
      </c>
      <c r="Q2051" s="182"/>
      <c r="R2051" s="554"/>
      <c r="S2051" s="113">
        <f t="shared" ref="S2051:S2123" si="877">$G2051*P2051</f>
        <v>0</v>
      </c>
      <c r="T2051" s="113">
        <f t="shared" ref="T2051:T2123" si="878">$G2051*Q2051</f>
        <v>0</v>
      </c>
      <c r="U2051" s="557">
        <f t="shared" ref="U2051:U2123" si="879">$G2051*R2051</f>
        <v>0</v>
      </c>
    </row>
    <row r="2052" spans="1:21" s="552" customFormat="1" ht="15" customHeight="1">
      <c r="A2052" s="621"/>
      <c r="B2052" s="622" t="s">
        <v>4100</v>
      </c>
      <c r="C2052" s="633" t="str">
        <f t="shared" si="863"/>
        <v xml:space="preserve"> </v>
      </c>
      <c r="D2052" s="553"/>
      <c r="E2052" s="694" t="str">
        <f>VLOOKUP($B2052,dongia1,DG!$C$5,)</f>
        <v>Boulon móc 16x500+ 1 long đền vuông D18-50x50x3/Zn</v>
      </c>
      <c r="F2052" s="555" t="str">
        <f>VLOOKUP($B2052,dongia1,DG!$D$5,)</f>
        <v>bộ</v>
      </c>
      <c r="G2052" s="560">
        <f>ppht_NC!DN14</f>
        <v>0</v>
      </c>
      <c r="H2052" s="556">
        <f t="shared" si="876"/>
        <v>0</v>
      </c>
      <c r="I2052" s="556"/>
      <c r="J2052" s="556"/>
      <c r="K2052" s="556"/>
      <c r="L2052" s="556"/>
      <c r="M2052" s="556">
        <f t="shared" si="865"/>
        <v>0</v>
      </c>
      <c r="N2052" s="556"/>
      <c r="O2052" s="556"/>
      <c r="P2052" s="182">
        <f>VLOOKUP($B2052,dongia1,DG!$F$5,)</f>
        <v>49200</v>
      </c>
      <c r="Q2052" s="182"/>
      <c r="R2052" s="554"/>
      <c r="S2052" s="113">
        <f t="shared" si="877"/>
        <v>0</v>
      </c>
      <c r="T2052" s="113">
        <f t="shared" si="878"/>
        <v>0</v>
      </c>
      <c r="U2052" s="718">
        <f t="shared" si="879"/>
        <v>0</v>
      </c>
    </row>
    <row r="2053" spans="1:21" s="552" customFormat="1" ht="15" customHeight="1">
      <c r="A2053" s="621"/>
      <c r="B2053" s="622" t="s">
        <v>4395</v>
      </c>
      <c r="C2053" s="633" t="str">
        <f t="shared" si="863"/>
        <v xml:space="preserve"> </v>
      </c>
      <c r="D2053" s="553"/>
      <c r="E2053" s="694" t="str">
        <f>VLOOKUP($B2053,dongia1,DG!$C$5,)</f>
        <v>Ghíp nối IPC 150-35</v>
      </c>
      <c r="F2053" s="555" t="str">
        <f>VLOOKUP($B2053,dongia1,DG!$D$5,)</f>
        <v>cái</v>
      </c>
      <c r="G2053" s="560">
        <f>ppht_NC!DO14</f>
        <v>0</v>
      </c>
      <c r="H2053" s="556">
        <f t="shared" si="876"/>
        <v>0</v>
      </c>
      <c r="I2053" s="556"/>
      <c r="J2053" s="556"/>
      <c r="K2053" s="556"/>
      <c r="L2053" s="556"/>
      <c r="M2053" s="556">
        <f t="shared" si="865"/>
        <v>0</v>
      </c>
      <c r="N2053" s="556"/>
      <c r="O2053" s="556"/>
      <c r="P2053" s="182">
        <f>VLOOKUP($B2053,dongia1,DG!$F$5,)</f>
        <v>25001</v>
      </c>
      <c r="Q2053" s="182"/>
      <c r="R2053" s="554"/>
      <c r="S2053" s="113">
        <f t="shared" si="877"/>
        <v>0</v>
      </c>
      <c r="T2053" s="113">
        <f t="shared" si="878"/>
        <v>0</v>
      </c>
      <c r="U2053" s="715">
        <f t="shared" si="879"/>
        <v>0</v>
      </c>
    </row>
    <row r="2054" spans="1:21" s="552" customFormat="1" ht="15" customHeight="1">
      <c r="A2054" s="621"/>
      <c r="B2054" s="622" t="s">
        <v>4396</v>
      </c>
      <c r="C2054" s="633" t="str">
        <f t="shared" si="863"/>
        <v xml:space="preserve"> </v>
      </c>
      <c r="D2054" s="553"/>
      <c r="E2054" s="694" t="str">
        <f>VLOOKUP($B2054,dongia1,DG!$C$5,)</f>
        <v>Ghíp nối IPC 150-50</v>
      </c>
      <c r="F2054" s="555" t="str">
        <f>VLOOKUP($B2054,dongia1,DG!$D$5,)</f>
        <v>cái</v>
      </c>
      <c r="G2054" s="560">
        <f>ppht_NC!DP14</f>
        <v>0</v>
      </c>
      <c r="H2054" s="556">
        <f t="shared" si="876"/>
        <v>0</v>
      </c>
      <c r="I2054" s="556"/>
      <c r="J2054" s="556"/>
      <c r="K2054" s="556"/>
      <c r="L2054" s="556"/>
      <c r="M2054" s="556">
        <f t="shared" si="865"/>
        <v>0</v>
      </c>
      <c r="N2054" s="556"/>
      <c r="O2054" s="556"/>
      <c r="P2054" s="182">
        <f>VLOOKUP($B2054,dongia1,DG!$F$5,)</f>
        <v>68000</v>
      </c>
      <c r="Q2054" s="182"/>
      <c r="R2054" s="554"/>
      <c r="S2054" s="113">
        <f t="shared" si="877"/>
        <v>0</v>
      </c>
      <c r="T2054" s="113">
        <f t="shared" si="878"/>
        <v>0</v>
      </c>
      <c r="U2054" s="557">
        <f t="shared" si="879"/>
        <v>0</v>
      </c>
    </row>
    <row r="2055" spans="1:21" s="552" customFormat="1" ht="15" customHeight="1">
      <c r="A2055" s="621"/>
      <c r="B2055" s="622" t="s">
        <v>4397</v>
      </c>
      <c r="C2055" s="633" t="str">
        <f t="shared" si="863"/>
        <v xml:space="preserve"> </v>
      </c>
      <c r="D2055" s="553"/>
      <c r="E2055" s="694" t="str">
        <f>VLOOKUP($B2055,dongia1,DG!$C$5,)</f>
        <v>Ghíp nối IPC 150-70</v>
      </c>
      <c r="F2055" s="555" t="str">
        <f>VLOOKUP($B2055,dongia1,DG!$D$5,)</f>
        <v>cái</v>
      </c>
      <c r="G2055" s="560">
        <f>ppht_NC!DQ14</f>
        <v>0</v>
      </c>
      <c r="H2055" s="556">
        <f t="shared" si="876"/>
        <v>0</v>
      </c>
      <c r="I2055" s="556"/>
      <c r="J2055" s="556"/>
      <c r="K2055" s="556"/>
      <c r="L2055" s="556"/>
      <c r="M2055" s="556">
        <f t="shared" si="865"/>
        <v>0</v>
      </c>
      <c r="N2055" s="556"/>
      <c r="O2055" s="556"/>
      <c r="P2055" s="182">
        <f>VLOOKUP($B2055,dongia1,DG!$F$5,)</f>
        <v>68000</v>
      </c>
      <c r="Q2055" s="182"/>
      <c r="R2055" s="554"/>
      <c r="S2055" s="113">
        <f t="shared" si="877"/>
        <v>0</v>
      </c>
      <c r="T2055" s="113">
        <f t="shared" si="878"/>
        <v>0</v>
      </c>
      <c r="U2055" s="557">
        <f t="shared" si="879"/>
        <v>0</v>
      </c>
    </row>
    <row r="2056" spans="1:21" s="552" customFormat="1" ht="15" customHeight="1">
      <c r="A2056" s="621"/>
      <c r="B2056" s="622" t="s">
        <v>4398</v>
      </c>
      <c r="C2056" s="633" t="str">
        <f t="shared" si="863"/>
        <v xml:space="preserve"> </v>
      </c>
      <c r="D2056" s="553"/>
      <c r="E2056" s="694" t="str">
        <f>VLOOKUP($B2056,dongia1,DG!$C$5,)</f>
        <v>Ghíp nối IPC 150-95</v>
      </c>
      <c r="F2056" s="555" t="str">
        <f>VLOOKUP($B2056,dongia1,DG!$D$5,)</f>
        <v>cái</v>
      </c>
      <c r="G2056" s="560">
        <f>ppht_NC!DR14</f>
        <v>0</v>
      </c>
      <c r="H2056" s="556">
        <f t="shared" si="876"/>
        <v>0</v>
      </c>
      <c r="I2056" s="556"/>
      <c r="J2056" s="556"/>
      <c r="K2056" s="556"/>
      <c r="L2056" s="556"/>
      <c r="M2056" s="556">
        <f t="shared" si="865"/>
        <v>0</v>
      </c>
      <c r="N2056" s="556"/>
      <c r="O2056" s="556"/>
      <c r="P2056" s="182">
        <f>VLOOKUP($B2056,dongia1,DG!$F$5,)</f>
        <v>68000</v>
      </c>
      <c r="Q2056" s="182"/>
      <c r="R2056" s="554"/>
      <c r="S2056" s="113">
        <f t="shared" si="877"/>
        <v>0</v>
      </c>
      <c r="T2056" s="113">
        <f t="shared" si="878"/>
        <v>0</v>
      </c>
      <c r="U2056" s="557">
        <f t="shared" si="879"/>
        <v>0</v>
      </c>
    </row>
    <row r="2057" spans="1:21" s="552" customFormat="1" ht="15" customHeight="1">
      <c r="A2057" s="621"/>
      <c r="B2057" s="622" t="s">
        <v>4399</v>
      </c>
      <c r="C2057" s="633" t="str">
        <f t="shared" si="863"/>
        <v xml:space="preserve"> </v>
      </c>
      <c r="D2057" s="553"/>
      <c r="E2057" s="694" t="str">
        <f>VLOOKUP($B2057,dongia1,DG!$C$5,)</f>
        <v>Ghíp nối IPC 150-120</v>
      </c>
      <c r="F2057" s="555" t="str">
        <f>VLOOKUP($B2057,dongia1,DG!$D$5,)</f>
        <v>cái</v>
      </c>
      <c r="G2057" s="560">
        <f>ppht_NC!DS14</f>
        <v>0</v>
      </c>
      <c r="H2057" s="556">
        <f t="shared" si="876"/>
        <v>0</v>
      </c>
      <c r="I2057" s="556"/>
      <c r="J2057" s="556"/>
      <c r="K2057" s="556"/>
      <c r="L2057" s="556"/>
      <c r="M2057" s="556">
        <f t="shared" si="865"/>
        <v>0</v>
      </c>
      <c r="N2057" s="556"/>
      <c r="O2057" s="556"/>
      <c r="P2057" s="182">
        <f>VLOOKUP($B2057,dongia1,DG!$F$5,)</f>
        <v>68000</v>
      </c>
      <c r="Q2057" s="182"/>
      <c r="R2057" s="554"/>
      <c r="S2057" s="113">
        <f t="shared" si="877"/>
        <v>0</v>
      </c>
      <c r="T2057" s="113">
        <f t="shared" si="878"/>
        <v>0</v>
      </c>
      <c r="U2057" s="557">
        <f t="shared" si="879"/>
        <v>0</v>
      </c>
    </row>
    <row r="2058" spans="1:21" s="552" customFormat="1" ht="15" customHeight="1">
      <c r="A2058" s="621"/>
      <c r="B2058" s="622" t="s">
        <v>4400</v>
      </c>
      <c r="C2058" s="633" t="str">
        <f t="shared" ref="C2058:C2089" si="880">IF(G2058&lt;&gt;0,$C$2025," ")</f>
        <v xml:space="preserve"> </v>
      </c>
      <c r="D2058" s="553"/>
      <c r="E2058" s="694" t="str">
        <f>VLOOKUP($B2058,dongia1,DG!$C$5,)</f>
        <v>Ghíp nối IPC 150-150</v>
      </c>
      <c r="F2058" s="555" t="str">
        <f>VLOOKUP($B2058,dongia1,DG!$D$5,)</f>
        <v>cái</v>
      </c>
      <c r="G2058" s="560">
        <f>ppht_NC!DT14</f>
        <v>0</v>
      </c>
      <c r="H2058" s="556">
        <f t="shared" si="876"/>
        <v>0</v>
      </c>
      <c r="I2058" s="556"/>
      <c r="J2058" s="556"/>
      <c r="K2058" s="556"/>
      <c r="L2058" s="556"/>
      <c r="M2058" s="556">
        <f t="shared" si="865"/>
        <v>0</v>
      </c>
      <c r="N2058" s="556"/>
      <c r="O2058" s="556"/>
      <c r="P2058" s="182">
        <f>VLOOKUP($B2058,dongia1,DG!$F$5,)</f>
        <v>68000</v>
      </c>
      <c r="Q2058" s="182"/>
      <c r="R2058" s="554"/>
      <c r="S2058" s="113">
        <f t="shared" si="877"/>
        <v>0</v>
      </c>
      <c r="T2058" s="113">
        <f t="shared" si="878"/>
        <v>0</v>
      </c>
      <c r="U2058" s="557">
        <f t="shared" si="879"/>
        <v>0</v>
      </c>
    </row>
    <row r="2059" spans="1:21" s="552" customFormat="1" ht="15" customHeight="1">
      <c r="A2059" s="621"/>
      <c r="B2059" s="622" t="s">
        <v>4401</v>
      </c>
      <c r="C2059" s="633" t="str">
        <f t="shared" si="880"/>
        <v xml:space="preserve"> </v>
      </c>
      <c r="D2059" s="553"/>
      <c r="E2059" s="694" t="str">
        <f>VLOOKUP($B2059,dongia1,DG!$C$5,)</f>
        <v>Ghíp nối IPC 120-35(25)</v>
      </c>
      <c r="F2059" s="555" t="str">
        <f>VLOOKUP($B2059,dongia1,DG!$D$5,)</f>
        <v>cái</v>
      </c>
      <c r="G2059" s="560">
        <f>ppht_NC!DU14</f>
        <v>0</v>
      </c>
      <c r="H2059" s="556">
        <f t="shared" si="876"/>
        <v>0</v>
      </c>
      <c r="I2059" s="556"/>
      <c r="J2059" s="556"/>
      <c r="K2059" s="556"/>
      <c r="L2059" s="556"/>
      <c r="M2059" s="556">
        <f t="shared" si="865"/>
        <v>0</v>
      </c>
      <c r="N2059" s="556"/>
      <c r="O2059" s="556"/>
      <c r="P2059" s="182">
        <f>VLOOKUP($B2059,dongia1,DG!$F$5,)</f>
        <v>32000</v>
      </c>
      <c r="Q2059" s="182"/>
      <c r="R2059" s="554"/>
      <c r="S2059" s="113">
        <f t="shared" si="877"/>
        <v>0</v>
      </c>
      <c r="T2059" s="113">
        <f t="shared" si="878"/>
        <v>0</v>
      </c>
      <c r="U2059" s="718">
        <f t="shared" si="879"/>
        <v>0</v>
      </c>
    </row>
    <row r="2060" spans="1:21" s="552" customFormat="1" ht="15" customHeight="1">
      <c r="A2060" s="621"/>
      <c r="B2060" s="622" t="s">
        <v>4402</v>
      </c>
      <c r="C2060" s="633" t="str">
        <f t="shared" si="880"/>
        <v xml:space="preserve"> </v>
      </c>
      <c r="D2060" s="553"/>
      <c r="E2060" s="694" t="str">
        <f>VLOOKUP($B2060,dongia1,DG!$C$5,)</f>
        <v>Ghíp nối IPC 120-50</v>
      </c>
      <c r="F2060" s="555" t="str">
        <f>VLOOKUP($B2060,dongia1,DG!$D$5,)</f>
        <v>cái</v>
      </c>
      <c r="G2060" s="560">
        <f>ppht_NC!DV14</f>
        <v>0</v>
      </c>
      <c r="H2060" s="556">
        <f t="shared" si="876"/>
        <v>0</v>
      </c>
      <c r="I2060" s="556"/>
      <c r="J2060" s="556"/>
      <c r="K2060" s="556"/>
      <c r="L2060" s="556"/>
      <c r="M2060" s="556">
        <f t="shared" si="865"/>
        <v>0</v>
      </c>
      <c r="N2060" s="556"/>
      <c r="O2060" s="556"/>
      <c r="P2060" s="182">
        <f>VLOOKUP($B2060,dongia1,DG!$F$5,)</f>
        <v>39500</v>
      </c>
      <c r="Q2060" s="182"/>
      <c r="R2060" s="554"/>
      <c r="S2060" s="113">
        <f t="shared" si="877"/>
        <v>0</v>
      </c>
      <c r="T2060" s="113">
        <f t="shared" si="878"/>
        <v>0</v>
      </c>
      <c r="U2060" s="715">
        <f t="shared" si="879"/>
        <v>0</v>
      </c>
    </row>
    <row r="2061" spans="1:21" s="552" customFormat="1" ht="15" customHeight="1">
      <c r="A2061" s="621"/>
      <c r="B2061" s="622" t="s">
        <v>4403</v>
      </c>
      <c r="C2061" s="633" t="str">
        <f t="shared" si="880"/>
        <v xml:space="preserve"> </v>
      </c>
      <c r="D2061" s="553"/>
      <c r="E2061" s="694" t="str">
        <f>VLOOKUP($B2061,dongia1,DG!$C$5,)</f>
        <v>Ghíp nối IPC 120-70</v>
      </c>
      <c r="F2061" s="555" t="str">
        <f>VLOOKUP($B2061,dongia1,DG!$D$5,)</f>
        <v>cái</v>
      </c>
      <c r="G2061" s="560">
        <f>ppht_NC!DW14</f>
        <v>0</v>
      </c>
      <c r="H2061" s="556">
        <f t="shared" si="876"/>
        <v>0</v>
      </c>
      <c r="I2061" s="556"/>
      <c r="J2061" s="556"/>
      <c r="K2061" s="556"/>
      <c r="L2061" s="556"/>
      <c r="M2061" s="556">
        <f t="shared" si="865"/>
        <v>0</v>
      </c>
      <c r="N2061" s="556"/>
      <c r="O2061" s="556"/>
      <c r="P2061" s="182">
        <f>VLOOKUP($B2061,dongia1,DG!$F$5,)</f>
        <v>39500</v>
      </c>
      <c r="Q2061" s="182"/>
      <c r="R2061" s="554"/>
      <c r="S2061" s="113">
        <f t="shared" si="877"/>
        <v>0</v>
      </c>
      <c r="T2061" s="113">
        <f t="shared" si="878"/>
        <v>0</v>
      </c>
      <c r="U2061" s="557">
        <f t="shared" si="879"/>
        <v>0</v>
      </c>
    </row>
    <row r="2062" spans="1:21" s="552" customFormat="1" ht="15" customHeight="1">
      <c r="A2062" s="621"/>
      <c r="B2062" s="622" t="s">
        <v>4404</v>
      </c>
      <c r="C2062" s="633" t="str">
        <f t="shared" si="880"/>
        <v xml:space="preserve"> </v>
      </c>
      <c r="D2062" s="553"/>
      <c r="E2062" s="694" t="str">
        <f>VLOOKUP($B2062,dongia1,DG!$C$5,)</f>
        <v>Ghíp nối IPC 120-95</v>
      </c>
      <c r="F2062" s="555" t="str">
        <f>VLOOKUP($B2062,dongia1,DG!$D$5,)</f>
        <v>cái</v>
      </c>
      <c r="G2062" s="560">
        <f>ppht_NC!DX14</f>
        <v>0</v>
      </c>
      <c r="H2062" s="556">
        <f t="shared" si="876"/>
        <v>0</v>
      </c>
      <c r="I2062" s="556"/>
      <c r="J2062" s="556"/>
      <c r="K2062" s="556"/>
      <c r="L2062" s="556"/>
      <c r="M2062" s="556">
        <f t="shared" si="865"/>
        <v>0</v>
      </c>
      <c r="N2062" s="556"/>
      <c r="O2062" s="556"/>
      <c r="P2062" s="182">
        <f>VLOOKUP($B2062,dongia1,DG!$F$5,)</f>
        <v>39500</v>
      </c>
      <c r="Q2062" s="182"/>
      <c r="R2062" s="554"/>
      <c r="S2062" s="113">
        <f t="shared" si="877"/>
        <v>0</v>
      </c>
      <c r="T2062" s="113">
        <f t="shared" si="878"/>
        <v>0</v>
      </c>
      <c r="U2062" s="557">
        <f t="shared" si="879"/>
        <v>0</v>
      </c>
    </row>
    <row r="2063" spans="1:21" s="552" customFormat="1" ht="15" customHeight="1">
      <c r="A2063" s="621"/>
      <c r="B2063" s="622" t="s">
        <v>4405</v>
      </c>
      <c r="C2063" s="633" t="str">
        <f t="shared" si="880"/>
        <v xml:space="preserve"> </v>
      </c>
      <c r="D2063" s="553"/>
      <c r="E2063" s="694" t="str">
        <f>VLOOKUP($B2063,dongia1,DG!$C$5,)</f>
        <v>Ghíp nối IPC 120-120</v>
      </c>
      <c r="F2063" s="555" t="str">
        <f>VLOOKUP($B2063,dongia1,DG!$D$5,)</f>
        <v>cái</v>
      </c>
      <c r="G2063" s="560">
        <f>ppht_NC!DY14</f>
        <v>0</v>
      </c>
      <c r="H2063" s="556">
        <f t="shared" si="876"/>
        <v>0</v>
      </c>
      <c r="I2063" s="556"/>
      <c r="J2063" s="556"/>
      <c r="K2063" s="556"/>
      <c r="L2063" s="556"/>
      <c r="M2063" s="556">
        <f t="shared" si="865"/>
        <v>0</v>
      </c>
      <c r="N2063" s="556"/>
      <c r="O2063" s="556"/>
      <c r="P2063" s="182">
        <f>VLOOKUP($B2063,dongia1,DG!$F$5,)</f>
        <v>45000</v>
      </c>
      <c r="Q2063" s="182"/>
      <c r="R2063" s="554"/>
      <c r="S2063" s="113">
        <f t="shared" si="877"/>
        <v>0</v>
      </c>
      <c r="T2063" s="113">
        <f t="shared" si="878"/>
        <v>0</v>
      </c>
      <c r="U2063" s="557">
        <f t="shared" si="879"/>
        <v>0</v>
      </c>
    </row>
    <row r="2064" spans="1:21" s="552" customFormat="1" ht="15" customHeight="1">
      <c r="A2064" s="621"/>
      <c r="B2064" s="622" t="s">
        <v>4406</v>
      </c>
      <c r="C2064" s="633" t="str">
        <f t="shared" si="880"/>
        <v xml:space="preserve"> </v>
      </c>
      <c r="D2064" s="553"/>
      <c r="E2064" s="694" t="str">
        <f>VLOOKUP($B2064,dongia1,DG!$C$5,)</f>
        <v>Ghíp nối IPC 95-35</v>
      </c>
      <c r="F2064" s="555" t="str">
        <f>VLOOKUP($B2064,dongia1,DG!$D$5,)</f>
        <v>cái</v>
      </c>
      <c r="G2064" s="560">
        <f>ppht_NC!DZ14</f>
        <v>0</v>
      </c>
      <c r="H2064" s="556">
        <f t="shared" si="876"/>
        <v>0</v>
      </c>
      <c r="I2064" s="556"/>
      <c r="J2064" s="556"/>
      <c r="K2064" s="556"/>
      <c r="L2064" s="556"/>
      <c r="M2064" s="556">
        <f t="shared" si="865"/>
        <v>0</v>
      </c>
      <c r="N2064" s="556"/>
      <c r="O2064" s="556"/>
      <c r="P2064" s="182">
        <f>VLOOKUP($B2064,dongia1,DG!$F$5,)</f>
        <v>22000</v>
      </c>
      <c r="Q2064" s="182"/>
      <c r="R2064" s="554"/>
      <c r="S2064" s="113">
        <f t="shared" si="877"/>
        <v>0</v>
      </c>
      <c r="T2064" s="113">
        <f t="shared" si="878"/>
        <v>0</v>
      </c>
      <c r="U2064" s="718">
        <f t="shared" si="879"/>
        <v>0</v>
      </c>
    </row>
    <row r="2065" spans="1:21" s="552" customFormat="1" ht="15" customHeight="1">
      <c r="A2065" s="621"/>
      <c r="B2065" s="622" t="s">
        <v>4407</v>
      </c>
      <c r="C2065" s="633" t="str">
        <f t="shared" si="880"/>
        <v xml:space="preserve"> </v>
      </c>
      <c r="D2065" s="553"/>
      <c r="E2065" s="694" t="str">
        <f>VLOOKUP($B2065,dongia1,DG!$C$5,)</f>
        <v>Ghíp nối IPC 95-50</v>
      </c>
      <c r="F2065" s="555" t="str">
        <f>VLOOKUP($B2065,dongia1,DG!$D$5,)</f>
        <v>cái</v>
      </c>
      <c r="G2065" s="560">
        <f>ppht_NC!EA14</f>
        <v>0</v>
      </c>
      <c r="H2065" s="556">
        <f t="shared" si="876"/>
        <v>0</v>
      </c>
      <c r="I2065" s="556"/>
      <c r="J2065" s="556"/>
      <c r="K2065" s="556"/>
      <c r="L2065" s="556"/>
      <c r="M2065" s="556">
        <f t="shared" si="865"/>
        <v>0</v>
      </c>
      <c r="N2065" s="556"/>
      <c r="O2065" s="556"/>
      <c r="P2065" s="182">
        <f>VLOOKUP($B2065,dongia1,DG!$F$5,)</f>
        <v>30500</v>
      </c>
      <c r="Q2065" s="182"/>
      <c r="R2065" s="554"/>
      <c r="S2065" s="113">
        <f t="shared" si="877"/>
        <v>0</v>
      </c>
      <c r="T2065" s="113">
        <f t="shared" si="878"/>
        <v>0</v>
      </c>
      <c r="U2065" s="715">
        <f t="shared" si="879"/>
        <v>0</v>
      </c>
    </row>
    <row r="2066" spans="1:21" s="552" customFormat="1" ht="15" customHeight="1">
      <c r="A2066" s="621"/>
      <c r="B2066" s="622" t="s">
        <v>4408</v>
      </c>
      <c r="C2066" s="633" t="str">
        <f t="shared" si="880"/>
        <v xml:space="preserve"> </v>
      </c>
      <c r="D2066" s="553"/>
      <c r="E2066" s="694" t="str">
        <f>VLOOKUP($B2066,dongia1,DG!$C$5,)</f>
        <v>Ghíp nối IPC 95-70</v>
      </c>
      <c r="F2066" s="555" t="str">
        <f>VLOOKUP($B2066,dongia1,DG!$D$5,)</f>
        <v>cái</v>
      </c>
      <c r="G2066" s="560">
        <f>ppht_NC!EB14</f>
        <v>0</v>
      </c>
      <c r="H2066" s="556">
        <f t="shared" si="876"/>
        <v>0</v>
      </c>
      <c r="I2066" s="556"/>
      <c r="J2066" s="556"/>
      <c r="K2066" s="556"/>
      <c r="L2066" s="556"/>
      <c r="M2066" s="556">
        <f t="shared" si="865"/>
        <v>0</v>
      </c>
      <c r="N2066" s="556"/>
      <c r="O2066" s="556"/>
      <c r="P2066" s="182">
        <f>VLOOKUP($B2066,dongia1,DG!$F$5,)</f>
        <v>30500</v>
      </c>
      <c r="Q2066" s="182"/>
      <c r="R2066" s="554"/>
      <c r="S2066" s="113">
        <f t="shared" si="877"/>
        <v>0</v>
      </c>
      <c r="T2066" s="113">
        <f t="shared" si="878"/>
        <v>0</v>
      </c>
      <c r="U2066" s="557">
        <f t="shared" si="879"/>
        <v>0</v>
      </c>
    </row>
    <row r="2067" spans="1:21" s="552" customFormat="1" ht="15" customHeight="1">
      <c r="A2067" s="621"/>
      <c r="B2067" s="622" t="s">
        <v>4409</v>
      </c>
      <c r="C2067" s="633" t="str">
        <f t="shared" si="880"/>
        <v xml:space="preserve"> </v>
      </c>
      <c r="D2067" s="553"/>
      <c r="E2067" s="694" t="str">
        <f>VLOOKUP($B2067,dongia1,DG!$C$5,)</f>
        <v>Ghíp nối IPC 95-95</v>
      </c>
      <c r="F2067" s="555" t="str">
        <f>VLOOKUP($B2067,dongia1,DG!$D$5,)</f>
        <v>cái</v>
      </c>
      <c r="G2067" s="560">
        <f>ppht_NC!EC14</f>
        <v>0</v>
      </c>
      <c r="H2067" s="556">
        <f t="shared" si="876"/>
        <v>0</v>
      </c>
      <c r="I2067" s="556"/>
      <c r="J2067" s="556"/>
      <c r="K2067" s="556"/>
      <c r="L2067" s="556"/>
      <c r="M2067" s="556">
        <f t="shared" si="865"/>
        <v>0</v>
      </c>
      <c r="N2067" s="556"/>
      <c r="O2067" s="556"/>
      <c r="P2067" s="182">
        <f>VLOOKUP($B2067,dongia1,DG!$F$5,)</f>
        <v>45000</v>
      </c>
      <c r="Q2067" s="182"/>
      <c r="R2067" s="554"/>
      <c r="S2067" s="113">
        <f t="shared" si="877"/>
        <v>0</v>
      </c>
      <c r="T2067" s="113">
        <f t="shared" si="878"/>
        <v>0</v>
      </c>
      <c r="U2067" s="557">
        <f t="shared" si="879"/>
        <v>0</v>
      </c>
    </row>
    <row r="2068" spans="1:21" s="552" customFormat="1" ht="15" customHeight="1">
      <c r="A2068" s="621"/>
      <c r="B2068" s="622" t="s">
        <v>4410</v>
      </c>
      <c r="C2068" s="633" t="str">
        <f t="shared" si="880"/>
        <v xml:space="preserve"> </v>
      </c>
      <c r="D2068" s="553"/>
      <c r="E2068" s="694" t="str">
        <f>VLOOKUP($B2068,dongia1,DG!$C$5,)</f>
        <v>Ghíp nối IPC 70-35</v>
      </c>
      <c r="F2068" s="555" t="str">
        <f>VLOOKUP($B2068,dongia1,DG!$D$5,)</f>
        <v>cái</v>
      </c>
      <c r="G2068" s="560">
        <f>ppht_NC!ED14</f>
        <v>0</v>
      </c>
      <c r="H2068" s="556">
        <f t="shared" si="876"/>
        <v>0</v>
      </c>
      <c r="I2068" s="556"/>
      <c r="J2068" s="556"/>
      <c r="K2068" s="556"/>
      <c r="L2068" s="556"/>
      <c r="M2068" s="556">
        <f t="shared" si="865"/>
        <v>0</v>
      </c>
      <c r="N2068" s="556"/>
      <c r="O2068" s="556"/>
      <c r="P2068" s="182">
        <f>VLOOKUP($B2068,dongia1,DG!$F$5,)</f>
        <v>22000</v>
      </c>
      <c r="Q2068" s="182"/>
      <c r="R2068" s="554"/>
      <c r="S2068" s="113">
        <f t="shared" si="877"/>
        <v>0</v>
      </c>
      <c r="T2068" s="113">
        <f t="shared" si="878"/>
        <v>0</v>
      </c>
      <c r="U2068" s="718">
        <f t="shared" si="879"/>
        <v>0</v>
      </c>
    </row>
    <row r="2069" spans="1:21" s="552" customFormat="1" ht="15" customHeight="1">
      <c r="A2069" s="621"/>
      <c r="B2069" s="622" t="s">
        <v>4411</v>
      </c>
      <c r="C2069" s="633" t="str">
        <f t="shared" si="880"/>
        <v xml:space="preserve"> </v>
      </c>
      <c r="D2069" s="553"/>
      <c r="E2069" s="694" t="str">
        <f>VLOOKUP($B2069,dongia1,DG!$C$5,)</f>
        <v>Ghíp nối IPC 70-50</v>
      </c>
      <c r="F2069" s="555" t="str">
        <f>VLOOKUP($B2069,dongia1,DG!$D$5,)</f>
        <v>cái</v>
      </c>
      <c r="G2069" s="560">
        <f>ppht_NC!EE14</f>
        <v>0</v>
      </c>
      <c r="H2069" s="556">
        <f t="shared" si="876"/>
        <v>0</v>
      </c>
      <c r="I2069" s="556"/>
      <c r="J2069" s="556"/>
      <c r="K2069" s="556"/>
      <c r="L2069" s="556"/>
      <c r="M2069" s="556">
        <f t="shared" si="865"/>
        <v>0</v>
      </c>
      <c r="N2069" s="556"/>
      <c r="O2069" s="556"/>
      <c r="P2069" s="182">
        <f>VLOOKUP($B2069,dongia1,DG!$F$5,)</f>
        <v>30500</v>
      </c>
      <c r="Q2069" s="182"/>
      <c r="R2069" s="554"/>
      <c r="S2069" s="113">
        <f t="shared" si="877"/>
        <v>0</v>
      </c>
      <c r="T2069" s="113">
        <f t="shared" si="878"/>
        <v>0</v>
      </c>
      <c r="U2069" s="715">
        <f t="shared" si="879"/>
        <v>0</v>
      </c>
    </row>
    <row r="2070" spans="1:21" s="552" customFormat="1" ht="15" customHeight="1">
      <c r="A2070" s="621"/>
      <c r="B2070" s="622" t="s">
        <v>4412</v>
      </c>
      <c r="C2070" s="633" t="str">
        <f t="shared" si="880"/>
        <v xml:space="preserve"> </v>
      </c>
      <c r="D2070" s="553"/>
      <c r="E2070" s="694" t="str">
        <f>VLOOKUP($B2070,dongia1,DG!$C$5,)</f>
        <v>Ghíp nối IPC 70-70</v>
      </c>
      <c r="F2070" s="555" t="str">
        <f>VLOOKUP($B2070,dongia1,DG!$D$5,)</f>
        <v>cái</v>
      </c>
      <c r="G2070" s="560">
        <f>ppht_NC!EF14</f>
        <v>0</v>
      </c>
      <c r="H2070" s="556">
        <f t="shared" si="876"/>
        <v>0</v>
      </c>
      <c r="I2070" s="556"/>
      <c r="J2070" s="556"/>
      <c r="K2070" s="556"/>
      <c r="L2070" s="556"/>
      <c r="M2070" s="556">
        <f t="shared" si="865"/>
        <v>0</v>
      </c>
      <c r="N2070" s="556"/>
      <c r="O2070" s="556"/>
      <c r="P2070" s="182">
        <f>VLOOKUP($B2070,dongia1,DG!$F$5,)</f>
        <v>45000</v>
      </c>
      <c r="Q2070" s="182"/>
      <c r="R2070" s="554"/>
      <c r="S2070" s="113">
        <f t="shared" si="877"/>
        <v>0</v>
      </c>
      <c r="T2070" s="113">
        <f t="shared" si="878"/>
        <v>0</v>
      </c>
      <c r="U2070" s="557">
        <f t="shared" si="879"/>
        <v>0</v>
      </c>
    </row>
    <row r="2071" spans="1:21" s="552" customFormat="1" ht="15" customHeight="1">
      <c r="A2071" s="621"/>
      <c r="B2071" s="622" t="s">
        <v>4413</v>
      </c>
      <c r="C2071" s="633" t="str">
        <f t="shared" si="880"/>
        <v xml:space="preserve"> </v>
      </c>
      <c r="D2071" s="553"/>
      <c r="E2071" s="694" t="str">
        <f>VLOOKUP($B2071,dongia1,DG!$C$5,)</f>
        <v>Ghíp nối IPC 50-35</v>
      </c>
      <c r="F2071" s="555" t="str">
        <f>VLOOKUP($B2071,dongia1,DG!$D$5,)</f>
        <v>cái</v>
      </c>
      <c r="G2071" s="560">
        <f>ppht_NC!EG14</f>
        <v>0</v>
      </c>
      <c r="H2071" s="556">
        <f t="shared" si="876"/>
        <v>0</v>
      </c>
      <c r="I2071" s="556"/>
      <c r="J2071" s="556"/>
      <c r="K2071" s="556"/>
      <c r="L2071" s="556"/>
      <c r="M2071" s="556">
        <f t="shared" si="865"/>
        <v>0</v>
      </c>
      <c r="N2071" s="556"/>
      <c r="O2071" s="556"/>
      <c r="P2071" s="182">
        <f>VLOOKUP($B2071,dongia1,DG!$F$5,)</f>
        <v>29085</v>
      </c>
      <c r="Q2071" s="182"/>
      <c r="R2071" s="554"/>
      <c r="S2071" s="113">
        <f t="shared" si="877"/>
        <v>0</v>
      </c>
      <c r="T2071" s="113">
        <f t="shared" si="878"/>
        <v>0</v>
      </c>
      <c r="U2071" s="557">
        <f t="shared" si="879"/>
        <v>0</v>
      </c>
    </row>
    <row r="2072" spans="1:21" s="552" customFormat="1" ht="15" customHeight="1">
      <c r="A2072" s="621"/>
      <c r="B2072" s="622" t="s">
        <v>4414</v>
      </c>
      <c r="C2072" s="633" t="str">
        <f t="shared" si="880"/>
        <v xml:space="preserve"> </v>
      </c>
      <c r="D2072" s="553"/>
      <c r="E2072" s="694" t="str">
        <f>VLOOKUP($B2072,dongia1,DG!$C$5,)</f>
        <v>Ghíp nối IPC 50-50</v>
      </c>
      <c r="F2072" s="555" t="str">
        <f>VLOOKUP($B2072,dongia1,DG!$D$5,)</f>
        <v>cái</v>
      </c>
      <c r="G2072" s="560">
        <f>ppht_NC!EH14</f>
        <v>0</v>
      </c>
      <c r="H2072" s="556">
        <f t="shared" si="876"/>
        <v>0</v>
      </c>
      <c r="I2072" s="556"/>
      <c r="J2072" s="556"/>
      <c r="K2072" s="556"/>
      <c r="L2072" s="556"/>
      <c r="M2072" s="556">
        <f t="shared" si="865"/>
        <v>0</v>
      </c>
      <c r="N2072" s="556"/>
      <c r="O2072" s="556"/>
      <c r="P2072" s="182">
        <f>VLOOKUP($B2072,dongia1,DG!$F$5,)</f>
        <v>30500</v>
      </c>
      <c r="Q2072" s="182"/>
      <c r="R2072" s="554"/>
      <c r="S2072" s="113">
        <f t="shared" si="877"/>
        <v>0</v>
      </c>
      <c r="T2072" s="113">
        <f t="shared" si="878"/>
        <v>0</v>
      </c>
      <c r="U2072" s="557">
        <f t="shared" si="879"/>
        <v>0</v>
      </c>
    </row>
    <row r="2073" spans="1:21" s="552" customFormat="1" ht="15" customHeight="1">
      <c r="A2073" s="621"/>
      <c r="B2073" s="622" t="s">
        <v>4431</v>
      </c>
      <c r="C2073" s="633" t="str">
        <f t="shared" si="880"/>
        <v xml:space="preserve"> </v>
      </c>
      <c r="D2073" s="553"/>
      <c r="E2073" s="694" t="str">
        <f>VLOOKUP($B2073,dongia1,DG!$C$5,)</f>
        <v>Ghíp nối IPC 35-35</v>
      </c>
      <c r="F2073" s="555" t="str">
        <f>VLOOKUP($B2073,dongia1,DG!$D$5,)</f>
        <v>cái</v>
      </c>
      <c r="G2073" s="560">
        <f>ppht_NC!EI14</f>
        <v>0</v>
      </c>
      <c r="H2073" s="556">
        <f>G2073</f>
        <v>0</v>
      </c>
      <c r="I2073" s="556"/>
      <c r="J2073" s="556"/>
      <c r="K2073" s="556"/>
      <c r="L2073" s="556"/>
      <c r="M2073" s="556">
        <f t="shared" si="865"/>
        <v>0</v>
      </c>
      <c r="N2073" s="556"/>
      <c r="O2073" s="556"/>
      <c r="P2073" s="182">
        <f>VLOOKUP($B2073,dongia1,DG!$F$5,)</f>
        <v>22500</v>
      </c>
      <c r="Q2073" s="182"/>
      <c r="R2073" s="554"/>
      <c r="S2073" s="113">
        <f>$G2073*P2073</f>
        <v>0</v>
      </c>
      <c r="T2073" s="113">
        <f>$G2073*Q2073</f>
        <v>0</v>
      </c>
      <c r="U2073" s="557">
        <f>$G2073*R2073</f>
        <v>0</v>
      </c>
    </row>
    <row r="2074" spans="1:21" s="552" customFormat="1" ht="15" customHeight="1">
      <c r="A2074" s="621"/>
      <c r="B2074" s="622" t="s">
        <v>3771</v>
      </c>
      <c r="C2074" s="633" t="str">
        <f t="shared" si="880"/>
        <v xml:space="preserve"> </v>
      </c>
      <c r="D2074" s="553"/>
      <c r="E2074" s="694" t="str">
        <f>VLOOKUP($B2074,dongia1,DG!$C$5,)</f>
        <v>Nắp bịt đầu cáp ABC150mm2</v>
      </c>
      <c r="F2074" s="555" t="str">
        <f>VLOOKUP($B2074,dongia1,DG!$D$5,)</f>
        <v>cái</v>
      </c>
      <c r="G2074" s="560">
        <f>ppht_NC!EJ$14</f>
        <v>0</v>
      </c>
      <c r="H2074" s="556">
        <f t="shared" si="876"/>
        <v>0</v>
      </c>
      <c r="I2074" s="556"/>
      <c r="J2074" s="556"/>
      <c r="K2074" s="556"/>
      <c r="L2074" s="556"/>
      <c r="M2074" s="556">
        <f t="shared" si="865"/>
        <v>0</v>
      </c>
      <c r="N2074" s="556"/>
      <c r="O2074" s="556"/>
      <c r="P2074" s="182">
        <f>VLOOKUP($B2074,dongia1,DG!$F$5,)</f>
        <v>3000</v>
      </c>
      <c r="Q2074" s="182"/>
      <c r="R2074" s="554"/>
      <c r="S2074" s="113">
        <f t="shared" si="877"/>
        <v>0</v>
      </c>
      <c r="T2074" s="113">
        <f t="shared" si="878"/>
        <v>0</v>
      </c>
      <c r="U2074" s="557">
        <f t="shared" si="879"/>
        <v>0</v>
      </c>
    </row>
    <row r="2075" spans="1:21" s="552" customFormat="1" ht="15" customHeight="1">
      <c r="A2075" s="621"/>
      <c r="B2075" s="622" t="s">
        <v>3772</v>
      </c>
      <c r="C2075" s="633" t="str">
        <f t="shared" si="880"/>
        <v xml:space="preserve"> </v>
      </c>
      <c r="D2075" s="553"/>
      <c r="E2075" s="694" t="str">
        <f>VLOOKUP($B2075,dongia1,DG!$C$5,)</f>
        <v>Nắp bịt đầu cáp ABC120mm2</v>
      </c>
      <c r="F2075" s="555" t="str">
        <f>VLOOKUP($B2075,dongia1,DG!$D$5,)</f>
        <v>cái</v>
      </c>
      <c r="G2075" s="560">
        <f>ppht_NC!EK$14</f>
        <v>0</v>
      </c>
      <c r="H2075" s="556">
        <f t="shared" si="876"/>
        <v>0</v>
      </c>
      <c r="I2075" s="556"/>
      <c r="J2075" s="556"/>
      <c r="K2075" s="556"/>
      <c r="L2075" s="556"/>
      <c r="M2075" s="556">
        <f t="shared" si="865"/>
        <v>0</v>
      </c>
      <c r="N2075" s="556"/>
      <c r="O2075" s="556"/>
      <c r="P2075" s="182">
        <f>VLOOKUP($B2075,dongia1,DG!$F$5,)</f>
        <v>3000</v>
      </c>
      <c r="Q2075" s="182"/>
      <c r="R2075" s="554"/>
      <c r="S2075" s="113">
        <f t="shared" si="877"/>
        <v>0</v>
      </c>
      <c r="T2075" s="113">
        <f t="shared" si="878"/>
        <v>0</v>
      </c>
      <c r="U2075" s="557">
        <f t="shared" si="879"/>
        <v>0</v>
      </c>
    </row>
    <row r="2076" spans="1:21" s="552" customFormat="1" ht="15" customHeight="1">
      <c r="A2076" s="621"/>
      <c r="B2076" s="622" t="s">
        <v>3773</v>
      </c>
      <c r="C2076" s="633" t="str">
        <f t="shared" si="880"/>
        <v xml:space="preserve"> </v>
      </c>
      <c r="D2076" s="553"/>
      <c r="E2076" s="694" t="str">
        <f>VLOOKUP($B2076,dongia1,DG!$C$5,)</f>
        <v>Nắp bịt đầu cáp ABC95mm2</v>
      </c>
      <c r="F2076" s="555" t="str">
        <f>VLOOKUP($B2076,dongia1,DG!$D$5,)</f>
        <v>cái</v>
      </c>
      <c r="G2076" s="560">
        <f>ppht_NC!EL$14</f>
        <v>0</v>
      </c>
      <c r="H2076" s="556">
        <f t="shared" si="876"/>
        <v>0</v>
      </c>
      <c r="I2076" s="556"/>
      <c r="J2076" s="556"/>
      <c r="K2076" s="556"/>
      <c r="L2076" s="556"/>
      <c r="M2076" s="556">
        <f t="shared" si="865"/>
        <v>0</v>
      </c>
      <c r="N2076" s="556"/>
      <c r="O2076" s="556"/>
      <c r="P2076" s="182">
        <f>VLOOKUP($B2076,dongia1,DG!$F$5,)</f>
        <v>3000</v>
      </c>
      <c r="Q2076" s="182"/>
      <c r="R2076" s="554"/>
      <c r="S2076" s="113">
        <f t="shared" si="877"/>
        <v>0</v>
      </c>
      <c r="T2076" s="113">
        <f t="shared" si="878"/>
        <v>0</v>
      </c>
      <c r="U2076" s="557">
        <f t="shared" si="879"/>
        <v>0</v>
      </c>
    </row>
    <row r="2077" spans="1:21" s="552" customFormat="1" ht="15" customHeight="1">
      <c r="A2077" s="621"/>
      <c r="B2077" s="622" t="s">
        <v>3774</v>
      </c>
      <c r="C2077" s="633" t="str">
        <f t="shared" si="880"/>
        <v xml:space="preserve"> </v>
      </c>
      <c r="D2077" s="553"/>
      <c r="E2077" s="694" t="str">
        <f>VLOOKUP($B2077,dongia1,DG!$C$5,)</f>
        <v>Nắp bịt đầu cáp ABC70mm2</v>
      </c>
      <c r="F2077" s="555" t="str">
        <f>VLOOKUP($B2077,dongia1,DG!$D$5,)</f>
        <v>cái</v>
      </c>
      <c r="G2077" s="560">
        <f>ppht_NC!EM$14</f>
        <v>0</v>
      </c>
      <c r="H2077" s="556">
        <f t="shared" si="876"/>
        <v>0</v>
      </c>
      <c r="I2077" s="556"/>
      <c r="J2077" s="556"/>
      <c r="K2077" s="556"/>
      <c r="L2077" s="556"/>
      <c r="M2077" s="556">
        <f t="shared" si="865"/>
        <v>0</v>
      </c>
      <c r="N2077" s="556"/>
      <c r="O2077" s="556"/>
      <c r="P2077" s="182">
        <f>VLOOKUP($B2077,dongia1,DG!$F$5,)</f>
        <v>3000</v>
      </c>
      <c r="Q2077" s="182"/>
      <c r="R2077" s="554"/>
      <c r="S2077" s="113">
        <f t="shared" si="877"/>
        <v>0</v>
      </c>
      <c r="T2077" s="113">
        <f t="shared" si="878"/>
        <v>0</v>
      </c>
      <c r="U2077" s="718">
        <f t="shared" si="879"/>
        <v>0</v>
      </c>
    </row>
    <row r="2078" spans="1:21" s="552" customFormat="1" ht="15" customHeight="1">
      <c r="A2078" s="621"/>
      <c r="B2078" s="622" t="s">
        <v>3775</v>
      </c>
      <c r="C2078" s="633" t="str">
        <f t="shared" si="880"/>
        <v xml:space="preserve"> </v>
      </c>
      <c r="D2078" s="553"/>
      <c r="E2078" s="694" t="str">
        <f>VLOOKUP($B2078,dongia1,DG!$C$5,)</f>
        <v>Nắp bịt đầu cáp ABC50mm2</v>
      </c>
      <c r="F2078" s="555" t="str">
        <f>VLOOKUP($B2078,dongia1,DG!$D$5,)</f>
        <v>cái</v>
      </c>
      <c r="G2078" s="560">
        <f>ppht_NC!EN$14</f>
        <v>0</v>
      </c>
      <c r="H2078" s="556">
        <f t="shared" si="876"/>
        <v>0</v>
      </c>
      <c r="I2078" s="556"/>
      <c r="J2078" s="556"/>
      <c r="K2078" s="556"/>
      <c r="L2078" s="556"/>
      <c r="M2078" s="556">
        <f t="shared" si="865"/>
        <v>0</v>
      </c>
      <c r="N2078" s="556"/>
      <c r="O2078" s="556"/>
      <c r="P2078" s="182">
        <f>VLOOKUP($B2078,dongia1,DG!$F$5,)</f>
        <v>3000</v>
      </c>
      <c r="Q2078" s="182"/>
      <c r="R2078" s="554"/>
      <c r="S2078" s="113">
        <f t="shared" si="877"/>
        <v>0</v>
      </c>
      <c r="T2078" s="113">
        <f t="shared" si="878"/>
        <v>0</v>
      </c>
      <c r="U2078" s="715">
        <f t="shared" si="879"/>
        <v>0</v>
      </c>
    </row>
    <row r="2079" spans="1:21" s="552" customFormat="1" ht="15" customHeight="1">
      <c r="A2079" s="621"/>
      <c r="B2079" s="622" t="s">
        <v>3793</v>
      </c>
      <c r="C2079" s="633" t="str">
        <f t="shared" si="880"/>
        <v xml:space="preserve"> </v>
      </c>
      <c r="D2079" s="553"/>
      <c r="E2079" s="694" t="str">
        <f>VLOOKUP($B2079,dongia1,DG!$C$5,)</f>
        <v>Kẹp treo cáp ABC4x150mm2</v>
      </c>
      <c r="F2079" s="555" t="str">
        <f>VLOOKUP($B2079,dongia1,DG!$D$5,)</f>
        <v>cái</v>
      </c>
      <c r="G2079" s="560">
        <f>ppht_NC!EO$14</f>
        <v>0</v>
      </c>
      <c r="H2079" s="556">
        <f t="shared" si="876"/>
        <v>0</v>
      </c>
      <c r="I2079" s="556"/>
      <c r="J2079" s="556"/>
      <c r="K2079" s="556"/>
      <c r="L2079" s="556"/>
      <c r="M2079" s="556">
        <f t="shared" si="865"/>
        <v>0</v>
      </c>
      <c r="N2079" s="556"/>
      <c r="O2079" s="556"/>
      <c r="P2079" s="182">
        <f>VLOOKUP($B2079,dongia1,DG!$F$5,)</f>
        <v>27200</v>
      </c>
      <c r="Q2079" s="182"/>
      <c r="R2079" s="554"/>
      <c r="S2079" s="113">
        <f t="shared" si="877"/>
        <v>0</v>
      </c>
      <c r="T2079" s="113">
        <f t="shared" si="878"/>
        <v>0</v>
      </c>
      <c r="U2079" s="557">
        <f t="shared" si="879"/>
        <v>0</v>
      </c>
    </row>
    <row r="2080" spans="1:21" s="552" customFormat="1" ht="15" customHeight="1">
      <c r="A2080" s="621"/>
      <c r="B2080" s="622" t="s">
        <v>3792</v>
      </c>
      <c r="C2080" s="633" t="str">
        <f t="shared" si="880"/>
        <v xml:space="preserve"> </v>
      </c>
      <c r="D2080" s="553"/>
      <c r="E2080" s="694" t="str">
        <f>VLOOKUP($B2080,dongia1,DG!$C$5,)</f>
        <v>Kẹp treo cáp ABC4x120mm2</v>
      </c>
      <c r="F2080" s="555" t="str">
        <f>VLOOKUP($B2080,dongia1,DG!$D$5,)</f>
        <v>cái</v>
      </c>
      <c r="G2080" s="560">
        <f>ppht_NC!EP$14</f>
        <v>0</v>
      </c>
      <c r="H2080" s="556">
        <f t="shared" si="876"/>
        <v>0</v>
      </c>
      <c r="I2080" s="556"/>
      <c r="J2080" s="556"/>
      <c r="K2080" s="556"/>
      <c r="L2080" s="556"/>
      <c r="M2080" s="556">
        <f t="shared" si="865"/>
        <v>0</v>
      </c>
      <c r="N2080" s="556"/>
      <c r="O2080" s="556"/>
      <c r="P2080" s="182">
        <f>VLOOKUP($B2080,dongia1,DG!$F$5,)</f>
        <v>29000</v>
      </c>
      <c r="Q2080" s="182"/>
      <c r="R2080" s="554"/>
      <c r="S2080" s="113">
        <f t="shared" si="877"/>
        <v>0</v>
      </c>
      <c r="T2080" s="113">
        <f t="shared" si="878"/>
        <v>0</v>
      </c>
      <c r="U2080" s="557">
        <f t="shared" si="879"/>
        <v>0</v>
      </c>
    </row>
    <row r="2081" spans="1:21" s="552" customFormat="1" ht="15" customHeight="1">
      <c r="A2081" s="621"/>
      <c r="B2081" s="622" t="s">
        <v>3791</v>
      </c>
      <c r="C2081" s="633" t="str">
        <f t="shared" si="880"/>
        <v xml:space="preserve"> </v>
      </c>
      <c r="D2081" s="553"/>
      <c r="E2081" s="694" t="str">
        <f>VLOOKUP($B2081,dongia1,DG!$C$5,)</f>
        <v>Kẹp treo cáp ABC4x95mm2</v>
      </c>
      <c r="F2081" s="555" t="str">
        <f>VLOOKUP($B2081,dongia1,DG!$D$5,)</f>
        <v>cái</v>
      </c>
      <c r="G2081" s="560">
        <f>ppht_NC!EQ$14</f>
        <v>0</v>
      </c>
      <c r="H2081" s="556">
        <f t="shared" si="876"/>
        <v>0</v>
      </c>
      <c r="I2081" s="556"/>
      <c r="J2081" s="556"/>
      <c r="K2081" s="556"/>
      <c r="L2081" s="556"/>
      <c r="M2081" s="556">
        <f t="shared" si="865"/>
        <v>0</v>
      </c>
      <c r="N2081" s="556"/>
      <c r="O2081" s="556"/>
      <c r="P2081" s="182">
        <f>VLOOKUP($B2081,dongia1,DG!$F$5,)</f>
        <v>27000</v>
      </c>
      <c r="Q2081" s="182"/>
      <c r="R2081" s="554"/>
      <c r="S2081" s="113">
        <f t="shared" si="877"/>
        <v>0</v>
      </c>
      <c r="T2081" s="113">
        <f t="shared" si="878"/>
        <v>0</v>
      </c>
      <c r="U2081" s="557">
        <f t="shared" si="879"/>
        <v>0</v>
      </c>
    </row>
    <row r="2082" spans="1:21" s="552" customFormat="1" ht="15" customHeight="1">
      <c r="A2082" s="621"/>
      <c r="B2082" s="622" t="s">
        <v>3790</v>
      </c>
      <c r="C2082" s="633" t="str">
        <f t="shared" si="880"/>
        <v xml:space="preserve"> </v>
      </c>
      <c r="D2082" s="553"/>
      <c r="E2082" s="694" t="str">
        <f>VLOOKUP($B2082,dongia1,DG!$C$5,)</f>
        <v>Kẹp treo cáp ABC4x70mm2</v>
      </c>
      <c r="F2082" s="555" t="str">
        <f>VLOOKUP($B2082,dongia1,DG!$D$5,)</f>
        <v>cái</v>
      </c>
      <c r="G2082" s="560">
        <f>ppht_NC!ER$14</f>
        <v>0</v>
      </c>
      <c r="H2082" s="556">
        <f t="shared" si="876"/>
        <v>0</v>
      </c>
      <c r="I2082" s="556"/>
      <c r="J2082" s="556"/>
      <c r="K2082" s="556"/>
      <c r="L2082" s="556"/>
      <c r="M2082" s="556">
        <f t="shared" si="865"/>
        <v>0</v>
      </c>
      <c r="N2082" s="556"/>
      <c r="O2082" s="556"/>
      <c r="P2082" s="182">
        <f>VLOOKUP($B2082,dongia1,DG!$F$5,)</f>
        <v>27000</v>
      </c>
      <c r="Q2082" s="182"/>
      <c r="R2082" s="554"/>
      <c r="S2082" s="113">
        <f t="shared" si="877"/>
        <v>0</v>
      </c>
      <c r="T2082" s="113">
        <f t="shared" si="878"/>
        <v>0</v>
      </c>
      <c r="U2082" s="718">
        <f t="shared" si="879"/>
        <v>0</v>
      </c>
    </row>
    <row r="2083" spans="1:21" s="552" customFormat="1" ht="15" customHeight="1">
      <c r="A2083" s="621"/>
      <c r="B2083" s="622" t="s">
        <v>3789</v>
      </c>
      <c r="C2083" s="633" t="str">
        <f t="shared" si="880"/>
        <v xml:space="preserve"> </v>
      </c>
      <c r="D2083" s="553"/>
      <c r="E2083" s="694" t="str">
        <f>VLOOKUP($B2083,dongia1,DG!$C$5,)</f>
        <v>Kẹp treo cáp ABC4x50mm2</v>
      </c>
      <c r="F2083" s="555" t="str">
        <f>VLOOKUP($B2083,dongia1,DG!$D$5,)</f>
        <v>cái</v>
      </c>
      <c r="G2083" s="560">
        <f>ppht_NC!ES$14</f>
        <v>0</v>
      </c>
      <c r="H2083" s="556">
        <f t="shared" si="876"/>
        <v>0</v>
      </c>
      <c r="I2083" s="556"/>
      <c r="J2083" s="556"/>
      <c r="K2083" s="556"/>
      <c r="L2083" s="556"/>
      <c r="M2083" s="556">
        <f t="shared" si="865"/>
        <v>0</v>
      </c>
      <c r="N2083" s="556"/>
      <c r="O2083" s="556"/>
      <c r="P2083" s="182">
        <f>VLOOKUP($B2083,dongia1,DG!$F$5,)</f>
        <v>31815</v>
      </c>
      <c r="Q2083" s="182"/>
      <c r="R2083" s="554"/>
      <c r="S2083" s="113">
        <f t="shared" si="877"/>
        <v>0</v>
      </c>
      <c r="T2083" s="113">
        <f t="shared" si="878"/>
        <v>0</v>
      </c>
      <c r="U2083" s="715">
        <f t="shared" si="879"/>
        <v>0</v>
      </c>
    </row>
    <row r="2084" spans="1:21" s="552" customFormat="1" ht="15" customHeight="1">
      <c r="A2084" s="621"/>
      <c r="B2084" s="622" t="s">
        <v>3784</v>
      </c>
      <c r="C2084" s="633" t="str">
        <f t="shared" si="880"/>
        <v xml:space="preserve"> </v>
      </c>
      <c r="D2084" s="553"/>
      <c r="E2084" s="694" t="str">
        <f>VLOOKUP($B2084,dongia1,DG!$C$5,)</f>
        <v>Kẹp ngừng cáp ABC4x150mm2</v>
      </c>
      <c r="F2084" s="555" t="str">
        <f>VLOOKUP($B2084,dongia1,DG!$D$5,)</f>
        <v>cái</v>
      </c>
      <c r="G2084" s="560">
        <f>ppht_NC!ET$14</f>
        <v>0</v>
      </c>
      <c r="H2084" s="556">
        <f t="shared" si="876"/>
        <v>0</v>
      </c>
      <c r="I2084" s="556"/>
      <c r="J2084" s="556"/>
      <c r="K2084" s="556"/>
      <c r="L2084" s="556"/>
      <c r="M2084" s="556">
        <f t="shared" si="865"/>
        <v>0</v>
      </c>
      <c r="N2084" s="556"/>
      <c r="O2084" s="556"/>
      <c r="P2084" s="182">
        <f>VLOOKUP($B2084,dongia1,DG!$F$5,)</f>
        <v>51500</v>
      </c>
      <c r="Q2084" s="182"/>
      <c r="R2084" s="554"/>
      <c r="S2084" s="113">
        <f t="shared" si="877"/>
        <v>0</v>
      </c>
      <c r="T2084" s="113">
        <f t="shared" si="878"/>
        <v>0</v>
      </c>
      <c r="U2084" s="557">
        <f t="shared" si="879"/>
        <v>0</v>
      </c>
    </row>
    <row r="2085" spans="1:21" s="552" customFormat="1" ht="15" customHeight="1">
      <c r="A2085" s="621"/>
      <c r="B2085" s="622" t="s">
        <v>3783</v>
      </c>
      <c r="C2085" s="633" t="str">
        <f t="shared" si="880"/>
        <v xml:space="preserve"> </v>
      </c>
      <c r="D2085" s="553"/>
      <c r="E2085" s="694" t="str">
        <f>VLOOKUP($B2085,dongia1,DG!$C$5,)</f>
        <v>Kẹp ngừng cáp ABC4x120mm2</v>
      </c>
      <c r="F2085" s="555" t="str">
        <f>VLOOKUP($B2085,dongia1,DG!$D$5,)</f>
        <v>cái</v>
      </c>
      <c r="G2085" s="560">
        <f>ppht_NC!EU$14</f>
        <v>0</v>
      </c>
      <c r="H2085" s="556">
        <f t="shared" si="876"/>
        <v>0</v>
      </c>
      <c r="I2085" s="556"/>
      <c r="J2085" s="556"/>
      <c r="K2085" s="556"/>
      <c r="L2085" s="556"/>
      <c r="M2085" s="556">
        <f t="shared" si="865"/>
        <v>0</v>
      </c>
      <c r="N2085" s="556"/>
      <c r="O2085" s="556"/>
      <c r="P2085" s="182">
        <f>VLOOKUP($B2085,dongia1,DG!$F$5,)</f>
        <v>74000</v>
      </c>
      <c r="Q2085" s="182"/>
      <c r="R2085" s="554"/>
      <c r="S2085" s="113">
        <f t="shared" si="877"/>
        <v>0</v>
      </c>
      <c r="T2085" s="113">
        <f t="shared" si="878"/>
        <v>0</v>
      </c>
      <c r="U2085" s="557">
        <f t="shared" si="879"/>
        <v>0</v>
      </c>
    </row>
    <row r="2086" spans="1:21" s="552" customFormat="1" ht="15" customHeight="1">
      <c r="A2086" s="621"/>
      <c r="B2086" s="622" t="s">
        <v>3782</v>
      </c>
      <c r="C2086" s="633" t="str">
        <f t="shared" si="880"/>
        <v xml:space="preserve"> </v>
      </c>
      <c r="D2086" s="553"/>
      <c r="E2086" s="694" t="str">
        <f>VLOOKUP($B2086,dongia1,DG!$C$5,)</f>
        <v>Kẹp ngừng cáp ABC4x95mm2</v>
      </c>
      <c r="F2086" s="555" t="str">
        <f>VLOOKUP($B2086,dongia1,DG!$D$5,)</f>
        <v>cái</v>
      </c>
      <c r="G2086" s="560">
        <f>ppht_NC!EV$14</f>
        <v>0</v>
      </c>
      <c r="H2086" s="556">
        <f t="shared" si="876"/>
        <v>0</v>
      </c>
      <c r="I2086" s="556"/>
      <c r="J2086" s="556"/>
      <c r="K2086" s="556"/>
      <c r="L2086" s="556"/>
      <c r="M2086" s="556">
        <f t="shared" si="865"/>
        <v>0</v>
      </c>
      <c r="N2086" s="556"/>
      <c r="O2086" s="556"/>
      <c r="P2086" s="182">
        <f>VLOOKUP($B2086,dongia1,DG!$F$5,)</f>
        <v>50000</v>
      </c>
      <c r="Q2086" s="182"/>
      <c r="R2086" s="554"/>
      <c r="S2086" s="113">
        <f t="shared" si="877"/>
        <v>0</v>
      </c>
      <c r="T2086" s="113">
        <f t="shared" si="878"/>
        <v>0</v>
      </c>
      <c r="U2086" s="557">
        <f t="shared" si="879"/>
        <v>0</v>
      </c>
    </row>
    <row r="2087" spans="1:21" s="552" customFormat="1" ht="15" customHeight="1">
      <c r="A2087" s="621"/>
      <c r="B2087" s="622" t="s">
        <v>3781</v>
      </c>
      <c r="C2087" s="633" t="str">
        <f t="shared" si="880"/>
        <v xml:space="preserve"> </v>
      </c>
      <c r="D2087" s="553"/>
      <c r="E2087" s="694" t="str">
        <f>VLOOKUP($B2087,dongia1,DG!$C$5,)</f>
        <v>Kẹp ngừng cáp ABC4x70mm2</v>
      </c>
      <c r="F2087" s="555" t="str">
        <f>VLOOKUP($B2087,dongia1,DG!$D$5,)</f>
        <v>cái</v>
      </c>
      <c r="G2087" s="560">
        <f>ppht_NC!EW$14</f>
        <v>0</v>
      </c>
      <c r="H2087" s="556">
        <f t="shared" si="876"/>
        <v>0</v>
      </c>
      <c r="I2087" s="556"/>
      <c r="J2087" s="556"/>
      <c r="K2087" s="556"/>
      <c r="L2087" s="556"/>
      <c r="M2087" s="556">
        <f t="shared" si="865"/>
        <v>0</v>
      </c>
      <c r="N2087" s="556"/>
      <c r="O2087" s="556"/>
      <c r="P2087" s="182">
        <f>VLOOKUP($B2087,dongia1,DG!$F$5,)</f>
        <v>50000</v>
      </c>
      <c r="Q2087" s="182"/>
      <c r="R2087" s="554"/>
      <c r="S2087" s="113">
        <f t="shared" si="877"/>
        <v>0</v>
      </c>
      <c r="T2087" s="113">
        <f t="shared" si="878"/>
        <v>0</v>
      </c>
      <c r="U2087" s="718">
        <f t="shared" si="879"/>
        <v>0</v>
      </c>
    </row>
    <row r="2088" spans="1:21" s="552" customFormat="1" ht="15" customHeight="1">
      <c r="A2088" s="621"/>
      <c r="B2088" s="622" t="s">
        <v>3780</v>
      </c>
      <c r="C2088" s="633" t="str">
        <f t="shared" si="880"/>
        <v xml:space="preserve"> </v>
      </c>
      <c r="D2088" s="553"/>
      <c r="E2088" s="694" t="str">
        <f>VLOOKUP($B2088,dongia1,DG!$C$5,)</f>
        <v>Kẹp ngừng cáp ABC4x50mm2</v>
      </c>
      <c r="F2088" s="555" t="str">
        <f>VLOOKUP($B2088,dongia1,DG!$D$5,)</f>
        <v>cái</v>
      </c>
      <c r="G2088" s="560">
        <f>ppht_NC!EX$14</f>
        <v>0</v>
      </c>
      <c r="H2088" s="556">
        <f t="shared" si="876"/>
        <v>0</v>
      </c>
      <c r="I2088" s="556"/>
      <c r="J2088" s="556"/>
      <c r="K2088" s="556"/>
      <c r="L2088" s="556"/>
      <c r="M2088" s="556">
        <f t="shared" si="865"/>
        <v>0</v>
      </c>
      <c r="N2088" s="556"/>
      <c r="O2088" s="556"/>
      <c r="P2088" s="182">
        <f>VLOOKUP($B2088,dongia1,DG!$F$5,)</f>
        <v>56910</v>
      </c>
      <c r="Q2088" s="182"/>
      <c r="R2088" s="554"/>
      <c r="S2088" s="113">
        <f t="shared" si="877"/>
        <v>0</v>
      </c>
      <c r="T2088" s="113">
        <f t="shared" si="878"/>
        <v>0</v>
      </c>
      <c r="U2088" s="715">
        <f t="shared" si="879"/>
        <v>0</v>
      </c>
    </row>
    <row r="2089" spans="1:21" s="552" customFormat="1" ht="15" customHeight="1">
      <c r="A2089" s="621"/>
      <c r="B2089" s="622" t="s">
        <v>3769</v>
      </c>
      <c r="C2089" s="633" t="str">
        <f t="shared" si="880"/>
        <v xml:space="preserve"> </v>
      </c>
      <c r="D2089" s="553"/>
      <c r="E2089" s="694" t="str">
        <f>VLOOKUP($B2089,dongia1,DG!$C$5,)</f>
        <v>Hộp phân phối 9 cực rỗng</v>
      </c>
      <c r="F2089" s="555" t="str">
        <f>VLOOKUP($B2089,dongia1,DG!$D$5,)</f>
        <v>cái</v>
      </c>
      <c r="G2089" s="560">
        <f>ppht_NC!EY$14</f>
        <v>0</v>
      </c>
      <c r="H2089" s="556">
        <f t="shared" si="876"/>
        <v>0</v>
      </c>
      <c r="I2089" s="556"/>
      <c r="J2089" s="556"/>
      <c r="K2089" s="556"/>
      <c r="L2089" s="556"/>
      <c r="M2089" s="556">
        <f t="shared" si="865"/>
        <v>0</v>
      </c>
      <c r="N2089" s="556"/>
      <c r="O2089" s="556"/>
      <c r="P2089" s="182">
        <f>VLOOKUP($B2089,dongia1,DG!$F$5,)</f>
        <v>315000</v>
      </c>
      <c r="Q2089" s="182"/>
      <c r="R2089" s="554"/>
      <c r="S2089" s="113">
        <f t="shared" si="877"/>
        <v>0</v>
      </c>
      <c r="T2089" s="113">
        <f t="shared" si="878"/>
        <v>0</v>
      </c>
      <c r="U2089" s="557">
        <f t="shared" si="879"/>
        <v>0</v>
      </c>
    </row>
    <row r="2090" spans="1:21" s="552" customFormat="1" ht="15" customHeight="1">
      <c r="A2090" s="621"/>
      <c r="B2090" s="622" t="s">
        <v>3770</v>
      </c>
      <c r="C2090" s="633" t="str">
        <f t="shared" ref="C2090:C2121" si="881">IF(G2090&lt;&gt;0,$C$2025," ")</f>
        <v xml:space="preserve"> </v>
      </c>
      <c r="D2090" s="553"/>
      <c r="E2090" s="694" t="str">
        <f>VLOOKUP($B2090,dongia1,DG!$C$5,)</f>
        <v>Hộp phân phối 6 cực rỗng</v>
      </c>
      <c r="F2090" s="555" t="str">
        <f>VLOOKUP($B2090,dongia1,DG!$D$5,)</f>
        <v>cái</v>
      </c>
      <c r="G2090" s="560">
        <f>ppht_NC!EZ$14</f>
        <v>0</v>
      </c>
      <c r="H2090" s="556">
        <f t="shared" si="876"/>
        <v>0</v>
      </c>
      <c r="I2090" s="556"/>
      <c r="J2090" s="556"/>
      <c r="K2090" s="556"/>
      <c r="L2090" s="556"/>
      <c r="M2090" s="556">
        <f t="shared" si="865"/>
        <v>0</v>
      </c>
      <c r="N2090" s="556"/>
      <c r="O2090" s="556"/>
      <c r="P2090" s="182">
        <f>VLOOKUP($B2090,dongia1,DG!$F$5,)</f>
        <v>305000</v>
      </c>
      <c r="Q2090" s="182"/>
      <c r="R2090" s="554"/>
      <c r="S2090" s="113">
        <f t="shared" si="877"/>
        <v>0</v>
      </c>
      <c r="T2090" s="113">
        <f t="shared" si="878"/>
        <v>0</v>
      </c>
      <c r="U2090" s="557">
        <f t="shared" si="879"/>
        <v>0</v>
      </c>
    </row>
    <row r="2091" spans="1:21" s="552" customFormat="1" ht="15" customHeight="1">
      <c r="A2091" s="621"/>
      <c r="B2091" s="563" t="s">
        <v>4101</v>
      </c>
      <c r="C2091" s="633" t="str">
        <f t="shared" si="881"/>
        <v xml:space="preserve"> </v>
      </c>
      <c r="D2091" s="553"/>
      <c r="E2091" s="694" t="str">
        <f>VLOOKUP($B2091,dongia1,DG!$C$5,)</f>
        <v>CB tép 63A</v>
      </c>
      <c r="F2091" s="555" t="str">
        <f>VLOOKUP($B2091,dongia1,DG!$D$5,)</f>
        <v>cái</v>
      </c>
      <c r="G2091" s="560">
        <f>ppht_NC!FB$14</f>
        <v>0</v>
      </c>
      <c r="H2091" s="556">
        <f t="shared" si="876"/>
        <v>0</v>
      </c>
      <c r="I2091" s="556"/>
      <c r="J2091" s="556"/>
      <c r="K2091" s="556"/>
      <c r="L2091" s="556"/>
      <c r="M2091" s="556">
        <f t="shared" si="865"/>
        <v>0</v>
      </c>
      <c r="N2091" s="556"/>
      <c r="O2091" s="556"/>
      <c r="P2091" s="182">
        <f>VLOOKUP($B2091,dongia1,DG!$F$5,)</f>
        <v>70000</v>
      </c>
      <c r="Q2091" s="182"/>
      <c r="R2091" s="554"/>
      <c r="S2091" s="113">
        <f t="shared" si="877"/>
        <v>0</v>
      </c>
      <c r="T2091" s="113">
        <f t="shared" si="878"/>
        <v>0</v>
      </c>
      <c r="U2091" s="718">
        <f t="shared" si="879"/>
        <v>0</v>
      </c>
    </row>
    <row r="2092" spans="1:21" s="552" customFormat="1" ht="15" customHeight="1">
      <c r="A2092" s="621"/>
      <c r="B2092" s="563" t="s">
        <v>4103</v>
      </c>
      <c r="C2092" s="633" t="str">
        <f t="shared" si="881"/>
        <v xml:space="preserve"> </v>
      </c>
      <c r="D2092" s="553"/>
      <c r="E2092" s="694" t="str">
        <f>VLOOKUP($B2092,dongia1,DG!$C$5,)</f>
        <v>CB tép 32A</v>
      </c>
      <c r="F2092" s="555" t="str">
        <f>VLOOKUP($B2092,dongia1,DG!$D$5,)</f>
        <v>cái</v>
      </c>
      <c r="G2092" s="560">
        <f>ppht_NC!FC$14</f>
        <v>0</v>
      </c>
      <c r="H2092" s="556">
        <f t="shared" si="876"/>
        <v>0</v>
      </c>
      <c r="I2092" s="556"/>
      <c r="J2092" s="556"/>
      <c r="K2092" s="556"/>
      <c r="L2092" s="556"/>
      <c r="M2092" s="556">
        <f t="shared" si="865"/>
        <v>0</v>
      </c>
      <c r="N2092" s="556"/>
      <c r="O2092" s="556"/>
      <c r="P2092" s="182">
        <f>VLOOKUP($B2092,dongia1,DG!$F$5,)</f>
        <v>75000</v>
      </c>
      <c r="Q2092" s="182"/>
      <c r="R2092" s="554"/>
      <c r="S2092" s="113">
        <f t="shared" si="877"/>
        <v>0</v>
      </c>
      <c r="T2092" s="113">
        <f t="shared" si="878"/>
        <v>0</v>
      </c>
      <c r="U2092" s="715">
        <f t="shared" si="879"/>
        <v>0</v>
      </c>
    </row>
    <row r="2093" spans="1:21" s="552" customFormat="1" ht="15" customHeight="1">
      <c r="A2093" s="621"/>
      <c r="B2093" s="622" t="s">
        <v>2012</v>
      </c>
      <c r="C2093" s="633" t="str">
        <f t="shared" si="881"/>
        <v xml:space="preserve"> </v>
      </c>
      <c r="D2093" s="553"/>
      <c r="E2093" s="694" t="str">
        <f>VLOOKUP($B2093,dongia1,DG!$C$5,)</f>
        <v xml:space="preserve">Cổ dê trụ đôi 8,4m bắt móc dừng </v>
      </c>
      <c r="F2093" s="555" t="str">
        <f>VLOOKUP($B2093,dongia1,DG!$D$5,)</f>
        <v>bộ</v>
      </c>
      <c r="G2093" s="560">
        <f>ppht_NC!FF$14</f>
        <v>0</v>
      </c>
      <c r="H2093" s="556">
        <f t="shared" si="876"/>
        <v>0</v>
      </c>
      <c r="I2093" s="556"/>
      <c r="J2093" s="556"/>
      <c r="K2093" s="556"/>
      <c r="L2093" s="556"/>
      <c r="M2093" s="556">
        <f t="shared" ref="M2093:M2123" si="882">G2093</f>
        <v>0</v>
      </c>
      <c r="N2093" s="556"/>
      <c r="O2093" s="556"/>
      <c r="P2093" s="182">
        <f>VLOOKUP($B2093,dongia1,DG!$F$5,)</f>
        <v>40000</v>
      </c>
      <c r="Q2093" s="182"/>
      <c r="R2093" s="554"/>
      <c r="S2093" s="113">
        <f t="shared" si="877"/>
        <v>0</v>
      </c>
      <c r="T2093" s="113">
        <f t="shared" si="878"/>
        <v>0</v>
      </c>
      <c r="U2093" s="557">
        <f t="shared" si="879"/>
        <v>0</v>
      </c>
    </row>
    <row r="2094" spans="1:21" s="552" customFormat="1" ht="15" customHeight="1">
      <c r="A2094" s="621"/>
      <c r="B2094" s="622" t="s">
        <v>323</v>
      </c>
      <c r="C2094" s="633" t="str">
        <f t="shared" si="881"/>
        <v xml:space="preserve"> </v>
      </c>
      <c r="D2094" s="553"/>
      <c r="E2094" s="694" t="str">
        <f>VLOOKUP($B2094,dongia1,DG!$C$5,)</f>
        <v xml:space="preserve">Móc dừng </v>
      </c>
      <c r="F2094" s="555" t="str">
        <f>VLOOKUP($B2094,dongia1,DG!$D$5,)</f>
        <v>cái</v>
      </c>
      <c r="G2094" s="560"/>
      <c r="H2094" s="556">
        <f t="shared" si="876"/>
        <v>0</v>
      </c>
      <c r="I2094" s="556"/>
      <c r="J2094" s="556"/>
      <c r="K2094" s="556"/>
      <c r="L2094" s="556"/>
      <c r="M2094" s="556">
        <f t="shared" si="882"/>
        <v>0</v>
      </c>
      <c r="N2094" s="556"/>
      <c r="O2094" s="556"/>
      <c r="P2094" s="182">
        <f>VLOOKUP($B2094,dongia1,DG!$F$5,)</f>
        <v>11400</v>
      </c>
      <c r="Q2094" s="182"/>
      <c r="R2094" s="554"/>
      <c r="S2094" s="113">
        <f t="shared" si="877"/>
        <v>0</v>
      </c>
      <c r="T2094" s="113">
        <f t="shared" si="878"/>
        <v>0</v>
      </c>
      <c r="U2094" s="557">
        <f t="shared" si="879"/>
        <v>0</v>
      </c>
    </row>
    <row r="2095" spans="1:21" s="552" customFormat="1" ht="15" customHeight="1">
      <c r="A2095" s="621"/>
      <c r="B2095" s="622" t="s">
        <v>1932</v>
      </c>
      <c r="C2095" s="633" t="str">
        <f t="shared" si="881"/>
        <v xml:space="preserve"> </v>
      </c>
      <c r="D2095" s="553"/>
      <c r="E2095" s="694" t="str">
        <f>VLOOKUP($B2095,dongia1,DG!$C$5,)</f>
        <v>Móc treo chữ A</v>
      </c>
      <c r="F2095" s="555" t="str">
        <f>VLOOKUP($B2095,dongia1,DG!$D$5,)</f>
        <v>cái</v>
      </c>
      <c r="G2095" s="560">
        <f>ppht_NC!FA14</f>
        <v>0</v>
      </c>
      <c r="H2095" s="556">
        <f>G2095</f>
        <v>0</v>
      </c>
      <c r="I2095" s="556"/>
      <c r="J2095" s="556"/>
      <c r="K2095" s="556"/>
      <c r="L2095" s="556"/>
      <c r="M2095" s="556">
        <f>G2095</f>
        <v>0</v>
      </c>
      <c r="N2095" s="556"/>
      <c r="O2095" s="556"/>
      <c r="P2095" s="182">
        <f>VLOOKUP($B2095,dongia1,DG!$F$5,)</f>
        <v>13800</v>
      </c>
      <c r="Q2095" s="182"/>
      <c r="R2095" s="554"/>
      <c r="S2095" s="113">
        <f>$G2095*P2095</f>
        <v>0</v>
      </c>
      <c r="T2095" s="113">
        <f>$G2095*Q2095</f>
        <v>0</v>
      </c>
      <c r="U2095" s="557">
        <f>$G2095*R2095</f>
        <v>0</v>
      </c>
    </row>
    <row r="2096" spans="1:21" s="552" customFormat="1" ht="15" customHeight="1">
      <c r="A2096" s="621"/>
      <c r="B2096" s="622" t="s">
        <v>1628</v>
      </c>
      <c r="C2096" s="633" t="str">
        <f t="shared" si="881"/>
        <v xml:space="preserve"> </v>
      </c>
      <c r="D2096" s="553"/>
      <c r="E2096" s="694" t="str">
        <f>VLOOKUP($B2096,dongia1,DG!$C$5,)</f>
        <v>Kẹp dừng cáp duplex</v>
      </c>
      <c r="F2096" s="555" t="str">
        <f>VLOOKUP($B2096,dongia1,DG!$D$5,)</f>
        <v>cái</v>
      </c>
      <c r="G2096" s="560">
        <f>ppht_NC!FH$14</f>
        <v>0</v>
      </c>
      <c r="H2096" s="556">
        <f t="shared" si="876"/>
        <v>0</v>
      </c>
      <c r="I2096" s="556"/>
      <c r="J2096" s="556"/>
      <c r="K2096" s="556"/>
      <c r="L2096" s="556"/>
      <c r="M2096" s="556">
        <f t="shared" si="882"/>
        <v>0</v>
      </c>
      <c r="N2096" s="556"/>
      <c r="O2096" s="556"/>
      <c r="P2096" s="182">
        <f>VLOOKUP($B2096,dongia1,DG!$F$5,)</f>
        <v>17000</v>
      </c>
      <c r="Q2096" s="182"/>
      <c r="R2096" s="554"/>
      <c r="S2096" s="113">
        <f t="shared" si="877"/>
        <v>0</v>
      </c>
      <c r="T2096" s="113">
        <f t="shared" si="878"/>
        <v>0</v>
      </c>
      <c r="U2096" s="557">
        <f t="shared" si="879"/>
        <v>0</v>
      </c>
    </row>
    <row r="2097" spans="1:21" s="831" customFormat="1" ht="15" customHeight="1">
      <c r="A2097" s="819"/>
      <c r="B2097" s="820" t="s">
        <v>237</v>
      </c>
      <c r="C2097" s="821" t="str">
        <f t="shared" si="881"/>
        <v xml:space="preserve"> </v>
      </c>
      <c r="D2097" s="822"/>
      <c r="E2097" s="823" t="str">
        <f>VLOOKUP($B2097,dongia1,DG!$C$5,)</f>
        <v>Cáp Duplex AL 2x16mm2</v>
      </c>
      <c r="F2097" s="824" t="str">
        <f>VLOOKUP($B2097,dongia1,DG!$D$5,)</f>
        <v>mét</v>
      </c>
      <c r="G2097" s="825">
        <f>G2091*0.6</f>
        <v>0</v>
      </c>
      <c r="H2097" s="826">
        <f>G2097</f>
        <v>0</v>
      </c>
      <c r="I2097" s="826"/>
      <c r="J2097" s="826"/>
      <c r="K2097" s="826"/>
      <c r="L2097" s="826"/>
      <c r="M2097" s="826">
        <f>G2097</f>
        <v>0</v>
      </c>
      <c r="N2097" s="826"/>
      <c r="O2097" s="826"/>
      <c r="P2097" s="827">
        <f>VLOOKUP($B2097,dongia1,DG!$F$5,)</f>
        <v>8645</v>
      </c>
      <c r="Q2097" s="827"/>
      <c r="R2097" s="828"/>
      <c r="S2097" s="829">
        <f>$G2097*P2097</f>
        <v>0</v>
      </c>
      <c r="T2097" s="829">
        <f>$G2097*Q2097</f>
        <v>0</v>
      </c>
      <c r="U2097" s="830">
        <f>$G2097*R2097</f>
        <v>0</v>
      </c>
    </row>
    <row r="2098" spans="1:21" s="552" customFormat="1" ht="15" customHeight="1">
      <c r="A2098" s="621"/>
      <c r="B2098" s="687" t="s">
        <v>1115</v>
      </c>
      <c r="C2098" s="633" t="str">
        <f t="shared" si="881"/>
        <v xml:space="preserve"> </v>
      </c>
      <c r="D2098" s="553"/>
      <c r="E2098" s="694" t="str">
        <f>VLOOKUP($B2098,dongia1,DG!$C$5,)</f>
        <v>Ghíp nối IPC 70-70</v>
      </c>
      <c r="F2098" s="555" t="str">
        <f>VLOOKUP($B2098,dongia1,DG!$D$5,)</f>
        <v>cái</v>
      </c>
      <c r="G2098" s="560">
        <f>ppht_NC!FI$14</f>
        <v>0</v>
      </c>
      <c r="H2098" s="556">
        <f t="shared" si="876"/>
        <v>0</v>
      </c>
      <c r="I2098" s="556"/>
      <c r="J2098" s="556"/>
      <c r="K2098" s="556"/>
      <c r="L2098" s="556"/>
      <c r="M2098" s="556">
        <f t="shared" si="882"/>
        <v>0</v>
      </c>
      <c r="N2098" s="556"/>
      <c r="O2098" s="556"/>
      <c r="P2098" s="182">
        <f>VLOOKUP($B2098,dongia1,DG!$F$5,)</f>
        <v>45000</v>
      </c>
      <c r="Q2098" s="182"/>
      <c r="R2098" s="554"/>
      <c r="S2098" s="113">
        <f t="shared" si="877"/>
        <v>0</v>
      </c>
      <c r="T2098" s="113">
        <f t="shared" si="878"/>
        <v>0</v>
      </c>
      <c r="U2098" s="557">
        <f t="shared" si="879"/>
        <v>0</v>
      </c>
    </row>
    <row r="2099" spans="1:21" s="552" customFormat="1" ht="15" customHeight="1">
      <c r="A2099" s="621"/>
      <c r="B2099" s="687" t="s">
        <v>1114</v>
      </c>
      <c r="C2099" s="633" t="str">
        <f t="shared" si="881"/>
        <v xml:space="preserve"> </v>
      </c>
      <c r="D2099" s="553"/>
      <c r="E2099" s="694" t="str">
        <f>VLOOKUP($B2099,dongia1,DG!$C$5,)</f>
        <v>Ghíp nối IPC 95-95</v>
      </c>
      <c r="F2099" s="555" t="str">
        <f>VLOOKUP($B2099,dongia1,DG!$D$5,)</f>
        <v>cái</v>
      </c>
      <c r="G2099" s="560">
        <f>ppht_NC!FJ$14</f>
        <v>0</v>
      </c>
      <c r="H2099" s="556">
        <f t="shared" si="876"/>
        <v>0</v>
      </c>
      <c r="I2099" s="556"/>
      <c r="J2099" s="556"/>
      <c r="K2099" s="556"/>
      <c r="L2099" s="556"/>
      <c r="M2099" s="556">
        <f t="shared" si="882"/>
        <v>0</v>
      </c>
      <c r="N2099" s="556"/>
      <c r="O2099" s="556"/>
      <c r="P2099" s="182">
        <f>VLOOKUP($B2099,dongia1,DG!$F$5,)</f>
        <v>45000</v>
      </c>
      <c r="Q2099" s="182"/>
      <c r="R2099" s="554"/>
      <c r="S2099" s="113">
        <f t="shared" si="877"/>
        <v>0</v>
      </c>
      <c r="T2099" s="113">
        <f t="shared" si="878"/>
        <v>0</v>
      </c>
      <c r="U2099" s="557">
        <f t="shared" si="879"/>
        <v>0</v>
      </c>
    </row>
    <row r="2100" spans="1:21" s="552" customFormat="1" ht="15" customHeight="1">
      <c r="A2100" s="621"/>
      <c r="B2100" s="688" t="s">
        <v>4428</v>
      </c>
      <c r="C2100" s="633" t="str">
        <f t="shared" si="881"/>
        <v xml:space="preserve"> </v>
      </c>
      <c r="D2100" s="553"/>
      <c r="E2100" s="694" t="str">
        <f>VLOOKUP($B2100,dongia1,DG!$C$5,)</f>
        <v>Ghíp nối IPC 120-120</v>
      </c>
      <c r="F2100" s="555" t="str">
        <f>VLOOKUP($B2100,dongia1,DG!$D$5,)</f>
        <v>cái</v>
      </c>
      <c r="G2100" s="560">
        <f>ppht_NC!FK$14</f>
        <v>0</v>
      </c>
      <c r="H2100" s="556">
        <f t="shared" si="876"/>
        <v>0</v>
      </c>
      <c r="I2100" s="556"/>
      <c r="J2100" s="556"/>
      <c r="K2100" s="556"/>
      <c r="L2100" s="556"/>
      <c r="M2100" s="556">
        <f t="shared" si="882"/>
        <v>0</v>
      </c>
      <c r="N2100" s="556"/>
      <c r="O2100" s="556"/>
      <c r="P2100" s="182">
        <f>VLOOKUP($B2100,dongia1,DG!$F$5,)</f>
        <v>45000</v>
      </c>
      <c r="Q2100" s="182"/>
      <c r="R2100" s="554"/>
      <c r="S2100" s="113">
        <f t="shared" si="877"/>
        <v>0</v>
      </c>
      <c r="T2100" s="113">
        <f t="shared" si="878"/>
        <v>0</v>
      </c>
      <c r="U2100" s="557">
        <f t="shared" si="879"/>
        <v>0</v>
      </c>
    </row>
    <row r="2101" spans="1:21" s="552" customFormat="1" ht="15" customHeight="1">
      <c r="A2101" s="621"/>
      <c r="B2101" s="622" t="s">
        <v>961</v>
      </c>
      <c r="C2101" s="633" t="str">
        <f t="shared" si="881"/>
        <v xml:space="preserve"> </v>
      </c>
      <c r="D2101" s="553"/>
      <c r="E2101" s="694" t="str">
        <f>VLOOKUP($B2101,dongia1,DG!$C$5,)</f>
        <v xml:space="preserve">Ống PVC D114x4,9mm </v>
      </c>
      <c r="F2101" s="555" t="str">
        <f>VLOOKUP($B2101,dongia1,DG!$D$5,)</f>
        <v>m</v>
      </c>
      <c r="G2101" s="560">
        <f>ppht_NC!AK14</f>
        <v>0</v>
      </c>
      <c r="H2101" s="556">
        <f t="shared" si="876"/>
        <v>0</v>
      </c>
      <c r="I2101" s="556"/>
      <c r="J2101" s="556"/>
      <c r="K2101" s="556"/>
      <c r="L2101" s="556"/>
      <c r="M2101" s="556">
        <f t="shared" si="882"/>
        <v>0</v>
      </c>
      <c r="N2101" s="556"/>
      <c r="O2101" s="556"/>
      <c r="P2101" s="182">
        <f>VLOOKUP($B2101,dongia1,DG!$F$5,)</f>
        <v>103700</v>
      </c>
      <c r="Q2101" s="182"/>
      <c r="R2101" s="554"/>
      <c r="S2101" s="113">
        <f t="shared" si="877"/>
        <v>0</v>
      </c>
      <c r="T2101" s="113">
        <f t="shared" si="878"/>
        <v>0</v>
      </c>
      <c r="U2101" s="718">
        <f t="shared" si="879"/>
        <v>0</v>
      </c>
    </row>
    <row r="2102" spans="1:21" s="552" customFormat="1" ht="15" customHeight="1">
      <c r="A2102" s="621"/>
      <c r="B2102" s="622" t="s">
        <v>1861</v>
      </c>
      <c r="C2102" s="633" t="str">
        <f t="shared" si="881"/>
        <v xml:space="preserve"> </v>
      </c>
      <c r="D2102" s="553"/>
      <c r="E2102" s="694" t="str">
        <f>VLOOKUP($B2102,dongia1,DG!$C$5,)</f>
        <v>Ống PVC D140x6,7mm</v>
      </c>
      <c r="F2102" s="555" t="str">
        <f>VLOOKUP($B2102,dongia1,DG!$D$5,)</f>
        <v>m</v>
      </c>
      <c r="G2102" s="560">
        <f>ppht_NC!AJ14</f>
        <v>0</v>
      </c>
      <c r="H2102" s="556">
        <f>G2102</f>
        <v>0</v>
      </c>
      <c r="I2102" s="556"/>
      <c r="J2102" s="556"/>
      <c r="K2102" s="556"/>
      <c r="L2102" s="556"/>
      <c r="M2102" s="556">
        <f t="shared" si="882"/>
        <v>0</v>
      </c>
      <c r="N2102" s="556"/>
      <c r="O2102" s="556"/>
      <c r="P2102" s="182">
        <f>VLOOKUP($B2102,dongia1,DG!$F$5,)</f>
        <v>165250</v>
      </c>
      <c r="Q2102" s="182"/>
      <c r="R2102" s="554"/>
      <c r="S2102" s="113">
        <f t="shared" ref="S2102:U2106" si="883">$G2102*P2102</f>
        <v>0</v>
      </c>
      <c r="T2102" s="113">
        <f t="shared" si="883"/>
        <v>0</v>
      </c>
      <c r="U2102" s="715">
        <f t="shared" si="883"/>
        <v>0</v>
      </c>
    </row>
    <row r="2103" spans="1:21" s="552" customFormat="1" ht="15" customHeight="1">
      <c r="A2103" s="621"/>
      <c r="B2103" s="622" t="s">
        <v>4620</v>
      </c>
      <c r="C2103" s="633" t="str">
        <f t="shared" si="881"/>
        <v xml:space="preserve"> </v>
      </c>
      <c r="D2103" s="553"/>
      <c r="E2103" s="694" t="str">
        <f>VLOOKUP($B2103,dongia1,DG!$C$5,)</f>
        <v>Co  90 độ PVC 114</v>
      </c>
      <c r="F2103" s="555" t="str">
        <f>VLOOKUP($B2103,dongia1,DG!$D$5,)</f>
        <v>cái</v>
      </c>
      <c r="G2103" s="560">
        <f>ppht_NC!AO14</f>
        <v>0</v>
      </c>
      <c r="H2103" s="556">
        <f>G2103</f>
        <v>0</v>
      </c>
      <c r="I2103" s="556"/>
      <c r="J2103" s="556"/>
      <c r="K2103" s="556"/>
      <c r="L2103" s="556"/>
      <c r="M2103" s="556">
        <f t="shared" si="882"/>
        <v>0</v>
      </c>
      <c r="N2103" s="556"/>
      <c r="O2103" s="556"/>
      <c r="P2103" s="182">
        <f>VLOOKUP($B2103,dongia1,DG!$F$5,)</f>
        <v>104800</v>
      </c>
      <c r="Q2103" s="182"/>
      <c r="R2103" s="554"/>
      <c r="S2103" s="113">
        <f t="shared" si="883"/>
        <v>0</v>
      </c>
      <c r="T2103" s="113">
        <f t="shared" si="883"/>
        <v>0</v>
      </c>
      <c r="U2103" s="718">
        <f t="shared" si="883"/>
        <v>0</v>
      </c>
    </row>
    <row r="2104" spans="1:21" s="552" customFormat="1" ht="15" customHeight="1">
      <c r="A2104" s="621"/>
      <c r="B2104" s="622" t="s">
        <v>4690</v>
      </c>
      <c r="C2104" s="633" t="str">
        <f t="shared" si="881"/>
        <v xml:space="preserve"> </v>
      </c>
      <c r="D2104" s="553"/>
      <c r="E2104" s="694" t="str">
        <f>VLOOKUP($B2104,dongia1,DG!$C$5,)</f>
        <v>Co 90 độ PVC 140</v>
      </c>
      <c r="F2104" s="555" t="str">
        <f>VLOOKUP($B2104,dongia1,DG!$D$5,)</f>
        <v>cái</v>
      </c>
      <c r="G2104" s="560">
        <f>ppht_NC!AN14</f>
        <v>0</v>
      </c>
      <c r="H2104" s="556">
        <f>G2104</f>
        <v>0</v>
      </c>
      <c r="I2104" s="556"/>
      <c r="J2104" s="556"/>
      <c r="K2104" s="556"/>
      <c r="L2104" s="556"/>
      <c r="M2104" s="556">
        <f>G2104</f>
        <v>0</v>
      </c>
      <c r="N2104" s="556"/>
      <c r="O2104" s="556"/>
      <c r="P2104" s="182">
        <f>VLOOKUP($B2104,dongia1,DG!$F$5,)</f>
        <v>138000</v>
      </c>
      <c r="Q2104" s="182"/>
      <c r="R2104" s="554"/>
      <c r="S2104" s="113">
        <f t="shared" ref="S2104:U2105" si="884">$G2104*P2104</f>
        <v>0</v>
      </c>
      <c r="T2104" s="113">
        <f t="shared" si="884"/>
        <v>0</v>
      </c>
      <c r="U2104" s="718">
        <f t="shared" si="884"/>
        <v>0</v>
      </c>
    </row>
    <row r="2105" spans="1:21" s="552" customFormat="1" ht="15" customHeight="1">
      <c r="A2105" s="621"/>
      <c r="B2105" s="622" t="s">
        <v>738</v>
      </c>
      <c r="C2105" s="633" t="str">
        <f t="shared" si="881"/>
        <v xml:space="preserve"> </v>
      </c>
      <c r="D2105" s="553"/>
      <c r="E2105" s="694" t="str">
        <f>VLOOKUP($B2105,dongia1,DG!$C$5,)</f>
        <v>Co  sừng 90 độ PVC 114</v>
      </c>
      <c r="F2105" s="555" t="str">
        <f>VLOOKUP($B2105,dongia1,DG!$D$5,)</f>
        <v>cái</v>
      </c>
      <c r="G2105" s="560">
        <f>ppht_NC!AM14</f>
        <v>0</v>
      </c>
      <c r="H2105" s="556">
        <f>G2105</f>
        <v>0</v>
      </c>
      <c r="I2105" s="556"/>
      <c r="J2105" s="556"/>
      <c r="K2105" s="556"/>
      <c r="L2105" s="556"/>
      <c r="M2105" s="556">
        <f>G2105</f>
        <v>0</v>
      </c>
      <c r="N2105" s="556"/>
      <c r="O2105" s="556"/>
      <c r="P2105" s="182">
        <f>VLOOKUP($B2105,dongia1,DG!$F$5,)</f>
        <v>104800</v>
      </c>
      <c r="Q2105" s="182"/>
      <c r="R2105" s="554"/>
      <c r="S2105" s="113">
        <f t="shared" si="884"/>
        <v>0</v>
      </c>
      <c r="T2105" s="113">
        <f t="shared" si="884"/>
        <v>0</v>
      </c>
      <c r="U2105" s="715">
        <f t="shared" si="884"/>
        <v>0</v>
      </c>
    </row>
    <row r="2106" spans="1:21" s="552" customFormat="1" ht="15" customHeight="1">
      <c r="A2106" s="621"/>
      <c r="B2106" s="622" t="s">
        <v>4565</v>
      </c>
      <c r="C2106" s="633" t="str">
        <f t="shared" si="881"/>
        <v xml:space="preserve"> </v>
      </c>
      <c r="D2106" s="553"/>
      <c r="E2106" s="694" t="str">
        <f>VLOOKUP($B2106,dongia1,DG!$C$5,)</f>
        <v>Co sừng 90 độ PVC 140</v>
      </c>
      <c r="F2106" s="555" t="str">
        <f>VLOOKUP($B2106,dongia1,DG!$D$5,)</f>
        <v>cái</v>
      </c>
      <c r="G2106" s="560">
        <f>ppht_NC!AL14</f>
        <v>0</v>
      </c>
      <c r="H2106" s="556">
        <f>G2106</f>
        <v>0</v>
      </c>
      <c r="I2106" s="556"/>
      <c r="J2106" s="556"/>
      <c r="K2106" s="556"/>
      <c r="L2106" s="556"/>
      <c r="M2106" s="556">
        <f t="shared" si="882"/>
        <v>0</v>
      </c>
      <c r="N2106" s="556"/>
      <c r="O2106" s="556"/>
      <c r="P2106" s="182">
        <f>VLOOKUP($B2106,dongia1,DG!$F$5,)</f>
        <v>138000</v>
      </c>
      <c r="Q2106" s="182"/>
      <c r="R2106" s="554"/>
      <c r="S2106" s="113">
        <f t="shared" si="883"/>
        <v>0</v>
      </c>
      <c r="T2106" s="113">
        <f t="shared" si="883"/>
        <v>0</v>
      </c>
      <c r="U2106" s="715">
        <f t="shared" si="883"/>
        <v>0</v>
      </c>
    </row>
    <row r="2107" spans="1:21" s="552" customFormat="1" ht="15" customHeight="1">
      <c r="A2107" s="621"/>
      <c r="B2107" s="622" t="s">
        <v>193</v>
      </c>
      <c r="C2107" s="633" t="str">
        <f t="shared" si="881"/>
        <v xml:space="preserve"> </v>
      </c>
      <c r="D2107" s="553"/>
      <c r="E2107" s="694" t="str">
        <f>VLOOKUP($B2107,dongia1,DG!$C$5,)</f>
        <v>Cổ dê kẹp ống PVC Þ 114</v>
      </c>
      <c r="F2107" s="555" t="str">
        <f>VLOOKUP($B2107,dongia1,DG!$D$5,)</f>
        <v>bộ</v>
      </c>
      <c r="G2107" s="560">
        <f>ppht_NC!AU14</f>
        <v>0</v>
      </c>
      <c r="H2107" s="556">
        <f t="shared" si="876"/>
        <v>0</v>
      </c>
      <c r="I2107" s="556"/>
      <c r="J2107" s="556"/>
      <c r="K2107" s="556"/>
      <c r="L2107" s="556"/>
      <c r="M2107" s="556">
        <f t="shared" si="882"/>
        <v>0</v>
      </c>
      <c r="N2107" s="556"/>
      <c r="O2107" s="556"/>
      <c r="P2107" s="182">
        <f>VLOOKUP($B2107,dongia1,DG!$F$5,)</f>
        <v>50000</v>
      </c>
      <c r="Q2107" s="182"/>
      <c r="R2107" s="554"/>
      <c r="S2107" s="113">
        <f t="shared" si="877"/>
        <v>0</v>
      </c>
      <c r="T2107" s="113">
        <f t="shared" si="878"/>
        <v>0</v>
      </c>
      <c r="U2107" s="718">
        <f t="shared" si="879"/>
        <v>0</v>
      </c>
    </row>
    <row r="2108" spans="1:21" s="552" customFormat="1" ht="15" customHeight="1">
      <c r="A2108" s="621"/>
      <c r="B2108" s="622" t="s">
        <v>1169</v>
      </c>
      <c r="C2108" s="633" t="str">
        <f t="shared" si="881"/>
        <v xml:space="preserve"> </v>
      </c>
      <c r="D2108" s="553"/>
      <c r="E2108" s="694" t="str">
        <f>VLOOKUP($B2108,dongia1,DG!$C$5,)</f>
        <v>Cổ dê kẹp ống PVC Þ 140</v>
      </c>
      <c r="F2108" s="555" t="str">
        <f>VLOOKUP($B2108,dongia1,DG!$D$5,)</f>
        <v>bộ</v>
      </c>
      <c r="G2108" s="560">
        <f>ppht_NC!AT14</f>
        <v>0</v>
      </c>
      <c r="H2108" s="556">
        <f>G2108</f>
        <v>0</v>
      </c>
      <c r="I2108" s="556"/>
      <c r="J2108" s="556"/>
      <c r="K2108" s="556"/>
      <c r="L2108" s="556"/>
      <c r="M2108" s="556">
        <f t="shared" si="882"/>
        <v>0</v>
      </c>
      <c r="N2108" s="556"/>
      <c r="O2108" s="556"/>
      <c r="P2108" s="182">
        <f>VLOOKUP($B2108,dongia1,DG!$F$5,)</f>
        <v>56000</v>
      </c>
      <c r="Q2108" s="182"/>
      <c r="R2108" s="554"/>
      <c r="S2108" s="113">
        <f t="shared" ref="S2108:U2110" si="885">$G2108*P2108</f>
        <v>0</v>
      </c>
      <c r="T2108" s="113">
        <f t="shared" si="885"/>
        <v>0</v>
      </c>
      <c r="U2108" s="715">
        <f t="shared" si="885"/>
        <v>0</v>
      </c>
    </row>
    <row r="2109" spans="1:21" s="552" customFormat="1" ht="15" customHeight="1">
      <c r="A2109" s="621"/>
      <c r="B2109" s="622" t="s">
        <v>693</v>
      </c>
      <c r="C2109" s="633" t="str">
        <f t="shared" si="881"/>
        <v xml:space="preserve"> </v>
      </c>
      <c r="D2109" s="553"/>
      <c r="E2109" s="694" t="str">
        <f>VLOOKUP($B2109,dongia1,DG!$C$5,)</f>
        <v>Khâu ven răng trong D114</v>
      </c>
      <c r="F2109" s="555" t="str">
        <f>VLOOKUP($B2109,dongia1,DG!$D$5,)</f>
        <v>cái</v>
      </c>
      <c r="G2109" s="560">
        <f>ppht_NC!AS14</f>
        <v>0</v>
      </c>
      <c r="H2109" s="556">
        <f>G2109</f>
        <v>0</v>
      </c>
      <c r="I2109" s="556"/>
      <c r="J2109" s="556"/>
      <c r="K2109" s="556"/>
      <c r="L2109" s="556"/>
      <c r="M2109" s="556">
        <f t="shared" si="882"/>
        <v>0</v>
      </c>
      <c r="N2109" s="556"/>
      <c r="O2109" s="556"/>
      <c r="P2109" s="182">
        <f>VLOOKUP($B2109,dongia1,DG!$F$5,)</f>
        <v>41900</v>
      </c>
      <c r="Q2109" s="182"/>
      <c r="R2109" s="554"/>
      <c r="S2109" s="113">
        <f t="shared" si="885"/>
        <v>0</v>
      </c>
      <c r="T2109" s="113">
        <f t="shared" si="885"/>
        <v>0</v>
      </c>
      <c r="U2109" s="557">
        <f t="shared" si="885"/>
        <v>0</v>
      </c>
    </row>
    <row r="2110" spans="1:21" s="552" customFormat="1" ht="15" customHeight="1">
      <c r="A2110" s="621"/>
      <c r="B2110" s="622" t="s">
        <v>694</v>
      </c>
      <c r="C2110" s="633" t="str">
        <f t="shared" si="881"/>
        <v xml:space="preserve"> </v>
      </c>
      <c r="D2110" s="553"/>
      <c r="E2110" s="694" t="str">
        <f>VLOOKUP($B2110,dongia1,DG!$C$5,)</f>
        <v>Khâu ven răng ngoài D114</v>
      </c>
      <c r="F2110" s="555" t="str">
        <f>VLOOKUP($B2110,dongia1,DG!$D$5,)</f>
        <v>cái</v>
      </c>
      <c r="G2110" s="560">
        <f>G2109</f>
        <v>0</v>
      </c>
      <c r="H2110" s="556">
        <f>G2110</f>
        <v>0</v>
      </c>
      <c r="I2110" s="556"/>
      <c r="J2110" s="556"/>
      <c r="K2110" s="556"/>
      <c r="L2110" s="556"/>
      <c r="M2110" s="556">
        <f t="shared" si="882"/>
        <v>0</v>
      </c>
      <c r="N2110" s="556"/>
      <c r="O2110" s="556"/>
      <c r="P2110" s="182">
        <f>VLOOKUP($B2110,dongia1,DG!$F$5,)</f>
        <v>41900</v>
      </c>
      <c r="Q2110" s="182"/>
      <c r="R2110" s="554"/>
      <c r="S2110" s="113">
        <f t="shared" si="885"/>
        <v>0</v>
      </c>
      <c r="T2110" s="113">
        <f t="shared" si="885"/>
        <v>0</v>
      </c>
      <c r="U2110" s="718">
        <f t="shared" si="885"/>
        <v>0</v>
      </c>
    </row>
    <row r="2111" spans="1:21" s="552" customFormat="1" ht="15" customHeight="1">
      <c r="A2111" s="621"/>
      <c r="B2111" s="622" t="s">
        <v>1049</v>
      </c>
      <c r="C2111" s="633" t="str">
        <f t="shared" si="881"/>
        <v xml:space="preserve"> </v>
      </c>
      <c r="D2111" s="553"/>
      <c r="E2111" s="694" t="str">
        <f>VLOOKUP($B2111,dongia1,DG!$C$5,)</f>
        <v>Khâu ven răng trong D140</v>
      </c>
      <c r="F2111" s="555" t="str">
        <f>VLOOKUP($B2111,dongia1,DG!$D$5,)</f>
        <v>cái</v>
      </c>
      <c r="G2111" s="560">
        <f>ppht_NC!AR14</f>
        <v>0</v>
      </c>
      <c r="H2111" s="556">
        <f t="shared" si="876"/>
        <v>0</v>
      </c>
      <c r="I2111" s="556"/>
      <c r="J2111" s="556"/>
      <c r="K2111" s="556"/>
      <c r="L2111" s="556"/>
      <c r="M2111" s="556">
        <f t="shared" si="882"/>
        <v>0</v>
      </c>
      <c r="N2111" s="556"/>
      <c r="O2111" s="556"/>
      <c r="P2111" s="182">
        <f>VLOOKUP($B2111,dongia1,DG!$F$5,)</f>
        <v>40133.333333333452</v>
      </c>
      <c r="Q2111" s="182"/>
      <c r="R2111" s="554"/>
      <c r="S2111" s="113">
        <f t="shared" si="877"/>
        <v>0</v>
      </c>
      <c r="T2111" s="113">
        <f t="shared" si="878"/>
        <v>0</v>
      </c>
      <c r="U2111" s="715">
        <f t="shared" si="879"/>
        <v>0</v>
      </c>
    </row>
    <row r="2112" spans="1:21" s="552" customFormat="1" ht="15" customHeight="1">
      <c r="A2112" s="621"/>
      <c r="B2112" s="622" t="s">
        <v>1050</v>
      </c>
      <c r="C2112" s="633" t="str">
        <f t="shared" si="881"/>
        <v xml:space="preserve"> </v>
      </c>
      <c r="D2112" s="553"/>
      <c r="E2112" s="694" t="str">
        <f>VLOOKUP($B2112,dongia1,DG!$C$5,)</f>
        <v>Khâu ven răng ngoài D140</v>
      </c>
      <c r="F2112" s="555" t="str">
        <f>VLOOKUP($B2112,dongia1,DG!$D$5,)</f>
        <v>cái</v>
      </c>
      <c r="G2112" s="560">
        <f>G2111</f>
        <v>0</v>
      </c>
      <c r="H2112" s="556">
        <f t="shared" si="876"/>
        <v>0</v>
      </c>
      <c r="I2112" s="556"/>
      <c r="J2112" s="556"/>
      <c r="K2112" s="556"/>
      <c r="L2112" s="556"/>
      <c r="M2112" s="556">
        <f t="shared" si="882"/>
        <v>0</v>
      </c>
      <c r="N2112" s="556"/>
      <c r="O2112" s="556"/>
      <c r="P2112" s="182">
        <f>VLOOKUP($B2112,dongia1,DG!$F$5,)</f>
        <v>51456.140350877191</v>
      </c>
      <c r="Q2112" s="182"/>
      <c r="R2112" s="554"/>
      <c r="S2112" s="113">
        <f t="shared" si="877"/>
        <v>0</v>
      </c>
      <c r="T2112" s="113">
        <f t="shared" si="878"/>
        <v>0</v>
      </c>
      <c r="U2112" s="557">
        <f t="shared" si="879"/>
        <v>0</v>
      </c>
    </row>
    <row r="2113" spans="1:21" s="552" customFormat="1" ht="15" customHeight="1">
      <c r="A2113" s="621"/>
      <c r="B2113" s="622" t="s">
        <v>1283</v>
      </c>
      <c r="C2113" s="633" t="str">
        <f t="shared" si="881"/>
        <v xml:space="preserve"> </v>
      </c>
      <c r="D2113" s="553"/>
      <c r="E2113" s="694" t="str">
        <f>VLOOKUP($B2113,dongia1,DG!$C$5,)</f>
        <v>Ống đàn hồi 114 (Ruột gà)</v>
      </c>
      <c r="F2113" s="555" t="str">
        <f>VLOOKUP($B2113,dongia1,DG!$D$5,)</f>
        <v>m</v>
      </c>
      <c r="G2113" s="560">
        <f>ppht_NC!AQ14</f>
        <v>0</v>
      </c>
      <c r="H2113" s="556">
        <f>G2113</f>
        <v>0</v>
      </c>
      <c r="I2113" s="556"/>
      <c r="J2113" s="556"/>
      <c r="K2113" s="556"/>
      <c r="L2113" s="556"/>
      <c r="M2113" s="556">
        <f>G2113</f>
        <v>0</v>
      </c>
      <c r="N2113" s="556"/>
      <c r="O2113" s="556"/>
      <c r="P2113" s="182">
        <f>VLOOKUP($B2113,dongia1,DG!$F$5,)</f>
        <v>58700</v>
      </c>
      <c r="Q2113" s="182"/>
      <c r="R2113" s="554"/>
      <c r="S2113" s="113">
        <f t="shared" si="877"/>
        <v>0</v>
      </c>
      <c r="T2113" s="113">
        <f t="shared" si="878"/>
        <v>0</v>
      </c>
      <c r="U2113" s="718">
        <f t="shared" si="879"/>
        <v>0</v>
      </c>
    </row>
    <row r="2114" spans="1:21" s="552" customFormat="1" ht="15" customHeight="1">
      <c r="A2114" s="621"/>
      <c r="B2114" s="622" t="s">
        <v>4572</v>
      </c>
      <c r="C2114" s="633" t="str">
        <f t="shared" si="881"/>
        <v xml:space="preserve"> </v>
      </c>
      <c r="D2114" s="553"/>
      <c r="E2114" s="694" t="str">
        <f>VLOOKUP($B2114,dongia1,DG!$C$5,)</f>
        <v>Ống HDPE 140x5,4</v>
      </c>
      <c r="F2114" s="555" t="str">
        <f>VLOOKUP($B2114,dongia1,DG!$D$5,)</f>
        <v>m</v>
      </c>
      <c r="G2114" s="560">
        <f>ppht_NC!AP14</f>
        <v>0</v>
      </c>
      <c r="H2114" s="556">
        <f>G2114</f>
        <v>0</v>
      </c>
      <c r="I2114" s="556"/>
      <c r="J2114" s="556"/>
      <c r="K2114" s="556"/>
      <c r="L2114" s="556"/>
      <c r="M2114" s="556">
        <f>G2114</f>
        <v>0</v>
      </c>
      <c r="N2114" s="556"/>
      <c r="O2114" s="556"/>
      <c r="P2114" s="182">
        <f>VLOOKUP($B2114,dongia1,DG!$F$5,)</f>
        <v>156700</v>
      </c>
      <c r="Q2114" s="182"/>
      <c r="R2114" s="554"/>
      <c r="S2114" s="113">
        <f>$G2114*P2114</f>
        <v>0</v>
      </c>
      <c r="T2114" s="113">
        <f>$G2114*Q2114</f>
        <v>0</v>
      </c>
      <c r="U2114" s="718">
        <f>$G2114*R2114</f>
        <v>0</v>
      </c>
    </row>
    <row r="2115" spans="1:21" s="552" customFormat="1" ht="15" customHeight="1">
      <c r="A2115" s="621"/>
      <c r="B2115" s="622" t="s">
        <v>887</v>
      </c>
      <c r="C2115" s="633" t="str">
        <f t="shared" si="881"/>
        <v xml:space="preserve"> </v>
      </c>
      <c r="D2115" s="553"/>
      <c r="E2115" s="694" t="str">
        <f>VLOOKUP($B2115,dongia1,DG!$C$5,)</f>
        <v>Keo dán ống PVC (100gr)</v>
      </c>
      <c r="F2115" s="555" t="str">
        <f>VLOOKUP($B2115,dongia1,DG!$D$5,)</f>
        <v>tuýp</v>
      </c>
      <c r="G2115" s="560">
        <f>ROUND((G2109+G2110)/2,0)+ROUND((G2111+G2112)/2,0)</f>
        <v>0</v>
      </c>
      <c r="H2115" s="556">
        <f t="shared" si="876"/>
        <v>0</v>
      </c>
      <c r="I2115" s="556"/>
      <c r="J2115" s="556"/>
      <c r="K2115" s="556"/>
      <c r="L2115" s="556"/>
      <c r="M2115" s="556">
        <f t="shared" si="882"/>
        <v>0</v>
      </c>
      <c r="N2115" s="556"/>
      <c r="O2115" s="556"/>
      <c r="P2115" s="182">
        <f>VLOOKUP($B2115,dongia1,DG!$F$5,)</f>
        <v>11500</v>
      </c>
      <c r="Q2115" s="182"/>
      <c r="R2115" s="554"/>
      <c r="S2115" s="113">
        <f t="shared" si="877"/>
        <v>0</v>
      </c>
      <c r="T2115" s="113">
        <f t="shared" si="878"/>
        <v>0</v>
      </c>
      <c r="U2115" s="557">
        <f t="shared" si="879"/>
        <v>0</v>
      </c>
    </row>
    <row r="2116" spans="1:21" s="552" customFormat="1" ht="15" customHeight="1">
      <c r="A2116" s="621"/>
      <c r="B2116" s="622" t="s">
        <v>1690</v>
      </c>
      <c r="C2116" s="633" t="str">
        <f t="shared" si="881"/>
        <v xml:space="preserve"> </v>
      </c>
      <c r="D2116" s="553"/>
      <c r="E2116" s="694" t="str">
        <f>VLOOKUP($B2116,dongia1,DG!$C$5,)</f>
        <v>Keo silicon bít miệng ống</v>
      </c>
      <c r="F2116" s="555" t="str">
        <f>VLOOKUP($B2116,dongia1,DG!$D$5,)</f>
        <v>chai</v>
      </c>
      <c r="G2116" s="560">
        <f>G2103+G2106</f>
        <v>0</v>
      </c>
      <c r="H2116" s="556">
        <f t="shared" si="876"/>
        <v>0</v>
      </c>
      <c r="I2116" s="556"/>
      <c r="J2116" s="556"/>
      <c r="K2116" s="556"/>
      <c r="L2116" s="556"/>
      <c r="M2116" s="556">
        <f t="shared" si="882"/>
        <v>0</v>
      </c>
      <c r="N2116" s="556"/>
      <c r="O2116" s="556"/>
      <c r="P2116" s="182">
        <f>VLOOKUP($B2116,dongia1,DG!$F$5,)</f>
        <v>45000</v>
      </c>
      <c r="Q2116" s="182"/>
      <c r="R2116" s="554"/>
      <c r="S2116" s="113">
        <f t="shared" si="877"/>
        <v>0</v>
      </c>
      <c r="T2116" s="113">
        <f t="shared" si="878"/>
        <v>0</v>
      </c>
      <c r="U2116" s="557">
        <f t="shared" si="879"/>
        <v>0</v>
      </c>
    </row>
    <row r="2117" spans="1:21" s="552" customFormat="1" ht="15" customHeight="1">
      <c r="A2117" s="621"/>
      <c r="B2117" s="622" t="s">
        <v>236</v>
      </c>
      <c r="C2117" s="633" t="str">
        <f t="shared" si="881"/>
        <v xml:space="preserve"> </v>
      </c>
      <c r="D2117" s="553"/>
      <c r="E2117" s="694" t="str">
        <f>VLOOKUP($B2117,dongia1,DG!$C$5,)</f>
        <v>Băng keo cách điện hạ thế</v>
      </c>
      <c r="F2117" s="555" t="str">
        <f>VLOOKUP($B2117,dongia1,DG!$D$5,)</f>
        <v>cuộn</v>
      </c>
      <c r="G2117" s="560">
        <f>ppht_NC!FG14</f>
        <v>0</v>
      </c>
      <c r="H2117" s="556">
        <f t="shared" si="876"/>
        <v>0</v>
      </c>
      <c r="I2117" s="556"/>
      <c r="J2117" s="556"/>
      <c r="K2117" s="556"/>
      <c r="L2117" s="556"/>
      <c r="M2117" s="556">
        <f t="shared" si="882"/>
        <v>0</v>
      </c>
      <c r="N2117" s="556"/>
      <c r="O2117" s="556"/>
      <c r="P2117" s="182">
        <f>VLOOKUP($B2117,dongia1,DG!$F$5,)</f>
        <v>6500</v>
      </c>
      <c r="Q2117" s="182"/>
      <c r="R2117" s="554"/>
      <c r="S2117" s="113">
        <f t="shared" si="877"/>
        <v>0</v>
      </c>
      <c r="T2117" s="113">
        <f t="shared" si="878"/>
        <v>0</v>
      </c>
      <c r="U2117" s="557">
        <f t="shared" si="879"/>
        <v>0</v>
      </c>
    </row>
    <row r="2118" spans="1:21" s="552" customFormat="1" ht="15" customHeight="1">
      <c r="A2118" s="621"/>
      <c r="B2118" s="622" t="s">
        <v>4695</v>
      </c>
      <c r="C2118" s="633" t="str">
        <f t="shared" si="881"/>
        <v xml:space="preserve"> </v>
      </c>
      <c r="D2118" s="553"/>
      <c r="E2118" s="694" t="str">
        <f>VLOOKUP($B2118,dongia1,DG!$C$5,)</f>
        <v>Tiếp địa cố định cáp ABC 95mm2</v>
      </c>
      <c r="F2118" s="555" t="str">
        <f>VLOOKUP($B2118,dongia1,DG!$D$5,)</f>
        <v>cái</v>
      </c>
      <c r="G2118" s="560">
        <f>ppht_NC!CU14</f>
        <v>0</v>
      </c>
      <c r="H2118" s="556">
        <f>G2118</f>
        <v>0</v>
      </c>
      <c r="I2118" s="556"/>
      <c r="J2118" s="556"/>
      <c r="K2118" s="556"/>
      <c r="L2118" s="556"/>
      <c r="M2118" s="556">
        <f>G2118</f>
        <v>0</v>
      </c>
      <c r="N2118" s="556"/>
      <c r="O2118" s="556"/>
      <c r="P2118" s="182">
        <f>VLOOKUP($B2118,dongia1,DG!$F$5,)</f>
        <v>170000</v>
      </c>
      <c r="Q2118" s="182"/>
      <c r="R2118" s="554"/>
      <c r="S2118" s="113">
        <f t="shared" ref="S2118:U2122" si="886">$G2118*P2118</f>
        <v>0</v>
      </c>
      <c r="T2118" s="113">
        <f t="shared" si="886"/>
        <v>0</v>
      </c>
      <c r="U2118" s="557">
        <f t="shared" si="886"/>
        <v>0</v>
      </c>
    </row>
    <row r="2119" spans="1:21" s="552" customFormat="1" ht="15" customHeight="1">
      <c r="A2119" s="621"/>
      <c r="B2119" s="622" t="s">
        <v>4692</v>
      </c>
      <c r="C2119" s="633" t="str">
        <f t="shared" si="881"/>
        <v xml:space="preserve"> </v>
      </c>
      <c r="D2119" s="553"/>
      <c r="E2119" s="694" t="str">
        <f>VLOOKUP($B2119,dongia1,DG!$C$5,)</f>
        <v>Tiếp địa cố định cáp ABC 120mm2</v>
      </c>
      <c r="F2119" s="555" t="str">
        <f>VLOOKUP($B2119,dongia1,DG!$D$5,)</f>
        <v>cái</v>
      </c>
      <c r="G2119" s="560">
        <f>ppht_NC!CT14</f>
        <v>0</v>
      </c>
      <c r="H2119" s="556">
        <f>G2119</f>
        <v>0</v>
      </c>
      <c r="I2119" s="556"/>
      <c r="J2119" s="556"/>
      <c r="K2119" s="556"/>
      <c r="L2119" s="556"/>
      <c r="M2119" s="556">
        <f>G2119</f>
        <v>0</v>
      </c>
      <c r="N2119" s="556"/>
      <c r="O2119" s="556"/>
      <c r="P2119" s="182">
        <f>VLOOKUP($B2119,dongia1,DG!$F$5,)</f>
        <v>190000</v>
      </c>
      <c r="Q2119" s="182"/>
      <c r="R2119" s="554"/>
      <c r="S2119" s="113">
        <f t="shared" si="886"/>
        <v>0</v>
      </c>
      <c r="T2119" s="113">
        <f t="shared" si="886"/>
        <v>0</v>
      </c>
      <c r="U2119" s="557">
        <f t="shared" si="886"/>
        <v>0</v>
      </c>
    </row>
    <row r="2120" spans="1:21" s="552" customFormat="1" ht="15" customHeight="1">
      <c r="A2120" s="621"/>
      <c r="B2120" s="622" t="s">
        <v>1738</v>
      </c>
      <c r="C2120" s="633" t="str">
        <f t="shared" si="881"/>
        <v xml:space="preserve"> </v>
      </c>
      <c r="D2120" s="553"/>
      <c r="E2120" s="694" t="str">
        <f>VLOOKUP($B2120,dongia1,DG!$C$5,)</f>
        <v>Đầu cosse ép Cu-Al 120mm2</v>
      </c>
      <c r="F2120" s="555" t="str">
        <f>VLOOKUP($B2120,dongia1,DG!$D$5,)</f>
        <v>cái</v>
      </c>
      <c r="G2120" s="560">
        <f>ppht_NC!FO14</f>
        <v>0</v>
      </c>
      <c r="H2120" s="556">
        <f>G2120</f>
        <v>0</v>
      </c>
      <c r="I2120" s="556"/>
      <c r="J2120" s="556"/>
      <c r="K2120" s="556"/>
      <c r="L2120" s="556"/>
      <c r="M2120" s="556">
        <f>G2120</f>
        <v>0</v>
      </c>
      <c r="N2120" s="556"/>
      <c r="O2120" s="556"/>
      <c r="P2120" s="182">
        <f>VLOOKUP($B2120,dongia1,DG!$F$5,)</f>
        <v>34000</v>
      </c>
      <c r="Q2120" s="182"/>
      <c r="R2120" s="554"/>
      <c r="S2120" s="113">
        <f t="shared" si="886"/>
        <v>0</v>
      </c>
      <c r="T2120" s="113">
        <f t="shared" si="886"/>
        <v>0</v>
      </c>
      <c r="U2120" s="557">
        <f t="shared" si="886"/>
        <v>0</v>
      </c>
    </row>
    <row r="2121" spans="1:21" s="552" customFormat="1" ht="15" customHeight="1">
      <c r="A2121" s="621"/>
      <c r="B2121" s="622" t="s">
        <v>1698</v>
      </c>
      <c r="C2121" s="633" t="str">
        <f t="shared" si="881"/>
        <v xml:space="preserve"> </v>
      </c>
      <c r="D2121" s="553"/>
      <c r="E2121" s="694" t="str">
        <f>VLOOKUP($B2121,dongia1,DG!$C$5,)</f>
        <v>Kẹp ép WR cỡ dây 120mm2</v>
      </c>
      <c r="F2121" s="555" t="str">
        <f>VLOOKUP($B2121,dongia1,DG!$D$5,)</f>
        <v>cái</v>
      </c>
      <c r="G2121" s="560">
        <f>ppht_NC!FP14</f>
        <v>0</v>
      </c>
      <c r="H2121" s="556">
        <f>G2121</f>
        <v>0</v>
      </c>
      <c r="I2121" s="556"/>
      <c r="J2121" s="556"/>
      <c r="K2121" s="556"/>
      <c r="L2121" s="556"/>
      <c r="M2121" s="556">
        <f>G2121</f>
        <v>0</v>
      </c>
      <c r="N2121" s="556"/>
      <c r="O2121" s="556"/>
      <c r="P2121" s="182">
        <f>VLOOKUP($B2121,dongia1,DG!$F$5,)</f>
        <v>14000</v>
      </c>
      <c r="Q2121" s="182"/>
      <c r="R2121" s="554"/>
      <c r="S2121" s="113">
        <f t="shared" si="886"/>
        <v>0</v>
      </c>
      <c r="T2121" s="113">
        <f t="shared" si="886"/>
        <v>0</v>
      </c>
      <c r="U2121" s="557">
        <f t="shared" si="886"/>
        <v>0</v>
      </c>
    </row>
    <row r="2122" spans="1:21" s="552" customFormat="1" ht="15" customHeight="1">
      <c r="A2122" s="621"/>
      <c r="B2122" s="622" t="s">
        <v>1779</v>
      </c>
      <c r="C2122" s="633" t="str">
        <f t="shared" ref="C2122:C2153" si="887">IF(G2122&lt;&gt;0,$C$2025," ")</f>
        <v xml:space="preserve"> </v>
      </c>
      <c r="D2122" s="553"/>
      <c r="E2122" s="694" t="str">
        <f>VLOOKUP($B2122,dongia1,DG!$C$5,)</f>
        <v>Kẹp ép WR cỡ dây 95mm2</v>
      </c>
      <c r="F2122" s="555" t="str">
        <f>VLOOKUP($B2122,dongia1,DG!$D$5,)</f>
        <v>cái</v>
      </c>
      <c r="G2122" s="560">
        <f>ppht_NC!FQ14</f>
        <v>0</v>
      </c>
      <c r="H2122" s="556">
        <f>G2122</f>
        <v>0</v>
      </c>
      <c r="I2122" s="556"/>
      <c r="J2122" s="556"/>
      <c r="K2122" s="556"/>
      <c r="L2122" s="556"/>
      <c r="M2122" s="556">
        <f>G2122</f>
        <v>0</v>
      </c>
      <c r="N2122" s="556"/>
      <c r="O2122" s="556"/>
      <c r="P2122" s="182">
        <f>VLOOKUP($B2122,dongia1,DG!$F$5,)</f>
        <v>13000</v>
      </c>
      <c r="Q2122" s="182"/>
      <c r="R2122" s="554"/>
      <c r="S2122" s="113">
        <f t="shared" si="886"/>
        <v>0</v>
      </c>
      <c r="T2122" s="113">
        <f t="shared" si="886"/>
        <v>0</v>
      </c>
      <c r="U2122" s="557">
        <f t="shared" si="886"/>
        <v>0</v>
      </c>
    </row>
    <row r="2123" spans="1:21" s="552" customFormat="1" ht="15" customHeight="1">
      <c r="A2123" s="621"/>
      <c r="B2123" s="622" t="s">
        <v>272</v>
      </c>
      <c r="C2123" s="633" t="str">
        <f t="shared" si="887"/>
        <v xml:space="preserve"> </v>
      </c>
      <c r="D2123" s="553"/>
      <c r="E2123" s="694" t="str">
        <f>VLOOKUP($B2123,dongia1,DG!$C$5,)</f>
        <v>Cáp đồng bọc CV35</v>
      </c>
      <c r="F2123" s="555" t="str">
        <f>VLOOKUP($B2123,dongia1,DG!$D$5,)</f>
        <v>mét</v>
      </c>
      <c r="G2123" s="560">
        <f>ppht_NC!FE14</f>
        <v>0</v>
      </c>
      <c r="H2123" s="556">
        <f t="shared" si="876"/>
        <v>0</v>
      </c>
      <c r="I2123" s="556"/>
      <c r="J2123" s="556"/>
      <c r="K2123" s="556"/>
      <c r="L2123" s="556"/>
      <c r="M2123" s="556">
        <f t="shared" si="882"/>
        <v>0</v>
      </c>
      <c r="N2123" s="556"/>
      <c r="O2123" s="556"/>
      <c r="P2123" s="182">
        <f>VLOOKUP($B2123,dongia1,DG!$F$5,)</f>
        <v>62910</v>
      </c>
      <c r="Q2123" s="182"/>
      <c r="R2123" s="554"/>
      <c r="S2123" s="113">
        <f t="shared" si="877"/>
        <v>0</v>
      </c>
      <c r="T2123" s="113">
        <f t="shared" si="878"/>
        <v>0</v>
      </c>
      <c r="U2123" s="718">
        <f t="shared" si="879"/>
        <v>0</v>
      </c>
    </row>
    <row r="2124" spans="1:21" s="552" customFormat="1" ht="15" customHeight="1">
      <c r="A2124" s="621"/>
      <c r="B2124" s="622" t="s">
        <v>225</v>
      </c>
      <c r="C2124" s="633" t="str">
        <f t="shared" si="887"/>
        <v xml:space="preserve"> </v>
      </c>
      <c r="D2124" s="553"/>
      <c r="E2124" s="694" t="str">
        <f>VLOOKUP($B2124,dongia1,DG!$C$5,)</f>
        <v>Cáp đồng bọc CV25</v>
      </c>
      <c r="F2124" s="555" t="str">
        <f>VLOOKUP($B2124,dongia1,DG!$D$5,)</f>
        <v>mét</v>
      </c>
      <c r="G2124" s="560">
        <f>ppht_NC!FD14</f>
        <v>0</v>
      </c>
      <c r="H2124" s="556">
        <f>G2124</f>
        <v>0</v>
      </c>
      <c r="I2124" s="556"/>
      <c r="J2124" s="556"/>
      <c r="K2124" s="556"/>
      <c r="L2124" s="556"/>
      <c r="M2124" s="556">
        <f>G2124</f>
        <v>0</v>
      </c>
      <c r="N2124" s="556"/>
      <c r="O2124" s="556"/>
      <c r="P2124" s="182">
        <f>VLOOKUP($B2124,dongia1,DG!$F$5,)</f>
        <v>59600</v>
      </c>
      <c r="Q2124" s="182"/>
      <c r="R2124" s="554"/>
      <c r="S2124" s="113">
        <f>$G2124*P2124</f>
        <v>0</v>
      </c>
      <c r="T2124" s="113">
        <f>$G2124*Q2124</f>
        <v>0</v>
      </c>
      <c r="U2124" s="718">
        <f>$G2124*R2124</f>
        <v>0</v>
      </c>
    </row>
    <row r="2125" spans="1:21" s="552" customFormat="1" ht="15" customHeight="1">
      <c r="A2125" s="621"/>
      <c r="B2125" s="622" t="s">
        <v>256</v>
      </c>
      <c r="C2125" s="633" t="str">
        <f t="shared" si="887"/>
        <v xml:space="preserve"> </v>
      </c>
      <c r="D2125" s="553"/>
      <c r="E2125" s="694" t="str">
        <f>VLOOKUP($B2125,dongia1,DG!$C$5,)</f>
        <v>Kéo dây nhôm bọc 120mm2</v>
      </c>
      <c r="F2125" s="555" t="str">
        <f>VLOOKUP($B2125,dongia1,DG!$D$5,)</f>
        <v>km</v>
      </c>
      <c r="G2125" s="205">
        <f t="shared" ref="G2125:G2131" si="888">D2026/1000</f>
        <v>0</v>
      </c>
      <c r="H2125" s="556">
        <f t="shared" si="876"/>
        <v>0</v>
      </c>
      <c r="I2125" s="556"/>
      <c r="J2125" s="556"/>
      <c r="K2125" s="556"/>
      <c r="L2125" s="556"/>
      <c r="M2125" s="556"/>
      <c r="N2125" s="556"/>
      <c r="O2125" s="556"/>
      <c r="P2125" s="182"/>
      <c r="Q2125" s="603" t="str">
        <f>TEXT(VLOOKUP($B2125,dongia1,DG!$G$5,),"#.###,##0")&amp;" x"&amp;hskd</f>
        <v>3.694.863,0 x0,7</v>
      </c>
      <c r="R2125" s="554"/>
      <c r="S2125" s="113">
        <f t="shared" ref="S2125:S2136" si="889">$G2125*P2125</f>
        <v>0</v>
      </c>
      <c r="T2125" s="182">
        <f>VLOOKUP($B2125,dongia1,DG!G$5,)*G2125*hskd</f>
        <v>0</v>
      </c>
      <c r="U2125" s="715">
        <f t="shared" ref="U2125:U2136" si="890">$G2125*R2125</f>
        <v>0</v>
      </c>
    </row>
    <row r="2126" spans="1:21" s="552" customFormat="1" ht="15" customHeight="1">
      <c r="A2126" s="621"/>
      <c r="B2126" s="622" t="s">
        <v>1099</v>
      </c>
      <c r="C2126" s="633" t="str">
        <f t="shared" si="887"/>
        <v xml:space="preserve"> </v>
      </c>
      <c r="D2126" s="553"/>
      <c r="E2126" s="694" t="str">
        <f>VLOOKUP($B2126,dongia1,DG!$C$5,)</f>
        <v>Kéo dây nhôm bọc 95mm2</v>
      </c>
      <c r="F2126" s="555" t="str">
        <f>VLOOKUP($B2126,dongia1,DG!$D$5,)</f>
        <v>km</v>
      </c>
      <c r="G2126" s="205">
        <f t="shared" si="888"/>
        <v>0</v>
      </c>
      <c r="H2126" s="556">
        <f t="shared" si="876"/>
        <v>0</v>
      </c>
      <c r="I2126" s="556"/>
      <c r="J2126" s="556"/>
      <c r="K2126" s="556"/>
      <c r="L2126" s="556"/>
      <c r="M2126" s="556"/>
      <c r="N2126" s="556"/>
      <c r="O2126" s="556"/>
      <c r="P2126" s="182"/>
      <c r="Q2126" s="603" t="str">
        <f>TEXT(VLOOKUP($B2126,dongia1,DG!$G$5,),"#.###,##0")&amp;" x"&amp;hskd</f>
        <v>2.698.065,0 x0,7</v>
      </c>
      <c r="R2126" s="554"/>
      <c r="S2126" s="113">
        <f t="shared" si="889"/>
        <v>0</v>
      </c>
      <c r="T2126" s="182">
        <f>VLOOKUP($B2126,dongia1,DG!G$5,)*G2126*hskd</f>
        <v>0</v>
      </c>
      <c r="U2126" s="557">
        <f t="shared" si="890"/>
        <v>0</v>
      </c>
    </row>
    <row r="2127" spans="1:21" s="552" customFormat="1" ht="15" customHeight="1">
      <c r="A2127" s="621"/>
      <c r="B2127" s="622" t="s">
        <v>909</v>
      </c>
      <c r="C2127" s="633" t="str">
        <f t="shared" si="887"/>
        <v xml:space="preserve"> </v>
      </c>
      <c r="D2127" s="553"/>
      <c r="E2127" s="694" t="str">
        <f>VLOOKUP($B2127,dongia1,DG!$C$5,)</f>
        <v>Kéo dây nhôm bọc 70mm2</v>
      </c>
      <c r="F2127" s="555" t="str">
        <f>VLOOKUP($B2127,dongia1,DG!$D$5,)</f>
        <v>km</v>
      </c>
      <c r="G2127" s="205">
        <f t="shared" si="888"/>
        <v>0</v>
      </c>
      <c r="H2127" s="556">
        <f t="shared" si="876"/>
        <v>0</v>
      </c>
      <c r="I2127" s="556"/>
      <c r="J2127" s="556"/>
      <c r="K2127" s="556"/>
      <c r="L2127" s="556"/>
      <c r="M2127" s="556"/>
      <c r="N2127" s="556"/>
      <c r="O2127" s="556"/>
      <c r="P2127" s="182"/>
      <c r="Q2127" s="603" t="str">
        <f>TEXT(VLOOKUP($B2127,dongia1,DG!$G$5,),"#.###,##0")&amp;" x"&amp;hskd</f>
        <v>1.986.408,0 x0,7</v>
      </c>
      <c r="R2127" s="554"/>
      <c r="S2127" s="113">
        <f t="shared" si="889"/>
        <v>0</v>
      </c>
      <c r="T2127" s="182">
        <f>VLOOKUP($B2127,dongia1,DG!G$5,)*G2127*hskd</f>
        <v>0</v>
      </c>
      <c r="U2127" s="557">
        <f t="shared" si="890"/>
        <v>0</v>
      </c>
    </row>
    <row r="2128" spans="1:21" s="552" customFormat="1" ht="15" customHeight="1">
      <c r="A2128" s="621"/>
      <c r="B2128" s="622" t="s">
        <v>1109</v>
      </c>
      <c r="C2128" s="633" t="str">
        <f t="shared" si="887"/>
        <v xml:space="preserve"> </v>
      </c>
      <c r="D2128" s="553"/>
      <c r="E2128" s="694" t="str">
        <f>VLOOKUP($B2128,dongia1,DG!$C$5,)</f>
        <v>Kéo dây nhôm bọc 50mm2</v>
      </c>
      <c r="F2128" s="555" t="str">
        <f>VLOOKUP($B2128,dongia1,DG!$D$5,)</f>
        <v>km</v>
      </c>
      <c r="G2128" s="205">
        <f t="shared" si="888"/>
        <v>0</v>
      </c>
      <c r="H2128" s="556">
        <f t="shared" si="876"/>
        <v>0</v>
      </c>
      <c r="I2128" s="556"/>
      <c r="J2128" s="556"/>
      <c r="K2128" s="556"/>
      <c r="L2128" s="556"/>
      <c r="M2128" s="556"/>
      <c r="N2128" s="556"/>
      <c r="O2128" s="556"/>
      <c r="P2128" s="182"/>
      <c r="Q2128" s="603" t="str">
        <f>TEXT(VLOOKUP($B2128,dongia1,DG!$G$5,),"#.###,##0")&amp;" x"&amp;hskd</f>
        <v>1.986.408,0 x0,7</v>
      </c>
      <c r="R2128" s="554"/>
      <c r="S2128" s="113">
        <f t="shared" si="889"/>
        <v>0</v>
      </c>
      <c r="T2128" s="182">
        <f>VLOOKUP($B2128,dongia1,DG!G$5,)*G2128*hskd</f>
        <v>0</v>
      </c>
      <c r="U2128" s="557">
        <f t="shared" si="890"/>
        <v>0</v>
      </c>
    </row>
    <row r="2129" spans="1:21" s="552" customFormat="1" ht="15" customHeight="1">
      <c r="A2129" s="621"/>
      <c r="B2129" s="622" t="s">
        <v>4392</v>
      </c>
      <c r="C2129" s="633" t="str">
        <f t="shared" si="887"/>
        <v xml:space="preserve"> </v>
      </c>
      <c r="D2129" s="553"/>
      <c r="E2129" s="694" t="str">
        <f>VLOOKUP($B2129,dongia1,DG!$C$5,)</f>
        <v>Kéo dây nhôm lõi thép cỡ dây 70mm2 (TC)</v>
      </c>
      <c r="F2129" s="555" t="str">
        <f>VLOOKUP($B2129,dongia1,DG!$D$5,)</f>
        <v>km</v>
      </c>
      <c r="G2129" s="205">
        <f t="shared" si="888"/>
        <v>0</v>
      </c>
      <c r="H2129" s="556">
        <f t="shared" si="876"/>
        <v>0</v>
      </c>
      <c r="I2129" s="556"/>
      <c r="J2129" s="556"/>
      <c r="K2129" s="556"/>
      <c r="L2129" s="556"/>
      <c r="M2129" s="556"/>
      <c r="N2129" s="556"/>
      <c r="O2129" s="556"/>
      <c r="P2129" s="182"/>
      <c r="Q2129" s="603" t="str">
        <f>TEXT(VLOOKUP($B2129,dongia1,DG!$G$5,),"#.###,##0")&amp;" x"&amp;hskd</f>
        <v>5.975.101,0 x0,7</v>
      </c>
      <c r="R2129" s="554"/>
      <c r="S2129" s="113">
        <f t="shared" si="889"/>
        <v>0</v>
      </c>
      <c r="T2129" s="182">
        <f>VLOOKUP($B2129,dongia1,DG!G$5,)*G2129*hskd</f>
        <v>0</v>
      </c>
      <c r="U2129" s="557">
        <f t="shared" si="890"/>
        <v>0</v>
      </c>
    </row>
    <row r="2130" spans="1:21" s="552" customFormat="1" ht="15" customHeight="1">
      <c r="A2130" s="621"/>
      <c r="B2130" s="622" t="s">
        <v>418</v>
      </c>
      <c r="C2130" s="633" t="str">
        <f t="shared" si="887"/>
        <v xml:space="preserve"> </v>
      </c>
      <c r="D2130" s="553"/>
      <c r="E2130" s="694" t="str">
        <f>VLOOKUP($B2130,dongia1,DG!$C$5,)</f>
        <v>Kéo dây nhôm lõi thép cỡ dây 50mm2 (TC)</v>
      </c>
      <c r="F2130" s="555" t="str">
        <f>VLOOKUP($B2130,dongia1,DG!$D$5,)</f>
        <v>km</v>
      </c>
      <c r="G2130" s="205">
        <f t="shared" si="888"/>
        <v>0</v>
      </c>
      <c r="H2130" s="556">
        <f t="shared" si="876"/>
        <v>0</v>
      </c>
      <c r="I2130" s="556"/>
      <c r="J2130" s="556"/>
      <c r="K2130" s="556"/>
      <c r="L2130" s="556"/>
      <c r="M2130" s="556"/>
      <c r="N2130" s="556"/>
      <c r="O2130" s="556"/>
      <c r="P2130" s="182"/>
      <c r="Q2130" s="603" t="str">
        <f>TEXT(VLOOKUP($B2130,dongia1,DG!$G$5,),"#.###,##0")&amp;" x"&amp;hskd</f>
        <v>3.600.186,205 x0,7</v>
      </c>
      <c r="R2130" s="554"/>
      <c r="S2130" s="113">
        <f t="shared" si="889"/>
        <v>0</v>
      </c>
      <c r="T2130" s="182">
        <f>VLOOKUP($B2130,dongia1,DG!G$5,)*G2130*hskd</f>
        <v>0</v>
      </c>
      <c r="U2130" s="557">
        <f t="shared" si="890"/>
        <v>0</v>
      </c>
    </row>
    <row r="2131" spans="1:21" s="552" customFormat="1" ht="15" customHeight="1">
      <c r="A2131" s="621"/>
      <c r="B2131" s="622" t="s">
        <v>3794</v>
      </c>
      <c r="C2131" s="633" t="str">
        <f t="shared" si="887"/>
        <v xml:space="preserve"> </v>
      </c>
      <c r="D2131" s="553"/>
      <c r="E2131" s="694" t="str">
        <f>VLOOKUP($B2131,dongia1,DG!$C$5,)</f>
        <v>Kéo dây ABC 4x150mm2</v>
      </c>
      <c r="F2131" s="555" t="str">
        <f>VLOOKUP($B2131,dongia1,DG!$D$5,)</f>
        <v>km</v>
      </c>
      <c r="G2131" s="205">
        <f t="shared" si="888"/>
        <v>0</v>
      </c>
      <c r="H2131" s="556">
        <f t="shared" si="876"/>
        <v>0</v>
      </c>
      <c r="I2131" s="556"/>
      <c r="J2131" s="556"/>
      <c r="K2131" s="556"/>
      <c r="L2131" s="556"/>
      <c r="M2131" s="556"/>
      <c r="N2131" s="556"/>
      <c r="O2131" s="556"/>
      <c r="P2131" s="182"/>
      <c r="Q2131" s="603" t="str">
        <f>TEXT(VLOOKUP($B2131,dongia1,DG!$G$5,),"#.###,##0")&amp;" x"&amp;hskd</f>
        <v>13.607.000,0 x0,7</v>
      </c>
      <c r="R2131" s="554"/>
      <c r="S2131" s="113">
        <f t="shared" si="889"/>
        <v>0</v>
      </c>
      <c r="T2131" s="182">
        <f>VLOOKUP($B2131,dongia1,DG!G$5,)*G2131*hskd</f>
        <v>0</v>
      </c>
      <c r="U2131" s="557">
        <f t="shared" si="890"/>
        <v>0</v>
      </c>
    </row>
    <row r="2132" spans="1:21" ht="15" customHeight="1">
      <c r="B2132" s="696" t="s">
        <v>225</v>
      </c>
      <c r="C2132" s="633" t="str">
        <f t="shared" si="887"/>
        <v xml:space="preserve"> </v>
      </c>
      <c r="D2132" s="698"/>
      <c r="E2132" s="699" t="str">
        <f>VLOOKUP($B2132,dongia1,DG!$C$5,)&amp;": Bổ sung tái lập Hộp Domino h.hữu "</f>
        <v xml:space="preserve">Cáp đồng bọc CV25: Bổ sung tái lập Hộp Domino h.hữu </v>
      </c>
      <c r="F2132" s="700" t="str">
        <f>VLOOKUP($B2132,dongia1,DG!$D$5,)</f>
        <v>mét</v>
      </c>
      <c r="G2132" s="754"/>
      <c r="H2132" s="701">
        <f>G2132</f>
        <v>0</v>
      </c>
      <c r="I2132" s="701"/>
      <c r="J2132" s="701"/>
      <c r="K2132" s="701"/>
      <c r="L2132" s="701"/>
      <c r="M2132" s="701">
        <f>G2132</f>
        <v>0</v>
      </c>
      <c r="N2132" s="701"/>
      <c r="O2132" s="701"/>
      <c r="P2132" s="702">
        <f>VLOOKUP($B2132,dongia1,DG!$F$5,)</f>
        <v>59600</v>
      </c>
      <c r="Q2132" s="702"/>
      <c r="R2132" s="703"/>
      <c r="S2132" s="702">
        <f t="shared" si="889"/>
        <v>0</v>
      </c>
      <c r="T2132" s="702">
        <f>$G2132*Q2132</f>
        <v>0</v>
      </c>
      <c r="U2132" s="704">
        <f t="shared" si="890"/>
        <v>0</v>
      </c>
    </row>
    <row r="2133" spans="1:21" s="552" customFormat="1" ht="15" customHeight="1">
      <c r="A2133" s="621"/>
      <c r="B2133" s="622" t="s">
        <v>5100</v>
      </c>
      <c r="C2133" s="633" t="str">
        <f t="shared" si="887"/>
        <v xml:space="preserve"> </v>
      </c>
      <c r="D2133" s="553"/>
      <c r="E2133" s="694" t="str">
        <f>VLOOKUP($B2133,dongia1,DG!$C$5,)</f>
        <v>Kéo dây ABC 4x120mm2</v>
      </c>
      <c r="F2133" s="555" t="str">
        <f>VLOOKUP($B2133,dongia1,DG!$D$5,)</f>
        <v>km</v>
      </c>
      <c r="G2133" s="205">
        <f>(D2033+D2037)/1000</f>
        <v>0</v>
      </c>
      <c r="H2133" s="556">
        <f t="shared" si="876"/>
        <v>0</v>
      </c>
      <c r="I2133" s="556"/>
      <c r="J2133" s="556"/>
      <c r="K2133" s="556"/>
      <c r="L2133" s="556"/>
      <c r="M2133" s="556"/>
      <c r="N2133" s="556"/>
      <c r="O2133" s="556"/>
      <c r="P2133" s="182"/>
      <c r="Q2133" s="603" t="str">
        <f>TEXT(VLOOKUP($B2133,dongia1,DG!$G$5,),"#.###,##0")&amp;" x"&amp;hskd</f>
        <v>11.338.800,0 x0,7</v>
      </c>
      <c r="R2133" s="554"/>
      <c r="S2133" s="113">
        <f t="shared" si="889"/>
        <v>0</v>
      </c>
      <c r="T2133" s="182">
        <f>VLOOKUP($B2133,dongia1,DG!G$5,)*G2133*hskd</f>
        <v>0</v>
      </c>
      <c r="U2133" s="557">
        <f t="shared" si="890"/>
        <v>0</v>
      </c>
    </row>
    <row r="2134" spans="1:21" s="552" customFormat="1" ht="15" customHeight="1">
      <c r="A2134" s="621"/>
      <c r="B2134" s="622" t="s">
        <v>5097</v>
      </c>
      <c r="C2134" s="633" t="str">
        <f t="shared" si="887"/>
        <v xml:space="preserve"> </v>
      </c>
      <c r="D2134" s="553"/>
      <c r="E2134" s="694" t="str">
        <f>VLOOKUP($B2134,dongia1,DG!$C$5,)</f>
        <v>Kéo dây ABC 4x95mm2</v>
      </c>
      <c r="F2134" s="555" t="str">
        <f>VLOOKUP($B2134,dongia1,DG!$D$5,)</f>
        <v>km</v>
      </c>
      <c r="G2134" s="205">
        <f>(D2034+D2038)/1000</f>
        <v>0</v>
      </c>
      <c r="H2134" s="556">
        <f t="shared" ref="H2134:H2176" si="891">G2134</f>
        <v>0</v>
      </c>
      <c r="I2134" s="556"/>
      <c r="J2134" s="556"/>
      <c r="K2134" s="556"/>
      <c r="L2134" s="556"/>
      <c r="M2134" s="556"/>
      <c r="N2134" s="556"/>
      <c r="O2134" s="556"/>
      <c r="P2134" s="182"/>
      <c r="Q2134" s="603" t="str">
        <f>TEXT(VLOOKUP($B2134,dongia1,DG!$G$5,),"#.###,##0")&amp;" x"&amp;hskd</f>
        <v>8.588.800,0 x0,7</v>
      </c>
      <c r="R2134" s="554"/>
      <c r="S2134" s="113">
        <f t="shared" si="889"/>
        <v>0</v>
      </c>
      <c r="T2134" s="182">
        <f>VLOOKUP($B2134,dongia1,DG!G$5,)*G2134*hskd</f>
        <v>0</v>
      </c>
      <c r="U2134" s="557">
        <f t="shared" si="890"/>
        <v>0</v>
      </c>
    </row>
    <row r="2135" spans="1:21" s="552" customFormat="1" ht="15" customHeight="1">
      <c r="A2135" s="621"/>
      <c r="B2135" s="622" t="s">
        <v>5094</v>
      </c>
      <c r="C2135" s="633" t="str">
        <f t="shared" si="887"/>
        <v xml:space="preserve"> </v>
      </c>
      <c r="D2135" s="553"/>
      <c r="E2135" s="694" t="str">
        <f>VLOOKUP($B2135,dongia1,DG!$C$5,)</f>
        <v>Kéo dây ABC 4x70mm2</v>
      </c>
      <c r="F2135" s="555" t="str">
        <f>VLOOKUP($B2135,dongia1,DG!$D$5,)</f>
        <v>km</v>
      </c>
      <c r="G2135" s="205">
        <f>(D2035+D2039)/1000</f>
        <v>0</v>
      </c>
      <c r="H2135" s="556">
        <f t="shared" si="891"/>
        <v>0</v>
      </c>
      <c r="I2135" s="556"/>
      <c r="J2135" s="556"/>
      <c r="K2135" s="556"/>
      <c r="L2135" s="556"/>
      <c r="M2135" s="556"/>
      <c r="N2135" s="556"/>
      <c r="O2135" s="556"/>
      <c r="P2135" s="182"/>
      <c r="Q2135" s="603" t="str">
        <f>TEXT(VLOOKUP($B2135,dongia1,DG!$G$5,),"#.###,##0")&amp;" x"&amp;hskd</f>
        <v>6.193.000,0 x0,7</v>
      </c>
      <c r="R2135" s="554"/>
      <c r="S2135" s="113">
        <f t="shared" si="889"/>
        <v>0</v>
      </c>
      <c r="T2135" s="182">
        <f>VLOOKUP($B2135,dongia1,DG!G$5,)*G2135*hskd</f>
        <v>0</v>
      </c>
      <c r="U2135" s="718">
        <f t="shared" si="890"/>
        <v>0</v>
      </c>
    </row>
    <row r="2136" spans="1:21" s="552" customFormat="1" ht="15" customHeight="1">
      <c r="A2136" s="621"/>
      <c r="B2136" s="622" t="s">
        <v>5091</v>
      </c>
      <c r="C2136" s="633" t="str">
        <f t="shared" si="887"/>
        <v xml:space="preserve"> </v>
      </c>
      <c r="D2136" s="553"/>
      <c r="E2136" s="694" t="str">
        <f>VLOOKUP($B2136,dongia1,DG!$C$5,)</f>
        <v>Kéo dây ABC 4x50mm2</v>
      </c>
      <c r="F2136" s="555" t="str">
        <f>VLOOKUP($B2136,dongia1,DG!$D$5,)</f>
        <v>km</v>
      </c>
      <c r="G2136" s="205">
        <f>D2036+D2040</f>
        <v>0</v>
      </c>
      <c r="H2136" s="556">
        <f t="shared" si="891"/>
        <v>0</v>
      </c>
      <c r="I2136" s="556"/>
      <c r="J2136" s="556"/>
      <c r="K2136" s="556"/>
      <c r="L2136" s="556"/>
      <c r="M2136" s="556"/>
      <c r="N2136" s="556"/>
      <c r="O2136" s="556"/>
      <c r="P2136" s="182"/>
      <c r="Q2136" s="603" t="str">
        <f>TEXT(VLOOKUP($B2136,dongia1,DG!$G$5,),"#.###,##0")&amp;" x"&amp;hskd</f>
        <v>5.247.000,0 x0,7</v>
      </c>
      <c r="R2136" s="554"/>
      <c r="S2136" s="113">
        <f t="shared" si="889"/>
        <v>0</v>
      </c>
      <c r="T2136" s="182">
        <f>VLOOKUP($B2136,dongia1,DG!G$5,)*G2136*hskd</f>
        <v>0</v>
      </c>
      <c r="U2136" s="715">
        <f t="shared" si="890"/>
        <v>0</v>
      </c>
    </row>
    <row r="2137" spans="1:21" s="552" customFormat="1" ht="15" customHeight="1">
      <c r="A2137" s="621"/>
      <c r="B2137" s="622" t="s">
        <v>602</v>
      </c>
      <c r="C2137" s="633" t="str">
        <f t="shared" si="887"/>
        <v xml:space="preserve"> </v>
      </c>
      <c r="D2137" s="553"/>
      <c r="E2137" s="694" t="str">
        <f>VLOOKUP($B2137,dongia1,DG!$C$5,)</f>
        <v>Lắp rack sứ + sứ ống chỉ</v>
      </c>
      <c r="F2137" s="555" t="str">
        <f>VLOOKUP($B2137,dongia1,DG!$D$5,)</f>
        <v>bộ</v>
      </c>
      <c r="G2137" s="205">
        <f>G2037+G2041</f>
        <v>0</v>
      </c>
      <c r="H2137" s="556">
        <f t="shared" si="891"/>
        <v>0</v>
      </c>
      <c r="I2137" s="556"/>
      <c r="J2137" s="556"/>
      <c r="K2137" s="556"/>
      <c r="L2137" s="556"/>
      <c r="M2137" s="556"/>
      <c r="N2137" s="556"/>
      <c r="O2137" s="556"/>
      <c r="P2137" s="182"/>
      <c r="Q2137" s="182">
        <f>VLOOKUP($B2137,dongia1,DG!$G$5,)</f>
        <v>15471.9</v>
      </c>
      <c r="R2137" s="554"/>
      <c r="S2137" s="113">
        <f t="shared" ref="S2137:U2141" si="892">$G2137*P2137</f>
        <v>0</v>
      </c>
      <c r="T2137" s="113">
        <f t="shared" si="892"/>
        <v>0</v>
      </c>
      <c r="U2137" s="557">
        <f t="shared" si="892"/>
        <v>0</v>
      </c>
    </row>
    <row r="2138" spans="1:21" s="552" customFormat="1" ht="15" customHeight="1">
      <c r="A2138" s="621"/>
      <c r="B2138" s="622" t="s">
        <v>1471</v>
      </c>
      <c r="C2138" s="633" t="str">
        <f t="shared" si="887"/>
        <v xml:space="preserve"> </v>
      </c>
      <c r="D2138" s="553"/>
      <c r="E2138" s="694" t="str">
        <f>VLOOKUP($B2138,dongia1,DG!$C$5,)</f>
        <v>Lắp rack 2 sứ + sứ ống chỉ</v>
      </c>
      <c r="F2138" s="555" t="str">
        <f>VLOOKUP($B2138,dongia1,DG!$D$5,)</f>
        <v>bộ</v>
      </c>
      <c r="G2138" s="205">
        <f>G2043</f>
        <v>0</v>
      </c>
      <c r="H2138" s="556">
        <f t="shared" si="891"/>
        <v>0</v>
      </c>
      <c r="I2138" s="556"/>
      <c r="J2138" s="556"/>
      <c r="K2138" s="556"/>
      <c r="L2138" s="556"/>
      <c r="M2138" s="556"/>
      <c r="N2138" s="556"/>
      <c r="O2138" s="556"/>
      <c r="P2138" s="182">
        <f>VLOOKUP($B2138,dongia1,DG!$F$5,)</f>
        <v>0</v>
      </c>
      <c r="Q2138" s="182">
        <f>VLOOKUP($B2138,dongia1,DG!$G$5,)</f>
        <v>57077</v>
      </c>
      <c r="R2138" s="554"/>
      <c r="S2138" s="113">
        <f t="shared" si="892"/>
        <v>0</v>
      </c>
      <c r="T2138" s="113">
        <f t="shared" si="892"/>
        <v>0</v>
      </c>
      <c r="U2138" s="557">
        <f t="shared" si="892"/>
        <v>0</v>
      </c>
    </row>
    <row r="2139" spans="1:21" s="552" customFormat="1" ht="15" customHeight="1">
      <c r="A2139" s="621"/>
      <c r="B2139" s="622" t="s">
        <v>1110</v>
      </c>
      <c r="C2139" s="633" t="str">
        <f t="shared" si="887"/>
        <v xml:space="preserve"> </v>
      </c>
      <c r="D2139" s="553"/>
      <c r="E2139" s="694" t="str">
        <f>VLOOKUP($B2139,dongia1,DG!$C$5,)</f>
        <v>Lắp rack 3 sứ + sứ ống chỉ</v>
      </c>
      <c r="F2139" s="555" t="str">
        <f>VLOOKUP($B2139,dongia1,DG!$D$5,)</f>
        <v>bộ</v>
      </c>
      <c r="G2139" s="205">
        <f>G2044</f>
        <v>0</v>
      </c>
      <c r="H2139" s="556">
        <f t="shared" si="891"/>
        <v>0</v>
      </c>
      <c r="I2139" s="556"/>
      <c r="J2139" s="556"/>
      <c r="K2139" s="556"/>
      <c r="L2139" s="556"/>
      <c r="M2139" s="556"/>
      <c r="N2139" s="556"/>
      <c r="O2139" s="556"/>
      <c r="P2139" s="182"/>
      <c r="Q2139" s="182">
        <f>VLOOKUP($B2139,dongia1,DG!$G$5,)</f>
        <v>79500</v>
      </c>
      <c r="R2139" s="554"/>
      <c r="S2139" s="113">
        <f t="shared" si="892"/>
        <v>0</v>
      </c>
      <c r="T2139" s="113">
        <f t="shared" si="892"/>
        <v>0</v>
      </c>
      <c r="U2139" s="557">
        <f t="shared" si="892"/>
        <v>0</v>
      </c>
    </row>
    <row r="2140" spans="1:21" s="552" customFormat="1" ht="15" customHeight="1">
      <c r="A2140" s="621"/>
      <c r="B2140" s="622" t="s">
        <v>531</v>
      </c>
      <c r="C2140" s="633" t="str">
        <f t="shared" si="887"/>
        <v xml:space="preserve"> </v>
      </c>
      <c r="D2140" s="553"/>
      <c r="E2140" s="694" t="str">
        <f>VLOOKUP($B2140,dongia1,DG!$C$5,)</f>
        <v>Lắp rack 4 sứ + sứ ống chỉ</v>
      </c>
      <c r="F2140" s="555" t="str">
        <f>VLOOKUP($B2140,dongia1,DG!$D$5,)</f>
        <v>bộ</v>
      </c>
      <c r="G2140" s="205">
        <f>G2045</f>
        <v>0</v>
      </c>
      <c r="H2140" s="556">
        <f t="shared" si="891"/>
        <v>0</v>
      </c>
      <c r="I2140" s="556"/>
      <c r="J2140" s="556"/>
      <c r="K2140" s="556"/>
      <c r="L2140" s="556"/>
      <c r="M2140" s="556"/>
      <c r="N2140" s="556"/>
      <c r="O2140" s="556"/>
      <c r="P2140" s="554"/>
      <c r="Q2140" s="182">
        <f>VLOOKUP($B2140,dongia1,DG!$G$5,)</f>
        <v>112115</v>
      </c>
      <c r="R2140" s="554"/>
      <c r="S2140" s="113">
        <f t="shared" si="892"/>
        <v>0</v>
      </c>
      <c r="T2140" s="113">
        <f t="shared" si="892"/>
        <v>0</v>
      </c>
      <c r="U2140" s="557">
        <f t="shared" si="892"/>
        <v>0</v>
      </c>
    </row>
    <row r="2141" spans="1:21" s="552" customFormat="1" ht="15" customHeight="1">
      <c r="A2141" s="621"/>
      <c r="B2141" s="622" t="s">
        <v>603</v>
      </c>
      <c r="C2141" s="633" t="str">
        <f t="shared" si="887"/>
        <v xml:space="preserve"> </v>
      </c>
      <c r="D2141" s="553"/>
      <c r="E2141" s="694" t="str">
        <f>VLOOKUP($B2141,dongia1,DG!$C$5,)</f>
        <v>Sơn biển số- bảng nguy hiểm</v>
      </c>
      <c r="F2141" s="555" t="str">
        <f>VLOOKUP($B2141,dongia1,DG!$D$5,)</f>
        <v>cái</v>
      </c>
      <c r="G2141" s="205"/>
      <c r="H2141" s="556">
        <f t="shared" si="891"/>
        <v>0</v>
      </c>
      <c r="I2141" s="556"/>
      <c r="J2141" s="556"/>
      <c r="K2141" s="556"/>
      <c r="L2141" s="556"/>
      <c r="M2141" s="556"/>
      <c r="N2141" s="556"/>
      <c r="O2141" s="556"/>
      <c r="P2141" s="182"/>
      <c r="Q2141" s="182">
        <f>VLOOKUP($B2141,dongia1,DG!$G$5,)</f>
        <v>6546</v>
      </c>
      <c r="R2141" s="554"/>
      <c r="S2141" s="113">
        <f t="shared" si="892"/>
        <v>0</v>
      </c>
      <c r="T2141" s="113">
        <f t="shared" si="892"/>
        <v>0</v>
      </c>
      <c r="U2141" s="557">
        <f t="shared" si="892"/>
        <v>0</v>
      </c>
    </row>
    <row r="2142" spans="1:21" s="552" customFormat="1" ht="15" customHeight="1">
      <c r="A2142" s="621"/>
      <c r="B2142" s="622" t="s">
        <v>256</v>
      </c>
      <c r="C2142" s="633" t="str">
        <f t="shared" si="887"/>
        <v xml:space="preserve"> </v>
      </c>
      <c r="D2142" s="553"/>
      <c r="E2142" s="694" t="s">
        <v>4351</v>
      </c>
      <c r="F2142" s="555" t="str">
        <f>VLOOKUP($B2142,dongia1,DG!$D$5,)</f>
        <v>km</v>
      </c>
      <c r="G2142" s="205">
        <f>(ppht_NC!HV14*3+ppht_NC!HZ14)/1000</f>
        <v>0</v>
      </c>
      <c r="H2142" s="556">
        <f t="shared" si="891"/>
        <v>0</v>
      </c>
      <c r="I2142" s="556"/>
      <c r="J2142" s="556"/>
      <c r="K2142" s="556"/>
      <c r="L2142" s="556"/>
      <c r="M2142" s="556"/>
      <c r="N2142" s="556"/>
      <c r="O2142" s="556"/>
      <c r="P2142" s="554"/>
      <c r="Q2142" s="182">
        <f>VLOOKUP($B2142,dongia1,DG!$G$5,)</f>
        <v>3694863</v>
      </c>
      <c r="R2142" s="554"/>
      <c r="S2142" s="113">
        <f t="shared" ref="S2142:S2175" si="893">$G2142*P2142</f>
        <v>0</v>
      </c>
      <c r="T2142" s="113">
        <f t="shared" ref="T2142:T2175" si="894">$G2142*Q2142</f>
        <v>0</v>
      </c>
      <c r="U2142" s="557">
        <f t="shared" ref="U2142:U2175" si="895">$G2142*R2142</f>
        <v>0</v>
      </c>
    </row>
    <row r="2143" spans="1:21" s="552" customFormat="1" ht="15" customHeight="1">
      <c r="A2143" s="621"/>
      <c r="B2143" s="622" t="s">
        <v>1099</v>
      </c>
      <c r="C2143" s="633" t="str">
        <f t="shared" si="887"/>
        <v xml:space="preserve"> </v>
      </c>
      <c r="D2143" s="553"/>
      <c r="E2143" s="694" t="s">
        <v>4352</v>
      </c>
      <c r="F2143" s="555" t="str">
        <f>VLOOKUP($B2143,dongia1,DG!$D$5,)</f>
        <v>km</v>
      </c>
      <c r="G2143" s="205">
        <f>(ppht_NC!HW14*3+ppht_NC!IA14)/1000</f>
        <v>0</v>
      </c>
      <c r="H2143" s="556">
        <f t="shared" si="891"/>
        <v>0</v>
      </c>
      <c r="I2143" s="556"/>
      <c r="J2143" s="556"/>
      <c r="K2143" s="556"/>
      <c r="L2143" s="556"/>
      <c r="M2143" s="556"/>
      <c r="N2143" s="556"/>
      <c r="O2143" s="556"/>
      <c r="P2143" s="554"/>
      <c r="Q2143" s="182">
        <f>VLOOKUP($B2143,dongia1,DG!$G$5,)</f>
        <v>2698065</v>
      </c>
      <c r="R2143" s="554"/>
      <c r="S2143" s="113">
        <f t="shared" si="893"/>
        <v>0</v>
      </c>
      <c r="T2143" s="113">
        <f t="shared" si="894"/>
        <v>0</v>
      </c>
      <c r="U2143" s="557">
        <f t="shared" si="895"/>
        <v>0</v>
      </c>
    </row>
    <row r="2144" spans="1:21" s="552" customFormat="1" ht="15" customHeight="1">
      <c r="A2144" s="621"/>
      <c r="B2144" s="622" t="s">
        <v>909</v>
      </c>
      <c r="C2144" s="633" t="str">
        <f t="shared" si="887"/>
        <v xml:space="preserve"> </v>
      </c>
      <c r="D2144" s="553"/>
      <c r="E2144" s="694" t="s">
        <v>4353</v>
      </c>
      <c r="F2144" s="555" t="str">
        <f>VLOOKUP($B2144,dongia1,DG!$D$5,)</f>
        <v>km</v>
      </c>
      <c r="G2144" s="205">
        <f>(ppht_NC!HX14*3+ppht_NC!IB14)/1000</f>
        <v>0</v>
      </c>
      <c r="H2144" s="556">
        <f t="shared" si="891"/>
        <v>0</v>
      </c>
      <c r="I2144" s="556"/>
      <c r="J2144" s="556"/>
      <c r="K2144" s="556"/>
      <c r="L2144" s="556"/>
      <c r="M2144" s="556"/>
      <c r="N2144" s="556"/>
      <c r="O2144" s="556"/>
      <c r="P2144" s="554"/>
      <c r="Q2144" s="182">
        <f>VLOOKUP($B2144,dongia1,DG!$G$5,)</f>
        <v>1986408</v>
      </c>
      <c r="R2144" s="554"/>
      <c r="S2144" s="113">
        <f t="shared" si="893"/>
        <v>0</v>
      </c>
      <c r="T2144" s="113">
        <f t="shared" si="894"/>
        <v>0</v>
      </c>
      <c r="U2144" s="557">
        <f t="shared" si="895"/>
        <v>0</v>
      </c>
    </row>
    <row r="2145" spans="1:21" s="552" customFormat="1" ht="15" customHeight="1">
      <c r="A2145" s="621"/>
      <c r="B2145" s="622" t="s">
        <v>1109</v>
      </c>
      <c r="C2145" s="633" t="str">
        <f t="shared" si="887"/>
        <v xml:space="preserve"> </v>
      </c>
      <c r="D2145" s="553"/>
      <c r="E2145" s="694" t="s">
        <v>4354</v>
      </c>
      <c r="F2145" s="555" t="str">
        <f>VLOOKUP($B2145,dongia1,DG!$D$5,)</f>
        <v>km</v>
      </c>
      <c r="G2145" s="205">
        <f>(ppht_NC!HY14*3+ppht_NC!IC14)/1000</f>
        <v>0</v>
      </c>
      <c r="H2145" s="556">
        <f t="shared" si="891"/>
        <v>0</v>
      </c>
      <c r="I2145" s="556"/>
      <c r="J2145" s="556"/>
      <c r="K2145" s="556"/>
      <c r="L2145" s="556"/>
      <c r="M2145" s="556"/>
      <c r="N2145" s="556"/>
      <c r="O2145" s="556"/>
      <c r="P2145" s="554"/>
      <c r="Q2145" s="182">
        <f>VLOOKUP($B2145,dongia1,DG!$G$5,)</f>
        <v>1986408</v>
      </c>
      <c r="R2145" s="554"/>
      <c r="S2145" s="113">
        <f t="shared" si="893"/>
        <v>0</v>
      </c>
      <c r="T2145" s="113">
        <f t="shared" si="894"/>
        <v>0</v>
      </c>
      <c r="U2145" s="557">
        <f t="shared" si="895"/>
        <v>0</v>
      </c>
    </row>
    <row r="2146" spans="1:21" s="552" customFormat="1" ht="15" customHeight="1">
      <c r="A2146" s="621"/>
      <c r="B2146" s="622" t="s">
        <v>4392</v>
      </c>
      <c r="C2146" s="633" t="str">
        <f t="shared" si="887"/>
        <v xml:space="preserve"> </v>
      </c>
      <c r="D2146" s="553"/>
      <c r="E2146" s="694" t="s">
        <v>4355</v>
      </c>
      <c r="F2146" s="555" t="str">
        <f>VLOOKUP($B2146,dongia1,DG!$D$5,)</f>
        <v>km</v>
      </c>
      <c r="G2146" s="205">
        <f>ppht_NC!ID14/1000</f>
        <v>0</v>
      </c>
      <c r="H2146" s="556">
        <f t="shared" si="891"/>
        <v>0</v>
      </c>
      <c r="I2146" s="556"/>
      <c r="J2146" s="556"/>
      <c r="K2146" s="556"/>
      <c r="L2146" s="556"/>
      <c r="M2146" s="556"/>
      <c r="N2146" s="556"/>
      <c r="O2146" s="556"/>
      <c r="P2146" s="554"/>
      <c r="Q2146" s="182"/>
      <c r="R2146" s="554"/>
      <c r="S2146" s="113"/>
      <c r="T2146" s="113"/>
      <c r="U2146" s="557"/>
    </row>
    <row r="2147" spans="1:21" s="552" customFormat="1" ht="15" customHeight="1">
      <c r="A2147" s="621"/>
      <c r="B2147" s="622" t="s">
        <v>418</v>
      </c>
      <c r="C2147" s="633" t="str">
        <f t="shared" si="887"/>
        <v xml:space="preserve"> </v>
      </c>
      <c r="D2147" s="553"/>
      <c r="E2147" s="694" t="s">
        <v>4356</v>
      </c>
      <c r="F2147" s="555" t="str">
        <f>VLOOKUP($B2147,dongia1,DG!$D$5,)</f>
        <v>km</v>
      </c>
      <c r="G2147" s="205">
        <f>ppht_NC!IE14/1000</f>
        <v>0</v>
      </c>
      <c r="H2147" s="556">
        <f t="shared" si="891"/>
        <v>0</v>
      </c>
      <c r="I2147" s="556"/>
      <c r="J2147" s="556"/>
      <c r="K2147" s="556"/>
      <c r="L2147" s="556"/>
      <c r="M2147" s="556"/>
      <c r="N2147" s="556"/>
      <c r="O2147" s="556"/>
      <c r="P2147" s="554"/>
      <c r="Q2147" s="182"/>
      <c r="R2147" s="554"/>
      <c r="S2147" s="113"/>
      <c r="T2147" s="113"/>
      <c r="U2147" s="557"/>
    </row>
    <row r="2148" spans="1:21" s="552" customFormat="1" ht="15" customHeight="1">
      <c r="A2148" s="621"/>
      <c r="B2148" s="622"/>
      <c r="C2148" s="633" t="str">
        <f t="shared" ca="1" si="887"/>
        <v xml:space="preserve"> </v>
      </c>
      <c r="D2148" s="553"/>
      <c r="E2148" s="694" t="s">
        <v>4357</v>
      </c>
      <c r="F2148" s="555" t="s">
        <v>905</v>
      </c>
      <c r="G2148" s="205">
        <f t="shared" ref="G2148:G2158" ca="1" si="896">SUMIF(laplaivtht,$E2148,sllaplaivtht)/1000</f>
        <v>0</v>
      </c>
      <c r="H2148" s="556">
        <f t="shared" ca="1" si="891"/>
        <v>0</v>
      </c>
      <c r="I2148" s="556"/>
      <c r="J2148" s="556"/>
      <c r="K2148" s="556"/>
      <c r="L2148" s="556"/>
      <c r="M2148" s="556"/>
      <c r="N2148" s="556"/>
      <c r="O2148" s="556"/>
      <c r="P2148" s="554"/>
      <c r="Q2148" s="182"/>
      <c r="R2148" s="554"/>
      <c r="S2148" s="113">
        <f t="shared" ca="1" si="893"/>
        <v>0</v>
      </c>
      <c r="T2148" s="113">
        <f t="shared" ca="1" si="894"/>
        <v>0</v>
      </c>
      <c r="U2148" s="557">
        <f t="shared" ca="1" si="895"/>
        <v>0</v>
      </c>
    </row>
    <row r="2149" spans="1:21" s="552" customFormat="1" ht="15" customHeight="1">
      <c r="A2149" s="621"/>
      <c r="B2149" s="622" t="s">
        <v>3794</v>
      </c>
      <c r="C2149" s="633" t="str">
        <f t="shared" ca="1" si="887"/>
        <v xml:space="preserve"> </v>
      </c>
      <c r="D2149" s="553"/>
      <c r="E2149" s="694" t="s">
        <v>4337</v>
      </c>
      <c r="F2149" s="555" t="str">
        <f>VLOOKUP($B2149,dongia1,DG!$D$5,)</f>
        <v>km</v>
      </c>
      <c r="G2149" s="205">
        <f t="shared" ca="1" si="896"/>
        <v>0</v>
      </c>
      <c r="H2149" s="556">
        <f t="shared" ca="1" si="891"/>
        <v>0</v>
      </c>
      <c r="I2149" s="556"/>
      <c r="J2149" s="556"/>
      <c r="K2149" s="556"/>
      <c r="L2149" s="556"/>
      <c r="M2149" s="556"/>
      <c r="N2149" s="556"/>
      <c r="O2149" s="556"/>
      <c r="P2149" s="554"/>
      <c r="Q2149" s="182">
        <f>VLOOKUP($B2149,dongia1,DG!$G$5,)</f>
        <v>13607000</v>
      </c>
      <c r="R2149" s="554"/>
      <c r="S2149" s="113">
        <f t="shared" ca="1" si="893"/>
        <v>0</v>
      </c>
      <c r="T2149" s="113">
        <f t="shared" ca="1" si="894"/>
        <v>0</v>
      </c>
      <c r="U2149" s="557">
        <f t="shared" ca="1" si="895"/>
        <v>0</v>
      </c>
    </row>
    <row r="2150" spans="1:21" s="552" customFormat="1" ht="15" customHeight="1">
      <c r="A2150" s="621"/>
      <c r="B2150" s="622" t="s">
        <v>5100</v>
      </c>
      <c r="C2150" s="633" t="str">
        <f t="shared" ca="1" si="887"/>
        <v xml:space="preserve"> </v>
      </c>
      <c r="D2150" s="553"/>
      <c r="E2150" s="694" t="s">
        <v>4338</v>
      </c>
      <c r="F2150" s="555" t="str">
        <f>VLOOKUP($B2150,dongia1,DG!$D$5,)</f>
        <v>km</v>
      </c>
      <c r="G2150" s="205">
        <f t="shared" ca="1" si="896"/>
        <v>0</v>
      </c>
      <c r="H2150" s="556">
        <f t="shared" ca="1" si="891"/>
        <v>0</v>
      </c>
      <c r="I2150" s="556"/>
      <c r="J2150" s="556"/>
      <c r="K2150" s="556"/>
      <c r="L2150" s="556"/>
      <c r="M2150" s="556"/>
      <c r="N2150" s="556"/>
      <c r="O2150" s="556"/>
      <c r="P2150" s="554"/>
      <c r="Q2150" s="182">
        <f>VLOOKUP($B2150,dongia1,DG!$G$5,)</f>
        <v>11338800</v>
      </c>
      <c r="R2150" s="554"/>
      <c r="S2150" s="113">
        <f t="shared" ca="1" si="893"/>
        <v>0</v>
      </c>
      <c r="T2150" s="113">
        <f t="shared" ca="1" si="894"/>
        <v>0</v>
      </c>
      <c r="U2150" s="557">
        <f t="shared" ca="1" si="895"/>
        <v>0</v>
      </c>
    </row>
    <row r="2151" spans="1:21" s="552" customFormat="1" ht="15" customHeight="1">
      <c r="A2151" s="621"/>
      <c r="B2151" s="622" t="s">
        <v>5097</v>
      </c>
      <c r="C2151" s="633" t="str">
        <f t="shared" ca="1" si="887"/>
        <v xml:space="preserve"> </v>
      </c>
      <c r="D2151" s="553"/>
      <c r="E2151" s="694" t="s">
        <v>4339</v>
      </c>
      <c r="F2151" s="555" t="str">
        <f>VLOOKUP($B2151,dongia1,DG!$D$5,)</f>
        <v>km</v>
      </c>
      <c r="G2151" s="205">
        <f t="shared" ca="1" si="896"/>
        <v>0</v>
      </c>
      <c r="H2151" s="556">
        <f t="shared" ca="1" si="891"/>
        <v>0</v>
      </c>
      <c r="I2151" s="556"/>
      <c r="J2151" s="556"/>
      <c r="K2151" s="556"/>
      <c r="L2151" s="556"/>
      <c r="M2151" s="556"/>
      <c r="N2151" s="556"/>
      <c r="O2151" s="556"/>
      <c r="P2151" s="554"/>
      <c r="Q2151" s="182">
        <f>VLOOKUP($B2151,dongia1,DG!$G$5,)</f>
        <v>8588800</v>
      </c>
      <c r="R2151" s="554"/>
      <c r="S2151" s="113">
        <f t="shared" ca="1" si="893"/>
        <v>0</v>
      </c>
      <c r="T2151" s="113">
        <f t="shared" ca="1" si="894"/>
        <v>0</v>
      </c>
      <c r="U2151" s="557">
        <f t="shared" ca="1" si="895"/>
        <v>0</v>
      </c>
    </row>
    <row r="2152" spans="1:21" s="552" customFormat="1" ht="15" customHeight="1">
      <c r="A2152" s="621"/>
      <c r="B2152" s="622" t="s">
        <v>5094</v>
      </c>
      <c r="C2152" s="633" t="str">
        <f t="shared" ca="1" si="887"/>
        <v xml:space="preserve"> </v>
      </c>
      <c r="D2152" s="553"/>
      <c r="E2152" s="694" t="s">
        <v>4340</v>
      </c>
      <c r="F2152" s="555" t="str">
        <f>VLOOKUP($B2152,dongia1,DG!$D$5,)</f>
        <v>km</v>
      </c>
      <c r="G2152" s="205">
        <f t="shared" ca="1" si="896"/>
        <v>0</v>
      </c>
      <c r="H2152" s="556">
        <f t="shared" ca="1" si="891"/>
        <v>0</v>
      </c>
      <c r="I2152" s="556"/>
      <c r="J2152" s="556"/>
      <c r="K2152" s="556"/>
      <c r="L2152" s="556"/>
      <c r="M2152" s="556"/>
      <c r="N2152" s="556"/>
      <c r="O2152" s="556"/>
      <c r="P2152" s="554"/>
      <c r="Q2152" s="182">
        <f>VLOOKUP($B2152,dongia1,DG!$G$5,)</f>
        <v>6193000</v>
      </c>
      <c r="R2152" s="554"/>
      <c r="S2152" s="113">
        <f t="shared" ca="1" si="893"/>
        <v>0</v>
      </c>
      <c r="T2152" s="113">
        <f t="shared" ca="1" si="894"/>
        <v>0</v>
      </c>
      <c r="U2152" s="557">
        <f t="shared" ca="1" si="895"/>
        <v>0</v>
      </c>
    </row>
    <row r="2153" spans="1:21" s="552" customFormat="1" ht="15" customHeight="1">
      <c r="A2153" s="621"/>
      <c r="B2153" s="622" t="s">
        <v>5091</v>
      </c>
      <c r="C2153" s="633" t="str">
        <f t="shared" ca="1" si="887"/>
        <v xml:space="preserve"> </v>
      </c>
      <c r="D2153" s="553"/>
      <c r="E2153" s="694" t="s">
        <v>4341</v>
      </c>
      <c r="F2153" s="555" t="str">
        <f>VLOOKUP($B2153,dongia1,DG!$D$5,)</f>
        <v>km</v>
      </c>
      <c r="G2153" s="205">
        <f t="shared" ca="1" si="896"/>
        <v>0</v>
      </c>
      <c r="H2153" s="556">
        <f t="shared" ca="1" si="891"/>
        <v>0</v>
      </c>
      <c r="I2153" s="556"/>
      <c r="J2153" s="556"/>
      <c r="K2153" s="556"/>
      <c r="L2153" s="556"/>
      <c r="M2153" s="556"/>
      <c r="N2153" s="556"/>
      <c r="O2153" s="556"/>
      <c r="P2153" s="554"/>
      <c r="Q2153" s="182">
        <f>VLOOKUP($B2153,dongia1,DG!$G$5,)</f>
        <v>5247000</v>
      </c>
      <c r="R2153" s="554"/>
      <c r="S2153" s="113">
        <f t="shared" ca="1" si="893"/>
        <v>0</v>
      </c>
      <c r="T2153" s="113">
        <f t="shared" ca="1" si="894"/>
        <v>0</v>
      </c>
      <c r="U2153" s="557">
        <f t="shared" ca="1" si="895"/>
        <v>0</v>
      </c>
    </row>
    <row r="2154" spans="1:21" s="552" customFormat="1" ht="15" customHeight="1">
      <c r="A2154" s="621"/>
      <c r="B2154" s="622" t="s">
        <v>3794</v>
      </c>
      <c r="C2154" s="633" t="str">
        <f t="shared" ref="C2154:C2177" ca="1" si="897">IF(G2154&lt;&gt;0,$C$2025," ")</f>
        <v xml:space="preserve"> </v>
      </c>
      <c r="D2154" s="553"/>
      <c r="E2154" s="694" t="s">
        <v>4342</v>
      </c>
      <c r="F2154" s="555" t="str">
        <f>VLOOKUP($B2154,dongia1,DG!$D$5,)</f>
        <v>km</v>
      </c>
      <c r="G2154" s="205">
        <f t="shared" ca="1" si="896"/>
        <v>0</v>
      </c>
      <c r="H2154" s="556">
        <f t="shared" ca="1" si="891"/>
        <v>0</v>
      </c>
      <c r="I2154" s="556"/>
      <c r="J2154" s="556"/>
      <c r="K2154" s="556"/>
      <c r="L2154" s="556"/>
      <c r="M2154" s="556"/>
      <c r="N2154" s="556"/>
      <c r="O2154" s="556"/>
      <c r="P2154" s="554"/>
      <c r="Q2154" s="182">
        <f>VLOOKUP($B2154,dongia1,DG!$G$5,)</f>
        <v>13607000</v>
      </c>
      <c r="R2154" s="554"/>
      <c r="S2154" s="113">
        <f t="shared" ca="1" si="893"/>
        <v>0</v>
      </c>
      <c r="T2154" s="113">
        <f t="shared" ca="1" si="894"/>
        <v>0</v>
      </c>
      <c r="U2154" s="557">
        <f t="shared" ca="1" si="895"/>
        <v>0</v>
      </c>
    </row>
    <row r="2155" spans="1:21" s="552" customFormat="1" ht="15" customHeight="1">
      <c r="A2155" s="621"/>
      <c r="B2155" s="622" t="s">
        <v>5100</v>
      </c>
      <c r="C2155" s="633" t="str">
        <f t="shared" ca="1" si="897"/>
        <v xml:space="preserve"> </v>
      </c>
      <c r="D2155" s="553"/>
      <c r="E2155" s="694" t="s">
        <v>4343</v>
      </c>
      <c r="F2155" s="555" t="str">
        <f>VLOOKUP($B2155,dongia1,DG!$D$5,)</f>
        <v>km</v>
      </c>
      <c r="G2155" s="205">
        <f t="shared" ca="1" si="896"/>
        <v>0</v>
      </c>
      <c r="H2155" s="556">
        <f t="shared" ca="1" si="891"/>
        <v>0</v>
      </c>
      <c r="I2155" s="556"/>
      <c r="J2155" s="556"/>
      <c r="K2155" s="556"/>
      <c r="L2155" s="556"/>
      <c r="M2155" s="556"/>
      <c r="N2155" s="556"/>
      <c r="O2155" s="556"/>
      <c r="P2155" s="554"/>
      <c r="Q2155" s="182">
        <f>VLOOKUP($B2155,dongia1,DG!$G$5,)</f>
        <v>11338800</v>
      </c>
      <c r="R2155" s="554"/>
      <c r="S2155" s="113">
        <f t="shared" ca="1" si="893"/>
        <v>0</v>
      </c>
      <c r="T2155" s="113">
        <f t="shared" ca="1" si="894"/>
        <v>0</v>
      </c>
      <c r="U2155" s="557">
        <f t="shared" ca="1" si="895"/>
        <v>0</v>
      </c>
    </row>
    <row r="2156" spans="1:21" s="552" customFormat="1" ht="15" customHeight="1">
      <c r="A2156" s="621"/>
      <c r="B2156" s="622" t="s">
        <v>5097</v>
      </c>
      <c r="C2156" s="633" t="str">
        <f t="shared" ca="1" si="897"/>
        <v xml:space="preserve"> </v>
      </c>
      <c r="D2156" s="553"/>
      <c r="E2156" s="694" t="s">
        <v>4344</v>
      </c>
      <c r="F2156" s="555" t="str">
        <f>VLOOKUP($B2156,dongia1,DG!$D$5,)</f>
        <v>km</v>
      </c>
      <c r="G2156" s="205">
        <f t="shared" ca="1" si="896"/>
        <v>0</v>
      </c>
      <c r="H2156" s="556">
        <f t="shared" ca="1" si="891"/>
        <v>0</v>
      </c>
      <c r="I2156" s="556"/>
      <c r="J2156" s="556"/>
      <c r="K2156" s="556"/>
      <c r="L2156" s="556"/>
      <c r="M2156" s="556"/>
      <c r="N2156" s="556"/>
      <c r="O2156" s="556"/>
      <c r="P2156" s="554"/>
      <c r="Q2156" s="182">
        <f>VLOOKUP($B2156,dongia1,DG!$G$5,)</f>
        <v>8588800</v>
      </c>
      <c r="R2156" s="554"/>
      <c r="S2156" s="113">
        <f t="shared" ca="1" si="893"/>
        <v>0</v>
      </c>
      <c r="T2156" s="113">
        <f t="shared" ca="1" si="894"/>
        <v>0</v>
      </c>
      <c r="U2156" s="557">
        <f t="shared" ca="1" si="895"/>
        <v>0</v>
      </c>
    </row>
    <row r="2157" spans="1:21" s="552" customFormat="1" ht="15" customHeight="1">
      <c r="A2157" s="621"/>
      <c r="B2157" s="622" t="s">
        <v>5094</v>
      </c>
      <c r="C2157" s="633" t="str">
        <f t="shared" ca="1" si="897"/>
        <v xml:space="preserve"> </v>
      </c>
      <c r="D2157" s="553"/>
      <c r="E2157" s="694" t="s">
        <v>4345</v>
      </c>
      <c r="F2157" s="555" t="str">
        <f>VLOOKUP($B2157,dongia1,DG!$D$5,)</f>
        <v>km</v>
      </c>
      <c r="G2157" s="205">
        <f t="shared" ca="1" si="896"/>
        <v>0</v>
      </c>
      <c r="H2157" s="556">
        <f t="shared" ca="1" si="891"/>
        <v>0</v>
      </c>
      <c r="I2157" s="556"/>
      <c r="J2157" s="556"/>
      <c r="K2157" s="556"/>
      <c r="L2157" s="556"/>
      <c r="M2157" s="556"/>
      <c r="N2157" s="556"/>
      <c r="O2157" s="556"/>
      <c r="P2157" s="554"/>
      <c r="Q2157" s="182">
        <f>VLOOKUP($B2157,dongia1,DG!$G$5,)</f>
        <v>6193000</v>
      </c>
      <c r="R2157" s="554"/>
      <c r="S2157" s="113">
        <f t="shared" ca="1" si="893"/>
        <v>0</v>
      </c>
      <c r="T2157" s="113">
        <f t="shared" ca="1" si="894"/>
        <v>0</v>
      </c>
      <c r="U2157" s="557">
        <f t="shared" ca="1" si="895"/>
        <v>0</v>
      </c>
    </row>
    <row r="2158" spans="1:21" s="552" customFormat="1" ht="15" customHeight="1">
      <c r="A2158" s="621"/>
      <c r="B2158" s="622" t="s">
        <v>5091</v>
      </c>
      <c r="C2158" s="633" t="str">
        <f t="shared" ca="1" si="897"/>
        <v xml:space="preserve"> </v>
      </c>
      <c r="D2158" s="553"/>
      <c r="E2158" s="694" t="s">
        <v>4346</v>
      </c>
      <c r="F2158" s="555" t="str">
        <f>VLOOKUP($B2158,dongia1,DG!$D$5,)</f>
        <v>km</v>
      </c>
      <c r="G2158" s="205">
        <f t="shared" ca="1" si="896"/>
        <v>0</v>
      </c>
      <c r="H2158" s="556">
        <f t="shared" ca="1" si="891"/>
        <v>0</v>
      </c>
      <c r="I2158" s="556"/>
      <c r="J2158" s="556"/>
      <c r="K2158" s="556"/>
      <c r="L2158" s="556"/>
      <c r="M2158" s="556"/>
      <c r="N2158" s="556"/>
      <c r="O2158" s="556"/>
      <c r="P2158" s="554"/>
      <c r="Q2158" s="182">
        <f>VLOOKUP($B2158,dongia1,DG!$G$5,)</f>
        <v>5247000</v>
      </c>
      <c r="R2158" s="554"/>
      <c r="S2158" s="113">
        <f t="shared" ca="1" si="893"/>
        <v>0</v>
      </c>
      <c r="T2158" s="113">
        <f t="shared" ca="1" si="894"/>
        <v>0</v>
      </c>
      <c r="U2158" s="557">
        <f t="shared" ca="1" si="895"/>
        <v>0</v>
      </c>
    </row>
    <row r="2159" spans="1:21" s="552" customFormat="1" ht="15" customHeight="1">
      <c r="A2159" s="621"/>
      <c r="B2159" s="622" t="s">
        <v>531</v>
      </c>
      <c r="C2159" s="633" t="str">
        <f t="shared" ca="1" si="897"/>
        <v xml:space="preserve"> </v>
      </c>
      <c r="D2159" s="553"/>
      <c r="E2159" s="694" t="s">
        <v>4361</v>
      </c>
      <c r="F2159" s="555" t="str">
        <f>VLOOKUP($B2159,dongia1,DG!$D$5,)</f>
        <v>bộ</v>
      </c>
      <c r="G2159" s="205">
        <f t="shared" ref="G2159:G2176" ca="1" si="898">SUMIF(laplaivtht,$E2159,sllaplaivtht)</f>
        <v>0</v>
      </c>
      <c r="H2159" s="556">
        <f t="shared" ca="1" si="891"/>
        <v>0</v>
      </c>
      <c r="I2159" s="556"/>
      <c r="J2159" s="556"/>
      <c r="K2159" s="556"/>
      <c r="L2159" s="556"/>
      <c r="M2159" s="556"/>
      <c r="N2159" s="556"/>
      <c r="O2159" s="556"/>
      <c r="P2159" s="554"/>
      <c r="Q2159" s="182">
        <f>VLOOKUP($B2159,dongia1,DG!$G$5,)</f>
        <v>112115</v>
      </c>
      <c r="R2159" s="554"/>
      <c r="S2159" s="113">
        <f t="shared" ca="1" si="893"/>
        <v>0</v>
      </c>
      <c r="T2159" s="113">
        <f t="shared" ca="1" si="894"/>
        <v>0</v>
      </c>
      <c r="U2159" s="557">
        <f t="shared" ca="1" si="895"/>
        <v>0</v>
      </c>
    </row>
    <row r="2160" spans="1:21" s="552" customFormat="1" ht="15" customHeight="1">
      <c r="A2160" s="621"/>
      <c r="B2160" s="622" t="s">
        <v>1110</v>
      </c>
      <c r="C2160" s="633" t="str">
        <f t="shared" ca="1" si="897"/>
        <v xml:space="preserve"> </v>
      </c>
      <c r="D2160" s="553"/>
      <c r="E2160" s="694" t="s">
        <v>4362</v>
      </c>
      <c r="F2160" s="555" t="str">
        <f>VLOOKUP($B2160,dongia1,DG!$D$5,)</f>
        <v>bộ</v>
      </c>
      <c r="G2160" s="205">
        <f t="shared" ca="1" si="898"/>
        <v>0</v>
      </c>
      <c r="H2160" s="556">
        <f t="shared" ca="1" si="891"/>
        <v>0</v>
      </c>
      <c r="I2160" s="556"/>
      <c r="J2160" s="556"/>
      <c r="K2160" s="556"/>
      <c r="L2160" s="556"/>
      <c r="M2160" s="556"/>
      <c r="N2160" s="556"/>
      <c r="O2160" s="556"/>
      <c r="P2160" s="554"/>
      <c r="Q2160" s="182">
        <f>VLOOKUP($B2160,dongia1,DG!$G$5,)</f>
        <v>79500</v>
      </c>
      <c r="R2160" s="554"/>
      <c r="S2160" s="113">
        <f t="shared" ca="1" si="893"/>
        <v>0</v>
      </c>
      <c r="T2160" s="113">
        <f t="shared" ca="1" si="894"/>
        <v>0</v>
      </c>
      <c r="U2160" s="557">
        <f t="shared" ca="1" si="895"/>
        <v>0</v>
      </c>
    </row>
    <row r="2161" spans="1:21" s="552" customFormat="1" ht="15" customHeight="1">
      <c r="A2161" s="621"/>
      <c r="B2161" s="622" t="s">
        <v>1471</v>
      </c>
      <c r="C2161" s="633" t="str">
        <f t="shared" ca="1" si="897"/>
        <v xml:space="preserve"> </v>
      </c>
      <c r="D2161" s="553"/>
      <c r="E2161" s="694" t="s">
        <v>4363</v>
      </c>
      <c r="F2161" s="555" t="str">
        <f>VLOOKUP($B2161,dongia1,DG!$D$5,)</f>
        <v>bộ</v>
      </c>
      <c r="G2161" s="205">
        <f t="shared" ca="1" si="898"/>
        <v>0</v>
      </c>
      <c r="H2161" s="556">
        <f t="shared" ca="1" si="891"/>
        <v>0</v>
      </c>
      <c r="I2161" s="556"/>
      <c r="J2161" s="556"/>
      <c r="K2161" s="556"/>
      <c r="L2161" s="556"/>
      <c r="M2161" s="556"/>
      <c r="N2161" s="556"/>
      <c r="O2161" s="556"/>
      <c r="P2161" s="554"/>
      <c r="Q2161" s="182">
        <f>VLOOKUP($B2161,dongia1,DG!$G$5,)</f>
        <v>57077</v>
      </c>
      <c r="R2161" s="554"/>
      <c r="S2161" s="113">
        <f t="shared" ca="1" si="893"/>
        <v>0</v>
      </c>
      <c r="T2161" s="113">
        <f t="shared" ca="1" si="894"/>
        <v>0</v>
      </c>
      <c r="U2161" s="557">
        <f t="shared" ca="1" si="895"/>
        <v>0</v>
      </c>
    </row>
    <row r="2162" spans="1:21" s="552" customFormat="1" ht="15" customHeight="1">
      <c r="A2162" s="621"/>
      <c r="B2162" s="622" t="s">
        <v>602</v>
      </c>
      <c r="C2162" s="633" t="str">
        <f t="shared" ca="1" si="897"/>
        <v xml:space="preserve"> </v>
      </c>
      <c r="D2162" s="553"/>
      <c r="E2162" s="694" t="s">
        <v>4364</v>
      </c>
      <c r="F2162" s="555" t="str">
        <f>VLOOKUP($B2162,dongia1,DG!$D$5,)</f>
        <v>bộ</v>
      </c>
      <c r="G2162" s="205">
        <f t="shared" ca="1" si="898"/>
        <v>0</v>
      </c>
      <c r="H2162" s="556">
        <f t="shared" ca="1" si="891"/>
        <v>0</v>
      </c>
      <c r="I2162" s="556"/>
      <c r="J2162" s="556"/>
      <c r="K2162" s="556"/>
      <c r="L2162" s="556"/>
      <c r="M2162" s="556"/>
      <c r="N2162" s="556"/>
      <c r="O2162" s="556"/>
      <c r="P2162" s="554"/>
      <c r="Q2162" s="182">
        <f>VLOOKUP($B2162,dongia1,DG!$G$5,)</f>
        <v>15471.9</v>
      </c>
      <c r="R2162" s="554"/>
      <c r="S2162" s="113">
        <f t="shared" ca="1" si="893"/>
        <v>0</v>
      </c>
      <c r="T2162" s="113">
        <f t="shared" ca="1" si="894"/>
        <v>0</v>
      </c>
      <c r="U2162" s="718">
        <f t="shared" ca="1" si="895"/>
        <v>0</v>
      </c>
    </row>
    <row r="2163" spans="1:21" s="552" customFormat="1" ht="15" customHeight="1">
      <c r="A2163" s="621"/>
      <c r="B2163" s="622"/>
      <c r="C2163" s="633" t="str">
        <f t="shared" ca="1" si="897"/>
        <v xml:space="preserve"> </v>
      </c>
      <c r="D2163" s="553"/>
      <c r="E2163" s="694" t="s">
        <v>4365</v>
      </c>
      <c r="F2163" s="555" t="s">
        <v>2226</v>
      </c>
      <c r="G2163" s="205">
        <f t="shared" ca="1" si="898"/>
        <v>0</v>
      </c>
      <c r="H2163" s="556">
        <f t="shared" ca="1" si="891"/>
        <v>0</v>
      </c>
      <c r="I2163" s="556"/>
      <c r="J2163" s="556"/>
      <c r="K2163" s="556"/>
      <c r="L2163" s="556"/>
      <c r="M2163" s="556"/>
      <c r="N2163" s="556"/>
      <c r="O2163" s="556"/>
      <c r="P2163" s="554"/>
      <c r="Q2163" s="182"/>
      <c r="R2163" s="554"/>
      <c r="S2163" s="113">
        <f t="shared" ca="1" si="893"/>
        <v>0</v>
      </c>
      <c r="T2163" s="113">
        <f t="shared" ca="1" si="894"/>
        <v>0</v>
      </c>
      <c r="U2163" s="715">
        <f t="shared" ca="1" si="895"/>
        <v>0</v>
      </c>
    </row>
    <row r="2164" spans="1:21" s="552" customFormat="1" ht="15" customHeight="1">
      <c r="A2164" s="621"/>
      <c r="B2164" s="622"/>
      <c r="C2164" s="633" t="str">
        <f t="shared" ca="1" si="897"/>
        <v xml:space="preserve"> </v>
      </c>
      <c r="D2164" s="553"/>
      <c r="E2164" s="694" t="s">
        <v>4366</v>
      </c>
      <c r="F2164" s="555" t="s">
        <v>2226</v>
      </c>
      <c r="G2164" s="205">
        <f t="shared" ca="1" si="898"/>
        <v>0</v>
      </c>
      <c r="H2164" s="556">
        <f t="shared" ca="1" si="891"/>
        <v>0</v>
      </c>
      <c r="I2164" s="556"/>
      <c r="J2164" s="556"/>
      <c r="K2164" s="556"/>
      <c r="L2164" s="556"/>
      <c r="M2164" s="556"/>
      <c r="N2164" s="556"/>
      <c r="O2164" s="556"/>
      <c r="P2164" s="554"/>
      <c r="Q2164" s="182"/>
      <c r="R2164" s="554"/>
      <c r="S2164" s="113">
        <f t="shared" ca="1" si="893"/>
        <v>0</v>
      </c>
      <c r="T2164" s="113">
        <f t="shared" ca="1" si="894"/>
        <v>0</v>
      </c>
      <c r="U2164" s="557">
        <f t="shared" ca="1" si="895"/>
        <v>0</v>
      </c>
    </row>
    <row r="2165" spans="1:21" s="552" customFormat="1" ht="15" customHeight="1">
      <c r="A2165" s="621"/>
      <c r="B2165" s="622"/>
      <c r="C2165" s="633" t="str">
        <f t="shared" ca="1" si="897"/>
        <v xml:space="preserve"> </v>
      </c>
      <c r="D2165" s="553"/>
      <c r="E2165" s="694" t="s">
        <v>4367</v>
      </c>
      <c r="F2165" s="555" t="s">
        <v>2226</v>
      </c>
      <c r="G2165" s="205">
        <f t="shared" ca="1" si="898"/>
        <v>0</v>
      </c>
      <c r="H2165" s="556">
        <f t="shared" ca="1" si="891"/>
        <v>0</v>
      </c>
      <c r="I2165" s="556"/>
      <c r="J2165" s="556"/>
      <c r="K2165" s="556"/>
      <c r="L2165" s="556"/>
      <c r="M2165" s="556"/>
      <c r="N2165" s="556"/>
      <c r="O2165" s="556"/>
      <c r="P2165" s="554"/>
      <c r="Q2165" s="182"/>
      <c r="R2165" s="554"/>
      <c r="S2165" s="113">
        <f t="shared" ca="1" si="893"/>
        <v>0</v>
      </c>
      <c r="T2165" s="113">
        <f t="shared" ca="1" si="894"/>
        <v>0</v>
      </c>
      <c r="U2165" s="557">
        <f t="shared" ca="1" si="895"/>
        <v>0</v>
      </c>
    </row>
    <row r="2166" spans="1:21" s="552" customFormat="1" ht="15" customHeight="1">
      <c r="A2166" s="621"/>
      <c r="B2166" s="622"/>
      <c r="C2166" s="633" t="str">
        <f t="shared" ca="1" si="897"/>
        <v xml:space="preserve"> </v>
      </c>
      <c r="D2166" s="553"/>
      <c r="E2166" s="694" t="s">
        <v>4368</v>
      </c>
      <c r="F2166" s="555" t="s">
        <v>2226</v>
      </c>
      <c r="G2166" s="205">
        <f t="shared" ca="1" si="898"/>
        <v>0</v>
      </c>
      <c r="H2166" s="556">
        <f t="shared" ca="1" si="891"/>
        <v>0</v>
      </c>
      <c r="I2166" s="556"/>
      <c r="J2166" s="556"/>
      <c r="K2166" s="556"/>
      <c r="L2166" s="556"/>
      <c r="M2166" s="556"/>
      <c r="N2166" s="556"/>
      <c r="O2166" s="556"/>
      <c r="P2166" s="554"/>
      <c r="Q2166" s="182"/>
      <c r="R2166" s="554"/>
      <c r="S2166" s="113">
        <f t="shared" ca="1" si="893"/>
        <v>0</v>
      </c>
      <c r="T2166" s="113">
        <f t="shared" ca="1" si="894"/>
        <v>0</v>
      </c>
      <c r="U2166" s="557">
        <f t="shared" ca="1" si="895"/>
        <v>0</v>
      </c>
    </row>
    <row r="2167" spans="1:21" s="552" customFormat="1" ht="15" customHeight="1">
      <c r="A2167" s="621"/>
      <c r="B2167" s="622"/>
      <c r="C2167" s="633" t="str">
        <f t="shared" ca="1" si="897"/>
        <v xml:space="preserve"> </v>
      </c>
      <c r="D2167" s="553"/>
      <c r="E2167" s="694" t="s">
        <v>4369</v>
      </c>
      <c r="F2167" s="555" t="s">
        <v>2226</v>
      </c>
      <c r="G2167" s="205">
        <f t="shared" ca="1" si="898"/>
        <v>0</v>
      </c>
      <c r="H2167" s="556">
        <f t="shared" ca="1" si="891"/>
        <v>0</v>
      </c>
      <c r="I2167" s="556"/>
      <c r="J2167" s="556"/>
      <c r="K2167" s="556"/>
      <c r="L2167" s="556"/>
      <c r="M2167" s="556"/>
      <c r="N2167" s="556"/>
      <c r="O2167" s="556"/>
      <c r="P2167" s="554"/>
      <c r="Q2167" s="182"/>
      <c r="R2167" s="554"/>
      <c r="S2167" s="113">
        <f t="shared" ca="1" si="893"/>
        <v>0</v>
      </c>
      <c r="T2167" s="113">
        <f t="shared" ca="1" si="894"/>
        <v>0</v>
      </c>
      <c r="U2167" s="557">
        <f t="shared" ca="1" si="895"/>
        <v>0</v>
      </c>
    </row>
    <row r="2168" spans="1:21" s="552" customFormat="1" ht="15" customHeight="1">
      <c r="A2168" s="621"/>
      <c r="B2168" s="622"/>
      <c r="C2168" s="633" t="str">
        <f t="shared" ca="1" si="897"/>
        <v xml:space="preserve"> </v>
      </c>
      <c r="D2168" s="553"/>
      <c r="E2168" s="694" t="s">
        <v>4370</v>
      </c>
      <c r="F2168" s="555" t="s">
        <v>2226</v>
      </c>
      <c r="G2168" s="205">
        <f t="shared" ca="1" si="898"/>
        <v>0</v>
      </c>
      <c r="H2168" s="556">
        <f t="shared" ca="1" si="891"/>
        <v>0</v>
      </c>
      <c r="I2168" s="556"/>
      <c r="J2168" s="556"/>
      <c r="K2168" s="556"/>
      <c r="L2168" s="556"/>
      <c r="M2168" s="556"/>
      <c r="N2168" s="556"/>
      <c r="O2168" s="556"/>
      <c r="P2168" s="554"/>
      <c r="Q2168" s="182"/>
      <c r="R2168" s="554"/>
      <c r="S2168" s="113">
        <f t="shared" ca="1" si="893"/>
        <v>0</v>
      </c>
      <c r="T2168" s="113">
        <f t="shared" ca="1" si="894"/>
        <v>0</v>
      </c>
      <c r="U2168" s="557">
        <f t="shared" ca="1" si="895"/>
        <v>0</v>
      </c>
    </row>
    <row r="2169" spans="1:21" s="552" customFormat="1" ht="15" customHeight="1">
      <c r="A2169" s="621"/>
      <c r="B2169" s="622"/>
      <c r="C2169" s="633" t="str">
        <f t="shared" ca="1" si="897"/>
        <v xml:space="preserve"> </v>
      </c>
      <c r="D2169" s="553"/>
      <c r="E2169" s="694" t="s">
        <v>4371</v>
      </c>
      <c r="F2169" s="555" t="s">
        <v>2226</v>
      </c>
      <c r="G2169" s="205">
        <f t="shared" ca="1" si="898"/>
        <v>0</v>
      </c>
      <c r="H2169" s="556">
        <f t="shared" ca="1" si="891"/>
        <v>0</v>
      </c>
      <c r="I2169" s="556"/>
      <c r="J2169" s="556"/>
      <c r="K2169" s="556"/>
      <c r="L2169" s="556"/>
      <c r="M2169" s="556"/>
      <c r="N2169" s="556"/>
      <c r="O2169" s="556"/>
      <c r="P2169" s="554"/>
      <c r="Q2169" s="182"/>
      <c r="R2169" s="554"/>
      <c r="S2169" s="113">
        <f t="shared" ca="1" si="893"/>
        <v>0</v>
      </c>
      <c r="T2169" s="113">
        <f t="shared" ca="1" si="894"/>
        <v>0</v>
      </c>
      <c r="U2169" s="557">
        <f t="shared" ca="1" si="895"/>
        <v>0</v>
      </c>
    </row>
    <row r="2170" spans="1:21" s="552" customFormat="1" ht="15" customHeight="1">
      <c r="A2170" s="621"/>
      <c r="B2170" s="622"/>
      <c r="C2170" s="633" t="str">
        <f t="shared" ca="1" si="897"/>
        <v xml:space="preserve"> </v>
      </c>
      <c r="D2170" s="553"/>
      <c r="E2170" s="694" t="s">
        <v>4372</v>
      </c>
      <c r="F2170" s="555" t="s">
        <v>2226</v>
      </c>
      <c r="G2170" s="205">
        <f t="shared" ca="1" si="898"/>
        <v>0</v>
      </c>
      <c r="H2170" s="556">
        <f t="shared" ca="1" si="891"/>
        <v>0</v>
      </c>
      <c r="I2170" s="556"/>
      <c r="J2170" s="556"/>
      <c r="K2170" s="556"/>
      <c r="L2170" s="556"/>
      <c r="M2170" s="556"/>
      <c r="N2170" s="556"/>
      <c r="O2170" s="556"/>
      <c r="P2170" s="554"/>
      <c r="Q2170" s="182"/>
      <c r="R2170" s="554"/>
      <c r="S2170" s="113">
        <f t="shared" ca="1" si="893"/>
        <v>0</v>
      </c>
      <c r="T2170" s="113">
        <f t="shared" ca="1" si="894"/>
        <v>0</v>
      </c>
      <c r="U2170" s="557">
        <f t="shared" ca="1" si="895"/>
        <v>0</v>
      </c>
    </row>
    <row r="2171" spans="1:21" s="552" customFormat="1" ht="15" customHeight="1">
      <c r="A2171" s="621"/>
      <c r="B2171" s="622"/>
      <c r="C2171" s="633" t="str">
        <f t="shared" ca="1" si="897"/>
        <v xml:space="preserve"> </v>
      </c>
      <c r="D2171" s="553"/>
      <c r="E2171" s="694" t="s">
        <v>4373</v>
      </c>
      <c r="F2171" s="555" t="s">
        <v>2226</v>
      </c>
      <c r="G2171" s="205">
        <f t="shared" ca="1" si="898"/>
        <v>0</v>
      </c>
      <c r="H2171" s="556">
        <f t="shared" ca="1" si="891"/>
        <v>0</v>
      </c>
      <c r="I2171" s="556"/>
      <c r="J2171" s="556"/>
      <c r="K2171" s="556"/>
      <c r="L2171" s="556"/>
      <c r="M2171" s="556"/>
      <c r="N2171" s="556"/>
      <c r="O2171" s="556"/>
      <c r="P2171" s="554"/>
      <c r="Q2171" s="182"/>
      <c r="R2171" s="554"/>
      <c r="S2171" s="113">
        <f t="shared" ca="1" si="893"/>
        <v>0</v>
      </c>
      <c r="T2171" s="113">
        <f t="shared" ca="1" si="894"/>
        <v>0</v>
      </c>
      <c r="U2171" s="557">
        <f t="shared" ca="1" si="895"/>
        <v>0</v>
      </c>
    </row>
    <row r="2172" spans="1:21" s="552" customFormat="1" ht="15" customHeight="1">
      <c r="A2172" s="621"/>
      <c r="B2172" s="622"/>
      <c r="C2172" s="633" t="str">
        <f t="shared" ca="1" si="897"/>
        <v xml:space="preserve"> </v>
      </c>
      <c r="D2172" s="553"/>
      <c r="E2172" s="694" t="s">
        <v>4374</v>
      </c>
      <c r="F2172" s="555" t="s">
        <v>2226</v>
      </c>
      <c r="G2172" s="205">
        <f t="shared" ca="1" si="898"/>
        <v>0</v>
      </c>
      <c r="H2172" s="556">
        <f t="shared" ca="1" si="891"/>
        <v>0</v>
      </c>
      <c r="I2172" s="556"/>
      <c r="J2172" s="556"/>
      <c r="K2172" s="556"/>
      <c r="L2172" s="556"/>
      <c r="M2172" s="556"/>
      <c r="N2172" s="556"/>
      <c r="O2172" s="556"/>
      <c r="P2172" s="554"/>
      <c r="Q2172" s="182"/>
      <c r="R2172" s="554"/>
      <c r="S2172" s="113">
        <f t="shared" ca="1" si="893"/>
        <v>0</v>
      </c>
      <c r="T2172" s="113">
        <f t="shared" ca="1" si="894"/>
        <v>0</v>
      </c>
      <c r="U2172" s="557">
        <f t="shared" ca="1" si="895"/>
        <v>0</v>
      </c>
    </row>
    <row r="2173" spans="1:21" s="552" customFormat="1" ht="15" customHeight="1">
      <c r="A2173" s="621"/>
      <c r="B2173" s="563" t="s">
        <v>4437</v>
      </c>
      <c r="C2173" s="633" t="str">
        <f t="shared" ca="1" si="897"/>
        <v xml:space="preserve"> </v>
      </c>
      <c r="D2173" s="553"/>
      <c r="E2173" s="694" t="s">
        <v>4375</v>
      </c>
      <c r="F2173" s="555" t="str">
        <f>VLOOKUP($B2173,dongia1,DG!$D$5,)</f>
        <v>bộ</v>
      </c>
      <c r="G2173" s="205">
        <f t="shared" ca="1" si="898"/>
        <v>0</v>
      </c>
      <c r="H2173" s="556">
        <f t="shared" ca="1" si="891"/>
        <v>0</v>
      </c>
      <c r="I2173" s="556"/>
      <c r="J2173" s="556"/>
      <c r="K2173" s="556"/>
      <c r="L2173" s="556"/>
      <c r="M2173" s="556"/>
      <c r="N2173" s="556"/>
      <c r="O2173" s="556"/>
      <c r="P2173" s="554"/>
      <c r="Q2173" s="182">
        <f>VLOOKUP($B2173,dongia1,DG!$G$5,)</f>
        <v>0</v>
      </c>
      <c r="R2173" s="554"/>
      <c r="S2173" s="113">
        <f t="shared" ca="1" si="893"/>
        <v>0</v>
      </c>
      <c r="T2173" s="113">
        <f t="shared" ca="1" si="894"/>
        <v>0</v>
      </c>
      <c r="U2173" s="557">
        <f t="shared" ca="1" si="895"/>
        <v>0</v>
      </c>
    </row>
    <row r="2174" spans="1:21" s="552" customFormat="1" ht="15" customHeight="1">
      <c r="A2174" s="621"/>
      <c r="B2174" s="623" t="s">
        <v>4439</v>
      </c>
      <c r="C2174" s="633" t="str">
        <f t="shared" ca="1" si="897"/>
        <v xml:space="preserve"> </v>
      </c>
      <c r="D2174" s="553"/>
      <c r="E2174" s="694" t="s">
        <v>4436</v>
      </c>
      <c r="F2174" s="555" t="str">
        <f>VLOOKUP($B2174,dongia1,DG!$D$5,)</f>
        <v>cái</v>
      </c>
      <c r="G2174" s="205">
        <f t="shared" ca="1" si="898"/>
        <v>0</v>
      </c>
      <c r="H2174" s="556">
        <f t="shared" ca="1" si="891"/>
        <v>0</v>
      </c>
      <c r="I2174" s="556"/>
      <c r="J2174" s="556"/>
      <c r="K2174" s="556"/>
      <c r="L2174" s="556"/>
      <c r="M2174" s="556"/>
      <c r="N2174" s="556"/>
      <c r="O2174" s="556"/>
      <c r="P2174" s="554"/>
      <c r="Q2174" s="182">
        <f>VLOOKUP($B2174,dongia1,DG!$G$5,)</f>
        <v>23796</v>
      </c>
      <c r="R2174" s="554"/>
      <c r="S2174" s="113">
        <f t="shared" ca="1" si="893"/>
        <v>0</v>
      </c>
      <c r="T2174" s="113">
        <f t="shared" ca="1" si="894"/>
        <v>0</v>
      </c>
      <c r="U2174" s="718">
        <f t="shared" ca="1" si="895"/>
        <v>0</v>
      </c>
    </row>
    <row r="2175" spans="1:21" s="552" customFormat="1" ht="15" customHeight="1">
      <c r="A2175" s="621"/>
      <c r="B2175" s="622"/>
      <c r="C2175" s="633" t="str">
        <f t="shared" ca="1" si="897"/>
        <v xml:space="preserve"> </v>
      </c>
      <c r="D2175" s="553"/>
      <c r="E2175" s="694" t="s">
        <v>4435</v>
      </c>
      <c r="F2175" s="555" t="s">
        <v>2118</v>
      </c>
      <c r="G2175" s="205">
        <f t="shared" ca="1" si="898"/>
        <v>0</v>
      </c>
      <c r="H2175" s="556">
        <f t="shared" ca="1" si="891"/>
        <v>0</v>
      </c>
      <c r="I2175" s="556"/>
      <c r="J2175" s="556"/>
      <c r="K2175" s="556"/>
      <c r="L2175" s="556"/>
      <c r="M2175" s="556"/>
      <c r="N2175" s="556"/>
      <c r="O2175" s="556"/>
      <c r="P2175" s="554"/>
      <c r="Q2175" s="182"/>
      <c r="R2175" s="554"/>
      <c r="S2175" s="113">
        <f t="shared" ca="1" si="893"/>
        <v>0</v>
      </c>
      <c r="T2175" s="113">
        <f t="shared" ca="1" si="894"/>
        <v>0</v>
      </c>
      <c r="U2175" s="715">
        <f t="shared" ca="1" si="895"/>
        <v>0</v>
      </c>
    </row>
    <row r="2176" spans="1:21" s="552" customFormat="1" ht="15" customHeight="1">
      <c r="A2176" s="621"/>
      <c r="B2176" s="623" t="s">
        <v>4439</v>
      </c>
      <c r="C2176" s="633" t="str">
        <f t="shared" ca="1" si="897"/>
        <v xml:space="preserve"> </v>
      </c>
      <c r="D2176" s="553"/>
      <c r="E2176" s="694" t="s">
        <v>4378</v>
      </c>
      <c r="F2176" s="555" t="s">
        <v>2226</v>
      </c>
      <c r="G2176" s="205">
        <f t="shared" ca="1" si="898"/>
        <v>0</v>
      </c>
      <c r="H2176" s="556">
        <f t="shared" ca="1" si="891"/>
        <v>0</v>
      </c>
      <c r="I2176" s="556"/>
      <c r="J2176" s="556"/>
      <c r="K2176" s="556"/>
      <c r="L2176" s="556"/>
      <c r="M2176" s="556"/>
      <c r="N2176" s="556"/>
      <c r="O2176" s="556"/>
      <c r="P2176" s="554"/>
      <c r="Q2176" s="182">
        <f>VLOOKUP($B2176,dongia1,DG!$G$5,)</f>
        <v>23796</v>
      </c>
      <c r="R2176" s="554"/>
      <c r="S2176" s="113">
        <f ca="1">$G2176*P2176</f>
        <v>0</v>
      </c>
      <c r="T2176" s="113">
        <f ca="1">$G2176*Q2176</f>
        <v>0</v>
      </c>
      <c r="U2176" s="718">
        <f ca="1">$G2176*R2176</f>
        <v>0</v>
      </c>
    </row>
    <row r="2177" spans="1:21" s="552" customFormat="1" ht="15" customHeight="1">
      <c r="A2177" s="621"/>
      <c r="B2177" s="622"/>
      <c r="C2177" s="633" t="str">
        <f t="shared" si="897"/>
        <v xml:space="preserve"> </v>
      </c>
      <c r="D2177" s="553"/>
      <c r="E2177" s="694"/>
      <c r="F2177" s="555"/>
      <c r="G2177" s="205"/>
      <c r="H2177" s="556"/>
      <c r="I2177" s="556"/>
      <c r="J2177" s="556"/>
      <c r="K2177" s="556"/>
      <c r="L2177" s="556"/>
      <c r="M2177" s="556"/>
      <c r="N2177" s="556"/>
      <c r="O2177" s="556"/>
      <c r="P2177" s="554"/>
      <c r="Q2177" s="182"/>
      <c r="R2177" s="554"/>
      <c r="S2177" s="113"/>
      <c r="T2177" s="113"/>
      <c r="U2177" s="715"/>
    </row>
    <row r="2178" spans="1:21" s="552" customFormat="1" ht="15" customHeight="1">
      <c r="A2178" s="621" t="s">
        <v>378</v>
      </c>
      <c r="B2178" s="622"/>
      <c r="C2178" s="633"/>
      <c r="D2178" s="599"/>
      <c r="E2178" s="727" t="s">
        <v>3677</v>
      </c>
      <c r="F2178" s="600" t="s">
        <v>3694</v>
      </c>
      <c r="G2178" s="205"/>
      <c r="H2178" s="556"/>
      <c r="I2178" s="556"/>
      <c r="J2178" s="556"/>
      <c r="K2178" s="556"/>
      <c r="L2178" s="556"/>
      <c r="M2178" s="556"/>
      <c r="N2178" s="556"/>
      <c r="O2178" s="556"/>
      <c r="P2178" s="554"/>
      <c r="Q2178" s="554"/>
      <c r="R2178" s="554"/>
      <c r="S2178" s="601">
        <f>SUM(S2179:S2225)</f>
        <v>0</v>
      </c>
      <c r="T2178" s="601">
        <f>SUM(T2179:T2225)</f>
        <v>0</v>
      </c>
      <c r="U2178" s="602">
        <f>SUM(U2179:U2225)</f>
        <v>0</v>
      </c>
    </row>
    <row r="2179" spans="1:21" s="552" customFormat="1" ht="15" customHeight="1">
      <c r="A2179" s="621"/>
      <c r="B2179" s="622" t="s">
        <v>703</v>
      </c>
      <c r="C2179" s="633" t="str">
        <f t="shared" ref="C2179:C2185" si="899">IF(G2179&lt;&gt;0,$C$2178," ")</f>
        <v xml:space="preserve"> </v>
      </c>
      <c r="D2179" s="611"/>
      <c r="E2179" s="694" t="str">
        <f>VLOOKUP($B2179,dongia1,DG!$C$5,)</f>
        <v>Cáp Triplex 3x16</v>
      </c>
      <c r="F2179" s="555" t="str">
        <f>VLOOKUP($B2179,dongia1,DG!$D$5,)</f>
        <v>m</v>
      </c>
      <c r="G2179" s="205">
        <f>ROUND(D2179*1.02,0)</f>
        <v>0</v>
      </c>
      <c r="H2179" s="556">
        <f t="shared" ref="H2179:H2225" si="900">G2179</f>
        <v>0</v>
      </c>
      <c r="I2179" s="556"/>
      <c r="J2179" s="556"/>
      <c r="K2179" s="556"/>
      <c r="L2179" s="556"/>
      <c r="M2179" s="556"/>
      <c r="N2179" s="556"/>
      <c r="O2179" s="556"/>
      <c r="P2179" s="182">
        <f>VLOOKUP($B2179,dongia1,DG!$F$5,)</f>
        <v>122700</v>
      </c>
      <c r="Q2179" s="182">
        <f>VLOOKUP($B2179,dongia1,DG!$G$5,)</f>
        <v>0</v>
      </c>
      <c r="R2179" s="182">
        <f>VLOOKUP($B2179,dongia1,DG!$H$5,)</f>
        <v>0</v>
      </c>
      <c r="S2179" s="113">
        <f t="shared" ref="S2179:U2182" si="901">$G2179*P2179</f>
        <v>0</v>
      </c>
      <c r="T2179" s="113">
        <f t="shared" si="901"/>
        <v>0</v>
      </c>
      <c r="U2179" s="557">
        <f t="shared" si="901"/>
        <v>0</v>
      </c>
    </row>
    <row r="2180" spans="1:21" s="552" customFormat="1" ht="15" customHeight="1">
      <c r="A2180" s="621"/>
      <c r="B2180" s="622" t="s">
        <v>167</v>
      </c>
      <c r="C2180" s="633" t="str">
        <f t="shared" si="899"/>
        <v xml:space="preserve"> </v>
      </c>
      <c r="D2180" s="611"/>
      <c r="E2180" s="694" t="str">
        <f>VLOOKUP($B2180,dongia1,DG!$C$5,)</f>
        <v>Cáp Quadruplex 4x11</v>
      </c>
      <c r="F2180" s="555" t="str">
        <f>VLOOKUP($B2180,dongia1,DG!$D$5,)</f>
        <v>m</v>
      </c>
      <c r="G2180" s="205">
        <f>ROUND(D2180*1.02,0)</f>
        <v>0</v>
      </c>
      <c r="H2180" s="556">
        <f t="shared" si="900"/>
        <v>0</v>
      </c>
      <c r="I2180" s="556"/>
      <c r="J2180" s="556"/>
      <c r="K2180" s="556"/>
      <c r="L2180" s="556"/>
      <c r="M2180" s="556"/>
      <c r="N2180" s="556"/>
      <c r="O2180" s="556"/>
      <c r="P2180" s="182">
        <f>VLOOKUP($B2180,dongia1,DG!$F$5,)</f>
        <v>83600</v>
      </c>
      <c r="Q2180" s="182">
        <f>VLOOKUP($B2180,dongia1,DG!$G$5,)</f>
        <v>0</v>
      </c>
      <c r="R2180" s="182">
        <f>VLOOKUP($B2180,dongia1,DG!$H$5,)</f>
        <v>0</v>
      </c>
      <c r="S2180" s="113">
        <f t="shared" ref="S2180:U2181" si="902">$G2180*P2180</f>
        <v>0</v>
      </c>
      <c r="T2180" s="113">
        <f t="shared" si="902"/>
        <v>0</v>
      </c>
      <c r="U2180" s="557">
        <f t="shared" si="902"/>
        <v>0</v>
      </c>
    </row>
    <row r="2181" spans="1:21" s="552" customFormat="1" ht="15" customHeight="1">
      <c r="A2181" s="621"/>
      <c r="B2181" s="622" t="s">
        <v>1688</v>
      </c>
      <c r="C2181" s="633" t="str">
        <f t="shared" si="899"/>
        <v xml:space="preserve"> </v>
      </c>
      <c r="D2181" s="611"/>
      <c r="E2181" s="694" t="str">
        <f>VLOOKUP($B2181,dongia1,DG!$C$5,)</f>
        <v>Cáp Quadruplex 4x16</v>
      </c>
      <c r="F2181" s="555" t="str">
        <f>VLOOKUP($B2181,dongia1,DG!$D$5,)</f>
        <v>m</v>
      </c>
      <c r="G2181" s="205">
        <f>ROUND(D2181*1.02,0)</f>
        <v>0</v>
      </c>
      <c r="H2181" s="556">
        <f t="shared" si="900"/>
        <v>0</v>
      </c>
      <c r="I2181" s="556"/>
      <c r="J2181" s="556"/>
      <c r="K2181" s="556"/>
      <c r="L2181" s="556"/>
      <c r="M2181" s="556"/>
      <c r="N2181" s="556"/>
      <c r="O2181" s="556"/>
      <c r="P2181" s="182">
        <f>VLOOKUP($B2181,dongia1,DG!$F$5,)</f>
        <v>164400</v>
      </c>
      <c r="Q2181" s="182">
        <f>VLOOKUP($B2181,dongia1,DG!$G$5,)</f>
        <v>0</v>
      </c>
      <c r="R2181" s="182">
        <f>VLOOKUP($B2181,dongia1,DG!$H$5,)</f>
        <v>0</v>
      </c>
      <c r="S2181" s="113">
        <f t="shared" si="902"/>
        <v>0</v>
      </c>
      <c r="T2181" s="113">
        <f t="shared" si="902"/>
        <v>0</v>
      </c>
      <c r="U2181" s="557">
        <f t="shared" si="902"/>
        <v>0</v>
      </c>
    </row>
    <row r="2182" spans="1:21" s="552" customFormat="1" ht="15" customHeight="1">
      <c r="A2182" s="621"/>
      <c r="B2182" s="622" t="s">
        <v>760</v>
      </c>
      <c r="C2182" s="633" t="str">
        <f t="shared" si="899"/>
        <v xml:space="preserve"> </v>
      </c>
      <c r="D2182" s="611"/>
      <c r="E2182" s="694" t="str">
        <f>VLOOKUP($B2182,dongia1,DG!$C$5,)</f>
        <v>Cáp nhôm ABC 4x50mm2</v>
      </c>
      <c r="F2182" s="555" t="str">
        <f>VLOOKUP($B2182,dongia1,DG!$D$5,)</f>
        <v>mét</v>
      </c>
      <c r="G2182" s="205">
        <f>ROUND(D2182*1.02,0)</f>
        <v>0</v>
      </c>
      <c r="H2182" s="556">
        <f t="shared" si="900"/>
        <v>0</v>
      </c>
      <c r="I2182" s="556"/>
      <c r="J2182" s="556"/>
      <c r="K2182" s="556"/>
      <c r="L2182" s="556"/>
      <c r="M2182" s="556"/>
      <c r="N2182" s="556"/>
      <c r="O2182" s="556"/>
      <c r="P2182" s="182">
        <f>VLOOKUP($B2182,dongia1,DG!$F$5,)</f>
        <v>68800</v>
      </c>
      <c r="Q2182" s="182">
        <f>VLOOKUP($B2182,dongia1,DG!$G$5,)</f>
        <v>0</v>
      </c>
      <c r="R2182" s="182">
        <f>VLOOKUP($B2182,dongia1,DG!$H$5,)</f>
        <v>0</v>
      </c>
      <c r="S2182" s="113">
        <f t="shared" si="901"/>
        <v>0</v>
      </c>
      <c r="T2182" s="113">
        <f t="shared" si="901"/>
        <v>0</v>
      </c>
      <c r="U2182" s="557">
        <f t="shared" si="901"/>
        <v>0</v>
      </c>
    </row>
    <row r="2183" spans="1:21" s="552" customFormat="1" ht="15" customHeight="1">
      <c r="A2183" s="621"/>
      <c r="B2183" s="622" t="s">
        <v>1400</v>
      </c>
      <c r="C2183" s="633" t="str">
        <f t="shared" si="899"/>
        <v xml:space="preserve"> </v>
      </c>
      <c r="D2183" s="611"/>
      <c r="E2183" s="694" t="str">
        <f>VLOOKUP($B2183,dongia1,DG!$C$5,)</f>
        <v>Cáp đồng bọc CV16</v>
      </c>
      <c r="F2183" s="555" t="str">
        <f>VLOOKUP($B2183,dongia1,DG!$D$5,)</f>
        <v>mét</v>
      </c>
      <c r="G2183" s="205">
        <f>ROUND(D2183*1.05,0)</f>
        <v>0</v>
      </c>
      <c r="H2183" s="556">
        <f t="shared" si="900"/>
        <v>0</v>
      </c>
      <c r="I2183" s="556"/>
      <c r="J2183" s="556"/>
      <c r="K2183" s="556"/>
      <c r="L2183" s="556"/>
      <c r="M2183" s="556"/>
      <c r="N2183" s="556"/>
      <c r="O2183" s="556"/>
      <c r="P2183" s="182">
        <f>VLOOKUP($B2183,dongia1,DG!$F$5,)</f>
        <v>51800</v>
      </c>
      <c r="Q2183" s="182">
        <f>VLOOKUP($B2183,dongia1,DG!$G$5,)</f>
        <v>0</v>
      </c>
      <c r="R2183" s="182">
        <f>VLOOKUP($B2183,dongia1,DG!$H$5,)</f>
        <v>0</v>
      </c>
      <c r="S2183" s="113">
        <f t="shared" ref="S2183:U2185" si="903">$G2183*P2183</f>
        <v>0</v>
      </c>
      <c r="T2183" s="113">
        <f t="shared" si="903"/>
        <v>0</v>
      </c>
      <c r="U2183" s="557">
        <f t="shared" si="903"/>
        <v>0</v>
      </c>
    </row>
    <row r="2184" spans="1:21" s="552" customFormat="1" ht="15" customHeight="1">
      <c r="A2184" s="621"/>
      <c r="B2184" s="622" t="s">
        <v>597</v>
      </c>
      <c r="C2184" s="633" t="str">
        <f t="shared" si="899"/>
        <v xml:space="preserve"> </v>
      </c>
      <c r="D2184" s="611"/>
      <c r="E2184" s="694" t="str">
        <f>VLOOKUP($B2184,dongia1,DG!$C$5,)</f>
        <v>Cáp đồng mềm CV2,5</v>
      </c>
      <c r="F2184" s="555" t="str">
        <f>VLOOKUP($B2184,dongia1,DG!$D$5,)</f>
        <v>mét</v>
      </c>
      <c r="G2184" s="205">
        <f>ROUND((G2187+G2186*2)*8*1.02,0)</f>
        <v>0</v>
      </c>
      <c r="H2184" s="556">
        <f t="shared" si="900"/>
        <v>0</v>
      </c>
      <c r="I2184" s="556"/>
      <c r="J2184" s="556"/>
      <c r="K2184" s="556"/>
      <c r="L2184" s="556"/>
      <c r="M2184" s="556"/>
      <c r="N2184" s="556"/>
      <c r="O2184" s="556"/>
      <c r="P2184" s="182">
        <f>VLOOKUP($B2184,dongia1,DG!$F$5,)</f>
        <v>8515</v>
      </c>
      <c r="Q2184" s="182">
        <f>VLOOKUP($B2184,dongia1,DG!$G$5,)</f>
        <v>0</v>
      </c>
      <c r="R2184" s="182">
        <f>VLOOKUP($B2184,dongia1,DG!$H$5,)</f>
        <v>0</v>
      </c>
      <c r="S2184" s="113">
        <f>$G2184*P2184</f>
        <v>0</v>
      </c>
      <c r="T2184" s="113">
        <f>$G2184*Q2184</f>
        <v>0</v>
      </c>
      <c r="U2184" s="557">
        <f>$G2184*R2184</f>
        <v>0</v>
      </c>
    </row>
    <row r="2185" spans="1:21" s="552" customFormat="1" ht="15" customHeight="1">
      <c r="A2185" s="621"/>
      <c r="B2185" s="622" t="s">
        <v>1693</v>
      </c>
      <c r="C2185" s="633" t="str">
        <f t="shared" si="899"/>
        <v xml:space="preserve"> </v>
      </c>
      <c r="D2185" s="611"/>
      <c r="E2185" s="694" t="str">
        <f>VLOOKUP($B2185,dongia1,DG!$C$5,)</f>
        <v xml:space="preserve">Cáp CVV 2x2,5mm2  </v>
      </c>
      <c r="F2185" s="555" t="str">
        <f>VLOOKUP($B2185,dongia1,DG!$D$5,)</f>
        <v>mét</v>
      </c>
      <c r="G2185" s="205">
        <f>ROUND(G2188*5*1.02,0)</f>
        <v>0</v>
      </c>
      <c r="H2185" s="556">
        <f t="shared" si="900"/>
        <v>0</v>
      </c>
      <c r="I2185" s="556"/>
      <c r="J2185" s="556"/>
      <c r="K2185" s="556"/>
      <c r="L2185" s="556"/>
      <c r="M2185" s="556"/>
      <c r="N2185" s="556"/>
      <c r="O2185" s="556"/>
      <c r="P2185" s="182">
        <f>VLOOKUP($B2185,dongia1,DG!$F$5,)</f>
        <v>17030</v>
      </c>
      <c r="Q2185" s="182">
        <f>VLOOKUP($B2185,dongia1,DG!$G$5,)</f>
        <v>0</v>
      </c>
      <c r="R2185" s="182">
        <f>VLOOKUP($B2185,dongia1,DG!$H$5,)</f>
        <v>0</v>
      </c>
      <c r="S2185" s="113">
        <f t="shared" si="903"/>
        <v>0</v>
      </c>
      <c r="T2185" s="113">
        <f t="shared" si="903"/>
        <v>0</v>
      </c>
      <c r="U2185" s="557">
        <f t="shared" si="903"/>
        <v>0</v>
      </c>
    </row>
    <row r="2186" spans="1:21" s="552" customFormat="1" ht="15" customHeight="1">
      <c r="A2186" s="621"/>
      <c r="B2186" s="622" t="s">
        <v>1158</v>
      </c>
      <c r="C2186" s="633" t="str">
        <f>IF(G2186&lt;&gt;0,$C$1904," ")</f>
        <v xml:space="preserve"> </v>
      </c>
      <c r="D2186" s="611"/>
      <c r="E2186" s="694" t="str">
        <f>VLOOKUP($B2186,dongia1,DG!$C$5,)</f>
        <v>Cần đèn STK D60 đôi cao 2m vươn 1,5m nghiêng 15 độ</v>
      </c>
      <c r="F2186" s="555" t="str">
        <f>VLOOKUP($B2186,dongia1,DG!$D$5,)</f>
        <v>cần</v>
      </c>
      <c r="G2186" s="205">
        <f>PPHTCS!Z69</f>
        <v>0</v>
      </c>
      <c r="H2186" s="556">
        <f t="shared" si="900"/>
        <v>0</v>
      </c>
      <c r="I2186" s="556"/>
      <c r="J2186" s="556"/>
      <c r="K2186" s="556"/>
      <c r="L2186" s="556"/>
      <c r="M2186" s="556"/>
      <c r="N2186" s="556"/>
      <c r="O2186" s="556"/>
      <c r="P2186" s="182">
        <f>VLOOKUP($B2186,dongia1,DG!$F$5,)</f>
        <v>409500</v>
      </c>
      <c r="Q2186" s="182">
        <f>VLOOKUP($B2186,dongia1,DG!$G$5,)</f>
        <v>0</v>
      </c>
      <c r="R2186" s="182">
        <f>VLOOKUP($B2186,dongia1,DG!$H$5,)</f>
        <v>0</v>
      </c>
      <c r="S2186" s="113">
        <f t="shared" ref="S2186:S2198" si="904">$G2186*P2186</f>
        <v>0</v>
      </c>
      <c r="T2186" s="113">
        <f t="shared" ref="T2186:T2198" si="905">$G2186*Q2186</f>
        <v>0</v>
      </c>
      <c r="U2186" s="557">
        <f t="shared" ref="U2186:U2198" si="906">$G2186*R2186</f>
        <v>0</v>
      </c>
    </row>
    <row r="2187" spans="1:21" s="552" customFormat="1" ht="15" customHeight="1">
      <c r="A2187" s="621"/>
      <c r="B2187" s="622" t="s">
        <v>1021</v>
      </c>
      <c r="C2187" s="633" t="str">
        <f t="shared" ref="C2187:C2225" si="907">IF(G2187&lt;&gt;0,$C$2178," ")</f>
        <v xml:space="preserve"> </v>
      </c>
      <c r="D2187" s="553"/>
      <c r="E2187" s="694" t="str">
        <f>VLOOKUP($B2187,dongia1,DG!$C$5,)</f>
        <v>Cần đèn STK D60 đơn cao 1m vươn 1,8m nghiêng 15 độ + chụp đầu trụ</v>
      </c>
      <c r="F2187" s="555" t="str">
        <f>VLOOKUP($B2187,dongia1,DG!$D$5,)</f>
        <v>cần</v>
      </c>
      <c r="G2187" s="205">
        <f>PPHTCS!AA69</f>
        <v>0</v>
      </c>
      <c r="H2187" s="556">
        <f t="shared" si="900"/>
        <v>0</v>
      </c>
      <c r="I2187" s="556"/>
      <c r="J2187" s="556"/>
      <c r="K2187" s="556"/>
      <c r="L2187" s="556"/>
      <c r="M2187" s="556"/>
      <c r="N2187" s="556"/>
      <c r="O2187" s="556"/>
      <c r="P2187" s="182">
        <f>VLOOKUP($B2187,dongia1,DG!$F$5,)</f>
        <v>252000</v>
      </c>
      <c r="Q2187" s="182">
        <f>VLOOKUP($B2187,dongia1,DG!$G$5,)</f>
        <v>0</v>
      </c>
      <c r="R2187" s="182">
        <f>VLOOKUP($B2187,dongia1,DG!$H$5,)</f>
        <v>0</v>
      </c>
      <c r="S2187" s="113">
        <f t="shared" si="904"/>
        <v>0</v>
      </c>
      <c r="T2187" s="113">
        <f t="shared" si="905"/>
        <v>0</v>
      </c>
      <c r="U2187" s="557">
        <f t="shared" si="906"/>
        <v>0</v>
      </c>
    </row>
    <row r="2188" spans="1:21" s="552" customFormat="1" ht="15" customHeight="1">
      <c r="A2188" s="621"/>
      <c r="B2188" s="622" t="s">
        <v>762</v>
      </c>
      <c r="C2188" s="633" t="str">
        <f t="shared" si="907"/>
        <v xml:space="preserve"> </v>
      </c>
      <c r="D2188" s="553"/>
      <c r="E2188" s="694" t="str">
        <f>VLOOKUP($B2188,dongia1,DG!$C$5,)</f>
        <v>Cần đèn STK D60 đơn cao 1,7m vươn 2,8m (CĐT cung cấp)</v>
      </c>
      <c r="F2188" s="555" t="str">
        <f>VLOOKUP($B2188,dongia1,DG!$D$5,)</f>
        <v>cần</v>
      </c>
      <c r="G2188" s="205">
        <f>PPHTCS!AB69</f>
        <v>0</v>
      </c>
      <c r="H2188" s="556">
        <f t="shared" si="900"/>
        <v>0</v>
      </c>
      <c r="I2188" s="556"/>
      <c r="J2188" s="556"/>
      <c r="K2188" s="556"/>
      <c r="L2188" s="556"/>
      <c r="M2188" s="556"/>
      <c r="N2188" s="556"/>
      <c r="O2188" s="556"/>
      <c r="P2188" s="182">
        <f>VLOOKUP($B2188,dongia1,DG!$F$5,)</f>
        <v>350000</v>
      </c>
      <c r="Q2188" s="182">
        <f>VLOOKUP($B2188,dongia1,DG!$G$5,)</f>
        <v>0</v>
      </c>
      <c r="R2188" s="182">
        <f>VLOOKUP($B2188,dongia1,DG!$H$5,)</f>
        <v>0</v>
      </c>
      <c r="S2188" s="113">
        <f>$G2188*P2188</f>
        <v>0</v>
      </c>
      <c r="T2188" s="113">
        <f>$G2188*Q2188</f>
        <v>0</v>
      </c>
      <c r="U2188" s="557">
        <f>$G2188*R2188</f>
        <v>0</v>
      </c>
    </row>
    <row r="2189" spans="1:21" s="552" customFormat="1" ht="15" customHeight="1">
      <c r="A2189" s="621"/>
      <c r="B2189" s="622" t="s">
        <v>1440</v>
      </c>
      <c r="C2189" s="633" t="str">
        <f t="shared" si="907"/>
        <v xml:space="preserve"> </v>
      </c>
      <c r="D2189" s="553"/>
      <c r="E2189" s="694" t="str">
        <f>VLOOKUP($B2189,dongia1,DG!$C$5,)</f>
        <v>Choá đèn 73FS 10 + bóng OSAM-250W + tụ điện + ballast</v>
      </c>
      <c r="F2189" s="555" t="str">
        <f>VLOOKUP($B2189,dongia1,DG!$D$5,)</f>
        <v>bộ</v>
      </c>
      <c r="G2189" s="205">
        <f>PPHTCS!AD69</f>
        <v>0</v>
      </c>
      <c r="H2189" s="556">
        <f t="shared" si="900"/>
        <v>0</v>
      </c>
      <c r="I2189" s="556"/>
      <c r="J2189" s="556"/>
      <c r="K2189" s="556"/>
      <c r="L2189" s="556"/>
      <c r="M2189" s="556"/>
      <c r="N2189" s="556"/>
      <c r="O2189" s="556"/>
      <c r="P2189" s="182">
        <f>VLOOKUP($B2189,dongia1,DG!$F$5,)</f>
        <v>1669500</v>
      </c>
      <c r="Q2189" s="182">
        <f>VLOOKUP($B2189,dongia1,DG!$G$5,)</f>
        <v>0</v>
      </c>
      <c r="R2189" s="182">
        <f>VLOOKUP($B2189,dongia1,DG!$H$5,)</f>
        <v>0</v>
      </c>
      <c r="S2189" s="113">
        <f t="shared" si="904"/>
        <v>0</v>
      </c>
      <c r="T2189" s="113">
        <f t="shared" si="905"/>
        <v>0</v>
      </c>
      <c r="U2189" s="557">
        <f t="shared" si="906"/>
        <v>0</v>
      </c>
    </row>
    <row r="2190" spans="1:21" s="552" customFormat="1" ht="15" customHeight="1">
      <c r="A2190" s="621"/>
      <c r="B2190" s="622" t="s">
        <v>1336</v>
      </c>
      <c r="C2190" s="633" t="str">
        <f t="shared" si="907"/>
        <v xml:space="preserve"> </v>
      </c>
      <c r="D2190" s="553"/>
      <c r="E2190" s="694" t="str">
        <f>VLOOKUP($B2190,dongia1,DG!$C$5,)</f>
        <v>Tủ điều khiển chiếu sáng</v>
      </c>
      <c r="F2190" s="555" t="str">
        <f>VLOOKUP($B2190,dongia1,DG!$D$5,)</f>
        <v>cái</v>
      </c>
      <c r="G2190" s="205"/>
      <c r="H2190" s="556">
        <f t="shared" si="900"/>
        <v>0</v>
      </c>
      <c r="I2190" s="556"/>
      <c r="J2190" s="556"/>
      <c r="K2190" s="556"/>
      <c r="L2190" s="556"/>
      <c r="M2190" s="556"/>
      <c r="N2190" s="556"/>
      <c r="O2190" s="556"/>
      <c r="P2190" s="182">
        <f>VLOOKUP($B2190,dongia1,DG!$F$5,)</f>
        <v>7507000</v>
      </c>
      <c r="Q2190" s="182">
        <f>VLOOKUP($B2190,dongia1,DG!$H$5,)</f>
        <v>0</v>
      </c>
      <c r="R2190" s="182"/>
      <c r="S2190" s="113">
        <f t="shared" si="904"/>
        <v>0</v>
      </c>
      <c r="T2190" s="113">
        <f t="shared" si="905"/>
        <v>0</v>
      </c>
      <c r="U2190" s="557">
        <f t="shared" si="906"/>
        <v>0</v>
      </c>
    </row>
    <row r="2191" spans="1:21" s="552" customFormat="1" ht="15" customHeight="1">
      <c r="A2191" s="621"/>
      <c r="B2191" s="622" t="s">
        <v>63</v>
      </c>
      <c r="C2191" s="633" t="str">
        <f t="shared" si="907"/>
        <v xml:space="preserve"> </v>
      </c>
      <c r="D2191" s="553"/>
      <c r="E2191" s="694" t="str">
        <f>VLOOKUP($B2191,dongia1,DG!$C$5,)</f>
        <v>Ống PVC D60x2,8mm</v>
      </c>
      <c r="F2191" s="555" t="str">
        <f>VLOOKUP($B2191,dongia1,DG!$D$5,)</f>
        <v>m</v>
      </c>
      <c r="G2191" s="205">
        <f>G2190*12</f>
        <v>0</v>
      </c>
      <c r="H2191" s="556">
        <f t="shared" si="900"/>
        <v>0</v>
      </c>
      <c r="I2191" s="556"/>
      <c r="J2191" s="556"/>
      <c r="K2191" s="556"/>
      <c r="L2191" s="556"/>
      <c r="M2191" s="556"/>
      <c r="N2191" s="556"/>
      <c r="O2191" s="556"/>
      <c r="P2191" s="182">
        <f>VLOOKUP($B2191,dongia1,DG!$F$5,)</f>
        <v>31200</v>
      </c>
      <c r="Q2191" s="182"/>
      <c r="R2191" s="182">
        <f>VLOOKUP($B2191,dongia1,DG!$H$5,)</f>
        <v>0</v>
      </c>
      <c r="S2191" s="113">
        <f t="shared" si="904"/>
        <v>0</v>
      </c>
      <c r="T2191" s="113">
        <f t="shared" si="905"/>
        <v>0</v>
      </c>
      <c r="U2191" s="557">
        <f t="shared" si="906"/>
        <v>0</v>
      </c>
    </row>
    <row r="2192" spans="1:21" s="552" customFormat="1" ht="15" customHeight="1">
      <c r="A2192" s="621"/>
      <c r="B2192" s="622" t="s">
        <v>844</v>
      </c>
      <c r="C2192" s="633" t="str">
        <f t="shared" si="907"/>
        <v xml:space="preserve"> </v>
      </c>
      <c r="D2192" s="553"/>
      <c r="E2192" s="694" t="str">
        <f>VLOOKUP($B2192,dongia1,DG!$C$5,)</f>
        <v>Co 90 độ PVC 60</v>
      </c>
      <c r="F2192" s="555" t="str">
        <f>VLOOKUP($B2192,dongia1,DG!$D$5,)</f>
        <v>cái</v>
      </c>
      <c r="G2192" s="205">
        <f>G2190*6</f>
        <v>0</v>
      </c>
      <c r="H2192" s="556">
        <f t="shared" si="900"/>
        <v>0</v>
      </c>
      <c r="I2192" s="556"/>
      <c r="J2192" s="556"/>
      <c r="K2192" s="556"/>
      <c r="L2192" s="556"/>
      <c r="M2192" s="556"/>
      <c r="N2192" s="556"/>
      <c r="O2192" s="556"/>
      <c r="P2192" s="182">
        <f>VLOOKUP($B2192,dongia1,DG!$F$5,)</f>
        <v>18200</v>
      </c>
      <c r="Q2192" s="182"/>
      <c r="R2192" s="182">
        <f>VLOOKUP($B2192,dongia1,DG!$H$5,)</f>
        <v>0</v>
      </c>
      <c r="S2192" s="113">
        <f t="shared" si="904"/>
        <v>0</v>
      </c>
      <c r="T2192" s="113">
        <f t="shared" si="905"/>
        <v>0</v>
      </c>
      <c r="U2192" s="557">
        <f t="shared" si="906"/>
        <v>0</v>
      </c>
    </row>
    <row r="2193" spans="1:21" s="552" customFormat="1" ht="15" customHeight="1">
      <c r="A2193" s="621"/>
      <c r="B2193" s="622" t="s">
        <v>2094</v>
      </c>
      <c r="C2193" s="633" t="str">
        <f t="shared" si="907"/>
        <v xml:space="preserve"> </v>
      </c>
      <c r="D2193" s="553"/>
      <c r="E2193" s="694" t="str">
        <f>VLOOKUP($B2193,dongia1,DG!$C$5,)</f>
        <v>Cáp C/XLPE/DSTA/PVC -0.6/1kV-3x50+35mm2</v>
      </c>
      <c r="F2193" s="555" t="str">
        <f>VLOOKUP($B2193,dongia1,DG!$D$5,)</f>
        <v>mét</v>
      </c>
      <c r="G2193" s="205">
        <f>G2190*18</f>
        <v>0</v>
      </c>
      <c r="H2193" s="556">
        <f t="shared" si="900"/>
        <v>0</v>
      </c>
      <c r="I2193" s="556"/>
      <c r="J2193" s="556"/>
      <c r="K2193" s="556"/>
      <c r="L2193" s="556"/>
      <c r="M2193" s="556"/>
      <c r="N2193" s="556"/>
      <c r="O2193" s="556"/>
      <c r="P2193" s="182">
        <f>VLOOKUP($B2193,dongia1,DG!$F$5,)</f>
        <v>347700</v>
      </c>
      <c r="Q2193" s="182">
        <f>VLOOKUP($B2193,dongia1,DG!$G$5,)</f>
        <v>0</v>
      </c>
      <c r="R2193" s="182">
        <f>VLOOKUP($B2193,dongia1,DG!$H$5,)</f>
        <v>0</v>
      </c>
      <c r="S2193" s="113">
        <f t="shared" si="904"/>
        <v>0</v>
      </c>
      <c r="T2193" s="113">
        <f t="shared" si="905"/>
        <v>0</v>
      </c>
      <c r="U2193" s="557">
        <f t="shared" si="906"/>
        <v>0</v>
      </c>
    </row>
    <row r="2194" spans="1:21" s="552" customFormat="1" ht="15" customHeight="1">
      <c r="A2194" s="621"/>
      <c r="B2194" s="622" t="s">
        <v>2083</v>
      </c>
      <c r="C2194" s="633" t="str">
        <f t="shared" si="907"/>
        <v xml:space="preserve"> </v>
      </c>
      <c r="D2194" s="553"/>
      <c r="E2194" s="694" t="str">
        <f>VLOOKUP($B2194,dongia1,DG!$C$5,)</f>
        <v>Đầu cáp ngầm hạ thế 3x50</v>
      </c>
      <c r="F2194" s="555" t="str">
        <f>VLOOKUP($B2194,dongia1,DG!$D$5,)</f>
        <v>cái</v>
      </c>
      <c r="G2194" s="205">
        <f>G2190*4</f>
        <v>0</v>
      </c>
      <c r="H2194" s="556">
        <f t="shared" si="900"/>
        <v>0</v>
      </c>
      <c r="I2194" s="556"/>
      <c r="J2194" s="556"/>
      <c r="K2194" s="556"/>
      <c r="L2194" s="556"/>
      <c r="M2194" s="556"/>
      <c r="N2194" s="556"/>
      <c r="O2194" s="556"/>
      <c r="P2194" s="182">
        <f>VLOOKUP($B2194,dongia1,DG!$F$5,)</f>
        <v>501197</v>
      </c>
      <c r="Q2194" s="182">
        <f>VLOOKUP($B2194,dongia1,DG!$G$5,)</f>
        <v>0</v>
      </c>
      <c r="R2194" s="182">
        <f>VLOOKUP($B2194,dongia1,DG!$H$5,)</f>
        <v>0</v>
      </c>
      <c r="S2194" s="113">
        <f>$G2194*P2194</f>
        <v>0</v>
      </c>
      <c r="T2194" s="113">
        <f>$G2194*Q2194</f>
        <v>0</v>
      </c>
      <c r="U2194" s="557">
        <f>$G2194*R2194</f>
        <v>0</v>
      </c>
    </row>
    <row r="2195" spans="1:21" s="552" customFormat="1" ht="15" customHeight="1">
      <c r="A2195" s="621"/>
      <c r="B2195" s="622" t="s">
        <v>52</v>
      </c>
      <c r="C2195" s="633" t="str">
        <f t="shared" si="907"/>
        <v xml:space="preserve"> </v>
      </c>
      <c r="D2195" s="553"/>
      <c r="E2195" s="694" t="str">
        <f>VLOOKUP($B2195,dongia1,DG!$C$5,)</f>
        <v>Ghíp nối IPC 150-50</v>
      </c>
      <c r="F2195" s="555" t="str">
        <f>VLOOKUP($B2195,dongia1,DG!$D$5,)</f>
        <v>cái</v>
      </c>
      <c r="G2195" s="205">
        <f>G2190*4</f>
        <v>0</v>
      </c>
      <c r="H2195" s="556">
        <f t="shared" si="900"/>
        <v>0</v>
      </c>
      <c r="I2195" s="556"/>
      <c r="J2195" s="556"/>
      <c r="K2195" s="556"/>
      <c r="L2195" s="556"/>
      <c r="M2195" s="556"/>
      <c r="N2195" s="556"/>
      <c r="O2195" s="556"/>
      <c r="P2195" s="182">
        <f>VLOOKUP($B2195,dongia1,DG!$F$5,)</f>
        <v>68000</v>
      </c>
      <c r="Q2195" s="182">
        <f>VLOOKUP($B2195,dongia1,DG!$G$5,)</f>
        <v>6546</v>
      </c>
      <c r="R2195" s="182">
        <f>VLOOKUP($B2195,dongia1,DG!$H$5,)</f>
        <v>0</v>
      </c>
      <c r="S2195" s="113">
        <f t="shared" ref="S2195:U2196" si="908">$G2195*P2195</f>
        <v>0</v>
      </c>
      <c r="T2195" s="113">
        <f t="shared" si="908"/>
        <v>0</v>
      </c>
      <c r="U2195" s="557">
        <f t="shared" si="908"/>
        <v>0</v>
      </c>
    </row>
    <row r="2196" spans="1:21" s="552" customFormat="1" ht="15" customHeight="1">
      <c r="A2196" s="621"/>
      <c r="B2196" s="622" t="s">
        <v>1465</v>
      </c>
      <c r="C2196" s="633" t="str">
        <f t="shared" si="907"/>
        <v xml:space="preserve"> </v>
      </c>
      <c r="D2196" s="553"/>
      <c r="E2196" s="694" t="str">
        <f>VLOOKUP($B2196,dongia1,DG!$C$5,)</f>
        <v>Ghíp nối IPC 50-35</v>
      </c>
      <c r="F2196" s="555" t="str">
        <f>VLOOKUP($B2196,dongia1,DG!$D$5,)</f>
        <v>cái</v>
      </c>
      <c r="G2196" s="205">
        <f>G2195</f>
        <v>0</v>
      </c>
      <c r="H2196" s="556">
        <f t="shared" si="900"/>
        <v>0</v>
      </c>
      <c r="I2196" s="556"/>
      <c r="J2196" s="556"/>
      <c r="K2196" s="556"/>
      <c r="L2196" s="556"/>
      <c r="M2196" s="556"/>
      <c r="N2196" s="556"/>
      <c r="O2196" s="556"/>
      <c r="P2196" s="182">
        <f>VLOOKUP($B2196,dongia1,DG!$F$5,)</f>
        <v>29085</v>
      </c>
      <c r="Q2196" s="182">
        <f>VLOOKUP($B2196,dongia1,DG!$G$5,)</f>
        <v>6546</v>
      </c>
      <c r="R2196" s="182">
        <f>VLOOKUP($B2196,dongia1,DG!$H$5,)</f>
        <v>0</v>
      </c>
      <c r="S2196" s="113">
        <f t="shared" si="908"/>
        <v>0</v>
      </c>
      <c r="T2196" s="113">
        <f t="shared" si="908"/>
        <v>0</v>
      </c>
      <c r="U2196" s="557">
        <f t="shared" si="908"/>
        <v>0</v>
      </c>
    </row>
    <row r="2197" spans="1:21" s="552" customFormat="1" ht="15" customHeight="1">
      <c r="A2197" s="621"/>
      <c r="B2197" s="622" t="s">
        <v>1321</v>
      </c>
      <c r="C2197" s="633" t="str">
        <f t="shared" si="907"/>
        <v xml:space="preserve"> </v>
      </c>
      <c r="D2197" s="553"/>
      <c r="E2197" s="694" t="str">
        <f>VLOOKUP($B2197,dongia1,DG!$C$5,)</f>
        <v>Đầu cosse ép Cu-Al 16mm2</v>
      </c>
      <c r="F2197" s="555" t="str">
        <f>VLOOKUP($B2197,dongia1,DG!$D$5,)</f>
        <v>cái</v>
      </c>
      <c r="G2197" s="205">
        <f>'BK DEN CS'!AA37*6</f>
        <v>0</v>
      </c>
      <c r="H2197" s="556">
        <f t="shared" si="900"/>
        <v>0</v>
      </c>
      <c r="I2197" s="556"/>
      <c r="J2197" s="556"/>
      <c r="K2197" s="556"/>
      <c r="L2197" s="556"/>
      <c r="M2197" s="556"/>
      <c r="N2197" s="556"/>
      <c r="O2197" s="556"/>
      <c r="P2197" s="182">
        <f>VLOOKUP($B2197,dongia1,DG!$F$5,)</f>
        <v>9100</v>
      </c>
      <c r="Q2197" s="182">
        <f>VLOOKUP($B2197,dongia1,DG!$G$5,)</f>
        <v>6062.26</v>
      </c>
      <c r="R2197" s="182">
        <f>VLOOKUP($B2197,dongia1,DG!$H$5,)</f>
        <v>2777.0232475000003</v>
      </c>
      <c r="S2197" s="113">
        <f t="shared" si="904"/>
        <v>0</v>
      </c>
      <c r="T2197" s="113">
        <f t="shared" si="905"/>
        <v>0</v>
      </c>
      <c r="U2197" s="557">
        <f t="shared" si="906"/>
        <v>0</v>
      </c>
    </row>
    <row r="2198" spans="1:21" s="552" customFormat="1" ht="15" customHeight="1">
      <c r="A2198" s="621"/>
      <c r="B2198" s="622" t="s">
        <v>829</v>
      </c>
      <c r="C2198" s="633" t="str">
        <f t="shared" si="907"/>
        <v xml:space="preserve"> </v>
      </c>
      <c r="D2198" s="553"/>
      <c r="E2198" s="694" t="str">
        <f>VLOOKUP($B2198,dongia1,DG!$C$5,)</f>
        <v xml:space="preserve">Đầu cosse ép Cu 2,5mm2 + bao PVC </v>
      </c>
      <c r="F2198" s="555" t="str">
        <f>VLOOKUP($B2198,dongia1,DG!$D$5,)</f>
        <v>cái</v>
      </c>
      <c r="G2198" s="205">
        <f>4*G2186+G2187*2+G2188*2</f>
        <v>0</v>
      </c>
      <c r="H2198" s="556">
        <f t="shared" si="900"/>
        <v>0</v>
      </c>
      <c r="I2198" s="556"/>
      <c r="J2198" s="556"/>
      <c r="K2198" s="556"/>
      <c r="L2198" s="556"/>
      <c r="M2198" s="556"/>
      <c r="N2198" s="556"/>
      <c r="O2198" s="556"/>
      <c r="P2198" s="182">
        <f>VLOOKUP($B2198,dongia1,DG!$F$5,)</f>
        <v>1700</v>
      </c>
      <c r="Q2198" s="182">
        <f>VLOOKUP($B2198,dongia1,DG!$G$5,)</f>
        <v>0</v>
      </c>
      <c r="R2198" s="182">
        <f>VLOOKUP($B2198,dongia1,DG!$H$5,)</f>
        <v>0</v>
      </c>
      <c r="S2198" s="113">
        <f t="shared" si="904"/>
        <v>0</v>
      </c>
      <c r="T2198" s="113">
        <f t="shared" si="905"/>
        <v>0</v>
      </c>
      <c r="U2198" s="557">
        <f t="shared" si="906"/>
        <v>0</v>
      </c>
    </row>
    <row r="2199" spans="1:21" s="552" customFormat="1" ht="15" customHeight="1">
      <c r="A2199" s="621"/>
      <c r="B2199" s="622" t="s">
        <v>1680</v>
      </c>
      <c r="C2199" s="633" t="str">
        <f t="shared" si="907"/>
        <v xml:space="preserve"> </v>
      </c>
      <c r="D2199" s="553"/>
      <c r="E2199" s="694" t="str">
        <f>VLOOKUP($B2199,dongia1,DG!$C$5,)</f>
        <v>Cầu chì nhựa trong nhà 5A+ chì 5A</v>
      </c>
      <c r="F2199" s="555" t="str">
        <f>VLOOKUP($B2199,dongia1,DG!$D$5,)</f>
        <v>cái</v>
      </c>
      <c r="G2199" s="205">
        <f>G2186*2+G2187</f>
        <v>0</v>
      </c>
      <c r="H2199" s="556">
        <f t="shared" si="900"/>
        <v>0</v>
      </c>
      <c r="I2199" s="556"/>
      <c r="J2199" s="556"/>
      <c r="K2199" s="556"/>
      <c r="L2199" s="556"/>
      <c r="M2199" s="556"/>
      <c r="N2199" s="556"/>
      <c r="O2199" s="556"/>
      <c r="P2199" s="182">
        <f>VLOOKUP($B2199,dongia1,DG!$F$5,)</f>
        <v>3000</v>
      </c>
      <c r="Q2199" s="182">
        <f>VLOOKUP($B2199,dongia1,DG!$G$5,)</f>
        <v>0</v>
      </c>
      <c r="R2199" s="182">
        <f>VLOOKUP($B2199,dongia1,DG!$H$5,)</f>
        <v>0</v>
      </c>
      <c r="S2199" s="113">
        <f t="shared" ref="S2199:U2201" si="909">$G2199*P2199</f>
        <v>0</v>
      </c>
      <c r="T2199" s="113">
        <f t="shared" si="909"/>
        <v>0</v>
      </c>
      <c r="U2199" s="557">
        <f t="shared" si="909"/>
        <v>0</v>
      </c>
    </row>
    <row r="2200" spans="1:21" s="552" customFormat="1" ht="15" customHeight="1">
      <c r="A2200" s="621"/>
      <c r="B2200" s="622" t="s">
        <v>1567</v>
      </c>
      <c r="C2200" s="633" t="str">
        <f t="shared" si="907"/>
        <v xml:space="preserve"> </v>
      </c>
      <c r="D2200" s="553"/>
      <c r="E2200" s="694" t="str">
        <f>VLOOKUP($B2200,dongia1,DG!$C$5,)</f>
        <v>Tấm bakelit hay nhựa cách điện 600V (200x60x6)</v>
      </c>
      <c r="F2200" s="555" t="str">
        <f>VLOOKUP($B2200,dongia1,DG!$D$5,)</f>
        <v>cái</v>
      </c>
      <c r="G2200" s="205">
        <f>G2202</f>
        <v>0</v>
      </c>
      <c r="H2200" s="556">
        <f t="shared" si="900"/>
        <v>0</v>
      </c>
      <c r="I2200" s="556"/>
      <c r="J2200" s="556"/>
      <c r="K2200" s="556"/>
      <c r="L2200" s="556"/>
      <c r="M2200" s="556"/>
      <c r="N2200" s="556"/>
      <c r="O2200" s="556"/>
      <c r="P2200" s="182">
        <f>VLOOKUP($B2200,dongia1,DG!$F$5,)</f>
        <v>75000</v>
      </c>
      <c r="Q2200" s="182">
        <f>VLOOKUP($B2200,dongia1,DG!$G$5,)</f>
        <v>0</v>
      </c>
      <c r="R2200" s="182">
        <f>VLOOKUP($B2200,dongia1,DG!$H$5,)</f>
        <v>0</v>
      </c>
      <c r="S2200" s="113">
        <f t="shared" si="909"/>
        <v>0</v>
      </c>
      <c r="T2200" s="113">
        <f t="shared" si="909"/>
        <v>0</v>
      </c>
      <c r="U2200" s="557">
        <f t="shared" si="909"/>
        <v>0</v>
      </c>
    </row>
    <row r="2201" spans="1:21" s="552" customFormat="1" ht="15" customHeight="1">
      <c r="A2201" s="621"/>
      <c r="B2201" s="622" t="s">
        <v>679</v>
      </c>
      <c r="C2201" s="633" t="str">
        <f t="shared" si="907"/>
        <v xml:space="preserve"> </v>
      </c>
      <c r="D2201" s="553"/>
      <c r="E2201" s="694" t="str">
        <f>VLOOKUP($B2201,dongia1,DG!$C$5,)</f>
        <v>Boulon thau 12x50 + 2 long đền vuông D14-50x50x3/Zn</v>
      </c>
      <c r="F2201" s="555" t="str">
        <f>VLOOKUP($B2201,dongia1,DG!$D$5,)</f>
        <v>bộ</v>
      </c>
      <c r="G2201" s="205">
        <f>G2200*4</f>
        <v>0</v>
      </c>
      <c r="H2201" s="556">
        <f t="shared" si="900"/>
        <v>0</v>
      </c>
      <c r="I2201" s="556"/>
      <c r="J2201" s="556"/>
      <c r="K2201" s="556"/>
      <c r="L2201" s="556"/>
      <c r="M2201" s="556"/>
      <c r="N2201" s="556"/>
      <c r="O2201" s="556"/>
      <c r="P2201" s="182">
        <f>VLOOKUP($B2201,dongia1,DG!$F$5,)</f>
        <v>4400</v>
      </c>
      <c r="Q2201" s="182">
        <f>VLOOKUP($B2201,dongia1,DG!$G$5,)</f>
        <v>0</v>
      </c>
      <c r="R2201" s="182">
        <f>VLOOKUP($B2201,dongia1,DG!$H$5,)</f>
        <v>0</v>
      </c>
      <c r="S2201" s="113">
        <f t="shared" si="909"/>
        <v>0</v>
      </c>
      <c r="T2201" s="113">
        <f t="shared" si="909"/>
        <v>0</v>
      </c>
      <c r="U2201" s="557">
        <f t="shared" si="909"/>
        <v>0</v>
      </c>
    </row>
    <row r="2202" spans="1:21" s="552" customFormat="1" ht="15" customHeight="1">
      <c r="A2202" s="621"/>
      <c r="B2202" s="622" t="s">
        <v>1098</v>
      </c>
      <c r="C2202" s="633" t="str">
        <f t="shared" si="907"/>
        <v xml:space="preserve"> </v>
      </c>
      <c r="D2202" s="553"/>
      <c r="E2202" s="694" t="str">
        <f>VLOOKUP($B2202,dongia1,DG!$C$5,)</f>
        <v>Cọc tiếp đất Þ 16- 2,4m + kẹp cọc</v>
      </c>
      <c r="F2202" s="555" t="str">
        <f>VLOOKUP($B2202,dongia1,DG!$D$5,)</f>
        <v>bộ</v>
      </c>
      <c r="G2202" s="205"/>
      <c r="H2202" s="556">
        <f t="shared" si="900"/>
        <v>0</v>
      </c>
      <c r="I2202" s="556"/>
      <c r="J2202" s="556"/>
      <c r="K2202" s="556"/>
      <c r="L2202" s="556"/>
      <c r="M2202" s="556"/>
      <c r="N2202" s="556"/>
      <c r="O2202" s="556"/>
      <c r="P2202" s="182">
        <f>VLOOKUP($B2202,dongia1,DG!$F$5,)</f>
        <v>160000</v>
      </c>
      <c r="Q2202" s="182">
        <f>VLOOKUP($B2202,dongia1,DG!$G$5,)</f>
        <v>0</v>
      </c>
      <c r="R2202" s="182">
        <f>VLOOKUP($B2202,dongia1,DG!$H$5,)</f>
        <v>0</v>
      </c>
      <c r="S2202" s="113">
        <f>$G2202*P2202</f>
        <v>0</v>
      </c>
      <c r="T2202" s="113">
        <f>$G2202*Q2202</f>
        <v>0</v>
      </c>
      <c r="U2202" s="557">
        <f>$G2202*R2202</f>
        <v>0</v>
      </c>
    </row>
    <row r="2203" spans="1:21" s="552" customFormat="1" ht="15" customHeight="1">
      <c r="A2203" s="621"/>
      <c r="B2203" s="622" t="s">
        <v>3788</v>
      </c>
      <c r="C2203" s="633" t="str">
        <f t="shared" si="907"/>
        <v xml:space="preserve"> </v>
      </c>
      <c r="D2203" s="553"/>
      <c r="E2203" s="694" t="str">
        <f>VLOOKUP($B2203,dongia1,DG!$C$5,)</f>
        <v>Kẹp treo cáp ABC4x35mm2</v>
      </c>
      <c r="F2203" s="555" t="str">
        <f>VLOOKUP($B2203,dongia1,DG!$D$5,)</f>
        <v>cái</v>
      </c>
      <c r="G2203" s="205">
        <f>PPHTCS!BB69</f>
        <v>0</v>
      </c>
      <c r="H2203" s="556">
        <f t="shared" si="900"/>
        <v>0</v>
      </c>
      <c r="I2203" s="556"/>
      <c r="J2203" s="556"/>
      <c r="K2203" s="556"/>
      <c r="L2203" s="556"/>
      <c r="M2203" s="556"/>
      <c r="N2203" s="556"/>
      <c r="O2203" s="556"/>
      <c r="P2203" s="182">
        <f>VLOOKUP($B2203,dongia1,DG!$F$5,)</f>
        <v>24500</v>
      </c>
      <c r="Q2203" s="182"/>
      <c r="R2203" s="182">
        <f>VLOOKUP($B2203,dongia1,DG!$H$5,)</f>
        <v>0</v>
      </c>
      <c r="S2203" s="113">
        <f t="shared" ref="S2203:U2207" si="910">$G2203*P2203</f>
        <v>0</v>
      </c>
      <c r="T2203" s="113">
        <f t="shared" si="910"/>
        <v>0</v>
      </c>
      <c r="U2203" s="557">
        <f t="shared" si="910"/>
        <v>0</v>
      </c>
    </row>
    <row r="2204" spans="1:21" s="552" customFormat="1" ht="15" customHeight="1">
      <c r="A2204" s="621"/>
      <c r="B2204" s="622" t="s">
        <v>3779</v>
      </c>
      <c r="C2204" s="633" t="str">
        <f t="shared" si="907"/>
        <v xml:space="preserve"> </v>
      </c>
      <c r="D2204" s="553"/>
      <c r="E2204" s="694" t="str">
        <f>VLOOKUP($B2204,dongia1,DG!$C$5,)</f>
        <v>Kẹp ngừng cáp ABC4x35mm2</v>
      </c>
      <c r="F2204" s="555" t="str">
        <f>VLOOKUP($B2204,dongia1,DG!$D$5,)</f>
        <v>cái</v>
      </c>
      <c r="G2204" s="205">
        <f>PPHTCS!BE69</f>
        <v>0</v>
      </c>
      <c r="H2204" s="556">
        <f t="shared" si="900"/>
        <v>0</v>
      </c>
      <c r="I2204" s="556"/>
      <c r="J2204" s="556"/>
      <c r="K2204" s="556"/>
      <c r="L2204" s="556"/>
      <c r="M2204" s="556"/>
      <c r="N2204" s="556"/>
      <c r="O2204" s="556"/>
      <c r="P2204" s="182">
        <f>VLOOKUP($B2204,dongia1,DG!$F$5,)</f>
        <v>45000</v>
      </c>
      <c r="Q2204" s="182">
        <f>VLOOKUP($B2204,dongia1,DG!$G$5,)</f>
        <v>0</v>
      </c>
      <c r="R2204" s="182">
        <f>VLOOKUP($B2204,dongia1,DG!$H$5,)</f>
        <v>0</v>
      </c>
      <c r="S2204" s="113">
        <f t="shared" si="910"/>
        <v>0</v>
      </c>
      <c r="T2204" s="113">
        <f t="shared" si="910"/>
        <v>0</v>
      </c>
      <c r="U2204" s="557">
        <f t="shared" si="910"/>
        <v>0</v>
      </c>
    </row>
    <row r="2205" spans="1:21" s="552" customFormat="1" ht="15" customHeight="1">
      <c r="A2205" s="621"/>
      <c r="B2205" s="622" t="s">
        <v>1420</v>
      </c>
      <c r="C2205" s="633" t="str">
        <f t="shared" si="907"/>
        <v xml:space="preserve"> </v>
      </c>
      <c r="D2205" s="553"/>
      <c r="E2205" s="694" t="str">
        <f>VLOOKUP($B2205,dongia1,DG!$C$5,)&amp;": ñaáu reõ nhaùnh truï 15"</f>
        <v>Ghíp nối IPC 35-35: ñaáu reõ nhaùnh truï 15</v>
      </c>
      <c r="F2205" s="555" t="str">
        <f>VLOOKUP($B2205,dongia1,DG!$D$5,)</f>
        <v>cái</v>
      </c>
      <c r="G2205" s="205"/>
      <c r="H2205" s="556">
        <f t="shared" si="900"/>
        <v>0</v>
      </c>
      <c r="I2205" s="556"/>
      <c r="J2205" s="556"/>
      <c r="K2205" s="556"/>
      <c r="L2205" s="556"/>
      <c r="M2205" s="556"/>
      <c r="N2205" s="556"/>
      <c r="O2205" s="556"/>
      <c r="P2205" s="182">
        <f>VLOOKUP($B2205,dongia1,DG!$F$5,)</f>
        <v>22500</v>
      </c>
      <c r="Q2205" s="182">
        <f>VLOOKUP($B2205,dongia1,DG!$G$5,)</f>
        <v>6546</v>
      </c>
      <c r="R2205" s="182">
        <f>VLOOKUP($B2205,dongia1,DG!$H$5,)</f>
        <v>0</v>
      </c>
      <c r="S2205" s="113">
        <f>$G2205*P2205</f>
        <v>0</v>
      </c>
      <c r="T2205" s="113">
        <f>$G2205*Q2205</f>
        <v>0</v>
      </c>
      <c r="U2205" s="557">
        <f>$G2205*R2205</f>
        <v>0</v>
      </c>
    </row>
    <row r="2206" spans="1:21" s="552" customFormat="1" ht="15" customHeight="1">
      <c r="A2206" s="621"/>
      <c r="B2206" s="622" t="s">
        <v>1932</v>
      </c>
      <c r="C2206" s="633" t="str">
        <f t="shared" si="907"/>
        <v xml:space="preserve"> </v>
      </c>
      <c r="D2206" s="553"/>
      <c r="E2206" s="694" t="str">
        <f>VLOOKUP($B2206,dongia1,DG!$C$5,)</f>
        <v>Móc treo chữ A</v>
      </c>
      <c r="F2206" s="555" t="str">
        <f>VLOOKUP($B2206,dongia1,DG!$D$5,)</f>
        <v>cái</v>
      </c>
      <c r="G2206" s="205">
        <f>PPHTCS!BK69</f>
        <v>0</v>
      </c>
      <c r="H2206" s="556">
        <f t="shared" si="900"/>
        <v>0</v>
      </c>
      <c r="I2206" s="556"/>
      <c r="J2206" s="556"/>
      <c r="K2206" s="556"/>
      <c r="L2206" s="556"/>
      <c r="M2206" s="556"/>
      <c r="N2206" s="556"/>
      <c r="O2206" s="556"/>
      <c r="P2206" s="182">
        <f>VLOOKUP($B2206,dongia1,DG!$F$5,)</f>
        <v>13800</v>
      </c>
      <c r="Q2206" s="182">
        <f>VLOOKUP($B2206,dongia1,DG!$G$5,)</f>
        <v>0</v>
      </c>
      <c r="R2206" s="182">
        <f>VLOOKUP($B2206,dongia1,DG!$H$5,)</f>
        <v>0</v>
      </c>
      <c r="S2206" s="113">
        <f t="shared" si="910"/>
        <v>0</v>
      </c>
      <c r="T2206" s="113">
        <f t="shared" si="910"/>
        <v>0</v>
      </c>
      <c r="U2206" s="557">
        <f t="shared" si="910"/>
        <v>0</v>
      </c>
    </row>
    <row r="2207" spans="1:21" s="552" customFormat="1" ht="15" customHeight="1">
      <c r="A2207" s="621"/>
      <c r="B2207" s="622" t="s">
        <v>1628</v>
      </c>
      <c r="C2207" s="633" t="str">
        <f t="shared" si="907"/>
        <v xml:space="preserve"> </v>
      </c>
      <c r="D2207" s="553"/>
      <c r="E2207" s="694" t="str">
        <f>VLOOKUP($B2207,dongia1,DG!$C$5,)</f>
        <v>Kẹp dừng cáp duplex</v>
      </c>
      <c r="F2207" s="555" t="str">
        <f>VLOOKUP($B2207,dongia1,DG!$D$5,)</f>
        <v>cái</v>
      </c>
      <c r="G2207" s="205">
        <f>PPHTCS!BJ69</f>
        <v>0</v>
      </c>
      <c r="H2207" s="556">
        <f t="shared" si="900"/>
        <v>0</v>
      </c>
      <c r="I2207" s="556"/>
      <c r="J2207" s="556"/>
      <c r="K2207" s="556"/>
      <c r="L2207" s="556"/>
      <c r="M2207" s="556"/>
      <c r="N2207" s="556"/>
      <c r="O2207" s="556"/>
      <c r="P2207" s="182">
        <f>VLOOKUP($B2207,dongia1,DG!$F$5,)</f>
        <v>17000</v>
      </c>
      <c r="Q2207" s="182">
        <f>VLOOKUP($B2207,dongia1,DG!$G$5,)</f>
        <v>0</v>
      </c>
      <c r="R2207" s="182">
        <f>VLOOKUP($B2207,dongia1,DG!$H$5,)</f>
        <v>0</v>
      </c>
      <c r="S2207" s="113">
        <f t="shared" si="910"/>
        <v>0</v>
      </c>
      <c r="T2207" s="113">
        <f t="shared" si="910"/>
        <v>0</v>
      </c>
      <c r="U2207" s="557">
        <f t="shared" si="910"/>
        <v>0</v>
      </c>
    </row>
    <row r="2208" spans="1:21" s="552" customFormat="1" ht="15" customHeight="1">
      <c r="A2208" s="621"/>
      <c r="B2208" s="622" t="s">
        <v>800</v>
      </c>
      <c r="C2208" s="633" t="str">
        <f t="shared" si="907"/>
        <v xml:space="preserve"> </v>
      </c>
      <c r="D2208" s="553"/>
      <c r="E2208" s="694" t="str">
        <f>VLOOKUP($B2208,dongia1,DG!$C$5,)</f>
        <v>Boulon móc 16x250+ 1 long đền vuông D18-50x50x3/Zn</v>
      </c>
      <c r="F2208" s="555" t="str">
        <f>VLOOKUP($B2208,dongia1,DG!$D$5,)</f>
        <v>bộ</v>
      </c>
      <c r="G2208" s="205">
        <f>PPHTCS!AO69</f>
        <v>0</v>
      </c>
      <c r="H2208" s="556">
        <f t="shared" si="900"/>
        <v>0</v>
      </c>
      <c r="I2208" s="556"/>
      <c r="J2208" s="556"/>
      <c r="K2208" s="556"/>
      <c r="L2208" s="556"/>
      <c r="M2208" s="556"/>
      <c r="N2208" s="556"/>
      <c r="O2208" s="556"/>
      <c r="P2208" s="182">
        <f>VLOOKUP($B2208,dongia1,DG!$F$5,)</f>
        <v>28200</v>
      </c>
      <c r="Q2208" s="182">
        <f>VLOOKUP($B2208,dongia1,DG!$G$5,)</f>
        <v>0</v>
      </c>
      <c r="R2208" s="182">
        <f>VLOOKUP($B2208,dongia1,DG!$H$5,)</f>
        <v>0</v>
      </c>
      <c r="S2208" s="113">
        <f t="shared" ref="S2208:U2210" si="911">$G2208*P2208</f>
        <v>0</v>
      </c>
      <c r="T2208" s="113">
        <f t="shared" si="911"/>
        <v>0</v>
      </c>
      <c r="U2208" s="557">
        <f t="shared" si="911"/>
        <v>0</v>
      </c>
    </row>
    <row r="2209" spans="1:21" s="552" customFormat="1" ht="15" customHeight="1">
      <c r="A2209" s="621"/>
      <c r="B2209" s="622" t="s">
        <v>801</v>
      </c>
      <c r="C2209" s="633" t="str">
        <f t="shared" si="907"/>
        <v xml:space="preserve"> </v>
      </c>
      <c r="D2209" s="553"/>
      <c r="E2209" s="694" t="str">
        <f>VLOOKUP($B2209,dongia1,DG!$C$5,)</f>
        <v>Boulon móc 16x300+ 1 long đền vuông D18-50x50x3/Zn</v>
      </c>
      <c r="F2209" s="555" t="str">
        <f>VLOOKUP($B2209,dongia1,DG!$D$5,)</f>
        <v>bộ</v>
      </c>
      <c r="G2209" s="205">
        <f>PPHTCS!AP69</f>
        <v>0</v>
      </c>
      <c r="H2209" s="556">
        <f t="shared" si="900"/>
        <v>0</v>
      </c>
      <c r="I2209" s="556"/>
      <c r="J2209" s="556"/>
      <c r="K2209" s="556"/>
      <c r="L2209" s="556"/>
      <c r="M2209" s="556"/>
      <c r="N2209" s="556"/>
      <c r="O2209" s="556"/>
      <c r="P2209" s="182">
        <f>VLOOKUP($B2209,dongia1,DG!$F$5,)</f>
        <v>30200</v>
      </c>
      <c r="Q2209" s="182">
        <f>VLOOKUP($B2209,dongia1,DG!$G$5,)</f>
        <v>0</v>
      </c>
      <c r="R2209" s="182">
        <f>VLOOKUP($B2209,dongia1,DG!$H$5,)</f>
        <v>0</v>
      </c>
      <c r="S2209" s="113">
        <f>$G2209*P2209</f>
        <v>0</v>
      </c>
      <c r="T2209" s="113">
        <f>$G2209*Q2209</f>
        <v>0</v>
      </c>
      <c r="U2209" s="557">
        <f>$G2209*R2209</f>
        <v>0</v>
      </c>
    </row>
    <row r="2210" spans="1:21" s="552" customFormat="1" ht="15" customHeight="1">
      <c r="A2210" s="621"/>
      <c r="B2210" s="622" t="s">
        <v>2012</v>
      </c>
      <c r="C2210" s="633" t="str">
        <f t="shared" si="907"/>
        <v xml:space="preserve"> </v>
      </c>
      <c r="D2210" s="553"/>
      <c r="E2210" s="694" t="str">
        <f>VLOOKUP($B2210,dongia1,DG!$C$5,)</f>
        <v xml:space="preserve">Cổ dê trụ đôi 8,4m bắt móc dừng </v>
      </c>
      <c r="F2210" s="555" t="str">
        <f>VLOOKUP($B2210,dongia1,DG!$D$5,)</f>
        <v>bộ</v>
      </c>
      <c r="G2210" s="205">
        <f>PPHTCS!BH69</f>
        <v>0</v>
      </c>
      <c r="H2210" s="556">
        <f t="shared" si="900"/>
        <v>0</v>
      </c>
      <c r="I2210" s="556"/>
      <c r="J2210" s="556"/>
      <c r="K2210" s="556"/>
      <c r="L2210" s="556"/>
      <c r="M2210" s="556"/>
      <c r="N2210" s="556"/>
      <c r="O2210" s="556"/>
      <c r="P2210" s="182">
        <f>VLOOKUP($B2210,dongia1,DG!$F$5,)</f>
        <v>40000</v>
      </c>
      <c r="Q2210" s="182">
        <f>VLOOKUP($B2210,dongia1,DG!$G$5,)</f>
        <v>0</v>
      </c>
      <c r="R2210" s="182">
        <f>VLOOKUP($B2210,dongia1,DG!$H$5,)</f>
        <v>0</v>
      </c>
      <c r="S2210" s="113">
        <f t="shared" si="911"/>
        <v>0</v>
      </c>
      <c r="T2210" s="113">
        <f t="shared" si="911"/>
        <v>0</v>
      </c>
      <c r="U2210" s="557">
        <f t="shared" si="911"/>
        <v>0</v>
      </c>
    </row>
    <row r="2211" spans="1:21" s="552" customFormat="1" ht="15" customHeight="1">
      <c r="A2211" s="621"/>
      <c r="B2211" s="622" t="s">
        <v>323</v>
      </c>
      <c r="C2211" s="633" t="str">
        <f t="shared" si="907"/>
        <v xml:space="preserve"> </v>
      </c>
      <c r="D2211" s="553"/>
      <c r="E2211" s="694" t="str">
        <f>VLOOKUP($B2211,dongia1,DG!$C$5,)</f>
        <v xml:space="preserve">Móc dừng </v>
      </c>
      <c r="F2211" s="555" t="str">
        <f>VLOOKUP($B2211,dongia1,DG!$D$5,)</f>
        <v>cái</v>
      </c>
      <c r="G2211" s="205">
        <f>PPHTCS!BI69</f>
        <v>0</v>
      </c>
      <c r="H2211" s="556">
        <f t="shared" si="900"/>
        <v>0</v>
      </c>
      <c r="I2211" s="556"/>
      <c r="J2211" s="556"/>
      <c r="K2211" s="556"/>
      <c r="L2211" s="556"/>
      <c r="M2211" s="556"/>
      <c r="N2211" s="556"/>
      <c r="O2211" s="556"/>
      <c r="P2211" s="182">
        <f>VLOOKUP($B2211,dongia1,DG!$F$5,)</f>
        <v>11400</v>
      </c>
      <c r="Q2211" s="182">
        <f>VLOOKUP($B2211,dongia1,DG!$G$5,)</f>
        <v>0</v>
      </c>
      <c r="R2211" s="182">
        <f>VLOOKUP($B2211,dongia1,DG!$H$5,)</f>
        <v>0</v>
      </c>
      <c r="S2211" s="113">
        <f t="shared" ref="S2211:S2220" si="912">$G2211*P2211</f>
        <v>0</v>
      </c>
      <c r="T2211" s="113">
        <f t="shared" ref="T2211:T2220" si="913">$G2211*Q2211</f>
        <v>0</v>
      </c>
      <c r="U2211" s="557">
        <f t="shared" ref="U2211:U2220" si="914">$G2211*R2211</f>
        <v>0</v>
      </c>
    </row>
    <row r="2212" spans="1:21" s="552" customFormat="1" ht="15" customHeight="1">
      <c r="A2212" s="621"/>
      <c r="B2212" s="622" t="s">
        <v>186</v>
      </c>
      <c r="C2212" s="633" t="str">
        <f t="shared" si="907"/>
        <v xml:space="preserve"> </v>
      </c>
      <c r="D2212" s="553"/>
      <c r="E2212" s="694" t="str">
        <f>VLOOKUP($B2212,dongia1,DG!$C$5,)&amp;": ñaáu noái löôùi hieän höõu"</f>
        <v>Kẹp U bolt dây 50mm2: ñaáu noái löôùi hieän höõu</v>
      </c>
      <c r="F2212" s="555" t="str">
        <f>VLOOKUP($B2212,dongia1,DG!$D$5,)</f>
        <v>cái</v>
      </c>
      <c r="G2212" s="205">
        <f>PPHTCS!BL69</f>
        <v>0</v>
      </c>
      <c r="H2212" s="556">
        <f t="shared" si="900"/>
        <v>0</v>
      </c>
      <c r="I2212" s="556"/>
      <c r="J2212" s="556"/>
      <c r="K2212" s="556"/>
      <c r="L2212" s="556"/>
      <c r="M2212" s="556"/>
      <c r="N2212" s="556"/>
      <c r="O2212" s="556"/>
      <c r="P2212" s="182">
        <f>VLOOKUP($B2212,dongia1,DG!$F$5,)</f>
        <v>10100</v>
      </c>
      <c r="Q2212" s="182">
        <f>VLOOKUP($B2212,dongia1,DG!$G$5,)</f>
        <v>0</v>
      </c>
      <c r="R2212" s="182">
        <f>VLOOKUP($B2212,dongia1,DG!$H$5,)</f>
        <v>0</v>
      </c>
      <c r="S2212" s="113">
        <f>$G2212*P2212</f>
        <v>0</v>
      </c>
      <c r="T2212" s="113">
        <f>$G2212*Q2212</f>
        <v>0</v>
      </c>
      <c r="U2212" s="557">
        <f>$G2212*R2212</f>
        <v>0</v>
      </c>
    </row>
    <row r="2213" spans="1:21" s="552" customFormat="1" ht="15" customHeight="1">
      <c r="A2213" s="621"/>
      <c r="B2213" s="622" t="s">
        <v>113</v>
      </c>
      <c r="C2213" s="633" t="str">
        <f t="shared" si="907"/>
        <v xml:space="preserve"> </v>
      </c>
      <c r="D2213" s="553"/>
      <c r="E2213" s="694" t="str">
        <f>VLOOKUP($B2213,dongia1,DG!$C$5,)</f>
        <v>Ông sắt tráng kẽm D60</v>
      </c>
      <c r="F2213" s="555" t="str">
        <f>VLOOKUP($B2213,dongia1,DG!$D$5,)</f>
        <v>mét</v>
      </c>
      <c r="G2213" s="205"/>
      <c r="H2213" s="556">
        <f t="shared" si="900"/>
        <v>0</v>
      </c>
      <c r="I2213" s="556"/>
      <c r="J2213" s="556"/>
      <c r="K2213" s="556"/>
      <c r="L2213" s="556"/>
      <c r="M2213" s="556"/>
      <c r="N2213" s="556"/>
      <c r="O2213" s="556"/>
      <c r="P2213" s="182">
        <f>VLOOKUP($B2213,dongia1,DG!$F$5,)</f>
        <v>69500</v>
      </c>
      <c r="Q2213" s="182"/>
      <c r="R2213" s="182">
        <f>VLOOKUP($B2213,dongia1,DG!$H$5,)</f>
        <v>0</v>
      </c>
      <c r="S2213" s="113">
        <f t="shared" si="912"/>
        <v>0</v>
      </c>
      <c r="T2213" s="113">
        <f t="shared" si="913"/>
        <v>0</v>
      </c>
      <c r="U2213" s="557">
        <f t="shared" si="914"/>
        <v>0</v>
      </c>
    </row>
    <row r="2214" spans="1:21" s="552" customFormat="1" ht="15" customHeight="1">
      <c r="A2214" s="621"/>
      <c r="B2214" s="622" t="s">
        <v>1801</v>
      </c>
      <c r="C2214" s="633" t="str">
        <f t="shared" si="907"/>
        <v xml:space="preserve"> </v>
      </c>
      <c r="D2214" s="553"/>
      <c r="E2214" s="694" t="str">
        <f>VLOOKUP($B2214,dongia1,DG!$C$5,)</f>
        <v>Ông sắt tráng kẽm D42</v>
      </c>
      <c r="F2214" s="555" t="str">
        <f>VLOOKUP($B2214,dongia1,DG!$D$5,)</f>
        <v>mét</v>
      </c>
      <c r="G2214" s="205"/>
      <c r="H2214" s="556">
        <f t="shared" si="900"/>
        <v>0</v>
      </c>
      <c r="I2214" s="556"/>
      <c r="J2214" s="556"/>
      <c r="K2214" s="556"/>
      <c r="L2214" s="556"/>
      <c r="M2214" s="556"/>
      <c r="N2214" s="556"/>
      <c r="O2214" s="556"/>
      <c r="P2214" s="182">
        <f>VLOOKUP($B2214,dongia1,DG!$F$5,)</f>
        <v>42000</v>
      </c>
      <c r="Q2214" s="182"/>
      <c r="R2214" s="182">
        <f>VLOOKUP($B2214,dongia1,DG!$H$5,)</f>
        <v>0</v>
      </c>
      <c r="S2214" s="113">
        <f t="shared" si="912"/>
        <v>0</v>
      </c>
      <c r="T2214" s="113">
        <f t="shared" si="913"/>
        <v>0</v>
      </c>
      <c r="U2214" s="557">
        <f t="shared" si="914"/>
        <v>0</v>
      </c>
    </row>
    <row r="2215" spans="1:21" s="552" customFormat="1" ht="15" customHeight="1">
      <c r="A2215" s="621"/>
      <c r="B2215" s="622" t="s">
        <v>63</v>
      </c>
      <c r="C2215" s="633" t="str">
        <f t="shared" si="907"/>
        <v xml:space="preserve"> </v>
      </c>
      <c r="D2215" s="553"/>
      <c r="E2215" s="694" t="str">
        <f>VLOOKUP($B2215,dongia1,DG!$C$5,)</f>
        <v>Ống PVC D60x2,8mm</v>
      </c>
      <c r="F2215" s="555" t="str">
        <f>VLOOKUP($B2215,dongia1,DG!$D$5,)</f>
        <v>m</v>
      </c>
      <c r="G2215" s="205"/>
      <c r="H2215" s="556">
        <f t="shared" si="900"/>
        <v>0</v>
      </c>
      <c r="I2215" s="556"/>
      <c r="J2215" s="556"/>
      <c r="K2215" s="556"/>
      <c r="L2215" s="556"/>
      <c r="M2215" s="556"/>
      <c r="N2215" s="556"/>
      <c r="O2215" s="556"/>
      <c r="P2215" s="182">
        <f>VLOOKUP($B2215,dongia1,DG!$F$5,)</f>
        <v>31200</v>
      </c>
      <c r="Q2215" s="182"/>
      <c r="R2215" s="182">
        <f>VLOOKUP($B2215,dongia1,DG!$H$5,)</f>
        <v>0</v>
      </c>
      <c r="S2215" s="113">
        <f t="shared" si="912"/>
        <v>0</v>
      </c>
      <c r="T2215" s="113">
        <f t="shared" si="913"/>
        <v>0</v>
      </c>
      <c r="U2215" s="557">
        <f t="shared" si="914"/>
        <v>0</v>
      </c>
    </row>
    <row r="2216" spans="1:21" s="552" customFormat="1" ht="15" customHeight="1">
      <c r="A2216" s="621"/>
      <c r="B2216" s="622" t="s">
        <v>1736</v>
      </c>
      <c r="C2216" s="633" t="str">
        <f t="shared" si="907"/>
        <v xml:space="preserve"> </v>
      </c>
      <c r="D2216" s="553"/>
      <c r="E2216" s="694" t="str">
        <f>VLOOKUP($B2216,dongia1,DG!$C$5,)</f>
        <v>Ống PVC D42x2,1mm</v>
      </c>
      <c r="F2216" s="555" t="str">
        <f>VLOOKUP($B2216,dongia1,DG!$D$5,)</f>
        <v>m</v>
      </c>
      <c r="G2216" s="205">
        <f>'BK DEN CS'!H37</f>
        <v>0</v>
      </c>
      <c r="H2216" s="556">
        <f t="shared" si="900"/>
        <v>0</v>
      </c>
      <c r="I2216" s="556"/>
      <c r="J2216" s="556"/>
      <c r="K2216" s="556"/>
      <c r="L2216" s="556"/>
      <c r="M2216" s="556"/>
      <c r="N2216" s="556"/>
      <c r="O2216" s="556"/>
      <c r="P2216" s="182">
        <f>VLOOKUP($B2216,dongia1,DG!$F$5,)</f>
        <v>16100</v>
      </c>
      <c r="Q2216" s="182"/>
      <c r="R2216" s="182">
        <f>VLOOKUP($B2216,dongia1,DG!$H$5,)</f>
        <v>0</v>
      </c>
      <c r="S2216" s="113">
        <f t="shared" si="912"/>
        <v>0</v>
      </c>
      <c r="T2216" s="113">
        <f t="shared" si="913"/>
        <v>0</v>
      </c>
      <c r="U2216" s="557">
        <f t="shared" si="914"/>
        <v>0</v>
      </c>
    </row>
    <row r="2217" spans="1:21" s="552" customFormat="1" ht="15" customHeight="1">
      <c r="A2217" s="621"/>
      <c r="B2217" s="622" t="s">
        <v>449</v>
      </c>
      <c r="C2217" s="633" t="str">
        <f t="shared" si="907"/>
        <v xml:space="preserve"> </v>
      </c>
      <c r="D2217" s="553"/>
      <c r="E2217" s="694" t="str">
        <f>VLOOKUP($B2217,dongia1,DG!$C$5,)</f>
        <v>Lắp ống PVC D60 (Nhân công đã qui đổi về ĐG chiếu sáng)</v>
      </c>
      <c r="F2217" s="555" t="str">
        <f>VLOOKUP($B2217,dongia1,DG!$D$5,)</f>
        <v>mét</v>
      </c>
      <c r="G2217" s="205">
        <f>G2215+G2191</f>
        <v>0</v>
      </c>
      <c r="H2217" s="556">
        <f t="shared" si="900"/>
        <v>0</v>
      </c>
      <c r="I2217" s="556"/>
      <c r="J2217" s="556"/>
      <c r="K2217" s="556"/>
      <c r="L2217" s="556"/>
      <c r="M2217" s="556"/>
      <c r="N2217" s="556"/>
      <c r="O2217" s="556"/>
      <c r="P2217" s="182">
        <f>VLOOKUP($B2217,dongia1,DG!$F$5,)</f>
        <v>26</v>
      </c>
      <c r="Q2217" s="182">
        <f>VLOOKUP($B2217,dongia1,DG!$G$5,)</f>
        <v>312</v>
      </c>
      <c r="R2217" s="182">
        <f>VLOOKUP($B2217,dongia1,DG!$H$5,)</f>
        <v>0</v>
      </c>
      <c r="S2217" s="113">
        <f>$G2217*P2217</f>
        <v>0</v>
      </c>
      <c r="T2217" s="113">
        <f>$G2217*Q2217</f>
        <v>0</v>
      </c>
      <c r="U2217" s="557">
        <f>$G2217*R2217</f>
        <v>0</v>
      </c>
    </row>
    <row r="2218" spans="1:21" s="552" customFormat="1" ht="15" customHeight="1">
      <c r="A2218" s="621"/>
      <c r="B2218" s="622" t="s">
        <v>452</v>
      </c>
      <c r="C2218" s="633" t="str">
        <f t="shared" si="907"/>
        <v xml:space="preserve"> </v>
      </c>
      <c r="D2218" s="553"/>
      <c r="E2218" s="694" t="str">
        <f>VLOOKUP($B2218,dongia1,DG!$C$5,)</f>
        <v>Lắp ống sắt d&lt;120mm (Nhân công đã qui đổi về ĐG chiếu sáng)</v>
      </c>
      <c r="F2218" s="555" t="str">
        <f>VLOOKUP($B2218,dongia1,DG!$D$5,)</f>
        <v>mét</v>
      </c>
      <c r="G2218" s="205">
        <f>G2213+G2214</f>
        <v>0</v>
      </c>
      <c r="H2218" s="556">
        <f t="shared" si="900"/>
        <v>0</v>
      </c>
      <c r="I2218" s="556"/>
      <c r="J2218" s="556"/>
      <c r="K2218" s="556"/>
      <c r="L2218" s="556"/>
      <c r="M2218" s="556"/>
      <c r="N2218" s="556"/>
      <c r="O2218" s="556"/>
      <c r="P2218" s="182">
        <f>VLOOKUP($B2218,dongia1,DG!$F$5,)</f>
        <v>3053</v>
      </c>
      <c r="Q2218" s="182">
        <f>VLOOKUP($B2218,dongia1,DG!$G$5,)</f>
        <v>6639.9</v>
      </c>
      <c r="R2218" s="182">
        <f>VLOOKUP($B2218,dongia1,DG!$H$5,)</f>
        <v>0</v>
      </c>
      <c r="S2218" s="113">
        <f t="shared" si="912"/>
        <v>0</v>
      </c>
      <c r="T2218" s="113">
        <f t="shared" si="913"/>
        <v>0</v>
      </c>
      <c r="U2218" s="557">
        <f t="shared" si="914"/>
        <v>0</v>
      </c>
    </row>
    <row r="2219" spans="1:21" s="552" customFormat="1" ht="15" customHeight="1">
      <c r="A2219" s="621"/>
      <c r="B2219" s="622" t="s">
        <v>2002</v>
      </c>
      <c r="C2219" s="633" t="str">
        <f t="shared" si="907"/>
        <v xml:space="preserve"> </v>
      </c>
      <c r="D2219" s="553"/>
      <c r="E2219" s="694" t="str">
        <f>VLOOKUP($B2219,dongia1,DG!$C$5,)</f>
        <v>Kéo rải cáp chiếu sáng D&lt;25</v>
      </c>
      <c r="F2219" s="555" t="str">
        <f>VLOOKUP($B2219,dongia1,DG!$D$5,)</f>
        <v>mét</v>
      </c>
      <c r="G2219" s="205">
        <f>(G2181+G2180+G2179)</f>
        <v>0</v>
      </c>
      <c r="H2219" s="556">
        <f t="shared" si="900"/>
        <v>0</v>
      </c>
      <c r="I2219" s="556"/>
      <c r="J2219" s="556"/>
      <c r="K2219" s="556"/>
      <c r="L2219" s="556"/>
      <c r="M2219" s="556"/>
      <c r="N2219" s="556"/>
      <c r="O2219" s="556"/>
      <c r="P2219" s="182">
        <f>VLOOKUP($B2219,dongia1,DG!$F$5,)</f>
        <v>0</v>
      </c>
      <c r="Q2219" s="182">
        <f>VLOOKUP($B2219,dongia1,DG!$G$5,)</f>
        <v>388.7</v>
      </c>
      <c r="R2219" s="182">
        <f>VLOOKUP($B2219,dongia1,DG!$H$5,)</f>
        <v>1133.3</v>
      </c>
      <c r="S2219" s="113">
        <f t="shared" si="912"/>
        <v>0</v>
      </c>
      <c r="T2219" s="113">
        <f t="shared" si="913"/>
        <v>0</v>
      </c>
      <c r="U2219" s="557">
        <f t="shared" si="914"/>
        <v>0</v>
      </c>
    </row>
    <row r="2220" spans="1:21" s="552" customFormat="1" ht="15" customHeight="1">
      <c r="A2220" s="621"/>
      <c r="B2220" s="622" t="s">
        <v>2006</v>
      </c>
      <c r="C2220" s="633" t="str">
        <f t="shared" si="907"/>
        <v xml:space="preserve"> </v>
      </c>
      <c r="D2220" s="553"/>
      <c r="E2220" s="694" t="str">
        <f>VLOOKUP($B2220,dongia1,DG!$C$5,)</f>
        <v>Lắp đầu cáp ngầm chiếu sáng</v>
      </c>
      <c r="F2220" s="555" t="str">
        <f>VLOOKUP($B2220,dongia1,DG!$D$5,)</f>
        <v>bộ</v>
      </c>
      <c r="G2220" s="205">
        <f>G2194</f>
        <v>0</v>
      </c>
      <c r="H2220" s="556">
        <f t="shared" si="900"/>
        <v>0</v>
      </c>
      <c r="I2220" s="556"/>
      <c r="J2220" s="556"/>
      <c r="K2220" s="556"/>
      <c r="L2220" s="556"/>
      <c r="M2220" s="556"/>
      <c r="N2220" s="556"/>
      <c r="O2220" s="556"/>
      <c r="P2220" s="182">
        <f>VLOOKUP($B2220,dongia1,DG!$F$5,)</f>
        <v>0</v>
      </c>
      <c r="Q2220" s="182">
        <f>VLOOKUP($B2220,dongia1,DG!$G$5,)</f>
        <v>22827</v>
      </c>
      <c r="R2220" s="182">
        <f>VLOOKUP($B2220,dongia1,DG!$H$5,)</f>
        <v>0</v>
      </c>
      <c r="S2220" s="113">
        <f t="shared" si="912"/>
        <v>0</v>
      </c>
      <c r="T2220" s="113">
        <f t="shared" si="913"/>
        <v>0</v>
      </c>
      <c r="U2220" s="557">
        <f t="shared" si="914"/>
        <v>0</v>
      </c>
    </row>
    <row r="2221" spans="1:21" s="552" customFormat="1" ht="15" customHeight="1">
      <c r="A2221" s="621"/>
      <c r="B2221" s="622" t="s">
        <v>2082</v>
      </c>
      <c r="C2221" s="633" t="str">
        <f t="shared" si="907"/>
        <v xml:space="preserve"> </v>
      </c>
      <c r="D2221" s="553"/>
      <c r="E2221" s="694" t="str">
        <f>VLOOKUP($B2221,dongia1,DG!$C$5,)</f>
        <v>Lắp cần đèn +  chụp đầu cột hạ thế ≤ 10,5m</v>
      </c>
      <c r="F2221" s="555" t="str">
        <f>VLOOKUP($B2221,dongia1,DG!$D$5,)</f>
        <v>cái</v>
      </c>
      <c r="G2221" s="205">
        <f>G2187+G2186</f>
        <v>0</v>
      </c>
      <c r="H2221" s="556">
        <f t="shared" si="900"/>
        <v>0</v>
      </c>
      <c r="I2221" s="556"/>
      <c r="J2221" s="556"/>
      <c r="K2221" s="556"/>
      <c r="L2221" s="556"/>
      <c r="M2221" s="556"/>
      <c r="N2221" s="556"/>
      <c r="O2221" s="556"/>
      <c r="P2221" s="182">
        <f>VLOOKUP($B2221,dongia1,DG!$F$5,)</f>
        <v>0</v>
      </c>
      <c r="Q2221" s="182">
        <f>VLOOKUP($B2221,dongia1,DG!$G$5,)</f>
        <v>13090</v>
      </c>
      <c r="R2221" s="182">
        <f>VLOOKUP($B2221,dongia1,DG!$H$5,)</f>
        <v>137035</v>
      </c>
      <c r="S2221" s="113">
        <f t="shared" ref="S2221:U2225" si="915">$G2221*P2221</f>
        <v>0</v>
      </c>
      <c r="T2221" s="113">
        <f t="shared" si="915"/>
        <v>0</v>
      </c>
      <c r="U2221" s="557">
        <f t="shared" si="915"/>
        <v>0</v>
      </c>
    </row>
    <row r="2222" spans="1:21" s="552" customFormat="1" ht="15" customHeight="1">
      <c r="A2222" s="621"/>
      <c r="B2222" s="622" t="s">
        <v>254</v>
      </c>
      <c r="C2222" s="633" t="str">
        <f t="shared" si="907"/>
        <v xml:space="preserve"> </v>
      </c>
      <c r="D2222" s="553"/>
      <c r="E2222" s="694" t="str">
        <f>VLOOKUP($B2222,dongia1,DG!$C$5,)</f>
        <v>Lắp chóa đèn chiếu sáng ≤ 12m</v>
      </c>
      <c r="F2222" s="555" t="str">
        <f>VLOOKUP($B2222,dongia1,DG!$D$5,)</f>
        <v>bộ</v>
      </c>
      <c r="G2222" s="205">
        <f>G2189</f>
        <v>0</v>
      </c>
      <c r="H2222" s="556">
        <f t="shared" si="900"/>
        <v>0</v>
      </c>
      <c r="I2222" s="556"/>
      <c r="J2222" s="556"/>
      <c r="K2222" s="556"/>
      <c r="L2222" s="556"/>
      <c r="M2222" s="556"/>
      <c r="N2222" s="556"/>
      <c r="O2222" s="556"/>
      <c r="P2222" s="182">
        <f>VLOOKUP($B2222,dongia1,DG!$F$5,)</f>
        <v>0</v>
      </c>
      <c r="Q2222" s="182">
        <f>VLOOKUP($B2222,dongia1,DG!$G$5,)</f>
        <v>17954</v>
      </c>
      <c r="R2222" s="182">
        <f>VLOOKUP($B2222,dongia1,DG!$H$5,)</f>
        <v>69038</v>
      </c>
      <c r="S2222" s="113">
        <f t="shared" si="915"/>
        <v>0</v>
      </c>
      <c r="T2222" s="113">
        <f t="shared" si="915"/>
        <v>0</v>
      </c>
      <c r="U2222" s="557">
        <f t="shared" si="915"/>
        <v>0</v>
      </c>
    </row>
    <row r="2223" spans="1:21" s="552" customFormat="1" ht="15" customHeight="1">
      <c r="A2223" s="621"/>
      <c r="B2223" s="622" t="s">
        <v>168</v>
      </c>
      <c r="C2223" s="633" t="str">
        <f t="shared" si="907"/>
        <v xml:space="preserve"> </v>
      </c>
      <c r="D2223" s="553"/>
      <c r="E2223" s="694" t="str">
        <f>VLOOKUP($B2223,dongia1,DG!$C$5,)</f>
        <v>Luồn dây lên đèn</v>
      </c>
      <c r="F2223" s="555" t="str">
        <f>VLOOKUP($B2223,dongia1,DG!$D$5,)</f>
        <v>mét</v>
      </c>
      <c r="G2223" s="205">
        <f>G2185+G2184</f>
        <v>0</v>
      </c>
      <c r="H2223" s="556">
        <f t="shared" si="900"/>
        <v>0</v>
      </c>
      <c r="I2223" s="556"/>
      <c r="J2223" s="556"/>
      <c r="K2223" s="556"/>
      <c r="L2223" s="556"/>
      <c r="M2223" s="556"/>
      <c r="N2223" s="556"/>
      <c r="O2223" s="556"/>
      <c r="P2223" s="182">
        <f>VLOOKUP($B2223,dongia1,DG!$F$5,)</f>
        <v>0</v>
      </c>
      <c r="Q2223" s="626">
        <f>VLOOKUP($B2223,dongia1,DG!$G$5,)</f>
        <v>621.4</v>
      </c>
      <c r="R2223" s="626">
        <f>VLOOKUP($B2223,dongia1,DG!$H$5,)</f>
        <v>4533.1000000000004</v>
      </c>
      <c r="S2223" s="113">
        <f t="shared" si="915"/>
        <v>0</v>
      </c>
      <c r="T2223" s="113">
        <f t="shared" si="915"/>
        <v>0</v>
      </c>
      <c r="U2223" s="557">
        <f t="shared" si="915"/>
        <v>0</v>
      </c>
    </row>
    <row r="2224" spans="1:21" s="552" customFormat="1" ht="15" customHeight="1">
      <c r="A2224" s="621"/>
      <c r="B2224" s="622" t="s">
        <v>400</v>
      </c>
      <c r="C2224" s="633" t="str">
        <f t="shared" si="907"/>
        <v xml:space="preserve"> </v>
      </c>
      <c r="D2224" s="627"/>
      <c r="E2224" s="694" t="str">
        <f>VLOOKUP($B2224,dongia1,DG!$C$5,)</f>
        <v>Lắp cầu chì đuôi cá</v>
      </c>
      <c r="F2224" s="555" t="str">
        <f>VLOOKUP($B2224,dongia1,DG!$D$5,)</f>
        <v>cái</v>
      </c>
      <c r="G2224" s="205">
        <f>G2199</f>
        <v>0</v>
      </c>
      <c r="H2224" s="556">
        <f t="shared" si="900"/>
        <v>0</v>
      </c>
      <c r="I2224" s="556"/>
      <c r="J2224" s="556"/>
      <c r="K2224" s="556"/>
      <c r="L2224" s="556"/>
      <c r="M2224" s="556"/>
      <c r="N2224" s="556"/>
      <c r="O2224" s="556"/>
      <c r="P2224" s="182">
        <f>VLOOKUP($B2224,dongia1,DG!$F$5,)</f>
        <v>6214</v>
      </c>
      <c r="Q2224" s="182">
        <f>VLOOKUP($B2224,dongia1,DG!$G$5,)</f>
        <v>0</v>
      </c>
      <c r="R2224" s="182">
        <f>VLOOKUP($B2224,dongia1,DG!$H$5,)</f>
        <v>0</v>
      </c>
      <c r="S2224" s="113">
        <f t="shared" si="915"/>
        <v>0</v>
      </c>
      <c r="T2224" s="113">
        <f t="shared" si="915"/>
        <v>0</v>
      </c>
      <c r="U2224" s="557">
        <f t="shared" si="915"/>
        <v>0</v>
      </c>
    </row>
    <row r="2225" spans="1:21" s="552" customFormat="1" ht="15" customHeight="1">
      <c r="A2225" s="621"/>
      <c r="B2225" s="622" t="s">
        <v>1682</v>
      </c>
      <c r="C2225" s="633" t="str">
        <f t="shared" si="907"/>
        <v xml:space="preserve"> </v>
      </c>
      <c r="D2225" s="627"/>
      <c r="E2225" s="694" t="str">
        <f>VLOOKUP($B2225,dongia1,DG!$C$5,)</f>
        <v>Lắp tấm bakelit</v>
      </c>
      <c r="F2225" s="555">
        <f>VLOOKUP($B2225,dongia1,DG!$D$5,)</f>
        <v>0</v>
      </c>
      <c r="G2225" s="205">
        <f>G2200</f>
        <v>0</v>
      </c>
      <c r="H2225" s="556">
        <f t="shared" si="900"/>
        <v>0</v>
      </c>
      <c r="I2225" s="556"/>
      <c r="J2225" s="556"/>
      <c r="K2225" s="556"/>
      <c r="L2225" s="556"/>
      <c r="M2225" s="556"/>
      <c r="N2225" s="556"/>
      <c r="O2225" s="556"/>
      <c r="P2225" s="182">
        <f>VLOOKUP($B2225,dongia1,DG!$F$5,)</f>
        <v>0</v>
      </c>
      <c r="Q2225" s="182">
        <f>VLOOKUP($B2225,dongia1,DG!$G$5,)</f>
        <v>0</v>
      </c>
      <c r="R2225" s="182">
        <f>VLOOKUP($B2225,dongia1,DG!$H$5,)</f>
        <v>0</v>
      </c>
      <c r="S2225" s="113">
        <f t="shared" si="915"/>
        <v>0</v>
      </c>
      <c r="T2225" s="113">
        <f t="shared" si="915"/>
        <v>0</v>
      </c>
      <c r="U2225" s="557">
        <f t="shared" si="915"/>
        <v>0</v>
      </c>
    </row>
    <row r="2226" spans="1:21" s="552" customFormat="1" ht="15" customHeight="1">
      <c r="A2226" s="621" t="s">
        <v>2047</v>
      </c>
      <c r="B2226" s="622"/>
      <c r="C2226" s="558"/>
      <c r="D2226" s="599"/>
      <c r="E2226" s="727" t="s">
        <v>3678</v>
      </c>
      <c r="F2226" s="555"/>
      <c r="G2226" s="205"/>
      <c r="H2226" s="556"/>
      <c r="I2226" s="556"/>
      <c r="J2226" s="556"/>
      <c r="K2226" s="556"/>
      <c r="L2226" s="556"/>
      <c r="M2226" s="556"/>
      <c r="N2226" s="556"/>
      <c r="O2226" s="556"/>
      <c r="P2226" s="554"/>
      <c r="Q2226" s="182"/>
      <c r="R2226" s="554"/>
      <c r="S2226" s="608">
        <f>SUM(S2227:S2233)</f>
        <v>0</v>
      </c>
      <c r="T2226" s="608">
        <f>SUM(T2227:T2233)</f>
        <v>0</v>
      </c>
      <c r="U2226" s="609">
        <f>SUM(U2227:U2233)</f>
        <v>0</v>
      </c>
    </row>
    <row r="2227" spans="1:21" s="552" customFormat="1" ht="15" customHeight="1">
      <c r="A2227" s="621"/>
      <c r="B2227" s="622" t="s">
        <v>1398</v>
      </c>
      <c r="C2227" s="633" t="str">
        <f t="shared" ref="C2227:C2233" si="916">IF(G2227&lt;&gt;0,$C$2226," ")</f>
        <v xml:space="preserve"> </v>
      </c>
      <c r="D2227" s="553"/>
      <c r="E2227" s="694" t="str">
        <f>VLOOKUP($B2227,dongia1,DG!$C$5,)</f>
        <v>Lắp sứ đứng đường dây 3 pha xà đối xứng</v>
      </c>
      <c r="F2227" s="555" t="str">
        <f>VLOOKUP($B2227,dongia1,DG!$D$5,)</f>
        <v>bộ</v>
      </c>
      <c r="G2227" s="560"/>
      <c r="H2227" s="556">
        <f t="shared" ref="H2227:H2233" si="917">G2227</f>
        <v>0</v>
      </c>
      <c r="I2227" s="556"/>
      <c r="J2227" s="556">
        <f t="shared" ref="J2227:J2233" si="918">G2227</f>
        <v>0</v>
      </c>
      <c r="K2227" s="556"/>
      <c r="L2227" s="556"/>
      <c r="M2227" s="556"/>
      <c r="N2227" s="556"/>
      <c r="O2227" s="556"/>
      <c r="P2227" s="603" t="str">
        <f>TEXT(VLOOKUP($B2227,dongia1,DG!$F$5,),"#.###")&amp;"x"&amp;_hsl1&amp;"x"&amp;hslm</f>
        <v>51.836x1x0,9</v>
      </c>
      <c r="Q2227" s="603" t="str">
        <f>TEXT(VLOOKUP($B2227,dongia1,DG!$G$5,),"#.###")&amp;"x"&amp;_hsl1&amp;"x"&amp;hslm</f>
        <v>62.209x1x0,9</v>
      </c>
      <c r="R2227" s="603" t="str">
        <f>TEXT(VLOOKUP($B2227,dongia1,DG!$H$5,),"#.###")&amp;"x"&amp;_hsl1&amp;"x"&amp;hslm</f>
        <v>202.860x1x0,9</v>
      </c>
      <c r="S2227" s="113">
        <f>$G2227*VLOOKUP($B2227,dongia1,DG!$F$5,)*_hsl1*hslm</f>
        <v>0</v>
      </c>
      <c r="T2227" s="113">
        <f>$G2227*VLOOKUP($B2227,dongia1,DG!$G$5,)*_hsl1*hslm</f>
        <v>0</v>
      </c>
      <c r="U2227" s="557">
        <f>$G2227*VLOOKUP($B2227,dongia1,DG!$H$5,)*_hsl1*hslm</f>
        <v>0</v>
      </c>
    </row>
    <row r="2228" spans="1:21" s="552" customFormat="1" ht="15" customHeight="1">
      <c r="A2228" s="621"/>
      <c r="B2228" s="622" t="s">
        <v>1393</v>
      </c>
      <c r="C2228" s="633" t="str">
        <f t="shared" si="916"/>
        <v xml:space="preserve"> </v>
      </c>
      <c r="D2228" s="553"/>
      <c r="E2228" s="694" t="str">
        <f>VLOOKUP($B2228,dongia1,DG!$C$5,)</f>
        <v>Lắp chuỗi sứ néo Polymer đường dây 3 pha</v>
      </c>
      <c r="F2228" s="555" t="str">
        <f>VLOOKUP($B2228,dongia1,DG!$D$5,)</f>
        <v>bộ</v>
      </c>
      <c r="G2228" s="560"/>
      <c r="H2228" s="556">
        <f t="shared" si="917"/>
        <v>0</v>
      </c>
      <c r="I2228" s="556"/>
      <c r="J2228" s="556">
        <f t="shared" si="918"/>
        <v>0</v>
      </c>
      <c r="K2228" s="556"/>
      <c r="L2228" s="556"/>
      <c r="M2228" s="556"/>
      <c r="N2228" s="556"/>
      <c r="O2228" s="556"/>
      <c r="P2228" s="603" t="str">
        <f>TEXT(VLOOKUP($B2228,dongia1,DG!$F$5,),"#.###")&amp;"x"&amp;_hsl1&amp;"x"&amp;hslm&amp;"x"&amp;hsdn</f>
        <v>162.675x1x0,9x2</v>
      </c>
      <c r="Q2228" s="603" t="str">
        <f>TEXT(VLOOKUP($B2228,dongia1,DG!$G$5,),"#.###")&amp;"x"&amp;_hsl1&amp;"x"&amp;hslm&amp;"x"&amp;hsdn</f>
        <v>160.475x1x0,9x2</v>
      </c>
      <c r="R2228" s="603" t="str">
        <f>TEXT(VLOOKUP($B2228,dongia1,DG!$H$5,),"#.###")&amp;"x"&amp;_hsl1&amp;"x"&amp;hslm&amp;"x"&amp;hsdn</f>
        <v>551.080x1x0,9x2</v>
      </c>
      <c r="S2228" s="113">
        <f>$G2228*VLOOKUP($B2228,dongia1,DG!$F$5,)*_hsl1*hslm*hsdn</f>
        <v>0</v>
      </c>
      <c r="T2228" s="113">
        <f>$G2228*VLOOKUP($B2228,dongia1,DG!$G$5,)*_hsl1*hslm*hsdn</f>
        <v>0</v>
      </c>
      <c r="U2228" s="557">
        <f>$G2228*VLOOKUP($B2228,dongia1,DG!$H$5,)*_hsl1*hslm*hsdn</f>
        <v>0</v>
      </c>
    </row>
    <row r="2229" spans="1:21" s="552" customFormat="1" ht="15" customHeight="1">
      <c r="A2229" s="621"/>
      <c r="B2229" s="622" t="s">
        <v>2024</v>
      </c>
      <c r="C2229" s="633" t="str">
        <f t="shared" si="916"/>
        <v xml:space="preserve"> </v>
      </c>
      <c r="D2229" s="553"/>
      <c r="E2229" s="694" t="str">
        <f>VLOOKUP($B2229,dongia1,DG!$C$5,)</f>
        <v>Đấu cò lèo đường dây 3 pha</v>
      </c>
      <c r="F2229" s="555" t="str">
        <f>VLOOKUP($B2229,dongia1,DG!$D$5,)</f>
        <v>cò</v>
      </c>
      <c r="G2229" s="560"/>
      <c r="H2229" s="556">
        <f t="shared" si="917"/>
        <v>0</v>
      </c>
      <c r="I2229" s="556"/>
      <c r="J2229" s="556">
        <f t="shared" si="918"/>
        <v>0</v>
      </c>
      <c r="K2229" s="556"/>
      <c r="L2229" s="556"/>
      <c r="M2229" s="556"/>
      <c r="N2229" s="556"/>
      <c r="O2229" s="556"/>
      <c r="P2229" s="603" t="str">
        <f>TEXT(VLOOKUP($B2229,dongia1,DG!$F$5,),"#.###")&amp;"x"&amp;_hsl1&amp;"x"&amp;hslm</f>
        <v>168.557x1x0,9</v>
      </c>
      <c r="Q2229" s="603" t="str">
        <f>TEXT(VLOOKUP($B2229,dongia1,DG!$G$5,),"#.###")&amp;"x"&amp;_hsl1&amp;"x"&amp;hslm</f>
        <v>166.418x1x0,9</v>
      </c>
      <c r="R2229" s="603" t="str">
        <f>TEXT(VLOOKUP($B2229,dongia1,DG!$H$5,),"#.###")&amp;"x"&amp;_hsl1&amp;"x"&amp;hslm</f>
        <v>539.120x1x0,9</v>
      </c>
      <c r="S2229" s="113">
        <f>$G2229*VLOOKUP($B2229,dongia1,DG!$F$5,)*_hsl1*hslm</f>
        <v>0</v>
      </c>
      <c r="T2229" s="113">
        <f>$G2229*VLOOKUP($B2229,dongia1,DG!$G$5,)*_hsl1*hslm</f>
        <v>0</v>
      </c>
      <c r="U2229" s="557">
        <f>$G2229*VLOOKUP($B2229,dongia1,DG!$H$5,)*_hsl1*hslm</f>
        <v>0</v>
      </c>
    </row>
    <row r="2230" spans="1:21" s="552" customFormat="1" ht="15" customHeight="1">
      <c r="A2230" s="621"/>
      <c r="B2230" s="622" t="s">
        <v>1397</v>
      </c>
      <c r="C2230" s="633" t="str">
        <f t="shared" si="916"/>
        <v xml:space="preserve"> </v>
      </c>
      <c r="D2230" s="553"/>
      <c r="E2230" s="694" t="str">
        <f>VLOOKUP($B2230,dongia1,DG!$C$5,)</f>
        <v>Lắp xà</v>
      </c>
      <c r="F2230" s="555" t="str">
        <f>VLOOKUP($B2230,dongia1,DG!$D$5,)</f>
        <v>bộ</v>
      </c>
      <c r="G2230" s="560"/>
      <c r="H2230" s="556">
        <f t="shared" si="917"/>
        <v>0</v>
      </c>
      <c r="I2230" s="556"/>
      <c r="J2230" s="556">
        <f t="shared" si="918"/>
        <v>0</v>
      </c>
      <c r="K2230" s="556"/>
      <c r="L2230" s="556"/>
      <c r="M2230" s="556"/>
      <c r="N2230" s="556"/>
      <c r="O2230" s="556"/>
      <c r="P2230" s="603" t="str">
        <f>TEXT(VLOOKUP($B2230,dongia1,DG!$F$5,),"#.###")&amp;"x"&amp;_hsl1&amp;"x"&amp;hslm</f>
        <v>286.522x1x0,9</v>
      </c>
      <c r="Q2230" s="603" t="str">
        <f>TEXT(VLOOKUP($B2230,dongia1,DG!$G$5,),"#.###")&amp;"x"&amp;_hsl1&amp;"x"&amp;hslm</f>
        <v>314.263x1x0,9</v>
      </c>
      <c r="R2230" s="603" t="str">
        <f>TEXT(VLOOKUP($B2230,dongia1,DG!$H$5,),"#.###")&amp;"x"&amp;_hsl1&amp;"x"&amp;hslm</f>
        <v>982.330x1x0,9</v>
      </c>
      <c r="S2230" s="113">
        <f>$G2230*VLOOKUP($B2230,dongia1,DG!$F$5,)*_hsl1*hslm</f>
        <v>0</v>
      </c>
      <c r="T2230" s="113">
        <f>$G2230*VLOOKUP($B2230,dongia1,DG!$G$5,)*_hsl1*hslm</f>
        <v>0</v>
      </c>
      <c r="U2230" s="557">
        <f>$G2230*VLOOKUP($B2230,dongia1,DG!$H$5,)*_hsl1*hslm</f>
        <v>0</v>
      </c>
    </row>
    <row r="2231" spans="1:21" s="552" customFormat="1" ht="15" customHeight="1">
      <c r="A2231" s="621"/>
      <c r="B2231" s="622" t="s">
        <v>1399</v>
      </c>
      <c r="C2231" s="633" t="str">
        <f t="shared" si="916"/>
        <v xml:space="preserve"> </v>
      </c>
      <c r="D2231" s="553"/>
      <c r="E2231" s="694" t="str">
        <f>VLOOKUP($B2231,dongia1,DG!$C$5,)</f>
        <v>Lắp sứ đứng đường dây 3 pha xà vectical</v>
      </c>
      <c r="F2231" s="555" t="str">
        <f>VLOOKUP($B2231,dongia1,DG!$D$5,)</f>
        <v>bộ</v>
      </c>
      <c r="G2231" s="560"/>
      <c r="H2231" s="556">
        <f t="shared" si="917"/>
        <v>0</v>
      </c>
      <c r="I2231" s="556"/>
      <c r="J2231" s="556">
        <f t="shared" si="918"/>
        <v>0</v>
      </c>
      <c r="K2231" s="556"/>
      <c r="L2231" s="556"/>
      <c r="M2231" s="556"/>
      <c r="N2231" s="556"/>
      <c r="O2231" s="556"/>
      <c r="P2231" s="603" t="str">
        <f>TEXT(VLOOKUP($B2231,dongia1,DG!$F$5,),"#.###")&amp;"x"&amp;_hsl2&amp;"x"&amp;hslm</f>
        <v>52.764x1,5x0,9</v>
      </c>
      <c r="Q2231" s="603" t="str">
        <f>TEXT(VLOOKUP($B2231,dongia1,DG!$G$5,),"#.###")&amp;"x"&amp;_hsl2&amp;"x"&amp;hslm</f>
        <v>64.586x1,5x0,9</v>
      </c>
      <c r="R2231" s="603" t="str">
        <f>TEXT(VLOOKUP($B2231,dongia1,DG!$H$5,),"#.###")&amp;"x"&amp;_hsl2&amp;"x"&amp;hslm</f>
        <v>212.443x1,5x0,9</v>
      </c>
      <c r="S2231" s="113">
        <f>$G2231*VLOOKUP($B2231,dongia1,DG!$F$5,)*_hsl1*hslm</f>
        <v>0</v>
      </c>
      <c r="T2231" s="113">
        <f>$G2231*VLOOKUP($B2231,dongia1,DG!$G$5,)*_hsl1*hslm</f>
        <v>0</v>
      </c>
      <c r="U2231" s="557">
        <f>$G2231*VLOOKUP($B2231,dongia1,DG!$H$5,)*_hsl1*hslm</f>
        <v>0</v>
      </c>
    </row>
    <row r="2232" spans="1:21" s="552" customFormat="1" ht="15" customHeight="1">
      <c r="A2232" s="621"/>
      <c r="B2232" s="622" t="s">
        <v>1445</v>
      </c>
      <c r="C2232" s="633" t="str">
        <f t="shared" si="916"/>
        <v xml:space="preserve"> </v>
      </c>
      <c r="D2232" s="553"/>
      <c r="E2232" s="694" t="str">
        <f>VLOOKUP($B2232,dongia1,DG!$C$5,)</f>
        <v>Lắp FCO, LBFCO đường dây 3 pha</v>
      </c>
      <c r="F2232" s="555" t="str">
        <f>VLOOKUP($B2232,dongia1,DG!$D$5,)</f>
        <v>bộ</v>
      </c>
      <c r="G2232" s="560"/>
      <c r="H2232" s="556">
        <f t="shared" si="917"/>
        <v>0</v>
      </c>
      <c r="I2232" s="556"/>
      <c r="J2232" s="556">
        <f t="shared" si="918"/>
        <v>0</v>
      </c>
      <c r="K2232" s="556"/>
      <c r="L2232" s="556"/>
      <c r="M2232" s="556"/>
      <c r="N2232" s="556"/>
      <c r="O2232" s="556"/>
      <c r="P2232" s="603" t="str">
        <f>TEXT(VLOOKUP($B2232,dongia1,DG!$F$5,),"#.###")&amp;"x"&amp;_hsl1&amp;"x"&amp;hslm&amp;"x"&amp;hsdn</f>
        <v>154.961x1x0,9x2</v>
      </c>
      <c r="Q2232" s="603" t="str">
        <f>TEXT(VLOOKUP($B2232,dongia1,DG!$G$5,),"#.###")&amp;"x"&amp;_hsl1&amp;"x"&amp;hslm&amp;"x"&amp;hsdn</f>
        <v>157.503x1x0,9x2</v>
      </c>
      <c r="R2232" s="603" t="str">
        <f>TEXT(VLOOKUP($B2232,dongia1,DG!$H$5,),"#.###")&amp;"x"&amp;_hsl1&amp;"x"&amp;hslm&amp;"x"&amp;hsdn</f>
        <v>527.045x1x0,9x2</v>
      </c>
      <c r="S2232" s="113">
        <f>$G2232*VLOOKUP($B2232,dongia1,DG!$F$5,)*_hsl1*hslm*hsdn</f>
        <v>0</v>
      </c>
      <c r="T2232" s="113">
        <f>$G2232*VLOOKUP($B2232,dongia1,DG!$G$5,)*_hsl1*hslm*hsdn</f>
        <v>0</v>
      </c>
      <c r="U2232" s="557">
        <f>$G2232*VLOOKUP($B2232,dongia1,DG!$H$5,)*_hsl1*hslm*hsdn</f>
        <v>0</v>
      </c>
    </row>
    <row r="2233" spans="1:21" s="552" customFormat="1" ht="15" customHeight="1">
      <c r="A2233" s="621"/>
      <c r="B2233" s="622" t="s">
        <v>1446</v>
      </c>
      <c r="C2233" s="633" t="str">
        <f t="shared" si="916"/>
        <v xml:space="preserve"> </v>
      </c>
      <c r="D2233" s="553"/>
      <c r="E2233" s="694" t="str">
        <f>VLOOKUP($B2233,dongia1,DG!$C$5,)</f>
        <v>Lắp LA</v>
      </c>
      <c r="F2233" s="555" t="str">
        <f>VLOOKUP($B2233,dongia1,DG!$D$5,)</f>
        <v>cái</v>
      </c>
      <c r="G2233" s="560"/>
      <c r="H2233" s="556">
        <f t="shared" si="917"/>
        <v>0</v>
      </c>
      <c r="I2233" s="556"/>
      <c r="J2233" s="556">
        <f t="shared" si="918"/>
        <v>0</v>
      </c>
      <c r="K2233" s="556"/>
      <c r="L2233" s="556"/>
      <c r="M2233" s="556"/>
      <c r="N2233" s="556"/>
      <c r="O2233" s="556"/>
      <c r="P2233" s="603" t="str">
        <f>TEXT(VLOOKUP($B2233,dongia1,DG!$F$5,),"#.###")&amp;"x"&amp;_hsl2&amp;"x"&amp;hslm</f>
        <v>154.961x1,5x0,9</v>
      </c>
      <c r="Q2233" s="603" t="str">
        <f>TEXT(VLOOKUP($B2233,dongia1,DG!$G$5,),"#.###")&amp;"x"&amp;_hsl2&amp;"x"&amp;hslm</f>
        <v>157.503x1,5x0,9</v>
      </c>
      <c r="R2233" s="603" t="str">
        <f>TEXT(VLOOKUP($B2233,dongia1,DG!$H$5,),"#.###")&amp;"x"&amp;_hsl2&amp;"x"&amp;hslm</f>
        <v>527.045x1,5x0,9</v>
      </c>
      <c r="S2233" s="113">
        <f>$G2233*VLOOKUP($B2233,dongia1,DG!$F$5,)*_hsl1*hslm</f>
        <v>0</v>
      </c>
      <c r="T2233" s="113">
        <f>$G2233*VLOOKUP($B2233,dongia1,DG!$G$5,)*_hsl1*hslm</f>
        <v>0</v>
      </c>
      <c r="U2233" s="557">
        <f>$G2233*VLOOKUP($B2233,dongia1,DG!$H$5,)*_hsl1*hslm</f>
        <v>0</v>
      </c>
    </row>
    <row r="2234" spans="1:21">
      <c r="A2234" s="630" t="s">
        <v>1543</v>
      </c>
      <c r="B2234" s="696"/>
      <c r="C2234" s="631" t="str">
        <f>IF(G2234=0,"x"," ")</f>
        <v xml:space="preserve"> </v>
      </c>
      <c r="D2234" s="850"/>
      <c r="E2234" s="851" t="s">
        <v>4295</v>
      </c>
      <c r="F2234" s="700"/>
      <c r="G2234" s="762">
        <f>IF(SUM(G2235:G2243)=0,1,0)</f>
        <v>1</v>
      </c>
      <c r="H2234" s="701"/>
      <c r="I2234" s="701"/>
      <c r="J2234" s="701"/>
      <c r="K2234" s="701"/>
      <c r="L2234" s="701"/>
      <c r="M2234" s="701"/>
      <c r="N2234" s="701"/>
      <c r="O2234" s="701"/>
      <c r="P2234" s="703"/>
      <c r="Q2234" s="702"/>
      <c r="R2234" s="703"/>
      <c r="S2234" s="909">
        <f>SUM(S2235:S2251)</f>
        <v>0</v>
      </c>
      <c r="T2234" s="909">
        <f>SUM(T2235:T2251)</f>
        <v>0</v>
      </c>
      <c r="U2234" s="557">
        <f>$G2234*R2234</f>
        <v>0</v>
      </c>
    </row>
    <row r="2235" spans="1:21" s="552" customFormat="1" ht="15" customHeight="1">
      <c r="A2235" s="621"/>
      <c r="B2235" s="622" t="s">
        <v>303</v>
      </c>
      <c r="C2235" s="633" t="str">
        <f t="shared" ref="C2235:C2251" si="919">IF(G2235&lt;&gt;0,$C$2234," ")</f>
        <v xml:space="preserve"> </v>
      </c>
      <c r="D2235" s="553"/>
      <c r="E2235" s="694" t="str">
        <f>VLOOKUP($B2235,dongia1,DG!$C$5,)</f>
        <v>LTD 1P 24KV - 800A</v>
      </c>
      <c r="F2235" s="555" t="str">
        <f>VLOOKUP($B2235,dongia1,DG!$D$5,)</f>
        <v>cái</v>
      </c>
      <c r="G2235" s="560">
        <f>pptt_NC!EU41</f>
        <v>0</v>
      </c>
      <c r="H2235" s="556">
        <f t="shared" ref="H2235:H2243" si="920">G2235</f>
        <v>0</v>
      </c>
      <c r="I2235" s="556"/>
      <c r="J2235" s="556">
        <f t="shared" ref="J2235:J2243" si="921">G2235</f>
        <v>0</v>
      </c>
      <c r="K2235" s="556"/>
      <c r="L2235" s="556"/>
      <c r="M2235" s="556"/>
      <c r="N2235" s="556"/>
      <c r="O2235" s="556"/>
      <c r="P2235" s="182">
        <f>VLOOKUP($B2235,dongia1,DG!$E$5,)</f>
        <v>2360000</v>
      </c>
      <c r="Q2235" s="182">
        <f>VLOOKUP($B2235,dongia1,DG!$G$5,)</f>
        <v>546322</v>
      </c>
      <c r="R2235" s="182">
        <f>VLOOKUP($B2235,dongia1,DG!$H$5,)</f>
        <v>131311</v>
      </c>
      <c r="S2235" s="113">
        <f t="shared" ref="S2235:U2236" si="922">$G2235*P2235</f>
        <v>0</v>
      </c>
      <c r="T2235" s="113">
        <f t="shared" si="922"/>
        <v>0</v>
      </c>
      <c r="U2235" s="718">
        <f t="shared" si="922"/>
        <v>0</v>
      </c>
    </row>
    <row r="2236" spans="1:21">
      <c r="B2236" s="696" t="s">
        <v>1632</v>
      </c>
      <c r="C2236" s="697" t="str">
        <f t="shared" si="919"/>
        <v xml:space="preserve"> </v>
      </c>
      <c r="D2236" s="698"/>
      <c r="E2236" s="699" t="str">
        <f>VLOOKUP($B2236,dongia1,DG!$C$5,)</f>
        <v xml:space="preserve">FCO 24KV - 200A </v>
      </c>
      <c r="F2236" s="700" t="str">
        <f>VLOOKUP($B2236,dongia1,DG!$D$5,)</f>
        <v>cái</v>
      </c>
      <c r="G2236" s="754">
        <f>pptt_NC!EO41</f>
        <v>0</v>
      </c>
      <c r="H2236" s="701">
        <f t="shared" si="920"/>
        <v>0</v>
      </c>
      <c r="I2236" s="701"/>
      <c r="J2236" s="701">
        <f t="shared" si="921"/>
        <v>0</v>
      </c>
      <c r="K2236" s="701"/>
      <c r="L2236" s="701"/>
      <c r="M2236" s="701"/>
      <c r="N2236" s="701"/>
      <c r="O2236" s="701"/>
      <c r="P2236" s="702">
        <f>VLOOKUP($B2236,dongia1,DG!$E$5,)</f>
        <v>4076000</v>
      </c>
      <c r="Q2236" s="702">
        <f>VLOOKUP($B2236,dongia1,DG!$G$5,)</f>
        <v>176000</v>
      </c>
      <c r="R2236" s="702">
        <f>VLOOKUP($B2236,dongia1,DG!$H$5,)</f>
        <v>0</v>
      </c>
      <c r="S2236" s="702">
        <f t="shared" si="922"/>
        <v>0</v>
      </c>
      <c r="T2236" s="702">
        <f t="shared" si="922"/>
        <v>0</v>
      </c>
      <c r="U2236" s="717">
        <f t="shared" si="922"/>
        <v>0</v>
      </c>
    </row>
    <row r="2237" spans="1:21" s="552" customFormat="1" ht="15" customHeight="1">
      <c r="A2237" s="621"/>
      <c r="B2237" s="622" t="s">
        <v>1631</v>
      </c>
      <c r="C2237" s="633" t="str">
        <f t="shared" si="919"/>
        <v xml:space="preserve"> </v>
      </c>
      <c r="D2237" s="553"/>
      <c r="E2237" s="694" t="str">
        <f>VLOOKUP($B2237,dongia1,DG!$C$5,)</f>
        <v>FCO 24kV - 100A</v>
      </c>
      <c r="F2237" s="555" t="str">
        <f>VLOOKUP($B2237,dongia1,DG!$D$5,)</f>
        <v>cái</v>
      </c>
      <c r="G2237" s="560">
        <f>pptt_NC!EP41</f>
        <v>0</v>
      </c>
      <c r="H2237" s="556">
        <f t="shared" si="920"/>
        <v>0</v>
      </c>
      <c r="I2237" s="556"/>
      <c r="J2237" s="556">
        <f t="shared" si="921"/>
        <v>0</v>
      </c>
      <c r="K2237" s="556"/>
      <c r="L2237" s="556"/>
      <c r="M2237" s="556"/>
      <c r="N2237" s="556"/>
      <c r="O2237" s="556"/>
      <c r="P2237" s="182">
        <f>VLOOKUP($B2237,dongia1,DG!$E$5,)</f>
        <v>2244280</v>
      </c>
      <c r="Q2237" s="182">
        <f>VLOOKUP($B2237,dongia1,DG!$G$5,)</f>
        <v>222639.99999999997</v>
      </c>
      <c r="R2237" s="182">
        <f>VLOOKUP($B2237,dongia1,DG!$H$5,)</f>
        <v>0</v>
      </c>
      <c r="S2237" s="113">
        <f t="shared" ref="S2237:U2238" si="923">$G2237*P2237</f>
        <v>0</v>
      </c>
      <c r="T2237" s="113">
        <f t="shared" si="923"/>
        <v>0</v>
      </c>
      <c r="U2237" s="557">
        <f t="shared" si="923"/>
        <v>0</v>
      </c>
    </row>
    <row r="2238" spans="1:21">
      <c r="B2238" s="696" t="s">
        <v>5763</v>
      </c>
      <c r="C2238" s="697" t="str">
        <f t="shared" si="919"/>
        <v xml:space="preserve"> </v>
      </c>
      <c r="D2238" s="698"/>
      <c r="E2238" s="699" t="str">
        <f>VLOOKUP($B2238,dongia1,DG!$C$5,)&amp;" (trụ 112A/24)"</f>
        <v>Dây chảy 10K (trụ 112A/24)</v>
      </c>
      <c r="F2238" s="700" t="str">
        <f>VLOOKUP($B2238,dongia1,DG!$D$5,)</f>
        <v>Sợi</v>
      </c>
      <c r="G2238" s="754">
        <f>G2237+G2236+G2250</f>
        <v>0</v>
      </c>
      <c r="H2238" s="701">
        <f t="shared" si="920"/>
        <v>0</v>
      </c>
      <c r="I2238" s="701"/>
      <c r="J2238" s="701">
        <f t="shared" si="921"/>
        <v>0</v>
      </c>
      <c r="K2238" s="701"/>
      <c r="L2238" s="701"/>
      <c r="M2238" s="701"/>
      <c r="N2238" s="701"/>
      <c r="O2238" s="701"/>
      <c r="P2238" s="702">
        <f>VLOOKUP($B2238,dongia1,DG!$F$5,)</f>
        <v>84000</v>
      </c>
      <c r="Q2238" s="702">
        <f>VLOOKUP($B2238,dongia1,DG!$G$5,)</f>
        <v>0</v>
      </c>
      <c r="R2238" s="702">
        <f>VLOOKUP($B2238,dongia1,DG!$H$5,)</f>
        <v>0</v>
      </c>
      <c r="S2238" s="702">
        <f t="shared" si="923"/>
        <v>0</v>
      </c>
      <c r="T2238" s="702">
        <f t="shared" si="923"/>
        <v>0</v>
      </c>
      <c r="U2238" s="930">
        <f t="shared" si="923"/>
        <v>0</v>
      </c>
    </row>
    <row r="2239" spans="1:21">
      <c r="B2239" s="696" t="s">
        <v>5764</v>
      </c>
      <c r="C2239" s="697" t="str">
        <f t="shared" si="919"/>
        <v xml:space="preserve"> </v>
      </c>
      <c r="D2239" s="698"/>
      <c r="E2239" s="699" t="str">
        <f>VLOOKUP($B2239,dongia1,DG!$C$5,)&amp;" (thay chì trung thế trụ 112A/1)"</f>
        <v>Dây chảy 50K (thay chì trung thế trụ 112A/1)</v>
      </c>
      <c r="F2239" s="700" t="str">
        <f>VLOOKUP($B2239,dongia1,DG!$D$5,)</f>
        <v>Sợi</v>
      </c>
      <c r="G2239" s="754">
        <f>G2237</f>
        <v>0</v>
      </c>
      <c r="H2239" s="701">
        <f>G2239</f>
        <v>0</v>
      </c>
      <c r="I2239" s="701"/>
      <c r="J2239" s="701">
        <f>G2239</f>
        <v>0</v>
      </c>
      <c r="K2239" s="701"/>
      <c r="L2239" s="701"/>
      <c r="M2239" s="701"/>
      <c r="N2239" s="701"/>
      <c r="O2239" s="701"/>
      <c r="P2239" s="702">
        <f>VLOOKUP($B2239,dongia1,DG!$F$5,)</f>
        <v>132000</v>
      </c>
      <c r="Q2239" s="702">
        <f>VLOOKUP($B2239,dongia1,DG!$G$5,)</f>
        <v>0</v>
      </c>
      <c r="R2239" s="702">
        <f>VLOOKUP($B2239,dongia1,DG!$H$5,)</f>
        <v>0</v>
      </c>
      <c r="S2239" s="702">
        <f>$G2239*P2239</f>
        <v>0</v>
      </c>
      <c r="T2239" s="702">
        <f>$G2239*Q2239</f>
        <v>0</v>
      </c>
      <c r="U2239" s="930">
        <f>$G2239*R2239</f>
        <v>0</v>
      </c>
    </row>
    <row r="2240" spans="1:21" s="552" customFormat="1" ht="15" customHeight="1">
      <c r="A2240" s="621"/>
      <c r="B2240" s="622" t="s">
        <v>434</v>
      </c>
      <c r="C2240" s="633" t="str">
        <f t="shared" si="919"/>
        <v xml:space="preserve"> </v>
      </c>
      <c r="D2240" s="553"/>
      <c r="E2240" s="694" t="str">
        <f>VLOOKUP($B2240,dongia1,DG!$C$5,)</f>
        <v xml:space="preserve">DS 1P - 24KV - 600A </v>
      </c>
      <c r="F2240" s="555" t="str">
        <f>VLOOKUP($B2240,dongia1,DG!$D$5,)</f>
        <v>bộ</v>
      </c>
      <c r="G2240" s="560">
        <f>pptt_NC!ER41</f>
        <v>0</v>
      </c>
      <c r="H2240" s="556">
        <f t="shared" si="920"/>
        <v>0</v>
      </c>
      <c r="I2240" s="556"/>
      <c r="J2240" s="556">
        <f t="shared" si="921"/>
        <v>0</v>
      </c>
      <c r="K2240" s="556"/>
      <c r="L2240" s="556"/>
      <c r="M2240" s="556"/>
      <c r="N2240" s="556"/>
      <c r="O2240" s="556"/>
      <c r="P2240" s="182">
        <f>VLOOKUP($B2240,dongia1,DG!$E$5,)</f>
        <v>4541400</v>
      </c>
      <c r="Q2240" s="182">
        <f>VLOOKUP($B2240,dongia1,DG!$G$5,)</f>
        <v>691097.6399999999</v>
      </c>
      <c r="R2240" s="182">
        <f>VLOOKUP($B2240,dongia1,DG!$H$5,)</f>
        <v>131311</v>
      </c>
      <c r="S2240" s="113">
        <f t="shared" ref="S2240:U2241" si="924">$G2240*P2240</f>
        <v>0</v>
      </c>
      <c r="T2240" s="113">
        <f t="shared" si="924"/>
        <v>0</v>
      </c>
      <c r="U2240" s="715">
        <f t="shared" si="924"/>
        <v>0</v>
      </c>
    </row>
    <row r="2241" spans="1:21" s="552" customFormat="1" ht="15" customHeight="1">
      <c r="A2241" s="621"/>
      <c r="B2241" s="622" t="s">
        <v>1830</v>
      </c>
      <c r="C2241" s="633" t="str">
        <f t="shared" si="919"/>
        <v xml:space="preserve"> </v>
      </c>
      <c r="D2241" s="553"/>
      <c r="E2241" s="694" t="str">
        <f>VLOOKUP($B2241,dongia1,DG!$C$5,)</f>
        <v xml:space="preserve">DS 3P - 24KV - 630A </v>
      </c>
      <c r="F2241" s="555" t="str">
        <f>VLOOKUP($B2241,dongia1,DG!$D$5,)</f>
        <v>bộ</v>
      </c>
      <c r="G2241" s="560">
        <f>pptt_NC!ES41</f>
        <v>0</v>
      </c>
      <c r="H2241" s="556">
        <f t="shared" si="920"/>
        <v>0</v>
      </c>
      <c r="I2241" s="556"/>
      <c r="J2241" s="556">
        <f t="shared" si="921"/>
        <v>0</v>
      </c>
      <c r="K2241" s="556"/>
      <c r="L2241" s="556"/>
      <c r="M2241" s="556"/>
      <c r="N2241" s="556"/>
      <c r="O2241" s="556"/>
      <c r="P2241" s="182">
        <f>VLOOKUP($B2241,dongia1,DG!$E$5,)</f>
        <v>16664000</v>
      </c>
      <c r="Q2241" s="182">
        <f>VLOOKUP($B2241,dongia1,DG!$G$5,)</f>
        <v>1382195.2799999998</v>
      </c>
      <c r="R2241" s="182">
        <f>VLOOKUP($B2241,dongia1,DG!$H$5,)</f>
        <v>262622</v>
      </c>
      <c r="S2241" s="113">
        <f t="shared" si="924"/>
        <v>0</v>
      </c>
      <c r="T2241" s="113">
        <f t="shared" si="924"/>
        <v>0</v>
      </c>
      <c r="U2241" s="557">
        <f t="shared" si="924"/>
        <v>0</v>
      </c>
    </row>
    <row r="2242" spans="1:21" s="552" customFormat="1" ht="15" customHeight="1">
      <c r="A2242" s="621"/>
      <c r="B2242" s="622" t="s">
        <v>824</v>
      </c>
      <c r="C2242" s="633" t="str">
        <f t="shared" si="919"/>
        <v xml:space="preserve"> </v>
      </c>
      <c r="D2242" s="553"/>
      <c r="E2242" s="694" t="str">
        <f>VLOOKUP($B2242,dongia1,DG!$C$5,)</f>
        <v>LBS SF6 3pha 24kV 630A - 16kA</v>
      </c>
      <c r="F2242" s="555" t="str">
        <f>VLOOKUP($B2242,dongia1,DG!$D$5,)</f>
        <v>bộ</v>
      </c>
      <c r="G2242" s="560">
        <f>pptt_NC!ET41</f>
        <v>0</v>
      </c>
      <c r="H2242" s="556">
        <f t="shared" si="920"/>
        <v>0</v>
      </c>
      <c r="I2242" s="556"/>
      <c r="J2242" s="556">
        <f t="shared" si="921"/>
        <v>0</v>
      </c>
      <c r="K2242" s="556"/>
      <c r="L2242" s="556"/>
      <c r="M2242" s="556"/>
      <c r="N2242" s="556"/>
      <c r="O2242" s="556"/>
      <c r="P2242" s="182">
        <f>VLOOKUP($B2242,dongia1,DG!$E$5,)</f>
        <v>79800000</v>
      </c>
      <c r="Q2242" s="182">
        <f>VLOOKUP($B2242,dongia1,DG!$G$5,)</f>
        <v>1918837</v>
      </c>
      <c r="R2242" s="182">
        <f>VLOOKUP($B2242,dongia1,DG!$H$5,)</f>
        <v>218852</v>
      </c>
      <c r="S2242" s="113">
        <f t="shared" ref="S2242:U2243" si="925">$G2242*P2242</f>
        <v>0</v>
      </c>
      <c r="T2242" s="113">
        <f t="shared" si="925"/>
        <v>0</v>
      </c>
      <c r="U2242" s="557">
        <f t="shared" si="925"/>
        <v>0</v>
      </c>
    </row>
    <row r="2243" spans="1:21" s="552" customFormat="1" ht="15" customHeight="1">
      <c r="A2243" s="621"/>
      <c r="B2243" s="622" t="s">
        <v>1822</v>
      </c>
      <c r="C2243" s="633" t="str">
        <f t="shared" si="919"/>
        <v xml:space="preserve"> </v>
      </c>
      <c r="D2243" s="553"/>
      <c r="E2243" s="694" t="str">
        <f>VLOOKUP($B2243,dongia1,DG!$C$5,)</f>
        <v>Recloser 24kV 630-800A</v>
      </c>
      <c r="F2243" s="555" t="str">
        <f>VLOOKUP($B2243,dongia1,DG!$D$5,)</f>
        <v>bộ</v>
      </c>
      <c r="G2243" s="560">
        <f>pptt_NC!EQ41</f>
        <v>0</v>
      </c>
      <c r="H2243" s="556">
        <f t="shared" si="920"/>
        <v>0</v>
      </c>
      <c r="I2243" s="556"/>
      <c r="J2243" s="556">
        <f t="shared" si="921"/>
        <v>0</v>
      </c>
      <c r="K2243" s="556"/>
      <c r="L2243" s="556"/>
      <c r="M2243" s="556"/>
      <c r="N2243" s="556"/>
      <c r="O2243" s="556"/>
      <c r="P2243" s="182">
        <f>VLOOKUP($B2243,dongia1,DG!$E$5,)</f>
        <v>290500000</v>
      </c>
      <c r="Q2243" s="182">
        <f>VLOOKUP($B2243,dongia1,DG!$G$5,)</f>
        <v>1918837</v>
      </c>
      <c r="R2243" s="182">
        <f>VLOOKUP($B2243,dongia1,DG!$H$5,)</f>
        <v>218852</v>
      </c>
      <c r="S2243" s="113">
        <f t="shared" si="925"/>
        <v>0</v>
      </c>
      <c r="T2243" s="113">
        <f t="shared" si="925"/>
        <v>0</v>
      </c>
      <c r="U2243" s="557">
        <f t="shared" si="925"/>
        <v>0</v>
      </c>
    </row>
    <row r="2244" spans="1:21" s="552" customFormat="1" ht="15" customHeight="1">
      <c r="A2244" s="621"/>
      <c r="B2244" s="622" t="s">
        <v>2137</v>
      </c>
      <c r="C2244" s="633" t="str">
        <f t="shared" si="919"/>
        <v xml:space="preserve"> </v>
      </c>
      <c r="D2244" s="553"/>
      <c r="E2244" s="694" t="str">
        <f>VLOOKUP($B2244,dongia1,DG!$C$5,)</f>
        <v>LA 18kV 10kA</v>
      </c>
      <c r="F2244" s="555" t="str">
        <f>VLOOKUP($B2244,dongia1,DG!$D$5,)</f>
        <v>cái</v>
      </c>
      <c r="G2244" s="560">
        <f>pptt_NC!EV41</f>
        <v>0</v>
      </c>
      <c r="H2244" s="556">
        <f>G2244</f>
        <v>0</v>
      </c>
      <c r="I2244" s="556"/>
      <c r="J2244" s="556">
        <f>G2244</f>
        <v>0</v>
      </c>
      <c r="K2244" s="556"/>
      <c r="L2244" s="556"/>
      <c r="M2244" s="556"/>
      <c r="N2244" s="556"/>
      <c r="O2244" s="556"/>
      <c r="P2244" s="182">
        <f>VLOOKUP($B2244,dongia1,DG!$E$5,)</f>
        <v>740000</v>
      </c>
      <c r="Q2244" s="182">
        <f>VLOOKUP($B2244,dongia1,DG!$G$5,)</f>
        <v>66000</v>
      </c>
      <c r="R2244" s="182">
        <f>VLOOKUP($B2244,dongia1,DG!$H$5,)</f>
        <v>0</v>
      </c>
      <c r="S2244" s="113">
        <f>$G2244*P2244</f>
        <v>0</v>
      </c>
      <c r="T2244" s="113">
        <f>$G2244*Q2244</f>
        <v>0</v>
      </c>
      <c r="U2244" s="557">
        <f>$G2244*R2244</f>
        <v>0</v>
      </c>
    </row>
    <row r="2245" spans="1:21" s="998" customFormat="1" ht="27.6">
      <c r="A2245" s="989"/>
      <c r="B2245" s="990" t="s">
        <v>4891</v>
      </c>
      <c r="C2245" s="991" t="str">
        <f t="shared" si="919"/>
        <v xml:space="preserve"> </v>
      </c>
      <c r="D2245" s="992"/>
      <c r="E2245" s="999" t="str">
        <f>VLOOKUP($B2245,dongia1,DG!$C$5,)&amp;"+ Phụ kiện: Lắp sử dụng lại (trọn bộ)"</f>
        <v>Máy biến áp 12,7/0,22-0,44kV  37,5kVA+ Phụ kiện: Lắp sử dụng lại (trọn bộ)</v>
      </c>
      <c r="F2245" s="794" t="str">
        <f>VLOOKUP($B2245,dongia1,DG!$D$5,)</f>
        <v>máy</v>
      </c>
      <c r="G2245" s="993">
        <f>pptt_NC!JZ41</f>
        <v>0</v>
      </c>
      <c r="H2245" s="994">
        <f t="shared" ref="H2245:H2251" si="926">G2245</f>
        <v>0</v>
      </c>
      <c r="I2245" s="994"/>
      <c r="J2245" s="994">
        <f t="shared" ref="J2245:J2251" si="927">G2245</f>
        <v>0</v>
      </c>
      <c r="K2245" s="994"/>
      <c r="L2245" s="994"/>
      <c r="M2245" s="994"/>
      <c r="N2245" s="994"/>
      <c r="O2245" s="994"/>
      <c r="P2245" s="995"/>
      <c r="Q2245" s="995">
        <f>VLOOKUP($B2245,dongia1,DG!$G$5,)</f>
        <v>630187</v>
      </c>
      <c r="R2245" s="995">
        <f>VLOOKUP($B2245,dongia1,DG!$H$5,)</f>
        <v>284508</v>
      </c>
      <c r="S2245" s="996">
        <f t="shared" ref="S2245:S2251" si="928">$G2245*P2245</f>
        <v>0</v>
      </c>
      <c r="T2245" s="996">
        <f t="shared" ref="T2245:T2251" si="929">$G2245*Q2245</f>
        <v>0</v>
      </c>
      <c r="U2245" s="997">
        <f t="shared" ref="U2245:U2251" si="930">$G2245*R2245</f>
        <v>0</v>
      </c>
    </row>
    <row r="2246" spans="1:21" s="998" customFormat="1" ht="27.6">
      <c r="A2246" s="989"/>
      <c r="B2246" s="990" t="s">
        <v>4892</v>
      </c>
      <c r="C2246" s="991" t="str">
        <f t="shared" si="919"/>
        <v xml:space="preserve"> </v>
      </c>
      <c r="D2246" s="992"/>
      <c r="E2246" s="999" t="str">
        <f>VLOOKUP($B2246,dongia1,DG!$C$5,)&amp;"+ Phụ kiện: Lắp sử dụng lại (trọn bộ)"</f>
        <v>Máy biến áp 12,7/0,22-0,44kV  50kVA+ Phụ kiện: Lắp sử dụng lại (trọn bộ)</v>
      </c>
      <c r="F2246" s="794" t="str">
        <f>VLOOKUP($B2246,dongia1,DG!$D$5,)</f>
        <v>máy</v>
      </c>
      <c r="G2246" s="993">
        <f>pptt_NC!KA41</f>
        <v>0</v>
      </c>
      <c r="H2246" s="994">
        <f t="shared" si="926"/>
        <v>0</v>
      </c>
      <c r="I2246" s="994"/>
      <c r="J2246" s="994">
        <f t="shared" si="927"/>
        <v>0</v>
      </c>
      <c r="K2246" s="994"/>
      <c r="L2246" s="994"/>
      <c r="M2246" s="994"/>
      <c r="N2246" s="994"/>
      <c r="O2246" s="994"/>
      <c r="P2246" s="995"/>
      <c r="Q2246" s="995">
        <f>VLOOKUP($B2246,dongia1,DG!$G$5,)</f>
        <v>630187</v>
      </c>
      <c r="R2246" s="995">
        <f>VLOOKUP($B2246,dongia1,DG!$H$5,)</f>
        <v>284508</v>
      </c>
      <c r="S2246" s="996">
        <f t="shared" si="928"/>
        <v>0</v>
      </c>
      <c r="T2246" s="996">
        <f t="shared" si="929"/>
        <v>0</v>
      </c>
      <c r="U2246" s="997">
        <f t="shared" si="930"/>
        <v>0</v>
      </c>
    </row>
    <row r="2247" spans="1:21" s="998" customFormat="1" ht="27.6">
      <c r="A2247" s="989"/>
      <c r="B2247" s="990" t="s">
        <v>4893</v>
      </c>
      <c r="C2247" s="991" t="str">
        <f t="shared" si="919"/>
        <v xml:space="preserve"> </v>
      </c>
      <c r="D2247" s="992"/>
      <c r="E2247" s="999" t="str">
        <f>VLOOKUP($B2247,dongia1,DG!$C$5,)&amp;"+ Phụ kiện: Lắp sử dụng lại (trọn bộ)"</f>
        <v>Máy biến áp 12,7/0,22-0,44kV  75kVA+ Phụ kiện: Lắp sử dụng lại (trọn bộ)</v>
      </c>
      <c r="F2247" s="794" t="str">
        <f>VLOOKUP($B2247,dongia1,DG!$D$5,)</f>
        <v>máy</v>
      </c>
      <c r="G2247" s="993">
        <f>pptt_NC!KB41</f>
        <v>0</v>
      </c>
      <c r="H2247" s="994">
        <f t="shared" si="926"/>
        <v>0</v>
      </c>
      <c r="I2247" s="994"/>
      <c r="J2247" s="994">
        <f t="shared" si="927"/>
        <v>0</v>
      </c>
      <c r="K2247" s="994"/>
      <c r="L2247" s="994"/>
      <c r="M2247" s="994"/>
      <c r="N2247" s="994"/>
      <c r="O2247" s="994"/>
      <c r="P2247" s="995"/>
      <c r="Q2247" s="995">
        <f>VLOOKUP($B2247,dongia1,DG!$G$5,)</f>
        <v>838653</v>
      </c>
      <c r="R2247" s="995">
        <f>VLOOKUP($B2247,dongia1,DG!$H$5,)</f>
        <v>284508</v>
      </c>
      <c r="S2247" s="996">
        <f t="shared" si="928"/>
        <v>0</v>
      </c>
      <c r="T2247" s="996">
        <f t="shared" si="929"/>
        <v>0</v>
      </c>
      <c r="U2247" s="997">
        <f t="shared" si="930"/>
        <v>0</v>
      </c>
    </row>
    <row r="2248" spans="1:21" s="998" customFormat="1">
      <c r="A2248" s="989"/>
      <c r="B2248" s="990" t="s">
        <v>1655</v>
      </c>
      <c r="C2248" s="991" t="str">
        <f t="shared" si="919"/>
        <v xml:space="preserve"> </v>
      </c>
      <c r="D2248" s="992"/>
      <c r="E2248" s="999" t="str">
        <f>VLOOKUP($B2248,dongia1,DG!$C$5,)&amp;"+ Phụ kiện: Lắp sử dụng lại (trọn bộ)"</f>
        <v>Tủ MCCB trạm treo 1 pha+ Phụ kiện: Lắp sử dụng lại (trọn bộ)</v>
      </c>
      <c r="F2248" s="794" t="str">
        <f>VLOOKUP($B2248,dongia1,DG!$D$5,)</f>
        <v>cái</v>
      </c>
      <c r="G2248" s="993">
        <f>pptt_NC!KD41</f>
        <v>0</v>
      </c>
      <c r="H2248" s="994">
        <f t="shared" si="926"/>
        <v>0</v>
      </c>
      <c r="I2248" s="994"/>
      <c r="J2248" s="994">
        <f t="shared" si="927"/>
        <v>0</v>
      </c>
      <c r="K2248" s="994"/>
      <c r="L2248" s="994"/>
      <c r="M2248" s="994"/>
      <c r="N2248" s="994"/>
      <c r="O2248" s="994"/>
      <c r="P2248" s="995"/>
      <c r="Q2248" s="995">
        <f>VLOOKUP($B2248,dongia1,DG!$G$5,)</f>
        <v>599038</v>
      </c>
      <c r="R2248" s="995">
        <f>VLOOKUP($B2248,dongia1,DG!$H$5,)</f>
        <v>97369</v>
      </c>
      <c r="S2248" s="996">
        <f t="shared" si="928"/>
        <v>0</v>
      </c>
      <c r="T2248" s="996">
        <f t="shared" si="929"/>
        <v>0</v>
      </c>
      <c r="U2248" s="997">
        <f t="shared" si="930"/>
        <v>0</v>
      </c>
    </row>
    <row r="2249" spans="1:21" s="998" customFormat="1" ht="15" customHeight="1">
      <c r="A2249" s="989"/>
      <c r="B2249" s="990" t="s">
        <v>145</v>
      </c>
      <c r="C2249" s="991" t="str">
        <f t="shared" si="919"/>
        <v xml:space="preserve"> </v>
      </c>
      <c r="D2249" s="992"/>
      <c r="E2249" s="999" t="str">
        <f>VLOOKUP($B2249,dongia1,DG!$C$5,)&amp;"+ Phụ kiện: Lắp sử dụng lại"</f>
        <v>LA 18kV 10kA+ Phụ kiện: Lắp sử dụng lại</v>
      </c>
      <c r="F2249" s="794" t="str">
        <f>VLOOKUP($B2249,dongia1,DG!$D$5,)</f>
        <v>cái</v>
      </c>
      <c r="G2249" s="993">
        <f>pptt_NC!JU41</f>
        <v>0</v>
      </c>
      <c r="H2249" s="994">
        <f t="shared" si="926"/>
        <v>0</v>
      </c>
      <c r="I2249" s="994"/>
      <c r="J2249" s="994">
        <f t="shared" si="927"/>
        <v>0</v>
      </c>
      <c r="K2249" s="994"/>
      <c r="L2249" s="994"/>
      <c r="M2249" s="994"/>
      <c r="N2249" s="994"/>
      <c r="O2249" s="994"/>
      <c r="P2249" s="995"/>
      <c r="Q2249" s="995">
        <f>VLOOKUP($B2249,dongia1,DG!$G$5,)</f>
        <v>83490</v>
      </c>
      <c r="R2249" s="995">
        <f>VLOOKUP($B2249,dongia1,DG!$H$5,)</f>
        <v>0</v>
      </c>
      <c r="S2249" s="996">
        <f t="shared" si="928"/>
        <v>0</v>
      </c>
      <c r="T2249" s="996">
        <f t="shared" si="929"/>
        <v>0</v>
      </c>
      <c r="U2249" s="997">
        <f t="shared" si="930"/>
        <v>0</v>
      </c>
    </row>
    <row r="2250" spans="1:21" s="998" customFormat="1" ht="15" customHeight="1">
      <c r="A2250" s="989"/>
      <c r="B2250" s="622" t="s">
        <v>1631</v>
      </c>
      <c r="C2250" s="991" t="str">
        <f t="shared" si="919"/>
        <v xml:space="preserve"> </v>
      </c>
      <c r="D2250" s="992"/>
      <c r="E2250" s="999" t="str">
        <f>VLOOKUP($B2250,dongia1,DG!$C$5,)&amp;"+ Phụ kiện: Lắp sử dụng lại"</f>
        <v>FCO 24kV - 100A+ Phụ kiện: Lắp sử dụng lại</v>
      </c>
      <c r="F2250" s="794" t="str">
        <f>VLOOKUP($B2250,dongia1,DG!$D$5,)</f>
        <v>cái</v>
      </c>
      <c r="G2250" s="993">
        <f>pptt_NC!JT41*0</f>
        <v>0</v>
      </c>
      <c r="H2250" s="994">
        <f t="shared" si="926"/>
        <v>0</v>
      </c>
      <c r="I2250" s="994"/>
      <c r="J2250" s="994">
        <f t="shared" si="927"/>
        <v>0</v>
      </c>
      <c r="K2250" s="994"/>
      <c r="L2250" s="994"/>
      <c r="M2250" s="994"/>
      <c r="N2250" s="994"/>
      <c r="O2250" s="994"/>
      <c r="P2250" s="995"/>
      <c r="Q2250" s="995">
        <f>VLOOKUP($B2250,dongia1,DG!$G$5,)</f>
        <v>222639.99999999997</v>
      </c>
      <c r="R2250" s="995">
        <f>VLOOKUP($B2250,dongia1,DG!$H$5,)</f>
        <v>0</v>
      </c>
      <c r="S2250" s="996">
        <f t="shared" si="928"/>
        <v>0</v>
      </c>
      <c r="T2250" s="996">
        <f t="shared" si="929"/>
        <v>0</v>
      </c>
      <c r="U2250" s="997">
        <f t="shared" si="930"/>
        <v>0</v>
      </c>
    </row>
    <row r="2251" spans="1:21" s="998" customFormat="1" ht="15" customHeight="1">
      <c r="A2251" s="989"/>
      <c r="B2251" s="990" t="s">
        <v>2137</v>
      </c>
      <c r="C2251" s="991" t="str">
        <f t="shared" si="919"/>
        <v xml:space="preserve"> </v>
      </c>
      <c r="D2251" s="992"/>
      <c r="E2251" s="999" t="str">
        <f>VLOOKUP($B2251,dongia1,DG!$C$5,)&amp;"+ Phụ kiện: Lắp sử dụng lại"</f>
        <v>LA 18kV 10kA+ Phụ kiện: Lắp sử dụng lại</v>
      </c>
      <c r="F2251" s="794" t="str">
        <f>VLOOKUP($B2251,dongia1,DG!$D$5,)</f>
        <v>cái</v>
      </c>
      <c r="G2251" s="993"/>
      <c r="H2251" s="994">
        <f t="shared" si="926"/>
        <v>0</v>
      </c>
      <c r="I2251" s="994"/>
      <c r="J2251" s="994">
        <f t="shared" si="927"/>
        <v>0</v>
      </c>
      <c r="K2251" s="994"/>
      <c r="L2251" s="994"/>
      <c r="M2251" s="994"/>
      <c r="N2251" s="994"/>
      <c r="O2251" s="994"/>
      <c r="P2251" s="995">
        <f>VLOOKUP($B2251,dongia1,DG!$E$5,)</f>
        <v>740000</v>
      </c>
      <c r="Q2251" s="995">
        <f>VLOOKUP($B2251,dongia1,DG!$G$5,)</f>
        <v>66000</v>
      </c>
      <c r="R2251" s="995">
        <f>VLOOKUP($B2251,dongia1,DG!$H$5,)</f>
        <v>0</v>
      </c>
      <c r="S2251" s="996">
        <f t="shared" si="928"/>
        <v>0</v>
      </c>
      <c r="T2251" s="996">
        <f t="shared" si="929"/>
        <v>0</v>
      </c>
      <c r="U2251" s="997">
        <f t="shared" si="930"/>
        <v>0</v>
      </c>
    </row>
    <row r="2252" spans="1:21" s="552" customFormat="1" ht="15" customHeight="1">
      <c r="A2252" s="621" t="s">
        <v>1831</v>
      </c>
      <c r="B2252" s="622"/>
      <c r="C2252" s="558" t="str">
        <f>IF(G2252=0,"x"," ")</f>
        <v xml:space="preserve"> </v>
      </c>
      <c r="D2252" s="599"/>
      <c r="E2252" s="727" t="s">
        <v>3679</v>
      </c>
      <c r="F2252" s="555"/>
      <c r="G2252" s="205">
        <f>IF(SUM(G2253:G2262)=0,1,0)</f>
        <v>1</v>
      </c>
      <c r="H2252" s="556"/>
      <c r="I2252" s="556"/>
      <c r="J2252" s="556"/>
      <c r="K2252" s="556"/>
      <c r="L2252" s="556"/>
      <c r="M2252" s="556"/>
      <c r="N2252" s="556"/>
      <c r="O2252" s="556"/>
      <c r="P2252" s="554"/>
      <c r="Q2252" s="182"/>
      <c r="R2252" s="554"/>
      <c r="S2252" s="608">
        <f>SUM(S2253:S2260)</f>
        <v>0</v>
      </c>
      <c r="T2252" s="608">
        <f>SUM(T2253:T2260)</f>
        <v>0</v>
      </c>
      <c r="U2252" s="609">
        <f>SUM(U2253:U2260)</f>
        <v>0</v>
      </c>
    </row>
    <row r="2253" spans="1:21" s="552" customFormat="1" ht="15" customHeight="1">
      <c r="A2253" s="621"/>
      <c r="B2253" s="622" t="s">
        <v>303</v>
      </c>
      <c r="C2253" s="633" t="str">
        <f t="shared" ref="C2253:C2262" si="931">IF(G2253&lt;&gt;0,$C$2252," ")</f>
        <v xml:space="preserve"> </v>
      </c>
      <c r="D2253" s="553"/>
      <c r="E2253" s="694" t="str">
        <f>VLOOKUP($B2253,dongia1,DG!$C$5,)</f>
        <v>LTD 1P 24KV - 800A</v>
      </c>
      <c r="F2253" s="555" t="str">
        <f>VLOOKUP($B2253,dongia1,DG!$D$5,)</f>
        <v>cái</v>
      </c>
      <c r="G2253" s="560">
        <f>+'pp3p2m '!DR45</f>
        <v>0</v>
      </c>
      <c r="H2253" s="556">
        <f t="shared" ref="H2253:H2262" si="932">G2253</f>
        <v>0</v>
      </c>
      <c r="I2253" s="556">
        <f t="shared" ref="I2253:I2262" si="933">G2253</f>
        <v>0</v>
      </c>
      <c r="J2253" s="556"/>
      <c r="K2253" s="556"/>
      <c r="L2253" s="556"/>
      <c r="M2253" s="556"/>
      <c r="N2253" s="556"/>
      <c r="O2253" s="556"/>
      <c r="P2253" s="182">
        <f>VLOOKUP($B2253,dongia1,DG!$E$5,)</f>
        <v>2360000</v>
      </c>
      <c r="Q2253" s="182">
        <f>VLOOKUP($B2253,dongia1,DG!$G$5,)</f>
        <v>546322</v>
      </c>
      <c r="R2253" s="182">
        <f>VLOOKUP($B2253,dongia1,DG!$H$5,)</f>
        <v>131311</v>
      </c>
      <c r="S2253" s="113">
        <f t="shared" ref="S2253:U2255" si="934">$G2253*P2253</f>
        <v>0</v>
      </c>
      <c r="T2253" s="113">
        <f t="shared" si="934"/>
        <v>0</v>
      </c>
      <c r="U2253" s="557">
        <f t="shared" si="934"/>
        <v>0</v>
      </c>
    </row>
    <row r="2254" spans="1:21" s="552" customFormat="1" ht="15" customHeight="1">
      <c r="A2254" s="621"/>
      <c r="B2254" s="622" t="s">
        <v>1992</v>
      </c>
      <c r="C2254" s="633" t="str">
        <f t="shared" si="931"/>
        <v xml:space="preserve"> </v>
      </c>
      <c r="D2254" s="553"/>
      <c r="E2254" s="694" t="str">
        <f>VLOOKUP($B2254,dongia1,DG!$C$5,)</f>
        <v>LBFCO-24KV-100A</v>
      </c>
      <c r="F2254" s="555" t="str">
        <f>VLOOKUP($B2254,dongia1,DG!$D$5,)</f>
        <v>cái</v>
      </c>
      <c r="G2254" s="560"/>
      <c r="H2254" s="556">
        <f t="shared" si="932"/>
        <v>0</v>
      </c>
      <c r="I2254" s="556">
        <f t="shared" si="933"/>
        <v>0</v>
      </c>
      <c r="J2254" s="556"/>
      <c r="K2254" s="556"/>
      <c r="L2254" s="556"/>
      <c r="M2254" s="556"/>
      <c r="N2254" s="556"/>
      <c r="O2254" s="556"/>
      <c r="P2254" s="182">
        <f>VLOOKUP($B2254,dongia1,DG!$E$5,)</f>
        <v>1595000</v>
      </c>
      <c r="Q2254" s="182">
        <f>VLOOKUP($B2254,dongia1,DG!$G$5,)</f>
        <v>176000</v>
      </c>
      <c r="R2254" s="182">
        <f>VLOOKUP($B2254,dongia1,DG!$H$5,)</f>
        <v>0</v>
      </c>
      <c r="S2254" s="113">
        <f>$G2254*P2254</f>
        <v>0</v>
      </c>
      <c r="T2254" s="113">
        <f>$G2254*Q2254</f>
        <v>0</v>
      </c>
      <c r="U2254" s="557">
        <f>$G2254*R2254</f>
        <v>0</v>
      </c>
    </row>
    <row r="2255" spans="1:21" s="552" customFormat="1" ht="15" customHeight="1">
      <c r="A2255" s="621"/>
      <c r="B2255" s="622" t="s">
        <v>1632</v>
      </c>
      <c r="C2255" s="633" t="str">
        <f t="shared" si="931"/>
        <v xml:space="preserve"> </v>
      </c>
      <c r="D2255" s="553"/>
      <c r="E2255" s="694" t="str">
        <f>VLOOKUP($B2255,dongia1,DG!$C$5,)</f>
        <v xml:space="preserve">FCO 24KV - 200A </v>
      </c>
      <c r="F2255" s="555" t="str">
        <f>VLOOKUP($B2255,dongia1,DG!$D$5,)</f>
        <v>cái</v>
      </c>
      <c r="G2255" s="560"/>
      <c r="H2255" s="556">
        <f t="shared" si="932"/>
        <v>0</v>
      </c>
      <c r="I2255" s="556">
        <f t="shared" si="933"/>
        <v>0</v>
      </c>
      <c r="J2255" s="556"/>
      <c r="K2255" s="556"/>
      <c r="L2255" s="556"/>
      <c r="M2255" s="556"/>
      <c r="N2255" s="556"/>
      <c r="O2255" s="556"/>
      <c r="P2255" s="182">
        <f>VLOOKUP($B2255,dongia1,DG!$E$5,)</f>
        <v>4076000</v>
      </c>
      <c r="Q2255" s="182">
        <f>VLOOKUP($B2255,dongia1,DG!$G$5,)</f>
        <v>176000</v>
      </c>
      <c r="R2255" s="182">
        <f>VLOOKUP($B2255,dongia1,DG!$H$5,)</f>
        <v>0</v>
      </c>
      <c r="S2255" s="113">
        <f t="shared" si="934"/>
        <v>0</v>
      </c>
      <c r="T2255" s="113">
        <f t="shared" si="934"/>
        <v>0</v>
      </c>
      <c r="U2255" s="557">
        <f t="shared" si="934"/>
        <v>0</v>
      </c>
    </row>
    <row r="2256" spans="1:21" s="552" customFormat="1" ht="15" customHeight="1">
      <c r="A2256" s="621"/>
      <c r="B2256" s="622" t="s">
        <v>1631</v>
      </c>
      <c r="C2256" s="633" t="str">
        <f t="shared" si="931"/>
        <v xml:space="preserve"> </v>
      </c>
      <c r="D2256" s="553"/>
      <c r="E2256" s="694" t="str">
        <f>VLOOKUP($B2256,dongia1,DG!$C$5,)</f>
        <v>FCO 24kV - 100A</v>
      </c>
      <c r="F2256" s="555" t="str">
        <f>VLOOKUP($B2256,dongia1,DG!$D$5,)</f>
        <v>cái</v>
      </c>
      <c r="G2256" s="560"/>
      <c r="H2256" s="556">
        <f t="shared" si="932"/>
        <v>0</v>
      </c>
      <c r="I2256" s="556">
        <f t="shared" si="933"/>
        <v>0</v>
      </c>
      <c r="J2256" s="556"/>
      <c r="K2256" s="556"/>
      <c r="L2256" s="556"/>
      <c r="M2256" s="556"/>
      <c r="N2256" s="556"/>
      <c r="O2256" s="556"/>
      <c r="P2256" s="182">
        <f>VLOOKUP($B2256,dongia1,DG!$E$5,)</f>
        <v>2244280</v>
      </c>
      <c r="Q2256" s="182">
        <f>VLOOKUP($B2256,dongia1,DG!$G$5,)</f>
        <v>222639.99999999997</v>
      </c>
      <c r="R2256" s="182">
        <f>VLOOKUP($B2256,dongia1,DG!$H$5,)</f>
        <v>0</v>
      </c>
      <c r="S2256" s="113">
        <f t="shared" ref="S2256:U2260" si="935">$G2256*P2256</f>
        <v>0</v>
      </c>
      <c r="T2256" s="113">
        <f t="shared" si="935"/>
        <v>0</v>
      </c>
      <c r="U2256" s="557">
        <f t="shared" si="935"/>
        <v>0</v>
      </c>
    </row>
    <row r="2257" spans="1:21" s="552" customFormat="1" ht="15" customHeight="1">
      <c r="A2257" s="621"/>
      <c r="B2257" s="622" t="s">
        <v>434</v>
      </c>
      <c r="C2257" s="633" t="str">
        <f t="shared" si="931"/>
        <v xml:space="preserve"> </v>
      </c>
      <c r="D2257" s="553"/>
      <c r="E2257" s="694" t="str">
        <f>VLOOKUP($B2257,dongia1,DG!$C$5,)</f>
        <v xml:space="preserve">DS 1P - 24KV - 600A </v>
      </c>
      <c r="F2257" s="555" t="str">
        <f>VLOOKUP($B2257,dongia1,DG!$D$5,)</f>
        <v>bộ</v>
      </c>
      <c r="G2257" s="560"/>
      <c r="H2257" s="556">
        <f t="shared" si="932"/>
        <v>0</v>
      </c>
      <c r="I2257" s="556">
        <f t="shared" si="933"/>
        <v>0</v>
      </c>
      <c r="J2257" s="556"/>
      <c r="K2257" s="556"/>
      <c r="L2257" s="556"/>
      <c r="M2257" s="556"/>
      <c r="N2257" s="556"/>
      <c r="O2257" s="556"/>
      <c r="P2257" s="182">
        <f>VLOOKUP($B2257,dongia1,DG!$E$5,)</f>
        <v>4541400</v>
      </c>
      <c r="Q2257" s="182">
        <f>VLOOKUP($B2257,dongia1,DG!$G$5,)</f>
        <v>691097.6399999999</v>
      </c>
      <c r="R2257" s="182">
        <f>VLOOKUP($B2257,dongia1,DG!$H$5,)</f>
        <v>131311</v>
      </c>
      <c r="S2257" s="113">
        <f t="shared" si="935"/>
        <v>0</v>
      </c>
      <c r="T2257" s="113">
        <f t="shared" si="935"/>
        <v>0</v>
      </c>
      <c r="U2257" s="557">
        <f t="shared" si="935"/>
        <v>0</v>
      </c>
    </row>
    <row r="2258" spans="1:21" s="552" customFormat="1" ht="15" customHeight="1">
      <c r="A2258" s="621"/>
      <c r="B2258" s="622" t="s">
        <v>286</v>
      </c>
      <c r="C2258" s="633" t="str">
        <f t="shared" si="931"/>
        <v xml:space="preserve"> </v>
      </c>
      <c r="D2258" s="553"/>
      <c r="E2258" s="694" t="str">
        <f>VLOOKUP($B2258,dongia1,DG!$C$5,)</f>
        <v xml:space="preserve">DS 3P - 24KV - 630A </v>
      </c>
      <c r="F2258" s="555" t="str">
        <f>VLOOKUP($B2258,dongia1,DG!$D$5,)</f>
        <v>bộ</v>
      </c>
      <c r="G2258" s="560">
        <f>'pp3p2m '!DV45</f>
        <v>0</v>
      </c>
      <c r="H2258" s="556">
        <f t="shared" si="932"/>
        <v>0</v>
      </c>
      <c r="I2258" s="556">
        <f t="shared" si="933"/>
        <v>0</v>
      </c>
      <c r="J2258" s="556"/>
      <c r="K2258" s="556"/>
      <c r="L2258" s="556"/>
      <c r="M2258" s="556"/>
      <c r="N2258" s="556"/>
      <c r="O2258" s="556"/>
      <c r="P2258" s="182">
        <f>VLOOKUP($B2258,dongia1,DG!$E$5,)</f>
        <v>16664000</v>
      </c>
      <c r="Q2258" s="182">
        <f>VLOOKUP($B2258,dongia1,DG!$G$5,)</f>
        <v>1382195.2799999998</v>
      </c>
      <c r="R2258" s="182">
        <f>VLOOKUP($B2258,dongia1,DG!$H$5,)</f>
        <v>262622</v>
      </c>
      <c r="S2258" s="113">
        <f t="shared" si="935"/>
        <v>0</v>
      </c>
      <c r="T2258" s="113">
        <f t="shared" si="935"/>
        <v>0</v>
      </c>
      <c r="U2258" s="557">
        <f t="shared" si="935"/>
        <v>0</v>
      </c>
    </row>
    <row r="2259" spans="1:21" s="552" customFormat="1" ht="15" customHeight="1">
      <c r="A2259" s="621"/>
      <c r="B2259" s="622" t="s">
        <v>1280</v>
      </c>
      <c r="C2259" s="633" t="str">
        <f t="shared" si="931"/>
        <v xml:space="preserve"> </v>
      </c>
      <c r="D2259" s="553"/>
      <c r="E2259" s="694" t="str">
        <f>VLOOKUP($B2259,dongia1,DG!$C$5,)</f>
        <v>LBS SF6 3pha 24kV 630A 12kA + bộ truyền động</v>
      </c>
      <c r="F2259" s="555" t="str">
        <f>VLOOKUP($B2259,dongia1,DG!$D$5,)</f>
        <v>bộ</v>
      </c>
      <c r="G2259" s="560">
        <f>+'pp3p2m '!DW45</f>
        <v>0</v>
      </c>
      <c r="H2259" s="556">
        <f t="shared" si="932"/>
        <v>0</v>
      </c>
      <c r="I2259" s="556">
        <f t="shared" si="933"/>
        <v>0</v>
      </c>
      <c r="J2259" s="556"/>
      <c r="K2259" s="556"/>
      <c r="L2259" s="556"/>
      <c r="M2259" s="556"/>
      <c r="N2259" s="556"/>
      <c r="O2259" s="556"/>
      <c r="P2259" s="182">
        <f>VLOOKUP($B2259,dongia1,DG!$E$5,)</f>
        <v>79800000</v>
      </c>
      <c r="Q2259" s="182">
        <f>VLOOKUP($B2259,dongia1,DG!$G$5,)</f>
        <v>1918837</v>
      </c>
      <c r="R2259" s="182">
        <f>VLOOKUP($B2259,dongia1,DG!$H$5,)</f>
        <v>218852</v>
      </c>
      <c r="S2259" s="113">
        <f t="shared" si="935"/>
        <v>0</v>
      </c>
      <c r="T2259" s="113">
        <f t="shared" si="935"/>
        <v>0</v>
      </c>
      <c r="U2259" s="557">
        <f t="shared" si="935"/>
        <v>0</v>
      </c>
    </row>
    <row r="2260" spans="1:21" s="552" customFormat="1" ht="15" customHeight="1">
      <c r="A2260" s="621"/>
      <c r="B2260" s="622" t="s">
        <v>1822</v>
      </c>
      <c r="C2260" s="633" t="str">
        <f t="shared" si="931"/>
        <v xml:space="preserve"> </v>
      </c>
      <c r="D2260" s="553"/>
      <c r="E2260" s="694" t="str">
        <f>VLOOKUP($B2260,dongia1,DG!$C$5,)</f>
        <v>Recloser 24kV 630-800A</v>
      </c>
      <c r="F2260" s="555" t="str">
        <f>VLOOKUP($B2260,dongia1,DG!$D$5,)</f>
        <v>bộ</v>
      </c>
      <c r="G2260" s="560"/>
      <c r="H2260" s="556">
        <f t="shared" si="932"/>
        <v>0</v>
      </c>
      <c r="I2260" s="556">
        <f t="shared" si="933"/>
        <v>0</v>
      </c>
      <c r="J2260" s="556"/>
      <c r="K2260" s="556"/>
      <c r="L2260" s="556"/>
      <c r="M2260" s="556"/>
      <c r="N2260" s="556"/>
      <c r="O2260" s="556"/>
      <c r="P2260" s="182">
        <f>VLOOKUP($B2260,dongia1,DG!$E$5,)</f>
        <v>290500000</v>
      </c>
      <c r="Q2260" s="182">
        <f>VLOOKUP($B2260,dongia1,DG!$G$5,)</f>
        <v>1918837</v>
      </c>
      <c r="R2260" s="182">
        <f>VLOOKUP($B2260,dongia1,DG!$H$5,)</f>
        <v>218852</v>
      </c>
      <c r="S2260" s="113">
        <f t="shared" si="935"/>
        <v>0</v>
      </c>
      <c r="T2260" s="113">
        <f t="shared" si="935"/>
        <v>0</v>
      </c>
      <c r="U2260" s="557">
        <f t="shared" si="935"/>
        <v>0</v>
      </c>
    </row>
    <row r="2261" spans="1:21" s="552" customFormat="1" ht="15" customHeight="1">
      <c r="A2261" s="621"/>
      <c r="B2261" s="622" t="s">
        <v>145</v>
      </c>
      <c r="C2261" s="633" t="str">
        <f t="shared" si="931"/>
        <v xml:space="preserve"> </v>
      </c>
      <c r="D2261" s="553"/>
      <c r="E2261" s="694" t="str">
        <f>VLOOKUP($B2261,dongia1,DG!$C$5,)</f>
        <v>LA 18kV 10kA</v>
      </c>
      <c r="F2261" s="555" t="str">
        <f>VLOOKUP($B2261,dongia1,DG!$D$5,)</f>
        <v>cái</v>
      </c>
      <c r="G2261" s="560">
        <f>+'pp3p2m '!DY45</f>
        <v>0</v>
      </c>
      <c r="H2261" s="556">
        <f t="shared" si="932"/>
        <v>0</v>
      </c>
      <c r="I2261" s="556">
        <f t="shared" si="933"/>
        <v>0</v>
      </c>
      <c r="J2261" s="556"/>
      <c r="K2261" s="556"/>
      <c r="L2261" s="556"/>
      <c r="M2261" s="556"/>
      <c r="N2261" s="556"/>
      <c r="O2261" s="556"/>
      <c r="P2261" s="182">
        <f>VLOOKUP($B2261,dongia1,DG!$E$5,)</f>
        <v>1106000</v>
      </c>
      <c r="Q2261" s="182">
        <f>VLOOKUP($B2261,dongia1,DG!$G$5,)</f>
        <v>83490</v>
      </c>
      <c r="R2261" s="182">
        <f>VLOOKUP($B2261,dongia1,DG!$H$5,)</f>
        <v>0</v>
      </c>
      <c r="S2261" s="113">
        <f t="shared" ref="S2261:U2262" si="936">$G2261*P2261</f>
        <v>0</v>
      </c>
      <c r="T2261" s="113">
        <f t="shared" si="936"/>
        <v>0</v>
      </c>
      <c r="U2261" s="557">
        <f t="shared" si="936"/>
        <v>0</v>
      </c>
    </row>
    <row r="2262" spans="1:21" s="552" customFormat="1" ht="15" customHeight="1">
      <c r="A2262" s="621"/>
      <c r="B2262" s="622" t="s">
        <v>1677</v>
      </c>
      <c r="C2262" s="633" t="str">
        <f t="shared" si="931"/>
        <v xml:space="preserve"> </v>
      </c>
      <c r="D2262" s="553"/>
      <c r="E2262" s="694" t="str">
        <f>VLOOKUP($B2262,dongia1,DG!$C$5,)</f>
        <v>LA 12kV 10kA</v>
      </c>
      <c r="F2262" s="555" t="str">
        <f>VLOOKUP($B2262,dongia1,DG!$D$5,)</f>
        <v>cái</v>
      </c>
      <c r="G2262" s="560"/>
      <c r="H2262" s="556">
        <f t="shared" si="932"/>
        <v>0</v>
      </c>
      <c r="I2262" s="556">
        <f t="shared" si="933"/>
        <v>0</v>
      </c>
      <c r="J2262" s="556"/>
      <c r="K2262" s="556"/>
      <c r="L2262" s="556"/>
      <c r="M2262" s="556"/>
      <c r="N2262" s="556"/>
      <c r="O2262" s="556"/>
      <c r="P2262" s="182">
        <f>VLOOKUP($B2262,dongia1,DG!$E$5,)</f>
        <v>840000</v>
      </c>
      <c r="Q2262" s="182">
        <f>VLOOKUP($B2262,dongia1,DG!$G$5,)</f>
        <v>66000</v>
      </c>
      <c r="R2262" s="182">
        <f>VLOOKUP($B2262,dongia1,DG!$H$5,)</f>
        <v>0</v>
      </c>
      <c r="S2262" s="113">
        <f t="shared" si="936"/>
        <v>0</v>
      </c>
      <c r="T2262" s="113">
        <f t="shared" si="936"/>
        <v>0</v>
      </c>
      <c r="U2262" s="557">
        <f t="shared" si="936"/>
        <v>0</v>
      </c>
    </row>
    <row r="2263" spans="1:21">
      <c r="A2263" s="630" t="s">
        <v>1265</v>
      </c>
      <c r="B2263" s="696"/>
      <c r="C2263" s="697" t="str">
        <f>IF(G2263&lt;&gt;0,"","x ")</f>
        <v xml:space="preserve">x </v>
      </c>
      <c r="D2263" s="850" t="s">
        <v>1771</v>
      </c>
      <c r="E2263" s="851" t="s">
        <v>3680</v>
      </c>
      <c r="F2263" s="700"/>
      <c r="G2263" s="762">
        <f>IF(SUM(G2264:G2271)=0,1,0)</f>
        <v>0</v>
      </c>
      <c r="H2263" s="701"/>
      <c r="I2263" s="701"/>
      <c r="J2263" s="701"/>
      <c r="K2263" s="701"/>
      <c r="L2263" s="701"/>
      <c r="M2263" s="701"/>
      <c r="N2263" s="701"/>
      <c r="O2263" s="701"/>
      <c r="P2263" s="703"/>
      <c r="Q2263" s="702"/>
      <c r="R2263" s="703"/>
      <c r="S2263" s="909">
        <f>SUM(S2264:S2275)</f>
        <v>9348840</v>
      </c>
      <c r="T2263" s="909">
        <f>SUM(T2264:T2275)</f>
        <v>865919.99999999988</v>
      </c>
      <c r="U2263" s="933">
        <f>SUM(U2264:U2275)</f>
        <v>0</v>
      </c>
    </row>
    <row r="2264" spans="1:21" s="552" customFormat="1" ht="15" customHeight="1">
      <c r="A2264" s="621"/>
      <c r="B2264" s="622" t="s">
        <v>303</v>
      </c>
      <c r="C2264" s="633" t="str">
        <f t="shared" ref="C2264:C2275" si="937">IF(G2264&lt;&gt;0,$C$2263," ")</f>
        <v xml:space="preserve"> </v>
      </c>
      <c r="D2264" s="553"/>
      <c r="E2264" s="694" t="str">
        <f>VLOOKUP($B2264,dongia1,DG!$C$5,)</f>
        <v>LTD 1P 24KV - 800A</v>
      </c>
      <c r="F2264" s="555" t="str">
        <f>VLOOKUP($B2264,dongia1,DG!$D$5,)</f>
        <v>cái</v>
      </c>
      <c r="G2264" s="564">
        <f>+pp3p1m!EN10</f>
        <v>0</v>
      </c>
      <c r="H2264" s="556">
        <f>G2264</f>
        <v>0</v>
      </c>
      <c r="I2264" s="556"/>
      <c r="J2264" s="556"/>
      <c r="K2264" s="556">
        <f>G2264</f>
        <v>0</v>
      </c>
      <c r="L2264" s="556"/>
      <c r="M2264" s="556"/>
      <c r="N2264" s="556"/>
      <c r="O2264" s="556"/>
      <c r="P2264" s="182">
        <f>VLOOKUP($B2264,dongia1,DG!$E$5,)</f>
        <v>2360000</v>
      </c>
      <c r="Q2264" s="182">
        <f>VLOOKUP($B2264,dongia1,DG!$G$5,)</f>
        <v>546322</v>
      </c>
      <c r="R2264" s="182">
        <f>VLOOKUP($B2264,dongia1,DG!$H$5,)</f>
        <v>131311</v>
      </c>
      <c r="S2264" s="113">
        <f t="shared" ref="S2264:U2265" si="938">$G2264*P2264</f>
        <v>0</v>
      </c>
      <c r="T2264" s="113">
        <f t="shared" si="938"/>
        <v>0</v>
      </c>
      <c r="U2264" s="715">
        <f t="shared" si="938"/>
        <v>0</v>
      </c>
    </row>
    <row r="2265" spans="1:21">
      <c r="B2265" s="696" t="s">
        <v>1632</v>
      </c>
      <c r="C2265" s="697" t="str">
        <f t="shared" si="937"/>
        <v xml:space="preserve"> </v>
      </c>
      <c r="D2265" s="698"/>
      <c r="E2265" s="699" t="str">
        <f>VLOOKUP($B2265,dongia1,DG!$C$5,)</f>
        <v xml:space="preserve">FCO 24KV - 200A </v>
      </c>
      <c r="F2265" s="700" t="str">
        <f>VLOOKUP($B2265,dongia1,DG!$D$5,)</f>
        <v>cái</v>
      </c>
      <c r="G2265" s="952">
        <f>pp3p1m!EH10</f>
        <v>0</v>
      </c>
      <c r="H2265" s="701">
        <f>G2265</f>
        <v>0</v>
      </c>
      <c r="I2265" s="701"/>
      <c r="J2265" s="701"/>
      <c r="K2265" s="701">
        <f>G2265</f>
        <v>0</v>
      </c>
      <c r="L2265" s="701"/>
      <c r="M2265" s="701"/>
      <c r="N2265" s="701"/>
      <c r="O2265" s="701"/>
      <c r="P2265" s="702">
        <f>VLOOKUP($B2265,dongia1,DG!$E$5,)</f>
        <v>4076000</v>
      </c>
      <c r="Q2265" s="702">
        <f>VLOOKUP($B2265,dongia1,DG!$G$5,)</f>
        <v>176000</v>
      </c>
      <c r="R2265" s="702">
        <f>VLOOKUP($B2265,dongia1,DG!$H$5,)</f>
        <v>0</v>
      </c>
      <c r="S2265" s="702">
        <f t="shared" si="938"/>
        <v>0</v>
      </c>
      <c r="T2265" s="702">
        <f t="shared" si="938"/>
        <v>0</v>
      </c>
      <c r="U2265" s="704">
        <f>$G2265*R2265</f>
        <v>0</v>
      </c>
    </row>
    <row r="2266" spans="1:21" s="552" customFormat="1" ht="15" customHeight="1">
      <c r="A2266" s="621"/>
      <c r="B2266" s="622" t="s">
        <v>1631</v>
      </c>
      <c r="C2266" s="633" t="str">
        <f t="shared" si="937"/>
        <v xml:space="preserve">x </v>
      </c>
      <c r="D2266" s="553"/>
      <c r="E2266" s="694" t="str">
        <f>VLOOKUP($B2266,dongia1,DG!$C$5,)</f>
        <v>FCO 24kV - 100A</v>
      </c>
      <c r="F2266" s="555" t="str">
        <f>VLOOKUP($B2266,dongia1,DG!$D$5,)</f>
        <v>cái</v>
      </c>
      <c r="G2266" s="564">
        <f>pp3p1m!EI10</f>
        <v>3</v>
      </c>
      <c r="H2266" s="556">
        <f>G2266</f>
        <v>3</v>
      </c>
      <c r="I2266" s="556"/>
      <c r="J2266" s="556"/>
      <c r="K2266" s="556">
        <f>G2266</f>
        <v>3</v>
      </c>
      <c r="L2266" s="556"/>
      <c r="M2266" s="556"/>
      <c r="N2266" s="556"/>
      <c r="O2266" s="556"/>
      <c r="P2266" s="182">
        <f>VLOOKUP($B2266,dongia1,DG!$E$5,)</f>
        <v>2244280</v>
      </c>
      <c r="Q2266" s="182">
        <f>VLOOKUP($B2266,dongia1,DG!$G$5,)</f>
        <v>222639.99999999997</v>
      </c>
      <c r="R2266" s="182">
        <f>VLOOKUP($B2266,dongia1,DG!$H$5,)</f>
        <v>0</v>
      </c>
      <c r="S2266" s="113">
        <f>$G2266*P2266</f>
        <v>6732840</v>
      </c>
      <c r="T2266" s="113">
        <f t="shared" ref="S2266:U2269" si="939">$G2266*Q2266</f>
        <v>667919.99999999988</v>
      </c>
      <c r="U2266" s="557">
        <f t="shared" si="939"/>
        <v>0</v>
      </c>
    </row>
    <row r="2267" spans="1:21">
      <c r="B2267" s="696" t="s">
        <v>5764</v>
      </c>
      <c r="C2267" s="697" t="str">
        <f t="shared" si="937"/>
        <v xml:space="preserve">x </v>
      </c>
      <c r="D2267" s="698"/>
      <c r="E2267" s="694" t="str">
        <f>VLOOKUP($B2267,dongia1,DG!$C$5,)</f>
        <v>Dây chảy 50K</v>
      </c>
      <c r="F2267" s="700" t="str">
        <f>VLOOKUP($B2267,dongia1,DG!$D$5,)</f>
        <v>Sợi</v>
      </c>
      <c r="G2267" s="952">
        <f>G2265+G2266</f>
        <v>3</v>
      </c>
      <c r="H2267" s="701">
        <f>G2267</f>
        <v>3</v>
      </c>
      <c r="I2267" s="701"/>
      <c r="J2267" s="701"/>
      <c r="K2267" s="701">
        <f>G2267</f>
        <v>3</v>
      </c>
      <c r="L2267" s="701"/>
      <c r="M2267" s="701"/>
      <c r="N2267" s="701"/>
      <c r="O2267" s="701"/>
      <c r="P2267" s="702">
        <f>VLOOKUP($B2267,dongia1,DG!$F$5,)</f>
        <v>132000</v>
      </c>
      <c r="Q2267" s="702">
        <f>VLOOKUP($B2267,dongia1,DG!$G$5,)</f>
        <v>0</v>
      </c>
      <c r="R2267" s="702">
        <f>VLOOKUP($B2267,dongia1,DG!$H$5,)</f>
        <v>0</v>
      </c>
      <c r="S2267" s="702">
        <f>$G2267*P2267</f>
        <v>396000</v>
      </c>
      <c r="T2267" s="702">
        <f>$G2267*Q2267</f>
        <v>0</v>
      </c>
      <c r="U2267" s="930">
        <f>$G2267*R2267</f>
        <v>0</v>
      </c>
    </row>
    <row r="2268" spans="1:21" s="552" customFormat="1" ht="15" customHeight="1">
      <c r="A2268" s="621"/>
      <c r="B2268" s="622" t="s">
        <v>3734</v>
      </c>
      <c r="C2268" s="633" t="str">
        <f t="shared" si="937"/>
        <v xml:space="preserve"> </v>
      </c>
      <c r="D2268" s="553"/>
      <c r="E2268" s="694" t="str">
        <f>VLOOKUP($B2268,dongia1,DG!$C$5,)</f>
        <v>Biến điện áp 22000/√3/100/√3 V</v>
      </c>
      <c r="F2268" s="555" t="str">
        <f>VLOOKUP($B2268,dongia1,DG!$D$5,)</f>
        <v>cái</v>
      </c>
      <c r="G2268" s="565"/>
      <c r="H2268" s="556">
        <f>G2268</f>
        <v>0</v>
      </c>
      <c r="I2268" s="556"/>
      <c r="J2268" s="556"/>
      <c r="K2268" s="556">
        <f t="shared" ref="K2268:K2275" si="940">G2268</f>
        <v>0</v>
      </c>
      <c r="L2268" s="556"/>
      <c r="M2268" s="556"/>
      <c r="N2268" s="556"/>
      <c r="O2268" s="556"/>
      <c r="P2268" s="182">
        <f>VLOOKUP($B2268,dongia1,DG!$F$5,)</f>
        <v>0</v>
      </c>
      <c r="Q2268" s="182">
        <f>VLOOKUP($B2268,dongia1,DG!$G$5,)</f>
        <v>92703</v>
      </c>
      <c r="R2268" s="182">
        <f>VLOOKUP($B2268,dongia1,DG!$H$5,)</f>
        <v>84261</v>
      </c>
      <c r="S2268" s="628">
        <f>+G2268*P2268</f>
        <v>0</v>
      </c>
      <c r="T2268" s="113">
        <f t="shared" si="939"/>
        <v>0</v>
      </c>
      <c r="U2268" s="715">
        <f t="shared" si="939"/>
        <v>0</v>
      </c>
    </row>
    <row r="2269" spans="1:21" s="552" customFormat="1" ht="15" customHeight="1">
      <c r="A2269" s="621"/>
      <c r="B2269" s="622" t="s">
        <v>132</v>
      </c>
      <c r="C2269" s="633" t="str">
        <f t="shared" si="937"/>
        <v xml:space="preserve"> </v>
      </c>
      <c r="D2269" s="553"/>
      <c r="E2269" s="694" t="str">
        <f>VLOOKUP($B2269,dongia1,DG!$C$5,)</f>
        <v>Biến dòng 24kV  20/5A</v>
      </c>
      <c r="F2269" s="555" t="str">
        <f>VLOOKUP($B2269,dongia1,DG!$D$5,)</f>
        <v>cái</v>
      </c>
      <c r="G2269" s="564"/>
      <c r="H2269" s="556">
        <f t="shared" ref="H2269:H2275" si="941">G2269</f>
        <v>0</v>
      </c>
      <c r="I2269" s="556"/>
      <c r="J2269" s="556"/>
      <c r="K2269" s="556">
        <f t="shared" si="940"/>
        <v>0</v>
      </c>
      <c r="L2269" s="556"/>
      <c r="M2269" s="556"/>
      <c r="N2269" s="556"/>
      <c r="O2269" s="556"/>
      <c r="P2269" s="182">
        <f>VLOOKUP($B2269,dongia1,DG!$F$5,)</f>
        <v>0</v>
      </c>
      <c r="Q2269" s="182">
        <f>VLOOKUP($B2269,dongia1,DG!$G$5,)</f>
        <v>0</v>
      </c>
      <c r="R2269" s="182">
        <f>VLOOKUP($B2269,dongia1,DG!$H$5,)</f>
        <v>0</v>
      </c>
      <c r="S2269" s="113">
        <f t="shared" si="939"/>
        <v>0</v>
      </c>
      <c r="T2269" s="113">
        <f t="shared" si="939"/>
        <v>0</v>
      </c>
      <c r="U2269" s="557">
        <f t="shared" si="939"/>
        <v>0</v>
      </c>
    </row>
    <row r="2270" spans="1:21" s="552" customFormat="1" ht="15" customHeight="1">
      <c r="A2270" s="621"/>
      <c r="B2270" s="622" t="s">
        <v>1872</v>
      </c>
      <c r="C2270" s="633" t="str">
        <f t="shared" si="937"/>
        <v xml:space="preserve"> </v>
      </c>
      <c r="D2270" s="553"/>
      <c r="E2270" s="694" t="str">
        <f>VLOOKUP($B2270,dongia1,DG!$C$5,)</f>
        <v>Điện kế 3 pha điện tử 5A</v>
      </c>
      <c r="F2270" s="555" t="str">
        <f>VLOOKUP($B2270,dongia1,DG!$D$5,)</f>
        <v>cái</v>
      </c>
      <c r="G2270" s="564"/>
      <c r="H2270" s="556">
        <f t="shared" si="941"/>
        <v>0</v>
      </c>
      <c r="I2270" s="556"/>
      <c r="J2270" s="556"/>
      <c r="K2270" s="556">
        <f t="shared" si="940"/>
        <v>0</v>
      </c>
      <c r="L2270" s="556"/>
      <c r="M2270" s="556"/>
      <c r="N2270" s="556"/>
      <c r="O2270" s="556"/>
      <c r="P2270" s="182">
        <f>VLOOKUP($B2270,dongia1,DG!$F$5,)</f>
        <v>0</v>
      </c>
      <c r="Q2270" s="182">
        <f>VLOOKUP($B2270,dongia1,DG!$G$5,)</f>
        <v>0</v>
      </c>
      <c r="R2270" s="182">
        <f>VLOOKUP($B2270,dongia1,DG!$H$5,)</f>
        <v>0</v>
      </c>
      <c r="S2270" s="113">
        <f>$G2270*P2270</f>
        <v>0</v>
      </c>
      <c r="T2270" s="113">
        <f>$G2270*Q2270</f>
        <v>0</v>
      </c>
      <c r="U2270" s="557">
        <f>$G2270*R2270</f>
        <v>0</v>
      </c>
    </row>
    <row r="2271" spans="1:21" s="552" customFormat="1" ht="15" customHeight="1">
      <c r="A2271" s="621"/>
      <c r="B2271" s="622" t="s">
        <v>434</v>
      </c>
      <c r="C2271" s="633" t="str">
        <f t="shared" si="937"/>
        <v xml:space="preserve"> </v>
      </c>
      <c r="D2271" s="553"/>
      <c r="E2271" s="694" t="str">
        <f>VLOOKUP($B2271,dongia1,DG!$C$5,)</f>
        <v xml:space="preserve">DS 1P - 24KV - 600A </v>
      </c>
      <c r="F2271" s="555" t="str">
        <f>VLOOKUP($B2271,dongia1,DG!$D$5,)</f>
        <v>bộ</v>
      </c>
      <c r="G2271" s="564">
        <f>pp3p1m!EK10</f>
        <v>0</v>
      </c>
      <c r="H2271" s="556">
        <f t="shared" si="941"/>
        <v>0</v>
      </c>
      <c r="I2271" s="556"/>
      <c r="J2271" s="556"/>
      <c r="K2271" s="556">
        <f t="shared" si="940"/>
        <v>0</v>
      </c>
      <c r="L2271" s="556"/>
      <c r="M2271" s="556"/>
      <c r="N2271" s="556"/>
      <c r="O2271" s="556"/>
      <c r="P2271" s="182">
        <f>VLOOKUP($B2271,dongia1,DG!$E$5,)</f>
        <v>4541400</v>
      </c>
      <c r="Q2271" s="182">
        <f>VLOOKUP($B2271,dongia1,DG!$G$5,)</f>
        <v>691097.6399999999</v>
      </c>
      <c r="R2271" s="182">
        <f>VLOOKUP($B2271,dongia1,DG!$H$5,)</f>
        <v>131311</v>
      </c>
      <c r="S2271" s="113">
        <f t="shared" ref="S2271:U2274" si="942">$G2271*P2271</f>
        <v>0</v>
      </c>
      <c r="T2271" s="113">
        <f t="shared" si="942"/>
        <v>0</v>
      </c>
      <c r="U2271" s="557">
        <f t="shared" si="942"/>
        <v>0</v>
      </c>
    </row>
    <row r="2272" spans="1:21" s="552" customFormat="1" ht="15" customHeight="1">
      <c r="A2272" s="621"/>
      <c r="B2272" s="622" t="s">
        <v>286</v>
      </c>
      <c r="C2272" s="633" t="str">
        <f t="shared" si="937"/>
        <v xml:space="preserve"> </v>
      </c>
      <c r="D2272" s="553"/>
      <c r="E2272" s="694" t="str">
        <f>VLOOKUP($B2272,dongia1,DG!$C$5,)</f>
        <v xml:space="preserve">DS 3P - 24KV - 630A </v>
      </c>
      <c r="F2272" s="555" t="str">
        <f>VLOOKUP($B2272,dongia1,DG!$D$5,)</f>
        <v>bộ</v>
      </c>
      <c r="G2272" s="564">
        <f>pp3p1m!EL10</f>
        <v>0</v>
      </c>
      <c r="H2272" s="556">
        <f t="shared" si="941"/>
        <v>0</v>
      </c>
      <c r="I2272" s="556"/>
      <c r="J2272" s="556"/>
      <c r="K2272" s="556">
        <f t="shared" si="940"/>
        <v>0</v>
      </c>
      <c r="L2272" s="556"/>
      <c r="M2272" s="556"/>
      <c r="N2272" s="556"/>
      <c r="O2272" s="556"/>
      <c r="P2272" s="182">
        <f>VLOOKUP($B2272,dongia1,DG!$E$5,)</f>
        <v>16664000</v>
      </c>
      <c r="Q2272" s="182">
        <f>VLOOKUP($B2272,dongia1,DG!$G$5,)</f>
        <v>1382195.2799999998</v>
      </c>
      <c r="R2272" s="182">
        <f>VLOOKUP($B2272,dongia1,DG!$H$5,)</f>
        <v>262622</v>
      </c>
      <c r="S2272" s="113">
        <f t="shared" si="942"/>
        <v>0</v>
      </c>
      <c r="T2272" s="113">
        <f t="shared" si="942"/>
        <v>0</v>
      </c>
      <c r="U2272" s="557">
        <f t="shared" si="942"/>
        <v>0</v>
      </c>
    </row>
    <row r="2273" spans="1:21" s="552" customFormat="1" ht="15" customHeight="1">
      <c r="A2273" s="621"/>
      <c r="B2273" s="622" t="s">
        <v>824</v>
      </c>
      <c r="C2273" s="633" t="str">
        <f t="shared" si="937"/>
        <v xml:space="preserve"> </v>
      </c>
      <c r="D2273" s="553"/>
      <c r="E2273" s="694" t="str">
        <f>VLOOKUP($B2273,dongia1,DG!$C$5,)</f>
        <v>LBS SF6 3pha 24kV 630A - 16kA</v>
      </c>
      <c r="F2273" s="555" t="str">
        <f>VLOOKUP($B2273,dongia1,DG!$D$5,)</f>
        <v>bộ</v>
      </c>
      <c r="G2273" s="564">
        <f>+pp3p1m!EM10</f>
        <v>0</v>
      </c>
      <c r="H2273" s="556">
        <f t="shared" si="941"/>
        <v>0</v>
      </c>
      <c r="I2273" s="556"/>
      <c r="J2273" s="556"/>
      <c r="K2273" s="556">
        <f t="shared" si="940"/>
        <v>0</v>
      </c>
      <c r="L2273" s="556"/>
      <c r="M2273" s="556"/>
      <c r="N2273" s="556"/>
      <c r="O2273" s="556"/>
      <c r="P2273" s="182">
        <f>VLOOKUP($B2273,dongia1,DG!$E$5,)</f>
        <v>79800000</v>
      </c>
      <c r="Q2273" s="182">
        <f>VLOOKUP($B2273,dongia1,DG!$G$5,)</f>
        <v>1918837</v>
      </c>
      <c r="R2273" s="182">
        <f>VLOOKUP($B2273,dongia1,DG!$H$5,)</f>
        <v>218852</v>
      </c>
      <c r="S2273" s="113">
        <f t="shared" si="942"/>
        <v>0</v>
      </c>
      <c r="T2273" s="113">
        <f t="shared" si="942"/>
        <v>0</v>
      </c>
      <c r="U2273" s="557">
        <f t="shared" si="942"/>
        <v>0</v>
      </c>
    </row>
    <row r="2274" spans="1:21" s="552" customFormat="1" ht="15" customHeight="1">
      <c r="A2274" s="621"/>
      <c r="B2274" s="622" t="s">
        <v>1822</v>
      </c>
      <c r="C2274" s="633" t="str">
        <f t="shared" si="937"/>
        <v xml:space="preserve"> </v>
      </c>
      <c r="D2274" s="553"/>
      <c r="E2274" s="694" t="str">
        <f>VLOOKUP($B2274,dongia1,DG!$C$5,)</f>
        <v>Recloser 24kV 630-800A</v>
      </c>
      <c r="F2274" s="555" t="str">
        <f>VLOOKUP($B2274,dongia1,DG!$D$5,)</f>
        <v>bộ</v>
      </c>
      <c r="G2274" s="564">
        <f>pp3p1m!EJ10</f>
        <v>0</v>
      </c>
      <c r="H2274" s="556">
        <f t="shared" si="941"/>
        <v>0</v>
      </c>
      <c r="I2274" s="556"/>
      <c r="J2274" s="556"/>
      <c r="K2274" s="556">
        <f t="shared" si="940"/>
        <v>0</v>
      </c>
      <c r="L2274" s="556"/>
      <c r="M2274" s="556"/>
      <c r="N2274" s="556"/>
      <c r="O2274" s="556"/>
      <c r="P2274" s="182">
        <f>VLOOKUP($B2274,dongia1,DG!$E$5,)</f>
        <v>290500000</v>
      </c>
      <c r="Q2274" s="182">
        <f>VLOOKUP($B2274,dongia1,DG!$G$5,)</f>
        <v>1918837</v>
      </c>
      <c r="R2274" s="182">
        <f>VLOOKUP($B2274,dongia1,DG!$H$5,)</f>
        <v>218852</v>
      </c>
      <c r="S2274" s="113">
        <f t="shared" si="942"/>
        <v>0</v>
      </c>
      <c r="T2274" s="113">
        <f t="shared" si="942"/>
        <v>0</v>
      </c>
      <c r="U2274" s="557">
        <f t="shared" si="942"/>
        <v>0</v>
      </c>
    </row>
    <row r="2275" spans="1:21" s="552" customFormat="1" ht="15" customHeight="1">
      <c r="A2275" s="621"/>
      <c r="B2275" s="622" t="s">
        <v>2137</v>
      </c>
      <c r="C2275" s="633" t="str">
        <f t="shared" si="937"/>
        <v xml:space="preserve">x </v>
      </c>
      <c r="D2275" s="553"/>
      <c r="E2275" s="694" t="str">
        <f>VLOOKUP($B2275,dongia1,DG!$C$5,)</f>
        <v>LA 18kV 10kA</v>
      </c>
      <c r="F2275" s="555" t="str">
        <f>VLOOKUP($B2275,dongia1,DG!$D$5,)</f>
        <v>cái</v>
      </c>
      <c r="G2275" s="564">
        <f>pp3p1m!EO10</f>
        <v>3</v>
      </c>
      <c r="H2275" s="556">
        <f t="shared" si="941"/>
        <v>3</v>
      </c>
      <c r="I2275" s="556"/>
      <c r="J2275" s="556"/>
      <c r="K2275" s="556">
        <f t="shared" si="940"/>
        <v>3</v>
      </c>
      <c r="L2275" s="556"/>
      <c r="M2275" s="556"/>
      <c r="N2275" s="556"/>
      <c r="O2275" s="556"/>
      <c r="P2275" s="182">
        <f>VLOOKUP($B2275,dongia1,DG!$E$5,)</f>
        <v>740000</v>
      </c>
      <c r="Q2275" s="182">
        <f>VLOOKUP($B2275,dongia1,DG!$G$5,)</f>
        <v>66000</v>
      </c>
      <c r="R2275" s="182">
        <f>VLOOKUP($B2275,dongia1,DG!$H$5,)</f>
        <v>0</v>
      </c>
      <c r="S2275" s="113">
        <f>$G2275*P2275</f>
        <v>2220000</v>
      </c>
      <c r="T2275" s="113">
        <f>$G2275*Q2275</f>
        <v>198000</v>
      </c>
      <c r="U2275" s="557">
        <f>$G2275*R2275</f>
        <v>0</v>
      </c>
    </row>
    <row r="2276" spans="1:21" s="610" customFormat="1" ht="15" customHeight="1">
      <c r="A2276" s="635" t="s">
        <v>3748</v>
      </c>
      <c r="B2276" s="636"/>
      <c r="C2276" s="637" t="str">
        <f>IF(G2276&gt;0,"x","")</f>
        <v/>
      </c>
      <c r="D2276" s="599"/>
      <c r="E2276" s="727" t="s">
        <v>3681</v>
      </c>
      <c r="F2276" s="600"/>
      <c r="G2276" s="604">
        <f>Solieu!F29</f>
        <v>0</v>
      </c>
      <c r="H2276" s="605"/>
      <c r="I2276" s="605"/>
      <c r="J2276" s="605"/>
      <c r="K2276" s="605"/>
      <c r="L2276" s="605"/>
      <c r="M2276" s="605"/>
      <c r="N2276" s="605"/>
      <c r="O2276" s="605"/>
      <c r="P2276" s="606"/>
      <c r="Q2276" s="607"/>
      <c r="R2276" s="606"/>
      <c r="S2276" s="608">
        <f>SUM(S2277:S2300)</f>
        <v>0</v>
      </c>
      <c r="T2276" s="608">
        <f>SUM(T2277:T2300)</f>
        <v>0</v>
      </c>
      <c r="U2276" s="609">
        <f>SUM(U2277:U2300)</f>
        <v>0</v>
      </c>
    </row>
    <row r="2277" spans="1:21" s="552" customFormat="1" ht="15" customHeight="1">
      <c r="A2277" s="621"/>
      <c r="B2277" s="622" t="s">
        <v>4804</v>
      </c>
      <c r="C2277" s="697" t="str">
        <f>IF(G2277&lt;&gt;0,"x"," ")</f>
        <v xml:space="preserve"> </v>
      </c>
      <c r="D2277" s="553"/>
      <c r="E2277" s="694" t="str">
        <f>VLOOKUP($B2277,dongia1,DG!$C$5,)</f>
        <v xml:space="preserve">Cáp CVV 4x4mm2  </v>
      </c>
      <c r="F2277" s="555" t="str">
        <f>VLOOKUP($B2277,dongia1,DG!$D$5,)</f>
        <v>mét</v>
      </c>
      <c r="G2277" s="755">
        <f>G2276*33</f>
        <v>0</v>
      </c>
      <c r="H2277" s="556">
        <f t="shared" ref="H2277:H2300" si="943">G2277</f>
        <v>0</v>
      </c>
      <c r="I2277" s="556"/>
      <c r="J2277" s="556"/>
      <c r="K2277" s="556">
        <f t="shared" ref="K2277:K2300" si="944">G2277</f>
        <v>0</v>
      </c>
      <c r="L2277" s="556"/>
      <c r="M2277" s="556"/>
      <c r="N2277" s="556"/>
      <c r="O2277" s="556"/>
      <c r="P2277" s="182">
        <f>VLOOKUP($B2277,dongia1,DG!F$5,)</f>
        <v>63200</v>
      </c>
      <c r="Q2277" s="182">
        <f>VLOOKUP($B2277,dongia1,DG!G$5,)</f>
        <v>0</v>
      </c>
      <c r="R2277" s="182">
        <f>VLOOKUP($B2277,dongia1,DG!H$5,)</f>
        <v>0</v>
      </c>
      <c r="S2277" s="113">
        <f t="shared" ref="S2277:S2291" si="945">$G2277*P2277</f>
        <v>0</v>
      </c>
      <c r="T2277" s="113">
        <f t="shared" ref="T2277:T2291" si="946">$G2277*Q2277</f>
        <v>0</v>
      </c>
      <c r="U2277" s="557">
        <f t="shared" ref="U2277:U2291" si="947">$G2277*R2277</f>
        <v>0</v>
      </c>
    </row>
    <row r="2278" spans="1:21" s="552" customFormat="1" ht="15" customHeight="1">
      <c r="A2278" s="621"/>
      <c r="B2278" s="622" t="s">
        <v>748</v>
      </c>
      <c r="C2278" s="697" t="str">
        <f t="shared" ref="C2278:C2300" si="948">IF(G2278&lt;&gt;0,"x"," ")</f>
        <v xml:space="preserve"> </v>
      </c>
      <c r="D2278" s="553"/>
      <c r="E2278" s="694" t="str">
        <f>VLOOKUP($B2278,dongia1,DG!$C$5,)</f>
        <v>Xà kẹp TU, TI U40x22x3x425</v>
      </c>
      <c r="F2278" s="555" t="str">
        <f>VLOOKUP($B2278,dongia1,DG!$D$5,)</f>
        <v>cái</v>
      </c>
      <c r="G2278" s="755">
        <f>G2276*24</f>
        <v>0</v>
      </c>
      <c r="H2278" s="556">
        <f t="shared" si="943"/>
        <v>0</v>
      </c>
      <c r="I2278" s="556"/>
      <c r="J2278" s="556"/>
      <c r="K2278" s="556">
        <f t="shared" si="944"/>
        <v>0</v>
      </c>
      <c r="L2278" s="556"/>
      <c r="M2278" s="556"/>
      <c r="N2278" s="556"/>
      <c r="O2278" s="556"/>
      <c r="P2278" s="182">
        <f>VLOOKUP($B2278,dongia1,DG!F$5,)</f>
        <v>40500</v>
      </c>
      <c r="Q2278" s="182">
        <f>VLOOKUP($B2278,dongia1,DG!G$5,)</f>
        <v>39758</v>
      </c>
      <c r="R2278" s="182">
        <f>VLOOKUP($B2278,dongia1,DG!H$5,)</f>
        <v>0</v>
      </c>
      <c r="S2278" s="113">
        <f t="shared" si="945"/>
        <v>0</v>
      </c>
      <c r="T2278" s="113">
        <f t="shared" si="946"/>
        <v>0</v>
      </c>
      <c r="U2278" s="557">
        <f t="shared" si="947"/>
        <v>0</v>
      </c>
    </row>
    <row r="2279" spans="1:21" s="552" customFormat="1" ht="15" customHeight="1">
      <c r="A2279" s="621"/>
      <c r="B2279" s="622" t="s">
        <v>5791</v>
      </c>
      <c r="C2279" s="697" t="str">
        <f t="shared" si="948"/>
        <v xml:space="preserve"> </v>
      </c>
      <c r="D2279" s="553"/>
      <c r="E2279" s="694" t="str">
        <f>VLOOKUP($B2279,dongia1,DG!$C$5,)</f>
        <v>Bass LI bắt LA</v>
      </c>
      <c r="F2279" s="555" t="str">
        <f>VLOOKUP($B2279,dongia1,DG!$D$5,)</f>
        <v>Bộ</v>
      </c>
      <c r="G2279" s="755">
        <f>G2276*3</f>
        <v>0</v>
      </c>
      <c r="H2279" s="556">
        <f t="shared" si="943"/>
        <v>0</v>
      </c>
      <c r="I2279" s="556"/>
      <c r="J2279" s="556"/>
      <c r="K2279" s="556">
        <f t="shared" si="944"/>
        <v>0</v>
      </c>
      <c r="L2279" s="556"/>
      <c r="M2279" s="556"/>
      <c r="N2279" s="556"/>
      <c r="O2279" s="556"/>
      <c r="P2279" s="182">
        <f>VLOOKUP($B2279,dongia1,DG!F$5,)</f>
        <v>34000</v>
      </c>
      <c r="Q2279" s="182">
        <f>VLOOKUP($B2279,dongia1,DG!G$5,)</f>
        <v>0</v>
      </c>
      <c r="R2279" s="182">
        <f>VLOOKUP($B2279,dongia1,DG!H$5,)</f>
        <v>0</v>
      </c>
      <c r="S2279" s="113">
        <f>$G2279*P2279</f>
        <v>0</v>
      </c>
      <c r="T2279" s="113">
        <f>$G2279*Q2279</f>
        <v>0</v>
      </c>
      <c r="U2279" s="557">
        <f>$G2279*R2279</f>
        <v>0</v>
      </c>
    </row>
    <row r="2280" spans="1:21" s="552" customFormat="1" ht="15" customHeight="1">
      <c r="A2280" s="621"/>
      <c r="B2280" s="622" t="s">
        <v>5577</v>
      </c>
      <c r="C2280" s="697" t="str">
        <f t="shared" si="948"/>
        <v xml:space="preserve"> </v>
      </c>
      <c r="D2280" s="553"/>
      <c r="E2280" s="694" t="str">
        <f>VLOOKUP($B2280,dongia1,DG!$C$5,)</f>
        <v xml:space="preserve">Đầu cosse ép Cu 4mm2 + bao PVC </v>
      </c>
      <c r="F2280" s="555" t="str">
        <f>VLOOKUP($B2280,dongia1,DG!$D$5,)</f>
        <v>cái</v>
      </c>
      <c r="G2280" s="755">
        <f>G2276*16</f>
        <v>0</v>
      </c>
      <c r="H2280" s="556">
        <f t="shared" si="943"/>
        <v>0</v>
      </c>
      <c r="I2280" s="556"/>
      <c r="J2280" s="556"/>
      <c r="K2280" s="556">
        <f t="shared" si="944"/>
        <v>0</v>
      </c>
      <c r="L2280" s="556"/>
      <c r="M2280" s="556"/>
      <c r="N2280" s="556"/>
      <c r="O2280" s="556"/>
      <c r="P2280" s="182">
        <f>VLOOKUP($B2280,dongia1,DG!F$5,)</f>
        <v>1700</v>
      </c>
      <c r="Q2280" s="182">
        <f>VLOOKUP($B2280,dongia1,DG!G$5,)</f>
        <v>3637.3560000000002</v>
      </c>
      <c r="R2280" s="182">
        <f>VLOOKUP($B2280,dongia1,DG!H$5,)</f>
        <v>1666.2139485</v>
      </c>
      <c r="S2280" s="113">
        <f t="shared" si="945"/>
        <v>0</v>
      </c>
      <c r="T2280" s="113">
        <f t="shared" si="946"/>
        <v>0</v>
      </c>
      <c r="U2280" s="557">
        <f t="shared" si="947"/>
        <v>0</v>
      </c>
    </row>
    <row r="2281" spans="1:21" s="552" customFormat="1" ht="15" customHeight="1">
      <c r="A2281" s="621"/>
      <c r="B2281" s="622" t="s">
        <v>57</v>
      </c>
      <c r="C2281" s="697" t="str">
        <f t="shared" si="948"/>
        <v xml:space="preserve"> </v>
      </c>
      <c r="D2281" s="553"/>
      <c r="E2281" s="694" t="str">
        <f>VLOOKUP($B2281,dongia1,DG!$C$5,)</f>
        <v>Dây điện đôi 16/10</v>
      </c>
      <c r="F2281" s="555" t="str">
        <f>VLOOKUP($B2281,dongia1,DG!$D$5,)</f>
        <v>mét</v>
      </c>
      <c r="G2281" s="755"/>
      <c r="H2281" s="556">
        <f t="shared" si="943"/>
        <v>0</v>
      </c>
      <c r="I2281" s="556"/>
      <c r="J2281" s="556"/>
      <c r="K2281" s="556">
        <f t="shared" si="944"/>
        <v>0</v>
      </c>
      <c r="L2281" s="556"/>
      <c r="M2281" s="556"/>
      <c r="N2281" s="556"/>
      <c r="O2281" s="556"/>
      <c r="P2281" s="182">
        <f>VLOOKUP($B2281,dongia1,DG!F$5,)</f>
        <v>860</v>
      </c>
      <c r="Q2281" s="182">
        <f>VLOOKUP($B2281,dongia1,DG!G$5,)</f>
        <v>0</v>
      </c>
      <c r="R2281" s="182">
        <f>VLOOKUP($B2281,dongia1,DG!H$5,)</f>
        <v>0</v>
      </c>
      <c r="S2281" s="113">
        <f t="shared" si="945"/>
        <v>0</v>
      </c>
      <c r="T2281" s="113">
        <f t="shared" si="946"/>
        <v>0</v>
      </c>
      <c r="U2281" s="557">
        <f t="shared" si="947"/>
        <v>0</v>
      </c>
    </row>
    <row r="2282" spans="1:21" s="552" customFormat="1" ht="15" customHeight="1">
      <c r="A2282" s="621"/>
      <c r="B2282" s="622" t="s">
        <v>903</v>
      </c>
      <c r="C2282" s="697" t="str">
        <f t="shared" si="948"/>
        <v xml:space="preserve"> </v>
      </c>
      <c r="D2282" s="553"/>
      <c r="E2282" s="694" t="str">
        <f>VLOOKUP($B2282,dongia1,DG!$C$5,)</f>
        <v>Ốc xiết cáp cỡ 25mm2</v>
      </c>
      <c r="F2282" s="555" t="str">
        <f>VLOOKUP($B2282,dongia1,DG!$D$5,)</f>
        <v>cái</v>
      </c>
      <c r="G2282" s="755">
        <f>+G2276*3</f>
        <v>0</v>
      </c>
      <c r="H2282" s="556">
        <f t="shared" si="943"/>
        <v>0</v>
      </c>
      <c r="I2282" s="556"/>
      <c r="J2282" s="556"/>
      <c r="K2282" s="556">
        <f t="shared" si="944"/>
        <v>0</v>
      </c>
      <c r="L2282" s="556"/>
      <c r="M2282" s="556"/>
      <c r="N2282" s="556"/>
      <c r="O2282" s="556"/>
      <c r="P2282" s="182">
        <f>VLOOKUP($B2282,dongia1,DG!F$5,)</f>
        <v>17600</v>
      </c>
      <c r="Q2282" s="182">
        <f>VLOOKUP($B2282,dongia1,DG!G$5,)</f>
        <v>0</v>
      </c>
      <c r="R2282" s="182">
        <f>VLOOKUP($B2282,dongia1,DG!H$5,)</f>
        <v>0</v>
      </c>
      <c r="S2282" s="113">
        <f t="shared" si="945"/>
        <v>0</v>
      </c>
      <c r="T2282" s="113">
        <f t="shared" si="946"/>
        <v>0</v>
      </c>
      <c r="U2282" s="557">
        <f t="shared" si="947"/>
        <v>0</v>
      </c>
    </row>
    <row r="2283" spans="1:21" s="552" customFormat="1" ht="15" customHeight="1">
      <c r="A2283" s="621"/>
      <c r="B2283" s="622" t="s">
        <v>1736</v>
      </c>
      <c r="C2283" s="697" t="str">
        <f t="shared" si="948"/>
        <v xml:space="preserve"> </v>
      </c>
      <c r="D2283" s="553"/>
      <c r="E2283" s="694" t="str">
        <f>VLOOKUP($B2283,dongia1,DG!$C$5,)</f>
        <v>Ống PVC D42x2,1mm</v>
      </c>
      <c r="F2283" s="555" t="str">
        <f>VLOOKUP($B2283,dongia1,DG!$D$5,)</f>
        <v>m</v>
      </c>
      <c r="G2283" s="755">
        <f>G2294*18</f>
        <v>0</v>
      </c>
      <c r="H2283" s="556">
        <f t="shared" si="943"/>
        <v>0</v>
      </c>
      <c r="I2283" s="556"/>
      <c r="J2283" s="556"/>
      <c r="K2283" s="556">
        <f t="shared" si="944"/>
        <v>0</v>
      </c>
      <c r="L2283" s="556"/>
      <c r="M2283" s="556"/>
      <c r="N2283" s="556"/>
      <c r="O2283" s="556"/>
      <c r="P2283" s="182">
        <f>VLOOKUP($B2283,dongia1,DG!F$5,)</f>
        <v>16100</v>
      </c>
      <c r="Q2283" s="182">
        <f>VLOOKUP($B2283,dongia1,DG!G$5,)</f>
        <v>0</v>
      </c>
      <c r="R2283" s="182">
        <f>VLOOKUP($B2283,dongia1,DG!H$5,)</f>
        <v>0</v>
      </c>
      <c r="S2283" s="113">
        <f t="shared" si="945"/>
        <v>0</v>
      </c>
      <c r="T2283" s="113">
        <f t="shared" si="946"/>
        <v>0</v>
      </c>
      <c r="U2283" s="557">
        <f t="shared" si="947"/>
        <v>0</v>
      </c>
    </row>
    <row r="2284" spans="1:21" s="552" customFormat="1" ht="15" customHeight="1">
      <c r="A2284" s="621"/>
      <c r="B2284" s="622" t="s">
        <v>996</v>
      </c>
      <c r="C2284" s="697" t="str">
        <f t="shared" si="948"/>
        <v xml:space="preserve"> </v>
      </c>
      <c r="D2284" s="553"/>
      <c r="E2284" s="694" t="str">
        <f>VLOOKUP($B2284,dongia1,DG!$C$5,)</f>
        <v>Côllier 25x2</v>
      </c>
      <c r="F2284" s="555" t="str">
        <f>VLOOKUP($B2284,dongia1,DG!$D$5,)</f>
        <v>bộ</v>
      </c>
      <c r="G2284" s="755">
        <f>G2276*4</f>
        <v>0</v>
      </c>
      <c r="H2284" s="556">
        <f t="shared" si="943"/>
        <v>0</v>
      </c>
      <c r="I2284" s="556"/>
      <c r="J2284" s="556"/>
      <c r="K2284" s="556">
        <f t="shared" si="944"/>
        <v>0</v>
      </c>
      <c r="L2284" s="556"/>
      <c r="M2284" s="556"/>
      <c r="N2284" s="556"/>
      <c r="O2284" s="556"/>
      <c r="P2284" s="182">
        <f>VLOOKUP($B2284,dongia1,DG!F$5,)</f>
        <v>30000</v>
      </c>
      <c r="Q2284" s="182">
        <f>VLOOKUP($B2284,dongia1,DG!G$5,)</f>
        <v>0</v>
      </c>
      <c r="R2284" s="182">
        <f>VLOOKUP($B2284,dongia1,DG!H$5,)</f>
        <v>0</v>
      </c>
      <c r="S2284" s="113">
        <f t="shared" si="945"/>
        <v>0</v>
      </c>
      <c r="T2284" s="113">
        <f t="shared" si="946"/>
        <v>0</v>
      </c>
      <c r="U2284" s="557">
        <f t="shared" si="947"/>
        <v>0</v>
      </c>
    </row>
    <row r="2285" spans="1:21" s="552" customFormat="1" ht="15" customHeight="1">
      <c r="A2285" s="621"/>
      <c r="B2285" s="622" t="s">
        <v>1576</v>
      </c>
      <c r="C2285" s="697" t="str">
        <f t="shared" si="948"/>
        <v xml:space="preserve"> </v>
      </c>
      <c r="D2285" s="553"/>
      <c r="E2285" s="694" t="str">
        <f>VLOOKUP($B2285,dongia1,DG!$C$5,)</f>
        <v>Co 90 độ PVC 42</v>
      </c>
      <c r="F2285" s="555" t="str">
        <f>VLOOKUP($B2285,dongia1,DG!$D$5,)</f>
        <v>cái</v>
      </c>
      <c r="G2285" s="755">
        <f>G2276*8</f>
        <v>0</v>
      </c>
      <c r="H2285" s="556">
        <f t="shared" si="943"/>
        <v>0</v>
      </c>
      <c r="I2285" s="556"/>
      <c r="J2285" s="556"/>
      <c r="K2285" s="556">
        <f t="shared" si="944"/>
        <v>0</v>
      </c>
      <c r="L2285" s="556"/>
      <c r="M2285" s="556"/>
      <c r="N2285" s="556"/>
      <c r="O2285" s="556"/>
      <c r="P2285" s="182">
        <f>VLOOKUP($B2285,dongia1,DG!F$5,)</f>
        <v>11400</v>
      </c>
      <c r="Q2285" s="182">
        <f>VLOOKUP($B2285,dongia1,DG!G$5,)</f>
        <v>0</v>
      </c>
      <c r="R2285" s="182">
        <f>VLOOKUP($B2285,dongia1,DG!H$5,)</f>
        <v>0</v>
      </c>
      <c r="S2285" s="113">
        <f t="shared" si="945"/>
        <v>0</v>
      </c>
      <c r="T2285" s="113">
        <f t="shared" si="946"/>
        <v>0</v>
      </c>
      <c r="U2285" s="557">
        <f t="shared" si="947"/>
        <v>0</v>
      </c>
    </row>
    <row r="2286" spans="1:21" s="552" customFormat="1" ht="15" customHeight="1">
      <c r="A2286" s="621"/>
      <c r="B2286" s="622" t="s">
        <v>969</v>
      </c>
      <c r="C2286" s="697" t="str">
        <f t="shared" si="948"/>
        <v xml:space="preserve"> </v>
      </c>
      <c r="D2286" s="553"/>
      <c r="E2286" s="694" t="str">
        <f>VLOOKUP($B2286,dongia1,DG!$C$5,)</f>
        <v>Co chữ T ống PVC 42</v>
      </c>
      <c r="F2286" s="555" t="str">
        <f>VLOOKUP($B2286,dongia1,DG!$D$5,)</f>
        <v>cái</v>
      </c>
      <c r="G2286" s="755">
        <f>G2276*4</f>
        <v>0</v>
      </c>
      <c r="H2286" s="556">
        <f t="shared" si="943"/>
        <v>0</v>
      </c>
      <c r="I2286" s="556"/>
      <c r="J2286" s="556"/>
      <c r="K2286" s="556">
        <f t="shared" si="944"/>
        <v>0</v>
      </c>
      <c r="L2286" s="556"/>
      <c r="M2286" s="556"/>
      <c r="N2286" s="556"/>
      <c r="O2286" s="556"/>
      <c r="P2286" s="182">
        <f>VLOOKUP($B2286,dongia1,DG!F$5,)</f>
        <v>21000</v>
      </c>
      <c r="Q2286" s="182">
        <f>VLOOKUP($B2286,dongia1,DG!G$5,)</f>
        <v>0</v>
      </c>
      <c r="R2286" s="182">
        <f>VLOOKUP($B2286,dongia1,DG!H$5,)</f>
        <v>0</v>
      </c>
      <c r="S2286" s="113">
        <f t="shared" si="945"/>
        <v>0</v>
      </c>
      <c r="T2286" s="113">
        <f t="shared" si="946"/>
        <v>0</v>
      </c>
      <c r="U2286" s="557">
        <f t="shared" si="947"/>
        <v>0</v>
      </c>
    </row>
    <row r="2287" spans="1:21" s="552" customFormat="1" ht="15" customHeight="1">
      <c r="A2287" s="621"/>
      <c r="B2287" s="622" t="s">
        <v>1823</v>
      </c>
      <c r="C2287" s="697" t="str">
        <f t="shared" si="948"/>
        <v xml:space="preserve"> </v>
      </c>
      <c r="D2287" s="553"/>
      <c r="E2287" s="694" t="str">
        <f>VLOOKUP($B2287,dongia1,DG!$C$5,)</f>
        <v>Nối thẳng ống PVC 42</v>
      </c>
      <c r="F2287" s="555" t="str">
        <f>VLOOKUP($B2287,dongia1,DG!$D$5,)</f>
        <v>cái</v>
      </c>
      <c r="G2287" s="755">
        <f>G2276*2</f>
        <v>0</v>
      </c>
      <c r="H2287" s="556">
        <f t="shared" si="943"/>
        <v>0</v>
      </c>
      <c r="I2287" s="556"/>
      <c r="J2287" s="556"/>
      <c r="K2287" s="556">
        <f t="shared" si="944"/>
        <v>0</v>
      </c>
      <c r="L2287" s="556"/>
      <c r="M2287" s="556"/>
      <c r="N2287" s="556"/>
      <c r="O2287" s="556"/>
      <c r="P2287" s="182">
        <f>VLOOKUP($B2287,dongia1,DG!F$5,)</f>
        <v>4000</v>
      </c>
      <c r="Q2287" s="182">
        <f>VLOOKUP($B2287,dongia1,DG!G$5,)</f>
        <v>0</v>
      </c>
      <c r="R2287" s="182">
        <f>VLOOKUP($B2287,dongia1,DG!H$5,)</f>
        <v>0</v>
      </c>
      <c r="S2287" s="113">
        <f t="shared" si="945"/>
        <v>0</v>
      </c>
      <c r="T2287" s="113">
        <f t="shared" si="946"/>
        <v>0</v>
      </c>
      <c r="U2287" s="557">
        <f t="shared" si="947"/>
        <v>0</v>
      </c>
    </row>
    <row r="2288" spans="1:21" s="552" customFormat="1" ht="15" customHeight="1">
      <c r="A2288" s="621"/>
      <c r="B2288" s="622" t="s">
        <v>648</v>
      </c>
      <c r="C2288" s="697" t="str">
        <f t="shared" si="948"/>
        <v xml:space="preserve"> </v>
      </c>
      <c r="D2288" s="553"/>
      <c r="E2288" s="694" t="str">
        <f>VLOOKUP($B2288,dongia1,DG!$C$5,)&amp;": daáu TU, TI, LA"</f>
        <v>Cáp 24KV C/XLPE/PVC- 25mm2: daáu TU, TI, LA</v>
      </c>
      <c r="F2288" s="555" t="str">
        <f>VLOOKUP($B2288,dongia1,DG!$D$5,)</f>
        <v>mét</v>
      </c>
      <c r="G2288" s="755">
        <f>G2276*(2)*3*3</f>
        <v>0</v>
      </c>
      <c r="H2288" s="556">
        <f t="shared" si="943"/>
        <v>0</v>
      </c>
      <c r="I2288" s="556"/>
      <c r="J2288" s="556"/>
      <c r="K2288" s="556">
        <f t="shared" si="944"/>
        <v>0</v>
      </c>
      <c r="L2288" s="556"/>
      <c r="M2288" s="556"/>
      <c r="N2288" s="556"/>
      <c r="O2288" s="556"/>
      <c r="P2288" s="182">
        <f>VLOOKUP($B2288,dongia1,DG!F$5,)</f>
        <v>50996</v>
      </c>
      <c r="Q2288" s="182">
        <f>VLOOKUP($B2288,dongia1,DG!G$5,)</f>
        <v>0</v>
      </c>
      <c r="R2288" s="182">
        <f>VLOOKUP($B2288,dongia1,DG!H$5,)</f>
        <v>0</v>
      </c>
      <c r="S2288" s="113">
        <f t="shared" si="945"/>
        <v>0</v>
      </c>
      <c r="T2288" s="113">
        <f t="shared" si="946"/>
        <v>0</v>
      </c>
      <c r="U2288" s="557">
        <f t="shared" si="947"/>
        <v>0</v>
      </c>
    </row>
    <row r="2289" spans="1:21" s="552" customFormat="1" ht="15" customHeight="1">
      <c r="A2289" s="621"/>
      <c r="B2289" s="622" t="s">
        <v>1973</v>
      </c>
      <c r="C2289" s="697" t="str">
        <f t="shared" si="948"/>
        <v xml:space="preserve"> </v>
      </c>
      <c r="D2289" s="553"/>
      <c r="E2289" s="694" t="str">
        <f>VLOOKUP($B2289,dongia1,DG!$C$5,)</f>
        <v>Keo dán ống PVC (500gr)</v>
      </c>
      <c r="F2289" s="555" t="str">
        <f>VLOOKUP($B2289,dongia1,DG!$D$5,)</f>
        <v>lon</v>
      </c>
      <c r="G2289" s="755">
        <f>G2276*2</f>
        <v>0</v>
      </c>
      <c r="H2289" s="556">
        <f t="shared" si="943"/>
        <v>0</v>
      </c>
      <c r="I2289" s="556"/>
      <c r="J2289" s="556"/>
      <c r="K2289" s="556">
        <f t="shared" si="944"/>
        <v>0</v>
      </c>
      <c r="L2289" s="556"/>
      <c r="M2289" s="556"/>
      <c r="N2289" s="556"/>
      <c r="O2289" s="556"/>
      <c r="P2289" s="182">
        <f>VLOOKUP($B2289,dongia1,DG!F$5,)</f>
        <v>54100</v>
      </c>
      <c r="Q2289" s="182">
        <f>VLOOKUP($B2289,dongia1,DG!G$5,)</f>
        <v>0</v>
      </c>
      <c r="R2289" s="182">
        <f>VLOOKUP($B2289,dongia1,DG!H$5,)</f>
        <v>0</v>
      </c>
      <c r="S2289" s="113">
        <f t="shared" si="945"/>
        <v>0</v>
      </c>
      <c r="T2289" s="113">
        <f t="shared" si="946"/>
        <v>0</v>
      </c>
      <c r="U2289" s="557">
        <f t="shared" si="947"/>
        <v>0</v>
      </c>
    </row>
    <row r="2290" spans="1:21" s="552" customFormat="1" ht="15" customHeight="1">
      <c r="A2290" s="621"/>
      <c r="B2290" s="622" t="s">
        <v>236</v>
      </c>
      <c r="C2290" s="697" t="str">
        <f t="shared" si="948"/>
        <v xml:space="preserve"> </v>
      </c>
      <c r="D2290" s="553"/>
      <c r="E2290" s="694" t="str">
        <f>VLOOKUP($B2290,dongia1,DG!$C$5,)</f>
        <v>Băng keo cách điện hạ thế</v>
      </c>
      <c r="F2290" s="555" t="str">
        <f>VLOOKUP($B2290,dongia1,DG!$D$5,)</f>
        <v>cuộn</v>
      </c>
      <c r="G2290" s="755">
        <f>G2276*2</f>
        <v>0</v>
      </c>
      <c r="H2290" s="556">
        <f t="shared" si="943"/>
        <v>0</v>
      </c>
      <c r="I2290" s="556"/>
      <c r="J2290" s="556"/>
      <c r="K2290" s="556">
        <f t="shared" si="944"/>
        <v>0</v>
      </c>
      <c r="L2290" s="556"/>
      <c r="M2290" s="556"/>
      <c r="N2290" s="556"/>
      <c r="O2290" s="556"/>
      <c r="P2290" s="182">
        <f>VLOOKUP($B2290,dongia1,DG!F$5,)</f>
        <v>6500</v>
      </c>
      <c r="Q2290" s="182">
        <f>VLOOKUP($B2290,dongia1,DG!G$5,)</f>
        <v>0</v>
      </c>
      <c r="R2290" s="182">
        <f>VLOOKUP($B2290,dongia1,DG!H$5,)</f>
        <v>0</v>
      </c>
      <c r="S2290" s="113">
        <f t="shared" si="945"/>
        <v>0</v>
      </c>
      <c r="T2290" s="113">
        <f t="shared" si="946"/>
        <v>0</v>
      </c>
      <c r="U2290" s="557">
        <f t="shared" si="947"/>
        <v>0</v>
      </c>
    </row>
    <row r="2291" spans="1:21" s="552" customFormat="1" ht="15" customHeight="1">
      <c r="A2291" s="621"/>
      <c r="B2291" s="622" t="s">
        <v>1464</v>
      </c>
      <c r="C2291" s="697" t="str">
        <f t="shared" si="948"/>
        <v xml:space="preserve"> </v>
      </c>
      <c r="D2291" s="553"/>
      <c r="E2291" s="694" t="str">
        <f>VLOOKUP($B2291,dongia1,DG!$C$5,)</f>
        <v>Khâu ven răng trong D42</v>
      </c>
      <c r="F2291" s="555" t="str">
        <f>VLOOKUP($B2291,dongia1,DG!$D$5,)</f>
        <v>cái</v>
      </c>
      <c r="G2291" s="755">
        <f>G2276*4</f>
        <v>0</v>
      </c>
      <c r="H2291" s="556">
        <f t="shared" si="943"/>
        <v>0</v>
      </c>
      <c r="I2291" s="556"/>
      <c r="J2291" s="556"/>
      <c r="K2291" s="556">
        <f t="shared" si="944"/>
        <v>0</v>
      </c>
      <c r="L2291" s="556"/>
      <c r="M2291" s="556"/>
      <c r="N2291" s="556"/>
      <c r="O2291" s="556"/>
      <c r="P2291" s="182">
        <f>VLOOKUP($B2291,dongia1,DG!F$5,)</f>
        <v>5000</v>
      </c>
      <c r="Q2291" s="182">
        <f>VLOOKUP($B2291,dongia1,DG!G$5,)</f>
        <v>0</v>
      </c>
      <c r="R2291" s="182">
        <f>VLOOKUP($B2291,dongia1,DG!H$5,)</f>
        <v>0</v>
      </c>
      <c r="S2291" s="113">
        <f t="shared" si="945"/>
        <v>0</v>
      </c>
      <c r="T2291" s="113">
        <f t="shared" si="946"/>
        <v>0</v>
      </c>
      <c r="U2291" s="557">
        <f t="shared" si="947"/>
        <v>0</v>
      </c>
    </row>
    <row r="2292" spans="1:21" s="552" customFormat="1" ht="15" customHeight="1">
      <c r="A2292" s="621"/>
      <c r="B2292" s="622" t="s">
        <v>1214</v>
      </c>
      <c r="C2292" s="697" t="str">
        <f t="shared" si="948"/>
        <v xml:space="preserve"> </v>
      </c>
      <c r="D2292" s="553"/>
      <c r="E2292" s="694" t="str">
        <f>VLOOKUP($B2292,dongia1,DG!$C$5,)</f>
        <v>Khâu ven răng ngoài D42</v>
      </c>
      <c r="F2292" s="555" t="str">
        <f>VLOOKUP($B2292,dongia1,DG!$D$5,)</f>
        <v>cái</v>
      </c>
      <c r="G2292" s="755">
        <f>G2291</f>
        <v>0</v>
      </c>
      <c r="H2292" s="556">
        <f t="shared" si="943"/>
        <v>0</v>
      </c>
      <c r="I2292" s="556"/>
      <c r="J2292" s="556"/>
      <c r="K2292" s="556">
        <f t="shared" si="944"/>
        <v>0</v>
      </c>
      <c r="L2292" s="556"/>
      <c r="M2292" s="556"/>
      <c r="N2292" s="556"/>
      <c r="O2292" s="556"/>
      <c r="P2292" s="182">
        <f>VLOOKUP($B2292,dongia1,DG!F$5,)</f>
        <v>5200</v>
      </c>
      <c r="Q2292" s="182">
        <f>VLOOKUP($B2292,dongia1,DG!G$5,)</f>
        <v>0</v>
      </c>
      <c r="R2292" s="182">
        <f>VLOOKUP($B2292,dongia1,DG!H$5,)</f>
        <v>0</v>
      </c>
      <c r="S2292" s="113">
        <f t="shared" ref="S2292:S2298" si="949">$G2292*P2292</f>
        <v>0</v>
      </c>
      <c r="T2292" s="113">
        <f t="shared" ref="T2292:T2298" si="950">$G2292*Q2292</f>
        <v>0</v>
      </c>
      <c r="U2292" s="557">
        <f t="shared" ref="U2292:U2298" si="951">$G2292*R2292</f>
        <v>0</v>
      </c>
    </row>
    <row r="2293" spans="1:21" s="552" customFormat="1" ht="15" customHeight="1">
      <c r="A2293" s="621"/>
      <c r="B2293" s="622" t="s">
        <v>1112</v>
      </c>
      <c r="C2293" s="697" t="str">
        <f t="shared" si="948"/>
        <v xml:space="preserve"> </v>
      </c>
      <c r="D2293" s="553"/>
      <c r="E2293" s="694" t="str">
        <f>VLOOKUP($B2293,dongia1,DG!$C$5,)</f>
        <v>Bảng nhựa gắn tủ điện kế điện tử</v>
      </c>
      <c r="F2293" s="555" t="str">
        <f>VLOOKUP($B2293,dongia1,DG!$D$5,)</f>
        <v>cái</v>
      </c>
      <c r="G2293" s="755">
        <f>G2276*2*0</f>
        <v>0</v>
      </c>
      <c r="H2293" s="556">
        <f t="shared" si="943"/>
        <v>0</v>
      </c>
      <c r="I2293" s="556"/>
      <c r="J2293" s="556"/>
      <c r="K2293" s="556">
        <f t="shared" si="944"/>
        <v>0</v>
      </c>
      <c r="L2293" s="556"/>
      <c r="M2293" s="556"/>
      <c r="N2293" s="556"/>
      <c r="O2293" s="556"/>
      <c r="P2293" s="182">
        <f>VLOOKUP($B2293,dongia1,DG!F$5,)</f>
        <v>30000</v>
      </c>
      <c r="Q2293" s="182">
        <f>VLOOKUP($B2293,dongia1,DG!G$5,)</f>
        <v>0</v>
      </c>
      <c r="R2293" s="182">
        <f>VLOOKUP($B2293,dongia1,DG!H$5,)</f>
        <v>0</v>
      </c>
      <c r="S2293" s="113">
        <f t="shared" si="949"/>
        <v>0</v>
      </c>
      <c r="T2293" s="113">
        <f t="shared" si="950"/>
        <v>0</v>
      </c>
      <c r="U2293" s="557">
        <f t="shared" si="951"/>
        <v>0</v>
      </c>
    </row>
    <row r="2294" spans="1:21" s="552" customFormat="1" ht="15" customHeight="1">
      <c r="A2294" s="621"/>
      <c r="B2294" s="622" t="s">
        <v>1825</v>
      </c>
      <c r="C2294" s="697" t="str">
        <f t="shared" si="948"/>
        <v xml:space="preserve"> </v>
      </c>
      <c r="D2294" s="553"/>
      <c r="E2294" s="694" t="str">
        <f>VLOOKUP($B2294,dongia1,DG!$C$5,)</f>
        <v>Thùng điện kế 450x300x200mm đo đếm trung thế</v>
      </c>
      <c r="F2294" s="555" t="str">
        <f>VLOOKUP($B2294,dongia1,DG!$D$5,)</f>
        <v>cái</v>
      </c>
      <c r="G2294" s="755">
        <f>G2276</f>
        <v>0</v>
      </c>
      <c r="H2294" s="556">
        <f t="shared" si="943"/>
        <v>0</v>
      </c>
      <c r="I2294" s="556"/>
      <c r="J2294" s="556"/>
      <c r="K2294" s="556">
        <f t="shared" si="944"/>
        <v>0</v>
      </c>
      <c r="L2294" s="556"/>
      <c r="M2294" s="556"/>
      <c r="N2294" s="556"/>
      <c r="O2294" s="556"/>
      <c r="P2294" s="182">
        <f>VLOOKUP($B2294,dongia1,DG!F$5,)</f>
        <v>845331</v>
      </c>
      <c r="Q2294" s="182">
        <f>VLOOKUP($B2294,dongia1,DG!G$5,)</f>
        <v>599038</v>
      </c>
      <c r="R2294" s="182">
        <f>VLOOKUP($B2294,dongia1,DG!H$5,)</f>
        <v>97369</v>
      </c>
      <c r="S2294" s="113">
        <f t="shared" si="949"/>
        <v>0</v>
      </c>
      <c r="T2294" s="113">
        <f t="shared" si="950"/>
        <v>0</v>
      </c>
      <c r="U2294" s="557">
        <f t="shared" si="951"/>
        <v>0</v>
      </c>
    </row>
    <row r="2295" spans="1:21" s="552" customFormat="1" ht="15" customHeight="1">
      <c r="A2295" s="621"/>
      <c r="B2295" s="622" t="s">
        <v>127</v>
      </c>
      <c r="C2295" s="697" t="str">
        <f t="shared" si="948"/>
        <v xml:space="preserve"> </v>
      </c>
      <c r="D2295" s="553"/>
      <c r="E2295" s="694" t="str">
        <f>VLOOKUP($B2295,dongia1,DG!$C$5,)</f>
        <v>Cổ dê CDĐKĐT D320/6x60( bắt thùng)</v>
      </c>
      <c r="F2295" s="555" t="str">
        <f>VLOOKUP($B2295,dongia1,DG!$D$5,)</f>
        <v>bộ</v>
      </c>
      <c r="G2295" s="755">
        <f>G2294*2</f>
        <v>0</v>
      </c>
      <c r="H2295" s="556">
        <f t="shared" si="943"/>
        <v>0</v>
      </c>
      <c r="I2295" s="556"/>
      <c r="J2295" s="556"/>
      <c r="K2295" s="556">
        <f t="shared" si="944"/>
        <v>0</v>
      </c>
      <c r="L2295" s="556"/>
      <c r="M2295" s="556"/>
      <c r="N2295" s="556"/>
      <c r="O2295" s="556"/>
      <c r="P2295" s="182">
        <f>VLOOKUP($B2295,dongia1,DG!F$5,)</f>
        <v>168000</v>
      </c>
      <c r="Q2295" s="182">
        <f>VLOOKUP($B2295,dongia1,DG!G$5,)</f>
        <v>0</v>
      </c>
      <c r="R2295" s="182">
        <f>VLOOKUP($B2295,dongia1,DG!H$5,)</f>
        <v>0</v>
      </c>
      <c r="S2295" s="113">
        <f>$G2295*P2295</f>
        <v>0</v>
      </c>
      <c r="T2295" s="113">
        <f>$G2295*Q2295</f>
        <v>0</v>
      </c>
      <c r="U2295" s="557">
        <f>$G2295*R2295</f>
        <v>0</v>
      </c>
    </row>
    <row r="2296" spans="1:21" s="552" customFormat="1" ht="15" customHeight="1">
      <c r="A2296" s="621"/>
      <c r="B2296" s="622" t="s">
        <v>1690</v>
      </c>
      <c r="C2296" s="697" t="str">
        <f t="shared" si="948"/>
        <v xml:space="preserve"> </v>
      </c>
      <c r="D2296" s="553"/>
      <c r="E2296" s="694" t="str">
        <f>VLOOKUP($B2296,dongia1,DG!$C$5,)</f>
        <v>Keo silicon bít miệng ống</v>
      </c>
      <c r="F2296" s="555" t="str">
        <f>VLOOKUP($B2296,dongia1,DG!$D$5,)</f>
        <v>chai</v>
      </c>
      <c r="G2296" s="755">
        <f>G2276*4</f>
        <v>0</v>
      </c>
      <c r="H2296" s="556">
        <f t="shared" si="943"/>
        <v>0</v>
      </c>
      <c r="I2296" s="556"/>
      <c r="J2296" s="556"/>
      <c r="K2296" s="556">
        <f t="shared" si="944"/>
        <v>0</v>
      </c>
      <c r="L2296" s="556"/>
      <c r="M2296" s="556"/>
      <c r="N2296" s="556"/>
      <c r="O2296" s="556"/>
      <c r="P2296" s="182">
        <f>VLOOKUP($B2296,dongia1,DG!F$5,)</f>
        <v>45000</v>
      </c>
      <c r="Q2296" s="182">
        <f>VLOOKUP($B2296,dongia1,DG!G$5,)</f>
        <v>0</v>
      </c>
      <c r="R2296" s="182">
        <f>VLOOKUP($B2296,dongia1,DG!H$5,)</f>
        <v>0</v>
      </c>
      <c r="S2296" s="113">
        <f t="shared" si="949"/>
        <v>0</v>
      </c>
      <c r="T2296" s="113">
        <f t="shared" si="950"/>
        <v>0</v>
      </c>
      <c r="U2296" s="557">
        <f t="shared" si="951"/>
        <v>0</v>
      </c>
    </row>
    <row r="2297" spans="1:21" s="552" customFormat="1" ht="15" customHeight="1">
      <c r="A2297" s="621"/>
      <c r="B2297" s="622" t="s">
        <v>1735</v>
      </c>
      <c r="C2297" s="697" t="str">
        <f t="shared" si="948"/>
        <v xml:space="preserve"> </v>
      </c>
      <c r="D2297" s="553"/>
      <c r="E2297" s="694" t="str">
        <f>VLOOKUP($B2297,dongia1,DG!$C$5,)</f>
        <v>Dây đồng trần mềm dẹt</v>
      </c>
      <c r="F2297" s="555" t="str">
        <f>VLOOKUP($B2297,dongia1,DG!$D$5,)</f>
        <v>mét</v>
      </c>
      <c r="G2297" s="755"/>
      <c r="H2297" s="556">
        <f t="shared" si="943"/>
        <v>0</v>
      </c>
      <c r="I2297" s="556"/>
      <c r="J2297" s="556"/>
      <c r="K2297" s="556">
        <f t="shared" si="944"/>
        <v>0</v>
      </c>
      <c r="L2297" s="556"/>
      <c r="M2297" s="556"/>
      <c r="N2297" s="556"/>
      <c r="O2297" s="556"/>
      <c r="P2297" s="182">
        <f>VLOOKUP($B2297,dongia1,DG!F$5,)</f>
        <v>5000</v>
      </c>
      <c r="Q2297" s="182">
        <f>VLOOKUP($B2297,dongia1,DG!G$5,)</f>
        <v>0</v>
      </c>
      <c r="R2297" s="182">
        <f>VLOOKUP($B2297,dongia1,DG!H$5,)</f>
        <v>0</v>
      </c>
      <c r="S2297" s="113">
        <f t="shared" si="949"/>
        <v>0</v>
      </c>
      <c r="T2297" s="113">
        <f t="shared" si="950"/>
        <v>0</v>
      </c>
      <c r="U2297" s="557">
        <f t="shared" si="951"/>
        <v>0</v>
      </c>
    </row>
    <row r="2298" spans="1:21" s="552" customFormat="1" ht="15" customHeight="1">
      <c r="A2298" s="621"/>
      <c r="B2298" s="622" t="s">
        <v>1515</v>
      </c>
      <c r="C2298" s="697" t="str">
        <f t="shared" si="948"/>
        <v xml:space="preserve"> </v>
      </c>
      <c r="D2298" s="553"/>
      <c r="E2298" s="694" t="str">
        <f>VLOOKUP($B2298,dongia1,DG!$C$5,)</f>
        <v>Boulon 12x150+ 2 long đền vuông D14-50x50x3/Zn</v>
      </c>
      <c r="F2298" s="555" t="str">
        <f>VLOOKUP($B2298,dongia1,DG!$D$5,)</f>
        <v>bộ</v>
      </c>
      <c r="G2298" s="755">
        <f>2*G2278*0</f>
        <v>0</v>
      </c>
      <c r="H2298" s="556">
        <f t="shared" si="943"/>
        <v>0</v>
      </c>
      <c r="I2298" s="556"/>
      <c r="J2298" s="556"/>
      <c r="K2298" s="556">
        <f t="shared" si="944"/>
        <v>0</v>
      </c>
      <c r="L2298" s="556"/>
      <c r="M2298" s="556"/>
      <c r="N2298" s="556"/>
      <c r="O2298" s="556"/>
      <c r="P2298" s="182">
        <f>VLOOKUP($B2298,dongia1,DG!F$5,)</f>
        <v>11500</v>
      </c>
      <c r="Q2298" s="182">
        <f>VLOOKUP($B2298,dongia1,DG!G$5,)</f>
        <v>0</v>
      </c>
      <c r="R2298" s="182">
        <f>VLOOKUP($B2298,dongia1,DG!H$5,)</f>
        <v>0</v>
      </c>
      <c r="S2298" s="113">
        <f t="shared" si="949"/>
        <v>0</v>
      </c>
      <c r="T2298" s="113">
        <f t="shared" si="950"/>
        <v>0</v>
      </c>
      <c r="U2298" s="557">
        <f t="shared" si="951"/>
        <v>0</v>
      </c>
    </row>
    <row r="2299" spans="1:21" s="552" customFormat="1" ht="15" customHeight="1">
      <c r="A2299" s="621"/>
      <c r="B2299" s="622" t="s">
        <v>518</v>
      </c>
      <c r="C2299" s="697" t="str">
        <f t="shared" si="948"/>
        <v xml:space="preserve"> </v>
      </c>
      <c r="D2299" s="553"/>
      <c r="E2299" s="694" t="str">
        <f>VLOOKUP($B2299,dongia1,DG!$C$5,)&amp;" : 2 thanh daøi 0,5m"</f>
        <v>Sắt góc L50 x50 x5 : 2 thanh daøi 0,5m</v>
      </c>
      <c r="F2299" s="555" t="str">
        <f>VLOOKUP($B2299,dongia1,DG!$D$5,)</f>
        <v>kg</v>
      </c>
      <c r="G2299" s="755">
        <f>3.77*G2276*0</f>
        <v>0</v>
      </c>
      <c r="H2299" s="556">
        <f t="shared" si="943"/>
        <v>0</v>
      </c>
      <c r="I2299" s="556"/>
      <c r="J2299" s="556"/>
      <c r="K2299" s="556">
        <f t="shared" si="944"/>
        <v>0</v>
      </c>
      <c r="L2299" s="556"/>
      <c r="M2299" s="556"/>
      <c r="N2299" s="556"/>
      <c r="O2299" s="556"/>
      <c r="P2299" s="182">
        <f>VLOOKUP($B2299,dongia1,DG!F$5,)</f>
        <v>31625</v>
      </c>
      <c r="Q2299" s="182">
        <f>VLOOKUP($B2299,dongia1,DG!G$5,)</f>
        <v>0</v>
      </c>
      <c r="R2299" s="182">
        <f>VLOOKUP($B2299,dongia1,DG!H$5,)</f>
        <v>0</v>
      </c>
      <c r="S2299" s="113">
        <f t="shared" ref="S2299:U2300" si="952">$G2299*P2299</f>
        <v>0</v>
      </c>
      <c r="T2299" s="113">
        <f t="shared" si="952"/>
        <v>0</v>
      </c>
      <c r="U2299" s="557">
        <f t="shared" si="952"/>
        <v>0</v>
      </c>
    </row>
    <row r="2300" spans="1:21" s="552" customFormat="1" ht="15" customHeight="1">
      <c r="A2300" s="621"/>
      <c r="B2300" s="622" t="s">
        <v>5792</v>
      </c>
      <c r="C2300" s="697" t="str">
        <f t="shared" si="948"/>
        <v xml:space="preserve"> </v>
      </c>
      <c r="D2300" s="553"/>
      <c r="E2300" s="694" t="str">
        <f>VLOOKUP($B2300,dongia1,DG!$C$5,)</f>
        <v>Boulon 12x50+ 2 long đền vuông D14-50x50x3/Zn</v>
      </c>
      <c r="F2300" s="555" t="str">
        <f>VLOOKUP($B2300,dongia1,DG!$D$5,)</f>
        <v>bộ</v>
      </c>
      <c r="G2300" s="755">
        <f>4*G2276*6</f>
        <v>0</v>
      </c>
      <c r="H2300" s="556">
        <f t="shared" si="943"/>
        <v>0</v>
      </c>
      <c r="I2300" s="556"/>
      <c r="J2300" s="556"/>
      <c r="K2300" s="556">
        <f t="shared" si="944"/>
        <v>0</v>
      </c>
      <c r="L2300" s="556"/>
      <c r="M2300" s="556"/>
      <c r="N2300" s="556"/>
      <c r="O2300" s="556"/>
      <c r="P2300" s="182">
        <f>VLOOKUP($B2300,dongia1,DG!F$5,)</f>
        <v>8700</v>
      </c>
      <c r="Q2300" s="182">
        <f>VLOOKUP($B2300,dongia1,DG!G$5,)</f>
        <v>0</v>
      </c>
      <c r="R2300" s="182">
        <f>VLOOKUP($B2300,dongia1,DG!H$5,)</f>
        <v>0</v>
      </c>
      <c r="S2300" s="113">
        <f t="shared" si="952"/>
        <v>0</v>
      </c>
      <c r="T2300" s="113">
        <f t="shared" si="952"/>
        <v>0</v>
      </c>
      <c r="U2300" s="557">
        <f t="shared" si="952"/>
        <v>0</v>
      </c>
    </row>
    <row r="2301" spans="1:21">
      <c r="A2301" s="630" t="s">
        <v>1773</v>
      </c>
      <c r="B2301" s="696"/>
      <c r="C2301" s="631" t="str">
        <f>IF(G2301=0,"x"," ")</f>
        <v xml:space="preserve"> </v>
      </c>
      <c r="D2301" s="850"/>
      <c r="E2301" s="851" t="s">
        <v>3682</v>
      </c>
      <c r="F2301" s="700"/>
      <c r="G2301" s="762">
        <f>IF(SUM(G2302:G2303)=0,1,0)</f>
        <v>1</v>
      </c>
      <c r="H2301" s="701"/>
      <c r="I2301" s="701"/>
      <c r="J2301" s="701"/>
      <c r="K2301" s="701"/>
      <c r="L2301" s="701"/>
      <c r="M2301" s="701"/>
      <c r="N2301" s="701"/>
      <c r="O2301" s="701"/>
      <c r="P2301" s="702"/>
      <c r="Q2301" s="702"/>
      <c r="R2301" s="702"/>
      <c r="S2301" s="909">
        <f>SUM(S2302:S2303)</f>
        <v>0</v>
      </c>
      <c r="T2301" s="909">
        <f>SUM(T2302:T2303)</f>
        <v>0</v>
      </c>
      <c r="U2301" s="910">
        <f>SUM(U2302:U2303)</f>
        <v>0</v>
      </c>
    </row>
    <row r="2302" spans="1:21">
      <c r="B2302" s="696" t="s">
        <v>1631</v>
      </c>
      <c r="C2302" s="697" t="str">
        <f>IF(G2302&lt;&gt;0,$C$2301," ")</f>
        <v xml:space="preserve"> </v>
      </c>
      <c r="D2302" s="698"/>
      <c r="E2302" s="699" t="str">
        <f>VLOOKUP($B2302,dongia1,DG!$C$5,)</f>
        <v>FCO 24kV - 100A</v>
      </c>
      <c r="F2302" s="700" t="str">
        <f>VLOOKUP($B2302,dongia1,DG!$D$5,)</f>
        <v>cái</v>
      </c>
      <c r="G2302" s="754">
        <f>pp1p!DJ86</f>
        <v>0</v>
      </c>
      <c r="H2302" s="701">
        <f>G2302</f>
        <v>0</v>
      </c>
      <c r="I2302" s="701"/>
      <c r="J2302" s="701"/>
      <c r="K2302" s="701"/>
      <c r="L2302" s="701">
        <f>G2302</f>
        <v>0</v>
      </c>
      <c r="M2302" s="701"/>
      <c r="N2302" s="701"/>
      <c r="O2302" s="701"/>
      <c r="P2302" s="702">
        <f>VLOOKUP($B2302,dongia1,DG!$E$5,)</f>
        <v>2244280</v>
      </c>
      <c r="Q2302" s="702">
        <f>VLOOKUP($B2302,dongia1,DG!$G$5,)</f>
        <v>222639.99999999997</v>
      </c>
      <c r="R2302" s="702">
        <f>VLOOKUP($B2302,dongia1,DG!H$5,)</f>
        <v>0</v>
      </c>
      <c r="S2302" s="702">
        <f t="shared" ref="S2302:U2303" si="953">$G2302*P2302</f>
        <v>0</v>
      </c>
      <c r="T2302" s="702">
        <f t="shared" si="953"/>
        <v>0</v>
      </c>
      <c r="U2302" s="704">
        <f t="shared" si="953"/>
        <v>0</v>
      </c>
    </row>
    <row r="2303" spans="1:21">
      <c r="B2303" s="696" t="s">
        <v>4894</v>
      </c>
      <c r="C2303" s="697" t="str">
        <f>IF(G2303&lt;&gt;0,$C$2301," ")</f>
        <v xml:space="preserve"> </v>
      </c>
      <c r="D2303" s="698"/>
      <c r="E2303" s="699" t="str">
        <f>VLOOKUP($B2303,dongia1,DG!$C$5,)</f>
        <v>Dây chảy 50K</v>
      </c>
      <c r="F2303" s="700" t="str">
        <f>VLOOKUP($B2303,dongia1,DG!$D$5,)</f>
        <v>Sợi</v>
      </c>
      <c r="G2303" s="754">
        <f>G2302</f>
        <v>0</v>
      </c>
      <c r="H2303" s="701">
        <f>G2303</f>
        <v>0</v>
      </c>
      <c r="I2303" s="701"/>
      <c r="J2303" s="701"/>
      <c r="K2303" s="701"/>
      <c r="L2303" s="701">
        <f>G2303</f>
        <v>0</v>
      </c>
      <c r="M2303" s="701"/>
      <c r="N2303" s="701"/>
      <c r="O2303" s="701"/>
      <c r="P2303" s="702">
        <f>VLOOKUP($B2303,dongia1,DG!$F$5,)</f>
        <v>132000</v>
      </c>
      <c r="Q2303" s="702">
        <f>VLOOKUP($B2303,dongia1,DG!$G$5,)</f>
        <v>0</v>
      </c>
      <c r="R2303" s="702">
        <f>VLOOKUP($B2303,dongia1,DG!H$5,)</f>
        <v>0</v>
      </c>
      <c r="S2303" s="702">
        <f t="shared" si="953"/>
        <v>0</v>
      </c>
      <c r="T2303" s="702">
        <f t="shared" si="953"/>
        <v>0</v>
      </c>
      <c r="U2303" s="704">
        <f t="shared" si="953"/>
        <v>0</v>
      </c>
    </row>
    <row r="2304" spans="1:21" s="552" customFormat="1" ht="15" customHeight="1">
      <c r="A2304" s="621" t="s">
        <v>1407</v>
      </c>
      <c r="B2304" s="622"/>
      <c r="C2304" s="558" t="str">
        <f>IF(G2304=0,"x"," ")</f>
        <v xml:space="preserve"> </v>
      </c>
      <c r="D2304" s="599"/>
      <c r="E2304" s="727" t="s">
        <v>3683</v>
      </c>
      <c r="F2304" s="555"/>
      <c r="G2304" s="205">
        <f>IF(SUM(G2305:G2308)=0,1,0)</f>
        <v>1</v>
      </c>
      <c r="H2304" s="556"/>
      <c r="I2304" s="556"/>
      <c r="J2304" s="556"/>
      <c r="K2304" s="556"/>
      <c r="L2304" s="556"/>
      <c r="M2304" s="556"/>
      <c r="N2304" s="556"/>
      <c r="O2304" s="556"/>
      <c r="P2304" s="554"/>
      <c r="Q2304" s="182"/>
      <c r="R2304" s="554"/>
      <c r="S2304" s="608">
        <f>SUM(S2305:S2308)</f>
        <v>0</v>
      </c>
      <c r="T2304" s="608">
        <f>SUM(T2305:T2308)</f>
        <v>0</v>
      </c>
      <c r="U2304" s="609">
        <f>SUM(U2307:U2308)</f>
        <v>0</v>
      </c>
    </row>
    <row r="2305" spans="1:21" s="552" customFormat="1" ht="15" customHeight="1">
      <c r="A2305" s="621"/>
      <c r="B2305" s="622" t="s">
        <v>1408</v>
      </c>
      <c r="C2305" s="633" t="str">
        <f>IF(G2305&lt;&gt;0,$C$2301," ")</f>
        <v xml:space="preserve"> </v>
      </c>
      <c r="D2305" s="553"/>
      <c r="E2305" s="694" t="str">
        <f>VLOOKUP($B2305,dongia1,DG!$C$5,)</f>
        <v>Điện năng kế 3 pha 380V-5A</v>
      </c>
      <c r="F2305" s="555" t="str">
        <f>VLOOKUP($B2305,dongia1,DG!$D$5,)</f>
        <v>cái</v>
      </c>
      <c r="G2305" s="560"/>
      <c r="H2305" s="556">
        <f>G2305</f>
        <v>0</v>
      </c>
      <c r="I2305" s="556"/>
      <c r="J2305" s="556"/>
      <c r="K2305" s="556"/>
      <c r="L2305" s="556">
        <f>G2305</f>
        <v>0</v>
      </c>
      <c r="M2305" s="556"/>
      <c r="N2305" s="556"/>
      <c r="O2305" s="556"/>
      <c r="P2305" s="182">
        <f>VLOOKUP($B2305,dongia1,DG!$E$5,)</f>
        <v>0</v>
      </c>
      <c r="Q2305" s="182">
        <f>VLOOKUP($B2305,dongia1,DG!$G$5,)</f>
        <v>0</v>
      </c>
      <c r="R2305" s="182">
        <f>VLOOKUP($B2305,dongia1,DG!H$5,)</f>
        <v>0</v>
      </c>
      <c r="S2305" s="113">
        <f t="shared" ref="S2305:U2306" si="954">$G2305*P2305</f>
        <v>0</v>
      </c>
      <c r="T2305" s="113">
        <f t="shared" si="954"/>
        <v>0</v>
      </c>
      <c r="U2305" s="557">
        <f t="shared" si="954"/>
        <v>0</v>
      </c>
    </row>
    <row r="2306" spans="1:21" s="552" customFormat="1" ht="15" customHeight="1">
      <c r="A2306" s="621"/>
      <c r="B2306" s="622" t="s">
        <v>1374</v>
      </c>
      <c r="C2306" s="633" t="str">
        <f>IF(G2306&lt;&gt;0,$C$2301," ")</f>
        <v xml:space="preserve"> </v>
      </c>
      <c r="D2306" s="553"/>
      <c r="E2306" s="694" t="str">
        <f>VLOOKUP($B2306,dongia1,DG!$C$5,)</f>
        <v>Biến dòng 600V - 100/5A</v>
      </c>
      <c r="F2306" s="555" t="str">
        <f>VLOOKUP($B2306,dongia1,DG!$D$5,)</f>
        <v>cái</v>
      </c>
      <c r="G2306" s="560"/>
      <c r="H2306" s="556">
        <f>G2306</f>
        <v>0</v>
      </c>
      <c r="I2306" s="556"/>
      <c r="J2306" s="556"/>
      <c r="K2306" s="556"/>
      <c r="L2306" s="556">
        <f>G2306</f>
        <v>0</v>
      </c>
      <c r="M2306" s="556"/>
      <c r="N2306" s="556"/>
      <c r="O2306" s="556"/>
      <c r="P2306" s="182">
        <f>VLOOKUP($B2306,dongia1,DG!$E$5,)</f>
        <v>0</v>
      </c>
      <c r="Q2306" s="182">
        <f>VLOOKUP($B2306,dongia1,DG!$G$5,)</f>
        <v>0</v>
      </c>
      <c r="R2306" s="182">
        <f>VLOOKUP($B2306,dongia1,DG!H$5,)</f>
        <v>0</v>
      </c>
      <c r="S2306" s="113">
        <f t="shared" si="954"/>
        <v>0</v>
      </c>
      <c r="T2306" s="113">
        <f t="shared" si="954"/>
        <v>0</v>
      </c>
      <c r="U2306" s="557">
        <f t="shared" si="954"/>
        <v>0</v>
      </c>
    </row>
    <row r="2307" spans="1:21" s="552" customFormat="1" ht="15" customHeight="1">
      <c r="A2307" s="621"/>
      <c r="B2307" s="622" t="s">
        <v>664</v>
      </c>
      <c r="C2307" s="633" t="str">
        <f>IF(G2307&lt;&gt;0,$C$2301," ")</f>
        <v xml:space="preserve"> </v>
      </c>
      <c r="D2307" s="553"/>
      <c r="E2307" s="694" t="str">
        <f>VLOOKUP($B2307,dongia1,DG!$C$5,)</f>
        <v>MCCB 3 cực 400V-100A - 30KA</v>
      </c>
      <c r="F2307" s="555" t="str">
        <f>VLOOKUP($B2307,dongia1,DG!$D$5,)</f>
        <v>cái</v>
      </c>
      <c r="G2307" s="560"/>
      <c r="H2307" s="556">
        <f>G2307</f>
        <v>0</v>
      </c>
      <c r="I2307" s="556"/>
      <c r="J2307" s="556"/>
      <c r="K2307" s="556"/>
      <c r="L2307" s="556">
        <f>G2307</f>
        <v>0</v>
      </c>
      <c r="M2307" s="556"/>
      <c r="N2307" s="556"/>
      <c r="O2307" s="556"/>
      <c r="P2307" s="182">
        <f>VLOOKUP($B2307,dongia1,DG!$F$5,)</f>
        <v>0</v>
      </c>
      <c r="Q2307" s="182">
        <f>VLOOKUP($B2307,dongia1,DG!$G$5,)</f>
        <v>0</v>
      </c>
      <c r="R2307" s="182">
        <f>VLOOKUP($B2307,dongia1,DG!H$5,)</f>
        <v>0</v>
      </c>
      <c r="S2307" s="113">
        <f t="shared" ref="S2307:U2308" si="955">$G2307*P2307</f>
        <v>0</v>
      </c>
      <c r="T2307" s="113">
        <f t="shared" si="955"/>
        <v>0</v>
      </c>
      <c r="U2307" s="557">
        <f t="shared" si="955"/>
        <v>0</v>
      </c>
    </row>
    <row r="2308" spans="1:21" s="552" customFormat="1" ht="15" customHeight="1">
      <c r="A2308" s="621"/>
      <c r="B2308" s="622" t="s">
        <v>1798</v>
      </c>
      <c r="C2308" s="633" t="str">
        <f>IF(G2308&lt;&gt;0,$C$2301," ")</f>
        <v xml:space="preserve"> </v>
      </c>
      <c r="D2308" s="553"/>
      <c r="E2308" s="694" t="str">
        <f>VLOOKUP($B2308,dongia1,DG!$C$5,)</f>
        <v>Contactor 3P-50A</v>
      </c>
      <c r="F2308" s="555" t="str">
        <f>VLOOKUP($B2308,dongia1,DG!$D$5,)</f>
        <v>cái</v>
      </c>
      <c r="G2308" s="560"/>
      <c r="H2308" s="556">
        <f>G2308</f>
        <v>0</v>
      </c>
      <c r="I2308" s="556"/>
      <c r="J2308" s="556"/>
      <c r="K2308" s="556"/>
      <c r="L2308" s="556">
        <f>G2308</f>
        <v>0</v>
      </c>
      <c r="M2308" s="556"/>
      <c r="N2308" s="556"/>
      <c r="O2308" s="556"/>
      <c r="P2308" s="182">
        <f>VLOOKUP($B2308,dongia1,DG!$E$5,)</f>
        <v>796000</v>
      </c>
      <c r="Q2308" s="182">
        <f>VLOOKUP($B2308,dongia1,DG!$G$5,)</f>
        <v>246612</v>
      </c>
      <c r="R2308" s="182">
        <f>VLOOKUP($B2308,dongia1,DG!H$5,)</f>
        <v>0</v>
      </c>
      <c r="S2308" s="113">
        <f t="shared" si="955"/>
        <v>0</v>
      </c>
      <c r="T2308" s="113">
        <f t="shared" si="955"/>
        <v>0</v>
      </c>
      <c r="U2308" s="557">
        <f t="shared" si="955"/>
        <v>0</v>
      </c>
    </row>
    <row r="2309" spans="1:21" s="552" customFormat="1" ht="15" customHeight="1">
      <c r="A2309" s="621" t="s">
        <v>963</v>
      </c>
      <c r="B2309" s="622"/>
      <c r="C2309" s="558" t="str">
        <f>IF(H2309&lt;&gt;0,"x"," ")</f>
        <v xml:space="preserve"> </v>
      </c>
      <c r="D2309" s="599"/>
      <c r="E2309" s="727" t="s">
        <v>3684</v>
      </c>
      <c r="F2309" s="555"/>
      <c r="G2309" s="205"/>
      <c r="H2309" s="556"/>
      <c r="I2309" s="556"/>
      <c r="J2309" s="556"/>
      <c r="K2309" s="556"/>
      <c r="L2309" s="556"/>
      <c r="M2309" s="556"/>
      <c r="N2309" s="556"/>
      <c r="O2309" s="556"/>
      <c r="P2309" s="182"/>
      <c r="Q2309" s="182"/>
      <c r="R2309" s="182"/>
      <c r="S2309" s="608"/>
      <c r="T2309" s="608"/>
      <c r="U2309" s="609"/>
    </row>
    <row r="2310" spans="1:21" s="552" customFormat="1" ht="15" customHeight="1">
      <c r="A2310" s="621" t="s">
        <v>964</v>
      </c>
      <c r="B2310" s="622"/>
      <c r="C2310" s="558" t="str">
        <f>C2309</f>
        <v xml:space="preserve"> </v>
      </c>
      <c r="D2310" s="599"/>
      <c r="E2310" s="727" t="s">
        <v>3685</v>
      </c>
      <c r="F2310" s="555" t="s">
        <v>2298</v>
      </c>
      <c r="G2310" s="205"/>
      <c r="H2310" s="556"/>
      <c r="I2310" s="556"/>
      <c r="J2310" s="556"/>
      <c r="K2310" s="556"/>
      <c r="L2310" s="556"/>
      <c r="M2310" s="556"/>
      <c r="N2310" s="556"/>
      <c r="O2310" s="556"/>
      <c r="P2310" s="182"/>
      <c r="Q2310" s="182"/>
      <c r="R2310" s="182"/>
      <c r="S2310" s="608">
        <f>SUM(S2311:S2323)</f>
        <v>0</v>
      </c>
      <c r="T2310" s="608">
        <f>SUM(T2311:T2323)</f>
        <v>0</v>
      </c>
      <c r="U2310" s="609">
        <f>SUM(U2311:U2323)</f>
        <v>0</v>
      </c>
    </row>
    <row r="2311" spans="1:21" s="552" customFormat="1" ht="15" customHeight="1">
      <c r="A2311" s="621"/>
      <c r="B2311" s="622" t="s">
        <v>62</v>
      </c>
      <c r="C2311" s="558" t="str">
        <f>C2310</f>
        <v xml:space="preserve"> </v>
      </c>
      <c r="D2311" s="553"/>
      <c r="E2311" s="694" t="str">
        <f>VLOOKUP($B2311,dongia1,DG!$C$5,)</f>
        <v>Sắt   Þ10</v>
      </c>
      <c r="F2311" s="555" t="str">
        <f>VLOOKUP($B2311,dongia1,DG!$D$5,)</f>
        <v>kg</v>
      </c>
      <c r="G2311" s="205">
        <f>+G2310*3.2</f>
        <v>0</v>
      </c>
      <c r="H2311" s="556">
        <f>IF($H$2309&lt;&gt;0,G2311,)</f>
        <v>0</v>
      </c>
      <c r="I2311" s="556">
        <f t="shared" ref="I2311:I2320" si="956">$I$2309*G2311</f>
        <v>0</v>
      </c>
      <c r="J2311" s="556">
        <f>$J$2309*G2311</f>
        <v>0</v>
      </c>
      <c r="K2311" s="556">
        <f>$K$2309*G2311</f>
        <v>0</v>
      </c>
      <c r="L2311" s="556">
        <f t="shared" ref="L2311:L2320" si="957">$K$2309*H2311</f>
        <v>0</v>
      </c>
      <c r="M2311" s="556"/>
      <c r="N2311" s="556"/>
      <c r="O2311" s="556"/>
      <c r="P2311" s="182">
        <f>VLOOKUP($B2311,dongia1,DG!$F$5,)</f>
        <v>13300</v>
      </c>
      <c r="Q2311" s="182">
        <f>VLOOKUP($B2311,dongia1,DG!$G$5,)</f>
        <v>0</v>
      </c>
      <c r="R2311" s="182"/>
      <c r="S2311" s="113">
        <f t="shared" ref="S2311:S2323" si="958">$G2311*P2311</f>
        <v>0</v>
      </c>
      <c r="T2311" s="113">
        <f t="shared" ref="T2311:T2323" si="959">$G2311*Q2311</f>
        <v>0</v>
      </c>
      <c r="U2311" s="557">
        <f t="shared" ref="U2311:U2323" si="960">$G2311*R2311</f>
        <v>0</v>
      </c>
    </row>
    <row r="2312" spans="1:21" s="552" customFormat="1" ht="15" customHeight="1">
      <c r="A2312" s="621"/>
      <c r="B2312" s="622" t="s">
        <v>1858</v>
      </c>
      <c r="C2312" s="558" t="str">
        <f t="shared" ref="C2312:C2323" si="961">C2311</f>
        <v xml:space="preserve"> </v>
      </c>
      <c r="D2312" s="553"/>
      <c r="E2312" s="694" t="str">
        <f>VLOOKUP($B2312,dongia1,DG!$C$5,)</f>
        <v>Sắt   Þ12</v>
      </c>
      <c r="F2312" s="555" t="str">
        <f>VLOOKUP($B2312,dongia1,DG!$D$5,)</f>
        <v>kg</v>
      </c>
      <c r="G2312" s="205"/>
      <c r="H2312" s="556">
        <f t="shared" ref="H2312:H2323" si="962">IF($H$2309&lt;&gt;0,G2312,)</f>
        <v>0</v>
      </c>
      <c r="I2312" s="556">
        <f t="shared" si="956"/>
        <v>0</v>
      </c>
      <c r="J2312" s="556">
        <f t="shared" ref="J2312:J2320" si="963">$J$2309*G2312</f>
        <v>0</v>
      </c>
      <c r="K2312" s="556">
        <f t="shared" ref="K2312:K2320" si="964">$K$2309*G2312</f>
        <v>0</v>
      </c>
      <c r="L2312" s="556">
        <f t="shared" si="957"/>
        <v>0</v>
      </c>
      <c r="M2312" s="556"/>
      <c r="N2312" s="556"/>
      <c r="O2312" s="556"/>
      <c r="P2312" s="182">
        <f>VLOOKUP($B2312,dongia1,DG!$F$5,)</f>
        <v>13200</v>
      </c>
      <c r="Q2312" s="182">
        <f>VLOOKUP($B2312,dongia1,DG!$G$5,)</f>
        <v>0</v>
      </c>
      <c r="R2312" s="182"/>
      <c r="S2312" s="113">
        <f t="shared" si="958"/>
        <v>0</v>
      </c>
      <c r="T2312" s="113">
        <f t="shared" si="959"/>
        <v>0</v>
      </c>
      <c r="U2312" s="557">
        <f t="shared" si="960"/>
        <v>0</v>
      </c>
    </row>
    <row r="2313" spans="1:21" s="552" customFormat="1" ht="15" customHeight="1">
      <c r="A2313" s="621"/>
      <c r="B2313" s="622" t="s">
        <v>266</v>
      </c>
      <c r="C2313" s="558" t="str">
        <f t="shared" si="961"/>
        <v xml:space="preserve"> </v>
      </c>
      <c r="D2313" s="553"/>
      <c r="E2313" s="694" t="str">
        <f>VLOOKUP($B2313,dongia1,DG!$C$5,)</f>
        <v>Thép tấm 6mm</v>
      </c>
      <c r="F2313" s="555" t="str">
        <f>VLOOKUP($B2313,dongia1,DG!$D$5,)</f>
        <v>kg</v>
      </c>
      <c r="G2313" s="205">
        <f>+G2310*2.92</f>
        <v>0</v>
      </c>
      <c r="H2313" s="556">
        <f t="shared" si="962"/>
        <v>0</v>
      </c>
      <c r="I2313" s="556">
        <f t="shared" si="956"/>
        <v>0</v>
      </c>
      <c r="J2313" s="556">
        <f t="shared" si="963"/>
        <v>0</v>
      </c>
      <c r="K2313" s="556">
        <f t="shared" si="964"/>
        <v>0</v>
      </c>
      <c r="L2313" s="556">
        <f t="shared" si="957"/>
        <v>0</v>
      </c>
      <c r="M2313" s="556"/>
      <c r="N2313" s="556"/>
      <c r="O2313" s="556"/>
      <c r="P2313" s="182">
        <f>VLOOKUP($B2313,dongia1,DG!$F$5,)</f>
        <v>31625</v>
      </c>
      <c r="Q2313" s="182">
        <f>VLOOKUP($B2313,dongia1,DG!$G$5,)</f>
        <v>0</v>
      </c>
      <c r="R2313" s="182"/>
      <c r="S2313" s="113">
        <f t="shared" si="958"/>
        <v>0</v>
      </c>
      <c r="T2313" s="113">
        <f t="shared" si="959"/>
        <v>0</v>
      </c>
      <c r="U2313" s="557">
        <f t="shared" si="960"/>
        <v>0</v>
      </c>
    </row>
    <row r="2314" spans="1:21" s="552" customFormat="1" ht="15" customHeight="1">
      <c r="A2314" s="621"/>
      <c r="B2314" s="622" t="s">
        <v>652</v>
      </c>
      <c r="C2314" s="558" t="str">
        <f t="shared" si="961"/>
        <v xml:space="preserve"> </v>
      </c>
      <c r="D2314" s="553"/>
      <c r="E2314" s="694" t="str">
        <f>VLOOKUP($B2314,dongia1,DG!$C$5,)</f>
        <v>Boulon 12x50+ 2 long đền vuông D14-50x50x3/Zn</v>
      </c>
      <c r="F2314" s="555" t="str">
        <f>VLOOKUP($B2314,dongia1,DG!$D$5,)</f>
        <v>bộ</v>
      </c>
      <c r="G2314" s="205">
        <f>+G2310*4</f>
        <v>0</v>
      </c>
      <c r="H2314" s="556">
        <f t="shared" si="962"/>
        <v>0</v>
      </c>
      <c r="I2314" s="556">
        <f t="shared" si="956"/>
        <v>0</v>
      </c>
      <c r="J2314" s="556">
        <f t="shared" si="963"/>
        <v>0</v>
      </c>
      <c r="K2314" s="556">
        <f t="shared" si="964"/>
        <v>0</v>
      </c>
      <c r="L2314" s="556">
        <f t="shared" si="957"/>
        <v>0</v>
      </c>
      <c r="M2314" s="556"/>
      <c r="N2314" s="556"/>
      <c r="O2314" s="556"/>
      <c r="P2314" s="182">
        <f>VLOOKUP($B2314,dongia1,DG!$F$5,)</f>
        <v>8700</v>
      </c>
      <c r="Q2314" s="182">
        <f>VLOOKUP($B2314,dongia1,DG!$G$5,)</f>
        <v>0</v>
      </c>
      <c r="R2314" s="182"/>
      <c r="S2314" s="113">
        <f t="shared" si="958"/>
        <v>0</v>
      </c>
      <c r="T2314" s="113">
        <f t="shared" si="959"/>
        <v>0</v>
      </c>
      <c r="U2314" s="557">
        <f t="shared" si="960"/>
        <v>0</v>
      </c>
    </row>
    <row r="2315" spans="1:21" s="552" customFormat="1" ht="15" customHeight="1">
      <c r="A2315" s="621"/>
      <c r="B2315" s="622" t="s">
        <v>653</v>
      </c>
      <c r="C2315" s="558" t="str">
        <f t="shared" si="961"/>
        <v xml:space="preserve"> </v>
      </c>
      <c r="D2315" s="553"/>
      <c r="E2315" s="694" t="str">
        <f>VLOOKUP($B2315,dongia1,DG!$C$5,)</f>
        <v>Que hàn điện</v>
      </c>
      <c r="F2315" s="555" t="str">
        <f>VLOOKUP($B2315,dongia1,DG!$D$5,)</f>
        <v>kg</v>
      </c>
      <c r="G2315" s="205">
        <f>+G2310*2.5</f>
        <v>0</v>
      </c>
      <c r="H2315" s="556">
        <f t="shared" si="962"/>
        <v>0</v>
      </c>
      <c r="I2315" s="556">
        <f t="shared" si="956"/>
        <v>0</v>
      </c>
      <c r="J2315" s="556">
        <f t="shared" si="963"/>
        <v>0</v>
      </c>
      <c r="K2315" s="556">
        <f t="shared" si="964"/>
        <v>0</v>
      </c>
      <c r="L2315" s="556">
        <f t="shared" si="957"/>
        <v>0</v>
      </c>
      <c r="M2315" s="556"/>
      <c r="N2315" s="556"/>
      <c r="O2315" s="556"/>
      <c r="P2315" s="182">
        <f>VLOOKUP($B2315,dongia1,DG!$F$5,)</f>
        <v>7000</v>
      </c>
      <c r="Q2315" s="182">
        <f>VLOOKUP($B2315,dongia1,DG!$G$5,)</f>
        <v>0</v>
      </c>
      <c r="R2315" s="182"/>
      <c r="S2315" s="113">
        <f t="shared" si="958"/>
        <v>0</v>
      </c>
      <c r="T2315" s="113">
        <f t="shared" si="959"/>
        <v>0</v>
      </c>
      <c r="U2315" s="557">
        <f t="shared" si="960"/>
        <v>0</v>
      </c>
    </row>
    <row r="2316" spans="1:21" s="552" customFormat="1" ht="15" customHeight="1">
      <c r="A2316" s="621"/>
      <c r="B2316" s="622" t="s">
        <v>654</v>
      </c>
      <c r="C2316" s="558" t="str">
        <f t="shared" si="961"/>
        <v xml:space="preserve"> </v>
      </c>
      <c r="D2316" s="553"/>
      <c r="E2316" s="694" t="str">
        <f>VLOOKUP($B2316,dongia1,DG!$C$5,)</f>
        <v>Sơn chống rỉ</v>
      </c>
      <c r="F2316" s="555" t="str">
        <f>VLOOKUP($B2316,dongia1,DG!$D$5,)</f>
        <v>kg</v>
      </c>
      <c r="G2316" s="205">
        <f>+G2310*1.5</f>
        <v>0</v>
      </c>
      <c r="H2316" s="556">
        <f t="shared" si="962"/>
        <v>0</v>
      </c>
      <c r="I2316" s="556">
        <f t="shared" si="956"/>
        <v>0</v>
      </c>
      <c r="J2316" s="556">
        <f t="shared" si="963"/>
        <v>0</v>
      </c>
      <c r="K2316" s="556">
        <f t="shared" si="964"/>
        <v>0</v>
      </c>
      <c r="L2316" s="556">
        <f t="shared" si="957"/>
        <v>0</v>
      </c>
      <c r="M2316" s="556"/>
      <c r="N2316" s="556"/>
      <c r="O2316" s="556"/>
      <c r="P2316" s="182">
        <f>VLOOKUP($B2316,dongia1,DG!$F$5,)</f>
        <v>27400</v>
      </c>
      <c r="Q2316" s="182">
        <f>VLOOKUP($B2316,dongia1,DG!$G$5,)</f>
        <v>0</v>
      </c>
      <c r="R2316" s="182"/>
      <c r="S2316" s="113">
        <f t="shared" si="958"/>
        <v>0</v>
      </c>
      <c r="T2316" s="113">
        <f t="shared" si="959"/>
        <v>0</v>
      </c>
      <c r="U2316" s="557">
        <f t="shared" si="960"/>
        <v>0</v>
      </c>
    </row>
    <row r="2317" spans="1:21" s="552" customFormat="1" ht="15" customHeight="1">
      <c r="A2317" s="621"/>
      <c r="B2317" s="622" t="s">
        <v>655</v>
      </c>
      <c r="C2317" s="558" t="str">
        <f t="shared" si="961"/>
        <v xml:space="preserve"> </v>
      </c>
      <c r="D2317" s="553"/>
      <c r="E2317" s="694" t="str">
        <f>VLOOKUP($B2317,dongia1,DG!$C$5,)</f>
        <v>Sơn màu</v>
      </c>
      <c r="F2317" s="555" t="str">
        <f>VLOOKUP($B2317,dongia1,DG!$D$5,)</f>
        <v>kg</v>
      </c>
      <c r="G2317" s="205">
        <f>+G2310*1</f>
        <v>0</v>
      </c>
      <c r="H2317" s="556">
        <f>IF($H$2309&lt;&gt;0,G2317,)</f>
        <v>0</v>
      </c>
      <c r="I2317" s="556">
        <f t="shared" si="956"/>
        <v>0</v>
      </c>
      <c r="J2317" s="556">
        <f t="shared" si="963"/>
        <v>0</v>
      </c>
      <c r="K2317" s="556">
        <f t="shared" si="964"/>
        <v>0</v>
      </c>
      <c r="L2317" s="556">
        <f t="shared" si="957"/>
        <v>0</v>
      </c>
      <c r="M2317" s="556"/>
      <c r="N2317" s="556"/>
      <c r="O2317" s="556"/>
      <c r="P2317" s="182">
        <f>VLOOKUP($B2317,dongia1,DG!$F$5,)</f>
        <v>32000</v>
      </c>
      <c r="Q2317" s="182">
        <f>VLOOKUP($B2317,dongia1,DG!$G$5,)</f>
        <v>0</v>
      </c>
      <c r="R2317" s="182"/>
      <c r="S2317" s="113">
        <f t="shared" si="958"/>
        <v>0</v>
      </c>
      <c r="T2317" s="113">
        <f t="shared" si="959"/>
        <v>0</v>
      </c>
      <c r="U2317" s="557">
        <f t="shared" si="960"/>
        <v>0</v>
      </c>
    </row>
    <row r="2318" spans="1:21" s="552" customFormat="1" ht="15" customHeight="1">
      <c r="A2318" s="621"/>
      <c r="B2318" s="622" t="s">
        <v>620</v>
      </c>
      <c r="C2318" s="558" t="str">
        <f t="shared" si="961"/>
        <v xml:space="preserve"> </v>
      </c>
      <c r="D2318" s="553"/>
      <c r="E2318" s="694" t="str">
        <f>VLOOKUP($B2318,dongia1,DG!$C$5,)</f>
        <v>Ô xy gió</v>
      </c>
      <c r="F2318" s="555" t="str">
        <f>VLOOKUP($B2318,dongia1,DG!$D$5,)</f>
        <v>m3</v>
      </c>
      <c r="G2318" s="205">
        <f>+G2310*0.9</f>
        <v>0</v>
      </c>
      <c r="H2318" s="556">
        <f t="shared" si="962"/>
        <v>0</v>
      </c>
      <c r="I2318" s="556">
        <f t="shared" si="956"/>
        <v>0</v>
      </c>
      <c r="J2318" s="556">
        <f t="shared" si="963"/>
        <v>0</v>
      </c>
      <c r="K2318" s="556">
        <f t="shared" si="964"/>
        <v>0</v>
      </c>
      <c r="L2318" s="556">
        <f t="shared" si="957"/>
        <v>0</v>
      </c>
      <c r="M2318" s="556"/>
      <c r="N2318" s="556"/>
      <c r="O2318" s="556"/>
      <c r="P2318" s="182">
        <f>VLOOKUP($B2318,dongia1,DG!$F$5,)</f>
        <v>10000</v>
      </c>
      <c r="Q2318" s="182">
        <f>VLOOKUP($B2318,dongia1,DG!$G$5,)</f>
        <v>0</v>
      </c>
      <c r="R2318" s="182"/>
      <c r="S2318" s="113">
        <f t="shared" si="958"/>
        <v>0</v>
      </c>
      <c r="T2318" s="113">
        <f t="shared" si="959"/>
        <v>0</v>
      </c>
      <c r="U2318" s="557">
        <f t="shared" si="960"/>
        <v>0</v>
      </c>
    </row>
    <row r="2319" spans="1:21" s="552" customFormat="1" ht="15" customHeight="1">
      <c r="A2319" s="621"/>
      <c r="B2319" s="622" t="s">
        <v>741</v>
      </c>
      <c r="C2319" s="558" t="str">
        <f t="shared" si="961"/>
        <v xml:space="preserve"> </v>
      </c>
      <c r="D2319" s="553"/>
      <c r="E2319" s="694" t="str">
        <f>VLOOKUP($B2319,dongia1,DG!$C$5,)</f>
        <v>Hơi Axetylen</v>
      </c>
      <c r="F2319" s="555" t="str">
        <f>VLOOKUP($B2319,dongia1,DG!$D$5,)</f>
        <v>m3</v>
      </c>
      <c r="G2319" s="205">
        <f>+G2310*0.3</f>
        <v>0</v>
      </c>
      <c r="H2319" s="556">
        <f t="shared" si="962"/>
        <v>0</v>
      </c>
      <c r="I2319" s="556">
        <f t="shared" si="956"/>
        <v>0</v>
      </c>
      <c r="J2319" s="556">
        <f t="shared" si="963"/>
        <v>0</v>
      </c>
      <c r="K2319" s="556">
        <f t="shared" si="964"/>
        <v>0</v>
      </c>
      <c r="L2319" s="556">
        <f t="shared" si="957"/>
        <v>0</v>
      </c>
      <c r="M2319" s="556"/>
      <c r="N2319" s="556"/>
      <c r="O2319" s="556"/>
      <c r="P2319" s="182">
        <f>VLOOKUP($B2319,dongia1,DG!$F$5,)</f>
        <v>40000</v>
      </c>
      <c r="Q2319" s="182">
        <f>VLOOKUP($B2319,dongia1,DG!$G$5,)</f>
        <v>0</v>
      </c>
      <c r="R2319" s="182"/>
      <c r="S2319" s="113">
        <f t="shared" si="958"/>
        <v>0</v>
      </c>
      <c r="T2319" s="113">
        <f t="shared" si="959"/>
        <v>0</v>
      </c>
      <c r="U2319" s="557">
        <f t="shared" si="960"/>
        <v>0</v>
      </c>
    </row>
    <row r="2320" spans="1:21" s="552" customFormat="1" ht="15" customHeight="1">
      <c r="A2320" s="621"/>
      <c r="B2320" s="622" t="s">
        <v>351</v>
      </c>
      <c r="C2320" s="558" t="str">
        <f t="shared" si="961"/>
        <v xml:space="preserve"> </v>
      </c>
      <c r="D2320" s="553"/>
      <c r="E2320" s="694" t="str">
        <f>VLOOKUP($B2320,dongia1,DG!$C$5,)</f>
        <v>Cọ sơn</v>
      </c>
      <c r="F2320" s="555" t="str">
        <f>VLOOKUP($B2320,dongia1,DG!$D$5,)</f>
        <v>cái</v>
      </c>
      <c r="G2320" s="205">
        <f>+G2310*6</f>
        <v>0</v>
      </c>
      <c r="H2320" s="556">
        <f t="shared" si="962"/>
        <v>0</v>
      </c>
      <c r="I2320" s="556">
        <f t="shared" si="956"/>
        <v>0</v>
      </c>
      <c r="J2320" s="556">
        <f t="shared" si="963"/>
        <v>0</v>
      </c>
      <c r="K2320" s="556">
        <f t="shared" si="964"/>
        <v>0</v>
      </c>
      <c r="L2320" s="556">
        <f t="shared" si="957"/>
        <v>0</v>
      </c>
      <c r="M2320" s="556"/>
      <c r="N2320" s="556"/>
      <c r="O2320" s="556"/>
      <c r="P2320" s="182">
        <f>VLOOKUP($B2320,dongia1,DG!$F$5,)</f>
        <v>7500</v>
      </c>
      <c r="Q2320" s="182">
        <f>VLOOKUP($B2320,dongia1,DG!$G$5,)</f>
        <v>0</v>
      </c>
      <c r="R2320" s="182"/>
      <c r="S2320" s="113">
        <f t="shared" si="958"/>
        <v>0</v>
      </c>
      <c r="T2320" s="113">
        <f t="shared" si="959"/>
        <v>0</v>
      </c>
      <c r="U2320" s="557">
        <f t="shared" si="960"/>
        <v>0</v>
      </c>
    </row>
    <row r="2321" spans="1:21" s="552" customFormat="1" ht="15" customHeight="1">
      <c r="A2321" s="621"/>
      <c r="B2321" s="622" t="s">
        <v>352</v>
      </c>
      <c r="C2321" s="558" t="str">
        <f t="shared" si="961"/>
        <v xml:space="preserve"> </v>
      </c>
      <c r="D2321" s="553"/>
      <c r="E2321" s="694" t="str">
        <f>VLOOKUP($B2321,dongia1,DG!$C$5,)</f>
        <v>Gia công và lắp dựng cột báo hiệu cao 9m</v>
      </c>
      <c r="F2321" s="555" t="str">
        <f>VLOOKUP($B2321,dongia1,DG!$D$5,)</f>
        <v>Tấn</v>
      </c>
      <c r="G2321" s="205">
        <f>+G2310*0.19</f>
        <v>0</v>
      </c>
      <c r="H2321" s="556">
        <f t="shared" si="962"/>
        <v>0</v>
      </c>
      <c r="I2321" s="556"/>
      <c r="J2321" s="556"/>
      <c r="K2321" s="556"/>
      <c r="L2321" s="556"/>
      <c r="M2321" s="556"/>
      <c r="N2321" s="556"/>
      <c r="O2321" s="556"/>
      <c r="P2321" s="182">
        <f>VLOOKUP($B2321,dongia1,DG!$F$5,)</f>
        <v>0</v>
      </c>
      <c r="Q2321" s="182">
        <f>VLOOKUP($B2321,dongia1,DG!$G$5,)</f>
        <v>521806</v>
      </c>
      <c r="R2321" s="182">
        <f>VLOOKUP($B2321,dongia1,DG!$H$5,)</f>
        <v>725029</v>
      </c>
      <c r="S2321" s="113">
        <f t="shared" si="958"/>
        <v>0</v>
      </c>
      <c r="T2321" s="113">
        <f t="shared" si="959"/>
        <v>0</v>
      </c>
      <c r="U2321" s="557">
        <f t="shared" si="960"/>
        <v>0</v>
      </c>
    </row>
    <row r="2322" spans="1:21" s="552" customFormat="1" ht="15" customHeight="1">
      <c r="A2322" s="621"/>
      <c r="B2322" s="622" t="s">
        <v>1755</v>
      </c>
      <c r="C2322" s="558" t="str">
        <f t="shared" si="961"/>
        <v xml:space="preserve"> </v>
      </c>
      <c r="D2322" s="553"/>
      <c r="E2322" s="694" t="str">
        <f>VLOOKUP($B2322,dongia1,DG!$C$5,)</f>
        <v>Sơn cột báo hiệu</v>
      </c>
      <c r="F2322" s="555" t="str">
        <f>VLOOKUP($B2322,dongia1,DG!$D$5,)</f>
        <v>m2</v>
      </c>
      <c r="G2322" s="205">
        <f>+G2310*3.98</f>
        <v>0</v>
      </c>
      <c r="H2322" s="556">
        <f t="shared" si="962"/>
        <v>0</v>
      </c>
      <c r="I2322" s="556">
        <f>$I$2309*G2322</f>
        <v>0</v>
      </c>
      <c r="J2322" s="556">
        <f>$J$2309*G2322</f>
        <v>0</v>
      </c>
      <c r="K2322" s="556">
        <f>$K$2309*G2322</f>
        <v>0</v>
      </c>
      <c r="L2322" s="556">
        <f>$K$2309*H2322</f>
        <v>0</v>
      </c>
      <c r="M2322" s="556"/>
      <c r="N2322" s="556"/>
      <c r="O2322" s="556"/>
      <c r="P2322" s="182">
        <f>VLOOKUP($B2322,dongia1,DG!$F$5,)</f>
        <v>6502</v>
      </c>
      <c r="Q2322" s="182">
        <f>VLOOKUP($B2322,dongia1,DG!$G$5,)</f>
        <v>0</v>
      </c>
      <c r="R2322" s="182"/>
      <c r="S2322" s="113">
        <f t="shared" si="958"/>
        <v>0</v>
      </c>
      <c r="T2322" s="113">
        <f t="shared" si="959"/>
        <v>0</v>
      </c>
      <c r="U2322" s="557">
        <f t="shared" si="960"/>
        <v>0</v>
      </c>
    </row>
    <row r="2323" spans="1:21" s="552" customFormat="1" ht="15" customHeight="1">
      <c r="A2323" s="621"/>
      <c r="B2323" s="622" t="s">
        <v>1756</v>
      </c>
      <c r="C2323" s="558" t="str">
        <f t="shared" si="961"/>
        <v xml:space="preserve"> </v>
      </c>
      <c r="D2323" s="553"/>
      <c r="E2323" s="694" t="str">
        <f>VLOOKUP($B2323,dongia1,DG!$C$5,)</f>
        <v>Vận Chuyển thép</v>
      </c>
      <c r="F2323" s="555" t="str">
        <f>VLOOKUP($B2323,dongia1,DG!$D$5,)</f>
        <v>Tấn</v>
      </c>
      <c r="G2323" s="205">
        <f>+G2310*0.19</f>
        <v>0</v>
      </c>
      <c r="H2323" s="556">
        <f t="shared" si="962"/>
        <v>0</v>
      </c>
      <c r="I2323" s="556"/>
      <c r="J2323" s="556"/>
      <c r="K2323" s="556"/>
      <c r="L2323" s="556"/>
      <c r="M2323" s="556"/>
      <c r="N2323" s="556"/>
      <c r="O2323" s="556"/>
      <c r="P2323" s="182">
        <f>VLOOKUP($B2323,dongia1,DG!$F$5,)</f>
        <v>0</v>
      </c>
      <c r="Q2323" s="182">
        <f>VLOOKUP($B2323,dongia1,DG!$G$5,)</f>
        <v>0</v>
      </c>
      <c r="R2323" s="182"/>
      <c r="S2323" s="113">
        <f t="shared" si="958"/>
        <v>0</v>
      </c>
      <c r="T2323" s="113">
        <f t="shared" si="959"/>
        <v>0</v>
      </c>
      <c r="U2323" s="557">
        <f t="shared" si="960"/>
        <v>0</v>
      </c>
    </row>
    <row r="2324" spans="1:21" s="552" customFormat="1" ht="15" customHeight="1">
      <c r="A2324" s="621" t="s">
        <v>965</v>
      </c>
      <c r="B2324" s="622"/>
      <c r="C2324" s="558" t="str">
        <f>C2323</f>
        <v xml:space="preserve"> </v>
      </c>
      <c r="D2324" s="599"/>
      <c r="E2324" s="727" t="s">
        <v>3686</v>
      </c>
      <c r="F2324" s="555" t="s">
        <v>3696</v>
      </c>
      <c r="G2324" s="205"/>
      <c r="H2324" s="556"/>
      <c r="I2324" s="556"/>
      <c r="J2324" s="556"/>
      <c r="K2324" s="556"/>
      <c r="L2324" s="556"/>
      <c r="M2324" s="556"/>
      <c r="N2324" s="556"/>
      <c r="O2324" s="556"/>
      <c r="P2324" s="182"/>
      <c r="Q2324" s="182"/>
      <c r="R2324" s="182"/>
      <c r="S2324" s="608">
        <f>SUM(S2325:S2337)</f>
        <v>0</v>
      </c>
      <c r="T2324" s="608">
        <f>SUM(T2325:T2337)</f>
        <v>0</v>
      </c>
      <c r="U2324" s="609">
        <f>SUM(U2325:U2337)</f>
        <v>0</v>
      </c>
    </row>
    <row r="2325" spans="1:21" s="552" customFormat="1" ht="15" customHeight="1">
      <c r="A2325" s="621"/>
      <c r="B2325" s="622" t="s">
        <v>1857</v>
      </c>
      <c r="C2325" s="558" t="str">
        <f>C2324</f>
        <v xml:space="preserve"> </v>
      </c>
      <c r="D2325" s="553"/>
      <c r="E2325" s="694" t="str">
        <f>VLOOKUP($B2325,dongia1,DG!$C$5,)</f>
        <v>Sắt góc L45 x45 x 4</v>
      </c>
      <c r="F2325" s="555" t="str">
        <f>VLOOKUP($B2325,dongia1,DG!$D$5,)</f>
        <v>kg</v>
      </c>
      <c r="G2325" s="205">
        <f>+G2324*26.3</f>
        <v>0</v>
      </c>
      <c r="H2325" s="556">
        <f>IF($H$2309&lt;&gt;0,G2325,)</f>
        <v>0</v>
      </c>
      <c r="I2325" s="556">
        <f t="shared" ref="I2325:I2334" si="965">$I$2309*G2325</f>
        <v>0</v>
      </c>
      <c r="J2325" s="556">
        <f t="shared" ref="J2325:J2334" si="966">$J$2309*G2325</f>
        <v>0</v>
      </c>
      <c r="K2325" s="556">
        <f t="shared" ref="K2325:K2334" si="967">$K$2309*G2325</f>
        <v>0</v>
      </c>
      <c r="L2325" s="556">
        <f t="shared" ref="L2325:L2334" si="968">$K$2309*H2325</f>
        <v>0</v>
      </c>
      <c r="M2325" s="556"/>
      <c r="N2325" s="556"/>
      <c r="O2325" s="556"/>
      <c r="P2325" s="182">
        <f>VLOOKUP($B2325,dongia1,DG!$F$5,)</f>
        <v>31625</v>
      </c>
      <c r="Q2325" s="182">
        <f>VLOOKUP($B2325,dongia1,DG!$G$5,)</f>
        <v>0</v>
      </c>
      <c r="R2325" s="182"/>
      <c r="S2325" s="113">
        <f t="shared" ref="S2325:S2337" si="969">$G2325*P2325</f>
        <v>0</v>
      </c>
      <c r="T2325" s="113">
        <f t="shared" ref="T2325:T2337" si="970">$G2325*Q2325</f>
        <v>0</v>
      </c>
      <c r="U2325" s="557">
        <f t="shared" ref="U2325:U2337" si="971">$G2325*R2325</f>
        <v>0</v>
      </c>
    </row>
    <row r="2326" spans="1:21" s="552" customFormat="1" ht="15" customHeight="1">
      <c r="A2326" s="621"/>
      <c r="B2326" s="622" t="s">
        <v>1024</v>
      </c>
      <c r="C2326" s="558" t="str">
        <f t="shared" ref="C2326:C2337" si="972">C2325</f>
        <v xml:space="preserve"> </v>
      </c>
      <c r="D2326" s="553"/>
      <c r="E2326" s="694" t="str">
        <f>VLOOKUP($B2326,dongia1,DG!$C$5,)</f>
        <v>Thép tấm 4mm</v>
      </c>
      <c r="F2326" s="555" t="str">
        <f>VLOOKUP($B2326,dongia1,DG!$D$5,)</f>
        <v>kg</v>
      </c>
      <c r="G2326" s="205">
        <f>+G2324*3.14</f>
        <v>0</v>
      </c>
      <c r="H2326" s="556">
        <f t="shared" ref="H2326:H2337" si="973">IF($H$2309&lt;&gt;0,G2326,)</f>
        <v>0</v>
      </c>
      <c r="I2326" s="556">
        <f t="shared" si="965"/>
        <v>0</v>
      </c>
      <c r="J2326" s="556">
        <f t="shared" si="966"/>
        <v>0</v>
      </c>
      <c r="K2326" s="556">
        <f t="shared" si="967"/>
        <v>0</v>
      </c>
      <c r="L2326" s="556">
        <f t="shared" si="968"/>
        <v>0</v>
      </c>
      <c r="M2326" s="556"/>
      <c r="N2326" s="556"/>
      <c r="O2326" s="556"/>
      <c r="P2326" s="182">
        <f>VLOOKUP($B2326,dongia1,DG!$F$5,)</f>
        <v>31625</v>
      </c>
      <c r="Q2326" s="182">
        <f>VLOOKUP($B2326,dongia1,DG!$G$5,)</f>
        <v>0</v>
      </c>
      <c r="R2326" s="182"/>
      <c r="S2326" s="113">
        <f t="shared" si="969"/>
        <v>0</v>
      </c>
      <c r="T2326" s="113">
        <f t="shared" si="970"/>
        <v>0</v>
      </c>
      <c r="U2326" s="557">
        <f t="shared" si="971"/>
        <v>0</v>
      </c>
    </row>
    <row r="2327" spans="1:21" s="552" customFormat="1" ht="15" customHeight="1">
      <c r="A2327" s="621"/>
      <c r="B2327" s="622" t="s">
        <v>539</v>
      </c>
      <c r="C2327" s="558" t="str">
        <f t="shared" si="972"/>
        <v xml:space="preserve"> </v>
      </c>
      <c r="D2327" s="553"/>
      <c r="E2327" s="694" t="str">
        <f>VLOOKUP($B2327,dongia1,DG!$C$5,)</f>
        <v>Thép tấm 2mm</v>
      </c>
      <c r="F2327" s="555" t="str">
        <f>VLOOKUP($B2327,dongia1,DG!$D$5,)</f>
        <v>kg</v>
      </c>
      <c r="G2327" s="205">
        <f>+G2324*45.22</f>
        <v>0</v>
      </c>
      <c r="H2327" s="556">
        <f t="shared" si="973"/>
        <v>0</v>
      </c>
      <c r="I2327" s="556">
        <f t="shared" si="965"/>
        <v>0</v>
      </c>
      <c r="J2327" s="556">
        <f t="shared" si="966"/>
        <v>0</v>
      </c>
      <c r="K2327" s="556">
        <f t="shared" si="967"/>
        <v>0</v>
      </c>
      <c r="L2327" s="556">
        <f t="shared" si="968"/>
        <v>0</v>
      </c>
      <c r="M2327" s="556"/>
      <c r="N2327" s="556"/>
      <c r="O2327" s="556"/>
      <c r="P2327" s="182">
        <f>VLOOKUP($B2327,dongia1,DG!$F$5,)</f>
        <v>31625</v>
      </c>
      <c r="Q2327" s="182">
        <f>VLOOKUP($B2327,dongia1,DG!$G$5,)</f>
        <v>0</v>
      </c>
      <c r="R2327" s="182"/>
      <c r="S2327" s="113">
        <f t="shared" si="969"/>
        <v>0</v>
      </c>
      <c r="T2327" s="113">
        <f t="shared" si="970"/>
        <v>0</v>
      </c>
      <c r="U2327" s="557">
        <f t="shared" si="971"/>
        <v>0</v>
      </c>
    </row>
    <row r="2328" spans="1:21" s="552" customFormat="1" ht="15" customHeight="1">
      <c r="A2328" s="621"/>
      <c r="B2328" s="622" t="s">
        <v>652</v>
      </c>
      <c r="C2328" s="558" t="str">
        <f t="shared" si="972"/>
        <v xml:space="preserve"> </v>
      </c>
      <c r="D2328" s="553"/>
      <c r="E2328" s="694" t="str">
        <f>VLOOKUP($B2328,dongia1,DG!$C$5,)</f>
        <v>Boulon 12x50+ 2 long đền vuông D14-50x50x3/Zn</v>
      </c>
      <c r="F2328" s="555" t="str">
        <f>VLOOKUP($B2328,dongia1,DG!$D$5,)</f>
        <v>bộ</v>
      </c>
      <c r="G2328" s="205">
        <f>+G2324*2</f>
        <v>0</v>
      </c>
      <c r="H2328" s="556">
        <f t="shared" si="973"/>
        <v>0</v>
      </c>
      <c r="I2328" s="556">
        <f t="shared" si="965"/>
        <v>0</v>
      </c>
      <c r="J2328" s="556">
        <f t="shared" si="966"/>
        <v>0</v>
      </c>
      <c r="K2328" s="556">
        <f t="shared" si="967"/>
        <v>0</v>
      </c>
      <c r="L2328" s="556">
        <f t="shared" si="968"/>
        <v>0</v>
      </c>
      <c r="M2328" s="556"/>
      <c r="N2328" s="556"/>
      <c r="O2328" s="556"/>
      <c r="P2328" s="182">
        <f>VLOOKUP($B2328,dongia1,DG!$F$5,)</f>
        <v>8700</v>
      </c>
      <c r="Q2328" s="182">
        <f>VLOOKUP($B2328,dongia1,DG!$G$5,)</f>
        <v>0</v>
      </c>
      <c r="R2328" s="182"/>
      <c r="S2328" s="113">
        <f t="shared" si="969"/>
        <v>0</v>
      </c>
      <c r="T2328" s="113">
        <f t="shared" si="970"/>
        <v>0</v>
      </c>
      <c r="U2328" s="557">
        <f t="shared" si="971"/>
        <v>0</v>
      </c>
    </row>
    <row r="2329" spans="1:21" s="552" customFormat="1" ht="15" customHeight="1">
      <c r="A2329" s="621"/>
      <c r="B2329" s="622" t="s">
        <v>653</v>
      </c>
      <c r="C2329" s="558" t="str">
        <f t="shared" si="972"/>
        <v xml:space="preserve"> </v>
      </c>
      <c r="D2329" s="553"/>
      <c r="E2329" s="694" t="str">
        <f>VLOOKUP($B2329,dongia1,DG!$C$5,)</f>
        <v>Que hàn điện</v>
      </c>
      <c r="F2329" s="555" t="str">
        <f>VLOOKUP($B2329,dongia1,DG!$D$5,)</f>
        <v>kg</v>
      </c>
      <c r="G2329" s="205">
        <f>+G2324*3</f>
        <v>0</v>
      </c>
      <c r="H2329" s="556">
        <f t="shared" si="973"/>
        <v>0</v>
      </c>
      <c r="I2329" s="556">
        <f t="shared" si="965"/>
        <v>0</v>
      </c>
      <c r="J2329" s="556">
        <f t="shared" si="966"/>
        <v>0</v>
      </c>
      <c r="K2329" s="556">
        <f t="shared" si="967"/>
        <v>0</v>
      </c>
      <c r="L2329" s="556">
        <f t="shared" si="968"/>
        <v>0</v>
      </c>
      <c r="M2329" s="556"/>
      <c r="N2329" s="556"/>
      <c r="O2329" s="556"/>
      <c r="P2329" s="182">
        <f>VLOOKUP($B2329,dongia1,DG!$F$5,)</f>
        <v>7000</v>
      </c>
      <c r="Q2329" s="182">
        <f>VLOOKUP($B2329,dongia1,DG!$G$5,)</f>
        <v>0</v>
      </c>
      <c r="R2329" s="182"/>
      <c r="S2329" s="113">
        <f t="shared" si="969"/>
        <v>0</v>
      </c>
      <c r="T2329" s="113">
        <f t="shared" si="970"/>
        <v>0</v>
      </c>
      <c r="U2329" s="557">
        <f t="shared" si="971"/>
        <v>0</v>
      </c>
    </row>
    <row r="2330" spans="1:21" s="552" customFormat="1" ht="15" customHeight="1">
      <c r="A2330" s="621"/>
      <c r="B2330" s="622" t="s">
        <v>654</v>
      </c>
      <c r="C2330" s="558" t="str">
        <f t="shared" si="972"/>
        <v xml:space="preserve"> </v>
      </c>
      <c r="D2330" s="553"/>
      <c r="E2330" s="694" t="str">
        <f>VLOOKUP($B2330,dongia1,DG!$C$5,)</f>
        <v>Sơn chống rỉ</v>
      </c>
      <c r="F2330" s="555" t="str">
        <f>VLOOKUP($B2330,dongia1,DG!$D$5,)</f>
        <v>kg</v>
      </c>
      <c r="G2330" s="205">
        <f>+G2324*1.8</f>
        <v>0</v>
      </c>
      <c r="H2330" s="556">
        <f t="shared" si="973"/>
        <v>0</v>
      </c>
      <c r="I2330" s="556">
        <f t="shared" si="965"/>
        <v>0</v>
      </c>
      <c r="J2330" s="556">
        <f t="shared" si="966"/>
        <v>0</v>
      </c>
      <c r="K2330" s="556">
        <f t="shared" si="967"/>
        <v>0</v>
      </c>
      <c r="L2330" s="556">
        <f t="shared" si="968"/>
        <v>0</v>
      </c>
      <c r="M2330" s="556"/>
      <c r="N2330" s="556"/>
      <c r="O2330" s="556"/>
      <c r="P2330" s="182">
        <f>VLOOKUP($B2330,dongia1,DG!$F$5,)</f>
        <v>27400</v>
      </c>
      <c r="Q2330" s="182">
        <f>VLOOKUP($B2330,dongia1,DG!$G$5,)</f>
        <v>0</v>
      </c>
      <c r="R2330" s="182"/>
      <c r="S2330" s="113">
        <f t="shared" si="969"/>
        <v>0</v>
      </c>
      <c r="T2330" s="113">
        <f t="shared" si="970"/>
        <v>0</v>
      </c>
      <c r="U2330" s="557">
        <f t="shared" si="971"/>
        <v>0</v>
      </c>
    </row>
    <row r="2331" spans="1:21" s="552" customFormat="1" ht="15" customHeight="1">
      <c r="A2331" s="621"/>
      <c r="B2331" s="622" t="s">
        <v>655</v>
      </c>
      <c r="C2331" s="558" t="str">
        <f t="shared" si="972"/>
        <v xml:space="preserve"> </v>
      </c>
      <c r="D2331" s="553"/>
      <c r="E2331" s="694" t="str">
        <f>VLOOKUP($B2331,dongia1,DG!$C$5,)</f>
        <v>Sơn màu</v>
      </c>
      <c r="F2331" s="555" t="str">
        <f>VLOOKUP($B2331,dongia1,DG!$D$5,)</f>
        <v>kg</v>
      </c>
      <c r="G2331" s="205">
        <f>+G2324*1</f>
        <v>0</v>
      </c>
      <c r="H2331" s="556">
        <f t="shared" si="973"/>
        <v>0</v>
      </c>
      <c r="I2331" s="556">
        <f t="shared" si="965"/>
        <v>0</v>
      </c>
      <c r="J2331" s="556">
        <f t="shared" si="966"/>
        <v>0</v>
      </c>
      <c r="K2331" s="556">
        <f t="shared" si="967"/>
        <v>0</v>
      </c>
      <c r="L2331" s="556">
        <f t="shared" si="968"/>
        <v>0</v>
      </c>
      <c r="M2331" s="556"/>
      <c r="N2331" s="556"/>
      <c r="O2331" s="556"/>
      <c r="P2331" s="182">
        <f>VLOOKUP($B2331,dongia1,DG!$F$5,)</f>
        <v>32000</v>
      </c>
      <c r="Q2331" s="182">
        <f>VLOOKUP($B2331,dongia1,DG!$G$5,)</f>
        <v>0</v>
      </c>
      <c r="R2331" s="182"/>
      <c r="S2331" s="113">
        <f t="shared" si="969"/>
        <v>0</v>
      </c>
      <c r="T2331" s="113">
        <f t="shared" si="970"/>
        <v>0</v>
      </c>
      <c r="U2331" s="557">
        <f t="shared" si="971"/>
        <v>0</v>
      </c>
    </row>
    <row r="2332" spans="1:21" s="552" customFormat="1" ht="15" customHeight="1">
      <c r="A2332" s="621"/>
      <c r="B2332" s="622" t="s">
        <v>620</v>
      </c>
      <c r="C2332" s="558" t="str">
        <f t="shared" si="972"/>
        <v xml:space="preserve"> </v>
      </c>
      <c r="D2332" s="553"/>
      <c r="E2332" s="694" t="str">
        <f>VLOOKUP($B2332,dongia1,DG!$C$5,)</f>
        <v>Ô xy gió</v>
      </c>
      <c r="F2332" s="555" t="str">
        <f>VLOOKUP($B2332,dongia1,DG!$D$5,)</f>
        <v>m3</v>
      </c>
      <c r="G2332" s="205">
        <f>+G2324*1.8</f>
        <v>0</v>
      </c>
      <c r="H2332" s="556">
        <f t="shared" si="973"/>
        <v>0</v>
      </c>
      <c r="I2332" s="556">
        <f t="shared" si="965"/>
        <v>0</v>
      </c>
      <c r="J2332" s="556">
        <f t="shared" si="966"/>
        <v>0</v>
      </c>
      <c r="K2332" s="556">
        <f t="shared" si="967"/>
        <v>0</v>
      </c>
      <c r="L2332" s="556">
        <f t="shared" si="968"/>
        <v>0</v>
      </c>
      <c r="M2332" s="556"/>
      <c r="N2332" s="556"/>
      <c r="O2332" s="556"/>
      <c r="P2332" s="182">
        <f>VLOOKUP($B2332,dongia1,DG!$F$5,)</f>
        <v>10000</v>
      </c>
      <c r="Q2332" s="182">
        <f>VLOOKUP($B2332,dongia1,DG!$G$5,)</f>
        <v>0</v>
      </c>
      <c r="R2332" s="182"/>
      <c r="S2332" s="113">
        <f t="shared" si="969"/>
        <v>0</v>
      </c>
      <c r="T2332" s="113">
        <f t="shared" si="970"/>
        <v>0</v>
      </c>
      <c r="U2332" s="557">
        <f t="shared" si="971"/>
        <v>0</v>
      </c>
    </row>
    <row r="2333" spans="1:21" s="552" customFormat="1" ht="15" customHeight="1">
      <c r="A2333" s="621"/>
      <c r="B2333" s="622" t="s">
        <v>741</v>
      </c>
      <c r="C2333" s="558" t="str">
        <f t="shared" si="972"/>
        <v xml:space="preserve"> </v>
      </c>
      <c r="D2333" s="553"/>
      <c r="E2333" s="694" t="str">
        <f>VLOOKUP($B2333,dongia1,DG!$C$5,)</f>
        <v>Hơi Axetylen</v>
      </c>
      <c r="F2333" s="555" t="str">
        <f>VLOOKUP($B2333,dongia1,DG!$D$5,)</f>
        <v>m3</v>
      </c>
      <c r="G2333" s="205">
        <f>+G2324*0.6</f>
        <v>0</v>
      </c>
      <c r="H2333" s="556">
        <f t="shared" si="973"/>
        <v>0</v>
      </c>
      <c r="I2333" s="556">
        <f t="shared" si="965"/>
        <v>0</v>
      </c>
      <c r="J2333" s="556">
        <f t="shared" si="966"/>
        <v>0</v>
      </c>
      <c r="K2333" s="556">
        <f t="shared" si="967"/>
        <v>0</v>
      </c>
      <c r="L2333" s="556">
        <f t="shared" si="968"/>
        <v>0</v>
      </c>
      <c r="M2333" s="556"/>
      <c r="N2333" s="556"/>
      <c r="O2333" s="556"/>
      <c r="P2333" s="182">
        <f>VLOOKUP($B2333,dongia1,DG!$F$5,)</f>
        <v>40000</v>
      </c>
      <c r="Q2333" s="182">
        <f>VLOOKUP($B2333,dongia1,DG!$G$5,)</f>
        <v>0</v>
      </c>
      <c r="R2333" s="182"/>
      <c r="S2333" s="113">
        <f t="shared" si="969"/>
        <v>0</v>
      </c>
      <c r="T2333" s="113">
        <f t="shared" si="970"/>
        <v>0</v>
      </c>
      <c r="U2333" s="557">
        <f t="shared" si="971"/>
        <v>0</v>
      </c>
    </row>
    <row r="2334" spans="1:21" s="552" customFormat="1" ht="15" customHeight="1">
      <c r="A2334" s="621"/>
      <c r="B2334" s="622" t="s">
        <v>351</v>
      </c>
      <c r="C2334" s="558" t="str">
        <f t="shared" si="972"/>
        <v xml:space="preserve"> </v>
      </c>
      <c r="D2334" s="553"/>
      <c r="E2334" s="694" t="str">
        <f>VLOOKUP($B2334,dongia1,DG!$C$5,)</f>
        <v>Cọ sơn</v>
      </c>
      <c r="F2334" s="555" t="str">
        <f>VLOOKUP($B2334,dongia1,DG!$D$5,)</f>
        <v>cái</v>
      </c>
      <c r="G2334" s="205">
        <f>+G2324*4</f>
        <v>0</v>
      </c>
      <c r="H2334" s="556">
        <f t="shared" si="973"/>
        <v>0</v>
      </c>
      <c r="I2334" s="556">
        <f t="shared" si="965"/>
        <v>0</v>
      </c>
      <c r="J2334" s="556">
        <f t="shared" si="966"/>
        <v>0</v>
      </c>
      <c r="K2334" s="556">
        <f t="shared" si="967"/>
        <v>0</v>
      </c>
      <c r="L2334" s="556">
        <f t="shared" si="968"/>
        <v>0</v>
      </c>
      <c r="M2334" s="556"/>
      <c r="N2334" s="556"/>
      <c r="O2334" s="556"/>
      <c r="P2334" s="182">
        <f>VLOOKUP($B2334,dongia1,DG!$F$5,)</f>
        <v>7500</v>
      </c>
      <c r="Q2334" s="182">
        <f>VLOOKUP($B2334,dongia1,DG!$G$5,)</f>
        <v>0</v>
      </c>
      <c r="R2334" s="182"/>
      <c r="S2334" s="113">
        <f t="shared" si="969"/>
        <v>0</v>
      </c>
      <c r="T2334" s="113">
        <f t="shared" si="970"/>
        <v>0</v>
      </c>
      <c r="U2334" s="557">
        <f t="shared" si="971"/>
        <v>0</v>
      </c>
    </row>
    <row r="2335" spans="1:21" s="552" customFormat="1" ht="15" customHeight="1">
      <c r="A2335" s="621"/>
      <c r="B2335" s="622" t="s">
        <v>1754</v>
      </c>
      <c r="C2335" s="558" t="str">
        <f t="shared" si="972"/>
        <v xml:space="preserve"> </v>
      </c>
      <c r="D2335" s="553"/>
      <c r="E2335" s="694" t="str">
        <f>VLOOKUP($B2335,dongia1,DG!$C$5,)</f>
        <v>Gia công và lắp dựng bảng báo hiệu</v>
      </c>
      <c r="F2335" s="555" t="str">
        <f>VLOOKUP($B2335,dongia1,DG!$D$5,)</f>
        <v>Tấn</v>
      </c>
      <c r="G2335" s="205">
        <f>+G2324*0.08</f>
        <v>0</v>
      </c>
      <c r="H2335" s="556">
        <f t="shared" si="973"/>
        <v>0</v>
      </c>
      <c r="I2335" s="556"/>
      <c r="J2335" s="556"/>
      <c r="K2335" s="556"/>
      <c r="L2335" s="556"/>
      <c r="M2335" s="556"/>
      <c r="N2335" s="556"/>
      <c r="O2335" s="556"/>
      <c r="P2335" s="182">
        <f>VLOOKUP($B2335,dongia1,DG!$F$5,)</f>
        <v>0</v>
      </c>
      <c r="Q2335" s="182">
        <f>VLOOKUP($B2335,dongia1,DG!$G$5,)</f>
        <v>565009</v>
      </c>
      <c r="R2335" s="182">
        <f>VLOOKUP($B2335,dongia1,DG!$H$5,)</f>
        <v>792152</v>
      </c>
      <c r="S2335" s="113">
        <f t="shared" si="969"/>
        <v>0</v>
      </c>
      <c r="T2335" s="113">
        <f t="shared" si="970"/>
        <v>0</v>
      </c>
      <c r="U2335" s="557">
        <f t="shared" si="971"/>
        <v>0</v>
      </c>
    </row>
    <row r="2336" spans="1:21" s="552" customFormat="1" ht="15" customHeight="1">
      <c r="A2336" s="621"/>
      <c r="B2336" s="622" t="s">
        <v>540</v>
      </c>
      <c r="C2336" s="558" t="str">
        <f t="shared" si="972"/>
        <v xml:space="preserve"> </v>
      </c>
      <c r="D2336" s="553"/>
      <c r="E2336" s="694" t="str">
        <f>VLOOKUP($B2336,dongia1,DG!$C$5,)</f>
        <v>Sơn biển báo hiệu</v>
      </c>
      <c r="F2336" s="555" t="str">
        <f>VLOOKUP($B2336,dongia1,DG!$D$5,)</f>
        <v>m2</v>
      </c>
      <c r="G2336" s="205">
        <f>+G2324*5.76</f>
        <v>0</v>
      </c>
      <c r="H2336" s="556">
        <f t="shared" si="973"/>
        <v>0</v>
      </c>
      <c r="I2336" s="556">
        <f>$I$2309*G2336</f>
        <v>0</v>
      </c>
      <c r="J2336" s="556">
        <f>$J$2309*G2336</f>
        <v>0</v>
      </c>
      <c r="K2336" s="556">
        <f>$K$2309*G2336</f>
        <v>0</v>
      </c>
      <c r="L2336" s="556">
        <f>$K$2309*H2336</f>
        <v>0</v>
      </c>
      <c r="M2336" s="556"/>
      <c r="N2336" s="556"/>
      <c r="O2336" s="556"/>
      <c r="P2336" s="182">
        <f>VLOOKUP($B2336,dongia1,DG!$F$5,)</f>
        <v>6502</v>
      </c>
      <c r="Q2336" s="182">
        <f>VLOOKUP($B2336,dongia1,DG!$G$5,)</f>
        <v>0</v>
      </c>
      <c r="R2336" s="182">
        <f>VLOOKUP($B2336,dongia1,DG!$H$5,)</f>
        <v>0</v>
      </c>
      <c r="S2336" s="113">
        <f t="shared" si="969"/>
        <v>0</v>
      </c>
      <c r="T2336" s="113">
        <f t="shared" si="970"/>
        <v>0</v>
      </c>
      <c r="U2336" s="557">
        <f t="shared" si="971"/>
        <v>0</v>
      </c>
    </row>
    <row r="2337" spans="1:21" s="552" customFormat="1" ht="15" customHeight="1">
      <c r="A2337" s="621"/>
      <c r="B2337" s="622" t="s">
        <v>1756</v>
      </c>
      <c r="C2337" s="558" t="str">
        <f t="shared" si="972"/>
        <v xml:space="preserve"> </v>
      </c>
      <c r="D2337" s="553"/>
      <c r="E2337" s="694" t="str">
        <f>VLOOKUP($B2337,dongia1,DG!$C$5,)</f>
        <v>Vận Chuyển thép</v>
      </c>
      <c r="F2337" s="555" t="str">
        <f>VLOOKUP($B2337,dongia1,DG!$D$5,)</f>
        <v>Tấn</v>
      </c>
      <c r="G2337" s="205">
        <f>+G2324*0.08</f>
        <v>0</v>
      </c>
      <c r="H2337" s="556">
        <f t="shared" si="973"/>
        <v>0</v>
      </c>
      <c r="I2337" s="556"/>
      <c r="J2337" s="556"/>
      <c r="K2337" s="556"/>
      <c r="L2337" s="556"/>
      <c r="M2337" s="556"/>
      <c r="N2337" s="556"/>
      <c r="O2337" s="556"/>
      <c r="P2337" s="182">
        <f>VLOOKUP($B2337,dongia1,DG!$F$5,)</f>
        <v>0</v>
      </c>
      <c r="Q2337" s="182">
        <f>VLOOKUP($B2337,dongia1,DG!$G$5,)</f>
        <v>0</v>
      </c>
      <c r="R2337" s="182"/>
      <c r="S2337" s="113">
        <f t="shared" si="969"/>
        <v>0</v>
      </c>
      <c r="T2337" s="113">
        <f t="shared" si="970"/>
        <v>0</v>
      </c>
      <c r="U2337" s="557">
        <f t="shared" si="971"/>
        <v>0</v>
      </c>
    </row>
    <row r="2338" spans="1:21" s="552" customFormat="1" ht="15" customHeight="1">
      <c r="A2338" s="621" t="s">
        <v>966</v>
      </c>
      <c r="B2338" s="622"/>
      <c r="C2338" s="558" t="str">
        <f>C2337</f>
        <v xml:space="preserve"> </v>
      </c>
      <c r="D2338" s="599"/>
      <c r="E2338" s="727" t="s">
        <v>3687</v>
      </c>
      <c r="F2338" s="555" t="s">
        <v>3391</v>
      </c>
      <c r="G2338" s="205"/>
      <c r="H2338" s="556"/>
      <c r="I2338" s="556"/>
      <c r="J2338" s="556"/>
      <c r="K2338" s="556"/>
      <c r="L2338" s="556"/>
      <c r="M2338" s="556"/>
      <c r="N2338" s="556"/>
      <c r="O2338" s="556"/>
      <c r="P2338" s="182"/>
      <c r="Q2338" s="182"/>
      <c r="R2338" s="182"/>
      <c r="S2338" s="608">
        <f>SUM(S2339:S2352)</f>
        <v>0</v>
      </c>
      <c r="T2338" s="608">
        <f>SUM(T2339:T2352)</f>
        <v>0</v>
      </c>
      <c r="U2338" s="609">
        <f>SUM(U2339:U2350)</f>
        <v>0</v>
      </c>
    </row>
    <row r="2339" spans="1:21" s="552" customFormat="1" ht="15" customHeight="1">
      <c r="A2339" s="621"/>
      <c r="B2339" s="622" t="s">
        <v>1728</v>
      </c>
      <c r="C2339" s="558" t="str">
        <f>C2338</f>
        <v xml:space="preserve"> </v>
      </c>
      <c r="D2339" s="553"/>
      <c r="E2339" s="694" t="str">
        <f>VLOOKUP($B2339,dongia1,DG!$C$5,)</f>
        <v>Ximăng</v>
      </c>
      <c r="F2339" s="555" t="str">
        <f>VLOOKUP($B2339,dongia1,DG!$D$5,)</f>
        <v>kg</v>
      </c>
      <c r="G2339" s="205">
        <f>+G2338*398</f>
        <v>0</v>
      </c>
      <c r="H2339" s="556">
        <f>IF($H$2309&lt;&gt;0,G2339,)</f>
        <v>0</v>
      </c>
      <c r="I2339" s="556">
        <f t="shared" ref="I2339:I2346" si="974">$I$2309*G2339</f>
        <v>0</v>
      </c>
      <c r="J2339" s="556">
        <f t="shared" ref="J2339:J2346" si="975">$J$2309*G2339</f>
        <v>0</v>
      </c>
      <c r="K2339" s="556">
        <f t="shared" ref="K2339:L2346" si="976">$K$2309*G2339</f>
        <v>0</v>
      </c>
      <c r="L2339" s="556">
        <f t="shared" si="976"/>
        <v>0</v>
      </c>
      <c r="M2339" s="556"/>
      <c r="N2339" s="556"/>
      <c r="O2339" s="556"/>
      <c r="P2339" s="182">
        <f>VLOOKUP($B2339,dongia1,DG!$F$5,)</f>
        <v>1740</v>
      </c>
      <c r="Q2339" s="182">
        <f>VLOOKUP($B2339,dongia1,DG!$G$5,)</f>
        <v>0</v>
      </c>
      <c r="R2339" s="182"/>
      <c r="S2339" s="113">
        <f t="shared" ref="S2339:S2350" si="977">$G2339*P2339</f>
        <v>0</v>
      </c>
      <c r="T2339" s="113">
        <f t="shared" ref="T2339:T2350" si="978">$G2339*Q2339</f>
        <v>0</v>
      </c>
      <c r="U2339" s="557">
        <f t="shared" ref="U2339:U2350" si="979">$G2339*R2339</f>
        <v>0</v>
      </c>
    </row>
    <row r="2340" spans="1:21" s="552" customFormat="1" ht="15" customHeight="1">
      <c r="A2340" s="621"/>
      <c r="B2340" s="622" t="s">
        <v>1729</v>
      </c>
      <c r="C2340" s="558" t="str">
        <f t="shared" ref="C2340:C2352" si="980">C2339</f>
        <v xml:space="preserve"> </v>
      </c>
      <c r="D2340" s="553"/>
      <c r="E2340" s="694" t="str">
        <f>VLOOKUP($B2340,dongia1,DG!$C$5,)</f>
        <v>Cát vàng</v>
      </c>
      <c r="F2340" s="555" t="str">
        <f>VLOOKUP($B2340,dongia1,DG!$D$5,)</f>
        <v>m3</v>
      </c>
      <c r="G2340" s="205">
        <f>+G2338*0.81</f>
        <v>0</v>
      </c>
      <c r="H2340" s="556">
        <f t="shared" ref="H2340:H2352" si="981">IF($H$2309&lt;&gt;0,G2340,)</f>
        <v>0</v>
      </c>
      <c r="I2340" s="556">
        <f t="shared" si="974"/>
        <v>0</v>
      </c>
      <c r="J2340" s="556">
        <f t="shared" si="975"/>
        <v>0</v>
      </c>
      <c r="K2340" s="556">
        <f t="shared" si="976"/>
        <v>0</v>
      </c>
      <c r="L2340" s="556">
        <f t="shared" si="976"/>
        <v>0</v>
      </c>
      <c r="M2340" s="556"/>
      <c r="N2340" s="556"/>
      <c r="O2340" s="556"/>
      <c r="P2340" s="182">
        <f>VLOOKUP($B2340,dongia1,DG!$F$5,)</f>
        <v>512000</v>
      </c>
      <c r="Q2340" s="182">
        <f>VLOOKUP($B2340,dongia1,DG!$G$5,)</f>
        <v>0</v>
      </c>
      <c r="R2340" s="182"/>
      <c r="S2340" s="113">
        <f t="shared" si="977"/>
        <v>0</v>
      </c>
      <c r="T2340" s="113">
        <f t="shared" si="978"/>
        <v>0</v>
      </c>
      <c r="U2340" s="557">
        <f t="shared" si="979"/>
        <v>0</v>
      </c>
    </row>
    <row r="2341" spans="1:21" s="552" customFormat="1" ht="15" customHeight="1">
      <c r="A2341" s="621"/>
      <c r="B2341" s="622" t="s">
        <v>1730</v>
      </c>
      <c r="C2341" s="558" t="str">
        <f t="shared" si="980"/>
        <v xml:space="preserve"> </v>
      </c>
      <c r="D2341" s="553"/>
      <c r="E2341" s="694" t="str">
        <f>VLOOKUP($B2341,dongia1,DG!$C$5,)</f>
        <v>Đá 1x2</v>
      </c>
      <c r="F2341" s="555" t="str">
        <f>VLOOKUP($B2341,dongia1,DG!$D$5,)</f>
        <v>m3</v>
      </c>
      <c r="G2341" s="205">
        <f>+G2338*0.85</f>
        <v>0</v>
      </c>
      <c r="H2341" s="556">
        <f t="shared" si="981"/>
        <v>0</v>
      </c>
      <c r="I2341" s="556">
        <f t="shared" si="974"/>
        <v>0</v>
      </c>
      <c r="J2341" s="556">
        <f t="shared" si="975"/>
        <v>0</v>
      </c>
      <c r="K2341" s="556">
        <f t="shared" si="976"/>
        <v>0</v>
      </c>
      <c r="L2341" s="556">
        <f t="shared" si="976"/>
        <v>0</v>
      </c>
      <c r="M2341" s="556"/>
      <c r="N2341" s="556"/>
      <c r="O2341" s="556"/>
      <c r="P2341" s="182">
        <f>VLOOKUP($B2341,dongia1,DG!$F$5,)</f>
        <v>335000</v>
      </c>
      <c r="Q2341" s="182">
        <f>VLOOKUP($B2341,dongia1,DG!$G$5,)</f>
        <v>0</v>
      </c>
      <c r="R2341" s="182"/>
      <c r="S2341" s="113">
        <f t="shared" si="977"/>
        <v>0</v>
      </c>
      <c r="T2341" s="113">
        <f t="shared" si="978"/>
        <v>0</v>
      </c>
      <c r="U2341" s="557">
        <f t="shared" si="979"/>
        <v>0</v>
      </c>
    </row>
    <row r="2342" spans="1:21" s="552" customFormat="1" ht="15" customHeight="1">
      <c r="A2342" s="621"/>
      <c r="B2342" s="622" t="s">
        <v>1731</v>
      </c>
      <c r="C2342" s="558" t="str">
        <f t="shared" si="980"/>
        <v xml:space="preserve"> </v>
      </c>
      <c r="D2342" s="553"/>
      <c r="E2342" s="694" t="str">
        <f>VLOOKUP($B2342,dongia1,DG!$C$5,)</f>
        <v>Đá 4x6</v>
      </c>
      <c r="F2342" s="555" t="str">
        <f>VLOOKUP($B2342,dongia1,DG!$D$5,)</f>
        <v>m3</v>
      </c>
      <c r="G2342" s="205">
        <f>+G2338*0.13</f>
        <v>0</v>
      </c>
      <c r="H2342" s="556">
        <f t="shared" si="981"/>
        <v>0</v>
      </c>
      <c r="I2342" s="556">
        <f t="shared" si="974"/>
        <v>0</v>
      </c>
      <c r="J2342" s="556">
        <f t="shared" si="975"/>
        <v>0</v>
      </c>
      <c r="K2342" s="556">
        <f t="shared" si="976"/>
        <v>0</v>
      </c>
      <c r="L2342" s="556">
        <f t="shared" si="976"/>
        <v>0</v>
      </c>
      <c r="M2342" s="556"/>
      <c r="N2342" s="556"/>
      <c r="O2342" s="556"/>
      <c r="P2342" s="182">
        <f>VLOOKUP($B2342,dongia1,DG!$F$5,)</f>
        <v>265000</v>
      </c>
      <c r="Q2342" s="182">
        <f>VLOOKUP($B2342,dongia1,DG!$G$5,)</f>
        <v>0</v>
      </c>
      <c r="R2342" s="182"/>
      <c r="S2342" s="113">
        <f t="shared" si="977"/>
        <v>0</v>
      </c>
      <c r="T2342" s="113">
        <f t="shared" si="978"/>
        <v>0</v>
      </c>
      <c r="U2342" s="557">
        <f t="shared" si="979"/>
        <v>0</v>
      </c>
    </row>
    <row r="2343" spans="1:21" s="552" customFormat="1" ht="15" customHeight="1">
      <c r="A2343" s="621"/>
      <c r="B2343" s="622" t="s">
        <v>1732</v>
      </c>
      <c r="C2343" s="558" t="str">
        <f t="shared" si="980"/>
        <v xml:space="preserve"> </v>
      </c>
      <c r="D2343" s="553"/>
      <c r="E2343" s="694" t="str">
        <f>VLOOKUP($B2343,dongia1,DG!$C$5,)</f>
        <v>Nước đổ bê tông</v>
      </c>
      <c r="F2343" s="555" t="str">
        <f>VLOOKUP($B2343,dongia1,DG!$D$5,)</f>
        <v>m3</v>
      </c>
      <c r="G2343" s="205">
        <f>+G2338*0.5</f>
        <v>0</v>
      </c>
      <c r="H2343" s="556">
        <f t="shared" si="981"/>
        <v>0</v>
      </c>
      <c r="I2343" s="556">
        <f t="shared" si="974"/>
        <v>0</v>
      </c>
      <c r="J2343" s="556">
        <f t="shared" si="975"/>
        <v>0</v>
      </c>
      <c r="K2343" s="556">
        <f t="shared" si="976"/>
        <v>0</v>
      </c>
      <c r="L2343" s="556">
        <f t="shared" si="976"/>
        <v>0</v>
      </c>
      <c r="M2343" s="556"/>
      <c r="N2343" s="556"/>
      <c r="O2343" s="556"/>
      <c r="P2343" s="182">
        <f>VLOOKUP($B2343,dongia1,DG!$F$5,)</f>
        <v>15000</v>
      </c>
      <c r="Q2343" s="182">
        <f>VLOOKUP($B2343,dongia1,DG!$G$5,)</f>
        <v>0</v>
      </c>
      <c r="R2343" s="182"/>
      <c r="S2343" s="113">
        <f t="shared" si="977"/>
        <v>0</v>
      </c>
      <c r="T2343" s="113">
        <f t="shared" si="978"/>
        <v>0</v>
      </c>
      <c r="U2343" s="557">
        <f t="shared" si="979"/>
        <v>0</v>
      </c>
    </row>
    <row r="2344" spans="1:21" s="552" customFormat="1" ht="15" customHeight="1">
      <c r="A2344" s="621"/>
      <c r="B2344" s="622" t="s">
        <v>1733</v>
      </c>
      <c r="C2344" s="558" t="str">
        <f t="shared" si="980"/>
        <v xml:space="preserve"> </v>
      </c>
      <c r="D2344" s="553"/>
      <c r="E2344" s="694" t="str">
        <f>VLOOKUP($B2344,dongia1,DG!$C$5,)</f>
        <v>Dây thép buộc A70</v>
      </c>
      <c r="F2344" s="555" t="str">
        <f>VLOOKUP($B2344,dongia1,DG!$D$5,)</f>
        <v>kg</v>
      </c>
      <c r="G2344" s="205">
        <f>+G2338*0.14</f>
        <v>0</v>
      </c>
      <c r="H2344" s="556">
        <f t="shared" si="981"/>
        <v>0</v>
      </c>
      <c r="I2344" s="556">
        <f t="shared" si="974"/>
        <v>0</v>
      </c>
      <c r="J2344" s="556">
        <f t="shared" si="975"/>
        <v>0</v>
      </c>
      <c r="K2344" s="556">
        <f t="shared" si="976"/>
        <v>0</v>
      </c>
      <c r="L2344" s="556">
        <f t="shared" si="976"/>
        <v>0</v>
      </c>
      <c r="M2344" s="556"/>
      <c r="N2344" s="556"/>
      <c r="O2344" s="556"/>
      <c r="P2344" s="182">
        <f>VLOOKUP($B2344,dongia1,DG!$F$5,)</f>
        <v>61100</v>
      </c>
      <c r="Q2344" s="182">
        <f>VLOOKUP($B2344,dongia1,DG!$G$5,)</f>
        <v>0</v>
      </c>
      <c r="R2344" s="182"/>
      <c r="S2344" s="113">
        <f t="shared" si="977"/>
        <v>0</v>
      </c>
      <c r="T2344" s="113">
        <f t="shared" si="978"/>
        <v>0</v>
      </c>
      <c r="U2344" s="557">
        <f t="shared" si="979"/>
        <v>0</v>
      </c>
    </row>
    <row r="2345" spans="1:21" s="552" customFormat="1" ht="15" customHeight="1">
      <c r="A2345" s="621"/>
      <c r="B2345" s="622" t="s">
        <v>59</v>
      </c>
      <c r="C2345" s="558" t="str">
        <f t="shared" si="980"/>
        <v xml:space="preserve"> </v>
      </c>
      <c r="D2345" s="553"/>
      <c r="E2345" s="694" t="str">
        <f>VLOOKUP($B2345,dongia1,DG!$C$5,)</f>
        <v>Sắt   Þ8</v>
      </c>
      <c r="F2345" s="555" t="str">
        <f>VLOOKUP($B2345,dongia1,DG!$D$5,)</f>
        <v>kg</v>
      </c>
      <c r="G2345" s="205">
        <f>+G2338*16</f>
        <v>0</v>
      </c>
      <c r="H2345" s="556">
        <f t="shared" si="981"/>
        <v>0</v>
      </c>
      <c r="I2345" s="556">
        <f t="shared" si="974"/>
        <v>0</v>
      </c>
      <c r="J2345" s="556">
        <f t="shared" si="975"/>
        <v>0</v>
      </c>
      <c r="K2345" s="556">
        <f t="shared" si="976"/>
        <v>0</v>
      </c>
      <c r="L2345" s="556">
        <f t="shared" si="976"/>
        <v>0</v>
      </c>
      <c r="M2345" s="556"/>
      <c r="N2345" s="556"/>
      <c r="O2345" s="556"/>
      <c r="P2345" s="182">
        <f>VLOOKUP($B2345,dongia1,DG!$F$5,)</f>
        <v>13200</v>
      </c>
      <c r="Q2345" s="182">
        <f>VLOOKUP($B2345,dongia1,DG!$G$5,)</f>
        <v>0</v>
      </c>
      <c r="R2345" s="182"/>
      <c r="S2345" s="113">
        <f t="shared" si="977"/>
        <v>0</v>
      </c>
      <c r="T2345" s="113">
        <f t="shared" si="978"/>
        <v>0</v>
      </c>
      <c r="U2345" s="557">
        <f t="shared" si="979"/>
        <v>0</v>
      </c>
    </row>
    <row r="2346" spans="1:21" s="552" customFormat="1" ht="15" customHeight="1">
      <c r="A2346" s="621"/>
      <c r="B2346" s="622" t="s">
        <v>1734</v>
      </c>
      <c r="C2346" s="558" t="str">
        <f t="shared" si="980"/>
        <v xml:space="preserve"> </v>
      </c>
      <c r="D2346" s="553"/>
      <c r="E2346" s="694" t="str">
        <f>VLOOKUP($B2346,dongia1,DG!$C$5,)</f>
        <v>Cừ tràm 2,5m</v>
      </c>
      <c r="F2346" s="555" t="str">
        <f>VLOOKUP($B2346,dongia1,DG!$D$5,)</f>
        <v>cây</v>
      </c>
      <c r="G2346" s="205">
        <f>+G2338*36</f>
        <v>0</v>
      </c>
      <c r="H2346" s="556">
        <f t="shared" si="981"/>
        <v>0</v>
      </c>
      <c r="I2346" s="556">
        <f t="shared" si="974"/>
        <v>0</v>
      </c>
      <c r="J2346" s="556">
        <f t="shared" si="975"/>
        <v>0</v>
      </c>
      <c r="K2346" s="556">
        <f t="shared" si="976"/>
        <v>0</v>
      </c>
      <c r="L2346" s="556">
        <f t="shared" si="976"/>
        <v>0</v>
      </c>
      <c r="M2346" s="556"/>
      <c r="N2346" s="556"/>
      <c r="O2346" s="556"/>
      <c r="P2346" s="182">
        <f>VLOOKUP($B2346,dongia1,DG!$F$5,)</f>
        <v>10000</v>
      </c>
      <c r="Q2346" s="182">
        <f>VLOOKUP($B2346,dongia1,DG!$G$5,)</f>
        <v>1394</v>
      </c>
      <c r="R2346" s="182"/>
      <c r="S2346" s="113">
        <f t="shared" si="977"/>
        <v>0</v>
      </c>
      <c r="T2346" s="113">
        <f t="shared" si="978"/>
        <v>0</v>
      </c>
      <c r="U2346" s="557">
        <f t="shared" si="979"/>
        <v>0</v>
      </c>
    </row>
    <row r="2347" spans="1:21" s="552" customFormat="1" ht="15" customHeight="1">
      <c r="A2347" s="621"/>
      <c r="B2347" s="622" t="s">
        <v>26</v>
      </c>
      <c r="C2347" s="558" t="str">
        <f t="shared" si="980"/>
        <v xml:space="preserve"> </v>
      </c>
      <c r="D2347" s="553"/>
      <c r="E2347" s="694" t="str">
        <f>VLOOKUP($B2347,dongia1,DG!$C$5,)</f>
        <v>Đào hố móng đất cấp 2 sâu &gt;1m DT&lt;5m2</v>
      </c>
      <c r="F2347" s="555" t="str">
        <f>VLOOKUP($B2347,dongia1,DG!$D$5,)</f>
        <v>m3</v>
      </c>
      <c r="G2347" s="205">
        <f>+G2338*15</f>
        <v>0</v>
      </c>
      <c r="H2347" s="556">
        <f t="shared" si="981"/>
        <v>0</v>
      </c>
      <c r="I2347" s="556"/>
      <c r="J2347" s="556"/>
      <c r="K2347" s="556"/>
      <c r="L2347" s="556"/>
      <c r="M2347" s="556"/>
      <c r="N2347" s="556"/>
      <c r="O2347" s="556"/>
      <c r="P2347" s="182">
        <f>VLOOKUP($B2347,dongia1,DG!$F$5,)</f>
        <v>0</v>
      </c>
      <c r="Q2347" s="182">
        <f>VLOOKUP($B2347,dongia1,DG!$G$5,)</f>
        <v>97630</v>
      </c>
      <c r="R2347" s="182"/>
      <c r="S2347" s="113">
        <f t="shared" si="977"/>
        <v>0</v>
      </c>
      <c r="T2347" s="113">
        <f t="shared" si="978"/>
        <v>0</v>
      </c>
      <c r="U2347" s="557">
        <f t="shared" si="979"/>
        <v>0</v>
      </c>
    </row>
    <row r="2348" spans="1:21" s="552" customFormat="1" ht="15" customHeight="1">
      <c r="A2348" s="621"/>
      <c r="B2348" s="622" t="s">
        <v>27</v>
      </c>
      <c r="C2348" s="558" t="str">
        <f t="shared" si="980"/>
        <v xml:space="preserve"> </v>
      </c>
      <c r="D2348" s="553"/>
      <c r="E2348" s="694" t="str">
        <f>VLOOKUP($B2348,dongia1,DG!$C$5,)</f>
        <v>Đắp đất hố móng K=0,85</v>
      </c>
      <c r="F2348" s="555" t="str">
        <f>VLOOKUP($B2348,dongia1,DG!$D$5,)</f>
        <v>m3</v>
      </c>
      <c r="G2348" s="205">
        <f>+G2338*15</f>
        <v>0</v>
      </c>
      <c r="H2348" s="556">
        <f t="shared" si="981"/>
        <v>0</v>
      </c>
      <c r="I2348" s="556"/>
      <c r="J2348" s="556"/>
      <c r="K2348" s="556"/>
      <c r="L2348" s="556"/>
      <c r="M2348" s="556"/>
      <c r="N2348" s="556"/>
      <c r="O2348" s="556"/>
      <c r="P2348" s="182">
        <f>VLOOKUP($B2348,dongia1,DG!$F$5,)</f>
        <v>0</v>
      </c>
      <c r="Q2348" s="182">
        <f>VLOOKUP($B2348,dongia1,DG!$G$5,)</f>
        <v>93046</v>
      </c>
      <c r="R2348" s="182"/>
      <c r="S2348" s="113">
        <f t="shared" si="977"/>
        <v>0</v>
      </c>
      <c r="T2348" s="113">
        <f t="shared" si="978"/>
        <v>0</v>
      </c>
      <c r="U2348" s="557">
        <f t="shared" si="979"/>
        <v>0</v>
      </c>
    </row>
    <row r="2349" spans="1:21" s="552" customFormat="1" ht="15" customHeight="1">
      <c r="A2349" s="621"/>
      <c r="B2349" s="622" t="s">
        <v>70</v>
      </c>
      <c r="C2349" s="558" t="str">
        <f t="shared" si="980"/>
        <v xml:space="preserve"> </v>
      </c>
      <c r="D2349" s="553"/>
      <c r="E2349" s="694" t="str">
        <f>VLOOKUP($B2349,dongia1,DG!$C$5,)</f>
        <v>Đổ bê tông mác M100 đá 4x6 rộng &gt;250cm</v>
      </c>
      <c r="F2349" s="555" t="str">
        <f>VLOOKUP($B2349,dongia1,DG!$D$5,)</f>
        <v>m3</v>
      </c>
      <c r="G2349" s="205">
        <f>+G2338*0.144</f>
        <v>0</v>
      </c>
      <c r="H2349" s="556">
        <f t="shared" si="981"/>
        <v>0</v>
      </c>
      <c r="I2349" s="556"/>
      <c r="J2349" s="556"/>
      <c r="K2349" s="556"/>
      <c r="L2349" s="556"/>
      <c r="M2349" s="556"/>
      <c r="N2349" s="556"/>
      <c r="O2349" s="556"/>
      <c r="P2349" s="182"/>
      <c r="Q2349" s="182">
        <f>VLOOKUP($B2349,dongia1,DG!$G$5,)</f>
        <v>414064.45</v>
      </c>
      <c r="R2349" s="182">
        <f>VLOOKUP($B2349,dongia1,DG!$H$5,)</f>
        <v>0</v>
      </c>
      <c r="S2349" s="113">
        <f>$G2349*P2349</f>
        <v>0</v>
      </c>
      <c r="T2349" s="113">
        <f t="shared" si="978"/>
        <v>0</v>
      </c>
      <c r="U2349" s="557">
        <f t="shared" si="979"/>
        <v>0</v>
      </c>
    </row>
    <row r="2350" spans="1:21" s="552" customFormat="1" ht="15" customHeight="1">
      <c r="A2350" s="621"/>
      <c r="B2350" s="622" t="s">
        <v>2066</v>
      </c>
      <c r="C2350" s="558" t="str">
        <f t="shared" si="980"/>
        <v xml:space="preserve"> </v>
      </c>
      <c r="D2350" s="553"/>
      <c r="E2350" s="694" t="str">
        <f>VLOOKUP($B2350,dongia1,DG!$C$5,)</f>
        <v>Đổ bê tông mác M200 đá 1x 2rộng &gt;250cm</v>
      </c>
      <c r="F2350" s="555" t="str">
        <f>VLOOKUP($B2350,dongia1,DG!$D$5,)</f>
        <v>m3</v>
      </c>
      <c r="G2350" s="205">
        <f>+G2338*1</f>
        <v>0</v>
      </c>
      <c r="H2350" s="556">
        <f t="shared" si="981"/>
        <v>0</v>
      </c>
      <c r="I2350" s="556"/>
      <c r="J2350" s="556"/>
      <c r="K2350" s="556"/>
      <c r="L2350" s="556"/>
      <c r="M2350" s="556"/>
      <c r="N2350" s="556"/>
      <c r="O2350" s="556"/>
      <c r="P2350" s="182"/>
      <c r="Q2350" s="182">
        <f>VLOOKUP($B2350,dongia1,DG!$G$5,)</f>
        <v>466397.5</v>
      </c>
      <c r="R2350" s="182"/>
      <c r="S2350" s="113">
        <f t="shared" si="977"/>
        <v>0</v>
      </c>
      <c r="T2350" s="113">
        <f t="shared" si="978"/>
        <v>0</v>
      </c>
      <c r="U2350" s="557">
        <f t="shared" si="979"/>
        <v>0</v>
      </c>
    </row>
    <row r="2351" spans="1:21" s="552" customFormat="1" ht="15" customHeight="1">
      <c r="A2351" s="621"/>
      <c r="B2351" s="622" t="s">
        <v>1694</v>
      </c>
      <c r="C2351" s="558" t="str">
        <f t="shared" si="980"/>
        <v xml:space="preserve"> </v>
      </c>
      <c r="D2351" s="553"/>
      <c r="E2351" s="694" t="str">
        <f>VLOOKUP($B2351,dongia1,DG!$C$5,)</f>
        <v>Gia công và lắp dựng cốt thép D&lt;=10</v>
      </c>
      <c r="F2351" s="555" t="str">
        <f>VLOOKUP($B2351,dongia1,DG!$D$5,)</f>
        <v>kg</v>
      </c>
      <c r="G2351" s="205">
        <f>+G2338*17</f>
        <v>0</v>
      </c>
      <c r="H2351" s="556">
        <f t="shared" si="981"/>
        <v>0</v>
      </c>
      <c r="I2351" s="556"/>
      <c r="J2351" s="556"/>
      <c r="K2351" s="556"/>
      <c r="L2351" s="556"/>
      <c r="M2351" s="556"/>
      <c r="N2351" s="556"/>
      <c r="O2351" s="556"/>
      <c r="P2351" s="182"/>
      <c r="Q2351" s="182">
        <f>VLOOKUP($B2351,dongia1,DG!$G$5,)</f>
        <v>2965.3303999999998</v>
      </c>
      <c r="R2351" s="182"/>
      <c r="S2351" s="113">
        <f t="shared" ref="S2351:U2352" si="982">$G2351*P2351</f>
        <v>0</v>
      </c>
      <c r="T2351" s="113">
        <f t="shared" si="982"/>
        <v>0</v>
      </c>
      <c r="U2351" s="557">
        <f t="shared" si="982"/>
        <v>0</v>
      </c>
    </row>
    <row r="2352" spans="1:21" s="552" customFormat="1" ht="15" customHeight="1">
      <c r="A2352" s="621"/>
      <c r="B2352" s="622" t="s">
        <v>1695</v>
      </c>
      <c r="C2352" s="558" t="str">
        <f t="shared" si="980"/>
        <v xml:space="preserve"> </v>
      </c>
      <c r="D2352" s="553"/>
      <c r="E2352" s="694" t="str">
        <f>VLOOKUP($B2352,dongia1,DG!$C$5,)</f>
        <v>Gia công và lắp dựng ván khuôn</v>
      </c>
      <c r="F2352" s="555" t="str">
        <f>VLOOKUP($B2352,dongia1,DG!$D$5,)</f>
        <v>m2</v>
      </c>
      <c r="G2352" s="205">
        <f>+G2338*0.144</f>
        <v>0</v>
      </c>
      <c r="H2352" s="556">
        <f t="shared" si="981"/>
        <v>0</v>
      </c>
      <c r="I2352" s="556"/>
      <c r="J2352" s="556"/>
      <c r="K2352" s="556"/>
      <c r="L2352" s="556"/>
      <c r="M2352" s="556"/>
      <c r="N2352" s="556"/>
      <c r="O2352" s="556"/>
      <c r="P2352" s="182">
        <f>VLOOKUP($B2352,dongia1,DG!$F$5,)</f>
        <v>28205</v>
      </c>
      <c r="Q2352" s="182">
        <f>VLOOKUP($B2352,dongia1,DG!$G$5,)</f>
        <v>72781.216</v>
      </c>
      <c r="R2352" s="182"/>
      <c r="S2352" s="113">
        <f t="shared" si="982"/>
        <v>0</v>
      </c>
      <c r="T2352" s="113">
        <f t="shared" si="982"/>
        <v>0</v>
      </c>
      <c r="U2352" s="557">
        <f t="shared" si="982"/>
        <v>0</v>
      </c>
    </row>
    <row r="2353" spans="3:21" ht="14.4" thickBot="1">
      <c r="C2353" s="697" t="s">
        <v>309</v>
      </c>
      <c r="D2353" s="953"/>
      <c r="E2353" s="954"/>
      <c r="F2353" s="955"/>
      <c r="G2353" s="956"/>
      <c r="H2353" s="957"/>
      <c r="I2353" s="958"/>
      <c r="J2353" s="958"/>
      <c r="K2353" s="958"/>
      <c r="L2353" s="958"/>
      <c r="M2353" s="958"/>
      <c r="N2353" s="958"/>
      <c r="O2353" s="958"/>
      <c r="P2353" s="955"/>
      <c r="Q2353" s="955"/>
      <c r="R2353" s="955"/>
      <c r="S2353" s="955"/>
      <c r="T2353" s="955"/>
      <c r="U2353" s="959"/>
    </row>
    <row r="2354" spans="3:21" ht="14.4" thickTop="1"/>
    <row r="2359" spans="3:21">
      <c r="E2359" s="960"/>
    </row>
  </sheetData>
  <autoFilter ref="A9:U630" xr:uid="{EE6209BA-8D0D-4036-958A-BDB80CFD726F}">
    <filterColumn colId="0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mergeCells count="10">
    <mergeCell ref="D7:U7"/>
    <mergeCell ref="O9:O10"/>
    <mergeCell ref="I9:I10"/>
    <mergeCell ref="J9:J10"/>
    <mergeCell ref="K9:K10"/>
    <mergeCell ref="L9:L10"/>
    <mergeCell ref="N9:N10"/>
    <mergeCell ref="M9:M10"/>
    <mergeCell ref="H9:H10"/>
    <mergeCell ref="D9:D10"/>
  </mergeCells>
  <phoneticPr fontId="0" type="noConversion"/>
  <printOptions horizontalCentered="1"/>
  <pageMargins left="0.23622047244094491" right="0.23622047244094491" top="0.6692913385826772" bottom="0.47244094488188981" header="0.23622047244094491" footer="0.23622047244094491"/>
  <pageSetup paperSize="9" scale="90" orientation="landscape" blackAndWhite="1" useFirstPageNumber="1" r:id="rId1"/>
  <headerFooter alignWithMargins="0">
    <oddFooter>&amp;C&amp;A&amp;RPage&amp;P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>
    <tabColor rgb="FFFFC000"/>
  </sheetPr>
  <dimension ref="A1:XFA737"/>
  <sheetViews>
    <sheetView showGridLines="0" showZeros="0" topLeftCell="A612" zoomScale="80" zoomScaleNormal="80" workbookViewId="0">
      <selection activeCell="E20" sqref="E20"/>
    </sheetView>
  </sheetViews>
  <sheetFormatPr defaultColWidth="9.109375" defaultRowHeight="13.8" outlineLevelRow="1" outlineLevelCol="1"/>
  <cols>
    <col min="1" max="1" width="8.6640625" style="32" customWidth="1"/>
    <col min="2" max="2" width="19.5546875" style="32" customWidth="1"/>
    <col min="3" max="3" width="9" style="32" customWidth="1"/>
    <col min="4" max="4" width="11.5546875" style="32" customWidth="1"/>
    <col min="5" max="5" width="46.6640625" style="32" customWidth="1"/>
    <col min="6" max="6" width="8.33203125" style="32" customWidth="1"/>
    <col min="7" max="7" width="11.6640625" style="28" customWidth="1"/>
    <col min="8" max="8" width="14.5546875" style="32" customWidth="1" outlineLevel="1"/>
    <col min="9" max="9" width="6.88671875" style="32" hidden="1" customWidth="1" outlineLevel="1"/>
    <col min="10" max="10" width="13.5546875" style="32" customWidth="1" outlineLevel="1"/>
    <col min="11" max="11" width="10.44140625" style="32" customWidth="1" outlineLevel="1"/>
    <col min="12" max="12" width="15.6640625" style="27" customWidth="1" outlineLevel="1"/>
    <col min="13" max="13" width="6.88671875" style="27" hidden="1" customWidth="1" outlineLevel="1"/>
    <col min="14" max="14" width="14.5546875" style="27" customWidth="1" outlineLevel="1"/>
    <col min="15" max="15" width="13.88671875" style="27" customWidth="1" outlineLevel="1"/>
    <col min="16" max="16" width="12.88671875" style="32" customWidth="1"/>
    <col min="17" max="16384" width="9.109375" style="32"/>
  </cols>
  <sheetData>
    <row r="1" spans="1:16" outlineLevel="1">
      <c r="E1" s="87"/>
      <c r="F1" s="92" t="s">
        <v>3857</v>
      </c>
      <c r="G1" s="264"/>
      <c r="H1" s="264"/>
      <c r="I1" s="265"/>
      <c r="J1" s="88"/>
      <c r="K1" s="89"/>
      <c r="L1" s="89"/>
      <c r="M1" s="89"/>
      <c r="N1" s="2446"/>
    </row>
    <row r="2" spans="1:16" outlineLevel="1">
      <c r="E2" s="90"/>
      <c r="F2" s="91" t="s">
        <v>3858</v>
      </c>
      <c r="G2" s="91" t="s">
        <v>3859</v>
      </c>
      <c r="H2" s="91" t="s">
        <v>3860</v>
      </c>
      <c r="I2" s="92" t="s">
        <v>1213</v>
      </c>
      <c r="J2" s="93"/>
      <c r="K2" s="94"/>
      <c r="L2" s="94"/>
      <c r="M2" s="94"/>
      <c r="N2" s="2446"/>
    </row>
    <row r="3" spans="1:16" outlineLevel="1">
      <c r="E3" s="95" t="s">
        <v>3861</v>
      </c>
      <c r="F3" s="97">
        <f>ppCN!BF40</f>
        <v>0</v>
      </c>
      <c r="G3" s="97"/>
      <c r="H3" s="97"/>
      <c r="I3" s="99">
        <f>+ppCN!AY40</f>
        <v>0</v>
      </c>
      <c r="J3" s="93"/>
      <c r="K3" s="94"/>
      <c r="L3" s="94"/>
      <c r="M3" s="94"/>
      <c r="N3" s="94"/>
    </row>
    <row r="4" spans="1:16" outlineLevel="1">
      <c r="E4" s="95" t="s">
        <v>3862</v>
      </c>
      <c r="F4" s="96"/>
      <c r="G4" s="97"/>
      <c r="H4" s="98"/>
      <c r="I4" s="99"/>
      <c r="J4" s="93"/>
      <c r="K4" s="94"/>
      <c r="L4" s="94"/>
      <c r="M4" s="94"/>
      <c r="N4" s="94"/>
    </row>
    <row r="5" spans="1:16" outlineLevel="1">
      <c r="E5" s="95" t="s">
        <v>3863</v>
      </c>
      <c r="F5" s="96">
        <f>+ppCN!AZ40</f>
        <v>0</v>
      </c>
      <c r="G5" s="97"/>
      <c r="H5" s="98"/>
      <c r="I5" s="99">
        <f>+ppCN!AZ40</f>
        <v>0</v>
      </c>
      <c r="J5" s="93"/>
      <c r="K5" s="94"/>
      <c r="L5" s="94"/>
      <c r="M5" s="94"/>
      <c r="N5" s="94"/>
    </row>
    <row r="6" spans="1:16" outlineLevel="1">
      <c r="E6" s="95" t="s">
        <v>3864</v>
      </c>
      <c r="F6" s="96"/>
      <c r="G6" s="97"/>
      <c r="H6" s="98"/>
      <c r="I6" s="99"/>
      <c r="J6" s="93"/>
      <c r="K6" s="94"/>
      <c r="L6" s="94"/>
      <c r="M6" s="94"/>
      <c r="N6" s="94"/>
    </row>
    <row r="7" spans="1:16" outlineLevel="1">
      <c r="E7" s="95" t="s">
        <v>3865</v>
      </c>
      <c r="F7" s="98">
        <f>ppCN!BD40</f>
        <v>0</v>
      </c>
      <c r="G7" s="97"/>
      <c r="H7" s="98"/>
      <c r="I7" s="99"/>
      <c r="J7" s="93"/>
      <c r="K7" s="94"/>
      <c r="L7" s="94"/>
      <c r="M7" s="94"/>
      <c r="N7" s="94"/>
    </row>
    <row r="8" spans="1:16" outlineLevel="1">
      <c r="E8" s="95" t="s">
        <v>3866</v>
      </c>
      <c r="F8" s="98"/>
      <c r="G8" s="97"/>
      <c r="H8" s="98"/>
      <c r="I8" s="99">
        <f>ppCN!AX40</f>
        <v>0</v>
      </c>
      <c r="J8" s="93"/>
      <c r="K8" s="94"/>
      <c r="L8" s="94"/>
      <c r="M8" s="94"/>
      <c r="N8" s="94"/>
    </row>
    <row r="9" spans="1:16" outlineLevel="1">
      <c r="E9" s="95" t="s">
        <v>3867</v>
      </c>
      <c r="F9" s="100">
        <f>SUM(F3:F8)</f>
        <v>0</v>
      </c>
      <c r="G9" s="101">
        <f>SUM(G3:G8)</f>
        <v>0</v>
      </c>
      <c r="H9" s="102">
        <f>SUM(H3:H8)</f>
        <v>0</v>
      </c>
      <c r="I9" s="103">
        <f>SUM(I3:I8)</f>
        <v>0</v>
      </c>
      <c r="J9" s="104">
        <f>SUM(F9:I9)</f>
        <v>0</v>
      </c>
      <c r="K9" s="94"/>
      <c r="L9" s="94"/>
      <c r="M9" s="94"/>
      <c r="N9" s="94"/>
    </row>
    <row r="10" spans="1:16" outlineLevel="1">
      <c r="C10" s="105"/>
      <c r="D10" s="106"/>
      <c r="E10" s="106"/>
      <c r="F10" s="106"/>
      <c r="H10" s="106"/>
      <c r="I10" s="106"/>
      <c r="J10" s="106"/>
      <c r="K10" s="106"/>
      <c r="P10" s="106"/>
    </row>
    <row r="11" spans="1:16" ht="24.75" customHeight="1">
      <c r="A11" s="107" t="str">
        <f>IF(SUM(L29:O29)+SUM(L400:O400)+SUM(L723:O723)&lt;&gt;0,"x","")</f>
        <v/>
      </c>
      <c r="C11" s="2447" t="e">
        <f>"BẢNG "&amp;#REF!&amp;": BẢNG CHI TIẾT CHI PHÍ TB, VẬT LIỆU, NHÂN CÔNG, MÁY THI CÔNG PHẦN CÁP NGẦM"</f>
        <v>#REF!</v>
      </c>
      <c r="D11" s="2447"/>
      <c r="E11" s="2447"/>
      <c r="F11" s="2447"/>
      <c r="G11" s="2447"/>
      <c r="H11" s="2447"/>
      <c r="I11" s="2447"/>
      <c r="J11" s="2447"/>
      <c r="K11" s="2447"/>
      <c r="L11" s="2447"/>
      <c r="M11" s="2447"/>
      <c r="N11" s="2447"/>
      <c r="O11" s="2448"/>
      <c r="P11" s="2447"/>
    </row>
    <row r="12" spans="1:16">
      <c r="B12" s="108"/>
      <c r="C12" s="2447"/>
      <c r="D12" s="2447"/>
      <c r="E12" s="2447"/>
      <c r="F12" s="2447"/>
      <c r="G12" s="2447"/>
      <c r="H12" s="2447"/>
      <c r="I12" s="2447"/>
      <c r="J12" s="2447"/>
      <c r="K12" s="2447"/>
      <c r="L12" s="2447"/>
      <c r="M12" s="2447"/>
      <c r="N12" s="2447"/>
      <c r="O12" s="2448"/>
      <c r="P12" s="2447"/>
    </row>
    <row r="13" spans="1:16">
      <c r="A13" s="29"/>
      <c r="B13" s="109" t="s">
        <v>3721</v>
      </c>
      <c r="C13" s="2453" t="s">
        <v>1014</v>
      </c>
      <c r="D13" s="2453" t="s">
        <v>3363</v>
      </c>
      <c r="E13" s="2455" t="s">
        <v>3364</v>
      </c>
      <c r="F13" s="2453" t="s">
        <v>3365</v>
      </c>
      <c r="G13" s="30" t="s">
        <v>3367</v>
      </c>
      <c r="H13" s="2449" t="s">
        <v>3368</v>
      </c>
      <c r="I13" s="2450"/>
      <c r="J13" s="2450"/>
      <c r="K13" s="2451"/>
      <c r="L13" s="2449" t="s">
        <v>3372</v>
      </c>
      <c r="M13" s="2450"/>
      <c r="N13" s="2450"/>
      <c r="O13" s="2451"/>
      <c r="P13" s="2453" t="s">
        <v>3373</v>
      </c>
    </row>
    <row r="14" spans="1:16" s="34" customFormat="1">
      <c r="A14" s="29"/>
      <c r="B14" s="109"/>
      <c r="C14" s="2454"/>
      <c r="D14" s="2454"/>
      <c r="E14" s="2456"/>
      <c r="F14" s="2454"/>
      <c r="G14" s="33" t="s">
        <v>3366</v>
      </c>
      <c r="H14" s="110" t="s">
        <v>895</v>
      </c>
      <c r="I14" s="31" t="s">
        <v>394</v>
      </c>
      <c r="J14" s="31" t="s">
        <v>3370</v>
      </c>
      <c r="K14" s="111" t="s">
        <v>3795</v>
      </c>
      <c r="L14" s="111" t="s">
        <v>895</v>
      </c>
      <c r="M14" s="111" t="s">
        <v>394</v>
      </c>
      <c r="N14" s="111" t="s">
        <v>3370</v>
      </c>
      <c r="O14" s="111" t="s">
        <v>3795</v>
      </c>
      <c r="P14" s="2454"/>
    </row>
    <row r="15" spans="1:16" s="34" customFormat="1">
      <c r="A15" s="29">
        <v>1</v>
      </c>
      <c r="B15" s="109"/>
      <c r="C15" s="35" t="s">
        <v>1512</v>
      </c>
      <c r="D15" s="36"/>
      <c r="E15" s="37" t="s">
        <v>3805</v>
      </c>
      <c r="F15" s="1840"/>
      <c r="G15" s="1841"/>
      <c r="H15" s="1842"/>
      <c r="I15" s="38"/>
      <c r="J15" s="1842"/>
      <c r="K15" s="1842"/>
      <c r="L15" s="1843"/>
      <c r="M15" s="27"/>
      <c r="N15" s="1843"/>
      <c r="O15" s="1843"/>
      <c r="P15" s="1844"/>
    </row>
    <row r="16" spans="1:16" s="34" customFormat="1">
      <c r="A16" s="29" t="str">
        <f t="shared" ref="A16:A28" si="0">IF(G16=0,"",1)</f>
        <v/>
      </c>
      <c r="B16" s="153" t="s">
        <v>5705</v>
      </c>
      <c r="C16" s="114" t="str">
        <f>IF(G16=0,"",COUNTIF($G$16:$G16,"&gt;0"))</f>
        <v/>
      </c>
      <c r="D16" s="115" t="str">
        <f>VLOOKUP($B16,dongia1,DG!$B$5,)</f>
        <v>T2.2204</v>
      </c>
      <c r="E16" s="116" t="str">
        <f>VLOOKUP($B16,dongia1,DG!$C$5,)</f>
        <v>Recloser 24kV 630A</v>
      </c>
      <c r="F16" s="117" t="s">
        <v>3470</v>
      </c>
      <c r="G16" s="118">
        <f>ppCN!Z40</f>
        <v>0</v>
      </c>
      <c r="H16" s="116">
        <f>VLOOKUP($B16,dongia1,DG!$E$5,)</f>
        <v>255000000</v>
      </c>
      <c r="I16" s="116"/>
      <c r="J16" s="116">
        <f>VLOOKUP($B16,dongia1,DG!$G$5,)</f>
        <v>1941863.1232000005</v>
      </c>
      <c r="K16" s="116">
        <f>VLOOKUP($B16,dongia1,DG!$H$5,)</f>
        <v>218852</v>
      </c>
      <c r="L16" s="118">
        <f>H16*$G16</f>
        <v>0</v>
      </c>
      <c r="M16" s="118"/>
      <c r="N16" s="118">
        <f t="shared" ref="M16:O28" si="1">J16*$G16</f>
        <v>0</v>
      </c>
      <c r="O16" s="118">
        <f t="shared" si="1"/>
        <v>0</v>
      </c>
      <c r="P16" s="117"/>
    </row>
    <row r="17" spans="1:16" s="34" customFormat="1">
      <c r="A17" s="29" t="str">
        <f t="shared" si="0"/>
        <v/>
      </c>
      <c r="B17" s="153" t="s">
        <v>795</v>
      </c>
      <c r="C17" s="119" t="str">
        <f>IF(G17=0,"",COUNTIF($G$16:$G17,"&gt;0"))</f>
        <v/>
      </c>
      <c r="D17" s="120" t="str">
        <f>VLOOKUP($B17,dongia1,DG!$B$5,)</f>
        <v>T2.2204</v>
      </c>
      <c r="E17" s="121" t="str">
        <f>VLOOKUP($B17,dongia1,DG!$C$5,)</f>
        <v>LBS SF6 3pha 24kV 630A - 16kA</v>
      </c>
      <c r="F17" s="122" t="s">
        <v>2113</v>
      </c>
      <c r="G17" s="75"/>
      <c r="H17" s="123">
        <f>VLOOKUP($B17,dongia1,DG!$E$5,)</f>
        <v>79800000</v>
      </c>
      <c r="I17" s="124"/>
      <c r="J17" s="123">
        <f>VLOOKUP($B17,dongia1,DG!$G$5,)</f>
        <v>1918837</v>
      </c>
      <c r="K17" s="123">
        <f>VLOOKUP($B17,dongia1,DG!$H$5,)</f>
        <v>218852</v>
      </c>
      <c r="L17" s="75">
        <f>H17*$G17</f>
        <v>0</v>
      </c>
      <c r="M17" s="75">
        <f>I17*$G17</f>
        <v>0</v>
      </c>
      <c r="N17" s="75">
        <f>J17*$G17</f>
        <v>0</v>
      </c>
      <c r="O17" s="75">
        <f>K17*$G17</f>
        <v>0</v>
      </c>
      <c r="P17" s="122"/>
    </row>
    <row r="18" spans="1:16" s="34" customFormat="1">
      <c r="A18" s="29" t="str">
        <f t="shared" si="0"/>
        <v/>
      </c>
      <c r="B18" s="153" t="s">
        <v>434</v>
      </c>
      <c r="C18" s="119" t="str">
        <f>IF(G18=0,"",COUNTIF($G$16:$G18,"&gt;0"))</f>
        <v/>
      </c>
      <c r="D18" s="120" t="str">
        <f>VLOOKUP($B18,dongia1,DG!$B$5,)</f>
        <v>T2.3114</v>
      </c>
      <c r="E18" s="121" t="str">
        <f>VLOOKUP($B18,dongia1,DG!$C$5,)</f>
        <v xml:space="preserve">DS 1P - 24KV - 600A </v>
      </c>
      <c r="F18" s="112" t="s">
        <v>2113</v>
      </c>
      <c r="G18" s="73">
        <f>+ppCN!AD40</f>
        <v>0</v>
      </c>
      <c r="H18" s="827">
        <f>VLOOKUP($B18,dongia1,DG!$E$5,)</f>
        <v>4541400</v>
      </c>
      <c r="I18" s="121"/>
      <c r="J18" s="121">
        <f>VLOOKUP($B18,dongia1,DG!$G$5,)</f>
        <v>691097.6399999999</v>
      </c>
      <c r="K18" s="121">
        <f>VLOOKUP($B18,dongia1,DG!$H$5,)</f>
        <v>131311</v>
      </c>
      <c r="L18" s="73">
        <f>H18*$G18</f>
        <v>0</v>
      </c>
      <c r="M18" s="73"/>
      <c r="N18" s="73">
        <f t="shared" si="1"/>
        <v>0</v>
      </c>
      <c r="O18" s="73">
        <f t="shared" si="1"/>
        <v>0</v>
      </c>
      <c r="P18" s="112"/>
    </row>
    <row r="19" spans="1:16" s="61" customFormat="1" ht="27.6">
      <c r="A19" s="137" t="str">
        <f>IF(G19=0,"",1)</f>
        <v/>
      </c>
      <c r="B19" s="266" t="s">
        <v>5551</v>
      </c>
      <c r="C19" s="267" t="str">
        <f>IF(G19=0,"",COUNTIF($G$16:$G19,"&gt;0"))</f>
        <v/>
      </c>
      <c r="D19" s="268" t="str">
        <f>VLOOKUP($B19,dongia1,DG!$B$5,)</f>
        <v>T5.2002</v>
      </c>
      <c r="E19" s="151" t="str">
        <f>VLOOKUP($B19,dongia1,DG!$C$5,)</f>
        <v>Tủ RMU 3 pha 630A -16kA 3 ngăn IQI + vỏ tủ +phụ kiện + báo áp suất khí (20kA/S)</v>
      </c>
      <c r="F19" s="271" t="s">
        <v>2113</v>
      </c>
      <c r="G19" s="73">
        <f>ppCN!AA40</f>
        <v>0</v>
      </c>
      <c r="H19" s="269">
        <f>VLOOKUP($B19,dongia1,DG!$E$5,)</f>
        <v>300000000</v>
      </c>
      <c r="I19" s="269"/>
      <c r="J19" s="269">
        <f>VLOOKUP($B19,dongia1,DG!$G$5,)</f>
        <v>2546149.2000000002</v>
      </c>
      <c r="K19" s="269">
        <f>VLOOKUP($B19,dongia1,DG!$H$5,)</f>
        <v>55839</v>
      </c>
      <c r="L19" s="73">
        <f>H19*$G19</f>
        <v>0</v>
      </c>
      <c r="M19" s="73"/>
      <c r="N19" s="73">
        <f t="shared" si="1"/>
        <v>0</v>
      </c>
      <c r="O19" s="73">
        <f t="shared" si="1"/>
        <v>0</v>
      </c>
      <c r="P19" s="271"/>
    </row>
    <row r="20" spans="1:16" s="34" customFormat="1">
      <c r="A20" s="29" t="str">
        <f>IF(G20=0,"",1)</f>
        <v/>
      </c>
      <c r="B20" s="153" t="s">
        <v>5721</v>
      </c>
      <c r="C20" s="119" t="str">
        <f>IF(G20=0,"",COUNTIF($G$16:$G20,"&gt;0"))</f>
        <v/>
      </c>
      <c r="D20" s="120" t="str">
        <f>VLOOKUP($B20,dongia1,DG!$B$5,)</f>
        <v>T5.1002</v>
      </c>
      <c r="E20" s="121" t="str">
        <f>VLOOKUP($B20,dongia1,DG!$C$5,)</f>
        <v>Vỏ tủ đo đếm trung thế sơn tỉnh điện</v>
      </c>
      <c r="F20" s="126" t="s">
        <v>2113</v>
      </c>
      <c r="G20" s="73">
        <f>G19</f>
        <v>0</v>
      </c>
      <c r="H20" s="121">
        <f>VLOOKUP($B20,dongia1,DG!$E$5,)</f>
        <v>50000000</v>
      </c>
      <c r="I20" s="127"/>
      <c r="J20" s="121">
        <f>VLOOKUP($B20,dongia1,DG!$G$5,)</f>
        <v>872965.44</v>
      </c>
      <c r="K20" s="121">
        <f>VLOOKUP($B20,dongia1,DG!$H$5,)</f>
        <v>55839</v>
      </c>
      <c r="L20" s="73">
        <f>H20*$G20</f>
        <v>0</v>
      </c>
      <c r="M20" s="73"/>
      <c r="N20" s="73">
        <f>J20*$G20</f>
        <v>0</v>
      </c>
      <c r="O20" s="73">
        <f>K20*$G20</f>
        <v>0</v>
      </c>
      <c r="P20" s="112"/>
    </row>
    <row r="21" spans="1:16" s="34" customFormat="1">
      <c r="A21" s="29" t="str">
        <f>IF(G21=0,"",1)</f>
        <v/>
      </c>
      <c r="B21" s="1690" t="s">
        <v>5730</v>
      </c>
      <c r="C21" s="119" t="str">
        <f>IF(G21=0,"",COUNTIF($G$16:$G21,"&gt;0"))</f>
        <v/>
      </c>
      <c r="D21" s="120">
        <f>VLOOKUP($B21,dongia1,DG!$B$5,)</f>
        <v>0</v>
      </c>
      <c r="E21" s="121" t="str">
        <f>VLOOKUP($B21,dongia1,DG!$C$5,)</f>
        <v>Chì ống 24kV - 100A</v>
      </c>
      <c r="F21" s="112" t="s">
        <v>3108</v>
      </c>
      <c r="G21" s="73">
        <f>G19*3</f>
        <v>0</v>
      </c>
      <c r="H21" s="121">
        <f>VLOOKUP($B21,dongia1,DG!$F$5,)</f>
        <v>1500000</v>
      </c>
      <c r="I21" s="121"/>
      <c r="J21" s="121">
        <f>VLOOKUP($B21,dongia1,DG!$G$5,)</f>
        <v>0</v>
      </c>
      <c r="K21" s="121">
        <f>VLOOKUP($B21,dongia1,DG!$H$5,)</f>
        <v>0</v>
      </c>
      <c r="L21" s="73">
        <f t="shared" ref="L21:L28" si="2">H21*$G21</f>
        <v>0</v>
      </c>
      <c r="M21" s="73"/>
      <c r="N21" s="73">
        <f t="shared" si="1"/>
        <v>0</v>
      </c>
      <c r="O21" s="73">
        <f t="shared" si="1"/>
        <v>0</v>
      </c>
      <c r="P21" s="112"/>
    </row>
    <row r="22" spans="1:16" s="34" customFormat="1">
      <c r="A22" s="29" t="str">
        <f t="shared" si="0"/>
        <v/>
      </c>
      <c r="B22" s="1167" t="s">
        <v>1632</v>
      </c>
      <c r="C22" s="119" t="str">
        <f>IF(G22=0,"",COUNTIF($G$16:$G22,"&gt;0"))</f>
        <v/>
      </c>
      <c r="D22" s="120" t="str">
        <f>VLOOKUP($B22,dongia1,DG!$B$5,)</f>
        <v>T2.3501</v>
      </c>
      <c r="E22" s="121" t="str">
        <f>VLOOKUP($B22,dongia1,DG!$C$5,)&amp;" (cấp nguồn TU Recloser)"</f>
        <v>FCO 24KV - 200A  (cấp nguồn TU Recloser)</v>
      </c>
      <c r="F22" s="126" t="s">
        <v>3129</v>
      </c>
      <c r="G22" s="73">
        <f>G16</f>
        <v>0</v>
      </c>
      <c r="H22" s="121">
        <f>VLOOKUP($B22,dongia1,DG!$E$5,)</f>
        <v>4076000</v>
      </c>
      <c r="I22" s="121"/>
      <c r="J22" s="121">
        <f>VLOOKUP($B22,dongia1,DG!$G$5,)</f>
        <v>176000</v>
      </c>
      <c r="K22" s="121">
        <f>VLOOKUP($B22,dongia1,DG!$H$5,)</f>
        <v>0</v>
      </c>
      <c r="L22" s="73">
        <f>H22*$G22</f>
        <v>0</v>
      </c>
      <c r="M22" s="73"/>
      <c r="N22" s="73">
        <f>J22*$G22</f>
        <v>0</v>
      </c>
      <c r="O22" s="73">
        <f>K22*$G22</f>
        <v>0</v>
      </c>
      <c r="P22" s="112"/>
    </row>
    <row r="23" spans="1:16" s="34" customFormat="1">
      <c r="A23" s="29" t="str">
        <f t="shared" si="0"/>
        <v/>
      </c>
      <c r="B23" s="153" t="s">
        <v>145</v>
      </c>
      <c r="C23" s="119" t="str">
        <f>IF(G23=0,"",COUNTIF($G$16:$G23,"&gt;0"))</f>
        <v/>
      </c>
      <c r="D23" s="120" t="str">
        <f>VLOOKUP($B23,dongia1,DG!$B$5,)</f>
        <v>T2.5004</v>
      </c>
      <c r="E23" s="121" t="str">
        <f>VLOOKUP($B23,dongia1,DG!$C$5,)</f>
        <v>LA 18kV 10kA</v>
      </c>
      <c r="F23" s="126" t="s">
        <v>3129</v>
      </c>
      <c r="G23" s="73">
        <f>+ppCN!AF40</f>
        <v>0</v>
      </c>
      <c r="H23" s="121">
        <f>VLOOKUP($B23,dongia1,DG!$E$5,)</f>
        <v>1106000</v>
      </c>
      <c r="I23" s="127"/>
      <c r="J23" s="121">
        <f>VLOOKUP($B23,dongia1,DG!$G$5,)</f>
        <v>83490</v>
      </c>
      <c r="K23" s="121">
        <f>VLOOKUP($B23,dongia1,DG!$H$5,)</f>
        <v>0</v>
      </c>
      <c r="L23" s="73">
        <f t="shared" si="2"/>
        <v>0</v>
      </c>
      <c r="M23" s="73">
        <f t="shared" si="1"/>
        <v>0</v>
      </c>
      <c r="N23" s="73">
        <f t="shared" si="1"/>
        <v>0</v>
      </c>
      <c r="O23" s="73">
        <f t="shared" si="1"/>
        <v>0</v>
      </c>
      <c r="P23" s="112"/>
    </row>
    <row r="24" spans="1:16" s="34" customFormat="1">
      <c r="A24" s="29" t="str">
        <f t="shared" si="0"/>
        <v/>
      </c>
      <c r="B24" s="153" t="s">
        <v>1348</v>
      </c>
      <c r="C24" s="119" t="str">
        <f>IF(G24=0,"",COUNTIF($G$16:$G24,"&gt;0"))</f>
        <v/>
      </c>
      <c r="D24" s="120">
        <f>VLOOKUP($B24,dongia1,DG!$B$5,)</f>
        <v>0</v>
      </c>
      <c r="E24" s="121" t="str">
        <f>VLOOKUP($B24,dongia1,DG!$C$5,)</f>
        <v>Biến dòng 24kV  75/5A</v>
      </c>
      <c r="F24" s="126" t="s">
        <v>3129</v>
      </c>
      <c r="G24" s="73">
        <f>G20*3</f>
        <v>0</v>
      </c>
      <c r="H24" s="121"/>
      <c r="I24" s="130"/>
      <c r="J24" s="130">
        <f>VLOOKUP($B24,dongia1,DG!$G$5,)</f>
        <v>0</v>
      </c>
      <c r="K24" s="130">
        <f>VLOOKUP($B24,dongia1,DG!$H$5,)</f>
        <v>0</v>
      </c>
      <c r="L24" s="65">
        <f t="shared" si="2"/>
        <v>0</v>
      </c>
      <c r="M24" s="65">
        <f t="shared" si="1"/>
        <v>0</v>
      </c>
      <c r="N24" s="65">
        <f t="shared" si="1"/>
        <v>0</v>
      </c>
      <c r="O24" s="73">
        <f t="shared" si="1"/>
        <v>0</v>
      </c>
      <c r="P24" s="112" t="s">
        <v>3471</v>
      </c>
    </row>
    <row r="25" spans="1:16" s="34" customFormat="1">
      <c r="A25" s="29" t="str">
        <f t="shared" si="0"/>
        <v/>
      </c>
      <c r="B25" s="153" t="s">
        <v>146</v>
      </c>
      <c r="C25" s="119" t="str">
        <f>IF(G25=0,"",COUNTIF($G$16:$G25,"&gt;0"))</f>
        <v/>
      </c>
      <c r="D25" s="120">
        <f>VLOOKUP($B25,dongia1,DG!$B$5,)</f>
        <v>0</v>
      </c>
      <c r="E25" s="121" t="str">
        <f>VLOOKUP($B25,dongia1,DG!$C$5,)</f>
        <v>Biến điện áp 8400/120(60)V</v>
      </c>
      <c r="F25" s="126" t="s">
        <v>3129</v>
      </c>
      <c r="G25" s="73">
        <f>G24</f>
        <v>0</v>
      </c>
      <c r="H25" s="121">
        <f>VLOOKUP($B25,dongia1,DG!$E$5,)</f>
        <v>0</v>
      </c>
      <c r="I25" s="121"/>
      <c r="J25" s="121">
        <f>VLOOKUP($B25,dongia1,DG!$G$5,)*0</f>
        <v>0</v>
      </c>
      <c r="K25" s="121">
        <f>VLOOKUP($B25,dongia1,DG!$H$5,)*0</f>
        <v>0</v>
      </c>
      <c r="L25" s="73">
        <f t="shared" si="2"/>
        <v>0</v>
      </c>
      <c r="M25" s="73">
        <f t="shared" si="1"/>
        <v>0</v>
      </c>
      <c r="N25" s="73">
        <f t="shared" si="1"/>
        <v>0</v>
      </c>
      <c r="O25" s="73">
        <f t="shared" si="1"/>
        <v>0</v>
      </c>
      <c r="P25" s="112" t="s">
        <v>3471</v>
      </c>
    </row>
    <row r="26" spans="1:16" s="34" customFormat="1">
      <c r="A26" s="29" t="str">
        <f t="shared" si="0"/>
        <v/>
      </c>
      <c r="B26" s="153" t="s">
        <v>1873</v>
      </c>
      <c r="C26" s="119" t="str">
        <f>IF(G26=0,"",COUNTIF($G$16:$G26,"&gt;0"))</f>
        <v/>
      </c>
      <c r="D26" s="120">
        <f>VLOOKUP($B26,dongia1,DG!$B$5,)</f>
        <v>0</v>
      </c>
      <c r="E26" s="121" t="str">
        <f>VLOOKUP($B26,dongia1,DG!$C$5,)</f>
        <v>Điện kế 3 pha điện tử 5A</v>
      </c>
      <c r="F26" s="126" t="s">
        <v>3129</v>
      </c>
      <c r="G26" s="73">
        <f>G20</f>
        <v>0</v>
      </c>
      <c r="H26" s="121">
        <f>VLOOKUP($B26,dongia1,DG!$E$5,)</f>
        <v>0</v>
      </c>
      <c r="I26" s="121"/>
      <c r="J26" s="121">
        <f>VLOOKUP($B26,dongia1,DG!$G$5,)</f>
        <v>0</v>
      </c>
      <c r="K26" s="121">
        <f>VLOOKUP($B26,dongia1,DG!$H$5,)</f>
        <v>0</v>
      </c>
      <c r="L26" s="73">
        <f t="shared" si="2"/>
        <v>0</v>
      </c>
      <c r="M26" s="73">
        <f t="shared" si="1"/>
        <v>0</v>
      </c>
      <c r="N26" s="73">
        <f t="shared" si="1"/>
        <v>0</v>
      </c>
      <c r="O26" s="73">
        <f t="shared" si="1"/>
        <v>0</v>
      </c>
      <c r="P26" s="112" t="s">
        <v>3471</v>
      </c>
    </row>
    <row r="27" spans="1:16" s="34" customFormat="1">
      <c r="A27" s="29" t="str">
        <f t="shared" si="0"/>
        <v/>
      </c>
      <c r="B27" s="153" t="s">
        <v>1520</v>
      </c>
      <c r="C27" s="119" t="str">
        <f>IF(G27=0,"",COUNTIF($G$16:$G27,"&gt;0"))</f>
        <v/>
      </c>
      <c r="D27" s="120">
        <f>VLOOKUP($B27,dongia1,DG!$B$5,)</f>
        <v>0</v>
      </c>
      <c r="E27" s="121" t="str">
        <f>VLOOKUP($B27,dongia1,DG!$C$5,)</f>
        <v xml:space="preserve">Ampe kế 100/5A-600v +AS </v>
      </c>
      <c r="F27" s="126" t="s">
        <v>3129</v>
      </c>
      <c r="G27" s="73"/>
      <c r="H27" s="121">
        <f>VLOOKUP($B27,dongia1,DG!$E$5,)</f>
        <v>40000</v>
      </c>
      <c r="I27" s="121">
        <f>VLOOKUP($B27,dongia1,DG!$F$5,)</f>
        <v>0</v>
      </c>
      <c r="J27" s="121">
        <f>VLOOKUP($B27,dongia1,DG!$G$5,)</f>
        <v>0</v>
      </c>
      <c r="K27" s="121">
        <f>VLOOKUP($B27,dongia1,DG!$H$5,)</f>
        <v>0</v>
      </c>
      <c r="L27" s="73">
        <f t="shared" si="2"/>
        <v>0</v>
      </c>
      <c r="M27" s="73">
        <f t="shared" si="1"/>
        <v>0</v>
      </c>
      <c r="N27" s="73">
        <f t="shared" si="1"/>
        <v>0</v>
      </c>
      <c r="O27" s="73">
        <f t="shared" si="1"/>
        <v>0</v>
      </c>
      <c r="P27" s="112"/>
    </row>
    <row r="28" spans="1:16" s="34" customFormat="1">
      <c r="A28" s="29" t="str">
        <f t="shared" si="0"/>
        <v/>
      </c>
      <c r="B28" s="153" t="s">
        <v>1521</v>
      </c>
      <c r="C28" s="132" t="str">
        <f>IF(G28=0,"",COUNTIF($G$16:$G28,"&gt;0"))</f>
        <v/>
      </c>
      <c r="D28" s="120">
        <f>VLOOKUP($B28,dongia1,DG!$B$5,)</f>
        <v>0</v>
      </c>
      <c r="E28" s="127" t="str">
        <f>VLOOKUP($B28,dongia1,DG!$C$5,)</f>
        <v>Volt kế 500V + VS + 2xChì ống 1A-230V</v>
      </c>
      <c r="F28" s="133" t="s">
        <v>2113</v>
      </c>
      <c r="G28" s="128"/>
      <c r="H28" s="127">
        <f>VLOOKUP($B28,dongia1,DG!$E$5,)</f>
        <v>139000</v>
      </c>
      <c r="I28" s="127">
        <f>VLOOKUP($B28,dongia1,DG!$F$5,)</f>
        <v>0</v>
      </c>
      <c r="J28" s="127">
        <f>VLOOKUP($B28,dongia1,DG!$G$5,)</f>
        <v>0</v>
      </c>
      <c r="K28" s="127">
        <f>VLOOKUP($B28,dongia1,DG!$H$5,)</f>
        <v>0</v>
      </c>
      <c r="L28" s="134">
        <f t="shared" si="2"/>
        <v>0</v>
      </c>
      <c r="M28" s="134">
        <f t="shared" si="1"/>
        <v>0</v>
      </c>
      <c r="N28" s="134">
        <f t="shared" si="1"/>
        <v>0</v>
      </c>
      <c r="O28" s="134">
        <f t="shared" si="1"/>
        <v>0</v>
      </c>
      <c r="P28" s="133"/>
    </row>
    <row r="29" spans="1:16" s="1784" customFormat="1">
      <c r="A29" s="1779" t="str">
        <f>IF(L29+N29=0,"",1)</f>
        <v/>
      </c>
      <c r="B29" s="153"/>
      <c r="C29" s="40"/>
      <c r="D29" s="40"/>
      <c r="E29" s="135"/>
      <c r="F29" s="1780"/>
      <c r="G29" s="1643"/>
      <c r="H29" s="1781"/>
      <c r="I29" s="1782"/>
      <c r="J29" s="2444" t="s">
        <v>3806</v>
      </c>
      <c r="K29" s="2445"/>
      <c r="L29" s="229">
        <f>SUM(L16:L28)</f>
        <v>0</v>
      </c>
      <c r="M29" s="987"/>
      <c r="N29" s="229">
        <f>SUM(N16:N28)</f>
        <v>0</v>
      </c>
      <c r="O29" s="229">
        <f>SUM(O16:O28)</f>
        <v>0</v>
      </c>
      <c r="P29" s="1783"/>
    </row>
    <row r="30" spans="1:16" s="34" customFormat="1">
      <c r="A30" s="29">
        <v>1</v>
      </c>
      <c r="B30" s="153"/>
      <c r="C30" s="40" t="s">
        <v>956</v>
      </c>
      <c r="D30" s="41"/>
      <c r="E30" s="42" t="s">
        <v>3807</v>
      </c>
      <c r="F30" s="43"/>
      <c r="G30" s="44"/>
      <c r="H30" s="43"/>
      <c r="I30" s="43"/>
      <c r="J30" s="45"/>
      <c r="K30" s="43"/>
      <c r="L30" s="46"/>
      <c r="M30" s="46"/>
      <c r="N30" s="46"/>
      <c r="O30" s="46"/>
      <c r="P30" s="47"/>
    </row>
    <row r="31" spans="1:16" s="34" customFormat="1">
      <c r="A31" s="29">
        <f>A30</f>
        <v>1</v>
      </c>
      <c r="B31" s="153"/>
      <c r="C31" s="40" t="s">
        <v>341</v>
      </c>
      <c r="D31" s="48"/>
      <c r="E31" s="37" t="s">
        <v>3808</v>
      </c>
      <c r="F31" s="49"/>
      <c r="G31" s="50"/>
      <c r="H31" s="51"/>
      <c r="I31" s="51"/>
      <c r="J31" s="52"/>
      <c r="K31" s="51"/>
      <c r="L31" s="53"/>
      <c r="M31" s="53"/>
      <c r="N31" s="53"/>
      <c r="O31" s="53"/>
      <c r="P31" s="54"/>
    </row>
    <row r="32" spans="1:16" s="1740" customFormat="1" ht="19.5" customHeight="1">
      <c r="A32" s="1731" t="str">
        <f>A400</f>
        <v/>
      </c>
      <c r="B32" s="153"/>
      <c r="C32" s="143">
        <f>IF(G32&gt;0,1,0)</f>
        <v>0</v>
      </c>
      <c r="D32" s="1786"/>
      <c r="E32" s="140" t="s">
        <v>3809</v>
      </c>
      <c r="F32" s="1787" t="s">
        <v>2113</v>
      </c>
      <c r="G32" s="1734">
        <f>+IF(SUM(F9:P9)&gt;0,1,0)</f>
        <v>0</v>
      </c>
      <c r="H32" s="143"/>
      <c r="I32" s="1788"/>
      <c r="J32" s="143"/>
      <c r="K32" s="143"/>
      <c r="L32" s="1789"/>
      <c r="M32" s="1790"/>
      <c r="N32" s="1789"/>
      <c r="O32" s="1789"/>
      <c r="P32" s="143"/>
    </row>
    <row r="33" spans="1:16" s="34" customFormat="1" ht="14.4">
      <c r="A33" s="29" t="str">
        <f>A32</f>
        <v/>
      </c>
      <c r="B33" s="153"/>
      <c r="C33" s="112"/>
      <c r="D33" s="144"/>
      <c r="E33" s="145" t="s">
        <v>3378</v>
      </c>
      <c r="F33" s="146"/>
      <c r="G33" s="57"/>
      <c r="H33" s="147"/>
      <c r="I33" s="148"/>
      <c r="J33" s="149"/>
      <c r="K33" s="147"/>
      <c r="L33" s="58"/>
      <c r="M33" s="59"/>
      <c r="N33" s="58"/>
      <c r="O33" s="58"/>
      <c r="P33" s="150"/>
    </row>
    <row r="34" spans="1:16" s="34" customFormat="1">
      <c r="A34" s="29" t="str">
        <f t="shared" ref="A34:A105" si="3">IF(G34=0,"",1)</f>
        <v/>
      </c>
      <c r="B34" s="153" t="s">
        <v>4908</v>
      </c>
      <c r="C34" s="154"/>
      <c r="D34" s="120"/>
      <c r="E34" s="151" t="str">
        <f>VLOOKUP($B34,dongia1,DG!$C$5,)&amp;" : đấu nối"</f>
        <v>Cáp 24KV C/XLPE- 50mm2 : đấu nối</v>
      </c>
      <c r="F34" s="120" t="str">
        <f>VLOOKUP($B34,dongia1,DG!$D$5,)</f>
        <v>mét</v>
      </c>
      <c r="G34" s="74">
        <f>ppCN!X40</f>
        <v>0</v>
      </c>
      <c r="H34" s="121">
        <f>VLOOKUP($B34,dongia1,DG!$F$5,)</f>
        <v>149500</v>
      </c>
      <c r="I34" s="155"/>
      <c r="J34" s="121"/>
      <c r="K34" s="121"/>
      <c r="L34" s="39">
        <f t="shared" ref="L34:O42" si="4">H34*$G34</f>
        <v>0</v>
      </c>
      <c r="M34" s="39">
        <f t="shared" si="4"/>
        <v>0</v>
      </c>
      <c r="N34" s="39">
        <f t="shared" si="4"/>
        <v>0</v>
      </c>
      <c r="O34" s="39">
        <f t="shared" si="4"/>
        <v>0</v>
      </c>
      <c r="P34" s="112"/>
    </row>
    <row r="35" spans="1:16" s="34" customFormat="1">
      <c r="A35" s="29" t="str">
        <f t="shared" si="3"/>
        <v/>
      </c>
      <c r="B35" s="153" t="s">
        <v>5669</v>
      </c>
      <c r="C35" s="154"/>
      <c r="D35" s="120"/>
      <c r="E35" s="151" t="str">
        <f>VLOOKUP($B35,dongia1,DG!$C$5,)&amp;" : đấu nối"</f>
        <v>Cáp 24KV C/XLPE- 25mm2 : đấu nối</v>
      </c>
      <c r="F35" s="120" t="str">
        <f>VLOOKUP($B35,dongia1,DG!$D$5,)</f>
        <v>mét</v>
      </c>
      <c r="G35" s="74">
        <f>+G23*5</f>
        <v>0</v>
      </c>
      <c r="H35" s="121">
        <f>VLOOKUP($B35,dongia1,DG!$F$5,)</f>
        <v>99600</v>
      </c>
      <c r="I35" s="155"/>
      <c r="J35" s="121"/>
      <c r="K35" s="121"/>
      <c r="L35" s="39">
        <f t="shared" si="4"/>
        <v>0</v>
      </c>
      <c r="M35" s="39">
        <f t="shared" si="4"/>
        <v>0</v>
      </c>
      <c r="N35" s="39">
        <f t="shared" si="4"/>
        <v>0</v>
      </c>
      <c r="O35" s="39">
        <f t="shared" si="4"/>
        <v>0</v>
      </c>
      <c r="P35" s="112"/>
    </row>
    <row r="36" spans="1:16" s="34" customFormat="1">
      <c r="A36" s="29" t="str">
        <f>IF(G36=0,"",1)</f>
        <v/>
      </c>
      <c r="B36" s="153" t="s">
        <v>268</v>
      </c>
      <c r="C36" s="154"/>
      <c r="D36" s="120"/>
      <c r="E36" s="151" t="str">
        <f>VLOOKUP($B36,dongia1,DG!$C$5,)&amp;" : đấu nối"</f>
        <v>Cáp 24KV A/XLPE 50mm2 : đấu nối</v>
      </c>
      <c r="F36" s="120" t="str">
        <f>VLOOKUP($B36,dongia1,DG!$D$5,)</f>
        <v>mét</v>
      </c>
      <c r="G36" s="74">
        <f>ppCN!W40</f>
        <v>0</v>
      </c>
      <c r="H36" s="121">
        <f>VLOOKUP($B36,dongia1,DG!$F$5,)</f>
        <v>58300</v>
      </c>
      <c r="I36" s="155"/>
      <c r="J36" s="121"/>
      <c r="K36" s="121"/>
      <c r="L36" s="39">
        <f>H36*$G36</f>
        <v>0</v>
      </c>
      <c r="M36" s="39">
        <f>I36*$G36</f>
        <v>0</v>
      </c>
      <c r="N36" s="39">
        <f>J36*$G36</f>
        <v>0</v>
      </c>
      <c r="O36" s="39">
        <f>K36*$G36</f>
        <v>0</v>
      </c>
      <c r="P36" s="112"/>
    </row>
    <row r="37" spans="1:16" s="34" customFormat="1">
      <c r="A37" s="29" t="str">
        <f t="shared" si="3"/>
        <v/>
      </c>
      <c r="B37" s="153" t="s">
        <v>882</v>
      </c>
      <c r="C37" s="154">
        <f>F$9*0</f>
        <v>0</v>
      </c>
      <c r="D37" s="120"/>
      <c r="E37" s="151" t="str">
        <f>VLOOKUP($B37,dongia1,DG!$C$5,)</f>
        <v>Cáp 24kV C/XLPE/DSTA/PVC3x150mm2</v>
      </c>
      <c r="F37" s="120" t="str">
        <f>VLOOKUP($B37,dongia1,DG!$D$5,)</f>
        <v>mét</v>
      </c>
      <c r="G37" s="74">
        <f>(C37)*G$32*1.02</f>
        <v>0</v>
      </c>
      <c r="H37" s="121">
        <f>VLOOKUP($B37,dongia1,DG!$F$5,)</f>
        <v>1306600</v>
      </c>
      <c r="I37" s="155"/>
      <c r="J37" s="121"/>
      <c r="K37" s="121">
        <f>VLOOKUP($B37,dongia1,DG!$H$5,)</f>
        <v>0</v>
      </c>
      <c r="L37" s="39">
        <f t="shared" si="4"/>
        <v>0</v>
      </c>
      <c r="M37" s="39">
        <f t="shared" si="4"/>
        <v>0</v>
      </c>
      <c r="N37" s="39">
        <f t="shared" si="4"/>
        <v>0</v>
      </c>
      <c r="O37" s="39">
        <f t="shared" si="4"/>
        <v>0</v>
      </c>
      <c r="P37" s="112"/>
    </row>
    <row r="38" spans="1:16" s="34" customFormat="1">
      <c r="A38" s="29" t="str">
        <f t="shared" si="3"/>
        <v/>
      </c>
      <c r="B38" s="153" t="s">
        <v>1329</v>
      </c>
      <c r="C38" s="154">
        <f>F$9*0</f>
        <v>0</v>
      </c>
      <c r="D38" s="120"/>
      <c r="E38" s="151" t="str">
        <f>VLOOKUP($B38,dongia1,DG!$C$5,)</f>
        <v>Cáp 24kV C/XLPE/DSTA/PVC3x120mm2</v>
      </c>
      <c r="F38" s="120" t="str">
        <f>VLOOKUP($B38,dongia1,DG!$D$5,)</f>
        <v>mét</v>
      </c>
      <c r="G38" s="74">
        <f>(C38)*G$32*1.02</f>
        <v>0</v>
      </c>
      <c r="H38" s="121">
        <f>VLOOKUP($B38,dongia1,DG!$F$5,)</f>
        <v>1048500</v>
      </c>
      <c r="I38" s="155"/>
      <c r="J38" s="121"/>
      <c r="K38" s="121">
        <f>VLOOKUP($B38,dongia1,DG!$H$5,)</f>
        <v>0</v>
      </c>
      <c r="L38" s="39">
        <f t="shared" si="4"/>
        <v>0</v>
      </c>
      <c r="M38" s="39">
        <f t="shared" si="4"/>
        <v>0</v>
      </c>
      <c r="N38" s="39">
        <f t="shared" si="4"/>
        <v>0</v>
      </c>
      <c r="O38" s="39">
        <f t="shared" si="4"/>
        <v>0</v>
      </c>
      <c r="P38" s="112"/>
    </row>
    <row r="39" spans="1:16" s="34" customFormat="1">
      <c r="A39" s="29" t="str">
        <f t="shared" si="3"/>
        <v/>
      </c>
      <c r="B39" s="153" t="s">
        <v>22</v>
      </c>
      <c r="C39" s="154">
        <f>ppCN!AQ40</f>
        <v>0</v>
      </c>
      <c r="D39" s="120"/>
      <c r="E39" s="151" t="str">
        <f>VLOOKUP($B39,dongia1,DG!$C$5,)&amp;" x1,02"</f>
        <v>Cáp 24kV C/XLPE/DSTA/PVC3x50 x1,02</v>
      </c>
      <c r="F39" s="120" t="str">
        <f>VLOOKUP($B39,dongia1,DG!$D$5,)</f>
        <v>mét</v>
      </c>
      <c r="G39" s="74">
        <f>ROUNDUP(C39*G$32*1.02,0)</f>
        <v>0</v>
      </c>
      <c r="H39" s="121">
        <f>VLOOKUP($B39,dongia1,DG!$F$5,)</f>
        <v>763500</v>
      </c>
      <c r="I39" s="156"/>
      <c r="J39" s="121"/>
      <c r="K39" s="121">
        <f>VLOOKUP($B39,dongia1,DG!$H$5,)</f>
        <v>0</v>
      </c>
      <c r="L39" s="39">
        <f t="shared" ref="L39:O40" si="5">H39*$G39</f>
        <v>0</v>
      </c>
      <c r="M39" s="62">
        <f t="shared" si="5"/>
        <v>0</v>
      </c>
      <c r="N39" s="39">
        <f t="shared" si="5"/>
        <v>0</v>
      </c>
      <c r="O39" s="39">
        <f t="shared" si="5"/>
        <v>0</v>
      </c>
      <c r="P39" s="112"/>
    </row>
    <row r="40" spans="1:16" s="34" customFormat="1">
      <c r="A40" s="29" t="str">
        <f t="shared" si="3"/>
        <v/>
      </c>
      <c r="B40" s="153" t="s">
        <v>177</v>
      </c>
      <c r="C40" s="154">
        <f>F$9*0</f>
        <v>0</v>
      </c>
      <c r="D40" s="120"/>
      <c r="E40" s="151" t="str">
        <f>VLOOKUP($B40,dongia1,DG!$C$5,)</f>
        <v>Cáp 24kV C/XLPE/DSTA/PVC3x95mm2</v>
      </c>
      <c r="F40" s="120" t="str">
        <f>VLOOKUP($B40,dongia1,DG!$D$5,)</f>
        <v>mét</v>
      </c>
      <c r="G40" s="74">
        <f>(C40)*G$32*1.02</f>
        <v>0</v>
      </c>
      <c r="H40" s="121">
        <f>VLOOKUP($B40,dongia1,DG!$F$5,)</f>
        <v>892800</v>
      </c>
      <c r="I40" s="156"/>
      <c r="J40" s="121"/>
      <c r="K40" s="121">
        <f>VLOOKUP($B40,dongia1,DG!$H$5,)</f>
        <v>0</v>
      </c>
      <c r="L40" s="39">
        <f t="shared" si="5"/>
        <v>0</v>
      </c>
      <c r="M40" s="62">
        <f t="shared" si="5"/>
        <v>0</v>
      </c>
      <c r="N40" s="39">
        <f t="shared" si="5"/>
        <v>0</v>
      </c>
      <c r="O40" s="39">
        <f t="shared" si="5"/>
        <v>0</v>
      </c>
      <c r="P40" s="112"/>
    </row>
    <row r="41" spans="1:16" s="34" customFormat="1">
      <c r="A41" s="29" t="str">
        <f t="shared" si="3"/>
        <v/>
      </c>
      <c r="B41" s="153" t="s">
        <v>181</v>
      </c>
      <c r="C41" s="154"/>
      <c r="D41" s="154"/>
      <c r="E41" s="151" t="str">
        <f>VLOOKUP($B41,dongia1,DG!$C$5,)</f>
        <v>Cáp 24kV C/XLPE/DSTA/PVC3x240mm2</v>
      </c>
      <c r="F41" s="120" t="str">
        <f>VLOOKUP($B41,dongia1,DG!$D$5,)</f>
        <v>mét</v>
      </c>
      <c r="G41" s="74">
        <f>+ppCN!AJ40*1.02</f>
        <v>0</v>
      </c>
      <c r="H41" s="121">
        <f>VLOOKUP($B41,dongia1,DG!$F$5,)</f>
        <v>2400000</v>
      </c>
      <c r="I41" s="156"/>
      <c r="J41" s="121"/>
      <c r="K41" s="121"/>
      <c r="L41" s="39">
        <f t="shared" si="4"/>
        <v>0</v>
      </c>
      <c r="M41" s="62">
        <f t="shared" si="4"/>
        <v>0</v>
      </c>
      <c r="N41" s="39">
        <f t="shared" si="4"/>
        <v>0</v>
      </c>
      <c r="O41" s="39">
        <f t="shared" si="4"/>
        <v>0</v>
      </c>
      <c r="P41" s="112"/>
    </row>
    <row r="42" spans="1:16" s="34" customFormat="1">
      <c r="A42" s="29" t="str">
        <f t="shared" si="3"/>
        <v/>
      </c>
      <c r="B42" s="153" t="s">
        <v>1365</v>
      </c>
      <c r="C42" s="154"/>
      <c r="D42" s="120"/>
      <c r="E42" s="151" t="str">
        <f>VLOOKUP($B42,dongia1,DG!$C$5,)</f>
        <v>Cáp 24KV C/XLPE/PVC 95mm2</v>
      </c>
      <c r="F42" s="120" t="str">
        <f>VLOOKUP($B42,dongia1,DG!$D$5,)</f>
        <v>mét</v>
      </c>
      <c r="G42" s="74">
        <f>G37</f>
        <v>0</v>
      </c>
      <c r="H42" s="121">
        <f>VLOOKUP($B42,dongia1,DG!$F$5,)</f>
        <v>265000</v>
      </c>
      <c r="I42" s="155"/>
      <c r="J42" s="121"/>
      <c r="K42" s="121">
        <f>VLOOKUP($B42,dongia1,DG!$H$5,)</f>
        <v>0</v>
      </c>
      <c r="L42" s="39">
        <f t="shared" si="4"/>
        <v>0</v>
      </c>
      <c r="M42" s="39">
        <f t="shared" si="4"/>
        <v>0</v>
      </c>
      <c r="N42" s="39">
        <f t="shared" si="4"/>
        <v>0</v>
      </c>
      <c r="O42" s="39">
        <f t="shared" si="4"/>
        <v>0</v>
      </c>
      <c r="P42" s="112"/>
    </row>
    <row r="43" spans="1:16" s="34" customFormat="1">
      <c r="A43" s="29" t="str">
        <f t="shared" si="3"/>
        <v/>
      </c>
      <c r="B43" s="153" t="s">
        <v>2070</v>
      </c>
      <c r="C43" s="119"/>
      <c r="D43" s="120"/>
      <c r="E43" s="151" t="str">
        <f>VLOOKUP($B43,dongia1,DG!$C$5,)</f>
        <v>Cáp 24KV C/XLPE/PVC 70mm2</v>
      </c>
      <c r="F43" s="120" t="str">
        <f>VLOOKUP($B43,dongia1,DG!$D$5,)</f>
        <v>mét</v>
      </c>
      <c r="G43" s="74">
        <f>G38</f>
        <v>0</v>
      </c>
      <c r="H43" s="121">
        <f>VLOOKUP($B43,dongia1,DG!$F$5,)</f>
        <v>197600</v>
      </c>
      <c r="I43" s="155"/>
      <c r="J43" s="121"/>
      <c r="K43" s="121">
        <f>VLOOKUP($B43,dongia1,DG!$H$5,)</f>
        <v>0</v>
      </c>
      <c r="L43" s="39">
        <f t="shared" ref="L43:O44" si="6">H43*$G43</f>
        <v>0</v>
      </c>
      <c r="M43" s="39">
        <f t="shared" si="6"/>
        <v>0</v>
      </c>
      <c r="N43" s="39">
        <f t="shared" si="6"/>
        <v>0</v>
      </c>
      <c r="O43" s="39">
        <f t="shared" si="6"/>
        <v>0</v>
      </c>
      <c r="P43" s="112"/>
    </row>
    <row r="44" spans="1:16" s="34" customFormat="1">
      <c r="A44" s="29" t="str">
        <f t="shared" si="3"/>
        <v/>
      </c>
      <c r="B44" s="153" t="s">
        <v>4966</v>
      </c>
      <c r="C44" s="154">
        <f>C39</f>
        <v>0</v>
      </c>
      <c r="D44" s="154"/>
      <c r="E44" s="151" t="str">
        <f>VLOOKUP($B44,dongia1,DG!$C$5,)&amp;" x1,02- trung hòa"</f>
        <v>Cáp đồng bọc CV25 x1,02- trung hòa</v>
      </c>
      <c r="F44" s="120" t="str">
        <f>VLOOKUP($B44,dongia1,DG!$D$5,)</f>
        <v>mét</v>
      </c>
      <c r="G44" s="74">
        <f>G39</f>
        <v>0</v>
      </c>
      <c r="H44" s="121">
        <f>VLOOKUP($B44,dongia1,DG!$F$5,)</f>
        <v>59600</v>
      </c>
      <c r="I44" s="156"/>
      <c r="J44" s="121"/>
      <c r="K44" s="121"/>
      <c r="L44" s="39">
        <f t="shared" si="6"/>
        <v>0</v>
      </c>
      <c r="M44" s="62">
        <f t="shared" si="6"/>
        <v>0</v>
      </c>
      <c r="N44" s="39">
        <f t="shared" si="6"/>
        <v>0</v>
      </c>
      <c r="O44" s="39">
        <f t="shared" si="6"/>
        <v>0</v>
      </c>
      <c r="P44" s="112"/>
    </row>
    <row r="45" spans="1:16" s="34" customFormat="1">
      <c r="A45" s="29" t="str">
        <f t="shared" si="3"/>
        <v/>
      </c>
      <c r="B45" s="153" t="s">
        <v>5580</v>
      </c>
      <c r="C45" s="119"/>
      <c r="D45" s="120"/>
      <c r="E45" s="151" t="str">
        <f>VLOOKUP($B45,dongia1,DG!$C$5,)</f>
        <v>Đầu cáp ngầm 24KV 3x50mm2 Tplug</v>
      </c>
      <c r="F45" s="120" t="s">
        <v>3810</v>
      </c>
      <c r="G45" s="74">
        <f>ppCN!O40</f>
        <v>0</v>
      </c>
      <c r="H45" s="121">
        <f>VLOOKUP($B45,dongia1,DG!$F$5,)</f>
        <v>10510000</v>
      </c>
      <c r="I45" s="155"/>
      <c r="J45" s="121"/>
      <c r="K45" s="121"/>
      <c r="L45" s="39">
        <f t="shared" ref="L45:O49" si="7">H45*$G45</f>
        <v>0</v>
      </c>
      <c r="M45" s="39">
        <f t="shared" si="7"/>
        <v>0</v>
      </c>
      <c r="N45" s="39">
        <f t="shared" si="7"/>
        <v>0</v>
      </c>
      <c r="O45" s="39">
        <f t="shared" si="7"/>
        <v>0</v>
      </c>
      <c r="P45" s="112"/>
    </row>
    <row r="46" spans="1:16" s="34" customFormat="1">
      <c r="A46" s="29" t="str">
        <f t="shared" si="3"/>
        <v/>
      </c>
      <c r="B46" s="153" t="s">
        <v>631</v>
      </c>
      <c r="C46" s="119"/>
      <c r="D46" s="120"/>
      <c r="E46" s="151" t="str">
        <f>VLOOKUP($B46,dongia1,DG!$C$5,)</f>
        <v>Đầu cáp ngầm 24KV 3x50mm2 outdoor</v>
      </c>
      <c r="F46" s="120" t="s">
        <v>3810</v>
      </c>
      <c r="G46" s="74">
        <f>ppCN!Q40</f>
        <v>0</v>
      </c>
      <c r="H46" s="121">
        <f>VLOOKUP($B46,dongia1,DG!$F$5,)</f>
        <v>4022000</v>
      </c>
      <c r="I46" s="155"/>
      <c r="J46" s="121"/>
      <c r="K46" s="121"/>
      <c r="L46" s="39">
        <f t="shared" si="7"/>
        <v>0</v>
      </c>
      <c r="M46" s="39">
        <f t="shared" si="7"/>
        <v>0</v>
      </c>
      <c r="N46" s="39">
        <f t="shared" si="7"/>
        <v>0</v>
      </c>
      <c r="O46" s="39">
        <f t="shared" si="7"/>
        <v>0</v>
      </c>
      <c r="P46" s="112"/>
    </row>
    <row r="47" spans="1:16" s="34" customFormat="1">
      <c r="A47" s="29" t="str">
        <f>IF(G47=0,"",1)</f>
        <v/>
      </c>
      <c r="B47" s="153" t="s">
        <v>632</v>
      </c>
      <c r="C47" s="119"/>
      <c r="D47" s="120"/>
      <c r="E47" s="151" t="str">
        <f>VLOOKUP($B47,dongia1,DG!$C$5,)</f>
        <v>Đầu cáp ngầm 24KV 3x50mm2 indoor</v>
      </c>
      <c r="F47" s="120" t="s">
        <v>3810</v>
      </c>
      <c r="G47" s="74">
        <f>ppCN!P40</f>
        <v>0</v>
      </c>
      <c r="H47" s="121">
        <f>VLOOKUP($B47,dongia1,DG!$F$5,)</f>
        <v>5242230</v>
      </c>
      <c r="I47" s="155"/>
      <c r="J47" s="121"/>
      <c r="K47" s="121"/>
      <c r="L47" s="39">
        <f t="shared" si="7"/>
        <v>0</v>
      </c>
      <c r="M47" s="39">
        <f t="shared" si="7"/>
        <v>0</v>
      </c>
      <c r="N47" s="39">
        <f t="shared" si="7"/>
        <v>0</v>
      </c>
      <c r="O47" s="39">
        <f t="shared" si="7"/>
        <v>0</v>
      </c>
      <c r="P47" s="112"/>
    </row>
    <row r="48" spans="1:16" s="34" customFormat="1">
      <c r="A48" s="29" t="str">
        <f>IF(G48=0,"",1)</f>
        <v/>
      </c>
      <c r="B48" s="153" t="s">
        <v>5741</v>
      </c>
      <c r="C48" s="119"/>
      <c r="D48" s="120"/>
      <c r="E48" s="151" t="str">
        <f>VLOOKUP($B48,dongia1,DG!$C$5,)</f>
        <v xml:space="preserve">Hộp nối cáp ngầm 24KV 3x50mm2 </v>
      </c>
      <c r="F48" s="120" t="s">
        <v>3810</v>
      </c>
      <c r="G48" s="74">
        <f>ppCN!R40</f>
        <v>0</v>
      </c>
      <c r="H48" s="121">
        <f>VLOOKUP($B48,dongia1,DG!$F$5,)</f>
        <v>6851000</v>
      </c>
      <c r="I48" s="155"/>
      <c r="J48" s="121"/>
      <c r="K48" s="121"/>
      <c r="L48" s="39">
        <f t="shared" si="7"/>
        <v>0</v>
      </c>
      <c r="M48" s="39">
        <f t="shared" si="7"/>
        <v>0</v>
      </c>
      <c r="N48" s="39">
        <f t="shared" si="7"/>
        <v>0</v>
      </c>
      <c r="O48" s="39">
        <f t="shared" si="7"/>
        <v>0</v>
      </c>
      <c r="P48" s="112"/>
    </row>
    <row r="49" spans="1:16" s="34" customFormat="1">
      <c r="A49" s="29" t="str">
        <f t="shared" si="3"/>
        <v/>
      </c>
      <c r="B49" s="153" t="s">
        <v>205</v>
      </c>
      <c r="C49" s="119"/>
      <c r="D49" s="120">
        <f>VLOOKUP($B49,dongia1,DG!$B$5,)</f>
        <v>0</v>
      </c>
      <c r="E49" s="151" t="str">
        <f>VLOOKUP($B49,dongia1,DG!$C$5,)</f>
        <v>Kẹp ép WR cỡ dây 50mm2</v>
      </c>
      <c r="F49" s="120" t="str">
        <f>VLOOKUP($B49,dongia1,DG!$D$5,)</f>
        <v>cái</v>
      </c>
      <c r="G49" s="74">
        <f>G32*2</f>
        <v>0</v>
      </c>
      <c r="H49" s="121">
        <f>VLOOKUP($B49,dongia1,DG!$F$5,)</f>
        <v>8000</v>
      </c>
      <c r="I49" s="121"/>
      <c r="J49" s="121">
        <f>VLOOKUP($B49,dongia1,DG!$G$5,)</f>
        <v>0</v>
      </c>
      <c r="K49" s="121">
        <f>VLOOKUP($B49,dongia1,DG!$H$5,)</f>
        <v>0</v>
      </c>
      <c r="L49" s="39">
        <f t="shared" si="7"/>
        <v>0</v>
      </c>
      <c r="M49" s="39">
        <f t="shared" si="7"/>
        <v>0</v>
      </c>
      <c r="N49" s="39">
        <f t="shared" si="7"/>
        <v>0</v>
      </c>
      <c r="O49" s="39">
        <f t="shared" si="7"/>
        <v>0</v>
      </c>
      <c r="P49" s="112"/>
    </row>
    <row r="50" spans="1:16" s="34" customFormat="1">
      <c r="A50" s="29" t="str">
        <f t="shared" si="3"/>
        <v/>
      </c>
      <c r="B50" s="153" t="s">
        <v>3796</v>
      </c>
      <c r="C50" s="119"/>
      <c r="D50" s="120" t="str">
        <f>VLOOKUP($B50,dongia1,DG!$B$5,)</f>
        <v>D4.5008</v>
      </c>
      <c r="E50" s="151" t="str">
        <f>VLOOKUP($B50,dongia1,DG!$C$5,)</f>
        <v>Đầu cosse ép Cu 240mm2</v>
      </c>
      <c r="F50" s="120" t="str">
        <f>VLOOKUP($B50,dongia1,DG!$D$5,)</f>
        <v>cái</v>
      </c>
      <c r="G50" s="74">
        <f>+(G73+G74)*3</f>
        <v>0</v>
      </c>
      <c r="H50" s="121">
        <f>VLOOKUP($B50,dongia1,DG!$F$5,)</f>
        <v>163900</v>
      </c>
      <c r="I50" s="155"/>
      <c r="J50" s="121"/>
      <c r="K50" s="121"/>
      <c r="L50" s="39">
        <f t="shared" ref="L50:O56" si="8">H50*$G50</f>
        <v>0</v>
      </c>
      <c r="M50" s="39">
        <f t="shared" si="8"/>
        <v>0</v>
      </c>
      <c r="N50" s="39">
        <f t="shared" si="8"/>
        <v>0</v>
      </c>
      <c r="O50" s="39">
        <f t="shared" si="8"/>
        <v>0</v>
      </c>
      <c r="P50" s="112"/>
    </row>
    <row r="51" spans="1:16" s="34" customFormat="1">
      <c r="A51" s="29" t="str">
        <f t="shared" si="3"/>
        <v/>
      </c>
      <c r="B51" s="153" t="s">
        <v>3797</v>
      </c>
      <c r="C51" s="119"/>
      <c r="D51" s="120" t="str">
        <f>VLOOKUP($B51,dongia1,DG!$B$5,)</f>
        <v>D4.5004</v>
      </c>
      <c r="E51" s="151" t="str">
        <f>VLOOKUP($B51,dongia1,DG!$C$5,)</f>
        <v>Đầu cosse ép Cu 95mm2</v>
      </c>
      <c r="F51" s="120" t="str">
        <f>VLOOKUP($B51,dongia1,DG!$D$5,)</f>
        <v>cái</v>
      </c>
      <c r="G51" s="74">
        <f>+(G74+G75)*3</f>
        <v>0</v>
      </c>
      <c r="H51" s="121">
        <f>VLOOKUP($B51,dongia1,DG!$F$5,)</f>
        <v>21000</v>
      </c>
      <c r="I51" s="155"/>
      <c r="J51" s="121"/>
      <c r="K51" s="121"/>
      <c r="L51" s="39">
        <f t="shared" si="8"/>
        <v>0</v>
      </c>
      <c r="M51" s="39">
        <f t="shared" si="8"/>
        <v>0</v>
      </c>
      <c r="N51" s="39">
        <f t="shared" si="8"/>
        <v>0</v>
      </c>
      <c r="O51" s="39">
        <f t="shared" si="8"/>
        <v>0</v>
      </c>
      <c r="P51" s="112"/>
    </row>
    <row r="52" spans="1:16" s="34" customFormat="1">
      <c r="A52" s="29" t="str">
        <f t="shared" si="3"/>
        <v/>
      </c>
      <c r="B52" s="153" t="s">
        <v>3798</v>
      </c>
      <c r="C52" s="119"/>
      <c r="D52" s="120" t="str">
        <f>VLOOKUP($B52,dongia1,DG!$B$5,)</f>
        <v>D4.5003</v>
      </c>
      <c r="E52" s="151" t="str">
        <f>VLOOKUP($B52,dongia1,DG!$C$5,)</f>
        <v>Đầu cosse ép Cu 70mm2</v>
      </c>
      <c r="F52" s="120" t="str">
        <f>VLOOKUP($B52,dongia1,DG!$D$5,)</f>
        <v>cái</v>
      </c>
      <c r="G52" s="74">
        <f>+(G75+G76)*3</f>
        <v>0</v>
      </c>
      <c r="H52" s="121">
        <f>VLOOKUP($B52,dongia1,DG!$F$5,)</f>
        <v>14000</v>
      </c>
      <c r="I52" s="155"/>
      <c r="J52" s="121"/>
      <c r="K52" s="121"/>
      <c r="L52" s="39">
        <f t="shared" si="8"/>
        <v>0</v>
      </c>
      <c r="M52" s="39">
        <f t="shared" si="8"/>
        <v>0</v>
      </c>
      <c r="N52" s="39">
        <f t="shared" si="8"/>
        <v>0</v>
      </c>
      <c r="O52" s="39">
        <f t="shared" si="8"/>
        <v>0</v>
      </c>
      <c r="P52" s="112"/>
    </row>
    <row r="53" spans="1:16" s="34" customFormat="1">
      <c r="A53" s="29" t="str">
        <f t="shared" si="3"/>
        <v/>
      </c>
      <c r="B53" s="153" t="s">
        <v>3799</v>
      </c>
      <c r="C53" s="119"/>
      <c r="D53" s="120" t="str">
        <f>VLOOKUP($B53,dongia1,DG!$B$5,)</f>
        <v>D4.5005</v>
      </c>
      <c r="E53" s="151" t="str">
        <f>VLOOKUP($B53,dongia1,DG!$C$5,)</f>
        <v>Đầu cosse ép Cu 120mm2</v>
      </c>
      <c r="F53" s="120" t="str">
        <f>VLOOKUP($B53,dongia1,DG!$D$5,)</f>
        <v>cái</v>
      </c>
      <c r="G53" s="74">
        <f>+(G76+G77)*3</f>
        <v>0</v>
      </c>
      <c r="H53" s="121">
        <f>VLOOKUP($B53,dongia1,DG!$F$5,)</f>
        <v>27000</v>
      </c>
      <c r="I53" s="155"/>
      <c r="J53" s="121"/>
      <c r="K53" s="121"/>
      <c r="L53" s="39">
        <f t="shared" si="8"/>
        <v>0</v>
      </c>
      <c r="M53" s="39">
        <f t="shared" si="8"/>
        <v>0</v>
      </c>
      <c r="N53" s="39">
        <f t="shared" si="8"/>
        <v>0</v>
      </c>
      <c r="O53" s="39">
        <f t="shared" si="8"/>
        <v>0</v>
      </c>
      <c r="P53" s="112"/>
    </row>
    <row r="54" spans="1:16" s="34" customFormat="1">
      <c r="A54" s="29" t="str">
        <f t="shared" si="3"/>
        <v/>
      </c>
      <c r="B54" s="153" t="s">
        <v>3800</v>
      </c>
      <c r="C54" s="119"/>
      <c r="D54" s="120" t="str">
        <f>VLOOKUP($B54,dongia1,DG!$B$5,)</f>
        <v>D4.5006</v>
      </c>
      <c r="E54" s="151" t="str">
        <f>VLOOKUP($B54,dongia1,DG!$C$5,)</f>
        <v>Đầu cosse ép Cu 150mm2</v>
      </c>
      <c r="F54" s="120" t="str">
        <f>VLOOKUP($B54,dongia1,DG!$D$5,)</f>
        <v>cái</v>
      </c>
      <c r="G54" s="74">
        <f>+(G77+G78)*3</f>
        <v>0</v>
      </c>
      <c r="H54" s="121">
        <f>VLOOKUP($B54,dongia1,DG!$F$5,)</f>
        <v>36000</v>
      </c>
      <c r="I54" s="155"/>
      <c r="J54" s="121"/>
      <c r="K54" s="121"/>
      <c r="L54" s="39">
        <f t="shared" si="8"/>
        <v>0</v>
      </c>
      <c r="M54" s="39">
        <f t="shared" si="8"/>
        <v>0</v>
      </c>
      <c r="N54" s="39">
        <f t="shared" si="8"/>
        <v>0</v>
      </c>
      <c r="O54" s="39">
        <f t="shared" si="8"/>
        <v>0</v>
      </c>
      <c r="P54" s="112"/>
    </row>
    <row r="55" spans="1:16" s="34" customFormat="1">
      <c r="A55" s="29" t="str">
        <f t="shared" si="3"/>
        <v/>
      </c>
      <c r="B55" s="153" t="s">
        <v>1860</v>
      </c>
      <c r="C55" s="119"/>
      <c r="D55" s="120" t="str">
        <f>VLOOKUP($B55,dongia1,DG!$B$5,)</f>
        <v>D4.5004</v>
      </c>
      <c r="E55" s="151" t="str">
        <f>VLOOKUP($B55,dongia1,DG!$C$5,)</f>
        <v>Đầu cosse ép Cu 95mm2</v>
      </c>
      <c r="F55" s="120" t="str">
        <f>VLOOKUP($B55,dongia1,DG!$D$5,)</f>
        <v>cái</v>
      </c>
      <c r="G55" s="74">
        <f>G$32*3*(G70+G75)</f>
        <v>0</v>
      </c>
      <c r="H55" s="121">
        <f>VLOOKUP($B55,dongia1,DG!$F$5,)</f>
        <v>21000</v>
      </c>
      <c r="I55" s="155"/>
      <c r="J55" s="121">
        <f>VLOOKUP($B55,dongia1,DG!$G$5,)</f>
        <v>21217.910000000003</v>
      </c>
      <c r="K55" s="121">
        <f>VLOOKUP($B55,dongia1,DG!$H$5,)</f>
        <v>3332.427897</v>
      </c>
      <c r="L55" s="39">
        <f t="shared" si="8"/>
        <v>0</v>
      </c>
      <c r="M55" s="39">
        <f t="shared" si="8"/>
        <v>0</v>
      </c>
      <c r="N55" s="39">
        <f t="shared" si="8"/>
        <v>0</v>
      </c>
      <c r="O55" s="39">
        <f t="shared" si="8"/>
        <v>0</v>
      </c>
      <c r="P55" s="112"/>
    </row>
    <row r="56" spans="1:16" s="34" customFormat="1">
      <c r="A56" s="29" t="str">
        <f t="shared" si="3"/>
        <v/>
      </c>
      <c r="B56" s="153" t="s">
        <v>1361</v>
      </c>
      <c r="C56" s="119"/>
      <c r="D56" s="120" t="str">
        <f>VLOOKUP($B56,dongia1,DG!$B$5,)</f>
        <v>D4.5002</v>
      </c>
      <c r="E56" s="151" t="str">
        <f>VLOOKUP($B56,dongia1,DG!$C$5,)</f>
        <v>Đầu cosse ép Cu 50mm2</v>
      </c>
      <c r="F56" s="120" t="str">
        <f>VLOOKUP($B56,dongia1,DG!$D$5,)</f>
        <v>cái</v>
      </c>
      <c r="G56" s="74">
        <f>G$32*3*(G71+G76+G45+G46+G47)</f>
        <v>0</v>
      </c>
      <c r="H56" s="121">
        <f>VLOOKUP($B56,dongia1,DG!$F$5,)</f>
        <v>9100</v>
      </c>
      <c r="I56" s="155"/>
      <c r="J56" s="121">
        <f>VLOOKUP($B56,dongia1,DG!$G$5,)</f>
        <v>10608.955000000002</v>
      </c>
      <c r="K56" s="121">
        <f>VLOOKUP($B56,dongia1,DG!$H$5,)</f>
        <v>2777.0232475000003</v>
      </c>
      <c r="L56" s="39">
        <f t="shared" si="8"/>
        <v>0</v>
      </c>
      <c r="M56" s="39">
        <f t="shared" si="8"/>
        <v>0</v>
      </c>
      <c r="N56" s="39">
        <f t="shared" si="8"/>
        <v>0</v>
      </c>
      <c r="O56" s="39">
        <f t="shared" si="8"/>
        <v>0</v>
      </c>
      <c r="P56" s="112"/>
    </row>
    <row r="57" spans="1:16" s="34" customFormat="1">
      <c r="A57" s="29" t="str">
        <f t="shared" si="3"/>
        <v/>
      </c>
      <c r="B57" s="153" t="s">
        <v>3801</v>
      </c>
      <c r="C57" s="119"/>
      <c r="D57" s="120" t="str">
        <f>VLOOKUP($B57,dongia1,DG!$B$5,)</f>
        <v>D4.5007</v>
      </c>
      <c r="E57" s="151" t="str">
        <f>VLOOKUP($B57,dongia1,DG!$C$5,)</f>
        <v>Đầu cosse ép Cu 185mm2</v>
      </c>
      <c r="F57" s="120" t="str">
        <f>VLOOKUP($B57,dongia1,DG!$D$5,)</f>
        <v>cái</v>
      </c>
      <c r="G57" s="74">
        <f>+G73+G74</f>
        <v>0</v>
      </c>
      <c r="H57" s="121">
        <f>VLOOKUP($B57,dongia1,DG!$F$5,)</f>
        <v>51000</v>
      </c>
      <c r="I57" s="156"/>
      <c r="J57" s="121">
        <f>VLOOKUP($B57,dongia1,DG!$G$5,)</f>
        <v>40010.916000000005</v>
      </c>
      <c r="K57" s="121"/>
      <c r="L57" s="39">
        <f t="shared" ref="L57:O59" si="9">H57*$G57</f>
        <v>0</v>
      </c>
      <c r="M57" s="62">
        <f t="shared" si="9"/>
        <v>0</v>
      </c>
      <c r="N57" s="39">
        <f t="shared" si="9"/>
        <v>0</v>
      </c>
      <c r="O57" s="39">
        <f t="shared" si="9"/>
        <v>0</v>
      </c>
      <c r="P57" s="112"/>
    </row>
    <row r="58" spans="1:16" s="34" customFormat="1">
      <c r="A58" s="29" t="str">
        <f>IF(G58=0,"",1)</f>
        <v/>
      </c>
      <c r="B58" s="153" t="s">
        <v>5724</v>
      </c>
      <c r="C58" s="119"/>
      <c r="D58" s="120" t="str">
        <f>VLOOKUP($B58,dongia1,DG!$B$5,)</f>
        <v>D4.5002</v>
      </c>
      <c r="E58" s="151" t="str">
        <f>VLOOKUP($B58,dongia1,DG!$C$5,)</f>
        <v>Đầu cosse ép Cu-Al 50mm2</v>
      </c>
      <c r="F58" s="120" t="str">
        <f>VLOOKUP($B58,dongia1,DG!$D$5,)</f>
        <v>cái</v>
      </c>
      <c r="G58" s="74">
        <f>G32*3*0</f>
        <v>0</v>
      </c>
      <c r="H58" s="121">
        <f>VLOOKUP($B58,dongia1,DG!$F$5,)</f>
        <v>26000</v>
      </c>
      <c r="I58" s="156"/>
      <c r="J58" s="121">
        <f>VLOOKUP($B58,dongia1,DG!$G$5,)</f>
        <v>10608.955000000002</v>
      </c>
      <c r="K58" s="121"/>
      <c r="L58" s="39">
        <f>H58*$G58</f>
        <v>0</v>
      </c>
      <c r="M58" s="62">
        <f>I58*$G58</f>
        <v>0</v>
      </c>
      <c r="N58" s="39">
        <f>J58*$G58</f>
        <v>0</v>
      </c>
      <c r="O58" s="39">
        <f>K58*$G58</f>
        <v>0</v>
      </c>
      <c r="P58" s="112"/>
    </row>
    <row r="59" spans="1:16" s="34" customFormat="1">
      <c r="A59" s="29" t="str">
        <f t="shared" si="3"/>
        <v/>
      </c>
      <c r="B59" s="159" t="s">
        <v>1359</v>
      </c>
      <c r="C59" s="119"/>
      <c r="D59" s="120"/>
      <c r="E59" s="151" t="s">
        <v>3811</v>
      </c>
      <c r="F59" s="120" t="s">
        <v>2307</v>
      </c>
      <c r="G59" s="74"/>
      <c r="H59" s="121">
        <f>VLOOKUP($B59,dongia1,DG!$F$5,)</f>
        <v>109300</v>
      </c>
      <c r="I59" s="160"/>
      <c r="J59" s="121">
        <f>VLOOKUP($B59,dongia1,DG!$G$5,)</f>
        <v>0</v>
      </c>
      <c r="K59" s="121"/>
      <c r="L59" s="39">
        <f t="shared" si="9"/>
        <v>0</v>
      </c>
      <c r="M59" s="39">
        <f t="shared" si="9"/>
        <v>0</v>
      </c>
      <c r="N59" s="39">
        <f t="shared" si="9"/>
        <v>0</v>
      </c>
      <c r="O59" s="39">
        <f t="shared" si="9"/>
        <v>0</v>
      </c>
      <c r="P59" s="161"/>
    </row>
    <row r="60" spans="1:16" s="34" customFormat="1">
      <c r="A60" s="29" t="str">
        <f t="shared" si="3"/>
        <v/>
      </c>
      <c r="B60" s="129" t="s">
        <v>5670</v>
      </c>
      <c r="C60" s="119"/>
      <c r="D60" s="120"/>
      <c r="E60" s="151" t="str">
        <f>VLOOKUP($B60,dongia1,DG!$C$5,)</f>
        <v>Ông sắt tráng kẽm D90</v>
      </c>
      <c r="F60" s="120" t="str">
        <f>VLOOKUP($B60,dongia1,DG!$D$5,)</f>
        <v>mét</v>
      </c>
      <c r="G60" s="74">
        <f>G46*6</f>
        <v>0</v>
      </c>
      <c r="H60" s="121">
        <f>VLOOKUP($B60,dongia1,DG!$F$5,)</f>
        <v>130000</v>
      </c>
      <c r="I60" s="156"/>
      <c r="J60" s="121">
        <f>VLOOKUP($B60,dongia1,DG!$G$5,)</f>
        <v>109566.8385</v>
      </c>
      <c r="K60" s="121"/>
      <c r="L60" s="39">
        <f>H60*$G60</f>
        <v>0</v>
      </c>
      <c r="M60" s="62">
        <f>I60*$G60</f>
        <v>0</v>
      </c>
      <c r="N60" s="39">
        <f>J60*$G60</f>
        <v>0</v>
      </c>
      <c r="O60" s="39">
        <f>K60*$G60</f>
        <v>0</v>
      </c>
      <c r="P60" s="112"/>
    </row>
    <row r="61" spans="1:16" s="34" customFormat="1">
      <c r="A61" s="29" t="str">
        <f t="shared" si="3"/>
        <v/>
      </c>
      <c r="B61" s="153" t="s">
        <v>5671</v>
      </c>
      <c r="C61" s="119"/>
      <c r="D61" s="120"/>
      <c r="E61" s="151" t="str">
        <f>VLOOKUP($B61,dongia1,DG!$C$5,)</f>
        <v>Cổ dê kẹp ống sắt Þ 90</v>
      </c>
      <c r="F61" s="120" t="str">
        <f>VLOOKUP($B61,dongia1,DG!$D$5,)</f>
        <v>bộ</v>
      </c>
      <c r="G61" s="74">
        <f>G32*2</f>
        <v>0</v>
      </c>
      <c r="H61" s="121">
        <f>VLOOKUP($B61,dongia1,DG!$F$5,)</f>
        <v>38000</v>
      </c>
      <c r="I61" s="155"/>
      <c r="J61" s="121">
        <f>VLOOKUP($B61,dongia1,DG!$G$5,)</f>
        <v>0</v>
      </c>
      <c r="K61" s="121"/>
      <c r="L61" s="39">
        <f>H61*$G61</f>
        <v>0</v>
      </c>
      <c r="M61" s="39">
        <f>I61*$G61</f>
        <v>0</v>
      </c>
      <c r="N61" s="39">
        <f>J61*G61</f>
        <v>0</v>
      </c>
      <c r="O61" s="39">
        <f>K61*$G61</f>
        <v>0</v>
      </c>
      <c r="P61" s="112"/>
    </row>
    <row r="62" spans="1:16" s="34" customFormat="1">
      <c r="A62" s="29" t="str">
        <f t="shared" si="3"/>
        <v/>
      </c>
      <c r="B62" s="129" t="s">
        <v>441</v>
      </c>
      <c r="C62" s="119"/>
      <c r="D62" s="120"/>
      <c r="E62" s="151" t="str">
        <f>VLOOKUP($B62,dongia1,DG!$C$5,)</f>
        <v>Giá đỡ cáp ngầm (V63x6)</v>
      </c>
      <c r="F62" s="120" t="str">
        <f>VLOOKUP($B62,dongia1,DG!$D$5,)</f>
        <v>bộ</v>
      </c>
      <c r="G62" s="74">
        <f>ppCN!V40</f>
        <v>0</v>
      </c>
      <c r="H62" s="121">
        <f>VLOOKUP($B62,dongia1,DG!$F$5,)</f>
        <v>150000</v>
      </c>
      <c r="I62" s="156"/>
      <c r="J62" s="121">
        <f>VLOOKUP($B62,dongia1,DG!$G$5,)</f>
        <v>0</v>
      </c>
      <c r="K62" s="121"/>
      <c r="L62" s="39">
        <f t="shared" ref="L62:O63" si="10">H62*$G62</f>
        <v>0</v>
      </c>
      <c r="M62" s="62">
        <f t="shared" si="10"/>
        <v>0</v>
      </c>
      <c r="N62" s="39">
        <f t="shared" si="10"/>
        <v>0</v>
      </c>
      <c r="O62" s="39">
        <f t="shared" si="10"/>
        <v>0</v>
      </c>
      <c r="P62" s="112"/>
    </row>
    <row r="63" spans="1:16" s="34" customFormat="1">
      <c r="A63" s="29" t="str">
        <f t="shared" si="3"/>
        <v/>
      </c>
      <c r="B63" s="129" t="s">
        <v>2144</v>
      </c>
      <c r="C63" s="119"/>
      <c r="D63" s="120"/>
      <c r="E63" s="151" t="str">
        <f>VLOOKUP($B63,dongia1,DG!$C$5,)</f>
        <v>Nắp che đầu cực FCO</v>
      </c>
      <c r="F63" s="120" t="str">
        <f>VLOOKUP($B63,dongia1,DG!$D$5,)</f>
        <v>cái</v>
      </c>
      <c r="G63" s="74"/>
      <c r="H63" s="121">
        <f>VLOOKUP($B63,dongia1,DG!$F$5,)</f>
        <v>218200</v>
      </c>
      <c r="I63" s="156"/>
      <c r="J63" s="121">
        <f>VLOOKUP($B63,dongia1,DG!$G$5,)</f>
        <v>0</v>
      </c>
      <c r="K63" s="121"/>
      <c r="L63" s="39">
        <f t="shared" si="10"/>
        <v>0</v>
      </c>
      <c r="M63" s="62">
        <f t="shared" si="10"/>
        <v>0</v>
      </c>
      <c r="N63" s="39">
        <f t="shared" si="10"/>
        <v>0</v>
      </c>
      <c r="O63" s="39">
        <f t="shared" si="10"/>
        <v>0</v>
      </c>
      <c r="P63" s="112"/>
    </row>
    <row r="64" spans="1:16" s="34" customFormat="1">
      <c r="A64" s="29" t="str">
        <f>IF(G64=0,"",1)</f>
        <v/>
      </c>
      <c r="B64" s="129" t="s">
        <v>647</v>
      </c>
      <c r="C64" s="119"/>
      <c r="D64" s="120"/>
      <c r="E64" s="151" t="str">
        <f>VLOOKUP($B64,dongia1,DG!$C$5,)</f>
        <v xml:space="preserve">Sứ đứng 24KV </v>
      </c>
      <c r="F64" s="120" t="str">
        <f>VLOOKUP($B64,dongia1,DG!$D$5,)</f>
        <v>cái</v>
      </c>
      <c r="G64" s="74">
        <f>ppCN!U40</f>
        <v>0</v>
      </c>
      <c r="H64" s="121">
        <f>VLOOKUP($B64,dongia1,DG!$F$5,)</f>
        <v>205000</v>
      </c>
      <c r="I64" s="156"/>
      <c r="J64" s="121">
        <f>VLOOKUP($B64,dongia1,DG!$G$5,)</f>
        <v>0</v>
      </c>
      <c r="K64" s="121"/>
      <c r="L64" s="39">
        <f t="shared" ref="L64:O65" si="11">H64*$G64</f>
        <v>0</v>
      </c>
      <c r="M64" s="62">
        <f t="shared" si="11"/>
        <v>0</v>
      </c>
      <c r="N64" s="39">
        <f t="shared" si="11"/>
        <v>0</v>
      </c>
      <c r="O64" s="39">
        <f t="shared" si="11"/>
        <v>0</v>
      </c>
      <c r="P64" s="112"/>
    </row>
    <row r="65" spans="1:16" s="34" customFormat="1">
      <c r="A65" s="29" t="str">
        <f>IF(G65=0,"",1)</f>
        <v/>
      </c>
      <c r="B65" s="129" t="s">
        <v>414</v>
      </c>
      <c r="C65" s="119"/>
      <c r="D65" s="120"/>
      <c r="E65" s="151" t="str">
        <f>VLOOKUP($B65,dongia1,DG!$C$5,)</f>
        <v>Chân sứ đứng D20</v>
      </c>
      <c r="F65" s="120" t="str">
        <f>VLOOKUP($B65,dongia1,DG!$D$5,)</f>
        <v>cái</v>
      </c>
      <c r="G65" s="74">
        <f>G64</f>
        <v>0</v>
      </c>
      <c r="H65" s="121">
        <f>VLOOKUP($B65,dongia1,DG!$F$5,)</f>
        <v>65000</v>
      </c>
      <c r="I65" s="156"/>
      <c r="J65" s="121">
        <f>VLOOKUP($B65,dongia1,DG!$G$5,)</f>
        <v>0</v>
      </c>
      <c r="K65" s="121"/>
      <c r="L65" s="39">
        <f t="shared" si="11"/>
        <v>0</v>
      </c>
      <c r="M65" s="62">
        <f t="shared" si="11"/>
        <v>0</v>
      </c>
      <c r="N65" s="39">
        <f t="shared" si="11"/>
        <v>0</v>
      </c>
      <c r="O65" s="39">
        <f t="shared" si="11"/>
        <v>0</v>
      </c>
      <c r="P65" s="112"/>
    </row>
    <row r="66" spans="1:16" s="34" customFormat="1">
      <c r="A66" s="29" t="str">
        <f t="shared" si="3"/>
        <v/>
      </c>
      <c r="B66" s="129" t="s">
        <v>2121</v>
      </c>
      <c r="C66" s="119"/>
      <c r="D66" s="120"/>
      <c r="E66" s="151" t="str">
        <f>VLOOKUP($B66,dongia1,DG!$C$5,)</f>
        <v>Nắp che đầu cực LA</v>
      </c>
      <c r="F66" s="120" t="str">
        <f>VLOOKUP($B66,dongia1,DG!$D$5,)</f>
        <v>cái</v>
      </c>
      <c r="G66" s="74">
        <f>G23</f>
        <v>0</v>
      </c>
      <c r="H66" s="121">
        <f>VLOOKUP($B66,dongia1,DG!$F$5,)</f>
        <v>39100</v>
      </c>
      <c r="I66" s="156"/>
      <c r="J66" s="121">
        <f>VLOOKUP($B66,dongia1,DG!$G$5,)</f>
        <v>0</v>
      </c>
      <c r="K66" s="121"/>
      <c r="L66" s="39">
        <f t="shared" ref="L66:O67" si="12">H66*$G66</f>
        <v>0</v>
      </c>
      <c r="M66" s="62">
        <f t="shared" si="12"/>
        <v>0</v>
      </c>
      <c r="N66" s="39">
        <f t="shared" si="12"/>
        <v>0</v>
      </c>
      <c r="O66" s="39">
        <f t="shared" si="12"/>
        <v>0</v>
      </c>
      <c r="P66" s="112"/>
    </row>
    <row r="67" spans="1:16" s="34" customFormat="1">
      <c r="A67" s="29" t="str">
        <f t="shared" si="3"/>
        <v/>
      </c>
      <c r="B67" s="129" t="s">
        <v>12</v>
      </c>
      <c r="C67" s="119"/>
      <c r="D67" s="120"/>
      <c r="E67" s="151" t="str">
        <f>VLOOKUP($B67,dongia1,DG!$C$5,)</f>
        <v>Đĩa sứ trắng báo hiệu cáp ngầm</v>
      </c>
      <c r="F67" s="120" t="str">
        <f>VLOOKUP($B67,dongia1,DG!$D$5,)</f>
        <v>cái</v>
      </c>
      <c r="G67" s="74">
        <f>G32*2</f>
        <v>0</v>
      </c>
      <c r="H67" s="121">
        <f>VLOOKUP($B67,dongia1,DG!$F$5,)</f>
        <v>120000</v>
      </c>
      <c r="I67" s="156"/>
      <c r="J67" s="121">
        <f>VLOOKUP($B67,dongia1,DG!$G$5,)</f>
        <v>0</v>
      </c>
      <c r="K67" s="121"/>
      <c r="L67" s="39">
        <f t="shared" si="12"/>
        <v>0</v>
      </c>
      <c r="M67" s="62">
        <f t="shared" si="12"/>
        <v>0</v>
      </c>
      <c r="N67" s="39">
        <f t="shared" si="12"/>
        <v>0</v>
      </c>
      <c r="O67" s="39">
        <f t="shared" si="12"/>
        <v>0</v>
      </c>
      <c r="P67" s="112"/>
    </row>
    <row r="68" spans="1:16" s="34" customFormat="1">
      <c r="A68" s="29" t="str">
        <f>IF(G68=0,"",1)</f>
        <v/>
      </c>
      <c r="B68" s="129" t="s">
        <v>5743</v>
      </c>
      <c r="C68" s="119"/>
      <c r="D68" s="120"/>
      <c r="E68" s="151" t="str">
        <f>VLOOKUP($B68,dongia1,DG!$C$5,)</f>
        <v>Mốc báo hiệu hộp nối cáp ngầm</v>
      </c>
      <c r="F68" s="120" t="str">
        <f>VLOOKUP($B68,dongia1,DG!$D$5,)</f>
        <v>cái</v>
      </c>
      <c r="G68" s="74">
        <f>G48</f>
        <v>0</v>
      </c>
      <c r="H68" s="121">
        <f>VLOOKUP($B68,dongia1,DG!$F$5,)</f>
        <v>300000</v>
      </c>
      <c r="I68" s="156"/>
      <c r="J68" s="121">
        <f>VLOOKUP($B68,dongia1,DG!$G$5,)</f>
        <v>0</v>
      </c>
      <c r="K68" s="121"/>
      <c r="L68" s="39">
        <f>H68*$G68</f>
        <v>0</v>
      </c>
      <c r="M68" s="62">
        <f>I68*$G68</f>
        <v>0</v>
      </c>
      <c r="N68" s="39">
        <f>J68*$G68</f>
        <v>0</v>
      </c>
      <c r="O68" s="39">
        <f>K68*$G68</f>
        <v>0</v>
      </c>
      <c r="P68" s="112"/>
    </row>
    <row r="69" spans="1:16" s="34" customFormat="1">
      <c r="A69" s="29" t="str">
        <f t="shared" si="3"/>
        <v/>
      </c>
      <c r="B69" s="153" t="s">
        <v>1657</v>
      </c>
      <c r="C69" s="119"/>
      <c r="D69" s="120"/>
      <c r="E69" s="151" t="str">
        <f>VLOOKUP($B69,dongia1,DG!$C$5,)</f>
        <v>Đầu cáp ngầm 24kV 3x150mm2 outdoor</v>
      </c>
      <c r="F69" s="120" t="str">
        <f>VLOOKUP($B69,dongia1,DG!$D$5,)</f>
        <v>cái</v>
      </c>
      <c r="G69" s="73">
        <f>G32*G37</f>
        <v>0</v>
      </c>
      <c r="H69" s="121">
        <f>VLOOKUP($B69,dongia1,DG!$F$5,)</f>
        <v>3191084</v>
      </c>
      <c r="I69" s="155"/>
      <c r="J69" s="121">
        <f>VLOOKUP($B69,dongia1,DG!$G$5,)</f>
        <v>0</v>
      </c>
      <c r="K69" s="121">
        <f>VLOOKUP($B69,dongia1,DG!$H$5,)</f>
        <v>0</v>
      </c>
      <c r="L69" s="39">
        <f t="shared" ref="L69:O76" si="13">H69*$G69</f>
        <v>0</v>
      </c>
      <c r="M69" s="39">
        <f t="shared" si="13"/>
        <v>0</v>
      </c>
      <c r="N69" s="39">
        <f t="shared" si="13"/>
        <v>0</v>
      </c>
      <c r="O69" s="39">
        <f t="shared" si="13"/>
        <v>0</v>
      </c>
      <c r="P69" s="112"/>
    </row>
    <row r="70" spans="1:16" s="34" customFormat="1">
      <c r="A70" s="29" t="str">
        <f t="shared" si="3"/>
        <v/>
      </c>
      <c r="B70" s="153" t="s">
        <v>1362</v>
      </c>
      <c r="C70" s="119"/>
      <c r="D70" s="120"/>
      <c r="E70" s="151" t="str">
        <f>VLOOKUP($B70,dongia1,DG!$C$5,)</f>
        <v>Đầu cáp ngầm 24KV 3x120mm2 outdoor</v>
      </c>
      <c r="F70" s="120" t="str">
        <f>VLOOKUP($B70,dongia1,DG!$D$5,)</f>
        <v>cái</v>
      </c>
      <c r="G70" s="73">
        <f>G31*0</f>
        <v>0</v>
      </c>
      <c r="H70" s="121">
        <f>VLOOKUP($B70,dongia1,DG!$F$5,)</f>
        <v>3225770</v>
      </c>
      <c r="I70" s="155"/>
      <c r="J70" s="121">
        <f>VLOOKUP($B70,dongia1,DG!$G$5,)</f>
        <v>0</v>
      </c>
      <c r="K70" s="121">
        <f>VLOOKUP($B70,dongia1,DG!$H$5,)</f>
        <v>0</v>
      </c>
      <c r="L70" s="39">
        <f t="shared" si="13"/>
        <v>0</v>
      </c>
      <c r="M70" s="39">
        <f t="shared" si="13"/>
        <v>0</v>
      </c>
      <c r="N70" s="39">
        <f t="shared" si="13"/>
        <v>0</v>
      </c>
      <c r="O70" s="39">
        <f t="shared" si="13"/>
        <v>0</v>
      </c>
      <c r="P70" s="112"/>
    </row>
    <row r="71" spans="1:16" s="34" customFormat="1">
      <c r="A71" s="29" t="str">
        <f t="shared" si="3"/>
        <v/>
      </c>
      <c r="B71" s="153" t="s">
        <v>1827</v>
      </c>
      <c r="C71" s="119"/>
      <c r="D71" s="120"/>
      <c r="E71" s="151" t="str">
        <f>VLOOKUP($B71,dongia1,DG!$C$5,)</f>
        <v>Đầu cáp ngầm 24KV 3x70mm2 outdoor</v>
      </c>
      <c r="F71" s="120" t="str">
        <f>VLOOKUP($B71,dongia1,DG!$D$5,)</f>
        <v>cái</v>
      </c>
      <c r="G71" s="73">
        <f>G32*0</f>
        <v>0</v>
      </c>
      <c r="H71" s="121">
        <f>VLOOKUP($B71,dongia1,DG!$F$5,)</f>
        <v>4022000</v>
      </c>
      <c r="I71" s="155"/>
      <c r="J71" s="121">
        <f>VLOOKUP($B71,dongia1,DG!$G$5,)</f>
        <v>0</v>
      </c>
      <c r="K71" s="121">
        <f>VLOOKUP($B71,dongia1,DG!$H$5,)</f>
        <v>0</v>
      </c>
      <c r="L71" s="39">
        <f t="shared" si="13"/>
        <v>0</v>
      </c>
      <c r="M71" s="39">
        <f t="shared" si="13"/>
        <v>0</v>
      </c>
      <c r="N71" s="39">
        <f t="shared" si="13"/>
        <v>0</v>
      </c>
      <c r="O71" s="39">
        <f t="shared" si="13"/>
        <v>0</v>
      </c>
      <c r="P71" s="112"/>
    </row>
    <row r="72" spans="1:16" s="34" customFormat="1">
      <c r="A72" s="29" t="str">
        <f t="shared" si="3"/>
        <v/>
      </c>
      <c r="B72" s="153" t="s">
        <v>631</v>
      </c>
      <c r="C72" s="119"/>
      <c r="D72" s="120"/>
      <c r="E72" s="151" t="str">
        <f>VLOOKUP($B72,dongia1,DG!$C$5,)</f>
        <v>Đầu cáp ngầm 24KV 3x50mm2 outdoor</v>
      </c>
      <c r="F72" s="120" t="str">
        <f>VLOOKUP($B72,dongia1,DG!$D$5,)</f>
        <v>cái</v>
      </c>
      <c r="G72" s="73">
        <f>G33*0</f>
        <v>0</v>
      </c>
      <c r="H72" s="121">
        <f>VLOOKUP($B72,dongia1,DG!$F$5,)</f>
        <v>4022000</v>
      </c>
      <c r="I72" s="155"/>
      <c r="J72" s="121">
        <f>VLOOKUP($B72,dongia1,DG!$G$5,)</f>
        <v>0</v>
      </c>
      <c r="K72" s="121">
        <f>VLOOKUP($B72,dongia1,DG!$H$5,)</f>
        <v>0</v>
      </c>
      <c r="L72" s="39">
        <f>H72*$G72</f>
        <v>0</v>
      </c>
      <c r="M72" s="39">
        <f>I72*$G72</f>
        <v>0</v>
      </c>
      <c r="N72" s="39">
        <f>J72*$G72</f>
        <v>0</v>
      </c>
      <c r="O72" s="39">
        <f>K72*$G72</f>
        <v>0</v>
      </c>
      <c r="P72" s="112"/>
    </row>
    <row r="73" spans="1:16" s="34" customFormat="1">
      <c r="A73" s="29" t="str">
        <f t="shared" si="3"/>
        <v/>
      </c>
      <c r="B73" s="129" t="s">
        <v>937</v>
      </c>
      <c r="C73" s="119"/>
      <c r="D73" s="120"/>
      <c r="E73" s="151" t="str">
        <f>VLOOKUP($B73,dongia1,DG!$C$5,)</f>
        <v>Đầu cáp ngầm 24kV 3x240mm2 outdoor</v>
      </c>
      <c r="F73" s="120" t="str">
        <f>VLOOKUP($B73,dongia1,DG!$D$5,)</f>
        <v>cái</v>
      </c>
      <c r="G73" s="73">
        <f>+ppCN!N40</f>
        <v>0</v>
      </c>
      <c r="H73" s="121">
        <f>VLOOKUP($B73,dongia1,DG!$F$5,)</f>
        <v>4450560</v>
      </c>
      <c r="I73" s="156"/>
      <c r="J73" s="121">
        <f>VLOOKUP($B73,dongia1,DG!$G$5,)</f>
        <v>0</v>
      </c>
      <c r="K73" s="121"/>
      <c r="L73" s="39">
        <f t="shared" si="13"/>
        <v>0</v>
      </c>
      <c r="M73" s="62">
        <f t="shared" si="13"/>
        <v>0</v>
      </c>
      <c r="N73" s="39">
        <f t="shared" si="13"/>
        <v>0</v>
      </c>
      <c r="O73" s="39">
        <f t="shared" si="13"/>
        <v>0</v>
      </c>
      <c r="P73" s="112"/>
    </row>
    <row r="74" spans="1:16" s="34" customFormat="1">
      <c r="A74" s="29" t="str">
        <f t="shared" si="3"/>
        <v/>
      </c>
      <c r="B74" s="153" t="s">
        <v>1356</v>
      </c>
      <c r="C74" s="119"/>
      <c r="D74" s="120"/>
      <c r="E74" s="151" t="str">
        <f>VLOOKUP($B74,dongia1,DG!$C$5,)</f>
        <v>Đầu cáp ngầm 24kV 3x240mm2 indoor</v>
      </c>
      <c r="F74" s="120" t="str">
        <f>VLOOKUP($B74,dongia1,DG!$D$5,)</f>
        <v>cái</v>
      </c>
      <c r="G74" s="73">
        <f>+G73</f>
        <v>0</v>
      </c>
      <c r="H74" s="121">
        <f>VLOOKUP($B74,dongia1,DG!$F$5,)</f>
        <v>3708800</v>
      </c>
      <c r="I74" s="155"/>
      <c r="J74" s="121">
        <f>VLOOKUP($B74,dongia1,DG!$G$5,)</f>
        <v>0</v>
      </c>
      <c r="K74" s="121"/>
      <c r="L74" s="39">
        <f t="shared" si="13"/>
        <v>0</v>
      </c>
      <c r="M74" s="39">
        <f t="shared" si="13"/>
        <v>0</v>
      </c>
      <c r="N74" s="39">
        <f t="shared" si="13"/>
        <v>0</v>
      </c>
      <c r="O74" s="39">
        <f t="shared" si="13"/>
        <v>0</v>
      </c>
      <c r="P74" s="112"/>
    </row>
    <row r="75" spans="1:16" s="34" customFormat="1">
      <c r="A75" s="29" t="str">
        <f t="shared" si="3"/>
        <v/>
      </c>
      <c r="B75" s="153" t="s">
        <v>630</v>
      </c>
      <c r="C75" s="119"/>
      <c r="D75" s="120"/>
      <c r="E75" s="151" t="str">
        <f>VLOOKUP($B75,dongia1,DG!$C$5,)</f>
        <v>Đầu cáp ngầm 24KV 3x120mm2 indoor</v>
      </c>
      <c r="F75" s="120" t="str">
        <f>VLOOKUP($B75,dongia1,DG!$D$5,)</f>
        <v>cái</v>
      </c>
      <c r="G75" s="73">
        <f>G70</f>
        <v>0</v>
      </c>
      <c r="H75" s="121">
        <f>VLOOKUP($B75,dongia1,DG!$F$5,)</f>
        <v>2740170</v>
      </c>
      <c r="I75" s="155"/>
      <c r="J75" s="121">
        <f>VLOOKUP($B75,dongia1,DG!$G$5,)</f>
        <v>0</v>
      </c>
      <c r="K75" s="121">
        <f>VLOOKUP($B75,dongia1,DG!$H$5,)</f>
        <v>0</v>
      </c>
      <c r="L75" s="39">
        <f t="shared" si="13"/>
        <v>0</v>
      </c>
      <c r="M75" s="39">
        <f t="shared" si="13"/>
        <v>0</v>
      </c>
      <c r="N75" s="39">
        <f t="shared" si="13"/>
        <v>0</v>
      </c>
      <c r="O75" s="39">
        <f t="shared" si="13"/>
        <v>0</v>
      </c>
      <c r="P75" s="112"/>
    </row>
    <row r="76" spans="1:16" s="34" customFormat="1">
      <c r="A76" s="29" t="str">
        <f t="shared" si="3"/>
        <v/>
      </c>
      <c r="B76" s="153" t="s">
        <v>633</v>
      </c>
      <c r="C76" s="119"/>
      <c r="D76" s="120"/>
      <c r="E76" s="151" t="str">
        <f>VLOOKUP($B76,dongia1,DG!$C$5,)</f>
        <v>Đầu cáp ngầm 24KV 3x70mm2 indoor</v>
      </c>
      <c r="F76" s="120" t="str">
        <f>VLOOKUP($B76,dongia1,DG!$D$5,)</f>
        <v>cái</v>
      </c>
      <c r="G76" s="73"/>
      <c r="H76" s="121">
        <f>VLOOKUP($B76,dongia1,DG!$F$5,)</f>
        <v>2740170</v>
      </c>
      <c r="I76" s="155"/>
      <c r="J76" s="121">
        <f>VLOOKUP($B76,dongia1,DG!$G$5,)</f>
        <v>0</v>
      </c>
      <c r="K76" s="121">
        <f>VLOOKUP($B76,dongia1,DG!$H$5,)</f>
        <v>0</v>
      </c>
      <c r="L76" s="39">
        <f t="shared" si="13"/>
        <v>0</v>
      </c>
      <c r="M76" s="39">
        <f t="shared" si="13"/>
        <v>0</v>
      </c>
      <c r="N76" s="39">
        <f t="shared" si="13"/>
        <v>0</v>
      </c>
      <c r="O76" s="39">
        <f t="shared" si="13"/>
        <v>0</v>
      </c>
      <c r="P76" s="112"/>
    </row>
    <row r="77" spans="1:16" s="34" customFormat="1">
      <c r="A77" s="29" t="str">
        <f t="shared" si="3"/>
        <v/>
      </c>
      <c r="B77" s="129" t="s">
        <v>632</v>
      </c>
      <c r="C77" s="119"/>
      <c r="D77" s="120"/>
      <c r="E77" s="151" t="str">
        <f>VLOOKUP($B77,dongia1,DG!$C$5,)</f>
        <v>Đầu cáp ngầm 24KV 3x50mm2 indoor</v>
      </c>
      <c r="F77" s="120" t="str">
        <f>VLOOKUP($B77,dongia1,DG!$D$5,)</f>
        <v>cái</v>
      </c>
      <c r="G77" s="71">
        <f>+ppCN!M40*0</f>
        <v>0</v>
      </c>
      <c r="H77" s="121">
        <f>VLOOKUP($B77,dongia1,DG!$F$5,)</f>
        <v>5242230</v>
      </c>
      <c r="I77" s="156"/>
      <c r="J77" s="121">
        <f>VLOOKUP($B77,dongia1,DG!$G$5,)</f>
        <v>0</v>
      </c>
      <c r="K77" s="121">
        <f>VLOOKUP($B77,dongia1,DG!$H$5,)</f>
        <v>0</v>
      </c>
      <c r="L77" s="39">
        <f t="shared" ref="L77:O79" si="14">H77*$G77</f>
        <v>0</v>
      </c>
      <c r="M77" s="62">
        <f t="shared" si="14"/>
        <v>0</v>
      </c>
      <c r="N77" s="39">
        <f t="shared" si="14"/>
        <v>0</v>
      </c>
      <c r="O77" s="39">
        <f t="shared" si="14"/>
        <v>0</v>
      </c>
      <c r="P77" s="112"/>
    </row>
    <row r="78" spans="1:16" s="34" customFormat="1">
      <c r="A78" s="29" t="str">
        <f t="shared" si="3"/>
        <v/>
      </c>
      <c r="B78" s="153" t="s">
        <v>793</v>
      </c>
      <c r="C78" s="119"/>
      <c r="D78" s="120"/>
      <c r="E78" s="151" t="str">
        <f>VLOOKUP($B78,dongia1,DG!$C$5,)</f>
        <v>Hộp nối cáp ngầm 24kV 3x150mm2</v>
      </c>
      <c r="F78" s="120" t="str">
        <f>VLOOKUP($B78,dongia1,DG!$D$5,)</f>
        <v>cái</v>
      </c>
      <c r="G78" s="73"/>
      <c r="H78" s="121">
        <f>VLOOKUP($B78,dongia1,DG!$F$5,)</f>
        <v>5098798</v>
      </c>
      <c r="I78" s="155"/>
      <c r="J78" s="121">
        <f>VLOOKUP($B78,dongia1,DG!$G$5,)</f>
        <v>0</v>
      </c>
      <c r="K78" s="121">
        <f>VLOOKUP($B78,dongia1,DG!$H$5,)</f>
        <v>0</v>
      </c>
      <c r="L78" s="39">
        <f t="shared" si="14"/>
        <v>0</v>
      </c>
      <c r="M78" s="39">
        <f t="shared" si="14"/>
        <v>0</v>
      </c>
      <c r="N78" s="39">
        <f t="shared" si="14"/>
        <v>0</v>
      </c>
      <c r="O78" s="39">
        <f t="shared" si="14"/>
        <v>0</v>
      </c>
      <c r="P78" s="112"/>
    </row>
    <row r="79" spans="1:16" s="34" customFormat="1">
      <c r="A79" s="29" t="str">
        <f t="shared" si="3"/>
        <v/>
      </c>
      <c r="B79" s="153" t="s">
        <v>794</v>
      </c>
      <c r="C79" s="119"/>
      <c r="D79" s="120"/>
      <c r="E79" s="151" t="str">
        <f>VLOOKUP($B79,dongia1,DG!$C$5,)</f>
        <v>Hộp nối cáp ngầm 24kV 3x50mm2</v>
      </c>
      <c r="F79" s="120" t="str">
        <f>VLOOKUP($B79,dongia1,DG!$D$5,)</f>
        <v>cái</v>
      </c>
      <c r="G79" s="73"/>
      <c r="H79" s="121">
        <f>VLOOKUP($B79,dongia1,DG!$F$5,)</f>
        <v>4682570</v>
      </c>
      <c r="I79" s="155"/>
      <c r="J79" s="121">
        <f>VLOOKUP($B79,dongia1,DG!$G$5,)</f>
        <v>0</v>
      </c>
      <c r="K79" s="121">
        <f>VLOOKUP($B79,dongia1,DG!$H$5,)</f>
        <v>0</v>
      </c>
      <c r="L79" s="39">
        <f t="shared" si="14"/>
        <v>0</v>
      </c>
      <c r="M79" s="39">
        <f t="shared" si="14"/>
        <v>0</v>
      </c>
      <c r="N79" s="39">
        <f t="shared" si="14"/>
        <v>0</v>
      </c>
      <c r="O79" s="39">
        <f t="shared" si="14"/>
        <v>0</v>
      </c>
      <c r="P79" s="112"/>
    </row>
    <row r="80" spans="1:16" s="34" customFormat="1">
      <c r="A80" s="29" t="str">
        <f t="shared" si="3"/>
        <v/>
      </c>
      <c r="B80" s="109" t="s">
        <v>3802</v>
      </c>
      <c r="C80" s="119"/>
      <c r="D80" s="120"/>
      <c r="E80" s="151" t="str">
        <f>VLOOKUP($B80,dongia1,DG!$C$5,)</f>
        <v>Cổ dê bắt xà + bulon</v>
      </c>
      <c r="F80" s="120" t="str">
        <f>VLOOKUP($B80,dongia1,DG!$D$5,)</f>
        <v>bộ</v>
      </c>
      <c r="G80" s="1797">
        <f>2*G73*0</f>
        <v>0</v>
      </c>
      <c r="H80" s="121">
        <f>VLOOKUP($B80,dongia1,DG!$F$5,)</f>
        <v>40000</v>
      </c>
      <c r="I80" s="121"/>
      <c r="J80" s="121">
        <f>VLOOKUP($B80,dongia1,DG!$G$5,)</f>
        <v>0</v>
      </c>
      <c r="K80" s="121">
        <f>VLOOKUP($B80,dongia1,DG!$H$5,)</f>
        <v>0</v>
      </c>
      <c r="L80" s="39">
        <f t="shared" ref="L80:O81" si="15">H80*$G80</f>
        <v>0</v>
      </c>
      <c r="M80" s="39">
        <f t="shared" si="15"/>
        <v>0</v>
      </c>
      <c r="N80" s="39">
        <f t="shared" si="15"/>
        <v>0</v>
      </c>
      <c r="O80" s="39">
        <f t="shared" si="15"/>
        <v>0</v>
      </c>
      <c r="P80" s="112"/>
    </row>
    <row r="81" spans="1:16" s="34" customFormat="1">
      <c r="A81" s="29" t="str">
        <f t="shared" si="3"/>
        <v/>
      </c>
      <c r="B81" s="153" t="s">
        <v>1116</v>
      </c>
      <c r="C81" s="119"/>
      <c r="D81" s="120" t="str">
        <f>VLOOKUP($B81,dongia1,DG!$B$5,)</f>
        <v>D3.1115</v>
      </c>
      <c r="E81" s="151" t="str">
        <f>VLOOKUP($B81,dongia1,DG!$C$5,)</f>
        <v>Lắp sứ đứng 24KV</v>
      </c>
      <c r="F81" s="120" t="str">
        <f>VLOOKUP($B81,dongia1,DG!$D$5,)</f>
        <v>bộ</v>
      </c>
      <c r="G81" s="1797">
        <f>G64</f>
        <v>0</v>
      </c>
      <c r="H81" s="121"/>
      <c r="I81" s="155"/>
      <c r="J81" s="121">
        <f>VLOOKUP($B81,dongia1,DG!$G$5,)</f>
        <v>58277.49</v>
      </c>
      <c r="K81" s="121">
        <f>VLOOKUP($B81,dongia1,DG!$H$5,)</f>
        <v>0</v>
      </c>
      <c r="L81" s="39">
        <f t="shared" si="15"/>
        <v>0</v>
      </c>
      <c r="M81" s="39">
        <f t="shared" si="15"/>
        <v>0</v>
      </c>
      <c r="N81" s="39">
        <f t="shared" si="15"/>
        <v>0</v>
      </c>
      <c r="O81" s="39">
        <f t="shared" si="15"/>
        <v>0</v>
      </c>
      <c r="P81" s="112"/>
    </row>
    <row r="82" spans="1:16" s="34" customFormat="1">
      <c r="A82" s="29" t="str">
        <f t="shared" si="3"/>
        <v/>
      </c>
      <c r="B82" s="153" t="s">
        <v>1883</v>
      </c>
      <c r="C82" s="119"/>
      <c r="D82" s="120" t="str">
        <f>VLOOKUP($B82,dongia1,DG!$B$5,)</f>
        <v>D4.5007</v>
      </c>
      <c r="E82" s="151" t="str">
        <f>VLOOKUP($B82,dongia1,DG!$C$5,)</f>
        <v>Ép Đầu cosse 185mm2</v>
      </c>
      <c r="F82" s="120" t="str">
        <f>VLOOKUP($B82,dongia1,DG!$D$5,)</f>
        <v>cái</v>
      </c>
      <c r="G82" s="1797">
        <f>+G55</f>
        <v>0</v>
      </c>
      <c r="H82" s="121"/>
      <c r="I82" s="155"/>
      <c r="J82" s="121">
        <f>VLOOKUP($B82,dongia1,DG!$G$5,)</f>
        <v>31629</v>
      </c>
      <c r="K82" s="121">
        <f>VLOOKUP($B82,dongia1,DG!$H$5,)</f>
        <v>4839</v>
      </c>
      <c r="L82" s="39">
        <f t="shared" ref="L82:O87" si="16">H82*$G82</f>
        <v>0</v>
      </c>
      <c r="M82" s="39">
        <f t="shared" si="16"/>
        <v>0</v>
      </c>
      <c r="N82" s="39">
        <f t="shared" si="16"/>
        <v>0</v>
      </c>
      <c r="O82" s="39">
        <f t="shared" si="16"/>
        <v>0</v>
      </c>
      <c r="P82" s="112"/>
    </row>
    <row r="83" spans="1:16" s="34" customFormat="1">
      <c r="A83" s="29" t="str">
        <f t="shared" si="3"/>
        <v/>
      </c>
      <c r="B83" s="153" t="s">
        <v>2146</v>
      </c>
      <c r="C83" s="119"/>
      <c r="D83" s="120" t="str">
        <f>VLOOKUP($B83,dongia1,DG!$B$5,)</f>
        <v>D4.5006</v>
      </c>
      <c r="E83" s="151" t="str">
        <f>VLOOKUP($B83,dongia1,DG!$C$5,)</f>
        <v>Ép Đầu cosse 150mm2</v>
      </c>
      <c r="F83" s="120" t="str">
        <f>VLOOKUP($B83,dongia1,DG!$D$5,)</f>
        <v>cái</v>
      </c>
      <c r="G83" s="1797"/>
      <c r="H83" s="121"/>
      <c r="I83" s="155"/>
      <c r="J83" s="121">
        <f>VLOOKUP($B83,dongia1,DG!$G$5,)</f>
        <v>26358</v>
      </c>
      <c r="K83" s="121">
        <f>VLOOKUP($B83,dongia1,DG!$H$5,)</f>
        <v>4301</v>
      </c>
      <c r="L83" s="39">
        <f t="shared" si="16"/>
        <v>0</v>
      </c>
      <c r="M83" s="39">
        <f t="shared" si="16"/>
        <v>0</v>
      </c>
      <c r="N83" s="39">
        <f t="shared" si="16"/>
        <v>0</v>
      </c>
      <c r="O83" s="39">
        <f t="shared" si="16"/>
        <v>0</v>
      </c>
      <c r="P83" s="112"/>
    </row>
    <row r="84" spans="1:16" s="34" customFormat="1">
      <c r="A84" s="29" t="str">
        <f t="shared" si="3"/>
        <v/>
      </c>
      <c r="B84" s="153" t="s">
        <v>2147</v>
      </c>
      <c r="C84" s="119"/>
      <c r="D84" s="120" t="str">
        <f>VLOOKUP($B84,dongia1,DG!$B$5,)</f>
        <v>D4.5005</v>
      </c>
      <c r="E84" s="151" t="str">
        <f>VLOOKUP($B84,dongia1,DG!$C$5,)</f>
        <v>Ép Đầu cosse 120mm2</v>
      </c>
      <c r="F84" s="120" t="str">
        <f>VLOOKUP($B84,dongia1,DG!$D$5,)</f>
        <v>cái</v>
      </c>
      <c r="G84" s="1797">
        <f>+G57</f>
        <v>0</v>
      </c>
      <c r="H84" s="121"/>
      <c r="I84" s="155"/>
      <c r="J84" s="121">
        <f>VLOOKUP($B84,dongia1,DG!$G$5,)</f>
        <v>21565</v>
      </c>
      <c r="K84" s="121">
        <f>VLOOKUP($B84,dongia1,DG!$H$5,)</f>
        <v>3764</v>
      </c>
      <c r="L84" s="39">
        <f t="shared" si="16"/>
        <v>0</v>
      </c>
      <c r="M84" s="39">
        <f t="shared" si="16"/>
        <v>0</v>
      </c>
      <c r="N84" s="39">
        <f t="shared" si="16"/>
        <v>0</v>
      </c>
      <c r="O84" s="39">
        <f t="shared" si="16"/>
        <v>0</v>
      </c>
      <c r="P84" s="112"/>
    </row>
    <row r="85" spans="1:16" s="34" customFormat="1">
      <c r="A85" s="29" t="str">
        <f t="shared" si="3"/>
        <v/>
      </c>
      <c r="B85" s="153" t="s">
        <v>2150</v>
      </c>
      <c r="C85" s="119"/>
      <c r="D85" s="120" t="str">
        <f>VLOOKUP($B85,dongia1,DG!$B$5,)</f>
        <v>D4.5004</v>
      </c>
      <c r="E85" s="151" t="str">
        <f>VLOOKUP($B85,dongia1,DG!$C$5,)</f>
        <v>Ép Đầu cosse 95mm2</v>
      </c>
      <c r="F85" s="120" t="str">
        <f>VLOOKUP($B85,dongia1,DG!$D$5,)</f>
        <v>cái</v>
      </c>
      <c r="G85" s="1797">
        <f>+G59</f>
        <v>0</v>
      </c>
      <c r="H85" s="121"/>
      <c r="I85" s="155"/>
      <c r="J85" s="121">
        <f>VLOOKUP($B85,dongia1,DG!$G$5,)</f>
        <v>16773</v>
      </c>
      <c r="K85" s="121">
        <f>VLOOKUP($B85,dongia1,DG!$H$5,)</f>
        <v>3226</v>
      </c>
      <c r="L85" s="39">
        <f t="shared" si="16"/>
        <v>0</v>
      </c>
      <c r="M85" s="39">
        <f t="shared" si="16"/>
        <v>0</v>
      </c>
      <c r="N85" s="39">
        <f t="shared" si="16"/>
        <v>0</v>
      </c>
      <c r="O85" s="39">
        <f t="shared" si="16"/>
        <v>0</v>
      </c>
      <c r="P85" s="112"/>
    </row>
    <row r="86" spans="1:16" s="1803" customFormat="1">
      <c r="A86" s="1822" t="str">
        <f t="shared" si="3"/>
        <v/>
      </c>
      <c r="B86" s="1793" t="s">
        <v>2148</v>
      </c>
      <c r="C86" s="1794"/>
      <c r="D86" s="1795" t="str">
        <f>VLOOKUP($B86,dongia1,DG!$B$5,)</f>
        <v>D4.5003</v>
      </c>
      <c r="E86" s="1796" t="str">
        <f>VLOOKUP($B86,dongia1,DG!$C$5,)</f>
        <v>Ép Đầu cosse 70mm2</v>
      </c>
      <c r="F86" s="1795" t="str">
        <f>VLOOKUP($B86,dongia1,DG!$D$5,)</f>
        <v>cái</v>
      </c>
      <c r="G86" s="1797"/>
      <c r="H86" s="1798"/>
      <c r="I86" s="155"/>
      <c r="J86" s="1798">
        <f>VLOOKUP($B86,dongia1,DG!$G$5,)</f>
        <v>13179</v>
      </c>
      <c r="K86" s="1798">
        <f>VLOOKUP($B86,dongia1,DG!$H$5,)</f>
        <v>3226</v>
      </c>
      <c r="L86" s="1800">
        <f t="shared" si="16"/>
        <v>0</v>
      </c>
      <c r="M86" s="39">
        <f t="shared" si="16"/>
        <v>0</v>
      </c>
      <c r="N86" s="1800">
        <f t="shared" si="16"/>
        <v>0</v>
      </c>
      <c r="O86" s="1800">
        <f t="shared" si="16"/>
        <v>0</v>
      </c>
      <c r="P86" s="1802"/>
    </row>
    <row r="87" spans="1:16" s="34" customFormat="1">
      <c r="A87" s="29" t="str">
        <f t="shared" si="3"/>
        <v/>
      </c>
      <c r="B87" s="153" t="s">
        <v>2149</v>
      </c>
      <c r="C87" s="119"/>
      <c r="D87" s="120" t="str">
        <f>VLOOKUP($B87,dongia1,DG!$B$5,)</f>
        <v>D4.5002</v>
      </c>
      <c r="E87" s="151" t="str">
        <f>VLOOKUP($B87,dongia1,DG!$C$5,)</f>
        <v>Ép Đầu cosse 50mm2</v>
      </c>
      <c r="F87" s="120" t="str">
        <f>VLOOKUP($B87,dongia1,DG!$D$5,)</f>
        <v>cái</v>
      </c>
      <c r="G87" s="1797">
        <f>G56+G58</f>
        <v>0</v>
      </c>
      <c r="H87" s="121"/>
      <c r="I87" s="155"/>
      <c r="J87" s="121">
        <f>VLOOKUP($B87,dongia1,DG!$G$5,)</f>
        <v>8387</v>
      </c>
      <c r="K87" s="121">
        <f>VLOOKUP($B87,dongia1,DG!$H$5,)</f>
        <v>2688</v>
      </c>
      <c r="L87" s="39">
        <f t="shared" si="16"/>
        <v>0</v>
      </c>
      <c r="M87" s="39">
        <f t="shared" si="16"/>
        <v>0</v>
      </c>
      <c r="N87" s="39">
        <f t="shared" si="16"/>
        <v>0</v>
      </c>
      <c r="O87" s="39">
        <f t="shared" si="16"/>
        <v>0</v>
      </c>
      <c r="P87" s="112"/>
    </row>
    <row r="88" spans="1:16" s="34" customFormat="1">
      <c r="A88" s="29" t="str">
        <f t="shared" si="3"/>
        <v/>
      </c>
      <c r="B88" s="129" t="s">
        <v>1884</v>
      </c>
      <c r="C88" s="119"/>
      <c r="D88" s="163" t="s">
        <v>140</v>
      </c>
      <c r="E88" s="151" t="str">
        <f>VLOOKUP($B88,dongia1,DG!$C$5,)</f>
        <v>Lắp ống sắt tráng kẽm D168</v>
      </c>
      <c r="F88" s="120" t="str">
        <f>VLOOKUP($B88,dongia1,DG!$D$5,)</f>
        <v>mét</v>
      </c>
      <c r="G88" s="1797"/>
      <c r="H88" s="121"/>
      <c r="I88" s="156"/>
      <c r="J88" s="121">
        <f>VLOOKUP($B88,dongia1,DG!$G$5,)</f>
        <v>127101.65849999999</v>
      </c>
      <c r="K88" s="121">
        <f>VLOOKUP($B88,dongia1,DG!$H$5,)</f>
        <v>0</v>
      </c>
      <c r="L88" s="39">
        <f>H88*$G88</f>
        <v>0</v>
      </c>
      <c r="M88" s="62">
        <f>I88*$G88</f>
        <v>0</v>
      </c>
      <c r="N88" s="39">
        <f>J88*$G88</f>
        <v>0</v>
      </c>
      <c r="O88" s="39">
        <f>K88*$G88</f>
        <v>0</v>
      </c>
      <c r="P88" s="112"/>
    </row>
    <row r="89" spans="1:16" s="34" customFormat="1">
      <c r="A89" s="29" t="str">
        <f t="shared" si="3"/>
        <v/>
      </c>
      <c r="B89" s="153" t="s">
        <v>1896</v>
      </c>
      <c r="C89" s="119"/>
      <c r="D89" s="163" t="s">
        <v>861</v>
      </c>
      <c r="E89" s="151" t="str">
        <f>VLOOKUP($B89,dongia1,DG!$C$5,)</f>
        <v>Lắp Cổ dê kẹp ống sắt Þ 168</v>
      </c>
      <c r="F89" s="120" t="str">
        <f>VLOOKUP($B89,dongia1,DG!$D$5,)</f>
        <v>bộ</v>
      </c>
      <c r="G89" s="1797"/>
      <c r="H89" s="121"/>
      <c r="I89" s="155"/>
      <c r="J89" s="121">
        <f>VLOOKUP($B89,dongia1,DG!$G$5,)</f>
        <v>0</v>
      </c>
      <c r="K89" s="121">
        <f>VLOOKUP($B89,dongia1,DG!$H$5,)</f>
        <v>0</v>
      </c>
      <c r="L89" s="39">
        <f>H89*$G89</f>
        <v>0</v>
      </c>
      <c r="M89" s="39">
        <f>I89*$G89</f>
        <v>0</v>
      </c>
      <c r="N89" s="39">
        <f>J89*G89</f>
        <v>0</v>
      </c>
      <c r="O89" s="39">
        <f>K89*$G89</f>
        <v>0</v>
      </c>
      <c r="P89" s="112"/>
    </row>
    <row r="90" spans="1:16" s="1803" customFormat="1">
      <c r="A90" s="1822" t="str">
        <f t="shared" si="3"/>
        <v/>
      </c>
      <c r="B90" s="1823" t="s">
        <v>442</v>
      </c>
      <c r="C90" s="1794"/>
      <c r="D90" s="1795" t="str">
        <f>VLOOKUP($B90,dongia1,DG!$B$5,)</f>
        <v>T4.8002</v>
      </c>
      <c r="E90" s="1796" t="str">
        <f>VLOOKUP($B90,dongia1,DG!$C$5,)</f>
        <v>Lắp gía đỡ cáp</v>
      </c>
      <c r="F90" s="1795" t="str">
        <f>VLOOKUP($B90,dongia1,DG!$D$5,)</f>
        <v>bộ</v>
      </c>
      <c r="G90" s="1797">
        <f>G62</f>
        <v>0</v>
      </c>
      <c r="H90" s="1798"/>
      <c r="I90" s="152"/>
      <c r="J90" s="1798">
        <f>VLOOKUP($B90,dongia1,DG!$G$5,)</f>
        <v>28219.62</v>
      </c>
      <c r="K90" s="1798">
        <f>VLOOKUP($B90,dongia1,DG!$H$5,)</f>
        <v>0</v>
      </c>
      <c r="L90" s="1800">
        <f>H90*$G90</f>
        <v>0</v>
      </c>
      <c r="M90" s="62">
        <f>I90*$G90</f>
        <v>0</v>
      </c>
      <c r="N90" s="1800">
        <f>J90*$G90</f>
        <v>0</v>
      </c>
      <c r="O90" s="1800">
        <f>K90*$G90</f>
        <v>0</v>
      </c>
      <c r="P90" s="1802"/>
    </row>
    <row r="91" spans="1:16" s="1803" customFormat="1">
      <c r="A91" s="1822" t="str">
        <f t="shared" si="3"/>
        <v/>
      </c>
      <c r="B91" s="1793" t="s">
        <v>1769</v>
      </c>
      <c r="C91" s="1794"/>
      <c r="D91" s="1795" t="str">
        <f>VLOOKUP($B91,dongia1,DG!$B$5,)</f>
        <v>T4.4203</v>
      </c>
      <c r="E91" s="1796" t="str">
        <f>VLOOKUP($B91,dongia1,DG!$C$5,)</f>
        <v>Lắp cáp đồng xuống thiết bị D ≤ 240mm2</v>
      </c>
      <c r="F91" s="1795" t="str">
        <f>VLOOKUP($B91,dongia1,DG!$D$5,)</f>
        <v>m</v>
      </c>
      <c r="G91" s="1797">
        <f>G34</f>
        <v>0</v>
      </c>
      <c r="H91" s="1798"/>
      <c r="I91" s="155"/>
      <c r="J91" s="1798">
        <f>VLOOKUP($B91,dongia1,DG!$G$5,)</f>
        <v>47311</v>
      </c>
      <c r="K91" s="1798">
        <f>VLOOKUP($B91,dongia1,DG!$H$5,)</f>
        <v>0</v>
      </c>
      <c r="L91" s="1800">
        <f t="shared" ref="L91:O97" si="17">H91*$G91</f>
        <v>0</v>
      </c>
      <c r="M91" s="39">
        <f t="shared" si="17"/>
        <v>0</v>
      </c>
      <c r="N91" s="1800">
        <f t="shared" si="17"/>
        <v>0</v>
      </c>
      <c r="O91" s="1800">
        <f t="shared" si="17"/>
        <v>0</v>
      </c>
      <c r="P91" s="1802"/>
    </row>
    <row r="92" spans="1:16" s="34" customFormat="1">
      <c r="A92" s="29" t="str">
        <f t="shared" si="3"/>
        <v/>
      </c>
      <c r="B92" s="153" t="s">
        <v>1144</v>
      </c>
      <c r="C92" s="119"/>
      <c r="D92" s="120" t="str">
        <f>VLOOKUP($B92,dongia1,DG!$B$5,)</f>
        <v>T4.4201</v>
      </c>
      <c r="E92" s="151" t="str">
        <f>VLOOKUP($B92,dongia1,DG!$C$5,)</f>
        <v>Lắp cáp đồng xuống thiết bị D ≤ 95mm2</v>
      </c>
      <c r="F92" s="120" t="str">
        <f>VLOOKUP($B92,dongia1,DG!$D$5,)</f>
        <v>m</v>
      </c>
      <c r="G92" s="1797">
        <f>G35</f>
        <v>0</v>
      </c>
      <c r="H92" s="121"/>
      <c r="I92" s="155"/>
      <c r="J92" s="121">
        <f>VLOOKUP($B92,dongia1,DG!$G$5,)</f>
        <v>13915</v>
      </c>
      <c r="K92" s="121">
        <f>VLOOKUP($B92,dongia1,DG!$H$5,)</f>
        <v>0</v>
      </c>
      <c r="L92" s="39">
        <f t="shared" ref="L92:O93" si="18">H92*$G92</f>
        <v>0</v>
      </c>
      <c r="M92" s="39">
        <f t="shared" si="18"/>
        <v>0</v>
      </c>
      <c r="N92" s="39">
        <f t="shared" si="18"/>
        <v>0</v>
      </c>
      <c r="O92" s="39">
        <f t="shared" si="18"/>
        <v>0</v>
      </c>
      <c r="P92" s="112"/>
    </row>
    <row r="93" spans="1:16" s="34" customFormat="1">
      <c r="A93" s="29" t="str">
        <f t="shared" si="3"/>
        <v/>
      </c>
      <c r="B93" s="153" t="s">
        <v>169</v>
      </c>
      <c r="C93" s="119"/>
      <c r="D93" s="120" t="str">
        <f>VLOOKUP($B93,dongia1,DG!$B$5,)</f>
        <v>07.3408</v>
      </c>
      <c r="E93" s="151" t="str">
        <f>VLOOKUP($B93,dongia1,DG!$C$5,)</f>
        <v>Lắp cáp trong ống bảo vệ loại &lt;=10.5kg</v>
      </c>
      <c r="F93" s="120" t="str">
        <f>VLOOKUP($B93,dongia1,DG!$D$5,)</f>
        <v>mét</v>
      </c>
      <c r="G93" s="1797">
        <f>G37</f>
        <v>0</v>
      </c>
      <c r="H93" s="121"/>
      <c r="I93" s="155"/>
      <c r="J93" s="121">
        <f>VLOOKUP($B93,dongia1,DG!$G$5,)</f>
        <v>13455</v>
      </c>
      <c r="K93" s="121">
        <f>VLOOKUP($B93,dongia1,DG!$H$5,)</f>
        <v>0</v>
      </c>
      <c r="L93" s="39">
        <f t="shared" si="18"/>
        <v>0</v>
      </c>
      <c r="M93" s="39">
        <f t="shared" si="18"/>
        <v>0</v>
      </c>
      <c r="N93" s="39">
        <f t="shared" si="18"/>
        <v>0</v>
      </c>
      <c r="O93" s="39">
        <f t="shared" si="18"/>
        <v>0</v>
      </c>
      <c r="P93" s="112"/>
    </row>
    <row r="94" spans="1:16" s="34" customFormat="1">
      <c r="A94" s="29" t="str">
        <f t="shared" si="3"/>
        <v/>
      </c>
      <c r="B94" s="153" t="s">
        <v>958</v>
      </c>
      <c r="C94" s="119"/>
      <c r="D94" s="120" t="str">
        <f>VLOOKUP($B94,dongia1,DG!$B$5,)</f>
        <v>D4.24.07</v>
      </c>
      <c r="E94" s="151" t="str">
        <f>VLOOKUP($B94,dongia1,DG!$C$5,)</f>
        <v>Lắp cáp trong ống bảo vệ loại &lt;=9kg</v>
      </c>
      <c r="F94" s="120" t="str">
        <f>VLOOKUP($B94,dongia1,DG!$D$5,)</f>
        <v>mét</v>
      </c>
      <c r="G94" s="1797">
        <f>G70</f>
        <v>0</v>
      </c>
      <c r="H94" s="121"/>
      <c r="I94" s="155"/>
      <c r="J94" s="121">
        <f>VLOOKUP($B94,dongia1,DG!$G$5,)</f>
        <v>34102.882000000005</v>
      </c>
      <c r="K94" s="121">
        <f>VLOOKUP($B94,dongia1,DG!$H$5,)</f>
        <v>0</v>
      </c>
      <c r="L94" s="39">
        <f t="shared" si="17"/>
        <v>0</v>
      </c>
      <c r="M94" s="39">
        <f t="shared" si="17"/>
        <v>0</v>
      </c>
      <c r="N94" s="39">
        <f t="shared" si="17"/>
        <v>0</v>
      </c>
      <c r="O94" s="39">
        <f t="shared" si="17"/>
        <v>0</v>
      </c>
      <c r="P94" s="112"/>
    </row>
    <row r="95" spans="1:16" s="34" customFormat="1">
      <c r="A95" s="29" t="str">
        <f t="shared" si="3"/>
        <v/>
      </c>
      <c r="B95" s="129" t="s">
        <v>892</v>
      </c>
      <c r="C95" s="119"/>
      <c r="D95" s="120">
        <f>VLOOKUP($B95,dongia1,DG!$B$5,)</f>
        <v>73213</v>
      </c>
      <c r="E95" s="151" t="str">
        <f>VLOOKUP($B95,dongia1,DG!$C$5,)</f>
        <v>Lắp cáp ngầm trên giá đỡ loại &lt;=18kg</v>
      </c>
      <c r="F95" s="120" t="str">
        <f>VLOOKUP($B95,dongia1,DG!$D$5,)</f>
        <v>mét</v>
      </c>
      <c r="G95" s="1797">
        <f>I8*4</f>
        <v>0</v>
      </c>
      <c r="H95" s="121"/>
      <c r="I95" s="155"/>
      <c r="J95" s="121">
        <f>VLOOKUP($B95,dongia1,DG!$G$5,)</f>
        <v>19214</v>
      </c>
      <c r="K95" s="121">
        <f>VLOOKUP($B95,dongia1,DG!$H$5,)</f>
        <v>0</v>
      </c>
      <c r="L95" s="39">
        <f t="shared" si="17"/>
        <v>0</v>
      </c>
      <c r="M95" s="39">
        <f t="shared" si="17"/>
        <v>0</v>
      </c>
      <c r="N95" s="39">
        <f t="shared" si="17"/>
        <v>0</v>
      </c>
      <c r="O95" s="39">
        <f t="shared" si="17"/>
        <v>0</v>
      </c>
      <c r="P95" s="112"/>
    </row>
    <row r="96" spans="1:16" s="1803" customFormat="1">
      <c r="A96" s="1822" t="str">
        <f t="shared" si="3"/>
        <v/>
      </c>
      <c r="B96" s="1793" t="s">
        <v>1368</v>
      </c>
      <c r="C96" s="1794"/>
      <c r="D96" s="1795" t="str">
        <f>VLOOKUP($B96,dongia1,DG!$B$5,)</f>
        <v>D4.24.04</v>
      </c>
      <c r="E96" s="1796" t="str">
        <f>VLOOKUP($B96,dongia1,DG!$C$5,)</f>
        <v>Lắp cáp trong ống bảo vệ loại &lt;=4.5kg</v>
      </c>
      <c r="F96" s="1795" t="str">
        <f>VLOOKUP($B96,dongia1,DG!$D$5,)</f>
        <v>mét</v>
      </c>
      <c r="G96" s="1797">
        <f>G39</f>
        <v>0</v>
      </c>
      <c r="H96" s="1798"/>
      <c r="I96" s="1799"/>
      <c r="J96" s="1798">
        <f>VLOOKUP($B96,dongia1,DG!$G$5,)</f>
        <v>16837.150000000001</v>
      </c>
      <c r="K96" s="1798">
        <f>VLOOKUP($B96,dongia1,DG!$H$5,)</f>
        <v>0</v>
      </c>
      <c r="L96" s="1800">
        <f t="shared" si="17"/>
        <v>0</v>
      </c>
      <c r="M96" s="1801">
        <f t="shared" si="17"/>
        <v>0</v>
      </c>
      <c r="N96" s="1800">
        <f t="shared" si="17"/>
        <v>0</v>
      </c>
      <c r="O96" s="1800">
        <f t="shared" si="17"/>
        <v>0</v>
      </c>
      <c r="P96" s="1802"/>
    </row>
    <row r="97" spans="1:16381" s="1803" customFormat="1">
      <c r="A97" s="29" t="str">
        <f t="shared" si="3"/>
        <v/>
      </c>
      <c r="B97" s="1793" t="s">
        <v>1366</v>
      </c>
      <c r="C97" s="1794"/>
      <c r="D97" s="1795" t="str">
        <f>VLOOKUP($B97,dongia1,DG!$B$5,)</f>
        <v>D4.24.02</v>
      </c>
      <c r="E97" s="1796" t="str">
        <f>VLOOKUP($B97,dongia1,DG!$C$5,)</f>
        <v>Lắp cáp trong ống bảo vệ loại &lt;=2kg</v>
      </c>
      <c r="F97" s="1795" t="str">
        <f>VLOOKUP($B97,dongia1,DG!$D$5,)</f>
        <v>mét</v>
      </c>
      <c r="G97" s="1797">
        <f>G44</f>
        <v>0</v>
      </c>
      <c r="H97" s="1798"/>
      <c r="I97" s="1804"/>
      <c r="J97" s="121">
        <f>VLOOKUP($B97,dongia1,DG!$G$5,)</f>
        <v>10102.290000000001</v>
      </c>
      <c r="K97" s="1798">
        <f>VLOOKUP($B97,dongia1,DG!$H$5,)</f>
        <v>0</v>
      </c>
      <c r="L97" s="1800">
        <f t="shared" si="17"/>
        <v>0</v>
      </c>
      <c r="M97" s="1800">
        <f t="shared" si="17"/>
        <v>0</v>
      </c>
      <c r="N97" s="1800">
        <f t="shared" si="17"/>
        <v>0</v>
      </c>
      <c r="O97" s="1800">
        <f t="shared" si="17"/>
        <v>0</v>
      </c>
      <c r="P97" s="1802"/>
    </row>
    <row r="98" spans="1:16381" s="34" customFormat="1">
      <c r="A98" s="29" t="str">
        <f t="shared" si="3"/>
        <v/>
      </c>
      <c r="B98" s="153" t="s">
        <v>1494</v>
      </c>
      <c r="C98" s="119"/>
      <c r="D98" s="120" t="str">
        <f>VLOOKUP($B98,dongia1,DG!$B$5,)</f>
        <v>D4.3312</v>
      </c>
      <c r="E98" s="151" t="str">
        <f>VLOOKUP($B98,dongia1,DG!$C$5,)</f>
        <v>Lắp đầu cáp trung thế 3x50mm2, 70mm2</v>
      </c>
      <c r="F98" s="120" t="str">
        <f>VLOOKUP($B98,dongia1,DG!$D$5,)</f>
        <v>cái</v>
      </c>
      <c r="G98" s="1797">
        <f>G45+G46+G47</f>
        <v>0</v>
      </c>
      <c r="H98" s="121"/>
      <c r="I98" s="155"/>
      <c r="J98" s="121">
        <f>VLOOKUP($B98,dongia1,DG!$G$5,)</f>
        <v>621381.64999999991</v>
      </c>
      <c r="K98" s="121">
        <f>VLOOKUP($B98,dongia1,DG!$H$5,)</f>
        <v>0</v>
      </c>
      <c r="L98" s="39">
        <f t="shared" ref="L98:O101" si="19">H98*$G98</f>
        <v>0</v>
      </c>
      <c r="M98" s="39">
        <f t="shared" si="19"/>
        <v>0</v>
      </c>
      <c r="N98" s="39">
        <f t="shared" si="19"/>
        <v>0</v>
      </c>
      <c r="O98" s="39">
        <f t="shared" si="19"/>
        <v>0</v>
      </c>
      <c r="P98" s="112"/>
    </row>
    <row r="99" spans="1:16381" s="34" customFormat="1">
      <c r="A99" s="29" t="str">
        <f>IF(G99=0,"",1)</f>
        <v/>
      </c>
      <c r="B99" s="1707" t="s">
        <v>5745</v>
      </c>
      <c r="C99" s="119"/>
      <c r="D99" s="120" t="str">
        <f>VLOOKUP($B99,dongia1,DG!$B$5,)</f>
        <v>D4.4312</v>
      </c>
      <c r="E99" s="151" t="str">
        <f>VLOOKUP($B99,dongia1,DG!$C$5,)</f>
        <v>Lắp hộp nối cáp trung thế 3x50mm2, 70mm2</v>
      </c>
      <c r="F99" s="120" t="str">
        <f>VLOOKUP($B99,dongia1,DG!$D$5,)</f>
        <v>cái</v>
      </c>
      <c r="G99" s="1797">
        <f>G48</f>
        <v>0</v>
      </c>
      <c r="H99" s="121"/>
      <c r="I99" s="155"/>
      <c r="J99" s="121">
        <f>VLOOKUP($B99,dongia1,DG!$G$5,)</f>
        <v>1263981.21</v>
      </c>
      <c r="K99" s="121">
        <f>VLOOKUP($B99,dongia1,DG!$H$5,)</f>
        <v>0</v>
      </c>
      <c r="L99" s="39">
        <f>H99*$G99</f>
        <v>0</v>
      </c>
      <c r="M99" s="39">
        <f>I99*$G99</f>
        <v>0</v>
      </c>
      <c r="N99" s="39">
        <f>J99*$G99</f>
        <v>0</v>
      </c>
      <c r="O99" s="39">
        <f>K99*$G99</f>
        <v>0</v>
      </c>
      <c r="P99" s="112"/>
    </row>
    <row r="100" spans="1:16381" s="34" customFormat="1">
      <c r="A100" s="29" t="str">
        <f t="shared" si="3"/>
        <v/>
      </c>
      <c r="B100" s="164" t="s">
        <v>894</v>
      </c>
      <c r="C100" s="119"/>
      <c r="D100" s="120">
        <f>VLOOKUP($B100,dongia1,DG!$B$5,)</f>
        <v>74316</v>
      </c>
      <c r="E100" s="151" t="str">
        <f>VLOOKUP($B100,dongia1,DG!$C$5,)</f>
        <v>Làm đầu cáp &lt;=300mm2</v>
      </c>
      <c r="F100" s="120" t="str">
        <f>VLOOKUP($B100,dongia1,DG!$D$5,)</f>
        <v>cái</v>
      </c>
      <c r="G100" s="73">
        <f>+G73+G74</f>
        <v>0</v>
      </c>
      <c r="H100" s="121"/>
      <c r="I100" s="156"/>
      <c r="J100" s="121">
        <f>VLOOKUP($B100,dongia1,DG!$G$5,)</f>
        <v>704803</v>
      </c>
      <c r="K100" s="121">
        <f>VLOOKUP($B100,dongia1,DG!$H$5,)</f>
        <v>0</v>
      </c>
      <c r="L100" s="39">
        <f t="shared" si="19"/>
        <v>0</v>
      </c>
      <c r="M100" s="62">
        <f t="shared" si="19"/>
        <v>0</v>
      </c>
      <c r="N100" s="39">
        <f t="shared" si="19"/>
        <v>0</v>
      </c>
      <c r="O100" s="39">
        <f t="shared" si="19"/>
        <v>0</v>
      </c>
      <c r="P100" s="112"/>
    </row>
    <row r="101" spans="1:16381" s="1740" customFormat="1">
      <c r="A101" s="29" t="str">
        <f t="shared" si="3"/>
        <v/>
      </c>
      <c r="B101" s="165" t="s">
        <v>1957</v>
      </c>
      <c r="C101" s="166">
        <f>IF(G101&gt;0,C32+1,C32)</f>
        <v>0</v>
      </c>
      <c r="D101" s="1733"/>
      <c r="E101" s="168" t="s">
        <v>3812</v>
      </c>
      <c r="F101" s="169" t="s">
        <v>2307</v>
      </c>
      <c r="G101" s="1734">
        <f>$F$3</f>
        <v>0</v>
      </c>
      <c r="H101" s="193"/>
      <c r="I101" s="1735"/>
      <c r="J101" s="1736"/>
      <c r="K101" s="1736"/>
      <c r="L101" s="1737">
        <f t="shared" si="19"/>
        <v>0</v>
      </c>
      <c r="M101" s="1738">
        <f t="shared" si="19"/>
        <v>0</v>
      </c>
      <c r="N101" s="1737">
        <f t="shared" si="19"/>
        <v>0</v>
      </c>
      <c r="O101" s="1737">
        <f t="shared" si="19"/>
        <v>0</v>
      </c>
      <c r="P101" s="1739"/>
    </row>
    <row r="102" spans="1:16381" s="34" customFormat="1" ht="14.4">
      <c r="A102" s="29" t="str">
        <f t="shared" si="3"/>
        <v/>
      </c>
      <c r="B102" s="109"/>
      <c r="C102" s="112"/>
      <c r="D102" s="120"/>
      <c r="E102" s="174" t="s">
        <v>3378</v>
      </c>
      <c r="F102" s="126"/>
      <c r="G102" s="73"/>
      <c r="H102" s="175"/>
      <c r="I102" s="176"/>
      <c r="J102" s="177"/>
      <c r="K102" s="175"/>
      <c r="L102" s="39"/>
      <c r="M102" s="62"/>
      <c r="N102" s="39"/>
      <c r="O102" s="39"/>
      <c r="P102" s="178"/>
    </row>
    <row r="103" spans="1:16381" s="34" customFormat="1">
      <c r="A103" s="29" t="str">
        <f t="shared" si="3"/>
        <v/>
      </c>
      <c r="B103" s="159" t="s">
        <v>1496</v>
      </c>
      <c r="C103" s="119"/>
      <c r="D103" s="120"/>
      <c r="E103" s="151" t="str">
        <f>VLOOKUP($B103,dongia1,DG!$C$5,)</f>
        <v>Tấm nilông màu cảnh báo</v>
      </c>
      <c r="F103" s="120" t="str">
        <f>VLOOKUP($B103,dongia1,DG!$D$5,)</f>
        <v>m2</v>
      </c>
      <c r="G103" s="74">
        <f>1*G101</f>
        <v>0</v>
      </c>
      <c r="H103" s="121">
        <f>VLOOKUP($B103,dongia1,DG!$F$5,)</f>
        <v>10000</v>
      </c>
      <c r="I103" s="179"/>
      <c r="J103" s="121"/>
      <c r="K103" s="121">
        <f>VLOOKUP($B103,dongia1,DG!$H$5,)</f>
        <v>0</v>
      </c>
      <c r="L103" s="39">
        <f t="shared" ref="L103:O106" si="20">H103*$G103</f>
        <v>0</v>
      </c>
      <c r="M103" s="62">
        <f t="shared" si="20"/>
        <v>0</v>
      </c>
      <c r="N103" s="39">
        <f t="shared" si="20"/>
        <v>0</v>
      </c>
      <c r="O103" s="39">
        <f t="shared" si="20"/>
        <v>0</v>
      </c>
      <c r="P103" s="161"/>
    </row>
    <row r="104" spans="1:16381" s="34" customFormat="1">
      <c r="A104" s="29" t="str">
        <f t="shared" si="3"/>
        <v/>
      </c>
      <c r="B104" s="159" t="s">
        <v>1495</v>
      </c>
      <c r="C104" s="119"/>
      <c r="D104" s="120"/>
      <c r="E104" s="151" t="str">
        <f>VLOOKUP($B104,dongia1,DG!$C$5,)</f>
        <v>Gạch tàu</v>
      </c>
      <c r="F104" s="120" t="str">
        <f>VLOOKUP($B104,dongia1,DG!$D$5,)</f>
        <v>viên</v>
      </c>
      <c r="G104" s="74">
        <f>3*G101</f>
        <v>0</v>
      </c>
      <c r="H104" s="121">
        <f>VLOOKUP($B104,dongia1,DG!$F$5,)</f>
        <v>7000</v>
      </c>
      <c r="I104" s="179"/>
      <c r="J104" s="121"/>
      <c r="K104" s="121">
        <f>VLOOKUP($B104,dongia1,DG!$H$5,)</f>
        <v>0</v>
      </c>
      <c r="L104" s="39">
        <f t="shared" si="20"/>
        <v>0</v>
      </c>
      <c r="M104" s="62">
        <f t="shared" si="20"/>
        <v>0</v>
      </c>
      <c r="N104" s="39">
        <f t="shared" si="20"/>
        <v>0</v>
      </c>
      <c r="O104" s="39">
        <f t="shared" si="20"/>
        <v>0</v>
      </c>
      <c r="P104" s="161"/>
    </row>
    <row r="105" spans="1:16381" s="34" customFormat="1">
      <c r="A105" s="29" t="str">
        <f t="shared" si="3"/>
        <v/>
      </c>
      <c r="B105" s="180" t="s">
        <v>5676</v>
      </c>
      <c r="C105" s="119"/>
      <c r="D105" s="120"/>
      <c r="E105" s="151" t="str">
        <f>VLOOKUP($B105,dongia1,DG!$C$5,)&amp;" "</f>
        <v xml:space="preserve">Cát vàng </v>
      </c>
      <c r="F105" s="120" t="str">
        <f>VLOOKUP($B105,dongia1,DG!$D$5,)</f>
        <v>m3</v>
      </c>
      <c r="G105" s="74">
        <f>G101*0.38*1.22</f>
        <v>0</v>
      </c>
      <c r="H105" s="121">
        <f>VLOOKUP($B105,dongia1,DG!$F$5,)</f>
        <v>512000</v>
      </c>
      <c r="I105" s="179"/>
      <c r="J105" s="121"/>
      <c r="K105" s="121">
        <f>VLOOKUP($B105,dongia1,DG!$H$5,)</f>
        <v>0</v>
      </c>
      <c r="L105" s="39">
        <f t="shared" si="20"/>
        <v>0</v>
      </c>
      <c r="M105" s="62">
        <f t="shared" si="20"/>
        <v>0</v>
      </c>
      <c r="N105" s="39">
        <f t="shared" si="20"/>
        <v>0</v>
      </c>
      <c r="O105" s="39">
        <f t="shared" si="20"/>
        <v>0</v>
      </c>
      <c r="P105" s="161"/>
    </row>
    <row r="106" spans="1:16381" s="34" customFormat="1">
      <c r="A106" s="29" t="str">
        <f t="shared" ref="A106:A184" si="21">IF(G106=0,"",1)</f>
        <v/>
      </c>
      <c r="B106" s="16" t="s">
        <v>961</v>
      </c>
      <c r="C106" s="119"/>
      <c r="D106" s="120"/>
      <c r="E106" s="151" t="str">
        <f>VLOOKUP($B106,dongia1,DG!$C$5,)</f>
        <v xml:space="preserve">Ống PVC D114x4,9mm </v>
      </c>
      <c r="F106" s="120" t="str">
        <f>VLOOKUP($B106,dongia1,DG!$D$5,)</f>
        <v>m</v>
      </c>
      <c r="G106" s="74">
        <f>1*G101</f>
        <v>0</v>
      </c>
      <c r="H106" s="121">
        <f>VLOOKUP($B106,dongia1,DG!$F$5,)</f>
        <v>103700</v>
      </c>
      <c r="I106" s="179"/>
      <c r="J106" s="121"/>
      <c r="K106" s="121">
        <f>VLOOKUP($B106,dongia1,DG!$H$5,)</f>
        <v>0</v>
      </c>
      <c r="L106" s="39">
        <f t="shared" si="20"/>
        <v>0</v>
      </c>
      <c r="M106" s="62">
        <f t="shared" si="20"/>
        <v>0</v>
      </c>
      <c r="N106" s="39">
        <f t="shared" si="20"/>
        <v>0</v>
      </c>
      <c r="O106" s="39">
        <f t="shared" si="20"/>
        <v>0</v>
      </c>
      <c r="P106" s="161"/>
    </row>
    <row r="107" spans="1:16381" s="34" customFormat="1">
      <c r="A107" s="29" t="str">
        <f t="shared" si="21"/>
        <v/>
      </c>
      <c r="B107" s="180" t="s">
        <v>927</v>
      </c>
      <c r="C107" s="119"/>
      <c r="D107" s="120" t="str">
        <f>VLOOKUP($B107,dongia1,DG!$B$5,)</f>
        <v>D4.1413</v>
      </c>
      <c r="E107" s="151" t="str">
        <f>VLOOKUP($B107,dongia1,DG!$C$5,)</f>
        <v>Lắp ống nhựa PVC D&lt;=200mm</v>
      </c>
      <c r="F107" s="120" t="str">
        <f>VLOOKUP($B107,dongia1,DG!$D$5,)</f>
        <v>mét</v>
      </c>
      <c r="G107" s="74">
        <f>+G106</f>
        <v>0</v>
      </c>
      <c r="H107" s="121"/>
      <c r="I107" s="179"/>
      <c r="J107" s="121">
        <f>VLOOKUP($B107,dongia1,DG!$G$5,)</f>
        <v>106616.73</v>
      </c>
      <c r="K107" s="121">
        <f>VLOOKUP($B107,dongia1,DG!$H$5,)</f>
        <v>0</v>
      </c>
      <c r="L107" s="39">
        <f t="shared" ref="L107:O108" si="22">H107*$G107</f>
        <v>0</v>
      </c>
      <c r="M107" s="62">
        <f t="shared" si="22"/>
        <v>0</v>
      </c>
      <c r="N107" s="39">
        <f t="shared" si="22"/>
        <v>0</v>
      </c>
      <c r="O107" s="39">
        <f t="shared" si="22"/>
        <v>0</v>
      </c>
      <c r="P107" s="161"/>
    </row>
    <row r="108" spans="1:16381" s="34" customFormat="1">
      <c r="A108" s="29" t="str">
        <f t="shared" si="21"/>
        <v/>
      </c>
      <c r="B108" s="180" t="s">
        <v>101</v>
      </c>
      <c r="C108" s="119"/>
      <c r="D108" s="120" t="str">
        <f>VLOOKUP($B108,dongia1,DG!$B$5,)</f>
        <v>D4.1104</v>
      </c>
      <c r="E108" s="151" t="str">
        <f>VLOOKUP($B108,dongia1,DG!$C$5,)</f>
        <v>Lắp gạch làm dấu</v>
      </c>
      <c r="F108" s="120" t="str">
        <f>VLOOKUP($B108,dongia1,DG!$D$5,)</f>
        <v>viên</v>
      </c>
      <c r="G108" s="74">
        <f>G104</f>
        <v>0</v>
      </c>
      <c r="H108" s="121"/>
      <c r="I108" s="179"/>
      <c r="J108" s="121">
        <f>VLOOKUP($B108,dongia1,DG!$G$5,)</f>
        <v>916.64</v>
      </c>
      <c r="K108" s="121">
        <f>VLOOKUP($B108,dongia1,DG!$H$5,)</f>
        <v>0</v>
      </c>
      <c r="L108" s="39">
        <f t="shared" si="22"/>
        <v>0</v>
      </c>
      <c r="M108" s="62">
        <f t="shared" si="22"/>
        <v>0</v>
      </c>
      <c r="N108" s="39">
        <f t="shared" si="22"/>
        <v>0</v>
      </c>
      <c r="O108" s="39">
        <f t="shared" si="22"/>
        <v>0</v>
      </c>
      <c r="P108" s="161"/>
    </row>
    <row r="109" spans="1:16381" s="34" customFormat="1">
      <c r="A109" s="29" t="str">
        <f t="shared" si="21"/>
        <v/>
      </c>
      <c r="B109" s="159" t="s">
        <v>291</v>
      </c>
      <c r="C109" s="119"/>
      <c r="D109" s="120" t="str">
        <f>VLOOKUP($B109,dongia1,DG!$B$5,)</f>
        <v>AB.11613</v>
      </c>
      <c r="E109" s="151" t="str">
        <f>VLOOKUP($B109,dongia1,DG!$C$5,)</f>
        <v>Đào mương cáp ngầm đất cấp 3 có mở ta luy</v>
      </c>
      <c r="F109" s="120" t="str">
        <f>VLOOKUP($B109,dongia1,DG!$D$5,)</f>
        <v>m3</v>
      </c>
      <c r="G109" s="74">
        <f>0.6*G101</f>
        <v>0</v>
      </c>
      <c r="H109" s="121"/>
      <c r="I109" s="179"/>
      <c r="J109" s="121">
        <f>VLOOKUP($B109,dongia1,DG!$G$5,)</f>
        <v>640731.36</v>
      </c>
      <c r="K109" s="121">
        <f>VLOOKUP($B109,dongia1,DG!$H$5,)</f>
        <v>0</v>
      </c>
      <c r="L109" s="39">
        <f t="shared" ref="L109:O110" si="23">H109*$G109</f>
        <v>0</v>
      </c>
      <c r="M109" s="62">
        <f t="shared" si="23"/>
        <v>0</v>
      </c>
      <c r="N109" s="39">
        <f t="shared" si="23"/>
        <v>0</v>
      </c>
      <c r="O109" s="39">
        <f t="shared" si="23"/>
        <v>0</v>
      </c>
      <c r="P109" s="161"/>
    </row>
    <row r="110" spans="1:16381" s="34" customFormat="1">
      <c r="A110" s="29" t="str">
        <f t="shared" si="21"/>
        <v/>
      </c>
      <c r="B110" s="180" t="s">
        <v>1906</v>
      </c>
      <c r="C110" s="119"/>
      <c r="D110" s="120" t="str">
        <f>VLOOKUP($B110,dongia1,DG!$B$5,)</f>
        <v>AB.65110</v>
      </c>
      <c r="E110" s="151" t="str">
        <f>VLOOKUP($B110,dongia1,DG!$C$5,)</f>
        <v>Đắp đất mương cáp K=0,9</v>
      </c>
      <c r="F110" s="120" t="str">
        <f>VLOOKUP($B110,dongia1,DG!$D$5,)</f>
        <v>m3</v>
      </c>
      <c r="G110" s="74">
        <f>0.2*G101</f>
        <v>0</v>
      </c>
      <c r="H110" s="121"/>
      <c r="I110" s="160"/>
      <c r="J110" s="121">
        <f>VLOOKUP($B110,dongia1,DG!$G$5,)</f>
        <v>21935.133999999998</v>
      </c>
      <c r="K110" s="121">
        <f>VLOOKUP($B110,dongia1,DG!$H$5,)</f>
        <v>0</v>
      </c>
      <c r="L110" s="39">
        <f t="shared" si="23"/>
        <v>0</v>
      </c>
      <c r="M110" s="39">
        <f t="shared" si="23"/>
        <v>0</v>
      </c>
      <c r="N110" s="39">
        <f t="shared" si="23"/>
        <v>0</v>
      </c>
      <c r="O110" s="39">
        <f t="shared" si="23"/>
        <v>0</v>
      </c>
      <c r="P110" s="161"/>
    </row>
    <row r="111" spans="1:16381" s="34" customFormat="1">
      <c r="A111" s="29" t="str">
        <f t="shared" si="21"/>
        <v/>
      </c>
      <c r="B111" s="159" t="s">
        <v>1498</v>
      </c>
      <c r="C111" s="119"/>
      <c r="D111" s="120" t="str">
        <f>VLOOKUP($B111,dongia1,DG!$B$5,)</f>
        <v>AB.66112</v>
      </c>
      <c r="E111" s="151" t="str">
        <f>VLOOKUP($B111,dongia1,DG!$C$5,)</f>
        <v>Rải cát đệm (độ chặt K=0,9)</v>
      </c>
      <c r="F111" s="120" t="str">
        <f>VLOOKUP($B111,dongia1,DG!$D$5,)</f>
        <v>m3</v>
      </c>
      <c r="G111" s="74">
        <f>+G105</f>
        <v>0</v>
      </c>
      <c r="H111" s="121"/>
      <c r="I111" s="179"/>
      <c r="J111" s="121">
        <f>VLOOKUP($B111,dongia1,DG!$G$5,)</f>
        <v>315277.5</v>
      </c>
      <c r="K111" s="121">
        <f>VLOOKUP($B111,dongia1,DG!$H$5,)</f>
        <v>0</v>
      </c>
      <c r="L111" s="39">
        <f>H111*$G111</f>
        <v>0</v>
      </c>
      <c r="M111" s="62">
        <f>I111*$G111</f>
        <v>0</v>
      </c>
      <c r="N111" s="39">
        <f>J111*$G111</f>
        <v>0</v>
      </c>
      <c r="O111" s="39">
        <f>K111*$G111</f>
        <v>0</v>
      </c>
      <c r="P111" s="161"/>
    </row>
    <row r="112" spans="1:16381" s="34" customFormat="1" ht="27.6">
      <c r="A112" s="29" t="str">
        <f t="shared" ref="A112:A125" si="24">IF(G112=0,"",1)</f>
        <v/>
      </c>
      <c r="B112" s="1732"/>
      <c r="C112" s="166">
        <f>IF(G112&gt;0,C101+1,C101)</f>
        <v>0</v>
      </c>
      <c r="D112" s="1733"/>
      <c r="E112" s="168" t="s">
        <v>5725</v>
      </c>
      <c r="F112" s="169" t="s">
        <v>2307</v>
      </c>
      <c r="G112" s="1734">
        <f>ppCN!BC26</f>
        <v>0</v>
      </c>
      <c r="H112" s="193"/>
      <c r="I112" s="1736"/>
      <c r="J112" s="1736"/>
      <c r="K112" s="1737">
        <v>0</v>
      </c>
      <c r="L112" s="1737">
        <v>0</v>
      </c>
      <c r="M112" s="1737">
        <v>0</v>
      </c>
      <c r="N112" s="1737"/>
      <c r="O112" s="1737"/>
      <c r="P112" s="1739"/>
      <c r="Q112" s="1740"/>
      <c r="R112" s="1740"/>
      <c r="S112" s="1740"/>
      <c r="T112" s="1740"/>
      <c r="U112" s="1740"/>
      <c r="V112" s="1740"/>
      <c r="W112" s="1740"/>
      <c r="X112" s="1740"/>
      <c r="Y112" s="1740"/>
      <c r="Z112" s="1740"/>
      <c r="AA112" s="1740"/>
      <c r="AB112" s="1740"/>
      <c r="AC112" s="1740"/>
      <c r="AD112" s="1740"/>
      <c r="AE112" s="1740"/>
      <c r="AF112" s="1740"/>
      <c r="AG112" s="1740"/>
      <c r="AH112" s="1740"/>
      <c r="AI112" s="1740"/>
      <c r="AJ112" s="1740"/>
      <c r="AK112" s="1740"/>
      <c r="AL112" s="1740"/>
      <c r="AM112" s="1740"/>
      <c r="AN112" s="1740"/>
      <c r="AO112" s="1740"/>
      <c r="AP112" s="1740"/>
      <c r="AQ112" s="1740"/>
      <c r="AR112" s="1740"/>
      <c r="AS112" s="1740"/>
      <c r="AT112" s="1740"/>
      <c r="AU112" s="1740"/>
      <c r="AV112" s="1740"/>
      <c r="AW112" s="1740"/>
      <c r="AX112" s="1740"/>
      <c r="AY112" s="1740"/>
      <c r="AZ112" s="1740"/>
      <c r="BA112" s="1740"/>
      <c r="BB112" s="1740"/>
      <c r="BC112" s="1740"/>
      <c r="BD112" s="1740"/>
      <c r="BE112" s="1740"/>
      <c r="BF112" s="1740"/>
      <c r="BG112" s="1740"/>
      <c r="BH112" s="1740"/>
      <c r="BI112" s="1740"/>
      <c r="BJ112" s="1740"/>
      <c r="BK112" s="1740"/>
      <c r="BL112" s="1740"/>
      <c r="BM112" s="1740"/>
      <c r="BN112" s="1740"/>
      <c r="BO112" s="1740"/>
      <c r="BP112" s="1740"/>
      <c r="BQ112" s="1740"/>
      <c r="BR112" s="1740"/>
      <c r="BS112" s="1740"/>
      <c r="BT112" s="1740"/>
      <c r="BU112" s="1740"/>
      <c r="BV112" s="1740"/>
      <c r="BW112" s="1740"/>
      <c r="BX112" s="1740"/>
      <c r="BY112" s="1740"/>
      <c r="BZ112" s="1740"/>
      <c r="CA112" s="1740"/>
      <c r="CB112" s="1740"/>
      <c r="CC112" s="1740"/>
      <c r="CD112" s="1740"/>
      <c r="CE112" s="1740"/>
      <c r="CF112" s="1740"/>
      <c r="CG112" s="1740"/>
      <c r="CH112" s="1740"/>
      <c r="CI112" s="1740"/>
      <c r="CJ112" s="1740"/>
      <c r="CK112" s="1740"/>
      <c r="CL112" s="1740"/>
      <c r="CM112" s="1740"/>
      <c r="CN112" s="1740"/>
      <c r="CO112" s="1740"/>
      <c r="CP112" s="1740"/>
      <c r="CQ112" s="1740"/>
      <c r="CR112" s="1740"/>
      <c r="CS112" s="1740"/>
      <c r="CT112" s="1740"/>
      <c r="CU112" s="1740"/>
      <c r="CV112" s="1740"/>
      <c r="CW112" s="1740"/>
      <c r="CX112" s="1740"/>
      <c r="CY112" s="1740"/>
      <c r="CZ112" s="1740"/>
      <c r="DA112" s="1740"/>
      <c r="DB112" s="1740"/>
      <c r="DC112" s="1740"/>
      <c r="DD112" s="1740"/>
      <c r="DE112" s="1740"/>
      <c r="DF112" s="1740"/>
      <c r="DG112" s="1740"/>
      <c r="DH112" s="1740"/>
      <c r="DI112" s="1740"/>
      <c r="DJ112" s="1740"/>
      <c r="DK112" s="1740"/>
      <c r="DL112" s="1740"/>
      <c r="DM112" s="1740"/>
      <c r="DN112" s="1740"/>
      <c r="DO112" s="1740"/>
      <c r="DP112" s="1740"/>
      <c r="DQ112" s="1740"/>
      <c r="DR112" s="1740"/>
      <c r="DS112" s="1740"/>
      <c r="DT112" s="1740"/>
      <c r="DU112" s="1740"/>
      <c r="DV112" s="1740"/>
      <c r="DW112" s="1740"/>
      <c r="DX112" s="1740"/>
      <c r="DY112" s="1740"/>
      <c r="DZ112" s="1740"/>
      <c r="EA112" s="1740"/>
      <c r="EB112" s="1740"/>
      <c r="EC112" s="1740"/>
      <c r="ED112" s="1740"/>
      <c r="EE112" s="1740"/>
      <c r="EF112" s="1740"/>
      <c r="EG112" s="1740"/>
      <c r="EH112" s="1740"/>
      <c r="EI112" s="1740"/>
      <c r="EJ112" s="1740"/>
      <c r="EK112" s="1740"/>
      <c r="EL112" s="1740"/>
      <c r="EM112" s="1740"/>
      <c r="EN112" s="1740"/>
      <c r="EO112" s="1740"/>
      <c r="EP112" s="1740"/>
      <c r="EQ112" s="1740"/>
      <c r="ER112" s="1740"/>
      <c r="ES112" s="1740"/>
      <c r="ET112" s="1740"/>
      <c r="EU112" s="1740"/>
      <c r="EV112" s="1740"/>
      <c r="EW112" s="1740"/>
      <c r="EX112" s="1740"/>
      <c r="EY112" s="1740"/>
      <c r="EZ112" s="1740"/>
      <c r="FA112" s="1740"/>
      <c r="FB112" s="1740"/>
      <c r="FC112" s="1740"/>
      <c r="FD112" s="1740"/>
      <c r="FE112" s="1740"/>
      <c r="FF112" s="1740"/>
      <c r="FG112" s="1740"/>
      <c r="FH112" s="1740"/>
      <c r="FI112" s="1740"/>
      <c r="FJ112" s="1740"/>
      <c r="FK112" s="1740"/>
      <c r="FL112" s="1740"/>
      <c r="FM112" s="1740"/>
      <c r="FN112" s="1740"/>
      <c r="FO112" s="1740"/>
      <c r="FP112" s="1740"/>
      <c r="FQ112" s="1740"/>
      <c r="FR112" s="1740"/>
      <c r="FS112" s="1740"/>
      <c r="FT112" s="1740"/>
      <c r="FU112" s="1740"/>
      <c r="FV112" s="1740"/>
      <c r="FW112" s="1740"/>
      <c r="FX112" s="1740"/>
      <c r="FY112" s="1740"/>
      <c r="FZ112" s="1740"/>
      <c r="GA112" s="1740"/>
      <c r="GB112" s="1740"/>
      <c r="GC112" s="1740"/>
      <c r="GD112" s="1740"/>
      <c r="GE112" s="1740"/>
      <c r="GF112" s="1740"/>
      <c r="GG112" s="1740"/>
      <c r="GH112" s="1740"/>
      <c r="GI112" s="1740"/>
      <c r="GJ112" s="1740"/>
      <c r="GK112" s="1740"/>
      <c r="GL112" s="1740"/>
      <c r="GM112" s="1740"/>
      <c r="GN112" s="1740"/>
      <c r="GO112" s="1740"/>
      <c r="GP112" s="1740"/>
      <c r="GQ112" s="1740"/>
      <c r="GR112" s="1740"/>
      <c r="GS112" s="1740"/>
      <c r="GT112" s="1740"/>
      <c r="GU112" s="1740"/>
      <c r="GV112" s="1740"/>
      <c r="GW112" s="1740"/>
      <c r="GX112" s="1740"/>
      <c r="GY112" s="1740"/>
      <c r="GZ112" s="1740"/>
      <c r="HA112" s="1740"/>
      <c r="HB112" s="1740"/>
      <c r="HC112" s="1740"/>
      <c r="HD112" s="1740"/>
      <c r="HE112" s="1740"/>
      <c r="HF112" s="1740"/>
      <c r="HG112" s="1740"/>
      <c r="HH112" s="1740"/>
      <c r="HI112" s="1740"/>
      <c r="HJ112" s="1740"/>
      <c r="HK112" s="1740"/>
      <c r="HL112" s="1740"/>
      <c r="HM112" s="1740"/>
      <c r="HN112" s="1740"/>
      <c r="HO112" s="1740"/>
      <c r="HP112" s="1740"/>
      <c r="HQ112" s="1740"/>
      <c r="HR112" s="1740"/>
      <c r="HS112" s="1740"/>
      <c r="HT112" s="1740"/>
      <c r="HU112" s="1740"/>
      <c r="HV112" s="1740"/>
      <c r="HW112" s="1740"/>
      <c r="HX112" s="1740"/>
      <c r="HY112" s="1740"/>
      <c r="HZ112" s="1740"/>
      <c r="IA112" s="1740"/>
      <c r="IB112" s="1740"/>
      <c r="IC112" s="1740"/>
      <c r="ID112" s="1740"/>
      <c r="IE112" s="1740"/>
      <c r="IF112" s="1740"/>
      <c r="IG112" s="1740"/>
      <c r="IH112" s="1740"/>
      <c r="II112" s="1740"/>
      <c r="IJ112" s="1740"/>
      <c r="IK112" s="1740"/>
      <c r="IL112" s="1740"/>
      <c r="IM112" s="1740"/>
      <c r="IN112" s="1740"/>
      <c r="IO112" s="1740"/>
      <c r="IP112" s="1740"/>
      <c r="IQ112" s="1740"/>
      <c r="IR112" s="1740"/>
      <c r="IS112" s="1740"/>
      <c r="IT112" s="1740"/>
      <c r="IU112" s="1740"/>
      <c r="IV112" s="1740"/>
      <c r="IW112" s="1740"/>
      <c r="IX112" s="1740"/>
      <c r="IY112" s="1740"/>
      <c r="IZ112" s="1740"/>
      <c r="JA112" s="1740"/>
      <c r="JB112" s="1740"/>
      <c r="JC112" s="1740"/>
      <c r="JD112" s="1740"/>
      <c r="JE112" s="1740"/>
      <c r="JF112" s="1740"/>
      <c r="JG112" s="1740"/>
      <c r="JH112" s="1740"/>
      <c r="JI112" s="1740"/>
      <c r="JJ112" s="1740"/>
      <c r="JK112" s="1740"/>
      <c r="JL112" s="1740"/>
      <c r="JM112" s="1740"/>
      <c r="JN112" s="1740"/>
      <c r="JO112" s="1740"/>
      <c r="JP112" s="1740"/>
      <c r="JQ112" s="1740"/>
      <c r="JR112" s="1740"/>
      <c r="JS112" s="1740"/>
      <c r="JT112" s="1740"/>
      <c r="JU112" s="1740"/>
      <c r="JV112" s="1740"/>
      <c r="JW112" s="1740"/>
      <c r="JX112" s="1740"/>
      <c r="JY112" s="1740"/>
      <c r="JZ112" s="1740"/>
      <c r="KA112" s="1740"/>
      <c r="KB112" s="1740"/>
      <c r="KC112" s="1740"/>
      <c r="KD112" s="1740"/>
      <c r="KE112" s="1740"/>
      <c r="KF112" s="1740"/>
      <c r="KG112" s="1740"/>
      <c r="KH112" s="1740"/>
      <c r="KI112" s="1740"/>
      <c r="KJ112" s="1740"/>
      <c r="KK112" s="1740"/>
      <c r="KL112" s="1740"/>
      <c r="KM112" s="1740"/>
      <c r="KN112" s="1740"/>
      <c r="KO112" s="1740"/>
      <c r="KP112" s="1740"/>
      <c r="KQ112" s="1740"/>
      <c r="KR112" s="1740"/>
      <c r="KS112" s="1740"/>
      <c r="KT112" s="1740"/>
      <c r="KU112" s="1740"/>
      <c r="KV112" s="1740"/>
      <c r="KW112" s="1740"/>
      <c r="KX112" s="1740"/>
      <c r="KY112" s="1740"/>
      <c r="KZ112" s="1740"/>
      <c r="LA112" s="1740"/>
      <c r="LB112" s="1740"/>
      <c r="LC112" s="1740"/>
      <c r="LD112" s="1740"/>
      <c r="LE112" s="1740"/>
      <c r="LF112" s="1740"/>
      <c r="LG112" s="1740"/>
      <c r="LH112" s="1740"/>
      <c r="LI112" s="1740"/>
      <c r="LJ112" s="1740"/>
      <c r="LK112" s="1740"/>
      <c r="LL112" s="1740"/>
      <c r="LM112" s="1740"/>
      <c r="LN112" s="1740"/>
      <c r="LO112" s="1740"/>
      <c r="LP112" s="1740"/>
      <c r="LQ112" s="1740"/>
      <c r="LR112" s="1740"/>
      <c r="LS112" s="1740"/>
      <c r="LT112" s="1740"/>
      <c r="LU112" s="1740"/>
      <c r="LV112" s="1740"/>
      <c r="LW112" s="1740"/>
      <c r="LX112" s="1740"/>
      <c r="LY112" s="1740"/>
      <c r="LZ112" s="1740"/>
      <c r="MA112" s="1740"/>
      <c r="MB112" s="1740"/>
      <c r="MC112" s="1740"/>
      <c r="MD112" s="1740"/>
      <c r="ME112" s="1740"/>
      <c r="MF112" s="1740"/>
      <c r="MG112" s="1740"/>
      <c r="MH112" s="1740"/>
      <c r="MI112" s="1740"/>
      <c r="MJ112" s="1740"/>
      <c r="MK112" s="1740"/>
      <c r="ML112" s="1740"/>
      <c r="MM112" s="1740"/>
      <c r="MN112" s="1740"/>
      <c r="MO112" s="1740"/>
      <c r="MP112" s="1740"/>
      <c r="MQ112" s="1740"/>
      <c r="MR112" s="1740"/>
      <c r="MS112" s="1740"/>
      <c r="MT112" s="1740"/>
      <c r="MU112" s="1740"/>
      <c r="MV112" s="1740"/>
      <c r="MW112" s="1740"/>
      <c r="MX112" s="1740"/>
      <c r="MY112" s="1740"/>
      <c r="MZ112" s="1740"/>
      <c r="NA112" s="1740"/>
      <c r="NB112" s="1740"/>
      <c r="NC112" s="1740"/>
      <c r="ND112" s="1740"/>
      <c r="NE112" s="1740"/>
      <c r="NF112" s="1740"/>
      <c r="NG112" s="1740"/>
      <c r="NH112" s="1740"/>
      <c r="NI112" s="1740"/>
      <c r="NJ112" s="1740"/>
      <c r="NK112" s="1740"/>
      <c r="NL112" s="1740"/>
      <c r="NM112" s="1740"/>
      <c r="NN112" s="1740"/>
      <c r="NO112" s="1740"/>
      <c r="NP112" s="1740"/>
      <c r="NQ112" s="1740"/>
      <c r="NR112" s="1740"/>
      <c r="NS112" s="1740"/>
      <c r="NT112" s="1740"/>
      <c r="NU112" s="1740"/>
      <c r="NV112" s="1740"/>
      <c r="NW112" s="1740"/>
      <c r="NX112" s="1740"/>
      <c r="NY112" s="1740"/>
      <c r="NZ112" s="1740"/>
      <c r="OA112" s="1740"/>
      <c r="OB112" s="1740"/>
      <c r="OC112" s="1740"/>
      <c r="OD112" s="1740"/>
      <c r="OE112" s="1740"/>
      <c r="OF112" s="1740"/>
      <c r="OG112" s="1740"/>
      <c r="OH112" s="1740"/>
      <c r="OI112" s="1740"/>
      <c r="OJ112" s="1740"/>
      <c r="OK112" s="1740"/>
      <c r="OL112" s="1740"/>
      <c r="OM112" s="1740"/>
      <c r="ON112" s="1740"/>
      <c r="OO112" s="1740"/>
      <c r="OP112" s="1740"/>
      <c r="OQ112" s="1740"/>
      <c r="OR112" s="1740"/>
      <c r="OS112" s="1740"/>
      <c r="OT112" s="1740"/>
      <c r="OU112" s="1740"/>
      <c r="OV112" s="1740"/>
      <c r="OW112" s="1740"/>
      <c r="OX112" s="1740"/>
      <c r="OY112" s="1740"/>
      <c r="OZ112" s="1740"/>
      <c r="PA112" s="1740"/>
      <c r="PB112" s="1740"/>
      <c r="PC112" s="1740"/>
      <c r="PD112" s="1740"/>
      <c r="PE112" s="1740"/>
      <c r="PF112" s="1740"/>
      <c r="PG112" s="1740"/>
      <c r="PH112" s="1740"/>
      <c r="PI112" s="1740"/>
      <c r="PJ112" s="1740"/>
      <c r="PK112" s="1740"/>
      <c r="PL112" s="1740"/>
      <c r="PM112" s="1740"/>
      <c r="PN112" s="1740"/>
      <c r="PO112" s="1740"/>
      <c r="PP112" s="1740"/>
      <c r="PQ112" s="1740"/>
      <c r="PR112" s="1740"/>
      <c r="PS112" s="1740"/>
      <c r="PT112" s="1740"/>
      <c r="PU112" s="1740"/>
      <c r="PV112" s="1740"/>
      <c r="PW112" s="1740"/>
      <c r="PX112" s="1740"/>
      <c r="PY112" s="1740"/>
      <c r="PZ112" s="1740"/>
      <c r="QA112" s="1740"/>
      <c r="QB112" s="1740"/>
      <c r="QC112" s="1740"/>
      <c r="QD112" s="1740"/>
      <c r="QE112" s="1740"/>
      <c r="QF112" s="1740"/>
      <c r="QG112" s="1740"/>
      <c r="QH112" s="1740"/>
      <c r="QI112" s="1740"/>
      <c r="QJ112" s="1740"/>
      <c r="QK112" s="1740"/>
      <c r="QL112" s="1740"/>
      <c r="QM112" s="1740"/>
      <c r="QN112" s="1740"/>
      <c r="QO112" s="1740"/>
      <c r="QP112" s="1740"/>
      <c r="QQ112" s="1740"/>
      <c r="QR112" s="1740"/>
      <c r="QS112" s="1740"/>
      <c r="QT112" s="1740"/>
      <c r="QU112" s="1740"/>
      <c r="QV112" s="1740"/>
      <c r="QW112" s="1740"/>
      <c r="QX112" s="1740"/>
      <c r="QY112" s="1740"/>
      <c r="QZ112" s="1740"/>
      <c r="RA112" s="1740"/>
      <c r="RB112" s="1740"/>
      <c r="RC112" s="1740"/>
      <c r="RD112" s="1740"/>
      <c r="RE112" s="1740"/>
      <c r="RF112" s="1740"/>
      <c r="RG112" s="1740"/>
      <c r="RH112" s="1740"/>
      <c r="RI112" s="1740"/>
      <c r="RJ112" s="1740"/>
      <c r="RK112" s="1740"/>
      <c r="RL112" s="1740"/>
      <c r="RM112" s="1740"/>
      <c r="RN112" s="1740"/>
      <c r="RO112" s="1740"/>
      <c r="RP112" s="1740"/>
      <c r="RQ112" s="1740"/>
      <c r="RR112" s="1740"/>
      <c r="RS112" s="1740"/>
      <c r="RT112" s="1740"/>
      <c r="RU112" s="1740"/>
      <c r="RV112" s="1740"/>
      <c r="RW112" s="1740"/>
      <c r="RX112" s="1740"/>
      <c r="RY112" s="1740"/>
      <c r="RZ112" s="1740"/>
      <c r="SA112" s="1740"/>
      <c r="SB112" s="1740"/>
      <c r="SC112" s="1740"/>
      <c r="SD112" s="1740"/>
      <c r="SE112" s="1740"/>
      <c r="SF112" s="1740"/>
      <c r="SG112" s="1740"/>
      <c r="SH112" s="1740"/>
      <c r="SI112" s="1740"/>
      <c r="SJ112" s="1740"/>
      <c r="SK112" s="1740"/>
      <c r="SL112" s="1740"/>
      <c r="SM112" s="1740"/>
      <c r="SN112" s="1740"/>
      <c r="SO112" s="1740"/>
      <c r="SP112" s="1740"/>
      <c r="SQ112" s="1740"/>
      <c r="SR112" s="1740"/>
      <c r="SS112" s="1740"/>
      <c r="ST112" s="1740"/>
      <c r="SU112" s="1740"/>
      <c r="SV112" s="1740"/>
      <c r="SW112" s="1740"/>
      <c r="SX112" s="1740"/>
      <c r="SY112" s="1740"/>
      <c r="SZ112" s="1740"/>
      <c r="TA112" s="1740"/>
      <c r="TB112" s="1740"/>
      <c r="TC112" s="1740"/>
      <c r="TD112" s="1740"/>
      <c r="TE112" s="1740"/>
      <c r="TF112" s="1740"/>
      <c r="TG112" s="1740"/>
      <c r="TH112" s="1740"/>
      <c r="TI112" s="1740"/>
      <c r="TJ112" s="1740"/>
      <c r="TK112" s="1740"/>
      <c r="TL112" s="1740"/>
      <c r="TM112" s="1740"/>
      <c r="TN112" s="1740"/>
      <c r="TO112" s="1740"/>
      <c r="TP112" s="1740"/>
      <c r="TQ112" s="1740"/>
      <c r="TR112" s="1740"/>
      <c r="TS112" s="1740"/>
      <c r="TT112" s="1740"/>
      <c r="TU112" s="1740"/>
      <c r="TV112" s="1740"/>
      <c r="TW112" s="1740"/>
      <c r="TX112" s="1740"/>
      <c r="TY112" s="1740"/>
      <c r="TZ112" s="1740"/>
      <c r="UA112" s="1740"/>
      <c r="UB112" s="1740"/>
      <c r="UC112" s="1740"/>
      <c r="UD112" s="1740"/>
      <c r="UE112" s="1740"/>
      <c r="UF112" s="1740"/>
      <c r="UG112" s="1740"/>
      <c r="UH112" s="1740"/>
      <c r="UI112" s="1740"/>
      <c r="UJ112" s="1740"/>
      <c r="UK112" s="1740"/>
      <c r="UL112" s="1740"/>
      <c r="UM112" s="1740"/>
      <c r="UN112" s="1740"/>
      <c r="UO112" s="1740"/>
      <c r="UP112" s="1740"/>
      <c r="UQ112" s="1740"/>
      <c r="UR112" s="1740"/>
      <c r="US112" s="1740"/>
      <c r="UT112" s="1740"/>
      <c r="UU112" s="1740"/>
      <c r="UV112" s="1740"/>
      <c r="UW112" s="1740"/>
      <c r="UX112" s="1740"/>
      <c r="UY112" s="1740"/>
      <c r="UZ112" s="1740"/>
      <c r="VA112" s="1740"/>
      <c r="VB112" s="1740"/>
      <c r="VC112" s="1740"/>
      <c r="VD112" s="1740"/>
      <c r="VE112" s="1740"/>
      <c r="VF112" s="1740"/>
      <c r="VG112" s="1740"/>
      <c r="VH112" s="1740"/>
      <c r="VI112" s="1740"/>
      <c r="VJ112" s="1740"/>
      <c r="VK112" s="1740"/>
      <c r="VL112" s="1740"/>
      <c r="VM112" s="1740"/>
      <c r="VN112" s="1740"/>
      <c r="VO112" s="1740"/>
      <c r="VP112" s="1740"/>
      <c r="VQ112" s="1740"/>
      <c r="VR112" s="1740"/>
      <c r="VS112" s="1740"/>
      <c r="VT112" s="1740"/>
      <c r="VU112" s="1740"/>
      <c r="VV112" s="1740"/>
      <c r="VW112" s="1740"/>
      <c r="VX112" s="1740"/>
      <c r="VY112" s="1740"/>
      <c r="VZ112" s="1740"/>
      <c r="WA112" s="1740"/>
      <c r="WB112" s="1740"/>
      <c r="WC112" s="1740"/>
      <c r="WD112" s="1740"/>
      <c r="WE112" s="1740"/>
      <c r="WF112" s="1740"/>
      <c r="WG112" s="1740"/>
      <c r="WH112" s="1740"/>
      <c r="WI112" s="1740"/>
      <c r="WJ112" s="1740"/>
      <c r="WK112" s="1740"/>
      <c r="WL112" s="1740"/>
      <c r="WM112" s="1740"/>
      <c r="WN112" s="1740"/>
      <c r="WO112" s="1740"/>
      <c r="WP112" s="1740"/>
      <c r="WQ112" s="1740"/>
      <c r="WR112" s="1740"/>
      <c r="WS112" s="1740"/>
      <c r="WT112" s="1740"/>
      <c r="WU112" s="1740"/>
      <c r="WV112" s="1740"/>
      <c r="WW112" s="1740"/>
      <c r="WX112" s="1740"/>
      <c r="WY112" s="1740"/>
      <c r="WZ112" s="1740"/>
      <c r="XA112" s="1740"/>
      <c r="XB112" s="1740"/>
      <c r="XC112" s="1740"/>
      <c r="XD112" s="1740"/>
      <c r="XE112" s="1740"/>
      <c r="XF112" s="1740"/>
      <c r="XG112" s="1740"/>
      <c r="XH112" s="1740"/>
      <c r="XI112" s="1740"/>
      <c r="XJ112" s="1740"/>
      <c r="XK112" s="1740"/>
      <c r="XL112" s="1740"/>
      <c r="XM112" s="1740"/>
      <c r="XN112" s="1740"/>
      <c r="XO112" s="1740"/>
      <c r="XP112" s="1740"/>
      <c r="XQ112" s="1740"/>
      <c r="XR112" s="1740"/>
      <c r="XS112" s="1740"/>
      <c r="XT112" s="1740"/>
      <c r="XU112" s="1740"/>
      <c r="XV112" s="1740"/>
      <c r="XW112" s="1740"/>
      <c r="XX112" s="1740"/>
      <c r="XY112" s="1740"/>
      <c r="XZ112" s="1740"/>
      <c r="YA112" s="1740"/>
      <c r="YB112" s="1740"/>
      <c r="YC112" s="1740"/>
      <c r="YD112" s="1740"/>
      <c r="YE112" s="1740"/>
      <c r="YF112" s="1740"/>
      <c r="YG112" s="1740"/>
      <c r="YH112" s="1740"/>
      <c r="YI112" s="1740"/>
      <c r="YJ112" s="1740"/>
      <c r="YK112" s="1740"/>
      <c r="YL112" s="1740"/>
      <c r="YM112" s="1740"/>
      <c r="YN112" s="1740"/>
      <c r="YO112" s="1740"/>
      <c r="YP112" s="1740"/>
      <c r="YQ112" s="1740"/>
      <c r="YR112" s="1740"/>
      <c r="YS112" s="1740"/>
      <c r="YT112" s="1740"/>
      <c r="YU112" s="1740"/>
      <c r="YV112" s="1740"/>
      <c r="YW112" s="1740"/>
      <c r="YX112" s="1740"/>
      <c r="YY112" s="1740"/>
      <c r="YZ112" s="1740"/>
      <c r="ZA112" s="1740"/>
      <c r="ZB112" s="1740"/>
      <c r="ZC112" s="1740"/>
      <c r="ZD112" s="1740"/>
      <c r="ZE112" s="1740"/>
      <c r="ZF112" s="1740"/>
      <c r="ZG112" s="1740"/>
      <c r="ZH112" s="1740"/>
      <c r="ZI112" s="1740"/>
      <c r="ZJ112" s="1740"/>
      <c r="ZK112" s="1740"/>
      <c r="ZL112" s="1740"/>
      <c r="ZM112" s="1740"/>
      <c r="ZN112" s="1740"/>
      <c r="ZO112" s="1740"/>
      <c r="ZP112" s="1740"/>
      <c r="ZQ112" s="1740"/>
      <c r="ZR112" s="1740"/>
      <c r="ZS112" s="1740"/>
      <c r="ZT112" s="1740"/>
      <c r="ZU112" s="1740"/>
      <c r="ZV112" s="1740"/>
      <c r="ZW112" s="1740"/>
      <c r="ZX112" s="1740"/>
      <c r="ZY112" s="1740"/>
      <c r="ZZ112" s="1740"/>
      <c r="AAA112" s="1740"/>
      <c r="AAB112" s="1740"/>
      <c r="AAC112" s="1740"/>
      <c r="AAD112" s="1740"/>
      <c r="AAE112" s="1740"/>
      <c r="AAF112" s="1740"/>
      <c r="AAG112" s="1740"/>
      <c r="AAH112" s="1740"/>
      <c r="AAI112" s="1740"/>
      <c r="AAJ112" s="1740"/>
      <c r="AAK112" s="1740"/>
      <c r="AAL112" s="1740"/>
      <c r="AAM112" s="1740"/>
      <c r="AAN112" s="1740"/>
      <c r="AAO112" s="1740"/>
      <c r="AAP112" s="1740"/>
      <c r="AAQ112" s="1740"/>
      <c r="AAR112" s="1740"/>
      <c r="AAS112" s="1740"/>
      <c r="AAT112" s="1740"/>
      <c r="AAU112" s="1740"/>
      <c r="AAV112" s="1740"/>
      <c r="AAW112" s="1740"/>
      <c r="AAX112" s="1740"/>
      <c r="AAY112" s="1740"/>
      <c r="AAZ112" s="1740"/>
      <c r="ABA112" s="1740"/>
      <c r="ABB112" s="1740"/>
      <c r="ABC112" s="1740"/>
      <c r="ABD112" s="1740"/>
      <c r="ABE112" s="1740"/>
      <c r="ABF112" s="1740"/>
      <c r="ABG112" s="1740"/>
      <c r="ABH112" s="1740"/>
      <c r="ABI112" s="1740"/>
      <c r="ABJ112" s="1740"/>
      <c r="ABK112" s="1740"/>
      <c r="ABL112" s="1740"/>
      <c r="ABM112" s="1740"/>
      <c r="ABN112" s="1740"/>
      <c r="ABO112" s="1740"/>
      <c r="ABP112" s="1740"/>
      <c r="ABQ112" s="1740"/>
      <c r="ABR112" s="1740"/>
      <c r="ABS112" s="1740"/>
      <c r="ABT112" s="1740"/>
      <c r="ABU112" s="1740"/>
      <c r="ABV112" s="1740"/>
      <c r="ABW112" s="1740"/>
      <c r="ABX112" s="1740"/>
      <c r="ABY112" s="1740"/>
      <c r="ABZ112" s="1740"/>
      <c r="ACA112" s="1740"/>
      <c r="ACB112" s="1740"/>
      <c r="ACC112" s="1740"/>
      <c r="ACD112" s="1740"/>
      <c r="ACE112" s="1740"/>
      <c r="ACF112" s="1740"/>
      <c r="ACG112" s="1740"/>
      <c r="ACH112" s="1740"/>
      <c r="ACI112" s="1740"/>
      <c r="ACJ112" s="1740"/>
      <c r="ACK112" s="1740"/>
      <c r="ACL112" s="1740"/>
      <c r="ACM112" s="1740"/>
      <c r="ACN112" s="1740"/>
      <c r="ACO112" s="1740"/>
      <c r="ACP112" s="1740"/>
      <c r="ACQ112" s="1740"/>
      <c r="ACR112" s="1740"/>
      <c r="ACS112" s="1740"/>
      <c r="ACT112" s="1740"/>
      <c r="ACU112" s="1740"/>
      <c r="ACV112" s="1740"/>
      <c r="ACW112" s="1740"/>
      <c r="ACX112" s="1740"/>
      <c r="ACY112" s="1740"/>
      <c r="ACZ112" s="1740"/>
      <c r="ADA112" s="1740"/>
      <c r="ADB112" s="1740"/>
      <c r="ADC112" s="1740"/>
      <c r="ADD112" s="1740"/>
      <c r="ADE112" s="1740"/>
      <c r="ADF112" s="1740"/>
      <c r="ADG112" s="1740"/>
      <c r="ADH112" s="1740"/>
      <c r="ADI112" s="1740"/>
      <c r="ADJ112" s="1740"/>
      <c r="ADK112" s="1740"/>
      <c r="ADL112" s="1740"/>
      <c r="ADM112" s="1740"/>
      <c r="ADN112" s="1740"/>
      <c r="ADO112" s="1740"/>
      <c r="ADP112" s="1740"/>
      <c r="ADQ112" s="1740"/>
      <c r="ADR112" s="1740"/>
      <c r="ADS112" s="1740"/>
      <c r="ADT112" s="1740"/>
      <c r="ADU112" s="1740"/>
      <c r="ADV112" s="1740"/>
      <c r="ADW112" s="1740"/>
      <c r="ADX112" s="1740"/>
      <c r="ADY112" s="1740"/>
      <c r="ADZ112" s="1740"/>
      <c r="AEA112" s="1740"/>
      <c r="AEB112" s="1740"/>
      <c r="AEC112" s="1740"/>
      <c r="AED112" s="1740"/>
      <c r="AEE112" s="1740"/>
      <c r="AEF112" s="1740"/>
      <c r="AEG112" s="1740"/>
      <c r="AEH112" s="1740"/>
      <c r="AEI112" s="1740"/>
      <c r="AEJ112" s="1740"/>
      <c r="AEK112" s="1740"/>
      <c r="AEL112" s="1740"/>
      <c r="AEM112" s="1740"/>
      <c r="AEN112" s="1740"/>
      <c r="AEO112" s="1740"/>
      <c r="AEP112" s="1740"/>
      <c r="AEQ112" s="1740"/>
      <c r="AER112" s="1740"/>
      <c r="AES112" s="1740"/>
      <c r="AET112" s="1740"/>
      <c r="AEU112" s="1740"/>
      <c r="AEV112" s="1740"/>
      <c r="AEW112" s="1740"/>
      <c r="AEX112" s="1740"/>
      <c r="AEY112" s="1740"/>
      <c r="AEZ112" s="1740"/>
      <c r="AFA112" s="1740"/>
      <c r="AFB112" s="1740"/>
      <c r="AFC112" s="1740"/>
      <c r="AFD112" s="1740"/>
      <c r="AFE112" s="1740"/>
      <c r="AFF112" s="1740"/>
      <c r="AFG112" s="1740"/>
      <c r="AFH112" s="1740"/>
      <c r="AFI112" s="1740"/>
      <c r="AFJ112" s="1740"/>
      <c r="AFK112" s="1740"/>
      <c r="AFL112" s="1740"/>
      <c r="AFM112" s="1740"/>
      <c r="AFN112" s="1740"/>
      <c r="AFO112" s="1740"/>
      <c r="AFP112" s="1740"/>
      <c r="AFQ112" s="1740"/>
      <c r="AFR112" s="1740"/>
      <c r="AFS112" s="1740"/>
      <c r="AFT112" s="1740"/>
      <c r="AFU112" s="1740"/>
      <c r="AFV112" s="1740"/>
      <c r="AFW112" s="1740"/>
      <c r="AFX112" s="1740"/>
      <c r="AFY112" s="1740"/>
      <c r="AFZ112" s="1740"/>
      <c r="AGA112" s="1740"/>
      <c r="AGB112" s="1740"/>
      <c r="AGC112" s="1740"/>
      <c r="AGD112" s="1740"/>
      <c r="AGE112" s="1740"/>
      <c r="AGF112" s="1740"/>
      <c r="AGG112" s="1740"/>
      <c r="AGH112" s="1740"/>
      <c r="AGI112" s="1740"/>
      <c r="AGJ112" s="1740"/>
      <c r="AGK112" s="1740"/>
      <c r="AGL112" s="1740"/>
      <c r="AGM112" s="1740"/>
      <c r="AGN112" s="1740"/>
      <c r="AGO112" s="1740"/>
      <c r="AGP112" s="1740"/>
      <c r="AGQ112" s="1740"/>
      <c r="AGR112" s="1740"/>
      <c r="AGS112" s="1740"/>
      <c r="AGT112" s="1740"/>
      <c r="AGU112" s="1740"/>
      <c r="AGV112" s="1740"/>
      <c r="AGW112" s="1740"/>
      <c r="AGX112" s="1740"/>
      <c r="AGY112" s="1740"/>
      <c r="AGZ112" s="1740"/>
      <c r="AHA112" s="1740"/>
      <c r="AHB112" s="1740"/>
      <c r="AHC112" s="1740"/>
      <c r="AHD112" s="1740"/>
      <c r="AHE112" s="1740"/>
      <c r="AHF112" s="1740"/>
      <c r="AHG112" s="1740"/>
      <c r="AHH112" s="1740"/>
      <c r="AHI112" s="1740"/>
      <c r="AHJ112" s="1740"/>
      <c r="AHK112" s="1740"/>
      <c r="AHL112" s="1740"/>
      <c r="AHM112" s="1740"/>
      <c r="AHN112" s="1740"/>
      <c r="AHO112" s="1740"/>
      <c r="AHP112" s="1740"/>
      <c r="AHQ112" s="1740"/>
      <c r="AHR112" s="1740"/>
      <c r="AHS112" s="1740"/>
      <c r="AHT112" s="1740"/>
      <c r="AHU112" s="1740"/>
      <c r="AHV112" s="1740"/>
      <c r="AHW112" s="1740"/>
      <c r="AHX112" s="1740"/>
      <c r="AHY112" s="1740"/>
      <c r="AHZ112" s="1740"/>
      <c r="AIA112" s="1740"/>
      <c r="AIB112" s="1740"/>
      <c r="AIC112" s="1740"/>
      <c r="AID112" s="1740"/>
      <c r="AIE112" s="1740"/>
      <c r="AIF112" s="1740"/>
      <c r="AIG112" s="1740"/>
      <c r="AIH112" s="1740"/>
      <c r="AII112" s="1740"/>
      <c r="AIJ112" s="1740"/>
      <c r="AIK112" s="1740"/>
      <c r="AIL112" s="1740"/>
      <c r="AIM112" s="1740"/>
      <c r="AIN112" s="1740"/>
      <c r="AIO112" s="1740"/>
      <c r="AIP112" s="1740"/>
      <c r="AIQ112" s="1740"/>
      <c r="AIR112" s="1740"/>
      <c r="AIS112" s="1740"/>
      <c r="AIT112" s="1740"/>
      <c r="AIU112" s="1740"/>
      <c r="AIV112" s="1740"/>
      <c r="AIW112" s="1740"/>
      <c r="AIX112" s="1740"/>
      <c r="AIY112" s="1740"/>
      <c r="AIZ112" s="1740"/>
      <c r="AJA112" s="1740"/>
      <c r="AJB112" s="1740"/>
      <c r="AJC112" s="1740"/>
      <c r="AJD112" s="1740"/>
      <c r="AJE112" s="1740"/>
      <c r="AJF112" s="1740"/>
      <c r="AJG112" s="1740"/>
      <c r="AJH112" s="1740"/>
      <c r="AJI112" s="1740"/>
      <c r="AJJ112" s="1740"/>
      <c r="AJK112" s="1740"/>
      <c r="AJL112" s="1740"/>
      <c r="AJM112" s="1740"/>
      <c r="AJN112" s="1740"/>
      <c r="AJO112" s="1740"/>
      <c r="AJP112" s="1740"/>
      <c r="AJQ112" s="1740"/>
      <c r="AJR112" s="1740"/>
      <c r="AJS112" s="1740"/>
      <c r="AJT112" s="1740"/>
      <c r="AJU112" s="1740"/>
      <c r="AJV112" s="1740"/>
      <c r="AJW112" s="1740"/>
      <c r="AJX112" s="1740"/>
      <c r="AJY112" s="1740"/>
      <c r="AJZ112" s="1740"/>
      <c r="AKA112" s="1740"/>
      <c r="AKB112" s="1740"/>
      <c r="AKC112" s="1740"/>
      <c r="AKD112" s="1740"/>
      <c r="AKE112" s="1740"/>
      <c r="AKF112" s="1740"/>
      <c r="AKG112" s="1740"/>
      <c r="AKH112" s="1740"/>
      <c r="AKI112" s="1740"/>
      <c r="AKJ112" s="1740"/>
      <c r="AKK112" s="1740"/>
      <c r="AKL112" s="1740"/>
      <c r="AKM112" s="1740"/>
      <c r="AKN112" s="1740"/>
      <c r="AKO112" s="1740"/>
      <c r="AKP112" s="1740"/>
      <c r="AKQ112" s="1740"/>
      <c r="AKR112" s="1740"/>
      <c r="AKS112" s="1740"/>
      <c r="AKT112" s="1740"/>
      <c r="AKU112" s="1740"/>
      <c r="AKV112" s="1740"/>
      <c r="AKW112" s="1740"/>
      <c r="AKX112" s="1740"/>
      <c r="AKY112" s="1740"/>
      <c r="AKZ112" s="1740"/>
      <c r="ALA112" s="1740"/>
      <c r="ALB112" s="1740"/>
      <c r="ALC112" s="1740"/>
      <c r="ALD112" s="1740"/>
      <c r="ALE112" s="1740"/>
      <c r="ALF112" s="1740"/>
      <c r="ALG112" s="1740"/>
      <c r="ALH112" s="1740"/>
      <c r="ALI112" s="1740"/>
      <c r="ALJ112" s="1740"/>
      <c r="ALK112" s="1740"/>
      <c r="ALL112" s="1740"/>
      <c r="ALM112" s="1740"/>
      <c r="ALN112" s="1740"/>
      <c r="ALO112" s="1740"/>
      <c r="ALP112" s="1740"/>
      <c r="ALQ112" s="1740"/>
      <c r="ALR112" s="1740"/>
      <c r="ALS112" s="1740"/>
      <c r="ALT112" s="1740"/>
      <c r="ALU112" s="1740"/>
      <c r="ALV112" s="1740"/>
      <c r="ALW112" s="1740"/>
      <c r="ALX112" s="1740"/>
      <c r="ALY112" s="1740"/>
      <c r="ALZ112" s="1740"/>
      <c r="AMA112" s="1740"/>
      <c r="AMB112" s="1740"/>
      <c r="AMC112" s="1740"/>
      <c r="AMD112" s="1740"/>
      <c r="AME112" s="1740"/>
      <c r="AMF112" s="1740"/>
      <c r="AMG112" s="1740"/>
      <c r="AMH112" s="1740"/>
      <c r="AMI112" s="1740"/>
      <c r="AMJ112" s="1740"/>
      <c r="AMK112" s="1740"/>
      <c r="AML112" s="1740"/>
      <c r="AMM112" s="1740"/>
      <c r="AMN112" s="1740"/>
      <c r="AMO112" s="1740"/>
      <c r="AMP112" s="1740"/>
      <c r="AMQ112" s="1740"/>
      <c r="AMR112" s="1740"/>
      <c r="AMS112" s="1740"/>
      <c r="AMT112" s="1740"/>
      <c r="AMU112" s="1740"/>
      <c r="AMV112" s="1740"/>
      <c r="AMW112" s="1740"/>
      <c r="AMX112" s="1740"/>
      <c r="AMY112" s="1740"/>
      <c r="AMZ112" s="1740"/>
      <c r="ANA112" s="1740"/>
      <c r="ANB112" s="1740"/>
      <c r="ANC112" s="1740"/>
      <c r="AND112" s="1740"/>
      <c r="ANE112" s="1740"/>
      <c r="ANF112" s="1740"/>
      <c r="ANG112" s="1740"/>
      <c r="ANH112" s="1740"/>
      <c r="ANI112" s="1740"/>
      <c r="ANJ112" s="1740"/>
      <c r="ANK112" s="1740"/>
      <c r="ANL112" s="1740"/>
      <c r="ANM112" s="1740"/>
      <c r="ANN112" s="1740"/>
      <c r="ANO112" s="1740"/>
      <c r="ANP112" s="1740"/>
      <c r="ANQ112" s="1740"/>
      <c r="ANR112" s="1740"/>
      <c r="ANS112" s="1740"/>
      <c r="ANT112" s="1740"/>
      <c r="ANU112" s="1740"/>
      <c r="ANV112" s="1740"/>
      <c r="ANW112" s="1740"/>
      <c r="ANX112" s="1740"/>
      <c r="ANY112" s="1740"/>
      <c r="ANZ112" s="1740"/>
      <c r="AOA112" s="1740"/>
      <c r="AOB112" s="1740"/>
      <c r="AOC112" s="1740"/>
      <c r="AOD112" s="1740"/>
      <c r="AOE112" s="1740"/>
      <c r="AOF112" s="1740"/>
      <c r="AOG112" s="1740"/>
      <c r="AOH112" s="1740"/>
      <c r="AOI112" s="1740"/>
      <c r="AOJ112" s="1740"/>
      <c r="AOK112" s="1740"/>
      <c r="AOL112" s="1740"/>
      <c r="AOM112" s="1740"/>
      <c r="AON112" s="1740"/>
      <c r="AOO112" s="1740"/>
      <c r="AOP112" s="1740"/>
      <c r="AOQ112" s="1740"/>
      <c r="AOR112" s="1740"/>
      <c r="AOS112" s="1740"/>
      <c r="AOT112" s="1740"/>
      <c r="AOU112" s="1740"/>
      <c r="AOV112" s="1740"/>
      <c r="AOW112" s="1740"/>
      <c r="AOX112" s="1740"/>
      <c r="AOY112" s="1740"/>
      <c r="AOZ112" s="1740"/>
      <c r="APA112" s="1740"/>
      <c r="APB112" s="1740"/>
      <c r="APC112" s="1740"/>
      <c r="APD112" s="1740"/>
      <c r="APE112" s="1740"/>
      <c r="APF112" s="1740"/>
      <c r="APG112" s="1740"/>
      <c r="APH112" s="1740"/>
      <c r="API112" s="1740"/>
      <c r="APJ112" s="1740"/>
      <c r="APK112" s="1740"/>
      <c r="APL112" s="1740"/>
      <c r="APM112" s="1740"/>
      <c r="APN112" s="1740"/>
      <c r="APO112" s="1740"/>
      <c r="APP112" s="1740"/>
      <c r="APQ112" s="1740"/>
      <c r="APR112" s="1740"/>
      <c r="APS112" s="1740"/>
      <c r="APT112" s="1740"/>
      <c r="APU112" s="1740"/>
      <c r="APV112" s="1740"/>
      <c r="APW112" s="1740"/>
      <c r="APX112" s="1740"/>
      <c r="APY112" s="1740"/>
      <c r="APZ112" s="1740"/>
      <c r="AQA112" s="1740"/>
      <c r="AQB112" s="1740"/>
      <c r="AQC112" s="1740"/>
      <c r="AQD112" s="1740"/>
      <c r="AQE112" s="1740"/>
      <c r="AQF112" s="1740"/>
      <c r="AQG112" s="1740"/>
      <c r="AQH112" s="1740"/>
      <c r="AQI112" s="1740"/>
      <c r="AQJ112" s="1740"/>
      <c r="AQK112" s="1740"/>
      <c r="AQL112" s="1740"/>
      <c r="AQM112" s="1740"/>
      <c r="AQN112" s="1740"/>
      <c r="AQO112" s="1740"/>
      <c r="AQP112" s="1740"/>
      <c r="AQQ112" s="1740"/>
      <c r="AQR112" s="1740"/>
      <c r="AQS112" s="1740"/>
      <c r="AQT112" s="1740"/>
      <c r="AQU112" s="1740"/>
      <c r="AQV112" s="1740"/>
      <c r="AQW112" s="1740"/>
      <c r="AQX112" s="1740"/>
      <c r="AQY112" s="1740"/>
      <c r="AQZ112" s="1740"/>
      <c r="ARA112" s="1740"/>
      <c r="ARB112" s="1740"/>
      <c r="ARC112" s="1740"/>
      <c r="ARD112" s="1740"/>
      <c r="ARE112" s="1740"/>
      <c r="ARF112" s="1740"/>
      <c r="ARG112" s="1740"/>
      <c r="ARH112" s="1740"/>
      <c r="ARI112" s="1740"/>
      <c r="ARJ112" s="1740"/>
      <c r="ARK112" s="1740"/>
      <c r="ARL112" s="1740"/>
      <c r="ARM112" s="1740"/>
      <c r="ARN112" s="1740"/>
      <c r="ARO112" s="1740"/>
      <c r="ARP112" s="1740"/>
      <c r="ARQ112" s="1740"/>
      <c r="ARR112" s="1740"/>
      <c r="ARS112" s="1740"/>
      <c r="ART112" s="1740"/>
      <c r="ARU112" s="1740"/>
      <c r="ARV112" s="1740"/>
      <c r="ARW112" s="1740"/>
      <c r="ARX112" s="1740"/>
      <c r="ARY112" s="1740"/>
      <c r="ARZ112" s="1740"/>
      <c r="ASA112" s="1740"/>
      <c r="ASB112" s="1740"/>
      <c r="ASC112" s="1740"/>
      <c r="ASD112" s="1740"/>
      <c r="ASE112" s="1740"/>
      <c r="ASF112" s="1740"/>
      <c r="ASG112" s="1740"/>
      <c r="ASH112" s="1740"/>
      <c r="ASI112" s="1740"/>
      <c r="ASJ112" s="1740"/>
      <c r="ASK112" s="1740"/>
      <c r="ASL112" s="1740"/>
      <c r="ASM112" s="1740"/>
      <c r="ASN112" s="1740"/>
      <c r="ASO112" s="1740"/>
      <c r="ASP112" s="1740"/>
      <c r="ASQ112" s="1740"/>
      <c r="ASR112" s="1740"/>
      <c r="ASS112" s="1740"/>
      <c r="AST112" s="1740"/>
      <c r="ASU112" s="1740"/>
      <c r="ASV112" s="1740"/>
      <c r="ASW112" s="1740"/>
      <c r="ASX112" s="1740"/>
      <c r="ASY112" s="1740"/>
      <c r="ASZ112" s="1740"/>
      <c r="ATA112" s="1740"/>
      <c r="ATB112" s="1740"/>
      <c r="ATC112" s="1740"/>
      <c r="ATD112" s="1740"/>
      <c r="ATE112" s="1740"/>
      <c r="ATF112" s="1740"/>
      <c r="ATG112" s="1740"/>
      <c r="ATH112" s="1740"/>
      <c r="ATI112" s="1740"/>
      <c r="ATJ112" s="1740"/>
      <c r="ATK112" s="1740"/>
      <c r="ATL112" s="1740"/>
      <c r="ATM112" s="1740"/>
      <c r="ATN112" s="1740"/>
      <c r="ATO112" s="1740"/>
      <c r="ATP112" s="1740"/>
      <c r="ATQ112" s="1740"/>
      <c r="ATR112" s="1740"/>
      <c r="ATS112" s="1740"/>
      <c r="ATT112" s="1740"/>
      <c r="ATU112" s="1740"/>
      <c r="ATV112" s="1740"/>
      <c r="ATW112" s="1740"/>
      <c r="ATX112" s="1740"/>
      <c r="ATY112" s="1740"/>
      <c r="ATZ112" s="1740"/>
      <c r="AUA112" s="1740"/>
      <c r="AUB112" s="1740"/>
      <c r="AUC112" s="1740"/>
      <c r="AUD112" s="1740"/>
      <c r="AUE112" s="1740"/>
      <c r="AUF112" s="1740"/>
      <c r="AUG112" s="1740"/>
      <c r="AUH112" s="1740"/>
      <c r="AUI112" s="1740"/>
      <c r="AUJ112" s="1740"/>
      <c r="AUK112" s="1740"/>
      <c r="AUL112" s="1740"/>
      <c r="AUM112" s="1740"/>
      <c r="AUN112" s="1740"/>
      <c r="AUO112" s="1740"/>
      <c r="AUP112" s="1740"/>
      <c r="AUQ112" s="1740"/>
      <c r="AUR112" s="1740"/>
      <c r="AUS112" s="1740"/>
      <c r="AUT112" s="1740"/>
      <c r="AUU112" s="1740"/>
      <c r="AUV112" s="1740"/>
      <c r="AUW112" s="1740"/>
      <c r="AUX112" s="1740"/>
      <c r="AUY112" s="1740"/>
      <c r="AUZ112" s="1740"/>
      <c r="AVA112" s="1740"/>
      <c r="AVB112" s="1740"/>
      <c r="AVC112" s="1740"/>
      <c r="AVD112" s="1740"/>
      <c r="AVE112" s="1740"/>
      <c r="AVF112" s="1740"/>
      <c r="AVG112" s="1740"/>
      <c r="AVH112" s="1740"/>
      <c r="AVI112" s="1740"/>
      <c r="AVJ112" s="1740"/>
      <c r="AVK112" s="1740"/>
      <c r="AVL112" s="1740"/>
      <c r="AVM112" s="1740"/>
      <c r="AVN112" s="1740"/>
      <c r="AVO112" s="1740"/>
      <c r="AVP112" s="1740"/>
      <c r="AVQ112" s="1740"/>
      <c r="AVR112" s="1740"/>
      <c r="AVS112" s="1740"/>
      <c r="AVT112" s="1740"/>
      <c r="AVU112" s="1740"/>
      <c r="AVV112" s="1740"/>
      <c r="AVW112" s="1740"/>
      <c r="AVX112" s="1740"/>
      <c r="AVY112" s="1740"/>
      <c r="AVZ112" s="1740"/>
      <c r="AWA112" s="1740"/>
      <c r="AWB112" s="1740"/>
      <c r="AWC112" s="1740"/>
      <c r="AWD112" s="1740"/>
      <c r="AWE112" s="1740"/>
      <c r="AWF112" s="1740"/>
      <c r="AWG112" s="1740"/>
      <c r="AWH112" s="1740"/>
      <c r="AWI112" s="1740"/>
      <c r="AWJ112" s="1740"/>
      <c r="AWK112" s="1740"/>
      <c r="AWL112" s="1740"/>
      <c r="AWM112" s="1740"/>
      <c r="AWN112" s="1740"/>
      <c r="AWO112" s="1740"/>
      <c r="AWP112" s="1740"/>
      <c r="AWQ112" s="1740"/>
      <c r="AWR112" s="1740"/>
      <c r="AWS112" s="1740"/>
      <c r="AWT112" s="1740"/>
      <c r="AWU112" s="1740"/>
      <c r="AWV112" s="1740"/>
      <c r="AWW112" s="1740"/>
      <c r="AWX112" s="1740"/>
      <c r="AWY112" s="1740"/>
      <c r="AWZ112" s="1740"/>
      <c r="AXA112" s="1740"/>
      <c r="AXB112" s="1740"/>
      <c r="AXC112" s="1740"/>
      <c r="AXD112" s="1740"/>
      <c r="AXE112" s="1740"/>
      <c r="AXF112" s="1740"/>
      <c r="AXG112" s="1740"/>
      <c r="AXH112" s="1740"/>
      <c r="AXI112" s="1740"/>
      <c r="AXJ112" s="1740"/>
      <c r="AXK112" s="1740"/>
      <c r="AXL112" s="1740"/>
      <c r="AXM112" s="1740"/>
      <c r="AXN112" s="1740"/>
      <c r="AXO112" s="1740"/>
      <c r="AXP112" s="1740"/>
      <c r="AXQ112" s="1740"/>
      <c r="AXR112" s="1740"/>
      <c r="AXS112" s="1740"/>
      <c r="AXT112" s="1740"/>
      <c r="AXU112" s="1740"/>
      <c r="AXV112" s="1740"/>
      <c r="AXW112" s="1740"/>
      <c r="AXX112" s="1740"/>
      <c r="AXY112" s="1740"/>
      <c r="AXZ112" s="1740"/>
      <c r="AYA112" s="1740"/>
      <c r="AYB112" s="1740"/>
      <c r="AYC112" s="1740"/>
      <c r="AYD112" s="1740"/>
      <c r="AYE112" s="1740"/>
      <c r="AYF112" s="1740"/>
      <c r="AYG112" s="1740"/>
      <c r="AYH112" s="1740"/>
      <c r="AYI112" s="1740"/>
      <c r="AYJ112" s="1740"/>
      <c r="AYK112" s="1740"/>
      <c r="AYL112" s="1740"/>
      <c r="AYM112" s="1740"/>
      <c r="AYN112" s="1740"/>
      <c r="AYO112" s="1740"/>
      <c r="AYP112" s="1740"/>
      <c r="AYQ112" s="1740"/>
      <c r="AYR112" s="1740"/>
      <c r="AYS112" s="1740"/>
      <c r="AYT112" s="1740"/>
      <c r="AYU112" s="1740"/>
      <c r="AYV112" s="1740"/>
      <c r="AYW112" s="1740"/>
      <c r="AYX112" s="1740"/>
      <c r="AYY112" s="1740"/>
      <c r="AYZ112" s="1740"/>
      <c r="AZA112" s="1740"/>
      <c r="AZB112" s="1740"/>
      <c r="AZC112" s="1740"/>
      <c r="AZD112" s="1740"/>
      <c r="AZE112" s="1740"/>
      <c r="AZF112" s="1740"/>
      <c r="AZG112" s="1740"/>
      <c r="AZH112" s="1740"/>
      <c r="AZI112" s="1740"/>
      <c r="AZJ112" s="1740"/>
      <c r="AZK112" s="1740"/>
      <c r="AZL112" s="1740"/>
      <c r="AZM112" s="1740"/>
      <c r="AZN112" s="1740"/>
      <c r="AZO112" s="1740"/>
      <c r="AZP112" s="1740"/>
      <c r="AZQ112" s="1740"/>
      <c r="AZR112" s="1740"/>
      <c r="AZS112" s="1740"/>
      <c r="AZT112" s="1740"/>
      <c r="AZU112" s="1740"/>
      <c r="AZV112" s="1740"/>
      <c r="AZW112" s="1740"/>
      <c r="AZX112" s="1740"/>
      <c r="AZY112" s="1740"/>
      <c r="AZZ112" s="1740"/>
      <c r="BAA112" s="1740"/>
      <c r="BAB112" s="1740"/>
      <c r="BAC112" s="1740"/>
      <c r="BAD112" s="1740"/>
      <c r="BAE112" s="1740"/>
      <c r="BAF112" s="1740"/>
      <c r="BAG112" s="1740"/>
      <c r="BAH112" s="1740"/>
      <c r="BAI112" s="1740"/>
      <c r="BAJ112" s="1740"/>
      <c r="BAK112" s="1740"/>
      <c r="BAL112" s="1740"/>
      <c r="BAM112" s="1740"/>
      <c r="BAN112" s="1740"/>
      <c r="BAO112" s="1740"/>
      <c r="BAP112" s="1740"/>
      <c r="BAQ112" s="1740"/>
      <c r="BAR112" s="1740"/>
      <c r="BAS112" s="1740"/>
      <c r="BAT112" s="1740"/>
      <c r="BAU112" s="1740"/>
      <c r="BAV112" s="1740"/>
      <c r="BAW112" s="1740"/>
      <c r="BAX112" s="1740"/>
      <c r="BAY112" s="1740"/>
      <c r="BAZ112" s="1740"/>
      <c r="BBA112" s="1740"/>
      <c r="BBB112" s="1740"/>
      <c r="BBC112" s="1740"/>
      <c r="BBD112" s="1740"/>
      <c r="BBE112" s="1740"/>
      <c r="BBF112" s="1740"/>
      <c r="BBG112" s="1740"/>
      <c r="BBH112" s="1740"/>
      <c r="BBI112" s="1740"/>
      <c r="BBJ112" s="1740"/>
      <c r="BBK112" s="1740"/>
      <c r="BBL112" s="1740"/>
      <c r="BBM112" s="1740"/>
      <c r="BBN112" s="1740"/>
      <c r="BBO112" s="1740"/>
      <c r="BBP112" s="1740"/>
      <c r="BBQ112" s="1740"/>
      <c r="BBR112" s="1740"/>
      <c r="BBS112" s="1740"/>
      <c r="BBT112" s="1740"/>
      <c r="BBU112" s="1740"/>
      <c r="BBV112" s="1740"/>
      <c r="BBW112" s="1740"/>
      <c r="BBX112" s="1740"/>
      <c r="BBY112" s="1740"/>
      <c r="BBZ112" s="1740"/>
      <c r="BCA112" s="1740"/>
      <c r="BCB112" s="1740"/>
      <c r="BCC112" s="1740"/>
      <c r="BCD112" s="1740"/>
      <c r="BCE112" s="1740"/>
      <c r="BCF112" s="1740"/>
      <c r="BCG112" s="1740"/>
      <c r="BCH112" s="1740"/>
      <c r="BCI112" s="1740"/>
      <c r="BCJ112" s="1740"/>
      <c r="BCK112" s="1740"/>
      <c r="BCL112" s="1740"/>
      <c r="BCM112" s="1740"/>
      <c r="BCN112" s="1740"/>
      <c r="BCO112" s="1740"/>
      <c r="BCP112" s="1740"/>
      <c r="BCQ112" s="1740"/>
      <c r="BCR112" s="1740"/>
      <c r="BCS112" s="1740"/>
      <c r="BCT112" s="1740"/>
      <c r="BCU112" s="1740"/>
      <c r="BCV112" s="1740"/>
      <c r="BCW112" s="1740"/>
      <c r="BCX112" s="1740"/>
      <c r="BCY112" s="1740"/>
      <c r="BCZ112" s="1740"/>
      <c r="BDA112" s="1740"/>
      <c r="BDB112" s="1740"/>
      <c r="BDC112" s="1740"/>
      <c r="BDD112" s="1740"/>
      <c r="BDE112" s="1740"/>
      <c r="BDF112" s="1740"/>
      <c r="BDG112" s="1740"/>
      <c r="BDH112" s="1740"/>
      <c r="BDI112" s="1740"/>
      <c r="BDJ112" s="1740"/>
      <c r="BDK112" s="1740"/>
      <c r="BDL112" s="1740"/>
      <c r="BDM112" s="1740"/>
      <c r="BDN112" s="1740"/>
      <c r="BDO112" s="1740"/>
      <c r="BDP112" s="1740"/>
      <c r="BDQ112" s="1740"/>
      <c r="BDR112" s="1740"/>
      <c r="BDS112" s="1740"/>
      <c r="BDT112" s="1740"/>
      <c r="BDU112" s="1740"/>
      <c r="BDV112" s="1740"/>
      <c r="BDW112" s="1740"/>
      <c r="BDX112" s="1740"/>
      <c r="BDY112" s="1740"/>
      <c r="BDZ112" s="1740"/>
      <c r="BEA112" s="1740"/>
      <c r="BEB112" s="1740"/>
      <c r="BEC112" s="1740"/>
      <c r="BED112" s="1740"/>
      <c r="BEE112" s="1740"/>
      <c r="BEF112" s="1740"/>
      <c r="BEG112" s="1740"/>
      <c r="BEH112" s="1740"/>
      <c r="BEI112" s="1740"/>
      <c r="BEJ112" s="1740"/>
      <c r="BEK112" s="1740"/>
      <c r="BEL112" s="1740"/>
      <c r="BEM112" s="1740"/>
      <c r="BEN112" s="1740"/>
      <c r="BEO112" s="1740"/>
      <c r="BEP112" s="1740"/>
      <c r="BEQ112" s="1740"/>
      <c r="BER112" s="1740"/>
      <c r="BES112" s="1740"/>
      <c r="BET112" s="1740"/>
      <c r="BEU112" s="1740"/>
      <c r="BEV112" s="1740"/>
      <c r="BEW112" s="1740"/>
      <c r="BEX112" s="1740"/>
      <c r="BEY112" s="1740"/>
      <c r="BEZ112" s="1740"/>
      <c r="BFA112" s="1740"/>
      <c r="BFB112" s="1740"/>
      <c r="BFC112" s="1740"/>
      <c r="BFD112" s="1740"/>
      <c r="BFE112" s="1740"/>
      <c r="BFF112" s="1740"/>
      <c r="BFG112" s="1740"/>
      <c r="BFH112" s="1740"/>
      <c r="BFI112" s="1740"/>
      <c r="BFJ112" s="1740"/>
      <c r="BFK112" s="1740"/>
      <c r="BFL112" s="1740"/>
      <c r="BFM112" s="1740"/>
      <c r="BFN112" s="1740"/>
      <c r="BFO112" s="1740"/>
      <c r="BFP112" s="1740"/>
      <c r="BFQ112" s="1740"/>
      <c r="BFR112" s="1740"/>
      <c r="BFS112" s="1740"/>
      <c r="BFT112" s="1740"/>
      <c r="BFU112" s="1740"/>
      <c r="BFV112" s="1740"/>
      <c r="BFW112" s="1740"/>
      <c r="BFX112" s="1740"/>
      <c r="BFY112" s="1740"/>
      <c r="BFZ112" s="1740"/>
      <c r="BGA112" s="1740"/>
      <c r="BGB112" s="1740"/>
      <c r="BGC112" s="1740"/>
      <c r="BGD112" s="1740"/>
      <c r="BGE112" s="1740"/>
      <c r="BGF112" s="1740"/>
      <c r="BGG112" s="1740"/>
      <c r="BGH112" s="1740"/>
      <c r="BGI112" s="1740"/>
      <c r="BGJ112" s="1740"/>
      <c r="BGK112" s="1740"/>
      <c r="BGL112" s="1740"/>
      <c r="BGM112" s="1740"/>
      <c r="BGN112" s="1740"/>
      <c r="BGO112" s="1740"/>
      <c r="BGP112" s="1740"/>
      <c r="BGQ112" s="1740"/>
      <c r="BGR112" s="1740"/>
      <c r="BGS112" s="1740"/>
      <c r="BGT112" s="1740"/>
      <c r="BGU112" s="1740"/>
      <c r="BGV112" s="1740"/>
      <c r="BGW112" s="1740"/>
      <c r="BGX112" s="1740"/>
      <c r="BGY112" s="1740"/>
      <c r="BGZ112" s="1740"/>
      <c r="BHA112" s="1740"/>
      <c r="BHB112" s="1740"/>
      <c r="BHC112" s="1740"/>
      <c r="BHD112" s="1740"/>
      <c r="BHE112" s="1740"/>
      <c r="BHF112" s="1740"/>
      <c r="BHG112" s="1740"/>
      <c r="BHH112" s="1740"/>
      <c r="BHI112" s="1740"/>
      <c r="BHJ112" s="1740"/>
      <c r="BHK112" s="1740"/>
      <c r="BHL112" s="1740"/>
      <c r="BHM112" s="1740"/>
      <c r="BHN112" s="1740"/>
      <c r="BHO112" s="1740"/>
      <c r="BHP112" s="1740"/>
      <c r="BHQ112" s="1740"/>
      <c r="BHR112" s="1740"/>
      <c r="BHS112" s="1740"/>
      <c r="BHT112" s="1740"/>
      <c r="BHU112" s="1740"/>
      <c r="BHV112" s="1740"/>
      <c r="BHW112" s="1740"/>
      <c r="BHX112" s="1740"/>
      <c r="BHY112" s="1740"/>
      <c r="BHZ112" s="1740"/>
      <c r="BIA112" s="1740"/>
      <c r="BIB112" s="1740"/>
      <c r="BIC112" s="1740"/>
      <c r="BID112" s="1740"/>
      <c r="BIE112" s="1740"/>
      <c r="BIF112" s="1740"/>
      <c r="BIG112" s="1740"/>
      <c r="BIH112" s="1740"/>
      <c r="BII112" s="1740"/>
      <c r="BIJ112" s="1740"/>
      <c r="BIK112" s="1740"/>
      <c r="BIL112" s="1740"/>
      <c r="BIM112" s="1740"/>
      <c r="BIN112" s="1740"/>
      <c r="BIO112" s="1740"/>
      <c r="BIP112" s="1740"/>
      <c r="BIQ112" s="1740"/>
      <c r="BIR112" s="1740"/>
      <c r="BIS112" s="1740"/>
      <c r="BIT112" s="1740"/>
      <c r="BIU112" s="1740"/>
      <c r="BIV112" s="1740"/>
      <c r="BIW112" s="1740"/>
      <c r="BIX112" s="1740"/>
      <c r="BIY112" s="1740"/>
      <c r="BIZ112" s="1740"/>
      <c r="BJA112" s="1740"/>
      <c r="BJB112" s="1740"/>
      <c r="BJC112" s="1740"/>
      <c r="BJD112" s="1740"/>
      <c r="BJE112" s="1740"/>
      <c r="BJF112" s="1740"/>
      <c r="BJG112" s="1740"/>
      <c r="BJH112" s="1740"/>
      <c r="BJI112" s="1740"/>
      <c r="BJJ112" s="1740"/>
      <c r="BJK112" s="1740"/>
      <c r="BJL112" s="1740"/>
      <c r="BJM112" s="1740"/>
      <c r="BJN112" s="1740"/>
      <c r="BJO112" s="1740"/>
      <c r="BJP112" s="1740"/>
      <c r="BJQ112" s="1740"/>
      <c r="BJR112" s="1740"/>
      <c r="BJS112" s="1740"/>
      <c r="BJT112" s="1740"/>
      <c r="BJU112" s="1740"/>
      <c r="BJV112" s="1740"/>
      <c r="BJW112" s="1740"/>
      <c r="BJX112" s="1740"/>
      <c r="BJY112" s="1740"/>
      <c r="BJZ112" s="1740"/>
      <c r="BKA112" s="1740"/>
      <c r="BKB112" s="1740"/>
      <c r="BKC112" s="1740"/>
      <c r="BKD112" s="1740"/>
      <c r="BKE112" s="1740"/>
      <c r="BKF112" s="1740"/>
      <c r="BKG112" s="1740"/>
      <c r="BKH112" s="1740"/>
      <c r="BKI112" s="1740"/>
      <c r="BKJ112" s="1740"/>
      <c r="BKK112" s="1740"/>
      <c r="BKL112" s="1740"/>
      <c r="BKM112" s="1740"/>
      <c r="BKN112" s="1740"/>
      <c r="BKO112" s="1740"/>
      <c r="BKP112" s="1740"/>
      <c r="BKQ112" s="1740"/>
      <c r="BKR112" s="1740"/>
      <c r="BKS112" s="1740"/>
      <c r="BKT112" s="1740"/>
      <c r="BKU112" s="1740"/>
      <c r="BKV112" s="1740"/>
      <c r="BKW112" s="1740"/>
      <c r="BKX112" s="1740"/>
      <c r="BKY112" s="1740"/>
      <c r="BKZ112" s="1740"/>
      <c r="BLA112" s="1740"/>
      <c r="BLB112" s="1740"/>
      <c r="BLC112" s="1740"/>
      <c r="BLD112" s="1740"/>
      <c r="BLE112" s="1740"/>
      <c r="BLF112" s="1740"/>
      <c r="BLG112" s="1740"/>
      <c r="BLH112" s="1740"/>
      <c r="BLI112" s="1740"/>
      <c r="BLJ112" s="1740"/>
      <c r="BLK112" s="1740"/>
      <c r="BLL112" s="1740"/>
      <c r="BLM112" s="1740"/>
      <c r="BLN112" s="1740"/>
      <c r="BLO112" s="1740"/>
      <c r="BLP112" s="1740"/>
      <c r="BLQ112" s="1740"/>
      <c r="BLR112" s="1740"/>
      <c r="BLS112" s="1740"/>
      <c r="BLT112" s="1740"/>
      <c r="BLU112" s="1740"/>
      <c r="BLV112" s="1740"/>
      <c r="BLW112" s="1740"/>
      <c r="BLX112" s="1740"/>
      <c r="BLY112" s="1740"/>
      <c r="BLZ112" s="1740"/>
      <c r="BMA112" s="1740"/>
      <c r="BMB112" s="1740"/>
      <c r="BMC112" s="1740"/>
      <c r="BMD112" s="1740"/>
      <c r="BME112" s="1740"/>
      <c r="BMF112" s="1740"/>
      <c r="BMG112" s="1740"/>
      <c r="BMH112" s="1740"/>
      <c r="BMI112" s="1740"/>
      <c r="BMJ112" s="1740"/>
      <c r="BMK112" s="1740"/>
      <c r="BML112" s="1740"/>
      <c r="BMM112" s="1740"/>
      <c r="BMN112" s="1740"/>
      <c r="BMO112" s="1740"/>
      <c r="BMP112" s="1740"/>
      <c r="BMQ112" s="1740"/>
      <c r="BMR112" s="1740"/>
      <c r="BMS112" s="1740"/>
      <c r="BMT112" s="1740"/>
      <c r="BMU112" s="1740"/>
      <c r="BMV112" s="1740"/>
      <c r="BMW112" s="1740"/>
      <c r="BMX112" s="1740"/>
      <c r="BMY112" s="1740"/>
      <c r="BMZ112" s="1740"/>
      <c r="BNA112" s="1740"/>
      <c r="BNB112" s="1740"/>
      <c r="BNC112" s="1740"/>
      <c r="BND112" s="1740"/>
      <c r="BNE112" s="1740"/>
      <c r="BNF112" s="1740"/>
      <c r="BNG112" s="1740"/>
      <c r="BNH112" s="1740"/>
      <c r="BNI112" s="1740"/>
      <c r="BNJ112" s="1740"/>
      <c r="BNK112" s="1740"/>
      <c r="BNL112" s="1740"/>
      <c r="BNM112" s="1740"/>
      <c r="BNN112" s="1740"/>
      <c r="BNO112" s="1740"/>
      <c r="BNP112" s="1740"/>
      <c r="BNQ112" s="1740"/>
      <c r="BNR112" s="1740"/>
      <c r="BNS112" s="1740"/>
      <c r="BNT112" s="1740"/>
      <c r="BNU112" s="1740"/>
      <c r="BNV112" s="1740"/>
      <c r="BNW112" s="1740"/>
      <c r="BNX112" s="1740"/>
      <c r="BNY112" s="1740"/>
      <c r="BNZ112" s="1740"/>
      <c r="BOA112" s="1740"/>
      <c r="BOB112" s="1740"/>
      <c r="BOC112" s="1740"/>
      <c r="BOD112" s="1740"/>
      <c r="BOE112" s="1740"/>
      <c r="BOF112" s="1740"/>
      <c r="BOG112" s="1740"/>
      <c r="BOH112" s="1740"/>
      <c r="BOI112" s="1740"/>
      <c r="BOJ112" s="1740"/>
      <c r="BOK112" s="1740"/>
      <c r="BOL112" s="1740"/>
      <c r="BOM112" s="1740"/>
      <c r="BON112" s="1740"/>
      <c r="BOO112" s="1740"/>
      <c r="BOP112" s="1740"/>
      <c r="BOQ112" s="1740"/>
      <c r="BOR112" s="1740"/>
      <c r="BOS112" s="1740"/>
      <c r="BOT112" s="1740"/>
      <c r="BOU112" s="1740"/>
      <c r="BOV112" s="1740"/>
      <c r="BOW112" s="1740"/>
      <c r="BOX112" s="1740"/>
      <c r="BOY112" s="1740"/>
      <c r="BOZ112" s="1740"/>
      <c r="BPA112" s="1740"/>
      <c r="BPB112" s="1740"/>
      <c r="BPC112" s="1740"/>
      <c r="BPD112" s="1740"/>
      <c r="BPE112" s="1740"/>
      <c r="BPF112" s="1740"/>
      <c r="BPG112" s="1740"/>
      <c r="BPH112" s="1740"/>
      <c r="BPI112" s="1740"/>
      <c r="BPJ112" s="1740"/>
      <c r="BPK112" s="1740"/>
      <c r="BPL112" s="1740"/>
      <c r="BPM112" s="1740"/>
      <c r="BPN112" s="1740"/>
      <c r="BPO112" s="1740"/>
      <c r="BPP112" s="1740"/>
      <c r="BPQ112" s="1740"/>
      <c r="BPR112" s="1740"/>
      <c r="BPS112" s="1740"/>
      <c r="BPT112" s="1740"/>
      <c r="BPU112" s="1740"/>
      <c r="BPV112" s="1740"/>
      <c r="BPW112" s="1740"/>
      <c r="BPX112" s="1740"/>
      <c r="BPY112" s="1740"/>
      <c r="BPZ112" s="1740"/>
      <c r="BQA112" s="1740"/>
      <c r="BQB112" s="1740"/>
      <c r="BQC112" s="1740"/>
      <c r="BQD112" s="1740"/>
      <c r="BQE112" s="1740"/>
      <c r="BQF112" s="1740"/>
      <c r="BQG112" s="1740"/>
      <c r="BQH112" s="1740"/>
      <c r="BQI112" s="1740"/>
      <c r="BQJ112" s="1740"/>
      <c r="BQK112" s="1740"/>
      <c r="BQL112" s="1740"/>
      <c r="BQM112" s="1740"/>
      <c r="BQN112" s="1740"/>
      <c r="BQO112" s="1740"/>
      <c r="BQP112" s="1740"/>
      <c r="BQQ112" s="1740"/>
      <c r="BQR112" s="1740"/>
      <c r="BQS112" s="1740"/>
      <c r="BQT112" s="1740"/>
      <c r="BQU112" s="1740"/>
      <c r="BQV112" s="1740"/>
      <c r="BQW112" s="1740"/>
      <c r="BQX112" s="1740"/>
      <c r="BQY112" s="1740"/>
      <c r="BQZ112" s="1740"/>
      <c r="BRA112" s="1740"/>
      <c r="BRB112" s="1740"/>
      <c r="BRC112" s="1740"/>
      <c r="BRD112" s="1740"/>
      <c r="BRE112" s="1740"/>
      <c r="BRF112" s="1740"/>
      <c r="BRG112" s="1740"/>
      <c r="BRH112" s="1740"/>
      <c r="BRI112" s="1740"/>
      <c r="BRJ112" s="1740"/>
      <c r="BRK112" s="1740"/>
      <c r="BRL112" s="1740"/>
      <c r="BRM112" s="1740"/>
      <c r="BRN112" s="1740"/>
      <c r="BRO112" s="1740"/>
      <c r="BRP112" s="1740"/>
      <c r="BRQ112" s="1740"/>
      <c r="BRR112" s="1740"/>
      <c r="BRS112" s="1740"/>
      <c r="BRT112" s="1740"/>
      <c r="BRU112" s="1740"/>
      <c r="BRV112" s="1740"/>
      <c r="BRW112" s="1740"/>
      <c r="BRX112" s="1740"/>
      <c r="BRY112" s="1740"/>
      <c r="BRZ112" s="1740"/>
      <c r="BSA112" s="1740"/>
      <c r="BSB112" s="1740"/>
      <c r="BSC112" s="1740"/>
      <c r="BSD112" s="1740"/>
      <c r="BSE112" s="1740"/>
      <c r="BSF112" s="1740"/>
      <c r="BSG112" s="1740"/>
      <c r="BSH112" s="1740"/>
      <c r="BSI112" s="1740"/>
      <c r="BSJ112" s="1740"/>
      <c r="BSK112" s="1740"/>
      <c r="BSL112" s="1740"/>
      <c r="BSM112" s="1740"/>
      <c r="BSN112" s="1740"/>
      <c r="BSO112" s="1740"/>
      <c r="BSP112" s="1740"/>
      <c r="BSQ112" s="1740"/>
      <c r="BSR112" s="1740"/>
      <c r="BSS112" s="1740"/>
      <c r="BST112" s="1740"/>
      <c r="BSU112" s="1740"/>
      <c r="BSV112" s="1740"/>
      <c r="BSW112" s="1740"/>
      <c r="BSX112" s="1740"/>
      <c r="BSY112" s="1740"/>
      <c r="BSZ112" s="1740"/>
      <c r="BTA112" s="1740"/>
      <c r="BTB112" s="1740"/>
      <c r="BTC112" s="1740"/>
      <c r="BTD112" s="1740"/>
      <c r="BTE112" s="1740"/>
      <c r="BTF112" s="1740"/>
      <c r="BTG112" s="1740"/>
      <c r="BTH112" s="1740"/>
      <c r="BTI112" s="1740"/>
      <c r="BTJ112" s="1740"/>
      <c r="BTK112" s="1740"/>
      <c r="BTL112" s="1740"/>
      <c r="BTM112" s="1740"/>
      <c r="BTN112" s="1740"/>
      <c r="BTO112" s="1740"/>
      <c r="BTP112" s="1740"/>
      <c r="BTQ112" s="1740"/>
      <c r="BTR112" s="1740"/>
      <c r="BTS112" s="1740"/>
      <c r="BTT112" s="1740"/>
      <c r="BTU112" s="1740"/>
      <c r="BTV112" s="1740"/>
      <c r="BTW112" s="1740"/>
      <c r="BTX112" s="1740"/>
      <c r="BTY112" s="1740"/>
      <c r="BTZ112" s="1740"/>
      <c r="BUA112" s="1740"/>
      <c r="BUB112" s="1740"/>
      <c r="BUC112" s="1740"/>
      <c r="BUD112" s="1740"/>
      <c r="BUE112" s="1740"/>
      <c r="BUF112" s="1740"/>
      <c r="BUG112" s="1740"/>
      <c r="BUH112" s="1740"/>
      <c r="BUI112" s="1740"/>
      <c r="BUJ112" s="1740"/>
      <c r="BUK112" s="1740"/>
      <c r="BUL112" s="1740"/>
      <c r="BUM112" s="1740"/>
      <c r="BUN112" s="1740"/>
      <c r="BUO112" s="1740"/>
      <c r="BUP112" s="1740"/>
      <c r="BUQ112" s="1740"/>
      <c r="BUR112" s="1740"/>
      <c r="BUS112" s="1740"/>
      <c r="BUT112" s="1740"/>
      <c r="BUU112" s="1740"/>
      <c r="BUV112" s="1740"/>
      <c r="BUW112" s="1740"/>
      <c r="BUX112" s="1740"/>
      <c r="BUY112" s="1740"/>
      <c r="BUZ112" s="1740"/>
      <c r="BVA112" s="1740"/>
      <c r="BVB112" s="1740"/>
      <c r="BVC112" s="1740"/>
      <c r="BVD112" s="1740"/>
      <c r="BVE112" s="1740"/>
      <c r="BVF112" s="1740"/>
      <c r="BVG112" s="1740"/>
      <c r="BVH112" s="1740"/>
      <c r="BVI112" s="1740"/>
      <c r="BVJ112" s="1740"/>
      <c r="BVK112" s="1740"/>
      <c r="BVL112" s="1740"/>
      <c r="BVM112" s="1740"/>
      <c r="BVN112" s="1740"/>
      <c r="BVO112" s="1740"/>
      <c r="BVP112" s="1740"/>
      <c r="BVQ112" s="1740"/>
      <c r="BVR112" s="1740"/>
      <c r="BVS112" s="1740"/>
      <c r="BVT112" s="1740"/>
      <c r="BVU112" s="1740"/>
      <c r="BVV112" s="1740"/>
      <c r="BVW112" s="1740"/>
      <c r="BVX112" s="1740"/>
      <c r="BVY112" s="1740"/>
      <c r="BVZ112" s="1740"/>
      <c r="BWA112" s="1740"/>
      <c r="BWB112" s="1740"/>
      <c r="BWC112" s="1740"/>
      <c r="BWD112" s="1740"/>
      <c r="BWE112" s="1740"/>
      <c r="BWF112" s="1740"/>
      <c r="BWG112" s="1740"/>
      <c r="BWH112" s="1740"/>
      <c r="BWI112" s="1740"/>
      <c r="BWJ112" s="1740"/>
      <c r="BWK112" s="1740"/>
      <c r="BWL112" s="1740"/>
      <c r="BWM112" s="1740"/>
      <c r="BWN112" s="1740"/>
      <c r="BWO112" s="1740"/>
      <c r="BWP112" s="1740"/>
      <c r="BWQ112" s="1740"/>
      <c r="BWR112" s="1740"/>
      <c r="BWS112" s="1740"/>
      <c r="BWT112" s="1740"/>
      <c r="BWU112" s="1740"/>
      <c r="BWV112" s="1740"/>
      <c r="BWW112" s="1740"/>
      <c r="BWX112" s="1740"/>
      <c r="BWY112" s="1740"/>
      <c r="BWZ112" s="1740"/>
      <c r="BXA112" s="1740"/>
      <c r="BXB112" s="1740"/>
      <c r="BXC112" s="1740"/>
      <c r="BXD112" s="1740"/>
      <c r="BXE112" s="1740"/>
      <c r="BXF112" s="1740"/>
      <c r="BXG112" s="1740"/>
      <c r="BXH112" s="1740"/>
      <c r="BXI112" s="1740"/>
      <c r="BXJ112" s="1740"/>
      <c r="BXK112" s="1740"/>
      <c r="BXL112" s="1740"/>
      <c r="BXM112" s="1740"/>
      <c r="BXN112" s="1740"/>
      <c r="BXO112" s="1740"/>
      <c r="BXP112" s="1740"/>
      <c r="BXQ112" s="1740"/>
      <c r="BXR112" s="1740"/>
      <c r="BXS112" s="1740"/>
      <c r="BXT112" s="1740"/>
      <c r="BXU112" s="1740"/>
      <c r="BXV112" s="1740"/>
      <c r="BXW112" s="1740"/>
      <c r="BXX112" s="1740"/>
      <c r="BXY112" s="1740"/>
      <c r="BXZ112" s="1740"/>
      <c r="BYA112" s="1740"/>
      <c r="BYB112" s="1740"/>
      <c r="BYC112" s="1740"/>
      <c r="BYD112" s="1740"/>
      <c r="BYE112" s="1740"/>
      <c r="BYF112" s="1740"/>
      <c r="BYG112" s="1740"/>
      <c r="BYH112" s="1740"/>
      <c r="BYI112" s="1740"/>
      <c r="BYJ112" s="1740"/>
      <c r="BYK112" s="1740"/>
      <c r="BYL112" s="1740"/>
      <c r="BYM112" s="1740"/>
      <c r="BYN112" s="1740"/>
      <c r="BYO112" s="1740"/>
      <c r="BYP112" s="1740"/>
      <c r="BYQ112" s="1740"/>
      <c r="BYR112" s="1740"/>
      <c r="BYS112" s="1740"/>
      <c r="BYT112" s="1740"/>
      <c r="BYU112" s="1740"/>
      <c r="BYV112" s="1740"/>
      <c r="BYW112" s="1740"/>
      <c r="BYX112" s="1740"/>
      <c r="BYY112" s="1740"/>
      <c r="BYZ112" s="1740"/>
      <c r="BZA112" s="1740"/>
      <c r="BZB112" s="1740"/>
      <c r="BZC112" s="1740"/>
      <c r="BZD112" s="1740"/>
      <c r="BZE112" s="1740"/>
      <c r="BZF112" s="1740"/>
      <c r="BZG112" s="1740"/>
      <c r="BZH112" s="1740"/>
      <c r="BZI112" s="1740"/>
      <c r="BZJ112" s="1740"/>
      <c r="BZK112" s="1740"/>
      <c r="BZL112" s="1740"/>
      <c r="BZM112" s="1740"/>
      <c r="BZN112" s="1740"/>
      <c r="BZO112" s="1740"/>
      <c r="BZP112" s="1740"/>
      <c r="BZQ112" s="1740"/>
      <c r="BZR112" s="1740"/>
      <c r="BZS112" s="1740"/>
      <c r="BZT112" s="1740"/>
      <c r="BZU112" s="1740"/>
      <c r="BZV112" s="1740"/>
      <c r="BZW112" s="1740"/>
      <c r="BZX112" s="1740"/>
      <c r="BZY112" s="1740"/>
      <c r="BZZ112" s="1740"/>
      <c r="CAA112" s="1740"/>
      <c r="CAB112" s="1740"/>
      <c r="CAC112" s="1740"/>
      <c r="CAD112" s="1740"/>
      <c r="CAE112" s="1740"/>
      <c r="CAF112" s="1740"/>
      <c r="CAG112" s="1740"/>
      <c r="CAH112" s="1740"/>
      <c r="CAI112" s="1740"/>
      <c r="CAJ112" s="1740"/>
      <c r="CAK112" s="1740"/>
      <c r="CAL112" s="1740"/>
      <c r="CAM112" s="1740"/>
      <c r="CAN112" s="1740"/>
      <c r="CAO112" s="1740"/>
      <c r="CAP112" s="1740"/>
      <c r="CAQ112" s="1740"/>
      <c r="CAR112" s="1740"/>
      <c r="CAS112" s="1740"/>
      <c r="CAT112" s="1740"/>
      <c r="CAU112" s="1740"/>
      <c r="CAV112" s="1740"/>
      <c r="CAW112" s="1740"/>
      <c r="CAX112" s="1740"/>
      <c r="CAY112" s="1740"/>
      <c r="CAZ112" s="1740"/>
      <c r="CBA112" s="1740"/>
      <c r="CBB112" s="1740"/>
      <c r="CBC112" s="1740"/>
      <c r="CBD112" s="1740"/>
      <c r="CBE112" s="1740"/>
      <c r="CBF112" s="1740"/>
      <c r="CBG112" s="1740"/>
      <c r="CBH112" s="1740"/>
      <c r="CBI112" s="1740"/>
      <c r="CBJ112" s="1740"/>
      <c r="CBK112" s="1740"/>
      <c r="CBL112" s="1740"/>
      <c r="CBM112" s="1740"/>
      <c r="CBN112" s="1740"/>
      <c r="CBO112" s="1740"/>
      <c r="CBP112" s="1740"/>
      <c r="CBQ112" s="1740"/>
      <c r="CBR112" s="1740"/>
      <c r="CBS112" s="1740"/>
      <c r="CBT112" s="1740"/>
      <c r="CBU112" s="1740"/>
      <c r="CBV112" s="1740"/>
      <c r="CBW112" s="1740"/>
      <c r="CBX112" s="1740"/>
      <c r="CBY112" s="1740"/>
      <c r="CBZ112" s="1740"/>
      <c r="CCA112" s="1740"/>
      <c r="CCB112" s="1740"/>
      <c r="CCC112" s="1740"/>
      <c r="CCD112" s="1740"/>
      <c r="CCE112" s="1740"/>
      <c r="CCF112" s="1740"/>
      <c r="CCG112" s="1740"/>
      <c r="CCH112" s="1740"/>
      <c r="CCI112" s="1740"/>
      <c r="CCJ112" s="1740"/>
      <c r="CCK112" s="1740"/>
      <c r="CCL112" s="1740"/>
      <c r="CCM112" s="1740"/>
      <c r="CCN112" s="1740"/>
      <c r="CCO112" s="1740"/>
      <c r="CCP112" s="1740"/>
      <c r="CCQ112" s="1740"/>
      <c r="CCR112" s="1740"/>
      <c r="CCS112" s="1740"/>
      <c r="CCT112" s="1740"/>
      <c r="CCU112" s="1740"/>
      <c r="CCV112" s="1740"/>
      <c r="CCW112" s="1740"/>
      <c r="CCX112" s="1740"/>
      <c r="CCY112" s="1740"/>
      <c r="CCZ112" s="1740"/>
      <c r="CDA112" s="1740"/>
      <c r="CDB112" s="1740"/>
      <c r="CDC112" s="1740"/>
      <c r="CDD112" s="1740"/>
      <c r="CDE112" s="1740"/>
      <c r="CDF112" s="1740"/>
      <c r="CDG112" s="1740"/>
      <c r="CDH112" s="1740"/>
      <c r="CDI112" s="1740"/>
      <c r="CDJ112" s="1740"/>
      <c r="CDK112" s="1740"/>
      <c r="CDL112" s="1740"/>
      <c r="CDM112" s="1740"/>
      <c r="CDN112" s="1740"/>
      <c r="CDO112" s="1740"/>
      <c r="CDP112" s="1740"/>
      <c r="CDQ112" s="1740"/>
      <c r="CDR112" s="1740"/>
      <c r="CDS112" s="1740"/>
      <c r="CDT112" s="1740"/>
      <c r="CDU112" s="1740"/>
      <c r="CDV112" s="1740"/>
      <c r="CDW112" s="1740"/>
      <c r="CDX112" s="1740"/>
      <c r="CDY112" s="1740"/>
      <c r="CDZ112" s="1740"/>
      <c r="CEA112" s="1740"/>
      <c r="CEB112" s="1740"/>
      <c r="CEC112" s="1740"/>
      <c r="CED112" s="1740"/>
      <c r="CEE112" s="1740"/>
      <c r="CEF112" s="1740"/>
      <c r="CEG112" s="1740"/>
      <c r="CEH112" s="1740"/>
      <c r="CEI112" s="1740"/>
      <c r="CEJ112" s="1740"/>
      <c r="CEK112" s="1740"/>
      <c r="CEL112" s="1740"/>
      <c r="CEM112" s="1740"/>
      <c r="CEN112" s="1740"/>
      <c r="CEO112" s="1740"/>
      <c r="CEP112" s="1740"/>
      <c r="CEQ112" s="1740"/>
      <c r="CER112" s="1740"/>
      <c r="CES112" s="1740"/>
      <c r="CET112" s="1740"/>
      <c r="CEU112" s="1740"/>
      <c r="CEV112" s="1740"/>
      <c r="CEW112" s="1740"/>
      <c r="CEX112" s="1740"/>
      <c r="CEY112" s="1740"/>
      <c r="CEZ112" s="1740"/>
      <c r="CFA112" s="1740"/>
      <c r="CFB112" s="1740"/>
      <c r="CFC112" s="1740"/>
      <c r="CFD112" s="1740"/>
      <c r="CFE112" s="1740"/>
      <c r="CFF112" s="1740"/>
      <c r="CFG112" s="1740"/>
      <c r="CFH112" s="1740"/>
      <c r="CFI112" s="1740"/>
      <c r="CFJ112" s="1740"/>
      <c r="CFK112" s="1740"/>
      <c r="CFL112" s="1740"/>
      <c r="CFM112" s="1740"/>
      <c r="CFN112" s="1740"/>
      <c r="CFO112" s="1740"/>
      <c r="CFP112" s="1740"/>
      <c r="CFQ112" s="1740"/>
      <c r="CFR112" s="1740"/>
      <c r="CFS112" s="1740"/>
      <c r="CFT112" s="1740"/>
      <c r="CFU112" s="1740"/>
      <c r="CFV112" s="1740"/>
      <c r="CFW112" s="1740"/>
      <c r="CFX112" s="1740"/>
      <c r="CFY112" s="1740"/>
      <c r="CFZ112" s="1740"/>
      <c r="CGA112" s="1740"/>
      <c r="CGB112" s="1740"/>
      <c r="CGC112" s="1740"/>
      <c r="CGD112" s="1740"/>
      <c r="CGE112" s="1740"/>
      <c r="CGF112" s="1740"/>
      <c r="CGG112" s="1740"/>
      <c r="CGH112" s="1740"/>
      <c r="CGI112" s="1740"/>
      <c r="CGJ112" s="1740"/>
      <c r="CGK112" s="1740"/>
      <c r="CGL112" s="1740"/>
      <c r="CGM112" s="1740"/>
      <c r="CGN112" s="1740"/>
      <c r="CGO112" s="1740"/>
      <c r="CGP112" s="1740"/>
      <c r="CGQ112" s="1740"/>
      <c r="CGR112" s="1740"/>
      <c r="CGS112" s="1740"/>
      <c r="CGT112" s="1740"/>
      <c r="CGU112" s="1740"/>
      <c r="CGV112" s="1740"/>
      <c r="CGW112" s="1740"/>
      <c r="CGX112" s="1740"/>
      <c r="CGY112" s="1740"/>
      <c r="CGZ112" s="1740"/>
      <c r="CHA112" s="1740"/>
      <c r="CHB112" s="1740"/>
      <c r="CHC112" s="1740"/>
      <c r="CHD112" s="1740"/>
      <c r="CHE112" s="1740"/>
      <c r="CHF112" s="1740"/>
      <c r="CHG112" s="1740"/>
      <c r="CHH112" s="1740"/>
      <c r="CHI112" s="1740"/>
      <c r="CHJ112" s="1740"/>
      <c r="CHK112" s="1740"/>
      <c r="CHL112" s="1740"/>
      <c r="CHM112" s="1740"/>
      <c r="CHN112" s="1740"/>
      <c r="CHO112" s="1740"/>
      <c r="CHP112" s="1740"/>
      <c r="CHQ112" s="1740"/>
      <c r="CHR112" s="1740"/>
      <c r="CHS112" s="1740"/>
      <c r="CHT112" s="1740"/>
      <c r="CHU112" s="1740"/>
      <c r="CHV112" s="1740"/>
      <c r="CHW112" s="1740"/>
      <c r="CHX112" s="1740"/>
      <c r="CHY112" s="1740"/>
      <c r="CHZ112" s="1740"/>
      <c r="CIA112" s="1740"/>
      <c r="CIB112" s="1740"/>
      <c r="CIC112" s="1740"/>
      <c r="CID112" s="1740"/>
      <c r="CIE112" s="1740"/>
      <c r="CIF112" s="1740"/>
      <c r="CIG112" s="1740"/>
      <c r="CIH112" s="1740"/>
      <c r="CII112" s="1740"/>
      <c r="CIJ112" s="1740"/>
      <c r="CIK112" s="1740"/>
      <c r="CIL112" s="1740"/>
      <c r="CIM112" s="1740"/>
      <c r="CIN112" s="1740"/>
      <c r="CIO112" s="1740"/>
      <c r="CIP112" s="1740"/>
      <c r="CIQ112" s="1740"/>
      <c r="CIR112" s="1740"/>
      <c r="CIS112" s="1740"/>
      <c r="CIT112" s="1740"/>
      <c r="CIU112" s="1740"/>
      <c r="CIV112" s="1740"/>
      <c r="CIW112" s="1740"/>
      <c r="CIX112" s="1740"/>
      <c r="CIY112" s="1740"/>
      <c r="CIZ112" s="1740"/>
      <c r="CJA112" s="1740"/>
      <c r="CJB112" s="1740"/>
      <c r="CJC112" s="1740"/>
      <c r="CJD112" s="1740"/>
      <c r="CJE112" s="1740"/>
      <c r="CJF112" s="1740"/>
      <c r="CJG112" s="1740"/>
      <c r="CJH112" s="1740"/>
      <c r="CJI112" s="1740"/>
      <c r="CJJ112" s="1740"/>
      <c r="CJK112" s="1740"/>
      <c r="CJL112" s="1740"/>
      <c r="CJM112" s="1740"/>
      <c r="CJN112" s="1740"/>
      <c r="CJO112" s="1740"/>
      <c r="CJP112" s="1740"/>
      <c r="CJQ112" s="1740"/>
      <c r="CJR112" s="1740"/>
      <c r="CJS112" s="1740"/>
      <c r="CJT112" s="1740"/>
      <c r="CJU112" s="1740"/>
      <c r="CJV112" s="1740"/>
      <c r="CJW112" s="1740"/>
      <c r="CJX112" s="1740"/>
      <c r="CJY112" s="1740"/>
      <c r="CJZ112" s="1740"/>
      <c r="CKA112" s="1740"/>
      <c r="CKB112" s="1740"/>
      <c r="CKC112" s="1740"/>
      <c r="CKD112" s="1740"/>
      <c r="CKE112" s="1740"/>
      <c r="CKF112" s="1740"/>
      <c r="CKG112" s="1740"/>
      <c r="CKH112" s="1740"/>
      <c r="CKI112" s="1740"/>
      <c r="CKJ112" s="1740"/>
      <c r="CKK112" s="1740"/>
      <c r="CKL112" s="1740"/>
      <c r="CKM112" s="1740"/>
      <c r="CKN112" s="1740"/>
      <c r="CKO112" s="1740"/>
      <c r="CKP112" s="1740"/>
      <c r="CKQ112" s="1740"/>
      <c r="CKR112" s="1740"/>
      <c r="CKS112" s="1740"/>
      <c r="CKT112" s="1740"/>
      <c r="CKU112" s="1740"/>
      <c r="CKV112" s="1740"/>
      <c r="CKW112" s="1740"/>
      <c r="CKX112" s="1740"/>
      <c r="CKY112" s="1740"/>
      <c r="CKZ112" s="1740"/>
      <c r="CLA112" s="1740"/>
      <c r="CLB112" s="1740"/>
      <c r="CLC112" s="1740"/>
      <c r="CLD112" s="1740"/>
      <c r="CLE112" s="1740"/>
      <c r="CLF112" s="1740"/>
      <c r="CLG112" s="1740"/>
      <c r="CLH112" s="1740"/>
      <c r="CLI112" s="1740"/>
      <c r="CLJ112" s="1740"/>
      <c r="CLK112" s="1740"/>
      <c r="CLL112" s="1740"/>
      <c r="CLM112" s="1740"/>
      <c r="CLN112" s="1740"/>
      <c r="CLO112" s="1740"/>
      <c r="CLP112" s="1740"/>
      <c r="CLQ112" s="1740"/>
      <c r="CLR112" s="1740"/>
      <c r="CLS112" s="1740"/>
      <c r="CLT112" s="1740"/>
      <c r="CLU112" s="1740"/>
      <c r="CLV112" s="1740"/>
      <c r="CLW112" s="1740"/>
      <c r="CLX112" s="1740"/>
      <c r="CLY112" s="1740"/>
      <c r="CLZ112" s="1740"/>
      <c r="CMA112" s="1740"/>
      <c r="CMB112" s="1740"/>
      <c r="CMC112" s="1740"/>
      <c r="CMD112" s="1740"/>
      <c r="CME112" s="1740"/>
      <c r="CMF112" s="1740"/>
      <c r="CMG112" s="1740"/>
      <c r="CMH112" s="1740"/>
      <c r="CMI112" s="1740"/>
      <c r="CMJ112" s="1740"/>
      <c r="CMK112" s="1740"/>
      <c r="CML112" s="1740"/>
      <c r="CMM112" s="1740"/>
      <c r="CMN112" s="1740"/>
      <c r="CMO112" s="1740"/>
      <c r="CMP112" s="1740"/>
      <c r="CMQ112" s="1740"/>
      <c r="CMR112" s="1740"/>
      <c r="CMS112" s="1740"/>
      <c r="CMT112" s="1740"/>
      <c r="CMU112" s="1740"/>
      <c r="CMV112" s="1740"/>
      <c r="CMW112" s="1740"/>
      <c r="CMX112" s="1740"/>
      <c r="CMY112" s="1740"/>
      <c r="CMZ112" s="1740"/>
      <c r="CNA112" s="1740"/>
      <c r="CNB112" s="1740"/>
      <c r="CNC112" s="1740"/>
      <c r="CND112" s="1740"/>
      <c r="CNE112" s="1740"/>
      <c r="CNF112" s="1740"/>
      <c r="CNG112" s="1740"/>
      <c r="CNH112" s="1740"/>
      <c r="CNI112" s="1740"/>
      <c r="CNJ112" s="1740"/>
      <c r="CNK112" s="1740"/>
      <c r="CNL112" s="1740"/>
      <c r="CNM112" s="1740"/>
      <c r="CNN112" s="1740"/>
      <c r="CNO112" s="1740"/>
      <c r="CNP112" s="1740"/>
      <c r="CNQ112" s="1740"/>
      <c r="CNR112" s="1740"/>
      <c r="CNS112" s="1740"/>
      <c r="CNT112" s="1740"/>
      <c r="CNU112" s="1740"/>
      <c r="CNV112" s="1740"/>
      <c r="CNW112" s="1740"/>
      <c r="CNX112" s="1740"/>
      <c r="CNY112" s="1740"/>
      <c r="CNZ112" s="1740"/>
      <c r="COA112" s="1740"/>
      <c r="COB112" s="1740"/>
      <c r="COC112" s="1740"/>
      <c r="COD112" s="1740"/>
      <c r="COE112" s="1740"/>
      <c r="COF112" s="1740"/>
      <c r="COG112" s="1740"/>
      <c r="COH112" s="1740"/>
      <c r="COI112" s="1740"/>
      <c r="COJ112" s="1740"/>
      <c r="COK112" s="1740"/>
      <c r="COL112" s="1740"/>
      <c r="COM112" s="1740"/>
      <c r="CON112" s="1740"/>
      <c r="COO112" s="1740"/>
      <c r="COP112" s="1740"/>
      <c r="COQ112" s="1740"/>
      <c r="COR112" s="1740"/>
      <c r="COS112" s="1740"/>
      <c r="COT112" s="1740"/>
      <c r="COU112" s="1740"/>
      <c r="COV112" s="1740"/>
      <c r="COW112" s="1740"/>
      <c r="COX112" s="1740"/>
      <c r="COY112" s="1740"/>
      <c r="COZ112" s="1740"/>
      <c r="CPA112" s="1740"/>
      <c r="CPB112" s="1740"/>
      <c r="CPC112" s="1740"/>
      <c r="CPD112" s="1740"/>
      <c r="CPE112" s="1740"/>
      <c r="CPF112" s="1740"/>
      <c r="CPG112" s="1740"/>
      <c r="CPH112" s="1740"/>
      <c r="CPI112" s="1740"/>
      <c r="CPJ112" s="1740"/>
      <c r="CPK112" s="1740"/>
      <c r="CPL112" s="1740"/>
      <c r="CPM112" s="1740"/>
      <c r="CPN112" s="1740"/>
      <c r="CPO112" s="1740"/>
      <c r="CPP112" s="1740"/>
      <c r="CPQ112" s="1740"/>
      <c r="CPR112" s="1740"/>
      <c r="CPS112" s="1740"/>
      <c r="CPT112" s="1740"/>
      <c r="CPU112" s="1740"/>
      <c r="CPV112" s="1740"/>
      <c r="CPW112" s="1740"/>
      <c r="CPX112" s="1740"/>
      <c r="CPY112" s="1740"/>
      <c r="CPZ112" s="1740"/>
      <c r="CQA112" s="1740"/>
      <c r="CQB112" s="1740"/>
      <c r="CQC112" s="1740"/>
      <c r="CQD112" s="1740"/>
      <c r="CQE112" s="1740"/>
      <c r="CQF112" s="1740"/>
      <c r="CQG112" s="1740"/>
      <c r="CQH112" s="1740"/>
      <c r="CQI112" s="1740"/>
      <c r="CQJ112" s="1740"/>
      <c r="CQK112" s="1740"/>
      <c r="CQL112" s="1740"/>
      <c r="CQM112" s="1740"/>
      <c r="CQN112" s="1740"/>
      <c r="CQO112" s="1740"/>
      <c r="CQP112" s="1740"/>
      <c r="CQQ112" s="1740"/>
      <c r="CQR112" s="1740"/>
      <c r="CQS112" s="1740"/>
      <c r="CQT112" s="1740"/>
      <c r="CQU112" s="1740"/>
      <c r="CQV112" s="1740"/>
      <c r="CQW112" s="1740"/>
      <c r="CQX112" s="1740"/>
      <c r="CQY112" s="1740"/>
      <c r="CQZ112" s="1740"/>
      <c r="CRA112" s="1740"/>
      <c r="CRB112" s="1740"/>
      <c r="CRC112" s="1740"/>
      <c r="CRD112" s="1740"/>
      <c r="CRE112" s="1740"/>
      <c r="CRF112" s="1740"/>
      <c r="CRG112" s="1740"/>
      <c r="CRH112" s="1740"/>
      <c r="CRI112" s="1740"/>
      <c r="CRJ112" s="1740"/>
      <c r="CRK112" s="1740"/>
      <c r="CRL112" s="1740"/>
      <c r="CRM112" s="1740"/>
      <c r="CRN112" s="1740"/>
      <c r="CRO112" s="1740"/>
      <c r="CRP112" s="1740"/>
      <c r="CRQ112" s="1740"/>
      <c r="CRR112" s="1740"/>
      <c r="CRS112" s="1740"/>
      <c r="CRT112" s="1740"/>
      <c r="CRU112" s="1740"/>
      <c r="CRV112" s="1740"/>
      <c r="CRW112" s="1740"/>
      <c r="CRX112" s="1740"/>
      <c r="CRY112" s="1740"/>
      <c r="CRZ112" s="1740"/>
      <c r="CSA112" s="1740"/>
      <c r="CSB112" s="1740"/>
      <c r="CSC112" s="1740"/>
      <c r="CSD112" s="1740"/>
      <c r="CSE112" s="1740"/>
      <c r="CSF112" s="1740"/>
      <c r="CSG112" s="1740"/>
      <c r="CSH112" s="1740"/>
      <c r="CSI112" s="1740"/>
      <c r="CSJ112" s="1740"/>
      <c r="CSK112" s="1740"/>
      <c r="CSL112" s="1740"/>
      <c r="CSM112" s="1740"/>
      <c r="CSN112" s="1740"/>
      <c r="CSO112" s="1740"/>
      <c r="CSP112" s="1740"/>
      <c r="CSQ112" s="1740"/>
      <c r="CSR112" s="1740"/>
      <c r="CSS112" s="1740"/>
      <c r="CST112" s="1740"/>
      <c r="CSU112" s="1740"/>
      <c r="CSV112" s="1740"/>
      <c r="CSW112" s="1740"/>
      <c r="CSX112" s="1740"/>
      <c r="CSY112" s="1740"/>
      <c r="CSZ112" s="1740"/>
      <c r="CTA112" s="1740"/>
      <c r="CTB112" s="1740"/>
      <c r="CTC112" s="1740"/>
      <c r="CTD112" s="1740"/>
      <c r="CTE112" s="1740"/>
      <c r="CTF112" s="1740"/>
      <c r="CTG112" s="1740"/>
      <c r="CTH112" s="1740"/>
      <c r="CTI112" s="1740"/>
      <c r="CTJ112" s="1740"/>
      <c r="CTK112" s="1740"/>
      <c r="CTL112" s="1740"/>
      <c r="CTM112" s="1740"/>
      <c r="CTN112" s="1740"/>
      <c r="CTO112" s="1740"/>
      <c r="CTP112" s="1740"/>
      <c r="CTQ112" s="1740"/>
      <c r="CTR112" s="1740"/>
      <c r="CTS112" s="1740"/>
      <c r="CTT112" s="1740"/>
      <c r="CTU112" s="1740"/>
      <c r="CTV112" s="1740"/>
      <c r="CTW112" s="1740"/>
      <c r="CTX112" s="1740"/>
      <c r="CTY112" s="1740"/>
      <c r="CTZ112" s="1740"/>
      <c r="CUA112" s="1740"/>
      <c r="CUB112" s="1740"/>
      <c r="CUC112" s="1740"/>
      <c r="CUD112" s="1740"/>
      <c r="CUE112" s="1740"/>
      <c r="CUF112" s="1740"/>
      <c r="CUG112" s="1740"/>
      <c r="CUH112" s="1740"/>
      <c r="CUI112" s="1740"/>
      <c r="CUJ112" s="1740"/>
      <c r="CUK112" s="1740"/>
      <c r="CUL112" s="1740"/>
      <c r="CUM112" s="1740"/>
      <c r="CUN112" s="1740"/>
      <c r="CUO112" s="1740"/>
      <c r="CUP112" s="1740"/>
      <c r="CUQ112" s="1740"/>
      <c r="CUR112" s="1740"/>
      <c r="CUS112" s="1740"/>
      <c r="CUT112" s="1740"/>
      <c r="CUU112" s="1740"/>
      <c r="CUV112" s="1740"/>
      <c r="CUW112" s="1740"/>
      <c r="CUX112" s="1740"/>
      <c r="CUY112" s="1740"/>
      <c r="CUZ112" s="1740"/>
      <c r="CVA112" s="1740"/>
      <c r="CVB112" s="1740"/>
      <c r="CVC112" s="1740"/>
      <c r="CVD112" s="1740"/>
      <c r="CVE112" s="1740"/>
      <c r="CVF112" s="1740"/>
      <c r="CVG112" s="1740"/>
      <c r="CVH112" s="1740"/>
      <c r="CVI112" s="1740"/>
      <c r="CVJ112" s="1740"/>
      <c r="CVK112" s="1740"/>
      <c r="CVL112" s="1740"/>
      <c r="CVM112" s="1740"/>
      <c r="CVN112" s="1740"/>
      <c r="CVO112" s="1740"/>
      <c r="CVP112" s="1740"/>
      <c r="CVQ112" s="1740"/>
      <c r="CVR112" s="1740"/>
      <c r="CVS112" s="1740"/>
      <c r="CVT112" s="1740"/>
      <c r="CVU112" s="1740"/>
      <c r="CVV112" s="1740"/>
      <c r="CVW112" s="1740"/>
      <c r="CVX112" s="1740"/>
      <c r="CVY112" s="1740"/>
      <c r="CVZ112" s="1740"/>
      <c r="CWA112" s="1740"/>
      <c r="CWB112" s="1740"/>
      <c r="CWC112" s="1740"/>
      <c r="CWD112" s="1740"/>
      <c r="CWE112" s="1740"/>
      <c r="CWF112" s="1740"/>
      <c r="CWG112" s="1740"/>
      <c r="CWH112" s="1740"/>
      <c r="CWI112" s="1740"/>
      <c r="CWJ112" s="1740"/>
      <c r="CWK112" s="1740"/>
      <c r="CWL112" s="1740"/>
      <c r="CWM112" s="1740"/>
      <c r="CWN112" s="1740"/>
      <c r="CWO112" s="1740"/>
      <c r="CWP112" s="1740"/>
      <c r="CWQ112" s="1740"/>
      <c r="CWR112" s="1740"/>
      <c r="CWS112" s="1740"/>
      <c r="CWT112" s="1740"/>
      <c r="CWU112" s="1740"/>
      <c r="CWV112" s="1740"/>
      <c r="CWW112" s="1740"/>
      <c r="CWX112" s="1740"/>
      <c r="CWY112" s="1740"/>
      <c r="CWZ112" s="1740"/>
      <c r="CXA112" s="1740"/>
      <c r="CXB112" s="1740"/>
      <c r="CXC112" s="1740"/>
      <c r="CXD112" s="1740"/>
      <c r="CXE112" s="1740"/>
      <c r="CXF112" s="1740"/>
      <c r="CXG112" s="1740"/>
      <c r="CXH112" s="1740"/>
      <c r="CXI112" s="1740"/>
      <c r="CXJ112" s="1740"/>
      <c r="CXK112" s="1740"/>
      <c r="CXL112" s="1740"/>
      <c r="CXM112" s="1740"/>
      <c r="CXN112" s="1740"/>
      <c r="CXO112" s="1740"/>
      <c r="CXP112" s="1740"/>
      <c r="CXQ112" s="1740"/>
      <c r="CXR112" s="1740"/>
      <c r="CXS112" s="1740"/>
      <c r="CXT112" s="1740"/>
      <c r="CXU112" s="1740"/>
      <c r="CXV112" s="1740"/>
      <c r="CXW112" s="1740"/>
      <c r="CXX112" s="1740"/>
      <c r="CXY112" s="1740"/>
      <c r="CXZ112" s="1740"/>
      <c r="CYA112" s="1740"/>
      <c r="CYB112" s="1740"/>
      <c r="CYC112" s="1740"/>
      <c r="CYD112" s="1740"/>
      <c r="CYE112" s="1740"/>
      <c r="CYF112" s="1740"/>
      <c r="CYG112" s="1740"/>
      <c r="CYH112" s="1740"/>
      <c r="CYI112" s="1740"/>
      <c r="CYJ112" s="1740"/>
      <c r="CYK112" s="1740"/>
      <c r="CYL112" s="1740"/>
      <c r="CYM112" s="1740"/>
      <c r="CYN112" s="1740"/>
      <c r="CYO112" s="1740"/>
      <c r="CYP112" s="1740"/>
      <c r="CYQ112" s="1740"/>
      <c r="CYR112" s="1740"/>
      <c r="CYS112" s="1740"/>
      <c r="CYT112" s="1740"/>
      <c r="CYU112" s="1740"/>
      <c r="CYV112" s="1740"/>
      <c r="CYW112" s="1740"/>
      <c r="CYX112" s="1740"/>
      <c r="CYY112" s="1740"/>
      <c r="CYZ112" s="1740"/>
      <c r="CZA112" s="1740"/>
      <c r="CZB112" s="1740"/>
      <c r="CZC112" s="1740"/>
      <c r="CZD112" s="1740"/>
      <c r="CZE112" s="1740"/>
      <c r="CZF112" s="1740"/>
      <c r="CZG112" s="1740"/>
      <c r="CZH112" s="1740"/>
      <c r="CZI112" s="1740"/>
      <c r="CZJ112" s="1740"/>
      <c r="CZK112" s="1740"/>
      <c r="CZL112" s="1740"/>
      <c r="CZM112" s="1740"/>
      <c r="CZN112" s="1740"/>
      <c r="CZO112" s="1740"/>
      <c r="CZP112" s="1740"/>
      <c r="CZQ112" s="1740"/>
      <c r="CZR112" s="1740"/>
      <c r="CZS112" s="1740"/>
      <c r="CZT112" s="1740"/>
      <c r="CZU112" s="1740"/>
      <c r="CZV112" s="1740"/>
      <c r="CZW112" s="1740"/>
      <c r="CZX112" s="1740"/>
      <c r="CZY112" s="1740"/>
      <c r="CZZ112" s="1740"/>
      <c r="DAA112" s="1740"/>
      <c r="DAB112" s="1740"/>
      <c r="DAC112" s="1740"/>
      <c r="DAD112" s="1740"/>
      <c r="DAE112" s="1740"/>
      <c r="DAF112" s="1740"/>
      <c r="DAG112" s="1740"/>
      <c r="DAH112" s="1740"/>
      <c r="DAI112" s="1740"/>
      <c r="DAJ112" s="1740"/>
      <c r="DAK112" s="1740"/>
      <c r="DAL112" s="1740"/>
      <c r="DAM112" s="1740"/>
      <c r="DAN112" s="1740"/>
      <c r="DAO112" s="1740"/>
      <c r="DAP112" s="1740"/>
      <c r="DAQ112" s="1740"/>
      <c r="DAR112" s="1740"/>
      <c r="DAS112" s="1740"/>
      <c r="DAT112" s="1740"/>
      <c r="DAU112" s="1740"/>
      <c r="DAV112" s="1740"/>
      <c r="DAW112" s="1740"/>
      <c r="DAX112" s="1740"/>
      <c r="DAY112" s="1740"/>
      <c r="DAZ112" s="1740"/>
      <c r="DBA112" s="1740"/>
      <c r="DBB112" s="1740"/>
      <c r="DBC112" s="1740"/>
      <c r="DBD112" s="1740"/>
      <c r="DBE112" s="1740"/>
      <c r="DBF112" s="1740"/>
      <c r="DBG112" s="1740"/>
      <c r="DBH112" s="1740"/>
      <c r="DBI112" s="1740"/>
      <c r="DBJ112" s="1740"/>
      <c r="DBK112" s="1740"/>
      <c r="DBL112" s="1740"/>
      <c r="DBM112" s="1740"/>
      <c r="DBN112" s="1740"/>
      <c r="DBO112" s="1740"/>
      <c r="DBP112" s="1740"/>
      <c r="DBQ112" s="1740"/>
      <c r="DBR112" s="1740"/>
      <c r="DBS112" s="1740"/>
      <c r="DBT112" s="1740"/>
      <c r="DBU112" s="1740"/>
      <c r="DBV112" s="1740"/>
      <c r="DBW112" s="1740"/>
      <c r="DBX112" s="1740"/>
      <c r="DBY112" s="1740"/>
      <c r="DBZ112" s="1740"/>
      <c r="DCA112" s="1740"/>
      <c r="DCB112" s="1740"/>
      <c r="DCC112" s="1740"/>
      <c r="DCD112" s="1740"/>
      <c r="DCE112" s="1740"/>
      <c r="DCF112" s="1740"/>
      <c r="DCG112" s="1740"/>
      <c r="DCH112" s="1740"/>
      <c r="DCI112" s="1740"/>
      <c r="DCJ112" s="1740"/>
      <c r="DCK112" s="1740"/>
      <c r="DCL112" s="1740"/>
      <c r="DCM112" s="1740"/>
      <c r="DCN112" s="1740"/>
      <c r="DCO112" s="1740"/>
      <c r="DCP112" s="1740"/>
      <c r="DCQ112" s="1740"/>
      <c r="DCR112" s="1740"/>
      <c r="DCS112" s="1740"/>
      <c r="DCT112" s="1740"/>
      <c r="DCU112" s="1740"/>
      <c r="DCV112" s="1740"/>
      <c r="DCW112" s="1740"/>
      <c r="DCX112" s="1740"/>
      <c r="DCY112" s="1740"/>
      <c r="DCZ112" s="1740"/>
      <c r="DDA112" s="1740"/>
      <c r="DDB112" s="1740"/>
      <c r="DDC112" s="1740"/>
      <c r="DDD112" s="1740"/>
      <c r="DDE112" s="1740"/>
      <c r="DDF112" s="1740"/>
      <c r="DDG112" s="1740"/>
      <c r="DDH112" s="1740"/>
      <c r="DDI112" s="1740"/>
      <c r="DDJ112" s="1740"/>
      <c r="DDK112" s="1740"/>
      <c r="DDL112" s="1740"/>
      <c r="DDM112" s="1740"/>
      <c r="DDN112" s="1740"/>
      <c r="DDO112" s="1740"/>
      <c r="DDP112" s="1740"/>
      <c r="DDQ112" s="1740"/>
      <c r="DDR112" s="1740"/>
      <c r="DDS112" s="1740"/>
      <c r="DDT112" s="1740"/>
      <c r="DDU112" s="1740"/>
      <c r="DDV112" s="1740"/>
      <c r="DDW112" s="1740"/>
      <c r="DDX112" s="1740"/>
      <c r="DDY112" s="1740"/>
      <c r="DDZ112" s="1740"/>
      <c r="DEA112" s="1740"/>
      <c r="DEB112" s="1740"/>
      <c r="DEC112" s="1740"/>
      <c r="DED112" s="1740"/>
      <c r="DEE112" s="1740"/>
      <c r="DEF112" s="1740"/>
      <c r="DEG112" s="1740"/>
      <c r="DEH112" s="1740"/>
      <c r="DEI112" s="1740"/>
      <c r="DEJ112" s="1740"/>
      <c r="DEK112" s="1740"/>
      <c r="DEL112" s="1740"/>
      <c r="DEM112" s="1740"/>
      <c r="DEN112" s="1740"/>
      <c r="DEO112" s="1740"/>
      <c r="DEP112" s="1740"/>
      <c r="DEQ112" s="1740"/>
      <c r="DER112" s="1740"/>
      <c r="DES112" s="1740"/>
      <c r="DET112" s="1740"/>
      <c r="DEU112" s="1740"/>
      <c r="DEV112" s="1740"/>
      <c r="DEW112" s="1740"/>
      <c r="DEX112" s="1740"/>
      <c r="DEY112" s="1740"/>
      <c r="DEZ112" s="1740"/>
      <c r="DFA112" s="1740"/>
      <c r="DFB112" s="1740"/>
      <c r="DFC112" s="1740"/>
      <c r="DFD112" s="1740"/>
      <c r="DFE112" s="1740"/>
      <c r="DFF112" s="1740"/>
      <c r="DFG112" s="1740"/>
      <c r="DFH112" s="1740"/>
      <c r="DFI112" s="1740"/>
      <c r="DFJ112" s="1740"/>
      <c r="DFK112" s="1740"/>
      <c r="DFL112" s="1740"/>
      <c r="DFM112" s="1740"/>
      <c r="DFN112" s="1740"/>
      <c r="DFO112" s="1740"/>
      <c r="DFP112" s="1740"/>
      <c r="DFQ112" s="1740"/>
      <c r="DFR112" s="1740"/>
      <c r="DFS112" s="1740"/>
      <c r="DFT112" s="1740"/>
      <c r="DFU112" s="1740"/>
      <c r="DFV112" s="1740"/>
      <c r="DFW112" s="1740"/>
      <c r="DFX112" s="1740"/>
      <c r="DFY112" s="1740"/>
      <c r="DFZ112" s="1740"/>
      <c r="DGA112" s="1740"/>
      <c r="DGB112" s="1740"/>
      <c r="DGC112" s="1740"/>
      <c r="DGD112" s="1740"/>
      <c r="DGE112" s="1740"/>
      <c r="DGF112" s="1740"/>
      <c r="DGG112" s="1740"/>
      <c r="DGH112" s="1740"/>
      <c r="DGI112" s="1740"/>
      <c r="DGJ112" s="1740"/>
      <c r="DGK112" s="1740"/>
      <c r="DGL112" s="1740"/>
      <c r="DGM112" s="1740"/>
      <c r="DGN112" s="1740"/>
      <c r="DGO112" s="1740"/>
      <c r="DGP112" s="1740"/>
      <c r="DGQ112" s="1740"/>
      <c r="DGR112" s="1740"/>
      <c r="DGS112" s="1740"/>
      <c r="DGT112" s="1740"/>
      <c r="DGU112" s="1740"/>
      <c r="DGV112" s="1740"/>
      <c r="DGW112" s="1740"/>
      <c r="DGX112" s="1740"/>
      <c r="DGY112" s="1740"/>
      <c r="DGZ112" s="1740"/>
      <c r="DHA112" s="1740"/>
      <c r="DHB112" s="1740"/>
      <c r="DHC112" s="1740"/>
      <c r="DHD112" s="1740"/>
      <c r="DHE112" s="1740"/>
      <c r="DHF112" s="1740"/>
      <c r="DHG112" s="1740"/>
      <c r="DHH112" s="1740"/>
      <c r="DHI112" s="1740"/>
      <c r="DHJ112" s="1740"/>
      <c r="DHK112" s="1740"/>
      <c r="DHL112" s="1740"/>
      <c r="DHM112" s="1740"/>
      <c r="DHN112" s="1740"/>
      <c r="DHO112" s="1740"/>
      <c r="DHP112" s="1740"/>
      <c r="DHQ112" s="1740"/>
      <c r="DHR112" s="1740"/>
      <c r="DHS112" s="1740"/>
      <c r="DHT112" s="1740"/>
      <c r="DHU112" s="1740"/>
      <c r="DHV112" s="1740"/>
      <c r="DHW112" s="1740"/>
      <c r="DHX112" s="1740"/>
      <c r="DHY112" s="1740"/>
      <c r="DHZ112" s="1740"/>
      <c r="DIA112" s="1740"/>
      <c r="DIB112" s="1740"/>
      <c r="DIC112" s="1740"/>
      <c r="DID112" s="1740"/>
      <c r="DIE112" s="1740"/>
      <c r="DIF112" s="1740"/>
      <c r="DIG112" s="1740"/>
      <c r="DIH112" s="1740"/>
      <c r="DII112" s="1740"/>
      <c r="DIJ112" s="1740"/>
      <c r="DIK112" s="1740"/>
      <c r="DIL112" s="1740"/>
      <c r="DIM112" s="1740"/>
      <c r="DIN112" s="1740"/>
      <c r="DIO112" s="1740"/>
      <c r="DIP112" s="1740"/>
      <c r="DIQ112" s="1740"/>
      <c r="DIR112" s="1740"/>
      <c r="DIS112" s="1740"/>
      <c r="DIT112" s="1740"/>
      <c r="DIU112" s="1740"/>
      <c r="DIV112" s="1740"/>
      <c r="DIW112" s="1740"/>
      <c r="DIX112" s="1740"/>
      <c r="DIY112" s="1740"/>
      <c r="DIZ112" s="1740"/>
      <c r="DJA112" s="1740"/>
      <c r="DJB112" s="1740"/>
      <c r="DJC112" s="1740"/>
      <c r="DJD112" s="1740"/>
      <c r="DJE112" s="1740"/>
      <c r="DJF112" s="1740"/>
      <c r="DJG112" s="1740"/>
      <c r="DJH112" s="1740"/>
      <c r="DJI112" s="1740"/>
      <c r="DJJ112" s="1740"/>
      <c r="DJK112" s="1740"/>
      <c r="DJL112" s="1740"/>
      <c r="DJM112" s="1740"/>
      <c r="DJN112" s="1740"/>
      <c r="DJO112" s="1740"/>
      <c r="DJP112" s="1740"/>
      <c r="DJQ112" s="1740"/>
      <c r="DJR112" s="1740"/>
      <c r="DJS112" s="1740"/>
      <c r="DJT112" s="1740"/>
      <c r="DJU112" s="1740"/>
      <c r="DJV112" s="1740"/>
      <c r="DJW112" s="1740"/>
      <c r="DJX112" s="1740"/>
      <c r="DJY112" s="1740"/>
      <c r="DJZ112" s="1740"/>
      <c r="DKA112" s="1740"/>
      <c r="DKB112" s="1740"/>
      <c r="DKC112" s="1740"/>
      <c r="DKD112" s="1740"/>
      <c r="DKE112" s="1740"/>
      <c r="DKF112" s="1740"/>
      <c r="DKG112" s="1740"/>
      <c r="DKH112" s="1740"/>
      <c r="DKI112" s="1740"/>
      <c r="DKJ112" s="1740"/>
      <c r="DKK112" s="1740"/>
      <c r="DKL112" s="1740"/>
      <c r="DKM112" s="1740"/>
      <c r="DKN112" s="1740"/>
      <c r="DKO112" s="1740"/>
      <c r="DKP112" s="1740"/>
      <c r="DKQ112" s="1740"/>
      <c r="DKR112" s="1740"/>
      <c r="DKS112" s="1740"/>
      <c r="DKT112" s="1740"/>
      <c r="DKU112" s="1740"/>
      <c r="DKV112" s="1740"/>
      <c r="DKW112" s="1740"/>
      <c r="DKX112" s="1740"/>
      <c r="DKY112" s="1740"/>
      <c r="DKZ112" s="1740"/>
      <c r="DLA112" s="1740"/>
      <c r="DLB112" s="1740"/>
      <c r="DLC112" s="1740"/>
      <c r="DLD112" s="1740"/>
      <c r="DLE112" s="1740"/>
      <c r="DLF112" s="1740"/>
      <c r="DLG112" s="1740"/>
      <c r="DLH112" s="1740"/>
      <c r="DLI112" s="1740"/>
      <c r="DLJ112" s="1740"/>
      <c r="DLK112" s="1740"/>
      <c r="DLL112" s="1740"/>
      <c r="DLM112" s="1740"/>
      <c r="DLN112" s="1740"/>
      <c r="DLO112" s="1740"/>
      <c r="DLP112" s="1740"/>
      <c r="DLQ112" s="1740"/>
      <c r="DLR112" s="1740"/>
      <c r="DLS112" s="1740"/>
      <c r="DLT112" s="1740"/>
      <c r="DLU112" s="1740"/>
      <c r="DLV112" s="1740"/>
      <c r="DLW112" s="1740"/>
      <c r="DLX112" s="1740"/>
      <c r="DLY112" s="1740"/>
      <c r="DLZ112" s="1740"/>
      <c r="DMA112" s="1740"/>
      <c r="DMB112" s="1740"/>
      <c r="DMC112" s="1740"/>
      <c r="DMD112" s="1740"/>
      <c r="DME112" s="1740"/>
      <c r="DMF112" s="1740"/>
      <c r="DMG112" s="1740"/>
      <c r="DMH112" s="1740"/>
      <c r="DMI112" s="1740"/>
      <c r="DMJ112" s="1740"/>
      <c r="DMK112" s="1740"/>
      <c r="DML112" s="1740"/>
      <c r="DMM112" s="1740"/>
      <c r="DMN112" s="1740"/>
      <c r="DMO112" s="1740"/>
      <c r="DMP112" s="1740"/>
      <c r="DMQ112" s="1740"/>
      <c r="DMR112" s="1740"/>
      <c r="DMS112" s="1740"/>
      <c r="DMT112" s="1740"/>
      <c r="DMU112" s="1740"/>
      <c r="DMV112" s="1740"/>
      <c r="DMW112" s="1740"/>
      <c r="DMX112" s="1740"/>
      <c r="DMY112" s="1740"/>
      <c r="DMZ112" s="1740"/>
      <c r="DNA112" s="1740"/>
      <c r="DNB112" s="1740"/>
      <c r="DNC112" s="1740"/>
      <c r="DND112" s="1740"/>
      <c r="DNE112" s="1740"/>
      <c r="DNF112" s="1740"/>
      <c r="DNG112" s="1740"/>
      <c r="DNH112" s="1740"/>
      <c r="DNI112" s="1740"/>
      <c r="DNJ112" s="1740"/>
      <c r="DNK112" s="1740"/>
      <c r="DNL112" s="1740"/>
      <c r="DNM112" s="1740"/>
      <c r="DNN112" s="1740"/>
      <c r="DNO112" s="1740"/>
      <c r="DNP112" s="1740"/>
      <c r="DNQ112" s="1740"/>
      <c r="DNR112" s="1740"/>
      <c r="DNS112" s="1740"/>
      <c r="DNT112" s="1740"/>
      <c r="DNU112" s="1740"/>
      <c r="DNV112" s="1740"/>
      <c r="DNW112" s="1740"/>
      <c r="DNX112" s="1740"/>
      <c r="DNY112" s="1740"/>
      <c r="DNZ112" s="1740"/>
      <c r="DOA112" s="1740"/>
      <c r="DOB112" s="1740"/>
      <c r="DOC112" s="1740"/>
      <c r="DOD112" s="1740"/>
      <c r="DOE112" s="1740"/>
      <c r="DOF112" s="1740"/>
      <c r="DOG112" s="1740"/>
      <c r="DOH112" s="1740"/>
      <c r="DOI112" s="1740"/>
      <c r="DOJ112" s="1740"/>
      <c r="DOK112" s="1740"/>
      <c r="DOL112" s="1740"/>
      <c r="DOM112" s="1740"/>
      <c r="DON112" s="1740"/>
      <c r="DOO112" s="1740"/>
      <c r="DOP112" s="1740"/>
      <c r="DOQ112" s="1740"/>
      <c r="DOR112" s="1740"/>
      <c r="DOS112" s="1740"/>
      <c r="DOT112" s="1740"/>
      <c r="DOU112" s="1740"/>
      <c r="DOV112" s="1740"/>
      <c r="DOW112" s="1740"/>
      <c r="DOX112" s="1740"/>
      <c r="DOY112" s="1740"/>
      <c r="DOZ112" s="1740"/>
      <c r="DPA112" s="1740"/>
      <c r="DPB112" s="1740"/>
      <c r="DPC112" s="1740"/>
      <c r="DPD112" s="1740"/>
      <c r="DPE112" s="1740"/>
      <c r="DPF112" s="1740"/>
      <c r="DPG112" s="1740"/>
      <c r="DPH112" s="1740"/>
      <c r="DPI112" s="1740"/>
      <c r="DPJ112" s="1740"/>
      <c r="DPK112" s="1740"/>
      <c r="DPL112" s="1740"/>
      <c r="DPM112" s="1740"/>
      <c r="DPN112" s="1740"/>
      <c r="DPO112" s="1740"/>
      <c r="DPP112" s="1740"/>
      <c r="DPQ112" s="1740"/>
      <c r="DPR112" s="1740"/>
      <c r="DPS112" s="1740"/>
      <c r="DPT112" s="1740"/>
      <c r="DPU112" s="1740"/>
      <c r="DPV112" s="1740"/>
      <c r="DPW112" s="1740"/>
      <c r="DPX112" s="1740"/>
      <c r="DPY112" s="1740"/>
      <c r="DPZ112" s="1740"/>
      <c r="DQA112" s="1740"/>
      <c r="DQB112" s="1740"/>
      <c r="DQC112" s="1740"/>
      <c r="DQD112" s="1740"/>
      <c r="DQE112" s="1740"/>
      <c r="DQF112" s="1740"/>
      <c r="DQG112" s="1740"/>
      <c r="DQH112" s="1740"/>
      <c r="DQI112" s="1740"/>
      <c r="DQJ112" s="1740"/>
      <c r="DQK112" s="1740"/>
      <c r="DQL112" s="1740"/>
      <c r="DQM112" s="1740"/>
      <c r="DQN112" s="1740"/>
      <c r="DQO112" s="1740"/>
      <c r="DQP112" s="1740"/>
      <c r="DQQ112" s="1740"/>
      <c r="DQR112" s="1740"/>
      <c r="DQS112" s="1740"/>
      <c r="DQT112" s="1740"/>
      <c r="DQU112" s="1740"/>
      <c r="DQV112" s="1740"/>
      <c r="DQW112" s="1740"/>
      <c r="DQX112" s="1740"/>
      <c r="DQY112" s="1740"/>
      <c r="DQZ112" s="1740"/>
      <c r="DRA112" s="1740"/>
      <c r="DRB112" s="1740"/>
      <c r="DRC112" s="1740"/>
      <c r="DRD112" s="1740"/>
      <c r="DRE112" s="1740"/>
      <c r="DRF112" s="1740"/>
      <c r="DRG112" s="1740"/>
      <c r="DRH112" s="1740"/>
      <c r="DRI112" s="1740"/>
      <c r="DRJ112" s="1740"/>
      <c r="DRK112" s="1740"/>
      <c r="DRL112" s="1740"/>
      <c r="DRM112" s="1740"/>
      <c r="DRN112" s="1740"/>
      <c r="DRO112" s="1740"/>
      <c r="DRP112" s="1740"/>
      <c r="DRQ112" s="1740"/>
      <c r="DRR112" s="1740"/>
      <c r="DRS112" s="1740"/>
      <c r="DRT112" s="1740"/>
      <c r="DRU112" s="1740"/>
      <c r="DRV112" s="1740"/>
      <c r="DRW112" s="1740"/>
      <c r="DRX112" s="1740"/>
      <c r="DRY112" s="1740"/>
      <c r="DRZ112" s="1740"/>
      <c r="DSA112" s="1740"/>
      <c r="DSB112" s="1740"/>
      <c r="DSC112" s="1740"/>
      <c r="DSD112" s="1740"/>
      <c r="DSE112" s="1740"/>
      <c r="DSF112" s="1740"/>
      <c r="DSG112" s="1740"/>
      <c r="DSH112" s="1740"/>
      <c r="DSI112" s="1740"/>
      <c r="DSJ112" s="1740"/>
      <c r="DSK112" s="1740"/>
      <c r="DSL112" s="1740"/>
      <c r="DSM112" s="1740"/>
      <c r="DSN112" s="1740"/>
      <c r="DSO112" s="1740"/>
      <c r="DSP112" s="1740"/>
      <c r="DSQ112" s="1740"/>
      <c r="DSR112" s="1740"/>
      <c r="DSS112" s="1740"/>
      <c r="DST112" s="1740"/>
      <c r="DSU112" s="1740"/>
      <c r="DSV112" s="1740"/>
      <c r="DSW112" s="1740"/>
      <c r="DSX112" s="1740"/>
      <c r="DSY112" s="1740"/>
      <c r="DSZ112" s="1740"/>
      <c r="DTA112" s="1740"/>
      <c r="DTB112" s="1740"/>
      <c r="DTC112" s="1740"/>
      <c r="DTD112" s="1740"/>
      <c r="DTE112" s="1740"/>
      <c r="DTF112" s="1740"/>
      <c r="DTG112" s="1740"/>
      <c r="DTH112" s="1740"/>
      <c r="DTI112" s="1740"/>
      <c r="DTJ112" s="1740"/>
      <c r="DTK112" s="1740"/>
      <c r="DTL112" s="1740"/>
      <c r="DTM112" s="1740"/>
      <c r="DTN112" s="1740"/>
      <c r="DTO112" s="1740"/>
      <c r="DTP112" s="1740"/>
      <c r="DTQ112" s="1740"/>
      <c r="DTR112" s="1740"/>
      <c r="DTS112" s="1740"/>
      <c r="DTT112" s="1740"/>
      <c r="DTU112" s="1740"/>
      <c r="DTV112" s="1740"/>
      <c r="DTW112" s="1740"/>
      <c r="DTX112" s="1740"/>
      <c r="DTY112" s="1740"/>
      <c r="DTZ112" s="1740"/>
      <c r="DUA112" s="1740"/>
      <c r="DUB112" s="1740"/>
      <c r="DUC112" s="1740"/>
      <c r="DUD112" s="1740"/>
      <c r="DUE112" s="1740"/>
      <c r="DUF112" s="1740"/>
      <c r="DUG112" s="1740"/>
      <c r="DUH112" s="1740"/>
      <c r="DUI112" s="1740"/>
      <c r="DUJ112" s="1740"/>
      <c r="DUK112" s="1740"/>
      <c r="DUL112" s="1740"/>
      <c r="DUM112" s="1740"/>
      <c r="DUN112" s="1740"/>
      <c r="DUO112" s="1740"/>
      <c r="DUP112" s="1740"/>
      <c r="DUQ112" s="1740"/>
      <c r="DUR112" s="1740"/>
      <c r="DUS112" s="1740"/>
      <c r="DUT112" s="1740"/>
      <c r="DUU112" s="1740"/>
      <c r="DUV112" s="1740"/>
      <c r="DUW112" s="1740"/>
      <c r="DUX112" s="1740"/>
      <c r="DUY112" s="1740"/>
      <c r="DUZ112" s="1740"/>
      <c r="DVA112" s="1740"/>
      <c r="DVB112" s="1740"/>
      <c r="DVC112" s="1740"/>
      <c r="DVD112" s="1740"/>
      <c r="DVE112" s="1740"/>
      <c r="DVF112" s="1740"/>
      <c r="DVG112" s="1740"/>
      <c r="DVH112" s="1740"/>
      <c r="DVI112" s="1740"/>
      <c r="DVJ112" s="1740"/>
      <c r="DVK112" s="1740"/>
      <c r="DVL112" s="1740"/>
      <c r="DVM112" s="1740"/>
      <c r="DVN112" s="1740"/>
      <c r="DVO112" s="1740"/>
      <c r="DVP112" s="1740"/>
      <c r="DVQ112" s="1740"/>
      <c r="DVR112" s="1740"/>
      <c r="DVS112" s="1740"/>
      <c r="DVT112" s="1740"/>
      <c r="DVU112" s="1740"/>
      <c r="DVV112" s="1740"/>
      <c r="DVW112" s="1740"/>
      <c r="DVX112" s="1740"/>
      <c r="DVY112" s="1740"/>
      <c r="DVZ112" s="1740"/>
      <c r="DWA112" s="1740"/>
      <c r="DWB112" s="1740"/>
      <c r="DWC112" s="1740"/>
      <c r="DWD112" s="1740"/>
      <c r="DWE112" s="1740"/>
      <c r="DWF112" s="1740"/>
      <c r="DWG112" s="1740"/>
      <c r="DWH112" s="1740"/>
      <c r="DWI112" s="1740"/>
      <c r="DWJ112" s="1740"/>
      <c r="DWK112" s="1740"/>
      <c r="DWL112" s="1740"/>
      <c r="DWM112" s="1740"/>
      <c r="DWN112" s="1740"/>
      <c r="DWO112" s="1740"/>
      <c r="DWP112" s="1740"/>
      <c r="DWQ112" s="1740"/>
      <c r="DWR112" s="1740"/>
      <c r="DWS112" s="1740"/>
      <c r="DWT112" s="1740"/>
      <c r="DWU112" s="1740"/>
      <c r="DWV112" s="1740"/>
      <c r="DWW112" s="1740"/>
      <c r="DWX112" s="1740"/>
      <c r="DWY112" s="1740"/>
      <c r="DWZ112" s="1740"/>
      <c r="DXA112" s="1740"/>
      <c r="DXB112" s="1740"/>
      <c r="DXC112" s="1740"/>
      <c r="DXD112" s="1740"/>
      <c r="DXE112" s="1740"/>
      <c r="DXF112" s="1740"/>
      <c r="DXG112" s="1740"/>
      <c r="DXH112" s="1740"/>
      <c r="DXI112" s="1740"/>
      <c r="DXJ112" s="1740"/>
      <c r="DXK112" s="1740"/>
      <c r="DXL112" s="1740"/>
      <c r="DXM112" s="1740"/>
      <c r="DXN112" s="1740"/>
      <c r="DXO112" s="1740"/>
      <c r="DXP112" s="1740"/>
      <c r="DXQ112" s="1740"/>
      <c r="DXR112" s="1740"/>
      <c r="DXS112" s="1740"/>
      <c r="DXT112" s="1740"/>
      <c r="DXU112" s="1740"/>
      <c r="DXV112" s="1740"/>
      <c r="DXW112" s="1740"/>
      <c r="DXX112" s="1740"/>
      <c r="DXY112" s="1740"/>
      <c r="DXZ112" s="1740"/>
      <c r="DYA112" s="1740"/>
      <c r="DYB112" s="1740"/>
      <c r="DYC112" s="1740"/>
      <c r="DYD112" s="1740"/>
      <c r="DYE112" s="1740"/>
      <c r="DYF112" s="1740"/>
      <c r="DYG112" s="1740"/>
      <c r="DYH112" s="1740"/>
      <c r="DYI112" s="1740"/>
      <c r="DYJ112" s="1740"/>
      <c r="DYK112" s="1740"/>
      <c r="DYL112" s="1740"/>
      <c r="DYM112" s="1740"/>
      <c r="DYN112" s="1740"/>
      <c r="DYO112" s="1740"/>
      <c r="DYP112" s="1740"/>
      <c r="DYQ112" s="1740"/>
      <c r="DYR112" s="1740"/>
      <c r="DYS112" s="1740"/>
      <c r="DYT112" s="1740"/>
      <c r="DYU112" s="1740"/>
      <c r="DYV112" s="1740"/>
      <c r="DYW112" s="1740"/>
      <c r="DYX112" s="1740"/>
      <c r="DYY112" s="1740"/>
      <c r="DYZ112" s="1740"/>
      <c r="DZA112" s="1740"/>
      <c r="DZB112" s="1740"/>
      <c r="DZC112" s="1740"/>
      <c r="DZD112" s="1740"/>
      <c r="DZE112" s="1740"/>
      <c r="DZF112" s="1740"/>
      <c r="DZG112" s="1740"/>
      <c r="DZH112" s="1740"/>
      <c r="DZI112" s="1740"/>
      <c r="DZJ112" s="1740"/>
      <c r="DZK112" s="1740"/>
      <c r="DZL112" s="1740"/>
      <c r="DZM112" s="1740"/>
      <c r="DZN112" s="1740"/>
      <c r="DZO112" s="1740"/>
      <c r="DZP112" s="1740"/>
      <c r="DZQ112" s="1740"/>
      <c r="DZR112" s="1740"/>
      <c r="DZS112" s="1740"/>
      <c r="DZT112" s="1740"/>
      <c r="DZU112" s="1740"/>
      <c r="DZV112" s="1740"/>
      <c r="DZW112" s="1740"/>
      <c r="DZX112" s="1740"/>
      <c r="DZY112" s="1740"/>
      <c r="DZZ112" s="1740"/>
      <c r="EAA112" s="1740"/>
      <c r="EAB112" s="1740"/>
      <c r="EAC112" s="1740"/>
      <c r="EAD112" s="1740"/>
      <c r="EAE112" s="1740"/>
      <c r="EAF112" s="1740"/>
      <c r="EAG112" s="1740"/>
      <c r="EAH112" s="1740"/>
      <c r="EAI112" s="1740"/>
      <c r="EAJ112" s="1740"/>
      <c r="EAK112" s="1740"/>
      <c r="EAL112" s="1740"/>
      <c r="EAM112" s="1740"/>
      <c r="EAN112" s="1740"/>
      <c r="EAO112" s="1740"/>
      <c r="EAP112" s="1740"/>
      <c r="EAQ112" s="1740"/>
      <c r="EAR112" s="1740"/>
      <c r="EAS112" s="1740"/>
      <c r="EAT112" s="1740"/>
      <c r="EAU112" s="1740"/>
      <c r="EAV112" s="1740"/>
      <c r="EAW112" s="1740"/>
      <c r="EAX112" s="1740"/>
      <c r="EAY112" s="1740"/>
      <c r="EAZ112" s="1740"/>
      <c r="EBA112" s="1740"/>
      <c r="EBB112" s="1740"/>
      <c r="EBC112" s="1740"/>
      <c r="EBD112" s="1740"/>
      <c r="EBE112" s="1740"/>
      <c r="EBF112" s="1740"/>
      <c r="EBG112" s="1740"/>
      <c r="EBH112" s="1740"/>
      <c r="EBI112" s="1740"/>
      <c r="EBJ112" s="1740"/>
      <c r="EBK112" s="1740"/>
      <c r="EBL112" s="1740"/>
      <c r="EBM112" s="1740"/>
      <c r="EBN112" s="1740"/>
      <c r="EBO112" s="1740"/>
      <c r="EBP112" s="1740"/>
      <c r="EBQ112" s="1740"/>
      <c r="EBR112" s="1740"/>
      <c r="EBS112" s="1740"/>
      <c r="EBT112" s="1740"/>
      <c r="EBU112" s="1740"/>
      <c r="EBV112" s="1740"/>
      <c r="EBW112" s="1740"/>
      <c r="EBX112" s="1740"/>
      <c r="EBY112" s="1740"/>
      <c r="EBZ112" s="1740"/>
      <c r="ECA112" s="1740"/>
      <c r="ECB112" s="1740"/>
      <c r="ECC112" s="1740"/>
      <c r="ECD112" s="1740"/>
      <c r="ECE112" s="1740"/>
      <c r="ECF112" s="1740"/>
      <c r="ECG112" s="1740"/>
      <c r="ECH112" s="1740"/>
      <c r="ECI112" s="1740"/>
      <c r="ECJ112" s="1740"/>
      <c r="ECK112" s="1740"/>
      <c r="ECL112" s="1740"/>
      <c r="ECM112" s="1740"/>
      <c r="ECN112" s="1740"/>
      <c r="ECO112" s="1740"/>
      <c r="ECP112" s="1740"/>
      <c r="ECQ112" s="1740"/>
      <c r="ECR112" s="1740"/>
      <c r="ECS112" s="1740"/>
      <c r="ECT112" s="1740"/>
      <c r="ECU112" s="1740"/>
      <c r="ECV112" s="1740"/>
      <c r="ECW112" s="1740"/>
      <c r="ECX112" s="1740"/>
      <c r="ECY112" s="1740"/>
      <c r="ECZ112" s="1740"/>
      <c r="EDA112" s="1740"/>
      <c r="EDB112" s="1740"/>
      <c r="EDC112" s="1740"/>
      <c r="EDD112" s="1740"/>
      <c r="EDE112" s="1740"/>
      <c r="EDF112" s="1740"/>
      <c r="EDG112" s="1740"/>
      <c r="EDH112" s="1740"/>
      <c r="EDI112" s="1740"/>
      <c r="EDJ112" s="1740"/>
      <c r="EDK112" s="1740"/>
      <c r="EDL112" s="1740"/>
      <c r="EDM112" s="1740"/>
      <c r="EDN112" s="1740"/>
      <c r="EDO112" s="1740"/>
      <c r="EDP112" s="1740"/>
      <c r="EDQ112" s="1740"/>
      <c r="EDR112" s="1740"/>
      <c r="EDS112" s="1740"/>
      <c r="EDT112" s="1740"/>
      <c r="EDU112" s="1740"/>
      <c r="EDV112" s="1740"/>
      <c r="EDW112" s="1740"/>
      <c r="EDX112" s="1740"/>
      <c r="EDY112" s="1740"/>
      <c r="EDZ112" s="1740"/>
      <c r="EEA112" s="1740"/>
      <c r="EEB112" s="1740"/>
      <c r="EEC112" s="1740"/>
      <c r="EED112" s="1740"/>
      <c r="EEE112" s="1740"/>
      <c r="EEF112" s="1740"/>
      <c r="EEG112" s="1740"/>
      <c r="EEH112" s="1740"/>
      <c r="EEI112" s="1740"/>
      <c r="EEJ112" s="1740"/>
      <c r="EEK112" s="1740"/>
      <c r="EEL112" s="1740"/>
      <c r="EEM112" s="1740"/>
      <c r="EEN112" s="1740"/>
      <c r="EEO112" s="1740"/>
      <c r="EEP112" s="1740"/>
      <c r="EEQ112" s="1740"/>
      <c r="EER112" s="1740"/>
      <c r="EES112" s="1740"/>
      <c r="EET112" s="1740"/>
      <c r="EEU112" s="1740"/>
      <c r="EEV112" s="1740"/>
      <c r="EEW112" s="1740"/>
      <c r="EEX112" s="1740"/>
      <c r="EEY112" s="1740"/>
      <c r="EEZ112" s="1740"/>
      <c r="EFA112" s="1740"/>
      <c r="EFB112" s="1740"/>
      <c r="EFC112" s="1740"/>
      <c r="EFD112" s="1740"/>
      <c r="EFE112" s="1740"/>
      <c r="EFF112" s="1740"/>
      <c r="EFG112" s="1740"/>
      <c r="EFH112" s="1740"/>
      <c r="EFI112" s="1740"/>
      <c r="EFJ112" s="1740"/>
      <c r="EFK112" s="1740"/>
      <c r="EFL112" s="1740"/>
      <c r="EFM112" s="1740"/>
      <c r="EFN112" s="1740"/>
      <c r="EFO112" s="1740"/>
      <c r="EFP112" s="1740"/>
      <c r="EFQ112" s="1740"/>
      <c r="EFR112" s="1740"/>
      <c r="EFS112" s="1740"/>
      <c r="EFT112" s="1740"/>
      <c r="EFU112" s="1740"/>
      <c r="EFV112" s="1740"/>
      <c r="EFW112" s="1740"/>
      <c r="EFX112" s="1740"/>
      <c r="EFY112" s="1740"/>
      <c r="EFZ112" s="1740"/>
      <c r="EGA112" s="1740"/>
      <c r="EGB112" s="1740"/>
      <c r="EGC112" s="1740"/>
      <c r="EGD112" s="1740"/>
      <c r="EGE112" s="1740"/>
      <c r="EGF112" s="1740"/>
      <c r="EGG112" s="1740"/>
      <c r="EGH112" s="1740"/>
      <c r="EGI112" s="1740"/>
      <c r="EGJ112" s="1740"/>
      <c r="EGK112" s="1740"/>
      <c r="EGL112" s="1740"/>
      <c r="EGM112" s="1740"/>
      <c r="EGN112" s="1740"/>
      <c r="EGO112" s="1740"/>
      <c r="EGP112" s="1740"/>
      <c r="EGQ112" s="1740"/>
      <c r="EGR112" s="1740"/>
      <c r="EGS112" s="1740"/>
      <c r="EGT112" s="1740"/>
      <c r="EGU112" s="1740"/>
      <c r="EGV112" s="1740"/>
      <c r="EGW112" s="1740"/>
      <c r="EGX112" s="1740"/>
      <c r="EGY112" s="1740"/>
      <c r="EGZ112" s="1740"/>
      <c r="EHA112" s="1740"/>
      <c r="EHB112" s="1740"/>
      <c r="EHC112" s="1740"/>
      <c r="EHD112" s="1740"/>
      <c r="EHE112" s="1740"/>
      <c r="EHF112" s="1740"/>
      <c r="EHG112" s="1740"/>
      <c r="EHH112" s="1740"/>
      <c r="EHI112" s="1740"/>
      <c r="EHJ112" s="1740"/>
      <c r="EHK112" s="1740"/>
      <c r="EHL112" s="1740"/>
      <c r="EHM112" s="1740"/>
      <c r="EHN112" s="1740"/>
      <c r="EHO112" s="1740"/>
      <c r="EHP112" s="1740"/>
      <c r="EHQ112" s="1740"/>
      <c r="EHR112" s="1740"/>
      <c r="EHS112" s="1740"/>
      <c r="EHT112" s="1740"/>
      <c r="EHU112" s="1740"/>
      <c r="EHV112" s="1740"/>
      <c r="EHW112" s="1740"/>
      <c r="EHX112" s="1740"/>
      <c r="EHY112" s="1740"/>
      <c r="EHZ112" s="1740"/>
      <c r="EIA112" s="1740"/>
      <c r="EIB112" s="1740"/>
      <c r="EIC112" s="1740"/>
      <c r="EID112" s="1740"/>
      <c r="EIE112" s="1740"/>
      <c r="EIF112" s="1740"/>
      <c r="EIG112" s="1740"/>
      <c r="EIH112" s="1740"/>
      <c r="EII112" s="1740"/>
      <c r="EIJ112" s="1740"/>
      <c r="EIK112" s="1740"/>
      <c r="EIL112" s="1740"/>
      <c r="EIM112" s="1740"/>
      <c r="EIN112" s="1740"/>
      <c r="EIO112" s="1740"/>
      <c r="EIP112" s="1740"/>
      <c r="EIQ112" s="1740"/>
      <c r="EIR112" s="1740"/>
      <c r="EIS112" s="1740"/>
      <c r="EIT112" s="1740"/>
      <c r="EIU112" s="1740"/>
      <c r="EIV112" s="1740"/>
      <c r="EIW112" s="1740"/>
      <c r="EIX112" s="1740"/>
      <c r="EIY112" s="1740"/>
      <c r="EIZ112" s="1740"/>
      <c r="EJA112" s="1740"/>
      <c r="EJB112" s="1740"/>
      <c r="EJC112" s="1740"/>
      <c r="EJD112" s="1740"/>
      <c r="EJE112" s="1740"/>
      <c r="EJF112" s="1740"/>
      <c r="EJG112" s="1740"/>
      <c r="EJH112" s="1740"/>
      <c r="EJI112" s="1740"/>
      <c r="EJJ112" s="1740"/>
      <c r="EJK112" s="1740"/>
      <c r="EJL112" s="1740"/>
      <c r="EJM112" s="1740"/>
      <c r="EJN112" s="1740"/>
      <c r="EJO112" s="1740"/>
      <c r="EJP112" s="1740"/>
      <c r="EJQ112" s="1740"/>
      <c r="EJR112" s="1740"/>
      <c r="EJS112" s="1740"/>
      <c r="EJT112" s="1740"/>
      <c r="EJU112" s="1740"/>
      <c r="EJV112" s="1740"/>
      <c r="EJW112" s="1740"/>
      <c r="EJX112" s="1740"/>
      <c r="EJY112" s="1740"/>
      <c r="EJZ112" s="1740"/>
      <c r="EKA112" s="1740"/>
      <c r="EKB112" s="1740"/>
      <c r="EKC112" s="1740"/>
      <c r="EKD112" s="1740"/>
      <c r="EKE112" s="1740"/>
      <c r="EKF112" s="1740"/>
      <c r="EKG112" s="1740"/>
      <c r="EKH112" s="1740"/>
      <c r="EKI112" s="1740"/>
      <c r="EKJ112" s="1740"/>
      <c r="EKK112" s="1740"/>
      <c r="EKL112" s="1740"/>
      <c r="EKM112" s="1740"/>
      <c r="EKN112" s="1740"/>
      <c r="EKO112" s="1740"/>
      <c r="EKP112" s="1740"/>
      <c r="EKQ112" s="1740"/>
      <c r="EKR112" s="1740"/>
      <c r="EKS112" s="1740"/>
      <c r="EKT112" s="1740"/>
      <c r="EKU112" s="1740"/>
      <c r="EKV112" s="1740"/>
      <c r="EKW112" s="1740"/>
      <c r="EKX112" s="1740"/>
      <c r="EKY112" s="1740"/>
      <c r="EKZ112" s="1740"/>
      <c r="ELA112" s="1740"/>
      <c r="ELB112" s="1740"/>
      <c r="ELC112" s="1740"/>
      <c r="ELD112" s="1740"/>
      <c r="ELE112" s="1740"/>
      <c r="ELF112" s="1740"/>
      <c r="ELG112" s="1740"/>
      <c r="ELH112" s="1740"/>
      <c r="ELI112" s="1740"/>
      <c r="ELJ112" s="1740"/>
      <c r="ELK112" s="1740"/>
      <c r="ELL112" s="1740"/>
      <c r="ELM112" s="1740"/>
      <c r="ELN112" s="1740"/>
      <c r="ELO112" s="1740"/>
      <c r="ELP112" s="1740"/>
      <c r="ELQ112" s="1740"/>
      <c r="ELR112" s="1740"/>
      <c r="ELS112" s="1740"/>
      <c r="ELT112" s="1740"/>
      <c r="ELU112" s="1740"/>
      <c r="ELV112" s="1740"/>
      <c r="ELW112" s="1740"/>
      <c r="ELX112" s="1740"/>
      <c r="ELY112" s="1740"/>
      <c r="ELZ112" s="1740"/>
      <c r="EMA112" s="1740"/>
      <c r="EMB112" s="1740"/>
      <c r="EMC112" s="1740"/>
      <c r="EMD112" s="1740"/>
      <c r="EME112" s="1740"/>
      <c r="EMF112" s="1740"/>
      <c r="EMG112" s="1740"/>
      <c r="EMH112" s="1740"/>
      <c r="EMI112" s="1740"/>
      <c r="EMJ112" s="1740"/>
      <c r="EMK112" s="1740"/>
      <c r="EML112" s="1740"/>
      <c r="EMM112" s="1740"/>
      <c r="EMN112" s="1740"/>
      <c r="EMO112" s="1740"/>
      <c r="EMP112" s="1740"/>
      <c r="EMQ112" s="1740"/>
      <c r="EMR112" s="1740"/>
      <c r="EMS112" s="1740"/>
      <c r="EMT112" s="1740"/>
      <c r="EMU112" s="1740"/>
      <c r="EMV112" s="1740"/>
      <c r="EMW112" s="1740"/>
      <c r="EMX112" s="1740"/>
      <c r="EMY112" s="1740"/>
      <c r="EMZ112" s="1740"/>
      <c r="ENA112" s="1740"/>
      <c r="ENB112" s="1740"/>
      <c r="ENC112" s="1740"/>
      <c r="END112" s="1740"/>
      <c r="ENE112" s="1740"/>
      <c r="ENF112" s="1740"/>
      <c r="ENG112" s="1740"/>
      <c r="ENH112" s="1740"/>
      <c r="ENI112" s="1740"/>
      <c r="ENJ112" s="1740"/>
      <c r="ENK112" s="1740"/>
      <c r="ENL112" s="1740"/>
      <c r="ENM112" s="1740"/>
      <c r="ENN112" s="1740"/>
      <c r="ENO112" s="1740"/>
      <c r="ENP112" s="1740"/>
      <c r="ENQ112" s="1740"/>
      <c r="ENR112" s="1740"/>
      <c r="ENS112" s="1740"/>
      <c r="ENT112" s="1740"/>
      <c r="ENU112" s="1740"/>
      <c r="ENV112" s="1740"/>
      <c r="ENW112" s="1740"/>
      <c r="ENX112" s="1740"/>
      <c r="ENY112" s="1740"/>
      <c r="ENZ112" s="1740"/>
      <c r="EOA112" s="1740"/>
      <c r="EOB112" s="1740"/>
      <c r="EOC112" s="1740"/>
      <c r="EOD112" s="1740"/>
      <c r="EOE112" s="1740"/>
      <c r="EOF112" s="1740"/>
      <c r="EOG112" s="1740"/>
      <c r="EOH112" s="1740"/>
      <c r="EOI112" s="1740"/>
      <c r="EOJ112" s="1740"/>
      <c r="EOK112" s="1740"/>
      <c r="EOL112" s="1740"/>
      <c r="EOM112" s="1740"/>
      <c r="EON112" s="1740"/>
      <c r="EOO112" s="1740"/>
      <c r="EOP112" s="1740"/>
      <c r="EOQ112" s="1740"/>
      <c r="EOR112" s="1740"/>
      <c r="EOS112" s="1740"/>
      <c r="EOT112" s="1740"/>
      <c r="EOU112" s="1740"/>
      <c r="EOV112" s="1740"/>
      <c r="EOW112" s="1740"/>
      <c r="EOX112" s="1740"/>
      <c r="EOY112" s="1740"/>
      <c r="EOZ112" s="1740"/>
      <c r="EPA112" s="1740"/>
      <c r="EPB112" s="1740"/>
      <c r="EPC112" s="1740"/>
      <c r="EPD112" s="1740"/>
      <c r="EPE112" s="1740"/>
      <c r="EPF112" s="1740"/>
      <c r="EPG112" s="1740"/>
      <c r="EPH112" s="1740"/>
      <c r="EPI112" s="1740"/>
      <c r="EPJ112" s="1740"/>
      <c r="EPK112" s="1740"/>
      <c r="EPL112" s="1740"/>
      <c r="EPM112" s="1740"/>
      <c r="EPN112" s="1740"/>
      <c r="EPO112" s="1740"/>
      <c r="EPP112" s="1740"/>
      <c r="EPQ112" s="1740"/>
      <c r="EPR112" s="1740"/>
      <c r="EPS112" s="1740"/>
      <c r="EPT112" s="1740"/>
      <c r="EPU112" s="1740"/>
      <c r="EPV112" s="1740"/>
      <c r="EPW112" s="1740"/>
      <c r="EPX112" s="1740"/>
      <c r="EPY112" s="1740"/>
      <c r="EPZ112" s="1740"/>
      <c r="EQA112" s="1740"/>
      <c r="EQB112" s="1740"/>
      <c r="EQC112" s="1740"/>
      <c r="EQD112" s="1740"/>
      <c r="EQE112" s="1740"/>
      <c r="EQF112" s="1740"/>
      <c r="EQG112" s="1740"/>
      <c r="EQH112" s="1740"/>
      <c r="EQI112" s="1740"/>
      <c r="EQJ112" s="1740"/>
      <c r="EQK112" s="1740"/>
      <c r="EQL112" s="1740"/>
      <c r="EQM112" s="1740"/>
      <c r="EQN112" s="1740"/>
      <c r="EQO112" s="1740"/>
      <c r="EQP112" s="1740"/>
      <c r="EQQ112" s="1740"/>
      <c r="EQR112" s="1740"/>
      <c r="EQS112" s="1740"/>
      <c r="EQT112" s="1740"/>
      <c r="EQU112" s="1740"/>
      <c r="EQV112" s="1740"/>
      <c r="EQW112" s="1740"/>
      <c r="EQX112" s="1740"/>
      <c r="EQY112" s="1740"/>
      <c r="EQZ112" s="1740"/>
      <c r="ERA112" s="1740"/>
      <c r="ERB112" s="1740"/>
      <c r="ERC112" s="1740"/>
      <c r="ERD112" s="1740"/>
      <c r="ERE112" s="1740"/>
      <c r="ERF112" s="1740"/>
      <c r="ERG112" s="1740"/>
      <c r="ERH112" s="1740"/>
      <c r="ERI112" s="1740"/>
      <c r="ERJ112" s="1740"/>
      <c r="ERK112" s="1740"/>
      <c r="ERL112" s="1740"/>
      <c r="ERM112" s="1740"/>
      <c r="ERN112" s="1740"/>
      <c r="ERO112" s="1740"/>
      <c r="ERP112" s="1740"/>
      <c r="ERQ112" s="1740"/>
      <c r="ERR112" s="1740"/>
      <c r="ERS112" s="1740"/>
      <c r="ERT112" s="1740"/>
      <c r="ERU112" s="1740"/>
      <c r="ERV112" s="1740"/>
      <c r="ERW112" s="1740"/>
      <c r="ERX112" s="1740"/>
      <c r="ERY112" s="1740"/>
      <c r="ERZ112" s="1740"/>
      <c r="ESA112" s="1740"/>
      <c r="ESB112" s="1740"/>
      <c r="ESC112" s="1740"/>
      <c r="ESD112" s="1740"/>
      <c r="ESE112" s="1740"/>
      <c r="ESF112" s="1740"/>
      <c r="ESG112" s="1740"/>
      <c r="ESH112" s="1740"/>
      <c r="ESI112" s="1740"/>
      <c r="ESJ112" s="1740"/>
      <c r="ESK112" s="1740"/>
      <c r="ESL112" s="1740"/>
      <c r="ESM112" s="1740"/>
      <c r="ESN112" s="1740"/>
      <c r="ESO112" s="1740"/>
      <c r="ESP112" s="1740"/>
      <c r="ESQ112" s="1740"/>
      <c r="ESR112" s="1740"/>
      <c r="ESS112" s="1740"/>
      <c r="EST112" s="1740"/>
      <c r="ESU112" s="1740"/>
      <c r="ESV112" s="1740"/>
      <c r="ESW112" s="1740"/>
      <c r="ESX112" s="1740"/>
      <c r="ESY112" s="1740"/>
      <c r="ESZ112" s="1740"/>
      <c r="ETA112" s="1740"/>
      <c r="ETB112" s="1740"/>
      <c r="ETC112" s="1740"/>
      <c r="ETD112" s="1740"/>
      <c r="ETE112" s="1740"/>
      <c r="ETF112" s="1740"/>
      <c r="ETG112" s="1740"/>
      <c r="ETH112" s="1740"/>
      <c r="ETI112" s="1740"/>
      <c r="ETJ112" s="1740"/>
      <c r="ETK112" s="1740"/>
      <c r="ETL112" s="1740"/>
      <c r="ETM112" s="1740"/>
      <c r="ETN112" s="1740"/>
      <c r="ETO112" s="1740"/>
      <c r="ETP112" s="1740"/>
      <c r="ETQ112" s="1740"/>
      <c r="ETR112" s="1740"/>
      <c r="ETS112" s="1740"/>
      <c r="ETT112" s="1740"/>
      <c r="ETU112" s="1740"/>
      <c r="ETV112" s="1740"/>
      <c r="ETW112" s="1740"/>
      <c r="ETX112" s="1740"/>
      <c r="ETY112" s="1740"/>
      <c r="ETZ112" s="1740"/>
      <c r="EUA112" s="1740"/>
      <c r="EUB112" s="1740"/>
      <c r="EUC112" s="1740"/>
      <c r="EUD112" s="1740"/>
      <c r="EUE112" s="1740"/>
      <c r="EUF112" s="1740"/>
      <c r="EUG112" s="1740"/>
      <c r="EUH112" s="1740"/>
      <c r="EUI112" s="1740"/>
      <c r="EUJ112" s="1740"/>
      <c r="EUK112" s="1740"/>
      <c r="EUL112" s="1740"/>
      <c r="EUM112" s="1740"/>
      <c r="EUN112" s="1740"/>
      <c r="EUO112" s="1740"/>
      <c r="EUP112" s="1740"/>
      <c r="EUQ112" s="1740"/>
      <c r="EUR112" s="1740"/>
      <c r="EUS112" s="1740"/>
      <c r="EUT112" s="1740"/>
      <c r="EUU112" s="1740"/>
      <c r="EUV112" s="1740"/>
      <c r="EUW112" s="1740"/>
      <c r="EUX112" s="1740"/>
      <c r="EUY112" s="1740"/>
      <c r="EUZ112" s="1740"/>
      <c r="EVA112" s="1740"/>
      <c r="EVB112" s="1740"/>
      <c r="EVC112" s="1740"/>
      <c r="EVD112" s="1740"/>
      <c r="EVE112" s="1740"/>
      <c r="EVF112" s="1740"/>
      <c r="EVG112" s="1740"/>
      <c r="EVH112" s="1740"/>
      <c r="EVI112" s="1740"/>
      <c r="EVJ112" s="1740"/>
      <c r="EVK112" s="1740"/>
      <c r="EVL112" s="1740"/>
      <c r="EVM112" s="1740"/>
      <c r="EVN112" s="1740"/>
      <c r="EVO112" s="1740"/>
      <c r="EVP112" s="1740"/>
      <c r="EVQ112" s="1740"/>
      <c r="EVR112" s="1740"/>
      <c r="EVS112" s="1740"/>
      <c r="EVT112" s="1740"/>
      <c r="EVU112" s="1740"/>
      <c r="EVV112" s="1740"/>
      <c r="EVW112" s="1740"/>
      <c r="EVX112" s="1740"/>
      <c r="EVY112" s="1740"/>
      <c r="EVZ112" s="1740"/>
      <c r="EWA112" s="1740"/>
      <c r="EWB112" s="1740"/>
      <c r="EWC112" s="1740"/>
      <c r="EWD112" s="1740"/>
      <c r="EWE112" s="1740"/>
      <c r="EWF112" s="1740"/>
      <c r="EWG112" s="1740"/>
      <c r="EWH112" s="1740"/>
      <c r="EWI112" s="1740"/>
      <c r="EWJ112" s="1740"/>
      <c r="EWK112" s="1740"/>
      <c r="EWL112" s="1740"/>
      <c r="EWM112" s="1740"/>
      <c r="EWN112" s="1740"/>
      <c r="EWO112" s="1740"/>
      <c r="EWP112" s="1740"/>
      <c r="EWQ112" s="1740"/>
      <c r="EWR112" s="1740"/>
      <c r="EWS112" s="1740"/>
      <c r="EWT112" s="1740"/>
      <c r="EWU112" s="1740"/>
      <c r="EWV112" s="1740"/>
      <c r="EWW112" s="1740"/>
      <c r="EWX112" s="1740"/>
      <c r="EWY112" s="1740"/>
      <c r="EWZ112" s="1740"/>
      <c r="EXA112" s="1740"/>
      <c r="EXB112" s="1740"/>
      <c r="EXC112" s="1740"/>
      <c r="EXD112" s="1740"/>
      <c r="EXE112" s="1740"/>
      <c r="EXF112" s="1740"/>
      <c r="EXG112" s="1740"/>
      <c r="EXH112" s="1740"/>
      <c r="EXI112" s="1740"/>
      <c r="EXJ112" s="1740"/>
      <c r="EXK112" s="1740"/>
      <c r="EXL112" s="1740"/>
      <c r="EXM112" s="1740"/>
      <c r="EXN112" s="1740"/>
      <c r="EXO112" s="1740"/>
      <c r="EXP112" s="1740"/>
      <c r="EXQ112" s="1740"/>
      <c r="EXR112" s="1740"/>
      <c r="EXS112" s="1740"/>
      <c r="EXT112" s="1740"/>
      <c r="EXU112" s="1740"/>
      <c r="EXV112" s="1740"/>
      <c r="EXW112" s="1740"/>
      <c r="EXX112" s="1740"/>
      <c r="EXY112" s="1740"/>
      <c r="EXZ112" s="1740"/>
      <c r="EYA112" s="1740"/>
      <c r="EYB112" s="1740"/>
      <c r="EYC112" s="1740"/>
      <c r="EYD112" s="1740"/>
      <c r="EYE112" s="1740"/>
      <c r="EYF112" s="1740"/>
      <c r="EYG112" s="1740"/>
      <c r="EYH112" s="1740"/>
      <c r="EYI112" s="1740"/>
      <c r="EYJ112" s="1740"/>
      <c r="EYK112" s="1740"/>
      <c r="EYL112" s="1740"/>
      <c r="EYM112" s="1740"/>
      <c r="EYN112" s="1740"/>
      <c r="EYO112" s="1740"/>
      <c r="EYP112" s="1740"/>
      <c r="EYQ112" s="1740"/>
      <c r="EYR112" s="1740"/>
      <c r="EYS112" s="1740"/>
      <c r="EYT112" s="1740"/>
      <c r="EYU112" s="1740"/>
      <c r="EYV112" s="1740"/>
      <c r="EYW112" s="1740"/>
      <c r="EYX112" s="1740"/>
      <c r="EYY112" s="1740"/>
      <c r="EYZ112" s="1740"/>
      <c r="EZA112" s="1740"/>
      <c r="EZB112" s="1740"/>
      <c r="EZC112" s="1740"/>
      <c r="EZD112" s="1740"/>
      <c r="EZE112" s="1740"/>
      <c r="EZF112" s="1740"/>
      <c r="EZG112" s="1740"/>
      <c r="EZH112" s="1740"/>
      <c r="EZI112" s="1740"/>
      <c r="EZJ112" s="1740"/>
      <c r="EZK112" s="1740"/>
      <c r="EZL112" s="1740"/>
      <c r="EZM112" s="1740"/>
      <c r="EZN112" s="1740"/>
      <c r="EZO112" s="1740"/>
      <c r="EZP112" s="1740"/>
      <c r="EZQ112" s="1740"/>
      <c r="EZR112" s="1740"/>
      <c r="EZS112" s="1740"/>
      <c r="EZT112" s="1740"/>
      <c r="EZU112" s="1740"/>
      <c r="EZV112" s="1740"/>
      <c r="EZW112" s="1740"/>
      <c r="EZX112" s="1740"/>
      <c r="EZY112" s="1740"/>
      <c r="EZZ112" s="1740"/>
      <c r="FAA112" s="1740"/>
      <c r="FAB112" s="1740"/>
      <c r="FAC112" s="1740"/>
      <c r="FAD112" s="1740"/>
      <c r="FAE112" s="1740"/>
      <c r="FAF112" s="1740"/>
      <c r="FAG112" s="1740"/>
      <c r="FAH112" s="1740"/>
      <c r="FAI112" s="1740"/>
      <c r="FAJ112" s="1740"/>
      <c r="FAK112" s="1740"/>
      <c r="FAL112" s="1740"/>
      <c r="FAM112" s="1740"/>
      <c r="FAN112" s="1740"/>
      <c r="FAO112" s="1740"/>
      <c r="FAP112" s="1740"/>
      <c r="FAQ112" s="1740"/>
      <c r="FAR112" s="1740"/>
      <c r="FAS112" s="1740"/>
      <c r="FAT112" s="1740"/>
      <c r="FAU112" s="1740"/>
      <c r="FAV112" s="1740"/>
      <c r="FAW112" s="1740"/>
      <c r="FAX112" s="1740"/>
      <c r="FAY112" s="1740"/>
      <c r="FAZ112" s="1740"/>
      <c r="FBA112" s="1740"/>
      <c r="FBB112" s="1740"/>
      <c r="FBC112" s="1740"/>
      <c r="FBD112" s="1740"/>
      <c r="FBE112" s="1740"/>
      <c r="FBF112" s="1740"/>
      <c r="FBG112" s="1740"/>
      <c r="FBH112" s="1740"/>
      <c r="FBI112" s="1740"/>
      <c r="FBJ112" s="1740"/>
      <c r="FBK112" s="1740"/>
      <c r="FBL112" s="1740"/>
      <c r="FBM112" s="1740"/>
      <c r="FBN112" s="1740"/>
      <c r="FBO112" s="1740"/>
      <c r="FBP112" s="1740"/>
      <c r="FBQ112" s="1740"/>
      <c r="FBR112" s="1740"/>
      <c r="FBS112" s="1740"/>
      <c r="FBT112" s="1740"/>
      <c r="FBU112" s="1740"/>
      <c r="FBV112" s="1740"/>
      <c r="FBW112" s="1740"/>
      <c r="FBX112" s="1740"/>
      <c r="FBY112" s="1740"/>
      <c r="FBZ112" s="1740"/>
      <c r="FCA112" s="1740"/>
      <c r="FCB112" s="1740"/>
      <c r="FCC112" s="1740"/>
      <c r="FCD112" s="1740"/>
      <c r="FCE112" s="1740"/>
      <c r="FCF112" s="1740"/>
      <c r="FCG112" s="1740"/>
      <c r="FCH112" s="1740"/>
      <c r="FCI112" s="1740"/>
      <c r="FCJ112" s="1740"/>
      <c r="FCK112" s="1740"/>
      <c r="FCL112" s="1740"/>
      <c r="FCM112" s="1740"/>
      <c r="FCN112" s="1740"/>
      <c r="FCO112" s="1740"/>
      <c r="FCP112" s="1740"/>
      <c r="FCQ112" s="1740"/>
      <c r="FCR112" s="1740"/>
      <c r="FCS112" s="1740"/>
      <c r="FCT112" s="1740"/>
      <c r="FCU112" s="1740"/>
      <c r="FCV112" s="1740"/>
      <c r="FCW112" s="1740"/>
      <c r="FCX112" s="1740"/>
      <c r="FCY112" s="1740"/>
      <c r="FCZ112" s="1740"/>
      <c r="FDA112" s="1740"/>
      <c r="FDB112" s="1740"/>
      <c r="FDC112" s="1740"/>
      <c r="FDD112" s="1740"/>
      <c r="FDE112" s="1740"/>
      <c r="FDF112" s="1740"/>
      <c r="FDG112" s="1740"/>
      <c r="FDH112" s="1740"/>
      <c r="FDI112" s="1740"/>
      <c r="FDJ112" s="1740"/>
      <c r="FDK112" s="1740"/>
      <c r="FDL112" s="1740"/>
      <c r="FDM112" s="1740"/>
      <c r="FDN112" s="1740"/>
      <c r="FDO112" s="1740"/>
      <c r="FDP112" s="1740"/>
      <c r="FDQ112" s="1740"/>
      <c r="FDR112" s="1740"/>
      <c r="FDS112" s="1740"/>
      <c r="FDT112" s="1740"/>
      <c r="FDU112" s="1740"/>
      <c r="FDV112" s="1740"/>
      <c r="FDW112" s="1740"/>
      <c r="FDX112" s="1740"/>
      <c r="FDY112" s="1740"/>
      <c r="FDZ112" s="1740"/>
      <c r="FEA112" s="1740"/>
      <c r="FEB112" s="1740"/>
      <c r="FEC112" s="1740"/>
      <c r="FED112" s="1740"/>
      <c r="FEE112" s="1740"/>
      <c r="FEF112" s="1740"/>
      <c r="FEG112" s="1740"/>
      <c r="FEH112" s="1740"/>
      <c r="FEI112" s="1740"/>
      <c r="FEJ112" s="1740"/>
      <c r="FEK112" s="1740"/>
      <c r="FEL112" s="1740"/>
      <c r="FEM112" s="1740"/>
      <c r="FEN112" s="1740"/>
      <c r="FEO112" s="1740"/>
      <c r="FEP112" s="1740"/>
      <c r="FEQ112" s="1740"/>
      <c r="FER112" s="1740"/>
      <c r="FES112" s="1740"/>
      <c r="FET112" s="1740"/>
      <c r="FEU112" s="1740"/>
      <c r="FEV112" s="1740"/>
      <c r="FEW112" s="1740"/>
      <c r="FEX112" s="1740"/>
      <c r="FEY112" s="1740"/>
      <c r="FEZ112" s="1740"/>
      <c r="FFA112" s="1740"/>
      <c r="FFB112" s="1740"/>
      <c r="FFC112" s="1740"/>
      <c r="FFD112" s="1740"/>
      <c r="FFE112" s="1740"/>
      <c r="FFF112" s="1740"/>
      <c r="FFG112" s="1740"/>
      <c r="FFH112" s="1740"/>
      <c r="FFI112" s="1740"/>
      <c r="FFJ112" s="1740"/>
      <c r="FFK112" s="1740"/>
      <c r="FFL112" s="1740"/>
      <c r="FFM112" s="1740"/>
      <c r="FFN112" s="1740"/>
      <c r="FFO112" s="1740"/>
      <c r="FFP112" s="1740"/>
      <c r="FFQ112" s="1740"/>
      <c r="FFR112" s="1740"/>
      <c r="FFS112" s="1740"/>
      <c r="FFT112" s="1740"/>
      <c r="FFU112" s="1740"/>
      <c r="FFV112" s="1740"/>
      <c r="FFW112" s="1740"/>
      <c r="FFX112" s="1740"/>
      <c r="FFY112" s="1740"/>
      <c r="FFZ112" s="1740"/>
      <c r="FGA112" s="1740"/>
      <c r="FGB112" s="1740"/>
      <c r="FGC112" s="1740"/>
      <c r="FGD112" s="1740"/>
      <c r="FGE112" s="1740"/>
      <c r="FGF112" s="1740"/>
      <c r="FGG112" s="1740"/>
      <c r="FGH112" s="1740"/>
      <c r="FGI112" s="1740"/>
      <c r="FGJ112" s="1740"/>
      <c r="FGK112" s="1740"/>
      <c r="FGL112" s="1740"/>
      <c r="FGM112" s="1740"/>
      <c r="FGN112" s="1740"/>
      <c r="FGO112" s="1740"/>
      <c r="FGP112" s="1740"/>
      <c r="FGQ112" s="1740"/>
      <c r="FGR112" s="1740"/>
      <c r="FGS112" s="1740"/>
      <c r="FGT112" s="1740"/>
      <c r="FGU112" s="1740"/>
      <c r="FGV112" s="1740"/>
      <c r="FGW112" s="1740"/>
      <c r="FGX112" s="1740"/>
      <c r="FGY112" s="1740"/>
      <c r="FGZ112" s="1740"/>
      <c r="FHA112" s="1740"/>
      <c r="FHB112" s="1740"/>
      <c r="FHC112" s="1740"/>
      <c r="FHD112" s="1740"/>
      <c r="FHE112" s="1740"/>
      <c r="FHF112" s="1740"/>
      <c r="FHG112" s="1740"/>
      <c r="FHH112" s="1740"/>
      <c r="FHI112" s="1740"/>
      <c r="FHJ112" s="1740"/>
      <c r="FHK112" s="1740"/>
      <c r="FHL112" s="1740"/>
      <c r="FHM112" s="1740"/>
      <c r="FHN112" s="1740"/>
      <c r="FHO112" s="1740"/>
      <c r="FHP112" s="1740"/>
      <c r="FHQ112" s="1740"/>
      <c r="FHR112" s="1740"/>
      <c r="FHS112" s="1740"/>
      <c r="FHT112" s="1740"/>
      <c r="FHU112" s="1740"/>
      <c r="FHV112" s="1740"/>
      <c r="FHW112" s="1740"/>
      <c r="FHX112" s="1740"/>
      <c r="FHY112" s="1740"/>
      <c r="FHZ112" s="1740"/>
      <c r="FIA112" s="1740"/>
      <c r="FIB112" s="1740"/>
      <c r="FIC112" s="1740"/>
      <c r="FID112" s="1740"/>
      <c r="FIE112" s="1740"/>
      <c r="FIF112" s="1740"/>
      <c r="FIG112" s="1740"/>
      <c r="FIH112" s="1740"/>
      <c r="FII112" s="1740"/>
      <c r="FIJ112" s="1740"/>
      <c r="FIK112" s="1740"/>
      <c r="FIL112" s="1740"/>
      <c r="FIM112" s="1740"/>
      <c r="FIN112" s="1740"/>
      <c r="FIO112" s="1740"/>
      <c r="FIP112" s="1740"/>
      <c r="FIQ112" s="1740"/>
      <c r="FIR112" s="1740"/>
      <c r="FIS112" s="1740"/>
      <c r="FIT112" s="1740"/>
      <c r="FIU112" s="1740"/>
      <c r="FIV112" s="1740"/>
      <c r="FIW112" s="1740"/>
      <c r="FIX112" s="1740"/>
      <c r="FIY112" s="1740"/>
      <c r="FIZ112" s="1740"/>
      <c r="FJA112" s="1740"/>
      <c r="FJB112" s="1740"/>
      <c r="FJC112" s="1740"/>
      <c r="FJD112" s="1740"/>
      <c r="FJE112" s="1740"/>
      <c r="FJF112" s="1740"/>
      <c r="FJG112" s="1740"/>
      <c r="FJH112" s="1740"/>
      <c r="FJI112" s="1740"/>
      <c r="FJJ112" s="1740"/>
      <c r="FJK112" s="1740"/>
      <c r="FJL112" s="1740"/>
      <c r="FJM112" s="1740"/>
      <c r="FJN112" s="1740"/>
      <c r="FJO112" s="1740"/>
      <c r="FJP112" s="1740"/>
      <c r="FJQ112" s="1740"/>
      <c r="FJR112" s="1740"/>
      <c r="FJS112" s="1740"/>
      <c r="FJT112" s="1740"/>
      <c r="FJU112" s="1740"/>
      <c r="FJV112" s="1740"/>
      <c r="FJW112" s="1740"/>
      <c r="FJX112" s="1740"/>
      <c r="FJY112" s="1740"/>
      <c r="FJZ112" s="1740"/>
      <c r="FKA112" s="1740"/>
      <c r="FKB112" s="1740"/>
      <c r="FKC112" s="1740"/>
      <c r="FKD112" s="1740"/>
      <c r="FKE112" s="1740"/>
      <c r="FKF112" s="1740"/>
      <c r="FKG112" s="1740"/>
      <c r="FKH112" s="1740"/>
      <c r="FKI112" s="1740"/>
      <c r="FKJ112" s="1740"/>
      <c r="FKK112" s="1740"/>
      <c r="FKL112" s="1740"/>
      <c r="FKM112" s="1740"/>
      <c r="FKN112" s="1740"/>
      <c r="FKO112" s="1740"/>
      <c r="FKP112" s="1740"/>
      <c r="FKQ112" s="1740"/>
      <c r="FKR112" s="1740"/>
      <c r="FKS112" s="1740"/>
      <c r="FKT112" s="1740"/>
      <c r="FKU112" s="1740"/>
      <c r="FKV112" s="1740"/>
      <c r="FKW112" s="1740"/>
      <c r="FKX112" s="1740"/>
      <c r="FKY112" s="1740"/>
      <c r="FKZ112" s="1740"/>
      <c r="FLA112" s="1740"/>
      <c r="FLB112" s="1740"/>
      <c r="FLC112" s="1740"/>
      <c r="FLD112" s="1740"/>
      <c r="FLE112" s="1740"/>
      <c r="FLF112" s="1740"/>
      <c r="FLG112" s="1740"/>
      <c r="FLH112" s="1740"/>
      <c r="FLI112" s="1740"/>
      <c r="FLJ112" s="1740"/>
      <c r="FLK112" s="1740"/>
      <c r="FLL112" s="1740"/>
      <c r="FLM112" s="1740"/>
      <c r="FLN112" s="1740"/>
      <c r="FLO112" s="1740"/>
      <c r="FLP112" s="1740"/>
      <c r="FLQ112" s="1740"/>
      <c r="FLR112" s="1740"/>
      <c r="FLS112" s="1740"/>
      <c r="FLT112" s="1740"/>
      <c r="FLU112" s="1740"/>
      <c r="FLV112" s="1740"/>
      <c r="FLW112" s="1740"/>
      <c r="FLX112" s="1740"/>
      <c r="FLY112" s="1740"/>
      <c r="FLZ112" s="1740"/>
      <c r="FMA112" s="1740"/>
      <c r="FMB112" s="1740"/>
      <c r="FMC112" s="1740"/>
      <c r="FMD112" s="1740"/>
      <c r="FME112" s="1740"/>
      <c r="FMF112" s="1740"/>
      <c r="FMG112" s="1740"/>
      <c r="FMH112" s="1740"/>
      <c r="FMI112" s="1740"/>
      <c r="FMJ112" s="1740"/>
      <c r="FMK112" s="1740"/>
      <c r="FML112" s="1740"/>
      <c r="FMM112" s="1740"/>
      <c r="FMN112" s="1740"/>
      <c r="FMO112" s="1740"/>
      <c r="FMP112" s="1740"/>
      <c r="FMQ112" s="1740"/>
      <c r="FMR112" s="1740"/>
      <c r="FMS112" s="1740"/>
      <c r="FMT112" s="1740"/>
      <c r="FMU112" s="1740"/>
      <c r="FMV112" s="1740"/>
      <c r="FMW112" s="1740"/>
      <c r="FMX112" s="1740"/>
      <c r="FMY112" s="1740"/>
      <c r="FMZ112" s="1740"/>
      <c r="FNA112" s="1740"/>
      <c r="FNB112" s="1740"/>
      <c r="FNC112" s="1740"/>
      <c r="FND112" s="1740"/>
      <c r="FNE112" s="1740"/>
      <c r="FNF112" s="1740"/>
      <c r="FNG112" s="1740"/>
      <c r="FNH112" s="1740"/>
      <c r="FNI112" s="1740"/>
      <c r="FNJ112" s="1740"/>
      <c r="FNK112" s="1740"/>
      <c r="FNL112" s="1740"/>
      <c r="FNM112" s="1740"/>
      <c r="FNN112" s="1740"/>
      <c r="FNO112" s="1740"/>
      <c r="FNP112" s="1740"/>
      <c r="FNQ112" s="1740"/>
      <c r="FNR112" s="1740"/>
      <c r="FNS112" s="1740"/>
      <c r="FNT112" s="1740"/>
      <c r="FNU112" s="1740"/>
      <c r="FNV112" s="1740"/>
      <c r="FNW112" s="1740"/>
      <c r="FNX112" s="1740"/>
      <c r="FNY112" s="1740"/>
      <c r="FNZ112" s="1740"/>
      <c r="FOA112" s="1740"/>
      <c r="FOB112" s="1740"/>
      <c r="FOC112" s="1740"/>
      <c r="FOD112" s="1740"/>
      <c r="FOE112" s="1740"/>
      <c r="FOF112" s="1740"/>
      <c r="FOG112" s="1740"/>
      <c r="FOH112" s="1740"/>
      <c r="FOI112" s="1740"/>
      <c r="FOJ112" s="1740"/>
      <c r="FOK112" s="1740"/>
      <c r="FOL112" s="1740"/>
      <c r="FOM112" s="1740"/>
      <c r="FON112" s="1740"/>
      <c r="FOO112" s="1740"/>
      <c r="FOP112" s="1740"/>
      <c r="FOQ112" s="1740"/>
      <c r="FOR112" s="1740"/>
      <c r="FOS112" s="1740"/>
      <c r="FOT112" s="1740"/>
      <c r="FOU112" s="1740"/>
      <c r="FOV112" s="1740"/>
      <c r="FOW112" s="1740"/>
      <c r="FOX112" s="1740"/>
      <c r="FOY112" s="1740"/>
      <c r="FOZ112" s="1740"/>
      <c r="FPA112" s="1740"/>
      <c r="FPB112" s="1740"/>
      <c r="FPC112" s="1740"/>
      <c r="FPD112" s="1740"/>
      <c r="FPE112" s="1740"/>
      <c r="FPF112" s="1740"/>
      <c r="FPG112" s="1740"/>
      <c r="FPH112" s="1740"/>
      <c r="FPI112" s="1740"/>
      <c r="FPJ112" s="1740"/>
      <c r="FPK112" s="1740"/>
      <c r="FPL112" s="1740"/>
      <c r="FPM112" s="1740"/>
      <c r="FPN112" s="1740"/>
      <c r="FPO112" s="1740"/>
      <c r="FPP112" s="1740"/>
      <c r="FPQ112" s="1740"/>
      <c r="FPR112" s="1740"/>
      <c r="FPS112" s="1740"/>
      <c r="FPT112" s="1740"/>
      <c r="FPU112" s="1740"/>
      <c r="FPV112" s="1740"/>
      <c r="FPW112" s="1740"/>
      <c r="FPX112" s="1740"/>
      <c r="FPY112" s="1740"/>
      <c r="FPZ112" s="1740"/>
      <c r="FQA112" s="1740"/>
      <c r="FQB112" s="1740"/>
      <c r="FQC112" s="1740"/>
      <c r="FQD112" s="1740"/>
      <c r="FQE112" s="1740"/>
      <c r="FQF112" s="1740"/>
      <c r="FQG112" s="1740"/>
      <c r="FQH112" s="1740"/>
      <c r="FQI112" s="1740"/>
      <c r="FQJ112" s="1740"/>
      <c r="FQK112" s="1740"/>
      <c r="FQL112" s="1740"/>
      <c r="FQM112" s="1740"/>
      <c r="FQN112" s="1740"/>
      <c r="FQO112" s="1740"/>
      <c r="FQP112" s="1740"/>
      <c r="FQQ112" s="1740"/>
      <c r="FQR112" s="1740"/>
      <c r="FQS112" s="1740"/>
      <c r="FQT112" s="1740"/>
      <c r="FQU112" s="1740"/>
      <c r="FQV112" s="1740"/>
      <c r="FQW112" s="1740"/>
      <c r="FQX112" s="1740"/>
      <c r="FQY112" s="1740"/>
      <c r="FQZ112" s="1740"/>
      <c r="FRA112" s="1740"/>
      <c r="FRB112" s="1740"/>
      <c r="FRC112" s="1740"/>
      <c r="FRD112" s="1740"/>
      <c r="FRE112" s="1740"/>
      <c r="FRF112" s="1740"/>
      <c r="FRG112" s="1740"/>
      <c r="FRH112" s="1740"/>
      <c r="FRI112" s="1740"/>
      <c r="FRJ112" s="1740"/>
      <c r="FRK112" s="1740"/>
      <c r="FRL112" s="1740"/>
      <c r="FRM112" s="1740"/>
      <c r="FRN112" s="1740"/>
      <c r="FRO112" s="1740"/>
      <c r="FRP112" s="1740"/>
      <c r="FRQ112" s="1740"/>
      <c r="FRR112" s="1740"/>
      <c r="FRS112" s="1740"/>
      <c r="FRT112" s="1740"/>
      <c r="FRU112" s="1740"/>
      <c r="FRV112" s="1740"/>
      <c r="FRW112" s="1740"/>
      <c r="FRX112" s="1740"/>
      <c r="FRY112" s="1740"/>
      <c r="FRZ112" s="1740"/>
      <c r="FSA112" s="1740"/>
      <c r="FSB112" s="1740"/>
      <c r="FSC112" s="1740"/>
      <c r="FSD112" s="1740"/>
      <c r="FSE112" s="1740"/>
      <c r="FSF112" s="1740"/>
      <c r="FSG112" s="1740"/>
      <c r="FSH112" s="1740"/>
      <c r="FSI112" s="1740"/>
      <c r="FSJ112" s="1740"/>
      <c r="FSK112" s="1740"/>
      <c r="FSL112" s="1740"/>
      <c r="FSM112" s="1740"/>
      <c r="FSN112" s="1740"/>
      <c r="FSO112" s="1740"/>
      <c r="FSP112" s="1740"/>
      <c r="FSQ112" s="1740"/>
      <c r="FSR112" s="1740"/>
      <c r="FSS112" s="1740"/>
      <c r="FST112" s="1740"/>
      <c r="FSU112" s="1740"/>
      <c r="FSV112" s="1740"/>
      <c r="FSW112" s="1740"/>
      <c r="FSX112" s="1740"/>
      <c r="FSY112" s="1740"/>
      <c r="FSZ112" s="1740"/>
      <c r="FTA112" s="1740"/>
      <c r="FTB112" s="1740"/>
      <c r="FTC112" s="1740"/>
      <c r="FTD112" s="1740"/>
      <c r="FTE112" s="1740"/>
      <c r="FTF112" s="1740"/>
      <c r="FTG112" s="1740"/>
      <c r="FTH112" s="1740"/>
      <c r="FTI112" s="1740"/>
      <c r="FTJ112" s="1740"/>
      <c r="FTK112" s="1740"/>
      <c r="FTL112" s="1740"/>
      <c r="FTM112" s="1740"/>
      <c r="FTN112" s="1740"/>
      <c r="FTO112" s="1740"/>
      <c r="FTP112" s="1740"/>
      <c r="FTQ112" s="1740"/>
      <c r="FTR112" s="1740"/>
      <c r="FTS112" s="1740"/>
      <c r="FTT112" s="1740"/>
      <c r="FTU112" s="1740"/>
      <c r="FTV112" s="1740"/>
      <c r="FTW112" s="1740"/>
      <c r="FTX112" s="1740"/>
      <c r="FTY112" s="1740"/>
      <c r="FTZ112" s="1740"/>
      <c r="FUA112" s="1740"/>
      <c r="FUB112" s="1740"/>
      <c r="FUC112" s="1740"/>
      <c r="FUD112" s="1740"/>
      <c r="FUE112" s="1740"/>
      <c r="FUF112" s="1740"/>
      <c r="FUG112" s="1740"/>
      <c r="FUH112" s="1740"/>
      <c r="FUI112" s="1740"/>
      <c r="FUJ112" s="1740"/>
      <c r="FUK112" s="1740"/>
      <c r="FUL112" s="1740"/>
      <c r="FUM112" s="1740"/>
      <c r="FUN112" s="1740"/>
      <c r="FUO112" s="1740"/>
      <c r="FUP112" s="1740"/>
      <c r="FUQ112" s="1740"/>
      <c r="FUR112" s="1740"/>
      <c r="FUS112" s="1740"/>
      <c r="FUT112" s="1740"/>
      <c r="FUU112" s="1740"/>
      <c r="FUV112" s="1740"/>
      <c r="FUW112" s="1740"/>
      <c r="FUX112" s="1740"/>
      <c r="FUY112" s="1740"/>
      <c r="FUZ112" s="1740"/>
      <c r="FVA112" s="1740"/>
      <c r="FVB112" s="1740"/>
      <c r="FVC112" s="1740"/>
      <c r="FVD112" s="1740"/>
      <c r="FVE112" s="1740"/>
      <c r="FVF112" s="1740"/>
      <c r="FVG112" s="1740"/>
      <c r="FVH112" s="1740"/>
      <c r="FVI112" s="1740"/>
      <c r="FVJ112" s="1740"/>
      <c r="FVK112" s="1740"/>
      <c r="FVL112" s="1740"/>
      <c r="FVM112" s="1740"/>
      <c r="FVN112" s="1740"/>
      <c r="FVO112" s="1740"/>
      <c r="FVP112" s="1740"/>
      <c r="FVQ112" s="1740"/>
      <c r="FVR112" s="1740"/>
      <c r="FVS112" s="1740"/>
      <c r="FVT112" s="1740"/>
      <c r="FVU112" s="1740"/>
      <c r="FVV112" s="1740"/>
      <c r="FVW112" s="1740"/>
      <c r="FVX112" s="1740"/>
      <c r="FVY112" s="1740"/>
      <c r="FVZ112" s="1740"/>
      <c r="FWA112" s="1740"/>
      <c r="FWB112" s="1740"/>
      <c r="FWC112" s="1740"/>
      <c r="FWD112" s="1740"/>
      <c r="FWE112" s="1740"/>
      <c r="FWF112" s="1740"/>
      <c r="FWG112" s="1740"/>
      <c r="FWH112" s="1740"/>
      <c r="FWI112" s="1740"/>
      <c r="FWJ112" s="1740"/>
      <c r="FWK112" s="1740"/>
      <c r="FWL112" s="1740"/>
      <c r="FWM112" s="1740"/>
      <c r="FWN112" s="1740"/>
      <c r="FWO112" s="1740"/>
      <c r="FWP112" s="1740"/>
      <c r="FWQ112" s="1740"/>
      <c r="FWR112" s="1740"/>
      <c r="FWS112" s="1740"/>
      <c r="FWT112" s="1740"/>
      <c r="FWU112" s="1740"/>
      <c r="FWV112" s="1740"/>
      <c r="FWW112" s="1740"/>
      <c r="FWX112" s="1740"/>
      <c r="FWY112" s="1740"/>
      <c r="FWZ112" s="1740"/>
      <c r="FXA112" s="1740"/>
      <c r="FXB112" s="1740"/>
      <c r="FXC112" s="1740"/>
      <c r="FXD112" s="1740"/>
      <c r="FXE112" s="1740"/>
      <c r="FXF112" s="1740"/>
      <c r="FXG112" s="1740"/>
      <c r="FXH112" s="1740"/>
      <c r="FXI112" s="1740"/>
      <c r="FXJ112" s="1740"/>
      <c r="FXK112" s="1740"/>
      <c r="FXL112" s="1740"/>
      <c r="FXM112" s="1740"/>
      <c r="FXN112" s="1740"/>
      <c r="FXO112" s="1740"/>
      <c r="FXP112" s="1740"/>
      <c r="FXQ112" s="1740"/>
      <c r="FXR112" s="1740"/>
      <c r="FXS112" s="1740"/>
      <c r="FXT112" s="1740"/>
      <c r="FXU112" s="1740"/>
      <c r="FXV112" s="1740"/>
      <c r="FXW112" s="1740"/>
      <c r="FXX112" s="1740"/>
      <c r="FXY112" s="1740"/>
      <c r="FXZ112" s="1740"/>
      <c r="FYA112" s="1740"/>
      <c r="FYB112" s="1740"/>
      <c r="FYC112" s="1740"/>
      <c r="FYD112" s="1740"/>
      <c r="FYE112" s="1740"/>
      <c r="FYF112" s="1740"/>
      <c r="FYG112" s="1740"/>
      <c r="FYH112" s="1740"/>
      <c r="FYI112" s="1740"/>
      <c r="FYJ112" s="1740"/>
      <c r="FYK112" s="1740"/>
      <c r="FYL112" s="1740"/>
      <c r="FYM112" s="1740"/>
      <c r="FYN112" s="1740"/>
      <c r="FYO112" s="1740"/>
      <c r="FYP112" s="1740"/>
      <c r="FYQ112" s="1740"/>
      <c r="FYR112" s="1740"/>
      <c r="FYS112" s="1740"/>
      <c r="FYT112" s="1740"/>
      <c r="FYU112" s="1740"/>
      <c r="FYV112" s="1740"/>
      <c r="FYW112" s="1740"/>
      <c r="FYX112" s="1740"/>
      <c r="FYY112" s="1740"/>
      <c r="FYZ112" s="1740"/>
      <c r="FZA112" s="1740"/>
      <c r="FZB112" s="1740"/>
      <c r="FZC112" s="1740"/>
      <c r="FZD112" s="1740"/>
      <c r="FZE112" s="1740"/>
      <c r="FZF112" s="1740"/>
      <c r="FZG112" s="1740"/>
      <c r="FZH112" s="1740"/>
      <c r="FZI112" s="1740"/>
      <c r="FZJ112" s="1740"/>
      <c r="FZK112" s="1740"/>
      <c r="FZL112" s="1740"/>
      <c r="FZM112" s="1740"/>
      <c r="FZN112" s="1740"/>
      <c r="FZO112" s="1740"/>
      <c r="FZP112" s="1740"/>
      <c r="FZQ112" s="1740"/>
      <c r="FZR112" s="1740"/>
      <c r="FZS112" s="1740"/>
      <c r="FZT112" s="1740"/>
      <c r="FZU112" s="1740"/>
      <c r="FZV112" s="1740"/>
      <c r="FZW112" s="1740"/>
      <c r="FZX112" s="1740"/>
      <c r="FZY112" s="1740"/>
      <c r="FZZ112" s="1740"/>
      <c r="GAA112" s="1740"/>
      <c r="GAB112" s="1740"/>
      <c r="GAC112" s="1740"/>
      <c r="GAD112" s="1740"/>
      <c r="GAE112" s="1740"/>
      <c r="GAF112" s="1740"/>
      <c r="GAG112" s="1740"/>
      <c r="GAH112" s="1740"/>
      <c r="GAI112" s="1740"/>
      <c r="GAJ112" s="1740"/>
      <c r="GAK112" s="1740"/>
      <c r="GAL112" s="1740"/>
      <c r="GAM112" s="1740"/>
      <c r="GAN112" s="1740"/>
      <c r="GAO112" s="1740"/>
      <c r="GAP112" s="1740"/>
      <c r="GAQ112" s="1740"/>
      <c r="GAR112" s="1740"/>
      <c r="GAS112" s="1740"/>
      <c r="GAT112" s="1740"/>
      <c r="GAU112" s="1740"/>
      <c r="GAV112" s="1740"/>
      <c r="GAW112" s="1740"/>
      <c r="GAX112" s="1740"/>
      <c r="GAY112" s="1740"/>
      <c r="GAZ112" s="1740"/>
      <c r="GBA112" s="1740"/>
      <c r="GBB112" s="1740"/>
      <c r="GBC112" s="1740"/>
      <c r="GBD112" s="1740"/>
      <c r="GBE112" s="1740"/>
      <c r="GBF112" s="1740"/>
      <c r="GBG112" s="1740"/>
      <c r="GBH112" s="1740"/>
      <c r="GBI112" s="1740"/>
      <c r="GBJ112" s="1740"/>
      <c r="GBK112" s="1740"/>
      <c r="GBL112" s="1740"/>
      <c r="GBM112" s="1740"/>
      <c r="GBN112" s="1740"/>
      <c r="GBO112" s="1740"/>
      <c r="GBP112" s="1740"/>
      <c r="GBQ112" s="1740"/>
      <c r="GBR112" s="1740"/>
      <c r="GBS112" s="1740"/>
      <c r="GBT112" s="1740"/>
      <c r="GBU112" s="1740"/>
      <c r="GBV112" s="1740"/>
      <c r="GBW112" s="1740"/>
      <c r="GBX112" s="1740"/>
      <c r="GBY112" s="1740"/>
      <c r="GBZ112" s="1740"/>
      <c r="GCA112" s="1740"/>
      <c r="GCB112" s="1740"/>
      <c r="GCC112" s="1740"/>
      <c r="GCD112" s="1740"/>
      <c r="GCE112" s="1740"/>
      <c r="GCF112" s="1740"/>
      <c r="GCG112" s="1740"/>
      <c r="GCH112" s="1740"/>
      <c r="GCI112" s="1740"/>
      <c r="GCJ112" s="1740"/>
      <c r="GCK112" s="1740"/>
      <c r="GCL112" s="1740"/>
      <c r="GCM112" s="1740"/>
      <c r="GCN112" s="1740"/>
      <c r="GCO112" s="1740"/>
      <c r="GCP112" s="1740"/>
      <c r="GCQ112" s="1740"/>
      <c r="GCR112" s="1740"/>
      <c r="GCS112" s="1740"/>
      <c r="GCT112" s="1740"/>
      <c r="GCU112" s="1740"/>
      <c r="GCV112" s="1740"/>
      <c r="GCW112" s="1740"/>
      <c r="GCX112" s="1740"/>
      <c r="GCY112" s="1740"/>
      <c r="GCZ112" s="1740"/>
      <c r="GDA112" s="1740"/>
      <c r="GDB112" s="1740"/>
      <c r="GDC112" s="1740"/>
      <c r="GDD112" s="1740"/>
      <c r="GDE112" s="1740"/>
      <c r="GDF112" s="1740"/>
      <c r="GDG112" s="1740"/>
      <c r="GDH112" s="1740"/>
      <c r="GDI112" s="1740"/>
      <c r="GDJ112" s="1740"/>
      <c r="GDK112" s="1740"/>
      <c r="GDL112" s="1740"/>
      <c r="GDM112" s="1740"/>
      <c r="GDN112" s="1740"/>
      <c r="GDO112" s="1740"/>
      <c r="GDP112" s="1740"/>
      <c r="GDQ112" s="1740"/>
      <c r="GDR112" s="1740"/>
      <c r="GDS112" s="1740"/>
      <c r="GDT112" s="1740"/>
      <c r="GDU112" s="1740"/>
      <c r="GDV112" s="1740"/>
      <c r="GDW112" s="1740"/>
      <c r="GDX112" s="1740"/>
      <c r="GDY112" s="1740"/>
      <c r="GDZ112" s="1740"/>
      <c r="GEA112" s="1740"/>
      <c r="GEB112" s="1740"/>
      <c r="GEC112" s="1740"/>
      <c r="GED112" s="1740"/>
      <c r="GEE112" s="1740"/>
      <c r="GEF112" s="1740"/>
      <c r="GEG112" s="1740"/>
      <c r="GEH112" s="1740"/>
      <c r="GEI112" s="1740"/>
      <c r="GEJ112" s="1740"/>
      <c r="GEK112" s="1740"/>
      <c r="GEL112" s="1740"/>
      <c r="GEM112" s="1740"/>
      <c r="GEN112" s="1740"/>
      <c r="GEO112" s="1740"/>
      <c r="GEP112" s="1740"/>
      <c r="GEQ112" s="1740"/>
      <c r="GER112" s="1740"/>
      <c r="GES112" s="1740"/>
      <c r="GET112" s="1740"/>
      <c r="GEU112" s="1740"/>
      <c r="GEV112" s="1740"/>
      <c r="GEW112" s="1740"/>
      <c r="GEX112" s="1740"/>
      <c r="GEY112" s="1740"/>
      <c r="GEZ112" s="1740"/>
      <c r="GFA112" s="1740"/>
      <c r="GFB112" s="1740"/>
      <c r="GFC112" s="1740"/>
      <c r="GFD112" s="1740"/>
      <c r="GFE112" s="1740"/>
      <c r="GFF112" s="1740"/>
      <c r="GFG112" s="1740"/>
      <c r="GFH112" s="1740"/>
      <c r="GFI112" s="1740"/>
      <c r="GFJ112" s="1740"/>
      <c r="GFK112" s="1740"/>
      <c r="GFL112" s="1740"/>
      <c r="GFM112" s="1740"/>
      <c r="GFN112" s="1740"/>
      <c r="GFO112" s="1740"/>
      <c r="GFP112" s="1740"/>
      <c r="GFQ112" s="1740"/>
      <c r="GFR112" s="1740"/>
      <c r="GFS112" s="1740"/>
      <c r="GFT112" s="1740"/>
      <c r="GFU112" s="1740"/>
      <c r="GFV112" s="1740"/>
      <c r="GFW112" s="1740"/>
      <c r="GFX112" s="1740"/>
      <c r="GFY112" s="1740"/>
      <c r="GFZ112" s="1740"/>
      <c r="GGA112" s="1740"/>
      <c r="GGB112" s="1740"/>
      <c r="GGC112" s="1740"/>
      <c r="GGD112" s="1740"/>
      <c r="GGE112" s="1740"/>
      <c r="GGF112" s="1740"/>
      <c r="GGG112" s="1740"/>
      <c r="GGH112" s="1740"/>
      <c r="GGI112" s="1740"/>
      <c r="GGJ112" s="1740"/>
      <c r="GGK112" s="1740"/>
      <c r="GGL112" s="1740"/>
      <c r="GGM112" s="1740"/>
      <c r="GGN112" s="1740"/>
      <c r="GGO112" s="1740"/>
      <c r="GGP112" s="1740"/>
      <c r="GGQ112" s="1740"/>
      <c r="GGR112" s="1740"/>
      <c r="GGS112" s="1740"/>
      <c r="GGT112" s="1740"/>
      <c r="GGU112" s="1740"/>
      <c r="GGV112" s="1740"/>
      <c r="GGW112" s="1740"/>
      <c r="GGX112" s="1740"/>
      <c r="GGY112" s="1740"/>
      <c r="GGZ112" s="1740"/>
      <c r="GHA112" s="1740"/>
      <c r="GHB112" s="1740"/>
      <c r="GHC112" s="1740"/>
      <c r="GHD112" s="1740"/>
      <c r="GHE112" s="1740"/>
      <c r="GHF112" s="1740"/>
      <c r="GHG112" s="1740"/>
      <c r="GHH112" s="1740"/>
      <c r="GHI112" s="1740"/>
      <c r="GHJ112" s="1740"/>
      <c r="GHK112" s="1740"/>
      <c r="GHL112" s="1740"/>
      <c r="GHM112" s="1740"/>
      <c r="GHN112" s="1740"/>
      <c r="GHO112" s="1740"/>
      <c r="GHP112" s="1740"/>
      <c r="GHQ112" s="1740"/>
      <c r="GHR112" s="1740"/>
      <c r="GHS112" s="1740"/>
      <c r="GHT112" s="1740"/>
      <c r="GHU112" s="1740"/>
      <c r="GHV112" s="1740"/>
      <c r="GHW112" s="1740"/>
      <c r="GHX112" s="1740"/>
      <c r="GHY112" s="1740"/>
      <c r="GHZ112" s="1740"/>
      <c r="GIA112" s="1740"/>
      <c r="GIB112" s="1740"/>
      <c r="GIC112" s="1740"/>
      <c r="GID112" s="1740"/>
      <c r="GIE112" s="1740"/>
      <c r="GIF112" s="1740"/>
      <c r="GIG112" s="1740"/>
      <c r="GIH112" s="1740"/>
      <c r="GII112" s="1740"/>
      <c r="GIJ112" s="1740"/>
      <c r="GIK112" s="1740"/>
      <c r="GIL112" s="1740"/>
      <c r="GIM112" s="1740"/>
      <c r="GIN112" s="1740"/>
      <c r="GIO112" s="1740"/>
      <c r="GIP112" s="1740"/>
      <c r="GIQ112" s="1740"/>
      <c r="GIR112" s="1740"/>
      <c r="GIS112" s="1740"/>
      <c r="GIT112" s="1740"/>
      <c r="GIU112" s="1740"/>
      <c r="GIV112" s="1740"/>
      <c r="GIW112" s="1740"/>
      <c r="GIX112" s="1740"/>
      <c r="GIY112" s="1740"/>
      <c r="GIZ112" s="1740"/>
      <c r="GJA112" s="1740"/>
      <c r="GJB112" s="1740"/>
      <c r="GJC112" s="1740"/>
      <c r="GJD112" s="1740"/>
      <c r="GJE112" s="1740"/>
      <c r="GJF112" s="1740"/>
      <c r="GJG112" s="1740"/>
      <c r="GJH112" s="1740"/>
      <c r="GJI112" s="1740"/>
      <c r="GJJ112" s="1740"/>
      <c r="GJK112" s="1740"/>
      <c r="GJL112" s="1740"/>
      <c r="GJM112" s="1740"/>
      <c r="GJN112" s="1740"/>
      <c r="GJO112" s="1740"/>
      <c r="GJP112" s="1740"/>
      <c r="GJQ112" s="1740"/>
      <c r="GJR112" s="1740"/>
      <c r="GJS112" s="1740"/>
      <c r="GJT112" s="1740"/>
      <c r="GJU112" s="1740"/>
      <c r="GJV112" s="1740"/>
      <c r="GJW112" s="1740"/>
      <c r="GJX112" s="1740"/>
      <c r="GJY112" s="1740"/>
      <c r="GJZ112" s="1740"/>
      <c r="GKA112" s="1740"/>
      <c r="GKB112" s="1740"/>
      <c r="GKC112" s="1740"/>
      <c r="GKD112" s="1740"/>
      <c r="GKE112" s="1740"/>
      <c r="GKF112" s="1740"/>
      <c r="GKG112" s="1740"/>
      <c r="GKH112" s="1740"/>
      <c r="GKI112" s="1740"/>
      <c r="GKJ112" s="1740"/>
      <c r="GKK112" s="1740"/>
      <c r="GKL112" s="1740"/>
      <c r="GKM112" s="1740"/>
      <c r="GKN112" s="1740"/>
      <c r="GKO112" s="1740"/>
      <c r="GKP112" s="1740"/>
      <c r="GKQ112" s="1740"/>
      <c r="GKR112" s="1740"/>
      <c r="GKS112" s="1740"/>
      <c r="GKT112" s="1740"/>
      <c r="GKU112" s="1740"/>
      <c r="GKV112" s="1740"/>
      <c r="GKW112" s="1740"/>
      <c r="GKX112" s="1740"/>
      <c r="GKY112" s="1740"/>
      <c r="GKZ112" s="1740"/>
      <c r="GLA112" s="1740"/>
      <c r="GLB112" s="1740"/>
      <c r="GLC112" s="1740"/>
      <c r="GLD112" s="1740"/>
      <c r="GLE112" s="1740"/>
      <c r="GLF112" s="1740"/>
      <c r="GLG112" s="1740"/>
      <c r="GLH112" s="1740"/>
      <c r="GLI112" s="1740"/>
      <c r="GLJ112" s="1740"/>
      <c r="GLK112" s="1740"/>
      <c r="GLL112" s="1740"/>
      <c r="GLM112" s="1740"/>
      <c r="GLN112" s="1740"/>
      <c r="GLO112" s="1740"/>
      <c r="GLP112" s="1740"/>
      <c r="GLQ112" s="1740"/>
      <c r="GLR112" s="1740"/>
      <c r="GLS112" s="1740"/>
      <c r="GLT112" s="1740"/>
      <c r="GLU112" s="1740"/>
      <c r="GLV112" s="1740"/>
      <c r="GLW112" s="1740"/>
      <c r="GLX112" s="1740"/>
      <c r="GLY112" s="1740"/>
      <c r="GLZ112" s="1740"/>
      <c r="GMA112" s="1740"/>
      <c r="GMB112" s="1740"/>
      <c r="GMC112" s="1740"/>
      <c r="GMD112" s="1740"/>
      <c r="GME112" s="1740"/>
      <c r="GMF112" s="1740"/>
      <c r="GMG112" s="1740"/>
      <c r="GMH112" s="1740"/>
      <c r="GMI112" s="1740"/>
      <c r="GMJ112" s="1740"/>
      <c r="GMK112" s="1740"/>
      <c r="GML112" s="1740"/>
      <c r="GMM112" s="1740"/>
      <c r="GMN112" s="1740"/>
      <c r="GMO112" s="1740"/>
      <c r="GMP112" s="1740"/>
      <c r="GMQ112" s="1740"/>
      <c r="GMR112" s="1740"/>
      <c r="GMS112" s="1740"/>
      <c r="GMT112" s="1740"/>
      <c r="GMU112" s="1740"/>
      <c r="GMV112" s="1740"/>
      <c r="GMW112" s="1740"/>
      <c r="GMX112" s="1740"/>
      <c r="GMY112" s="1740"/>
      <c r="GMZ112" s="1740"/>
      <c r="GNA112" s="1740"/>
      <c r="GNB112" s="1740"/>
      <c r="GNC112" s="1740"/>
      <c r="GND112" s="1740"/>
      <c r="GNE112" s="1740"/>
      <c r="GNF112" s="1740"/>
      <c r="GNG112" s="1740"/>
      <c r="GNH112" s="1740"/>
      <c r="GNI112" s="1740"/>
      <c r="GNJ112" s="1740"/>
      <c r="GNK112" s="1740"/>
      <c r="GNL112" s="1740"/>
      <c r="GNM112" s="1740"/>
      <c r="GNN112" s="1740"/>
      <c r="GNO112" s="1740"/>
      <c r="GNP112" s="1740"/>
      <c r="GNQ112" s="1740"/>
      <c r="GNR112" s="1740"/>
      <c r="GNS112" s="1740"/>
      <c r="GNT112" s="1740"/>
      <c r="GNU112" s="1740"/>
      <c r="GNV112" s="1740"/>
      <c r="GNW112" s="1740"/>
      <c r="GNX112" s="1740"/>
      <c r="GNY112" s="1740"/>
      <c r="GNZ112" s="1740"/>
      <c r="GOA112" s="1740"/>
      <c r="GOB112" s="1740"/>
      <c r="GOC112" s="1740"/>
      <c r="GOD112" s="1740"/>
      <c r="GOE112" s="1740"/>
      <c r="GOF112" s="1740"/>
      <c r="GOG112" s="1740"/>
      <c r="GOH112" s="1740"/>
      <c r="GOI112" s="1740"/>
      <c r="GOJ112" s="1740"/>
      <c r="GOK112" s="1740"/>
      <c r="GOL112" s="1740"/>
      <c r="GOM112" s="1740"/>
      <c r="GON112" s="1740"/>
      <c r="GOO112" s="1740"/>
      <c r="GOP112" s="1740"/>
      <c r="GOQ112" s="1740"/>
      <c r="GOR112" s="1740"/>
      <c r="GOS112" s="1740"/>
      <c r="GOT112" s="1740"/>
      <c r="GOU112" s="1740"/>
      <c r="GOV112" s="1740"/>
      <c r="GOW112" s="1740"/>
      <c r="GOX112" s="1740"/>
      <c r="GOY112" s="1740"/>
      <c r="GOZ112" s="1740"/>
      <c r="GPA112" s="1740"/>
      <c r="GPB112" s="1740"/>
      <c r="GPC112" s="1740"/>
      <c r="GPD112" s="1740"/>
      <c r="GPE112" s="1740"/>
      <c r="GPF112" s="1740"/>
      <c r="GPG112" s="1740"/>
      <c r="GPH112" s="1740"/>
      <c r="GPI112" s="1740"/>
      <c r="GPJ112" s="1740"/>
      <c r="GPK112" s="1740"/>
      <c r="GPL112" s="1740"/>
      <c r="GPM112" s="1740"/>
      <c r="GPN112" s="1740"/>
      <c r="GPO112" s="1740"/>
      <c r="GPP112" s="1740"/>
      <c r="GPQ112" s="1740"/>
      <c r="GPR112" s="1740"/>
      <c r="GPS112" s="1740"/>
      <c r="GPT112" s="1740"/>
      <c r="GPU112" s="1740"/>
      <c r="GPV112" s="1740"/>
      <c r="GPW112" s="1740"/>
      <c r="GPX112" s="1740"/>
      <c r="GPY112" s="1740"/>
      <c r="GPZ112" s="1740"/>
      <c r="GQA112" s="1740"/>
      <c r="GQB112" s="1740"/>
      <c r="GQC112" s="1740"/>
      <c r="GQD112" s="1740"/>
      <c r="GQE112" s="1740"/>
      <c r="GQF112" s="1740"/>
      <c r="GQG112" s="1740"/>
      <c r="GQH112" s="1740"/>
      <c r="GQI112" s="1740"/>
      <c r="GQJ112" s="1740"/>
      <c r="GQK112" s="1740"/>
      <c r="GQL112" s="1740"/>
      <c r="GQM112" s="1740"/>
      <c r="GQN112" s="1740"/>
      <c r="GQO112" s="1740"/>
      <c r="GQP112" s="1740"/>
      <c r="GQQ112" s="1740"/>
      <c r="GQR112" s="1740"/>
      <c r="GQS112" s="1740"/>
      <c r="GQT112" s="1740"/>
      <c r="GQU112" s="1740"/>
      <c r="GQV112" s="1740"/>
      <c r="GQW112" s="1740"/>
      <c r="GQX112" s="1740"/>
      <c r="GQY112" s="1740"/>
      <c r="GQZ112" s="1740"/>
      <c r="GRA112" s="1740"/>
      <c r="GRB112" s="1740"/>
      <c r="GRC112" s="1740"/>
      <c r="GRD112" s="1740"/>
      <c r="GRE112" s="1740"/>
      <c r="GRF112" s="1740"/>
      <c r="GRG112" s="1740"/>
      <c r="GRH112" s="1740"/>
      <c r="GRI112" s="1740"/>
      <c r="GRJ112" s="1740"/>
      <c r="GRK112" s="1740"/>
      <c r="GRL112" s="1740"/>
      <c r="GRM112" s="1740"/>
      <c r="GRN112" s="1740"/>
      <c r="GRO112" s="1740"/>
      <c r="GRP112" s="1740"/>
      <c r="GRQ112" s="1740"/>
      <c r="GRR112" s="1740"/>
      <c r="GRS112" s="1740"/>
      <c r="GRT112" s="1740"/>
      <c r="GRU112" s="1740"/>
      <c r="GRV112" s="1740"/>
      <c r="GRW112" s="1740"/>
      <c r="GRX112" s="1740"/>
      <c r="GRY112" s="1740"/>
      <c r="GRZ112" s="1740"/>
      <c r="GSA112" s="1740"/>
      <c r="GSB112" s="1740"/>
      <c r="GSC112" s="1740"/>
      <c r="GSD112" s="1740"/>
      <c r="GSE112" s="1740"/>
      <c r="GSF112" s="1740"/>
      <c r="GSG112" s="1740"/>
      <c r="GSH112" s="1740"/>
      <c r="GSI112" s="1740"/>
      <c r="GSJ112" s="1740"/>
      <c r="GSK112" s="1740"/>
      <c r="GSL112" s="1740"/>
      <c r="GSM112" s="1740"/>
      <c r="GSN112" s="1740"/>
      <c r="GSO112" s="1740"/>
      <c r="GSP112" s="1740"/>
      <c r="GSQ112" s="1740"/>
      <c r="GSR112" s="1740"/>
      <c r="GSS112" s="1740"/>
      <c r="GST112" s="1740"/>
      <c r="GSU112" s="1740"/>
      <c r="GSV112" s="1740"/>
      <c r="GSW112" s="1740"/>
      <c r="GSX112" s="1740"/>
      <c r="GSY112" s="1740"/>
      <c r="GSZ112" s="1740"/>
      <c r="GTA112" s="1740"/>
      <c r="GTB112" s="1740"/>
      <c r="GTC112" s="1740"/>
      <c r="GTD112" s="1740"/>
      <c r="GTE112" s="1740"/>
      <c r="GTF112" s="1740"/>
      <c r="GTG112" s="1740"/>
      <c r="GTH112" s="1740"/>
      <c r="GTI112" s="1740"/>
      <c r="GTJ112" s="1740"/>
      <c r="GTK112" s="1740"/>
      <c r="GTL112" s="1740"/>
      <c r="GTM112" s="1740"/>
      <c r="GTN112" s="1740"/>
      <c r="GTO112" s="1740"/>
      <c r="GTP112" s="1740"/>
      <c r="GTQ112" s="1740"/>
      <c r="GTR112" s="1740"/>
      <c r="GTS112" s="1740"/>
      <c r="GTT112" s="1740"/>
      <c r="GTU112" s="1740"/>
      <c r="GTV112" s="1740"/>
      <c r="GTW112" s="1740"/>
      <c r="GTX112" s="1740"/>
      <c r="GTY112" s="1740"/>
      <c r="GTZ112" s="1740"/>
      <c r="GUA112" s="1740"/>
      <c r="GUB112" s="1740"/>
      <c r="GUC112" s="1740"/>
      <c r="GUD112" s="1740"/>
      <c r="GUE112" s="1740"/>
      <c r="GUF112" s="1740"/>
      <c r="GUG112" s="1740"/>
      <c r="GUH112" s="1740"/>
      <c r="GUI112" s="1740"/>
      <c r="GUJ112" s="1740"/>
      <c r="GUK112" s="1740"/>
      <c r="GUL112" s="1740"/>
      <c r="GUM112" s="1740"/>
      <c r="GUN112" s="1740"/>
      <c r="GUO112" s="1740"/>
      <c r="GUP112" s="1740"/>
      <c r="GUQ112" s="1740"/>
      <c r="GUR112" s="1740"/>
      <c r="GUS112" s="1740"/>
      <c r="GUT112" s="1740"/>
      <c r="GUU112" s="1740"/>
      <c r="GUV112" s="1740"/>
      <c r="GUW112" s="1740"/>
      <c r="GUX112" s="1740"/>
      <c r="GUY112" s="1740"/>
      <c r="GUZ112" s="1740"/>
      <c r="GVA112" s="1740"/>
      <c r="GVB112" s="1740"/>
      <c r="GVC112" s="1740"/>
      <c r="GVD112" s="1740"/>
      <c r="GVE112" s="1740"/>
      <c r="GVF112" s="1740"/>
      <c r="GVG112" s="1740"/>
      <c r="GVH112" s="1740"/>
      <c r="GVI112" s="1740"/>
      <c r="GVJ112" s="1740"/>
      <c r="GVK112" s="1740"/>
      <c r="GVL112" s="1740"/>
      <c r="GVM112" s="1740"/>
      <c r="GVN112" s="1740"/>
      <c r="GVO112" s="1740"/>
      <c r="GVP112" s="1740"/>
      <c r="GVQ112" s="1740"/>
      <c r="GVR112" s="1740"/>
      <c r="GVS112" s="1740"/>
      <c r="GVT112" s="1740"/>
      <c r="GVU112" s="1740"/>
      <c r="GVV112" s="1740"/>
      <c r="GVW112" s="1740"/>
      <c r="GVX112" s="1740"/>
      <c r="GVY112" s="1740"/>
      <c r="GVZ112" s="1740"/>
      <c r="GWA112" s="1740"/>
      <c r="GWB112" s="1740"/>
      <c r="GWC112" s="1740"/>
      <c r="GWD112" s="1740"/>
      <c r="GWE112" s="1740"/>
      <c r="GWF112" s="1740"/>
      <c r="GWG112" s="1740"/>
      <c r="GWH112" s="1740"/>
      <c r="GWI112" s="1740"/>
      <c r="GWJ112" s="1740"/>
      <c r="GWK112" s="1740"/>
      <c r="GWL112" s="1740"/>
      <c r="GWM112" s="1740"/>
      <c r="GWN112" s="1740"/>
      <c r="GWO112" s="1740"/>
      <c r="GWP112" s="1740"/>
      <c r="GWQ112" s="1740"/>
      <c r="GWR112" s="1740"/>
      <c r="GWS112" s="1740"/>
      <c r="GWT112" s="1740"/>
      <c r="GWU112" s="1740"/>
      <c r="GWV112" s="1740"/>
      <c r="GWW112" s="1740"/>
      <c r="GWX112" s="1740"/>
      <c r="GWY112" s="1740"/>
      <c r="GWZ112" s="1740"/>
      <c r="GXA112" s="1740"/>
      <c r="GXB112" s="1740"/>
      <c r="GXC112" s="1740"/>
      <c r="GXD112" s="1740"/>
      <c r="GXE112" s="1740"/>
      <c r="GXF112" s="1740"/>
      <c r="GXG112" s="1740"/>
      <c r="GXH112" s="1740"/>
      <c r="GXI112" s="1740"/>
      <c r="GXJ112" s="1740"/>
      <c r="GXK112" s="1740"/>
      <c r="GXL112" s="1740"/>
      <c r="GXM112" s="1740"/>
      <c r="GXN112" s="1740"/>
      <c r="GXO112" s="1740"/>
      <c r="GXP112" s="1740"/>
      <c r="GXQ112" s="1740"/>
      <c r="GXR112" s="1740"/>
      <c r="GXS112" s="1740"/>
      <c r="GXT112" s="1740"/>
      <c r="GXU112" s="1740"/>
      <c r="GXV112" s="1740"/>
      <c r="GXW112" s="1740"/>
      <c r="GXX112" s="1740"/>
      <c r="GXY112" s="1740"/>
      <c r="GXZ112" s="1740"/>
      <c r="GYA112" s="1740"/>
      <c r="GYB112" s="1740"/>
      <c r="GYC112" s="1740"/>
      <c r="GYD112" s="1740"/>
      <c r="GYE112" s="1740"/>
      <c r="GYF112" s="1740"/>
      <c r="GYG112" s="1740"/>
      <c r="GYH112" s="1740"/>
      <c r="GYI112" s="1740"/>
      <c r="GYJ112" s="1740"/>
      <c r="GYK112" s="1740"/>
      <c r="GYL112" s="1740"/>
      <c r="GYM112" s="1740"/>
      <c r="GYN112" s="1740"/>
      <c r="GYO112" s="1740"/>
      <c r="GYP112" s="1740"/>
      <c r="GYQ112" s="1740"/>
      <c r="GYR112" s="1740"/>
      <c r="GYS112" s="1740"/>
      <c r="GYT112" s="1740"/>
      <c r="GYU112" s="1740"/>
      <c r="GYV112" s="1740"/>
      <c r="GYW112" s="1740"/>
      <c r="GYX112" s="1740"/>
      <c r="GYY112" s="1740"/>
      <c r="GYZ112" s="1740"/>
      <c r="GZA112" s="1740"/>
      <c r="GZB112" s="1740"/>
      <c r="GZC112" s="1740"/>
      <c r="GZD112" s="1740"/>
      <c r="GZE112" s="1740"/>
      <c r="GZF112" s="1740"/>
      <c r="GZG112" s="1740"/>
      <c r="GZH112" s="1740"/>
      <c r="GZI112" s="1740"/>
      <c r="GZJ112" s="1740"/>
      <c r="GZK112" s="1740"/>
      <c r="GZL112" s="1740"/>
      <c r="GZM112" s="1740"/>
      <c r="GZN112" s="1740"/>
      <c r="GZO112" s="1740"/>
      <c r="GZP112" s="1740"/>
      <c r="GZQ112" s="1740"/>
      <c r="GZR112" s="1740"/>
      <c r="GZS112" s="1740"/>
      <c r="GZT112" s="1740"/>
      <c r="GZU112" s="1740"/>
      <c r="GZV112" s="1740"/>
      <c r="GZW112" s="1740"/>
      <c r="GZX112" s="1740"/>
      <c r="GZY112" s="1740"/>
      <c r="GZZ112" s="1740"/>
      <c r="HAA112" s="1740"/>
      <c r="HAB112" s="1740"/>
      <c r="HAC112" s="1740"/>
      <c r="HAD112" s="1740"/>
      <c r="HAE112" s="1740"/>
      <c r="HAF112" s="1740"/>
      <c r="HAG112" s="1740"/>
      <c r="HAH112" s="1740"/>
      <c r="HAI112" s="1740"/>
      <c r="HAJ112" s="1740"/>
      <c r="HAK112" s="1740"/>
      <c r="HAL112" s="1740"/>
      <c r="HAM112" s="1740"/>
      <c r="HAN112" s="1740"/>
      <c r="HAO112" s="1740"/>
      <c r="HAP112" s="1740"/>
      <c r="HAQ112" s="1740"/>
      <c r="HAR112" s="1740"/>
      <c r="HAS112" s="1740"/>
      <c r="HAT112" s="1740"/>
      <c r="HAU112" s="1740"/>
      <c r="HAV112" s="1740"/>
      <c r="HAW112" s="1740"/>
      <c r="HAX112" s="1740"/>
      <c r="HAY112" s="1740"/>
      <c r="HAZ112" s="1740"/>
      <c r="HBA112" s="1740"/>
      <c r="HBB112" s="1740"/>
      <c r="HBC112" s="1740"/>
      <c r="HBD112" s="1740"/>
      <c r="HBE112" s="1740"/>
      <c r="HBF112" s="1740"/>
      <c r="HBG112" s="1740"/>
      <c r="HBH112" s="1740"/>
      <c r="HBI112" s="1740"/>
      <c r="HBJ112" s="1740"/>
      <c r="HBK112" s="1740"/>
      <c r="HBL112" s="1740"/>
      <c r="HBM112" s="1740"/>
      <c r="HBN112" s="1740"/>
      <c r="HBO112" s="1740"/>
      <c r="HBP112" s="1740"/>
      <c r="HBQ112" s="1740"/>
      <c r="HBR112" s="1740"/>
      <c r="HBS112" s="1740"/>
      <c r="HBT112" s="1740"/>
      <c r="HBU112" s="1740"/>
      <c r="HBV112" s="1740"/>
      <c r="HBW112" s="1740"/>
      <c r="HBX112" s="1740"/>
      <c r="HBY112" s="1740"/>
      <c r="HBZ112" s="1740"/>
      <c r="HCA112" s="1740"/>
      <c r="HCB112" s="1740"/>
      <c r="HCC112" s="1740"/>
      <c r="HCD112" s="1740"/>
      <c r="HCE112" s="1740"/>
      <c r="HCF112" s="1740"/>
      <c r="HCG112" s="1740"/>
      <c r="HCH112" s="1740"/>
      <c r="HCI112" s="1740"/>
      <c r="HCJ112" s="1740"/>
      <c r="HCK112" s="1740"/>
      <c r="HCL112" s="1740"/>
      <c r="HCM112" s="1740"/>
      <c r="HCN112" s="1740"/>
      <c r="HCO112" s="1740"/>
      <c r="HCP112" s="1740"/>
      <c r="HCQ112" s="1740"/>
      <c r="HCR112" s="1740"/>
      <c r="HCS112" s="1740"/>
      <c r="HCT112" s="1740"/>
      <c r="HCU112" s="1740"/>
      <c r="HCV112" s="1740"/>
      <c r="HCW112" s="1740"/>
      <c r="HCX112" s="1740"/>
      <c r="HCY112" s="1740"/>
      <c r="HCZ112" s="1740"/>
      <c r="HDA112" s="1740"/>
      <c r="HDB112" s="1740"/>
      <c r="HDC112" s="1740"/>
      <c r="HDD112" s="1740"/>
      <c r="HDE112" s="1740"/>
      <c r="HDF112" s="1740"/>
      <c r="HDG112" s="1740"/>
      <c r="HDH112" s="1740"/>
      <c r="HDI112" s="1740"/>
      <c r="HDJ112" s="1740"/>
      <c r="HDK112" s="1740"/>
      <c r="HDL112" s="1740"/>
      <c r="HDM112" s="1740"/>
      <c r="HDN112" s="1740"/>
      <c r="HDO112" s="1740"/>
      <c r="HDP112" s="1740"/>
      <c r="HDQ112" s="1740"/>
      <c r="HDR112" s="1740"/>
      <c r="HDS112" s="1740"/>
      <c r="HDT112" s="1740"/>
      <c r="HDU112" s="1740"/>
      <c r="HDV112" s="1740"/>
      <c r="HDW112" s="1740"/>
      <c r="HDX112" s="1740"/>
      <c r="HDY112" s="1740"/>
      <c r="HDZ112" s="1740"/>
      <c r="HEA112" s="1740"/>
      <c r="HEB112" s="1740"/>
      <c r="HEC112" s="1740"/>
      <c r="HED112" s="1740"/>
      <c r="HEE112" s="1740"/>
      <c r="HEF112" s="1740"/>
      <c r="HEG112" s="1740"/>
      <c r="HEH112" s="1740"/>
      <c r="HEI112" s="1740"/>
      <c r="HEJ112" s="1740"/>
      <c r="HEK112" s="1740"/>
      <c r="HEL112" s="1740"/>
      <c r="HEM112" s="1740"/>
      <c r="HEN112" s="1740"/>
      <c r="HEO112" s="1740"/>
      <c r="HEP112" s="1740"/>
      <c r="HEQ112" s="1740"/>
      <c r="HER112" s="1740"/>
      <c r="HES112" s="1740"/>
      <c r="HET112" s="1740"/>
      <c r="HEU112" s="1740"/>
      <c r="HEV112" s="1740"/>
      <c r="HEW112" s="1740"/>
      <c r="HEX112" s="1740"/>
      <c r="HEY112" s="1740"/>
      <c r="HEZ112" s="1740"/>
      <c r="HFA112" s="1740"/>
      <c r="HFB112" s="1740"/>
      <c r="HFC112" s="1740"/>
      <c r="HFD112" s="1740"/>
      <c r="HFE112" s="1740"/>
      <c r="HFF112" s="1740"/>
      <c r="HFG112" s="1740"/>
      <c r="HFH112" s="1740"/>
      <c r="HFI112" s="1740"/>
      <c r="HFJ112" s="1740"/>
      <c r="HFK112" s="1740"/>
      <c r="HFL112" s="1740"/>
      <c r="HFM112" s="1740"/>
      <c r="HFN112" s="1740"/>
      <c r="HFO112" s="1740"/>
      <c r="HFP112" s="1740"/>
      <c r="HFQ112" s="1740"/>
      <c r="HFR112" s="1740"/>
      <c r="HFS112" s="1740"/>
      <c r="HFT112" s="1740"/>
      <c r="HFU112" s="1740"/>
      <c r="HFV112" s="1740"/>
      <c r="HFW112" s="1740"/>
      <c r="HFX112" s="1740"/>
      <c r="HFY112" s="1740"/>
      <c r="HFZ112" s="1740"/>
      <c r="HGA112" s="1740"/>
      <c r="HGB112" s="1740"/>
      <c r="HGC112" s="1740"/>
      <c r="HGD112" s="1740"/>
      <c r="HGE112" s="1740"/>
      <c r="HGF112" s="1740"/>
      <c r="HGG112" s="1740"/>
      <c r="HGH112" s="1740"/>
      <c r="HGI112" s="1740"/>
      <c r="HGJ112" s="1740"/>
      <c r="HGK112" s="1740"/>
      <c r="HGL112" s="1740"/>
      <c r="HGM112" s="1740"/>
      <c r="HGN112" s="1740"/>
      <c r="HGO112" s="1740"/>
      <c r="HGP112" s="1740"/>
      <c r="HGQ112" s="1740"/>
      <c r="HGR112" s="1740"/>
      <c r="HGS112" s="1740"/>
      <c r="HGT112" s="1740"/>
      <c r="HGU112" s="1740"/>
      <c r="HGV112" s="1740"/>
      <c r="HGW112" s="1740"/>
      <c r="HGX112" s="1740"/>
      <c r="HGY112" s="1740"/>
      <c r="HGZ112" s="1740"/>
      <c r="HHA112" s="1740"/>
      <c r="HHB112" s="1740"/>
      <c r="HHC112" s="1740"/>
      <c r="HHD112" s="1740"/>
      <c r="HHE112" s="1740"/>
      <c r="HHF112" s="1740"/>
      <c r="HHG112" s="1740"/>
      <c r="HHH112" s="1740"/>
      <c r="HHI112" s="1740"/>
      <c r="HHJ112" s="1740"/>
      <c r="HHK112" s="1740"/>
      <c r="HHL112" s="1740"/>
      <c r="HHM112" s="1740"/>
      <c r="HHN112" s="1740"/>
      <c r="HHO112" s="1740"/>
      <c r="HHP112" s="1740"/>
      <c r="HHQ112" s="1740"/>
      <c r="HHR112" s="1740"/>
      <c r="HHS112" s="1740"/>
      <c r="HHT112" s="1740"/>
      <c r="HHU112" s="1740"/>
      <c r="HHV112" s="1740"/>
      <c r="HHW112" s="1740"/>
      <c r="HHX112" s="1740"/>
      <c r="HHY112" s="1740"/>
      <c r="HHZ112" s="1740"/>
      <c r="HIA112" s="1740"/>
      <c r="HIB112" s="1740"/>
      <c r="HIC112" s="1740"/>
      <c r="HID112" s="1740"/>
      <c r="HIE112" s="1740"/>
      <c r="HIF112" s="1740"/>
      <c r="HIG112" s="1740"/>
      <c r="HIH112" s="1740"/>
      <c r="HII112" s="1740"/>
      <c r="HIJ112" s="1740"/>
      <c r="HIK112" s="1740"/>
      <c r="HIL112" s="1740"/>
      <c r="HIM112" s="1740"/>
      <c r="HIN112" s="1740"/>
      <c r="HIO112" s="1740"/>
      <c r="HIP112" s="1740"/>
      <c r="HIQ112" s="1740"/>
      <c r="HIR112" s="1740"/>
      <c r="HIS112" s="1740"/>
      <c r="HIT112" s="1740"/>
      <c r="HIU112" s="1740"/>
      <c r="HIV112" s="1740"/>
      <c r="HIW112" s="1740"/>
      <c r="HIX112" s="1740"/>
      <c r="HIY112" s="1740"/>
      <c r="HIZ112" s="1740"/>
      <c r="HJA112" s="1740"/>
      <c r="HJB112" s="1740"/>
      <c r="HJC112" s="1740"/>
      <c r="HJD112" s="1740"/>
      <c r="HJE112" s="1740"/>
      <c r="HJF112" s="1740"/>
      <c r="HJG112" s="1740"/>
      <c r="HJH112" s="1740"/>
      <c r="HJI112" s="1740"/>
      <c r="HJJ112" s="1740"/>
      <c r="HJK112" s="1740"/>
      <c r="HJL112" s="1740"/>
      <c r="HJM112" s="1740"/>
      <c r="HJN112" s="1740"/>
      <c r="HJO112" s="1740"/>
      <c r="HJP112" s="1740"/>
      <c r="HJQ112" s="1740"/>
      <c r="HJR112" s="1740"/>
      <c r="HJS112" s="1740"/>
      <c r="HJT112" s="1740"/>
      <c r="HJU112" s="1740"/>
      <c r="HJV112" s="1740"/>
      <c r="HJW112" s="1740"/>
      <c r="HJX112" s="1740"/>
      <c r="HJY112" s="1740"/>
      <c r="HJZ112" s="1740"/>
      <c r="HKA112" s="1740"/>
      <c r="HKB112" s="1740"/>
      <c r="HKC112" s="1740"/>
      <c r="HKD112" s="1740"/>
      <c r="HKE112" s="1740"/>
      <c r="HKF112" s="1740"/>
      <c r="HKG112" s="1740"/>
      <c r="HKH112" s="1740"/>
      <c r="HKI112" s="1740"/>
      <c r="HKJ112" s="1740"/>
      <c r="HKK112" s="1740"/>
      <c r="HKL112" s="1740"/>
      <c r="HKM112" s="1740"/>
      <c r="HKN112" s="1740"/>
      <c r="HKO112" s="1740"/>
      <c r="HKP112" s="1740"/>
      <c r="HKQ112" s="1740"/>
      <c r="HKR112" s="1740"/>
      <c r="HKS112" s="1740"/>
      <c r="HKT112" s="1740"/>
      <c r="HKU112" s="1740"/>
      <c r="HKV112" s="1740"/>
      <c r="HKW112" s="1740"/>
      <c r="HKX112" s="1740"/>
      <c r="HKY112" s="1740"/>
      <c r="HKZ112" s="1740"/>
      <c r="HLA112" s="1740"/>
      <c r="HLB112" s="1740"/>
      <c r="HLC112" s="1740"/>
      <c r="HLD112" s="1740"/>
      <c r="HLE112" s="1740"/>
      <c r="HLF112" s="1740"/>
      <c r="HLG112" s="1740"/>
      <c r="HLH112" s="1740"/>
      <c r="HLI112" s="1740"/>
      <c r="HLJ112" s="1740"/>
      <c r="HLK112" s="1740"/>
      <c r="HLL112" s="1740"/>
      <c r="HLM112" s="1740"/>
      <c r="HLN112" s="1740"/>
      <c r="HLO112" s="1740"/>
      <c r="HLP112" s="1740"/>
      <c r="HLQ112" s="1740"/>
      <c r="HLR112" s="1740"/>
      <c r="HLS112" s="1740"/>
      <c r="HLT112" s="1740"/>
      <c r="HLU112" s="1740"/>
      <c r="HLV112" s="1740"/>
      <c r="HLW112" s="1740"/>
      <c r="HLX112" s="1740"/>
      <c r="HLY112" s="1740"/>
      <c r="HLZ112" s="1740"/>
      <c r="HMA112" s="1740"/>
      <c r="HMB112" s="1740"/>
      <c r="HMC112" s="1740"/>
      <c r="HMD112" s="1740"/>
      <c r="HME112" s="1740"/>
      <c r="HMF112" s="1740"/>
      <c r="HMG112" s="1740"/>
      <c r="HMH112" s="1740"/>
      <c r="HMI112" s="1740"/>
      <c r="HMJ112" s="1740"/>
      <c r="HMK112" s="1740"/>
      <c r="HML112" s="1740"/>
      <c r="HMM112" s="1740"/>
      <c r="HMN112" s="1740"/>
      <c r="HMO112" s="1740"/>
      <c r="HMP112" s="1740"/>
      <c r="HMQ112" s="1740"/>
      <c r="HMR112" s="1740"/>
      <c r="HMS112" s="1740"/>
      <c r="HMT112" s="1740"/>
      <c r="HMU112" s="1740"/>
      <c r="HMV112" s="1740"/>
      <c r="HMW112" s="1740"/>
      <c r="HMX112" s="1740"/>
      <c r="HMY112" s="1740"/>
      <c r="HMZ112" s="1740"/>
      <c r="HNA112" s="1740"/>
      <c r="HNB112" s="1740"/>
      <c r="HNC112" s="1740"/>
      <c r="HND112" s="1740"/>
      <c r="HNE112" s="1740"/>
      <c r="HNF112" s="1740"/>
      <c r="HNG112" s="1740"/>
      <c r="HNH112" s="1740"/>
      <c r="HNI112" s="1740"/>
      <c r="HNJ112" s="1740"/>
      <c r="HNK112" s="1740"/>
      <c r="HNL112" s="1740"/>
      <c r="HNM112" s="1740"/>
      <c r="HNN112" s="1740"/>
      <c r="HNO112" s="1740"/>
      <c r="HNP112" s="1740"/>
      <c r="HNQ112" s="1740"/>
      <c r="HNR112" s="1740"/>
      <c r="HNS112" s="1740"/>
      <c r="HNT112" s="1740"/>
      <c r="HNU112" s="1740"/>
      <c r="HNV112" s="1740"/>
      <c r="HNW112" s="1740"/>
      <c r="HNX112" s="1740"/>
      <c r="HNY112" s="1740"/>
      <c r="HNZ112" s="1740"/>
      <c r="HOA112" s="1740"/>
      <c r="HOB112" s="1740"/>
      <c r="HOC112" s="1740"/>
      <c r="HOD112" s="1740"/>
      <c r="HOE112" s="1740"/>
      <c r="HOF112" s="1740"/>
      <c r="HOG112" s="1740"/>
      <c r="HOH112" s="1740"/>
      <c r="HOI112" s="1740"/>
      <c r="HOJ112" s="1740"/>
      <c r="HOK112" s="1740"/>
      <c r="HOL112" s="1740"/>
      <c r="HOM112" s="1740"/>
      <c r="HON112" s="1740"/>
      <c r="HOO112" s="1740"/>
      <c r="HOP112" s="1740"/>
      <c r="HOQ112" s="1740"/>
      <c r="HOR112" s="1740"/>
      <c r="HOS112" s="1740"/>
      <c r="HOT112" s="1740"/>
      <c r="HOU112" s="1740"/>
      <c r="HOV112" s="1740"/>
      <c r="HOW112" s="1740"/>
      <c r="HOX112" s="1740"/>
      <c r="HOY112" s="1740"/>
      <c r="HOZ112" s="1740"/>
      <c r="HPA112" s="1740"/>
      <c r="HPB112" s="1740"/>
      <c r="HPC112" s="1740"/>
      <c r="HPD112" s="1740"/>
      <c r="HPE112" s="1740"/>
      <c r="HPF112" s="1740"/>
      <c r="HPG112" s="1740"/>
      <c r="HPH112" s="1740"/>
      <c r="HPI112" s="1740"/>
      <c r="HPJ112" s="1740"/>
      <c r="HPK112" s="1740"/>
      <c r="HPL112" s="1740"/>
      <c r="HPM112" s="1740"/>
      <c r="HPN112" s="1740"/>
      <c r="HPO112" s="1740"/>
      <c r="HPP112" s="1740"/>
      <c r="HPQ112" s="1740"/>
      <c r="HPR112" s="1740"/>
      <c r="HPS112" s="1740"/>
      <c r="HPT112" s="1740"/>
      <c r="HPU112" s="1740"/>
      <c r="HPV112" s="1740"/>
      <c r="HPW112" s="1740"/>
      <c r="HPX112" s="1740"/>
      <c r="HPY112" s="1740"/>
      <c r="HPZ112" s="1740"/>
      <c r="HQA112" s="1740"/>
      <c r="HQB112" s="1740"/>
      <c r="HQC112" s="1740"/>
      <c r="HQD112" s="1740"/>
      <c r="HQE112" s="1740"/>
      <c r="HQF112" s="1740"/>
      <c r="HQG112" s="1740"/>
      <c r="HQH112" s="1740"/>
      <c r="HQI112" s="1740"/>
      <c r="HQJ112" s="1740"/>
      <c r="HQK112" s="1740"/>
      <c r="HQL112" s="1740"/>
      <c r="HQM112" s="1740"/>
      <c r="HQN112" s="1740"/>
      <c r="HQO112" s="1740"/>
      <c r="HQP112" s="1740"/>
      <c r="HQQ112" s="1740"/>
      <c r="HQR112" s="1740"/>
      <c r="HQS112" s="1740"/>
      <c r="HQT112" s="1740"/>
      <c r="HQU112" s="1740"/>
      <c r="HQV112" s="1740"/>
      <c r="HQW112" s="1740"/>
      <c r="HQX112" s="1740"/>
      <c r="HQY112" s="1740"/>
      <c r="HQZ112" s="1740"/>
      <c r="HRA112" s="1740"/>
      <c r="HRB112" s="1740"/>
      <c r="HRC112" s="1740"/>
      <c r="HRD112" s="1740"/>
      <c r="HRE112" s="1740"/>
      <c r="HRF112" s="1740"/>
      <c r="HRG112" s="1740"/>
      <c r="HRH112" s="1740"/>
      <c r="HRI112" s="1740"/>
      <c r="HRJ112" s="1740"/>
      <c r="HRK112" s="1740"/>
      <c r="HRL112" s="1740"/>
      <c r="HRM112" s="1740"/>
      <c r="HRN112" s="1740"/>
      <c r="HRO112" s="1740"/>
      <c r="HRP112" s="1740"/>
      <c r="HRQ112" s="1740"/>
      <c r="HRR112" s="1740"/>
      <c r="HRS112" s="1740"/>
      <c r="HRT112" s="1740"/>
      <c r="HRU112" s="1740"/>
      <c r="HRV112" s="1740"/>
      <c r="HRW112" s="1740"/>
      <c r="HRX112" s="1740"/>
      <c r="HRY112" s="1740"/>
      <c r="HRZ112" s="1740"/>
      <c r="HSA112" s="1740"/>
      <c r="HSB112" s="1740"/>
      <c r="HSC112" s="1740"/>
      <c r="HSD112" s="1740"/>
      <c r="HSE112" s="1740"/>
      <c r="HSF112" s="1740"/>
      <c r="HSG112" s="1740"/>
      <c r="HSH112" s="1740"/>
      <c r="HSI112" s="1740"/>
      <c r="HSJ112" s="1740"/>
      <c r="HSK112" s="1740"/>
      <c r="HSL112" s="1740"/>
      <c r="HSM112" s="1740"/>
      <c r="HSN112" s="1740"/>
      <c r="HSO112" s="1740"/>
      <c r="HSP112" s="1740"/>
      <c r="HSQ112" s="1740"/>
      <c r="HSR112" s="1740"/>
      <c r="HSS112" s="1740"/>
      <c r="HST112" s="1740"/>
      <c r="HSU112" s="1740"/>
      <c r="HSV112" s="1740"/>
      <c r="HSW112" s="1740"/>
      <c r="HSX112" s="1740"/>
      <c r="HSY112" s="1740"/>
      <c r="HSZ112" s="1740"/>
      <c r="HTA112" s="1740"/>
      <c r="HTB112" s="1740"/>
      <c r="HTC112" s="1740"/>
      <c r="HTD112" s="1740"/>
      <c r="HTE112" s="1740"/>
      <c r="HTF112" s="1740"/>
      <c r="HTG112" s="1740"/>
      <c r="HTH112" s="1740"/>
      <c r="HTI112" s="1740"/>
      <c r="HTJ112" s="1740"/>
      <c r="HTK112" s="1740"/>
      <c r="HTL112" s="1740"/>
      <c r="HTM112" s="1740"/>
      <c r="HTN112" s="1740"/>
      <c r="HTO112" s="1740"/>
      <c r="HTP112" s="1740"/>
      <c r="HTQ112" s="1740"/>
      <c r="HTR112" s="1740"/>
      <c r="HTS112" s="1740"/>
      <c r="HTT112" s="1740"/>
      <c r="HTU112" s="1740"/>
      <c r="HTV112" s="1740"/>
      <c r="HTW112" s="1740"/>
      <c r="HTX112" s="1740"/>
      <c r="HTY112" s="1740"/>
      <c r="HTZ112" s="1740"/>
      <c r="HUA112" s="1740"/>
      <c r="HUB112" s="1740"/>
      <c r="HUC112" s="1740"/>
      <c r="HUD112" s="1740"/>
      <c r="HUE112" s="1740"/>
      <c r="HUF112" s="1740"/>
      <c r="HUG112" s="1740"/>
      <c r="HUH112" s="1740"/>
      <c r="HUI112" s="1740"/>
      <c r="HUJ112" s="1740"/>
      <c r="HUK112" s="1740"/>
      <c r="HUL112" s="1740"/>
      <c r="HUM112" s="1740"/>
      <c r="HUN112" s="1740"/>
      <c r="HUO112" s="1740"/>
      <c r="HUP112" s="1740"/>
      <c r="HUQ112" s="1740"/>
      <c r="HUR112" s="1740"/>
      <c r="HUS112" s="1740"/>
      <c r="HUT112" s="1740"/>
      <c r="HUU112" s="1740"/>
      <c r="HUV112" s="1740"/>
      <c r="HUW112" s="1740"/>
      <c r="HUX112" s="1740"/>
      <c r="HUY112" s="1740"/>
      <c r="HUZ112" s="1740"/>
      <c r="HVA112" s="1740"/>
      <c r="HVB112" s="1740"/>
      <c r="HVC112" s="1740"/>
      <c r="HVD112" s="1740"/>
      <c r="HVE112" s="1740"/>
      <c r="HVF112" s="1740"/>
      <c r="HVG112" s="1740"/>
      <c r="HVH112" s="1740"/>
      <c r="HVI112" s="1740"/>
      <c r="HVJ112" s="1740"/>
      <c r="HVK112" s="1740"/>
      <c r="HVL112" s="1740"/>
      <c r="HVM112" s="1740"/>
      <c r="HVN112" s="1740"/>
      <c r="HVO112" s="1740"/>
      <c r="HVP112" s="1740"/>
      <c r="HVQ112" s="1740"/>
      <c r="HVR112" s="1740"/>
      <c r="HVS112" s="1740"/>
      <c r="HVT112" s="1740"/>
      <c r="HVU112" s="1740"/>
      <c r="HVV112" s="1740"/>
      <c r="HVW112" s="1740"/>
      <c r="HVX112" s="1740"/>
      <c r="HVY112" s="1740"/>
      <c r="HVZ112" s="1740"/>
      <c r="HWA112" s="1740"/>
      <c r="HWB112" s="1740"/>
      <c r="HWC112" s="1740"/>
      <c r="HWD112" s="1740"/>
      <c r="HWE112" s="1740"/>
      <c r="HWF112" s="1740"/>
      <c r="HWG112" s="1740"/>
      <c r="HWH112" s="1740"/>
      <c r="HWI112" s="1740"/>
      <c r="HWJ112" s="1740"/>
      <c r="HWK112" s="1740"/>
      <c r="HWL112" s="1740"/>
      <c r="HWM112" s="1740"/>
      <c r="HWN112" s="1740"/>
      <c r="HWO112" s="1740"/>
      <c r="HWP112" s="1740"/>
      <c r="HWQ112" s="1740"/>
      <c r="HWR112" s="1740"/>
      <c r="HWS112" s="1740"/>
      <c r="HWT112" s="1740"/>
      <c r="HWU112" s="1740"/>
      <c r="HWV112" s="1740"/>
      <c r="HWW112" s="1740"/>
      <c r="HWX112" s="1740"/>
      <c r="HWY112" s="1740"/>
      <c r="HWZ112" s="1740"/>
      <c r="HXA112" s="1740"/>
      <c r="HXB112" s="1740"/>
      <c r="HXC112" s="1740"/>
      <c r="HXD112" s="1740"/>
      <c r="HXE112" s="1740"/>
      <c r="HXF112" s="1740"/>
      <c r="HXG112" s="1740"/>
      <c r="HXH112" s="1740"/>
      <c r="HXI112" s="1740"/>
      <c r="HXJ112" s="1740"/>
      <c r="HXK112" s="1740"/>
      <c r="HXL112" s="1740"/>
      <c r="HXM112" s="1740"/>
      <c r="HXN112" s="1740"/>
      <c r="HXO112" s="1740"/>
      <c r="HXP112" s="1740"/>
      <c r="HXQ112" s="1740"/>
      <c r="HXR112" s="1740"/>
      <c r="HXS112" s="1740"/>
      <c r="HXT112" s="1740"/>
      <c r="HXU112" s="1740"/>
      <c r="HXV112" s="1740"/>
      <c r="HXW112" s="1740"/>
      <c r="HXX112" s="1740"/>
      <c r="HXY112" s="1740"/>
      <c r="HXZ112" s="1740"/>
      <c r="HYA112" s="1740"/>
      <c r="HYB112" s="1740"/>
      <c r="HYC112" s="1740"/>
      <c r="HYD112" s="1740"/>
      <c r="HYE112" s="1740"/>
      <c r="HYF112" s="1740"/>
      <c r="HYG112" s="1740"/>
      <c r="HYH112" s="1740"/>
      <c r="HYI112" s="1740"/>
      <c r="HYJ112" s="1740"/>
      <c r="HYK112" s="1740"/>
      <c r="HYL112" s="1740"/>
      <c r="HYM112" s="1740"/>
      <c r="HYN112" s="1740"/>
      <c r="HYO112" s="1740"/>
      <c r="HYP112" s="1740"/>
      <c r="HYQ112" s="1740"/>
      <c r="HYR112" s="1740"/>
      <c r="HYS112" s="1740"/>
      <c r="HYT112" s="1740"/>
      <c r="HYU112" s="1740"/>
      <c r="HYV112" s="1740"/>
      <c r="HYW112" s="1740"/>
      <c r="HYX112" s="1740"/>
      <c r="HYY112" s="1740"/>
      <c r="HYZ112" s="1740"/>
      <c r="HZA112" s="1740"/>
      <c r="HZB112" s="1740"/>
      <c r="HZC112" s="1740"/>
      <c r="HZD112" s="1740"/>
      <c r="HZE112" s="1740"/>
      <c r="HZF112" s="1740"/>
      <c r="HZG112" s="1740"/>
      <c r="HZH112" s="1740"/>
      <c r="HZI112" s="1740"/>
      <c r="HZJ112" s="1740"/>
      <c r="HZK112" s="1740"/>
      <c r="HZL112" s="1740"/>
      <c r="HZM112" s="1740"/>
      <c r="HZN112" s="1740"/>
      <c r="HZO112" s="1740"/>
      <c r="HZP112" s="1740"/>
      <c r="HZQ112" s="1740"/>
      <c r="HZR112" s="1740"/>
      <c r="HZS112" s="1740"/>
      <c r="HZT112" s="1740"/>
      <c r="HZU112" s="1740"/>
      <c r="HZV112" s="1740"/>
      <c r="HZW112" s="1740"/>
      <c r="HZX112" s="1740"/>
      <c r="HZY112" s="1740"/>
      <c r="HZZ112" s="1740"/>
      <c r="IAA112" s="1740"/>
      <c r="IAB112" s="1740"/>
      <c r="IAC112" s="1740"/>
      <c r="IAD112" s="1740"/>
      <c r="IAE112" s="1740"/>
      <c r="IAF112" s="1740"/>
      <c r="IAG112" s="1740"/>
      <c r="IAH112" s="1740"/>
      <c r="IAI112" s="1740"/>
      <c r="IAJ112" s="1740"/>
      <c r="IAK112" s="1740"/>
      <c r="IAL112" s="1740"/>
      <c r="IAM112" s="1740"/>
      <c r="IAN112" s="1740"/>
      <c r="IAO112" s="1740"/>
      <c r="IAP112" s="1740"/>
      <c r="IAQ112" s="1740"/>
      <c r="IAR112" s="1740"/>
      <c r="IAS112" s="1740"/>
      <c r="IAT112" s="1740"/>
      <c r="IAU112" s="1740"/>
      <c r="IAV112" s="1740"/>
      <c r="IAW112" s="1740"/>
      <c r="IAX112" s="1740"/>
      <c r="IAY112" s="1740"/>
      <c r="IAZ112" s="1740"/>
      <c r="IBA112" s="1740"/>
      <c r="IBB112" s="1740"/>
      <c r="IBC112" s="1740"/>
      <c r="IBD112" s="1740"/>
      <c r="IBE112" s="1740"/>
      <c r="IBF112" s="1740"/>
      <c r="IBG112" s="1740"/>
      <c r="IBH112" s="1740"/>
      <c r="IBI112" s="1740"/>
      <c r="IBJ112" s="1740"/>
      <c r="IBK112" s="1740"/>
      <c r="IBL112" s="1740"/>
      <c r="IBM112" s="1740"/>
      <c r="IBN112" s="1740"/>
      <c r="IBO112" s="1740"/>
      <c r="IBP112" s="1740"/>
      <c r="IBQ112" s="1740"/>
      <c r="IBR112" s="1740"/>
      <c r="IBS112" s="1740"/>
      <c r="IBT112" s="1740"/>
      <c r="IBU112" s="1740"/>
      <c r="IBV112" s="1740"/>
      <c r="IBW112" s="1740"/>
      <c r="IBX112" s="1740"/>
      <c r="IBY112" s="1740"/>
      <c r="IBZ112" s="1740"/>
      <c r="ICA112" s="1740"/>
      <c r="ICB112" s="1740"/>
      <c r="ICC112" s="1740"/>
      <c r="ICD112" s="1740"/>
      <c r="ICE112" s="1740"/>
      <c r="ICF112" s="1740"/>
      <c r="ICG112" s="1740"/>
      <c r="ICH112" s="1740"/>
      <c r="ICI112" s="1740"/>
      <c r="ICJ112" s="1740"/>
      <c r="ICK112" s="1740"/>
      <c r="ICL112" s="1740"/>
      <c r="ICM112" s="1740"/>
      <c r="ICN112" s="1740"/>
      <c r="ICO112" s="1740"/>
      <c r="ICP112" s="1740"/>
      <c r="ICQ112" s="1740"/>
      <c r="ICR112" s="1740"/>
      <c r="ICS112" s="1740"/>
      <c r="ICT112" s="1740"/>
      <c r="ICU112" s="1740"/>
      <c r="ICV112" s="1740"/>
      <c r="ICW112" s="1740"/>
      <c r="ICX112" s="1740"/>
      <c r="ICY112" s="1740"/>
      <c r="ICZ112" s="1740"/>
      <c r="IDA112" s="1740"/>
      <c r="IDB112" s="1740"/>
      <c r="IDC112" s="1740"/>
      <c r="IDD112" s="1740"/>
      <c r="IDE112" s="1740"/>
      <c r="IDF112" s="1740"/>
      <c r="IDG112" s="1740"/>
      <c r="IDH112" s="1740"/>
      <c r="IDI112" s="1740"/>
      <c r="IDJ112" s="1740"/>
      <c r="IDK112" s="1740"/>
      <c r="IDL112" s="1740"/>
      <c r="IDM112" s="1740"/>
      <c r="IDN112" s="1740"/>
      <c r="IDO112" s="1740"/>
      <c r="IDP112" s="1740"/>
      <c r="IDQ112" s="1740"/>
      <c r="IDR112" s="1740"/>
      <c r="IDS112" s="1740"/>
      <c r="IDT112" s="1740"/>
      <c r="IDU112" s="1740"/>
      <c r="IDV112" s="1740"/>
      <c r="IDW112" s="1740"/>
      <c r="IDX112" s="1740"/>
      <c r="IDY112" s="1740"/>
      <c r="IDZ112" s="1740"/>
      <c r="IEA112" s="1740"/>
      <c r="IEB112" s="1740"/>
      <c r="IEC112" s="1740"/>
      <c r="IED112" s="1740"/>
      <c r="IEE112" s="1740"/>
      <c r="IEF112" s="1740"/>
      <c r="IEG112" s="1740"/>
      <c r="IEH112" s="1740"/>
      <c r="IEI112" s="1740"/>
      <c r="IEJ112" s="1740"/>
      <c r="IEK112" s="1740"/>
      <c r="IEL112" s="1740"/>
      <c r="IEM112" s="1740"/>
      <c r="IEN112" s="1740"/>
      <c r="IEO112" s="1740"/>
      <c r="IEP112" s="1740"/>
      <c r="IEQ112" s="1740"/>
      <c r="IER112" s="1740"/>
      <c r="IES112" s="1740"/>
      <c r="IET112" s="1740"/>
      <c r="IEU112" s="1740"/>
      <c r="IEV112" s="1740"/>
      <c r="IEW112" s="1740"/>
      <c r="IEX112" s="1740"/>
      <c r="IEY112" s="1740"/>
      <c r="IEZ112" s="1740"/>
      <c r="IFA112" s="1740"/>
      <c r="IFB112" s="1740"/>
      <c r="IFC112" s="1740"/>
      <c r="IFD112" s="1740"/>
      <c r="IFE112" s="1740"/>
      <c r="IFF112" s="1740"/>
      <c r="IFG112" s="1740"/>
      <c r="IFH112" s="1740"/>
      <c r="IFI112" s="1740"/>
      <c r="IFJ112" s="1740"/>
      <c r="IFK112" s="1740"/>
      <c r="IFL112" s="1740"/>
      <c r="IFM112" s="1740"/>
      <c r="IFN112" s="1740"/>
      <c r="IFO112" s="1740"/>
      <c r="IFP112" s="1740"/>
      <c r="IFQ112" s="1740"/>
      <c r="IFR112" s="1740"/>
      <c r="IFS112" s="1740"/>
      <c r="IFT112" s="1740"/>
      <c r="IFU112" s="1740"/>
      <c r="IFV112" s="1740"/>
      <c r="IFW112" s="1740"/>
      <c r="IFX112" s="1740"/>
      <c r="IFY112" s="1740"/>
      <c r="IFZ112" s="1740"/>
      <c r="IGA112" s="1740"/>
      <c r="IGB112" s="1740"/>
      <c r="IGC112" s="1740"/>
      <c r="IGD112" s="1740"/>
      <c r="IGE112" s="1740"/>
      <c r="IGF112" s="1740"/>
      <c r="IGG112" s="1740"/>
      <c r="IGH112" s="1740"/>
      <c r="IGI112" s="1740"/>
      <c r="IGJ112" s="1740"/>
      <c r="IGK112" s="1740"/>
      <c r="IGL112" s="1740"/>
      <c r="IGM112" s="1740"/>
      <c r="IGN112" s="1740"/>
      <c r="IGO112" s="1740"/>
      <c r="IGP112" s="1740"/>
      <c r="IGQ112" s="1740"/>
      <c r="IGR112" s="1740"/>
      <c r="IGS112" s="1740"/>
      <c r="IGT112" s="1740"/>
      <c r="IGU112" s="1740"/>
      <c r="IGV112" s="1740"/>
      <c r="IGW112" s="1740"/>
      <c r="IGX112" s="1740"/>
      <c r="IGY112" s="1740"/>
      <c r="IGZ112" s="1740"/>
      <c r="IHA112" s="1740"/>
      <c r="IHB112" s="1740"/>
      <c r="IHC112" s="1740"/>
      <c r="IHD112" s="1740"/>
      <c r="IHE112" s="1740"/>
      <c r="IHF112" s="1740"/>
      <c r="IHG112" s="1740"/>
      <c r="IHH112" s="1740"/>
      <c r="IHI112" s="1740"/>
      <c r="IHJ112" s="1740"/>
      <c r="IHK112" s="1740"/>
      <c r="IHL112" s="1740"/>
      <c r="IHM112" s="1740"/>
      <c r="IHN112" s="1740"/>
      <c r="IHO112" s="1740"/>
      <c r="IHP112" s="1740"/>
      <c r="IHQ112" s="1740"/>
      <c r="IHR112" s="1740"/>
      <c r="IHS112" s="1740"/>
      <c r="IHT112" s="1740"/>
      <c r="IHU112" s="1740"/>
      <c r="IHV112" s="1740"/>
      <c r="IHW112" s="1740"/>
      <c r="IHX112" s="1740"/>
      <c r="IHY112" s="1740"/>
      <c r="IHZ112" s="1740"/>
      <c r="IIA112" s="1740"/>
      <c r="IIB112" s="1740"/>
      <c r="IIC112" s="1740"/>
      <c r="IID112" s="1740"/>
      <c r="IIE112" s="1740"/>
      <c r="IIF112" s="1740"/>
      <c r="IIG112" s="1740"/>
      <c r="IIH112" s="1740"/>
      <c r="III112" s="1740"/>
      <c r="IIJ112" s="1740"/>
      <c r="IIK112" s="1740"/>
      <c r="IIL112" s="1740"/>
      <c r="IIM112" s="1740"/>
      <c r="IIN112" s="1740"/>
      <c r="IIO112" s="1740"/>
      <c r="IIP112" s="1740"/>
      <c r="IIQ112" s="1740"/>
      <c r="IIR112" s="1740"/>
      <c r="IIS112" s="1740"/>
      <c r="IIT112" s="1740"/>
      <c r="IIU112" s="1740"/>
      <c r="IIV112" s="1740"/>
      <c r="IIW112" s="1740"/>
      <c r="IIX112" s="1740"/>
      <c r="IIY112" s="1740"/>
      <c r="IIZ112" s="1740"/>
      <c r="IJA112" s="1740"/>
      <c r="IJB112" s="1740"/>
      <c r="IJC112" s="1740"/>
      <c r="IJD112" s="1740"/>
      <c r="IJE112" s="1740"/>
      <c r="IJF112" s="1740"/>
      <c r="IJG112" s="1740"/>
      <c r="IJH112" s="1740"/>
      <c r="IJI112" s="1740"/>
      <c r="IJJ112" s="1740"/>
      <c r="IJK112" s="1740"/>
      <c r="IJL112" s="1740"/>
      <c r="IJM112" s="1740"/>
      <c r="IJN112" s="1740"/>
      <c r="IJO112" s="1740"/>
      <c r="IJP112" s="1740"/>
      <c r="IJQ112" s="1740"/>
      <c r="IJR112" s="1740"/>
      <c r="IJS112" s="1740"/>
      <c r="IJT112" s="1740"/>
      <c r="IJU112" s="1740"/>
      <c r="IJV112" s="1740"/>
      <c r="IJW112" s="1740"/>
      <c r="IJX112" s="1740"/>
      <c r="IJY112" s="1740"/>
      <c r="IJZ112" s="1740"/>
      <c r="IKA112" s="1740"/>
      <c r="IKB112" s="1740"/>
      <c r="IKC112" s="1740"/>
      <c r="IKD112" s="1740"/>
      <c r="IKE112" s="1740"/>
      <c r="IKF112" s="1740"/>
      <c r="IKG112" s="1740"/>
      <c r="IKH112" s="1740"/>
      <c r="IKI112" s="1740"/>
      <c r="IKJ112" s="1740"/>
      <c r="IKK112" s="1740"/>
      <c r="IKL112" s="1740"/>
      <c r="IKM112" s="1740"/>
      <c r="IKN112" s="1740"/>
      <c r="IKO112" s="1740"/>
      <c r="IKP112" s="1740"/>
      <c r="IKQ112" s="1740"/>
      <c r="IKR112" s="1740"/>
      <c r="IKS112" s="1740"/>
      <c r="IKT112" s="1740"/>
      <c r="IKU112" s="1740"/>
      <c r="IKV112" s="1740"/>
      <c r="IKW112" s="1740"/>
      <c r="IKX112" s="1740"/>
      <c r="IKY112" s="1740"/>
      <c r="IKZ112" s="1740"/>
      <c r="ILA112" s="1740"/>
      <c r="ILB112" s="1740"/>
      <c r="ILC112" s="1740"/>
      <c r="ILD112" s="1740"/>
      <c r="ILE112" s="1740"/>
      <c r="ILF112" s="1740"/>
      <c r="ILG112" s="1740"/>
      <c r="ILH112" s="1740"/>
      <c r="ILI112" s="1740"/>
      <c r="ILJ112" s="1740"/>
      <c r="ILK112" s="1740"/>
      <c r="ILL112" s="1740"/>
      <c r="ILM112" s="1740"/>
      <c r="ILN112" s="1740"/>
      <c r="ILO112" s="1740"/>
      <c r="ILP112" s="1740"/>
      <c r="ILQ112" s="1740"/>
      <c r="ILR112" s="1740"/>
      <c r="ILS112" s="1740"/>
      <c r="ILT112" s="1740"/>
      <c r="ILU112" s="1740"/>
      <c r="ILV112" s="1740"/>
      <c r="ILW112" s="1740"/>
      <c r="ILX112" s="1740"/>
      <c r="ILY112" s="1740"/>
      <c r="ILZ112" s="1740"/>
      <c r="IMA112" s="1740"/>
      <c r="IMB112" s="1740"/>
      <c r="IMC112" s="1740"/>
      <c r="IMD112" s="1740"/>
      <c r="IME112" s="1740"/>
      <c r="IMF112" s="1740"/>
      <c r="IMG112" s="1740"/>
      <c r="IMH112" s="1740"/>
      <c r="IMI112" s="1740"/>
      <c r="IMJ112" s="1740"/>
      <c r="IMK112" s="1740"/>
      <c r="IML112" s="1740"/>
      <c r="IMM112" s="1740"/>
      <c r="IMN112" s="1740"/>
      <c r="IMO112" s="1740"/>
      <c r="IMP112" s="1740"/>
      <c r="IMQ112" s="1740"/>
      <c r="IMR112" s="1740"/>
      <c r="IMS112" s="1740"/>
      <c r="IMT112" s="1740"/>
      <c r="IMU112" s="1740"/>
      <c r="IMV112" s="1740"/>
      <c r="IMW112" s="1740"/>
      <c r="IMX112" s="1740"/>
      <c r="IMY112" s="1740"/>
      <c r="IMZ112" s="1740"/>
      <c r="INA112" s="1740"/>
      <c r="INB112" s="1740"/>
      <c r="INC112" s="1740"/>
      <c r="IND112" s="1740"/>
      <c r="INE112" s="1740"/>
      <c r="INF112" s="1740"/>
      <c r="ING112" s="1740"/>
      <c r="INH112" s="1740"/>
      <c r="INI112" s="1740"/>
      <c r="INJ112" s="1740"/>
      <c r="INK112" s="1740"/>
      <c r="INL112" s="1740"/>
      <c r="INM112" s="1740"/>
      <c r="INN112" s="1740"/>
      <c r="INO112" s="1740"/>
      <c r="INP112" s="1740"/>
      <c r="INQ112" s="1740"/>
      <c r="INR112" s="1740"/>
      <c r="INS112" s="1740"/>
      <c r="INT112" s="1740"/>
      <c r="INU112" s="1740"/>
      <c r="INV112" s="1740"/>
      <c r="INW112" s="1740"/>
      <c r="INX112" s="1740"/>
      <c r="INY112" s="1740"/>
      <c r="INZ112" s="1740"/>
      <c r="IOA112" s="1740"/>
      <c r="IOB112" s="1740"/>
      <c r="IOC112" s="1740"/>
      <c r="IOD112" s="1740"/>
      <c r="IOE112" s="1740"/>
      <c r="IOF112" s="1740"/>
      <c r="IOG112" s="1740"/>
      <c r="IOH112" s="1740"/>
      <c r="IOI112" s="1740"/>
      <c r="IOJ112" s="1740"/>
      <c r="IOK112" s="1740"/>
      <c r="IOL112" s="1740"/>
      <c r="IOM112" s="1740"/>
      <c r="ION112" s="1740"/>
      <c r="IOO112" s="1740"/>
      <c r="IOP112" s="1740"/>
      <c r="IOQ112" s="1740"/>
      <c r="IOR112" s="1740"/>
      <c r="IOS112" s="1740"/>
      <c r="IOT112" s="1740"/>
      <c r="IOU112" s="1740"/>
      <c r="IOV112" s="1740"/>
      <c r="IOW112" s="1740"/>
      <c r="IOX112" s="1740"/>
      <c r="IOY112" s="1740"/>
      <c r="IOZ112" s="1740"/>
      <c r="IPA112" s="1740"/>
      <c r="IPB112" s="1740"/>
      <c r="IPC112" s="1740"/>
      <c r="IPD112" s="1740"/>
      <c r="IPE112" s="1740"/>
      <c r="IPF112" s="1740"/>
      <c r="IPG112" s="1740"/>
      <c r="IPH112" s="1740"/>
      <c r="IPI112" s="1740"/>
      <c r="IPJ112" s="1740"/>
      <c r="IPK112" s="1740"/>
      <c r="IPL112" s="1740"/>
      <c r="IPM112" s="1740"/>
      <c r="IPN112" s="1740"/>
      <c r="IPO112" s="1740"/>
      <c r="IPP112" s="1740"/>
      <c r="IPQ112" s="1740"/>
      <c r="IPR112" s="1740"/>
      <c r="IPS112" s="1740"/>
      <c r="IPT112" s="1740"/>
      <c r="IPU112" s="1740"/>
      <c r="IPV112" s="1740"/>
      <c r="IPW112" s="1740"/>
      <c r="IPX112" s="1740"/>
      <c r="IPY112" s="1740"/>
      <c r="IPZ112" s="1740"/>
      <c r="IQA112" s="1740"/>
      <c r="IQB112" s="1740"/>
      <c r="IQC112" s="1740"/>
      <c r="IQD112" s="1740"/>
      <c r="IQE112" s="1740"/>
      <c r="IQF112" s="1740"/>
      <c r="IQG112" s="1740"/>
      <c r="IQH112" s="1740"/>
      <c r="IQI112" s="1740"/>
      <c r="IQJ112" s="1740"/>
      <c r="IQK112" s="1740"/>
      <c r="IQL112" s="1740"/>
      <c r="IQM112" s="1740"/>
      <c r="IQN112" s="1740"/>
      <c r="IQO112" s="1740"/>
      <c r="IQP112" s="1740"/>
      <c r="IQQ112" s="1740"/>
      <c r="IQR112" s="1740"/>
      <c r="IQS112" s="1740"/>
      <c r="IQT112" s="1740"/>
      <c r="IQU112" s="1740"/>
      <c r="IQV112" s="1740"/>
      <c r="IQW112" s="1740"/>
      <c r="IQX112" s="1740"/>
      <c r="IQY112" s="1740"/>
      <c r="IQZ112" s="1740"/>
      <c r="IRA112" s="1740"/>
      <c r="IRB112" s="1740"/>
      <c r="IRC112" s="1740"/>
      <c r="IRD112" s="1740"/>
      <c r="IRE112" s="1740"/>
      <c r="IRF112" s="1740"/>
      <c r="IRG112" s="1740"/>
      <c r="IRH112" s="1740"/>
      <c r="IRI112" s="1740"/>
      <c r="IRJ112" s="1740"/>
      <c r="IRK112" s="1740"/>
      <c r="IRL112" s="1740"/>
      <c r="IRM112" s="1740"/>
      <c r="IRN112" s="1740"/>
      <c r="IRO112" s="1740"/>
      <c r="IRP112" s="1740"/>
      <c r="IRQ112" s="1740"/>
      <c r="IRR112" s="1740"/>
      <c r="IRS112" s="1740"/>
      <c r="IRT112" s="1740"/>
      <c r="IRU112" s="1740"/>
      <c r="IRV112" s="1740"/>
      <c r="IRW112" s="1740"/>
      <c r="IRX112" s="1740"/>
      <c r="IRY112" s="1740"/>
      <c r="IRZ112" s="1740"/>
      <c r="ISA112" s="1740"/>
      <c r="ISB112" s="1740"/>
      <c r="ISC112" s="1740"/>
      <c r="ISD112" s="1740"/>
      <c r="ISE112" s="1740"/>
      <c r="ISF112" s="1740"/>
      <c r="ISG112" s="1740"/>
      <c r="ISH112" s="1740"/>
      <c r="ISI112" s="1740"/>
      <c r="ISJ112" s="1740"/>
      <c r="ISK112" s="1740"/>
      <c r="ISL112" s="1740"/>
      <c r="ISM112" s="1740"/>
      <c r="ISN112" s="1740"/>
      <c r="ISO112" s="1740"/>
      <c r="ISP112" s="1740"/>
      <c r="ISQ112" s="1740"/>
      <c r="ISR112" s="1740"/>
      <c r="ISS112" s="1740"/>
      <c r="IST112" s="1740"/>
      <c r="ISU112" s="1740"/>
      <c r="ISV112" s="1740"/>
      <c r="ISW112" s="1740"/>
      <c r="ISX112" s="1740"/>
      <c r="ISY112" s="1740"/>
      <c r="ISZ112" s="1740"/>
      <c r="ITA112" s="1740"/>
      <c r="ITB112" s="1740"/>
      <c r="ITC112" s="1740"/>
      <c r="ITD112" s="1740"/>
      <c r="ITE112" s="1740"/>
      <c r="ITF112" s="1740"/>
      <c r="ITG112" s="1740"/>
      <c r="ITH112" s="1740"/>
      <c r="ITI112" s="1740"/>
      <c r="ITJ112" s="1740"/>
      <c r="ITK112" s="1740"/>
      <c r="ITL112" s="1740"/>
      <c r="ITM112" s="1740"/>
      <c r="ITN112" s="1740"/>
      <c r="ITO112" s="1740"/>
      <c r="ITP112" s="1740"/>
      <c r="ITQ112" s="1740"/>
      <c r="ITR112" s="1740"/>
      <c r="ITS112" s="1740"/>
      <c r="ITT112" s="1740"/>
      <c r="ITU112" s="1740"/>
      <c r="ITV112" s="1740"/>
      <c r="ITW112" s="1740"/>
      <c r="ITX112" s="1740"/>
      <c r="ITY112" s="1740"/>
      <c r="ITZ112" s="1740"/>
      <c r="IUA112" s="1740"/>
      <c r="IUB112" s="1740"/>
      <c r="IUC112" s="1740"/>
      <c r="IUD112" s="1740"/>
      <c r="IUE112" s="1740"/>
      <c r="IUF112" s="1740"/>
      <c r="IUG112" s="1740"/>
      <c r="IUH112" s="1740"/>
      <c r="IUI112" s="1740"/>
      <c r="IUJ112" s="1740"/>
      <c r="IUK112" s="1740"/>
      <c r="IUL112" s="1740"/>
      <c r="IUM112" s="1740"/>
      <c r="IUN112" s="1740"/>
      <c r="IUO112" s="1740"/>
      <c r="IUP112" s="1740"/>
      <c r="IUQ112" s="1740"/>
      <c r="IUR112" s="1740"/>
      <c r="IUS112" s="1740"/>
      <c r="IUT112" s="1740"/>
      <c r="IUU112" s="1740"/>
      <c r="IUV112" s="1740"/>
      <c r="IUW112" s="1740"/>
      <c r="IUX112" s="1740"/>
      <c r="IUY112" s="1740"/>
      <c r="IUZ112" s="1740"/>
      <c r="IVA112" s="1740"/>
      <c r="IVB112" s="1740"/>
      <c r="IVC112" s="1740"/>
      <c r="IVD112" s="1740"/>
      <c r="IVE112" s="1740"/>
      <c r="IVF112" s="1740"/>
      <c r="IVG112" s="1740"/>
      <c r="IVH112" s="1740"/>
      <c r="IVI112" s="1740"/>
      <c r="IVJ112" s="1740"/>
      <c r="IVK112" s="1740"/>
      <c r="IVL112" s="1740"/>
      <c r="IVM112" s="1740"/>
      <c r="IVN112" s="1740"/>
      <c r="IVO112" s="1740"/>
      <c r="IVP112" s="1740"/>
      <c r="IVQ112" s="1740"/>
      <c r="IVR112" s="1740"/>
      <c r="IVS112" s="1740"/>
      <c r="IVT112" s="1740"/>
      <c r="IVU112" s="1740"/>
      <c r="IVV112" s="1740"/>
      <c r="IVW112" s="1740"/>
      <c r="IVX112" s="1740"/>
      <c r="IVY112" s="1740"/>
      <c r="IVZ112" s="1740"/>
      <c r="IWA112" s="1740"/>
      <c r="IWB112" s="1740"/>
      <c r="IWC112" s="1740"/>
      <c r="IWD112" s="1740"/>
      <c r="IWE112" s="1740"/>
      <c r="IWF112" s="1740"/>
      <c r="IWG112" s="1740"/>
      <c r="IWH112" s="1740"/>
      <c r="IWI112" s="1740"/>
      <c r="IWJ112" s="1740"/>
      <c r="IWK112" s="1740"/>
      <c r="IWL112" s="1740"/>
      <c r="IWM112" s="1740"/>
      <c r="IWN112" s="1740"/>
      <c r="IWO112" s="1740"/>
      <c r="IWP112" s="1740"/>
      <c r="IWQ112" s="1740"/>
      <c r="IWR112" s="1740"/>
      <c r="IWS112" s="1740"/>
      <c r="IWT112" s="1740"/>
      <c r="IWU112" s="1740"/>
      <c r="IWV112" s="1740"/>
      <c r="IWW112" s="1740"/>
      <c r="IWX112" s="1740"/>
      <c r="IWY112" s="1740"/>
      <c r="IWZ112" s="1740"/>
      <c r="IXA112" s="1740"/>
      <c r="IXB112" s="1740"/>
      <c r="IXC112" s="1740"/>
      <c r="IXD112" s="1740"/>
      <c r="IXE112" s="1740"/>
      <c r="IXF112" s="1740"/>
      <c r="IXG112" s="1740"/>
      <c r="IXH112" s="1740"/>
      <c r="IXI112" s="1740"/>
      <c r="IXJ112" s="1740"/>
      <c r="IXK112" s="1740"/>
      <c r="IXL112" s="1740"/>
      <c r="IXM112" s="1740"/>
      <c r="IXN112" s="1740"/>
      <c r="IXO112" s="1740"/>
      <c r="IXP112" s="1740"/>
      <c r="IXQ112" s="1740"/>
      <c r="IXR112" s="1740"/>
      <c r="IXS112" s="1740"/>
      <c r="IXT112" s="1740"/>
      <c r="IXU112" s="1740"/>
      <c r="IXV112" s="1740"/>
      <c r="IXW112" s="1740"/>
      <c r="IXX112" s="1740"/>
      <c r="IXY112" s="1740"/>
      <c r="IXZ112" s="1740"/>
      <c r="IYA112" s="1740"/>
      <c r="IYB112" s="1740"/>
      <c r="IYC112" s="1740"/>
      <c r="IYD112" s="1740"/>
      <c r="IYE112" s="1740"/>
      <c r="IYF112" s="1740"/>
      <c r="IYG112" s="1740"/>
      <c r="IYH112" s="1740"/>
      <c r="IYI112" s="1740"/>
      <c r="IYJ112" s="1740"/>
      <c r="IYK112" s="1740"/>
      <c r="IYL112" s="1740"/>
      <c r="IYM112" s="1740"/>
      <c r="IYN112" s="1740"/>
      <c r="IYO112" s="1740"/>
      <c r="IYP112" s="1740"/>
      <c r="IYQ112" s="1740"/>
      <c r="IYR112" s="1740"/>
      <c r="IYS112" s="1740"/>
      <c r="IYT112" s="1740"/>
      <c r="IYU112" s="1740"/>
      <c r="IYV112" s="1740"/>
      <c r="IYW112" s="1740"/>
      <c r="IYX112" s="1740"/>
      <c r="IYY112" s="1740"/>
      <c r="IYZ112" s="1740"/>
      <c r="IZA112" s="1740"/>
      <c r="IZB112" s="1740"/>
      <c r="IZC112" s="1740"/>
      <c r="IZD112" s="1740"/>
      <c r="IZE112" s="1740"/>
      <c r="IZF112" s="1740"/>
      <c r="IZG112" s="1740"/>
      <c r="IZH112" s="1740"/>
      <c r="IZI112" s="1740"/>
      <c r="IZJ112" s="1740"/>
      <c r="IZK112" s="1740"/>
      <c r="IZL112" s="1740"/>
      <c r="IZM112" s="1740"/>
      <c r="IZN112" s="1740"/>
      <c r="IZO112" s="1740"/>
      <c r="IZP112" s="1740"/>
      <c r="IZQ112" s="1740"/>
      <c r="IZR112" s="1740"/>
      <c r="IZS112" s="1740"/>
      <c r="IZT112" s="1740"/>
      <c r="IZU112" s="1740"/>
      <c r="IZV112" s="1740"/>
      <c r="IZW112" s="1740"/>
      <c r="IZX112" s="1740"/>
      <c r="IZY112" s="1740"/>
      <c r="IZZ112" s="1740"/>
      <c r="JAA112" s="1740"/>
      <c r="JAB112" s="1740"/>
      <c r="JAC112" s="1740"/>
      <c r="JAD112" s="1740"/>
      <c r="JAE112" s="1740"/>
      <c r="JAF112" s="1740"/>
      <c r="JAG112" s="1740"/>
      <c r="JAH112" s="1740"/>
      <c r="JAI112" s="1740"/>
      <c r="JAJ112" s="1740"/>
      <c r="JAK112" s="1740"/>
      <c r="JAL112" s="1740"/>
      <c r="JAM112" s="1740"/>
      <c r="JAN112" s="1740"/>
      <c r="JAO112" s="1740"/>
      <c r="JAP112" s="1740"/>
      <c r="JAQ112" s="1740"/>
      <c r="JAR112" s="1740"/>
      <c r="JAS112" s="1740"/>
      <c r="JAT112" s="1740"/>
      <c r="JAU112" s="1740"/>
      <c r="JAV112" s="1740"/>
      <c r="JAW112" s="1740"/>
      <c r="JAX112" s="1740"/>
      <c r="JAY112" s="1740"/>
      <c r="JAZ112" s="1740"/>
      <c r="JBA112" s="1740"/>
      <c r="JBB112" s="1740"/>
      <c r="JBC112" s="1740"/>
      <c r="JBD112" s="1740"/>
      <c r="JBE112" s="1740"/>
      <c r="JBF112" s="1740"/>
      <c r="JBG112" s="1740"/>
      <c r="JBH112" s="1740"/>
      <c r="JBI112" s="1740"/>
      <c r="JBJ112" s="1740"/>
      <c r="JBK112" s="1740"/>
      <c r="JBL112" s="1740"/>
      <c r="JBM112" s="1740"/>
      <c r="JBN112" s="1740"/>
      <c r="JBO112" s="1740"/>
      <c r="JBP112" s="1740"/>
      <c r="JBQ112" s="1740"/>
      <c r="JBR112" s="1740"/>
      <c r="JBS112" s="1740"/>
      <c r="JBT112" s="1740"/>
      <c r="JBU112" s="1740"/>
      <c r="JBV112" s="1740"/>
      <c r="JBW112" s="1740"/>
      <c r="JBX112" s="1740"/>
      <c r="JBY112" s="1740"/>
      <c r="JBZ112" s="1740"/>
      <c r="JCA112" s="1740"/>
      <c r="JCB112" s="1740"/>
      <c r="JCC112" s="1740"/>
      <c r="JCD112" s="1740"/>
      <c r="JCE112" s="1740"/>
      <c r="JCF112" s="1740"/>
      <c r="JCG112" s="1740"/>
      <c r="JCH112" s="1740"/>
      <c r="JCI112" s="1740"/>
      <c r="JCJ112" s="1740"/>
      <c r="JCK112" s="1740"/>
      <c r="JCL112" s="1740"/>
      <c r="JCM112" s="1740"/>
      <c r="JCN112" s="1740"/>
      <c r="JCO112" s="1740"/>
      <c r="JCP112" s="1740"/>
      <c r="JCQ112" s="1740"/>
      <c r="JCR112" s="1740"/>
      <c r="JCS112" s="1740"/>
      <c r="JCT112" s="1740"/>
      <c r="JCU112" s="1740"/>
      <c r="JCV112" s="1740"/>
      <c r="JCW112" s="1740"/>
      <c r="JCX112" s="1740"/>
      <c r="JCY112" s="1740"/>
      <c r="JCZ112" s="1740"/>
      <c r="JDA112" s="1740"/>
      <c r="JDB112" s="1740"/>
      <c r="JDC112" s="1740"/>
      <c r="JDD112" s="1740"/>
      <c r="JDE112" s="1740"/>
      <c r="JDF112" s="1740"/>
      <c r="JDG112" s="1740"/>
      <c r="JDH112" s="1740"/>
      <c r="JDI112" s="1740"/>
      <c r="JDJ112" s="1740"/>
      <c r="JDK112" s="1740"/>
      <c r="JDL112" s="1740"/>
      <c r="JDM112" s="1740"/>
      <c r="JDN112" s="1740"/>
      <c r="JDO112" s="1740"/>
      <c r="JDP112" s="1740"/>
      <c r="JDQ112" s="1740"/>
      <c r="JDR112" s="1740"/>
      <c r="JDS112" s="1740"/>
      <c r="JDT112" s="1740"/>
      <c r="JDU112" s="1740"/>
      <c r="JDV112" s="1740"/>
      <c r="JDW112" s="1740"/>
      <c r="JDX112" s="1740"/>
      <c r="JDY112" s="1740"/>
      <c r="JDZ112" s="1740"/>
      <c r="JEA112" s="1740"/>
      <c r="JEB112" s="1740"/>
      <c r="JEC112" s="1740"/>
      <c r="JED112" s="1740"/>
      <c r="JEE112" s="1740"/>
      <c r="JEF112" s="1740"/>
      <c r="JEG112" s="1740"/>
      <c r="JEH112" s="1740"/>
      <c r="JEI112" s="1740"/>
      <c r="JEJ112" s="1740"/>
      <c r="JEK112" s="1740"/>
      <c r="JEL112" s="1740"/>
      <c r="JEM112" s="1740"/>
      <c r="JEN112" s="1740"/>
      <c r="JEO112" s="1740"/>
      <c r="JEP112" s="1740"/>
      <c r="JEQ112" s="1740"/>
      <c r="JER112" s="1740"/>
      <c r="JES112" s="1740"/>
      <c r="JET112" s="1740"/>
      <c r="JEU112" s="1740"/>
      <c r="JEV112" s="1740"/>
      <c r="JEW112" s="1740"/>
      <c r="JEX112" s="1740"/>
      <c r="JEY112" s="1740"/>
      <c r="JEZ112" s="1740"/>
      <c r="JFA112" s="1740"/>
      <c r="JFB112" s="1740"/>
      <c r="JFC112" s="1740"/>
      <c r="JFD112" s="1740"/>
      <c r="JFE112" s="1740"/>
      <c r="JFF112" s="1740"/>
      <c r="JFG112" s="1740"/>
      <c r="JFH112" s="1740"/>
      <c r="JFI112" s="1740"/>
      <c r="JFJ112" s="1740"/>
      <c r="JFK112" s="1740"/>
      <c r="JFL112" s="1740"/>
      <c r="JFM112" s="1740"/>
      <c r="JFN112" s="1740"/>
      <c r="JFO112" s="1740"/>
      <c r="JFP112" s="1740"/>
      <c r="JFQ112" s="1740"/>
      <c r="JFR112" s="1740"/>
      <c r="JFS112" s="1740"/>
      <c r="JFT112" s="1740"/>
      <c r="JFU112" s="1740"/>
      <c r="JFV112" s="1740"/>
      <c r="JFW112" s="1740"/>
      <c r="JFX112" s="1740"/>
      <c r="JFY112" s="1740"/>
      <c r="JFZ112" s="1740"/>
      <c r="JGA112" s="1740"/>
      <c r="JGB112" s="1740"/>
      <c r="JGC112" s="1740"/>
      <c r="JGD112" s="1740"/>
      <c r="JGE112" s="1740"/>
      <c r="JGF112" s="1740"/>
      <c r="JGG112" s="1740"/>
      <c r="JGH112" s="1740"/>
      <c r="JGI112" s="1740"/>
      <c r="JGJ112" s="1740"/>
      <c r="JGK112" s="1740"/>
      <c r="JGL112" s="1740"/>
      <c r="JGM112" s="1740"/>
      <c r="JGN112" s="1740"/>
      <c r="JGO112" s="1740"/>
      <c r="JGP112" s="1740"/>
      <c r="JGQ112" s="1740"/>
      <c r="JGR112" s="1740"/>
      <c r="JGS112" s="1740"/>
      <c r="JGT112" s="1740"/>
      <c r="JGU112" s="1740"/>
      <c r="JGV112" s="1740"/>
      <c r="JGW112" s="1740"/>
      <c r="JGX112" s="1740"/>
      <c r="JGY112" s="1740"/>
      <c r="JGZ112" s="1740"/>
      <c r="JHA112" s="1740"/>
      <c r="JHB112" s="1740"/>
      <c r="JHC112" s="1740"/>
      <c r="JHD112" s="1740"/>
      <c r="JHE112" s="1740"/>
      <c r="JHF112" s="1740"/>
      <c r="JHG112" s="1740"/>
      <c r="JHH112" s="1740"/>
      <c r="JHI112" s="1740"/>
      <c r="JHJ112" s="1740"/>
      <c r="JHK112" s="1740"/>
      <c r="JHL112" s="1740"/>
      <c r="JHM112" s="1740"/>
      <c r="JHN112" s="1740"/>
      <c r="JHO112" s="1740"/>
      <c r="JHP112" s="1740"/>
      <c r="JHQ112" s="1740"/>
      <c r="JHR112" s="1740"/>
      <c r="JHS112" s="1740"/>
      <c r="JHT112" s="1740"/>
      <c r="JHU112" s="1740"/>
      <c r="JHV112" s="1740"/>
      <c r="JHW112" s="1740"/>
      <c r="JHX112" s="1740"/>
      <c r="JHY112" s="1740"/>
      <c r="JHZ112" s="1740"/>
      <c r="JIA112" s="1740"/>
      <c r="JIB112" s="1740"/>
      <c r="JIC112" s="1740"/>
      <c r="JID112" s="1740"/>
      <c r="JIE112" s="1740"/>
      <c r="JIF112" s="1740"/>
      <c r="JIG112" s="1740"/>
      <c r="JIH112" s="1740"/>
      <c r="JII112" s="1740"/>
      <c r="JIJ112" s="1740"/>
      <c r="JIK112" s="1740"/>
      <c r="JIL112" s="1740"/>
      <c r="JIM112" s="1740"/>
      <c r="JIN112" s="1740"/>
      <c r="JIO112" s="1740"/>
      <c r="JIP112" s="1740"/>
      <c r="JIQ112" s="1740"/>
      <c r="JIR112" s="1740"/>
      <c r="JIS112" s="1740"/>
      <c r="JIT112" s="1740"/>
      <c r="JIU112" s="1740"/>
      <c r="JIV112" s="1740"/>
      <c r="JIW112" s="1740"/>
      <c r="JIX112" s="1740"/>
      <c r="JIY112" s="1740"/>
      <c r="JIZ112" s="1740"/>
      <c r="JJA112" s="1740"/>
      <c r="JJB112" s="1740"/>
      <c r="JJC112" s="1740"/>
      <c r="JJD112" s="1740"/>
      <c r="JJE112" s="1740"/>
      <c r="JJF112" s="1740"/>
      <c r="JJG112" s="1740"/>
      <c r="JJH112" s="1740"/>
      <c r="JJI112" s="1740"/>
      <c r="JJJ112" s="1740"/>
      <c r="JJK112" s="1740"/>
      <c r="JJL112" s="1740"/>
      <c r="JJM112" s="1740"/>
      <c r="JJN112" s="1740"/>
      <c r="JJO112" s="1740"/>
      <c r="JJP112" s="1740"/>
      <c r="JJQ112" s="1740"/>
      <c r="JJR112" s="1740"/>
      <c r="JJS112" s="1740"/>
      <c r="JJT112" s="1740"/>
      <c r="JJU112" s="1740"/>
      <c r="JJV112" s="1740"/>
      <c r="JJW112" s="1740"/>
      <c r="JJX112" s="1740"/>
      <c r="JJY112" s="1740"/>
      <c r="JJZ112" s="1740"/>
      <c r="JKA112" s="1740"/>
      <c r="JKB112" s="1740"/>
      <c r="JKC112" s="1740"/>
      <c r="JKD112" s="1740"/>
      <c r="JKE112" s="1740"/>
      <c r="JKF112" s="1740"/>
      <c r="JKG112" s="1740"/>
      <c r="JKH112" s="1740"/>
      <c r="JKI112" s="1740"/>
      <c r="JKJ112" s="1740"/>
      <c r="JKK112" s="1740"/>
      <c r="JKL112" s="1740"/>
      <c r="JKM112" s="1740"/>
      <c r="JKN112" s="1740"/>
      <c r="JKO112" s="1740"/>
      <c r="JKP112" s="1740"/>
      <c r="JKQ112" s="1740"/>
      <c r="JKR112" s="1740"/>
      <c r="JKS112" s="1740"/>
      <c r="JKT112" s="1740"/>
      <c r="JKU112" s="1740"/>
      <c r="JKV112" s="1740"/>
      <c r="JKW112" s="1740"/>
      <c r="JKX112" s="1740"/>
      <c r="JKY112" s="1740"/>
      <c r="JKZ112" s="1740"/>
      <c r="JLA112" s="1740"/>
      <c r="JLB112" s="1740"/>
      <c r="JLC112" s="1740"/>
      <c r="JLD112" s="1740"/>
      <c r="JLE112" s="1740"/>
      <c r="JLF112" s="1740"/>
      <c r="JLG112" s="1740"/>
      <c r="JLH112" s="1740"/>
      <c r="JLI112" s="1740"/>
      <c r="JLJ112" s="1740"/>
      <c r="JLK112" s="1740"/>
      <c r="JLL112" s="1740"/>
      <c r="JLM112" s="1740"/>
      <c r="JLN112" s="1740"/>
      <c r="JLO112" s="1740"/>
      <c r="JLP112" s="1740"/>
      <c r="JLQ112" s="1740"/>
      <c r="JLR112" s="1740"/>
      <c r="JLS112" s="1740"/>
      <c r="JLT112" s="1740"/>
      <c r="JLU112" s="1740"/>
      <c r="JLV112" s="1740"/>
      <c r="JLW112" s="1740"/>
      <c r="JLX112" s="1740"/>
      <c r="JLY112" s="1740"/>
      <c r="JLZ112" s="1740"/>
      <c r="JMA112" s="1740"/>
      <c r="JMB112" s="1740"/>
      <c r="JMC112" s="1740"/>
      <c r="JMD112" s="1740"/>
      <c r="JME112" s="1740"/>
      <c r="JMF112" s="1740"/>
      <c r="JMG112" s="1740"/>
      <c r="JMH112" s="1740"/>
      <c r="JMI112" s="1740"/>
      <c r="JMJ112" s="1740"/>
      <c r="JMK112" s="1740"/>
      <c r="JML112" s="1740"/>
      <c r="JMM112" s="1740"/>
      <c r="JMN112" s="1740"/>
      <c r="JMO112" s="1740"/>
      <c r="JMP112" s="1740"/>
      <c r="JMQ112" s="1740"/>
      <c r="JMR112" s="1740"/>
      <c r="JMS112" s="1740"/>
      <c r="JMT112" s="1740"/>
      <c r="JMU112" s="1740"/>
      <c r="JMV112" s="1740"/>
      <c r="JMW112" s="1740"/>
      <c r="JMX112" s="1740"/>
      <c r="JMY112" s="1740"/>
      <c r="JMZ112" s="1740"/>
      <c r="JNA112" s="1740"/>
      <c r="JNB112" s="1740"/>
      <c r="JNC112" s="1740"/>
      <c r="JND112" s="1740"/>
      <c r="JNE112" s="1740"/>
      <c r="JNF112" s="1740"/>
      <c r="JNG112" s="1740"/>
      <c r="JNH112" s="1740"/>
      <c r="JNI112" s="1740"/>
      <c r="JNJ112" s="1740"/>
      <c r="JNK112" s="1740"/>
      <c r="JNL112" s="1740"/>
      <c r="JNM112" s="1740"/>
      <c r="JNN112" s="1740"/>
      <c r="JNO112" s="1740"/>
      <c r="JNP112" s="1740"/>
      <c r="JNQ112" s="1740"/>
      <c r="JNR112" s="1740"/>
      <c r="JNS112" s="1740"/>
      <c r="JNT112" s="1740"/>
      <c r="JNU112" s="1740"/>
      <c r="JNV112" s="1740"/>
      <c r="JNW112" s="1740"/>
      <c r="JNX112" s="1740"/>
      <c r="JNY112" s="1740"/>
      <c r="JNZ112" s="1740"/>
      <c r="JOA112" s="1740"/>
      <c r="JOB112" s="1740"/>
      <c r="JOC112" s="1740"/>
      <c r="JOD112" s="1740"/>
      <c r="JOE112" s="1740"/>
      <c r="JOF112" s="1740"/>
      <c r="JOG112" s="1740"/>
      <c r="JOH112" s="1740"/>
      <c r="JOI112" s="1740"/>
      <c r="JOJ112" s="1740"/>
      <c r="JOK112" s="1740"/>
      <c r="JOL112" s="1740"/>
      <c r="JOM112" s="1740"/>
      <c r="JON112" s="1740"/>
      <c r="JOO112" s="1740"/>
      <c r="JOP112" s="1740"/>
      <c r="JOQ112" s="1740"/>
      <c r="JOR112" s="1740"/>
      <c r="JOS112" s="1740"/>
      <c r="JOT112" s="1740"/>
      <c r="JOU112" s="1740"/>
      <c r="JOV112" s="1740"/>
      <c r="JOW112" s="1740"/>
      <c r="JOX112" s="1740"/>
      <c r="JOY112" s="1740"/>
      <c r="JOZ112" s="1740"/>
      <c r="JPA112" s="1740"/>
      <c r="JPB112" s="1740"/>
      <c r="JPC112" s="1740"/>
      <c r="JPD112" s="1740"/>
      <c r="JPE112" s="1740"/>
      <c r="JPF112" s="1740"/>
      <c r="JPG112" s="1740"/>
      <c r="JPH112" s="1740"/>
      <c r="JPI112" s="1740"/>
      <c r="JPJ112" s="1740"/>
      <c r="JPK112" s="1740"/>
      <c r="JPL112" s="1740"/>
      <c r="JPM112" s="1740"/>
      <c r="JPN112" s="1740"/>
      <c r="JPO112" s="1740"/>
      <c r="JPP112" s="1740"/>
      <c r="JPQ112" s="1740"/>
      <c r="JPR112" s="1740"/>
      <c r="JPS112" s="1740"/>
      <c r="JPT112" s="1740"/>
      <c r="JPU112" s="1740"/>
      <c r="JPV112" s="1740"/>
      <c r="JPW112" s="1740"/>
      <c r="JPX112" s="1740"/>
      <c r="JPY112" s="1740"/>
      <c r="JPZ112" s="1740"/>
      <c r="JQA112" s="1740"/>
      <c r="JQB112" s="1740"/>
      <c r="JQC112" s="1740"/>
      <c r="JQD112" s="1740"/>
      <c r="JQE112" s="1740"/>
      <c r="JQF112" s="1740"/>
      <c r="JQG112" s="1740"/>
      <c r="JQH112" s="1740"/>
      <c r="JQI112" s="1740"/>
      <c r="JQJ112" s="1740"/>
      <c r="JQK112" s="1740"/>
      <c r="JQL112" s="1740"/>
      <c r="JQM112" s="1740"/>
      <c r="JQN112" s="1740"/>
      <c r="JQO112" s="1740"/>
      <c r="JQP112" s="1740"/>
      <c r="JQQ112" s="1740"/>
      <c r="JQR112" s="1740"/>
      <c r="JQS112" s="1740"/>
      <c r="JQT112" s="1740"/>
      <c r="JQU112" s="1740"/>
      <c r="JQV112" s="1740"/>
      <c r="JQW112" s="1740"/>
      <c r="JQX112" s="1740"/>
      <c r="JQY112" s="1740"/>
      <c r="JQZ112" s="1740"/>
      <c r="JRA112" s="1740"/>
      <c r="JRB112" s="1740"/>
      <c r="JRC112" s="1740"/>
      <c r="JRD112" s="1740"/>
      <c r="JRE112" s="1740"/>
      <c r="JRF112" s="1740"/>
      <c r="JRG112" s="1740"/>
      <c r="JRH112" s="1740"/>
      <c r="JRI112" s="1740"/>
      <c r="JRJ112" s="1740"/>
      <c r="JRK112" s="1740"/>
      <c r="JRL112" s="1740"/>
      <c r="JRM112" s="1740"/>
      <c r="JRN112" s="1740"/>
      <c r="JRO112" s="1740"/>
      <c r="JRP112" s="1740"/>
      <c r="JRQ112" s="1740"/>
      <c r="JRR112" s="1740"/>
      <c r="JRS112" s="1740"/>
      <c r="JRT112" s="1740"/>
      <c r="JRU112" s="1740"/>
      <c r="JRV112" s="1740"/>
      <c r="JRW112" s="1740"/>
      <c r="JRX112" s="1740"/>
      <c r="JRY112" s="1740"/>
      <c r="JRZ112" s="1740"/>
      <c r="JSA112" s="1740"/>
      <c r="JSB112" s="1740"/>
      <c r="JSC112" s="1740"/>
      <c r="JSD112" s="1740"/>
      <c r="JSE112" s="1740"/>
      <c r="JSF112" s="1740"/>
      <c r="JSG112" s="1740"/>
      <c r="JSH112" s="1740"/>
      <c r="JSI112" s="1740"/>
      <c r="JSJ112" s="1740"/>
      <c r="JSK112" s="1740"/>
      <c r="JSL112" s="1740"/>
      <c r="JSM112" s="1740"/>
      <c r="JSN112" s="1740"/>
      <c r="JSO112" s="1740"/>
      <c r="JSP112" s="1740"/>
      <c r="JSQ112" s="1740"/>
      <c r="JSR112" s="1740"/>
      <c r="JSS112" s="1740"/>
      <c r="JST112" s="1740"/>
      <c r="JSU112" s="1740"/>
      <c r="JSV112" s="1740"/>
      <c r="JSW112" s="1740"/>
      <c r="JSX112" s="1740"/>
      <c r="JSY112" s="1740"/>
      <c r="JSZ112" s="1740"/>
      <c r="JTA112" s="1740"/>
      <c r="JTB112" s="1740"/>
      <c r="JTC112" s="1740"/>
      <c r="JTD112" s="1740"/>
      <c r="JTE112" s="1740"/>
      <c r="JTF112" s="1740"/>
      <c r="JTG112" s="1740"/>
      <c r="JTH112" s="1740"/>
      <c r="JTI112" s="1740"/>
      <c r="JTJ112" s="1740"/>
      <c r="JTK112" s="1740"/>
      <c r="JTL112" s="1740"/>
      <c r="JTM112" s="1740"/>
      <c r="JTN112" s="1740"/>
      <c r="JTO112" s="1740"/>
      <c r="JTP112" s="1740"/>
      <c r="JTQ112" s="1740"/>
      <c r="JTR112" s="1740"/>
      <c r="JTS112" s="1740"/>
      <c r="JTT112" s="1740"/>
      <c r="JTU112" s="1740"/>
      <c r="JTV112" s="1740"/>
      <c r="JTW112" s="1740"/>
      <c r="JTX112" s="1740"/>
      <c r="JTY112" s="1740"/>
      <c r="JTZ112" s="1740"/>
      <c r="JUA112" s="1740"/>
      <c r="JUB112" s="1740"/>
      <c r="JUC112" s="1740"/>
      <c r="JUD112" s="1740"/>
      <c r="JUE112" s="1740"/>
      <c r="JUF112" s="1740"/>
      <c r="JUG112" s="1740"/>
      <c r="JUH112" s="1740"/>
      <c r="JUI112" s="1740"/>
      <c r="JUJ112" s="1740"/>
      <c r="JUK112" s="1740"/>
      <c r="JUL112" s="1740"/>
      <c r="JUM112" s="1740"/>
      <c r="JUN112" s="1740"/>
      <c r="JUO112" s="1740"/>
      <c r="JUP112" s="1740"/>
      <c r="JUQ112" s="1740"/>
      <c r="JUR112" s="1740"/>
      <c r="JUS112" s="1740"/>
      <c r="JUT112" s="1740"/>
      <c r="JUU112" s="1740"/>
      <c r="JUV112" s="1740"/>
      <c r="JUW112" s="1740"/>
      <c r="JUX112" s="1740"/>
      <c r="JUY112" s="1740"/>
      <c r="JUZ112" s="1740"/>
      <c r="JVA112" s="1740"/>
      <c r="JVB112" s="1740"/>
      <c r="JVC112" s="1740"/>
      <c r="JVD112" s="1740"/>
      <c r="JVE112" s="1740"/>
      <c r="JVF112" s="1740"/>
      <c r="JVG112" s="1740"/>
      <c r="JVH112" s="1740"/>
      <c r="JVI112" s="1740"/>
      <c r="JVJ112" s="1740"/>
      <c r="JVK112" s="1740"/>
      <c r="JVL112" s="1740"/>
      <c r="JVM112" s="1740"/>
      <c r="JVN112" s="1740"/>
      <c r="JVO112" s="1740"/>
      <c r="JVP112" s="1740"/>
      <c r="JVQ112" s="1740"/>
      <c r="JVR112" s="1740"/>
      <c r="JVS112" s="1740"/>
      <c r="JVT112" s="1740"/>
      <c r="JVU112" s="1740"/>
      <c r="JVV112" s="1740"/>
      <c r="JVW112" s="1740"/>
      <c r="JVX112" s="1740"/>
      <c r="JVY112" s="1740"/>
      <c r="JVZ112" s="1740"/>
      <c r="JWA112" s="1740"/>
      <c r="JWB112" s="1740"/>
      <c r="JWC112" s="1740"/>
      <c r="JWD112" s="1740"/>
      <c r="JWE112" s="1740"/>
      <c r="JWF112" s="1740"/>
      <c r="JWG112" s="1740"/>
      <c r="JWH112" s="1740"/>
      <c r="JWI112" s="1740"/>
      <c r="JWJ112" s="1740"/>
      <c r="JWK112" s="1740"/>
      <c r="JWL112" s="1740"/>
      <c r="JWM112" s="1740"/>
      <c r="JWN112" s="1740"/>
      <c r="JWO112" s="1740"/>
      <c r="JWP112" s="1740"/>
      <c r="JWQ112" s="1740"/>
      <c r="JWR112" s="1740"/>
      <c r="JWS112" s="1740"/>
      <c r="JWT112" s="1740"/>
      <c r="JWU112" s="1740"/>
      <c r="JWV112" s="1740"/>
      <c r="JWW112" s="1740"/>
      <c r="JWX112" s="1740"/>
      <c r="JWY112" s="1740"/>
      <c r="JWZ112" s="1740"/>
      <c r="JXA112" s="1740"/>
      <c r="JXB112" s="1740"/>
      <c r="JXC112" s="1740"/>
      <c r="JXD112" s="1740"/>
      <c r="JXE112" s="1740"/>
      <c r="JXF112" s="1740"/>
      <c r="JXG112" s="1740"/>
      <c r="JXH112" s="1740"/>
      <c r="JXI112" s="1740"/>
      <c r="JXJ112" s="1740"/>
      <c r="JXK112" s="1740"/>
      <c r="JXL112" s="1740"/>
      <c r="JXM112" s="1740"/>
      <c r="JXN112" s="1740"/>
      <c r="JXO112" s="1740"/>
      <c r="JXP112" s="1740"/>
      <c r="JXQ112" s="1740"/>
      <c r="JXR112" s="1740"/>
      <c r="JXS112" s="1740"/>
      <c r="JXT112" s="1740"/>
      <c r="JXU112" s="1740"/>
      <c r="JXV112" s="1740"/>
      <c r="JXW112" s="1740"/>
      <c r="JXX112" s="1740"/>
      <c r="JXY112" s="1740"/>
      <c r="JXZ112" s="1740"/>
      <c r="JYA112" s="1740"/>
      <c r="JYB112" s="1740"/>
      <c r="JYC112" s="1740"/>
      <c r="JYD112" s="1740"/>
      <c r="JYE112" s="1740"/>
      <c r="JYF112" s="1740"/>
      <c r="JYG112" s="1740"/>
      <c r="JYH112" s="1740"/>
      <c r="JYI112" s="1740"/>
      <c r="JYJ112" s="1740"/>
      <c r="JYK112" s="1740"/>
      <c r="JYL112" s="1740"/>
      <c r="JYM112" s="1740"/>
      <c r="JYN112" s="1740"/>
      <c r="JYO112" s="1740"/>
      <c r="JYP112" s="1740"/>
      <c r="JYQ112" s="1740"/>
      <c r="JYR112" s="1740"/>
      <c r="JYS112" s="1740"/>
      <c r="JYT112" s="1740"/>
      <c r="JYU112" s="1740"/>
      <c r="JYV112" s="1740"/>
      <c r="JYW112" s="1740"/>
      <c r="JYX112" s="1740"/>
      <c r="JYY112" s="1740"/>
      <c r="JYZ112" s="1740"/>
      <c r="JZA112" s="1740"/>
      <c r="JZB112" s="1740"/>
      <c r="JZC112" s="1740"/>
      <c r="JZD112" s="1740"/>
      <c r="JZE112" s="1740"/>
      <c r="JZF112" s="1740"/>
      <c r="JZG112" s="1740"/>
      <c r="JZH112" s="1740"/>
      <c r="JZI112" s="1740"/>
      <c r="JZJ112" s="1740"/>
      <c r="JZK112" s="1740"/>
      <c r="JZL112" s="1740"/>
      <c r="JZM112" s="1740"/>
      <c r="JZN112" s="1740"/>
      <c r="JZO112" s="1740"/>
      <c r="JZP112" s="1740"/>
      <c r="JZQ112" s="1740"/>
      <c r="JZR112" s="1740"/>
      <c r="JZS112" s="1740"/>
      <c r="JZT112" s="1740"/>
      <c r="JZU112" s="1740"/>
      <c r="JZV112" s="1740"/>
      <c r="JZW112" s="1740"/>
      <c r="JZX112" s="1740"/>
      <c r="JZY112" s="1740"/>
      <c r="JZZ112" s="1740"/>
      <c r="KAA112" s="1740"/>
      <c r="KAB112" s="1740"/>
      <c r="KAC112" s="1740"/>
      <c r="KAD112" s="1740"/>
      <c r="KAE112" s="1740"/>
      <c r="KAF112" s="1740"/>
      <c r="KAG112" s="1740"/>
      <c r="KAH112" s="1740"/>
      <c r="KAI112" s="1740"/>
      <c r="KAJ112" s="1740"/>
      <c r="KAK112" s="1740"/>
      <c r="KAL112" s="1740"/>
      <c r="KAM112" s="1740"/>
      <c r="KAN112" s="1740"/>
      <c r="KAO112" s="1740"/>
      <c r="KAP112" s="1740"/>
      <c r="KAQ112" s="1740"/>
      <c r="KAR112" s="1740"/>
      <c r="KAS112" s="1740"/>
      <c r="KAT112" s="1740"/>
      <c r="KAU112" s="1740"/>
      <c r="KAV112" s="1740"/>
      <c r="KAW112" s="1740"/>
      <c r="KAX112" s="1740"/>
      <c r="KAY112" s="1740"/>
      <c r="KAZ112" s="1740"/>
      <c r="KBA112" s="1740"/>
      <c r="KBB112" s="1740"/>
      <c r="KBC112" s="1740"/>
      <c r="KBD112" s="1740"/>
      <c r="KBE112" s="1740"/>
      <c r="KBF112" s="1740"/>
      <c r="KBG112" s="1740"/>
      <c r="KBH112" s="1740"/>
      <c r="KBI112" s="1740"/>
      <c r="KBJ112" s="1740"/>
      <c r="KBK112" s="1740"/>
      <c r="KBL112" s="1740"/>
      <c r="KBM112" s="1740"/>
      <c r="KBN112" s="1740"/>
      <c r="KBO112" s="1740"/>
      <c r="KBP112" s="1740"/>
      <c r="KBQ112" s="1740"/>
      <c r="KBR112" s="1740"/>
      <c r="KBS112" s="1740"/>
      <c r="KBT112" s="1740"/>
      <c r="KBU112" s="1740"/>
      <c r="KBV112" s="1740"/>
      <c r="KBW112" s="1740"/>
      <c r="KBX112" s="1740"/>
      <c r="KBY112" s="1740"/>
      <c r="KBZ112" s="1740"/>
      <c r="KCA112" s="1740"/>
      <c r="KCB112" s="1740"/>
      <c r="KCC112" s="1740"/>
      <c r="KCD112" s="1740"/>
      <c r="KCE112" s="1740"/>
      <c r="KCF112" s="1740"/>
      <c r="KCG112" s="1740"/>
      <c r="KCH112" s="1740"/>
      <c r="KCI112" s="1740"/>
      <c r="KCJ112" s="1740"/>
      <c r="KCK112" s="1740"/>
      <c r="KCL112" s="1740"/>
      <c r="KCM112" s="1740"/>
      <c r="KCN112" s="1740"/>
      <c r="KCO112" s="1740"/>
      <c r="KCP112" s="1740"/>
      <c r="KCQ112" s="1740"/>
      <c r="KCR112" s="1740"/>
      <c r="KCS112" s="1740"/>
      <c r="KCT112" s="1740"/>
      <c r="KCU112" s="1740"/>
      <c r="KCV112" s="1740"/>
      <c r="KCW112" s="1740"/>
      <c r="KCX112" s="1740"/>
      <c r="KCY112" s="1740"/>
      <c r="KCZ112" s="1740"/>
      <c r="KDA112" s="1740"/>
      <c r="KDB112" s="1740"/>
      <c r="KDC112" s="1740"/>
      <c r="KDD112" s="1740"/>
      <c r="KDE112" s="1740"/>
      <c r="KDF112" s="1740"/>
      <c r="KDG112" s="1740"/>
      <c r="KDH112" s="1740"/>
      <c r="KDI112" s="1740"/>
      <c r="KDJ112" s="1740"/>
      <c r="KDK112" s="1740"/>
      <c r="KDL112" s="1740"/>
      <c r="KDM112" s="1740"/>
      <c r="KDN112" s="1740"/>
      <c r="KDO112" s="1740"/>
      <c r="KDP112" s="1740"/>
      <c r="KDQ112" s="1740"/>
      <c r="KDR112" s="1740"/>
      <c r="KDS112" s="1740"/>
      <c r="KDT112" s="1740"/>
      <c r="KDU112" s="1740"/>
      <c r="KDV112" s="1740"/>
      <c r="KDW112" s="1740"/>
      <c r="KDX112" s="1740"/>
      <c r="KDY112" s="1740"/>
      <c r="KDZ112" s="1740"/>
      <c r="KEA112" s="1740"/>
      <c r="KEB112" s="1740"/>
      <c r="KEC112" s="1740"/>
      <c r="KED112" s="1740"/>
      <c r="KEE112" s="1740"/>
      <c r="KEF112" s="1740"/>
      <c r="KEG112" s="1740"/>
      <c r="KEH112" s="1740"/>
      <c r="KEI112" s="1740"/>
      <c r="KEJ112" s="1740"/>
      <c r="KEK112" s="1740"/>
      <c r="KEL112" s="1740"/>
      <c r="KEM112" s="1740"/>
      <c r="KEN112" s="1740"/>
      <c r="KEO112" s="1740"/>
      <c r="KEP112" s="1740"/>
      <c r="KEQ112" s="1740"/>
      <c r="KER112" s="1740"/>
      <c r="KES112" s="1740"/>
      <c r="KET112" s="1740"/>
      <c r="KEU112" s="1740"/>
      <c r="KEV112" s="1740"/>
      <c r="KEW112" s="1740"/>
      <c r="KEX112" s="1740"/>
      <c r="KEY112" s="1740"/>
      <c r="KEZ112" s="1740"/>
      <c r="KFA112" s="1740"/>
      <c r="KFB112" s="1740"/>
      <c r="KFC112" s="1740"/>
      <c r="KFD112" s="1740"/>
      <c r="KFE112" s="1740"/>
      <c r="KFF112" s="1740"/>
      <c r="KFG112" s="1740"/>
      <c r="KFH112" s="1740"/>
      <c r="KFI112" s="1740"/>
      <c r="KFJ112" s="1740"/>
      <c r="KFK112" s="1740"/>
      <c r="KFL112" s="1740"/>
      <c r="KFM112" s="1740"/>
      <c r="KFN112" s="1740"/>
      <c r="KFO112" s="1740"/>
      <c r="KFP112" s="1740"/>
      <c r="KFQ112" s="1740"/>
      <c r="KFR112" s="1740"/>
      <c r="KFS112" s="1740"/>
      <c r="KFT112" s="1740"/>
      <c r="KFU112" s="1740"/>
      <c r="KFV112" s="1740"/>
      <c r="KFW112" s="1740"/>
      <c r="KFX112" s="1740"/>
      <c r="KFY112" s="1740"/>
      <c r="KFZ112" s="1740"/>
      <c r="KGA112" s="1740"/>
      <c r="KGB112" s="1740"/>
      <c r="KGC112" s="1740"/>
      <c r="KGD112" s="1740"/>
      <c r="KGE112" s="1740"/>
      <c r="KGF112" s="1740"/>
      <c r="KGG112" s="1740"/>
      <c r="KGH112" s="1740"/>
      <c r="KGI112" s="1740"/>
      <c r="KGJ112" s="1740"/>
      <c r="KGK112" s="1740"/>
      <c r="KGL112" s="1740"/>
      <c r="KGM112" s="1740"/>
      <c r="KGN112" s="1740"/>
      <c r="KGO112" s="1740"/>
      <c r="KGP112" s="1740"/>
      <c r="KGQ112" s="1740"/>
      <c r="KGR112" s="1740"/>
      <c r="KGS112" s="1740"/>
      <c r="KGT112" s="1740"/>
      <c r="KGU112" s="1740"/>
      <c r="KGV112" s="1740"/>
      <c r="KGW112" s="1740"/>
      <c r="KGX112" s="1740"/>
      <c r="KGY112" s="1740"/>
      <c r="KGZ112" s="1740"/>
      <c r="KHA112" s="1740"/>
      <c r="KHB112" s="1740"/>
      <c r="KHC112" s="1740"/>
      <c r="KHD112" s="1740"/>
      <c r="KHE112" s="1740"/>
      <c r="KHF112" s="1740"/>
      <c r="KHG112" s="1740"/>
      <c r="KHH112" s="1740"/>
      <c r="KHI112" s="1740"/>
      <c r="KHJ112" s="1740"/>
      <c r="KHK112" s="1740"/>
      <c r="KHL112" s="1740"/>
      <c r="KHM112" s="1740"/>
      <c r="KHN112" s="1740"/>
      <c r="KHO112" s="1740"/>
      <c r="KHP112" s="1740"/>
      <c r="KHQ112" s="1740"/>
      <c r="KHR112" s="1740"/>
      <c r="KHS112" s="1740"/>
      <c r="KHT112" s="1740"/>
      <c r="KHU112" s="1740"/>
      <c r="KHV112" s="1740"/>
      <c r="KHW112" s="1740"/>
      <c r="KHX112" s="1740"/>
      <c r="KHY112" s="1740"/>
      <c r="KHZ112" s="1740"/>
      <c r="KIA112" s="1740"/>
      <c r="KIB112" s="1740"/>
      <c r="KIC112" s="1740"/>
      <c r="KID112" s="1740"/>
      <c r="KIE112" s="1740"/>
      <c r="KIF112" s="1740"/>
      <c r="KIG112" s="1740"/>
      <c r="KIH112" s="1740"/>
      <c r="KII112" s="1740"/>
      <c r="KIJ112" s="1740"/>
      <c r="KIK112" s="1740"/>
      <c r="KIL112" s="1740"/>
      <c r="KIM112" s="1740"/>
      <c r="KIN112" s="1740"/>
      <c r="KIO112" s="1740"/>
      <c r="KIP112" s="1740"/>
      <c r="KIQ112" s="1740"/>
      <c r="KIR112" s="1740"/>
      <c r="KIS112" s="1740"/>
      <c r="KIT112" s="1740"/>
      <c r="KIU112" s="1740"/>
      <c r="KIV112" s="1740"/>
      <c r="KIW112" s="1740"/>
      <c r="KIX112" s="1740"/>
      <c r="KIY112" s="1740"/>
      <c r="KIZ112" s="1740"/>
      <c r="KJA112" s="1740"/>
      <c r="KJB112" s="1740"/>
      <c r="KJC112" s="1740"/>
      <c r="KJD112" s="1740"/>
      <c r="KJE112" s="1740"/>
      <c r="KJF112" s="1740"/>
      <c r="KJG112" s="1740"/>
      <c r="KJH112" s="1740"/>
      <c r="KJI112" s="1740"/>
      <c r="KJJ112" s="1740"/>
      <c r="KJK112" s="1740"/>
      <c r="KJL112" s="1740"/>
      <c r="KJM112" s="1740"/>
      <c r="KJN112" s="1740"/>
      <c r="KJO112" s="1740"/>
      <c r="KJP112" s="1740"/>
      <c r="KJQ112" s="1740"/>
      <c r="KJR112" s="1740"/>
      <c r="KJS112" s="1740"/>
      <c r="KJT112" s="1740"/>
      <c r="KJU112" s="1740"/>
      <c r="KJV112" s="1740"/>
      <c r="KJW112" s="1740"/>
      <c r="KJX112" s="1740"/>
      <c r="KJY112" s="1740"/>
      <c r="KJZ112" s="1740"/>
      <c r="KKA112" s="1740"/>
      <c r="KKB112" s="1740"/>
      <c r="KKC112" s="1740"/>
      <c r="KKD112" s="1740"/>
      <c r="KKE112" s="1740"/>
      <c r="KKF112" s="1740"/>
      <c r="KKG112" s="1740"/>
      <c r="KKH112" s="1740"/>
      <c r="KKI112" s="1740"/>
      <c r="KKJ112" s="1740"/>
      <c r="KKK112" s="1740"/>
      <c r="KKL112" s="1740"/>
      <c r="KKM112" s="1740"/>
      <c r="KKN112" s="1740"/>
      <c r="KKO112" s="1740"/>
      <c r="KKP112" s="1740"/>
      <c r="KKQ112" s="1740"/>
      <c r="KKR112" s="1740"/>
      <c r="KKS112" s="1740"/>
      <c r="KKT112" s="1740"/>
      <c r="KKU112" s="1740"/>
      <c r="KKV112" s="1740"/>
      <c r="KKW112" s="1740"/>
      <c r="KKX112" s="1740"/>
      <c r="KKY112" s="1740"/>
      <c r="KKZ112" s="1740"/>
      <c r="KLA112" s="1740"/>
      <c r="KLB112" s="1740"/>
      <c r="KLC112" s="1740"/>
      <c r="KLD112" s="1740"/>
      <c r="KLE112" s="1740"/>
      <c r="KLF112" s="1740"/>
      <c r="KLG112" s="1740"/>
      <c r="KLH112" s="1740"/>
      <c r="KLI112" s="1740"/>
      <c r="KLJ112" s="1740"/>
      <c r="KLK112" s="1740"/>
      <c r="KLL112" s="1740"/>
      <c r="KLM112" s="1740"/>
      <c r="KLN112" s="1740"/>
      <c r="KLO112" s="1740"/>
      <c r="KLP112" s="1740"/>
      <c r="KLQ112" s="1740"/>
      <c r="KLR112" s="1740"/>
      <c r="KLS112" s="1740"/>
      <c r="KLT112" s="1740"/>
      <c r="KLU112" s="1740"/>
      <c r="KLV112" s="1740"/>
      <c r="KLW112" s="1740"/>
      <c r="KLX112" s="1740"/>
      <c r="KLY112" s="1740"/>
      <c r="KLZ112" s="1740"/>
      <c r="KMA112" s="1740"/>
      <c r="KMB112" s="1740"/>
      <c r="KMC112" s="1740"/>
      <c r="KMD112" s="1740"/>
      <c r="KME112" s="1740"/>
      <c r="KMF112" s="1740"/>
      <c r="KMG112" s="1740"/>
      <c r="KMH112" s="1740"/>
      <c r="KMI112" s="1740"/>
      <c r="KMJ112" s="1740"/>
      <c r="KMK112" s="1740"/>
      <c r="KML112" s="1740"/>
      <c r="KMM112" s="1740"/>
      <c r="KMN112" s="1740"/>
      <c r="KMO112" s="1740"/>
      <c r="KMP112" s="1740"/>
      <c r="KMQ112" s="1740"/>
      <c r="KMR112" s="1740"/>
      <c r="KMS112" s="1740"/>
      <c r="KMT112" s="1740"/>
      <c r="KMU112" s="1740"/>
      <c r="KMV112" s="1740"/>
      <c r="KMW112" s="1740"/>
      <c r="KMX112" s="1740"/>
      <c r="KMY112" s="1740"/>
      <c r="KMZ112" s="1740"/>
      <c r="KNA112" s="1740"/>
      <c r="KNB112" s="1740"/>
      <c r="KNC112" s="1740"/>
      <c r="KND112" s="1740"/>
      <c r="KNE112" s="1740"/>
      <c r="KNF112" s="1740"/>
      <c r="KNG112" s="1740"/>
      <c r="KNH112" s="1740"/>
      <c r="KNI112" s="1740"/>
      <c r="KNJ112" s="1740"/>
      <c r="KNK112" s="1740"/>
      <c r="KNL112" s="1740"/>
      <c r="KNM112" s="1740"/>
      <c r="KNN112" s="1740"/>
      <c r="KNO112" s="1740"/>
      <c r="KNP112" s="1740"/>
      <c r="KNQ112" s="1740"/>
      <c r="KNR112" s="1740"/>
      <c r="KNS112" s="1740"/>
      <c r="KNT112" s="1740"/>
      <c r="KNU112" s="1740"/>
      <c r="KNV112" s="1740"/>
      <c r="KNW112" s="1740"/>
      <c r="KNX112" s="1740"/>
      <c r="KNY112" s="1740"/>
      <c r="KNZ112" s="1740"/>
      <c r="KOA112" s="1740"/>
      <c r="KOB112" s="1740"/>
      <c r="KOC112" s="1740"/>
      <c r="KOD112" s="1740"/>
      <c r="KOE112" s="1740"/>
      <c r="KOF112" s="1740"/>
      <c r="KOG112" s="1740"/>
      <c r="KOH112" s="1740"/>
      <c r="KOI112" s="1740"/>
      <c r="KOJ112" s="1740"/>
      <c r="KOK112" s="1740"/>
      <c r="KOL112" s="1740"/>
      <c r="KOM112" s="1740"/>
      <c r="KON112" s="1740"/>
      <c r="KOO112" s="1740"/>
      <c r="KOP112" s="1740"/>
      <c r="KOQ112" s="1740"/>
      <c r="KOR112" s="1740"/>
      <c r="KOS112" s="1740"/>
      <c r="KOT112" s="1740"/>
      <c r="KOU112" s="1740"/>
      <c r="KOV112" s="1740"/>
      <c r="KOW112" s="1740"/>
      <c r="KOX112" s="1740"/>
      <c r="KOY112" s="1740"/>
      <c r="KOZ112" s="1740"/>
      <c r="KPA112" s="1740"/>
      <c r="KPB112" s="1740"/>
      <c r="KPC112" s="1740"/>
      <c r="KPD112" s="1740"/>
      <c r="KPE112" s="1740"/>
      <c r="KPF112" s="1740"/>
      <c r="KPG112" s="1740"/>
      <c r="KPH112" s="1740"/>
      <c r="KPI112" s="1740"/>
      <c r="KPJ112" s="1740"/>
      <c r="KPK112" s="1740"/>
      <c r="KPL112" s="1740"/>
      <c r="KPM112" s="1740"/>
      <c r="KPN112" s="1740"/>
      <c r="KPO112" s="1740"/>
      <c r="KPP112" s="1740"/>
      <c r="KPQ112" s="1740"/>
      <c r="KPR112" s="1740"/>
      <c r="KPS112" s="1740"/>
      <c r="KPT112" s="1740"/>
      <c r="KPU112" s="1740"/>
      <c r="KPV112" s="1740"/>
      <c r="KPW112" s="1740"/>
      <c r="KPX112" s="1740"/>
      <c r="KPY112" s="1740"/>
      <c r="KPZ112" s="1740"/>
      <c r="KQA112" s="1740"/>
      <c r="KQB112" s="1740"/>
      <c r="KQC112" s="1740"/>
      <c r="KQD112" s="1740"/>
      <c r="KQE112" s="1740"/>
      <c r="KQF112" s="1740"/>
      <c r="KQG112" s="1740"/>
      <c r="KQH112" s="1740"/>
      <c r="KQI112" s="1740"/>
      <c r="KQJ112" s="1740"/>
      <c r="KQK112" s="1740"/>
      <c r="KQL112" s="1740"/>
      <c r="KQM112" s="1740"/>
      <c r="KQN112" s="1740"/>
      <c r="KQO112" s="1740"/>
      <c r="KQP112" s="1740"/>
      <c r="KQQ112" s="1740"/>
      <c r="KQR112" s="1740"/>
      <c r="KQS112" s="1740"/>
      <c r="KQT112" s="1740"/>
      <c r="KQU112" s="1740"/>
      <c r="KQV112" s="1740"/>
      <c r="KQW112" s="1740"/>
      <c r="KQX112" s="1740"/>
      <c r="KQY112" s="1740"/>
      <c r="KQZ112" s="1740"/>
      <c r="KRA112" s="1740"/>
      <c r="KRB112" s="1740"/>
      <c r="KRC112" s="1740"/>
      <c r="KRD112" s="1740"/>
      <c r="KRE112" s="1740"/>
      <c r="KRF112" s="1740"/>
      <c r="KRG112" s="1740"/>
      <c r="KRH112" s="1740"/>
      <c r="KRI112" s="1740"/>
      <c r="KRJ112" s="1740"/>
      <c r="KRK112" s="1740"/>
      <c r="KRL112" s="1740"/>
      <c r="KRM112" s="1740"/>
      <c r="KRN112" s="1740"/>
      <c r="KRO112" s="1740"/>
      <c r="KRP112" s="1740"/>
      <c r="KRQ112" s="1740"/>
      <c r="KRR112" s="1740"/>
      <c r="KRS112" s="1740"/>
      <c r="KRT112" s="1740"/>
      <c r="KRU112" s="1740"/>
      <c r="KRV112" s="1740"/>
      <c r="KRW112" s="1740"/>
      <c r="KRX112" s="1740"/>
      <c r="KRY112" s="1740"/>
      <c r="KRZ112" s="1740"/>
      <c r="KSA112" s="1740"/>
      <c r="KSB112" s="1740"/>
      <c r="KSC112" s="1740"/>
      <c r="KSD112" s="1740"/>
      <c r="KSE112" s="1740"/>
      <c r="KSF112" s="1740"/>
      <c r="KSG112" s="1740"/>
      <c r="KSH112" s="1740"/>
      <c r="KSI112" s="1740"/>
      <c r="KSJ112" s="1740"/>
      <c r="KSK112" s="1740"/>
      <c r="KSL112" s="1740"/>
      <c r="KSM112" s="1740"/>
      <c r="KSN112" s="1740"/>
      <c r="KSO112" s="1740"/>
      <c r="KSP112" s="1740"/>
      <c r="KSQ112" s="1740"/>
      <c r="KSR112" s="1740"/>
      <c r="KSS112" s="1740"/>
      <c r="KST112" s="1740"/>
      <c r="KSU112" s="1740"/>
      <c r="KSV112" s="1740"/>
      <c r="KSW112" s="1740"/>
      <c r="KSX112" s="1740"/>
      <c r="KSY112" s="1740"/>
      <c r="KSZ112" s="1740"/>
      <c r="KTA112" s="1740"/>
      <c r="KTB112" s="1740"/>
      <c r="KTC112" s="1740"/>
      <c r="KTD112" s="1740"/>
      <c r="KTE112" s="1740"/>
      <c r="KTF112" s="1740"/>
      <c r="KTG112" s="1740"/>
      <c r="KTH112" s="1740"/>
      <c r="KTI112" s="1740"/>
      <c r="KTJ112" s="1740"/>
      <c r="KTK112" s="1740"/>
      <c r="KTL112" s="1740"/>
      <c r="KTM112" s="1740"/>
      <c r="KTN112" s="1740"/>
      <c r="KTO112" s="1740"/>
      <c r="KTP112" s="1740"/>
      <c r="KTQ112" s="1740"/>
      <c r="KTR112" s="1740"/>
      <c r="KTS112" s="1740"/>
      <c r="KTT112" s="1740"/>
      <c r="KTU112" s="1740"/>
      <c r="KTV112" s="1740"/>
      <c r="KTW112" s="1740"/>
      <c r="KTX112" s="1740"/>
      <c r="KTY112" s="1740"/>
      <c r="KTZ112" s="1740"/>
      <c r="KUA112" s="1740"/>
      <c r="KUB112" s="1740"/>
      <c r="KUC112" s="1740"/>
      <c r="KUD112" s="1740"/>
      <c r="KUE112" s="1740"/>
      <c r="KUF112" s="1740"/>
      <c r="KUG112" s="1740"/>
      <c r="KUH112" s="1740"/>
      <c r="KUI112" s="1740"/>
      <c r="KUJ112" s="1740"/>
      <c r="KUK112" s="1740"/>
      <c r="KUL112" s="1740"/>
      <c r="KUM112" s="1740"/>
      <c r="KUN112" s="1740"/>
      <c r="KUO112" s="1740"/>
      <c r="KUP112" s="1740"/>
      <c r="KUQ112" s="1740"/>
      <c r="KUR112" s="1740"/>
      <c r="KUS112" s="1740"/>
      <c r="KUT112" s="1740"/>
      <c r="KUU112" s="1740"/>
      <c r="KUV112" s="1740"/>
      <c r="KUW112" s="1740"/>
      <c r="KUX112" s="1740"/>
      <c r="KUY112" s="1740"/>
      <c r="KUZ112" s="1740"/>
      <c r="KVA112" s="1740"/>
      <c r="KVB112" s="1740"/>
      <c r="KVC112" s="1740"/>
      <c r="KVD112" s="1740"/>
      <c r="KVE112" s="1740"/>
      <c r="KVF112" s="1740"/>
      <c r="KVG112" s="1740"/>
      <c r="KVH112" s="1740"/>
      <c r="KVI112" s="1740"/>
      <c r="KVJ112" s="1740"/>
      <c r="KVK112" s="1740"/>
      <c r="KVL112" s="1740"/>
      <c r="KVM112" s="1740"/>
      <c r="KVN112" s="1740"/>
      <c r="KVO112" s="1740"/>
      <c r="KVP112" s="1740"/>
      <c r="KVQ112" s="1740"/>
      <c r="KVR112" s="1740"/>
      <c r="KVS112" s="1740"/>
      <c r="KVT112" s="1740"/>
      <c r="KVU112" s="1740"/>
      <c r="KVV112" s="1740"/>
      <c r="KVW112" s="1740"/>
      <c r="KVX112" s="1740"/>
      <c r="KVY112" s="1740"/>
      <c r="KVZ112" s="1740"/>
      <c r="KWA112" s="1740"/>
      <c r="KWB112" s="1740"/>
      <c r="KWC112" s="1740"/>
      <c r="KWD112" s="1740"/>
      <c r="KWE112" s="1740"/>
      <c r="KWF112" s="1740"/>
      <c r="KWG112" s="1740"/>
      <c r="KWH112" s="1740"/>
      <c r="KWI112" s="1740"/>
      <c r="KWJ112" s="1740"/>
      <c r="KWK112" s="1740"/>
      <c r="KWL112" s="1740"/>
      <c r="KWM112" s="1740"/>
      <c r="KWN112" s="1740"/>
      <c r="KWO112" s="1740"/>
      <c r="KWP112" s="1740"/>
      <c r="KWQ112" s="1740"/>
      <c r="KWR112" s="1740"/>
      <c r="KWS112" s="1740"/>
      <c r="KWT112" s="1740"/>
      <c r="KWU112" s="1740"/>
      <c r="KWV112" s="1740"/>
      <c r="KWW112" s="1740"/>
      <c r="KWX112" s="1740"/>
      <c r="KWY112" s="1740"/>
      <c r="KWZ112" s="1740"/>
      <c r="KXA112" s="1740"/>
      <c r="KXB112" s="1740"/>
      <c r="KXC112" s="1740"/>
      <c r="KXD112" s="1740"/>
      <c r="KXE112" s="1740"/>
      <c r="KXF112" s="1740"/>
      <c r="KXG112" s="1740"/>
      <c r="KXH112" s="1740"/>
      <c r="KXI112" s="1740"/>
      <c r="KXJ112" s="1740"/>
      <c r="KXK112" s="1740"/>
      <c r="KXL112" s="1740"/>
      <c r="KXM112" s="1740"/>
      <c r="KXN112" s="1740"/>
      <c r="KXO112" s="1740"/>
      <c r="KXP112" s="1740"/>
      <c r="KXQ112" s="1740"/>
      <c r="KXR112" s="1740"/>
      <c r="KXS112" s="1740"/>
      <c r="KXT112" s="1740"/>
      <c r="KXU112" s="1740"/>
      <c r="KXV112" s="1740"/>
      <c r="KXW112" s="1740"/>
      <c r="KXX112" s="1740"/>
      <c r="KXY112" s="1740"/>
      <c r="KXZ112" s="1740"/>
      <c r="KYA112" s="1740"/>
      <c r="KYB112" s="1740"/>
      <c r="KYC112" s="1740"/>
      <c r="KYD112" s="1740"/>
      <c r="KYE112" s="1740"/>
      <c r="KYF112" s="1740"/>
      <c r="KYG112" s="1740"/>
      <c r="KYH112" s="1740"/>
      <c r="KYI112" s="1740"/>
      <c r="KYJ112" s="1740"/>
      <c r="KYK112" s="1740"/>
      <c r="KYL112" s="1740"/>
      <c r="KYM112" s="1740"/>
      <c r="KYN112" s="1740"/>
      <c r="KYO112" s="1740"/>
      <c r="KYP112" s="1740"/>
      <c r="KYQ112" s="1740"/>
      <c r="KYR112" s="1740"/>
      <c r="KYS112" s="1740"/>
      <c r="KYT112" s="1740"/>
      <c r="KYU112" s="1740"/>
      <c r="KYV112" s="1740"/>
      <c r="KYW112" s="1740"/>
      <c r="KYX112" s="1740"/>
      <c r="KYY112" s="1740"/>
      <c r="KYZ112" s="1740"/>
      <c r="KZA112" s="1740"/>
      <c r="KZB112" s="1740"/>
      <c r="KZC112" s="1740"/>
      <c r="KZD112" s="1740"/>
      <c r="KZE112" s="1740"/>
      <c r="KZF112" s="1740"/>
      <c r="KZG112" s="1740"/>
      <c r="KZH112" s="1740"/>
      <c r="KZI112" s="1740"/>
      <c r="KZJ112" s="1740"/>
      <c r="KZK112" s="1740"/>
      <c r="KZL112" s="1740"/>
      <c r="KZM112" s="1740"/>
      <c r="KZN112" s="1740"/>
      <c r="KZO112" s="1740"/>
      <c r="KZP112" s="1740"/>
      <c r="KZQ112" s="1740"/>
      <c r="KZR112" s="1740"/>
      <c r="KZS112" s="1740"/>
      <c r="KZT112" s="1740"/>
      <c r="KZU112" s="1740"/>
      <c r="KZV112" s="1740"/>
      <c r="KZW112" s="1740"/>
      <c r="KZX112" s="1740"/>
      <c r="KZY112" s="1740"/>
      <c r="KZZ112" s="1740"/>
      <c r="LAA112" s="1740"/>
      <c r="LAB112" s="1740"/>
      <c r="LAC112" s="1740"/>
      <c r="LAD112" s="1740"/>
      <c r="LAE112" s="1740"/>
      <c r="LAF112" s="1740"/>
      <c r="LAG112" s="1740"/>
      <c r="LAH112" s="1740"/>
      <c r="LAI112" s="1740"/>
      <c r="LAJ112" s="1740"/>
      <c r="LAK112" s="1740"/>
      <c r="LAL112" s="1740"/>
      <c r="LAM112" s="1740"/>
      <c r="LAN112" s="1740"/>
      <c r="LAO112" s="1740"/>
      <c r="LAP112" s="1740"/>
      <c r="LAQ112" s="1740"/>
      <c r="LAR112" s="1740"/>
      <c r="LAS112" s="1740"/>
      <c r="LAT112" s="1740"/>
      <c r="LAU112" s="1740"/>
      <c r="LAV112" s="1740"/>
      <c r="LAW112" s="1740"/>
      <c r="LAX112" s="1740"/>
      <c r="LAY112" s="1740"/>
      <c r="LAZ112" s="1740"/>
      <c r="LBA112" s="1740"/>
      <c r="LBB112" s="1740"/>
      <c r="LBC112" s="1740"/>
      <c r="LBD112" s="1740"/>
      <c r="LBE112" s="1740"/>
      <c r="LBF112" s="1740"/>
      <c r="LBG112" s="1740"/>
      <c r="LBH112" s="1740"/>
      <c r="LBI112" s="1740"/>
      <c r="LBJ112" s="1740"/>
      <c r="LBK112" s="1740"/>
      <c r="LBL112" s="1740"/>
      <c r="LBM112" s="1740"/>
      <c r="LBN112" s="1740"/>
      <c r="LBO112" s="1740"/>
      <c r="LBP112" s="1740"/>
      <c r="LBQ112" s="1740"/>
      <c r="LBR112" s="1740"/>
      <c r="LBS112" s="1740"/>
      <c r="LBT112" s="1740"/>
      <c r="LBU112" s="1740"/>
      <c r="LBV112" s="1740"/>
      <c r="LBW112" s="1740"/>
      <c r="LBX112" s="1740"/>
      <c r="LBY112" s="1740"/>
      <c r="LBZ112" s="1740"/>
      <c r="LCA112" s="1740"/>
      <c r="LCB112" s="1740"/>
      <c r="LCC112" s="1740"/>
      <c r="LCD112" s="1740"/>
      <c r="LCE112" s="1740"/>
      <c r="LCF112" s="1740"/>
      <c r="LCG112" s="1740"/>
      <c r="LCH112" s="1740"/>
      <c r="LCI112" s="1740"/>
      <c r="LCJ112" s="1740"/>
      <c r="LCK112" s="1740"/>
      <c r="LCL112" s="1740"/>
      <c r="LCM112" s="1740"/>
      <c r="LCN112" s="1740"/>
      <c r="LCO112" s="1740"/>
      <c r="LCP112" s="1740"/>
      <c r="LCQ112" s="1740"/>
      <c r="LCR112" s="1740"/>
      <c r="LCS112" s="1740"/>
      <c r="LCT112" s="1740"/>
      <c r="LCU112" s="1740"/>
      <c r="LCV112" s="1740"/>
      <c r="LCW112" s="1740"/>
      <c r="LCX112" s="1740"/>
      <c r="LCY112" s="1740"/>
      <c r="LCZ112" s="1740"/>
      <c r="LDA112" s="1740"/>
      <c r="LDB112" s="1740"/>
      <c r="LDC112" s="1740"/>
      <c r="LDD112" s="1740"/>
      <c r="LDE112" s="1740"/>
      <c r="LDF112" s="1740"/>
      <c r="LDG112" s="1740"/>
      <c r="LDH112" s="1740"/>
      <c r="LDI112" s="1740"/>
      <c r="LDJ112" s="1740"/>
      <c r="LDK112" s="1740"/>
      <c r="LDL112" s="1740"/>
      <c r="LDM112" s="1740"/>
      <c r="LDN112" s="1740"/>
      <c r="LDO112" s="1740"/>
      <c r="LDP112" s="1740"/>
      <c r="LDQ112" s="1740"/>
      <c r="LDR112" s="1740"/>
      <c r="LDS112" s="1740"/>
      <c r="LDT112" s="1740"/>
      <c r="LDU112" s="1740"/>
      <c r="LDV112" s="1740"/>
      <c r="LDW112" s="1740"/>
      <c r="LDX112" s="1740"/>
      <c r="LDY112" s="1740"/>
      <c r="LDZ112" s="1740"/>
      <c r="LEA112" s="1740"/>
      <c r="LEB112" s="1740"/>
      <c r="LEC112" s="1740"/>
      <c r="LED112" s="1740"/>
      <c r="LEE112" s="1740"/>
      <c r="LEF112" s="1740"/>
      <c r="LEG112" s="1740"/>
      <c r="LEH112" s="1740"/>
      <c r="LEI112" s="1740"/>
      <c r="LEJ112" s="1740"/>
      <c r="LEK112" s="1740"/>
      <c r="LEL112" s="1740"/>
      <c r="LEM112" s="1740"/>
      <c r="LEN112" s="1740"/>
      <c r="LEO112" s="1740"/>
      <c r="LEP112" s="1740"/>
      <c r="LEQ112" s="1740"/>
      <c r="LER112" s="1740"/>
      <c r="LES112" s="1740"/>
      <c r="LET112" s="1740"/>
      <c r="LEU112" s="1740"/>
      <c r="LEV112" s="1740"/>
      <c r="LEW112" s="1740"/>
      <c r="LEX112" s="1740"/>
      <c r="LEY112" s="1740"/>
      <c r="LEZ112" s="1740"/>
      <c r="LFA112" s="1740"/>
      <c r="LFB112" s="1740"/>
      <c r="LFC112" s="1740"/>
      <c r="LFD112" s="1740"/>
      <c r="LFE112" s="1740"/>
      <c r="LFF112" s="1740"/>
      <c r="LFG112" s="1740"/>
      <c r="LFH112" s="1740"/>
      <c r="LFI112" s="1740"/>
      <c r="LFJ112" s="1740"/>
      <c r="LFK112" s="1740"/>
      <c r="LFL112" s="1740"/>
      <c r="LFM112" s="1740"/>
      <c r="LFN112" s="1740"/>
      <c r="LFO112" s="1740"/>
      <c r="LFP112" s="1740"/>
      <c r="LFQ112" s="1740"/>
      <c r="LFR112" s="1740"/>
      <c r="LFS112" s="1740"/>
      <c r="LFT112" s="1740"/>
      <c r="LFU112" s="1740"/>
      <c r="LFV112" s="1740"/>
      <c r="LFW112" s="1740"/>
      <c r="LFX112" s="1740"/>
      <c r="LFY112" s="1740"/>
      <c r="LFZ112" s="1740"/>
      <c r="LGA112" s="1740"/>
      <c r="LGB112" s="1740"/>
      <c r="LGC112" s="1740"/>
      <c r="LGD112" s="1740"/>
      <c r="LGE112" s="1740"/>
      <c r="LGF112" s="1740"/>
      <c r="LGG112" s="1740"/>
      <c r="LGH112" s="1740"/>
      <c r="LGI112" s="1740"/>
      <c r="LGJ112" s="1740"/>
      <c r="LGK112" s="1740"/>
      <c r="LGL112" s="1740"/>
      <c r="LGM112" s="1740"/>
      <c r="LGN112" s="1740"/>
      <c r="LGO112" s="1740"/>
      <c r="LGP112" s="1740"/>
      <c r="LGQ112" s="1740"/>
      <c r="LGR112" s="1740"/>
      <c r="LGS112" s="1740"/>
      <c r="LGT112" s="1740"/>
      <c r="LGU112" s="1740"/>
      <c r="LGV112" s="1740"/>
      <c r="LGW112" s="1740"/>
      <c r="LGX112" s="1740"/>
      <c r="LGY112" s="1740"/>
      <c r="LGZ112" s="1740"/>
      <c r="LHA112" s="1740"/>
      <c r="LHB112" s="1740"/>
      <c r="LHC112" s="1740"/>
      <c r="LHD112" s="1740"/>
      <c r="LHE112" s="1740"/>
      <c r="LHF112" s="1740"/>
      <c r="LHG112" s="1740"/>
      <c r="LHH112" s="1740"/>
      <c r="LHI112" s="1740"/>
      <c r="LHJ112" s="1740"/>
      <c r="LHK112" s="1740"/>
      <c r="LHL112" s="1740"/>
      <c r="LHM112" s="1740"/>
      <c r="LHN112" s="1740"/>
      <c r="LHO112" s="1740"/>
      <c r="LHP112" s="1740"/>
      <c r="LHQ112" s="1740"/>
      <c r="LHR112" s="1740"/>
      <c r="LHS112" s="1740"/>
      <c r="LHT112" s="1740"/>
      <c r="LHU112" s="1740"/>
      <c r="LHV112" s="1740"/>
      <c r="LHW112" s="1740"/>
      <c r="LHX112" s="1740"/>
      <c r="LHY112" s="1740"/>
      <c r="LHZ112" s="1740"/>
      <c r="LIA112" s="1740"/>
      <c r="LIB112" s="1740"/>
      <c r="LIC112" s="1740"/>
      <c r="LID112" s="1740"/>
      <c r="LIE112" s="1740"/>
      <c r="LIF112" s="1740"/>
      <c r="LIG112" s="1740"/>
      <c r="LIH112" s="1740"/>
      <c r="LII112" s="1740"/>
      <c r="LIJ112" s="1740"/>
      <c r="LIK112" s="1740"/>
      <c r="LIL112" s="1740"/>
      <c r="LIM112" s="1740"/>
      <c r="LIN112" s="1740"/>
      <c r="LIO112" s="1740"/>
      <c r="LIP112" s="1740"/>
      <c r="LIQ112" s="1740"/>
      <c r="LIR112" s="1740"/>
      <c r="LIS112" s="1740"/>
      <c r="LIT112" s="1740"/>
      <c r="LIU112" s="1740"/>
      <c r="LIV112" s="1740"/>
      <c r="LIW112" s="1740"/>
      <c r="LIX112" s="1740"/>
      <c r="LIY112" s="1740"/>
      <c r="LIZ112" s="1740"/>
      <c r="LJA112" s="1740"/>
      <c r="LJB112" s="1740"/>
      <c r="LJC112" s="1740"/>
      <c r="LJD112" s="1740"/>
      <c r="LJE112" s="1740"/>
      <c r="LJF112" s="1740"/>
      <c r="LJG112" s="1740"/>
      <c r="LJH112" s="1740"/>
      <c r="LJI112" s="1740"/>
      <c r="LJJ112" s="1740"/>
      <c r="LJK112" s="1740"/>
      <c r="LJL112" s="1740"/>
      <c r="LJM112" s="1740"/>
      <c r="LJN112" s="1740"/>
      <c r="LJO112" s="1740"/>
      <c r="LJP112" s="1740"/>
      <c r="LJQ112" s="1740"/>
      <c r="LJR112" s="1740"/>
      <c r="LJS112" s="1740"/>
      <c r="LJT112" s="1740"/>
      <c r="LJU112" s="1740"/>
      <c r="LJV112" s="1740"/>
      <c r="LJW112" s="1740"/>
      <c r="LJX112" s="1740"/>
      <c r="LJY112" s="1740"/>
      <c r="LJZ112" s="1740"/>
      <c r="LKA112" s="1740"/>
      <c r="LKB112" s="1740"/>
      <c r="LKC112" s="1740"/>
      <c r="LKD112" s="1740"/>
      <c r="LKE112" s="1740"/>
      <c r="LKF112" s="1740"/>
      <c r="LKG112" s="1740"/>
      <c r="LKH112" s="1740"/>
      <c r="LKI112" s="1740"/>
      <c r="LKJ112" s="1740"/>
      <c r="LKK112" s="1740"/>
      <c r="LKL112" s="1740"/>
      <c r="LKM112" s="1740"/>
      <c r="LKN112" s="1740"/>
      <c r="LKO112" s="1740"/>
      <c r="LKP112" s="1740"/>
      <c r="LKQ112" s="1740"/>
      <c r="LKR112" s="1740"/>
      <c r="LKS112" s="1740"/>
      <c r="LKT112" s="1740"/>
      <c r="LKU112" s="1740"/>
      <c r="LKV112" s="1740"/>
      <c r="LKW112" s="1740"/>
      <c r="LKX112" s="1740"/>
      <c r="LKY112" s="1740"/>
      <c r="LKZ112" s="1740"/>
      <c r="LLA112" s="1740"/>
      <c r="LLB112" s="1740"/>
      <c r="LLC112" s="1740"/>
      <c r="LLD112" s="1740"/>
      <c r="LLE112" s="1740"/>
      <c r="LLF112" s="1740"/>
      <c r="LLG112" s="1740"/>
      <c r="LLH112" s="1740"/>
      <c r="LLI112" s="1740"/>
      <c r="LLJ112" s="1740"/>
      <c r="LLK112" s="1740"/>
      <c r="LLL112" s="1740"/>
      <c r="LLM112" s="1740"/>
      <c r="LLN112" s="1740"/>
      <c r="LLO112" s="1740"/>
      <c r="LLP112" s="1740"/>
      <c r="LLQ112" s="1740"/>
      <c r="LLR112" s="1740"/>
      <c r="LLS112" s="1740"/>
      <c r="LLT112" s="1740"/>
      <c r="LLU112" s="1740"/>
      <c r="LLV112" s="1740"/>
      <c r="LLW112" s="1740"/>
      <c r="LLX112" s="1740"/>
      <c r="LLY112" s="1740"/>
      <c r="LLZ112" s="1740"/>
      <c r="LMA112" s="1740"/>
      <c r="LMB112" s="1740"/>
      <c r="LMC112" s="1740"/>
      <c r="LMD112" s="1740"/>
      <c r="LME112" s="1740"/>
      <c r="LMF112" s="1740"/>
      <c r="LMG112" s="1740"/>
      <c r="LMH112" s="1740"/>
      <c r="LMI112" s="1740"/>
      <c r="LMJ112" s="1740"/>
      <c r="LMK112" s="1740"/>
      <c r="LML112" s="1740"/>
      <c r="LMM112" s="1740"/>
      <c r="LMN112" s="1740"/>
      <c r="LMO112" s="1740"/>
      <c r="LMP112" s="1740"/>
      <c r="LMQ112" s="1740"/>
      <c r="LMR112" s="1740"/>
      <c r="LMS112" s="1740"/>
      <c r="LMT112" s="1740"/>
      <c r="LMU112" s="1740"/>
      <c r="LMV112" s="1740"/>
      <c r="LMW112" s="1740"/>
      <c r="LMX112" s="1740"/>
      <c r="LMY112" s="1740"/>
      <c r="LMZ112" s="1740"/>
      <c r="LNA112" s="1740"/>
      <c r="LNB112" s="1740"/>
      <c r="LNC112" s="1740"/>
      <c r="LND112" s="1740"/>
      <c r="LNE112" s="1740"/>
      <c r="LNF112" s="1740"/>
      <c r="LNG112" s="1740"/>
      <c r="LNH112" s="1740"/>
      <c r="LNI112" s="1740"/>
      <c r="LNJ112" s="1740"/>
      <c r="LNK112" s="1740"/>
      <c r="LNL112" s="1740"/>
      <c r="LNM112" s="1740"/>
      <c r="LNN112" s="1740"/>
      <c r="LNO112" s="1740"/>
      <c r="LNP112" s="1740"/>
      <c r="LNQ112" s="1740"/>
      <c r="LNR112" s="1740"/>
      <c r="LNS112" s="1740"/>
      <c r="LNT112" s="1740"/>
      <c r="LNU112" s="1740"/>
      <c r="LNV112" s="1740"/>
      <c r="LNW112" s="1740"/>
      <c r="LNX112" s="1740"/>
      <c r="LNY112" s="1740"/>
      <c r="LNZ112" s="1740"/>
      <c r="LOA112" s="1740"/>
      <c r="LOB112" s="1740"/>
      <c r="LOC112" s="1740"/>
      <c r="LOD112" s="1740"/>
      <c r="LOE112" s="1740"/>
      <c r="LOF112" s="1740"/>
      <c r="LOG112" s="1740"/>
      <c r="LOH112" s="1740"/>
      <c r="LOI112" s="1740"/>
      <c r="LOJ112" s="1740"/>
      <c r="LOK112" s="1740"/>
      <c r="LOL112" s="1740"/>
      <c r="LOM112" s="1740"/>
      <c r="LON112" s="1740"/>
      <c r="LOO112" s="1740"/>
      <c r="LOP112" s="1740"/>
      <c r="LOQ112" s="1740"/>
      <c r="LOR112" s="1740"/>
      <c r="LOS112" s="1740"/>
      <c r="LOT112" s="1740"/>
      <c r="LOU112" s="1740"/>
      <c r="LOV112" s="1740"/>
      <c r="LOW112" s="1740"/>
      <c r="LOX112" s="1740"/>
      <c r="LOY112" s="1740"/>
      <c r="LOZ112" s="1740"/>
      <c r="LPA112" s="1740"/>
      <c r="LPB112" s="1740"/>
      <c r="LPC112" s="1740"/>
      <c r="LPD112" s="1740"/>
      <c r="LPE112" s="1740"/>
      <c r="LPF112" s="1740"/>
      <c r="LPG112" s="1740"/>
      <c r="LPH112" s="1740"/>
      <c r="LPI112" s="1740"/>
      <c r="LPJ112" s="1740"/>
      <c r="LPK112" s="1740"/>
      <c r="LPL112" s="1740"/>
      <c r="LPM112" s="1740"/>
      <c r="LPN112" s="1740"/>
      <c r="LPO112" s="1740"/>
      <c r="LPP112" s="1740"/>
      <c r="LPQ112" s="1740"/>
      <c r="LPR112" s="1740"/>
      <c r="LPS112" s="1740"/>
      <c r="LPT112" s="1740"/>
      <c r="LPU112" s="1740"/>
      <c r="LPV112" s="1740"/>
      <c r="LPW112" s="1740"/>
      <c r="LPX112" s="1740"/>
      <c r="LPY112" s="1740"/>
      <c r="LPZ112" s="1740"/>
      <c r="LQA112" s="1740"/>
      <c r="LQB112" s="1740"/>
      <c r="LQC112" s="1740"/>
      <c r="LQD112" s="1740"/>
      <c r="LQE112" s="1740"/>
      <c r="LQF112" s="1740"/>
      <c r="LQG112" s="1740"/>
      <c r="LQH112" s="1740"/>
      <c r="LQI112" s="1740"/>
      <c r="LQJ112" s="1740"/>
      <c r="LQK112" s="1740"/>
      <c r="LQL112" s="1740"/>
      <c r="LQM112" s="1740"/>
      <c r="LQN112" s="1740"/>
      <c r="LQO112" s="1740"/>
      <c r="LQP112" s="1740"/>
      <c r="LQQ112" s="1740"/>
      <c r="LQR112" s="1740"/>
      <c r="LQS112" s="1740"/>
      <c r="LQT112" s="1740"/>
      <c r="LQU112" s="1740"/>
      <c r="LQV112" s="1740"/>
      <c r="LQW112" s="1740"/>
      <c r="LQX112" s="1740"/>
      <c r="LQY112" s="1740"/>
      <c r="LQZ112" s="1740"/>
      <c r="LRA112" s="1740"/>
      <c r="LRB112" s="1740"/>
      <c r="LRC112" s="1740"/>
      <c r="LRD112" s="1740"/>
      <c r="LRE112" s="1740"/>
      <c r="LRF112" s="1740"/>
      <c r="LRG112" s="1740"/>
      <c r="LRH112" s="1740"/>
      <c r="LRI112" s="1740"/>
      <c r="LRJ112" s="1740"/>
      <c r="LRK112" s="1740"/>
      <c r="LRL112" s="1740"/>
      <c r="LRM112" s="1740"/>
      <c r="LRN112" s="1740"/>
      <c r="LRO112" s="1740"/>
      <c r="LRP112" s="1740"/>
      <c r="LRQ112" s="1740"/>
      <c r="LRR112" s="1740"/>
      <c r="LRS112" s="1740"/>
      <c r="LRT112" s="1740"/>
      <c r="LRU112" s="1740"/>
      <c r="LRV112" s="1740"/>
      <c r="LRW112" s="1740"/>
      <c r="LRX112" s="1740"/>
      <c r="LRY112" s="1740"/>
      <c r="LRZ112" s="1740"/>
      <c r="LSA112" s="1740"/>
      <c r="LSB112" s="1740"/>
      <c r="LSC112" s="1740"/>
      <c r="LSD112" s="1740"/>
      <c r="LSE112" s="1740"/>
      <c r="LSF112" s="1740"/>
      <c r="LSG112" s="1740"/>
      <c r="LSH112" s="1740"/>
      <c r="LSI112" s="1740"/>
      <c r="LSJ112" s="1740"/>
      <c r="LSK112" s="1740"/>
      <c r="LSL112" s="1740"/>
      <c r="LSM112" s="1740"/>
      <c r="LSN112" s="1740"/>
      <c r="LSO112" s="1740"/>
      <c r="LSP112" s="1740"/>
      <c r="LSQ112" s="1740"/>
      <c r="LSR112" s="1740"/>
      <c r="LSS112" s="1740"/>
      <c r="LST112" s="1740"/>
      <c r="LSU112" s="1740"/>
      <c r="LSV112" s="1740"/>
      <c r="LSW112" s="1740"/>
      <c r="LSX112" s="1740"/>
      <c r="LSY112" s="1740"/>
      <c r="LSZ112" s="1740"/>
      <c r="LTA112" s="1740"/>
      <c r="LTB112" s="1740"/>
      <c r="LTC112" s="1740"/>
      <c r="LTD112" s="1740"/>
      <c r="LTE112" s="1740"/>
      <c r="LTF112" s="1740"/>
      <c r="LTG112" s="1740"/>
      <c r="LTH112" s="1740"/>
      <c r="LTI112" s="1740"/>
      <c r="LTJ112" s="1740"/>
      <c r="LTK112" s="1740"/>
      <c r="LTL112" s="1740"/>
      <c r="LTM112" s="1740"/>
      <c r="LTN112" s="1740"/>
      <c r="LTO112" s="1740"/>
      <c r="LTP112" s="1740"/>
      <c r="LTQ112" s="1740"/>
      <c r="LTR112" s="1740"/>
      <c r="LTS112" s="1740"/>
      <c r="LTT112" s="1740"/>
      <c r="LTU112" s="1740"/>
      <c r="LTV112" s="1740"/>
      <c r="LTW112" s="1740"/>
      <c r="LTX112" s="1740"/>
      <c r="LTY112" s="1740"/>
      <c r="LTZ112" s="1740"/>
      <c r="LUA112" s="1740"/>
      <c r="LUB112" s="1740"/>
      <c r="LUC112" s="1740"/>
      <c r="LUD112" s="1740"/>
      <c r="LUE112" s="1740"/>
      <c r="LUF112" s="1740"/>
      <c r="LUG112" s="1740"/>
      <c r="LUH112" s="1740"/>
      <c r="LUI112" s="1740"/>
      <c r="LUJ112" s="1740"/>
      <c r="LUK112" s="1740"/>
      <c r="LUL112" s="1740"/>
      <c r="LUM112" s="1740"/>
      <c r="LUN112" s="1740"/>
      <c r="LUO112" s="1740"/>
      <c r="LUP112" s="1740"/>
      <c r="LUQ112" s="1740"/>
      <c r="LUR112" s="1740"/>
      <c r="LUS112" s="1740"/>
      <c r="LUT112" s="1740"/>
      <c r="LUU112" s="1740"/>
      <c r="LUV112" s="1740"/>
      <c r="LUW112" s="1740"/>
      <c r="LUX112" s="1740"/>
      <c r="LUY112" s="1740"/>
      <c r="LUZ112" s="1740"/>
      <c r="LVA112" s="1740"/>
      <c r="LVB112" s="1740"/>
      <c r="LVC112" s="1740"/>
      <c r="LVD112" s="1740"/>
      <c r="LVE112" s="1740"/>
      <c r="LVF112" s="1740"/>
      <c r="LVG112" s="1740"/>
      <c r="LVH112" s="1740"/>
      <c r="LVI112" s="1740"/>
      <c r="LVJ112" s="1740"/>
      <c r="LVK112" s="1740"/>
      <c r="LVL112" s="1740"/>
      <c r="LVM112" s="1740"/>
      <c r="LVN112" s="1740"/>
      <c r="LVO112" s="1740"/>
      <c r="LVP112" s="1740"/>
      <c r="LVQ112" s="1740"/>
      <c r="LVR112" s="1740"/>
      <c r="LVS112" s="1740"/>
      <c r="LVT112" s="1740"/>
      <c r="LVU112" s="1740"/>
      <c r="LVV112" s="1740"/>
      <c r="LVW112" s="1740"/>
      <c r="LVX112" s="1740"/>
      <c r="LVY112" s="1740"/>
      <c r="LVZ112" s="1740"/>
      <c r="LWA112" s="1740"/>
      <c r="LWB112" s="1740"/>
      <c r="LWC112" s="1740"/>
      <c r="LWD112" s="1740"/>
      <c r="LWE112" s="1740"/>
      <c r="LWF112" s="1740"/>
      <c r="LWG112" s="1740"/>
      <c r="LWH112" s="1740"/>
      <c r="LWI112" s="1740"/>
      <c r="LWJ112" s="1740"/>
      <c r="LWK112" s="1740"/>
      <c r="LWL112" s="1740"/>
      <c r="LWM112" s="1740"/>
      <c r="LWN112" s="1740"/>
      <c r="LWO112" s="1740"/>
      <c r="LWP112" s="1740"/>
      <c r="LWQ112" s="1740"/>
      <c r="LWR112" s="1740"/>
      <c r="LWS112" s="1740"/>
      <c r="LWT112" s="1740"/>
      <c r="LWU112" s="1740"/>
      <c r="LWV112" s="1740"/>
      <c r="LWW112" s="1740"/>
      <c r="LWX112" s="1740"/>
      <c r="LWY112" s="1740"/>
      <c r="LWZ112" s="1740"/>
      <c r="LXA112" s="1740"/>
      <c r="LXB112" s="1740"/>
      <c r="LXC112" s="1740"/>
      <c r="LXD112" s="1740"/>
      <c r="LXE112" s="1740"/>
      <c r="LXF112" s="1740"/>
      <c r="LXG112" s="1740"/>
      <c r="LXH112" s="1740"/>
      <c r="LXI112" s="1740"/>
      <c r="LXJ112" s="1740"/>
      <c r="LXK112" s="1740"/>
      <c r="LXL112" s="1740"/>
      <c r="LXM112" s="1740"/>
      <c r="LXN112" s="1740"/>
      <c r="LXO112" s="1740"/>
      <c r="LXP112" s="1740"/>
      <c r="LXQ112" s="1740"/>
      <c r="LXR112" s="1740"/>
      <c r="LXS112" s="1740"/>
      <c r="LXT112" s="1740"/>
      <c r="LXU112" s="1740"/>
      <c r="LXV112" s="1740"/>
      <c r="LXW112" s="1740"/>
      <c r="LXX112" s="1740"/>
      <c r="LXY112" s="1740"/>
      <c r="LXZ112" s="1740"/>
      <c r="LYA112" s="1740"/>
      <c r="LYB112" s="1740"/>
      <c r="LYC112" s="1740"/>
      <c r="LYD112" s="1740"/>
      <c r="LYE112" s="1740"/>
      <c r="LYF112" s="1740"/>
      <c r="LYG112" s="1740"/>
      <c r="LYH112" s="1740"/>
      <c r="LYI112" s="1740"/>
      <c r="LYJ112" s="1740"/>
      <c r="LYK112" s="1740"/>
      <c r="LYL112" s="1740"/>
      <c r="LYM112" s="1740"/>
      <c r="LYN112" s="1740"/>
      <c r="LYO112" s="1740"/>
      <c r="LYP112" s="1740"/>
      <c r="LYQ112" s="1740"/>
      <c r="LYR112" s="1740"/>
      <c r="LYS112" s="1740"/>
      <c r="LYT112" s="1740"/>
      <c r="LYU112" s="1740"/>
      <c r="LYV112" s="1740"/>
      <c r="LYW112" s="1740"/>
      <c r="LYX112" s="1740"/>
      <c r="LYY112" s="1740"/>
      <c r="LYZ112" s="1740"/>
      <c r="LZA112" s="1740"/>
      <c r="LZB112" s="1740"/>
      <c r="LZC112" s="1740"/>
      <c r="LZD112" s="1740"/>
      <c r="LZE112" s="1740"/>
      <c r="LZF112" s="1740"/>
      <c r="LZG112" s="1740"/>
      <c r="LZH112" s="1740"/>
      <c r="LZI112" s="1740"/>
      <c r="LZJ112" s="1740"/>
      <c r="LZK112" s="1740"/>
      <c r="LZL112" s="1740"/>
      <c r="LZM112" s="1740"/>
      <c r="LZN112" s="1740"/>
      <c r="LZO112" s="1740"/>
      <c r="LZP112" s="1740"/>
      <c r="LZQ112" s="1740"/>
      <c r="LZR112" s="1740"/>
      <c r="LZS112" s="1740"/>
      <c r="LZT112" s="1740"/>
      <c r="LZU112" s="1740"/>
      <c r="LZV112" s="1740"/>
      <c r="LZW112" s="1740"/>
      <c r="LZX112" s="1740"/>
      <c r="LZY112" s="1740"/>
      <c r="LZZ112" s="1740"/>
      <c r="MAA112" s="1740"/>
      <c r="MAB112" s="1740"/>
      <c r="MAC112" s="1740"/>
      <c r="MAD112" s="1740"/>
      <c r="MAE112" s="1740"/>
      <c r="MAF112" s="1740"/>
      <c r="MAG112" s="1740"/>
      <c r="MAH112" s="1740"/>
      <c r="MAI112" s="1740"/>
      <c r="MAJ112" s="1740"/>
      <c r="MAK112" s="1740"/>
      <c r="MAL112" s="1740"/>
      <c r="MAM112" s="1740"/>
      <c r="MAN112" s="1740"/>
      <c r="MAO112" s="1740"/>
      <c r="MAP112" s="1740"/>
      <c r="MAQ112" s="1740"/>
      <c r="MAR112" s="1740"/>
      <c r="MAS112" s="1740"/>
      <c r="MAT112" s="1740"/>
      <c r="MAU112" s="1740"/>
      <c r="MAV112" s="1740"/>
      <c r="MAW112" s="1740"/>
      <c r="MAX112" s="1740"/>
      <c r="MAY112" s="1740"/>
      <c r="MAZ112" s="1740"/>
      <c r="MBA112" s="1740"/>
      <c r="MBB112" s="1740"/>
      <c r="MBC112" s="1740"/>
      <c r="MBD112" s="1740"/>
      <c r="MBE112" s="1740"/>
      <c r="MBF112" s="1740"/>
      <c r="MBG112" s="1740"/>
      <c r="MBH112" s="1740"/>
      <c r="MBI112" s="1740"/>
      <c r="MBJ112" s="1740"/>
      <c r="MBK112" s="1740"/>
      <c r="MBL112" s="1740"/>
      <c r="MBM112" s="1740"/>
      <c r="MBN112" s="1740"/>
      <c r="MBO112" s="1740"/>
      <c r="MBP112" s="1740"/>
      <c r="MBQ112" s="1740"/>
      <c r="MBR112" s="1740"/>
      <c r="MBS112" s="1740"/>
      <c r="MBT112" s="1740"/>
      <c r="MBU112" s="1740"/>
      <c r="MBV112" s="1740"/>
      <c r="MBW112" s="1740"/>
      <c r="MBX112" s="1740"/>
      <c r="MBY112" s="1740"/>
      <c r="MBZ112" s="1740"/>
      <c r="MCA112" s="1740"/>
      <c r="MCB112" s="1740"/>
      <c r="MCC112" s="1740"/>
      <c r="MCD112" s="1740"/>
      <c r="MCE112" s="1740"/>
      <c r="MCF112" s="1740"/>
      <c r="MCG112" s="1740"/>
      <c r="MCH112" s="1740"/>
      <c r="MCI112" s="1740"/>
      <c r="MCJ112" s="1740"/>
      <c r="MCK112" s="1740"/>
      <c r="MCL112" s="1740"/>
      <c r="MCM112" s="1740"/>
      <c r="MCN112" s="1740"/>
      <c r="MCO112" s="1740"/>
      <c r="MCP112" s="1740"/>
      <c r="MCQ112" s="1740"/>
      <c r="MCR112" s="1740"/>
      <c r="MCS112" s="1740"/>
      <c r="MCT112" s="1740"/>
      <c r="MCU112" s="1740"/>
      <c r="MCV112" s="1740"/>
      <c r="MCW112" s="1740"/>
      <c r="MCX112" s="1740"/>
      <c r="MCY112" s="1740"/>
      <c r="MCZ112" s="1740"/>
      <c r="MDA112" s="1740"/>
      <c r="MDB112" s="1740"/>
      <c r="MDC112" s="1740"/>
      <c r="MDD112" s="1740"/>
      <c r="MDE112" s="1740"/>
      <c r="MDF112" s="1740"/>
      <c r="MDG112" s="1740"/>
      <c r="MDH112" s="1740"/>
      <c r="MDI112" s="1740"/>
      <c r="MDJ112" s="1740"/>
      <c r="MDK112" s="1740"/>
      <c r="MDL112" s="1740"/>
      <c r="MDM112" s="1740"/>
      <c r="MDN112" s="1740"/>
      <c r="MDO112" s="1740"/>
      <c r="MDP112" s="1740"/>
      <c r="MDQ112" s="1740"/>
      <c r="MDR112" s="1740"/>
      <c r="MDS112" s="1740"/>
      <c r="MDT112" s="1740"/>
      <c r="MDU112" s="1740"/>
      <c r="MDV112" s="1740"/>
      <c r="MDW112" s="1740"/>
      <c r="MDX112" s="1740"/>
      <c r="MDY112" s="1740"/>
      <c r="MDZ112" s="1740"/>
      <c r="MEA112" s="1740"/>
      <c r="MEB112" s="1740"/>
      <c r="MEC112" s="1740"/>
      <c r="MED112" s="1740"/>
      <c r="MEE112" s="1740"/>
      <c r="MEF112" s="1740"/>
      <c r="MEG112" s="1740"/>
      <c r="MEH112" s="1740"/>
      <c r="MEI112" s="1740"/>
      <c r="MEJ112" s="1740"/>
      <c r="MEK112" s="1740"/>
      <c r="MEL112" s="1740"/>
      <c r="MEM112" s="1740"/>
      <c r="MEN112" s="1740"/>
      <c r="MEO112" s="1740"/>
      <c r="MEP112" s="1740"/>
      <c r="MEQ112" s="1740"/>
      <c r="MER112" s="1740"/>
      <c r="MES112" s="1740"/>
      <c r="MET112" s="1740"/>
      <c r="MEU112" s="1740"/>
      <c r="MEV112" s="1740"/>
      <c r="MEW112" s="1740"/>
      <c r="MEX112" s="1740"/>
      <c r="MEY112" s="1740"/>
      <c r="MEZ112" s="1740"/>
      <c r="MFA112" s="1740"/>
      <c r="MFB112" s="1740"/>
      <c r="MFC112" s="1740"/>
      <c r="MFD112" s="1740"/>
      <c r="MFE112" s="1740"/>
      <c r="MFF112" s="1740"/>
      <c r="MFG112" s="1740"/>
      <c r="MFH112" s="1740"/>
      <c r="MFI112" s="1740"/>
      <c r="MFJ112" s="1740"/>
      <c r="MFK112" s="1740"/>
      <c r="MFL112" s="1740"/>
      <c r="MFM112" s="1740"/>
      <c r="MFN112" s="1740"/>
      <c r="MFO112" s="1740"/>
      <c r="MFP112" s="1740"/>
      <c r="MFQ112" s="1740"/>
      <c r="MFR112" s="1740"/>
      <c r="MFS112" s="1740"/>
      <c r="MFT112" s="1740"/>
      <c r="MFU112" s="1740"/>
      <c r="MFV112" s="1740"/>
      <c r="MFW112" s="1740"/>
      <c r="MFX112" s="1740"/>
      <c r="MFY112" s="1740"/>
      <c r="MFZ112" s="1740"/>
      <c r="MGA112" s="1740"/>
      <c r="MGB112" s="1740"/>
      <c r="MGC112" s="1740"/>
      <c r="MGD112" s="1740"/>
      <c r="MGE112" s="1740"/>
      <c r="MGF112" s="1740"/>
      <c r="MGG112" s="1740"/>
      <c r="MGH112" s="1740"/>
      <c r="MGI112" s="1740"/>
      <c r="MGJ112" s="1740"/>
      <c r="MGK112" s="1740"/>
      <c r="MGL112" s="1740"/>
      <c r="MGM112" s="1740"/>
      <c r="MGN112" s="1740"/>
      <c r="MGO112" s="1740"/>
      <c r="MGP112" s="1740"/>
      <c r="MGQ112" s="1740"/>
      <c r="MGR112" s="1740"/>
      <c r="MGS112" s="1740"/>
      <c r="MGT112" s="1740"/>
      <c r="MGU112" s="1740"/>
      <c r="MGV112" s="1740"/>
      <c r="MGW112" s="1740"/>
      <c r="MGX112" s="1740"/>
      <c r="MGY112" s="1740"/>
      <c r="MGZ112" s="1740"/>
      <c r="MHA112" s="1740"/>
      <c r="MHB112" s="1740"/>
      <c r="MHC112" s="1740"/>
      <c r="MHD112" s="1740"/>
      <c r="MHE112" s="1740"/>
      <c r="MHF112" s="1740"/>
      <c r="MHG112" s="1740"/>
      <c r="MHH112" s="1740"/>
      <c r="MHI112" s="1740"/>
      <c r="MHJ112" s="1740"/>
      <c r="MHK112" s="1740"/>
      <c r="MHL112" s="1740"/>
      <c r="MHM112" s="1740"/>
      <c r="MHN112" s="1740"/>
      <c r="MHO112" s="1740"/>
      <c r="MHP112" s="1740"/>
      <c r="MHQ112" s="1740"/>
      <c r="MHR112" s="1740"/>
      <c r="MHS112" s="1740"/>
      <c r="MHT112" s="1740"/>
      <c r="MHU112" s="1740"/>
      <c r="MHV112" s="1740"/>
      <c r="MHW112" s="1740"/>
      <c r="MHX112" s="1740"/>
      <c r="MHY112" s="1740"/>
      <c r="MHZ112" s="1740"/>
      <c r="MIA112" s="1740"/>
      <c r="MIB112" s="1740"/>
      <c r="MIC112" s="1740"/>
      <c r="MID112" s="1740"/>
      <c r="MIE112" s="1740"/>
      <c r="MIF112" s="1740"/>
      <c r="MIG112" s="1740"/>
      <c r="MIH112" s="1740"/>
      <c r="MII112" s="1740"/>
      <c r="MIJ112" s="1740"/>
      <c r="MIK112" s="1740"/>
      <c r="MIL112" s="1740"/>
      <c r="MIM112" s="1740"/>
      <c r="MIN112" s="1740"/>
      <c r="MIO112" s="1740"/>
      <c r="MIP112" s="1740"/>
      <c r="MIQ112" s="1740"/>
      <c r="MIR112" s="1740"/>
      <c r="MIS112" s="1740"/>
      <c r="MIT112" s="1740"/>
      <c r="MIU112" s="1740"/>
      <c r="MIV112" s="1740"/>
      <c r="MIW112" s="1740"/>
      <c r="MIX112" s="1740"/>
      <c r="MIY112" s="1740"/>
      <c r="MIZ112" s="1740"/>
      <c r="MJA112" s="1740"/>
      <c r="MJB112" s="1740"/>
      <c r="MJC112" s="1740"/>
      <c r="MJD112" s="1740"/>
      <c r="MJE112" s="1740"/>
      <c r="MJF112" s="1740"/>
      <c r="MJG112" s="1740"/>
      <c r="MJH112" s="1740"/>
      <c r="MJI112" s="1740"/>
      <c r="MJJ112" s="1740"/>
      <c r="MJK112" s="1740"/>
      <c r="MJL112" s="1740"/>
      <c r="MJM112" s="1740"/>
      <c r="MJN112" s="1740"/>
      <c r="MJO112" s="1740"/>
      <c r="MJP112" s="1740"/>
      <c r="MJQ112" s="1740"/>
      <c r="MJR112" s="1740"/>
      <c r="MJS112" s="1740"/>
      <c r="MJT112" s="1740"/>
      <c r="MJU112" s="1740"/>
      <c r="MJV112" s="1740"/>
      <c r="MJW112" s="1740"/>
      <c r="MJX112" s="1740"/>
      <c r="MJY112" s="1740"/>
      <c r="MJZ112" s="1740"/>
      <c r="MKA112" s="1740"/>
      <c r="MKB112" s="1740"/>
      <c r="MKC112" s="1740"/>
      <c r="MKD112" s="1740"/>
      <c r="MKE112" s="1740"/>
      <c r="MKF112" s="1740"/>
      <c r="MKG112" s="1740"/>
      <c r="MKH112" s="1740"/>
      <c r="MKI112" s="1740"/>
      <c r="MKJ112" s="1740"/>
      <c r="MKK112" s="1740"/>
      <c r="MKL112" s="1740"/>
      <c r="MKM112" s="1740"/>
      <c r="MKN112" s="1740"/>
      <c r="MKO112" s="1740"/>
      <c r="MKP112" s="1740"/>
      <c r="MKQ112" s="1740"/>
      <c r="MKR112" s="1740"/>
      <c r="MKS112" s="1740"/>
      <c r="MKT112" s="1740"/>
      <c r="MKU112" s="1740"/>
      <c r="MKV112" s="1740"/>
      <c r="MKW112" s="1740"/>
      <c r="MKX112" s="1740"/>
      <c r="MKY112" s="1740"/>
      <c r="MKZ112" s="1740"/>
      <c r="MLA112" s="1740"/>
      <c r="MLB112" s="1740"/>
      <c r="MLC112" s="1740"/>
      <c r="MLD112" s="1740"/>
      <c r="MLE112" s="1740"/>
      <c r="MLF112" s="1740"/>
      <c r="MLG112" s="1740"/>
      <c r="MLH112" s="1740"/>
      <c r="MLI112" s="1740"/>
      <c r="MLJ112" s="1740"/>
      <c r="MLK112" s="1740"/>
      <c r="MLL112" s="1740"/>
      <c r="MLM112" s="1740"/>
      <c r="MLN112" s="1740"/>
      <c r="MLO112" s="1740"/>
      <c r="MLP112" s="1740"/>
      <c r="MLQ112" s="1740"/>
      <c r="MLR112" s="1740"/>
      <c r="MLS112" s="1740"/>
      <c r="MLT112" s="1740"/>
      <c r="MLU112" s="1740"/>
      <c r="MLV112" s="1740"/>
      <c r="MLW112" s="1740"/>
      <c r="MLX112" s="1740"/>
      <c r="MLY112" s="1740"/>
      <c r="MLZ112" s="1740"/>
      <c r="MMA112" s="1740"/>
      <c r="MMB112" s="1740"/>
      <c r="MMC112" s="1740"/>
      <c r="MMD112" s="1740"/>
      <c r="MME112" s="1740"/>
      <c r="MMF112" s="1740"/>
      <c r="MMG112" s="1740"/>
      <c r="MMH112" s="1740"/>
      <c r="MMI112" s="1740"/>
      <c r="MMJ112" s="1740"/>
      <c r="MMK112" s="1740"/>
      <c r="MML112" s="1740"/>
      <c r="MMM112" s="1740"/>
      <c r="MMN112" s="1740"/>
      <c r="MMO112" s="1740"/>
      <c r="MMP112" s="1740"/>
      <c r="MMQ112" s="1740"/>
      <c r="MMR112" s="1740"/>
      <c r="MMS112" s="1740"/>
      <c r="MMT112" s="1740"/>
      <c r="MMU112" s="1740"/>
      <c r="MMV112" s="1740"/>
      <c r="MMW112" s="1740"/>
      <c r="MMX112" s="1740"/>
      <c r="MMY112" s="1740"/>
      <c r="MMZ112" s="1740"/>
      <c r="MNA112" s="1740"/>
      <c r="MNB112" s="1740"/>
      <c r="MNC112" s="1740"/>
      <c r="MND112" s="1740"/>
      <c r="MNE112" s="1740"/>
      <c r="MNF112" s="1740"/>
      <c r="MNG112" s="1740"/>
      <c r="MNH112" s="1740"/>
      <c r="MNI112" s="1740"/>
      <c r="MNJ112" s="1740"/>
      <c r="MNK112" s="1740"/>
      <c r="MNL112" s="1740"/>
      <c r="MNM112" s="1740"/>
      <c r="MNN112" s="1740"/>
      <c r="MNO112" s="1740"/>
      <c r="MNP112" s="1740"/>
      <c r="MNQ112" s="1740"/>
      <c r="MNR112" s="1740"/>
      <c r="MNS112" s="1740"/>
      <c r="MNT112" s="1740"/>
      <c r="MNU112" s="1740"/>
      <c r="MNV112" s="1740"/>
      <c r="MNW112" s="1740"/>
      <c r="MNX112" s="1740"/>
      <c r="MNY112" s="1740"/>
      <c r="MNZ112" s="1740"/>
      <c r="MOA112" s="1740"/>
      <c r="MOB112" s="1740"/>
      <c r="MOC112" s="1740"/>
      <c r="MOD112" s="1740"/>
      <c r="MOE112" s="1740"/>
      <c r="MOF112" s="1740"/>
      <c r="MOG112" s="1740"/>
      <c r="MOH112" s="1740"/>
      <c r="MOI112" s="1740"/>
      <c r="MOJ112" s="1740"/>
      <c r="MOK112" s="1740"/>
      <c r="MOL112" s="1740"/>
      <c r="MOM112" s="1740"/>
      <c r="MON112" s="1740"/>
      <c r="MOO112" s="1740"/>
      <c r="MOP112" s="1740"/>
      <c r="MOQ112" s="1740"/>
      <c r="MOR112" s="1740"/>
      <c r="MOS112" s="1740"/>
      <c r="MOT112" s="1740"/>
      <c r="MOU112" s="1740"/>
      <c r="MOV112" s="1740"/>
      <c r="MOW112" s="1740"/>
      <c r="MOX112" s="1740"/>
      <c r="MOY112" s="1740"/>
      <c r="MOZ112" s="1740"/>
      <c r="MPA112" s="1740"/>
      <c r="MPB112" s="1740"/>
      <c r="MPC112" s="1740"/>
      <c r="MPD112" s="1740"/>
      <c r="MPE112" s="1740"/>
      <c r="MPF112" s="1740"/>
      <c r="MPG112" s="1740"/>
      <c r="MPH112" s="1740"/>
      <c r="MPI112" s="1740"/>
      <c r="MPJ112" s="1740"/>
      <c r="MPK112" s="1740"/>
      <c r="MPL112" s="1740"/>
      <c r="MPM112" s="1740"/>
      <c r="MPN112" s="1740"/>
      <c r="MPO112" s="1740"/>
      <c r="MPP112" s="1740"/>
      <c r="MPQ112" s="1740"/>
      <c r="MPR112" s="1740"/>
      <c r="MPS112" s="1740"/>
      <c r="MPT112" s="1740"/>
      <c r="MPU112" s="1740"/>
      <c r="MPV112" s="1740"/>
      <c r="MPW112" s="1740"/>
      <c r="MPX112" s="1740"/>
      <c r="MPY112" s="1740"/>
      <c r="MPZ112" s="1740"/>
      <c r="MQA112" s="1740"/>
      <c r="MQB112" s="1740"/>
      <c r="MQC112" s="1740"/>
      <c r="MQD112" s="1740"/>
      <c r="MQE112" s="1740"/>
      <c r="MQF112" s="1740"/>
      <c r="MQG112" s="1740"/>
      <c r="MQH112" s="1740"/>
      <c r="MQI112" s="1740"/>
      <c r="MQJ112" s="1740"/>
      <c r="MQK112" s="1740"/>
      <c r="MQL112" s="1740"/>
      <c r="MQM112" s="1740"/>
      <c r="MQN112" s="1740"/>
      <c r="MQO112" s="1740"/>
      <c r="MQP112" s="1740"/>
      <c r="MQQ112" s="1740"/>
      <c r="MQR112" s="1740"/>
      <c r="MQS112" s="1740"/>
      <c r="MQT112" s="1740"/>
      <c r="MQU112" s="1740"/>
      <c r="MQV112" s="1740"/>
      <c r="MQW112" s="1740"/>
      <c r="MQX112" s="1740"/>
      <c r="MQY112" s="1740"/>
      <c r="MQZ112" s="1740"/>
      <c r="MRA112" s="1740"/>
      <c r="MRB112" s="1740"/>
      <c r="MRC112" s="1740"/>
      <c r="MRD112" s="1740"/>
      <c r="MRE112" s="1740"/>
      <c r="MRF112" s="1740"/>
      <c r="MRG112" s="1740"/>
      <c r="MRH112" s="1740"/>
      <c r="MRI112" s="1740"/>
      <c r="MRJ112" s="1740"/>
      <c r="MRK112" s="1740"/>
      <c r="MRL112" s="1740"/>
      <c r="MRM112" s="1740"/>
      <c r="MRN112" s="1740"/>
      <c r="MRO112" s="1740"/>
      <c r="MRP112" s="1740"/>
      <c r="MRQ112" s="1740"/>
      <c r="MRR112" s="1740"/>
      <c r="MRS112" s="1740"/>
      <c r="MRT112" s="1740"/>
      <c r="MRU112" s="1740"/>
      <c r="MRV112" s="1740"/>
      <c r="MRW112" s="1740"/>
      <c r="MRX112" s="1740"/>
      <c r="MRY112" s="1740"/>
      <c r="MRZ112" s="1740"/>
      <c r="MSA112" s="1740"/>
      <c r="MSB112" s="1740"/>
      <c r="MSC112" s="1740"/>
      <c r="MSD112" s="1740"/>
      <c r="MSE112" s="1740"/>
      <c r="MSF112" s="1740"/>
      <c r="MSG112" s="1740"/>
      <c r="MSH112" s="1740"/>
      <c r="MSI112" s="1740"/>
      <c r="MSJ112" s="1740"/>
      <c r="MSK112" s="1740"/>
      <c r="MSL112" s="1740"/>
      <c r="MSM112" s="1740"/>
      <c r="MSN112" s="1740"/>
      <c r="MSO112" s="1740"/>
      <c r="MSP112" s="1740"/>
      <c r="MSQ112" s="1740"/>
      <c r="MSR112" s="1740"/>
      <c r="MSS112" s="1740"/>
      <c r="MST112" s="1740"/>
      <c r="MSU112" s="1740"/>
      <c r="MSV112" s="1740"/>
      <c r="MSW112" s="1740"/>
      <c r="MSX112" s="1740"/>
      <c r="MSY112" s="1740"/>
      <c r="MSZ112" s="1740"/>
      <c r="MTA112" s="1740"/>
      <c r="MTB112" s="1740"/>
      <c r="MTC112" s="1740"/>
      <c r="MTD112" s="1740"/>
      <c r="MTE112" s="1740"/>
      <c r="MTF112" s="1740"/>
      <c r="MTG112" s="1740"/>
      <c r="MTH112" s="1740"/>
      <c r="MTI112" s="1740"/>
      <c r="MTJ112" s="1740"/>
      <c r="MTK112" s="1740"/>
      <c r="MTL112" s="1740"/>
      <c r="MTM112" s="1740"/>
      <c r="MTN112" s="1740"/>
      <c r="MTO112" s="1740"/>
      <c r="MTP112" s="1740"/>
      <c r="MTQ112" s="1740"/>
      <c r="MTR112" s="1740"/>
      <c r="MTS112" s="1740"/>
      <c r="MTT112" s="1740"/>
      <c r="MTU112" s="1740"/>
      <c r="MTV112" s="1740"/>
      <c r="MTW112" s="1740"/>
      <c r="MTX112" s="1740"/>
      <c r="MTY112" s="1740"/>
      <c r="MTZ112" s="1740"/>
      <c r="MUA112" s="1740"/>
      <c r="MUB112" s="1740"/>
      <c r="MUC112" s="1740"/>
      <c r="MUD112" s="1740"/>
      <c r="MUE112" s="1740"/>
      <c r="MUF112" s="1740"/>
      <c r="MUG112" s="1740"/>
      <c r="MUH112" s="1740"/>
      <c r="MUI112" s="1740"/>
      <c r="MUJ112" s="1740"/>
      <c r="MUK112" s="1740"/>
      <c r="MUL112" s="1740"/>
      <c r="MUM112" s="1740"/>
      <c r="MUN112" s="1740"/>
      <c r="MUO112" s="1740"/>
      <c r="MUP112" s="1740"/>
      <c r="MUQ112" s="1740"/>
      <c r="MUR112" s="1740"/>
      <c r="MUS112" s="1740"/>
      <c r="MUT112" s="1740"/>
      <c r="MUU112" s="1740"/>
      <c r="MUV112" s="1740"/>
      <c r="MUW112" s="1740"/>
      <c r="MUX112" s="1740"/>
      <c r="MUY112" s="1740"/>
      <c r="MUZ112" s="1740"/>
      <c r="MVA112" s="1740"/>
      <c r="MVB112" s="1740"/>
      <c r="MVC112" s="1740"/>
      <c r="MVD112" s="1740"/>
      <c r="MVE112" s="1740"/>
      <c r="MVF112" s="1740"/>
      <c r="MVG112" s="1740"/>
      <c r="MVH112" s="1740"/>
      <c r="MVI112" s="1740"/>
      <c r="MVJ112" s="1740"/>
      <c r="MVK112" s="1740"/>
      <c r="MVL112" s="1740"/>
      <c r="MVM112" s="1740"/>
      <c r="MVN112" s="1740"/>
      <c r="MVO112" s="1740"/>
      <c r="MVP112" s="1740"/>
      <c r="MVQ112" s="1740"/>
      <c r="MVR112" s="1740"/>
      <c r="MVS112" s="1740"/>
      <c r="MVT112" s="1740"/>
      <c r="MVU112" s="1740"/>
      <c r="MVV112" s="1740"/>
      <c r="MVW112" s="1740"/>
      <c r="MVX112" s="1740"/>
      <c r="MVY112" s="1740"/>
      <c r="MVZ112" s="1740"/>
      <c r="MWA112" s="1740"/>
      <c r="MWB112" s="1740"/>
      <c r="MWC112" s="1740"/>
      <c r="MWD112" s="1740"/>
      <c r="MWE112" s="1740"/>
      <c r="MWF112" s="1740"/>
      <c r="MWG112" s="1740"/>
      <c r="MWH112" s="1740"/>
      <c r="MWI112" s="1740"/>
      <c r="MWJ112" s="1740"/>
      <c r="MWK112" s="1740"/>
      <c r="MWL112" s="1740"/>
      <c r="MWM112" s="1740"/>
      <c r="MWN112" s="1740"/>
      <c r="MWO112" s="1740"/>
      <c r="MWP112" s="1740"/>
      <c r="MWQ112" s="1740"/>
      <c r="MWR112" s="1740"/>
      <c r="MWS112" s="1740"/>
      <c r="MWT112" s="1740"/>
      <c r="MWU112" s="1740"/>
      <c r="MWV112" s="1740"/>
      <c r="MWW112" s="1740"/>
      <c r="MWX112" s="1740"/>
      <c r="MWY112" s="1740"/>
      <c r="MWZ112" s="1740"/>
      <c r="MXA112" s="1740"/>
      <c r="MXB112" s="1740"/>
      <c r="MXC112" s="1740"/>
      <c r="MXD112" s="1740"/>
      <c r="MXE112" s="1740"/>
      <c r="MXF112" s="1740"/>
      <c r="MXG112" s="1740"/>
      <c r="MXH112" s="1740"/>
      <c r="MXI112" s="1740"/>
      <c r="MXJ112" s="1740"/>
      <c r="MXK112" s="1740"/>
      <c r="MXL112" s="1740"/>
      <c r="MXM112" s="1740"/>
      <c r="MXN112" s="1740"/>
      <c r="MXO112" s="1740"/>
      <c r="MXP112" s="1740"/>
      <c r="MXQ112" s="1740"/>
      <c r="MXR112" s="1740"/>
      <c r="MXS112" s="1740"/>
      <c r="MXT112" s="1740"/>
      <c r="MXU112" s="1740"/>
      <c r="MXV112" s="1740"/>
      <c r="MXW112" s="1740"/>
      <c r="MXX112" s="1740"/>
      <c r="MXY112" s="1740"/>
      <c r="MXZ112" s="1740"/>
      <c r="MYA112" s="1740"/>
      <c r="MYB112" s="1740"/>
      <c r="MYC112" s="1740"/>
      <c r="MYD112" s="1740"/>
      <c r="MYE112" s="1740"/>
      <c r="MYF112" s="1740"/>
      <c r="MYG112" s="1740"/>
      <c r="MYH112" s="1740"/>
      <c r="MYI112" s="1740"/>
      <c r="MYJ112" s="1740"/>
      <c r="MYK112" s="1740"/>
      <c r="MYL112" s="1740"/>
      <c r="MYM112" s="1740"/>
      <c r="MYN112" s="1740"/>
      <c r="MYO112" s="1740"/>
      <c r="MYP112" s="1740"/>
      <c r="MYQ112" s="1740"/>
      <c r="MYR112" s="1740"/>
      <c r="MYS112" s="1740"/>
      <c r="MYT112" s="1740"/>
      <c r="MYU112" s="1740"/>
      <c r="MYV112" s="1740"/>
      <c r="MYW112" s="1740"/>
      <c r="MYX112" s="1740"/>
      <c r="MYY112" s="1740"/>
      <c r="MYZ112" s="1740"/>
      <c r="MZA112" s="1740"/>
      <c r="MZB112" s="1740"/>
      <c r="MZC112" s="1740"/>
      <c r="MZD112" s="1740"/>
      <c r="MZE112" s="1740"/>
      <c r="MZF112" s="1740"/>
      <c r="MZG112" s="1740"/>
      <c r="MZH112" s="1740"/>
      <c r="MZI112" s="1740"/>
      <c r="MZJ112" s="1740"/>
      <c r="MZK112" s="1740"/>
      <c r="MZL112" s="1740"/>
      <c r="MZM112" s="1740"/>
      <c r="MZN112" s="1740"/>
      <c r="MZO112" s="1740"/>
      <c r="MZP112" s="1740"/>
      <c r="MZQ112" s="1740"/>
      <c r="MZR112" s="1740"/>
      <c r="MZS112" s="1740"/>
      <c r="MZT112" s="1740"/>
      <c r="MZU112" s="1740"/>
      <c r="MZV112" s="1740"/>
      <c r="MZW112" s="1740"/>
      <c r="MZX112" s="1740"/>
      <c r="MZY112" s="1740"/>
      <c r="MZZ112" s="1740"/>
      <c r="NAA112" s="1740"/>
      <c r="NAB112" s="1740"/>
      <c r="NAC112" s="1740"/>
      <c r="NAD112" s="1740"/>
      <c r="NAE112" s="1740"/>
      <c r="NAF112" s="1740"/>
      <c r="NAG112" s="1740"/>
      <c r="NAH112" s="1740"/>
      <c r="NAI112" s="1740"/>
      <c r="NAJ112" s="1740"/>
      <c r="NAK112" s="1740"/>
      <c r="NAL112" s="1740"/>
      <c r="NAM112" s="1740"/>
      <c r="NAN112" s="1740"/>
      <c r="NAO112" s="1740"/>
      <c r="NAP112" s="1740"/>
      <c r="NAQ112" s="1740"/>
      <c r="NAR112" s="1740"/>
      <c r="NAS112" s="1740"/>
      <c r="NAT112" s="1740"/>
      <c r="NAU112" s="1740"/>
      <c r="NAV112" s="1740"/>
      <c r="NAW112" s="1740"/>
      <c r="NAX112" s="1740"/>
      <c r="NAY112" s="1740"/>
      <c r="NAZ112" s="1740"/>
      <c r="NBA112" s="1740"/>
      <c r="NBB112" s="1740"/>
      <c r="NBC112" s="1740"/>
      <c r="NBD112" s="1740"/>
      <c r="NBE112" s="1740"/>
      <c r="NBF112" s="1740"/>
      <c r="NBG112" s="1740"/>
      <c r="NBH112" s="1740"/>
      <c r="NBI112" s="1740"/>
      <c r="NBJ112" s="1740"/>
      <c r="NBK112" s="1740"/>
      <c r="NBL112" s="1740"/>
      <c r="NBM112" s="1740"/>
      <c r="NBN112" s="1740"/>
      <c r="NBO112" s="1740"/>
      <c r="NBP112" s="1740"/>
      <c r="NBQ112" s="1740"/>
      <c r="NBR112" s="1740"/>
      <c r="NBS112" s="1740"/>
      <c r="NBT112" s="1740"/>
      <c r="NBU112" s="1740"/>
      <c r="NBV112" s="1740"/>
      <c r="NBW112" s="1740"/>
      <c r="NBX112" s="1740"/>
      <c r="NBY112" s="1740"/>
      <c r="NBZ112" s="1740"/>
      <c r="NCA112" s="1740"/>
      <c r="NCB112" s="1740"/>
      <c r="NCC112" s="1740"/>
      <c r="NCD112" s="1740"/>
      <c r="NCE112" s="1740"/>
      <c r="NCF112" s="1740"/>
      <c r="NCG112" s="1740"/>
      <c r="NCH112" s="1740"/>
      <c r="NCI112" s="1740"/>
      <c r="NCJ112" s="1740"/>
      <c r="NCK112" s="1740"/>
      <c r="NCL112" s="1740"/>
      <c r="NCM112" s="1740"/>
      <c r="NCN112" s="1740"/>
      <c r="NCO112" s="1740"/>
      <c r="NCP112" s="1740"/>
      <c r="NCQ112" s="1740"/>
      <c r="NCR112" s="1740"/>
      <c r="NCS112" s="1740"/>
      <c r="NCT112" s="1740"/>
      <c r="NCU112" s="1740"/>
      <c r="NCV112" s="1740"/>
      <c r="NCW112" s="1740"/>
      <c r="NCX112" s="1740"/>
      <c r="NCY112" s="1740"/>
      <c r="NCZ112" s="1740"/>
      <c r="NDA112" s="1740"/>
      <c r="NDB112" s="1740"/>
      <c r="NDC112" s="1740"/>
      <c r="NDD112" s="1740"/>
      <c r="NDE112" s="1740"/>
      <c r="NDF112" s="1740"/>
      <c r="NDG112" s="1740"/>
      <c r="NDH112" s="1740"/>
      <c r="NDI112" s="1740"/>
      <c r="NDJ112" s="1740"/>
      <c r="NDK112" s="1740"/>
      <c r="NDL112" s="1740"/>
      <c r="NDM112" s="1740"/>
      <c r="NDN112" s="1740"/>
      <c r="NDO112" s="1740"/>
      <c r="NDP112" s="1740"/>
      <c r="NDQ112" s="1740"/>
      <c r="NDR112" s="1740"/>
      <c r="NDS112" s="1740"/>
      <c r="NDT112" s="1740"/>
      <c r="NDU112" s="1740"/>
      <c r="NDV112" s="1740"/>
      <c r="NDW112" s="1740"/>
      <c r="NDX112" s="1740"/>
      <c r="NDY112" s="1740"/>
      <c r="NDZ112" s="1740"/>
      <c r="NEA112" s="1740"/>
      <c r="NEB112" s="1740"/>
      <c r="NEC112" s="1740"/>
      <c r="NED112" s="1740"/>
      <c r="NEE112" s="1740"/>
      <c r="NEF112" s="1740"/>
      <c r="NEG112" s="1740"/>
      <c r="NEH112" s="1740"/>
      <c r="NEI112" s="1740"/>
      <c r="NEJ112" s="1740"/>
      <c r="NEK112" s="1740"/>
      <c r="NEL112" s="1740"/>
      <c r="NEM112" s="1740"/>
      <c r="NEN112" s="1740"/>
      <c r="NEO112" s="1740"/>
      <c r="NEP112" s="1740"/>
      <c r="NEQ112" s="1740"/>
      <c r="NER112" s="1740"/>
      <c r="NES112" s="1740"/>
      <c r="NET112" s="1740"/>
      <c r="NEU112" s="1740"/>
      <c r="NEV112" s="1740"/>
      <c r="NEW112" s="1740"/>
      <c r="NEX112" s="1740"/>
      <c r="NEY112" s="1740"/>
      <c r="NEZ112" s="1740"/>
      <c r="NFA112" s="1740"/>
      <c r="NFB112" s="1740"/>
      <c r="NFC112" s="1740"/>
      <c r="NFD112" s="1740"/>
      <c r="NFE112" s="1740"/>
      <c r="NFF112" s="1740"/>
      <c r="NFG112" s="1740"/>
      <c r="NFH112" s="1740"/>
      <c r="NFI112" s="1740"/>
      <c r="NFJ112" s="1740"/>
      <c r="NFK112" s="1740"/>
      <c r="NFL112" s="1740"/>
      <c r="NFM112" s="1740"/>
      <c r="NFN112" s="1740"/>
      <c r="NFO112" s="1740"/>
      <c r="NFP112" s="1740"/>
      <c r="NFQ112" s="1740"/>
      <c r="NFR112" s="1740"/>
      <c r="NFS112" s="1740"/>
      <c r="NFT112" s="1740"/>
      <c r="NFU112" s="1740"/>
      <c r="NFV112" s="1740"/>
      <c r="NFW112" s="1740"/>
      <c r="NFX112" s="1740"/>
      <c r="NFY112" s="1740"/>
      <c r="NFZ112" s="1740"/>
      <c r="NGA112" s="1740"/>
      <c r="NGB112" s="1740"/>
      <c r="NGC112" s="1740"/>
      <c r="NGD112" s="1740"/>
      <c r="NGE112" s="1740"/>
      <c r="NGF112" s="1740"/>
      <c r="NGG112" s="1740"/>
      <c r="NGH112" s="1740"/>
      <c r="NGI112" s="1740"/>
      <c r="NGJ112" s="1740"/>
      <c r="NGK112" s="1740"/>
      <c r="NGL112" s="1740"/>
      <c r="NGM112" s="1740"/>
      <c r="NGN112" s="1740"/>
      <c r="NGO112" s="1740"/>
      <c r="NGP112" s="1740"/>
      <c r="NGQ112" s="1740"/>
      <c r="NGR112" s="1740"/>
      <c r="NGS112" s="1740"/>
      <c r="NGT112" s="1740"/>
      <c r="NGU112" s="1740"/>
      <c r="NGV112" s="1740"/>
      <c r="NGW112" s="1740"/>
      <c r="NGX112" s="1740"/>
      <c r="NGY112" s="1740"/>
      <c r="NGZ112" s="1740"/>
      <c r="NHA112" s="1740"/>
      <c r="NHB112" s="1740"/>
      <c r="NHC112" s="1740"/>
      <c r="NHD112" s="1740"/>
      <c r="NHE112" s="1740"/>
      <c r="NHF112" s="1740"/>
      <c r="NHG112" s="1740"/>
      <c r="NHH112" s="1740"/>
      <c r="NHI112" s="1740"/>
      <c r="NHJ112" s="1740"/>
      <c r="NHK112" s="1740"/>
      <c r="NHL112" s="1740"/>
      <c r="NHM112" s="1740"/>
      <c r="NHN112" s="1740"/>
      <c r="NHO112" s="1740"/>
      <c r="NHP112" s="1740"/>
      <c r="NHQ112" s="1740"/>
      <c r="NHR112" s="1740"/>
      <c r="NHS112" s="1740"/>
      <c r="NHT112" s="1740"/>
      <c r="NHU112" s="1740"/>
      <c r="NHV112" s="1740"/>
      <c r="NHW112" s="1740"/>
      <c r="NHX112" s="1740"/>
      <c r="NHY112" s="1740"/>
      <c r="NHZ112" s="1740"/>
      <c r="NIA112" s="1740"/>
      <c r="NIB112" s="1740"/>
      <c r="NIC112" s="1740"/>
      <c r="NID112" s="1740"/>
      <c r="NIE112" s="1740"/>
      <c r="NIF112" s="1740"/>
      <c r="NIG112" s="1740"/>
      <c r="NIH112" s="1740"/>
      <c r="NII112" s="1740"/>
      <c r="NIJ112" s="1740"/>
      <c r="NIK112" s="1740"/>
      <c r="NIL112" s="1740"/>
      <c r="NIM112" s="1740"/>
      <c r="NIN112" s="1740"/>
      <c r="NIO112" s="1740"/>
      <c r="NIP112" s="1740"/>
      <c r="NIQ112" s="1740"/>
      <c r="NIR112" s="1740"/>
      <c r="NIS112" s="1740"/>
      <c r="NIT112" s="1740"/>
      <c r="NIU112" s="1740"/>
      <c r="NIV112" s="1740"/>
      <c r="NIW112" s="1740"/>
      <c r="NIX112" s="1740"/>
      <c r="NIY112" s="1740"/>
      <c r="NIZ112" s="1740"/>
      <c r="NJA112" s="1740"/>
      <c r="NJB112" s="1740"/>
      <c r="NJC112" s="1740"/>
      <c r="NJD112" s="1740"/>
      <c r="NJE112" s="1740"/>
      <c r="NJF112" s="1740"/>
      <c r="NJG112" s="1740"/>
      <c r="NJH112" s="1740"/>
      <c r="NJI112" s="1740"/>
      <c r="NJJ112" s="1740"/>
      <c r="NJK112" s="1740"/>
      <c r="NJL112" s="1740"/>
      <c r="NJM112" s="1740"/>
      <c r="NJN112" s="1740"/>
      <c r="NJO112" s="1740"/>
      <c r="NJP112" s="1740"/>
      <c r="NJQ112" s="1740"/>
      <c r="NJR112" s="1740"/>
      <c r="NJS112" s="1740"/>
      <c r="NJT112" s="1740"/>
      <c r="NJU112" s="1740"/>
      <c r="NJV112" s="1740"/>
      <c r="NJW112" s="1740"/>
      <c r="NJX112" s="1740"/>
      <c r="NJY112" s="1740"/>
      <c r="NJZ112" s="1740"/>
      <c r="NKA112" s="1740"/>
      <c r="NKB112" s="1740"/>
      <c r="NKC112" s="1740"/>
      <c r="NKD112" s="1740"/>
      <c r="NKE112" s="1740"/>
      <c r="NKF112" s="1740"/>
      <c r="NKG112" s="1740"/>
      <c r="NKH112" s="1740"/>
      <c r="NKI112" s="1740"/>
      <c r="NKJ112" s="1740"/>
      <c r="NKK112" s="1740"/>
      <c r="NKL112" s="1740"/>
      <c r="NKM112" s="1740"/>
      <c r="NKN112" s="1740"/>
      <c r="NKO112" s="1740"/>
      <c r="NKP112" s="1740"/>
      <c r="NKQ112" s="1740"/>
      <c r="NKR112" s="1740"/>
      <c r="NKS112" s="1740"/>
      <c r="NKT112" s="1740"/>
      <c r="NKU112" s="1740"/>
      <c r="NKV112" s="1740"/>
      <c r="NKW112" s="1740"/>
      <c r="NKX112" s="1740"/>
      <c r="NKY112" s="1740"/>
      <c r="NKZ112" s="1740"/>
      <c r="NLA112" s="1740"/>
      <c r="NLB112" s="1740"/>
      <c r="NLC112" s="1740"/>
      <c r="NLD112" s="1740"/>
      <c r="NLE112" s="1740"/>
      <c r="NLF112" s="1740"/>
      <c r="NLG112" s="1740"/>
      <c r="NLH112" s="1740"/>
      <c r="NLI112" s="1740"/>
      <c r="NLJ112" s="1740"/>
      <c r="NLK112" s="1740"/>
      <c r="NLL112" s="1740"/>
      <c r="NLM112" s="1740"/>
      <c r="NLN112" s="1740"/>
      <c r="NLO112" s="1740"/>
      <c r="NLP112" s="1740"/>
      <c r="NLQ112" s="1740"/>
      <c r="NLR112" s="1740"/>
      <c r="NLS112" s="1740"/>
      <c r="NLT112" s="1740"/>
      <c r="NLU112" s="1740"/>
      <c r="NLV112" s="1740"/>
      <c r="NLW112" s="1740"/>
      <c r="NLX112" s="1740"/>
      <c r="NLY112" s="1740"/>
      <c r="NLZ112" s="1740"/>
      <c r="NMA112" s="1740"/>
      <c r="NMB112" s="1740"/>
      <c r="NMC112" s="1740"/>
      <c r="NMD112" s="1740"/>
      <c r="NME112" s="1740"/>
      <c r="NMF112" s="1740"/>
      <c r="NMG112" s="1740"/>
      <c r="NMH112" s="1740"/>
      <c r="NMI112" s="1740"/>
      <c r="NMJ112" s="1740"/>
      <c r="NMK112" s="1740"/>
      <c r="NML112" s="1740"/>
      <c r="NMM112" s="1740"/>
      <c r="NMN112" s="1740"/>
      <c r="NMO112" s="1740"/>
      <c r="NMP112" s="1740"/>
      <c r="NMQ112" s="1740"/>
      <c r="NMR112" s="1740"/>
      <c r="NMS112" s="1740"/>
      <c r="NMT112" s="1740"/>
      <c r="NMU112" s="1740"/>
      <c r="NMV112" s="1740"/>
      <c r="NMW112" s="1740"/>
      <c r="NMX112" s="1740"/>
      <c r="NMY112" s="1740"/>
      <c r="NMZ112" s="1740"/>
      <c r="NNA112" s="1740"/>
      <c r="NNB112" s="1740"/>
      <c r="NNC112" s="1740"/>
      <c r="NND112" s="1740"/>
      <c r="NNE112" s="1740"/>
      <c r="NNF112" s="1740"/>
      <c r="NNG112" s="1740"/>
      <c r="NNH112" s="1740"/>
      <c r="NNI112" s="1740"/>
      <c r="NNJ112" s="1740"/>
      <c r="NNK112" s="1740"/>
      <c r="NNL112" s="1740"/>
      <c r="NNM112" s="1740"/>
      <c r="NNN112" s="1740"/>
      <c r="NNO112" s="1740"/>
      <c r="NNP112" s="1740"/>
      <c r="NNQ112" s="1740"/>
      <c r="NNR112" s="1740"/>
      <c r="NNS112" s="1740"/>
      <c r="NNT112" s="1740"/>
      <c r="NNU112" s="1740"/>
      <c r="NNV112" s="1740"/>
      <c r="NNW112" s="1740"/>
      <c r="NNX112" s="1740"/>
      <c r="NNY112" s="1740"/>
      <c r="NNZ112" s="1740"/>
      <c r="NOA112" s="1740"/>
      <c r="NOB112" s="1740"/>
      <c r="NOC112" s="1740"/>
      <c r="NOD112" s="1740"/>
      <c r="NOE112" s="1740"/>
      <c r="NOF112" s="1740"/>
      <c r="NOG112" s="1740"/>
      <c r="NOH112" s="1740"/>
      <c r="NOI112" s="1740"/>
      <c r="NOJ112" s="1740"/>
      <c r="NOK112" s="1740"/>
      <c r="NOL112" s="1740"/>
      <c r="NOM112" s="1740"/>
      <c r="NON112" s="1740"/>
      <c r="NOO112" s="1740"/>
      <c r="NOP112" s="1740"/>
      <c r="NOQ112" s="1740"/>
      <c r="NOR112" s="1740"/>
      <c r="NOS112" s="1740"/>
      <c r="NOT112" s="1740"/>
      <c r="NOU112" s="1740"/>
      <c r="NOV112" s="1740"/>
      <c r="NOW112" s="1740"/>
      <c r="NOX112" s="1740"/>
      <c r="NOY112" s="1740"/>
      <c r="NOZ112" s="1740"/>
      <c r="NPA112" s="1740"/>
      <c r="NPB112" s="1740"/>
      <c r="NPC112" s="1740"/>
      <c r="NPD112" s="1740"/>
      <c r="NPE112" s="1740"/>
      <c r="NPF112" s="1740"/>
      <c r="NPG112" s="1740"/>
      <c r="NPH112" s="1740"/>
      <c r="NPI112" s="1740"/>
      <c r="NPJ112" s="1740"/>
      <c r="NPK112" s="1740"/>
      <c r="NPL112" s="1740"/>
      <c r="NPM112" s="1740"/>
      <c r="NPN112" s="1740"/>
      <c r="NPO112" s="1740"/>
      <c r="NPP112" s="1740"/>
      <c r="NPQ112" s="1740"/>
      <c r="NPR112" s="1740"/>
      <c r="NPS112" s="1740"/>
      <c r="NPT112" s="1740"/>
      <c r="NPU112" s="1740"/>
      <c r="NPV112" s="1740"/>
      <c r="NPW112" s="1740"/>
      <c r="NPX112" s="1740"/>
      <c r="NPY112" s="1740"/>
      <c r="NPZ112" s="1740"/>
      <c r="NQA112" s="1740"/>
      <c r="NQB112" s="1740"/>
      <c r="NQC112" s="1740"/>
      <c r="NQD112" s="1740"/>
      <c r="NQE112" s="1740"/>
      <c r="NQF112" s="1740"/>
      <c r="NQG112" s="1740"/>
      <c r="NQH112" s="1740"/>
      <c r="NQI112" s="1740"/>
      <c r="NQJ112" s="1740"/>
      <c r="NQK112" s="1740"/>
      <c r="NQL112" s="1740"/>
      <c r="NQM112" s="1740"/>
      <c r="NQN112" s="1740"/>
      <c r="NQO112" s="1740"/>
      <c r="NQP112" s="1740"/>
      <c r="NQQ112" s="1740"/>
      <c r="NQR112" s="1740"/>
      <c r="NQS112" s="1740"/>
      <c r="NQT112" s="1740"/>
      <c r="NQU112" s="1740"/>
      <c r="NQV112" s="1740"/>
      <c r="NQW112" s="1740"/>
      <c r="NQX112" s="1740"/>
      <c r="NQY112" s="1740"/>
      <c r="NQZ112" s="1740"/>
      <c r="NRA112" s="1740"/>
      <c r="NRB112" s="1740"/>
      <c r="NRC112" s="1740"/>
      <c r="NRD112" s="1740"/>
      <c r="NRE112" s="1740"/>
      <c r="NRF112" s="1740"/>
      <c r="NRG112" s="1740"/>
      <c r="NRH112" s="1740"/>
      <c r="NRI112" s="1740"/>
      <c r="NRJ112" s="1740"/>
      <c r="NRK112" s="1740"/>
      <c r="NRL112" s="1740"/>
      <c r="NRM112" s="1740"/>
      <c r="NRN112" s="1740"/>
      <c r="NRO112" s="1740"/>
      <c r="NRP112" s="1740"/>
      <c r="NRQ112" s="1740"/>
      <c r="NRR112" s="1740"/>
      <c r="NRS112" s="1740"/>
      <c r="NRT112" s="1740"/>
      <c r="NRU112" s="1740"/>
      <c r="NRV112" s="1740"/>
      <c r="NRW112" s="1740"/>
      <c r="NRX112" s="1740"/>
      <c r="NRY112" s="1740"/>
      <c r="NRZ112" s="1740"/>
      <c r="NSA112" s="1740"/>
      <c r="NSB112" s="1740"/>
      <c r="NSC112" s="1740"/>
      <c r="NSD112" s="1740"/>
      <c r="NSE112" s="1740"/>
      <c r="NSF112" s="1740"/>
      <c r="NSG112" s="1740"/>
      <c r="NSH112" s="1740"/>
      <c r="NSI112" s="1740"/>
      <c r="NSJ112" s="1740"/>
      <c r="NSK112" s="1740"/>
      <c r="NSL112" s="1740"/>
      <c r="NSM112" s="1740"/>
      <c r="NSN112" s="1740"/>
      <c r="NSO112" s="1740"/>
      <c r="NSP112" s="1740"/>
      <c r="NSQ112" s="1740"/>
      <c r="NSR112" s="1740"/>
      <c r="NSS112" s="1740"/>
      <c r="NST112" s="1740"/>
      <c r="NSU112" s="1740"/>
      <c r="NSV112" s="1740"/>
      <c r="NSW112" s="1740"/>
      <c r="NSX112" s="1740"/>
      <c r="NSY112" s="1740"/>
      <c r="NSZ112" s="1740"/>
      <c r="NTA112" s="1740"/>
      <c r="NTB112" s="1740"/>
      <c r="NTC112" s="1740"/>
      <c r="NTD112" s="1740"/>
      <c r="NTE112" s="1740"/>
      <c r="NTF112" s="1740"/>
      <c r="NTG112" s="1740"/>
      <c r="NTH112" s="1740"/>
      <c r="NTI112" s="1740"/>
      <c r="NTJ112" s="1740"/>
      <c r="NTK112" s="1740"/>
      <c r="NTL112" s="1740"/>
      <c r="NTM112" s="1740"/>
      <c r="NTN112" s="1740"/>
      <c r="NTO112" s="1740"/>
      <c r="NTP112" s="1740"/>
      <c r="NTQ112" s="1740"/>
      <c r="NTR112" s="1740"/>
      <c r="NTS112" s="1740"/>
      <c r="NTT112" s="1740"/>
      <c r="NTU112" s="1740"/>
      <c r="NTV112" s="1740"/>
      <c r="NTW112" s="1740"/>
      <c r="NTX112" s="1740"/>
      <c r="NTY112" s="1740"/>
      <c r="NTZ112" s="1740"/>
      <c r="NUA112" s="1740"/>
      <c r="NUB112" s="1740"/>
      <c r="NUC112" s="1740"/>
      <c r="NUD112" s="1740"/>
      <c r="NUE112" s="1740"/>
      <c r="NUF112" s="1740"/>
      <c r="NUG112" s="1740"/>
      <c r="NUH112" s="1740"/>
      <c r="NUI112" s="1740"/>
      <c r="NUJ112" s="1740"/>
      <c r="NUK112" s="1740"/>
      <c r="NUL112" s="1740"/>
      <c r="NUM112" s="1740"/>
      <c r="NUN112" s="1740"/>
      <c r="NUO112" s="1740"/>
      <c r="NUP112" s="1740"/>
      <c r="NUQ112" s="1740"/>
      <c r="NUR112" s="1740"/>
      <c r="NUS112" s="1740"/>
      <c r="NUT112" s="1740"/>
      <c r="NUU112" s="1740"/>
      <c r="NUV112" s="1740"/>
      <c r="NUW112" s="1740"/>
      <c r="NUX112" s="1740"/>
      <c r="NUY112" s="1740"/>
      <c r="NUZ112" s="1740"/>
      <c r="NVA112" s="1740"/>
      <c r="NVB112" s="1740"/>
      <c r="NVC112" s="1740"/>
      <c r="NVD112" s="1740"/>
      <c r="NVE112" s="1740"/>
      <c r="NVF112" s="1740"/>
      <c r="NVG112" s="1740"/>
      <c r="NVH112" s="1740"/>
      <c r="NVI112" s="1740"/>
      <c r="NVJ112" s="1740"/>
      <c r="NVK112" s="1740"/>
      <c r="NVL112" s="1740"/>
      <c r="NVM112" s="1740"/>
      <c r="NVN112" s="1740"/>
      <c r="NVO112" s="1740"/>
      <c r="NVP112" s="1740"/>
      <c r="NVQ112" s="1740"/>
      <c r="NVR112" s="1740"/>
      <c r="NVS112" s="1740"/>
      <c r="NVT112" s="1740"/>
      <c r="NVU112" s="1740"/>
      <c r="NVV112" s="1740"/>
      <c r="NVW112" s="1740"/>
      <c r="NVX112" s="1740"/>
      <c r="NVY112" s="1740"/>
      <c r="NVZ112" s="1740"/>
      <c r="NWA112" s="1740"/>
      <c r="NWB112" s="1740"/>
      <c r="NWC112" s="1740"/>
      <c r="NWD112" s="1740"/>
      <c r="NWE112" s="1740"/>
      <c r="NWF112" s="1740"/>
      <c r="NWG112" s="1740"/>
      <c r="NWH112" s="1740"/>
      <c r="NWI112" s="1740"/>
      <c r="NWJ112" s="1740"/>
      <c r="NWK112" s="1740"/>
      <c r="NWL112" s="1740"/>
      <c r="NWM112" s="1740"/>
      <c r="NWN112" s="1740"/>
      <c r="NWO112" s="1740"/>
      <c r="NWP112" s="1740"/>
      <c r="NWQ112" s="1740"/>
      <c r="NWR112" s="1740"/>
      <c r="NWS112" s="1740"/>
      <c r="NWT112" s="1740"/>
      <c r="NWU112" s="1740"/>
      <c r="NWV112" s="1740"/>
      <c r="NWW112" s="1740"/>
      <c r="NWX112" s="1740"/>
      <c r="NWY112" s="1740"/>
      <c r="NWZ112" s="1740"/>
      <c r="NXA112" s="1740"/>
      <c r="NXB112" s="1740"/>
      <c r="NXC112" s="1740"/>
      <c r="NXD112" s="1740"/>
      <c r="NXE112" s="1740"/>
      <c r="NXF112" s="1740"/>
      <c r="NXG112" s="1740"/>
      <c r="NXH112" s="1740"/>
      <c r="NXI112" s="1740"/>
      <c r="NXJ112" s="1740"/>
      <c r="NXK112" s="1740"/>
      <c r="NXL112" s="1740"/>
      <c r="NXM112" s="1740"/>
      <c r="NXN112" s="1740"/>
      <c r="NXO112" s="1740"/>
      <c r="NXP112" s="1740"/>
      <c r="NXQ112" s="1740"/>
      <c r="NXR112" s="1740"/>
      <c r="NXS112" s="1740"/>
      <c r="NXT112" s="1740"/>
      <c r="NXU112" s="1740"/>
      <c r="NXV112" s="1740"/>
      <c r="NXW112" s="1740"/>
      <c r="NXX112" s="1740"/>
      <c r="NXY112" s="1740"/>
      <c r="NXZ112" s="1740"/>
      <c r="NYA112" s="1740"/>
      <c r="NYB112" s="1740"/>
      <c r="NYC112" s="1740"/>
      <c r="NYD112" s="1740"/>
      <c r="NYE112" s="1740"/>
      <c r="NYF112" s="1740"/>
      <c r="NYG112" s="1740"/>
      <c r="NYH112" s="1740"/>
      <c r="NYI112" s="1740"/>
      <c r="NYJ112" s="1740"/>
      <c r="NYK112" s="1740"/>
      <c r="NYL112" s="1740"/>
      <c r="NYM112" s="1740"/>
      <c r="NYN112" s="1740"/>
      <c r="NYO112" s="1740"/>
      <c r="NYP112" s="1740"/>
      <c r="NYQ112" s="1740"/>
      <c r="NYR112" s="1740"/>
      <c r="NYS112" s="1740"/>
      <c r="NYT112" s="1740"/>
      <c r="NYU112" s="1740"/>
      <c r="NYV112" s="1740"/>
      <c r="NYW112" s="1740"/>
      <c r="NYX112" s="1740"/>
      <c r="NYY112" s="1740"/>
      <c r="NYZ112" s="1740"/>
      <c r="NZA112" s="1740"/>
      <c r="NZB112" s="1740"/>
      <c r="NZC112" s="1740"/>
      <c r="NZD112" s="1740"/>
      <c r="NZE112" s="1740"/>
      <c r="NZF112" s="1740"/>
      <c r="NZG112" s="1740"/>
      <c r="NZH112" s="1740"/>
      <c r="NZI112" s="1740"/>
      <c r="NZJ112" s="1740"/>
      <c r="NZK112" s="1740"/>
      <c r="NZL112" s="1740"/>
      <c r="NZM112" s="1740"/>
      <c r="NZN112" s="1740"/>
      <c r="NZO112" s="1740"/>
      <c r="NZP112" s="1740"/>
      <c r="NZQ112" s="1740"/>
      <c r="NZR112" s="1740"/>
      <c r="NZS112" s="1740"/>
      <c r="NZT112" s="1740"/>
      <c r="NZU112" s="1740"/>
      <c r="NZV112" s="1740"/>
      <c r="NZW112" s="1740"/>
      <c r="NZX112" s="1740"/>
      <c r="NZY112" s="1740"/>
      <c r="NZZ112" s="1740"/>
      <c r="OAA112" s="1740"/>
      <c r="OAB112" s="1740"/>
      <c r="OAC112" s="1740"/>
      <c r="OAD112" s="1740"/>
      <c r="OAE112" s="1740"/>
      <c r="OAF112" s="1740"/>
      <c r="OAG112" s="1740"/>
      <c r="OAH112" s="1740"/>
      <c r="OAI112" s="1740"/>
      <c r="OAJ112" s="1740"/>
      <c r="OAK112" s="1740"/>
      <c r="OAL112" s="1740"/>
      <c r="OAM112" s="1740"/>
      <c r="OAN112" s="1740"/>
      <c r="OAO112" s="1740"/>
      <c r="OAP112" s="1740"/>
      <c r="OAQ112" s="1740"/>
      <c r="OAR112" s="1740"/>
      <c r="OAS112" s="1740"/>
      <c r="OAT112" s="1740"/>
      <c r="OAU112" s="1740"/>
      <c r="OAV112" s="1740"/>
      <c r="OAW112" s="1740"/>
      <c r="OAX112" s="1740"/>
      <c r="OAY112" s="1740"/>
      <c r="OAZ112" s="1740"/>
      <c r="OBA112" s="1740"/>
      <c r="OBB112" s="1740"/>
      <c r="OBC112" s="1740"/>
      <c r="OBD112" s="1740"/>
      <c r="OBE112" s="1740"/>
      <c r="OBF112" s="1740"/>
      <c r="OBG112" s="1740"/>
      <c r="OBH112" s="1740"/>
      <c r="OBI112" s="1740"/>
      <c r="OBJ112" s="1740"/>
      <c r="OBK112" s="1740"/>
      <c r="OBL112" s="1740"/>
      <c r="OBM112" s="1740"/>
      <c r="OBN112" s="1740"/>
      <c r="OBO112" s="1740"/>
      <c r="OBP112" s="1740"/>
      <c r="OBQ112" s="1740"/>
      <c r="OBR112" s="1740"/>
      <c r="OBS112" s="1740"/>
      <c r="OBT112" s="1740"/>
      <c r="OBU112" s="1740"/>
      <c r="OBV112" s="1740"/>
      <c r="OBW112" s="1740"/>
      <c r="OBX112" s="1740"/>
      <c r="OBY112" s="1740"/>
      <c r="OBZ112" s="1740"/>
      <c r="OCA112" s="1740"/>
      <c r="OCB112" s="1740"/>
      <c r="OCC112" s="1740"/>
      <c r="OCD112" s="1740"/>
      <c r="OCE112" s="1740"/>
      <c r="OCF112" s="1740"/>
      <c r="OCG112" s="1740"/>
      <c r="OCH112" s="1740"/>
      <c r="OCI112" s="1740"/>
      <c r="OCJ112" s="1740"/>
      <c r="OCK112" s="1740"/>
      <c r="OCL112" s="1740"/>
      <c r="OCM112" s="1740"/>
      <c r="OCN112" s="1740"/>
      <c r="OCO112" s="1740"/>
      <c r="OCP112" s="1740"/>
      <c r="OCQ112" s="1740"/>
      <c r="OCR112" s="1740"/>
      <c r="OCS112" s="1740"/>
      <c r="OCT112" s="1740"/>
      <c r="OCU112" s="1740"/>
      <c r="OCV112" s="1740"/>
      <c r="OCW112" s="1740"/>
      <c r="OCX112" s="1740"/>
      <c r="OCY112" s="1740"/>
      <c r="OCZ112" s="1740"/>
      <c r="ODA112" s="1740"/>
      <c r="ODB112" s="1740"/>
      <c r="ODC112" s="1740"/>
      <c r="ODD112" s="1740"/>
      <c r="ODE112" s="1740"/>
      <c r="ODF112" s="1740"/>
      <c r="ODG112" s="1740"/>
      <c r="ODH112" s="1740"/>
      <c r="ODI112" s="1740"/>
      <c r="ODJ112" s="1740"/>
      <c r="ODK112" s="1740"/>
      <c r="ODL112" s="1740"/>
      <c r="ODM112" s="1740"/>
      <c r="ODN112" s="1740"/>
      <c r="ODO112" s="1740"/>
      <c r="ODP112" s="1740"/>
      <c r="ODQ112" s="1740"/>
      <c r="ODR112" s="1740"/>
      <c r="ODS112" s="1740"/>
      <c r="ODT112" s="1740"/>
      <c r="ODU112" s="1740"/>
      <c r="ODV112" s="1740"/>
      <c r="ODW112" s="1740"/>
      <c r="ODX112" s="1740"/>
      <c r="ODY112" s="1740"/>
      <c r="ODZ112" s="1740"/>
      <c r="OEA112" s="1740"/>
      <c r="OEB112" s="1740"/>
      <c r="OEC112" s="1740"/>
      <c r="OED112" s="1740"/>
      <c r="OEE112" s="1740"/>
      <c r="OEF112" s="1740"/>
      <c r="OEG112" s="1740"/>
      <c r="OEH112" s="1740"/>
      <c r="OEI112" s="1740"/>
      <c r="OEJ112" s="1740"/>
      <c r="OEK112" s="1740"/>
      <c r="OEL112" s="1740"/>
      <c r="OEM112" s="1740"/>
      <c r="OEN112" s="1740"/>
      <c r="OEO112" s="1740"/>
      <c r="OEP112" s="1740"/>
      <c r="OEQ112" s="1740"/>
      <c r="OER112" s="1740"/>
      <c r="OES112" s="1740"/>
      <c r="OET112" s="1740"/>
      <c r="OEU112" s="1740"/>
      <c r="OEV112" s="1740"/>
      <c r="OEW112" s="1740"/>
      <c r="OEX112" s="1740"/>
      <c r="OEY112" s="1740"/>
      <c r="OEZ112" s="1740"/>
      <c r="OFA112" s="1740"/>
      <c r="OFB112" s="1740"/>
      <c r="OFC112" s="1740"/>
      <c r="OFD112" s="1740"/>
      <c r="OFE112" s="1740"/>
      <c r="OFF112" s="1740"/>
      <c r="OFG112" s="1740"/>
      <c r="OFH112" s="1740"/>
      <c r="OFI112" s="1740"/>
      <c r="OFJ112" s="1740"/>
      <c r="OFK112" s="1740"/>
      <c r="OFL112" s="1740"/>
      <c r="OFM112" s="1740"/>
      <c r="OFN112" s="1740"/>
      <c r="OFO112" s="1740"/>
      <c r="OFP112" s="1740"/>
      <c r="OFQ112" s="1740"/>
      <c r="OFR112" s="1740"/>
      <c r="OFS112" s="1740"/>
      <c r="OFT112" s="1740"/>
      <c r="OFU112" s="1740"/>
      <c r="OFV112" s="1740"/>
      <c r="OFW112" s="1740"/>
      <c r="OFX112" s="1740"/>
      <c r="OFY112" s="1740"/>
      <c r="OFZ112" s="1740"/>
      <c r="OGA112" s="1740"/>
      <c r="OGB112" s="1740"/>
      <c r="OGC112" s="1740"/>
      <c r="OGD112" s="1740"/>
      <c r="OGE112" s="1740"/>
      <c r="OGF112" s="1740"/>
      <c r="OGG112" s="1740"/>
      <c r="OGH112" s="1740"/>
      <c r="OGI112" s="1740"/>
      <c r="OGJ112" s="1740"/>
      <c r="OGK112" s="1740"/>
      <c r="OGL112" s="1740"/>
      <c r="OGM112" s="1740"/>
      <c r="OGN112" s="1740"/>
      <c r="OGO112" s="1740"/>
      <c r="OGP112" s="1740"/>
      <c r="OGQ112" s="1740"/>
      <c r="OGR112" s="1740"/>
      <c r="OGS112" s="1740"/>
      <c r="OGT112" s="1740"/>
      <c r="OGU112" s="1740"/>
      <c r="OGV112" s="1740"/>
      <c r="OGW112" s="1740"/>
      <c r="OGX112" s="1740"/>
      <c r="OGY112" s="1740"/>
      <c r="OGZ112" s="1740"/>
      <c r="OHA112" s="1740"/>
      <c r="OHB112" s="1740"/>
      <c r="OHC112" s="1740"/>
      <c r="OHD112" s="1740"/>
      <c r="OHE112" s="1740"/>
      <c r="OHF112" s="1740"/>
      <c r="OHG112" s="1740"/>
      <c r="OHH112" s="1740"/>
      <c r="OHI112" s="1740"/>
      <c r="OHJ112" s="1740"/>
      <c r="OHK112" s="1740"/>
      <c r="OHL112" s="1740"/>
      <c r="OHM112" s="1740"/>
      <c r="OHN112" s="1740"/>
      <c r="OHO112" s="1740"/>
      <c r="OHP112" s="1740"/>
      <c r="OHQ112" s="1740"/>
      <c r="OHR112" s="1740"/>
      <c r="OHS112" s="1740"/>
      <c r="OHT112" s="1740"/>
      <c r="OHU112" s="1740"/>
      <c r="OHV112" s="1740"/>
      <c r="OHW112" s="1740"/>
      <c r="OHX112" s="1740"/>
      <c r="OHY112" s="1740"/>
      <c r="OHZ112" s="1740"/>
      <c r="OIA112" s="1740"/>
      <c r="OIB112" s="1740"/>
      <c r="OIC112" s="1740"/>
      <c r="OID112" s="1740"/>
      <c r="OIE112" s="1740"/>
      <c r="OIF112" s="1740"/>
      <c r="OIG112" s="1740"/>
      <c r="OIH112" s="1740"/>
      <c r="OII112" s="1740"/>
      <c r="OIJ112" s="1740"/>
      <c r="OIK112" s="1740"/>
      <c r="OIL112" s="1740"/>
      <c r="OIM112" s="1740"/>
      <c r="OIN112" s="1740"/>
      <c r="OIO112" s="1740"/>
      <c r="OIP112" s="1740"/>
      <c r="OIQ112" s="1740"/>
      <c r="OIR112" s="1740"/>
      <c r="OIS112" s="1740"/>
      <c r="OIT112" s="1740"/>
      <c r="OIU112" s="1740"/>
      <c r="OIV112" s="1740"/>
      <c r="OIW112" s="1740"/>
      <c r="OIX112" s="1740"/>
      <c r="OIY112" s="1740"/>
      <c r="OIZ112" s="1740"/>
      <c r="OJA112" s="1740"/>
      <c r="OJB112" s="1740"/>
      <c r="OJC112" s="1740"/>
      <c r="OJD112" s="1740"/>
      <c r="OJE112" s="1740"/>
      <c r="OJF112" s="1740"/>
      <c r="OJG112" s="1740"/>
      <c r="OJH112" s="1740"/>
      <c r="OJI112" s="1740"/>
      <c r="OJJ112" s="1740"/>
      <c r="OJK112" s="1740"/>
      <c r="OJL112" s="1740"/>
      <c r="OJM112" s="1740"/>
      <c r="OJN112" s="1740"/>
      <c r="OJO112" s="1740"/>
      <c r="OJP112" s="1740"/>
      <c r="OJQ112" s="1740"/>
      <c r="OJR112" s="1740"/>
      <c r="OJS112" s="1740"/>
      <c r="OJT112" s="1740"/>
      <c r="OJU112" s="1740"/>
      <c r="OJV112" s="1740"/>
      <c r="OJW112" s="1740"/>
      <c r="OJX112" s="1740"/>
      <c r="OJY112" s="1740"/>
      <c r="OJZ112" s="1740"/>
      <c r="OKA112" s="1740"/>
      <c r="OKB112" s="1740"/>
      <c r="OKC112" s="1740"/>
      <c r="OKD112" s="1740"/>
      <c r="OKE112" s="1740"/>
      <c r="OKF112" s="1740"/>
      <c r="OKG112" s="1740"/>
      <c r="OKH112" s="1740"/>
      <c r="OKI112" s="1740"/>
      <c r="OKJ112" s="1740"/>
      <c r="OKK112" s="1740"/>
      <c r="OKL112" s="1740"/>
      <c r="OKM112" s="1740"/>
      <c r="OKN112" s="1740"/>
      <c r="OKO112" s="1740"/>
      <c r="OKP112" s="1740"/>
      <c r="OKQ112" s="1740"/>
      <c r="OKR112" s="1740"/>
      <c r="OKS112" s="1740"/>
      <c r="OKT112" s="1740"/>
      <c r="OKU112" s="1740"/>
      <c r="OKV112" s="1740"/>
      <c r="OKW112" s="1740"/>
      <c r="OKX112" s="1740"/>
      <c r="OKY112" s="1740"/>
      <c r="OKZ112" s="1740"/>
      <c r="OLA112" s="1740"/>
      <c r="OLB112" s="1740"/>
      <c r="OLC112" s="1740"/>
      <c r="OLD112" s="1740"/>
      <c r="OLE112" s="1740"/>
      <c r="OLF112" s="1740"/>
      <c r="OLG112" s="1740"/>
      <c r="OLH112" s="1740"/>
      <c r="OLI112" s="1740"/>
      <c r="OLJ112" s="1740"/>
      <c r="OLK112" s="1740"/>
      <c r="OLL112" s="1740"/>
      <c r="OLM112" s="1740"/>
      <c r="OLN112" s="1740"/>
      <c r="OLO112" s="1740"/>
      <c r="OLP112" s="1740"/>
      <c r="OLQ112" s="1740"/>
      <c r="OLR112" s="1740"/>
      <c r="OLS112" s="1740"/>
      <c r="OLT112" s="1740"/>
      <c r="OLU112" s="1740"/>
      <c r="OLV112" s="1740"/>
      <c r="OLW112" s="1740"/>
      <c r="OLX112" s="1740"/>
      <c r="OLY112" s="1740"/>
      <c r="OLZ112" s="1740"/>
      <c r="OMA112" s="1740"/>
      <c r="OMB112" s="1740"/>
      <c r="OMC112" s="1740"/>
      <c r="OMD112" s="1740"/>
      <c r="OME112" s="1740"/>
      <c r="OMF112" s="1740"/>
      <c r="OMG112" s="1740"/>
      <c r="OMH112" s="1740"/>
      <c r="OMI112" s="1740"/>
      <c r="OMJ112" s="1740"/>
      <c r="OMK112" s="1740"/>
      <c r="OML112" s="1740"/>
      <c r="OMM112" s="1740"/>
      <c r="OMN112" s="1740"/>
      <c r="OMO112" s="1740"/>
      <c r="OMP112" s="1740"/>
      <c r="OMQ112" s="1740"/>
      <c r="OMR112" s="1740"/>
      <c r="OMS112" s="1740"/>
      <c r="OMT112" s="1740"/>
      <c r="OMU112" s="1740"/>
      <c r="OMV112" s="1740"/>
      <c r="OMW112" s="1740"/>
      <c r="OMX112" s="1740"/>
      <c r="OMY112" s="1740"/>
      <c r="OMZ112" s="1740"/>
      <c r="ONA112" s="1740"/>
      <c r="ONB112" s="1740"/>
      <c r="ONC112" s="1740"/>
      <c r="OND112" s="1740"/>
      <c r="ONE112" s="1740"/>
      <c r="ONF112" s="1740"/>
      <c r="ONG112" s="1740"/>
      <c r="ONH112" s="1740"/>
      <c r="ONI112" s="1740"/>
      <c r="ONJ112" s="1740"/>
      <c r="ONK112" s="1740"/>
      <c r="ONL112" s="1740"/>
      <c r="ONM112" s="1740"/>
      <c r="ONN112" s="1740"/>
      <c r="ONO112" s="1740"/>
      <c r="ONP112" s="1740"/>
      <c r="ONQ112" s="1740"/>
      <c r="ONR112" s="1740"/>
      <c r="ONS112" s="1740"/>
      <c r="ONT112" s="1740"/>
      <c r="ONU112" s="1740"/>
      <c r="ONV112" s="1740"/>
      <c r="ONW112" s="1740"/>
      <c r="ONX112" s="1740"/>
      <c r="ONY112" s="1740"/>
      <c r="ONZ112" s="1740"/>
      <c r="OOA112" s="1740"/>
      <c r="OOB112" s="1740"/>
      <c r="OOC112" s="1740"/>
      <c r="OOD112" s="1740"/>
      <c r="OOE112" s="1740"/>
      <c r="OOF112" s="1740"/>
      <c r="OOG112" s="1740"/>
      <c r="OOH112" s="1740"/>
      <c r="OOI112" s="1740"/>
      <c r="OOJ112" s="1740"/>
      <c r="OOK112" s="1740"/>
      <c r="OOL112" s="1740"/>
      <c r="OOM112" s="1740"/>
      <c r="OON112" s="1740"/>
      <c r="OOO112" s="1740"/>
      <c r="OOP112" s="1740"/>
      <c r="OOQ112" s="1740"/>
      <c r="OOR112" s="1740"/>
      <c r="OOS112" s="1740"/>
      <c r="OOT112" s="1740"/>
      <c r="OOU112" s="1740"/>
      <c r="OOV112" s="1740"/>
      <c r="OOW112" s="1740"/>
      <c r="OOX112" s="1740"/>
      <c r="OOY112" s="1740"/>
      <c r="OOZ112" s="1740"/>
      <c r="OPA112" s="1740"/>
      <c r="OPB112" s="1740"/>
      <c r="OPC112" s="1740"/>
      <c r="OPD112" s="1740"/>
      <c r="OPE112" s="1740"/>
      <c r="OPF112" s="1740"/>
      <c r="OPG112" s="1740"/>
      <c r="OPH112" s="1740"/>
      <c r="OPI112" s="1740"/>
      <c r="OPJ112" s="1740"/>
      <c r="OPK112" s="1740"/>
      <c r="OPL112" s="1740"/>
      <c r="OPM112" s="1740"/>
      <c r="OPN112" s="1740"/>
      <c r="OPO112" s="1740"/>
      <c r="OPP112" s="1740"/>
      <c r="OPQ112" s="1740"/>
      <c r="OPR112" s="1740"/>
      <c r="OPS112" s="1740"/>
      <c r="OPT112" s="1740"/>
      <c r="OPU112" s="1740"/>
      <c r="OPV112" s="1740"/>
      <c r="OPW112" s="1740"/>
      <c r="OPX112" s="1740"/>
      <c r="OPY112" s="1740"/>
      <c r="OPZ112" s="1740"/>
      <c r="OQA112" s="1740"/>
      <c r="OQB112" s="1740"/>
      <c r="OQC112" s="1740"/>
      <c r="OQD112" s="1740"/>
      <c r="OQE112" s="1740"/>
      <c r="OQF112" s="1740"/>
      <c r="OQG112" s="1740"/>
      <c r="OQH112" s="1740"/>
      <c r="OQI112" s="1740"/>
      <c r="OQJ112" s="1740"/>
      <c r="OQK112" s="1740"/>
      <c r="OQL112" s="1740"/>
      <c r="OQM112" s="1740"/>
      <c r="OQN112" s="1740"/>
      <c r="OQO112" s="1740"/>
      <c r="OQP112" s="1740"/>
      <c r="OQQ112" s="1740"/>
      <c r="OQR112" s="1740"/>
      <c r="OQS112" s="1740"/>
      <c r="OQT112" s="1740"/>
      <c r="OQU112" s="1740"/>
      <c r="OQV112" s="1740"/>
      <c r="OQW112" s="1740"/>
      <c r="OQX112" s="1740"/>
      <c r="OQY112" s="1740"/>
      <c r="OQZ112" s="1740"/>
      <c r="ORA112" s="1740"/>
      <c r="ORB112" s="1740"/>
      <c r="ORC112" s="1740"/>
      <c r="ORD112" s="1740"/>
      <c r="ORE112" s="1740"/>
      <c r="ORF112" s="1740"/>
      <c r="ORG112" s="1740"/>
      <c r="ORH112" s="1740"/>
      <c r="ORI112" s="1740"/>
      <c r="ORJ112" s="1740"/>
      <c r="ORK112" s="1740"/>
      <c r="ORL112" s="1740"/>
      <c r="ORM112" s="1740"/>
      <c r="ORN112" s="1740"/>
      <c r="ORO112" s="1740"/>
      <c r="ORP112" s="1740"/>
      <c r="ORQ112" s="1740"/>
      <c r="ORR112" s="1740"/>
      <c r="ORS112" s="1740"/>
      <c r="ORT112" s="1740"/>
      <c r="ORU112" s="1740"/>
      <c r="ORV112" s="1740"/>
      <c r="ORW112" s="1740"/>
      <c r="ORX112" s="1740"/>
      <c r="ORY112" s="1740"/>
      <c r="ORZ112" s="1740"/>
      <c r="OSA112" s="1740"/>
      <c r="OSB112" s="1740"/>
      <c r="OSC112" s="1740"/>
      <c r="OSD112" s="1740"/>
      <c r="OSE112" s="1740"/>
      <c r="OSF112" s="1740"/>
      <c r="OSG112" s="1740"/>
      <c r="OSH112" s="1740"/>
      <c r="OSI112" s="1740"/>
      <c r="OSJ112" s="1740"/>
      <c r="OSK112" s="1740"/>
      <c r="OSL112" s="1740"/>
      <c r="OSM112" s="1740"/>
      <c r="OSN112" s="1740"/>
      <c r="OSO112" s="1740"/>
      <c r="OSP112" s="1740"/>
      <c r="OSQ112" s="1740"/>
      <c r="OSR112" s="1740"/>
      <c r="OSS112" s="1740"/>
      <c r="OST112" s="1740"/>
      <c r="OSU112" s="1740"/>
      <c r="OSV112" s="1740"/>
      <c r="OSW112" s="1740"/>
      <c r="OSX112" s="1740"/>
      <c r="OSY112" s="1740"/>
      <c r="OSZ112" s="1740"/>
      <c r="OTA112" s="1740"/>
      <c r="OTB112" s="1740"/>
      <c r="OTC112" s="1740"/>
      <c r="OTD112" s="1740"/>
      <c r="OTE112" s="1740"/>
      <c r="OTF112" s="1740"/>
      <c r="OTG112" s="1740"/>
      <c r="OTH112" s="1740"/>
      <c r="OTI112" s="1740"/>
      <c r="OTJ112" s="1740"/>
      <c r="OTK112" s="1740"/>
      <c r="OTL112" s="1740"/>
      <c r="OTM112" s="1740"/>
      <c r="OTN112" s="1740"/>
      <c r="OTO112" s="1740"/>
      <c r="OTP112" s="1740"/>
      <c r="OTQ112" s="1740"/>
      <c r="OTR112" s="1740"/>
      <c r="OTS112" s="1740"/>
      <c r="OTT112" s="1740"/>
      <c r="OTU112" s="1740"/>
      <c r="OTV112" s="1740"/>
      <c r="OTW112" s="1740"/>
      <c r="OTX112" s="1740"/>
      <c r="OTY112" s="1740"/>
      <c r="OTZ112" s="1740"/>
      <c r="OUA112" s="1740"/>
      <c r="OUB112" s="1740"/>
      <c r="OUC112" s="1740"/>
      <c r="OUD112" s="1740"/>
      <c r="OUE112" s="1740"/>
      <c r="OUF112" s="1740"/>
      <c r="OUG112" s="1740"/>
      <c r="OUH112" s="1740"/>
      <c r="OUI112" s="1740"/>
      <c r="OUJ112" s="1740"/>
      <c r="OUK112" s="1740"/>
      <c r="OUL112" s="1740"/>
      <c r="OUM112" s="1740"/>
      <c r="OUN112" s="1740"/>
      <c r="OUO112" s="1740"/>
      <c r="OUP112" s="1740"/>
      <c r="OUQ112" s="1740"/>
      <c r="OUR112" s="1740"/>
      <c r="OUS112" s="1740"/>
      <c r="OUT112" s="1740"/>
      <c r="OUU112" s="1740"/>
      <c r="OUV112" s="1740"/>
      <c r="OUW112" s="1740"/>
      <c r="OUX112" s="1740"/>
      <c r="OUY112" s="1740"/>
      <c r="OUZ112" s="1740"/>
      <c r="OVA112" s="1740"/>
      <c r="OVB112" s="1740"/>
      <c r="OVC112" s="1740"/>
      <c r="OVD112" s="1740"/>
      <c r="OVE112" s="1740"/>
      <c r="OVF112" s="1740"/>
      <c r="OVG112" s="1740"/>
      <c r="OVH112" s="1740"/>
      <c r="OVI112" s="1740"/>
      <c r="OVJ112" s="1740"/>
      <c r="OVK112" s="1740"/>
      <c r="OVL112" s="1740"/>
      <c r="OVM112" s="1740"/>
      <c r="OVN112" s="1740"/>
      <c r="OVO112" s="1740"/>
      <c r="OVP112" s="1740"/>
      <c r="OVQ112" s="1740"/>
      <c r="OVR112" s="1740"/>
      <c r="OVS112" s="1740"/>
      <c r="OVT112" s="1740"/>
      <c r="OVU112" s="1740"/>
      <c r="OVV112" s="1740"/>
      <c r="OVW112" s="1740"/>
      <c r="OVX112" s="1740"/>
      <c r="OVY112" s="1740"/>
      <c r="OVZ112" s="1740"/>
      <c r="OWA112" s="1740"/>
      <c r="OWB112" s="1740"/>
      <c r="OWC112" s="1740"/>
      <c r="OWD112" s="1740"/>
      <c r="OWE112" s="1740"/>
      <c r="OWF112" s="1740"/>
      <c r="OWG112" s="1740"/>
      <c r="OWH112" s="1740"/>
      <c r="OWI112" s="1740"/>
      <c r="OWJ112" s="1740"/>
      <c r="OWK112" s="1740"/>
      <c r="OWL112" s="1740"/>
      <c r="OWM112" s="1740"/>
      <c r="OWN112" s="1740"/>
      <c r="OWO112" s="1740"/>
      <c r="OWP112" s="1740"/>
      <c r="OWQ112" s="1740"/>
      <c r="OWR112" s="1740"/>
      <c r="OWS112" s="1740"/>
      <c r="OWT112" s="1740"/>
      <c r="OWU112" s="1740"/>
      <c r="OWV112" s="1740"/>
      <c r="OWW112" s="1740"/>
      <c r="OWX112" s="1740"/>
      <c r="OWY112" s="1740"/>
      <c r="OWZ112" s="1740"/>
      <c r="OXA112" s="1740"/>
      <c r="OXB112" s="1740"/>
      <c r="OXC112" s="1740"/>
      <c r="OXD112" s="1740"/>
      <c r="OXE112" s="1740"/>
      <c r="OXF112" s="1740"/>
      <c r="OXG112" s="1740"/>
      <c r="OXH112" s="1740"/>
      <c r="OXI112" s="1740"/>
      <c r="OXJ112" s="1740"/>
      <c r="OXK112" s="1740"/>
      <c r="OXL112" s="1740"/>
      <c r="OXM112" s="1740"/>
      <c r="OXN112" s="1740"/>
      <c r="OXO112" s="1740"/>
      <c r="OXP112" s="1740"/>
      <c r="OXQ112" s="1740"/>
      <c r="OXR112" s="1740"/>
      <c r="OXS112" s="1740"/>
      <c r="OXT112" s="1740"/>
      <c r="OXU112" s="1740"/>
      <c r="OXV112" s="1740"/>
      <c r="OXW112" s="1740"/>
      <c r="OXX112" s="1740"/>
      <c r="OXY112" s="1740"/>
      <c r="OXZ112" s="1740"/>
      <c r="OYA112" s="1740"/>
      <c r="OYB112" s="1740"/>
      <c r="OYC112" s="1740"/>
      <c r="OYD112" s="1740"/>
      <c r="OYE112" s="1740"/>
      <c r="OYF112" s="1740"/>
      <c r="OYG112" s="1740"/>
      <c r="OYH112" s="1740"/>
      <c r="OYI112" s="1740"/>
      <c r="OYJ112" s="1740"/>
      <c r="OYK112" s="1740"/>
      <c r="OYL112" s="1740"/>
      <c r="OYM112" s="1740"/>
      <c r="OYN112" s="1740"/>
      <c r="OYO112" s="1740"/>
      <c r="OYP112" s="1740"/>
      <c r="OYQ112" s="1740"/>
      <c r="OYR112" s="1740"/>
      <c r="OYS112" s="1740"/>
      <c r="OYT112" s="1740"/>
      <c r="OYU112" s="1740"/>
      <c r="OYV112" s="1740"/>
      <c r="OYW112" s="1740"/>
      <c r="OYX112" s="1740"/>
      <c r="OYY112" s="1740"/>
      <c r="OYZ112" s="1740"/>
      <c r="OZA112" s="1740"/>
      <c r="OZB112" s="1740"/>
      <c r="OZC112" s="1740"/>
      <c r="OZD112" s="1740"/>
      <c r="OZE112" s="1740"/>
      <c r="OZF112" s="1740"/>
      <c r="OZG112" s="1740"/>
      <c r="OZH112" s="1740"/>
      <c r="OZI112" s="1740"/>
      <c r="OZJ112" s="1740"/>
      <c r="OZK112" s="1740"/>
      <c r="OZL112" s="1740"/>
      <c r="OZM112" s="1740"/>
      <c r="OZN112" s="1740"/>
      <c r="OZO112" s="1740"/>
      <c r="OZP112" s="1740"/>
      <c r="OZQ112" s="1740"/>
      <c r="OZR112" s="1740"/>
      <c r="OZS112" s="1740"/>
      <c r="OZT112" s="1740"/>
      <c r="OZU112" s="1740"/>
      <c r="OZV112" s="1740"/>
      <c r="OZW112" s="1740"/>
      <c r="OZX112" s="1740"/>
      <c r="OZY112" s="1740"/>
      <c r="OZZ112" s="1740"/>
      <c r="PAA112" s="1740"/>
      <c r="PAB112" s="1740"/>
      <c r="PAC112" s="1740"/>
      <c r="PAD112" s="1740"/>
      <c r="PAE112" s="1740"/>
      <c r="PAF112" s="1740"/>
      <c r="PAG112" s="1740"/>
      <c r="PAH112" s="1740"/>
      <c r="PAI112" s="1740"/>
      <c r="PAJ112" s="1740"/>
      <c r="PAK112" s="1740"/>
      <c r="PAL112" s="1740"/>
      <c r="PAM112" s="1740"/>
      <c r="PAN112" s="1740"/>
      <c r="PAO112" s="1740"/>
      <c r="PAP112" s="1740"/>
      <c r="PAQ112" s="1740"/>
      <c r="PAR112" s="1740"/>
      <c r="PAS112" s="1740"/>
      <c r="PAT112" s="1740"/>
      <c r="PAU112" s="1740"/>
      <c r="PAV112" s="1740"/>
      <c r="PAW112" s="1740"/>
      <c r="PAX112" s="1740"/>
      <c r="PAY112" s="1740"/>
      <c r="PAZ112" s="1740"/>
      <c r="PBA112" s="1740"/>
      <c r="PBB112" s="1740"/>
      <c r="PBC112" s="1740"/>
      <c r="PBD112" s="1740"/>
      <c r="PBE112" s="1740"/>
      <c r="PBF112" s="1740"/>
      <c r="PBG112" s="1740"/>
      <c r="PBH112" s="1740"/>
      <c r="PBI112" s="1740"/>
      <c r="PBJ112" s="1740"/>
      <c r="PBK112" s="1740"/>
      <c r="PBL112" s="1740"/>
      <c r="PBM112" s="1740"/>
      <c r="PBN112" s="1740"/>
      <c r="PBO112" s="1740"/>
      <c r="PBP112" s="1740"/>
      <c r="PBQ112" s="1740"/>
      <c r="PBR112" s="1740"/>
      <c r="PBS112" s="1740"/>
      <c r="PBT112" s="1740"/>
      <c r="PBU112" s="1740"/>
      <c r="PBV112" s="1740"/>
      <c r="PBW112" s="1740"/>
      <c r="PBX112" s="1740"/>
      <c r="PBY112" s="1740"/>
      <c r="PBZ112" s="1740"/>
      <c r="PCA112" s="1740"/>
      <c r="PCB112" s="1740"/>
      <c r="PCC112" s="1740"/>
      <c r="PCD112" s="1740"/>
      <c r="PCE112" s="1740"/>
      <c r="PCF112" s="1740"/>
      <c r="PCG112" s="1740"/>
      <c r="PCH112" s="1740"/>
      <c r="PCI112" s="1740"/>
      <c r="PCJ112" s="1740"/>
      <c r="PCK112" s="1740"/>
      <c r="PCL112" s="1740"/>
      <c r="PCM112" s="1740"/>
      <c r="PCN112" s="1740"/>
      <c r="PCO112" s="1740"/>
      <c r="PCP112" s="1740"/>
      <c r="PCQ112" s="1740"/>
      <c r="PCR112" s="1740"/>
      <c r="PCS112" s="1740"/>
      <c r="PCT112" s="1740"/>
      <c r="PCU112" s="1740"/>
      <c r="PCV112" s="1740"/>
      <c r="PCW112" s="1740"/>
      <c r="PCX112" s="1740"/>
      <c r="PCY112" s="1740"/>
      <c r="PCZ112" s="1740"/>
      <c r="PDA112" s="1740"/>
      <c r="PDB112" s="1740"/>
      <c r="PDC112" s="1740"/>
      <c r="PDD112" s="1740"/>
      <c r="PDE112" s="1740"/>
      <c r="PDF112" s="1740"/>
      <c r="PDG112" s="1740"/>
      <c r="PDH112" s="1740"/>
      <c r="PDI112" s="1740"/>
      <c r="PDJ112" s="1740"/>
      <c r="PDK112" s="1740"/>
      <c r="PDL112" s="1740"/>
      <c r="PDM112" s="1740"/>
      <c r="PDN112" s="1740"/>
      <c r="PDO112" s="1740"/>
      <c r="PDP112" s="1740"/>
      <c r="PDQ112" s="1740"/>
      <c r="PDR112" s="1740"/>
      <c r="PDS112" s="1740"/>
      <c r="PDT112" s="1740"/>
      <c r="PDU112" s="1740"/>
      <c r="PDV112" s="1740"/>
      <c r="PDW112" s="1740"/>
      <c r="PDX112" s="1740"/>
      <c r="PDY112" s="1740"/>
      <c r="PDZ112" s="1740"/>
      <c r="PEA112" s="1740"/>
      <c r="PEB112" s="1740"/>
      <c r="PEC112" s="1740"/>
      <c r="PED112" s="1740"/>
      <c r="PEE112" s="1740"/>
      <c r="PEF112" s="1740"/>
      <c r="PEG112" s="1740"/>
      <c r="PEH112" s="1740"/>
      <c r="PEI112" s="1740"/>
      <c r="PEJ112" s="1740"/>
      <c r="PEK112" s="1740"/>
      <c r="PEL112" s="1740"/>
      <c r="PEM112" s="1740"/>
      <c r="PEN112" s="1740"/>
      <c r="PEO112" s="1740"/>
      <c r="PEP112" s="1740"/>
      <c r="PEQ112" s="1740"/>
      <c r="PER112" s="1740"/>
      <c r="PES112" s="1740"/>
      <c r="PET112" s="1740"/>
      <c r="PEU112" s="1740"/>
      <c r="PEV112" s="1740"/>
      <c r="PEW112" s="1740"/>
      <c r="PEX112" s="1740"/>
      <c r="PEY112" s="1740"/>
      <c r="PEZ112" s="1740"/>
      <c r="PFA112" s="1740"/>
      <c r="PFB112" s="1740"/>
      <c r="PFC112" s="1740"/>
      <c r="PFD112" s="1740"/>
      <c r="PFE112" s="1740"/>
      <c r="PFF112" s="1740"/>
      <c r="PFG112" s="1740"/>
      <c r="PFH112" s="1740"/>
      <c r="PFI112" s="1740"/>
      <c r="PFJ112" s="1740"/>
      <c r="PFK112" s="1740"/>
      <c r="PFL112" s="1740"/>
      <c r="PFM112" s="1740"/>
      <c r="PFN112" s="1740"/>
      <c r="PFO112" s="1740"/>
      <c r="PFP112" s="1740"/>
      <c r="PFQ112" s="1740"/>
      <c r="PFR112" s="1740"/>
      <c r="PFS112" s="1740"/>
      <c r="PFT112" s="1740"/>
      <c r="PFU112" s="1740"/>
      <c r="PFV112" s="1740"/>
      <c r="PFW112" s="1740"/>
      <c r="PFX112" s="1740"/>
      <c r="PFY112" s="1740"/>
      <c r="PFZ112" s="1740"/>
      <c r="PGA112" s="1740"/>
      <c r="PGB112" s="1740"/>
      <c r="PGC112" s="1740"/>
      <c r="PGD112" s="1740"/>
      <c r="PGE112" s="1740"/>
      <c r="PGF112" s="1740"/>
      <c r="PGG112" s="1740"/>
      <c r="PGH112" s="1740"/>
      <c r="PGI112" s="1740"/>
      <c r="PGJ112" s="1740"/>
      <c r="PGK112" s="1740"/>
      <c r="PGL112" s="1740"/>
      <c r="PGM112" s="1740"/>
      <c r="PGN112" s="1740"/>
      <c r="PGO112" s="1740"/>
      <c r="PGP112" s="1740"/>
      <c r="PGQ112" s="1740"/>
      <c r="PGR112" s="1740"/>
      <c r="PGS112" s="1740"/>
      <c r="PGT112" s="1740"/>
      <c r="PGU112" s="1740"/>
      <c r="PGV112" s="1740"/>
      <c r="PGW112" s="1740"/>
      <c r="PGX112" s="1740"/>
      <c r="PGY112" s="1740"/>
      <c r="PGZ112" s="1740"/>
      <c r="PHA112" s="1740"/>
      <c r="PHB112" s="1740"/>
      <c r="PHC112" s="1740"/>
      <c r="PHD112" s="1740"/>
      <c r="PHE112" s="1740"/>
      <c r="PHF112" s="1740"/>
      <c r="PHG112" s="1740"/>
      <c r="PHH112" s="1740"/>
      <c r="PHI112" s="1740"/>
      <c r="PHJ112" s="1740"/>
      <c r="PHK112" s="1740"/>
      <c r="PHL112" s="1740"/>
      <c r="PHM112" s="1740"/>
      <c r="PHN112" s="1740"/>
      <c r="PHO112" s="1740"/>
      <c r="PHP112" s="1740"/>
      <c r="PHQ112" s="1740"/>
      <c r="PHR112" s="1740"/>
      <c r="PHS112" s="1740"/>
      <c r="PHT112" s="1740"/>
      <c r="PHU112" s="1740"/>
      <c r="PHV112" s="1740"/>
      <c r="PHW112" s="1740"/>
      <c r="PHX112" s="1740"/>
      <c r="PHY112" s="1740"/>
      <c r="PHZ112" s="1740"/>
      <c r="PIA112" s="1740"/>
      <c r="PIB112" s="1740"/>
      <c r="PIC112" s="1740"/>
      <c r="PID112" s="1740"/>
      <c r="PIE112" s="1740"/>
      <c r="PIF112" s="1740"/>
      <c r="PIG112" s="1740"/>
      <c r="PIH112" s="1740"/>
      <c r="PII112" s="1740"/>
      <c r="PIJ112" s="1740"/>
      <c r="PIK112" s="1740"/>
      <c r="PIL112" s="1740"/>
      <c r="PIM112" s="1740"/>
      <c r="PIN112" s="1740"/>
      <c r="PIO112" s="1740"/>
      <c r="PIP112" s="1740"/>
      <c r="PIQ112" s="1740"/>
      <c r="PIR112" s="1740"/>
      <c r="PIS112" s="1740"/>
      <c r="PIT112" s="1740"/>
      <c r="PIU112" s="1740"/>
      <c r="PIV112" s="1740"/>
      <c r="PIW112" s="1740"/>
      <c r="PIX112" s="1740"/>
      <c r="PIY112" s="1740"/>
      <c r="PIZ112" s="1740"/>
      <c r="PJA112" s="1740"/>
      <c r="PJB112" s="1740"/>
      <c r="PJC112" s="1740"/>
      <c r="PJD112" s="1740"/>
      <c r="PJE112" s="1740"/>
      <c r="PJF112" s="1740"/>
      <c r="PJG112" s="1740"/>
      <c r="PJH112" s="1740"/>
      <c r="PJI112" s="1740"/>
      <c r="PJJ112" s="1740"/>
      <c r="PJK112" s="1740"/>
      <c r="PJL112" s="1740"/>
      <c r="PJM112" s="1740"/>
      <c r="PJN112" s="1740"/>
      <c r="PJO112" s="1740"/>
      <c r="PJP112" s="1740"/>
      <c r="PJQ112" s="1740"/>
      <c r="PJR112" s="1740"/>
      <c r="PJS112" s="1740"/>
      <c r="PJT112" s="1740"/>
      <c r="PJU112" s="1740"/>
      <c r="PJV112" s="1740"/>
      <c r="PJW112" s="1740"/>
      <c r="PJX112" s="1740"/>
      <c r="PJY112" s="1740"/>
      <c r="PJZ112" s="1740"/>
      <c r="PKA112" s="1740"/>
      <c r="PKB112" s="1740"/>
      <c r="PKC112" s="1740"/>
      <c r="PKD112" s="1740"/>
      <c r="PKE112" s="1740"/>
      <c r="PKF112" s="1740"/>
      <c r="PKG112" s="1740"/>
      <c r="PKH112" s="1740"/>
      <c r="PKI112" s="1740"/>
      <c r="PKJ112" s="1740"/>
      <c r="PKK112" s="1740"/>
      <c r="PKL112" s="1740"/>
      <c r="PKM112" s="1740"/>
      <c r="PKN112" s="1740"/>
      <c r="PKO112" s="1740"/>
      <c r="PKP112" s="1740"/>
      <c r="PKQ112" s="1740"/>
      <c r="PKR112" s="1740"/>
      <c r="PKS112" s="1740"/>
      <c r="PKT112" s="1740"/>
      <c r="PKU112" s="1740"/>
      <c r="PKV112" s="1740"/>
      <c r="PKW112" s="1740"/>
      <c r="PKX112" s="1740"/>
      <c r="PKY112" s="1740"/>
      <c r="PKZ112" s="1740"/>
      <c r="PLA112" s="1740"/>
      <c r="PLB112" s="1740"/>
      <c r="PLC112" s="1740"/>
      <c r="PLD112" s="1740"/>
      <c r="PLE112" s="1740"/>
      <c r="PLF112" s="1740"/>
      <c r="PLG112" s="1740"/>
      <c r="PLH112" s="1740"/>
      <c r="PLI112" s="1740"/>
      <c r="PLJ112" s="1740"/>
      <c r="PLK112" s="1740"/>
      <c r="PLL112" s="1740"/>
      <c r="PLM112" s="1740"/>
      <c r="PLN112" s="1740"/>
      <c r="PLO112" s="1740"/>
      <c r="PLP112" s="1740"/>
      <c r="PLQ112" s="1740"/>
      <c r="PLR112" s="1740"/>
      <c r="PLS112" s="1740"/>
      <c r="PLT112" s="1740"/>
      <c r="PLU112" s="1740"/>
      <c r="PLV112" s="1740"/>
      <c r="PLW112" s="1740"/>
      <c r="PLX112" s="1740"/>
      <c r="PLY112" s="1740"/>
      <c r="PLZ112" s="1740"/>
      <c r="PMA112" s="1740"/>
      <c r="PMB112" s="1740"/>
      <c r="PMC112" s="1740"/>
      <c r="PMD112" s="1740"/>
      <c r="PME112" s="1740"/>
      <c r="PMF112" s="1740"/>
      <c r="PMG112" s="1740"/>
      <c r="PMH112" s="1740"/>
      <c r="PMI112" s="1740"/>
      <c r="PMJ112" s="1740"/>
      <c r="PMK112" s="1740"/>
      <c r="PML112" s="1740"/>
      <c r="PMM112" s="1740"/>
      <c r="PMN112" s="1740"/>
      <c r="PMO112" s="1740"/>
      <c r="PMP112" s="1740"/>
      <c r="PMQ112" s="1740"/>
      <c r="PMR112" s="1740"/>
      <c r="PMS112" s="1740"/>
      <c r="PMT112" s="1740"/>
      <c r="PMU112" s="1740"/>
      <c r="PMV112" s="1740"/>
      <c r="PMW112" s="1740"/>
      <c r="PMX112" s="1740"/>
      <c r="PMY112" s="1740"/>
      <c r="PMZ112" s="1740"/>
      <c r="PNA112" s="1740"/>
      <c r="PNB112" s="1740"/>
      <c r="PNC112" s="1740"/>
      <c r="PND112" s="1740"/>
      <c r="PNE112" s="1740"/>
      <c r="PNF112" s="1740"/>
      <c r="PNG112" s="1740"/>
      <c r="PNH112" s="1740"/>
      <c r="PNI112" s="1740"/>
      <c r="PNJ112" s="1740"/>
      <c r="PNK112" s="1740"/>
      <c r="PNL112" s="1740"/>
      <c r="PNM112" s="1740"/>
      <c r="PNN112" s="1740"/>
      <c r="PNO112" s="1740"/>
      <c r="PNP112" s="1740"/>
      <c r="PNQ112" s="1740"/>
      <c r="PNR112" s="1740"/>
      <c r="PNS112" s="1740"/>
      <c r="PNT112" s="1740"/>
      <c r="PNU112" s="1740"/>
      <c r="PNV112" s="1740"/>
      <c r="PNW112" s="1740"/>
      <c r="PNX112" s="1740"/>
      <c r="PNY112" s="1740"/>
      <c r="PNZ112" s="1740"/>
      <c r="POA112" s="1740"/>
      <c r="POB112" s="1740"/>
      <c r="POC112" s="1740"/>
      <c r="POD112" s="1740"/>
      <c r="POE112" s="1740"/>
      <c r="POF112" s="1740"/>
      <c r="POG112" s="1740"/>
      <c r="POH112" s="1740"/>
      <c r="POI112" s="1740"/>
      <c r="POJ112" s="1740"/>
      <c r="POK112" s="1740"/>
      <c r="POL112" s="1740"/>
      <c r="POM112" s="1740"/>
      <c r="PON112" s="1740"/>
      <c r="POO112" s="1740"/>
      <c r="POP112" s="1740"/>
      <c r="POQ112" s="1740"/>
      <c r="POR112" s="1740"/>
      <c r="POS112" s="1740"/>
      <c r="POT112" s="1740"/>
      <c r="POU112" s="1740"/>
      <c r="POV112" s="1740"/>
      <c r="POW112" s="1740"/>
      <c r="POX112" s="1740"/>
      <c r="POY112" s="1740"/>
      <c r="POZ112" s="1740"/>
      <c r="PPA112" s="1740"/>
      <c r="PPB112" s="1740"/>
      <c r="PPC112" s="1740"/>
      <c r="PPD112" s="1740"/>
      <c r="PPE112" s="1740"/>
      <c r="PPF112" s="1740"/>
      <c r="PPG112" s="1740"/>
      <c r="PPH112" s="1740"/>
      <c r="PPI112" s="1740"/>
      <c r="PPJ112" s="1740"/>
      <c r="PPK112" s="1740"/>
      <c r="PPL112" s="1740"/>
      <c r="PPM112" s="1740"/>
      <c r="PPN112" s="1740"/>
      <c r="PPO112" s="1740"/>
      <c r="PPP112" s="1740"/>
      <c r="PPQ112" s="1740"/>
      <c r="PPR112" s="1740"/>
      <c r="PPS112" s="1740"/>
      <c r="PPT112" s="1740"/>
      <c r="PPU112" s="1740"/>
      <c r="PPV112" s="1740"/>
      <c r="PPW112" s="1740"/>
      <c r="PPX112" s="1740"/>
      <c r="PPY112" s="1740"/>
      <c r="PPZ112" s="1740"/>
      <c r="PQA112" s="1740"/>
      <c r="PQB112" s="1740"/>
      <c r="PQC112" s="1740"/>
      <c r="PQD112" s="1740"/>
      <c r="PQE112" s="1740"/>
      <c r="PQF112" s="1740"/>
      <c r="PQG112" s="1740"/>
      <c r="PQH112" s="1740"/>
      <c r="PQI112" s="1740"/>
      <c r="PQJ112" s="1740"/>
      <c r="PQK112" s="1740"/>
      <c r="PQL112" s="1740"/>
      <c r="PQM112" s="1740"/>
      <c r="PQN112" s="1740"/>
      <c r="PQO112" s="1740"/>
      <c r="PQP112" s="1740"/>
      <c r="PQQ112" s="1740"/>
      <c r="PQR112" s="1740"/>
      <c r="PQS112" s="1740"/>
      <c r="PQT112" s="1740"/>
      <c r="PQU112" s="1740"/>
      <c r="PQV112" s="1740"/>
      <c r="PQW112" s="1740"/>
      <c r="PQX112" s="1740"/>
      <c r="PQY112" s="1740"/>
      <c r="PQZ112" s="1740"/>
      <c r="PRA112" s="1740"/>
      <c r="PRB112" s="1740"/>
      <c r="PRC112" s="1740"/>
      <c r="PRD112" s="1740"/>
      <c r="PRE112" s="1740"/>
      <c r="PRF112" s="1740"/>
      <c r="PRG112" s="1740"/>
      <c r="PRH112" s="1740"/>
      <c r="PRI112" s="1740"/>
      <c r="PRJ112" s="1740"/>
      <c r="PRK112" s="1740"/>
      <c r="PRL112" s="1740"/>
      <c r="PRM112" s="1740"/>
      <c r="PRN112" s="1740"/>
      <c r="PRO112" s="1740"/>
      <c r="PRP112" s="1740"/>
      <c r="PRQ112" s="1740"/>
      <c r="PRR112" s="1740"/>
      <c r="PRS112" s="1740"/>
      <c r="PRT112" s="1740"/>
      <c r="PRU112" s="1740"/>
      <c r="PRV112" s="1740"/>
      <c r="PRW112" s="1740"/>
      <c r="PRX112" s="1740"/>
      <c r="PRY112" s="1740"/>
      <c r="PRZ112" s="1740"/>
      <c r="PSA112" s="1740"/>
      <c r="PSB112" s="1740"/>
      <c r="PSC112" s="1740"/>
      <c r="PSD112" s="1740"/>
      <c r="PSE112" s="1740"/>
      <c r="PSF112" s="1740"/>
      <c r="PSG112" s="1740"/>
      <c r="PSH112" s="1740"/>
      <c r="PSI112" s="1740"/>
      <c r="PSJ112" s="1740"/>
      <c r="PSK112" s="1740"/>
      <c r="PSL112" s="1740"/>
      <c r="PSM112" s="1740"/>
      <c r="PSN112" s="1740"/>
      <c r="PSO112" s="1740"/>
      <c r="PSP112" s="1740"/>
      <c r="PSQ112" s="1740"/>
      <c r="PSR112" s="1740"/>
      <c r="PSS112" s="1740"/>
      <c r="PST112" s="1740"/>
      <c r="PSU112" s="1740"/>
      <c r="PSV112" s="1740"/>
      <c r="PSW112" s="1740"/>
      <c r="PSX112" s="1740"/>
      <c r="PSY112" s="1740"/>
      <c r="PSZ112" s="1740"/>
      <c r="PTA112" s="1740"/>
      <c r="PTB112" s="1740"/>
      <c r="PTC112" s="1740"/>
      <c r="PTD112" s="1740"/>
      <c r="PTE112" s="1740"/>
      <c r="PTF112" s="1740"/>
      <c r="PTG112" s="1740"/>
      <c r="PTH112" s="1740"/>
      <c r="PTI112" s="1740"/>
      <c r="PTJ112" s="1740"/>
      <c r="PTK112" s="1740"/>
      <c r="PTL112" s="1740"/>
      <c r="PTM112" s="1740"/>
      <c r="PTN112" s="1740"/>
      <c r="PTO112" s="1740"/>
      <c r="PTP112" s="1740"/>
      <c r="PTQ112" s="1740"/>
      <c r="PTR112" s="1740"/>
      <c r="PTS112" s="1740"/>
      <c r="PTT112" s="1740"/>
      <c r="PTU112" s="1740"/>
      <c r="PTV112" s="1740"/>
      <c r="PTW112" s="1740"/>
      <c r="PTX112" s="1740"/>
      <c r="PTY112" s="1740"/>
      <c r="PTZ112" s="1740"/>
      <c r="PUA112" s="1740"/>
      <c r="PUB112" s="1740"/>
      <c r="PUC112" s="1740"/>
      <c r="PUD112" s="1740"/>
      <c r="PUE112" s="1740"/>
      <c r="PUF112" s="1740"/>
      <c r="PUG112" s="1740"/>
      <c r="PUH112" s="1740"/>
      <c r="PUI112" s="1740"/>
      <c r="PUJ112" s="1740"/>
      <c r="PUK112" s="1740"/>
      <c r="PUL112" s="1740"/>
      <c r="PUM112" s="1740"/>
      <c r="PUN112" s="1740"/>
      <c r="PUO112" s="1740"/>
      <c r="PUP112" s="1740"/>
      <c r="PUQ112" s="1740"/>
      <c r="PUR112" s="1740"/>
      <c r="PUS112" s="1740"/>
      <c r="PUT112" s="1740"/>
      <c r="PUU112" s="1740"/>
      <c r="PUV112" s="1740"/>
      <c r="PUW112" s="1740"/>
      <c r="PUX112" s="1740"/>
      <c r="PUY112" s="1740"/>
      <c r="PUZ112" s="1740"/>
      <c r="PVA112" s="1740"/>
      <c r="PVB112" s="1740"/>
      <c r="PVC112" s="1740"/>
      <c r="PVD112" s="1740"/>
      <c r="PVE112" s="1740"/>
      <c r="PVF112" s="1740"/>
      <c r="PVG112" s="1740"/>
      <c r="PVH112" s="1740"/>
      <c r="PVI112" s="1740"/>
      <c r="PVJ112" s="1740"/>
      <c r="PVK112" s="1740"/>
      <c r="PVL112" s="1740"/>
      <c r="PVM112" s="1740"/>
      <c r="PVN112" s="1740"/>
      <c r="PVO112" s="1740"/>
      <c r="PVP112" s="1740"/>
      <c r="PVQ112" s="1740"/>
      <c r="PVR112" s="1740"/>
      <c r="PVS112" s="1740"/>
      <c r="PVT112" s="1740"/>
      <c r="PVU112" s="1740"/>
      <c r="PVV112" s="1740"/>
      <c r="PVW112" s="1740"/>
      <c r="PVX112" s="1740"/>
      <c r="PVY112" s="1740"/>
      <c r="PVZ112" s="1740"/>
      <c r="PWA112" s="1740"/>
      <c r="PWB112" s="1740"/>
      <c r="PWC112" s="1740"/>
      <c r="PWD112" s="1740"/>
      <c r="PWE112" s="1740"/>
      <c r="PWF112" s="1740"/>
      <c r="PWG112" s="1740"/>
      <c r="PWH112" s="1740"/>
      <c r="PWI112" s="1740"/>
      <c r="PWJ112" s="1740"/>
      <c r="PWK112" s="1740"/>
      <c r="PWL112" s="1740"/>
      <c r="PWM112" s="1740"/>
      <c r="PWN112" s="1740"/>
      <c r="PWO112" s="1740"/>
      <c r="PWP112" s="1740"/>
      <c r="PWQ112" s="1740"/>
      <c r="PWR112" s="1740"/>
      <c r="PWS112" s="1740"/>
      <c r="PWT112" s="1740"/>
      <c r="PWU112" s="1740"/>
      <c r="PWV112" s="1740"/>
      <c r="PWW112" s="1740"/>
      <c r="PWX112" s="1740"/>
      <c r="PWY112" s="1740"/>
      <c r="PWZ112" s="1740"/>
      <c r="PXA112" s="1740"/>
      <c r="PXB112" s="1740"/>
      <c r="PXC112" s="1740"/>
      <c r="PXD112" s="1740"/>
      <c r="PXE112" s="1740"/>
      <c r="PXF112" s="1740"/>
      <c r="PXG112" s="1740"/>
      <c r="PXH112" s="1740"/>
      <c r="PXI112" s="1740"/>
      <c r="PXJ112" s="1740"/>
      <c r="PXK112" s="1740"/>
      <c r="PXL112" s="1740"/>
      <c r="PXM112" s="1740"/>
      <c r="PXN112" s="1740"/>
      <c r="PXO112" s="1740"/>
      <c r="PXP112" s="1740"/>
      <c r="PXQ112" s="1740"/>
      <c r="PXR112" s="1740"/>
      <c r="PXS112" s="1740"/>
      <c r="PXT112" s="1740"/>
      <c r="PXU112" s="1740"/>
      <c r="PXV112" s="1740"/>
      <c r="PXW112" s="1740"/>
      <c r="PXX112" s="1740"/>
      <c r="PXY112" s="1740"/>
      <c r="PXZ112" s="1740"/>
      <c r="PYA112" s="1740"/>
      <c r="PYB112" s="1740"/>
      <c r="PYC112" s="1740"/>
      <c r="PYD112" s="1740"/>
      <c r="PYE112" s="1740"/>
      <c r="PYF112" s="1740"/>
      <c r="PYG112" s="1740"/>
      <c r="PYH112" s="1740"/>
      <c r="PYI112" s="1740"/>
      <c r="PYJ112" s="1740"/>
      <c r="PYK112" s="1740"/>
      <c r="PYL112" s="1740"/>
      <c r="PYM112" s="1740"/>
      <c r="PYN112" s="1740"/>
      <c r="PYO112" s="1740"/>
      <c r="PYP112" s="1740"/>
      <c r="PYQ112" s="1740"/>
      <c r="PYR112" s="1740"/>
      <c r="PYS112" s="1740"/>
      <c r="PYT112" s="1740"/>
      <c r="PYU112" s="1740"/>
      <c r="PYV112" s="1740"/>
      <c r="PYW112" s="1740"/>
      <c r="PYX112" s="1740"/>
      <c r="PYY112" s="1740"/>
      <c r="PYZ112" s="1740"/>
      <c r="PZA112" s="1740"/>
      <c r="PZB112" s="1740"/>
      <c r="PZC112" s="1740"/>
      <c r="PZD112" s="1740"/>
      <c r="PZE112" s="1740"/>
      <c r="PZF112" s="1740"/>
      <c r="PZG112" s="1740"/>
      <c r="PZH112" s="1740"/>
      <c r="PZI112" s="1740"/>
      <c r="PZJ112" s="1740"/>
      <c r="PZK112" s="1740"/>
      <c r="PZL112" s="1740"/>
      <c r="PZM112" s="1740"/>
      <c r="PZN112" s="1740"/>
      <c r="PZO112" s="1740"/>
      <c r="PZP112" s="1740"/>
      <c r="PZQ112" s="1740"/>
      <c r="PZR112" s="1740"/>
      <c r="PZS112" s="1740"/>
      <c r="PZT112" s="1740"/>
      <c r="PZU112" s="1740"/>
      <c r="PZV112" s="1740"/>
      <c r="PZW112" s="1740"/>
      <c r="PZX112" s="1740"/>
      <c r="PZY112" s="1740"/>
      <c r="PZZ112" s="1740"/>
      <c r="QAA112" s="1740"/>
      <c r="QAB112" s="1740"/>
      <c r="QAC112" s="1740"/>
      <c r="QAD112" s="1740"/>
      <c r="QAE112" s="1740"/>
      <c r="QAF112" s="1740"/>
      <c r="QAG112" s="1740"/>
      <c r="QAH112" s="1740"/>
      <c r="QAI112" s="1740"/>
      <c r="QAJ112" s="1740"/>
      <c r="QAK112" s="1740"/>
      <c r="QAL112" s="1740"/>
      <c r="QAM112" s="1740"/>
      <c r="QAN112" s="1740"/>
      <c r="QAO112" s="1740"/>
      <c r="QAP112" s="1740"/>
      <c r="QAQ112" s="1740"/>
      <c r="QAR112" s="1740"/>
      <c r="QAS112" s="1740"/>
      <c r="QAT112" s="1740"/>
      <c r="QAU112" s="1740"/>
      <c r="QAV112" s="1740"/>
      <c r="QAW112" s="1740"/>
      <c r="QAX112" s="1740"/>
      <c r="QAY112" s="1740"/>
      <c r="QAZ112" s="1740"/>
      <c r="QBA112" s="1740"/>
      <c r="QBB112" s="1740"/>
      <c r="QBC112" s="1740"/>
      <c r="QBD112" s="1740"/>
      <c r="QBE112" s="1740"/>
      <c r="QBF112" s="1740"/>
      <c r="QBG112" s="1740"/>
      <c r="QBH112" s="1740"/>
      <c r="QBI112" s="1740"/>
      <c r="QBJ112" s="1740"/>
      <c r="QBK112" s="1740"/>
      <c r="QBL112" s="1740"/>
      <c r="QBM112" s="1740"/>
      <c r="QBN112" s="1740"/>
      <c r="QBO112" s="1740"/>
      <c r="QBP112" s="1740"/>
      <c r="QBQ112" s="1740"/>
      <c r="QBR112" s="1740"/>
      <c r="QBS112" s="1740"/>
      <c r="QBT112" s="1740"/>
      <c r="QBU112" s="1740"/>
      <c r="QBV112" s="1740"/>
      <c r="QBW112" s="1740"/>
      <c r="QBX112" s="1740"/>
      <c r="QBY112" s="1740"/>
      <c r="QBZ112" s="1740"/>
      <c r="QCA112" s="1740"/>
      <c r="QCB112" s="1740"/>
      <c r="QCC112" s="1740"/>
      <c r="QCD112" s="1740"/>
      <c r="QCE112" s="1740"/>
      <c r="QCF112" s="1740"/>
      <c r="QCG112" s="1740"/>
      <c r="QCH112" s="1740"/>
      <c r="QCI112" s="1740"/>
      <c r="QCJ112" s="1740"/>
      <c r="QCK112" s="1740"/>
      <c r="QCL112" s="1740"/>
      <c r="QCM112" s="1740"/>
      <c r="QCN112" s="1740"/>
      <c r="QCO112" s="1740"/>
      <c r="QCP112" s="1740"/>
      <c r="QCQ112" s="1740"/>
      <c r="QCR112" s="1740"/>
      <c r="QCS112" s="1740"/>
      <c r="QCT112" s="1740"/>
      <c r="QCU112" s="1740"/>
      <c r="QCV112" s="1740"/>
      <c r="QCW112" s="1740"/>
      <c r="QCX112" s="1740"/>
      <c r="QCY112" s="1740"/>
      <c r="QCZ112" s="1740"/>
      <c r="QDA112" s="1740"/>
      <c r="QDB112" s="1740"/>
      <c r="QDC112" s="1740"/>
      <c r="QDD112" s="1740"/>
      <c r="QDE112" s="1740"/>
      <c r="QDF112" s="1740"/>
      <c r="QDG112" s="1740"/>
      <c r="QDH112" s="1740"/>
      <c r="QDI112" s="1740"/>
      <c r="QDJ112" s="1740"/>
      <c r="QDK112" s="1740"/>
      <c r="QDL112" s="1740"/>
      <c r="QDM112" s="1740"/>
      <c r="QDN112" s="1740"/>
      <c r="QDO112" s="1740"/>
      <c r="QDP112" s="1740"/>
      <c r="QDQ112" s="1740"/>
      <c r="QDR112" s="1740"/>
      <c r="QDS112" s="1740"/>
      <c r="QDT112" s="1740"/>
      <c r="QDU112" s="1740"/>
      <c r="QDV112" s="1740"/>
      <c r="QDW112" s="1740"/>
      <c r="QDX112" s="1740"/>
      <c r="QDY112" s="1740"/>
      <c r="QDZ112" s="1740"/>
      <c r="QEA112" s="1740"/>
      <c r="QEB112" s="1740"/>
      <c r="QEC112" s="1740"/>
      <c r="QED112" s="1740"/>
      <c r="QEE112" s="1740"/>
      <c r="QEF112" s="1740"/>
      <c r="QEG112" s="1740"/>
      <c r="QEH112" s="1740"/>
      <c r="QEI112" s="1740"/>
      <c r="QEJ112" s="1740"/>
      <c r="QEK112" s="1740"/>
      <c r="QEL112" s="1740"/>
      <c r="QEM112" s="1740"/>
      <c r="QEN112" s="1740"/>
      <c r="QEO112" s="1740"/>
      <c r="QEP112" s="1740"/>
      <c r="QEQ112" s="1740"/>
      <c r="QER112" s="1740"/>
      <c r="QES112" s="1740"/>
      <c r="QET112" s="1740"/>
      <c r="QEU112" s="1740"/>
      <c r="QEV112" s="1740"/>
      <c r="QEW112" s="1740"/>
      <c r="QEX112" s="1740"/>
      <c r="QEY112" s="1740"/>
      <c r="QEZ112" s="1740"/>
      <c r="QFA112" s="1740"/>
      <c r="QFB112" s="1740"/>
      <c r="QFC112" s="1740"/>
      <c r="QFD112" s="1740"/>
      <c r="QFE112" s="1740"/>
      <c r="QFF112" s="1740"/>
      <c r="QFG112" s="1740"/>
      <c r="QFH112" s="1740"/>
      <c r="QFI112" s="1740"/>
      <c r="QFJ112" s="1740"/>
      <c r="QFK112" s="1740"/>
      <c r="QFL112" s="1740"/>
      <c r="QFM112" s="1740"/>
      <c r="QFN112" s="1740"/>
      <c r="QFO112" s="1740"/>
      <c r="QFP112" s="1740"/>
      <c r="QFQ112" s="1740"/>
      <c r="QFR112" s="1740"/>
      <c r="QFS112" s="1740"/>
      <c r="QFT112" s="1740"/>
      <c r="QFU112" s="1740"/>
      <c r="QFV112" s="1740"/>
      <c r="QFW112" s="1740"/>
      <c r="QFX112" s="1740"/>
      <c r="QFY112" s="1740"/>
      <c r="QFZ112" s="1740"/>
      <c r="QGA112" s="1740"/>
      <c r="QGB112" s="1740"/>
      <c r="QGC112" s="1740"/>
      <c r="QGD112" s="1740"/>
      <c r="QGE112" s="1740"/>
      <c r="QGF112" s="1740"/>
      <c r="QGG112" s="1740"/>
      <c r="QGH112" s="1740"/>
      <c r="QGI112" s="1740"/>
      <c r="QGJ112" s="1740"/>
      <c r="QGK112" s="1740"/>
      <c r="QGL112" s="1740"/>
      <c r="QGM112" s="1740"/>
      <c r="QGN112" s="1740"/>
      <c r="QGO112" s="1740"/>
      <c r="QGP112" s="1740"/>
      <c r="QGQ112" s="1740"/>
      <c r="QGR112" s="1740"/>
      <c r="QGS112" s="1740"/>
      <c r="QGT112" s="1740"/>
      <c r="QGU112" s="1740"/>
      <c r="QGV112" s="1740"/>
      <c r="QGW112" s="1740"/>
      <c r="QGX112" s="1740"/>
      <c r="QGY112" s="1740"/>
      <c r="QGZ112" s="1740"/>
      <c r="QHA112" s="1740"/>
      <c r="QHB112" s="1740"/>
      <c r="QHC112" s="1740"/>
      <c r="QHD112" s="1740"/>
      <c r="QHE112" s="1740"/>
      <c r="QHF112" s="1740"/>
      <c r="QHG112" s="1740"/>
      <c r="QHH112" s="1740"/>
      <c r="QHI112" s="1740"/>
      <c r="QHJ112" s="1740"/>
      <c r="QHK112" s="1740"/>
      <c r="QHL112" s="1740"/>
      <c r="QHM112" s="1740"/>
      <c r="QHN112" s="1740"/>
      <c r="QHO112" s="1740"/>
      <c r="QHP112" s="1740"/>
      <c r="QHQ112" s="1740"/>
      <c r="QHR112" s="1740"/>
      <c r="QHS112" s="1740"/>
      <c r="QHT112" s="1740"/>
      <c r="QHU112" s="1740"/>
      <c r="QHV112" s="1740"/>
      <c r="QHW112" s="1740"/>
      <c r="QHX112" s="1740"/>
      <c r="QHY112" s="1740"/>
      <c r="QHZ112" s="1740"/>
      <c r="QIA112" s="1740"/>
      <c r="QIB112" s="1740"/>
      <c r="QIC112" s="1740"/>
      <c r="QID112" s="1740"/>
      <c r="QIE112" s="1740"/>
      <c r="QIF112" s="1740"/>
      <c r="QIG112" s="1740"/>
      <c r="QIH112" s="1740"/>
      <c r="QII112" s="1740"/>
      <c r="QIJ112" s="1740"/>
      <c r="QIK112" s="1740"/>
      <c r="QIL112" s="1740"/>
      <c r="QIM112" s="1740"/>
      <c r="QIN112" s="1740"/>
      <c r="QIO112" s="1740"/>
      <c r="QIP112" s="1740"/>
      <c r="QIQ112" s="1740"/>
      <c r="QIR112" s="1740"/>
      <c r="QIS112" s="1740"/>
      <c r="QIT112" s="1740"/>
      <c r="QIU112" s="1740"/>
      <c r="QIV112" s="1740"/>
      <c r="QIW112" s="1740"/>
      <c r="QIX112" s="1740"/>
      <c r="QIY112" s="1740"/>
      <c r="QIZ112" s="1740"/>
      <c r="QJA112" s="1740"/>
      <c r="QJB112" s="1740"/>
      <c r="QJC112" s="1740"/>
      <c r="QJD112" s="1740"/>
      <c r="QJE112" s="1740"/>
      <c r="QJF112" s="1740"/>
      <c r="QJG112" s="1740"/>
      <c r="QJH112" s="1740"/>
      <c r="QJI112" s="1740"/>
      <c r="QJJ112" s="1740"/>
      <c r="QJK112" s="1740"/>
      <c r="QJL112" s="1740"/>
      <c r="QJM112" s="1740"/>
      <c r="QJN112" s="1740"/>
      <c r="QJO112" s="1740"/>
      <c r="QJP112" s="1740"/>
      <c r="QJQ112" s="1740"/>
      <c r="QJR112" s="1740"/>
      <c r="QJS112" s="1740"/>
      <c r="QJT112" s="1740"/>
      <c r="QJU112" s="1740"/>
      <c r="QJV112" s="1740"/>
      <c r="QJW112" s="1740"/>
      <c r="QJX112" s="1740"/>
      <c r="QJY112" s="1740"/>
      <c r="QJZ112" s="1740"/>
      <c r="QKA112" s="1740"/>
      <c r="QKB112" s="1740"/>
      <c r="QKC112" s="1740"/>
      <c r="QKD112" s="1740"/>
      <c r="QKE112" s="1740"/>
      <c r="QKF112" s="1740"/>
      <c r="QKG112" s="1740"/>
      <c r="QKH112" s="1740"/>
      <c r="QKI112" s="1740"/>
      <c r="QKJ112" s="1740"/>
      <c r="QKK112" s="1740"/>
      <c r="QKL112" s="1740"/>
      <c r="QKM112" s="1740"/>
      <c r="QKN112" s="1740"/>
      <c r="QKO112" s="1740"/>
      <c r="QKP112" s="1740"/>
      <c r="QKQ112" s="1740"/>
      <c r="QKR112" s="1740"/>
      <c r="QKS112" s="1740"/>
      <c r="QKT112" s="1740"/>
      <c r="QKU112" s="1740"/>
      <c r="QKV112" s="1740"/>
      <c r="QKW112" s="1740"/>
      <c r="QKX112" s="1740"/>
      <c r="QKY112" s="1740"/>
      <c r="QKZ112" s="1740"/>
      <c r="QLA112" s="1740"/>
      <c r="QLB112" s="1740"/>
      <c r="QLC112" s="1740"/>
      <c r="QLD112" s="1740"/>
      <c r="QLE112" s="1740"/>
      <c r="QLF112" s="1740"/>
      <c r="QLG112" s="1740"/>
      <c r="QLH112" s="1740"/>
      <c r="QLI112" s="1740"/>
      <c r="QLJ112" s="1740"/>
      <c r="QLK112" s="1740"/>
      <c r="QLL112" s="1740"/>
      <c r="QLM112" s="1740"/>
      <c r="QLN112" s="1740"/>
      <c r="QLO112" s="1740"/>
      <c r="QLP112" s="1740"/>
      <c r="QLQ112" s="1740"/>
      <c r="QLR112" s="1740"/>
      <c r="QLS112" s="1740"/>
      <c r="QLT112" s="1740"/>
      <c r="QLU112" s="1740"/>
      <c r="QLV112" s="1740"/>
      <c r="QLW112" s="1740"/>
      <c r="QLX112" s="1740"/>
      <c r="QLY112" s="1740"/>
      <c r="QLZ112" s="1740"/>
      <c r="QMA112" s="1740"/>
      <c r="QMB112" s="1740"/>
      <c r="QMC112" s="1740"/>
      <c r="QMD112" s="1740"/>
      <c r="QME112" s="1740"/>
      <c r="QMF112" s="1740"/>
      <c r="QMG112" s="1740"/>
      <c r="QMH112" s="1740"/>
      <c r="QMI112" s="1740"/>
      <c r="QMJ112" s="1740"/>
      <c r="QMK112" s="1740"/>
      <c r="QML112" s="1740"/>
      <c r="QMM112" s="1740"/>
      <c r="QMN112" s="1740"/>
      <c r="QMO112" s="1740"/>
      <c r="QMP112" s="1740"/>
      <c r="QMQ112" s="1740"/>
      <c r="QMR112" s="1740"/>
      <c r="QMS112" s="1740"/>
      <c r="QMT112" s="1740"/>
      <c r="QMU112" s="1740"/>
      <c r="QMV112" s="1740"/>
      <c r="QMW112" s="1740"/>
      <c r="QMX112" s="1740"/>
      <c r="QMY112" s="1740"/>
      <c r="QMZ112" s="1740"/>
      <c r="QNA112" s="1740"/>
      <c r="QNB112" s="1740"/>
      <c r="QNC112" s="1740"/>
      <c r="QND112" s="1740"/>
      <c r="QNE112" s="1740"/>
      <c r="QNF112" s="1740"/>
      <c r="QNG112" s="1740"/>
      <c r="QNH112" s="1740"/>
      <c r="QNI112" s="1740"/>
      <c r="QNJ112" s="1740"/>
      <c r="QNK112" s="1740"/>
      <c r="QNL112" s="1740"/>
      <c r="QNM112" s="1740"/>
      <c r="QNN112" s="1740"/>
      <c r="QNO112" s="1740"/>
      <c r="QNP112" s="1740"/>
      <c r="QNQ112" s="1740"/>
      <c r="QNR112" s="1740"/>
      <c r="QNS112" s="1740"/>
      <c r="QNT112" s="1740"/>
      <c r="QNU112" s="1740"/>
      <c r="QNV112" s="1740"/>
      <c r="QNW112" s="1740"/>
      <c r="QNX112" s="1740"/>
      <c r="QNY112" s="1740"/>
      <c r="QNZ112" s="1740"/>
      <c r="QOA112" s="1740"/>
      <c r="QOB112" s="1740"/>
      <c r="QOC112" s="1740"/>
      <c r="QOD112" s="1740"/>
      <c r="QOE112" s="1740"/>
      <c r="QOF112" s="1740"/>
      <c r="QOG112" s="1740"/>
      <c r="QOH112" s="1740"/>
      <c r="QOI112" s="1740"/>
      <c r="QOJ112" s="1740"/>
      <c r="QOK112" s="1740"/>
      <c r="QOL112" s="1740"/>
      <c r="QOM112" s="1740"/>
      <c r="QON112" s="1740"/>
      <c r="QOO112" s="1740"/>
      <c r="QOP112" s="1740"/>
      <c r="QOQ112" s="1740"/>
      <c r="QOR112" s="1740"/>
      <c r="QOS112" s="1740"/>
      <c r="QOT112" s="1740"/>
      <c r="QOU112" s="1740"/>
      <c r="QOV112" s="1740"/>
      <c r="QOW112" s="1740"/>
      <c r="QOX112" s="1740"/>
      <c r="QOY112" s="1740"/>
      <c r="QOZ112" s="1740"/>
      <c r="QPA112" s="1740"/>
      <c r="QPB112" s="1740"/>
      <c r="QPC112" s="1740"/>
      <c r="QPD112" s="1740"/>
      <c r="QPE112" s="1740"/>
      <c r="QPF112" s="1740"/>
      <c r="QPG112" s="1740"/>
      <c r="QPH112" s="1740"/>
      <c r="QPI112" s="1740"/>
      <c r="QPJ112" s="1740"/>
      <c r="QPK112" s="1740"/>
      <c r="QPL112" s="1740"/>
      <c r="QPM112" s="1740"/>
      <c r="QPN112" s="1740"/>
      <c r="QPO112" s="1740"/>
      <c r="QPP112" s="1740"/>
      <c r="QPQ112" s="1740"/>
      <c r="QPR112" s="1740"/>
      <c r="QPS112" s="1740"/>
      <c r="QPT112" s="1740"/>
      <c r="QPU112" s="1740"/>
      <c r="QPV112" s="1740"/>
      <c r="QPW112" s="1740"/>
      <c r="QPX112" s="1740"/>
      <c r="QPY112" s="1740"/>
      <c r="QPZ112" s="1740"/>
      <c r="QQA112" s="1740"/>
      <c r="QQB112" s="1740"/>
      <c r="QQC112" s="1740"/>
      <c r="QQD112" s="1740"/>
      <c r="QQE112" s="1740"/>
      <c r="QQF112" s="1740"/>
      <c r="QQG112" s="1740"/>
      <c r="QQH112" s="1740"/>
      <c r="QQI112" s="1740"/>
      <c r="QQJ112" s="1740"/>
      <c r="QQK112" s="1740"/>
      <c r="QQL112" s="1740"/>
      <c r="QQM112" s="1740"/>
      <c r="QQN112" s="1740"/>
      <c r="QQO112" s="1740"/>
      <c r="QQP112" s="1740"/>
      <c r="QQQ112" s="1740"/>
      <c r="QQR112" s="1740"/>
      <c r="QQS112" s="1740"/>
      <c r="QQT112" s="1740"/>
      <c r="QQU112" s="1740"/>
      <c r="QQV112" s="1740"/>
      <c r="QQW112" s="1740"/>
      <c r="QQX112" s="1740"/>
      <c r="QQY112" s="1740"/>
      <c r="QQZ112" s="1740"/>
      <c r="QRA112" s="1740"/>
      <c r="QRB112" s="1740"/>
      <c r="QRC112" s="1740"/>
      <c r="QRD112" s="1740"/>
      <c r="QRE112" s="1740"/>
      <c r="QRF112" s="1740"/>
      <c r="QRG112" s="1740"/>
      <c r="QRH112" s="1740"/>
      <c r="QRI112" s="1740"/>
      <c r="QRJ112" s="1740"/>
      <c r="QRK112" s="1740"/>
      <c r="QRL112" s="1740"/>
      <c r="QRM112" s="1740"/>
      <c r="QRN112" s="1740"/>
      <c r="QRO112" s="1740"/>
      <c r="QRP112" s="1740"/>
      <c r="QRQ112" s="1740"/>
      <c r="QRR112" s="1740"/>
      <c r="QRS112" s="1740"/>
      <c r="QRT112" s="1740"/>
      <c r="QRU112" s="1740"/>
      <c r="QRV112" s="1740"/>
      <c r="QRW112" s="1740"/>
      <c r="QRX112" s="1740"/>
      <c r="QRY112" s="1740"/>
      <c r="QRZ112" s="1740"/>
      <c r="QSA112" s="1740"/>
      <c r="QSB112" s="1740"/>
      <c r="QSC112" s="1740"/>
      <c r="QSD112" s="1740"/>
      <c r="QSE112" s="1740"/>
      <c r="QSF112" s="1740"/>
      <c r="QSG112" s="1740"/>
      <c r="QSH112" s="1740"/>
      <c r="QSI112" s="1740"/>
      <c r="QSJ112" s="1740"/>
      <c r="QSK112" s="1740"/>
      <c r="QSL112" s="1740"/>
      <c r="QSM112" s="1740"/>
      <c r="QSN112" s="1740"/>
      <c r="QSO112" s="1740"/>
      <c r="QSP112" s="1740"/>
      <c r="QSQ112" s="1740"/>
      <c r="QSR112" s="1740"/>
      <c r="QSS112" s="1740"/>
      <c r="QST112" s="1740"/>
      <c r="QSU112" s="1740"/>
      <c r="QSV112" s="1740"/>
      <c r="QSW112" s="1740"/>
      <c r="QSX112" s="1740"/>
      <c r="QSY112" s="1740"/>
      <c r="QSZ112" s="1740"/>
      <c r="QTA112" s="1740"/>
      <c r="QTB112" s="1740"/>
      <c r="QTC112" s="1740"/>
      <c r="QTD112" s="1740"/>
      <c r="QTE112" s="1740"/>
      <c r="QTF112" s="1740"/>
      <c r="QTG112" s="1740"/>
      <c r="QTH112" s="1740"/>
      <c r="QTI112" s="1740"/>
      <c r="QTJ112" s="1740"/>
      <c r="QTK112" s="1740"/>
      <c r="QTL112" s="1740"/>
      <c r="QTM112" s="1740"/>
      <c r="QTN112" s="1740"/>
      <c r="QTO112" s="1740"/>
      <c r="QTP112" s="1740"/>
      <c r="QTQ112" s="1740"/>
      <c r="QTR112" s="1740"/>
      <c r="QTS112" s="1740"/>
      <c r="QTT112" s="1740"/>
      <c r="QTU112" s="1740"/>
      <c r="QTV112" s="1740"/>
      <c r="QTW112" s="1740"/>
      <c r="QTX112" s="1740"/>
      <c r="QTY112" s="1740"/>
      <c r="QTZ112" s="1740"/>
      <c r="QUA112" s="1740"/>
      <c r="QUB112" s="1740"/>
      <c r="QUC112" s="1740"/>
      <c r="QUD112" s="1740"/>
      <c r="QUE112" s="1740"/>
      <c r="QUF112" s="1740"/>
      <c r="QUG112" s="1740"/>
      <c r="QUH112" s="1740"/>
      <c r="QUI112" s="1740"/>
      <c r="QUJ112" s="1740"/>
      <c r="QUK112" s="1740"/>
      <c r="QUL112" s="1740"/>
      <c r="QUM112" s="1740"/>
      <c r="QUN112" s="1740"/>
      <c r="QUO112" s="1740"/>
      <c r="QUP112" s="1740"/>
      <c r="QUQ112" s="1740"/>
      <c r="QUR112" s="1740"/>
      <c r="QUS112" s="1740"/>
      <c r="QUT112" s="1740"/>
      <c r="QUU112" s="1740"/>
      <c r="QUV112" s="1740"/>
      <c r="QUW112" s="1740"/>
      <c r="QUX112" s="1740"/>
      <c r="QUY112" s="1740"/>
      <c r="QUZ112" s="1740"/>
      <c r="QVA112" s="1740"/>
      <c r="QVB112" s="1740"/>
      <c r="QVC112" s="1740"/>
      <c r="QVD112" s="1740"/>
      <c r="QVE112" s="1740"/>
      <c r="QVF112" s="1740"/>
      <c r="QVG112" s="1740"/>
      <c r="QVH112" s="1740"/>
      <c r="QVI112" s="1740"/>
      <c r="QVJ112" s="1740"/>
      <c r="QVK112" s="1740"/>
      <c r="QVL112" s="1740"/>
      <c r="QVM112" s="1740"/>
      <c r="QVN112" s="1740"/>
      <c r="QVO112" s="1740"/>
      <c r="QVP112" s="1740"/>
      <c r="QVQ112" s="1740"/>
      <c r="QVR112" s="1740"/>
      <c r="QVS112" s="1740"/>
      <c r="QVT112" s="1740"/>
      <c r="QVU112" s="1740"/>
      <c r="QVV112" s="1740"/>
      <c r="QVW112" s="1740"/>
      <c r="QVX112" s="1740"/>
      <c r="QVY112" s="1740"/>
      <c r="QVZ112" s="1740"/>
      <c r="QWA112" s="1740"/>
      <c r="QWB112" s="1740"/>
      <c r="QWC112" s="1740"/>
      <c r="QWD112" s="1740"/>
      <c r="QWE112" s="1740"/>
      <c r="QWF112" s="1740"/>
      <c r="QWG112" s="1740"/>
      <c r="QWH112" s="1740"/>
      <c r="QWI112" s="1740"/>
      <c r="QWJ112" s="1740"/>
      <c r="QWK112" s="1740"/>
      <c r="QWL112" s="1740"/>
      <c r="QWM112" s="1740"/>
      <c r="QWN112" s="1740"/>
      <c r="QWO112" s="1740"/>
      <c r="QWP112" s="1740"/>
      <c r="QWQ112" s="1740"/>
      <c r="QWR112" s="1740"/>
      <c r="QWS112" s="1740"/>
      <c r="QWT112" s="1740"/>
      <c r="QWU112" s="1740"/>
      <c r="QWV112" s="1740"/>
      <c r="QWW112" s="1740"/>
      <c r="QWX112" s="1740"/>
      <c r="QWY112" s="1740"/>
      <c r="QWZ112" s="1740"/>
      <c r="QXA112" s="1740"/>
      <c r="QXB112" s="1740"/>
      <c r="QXC112" s="1740"/>
      <c r="QXD112" s="1740"/>
      <c r="QXE112" s="1740"/>
      <c r="QXF112" s="1740"/>
      <c r="QXG112" s="1740"/>
      <c r="QXH112" s="1740"/>
      <c r="QXI112" s="1740"/>
      <c r="QXJ112" s="1740"/>
      <c r="QXK112" s="1740"/>
      <c r="QXL112" s="1740"/>
      <c r="QXM112" s="1740"/>
      <c r="QXN112" s="1740"/>
      <c r="QXO112" s="1740"/>
      <c r="QXP112" s="1740"/>
      <c r="QXQ112" s="1740"/>
      <c r="QXR112" s="1740"/>
      <c r="QXS112" s="1740"/>
      <c r="QXT112" s="1740"/>
      <c r="QXU112" s="1740"/>
      <c r="QXV112" s="1740"/>
      <c r="QXW112" s="1740"/>
      <c r="QXX112" s="1740"/>
      <c r="QXY112" s="1740"/>
      <c r="QXZ112" s="1740"/>
      <c r="QYA112" s="1740"/>
      <c r="QYB112" s="1740"/>
      <c r="QYC112" s="1740"/>
      <c r="QYD112" s="1740"/>
      <c r="QYE112" s="1740"/>
      <c r="QYF112" s="1740"/>
      <c r="QYG112" s="1740"/>
      <c r="QYH112" s="1740"/>
      <c r="QYI112" s="1740"/>
      <c r="QYJ112" s="1740"/>
      <c r="QYK112" s="1740"/>
      <c r="QYL112" s="1740"/>
      <c r="QYM112" s="1740"/>
      <c r="QYN112" s="1740"/>
      <c r="QYO112" s="1740"/>
      <c r="QYP112" s="1740"/>
      <c r="QYQ112" s="1740"/>
      <c r="QYR112" s="1740"/>
      <c r="QYS112" s="1740"/>
      <c r="QYT112" s="1740"/>
      <c r="QYU112" s="1740"/>
      <c r="QYV112" s="1740"/>
      <c r="QYW112" s="1740"/>
      <c r="QYX112" s="1740"/>
      <c r="QYY112" s="1740"/>
      <c r="QYZ112" s="1740"/>
      <c r="QZA112" s="1740"/>
      <c r="QZB112" s="1740"/>
      <c r="QZC112" s="1740"/>
      <c r="QZD112" s="1740"/>
      <c r="QZE112" s="1740"/>
      <c r="QZF112" s="1740"/>
      <c r="QZG112" s="1740"/>
      <c r="QZH112" s="1740"/>
      <c r="QZI112" s="1740"/>
      <c r="QZJ112" s="1740"/>
      <c r="QZK112" s="1740"/>
      <c r="QZL112" s="1740"/>
      <c r="QZM112" s="1740"/>
      <c r="QZN112" s="1740"/>
      <c r="QZO112" s="1740"/>
      <c r="QZP112" s="1740"/>
      <c r="QZQ112" s="1740"/>
      <c r="QZR112" s="1740"/>
      <c r="QZS112" s="1740"/>
      <c r="QZT112" s="1740"/>
      <c r="QZU112" s="1740"/>
      <c r="QZV112" s="1740"/>
      <c r="QZW112" s="1740"/>
      <c r="QZX112" s="1740"/>
      <c r="QZY112" s="1740"/>
      <c r="QZZ112" s="1740"/>
      <c r="RAA112" s="1740"/>
      <c r="RAB112" s="1740"/>
      <c r="RAC112" s="1740"/>
      <c r="RAD112" s="1740"/>
      <c r="RAE112" s="1740"/>
      <c r="RAF112" s="1740"/>
      <c r="RAG112" s="1740"/>
      <c r="RAH112" s="1740"/>
      <c r="RAI112" s="1740"/>
      <c r="RAJ112" s="1740"/>
      <c r="RAK112" s="1740"/>
      <c r="RAL112" s="1740"/>
      <c r="RAM112" s="1740"/>
      <c r="RAN112" s="1740"/>
      <c r="RAO112" s="1740"/>
      <c r="RAP112" s="1740"/>
      <c r="RAQ112" s="1740"/>
      <c r="RAR112" s="1740"/>
      <c r="RAS112" s="1740"/>
      <c r="RAT112" s="1740"/>
      <c r="RAU112" s="1740"/>
      <c r="RAV112" s="1740"/>
      <c r="RAW112" s="1740"/>
      <c r="RAX112" s="1740"/>
      <c r="RAY112" s="1740"/>
      <c r="RAZ112" s="1740"/>
      <c r="RBA112" s="1740"/>
      <c r="RBB112" s="1740"/>
      <c r="RBC112" s="1740"/>
      <c r="RBD112" s="1740"/>
      <c r="RBE112" s="1740"/>
      <c r="RBF112" s="1740"/>
      <c r="RBG112" s="1740"/>
      <c r="RBH112" s="1740"/>
      <c r="RBI112" s="1740"/>
      <c r="RBJ112" s="1740"/>
      <c r="RBK112" s="1740"/>
      <c r="RBL112" s="1740"/>
      <c r="RBM112" s="1740"/>
      <c r="RBN112" s="1740"/>
      <c r="RBO112" s="1740"/>
      <c r="RBP112" s="1740"/>
      <c r="RBQ112" s="1740"/>
      <c r="RBR112" s="1740"/>
      <c r="RBS112" s="1740"/>
      <c r="RBT112" s="1740"/>
      <c r="RBU112" s="1740"/>
      <c r="RBV112" s="1740"/>
      <c r="RBW112" s="1740"/>
      <c r="RBX112" s="1740"/>
      <c r="RBY112" s="1740"/>
      <c r="RBZ112" s="1740"/>
      <c r="RCA112" s="1740"/>
      <c r="RCB112" s="1740"/>
      <c r="RCC112" s="1740"/>
      <c r="RCD112" s="1740"/>
      <c r="RCE112" s="1740"/>
      <c r="RCF112" s="1740"/>
      <c r="RCG112" s="1740"/>
      <c r="RCH112" s="1740"/>
      <c r="RCI112" s="1740"/>
      <c r="RCJ112" s="1740"/>
      <c r="RCK112" s="1740"/>
      <c r="RCL112" s="1740"/>
      <c r="RCM112" s="1740"/>
      <c r="RCN112" s="1740"/>
      <c r="RCO112" s="1740"/>
      <c r="RCP112" s="1740"/>
      <c r="RCQ112" s="1740"/>
      <c r="RCR112" s="1740"/>
      <c r="RCS112" s="1740"/>
      <c r="RCT112" s="1740"/>
      <c r="RCU112" s="1740"/>
      <c r="RCV112" s="1740"/>
      <c r="RCW112" s="1740"/>
      <c r="RCX112" s="1740"/>
      <c r="RCY112" s="1740"/>
      <c r="RCZ112" s="1740"/>
      <c r="RDA112" s="1740"/>
      <c r="RDB112" s="1740"/>
      <c r="RDC112" s="1740"/>
      <c r="RDD112" s="1740"/>
      <c r="RDE112" s="1740"/>
      <c r="RDF112" s="1740"/>
      <c r="RDG112" s="1740"/>
      <c r="RDH112" s="1740"/>
      <c r="RDI112" s="1740"/>
      <c r="RDJ112" s="1740"/>
      <c r="RDK112" s="1740"/>
      <c r="RDL112" s="1740"/>
      <c r="RDM112" s="1740"/>
      <c r="RDN112" s="1740"/>
      <c r="RDO112" s="1740"/>
      <c r="RDP112" s="1740"/>
      <c r="RDQ112" s="1740"/>
      <c r="RDR112" s="1740"/>
      <c r="RDS112" s="1740"/>
      <c r="RDT112" s="1740"/>
      <c r="RDU112" s="1740"/>
      <c r="RDV112" s="1740"/>
      <c r="RDW112" s="1740"/>
      <c r="RDX112" s="1740"/>
      <c r="RDY112" s="1740"/>
      <c r="RDZ112" s="1740"/>
      <c r="REA112" s="1740"/>
      <c r="REB112" s="1740"/>
      <c r="REC112" s="1740"/>
      <c r="RED112" s="1740"/>
      <c r="REE112" s="1740"/>
      <c r="REF112" s="1740"/>
      <c r="REG112" s="1740"/>
      <c r="REH112" s="1740"/>
      <c r="REI112" s="1740"/>
      <c r="REJ112" s="1740"/>
      <c r="REK112" s="1740"/>
      <c r="REL112" s="1740"/>
      <c r="REM112" s="1740"/>
      <c r="REN112" s="1740"/>
      <c r="REO112" s="1740"/>
      <c r="REP112" s="1740"/>
      <c r="REQ112" s="1740"/>
      <c r="RER112" s="1740"/>
      <c r="RES112" s="1740"/>
      <c r="RET112" s="1740"/>
      <c r="REU112" s="1740"/>
      <c r="REV112" s="1740"/>
      <c r="REW112" s="1740"/>
      <c r="REX112" s="1740"/>
      <c r="REY112" s="1740"/>
      <c r="REZ112" s="1740"/>
      <c r="RFA112" s="1740"/>
      <c r="RFB112" s="1740"/>
      <c r="RFC112" s="1740"/>
      <c r="RFD112" s="1740"/>
      <c r="RFE112" s="1740"/>
      <c r="RFF112" s="1740"/>
      <c r="RFG112" s="1740"/>
      <c r="RFH112" s="1740"/>
      <c r="RFI112" s="1740"/>
      <c r="RFJ112" s="1740"/>
      <c r="RFK112" s="1740"/>
      <c r="RFL112" s="1740"/>
      <c r="RFM112" s="1740"/>
      <c r="RFN112" s="1740"/>
      <c r="RFO112" s="1740"/>
      <c r="RFP112" s="1740"/>
      <c r="RFQ112" s="1740"/>
      <c r="RFR112" s="1740"/>
      <c r="RFS112" s="1740"/>
      <c r="RFT112" s="1740"/>
      <c r="RFU112" s="1740"/>
      <c r="RFV112" s="1740"/>
      <c r="RFW112" s="1740"/>
      <c r="RFX112" s="1740"/>
      <c r="RFY112" s="1740"/>
      <c r="RFZ112" s="1740"/>
      <c r="RGA112" s="1740"/>
      <c r="RGB112" s="1740"/>
      <c r="RGC112" s="1740"/>
      <c r="RGD112" s="1740"/>
      <c r="RGE112" s="1740"/>
      <c r="RGF112" s="1740"/>
      <c r="RGG112" s="1740"/>
      <c r="RGH112" s="1740"/>
      <c r="RGI112" s="1740"/>
      <c r="RGJ112" s="1740"/>
      <c r="RGK112" s="1740"/>
      <c r="RGL112" s="1740"/>
      <c r="RGM112" s="1740"/>
      <c r="RGN112" s="1740"/>
      <c r="RGO112" s="1740"/>
      <c r="RGP112" s="1740"/>
      <c r="RGQ112" s="1740"/>
      <c r="RGR112" s="1740"/>
      <c r="RGS112" s="1740"/>
      <c r="RGT112" s="1740"/>
      <c r="RGU112" s="1740"/>
      <c r="RGV112" s="1740"/>
      <c r="RGW112" s="1740"/>
      <c r="RGX112" s="1740"/>
      <c r="RGY112" s="1740"/>
      <c r="RGZ112" s="1740"/>
      <c r="RHA112" s="1740"/>
      <c r="RHB112" s="1740"/>
      <c r="RHC112" s="1740"/>
      <c r="RHD112" s="1740"/>
      <c r="RHE112" s="1740"/>
      <c r="RHF112" s="1740"/>
      <c r="RHG112" s="1740"/>
      <c r="RHH112" s="1740"/>
      <c r="RHI112" s="1740"/>
      <c r="RHJ112" s="1740"/>
      <c r="RHK112" s="1740"/>
      <c r="RHL112" s="1740"/>
      <c r="RHM112" s="1740"/>
      <c r="RHN112" s="1740"/>
      <c r="RHO112" s="1740"/>
      <c r="RHP112" s="1740"/>
      <c r="RHQ112" s="1740"/>
      <c r="RHR112" s="1740"/>
      <c r="RHS112" s="1740"/>
      <c r="RHT112" s="1740"/>
      <c r="RHU112" s="1740"/>
      <c r="RHV112" s="1740"/>
      <c r="RHW112" s="1740"/>
      <c r="RHX112" s="1740"/>
      <c r="RHY112" s="1740"/>
      <c r="RHZ112" s="1740"/>
      <c r="RIA112" s="1740"/>
      <c r="RIB112" s="1740"/>
      <c r="RIC112" s="1740"/>
      <c r="RID112" s="1740"/>
      <c r="RIE112" s="1740"/>
      <c r="RIF112" s="1740"/>
      <c r="RIG112" s="1740"/>
      <c r="RIH112" s="1740"/>
      <c r="RII112" s="1740"/>
      <c r="RIJ112" s="1740"/>
      <c r="RIK112" s="1740"/>
      <c r="RIL112" s="1740"/>
      <c r="RIM112" s="1740"/>
      <c r="RIN112" s="1740"/>
      <c r="RIO112" s="1740"/>
      <c r="RIP112" s="1740"/>
      <c r="RIQ112" s="1740"/>
      <c r="RIR112" s="1740"/>
      <c r="RIS112" s="1740"/>
      <c r="RIT112" s="1740"/>
      <c r="RIU112" s="1740"/>
      <c r="RIV112" s="1740"/>
      <c r="RIW112" s="1740"/>
      <c r="RIX112" s="1740"/>
      <c r="RIY112" s="1740"/>
      <c r="RIZ112" s="1740"/>
      <c r="RJA112" s="1740"/>
      <c r="RJB112" s="1740"/>
      <c r="RJC112" s="1740"/>
      <c r="RJD112" s="1740"/>
      <c r="RJE112" s="1740"/>
      <c r="RJF112" s="1740"/>
      <c r="RJG112" s="1740"/>
      <c r="RJH112" s="1740"/>
      <c r="RJI112" s="1740"/>
      <c r="RJJ112" s="1740"/>
      <c r="RJK112" s="1740"/>
      <c r="RJL112" s="1740"/>
      <c r="RJM112" s="1740"/>
      <c r="RJN112" s="1740"/>
      <c r="RJO112" s="1740"/>
      <c r="RJP112" s="1740"/>
      <c r="RJQ112" s="1740"/>
      <c r="RJR112" s="1740"/>
      <c r="RJS112" s="1740"/>
      <c r="RJT112" s="1740"/>
      <c r="RJU112" s="1740"/>
      <c r="RJV112" s="1740"/>
      <c r="RJW112" s="1740"/>
      <c r="RJX112" s="1740"/>
      <c r="RJY112" s="1740"/>
      <c r="RJZ112" s="1740"/>
      <c r="RKA112" s="1740"/>
      <c r="RKB112" s="1740"/>
      <c r="RKC112" s="1740"/>
      <c r="RKD112" s="1740"/>
      <c r="RKE112" s="1740"/>
      <c r="RKF112" s="1740"/>
      <c r="RKG112" s="1740"/>
      <c r="RKH112" s="1740"/>
      <c r="RKI112" s="1740"/>
      <c r="RKJ112" s="1740"/>
      <c r="RKK112" s="1740"/>
      <c r="RKL112" s="1740"/>
      <c r="RKM112" s="1740"/>
      <c r="RKN112" s="1740"/>
      <c r="RKO112" s="1740"/>
      <c r="RKP112" s="1740"/>
      <c r="RKQ112" s="1740"/>
      <c r="RKR112" s="1740"/>
      <c r="RKS112" s="1740"/>
      <c r="RKT112" s="1740"/>
      <c r="RKU112" s="1740"/>
      <c r="RKV112" s="1740"/>
      <c r="RKW112" s="1740"/>
      <c r="RKX112" s="1740"/>
      <c r="RKY112" s="1740"/>
      <c r="RKZ112" s="1740"/>
      <c r="RLA112" s="1740"/>
      <c r="RLB112" s="1740"/>
      <c r="RLC112" s="1740"/>
      <c r="RLD112" s="1740"/>
      <c r="RLE112" s="1740"/>
      <c r="RLF112" s="1740"/>
      <c r="RLG112" s="1740"/>
      <c r="RLH112" s="1740"/>
      <c r="RLI112" s="1740"/>
      <c r="RLJ112" s="1740"/>
      <c r="RLK112" s="1740"/>
      <c r="RLL112" s="1740"/>
      <c r="RLM112" s="1740"/>
      <c r="RLN112" s="1740"/>
      <c r="RLO112" s="1740"/>
      <c r="RLP112" s="1740"/>
      <c r="RLQ112" s="1740"/>
      <c r="RLR112" s="1740"/>
      <c r="RLS112" s="1740"/>
      <c r="RLT112" s="1740"/>
      <c r="RLU112" s="1740"/>
      <c r="RLV112" s="1740"/>
      <c r="RLW112" s="1740"/>
      <c r="RLX112" s="1740"/>
      <c r="RLY112" s="1740"/>
      <c r="RLZ112" s="1740"/>
      <c r="RMA112" s="1740"/>
      <c r="RMB112" s="1740"/>
      <c r="RMC112" s="1740"/>
      <c r="RMD112" s="1740"/>
      <c r="RME112" s="1740"/>
      <c r="RMF112" s="1740"/>
      <c r="RMG112" s="1740"/>
      <c r="RMH112" s="1740"/>
      <c r="RMI112" s="1740"/>
      <c r="RMJ112" s="1740"/>
      <c r="RMK112" s="1740"/>
      <c r="RML112" s="1740"/>
      <c r="RMM112" s="1740"/>
      <c r="RMN112" s="1740"/>
      <c r="RMO112" s="1740"/>
      <c r="RMP112" s="1740"/>
      <c r="RMQ112" s="1740"/>
      <c r="RMR112" s="1740"/>
      <c r="RMS112" s="1740"/>
      <c r="RMT112" s="1740"/>
      <c r="RMU112" s="1740"/>
      <c r="RMV112" s="1740"/>
      <c r="RMW112" s="1740"/>
      <c r="RMX112" s="1740"/>
      <c r="RMY112" s="1740"/>
      <c r="RMZ112" s="1740"/>
      <c r="RNA112" s="1740"/>
      <c r="RNB112" s="1740"/>
      <c r="RNC112" s="1740"/>
      <c r="RND112" s="1740"/>
      <c r="RNE112" s="1740"/>
      <c r="RNF112" s="1740"/>
      <c r="RNG112" s="1740"/>
      <c r="RNH112" s="1740"/>
      <c r="RNI112" s="1740"/>
      <c r="RNJ112" s="1740"/>
      <c r="RNK112" s="1740"/>
      <c r="RNL112" s="1740"/>
      <c r="RNM112" s="1740"/>
      <c r="RNN112" s="1740"/>
      <c r="RNO112" s="1740"/>
      <c r="RNP112" s="1740"/>
      <c r="RNQ112" s="1740"/>
      <c r="RNR112" s="1740"/>
      <c r="RNS112" s="1740"/>
      <c r="RNT112" s="1740"/>
      <c r="RNU112" s="1740"/>
      <c r="RNV112" s="1740"/>
      <c r="RNW112" s="1740"/>
      <c r="RNX112" s="1740"/>
      <c r="RNY112" s="1740"/>
      <c r="RNZ112" s="1740"/>
      <c r="ROA112" s="1740"/>
      <c r="ROB112" s="1740"/>
      <c r="ROC112" s="1740"/>
      <c r="ROD112" s="1740"/>
      <c r="ROE112" s="1740"/>
      <c r="ROF112" s="1740"/>
      <c r="ROG112" s="1740"/>
      <c r="ROH112" s="1740"/>
      <c r="ROI112" s="1740"/>
      <c r="ROJ112" s="1740"/>
      <c r="ROK112" s="1740"/>
      <c r="ROL112" s="1740"/>
      <c r="ROM112" s="1740"/>
      <c r="RON112" s="1740"/>
      <c r="ROO112" s="1740"/>
      <c r="ROP112" s="1740"/>
      <c r="ROQ112" s="1740"/>
      <c r="ROR112" s="1740"/>
      <c r="ROS112" s="1740"/>
      <c r="ROT112" s="1740"/>
      <c r="ROU112" s="1740"/>
      <c r="ROV112" s="1740"/>
      <c r="ROW112" s="1740"/>
      <c r="ROX112" s="1740"/>
      <c r="ROY112" s="1740"/>
      <c r="ROZ112" s="1740"/>
      <c r="RPA112" s="1740"/>
      <c r="RPB112" s="1740"/>
      <c r="RPC112" s="1740"/>
      <c r="RPD112" s="1740"/>
      <c r="RPE112" s="1740"/>
      <c r="RPF112" s="1740"/>
      <c r="RPG112" s="1740"/>
      <c r="RPH112" s="1740"/>
      <c r="RPI112" s="1740"/>
      <c r="RPJ112" s="1740"/>
      <c r="RPK112" s="1740"/>
      <c r="RPL112" s="1740"/>
      <c r="RPM112" s="1740"/>
      <c r="RPN112" s="1740"/>
      <c r="RPO112" s="1740"/>
      <c r="RPP112" s="1740"/>
      <c r="RPQ112" s="1740"/>
      <c r="RPR112" s="1740"/>
      <c r="RPS112" s="1740"/>
      <c r="RPT112" s="1740"/>
      <c r="RPU112" s="1740"/>
      <c r="RPV112" s="1740"/>
      <c r="RPW112" s="1740"/>
      <c r="RPX112" s="1740"/>
      <c r="RPY112" s="1740"/>
      <c r="RPZ112" s="1740"/>
      <c r="RQA112" s="1740"/>
      <c r="RQB112" s="1740"/>
      <c r="RQC112" s="1740"/>
      <c r="RQD112" s="1740"/>
      <c r="RQE112" s="1740"/>
      <c r="RQF112" s="1740"/>
      <c r="RQG112" s="1740"/>
      <c r="RQH112" s="1740"/>
      <c r="RQI112" s="1740"/>
      <c r="RQJ112" s="1740"/>
      <c r="RQK112" s="1740"/>
      <c r="RQL112" s="1740"/>
      <c r="RQM112" s="1740"/>
      <c r="RQN112" s="1740"/>
      <c r="RQO112" s="1740"/>
      <c r="RQP112" s="1740"/>
      <c r="RQQ112" s="1740"/>
      <c r="RQR112" s="1740"/>
      <c r="RQS112" s="1740"/>
      <c r="RQT112" s="1740"/>
      <c r="RQU112" s="1740"/>
      <c r="RQV112" s="1740"/>
      <c r="RQW112" s="1740"/>
      <c r="RQX112" s="1740"/>
      <c r="RQY112" s="1740"/>
      <c r="RQZ112" s="1740"/>
      <c r="RRA112" s="1740"/>
      <c r="RRB112" s="1740"/>
      <c r="RRC112" s="1740"/>
      <c r="RRD112" s="1740"/>
      <c r="RRE112" s="1740"/>
      <c r="RRF112" s="1740"/>
      <c r="RRG112" s="1740"/>
      <c r="RRH112" s="1740"/>
      <c r="RRI112" s="1740"/>
      <c r="RRJ112" s="1740"/>
      <c r="RRK112" s="1740"/>
      <c r="RRL112" s="1740"/>
      <c r="RRM112" s="1740"/>
      <c r="RRN112" s="1740"/>
      <c r="RRO112" s="1740"/>
      <c r="RRP112" s="1740"/>
      <c r="RRQ112" s="1740"/>
      <c r="RRR112" s="1740"/>
      <c r="RRS112" s="1740"/>
      <c r="RRT112" s="1740"/>
      <c r="RRU112" s="1740"/>
      <c r="RRV112" s="1740"/>
      <c r="RRW112" s="1740"/>
      <c r="RRX112" s="1740"/>
      <c r="RRY112" s="1740"/>
      <c r="RRZ112" s="1740"/>
      <c r="RSA112" s="1740"/>
      <c r="RSB112" s="1740"/>
      <c r="RSC112" s="1740"/>
      <c r="RSD112" s="1740"/>
      <c r="RSE112" s="1740"/>
      <c r="RSF112" s="1740"/>
      <c r="RSG112" s="1740"/>
      <c r="RSH112" s="1740"/>
      <c r="RSI112" s="1740"/>
      <c r="RSJ112" s="1740"/>
      <c r="RSK112" s="1740"/>
      <c r="RSL112" s="1740"/>
      <c r="RSM112" s="1740"/>
      <c r="RSN112" s="1740"/>
      <c r="RSO112" s="1740"/>
      <c r="RSP112" s="1740"/>
      <c r="RSQ112" s="1740"/>
      <c r="RSR112" s="1740"/>
      <c r="RSS112" s="1740"/>
      <c r="RST112" s="1740"/>
      <c r="RSU112" s="1740"/>
      <c r="RSV112" s="1740"/>
      <c r="RSW112" s="1740"/>
      <c r="RSX112" s="1740"/>
      <c r="RSY112" s="1740"/>
      <c r="RSZ112" s="1740"/>
      <c r="RTA112" s="1740"/>
      <c r="RTB112" s="1740"/>
      <c r="RTC112" s="1740"/>
      <c r="RTD112" s="1740"/>
      <c r="RTE112" s="1740"/>
      <c r="RTF112" s="1740"/>
      <c r="RTG112" s="1740"/>
      <c r="RTH112" s="1740"/>
      <c r="RTI112" s="1740"/>
      <c r="RTJ112" s="1740"/>
      <c r="RTK112" s="1740"/>
      <c r="RTL112" s="1740"/>
      <c r="RTM112" s="1740"/>
      <c r="RTN112" s="1740"/>
      <c r="RTO112" s="1740"/>
      <c r="RTP112" s="1740"/>
      <c r="RTQ112" s="1740"/>
      <c r="RTR112" s="1740"/>
      <c r="RTS112" s="1740"/>
      <c r="RTT112" s="1740"/>
      <c r="RTU112" s="1740"/>
      <c r="RTV112" s="1740"/>
      <c r="RTW112" s="1740"/>
      <c r="RTX112" s="1740"/>
      <c r="RTY112" s="1740"/>
      <c r="RTZ112" s="1740"/>
      <c r="RUA112" s="1740"/>
      <c r="RUB112" s="1740"/>
      <c r="RUC112" s="1740"/>
      <c r="RUD112" s="1740"/>
      <c r="RUE112" s="1740"/>
      <c r="RUF112" s="1740"/>
      <c r="RUG112" s="1740"/>
      <c r="RUH112" s="1740"/>
      <c r="RUI112" s="1740"/>
      <c r="RUJ112" s="1740"/>
      <c r="RUK112" s="1740"/>
      <c r="RUL112" s="1740"/>
      <c r="RUM112" s="1740"/>
      <c r="RUN112" s="1740"/>
      <c r="RUO112" s="1740"/>
      <c r="RUP112" s="1740"/>
      <c r="RUQ112" s="1740"/>
      <c r="RUR112" s="1740"/>
      <c r="RUS112" s="1740"/>
      <c r="RUT112" s="1740"/>
      <c r="RUU112" s="1740"/>
      <c r="RUV112" s="1740"/>
      <c r="RUW112" s="1740"/>
      <c r="RUX112" s="1740"/>
      <c r="RUY112" s="1740"/>
      <c r="RUZ112" s="1740"/>
      <c r="RVA112" s="1740"/>
      <c r="RVB112" s="1740"/>
      <c r="RVC112" s="1740"/>
      <c r="RVD112" s="1740"/>
      <c r="RVE112" s="1740"/>
      <c r="RVF112" s="1740"/>
      <c r="RVG112" s="1740"/>
      <c r="RVH112" s="1740"/>
      <c r="RVI112" s="1740"/>
      <c r="RVJ112" s="1740"/>
      <c r="RVK112" s="1740"/>
      <c r="RVL112" s="1740"/>
      <c r="RVM112" s="1740"/>
      <c r="RVN112" s="1740"/>
      <c r="RVO112" s="1740"/>
      <c r="RVP112" s="1740"/>
      <c r="RVQ112" s="1740"/>
      <c r="RVR112" s="1740"/>
      <c r="RVS112" s="1740"/>
      <c r="RVT112" s="1740"/>
      <c r="RVU112" s="1740"/>
      <c r="RVV112" s="1740"/>
      <c r="RVW112" s="1740"/>
      <c r="RVX112" s="1740"/>
      <c r="RVY112" s="1740"/>
      <c r="RVZ112" s="1740"/>
      <c r="RWA112" s="1740"/>
      <c r="RWB112" s="1740"/>
      <c r="RWC112" s="1740"/>
      <c r="RWD112" s="1740"/>
      <c r="RWE112" s="1740"/>
      <c r="RWF112" s="1740"/>
      <c r="RWG112" s="1740"/>
      <c r="RWH112" s="1740"/>
      <c r="RWI112" s="1740"/>
      <c r="RWJ112" s="1740"/>
      <c r="RWK112" s="1740"/>
      <c r="RWL112" s="1740"/>
      <c r="RWM112" s="1740"/>
      <c r="RWN112" s="1740"/>
      <c r="RWO112" s="1740"/>
      <c r="RWP112" s="1740"/>
      <c r="RWQ112" s="1740"/>
      <c r="RWR112" s="1740"/>
      <c r="RWS112" s="1740"/>
      <c r="RWT112" s="1740"/>
      <c r="RWU112" s="1740"/>
      <c r="RWV112" s="1740"/>
      <c r="RWW112" s="1740"/>
      <c r="RWX112" s="1740"/>
      <c r="RWY112" s="1740"/>
      <c r="RWZ112" s="1740"/>
      <c r="RXA112" s="1740"/>
      <c r="RXB112" s="1740"/>
      <c r="RXC112" s="1740"/>
      <c r="RXD112" s="1740"/>
      <c r="RXE112" s="1740"/>
      <c r="RXF112" s="1740"/>
      <c r="RXG112" s="1740"/>
      <c r="RXH112" s="1740"/>
      <c r="RXI112" s="1740"/>
      <c r="RXJ112" s="1740"/>
      <c r="RXK112" s="1740"/>
      <c r="RXL112" s="1740"/>
      <c r="RXM112" s="1740"/>
      <c r="RXN112" s="1740"/>
      <c r="RXO112" s="1740"/>
      <c r="RXP112" s="1740"/>
      <c r="RXQ112" s="1740"/>
      <c r="RXR112" s="1740"/>
      <c r="RXS112" s="1740"/>
      <c r="RXT112" s="1740"/>
      <c r="RXU112" s="1740"/>
      <c r="RXV112" s="1740"/>
      <c r="RXW112" s="1740"/>
      <c r="RXX112" s="1740"/>
      <c r="RXY112" s="1740"/>
      <c r="RXZ112" s="1740"/>
      <c r="RYA112" s="1740"/>
      <c r="RYB112" s="1740"/>
      <c r="RYC112" s="1740"/>
      <c r="RYD112" s="1740"/>
      <c r="RYE112" s="1740"/>
      <c r="RYF112" s="1740"/>
      <c r="RYG112" s="1740"/>
      <c r="RYH112" s="1740"/>
      <c r="RYI112" s="1740"/>
      <c r="RYJ112" s="1740"/>
      <c r="RYK112" s="1740"/>
      <c r="RYL112" s="1740"/>
      <c r="RYM112" s="1740"/>
      <c r="RYN112" s="1740"/>
      <c r="RYO112" s="1740"/>
      <c r="RYP112" s="1740"/>
      <c r="RYQ112" s="1740"/>
      <c r="RYR112" s="1740"/>
      <c r="RYS112" s="1740"/>
      <c r="RYT112" s="1740"/>
      <c r="RYU112" s="1740"/>
      <c r="RYV112" s="1740"/>
      <c r="RYW112" s="1740"/>
      <c r="RYX112" s="1740"/>
      <c r="RYY112" s="1740"/>
      <c r="RYZ112" s="1740"/>
      <c r="RZA112" s="1740"/>
      <c r="RZB112" s="1740"/>
      <c r="RZC112" s="1740"/>
      <c r="RZD112" s="1740"/>
      <c r="RZE112" s="1740"/>
      <c r="RZF112" s="1740"/>
      <c r="RZG112" s="1740"/>
      <c r="RZH112" s="1740"/>
      <c r="RZI112" s="1740"/>
      <c r="RZJ112" s="1740"/>
      <c r="RZK112" s="1740"/>
      <c r="RZL112" s="1740"/>
      <c r="RZM112" s="1740"/>
      <c r="RZN112" s="1740"/>
      <c r="RZO112" s="1740"/>
      <c r="RZP112" s="1740"/>
      <c r="RZQ112" s="1740"/>
      <c r="RZR112" s="1740"/>
      <c r="RZS112" s="1740"/>
      <c r="RZT112" s="1740"/>
      <c r="RZU112" s="1740"/>
      <c r="RZV112" s="1740"/>
      <c r="RZW112" s="1740"/>
      <c r="RZX112" s="1740"/>
      <c r="RZY112" s="1740"/>
      <c r="RZZ112" s="1740"/>
      <c r="SAA112" s="1740"/>
      <c r="SAB112" s="1740"/>
      <c r="SAC112" s="1740"/>
      <c r="SAD112" s="1740"/>
      <c r="SAE112" s="1740"/>
      <c r="SAF112" s="1740"/>
      <c r="SAG112" s="1740"/>
      <c r="SAH112" s="1740"/>
      <c r="SAI112" s="1740"/>
      <c r="SAJ112" s="1740"/>
      <c r="SAK112" s="1740"/>
      <c r="SAL112" s="1740"/>
      <c r="SAM112" s="1740"/>
      <c r="SAN112" s="1740"/>
      <c r="SAO112" s="1740"/>
      <c r="SAP112" s="1740"/>
      <c r="SAQ112" s="1740"/>
      <c r="SAR112" s="1740"/>
      <c r="SAS112" s="1740"/>
      <c r="SAT112" s="1740"/>
      <c r="SAU112" s="1740"/>
      <c r="SAV112" s="1740"/>
      <c r="SAW112" s="1740"/>
      <c r="SAX112" s="1740"/>
      <c r="SAY112" s="1740"/>
      <c r="SAZ112" s="1740"/>
      <c r="SBA112" s="1740"/>
      <c r="SBB112" s="1740"/>
      <c r="SBC112" s="1740"/>
      <c r="SBD112" s="1740"/>
      <c r="SBE112" s="1740"/>
      <c r="SBF112" s="1740"/>
      <c r="SBG112" s="1740"/>
      <c r="SBH112" s="1740"/>
      <c r="SBI112" s="1740"/>
      <c r="SBJ112" s="1740"/>
      <c r="SBK112" s="1740"/>
      <c r="SBL112" s="1740"/>
      <c r="SBM112" s="1740"/>
      <c r="SBN112" s="1740"/>
      <c r="SBO112" s="1740"/>
      <c r="SBP112" s="1740"/>
      <c r="SBQ112" s="1740"/>
      <c r="SBR112" s="1740"/>
      <c r="SBS112" s="1740"/>
      <c r="SBT112" s="1740"/>
      <c r="SBU112" s="1740"/>
      <c r="SBV112" s="1740"/>
      <c r="SBW112" s="1740"/>
      <c r="SBX112" s="1740"/>
      <c r="SBY112" s="1740"/>
      <c r="SBZ112" s="1740"/>
      <c r="SCA112" s="1740"/>
      <c r="SCB112" s="1740"/>
      <c r="SCC112" s="1740"/>
      <c r="SCD112" s="1740"/>
      <c r="SCE112" s="1740"/>
      <c r="SCF112" s="1740"/>
      <c r="SCG112" s="1740"/>
      <c r="SCH112" s="1740"/>
      <c r="SCI112" s="1740"/>
      <c r="SCJ112" s="1740"/>
      <c r="SCK112" s="1740"/>
      <c r="SCL112" s="1740"/>
      <c r="SCM112" s="1740"/>
      <c r="SCN112" s="1740"/>
      <c r="SCO112" s="1740"/>
      <c r="SCP112" s="1740"/>
      <c r="SCQ112" s="1740"/>
      <c r="SCR112" s="1740"/>
      <c r="SCS112" s="1740"/>
      <c r="SCT112" s="1740"/>
      <c r="SCU112" s="1740"/>
      <c r="SCV112" s="1740"/>
      <c r="SCW112" s="1740"/>
      <c r="SCX112" s="1740"/>
      <c r="SCY112" s="1740"/>
      <c r="SCZ112" s="1740"/>
      <c r="SDA112" s="1740"/>
      <c r="SDB112" s="1740"/>
      <c r="SDC112" s="1740"/>
      <c r="SDD112" s="1740"/>
      <c r="SDE112" s="1740"/>
      <c r="SDF112" s="1740"/>
      <c r="SDG112" s="1740"/>
      <c r="SDH112" s="1740"/>
      <c r="SDI112" s="1740"/>
      <c r="SDJ112" s="1740"/>
      <c r="SDK112" s="1740"/>
      <c r="SDL112" s="1740"/>
      <c r="SDM112" s="1740"/>
      <c r="SDN112" s="1740"/>
      <c r="SDO112" s="1740"/>
      <c r="SDP112" s="1740"/>
      <c r="SDQ112" s="1740"/>
      <c r="SDR112" s="1740"/>
      <c r="SDS112" s="1740"/>
      <c r="SDT112" s="1740"/>
      <c r="SDU112" s="1740"/>
      <c r="SDV112" s="1740"/>
      <c r="SDW112" s="1740"/>
      <c r="SDX112" s="1740"/>
      <c r="SDY112" s="1740"/>
      <c r="SDZ112" s="1740"/>
      <c r="SEA112" s="1740"/>
      <c r="SEB112" s="1740"/>
      <c r="SEC112" s="1740"/>
      <c r="SED112" s="1740"/>
      <c r="SEE112" s="1740"/>
      <c r="SEF112" s="1740"/>
      <c r="SEG112" s="1740"/>
      <c r="SEH112" s="1740"/>
      <c r="SEI112" s="1740"/>
      <c r="SEJ112" s="1740"/>
      <c r="SEK112" s="1740"/>
      <c r="SEL112" s="1740"/>
      <c r="SEM112" s="1740"/>
      <c r="SEN112" s="1740"/>
      <c r="SEO112" s="1740"/>
      <c r="SEP112" s="1740"/>
      <c r="SEQ112" s="1740"/>
      <c r="SER112" s="1740"/>
      <c r="SES112" s="1740"/>
      <c r="SET112" s="1740"/>
      <c r="SEU112" s="1740"/>
      <c r="SEV112" s="1740"/>
      <c r="SEW112" s="1740"/>
      <c r="SEX112" s="1740"/>
      <c r="SEY112" s="1740"/>
      <c r="SEZ112" s="1740"/>
      <c r="SFA112" s="1740"/>
      <c r="SFB112" s="1740"/>
      <c r="SFC112" s="1740"/>
      <c r="SFD112" s="1740"/>
      <c r="SFE112" s="1740"/>
      <c r="SFF112" s="1740"/>
      <c r="SFG112" s="1740"/>
      <c r="SFH112" s="1740"/>
      <c r="SFI112" s="1740"/>
      <c r="SFJ112" s="1740"/>
      <c r="SFK112" s="1740"/>
      <c r="SFL112" s="1740"/>
      <c r="SFM112" s="1740"/>
      <c r="SFN112" s="1740"/>
      <c r="SFO112" s="1740"/>
      <c r="SFP112" s="1740"/>
      <c r="SFQ112" s="1740"/>
      <c r="SFR112" s="1740"/>
      <c r="SFS112" s="1740"/>
      <c r="SFT112" s="1740"/>
      <c r="SFU112" s="1740"/>
      <c r="SFV112" s="1740"/>
      <c r="SFW112" s="1740"/>
      <c r="SFX112" s="1740"/>
      <c r="SFY112" s="1740"/>
      <c r="SFZ112" s="1740"/>
      <c r="SGA112" s="1740"/>
      <c r="SGB112" s="1740"/>
      <c r="SGC112" s="1740"/>
      <c r="SGD112" s="1740"/>
      <c r="SGE112" s="1740"/>
      <c r="SGF112" s="1740"/>
      <c r="SGG112" s="1740"/>
      <c r="SGH112" s="1740"/>
      <c r="SGI112" s="1740"/>
      <c r="SGJ112" s="1740"/>
      <c r="SGK112" s="1740"/>
      <c r="SGL112" s="1740"/>
      <c r="SGM112" s="1740"/>
      <c r="SGN112" s="1740"/>
      <c r="SGO112" s="1740"/>
      <c r="SGP112" s="1740"/>
      <c r="SGQ112" s="1740"/>
      <c r="SGR112" s="1740"/>
      <c r="SGS112" s="1740"/>
      <c r="SGT112" s="1740"/>
      <c r="SGU112" s="1740"/>
      <c r="SGV112" s="1740"/>
      <c r="SGW112" s="1740"/>
      <c r="SGX112" s="1740"/>
      <c r="SGY112" s="1740"/>
      <c r="SGZ112" s="1740"/>
      <c r="SHA112" s="1740"/>
      <c r="SHB112" s="1740"/>
      <c r="SHC112" s="1740"/>
      <c r="SHD112" s="1740"/>
      <c r="SHE112" s="1740"/>
      <c r="SHF112" s="1740"/>
      <c r="SHG112" s="1740"/>
      <c r="SHH112" s="1740"/>
      <c r="SHI112" s="1740"/>
      <c r="SHJ112" s="1740"/>
      <c r="SHK112" s="1740"/>
      <c r="SHL112" s="1740"/>
      <c r="SHM112" s="1740"/>
      <c r="SHN112" s="1740"/>
      <c r="SHO112" s="1740"/>
      <c r="SHP112" s="1740"/>
      <c r="SHQ112" s="1740"/>
      <c r="SHR112" s="1740"/>
      <c r="SHS112" s="1740"/>
      <c r="SHT112" s="1740"/>
      <c r="SHU112" s="1740"/>
      <c r="SHV112" s="1740"/>
      <c r="SHW112" s="1740"/>
      <c r="SHX112" s="1740"/>
      <c r="SHY112" s="1740"/>
      <c r="SHZ112" s="1740"/>
      <c r="SIA112" s="1740"/>
      <c r="SIB112" s="1740"/>
      <c r="SIC112" s="1740"/>
      <c r="SID112" s="1740"/>
      <c r="SIE112" s="1740"/>
      <c r="SIF112" s="1740"/>
      <c r="SIG112" s="1740"/>
      <c r="SIH112" s="1740"/>
      <c r="SII112" s="1740"/>
      <c r="SIJ112" s="1740"/>
      <c r="SIK112" s="1740"/>
      <c r="SIL112" s="1740"/>
      <c r="SIM112" s="1740"/>
      <c r="SIN112" s="1740"/>
      <c r="SIO112" s="1740"/>
      <c r="SIP112" s="1740"/>
      <c r="SIQ112" s="1740"/>
      <c r="SIR112" s="1740"/>
      <c r="SIS112" s="1740"/>
      <c r="SIT112" s="1740"/>
      <c r="SIU112" s="1740"/>
      <c r="SIV112" s="1740"/>
      <c r="SIW112" s="1740"/>
      <c r="SIX112" s="1740"/>
      <c r="SIY112" s="1740"/>
      <c r="SIZ112" s="1740"/>
      <c r="SJA112" s="1740"/>
      <c r="SJB112" s="1740"/>
      <c r="SJC112" s="1740"/>
      <c r="SJD112" s="1740"/>
      <c r="SJE112" s="1740"/>
      <c r="SJF112" s="1740"/>
      <c r="SJG112" s="1740"/>
      <c r="SJH112" s="1740"/>
      <c r="SJI112" s="1740"/>
      <c r="SJJ112" s="1740"/>
      <c r="SJK112" s="1740"/>
      <c r="SJL112" s="1740"/>
      <c r="SJM112" s="1740"/>
      <c r="SJN112" s="1740"/>
      <c r="SJO112" s="1740"/>
      <c r="SJP112" s="1740"/>
      <c r="SJQ112" s="1740"/>
      <c r="SJR112" s="1740"/>
      <c r="SJS112" s="1740"/>
      <c r="SJT112" s="1740"/>
      <c r="SJU112" s="1740"/>
      <c r="SJV112" s="1740"/>
      <c r="SJW112" s="1740"/>
      <c r="SJX112" s="1740"/>
      <c r="SJY112" s="1740"/>
      <c r="SJZ112" s="1740"/>
      <c r="SKA112" s="1740"/>
      <c r="SKB112" s="1740"/>
      <c r="SKC112" s="1740"/>
      <c r="SKD112" s="1740"/>
      <c r="SKE112" s="1740"/>
      <c r="SKF112" s="1740"/>
      <c r="SKG112" s="1740"/>
      <c r="SKH112" s="1740"/>
      <c r="SKI112" s="1740"/>
      <c r="SKJ112" s="1740"/>
      <c r="SKK112" s="1740"/>
      <c r="SKL112" s="1740"/>
      <c r="SKM112" s="1740"/>
      <c r="SKN112" s="1740"/>
      <c r="SKO112" s="1740"/>
      <c r="SKP112" s="1740"/>
      <c r="SKQ112" s="1740"/>
      <c r="SKR112" s="1740"/>
      <c r="SKS112" s="1740"/>
      <c r="SKT112" s="1740"/>
      <c r="SKU112" s="1740"/>
      <c r="SKV112" s="1740"/>
      <c r="SKW112" s="1740"/>
      <c r="SKX112" s="1740"/>
      <c r="SKY112" s="1740"/>
      <c r="SKZ112" s="1740"/>
      <c r="SLA112" s="1740"/>
      <c r="SLB112" s="1740"/>
      <c r="SLC112" s="1740"/>
      <c r="SLD112" s="1740"/>
      <c r="SLE112" s="1740"/>
      <c r="SLF112" s="1740"/>
      <c r="SLG112" s="1740"/>
      <c r="SLH112" s="1740"/>
      <c r="SLI112" s="1740"/>
      <c r="SLJ112" s="1740"/>
      <c r="SLK112" s="1740"/>
      <c r="SLL112" s="1740"/>
      <c r="SLM112" s="1740"/>
      <c r="SLN112" s="1740"/>
      <c r="SLO112" s="1740"/>
      <c r="SLP112" s="1740"/>
      <c r="SLQ112" s="1740"/>
      <c r="SLR112" s="1740"/>
      <c r="SLS112" s="1740"/>
      <c r="SLT112" s="1740"/>
      <c r="SLU112" s="1740"/>
      <c r="SLV112" s="1740"/>
      <c r="SLW112" s="1740"/>
      <c r="SLX112" s="1740"/>
      <c r="SLY112" s="1740"/>
      <c r="SLZ112" s="1740"/>
      <c r="SMA112" s="1740"/>
      <c r="SMB112" s="1740"/>
      <c r="SMC112" s="1740"/>
      <c r="SMD112" s="1740"/>
      <c r="SME112" s="1740"/>
      <c r="SMF112" s="1740"/>
      <c r="SMG112" s="1740"/>
      <c r="SMH112" s="1740"/>
      <c r="SMI112" s="1740"/>
      <c r="SMJ112" s="1740"/>
      <c r="SMK112" s="1740"/>
      <c r="SML112" s="1740"/>
      <c r="SMM112" s="1740"/>
      <c r="SMN112" s="1740"/>
      <c r="SMO112" s="1740"/>
      <c r="SMP112" s="1740"/>
      <c r="SMQ112" s="1740"/>
      <c r="SMR112" s="1740"/>
      <c r="SMS112" s="1740"/>
      <c r="SMT112" s="1740"/>
      <c r="SMU112" s="1740"/>
      <c r="SMV112" s="1740"/>
      <c r="SMW112" s="1740"/>
      <c r="SMX112" s="1740"/>
      <c r="SMY112" s="1740"/>
      <c r="SMZ112" s="1740"/>
      <c r="SNA112" s="1740"/>
      <c r="SNB112" s="1740"/>
      <c r="SNC112" s="1740"/>
      <c r="SND112" s="1740"/>
      <c r="SNE112" s="1740"/>
      <c r="SNF112" s="1740"/>
      <c r="SNG112" s="1740"/>
      <c r="SNH112" s="1740"/>
      <c r="SNI112" s="1740"/>
      <c r="SNJ112" s="1740"/>
      <c r="SNK112" s="1740"/>
      <c r="SNL112" s="1740"/>
      <c r="SNM112" s="1740"/>
      <c r="SNN112" s="1740"/>
      <c r="SNO112" s="1740"/>
      <c r="SNP112" s="1740"/>
      <c r="SNQ112" s="1740"/>
      <c r="SNR112" s="1740"/>
      <c r="SNS112" s="1740"/>
      <c r="SNT112" s="1740"/>
      <c r="SNU112" s="1740"/>
      <c r="SNV112" s="1740"/>
      <c r="SNW112" s="1740"/>
      <c r="SNX112" s="1740"/>
      <c r="SNY112" s="1740"/>
      <c r="SNZ112" s="1740"/>
      <c r="SOA112" s="1740"/>
      <c r="SOB112" s="1740"/>
      <c r="SOC112" s="1740"/>
      <c r="SOD112" s="1740"/>
      <c r="SOE112" s="1740"/>
      <c r="SOF112" s="1740"/>
      <c r="SOG112" s="1740"/>
      <c r="SOH112" s="1740"/>
      <c r="SOI112" s="1740"/>
      <c r="SOJ112" s="1740"/>
      <c r="SOK112" s="1740"/>
      <c r="SOL112" s="1740"/>
      <c r="SOM112" s="1740"/>
      <c r="SON112" s="1740"/>
      <c r="SOO112" s="1740"/>
      <c r="SOP112" s="1740"/>
      <c r="SOQ112" s="1740"/>
      <c r="SOR112" s="1740"/>
      <c r="SOS112" s="1740"/>
      <c r="SOT112" s="1740"/>
      <c r="SOU112" s="1740"/>
      <c r="SOV112" s="1740"/>
      <c r="SOW112" s="1740"/>
      <c r="SOX112" s="1740"/>
      <c r="SOY112" s="1740"/>
      <c r="SOZ112" s="1740"/>
      <c r="SPA112" s="1740"/>
      <c r="SPB112" s="1740"/>
      <c r="SPC112" s="1740"/>
      <c r="SPD112" s="1740"/>
      <c r="SPE112" s="1740"/>
      <c r="SPF112" s="1740"/>
      <c r="SPG112" s="1740"/>
      <c r="SPH112" s="1740"/>
      <c r="SPI112" s="1740"/>
      <c r="SPJ112" s="1740"/>
      <c r="SPK112" s="1740"/>
      <c r="SPL112" s="1740"/>
      <c r="SPM112" s="1740"/>
      <c r="SPN112" s="1740"/>
      <c r="SPO112" s="1740"/>
      <c r="SPP112" s="1740"/>
      <c r="SPQ112" s="1740"/>
      <c r="SPR112" s="1740"/>
      <c r="SPS112" s="1740"/>
      <c r="SPT112" s="1740"/>
      <c r="SPU112" s="1740"/>
      <c r="SPV112" s="1740"/>
      <c r="SPW112" s="1740"/>
      <c r="SPX112" s="1740"/>
      <c r="SPY112" s="1740"/>
      <c r="SPZ112" s="1740"/>
      <c r="SQA112" s="1740"/>
      <c r="SQB112" s="1740"/>
      <c r="SQC112" s="1740"/>
      <c r="SQD112" s="1740"/>
      <c r="SQE112" s="1740"/>
      <c r="SQF112" s="1740"/>
      <c r="SQG112" s="1740"/>
      <c r="SQH112" s="1740"/>
      <c r="SQI112" s="1740"/>
      <c r="SQJ112" s="1740"/>
      <c r="SQK112" s="1740"/>
      <c r="SQL112" s="1740"/>
      <c r="SQM112" s="1740"/>
      <c r="SQN112" s="1740"/>
      <c r="SQO112" s="1740"/>
      <c r="SQP112" s="1740"/>
      <c r="SQQ112" s="1740"/>
      <c r="SQR112" s="1740"/>
      <c r="SQS112" s="1740"/>
      <c r="SQT112" s="1740"/>
      <c r="SQU112" s="1740"/>
      <c r="SQV112" s="1740"/>
      <c r="SQW112" s="1740"/>
      <c r="SQX112" s="1740"/>
      <c r="SQY112" s="1740"/>
      <c r="SQZ112" s="1740"/>
      <c r="SRA112" s="1740"/>
      <c r="SRB112" s="1740"/>
      <c r="SRC112" s="1740"/>
      <c r="SRD112" s="1740"/>
      <c r="SRE112" s="1740"/>
      <c r="SRF112" s="1740"/>
      <c r="SRG112" s="1740"/>
      <c r="SRH112" s="1740"/>
      <c r="SRI112" s="1740"/>
      <c r="SRJ112" s="1740"/>
      <c r="SRK112" s="1740"/>
      <c r="SRL112" s="1740"/>
      <c r="SRM112" s="1740"/>
      <c r="SRN112" s="1740"/>
      <c r="SRO112" s="1740"/>
      <c r="SRP112" s="1740"/>
      <c r="SRQ112" s="1740"/>
      <c r="SRR112" s="1740"/>
      <c r="SRS112" s="1740"/>
      <c r="SRT112" s="1740"/>
      <c r="SRU112" s="1740"/>
      <c r="SRV112" s="1740"/>
      <c r="SRW112" s="1740"/>
      <c r="SRX112" s="1740"/>
      <c r="SRY112" s="1740"/>
      <c r="SRZ112" s="1740"/>
      <c r="SSA112" s="1740"/>
      <c r="SSB112" s="1740"/>
      <c r="SSC112" s="1740"/>
      <c r="SSD112" s="1740"/>
      <c r="SSE112" s="1740"/>
      <c r="SSF112" s="1740"/>
      <c r="SSG112" s="1740"/>
      <c r="SSH112" s="1740"/>
      <c r="SSI112" s="1740"/>
      <c r="SSJ112" s="1740"/>
      <c r="SSK112" s="1740"/>
      <c r="SSL112" s="1740"/>
      <c r="SSM112" s="1740"/>
      <c r="SSN112" s="1740"/>
      <c r="SSO112" s="1740"/>
      <c r="SSP112" s="1740"/>
      <c r="SSQ112" s="1740"/>
      <c r="SSR112" s="1740"/>
      <c r="SSS112" s="1740"/>
      <c r="SST112" s="1740"/>
      <c r="SSU112" s="1740"/>
      <c r="SSV112" s="1740"/>
      <c r="SSW112" s="1740"/>
      <c r="SSX112" s="1740"/>
      <c r="SSY112" s="1740"/>
      <c r="SSZ112" s="1740"/>
      <c r="STA112" s="1740"/>
      <c r="STB112" s="1740"/>
      <c r="STC112" s="1740"/>
      <c r="STD112" s="1740"/>
      <c r="STE112" s="1740"/>
      <c r="STF112" s="1740"/>
      <c r="STG112" s="1740"/>
      <c r="STH112" s="1740"/>
      <c r="STI112" s="1740"/>
      <c r="STJ112" s="1740"/>
      <c r="STK112" s="1740"/>
      <c r="STL112" s="1740"/>
      <c r="STM112" s="1740"/>
      <c r="STN112" s="1740"/>
      <c r="STO112" s="1740"/>
      <c r="STP112" s="1740"/>
      <c r="STQ112" s="1740"/>
      <c r="STR112" s="1740"/>
      <c r="STS112" s="1740"/>
      <c r="STT112" s="1740"/>
      <c r="STU112" s="1740"/>
      <c r="STV112" s="1740"/>
      <c r="STW112" s="1740"/>
      <c r="STX112" s="1740"/>
      <c r="STY112" s="1740"/>
      <c r="STZ112" s="1740"/>
      <c r="SUA112" s="1740"/>
      <c r="SUB112" s="1740"/>
      <c r="SUC112" s="1740"/>
      <c r="SUD112" s="1740"/>
      <c r="SUE112" s="1740"/>
      <c r="SUF112" s="1740"/>
      <c r="SUG112" s="1740"/>
      <c r="SUH112" s="1740"/>
      <c r="SUI112" s="1740"/>
      <c r="SUJ112" s="1740"/>
      <c r="SUK112" s="1740"/>
      <c r="SUL112" s="1740"/>
      <c r="SUM112" s="1740"/>
      <c r="SUN112" s="1740"/>
      <c r="SUO112" s="1740"/>
      <c r="SUP112" s="1740"/>
      <c r="SUQ112" s="1740"/>
      <c r="SUR112" s="1740"/>
      <c r="SUS112" s="1740"/>
      <c r="SUT112" s="1740"/>
      <c r="SUU112" s="1740"/>
      <c r="SUV112" s="1740"/>
      <c r="SUW112" s="1740"/>
      <c r="SUX112" s="1740"/>
      <c r="SUY112" s="1740"/>
      <c r="SUZ112" s="1740"/>
      <c r="SVA112" s="1740"/>
      <c r="SVB112" s="1740"/>
      <c r="SVC112" s="1740"/>
      <c r="SVD112" s="1740"/>
      <c r="SVE112" s="1740"/>
      <c r="SVF112" s="1740"/>
      <c r="SVG112" s="1740"/>
      <c r="SVH112" s="1740"/>
      <c r="SVI112" s="1740"/>
      <c r="SVJ112" s="1740"/>
      <c r="SVK112" s="1740"/>
      <c r="SVL112" s="1740"/>
      <c r="SVM112" s="1740"/>
      <c r="SVN112" s="1740"/>
      <c r="SVO112" s="1740"/>
      <c r="SVP112" s="1740"/>
      <c r="SVQ112" s="1740"/>
      <c r="SVR112" s="1740"/>
      <c r="SVS112" s="1740"/>
      <c r="SVT112" s="1740"/>
      <c r="SVU112" s="1740"/>
      <c r="SVV112" s="1740"/>
      <c r="SVW112" s="1740"/>
      <c r="SVX112" s="1740"/>
      <c r="SVY112" s="1740"/>
      <c r="SVZ112" s="1740"/>
      <c r="SWA112" s="1740"/>
      <c r="SWB112" s="1740"/>
      <c r="SWC112" s="1740"/>
      <c r="SWD112" s="1740"/>
      <c r="SWE112" s="1740"/>
      <c r="SWF112" s="1740"/>
      <c r="SWG112" s="1740"/>
      <c r="SWH112" s="1740"/>
      <c r="SWI112" s="1740"/>
      <c r="SWJ112" s="1740"/>
      <c r="SWK112" s="1740"/>
      <c r="SWL112" s="1740"/>
      <c r="SWM112" s="1740"/>
      <c r="SWN112" s="1740"/>
      <c r="SWO112" s="1740"/>
      <c r="SWP112" s="1740"/>
      <c r="SWQ112" s="1740"/>
      <c r="SWR112" s="1740"/>
      <c r="SWS112" s="1740"/>
      <c r="SWT112" s="1740"/>
      <c r="SWU112" s="1740"/>
      <c r="SWV112" s="1740"/>
      <c r="SWW112" s="1740"/>
      <c r="SWX112" s="1740"/>
      <c r="SWY112" s="1740"/>
      <c r="SWZ112" s="1740"/>
      <c r="SXA112" s="1740"/>
      <c r="SXB112" s="1740"/>
      <c r="SXC112" s="1740"/>
      <c r="SXD112" s="1740"/>
      <c r="SXE112" s="1740"/>
      <c r="SXF112" s="1740"/>
      <c r="SXG112" s="1740"/>
      <c r="SXH112" s="1740"/>
      <c r="SXI112" s="1740"/>
      <c r="SXJ112" s="1740"/>
      <c r="SXK112" s="1740"/>
      <c r="SXL112" s="1740"/>
      <c r="SXM112" s="1740"/>
      <c r="SXN112" s="1740"/>
      <c r="SXO112" s="1740"/>
      <c r="SXP112" s="1740"/>
      <c r="SXQ112" s="1740"/>
      <c r="SXR112" s="1740"/>
      <c r="SXS112" s="1740"/>
      <c r="SXT112" s="1740"/>
      <c r="SXU112" s="1740"/>
      <c r="SXV112" s="1740"/>
      <c r="SXW112" s="1740"/>
      <c r="SXX112" s="1740"/>
      <c r="SXY112" s="1740"/>
      <c r="SXZ112" s="1740"/>
      <c r="SYA112" s="1740"/>
      <c r="SYB112" s="1740"/>
      <c r="SYC112" s="1740"/>
      <c r="SYD112" s="1740"/>
      <c r="SYE112" s="1740"/>
      <c r="SYF112" s="1740"/>
      <c r="SYG112" s="1740"/>
      <c r="SYH112" s="1740"/>
      <c r="SYI112" s="1740"/>
      <c r="SYJ112" s="1740"/>
      <c r="SYK112" s="1740"/>
      <c r="SYL112" s="1740"/>
      <c r="SYM112" s="1740"/>
      <c r="SYN112" s="1740"/>
      <c r="SYO112" s="1740"/>
      <c r="SYP112" s="1740"/>
      <c r="SYQ112" s="1740"/>
      <c r="SYR112" s="1740"/>
      <c r="SYS112" s="1740"/>
      <c r="SYT112" s="1740"/>
      <c r="SYU112" s="1740"/>
      <c r="SYV112" s="1740"/>
      <c r="SYW112" s="1740"/>
      <c r="SYX112" s="1740"/>
      <c r="SYY112" s="1740"/>
      <c r="SYZ112" s="1740"/>
      <c r="SZA112" s="1740"/>
      <c r="SZB112" s="1740"/>
      <c r="SZC112" s="1740"/>
      <c r="SZD112" s="1740"/>
      <c r="SZE112" s="1740"/>
      <c r="SZF112" s="1740"/>
      <c r="SZG112" s="1740"/>
      <c r="SZH112" s="1740"/>
      <c r="SZI112" s="1740"/>
      <c r="SZJ112" s="1740"/>
      <c r="SZK112" s="1740"/>
      <c r="SZL112" s="1740"/>
      <c r="SZM112" s="1740"/>
      <c r="SZN112" s="1740"/>
      <c r="SZO112" s="1740"/>
      <c r="SZP112" s="1740"/>
      <c r="SZQ112" s="1740"/>
      <c r="SZR112" s="1740"/>
      <c r="SZS112" s="1740"/>
      <c r="SZT112" s="1740"/>
      <c r="SZU112" s="1740"/>
      <c r="SZV112" s="1740"/>
      <c r="SZW112" s="1740"/>
      <c r="SZX112" s="1740"/>
      <c r="SZY112" s="1740"/>
      <c r="SZZ112" s="1740"/>
      <c r="TAA112" s="1740"/>
      <c r="TAB112" s="1740"/>
      <c r="TAC112" s="1740"/>
      <c r="TAD112" s="1740"/>
      <c r="TAE112" s="1740"/>
      <c r="TAF112" s="1740"/>
      <c r="TAG112" s="1740"/>
      <c r="TAH112" s="1740"/>
      <c r="TAI112" s="1740"/>
      <c r="TAJ112" s="1740"/>
      <c r="TAK112" s="1740"/>
      <c r="TAL112" s="1740"/>
      <c r="TAM112" s="1740"/>
      <c r="TAN112" s="1740"/>
      <c r="TAO112" s="1740"/>
      <c r="TAP112" s="1740"/>
      <c r="TAQ112" s="1740"/>
      <c r="TAR112" s="1740"/>
      <c r="TAS112" s="1740"/>
      <c r="TAT112" s="1740"/>
      <c r="TAU112" s="1740"/>
      <c r="TAV112" s="1740"/>
      <c r="TAW112" s="1740"/>
      <c r="TAX112" s="1740"/>
      <c r="TAY112" s="1740"/>
      <c r="TAZ112" s="1740"/>
      <c r="TBA112" s="1740"/>
      <c r="TBB112" s="1740"/>
      <c r="TBC112" s="1740"/>
      <c r="TBD112" s="1740"/>
      <c r="TBE112" s="1740"/>
      <c r="TBF112" s="1740"/>
      <c r="TBG112" s="1740"/>
      <c r="TBH112" s="1740"/>
      <c r="TBI112" s="1740"/>
      <c r="TBJ112" s="1740"/>
      <c r="TBK112" s="1740"/>
      <c r="TBL112" s="1740"/>
      <c r="TBM112" s="1740"/>
      <c r="TBN112" s="1740"/>
      <c r="TBO112" s="1740"/>
      <c r="TBP112" s="1740"/>
      <c r="TBQ112" s="1740"/>
      <c r="TBR112" s="1740"/>
      <c r="TBS112" s="1740"/>
      <c r="TBT112" s="1740"/>
      <c r="TBU112" s="1740"/>
      <c r="TBV112" s="1740"/>
      <c r="TBW112" s="1740"/>
      <c r="TBX112" s="1740"/>
      <c r="TBY112" s="1740"/>
      <c r="TBZ112" s="1740"/>
      <c r="TCA112" s="1740"/>
      <c r="TCB112" s="1740"/>
      <c r="TCC112" s="1740"/>
      <c r="TCD112" s="1740"/>
      <c r="TCE112" s="1740"/>
      <c r="TCF112" s="1740"/>
      <c r="TCG112" s="1740"/>
      <c r="TCH112" s="1740"/>
      <c r="TCI112" s="1740"/>
      <c r="TCJ112" s="1740"/>
      <c r="TCK112" s="1740"/>
      <c r="TCL112" s="1740"/>
      <c r="TCM112" s="1740"/>
      <c r="TCN112" s="1740"/>
      <c r="TCO112" s="1740"/>
      <c r="TCP112" s="1740"/>
      <c r="TCQ112" s="1740"/>
      <c r="TCR112" s="1740"/>
      <c r="TCS112" s="1740"/>
      <c r="TCT112" s="1740"/>
      <c r="TCU112" s="1740"/>
      <c r="TCV112" s="1740"/>
      <c r="TCW112" s="1740"/>
      <c r="TCX112" s="1740"/>
      <c r="TCY112" s="1740"/>
      <c r="TCZ112" s="1740"/>
      <c r="TDA112" s="1740"/>
      <c r="TDB112" s="1740"/>
      <c r="TDC112" s="1740"/>
      <c r="TDD112" s="1740"/>
      <c r="TDE112" s="1740"/>
      <c r="TDF112" s="1740"/>
      <c r="TDG112" s="1740"/>
      <c r="TDH112" s="1740"/>
      <c r="TDI112" s="1740"/>
      <c r="TDJ112" s="1740"/>
      <c r="TDK112" s="1740"/>
      <c r="TDL112" s="1740"/>
      <c r="TDM112" s="1740"/>
      <c r="TDN112" s="1740"/>
      <c r="TDO112" s="1740"/>
      <c r="TDP112" s="1740"/>
      <c r="TDQ112" s="1740"/>
      <c r="TDR112" s="1740"/>
      <c r="TDS112" s="1740"/>
      <c r="TDT112" s="1740"/>
      <c r="TDU112" s="1740"/>
      <c r="TDV112" s="1740"/>
      <c r="TDW112" s="1740"/>
      <c r="TDX112" s="1740"/>
      <c r="TDY112" s="1740"/>
      <c r="TDZ112" s="1740"/>
      <c r="TEA112" s="1740"/>
      <c r="TEB112" s="1740"/>
      <c r="TEC112" s="1740"/>
      <c r="TED112" s="1740"/>
      <c r="TEE112" s="1740"/>
      <c r="TEF112" s="1740"/>
      <c r="TEG112" s="1740"/>
      <c r="TEH112" s="1740"/>
      <c r="TEI112" s="1740"/>
      <c r="TEJ112" s="1740"/>
      <c r="TEK112" s="1740"/>
      <c r="TEL112" s="1740"/>
      <c r="TEM112" s="1740"/>
      <c r="TEN112" s="1740"/>
      <c r="TEO112" s="1740"/>
      <c r="TEP112" s="1740"/>
      <c r="TEQ112" s="1740"/>
      <c r="TER112" s="1740"/>
      <c r="TES112" s="1740"/>
      <c r="TET112" s="1740"/>
      <c r="TEU112" s="1740"/>
      <c r="TEV112" s="1740"/>
      <c r="TEW112" s="1740"/>
      <c r="TEX112" s="1740"/>
      <c r="TEY112" s="1740"/>
      <c r="TEZ112" s="1740"/>
      <c r="TFA112" s="1740"/>
      <c r="TFB112" s="1740"/>
      <c r="TFC112" s="1740"/>
      <c r="TFD112" s="1740"/>
      <c r="TFE112" s="1740"/>
      <c r="TFF112" s="1740"/>
      <c r="TFG112" s="1740"/>
      <c r="TFH112" s="1740"/>
      <c r="TFI112" s="1740"/>
      <c r="TFJ112" s="1740"/>
      <c r="TFK112" s="1740"/>
      <c r="TFL112" s="1740"/>
      <c r="TFM112" s="1740"/>
      <c r="TFN112" s="1740"/>
      <c r="TFO112" s="1740"/>
      <c r="TFP112" s="1740"/>
      <c r="TFQ112" s="1740"/>
      <c r="TFR112" s="1740"/>
      <c r="TFS112" s="1740"/>
      <c r="TFT112" s="1740"/>
      <c r="TFU112" s="1740"/>
      <c r="TFV112" s="1740"/>
      <c r="TFW112" s="1740"/>
      <c r="TFX112" s="1740"/>
      <c r="TFY112" s="1740"/>
      <c r="TFZ112" s="1740"/>
      <c r="TGA112" s="1740"/>
      <c r="TGB112" s="1740"/>
      <c r="TGC112" s="1740"/>
      <c r="TGD112" s="1740"/>
      <c r="TGE112" s="1740"/>
      <c r="TGF112" s="1740"/>
      <c r="TGG112" s="1740"/>
      <c r="TGH112" s="1740"/>
      <c r="TGI112" s="1740"/>
      <c r="TGJ112" s="1740"/>
      <c r="TGK112" s="1740"/>
      <c r="TGL112" s="1740"/>
      <c r="TGM112" s="1740"/>
      <c r="TGN112" s="1740"/>
      <c r="TGO112" s="1740"/>
      <c r="TGP112" s="1740"/>
      <c r="TGQ112" s="1740"/>
      <c r="TGR112" s="1740"/>
      <c r="TGS112" s="1740"/>
      <c r="TGT112" s="1740"/>
      <c r="TGU112" s="1740"/>
      <c r="TGV112" s="1740"/>
      <c r="TGW112" s="1740"/>
      <c r="TGX112" s="1740"/>
      <c r="TGY112" s="1740"/>
      <c r="TGZ112" s="1740"/>
      <c r="THA112" s="1740"/>
      <c r="THB112" s="1740"/>
      <c r="THC112" s="1740"/>
      <c r="THD112" s="1740"/>
      <c r="THE112" s="1740"/>
      <c r="THF112" s="1740"/>
      <c r="THG112" s="1740"/>
      <c r="THH112" s="1740"/>
      <c r="THI112" s="1740"/>
      <c r="THJ112" s="1740"/>
      <c r="THK112" s="1740"/>
      <c r="THL112" s="1740"/>
      <c r="THM112" s="1740"/>
      <c r="THN112" s="1740"/>
      <c r="THO112" s="1740"/>
      <c r="THP112" s="1740"/>
      <c r="THQ112" s="1740"/>
      <c r="THR112" s="1740"/>
      <c r="THS112" s="1740"/>
      <c r="THT112" s="1740"/>
      <c r="THU112" s="1740"/>
      <c r="THV112" s="1740"/>
      <c r="THW112" s="1740"/>
      <c r="THX112" s="1740"/>
      <c r="THY112" s="1740"/>
      <c r="THZ112" s="1740"/>
      <c r="TIA112" s="1740"/>
      <c r="TIB112" s="1740"/>
      <c r="TIC112" s="1740"/>
      <c r="TID112" s="1740"/>
      <c r="TIE112" s="1740"/>
      <c r="TIF112" s="1740"/>
      <c r="TIG112" s="1740"/>
      <c r="TIH112" s="1740"/>
      <c r="TII112" s="1740"/>
      <c r="TIJ112" s="1740"/>
      <c r="TIK112" s="1740"/>
      <c r="TIL112" s="1740"/>
      <c r="TIM112" s="1740"/>
      <c r="TIN112" s="1740"/>
      <c r="TIO112" s="1740"/>
      <c r="TIP112" s="1740"/>
      <c r="TIQ112" s="1740"/>
      <c r="TIR112" s="1740"/>
      <c r="TIS112" s="1740"/>
      <c r="TIT112" s="1740"/>
      <c r="TIU112" s="1740"/>
      <c r="TIV112" s="1740"/>
      <c r="TIW112" s="1740"/>
      <c r="TIX112" s="1740"/>
      <c r="TIY112" s="1740"/>
      <c r="TIZ112" s="1740"/>
      <c r="TJA112" s="1740"/>
      <c r="TJB112" s="1740"/>
      <c r="TJC112" s="1740"/>
      <c r="TJD112" s="1740"/>
      <c r="TJE112" s="1740"/>
      <c r="TJF112" s="1740"/>
      <c r="TJG112" s="1740"/>
      <c r="TJH112" s="1740"/>
      <c r="TJI112" s="1740"/>
      <c r="TJJ112" s="1740"/>
      <c r="TJK112" s="1740"/>
      <c r="TJL112" s="1740"/>
      <c r="TJM112" s="1740"/>
      <c r="TJN112" s="1740"/>
      <c r="TJO112" s="1740"/>
      <c r="TJP112" s="1740"/>
      <c r="TJQ112" s="1740"/>
      <c r="TJR112" s="1740"/>
      <c r="TJS112" s="1740"/>
      <c r="TJT112" s="1740"/>
      <c r="TJU112" s="1740"/>
      <c r="TJV112" s="1740"/>
      <c r="TJW112" s="1740"/>
      <c r="TJX112" s="1740"/>
      <c r="TJY112" s="1740"/>
      <c r="TJZ112" s="1740"/>
      <c r="TKA112" s="1740"/>
      <c r="TKB112" s="1740"/>
      <c r="TKC112" s="1740"/>
      <c r="TKD112" s="1740"/>
      <c r="TKE112" s="1740"/>
      <c r="TKF112" s="1740"/>
      <c r="TKG112" s="1740"/>
      <c r="TKH112" s="1740"/>
      <c r="TKI112" s="1740"/>
      <c r="TKJ112" s="1740"/>
      <c r="TKK112" s="1740"/>
      <c r="TKL112" s="1740"/>
      <c r="TKM112" s="1740"/>
      <c r="TKN112" s="1740"/>
      <c r="TKO112" s="1740"/>
      <c r="TKP112" s="1740"/>
      <c r="TKQ112" s="1740"/>
      <c r="TKR112" s="1740"/>
      <c r="TKS112" s="1740"/>
      <c r="TKT112" s="1740"/>
      <c r="TKU112" s="1740"/>
      <c r="TKV112" s="1740"/>
      <c r="TKW112" s="1740"/>
      <c r="TKX112" s="1740"/>
      <c r="TKY112" s="1740"/>
      <c r="TKZ112" s="1740"/>
      <c r="TLA112" s="1740"/>
      <c r="TLB112" s="1740"/>
      <c r="TLC112" s="1740"/>
      <c r="TLD112" s="1740"/>
      <c r="TLE112" s="1740"/>
      <c r="TLF112" s="1740"/>
      <c r="TLG112" s="1740"/>
      <c r="TLH112" s="1740"/>
      <c r="TLI112" s="1740"/>
      <c r="TLJ112" s="1740"/>
      <c r="TLK112" s="1740"/>
      <c r="TLL112" s="1740"/>
      <c r="TLM112" s="1740"/>
      <c r="TLN112" s="1740"/>
      <c r="TLO112" s="1740"/>
      <c r="TLP112" s="1740"/>
      <c r="TLQ112" s="1740"/>
      <c r="TLR112" s="1740"/>
      <c r="TLS112" s="1740"/>
      <c r="TLT112" s="1740"/>
      <c r="TLU112" s="1740"/>
      <c r="TLV112" s="1740"/>
      <c r="TLW112" s="1740"/>
      <c r="TLX112" s="1740"/>
      <c r="TLY112" s="1740"/>
      <c r="TLZ112" s="1740"/>
      <c r="TMA112" s="1740"/>
      <c r="TMB112" s="1740"/>
      <c r="TMC112" s="1740"/>
      <c r="TMD112" s="1740"/>
      <c r="TME112" s="1740"/>
      <c r="TMF112" s="1740"/>
      <c r="TMG112" s="1740"/>
      <c r="TMH112" s="1740"/>
      <c r="TMI112" s="1740"/>
      <c r="TMJ112" s="1740"/>
      <c r="TMK112" s="1740"/>
      <c r="TML112" s="1740"/>
      <c r="TMM112" s="1740"/>
      <c r="TMN112" s="1740"/>
      <c r="TMO112" s="1740"/>
      <c r="TMP112" s="1740"/>
      <c r="TMQ112" s="1740"/>
      <c r="TMR112" s="1740"/>
      <c r="TMS112" s="1740"/>
      <c r="TMT112" s="1740"/>
      <c r="TMU112" s="1740"/>
      <c r="TMV112" s="1740"/>
      <c r="TMW112" s="1740"/>
      <c r="TMX112" s="1740"/>
      <c r="TMY112" s="1740"/>
      <c r="TMZ112" s="1740"/>
      <c r="TNA112" s="1740"/>
      <c r="TNB112" s="1740"/>
      <c r="TNC112" s="1740"/>
      <c r="TND112" s="1740"/>
      <c r="TNE112" s="1740"/>
      <c r="TNF112" s="1740"/>
      <c r="TNG112" s="1740"/>
      <c r="TNH112" s="1740"/>
      <c r="TNI112" s="1740"/>
      <c r="TNJ112" s="1740"/>
      <c r="TNK112" s="1740"/>
      <c r="TNL112" s="1740"/>
      <c r="TNM112" s="1740"/>
      <c r="TNN112" s="1740"/>
      <c r="TNO112" s="1740"/>
      <c r="TNP112" s="1740"/>
      <c r="TNQ112" s="1740"/>
      <c r="TNR112" s="1740"/>
      <c r="TNS112" s="1740"/>
      <c r="TNT112" s="1740"/>
      <c r="TNU112" s="1740"/>
      <c r="TNV112" s="1740"/>
      <c r="TNW112" s="1740"/>
      <c r="TNX112" s="1740"/>
      <c r="TNY112" s="1740"/>
      <c r="TNZ112" s="1740"/>
      <c r="TOA112" s="1740"/>
      <c r="TOB112" s="1740"/>
      <c r="TOC112" s="1740"/>
      <c r="TOD112" s="1740"/>
      <c r="TOE112" s="1740"/>
      <c r="TOF112" s="1740"/>
      <c r="TOG112" s="1740"/>
      <c r="TOH112" s="1740"/>
      <c r="TOI112" s="1740"/>
      <c r="TOJ112" s="1740"/>
      <c r="TOK112" s="1740"/>
      <c r="TOL112" s="1740"/>
      <c r="TOM112" s="1740"/>
      <c r="TON112" s="1740"/>
      <c r="TOO112" s="1740"/>
      <c r="TOP112" s="1740"/>
      <c r="TOQ112" s="1740"/>
      <c r="TOR112" s="1740"/>
      <c r="TOS112" s="1740"/>
      <c r="TOT112" s="1740"/>
      <c r="TOU112" s="1740"/>
      <c r="TOV112" s="1740"/>
      <c r="TOW112" s="1740"/>
      <c r="TOX112" s="1740"/>
      <c r="TOY112" s="1740"/>
      <c r="TOZ112" s="1740"/>
      <c r="TPA112" s="1740"/>
      <c r="TPB112" s="1740"/>
      <c r="TPC112" s="1740"/>
      <c r="TPD112" s="1740"/>
      <c r="TPE112" s="1740"/>
      <c r="TPF112" s="1740"/>
      <c r="TPG112" s="1740"/>
      <c r="TPH112" s="1740"/>
      <c r="TPI112" s="1740"/>
      <c r="TPJ112" s="1740"/>
      <c r="TPK112" s="1740"/>
      <c r="TPL112" s="1740"/>
      <c r="TPM112" s="1740"/>
      <c r="TPN112" s="1740"/>
      <c r="TPO112" s="1740"/>
      <c r="TPP112" s="1740"/>
      <c r="TPQ112" s="1740"/>
      <c r="TPR112" s="1740"/>
      <c r="TPS112" s="1740"/>
      <c r="TPT112" s="1740"/>
      <c r="TPU112" s="1740"/>
      <c r="TPV112" s="1740"/>
      <c r="TPW112" s="1740"/>
      <c r="TPX112" s="1740"/>
      <c r="TPY112" s="1740"/>
      <c r="TPZ112" s="1740"/>
      <c r="TQA112" s="1740"/>
      <c r="TQB112" s="1740"/>
      <c r="TQC112" s="1740"/>
      <c r="TQD112" s="1740"/>
      <c r="TQE112" s="1740"/>
      <c r="TQF112" s="1740"/>
      <c r="TQG112" s="1740"/>
      <c r="TQH112" s="1740"/>
      <c r="TQI112" s="1740"/>
      <c r="TQJ112" s="1740"/>
      <c r="TQK112" s="1740"/>
      <c r="TQL112" s="1740"/>
      <c r="TQM112" s="1740"/>
      <c r="TQN112" s="1740"/>
      <c r="TQO112" s="1740"/>
      <c r="TQP112" s="1740"/>
      <c r="TQQ112" s="1740"/>
      <c r="TQR112" s="1740"/>
      <c r="TQS112" s="1740"/>
      <c r="TQT112" s="1740"/>
      <c r="TQU112" s="1740"/>
      <c r="TQV112" s="1740"/>
      <c r="TQW112" s="1740"/>
      <c r="TQX112" s="1740"/>
      <c r="TQY112" s="1740"/>
      <c r="TQZ112" s="1740"/>
      <c r="TRA112" s="1740"/>
      <c r="TRB112" s="1740"/>
      <c r="TRC112" s="1740"/>
      <c r="TRD112" s="1740"/>
      <c r="TRE112" s="1740"/>
      <c r="TRF112" s="1740"/>
      <c r="TRG112" s="1740"/>
      <c r="TRH112" s="1740"/>
      <c r="TRI112" s="1740"/>
      <c r="TRJ112" s="1740"/>
      <c r="TRK112" s="1740"/>
      <c r="TRL112" s="1740"/>
      <c r="TRM112" s="1740"/>
      <c r="TRN112" s="1740"/>
      <c r="TRO112" s="1740"/>
      <c r="TRP112" s="1740"/>
      <c r="TRQ112" s="1740"/>
      <c r="TRR112" s="1740"/>
      <c r="TRS112" s="1740"/>
      <c r="TRT112" s="1740"/>
      <c r="TRU112" s="1740"/>
      <c r="TRV112" s="1740"/>
      <c r="TRW112" s="1740"/>
      <c r="TRX112" s="1740"/>
      <c r="TRY112" s="1740"/>
      <c r="TRZ112" s="1740"/>
      <c r="TSA112" s="1740"/>
      <c r="TSB112" s="1740"/>
      <c r="TSC112" s="1740"/>
      <c r="TSD112" s="1740"/>
      <c r="TSE112" s="1740"/>
      <c r="TSF112" s="1740"/>
      <c r="TSG112" s="1740"/>
      <c r="TSH112" s="1740"/>
      <c r="TSI112" s="1740"/>
      <c r="TSJ112" s="1740"/>
      <c r="TSK112" s="1740"/>
      <c r="TSL112" s="1740"/>
      <c r="TSM112" s="1740"/>
      <c r="TSN112" s="1740"/>
      <c r="TSO112" s="1740"/>
      <c r="TSP112" s="1740"/>
      <c r="TSQ112" s="1740"/>
      <c r="TSR112" s="1740"/>
      <c r="TSS112" s="1740"/>
      <c r="TST112" s="1740"/>
      <c r="TSU112" s="1740"/>
      <c r="TSV112" s="1740"/>
      <c r="TSW112" s="1740"/>
      <c r="TSX112" s="1740"/>
      <c r="TSY112" s="1740"/>
      <c r="TSZ112" s="1740"/>
      <c r="TTA112" s="1740"/>
      <c r="TTB112" s="1740"/>
      <c r="TTC112" s="1740"/>
      <c r="TTD112" s="1740"/>
      <c r="TTE112" s="1740"/>
      <c r="TTF112" s="1740"/>
      <c r="TTG112" s="1740"/>
      <c r="TTH112" s="1740"/>
      <c r="TTI112" s="1740"/>
      <c r="TTJ112" s="1740"/>
      <c r="TTK112" s="1740"/>
      <c r="TTL112" s="1740"/>
      <c r="TTM112" s="1740"/>
      <c r="TTN112" s="1740"/>
      <c r="TTO112" s="1740"/>
      <c r="TTP112" s="1740"/>
      <c r="TTQ112" s="1740"/>
      <c r="TTR112" s="1740"/>
      <c r="TTS112" s="1740"/>
      <c r="TTT112" s="1740"/>
      <c r="TTU112" s="1740"/>
      <c r="TTV112" s="1740"/>
      <c r="TTW112" s="1740"/>
      <c r="TTX112" s="1740"/>
      <c r="TTY112" s="1740"/>
      <c r="TTZ112" s="1740"/>
      <c r="TUA112" s="1740"/>
      <c r="TUB112" s="1740"/>
      <c r="TUC112" s="1740"/>
      <c r="TUD112" s="1740"/>
      <c r="TUE112" s="1740"/>
      <c r="TUF112" s="1740"/>
      <c r="TUG112" s="1740"/>
      <c r="TUH112" s="1740"/>
      <c r="TUI112" s="1740"/>
      <c r="TUJ112" s="1740"/>
      <c r="TUK112" s="1740"/>
      <c r="TUL112" s="1740"/>
      <c r="TUM112" s="1740"/>
      <c r="TUN112" s="1740"/>
      <c r="TUO112" s="1740"/>
      <c r="TUP112" s="1740"/>
      <c r="TUQ112" s="1740"/>
      <c r="TUR112" s="1740"/>
      <c r="TUS112" s="1740"/>
      <c r="TUT112" s="1740"/>
      <c r="TUU112" s="1740"/>
      <c r="TUV112" s="1740"/>
      <c r="TUW112" s="1740"/>
      <c r="TUX112" s="1740"/>
      <c r="TUY112" s="1740"/>
      <c r="TUZ112" s="1740"/>
      <c r="TVA112" s="1740"/>
      <c r="TVB112" s="1740"/>
      <c r="TVC112" s="1740"/>
      <c r="TVD112" s="1740"/>
      <c r="TVE112" s="1740"/>
      <c r="TVF112" s="1740"/>
      <c r="TVG112" s="1740"/>
      <c r="TVH112" s="1740"/>
      <c r="TVI112" s="1740"/>
      <c r="TVJ112" s="1740"/>
      <c r="TVK112" s="1740"/>
      <c r="TVL112" s="1740"/>
      <c r="TVM112" s="1740"/>
      <c r="TVN112" s="1740"/>
      <c r="TVO112" s="1740"/>
      <c r="TVP112" s="1740"/>
      <c r="TVQ112" s="1740"/>
      <c r="TVR112" s="1740"/>
      <c r="TVS112" s="1740"/>
      <c r="TVT112" s="1740"/>
      <c r="TVU112" s="1740"/>
      <c r="TVV112" s="1740"/>
      <c r="TVW112" s="1740"/>
      <c r="TVX112" s="1740"/>
      <c r="TVY112" s="1740"/>
      <c r="TVZ112" s="1740"/>
      <c r="TWA112" s="1740"/>
      <c r="TWB112" s="1740"/>
      <c r="TWC112" s="1740"/>
      <c r="TWD112" s="1740"/>
      <c r="TWE112" s="1740"/>
      <c r="TWF112" s="1740"/>
      <c r="TWG112" s="1740"/>
      <c r="TWH112" s="1740"/>
      <c r="TWI112" s="1740"/>
      <c r="TWJ112" s="1740"/>
      <c r="TWK112" s="1740"/>
      <c r="TWL112" s="1740"/>
      <c r="TWM112" s="1740"/>
      <c r="TWN112" s="1740"/>
      <c r="TWO112" s="1740"/>
      <c r="TWP112" s="1740"/>
      <c r="TWQ112" s="1740"/>
      <c r="TWR112" s="1740"/>
      <c r="TWS112" s="1740"/>
      <c r="TWT112" s="1740"/>
      <c r="TWU112" s="1740"/>
      <c r="TWV112" s="1740"/>
      <c r="TWW112" s="1740"/>
      <c r="TWX112" s="1740"/>
      <c r="TWY112" s="1740"/>
      <c r="TWZ112" s="1740"/>
      <c r="TXA112" s="1740"/>
      <c r="TXB112" s="1740"/>
      <c r="TXC112" s="1740"/>
      <c r="TXD112" s="1740"/>
      <c r="TXE112" s="1740"/>
      <c r="TXF112" s="1740"/>
      <c r="TXG112" s="1740"/>
      <c r="TXH112" s="1740"/>
      <c r="TXI112" s="1740"/>
      <c r="TXJ112" s="1740"/>
      <c r="TXK112" s="1740"/>
      <c r="TXL112" s="1740"/>
      <c r="TXM112" s="1740"/>
      <c r="TXN112" s="1740"/>
      <c r="TXO112" s="1740"/>
      <c r="TXP112" s="1740"/>
      <c r="TXQ112" s="1740"/>
      <c r="TXR112" s="1740"/>
      <c r="TXS112" s="1740"/>
      <c r="TXT112" s="1740"/>
      <c r="TXU112" s="1740"/>
      <c r="TXV112" s="1740"/>
      <c r="TXW112" s="1740"/>
      <c r="TXX112" s="1740"/>
      <c r="TXY112" s="1740"/>
      <c r="TXZ112" s="1740"/>
      <c r="TYA112" s="1740"/>
      <c r="TYB112" s="1740"/>
      <c r="TYC112" s="1740"/>
      <c r="TYD112" s="1740"/>
      <c r="TYE112" s="1740"/>
      <c r="TYF112" s="1740"/>
      <c r="TYG112" s="1740"/>
      <c r="TYH112" s="1740"/>
      <c r="TYI112" s="1740"/>
      <c r="TYJ112" s="1740"/>
      <c r="TYK112" s="1740"/>
      <c r="TYL112" s="1740"/>
      <c r="TYM112" s="1740"/>
      <c r="TYN112" s="1740"/>
      <c r="TYO112" s="1740"/>
      <c r="TYP112" s="1740"/>
      <c r="TYQ112" s="1740"/>
      <c r="TYR112" s="1740"/>
      <c r="TYS112" s="1740"/>
      <c r="TYT112" s="1740"/>
      <c r="TYU112" s="1740"/>
      <c r="TYV112" s="1740"/>
      <c r="TYW112" s="1740"/>
      <c r="TYX112" s="1740"/>
      <c r="TYY112" s="1740"/>
      <c r="TYZ112" s="1740"/>
      <c r="TZA112" s="1740"/>
      <c r="TZB112" s="1740"/>
      <c r="TZC112" s="1740"/>
      <c r="TZD112" s="1740"/>
      <c r="TZE112" s="1740"/>
      <c r="TZF112" s="1740"/>
      <c r="TZG112" s="1740"/>
      <c r="TZH112" s="1740"/>
      <c r="TZI112" s="1740"/>
      <c r="TZJ112" s="1740"/>
      <c r="TZK112" s="1740"/>
      <c r="TZL112" s="1740"/>
      <c r="TZM112" s="1740"/>
      <c r="TZN112" s="1740"/>
      <c r="TZO112" s="1740"/>
      <c r="TZP112" s="1740"/>
      <c r="TZQ112" s="1740"/>
      <c r="TZR112" s="1740"/>
      <c r="TZS112" s="1740"/>
      <c r="TZT112" s="1740"/>
      <c r="TZU112" s="1740"/>
      <c r="TZV112" s="1740"/>
      <c r="TZW112" s="1740"/>
      <c r="TZX112" s="1740"/>
      <c r="TZY112" s="1740"/>
      <c r="TZZ112" s="1740"/>
      <c r="UAA112" s="1740"/>
      <c r="UAB112" s="1740"/>
      <c r="UAC112" s="1740"/>
      <c r="UAD112" s="1740"/>
      <c r="UAE112" s="1740"/>
      <c r="UAF112" s="1740"/>
      <c r="UAG112" s="1740"/>
      <c r="UAH112" s="1740"/>
      <c r="UAI112" s="1740"/>
      <c r="UAJ112" s="1740"/>
      <c r="UAK112" s="1740"/>
      <c r="UAL112" s="1740"/>
      <c r="UAM112" s="1740"/>
      <c r="UAN112" s="1740"/>
      <c r="UAO112" s="1740"/>
      <c r="UAP112" s="1740"/>
      <c r="UAQ112" s="1740"/>
      <c r="UAR112" s="1740"/>
      <c r="UAS112" s="1740"/>
      <c r="UAT112" s="1740"/>
      <c r="UAU112" s="1740"/>
      <c r="UAV112" s="1740"/>
      <c r="UAW112" s="1740"/>
      <c r="UAX112" s="1740"/>
      <c r="UAY112" s="1740"/>
      <c r="UAZ112" s="1740"/>
      <c r="UBA112" s="1740"/>
      <c r="UBB112" s="1740"/>
      <c r="UBC112" s="1740"/>
      <c r="UBD112" s="1740"/>
      <c r="UBE112" s="1740"/>
      <c r="UBF112" s="1740"/>
      <c r="UBG112" s="1740"/>
      <c r="UBH112" s="1740"/>
      <c r="UBI112" s="1740"/>
      <c r="UBJ112" s="1740"/>
      <c r="UBK112" s="1740"/>
      <c r="UBL112" s="1740"/>
      <c r="UBM112" s="1740"/>
      <c r="UBN112" s="1740"/>
      <c r="UBO112" s="1740"/>
      <c r="UBP112" s="1740"/>
      <c r="UBQ112" s="1740"/>
      <c r="UBR112" s="1740"/>
      <c r="UBS112" s="1740"/>
      <c r="UBT112" s="1740"/>
      <c r="UBU112" s="1740"/>
      <c r="UBV112" s="1740"/>
      <c r="UBW112" s="1740"/>
      <c r="UBX112" s="1740"/>
      <c r="UBY112" s="1740"/>
      <c r="UBZ112" s="1740"/>
      <c r="UCA112" s="1740"/>
      <c r="UCB112" s="1740"/>
      <c r="UCC112" s="1740"/>
      <c r="UCD112" s="1740"/>
      <c r="UCE112" s="1740"/>
      <c r="UCF112" s="1740"/>
      <c r="UCG112" s="1740"/>
      <c r="UCH112" s="1740"/>
      <c r="UCI112" s="1740"/>
      <c r="UCJ112" s="1740"/>
      <c r="UCK112" s="1740"/>
      <c r="UCL112" s="1740"/>
      <c r="UCM112" s="1740"/>
      <c r="UCN112" s="1740"/>
      <c r="UCO112" s="1740"/>
      <c r="UCP112" s="1740"/>
      <c r="UCQ112" s="1740"/>
      <c r="UCR112" s="1740"/>
      <c r="UCS112" s="1740"/>
      <c r="UCT112" s="1740"/>
      <c r="UCU112" s="1740"/>
      <c r="UCV112" s="1740"/>
      <c r="UCW112" s="1740"/>
      <c r="UCX112" s="1740"/>
      <c r="UCY112" s="1740"/>
      <c r="UCZ112" s="1740"/>
      <c r="UDA112" s="1740"/>
      <c r="UDB112" s="1740"/>
      <c r="UDC112" s="1740"/>
      <c r="UDD112" s="1740"/>
      <c r="UDE112" s="1740"/>
      <c r="UDF112" s="1740"/>
      <c r="UDG112" s="1740"/>
      <c r="UDH112" s="1740"/>
      <c r="UDI112" s="1740"/>
      <c r="UDJ112" s="1740"/>
      <c r="UDK112" s="1740"/>
      <c r="UDL112" s="1740"/>
      <c r="UDM112" s="1740"/>
      <c r="UDN112" s="1740"/>
      <c r="UDO112" s="1740"/>
      <c r="UDP112" s="1740"/>
      <c r="UDQ112" s="1740"/>
      <c r="UDR112" s="1740"/>
      <c r="UDS112" s="1740"/>
      <c r="UDT112" s="1740"/>
      <c r="UDU112" s="1740"/>
      <c r="UDV112" s="1740"/>
      <c r="UDW112" s="1740"/>
      <c r="UDX112" s="1740"/>
      <c r="UDY112" s="1740"/>
      <c r="UDZ112" s="1740"/>
      <c r="UEA112" s="1740"/>
      <c r="UEB112" s="1740"/>
      <c r="UEC112" s="1740"/>
      <c r="UED112" s="1740"/>
      <c r="UEE112" s="1740"/>
      <c r="UEF112" s="1740"/>
      <c r="UEG112" s="1740"/>
      <c r="UEH112" s="1740"/>
      <c r="UEI112" s="1740"/>
      <c r="UEJ112" s="1740"/>
      <c r="UEK112" s="1740"/>
      <c r="UEL112" s="1740"/>
      <c r="UEM112" s="1740"/>
      <c r="UEN112" s="1740"/>
      <c r="UEO112" s="1740"/>
      <c r="UEP112" s="1740"/>
      <c r="UEQ112" s="1740"/>
      <c r="UER112" s="1740"/>
      <c r="UES112" s="1740"/>
      <c r="UET112" s="1740"/>
      <c r="UEU112" s="1740"/>
      <c r="UEV112" s="1740"/>
      <c r="UEW112" s="1740"/>
      <c r="UEX112" s="1740"/>
      <c r="UEY112" s="1740"/>
      <c r="UEZ112" s="1740"/>
      <c r="UFA112" s="1740"/>
      <c r="UFB112" s="1740"/>
      <c r="UFC112" s="1740"/>
      <c r="UFD112" s="1740"/>
      <c r="UFE112" s="1740"/>
      <c r="UFF112" s="1740"/>
      <c r="UFG112" s="1740"/>
      <c r="UFH112" s="1740"/>
      <c r="UFI112" s="1740"/>
      <c r="UFJ112" s="1740"/>
      <c r="UFK112" s="1740"/>
      <c r="UFL112" s="1740"/>
      <c r="UFM112" s="1740"/>
      <c r="UFN112" s="1740"/>
      <c r="UFO112" s="1740"/>
      <c r="UFP112" s="1740"/>
      <c r="UFQ112" s="1740"/>
      <c r="UFR112" s="1740"/>
      <c r="UFS112" s="1740"/>
      <c r="UFT112" s="1740"/>
      <c r="UFU112" s="1740"/>
      <c r="UFV112" s="1740"/>
      <c r="UFW112" s="1740"/>
      <c r="UFX112" s="1740"/>
      <c r="UFY112" s="1740"/>
      <c r="UFZ112" s="1740"/>
      <c r="UGA112" s="1740"/>
      <c r="UGB112" s="1740"/>
      <c r="UGC112" s="1740"/>
      <c r="UGD112" s="1740"/>
      <c r="UGE112" s="1740"/>
      <c r="UGF112" s="1740"/>
      <c r="UGG112" s="1740"/>
      <c r="UGH112" s="1740"/>
      <c r="UGI112" s="1740"/>
      <c r="UGJ112" s="1740"/>
      <c r="UGK112" s="1740"/>
      <c r="UGL112" s="1740"/>
      <c r="UGM112" s="1740"/>
      <c r="UGN112" s="1740"/>
      <c r="UGO112" s="1740"/>
      <c r="UGP112" s="1740"/>
      <c r="UGQ112" s="1740"/>
      <c r="UGR112" s="1740"/>
      <c r="UGS112" s="1740"/>
      <c r="UGT112" s="1740"/>
      <c r="UGU112" s="1740"/>
      <c r="UGV112" s="1740"/>
      <c r="UGW112" s="1740"/>
      <c r="UGX112" s="1740"/>
      <c r="UGY112" s="1740"/>
      <c r="UGZ112" s="1740"/>
      <c r="UHA112" s="1740"/>
      <c r="UHB112" s="1740"/>
      <c r="UHC112" s="1740"/>
      <c r="UHD112" s="1740"/>
      <c r="UHE112" s="1740"/>
      <c r="UHF112" s="1740"/>
      <c r="UHG112" s="1740"/>
      <c r="UHH112" s="1740"/>
      <c r="UHI112" s="1740"/>
      <c r="UHJ112" s="1740"/>
      <c r="UHK112" s="1740"/>
      <c r="UHL112" s="1740"/>
      <c r="UHM112" s="1740"/>
      <c r="UHN112" s="1740"/>
      <c r="UHO112" s="1740"/>
      <c r="UHP112" s="1740"/>
      <c r="UHQ112" s="1740"/>
      <c r="UHR112" s="1740"/>
      <c r="UHS112" s="1740"/>
      <c r="UHT112" s="1740"/>
      <c r="UHU112" s="1740"/>
      <c r="UHV112" s="1740"/>
      <c r="UHW112" s="1740"/>
      <c r="UHX112" s="1740"/>
      <c r="UHY112" s="1740"/>
      <c r="UHZ112" s="1740"/>
      <c r="UIA112" s="1740"/>
      <c r="UIB112" s="1740"/>
      <c r="UIC112" s="1740"/>
      <c r="UID112" s="1740"/>
      <c r="UIE112" s="1740"/>
      <c r="UIF112" s="1740"/>
      <c r="UIG112" s="1740"/>
      <c r="UIH112" s="1740"/>
      <c r="UII112" s="1740"/>
      <c r="UIJ112" s="1740"/>
      <c r="UIK112" s="1740"/>
      <c r="UIL112" s="1740"/>
      <c r="UIM112" s="1740"/>
      <c r="UIN112" s="1740"/>
      <c r="UIO112" s="1740"/>
      <c r="UIP112" s="1740"/>
      <c r="UIQ112" s="1740"/>
      <c r="UIR112" s="1740"/>
      <c r="UIS112" s="1740"/>
      <c r="UIT112" s="1740"/>
      <c r="UIU112" s="1740"/>
      <c r="UIV112" s="1740"/>
      <c r="UIW112" s="1740"/>
      <c r="UIX112" s="1740"/>
      <c r="UIY112" s="1740"/>
      <c r="UIZ112" s="1740"/>
      <c r="UJA112" s="1740"/>
      <c r="UJB112" s="1740"/>
      <c r="UJC112" s="1740"/>
      <c r="UJD112" s="1740"/>
      <c r="UJE112" s="1740"/>
      <c r="UJF112" s="1740"/>
      <c r="UJG112" s="1740"/>
      <c r="UJH112" s="1740"/>
      <c r="UJI112" s="1740"/>
      <c r="UJJ112" s="1740"/>
      <c r="UJK112" s="1740"/>
      <c r="UJL112" s="1740"/>
      <c r="UJM112" s="1740"/>
      <c r="UJN112" s="1740"/>
      <c r="UJO112" s="1740"/>
      <c r="UJP112" s="1740"/>
      <c r="UJQ112" s="1740"/>
      <c r="UJR112" s="1740"/>
      <c r="UJS112" s="1740"/>
      <c r="UJT112" s="1740"/>
      <c r="UJU112" s="1740"/>
      <c r="UJV112" s="1740"/>
      <c r="UJW112" s="1740"/>
      <c r="UJX112" s="1740"/>
      <c r="UJY112" s="1740"/>
      <c r="UJZ112" s="1740"/>
      <c r="UKA112" s="1740"/>
      <c r="UKB112" s="1740"/>
      <c r="UKC112" s="1740"/>
      <c r="UKD112" s="1740"/>
      <c r="UKE112" s="1740"/>
      <c r="UKF112" s="1740"/>
      <c r="UKG112" s="1740"/>
      <c r="UKH112" s="1740"/>
      <c r="UKI112" s="1740"/>
      <c r="UKJ112" s="1740"/>
      <c r="UKK112" s="1740"/>
      <c r="UKL112" s="1740"/>
      <c r="UKM112" s="1740"/>
      <c r="UKN112" s="1740"/>
      <c r="UKO112" s="1740"/>
      <c r="UKP112" s="1740"/>
      <c r="UKQ112" s="1740"/>
      <c r="UKR112" s="1740"/>
      <c r="UKS112" s="1740"/>
      <c r="UKT112" s="1740"/>
      <c r="UKU112" s="1740"/>
      <c r="UKV112" s="1740"/>
      <c r="UKW112" s="1740"/>
      <c r="UKX112" s="1740"/>
      <c r="UKY112" s="1740"/>
      <c r="UKZ112" s="1740"/>
      <c r="ULA112" s="1740"/>
      <c r="ULB112" s="1740"/>
      <c r="ULC112" s="1740"/>
      <c r="ULD112" s="1740"/>
      <c r="ULE112" s="1740"/>
      <c r="ULF112" s="1740"/>
      <c r="ULG112" s="1740"/>
      <c r="ULH112" s="1740"/>
      <c r="ULI112" s="1740"/>
      <c r="ULJ112" s="1740"/>
      <c r="ULK112" s="1740"/>
      <c r="ULL112" s="1740"/>
      <c r="ULM112" s="1740"/>
      <c r="ULN112" s="1740"/>
      <c r="ULO112" s="1740"/>
      <c r="ULP112" s="1740"/>
      <c r="ULQ112" s="1740"/>
      <c r="ULR112" s="1740"/>
      <c r="ULS112" s="1740"/>
      <c r="ULT112" s="1740"/>
      <c r="ULU112" s="1740"/>
      <c r="ULV112" s="1740"/>
      <c r="ULW112" s="1740"/>
      <c r="ULX112" s="1740"/>
      <c r="ULY112" s="1740"/>
      <c r="ULZ112" s="1740"/>
      <c r="UMA112" s="1740"/>
      <c r="UMB112" s="1740"/>
      <c r="UMC112" s="1740"/>
      <c r="UMD112" s="1740"/>
      <c r="UME112" s="1740"/>
      <c r="UMF112" s="1740"/>
      <c r="UMG112" s="1740"/>
      <c r="UMH112" s="1740"/>
      <c r="UMI112" s="1740"/>
      <c r="UMJ112" s="1740"/>
      <c r="UMK112" s="1740"/>
      <c r="UML112" s="1740"/>
      <c r="UMM112" s="1740"/>
      <c r="UMN112" s="1740"/>
      <c r="UMO112" s="1740"/>
      <c r="UMP112" s="1740"/>
      <c r="UMQ112" s="1740"/>
      <c r="UMR112" s="1740"/>
      <c r="UMS112" s="1740"/>
      <c r="UMT112" s="1740"/>
      <c r="UMU112" s="1740"/>
      <c r="UMV112" s="1740"/>
      <c r="UMW112" s="1740"/>
      <c r="UMX112" s="1740"/>
      <c r="UMY112" s="1740"/>
      <c r="UMZ112" s="1740"/>
      <c r="UNA112" s="1740"/>
      <c r="UNB112" s="1740"/>
      <c r="UNC112" s="1740"/>
      <c r="UND112" s="1740"/>
      <c r="UNE112" s="1740"/>
      <c r="UNF112" s="1740"/>
      <c r="UNG112" s="1740"/>
      <c r="UNH112" s="1740"/>
      <c r="UNI112" s="1740"/>
      <c r="UNJ112" s="1740"/>
      <c r="UNK112" s="1740"/>
      <c r="UNL112" s="1740"/>
      <c r="UNM112" s="1740"/>
      <c r="UNN112" s="1740"/>
      <c r="UNO112" s="1740"/>
      <c r="UNP112" s="1740"/>
      <c r="UNQ112" s="1740"/>
      <c r="UNR112" s="1740"/>
      <c r="UNS112" s="1740"/>
      <c r="UNT112" s="1740"/>
      <c r="UNU112" s="1740"/>
      <c r="UNV112" s="1740"/>
      <c r="UNW112" s="1740"/>
      <c r="UNX112" s="1740"/>
      <c r="UNY112" s="1740"/>
      <c r="UNZ112" s="1740"/>
      <c r="UOA112" s="1740"/>
      <c r="UOB112" s="1740"/>
      <c r="UOC112" s="1740"/>
      <c r="UOD112" s="1740"/>
      <c r="UOE112" s="1740"/>
      <c r="UOF112" s="1740"/>
      <c r="UOG112" s="1740"/>
      <c r="UOH112" s="1740"/>
      <c r="UOI112" s="1740"/>
      <c r="UOJ112" s="1740"/>
      <c r="UOK112" s="1740"/>
      <c r="UOL112" s="1740"/>
      <c r="UOM112" s="1740"/>
      <c r="UON112" s="1740"/>
      <c r="UOO112" s="1740"/>
      <c r="UOP112" s="1740"/>
      <c r="UOQ112" s="1740"/>
      <c r="UOR112" s="1740"/>
      <c r="UOS112" s="1740"/>
      <c r="UOT112" s="1740"/>
      <c r="UOU112" s="1740"/>
      <c r="UOV112" s="1740"/>
      <c r="UOW112" s="1740"/>
      <c r="UOX112" s="1740"/>
      <c r="UOY112" s="1740"/>
      <c r="UOZ112" s="1740"/>
      <c r="UPA112" s="1740"/>
      <c r="UPB112" s="1740"/>
      <c r="UPC112" s="1740"/>
      <c r="UPD112" s="1740"/>
      <c r="UPE112" s="1740"/>
      <c r="UPF112" s="1740"/>
      <c r="UPG112" s="1740"/>
      <c r="UPH112" s="1740"/>
      <c r="UPI112" s="1740"/>
      <c r="UPJ112" s="1740"/>
      <c r="UPK112" s="1740"/>
      <c r="UPL112" s="1740"/>
      <c r="UPM112" s="1740"/>
      <c r="UPN112" s="1740"/>
      <c r="UPO112" s="1740"/>
      <c r="UPP112" s="1740"/>
      <c r="UPQ112" s="1740"/>
      <c r="UPR112" s="1740"/>
      <c r="UPS112" s="1740"/>
      <c r="UPT112" s="1740"/>
      <c r="UPU112" s="1740"/>
      <c r="UPV112" s="1740"/>
      <c r="UPW112" s="1740"/>
      <c r="UPX112" s="1740"/>
      <c r="UPY112" s="1740"/>
      <c r="UPZ112" s="1740"/>
      <c r="UQA112" s="1740"/>
      <c r="UQB112" s="1740"/>
      <c r="UQC112" s="1740"/>
      <c r="UQD112" s="1740"/>
      <c r="UQE112" s="1740"/>
      <c r="UQF112" s="1740"/>
      <c r="UQG112" s="1740"/>
      <c r="UQH112" s="1740"/>
      <c r="UQI112" s="1740"/>
      <c r="UQJ112" s="1740"/>
      <c r="UQK112" s="1740"/>
      <c r="UQL112" s="1740"/>
      <c r="UQM112" s="1740"/>
      <c r="UQN112" s="1740"/>
      <c r="UQO112" s="1740"/>
      <c r="UQP112" s="1740"/>
      <c r="UQQ112" s="1740"/>
      <c r="UQR112" s="1740"/>
      <c r="UQS112" s="1740"/>
      <c r="UQT112" s="1740"/>
      <c r="UQU112" s="1740"/>
      <c r="UQV112" s="1740"/>
      <c r="UQW112" s="1740"/>
      <c r="UQX112" s="1740"/>
      <c r="UQY112" s="1740"/>
      <c r="UQZ112" s="1740"/>
      <c r="URA112" s="1740"/>
      <c r="URB112" s="1740"/>
      <c r="URC112" s="1740"/>
      <c r="URD112" s="1740"/>
      <c r="URE112" s="1740"/>
      <c r="URF112" s="1740"/>
      <c r="URG112" s="1740"/>
      <c r="URH112" s="1740"/>
      <c r="URI112" s="1740"/>
      <c r="URJ112" s="1740"/>
      <c r="URK112" s="1740"/>
      <c r="URL112" s="1740"/>
      <c r="URM112" s="1740"/>
      <c r="URN112" s="1740"/>
      <c r="URO112" s="1740"/>
      <c r="URP112" s="1740"/>
      <c r="URQ112" s="1740"/>
      <c r="URR112" s="1740"/>
      <c r="URS112" s="1740"/>
      <c r="URT112" s="1740"/>
      <c r="URU112" s="1740"/>
      <c r="URV112" s="1740"/>
      <c r="URW112" s="1740"/>
      <c r="URX112" s="1740"/>
      <c r="URY112" s="1740"/>
      <c r="URZ112" s="1740"/>
      <c r="USA112" s="1740"/>
      <c r="USB112" s="1740"/>
      <c r="USC112" s="1740"/>
      <c r="USD112" s="1740"/>
      <c r="USE112" s="1740"/>
      <c r="USF112" s="1740"/>
      <c r="USG112" s="1740"/>
      <c r="USH112" s="1740"/>
      <c r="USI112" s="1740"/>
      <c r="USJ112" s="1740"/>
      <c r="USK112" s="1740"/>
      <c r="USL112" s="1740"/>
      <c r="USM112" s="1740"/>
      <c r="USN112" s="1740"/>
      <c r="USO112" s="1740"/>
      <c r="USP112" s="1740"/>
      <c r="USQ112" s="1740"/>
      <c r="USR112" s="1740"/>
      <c r="USS112" s="1740"/>
      <c r="UST112" s="1740"/>
      <c r="USU112" s="1740"/>
      <c r="USV112" s="1740"/>
      <c r="USW112" s="1740"/>
      <c r="USX112" s="1740"/>
      <c r="USY112" s="1740"/>
      <c r="USZ112" s="1740"/>
      <c r="UTA112" s="1740"/>
      <c r="UTB112" s="1740"/>
      <c r="UTC112" s="1740"/>
      <c r="UTD112" s="1740"/>
      <c r="UTE112" s="1740"/>
      <c r="UTF112" s="1740"/>
      <c r="UTG112" s="1740"/>
      <c r="UTH112" s="1740"/>
      <c r="UTI112" s="1740"/>
      <c r="UTJ112" s="1740"/>
      <c r="UTK112" s="1740"/>
      <c r="UTL112" s="1740"/>
      <c r="UTM112" s="1740"/>
      <c r="UTN112" s="1740"/>
      <c r="UTO112" s="1740"/>
      <c r="UTP112" s="1740"/>
      <c r="UTQ112" s="1740"/>
      <c r="UTR112" s="1740"/>
      <c r="UTS112" s="1740"/>
      <c r="UTT112" s="1740"/>
      <c r="UTU112" s="1740"/>
      <c r="UTV112" s="1740"/>
      <c r="UTW112" s="1740"/>
      <c r="UTX112" s="1740"/>
      <c r="UTY112" s="1740"/>
      <c r="UTZ112" s="1740"/>
      <c r="UUA112" s="1740"/>
      <c r="UUB112" s="1740"/>
      <c r="UUC112" s="1740"/>
      <c r="UUD112" s="1740"/>
      <c r="UUE112" s="1740"/>
      <c r="UUF112" s="1740"/>
      <c r="UUG112" s="1740"/>
      <c r="UUH112" s="1740"/>
      <c r="UUI112" s="1740"/>
      <c r="UUJ112" s="1740"/>
      <c r="UUK112" s="1740"/>
      <c r="UUL112" s="1740"/>
      <c r="UUM112" s="1740"/>
      <c r="UUN112" s="1740"/>
      <c r="UUO112" s="1740"/>
      <c r="UUP112" s="1740"/>
      <c r="UUQ112" s="1740"/>
      <c r="UUR112" s="1740"/>
      <c r="UUS112" s="1740"/>
      <c r="UUT112" s="1740"/>
      <c r="UUU112" s="1740"/>
      <c r="UUV112" s="1740"/>
      <c r="UUW112" s="1740"/>
      <c r="UUX112" s="1740"/>
      <c r="UUY112" s="1740"/>
      <c r="UUZ112" s="1740"/>
      <c r="UVA112" s="1740"/>
      <c r="UVB112" s="1740"/>
      <c r="UVC112" s="1740"/>
      <c r="UVD112" s="1740"/>
      <c r="UVE112" s="1740"/>
      <c r="UVF112" s="1740"/>
      <c r="UVG112" s="1740"/>
      <c r="UVH112" s="1740"/>
      <c r="UVI112" s="1740"/>
      <c r="UVJ112" s="1740"/>
      <c r="UVK112" s="1740"/>
      <c r="UVL112" s="1740"/>
      <c r="UVM112" s="1740"/>
      <c r="UVN112" s="1740"/>
      <c r="UVO112" s="1740"/>
      <c r="UVP112" s="1740"/>
      <c r="UVQ112" s="1740"/>
      <c r="UVR112" s="1740"/>
      <c r="UVS112" s="1740"/>
      <c r="UVT112" s="1740"/>
      <c r="UVU112" s="1740"/>
      <c r="UVV112" s="1740"/>
      <c r="UVW112" s="1740"/>
      <c r="UVX112" s="1740"/>
      <c r="UVY112" s="1740"/>
      <c r="UVZ112" s="1740"/>
      <c r="UWA112" s="1740"/>
      <c r="UWB112" s="1740"/>
      <c r="UWC112" s="1740"/>
      <c r="UWD112" s="1740"/>
      <c r="UWE112" s="1740"/>
      <c r="UWF112" s="1740"/>
      <c r="UWG112" s="1740"/>
      <c r="UWH112" s="1740"/>
      <c r="UWI112" s="1740"/>
      <c r="UWJ112" s="1740"/>
      <c r="UWK112" s="1740"/>
      <c r="UWL112" s="1740"/>
      <c r="UWM112" s="1740"/>
      <c r="UWN112" s="1740"/>
      <c r="UWO112" s="1740"/>
      <c r="UWP112" s="1740"/>
      <c r="UWQ112" s="1740"/>
      <c r="UWR112" s="1740"/>
      <c r="UWS112" s="1740"/>
      <c r="UWT112" s="1740"/>
      <c r="UWU112" s="1740"/>
      <c r="UWV112" s="1740"/>
      <c r="UWW112" s="1740"/>
      <c r="UWX112" s="1740"/>
      <c r="UWY112" s="1740"/>
      <c r="UWZ112" s="1740"/>
      <c r="UXA112" s="1740"/>
      <c r="UXB112" s="1740"/>
      <c r="UXC112" s="1740"/>
      <c r="UXD112" s="1740"/>
      <c r="UXE112" s="1740"/>
      <c r="UXF112" s="1740"/>
      <c r="UXG112" s="1740"/>
      <c r="UXH112" s="1740"/>
      <c r="UXI112" s="1740"/>
      <c r="UXJ112" s="1740"/>
      <c r="UXK112" s="1740"/>
      <c r="UXL112" s="1740"/>
      <c r="UXM112" s="1740"/>
      <c r="UXN112" s="1740"/>
      <c r="UXO112" s="1740"/>
      <c r="UXP112" s="1740"/>
      <c r="UXQ112" s="1740"/>
      <c r="UXR112" s="1740"/>
      <c r="UXS112" s="1740"/>
      <c r="UXT112" s="1740"/>
      <c r="UXU112" s="1740"/>
      <c r="UXV112" s="1740"/>
      <c r="UXW112" s="1740"/>
      <c r="UXX112" s="1740"/>
      <c r="UXY112" s="1740"/>
      <c r="UXZ112" s="1740"/>
      <c r="UYA112" s="1740"/>
      <c r="UYB112" s="1740"/>
      <c r="UYC112" s="1740"/>
      <c r="UYD112" s="1740"/>
      <c r="UYE112" s="1740"/>
      <c r="UYF112" s="1740"/>
      <c r="UYG112" s="1740"/>
      <c r="UYH112" s="1740"/>
      <c r="UYI112" s="1740"/>
      <c r="UYJ112" s="1740"/>
      <c r="UYK112" s="1740"/>
      <c r="UYL112" s="1740"/>
      <c r="UYM112" s="1740"/>
      <c r="UYN112" s="1740"/>
      <c r="UYO112" s="1740"/>
      <c r="UYP112" s="1740"/>
      <c r="UYQ112" s="1740"/>
      <c r="UYR112" s="1740"/>
      <c r="UYS112" s="1740"/>
      <c r="UYT112" s="1740"/>
      <c r="UYU112" s="1740"/>
      <c r="UYV112" s="1740"/>
      <c r="UYW112" s="1740"/>
      <c r="UYX112" s="1740"/>
      <c r="UYY112" s="1740"/>
      <c r="UYZ112" s="1740"/>
      <c r="UZA112" s="1740"/>
      <c r="UZB112" s="1740"/>
      <c r="UZC112" s="1740"/>
      <c r="UZD112" s="1740"/>
      <c r="UZE112" s="1740"/>
      <c r="UZF112" s="1740"/>
      <c r="UZG112" s="1740"/>
      <c r="UZH112" s="1740"/>
      <c r="UZI112" s="1740"/>
      <c r="UZJ112" s="1740"/>
      <c r="UZK112" s="1740"/>
      <c r="UZL112" s="1740"/>
      <c r="UZM112" s="1740"/>
      <c r="UZN112" s="1740"/>
      <c r="UZO112" s="1740"/>
      <c r="UZP112" s="1740"/>
      <c r="UZQ112" s="1740"/>
      <c r="UZR112" s="1740"/>
      <c r="UZS112" s="1740"/>
      <c r="UZT112" s="1740"/>
      <c r="UZU112" s="1740"/>
      <c r="UZV112" s="1740"/>
      <c r="UZW112" s="1740"/>
      <c r="UZX112" s="1740"/>
      <c r="UZY112" s="1740"/>
      <c r="UZZ112" s="1740"/>
      <c r="VAA112" s="1740"/>
      <c r="VAB112" s="1740"/>
      <c r="VAC112" s="1740"/>
      <c r="VAD112" s="1740"/>
      <c r="VAE112" s="1740"/>
      <c r="VAF112" s="1740"/>
      <c r="VAG112" s="1740"/>
      <c r="VAH112" s="1740"/>
      <c r="VAI112" s="1740"/>
      <c r="VAJ112" s="1740"/>
      <c r="VAK112" s="1740"/>
      <c r="VAL112" s="1740"/>
      <c r="VAM112" s="1740"/>
      <c r="VAN112" s="1740"/>
      <c r="VAO112" s="1740"/>
      <c r="VAP112" s="1740"/>
      <c r="VAQ112" s="1740"/>
      <c r="VAR112" s="1740"/>
      <c r="VAS112" s="1740"/>
      <c r="VAT112" s="1740"/>
      <c r="VAU112" s="1740"/>
      <c r="VAV112" s="1740"/>
      <c r="VAW112" s="1740"/>
      <c r="VAX112" s="1740"/>
      <c r="VAY112" s="1740"/>
      <c r="VAZ112" s="1740"/>
      <c r="VBA112" s="1740"/>
      <c r="VBB112" s="1740"/>
      <c r="VBC112" s="1740"/>
      <c r="VBD112" s="1740"/>
      <c r="VBE112" s="1740"/>
      <c r="VBF112" s="1740"/>
      <c r="VBG112" s="1740"/>
      <c r="VBH112" s="1740"/>
      <c r="VBI112" s="1740"/>
      <c r="VBJ112" s="1740"/>
      <c r="VBK112" s="1740"/>
      <c r="VBL112" s="1740"/>
      <c r="VBM112" s="1740"/>
      <c r="VBN112" s="1740"/>
      <c r="VBO112" s="1740"/>
      <c r="VBP112" s="1740"/>
      <c r="VBQ112" s="1740"/>
      <c r="VBR112" s="1740"/>
      <c r="VBS112" s="1740"/>
      <c r="VBT112" s="1740"/>
      <c r="VBU112" s="1740"/>
      <c r="VBV112" s="1740"/>
      <c r="VBW112" s="1740"/>
      <c r="VBX112" s="1740"/>
      <c r="VBY112" s="1740"/>
      <c r="VBZ112" s="1740"/>
      <c r="VCA112" s="1740"/>
      <c r="VCB112" s="1740"/>
      <c r="VCC112" s="1740"/>
      <c r="VCD112" s="1740"/>
      <c r="VCE112" s="1740"/>
      <c r="VCF112" s="1740"/>
      <c r="VCG112" s="1740"/>
      <c r="VCH112" s="1740"/>
      <c r="VCI112" s="1740"/>
      <c r="VCJ112" s="1740"/>
      <c r="VCK112" s="1740"/>
      <c r="VCL112" s="1740"/>
      <c r="VCM112" s="1740"/>
      <c r="VCN112" s="1740"/>
      <c r="VCO112" s="1740"/>
      <c r="VCP112" s="1740"/>
      <c r="VCQ112" s="1740"/>
      <c r="VCR112" s="1740"/>
      <c r="VCS112" s="1740"/>
      <c r="VCT112" s="1740"/>
      <c r="VCU112" s="1740"/>
      <c r="VCV112" s="1740"/>
      <c r="VCW112" s="1740"/>
      <c r="VCX112" s="1740"/>
      <c r="VCY112" s="1740"/>
      <c r="VCZ112" s="1740"/>
      <c r="VDA112" s="1740"/>
      <c r="VDB112" s="1740"/>
      <c r="VDC112" s="1740"/>
      <c r="VDD112" s="1740"/>
      <c r="VDE112" s="1740"/>
      <c r="VDF112" s="1740"/>
      <c r="VDG112" s="1740"/>
      <c r="VDH112" s="1740"/>
      <c r="VDI112" s="1740"/>
      <c r="VDJ112" s="1740"/>
      <c r="VDK112" s="1740"/>
      <c r="VDL112" s="1740"/>
      <c r="VDM112" s="1740"/>
      <c r="VDN112" s="1740"/>
      <c r="VDO112" s="1740"/>
      <c r="VDP112" s="1740"/>
      <c r="VDQ112" s="1740"/>
      <c r="VDR112" s="1740"/>
      <c r="VDS112" s="1740"/>
      <c r="VDT112" s="1740"/>
      <c r="VDU112" s="1740"/>
      <c r="VDV112" s="1740"/>
      <c r="VDW112" s="1740"/>
      <c r="VDX112" s="1740"/>
      <c r="VDY112" s="1740"/>
      <c r="VDZ112" s="1740"/>
      <c r="VEA112" s="1740"/>
      <c r="VEB112" s="1740"/>
      <c r="VEC112" s="1740"/>
      <c r="VED112" s="1740"/>
      <c r="VEE112" s="1740"/>
      <c r="VEF112" s="1740"/>
      <c r="VEG112" s="1740"/>
      <c r="VEH112" s="1740"/>
      <c r="VEI112" s="1740"/>
      <c r="VEJ112" s="1740"/>
      <c r="VEK112" s="1740"/>
      <c r="VEL112" s="1740"/>
      <c r="VEM112" s="1740"/>
      <c r="VEN112" s="1740"/>
      <c r="VEO112" s="1740"/>
      <c r="VEP112" s="1740"/>
      <c r="VEQ112" s="1740"/>
      <c r="VER112" s="1740"/>
      <c r="VES112" s="1740"/>
      <c r="VET112" s="1740"/>
      <c r="VEU112" s="1740"/>
      <c r="VEV112" s="1740"/>
      <c r="VEW112" s="1740"/>
      <c r="VEX112" s="1740"/>
      <c r="VEY112" s="1740"/>
      <c r="VEZ112" s="1740"/>
      <c r="VFA112" s="1740"/>
      <c r="VFB112" s="1740"/>
      <c r="VFC112" s="1740"/>
      <c r="VFD112" s="1740"/>
      <c r="VFE112" s="1740"/>
      <c r="VFF112" s="1740"/>
      <c r="VFG112" s="1740"/>
      <c r="VFH112" s="1740"/>
      <c r="VFI112" s="1740"/>
      <c r="VFJ112" s="1740"/>
      <c r="VFK112" s="1740"/>
      <c r="VFL112" s="1740"/>
      <c r="VFM112" s="1740"/>
      <c r="VFN112" s="1740"/>
      <c r="VFO112" s="1740"/>
      <c r="VFP112" s="1740"/>
      <c r="VFQ112" s="1740"/>
      <c r="VFR112" s="1740"/>
      <c r="VFS112" s="1740"/>
      <c r="VFT112" s="1740"/>
      <c r="VFU112" s="1740"/>
      <c r="VFV112" s="1740"/>
      <c r="VFW112" s="1740"/>
      <c r="VFX112" s="1740"/>
      <c r="VFY112" s="1740"/>
      <c r="VFZ112" s="1740"/>
      <c r="VGA112" s="1740"/>
      <c r="VGB112" s="1740"/>
      <c r="VGC112" s="1740"/>
      <c r="VGD112" s="1740"/>
      <c r="VGE112" s="1740"/>
      <c r="VGF112" s="1740"/>
      <c r="VGG112" s="1740"/>
      <c r="VGH112" s="1740"/>
      <c r="VGI112" s="1740"/>
      <c r="VGJ112" s="1740"/>
      <c r="VGK112" s="1740"/>
      <c r="VGL112" s="1740"/>
      <c r="VGM112" s="1740"/>
      <c r="VGN112" s="1740"/>
      <c r="VGO112" s="1740"/>
      <c r="VGP112" s="1740"/>
      <c r="VGQ112" s="1740"/>
      <c r="VGR112" s="1740"/>
      <c r="VGS112" s="1740"/>
      <c r="VGT112" s="1740"/>
      <c r="VGU112" s="1740"/>
      <c r="VGV112" s="1740"/>
      <c r="VGW112" s="1740"/>
      <c r="VGX112" s="1740"/>
      <c r="VGY112" s="1740"/>
      <c r="VGZ112" s="1740"/>
      <c r="VHA112" s="1740"/>
      <c r="VHB112" s="1740"/>
      <c r="VHC112" s="1740"/>
      <c r="VHD112" s="1740"/>
      <c r="VHE112" s="1740"/>
      <c r="VHF112" s="1740"/>
      <c r="VHG112" s="1740"/>
      <c r="VHH112" s="1740"/>
      <c r="VHI112" s="1740"/>
      <c r="VHJ112" s="1740"/>
      <c r="VHK112" s="1740"/>
      <c r="VHL112" s="1740"/>
      <c r="VHM112" s="1740"/>
      <c r="VHN112" s="1740"/>
      <c r="VHO112" s="1740"/>
      <c r="VHP112" s="1740"/>
      <c r="VHQ112" s="1740"/>
      <c r="VHR112" s="1740"/>
      <c r="VHS112" s="1740"/>
      <c r="VHT112" s="1740"/>
      <c r="VHU112" s="1740"/>
      <c r="VHV112" s="1740"/>
      <c r="VHW112" s="1740"/>
      <c r="VHX112" s="1740"/>
      <c r="VHY112" s="1740"/>
      <c r="VHZ112" s="1740"/>
      <c r="VIA112" s="1740"/>
      <c r="VIB112" s="1740"/>
      <c r="VIC112" s="1740"/>
      <c r="VID112" s="1740"/>
      <c r="VIE112" s="1740"/>
      <c r="VIF112" s="1740"/>
      <c r="VIG112" s="1740"/>
      <c r="VIH112" s="1740"/>
      <c r="VII112" s="1740"/>
      <c r="VIJ112" s="1740"/>
      <c r="VIK112" s="1740"/>
      <c r="VIL112" s="1740"/>
      <c r="VIM112" s="1740"/>
      <c r="VIN112" s="1740"/>
      <c r="VIO112" s="1740"/>
      <c r="VIP112" s="1740"/>
      <c r="VIQ112" s="1740"/>
      <c r="VIR112" s="1740"/>
      <c r="VIS112" s="1740"/>
      <c r="VIT112" s="1740"/>
      <c r="VIU112" s="1740"/>
      <c r="VIV112" s="1740"/>
      <c r="VIW112" s="1740"/>
      <c r="VIX112" s="1740"/>
      <c r="VIY112" s="1740"/>
      <c r="VIZ112" s="1740"/>
      <c r="VJA112" s="1740"/>
      <c r="VJB112" s="1740"/>
      <c r="VJC112" s="1740"/>
      <c r="VJD112" s="1740"/>
      <c r="VJE112" s="1740"/>
      <c r="VJF112" s="1740"/>
      <c r="VJG112" s="1740"/>
      <c r="VJH112" s="1740"/>
      <c r="VJI112" s="1740"/>
      <c r="VJJ112" s="1740"/>
      <c r="VJK112" s="1740"/>
      <c r="VJL112" s="1740"/>
      <c r="VJM112" s="1740"/>
      <c r="VJN112" s="1740"/>
      <c r="VJO112" s="1740"/>
      <c r="VJP112" s="1740"/>
      <c r="VJQ112" s="1740"/>
      <c r="VJR112" s="1740"/>
      <c r="VJS112" s="1740"/>
      <c r="VJT112" s="1740"/>
      <c r="VJU112" s="1740"/>
      <c r="VJV112" s="1740"/>
      <c r="VJW112" s="1740"/>
      <c r="VJX112" s="1740"/>
      <c r="VJY112" s="1740"/>
      <c r="VJZ112" s="1740"/>
      <c r="VKA112" s="1740"/>
      <c r="VKB112" s="1740"/>
      <c r="VKC112" s="1740"/>
      <c r="VKD112" s="1740"/>
      <c r="VKE112" s="1740"/>
      <c r="VKF112" s="1740"/>
      <c r="VKG112" s="1740"/>
      <c r="VKH112" s="1740"/>
      <c r="VKI112" s="1740"/>
      <c r="VKJ112" s="1740"/>
      <c r="VKK112" s="1740"/>
      <c r="VKL112" s="1740"/>
      <c r="VKM112" s="1740"/>
      <c r="VKN112" s="1740"/>
      <c r="VKO112" s="1740"/>
      <c r="VKP112" s="1740"/>
      <c r="VKQ112" s="1740"/>
      <c r="VKR112" s="1740"/>
      <c r="VKS112" s="1740"/>
      <c r="VKT112" s="1740"/>
      <c r="VKU112" s="1740"/>
      <c r="VKV112" s="1740"/>
      <c r="VKW112" s="1740"/>
      <c r="VKX112" s="1740"/>
      <c r="VKY112" s="1740"/>
      <c r="VKZ112" s="1740"/>
      <c r="VLA112" s="1740"/>
      <c r="VLB112" s="1740"/>
      <c r="VLC112" s="1740"/>
      <c r="VLD112" s="1740"/>
      <c r="VLE112" s="1740"/>
      <c r="VLF112" s="1740"/>
      <c r="VLG112" s="1740"/>
      <c r="VLH112" s="1740"/>
      <c r="VLI112" s="1740"/>
      <c r="VLJ112" s="1740"/>
      <c r="VLK112" s="1740"/>
      <c r="VLL112" s="1740"/>
      <c r="VLM112" s="1740"/>
      <c r="VLN112" s="1740"/>
      <c r="VLO112" s="1740"/>
      <c r="VLP112" s="1740"/>
      <c r="VLQ112" s="1740"/>
      <c r="VLR112" s="1740"/>
      <c r="VLS112" s="1740"/>
      <c r="VLT112" s="1740"/>
      <c r="VLU112" s="1740"/>
      <c r="VLV112" s="1740"/>
      <c r="VLW112" s="1740"/>
      <c r="VLX112" s="1740"/>
      <c r="VLY112" s="1740"/>
      <c r="VLZ112" s="1740"/>
      <c r="VMA112" s="1740"/>
      <c r="VMB112" s="1740"/>
      <c r="VMC112" s="1740"/>
      <c r="VMD112" s="1740"/>
      <c r="VME112" s="1740"/>
      <c r="VMF112" s="1740"/>
      <c r="VMG112" s="1740"/>
      <c r="VMH112" s="1740"/>
      <c r="VMI112" s="1740"/>
      <c r="VMJ112" s="1740"/>
      <c r="VMK112" s="1740"/>
      <c r="VML112" s="1740"/>
      <c r="VMM112" s="1740"/>
      <c r="VMN112" s="1740"/>
      <c r="VMO112" s="1740"/>
      <c r="VMP112" s="1740"/>
      <c r="VMQ112" s="1740"/>
      <c r="VMR112" s="1740"/>
      <c r="VMS112" s="1740"/>
      <c r="VMT112" s="1740"/>
      <c r="VMU112" s="1740"/>
      <c r="VMV112" s="1740"/>
      <c r="VMW112" s="1740"/>
      <c r="VMX112" s="1740"/>
      <c r="VMY112" s="1740"/>
      <c r="VMZ112" s="1740"/>
      <c r="VNA112" s="1740"/>
      <c r="VNB112" s="1740"/>
      <c r="VNC112" s="1740"/>
      <c r="VND112" s="1740"/>
      <c r="VNE112" s="1740"/>
      <c r="VNF112" s="1740"/>
      <c r="VNG112" s="1740"/>
      <c r="VNH112" s="1740"/>
      <c r="VNI112" s="1740"/>
      <c r="VNJ112" s="1740"/>
      <c r="VNK112" s="1740"/>
      <c r="VNL112" s="1740"/>
      <c r="VNM112" s="1740"/>
      <c r="VNN112" s="1740"/>
      <c r="VNO112" s="1740"/>
      <c r="VNP112" s="1740"/>
      <c r="VNQ112" s="1740"/>
      <c r="VNR112" s="1740"/>
      <c r="VNS112" s="1740"/>
      <c r="VNT112" s="1740"/>
      <c r="VNU112" s="1740"/>
      <c r="VNV112" s="1740"/>
      <c r="VNW112" s="1740"/>
      <c r="VNX112" s="1740"/>
      <c r="VNY112" s="1740"/>
      <c r="VNZ112" s="1740"/>
      <c r="VOA112" s="1740"/>
      <c r="VOB112" s="1740"/>
      <c r="VOC112" s="1740"/>
      <c r="VOD112" s="1740"/>
      <c r="VOE112" s="1740"/>
      <c r="VOF112" s="1740"/>
      <c r="VOG112" s="1740"/>
      <c r="VOH112" s="1740"/>
      <c r="VOI112" s="1740"/>
      <c r="VOJ112" s="1740"/>
      <c r="VOK112" s="1740"/>
      <c r="VOL112" s="1740"/>
      <c r="VOM112" s="1740"/>
      <c r="VON112" s="1740"/>
      <c r="VOO112" s="1740"/>
      <c r="VOP112" s="1740"/>
      <c r="VOQ112" s="1740"/>
      <c r="VOR112" s="1740"/>
      <c r="VOS112" s="1740"/>
      <c r="VOT112" s="1740"/>
      <c r="VOU112" s="1740"/>
      <c r="VOV112" s="1740"/>
      <c r="VOW112" s="1740"/>
      <c r="VOX112" s="1740"/>
      <c r="VOY112" s="1740"/>
      <c r="VOZ112" s="1740"/>
      <c r="VPA112" s="1740"/>
      <c r="VPB112" s="1740"/>
      <c r="VPC112" s="1740"/>
      <c r="VPD112" s="1740"/>
      <c r="VPE112" s="1740"/>
      <c r="VPF112" s="1740"/>
      <c r="VPG112" s="1740"/>
      <c r="VPH112" s="1740"/>
      <c r="VPI112" s="1740"/>
      <c r="VPJ112" s="1740"/>
      <c r="VPK112" s="1740"/>
      <c r="VPL112" s="1740"/>
      <c r="VPM112" s="1740"/>
      <c r="VPN112" s="1740"/>
      <c r="VPO112" s="1740"/>
      <c r="VPP112" s="1740"/>
      <c r="VPQ112" s="1740"/>
      <c r="VPR112" s="1740"/>
      <c r="VPS112" s="1740"/>
      <c r="VPT112" s="1740"/>
      <c r="VPU112" s="1740"/>
      <c r="VPV112" s="1740"/>
      <c r="VPW112" s="1740"/>
      <c r="VPX112" s="1740"/>
      <c r="VPY112" s="1740"/>
      <c r="VPZ112" s="1740"/>
      <c r="VQA112" s="1740"/>
      <c r="VQB112" s="1740"/>
      <c r="VQC112" s="1740"/>
      <c r="VQD112" s="1740"/>
      <c r="VQE112" s="1740"/>
      <c r="VQF112" s="1740"/>
      <c r="VQG112" s="1740"/>
      <c r="VQH112" s="1740"/>
      <c r="VQI112" s="1740"/>
      <c r="VQJ112" s="1740"/>
      <c r="VQK112" s="1740"/>
      <c r="VQL112" s="1740"/>
      <c r="VQM112" s="1740"/>
      <c r="VQN112" s="1740"/>
      <c r="VQO112" s="1740"/>
      <c r="VQP112" s="1740"/>
      <c r="VQQ112" s="1740"/>
      <c r="VQR112" s="1740"/>
      <c r="VQS112" s="1740"/>
      <c r="VQT112" s="1740"/>
      <c r="VQU112" s="1740"/>
      <c r="VQV112" s="1740"/>
      <c r="VQW112" s="1740"/>
      <c r="VQX112" s="1740"/>
      <c r="VQY112" s="1740"/>
      <c r="VQZ112" s="1740"/>
      <c r="VRA112" s="1740"/>
      <c r="VRB112" s="1740"/>
      <c r="VRC112" s="1740"/>
      <c r="VRD112" s="1740"/>
      <c r="VRE112" s="1740"/>
      <c r="VRF112" s="1740"/>
      <c r="VRG112" s="1740"/>
      <c r="VRH112" s="1740"/>
      <c r="VRI112" s="1740"/>
      <c r="VRJ112" s="1740"/>
      <c r="VRK112" s="1740"/>
      <c r="VRL112" s="1740"/>
      <c r="VRM112" s="1740"/>
      <c r="VRN112" s="1740"/>
      <c r="VRO112" s="1740"/>
      <c r="VRP112" s="1740"/>
      <c r="VRQ112" s="1740"/>
      <c r="VRR112" s="1740"/>
      <c r="VRS112" s="1740"/>
      <c r="VRT112" s="1740"/>
      <c r="VRU112" s="1740"/>
      <c r="VRV112" s="1740"/>
      <c r="VRW112" s="1740"/>
      <c r="VRX112" s="1740"/>
      <c r="VRY112" s="1740"/>
      <c r="VRZ112" s="1740"/>
      <c r="VSA112" s="1740"/>
      <c r="VSB112" s="1740"/>
      <c r="VSC112" s="1740"/>
      <c r="VSD112" s="1740"/>
      <c r="VSE112" s="1740"/>
      <c r="VSF112" s="1740"/>
      <c r="VSG112" s="1740"/>
      <c r="VSH112" s="1740"/>
      <c r="VSI112" s="1740"/>
      <c r="VSJ112" s="1740"/>
      <c r="VSK112" s="1740"/>
      <c r="VSL112" s="1740"/>
      <c r="VSM112" s="1740"/>
      <c r="VSN112" s="1740"/>
      <c r="VSO112" s="1740"/>
      <c r="VSP112" s="1740"/>
      <c r="VSQ112" s="1740"/>
      <c r="VSR112" s="1740"/>
      <c r="VSS112" s="1740"/>
      <c r="VST112" s="1740"/>
      <c r="VSU112" s="1740"/>
      <c r="VSV112" s="1740"/>
      <c r="VSW112" s="1740"/>
      <c r="VSX112" s="1740"/>
      <c r="VSY112" s="1740"/>
      <c r="VSZ112" s="1740"/>
      <c r="VTA112" s="1740"/>
      <c r="VTB112" s="1740"/>
      <c r="VTC112" s="1740"/>
      <c r="VTD112" s="1740"/>
      <c r="VTE112" s="1740"/>
      <c r="VTF112" s="1740"/>
      <c r="VTG112" s="1740"/>
      <c r="VTH112" s="1740"/>
      <c r="VTI112" s="1740"/>
      <c r="VTJ112" s="1740"/>
      <c r="VTK112" s="1740"/>
      <c r="VTL112" s="1740"/>
      <c r="VTM112" s="1740"/>
      <c r="VTN112" s="1740"/>
      <c r="VTO112" s="1740"/>
      <c r="VTP112" s="1740"/>
      <c r="VTQ112" s="1740"/>
      <c r="VTR112" s="1740"/>
      <c r="VTS112" s="1740"/>
      <c r="VTT112" s="1740"/>
      <c r="VTU112" s="1740"/>
      <c r="VTV112" s="1740"/>
      <c r="VTW112" s="1740"/>
      <c r="VTX112" s="1740"/>
      <c r="VTY112" s="1740"/>
      <c r="VTZ112" s="1740"/>
      <c r="VUA112" s="1740"/>
      <c r="VUB112" s="1740"/>
      <c r="VUC112" s="1740"/>
      <c r="VUD112" s="1740"/>
      <c r="VUE112" s="1740"/>
      <c r="VUF112" s="1740"/>
      <c r="VUG112" s="1740"/>
      <c r="VUH112" s="1740"/>
      <c r="VUI112" s="1740"/>
      <c r="VUJ112" s="1740"/>
      <c r="VUK112" s="1740"/>
      <c r="VUL112" s="1740"/>
      <c r="VUM112" s="1740"/>
      <c r="VUN112" s="1740"/>
      <c r="VUO112" s="1740"/>
      <c r="VUP112" s="1740"/>
      <c r="VUQ112" s="1740"/>
      <c r="VUR112" s="1740"/>
      <c r="VUS112" s="1740"/>
      <c r="VUT112" s="1740"/>
      <c r="VUU112" s="1740"/>
      <c r="VUV112" s="1740"/>
      <c r="VUW112" s="1740"/>
      <c r="VUX112" s="1740"/>
      <c r="VUY112" s="1740"/>
      <c r="VUZ112" s="1740"/>
      <c r="VVA112" s="1740"/>
      <c r="VVB112" s="1740"/>
      <c r="VVC112" s="1740"/>
      <c r="VVD112" s="1740"/>
      <c r="VVE112" s="1740"/>
      <c r="VVF112" s="1740"/>
      <c r="VVG112" s="1740"/>
      <c r="VVH112" s="1740"/>
      <c r="VVI112" s="1740"/>
      <c r="VVJ112" s="1740"/>
      <c r="VVK112" s="1740"/>
      <c r="VVL112" s="1740"/>
      <c r="VVM112" s="1740"/>
      <c r="VVN112" s="1740"/>
      <c r="VVO112" s="1740"/>
      <c r="VVP112" s="1740"/>
      <c r="VVQ112" s="1740"/>
      <c r="VVR112" s="1740"/>
      <c r="VVS112" s="1740"/>
      <c r="VVT112" s="1740"/>
      <c r="VVU112" s="1740"/>
      <c r="VVV112" s="1740"/>
      <c r="VVW112" s="1740"/>
      <c r="VVX112" s="1740"/>
      <c r="VVY112" s="1740"/>
      <c r="VVZ112" s="1740"/>
      <c r="VWA112" s="1740"/>
      <c r="VWB112" s="1740"/>
      <c r="VWC112" s="1740"/>
      <c r="VWD112" s="1740"/>
      <c r="VWE112" s="1740"/>
      <c r="VWF112" s="1740"/>
      <c r="VWG112" s="1740"/>
      <c r="VWH112" s="1740"/>
      <c r="VWI112" s="1740"/>
      <c r="VWJ112" s="1740"/>
      <c r="VWK112" s="1740"/>
      <c r="VWL112" s="1740"/>
      <c r="VWM112" s="1740"/>
      <c r="VWN112" s="1740"/>
      <c r="VWO112" s="1740"/>
      <c r="VWP112" s="1740"/>
      <c r="VWQ112" s="1740"/>
      <c r="VWR112" s="1740"/>
      <c r="VWS112" s="1740"/>
      <c r="VWT112" s="1740"/>
      <c r="VWU112" s="1740"/>
      <c r="VWV112" s="1740"/>
      <c r="VWW112" s="1740"/>
      <c r="VWX112" s="1740"/>
      <c r="VWY112" s="1740"/>
      <c r="VWZ112" s="1740"/>
      <c r="VXA112" s="1740"/>
      <c r="VXB112" s="1740"/>
      <c r="VXC112" s="1740"/>
      <c r="VXD112" s="1740"/>
      <c r="VXE112" s="1740"/>
      <c r="VXF112" s="1740"/>
      <c r="VXG112" s="1740"/>
      <c r="VXH112" s="1740"/>
      <c r="VXI112" s="1740"/>
      <c r="VXJ112" s="1740"/>
      <c r="VXK112" s="1740"/>
      <c r="VXL112" s="1740"/>
      <c r="VXM112" s="1740"/>
      <c r="VXN112" s="1740"/>
      <c r="VXO112" s="1740"/>
      <c r="VXP112" s="1740"/>
      <c r="VXQ112" s="1740"/>
      <c r="VXR112" s="1740"/>
      <c r="VXS112" s="1740"/>
      <c r="VXT112" s="1740"/>
      <c r="VXU112" s="1740"/>
      <c r="VXV112" s="1740"/>
      <c r="VXW112" s="1740"/>
      <c r="VXX112" s="1740"/>
      <c r="VXY112" s="1740"/>
      <c r="VXZ112" s="1740"/>
      <c r="VYA112" s="1740"/>
      <c r="VYB112" s="1740"/>
      <c r="VYC112" s="1740"/>
      <c r="VYD112" s="1740"/>
      <c r="VYE112" s="1740"/>
      <c r="VYF112" s="1740"/>
      <c r="VYG112" s="1740"/>
      <c r="VYH112" s="1740"/>
      <c r="VYI112" s="1740"/>
      <c r="VYJ112" s="1740"/>
      <c r="VYK112" s="1740"/>
      <c r="VYL112" s="1740"/>
      <c r="VYM112" s="1740"/>
      <c r="VYN112" s="1740"/>
      <c r="VYO112" s="1740"/>
      <c r="VYP112" s="1740"/>
      <c r="VYQ112" s="1740"/>
      <c r="VYR112" s="1740"/>
      <c r="VYS112" s="1740"/>
      <c r="VYT112" s="1740"/>
      <c r="VYU112" s="1740"/>
      <c r="VYV112" s="1740"/>
      <c r="VYW112" s="1740"/>
      <c r="VYX112" s="1740"/>
      <c r="VYY112" s="1740"/>
      <c r="VYZ112" s="1740"/>
      <c r="VZA112" s="1740"/>
      <c r="VZB112" s="1740"/>
      <c r="VZC112" s="1740"/>
      <c r="VZD112" s="1740"/>
      <c r="VZE112" s="1740"/>
      <c r="VZF112" s="1740"/>
      <c r="VZG112" s="1740"/>
      <c r="VZH112" s="1740"/>
      <c r="VZI112" s="1740"/>
      <c r="VZJ112" s="1740"/>
      <c r="VZK112" s="1740"/>
      <c r="VZL112" s="1740"/>
      <c r="VZM112" s="1740"/>
      <c r="VZN112" s="1740"/>
      <c r="VZO112" s="1740"/>
      <c r="VZP112" s="1740"/>
      <c r="VZQ112" s="1740"/>
      <c r="VZR112" s="1740"/>
      <c r="VZS112" s="1740"/>
      <c r="VZT112" s="1740"/>
      <c r="VZU112" s="1740"/>
      <c r="VZV112" s="1740"/>
      <c r="VZW112" s="1740"/>
      <c r="VZX112" s="1740"/>
      <c r="VZY112" s="1740"/>
      <c r="VZZ112" s="1740"/>
      <c r="WAA112" s="1740"/>
      <c r="WAB112" s="1740"/>
      <c r="WAC112" s="1740"/>
      <c r="WAD112" s="1740"/>
      <c r="WAE112" s="1740"/>
      <c r="WAF112" s="1740"/>
      <c r="WAG112" s="1740"/>
      <c r="WAH112" s="1740"/>
      <c r="WAI112" s="1740"/>
      <c r="WAJ112" s="1740"/>
      <c r="WAK112" s="1740"/>
      <c r="WAL112" s="1740"/>
      <c r="WAM112" s="1740"/>
      <c r="WAN112" s="1740"/>
      <c r="WAO112" s="1740"/>
      <c r="WAP112" s="1740"/>
      <c r="WAQ112" s="1740"/>
      <c r="WAR112" s="1740"/>
      <c r="WAS112" s="1740"/>
      <c r="WAT112" s="1740"/>
      <c r="WAU112" s="1740"/>
      <c r="WAV112" s="1740"/>
      <c r="WAW112" s="1740"/>
      <c r="WAX112" s="1740"/>
      <c r="WAY112" s="1740"/>
      <c r="WAZ112" s="1740"/>
      <c r="WBA112" s="1740"/>
      <c r="WBB112" s="1740"/>
      <c r="WBC112" s="1740"/>
      <c r="WBD112" s="1740"/>
      <c r="WBE112" s="1740"/>
      <c r="WBF112" s="1740"/>
      <c r="WBG112" s="1740"/>
      <c r="WBH112" s="1740"/>
      <c r="WBI112" s="1740"/>
      <c r="WBJ112" s="1740"/>
      <c r="WBK112" s="1740"/>
      <c r="WBL112" s="1740"/>
      <c r="WBM112" s="1740"/>
      <c r="WBN112" s="1740"/>
      <c r="WBO112" s="1740"/>
      <c r="WBP112" s="1740"/>
      <c r="WBQ112" s="1740"/>
      <c r="WBR112" s="1740"/>
      <c r="WBS112" s="1740"/>
      <c r="WBT112" s="1740"/>
      <c r="WBU112" s="1740"/>
      <c r="WBV112" s="1740"/>
      <c r="WBW112" s="1740"/>
      <c r="WBX112" s="1740"/>
      <c r="WBY112" s="1740"/>
      <c r="WBZ112" s="1740"/>
      <c r="WCA112" s="1740"/>
      <c r="WCB112" s="1740"/>
      <c r="WCC112" s="1740"/>
      <c r="WCD112" s="1740"/>
      <c r="WCE112" s="1740"/>
      <c r="WCF112" s="1740"/>
      <c r="WCG112" s="1740"/>
      <c r="WCH112" s="1740"/>
      <c r="WCI112" s="1740"/>
      <c r="WCJ112" s="1740"/>
      <c r="WCK112" s="1740"/>
      <c r="WCL112" s="1740"/>
      <c r="WCM112" s="1740"/>
      <c r="WCN112" s="1740"/>
      <c r="WCO112" s="1740"/>
      <c r="WCP112" s="1740"/>
      <c r="WCQ112" s="1740"/>
      <c r="WCR112" s="1740"/>
      <c r="WCS112" s="1740"/>
      <c r="WCT112" s="1740"/>
      <c r="WCU112" s="1740"/>
      <c r="WCV112" s="1740"/>
      <c r="WCW112" s="1740"/>
      <c r="WCX112" s="1740"/>
      <c r="WCY112" s="1740"/>
      <c r="WCZ112" s="1740"/>
      <c r="WDA112" s="1740"/>
      <c r="WDB112" s="1740"/>
      <c r="WDC112" s="1740"/>
      <c r="WDD112" s="1740"/>
      <c r="WDE112" s="1740"/>
      <c r="WDF112" s="1740"/>
      <c r="WDG112" s="1740"/>
      <c r="WDH112" s="1740"/>
      <c r="WDI112" s="1740"/>
      <c r="WDJ112" s="1740"/>
      <c r="WDK112" s="1740"/>
      <c r="WDL112" s="1740"/>
      <c r="WDM112" s="1740"/>
      <c r="WDN112" s="1740"/>
      <c r="WDO112" s="1740"/>
      <c r="WDP112" s="1740"/>
      <c r="WDQ112" s="1740"/>
      <c r="WDR112" s="1740"/>
      <c r="WDS112" s="1740"/>
      <c r="WDT112" s="1740"/>
      <c r="WDU112" s="1740"/>
      <c r="WDV112" s="1740"/>
      <c r="WDW112" s="1740"/>
      <c r="WDX112" s="1740"/>
      <c r="WDY112" s="1740"/>
      <c r="WDZ112" s="1740"/>
      <c r="WEA112" s="1740"/>
      <c r="WEB112" s="1740"/>
      <c r="WEC112" s="1740"/>
      <c r="WED112" s="1740"/>
      <c r="WEE112" s="1740"/>
      <c r="WEF112" s="1740"/>
      <c r="WEG112" s="1740"/>
      <c r="WEH112" s="1740"/>
      <c r="WEI112" s="1740"/>
      <c r="WEJ112" s="1740"/>
      <c r="WEK112" s="1740"/>
      <c r="WEL112" s="1740"/>
      <c r="WEM112" s="1740"/>
      <c r="WEN112" s="1740"/>
      <c r="WEO112" s="1740"/>
      <c r="WEP112" s="1740"/>
      <c r="WEQ112" s="1740"/>
      <c r="WER112" s="1740"/>
      <c r="WES112" s="1740"/>
      <c r="WET112" s="1740"/>
      <c r="WEU112" s="1740"/>
      <c r="WEV112" s="1740"/>
      <c r="WEW112" s="1740"/>
      <c r="WEX112" s="1740"/>
      <c r="WEY112" s="1740"/>
      <c r="WEZ112" s="1740"/>
      <c r="WFA112" s="1740"/>
      <c r="WFB112" s="1740"/>
      <c r="WFC112" s="1740"/>
      <c r="WFD112" s="1740"/>
      <c r="WFE112" s="1740"/>
      <c r="WFF112" s="1740"/>
      <c r="WFG112" s="1740"/>
      <c r="WFH112" s="1740"/>
      <c r="WFI112" s="1740"/>
      <c r="WFJ112" s="1740"/>
      <c r="WFK112" s="1740"/>
      <c r="WFL112" s="1740"/>
      <c r="WFM112" s="1740"/>
      <c r="WFN112" s="1740"/>
      <c r="WFO112" s="1740"/>
      <c r="WFP112" s="1740"/>
      <c r="WFQ112" s="1740"/>
      <c r="WFR112" s="1740"/>
      <c r="WFS112" s="1740"/>
      <c r="WFT112" s="1740"/>
      <c r="WFU112" s="1740"/>
      <c r="WFV112" s="1740"/>
      <c r="WFW112" s="1740"/>
      <c r="WFX112" s="1740"/>
      <c r="WFY112" s="1740"/>
      <c r="WFZ112" s="1740"/>
      <c r="WGA112" s="1740"/>
      <c r="WGB112" s="1740"/>
      <c r="WGC112" s="1740"/>
      <c r="WGD112" s="1740"/>
      <c r="WGE112" s="1740"/>
      <c r="WGF112" s="1740"/>
      <c r="WGG112" s="1740"/>
      <c r="WGH112" s="1740"/>
      <c r="WGI112" s="1740"/>
      <c r="WGJ112" s="1740"/>
      <c r="WGK112" s="1740"/>
      <c r="WGL112" s="1740"/>
      <c r="WGM112" s="1740"/>
      <c r="WGN112" s="1740"/>
      <c r="WGO112" s="1740"/>
      <c r="WGP112" s="1740"/>
      <c r="WGQ112" s="1740"/>
      <c r="WGR112" s="1740"/>
      <c r="WGS112" s="1740"/>
      <c r="WGT112" s="1740"/>
      <c r="WGU112" s="1740"/>
      <c r="WGV112" s="1740"/>
      <c r="WGW112" s="1740"/>
      <c r="WGX112" s="1740"/>
      <c r="WGY112" s="1740"/>
      <c r="WGZ112" s="1740"/>
      <c r="WHA112" s="1740"/>
      <c r="WHB112" s="1740"/>
      <c r="WHC112" s="1740"/>
      <c r="WHD112" s="1740"/>
      <c r="WHE112" s="1740"/>
      <c r="WHF112" s="1740"/>
      <c r="WHG112" s="1740"/>
      <c r="WHH112" s="1740"/>
      <c r="WHI112" s="1740"/>
      <c r="WHJ112" s="1740"/>
      <c r="WHK112" s="1740"/>
      <c r="WHL112" s="1740"/>
      <c r="WHM112" s="1740"/>
      <c r="WHN112" s="1740"/>
      <c r="WHO112" s="1740"/>
      <c r="WHP112" s="1740"/>
      <c r="WHQ112" s="1740"/>
      <c r="WHR112" s="1740"/>
      <c r="WHS112" s="1740"/>
      <c r="WHT112" s="1740"/>
      <c r="WHU112" s="1740"/>
      <c r="WHV112" s="1740"/>
      <c r="WHW112" s="1740"/>
      <c r="WHX112" s="1740"/>
      <c r="WHY112" s="1740"/>
      <c r="WHZ112" s="1740"/>
      <c r="WIA112" s="1740"/>
      <c r="WIB112" s="1740"/>
      <c r="WIC112" s="1740"/>
      <c r="WID112" s="1740"/>
      <c r="WIE112" s="1740"/>
      <c r="WIF112" s="1740"/>
      <c r="WIG112" s="1740"/>
      <c r="WIH112" s="1740"/>
      <c r="WII112" s="1740"/>
      <c r="WIJ112" s="1740"/>
      <c r="WIK112" s="1740"/>
      <c r="WIL112" s="1740"/>
      <c r="WIM112" s="1740"/>
      <c r="WIN112" s="1740"/>
      <c r="WIO112" s="1740"/>
      <c r="WIP112" s="1740"/>
      <c r="WIQ112" s="1740"/>
      <c r="WIR112" s="1740"/>
      <c r="WIS112" s="1740"/>
      <c r="WIT112" s="1740"/>
      <c r="WIU112" s="1740"/>
      <c r="WIV112" s="1740"/>
      <c r="WIW112" s="1740"/>
      <c r="WIX112" s="1740"/>
      <c r="WIY112" s="1740"/>
      <c r="WIZ112" s="1740"/>
      <c r="WJA112" s="1740"/>
      <c r="WJB112" s="1740"/>
      <c r="WJC112" s="1740"/>
      <c r="WJD112" s="1740"/>
      <c r="WJE112" s="1740"/>
      <c r="WJF112" s="1740"/>
      <c r="WJG112" s="1740"/>
      <c r="WJH112" s="1740"/>
      <c r="WJI112" s="1740"/>
      <c r="WJJ112" s="1740"/>
      <c r="WJK112" s="1740"/>
      <c r="WJL112" s="1740"/>
      <c r="WJM112" s="1740"/>
      <c r="WJN112" s="1740"/>
      <c r="WJO112" s="1740"/>
      <c r="WJP112" s="1740"/>
      <c r="WJQ112" s="1740"/>
      <c r="WJR112" s="1740"/>
      <c r="WJS112" s="1740"/>
      <c r="WJT112" s="1740"/>
      <c r="WJU112" s="1740"/>
      <c r="WJV112" s="1740"/>
      <c r="WJW112" s="1740"/>
      <c r="WJX112" s="1740"/>
      <c r="WJY112" s="1740"/>
      <c r="WJZ112" s="1740"/>
      <c r="WKA112" s="1740"/>
      <c r="WKB112" s="1740"/>
      <c r="WKC112" s="1740"/>
      <c r="WKD112" s="1740"/>
      <c r="WKE112" s="1740"/>
      <c r="WKF112" s="1740"/>
      <c r="WKG112" s="1740"/>
      <c r="WKH112" s="1740"/>
      <c r="WKI112" s="1740"/>
      <c r="WKJ112" s="1740"/>
      <c r="WKK112" s="1740"/>
      <c r="WKL112" s="1740"/>
      <c r="WKM112" s="1740"/>
      <c r="WKN112" s="1740"/>
      <c r="WKO112" s="1740"/>
      <c r="WKP112" s="1740"/>
      <c r="WKQ112" s="1740"/>
      <c r="WKR112" s="1740"/>
      <c r="WKS112" s="1740"/>
      <c r="WKT112" s="1740"/>
      <c r="WKU112" s="1740"/>
      <c r="WKV112" s="1740"/>
      <c r="WKW112" s="1740"/>
      <c r="WKX112" s="1740"/>
      <c r="WKY112" s="1740"/>
      <c r="WKZ112" s="1740"/>
      <c r="WLA112" s="1740"/>
      <c r="WLB112" s="1740"/>
      <c r="WLC112" s="1740"/>
      <c r="WLD112" s="1740"/>
      <c r="WLE112" s="1740"/>
      <c r="WLF112" s="1740"/>
      <c r="WLG112" s="1740"/>
      <c r="WLH112" s="1740"/>
      <c r="WLI112" s="1740"/>
      <c r="WLJ112" s="1740"/>
      <c r="WLK112" s="1740"/>
      <c r="WLL112" s="1740"/>
      <c r="WLM112" s="1740"/>
      <c r="WLN112" s="1740"/>
      <c r="WLO112" s="1740"/>
      <c r="WLP112" s="1740"/>
      <c r="WLQ112" s="1740"/>
      <c r="WLR112" s="1740"/>
      <c r="WLS112" s="1740"/>
      <c r="WLT112" s="1740"/>
      <c r="WLU112" s="1740"/>
      <c r="WLV112" s="1740"/>
      <c r="WLW112" s="1740"/>
      <c r="WLX112" s="1740"/>
      <c r="WLY112" s="1740"/>
      <c r="WLZ112" s="1740"/>
      <c r="WMA112" s="1740"/>
      <c r="WMB112" s="1740"/>
      <c r="WMC112" s="1740"/>
      <c r="WMD112" s="1740"/>
      <c r="WME112" s="1740"/>
      <c r="WMF112" s="1740"/>
      <c r="WMG112" s="1740"/>
      <c r="WMH112" s="1740"/>
      <c r="WMI112" s="1740"/>
      <c r="WMJ112" s="1740"/>
      <c r="WMK112" s="1740"/>
      <c r="WML112" s="1740"/>
      <c r="WMM112" s="1740"/>
      <c r="WMN112" s="1740"/>
      <c r="WMO112" s="1740"/>
      <c r="WMP112" s="1740"/>
      <c r="WMQ112" s="1740"/>
      <c r="WMR112" s="1740"/>
      <c r="WMS112" s="1740"/>
      <c r="WMT112" s="1740"/>
      <c r="WMU112" s="1740"/>
      <c r="WMV112" s="1740"/>
      <c r="WMW112" s="1740"/>
      <c r="WMX112" s="1740"/>
      <c r="WMY112" s="1740"/>
      <c r="WMZ112" s="1740"/>
      <c r="WNA112" s="1740"/>
      <c r="WNB112" s="1740"/>
      <c r="WNC112" s="1740"/>
      <c r="WND112" s="1740"/>
      <c r="WNE112" s="1740"/>
      <c r="WNF112" s="1740"/>
      <c r="WNG112" s="1740"/>
      <c r="WNH112" s="1740"/>
      <c r="WNI112" s="1740"/>
      <c r="WNJ112" s="1740"/>
      <c r="WNK112" s="1740"/>
      <c r="WNL112" s="1740"/>
      <c r="WNM112" s="1740"/>
      <c r="WNN112" s="1740"/>
      <c r="WNO112" s="1740"/>
      <c r="WNP112" s="1740"/>
      <c r="WNQ112" s="1740"/>
      <c r="WNR112" s="1740"/>
      <c r="WNS112" s="1740"/>
      <c r="WNT112" s="1740"/>
      <c r="WNU112" s="1740"/>
      <c r="WNV112" s="1740"/>
      <c r="WNW112" s="1740"/>
      <c r="WNX112" s="1740"/>
      <c r="WNY112" s="1740"/>
      <c r="WNZ112" s="1740"/>
      <c r="WOA112" s="1740"/>
      <c r="WOB112" s="1740"/>
      <c r="WOC112" s="1740"/>
      <c r="WOD112" s="1740"/>
      <c r="WOE112" s="1740"/>
      <c r="WOF112" s="1740"/>
      <c r="WOG112" s="1740"/>
      <c r="WOH112" s="1740"/>
      <c r="WOI112" s="1740"/>
      <c r="WOJ112" s="1740"/>
      <c r="WOK112" s="1740"/>
      <c r="WOL112" s="1740"/>
      <c r="WOM112" s="1740"/>
      <c r="WON112" s="1740"/>
      <c r="WOO112" s="1740"/>
      <c r="WOP112" s="1740"/>
      <c r="WOQ112" s="1740"/>
      <c r="WOR112" s="1740"/>
      <c r="WOS112" s="1740"/>
      <c r="WOT112" s="1740"/>
      <c r="WOU112" s="1740"/>
      <c r="WOV112" s="1740"/>
      <c r="WOW112" s="1740"/>
      <c r="WOX112" s="1740"/>
      <c r="WOY112" s="1740"/>
      <c r="WOZ112" s="1740"/>
      <c r="WPA112" s="1740"/>
      <c r="WPB112" s="1740"/>
      <c r="WPC112" s="1740"/>
      <c r="WPD112" s="1740"/>
      <c r="WPE112" s="1740"/>
      <c r="WPF112" s="1740"/>
      <c r="WPG112" s="1740"/>
      <c r="WPH112" s="1740"/>
      <c r="WPI112" s="1740"/>
      <c r="WPJ112" s="1740"/>
      <c r="WPK112" s="1740"/>
      <c r="WPL112" s="1740"/>
      <c r="WPM112" s="1740"/>
      <c r="WPN112" s="1740"/>
      <c r="WPO112" s="1740"/>
      <c r="WPP112" s="1740"/>
      <c r="WPQ112" s="1740"/>
      <c r="WPR112" s="1740"/>
      <c r="WPS112" s="1740"/>
      <c r="WPT112" s="1740"/>
      <c r="WPU112" s="1740"/>
      <c r="WPV112" s="1740"/>
      <c r="WPW112" s="1740"/>
      <c r="WPX112" s="1740"/>
      <c r="WPY112" s="1740"/>
      <c r="WPZ112" s="1740"/>
      <c r="WQA112" s="1740"/>
      <c r="WQB112" s="1740"/>
      <c r="WQC112" s="1740"/>
      <c r="WQD112" s="1740"/>
      <c r="WQE112" s="1740"/>
      <c r="WQF112" s="1740"/>
      <c r="WQG112" s="1740"/>
      <c r="WQH112" s="1740"/>
      <c r="WQI112" s="1740"/>
      <c r="WQJ112" s="1740"/>
      <c r="WQK112" s="1740"/>
      <c r="WQL112" s="1740"/>
      <c r="WQM112" s="1740"/>
      <c r="WQN112" s="1740"/>
      <c r="WQO112" s="1740"/>
      <c r="WQP112" s="1740"/>
      <c r="WQQ112" s="1740"/>
      <c r="WQR112" s="1740"/>
      <c r="WQS112" s="1740"/>
      <c r="WQT112" s="1740"/>
      <c r="WQU112" s="1740"/>
      <c r="WQV112" s="1740"/>
      <c r="WQW112" s="1740"/>
      <c r="WQX112" s="1740"/>
      <c r="WQY112" s="1740"/>
      <c r="WQZ112" s="1740"/>
      <c r="WRA112" s="1740"/>
      <c r="WRB112" s="1740"/>
      <c r="WRC112" s="1740"/>
      <c r="WRD112" s="1740"/>
      <c r="WRE112" s="1740"/>
      <c r="WRF112" s="1740"/>
      <c r="WRG112" s="1740"/>
      <c r="WRH112" s="1740"/>
      <c r="WRI112" s="1740"/>
      <c r="WRJ112" s="1740"/>
      <c r="WRK112" s="1740"/>
      <c r="WRL112" s="1740"/>
      <c r="WRM112" s="1740"/>
      <c r="WRN112" s="1740"/>
      <c r="WRO112" s="1740"/>
      <c r="WRP112" s="1740"/>
      <c r="WRQ112" s="1740"/>
      <c r="WRR112" s="1740"/>
      <c r="WRS112" s="1740"/>
      <c r="WRT112" s="1740"/>
      <c r="WRU112" s="1740"/>
      <c r="WRV112" s="1740"/>
      <c r="WRW112" s="1740"/>
      <c r="WRX112" s="1740"/>
      <c r="WRY112" s="1740"/>
      <c r="WRZ112" s="1740"/>
      <c r="WSA112" s="1740"/>
      <c r="WSB112" s="1740"/>
      <c r="WSC112" s="1740"/>
      <c r="WSD112" s="1740"/>
      <c r="WSE112" s="1740"/>
      <c r="WSF112" s="1740"/>
      <c r="WSG112" s="1740"/>
      <c r="WSH112" s="1740"/>
      <c r="WSI112" s="1740"/>
      <c r="WSJ112" s="1740"/>
      <c r="WSK112" s="1740"/>
      <c r="WSL112" s="1740"/>
      <c r="WSM112" s="1740"/>
      <c r="WSN112" s="1740"/>
      <c r="WSO112" s="1740"/>
      <c r="WSP112" s="1740"/>
      <c r="WSQ112" s="1740"/>
      <c r="WSR112" s="1740"/>
      <c r="WSS112" s="1740"/>
      <c r="WST112" s="1740"/>
      <c r="WSU112" s="1740"/>
      <c r="WSV112" s="1740"/>
      <c r="WSW112" s="1740"/>
      <c r="WSX112" s="1740"/>
      <c r="WSY112" s="1740"/>
      <c r="WSZ112" s="1740"/>
      <c r="WTA112" s="1740"/>
      <c r="WTB112" s="1740"/>
      <c r="WTC112" s="1740"/>
      <c r="WTD112" s="1740"/>
      <c r="WTE112" s="1740"/>
      <c r="WTF112" s="1740"/>
      <c r="WTG112" s="1740"/>
      <c r="WTH112" s="1740"/>
      <c r="WTI112" s="1740"/>
      <c r="WTJ112" s="1740"/>
      <c r="WTK112" s="1740"/>
      <c r="WTL112" s="1740"/>
      <c r="WTM112" s="1740"/>
      <c r="WTN112" s="1740"/>
      <c r="WTO112" s="1740"/>
      <c r="WTP112" s="1740"/>
      <c r="WTQ112" s="1740"/>
      <c r="WTR112" s="1740"/>
      <c r="WTS112" s="1740"/>
      <c r="WTT112" s="1740"/>
      <c r="WTU112" s="1740"/>
      <c r="WTV112" s="1740"/>
      <c r="WTW112" s="1740"/>
      <c r="WTX112" s="1740"/>
      <c r="WTY112" s="1740"/>
      <c r="WTZ112" s="1740"/>
      <c r="WUA112" s="1740"/>
      <c r="WUB112" s="1740"/>
      <c r="WUC112" s="1740"/>
      <c r="WUD112" s="1740"/>
      <c r="WUE112" s="1740"/>
      <c r="WUF112" s="1740"/>
      <c r="WUG112" s="1740"/>
      <c r="WUH112" s="1740"/>
      <c r="WUI112" s="1740"/>
      <c r="WUJ112" s="1740"/>
      <c r="WUK112" s="1740"/>
      <c r="WUL112" s="1740"/>
      <c r="WUM112" s="1740"/>
      <c r="WUN112" s="1740"/>
      <c r="WUO112" s="1740"/>
      <c r="WUP112" s="1740"/>
      <c r="WUQ112" s="1740"/>
      <c r="WUR112" s="1740"/>
      <c r="WUS112" s="1740"/>
      <c r="WUT112" s="1740"/>
      <c r="WUU112" s="1740"/>
      <c r="WUV112" s="1740"/>
      <c r="WUW112" s="1740"/>
      <c r="WUX112" s="1740"/>
      <c r="WUY112" s="1740"/>
      <c r="WUZ112" s="1740"/>
      <c r="WVA112" s="1740"/>
      <c r="WVB112" s="1740"/>
      <c r="WVC112" s="1740"/>
      <c r="WVD112" s="1740"/>
      <c r="WVE112" s="1740"/>
      <c r="WVF112" s="1740"/>
      <c r="WVG112" s="1740"/>
      <c r="WVH112" s="1740"/>
      <c r="WVI112" s="1740"/>
      <c r="WVJ112" s="1740"/>
      <c r="WVK112" s="1740"/>
      <c r="WVL112" s="1740"/>
      <c r="WVM112" s="1740"/>
      <c r="WVN112" s="1740"/>
      <c r="WVO112" s="1740"/>
      <c r="WVP112" s="1740"/>
      <c r="WVQ112" s="1740"/>
      <c r="WVR112" s="1740"/>
      <c r="WVS112" s="1740"/>
      <c r="WVT112" s="1740"/>
      <c r="WVU112" s="1740"/>
      <c r="WVV112" s="1740"/>
      <c r="WVW112" s="1740"/>
      <c r="WVX112" s="1740"/>
      <c r="WVY112" s="1740"/>
      <c r="WVZ112" s="1740"/>
      <c r="WWA112" s="1740"/>
      <c r="WWB112" s="1740"/>
      <c r="WWC112" s="1740"/>
      <c r="WWD112" s="1740"/>
      <c r="WWE112" s="1740"/>
      <c r="WWF112" s="1740"/>
      <c r="WWG112" s="1740"/>
      <c r="WWH112" s="1740"/>
      <c r="WWI112" s="1740"/>
      <c r="WWJ112" s="1740"/>
      <c r="WWK112" s="1740"/>
      <c r="WWL112" s="1740"/>
      <c r="WWM112" s="1740"/>
      <c r="WWN112" s="1740"/>
      <c r="WWO112" s="1740"/>
      <c r="WWP112" s="1740"/>
      <c r="WWQ112" s="1740"/>
      <c r="WWR112" s="1740"/>
      <c r="WWS112" s="1740"/>
      <c r="WWT112" s="1740"/>
      <c r="WWU112" s="1740"/>
      <c r="WWV112" s="1740"/>
      <c r="WWW112" s="1740"/>
      <c r="WWX112" s="1740"/>
      <c r="WWY112" s="1740"/>
      <c r="WWZ112" s="1740"/>
      <c r="WXA112" s="1740"/>
      <c r="WXB112" s="1740"/>
      <c r="WXC112" s="1740"/>
      <c r="WXD112" s="1740"/>
      <c r="WXE112" s="1740"/>
      <c r="WXF112" s="1740"/>
      <c r="WXG112" s="1740"/>
      <c r="WXH112" s="1740"/>
      <c r="WXI112" s="1740"/>
      <c r="WXJ112" s="1740"/>
      <c r="WXK112" s="1740"/>
      <c r="WXL112" s="1740"/>
      <c r="WXM112" s="1740"/>
      <c r="WXN112" s="1740"/>
      <c r="WXO112" s="1740"/>
      <c r="WXP112" s="1740"/>
      <c r="WXQ112" s="1740"/>
      <c r="WXR112" s="1740"/>
      <c r="WXS112" s="1740"/>
      <c r="WXT112" s="1740"/>
      <c r="WXU112" s="1740"/>
      <c r="WXV112" s="1740"/>
      <c r="WXW112" s="1740"/>
      <c r="WXX112" s="1740"/>
      <c r="WXY112" s="1740"/>
      <c r="WXZ112" s="1740"/>
      <c r="WYA112" s="1740"/>
      <c r="WYB112" s="1740"/>
      <c r="WYC112" s="1740"/>
      <c r="WYD112" s="1740"/>
      <c r="WYE112" s="1740"/>
      <c r="WYF112" s="1740"/>
      <c r="WYG112" s="1740"/>
      <c r="WYH112" s="1740"/>
      <c r="WYI112" s="1740"/>
      <c r="WYJ112" s="1740"/>
      <c r="WYK112" s="1740"/>
      <c r="WYL112" s="1740"/>
      <c r="WYM112" s="1740"/>
      <c r="WYN112" s="1740"/>
      <c r="WYO112" s="1740"/>
      <c r="WYP112" s="1740"/>
      <c r="WYQ112" s="1740"/>
      <c r="WYR112" s="1740"/>
      <c r="WYS112" s="1740"/>
      <c r="WYT112" s="1740"/>
      <c r="WYU112" s="1740"/>
      <c r="WYV112" s="1740"/>
      <c r="WYW112" s="1740"/>
      <c r="WYX112" s="1740"/>
      <c r="WYY112" s="1740"/>
      <c r="WYZ112" s="1740"/>
      <c r="WZA112" s="1740"/>
      <c r="WZB112" s="1740"/>
      <c r="WZC112" s="1740"/>
      <c r="WZD112" s="1740"/>
      <c r="WZE112" s="1740"/>
      <c r="WZF112" s="1740"/>
      <c r="WZG112" s="1740"/>
      <c r="WZH112" s="1740"/>
      <c r="WZI112" s="1740"/>
      <c r="WZJ112" s="1740"/>
      <c r="WZK112" s="1740"/>
      <c r="WZL112" s="1740"/>
      <c r="WZM112" s="1740"/>
      <c r="WZN112" s="1740"/>
      <c r="WZO112" s="1740"/>
      <c r="WZP112" s="1740"/>
      <c r="WZQ112" s="1740"/>
      <c r="WZR112" s="1740"/>
      <c r="WZS112" s="1740"/>
      <c r="WZT112" s="1740"/>
      <c r="WZU112" s="1740"/>
      <c r="WZV112" s="1740"/>
      <c r="WZW112" s="1740"/>
      <c r="WZX112" s="1740"/>
      <c r="WZY112" s="1740"/>
      <c r="WZZ112" s="1740"/>
      <c r="XAA112" s="1740"/>
      <c r="XAB112" s="1740"/>
      <c r="XAC112" s="1740"/>
      <c r="XAD112" s="1740"/>
      <c r="XAE112" s="1740"/>
      <c r="XAF112" s="1740"/>
      <c r="XAG112" s="1740"/>
      <c r="XAH112" s="1740"/>
      <c r="XAI112" s="1740"/>
      <c r="XAJ112" s="1740"/>
      <c r="XAK112" s="1740"/>
      <c r="XAL112" s="1740"/>
      <c r="XAM112" s="1740"/>
      <c r="XAN112" s="1740"/>
      <c r="XAO112" s="1740"/>
      <c r="XAP112" s="1740"/>
      <c r="XAQ112" s="1740"/>
      <c r="XAR112" s="1740"/>
      <c r="XAS112" s="1740"/>
      <c r="XAT112" s="1740"/>
      <c r="XAU112" s="1740"/>
      <c r="XAV112" s="1740"/>
      <c r="XAW112" s="1740"/>
      <c r="XAX112" s="1740"/>
      <c r="XAY112" s="1740"/>
      <c r="XAZ112" s="1740"/>
      <c r="XBA112" s="1740"/>
      <c r="XBB112" s="1740"/>
      <c r="XBC112" s="1740"/>
      <c r="XBD112" s="1740"/>
      <c r="XBE112" s="1740"/>
      <c r="XBF112" s="1740"/>
      <c r="XBG112" s="1740"/>
      <c r="XBH112" s="1740"/>
      <c r="XBI112" s="1740"/>
      <c r="XBJ112" s="1740"/>
      <c r="XBK112" s="1740"/>
      <c r="XBL112" s="1740"/>
      <c r="XBM112" s="1740"/>
      <c r="XBN112" s="1740"/>
      <c r="XBO112" s="1740"/>
      <c r="XBP112" s="1740"/>
      <c r="XBQ112" s="1740"/>
      <c r="XBR112" s="1740"/>
      <c r="XBS112" s="1740"/>
      <c r="XBT112" s="1740"/>
      <c r="XBU112" s="1740"/>
      <c r="XBV112" s="1740"/>
      <c r="XBW112" s="1740"/>
      <c r="XBX112" s="1740"/>
      <c r="XBY112" s="1740"/>
      <c r="XBZ112" s="1740"/>
      <c r="XCA112" s="1740"/>
      <c r="XCB112" s="1740"/>
      <c r="XCC112" s="1740"/>
      <c r="XCD112" s="1740"/>
      <c r="XCE112" s="1740"/>
      <c r="XCF112" s="1740"/>
      <c r="XCG112" s="1740"/>
      <c r="XCH112" s="1740"/>
      <c r="XCI112" s="1740"/>
      <c r="XCJ112" s="1740"/>
      <c r="XCK112" s="1740"/>
      <c r="XCL112" s="1740"/>
      <c r="XCM112" s="1740"/>
      <c r="XCN112" s="1740"/>
      <c r="XCO112" s="1740"/>
      <c r="XCP112" s="1740"/>
      <c r="XCQ112" s="1740"/>
      <c r="XCR112" s="1740"/>
      <c r="XCS112" s="1740"/>
      <c r="XCT112" s="1740"/>
      <c r="XCU112" s="1740"/>
      <c r="XCV112" s="1740"/>
      <c r="XCW112" s="1740"/>
      <c r="XCX112" s="1740"/>
      <c r="XCY112" s="1740"/>
      <c r="XCZ112" s="1740"/>
      <c r="XDA112" s="1740"/>
      <c r="XDB112" s="1740"/>
      <c r="XDC112" s="1740"/>
      <c r="XDD112" s="1740"/>
      <c r="XDE112" s="1740"/>
      <c r="XDF112" s="1740"/>
      <c r="XDG112" s="1740"/>
      <c r="XDH112" s="1740"/>
      <c r="XDI112" s="1740"/>
      <c r="XDJ112" s="1740"/>
      <c r="XDK112" s="1740"/>
      <c r="XDL112" s="1740"/>
      <c r="XDM112" s="1740"/>
      <c r="XDN112" s="1740"/>
      <c r="XDO112" s="1740"/>
      <c r="XDP112" s="1740"/>
      <c r="XDQ112" s="1740"/>
      <c r="XDR112" s="1740"/>
      <c r="XDS112" s="1740"/>
      <c r="XDT112" s="1740"/>
      <c r="XDU112" s="1740"/>
      <c r="XDV112" s="1740"/>
      <c r="XDW112" s="1740"/>
      <c r="XDX112" s="1740"/>
      <c r="XDY112" s="1740"/>
      <c r="XDZ112" s="1740"/>
      <c r="XEA112" s="1740"/>
      <c r="XEB112" s="1740"/>
      <c r="XEC112" s="1740"/>
      <c r="XED112" s="1740"/>
      <c r="XEE112" s="1740"/>
      <c r="XEF112" s="1740"/>
      <c r="XEG112" s="1740"/>
      <c r="XEH112" s="1740"/>
      <c r="XEI112" s="1740"/>
      <c r="XEJ112" s="1740"/>
      <c r="XEK112" s="1740"/>
      <c r="XEL112" s="1740"/>
      <c r="XEM112" s="1740"/>
      <c r="XEN112" s="1740"/>
      <c r="XEO112" s="1740"/>
      <c r="XEP112" s="1740"/>
      <c r="XEQ112" s="1740"/>
      <c r="XER112" s="1740"/>
      <c r="XES112" s="1740"/>
      <c r="XET112" s="1740"/>
      <c r="XEU112" s="1740"/>
      <c r="XEV112" s="1740"/>
      <c r="XEW112" s="1740"/>
      <c r="XEX112" s="1740"/>
      <c r="XEY112" s="1740"/>
      <c r="XEZ112" s="1740"/>
      <c r="XFA112" s="1740"/>
    </row>
    <row r="113" spans="1:16381" s="34" customFormat="1" ht="14.4">
      <c r="A113" s="29" t="str">
        <f t="shared" si="24"/>
        <v/>
      </c>
      <c r="B113" s="109"/>
      <c r="C113" s="112"/>
      <c r="D113" s="120"/>
      <c r="E113" s="196" t="s">
        <v>3378</v>
      </c>
      <c r="F113" s="126"/>
      <c r="G113" s="73"/>
      <c r="H113" s="175"/>
      <c r="I113" s="177"/>
      <c r="J113" s="175"/>
      <c r="K113" s="39"/>
      <c r="L113" s="39"/>
      <c r="M113" s="39"/>
      <c r="N113" s="178"/>
    </row>
    <row r="114" spans="1:16381" s="34" customFormat="1">
      <c r="A114" s="29" t="str">
        <f t="shared" si="24"/>
        <v/>
      </c>
      <c r="B114" s="125" t="s">
        <v>5599</v>
      </c>
      <c r="C114" s="119"/>
      <c r="D114" s="120"/>
      <c r="E114" s="151" t="str">
        <f>VLOOKUP($B114,dongia1,DG!$C$5,)&amp;": 0,31m3/m"</f>
        <v>Cát vàng: 0,31m3/m</v>
      </c>
      <c r="F114" s="120" t="str">
        <f>VLOOKUP($B114,dongia1,DG!$D$5,)</f>
        <v>m3</v>
      </c>
      <c r="G114" s="74">
        <f>G112*0.31</f>
        <v>0</v>
      </c>
      <c r="H114" s="121">
        <v>330000</v>
      </c>
      <c r="I114" s="121">
        <v>0</v>
      </c>
      <c r="J114" s="121">
        <v>0</v>
      </c>
      <c r="K114" s="39">
        <v>511500</v>
      </c>
      <c r="L114" s="39">
        <v>0</v>
      </c>
      <c r="M114" s="39">
        <v>0</v>
      </c>
      <c r="N114" s="39">
        <f t="shared" ref="N114:N125" si="25">J114*$G114</f>
        <v>0</v>
      </c>
      <c r="O114" s="39">
        <f t="shared" ref="O114:O125" si="26">K114*$G114</f>
        <v>0</v>
      </c>
      <c r="P114" s="161"/>
    </row>
    <row r="115" spans="1:16381" s="34" customFormat="1">
      <c r="A115" s="29" t="str">
        <f t="shared" si="24"/>
        <v/>
      </c>
      <c r="B115" s="159" t="s">
        <v>817</v>
      </c>
      <c r="C115" s="119"/>
      <c r="D115" s="120"/>
      <c r="E115" s="151" t="str">
        <f>VLOOKUP($B115,dongia1,DG!$C$5,)&amp;": 0,1m3/m"</f>
        <v>Đá 2x4: 0,1m3/m</v>
      </c>
      <c r="F115" s="120" t="str">
        <f>VLOOKUP($B115,dongia1,DG!$D$5,)</f>
        <v>m3</v>
      </c>
      <c r="G115" s="74">
        <f>G112*0.1</f>
        <v>0</v>
      </c>
      <c r="H115" s="121">
        <v>97231</v>
      </c>
      <c r="I115" s="121">
        <v>0</v>
      </c>
      <c r="J115" s="121">
        <v>0</v>
      </c>
      <c r="K115" s="39">
        <v>48615.5</v>
      </c>
      <c r="L115" s="39">
        <f t="shared" ref="L115:L125" si="27">H115*$G115</f>
        <v>0</v>
      </c>
      <c r="M115" s="39">
        <v>0</v>
      </c>
      <c r="N115" s="39">
        <f t="shared" si="25"/>
        <v>0</v>
      </c>
      <c r="O115" s="39">
        <f t="shared" si="26"/>
        <v>0</v>
      </c>
      <c r="P115" s="161"/>
    </row>
    <row r="116" spans="1:16381" s="34" customFormat="1">
      <c r="A116" s="29" t="str">
        <f t="shared" si="24"/>
        <v/>
      </c>
      <c r="B116" s="159" t="s">
        <v>1875</v>
      </c>
      <c r="C116" s="119"/>
      <c r="D116" s="120"/>
      <c r="E116" s="151" t="str">
        <f>VLOOKUP($B116,dongia1,DG!$C$5,)&amp;": 0,05m3/m"</f>
        <v>Bêtông nhựa nóng hạt thô: 0,05m3/m</v>
      </c>
      <c r="F116" s="120" t="str">
        <f>VLOOKUP($B116,dongia1,DG!$D$5,)</f>
        <v>m3</v>
      </c>
      <c r="G116" s="74">
        <f>G112*0.05</f>
        <v>0</v>
      </c>
      <c r="H116" s="121">
        <v>920580</v>
      </c>
      <c r="I116" s="121">
        <v>0</v>
      </c>
      <c r="J116" s="121">
        <v>0</v>
      </c>
      <c r="K116" s="39">
        <v>230145</v>
      </c>
      <c r="L116" s="39">
        <f t="shared" si="27"/>
        <v>0</v>
      </c>
      <c r="M116" s="39">
        <v>0</v>
      </c>
      <c r="N116" s="39">
        <f t="shared" si="25"/>
        <v>0</v>
      </c>
      <c r="O116" s="39">
        <f t="shared" si="26"/>
        <v>0</v>
      </c>
      <c r="P116" s="161"/>
    </row>
    <row r="117" spans="1:16381" s="34" customFormat="1">
      <c r="A117" s="29" t="str">
        <f t="shared" si="24"/>
        <v/>
      </c>
      <c r="B117" s="159" t="s">
        <v>1495</v>
      </c>
      <c r="C117" s="119"/>
      <c r="D117" s="120"/>
      <c r="E117" s="151" t="str">
        <f>VLOOKUP($B117,dongia1,DG!$C$5,)</f>
        <v>Gạch tàu</v>
      </c>
      <c r="F117" s="120" t="str">
        <f>VLOOKUP($B117,dongia1,DG!$D$5,)</f>
        <v>viên</v>
      </c>
      <c r="G117" s="74">
        <f>3.3*G112</f>
        <v>0</v>
      </c>
      <c r="H117" s="121">
        <v>7000</v>
      </c>
      <c r="I117" s="121">
        <v>0</v>
      </c>
      <c r="J117" s="121">
        <v>0</v>
      </c>
      <c r="K117" s="39">
        <v>115500</v>
      </c>
      <c r="L117" s="39">
        <f t="shared" si="27"/>
        <v>0</v>
      </c>
      <c r="M117" s="39">
        <v>0</v>
      </c>
      <c r="N117" s="39">
        <f t="shared" si="25"/>
        <v>0</v>
      </c>
      <c r="O117" s="39">
        <f t="shared" si="26"/>
        <v>0</v>
      </c>
      <c r="P117" s="161"/>
    </row>
    <row r="118" spans="1:16381" s="34" customFormat="1">
      <c r="A118" s="29" t="str">
        <f t="shared" si="24"/>
        <v/>
      </c>
      <c r="B118" s="159" t="s">
        <v>1496</v>
      </c>
      <c r="C118" s="119"/>
      <c r="D118" s="120"/>
      <c r="E118" s="151" t="str">
        <f>VLOOKUP($B118,dongia1,DG!$C$5,)</f>
        <v>Tấm nilông màu cảnh báo</v>
      </c>
      <c r="F118" s="120" t="str">
        <f>VLOOKUP($B118,dongia1,DG!$D$5,)</f>
        <v>m2</v>
      </c>
      <c r="G118" s="74">
        <f>G112*0.3</f>
        <v>0</v>
      </c>
      <c r="H118" s="121">
        <v>5000</v>
      </c>
      <c r="I118" s="121">
        <v>0</v>
      </c>
      <c r="J118" s="121">
        <v>0</v>
      </c>
      <c r="K118" s="39">
        <v>7500</v>
      </c>
      <c r="L118" s="39">
        <f t="shared" si="27"/>
        <v>0</v>
      </c>
      <c r="M118" s="39">
        <v>0</v>
      </c>
      <c r="N118" s="39">
        <f t="shared" si="25"/>
        <v>0</v>
      </c>
      <c r="O118" s="39">
        <f t="shared" si="26"/>
        <v>0</v>
      </c>
      <c r="P118" s="161"/>
    </row>
    <row r="119" spans="1:16381" s="34" customFormat="1">
      <c r="A119" s="29" t="str">
        <f t="shared" si="24"/>
        <v/>
      </c>
      <c r="B119" s="16" t="s">
        <v>961</v>
      </c>
      <c r="C119" s="119"/>
      <c r="D119" s="120">
        <v>0</v>
      </c>
      <c r="E119" s="151" t="str">
        <f>VLOOKUP($B119,dongia1,DG!$C$5,)</f>
        <v xml:space="preserve">Ống PVC D114x4,9mm </v>
      </c>
      <c r="F119" s="120" t="str">
        <f>VLOOKUP($B119,dongia1,DG!$D$5,)</f>
        <v>m</v>
      </c>
      <c r="G119" s="74">
        <f>G112</f>
        <v>0</v>
      </c>
      <c r="H119" s="121">
        <v>103700</v>
      </c>
      <c r="I119" s="121">
        <v>0</v>
      </c>
      <c r="J119" s="121">
        <v>0</v>
      </c>
      <c r="K119" s="39">
        <v>518500</v>
      </c>
      <c r="L119" s="39">
        <f t="shared" si="27"/>
        <v>0</v>
      </c>
      <c r="M119" s="39">
        <v>0</v>
      </c>
      <c r="N119" s="39">
        <f t="shared" si="25"/>
        <v>0</v>
      </c>
      <c r="O119" s="39">
        <f t="shared" si="26"/>
        <v>0</v>
      </c>
      <c r="P119" s="161"/>
    </row>
    <row r="120" spans="1:16381" s="34" customFormat="1">
      <c r="A120" s="29" t="str">
        <f t="shared" si="24"/>
        <v/>
      </c>
      <c r="B120" s="159" t="s">
        <v>569</v>
      </c>
      <c r="C120" s="119"/>
      <c r="D120" s="120" t="str">
        <f>VLOOKUP($B120,dongia1,DG!$B$5,)</f>
        <v>AA.21431</v>
      </c>
      <c r="E120" s="151" t="str">
        <f>VLOOKUP($B120,dongia1,DG!$C$5,)</f>
        <v>Pha mặt đường đá dăm, nhựa, bê tông</v>
      </c>
      <c r="F120" s="120" t="str">
        <f>VLOOKUP($B120,dongia1,DG!$D$5,)</f>
        <v>m3</v>
      </c>
      <c r="G120" s="74">
        <f>G112*0.5</f>
        <v>0</v>
      </c>
      <c r="H120" s="121">
        <f>VLOOKUP($B136,dongia1,DG!$F$5,)</f>
        <v>0</v>
      </c>
      <c r="I120" s="179"/>
      <c r="J120" s="121">
        <f>VLOOKUP($B120,dongia1,DG!$G$5,)</f>
        <v>0</v>
      </c>
      <c r="K120" s="121">
        <f>VLOOKUP($B120,dongia1,DG!$H$5,)</f>
        <v>0</v>
      </c>
      <c r="L120" s="39">
        <f t="shared" si="27"/>
        <v>0</v>
      </c>
      <c r="M120" s="39">
        <v>0</v>
      </c>
      <c r="N120" s="39">
        <f t="shared" si="25"/>
        <v>0</v>
      </c>
      <c r="O120" s="39">
        <f t="shared" si="26"/>
        <v>0</v>
      </c>
      <c r="P120" s="161"/>
    </row>
    <row r="121" spans="1:16381" s="34" customFormat="1">
      <c r="A121" s="29" t="str">
        <f t="shared" si="24"/>
        <v/>
      </c>
      <c r="B121" s="180" t="s">
        <v>927</v>
      </c>
      <c r="C121" s="119"/>
      <c r="D121" s="120" t="str">
        <f>VLOOKUP($B121,dongia1,DG!$B$5,)</f>
        <v>D4.1413</v>
      </c>
      <c r="E121" s="151" t="str">
        <f>VLOOKUP($B121,dongia1,DG!$C$5,)</f>
        <v>Lắp ống nhựa PVC D&lt;=200mm</v>
      </c>
      <c r="F121" s="120" t="str">
        <f>VLOOKUP($B121,dongia1,DG!$D$5,)</f>
        <v>mét</v>
      </c>
      <c r="G121" s="74">
        <f>G119</f>
        <v>0</v>
      </c>
      <c r="H121" s="121"/>
      <c r="I121" s="179"/>
      <c r="J121" s="121">
        <f>VLOOKUP($B121,dongia1,DG!$G$5,)</f>
        <v>106616.73</v>
      </c>
      <c r="K121" s="121">
        <f>VLOOKUP($B121,dongia1,DG!$H$5,)</f>
        <v>0</v>
      </c>
      <c r="L121" s="39">
        <f t="shared" si="27"/>
        <v>0</v>
      </c>
      <c r="M121" s="62">
        <f>I121*$G121</f>
        <v>0</v>
      </c>
      <c r="N121" s="39">
        <f t="shared" si="25"/>
        <v>0</v>
      </c>
      <c r="O121" s="39">
        <f t="shared" si="26"/>
        <v>0</v>
      </c>
      <c r="P121" s="161"/>
    </row>
    <row r="122" spans="1:16381" s="34" customFormat="1">
      <c r="A122" s="29" t="str">
        <f t="shared" si="24"/>
        <v/>
      </c>
      <c r="B122" s="159" t="s">
        <v>101</v>
      </c>
      <c r="C122" s="119"/>
      <c r="D122" s="120" t="str">
        <f>VLOOKUP($B122,dongia1,DG!$B$5,)</f>
        <v>D4.1104</v>
      </c>
      <c r="E122" s="151" t="str">
        <f>VLOOKUP($B122,dongia1,DG!$C$5,)</f>
        <v>Lắp gạch làm dấu</v>
      </c>
      <c r="F122" s="120" t="str">
        <f>VLOOKUP($B122,dongia1,DG!$D$5,)</f>
        <v>viên</v>
      </c>
      <c r="G122" s="74">
        <f>+G115</f>
        <v>0</v>
      </c>
      <c r="H122" s="121">
        <v>0</v>
      </c>
      <c r="I122" s="121">
        <v>916.64</v>
      </c>
      <c r="J122" s="121">
        <v>0</v>
      </c>
      <c r="K122" s="39">
        <v>0</v>
      </c>
      <c r="L122" s="39">
        <f t="shared" si="27"/>
        <v>0</v>
      </c>
      <c r="M122" s="39">
        <v>0</v>
      </c>
      <c r="N122" s="39">
        <f t="shared" si="25"/>
        <v>0</v>
      </c>
      <c r="O122" s="39">
        <f t="shared" si="26"/>
        <v>0</v>
      </c>
      <c r="P122" s="161"/>
    </row>
    <row r="123" spans="1:16381" s="34" customFormat="1">
      <c r="A123" s="29" t="str">
        <f t="shared" si="24"/>
        <v/>
      </c>
      <c r="B123" s="159" t="s">
        <v>1498</v>
      </c>
      <c r="C123" s="119"/>
      <c r="D123" s="120" t="str">
        <f>VLOOKUP($B123,dongia1,DG!$B$5,)</f>
        <v>AB.66112</v>
      </c>
      <c r="E123" s="151" t="str">
        <f>VLOOKUP($B123,dongia1,DG!$C$5,)</f>
        <v>Rải cát đệm (độ chặt K=0,9)</v>
      </c>
      <c r="F123" s="120" t="str">
        <f>VLOOKUP($B123,dongia1,DG!$D$5,)</f>
        <v>m3</v>
      </c>
      <c r="G123" s="74">
        <f>+G116</f>
        <v>0</v>
      </c>
      <c r="H123" s="121"/>
      <c r="I123" s="121">
        <v>315277.5</v>
      </c>
      <c r="J123" s="121">
        <v>0</v>
      </c>
      <c r="K123" s="39">
        <v>0</v>
      </c>
      <c r="L123" s="39">
        <f t="shared" si="27"/>
        <v>0</v>
      </c>
      <c r="M123" s="39">
        <v>0</v>
      </c>
      <c r="N123" s="39">
        <f t="shared" si="25"/>
        <v>0</v>
      </c>
      <c r="O123" s="39">
        <f t="shared" si="26"/>
        <v>0</v>
      </c>
      <c r="P123" s="161"/>
    </row>
    <row r="124" spans="1:16381" s="34" customFormat="1">
      <c r="A124" s="29" t="str">
        <f t="shared" si="24"/>
        <v/>
      </c>
      <c r="B124" s="159" t="s">
        <v>291</v>
      </c>
      <c r="C124" s="119"/>
      <c r="D124" s="120" t="str">
        <f>VLOOKUP($B124,dongia1,DG!$B$5,)</f>
        <v>AB.11613</v>
      </c>
      <c r="E124" s="151" t="str">
        <f>VLOOKUP($B124,dongia1,DG!$C$5,)</f>
        <v>Đào mương cáp ngầm đất cấp 3 có mở ta luy</v>
      </c>
      <c r="F124" s="120" t="str">
        <f>VLOOKUP($B124,dongia1,DG!$D$5,)</f>
        <v>m3</v>
      </c>
      <c r="G124" s="74">
        <f>+G117</f>
        <v>0</v>
      </c>
      <c r="H124" s="121"/>
      <c r="I124" s="121">
        <v>640731.36</v>
      </c>
      <c r="J124" s="121">
        <v>0</v>
      </c>
      <c r="K124" s="39">
        <v>0</v>
      </c>
      <c r="L124" s="39">
        <f t="shared" si="27"/>
        <v>0</v>
      </c>
      <c r="M124" s="39">
        <v>0</v>
      </c>
      <c r="N124" s="39">
        <f t="shared" si="25"/>
        <v>0</v>
      </c>
      <c r="O124" s="39">
        <f t="shared" si="26"/>
        <v>0</v>
      </c>
      <c r="P124" s="161"/>
    </row>
    <row r="125" spans="1:16381" s="34" customFormat="1">
      <c r="A125" s="29" t="str">
        <f t="shared" si="24"/>
        <v/>
      </c>
      <c r="B125" s="159" t="s">
        <v>2066</v>
      </c>
      <c r="C125" s="119"/>
      <c r="D125" s="120" t="str">
        <f>VLOOKUP($B125,dongia1,DG!$B$5,)</f>
        <v>AF.11220</v>
      </c>
      <c r="E125" s="151" t="str">
        <f>VLOOKUP($B125,dongia1,DG!$C$5,)</f>
        <v>Đổ bê tông mác M200 đá 1x 2rộng &gt;250cm</v>
      </c>
      <c r="F125" s="120" t="str">
        <f>VLOOKUP($B125,dongia1,DG!$D$5,)</f>
        <v>m3</v>
      </c>
      <c r="G125" s="74">
        <f>+G118</f>
        <v>0</v>
      </c>
      <c r="H125" s="121"/>
      <c r="I125" s="121">
        <v>466397.5</v>
      </c>
      <c r="J125" s="121">
        <v>0</v>
      </c>
      <c r="K125" s="39">
        <v>0</v>
      </c>
      <c r="L125" s="39">
        <f t="shared" si="27"/>
        <v>0</v>
      </c>
      <c r="M125" s="39">
        <v>0</v>
      </c>
      <c r="N125" s="39">
        <f t="shared" si="25"/>
        <v>0</v>
      </c>
      <c r="O125" s="39">
        <f t="shared" si="26"/>
        <v>0</v>
      </c>
      <c r="P125" s="161"/>
    </row>
    <row r="126" spans="1:16381" s="34" customFormat="1">
      <c r="A126" s="29" t="str">
        <f t="shared" si="21"/>
        <v/>
      </c>
      <c r="B126" s="1732"/>
      <c r="C126" s="166">
        <f>IF(G126&gt;0,C112+1,C112)</f>
        <v>0</v>
      </c>
      <c r="D126" s="1733"/>
      <c r="E126" s="168" t="s">
        <v>5748</v>
      </c>
      <c r="F126" s="169" t="s">
        <v>2307</v>
      </c>
      <c r="G126" s="1734">
        <f>ppCN!BD40</f>
        <v>0</v>
      </c>
      <c r="H126" s="193"/>
      <c r="I126" s="1736"/>
      <c r="J126" s="1736"/>
      <c r="K126" s="1737">
        <v>0</v>
      </c>
      <c r="L126" s="1737">
        <v>0</v>
      </c>
      <c r="M126" s="1737">
        <v>0</v>
      </c>
      <c r="N126" s="1737"/>
      <c r="O126" s="1737"/>
      <c r="P126" s="1739"/>
      <c r="Q126" s="1740"/>
      <c r="R126" s="1740"/>
      <c r="S126" s="1740"/>
      <c r="T126" s="1740"/>
      <c r="U126" s="1740"/>
      <c r="V126" s="1740"/>
      <c r="W126" s="1740"/>
      <c r="X126" s="1740"/>
      <c r="Y126" s="1740"/>
      <c r="Z126" s="1740"/>
      <c r="AA126" s="1740"/>
      <c r="AB126" s="1740"/>
      <c r="AC126" s="1740"/>
      <c r="AD126" s="1740"/>
      <c r="AE126" s="1740"/>
      <c r="AF126" s="1740"/>
      <c r="AG126" s="1740"/>
      <c r="AH126" s="1740"/>
      <c r="AI126" s="1740"/>
      <c r="AJ126" s="1740"/>
      <c r="AK126" s="1740"/>
      <c r="AL126" s="1740"/>
      <c r="AM126" s="1740"/>
      <c r="AN126" s="1740"/>
      <c r="AO126" s="1740"/>
      <c r="AP126" s="1740"/>
      <c r="AQ126" s="1740"/>
      <c r="AR126" s="1740"/>
      <c r="AS126" s="1740"/>
      <c r="AT126" s="1740"/>
      <c r="AU126" s="1740"/>
      <c r="AV126" s="1740"/>
      <c r="AW126" s="1740"/>
      <c r="AX126" s="1740"/>
      <c r="AY126" s="1740"/>
      <c r="AZ126" s="1740"/>
      <c r="BA126" s="1740"/>
      <c r="BB126" s="1740"/>
      <c r="BC126" s="1740"/>
      <c r="BD126" s="1740"/>
      <c r="BE126" s="1740"/>
      <c r="BF126" s="1740"/>
      <c r="BG126" s="1740"/>
      <c r="BH126" s="1740"/>
      <c r="BI126" s="1740"/>
      <c r="BJ126" s="1740"/>
      <c r="BK126" s="1740"/>
      <c r="BL126" s="1740"/>
      <c r="BM126" s="1740"/>
      <c r="BN126" s="1740"/>
      <c r="BO126" s="1740"/>
      <c r="BP126" s="1740"/>
      <c r="BQ126" s="1740"/>
      <c r="BR126" s="1740"/>
      <c r="BS126" s="1740"/>
      <c r="BT126" s="1740"/>
      <c r="BU126" s="1740"/>
      <c r="BV126" s="1740"/>
      <c r="BW126" s="1740"/>
      <c r="BX126" s="1740"/>
      <c r="BY126" s="1740"/>
      <c r="BZ126" s="1740"/>
      <c r="CA126" s="1740"/>
      <c r="CB126" s="1740"/>
      <c r="CC126" s="1740"/>
      <c r="CD126" s="1740"/>
      <c r="CE126" s="1740"/>
      <c r="CF126" s="1740"/>
      <c r="CG126" s="1740"/>
      <c r="CH126" s="1740"/>
      <c r="CI126" s="1740"/>
      <c r="CJ126" s="1740"/>
      <c r="CK126" s="1740"/>
      <c r="CL126" s="1740"/>
      <c r="CM126" s="1740"/>
      <c r="CN126" s="1740"/>
      <c r="CO126" s="1740"/>
      <c r="CP126" s="1740"/>
      <c r="CQ126" s="1740"/>
      <c r="CR126" s="1740"/>
      <c r="CS126" s="1740"/>
      <c r="CT126" s="1740"/>
      <c r="CU126" s="1740"/>
      <c r="CV126" s="1740"/>
      <c r="CW126" s="1740"/>
      <c r="CX126" s="1740"/>
      <c r="CY126" s="1740"/>
      <c r="CZ126" s="1740"/>
      <c r="DA126" s="1740"/>
      <c r="DB126" s="1740"/>
      <c r="DC126" s="1740"/>
      <c r="DD126" s="1740"/>
      <c r="DE126" s="1740"/>
      <c r="DF126" s="1740"/>
      <c r="DG126" s="1740"/>
      <c r="DH126" s="1740"/>
      <c r="DI126" s="1740"/>
      <c r="DJ126" s="1740"/>
      <c r="DK126" s="1740"/>
      <c r="DL126" s="1740"/>
      <c r="DM126" s="1740"/>
      <c r="DN126" s="1740"/>
      <c r="DO126" s="1740"/>
      <c r="DP126" s="1740"/>
      <c r="DQ126" s="1740"/>
      <c r="DR126" s="1740"/>
      <c r="DS126" s="1740"/>
      <c r="DT126" s="1740"/>
      <c r="DU126" s="1740"/>
      <c r="DV126" s="1740"/>
      <c r="DW126" s="1740"/>
      <c r="DX126" s="1740"/>
      <c r="DY126" s="1740"/>
      <c r="DZ126" s="1740"/>
      <c r="EA126" s="1740"/>
      <c r="EB126" s="1740"/>
      <c r="EC126" s="1740"/>
      <c r="ED126" s="1740"/>
      <c r="EE126" s="1740"/>
      <c r="EF126" s="1740"/>
      <c r="EG126" s="1740"/>
      <c r="EH126" s="1740"/>
      <c r="EI126" s="1740"/>
      <c r="EJ126" s="1740"/>
      <c r="EK126" s="1740"/>
      <c r="EL126" s="1740"/>
      <c r="EM126" s="1740"/>
      <c r="EN126" s="1740"/>
      <c r="EO126" s="1740"/>
      <c r="EP126" s="1740"/>
      <c r="EQ126" s="1740"/>
      <c r="ER126" s="1740"/>
      <c r="ES126" s="1740"/>
      <c r="ET126" s="1740"/>
      <c r="EU126" s="1740"/>
      <c r="EV126" s="1740"/>
      <c r="EW126" s="1740"/>
      <c r="EX126" s="1740"/>
      <c r="EY126" s="1740"/>
      <c r="EZ126" s="1740"/>
      <c r="FA126" s="1740"/>
      <c r="FB126" s="1740"/>
      <c r="FC126" s="1740"/>
      <c r="FD126" s="1740"/>
      <c r="FE126" s="1740"/>
      <c r="FF126" s="1740"/>
      <c r="FG126" s="1740"/>
      <c r="FH126" s="1740"/>
      <c r="FI126" s="1740"/>
      <c r="FJ126" s="1740"/>
      <c r="FK126" s="1740"/>
      <c r="FL126" s="1740"/>
      <c r="FM126" s="1740"/>
      <c r="FN126" s="1740"/>
      <c r="FO126" s="1740"/>
      <c r="FP126" s="1740"/>
      <c r="FQ126" s="1740"/>
      <c r="FR126" s="1740"/>
      <c r="FS126" s="1740"/>
      <c r="FT126" s="1740"/>
      <c r="FU126" s="1740"/>
      <c r="FV126" s="1740"/>
      <c r="FW126" s="1740"/>
      <c r="FX126" s="1740"/>
      <c r="FY126" s="1740"/>
      <c r="FZ126" s="1740"/>
      <c r="GA126" s="1740"/>
      <c r="GB126" s="1740"/>
      <c r="GC126" s="1740"/>
      <c r="GD126" s="1740"/>
      <c r="GE126" s="1740"/>
      <c r="GF126" s="1740"/>
      <c r="GG126" s="1740"/>
      <c r="GH126" s="1740"/>
      <c r="GI126" s="1740"/>
      <c r="GJ126" s="1740"/>
      <c r="GK126" s="1740"/>
      <c r="GL126" s="1740"/>
      <c r="GM126" s="1740"/>
      <c r="GN126" s="1740"/>
      <c r="GO126" s="1740"/>
      <c r="GP126" s="1740"/>
      <c r="GQ126" s="1740"/>
      <c r="GR126" s="1740"/>
      <c r="GS126" s="1740"/>
      <c r="GT126" s="1740"/>
      <c r="GU126" s="1740"/>
      <c r="GV126" s="1740"/>
      <c r="GW126" s="1740"/>
      <c r="GX126" s="1740"/>
      <c r="GY126" s="1740"/>
      <c r="GZ126" s="1740"/>
      <c r="HA126" s="1740"/>
      <c r="HB126" s="1740"/>
      <c r="HC126" s="1740"/>
      <c r="HD126" s="1740"/>
      <c r="HE126" s="1740"/>
      <c r="HF126" s="1740"/>
      <c r="HG126" s="1740"/>
      <c r="HH126" s="1740"/>
      <c r="HI126" s="1740"/>
      <c r="HJ126" s="1740"/>
      <c r="HK126" s="1740"/>
      <c r="HL126" s="1740"/>
      <c r="HM126" s="1740"/>
      <c r="HN126" s="1740"/>
      <c r="HO126" s="1740"/>
      <c r="HP126" s="1740"/>
      <c r="HQ126" s="1740"/>
      <c r="HR126" s="1740"/>
      <c r="HS126" s="1740"/>
      <c r="HT126" s="1740"/>
      <c r="HU126" s="1740"/>
      <c r="HV126" s="1740"/>
      <c r="HW126" s="1740"/>
      <c r="HX126" s="1740"/>
      <c r="HY126" s="1740"/>
      <c r="HZ126" s="1740"/>
      <c r="IA126" s="1740"/>
      <c r="IB126" s="1740"/>
      <c r="IC126" s="1740"/>
      <c r="ID126" s="1740"/>
      <c r="IE126" s="1740"/>
      <c r="IF126" s="1740"/>
      <c r="IG126" s="1740"/>
      <c r="IH126" s="1740"/>
      <c r="II126" s="1740"/>
      <c r="IJ126" s="1740"/>
      <c r="IK126" s="1740"/>
      <c r="IL126" s="1740"/>
      <c r="IM126" s="1740"/>
      <c r="IN126" s="1740"/>
      <c r="IO126" s="1740"/>
      <c r="IP126" s="1740"/>
      <c r="IQ126" s="1740"/>
      <c r="IR126" s="1740"/>
      <c r="IS126" s="1740"/>
      <c r="IT126" s="1740"/>
      <c r="IU126" s="1740"/>
      <c r="IV126" s="1740"/>
      <c r="IW126" s="1740"/>
      <c r="IX126" s="1740"/>
      <c r="IY126" s="1740"/>
      <c r="IZ126" s="1740"/>
      <c r="JA126" s="1740"/>
      <c r="JB126" s="1740"/>
      <c r="JC126" s="1740"/>
      <c r="JD126" s="1740"/>
      <c r="JE126" s="1740"/>
      <c r="JF126" s="1740"/>
      <c r="JG126" s="1740"/>
      <c r="JH126" s="1740"/>
      <c r="JI126" s="1740"/>
      <c r="JJ126" s="1740"/>
      <c r="JK126" s="1740"/>
      <c r="JL126" s="1740"/>
      <c r="JM126" s="1740"/>
      <c r="JN126" s="1740"/>
      <c r="JO126" s="1740"/>
      <c r="JP126" s="1740"/>
      <c r="JQ126" s="1740"/>
      <c r="JR126" s="1740"/>
      <c r="JS126" s="1740"/>
      <c r="JT126" s="1740"/>
      <c r="JU126" s="1740"/>
      <c r="JV126" s="1740"/>
      <c r="JW126" s="1740"/>
      <c r="JX126" s="1740"/>
      <c r="JY126" s="1740"/>
      <c r="JZ126" s="1740"/>
      <c r="KA126" s="1740"/>
      <c r="KB126" s="1740"/>
      <c r="KC126" s="1740"/>
      <c r="KD126" s="1740"/>
      <c r="KE126" s="1740"/>
      <c r="KF126" s="1740"/>
      <c r="KG126" s="1740"/>
      <c r="KH126" s="1740"/>
      <c r="KI126" s="1740"/>
      <c r="KJ126" s="1740"/>
      <c r="KK126" s="1740"/>
      <c r="KL126" s="1740"/>
      <c r="KM126" s="1740"/>
      <c r="KN126" s="1740"/>
      <c r="KO126" s="1740"/>
      <c r="KP126" s="1740"/>
      <c r="KQ126" s="1740"/>
      <c r="KR126" s="1740"/>
      <c r="KS126" s="1740"/>
      <c r="KT126" s="1740"/>
      <c r="KU126" s="1740"/>
      <c r="KV126" s="1740"/>
      <c r="KW126" s="1740"/>
      <c r="KX126" s="1740"/>
      <c r="KY126" s="1740"/>
      <c r="KZ126" s="1740"/>
      <c r="LA126" s="1740"/>
      <c r="LB126" s="1740"/>
      <c r="LC126" s="1740"/>
      <c r="LD126" s="1740"/>
      <c r="LE126" s="1740"/>
      <c r="LF126" s="1740"/>
      <c r="LG126" s="1740"/>
      <c r="LH126" s="1740"/>
      <c r="LI126" s="1740"/>
      <c r="LJ126" s="1740"/>
      <c r="LK126" s="1740"/>
      <c r="LL126" s="1740"/>
      <c r="LM126" s="1740"/>
      <c r="LN126" s="1740"/>
      <c r="LO126" s="1740"/>
      <c r="LP126" s="1740"/>
      <c r="LQ126" s="1740"/>
      <c r="LR126" s="1740"/>
      <c r="LS126" s="1740"/>
      <c r="LT126" s="1740"/>
      <c r="LU126" s="1740"/>
      <c r="LV126" s="1740"/>
      <c r="LW126" s="1740"/>
      <c r="LX126" s="1740"/>
      <c r="LY126" s="1740"/>
      <c r="LZ126" s="1740"/>
      <c r="MA126" s="1740"/>
      <c r="MB126" s="1740"/>
      <c r="MC126" s="1740"/>
      <c r="MD126" s="1740"/>
      <c r="ME126" s="1740"/>
      <c r="MF126" s="1740"/>
      <c r="MG126" s="1740"/>
      <c r="MH126" s="1740"/>
      <c r="MI126" s="1740"/>
      <c r="MJ126" s="1740"/>
      <c r="MK126" s="1740"/>
      <c r="ML126" s="1740"/>
      <c r="MM126" s="1740"/>
      <c r="MN126" s="1740"/>
      <c r="MO126" s="1740"/>
      <c r="MP126" s="1740"/>
      <c r="MQ126" s="1740"/>
      <c r="MR126" s="1740"/>
      <c r="MS126" s="1740"/>
      <c r="MT126" s="1740"/>
      <c r="MU126" s="1740"/>
      <c r="MV126" s="1740"/>
      <c r="MW126" s="1740"/>
      <c r="MX126" s="1740"/>
      <c r="MY126" s="1740"/>
      <c r="MZ126" s="1740"/>
      <c r="NA126" s="1740"/>
      <c r="NB126" s="1740"/>
      <c r="NC126" s="1740"/>
      <c r="ND126" s="1740"/>
      <c r="NE126" s="1740"/>
      <c r="NF126" s="1740"/>
      <c r="NG126" s="1740"/>
      <c r="NH126" s="1740"/>
      <c r="NI126" s="1740"/>
      <c r="NJ126" s="1740"/>
      <c r="NK126" s="1740"/>
      <c r="NL126" s="1740"/>
      <c r="NM126" s="1740"/>
      <c r="NN126" s="1740"/>
      <c r="NO126" s="1740"/>
      <c r="NP126" s="1740"/>
      <c r="NQ126" s="1740"/>
      <c r="NR126" s="1740"/>
      <c r="NS126" s="1740"/>
      <c r="NT126" s="1740"/>
      <c r="NU126" s="1740"/>
      <c r="NV126" s="1740"/>
      <c r="NW126" s="1740"/>
      <c r="NX126" s="1740"/>
      <c r="NY126" s="1740"/>
      <c r="NZ126" s="1740"/>
      <c r="OA126" s="1740"/>
      <c r="OB126" s="1740"/>
      <c r="OC126" s="1740"/>
      <c r="OD126" s="1740"/>
      <c r="OE126" s="1740"/>
      <c r="OF126" s="1740"/>
      <c r="OG126" s="1740"/>
      <c r="OH126" s="1740"/>
      <c r="OI126" s="1740"/>
      <c r="OJ126" s="1740"/>
      <c r="OK126" s="1740"/>
      <c r="OL126" s="1740"/>
      <c r="OM126" s="1740"/>
      <c r="ON126" s="1740"/>
      <c r="OO126" s="1740"/>
      <c r="OP126" s="1740"/>
      <c r="OQ126" s="1740"/>
      <c r="OR126" s="1740"/>
      <c r="OS126" s="1740"/>
      <c r="OT126" s="1740"/>
      <c r="OU126" s="1740"/>
      <c r="OV126" s="1740"/>
      <c r="OW126" s="1740"/>
      <c r="OX126" s="1740"/>
      <c r="OY126" s="1740"/>
      <c r="OZ126" s="1740"/>
      <c r="PA126" s="1740"/>
      <c r="PB126" s="1740"/>
      <c r="PC126" s="1740"/>
      <c r="PD126" s="1740"/>
      <c r="PE126" s="1740"/>
      <c r="PF126" s="1740"/>
      <c r="PG126" s="1740"/>
      <c r="PH126" s="1740"/>
      <c r="PI126" s="1740"/>
      <c r="PJ126" s="1740"/>
      <c r="PK126" s="1740"/>
      <c r="PL126" s="1740"/>
      <c r="PM126" s="1740"/>
      <c r="PN126" s="1740"/>
      <c r="PO126" s="1740"/>
      <c r="PP126" s="1740"/>
      <c r="PQ126" s="1740"/>
      <c r="PR126" s="1740"/>
      <c r="PS126" s="1740"/>
      <c r="PT126" s="1740"/>
      <c r="PU126" s="1740"/>
      <c r="PV126" s="1740"/>
      <c r="PW126" s="1740"/>
      <c r="PX126" s="1740"/>
      <c r="PY126" s="1740"/>
      <c r="PZ126" s="1740"/>
      <c r="QA126" s="1740"/>
      <c r="QB126" s="1740"/>
      <c r="QC126" s="1740"/>
      <c r="QD126" s="1740"/>
      <c r="QE126" s="1740"/>
      <c r="QF126" s="1740"/>
      <c r="QG126" s="1740"/>
      <c r="QH126" s="1740"/>
      <c r="QI126" s="1740"/>
      <c r="QJ126" s="1740"/>
      <c r="QK126" s="1740"/>
      <c r="QL126" s="1740"/>
      <c r="QM126" s="1740"/>
      <c r="QN126" s="1740"/>
      <c r="QO126" s="1740"/>
      <c r="QP126" s="1740"/>
      <c r="QQ126" s="1740"/>
      <c r="QR126" s="1740"/>
      <c r="QS126" s="1740"/>
      <c r="QT126" s="1740"/>
      <c r="QU126" s="1740"/>
      <c r="QV126" s="1740"/>
      <c r="QW126" s="1740"/>
      <c r="QX126" s="1740"/>
      <c r="QY126" s="1740"/>
      <c r="QZ126" s="1740"/>
      <c r="RA126" s="1740"/>
      <c r="RB126" s="1740"/>
      <c r="RC126" s="1740"/>
      <c r="RD126" s="1740"/>
      <c r="RE126" s="1740"/>
      <c r="RF126" s="1740"/>
      <c r="RG126" s="1740"/>
      <c r="RH126" s="1740"/>
      <c r="RI126" s="1740"/>
      <c r="RJ126" s="1740"/>
      <c r="RK126" s="1740"/>
      <c r="RL126" s="1740"/>
      <c r="RM126" s="1740"/>
      <c r="RN126" s="1740"/>
      <c r="RO126" s="1740"/>
      <c r="RP126" s="1740"/>
      <c r="RQ126" s="1740"/>
      <c r="RR126" s="1740"/>
      <c r="RS126" s="1740"/>
      <c r="RT126" s="1740"/>
      <c r="RU126" s="1740"/>
      <c r="RV126" s="1740"/>
      <c r="RW126" s="1740"/>
      <c r="RX126" s="1740"/>
      <c r="RY126" s="1740"/>
      <c r="RZ126" s="1740"/>
      <c r="SA126" s="1740"/>
      <c r="SB126" s="1740"/>
      <c r="SC126" s="1740"/>
      <c r="SD126" s="1740"/>
      <c r="SE126" s="1740"/>
      <c r="SF126" s="1740"/>
      <c r="SG126" s="1740"/>
      <c r="SH126" s="1740"/>
      <c r="SI126" s="1740"/>
      <c r="SJ126" s="1740"/>
      <c r="SK126" s="1740"/>
      <c r="SL126" s="1740"/>
      <c r="SM126" s="1740"/>
      <c r="SN126" s="1740"/>
      <c r="SO126" s="1740"/>
      <c r="SP126" s="1740"/>
      <c r="SQ126" s="1740"/>
      <c r="SR126" s="1740"/>
      <c r="SS126" s="1740"/>
      <c r="ST126" s="1740"/>
      <c r="SU126" s="1740"/>
      <c r="SV126" s="1740"/>
      <c r="SW126" s="1740"/>
      <c r="SX126" s="1740"/>
      <c r="SY126" s="1740"/>
      <c r="SZ126" s="1740"/>
      <c r="TA126" s="1740"/>
      <c r="TB126" s="1740"/>
      <c r="TC126" s="1740"/>
      <c r="TD126" s="1740"/>
      <c r="TE126" s="1740"/>
      <c r="TF126" s="1740"/>
      <c r="TG126" s="1740"/>
      <c r="TH126" s="1740"/>
      <c r="TI126" s="1740"/>
      <c r="TJ126" s="1740"/>
      <c r="TK126" s="1740"/>
      <c r="TL126" s="1740"/>
      <c r="TM126" s="1740"/>
      <c r="TN126" s="1740"/>
      <c r="TO126" s="1740"/>
      <c r="TP126" s="1740"/>
      <c r="TQ126" s="1740"/>
      <c r="TR126" s="1740"/>
      <c r="TS126" s="1740"/>
      <c r="TT126" s="1740"/>
      <c r="TU126" s="1740"/>
      <c r="TV126" s="1740"/>
      <c r="TW126" s="1740"/>
      <c r="TX126" s="1740"/>
      <c r="TY126" s="1740"/>
      <c r="TZ126" s="1740"/>
      <c r="UA126" s="1740"/>
      <c r="UB126" s="1740"/>
      <c r="UC126" s="1740"/>
      <c r="UD126" s="1740"/>
      <c r="UE126" s="1740"/>
      <c r="UF126" s="1740"/>
      <c r="UG126" s="1740"/>
      <c r="UH126" s="1740"/>
      <c r="UI126" s="1740"/>
      <c r="UJ126" s="1740"/>
      <c r="UK126" s="1740"/>
      <c r="UL126" s="1740"/>
      <c r="UM126" s="1740"/>
      <c r="UN126" s="1740"/>
      <c r="UO126" s="1740"/>
      <c r="UP126" s="1740"/>
      <c r="UQ126" s="1740"/>
      <c r="UR126" s="1740"/>
      <c r="US126" s="1740"/>
      <c r="UT126" s="1740"/>
      <c r="UU126" s="1740"/>
      <c r="UV126" s="1740"/>
      <c r="UW126" s="1740"/>
      <c r="UX126" s="1740"/>
      <c r="UY126" s="1740"/>
      <c r="UZ126" s="1740"/>
      <c r="VA126" s="1740"/>
      <c r="VB126" s="1740"/>
      <c r="VC126" s="1740"/>
      <c r="VD126" s="1740"/>
      <c r="VE126" s="1740"/>
      <c r="VF126" s="1740"/>
      <c r="VG126" s="1740"/>
      <c r="VH126" s="1740"/>
      <c r="VI126" s="1740"/>
      <c r="VJ126" s="1740"/>
      <c r="VK126" s="1740"/>
      <c r="VL126" s="1740"/>
      <c r="VM126" s="1740"/>
      <c r="VN126" s="1740"/>
      <c r="VO126" s="1740"/>
      <c r="VP126" s="1740"/>
      <c r="VQ126" s="1740"/>
      <c r="VR126" s="1740"/>
      <c r="VS126" s="1740"/>
      <c r="VT126" s="1740"/>
      <c r="VU126" s="1740"/>
      <c r="VV126" s="1740"/>
      <c r="VW126" s="1740"/>
      <c r="VX126" s="1740"/>
      <c r="VY126" s="1740"/>
      <c r="VZ126" s="1740"/>
      <c r="WA126" s="1740"/>
      <c r="WB126" s="1740"/>
      <c r="WC126" s="1740"/>
      <c r="WD126" s="1740"/>
      <c r="WE126" s="1740"/>
      <c r="WF126" s="1740"/>
      <c r="WG126" s="1740"/>
      <c r="WH126" s="1740"/>
      <c r="WI126" s="1740"/>
      <c r="WJ126" s="1740"/>
      <c r="WK126" s="1740"/>
      <c r="WL126" s="1740"/>
      <c r="WM126" s="1740"/>
      <c r="WN126" s="1740"/>
      <c r="WO126" s="1740"/>
      <c r="WP126" s="1740"/>
      <c r="WQ126" s="1740"/>
      <c r="WR126" s="1740"/>
      <c r="WS126" s="1740"/>
      <c r="WT126" s="1740"/>
      <c r="WU126" s="1740"/>
      <c r="WV126" s="1740"/>
      <c r="WW126" s="1740"/>
      <c r="WX126" s="1740"/>
      <c r="WY126" s="1740"/>
      <c r="WZ126" s="1740"/>
      <c r="XA126" s="1740"/>
      <c r="XB126" s="1740"/>
      <c r="XC126" s="1740"/>
      <c r="XD126" s="1740"/>
      <c r="XE126" s="1740"/>
      <c r="XF126" s="1740"/>
      <c r="XG126" s="1740"/>
      <c r="XH126" s="1740"/>
      <c r="XI126" s="1740"/>
      <c r="XJ126" s="1740"/>
      <c r="XK126" s="1740"/>
      <c r="XL126" s="1740"/>
      <c r="XM126" s="1740"/>
      <c r="XN126" s="1740"/>
      <c r="XO126" s="1740"/>
      <c r="XP126" s="1740"/>
      <c r="XQ126" s="1740"/>
      <c r="XR126" s="1740"/>
      <c r="XS126" s="1740"/>
      <c r="XT126" s="1740"/>
      <c r="XU126" s="1740"/>
      <c r="XV126" s="1740"/>
      <c r="XW126" s="1740"/>
      <c r="XX126" s="1740"/>
      <c r="XY126" s="1740"/>
      <c r="XZ126" s="1740"/>
      <c r="YA126" s="1740"/>
      <c r="YB126" s="1740"/>
      <c r="YC126" s="1740"/>
      <c r="YD126" s="1740"/>
      <c r="YE126" s="1740"/>
      <c r="YF126" s="1740"/>
      <c r="YG126" s="1740"/>
      <c r="YH126" s="1740"/>
      <c r="YI126" s="1740"/>
      <c r="YJ126" s="1740"/>
      <c r="YK126" s="1740"/>
      <c r="YL126" s="1740"/>
      <c r="YM126" s="1740"/>
      <c r="YN126" s="1740"/>
      <c r="YO126" s="1740"/>
      <c r="YP126" s="1740"/>
      <c r="YQ126" s="1740"/>
      <c r="YR126" s="1740"/>
      <c r="YS126" s="1740"/>
      <c r="YT126" s="1740"/>
      <c r="YU126" s="1740"/>
      <c r="YV126" s="1740"/>
      <c r="YW126" s="1740"/>
      <c r="YX126" s="1740"/>
      <c r="YY126" s="1740"/>
      <c r="YZ126" s="1740"/>
      <c r="ZA126" s="1740"/>
      <c r="ZB126" s="1740"/>
      <c r="ZC126" s="1740"/>
      <c r="ZD126" s="1740"/>
      <c r="ZE126" s="1740"/>
      <c r="ZF126" s="1740"/>
      <c r="ZG126" s="1740"/>
      <c r="ZH126" s="1740"/>
      <c r="ZI126" s="1740"/>
      <c r="ZJ126" s="1740"/>
      <c r="ZK126" s="1740"/>
      <c r="ZL126" s="1740"/>
      <c r="ZM126" s="1740"/>
      <c r="ZN126" s="1740"/>
      <c r="ZO126" s="1740"/>
      <c r="ZP126" s="1740"/>
      <c r="ZQ126" s="1740"/>
      <c r="ZR126" s="1740"/>
      <c r="ZS126" s="1740"/>
      <c r="ZT126" s="1740"/>
      <c r="ZU126" s="1740"/>
      <c r="ZV126" s="1740"/>
      <c r="ZW126" s="1740"/>
      <c r="ZX126" s="1740"/>
      <c r="ZY126" s="1740"/>
      <c r="ZZ126" s="1740"/>
      <c r="AAA126" s="1740"/>
      <c r="AAB126" s="1740"/>
      <c r="AAC126" s="1740"/>
      <c r="AAD126" s="1740"/>
      <c r="AAE126" s="1740"/>
      <c r="AAF126" s="1740"/>
      <c r="AAG126" s="1740"/>
      <c r="AAH126" s="1740"/>
      <c r="AAI126" s="1740"/>
      <c r="AAJ126" s="1740"/>
      <c r="AAK126" s="1740"/>
      <c r="AAL126" s="1740"/>
      <c r="AAM126" s="1740"/>
      <c r="AAN126" s="1740"/>
      <c r="AAO126" s="1740"/>
      <c r="AAP126" s="1740"/>
      <c r="AAQ126" s="1740"/>
      <c r="AAR126" s="1740"/>
      <c r="AAS126" s="1740"/>
      <c r="AAT126" s="1740"/>
      <c r="AAU126" s="1740"/>
      <c r="AAV126" s="1740"/>
      <c r="AAW126" s="1740"/>
      <c r="AAX126" s="1740"/>
      <c r="AAY126" s="1740"/>
      <c r="AAZ126" s="1740"/>
      <c r="ABA126" s="1740"/>
      <c r="ABB126" s="1740"/>
      <c r="ABC126" s="1740"/>
      <c r="ABD126" s="1740"/>
      <c r="ABE126" s="1740"/>
      <c r="ABF126" s="1740"/>
      <c r="ABG126" s="1740"/>
      <c r="ABH126" s="1740"/>
      <c r="ABI126" s="1740"/>
      <c r="ABJ126" s="1740"/>
      <c r="ABK126" s="1740"/>
      <c r="ABL126" s="1740"/>
      <c r="ABM126" s="1740"/>
      <c r="ABN126" s="1740"/>
      <c r="ABO126" s="1740"/>
      <c r="ABP126" s="1740"/>
      <c r="ABQ126" s="1740"/>
      <c r="ABR126" s="1740"/>
      <c r="ABS126" s="1740"/>
      <c r="ABT126" s="1740"/>
      <c r="ABU126" s="1740"/>
      <c r="ABV126" s="1740"/>
      <c r="ABW126" s="1740"/>
      <c r="ABX126" s="1740"/>
      <c r="ABY126" s="1740"/>
      <c r="ABZ126" s="1740"/>
      <c r="ACA126" s="1740"/>
      <c r="ACB126" s="1740"/>
      <c r="ACC126" s="1740"/>
      <c r="ACD126" s="1740"/>
      <c r="ACE126" s="1740"/>
      <c r="ACF126" s="1740"/>
      <c r="ACG126" s="1740"/>
      <c r="ACH126" s="1740"/>
      <c r="ACI126" s="1740"/>
      <c r="ACJ126" s="1740"/>
      <c r="ACK126" s="1740"/>
      <c r="ACL126" s="1740"/>
      <c r="ACM126" s="1740"/>
      <c r="ACN126" s="1740"/>
      <c r="ACO126" s="1740"/>
      <c r="ACP126" s="1740"/>
      <c r="ACQ126" s="1740"/>
      <c r="ACR126" s="1740"/>
      <c r="ACS126" s="1740"/>
      <c r="ACT126" s="1740"/>
      <c r="ACU126" s="1740"/>
      <c r="ACV126" s="1740"/>
      <c r="ACW126" s="1740"/>
      <c r="ACX126" s="1740"/>
      <c r="ACY126" s="1740"/>
      <c r="ACZ126" s="1740"/>
      <c r="ADA126" s="1740"/>
      <c r="ADB126" s="1740"/>
      <c r="ADC126" s="1740"/>
      <c r="ADD126" s="1740"/>
      <c r="ADE126" s="1740"/>
      <c r="ADF126" s="1740"/>
      <c r="ADG126" s="1740"/>
      <c r="ADH126" s="1740"/>
      <c r="ADI126" s="1740"/>
      <c r="ADJ126" s="1740"/>
      <c r="ADK126" s="1740"/>
      <c r="ADL126" s="1740"/>
      <c r="ADM126" s="1740"/>
      <c r="ADN126" s="1740"/>
      <c r="ADO126" s="1740"/>
      <c r="ADP126" s="1740"/>
      <c r="ADQ126" s="1740"/>
      <c r="ADR126" s="1740"/>
      <c r="ADS126" s="1740"/>
      <c r="ADT126" s="1740"/>
      <c r="ADU126" s="1740"/>
      <c r="ADV126" s="1740"/>
      <c r="ADW126" s="1740"/>
      <c r="ADX126" s="1740"/>
      <c r="ADY126" s="1740"/>
      <c r="ADZ126" s="1740"/>
      <c r="AEA126" s="1740"/>
      <c r="AEB126" s="1740"/>
      <c r="AEC126" s="1740"/>
      <c r="AED126" s="1740"/>
      <c r="AEE126" s="1740"/>
      <c r="AEF126" s="1740"/>
      <c r="AEG126" s="1740"/>
      <c r="AEH126" s="1740"/>
      <c r="AEI126" s="1740"/>
      <c r="AEJ126" s="1740"/>
      <c r="AEK126" s="1740"/>
      <c r="AEL126" s="1740"/>
      <c r="AEM126" s="1740"/>
      <c r="AEN126" s="1740"/>
      <c r="AEO126" s="1740"/>
      <c r="AEP126" s="1740"/>
      <c r="AEQ126" s="1740"/>
      <c r="AER126" s="1740"/>
      <c r="AES126" s="1740"/>
      <c r="AET126" s="1740"/>
      <c r="AEU126" s="1740"/>
      <c r="AEV126" s="1740"/>
      <c r="AEW126" s="1740"/>
      <c r="AEX126" s="1740"/>
      <c r="AEY126" s="1740"/>
      <c r="AEZ126" s="1740"/>
      <c r="AFA126" s="1740"/>
      <c r="AFB126" s="1740"/>
      <c r="AFC126" s="1740"/>
      <c r="AFD126" s="1740"/>
      <c r="AFE126" s="1740"/>
      <c r="AFF126" s="1740"/>
      <c r="AFG126" s="1740"/>
      <c r="AFH126" s="1740"/>
      <c r="AFI126" s="1740"/>
      <c r="AFJ126" s="1740"/>
      <c r="AFK126" s="1740"/>
      <c r="AFL126" s="1740"/>
      <c r="AFM126" s="1740"/>
      <c r="AFN126" s="1740"/>
      <c r="AFO126" s="1740"/>
      <c r="AFP126" s="1740"/>
      <c r="AFQ126" s="1740"/>
      <c r="AFR126" s="1740"/>
      <c r="AFS126" s="1740"/>
      <c r="AFT126" s="1740"/>
      <c r="AFU126" s="1740"/>
      <c r="AFV126" s="1740"/>
      <c r="AFW126" s="1740"/>
      <c r="AFX126" s="1740"/>
      <c r="AFY126" s="1740"/>
      <c r="AFZ126" s="1740"/>
      <c r="AGA126" s="1740"/>
      <c r="AGB126" s="1740"/>
      <c r="AGC126" s="1740"/>
      <c r="AGD126" s="1740"/>
      <c r="AGE126" s="1740"/>
      <c r="AGF126" s="1740"/>
      <c r="AGG126" s="1740"/>
      <c r="AGH126" s="1740"/>
      <c r="AGI126" s="1740"/>
      <c r="AGJ126" s="1740"/>
      <c r="AGK126" s="1740"/>
      <c r="AGL126" s="1740"/>
      <c r="AGM126" s="1740"/>
      <c r="AGN126" s="1740"/>
      <c r="AGO126" s="1740"/>
      <c r="AGP126" s="1740"/>
      <c r="AGQ126" s="1740"/>
      <c r="AGR126" s="1740"/>
      <c r="AGS126" s="1740"/>
      <c r="AGT126" s="1740"/>
      <c r="AGU126" s="1740"/>
      <c r="AGV126" s="1740"/>
      <c r="AGW126" s="1740"/>
      <c r="AGX126" s="1740"/>
      <c r="AGY126" s="1740"/>
      <c r="AGZ126" s="1740"/>
      <c r="AHA126" s="1740"/>
      <c r="AHB126" s="1740"/>
      <c r="AHC126" s="1740"/>
      <c r="AHD126" s="1740"/>
      <c r="AHE126" s="1740"/>
      <c r="AHF126" s="1740"/>
      <c r="AHG126" s="1740"/>
      <c r="AHH126" s="1740"/>
      <c r="AHI126" s="1740"/>
      <c r="AHJ126" s="1740"/>
      <c r="AHK126" s="1740"/>
      <c r="AHL126" s="1740"/>
      <c r="AHM126" s="1740"/>
      <c r="AHN126" s="1740"/>
      <c r="AHO126" s="1740"/>
      <c r="AHP126" s="1740"/>
      <c r="AHQ126" s="1740"/>
      <c r="AHR126" s="1740"/>
      <c r="AHS126" s="1740"/>
      <c r="AHT126" s="1740"/>
      <c r="AHU126" s="1740"/>
      <c r="AHV126" s="1740"/>
      <c r="AHW126" s="1740"/>
      <c r="AHX126" s="1740"/>
      <c r="AHY126" s="1740"/>
      <c r="AHZ126" s="1740"/>
      <c r="AIA126" s="1740"/>
      <c r="AIB126" s="1740"/>
      <c r="AIC126" s="1740"/>
      <c r="AID126" s="1740"/>
      <c r="AIE126" s="1740"/>
      <c r="AIF126" s="1740"/>
      <c r="AIG126" s="1740"/>
      <c r="AIH126" s="1740"/>
      <c r="AII126" s="1740"/>
      <c r="AIJ126" s="1740"/>
      <c r="AIK126" s="1740"/>
      <c r="AIL126" s="1740"/>
      <c r="AIM126" s="1740"/>
      <c r="AIN126" s="1740"/>
      <c r="AIO126" s="1740"/>
      <c r="AIP126" s="1740"/>
      <c r="AIQ126" s="1740"/>
      <c r="AIR126" s="1740"/>
      <c r="AIS126" s="1740"/>
      <c r="AIT126" s="1740"/>
      <c r="AIU126" s="1740"/>
      <c r="AIV126" s="1740"/>
      <c r="AIW126" s="1740"/>
      <c r="AIX126" s="1740"/>
      <c r="AIY126" s="1740"/>
      <c r="AIZ126" s="1740"/>
      <c r="AJA126" s="1740"/>
      <c r="AJB126" s="1740"/>
      <c r="AJC126" s="1740"/>
      <c r="AJD126" s="1740"/>
      <c r="AJE126" s="1740"/>
      <c r="AJF126" s="1740"/>
      <c r="AJG126" s="1740"/>
      <c r="AJH126" s="1740"/>
      <c r="AJI126" s="1740"/>
      <c r="AJJ126" s="1740"/>
      <c r="AJK126" s="1740"/>
      <c r="AJL126" s="1740"/>
      <c r="AJM126" s="1740"/>
      <c r="AJN126" s="1740"/>
      <c r="AJO126" s="1740"/>
      <c r="AJP126" s="1740"/>
      <c r="AJQ126" s="1740"/>
      <c r="AJR126" s="1740"/>
      <c r="AJS126" s="1740"/>
      <c r="AJT126" s="1740"/>
      <c r="AJU126" s="1740"/>
      <c r="AJV126" s="1740"/>
      <c r="AJW126" s="1740"/>
      <c r="AJX126" s="1740"/>
      <c r="AJY126" s="1740"/>
      <c r="AJZ126" s="1740"/>
      <c r="AKA126" s="1740"/>
      <c r="AKB126" s="1740"/>
      <c r="AKC126" s="1740"/>
      <c r="AKD126" s="1740"/>
      <c r="AKE126" s="1740"/>
      <c r="AKF126" s="1740"/>
      <c r="AKG126" s="1740"/>
      <c r="AKH126" s="1740"/>
      <c r="AKI126" s="1740"/>
      <c r="AKJ126" s="1740"/>
      <c r="AKK126" s="1740"/>
      <c r="AKL126" s="1740"/>
      <c r="AKM126" s="1740"/>
      <c r="AKN126" s="1740"/>
      <c r="AKO126" s="1740"/>
      <c r="AKP126" s="1740"/>
      <c r="AKQ126" s="1740"/>
      <c r="AKR126" s="1740"/>
      <c r="AKS126" s="1740"/>
      <c r="AKT126" s="1740"/>
      <c r="AKU126" s="1740"/>
      <c r="AKV126" s="1740"/>
      <c r="AKW126" s="1740"/>
      <c r="AKX126" s="1740"/>
      <c r="AKY126" s="1740"/>
      <c r="AKZ126" s="1740"/>
      <c r="ALA126" s="1740"/>
      <c r="ALB126" s="1740"/>
      <c r="ALC126" s="1740"/>
      <c r="ALD126" s="1740"/>
      <c r="ALE126" s="1740"/>
      <c r="ALF126" s="1740"/>
      <c r="ALG126" s="1740"/>
      <c r="ALH126" s="1740"/>
      <c r="ALI126" s="1740"/>
      <c r="ALJ126" s="1740"/>
      <c r="ALK126" s="1740"/>
      <c r="ALL126" s="1740"/>
      <c r="ALM126" s="1740"/>
      <c r="ALN126" s="1740"/>
      <c r="ALO126" s="1740"/>
      <c r="ALP126" s="1740"/>
      <c r="ALQ126" s="1740"/>
      <c r="ALR126" s="1740"/>
      <c r="ALS126" s="1740"/>
      <c r="ALT126" s="1740"/>
      <c r="ALU126" s="1740"/>
      <c r="ALV126" s="1740"/>
      <c r="ALW126" s="1740"/>
      <c r="ALX126" s="1740"/>
      <c r="ALY126" s="1740"/>
      <c r="ALZ126" s="1740"/>
      <c r="AMA126" s="1740"/>
      <c r="AMB126" s="1740"/>
      <c r="AMC126" s="1740"/>
      <c r="AMD126" s="1740"/>
      <c r="AME126" s="1740"/>
      <c r="AMF126" s="1740"/>
      <c r="AMG126" s="1740"/>
      <c r="AMH126" s="1740"/>
      <c r="AMI126" s="1740"/>
      <c r="AMJ126" s="1740"/>
      <c r="AMK126" s="1740"/>
      <c r="AML126" s="1740"/>
      <c r="AMM126" s="1740"/>
      <c r="AMN126" s="1740"/>
      <c r="AMO126" s="1740"/>
      <c r="AMP126" s="1740"/>
      <c r="AMQ126" s="1740"/>
      <c r="AMR126" s="1740"/>
      <c r="AMS126" s="1740"/>
      <c r="AMT126" s="1740"/>
      <c r="AMU126" s="1740"/>
      <c r="AMV126" s="1740"/>
      <c r="AMW126" s="1740"/>
      <c r="AMX126" s="1740"/>
      <c r="AMY126" s="1740"/>
      <c r="AMZ126" s="1740"/>
      <c r="ANA126" s="1740"/>
      <c r="ANB126" s="1740"/>
      <c r="ANC126" s="1740"/>
      <c r="AND126" s="1740"/>
      <c r="ANE126" s="1740"/>
      <c r="ANF126" s="1740"/>
      <c r="ANG126" s="1740"/>
      <c r="ANH126" s="1740"/>
      <c r="ANI126" s="1740"/>
      <c r="ANJ126" s="1740"/>
      <c r="ANK126" s="1740"/>
      <c r="ANL126" s="1740"/>
      <c r="ANM126" s="1740"/>
      <c r="ANN126" s="1740"/>
      <c r="ANO126" s="1740"/>
      <c r="ANP126" s="1740"/>
      <c r="ANQ126" s="1740"/>
      <c r="ANR126" s="1740"/>
      <c r="ANS126" s="1740"/>
      <c r="ANT126" s="1740"/>
      <c r="ANU126" s="1740"/>
      <c r="ANV126" s="1740"/>
      <c r="ANW126" s="1740"/>
      <c r="ANX126" s="1740"/>
      <c r="ANY126" s="1740"/>
      <c r="ANZ126" s="1740"/>
      <c r="AOA126" s="1740"/>
      <c r="AOB126" s="1740"/>
      <c r="AOC126" s="1740"/>
      <c r="AOD126" s="1740"/>
      <c r="AOE126" s="1740"/>
      <c r="AOF126" s="1740"/>
      <c r="AOG126" s="1740"/>
      <c r="AOH126" s="1740"/>
      <c r="AOI126" s="1740"/>
      <c r="AOJ126" s="1740"/>
      <c r="AOK126" s="1740"/>
      <c r="AOL126" s="1740"/>
      <c r="AOM126" s="1740"/>
      <c r="AON126" s="1740"/>
      <c r="AOO126" s="1740"/>
      <c r="AOP126" s="1740"/>
      <c r="AOQ126" s="1740"/>
      <c r="AOR126" s="1740"/>
      <c r="AOS126" s="1740"/>
      <c r="AOT126" s="1740"/>
      <c r="AOU126" s="1740"/>
      <c r="AOV126" s="1740"/>
      <c r="AOW126" s="1740"/>
      <c r="AOX126" s="1740"/>
      <c r="AOY126" s="1740"/>
      <c r="AOZ126" s="1740"/>
      <c r="APA126" s="1740"/>
      <c r="APB126" s="1740"/>
      <c r="APC126" s="1740"/>
      <c r="APD126" s="1740"/>
      <c r="APE126" s="1740"/>
      <c r="APF126" s="1740"/>
      <c r="APG126" s="1740"/>
      <c r="APH126" s="1740"/>
      <c r="API126" s="1740"/>
      <c r="APJ126" s="1740"/>
      <c r="APK126" s="1740"/>
      <c r="APL126" s="1740"/>
      <c r="APM126" s="1740"/>
      <c r="APN126" s="1740"/>
      <c r="APO126" s="1740"/>
      <c r="APP126" s="1740"/>
      <c r="APQ126" s="1740"/>
      <c r="APR126" s="1740"/>
      <c r="APS126" s="1740"/>
      <c r="APT126" s="1740"/>
      <c r="APU126" s="1740"/>
      <c r="APV126" s="1740"/>
      <c r="APW126" s="1740"/>
      <c r="APX126" s="1740"/>
      <c r="APY126" s="1740"/>
      <c r="APZ126" s="1740"/>
      <c r="AQA126" s="1740"/>
      <c r="AQB126" s="1740"/>
      <c r="AQC126" s="1740"/>
      <c r="AQD126" s="1740"/>
      <c r="AQE126" s="1740"/>
      <c r="AQF126" s="1740"/>
      <c r="AQG126" s="1740"/>
      <c r="AQH126" s="1740"/>
      <c r="AQI126" s="1740"/>
      <c r="AQJ126" s="1740"/>
      <c r="AQK126" s="1740"/>
      <c r="AQL126" s="1740"/>
      <c r="AQM126" s="1740"/>
      <c r="AQN126" s="1740"/>
      <c r="AQO126" s="1740"/>
      <c r="AQP126" s="1740"/>
      <c r="AQQ126" s="1740"/>
      <c r="AQR126" s="1740"/>
      <c r="AQS126" s="1740"/>
      <c r="AQT126" s="1740"/>
      <c r="AQU126" s="1740"/>
      <c r="AQV126" s="1740"/>
      <c r="AQW126" s="1740"/>
      <c r="AQX126" s="1740"/>
      <c r="AQY126" s="1740"/>
      <c r="AQZ126" s="1740"/>
      <c r="ARA126" s="1740"/>
      <c r="ARB126" s="1740"/>
      <c r="ARC126" s="1740"/>
      <c r="ARD126" s="1740"/>
      <c r="ARE126" s="1740"/>
      <c r="ARF126" s="1740"/>
      <c r="ARG126" s="1740"/>
      <c r="ARH126" s="1740"/>
      <c r="ARI126" s="1740"/>
      <c r="ARJ126" s="1740"/>
      <c r="ARK126" s="1740"/>
      <c r="ARL126" s="1740"/>
      <c r="ARM126" s="1740"/>
      <c r="ARN126" s="1740"/>
      <c r="ARO126" s="1740"/>
      <c r="ARP126" s="1740"/>
      <c r="ARQ126" s="1740"/>
      <c r="ARR126" s="1740"/>
      <c r="ARS126" s="1740"/>
      <c r="ART126" s="1740"/>
      <c r="ARU126" s="1740"/>
      <c r="ARV126" s="1740"/>
      <c r="ARW126" s="1740"/>
      <c r="ARX126" s="1740"/>
      <c r="ARY126" s="1740"/>
      <c r="ARZ126" s="1740"/>
      <c r="ASA126" s="1740"/>
      <c r="ASB126" s="1740"/>
      <c r="ASC126" s="1740"/>
      <c r="ASD126" s="1740"/>
      <c r="ASE126" s="1740"/>
      <c r="ASF126" s="1740"/>
      <c r="ASG126" s="1740"/>
      <c r="ASH126" s="1740"/>
      <c r="ASI126" s="1740"/>
      <c r="ASJ126" s="1740"/>
      <c r="ASK126" s="1740"/>
      <c r="ASL126" s="1740"/>
      <c r="ASM126" s="1740"/>
      <c r="ASN126" s="1740"/>
      <c r="ASO126" s="1740"/>
      <c r="ASP126" s="1740"/>
      <c r="ASQ126" s="1740"/>
      <c r="ASR126" s="1740"/>
      <c r="ASS126" s="1740"/>
      <c r="AST126" s="1740"/>
      <c r="ASU126" s="1740"/>
      <c r="ASV126" s="1740"/>
      <c r="ASW126" s="1740"/>
      <c r="ASX126" s="1740"/>
      <c r="ASY126" s="1740"/>
      <c r="ASZ126" s="1740"/>
      <c r="ATA126" s="1740"/>
      <c r="ATB126" s="1740"/>
      <c r="ATC126" s="1740"/>
      <c r="ATD126" s="1740"/>
      <c r="ATE126" s="1740"/>
      <c r="ATF126" s="1740"/>
      <c r="ATG126" s="1740"/>
      <c r="ATH126" s="1740"/>
      <c r="ATI126" s="1740"/>
      <c r="ATJ126" s="1740"/>
      <c r="ATK126" s="1740"/>
      <c r="ATL126" s="1740"/>
      <c r="ATM126" s="1740"/>
      <c r="ATN126" s="1740"/>
      <c r="ATO126" s="1740"/>
      <c r="ATP126" s="1740"/>
      <c r="ATQ126" s="1740"/>
      <c r="ATR126" s="1740"/>
      <c r="ATS126" s="1740"/>
      <c r="ATT126" s="1740"/>
      <c r="ATU126" s="1740"/>
      <c r="ATV126" s="1740"/>
      <c r="ATW126" s="1740"/>
      <c r="ATX126" s="1740"/>
      <c r="ATY126" s="1740"/>
      <c r="ATZ126" s="1740"/>
      <c r="AUA126" s="1740"/>
      <c r="AUB126" s="1740"/>
      <c r="AUC126" s="1740"/>
      <c r="AUD126" s="1740"/>
      <c r="AUE126" s="1740"/>
      <c r="AUF126" s="1740"/>
      <c r="AUG126" s="1740"/>
      <c r="AUH126" s="1740"/>
      <c r="AUI126" s="1740"/>
      <c r="AUJ126" s="1740"/>
      <c r="AUK126" s="1740"/>
      <c r="AUL126" s="1740"/>
      <c r="AUM126" s="1740"/>
      <c r="AUN126" s="1740"/>
      <c r="AUO126" s="1740"/>
      <c r="AUP126" s="1740"/>
      <c r="AUQ126" s="1740"/>
      <c r="AUR126" s="1740"/>
      <c r="AUS126" s="1740"/>
      <c r="AUT126" s="1740"/>
      <c r="AUU126" s="1740"/>
      <c r="AUV126" s="1740"/>
      <c r="AUW126" s="1740"/>
      <c r="AUX126" s="1740"/>
      <c r="AUY126" s="1740"/>
      <c r="AUZ126" s="1740"/>
      <c r="AVA126" s="1740"/>
      <c r="AVB126" s="1740"/>
      <c r="AVC126" s="1740"/>
      <c r="AVD126" s="1740"/>
      <c r="AVE126" s="1740"/>
      <c r="AVF126" s="1740"/>
      <c r="AVG126" s="1740"/>
      <c r="AVH126" s="1740"/>
      <c r="AVI126" s="1740"/>
      <c r="AVJ126" s="1740"/>
      <c r="AVK126" s="1740"/>
      <c r="AVL126" s="1740"/>
      <c r="AVM126" s="1740"/>
      <c r="AVN126" s="1740"/>
      <c r="AVO126" s="1740"/>
      <c r="AVP126" s="1740"/>
      <c r="AVQ126" s="1740"/>
      <c r="AVR126" s="1740"/>
      <c r="AVS126" s="1740"/>
      <c r="AVT126" s="1740"/>
      <c r="AVU126" s="1740"/>
      <c r="AVV126" s="1740"/>
      <c r="AVW126" s="1740"/>
      <c r="AVX126" s="1740"/>
      <c r="AVY126" s="1740"/>
      <c r="AVZ126" s="1740"/>
      <c r="AWA126" s="1740"/>
      <c r="AWB126" s="1740"/>
      <c r="AWC126" s="1740"/>
      <c r="AWD126" s="1740"/>
      <c r="AWE126" s="1740"/>
      <c r="AWF126" s="1740"/>
      <c r="AWG126" s="1740"/>
      <c r="AWH126" s="1740"/>
      <c r="AWI126" s="1740"/>
      <c r="AWJ126" s="1740"/>
      <c r="AWK126" s="1740"/>
      <c r="AWL126" s="1740"/>
      <c r="AWM126" s="1740"/>
      <c r="AWN126" s="1740"/>
      <c r="AWO126" s="1740"/>
      <c r="AWP126" s="1740"/>
      <c r="AWQ126" s="1740"/>
      <c r="AWR126" s="1740"/>
      <c r="AWS126" s="1740"/>
      <c r="AWT126" s="1740"/>
      <c r="AWU126" s="1740"/>
      <c r="AWV126" s="1740"/>
      <c r="AWW126" s="1740"/>
      <c r="AWX126" s="1740"/>
      <c r="AWY126" s="1740"/>
      <c r="AWZ126" s="1740"/>
      <c r="AXA126" s="1740"/>
      <c r="AXB126" s="1740"/>
      <c r="AXC126" s="1740"/>
      <c r="AXD126" s="1740"/>
      <c r="AXE126" s="1740"/>
      <c r="AXF126" s="1740"/>
      <c r="AXG126" s="1740"/>
      <c r="AXH126" s="1740"/>
      <c r="AXI126" s="1740"/>
      <c r="AXJ126" s="1740"/>
      <c r="AXK126" s="1740"/>
      <c r="AXL126" s="1740"/>
      <c r="AXM126" s="1740"/>
      <c r="AXN126" s="1740"/>
      <c r="AXO126" s="1740"/>
      <c r="AXP126" s="1740"/>
      <c r="AXQ126" s="1740"/>
      <c r="AXR126" s="1740"/>
      <c r="AXS126" s="1740"/>
      <c r="AXT126" s="1740"/>
      <c r="AXU126" s="1740"/>
      <c r="AXV126" s="1740"/>
      <c r="AXW126" s="1740"/>
      <c r="AXX126" s="1740"/>
      <c r="AXY126" s="1740"/>
      <c r="AXZ126" s="1740"/>
      <c r="AYA126" s="1740"/>
      <c r="AYB126" s="1740"/>
      <c r="AYC126" s="1740"/>
      <c r="AYD126" s="1740"/>
      <c r="AYE126" s="1740"/>
      <c r="AYF126" s="1740"/>
      <c r="AYG126" s="1740"/>
      <c r="AYH126" s="1740"/>
      <c r="AYI126" s="1740"/>
      <c r="AYJ126" s="1740"/>
      <c r="AYK126" s="1740"/>
      <c r="AYL126" s="1740"/>
      <c r="AYM126" s="1740"/>
      <c r="AYN126" s="1740"/>
      <c r="AYO126" s="1740"/>
      <c r="AYP126" s="1740"/>
      <c r="AYQ126" s="1740"/>
      <c r="AYR126" s="1740"/>
      <c r="AYS126" s="1740"/>
      <c r="AYT126" s="1740"/>
      <c r="AYU126" s="1740"/>
      <c r="AYV126" s="1740"/>
      <c r="AYW126" s="1740"/>
      <c r="AYX126" s="1740"/>
      <c r="AYY126" s="1740"/>
      <c r="AYZ126" s="1740"/>
      <c r="AZA126" s="1740"/>
      <c r="AZB126" s="1740"/>
      <c r="AZC126" s="1740"/>
      <c r="AZD126" s="1740"/>
      <c r="AZE126" s="1740"/>
      <c r="AZF126" s="1740"/>
      <c r="AZG126" s="1740"/>
      <c r="AZH126" s="1740"/>
      <c r="AZI126" s="1740"/>
      <c r="AZJ126" s="1740"/>
      <c r="AZK126" s="1740"/>
      <c r="AZL126" s="1740"/>
      <c r="AZM126" s="1740"/>
      <c r="AZN126" s="1740"/>
      <c r="AZO126" s="1740"/>
      <c r="AZP126" s="1740"/>
      <c r="AZQ126" s="1740"/>
      <c r="AZR126" s="1740"/>
      <c r="AZS126" s="1740"/>
      <c r="AZT126" s="1740"/>
      <c r="AZU126" s="1740"/>
      <c r="AZV126" s="1740"/>
      <c r="AZW126" s="1740"/>
      <c r="AZX126" s="1740"/>
      <c r="AZY126" s="1740"/>
      <c r="AZZ126" s="1740"/>
      <c r="BAA126" s="1740"/>
      <c r="BAB126" s="1740"/>
      <c r="BAC126" s="1740"/>
      <c r="BAD126" s="1740"/>
      <c r="BAE126" s="1740"/>
      <c r="BAF126" s="1740"/>
      <c r="BAG126" s="1740"/>
      <c r="BAH126" s="1740"/>
      <c r="BAI126" s="1740"/>
      <c r="BAJ126" s="1740"/>
      <c r="BAK126" s="1740"/>
      <c r="BAL126" s="1740"/>
      <c r="BAM126" s="1740"/>
      <c r="BAN126" s="1740"/>
      <c r="BAO126" s="1740"/>
      <c r="BAP126" s="1740"/>
      <c r="BAQ126" s="1740"/>
      <c r="BAR126" s="1740"/>
      <c r="BAS126" s="1740"/>
      <c r="BAT126" s="1740"/>
      <c r="BAU126" s="1740"/>
      <c r="BAV126" s="1740"/>
      <c r="BAW126" s="1740"/>
      <c r="BAX126" s="1740"/>
      <c r="BAY126" s="1740"/>
      <c r="BAZ126" s="1740"/>
      <c r="BBA126" s="1740"/>
      <c r="BBB126" s="1740"/>
      <c r="BBC126" s="1740"/>
      <c r="BBD126" s="1740"/>
      <c r="BBE126" s="1740"/>
      <c r="BBF126" s="1740"/>
      <c r="BBG126" s="1740"/>
      <c r="BBH126" s="1740"/>
      <c r="BBI126" s="1740"/>
      <c r="BBJ126" s="1740"/>
      <c r="BBK126" s="1740"/>
      <c r="BBL126" s="1740"/>
      <c r="BBM126" s="1740"/>
      <c r="BBN126" s="1740"/>
      <c r="BBO126" s="1740"/>
      <c r="BBP126" s="1740"/>
      <c r="BBQ126" s="1740"/>
      <c r="BBR126" s="1740"/>
      <c r="BBS126" s="1740"/>
      <c r="BBT126" s="1740"/>
      <c r="BBU126" s="1740"/>
      <c r="BBV126" s="1740"/>
      <c r="BBW126" s="1740"/>
      <c r="BBX126" s="1740"/>
      <c r="BBY126" s="1740"/>
      <c r="BBZ126" s="1740"/>
      <c r="BCA126" s="1740"/>
      <c r="BCB126" s="1740"/>
      <c r="BCC126" s="1740"/>
      <c r="BCD126" s="1740"/>
      <c r="BCE126" s="1740"/>
      <c r="BCF126" s="1740"/>
      <c r="BCG126" s="1740"/>
      <c r="BCH126" s="1740"/>
      <c r="BCI126" s="1740"/>
      <c r="BCJ126" s="1740"/>
      <c r="BCK126" s="1740"/>
      <c r="BCL126" s="1740"/>
      <c r="BCM126" s="1740"/>
      <c r="BCN126" s="1740"/>
      <c r="BCO126" s="1740"/>
      <c r="BCP126" s="1740"/>
      <c r="BCQ126" s="1740"/>
      <c r="BCR126" s="1740"/>
      <c r="BCS126" s="1740"/>
      <c r="BCT126" s="1740"/>
      <c r="BCU126" s="1740"/>
      <c r="BCV126" s="1740"/>
      <c r="BCW126" s="1740"/>
      <c r="BCX126" s="1740"/>
      <c r="BCY126" s="1740"/>
      <c r="BCZ126" s="1740"/>
      <c r="BDA126" s="1740"/>
      <c r="BDB126" s="1740"/>
      <c r="BDC126" s="1740"/>
      <c r="BDD126" s="1740"/>
      <c r="BDE126" s="1740"/>
      <c r="BDF126" s="1740"/>
      <c r="BDG126" s="1740"/>
      <c r="BDH126" s="1740"/>
      <c r="BDI126" s="1740"/>
      <c r="BDJ126" s="1740"/>
      <c r="BDK126" s="1740"/>
      <c r="BDL126" s="1740"/>
      <c r="BDM126" s="1740"/>
      <c r="BDN126" s="1740"/>
      <c r="BDO126" s="1740"/>
      <c r="BDP126" s="1740"/>
      <c r="BDQ126" s="1740"/>
      <c r="BDR126" s="1740"/>
      <c r="BDS126" s="1740"/>
      <c r="BDT126" s="1740"/>
      <c r="BDU126" s="1740"/>
      <c r="BDV126" s="1740"/>
      <c r="BDW126" s="1740"/>
      <c r="BDX126" s="1740"/>
      <c r="BDY126" s="1740"/>
      <c r="BDZ126" s="1740"/>
      <c r="BEA126" s="1740"/>
      <c r="BEB126" s="1740"/>
      <c r="BEC126" s="1740"/>
      <c r="BED126" s="1740"/>
      <c r="BEE126" s="1740"/>
      <c r="BEF126" s="1740"/>
      <c r="BEG126" s="1740"/>
      <c r="BEH126" s="1740"/>
      <c r="BEI126" s="1740"/>
      <c r="BEJ126" s="1740"/>
      <c r="BEK126" s="1740"/>
      <c r="BEL126" s="1740"/>
      <c r="BEM126" s="1740"/>
      <c r="BEN126" s="1740"/>
      <c r="BEO126" s="1740"/>
      <c r="BEP126" s="1740"/>
      <c r="BEQ126" s="1740"/>
      <c r="BER126" s="1740"/>
      <c r="BES126" s="1740"/>
      <c r="BET126" s="1740"/>
      <c r="BEU126" s="1740"/>
      <c r="BEV126" s="1740"/>
      <c r="BEW126" s="1740"/>
      <c r="BEX126" s="1740"/>
      <c r="BEY126" s="1740"/>
      <c r="BEZ126" s="1740"/>
      <c r="BFA126" s="1740"/>
      <c r="BFB126" s="1740"/>
      <c r="BFC126" s="1740"/>
      <c r="BFD126" s="1740"/>
      <c r="BFE126" s="1740"/>
      <c r="BFF126" s="1740"/>
      <c r="BFG126" s="1740"/>
      <c r="BFH126" s="1740"/>
      <c r="BFI126" s="1740"/>
      <c r="BFJ126" s="1740"/>
      <c r="BFK126" s="1740"/>
      <c r="BFL126" s="1740"/>
      <c r="BFM126" s="1740"/>
      <c r="BFN126" s="1740"/>
      <c r="BFO126" s="1740"/>
      <c r="BFP126" s="1740"/>
      <c r="BFQ126" s="1740"/>
      <c r="BFR126" s="1740"/>
      <c r="BFS126" s="1740"/>
      <c r="BFT126" s="1740"/>
      <c r="BFU126" s="1740"/>
      <c r="BFV126" s="1740"/>
      <c r="BFW126" s="1740"/>
      <c r="BFX126" s="1740"/>
      <c r="BFY126" s="1740"/>
      <c r="BFZ126" s="1740"/>
      <c r="BGA126" s="1740"/>
      <c r="BGB126" s="1740"/>
      <c r="BGC126" s="1740"/>
      <c r="BGD126" s="1740"/>
      <c r="BGE126" s="1740"/>
      <c r="BGF126" s="1740"/>
      <c r="BGG126" s="1740"/>
      <c r="BGH126" s="1740"/>
      <c r="BGI126" s="1740"/>
      <c r="BGJ126" s="1740"/>
      <c r="BGK126" s="1740"/>
      <c r="BGL126" s="1740"/>
      <c r="BGM126" s="1740"/>
      <c r="BGN126" s="1740"/>
      <c r="BGO126" s="1740"/>
      <c r="BGP126" s="1740"/>
      <c r="BGQ126" s="1740"/>
      <c r="BGR126" s="1740"/>
      <c r="BGS126" s="1740"/>
      <c r="BGT126" s="1740"/>
      <c r="BGU126" s="1740"/>
      <c r="BGV126" s="1740"/>
      <c r="BGW126" s="1740"/>
      <c r="BGX126" s="1740"/>
      <c r="BGY126" s="1740"/>
      <c r="BGZ126" s="1740"/>
      <c r="BHA126" s="1740"/>
      <c r="BHB126" s="1740"/>
      <c r="BHC126" s="1740"/>
      <c r="BHD126" s="1740"/>
      <c r="BHE126" s="1740"/>
      <c r="BHF126" s="1740"/>
      <c r="BHG126" s="1740"/>
      <c r="BHH126" s="1740"/>
      <c r="BHI126" s="1740"/>
      <c r="BHJ126" s="1740"/>
      <c r="BHK126" s="1740"/>
      <c r="BHL126" s="1740"/>
      <c r="BHM126" s="1740"/>
      <c r="BHN126" s="1740"/>
      <c r="BHO126" s="1740"/>
      <c r="BHP126" s="1740"/>
      <c r="BHQ126" s="1740"/>
      <c r="BHR126" s="1740"/>
      <c r="BHS126" s="1740"/>
      <c r="BHT126" s="1740"/>
      <c r="BHU126" s="1740"/>
      <c r="BHV126" s="1740"/>
      <c r="BHW126" s="1740"/>
      <c r="BHX126" s="1740"/>
      <c r="BHY126" s="1740"/>
      <c r="BHZ126" s="1740"/>
      <c r="BIA126" s="1740"/>
      <c r="BIB126" s="1740"/>
      <c r="BIC126" s="1740"/>
      <c r="BID126" s="1740"/>
      <c r="BIE126" s="1740"/>
      <c r="BIF126" s="1740"/>
      <c r="BIG126" s="1740"/>
      <c r="BIH126" s="1740"/>
      <c r="BII126" s="1740"/>
      <c r="BIJ126" s="1740"/>
      <c r="BIK126" s="1740"/>
      <c r="BIL126" s="1740"/>
      <c r="BIM126" s="1740"/>
      <c r="BIN126" s="1740"/>
      <c r="BIO126" s="1740"/>
      <c r="BIP126" s="1740"/>
      <c r="BIQ126" s="1740"/>
      <c r="BIR126" s="1740"/>
      <c r="BIS126" s="1740"/>
      <c r="BIT126" s="1740"/>
      <c r="BIU126" s="1740"/>
      <c r="BIV126" s="1740"/>
      <c r="BIW126" s="1740"/>
      <c r="BIX126" s="1740"/>
      <c r="BIY126" s="1740"/>
      <c r="BIZ126" s="1740"/>
      <c r="BJA126" s="1740"/>
      <c r="BJB126" s="1740"/>
      <c r="BJC126" s="1740"/>
      <c r="BJD126" s="1740"/>
      <c r="BJE126" s="1740"/>
      <c r="BJF126" s="1740"/>
      <c r="BJG126" s="1740"/>
      <c r="BJH126" s="1740"/>
      <c r="BJI126" s="1740"/>
      <c r="BJJ126" s="1740"/>
      <c r="BJK126" s="1740"/>
      <c r="BJL126" s="1740"/>
      <c r="BJM126" s="1740"/>
      <c r="BJN126" s="1740"/>
      <c r="BJO126" s="1740"/>
      <c r="BJP126" s="1740"/>
      <c r="BJQ126" s="1740"/>
      <c r="BJR126" s="1740"/>
      <c r="BJS126" s="1740"/>
      <c r="BJT126" s="1740"/>
      <c r="BJU126" s="1740"/>
      <c r="BJV126" s="1740"/>
      <c r="BJW126" s="1740"/>
      <c r="BJX126" s="1740"/>
      <c r="BJY126" s="1740"/>
      <c r="BJZ126" s="1740"/>
      <c r="BKA126" s="1740"/>
      <c r="BKB126" s="1740"/>
      <c r="BKC126" s="1740"/>
      <c r="BKD126" s="1740"/>
      <c r="BKE126" s="1740"/>
      <c r="BKF126" s="1740"/>
      <c r="BKG126" s="1740"/>
      <c r="BKH126" s="1740"/>
      <c r="BKI126" s="1740"/>
      <c r="BKJ126" s="1740"/>
      <c r="BKK126" s="1740"/>
      <c r="BKL126" s="1740"/>
      <c r="BKM126" s="1740"/>
      <c r="BKN126" s="1740"/>
      <c r="BKO126" s="1740"/>
      <c r="BKP126" s="1740"/>
      <c r="BKQ126" s="1740"/>
      <c r="BKR126" s="1740"/>
      <c r="BKS126" s="1740"/>
      <c r="BKT126" s="1740"/>
      <c r="BKU126" s="1740"/>
      <c r="BKV126" s="1740"/>
      <c r="BKW126" s="1740"/>
      <c r="BKX126" s="1740"/>
      <c r="BKY126" s="1740"/>
      <c r="BKZ126" s="1740"/>
      <c r="BLA126" s="1740"/>
      <c r="BLB126" s="1740"/>
      <c r="BLC126" s="1740"/>
      <c r="BLD126" s="1740"/>
      <c r="BLE126" s="1740"/>
      <c r="BLF126" s="1740"/>
      <c r="BLG126" s="1740"/>
      <c r="BLH126" s="1740"/>
      <c r="BLI126" s="1740"/>
      <c r="BLJ126" s="1740"/>
      <c r="BLK126" s="1740"/>
      <c r="BLL126" s="1740"/>
      <c r="BLM126" s="1740"/>
      <c r="BLN126" s="1740"/>
      <c r="BLO126" s="1740"/>
      <c r="BLP126" s="1740"/>
      <c r="BLQ126" s="1740"/>
      <c r="BLR126" s="1740"/>
      <c r="BLS126" s="1740"/>
      <c r="BLT126" s="1740"/>
      <c r="BLU126" s="1740"/>
      <c r="BLV126" s="1740"/>
      <c r="BLW126" s="1740"/>
      <c r="BLX126" s="1740"/>
      <c r="BLY126" s="1740"/>
      <c r="BLZ126" s="1740"/>
      <c r="BMA126" s="1740"/>
      <c r="BMB126" s="1740"/>
      <c r="BMC126" s="1740"/>
      <c r="BMD126" s="1740"/>
      <c r="BME126" s="1740"/>
      <c r="BMF126" s="1740"/>
      <c r="BMG126" s="1740"/>
      <c r="BMH126" s="1740"/>
      <c r="BMI126" s="1740"/>
      <c r="BMJ126" s="1740"/>
      <c r="BMK126" s="1740"/>
      <c r="BML126" s="1740"/>
      <c r="BMM126" s="1740"/>
      <c r="BMN126" s="1740"/>
      <c r="BMO126" s="1740"/>
      <c r="BMP126" s="1740"/>
      <c r="BMQ126" s="1740"/>
      <c r="BMR126" s="1740"/>
      <c r="BMS126" s="1740"/>
      <c r="BMT126" s="1740"/>
      <c r="BMU126" s="1740"/>
      <c r="BMV126" s="1740"/>
      <c r="BMW126" s="1740"/>
      <c r="BMX126" s="1740"/>
      <c r="BMY126" s="1740"/>
      <c r="BMZ126" s="1740"/>
      <c r="BNA126" s="1740"/>
      <c r="BNB126" s="1740"/>
      <c r="BNC126" s="1740"/>
      <c r="BND126" s="1740"/>
      <c r="BNE126" s="1740"/>
      <c r="BNF126" s="1740"/>
      <c r="BNG126" s="1740"/>
      <c r="BNH126" s="1740"/>
      <c r="BNI126" s="1740"/>
      <c r="BNJ126" s="1740"/>
      <c r="BNK126" s="1740"/>
      <c r="BNL126" s="1740"/>
      <c r="BNM126" s="1740"/>
      <c r="BNN126" s="1740"/>
      <c r="BNO126" s="1740"/>
      <c r="BNP126" s="1740"/>
      <c r="BNQ126" s="1740"/>
      <c r="BNR126" s="1740"/>
      <c r="BNS126" s="1740"/>
      <c r="BNT126" s="1740"/>
      <c r="BNU126" s="1740"/>
      <c r="BNV126" s="1740"/>
      <c r="BNW126" s="1740"/>
      <c r="BNX126" s="1740"/>
      <c r="BNY126" s="1740"/>
      <c r="BNZ126" s="1740"/>
      <c r="BOA126" s="1740"/>
      <c r="BOB126" s="1740"/>
      <c r="BOC126" s="1740"/>
      <c r="BOD126" s="1740"/>
      <c r="BOE126" s="1740"/>
      <c r="BOF126" s="1740"/>
      <c r="BOG126" s="1740"/>
      <c r="BOH126" s="1740"/>
      <c r="BOI126" s="1740"/>
      <c r="BOJ126" s="1740"/>
      <c r="BOK126" s="1740"/>
      <c r="BOL126" s="1740"/>
      <c r="BOM126" s="1740"/>
      <c r="BON126" s="1740"/>
      <c r="BOO126" s="1740"/>
      <c r="BOP126" s="1740"/>
      <c r="BOQ126" s="1740"/>
      <c r="BOR126" s="1740"/>
      <c r="BOS126" s="1740"/>
      <c r="BOT126" s="1740"/>
      <c r="BOU126" s="1740"/>
      <c r="BOV126" s="1740"/>
      <c r="BOW126" s="1740"/>
      <c r="BOX126" s="1740"/>
      <c r="BOY126" s="1740"/>
      <c r="BOZ126" s="1740"/>
      <c r="BPA126" s="1740"/>
      <c r="BPB126" s="1740"/>
      <c r="BPC126" s="1740"/>
      <c r="BPD126" s="1740"/>
      <c r="BPE126" s="1740"/>
      <c r="BPF126" s="1740"/>
      <c r="BPG126" s="1740"/>
      <c r="BPH126" s="1740"/>
      <c r="BPI126" s="1740"/>
      <c r="BPJ126" s="1740"/>
      <c r="BPK126" s="1740"/>
      <c r="BPL126" s="1740"/>
      <c r="BPM126" s="1740"/>
      <c r="BPN126" s="1740"/>
      <c r="BPO126" s="1740"/>
      <c r="BPP126" s="1740"/>
      <c r="BPQ126" s="1740"/>
      <c r="BPR126" s="1740"/>
      <c r="BPS126" s="1740"/>
      <c r="BPT126" s="1740"/>
      <c r="BPU126" s="1740"/>
      <c r="BPV126" s="1740"/>
      <c r="BPW126" s="1740"/>
      <c r="BPX126" s="1740"/>
      <c r="BPY126" s="1740"/>
      <c r="BPZ126" s="1740"/>
      <c r="BQA126" s="1740"/>
      <c r="BQB126" s="1740"/>
      <c r="BQC126" s="1740"/>
      <c r="BQD126" s="1740"/>
      <c r="BQE126" s="1740"/>
      <c r="BQF126" s="1740"/>
      <c r="BQG126" s="1740"/>
      <c r="BQH126" s="1740"/>
      <c r="BQI126" s="1740"/>
      <c r="BQJ126" s="1740"/>
      <c r="BQK126" s="1740"/>
      <c r="BQL126" s="1740"/>
      <c r="BQM126" s="1740"/>
      <c r="BQN126" s="1740"/>
      <c r="BQO126" s="1740"/>
      <c r="BQP126" s="1740"/>
      <c r="BQQ126" s="1740"/>
      <c r="BQR126" s="1740"/>
      <c r="BQS126" s="1740"/>
      <c r="BQT126" s="1740"/>
      <c r="BQU126" s="1740"/>
      <c r="BQV126" s="1740"/>
      <c r="BQW126" s="1740"/>
      <c r="BQX126" s="1740"/>
      <c r="BQY126" s="1740"/>
      <c r="BQZ126" s="1740"/>
      <c r="BRA126" s="1740"/>
      <c r="BRB126" s="1740"/>
      <c r="BRC126" s="1740"/>
      <c r="BRD126" s="1740"/>
      <c r="BRE126" s="1740"/>
      <c r="BRF126" s="1740"/>
      <c r="BRG126" s="1740"/>
      <c r="BRH126" s="1740"/>
      <c r="BRI126" s="1740"/>
      <c r="BRJ126" s="1740"/>
      <c r="BRK126" s="1740"/>
      <c r="BRL126" s="1740"/>
      <c r="BRM126" s="1740"/>
      <c r="BRN126" s="1740"/>
      <c r="BRO126" s="1740"/>
      <c r="BRP126" s="1740"/>
      <c r="BRQ126" s="1740"/>
      <c r="BRR126" s="1740"/>
      <c r="BRS126" s="1740"/>
      <c r="BRT126" s="1740"/>
      <c r="BRU126" s="1740"/>
      <c r="BRV126" s="1740"/>
      <c r="BRW126" s="1740"/>
      <c r="BRX126" s="1740"/>
      <c r="BRY126" s="1740"/>
      <c r="BRZ126" s="1740"/>
      <c r="BSA126" s="1740"/>
      <c r="BSB126" s="1740"/>
      <c r="BSC126" s="1740"/>
      <c r="BSD126" s="1740"/>
      <c r="BSE126" s="1740"/>
      <c r="BSF126" s="1740"/>
      <c r="BSG126" s="1740"/>
      <c r="BSH126" s="1740"/>
      <c r="BSI126" s="1740"/>
      <c r="BSJ126" s="1740"/>
      <c r="BSK126" s="1740"/>
      <c r="BSL126" s="1740"/>
      <c r="BSM126" s="1740"/>
      <c r="BSN126" s="1740"/>
      <c r="BSO126" s="1740"/>
      <c r="BSP126" s="1740"/>
      <c r="BSQ126" s="1740"/>
      <c r="BSR126" s="1740"/>
      <c r="BSS126" s="1740"/>
      <c r="BST126" s="1740"/>
      <c r="BSU126" s="1740"/>
      <c r="BSV126" s="1740"/>
      <c r="BSW126" s="1740"/>
      <c r="BSX126" s="1740"/>
      <c r="BSY126" s="1740"/>
      <c r="BSZ126" s="1740"/>
      <c r="BTA126" s="1740"/>
      <c r="BTB126" s="1740"/>
      <c r="BTC126" s="1740"/>
      <c r="BTD126" s="1740"/>
      <c r="BTE126" s="1740"/>
      <c r="BTF126" s="1740"/>
      <c r="BTG126" s="1740"/>
      <c r="BTH126" s="1740"/>
      <c r="BTI126" s="1740"/>
      <c r="BTJ126" s="1740"/>
      <c r="BTK126" s="1740"/>
      <c r="BTL126" s="1740"/>
      <c r="BTM126" s="1740"/>
      <c r="BTN126" s="1740"/>
      <c r="BTO126" s="1740"/>
      <c r="BTP126" s="1740"/>
      <c r="BTQ126" s="1740"/>
      <c r="BTR126" s="1740"/>
      <c r="BTS126" s="1740"/>
      <c r="BTT126" s="1740"/>
      <c r="BTU126" s="1740"/>
      <c r="BTV126" s="1740"/>
      <c r="BTW126" s="1740"/>
      <c r="BTX126" s="1740"/>
      <c r="BTY126" s="1740"/>
      <c r="BTZ126" s="1740"/>
      <c r="BUA126" s="1740"/>
      <c r="BUB126" s="1740"/>
      <c r="BUC126" s="1740"/>
      <c r="BUD126" s="1740"/>
      <c r="BUE126" s="1740"/>
      <c r="BUF126" s="1740"/>
      <c r="BUG126" s="1740"/>
      <c r="BUH126" s="1740"/>
      <c r="BUI126" s="1740"/>
      <c r="BUJ126" s="1740"/>
      <c r="BUK126" s="1740"/>
      <c r="BUL126" s="1740"/>
      <c r="BUM126" s="1740"/>
      <c r="BUN126" s="1740"/>
      <c r="BUO126" s="1740"/>
      <c r="BUP126" s="1740"/>
      <c r="BUQ126" s="1740"/>
      <c r="BUR126" s="1740"/>
      <c r="BUS126" s="1740"/>
      <c r="BUT126" s="1740"/>
      <c r="BUU126" s="1740"/>
      <c r="BUV126" s="1740"/>
      <c r="BUW126" s="1740"/>
      <c r="BUX126" s="1740"/>
      <c r="BUY126" s="1740"/>
      <c r="BUZ126" s="1740"/>
      <c r="BVA126" s="1740"/>
      <c r="BVB126" s="1740"/>
      <c r="BVC126" s="1740"/>
      <c r="BVD126" s="1740"/>
      <c r="BVE126" s="1740"/>
      <c r="BVF126" s="1740"/>
      <c r="BVG126" s="1740"/>
      <c r="BVH126" s="1740"/>
      <c r="BVI126" s="1740"/>
      <c r="BVJ126" s="1740"/>
      <c r="BVK126" s="1740"/>
      <c r="BVL126" s="1740"/>
      <c r="BVM126" s="1740"/>
      <c r="BVN126" s="1740"/>
      <c r="BVO126" s="1740"/>
      <c r="BVP126" s="1740"/>
      <c r="BVQ126" s="1740"/>
      <c r="BVR126" s="1740"/>
      <c r="BVS126" s="1740"/>
      <c r="BVT126" s="1740"/>
      <c r="BVU126" s="1740"/>
      <c r="BVV126" s="1740"/>
      <c r="BVW126" s="1740"/>
      <c r="BVX126" s="1740"/>
      <c r="BVY126" s="1740"/>
      <c r="BVZ126" s="1740"/>
      <c r="BWA126" s="1740"/>
      <c r="BWB126" s="1740"/>
      <c r="BWC126" s="1740"/>
      <c r="BWD126" s="1740"/>
      <c r="BWE126" s="1740"/>
      <c r="BWF126" s="1740"/>
      <c r="BWG126" s="1740"/>
      <c r="BWH126" s="1740"/>
      <c r="BWI126" s="1740"/>
      <c r="BWJ126" s="1740"/>
      <c r="BWK126" s="1740"/>
      <c r="BWL126" s="1740"/>
      <c r="BWM126" s="1740"/>
      <c r="BWN126" s="1740"/>
      <c r="BWO126" s="1740"/>
      <c r="BWP126" s="1740"/>
      <c r="BWQ126" s="1740"/>
      <c r="BWR126" s="1740"/>
      <c r="BWS126" s="1740"/>
      <c r="BWT126" s="1740"/>
      <c r="BWU126" s="1740"/>
      <c r="BWV126" s="1740"/>
      <c r="BWW126" s="1740"/>
      <c r="BWX126" s="1740"/>
      <c r="BWY126" s="1740"/>
      <c r="BWZ126" s="1740"/>
      <c r="BXA126" s="1740"/>
      <c r="BXB126" s="1740"/>
      <c r="BXC126" s="1740"/>
      <c r="BXD126" s="1740"/>
      <c r="BXE126" s="1740"/>
      <c r="BXF126" s="1740"/>
      <c r="BXG126" s="1740"/>
      <c r="BXH126" s="1740"/>
      <c r="BXI126" s="1740"/>
      <c r="BXJ126" s="1740"/>
      <c r="BXK126" s="1740"/>
      <c r="BXL126" s="1740"/>
      <c r="BXM126" s="1740"/>
      <c r="BXN126" s="1740"/>
      <c r="BXO126" s="1740"/>
      <c r="BXP126" s="1740"/>
      <c r="BXQ126" s="1740"/>
      <c r="BXR126" s="1740"/>
      <c r="BXS126" s="1740"/>
      <c r="BXT126" s="1740"/>
      <c r="BXU126" s="1740"/>
      <c r="BXV126" s="1740"/>
      <c r="BXW126" s="1740"/>
      <c r="BXX126" s="1740"/>
      <c r="BXY126" s="1740"/>
      <c r="BXZ126" s="1740"/>
      <c r="BYA126" s="1740"/>
      <c r="BYB126" s="1740"/>
      <c r="BYC126" s="1740"/>
      <c r="BYD126" s="1740"/>
      <c r="BYE126" s="1740"/>
      <c r="BYF126" s="1740"/>
      <c r="BYG126" s="1740"/>
      <c r="BYH126" s="1740"/>
      <c r="BYI126" s="1740"/>
      <c r="BYJ126" s="1740"/>
      <c r="BYK126" s="1740"/>
      <c r="BYL126" s="1740"/>
      <c r="BYM126" s="1740"/>
      <c r="BYN126" s="1740"/>
      <c r="BYO126" s="1740"/>
      <c r="BYP126" s="1740"/>
      <c r="BYQ126" s="1740"/>
      <c r="BYR126" s="1740"/>
      <c r="BYS126" s="1740"/>
      <c r="BYT126" s="1740"/>
      <c r="BYU126" s="1740"/>
      <c r="BYV126" s="1740"/>
      <c r="BYW126" s="1740"/>
      <c r="BYX126" s="1740"/>
      <c r="BYY126" s="1740"/>
      <c r="BYZ126" s="1740"/>
      <c r="BZA126" s="1740"/>
      <c r="BZB126" s="1740"/>
      <c r="BZC126" s="1740"/>
      <c r="BZD126" s="1740"/>
      <c r="BZE126" s="1740"/>
      <c r="BZF126" s="1740"/>
      <c r="BZG126" s="1740"/>
      <c r="BZH126" s="1740"/>
      <c r="BZI126" s="1740"/>
      <c r="BZJ126" s="1740"/>
      <c r="BZK126" s="1740"/>
      <c r="BZL126" s="1740"/>
      <c r="BZM126" s="1740"/>
      <c r="BZN126" s="1740"/>
      <c r="BZO126" s="1740"/>
      <c r="BZP126" s="1740"/>
      <c r="BZQ126" s="1740"/>
      <c r="BZR126" s="1740"/>
      <c r="BZS126" s="1740"/>
      <c r="BZT126" s="1740"/>
      <c r="BZU126" s="1740"/>
      <c r="BZV126" s="1740"/>
      <c r="BZW126" s="1740"/>
      <c r="BZX126" s="1740"/>
      <c r="BZY126" s="1740"/>
      <c r="BZZ126" s="1740"/>
      <c r="CAA126" s="1740"/>
      <c r="CAB126" s="1740"/>
      <c r="CAC126" s="1740"/>
      <c r="CAD126" s="1740"/>
      <c r="CAE126" s="1740"/>
      <c r="CAF126" s="1740"/>
      <c r="CAG126" s="1740"/>
      <c r="CAH126" s="1740"/>
      <c r="CAI126" s="1740"/>
      <c r="CAJ126" s="1740"/>
      <c r="CAK126" s="1740"/>
      <c r="CAL126" s="1740"/>
      <c r="CAM126" s="1740"/>
      <c r="CAN126" s="1740"/>
      <c r="CAO126" s="1740"/>
      <c r="CAP126" s="1740"/>
      <c r="CAQ126" s="1740"/>
      <c r="CAR126" s="1740"/>
      <c r="CAS126" s="1740"/>
      <c r="CAT126" s="1740"/>
      <c r="CAU126" s="1740"/>
      <c r="CAV126" s="1740"/>
      <c r="CAW126" s="1740"/>
      <c r="CAX126" s="1740"/>
      <c r="CAY126" s="1740"/>
      <c r="CAZ126" s="1740"/>
      <c r="CBA126" s="1740"/>
      <c r="CBB126" s="1740"/>
      <c r="CBC126" s="1740"/>
      <c r="CBD126" s="1740"/>
      <c r="CBE126" s="1740"/>
      <c r="CBF126" s="1740"/>
      <c r="CBG126" s="1740"/>
      <c r="CBH126" s="1740"/>
      <c r="CBI126" s="1740"/>
      <c r="CBJ126" s="1740"/>
      <c r="CBK126" s="1740"/>
      <c r="CBL126" s="1740"/>
      <c r="CBM126" s="1740"/>
      <c r="CBN126" s="1740"/>
      <c r="CBO126" s="1740"/>
      <c r="CBP126" s="1740"/>
      <c r="CBQ126" s="1740"/>
      <c r="CBR126" s="1740"/>
      <c r="CBS126" s="1740"/>
      <c r="CBT126" s="1740"/>
      <c r="CBU126" s="1740"/>
      <c r="CBV126" s="1740"/>
      <c r="CBW126" s="1740"/>
      <c r="CBX126" s="1740"/>
      <c r="CBY126" s="1740"/>
      <c r="CBZ126" s="1740"/>
      <c r="CCA126" s="1740"/>
      <c r="CCB126" s="1740"/>
      <c r="CCC126" s="1740"/>
      <c r="CCD126" s="1740"/>
      <c r="CCE126" s="1740"/>
      <c r="CCF126" s="1740"/>
      <c r="CCG126" s="1740"/>
      <c r="CCH126" s="1740"/>
      <c r="CCI126" s="1740"/>
      <c r="CCJ126" s="1740"/>
      <c r="CCK126" s="1740"/>
      <c r="CCL126" s="1740"/>
      <c r="CCM126" s="1740"/>
      <c r="CCN126" s="1740"/>
      <c r="CCO126" s="1740"/>
      <c r="CCP126" s="1740"/>
      <c r="CCQ126" s="1740"/>
      <c r="CCR126" s="1740"/>
      <c r="CCS126" s="1740"/>
      <c r="CCT126" s="1740"/>
      <c r="CCU126" s="1740"/>
      <c r="CCV126" s="1740"/>
      <c r="CCW126" s="1740"/>
      <c r="CCX126" s="1740"/>
      <c r="CCY126" s="1740"/>
      <c r="CCZ126" s="1740"/>
      <c r="CDA126" s="1740"/>
      <c r="CDB126" s="1740"/>
      <c r="CDC126" s="1740"/>
      <c r="CDD126" s="1740"/>
      <c r="CDE126" s="1740"/>
      <c r="CDF126" s="1740"/>
      <c r="CDG126" s="1740"/>
      <c r="CDH126" s="1740"/>
      <c r="CDI126" s="1740"/>
      <c r="CDJ126" s="1740"/>
      <c r="CDK126" s="1740"/>
      <c r="CDL126" s="1740"/>
      <c r="CDM126" s="1740"/>
      <c r="CDN126" s="1740"/>
      <c r="CDO126" s="1740"/>
      <c r="CDP126" s="1740"/>
      <c r="CDQ126" s="1740"/>
      <c r="CDR126" s="1740"/>
      <c r="CDS126" s="1740"/>
      <c r="CDT126" s="1740"/>
      <c r="CDU126" s="1740"/>
      <c r="CDV126" s="1740"/>
      <c r="CDW126" s="1740"/>
      <c r="CDX126" s="1740"/>
      <c r="CDY126" s="1740"/>
      <c r="CDZ126" s="1740"/>
      <c r="CEA126" s="1740"/>
      <c r="CEB126" s="1740"/>
      <c r="CEC126" s="1740"/>
      <c r="CED126" s="1740"/>
      <c r="CEE126" s="1740"/>
      <c r="CEF126" s="1740"/>
      <c r="CEG126" s="1740"/>
      <c r="CEH126" s="1740"/>
      <c r="CEI126" s="1740"/>
      <c r="CEJ126" s="1740"/>
      <c r="CEK126" s="1740"/>
      <c r="CEL126" s="1740"/>
      <c r="CEM126" s="1740"/>
      <c r="CEN126" s="1740"/>
      <c r="CEO126" s="1740"/>
      <c r="CEP126" s="1740"/>
      <c r="CEQ126" s="1740"/>
      <c r="CER126" s="1740"/>
      <c r="CES126" s="1740"/>
      <c r="CET126" s="1740"/>
      <c r="CEU126" s="1740"/>
      <c r="CEV126" s="1740"/>
      <c r="CEW126" s="1740"/>
      <c r="CEX126" s="1740"/>
      <c r="CEY126" s="1740"/>
      <c r="CEZ126" s="1740"/>
      <c r="CFA126" s="1740"/>
      <c r="CFB126" s="1740"/>
      <c r="CFC126" s="1740"/>
      <c r="CFD126" s="1740"/>
      <c r="CFE126" s="1740"/>
      <c r="CFF126" s="1740"/>
      <c r="CFG126" s="1740"/>
      <c r="CFH126" s="1740"/>
      <c r="CFI126" s="1740"/>
      <c r="CFJ126" s="1740"/>
      <c r="CFK126" s="1740"/>
      <c r="CFL126" s="1740"/>
      <c r="CFM126" s="1740"/>
      <c r="CFN126" s="1740"/>
      <c r="CFO126" s="1740"/>
      <c r="CFP126" s="1740"/>
      <c r="CFQ126" s="1740"/>
      <c r="CFR126" s="1740"/>
      <c r="CFS126" s="1740"/>
      <c r="CFT126" s="1740"/>
      <c r="CFU126" s="1740"/>
      <c r="CFV126" s="1740"/>
      <c r="CFW126" s="1740"/>
      <c r="CFX126" s="1740"/>
      <c r="CFY126" s="1740"/>
      <c r="CFZ126" s="1740"/>
      <c r="CGA126" s="1740"/>
      <c r="CGB126" s="1740"/>
      <c r="CGC126" s="1740"/>
      <c r="CGD126" s="1740"/>
      <c r="CGE126" s="1740"/>
      <c r="CGF126" s="1740"/>
      <c r="CGG126" s="1740"/>
      <c r="CGH126" s="1740"/>
      <c r="CGI126" s="1740"/>
      <c r="CGJ126" s="1740"/>
      <c r="CGK126" s="1740"/>
      <c r="CGL126" s="1740"/>
      <c r="CGM126" s="1740"/>
      <c r="CGN126" s="1740"/>
      <c r="CGO126" s="1740"/>
      <c r="CGP126" s="1740"/>
      <c r="CGQ126" s="1740"/>
      <c r="CGR126" s="1740"/>
      <c r="CGS126" s="1740"/>
      <c r="CGT126" s="1740"/>
      <c r="CGU126" s="1740"/>
      <c r="CGV126" s="1740"/>
      <c r="CGW126" s="1740"/>
      <c r="CGX126" s="1740"/>
      <c r="CGY126" s="1740"/>
      <c r="CGZ126" s="1740"/>
      <c r="CHA126" s="1740"/>
      <c r="CHB126" s="1740"/>
      <c r="CHC126" s="1740"/>
      <c r="CHD126" s="1740"/>
      <c r="CHE126" s="1740"/>
      <c r="CHF126" s="1740"/>
      <c r="CHG126" s="1740"/>
      <c r="CHH126" s="1740"/>
      <c r="CHI126" s="1740"/>
      <c r="CHJ126" s="1740"/>
      <c r="CHK126" s="1740"/>
      <c r="CHL126" s="1740"/>
      <c r="CHM126" s="1740"/>
      <c r="CHN126" s="1740"/>
      <c r="CHO126" s="1740"/>
      <c r="CHP126" s="1740"/>
      <c r="CHQ126" s="1740"/>
      <c r="CHR126" s="1740"/>
      <c r="CHS126" s="1740"/>
      <c r="CHT126" s="1740"/>
      <c r="CHU126" s="1740"/>
      <c r="CHV126" s="1740"/>
      <c r="CHW126" s="1740"/>
      <c r="CHX126" s="1740"/>
      <c r="CHY126" s="1740"/>
      <c r="CHZ126" s="1740"/>
      <c r="CIA126" s="1740"/>
      <c r="CIB126" s="1740"/>
      <c r="CIC126" s="1740"/>
      <c r="CID126" s="1740"/>
      <c r="CIE126" s="1740"/>
      <c r="CIF126" s="1740"/>
      <c r="CIG126" s="1740"/>
      <c r="CIH126" s="1740"/>
      <c r="CII126" s="1740"/>
      <c r="CIJ126" s="1740"/>
      <c r="CIK126" s="1740"/>
      <c r="CIL126" s="1740"/>
      <c r="CIM126" s="1740"/>
      <c r="CIN126" s="1740"/>
      <c r="CIO126" s="1740"/>
      <c r="CIP126" s="1740"/>
      <c r="CIQ126" s="1740"/>
      <c r="CIR126" s="1740"/>
      <c r="CIS126" s="1740"/>
      <c r="CIT126" s="1740"/>
      <c r="CIU126" s="1740"/>
      <c r="CIV126" s="1740"/>
      <c r="CIW126" s="1740"/>
      <c r="CIX126" s="1740"/>
      <c r="CIY126" s="1740"/>
      <c r="CIZ126" s="1740"/>
      <c r="CJA126" s="1740"/>
      <c r="CJB126" s="1740"/>
      <c r="CJC126" s="1740"/>
      <c r="CJD126" s="1740"/>
      <c r="CJE126" s="1740"/>
      <c r="CJF126" s="1740"/>
      <c r="CJG126" s="1740"/>
      <c r="CJH126" s="1740"/>
      <c r="CJI126" s="1740"/>
      <c r="CJJ126" s="1740"/>
      <c r="CJK126" s="1740"/>
      <c r="CJL126" s="1740"/>
      <c r="CJM126" s="1740"/>
      <c r="CJN126" s="1740"/>
      <c r="CJO126" s="1740"/>
      <c r="CJP126" s="1740"/>
      <c r="CJQ126" s="1740"/>
      <c r="CJR126" s="1740"/>
      <c r="CJS126" s="1740"/>
      <c r="CJT126" s="1740"/>
      <c r="CJU126" s="1740"/>
      <c r="CJV126" s="1740"/>
      <c r="CJW126" s="1740"/>
      <c r="CJX126" s="1740"/>
      <c r="CJY126" s="1740"/>
      <c r="CJZ126" s="1740"/>
      <c r="CKA126" s="1740"/>
      <c r="CKB126" s="1740"/>
      <c r="CKC126" s="1740"/>
      <c r="CKD126" s="1740"/>
      <c r="CKE126" s="1740"/>
      <c r="CKF126" s="1740"/>
      <c r="CKG126" s="1740"/>
      <c r="CKH126" s="1740"/>
      <c r="CKI126" s="1740"/>
      <c r="CKJ126" s="1740"/>
      <c r="CKK126" s="1740"/>
      <c r="CKL126" s="1740"/>
      <c r="CKM126" s="1740"/>
      <c r="CKN126" s="1740"/>
      <c r="CKO126" s="1740"/>
      <c r="CKP126" s="1740"/>
      <c r="CKQ126" s="1740"/>
      <c r="CKR126" s="1740"/>
      <c r="CKS126" s="1740"/>
      <c r="CKT126" s="1740"/>
      <c r="CKU126" s="1740"/>
      <c r="CKV126" s="1740"/>
      <c r="CKW126" s="1740"/>
      <c r="CKX126" s="1740"/>
      <c r="CKY126" s="1740"/>
      <c r="CKZ126" s="1740"/>
      <c r="CLA126" s="1740"/>
      <c r="CLB126" s="1740"/>
      <c r="CLC126" s="1740"/>
      <c r="CLD126" s="1740"/>
      <c r="CLE126" s="1740"/>
      <c r="CLF126" s="1740"/>
      <c r="CLG126" s="1740"/>
      <c r="CLH126" s="1740"/>
      <c r="CLI126" s="1740"/>
      <c r="CLJ126" s="1740"/>
      <c r="CLK126" s="1740"/>
      <c r="CLL126" s="1740"/>
      <c r="CLM126" s="1740"/>
      <c r="CLN126" s="1740"/>
      <c r="CLO126" s="1740"/>
      <c r="CLP126" s="1740"/>
      <c r="CLQ126" s="1740"/>
      <c r="CLR126" s="1740"/>
      <c r="CLS126" s="1740"/>
      <c r="CLT126" s="1740"/>
      <c r="CLU126" s="1740"/>
      <c r="CLV126" s="1740"/>
      <c r="CLW126" s="1740"/>
      <c r="CLX126" s="1740"/>
      <c r="CLY126" s="1740"/>
      <c r="CLZ126" s="1740"/>
      <c r="CMA126" s="1740"/>
      <c r="CMB126" s="1740"/>
      <c r="CMC126" s="1740"/>
      <c r="CMD126" s="1740"/>
      <c r="CME126" s="1740"/>
      <c r="CMF126" s="1740"/>
      <c r="CMG126" s="1740"/>
      <c r="CMH126" s="1740"/>
      <c r="CMI126" s="1740"/>
      <c r="CMJ126" s="1740"/>
      <c r="CMK126" s="1740"/>
      <c r="CML126" s="1740"/>
      <c r="CMM126" s="1740"/>
      <c r="CMN126" s="1740"/>
      <c r="CMO126" s="1740"/>
      <c r="CMP126" s="1740"/>
      <c r="CMQ126" s="1740"/>
      <c r="CMR126" s="1740"/>
      <c r="CMS126" s="1740"/>
      <c r="CMT126" s="1740"/>
      <c r="CMU126" s="1740"/>
      <c r="CMV126" s="1740"/>
      <c r="CMW126" s="1740"/>
      <c r="CMX126" s="1740"/>
      <c r="CMY126" s="1740"/>
      <c r="CMZ126" s="1740"/>
      <c r="CNA126" s="1740"/>
      <c r="CNB126" s="1740"/>
      <c r="CNC126" s="1740"/>
      <c r="CND126" s="1740"/>
      <c r="CNE126" s="1740"/>
      <c r="CNF126" s="1740"/>
      <c r="CNG126" s="1740"/>
      <c r="CNH126" s="1740"/>
      <c r="CNI126" s="1740"/>
      <c r="CNJ126" s="1740"/>
      <c r="CNK126" s="1740"/>
      <c r="CNL126" s="1740"/>
      <c r="CNM126" s="1740"/>
      <c r="CNN126" s="1740"/>
      <c r="CNO126" s="1740"/>
      <c r="CNP126" s="1740"/>
      <c r="CNQ126" s="1740"/>
      <c r="CNR126" s="1740"/>
      <c r="CNS126" s="1740"/>
      <c r="CNT126" s="1740"/>
      <c r="CNU126" s="1740"/>
      <c r="CNV126" s="1740"/>
      <c r="CNW126" s="1740"/>
      <c r="CNX126" s="1740"/>
      <c r="CNY126" s="1740"/>
      <c r="CNZ126" s="1740"/>
      <c r="COA126" s="1740"/>
      <c r="COB126" s="1740"/>
      <c r="COC126" s="1740"/>
      <c r="COD126" s="1740"/>
      <c r="COE126" s="1740"/>
      <c r="COF126" s="1740"/>
      <c r="COG126" s="1740"/>
      <c r="COH126" s="1740"/>
      <c r="COI126" s="1740"/>
      <c r="COJ126" s="1740"/>
      <c r="COK126" s="1740"/>
      <c r="COL126" s="1740"/>
      <c r="COM126" s="1740"/>
      <c r="CON126" s="1740"/>
      <c r="COO126" s="1740"/>
      <c r="COP126" s="1740"/>
      <c r="COQ126" s="1740"/>
      <c r="COR126" s="1740"/>
      <c r="COS126" s="1740"/>
      <c r="COT126" s="1740"/>
      <c r="COU126" s="1740"/>
      <c r="COV126" s="1740"/>
      <c r="COW126" s="1740"/>
      <c r="COX126" s="1740"/>
      <c r="COY126" s="1740"/>
      <c r="COZ126" s="1740"/>
      <c r="CPA126" s="1740"/>
      <c r="CPB126" s="1740"/>
      <c r="CPC126" s="1740"/>
      <c r="CPD126" s="1740"/>
      <c r="CPE126" s="1740"/>
      <c r="CPF126" s="1740"/>
      <c r="CPG126" s="1740"/>
      <c r="CPH126" s="1740"/>
      <c r="CPI126" s="1740"/>
      <c r="CPJ126" s="1740"/>
      <c r="CPK126" s="1740"/>
      <c r="CPL126" s="1740"/>
      <c r="CPM126" s="1740"/>
      <c r="CPN126" s="1740"/>
      <c r="CPO126" s="1740"/>
      <c r="CPP126" s="1740"/>
      <c r="CPQ126" s="1740"/>
      <c r="CPR126" s="1740"/>
      <c r="CPS126" s="1740"/>
      <c r="CPT126" s="1740"/>
      <c r="CPU126" s="1740"/>
      <c r="CPV126" s="1740"/>
      <c r="CPW126" s="1740"/>
      <c r="CPX126" s="1740"/>
      <c r="CPY126" s="1740"/>
      <c r="CPZ126" s="1740"/>
      <c r="CQA126" s="1740"/>
      <c r="CQB126" s="1740"/>
      <c r="CQC126" s="1740"/>
      <c r="CQD126" s="1740"/>
      <c r="CQE126" s="1740"/>
      <c r="CQF126" s="1740"/>
      <c r="CQG126" s="1740"/>
      <c r="CQH126" s="1740"/>
      <c r="CQI126" s="1740"/>
      <c r="CQJ126" s="1740"/>
      <c r="CQK126" s="1740"/>
      <c r="CQL126" s="1740"/>
      <c r="CQM126" s="1740"/>
      <c r="CQN126" s="1740"/>
      <c r="CQO126" s="1740"/>
      <c r="CQP126" s="1740"/>
      <c r="CQQ126" s="1740"/>
      <c r="CQR126" s="1740"/>
      <c r="CQS126" s="1740"/>
      <c r="CQT126" s="1740"/>
      <c r="CQU126" s="1740"/>
      <c r="CQV126" s="1740"/>
      <c r="CQW126" s="1740"/>
      <c r="CQX126" s="1740"/>
      <c r="CQY126" s="1740"/>
      <c r="CQZ126" s="1740"/>
      <c r="CRA126" s="1740"/>
      <c r="CRB126" s="1740"/>
      <c r="CRC126" s="1740"/>
      <c r="CRD126" s="1740"/>
      <c r="CRE126" s="1740"/>
      <c r="CRF126" s="1740"/>
      <c r="CRG126" s="1740"/>
      <c r="CRH126" s="1740"/>
      <c r="CRI126" s="1740"/>
      <c r="CRJ126" s="1740"/>
      <c r="CRK126" s="1740"/>
      <c r="CRL126" s="1740"/>
      <c r="CRM126" s="1740"/>
      <c r="CRN126" s="1740"/>
      <c r="CRO126" s="1740"/>
      <c r="CRP126" s="1740"/>
      <c r="CRQ126" s="1740"/>
      <c r="CRR126" s="1740"/>
      <c r="CRS126" s="1740"/>
      <c r="CRT126" s="1740"/>
      <c r="CRU126" s="1740"/>
      <c r="CRV126" s="1740"/>
      <c r="CRW126" s="1740"/>
      <c r="CRX126" s="1740"/>
      <c r="CRY126" s="1740"/>
      <c r="CRZ126" s="1740"/>
      <c r="CSA126" s="1740"/>
      <c r="CSB126" s="1740"/>
      <c r="CSC126" s="1740"/>
      <c r="CSD126" s="1740"/>
      <c r="CSE126" s="1740"/>
      <c r="CSF126" s="1740"/>
      <c r="CSG126" s="1740"/>
      <c r="CSH126" s="1740"/>
      <c r="CSI126" s="1740"/>
      <c r="CSJ126" s="1740"/>
      <c r="CSK126" s="1740"/>
      <c r="CSL126" s="1740"/>
      <c r="CSM126" s="1740"/>
      <c r="CSN126" s="1740"/>
      <c r="CSO126" s="1740"/>
      <c r="CSP126" s="1740"/>
      <c r="CSQ126" s="1740"/>
      <c r="CSR126" s="1740"/>
      <c r="CSS126" s="1740"/>
      <c r="CST126" s="1740"/>
      <c r="CSU126" s="1740"/>
      <c r="CSV126" s="1740"/>
      <c r="CSW126" s="1740"/>
      <c r="CSX126" s="1740"/>
      <c r="CSY126" s="1740"/>
      <c r="CSZ126" s="1740"/>
      <c r="CTA126" s="1740"/>
      <c r="CTB126" s="1740"/>
      <c r="CTC126" s="1740"/>
      <c r="CTD126" s="1740"/>
      <c r="CTE126" s="1740"/>
      <c r="CTF126" s="1740"/>
      <c r="CTG126" s="1740"/>
      <c r="CTH126" s="1740"/>
      <c r="CTI126" s="1740"/>
      <c r="CTJ126" s="1740"/>
      <c r="CTK126" s="1740"/>
      <c r="CTL126" s="1740"/>
      <c r="CTM126" s="1740"/>
      <c r="CTN126" s="1740"/>
      <c r="CTO126" s="1740"/>
      <c r="CTP126" s="1740"/>
      <c r="CTQ126" s="1740"/>
      <c r="CTR126" s="1740"/>
      <c r="CTS126" s="1740"/>
      <c r="CTT126" s="1740"/>
      <c r="CTU126" s="1740"/>
      <c r="CTV126" s="1740"/>
      <c r="CTW126" s="1740"/>
      <c r="CTX126" s="1740"/>
      <c r="CTY126" s="1740"/>
      <c r="CTZ126" s="1740"/>
      <c r="CUA126" s="1740"/>
      <c r="CUB126" s="1740"/>
      <c r="CUC126" s="1740"/>
      <c r="CUD126" s="1740"/>
      <c r="CUE126" s="1740"/>
      <c r="CUF126" s="1740"/>
      <c r="CUG126" s="1740"/>
      <c r="CUH126" s="1740"/>
      <c r="CUI126" s="1740"/>
      <c r="CUJ126" s="1740"/>
      <c r="CUK126" s="1740"/>
      <c r="CUL126" s="1740"/>
      <c r="CUM126" s="1740"/>
      <c r="CUN126" s="1740"/>
      <c r="CUO126" s="1740"/>
      <c r="CUP126" s="1740"/>
      <c r="CUQ126" s="1740"/>
      <c r="CUR126" s="1740"/>
      <c r="CUS126" s="1740"/>
      <c r="CUT126" s="1740"/>
      <c r="CUU126" s="1740"/>
      <c r="CUV126" s="1740"/>
      <c r="CUW126" s="1740"/>
      <c r="CUX126" s="1740"/>
      <c r="CUY126" s="1740"/>
      <c r="CUZ126" s="1740"/>
      <c r="CVA126" s="1740"/>
      <c r="CVB126" s="1740"/>
      <c r="CVC126" s="1740"/>
      <c r="CVD126" s="1740"/>
      <c r="CVE126" s="1740"/>
      <c r="CVF126" s="1740"/>
      <c r="CVG126" s="1740"/>
      <c r="CVH126" s="1740"/>
      <c r="CVI126" s="1740"/>
      <c r="CVJ126" s="1740"/>
      <c r="CVK126" s="1740"/>
      <c r="CVL126" s="1740"/>
      <c r="CVM126" s="1740"/>
      <c r="CVN126" s="1740"/>
      <c r="CVO126" s="1740"/>
      <c r="CVP126" s="1740"/>
      <c r="CVQ126" s="1740"/>
      <c r="CVR126" s="1740"/>
      <c r="CVS126" s="1740"/>
      <c r="CVT126" s="1740"/>
      <c r="CVU126" s="1740"/>
      <c r="CVV126" s="1740"/>
      <c r="CVW126" s="1740"/>
      <c r="CVX126" s="1740"/>
      <c r="CVY126" s="1740"/>
      <c r="CVZ126" s="1740"/>
      <c r="CWA126" s="1740"/>
      <c r="CWB126" s="1740"/>
      <c r="CWC126" s="1740"/>
      <c r="CWD126" s="1740"/>
      <c r="CWE126" s="1740"/>
      <c r="CWF126" s="1740"/>
      <c r="CWG126" s="1740"/>
      <c r="CWH126" s="1740"/>
      <c r="CWI126" s="1740"/>
      <c r="CWJ126" s="1740"/>
      <c r="CWK126" s="1740"/>
      <c r="CWL126" s="1740"/>
      <c r="CWM126" s="1740"/>
      <c r="CWN126" s="1740"/>
      <c r="CWO126" s="1740"/>
      <c r="CWP126" s="1740"/>
      <c r="CWQ126" s="1740"/>
      <c r="CWR126" s="1740"/>
      <c r="CWS126" s="1740"/>
      <c r="CWT126" s="1740"/>
      <c r="CWU126" s="1740"/>
      <c r="CWV126" s="1740"/>
      <c r="CWW126" s="1740"/>
      <c r="CWX126" s="1740"/>
      <c r="CWY126" s="1740"/>
      <c r="CWZ126" s="1740"/>
      <c r="CXA126" s="1740"/>
      <c r="CXB126" s="1740"/>
      <c r="CXC126" s="1740"/>
      <c r="CXD126" s="1740"/>
      <c r="CXE126" s="1740"/>
      <c r="CXF126" s="1740"/>
      <c r="CXG126" s="1740"/>
      <c r="CXH126" s="1740"/>
      <c r="CXI126" s="1740"/>
      <c r="CXJ126" s="1740"/>
      <c r="CXK126" s="1740"/>
      <c r="CXL126" s="1740"/>
      <c r="CXM126" s="1740"/>
      <c r="CXN126" s="1740"/>
      <c r="CXO126" s="1740"/>
      <c r="CXP126" s="1740"/>
      <c r="CXQ126" s="1740"/>
      <c r="CXR126" s="1740"/>
      <c r="CXS126" s="1740"/>
      <c r="CXT126" s="1740"/>
      <c r="CXU126" s="1740"/>
      <c r="CXV126" s="1740"/>
      <c r="CXW126" s="1740"/>
      <c r="CXX126" s="1740"/>
      <c r="CXY126" s="1740"/>
      <c r="CXZ126" s="1740"/>
      <c r="CYA126" s="1740"/>
      <c r="CYB126" s="1740"/>
      <c r="CYC126" s="1740"/>
      <c r="CYD126" s="1740"/>
      <c r="CYE126" s="1740"/>
      <c r="CYF126" s="1740"/>
      <c r="CYG126" s="1740"/>
      <c r="CYH126" s="1740"/>
      <c r="CYI126" s="1740"/>
      <c r="CYJ126" s="1740"/>
      <c r="CYK126" s="1740"/>
      <c r="CYL126" s="1740"/>
      <c r="CYM126" s="1740"/>
      <c r="CYN126" s="1740"/>
      <c r="CYO126" s="1740"/>
      <c r="CYP126" s="1740"/>
      <c r="CYQ126" s="1740"/>
      <c r="CYR126" s="1740"/>
      <c r="CYS126" s="1740"/>
      <c r="CYT126" s="1740"/>
      <c r="CYU126" s="1740"/>
      <c r="CYV126" s="1740"/>
      <c r="CYW126" s="1740"/>
      <c r="CYX126" s="1740"/>
      <c r="CYY126" s="1740"/>
      <c r="CYZ126" s="1740"/>
      <c r="CZA126" s="1740"/>
      <c r="CZB126" s="1740"/>
      <c r="CZC126" s="1740"/>
      <c r="CZD126" s="1740"/>
      <c r="CZE126" s="1740"/>
      <c r="CZF126" s="1740"/>
      <c r="CZG126" s="1740"/>
      <c r="CZH126" s="1740"/>
      <c r="CZI126" s="1740"/>
      <c r="CZJ126" s="1740"/>
      <c r="CZK126" s="1740"/>
      <c r="CZL126" s="1740"/>
      <c r="CZM126" s="1740"/>
      <c r="CZN126" s="1740"/>
      <c r="CZO126" s="1740"/>
      <c r="CZP126" s="1740"/>
      <c r="CZQ126" s="1740"/>
      <c r="CZR126" s="1740"/>
      <c r="CZS126" s="1740"/>
      <c r="CZT126" s="1740"/>
      <c r="CZU126" s="1740"/>
      <c r="CZV126" s="1740"/>
      <c r="CZW126" s="1740"/>
      <c r="CZX126" s="1740"/>
      <c r="CZY126" s="1740"/>
      <c r="CZZ126" s="1740"/>
      <c r="DAA126" s="1740"/>
      <c r="DAB126" s="1740"/>
      <c r="DAC126" s="1740"/>
      <c r="DAD126" s="1740"/>
      <c r="DAE126" s="1740"/>
      <c r="DAF126" s="1740"/>
      <c r="DAG126" s="1740"/>
      <c r="DAH126" s="1740"/>
      <c r="DAI126" s="1740"/>
      <c r="DAJ126" s="1740"/>
      <c r="DAK126" s="1740"/>
      <c r="DAL126" s="1740"/>
      <c r="DAM126" s="1740"/>
      <c r="DAN126" s="1740"/>
      <c r="DAO126" s="1740"/>
      <c r="DAP126" s="1740"/>
      <c r="DAQ126" s="1740"/>
      <c r="DAR126" s="1740"/>
      <c r="DAS126" s="1740"/>
      <c r="DAT126" s="1740"/>
      <c r="DAU126" s="1740"/>
      <c r="DAV126" s="1740"/>
      <c r="DAW126" s="1740"/>
      <c r="DAX126" s="1740"/>
      <c r="DAY126" s="1740"/>
      <c r="DAZ126" s="1740"/>
      <c r="DBA126" s="1740"/>
      <c r="DBB126" s="1740"/>
      <c r="DBC126" s="1740"/>
      <c r="DBD126" s="1740"/>
      <c r="DBE126" s="1740"/>
      <c r="DBF126" s="1740"/>
      <c r="DBG126" s="1740"/>
      <c r="DBH126" s="1740"/>
      <c r="DBI126" s="1740"/>
      <c r="DBJ126" s="1740"/>
      <c r="DBK126" s="1740"/>
      <c r="DBL126" s="1740"/>
      <c r="DBM126" s="1740"/>
      <c r="DBN126" s="1740"/>
      <c r="DBO126" s="1740"/>
      <c r="DBP126" s="1740"/>
      <c r="DBQ126" s="1740"/>
      <c r="DBR126" s="1740"/>
      <c r="DBS126" s="1740"/>
      <c r="DBT126" s="1740"/>
      <c r="DBU126" s="1740"/>
      <c r="DBV126" s="1740"/>
      <c r="DBW126" s="1740"/>
      <c r="DBX126" s="1740"/>
      <c r="DBY126" s="1740"/>
      <c r="DBZ126" s="1740"/>
      <c r="DCA126" s="1740"/>
      <c r="DCB126" s="1740"/>
      <c r="DCC126" s="1740"/>
      <c r="DCD126" s="1740"/>
      <c r="DCE126" s="1740"/>
      <c r="DCF126" s="1740"/>
      <c r="DCG126" s="1740"/>
      <c r="DCH126" s="1740"/>
      <c r="DCI126" s="1740"/>
      <c r="DCJ126" s="1740"/>
      <c r="DCK126" s="1740"/>
      <c r="DCL126" s="1740"/>
      <c r="DCM126" s="1740"/>
      <c r="DCN126" s="1740"/>
      <c r="DCO126" s="1740"/>
      <c r="DCP126" s="1740"/>
      <c r="DCQ126" s="1740"/>
      <c r="DCR126" s="1740"/>
      <c r="DCS126" s="1740"/>
      <c r="DCT126" s="1740"/>
      <c r="DCU126" s="1740"/>
      <c r="DCV126" s="1740"/>
      <c r="DCW126" s="1740"/>
      <c r="DCX126" s="1740"/>
      <c r="DCY126" s="1740"/>
      <c r="DCZ126" s="1740"/>
      <c r="DDA126" s="1740"/>
      <c r="DDB126" s="1740"/>
      <c r="DDC126" s="1740"/>
      <c r="DDD126" s="1740"/>
      <c r="DDE126" s="1740"/>
      <c r="DDF126" s="1740"/>
      <c r="DDG126" s="1740"/>
      <c r="DDH126" s="1740"/>
      <c r="DDI126" s="1740"/>
      <c r="DDJ126" s="1740"/>
      <c r="DDK126" s="1740"/>
      <c r="DDL126" s="1740"/>
      <c r="DDM126" s="1740"/>
      <c r="DDN126" s="1740"/>
      <c r="DDO126" s="1740"/>
      <c r="DDP126" s="1740"/>
      <c r="DDQ126" s="1740"/>
      <c r="DDR126" s="1740"/>
      <c r="DDS126" s="1740"/>
      <c r="DDT126" s="1740"/>
      <c r="DDU126" s="1740"/>
      <c r="DDV126" s="1740"/>
      <c r="DDW126" s="1740"/>
      <c r="DDX126" s="1740"/>
      <c r="DDY126" s="1740"/>
      <c r="DDZ126" s="1740"/>
      <c r="DEA126" s="1740"/>
      <c r="DEB126" s="1740"/>
      <c r="DEC126" s="1740"/>
      <c r="DED126" s="1740"/>
      <c r="DEE126" s="1740"/>
      <c r="DEF126" s="1740"/>
      <c r="DEG126" s="1740"/>
      <c r="DEH126" s="1740"/>
      <c r="DEI126" s="1740"/>
      <c r="DEJ126" s="1740"/>
      <c r="DEK126" s="1740"/>
      <c r="DEL126" s="1740"/>
      <c r="DEM126" s="1740"/>
      <c r="DEN126" s="1740"/>
      <c r="DEO126" s="1740"/>
      <c r="DEP126" s="1740"/>
      <c r="DEQ126" s="1740"/>
      <c r="DER126" s="1740"/>
      <c r="DES126" s="1740"/>
      <c r="DET126" s="1740"/>
      <c r="DEU126" s="1740"/>
      <c r="DEV126" s="1740"/>
      <c r="DEW126" s="1740"/>
      <c r="DEX126" s="1740"/>
      <c r="DEY126" s="1740"/>
      <c r="DEZ126" s="1740"/>
      <c r="DFA126" s="1740"/>
      <c r="DFB126" s="1740"/>
      <c r="DFC126" s="1740"/>
      <c r="DFD126" s="1740"/>
      <c r="DFE126" s="1740"/>
      <c r="DFF126" s="1740"/>
      <c r="DFG126" s="1740"/>
      <c r="DFH126" s="1740"/>
      <c r="DFI126" s="1740"/>
      <c r="DFJ126" s="1740"/>
      <c r="DFK126" s="1740"/>
      <c r="DFL126" s="1740"/>
      <c r="DFM126" s="1740"/>
      <c r="DFN126" s="1740"/>
      <c r="DFO126" s="1740"/>
      <c r="DFP126" s="1740"/>
      <c r="DFQ126" s="1740"/>
      <c r="DFR126" s="1740"/>
      <c r="DFS126" s="1740"/>
      <c r="DFT126" s="1740"/>
      <c r="DFU126" s="1740"/>
      <c r="DFV126" s="1740"/>
      <c r="DFW126" s="1740"/>
      <c r="DFX126" s="1740"/>
      <c r="DFY126" s="1740"/>
      <c r="DFZ126" s="1740"/>
      <c r="DGA126" s="1740"/>
      <c r="DGB126" s="1740"/>
      <c r="DGC126" s="1740"/>
      <c r="DGD126" s="1740"/>
      <c r="DGE126" s="1740"/>
      <c r="DGF126" s="1740"/>
      <c r="DGG126" s="1740"/>
      <c r="DGH126" s="1740"/>
      <c r="DGI126" s="1740"/>
      <c r="DGJ126" s="1740"/>
      <c r="DGK126" s="1740"/>
      <c r="DGL126" s="1740"/>
      <c r="DGM126" s="1740"/>
      <c r="DGN126" s="1740"/>
      <c r="DGO126" s="1740"/>
      <c r="DGP126" s="1740"/>
      <c r="DGQ126" s="1740"/>
      <c r="DGR126" s="1740"/>
      <c r="DGS126" s="1740"/>
      <c r="DGT126" s="1740"/>
      <c r="DGU126" s="1740"/>
      <c r="DGV126" s="1740"/>
      <c r="DGW126" s="1740"/>
      <c r="DGX126" s="1740"/>
      <c r="DGY126" s="1740"/>
      <c r="DGZ126" s="1740"/>
      <c r="DHA126" s="1740"/>
      <c r="DHB126" s="1740"/>
      <c r="DHC126" s="1740"/>
      <c r="DHD126" s="1740"/>
      <c r="DHE126" s="1740"/>
      <c r="DHF126" s="1740"/>
      <c r="DHG126" s="1740"/>
      <c r="DHH126" s="1740"/>
      <c r="DHI126" s="1740"/>
      <c r="DHJ126" s="1740"/>
      <c r="DHK126" s="1740"/>
      <c r="DHL126" s="1740"/>
      <c r="DHM126" s="1740"/>
      <c r="DHN126" s="1740"/>
      <c r="DHO126" s="1740"/>
      <c r="DHP126" s="1740"/>
      <c r="DHQ126" s="1740"/>
      <c r="DHR126" s="1740"/>
      <c r="DHS126" s="1740"/>
      <c r="DHT126" s="1740"/>
      <c r="DHU126" s="1740"/>
      <c r="DHV126" s="1740"/>
      <c r="DHW126" s="1740"/>
      <c r="DHX126" s="1740"/>
      <c r="DHY126" s="1740"/>
      <c r="DHZ126" s="1740"/>
      <c r="DIA126" s="1740"/>
      <c r="DIB126" s="1740"/>
      <c r="DIC126" s="1740"/>
      <c r="DID126" s="1740"/>
      <c r="DIE126" s="1740"/>
      <c r="DIF126" s="1740"/>
      <c r="DIG126" s="1740"/>
      <c r="DIH126" s="1740"/>
      <c r="DII126" s="1740"/>
      <c r="DIJ126" s="1740"/>
      <c r="DIK126" s="1740"/>
      <c r="DIL126" s="1740"/>
      <c r="DIM126" s="1740"/>
      <c r="DIN126" s="1740"/>
      <c r="DIO126" s="1740"/>
      <c r="DIP126" s="1740"/>
      <c r="DIQ126" s="1740"/>
      <c r="DIR126" s="1740"/>
      <c r="DIS126" s="1740"/>
      <c r="DIT126" s="1740"/>
      <c r="DIU126" s="1740"/>
      <c r="DIV126" s="1740"/>
      <c r="DIW126" s="1740"/>
      <c r="DIX126" s="1740"/>
      <c r="DIY126" s="1740"/>
      <c r="DIZ126" s="1740"/>
      <c r="DJA126" s="1740"/>
      <c r="DJB126" s="1740"/>
      <c r="DJC126" s="1740"/>
      <c r="DJD126" s="1740"/>
      <c r="DJE126" s="1740"/>
      <c r="DJF126" s="1740"/>
      <c r="DJG126" s="1740"/>
      <c r="DJH126" s="1740"/>
      <c r="DJI126" s="1740"/>
      <c r="DJJ126" s="1740"/>
      <c r="DJK126" s="1740"/>
      <c r="DJL126" s="1740"/>
      <c r="DJM126" s="1740"/>
      <c r="DJN126" s="1740"/>
      <c r="DJO126" s="1740"/>
      <c r="DJP126" s="1740"/>
      <c r="DJQ126" s="1740"/>
      <c r="DJR126" s="1740"/>
      <c r="DJS126" s="1740"/>
      <c r="DJT126" s="1740"/>
      <c r="DJU126" s="1740"/>
      <c r="DJV126" s="1740"/>
      <c r="DJW126" s="1740"/>
      <c r="DJX126" s="1740"/>
      <c r="DJY126" s="1740"/>
      <c r="DJZ126" s="1740"/>
      <c r="DKA126" s="1740"/>
      <c r="DKB126" s="1740"/>
      <c r="DKC126" s="1740"/>
      <c r="DKD126" s="1740"/>
      <c r="DKE126" s="1740"/>
      <c r="DKF126" s="1740"/>
      <c r="DKG126" s="1740"/>
      <c r="DKH126" s="1740"/>
      <c r="DKI126" s="1740"/>
      <c r="DKJ126" s="1740"/>
      <c r="DKK126" s="1740"/>
      <c r="DKL126" s="1740"/>
      <c r="DKM126" s="1740"/>
      <c r="DKN126" s="1740"/>
      <c r="DKO126" s="1740"/>
      <c r="DKP126" s="1740"/>
      <c r="DKQ126" s="1740"/>
      <c r="DKR126" s="1740"/>
      <c r="DKS126" s="1740"/>
      <c r="DKT126" s="1740"/>
      <c r="DKU126" s="1740"/>
      <c r="DKV126" s="1740"/>
      <c r="DKW126" s="1740"/>
      <c r="DKX126" s="1740"/>
      <c r="DKY126" s="1740"/>
      <c r="DKZ126" s="1740"/>
      <c r="DLA126" s="1740"/>
      <c r="DLB126" s="1740"/>
      <c r="DLC126" s="1740"/>
      <c r="DLD126" s="1740"/>
      <c r="DLE126" s="1740"/>
      <c r="DLF126" s="1740"/>
      <c r="DLG126" s="1740"/>
      <c r="DLH126" s="1740"/>
      <c r="DLI126" s="1740"/>
      <c r="DLJ126" s="1740"/>
      <c r="DLK126" s="1740"/>
      <c r="DLL126" s="1740"/>
      <c r="DLM126" s="1740"/>
      <c r="DLN126" s="1740"/>
      <c r="DLO126" s="1740"/>
      <c r="DLP126" s="1740"/>
      <c r="DLQ126" s="1740"/>
      <c r="DLR126" s="1740"/>
      <c r="DLS126" s="1740"/>
      <c r="DLT126" s="1740"/>
      <c r="DLU126" s="1740"/>
      <c r="DLV126" s="1740"/>
      <c r="DLW126" s="1740"/>
      <c r="DLX126" s="1740"/>
      <c r="DLY126" s="1740"/>
      <c r="DLZ126" s="1740"/>
      <c r="DMA126" s="1740"/>
      <c r="DMB126" s="1740"/>
      <c r="DMC126" s="1740"/>
      <c r="DMD126" s="1740"/>
      <c r="DME126" s="1740"/>
      <c r="DMF126" s="1740"/>
      <c r="DMG126" s="1740"/>
      <c r="DMH126" s="1740"/>
      <c r="DMI126" s="1740"/>
      <c r="DMJ126" s="1740"/>
      <c r="DMK126" s="1740"/>
      <c r="DML126" s="1740"/>
      <c r="DMM126" s="1740"/>
      <c r="DMN126" s="1740"/>
      <c r="DMO126" s="1740"/>
      <c r="DMP126" s="1740"/>
      <c r="DMQ126" s="1740"/>
      <c r="DMR126" s="1740"/>
      <c r="DMS126" s="1740"/>
      <c r="DMT126" s="1740"/>
      <c r="DMU126" s="1740"/>
      <c r="DMV126" s="1740"/>
      <c r="DMW126" s="1740"/>
      <c r="DMX126" s="1740"/>
      <c r="DMY126" s="1740"/>
      <c r="DMZ126" s="1740"/>
      <c r="DNA126" s="1740"/>
      <c r="DNB126" s="1740"/>
      <c r="DNC126" s="1740"/>
      <c r="DND126" s="1740"/>
      <c r="DNE126" s="1740"/>
      <c r="DNF126" s="1740"/>
      <c r="DNG126" s="1740"/>
      <c r="DNH126" s="1740"/>
      <c r="DNI126" s="1740"/>
      <c r="DNJ126" s="1740"/>
      <c r="DNK126" s="1740"/>
      <c r="DNL126" s="1740"/>
      <c r="DNM126" s="1740"/>
      <c r="DNN126" s="1740"/>
      <c r="DNO126" s="1740"/>
      <c r="DNP126" s="1740"/>
      <c r="DNQ126" s="1740"/>
      <c r="DNR126" s="1740"/>
      <c r="DNS126" s="1740"/>
      <c r="DNT126" s="1740"/>
      <c r="DNU126" s="1740"/>
      <c r="DNV126" s="1740"/>
      <c r="DNW126" s="1740"/>
      <c r="DNX126" s="1740"/>
      <c r="DNY126" s="1740"/>
      <c r="DNZ126" s="1740"/>
      <c r="DOA126" s="1740"/>
      <c r="DOB126" s="1740"/>
      <c r="DOC126" s="1740"/>
      <c r="DOD126" s="1740"/>
      <c r="DOE126" s="1740"/>
      <c r="DOF126" s="1740"/>
      <c r="DOG126" s="1740"/>
      <c r="DOH126" s="1740"/>
      <c r="DOI126" s="1740"/>
      <c r="DOJ126" s="1740"/>
      <c r="DOK126" s="1740"/>
      <c r="DOL126" s="1740"/>
      <c r="DOM126" s="1740"/>
      <c r="DON126" s="1740"/>
      <c r="DOO126" s="1740"/>
      <c r="DOP126" s="1740"/>
      <c r="DOQ126" s="1740"/>
      <c r="DOR126" s="1740"/>
      <c r="DOS126" s="1740"/>
      <c r="DOT126" s="1740"/>
      <c r="DOU126" s="1740"/>
      <c r="DOV126" s="1740"/>
      <c r="DOW126" s="1740"/>
      <c r="DOX126" s="1740"/>
      <c r="DOY126" s="1740"/>
      <c r="DOZ126" s="1740"/>
      <c r="DPA126" s="1740"/>
      <c r="DPB126" s="1740"/>
      <c r="DPC126" s="1740"/>
      <c r="DPD126" s="1740"/>
      <c r="DPE126" s="1740"/>
      <c r="DPF126" s="1740"/>
      <c r="DPG126" s="1740"/>
      <c r="DPH126" s="1740"/>
      <c r="DPI126" s="1740"/>
      <c r="DPJ126" s="1740"/>
      <c r="DPK126" s="1740"/>
      <c r="DPL126" s="1740"/>
      <c r="DPM126" s="1740"/>
      <c r="DPN126" s="1740"/>
      <c r="DPO126" s="1740"/>
      <c r="DPP126" s="1740"/>
      <c r="DPQ126" s="1740"/>
      <c r="DPR126" s="1740"/>
      <c r="DPS126" s="1740"/>
      <c r="DPT126" s="1740"/>
      <c r="DPU126" s="1740"/>
      <c r="DPV126" s="1740"/>
      <c r="DPW126" s="1740"/>
      <c r="DPX126" s="1740"/>
      <c r="DPY126" s="1740"/>
      <c r="DPZ126" s="1740"/>
      <c r="DQA126" s="1740"/>
      <c r="DQB126" s="1740"/>
      <c r="DQC126" s="1740"/>
      <c r="DQD126" s="1740"/>
      <c r="DQE126" s="1740"/>
      <c r="DQF126" s="1740"/>
      <c r="DQG126" s="1740"/>
      <c r="DQH126" s="1740"/>
      <c r="DQI126" s="1740"/>
      <c r="DQJ126" s="1740"/>
      <c r="DQK126" s="1740"/>
      <c r="DQL126" s="1740"/>
      <c r="DQM126" s="1740"/>
      <c r="DQN126" s="1740"/>
      <c r="DQO126" s="1740"/>
      <c r="DQP126" s="1740"/>
      <c r="DQQ126" s="1740"/>
      <c r="DQR126" s="1740"/>
      <c r="DQS126" s="1740"/>
      <c r="DQT126" s="1740"/>
      <c r="DQU126" s="1740"/>
      <c r="DQV126" s="1740"/>
      <c r="DQW126" s="1740"/>
      <c r="DQX126" s="1740"/>
      <c r="DQY126" s="1740"/>
      <c r="DQZ126" s="1740"/>
      <c r="DRA126" s="1740"/>
      <c r="DRB126" s="1740"/>
      <c r="DRC126" s="1740"/>
      <c r="DRD126" s="1740"/>
      <c r="DRE126" s="1740"/>
      <c r="DRF126" s="1740"/>
      <c r="DRG126" s="1740"/>
      <c r="DRH126" s="1740"/>
      <c r="DRI126" s="1740"/>
      <c r="DRJ126" s="1740"/>
      <c r="DRK126" s="1740"/>
      <c r="DRL126" s="1740"/>
      <c r="DRM126" s="1740"/>
      <c r="DRN126" s="1740"/>
      <c r="DRO126" s="1740"/>
      <c r="DRP126" s="1740"/>
      <c r="DRQ126" s="1740"/>
      <c r="DRR126" s="1740"/>
      <c r="DRS126" s="1740"/>
      <c r="DRT126" s="1740"/>
      <c r="DRU126" s="1740"/>
      <c r="DRV126" s="1740"/>
      <c r="DRW126" s="1740"/>
      <c r="DRX126" s="1740"/>
      <c r="DRY126" s="1740"/>
      <c r="DRZ126" s="1740"/>
      <c r="DSA126" s="1740"/>
      <c r="DSB126" s="1740"/>
      <c r="DSC126" s="1740"/>
      <c r="DSD126" s="1740"/>
      <c r="DSE126" s="1740"/>
      <c r="DSF126" s="1740"/>
      <c r="DSG126" s="1740"/>
      <c r="DSH126" s="1740"/>
      <c r="DSI126" s="1740"/>
      <c r="DSJ126" s="1740"/>
      <c r="DSK126" s="1740"/>
      <c r="DSL126" s="1740"/>
      <c r="DSM126" s="1740"/>
      <c r="DSN126" s="1740"/>
      <c r="DSO126" s="1740"/>
      <c r="DSP126" s="1740"/>
      <c r="DSQ126" s="1740"/>
      <c r="DSR126" s="1740"/>
      <c r="DSS126" s="1740"/>
      <c r="DST126" s="1740"/>
      <c r="DSU126" s="1740"/>
      <c r="DSV126" s="1740"/>
      <c r="DSW126" s="1740"/>
      <c r="DSX126" s="1740"/>
      <c r="DSY126" s="1740"/>
      <c r="DSZ126" s="1740"/>
      <c r="DTA126" s="1740"/>
      <c r="DTB126" s="1740"/>
      <c r="DTC126" s="1740"/>
      <c r="DTD126" s="1740"/>
      <c r="DTE126" s="1740"/>
      <c r="DTF126" s="1740"/>
      <c r="DTG126" s="1740"/>
      <c r="DTH126" s="1740"/>
      <c r="DTI126" s="1740"/>
      <c r="DTJ126" s="1740"/>
      <c r="DTK126" s="1740"/>
      <c r="DTL126" s="1740"/>
      <c r="DTM126" s="1740"/>
      <c r="DTN126" s="1740"/>
      <c r="DTO126" s="1740"/>
      <c r="DTP126" s="1740"/>
      <c r="DTQ126" s="1740"/>
      <c r="DTR126" s="1740"/>
      <c r="DTS126" s="1740"/>
      <c r="DTT126" s="1740"/>
      <c r="DTU126" s="1740"/>
      <c r="DTV126" s="1740"/>
      <c r="DTW126" s="1740"/>
      <c r="DTX126" s="1740"/>
      <c r="DTY126" s="1740"/>
      <c r="DTZ126" s="1740"/>
      <c r="DUA126" s="1740"/>
      <c r="DUB126" s="1740"/>
      <c r="DUC126" s="1740"/>
      <c r="DUD126" s="1740"/>
      <c r="DUE126" s="1740"/>
      <c r="DUF126" s="1740"/>
      <c r="DUG126" s="1740"/>
      <c r="DUH126" s="1740"/>
      <c r="DUI126" s="1740"/>
      <c r="DUJ126" s="1740"/>
      <c r="DUK126" s="1740"/>
      <c r="DUL126" s="1740"/>
      <c r="DUM126" s="1740"/>
      <c r="DUN126" s="1740"/>
      <c r="DUO126" s="1740"/>
      <c r="DUP126" s="1740"/>
      <c r="DUQ126" s="1740"/>
      <c r="DUR126" s="1740"/>
      <c r="DUS126" s="1740"/>
      <c r="DUT126" s="1740"/>
      <c r="DUU126" s="1740"/>
      <c r="DUV126" s="1740"/>
      <c r="DUW126" s="1740"/>
      <c r="DUX126" s="1740"/>
      <c r="DUY126" s="1740"/>
      <c r="DUZ126" s="1740"/>
      <c r="DVA126" s="1740"/>
      <c r="DVB126" s="1740"/>
      <c r="DVC126" s="1740"/>
      <c r="DVD126" s="1740"/>
      <c r="DVE126" s="1740"/>
      <c r="DVF126" s="1740"/>
      <c r="DVG126" s="1740"/>
      <c r="DVH126" s="1740"/>
      <c r="DVI126" s="1740"/>
      <c r="DVJ126" s="1740"/>
      <c r="DVK126" s="1740"/>
      <c r="DVL126" s="1740"/>
      <c r="DVM126" s="1740"/>
      <c r="DVN126" s="1740"/>
      <c r="DVO126" s="1740"/>
      <c r="DVP126" s="1740"/>
      <c r="DVQ126" s="1740"/>
      <c r="DVR126" s="1740"/>
      <c r="DVS126" s="1740"/>
      <c r="DVT126" s="1740"/>
      <c r="DVU126" s="1740"/>
      <c r="DVV126" s="1740"/>
      <c r="DVW126" s="1740"/>
      <c r="DVX126" s="1740"/>
      <c r="DVY126" s="1740"/>
      <c r="DVZ126" s="1740"/>
      <c r="DWA126" s="1740"/>
      <c r="DWB126" s="1740"/>
      <c r="DWC126" s="1740"/>
      <c r="DWD126" s="1740"/>
      <c r="DWE126" s="1740"/>
      <c r="DWF126" s="1740"/>
      <c r="DWG126" s="1740"/>
      <c r="DWH126" s="1740"/>
      <c r="DWI126" s="1740"/>
      <c r="DWJ126" s="1740"/>
      <c r="DWK126" s="1740"/>
      <c r="DWL126" s="1740"/>
      <c r="DWM126" s="1740"/>
      <c r="DWN126" s="1740"/>
      <c r="DWO126" s="1740"/>
      <c r="DWP126" s="1740"/>
      <c r="DWQ126" s="1740"/>
      <c r="DWR126" s="1740"/>
      <c r="DWS126" s="1740"/>
      <c r="DWT126" s="1740"/>
      <c r="DWU126" s="1740"/>
      <c r="DWV126" s="1740"/>
      <c r="DWW126" s="1740"/>
      <c r="DWX126" s="1740"/>
      <c r="DWY126" s="1740"/>
      <c r="DWZ126" s="1740"/>
      <c r="DXA126" s="1740"/>
      <c r="DXB126" s="1740"/>
      <c r="DXC126" s="1740"/>
      <c r="DXD126" s="1740"/>
      <c r="DXE126" s="1740"/>
      <c r="DXF126" s="1740"/>
      <c r="DXG126" s="1740"/>
      <c r="DXH126" s="1740"/>
      <c r="DXI126" s="1740"/>
      <c r="DXJ126" s="1740"/>
      <c r="DXK126" s="1740"/>
      <c r="DXL126" s="1740"/>
      <c r="DXM126" s="1740"/>
      <c r="DXN126" s="1740"/>
      <c r="DXO126" s="1740"/>
      <c r="DXP126" s="1740"/>
      <c r="DXQ126" s="1740"/>
      <c r="DXR126" s="1740"/>
      <c r="DXS126" s="1740"/>
      <c r="DXT126" s="1740"/>
      <c r="DXU126" s="1740"/>
      <c r="DXV126" s="1740"/>
      <c r="DXW126" s="1740"/>
      <c r="DXX126" s="1740"/>
      <c r="DXY126" s="1740"/>
      <c r="DXZ126" s="1740"/>
      <c r="DYA126" s="1740"/>
      <c r="DYB126" s="1740"/>
      <c r="DYC126" s="1740"/>
      <c r="DYD126" s="1740"/>
      <c r="DYE126" s="1740"/>
      <c r="DYF126" s="1740"/>
      <c r="DYG126" s="1740"/>
      <c r="DYH126" s="1740"/>
      <c r="DYI126" s="1740"/>
      <c r="DYJ126" s="1740"/>
      <c r="DYK126" s="1740"/>
      <c r="DYL126" s="1740"/>
      <c r="DYM126" s="1740"/>
      <c r="DYN126" s="1740"/>
      <c r="DYO126" s="1740"/>
      <c r="DYP126" s="1740"/>
      <c r="DYQ126" s="1740"/>
      <c r="DYR126" s="1740"/>
      <c r="DYS126" s="1740"/>
      <c r="DYT126" s="1740"/>
      <c r="DYU126" s="1740"/>
      <c r="DYV126" s="1740"/>
      <c r="DYW126" s="1740"/>
      <c r="DYX126" s="1740"/>
      <c r="DYY126" s="1740"/>
      <c r="DYZ126" s="1740"/>
      <c r="DZA126" s="1740"/>
      <c r="DZB126" s="1740"/>
      <c r="DZC126" s="1740"/>
      <c r="DZD126" s="1740"/>
      <c r="DZE126" s="1740"/>
      <c r="DZF126" s="1740"/>
      <c r="DZG126" s="1740"/>
      <c r="DZH126" s="1740"/>
      <c r="DZI126" s="1740"/>
      <c r="DZJ126" s="1740"/>
      <c r="DZK126" s="1740"/>
      <c r="DZL126" s="1740"/>
      <c r="DZM126" s="1740"/>
      <c r="DZN126" s="1740"/>
      <c r="DZO126" s="1740"/>
      <c r="DZP126" s="1740"/>
      <c r="DZQ126" s="1740"/>
      <c r="DZR126" s="1740"/>
      <c r="DZS126" s="1740"/>
      <c r="DZT126" s="1740"/>
      <c r="DZU126" s="1740"/>
      <c r="DZV126" s="1740"/>
      <c r="DZW126" s="1740"/>
      <c r="DZX126" s="1740"/>
      <c r="DZY126" s="1740"/>
      <c r="DZZ126" s="1740"/>
      <c r="EAA126" s="1740"/>
      <c r="EAB126" s="1740"/>
      <c r="EAC126" s="1740"/>
      <c r="EAD126" s="1740"/>
      <c r="EAE126" s="1740"/>
      <c r="EAF126" s="1740"/>
      <c r="EAG126" s="1740"/>
      <c r="EAH126" s="1740"/>
      <c r="EAI126" s="1740"/>
      <c r="EAJ126" s="1740"/>
      <c r="EAK126" s="1740"/>
      <c r="EAL126" s="1740"/>
      <c r="EAM126" s="1740"/>
      <c r="EAN126" s="1740"/>
      <c r="EAO126" s="1740"/>
      <c r="EAP126" s="1740"/>
      <c r="EAQ126" s="1740"/>
      <c r="EAR126" s="1740"/>
      <c r="EAS126" s="1740"/>
      <c r="EAT126" s="1740"/>
      <c r="EAU126" s="1740"/>
      <c r="EAV126" s="1740"/>
      <c r="EAW126" s="1740"/>
      <c r="EAX126" s="1740"/>
      <c r="EAY126" s="1740"/>
      <c r="EAZ126" s="1740"/>
      <c r="EBA126" s="1740"/>
      <c r="EBB126" s="1740"/>
      <c r="EBC126" s="1740"/>
      <c r="EBD126" s="1740"/>
      <c r="EBE126" s="1740"/>
      <c r="EBF126" s="1740"/>
      <c r="EBG126" s="1740"/>
      <c r="EBH126" s="1740"/>
      <c r="EBI126" s="1740"/>
      <c r="EBJ126" s="1740"/>
      <c r="EBK126" s="1740"/>
      <c r="EBL126" s="1740"/>
      <c r="EBM126" s="1740"/>
      <c r="EBN126" s="1740"/>
      <c r="EBO126" s="1740"/>
      <c r="EBP126" s="1740"/>
      <c r="EBQ126" s="1740"/>
      <c r="EBR126" s="1740"/>
      <c r="EBS126" s="1740"/>
      <c r="EBT126" s="1740"/>
      <c r="EBU126" s="1740"/>
      <c r="EBV126" s="1740"/>
      <c r="EBW126" s="1740"/>
      <c r="EBX126" s="1740"/>
      <c r="EBY126" s="1740"/>
      <c r="EBZ126" s="1740"/>
      <c r="ECA126" s="1740"/>
      <c r="ECB126" s="1740"/>
      <c r="ECC126" s="1740"/>
      <c r="ECD126" s="1740"/>
      <c r="ECE126" s="1740"/>
      <c r="ECF126" s="1740"/>
      <c r="ECG126" s="1740"/>
      <c r="ECH126" s="1740"/>
      <c r="ECI126" s="1740"/>
      <c r="ECJ126" s="1740"/>
      <c r="ECK126" s="1740"/>
      <c r="ECL126" s="1740"/>
      <c r="ECM126" s="1740"/>
      <c r="ECN126" s="1740"/>
      <c r="ECO126" s="1740"/>
      <c r="ECP126" s="1740"/>
      <c r="ECQ126" s="1740"/>
      <c r="ECR126" s="1740"/>
      <c r="ECS126" s="1740"/>
      <c r="ECT126" s="1740"/>
      <c r="ECU126" s="1740"/>
      <c r="ECV126" s="1740"/>
      <c r="ECW126" s="1740"/>
      <c r="ECX126" s="1740"/>
      <c r="ECY126" s="1740"/>
      <c r="ECZ126" s="1740"/>
      <c r="EDA126" s="1740"/>
      <c r="EDB126" s="1740"/>
      <c r="EDC126" s="1740"/>
      <c r="EDD126" s="1740"/>
      <c r="EDE126" s="1740"/>
      <c r="EDF126" s="1740"/>
      <c r="EDG126" s="1740"/>
      <c r="EDH126" s="1740"/>
      <c r="EDI126" s="1740"/>
      <c r="EDJ126" s="1740"/>
      <c r="EDK126" s="1740"/>
      <c r="EDL126" s="1740"/>
      <c r="EDM126" s="1740"/>
      <c r="EDN126" s="1740"/>
      <c r="EDO126" s="1740"/>
      <c r="EDP126" s="1740"/>
      <c r="EDQ126" s="1740"/>
      <c r="EDR126" s="1740"/>
      <c r="EDS126" s="1740"/>
      <c r="EDT126" s="1740"/>
      <c r="EDU126" s="1740"/>
      <c r="EDV126" s="1740"/>
      <c r="EDW126" s="1740"/>
      <c r="EDX126" s="1740"/>
      <c r="EDY126" s="1740"/>
      <c r="EDZ126" s="1740"/>
      <c r="EEA126" s="1740"/>
      <c r="EEB126" s="1740"/>
      <c r="EEC126" s="1740"/>
      <c r="EED126" s="1740"/>
      <c r="EEE126" s="1740"/>
      <c r="EEF126" s="1740"/>
      <c r="EEG126" s="1740"/>
      <c r="EEH126" s="1740"/>
      <c r="EEI126" s="1740"/>
      <c r="EEJ126" s="1740"/>
      <c r="EEK126" s="1740"/>
      <c r="EEL126" s="1740"/>
      <c r="EEM126" s="1740"/>
      <c r="EEN126" s="1740"/>
      <c r="EEO126" s="1740"/>
      <c r="EEP126" s="1740"/>
      <c r="EEQ126" s="1740"/>
      <c r="EER126" s="1740"/>
      <c r="EES126" s="1740"/>
      <c r="EET126" s="1740"/>
      <c r="EEU126" s="1740"/>
      <c r="EEV126" s="1740"/>
      <c r="EEW126" s="1740"/>
      <c r="EEX126" s="1740"/>
      <c r="EEY126" s="1740"/>
      <c r="EEZ126" s="1740"/>
      <c r="EFA126" s="1740"/>
      <c r="EFB126" s="1740"/>
      <c r="EFC126" s="1740"/>
      <c r="EFD126" s="1740"/>
      <c r="EFE126" s="1740"/>
      <c r="EFF126" s="1740"/>
      <c r="EFG126" s="1740"/>
      <c r="EFH126" s="1740"/>
      <c r="EFI126" s="1740"/>
      <c r="EFJ126" s="1740"/>
      <c r="EFK126" s="1740"/>
      <c r="EFL126" s="1740"/>
      <c r="EFM126" s="1740"/>
      <c r="EFN126" s="1740"/>
      <c r="EFO126" s="1740"/>
      <c r="EFP126" s="1740"/>
      <c r="EFQ126" s="1740"/>
      <c r="EFR126" s="1740"/>
      <c r="EFS126" s="1740"/>
      <c r="EFT126" s="1740"/>
      <c r="EFU126" s="1740"/>
      <c r="EFV126" s="1740"/>
      <c r="EFW126" s="1740"/>
      <c r="EFX126" s="1740"/>
      <c r="EFY126" s="1740"/>
      <c r="EFZ126" s="1740"/>
      <c r="EGA126" s="1740"/>
      <c r="EGB126" s="1740"/>
      <c r="EGC126" s="1740"/>
      <c r="EGD126" s="1740"/>
      <c r="EGE126" s="1740"/>
      <c r="EGF126" s="1740"/>
      <c r="EGG126" s="1740"/>
      <c r="EGH126" s="1740"/>
      <c r="EGI126" s="1740"/>
      <c r="EGJ126" s="1740"/>
      <c r="EGK126" s="1740"/>
      <c r="EGL126" s="1740"/>
      <c r="EGM126" s="1740"/>
      <c r="EGN126" s="1740"/>
      <c r="EGO126" s="1740"/>
      <c r="EGP126" s="1740"/>
      <c r="EGQ126" s="1740"/>
      <c r="EGR126" s="1740"/>
      <c r="EGS126" s="1740"/>
      <c r="EGT126" s="1740"/>
      <c r="EGU126" s="1740"/>
      <c r="EGV126" s="1740"/>
      <c r="EGW126" s="1740"/>
      <c r="EGX126" s="1740"/>
      <c r="EGY126" s="1740"/>
      <c r="EGZ126" s="1740"/>
      <c r="EHA126" s="1740"/>
      <c r="EHB126" s="1740"/>
      <c r="EHC126" s="1740"/>
      <c r="EHD126" s="1740"/>
      <c r="EHE126" s="1740"/>
      <c r="EHF126" s="1740"/>
      <c r="EHG126" s="1740"/>
      <c r="EHH126" s="1740"/>
      <c r="EHI126" s="1740"/>
      <c r="EHJ126" s="1740"/>
      <c r="EHK126" s="1740"/>
      <c r="EHL126" s="1740"/>
      <c r="EHM126" s="1740"/>
      <c r="EHN126" s="1740"/>
      <c r="EHO126" s="1740"/>
      <c r="EHP126" s="1740"/>
      <c r="EHQ126" s="1740"/>
      <c r="EHR126" s="1740"/>
      <c r="EHS126" s="1740"/>
      <c r="EHT126" s="1740"/>
      <c r="EHU126" s="1740"/>
      <c r="EHV126" s="1740"/>
      <c r="EHW126" s="1740"/>
      <c r="EHX126" s="1740"/>
      <c r="EHY126" s="1740"/>
      <c r="EHZ126" s="1740"/>
      <c r="EIA126" s="1740"/>
      <c r="EIB126" s="1740"/>
      <c r="EIC126" s="1740"/>
      <c r="EID126" s="1740"/>
      <c r="EIE126" s="1740"/>
      <c r="EIF126" s="1740"/>
      <c r="EIG126" s="1740"/>
      <c r="EIH126" s="1740"/>
      <c r="EII126" s="1740"/>
      <c r="EIJ126" s="1740"/>
      <c r="EIK126" s="1740"/>
      <c r="EIL126" s="1740"/>
      <c r="EIM126" s="1740"/>
      <c r="EIN126" s="1740"/>
      <c r="EIO126" s="1740"/>
      <c r="EIP126" s="1740"/>
      <c r="EIQ126" s="1740"/>
      <c r="EIR126" s="1740"/>
      <c r="EIS126" s="1740"/>
      <c r="EIT126" s="1740"/>
      <c r="EIU126" s="1740"/>
      <c r="EIV126" s="1740"/>
      <c r="EIW126" s="1740"/>
      <c r="EIX126" s="1740"/>
      <c r="EIY126" s="1740"/>
      <c r="EIZ126" s="1740"/>
      <c r="EJA126" s="1740"/>
      <c r="EJB126" s="1740"/>
      <c r="EJC126" s="1740"/>
      <c r="EJD126" s="1740"/>
      <c r="EJE126" s="1740"/>
      <c r="EJF126" s="1740"/>
      <c r="EJG126" s="1740"/>
      <c r="EJH126" s="1740"/>
      <c r="EJI126" s="1740"/>
      <c r="EJJ126" s="1740"/>
      <c r="EJK126" s="1740"/>
      <c r="EJL126" s="1740"/>
      <c r="EJM126" s="1740"/>
      <c r="EJN126" s="1740"/>
      <c r="EJO126" s="1740"/>
      <c r="EJP126" s="1740"/>
      <c r="EJQ126" s="1740"/>
      <c r="EJR126" s="1740"/>
      <c r="EJS126" s="1740"/>
      <c r="EJT126" s="1740"/>
      <c r="EJU126" s="1740"/>
      <c r="EJV126" s="1740"/>
      <c r="EJW126" s="1740"/>
      <c r="EJX126" s="1740"/>
      <c r="EJY126" s="1740"/>
      <c r="EJZ126" s="1740"/>
      <c r="EKA126" s="1740"/>
      <c r="EKB126" s="1740"/>
      <c r="EKC126" s="1740"/>
      <c r="EKD126" s="1740"/>
      <c r="EKE126" s="1740"/>
      <c r="EKF126" s="1740"/>
      <c r="EKG126" s="1740"/>
      <c r="EKH126" s="1740"/>
      <c r="EKI126" s="1740"/>
      <c r="EKJ126" s="1740"/>
      <c r="EKK126" s="1740"/>
      <c r="EKL126" s="1740"/>
      <c r="EKM126" s="1740"/>
      <c r="EKN126" s="1740"/>
      <c r="EKO126" s="1740"/>
      <c r="EKP126" s="1740"/>
      <c r="EKQ126" s="1740"/>
      <c r="EKR126" s="1740"/>
      <c r="EKS126" s="1740"/>
      <c r="EKT126" s="1740"/>
      <c r="EKU126" s="1740"/>
      <c r="EKV126" s="1740"/>
      <c r="EKW126" s="1740"/>
      <c r="EKX126" s="1740"/>
      <c r="EKY126" s="1740"/>
      <c r="EKZ126" s="1740"/>
      <c r="ELA126" s="1740"/>
      <c r="ELB126" s="1740"/>
      <c r="ELC126" s="1740"/>
      <c r="ELD126" s="1740"/>
      <c r="ELE126" s="1740"/>
      <c r="ELF126" s="1740"/>
      <c r="ELG126" s="1740"/>
      <c r="ELH126" s="1740"/>
      <c r="ELI126" s="1740"/>
      <c r="ELJ126" s="1740"/>
      <c r="ELK126" s="1740"/>
      <c r="ELL126" s="1740"/>
      <c r="ELM126" s="1740"/>
      <c r="ELN126" s="1740"/>
      <c r="ELO126" s="1740"/>
      <c r="ELP126" s="1740"/>
      <c r="ELQ126" s="1740"/>
      <c r="ELR126" s="1740"/>
      <c r="ELS126" s="1740"/>
      <c r="ELT126" s="1740"/>
      <c r="ELU126" s="1740"/>
      <c r="ELV126" s="1740"/>
      <c r="ELW126" s="1740"/>
      <c r="ELX126" s="1740"/>
      <c r="ELY126" s="1740"/>
      <c r="ELZ126" s="1740"/>
      <c r="EMA126" s="1740"/>
      <c r="EMB126" s="1740"/>
      <c r="EMC126" s="1740"/>
      <c r="EMD126" s="1740"/>
      <c r="EME126" s="1740"/>
      <c r="EMF126" s="1740"/>
      <c r="EMG126" s="1740"/>
      <c r="EMH126" s="1740"/>
      <c r="EMI126" s="1740"/>
      <c r="EMJ126" s="1740"/>
      <c r="EMK126" s="1740"/>
      <c r="EML126" s="1740"/>
      <c r="EMM126" s="1740"/>
      <c r="EMN126" s="1740"/>
      <c r="EMO126" s="1740"/>
      <c r="EMP126" s="1740"/>
      <c r="EMQ126" s="1740"/>
      <c r="EMR126" s="1740"/>
      <c r="EMS126" s="1740"/>
      <c r="EMT126" s="1740"/>
      <c r="EMU126" s="1740"/>
      <c r="EMV126" s="1740"/>
      <c r="EMW126" s="1740"/>
      <c r="EMX126" s="1740"/>
      <c r="EMY126" s="1740"/>
      <c r="EMZ126" s="1740"/>
      <c r="ENA126" s="1740"/>
      <c r="ENB126" s="1740"/>
      <c r="ENC126" s="1740"/>
      <c r="END126" s="1740"/>
      <c r="ENE126" s="1740"/>
      <c r="ENF126" s="1740"/>
      <c r="ENG126" s="1740"/>
      <c r="ENH126" s="1740"/>
      <c r="ENI126" s="1740"/>
      <c r="ENJ126" s="1740"/>
      <c r="ENK126" s="1740"/>
      <c r="ENL126" s="1740"/>
      <c r="ENM126" s="1740"/>
      <c r="ENN126" s="1740"/>
      <c r="ENO126" s="1740"/>
      <c r="ENP126" s="1740"/>
      <c r="ENQ126" s="1740"/>
      <c r="ENR126" s="1740"/>
      <c r="ENS126" s="1740"/>
      <c r="ENT126" s="1740"/>
      <c r="ENU126" s="1740"/>
      <c r="ENV126" s="1740"/>
      <c r="ENW126" s="1740"/>
      <c r="ENX126" s="1740"/>
      <c r="ENY126" s="1740"/>
      <c r="ENZ126" s="1740"/>
      <c r="EOA126" s="1740"/>
      <c r="EOB126" s="1740"/>
      <c r="EOC126" s="1740"/>
      <c r="EOD126" s="1740"/>
      <c r="EOE126" s="1740"/>
      <c r="EOF126" s="1740"/>
      <c r="EOG126" s="1740"/>
      <c r="EOH126" s="1740"/>
      <c r="EOI126" s="1740"/>
      <c r="EOJ126" s="1740"/>
      <c r="EOK126" s="1740"/>
      <c r="EOL126" s="1740"/>
      <c r="EOM126" s="1740"/>
      <c r="EON126" s="1740"/>
      <c r="EOO126" s="1740"/>
      <c r="EOP126" s="1740"/>
      <c r="EOQ126" s="1740"/>
      <c r="EOR126" s="1740"/>
      <c r="EOS126" s="1740"/>
      <c r="EOT126" s="1740"/>
      <c r="EOU126" s="1740"/>
      <c r="EOV126" s="1740"/>
      <c r="EOW126" s="1740"/>
      <c r="EOX126" s="1740"/>
      <c r="EOY126" s="1740"/>
      <c r="EOZ126" s="1740"/>
      <c r="EPA126" s="1740"/>
      <c r="EPB126" s="1740"/>
      <c r="EPC126" s="1740"/>
      <c r="EPD126" s="1740"/>
      <c r="EPE126" s="1740"/>
      <c r="EPF126" s="1740"/>
      <c r="EPG126" s="1740"/>
      <c r="EPH126" s="1740"/>
      <c r="EPI126" s="1740"/>
      <c r="EPJ126" s="1740"/>
      <c r="EPK126" s="1740"/>
      <c r="EPL126" s="1740"/>
      <c r="EPM126" s="1740"/>
      <c r="EPN126" s="1740"/>
      <c r="EPO126" s="1740"/>
      <c r="EPP126" s="1740"/>
      <c r="EPQ126" s="1740"/>
      <c r="EPR126" s="1740"/>
      <c r="EPS126" s="1740"/>
      <c r="EPT126" s="1740"/>
      <c r="EPU126" s="1740"/>
      <c r="EPV126" s="1740"/>
      <c r="EPW126" s="1740"/>
      <c r="EPX126" s="1740"/>
      <c r="EPY126" s="1740"/>
      <c r="EPZ126" s="1740"/>
      <c r="EQA126" s="1740"/>
      <c r="EQB126" s="1740"/>
      <c r="EQC126" s="1740"/>
      <c r="EQD126" s="1740"/>
      <c r="EQE126" s="1740"/>
      <c r="EQF126" s="1740"/>
      <c r="EQG126" s="1740"/>
      <c r="EQH126" s="1740"/>
      <c r="EQI126" s="1740"/>
      <c r="EQJ126" s="1740"/>
      <c r="EQK126" s="1740"/>
      <c r="EQL126" s="1740"/>
      <c r="EQM126" s="1740"/>
      <c r="EQN126" s="1740"/>
      <c r="EQO126" s="1740"/>
      <c r="EQP126" s="1740"/>
      <c r="EQQ126" s="1740"/>
      <c r="EQR126" s="1740"/>
      <c r="EQS126" s="1740"/>
      <c r="EQT126" s="1740"/>
      <c r="EQU126" s="1740"/>
      <c r="EQV126" s="1740"/>
      <c r="EQW126" s="1740"/>
      <c r="EQX126" s="1740"/>
      <c r="EQY126" s="1740"/>
      <c r="EQZ126" s="1740"/>
      <c r="ERA126" s="1740"/>
      <c r="ERB126" s="1740"/>
      <c r="ERC126" s="1740"/>
      <c r="ERD126" s="1740"/>
      <c r="ERE126" s="1740"/>
      <c r="ERF126" s="1740"/>
      <c r="ERG126" s="1740"/>
      <c r="ERH126" s="1740"/>
      <c r="ERI126" s="1740"/>
      <c r="ERJ126" s="1740"/>
      <c r="ERK126" s="1740"/>
      <c r="ERL126" s="1740"/>
      <c r="ERM126" s="1740"/>
      <c r="ERN126" s="1740"/>
      <c r="ERO126" s="1740"/>
      <c r="ERP126" s="1740"/>
      <c r="ERQ126" s="1740"/>
      <c r="ERR126" s="1740"/>
      <c r="ERS126" s="1740"/>
      <c r="ERT126" s="1740"/>
      <c r="ERU126" s="1740"/>
      <c r="ERV126" s="1740"/>
      <c r="ERW126" s="1740"/>
      <c r="ERX126" s="1740"/>
      <c r="ERY126" s="1740"/>
      <c r="ERZ126" s="1740"/>
      <c r="ESA126" s="1740"/>
      <c r="ESB126" s="1740"/>
      <c r="ESC126" s="1740"/>
      <c r="ESD126" s="1740"/>
      <c r="ESE126" s="1740"/>
      <c r="ESF126" s="1740"/>
      <c r="ESG126" s="1740"/>
      <c r="ESH126" s="1740"/>
      <c r="ESI126" s="1740"/>
      <c r="ESJ126" s="1740"/>
      <c r="ESK126" s="1740"/>
      <c r="ESL126" s="1740"/>
      <c r="ESM126" s="1740"/>
      <c r="ESN126" s="1740"/>
      <c r="ESO126" s="1740"/>
      <c r="ESP126" s="1740"/>
      <c r="ESQ126" s="1740"/>
      <c r="ESR126" s="1740"/>
      <c r="ESS126" s="1740"/>
      <c r="EST126" s="1740"/>
      <c r="ESU126" s="1740"/>
      <c r="ESV126" s="1740"/>
      <c r="ESW126" s="1740"/>
      <c r="ESX126" s="1740"/>
      <c r="ESY126" s="1740"/>
      <c r="ESZ126" s="1740"/>
      <c r="ETA126" s="1740"/>
      <c r="ETB126" s="1740"/>
      <c r="ETC126" s="1740"/>
      <c r="ETD126" s="1740"/>
      <c r="ETE126" s="1740"/>
      <c r="ETF126" s="1740"/>
      <c r="ETG126" s="1740"/>
      <c r="ETH126" s="1740"/>
      <c r="ETI126" s="1740"/>
      <c r="ETJ126" s="1740"/>
      <c r="ETK126" s="1740"/>
      <c r="ETL126" s="1740"/>
      <c r="ETM126" s="1740"/>
      <c r="ETN126" s="1740"/>
      <c r="ETO126" s="1740"/>
      <c r="ETP126" s="1740"/>
      <c r="ETQ126" s="1740"/>
      <c r="ETR126" s="1740"/>
      <c r="ETS126" s="1740"/>
      <c r="ETT126" s="1740"/>
      <c r="ETU126" s="1740"/>
      <c r="ETV126" s="1740"/>
      <c r="ETW126" s="1740"/>
      <c r="ETX126" s="1740"/>
      <c r="ETY126" s="1740"/>
      <c r="ETZ126" s="1740"/>
      <c r="EUA126" s="1740"/>
      <c r="EUB126" s="1740"/>
      <c r="EUC126" s="1740"/>
      <c r="EUD126" s="1740"/>
      <c r="EUE126" s="1740"/>
      <c r="EUF126" s="1740"/>
      <c r="EUG126" s="1740"/>
      <c r="EUH126" s="1740"/>
      <c r="EUI126" s="1740"/>
      <c r="EUJ126" s="1740"/>
      <c r="EUK126" s="1740"/>
      <c r="EUL126" s="1740"/>
      <c r="EUM126" s="1740"/>
      <c r="EUN126" s="1740"/>
      <c r="EUO126" s="1740"/>
      <c r="EUP126" s="1740"/>
      <c r="EUQ126" s="1740"/>
      <c r="EUR126" s="1740"/>
      <c r="EUS126" s="1740"/>
      <c r="EUT126" s="1740"/>
      <c r="EUU126" s="1740"/>
      <c r="EUV126" s="1740"/>
      <c r="EUW126" s="1740"/>
      <c r="EUX126" s="1740"/>
      <c r="EUY126" s="1740"/>
      <c r="EUZ126" s="1740"/>
      <c r="EVA126" s="1740"/>
      <c r="EVB126" s="1740"/>
      <c r="EVC126" s="1740"/>
      <c r="EVD126" s="1740"/>
      <c r="EVE126" s="1740"/>
      <c r="EVF126" s="1740"/>
      <c r="EVG126" s="1740"/>
      <c r="EVH126" s="1740"/>
      <c r="EVI126" s="1740"/>
      <c r="EVJ126" s="1740"/>
      <c r="EVK126" s="1740"/>
      <c r="EVL126" s="1740"/>
      <c r="EVM126" s="1740"/>
      <c r="EVN126" s="1740"/>
      <c r="EVO126" s="1740"/>
      <c r="EVP126" s="1740"/>
      <c r="EVQ126" s="1740"/>
      <c r="EVR126" s="1740"/>
      <c r="EVS126" s="1740"/>
      <c r="EVT126" s="1740"/>
      <c r="EVU126" s="1740"/>
      <c r="EVV126" s="1740"/>
      <c r="EVW126" s="1740"/>
      <c r="EVX126" s="1740"/>
      <c r="EVY126" s="1740"/>
      <c r="EVZ126" s="1740"/>
      <c r="EWA126" s="1740"/>
      <c r="EWB126" s="1740"/>
      <c r="EWC126" s="1740"/>
      <c r="EWD126" s="1740"/>
      <c r="EWE126" s="1740"/>
      <c r="EWF126" s="1740"/>
      <c r="EWG126" s="1740"/>
      <c r="EWH126" s="1740"/>
      <c r="EWI126" s="1740"/>
      <c r="EWJ126" s="1740"/>
      <c r="EWK126" s="1740"/>
      <c r="EWL126" s="1740"/>
      <c r="EWM126" s="1740"/>
      <c r="EWN126" s="1740"/>
      <c r="EWO126" s="1740"/>
      <c r="EWP126" s="1740"/>
      <c r="EWQ126" s="1740"/>
      <c r="EWR126" s="1740"/>
      <c r="EWS126" s="1740"/>
      <c r="EWT126" s="1740"/>
      <c r="EWU126" s="1740"/>
      <c r="EWV126" s="1740"/>
      <c r="EWW126" s="1740"/>
      <c r="EWX126" s="1740"/>
      <c r="EWY126" s="1740"/>
      <c r="EWZ126" s="1740"/>
      <c r="EXA126" s="1740"/>
      <c r="EXB126" s="1740"/>
      <c r="EXC126" s="1740"/>
      <c r="EXD126" s="1740"/>
      <c r="EXE126" s="1740"/>
      <c r="EXF126" s="1740"/>
      <c r="EXG126" s="1740"/>
      <c r="EXH126" s="1740"/>
      <c r="EXI126" s="1740"/>
      <c r="EXJ126" s="1740"/>
      <c r="EXK126" s="1740"/>
      <c r="EXL126" s="1740"/>
      <c r="EXM126" s="1740"/>
      <c r="EXN126" s="1740"/>
      <c r="EXO126" s="1740"/>
      <c r="EXP126" s="1740"/>
      <c r="EXQ126" s="1740"/>
      <c r="EXR126" s="1740"/>
      <c r="EXS126" s="1740"/>
      <c r="EXT126" s="1740"/>
      <c r="EXU126" s="1740"/>
      <c r="EXV126" s="1740"/>
      <c r="EXW126" s="1740"/>
      <c r="EXX126" s="1740"/>
      <c r="EXY126" s="1740"/>
      <c r="EXZ126" s="1740"/>
      <c r="EYA126" s="1740"/>
      <c r="EYB126" s="1740"/>
      <c r="EYC126" s="1740"/>
      <c r="EYD126" s="1740"/>
      <c r="EYE126" s="1740"/>
      <c r="EYF126" s="1740"/>
      <c r="EYG126" s="1740"/>
      <c r="EYH126" s="1740"/>
      <c r="EYI126" s="1740"/>
      <c r="EYJ126" s="1740"/>
      <c r="EYK126" s="1740"/>
      <c r="EYL126" s="1740"/>
      <c r="EYM126" s="1740"/>
      <c r="EYN126" s="1740"/>
      <c r="EYO126" s="1740"/>
      <c r="EYP126" s="1740"/>
      <c r="EYQ126" s="1740"/>
      <c r="EYR126" s="1740"/>
      <c r="EYS126" s="1740"/>
      <c r="EYT126" s="1740"/>
      <c r="EYU126" s="1740"/>
      <c r="EYV126" s="1740"/>
      <c r="EYW126" s="1740"/>
      <c r="EYX126" s="1740"/>
      <c r="EYY126" s="1740"/>
      <c r="EYZ126" s="1740"/>
      <c r="EZA126" s="1740"/>
      <c r="EZB126" s="1740"/>
      <c r="EZC126" s="1740"/>
      <c r="EZD126" s="1740"/>
      <c r="EZE126" s="1740"/>
      <c r="EZF126" s="1740"/>
      <c r="EZG126" s="1740"/>
      <c r="EZH126" s="1740"/>
      <c r="EZI126" s="1740"/>
      <c r="EZJ126" s="1740"/>
      <c r="EZK126" s="1740"/>
      <c r="EZL126" s="1740"/>
      <c r="EZM126" s="1740"/>
      <c r="EZN126" s="1740"/>
      <c r="EZO126" s="1740"/>
      <c r="EZP126" s="1740"/>
      <c r="EZQ126" s="1740"/>
      <c r="EZR126" s="1740"/>
      <c r="EZS126" s="1740"/>
      <c r="EZT126" s="1740"/>
      <c r="EZU126" s="1740"/>
      <c r="EZV126" s="1740"/>
      <c r="EZW126" s="1740"/>
      <c r="EZX126" s="1740"/>
      <c r="EZY126" s="1740"/>
      <c r="EZZ126" s="1740"/>
      <c r="FAA126" s="1740"/>
      <c r="FAB126" s="1740"/>
      <c r="FAC126" s="1740"/>
      <c r="FAD126" s="1740"/>
      <c r="FAE126" s="1740"/>
      <c r="FAF126" s="1740"/>
      <c r="FAG126" s="1740"/>
      <c r="FAH126" s="1740"/>
      <c r="FAI126" s="1740"/>
      <c r="FAJ126" s="1740"/>
      <c r="FAK126" s="1740"/>
      <c r="FAL126" s="1740"/>
      <c r="FAM126" s="1740"/>
      <c r="FAN126" s="1740"/>
      <c r="FAO126" s="1740"/>
      <c r="FAP126" s="1740"/>
      <c r="FAQ126" s="1740"/>
      <c r="FAR126" s="1740"/>
      <c r="FAS126" s="1740"/>
      <c r="FAT126" s="1740"/>
      <c r="FAU126" s="1740"/>
      <c r="FAV126" s="1740"/>
      <c r="FAW126" s="1740"/>
      <c r="FAX126" s="1740"/>
      <c r="FAY126" s="1740"/>
      <c r="FAZ126" s="1740"/>
      <c r="FBA126" s="1740"/>
      <c r="FBB126" s="1740"/>
      <c r="FBC126" s="1740"/>
      <c r="FBD126" s="1740"/>
      <c r="FBE126" s="1740"/>
      <c r="FBF126" s="1740"/>
      <c r="FBG126" s="1740"/>
      <c r="FBH126" s="1740"/>
      <c r="FBI126" s="1740"/>
      <c r="FBJ126" s="1740"/>
      <c r="FBK126" s="1740"/>
      <c r="FBL126" s="1740"/>
      <c r="FBM126" s="1740"/>
      <c r="FBN126" s="1740"/>
      <c r="FBO126" s="1740"/>
      <c r="FBP126" s="1740"/>
      <c r="FBQ126" s="1740"/>
      <c r="FBR126" s="1740"/>
      <c r="FBS126" s="1740"/>
      <c r="FBT126" s="1740"/>
      <c r="FBU126" s="1740"/>
      <c r="FBV126" s="1740"/>
      <c r="FBW126" s="1740"/>
      <c r="FBX126" s="1740"/>
      <c r="FBY126" s="1740"/>
      <c r="FBZ126" s="1740"/>
      <c r="FCA126" s="1740"/>
      <c r="FCB126" s="1740"/>
      <c r="FCC126" s="1740"/>
      <c r="FCD126" s="1740"/>
      <c r="FCE126" s="1740"/>
      <c r="FCF126" s="1740"/>
      <c r="FCG126" s="1740"/>
      <c r="FCH126" s="1740"/>
      <c r="FCI126" s="1740"/>
      <c r="FCJ126" s="1740"/>
      <c r="FCK126" s="1740"/>
      <c r="FCL126" s="1740"/>
      <c r="FCM126" s="1740"/>
      <c r="FCN126" s="1740"/>
      <c r="FCO126" s="1740"/>
      <c r="FCP126" s="1740"/>
      <c r="FCQ126" s="1740"/>
      <c r="FCR126" s="1740"/>
      <c r="FCS126" s="1740"/>
      <c r="FCT126" s="1740"/>
      <c r="FCU126" s="1740"/>
      <c r="FCV126" s="1740"/>
      <c r="FCW126" s="1740"/>
      <c r="FCX126" s="1740"/>
      <c r="FCY126" s="1740"/>
      <c r="FCZ126" s="1740"/>
      <c r="FDA126" s="1740"/>
      <c r="FDB126" s="1740"/>
      <c r="FDC126" s="1740"/>
      <c r="FDD126" s="1740"/>
      <c r="FDE126" s="1740"/>
      <c r="FDF126" s="1740"/>
      <c r="FDG126" s="1740"/>
      <c r="FDH126" s="1740"/>
      <c r="FDI126" s="1740"/>
      <c r="FDJ126" s="1740"/>
      <c r="FDK126" s="1740"/>
      <c r="FDL126" s="1740"/>
      <c r="FDM126" s="1740"/>
      <c r="FDN126" s="1740"/>
      <c r="FDO126" s="1740"/>
      <c r="FDP126" s="1740"/>
      <c r="FDQ126" s="1740"/>
      <c r="FDR126" s="1740"/>
      <c r="FDS126" s="1740"/>
      <c r="FDT126" s="1740"/>
      <c r="FDU126" s="1740"/>
      <c r="FDV126" s="1740"/>
      <c r="FDW126" s="1740"/>
      <c r="FDX126" s="1740"/>
      <c r="FDY126" s="1740"/>
      <c r="FDZ126" s="1740"/>
      <c r="FEA126" s="1740"/>
      <c r="FEB126" s="1740"/>
      <c r="FEC126" s="1740"/>
      <c r="FED126" s="1740"/>
      <c r="FEE126" s="1740"/>
      <c r="FEF126" s="1740"/>
      <c r="FEG126" s="1740"/>
      <c r="FEH126" s="1740"/>
      <c r="FEI126" s="1740"/>
      <c r="FEJ126" s="1740"/>
      <c r="FEK126" s="1740"/>
      <c r="FEL126" s="1740"/>
      <c r="FEM126" s="1740"/>
      <c r="FEN126" s="1740"/>
      <c r="FEO126" s="1740"/>
      <c r="FEP126" s="1740"/>
      <c r="FEQ126" s="1740"/>
      <c r="FER126" s="1740"/>
      <c r="FES126" s="1740"/>
      <c r="FET126" s="1740"/>
      <c r="FEU126" s="1740"/>
      <c r="FEV126" s="1740"/>
      <c r="FEW126" s="1740"/>
      <c r="FEX126" s="1740"/>
      <c r="FEY126" s="1740"/>
      <c r="FEZ126" s="1740"/>
      <c r="FFA126" s="1740"/>
      <c r="FFB126" s="1740"/>
      <c r="FFC126" s="1740"/>
      <c r="FFD126" s="1740"/>
      <c r="FFE126" s="1740"/>
      <c r="FFF126" s="1740"/>
      <c r="FFG126" s="1740"/>
      <c r="FFH126" s="1740"/>
      <c r="FFI126" s="1740"/>
      <c r="FFJ126" s="1740"/>
      <c r="FFK126" s="1740"/>
      <c r="FFL126" s="1740"/>
      <c r="FFM126" s="1740"/>
      <c r="FFN126" s="1740"/>
      <c r="FFO126" s="1740"/>
      <c r="FFP126" s="1740"/>
      <c r="FFQ126" s="1740"/>
      <c r="FFR126" s="1740"/>
      <c r="FFS126" s="1740"/>
      <c r="FFT126" s="1740"/>
      <c r="FFU126" s="1740"/>
      <c r="FFV126" s="1740"/>
      <c r="FFW126" s="1740"/>
      <c r="FFX126" s="1740"/>
      <c r="FFY126" s="1740"/>
      <c r="FFZ126" s="1740"/>
      <c r="FGA126" s="1740"/>
      <c r="FGB126" s="1740"/>
      <c r="FGC126" s="1740"/>
      <c r="FGD126" s="1740"/>
      <c r="FGE126" s="1740"/>
      <c r="FGF126" s="1740"/>
      <c r="FGG126" s="1740"/>
      <c r="FGH126" s="1740"/>
      <c r="FGI126" s="1740"/>
      <c r="FGJ126" s="1740"/>
      <c r="FGK126" s="1740"/>
      <c r="FGL126" s="1740"/>
      <c r="FGM126" s="1740"/>
      <c r="FGN126" s="1740"/>
      <c r="FGO126" s="1740"/>
      <c r="FGP126" s="1740"/>
      <c r="FGQ126" s="1740"/>
      <c r="FGR126" s="1740"/>
      <c r="FGS126" s="1740"/>
      <c r="FGT126" s="1740"/>
      <c r="FGU126" s="1740"/>
      <c r="FGV126" s="1740"/>
      <c r="FGW126" s="1740"/>
      <c r="FGX126" s="1740"/>
      <c r="FGY126" s="1740"/>
      <c r="FGZ126" s="1740"/>
      <c r="FHA126" s="1740"/>
      <c r="FHB126" s="1740"/>
      <c r="FHC126" s="1740"/>
      <c r="FHD126" s="1740"/>
      <c r="FHE126" s="1740"/>
      <c r="FHF126" s="1740"/>
      <c r="FHG126" s="1740"/>
      <c r="FHH126" s="1740"/>
      <c r="FHI126" s="1740"/>
      <c r="FHJ126" s="1740"/>
      <c r="FHK126" s="1740"/>
      <c r="FHL126" s="1740"/>
      <c r="FHM126" s="1740"/>
      <c r="FHN126" s="1740"/>
      <c r="FHO126" s="1740"/>
      <c r="FHP126" s="1740"/>
      <c r="FHQ126" s="1740"/>
      <c r="FHR126" s="1740"/>
      <c r="FHS126" s="1740"/>
      <c r="FHT126" s="1740"/>
      <c r="FHU126" s="1740"/>
      <c r="FHV126" s="1740"/>
      <c r="FHW126" s="1740"/>
      <c r="FHX126" s="1740"/>
      <c r="FHY126" s="1740"/>
      <c r="FHZ126" s="1740"/>
      <c r="FIA126" s="1740"/>
      <c r="FIB126" s="1740"/>
      <c r="FIC126" s="1740"/>
      <c r="FID126" s="1740"/>
      <c r="FIE126" s="1740"/>
      <c r="FIF126" s="1740"/>
      <c r="FIG126" s="1740"/>
      <c r="FIH126" s="1740"/>
      <c r="FII126" s="1740"/>
      <c r="FIJ126" s="1740"/>
      <c r="FIK126" s="1740"/>
      <c r="FIL126" s="1740"/>
      <c r="FIM126" s="1740"/>
      <c r="FIN126" s="1740"/>
      <c r="FIO126" s="1740"/>
      <c r="FIP126" s="1740"/>
      <c r="FIQ126" s="1740"/>
      <c r="FIR126" s="1740"/>
      <c r="FIS126" s="1740"/>
      <c r="FIT126" s="1740"/>
      <c r="FIU126" s="1740"/>
      <c r="FIV126" s="1740"/>
      <c r="FIW126" s="1740"/>
      <c r="FIX126" s="1740"/>
      <c r="FIY126" s="1740"/>
      <c r="FIZ126" s="1740"/>
      <c r="FJA126" s="1740"/>
      <c r="FJB126" s="1740"/>
      <c r="FJC126" s="1740"/>
      <c r="FJD126" s="1740"/>
      <c r="FJE126" s="1740"/>
      <c r="FJF126" s="1740"/>
      <c r="FJG126" s="1740"/>
      <c r="FJH126" s="1740"/>
      <c r="FJI126" s="1740"/>
      <c r="FJJ126" s="1740"/>
      <c r="FJK126" s="1740"/>
      <c r="FJL126" s="1740"/>
      <c r="FJM126" s="1740"/>
      <c r="FJN126" s="1740"/>
      <c r="FJO126" s="1740"/>
      <c r="FJP126" s="1740"/>
      <c r="FJQ126" s="1740"/>
      <c r="FJR126" s="1740"/>
      <c r="FJS126" s="1740"/>
      <c r="FJT126" s="1740"/>
      <c r="FJU126" s="1740"/>
      <c r="FJV126" s="1740"/>
      <c r="FJW126" s="1740"/>
      <c r="FJX126" s="1740"/>
      <c r="FJY126" s="1740"/>
      <c r="FJZ126" s="1740"/>
      <c r="FKA126" s="1740"/>
      <c r="FKB126" s="1740"/>
      <c r="FKC126" s="1740"/>
      <c r="FKD126" s="1740"/>
      <c r="FKE126" s="1740"/>
      <c r="FKF126" s="1740"/>
      <c r="FKG126" s="1740"/>
      <c r="FKH126" s="1740"/>
      <c r="FKI126" s="1740"/>
      <c r="FKJ126" s="1740"/>
      <c r="FKK126" s="1740"/>
      <c r="FKL126" s="1740"/>
      <c r="FKM126" s="1740"/>
      <c r="FKN126" s="1740"/>
      <c r="FKO126" s="1740"/>
      <c r="FKP126" s="1740"/>
      <c r="FKQ126" s="1740"/>
      <c r="FKR126" s="1740"/>
      <c r="FKS126" s="1740"/>
      <c r="FKT126" s="1740"/>
      <c r="FKU126" s="1740"/>
      <c r="FKV126" s="1740"/>
      <c r="FKW126" s="1740"/>
      <c r="FKX126" s="1740"/>
      <c r="FKY126" s="1740"/>
      <c r="FKZ126" s="1740"/>
      <c r="FLA126" s="1740"/>
      <c r="FLB126" s="1740"/>
      <c r="FLC126" s="1740"/>
      <c r="FLD126" s="1740"/>
      <c r="FLE126" s="1740"/>
      <c r="FLF126" s="1740"/>
      <c r="FLG126" s="1740"/>
      <c r="FLH126" s="1740"/>
      <c r="FLI126" s="1740"/>
      <c r="FLJ126" s="1740"/>
      <c r="FLK126" s="1740"/>
      <c r="FLL126" s="1740"/>
      <c r="FLM126" s="1740"/>
      <c r="FLN126" s="1740"/>
      <c r="FLO126" s="1740"/>
      <c r="FLP126" s="1740"/>
      <c r="FLQ126" s="1740"/>
      <c r="FLR126" s="1740"/>
      <c r="FLS126" s="1740"/>
      <c r="FLT126" s="1740"/>
      <c r="FLU126" s="1740"/>
      <c r="FLV126" s="1740"/>
      <c r="FLW126" s="1740"/>
      <c r="FLX126" s="1740"/>
      <c r="FLY126" s="1740"/>
      <c r="FLZ126" s="1740"/>
      <c r="FMA126" s="1740"/>
      <c r="FMB126" s="1740"/>
      <c r="FMC126" s="1740"/>
      <c r="FMD126" s="1740"/>
      <c r="FME126" s="1740"/>
      <c r="FMF126" s="1740"/>
      <c r="FMG126" s="1740"/>
      <c r="FMH126" s="1740"/>
      <c r="FMI126" s="1740"/>
      <c r="FMJ126" s="1740"/>
      <c r="FMK126" s="1740"/>
      <c r="FML126" s="1740"/>
      <c r="FMM126" s="1740"/>
      <c r="FMN126" s="1740"/>
      <c r="FMO126" s="1740"/>
      <c r="FMP126" s="1740"/>
      <c r="FMQ126" s="1740"/>
      <c r="FMR126" s="1740"/>
      <c r="FMS126" s="1740"/>
      <c r="FMT126" s="1740"/>
      <c r="FMU126" s="1740"/>
      <c r="FMV126" s="1740"/>
      <c r="FMW126" s="1740"/>
      <c r="FMX126" s="1740"/>
      <c r="FMY126" s="1740"/>
      <c r="FMZ126" s="1740"/>
      <c r="FNA126" s="1740"/>
      <c r="FNB126" s="1740"/>
      <c r="FNC126" s="1740"/>
      <c r="FND126" s="1740"/>
      <c r="FNE126" s="1740"/>
      <c r="FNF126" s="1740"/>
      <c r="FNG126" s="1740"/>
      <c r="FNH126" s="1740"/>
      <c r="FNI126" s="1740"/>
      <c r="FNJ126" s="1740"/>
      <c r="FNK126" s="1740"/>
      <c r="FNL126" s="1740"/>
      <c r="FNM126" s="1740"/>
      <c r="FNN126" s="1740"/>
      <c r="FNO126" s="1740"/>
      <c r="FNP126" s="1740"/>
      <c r="FNQ126" s="1740"/>
      <c r="FNR126" s="1740"/>
      <c r="FNS126" s="1740"/>
      <c r="FNT126" s="1740"/>
      <c r="FNU126" s="1740"/>
      <c r="FNV126" s="1740"/>
      <c r="FNW126" s="1740"/>
      <c r="FNX126" s="1740"/>
      <c r="FNY126" s="1740"/>
      <c r="FNZ126" s="1740"/>
      <c r="FOA126" s="1740"/>
      <c r="FOB126" s="1740"/>
      <c r="FOC126" s="1740"/>
      <c r="FOD126" s="1740"/>
      <c r="FOE126" s="1740"/>
      <c r="FOF126" s="1740"/>
      <c r="FOG126" s="1740"/>
      <c r="FOH126" s="1740"/>
      <c r="FOI126" s="1740"/>
      <c r="FOJ126" s="1740"/>
      <c r="FOK126" s="1740"/>
      <c r="FOL126" s="1740"/>
      <c r="FOM126" s="1740"/>
      <c r="FON126" s="1740"/>
      <c r="FOO126" s="1740"/>
      <c r="FOP126" s="1740"/>
      <c r="FOQ126" s="1740"/>
      <c r="FOR126" s="1740"/>
      <c r="FOS126" s="1740"/>
      <c r="FOT126" s="1740"/>
      <c r="FOU126" s="1740"/>
      <c r="FOV126" s="1740"/>
      <c r="FOW126" s="1740"/>
      <c r="FOX126" s="1740"/>
      <c r="FOY126" s="1740"/>
      <c r="FOZ126" s="1740"/>
      <c r="FPA126" s="1740"/>
      <c r="FPB126" s="1740"/>
      <c r="FPC126" s="1740"/>
      <c r="FPD126" s="1740"/>
      <c r="FPE126" s="1740"/>
      <c r="FPF126" s="1740"/>
      <c r="FPG126" s="1740"/>
      <c r="FPH126" s="1740"/>
      <c r="FPI126" s="1740"/>
      <c r="FPJ126" s="1740"/>
      <c r="FPK126" s="1740"/>
      <c r="FPL126" s="1740"/>
      <c r="FPM126" s="1740"/>
      <c r="FPN126" s="1740"/>
      <c r="FPO126" s="1740"/>
      <c r="FPP126" s="1740"/>
      <c r="FPQ126" s="1740"/>
      <c r="FPR126" s="1740"/>
      <c r="FPS126" s="1740"/>
      <c r="FPT126" s="1740"/>
      <c r="FPU126" s="1740"/>
      <c r="FPV126" s="1740"/>
      <c r="FPW126" s="1740"/>
      <c r="FPX126" s="1740"/>
      <c r="FPY126" s="1740"/>
      <c r="FPZ126" s="1740"/>
      <c r="FQA126" s="1740"/>
      <c r="FQB126" s="1740"/>
      <c r="FQC126" s="1740"/>
      <c r="FQD126" s="1740"/>
      <c r="FQE126" s="1740"/>
      <c r="FQF126" s="1740"/>
      <c r="FQG126" s="1740"/>
      <c r="FQH126" s="1740"/>
      <c r="FQI126" s="1740"/>
      <c r="FQJ126" s="1740"/>
      <c r="FQK126" s="1740"/>
      <c r="FQL126" s="1740"/>
      <c r="FQM126" s="1740"/>
      <c r="FQN126" s="1740"/>
      <c r="FQO126" s="1740"/>
      <c r="FQP126" s="1740"/>
      <c r="FQQ126" s="1740"/>
      <c r="FQR126" s="1740"/>
      <c r="FQS126" s="1740"/>
      <c r="FQT126" s="1740"/>
      <c r="FQU126" s="1740"/>
      <c r="FQV126" s="1740"/>
      <c r="FQW126" s="1740"/>
      <c r="FQX126" s="1740"/>
      <c r="FQY126" s="1740"/>
      <c r="FQZ126" s="1740"/>
      <c r="FRA126" s="1740"/>
      <c r="FRB126" s="1740"/>
      <c r="FRC126" s="1740"/>
      <c r="FRD126" s="1740"/>
      <c r="FRE126" s="1740"/>
      <c r="FRF126" s="1740"/>
      <c r="FRG126" s="1740"/>
      <c r="FRH126" s="1740"/>
      <c r="FRI126" s="1740"/>
      <c r="FRJ126" s="1740"/>
      <c r="FRK126" s="1740"/>
      <c r="FRL126" s="1740"/>
      <c r="FRM126" s="1740"/>
      <c r="FRN126" s="1740"/>
      <c r="FRO126" s="1740"/>
      <c r="FRP126" s="1740"/>
      <c r="FRQ126" s="1740"/>
      <c r="FRR126" s="1740"/>
      <c r="FRS126" s="1740"/>
      <c r="FRT126" s="1740"/>
      <c r="FRU126" s="1740"/>
      <c r="FRV126" s="1740"/>
      <c r="FRW126" s="1740"/>
      <c r="FRX126" s="1740"/>
      <c r="FRY126" s="1740"/>
      <c r="FRZ126" s="1740"/>
      <c r="FSA126" s="1740"/>
      <c r="FSB126" s="1740"/>
      <c r="FSC126" s="1740"/>
      <c r="FSD126" s="1740"/>
      <c r="FSE126" s="1740"/>
      <c r="FSF126" s="1740"/>
      <c r="FSG126" s="1740"/>
      <c r="FSH126" s="1740"/>
      <c r="FSI126" s="1740"/>
      <c r="FSJ126" s="1740"/>
      <c r="FSK126" s="1740"/>
      <c r="FSL126" s="1740"/>
      <c r="FSM126" s="1740"/>
      <c r="FSN126" s="1740"/>
      <c r="FSO126" s="1740"/>
      <c r="FSP126" s="1740"/>
      <c r="FSQ126" s="1740"/>
      <c r="FSR126" s="1740"/>
      <c r="FSS126" s="1740"/>
      <c r="FST126" s="1740"/>
      <c r="FSU126" s="1740"/>
      <c r="FSV126" s="1740"/>
      <c r="FSW126" s="1740"/>
      <c r="FSX126" s="1740"/>
      <c r="FSY126" s="1740"/>
      <c r="FSZ126" s="1740"/>
      <c r="FTA126" s="1740"/>
      <c r="FTB126" s="1740"/>
      <c r="FTC126" s="1740"/>
      <c r="FTD126" s="1740"/>
      <c r="FTE126" s="1740"/>
      <c r="FTF126" s="1740"/>
      <c r="FTG126" s="1740"/>
      <c r="FTH126" s="1740"/>
      <c r="FTI126" s="1740"/>
      <c r="FTJ126" s="1740"/>
      <c r="FTK126" s="1740"/>
      <c r="FTL126" s="1740"/>
      <c r="FTM126" s="1740"/>
      <c r="FTN126" s="1740"/>
      <c r="FTO126" s="1740"/>
      <c r="FTP126" s="1740"/>
      <c r="FTQ126" s="1740"/>
      <c r="FTR126" s="1740"/>
      <c r="FTS126" s="1740"/>
      <c r="FTT126" s="1740"/>
      <c r="FTU126" s="1740"/>
      <c r="FTV126" s="1740"/>
      <c r="FTW126" s="1740"/>
      <c r="FTX126" s="1740"/>
      <c r="FTY126" s="1740"/>
      <c r="FTZ126" s="1740"/>
      <c r="FUA126" s="1740"/>
      <c r="FUB126" s="1740"/>
      <c r="FUC126" s="1740"/>
      <c r="FUD126" s="1740"/>
      <c r="FUE126" s="1740"/>
      <c r="FUF126" s="1740"/>
      <c r="FUG126" s="1740"/>
      <c r="FUH126" s="1740"/>
      <c r="FUI126" s="1740"/>
      <c r="FUJ126" s="1740"/>
      <c r="FUK126" s="1740"/>
      <c r="FUL126" s="1740"/>
      <c r="FUM126" s="1740"/>
      <c r="FUN126" s="1740"/>
      <c r="FUO126" s="1740"/>
      <c r="FUP126" s="1740"/>
      <c r="FUQ126" s="1740"/>
      <c r="FUR126" s="1740"/>
      <c r="FUS126" s="1740"/>
      <c r="FUT126" s="1740"/>
      <c r="FUU126" s="1740"/>
      <c r="FUV126" s="1740"/>
      <c r="FUW126" s="1740"/>
      <c r="FUX126" s="1740"/>
      <c r="FUY126" s="1740"/>
      <c r="FUZ126" s="1740"/>
      <c r="FVA126" s="1740"/>
      <c r="FVB126" s="1740"/>
      <c r="FVC126" s="1740"/>
      <c r="FVD126" s="1740"/>
      <c r="FVE126" s="1740"/>
      <c r="FVF126" s="1740"/>
      <c r="FVG126" s="1740"/>
      <c r="FVH126" s="1740"/>
      <c r="FVI126" s="1740"/>
      <c r="FVJ126" s="1740"/>
      <c r="FVK126" s="1740"/>
      <c r="FVL126" s="1740"/>
      <c r="FVM126" s="1740"/>
      <c r="FVN126" s="1740"/>
      <c r="FVO126" s="1740"/>
      <c r="FVP126" s="1740"/>
      <c r="FVQ126" s="1740"/>
      <c r="FVR126" s="1740"/>
      <c r="FVS126" s="1740"/>
      <c r="FVT126" s="1740"/>
      <c r="FVU126" s="1740"/>
      <c r="FVV126" s="1740"/>
      <c r="FVW126" s="1740"/>
      <c r="FVX126" s="1740"/>
      <c r="FVY126" s="1740"/>
      <c r="FVZ126" s="1740"/>
      <c r="FWA126" s="1740"/>
      <c r="FWB126" s="1740"/>
      <c r="FWC126" s="1740"/>
      <c r="FWD126" s="1740"/>
      <c r="FWE126" s="1740"/>
      <c r="FWF126" s="1740"/>
      <c r="FWG126" s="1740"/>
      <c r="FWH126" s="1740"/>
      <c r="FWI126" s="1740"/>
      <c r="FWJ126" s="1740"/>
      <c r="FWK126" s="1740"/>
      <c r="FWL126" s="1740"/>
      <c r="FWM126" s="1740"/>
      <c r="FWN126" s="1740"/>
      <c r="FWO126" s="1740"/>
      <c r="FWP126" s="1740"/>
      <c r="FWQ126" s="1740"/>
      <c r="FWR126" s="1740"/>
      <c r="FWS126" s="1740"/>
      <c r="FWT126" s="1740"/>
      <c r="FWU126" s="1740"/>
      <c r="FWV126" s="1740"/>
      <c r="FWW126" s="1740"/>
      <c r="FWX126" s="1740"/>
      <c r="FWY126" s="1740"/>
      <c r="FWZ126" s="1740"/>
      <c r="FXA126" s="1740"/>
      <c r="FXB126" s="1740"/>
      <c r="FXC126" s="1740"/>
      <c r="FXD126" s="1740"/>
      <c r="FXE126" s="1740"/>
      <c r="FXF126" s="1740"/>
      <c r="FXG126" s="1740"/>
      <c r="FXH126" s="1740"/>
      <c r="FXI126" s="1740"/>
      <c r="FXJ126" s="1740"/>
      <c r="FXK126" s="1740"/>
      <c r="FXL126" s="1740"/>
      <c r="FXM126" s="1740"/>
      <c r="FXN126" s="1740"/>
      <c r="FXO126" s="1740"/>
      <c r="FXP126" s="1740"/>
      <c r="FXQ126" s="1740"/>
      <c r="FXR126" s="1740"/>
      <c r="FXS126" s="1740"/>
      <c r="FXT126" s="1740"/>
      <c r="FXU126" s="1740"/>
      <c r="FXV126" s="1740"/>
      <c r="FXW126" s="1740"/>
      <c r="FXX126" s="1740"/>
      <c r="FXY126" s="1740"/>
      <c r="FXZ126" s="1740"/>
      <c r="FYA126" s="1740"/>
      <c r="FYB126" s="1740"/>
      <c r="FYC126" s="1740"/>
      <c r="FYD126" s="1740"/>
      <c r="FYE126" s="1740"/>
      <c r="FYF126" s="1740"/>
      <c r="FYG126" s="1740"/>
      <c r="FYH126" s="1740"/>
      <c r="FYI126" s="1740"/>
      <c r="FYJ126" s="1740"/>
      <c r="FYK126" s="1740"/>
      <c r="FYL126" s="1740"/>
      <c r="FYM126" s="1740"/>
      <c r="FYN126" s="1740"/>
      <c r="FYO126" s="1740"/>
      <c r="FYP126" s="1740"/>
      <c r="FYQ126" s="1740"/>
      <c r="FYR126" s="1740"/>
      <c r="FYS126" s="1740"/>
      <c r="FYT126" s="1740"/>
      <c r="FYU126" s="1740"/>
      <c r="FYV126" s="1740"/>
      <c r="FYW126" s="1740"/>
      <c r="FYX126" s="1740"/>
      <c r="FYY126" s="1740"/>
      <c r="FYZ126" s="1740"/>
      <c r="FZA126" s="1740"/>
      <c r="FZB126" s="1740"/>
      <c r="FZC126" s="1740"/>
      <c r="FZD126" s="1740"/>
      <c r="FZE126" s="1740"/>
      <c r="FZF126" s="1740"/>
      <c r="FZG126" s="1740"/>
      <c r="FZH126" s="1740"/>
      <c r="FZI126" s="1740"/>
      <c r="FZJ126" s="1740"/>
      <c r="FZK126" s="1740"/>
      <c r="FZL126" s="1740"/>
      <c r="FZM126" s="1740"/>
      <c r="FZN126" s="1740"/>
      <c r="FZO126" s="1740"/>
      <c r="FZP126" s="1740"/>
      <c r="FZQ126" s="1740"/>
      <c r="FZR126" s="1740"/>
      <c r="FZS126" s="1740"/>
      <c r="FZT126" s="1740"/>
      <c r="FZU126" s="1740"/>
      <c r="FZV126" s="1740"/>
      <c r="FZW126" s="1740"/>
      <c r="FZX126" s="1740"/>
      <c r="FZY126" s="1740"/>
      <c r="FZZ126" s="1740"/>
      <c r="GAA126" s="1740"/>
      <c r="GAB126" s="1740"/>
      <c r="GAC126" s="1740"/>
      <c r="GAD126" s="1740"/>
      <c r="GAE126" s="1740"/>
      <c r="GAF126" s="1740"/>
      <c r="GAG126" s="1740"/>
      <c r="GAH126" s="1740"/>
      <c r="GAI126" s="1740"/>
      <c r="GAJ126" s="1740"/>
      <c r="GAK126" s="1740"/>
      <c r="GAL126" s="1740"/>
      <c r="GAM126" s="1740"/>
      <c r="GAN126" s="1740"/>
      <c r="GAO126" s="1740"/>
      <c r="GAP126" s="1740"/>
      <c r="GAQ126" s="1740"/>
      <c r="GAR126" s="1740"/>
      <c r="GAS126" s="1740"/>
      <c r="GAT126" s="1740"/>
      <c r="GAU126" s="1740"/>
      <c r="GAV126" s="1740"/>
      <c r="GAW126" s="1740"/>
      <c r="GAX126" s="1740"/>
      <c r="GAY126" s="1740"/>
      <c r="GAZ126" s="1740"/>
      <c r="GBA126" s="1740"/>
      <c r="GBB126" s="1740"/>
      <c r="GBC126" s="1740"/>
      <c r="GBD126" s="1740"/>
      <c r="GBE126" s="1740"/>
      <c r="GBF126" s="1740"/>
      <c r="GBG126" s="1740"/>
      <c r="GBH126" s="1740"/>
      <c r="GBI126" s="1740"/>
      <c r="GBJ126" s="1740"/>
      <c r="GBK126" s="1740"/>
      <c r="GBL126" s="1740"/>
      <c r="GBM126" s="1740"/>
      <c r="GBN126" s="1740"/>
      <c r="GBO126" s="1740"/>
      <c r="GBP126" s="1740"/>
      <c r="GBQ126" s="1740"/>
      <c r="GBR126" s="1740"/>
      <c r="GBS126" s="1740"/>
      <c r="GBT126" s="1740"/>
      <c r="GBU126" s="1740"/>
      <c r="GBV126" s="1740"/>
      <c r="GBW126" s="1740"/>
      <c r="GBX126" s="1740"/>
      <c r="GBY126" s="1740"/>
      <c r="GBZ126" s="1740"/>
      <c r="GCA126" s="1740"/>
      <c r="GCB126" s="1740"/>
      <c r="GCC126" s="1740"/>
      <c r="GCD126" s="1740"/>
      <c r="GCE126" s="1740"/>
      <c r="GCF126" s="1740"/>
      <c r="GCG126" s="1740"/>
      <c r="GCH126" s="1740"/>
      <c r="GCI126" s="1740"/>
      <c r="GCJ126" s="1740"/>
      <c r="GCK126" s="1740"/>
      <c r="GCL126" s="1740"/>
      <c r="GCM126" s="1740"/>
      <c r="GCN126" s="1740"/>
      <c r="GCO126" s="1740"/>
      <c r="GCP126" s="1740"/>
      <c r="GCQ126" s="1740"/>
      <c r="GCR126" s="1740"/>
      <c r="GCS126" s="1740"/>
      <c r="GCT126" s="1740"/>
      <c r="GCU126" s="1740"/>
      <c r="GCV126" s="1740"/>
      <c r="GCW126" s="1740"/>
      <c r="GCX126" s="1740"/>
      <c r="GCY126" s="1740"/>
      <c r="GCZ126" s="1740"/>
      <c r="GDA126" s="1740"/>
      <c r="GDB126" s="1740"/>
      <c r="GDC126" s="1740"/>
      <c r="GDD126" s="1740"/>
      <c r="GDE126" s="1740"/>
      <c r="GDF126" s="1740"/>
      <c r="GDG126" s="1740"/>
      <c r="GDH126" s="1740"/>
      <c r="GDI126" s="1740"/>
      <c r="GDJ126" s="1740"/>
      <c r="GDK126" s="1740"/>
      <c r="GDL126" s="1740"/>
      <c r="GDM126" s="1740"/>
      <c r="GDN126" s="1740"/>
      <c r="GDO126" s="1740"/>
      <c r="GDP126" s="1740"/>
      <c r="GDQ126" s="1740"/>
      <c r="GDR126" s="1740"/>
      <c r="GDS126" s="1740"/>
      <c r="GDT126" s="1740"/>
      <c r="GDU126" s="1740"/>
      <c r="GDV126" s="1740"/>
      <c r="GDW126" s="1740"/>
      <c r="GDX126" s="1740"/>
      <c r="GDY126" s="1740"/>
      <c r="GDZ126" s="1740"/>
      <c r="GEA126" s="1740"/>
      <c r="GEB126" s="1740"/>
      <c r="GEC126" s="1740"/>
      <c r="GED126" s="1740"/>
      <c r="GEE126" s="1740"/>
      <c r="GEF126" s="1740"/>
      <c r="GEG126" s="1740"/>
      <c r="GEH126" s="1740"/>
      <c r="GEI126" s="1740"/>
      <c r="GEJ126" s="1740"/>
      <c r="GEK126" s="1740"/>
      <c r="GEL126" s="1740"/>
      <c r="GEM126" s="1740"/>
      <c r="GEN126" s="1740"/>
      <c r="GEO126" s="1740"/>
      <c r="GEP126" s="1740"/>
      <c r="GEQ126" s="1740"/>
      <c r="GER126" s="1740"/>
      <c r="GES126" s="1740"/>
      <c r="GET126" s="1740"/>
      <c r="GEU126" s="1740"/>
      <c r="GEV126" s="1740"/>
      <c r="GEW126" s="1740"/>
      <c r="GEX126" s="1740"/>
      <c r="GEY126" s="1740"/>
      <c r="GEZ126" s="1740"/>
      <c r="GFA126" s="1740"/>
      <c r="GFB126" s="1740"/>
      <c r="GFC126" s="1740"/>
      <c r="GFD126" s="1740"/>
      <c r="GFE126" s="1740"/>
      <c r="GFF126" s="1740"/>
      <c r="GFG126" s="1740"/>
      <c r="GFH126" s="1740"/>
      <c r="GFI126" s="1740"/>
      <c r="GFJ126" s="1740"/>
      <c r="GFK126" s="1740"/>
      <c r="GFL126" s="1740"/>
      <c r="GFM126" s="1740"/>
      <c r="GFN126" s="1740"/>
      <c r="GFO126" s="1740"/>
      <c r="GFP126" s="1740"/>
      <c r="GFQ126" s="1740"/>
      <c r="GFR126" s="1740"/>
      <c r="GFS126" s="1740"/>
      <c r="GFT126" s="1740"/>
      <c r="GFU126" s="1740"/>
      <c r="GFV126" s="1740"/>
      <c r="GFW126" s="1740"/>
      <c r="GFX126" s="1740"/>
      <c r="GFY126" s="1740"/>
      <c r="GFZ126" s="1740"/>
      <c r="GGA126" s="1740"/>
      <c r="GGB126" s="1740"/>
      <c r="GGC126" s="1740"/>
      <c r="GGD126" s="1740"/>
      <c r="GGE126" s="1740"/>
      <c r="GGF126" s="1740"/>
      <c r="GGG126" s="1740"/>
      <c r="GGH126" s="1740"/>
      <c r="GGI126" s="1740"/>
      <c r="GGJ126" s="1740"/>
      <c r="GGK126" s="1740"/>
      <c r="GGL126" s="1740"/>
      <c r="GGM126" s="1740"/>
      <c r="GGN126" s="1740"/>
      <c r="GGO126" s="1740"/>
      <c r="GGP126" s="1740"/>
      <c r="GGQ126" s="1740"/>
      <c r="GGR126" s="1740"/>
      <c r="GGS126" s="1740"/>
      <c r="GGT126" s="1740"/>
      <c r="GGU126" s="1740"/>
      <c r="GGV126" s="1740"/>
      <c r="GGW126" s="1740"/>
      <c r="GGX126" s="1740"/>
      <c r="GGY126" s="1740"/>
      <c r="GGZ126" s="1740"/>
      <c r="GHA126" s="1740"/>
      <c r="GHB126" s="1740"/>
      <c r="GHC126" s="1740"/>
      <c r="GHD126" s="1740"/>
      <c r="GHE126" s="1740"/>
      <c r="GHF126" s="1740"/>
      <c r="GHG126" s="1740"/>
      <c r="GHH126" s="1740"/>
      <c r="GHI126" s="1740"/>
      <c r="GHJ126" s="1740"/>
      <c r="GHK126" s="1740"/>
      <c r="GHL126" s="1740"/>
      <c r="GHM126" s="1740"/>
      <c r="GHN126" s="1740"/>
      <c r="GHO126" s="1740"/>
      <c r="GHP126" s="1740"/>
      <c r="GHQ126" s="1740"/>
      <c r="GHR126" s="1740"/>
      <c r="GHS126" s="1740"/>
      <c r="GHT126" s="1740"/>
      <c r="GHU126" s="1740"/>
      <c r="GHV126" s="1740"/>
      <c r="GHW126" s="1740"/>
      <c r="GHX126" s="1740"/>
      <c r="GHY126" s="1740"/>
      <c r="GHZ126" s="1740"/>
      <c r="GIA126" s="1740"/>
      <c r="GIB126" s="1740"/>
      <c r="GIC126" s="1740"/>
      <c r="GID126" s="1740"/>
      <c r="GIE126" s="1740"/>
      <c r="GIF126" s="1740"/>
      <c r="GIG126" s="1740"/>
      <c r="GIH126" s="1740"/>
      <c r="GII126" s="1740"/>
      <c r="GIJ126" s="1740"/>
      <c r="GIK126" s="1740"/>
      <c r="GIL126" s="1740"/>
      <c r="GIM126" s="1740"/>
      <c r="GIN126" s="1740"/>
      <c r="GIO126" s="1740"/>
      <c r="GIP126" s="1740"/>
      <c r="GIQ126" s="1740"/>
      <c r="GIR126" s="1740"/>
      <c r="GIS126" s="1740"/>
      <c r="GIT126" s="1740"/>
      <c r="GIU126" s="1740"/>
      <c r="GIV126" s="1740"/>
      <c r="GIW126" s="1740"/>
      <c r="GIX126" s="1740"/>
      <c r="GIY126" s="1740"/>
      <c r="GIZ126" s="1740"/>
      <c r="GJA126" s="1740"/>
      <c r="GJB126" s="1740"/>
      <c r="GJC126" s="1740"/>
      <c r="GJD126" s="1740"/>
      <c r="GJE126" s="1740"/>
      <c r="GJF126" s="1740"/>
      <c r="GJG126" s="1740"/>
      <c r="GJH126" s="1740"/>
      <c r="GJI126" s="1740"/>
      <c r="GJJ126" s="1740"/>
      <c r="GJK126" s="1740"/>
      <c r="GJL126" s="1740"/>
      <c r="GJM126" s="1740"/>
      <c r="GJN126" s="1740"/>
      <c r="GJO126" s="1740"/>
      <c r="GJP126" s="1740"/>
      <c r="GJQ126" s="1740"/>
      <c r="GJR126" s="1740"/>
      <c r="GJS126" s="1740"/>
      <c r="GJT126" s="1740"/>
      <c r="GJU126" s="1740"/>
      <c r="GJV126" s="1740"/>
      <c r="GJW126" s="1740"/>
      <c r="GJX126" s="1740"/>
      <c r="GJY126" s="1740"/>
      <c r="GJZ126" s="1740"/>
      <c r="GKA126" s="1740"/>
      <c r="GKB126" s="1740"/>
      <c r="GKC126" s="1740"/>
      <c r="GKD126" s="1740"/>
      <c r="GKE126" s="1740"/>
      <c r="GKF126" s="1740"/>
      <c r="GKG126" s="1740"/>
      <c r="GKH126" s="1740"/>
      <c r="GKI126" s="1740"/>
      <c r="GKJ126" s="1740"/>
      <c r="GKK126" s="1740"/>
      <c r="GKL126" s="1740"/>
      <c r="GKM126" s="1740"/>
      <c r="GKN126" s="1740"/>
      <c r="GKO126" s="1740"/>
      <c r="GKP126" s="1740"/>
      <c r="GKQ126" s="1740"/>
      <c r="GKR126" s="1740"/>
      <c r="GKS126" s="1740"/>
      <c r="GKT126" s="1740"/>
      <c r="GKU126" s="1740"/>
      <c r="GKV126" s="1740"/>
      <c r="GKW126" s="1740"/>
      <c r="GKX126" s="1740"/>
      <c r="GKY126" s="1740"/>
      <c r="GKZ126" s="1740"/>
      <c r="GLA126" s="1740"/>
      <c r="GLB126" s="1740"/>
      <c r="GLC126" s="1740"/>
      <c r="GLD126" s="1740"/>
      <c r="GLE126" s="1740"/>
      <c r="GLF126" s="1740"/>
      <c r="GLG126" s="1740"/>
      <c r="GLH126" s="1740"/>
      <c r="GLI126" s="1740"/>
      <c r="GLJ126" s="1740"/>
      <c r="GLK126" s="1740"/>
      <c r="GLL126" s="1740"/>
      <c r="GLM126" s="1740"/>
      <c r="GLN126" s="1740"/>
      <c r="GLO126" s="1740"/>
      <c r="GLP126" s="1740"/>
      <c r="GLQ126" s="1740"/>
      <c r="GLR126" s="1740"/>
      <c r="GLS126" s="1740"/>
      <c r="GLT126" s="1740"/>
      <c r="GLU126" s="1740"/>
      <c r="GLV126" s="1740"/>
      <c r="GLW126" s="1740"/>
      <c r="GLX126" s="1740"/>
      <c r="GLY126" s="1740"/>
      <c r="GLZ126" s="1740"/>
      <c r="GMA126" s="1740"/>
      <c r="GMB126" s="1740"/>
      <c r="GMC126" s="1740"/>
      <c r="GMD126" s="1740"/>
      <c r="GME126" s="1740"/>
      <c r="GMF126" s="1740"/>
      <c r="GMG126" s="1740"/>
      <c r="GMH126" s="1740"/>
      <c r="GMI126" s="1740"/>
      <c r="GMJ126" s="1740"/>
      <c r="GMK126" s="1740"/>
      <c r="GML126" s="1740"/>
      <c r="GMM126" s="1740"/>
      <c r="GMN126" s="1740"/>
      <c r="GMO126" s="1740"/>
      <c r="GMP126" s="1740"/>
      <c r="GMQ126" s="1740"/>
      <c r="GMR126" s="1740"/>
      <c r="GMS126" s="1740"/>
      <c r="GMT126" s="1740"/>
      <c r="GMU126" s="1740"/>
      <c r="GMV126" s="1740"/>
      <c r="GMW126" s="1740"/>
      <c r="GMX126" s="1740"/>
      <c r="GMY126" s="1740"/>
      <c r="GMZ126" s="1740"/>
      <c r="GNA126" s="1740"/>
      <c r="GNB126" s="1740"/>
      <c r="GNC126" s="1740"/>
      <c r="GND126" s="1740"/>
      <c r="GNE126" s="1740"/>
      <c r="GNF126" s="1740"/>
      <c r="GNG126" s="1740"/>
      <c r="GNH126" s="1740"/>
      <c r="GNI126" s="1740"/>
      <c r="GNJ126" s="1740"/>
      <c r="GNK126" s="1740"/>
      <c r="GNL126" s="1740"/>
      <c r="GNM126" s="1740"/>
      <c r="GNN126" s="1740"/>
      <c r="GNO126" s="1740"/>
      <c r="GNP126" s="1740"/>
      <c r="GNQ126" s="1740"/>
      <c r="GNR126" s="1740"/>
      <c r="GNS126" s="1740"/>
      <c r="GNT126" s="1740"/>
      <c r="GNU126" s="1740"/>
      <c r="GNV126" s="1740"/>
      <c r="GNW126" s="1740"/>
      <c r="GNX126" s="1740"/>
      <c r="GNY126" s="1740"/>
      <c r="GNZ126" s="1740"/>
      <c r="GOA126" s="1740"/>
      <c r="GOB126" s="1740"/>
      <c r="GOC126" s="1740"/>
      <c r="GOD126" s="1740"/>
      <c r="GOE126" s="1740"/>
      <c r="GOF126" s="1740"/>
      <c r="GOG126" s="1740"/>
      <c r="GOH126" s="1740"/>
      <c r="GOI126" s="1740"/>
      <c r="GOJ126" s="1740"/>
      <c r="GOK126" s="1740"/>
      <c r="GOL126" s="1740"/>
      <c r="GOM126" s="1740"/>
      <c r="GON126" s="1740"/>
      <c r="GOO126" s="1740"/>
      <c r="GOP126" s="1740"/>
      <c r="GOQ126" s="1740"/>
      <c r="GOR126" s="1740"/>
      <c r="GOS126" s="1740"/>
      <c r="GOT126" s="1740"/>
      <c r="GOU126" s="1740"/>
      <c r="GOV126" s="1740"/>
      <c r="GOW126" s="1740"/>
      <c r="GOX126" s="1740"/>
      <c r="GOY126" s="1740"/>
      <c r="GOZ126" s="1740"/>
      <c r="GPA126" s="1740"/>
      <c r="GPB126" s="1740"/>
      <c r="GPC126" s="1740"/>
      <c r="GPD126" s="1740"/>
      <c r="GPE126" s="1740"/>
      <c r="GPF126" s="1740"/>
      <c r="GPG126" s="1740"/>
      <c r="GPH126" s="1740"/>
      <c r="GPI126" s="1740"/>
      <c r="GPJ126" s="1740"/>
      <c r="GPK126" s="1740"/>
      <c r="GPL126" s="1740"/>
      <c r="GPM126" s="1740"/>
      <c r="GPN126" s="1740"/>
      <c r="GPO126" s="1740"/>
      <c r="GPP126" s="1740"/>
      <c r="GPQ126" s="1740"/>
      <c r="GPR126" s="1740"/>
      <c r="GPS126" s="1740"/>
      <c r="GPT126" s="1740"/>
      <c r="GPU126" s="1740"/>
      <c r="GPV126" s="1740"/>
      <c r="GPW126" s="1740"/>
      <c r="GPX126" s="1740"/>
      <c r="GPY126" s="1740"/>
      <c r="GPZ126" s="1740"/>
      <c r="GQA126" s="1740"/>
      <c r="GQB126" s="1740"/>
      <c r="GQC126" s="1740"/>
      <c r="GQD126" s="1740"/>
      <c r="GQE126" s="1740"/>
      <c r="GQF126" s="1740"/>
      <c r="GQG126" s="1740"/>
      <c r="GQH126" s="1740"/>
      <c r="GQI126" s="1740"/>
      <c r="GQJ126" s="1740"/>
      <c r="GQK126" s="1740"/>
      <c r="GQL126" s="1740"/>
      <c r="GQM126" s="1740"/>
      <c r="GQN126" s="1740"/>
      <c r="GQO126" s="1740"/>
      <c r="GQP126" s="1740"/>
      <c r="GQQ126" s="1740"/>
      <c r="GQR126" s="1740"/>
      <c r="GQS126" s="1740"/>
      <c r="GQT126" s="1740"/>
      <c r="GQU126" s="1740"/>
      <c r="GQV126" s="1740"/>
      <c r="GQW126" s="1740"/>
      <c r="GQX126" s="1740"/>
      <c r="GQY126" s="1740"/>
      <c r="GQZ126" s="1740"/>
      <c r="GRA126" s="1740"/>
      <c r="GRB126" s="1740"/>
      <c r="GRC126" s="1740"/>
      <c r="GRD126" s="1740"/>
      <c r="GRE126" s="1740"/>
      <c r="GRF126" s="1740"/>
      <c r="GRG126" s="1740"/>
      <c r="GRH126" s="1740"/>
      <c r="GRI126" s="1740"/>
      <c r="GRJ126" s="1740"/>
      <c r="GRK126" s="1740"/>
      <c r="GRL126" s="1740"/>
      <c r="GRM126" s="1740"/>
      <c r="GRN126" s="1740"/>
      <c r="GRO126" s="1740"/>
      <c r="GRP126" s="1740"/>
      <c r="GRQ126" s="1740"/>
      <c r="GRR126" s="1740"/>
      <c r="GRS126" s="1740"/>
      <c r="GRT126" s="1740"/>
      <c r="GRU126" s="1740"/>
      <c r="GRV126" s="1740"/>
      <c r="GRW126" s="1740"/>
      <c r="GRX126" s="1740"/>
      <c r="GRY126" s="1740"/>
      <c r="GRZ126" s="1740"/>
      <c r="GSA126" s="1740"/>
      <c r="GSB126" s="1740"/>
      <c r="GSC126" s="1740"/>
      <c r="GSD126" s="1740"/>
      <c r="GSE126" s="1740"/>
      <c r="GSF126" s="1740"/>
      <c r="GSG126" s="1740"/>
      <c r="GSH126" s="1740"/>
      <c r="GSI126" s="1740"/>
      <c r="GSJ126" s="1740"/>
      <c r="GSK126" s="1740"/>
      <c r="GSL126" s="1740"/>
      <c r="GSM126" s="1740"/>
      <c r="GSN126" s="1740"/>
      <c r="GSO126" s="1740"/>
      <c r="GSP126" s="1740"/>
      <c r="GSQ126" s="1740"/>
      <c r="GSR126" s="1740"/>
      <c r="GSS126" s="1740"/>
      <c r="GST126" s="1740"/>
      <c r="GSU126" s="1740"/>
      <c r="GSV126" s="1740"/>
      <c r="GSW126" s="1740"/>
      <c r="GSX126" s="1740"/>
      <c r="GSY126" s="1740"/>
      <c r="GSZ126" s="1740"/>
      <c r="GTA126" s="1740"/>
      <c r="GTB126" s="1740"/>
      <c r="GTC126" s="1740"/>
      <c r="GTD126" s="1740"/>
      <c r="GTE126" s="1740"/>
      <c r="GTF126" s="1740"/>
      <c r="GTG126" s="1740"/>
      <c r="GTH126" s="1740"/>
      <c r="GTI126" s="1740"/>
      <c r="GTJ126" s="1740"/>
      <c r="GTK126" s="1740"/>
      <c r="GTL126" s="1740"/>
      <c r="GTM126" s="1740"/>
      <c r="GTN126" s="1740"/>
      <c r="GTO126" s="1740"/>
      <c r="GTP126" s="1740"/>
      <c r="GTQ126" s="1740"/>
      <c r="GTR126" s="1740"/>
      <c r="GTS126" s="1740"/>
      <c r="GTT126" s="1740"/>
      <c r="GTU126" s="1740"/>
      <c r="GTV126" s="1740"/>
      <c r="GTW126" s="1740"/>
      <c r="GTX126" s="1740"/>
      <c r="GTY126" s="1740"/>
      <c r="GTZ126" s="1740"/>
      <c r="GUA126" s="1740"/>
      <c r="GUB126" s="1740"/>
      <c r="GUC126" s="1740"/>
      <c r="GUD126" s="1740"/>
      <c r="GUE126" s="1740"/>
      <c r="GUF126" s="1740"/>
      <c r="GUG126" s="1740"/>
      <c r="GUH126" s="1740"/>
      <c r="GUI126" s="1740"/>
      <c r="GUJ126" s="1740"/>
      <c r="GUK126" s="1740"/>
      <c r="GUL126" s="1740"/>
      <c r="GUM126" s="1740"/>
      <c r="GUN126" s="1740"/>
      <c r="GUO126" s="1740"/>
      <c r="GUP126" s="1740"/>
      <c r="GUQ126" s="1740"/>
      <c r="GUR126" s="1740"/>
      <c r="GUS126" s="1740"/>
      <c r="GUT126" s="1740"/>
      <c r="GUU126" s="1740"/>
      <c r="GUV126" s="1740"/>
      <c r="GUW126" s="1740"/>
      <c r="GUX126" s="1740"/>
      <c r="GUY126" s="1740"/>
      <c r="GUZ126" s="1740"/>
      <c r="GVA126" s="1740"/>
      <c r="GVB126" s="1740"/>
      <c r="GVC126" s="1740"/>
      <c r="GVD126" s="1740"/>
      <c r="GVE126" s="1740"/>
      <c r="GVF126" s="1740"/>
      <c r="GVG126" s="1740"/>
      <c r="GVH126" s="1740"/>
      <c r="GVI126" s="1740"/>
      <c r="GVJ126" s="1740"/>
      <c r="GVK126" s="1740"/>
      <c r="GVL126" s="1740"/>
      <c r="GVM126" s="1740"/>
      <c r="GVN126" s="1740"/>
      <c r="GVO126" s="1740"/>
      <c r="GVP126" s="1740"/>
      <c r="GVQ126" s="1740"/>
      <c r="GVR126" s="1740"/>
      <c r="GVS126" s="1740"/>
      <c r="GVT126" s="1740"/>
      <c r="GVU126" s="1740"/>
      <c r="GVV126" s="1740"/>
      <c r="GVW126" s="1740"/>
      <c r="GVX126" s="1740"/>
      <c r="GVY126" s="1740"/>
      <c r="GVZ126" s="1740"/>
      <c r="GWA126" s="1740"/>
      <c r="GWB126" s="1740"/>
      <c r="GWC126" s="1740"/>
      <c r="GWD126" s="1740"/>
      <c r="GWE126" s="1740"/>
      <c r="GWF126" s="1740"/>
      <c r="GWG126" s="1740"/>
      <c r="GWH126" s="1740"/>
      <c r="GWI126" s="1740"/>
      <c r="GWJ126" s="1740"/>
      <c r="GWK126" s="1740"/>
      <c r="GWL126" s="1740"/>
      <c r="GWM126" s="1740"/>
      <c r="GWN126" s="1740"/>
      <c r="GWO126" s="1740"/>
      <c r="GWP126" s="1740"/>
      <c r="GWQ126" s="1740"/>
      <c r="GWR126" s="1740"/>
      <c r="GWS126" s="1740"/>
      <c r="GWT126" s="1740"/>
      <c r="GWU126" s="1740"/>
      <c r="GWV126" s="1740"/>
      <c r="GWW126" s="1740"/>
      <c r="GWX126" s="1740"/>
      <c r="GWY126" s="1740"/>
      <c r="GWZ126" s="1740"/>
      <c r="GXA126" s="1740"/>
      <c r="GXB126" s="1740"/>
      <c r="GXC126" s="1740"/>
      <c r="GXD126" s="1740"/>
      <c r="GXE126" s="1740"/>
      <c r="GXF126" s="1740"/>
      <c r="GXG126" s="1740"/>
      <c r="GXH126" s="1740"/>
      <c r="GXI126" s="1740"/>
      <c r="GXJ126" s="1740"/>
      <c r="GXK126" s="1740"/>
      <c r="GXL126" s="1740"/>
      <c r="GXM126" s="1740"/>
      <c r="GXN126" s="1740"/>
      <c r="GXO126" s="1740"/>
      <c r="GXP126" s="1740"/>
      <c r="GXQ126" s="1740"/>
      <c r="GXR126" s="1740"/>
      <c r="GXS126" s="1740"/>
      <c r="GXT126" s="1740"/>
      <c r="GXU126" s="1740"/>
      <c r="GXV126" s="1740"/>
      <c r="GXW126" s="1740"/>
      <c r="GXX126" s="1740"/>
      <c r="GXY126" s="1740"/>
      <c r="GXZ126" s="1740"/>
      <c r="GYA126" s="1740"/>
      <c r="GYB126" s="1740"/>
      <c r="GYC126" s="1740"/>
      <c r="GYD126" s="1740"/>
      <c r="GYE126" s="1740"/>
      <c r="GYF126" s="1740"/>
      <c r="GYG126" s="1740"/>
      <c r="GYH126" s="1740"/>
      <c r="GYI126" s="1740"/>
      <c r="GYJ126" s="1740"/>
      <c r="GYK126" s="1740"/>
      <c r="GYL126" s="1740"/>
      <c r="GYM126" s="1740"/>
      <c r="GYN126" s="1740"/>
      <c r="GYO126" s="1740"/>
      <c r="GYP126" s="1740"/>
      <c r="GYQ126" s="1740"/>
      <c r="GYR126" s="1740"/>
      <c r="GYS126" s="1740"/>
      <c r="GYT126" s="1740"/>
      <c r="GYU126" s="1740"/>
      <c r="GYV126" s="1740"/>
      <c r="GYW126" s="1740"/>
      <c r="GYX126" s="1740"/>
      <c r="GYY126" s="1740"/>
      <c r="GYZ126" s="1740"/>
      <c r="GZA126" s="1740"/>
      <c r="GZB126" s="1740"/>
      <c r="GZC126" s="1740"/>
      <c r="GZD126" s="1740"/>
      <c r="GZE126" s="1740"/>
      <c r="GZF126" s="1740"/>
      <c r="GZG126" s="1740"/>
      <c r="GZH126" s="1740"/>
      <c r="GZI126" s="1740"/>
      <c r="GZJ126" s="1740"/>
      <c r="GZK126" s="1740"/>
      <c r="GZL126" s="1740"/>
      <c r="GZM126" s="1740"/>
      <c r="GZN126" s="1740"/>
      <c r="GZO126" s="1740"/>
      <c r="GZP126" s="1740"/>
      <c r="GZQ126" s="1740"/>
      <c r="GZR126" s="1740"/>
      <c r="GZS126" s="1740"/>
      <c r="GZT126" s="1740"/>
      <c r="GZU126" s="1740"/>
      <c r="GZV126" s="1740"/>
      <c r="GZW126" s="1740"/>
      <c r="GZX126" s="1740"/>
      <c r="GZY126" s="1740"/>
      <c r="GZZ126" s="1740"/>
      <c r="HAA126" s="1740"/>
      <c r="HAB126" s="1740"/>
      <c r="HAC126" s="1740"/>
      <c r="HAD126" s="1740"/>
      <c r="HAE126" s="1740"/>
      <c r="HAF126" s="1740"/>
      <c r="HAG126" s="1740"/>
      <c r="HAH126" s="1740"/>
      <c r="HAI126" s="1740"/>
      <c r="HAJ126" s="1740"/>
      <c r="HAK126" s="1740"/>
      <c r="HAL126" s="1740"/>
      <c r="HAM126" s="1740"/>
      <c r="HAN126" s="1740"/>
      <c r="HAO126" s="1740"/>
      <c r="HAP126" s="1740"/>
      <c r="HAQ126" s="1740"/>
      <c r="HAR126" s="1740"/>
      <c r="HAS126" s="1740"/>
      <c r="HAT126" s="1740"/>
      <c r="HAU126" s="1740"/>
      <c r="HAV126" s="1740"/>
      <c r="HAW126" s="1740"/>
      <c r="HAX126" s="1740"/>
      <c r="HAY126" s="1740"/>
      <c r="HAZ126" s="1740"/>
      <c r="HBA126" s="1740"/>
      <c r="HBB126" s="1740"/>
      <c r="HBC126" s="1740"/>
      <c r="HBD126" s="1740"/>
      <c r="HBE126" s="1740"/>
      <c r="HBF126" s="1740"/>
      <c r="HBG126" s="1740"/>
      <c r="HBH126" s="1740"/>
      <c r="HBI126" s="1740"/>
      <c r="HBJ126" s="1740"/>
      <c r="HBK126" s="1740"/>
      <c r="HBL126" s="1740"/>
      <c r="HBM126" s="1740"/>
      <c r="HBN126" s="1740"/>
      <c r="HBO126" s="1740"/>
      <c r="HBP126" s="1740"/>
      <c r="HBQ126" s="1740"/>
      <c r="HBR126" s="1740"/>
      <c r="HBS126" s="1740"/>
      <c r="HBT126" s="1740"/>
      <c r="HBU126" s="1740"/>
      <c r="HBV126" s="1740"/>
      <c r="HBW126" s="1740"/>
      <c r="HBX126" s="1740"/>
      <c r="HBY126" s="1740"/>
      <c r="HBZ126" s="1740"/>
      <c r="HCA126" s="1740"/>
      <c r="HCB126" s="1740"/>
      <c r="HCC126" s="1740"/>
      <c r="HCD126" s="1740"/>
      <c r="HCE126" s="1740"/>
      <c r="HCF126" s="1740"/>
      <c r="HCG126" s="1740"/>
      <c r="HCH126" s="1740"/>
      <c r="HCI126" s="1740"/>
      <c r="HCJ126" s="1740"/>
      <c r="HCK126" s="1740"/>
      <c r="HCL126" s="1740"/>
      <c r="HCM126" s="1740"/>
      <c r="HCN126" s="1740"/>
      <c r="HCO126" s="1740"/>
      <c r="HCP126" s="1740"/>
      <c r="HCQ126" s="1740"/>
      <c r="HCR126" s="1740"/>
      <c r="HCS126" s="1740"/>
      <c r="HCT126" s="1740"/>
      <c r="HCU126" s="1740"/>
      <c r="HCV126" s="1740"/>
      <c r="HCW126" s="1740"/>
      <c r="HCX126" s="1740"/>
      <c r="HCY126" s="1740"/>
      <c r="HCZ126" s="1740"/>
      <c r="HDA126" s="1740"/>
      <c r="HDB126" s="1740"/>
      <c r="HDC126" s="1740"/>
      <c r="HDD126" s="1740"/>
      <c r="HDE126" s="1740"/>
      <c r="HDF126" s="1740"/>
      <c r="HDG126" s="1740"/>
      <c r="HDH126" s="1740"/>
      <c r="HDI126" s="1740"/>
      <c r="HDJ126" s="1740"/>
      <c r="HDK126" s="1740"/>
      <c r="HDL126" s="1740"/>
      <c r="HDM126" s="1740"/>
      <c r="HDN126" s="1740"/>
      <c r="HDO126" s="1740"/>
      <c r="HDP126" s="1740"/>
      <c r="HDQ126" s="1740"/>
      <c r="HDR126" s="1740"/>
      <c r="HDS126" s="1740"/>
      <c r="HDT126" s="1740"/>
      <c r="HDU126" s="1740"/>
      <c r="HDV126" s="1740"/>
      <c r="HDW126" s="1740"/>
      <c r="HDX126" s="1740"/>
      <c r="HDY126" s="1740"/>
      <c r="HDZ126" s="1740"/>
      <c r="HEA126" s="1740"/>
      <c r="HEB126" s="1740"/>
      <c r="HEC126" s="1740"/>
      <c r="HED126" s="1740"/>
      <c r="HEE126" s="1740"/>
      <c r="HEF126" s="1740"/>
      <c r="HEG126" s="1740"/>
      <c r="HEH126" s="1740"/>
      <c r="HEI126" s="1740"/>
      <c r="HEJ126" s="1740"/>
      <c r="HEK126" s="1740"/>
      <c r="HEL126" s="1740"/>
      <c r="HEM126" s="1740"/>
      <c r="HEN126" s="1740"/>
      <c r="HEO126" s="1740"/>
      <c r="HEP126" s="1740"/>
      <c r="HEQ126" s="1740"/>
      <c r="HER126" s="1740"/>
      <c r="HES126" s="1740"/>
      <c r="HET126" s="1740"/>
      <c r="HEU126" s="1740"/>
      <c r="HEV126" s="1740"/>
      <c r="HEW126" s="1740"/>
      <c r="HEX126" s="1740"/>
      <c r="HEY126" s="1740"/>
      <c r="HEZ126" s="1740"/>
      <c r="HFA126" s="1740"/>
      <c r="HFB126" s="1740"/>
      <c r="HFC126" s="1740"/>
      <c r="HFD126" s="1740"/>
      <c r="HFE126" s="1740"/>
      <c r="HFF126" s="1740"/>
      <c r="HFG126" s="1740"/>
      <c r="HFH126" s="1740"/>
      <c r="HFI126" s="1740"/>
      <c r="HFJ126" s="1740"/>
      <c r="HFK126" s="1740"/>
      <c r="HFL126" s="1740"/>
      <c r="HFM126" s="1740"/>
      <c r="HFN126" s="1740"/>
      <c r="HFO126" s="1740"/>
      <c r="HFP126" s="1740"/>
      <c r="HFQ126" s="1740"/>
      <c r="HFR126" s="1740"/>
      <c r="HFS126" s="1740"/>
      <c r="HFT126" s="1740"/>
      <c r="HFU126" s="1740"/>
      <c r="HFV126" s="1740"/>
      <c r="HFW126" s="1740"/>
      <c r="HFX126" s="1740"/>
      <c r="HFY126" s="1740"/>
      <c r="HFZ126" s="1740"/>
      <c r="HGA126" s="1740"/>
      <c r="HGB126" s="1740"/>
      <c r="HGC126" s="1740"/>
      <c r="HGD126" s="1740"/>
      <c r="HGE126" s="1740"/>
      <c r="HGF126" s="1740"/>
      <c r="HGG126" s="1740"/>
      <c r="HGH126" s="1740"/>
      <c r="HGI126" s="1740"/>
      <c r="HGJ126" s="1740"/>
      <c r="HGK126" s="1740"/>
      <c r="HGL126" s="1740"/>
      <c r="HGM126" s="1740"/>
      <c r="HGN126" s="1740"/>
      <c r="HGO126" s="1740"/>
      <c r="HGP126" s="1740"/>
      <c r="HGQ126" s="1740"/>
      <c r="HGR126" s="1740"/>
      <c r="HGS126" s="1740"/>
      <c r="HGT126" s="1740"/>
      <c r="HGU126" s="1740"/>
      <c r="HGV126" s="1740"/>
      <c r="HGW126" s="1740"/>
      <c r="HGX126" s="1740"/>
      <c r="HGY126" s="1740"/>
      <c r="HGZ126" s="1740"/>
      <c r="HHA126" s="1740"/>
      <c r="HHB126" s="1740"/>
      <c r="HHC126" s="1740"/>
      <c r="HHD126" s="1740"/>
      <c r="HHE126" s="1740"/>
      <c r="HHF126" s="1740"/>
      <c r="HHG126" s="1740"/>
      <c r="HHH126" s="1740"/>
      <c r="HHI126" s="1740"/>
      <c r="HHJ126" s="1740"/>
      <c r="HHK126" s="1740"/>
      <c r="HHL126" s="1740"/>
      <c r="HHM126" s="1740"/>
      <c r="HHN126" s="1740"/>
      <c r="HHO126" s="1740"/>
      <c r="HHP126" s="1740"/>
      <c r="HHQ126" s="1740"/>
      <c r="HHR126" s="1740"/>
      <c r="HHS126" s="1740"/>
      <c r="HHT126" s="1740"/>
      <c r="HHU126" s="1740"/>
      <c r="HHV126" s="1740"/>
      <c r="HHW126" s="1740"/>
      <c r="HHX126" s="1740"/>
      <c r="HHY126" s="1740"/>
      <c r="HHZ126" s="1740"/>
      <c r="HIA126" s="1740"/>
      <c r="HIB126" s="1740"/>
      <c r="HIC126" s="1740"/>
      <c r="HID126" s="1740"/>
      <c r="HIE126" s="1740"/>
      <c r="HIF126" s="1740"/>
      <c r="HIG126" s="1740"/>
      <c r="HIH126" s="1740"/>
      <c r="HII126" s="1740"/>
      <c r="HIJ126" s="1740"/>
      <c r="HIK126" s="1740"/>
      <c r="HIL126" s="1740"/>
      <c r="HIM126" s="1740"/>
      <c r="HIN126" s="1740"/>
      <c r="HIO126" s="1740"/>
      <c r="HIP126" s="1740"/>
      <c r="HIQ126" s="1740"/>
      <c r="HIR126" s="1740"/>
      <c r="HIS126" s="1740"/>
      <c r="HIT126" s="1740"/>
      <c r="HIU126" s="1740"/>
      <c r="HIV126" s="1740"/>
      <c r="HIW126" s="1740"/>
      <c r="HIX126" s="1740"/>
      <c r="HIY126" s="1740"/>
      <c r="HIZ126" s="1740"/>
      <c r="HJA126" s="1740"/>
      <c r="HJB126" s="1740"/>
      <c r="HJC126" s="1740"/>
      <c r="HJD126" s="1740"/>
      <c r="HJE126" s="1740"/>
      <c r="HJF126" s="1740"/>
      <c r="HJG126" s="1740"/>
      <c r="HJH126" s="1740"/>
      <c r="HJI126" s="1740"/>
      <c r="HJJ126" s="1740"/>
      <c r="HJK126" s="1740"/>
      <c r="HJL126" s="1740"/>
      <c r="HJM126" s="1740"/>
      <c r="HJN126" s="1740"/>
      <c r="HJO126" s="1740"/>
      <c r="HJP126" s="1740"/>
      <c r="HJQ126" s="1740"/>
      <c r="HJR126" s="1740"/>
      <c r="HJS126" s="1740"/>
      <c r="HJT126" s="1740"/>
      <c r="HJU126" s="1740"/>
      <c r="HJV126" s="1740"/>
      <c r="HJW126" s="1740"/>
      <c r="HJX126" s="1740"/>
      <c r="HJY126" s="1740"/>
      <c r="HJZ126" s="1740"/>
      <c r="HKA126" s="1740"/>
      <c r="HKB126" s="1740"/>
      <c r="HKC126" s="1740"/>
      <c r="HKD126" s="1740"/>
      <c r="HKE126" s="1740"/>
      <c r="HKF126" s="1740"/>
      <c r="HKG126" s="1740"/>
      <c r="HKH126" s="1740"/>
      <c r="HKI126" s="1740"/>
      <c r="HKJ126" s="1740"/>
      <c r="HKK126" s="1740"/>
      <c r="HKL126" s="1740"/>
      <c r="HKM126" s="1740"/>
      <c r="HKN126" s="1740"/>
      <c r="HKO126" s="1740"/>
      <c r="HKP126" s="1740"/>
      <c r="HKQ126" s="1740"/>
      <c r="HKR126" s="1740"/>
      <c r="HKS126" s="1740"/>
      <c r="HKT126" s="1740"/>
      <c r="HKU126" s="1740"/>
      <c r="HKV126" s="1740"/>
      <c r="HKW126" s="1740"/>
      <c r="HKX126" s="1740"/>
      <c r="HKY126" s="1740"/>
      <c r="HKZ126" s="1740"/>
      <c r="HLA126" s="1740"/>
      <c r="HLB126" s="1740"/>
      <c r="HLC126" s="1740"/>
      <c r="HLD126" s="1740"/>
      <c r="HLE126" s="1740"/>
      <c r="HLF126" s="1740"/>
      <c r="HLG126" s="1740"/>
      <c r="HLH126" s="1740"/>
      <c r="HLI126" s="1740"/>
      <c r="HLJ126" s="1740"/>
      <c r="HLK126" s="1740"/>
      <c r="HLL126" s="1740"/>
      <c r="HLM126" s="1740"/>
      <c r="HLN126" s="1740"/>
      <c r="HLO126" s="1740"/>
      <c r="HLP126" s="1740"/>
      <c r="HLQ126" s="1740"/>
      <c r="HLR126" s="1740"/>
      <c r="HLS126" s="1740"/>
      <c r="HLT126" s="1740"/>
      <c r="HLU126" s="1740"/>
      <c r="HLV126" s="1740"/>
      <c r="HLW126" s="1740"/>
      <c r="HLX126" s="1740"/>
      <c r="HLY126" s="1740"/>
      <c r="HLZ126" s="1740"/>
      <c r="HMA126" s="1740"/>
      <c r="HMB126" s="1740"/>
      <c r="HMC126" s="1740"/>
      <c r="HMD126" s="1740"/>
      <c r="HME126" s="1740"/>
      <c r="HMF126" s="1740"/>
      <c r="HMG126" s="1740"/>
      <c r="HMH126" s="1740"/>
      <c r="HMI126" s="1740"/>
      <c r="HMJ126" s="1740"/>
      <c r="HMK126" s="1740"/>
      <c r="HML126" s="1740"/>
      <c r="HMM126" s="1740"/>
      <c r="HMN126" s="1740"/>
      <c r="HMO126" s="1740"/>
      <c r="HMP126" s="1740"/>
      <c r="HMQ126" s="1740"/>
      <c r="HMR126" s="1740"/>
      <c r="HMS126" s="1740"/>
      <c r="HMT126" s="1740"/>
      <c r="HMU126" s="1740"/>
      <c r="HMV126" s="1740"/>
      <c r="HMW126" s="1740"/>
      <c r="HMX126" s="1740"/>
      <c r="HMY126" s="1740"/>
      <c r="HMZ126" s="1740"/>
      <c r="HNA126" s="1740"/>
      <c r="HNB126" s="1740"/>
      <c r="HNC126" s="1740"/>
      <c r="HND126" s="1740"/>
      <c r="HNE126" s="1740"/>
      <c r="HNF126" s="1740"/>
      <c r="HNG126" s="1740"/>
      <c r="HNH126" s="1740"/>
      <c r="HNI126" s="1740"/>
      <c r="HNJ126" s="1740"/>
      <c r="HNK126" s="1740"/>
      <c r="HNL126" s="1740"/>
      <c r="HNM126" s="1740"/>
      <c r="HNN126" s="1740"/>
      <c r="HNO126" s="1740"/>
      <c r="HNP126" s="1740"/>
      <c r="HNQ126" s="1740"/>
      <c r="HNR126" s="1740"/>
      <c r="HNS126" s="1740"/>
      <c r="HNT126" s="1740"/>
      <c r="HNU126" s="1740"/>
      <c r="HNV126" s="1740"/>
      <c r="HNW126" s="1740"/>
      <c r="HNX126" s="1740"/>
      <c r="HNY126" s="1740"/>
      <c r="HNZ126" s="1740"/>
      <c r="HOA126" s="1740"/>
      <c r="HOB126" s="1740"/>
      <c r="HOC126" s="1740"/>
      <c r="HOD126" s="1740"/>
      <c r="HOE126" s="1740"/>
      <c r="HOF126" s="1740"/>
      <c r="HOG126" s="1740"/>
      <c r="HOH126" s="1740"/>
      <c r="HOI126" s="1740"/>
      <c r="HOJ126" s="1740"/>
      <c r="HOK126" s="1740"/>
      <c r="HOL126" s="1740"/>
      <c r="HOM126" s="1740"/>
      <c r="HON126" s="1740"/>
      <c r="HOO126" s="1740"/>
      <c r="HOP126" s="1740"/>
      <c r="HOQ126" s="1740"/>
      <c r="HOR126" s="1740"/>
      <c r="HOS126" s="1740"/>
      <c r="HOT126" s="1740"/>
      <c r="HOU126" s="1740"/>
      <c r="HOV126" s="1740"/>
      <c r="HOW126" s="1740"/>
      <c r="HOX126" s="1740"/>
      <c r="HOY126" s="1740"/>
      <c r="HOZ126" s="1740"/>
      <c r="HPA126" s="1740"/>
      <c r="HPB126" s="1740"/>
      <c r="HPC126" s="1740"/>
      <c r="HPD126" s="1740"/>
      <c r="HPE126" s="1740"/>
      <c r="HPF126" s="1740"/>
      <c r="HPG126" s="1740"/>
      <c r="HPH126" s="1740"/>
      <c r="HPI126" s="1740"/>
      <c r="HPJ126" s="1740"/>
      <c r="HPK126" s="1740"/>
      <c r="HPL126" s="1740"/>
      <c r="HPM126" s="1740"/>
      <c r="HPN126" s="1740"/>
      <c r="HPO126" s="1740"/>
      <c r="HPP126" s="1740"/>
      <c r="HPQ126" s="1740"/>
      <c r="HPR126" s="1740"/>
      <c r="HPS126" s="1740"/>
      <c r="HPT126" s="1740"/>
      <c r="HPU126" s="1740"/>
      <c r="HPV126" s="1740"/>
      <c r="HPW126" s="1740"/>
      <c r="HPX126" s="1740"/>
      <c r="HPY126" s="1740"/>
      <c r="HPZ126" s="1740"/>
      <c r="HQA126" s="1740"/>
      <c r="HQB126" s="1740"/>
      <c r="HQC126" s="1740"/>
      <c r="HQD126" s="1740"/>
      <c r="HQE126" s="1740"/>
      <c r="HQF126" s="1740"/>
      <c r="HQG126" s="1740"/>
      <c r="HQH126" s="1740"/>
      <c r="HQI126" s="1740"/>
      <c r="HQJ126" s="1740"/>
      <c r="HQK126" s="1740"/>
      <c r="HQL126" s="1740"/>
      <c r="HQM126" s="1740"/>
      <c r="HQN126" s="1740"/>
      <c r="HQO126" s="1740"/>
      <c r="HQP126" s="1740"/>
      <c r="HQQ126" s="1740"/>
      <c r="HQR126" s="1740"/>
      <c r="HQS126" s="1740"/>
      <c r="HQT126" s="1740"/>
      <c r="HQU126" s="1740"/>
      <c r="HQV126" s="1740"/>
      <c r="HQW126" s="1740"/>
      <c r="HQX126" s="1740"/>
      <c r="HQY126" s="1740"/>
      <c r="HQZ126" s="1740"/>
      <c r="HRA126" s="1740"/>
      <c r="HRB126" s="1740"/>
      <c r="HRC126" s="1740"/>
      <c r="HRD126" s="1740"/>
      <c r="HRE126" s="1740"/>
      <c r="HRF126" s="1740"/>
      <c r="HRG126" s="1740"/>
      <c r="HRH126" s="1740"/>
      <c r="HRI126" s="1740"/>
      <c r="HRJ126" s="1740"/>
      <c r="HRK126" s="1740"/>
      <c r="HRL126" s="1740"/>
      <c r="HRM126" s="1740"/>
      <c r="HRN126" s="1740"/>
      <c r="HRO126" s="1740"/>
      <c r="HRP126" s="1740"/>
      <c r="HRQ126" s="1740"/>
      <c r="HRR126" s="1740"/>
      <c r="HRS126" s="1740"/>
      <c r="HRT126" s="1740"/>
      <c r="HRU126" s="1740"/>
      <c r="HRV126" s="1740"/>
      <c r="HRW126" s="1740"/>
      <c r="HRX126" s="1740"/>
      <c r="HRY126" s="1740"/>
      <c r="HRZ126" s="1740"/>
      <c r="HSA126" s="1740"/>
      <c r="HSB126" s="1740"/>
      <c r="HSC126" s="1740"/>
      <c r="HSD126" s="1740"/>
      <c r="HSE126" s="1740"/>
      <c r="HSF126" s="1740"/>
      <c r="HSG126" s="1740"/>
      <c r="HSH126" s="1740"/>
      <c r="HSI126" s="1740"/>
      <c r="HSJ126" s="1740"/>
      <c r="HSK126" s="1740"/>
      <c r="HSL126" s="1740"/>
      <c r="HSM126" s="1740"/>
      <c r="HSN126" s="1740"/>
      <c r="HSO126" s="1740"/>
      <c r="HSP126" s="1740"/>
      <c r="HSQ126" s="1740"/>
      <c r="HSR126" s="1740"/>
      <c r="HSS126" s="1740"/>
      <c r="HST126" s="1740"/>
      <c r="HSU126" s="1740"/>
      <c r="HSV126" s="1740"/>
      <c r="HSW126" s="1740"/>
      <c r="HSX126" s="1740"/>
      <c r="HSY126" s="1740"/>
      <c r="HSZ126" s="1740"/>
      <c r="HTA126" s="1740"/>
      <c r="HTB126" s="1740"/>
      <c r="HTC126" s="1740"/>
      <c r="HTD126" s="1740"/>
      <c r="HTE126" s="1740"/>
      <c r="HTF126" s="1740"/>
      <c r="HTG126" s="1740"/>
      <c r="HTH126" s="1740"/>
      <c r="HTI126" s="1740"/>
      <c r="HTJ126" s="1740"/>
      <c r="HTK126" s="1740"/>
      <c r="HTL126" s="1740"/>
      <c r="HTM126" s="1740"/>
      <c r="HTN126" s="1740"/>
      <c r="HTO126" s="1740"/>
      <c r="HTP126" s="1740"/>
      <c r="HTQ126" s="1740"/>
      <c r="HTR126" s="1740"/>
      <c r="HTS126" s="1740"/>
      <c r="HTT126" s="1740"/>
      <c r="HTU126" s="1740"/>
      <c r="HTV126" s="1740"/>
      <c r="HTW126" s="1740"/>
      <c r="HTX126" s="1740"/>
      <c r="HTY126" s="1740"/>
      <c r="HTZ126" s="1740"/>
      <c r="HUA126" s="1740"/>
      <c r="HUB126" s="1740"/>
      <c r="HUC126" s="1740"/>
      <c r="HUD126" s="1740"/>
      <c r="HUE126" s="1740"/>
      <c r="HUF126" s="1740"/>
      <c r="HUG126" s="1740"/>
      <c r="HUH126" s="1740"/>
      <c r="HUI126" s="1740"/>
      <c r="HUJ126" s="1740"/>
      <c r="HUK126" s="1740"/>
      <c r="HUL126" s="1740"/>
      <c r="HUM126" s="1740"/>
      <c r="HUN126" s="1740"/>
      <c r="HUO126" s="1740"/>
      <c r="HUP126" s="1740"/>
      <c r="HUQ126" s="1740"/>
      <c r="HUR126" s="1740"/>
      <c r="HUS126" s="1740"/>
      <c r="HUT126" s="1740"/>
      <c r="HUU126" s="1740"/>
      <c r="HUV126" s="1740"/>
      <c r="HUW126" s="1740"/>
      <c r="HUX126" s="1740"/>
      <c r="HUY126" s="1740"/>
      <c r="HUZ126" s="1740"/>
      <c r="HVA126" s="1740"/>
      <c r="HVB126" s="1740"/>
      <c r="HVC126" s="1740"/>
      <c r="HVD126" s="1740"/>
      <c r="HVE126" s="1740"/>
      <c r="HVF126" s="1740"/>
      <c r="HVG126" s="1740"/>
      <c r="HVH126" s="1740"/>
      <c r="HVI126" s="1740"/>
      <c r="HVJ126" s="1740"/>
      <c r="HVK126" s="1740"/>
      <c r="HVL126" s="1740"/>
      <c r="HVM126" s="1740"/>
      <c r="HVN126" s="1740"/>
      <c r="HVO126" s="1740"/>
      <c r="HVP126" s="1740"/>
      <c r="HVQ126" s="1740"/>
      <c r="HVR126" s="1740"/>
      <c r="HVS126" s="1740"/>
      <c r="HVT126" s="1740"/>
      <c r="HVU126" s="1740"/>
      <c r="HVV126" s="1740"/>
      <c r="HVW126" s="1740"/>
      <c r="HVX126" s="1740"/>
      <c r="HVY126" s="1740"/>
      <c r="HVZ126" s="1740"/>
      <c r="HWA126" s="1740"/>
      <c r="HWB126" s="1740"/>
      <c r="HWC126" s="1740"/>
      <c r="HWD126" s="1740"/>
      <c r="HWE126" s="1740"/>
      <c r="HWF126" s="1740"/>
      <c r="HWG126" s="1740"/>
      <c r="HWH126" s="1740"/>
      <c r="HWI126" s="1740"/>
      <c r="HWJ126" s="1740"/>
      <c r="HWK126" s="1740"/>
      <c r="HWL126" s="1740"/>
      <c r="HWM126" s="1740"/>
      <c r="HWN126" s="1740"/>
      <c r="HWO126" s="1740"/>
      <c r="HWP126" s="1740"/>
      <c r="HWQ126" s="1740"/>
      <c r="HWR126" s="1740"/>
      <c r="HWS126" s="1740"/>
      <c r="HWT126" s="1740"/>
      <c r="HWU126" s="1740"/>
      <c r="HWV126" s="1740"/>
      <c r="HWW126" s="1740"/>
      <c r="HWX126" s="1740"/>
      <c r="HWY126" s="1740"/>
      <c r="HWZ126" s="1740"/>
      <c r="HXA126" s="1740"/>
      <c r="HXB126" s="1740"/>
      <c r="HXC126" s="1740"/>
      <c r="HXD126" s="1740"/>
      <c r="HXE126" s="1740"/>
      <c r="HXF126" s="1740"/>
      <c r="HXG126" s="1740"/>
      <c r="HXH126" s="1740"/>
      <c r="HXI126" s="1740"/>
      <c r="HXJ126" s="1740"/>
      <c r="HXK126" s="1740"/>
      <c r="HXL126" s="1740"/>
      <c r="HXM126" s="1740"/>
      <c r="HXN126" s="1740"/>
      <c r="HXO126" s="1740"/>
      <c r="HXP126" s="1740"/>
      <c r="HXQ126" s="1740"/>
      <c r="HXR126" s="1740"/>
      <c r="HXS126" s="1740"/>
      <c r="HXT126" s="1740"/>
      <c r="HXU126" s="1740"/>
      <c r="HXV126" s="1740"/>
      <c r="HXW126" s="1740"/>
      <c r="HXX126" s="1740"/>
      <c r="HXY126" s="1740"/>
      <c r="HXZ126" s="1740"/>
      <c r="HYA126" s="1740"/>
      <c r="HYB126" s="1740"/>
      <c r="HYC126" s="1740"/>
      <c r="HYD126" s="1740"/>
      <c r="HYE126" s="1740"/>
      <c r="HYF126" s="1740"/>
      <c r="HYG126" s="1740"/>
      <c r="HYH126" s="1740"/>
      <c r="HYI126" s="1740"/>
      <c r="HYJ126" s="1740"/>
      <c r="HYK126" s="1740"/>
      <c r="HYL126" s="1740"/>
      <c r="HYM126" s="1740"/>
      <c r="HYN126" s="1740"/>
      <c r="HYO126" s="1740"/>
      <c r="HYP126" s="1740"/>
      <c r="HYQ126" s="1740"/>
      <c r="HYR126" s="1740"/>
      <c r="HYS126" s="1740"/>
      <c r="HYT126" s="1740"/>
      <c r="HYU126" s="1740"/>
      <c r="HYV126" s="1740"/>
      <c r="HYW126" s="1740"/>
      <c r="HYX126" s="1740"/>
      <c r="HYY126" s="1740"/>
      <c r="HYZ126" s="1740"/>
      <c r="HZA126" s="1740"/>
      <c r="HZB126" s="1740"/>
      <c r="HZC126" s="1740"/>
      <c r="HZD126" s="1740"/>
      <c r="HZE126" s="1740"/>
      <c r="HZF126" s="1740"/>
      <c r="HZG126" s="1740"/>
      <c r="HZH126" s="1740"/>
      <c r="HZI126" s="1740"/>
      <c r="HZJ126" s="1740"/>
      <c r="HZK126" s="1740"/>
      <c r="HZL126" s="1740"/>
      <c r="HZM126" s="1740"/>
      <c r="HZN126" s="1740"/>
      <c r="HZO126" s="1740"/>
      <c r="HZP126" s="1740"/>
      <c r="HZQ126" s="1740"/>
      <c r="HZR126" s="1740"/>
      <c r="HZS126" s="1740"/>
      <c r="HZT126" s="1740"/>
      <c r="HZU126" s="1740"/>
      <c r="HZV126" s="1740"/>
      <c r="HZW126" s="1740"/>
      <c r="HZX126" s="1740"/>
      <c r="HZY126" s="1740"/>
      <c r="HZZ126" s="1740"/>
      <c r="IAA126" s="1740"/>
      <c r="IAB126" s="1740"/>
      <c r="IAC126" s="1740"/>
      <c r="IAD126" s="1740"/>
      <c r="IAE126" s="1740"/>
      <c r="IAF126" s="1740"/>
      <c r="IAG126" s="1740"/>
      <c r="IAH126" s="1740"/>
      <c r="IAI126" s="1740"/>
      <c r="IAJ126" s="1740"/>
      <c r="IAK126" s="1740"/>
      <c r="IAL126" s="1740"/>
      <c r="IAM126" s="1740"/>
      <c r="IAN126" s="1740"/>
      <c r="IAO126" s="1740"/>
      <c r="IAP126" s="1740"/>
      <c r="IAQ126" s="1740"/>
      <c r="IAR126" s="1740"/>
      <c r="IAS126" s="1740"/>
      <c r="IAT126" s="1740"/>
      <c r="IAU126" s="1740"/>
      <c r="IAV126" s="1740"/>
      <c r="IAW126" s="1740"/>
      <c r="IAX126" s="1740"/>
      <c r="IAY126" s="1740"/>
      <c r="IAZ126" s="1740"/>
      <c r="IBA126" s="1740"/>
      <c r="IBB126" s="1740"/>
      <c r="IBC126" s="1740"/>
      <c r="IBD126" s="1740"/>
      <c r="IBE126" s="1740"/>
      <c r="IBF126" s="1740"/>
      <c r="IBG126" s="1740"/>
      <c r="IBH126" s="1740"/>
      <c r="IBI126" s="1740"/>
      <c r="IBJ126" s="1740"/>
      <c r="IBK126" s="1740"/>
      <c r="IBL126" s="1740"/>
      <c r="IBM126" s="1740"/>
      <c r="IBN126" s="1740"/>
      <c r="IBO126" s="1740"/>
      <c r="IBP126" s="1740"/>
      <c r="IBQ126" s="1740"/>
      <c r="IBR126" s="1740"/>
      <c r="IBS126" s="1740"/>
      <c r="IBT126" s="1740"/>
      <c r="IBU126" s="1740"/>
      <c r="IBV126" s="1740"/>
      <c r="IBW126" s="1740"/>
      <c r="IBX126" s="1740"/>
      <c r="IBY126" s="1740"/>
      <c r="IBZ126" s="1740"/>
      <c r="ICA126" s="1740"/>
      <c r="ICB126" s="1740"/>
      <c r="ICC126" s="1740"/>
      <c r="ICD126" s="1740"/>
      <c r="ICE126" s="1740"/>
      <c r="ICF126" s="1740"/>
      <c r="ICG126" s="1740"/>
      <c r="ICH126" s="1740"/>
      <c r="ICI126" s="1740"/>
      <c r="ICJ126" s="1740"/>
      <c r="ICK126" s="1740"/>
      <c r="ICL126" s="1740"/>
      <c r="ICM126" s="1740"/>
      <c r="ICN126" s="1740"/>
      <c r="ICO126" s="1740"/>
      <c r="ICP126" s="1740"/>
      <c r="ICQ126" s="1740"/>
      <c r="ICR126" s="1740"/>
      <c r="ICS126" s="1740"/>
      <c r="ICT126" s="1740"/>
      <c r="ICU126" s="1740"/>
      <c r="ICV126" s="1740"/>
      <c r="ICW126" s="1740"/>
      <c r="ICX126" s="1740"/>
      <c r="ICY126" s="1740"/>
      <c r="ICZ126" s="1740"/>
      <c r="IDA126" s="1740"/>
      <c r="IDB126" s="1740"/>
      <c r="IDC126" s="1740"/>
      <c r="IDD126" s="1740"/>
      <c r="IDE126" s="1740"/>
      <c r="IDF126" s="1740"/>
      <c r="IDG126" s="1740"/>
      <c r="IDH126" s="1740"/>
      <c r="IDI126" s="1740"/>
      <c r="IDJ126" s="1740"/>
      <c r="IDK126" s="1740"/>
      <c r="IDL126" s="1740"/>
      <c r="IDM126" s="1740"/>
      <c r="IDN126" s="1740"/>
      <c r="IDO126" s="1740"/>
      <c r="IDP126" s="1740"/>
      <c r="IDQ126" s="1740"/>
      <c r="IDR126" s="1740"/>
      <c r="IDS126" s="1740"/>
      <c r="IDT126" s="1740"/>
      <c r="IDU126" s="1740"/>
      <c r="IDV126" s="1740"/>
      <c r="IDW126" s="1740"/>
      <c r="IDX126" s="1740"/>
      <c r="IDY126" s="1740"/>
      <c r="IDZ126" s="1740"/>
      <c r="IEA126" s="1740"/>
      <c r="IEB126" s="1740"/>
      <c r="IEC126" s="1740"/>
      <c r="IED126" s="1740"/>
      <c r="IEE126" s="1740"/>
      <c r="IEF126" s="1740"/>
      <c r="IEG126" s="1740"/>
      <c r="IEH126" s="1740"/>
      <c r="IEI126" s="1740"/>
      <c r="IEJ126" s="1740"/>
      <c r="IEK126" s="1740"/>
      <c r="IEL126" s="1740"/>
      <c r="IEM126" s="1740"/>
      <c r="IEN126" s="1740"/>
      <c r="IEO126" s="1740"/>
      <c r="IEP126" s="1740"/>
      <c r="IEQ126" s="1740"/>
      <c r="IER126" s="1740"/>
      <c r="IES126" s="1740"/>
      <c r="IET126" s="1740"/>
      <c r="IEU126" s="1740"/>
      <c r="IEV126" s="1740"/>
      <c r="IEW126" s="1740"/>
      <c r="IEX126" s="1740"/>
      <c r="IEY126" s="1740"/>
      <c r="IEZ126" s="1740"/>
      <c r="IFA126" s="1740"/>
      <c r="IFB126" s="1740"/>
      <c r="IFC126" s="1740"/>
      <c r="IFD126" s="1740"/>
      <c r="IFE126" s="1740"/>
      <c r="IFF126" s="1740"/>
      <c r="IFG126" s="1740"/>
      <c r="IFH126" s="1740"/>
      <c r="IFI126" s="1740"/>
      <c r="IFJ126" s="1740"/>
      <c r="IFK126" s="1740"/>
      <c r="IFL126" s="1740"/>
      <c r="IFM126" s="1740"/>
      <c r="IFN126" s="1740"/>
      <c r="IFO126" s="1740"/>
      <c r="IFP126" s="1740"/>
      <c r="IFQ126" s="1740"/>
      <c r="IFR126" s="1740"/>
      <c r="IFS126" s="1740"/>
      <c r="IFT126" s="1740"/>
      <c r="IFU126" s="1740"/>
      <c r="IFV126" s="1740"/>
      <c r="IFW126" s="1740"/>
      <c r="IFX126" s="1740"/>
      <c r="IFY126" s="1740"/>
      <c r="IFZ126" s="1740"/>
      <c r="IGA126" s="1740"/>
      <c r="IGB126" s="1740"/>
      <c r="IGC126" s="1740"/>
      <c r="IGD126" s="1740"/>
      <c r="IGE126" s="1740"/>
      <c r="IGF126" s="1740"/>
      <c r="IGG126" s="1740"/>
      <c r="IGH126" s="1740"/>
      <c r="IGI126" s="1740"/>
      <c r="IGJ126" s="1740"/>
      <c r="IGK126" s="1740"/>
      <c r="IGL126" s="1740"/>
      <c r="IGM126" s="1740"/>
      <c r="IGN126" s="1740"/>
      <c r="IGO126" s="1740"/>
      <c r="IGP126" s="1740"/>
      <c r="IGQ126" s="1740"/>
      <c r="IGR126" s="1740"/>
      <c r="IGS126" s="1740"/>
      <c r="IGT126" s="1740"/>
      <c r="IGU126" s="1740"/>
      <c r="IGV126" s="1740"/>
      <c r="IGW126" s="1740"/>
      <c r="IGX126" s="1740"/>
      <c r="IGY126" s="1740"/>
      <c r="IGZ126" s="1740"/>
      <c r="IHA126" s="1740"/>
      <c r="IHB126" s="1740"/>
      <c r="IHC126" s="1740"/>
      <c r="IHD126" s="1740"/>
      <c r="IHE126" s="1740"/>
      <c r="IHF126" s="1740"/>
      <c r="IHG126" s="1740"/>
      <c r="IHH126" s="1740"/>
      <c r="IHI126" s="1740"/>
      <c r="IHJ126" s="1740"/>
      <c r="IHK126" s="1740"/>
      <c r="IHL126" s="1740"/>
      <c r="IHM126" s="1740"/>
      <c r="IHN126" s="1740"/>
      <c r="IHO126" s="1740"/>
      <c r="IHP126" s="1740"/>
      <c r="IHQ126" s="1740"/>
      <c r="IHR126" s="1740"/>
      <c r="IHS126" s="1740"/>
      <c r="IHT126" s="1740"/>
      <c r="IHU126" s="1740"/>
      <c r="IHV126" s="1740"/>
      <c r="IHW126" s="1740"/>
      <c r="IHX126" s="1740"/>
      <c r="IHY126" s="1740"/>
      <c r="IHZ126" s="1740"/>
      <c r="IIA126" s="1740"/>
      <c r="IIB126" s="1740"/>
      <c r="IIC126" s="1740"/>
      <c r="IID126" s="1740"/>
      <c r="IIE126" s="1740"/>
      <c r="IIF126" s="1740"/>
      <c r="IIG126" s="1740"/>
      <c r="IIH126" s="1740"/>
      <c r="III126" s="1740"/>
      <c r="IIJ126" s="1740"/>
      <c r="IIK126" s="1740"/>
      <c r="IIL126" s="1740"/>
      <c r="IIM126" s="1740"/>
      <c r="IIN126" s="1740"/>
      <c r="IIO126" s="1740"/>
      <c r="IIP126" s="1740"/>
      <c r="IIQ126" s="1740"/>
      <c r="IIR126" s="1740"/>
      <c r="IIS126" s="1740"/>
      <c r="IIT126" s="1740"/>
      <c r="IIU126" s="1740"/>
      <c r="IIV126" s="1740"/>
      <c r="IIW126" s="1740"/>
      <c r="IIX126" s="1740"/>
      <c r="IIY126" s="1740"/>
      <c r="IIZ126" s="1740"/>
      <c r="IJA126" s="1740"/>
      <c r="IJB126" s="1740"/>
      <c r="IJC126" s="1740"/>
      <c r="IJD126" s="1740"/>
      <c r="IJE126" s="1740"/>
      <c r="IJF126" s="1740"/>
      <c r="IJG126" s="1740"/>
      <c r="IJH126" s="1740"/>
      <c r="IJI126" s="1740"/>
      <c r="IJJ126" s="1740"/>
      <c r="IJK126" s="1740"/>
      <c r="IJL126" s="1740"/>
      <c r="IJM126" s="1740"/>
      <c r="IJN126" s="1740"/>
      <c r="IJO126" s="1740"/>
      <c r="IJP126" s="1740"/>
      <c r="IJQ126" s="1740"/>
      <c r="IJR126" s="1740"/>
      <c r="IJS126" s="1740"/>
      <c r="IJT126" s="1740"/>
      <c r="IJU126" s="1740"/>
      <c r="IJV126" s="1740"/>
      <c r="IJW126" s="1740"/>
      <c r="IJX126" s="1740"/>
      <c r="IJY126" s="1740"/>
      <c r="IJZ126" s="1740"/>
      <c r="IKA126" s="1740"/>
      <c r="IKB126" s="1740"/>
      <c r="IKC126" s="1740"/>
      <c r="IKD126" s="1740"/>
      <c r="IKE126" s="1740"/>
      <c r="IKF126" s="1740"/>
      <c r="IKG126" s="1740"/>
      <c r="IKH126" s="1740"/>
      <c r="IKI126" s="1740"/>
      <c r="IKJ126" s="1740"/>
      <c r="IKK126" s="1740"/>
      <c r="IKL126" s="1740"/>
      <c r="IKM126" s="1740"/>
      <c r="IKN126" s="1740"/>
      <c r="IKO126" s="1740"/>
      <c r="IKP126" s="1740"/>
      <c r="IKQ126" s="1740"/>
      <c r="IKR126" s="1740"/>
      <c r="IKS126" s="1740"/>
      <c r="IKT126" s="1740"/>
      <c r="IKU126" s="1740"/>
      <c r="IKV126" s="1740"/>
      <c r="IKW126" s="1740"/>
      <c r="IKX126" s="1740"/>
      <c r="IKY126" s="1740"/>
      <c r="IKZ126" s="1740"/>
      <c r="ILA126" s="1740"/>
      <c r="ILB126" s="1740"/>
      <c r="ILC126" s="1740"/>
      <c r="ILD126" s="1740"/>
      <c r="ILE126" s="1740"/>
      <c r="ILF126" s="1740"/>
      <c r="ILG126" s="1740"/>
      <c r="ILH126" s="1740"/>
      <c r="ILI126" s="1740"/>
      <c r="ILJ126" s="1740"/>
      <c r="ILK126" s="1740"/>
      <c r="ILL126" s="1740"/>
      <c r="ILM126" s="1740"/>
      <c r="ILN126" s="1740"/>
      <c r="ILO126" s="1740"/>
      <c r="ILP126" s="1740"/>
      <c r="ILQ126" s="1740"/>
      <c r="ILR126" s="1740"/>
      <c r="ILS126" s="1740"/>
      <c r="ILT126" s="1740"/>
      <c r="ILU126" s="1740"/>
      <c r="ILV126" s="1740"/>
      <c r="ILW126" s="1740"/>
      <c r="ILX126" s="1740"/>
      <c r="ILY126" s="1740"/>
      <c r="ILZ126" s="1740"/>
      <c r="IMA126" s="1740"/>
      <c r="IMB126" s="1740"/>
      <c r="IMC126" s="1740"/>
      <c r="IMD126" s="1740"/>
      <c r="IME126" s="1740"/>
      <c r="IMF126" s="1740"/>
      <c r="IMG126" s="1740"/>
      <c r="IMH126" s="1740"/>
      <c r="IMI126" s="1740"/>
      <c r="IMJ126" s="1740"/>
      <c r="IMK126" s="1740"/>
      <c r="IML126" s="1740"/>
      <c r="IMM126" s="1740"/>
      <c r="IMN126" s="1740"/>
      <c r="IMO126" s="1740"/>
      <c r="IMP126" s="1740"/>
      <c r="IMQ126" s="1740"/>
      <c r="IMR126" s="1740"/>
      <c r="IMS126" s="1740"/>
      <c r="IMT126" s="1740"/>
      <c r="IMU126" s="1740"/>
      <c r="IMV126" s="1740"/>
      <c r="IMW126" s="1740"/>
      <c r="IMX126" s="1740"/>
      <c r="IMY126" s="1740"/>
      <c r="IMZ126" s="1740"/>
      <c r="INA126" s="1740"/>
      <c r="INB126" s="1740"/>
      <c r="INC126" s="1740"/>
      <c r="IND126" s="1740"/>
      <c r="INE126" s="1740"/>
      <c r="INF126" s="1740"/>
      <c r="ING126" s="1740"/>
      <c r="INH126" s="1740"/>
      <c r="INI126" s="1740"/>
      <c r="INJ126" s="1740"/>
      <c r="INK126" s="1740"/>
      <c r="INL126" s="1740"/>
      <c r="INM126" s="1740"/>
      <c r="INN126" s="1740"/>
      <c r="INO126" s="1740"/>
      <c r="INP126" s="1740"/>
      <c r="INQ126" s="1740"/>
      <c r="INR126" s="1740"/>
      <c r="INS126" s="1740"/>
      <c r="INT126" s="1740"/>
      <c r="INU126" s="1740"/>
      <c r="INV126" s="1740"/>
      <c r="INW126" s="1740"/>
      <c r="INX126" s="1740"/>
      <c r="INY126" s="1740"/>
      <c r="INZ126" s="1740"/>
      <c r="IOA126" s="1740"/>
      <c r="IOB126" s="1740"/>
      <c r="IOC126" s="1740"/>
      <c r="IOD126" s="1740"/>
      <c r="IOE126" s="1740"/>
      <c r="IOF126" s="1740"/>
      <c r="IOG126" s="1740"/>
      <c r="IOH126" s="1740"/>
      <c r="IOI126" s="1740"/>
      <c r="IOJ126" s="1740"/>
      <c r="IOK126" s="1740"/>
      <c r="IOL126" s="1740"/>
      <c r="IOM126" s="1740"/>
      <c r="ION126" s="1740"/>
      <c r="IOO126" s="1740"/>
      <c r="IOP126" s="1740"/>
      <c r="IOQ126" s="1740"/>
      <c r="IOR126" s="1740"/>
      <c r="IOS126" s="1740"/>
      <c r="IOT126" s="1740"/>
      <c r="IOU126" s="1740"/>
      <c r="IOV126" s="1740"/>
      <c r="IOW126" s="1740"/>
      <c r="IOX126" s="1740"/>
      <c r="IOY126" s="1740"/>
      <c r="IOZ126" s="1740"/>
      <c r="IPA126" s="1740"/>
      <c r="IPB126" s="1740"/>
      <c r="IPC126" s="1740"/>
      <c r="IPD126" s="1740"/>
      <c r="IPE126" s="1740"/>
      <c r="IPF126" s="1740"/>
      <c r="IPG126" s="1740"/>
      <c r="IPH126" s="1740"/>
      <c r="IPI126" s="1740"/>
      <c r="IPJ126" s="1740"/>
      <c r="IPK126" s="1740"/>
      <c r="IPL126" s="1740"/>
      <c r="IPM126" s="1740"/>
      <c r="IPN126" s="1740"/>
      <c r="IPO126" s="1740"/>
      <c r="IPP126" s="1740"/>
      <c r="IPQ126" s="1740"/>
      <c r="IPR126" s="1740"/>
      <c r="IPS126" s="1740"/>
      <c r="IPT126" s="1740"/>
      <c r="IPU126" s="1740"/>
      <c r="IPV126" s="1740"/>
      <c r="IPW126" s="1740"/>
      <c r="IPX126" s="1740"/>
      <c r="IPY126" s="1740"/>
      <c r="IPZ126" s="1740"/>
      <c r="IQA126" s="1740"/>
      <c r="IQB126" s="1740"/>
      <c r="IQC126" s="1740"/>
      <c r="IQD126" s="1740"/>
      <c r="IQE126" s="1740"/>
      <c r="IQF126" s="1740"/>
      <c r="IQG126" s="1740"/>
      <c r="IQH126" s="1740"/>
      <c r="IQI126" s="1740"/>
      <c r="IQJ126" s="1740"/>
      <c r="IQK126" s="1740"/>
      <c r="IQL126" s="1740"/>
      <c r="IQM126" s="1740"/>
      <c r="IQN126" s="1740"/>
      <c r="IQO126" s="1740"/>
      <c r="IQP126" s="1740"/>
      <c r="IQQ126" s="1740"/>
      <c r="IQR126" s="1740"/>
      <c r="IQS126" s="1740"/>
      <c r="IQT126" s="1740"/>
      <c r="IQU126" s="1740"/>
      <c r="IQV126" s="1740"/>
      <c r="IQW126" s="1740"/>
      <c r="IQX126" s="1740"/>
      <c r="IQY126" s="1740"/>
      <c r="IQZ126" s="1740"/>
      <c r="IRA126" s="1740"/>
      <c r="IRB126" s="1740"/>
      <c r="IRC126" s="1740"/>
      <c r="IRD126" s="1740"/>
      <c r="IRE126" s="1740"/>
      <c r="IRF126" s="1740"/>
      <c r="IRG126" s="1740"/>
      <c r="IRH126" s="1740"/>
      <c r="IRI126" s="1740"/>
      <c r="IRJ126" s="1740"/>
      <c r="IRK126" s="1740"/>
      <c r="IRL126" s="1740"/>
      <c r="IRM126" s="1740"/>
      <c r="IRN126" s="1740"/>
      <c r="IRO126" s="1740"/>
      <c r="IRP126" s="1740"/>
      <c r="IRQ126" s="1740"/>
      <c r="IRR126" s="1740"/>
      <c r="IRS126" s="1740"/>
      <c r="IRT126" s="1740"/>
      <c r="IRU126" s="1740"/>
      <c r="IRV126" s="1740"/>
      <c r="IRW126" s="1740"/>
      <c r="IRX126" s="1740"/>
      <c r="IRY126" s="1740"/>
      <c r="IRZ126" s="1740"/>
      <c r="ISA126" s="1740"/>
      <c r="ISB126" s="1740"/>
      <c r="ISC126" s="1740"/>
      <c r="ISD126" s="1740"/>
      <c r="ISE126" s="1740"/>
      <c r="ISF126" s="1740"/>
      <c r="ISG126" s="1740"/>
      <c r="ISH126" s="1740"/>
      <c r="ISI126" s="1740"/>
      <c r="ISJ126" s="1740"/>
      <c r="ISK126" s="1740"/>
      <c r="ISL126" s="1740"/>
      <c r="ISM126" s="1740"/>
      <c r="ISN126" s="1740"/>
      <c r="ISO126" s="1740"/>
      <c r="ISP126" s="1740"/>
      <c r="ISQ126" s="1740"/>
      <c r="ISR126" s="1740"/>
      <c r="ISS126" s="1740"/>
      <c r="IST126" s="1740"/>
      <c r="ISU126" s="1740"/>
      <c r="ISV126" s="1740"/>
      <c r="ISW126" s="1740"/>
      <c r="ISX126" s="1740"/>
      <c r="ISY126" s="1740"/>
      <c r="ISZ126" s="1740"/>
      <c r="ITA126" s="1740"/>
      <c r="ITB126" s="1740"/>
      <c r="ITC126" s="1740"/>
      <c r="ITD126" s="1740"/>
      <c r="ITE126" s="1740"/>
      <c r="ITF126" s="1740"/>
      <c r="ITG126" s="1740"/>
      <c r="ITH126" s="1740"/>
      <c r="ITI126" s="1740"/>
      <c r="ITJ126" s="1740"/>
      <c r="ITK126" s="1740"/>
      <c r="ITL126" s="1740"/>
      <c r="ITM126" s="1740"/>
      <c r="ITN126" s="1740"/>
      <c r="ITO126" s="1740"/>
      <c r="ITP126" s="1740"/>
      <c r="ITQ126" s="1740"/>
      <c r="ITR126" s="1740"/>
      <c r="ITS126" s="1740"/>
      <c r="ITT126" s="1740"/>
      <c r="ITU126" s="1740"/>
      <c r="ITV126" s="1740"/>
      <c r="ITW126" s="1740"/>
      <c r="ITX126" s="1740"/>
      <c r="ITY126" s="1740"/>
      <c r="ITZ126" s="1740"/>
      <c r="IUA126" s="1740"/>
      <c r="IUB126" s="1740"/>
      <c r="IUC126" s="1740"/>
      <c r="IUD126" s="1740"/>
      <c r="IUE126" s="1740"/>
      <c r="IUF126" s="1740"/>
      <c r="IUG126" s="1740"/>
      <c r="IUH126" s="1740"/>
      <c r="IUI126" s="1740"/>
      <c r="IUJ126" s="1740"/>
      <c r="IUK126" s="1740"/>
      <c r="IUL126" s="1740"/>
      <c r="IUM126" s="1740"/>
      <c r="IUN126" s="1740"/>
      <c r="IUO126" s="1740"/>
      <c r="IUP126" s="1740"/>
      <c r="IUQ126" s="1740"/>
      <c r="IUR126" s="1740"/>
      <c r="IUS126" s="1740"/>
      <c r="IUT126" s="1740"/>
      <c r="IUU126" s="1740"/>
      <c r="IUV126" s="1740"/>
      <c r="IUW126" s="1740"/>
      <c r="IUX126" s="1740"/>
      <c r="IUY126" s="1740"/>
      <c r="IUZ126" s="1740"/>
      <c r="IVA126" s="1740"/>
      <c r="IVB126" s="1740"/>
      <c r="IVC126" s="1740"/>
      <c r="IVD126" s="1740"/>
      <c r="IVE126" s="1740"/>
      <c r="IVF126" s="1740"/>
      <c r="IVG126" s="1740"/>
      <c r="IVH126" s="1740"/>
      <c r="IVI126" s="1740"/>
      <c r="IVJ126" s="1740"/>
      <c r="IVK126" s="1740"/>
      <c r="IVL126" s="1740"/>
      <c r="IVM126" s="1740"/>
      <c r="IVN126" s="1740"/>
      <c r="IVO126" s="1740"/>
      <c r="IVP126" s="1740"/>
      <c r="IVQ126" s="1740"/>
      <c r="IVR126" s="1740"/>
      <c r="IVS126" s="1740"/>
      <c r="IVT126" s="1740"/>
      <c r="IVU126" s="1740"/>
      <c r="IVV126" s="1740"/>
      <c r="IVW126" s="1740"/>
      <c r="IVX126" s="1740"/>
      <c r="IVY126" s="1740"/>
      <c r="IVZ126" s="1740"/>
      <c r="IWA126" s="1740"/>
      <c r="IWB126" s="1740"/>
      <c r="IWC126" s="1740"/>
      <c r="IWD126" s="1740"/>
      <c r="IWE126" s="1740"/>
      <c r="IWF126" s="1740"/>
      <c r="IWG126" s="1740"/>
      <c r="IWH126" s="1740"/>
      <c r="IWI126" s="1740"/>
      <c r="IWJ126" s="1740"/>
      <c r="IWK126" s="1740"/>
      <c r="IWL126" s="1740"/>
      <c r="IWM126" s="1740"/>
      <c r="IWN126" s="1740"/>
      <c r="IWO126" s="1740"/>
      <c r="IWP126" s="1740"/>
      <c r="IWQ126" s="1740"/>
      <c r="IWR126" s="1740"/>
      <c r="IWS126" s="1740"/>
      <c r="IWT126" s="1740"/>
      <c r="IWU126" s="1740"/>
      <c r="IWV126" s="1740"/>
      <c r="IWW126" s="1740"/>
      <c r="IWX126" s="1740"/>
      <c r="IWY126" s="1740"/>
      <c r="IWZ126" s="1740"/>
      <c r="IXA126" s="1740"/>
      <c r="IXB126" s="1740"/>
      <c r="IXC126" s="1740"/>
      <c r="IXD126" s="1740"/>
      <c r="IXE126" s="1740"/>
      <c r="IXF126" s="1740"/>
      <c r="IXG126" s="1740"/>
      <c r="IXH126" s="1740"/>
      <c r="IXI126" s="1740"/>
      <c r="IXJ126" s="1740"/>
      <c r="IXK126" s="1740"/>
      <c r="IXL126" s="1740"/>
      <c r="IXM126" s="1740"/>
      <c r="IXN126" s="1740"/>
      <c r="IXO126" s="1740"/>
      <c r="IXP126" s="1740"/>
      <c r="IXQ126" s="1740"/>
      <c r="IXR126" s="1740"/>
      <c r="IXS126" s="1740"/>
      <c r="IXT126" s="1740"/>
      <c r="IXU126" s="1740"/>
      <c r="IXV126" s="1740"/>
      <c r="IXW126" s="1740"/>
      <c r="IXX126" s="1740"/>
      <c r="IXY126" s="1740"/>
      <c r="IXZ126" s="1740"/>
      <c r="IYA126" s="1740"/>
      <c r="IYB126" s="1740"/>
      <c r="IYC126" s="1740"/>
      <c r="IYD126" s="1740"/>
      <c r="IYE126" s="1740"/>
      <c r="IYF126" s="1740"/>
      <c r="IYG126" s="1740"/>
      <c r="IYH126" s="1740"/>
      <c r="IYI126" s="1740"/>
      <c r="IYJ126" s="1740"/>
      <c r="IYK126" s="1740"/>
      <c r="IYL126" s="1740"/>
      <c r="IYM126" s="1740"/>
      <c r="IYN126" s="1740"/>
      <c r="IYO126" s="1740"/>
      <c r="IYP126" s="1740"/>
      <c r="IYQ126" s="1740"/>
      <c r="IYR126" s="1740"/>
      <c r="IYS126" s="1740"/>
      <c r="IYT126" s="1740"/>
      <c r="IYU126" s="1740"/>
      <c r="IYV126" s="1740"/>
      <c r="IYW126" s="1740"/>
      <c r="IYX126" s="1740"/>
      <c r="IYY126" s="1740"/>
      <c r="IYZ126" s="1740"/>
      <c r="IZA126" s="1740"/>
      <c r="IZB126" s="1740"/>
      <c r="IZC126" s="1740"/>
      <c r="IZD126" s="1740"/>
      <c r="IZE126" s="1740"/>
      <c r="IZF126" s="1740"/>
      <c r="IZG126" s="1740"/>
      <c r="IZH126" s="1740"/>
      <c r="IZI126" s="1740"/>
      <c r="IZJ126" s="1740"/>
      <c r="IZK126" s="1740"/>
      <c r="IZL126" s="1740"/>
      <c r="IZM126" s="1740"/>
      <c r="IZN126" s="1740"/>
      <c r="IZO126" s="1740"/>
      <c r="IZP126" s="1740"/>
      <c r="IZQ126" s="1740"/>
      <c r="IZR126" s="1740"/>
      <c r="IZS126" s="1740"/>
      <c r="IZT126" s="1740"/>
      <c r="IZU126" s="1740"/>
      <c r="IZV126" s="1740"/>
      <c r="IZW126" s="1740"/>
      <c r="IZX126" s="1740"/>
      <c r="IZY126" s="1740"/>
      <c r="IZZ126" s="1740"/>
      <c r="JAA126" s="1740"/>
      <c r="JAB126" s="1740"/>
      <c r="JAC126" s="1740"/>
      <c r="JAD126" s="1740"/>
      <c r="JAE126" s="1740"/>
      <c r="JAF126" s="1740"/>
      <c r="JAG126" s="1740"/>
      <c r="JAH126" s="1740"/>
      <c r="JAI126" s="1740"/>
      <c r="JAJ126" s="1740"/>
      <c r="JAK126" s="1740"/>
      <c r="JAL126" s="1740"/>
      <c r="JAM126" s="1740"/>
      <c r="JAN126" s="1740"/>
      <c r="JAO126" s="1740"/>
      <c r="JAP126" s="1740"/>
      <c r="JAQ126" s="1740"/>
      <c r="JAR126" s="1740"/>
      <c r="JAS126" s="1740"/>
      <c r="JAT126" s="1740"/>
      <c r="JAU126" s="1740"/>
      <c r="JAV126" s="1740"/>
      <c r="JAW126" s="1740"/>
      <c r="JAX126" s="1740"/>
      <c r="JAY126" s="1740"/>
      <c r="JAZ126" s="1740"/>
      <c r="JBA126" s="1740"/>
      <c r="JBB126" s="1740"/>
      <c r="JBC126" s="1740"/>
      <c r="JBD126" s="1740"/>
      <c r="JBE126" s="1740"/>
      <c r="JBF126" s="1740"/>
      <c r="JBG126" s="1740"/>
      <c r="JBH126" s="1740"/>
      <c r="JBI126" s="1740"/>
      <c r="JBJ126" s="1740"/>
      <c r="JBK126" s="1740"/>
      <c r="JBL126" s="1740"/>
      <c r="JBM126" s="1740"/>
      <c r="JBN126" s="1740"/>
      <c r="JBO126" s="1740"/>
      <c r="JBP126" s="1740"/>
      <c r="JBQ126" s="1740"/>
      <c r="JBR126" s="1740"/>
      <c r="JBS126" s="1740"/>
      <c r="JBT126" s="1740"/>
      <c r="JBU126" s="1740"/>
      <c r="JBV126" s="1740"/>
      <c r="JBW126" s="1740"/>
      <c r="JBX126" s="1740"/>
      <c r="JBY126" s="1740"/>
      <c r="JBZ126" s="1740"/>
      <c r="JCA126" s="1740"/>
      <c r="JCB126" s="1740"/>
      <c r="JCC126" s="1740"/>
      <c r="JCD126" s="1740"/>
      <c r="JCE126" s="1740"/>
      <c r="JCF126" s="1740"/>
      <c r="JCG126" s="1740"/>
      <c r="JCH126" s="1740"/>
      <c r="JCI126" s="1740"/>
      <c r="JCJ126" s="1740"/>
      <c r="JCK126" s="1740"/>
      <c r="JCL126" s="1740"/>
      <c r="JCM126" s="1740"/>
      <c r="JCN126" s="1740"/>
      <c r="JCO126" s="1740"/>
      <c r="JCP126" s="1740"/>
      <c r="JCQ126" s="1740"/>
      <c r="JCR126" s="1740"/>
      <c r="JCS126" s="1740"/>
      <c r="JCT126" s="1740"/>
      <c r="JCU126" s="1740"/>
      <c r="JCV126" s="1740"/>
      <c r="JCW126" s="1740"/>
      <c r="JCX126" s="1740"/>
      <c r="JCY126" s="1740"/>
      <c r="JCZ126" s="1740"/>
      <c r="JDA126" s="1740"/>
      <c r="JDB126" s="1740"/>
      <c r="JDC126" s="1740"/>
      <c r="JDD126" s="1740"/>
      <c r="JDE126" s="1740"/>
      <c r="JDF126" s="1740"/>
      <c r="JDG126" s="1740"/>
      <c r="JDH126" s="1740"/>
      <c r="JDI126" s="1740"/>
      <c r="JDJ126" s="1740"/>
      <c r="JDK126" s="1740"/>
      <c r="JDL126" s="1740"/>
      <c r="JDM126" s="1740"/>
      <c r="JDN126" s="1740"/>
      <c r="JDO126" s="1740"/>
      <c r="JDP126" s="1740"/>
      <c r="JDQ126" s="1740"/>
      <c r="JDR126" s="1740"/>
      <c r="JDS126" s="1740"/>
      <c r="JDT126" s="1740"/>
      <c r="JDU126" s="1740"/>
      <c r="JDV126" s="1740"/>
      <c r="JDW126" s="1740"/>
      <c r="JDX126" s="1740"/>
      <c r="JDY126" s="1740"/>
      <c r="JDZ126" s="1740"/>
      <c r="JEA126" s="1740"/>
      <c r="JEB126" s="1740"/>
      <c r="JEC126" s="1740"/>
      <c r="JED126" s="1740"/>
      <c r="JEE126" s="1740"/>
      <c r="JEF126" s="1740"/>
      <c r="JEG126" s="1740"/>
      <c r="JEH126" s="1740"/>
      <c r="JEI126" s="1740"/>
      <c r="JEJ126" s="1740"/>
      <c r="JEK126" s="1740"/>
      <c r="JEL126" s="1740"/>
      <c r="JEM126" s="1740"/>
      <c r="JEN126" s="1740"/>
      <c r="JEO126" s="1740"/>
      <c r="JEP126" s="1740"/>
      <c r="JEQ126" s="1740"/>
      <c r="JER126" s="1740"/>
      <c r="JES126" s="1740"/>
      <c r="JET126" s="1740"/>
      <c r="JEU126" s="1740"/>
      <c r="JEV126" s="1740"/>
      <c r="JEW126" s="1740"/>
      <c r="JEX126" s="1740"/>
      <c r="JEY126" s="1740"/>
      <c r="JEZ126" s="1740"/>
      <c r="JFA126" s="1740"/>
      <c r="JFB126" s="1740"/>
      <c r="JFC126" s="1740"/>
      <c r="JFD126" s="1740"/>
      <c r="JFE126" s="1740"/>
      <c r="JFF126" s="1740"/>
      <c r="JFG126" s="1740"/>
      <c r="JFH126" s="1740"/>
      <c r="JFI126" s="1740"/>
      <c r="JFJ126" s="1740"/>
      <c r="JFK126" s="1740"/>
      <c r="JFL126" s="1740"/>
      <c r="JFM126" s="1740"/>
      <c r="JFN126" s="1740"/>
      <c r="JFO126" s="1740"/>
      <c r="JFP126" s="1740"/>
      <c r="JFQ126" s="1740"/>
      <c r="JFR126" s="1740"/>
      <c r="JFS126" s="1740"/>
      <c r="JFT126" s="1740"/>
      <c r="JFU126" s="1740"/>
      <c r="JFV126" s="1740"/>
      <c r="JFW126" s="1740"/>
      <c r="JFX126" s="1740"/>
      <c r="JFY126" s="1740"/>
      <c r="JFZ126" s="1740"/>
      <c r="JGA126" s="1740"/>
      <c r="JGB126" s="1740"/>
      <c r="JGC126" s="1740"/>
      <c r="JGD126" s="1740"/>
      <c r="JGE126" s="1740"/>
      <c r="JGF126" s="1740"/>
      <c r="JGG126" s="1740"/>
      <c r="JGH126" s="1740"/>
      <c r="JGI126" s="1740"/>
      <c r="JGJ126" s="1740"/>
      <c r="JGK126" s="1740"/>
      <c r="JGL126" s="1740"/>
      <c r="JGM126" s="1740"/>
      <c r="JGN126" s="1740"/>
      <c r="JGO126" s="1740"/>
      <c r="JGP126" s="1740"/>
      <c r="JGQ126" s="1740"/>
      <c r="JGR126" s="1740"/>
      <c r="JGS126" s="1740"/>
      <c r="JGT126" s="1740"/>
      <c r="JGU126" s="1740"/>
      <c r="JGV126" s="1740"/>
      <c r="JGW126" s="1740"/>
      <c r="JGX126" s="1740"/>
      <c r="JGY126" s="1740"/>
      <c r="JGZ126" s="1740"/>
      <c r="JHA126" s="1740"/>
      <c r="JHB126" s="1740"/>
      <c r="JHC126" s="1740"/>
      <c r="JHD126" s="1740"/>
      <c r="JHE126" s="1740"/>
      <c r="JHF126" s="1740"/>
      <c r="JHG126" s="1740"/>
      <c r="JHH126" s="1740"/>
      <c r="JHI126" s="1740"/>
      <c r="JHJ126" s="1740"/>
      <c r="JHK126" s="1740"/>
      <c r="JHL126" s="1740"/>
      <c r="JHM126" s="1740"/>
      <c r="JHN126" s="1740"/>
      <c r="JHO126" s="1740"/>
      <c r="JHP126" s="1740"/>
      <c r="JHQ126" s="1740"/>
      <c r="JHR126" s="1740"/>
      <c r="JHS126" s="1740"/>
      <c r="JHT126" s="1740"/>
      <c r="JHU126" s="1740"/>
      <c r="JHV126" s="1740"/>
      <c r="JHW126" s="1740"/>
      <c r="JHX126" s="1740"/>
      <c r="JHY126" s="1740"/>
      <c r="JHZ126" s="1740"/>
      <c r="JIA126" s="1740"/>
      <c r="JIB126" s="1740"/>
      <c r="JIC126" s="1740"/>
      <c r="JID126" s="1740"/>
      <c r="JIE126" s="1740"/>
      <c r="JIF126" s="1740"/>
      <c r="JIG126" s="1740"/>
      <c r="JIH126" s="1740"/>
      <c r="JII126" s="1740"/>
      <c r="JIJ126" s="1740"/>
      <c r="JIK126" s="1740"/>
      <c r="JIL126" s="1740"/>
      <c r="JIM126" s="1740"/>
      <c r="JIN126" s="1740"/>
      <c r="JIO126" s="1740"/>
      <c r="JIP126" s="1740"/>
      <c r="JIQ126" s="1740"/>
      <c r="JIR126" s="1740"/>
      <c r="JIS126" s="1740"/>
      <c r="JIT126" s="1740"/>
      <c r="JIU126" s="1740"/>
      <c r="JIV126" s="1740"/>
      <c r="JIW126" s="1740"/>
      <c r="JIX126" s="1740"/>
      <c r="JIY126" s="1740"/>
      <c r="JIZ126" s="1740"/>
      <c r="JJA126" s="1740"/>
      <c r="JJB126" s="1740"/>
      <c r="JJC126" s="1740"/>
      <c r="JJD126" s="1740"/>
      <c r="JJE126" s="1740"/>
      <c r="JJF126" s="1740"/>
      <c r="JJG126" s="1740"/>
      <c r="JJH126" s="1740"/>
      <c r="JJI126" s="1740"/>
      <c r="JJJ126" s="1740"/>
      <c r="JJK126" s="1740"/>
      <c r="JJL126" s="1740"/>
      <c r="JJM126" s="1740"/>
      <c r="JJN126" s="1740"/>
      <c r="JJO126" s="1740"/>
      <c r="JJP126" s="1740"/>
      <c r="JJQ126" s="1740"/>
      <c r="JJR126" s="1740"/>
      <c r="JJS126" s="1740"/>
      <c r="JJT126" s="1740"/>
      <c r="JJU126" s="1740"/>
      <c r="JJV126" s="1740"/>
      <c r="JJW126" s="1740"/>
      <c r="JJX126" s="1740"/>
      <c r="JJY126" s="1740"/>
      <c r="JJZ126" s="1740"/>
      <c r="JKA126" s="1740"/>
      <c r="JKB126" s="1740"/>
      <c r="JKC126" s="1740"/>
      <c r="JKD126" s="1740"/>
      <c r="JKE126" s="1740"/>
      <c r="JKF126" s="1740"/>
      <c r="JKG126" s="1740"/>
      <c r="JKH126" s="1740"/>
      <c r="JKI126" s="1740"/>
      <c r="JKJ126" s="1740"/>
      <c r="JKK126" s="1740"/>
      <c r="JKL126" s="1740"/>
      <c r="JKM126" s="1740"/>
      <c r="JKN126" s="1740"/>
      <c r="JKO126" s="1740"/>
      <c r="JKP126" s="1740"/>
      <c r="JKQ126" s="1740"/>
      <c r="JKR126" s="1740"/>
      <c r="JKS126" s="1740"/>
      <c r="JKT126" s="1740"/>
      <c r="JKU126" s="1740"/>
      <c r="JKV126" s="1740"/>
      <c r="JKW126" s="1740"/>
      <c r="JKX126" s="1740"/>
      <c r="JKY126" s="1740"/>
      <c r="JKZ126" s="1740"/>
      <c r="JLA126" s="1740"/>
      <c r="JLB126" s="1740"/>
      <c r="JLC126" s="1740"/>
      <c r="JLD126" s="1740"/>
      <c r="JLE126" s="1740"/>
      <c r="JLF126" s="1740"/>
      <c r="JLG126" s="1740"/>
      <c r="JLH126" s="1740"/>
      <c r="JLI126" s="1740"/>
      <c r="JLJ126" s="1740"/>
      <c r="JLK126" s="1740"/>
      <c r="JLL126" s="1740"/>
      <c r="JLM126" s="1740"/>
      <c r="JLN126" s="1740"/>
      <c r="JLO126" s="1740"/>
      <c r="JLP126" s="1740"/>
      <c r="JLQ126" s="1740"/>
      <c r="JLR126" s="1740"/>
      <c r="JLS126" s="1740"/>
      <c r="JLT126" s="1740"/>
      <c r="JLU126" s="1740"/>
      <c r="JLV126" s="1740"/>
      <c r="JLW126" s="1740"/>
      <c r="JLX126" s="1740"/>
      <c r="JLY126" s="1740"/>
      <c r="JLZ126" s="1740"/>
      <c r="JMA126" s="1740"/>
      <c r="JMB126" s="1740"/>
      <c r="JMC126" s="1740"/>
      <c r="JMD126" s="1740"/>
      <c r="JME126" s="1740"/>
      <c r="JMF126" s="1740"/>
      <c r="JMG126" s="1740"/>
      <c r="JMH126" s="1740"/>
      <c r="JMI126" s="1740"/>
      <c r="JMJ126" s="1740"/>
      <c r="JMK126" s="1740"/>
      <c r="JML126" s="1740"/>
      <c r="JMM126" s="1740"/>
      <c r="JMN126" s="1740"/>
      <c r="JMO126" s="1740"/>
      <c r="JMP126" s="1740"/>
      <c r="JMQ126" s="1740"/>
      <c r="JMR126" s="1740"/>
      <c r="JMS126" s="1740"/>
      <c r="JMT126" s="1740"/>
      <c r="JMU126" s="1740"/>
      <c r="JMV126" s="1740"/>
      <c r="JMW126" s="1740"/>
      <c r="JMX126" s="1740"/>
      <c r="JMY126" s="1740"/>
      <c r="JMZ126" s="1740"/>
      <c r="JNA126" s="1740"/>
      <c r="JNB126" s="1740"/>
      <c r="JNC126" s="1740"/>
      <c r="JND126" s="1740"/>
      <c r="JNE126" s="1740"/>
      <c r="JNF126" s="1740"/>
      <c r="JNG126" s="1740"/>
      <c r="JNH126" s="1740"/>
      <c r="JNI126" s="1740"/>
      <c r="JNJ126" s="1740"/>
      <c r="JNK126" s="1740"/>
      <c r="JNL126" s="1740"/>
      <c r="JNM126" s="1740"/>
      <c r="JNN126" s="1740"/>
      <c r="JNO126" s="1740"/>
      <c r="JNP126" s="1740"/>
      <c r="JNQ126" s="1740"/>
      <c r="JNR126" s="1740"/>
      <c r="JNS126" s="1740"/>
      <c r="JNT126" s="1740"/>
      <c r="JNU126" s="1740"/>
      <c r="JNV126" s="1740"/>
      <c r="JNW126" s="1740"/>
      <c r="JNX126" s="1740"/>
      <c r="JNY126" s="1740"/>
      <c r="JNZ126" s="1740"/>
      <c r="JOA126" s="1740"/>
      <c r="JOB126" s="1740"/>
      <c r="JOC126" s="1740"/>
      <c r="JOD126" s="1740"/>
      <c r="JOE126" s="1740"/>
      <c r="JOF126" s="1740"/>
      <c r="JOG126" s="1740"/>
      <c r="JOH126" s="1740"/>
      <c r="JOI126" s="1740"/>
      <c r="JOJ126" s="1740"/>
      <c r="JOK126" s="1740"/>
      <c r="JOL126" s="1740"/>
      <c r="JOM126" s="1740"/>
      <c r="JON126" s="1740"/>
      <c r="JOO126" s="1740"/>
      <c r="JOP126" s="1740"/>
      <c r="JOQ126" s="1740"/>
      <c r="JOR126" s="1740"/>
      <c r="JOS126" s="1740"/>
      <c r="JOT126" s="1740"/>
      <c r="JOU126" s="1740"/>
      <c r="JOV126" s="1740"/>
      <c r="JOW126" s="1740"/>
      <c r="JOX126" s="1740"/>
      <c r="JOY126" s="1740"/>
      <c r="JOZ126" s="1740"/>
      <c r="JPA126" s="1740"/>
      <c r="JPB126" s="1740"/>
      <c r="JPC126" s="1740"/>
      <c r="JPD126" s="1740"/>
      <c r="JPE126" s="1740"/>
      <c r="JPF126" s="1740"/>
      <c r="JPG126" s="1740"/>
      <c r="JPH126" s="1740"/>
      <c r="JPI126" s="1740"/>
      <c r="JPJ126" s="1740"/>
      <c r="JPK126" s="1740"/>
      <c r="JPL126" s="1740"/>
      <c r="JPM126" s="1740"/>
      <c r="JPN126" s="1740"/>
      <c r="JPO126" s="1740"/>
      <c r="JPP126" s="1740"/>
      <c r="JPQ126" s="1740"/>
      <c r="JPR126" s="1740"/>
      <c r="JPS126" s="1740"/>
      <c r="JPT126" s="1740"/>
      <c r="JPU126" s="1740"/>
      <c r="JPV126" s="1740"/>
      <c r="JPW126" s="1740"/>
      <c r="JPX126" s="1740"/>
      <c r="JPY126" s="1740"/>
      <c r="JPZ126" s="1740"/>
      <c r="JQA126" s="1740"/>
      <c r="JQB126" s="1740"/>
      <c r="JQC126" s="1740"/>
      <c r="JQD126" s="1740"/>
      <c r="JQE126" s="1740"/>
      <c r="JQF126" s="1740"/>
      <c r="JQG126" s="1740"/>
      <c r="JQH126" s="1740"/>
      <c r="JQI126" s="1740"/>
      <c r="JQJ126" s="1740"/>
      <c r="JQK126" s="1740"/>
      <c r="JQL126" s="1740"/>
      <c r="JQM126" s="1740"/>
      <c r="JQN126" s="1740"/>
      <c r="JQO126" s="1740"/>
      <c r="JQP126" s="1740"/>
      <c r="JQQ126" s="1740"/>
      <c r="JQR126" s="1740"/>
      <c r="JQS126" s="1740"/>
      <c r="JQT126" s="1740"/>
      <c r="JQU126" s="1740"/>
      <c r="JQV126" s="1740"/>
      <c r="JQW126" s="1740"/>
      <c r="JQX126" s="1740"/>
      <c r="JQY126" s="1740"/>
      <c r="JQZ126" s="1740"/>
      <c r="JRA126" s="1740"/>
      <c r="JRB126" s="1740"/>
      <c r="JRC126" s="1740"/>
      <c r="JRD126" s="1740"/>
      <c r="JRE126" s="1740"/>
      <c r="JRF126" s="1740"/>
      <c r="JRG126" s="1740"/>
      <c r="JRH126" s="1740"/>
      <c r="JRI126" s="1740"/>
      <c r="JRJ126" s="1740"/>
      <c r="JRK126" s="1740"/>
      <c r="JRL126" s="1740"/>
      <c r="JRM126" s="1740"/>
      <c r="JRN126" s="1740"/>
      <c r="JRO126" s="1740"/>
      <c r="JRP126" s="1740"/>
      <c r="JRQ126" s="1740"/>
      <c r="JRR126" s="1740"/>
      <c r="JRS126" s="1740"/>
      <c r="JRT126" s="1740"/>
      <c r="JRU126" s="1740"/>
      <c r="JRV126" s="1740"/>
      <c r="JRW126" s="1740"/>
      <c r="JRX126" s="1740"/>
      <c r="JRY126" s="1740"/>
      <c r="JRZ126" s="1740"/>
      <c r="JSA126" s="1740"/>
      <c r="JSB126" s="1740"/>
      <c r="JSC126" s="1740"/>
      <c r="JSD126" s="1740"/>
      <c r="JSE126" s="1740"/>
      <c r="JSF126" s="1740"/>
      <c r="JSG126" s="1740"/>
      <c r="JSH126" s="1740"/>
      <c r="JSI126" s="1740"/>
      <c r="JSJ126" s="1740"/>
      <c r="JSK126" s="1740"/>
      <c r="JSL126" s="1740"/>
      <c r="JSM126" s="1740"/>
      <c r="JSN126" s="1740"/>
      <c r="JSO126" s="1740"/>
      <c r="JSP126" s="1740"/>
      <c r="JSQ126" s="1740"/>
      <c r="JSR126" s="1740"/>
      <c r="JSS126" s="1740"/>
      <c r="JST126" s="1740"/>
      <c r="JSU126" s="1740"/>
      <c r="JSV126" s="1740"/>
      <c r="JSW126" s="1740"/>
      <c r="JSX126" s="1740"/>
      <c r="JSY126" s="1740"/>
      <c r="JSZ126" s="1740"/>
      <c r="JTA126" s="1740"/>
      <c r="JTB126" s="1740"/>
      <c r="JTC126" s="1740"/>
      <c r="JTD126" s="1740"/>
      <c r="JTE126" s="1740"/>
      <c r="JTF126" s="1740"/>
      <c r="JTG126" s="1740"/>
      <c r="JTH126" s="1740"/>
      <c r="JTI126" s="1740"/>
      <c r="JTJ126" s="1740"/>
      <c r="JTK126" s="1740"/>
      <c r="JTL126" s="1740"/>
      <c r="JTM126" s="1740"/>
      <c r="JTN126" s="1740"/>
      <c r="JTO126" s="1740"/>
      <c r="JTP126" s="1740"/>
      <c r="JTQ126" s="1740"/>
      <c r="JTR126" s="1740"/>
      <c r="JTS126" s="1740"/>
      <c r="JTT126" s="1740"/>
      <c r="JTU126" s="1740"/>
      <c r="JTV126" s="1740"/>
      <c r="JTW126" s="1740"/>
      <c r="JTX126" s="1740"/>
      <c r="JTY126" s="1740"/>
      <c r="JTZ126" s="1740"/>
      <c r="JUA126" s="1740"/>
      <c r="JUB126" s="1740"/>
      <c r="JUC126" s="1740"/>
      <c r="JUD126" s="1740"/>
      <c r="JUE126" s="1740"/>
      <c r="JUF126" s="1740"/>
      <c r="JUG126" s="1740"/>
      <c r="JUH126" s="1740"/>
      <c r="JUI126" s="1740"/>
      <c r="JUJ126" s="1740"/>
      <c r="JUK126" s="1740"/>
      <c r="JUL126" s="1740"/>
      <c r="JUM126" s="1740"/>
      <c r="JUN126" s="1740"/>
      <c r="JUO126" s="1740"/>
      <c r="JUP126" s="1740"/>
      <c r="JUQ126" s="1740"/>
      <c r="JUR126" s="1740"/>
      <c r="JUS126" s="1740"/>
      <c r="JUT126" s="1740"/>
      <c r="JUU126" s="1740"/>
      <c r="JUV126" s="1740"/>
      <c r="JUW126" s="1740"/>
      <c r="JUX126" s="1740"/>
      <c r="JUY126" s="1740"/>
      <c r="JUZ126" s="1740"/>
      <c r="JVA126" s="1740"/>
      <c r="JVB126" s="1740"/>
      <c r="JVC126" s="1740"/>
      <c r="JVD126" s="1740"/>
      <c r="JVE126" s="1740"/>
      <c r="JVF126" s="1740"/>
      <c r="JVG126" s="1740"/>
      <c r="JVH126" s="1740"/>
      <c r="JVI126" s="1740"/>
      <c r="JVJ126" s="1740"/>
      <c r="JVK126" s="1740"/>
      <c r="JVL126" s="1740"/>
      <c r="JVM126" s="1740"/>
      <c r="JVN126" s="1740"/>
      <c r="JVO126" s="1740"/>
      <c r="JVP126" s="1740"/>
      <c r="JVQ126" s="1740"/>
      <c r="JVR126" s="1740"/>
      <c r="JVS126" s="1740"/>
      <c r="JVT126" s="1740"/>
      <c r="JVU126" s="1740"/>
      <c r="JVV126" s="1740"/>
      <c r="JVW126" s="1740"/>
      <c r="JVX126" s="1740"/>
      <c r="JVY126" s="1740"/>
      <c r="JVZ126" s="1740"/>
      <c r="JWA126" s="1740"/>
      <c r="JWB126" s="1740"/>
      <c r="JWC126" s="1740"/>
      <c r="JWD126" s="1740"/>
      <c r="JWE126" s="1740"/>
      <c r="JWF126" s="1740"/>
      <c r="JWG126" s="1740"/>
      <c r="JWH126" s="1740"/>
      <c r="JWI126" s="1740"/>
      <c r="JWJ126" s="1740"/>
      <c r="JWK126" s="1740"/>
      <c r="JWL126" s="1740"/>
      <c r="JWM126" s="1740"/>
      <c r="JWN126" s="1740"/>
      <c r="JWO126" s="1740"/>
      <c r="JWP126" s="1740"/>
      <c r="JWQ126" s="1740"/>
      <c r="JWR126" s="1740"/>
      <c r="JWS126" s="1740"/>
      <c r="JWT126" s="1740"/>
      <c r="JWU126" s="1740"/>
      <c r="JWV126" s="1740"/>
      <c r="JWW126" s="1740"/>
      <c r="JWX126" s="1740"/>
      <c r="JWY126" s="1740"/>
      <c r="JWZ126" s="1740"/>
      <c r="JXA126" s="1740"/>
      <c r="JXB126" s="1740"/>
      <c r="JXC126" s="1740"/>
      <c r="JXD126" s="1740"/>
      <c r="JXE126" s="1740"/>
      <c r="JXF126" s="1740"/>
      <c r="JXG126" s="1740"/>
      <c r="JXH126" s="1740"/>
      <c r="JXI126" s="1740"/>
      <c r="JXJ126" s="1740"/>
      <c r="JXK126" s="1740"/>
      <c r="JXL126" s="1740"/>
      <c r="JXM126" s="1740"/>
      <c r="JXN126" s="1740"/>
      <c r="JXO126" s="1740"/>
      <c r="JXP126" s="1740"/>
      <c r="JXQ126" s="1740"/>
      <c r="JXR126" s="1740"/>
      <c r="JXS126" s="1740"/>
      <c r="JXT126" s="1740"/>
      <c r="JXU126" s="1740"/>
      <c r="JXV126" s="1740"/>
      <c r="JXW126" s="1740"/>
      <c r="JXX126" s="1740"/>
      <c r="JXY126" s="1740"/>
      <c r="JXZ126" s="1740"/>
      <c r="JYA126" s="1740"/>
      <c r="JYB126" s="1740"/>
      <c r="JYC126" s="1740"/>
      <c r="JYD126" s="1740"/>
      <c r="JYE126" s="1740"/>
      <c r="JYF126" s="1740"/>
      <c r="JYG126" s="1740"/>
      <c r="JYH126" s="1740"/>
      <c r="JYI126" s="1740"/>
      <c r="JYJ126" s="1740"/>
      <c r="JYK126" s="1740"/>
      <c r="JYL126" s="1740"/>
      <c r="JYM126" s="1740"/>
      <c r="JYN126" s="1740"/>
      <c r="JYO126" s="1740"/>
      <c r="JYP126" s="1740"/>
      <c r="JYQ126" s="1740"/>
      <c r="JYR126" s="1740"/>
      <c r="JYS126" s="1740"/>
      <c r="JYT126" s="1740"/>
      <c r="JYU126" s="1740"/>
      <c r="JYV126" s="1740"/>
      <c r="JYW126" s="1740"/>
      <c r="JYX126" s="1740"/>
      <c r="JYY126" s="1740"/>
      <c r="JYZ126" s="1740"/>
      <c r="JZA126" s="1740"/>
      <c r="JZB126" s="1740"/>
      <c r="JZC126" s="1740"/>
      <c r="JZD126" s="1740"/>
      <c r="JZE126" s="1740"/>
      <c r="JZF126" s="1740"/>
      <c r="JZG126" s="1740"/>
      <c r="JZH126" s="1740"/>
      <c r="JZI126" s="1740"/>
      <c r="JZJ126" s="1740"/>
      <c r="JZK126" s="1740"/>
      <c r="JZL126" s="1740"/>
      <c r="JZM126" s="1740"/>
      <c r="JZN126" s="1740"/>
      <c r="JZO126" s="1740"/>
      <c r="JZP126" s="1740"/>
      <c r="JZQ126" s="1740"/>
      <c r="JZR126" s="1740"/>
      <c r="JZS126" s="1740"/>
      <c r="JZT126" s="1740"/>
      <c r="JZU126" s="1740"/>
      <c r="JZV126" s="1740"/>
      <c r="JZW126" s="1740"/>
      <c r="JZX126" s="1740"/>
      <c r="JZY126" s="1740"/>
      <c r="JZZ126" s="1740"/>
      <c r="KAA126" s="1740"/>
      <c r="KAB126" s="1740"/>
      <c r="KAC126" s="1740"/>
      <c r="KAD126" s="1740"/>
      <c r="KAE126" s="1740"/>
      <c r="KAF126" s="1740"/>
      <c r="KAG126" s="1740"/>
      <c r="KAH126" s="1740"/>
      <c r="KAI126" s="1740"/>
      <c r="KAJ126" s="1740"/>
      <c r="KAK126" s="1740"/>
      <c r="KAL126" s="1740"/>
      <c r="KAM126" s="1740"/>
      <c r="KAN126" s="1740"/>
      <c r="KAO126" s="1740"/>
      <c r="KAP126" s="1740"/>
      <c r="KAQ126" s="1740"/>
      <c r="KAR126" s="1740"/>
      <c r="KAS126" s="1740"/>
      <c r="KAT126" s="1740"/>
      <c r="KAU126" s="1740"/>
      <c r="KAV126" s="1740"/>
      <c r="KAW126" s="1740"/>
      <c r="KAX126" s="1740"/>
      <c r="KAY126" s="1740"/>
      <c r="KAZ126" s="1740"/>
      <c r="KBA126" s="1740"/>
      <c r="KBB126" s="1740"/>
      <c r="KBC126" s="1740"/>
      <c r="KBD126" s="1740"/>
      <c r="KBE126" s="1740"/>
      <c r="KBF126" s="1740"/>
      <c r="KBG126" s="1740"/>
      <c r="KBH126" s="1740"/>
      <c r="KBI126" s="1740"/>
      <c r="KBJ126" s="1740"/>
      <c r="KBK126" s="1740"/>
      <c r="KBL126" s="1740"/>
      <c r="KBM126" s="1740"/>
      <c r="KBN126" s="1740"/>
      <c r="KBO126" s="1740"/>
      <c r="KBP126" s="1740"/>
      <c r="KBQ126" s="1740"/>
      <c r="KBR126" s="1740"/>
      <c r="KBS126" s="1740"/>
      <c r="KBT126" s="1740"/>
      <c r="KBU126" s="1740"/>
      <c r="KBV126" s="1740"/>
      <c r="KBW126" s="1740"/>
      <c r="KBX126" s="1740"/>
      <c r="KBY126" s="1740"/>
      <c r="KBZ126" s="1740"/>
      <c r="KCA126" s="1740"/>
      <c r="KCB126" s="1740"/>
      <c r="KCC126" s="1740"/>
      <c r="KCD126" s="1740"/>
      <c r="KCE126" s="1740"/>
      <c r="KCF126" s="1740"/>
      <c r="KCG126" s="1740"/>
      <c r="KCH126" s="1740"/>
      <c r="KCI126" s="1740"/>
      <c r="KCJ126" s="1740"/>
      <c r="KCK126" s="1740"/>
      <c r="KCL126" s="1740"/>
      <c r="KCM126" s="1740"/>
      <c r="KCN126" s="1740"/>
      <c r="KCO126" s="1740"/>
      <c r="KCP126" s="1740"/>
      <c r="KCQ126" s="1740"/>
      <c r="KCR126" s="1740"/>
      <c r="KCS126" s="1740"/>
      <c r="KCT126" s="1740"/>
      <c r="KCU126" s="1740"/>
      <c r="KCV126" s="1740"/>
      <c r="KCW126" s="1740"/>
      <c r="KCX126" s="1740"/>
      <c r="KCY126" s="1740"/>
      <c r="KCZ126" s="1740"/>
      <c r="KDA126" s="1740"/>
      <c r="KDB126" s="1740"/>
      <c r="KDC126" s="1740"/>
      <c r="KDD126" s="1740"/>
      <c r="KDE126" s="1740"/>
      <c r="KDF126" s="1740"/>
      <c r="KDG126" s="1740"/>
      <c r="KDH126" s="1740"/>
      <c r="KDI126" s="1740"/>
      <c r="KDJ126" s="1740"/>
      <c r="KDK126" s="1740"/>
      <c r="KDL126" s="1740"/>
      <c r="KDM126" s="1740"/>
      <c r="KDN126" s="1740"/>
      <c r="KDO126" s="1740"/>
      <c r="KDP126" s="1740"/>
      <c r="KDQ126" s="1740"/>
      <c r="KDR126" s="1740"/>
      <c r="KDS126" s="1740"/>
      <c r="KDT126" s="1740"/>
      <c r="KDU126" s="1740"/>
      <c r="KDV126" s="1740"/>
      <c r="KDW126" s="1740"/>
      <c r="KDX126" s="1740"/>
      <c r="KDY126" s="1740"/>
      <c r="KDZ126" s="1740"/>
      <c r="KEA126" s="1740"/>
      <c r="KEB126" s="1740"/>
      <c r="KEC126" s="1740"/>
      <c r="KED126" s="1740"/>
      <c r="KEE126" s="1740"/>
      <c r="KEF126" s="1740"/>
      <c r="KEG126" s="1740"/>
      <c r="KEH126" s="1740"/>
      <c r="KEI126" s="1740"/>
      <c r="KEJ126" s="1740"/>
      <c r="KEK126" s="1740"/>
      <c r="KEL126" s="1740"/>
      <c r="KEM126" s="1740"/>
      <c r="KEN126" s="1740"/>
      <c r="KEO126" s="1740"/>
      <c r="KEP126" s="1740"/>
      <c r="KEQ126" s="1740"/>
      <c r="KER126" s="1740"/>
      <c r="KES126" s="1740"/>
      <c r="KET126" s="1740"/>
      <c r="KEU126" s="1740"/>
      <c r="KEV126" s="1740"/>
      <c r="KEW126" s="1740"/>
      <c r="KEX126" s="1740"/>
      <c r="KEY126" s="1740"/>
      <c r="KEZ126" s="1740"/>
      <c r="KFA126" s="1740"/>
      <c r="KFB126" s="1740"/>
      <c r="KFC126" s="1740"/>
      <c r="KFD126" s="1740"/>
      <c r="KFE126" s="1740"/>
      <c r="KFF126" s="1740"/>
      <c r="KFG126" s="1740"/>
      <c r="KFH126" s="1740"/>
      <c r="KFI126" s="1740"/>
      <c r="KFJ126" s="1740"/>
      <c r="KFK126" s="1740"/>
      <c r="KFL126" s="1740"/>
      <c r="KFM126" s="1740"/>
      <c r="KFN126" s="1740"/>
      <c r="KFO126" s="1740"/>
      <c r="KFP126" s="1740"/>
      <c r="KFQ126" s="1740"/>
      <c r="KFR126" s="1740"/>
      <c r="KFS126" s="1740"/>
      <c r="KFT126" s="1740"/>
      <c r="KFU126" s="1740"/>
      <c r="KFV126" s="1740"/>
      <c r="KFW126" s="1740"/>
      <c r="KFX126" s="1740"/>
      <c r="KFY126" s="1740"/>
      <c r="KFZ126" s="1740"/>
      <c r="KGA126" s="1740"/>
      <c r="KGB126" s="1740"/>
      <c r="KGC126" s="1740"/>
      <c r="KGD126" s="1740"/>
      <c r="KGE126" s="1740"/>
      <c r="KGF126" s="1740"/>
      <c r="KGG126" s="1740"/>
      <c r="KGH126" s="1740"/>
      <c r="KGI126" s="1740"/>
      <c r="KGJ126" s="1740"/>
      <c r="KGK126" s="1740"/>
      <c r="KGL126" s="1740"/>
      <c r="KGM126" s="1740"/>
      <c r="KGN126" s="1740"/>
      <c r="KGO126" s="1740"/>
      <c r="KGP126" s="1740"/>
      <c r="KGQ126" s="1740"/>
      <c r="KGR126" s="1740"/>
      <c r="KGS126" s="1740"/>
      <c r="KGT126" s="1740"/>
      <c r="KGU126" s="1740"/>
      <c r="KGV126" s="1740"/>
      <c r="KGW126" s="1740"/>
      <c r="KGX126" s="1740"/>
      <c r="KGY126" s="1740"/>
      <c r="KGZ126" s="1740"/>
      <c r="KHA126" s="1740"/>
      <c r="KHB126" s="1740"/>
      <c r="KHC126" s="1740"/>
      <c r="KHD126" s="1740"/>
      <c r="KHE126" s="1740"/>
      <c r="KHF126" s="1740"/>
      <c r="KHG126" s="1740"/>
      <c r="KHH126" s="1740"/>
      <c r="KHI126" s="1740"/>
      <c r="KHJ126" s="1740"/>
      <c r="KHK126" s="1740"/>
      <c r="KHL126" s="1740"/>
      <c r="KHM126" s="1740"/>
      <c r="KHN126" s="1740"/>
      <c r="KHO126" s="1740"/>
      <c r="KHP126" s="1740"/>
      <c r="KHQ126" s="1740"/>
      <c r="KHR126" s="1740"/>
      <c r="KHS126" s="1740"/>
      <c r="KHT126" s="1740"/>
      <c r="KHU126" s="1740"/>
      <c r="KHV126" s="1740"/>
      <c r="KHW126" s="1740"/>
      <c r="KHX126" s="1740"/>
      <c r="KHY126" s="1740"/>
      <c r="KHZ126" s="1740"/>
      <c r="KIA126" s="1740"/>
      <c r="KIB126" s="1740"/>
      <c r="KIC126" s="1740"/>
      <c r="KID126" s="1740"/>
      <c r="KIE126" s="1740"/>
      <c r="KIF126" s="1740"/>
      <c r="KIG126" s="1740"/>
      <c r="KIH126" s="1740"/>
      <c r="KII126" s="1740"/>
      <c r="KIJ126" s="1740"/>
      <c r="KIK126" s="1740"/>
      <c r="KIL126" s="1740"/>
      <c r="KIM126" s="1740"/>
      <c r="KIN126" s="1740"/>
      <c r="KIO126" s="1740"/>
      <c r="KIP126" s="1740"/>
      <c r="KIQ126" s="1740"/>
      <c r="KIR126" s="1740"/>
      <c r="KIS126" s="1740"/>
      <c r="KIT126" s="1740"/>
      <c r="KIU126" s="1740"/>
      <c r="KIV126" s="1740"/>
      <c r="KIW126" s="1740"/>
      <c r="KIX126" s="1740"/>
      <c r="KIY126" s="1740"/>
      <c r="KIZ126" s="1740"/>
      <c r="KJA126" s="1740"/>
      <c r="KJB126" s="1740"/>
      <c r="KJC126" s="1740"/>
      <c r="KJD126" s="1740"/>
      <c r="KJE126" s="1740"/>
      <c r="KJF126" s="1740"/>
      <c r="KJG126" s="1740"/>
      <c r="KJH126" s="1740"/>
      <c r="KJI126" s="1740"/>
      <c r="KJJ126" s="1740"/>
      <c r="KJK126" s="1740"/>
      <c r="KJL126" s="1740"/>
      <c r="KJM126" s="1740"/>
      <c r="KJN126" s="1740"/>
      <c r="KJO126" s="1740"/>
      <c r="KJP126" s="1740"/>
      <c r="KJQ126" s="1740"/>
      <c r="KJR126" s="1740"/>
      <c r="KJS126" s="1740"/>
      <c r="KJT126" s="1740"/>
      <c r="KJU126" s="1740"/>
      <c r="KJV126" s="1740"/>
      <c r="KJW126" s="1740"/>
      <c r="KJX126" s="1740"/>
      <c r="KJY126" s="1740"/>
      <c r="KJZ126" s="1740"/>
      <c r="KKA126" s="1740"/>
      <c r="KKB126" s="1740"/>
      <c r="KKC126" s="1740"/>
      <c r="KKD126" s="1740"/>
      <c r="KKE126" s="1740"/>
      <c r="KKF126" s="1740"/>
      <c r="KKG126" s="1740"/>
      <c r="KKH126" s="1740"/>
      <c r="KKI126" s="1740"/>
      <c r="KKJ126" s="1740"/>
      <c r="KKK126" s="1740"/>
      <c r="KKL126" s="1740"/>
      <c r="KKM126" s="1740"/>
      <c r="KKN126" s="1740"/>
      <c r="KKO126" s="1740"/>
      <c r="KKP126" s="1740"/>
      <c r="KKQ126" s="1740"/>
      <c r="KKR126" s="1740"/>
      <c r="KKS126" s="1740"/>
      <c r="KKT126" s="1740"/>
      <c r="KKU126" s="1740"/>
      <c r="KKV126" s="1740"/>
      <c r="KKW126" s="1740"/>
      <c r="KKX126" s="1740"/>
      <c r="KKY126" s="1740"/>
      <c r="KKZ126" s="1740"/>
      <c r="KLA126" s="1740"/>
      <c r="KLB126" s="1740"/>
      <c r="KLC126" s="1740"/>
      <c r="KLD126" s="1740"/>
      <c r="KLE126" s="1740"/>
      <c r="KLF126" s="1740"/>
      <c r="KLG126" s="1740"/>
      <c r="KLH126" s="1740"/>
      <c r="KLI126" s="1740"/>
      <c r="KLJ126" s="1740"/>
      <c r="KLK126" s="1740"/>
      <c r="KLL126" s="1740"/>
      <c r="KLM126" s="1740"/>
      <c r="KLN126" s="1740"/>
      <c r="KLO126" s="1740"/>
      <c r="KLP126" s="1740"/>
      <c r="KLQ126" s="1740"/>
      <c r="KLR126" s="1740"/>
      <c r="KLS126" s="1740"/>
      <c r="KLT126" s="1740"/>
      <c r="KLU126" s="1740"/>
      <c r="KLV126" s="1740"/>
      <c r="KLW126" s="1740"/>
      <c r="KLX126" s="1740"/>
      <c r="KLY126" s="1740"/>
      <c r="KLZ126" s="1740"/>
      <c r="KMA126" s="1740"/>
      <c r="KMB126" s="1740"/>
      <c r="KMC126" s="1740"/>
      <c r="KMD126" s="1740"/>
      <c r="KME126" s="1740"/>
      <c r="KMF126" s="1740"/>
      <c r="KMG126" s="1740"/>
      <c r="KMH126" s="1740"/>
      <c r="KMI126" s="1740"/>
      <c r="KMJ126" s="1740"/>
      <c r="KMK126" s="1740"/>
      <c r="KML126" s="1740"/>
      <c r="KMM126" s="1740"/>
      <c r="KMN126" s="1740"/>
      <c r="KMO126" s="1740"/>
      <c r="KMP126" s="1740"/>
      <c r="KMQ126" s="1740"/>
      <c r="KMR126" s="1740"/>
      <c r="KMS126" s="1740"/>
      <c r="KMT126" s="1740"/>
      <c r="KMU126" s="1740"/>
      <c r="KMV126" s="1740"/>
      <c r="KMW126" s="1740"/>
      <c r="KMX126" s="1740"/>
      <c r="KMY126" s="1740"/>
      <c r="KMZ126" s="1740"/>
      <c r="KNA126" s="1740"/>
      <c r="KNB126" s="1740"/>
      <c r="KNC126" s="1740"/>
      <c r="KND126" s="1740"/>
      <c r="KNE126" s="1740"/>
      <c r="KNF126" s="1740"/>
      <c r="KNG126" s="1740"/>
      <c r="KNH126" s="1740"/>
      <c r="KNI126" s="1740"/>
      <c r="KNJ126" s="1740"/>
      <c r="KNK126" s="1740"/>
      <c r="KNL126" s="1740"/>
      <c r="KNM126" s="1740"/>
      <c r="KNN126" s="1740"/>
      <c r="KNO126" s="1740"/>
      <c r="KNP126" s="1740"/>
      <c r="KNQ126" s="1740"/>
      <c r="KNR126" s="1740"/>
      <c r="KNS126" s="1740"/>
      <c r="KNT126" s="1740"/>
      <c r="KNU126" s="1740"/>
      <c r="KNV126" s="1740"/>
      <c r="KNW126" s="1740"/>
      <c r="KNX126" s="1740"/>
      <c r="KNY126" s="1740"/>
      <c r="KNZ126" s="1740"/>
      <c r="KOA126" s="1740"/>
      <c r="KOB126" s="1740"/>
      <c r="KOC126" s="1740"/>
      <c r="KOD126" s="1740"/>
      <c r="KOE126" s="1740"/>
      <c r="KOF126" s="1740"/>
      <c r="KOG126" s="1740"/>
      <c r="KOH126" s="1740"/>
      <c r="KOI126" s="1740"/>
      <c r="KOJ126" s="1740"/>
      <c r="KOK126" s="1740"/>
      <c r="KOL126" s="1740"/>
      <c r="KOM126" s="1740"/>
      <c r="KON126" s="1740"/>
      <c r="KOO126" s="1740"/>
      <c r="KOP126" s="1740"/>
      <c r="KOQ126" s="1740"/>
      <c r="KOR126" s="1740"/>
      <c r="KOS126" s="1740"/>
      <c r="KOT126" s="1740"/>
      <c r="KOU126" s="1740"/>
      <c r="KOV126" s="1740"/>
      <c r="KOW126" s="1740"/>
      <c r="KOX126" s="1740"/>
      <c r="KOY126" s="1740"/>
      <c r="KOZ126" s="1740"/>
      <c r="KPA126" s="1740"/>
      <c r="KPB126" s="1740"/>
      <c r="KPC126" s="1740"/>
      <c r="KPD126" s="1740"/>
      <c r="KPE126" s="1740"/>
      <c r="KPF126" s="1740"/>
      <c r="KPG126" s="1740"/>
      <c r="KPH126" s="1740"/>
      <c r="KPI126" s="1740"/>
      <c r="KPJ126" s="1740"/>
      <c r="KPK126" s="1740"/>
      <c r="KPL126" s="1740"/>
      <c r="KPM126" s="1740"/>
      <c r="KPN126" s="1740"/>
      <c r="KPO126" s="1740"/>
      <c r="KPP126" s="1740"/>
      <c r="KPQ126" s="1740"/>
      <c r="KPR126" s="1740"/>
      <c r="KPS126" s="1740"/>
      <c r="KPT126" s="1740"/>
      <c r="KPU126" s="1740"/>
      <c r="KPV126" s="1740"/>
      <c r="KPW126" s="1740"/>
      <c r="KPX126" s="1740"/>
      <c r="KPY126" s="1740"/>
      <c r="KPZ126" s="1740"/>
      <c r="KQA126" s="1740"/>
      <c r="KQB126" s="1740"/>
      <c r="KQC126" s="1740"/>
      <c r="KQD126" s="1740"/>
      <c r="KQE126" s="1740"/>
      <c r="KQF126" s="1740"/>
      <c r="KQG126" s="1740"/>
      <c r="KQH126" s="1740"/>
      <c r="KQI126" s="1740"/>
      <c r="KQJ126" s="1740"/>
      <c r="KQK126" s="1740"/>
      <c r="KQL126" s="1740"/>
      <c r="KQM126" s="1740"/>
      <c r="KQN126" s="1740"/>
      <c r="KQO126" s="1740"/>
      <c r="KQP126" s="1740"/>
      <c r="KQQ126" s="1740"/>
      <c r="KQR126" s="1740"/>
      <c r="KQS126" s="1740"/>
      <c r="KQT126" s="1740"/>
      <c r="KQU126" s="1740"/>
      <c r="KQV126" s="1740"/>
      <c r="KQW126" s="1740"/>
      <c r="KQX126" s="1740"/>
      <c r="KQY126" s="1740"/>
      <c r="KQZ126" s="1740"/>
      <c r="KRA126" s="1740"/>
      <c r="KRB126" s="1740"/>
      <c r="KRC126" s="1740"/>
      <c r="KRD126" s="1740"/>
      <c r="KRE126" s="1740"/>
      <c r="KRF126" s="1740"/>
      <c r="KRG126" s="1740"/>
      <c r="KRH126" s="1740"/>
      <c r="KRI126" s="1740"/>
      <c r="KRJ126" s="1740"/>
      <c r="KRK126" s="1740"/>
      <c r="KRL126" s="1740"/>
      <c r="KRM126" s="1740"/>
      <c r="KRN126" s="1740"/>
      <c r="KRO126" s="1740"/>
      <c r="KRP126" s="1740"/>
      <c r="KRQ126" s="1740"/>
      <c r="KRR126" s="1740"/>
      <c r="KRS126" s="1740"/>
      <c r="KRT126" s="1740"/>
      <c r="KRU126" s="1740"/>
      <c r="KRV126" s="1740"/>
      <c r="KRW126" s="1740"/>
      <c r="KRX126" s="1740"/>
      <c r="KRY126" s="1740"/>
      <c r="KRZ126" s="1740"/>
      <c r="KSA126" s="1740"/>
      <c r="KSB126" s="1740"/>
      <c r="KSC126" s="1740"/>
      <c r="KSD126" s="1740"/>
      <c r="KSE126" s="1740"/>
      <c r="KSF126" s="1740"/>
      <c r="KSG126" s="1740"/>
      <c r="KSH126" s="1740"/>
      <c r="KSI126" s="1740"/>
      <c r="KSJ126" s="1740"/>
      <c r="KSK126" s="1740"/>
      <c r="KSL126" s="1740"/>
      <c r="KSM126" s="1740"/>
      <c r="KSN126" s="1740"/>
      <c r="KSO126" s="1740"/>
      <c r="KSP126" s="1740"/>
      <c r="KSQ126" s="1740"/>
      <c r="KSR126" s="1740"/>
      <c r="KSS126" s="1740"/>
      <c r="KST126" s="1740"/>
      <c r="KSU126" s="1740"/>
      <c r="KSV126" s="1740"/>
      <c r="KSW126" s="1740"/>
      <c r="KSX126" s="1740"/>
      <c r="KSY126" s="1740"/>
      <c r="KSZ126" s="1740"/>
      <c r="KTA126" s="1740"/>
      <c r="KTB126" s="1740"/>
      <c r="KTC126" s="1740"/>
      <c r="KTD126" s="1740"/>
      <c r="KTE126" s="1740"/>
      <c r="KTF126" s="1740"/>
      <c r="KTG126" s="1740"/>
      <c r="KTH126" s="1740"/>
      <c r="KTI126" s="1740"/>
      <c r="KTJ126" s="1740"/>
      <c r="KTK126" s="1740"/>
      <c r="KTL126" s="1740"/>
      <c r="KTM126" s="1740"/>
      <c r="KTN126" s="1740"/>
      <c r="KTO126" s="1740"/>
      <c r="KTP126" s="1740"/>
      <c r="KTQ126" s="1740"/>
      <c r="KTR126" s="1740"/>
      <c r="KTS126" s="1740"/>
      <c r="KTT126" s="1740"/>
      <c r="KTU126" s="1740"/>
      <c r="KTV126" s="1740"/>
      <c r="KTW126" s="1740"/>
      <c r="KTX126" s="1740"/>
      <c r="KTY126" s="1740"/>
      <c r="KTZ126" s="1740"/>
      <c r="KUA126" s="1740"/>
      <c r="KUB126" s="1740"/>
      <c r="KUC126" s="1740"/>
      <c r="KUD126" s="1740"/>
      <c r="KUE126" s="1740"/>
      <c r="KUF126" s="1740"/>
      <c r="KUG126" s="1740"/>
      <c r="KUH126" s="1740"/>
      <c r="KUI126" s="1740"/>
      <c r="KUJ126" s="1740"/>
      <c r="KUK126" s="1740"/>
      <c r="KUL126" s="1740"/>
      <c r="KUM126" s="1740"/>
      <c r="KUN126" s="1740"/>
      <c r="KUO126" s="1740"/>
      <c r="KUP126" s="1740"/>
      <c r="KUQ126" s="1740"/>
      <c r="KUR126" s="1740"/>
      <c r="KUS126" s="1740"/>
      <c r="KUT126" s="1740"/>
      <c r="KUU126" s="1740"/>
      <c r="KUV126" s="1740"/>
      <c r="KUW126" s="1740"/>
      <c r="KUX126" s="1740"/>
      <c r="KUY126" s="1740"/>
      <c r="KUZ126" s="1740"/>
      <c r="KVA126" s="1740"/>
      <c r="KVB126" s="1740"/>
      <c r="KVC126" s="1740"/>
      <c r="KVD126" s="1740"/>
      <c r="KVE126" s="1740"/>
      <c r="KVF126" s="1740"/>
      <c r="KVG126" s="1740"/>
      <c r="KVH126" s="1740"/>
      <c r="KVI126" s="1740"/>
      <c r="KVJ126" s="1740"/>
      <c r="KVK126" s="1740"/>
      <c r="KVL126" s="1740"/>
      <c r="KVM126" s="1740"/>
      <c r="KVN126" s="1740"/>
      <c r="KVO126" s="1740"/>
      <c r="KVP126" s="1740"/>
      <c r="KVQ126" s="1740"/>
      <c r="KVR126" s="1740"/>
      <c r="KVS126" s="1740"/>
      <c r="KVT126" s="1740"/>
      <c r="KVU126" s="1740"/>
      <c r="KVV126" s="1740"/>
      <c r="KVW126" s="1740"/>
      <c r="KVX126" s="1740"/>
      <c r="KVY126" s="1740"/>
      <c r="KVZ126" s="1740"/>
      <c r="KWA126" s="1740"/>
      <c r="KWB126" s="1740"/>
      <c r="KWC126" s="1740"/>
      <c r="KWD126" s="1740"/>
      <c r="KWE126" s="1740"/>
      <c r="KWF126" s="1740"/>
      <c r="KWG126" s="1740"/>
      <c r="KWH126" s="1740"/>
      <c r="KWI126" s="1740"/>
      <c r="KWJ126" s="1740"/>
      <c r="KWK126" s="1740"/>
      <c r="KWL126" s="1740"/>
      <c r="KWM126" s="1740"/>
      <c r="KWN126" s="1740"/>
      <c r="KWO126" s="1740"/>
      <c r="KWP126" s="1740"/>
      <c r="KWQ126" s="1740"/>
      <c r="KWR126" s="1740"/>
      <c r="KWS126" s="1740"/>
      <c r="KWT126" s="1740"/>
      <c r="KWU126" s="1740"/>
      <c r="KWV126" s="1740"/>
      <c r="KWW126" s="1740"/>
      <c r="KWX126" s="1740"/>
      <c r="KWY126" s="1740"/>
      <c r="KWZ126" s="1740"/>
      <c r="KXA126" s="1740"/>
      <c r="KXB126" s="1740"/>
      <c r="KXC126" s="1740"/>
      <c r="KXD126" s="1740"/>
      <c r="KXE126" s="1740"/>
      <c r="KXF126" s="1740"/>
      <c r="KXG126" s="1740"/>
      <c r="KXH126" s="1740"/>
      <c r="KXI126" s="1740"/>
      <c r="KXJ126" s="1740"/>
      <c r="KXK126" s="1740"/>
      <c r="KXL126" s="1740"/>
      <c r="KXM126" s="1740"/>
      <c r="KXN126" s="1740"/>
      <c r="KXO126" s="1740"/>
      <c r="KXP126" s="1740"/>
      <c r="KXQ126" s="1740"/>
      <c r="KXR126" s="1740"/>
      <c r="KXS126" s="1740"/>
      <c r="KXT126" s="1740"/>
      <c r="KXU126" s="1740"/>
      <c r="KXV126" s="1740"/>
      <c r="KXW126" s="1740"/>
      <c r="KXX126" s="1740"/>
      <c r="KXY126" s="1740"/>
      <c r="KXZ126" s="1740"/>
      <c r="KYA126" s="1740"/>
      <c r="KYB126" s="1740"/>
      <c r="KYC126" s="1740"/>
      <c r="KYD126" s="1740"/>
      <c r="KYE126" s="1740"/>
      <c r="KYF126" s="1740"/>
      <c r="KYG126" s="1740"/>
      <c r="KYH126" s="1740"/>
      <c r="KYI126" s="1740"/>
      <c r="KYJ126" s="1740"/>
      <c r="KYK126" s="1740"/>
      <c r="KYL126" s="1740"/>
      <c r="KYM126" s="1740"/>
      <c r="KYN126" s="1740"/>
      <c r="KYO126" s="1740"/>
      <c r="KYP126" s="1740"/>
      <c r="KYQ126" s="1740"/>
      <c r="KYR126" s="1740"/>
      <c r="KYS126" s="1740"/>
      <c r="KYT126" s="1740"/>
      <c r="KYU126" s="1740"/>
      <c r="KYV126" s="1740"/>
      <c r="KYW126" s="1740"/>
      <c r="KYX126" s="1740"/>
      <c r="KYY126" s="1740"/>
      <c r="KYZ126" s="1740"/>
      <c r="KZA126" s="1740"/>
      <c r="KZB126" s="1740"/>
      <c r="KZC126" s="1740"/>
      <c r="KZD126" s="1740"/>
      <c r="KZE126" s="1740"/>
      <c r="KZF126" s="1740"/>
      <c r="KZG126" s="1740"/>
      <c r="KZH126" s="1740"/>
      <c r="KZI126" s="1740"/>
      <c r="KZJ126" s="1740"/>
      <c r="KZK126" s="1740"/>
      <c r="KZL126" s="1740"/>
      <c r="KZM126" s="1740"/>
      <c r="KZN126" s="1740"/>
      <c r="KZO126" s="1740"/>
      <c r="KZP126" s="1740"/>
      <c r="KZQ126" s="1740"/>
      <c r="KZR126" s="1740"/>
      <c r="KZS126" s="1740"/>
      <c r="KZT126" s="1740"/>
      <c r="KZU126" s="1740"/>
      <c r="KZV126" s="1740"/>
      <c r="KZW126" s="1740"/>
      <c r="KZX126" s="1740"/>
      <c r="KZY126" s="1740"/>
      <c r="KZZ126" s="1740"/>
      <c r="LAA126" s="1740"/>
      <c r="LAB126" s="1740"/>
      <c r="LAC126" s="1740"/>
      <c r="LAD126" s="1740"/>
      <c r="LAE126" s="1740"/>
      <c r="LAF126" s="1740"/>
      <c r="LAG126" s="1740"/>
      <c r="LAH126" s="1740"/>
      <c r="LAI126" s="1740"/>
      <c r="LAJ126" s="1740"/>
      <c r="LAK126" s="1740"/>
      <c r="LAL126" s="1740"/>
      <c r="LAM126" s="1740"/>
      <c r="LAN126" s="1740"/>
      <c r="LAO126" s="1740"/>
      <c r="LAP126" s="1740"/>
      <c r="LAQ126" s="1740"/>
      <c r="LAR126" s="1740"/>
      <c r="LAS126" s="1740"/>
      <c r="LAT126" s="1740"/>
      <c r="LAU126" s="1740"/>
      <c r="LAV126" s="1740"/>
      <c r="LAW126" s="1740"/>
      <c r="LAX126" s="1740"/>
      <c r="LAY126" s="1740"/>
      <c r="LAZ126" s="1740"/>
      <c r="LBA126" s="1740"/>
      <c r="LBB126" s="1740"/>
      <c r="LBC126" s="1740"/>
      <c r="LBD126" s="1740"/>
      <c r="LBE126" s="1740"/>
      <c r="LBF126" s="1740"/>
      <c r="LBG126" s="1740"/>
      <c r="LBH126" s="1740"/>
      <c r="LBI126" s="1740"/>
      <c r="LBJ126" s="1740"/>
      <c r="LBK126" s="1740"/>
      <c r="LBL126" s="1740"/>
      <c r="LBM126" s="1740"/>
      <c r="LBN126" s="1740"/>
      <c r="LBO126" s="1740"/>
      <c r="LBP126" s="1740"/>
      <c r="LBQ126" s="1740"/>
      <c r="LBR126" s="1740"/>
      <c r="LBS126" s="1740"/>
      <c r="LBT126" s="1740"/>
      <c r="LBU126" s="1740"/>
      <c r="LBV126" s="1740"/>
      <c r="LBW126" s="1740"/>
      <c r="LBX126" s="1740"/>
      <c r="LBY126" s="1740"/>
      <c r="LBZ126" s="1740"/>
      <c r="LCA126" s="1740"/>
      <c r="LCB126" s="1740"/>
      <c r="LCC126" s="1740"/>
      <c r="LCD126" s="1740"/>
      <c r="LCE126" s="1740"/>
      <c r="LCF126" s="1740"/>
      <c r="LCG126" s="1740"/>
      <c r="LCH126" s="1740"/>
      <c r="LCI126" s="1740"/>
      <c r="LCJ126" s="1740"/>
      <c r="LCK126" s="1740"/>
      <c r="LCL126" s="1740"/>
      <c r="LCM126" s="1740"/>
      <c r="LCN126" s="1740"/>
      <c r="LCO126" s="1740"/>
      <c r="LCP126" s="1740"/>
      <c r="LCQ126" s="1740"/>
      <c r="LCR126" s="1740"/>
      <c r="LCS126" s="1740"/>
      <c r="LCT126" s="1740"/>
      <c r="LCU126" s="1740"/>
      <c r="LCV126" s="1740"/>
      <c r="LCW126" s="1740"/>
      <c r="LCX126" s="1740"/>
      <c r="LCY126" s="1740"/>
      <c r="LCZ126" s="1740"/>
      <c r="LDA126" s="1740"/>
      <c r="LDB126" s="1740"/>
      <c r="LDC126" s="1740"/>
      <c r="LDD126" s="1740"/>
      <c r="LDE126" s="1740"/>
      <c r="LDF126" s="1740"/>
      <c r="LDG126" s="1740"/>
      <c r="LDH126" s="1740"/>
      <c r="LDI126" s="1740"/>
      <c r="LDJ126" s="1740"/>
      <c r="LDK126" s="1740"/>
      <c r="LDL126" s="1740"/>
      <c r="LDM126" s="1740"/>
      <c r="LDN126" s="1740"/>
      <c r="LDO126" s="1740"/>
      <c r="LDP126" s="1740"/>
      <c r="LDQ126" s="1740"/>
      <c r="LDR126" s="1740"/>
      <c r="LDS126" s="1740"/>
      <c r="LDT126" s="1740"/>
      <c r="LDU126" s="1740"/>
      <c r="LDV126" s="1740"/>
      <c r="LDW126" s="1740"/>
      <c r="LDX126" s="1740"/>
      <c r="LDY126" s="1740"/>
      <c r="LDZ126" s="1740"/>
      <c r="LEA126" s="1740"/>
      <c r="LEB126" s="1740"/>
      <c r="LEC126" s="1740"/>
      <c r="LED126" s="1740"/>
      <c r="LEE126" s="1740"/>
      <c r="LEF126" s="1740"/>
      <c r="LEG126" s="1740"/>
      <c r="LEH126" s="1740"/>
      <c r="LEI126" s="1740"/>
      <c r="LEJ126" s="1740"/>
      <c r="LEK126" s="1740"/>
      <c r="LEL126" s="1740"/>
      <c r="LEM126" s="1740"/>
      <c r="LEN126" s="1740"/>
      <c r="LEO126" s="1740"/>
      <c r="LEP126" s="1740"/>
      <c r="LEQ126" s="1740"/>
      <c r="LER126" s="1740"/>
      <c r="LES126" s="1740"/>
      <c r="LET126" s="1740"/>
      <c r="LEU126" s="1740"/>
      <c r="LEV126" s="1740"/>
      <c r="LEW126" s="1740"/>
      <c r="LEX126" s="1740"/>
      <c r="LEY126" s="1740"/>
      <c r="LEZ126" s="1740"/>
      <c r="LFA126" s="1740"/>
      <c r="LFB126" s="1740"/>
      <c r="LFC126" s="1740"/>
      <c r="LFD126" s="1740"/>
      <c r="LFE126" s="1740"/>
      <c r="LFF126" s="1740"/>
      <c r="LFG126" s="1740"/>
      <c r="LFH126" s="1740"/>
      <c r="LFI126" s="1740"/>
      <c r="LFJ126" s="1740"/>
      <c r="LFK126" s="1740"/>
      <c r="LFL126" s="1740"/>
      <c r="LFM126" s="1740"/>
      <c r="LFN126" s="1740"/>
      <c r="LFO126" s="1740"/>
      <c r="LFP126" s="1740"/>
      <c r="LFQ126" s="1740"/>
      <c r="LFR126" s="1740"/>
      <c r="LFS126" s="1740"/>
      <c r="LFT126" s="1740"/>
      <c r="LFU126" s="1740"/>
      <c r="LFV126" s="1740"/>
      <c r="LFW126" s="1740"/>
      <c r="LFX126" s="1740"/>
      <c r="LFY126" s="1740"/>
      <c r="LFZ126" s="1740"/>
      <c r="LGA126" s="1740"/>
      <c r="LGB126" s="1740"/>
      <c r="LGC126" s="1740"/>
      <c r="LGD126" s="1740"/>
      <c r="LGE126" s="1740"/>
      <c r="LGF126" s="1740"/>
      <c r="LGG126" s="1740"/>
      <c r="LGH126" s="1740"/>
      <c r="LGI126" s="1740"/>
      <c r="LGJ126" s="1740"/>
      <c r="LGK126" s="1740"/>
      <c r="LGL126" s="1740"/>
      <c r="LGM126" s="1740"/>
      <c r="LGN126" s="1740"/>
      <c r="LGO126" s="1740"/>
      <c r="LGP126" s="1740"/>
      <c r="LGQ126" s="1740"/>
      <c r="LGR126" s="1740"/>
      <c r="LGS126" s="1740"/>
      <c r="LGT126" s="1740"/>
      <c r="LGU126" s="1740"/>
      <c r="LGV126" s="1740"/>
      <c r="LGW126" s="1740"/>
      <c r="LGX126" s="1740"/>
      <c r="LGY126" s="1740"/>
      <c r="LGZ126" s="1740"/>
      <c r="LHA126" s="1740"/>
      <c r="LHB126" s="1740"/>
      <c r="LHC126" s="1740"/>
      <c r="LHD126" s="1740"/>
      <c r="LHE126" s="1740"/>
      <c r="LHF126" s="1740"/>
      <c r="LHG126" s="1740"/>
      <c r="LHH126" s="1740"/>
      <c r="LHI126" s="1740"/>
      <c r="LHJ126" s="1740"/>
      <c r="LHK126" s="1740"/>
      <c r="LHL126" s="1740"/>
      <c r="LHM126" s="1740"/>
      <c r="LHN126" s="1740"/>
      <c r="LHO126" s="1740"/>
      <c r="LHP126" s="1740"/>
      <c r="LHQ126" s="1740"/>
      <c r="LHR126" s="1740"/>
      <c r="LHS126" s="1740"/>
      <c r="LHT126" s="1740"/>
      <c r="LHU126" s="1740"/>
      <c r="LHV126" s="1740"/>
      <c r="LHW126" s="1740"/>
      <c r="LHX126" s="1740"/>
      <c r="LHY126" s="1740"/>
      <c r="LHZ126" s="1740"/>
      <c r="LIA126" s="1740"/>
      <c r="LIB126" s="1740"/>
      <c r="LIC126" s="1740"/>
      <c r="LID126" s="1740"/>
      <c r="LIE126" s="1740"/>
      <c r="LIF126" s="1740"/>
      <c r="LIG126" s="1740"/>
      <c r="LIH126" s="1740"/>
      <c r="LII126" s="1740"/>
      <c r="LIJ126" s="1740"/>
      <c r="LIK126" s="1740"/>
      <c r="LIL126" s="1740"/>
      <c r="LIM126" s="1740"/>
      <c r="LIN126" s="1740"/>
      <c r="LIO126" s="1740"/>
      <c r="LIP126" s="1740"/>
      <c r="LIQ126" s="1740"/>
      <c r="LIR126" s="1740"/>
      <c r="LIS126" s="1740"/>
      <c r="LIT126" s="1740"/>
      <c r="LIU126" s="1740"/>
      <c r="LIV126" s="1740"/>
      <c r="LIW126" s="1740"/>
      <c r="LIX126" s="1740"/>
      <c r="LIY126" s="1740"/>
      <c r="LIZ126" s="1740"/>
      <c r="LJA126" s="1740"/>
      <c r="LJB126" s="1740"/>
      <c r="LJC126" s="1740"/>
      <c r="LJD126" s="1740"/>
      <c r="LJE126" s="1740"/>
      <c r="LJF126" s="1740"/>
      <c r="LJG126" s="1740"/>
      <c r="LJH126" s="1740"/>
      <c r="LJI126" s="1740"/>
      <c r="LJJ126" s="1740"/>
      <c r="LJK126" s="1740"/>
      <c r="LJL126" s="1740"/>
      <c r="LJM126" s="1740"/>
      <c r="LJN126" s="1740"/>
      <c r="LJO126" s="1740"/>
      <c r="LJP126" s="1740"/>
      <c r="LJQ126" s="1740"/>
      <c r="LJR126" s="1740"/>
      <c r="LJS126" s="1740"/>
      <c r="LJT126" s="1740"/>
      <c r="LJU126" s="1740"/>
      <c r="LJV126" s="1740"/>
      <c r="LJW126" s="1740"/>
      <c r="LJX126" s="1740"/>
      <c r="LJY126" s="1740"/>
      <c r="LJZ126" s="1740"/>
      <c r="LKA126" s="1740"/>
      <c r="LKB126" s="1740"/>
      <c r="LKC126" s="1740"/>
      <c r="LKD126" s="1740"/>
      <c r="LKE126" s="1740"/>
      <c r="LKF126" s="1740"/>
      <c r="LKG126" s="1740"/>
      <c r="LKH126" s="1740"/>
      <c r="LKI126" s="1740"/>
      <c r="LKJ126" s="1740"/>
      <c r="LKK126" s="1740"/>
      <c r="LKL126" s="1740"/>
      <c r="LKM126" s="1740"/>
      <c r="LKN126" s="1740"/>
      <c r="LKO126" s="1740"/>
      <c r="LKP126" s="1740"/>
      <c r="LKQ126" s="1740"/>
      <c r="LKR126" s="1740"/>
      <c r="LKS126" s="1740"/>
      <c r="LKT126" s="1740"/>
      <c r="LKU126" s="1740"/>
      <c r="LKV126" s="1740"/>
      <c r="LKW126" s="1740"/>
      <c r="LKX126" s="1740"/>
      <c r="LKY126" s="1740"/>
      <c r="LKZ126" s="1740"/>
      <c r="LLA126" s="1740"/>
      <c r="LLB126" s="1740"/>
      <c r="LLC126" s="1740"/>
      <c r="LLD126" s="1740"/>
      <c r="LLE126" s="1740"/>
      <c r="LLF126" s="1740"/>
      <c r="LLG126" s="1740"/>
      <c r="LLH126" s="1740"/>
      <c r="LLI126" s="1740"/>
      <c r="LLJ126" s="1740"/>
      <c r="LLK126" s="1740"/>
      <c r="LLL126" s="1740"/>
      <c r="LLM126" s="1740"/>
      <c r="LLN126" s="1740"/>
      <c r="LLO126" s="1740"/>
      <c r="LLP126" s="1740"/>
      <c r="LLQ126" s="1740"/>
      <c r="LLR126" s="1740"/>
      <c r="LLS126" s="1740"/>
      <c r="LLT126" s="1740"/>
      <c r="LLU126" s="1740"/>
      <c r="LLV126" s="1740"/>
      <c r="LLW126" s="1740"/>
      <c r="LLX126" s="1740"/>
      <c r="LLY126" s="1740"/>
      <c r="LLZ126" s="1740"/>
      <c r="LMA126" s="1740"/>
      <c r="LMB126" s="1740"/>
      <c r="LMC126" s="1740"/>
      <c r="LMD126" s="1740"/>
      <c r="LME126" s="1740"/>
      <c r="LMF126" s="1740"/>
      <c r="LMG126" s="1740"/>
      <c r="LMH126" s="1740"/>
      <c r="LMI126" s="1740"/>
      <c r="LMJ126" s="1740"/>
      <c r="LMK126" s="1740"/>
      <c r="LML126" s="1740"/>
      <c r="LMM126" s="1740"/>
      <c r="LMN126" s="1740"/>
      <c r="LMO126" s="1740"/>
      <c r="LMP126" s="1740"/>
      <c r="LMQ126" s="1740"/>
      <c r="LMR126" s="1740"/>
      <c r="LMS126" s="1740"/>
      <c r="LMT126" s="1740"/>
      <c r="LMU126" s="1740"/>
      <c r="LMV126" s="1740"/>
      <c r="LMW126" s="1740"/>
      <c r="LMX126" s="1740"/>
      <c r="LMY126" s="1740"/>
      <c r="LMZ126" s="1740"/>
      <c r="LNA126" s="1740"/>
      <c r="LNB126" s="1740"/>
      <c r="LNC126" s="1740"/>
      <c r="LND126" s="1740"/>
      <c r="LNE126" s="1740"/>
      <c r="LNF126" s="1740"/>
      <c r="LNG126" s="1740"/>
      <c r="LNH126" s="1740"/>
      <c r="LNI126" s="1740"/>
      <c r="LNJ126" s="1740"/>
      <c r="LNK126" s="1740"/>
      <c r="LNL126" s="1740"/>
      <c r="LNM126" s="1740"/>
      <c r="LNN126" s="1740"/>
      <c r="LNO126" s="1740"/>
      <c r="LNP126" s="1740"/>
      <c r="LNQ126" s="1740"/>
      <c r="LNR126" s="1740"/>
      <c r="LNS126" s="1740"/>
      <c r="LNT126" s="1740"/>
      <c r="LNU126" s="1740"/>
      <c r="LNV126" s="1740"/>
      <c r="LNW126" s="1740"/>
      <c r="LNX126" s="1740"/>
      <c r="LNY126" s="1740"/>
      <c r="LNZ126" s="1740"/>
      <c r="LOA126" s="1740"/>
      <c r="LOB126" s="1740"/>
      <c r="LOC126" s="1740"/>
      <c r="LOD126" s="1740"/>
      <c r="LOE126" s="1740"/>
      <c r="LOF126" s="1740"/>
      <c r="LOG126" s="1740"/>
      <c r="LOH126" s="1740"/>
      <c r="LOI126" s="1740"/>
      <c r="LOJ126" s="1740"/>
      <c r="LOK126" s="1740"/>
      <c r="LOL126" s="1740"/>
      <c r="LOM126" s="1740"/>
      <c r="LON126" s="1740"/>
      <c r="LOO126" s="1740"/>
      <c r="LOP126" s="1740"/>
      <c r="LOQ126" s="1740"/>
      <c r="LOR126" s="1740"/>
      <c r="LOS126" s="1740"/>
      <c r="LOT126" s="1740"/>
      <c r="LOU126" s="1740"/>
      <c r="LOV126" s="1740"/>
      <c r="LOW126" s="1740"/>
      <c r="LOX126" s="1740"/>
      <c r="LOY126" s="1740"/>
      <c r="LOZ126" s="1740"/>
      <c r="LPA126" s="1740"/>
      <c r="LPB126" s="1740"/>
      <c r="LPC126" s="1740"/>
      <c r="LPD126" s="1740"/>
      <c r="LPE126" s="1740"/>
      <c r="LPF126" s="1740"/>
      <c r="LPG126" s="1740"/>
      <c r="LPH126" s="1740"/>
      <c r="LPI126" s="1740"/>
      <c r="LPJ126" s="1740"/>
      <c r="LPK126" s="1740"/>
      <c r="LPL126" s="1740"/>
      <c r="LPM126" s="1740"/>
      <c r="LPN126" s="1740"/>
      <c r="LPO126" s="1740"/>
      <c r="LPP126" s="1740"/>
      <c r="LPQ126" s="1740"/>
      <c r="LPR126" s="1740"/>
      <c r="LPS126" s="1740"/>
      <c r="LPT126" s="1740"/>
      <c r="LPU126" s="1740"/>
      <c r="LPV126" s="1740"/>
      <c r="LPW126" s="1740"/>
      <c r="LPX126" s="1740"/>
      <c r="LPY126" s="1740"/>
      <c r="LPZ126" s="1740"/>
      <c r="LQA126" s="1740"/>
      <c r="LQB126" s="1740"/>
      <c r="LQC126" s="1740"/>
      <c r="LQD126" s="1740"/>
      <c r="LQE126" s="1740"/>
      <c r="LQF126" s="1740"/>
      <c r="LQG126" s="1740"/>
      <c r="LQH126" s="1740"/>
      <c r="LQI126" s="1740"/>
      <c r="LQJ126" s="1740"/>
      <c r="LQK126" s="1740"/>
      <c r="LQL126" s="1740"/>
      <c r="LQM126" s="1740"/>
      <c r="LQN126" s="1740"/>
      <c r="LQO126" s="1740"/>
      <c r="LQP126" s="1740"/>
      <c r="LQQ126" s="1740"/>
      <c r="LQR126" s="1740"/>
      <c r="LQS126" s="1740"/>
      <c r="LQT126" s="1740"/>
      <c r="LQU126" s="1740"/>
      <c r="LQV126" s="1740"/>
      <c r="LQW126" s="1740"/>
      <c r="LQX126" s="1740"/>
      <c r="LQY126" s="1740"/>
      <c r="LQZ126" s="1740"/>
      <c r="LRA126" s="1740"/>
      <c r="LRB126" s="1740"/>
      <c r="LRC126" s="1740"/>
      <c r="LRD126" s="1740"/>
      <c r="LRE126" s="1740"/>
      <c r="LRF126" s="1740"/>
      <c r="LRG126" s="1740"/>
      <c r="LRH126" s="1740"/>
      <c r="LRI126" s="1740"/>
      <c r="LRJ126" s="1740"/>
      <c r="LRK126" s="1740"/>
      <c r="LRL126" s="1740"/>
      <c r="LRM126" s="1740"/>
      <c r="LRN126" s="1740"/>
      <c r="LRO126" s="1740"/>
      <c r="LRP126" s="1740"/>
      <c r="LRQ126" s="1740"/>
      <c r="LRR126" s="1740"/>
      <c r="LRS126" s="1740"/>
      <c r="LRT126" s="1740"/>
      <c r="LRU126" s="1740"/>
      <c r="LRV126" s="1740"/>
      <c r="LRW126" s="1740"/>
      <c r="LRX126" s="1740"/>
      <c r="LRY126" s="1740"/>
      <c r="LRZ126" s="1740"/>
      <c r="LSA126" s="1740"/>
      <c r="LSB126" s="1740"/>
      <c r="LSC126" s="1740"/>
      <c r="LSD126" s="1740"/>
      <c r="LSE126" s="1740"/>
      <c r="LSF126" s="1740"/>
      <c r="LSG126" s="1740"/>
      <c r="LSH126" s="1740"/>
      <c r="LSI126" s="1740"/>
      <c r="LSJ126" s="1740"/>
      <c r="LSK126" s="1740"/>
      <c r="LSL126" s="1740"/>
      <c r="LSM126" s="1740"/>
      <c r="LSN126" s="1740"/>
      <c r="LSO126" s="1740"/>
      <c r="LSP126" s="1740"/>
      <c r="LSQ126" s="1740"/>
      <c r="LSR126" s="1740"/>
      <c r="LSS126" s="1740"/>
      <c r="LST126" s="1740"/>
      <c r="LSU126" s="1740"/>
      <c r="LSV126" s="1740"/>
      <c r="LSW126" s="1740"/>
      <c r="LSX126" s="1740"/>
      <c r="LSY126" s="1740"/>
      <c r="LSZ126" s="1740"/>
      <c r="LTA126" s="1740"/>
      <c r="LTB126" s="1740"/>
      <c r="LTC126" s="1740"/>
      <c r="LTD126" s="1740"/>
      <c r="LTE126" s="1740"/>
      <c r="LTF126" s="1740"/>
      <c r="LTG126" s="1740"/>
      <c r="LTH126" s="1740"/>
      <c r="LTI126" s="1740"/>
      <c r="LTJ126" s="1740"/>
      <c r="LTK126" s="1740"/>
      <c r="LTL126" s="1740"/>
      <c r="LTM126" s="1740"/>
      <c r="LTN126" s="1740"/>
      <c r="LTO126" s="1740"/>
      <c r="LTP126" s="1740"/>
      <c r="LTQ126" s="1740"/>
      <c r="LTR126" s="1740"/>
      <c r="LTS126" s="1740"/>
      <c r="LTT126" s="1740"/>
      <c r="LTU126" s="1740"/>
      <c r="LTV126" s="1740"/>
      <c r="LTW126" s="1740"/>
      <c r="LTX126" s="1740"/>
      <c r="LTY126" s="1740"/>
      <c r="LTZ126" s="1740"/>
      <c r="LUA126" s="1740"/>
      <c r="LUB126" s="1740"/>
      <c r="LUC126" s="1740"/>
      <c r="LUD126" s="1740"/>
      <c r="LUE126" s="1740"/>
      <c r="LUF126" s="1740"/>
      <c r="LUG126" s="1740"/>
      <c r="LUH126" s="1740"/>
      <c r="LUI126" s="1740"/>
      <c r="LUJ126" s="1740"/>
      <c r="LUK126" s="1740"/>
      <c r="LUL126" s="1740"/>
      <c r="LUM126" s="1740"/>
      <c r="LUN126" s="1740"/>
      <c r="LUO126" s="1740"/>
      <c r="LUP126" s="1740"/>
      <c r="LUQ126" s="1740"/>
      <c r="LUR126" s="1740"/>
      <c r="LUS126" s="1740"/>
      <c r="LUT126" s="1740"/>
      <c r="LUU126" s="1740"/>
      <c r="LUV126" s="1740"/>
      <c r="LUW126" s="1740"/>
      <c r="LUX126" s="1740"/>
      <c r="LUY126" s="1740"/>
      <c r="LUZ126" s="1740"/>
      <c r="LVA126" s="1740"/>
      <c r="LVB126" s="1740"/>
      <c r="LVC126" s="1740"/>
      <c r="LVD126" s="1740"/>
      <c r="LVE126" s="1740"/>
      <c r="LVF126" s="1740"/>
      <c r="LVG126" s="1740"/>
      <c r="LVH126" s="1740"/>
      <c r="LVI126" s="1740"/>
      <c r="LVJ126" s="1740"/>
      <c r="LVK126" s="1740"/>
      <c r="LVL126" s="1740"/>
      <c r="LVM126" s="1740"/>
      <c r="LVN126" s="1740"/>
      <c r="LVO126" s="1740"/>
      <c r="LVP126" s="1740"/>
      <c r="LVQ126" s="1740"/>
      <c r="LVR126" s="1740"/>
      <c r="LVS126" s="1740"/>
      <c r="LVT126" s="1740"/>
      <c r="LVU126" s="1740"/>
      <c r="LVV126" s="1740"/>
      <c r="LVW126" s="1740"/>
      <c r="LVX126" s="1740"/>
      <c r="LVY126" s="1740"/>
      <c r="LVZ126" s="1740"/>
      <c r="LWA126" s="1740"/>
      <c r="LWB126" s="1740"/>
      <c r="LWC126" s="1740"/>
      <c r="LWD126" s="1740"/>
      <c r="LWE126" s="1740"/>
      <c r="LWF126" s="1740"/>
      <c r="LWG126" s="1740"/>
      <c r="LWH126" s="1740"/>
      <c r="LWI126" s="1740"/>
      <c r="LWJ126" s="1740"/>
      <c r="LWK126" s="1740"/>
      <c r="LWL126" s="1740"/>
      <c r="LWM126" s="1740"/>
      <c r="LWN126" s="1740"/>
      <c r="LWO126" s="1740"/>
      <c r="LWP126" s="1740"/>
      <c r="LWQ126" s="1740"/>
      <c r="LWR126" s="1740"/>
      <c r="LWS126" s="1740"/>
      <c r="LWT126" s="1740"/>
      <c r="LWU126" s="1740"/>
      <c r="LWV126" s="1740"/>
      <c r="LWW126" s="1740"/>
      <c r="LWX126" s="1740"/>
      <c r="LWY126" s="1740"/>
      <c r="LWZ126" s="1740"/>
      <c r="LXA126" s="1740"/>
      <c r="LXB126" s="1740"/>
      <c r="LXC126" s="1740"/>
      <c r="LXD126" s="1740"/>
      <c r="LXE126" s="1740"/>
      <c r="LXF126" s="1740"/>
      <c r="LXG126" s="1740"/>
      <c r="LXH126" s="1740"/>
      <c r="LXI126" s="1740"/>
      <c r="LXJ126" s="1740"/>
      <c r="LXK126" s="1740"/>
      <c r="LXL126" s="1740"/>
      <c r="LXM126" s="1740"/>
      <c r="LXN126" s="1740"/>
      <c r="LXO126" s="1740"/>
      <c r="LXP126" s="1740"/>
      <c r="LXQ126" s="1740"/>
      <c r="LXR126" s="1740"/>
      <c r="LXS126" s="1740"/>
      <c r="LXT126" s="1740"/>
      <c r="LXU126" s="1740"/>
      <c r="LXV126" s="1740"/>
      <c r="LXW126" s="1740"/>
      <c r="LXX126" s="1740"/>
      <c r="LXY126" s="1740"/>
      <c r="LXZ126" s="1740"/>
      <c r="LYA126" s="1740"/>
      <c r="LYB126" s="1740"/>
      <c r="LYC126" s="1740"/>
      <c r="LYD126" s="1740"/>
      <c r="LYE126" s="1740"/>
      <c r="LYF126" s="1740"/>
      <c r="LYG126" s="1740"/>
      <c r="LYH126" s="1740"/>
      <c r="LYI126" s="1740"/>
      <c r="LYJ126" s="1740"/>
      <c r="LYK126" s="1740"/>
      <c r="LYL126" s="1740"/>
      <c r="LYM126" s="1740"/>
      <c r="LYN126" s="1740"/>
      <c r="LYO126" s="1740"/>
      <c r="LYP126" s="1740"/>
      <c r="LYQ126" s="1740"/>
      <c r="LYR126" s="1740"/>
      <c r="LYS126" s="1740"/>
      <c r="LYT126" s="1740"/>
      <c r="LYU126" s="1740"/>
      <c r="LYV126" s="1740"/>
      <c r="LYW126" s="1740"/>
      <c r="LYX126" s="1740"/>
      <c r="LYY126" s="1740"/>
      <c r="LYZ126" s="1740"/>
      <c r="LZA126" s="1740"/>
      <c r="LZB126" s="1740"/>
      <c r="LZC126" s="1740"/>
      <c r="LZD126" s="1740"/>
      <c r="LZE126" s="1740"/>
      <c r="LZF126" s="1740"/>
      <c r="LZG126" s="1740"/>
      <c r="LZH126" s="1740"/>
      <c r="LZI126" s="1740"/>
      <c r="LZJ126" s="1740"/>
      <c r="LZK126" s="1740"/>
      <c r="LZL126" s="1740"/>
      <c r="LZM126" s="1740"/>
      <c r="LZN126" s="1740"/>
      <c r="LZO126" s="1740"/>
      <c r="LZP126" s="1740"/>
      <c r="LZQ126" s="1740"/>
      <c r="LZR126" s="1740"/>
      <c r="LZS126" s="1740"/>
      <c r="LZT126" s="1740"/>
      <c r="LZU126" s="1740"/>
      <c r="LZV126" s="1740"/>
      <c r="LZW126" s="1740"/>
      <c r="LZX126" s="1740"/>
      <c r="LZY126" s="1740"/>
      <c r="LZZ126" s="1740"/>
      <c r="MAA126" s="1740"/>
      <c r="MAB126" s="1740"/>
      <c r="MAC126" s="1740"/>
      <c r="MAD126" s="1740"/>
      <c r="MAE126" s="1740"/>
      <c r="MAF126" s="1740"/>
      <c r="MAG126" s="1740"/>
      <c r="MAH126" s="1740"/>
      <c r="MAI126" s="1740"/>
      <c r="MAJ126" s="1740"/>
      <c r="MAK126" s="1740"/>
      <c r="MAL126" s="1740"/>
      <c r="MAM126" s="1740"/>
      <c r="MAN126" s="1740"/>
      <c r="MAO126" s="1740"/>
      <c r="MAP126" s="1740"/>
      <c r="MAQ126" s="1740"/>
      <c r="MAR126" s="1740"/>
      <c r="MAS126" s="1740"/>
      <c r="MAT126" s="1740"/>
      <c r="MAU126" s="1740"/>
      <c r="MAV126" s="1740"/>
      <c r="MAW126" s="1740"/>
      <c r="MAX126" s="1740"/>
      <c r="MAY126" s="1740"/>
      <c r="MAZ126" s="1740"/>
      <c r="MBA126" s="1740"/>
      <c r="MBB126" s="1740"/>
      <c r="MBC126" s="1740"/>
      <c r="MBD126" s="1740"/>
      <c r="MBE126" s="1740"/>
      <c r="MBF126" s="1740"/>
      <c r="MBG126" s="1740"/>
      <c r="MBH126" s="1740"/>
      <c r="MBI126" s="1740"/>
      <c r="MBJ126" s="1740"/>
      <c r="MBK126" s="1740"/>
      <c r="MBL126" s="1740"/>
      <c r="MBM126" s="1740"/>
      <c r="MBN126" s="1740"/>
      <c r="MBO126" s="1740"/>
      <c r="MBP126" s="1740"/>
      <c r="MBQ126" s="1740"/>
      <c r="MBR126" s="1740"/>
      <c r="MBS126" s="1740"/>
      <c r="MBT126" s="1740"/>
      <c r="MBU126" s="1740"/>
      <c r="MBV126" s="1740"/>
      <c r="MBW126" s="1740"/>
      <c r="MBX126" s="1740"/>
      <c r="MBY126" s="1740"/>
      <c r="MBZ126" s="1740"/>
      <c r="MCA126" s="1740"/>
      <c r="MCB126" s="1740"/>
      <c r="MCC126" s="1740"/>
      <c r="MCD126" s="1740"/>
      <c r="MCE126" s="1740"/>
      <c r="MCF126" s="1740"/>
      <c r="MCG126" s="1740"/>
      <c r="MCH126" s="1740"/>
      <c r="MCI126" s="1740"/>
      <c r="MCJ126" s="1740"/>
      <c r="MCK126" s="1740"/>
      <c r="MCL126" s="1740"/>
      <c r="MCM126" s="1740"/>
      <c r="MCN126" s="1740"/>
      <c r="MCO126" s="1740"/>
      <c r="MCP126" s="1740"/>
      <c r="MCQ126" s="1740"/>
      <c r="MCR126" s="1740"/>
      <c r="MCS126" s="1740"/>
      <c r="MCT126" s="1740"/>
      <c r="MCU126" s="1740"/>
      <c r="MCV126" s="1740"/>
      <c r="MCW126" s="1740"/>
      <c r="MCX126" s="1740"/>
      <c r="MCY126" s="1740"/>
      <c r="MCZ126" s="1740"/>
      <c r="MDA126" s="1740"/>
      <c r="MDB126" s="1740"/>
      <c r="MDC126" s="1740"/>
      <c r="MDD126" s="1740"/>
      <c r="MDE126" s="1740"/>
      <c r="MDF126" s="1740"/>
      <c r="MDG126" s="1740"/>
      <c r="MDH126" s="1740"/>
      <c r="MDI126" s="1740"/>
      <c r="MDJ126" s="1740"/>
      <c r="MDK126" s="1740"/>
      <c r="MDL126" s="1740"/>
      <c r="MDM126" s="1740"/>
      <c r="MDN126" s="1740"/>
      <c r="MDO126" s="1740"/>
      <c r="MDP126" s="1740"/>
      <c r="MDQ126" s="1740"/>
      <c r="MDR126" s="1740"/>
      <c r="MDS126" s="1740"/>
      <c r="MDT126" s="1740"/>
      <c r="MDU126" s="1740"/>
      <c r="MDV126" s="1740"/>
      <c r="MDW126" s="1740"/>
      <c r="MDX126" s="1740"/>
      <c r="MDY126" s="1740"/>
      <c r="MDZ126" s="1740"/>
      <c r="MEA126" s="1740"/>
      <c r="MEB126" s="1740"/>
      <c r="MEC126" s="1740"/>
      <c r="MED126" s="1740"/>
      <c r="MEE126" s="1740"/>
      <c r="MEF126" s="1740"/>
      <c r="MEG126" s="1740"/>
      <c r="MEH126" s="1740"/>
      <c r="MEI126" s="1740"/>
      <c r="MEJ126" s="1740"/>
      <c r="MEK126" s="1740"/>
      <c r="MEL126" s="1740"/>
      <c r="MEM126" s="1740"/>
      <c r="MEN126" s="1740"/>
      <c r="MEO126" s="1740"/>
      <c r="MEP126" s="1740"/>
      <c r="MEQ126" s="1740"/>
      <c r="MER126" s="1740"/>
      <c r="MES126" s="1740"/>
      <c r="MET126" s="1740"/>
      <c r="MEU126" s="1740"/>
      <c r="MEV126" s="1740"/>
      <c r="MEW126" s="1740"/>
      <c r="MEX126" s="1740"/>
      <c r="MEY126" s="1740"/>
      <c r="MEZ126" s="1740"/>
      <c r="MFA126" s="1740"/>
      <c r="MFB126" s="1740"/>
      <c r="MFC126" s="1740"/>
      <c r="MFD126" s="1740"/>
      <c r="MFE126" s="1740"/>
      <c r="MFF126" s="1740"/>
      <c r="MFG126" s="1740"/>
      <c r="MFH126" s="1740"/>
      <c r="MFI126" s="1740"/>
      <c r="MFJ126" s="1740"/>
      <c r="MFK126" s="1740"/>
      <c r="MFL126" s="1740"/>
      <c r="MFM126" s="1740"/>
      <c r="MFN126" s="1740"/>
      <c r="MFO126" s="1740"/>
      <c r="MFP126" s="1740"/>
      <c r="MFQ126" s="1740"/>
      <c r="MFR126" s="1740"/>
      <c r="MFS126" s="1740"/>
      <c r="MFT126" s="1740"/>
      <c r="MFU126" s="1740"/>
      <c r="MFV126" s="1740"/>
      <c r="MFW126" s="1740"/>
      <c r="MFX126" s="1740"/>
      <c r="MFY126" s="1740"/>
      <c r="MFZ126" s="1740"/>
      <c r="MGA126" s="1740"/>
      <c r="MGB126" s="1740"/>
      <c r="MGC126" s="1740"/>
      <c r="MGD126" s="1740"/>
      <c r="MGE126" s="1740"/>
      <c r="MGF126" s="1740"/>
      <c r="MGG126" s="1740"/>
      <c r="MGH126" s="1740"/>
      <c r="MGI126" s="1740"/>
      <c r="MGJ126" s="1740"/>
      <c r="MGK126" s="1740"/>
      <c r="MGL126" s="1740"/>
      <c r="MGM126" s="1740"/>
      <c r="MGN126" s="1740"/>
      <c r="MGO126" s="1740"/>
      <c r="MGP126" s="1740"/>
      <c r="MGQ126" s="1740"/>
      <c r="MGR126" s="1740"/>
      <c r="MGS126" s="1740"/>
      <c r="MGT126" s="1740"/>
      <c r="MGU126" s="1740"/>
      <c r="MGV126" s="1740"/>
      <c r="MGW126" s="1740"/>
      <c r="MGX126" s="1740"/>
      <c r="MGY126" s="1740"/>
      <c r="MGZ126" s="1740"/>
      <c r="MHA126" s="1740"/>
      <c r="MHB126" s="1740"/>
      <c r="MHC126" s="1740"/>
      <c r="MHD126" s="1740"/>
      <c r="MHE126" s="1740"/>
      <c r="MHF126" s="1740"/>
      <c r="MHG126" s="1740"/>
      <c r="MHH126" s="1740"/>
      <c r="MHI126" s="1740"/>
      <c r="MHJ126" s="1740"/>
      <c r="MHK126" s="1740"/>
      <c r="MHL126" s="1740"/>
      <c r="MHM126" s="1740"/>
      <c r="MHN126" s="1740"/>
      <c r="MHO126" s="1740"/>
      <c r="MHP126" s="1740"/>
      <c r="MHQ126" s="1740"/>
      <c r="MHR126" s="1740"/>
      <c r="MHS126" s="1740"/>
      <c r="MHT126" s="1740"/>
      <c r="MHU126" s="1740"/>
      <c r="MHV126" s="1740"/>
      <c r="MHW126" s="1740"/>
      <c r="MHX126" s="1740"/>
      <c r="MHY126" s="1740"/>
      <c r="MHZ126" s="1740"/>
      <c r="MIA126" s="1740"/>
      <c r="MIB126" s="1740"/>
      <c r="MIC126" s="1740"/>
      <c r="MID126" s="1740"/>
      <c r="MIE126" s="1740"/>
      <c r="MIF126" s="1740"/>
      <c r="MIG126" s="1740"/>
      <c r="MIH126" s="1740"/>
      <c r="MII126" s="1740"/>
      <c r="MIJ126" s="1740"/>
      <c r="MIK126" s="1740"/>
      <c r="MIL126" s="1740"/>
      <c r="MIM126" s="1740"/>
      <c r="MIN126" s="1740"/>
      <c r="MIO126" s="1740"/>
      <c r="MIP126" s="1740"/>
      <c r="MIQ126" s="1740"/>
      <c r="MIR126" s="1740"/>
      <c r="MIS126" s="1740"/>
      <c r="MIT126" s="1740"/>
      <c r="MIU126" s="1740"/>
      <c r="MIV126" s="1740"/>
      <c r="MIW126" s="1740"/>
      <c r="MIX126" s="1740"/>
      <c r="MIY126" s="1740"/>
      <c r="MIZ126" s="1740"/>
      <c r="MJA126" s="1740"/>
      <c r="MJB126" s="1740"/>
      <c r="MJC126" s="1740"/>
      <c r="MJD126" s="1740"/>
      <c r="MJE126" s="1740"/>
      <c r="MJF126" s="1740"/>
      <c r="MJG126" s="1740"/>
      <c r="MJH126" s="1740"/>
      <c r="MJI126" s="1740"/>
      <c r="MJJ126" s="1740"/>
      <c r="MJK126" s="1740"/>
      <c r="MJL126" s="1740"/>
      <c r="MJM126" s="1740"/>
      <c r="MJN126" s="1740"/>
      <c r="MJO126" s="1740"/>
      <c r="MJP126" s="1740"/>
      <c r="MJQ126" s="1740"/>
      <c r="MJR126" s="1740"/>
      <c r="MJS126" s="1740"/>
      <c r="MJT126" s="1740"/>
      <c r="MJU126" s="1740"/>
      <c r="MJV126" s="1740"/>
      <c r="MJW126" s="1740"/>
      <c r="MJX126" s="1740"/>
      <c r="MJY126" s="1740"/>
      <c r="MJZ126" s="1740"/>
      <c r="MKA126" s="1740"/>
      <c r="MKB126" s="1740"/>
      <c r="MKC126" s="1740"/>
      <c r="MKD126" s="1740"/>
      <c r="MKE126" s="1740"/>
      <c r="MKF126" s="1740"/>
      <c r="MKG126" s="1740"/>
      <c r="MKH126" s="1740"/>
      <c r="MKI126" s="1740"/>
      <c r="MKJ126" s="1740"/>
      <c r="MKK126" s="1740"/>
      <c r="MKL126" s="1740"/>
      <c r="MKM126" s="1740"/>
      <c r="MKN126" s="1740"/>
      <c r="MKO126" s="1740"/>
      <c r="MKP126" s="1740"/>
      <c r="MKQ126" s="1740"/>
      <c r="MKR126" s="1740"/>
      <c r="MKS126" s="1740"/>
      <c r="MKT126" s="1740"/>
      <c r="MKU126" s="1740"/>
      <c r="MKV126" s="1740"/>
      <c r="MKW126" s="1740"/>
      <c r="MKX126" s="1740"/>
      <c r="MKY126" s="1740"/>
      <c r="MKZ126" s="1740"/>
      <c r="MLA126" s="1740"/>
      <c r="MLB126" s="1740"/>
      <c r="MLC126" s="1740"/>
      <c r="MLD126" s="1740"/>
      <c r="MLE126" s="1740"/>
      <c r="MLF126" s="1740"/>
      <c r="MLG126" s="1740"/>
      <c r="MLH126" s="1740"/>
      <c r="MLI126" s="1740"/>
      <c r="MLJ126" s="1740"/>
      <c r="MLK126" s="1740"/>
      <c r="MLL126" s="1740"/>
      <c r="MLM126" s="1740"/>
      <c r="MLN126" s="1740"/>
      <c r="MLO126" s="1740"/>
      <c r="MLP126" s="1740"/>
      <c r="MLQ126" s="1740"/>
      <c r="MLR126" s="1740"/>
      <c r="MLS126" s="1740"/>
      <c r="MLT126" s="1740"/>
      <c r="MLU126" s="1740"/>
      <c r="MLV126" s="1740"/>
      <c r="MLW126" s="1740"/>
      <c r="MLX126" s="1740"/>
      <c r="MLY126" s="1740"/>
      <c r="MLZ126" s="1740"/>
      <c r="MMA126" s="1740"/>
      <c r="MMB126" s="1740"/>
      <c r="MMC126" s="1740"/>
      <c r="MMD126" s="1740"/>
      <c r="MME126" s="1740"/>
      <c r="MMF126" s="1740"/>
      <c r="MMG126" s="1740"/>
      <c r="MMH126" s="1740"/>
      <c r="MMI126" s="1740"/>
      <c r="MMJ126" s="1740"/>
      <c r="MMK126" s="1740"/>
      <c r="MML126" s="1740"/>
      <c r="MMM126" s="1740"/>
      <c r="MMN126" s="1740"/>
      <c r="MMO126" s="1740"/>
      <c r="MMP126" s="1740"/>
      <c r="MMQ126" s="1740"/>
      <c r="MMR126" s="1740"/>
      <c r="MMS126" s="1740"/>
      <c r="MMT126" s="1740"/>
      <c r="MMU126" s="1740"/>
      <c r="MMV126" s="1740"/>
      <c r="MMW126" s="1740"/>
      <c r="MMX126" s="1740"/>
      <c r="MMY126" s="1740"/>
      <c r="MMZ126" s="1740"/>
      <c r="MNA126" s="1740"/>
      <c r="MNB126" s="1740"/>
      <c r="MNC126" s="1740"/>
      <c r="MND126" s="1740"/>
      <c r="MNE126" s="1740"/>
      <c r="MNF126" s="1740"/>
      <c r="MNG126" s="1740"/>
      <c r="MNH126" s="1740"/>
      <c r="MNI126" s="1740"/>
      <c r="MNJ126" s="1740"/>
      <c r="MNK126" s="1740"/>
      <c r="MNL126" s="1740"/>
      <c r="MNM126" s="1740"/>
      <c r="MNN126" s="1740"/>
      <c r="MNO126" s="1740"/>
      <c r="MNP126" s="1740"/>
      <c r="MNQ126" s="1740"/>
      <c r="MNR126" s="1740"/>
      <c r="MNS126" s="1740"/>
      <c r="MNT126" s="1740"/>
      <c r="MNU126" s="1740"/>
      <c r="MNV126" s="1740"/>
      <c r="MNW126" s="1740"/>
      <c r="MNX126" s="1740"/>
      <c r="MNY126" s="1740"/>
      <c r="MNZ126" s="1740"/>
      <c r="MOA126" s="1740"/>
      <c r="MOB126" s="1740"/>
      <c r="MOC126" s="1740"/>
      <c r="MOD126" s="1740"/>
      <c r="MOE126" s="1740"/>
      <c r="MOF126" s="1740"/>
      <c r="MOG126" s="1740"/>
      <c r="MOH126" s="1740"/>
      <c r="MOI126" s="1740"/>
      <c r="MOJ126" s="1740"/>
      <c r="MOK126" s="1740"/>
      <c r="MOL126" s="1740"/>
      <c r="MOM126" s="1740"/>
      <c r="MON126" s="1740"/>
      <c r="MOO126" s="1740"/>
      <c r="MOP126" s="1740"/>
      <c r="MOQ126" s="1740"/>
      <c r="MOR126" s="1740"/>
      <c r="MOS126" s="1740"/>
      <c r="MOT126" s="1740"/>
      <c r="MOU126" s="1740"/>
      <c r="MOV126" s="1740"/>
      <c r="MOW126" s="1740"/>
      <c r="MOX126" s="1740"/>
      <c r="MOY126" s="1740"/>
      <c r="MOZ126" s="1740"/>
      <c r="MPA126" s="1740"/>
      <c r="MPB126" s="1740"/>
      <c r="MPC126" s="1740"/>
      <c r="MPD126" s="1740"/>
      <c r="MPE126" s="1740"/>
      <c r="MPF126" s="1740"/>
      <c r="MPG126" s="1740"/>
      <c r="MPH126" s="1740"/>
      <c r="MPI126" s="1740"/>
      <c r="MPJ126" s="1740"/>
      <c r="MPK126" s="1740"/>
      <c r="MPL126" s="1740"/>
      <c r="MPM126" s="1740"/>
      <c r="MPN126" s="1740"/>
      <c r="MPO126" s="1740"/>
      <c r="MPP126" s="1740"/>
      <c r="MPQ126" s="1740"/>
      <c r="MPR126" s="1740"/>
      <c r="MPS126" s="1740"/>
      <c r="MPT126" s="1740"/>
      <c r="MPU126" s="1740"/>
      <c r="MPV126" s="1740"/>
      <c r="MPW126" s="1740"/>
      <c r="MPX126" s="1740"/>
      <c r="MPY126" s="1740"/>
      <c r="MPZ126" s="1740"/>
      <c r="MQA126" s="1740"/>
      <c r="MQB126" s="1740"/>
      <c r="MQC126" s="1740"/>
      <c r="MQD126" s="1740"/>
      <c r="MQE126" s="1740"/>
      <c r="MQF126" s="1740"/>
      <c r="MQG126" s="1740"/>
      <c r="MQH126" s="1740"/>
      <c r="MQI126" s="1740"/>
      <c r="MQJ126" s="1740"/>
      <c r="MQK126" s="1740"/>
      <c r="MQL126" s="1740"/>
      <c r="MQM126" s="1740"/>
      <c r="MQN126" s="1740"/>
      <c r="MQO126" s="1740"/>
      <c r="MQP126" s="1740"/>
      <c r="MQQ126" s="1740"/>
      <c r="MQR126" s="1740"/>
      <c r="MQS126" s="1740"/>
      <c r="MQT126" s="1740"/>
      <c r="MQU126" s="1740"/>
      <c r="MQV126" s="1740"/>
      <c r="MQW126" s="1740"/>
      <c r="MQX126" s="1740"/>
      <c r="MQY126" s="1740"/>
      <c r="MQZ126" s="1740"/>
      <c r="MRA126" s="1740"/>
      <c r="MRB126" s="1740"/>
      <c r="MRC126" s="1740"/>
      <c r="MRD126" s="1740"/>
      <c r="MRE126" s="1740"/>
      <c r="MRF126" s="1740"/>
      <c r="MRG126" s="1740"/>
      <c r="MRH126" s="1740"/>
      <c r="MRI126" s="1740"/>
      <c r="MRJ126" s="1740"/>
      <c r="MRK126" s="1740"/>
      <c r="MRL126" s="1740"/>
      <c r="MRM126" s="1740"/>
      <c r="MRN126" s="1740"/>
      <c r="MRO126" s="1740"/>
      <c r="MRP126" s="1740"/>
      <c r="MRQ126" s="1740"/>
      <c r="MRR126" s="1740"/>
      <c r="MRS126" s="1740"/>
      <c r="MRT126" s="1740"/>
      <c r="MRU126" s="1740"/>
      <c r="MRV126" s="1740"/>
      <c r="MRW126" s="1740"/>
      <c r="MRX126" s="1740"/>
      <c r="MRY126" s="1740"/>
      <c r="MRZ126" s="1740"/>
      <c r="MSA126" s="1740"/>
      <c r="MSB126" s="1740"/>
      <c r="MSC126" s="1740"/>
      <c r="MSD126" s="1740"/>
      <c r="MSE126" s="1740"/>
      <c r="MSF126" s="1740"/>
      <c r="MSG126" s="1740"/>
      <c r="MSH126" s="1740"/>
      <c r="MSI126" s="1740"/>
      <c r="MSJ126" s="1740"/>
      <c r="MSK126" s="1740"/>
      <c r="MSL126" s="1740"/>
      <c r="MSM126" s="1740"/>
      <c r="MSN126" s="1740"/>
      <c r="MSO126" s="1740"/>
      <c r="MSP126" s="1740"/>
      <c r="MSQ126" s="1740"/>
      <c r="MSR126" s="1740"/>
      <c r="MSS126" s="1740"/>
      <c r="MST126" s="1740"/>
      <c r="MSU126" s="1740"/>
      <c r="MSV126" s="1740"/>
      <c r="MSW126" s="1740"/>
      <c r="MSX126" s="1740"/>
      <c r="MSY126" s="1740"/>
      <c r="MSZ126" s="1740"/>
      <c r="MTA126" s="1740"/>
      <c r="MTB126" s="1740"/>
      <c r="MTC126" s="1740"/>
      <c r="MTD126" s="1740"/>
      <c r="MTE126" s="1740"/>
      <c r="MTF126" s="1740"/>
      <c r="MTG126" s="1740"/>
      <c r="MTH126" s="1740"/>
      <c r="MTI126" s="1740"/>
      <c r="MTJ126" s="1740"/>
      <c r="MTK126" s="1740"/>
      <c r="MTL126" s="1740"/>
      <c r="MTM126" s="1740"/>
      <c r="MTN126" s="1740"/>
      <c r="MTO126" s="1740"/>
      <c r="MTP126" s="1740"/>
      <c r="MTQ126" s="1740"/>
      <c r="MTR126" s="1740"/>
      <c r="MTS126" s="1740"/>
      <c r="MTT126" s="1740"/>
      <c r="MTU126" s="1740"/>
      <c r="MTV126" s="1740"/>
      <c r="MTW126" s="1740"/>
      <c r="MTX126" s="1740"/>
      <c r="MTY126" s="1740"/>
      <c r="MTZ126" s="1740"/>
      <c r="MUA126" s="1740"/>
      <c r="MUB126" s="1740"/>
      <c r="MUC126" s="1740"/>
      <c r="MUD126" s="1740"/>
      <c r="MUE126" s="1740"/>
      <c r="MUF126" s="1740"/>
      <c r="MUG126" s="1740"/>
      <c r="MUH126" s="1740"/>
      <c r="MUI126" s="1740"/>
      <c r="MUJ126" s="1740"/>
      <c r="MUK126" s="1740"/>
      <c r="MUL126" s="1740"/>
      <c r="MUM126" s="1740"/>
      <c r="MUN126" s="1740"/>
      <c r="MUO126" s="1740"/>
      <c r="MUP126" s="1740"/>
      <c r="MUQ126" s="1740"/>
      <c r="MUR126" s="1740"/>
      <c r="MUS126" s="1740"/>
      <c r="MUT126" s="1740"/>
      <c r="MUU126" s="1740"/>
      <c r="MUV126" s="1740"/>
      <c r="MUW126" s="1740"/>
      <c r="MUX126" s="1740"/>
      <c r="MUY126" s="1740"/>
      <c r="MUZ126" s="1740"/>
      <c r="MVA126" s="1740"/>
      <c r="MVB126" s="1740"/>
      <c r="MVC126" s="1740"/>
      <c r="MVD126" s="1740"/>
      <c r="MVE126" s="1740"/>
      <c r="MVF126" s="1740"/>
      <c r="MVG126" s="1740"/>
      <c r="MVH126" s="1740"/>
      <c r="MVI126" s="1740"/>
      <c r="MVJ126" s="1740"/>
      <c r="MVK126" s="1740"/>
      <c r="MVL126" s="1740"/>
      <c r="MVM126" s="1740"/>
      <c r="MVN126" s="1740"/>
      <c r="MVO126" s="1740"/>
      <c r="MVP126" s="1740"/>
      <c r="MVQ126" s="1740"/>
      <c r="MVR126" s="1740"/>
      <c r="MVS126" s="1740"/>
      <c r="MVT126" s="1740"/>
      <c r="MVU126" s="1740"/>
      <c r="MVV126" s="1740"/>
      <c r="MVW126" s="1740"/>
      <c r="MVX126" s="1740"/>
      <c r="MVY126" s="1740"/>
      <c r="MVZ126" s="1740"/>
      <c r="MWA126" s="1740"/>
      <c r="MWB126" s="1740"/>
      <c r="MWC126" s="1740"/>
      <c r="MWD126" s="1740"/>
      <c r="MWE126" s="1740"/>
      <c r="MWF126" s="1740"/>
      <c r="MWG126" s="1740"/>
      <c r="MWH126" s="1740"/>
      <c r="MWI126" s="1740"/>
      <c r="MWJ126" s="1740"/>
      <c r="MWK126" s="1740"/>
      <c r="MWL126" s="1740"/>
      <c r="MWM126" s="1740"/>
      <c r="MWN126" s="1740"/>
      <c r="MWO126" s="1740"/>
      <c r="MWP126" s="1740"/>
      <c r="MWQ126" s="1740"/>
      <c r="MWR126" s="1740"/>
      <c r="MWS126" s="1740"/>
      <c r="MWT126" s="1740"/>
      <c r="MWU126" s="1740"/>
      <c r="MWV126" s="1740"/>
      <c r="MWW126" s="1740"/>
      <c r="MWX126" s="1740"/>
      <c r="MWY126" s="1740"/>
      <c r="MWZ126" s="1740"/>
      <c r="MXA126" s="1740"/>
      <c r="MXB126" s="1740"/>
      <c r="MXC126" s="1740"/>
      <c r="MXD126" s="1740"/>
      <c r="MXE126" s="1740"/>
      <c r="MXF126" s="1740"/>
      <c r="MXG126" s="1740"/>
      <c r="MXH126" s="1740"/>
      <c r="MXI126" s="1740"/>
      <c r="MXJ126" s="1740"/>
      <c r="MXK126" s="1740"/>
      <c r="MXL126" s="1740"/>
      <c r="MXM126" s="1740"/>
      <c r="MXN126" s="1740"/>
      <c r="MXO126" s="1740"/>
      <c r="MXP126" s="1740"/>
      <c r="MXQ126" s="1740"/>
      <c r="MXR126" s="1740"/>
      <c r="MXS126" s="1740"/>
      <c r="MXT126" s="1740"/>
      <c r="MXU126" s="1740"/>
      <c r="MXV126" s="1740"/>
      <c r="MXW126" s="1740"/>
      <c r="MXX126" s="1740"/>
      <c r="MXY126" s="1740"/>
      <c r="MXZ126" s="1740"/>
      <c r="MYA126" s="1740"/>
      <c r="MYB126" s="1740"/>
      <c r="MYC126" s="1740"/>
      <c r="MYD126" s="1740"/>
      <c r="MYE126" s="1740"/>
      <c r="MYF126" s="1740"/>
      <c r="MYG126" s="1740"/>
      <c r="MYH126" s="1740"/>
      <c r="MYI126" s="1740"/>
      <c r="MYJ126" s="1740"/>
      <c r="MYK126" s="1740"/>
      <c r="MYL126" s="1740"/>
      <c r="MYM126" s="1740"/>
      <c r="MYN126" s="1740"/>
      <c r="MYO126" s="1740"/>
      <c r="MYP126" s="1740"/>
      <c r="MYQ126" s="1740"/>
      <c r="MYR126" s="1740"/>
      <c r="MYS126" s="1740"/>
      <c r="MYT126" s="1740"/>
      <c r="MYU126" s="1740"/>
      <c r="MYV126" s="1740"/>
      <c r="MYW126" s="1740"/>
      <c r="MYX126" s="1740"/>
      <c r="MYY126" s="1740"/>
      <c r="MYZ126" s="1740"/>
      <c r="MZA126" s="1740"/>
      <c r="MZB126" s="1740"/>
      <c r="MZC126" s="1740"/>
      <c r="MZD126" s="1740"/>
      <c r="MZE126" s="1740"/>
      <c r="MZF126" s="1740"/>
      <c r="MZG126" s="1740"/>
      <c r="MZH126" s="1740"/>
      <c r="MZI126" s="1740"/>
      <c r="MZJ126" s="1740"/>
      <c r="MZK126" s="1740"/>
      <c r="MZL126" s="1740"/>
      <c r="MZM126" s="1740"/>
      <c r="MZN126" s="1740"/>
      <c r="MZO126" s="1740"/>
      <c r="MZP126" s="1740"/>
      <c r="MZQ126" s="1740"/>
      <c r="MZR126" s="1740"/>
      <c r="MZS126" s="1740"/>
      <c r="MZT126" s="1740"/>
      <c r="MZU126" s="1740"/>
      <c r="MZV126" s="1740"/>
      <c r="MZW126" s="1740"/>
      <c r="MZX126" s="1740"/>
      <c r="MZY126" s="1740"/>
      <c r="MZZ126" s="1740"/>
      <c r="NAA126" s="1740"/>
      <c r="NAB126" s="1740"/>
      <c r="NAC126" s="1740"/>
      <c r="NAD126" s="1740"/>
      <c r="NAE126" s="1740"/>
      <c r="NAF126" s="1740"/>
      <c r="NAG126" s="1740"/>
      <c r="NAH126" s="1740"/>
      <c r="NAI126" s="1740"/>
      <c r="NAJ126" s="1740"/>
      <c r="NAK126" s="1740"/>
      <c r="NAL126" s="1740"/>
      <c r="NAM126" s="1740"/>
      <c r="NAN126" s="1740"/>
      <c r="NAO126" s="1740"/>
      <c r="NAP126" s="1740"/>
      <c r="NAQ126" s="1740"/>
      <c r="NAR126" s="1740"/>
      <c r="NAS126" s="1740"/>
      <c r="NAT126" s="1740"/>
      <c r="NAU126" s="1740"/>
      <c r="NAV126" s="1740"/>
      <c r="NAW126" s="1740"/>
      <c r="NAX126" s="1740"/>
      <c r="NAY126" s="1740"/>
      <c r="NAZ126" s="1740"/>
      <c r="NBA126" s="1740"/>
      <c r="NBB126" s="1740"/>
      <c r="NBC126" s="1740"/>
      <c r="NBD126" s="1740"/>
      <c r="NBE126" s="1740"/>
      <c r="NBF126" s="1740"/>
      <c r="NBG126" s="1740"/>
      <c r="NBH126" s="1740"/>
      <c r="NBI126" s="1740"/>
      <c r="NBJ126" s="1740"/>
      <c r="NBK126" s="1740"/>
      <c r="NBL126" s="1740"/>
      <c r="NBM126" s="1740"/>
      <c r="NBN126" s="1740"/>
      <c r="NBO126" s="1740"/>
      <c r="NBP126" s="1740"/>
      <c r="NBQ126" s="1740"/>
      <c r="NBR126" s="1740"/>
      <c r="NBS126" s="1740"/>
      <c r="NBT126" s="1740"/>
      <c r="NBU126" s="1740"/>
      <c r="NBV126" s="1740"/>
      <c r="NBW126" s="1740"/>
      <c r="NBX126" s="1740"/>
      <c r="NBY126" s="1740"/>
      <c r="NBZ126" s="1740"/>
      <c r="NCA126" s="1740"/>
      <c r="NCB126" s="1740"/>
      <c r="NCC126" s="1740"/>
      <c r="NCD126" s="1740"/>
      <c r="NCE126" s="1740"/>
      <c r="NCF126" s="1740"/>
      <c r="NCG126" s="1740"/>
      <c r="NCH126" s="1740"/>
      <c r="NCI126" s="1740"/>
      <c r="NCJ126" s="1740"/>
      <c r="NCK126" s="1740"/>
      <c r="NCL126" s="1740"/>
      <c r="NCM126" s="1740"/>
      <c r="NCN126" s="1740"/>
      <c r="NCO126" s="1740"/>
      <c r="NCP126" s="1740"/>
      <c r="NCQ126" s="1740"/>
      <c r="NCR126" s="1740"/>
      <c r="NCS126" s="1740"/>
      <c r="NCT126" s="1740"/>
      <c r="NCU126" s="1740"/>
      <c r="NCV126" s="1740"/>
      <c r="NCW126" s="1740"/>
      <c r="NCX126" s="1740"/>
      <c r="NCY126" s="1740"/>
      <c r="NCZ126" s="1740"/>
      <c r="NDA126" s="1740"/>
      <c r="NDB126" s="1740"/>
      <c r="NDC126" s="1740"/>
      <c r="NDD126" s="1740"/>
      <c r="NDE126" s="1740"/>
      <c r="NDF126" s="1740"/>
      <c r="NDG126" s="1740"/>
      <c r="NDH126" s="1740"/>
      <c r="NDI126" s="1740"/>
      <c r="NDJ126" s="1740"/>
      <c r="NDK126" s="1740"/>
      <c r="NDL126" s="1740"/>
      <c r="NDM126" s="1740"/>
      <c r="NDN126" s="1740"/>
      <c r="NDO126" s="1740"/>
      <c r="NDP126" s="1740"/>
      <c r="NDQ126" s="1740"/>
      <c r="NDR126" s="1740"/>
      <c r="NDS126" s="1740"/>
      <c r="NDT126" s="1740"/>
      <c r="NDU126" s="1740"/>
      <c r="NDV126" s="1740"/>
      <c r="NDW126" s="1740"/>
      <c r="NDX126" s="1740"/>
      <c r="NDY126" s="1740"/>
      <c r="NDZ126" s="1740"/>
      <c r="NEA126" s="1740"/>
      <c r="NEB126" s="1740"/>
      <c r="NEC126" s="1740"/>
      <c r="NED126" s="1740"/>
      <c r="NEE126" s="1740"/>
      <c r="NEF126" s="1740"/>
      <c r="NEG126" s="1740"/>
      <c r="NEH126" s="1740"/>
      <c r="NEI126" s="1740"/>
      <c r="NEJ126" s="1740"/>
      <c r="NEK126" s="1740"/>
      <c r="NEL126" s="1740"/>
      <c r="NEM126" s="1740"/>
      <c r="NEN126" s="1740"/>
      <c r="NEO126" s="1740"/>
      <c r="NEP126" s="1740"/>
      <c r="NEQ126" s="1740"/>
      <c r="NER126" s="1740"/>
      <c r="NES126" s="1740"/>
      <c r="NET126" s="1740"/>
      <c r="NEU126" s="1740"/>
      <c r="NEV126" s="1740"/>
      <c r="NEW126" s="1740"/>
      <c r="NEX126" s="1740"/>
      <c r="NEY126" s="1740"/>
      <c r="NEZ126" s="1740"/>
      <c r="NFA126" s="1740"/>
      <c r="NFB126" s="1740"/>
      <c r="NFC126" s="1740"/>
      <c r="NFD126" s="1740"/>
      <c r="NFE126" s="1740"/>
      <c r="NFF126" s="1740"/>
      <c r="NFG126" s="1740"/>
      <c r="NFH126" s="1740"/>
      <c r="NFI126" s="1740"/>
      <c r="NFJ126" s="1740"/>
      <c r="NFK126" s="1740"/>
      <c r="NFL126" s="1740"/>
      <c r="NFM126" s="1740"/>
      <c r="NFN126" s="1740"/>
      <c r="NFO126" s="1740"/>
      <c r="NFP126" s="1740"/>
      <c r="NFQ126" s="1740"/>
      <c r="NFR126" s="1740"/>
      <c r="NFS126" s="1740"/>
      <c r="NFT126" s="1740"/>
      <c r="NFU126" s="1740"/>
      <c r="NFV126" s="1740"/>
      <c r="NFW126" s="1740"/>
      <c r="NFX126" s="1740"/>
      <c r="NFY126" s="1740"/>
      <c r="NFZ126" s="1740"/>
      <c r="NGA126" s="1740"/>
      <c r="NGB126" s="1740"/>
      <c r="NGC126" s="1740"/>
      <c r="NGD126" s="1740"/>
      <c r="NGE126" s="1740"/>
      <c r="NGF126" s="1740"/>
      <c r="NGG126" s="1740"/>
      <c r="NGH126" s="1740"/>
      <c r="NGI126" s="1740"/>
      <c r="NGJ126" s="1740"/>
      <c r="NGK126" s="1740"/>
      <c r="NGL126" s="1740"/>
      <c r="NGM126" s="1740"/>
      <c r="NGN126" s="1740"/>
      <c r="NGO126" s="1740"/>
      <c r="NGP126" s="1740"/>
      <c r="NGQ126" s="1740"/>
      <c r="NGR126" s="1740"/>
      <c r="NGS126" s="1740"/>
      <c r="NGT126" s="1740"/>
      <c r="NGU126" s="1740"/>
      <c r="NGV126" s="1740"/>
      <c r="NGW126" s="1740"/>
      <c r="NGX126" s="1740"/>
      <c r="NGY126" s="1740"/>
      <c r="NGZ126" s="1740"/>
      <c r="NHA126" s="1740"/>
      <c r="NHB126" s="1740"/>
      <c r="NHC126" s="1740"/>
      <c r="NHD126" s="1740"/>
      <c r="NHE126" s="1740"/>
      <c r="NHF126" s="1740"/>
      <c r="NHG126" s="1740"/>
      <c r="NHH126" s="1740"/>
      <c r="NHI126" s="1740"/>
      <c r="NHJ126" s="1740"/>
      <c r="NHK126" s="1740"/>
      <c r="NHL126" s="1740"/>
      <c r="NHM126" s="1740"/>
      <c r="NHN126" s="1740"/>
      <c r="NHO126" s="1740"/>
      <c r="NHP126" s="1740"/>
      <c r="NHQ126" s="1740"/>
      <c r="NHR126" s="1740"/>
      <c r="NHS126" s="1740"/>
      <c r="NHT126" s="1740"/>
      <c r="NHU126" s="1740"/>
      <c r="NHV126" s="1740"/>
      <c r="NHW126" s="1740"/>
      <c r="NHX126" s="1740"/>
      <c r="NHY126" s="1740"/>
      <c r="NHZ126" s="1740"/>
      <c r="NIA126" s="1740"/>
      <c r="NIB126" s="1740"/>
      <c r="NIC126" s="1740"/>
      <c r="NID126" s="1740"/>
      <c r="NIE126" s="1740"/>
      <c r="NIF126" s="1740"/>
      <c r="NIG126" s="1740"/>
      <c r="NIH126" s="1740"/>
      <c r="NII126" s="1740"/>
      <c r="NIJ126" s="1740"/>
      <c r="NIK126" s="1740"/>
      <c r="NIL126" s="1740"/>
      <c r="NIM126" s="1740"/>
      <c r="NIN126" s="1740"/>
      <c r="NIO126" s="1740"/>
      <c r="NIP126" s="1740"/>
      <c r="NIQ126" s="1740"/>
      <c r="NIR126" s="1740"/>
      <c r="NIS126" s="1740"/>
      <c r="NIT126" s="1740"/>
      <c r="NIU126" s="1740"/>
      <c r="NIV126" s="1740"/>
      <c r="NIW126" s="1740"/>
      <c r="NIX126" s="1740"/>
      <c r="NIY126" s="1740"/>
      <c r="NIZ126" s="1740"/>
      <c r="NJA126" s="1740"/>
      <c r="NJB126" s="1740"/>
      <c r="NJC126" s="1740"/>
      <c r="NJD126" s="1740"/>
      <c r="NJE126" s="1740"/>
      <c r="NJF126" s="1740"/>
      <c r="NJG126" s="1740"/>
      <c r="NJH126" s="1740"/>
      <c r="NJI126" s="1740"/>
      <c r="NJJ126" s="1740"/>
      <c r="NJK126" s="1740"/>
      <c r="NJL126" s="1740"/>
      <c r="NJM126" s="1740"/>
      <c r="NJN126" s="1740"/>
      <c r="NJO126" s="1740"/>
      <c r="NJP126" s="1740"/>
      <c r="NJQ126" s="1740"/>
      <c r="NJR126" s="1740"/>
      <c r="NJS126" s="1740"/>
      <c r="NJT126" s="1740"/>
      <c r="NJU126" s="1740"/>
      <c r="NJV126" s="1740"/>
      <c r="NJW126" s="1740"/>
      <c r="NJX126" s="1740"/>
      <c r="NJY126" s="1740"/>
      <c r="NJZ126" s="1740"/>
      <c r="NKA126" s="1740"/>
      <c r="NKB126" s="1740"/>
      <c r="NKC126" s="1740"/>
      <c r="NKD126" s="1740"/>
      <c r="NKE126" s="1740"/>
      <c r="NKF126" s="1740"/>
      <c r="NKG126" s="1740"/>
      <c r="NKH126" s="1740"/>
      <c r="NKI126" s="1740"/>
      <c r="NKJ126" s="1740"/>
      <c r="NKK126" s="1740"/>
      <c r="NKL126" s="1740"/>
      <c r="NKM126" s="1740"/>
      <c r="NKN126" s="1740"/>
      <c r="NKO126" s="1740"/>
      <c r="NKP126" s="1740"/>
      <c r="NKQ126" s="1740"/>
      <c r="NKR126" s="1740"/>
      <c r="NKS126" s="1740"/>
      <c r="NKT126" s="1740"/>
      <c r="NKU126" s="1740"/>
      <c r="NKV126" s="1740"/>
      <c r="NKW126" s="1740"/>
      <c r="NKX126" s="1740"/>
      <c r="NKY126" s="1740"/>
      <c r="NKZ126" s="1740"/>
      <c r="NLA126" s="1740"/>
      <c r="NLB126" s="1740"/>
      <c r="NLC126" s="1740"/>
      <c r="NLD126" s="1740"/>
      <c r="NLE126" s="1740"/>
      <c r="NLF126" s="1740"/>
      <c r="NLG126" s="1740"/>
      <c r="NLH126" s="1740"/>
      <c r="NLI126" s="1740"/>
      <c r="NLJ126" s="1740"/>
      <c r="NLK126" s="1740"/>
      <c r="NLL126" s="1740"/>
      <c r="NLM126" s="1740"/>
      <c r="NLN126" s="1740"/>
      <c r="NLO126" s="1740"/>
      <c r="NLP126" s="1740"/>
      <c r="NLQ126" s="1740"/>
      <c r="NLR126" s="1740"/>
      <c r="NLS126" s="1740"/>
      <c r="NLT126" s="1740"/>
      <c r="NLU126" s="1740"/>
      <c r="NLV126" s="1740"/>
      <c r="NLW126" s="1740"/>
      <c r="NLX126" s="1740"/>
      <c r="NLY126" s="1740"/>
      <c r="NLZ126" s="1740"/>
      <c r="NMA126" s="1740"/>
      <c r="NMB126" s="1740"/>
      <c r="NMC126" s="1740"/>
      <c r="NMD126" s="1740"/>
      <c r="NME126" s="1740"/>
      <c r="NMF126" s="1740"/>
      <c r="NMG126" s="1740"/>
      <c r="NMH126" s="1740"/>
      <c r="NMI126" s="1740"/>
      <c r="NMJ126" s="1740"/>
      <c r="NMK126" s="1740"/>
      <c r="NML126" s="1740"/>
      <c r="NMM126" s="1740"/>
      <c r="NMN126" s="1740"/>
      <c r="NMO126" s="1740"/>
      <c r="NMP126" s="1740"/>
      <c r="NMQ126" s="1740"/>
      <c r="NMR126" s="1740"/>
      <c r="NMS126" s="1740"/>
      <c r="NMT126" s="1740"/>
      <c r="NMU126" s="1740"/>
      <c r="NMV126" s="1740"/>
      <c r="NMW126" s="1740"/>
      <c r="NMX126" s="1740"/>
      <c r="NMY126" s="1740"/>
      <c r="NMZ126" s="1740"/>
      <c r="NNA126" s="1740"/>
      <c r="NNB126" s="1740"/>
      <c r="NNC126" s="1740"/>
      <c r="NND126" s="1740"/>
      <c r="NNE126" s="1740"/>
      <c r="NNF126" s="1740"/>
      <c r="NNG126" s="1740"/>
      <c r="NNH126" s="1740"/>
      <c r="NNI126" s="1740"/>
      <c r="NNJ126" s="1740"/>
      <c r="NNK126" s="1740"/>
      <c r="NNL126" s="1740"/>
      <c r="NNM126" s="1740"/>
      <c r="NNN126" s="1740"/>
      <c r="NNO126" s="1740"/>
      <c r="NNP126" s="1740"/>
      <c r="NNQ126" s="1740"/>
      <c r="NNR126" s="1740"/>
      <c r="NNS126" s="1740"/>
      <c r="NNT126" s="1740"/>
      <c r="NNU126" s="1740"/>
      <c r="NNV126" s="1740"/>
      <c r="NNW126" s="1740"/>
      <c r="NNX126" s="1740"/>
      <c r="NNY126" s="1740"/>
      <c r="NNZ126" s="1740"/>
      <c r="NOA126" s="1740"/>
      <c r="NOB126" s="1740"/>
      <c r="NOC126" s="1740"/>
      <c r="NOD126" s="1740"/>
      <c r="NOE126" s="1740"/>
      <c r="NOF126" s="1740"/>
      <c r="NOG126" s="1740"/>
      <c r="NOH126" s="1740"/>
      <c r="NOI126" s="1740"/>
      <c r="NOJ126" s="1740"/>
      <c r="NOK126" s="1740"/>
      <c r="NOL126" s="1740"/>
      <c r="NOM126" s="1740"/>
      <c r="NON126" s="1740"/>
      <c r="NOO126" s="1740"/>
      <c r="NOP126" s="1740"/>
      <c r="NOQ126" s="1740"/>
      <c r="NOR126" s="1740"/>
      <c r="NOS126" s="1740"/>
      <c r="NOT126" s="1740"/>
      <c r="NOU126" s="1740"/>
      <c r="NOV126" s="1740"/>
      <c r="NOW126" s="1740"/>
      <c r="NOX126" s="1740"/>
      <c r="NOY126" s="1740"/>
      <c r="NOZ126" s="1740"/>
      <c r="NPA126" s="1740"/>
      <c r="NPB126" s="1740"/>
      <c r="NPC126" s="1740"/>
      <c r="NPD126" s="1740"/>
      <c r="NPE126" s="1740"/>
      <c r="NPF126" s="1740"/>
      <c r="NPG126" s="1740"/>
      <c r="NPH126" s="1740"/>
      <c r="NPI126" s="1740"/>
      <c r="NPJ126" s="1740"/>
      <c r="NPK126" s="1740"/>
      <c r="NPL126" s="1740"/>
      <c r="NPM126" s="1740"/>
      <c r="NPN126" s="1740"/>
      <c r="NPO126" s="1740"/>
      <c r="NPP126" s="1740"/>
      <c r="NPQ126" s="1740"/>
      <c r="NPR126" s="1740"/>
      <c r="NPS126" s="1740"/>
      <c r="NPT126" s="1740"/>
      <c r="NPU126" s="1740"/>
      <c r="NPV126" s="1740"/>
      <c r="NPW126" s="1740"/>
      <c r="NPX126" s="1740"/>
      <c r="NPY126" s="1740"/>
      <c r="NPZ126" s="1740"/>
      <c r="NQA126" s="1740"/>
      <c r="NQB126" s="1740"/>
      <c r="NQC126" s="1740"/>
      <c r="NQD126" s="1740"/>
      <c r="NQE126" s="1740"/>
      <c r="NQF126" s="1740"/>
      <c r="NQG126" s="1740"/>
      <c r="NQH126" s="1740"/>
      <c r="NQI126" s="1740"/>
      <c r="NQJ126" s="1740"/>
      <c r="NQK126" s="1740"/>
      <c r="NQL126" s="1740"/>
      <c r="NQM126" s="1740"/>
      <c r="NQN126" s="1740"/>
      <c r="NQO126" s="1740"/>
      <c r="NQP126" s="1740"/>
      <c r="NQQ126" s="1740"/>
      <c r="NQR126" s="1740"/>
      <c r="NQS126" s="1740"/>
      <c r="NQT126" s="1740"/>
      <c r="NQU126" s="1740"/>
      <c r="NQV126" s="1740"/>
      <c r="NQW126" s="1740"/>
      <c r="NQX126" s="1740"/>
      <c r="NQY126" s="1740"/>
      <c r="NQZ126" s="1740"/>
      <c r="NRA126" s="1740"/>
      <c r="NRB126" s="1740"/>
      <c r="NRC126" s="1740"/>
      <c r="NRD126" s="1740"/>
      <c r="NRE126" s="1740"/>
      <c r="NRF126" s="1740"/>
      <c r="NRG126" s="1740"/>
      <c r="NRH126" s="1740"/>
      <c r="NRI126" s="1740"/>
      <c r="NRJ126" s="1740"/>
      <c r="NRK126" s="1740"/>
      <c r="NRL126" s="1740"/>
      <c r="NRM126" s="1740"/>
      <c r="NRN126" s="1740"/>
      <c r="NRO126" s="1740"/>
      <c r="NRP126" s="1740"/>
      <c r="NRQ126" s="1740"/>
      <c r="NRR126" s="1740"/>
      <c r="NRS126" s="1740"/>
      <c r="NRT126" s="1740"/>
      <c r="NRU126" s="1740"/>
      <c r="NRV126" s="1740"/>
      <c r="NRW126" s="1740"/>
      <c r="NRX126" s="1740"/>
      <c r="NRY126" s="1740"/>
      <c r="NRZ126" s="1740"/>
      <c r="NSA126" s="1740"/>
      <c r="NSB126" s="1740"/>
      <c r="NSC126" s="1740"/>
      <c r="NSD126" s="1740"/>
      <c r="NSE126" s="1740"/>
      <c r="NSF126" s="1740"/>
      <c r="NSG126" s="1740"/>
      <c r="NSH126" s="1740"/>
      <c r="NSI126" s="1740"/>
      <c r="NSJ126" s="1740"/>
      <c r="NSK126" s="1740"/>
      <c r="NSL126" s="1740"/>
      <c r="NSM126" s="1740"/>
      <c r="NSN126" s="1740"/>
      <c r="NSO126" s="1740"/>
      <c r="NSP126" s="1740"/>
      <c r="NSQ126" s="1740"/>
      <c r="NSR126" s="1740"/>
      <c r="NSS126" s="1740"/>
      <c r="NST126" s="1740"/>
      <c r="NSU126" s="1740"/>
      <c r="NSV126" s="1740"/>
      <c r="NSW126" s="1740"/>
      <c r="NSX126" s="1740"/>
      <c r="NSY126" s="1740"/>
      <c r="NSZ126" s="1740"/>
      <c r="NTA126" s="1740"/>
      <c r="NTB126" s="1740"/>
      <c r="NTC126" s="1740"/>
      <c r="NTD126" s="1740"/>
      <c r="NTE126" s="1740"/>
      <c r="NTF126" s="1740"/>
      <c r="NTG126" s="1740"/>
      <c r="NTH126" s="1740"/>
      <c r="NTI126" s="1740"/>
      <c r="NTJ126" s="1740"/>
      <c r="NTK126" s="1740"/>
      <c r="NTL126" s="1740"/>
      <c r="NTM126" s="1740"/>
      <c r="NTN126" s="1740"/>
      <c r="NTO126" s="1740"/>
      <c r="NTP126" s="1740"/>
      <c r="NTQ126" s="1740"/>
      <c r="NTR126" s="1740"/>
      <c r="NTS126" s="1740"/>
      <c r="NTT126" s="1740"/>
      <c r="NTU126" s="1740"/>
      <c r="NTV126" s="1740"/>
      <c r="NTW126" s="1740"/>
      <c r="NTX126" s="1740"/>
      <c r="NTY126" s="1740"/>
      <c r="NTZ126" s="1740"/>
      <c r="NUA126" s="1740"/>
      <c r="NUB126" s="1740"/>
      <c r="NUC126" s="1740"/>
      <c r="NUD126" s="1740"/>
      <c r="NUE126" s="1740"/>
      <c r="NUF126" s="1740"/>
      <c r="NUG126" s="1740"/>
      <c r="NUH126" s="1740"/>
      <c r="NUI126" s="1740"/>
      <c r="NUJ126" s="1740"/>
      <c r="NUK126" s="1740"/>
      <c r="NUL126" s="1740"/>
      <c r="NUM126" s="1740"/>
      <c r="NUN126" s="1740"/>
      <c r="NUO126" s="1740"/>
      <c r="NUP126" s="1740"/>
      <c r="NUQ126" s="1740"/>
      <c r="NUR126" s="1740"/>
      <c r="NUS126" s="1740"/>
      <c r="NUT126" s="1740"/>
      <c r="NUU126" s="1740"/>
      <c r="NUV126" s="1740"/>
      <c r="NUW126" s="1740"/>
      <c r="NUX126" s="1740"/>
      <c r="NUY126" s="1740"/>
      <c r="NUZ126" s="1740"/>
      <c r="NVA126" s="1740"/>
      <c r="NVB126" s="1740"/>
      <c r="NVC126" s="1740"/>
      <c r="NVD126" s="1740"/>
      <c r="NVE126" s="1740"/>
      <c r="NVF126" s="1740"/>
      <c r="NVG126" s="1740"/>
      <c r="NVH126" s="1740"/>
      <c r="NVI126" s="1740"/>
      <c r="NVJ126" s="1740"/>
      <c r="NVK126" s="1740"/>
      <c r="NVL126" s="1740"/>
      <c r="NVM126" s="1740"/>
      <c r="NVN126" s="1740"/>
      <c r="NVO126" s="1740"/>
      <c r="NVP126" s="1740"/>
      <c r="NVQ126" s="1740"/>
      <c r="NVR126" s="1740"/>
      <c r="NVS126" s="1740"/>
      <c r="NVT126" s="1740"/>
      <c r="NVU126" s="1740"/>
      <c r="NVV126" s="1740"/>
      <c r="NVW126" s="1740"/>
      <c r="NVX126" s="1740"/>
      <c r="NVY126" s="1740"/>
      <c r="NVZ126" s="1740"/>
      <c r="NWA126" s="1740"/>
      <c r="NWB126" s="1740"/>
      <c r="NWC126" s="1740"/>
      <c r="NWD126" s="1740"/>
      <c r="NWE126" s="1740"/>
      <c r="NWF126" s="1740"/>
      <c r="NWG126" s="1740"/>
      <c r="NWH126" s="1740"/>
      <c r="NWI126" s="1740"/>
      <c r="NWJ126" s="1740"/>
      <c r="NWK126" s="1740"/>
      <c r="NWL126" s="1740"/>
      <c r="NWM126" s="1740"/>
      <c r="NWN126" s="1740"/>
      <c r="NWO126" s="1740"/>
      <c r="NWP126" s="1740"/>
      <c r="NWQ126" s="1740"/>
      <c r="NWR126" s="1740"/>
      <c r="NWS126" s="1740"/>
      <c r="NWT126" s="1740"/>
      <c r="NWU126" s="1740"/>
      <c r="NWV126" s="1740"/>
      <c r="NWW126" s="1740"/>
      <c r="NWX126" s="1740"/>
      <c r="NWY126" s="1740"/>
      <c r="NWZ126" s="1740"/>
      <c r="NXA126" s="1740"/>
      <c r="NXB126" s="1740"/>
      <c r="NXC126" s="1740"/>
      <c r="NXD126" s="1740"/>
      <c r="NXE126" s="1740"/>
      <c r="NXF126" s="1740"/>
      <c r="NXG126" s="1740"/>
      <c r="NXH126" s="1740"/>
      <c r="NXI126" s="1740"/>
      <c r="NXJ126" s="1740"/>
      <c r="NXK126" s="1740"/>
      <c r="NXL126" s="1740"/>
      <c r="NXM126" s="1740"/>
      <c r="NXN126" s="1740"/>
      <c r="NXO126" s="1740"/>
      <c r="NXP126" s="1740"/>
      <c r="NXQ126" s="1740"/>
      <c r="NXR126" s="1740"/>
      <c r="NXS126" s="1740"/>
      <c r="NXT126" s="1740"/>
      <c r="NXU126" s="1740"/>
      <c r="NXV126" s="1740"/>
      <c r="NXW126" s="1740"/>
      <c r="NXX126" s="1740"/>
      <c r="NXY126" s="1740"/>
      <c r="NXZ126" s="1740"/>
      <c r="NYA126" s="1740"/>
      <c r="NYB126" s="1740"/>
      <c r="NYC126" s="1740"/>
      <c r="NYD126" s="1740"/>
      <c r="NYE126" s="1740"/>
      <c r="NYF126" s="1740"/>
      <c r="NYG126" s="1740"/>
      <c r="NYH126" s="1740"/>
      <c r="NYI126" s="1740"/>
      <c r="NYJ126" s="1740"/>
      <c r="NYK126" s="1740"/>
      <c r="NYL126" s="1740"/>
      <c r="NYM126" s="1740"/>
      <c r="NYN126" s="1740"/>
      <c r="NYO126" s="1740"/>
      <c r="NYP126" s="1740"/>
      <c r="NYQ126" s="1740"/>
      <c r="NYR126" s="1740"/>
      <c r="NYS126" s="1740"/>
      <c r="NYT126" s="1740"/>
      <c r="NYU126" s="1740"/>
      <c r="NYV126" s="1740"/>
      <c r="NYW126" s="1740"/>
      <c r="NYX126" s="1740"/>
      <c r="NYY126" s="1740"/>
      <c r="NYZ126" s="1740"/>
      <c r="NZA126" s="1740"/>
      <c r="NZB126" s="1740"/>
      <c r="NZC126" s="1740"/>
      <c r="NZD126" s="1740"/>
      <c r="NZE126" s="1740"/>
      <c r="NZF126" s="1740"/>
      <c r="NZG126" s="1740"/>
      <c r="NZH126" s="1740"/>
      <c r="NZI126" s="1740"/>
      <c r="NZJ126" s="1740"/>
      <c r="NZK126" s="1740"/>
      <c r="NZL126" s="1740"/>
      <c r="NZM126" s="1740"/>
      <c r="NZN126" s="1740"/>
      <c r="NZO126" s="1740"/>
      <c r="NZP126" s="1740"/>
      <c r="NZQ126" s="1740"/>
      <c r="NZR126" s="1740"/>
      <c r="NZS126" s="1740"/>
      <c r="NZT126" s="1740"/>
      <c r="NZU126" s="1740"/>
      <c r="NZV126" s="1740"/>
      <c r="NZW126" s="1740"/>
      <c r="NZX126" s="1740"/>
      <c r="NZY126" s="1740"/>
      <c r="NZZ126" s="1740"/>
      <c r="OAA126" s="1740"/>
      <c r="OAB126" s="1740"/>
      <c r="OAC126" s="1740"/>
      <c r="OAD126" s="1740"/>
      <c r="OAE126" s="1740"/>
      <c r="OAF126" s="1740"/>
      <c r="OAG126" s="1740"/>
      <c r="OAH126" s="1740"/>
      <c r="OAI126" s="1740"/>
      <c r="OAJ126" s="1740"/>
      <c r="OAK126" s="1740"/>
      <c r="OAL126" s="1740"/>
      <c r="OAM126" s="1740"/>
      <c r="OAN126" s="1740"/>
      <c r="OAO126" s="1740"/>
      <c r="OAP126" s="1740"/>
      <c r="OAQ126" s="1740"/>
      <c r="OAR126" s="1740"/>
      <c r="OAS126" s="1740"/>
      <c r="OAT126" s="1740"/>
      <c r="OAU126" s="1740"/>
      <c r="OAV126" s="1740"/>
      <c r="OAW126" s="1740"/>
      <c r="OAX126" s="1740"/>
      <c r="OAY126" s="1740"/>
      <c r="OAZ126" s="1740"/>
      <c r="OBA126" s="1740"/>
      <c r="OBB126" s="1740"/>
      <c r="OBC126" s="1740"/>
      <c r="OBD126" s="1740"/>
      <c r="OBE126" s="1740"/>
      <c r="OBF126" s="1740"/>
      <c r="OBG126" s="1740"/>
      <c r="OBH126" s="1740"/>
      <c r="OBI126" s="1740"/>
      <c r="OBJ126" s="1740"/>
      <c r="OBK126" s="1740"/>
      <c r="OBL126" s="1740"/>
      <c r="OBM126" s="1740"/>
      <c r="OBN126" s="1740"/>
      <c r="OBO126" s="1740"/>
      <c r="OBP126" s="1740"/>
      <c r="OBQ126" s="1740"/>
      <c r="OBR126" s="1740"/>
      <c r="OBS126" s="1740"/>
      <c r="OBT126" s="1740"/>
      <c r="OBU126" s="1740"/>
      <c r="OBV126" s="1740"/>
      <c r="OBW126" s="1740"/>
      <c r="OBX126" s="1740"/>
      <c r="OBY126" s="1740"/>
      <c r="OBZ126" s="1740"/>
      <c r="OCA126" s="1740"/>
      <c r="OCB126" s="1740"/>
      <c r="OCC126" s="1740"/>
      <c r="OCD126" s="1740"/>
      <c r="OCE126" s="1740"/>
      <c r="OCF126" s="1740"/>
      <c r="OCG126" s="1740"/>
      <c r="OCH126" s="1740"/>
      <c r="OCI126" s="1740"/>
      <c r="OCJ126" s="1740"/>
      <c r="OCK126" s="1740"/>
      <c r="OCL126" s="1740"/>
      <c r="OCM126" s="1740"/>
      <c r="OCN126" s="1740"/>
      <c r="OCO126" s="1740"/>
      <c r="OCP126" s="1740"/>
      <c r="OCQ126" s="1740"/>
      <c r="OCR126" s="1740"/>
      <c r="OCS126" s="1740"/>
      <c r="OCT126" s="1740"/>
      <c r="OCU126" s="1740"/>
      <c r="OCV126" s="1740"/>
      <c r="OCW126" s="1740"/>
      <c r="OCX126" s="1740"/>
      <c r="OCY126" s="1740"/>
      <c r="OCZ126" s="1740"/>
      <c r="ODA126" s="1740"/>
      <c r="ODB126" s="1740"/>
      <c r="ODC126" s="1740"/>
      <c r="ODD126" s="1740"/>
      <c r="ODE126" s="1740"/>
      <c r="ODF126" s="1740"/>
      <c r="ODG126" s="1740"/>
      <c r="ODH126" s="1740"/>
      <c r="ODI126" s="1740"/>
      <c r="ODJ126" s="1740"/>
      <c r="ODK126" s="1740"/>
      <c r="ODL126" s="1740"/>
      <c r="ODM126" s="1740"/>
      <c r="ODN126" s="1740"/>
      <c r="ODO126" s="1740"/>
      <c r="ODP126" s="1740"/>
      <c r="ODQ126" s="1740"/>
      <c r="ODR126" s="1740"/>
      <c r="ODS126" s="1740"/>
      <c r="ODT126" s="1740"/>
      <c r="ODU126" s="1740"/>
      <c r="ODV126" s="1740"/>
      <c r="ODW126" s="1740"/>
      <c r="ODX126" s="1740"/>
      <c r="ODY126" s="1740"/>
      <c r="ODZ126" s="1740"/>
      <c r="OEA126" s="1740"/>
      <c r="OEB126" s="1740"/>
      <c r="OEC126" s="1740"/>
      <c r="OED126" s="1740"/>
      <c r="OEE126" s="1740"/>
      <c r="OEF126" s="1740"/>
      <c r="OEG126" s="1740"/>
      <c r="OEH126" s="1740"/>
      <c r="OEI126" s="1740"/>
      <c r="OEJ126" s="1740"/>
      <c r="OEK126" s="1740"/>
      <c r="OEL126" s="1740"/>
      <c r="OEM126" s="1740"/>
      <c r="OEN126" s="1740"/>
      <c r="OEO126" s="1740"/>
      <c r="OEP126" s="1740"/>
      <c r="OEQ126" s="1740"/>
      <c r="OER126" s="1740"/>
      <c r="OES126" s="1740"/>
      <c r="OET126" s="1740"/>
      <c r="OEU126" s="1740"/>
      <c r="OEV126" s="1740"/>
      <c r="OEW126" s="1740"/>
      <c r="OEX126" s="1740"/>
      <c r="OEY126" s="1740"/>
      <c r="OEZ126" s="1740"/>
      <c r="OFA126" s="1740"/>
      <c r="OFB126" s="1740"/>
      <c r="OFC126" s="1740"/>
      <c r="OFD126" s="1740"/>
      <c r="OFE126" s="1740"/>
      <c r="OFF126" s="1740"/>
      <c r="OFG126" s="1740"/>
      <c r="OFH126" s="1740"/>
      <c r="OFI126" s="1740"/>
      <c r="OFJ126" s="1740"/>
      <c r="OFK126" s="1740"/>
      <c r="OFL126" s="1740"/>
      <c r="OFM126" s="1740"/>
      <c r="OFN126" s="1740"/>
      <c r="OFO126" s="1740"/>
      <c r="OFP126" s="1740"/>
      <c r="OFQ126" s="1740"/>
      <c r="OFR126" s="1740"/>
      <c r="OFS126" s="1740"/>
      <c r="OFT126" s="1740"/>
      <c r="OFU126" s="1740"/>
      <c r="OFV126" s="1740"/>
      <c r="OFW126" s="1740"/>
      <c r="OFX126" s="1740"/>
      <c r="OFY126" s="1740"/>
      <c r="OFZ126" s="1740"/>
      <c r="OGA126" s="1740"/>
      <c r="OGB126" s="1740"/>
      <c r="OGC126" s="1740"/>
      <c r="OGD126" s="1740"/>
      <c r="OGE126" s="1740"/>
      <c r="OGF126" s="1740"/>
      <c r="OGG126" s="1740"/>
      <c r="OGH126" s="1740"/>
      <c r="OGI126" s="1740"/>
      <c r="OGJ126" s="1740"/>
      <c r="OGK126" s="1740"/>
      <c r="OGL126" s="1740"/>
      <c r="OGM126" s="1740"/>
      <c r="OGN126" s="1740"/>
      <c r="OGO126" s="1740"/>
      <c r="OGP126" s="1740"/>
      <c r="OGQ126" s="1740"/>
      <c r="OGR126" s="1740"/>
      <c r="OGS126" s="1740"/>
      <c r="OGT126" s="1740"/>
      <c r="OGU126" s="1740"/>
      <c r="OGV126" s="1740"/>
      <c r="OGW126" s="1740"/>
      <c r="OGX126" s="1740"/>
      <c r="OGY126" s="1740"/>
      <c r="OGZ126" s="1740"/>
      <c r="OHA126" s="1740"/>
      <c r="OHB126" s="1740"/>
      <c r="OHC126" s="1740"/>
      <c r="OHD126" s="1740"/>
      <c r="OHE126" s="1740"/>
      <c r="OHF126" s="1740"/>
      <c r="OHG126" s="1740"/>
      <c r="OHH126" s="1740"/>
      <c r="OHI126" s="1740"/>
      <c r="OHJ126" s="1740"/>
      <c r="OHK126" s="1740"/>
      <c r="OHL126" s="1740"/>
      <c r="OHM126" s="1740"/>
      <c r="OHN126" s="1740"/>
      <c r="OHO126" s="1740"/>
      <c r="OHP126" s="1740"/>
      <c r="OHQ126" s="1740"/>
      <c r="OHR126" s="1740"/>
      <c r="OHS126" s="1740"/>
      <c r="OHT126" s="1740"/>
      <c r="OHU126" s="1740"/>
      <c r="OHV126" s="1740"/>
      <c r="OHW126" s="1740"/>
      <c r="OHX126" s="1740"/>
      <c r="OHY126" s="1740"/>
      <c r="OHZ126" s="1740"/>
      <c r="OIA126" s="1740"/>
      <c r="OIB126" s="1740"/>
      <c r="OIC126" s="1740"/>
      <c r="OID126" s="1740"/>
      <c r="OIE126" s="1740"/>
      <c r="OIF126" s="1740"/>
      <c r="OIG126" s="1740"/>
      <c r="OIH126" s="1740"/>
      <c r="OII126" s="1740"/>
      <c r="OIJ126" s="1740"/>
      <c r="OIK126" s="1740"/>
      <c r="OIL126" s="1740"/>
      <c r="OIM126" s="1740"/>
      <c r="OIN126" s="1740"/>
      <c r="OIO126" s="1740"/>
      <c r="OIP126" s="1740"/>
      <c r="OIQ126" s="1740"/>
      <c r="OIR126" s="1740"/>
      <c r="OIS126" s="1740"/>
      <c r="OIT126" s="1740"/>
      <c r="OIU126" s="1740"/>
      <c r="OIV126" s="1740"/>
      <c r="OIW126" s="1740"/>
      <c r="OIX126" s="1740"/>
      <c r="OIY126" s="1740"/>
      <c r="OIZ126" s="1740"/>
      <c r="OJA126" s="1740"/>
      <c r="OJB126" s="1740"/>
      <c r="OJC126" s="1740"/>
      <c r="OJD126" s="1740"/>
      <c r="OJE126" s="1740"/>
      <c r="OJF126" s="1740"/>
      <c r="OJG126" s="1740"/>
      <c r="OJH126" s="1740"/>
      <c r="OJI126" s="1740"/>
      <c r="OJJ126" s="1740"/>
      <c r="OJK126" s="1740"/>
      <c r="OJL126" s="1740"/>
      <c r="OJM126" s="1740"/>
      <c r="OJN126" s="1740"/>
      <c r="OJO126" s="1740"/>
      <c r="OJP126" s="1740"/>
      <c r="OJQ126" s="1740"/>
      <c r="OJR126" s="1740"/>
      <c r="OJS126" s="1740"/>
      <c r="OJT126" s="1740"/>
      <c r="OJU126" s="1740"/>
      <c r="OJV126" s="1740"/>
      <c r="OJW126" s="1740"/>
      <c r="OJX126" s="1740"/>
      <c r="OJY126" s="1740"/>
      <c r="OJZ126" s="1740"/>
      <c r="OKA126" s="1740"/>
      <c r="OKB126" s="1740"/>
      <c r="OKC126" s="1740"/>
      <c r="OKD126" s="1740"/>
      <c r="OKE126" s="1740"/>
      <c r="OKF126" s="1740"/>
      <c r="OKG126" s="1740"/>
      <c r="OKH126" s="1740"/>
      <c r="OKI126" s="1740"/>
      <c r="OKJ126" s="1740"/>
      <c r="OKK126" s="1740"/>
      <c r="OKL126" s="1740"/>
      <c r="OKM126" s="1740"/>
      <c r="OKN126" s="1740"/>
      <c r="OKO126" s="1740"/>
      <c r="OKP126" s="1740"/>
      <c r="OKQ126" s="1740"/>
      <c r="OKR126" s="1740"/>
      <c r="OKS126" s="1740"/>
      <c r="OKT126" s="1740"/>
      <c r="OKU126" s="1740"/>
      <c r="OKV126" s="1740"/>
      <c r="OKW126" s="1740"/>
      <c r="OKX126" s="1740"/>
      <c r="OKY126" s="1740"/>
      <c r="OKZ126" s="1740"/>
      <c r="OLA126" s="1740"/>
      <c r="OLB126" s="1740"/>
      <c r="OLC126" s="1740"/>
      <c r="OLD126" s="1740"/>
      <c r="OLE126" s="1740"/>
      <c r="OLF126" s="1740"/>
      <c r="OLG126" s="1740"/>
      <c r="OLH126" s="1740"/>
      <c r="OLI126" s="1740"/>
      <c r="OLJ126" s="1740"/>
      <c r="OLK126" s="1740"/>
      <c r="OLL126" s="1740"/>
      <c r="OLM126" s="1740"/>
      <c r="OLN126" s="1740"/>
      <c r="OLO126" s="1740"/>
      <c r="OLP126" s="1740"/>
      <c r="OLQ126" s="1740"/>
      <c r="OLR126" s="1740"/>
      <c r="OLS126" s="1740"/>
      <c r="OLT126" s="1740"/>
      <c r="OLU126" s="1740"/>
      <c r="OLV126" s="1740"/>
      <c r="OLW126" s="1740"/>
      <c r="OLX126" s="1740"/>
      <c r="OLY126" s="1740"/>
      <c r="OLZ126" s="1740"/>
      <c r="OMA126" s="1740"/>
      <c r="OMB126" s="1740"/>
      <c r="OMC126" s="1740"/>
      <c r="OMD126" s="1740"/>
      <c r="OME126" s="1740"/>
      <c r="OMF126" s="1740"/>
      <c r="OMG126" s="1740"/>
      <c r="OMH126" s="1740"/>
      <c r="OMI126" s="1740"/>
      <c r="OMJ126" s="1740"/>
      <c r="OMK126" s="1740"/>
      <c r="OML126" s="1740"/>
      <c r="OMM126" s="1740"/>
      <c r="OMN126" s="1740"/>
      <c r="OMO126" s="1740"/>
      <c r="OMP126" s="1740"/>
      <c r="OMQ126" s="1740"/>
      <c r="OMR126" s="1740"/>
      <c r="OMS126" s="1740"/>
      <c r="OMT126" s="1740"/>
      <c r="OMU126" s="1740"/>
      <c r="OMV126" s="1740"/>
      <c r="OMW126" s="1740"/>
      <c r="OMX126" s="1740"/>
      <c r="OMY126" s="1740"/>
      <c r="OMZ126" s="1740"/>
      <c r="ONA126" s="1740"/>
      <c r="ONB126" s="1740"/>
      <c r="ONC126" s="1740"/>
      <c r="OND126" s="1740"/>
      <c r="ONE126" s="1740"/>
      <c r="ONF126" s="1740"/>
      <c r="ONG126" s="1740"/>
      <c r="ONH126" s="1740"/>
      <c r="ONI126" s="1740"/>
      <c r="ONJ126" s="1740"/>
      <c r="ONK126" s="1740"/>
      <c r="ONL126" s="1740"/>
      <c r="ONM126" s="1740"/>
      <c r="ONN126" s="1740"/>
      <c r="ONO126" s="1740"/>
      <c r="ONP126" s="1740"/>
      <c r="ONQ126" s="1740"/>
      <c r="ONR126" s="1740"/>
      <c r="ONS126" s="1740"/>
      <c r="ONT126" s="1740"/>
      <c r="ONU126" s="1740"/>
      <c r="ONV126" s="1740"/>
      <c r="ONW126" s="1740"/>
      <c r="ONX126" s="1740"/>
      <c r="ONY126" s="1740"/>
      <c r="ONZ126" s="1740"/>
      <c r="OOA126" s="1740"/>
      <c r="OOB126" s="1740"/>
      <c r="OOC126" s="1740"/>
      <c r="OOD126" s="1740"/>
      <c r="OOE126" s="1740"/>
      <c r="OOF126" s="1740"/>
      <c r="OOG126" s="1740"/>
      <c r="OOH126" s="1740"/>
      <c r="OOI126" s="1740"/>
      <c r="OOJ126" s="1740"/>
      <c r="OOK126" s="1740"/>
      <c r="OOL126" s="1740"/>
      <c r="OOM126" s="1740"/>
      <c r="OON126" s="1740"/>
      <c r="OOO126" s="1740"/>
      <c r="OOP126" s="1740"/>
      <c r="OOQ126" s="1740"/>
      <c r="OOR126" s="1740"/>
      <c r="OOS126" s="1740"/>
      <c r="OOT126" s="1740"/>
      <c r="OOU126" s="1740"/>
      <c r="OOV126" s="1740"/>
      <c r="OOW126" s="1740"/>
      <c r="OOX126" s="1740"/>
      <c r="OOY126" s="1740"/>
      <c r="OOZ126" s="1740"/>
      <c r="OPA126" s="1740"/>
      <c r="OPB126" s="1740"/>
      <c r="OPC126" s="1740"/>
      <c r="OPD126" s="1740"/>
      <c r="OPE126" s="1740"/>
      <c r="OPF126" s="1740"/>
      <c r="OPG126" s="1740"/>
      <c r="OPH126" s="1740"/>
      <c r="OPI126" s="1740"/>
      <c r="OPJ126" s="1740"/>
      <c r="OPK126" s="1740"/>
      <c r="OPL126" s="1740"/>
      <c r="OPM126" s="1740"/>
      <c r="OPN126" s="1740"/>
      <c r="OPO126" s="1740"/>
      <c r="OPP126" s="1740"/>
      <c r="OPQ126" s="1740"/>
      <c r="OPR126" s="1740"/>
      <c r="OPS126" s="1740"/>
      <c r="OPT126" s="1740"/>
      <c r="OPU126" s="1740"/>
      <c r="OPV126" s="1740"/>
      <c r="OPW126" s="1740"/>
      <c r="OPX126" s="1740"/>
      <c r="OPY126" s="1740"/>
      <c r="OPZ126" s="1740"/>
      <c r="OQA126" s="1740"/>
      <c r="OQB126" s="1740"/>
      <c r="OQC126" s="1740"/>
      <c r="OQD126" s="1740"/>
      <c r="OQE126" s="1740"/>
      <c r="OQF126" s="1740"/>
      <c r="OQG126" s="1740"/>
      <c r="OQH126" s="1740"/>
      <c r="OQI126" s="1740"/>
      <c r="OQJ126" s="1740"/>
      <c r="OQK126" s="1740"/>
      <c r="OQL126" s="1740"/>
      <c r="OQM126" s="1740"/>
      <c r="OQN126" s="1740"/>
      <c r="OQO126" s="1740"/>
      <c r="OQP126" s="1740"/>
      <c r="OQQ126" s="1740"/>
      <c r="OQR126" s="1740"/>
      <c r="OQS126" s="1740"/>
      <c r="OQT126" s="1740"/>
      <c r="OQU126" s="1740"/>
      <c r="OQV126" s="1740"/>
      <c r="OQW126" s="1740"/>
      <c r="OQX126" s="1740"/>
      <c r="OQY126" s="1740"/>
      <c r="OQZ126" s="1740"/>
      <c r="ORA126" s="1740"/>
      <c r="ORB126" s="1740"/>
      <c r="ORC126" s="1740"/>
      <c r="ORD126" s="1740"/>
      <c r="ORE126" s="1740"/>
      <c r="ORF126" s="1740"/>
      <c r="ORG126" s="1740"/>
      <c r="ORH126" s="1740"/>
      <c r="ORI126" s="1740"/>
      <c r="ORJ126" s="1740"/>
      <c r="ORK126" s="1740"/>
      <c r="ORL126" s="1740"/>
      <c r="ORM126" s="1740"/>
      <c r="ORN126" s="1740"/>
      <c r="ORO126" s="1740"/>
      <c r="ORP126" s="1740"/>
      <c r="ORQ126" s="1740"/>
      <c r="ORR126" s="1740"/>
      <c r="ORS126" s="1740"/>
      <c r="ORT126" s="1740"/>
      <c r="ORU126" s="1740"/>
      <c r="ORV126" s="1740"/>
      <c r="ORW126" s="1740"/>
      <c r="ORX126" s="1740"/>
      <c r="ORY126" s="1740"/>
      <c r="ORZ126" s="1740"/>
      <c r="OSA126" s="1740"/>
      <c r="OSB126" s="1740"/>
      <c r="OSC126" s="1740"/>
      <c r="OSD126" s="1740"/>
      <c r="OSE126" s="1740"/>
      <c r="OSF126" s="1740"/>
      <c r="OSG126" s="1740"/>
      <c r="OSH126" s="1740"/>
      <c r="OSI126" s="1740"/>
      <c r="OSJ126" s="1740"/>
      <c r="OSK126" s="1740"/>
      <c r="OSL126" s="1740"/>
      <c r="OSM126" s="1740"/>
      <c r="OSN126" s="1740"/>
      <c r="OSO126" s="1740"/>
      <c r="OSP126" s="1740"/>
      <c r="OSQ126" s="1740"/>
      <c r="OSR126" s="1740"/>
      <c r="OSS126" s="1740"/>
      <c r="OST126" s="1740"/>
      <c r="OSU126" s="1740"/>
      <c r="OSV126" s="1740"/>
      <c r="OSW126" s="1740"/>
      <c r="OSX126" s="1740"/>
      <c r="OSY126" s="1740"/>
      <c r="OSZ126" s="1740"/>
      <c r="OTA126" s="1740"/>
      <c r="OTB126" s="1740"/>
      <c r="OTC126" s="1740"/>
      <c r="OTD126" s="1740"/>
      <c r="OTE126" s="1740"/>
      <c r="OTF126" s="1740"/>
      <c r="OTG126" s="1740"/>
      <c r="OTH126" s="1740"/>
      <c r="OTI126" s="1740"/>
      <c r="OTJ126" s="1740"/>
      <c r="OTK126" s="1740"/>
      <c r="OTL126" s="1740"/>
      <c r="OTM126" s="1740"/>
      <c r="OTN126" s="1740"/>
      <c r="OTO126" s="1740"/>
      <c r="OTP126" s="1740"/>
      <c r="OTQ126" s="1740"/>
      <c r="OTR126" s="1740"/>
      <c r="OTS126" s="1740"/>
      <c r="OTT126" s="1740"/>
      <c r="OTU126" s="1740"/>
      <c r="OTV126" s="1740"/>
      <c r="OTW126" s="1740"/>
      <c r="OTX126" s="1740"/>
      <c r="OTY126" s="1740"/>
      <c r="OTZ126" s="1740"/>
      <c r="OUA126" s="1740"/>
      <c r="OUB126" s="1740"/>
      <c r="OUC126" s="1740"/>
      <c r="OUD126" s="1740"/>
      <c r="OUE126" s="1740"/>
      <c r="OUF126" s="1740"/>
      <c r="OUG126" s="1740"/>
      <c r="OUH126" s="1740"/>
      <c r="OUI126" s="1740"/>
      <c r="OUJ126" s="1740"/>
      <c r="OUK126" s="1740"/>
      <c r="OUL126" s="1740"/>
      <c r="OUM126" s="1740"/>
      <c r="OUN126" s="1740"/>
      <c r="OUO126" s="1740"/>
      <c r="OUP126" s="1740"/>
      <c r="OUQ126" s="1740"/>
      <c r="OUR126" s="1740"/>
      <c r="OUS126" s="1740"/>
      <c r="OUT126" s="1740"/>
      <c r="OUU126" s="1740"/>
      <c r="OUV126" s="1740"/>
      <c r="OUW126" s="1740"/>
      <c r="OUX126" s="1740"/>
      <c r="OUY126" s="1740"/>
      <c r="OUZ126" s="1740"/>
      <c r="OVA126" s="1740"/>
      <c r="OVB126" s="1740"/>
      <c r="OVC126" s="1740"/>
      <c r="OVD126" s="1740"/>
      <c r="OVE126" s="1740"/>
      <c r="OVF126" s="1740"/>
      <c r="OVG126" s="1740"/>
      <c r="OVH126" s="1740"/>
      <c r="OVI126" s="1740"/>
      <c r="OVJ126" s="1740"/>
      <c r="OVK126" s="1740"/>
      <c r="OVL126" s="1740"/>
      <c r="OVM126" s="1740"/>
      <c r="OVN126" s="1740"/>
      <c r="OVO126" s="1740"/>
      <c r="OVP126" s="1740"/>
      <c r="OVQ126" s="1740"/>
      <c r="OVR126" s="1740"/>
      <c r="OVS126" s="1740"/>
      <c r="OVT126" s="1740"/>
      <c r="OVU126" s="1740"/>
      <c r="OVV126" s="1740"/>
      <c r="OVW126" s="1740"/>
      <c r="OVX126" s="1740"/>
      <c r="OVY126" s="1740"/>
      <c r="OVZ126" s="1740"/>
      <c r="OWA126" s="1740"/>
      <c r="OWB126" s="1740"/>
      <c r="OWC126" s="1740"/>
      <c r="OWD126" s="1740"/>
      <c r="OWE126" s="1740"/>
      <c r="OWF126" s="1740"/>
      <c r="OWG126" s="1740"/>
      <c r="OWH126" s="1740"/>
      <c r="OWI126" s="1740"/>
      <c r="OWJ126" s="1740"/>
      <c r="OWK126" s="1740"/>
      <c r="OWL126" s="1740"/>
      <c r="OWM126" s="1740"/>
      <c r="OWN126" s="1740"/>
      <c r="OWO126" s="1740"/>
      <c r="OWP126" s="1740"/>
      <c r="OWQ126" s="1740"/>
      <c r="OWR126" s="1740"/>
      <c r="OWS126" s="1740"/>
      <c r="OWT126" s="1740"/>
      <c r="OWU126" s="1740"/>
      <c r="OWV126" s="1740"/>
      <c r="OWW126" s="1740"/>
      <c r="OWX126" s="1740"/>
      <c r="OWY126" s="1740"/>
      <c r="OWZ126" s="1740"/>
      <c r="OXA126" s="1740"/>
      <c r="OXB126" s="1740"/>
      <c r="OXC126" s="1740"/>
      <c r="OXD126" s="1740"/>
      <c r="OXE126" s="1740"/>
      <c r="OXF126" s="1740"/>
      <c r="OXG126" s="1740"/>
      <c r="OXH126" s="1740"/>
      <c r="OXI126" s="1740"/>
      <c r="OXJ126" s="1740"/>
      <c r="OXK126" s="1740"/>
      <c r="OXL126" s="1740"/>
      <c r="OXM126" s="1740"/>
      <c r="OXN126" s="1740"/>
      <c r="OXO126" s="1740"/>
      <c r="OXP126" s="1740"/>
      <c r="OXQ126" s="1740"/>
      <c r="OXR126" s="1740"/>
      <c r="OXS126" s="1740"/>
      <c r="OXT126" s="1740"/>
      <c r="OXU126" s="1740"/>
      <c r="OXV126" s="1740"/>
      <c r="OXW126" s="1740"/>
      <c r="OXX126" s="1740"/>
      <c r="OXY126" s="1740"/>
      <c r="OXZ126" s="1740"/>
      <c r="OYA126" s="1740"/>
      <c r="OYB126" s="1740"/>
      <c r="OYC126" s="1740"/>
      <c r="OYD126" s="1740"/>
      <c r="OYE126" s="1740"/>
      <c r="OYF126" s="1740"/>
      <c r="OYG126" s="1740"/>
      <c r="OYH126" s="1740"/>
      <c r="OYI126" s="1740"/>
      <c r="OYJ126" s="1740"/>
      <c r="OYK126" s="1740"/>
      <c r="OYL126" s="1740"/>
      <c r="OYM126" s="1740"/>
      <c r="OYN126" s="1740"/>
      <c r="OYO126" s="1740"/>
      <c r="OYP126" s="1740"/>
      <c r="OYQ126" s="1740"/>
      <c r="OYR126" s="1740"/>
      <c r="OYS126" s="1740"/>
      <c r="OYT126" s="1740"/>
      <c r="OYU126" s="1740"/>
      <c r="OYV126" s="1740"/>
      <c r="OYW126" s="1740"/>
      <c r="OYX126" s="1740"/>
      <c r="OYY126" s="1740"/>
      <c r="OYZ126" s="1740"/>
      <c r="OZA126" s="1740"/>
      <c r="OZB126" s="1740"/>
      <c r="OZC126" s="1740"/>
      <c r="OZD126" s="1740"/>
      <c r="OZE126" s="1740"/>
      <c r="OZF126" s="1740"/>
      <c r="OZG126" s="1740"/>
      <c r="OZH126" s="1740"/>
      <c r="OZI126" s="1740"/>
      <c r="OZJ126" s="1740"/>
      <c r="OZK126" s="1740"/>
      <c r="OZL126" s="1740"/>
      <c r="OZM126" s="1740"/>
      <c r="OZN126" s="1740"/>
      <c r="OZO126" s="1740"/>
      <c r="OZP126" s="1740"/>
      <c r="OZQ126" s="1740"/>
      <c r="OZR126" s="1740"/>
      <c r="OZS126" s="1740"/>
      <c r="OZT126" s="1740"/>
      <c r="OZU126" s="1740"/>
      <c r="OZV126" s="1740"/>
      <c r="OZW126" s="1740"/>
      <c r="OZX126" s="1740"/>
      <c r="OZY126" s="1740"/>
      <c r="OZZ126" s="1740"/>
      <c r="PAA126" s="1740"/>
      <c r="PAB126" s="1740"/>
      <c r="PAC126" s="1740"/>
      <c r="PAD126" s="1740"/>
      <c r="PAE126" s="1740"/>
      <c r="PAF126" s="1740"/>
      <c r="PAG126" s="1740"/>
      <c r="PAH126" s="1740"/>
      <c r="PAI126" s="1740"/>
      <c r="PAJ126" s="1740"/>
      <c r="PAK126" s="1740"/>
      <c r="PAL126" s="1740"/>
      <c r="PAM126" s="1740"/>
      <c r="PAN126" s="1740"/>
      <c r="PAO126" s="1740"/>
      <c r="PAP126" s="1740"/>
      <c r="PAQ126" s="1740"/>
      <c r="PAR126" s="1740"/>
      <c r="PAS126" s="1740"/>
      <c r="PAT126" s="1740"/>
      <c r="PAU126" s="1740"/>
      <c r="PAV126" s="1740"/>
      <c r="PAW126" s="1740"/>
      <c r="PAX126" s="1740"/>
      <c r="PAY126" s="1740"/>
      <c r="PAZ126" s="1740"/>
      <c r="PBA126" s="1740"/>
      <c r="PBB126" s="1740"/>
      <c r="PBC126" s="1740"/>
      <c r="PBD126" s="1740"/>
      <c r="PBE126" s="1740"/>
      <c r="PBF126" s="1740"/>
      <c r="PBG126" s="1740"/>
      <c r="PBH126" s="1740"/>
      <c r="PBI126" s="1740"/>
      <c r="PBJ126" s="1740"/>
      <c r="PBK126" s="1740"/>
      <c r="PBL126" s="1740"/>
      <c r="PBM126" s="1740"/>
      <c r="PBN126" s="1740"/>
      <c r="PBO126" s="1740"/>
      <c r="PBP126" s="1740"/>
      <c r="PBQ126" s="1740"/>
      <c r="PBR126" s="1740"/>
      <c r="PBS126" s="1740"/>
      <c r="PBT126" s="1740"/>
      <c r="PBU126" s="1740"/>
      <c r="PBV126" s="1740"/>
      <c r="PBW126" s="1740"/>
      <c r="PBX126" s="1740"/>
      <c r="PBY126" s="1740"/>
      <c r="PBZ126" s="1740"/>
      <c r="PCA126" s="1740"/>
      <c r="PCB126" s="1740"/>
      <c r="PCC126" s="1740"/>
      <c r="PCD126" s="1740"/>
      <c r="PCE126" s="1740"/>
      <c r="PCF126" s="1740"/>
      <c r="PCG126" s="1740"/>
      <c r="PCH126" s="1740"/>
      <c r="PCI126" s="1740"/>
      <c r="PCJ126" s="1740"/>
      <c r="PCK126" s="1740"/>
      <c r="PCL126" s="1740"/>
      <c r="PCM126" s="1740"/>
      <c r="PCN126" s="1740"/>
      <c r="PCO126" s="1740"/>
      <c r="PCP126" s="1740"/>
      <c r="PCQ126" s="1740"/>
      <c r="PCR126" s="1740"/>
      <c r="PCS126" s="1740"/>
      <c r="PCT126" s="1740"/>
      <c r="PCU126" s="1740"/>
      <c r="PCV126" s="1740"/>
      <c r="PCW126" s="1740"/>
      <c r="PCX126" s="1740"/>
      <c r="PCY126" s="1740"/>
      <c r="PCZ126" s="1740"/>
      <c r="PDA126" s="1740"/>
      <c r="PDB126" s="1740"/>
      <c r="PDC126" s="1740"/>
      <c r="PDD126" s="1740"/>
      <c r="PDE126" s="1740"/>
      <c r="PDF126" s="1740"/>
      <c r="PDG126" s="1740"/>
      <c r="PDH126" s="1740"/>
      <c r="PDI126" s="1740"/>
      <c r="PDJ126" s="1740"/>
      <c r="PDK126" s="1740"/>
      <c r="PDL126" s="1740"/>
      <c r="PDM126" s="1740"/>
      <c r="PDN126" s="1740"/>
      <c r="PDO126" s="1740"/>
      <c r="PDP126" s="1740"/>
      <c r="PDQ126" s="1740"/>
      <c r="PDR126" s="1740"/>
      <c r="PDS126" s="1740"/>
      <c r="PDT126" s="1740"/>
      <c r="PDU126" s="1740"/>
      <c r="PDV126" s="1740"/>
      <c r="PDW126" s="1740"/>
      <c r="PDX126" s="1740"/>
      <c r="PDY126" s="1740"/>
      <c r="PDZ126" s="1740"/>
      <c r="PEA126" s="1740"/>
      <c r="PEB126" s="1740"/>
      <c r="PEC126" s="1740"/>
      <c r="PED126" s="1740"/>
      <c r="PEE126" s="1740"/>
      <c r="PEF126" s="1740"/>
      <c r="PEG126" s="1740"/>
      <c r="PEH126" s="1740"/>
      <c r="PEI126" s="1740"/>
      <c r="PEJ126" s="1740"/>
      <c r="PEK126" s="1740"/>
      <c r="PEL126" s="1740"/>
      <c r="PEM126" s="1740"/>
      <c r="PEN126" s="1740"/>
      <c r="PEO126" s="1740"/>
      <c r="PEP126" s="1740"/>
      <c r="PEQ126" s="1740"/>
      <c r="PER126" s="1740"/>
      <c r="PES126" s="1740"/>
      <c r="PET126" s="1740"/>
      <c r="PEU126" s="1740"/>
      <c r="PEV126" s="1740"/>
      <c r="PEW126" s="1740"/>
      <c r="PEX126" s="1740"/>
      <c r="PEY126" s="1740"/>
      <c r="PEZ126" s="1740"/>
      <c r="PFA126" s="1740"/>
      <c r="PFB126" s="1740"/>
      <c r="PFC126" s="1740"/>
      <c r="PFD126" s="1740"/>
      <c r="PFE126" s="1740"/>
      <c r="PFF126" s="1740"/>
      <c r="PFG126" s="1740"/>
      <c r="PFH126" s="1740"/>
      <c r="PFI126" s="1740"/>
      <c r="PFJ126" s="1740"/>
      <c r="PFK126" s="1740"/>
      <c r="PFL126" s="1740"/>
      <c r="PFM126" s="1740"/>
      <c r="PFN126" s="1740"/>
      <c r="PFO126" s="1740"/>
      <c r="PFP126" s="1740"/>
      <c r="PFQ126" s="1740"/>
      <c r="PFR126" s="1740"/>
      <c r="PFS126" s="1740"/>
      <c r="PFT126" s="1740"/>
      <c r="PFU126" s="1740"/>
      <c r="PFV126" s="1740"/>
      <c r="PFW126" s="1740"/>
      <c r="PFX126" s="1740"/>
      <c r="PFY126" s="1740"/>
      <c r="PFZ126" s="1740"/>
      <c r="PGA126" s="1740"/>
      <c r="PGB126" s="1740"/>
      <c r="PGC126" s="1740"/>
      <c r="PGD126" s="1740"/>
      <c r="PGE126" s="1740"/>
      <c r="PGF126" s="1740"/>
      <c r="PGG126" s="1740"/>
      <c r="PGH126" s="1740"/>
      <c r="PGI126" s="1740"/>
      <c r="PGJ126" s="1740"/>
      <c r="PGK126" s="1740"/>
      <c r="PGL126" s="1740"/>
      <c r="PGM126" s="1740"/>
      <c r="PGN126" s="1740"/>
      <c r="PGO126" s="1740"/>
      <c r="PGP126" s="1740"/>
      <c r="PGQ126" s="1740"/>
      <c r="PGR126" s="1740"/>
      <c r="PGS126" s="1740"/>
      <c r="PGT126" s="1740"/>
      <c r="PGU126" s="1740"/>
      <c r="PGV126" s="1740"/>
      <c r="PGW126" s="1740"/>
      <c r="PGX126" s="1740"/>
      <c r="PGY126" s="1740"/>
      <c r="PGZ126" s="1740"/>
      <c r="PHA126" s="1740"/>
      <c r="PHB126" s="1740"/>
      <c r="PHC126" s="1740"/>
      <c r="PHD126" s="1740"/>
      <c r="PHE126" s="1740"/>
      <c r="PHF126" s="1740"/>
      <c r="PHG126" s="1740"/>
      <c r="PHH126" s="1740"/>
      <c r="PHI126" s="1740"/>
      <c r="PHJ126" s="1740"/>
      <c r="PHK126" s="1740"/>
      <c r="PHL126" s="1740"/>
      <c r="PHM126" s="1740"/>
      <c r="PHN126" s="1740"/>
      <c r="PHO126" s="1740"/>
      <c r="PHP126" s="1740"/>
      <c r="PHQ126" s="1740"/>
      <c r="PHR126" s="1740"/>
      <c r="PHS126" s="1740"/>
      <c r="PHT126" s="1740"/>
      <c r="PHU126" s="1740"/>
      <c r="PHV126" s="1740"/>
      <c r="PHW126" s="1740"/>
      <c r="PHX126" s="1740"/>
      <c r="PHY126" s="1740"/>
      <c r="PHZ126" s="1740"/>
      <c r="PIA126" s="1740"/>
      <c r="PIB126" s="1740"/>
      <c r="PIC126" s="1740"/>
      <c r="PID126" s="1740"/>
      <c r="PIE126" s="1740"/>
      <c r="PIF126" s="1740"/>
      <c r="PIG126" s="1740"/>
      <c r="PIH126" s="1740"/>
      <c r="PII126" s="1740"/>
      <c r="PIJ126" s="1740"/>
      <c r="PIK126" s="1740"/>
      <c r="PIL126" s="1740"/>
      <c r="PIM126" s="1740"/>
      <c r="PIN126" s="1740"/>
      <c r="PIO126" s="1740"/>
      <c r="PIP126" s="1740"/>
      <c r="PIQ126" s="1740"/>
      <c r="PIR126" s="1740"/>
      <c r="PIS126" s="1740"/>
      <c r="PIT126" s="1740"/>
      <c r="PIU126" s="1740"/>
      <c r="PIV126" s="1740"/>
      <c r="PIW126" s="1740"/>
      <c r="PIX126" s="1740"/>
      <c r="PIY126" s="1740"/>
      <c r="PIZ126" s="1740"/>
      <c r="PJA126" s="1740"/>
      <c r="PJB126" s="1740"/>
      <c r="PJC126" s="1740"/>
      <c r="PJD126" s="1740"/>
      <c r="PJE126" s="1740"/>
      <c r="PJF126" s="1740"/>
      <c r="PJG126" s="1740"/>
      <c r="PJH126" s="1740"/>
      <c r="PJI126" s="1740"/>
      <c r="PJJ126" s="1740"/>
      <c r="PJK126" s="1740"/>
      <c r="PJL126" s="1740"/>
      <c r="PJM126" s="1740"/>
      <c r="PJN126" s="1740"/>
      <c r="PJO126" s="1740"/>
      <c r="PJP126" s="1740"/>
      <c r="PJQ126" s="1740"/>
      <c r="PJR126" s="1740"/>
      <c r="PJS126" s="1740"/>
      <c r="PJT126" s="1740"/>
      <c r="PJU126" s="1740"/>
      <c r="PJV126" s="1740"/>
      <c r="PJW126" s="1740"/>
      <c r="PJX126" s="1740"/>
      <c r="PJY126" s="1740"/>
      <c r="PJZ126" s="1740"/>
      <c r="PKA126" s="1740"/>
      <c r="PKB126" s="1740"/>
      <c r="PKC126" s="1740"/>
      <c r="PKD126" s="1740"/>
      <c r="PKE126" s="1740"/>
      <c r="PKF126" s="1740"/>
      <c r="PKG126" s="1740"/>
      <c r="PKH126" s="1740"/>
      <c r="PKI126" s="1740"/>
      <c r="PKJ126" s="1740"/>
      <c r="PKK126" s="1740"/>
      <c r="PKL126" s="1740"/>
      <c r="PKM126" s="1740"/>
      <c r="PKN126" s="1740"/>
      <c r="PKO126" s="1740"/>
      <c r="PKP126" s="1740"/>
      <c r="PKQ126" s="1740"/>
      <c r="PKR126" s="1740"/>
      <c r="PKS126" s="1740"/>
      <c r="PKT126" s="1740"/>
      <c r="PKU126" s="1740"/>
      <c r="PKV126" s="1740"/>
      <c r="PKW126" s="1740"/>
      <c r="PKX126" s="1740"/>
      <c r="PKY126" s="1740"/>
      <c r="PKZ126" s="1740"/>
      <c r="PLA126" s="1740"/>
      <c r="PLB126" s="1740"/>
      <c r="PLC126" s="1740"/>
      <c r="PLD126" s="1740"/>
      <c r="PLE126" s="1740"/>
      <c r="PLF126" s="1740"/>
      <c r="PLG126" s="1740"/>
      <c r="PLH126" s="1740"/>
      <c r="PLI126" s="1740"/>
      <c r="PLJ126" s="1740"/>
      <c r="PLK126" s="1740"/>
      <c r="PLL126" s="1740"/>
      <c r="PLM126" s="1740"/>
      <c r="PLN126" s="1740"/>
      <c r="PLO126" s="1740"/>
      <c r="PLP126" s="1740"/>
      <c r="PLQ126" s="1740"/>
      <c r="PLR126" s="1740"/>
      <c r="PLS126" s="1740"/>
      <c r="PLT126" s="1740"/>
      <c r="PLU126" s="1740"/>
      <c r="PLV126" s="1740"/>
      <c r="PLW126" s="1740"/>
      <c r="PLX126" s="1740"/>
      <c r="PLY126" s="1740"/>
      <c r="PLZ126" s="1740"/>
      <c r="PMA126" s="1740"/>
      <c r="PMB126" s="1740"/>
      <c r="PMC126" s="1740"/>
      <c r="PMD126" s="1740"/>
      <c r="PME126" s="1740"/>
      <c r="PMF126" s="1740"/>
      <c r="PMG126" s="1740"/>
      <c r="PMH126" s="1740"/>
      <c r="PMI126" s="1740"/>
      <c r="PMJ126" s="1740"/>
      <c r="PMK126" s="1740"/>
      <c r="PML126" s="1740"/>
      <c r="PMM126" s="1740"/>
      <c r="PMN126" s="1740"/>
      <c r="PMO126" s="1740"/>
      <c r="PMP126" s="1740"/>
      <c r="PMQ126" s="1740"/>
      <c r="PMR126" s="1740"/>
      <c r="PMS126" s="1740"/>
      <c r="PMT126" s="1740"/>
      <c r="PMU126" s="1740"/>
      <c r="PMV126" s="1740"/>
      <c r="PMW126" s="1740"/>
      <c r="PMX126" s="1740"/>
      <c r="PMY126" s="1740"/>
      <c r="PMZ126" s="1740"/>
      <c r="PNA126" s="1740"/>
      <c r="PNB126" s="1740"/>
      <c r="PNC126" s="1740"/>
      <c r="PND126" s="1740"/>
      <c r="PNE126" s="1740"/>
      <c r="PNF126" s="1740"/>
      <c r="PNG126" s="1740"/>
      <c r="PNH126" s="1740"/>
      <c r="PNI126" s="1740"/>
      <c r="PNJ126" s="1740"/>
      <c r="PNK126" s="1740"/>
      <c r="PNL126" s="1740"/>
      <c r="PNM126" s="1740"/>
      <c r="PNN126" s="1740"/>
      <c r="PNO126" s="1740"/>
      <c r="PNP126" s="1740"/>
      <c r="PNQ126" s="1740"/>
      <c r="PNR126" s="1740"/>
      <c r="PNS126" s="1740"/>
      <c r="PNT126" s="1740"/>
      <c r="PNU126" s="1740"/>
      <c r="PNV126" s="1740"/>
      <c r="PNW126" s="1740"/>
      <c r="PNX126" s="1740"/>
      <c r="PNY126" s="1740"/>
      <c r="PNZ126" s="1740"/>
      <c r="POA126" s="1740"/>
      <c r="POB126" s="1740"/>
      <c r="POC126" s="1740"/>
      <c r="POD126" s="1740"/>
      <c r="POE126" s="1740"/>
      <c r="POF126" s="1740"/>
      <c r="POG126" s="1740"/>
      <c r="POH126" s="1740"/>
      <c r="POI126" s="1740"/>
      <c r="POJ126" s="1740"/>
      <c r="POK126" s="1740"/>
      <c r="POL126" s="1740"/>
      <c r="POM126" s="1740"/>
      <c r="PON126" s="1740"/>
      <c r="POO126" s="1740"/>
      <c r="POP126" s="1740"/>
      <c r="POQ126" s="1740"/>
      <c r="POR126" s="1740"/>
      <c r="POS126" s="1740"/>
      <c r="POT126" s="1740"/>
      <c r="POU126" s="1740"/>
      <c r="POV126" s="1740"/>
      <c r="POW126" s="1740"/>
      <c r="POX126" s="1740"/>
      <c r="POY126" s="1740"/>
      <c r="POZ126" s="1740"/>
      <c r="PPA126" s="1740"/>
      <c r="PPB126" s="1740"/>
      <c r="PPC126" s="1740"/>
      <c r="PPD126" s="1740"/>
      <c r="PPE126" s="1740"/>
      <c r="PPF126" s="1740"/>
      <c r="PPG126" s="1740"/>
      <c r="PPH126" s="1740"/>
      <c r="PPI126" s="1740"/>
      <c r="PPJ126" s="1740"/>
      <c r="PPK126" s="1740"/>
      <c r="PPL126" s="1740"/>
      <c r="PPM126" s="1740"/>
      <c r="PPN126" s="1740"/>
      <c r="PPO126" s="1740"/>
      <c r="PPP126" s="1740"/>
      <c r="PPQ126" s="1740"/>
      <c r="PPR126" s="1740"/>
      <c r="PPS126" s="1740"/>
      <c r="PPT126" s="1740"/>
      <c r="PPU126" s="1740"/>
      <c r="PPV126" s="1740"/>
      <c r="PPW126" s="1740"/>
      <c r="PPX126" s="1740"/>
      <c r="PPY126" s="1740"/>
      <c r="PPZ126" s="1740"/>
      <c r="PQA126" s="1740"/>
      <c r="PQB126" s="1740"/>
      <c r="PQC126" s="1740"/>
      <c r="PQD126" s="1740"/>
      <c r="PQE126" s="1740"/>
      <c r="PQF126" s="1740"/>
      <c r="PQG126" s="1740"/>
      <c r="PQH126" s="1740"/>
      <c r="PQI126" s="1740"/>
      <c r="PQJ126" s="1740"/>
      <c r="PQK126" s="1740"/>
      <c r="PQL126" s="1740"/>
      <c r="PQM126" s="1740"/>
      <c r="PQN126" s="1740"/>
      <c r="PQO126" s="1740"/>
      <c r="PQP126" s="1740"/>
      <c r="PQQ126" s="1740"/>
      <c r="PQR126" s="1740"/>
      <c r="PQS126" s="1740"/>
      <c r="PQT126" s="1740"/>
      <c r="PQU126" s="1740"/>
      <c r="PQV126" s="1740"/>
      <c r="PQW126" s="1740"/>
      <c r="PQX126" s="1740"/>
      <c r="PQY126" s="1740"/>
      <c r="PQZ126" s="1740"/>
      <c r="PRA126" s="1740"/>
      <c r="PRB126" s="1740"/>
      <c r="PRC126" s="1740"/>
      <c r="PRD126" s="1740"/>
      <c r="PRE126" s="1740"/>
      <c r="PRF126" s="1740"/>
      <c r="PRG126" s="1740"/>
      <c r="PRH126" s="1740"/>
      <c r="PRI126" s="1740"/>
      <c r="PRJ126" s="1740"/>
      <c r="PRK126" s="1740"/>
      <c r="PRL126" s="1740"/>
      <c r="PRM126" s="1740"/>
      <c r="PRN126" s="1740"/>
      <c r="PRO126" s="1740"/>
      <c r="PRP126" s="1740"/>
      <c r="PRQ126" s="1740"/>
      <c r="PRR126" s="1740"/>
      <c r="PRS126" s="1740"/>
      <c r="PRT126" s="1740"/>
      <c r="PRU126" s="1740"/>
      <c r="PRV126" s="1740"/>
      <c r="PRW126" s="1740"/>
      <c r="PRX126" s="1740"/>
      <c r="PRY126" s="1740"/>
      <c r="PRZ126" s="1740"/>
      <c r="PSA126" s="1740"/>
      <c r="PSB126" s="1740"/>
      <c r="PSC126" s="1740"/>
      <c r="PSD126" s="1740"/>
      <c r="PSE126" s="1740"/>
      <c r="PSF126" s="1740"/>
      <c r="PSG126" s="1740"/>
      <c r="PSH126" s="1740"/>
      <c r="PSI126" s="1740"/>
      <c r="PSJ126" s="1740"/>
      <c r="PSK126" s="1740"/>
      <c r="PSL126" s="1740"/>
      <c r="PSM126" s="1740"/>
      <c r="PSN126" s="1740"/>
      <c r="PSO126" s="1740"/>
      <c r="PSP126" s="1740"/>
      <c r="PSQ126" s="1740"/>
      <c r="PSR126" s="1740"/>
      <c r="PSS126" s="1740"/>
      <c r="PST126" s="1740"/>
      <c r="PSU126" s="1740"/>
      <c r="PSV126" s="1740"/>
      <c r="PSW126" s="1740"/>
      <c r="PSX126" s="1740"/>
      <c r="PSY126" s="1740"/>
      <c r="PSZ126" s="1740"/>
      <c r="PTA126" s="1740"/>
      <c r="PTB126" s="1740"/>
      <c r="PTC126" s="1740"/>
      <c r="PTD126" s="1740"/>
      <c r="PTE126" s="1740"/>
      <c r="PTF126" s="1740"/>
      <c r="PTG126" s="1740"/>
      <c r="PTH126" s="1740"/>
      <c r="PTI126" s="1740"/>
      <c r="PTJ126" s="1740"/>
      <c r="PTK126" s="1740"/>
      <c r="PTL126" s="1740"/>
      <c r="PTM126" s="1740"/>
      <c r="PTN126" s="1740"/>
      <c r="PTO126" s="1740"/>
      <c r="PTP126" s="1740"/>
      <c r="PTQ126" s="1740"/>
      <c r="PTR126" s="1740"/>
      <c r="PTS126" s="1740"/>
      <c r="PTT126" s="1740"/>
      <c r="PTU126" s="1740"/>
      <c r="PTV126" s="1740"/>
      <c r="PTW126" s="1740"/>
      <c r="PTX126" s="1740"/>
      <c r="PTY126" s="1740"/>
      <c r="PTZ126" s="1740"/>
      <c r="PUA126" s="1740"/>
      <c r="PUB126" s="1740"/>
      <c r="PUC126" s="1740"/>
      <c r="PUD126" s="1740"/>
      <c r="PUE126" s="1740"/>
      <c r="PUF126" s="1740"/>
      <c r="PUG126" s="1740"/>
      <c r="PUH126" s="1740"/>
      <c r="PUI126" s="1740"/>
      <c r="PUJ126" s="1740"/>
      <c r="PUK126" s="1740"/>
      <c r="PUL126" s="1740"/>
      <c r="PUM126" s="1740"/>
      <c r="PUN126" s="1740"/>
      <c r="PUO126" s="1740"/>
      <c r="PUP126" s="1740"/>
      <c r="PUQ126" s="1740"/>
      <c r="PUR126" s="1740"/>
      <c r="PUS126" s="1740"/>
      <c r="PUT126" s="1740"/>
      <c r="PUU126" s="1740"/>
      <c r="PUV126" s="1740"/>
      <c r="PUW126" s="1740"/>
      <c r="PUX126" s="1740"/>
      <c r="PUY126" s="1740"/>
      <c r="PUZ126" s="1740"/>
      <c r="PVA126" s="1740"/>
      <c r="PVB126" s="1740"/>
      <c r="PVC126" s="1740"/>
      <c r="PVD126" s="1740"/>
      <c r="PVE126" s="1740"/>
      <c r="PVF126" s="1740"/>
      <c r="PVG126" s="1740"/>
      <c r="PVH126" s="1740"/>
      <c r="PVI126" s="1740"/>
      <c r="PVJ126" s="1740"/>
      <c r="PVK126" s="1740"/>
      <c r="PVL126" s="1740"/>
      <c r="PVM126" s="1740"/>
      <c r="PVN126" s="1740"/>
      <c r="PVO126" s="1740"/>
      <c r="PVP126" s="1740"/>
      <c r="PVQ126" s="1740"/>
      <c r="PVR126" s="1740"/>
      <c r="PVS126" s="1740"/>
      <c r="PVT126" s="1740"/>
      <c r="PVU126" s="1740"/>
      <c r="PVV126" s="1740"/>
      <c r="PVW126" s="1740"/>
      <c r="PVX126" s="1740"/>
      <c r="PVY126" s="1740"/>
      <c r="PVZ126" s="1740"/>
      <c r="PWA126" s="1740"/>
      <c r="PWB126" s="1740"/>
      <c r="PWC126" s="1740"/>
      <c r="PWD126" s="1740"/>
      <c r="PWE126" s="1740"/>
      <c r="PWF126" s="1740"/>
      <c r="PWG126" s="1740"/>
      <c r="PWH126" s="1740"/>
      <c r="PWI126" s="1740"/>
      <c r="PWJ126" s="1740"/>
      <c r="PWK126" s="1740"/>
      <c r="PWL126" s="1740"/>
      <c r="PWM126" s="1740"/>
      <c r="PWN126" s="1740"/>
      <c r="PWO126" s="1740"/>
      <c r="PWP126" s="1740"/>
      <c r="PWQ126" s="1740"/>
      <c r="PWR126" s="1740"/>
      <c r="PWS126" s="1740"/>
      <c r="PWT126" s="1740"/>
      <c r="PWU126" s="1740"/>
      <c r="PWV126" s="1740"/>
      <c r="PWW126" s="1740"/>
      <c r="PWX126" s="1740"/>
      <c r="PWY126" s="1740"/>
      <c r="PWZ126" s="1740"/>
      <c r="PXA126" s="1740"/>
      <c r="PXB126" s="1740"/>
      <c r="PXC126" s="1740"/>
      <c r="PXD126" s="1740"/>
      <c r="PXE126" s="1740"/>
      <c r="PXF126" s="1740"/>
      <c r="PXG126" s="1740"/>
      <c r="PXH126" s="1740"/>
      <c r="PXI126" s="1740"/>
      <c r="PXJ126" s="1740"/>
      <c r="PXK126" s="1740"/>
      <c r="PXL126" s="1740"/>
      <c r="PXM126" s="1740"/>
      <c r="PXN126" s="1740"/>
      <c r="PXO126" s="1740"/>
      <c r="PXP126" s="1740"/>
      <c r="PXQ126" s="1740"/>
      <c r="PXR126" s="1740"/>
      <c r="PXS126" s="1740"/>
      <c r="PXT126" s="1740"/>
      <c r="PXU126" s="1740"/>
      <c r="PXV126" s="1740"/>
      <c r="PXW126" s="1740"/>
      <c r="PXX126" s="1740"/>
      <c r="PXY126" s="1740"/>
      <c r="PXZ126" s="1740"/>
      <c r="PYA126" s="1740"/>
      <c r="PYB126" s="1740"/>
      <c r="PYC126" s="1740"/>
      <c r="PYD126" s="1740"/>
      <c r="PYE126" s="1740"/>
      <c r="PYF126" s="1740"/>
      <c r="PYG126" s="1740"/>
      <c r="PYH126" s="1740"/>
      <c r="PYI126" s="1740"/>
      <c r="PYJ126" s="1740"/>
      <c r="PYK126" s="1740"/>
      <c r="PYL126" s="1740"/>
      <c r="PYM126" s="1740"/>
      <c r="PYN126" s="1740"/>
      <c r="PYO126" s="1740"/>
      <c r="PYP126" s="1740"/>
      <c r="PYQ126" s="1740"/>
      <c r="PYR126" s="1740"/>
      <c r="PYS126" s="1740"/>
      <c r="PYT126" s="1740"/>
      <c r="PYU126" s="1740"/>
      <c r="PYV126" s="1740"/>
      <c r="PYW126" s="1740"/>
      <c r="PYX126" s="1740"/>
      <c r="PYY126" s="1740"/>
      <c r="PYZ126" s="1740"/>
      <c r="PZA126" s="1740"/>
      <c r="PZB126" s="1740"/>
      <c r="PZC126" s="1740"/>
      <c r="PZD126" s="1740"/>
      <c r="PZE126" s="1740"/>
      <c r="PZF126" s="1740"/>
      <c r="PZG126" s="1740"/>
      <c r="PZH126" s="1740"/>
      <c r="PZI126" s="1740"/>
      <c r="PZJ126" s="1740"/>
      <c r="PZK126" s="1740"/>
      <c r="PZL126" s="1740"/>
      <c r="PZM126" s="1740"/>
      <c r="PZN126" s="1740"/>
      <c r="PZO126" s="1740"/>
      <c r="PZP126" s="1740"/>
      <c r="PZQ126" s="1740"/>
      <c r="PZR126" s="1740"/>
      <c r="PZS126" s="1740"/>
      <c r="PZT126" s="1740"/>
      <c r="PZU126" s="1740"/>
      <c r="PZV126" s="1740"/>
      <c r="PZW126" s="1740"/>
      <c r="PZX126" s="1740"/>
      <c r="PZY126" s="1740"/>
      <c r="PZZ126" s="1740"/>
      <c r="QAA126" s="1740"/>
      <c r="QAB126" s="1740"/>
      <c r="QAC126" s="1740"/>
      <c r="QAD126" s="1740"/>
      <c r="QAE126" s="1740"/>
      <c r="QAF126" s="1740"/>
      <c r="QAG126" s="1740"/>
      <c r="QAH126" s="1740"/>
      <c r="QAI126" s="1740"/>
      <c r="QAJ126" s="1740"/>
      <c r="QAK126" s="1740"/>
      <c r="QAL126" s="1740"/>
      <c r="QAM126" s="1740"/>
      <c r="QAN126" s="1740"/>
      <c r="QAO126" s="1740"/>
      <c r="QAP126" s="1740"/>
      <c r="QAQ126" s="1740"/>
      <c r="QAR126" s="1740"/>
      <c r="QAS126" s="1740"/>
      <c r="QAT126" s="1740"/>
      <c r="QAU126" s="1740"/>
      <c r="QAV126" s="1740"/>
      <c r="QAW126" s="1740"/>
      <c r="QAX126" s="1740"/>
      <c r="QAY126" s="1740"/>
      <c r="QAZ126" s="1740"/>
      <c r="QBA126" s="1740"/>
      <c r="QBB126" s="1740"/>
      <c r="QBC126" s="1740"/>
      <c r="QBD126" s="1740"/>
      <c r="QBE126" s="1740"/>
      <c r="QBF126" s="1740"/>
      <c r="QBG126" s="1740"/>
      <c r="QBH126" s="1740"/>
      <c r="QBI126" s="1740"/>
      <c r="QBJ126" s="1740"/>
      <c r="QBK126" s="1740"/>
      <c r="QBL126" s="1740"/>
      <c r="QBM126" s="1740"/>
      <c r="QBN126" s="1740"/>
      <c r="QBO126" s="1740"/>
      <c r="QBP126" s="1740"/>
      <c r="QBQ126" s="1740"/>
      <c r="QBR126" s="1740"/>
      <c r="QBS126" s="1740"/>
      <c r="QBT126" s="1740"/>
      <c r="QBU126" s="1740"/>
      <c r="QBV126" s="1740"/>
      <c r="QBW126" s="1740"/>
      <c r="QBX126" s="1740"/>
      <c r="QBY126" s="1740"/>
      <c r="QBZ126" s="1740"/>
      <c r="QCA126" s="1740"/>
      <c r="QCB126" s="1740"/>
      <c r="QCC126" s="1740"/>
      <c r="QCD126" s="1740"/>
      <c r="QCE126" s="1740"/>
      <c r="QCF126" s="1740"/>
      <c r="QCG126" s="1740"/>
      <c r="QCH126" s="1740"/>
      <c r="QCI126" s="1740"/>
      <c r="QCJ126" s="1740"/>
      <c r="QCK126" s="1740"/>
      <c r="QCL126" s="1740"/>
      <c r="QCM126" s="1740"/>
      <c r="QCN126" s="1740"/>
      <c r="QCO126" s="1740"/>
      <c r="QCP126" s="1740"/>
      <c r="QCQ126" s="1740"/>
      <c r="QCR126" s="1740"/>
      <c r="QCS126" s="1740"/>
      <c r="QCT126" s="1740"/>
      <c r="QCU126" s="1740"/>
      <c r="QCV126" s="1740"/>
      <c r="QCW126" s="1740"/>
      <c r="QCX126" s="1740"/>
      <c r="QCY126" s="1740"/>
      <c r="QCZ126" s="1740"/>
      <c r="QDA126" s="1740"/>
      <c r="QDB126" s="1740"/>
      <c r="QDC126" s="1740"/>
      <c r="QDD126" s="1740"/>
      <c r="QDE126" s="1740"/>
      <c r="QDF126" s="1740"/>
      <c r="QDG126" s="1740"/>
      <c r="QDH126" s="1740"/>
      <c r="QDI126" s="1740"/>
      <c r="QDJ126" s="1740"/>
      <c r="QDK126" s="1740"/>
      <c r="QDL126" s="1740"/>
      <c r="QDM126" s="1740"/>
      <c r="QDN126" s="1740"/>
      <c r="QDO126" s="1740"/>
      <c r="QDP126" s="1740"/>
      <c r="QDQ126" s="1740"/>
      <c r="QDR126" s="1740"/>
      <c r="QDS126" s="1740"/>
      <c r="QDT126" s="1740"/>
      <c r="QDU126" s="1740"/>
      <c r="QDV126" s="1740"/>
      <c r="QDW126" s="1740"/>
      <c r="QDX126" s="1740"/>
      <c r="QDY126" s="1740"/>
      <c r="QDZ126" s="1740"/>
      <c r="QEA126" s="1740"/>
      <c r="QEB126" s="1740"/>
      <c r="QEC126" s="1740"/>
      <c r="QED126" s="1740"/>
      <c r="QEE126" s="1740"/>
      <c r="QEF126" s="1740"/>
      <c r="QEG126" s="1740"/>
      <c r="QEH126" s="1740"/>
      <c r="QEI126" s="1740"/>
      <c r="QEJ126" s="1740"/>
      <c r="QEK126" s="1740"/>
      <c r="QEL126" s="1740"/>
      <c r="QEM126" s="1740"/>
      <c r="QEN126" s="1740"/>
      <c r="QEO126" s="1740"/>
      <c r="QEP126" s="1740"/>
      <c r="QEQ126" s="1740"/>
      <c r="QER126" s="1740"/>
      <c r="QES126" s="1740"/>
      <c r="QET126" s="1740"/>
      <c r="QEU126" s="1740"/>
      <c r="QEV126" s="1740"/>
      <c r="QEW126" s="1740"/>
      <c r="QEX126" s="1740"/>
      <c r="QEY126" s="1740"/>
      <c r="QEZ126" s="1740"/>
      <c r="QFA126" s="1740"/>
      <c r="QFB126" s="1740"/>
      <c r="QFC126" s="1740"/>
      <c r="QFD126" s="1740"/>
      <c r="QFE126" s="1740"/>
      <c r="QFF126" s="1740"/>
      <c r="QFG126" s="1740"/>
      <c r="QFH126" s="1740"/>
      <c r="QFI126" s="1740"/>
      <c r="QFJ126" s="1740"/>
      <c r="QFK126" s="1740"/>
      <c r="QFL126" s="1740"/>
      <c r="QFM126" s="1740"/>
      <c r="QFN126" s="1740"/>
      <c r="QFO126" s="1740"/>
      <c r="QFP126" s="1740"/>
      <c r="QFQ126" s="1740"/>
      <c r="QFR126" s="1740"/>
      <c r="QFS126" s="1740"/>
      <c r="QFT126" s="1740"/>
      <c r="QFU126" s="1740"/>
      <c r="QFV126" s="1740"/>
      <c r="QFW126" s="1740"/>
      <c r="QFX126" s="1740"/>
      <c r="QFY126" s="1740"/>
      <c r="QFZ126" s="1740"/>
      <c r="QGA126" s="1740"/>
      <c r="QGB126" s="1740"/>
      <c r="QGC126" s="1740"/>
      <c r="QGD126" s="1740"/>
      <c r="QGE126" s="1740"/>
      <c r="QGF126" s="1740"/>
      <c r="QGG126" s="1740"/>
      <c r="QGH126" s="1740"/>
      <c r="QGI126" s="1740"/>
      <c r="QGJ126" s="1740"/>
      <c r="QGK126" s="1740"/>
      <c r="QGL126" s="1740"/>
      <c r="QGM126" s="1740"/>
      <c r="QGN126" s="1740"/>
      <c r="QGO126" s="1740"/>
      <c r="QGP126" s="1740"/>
      <c r="QGQ126" s="1740"/>
      <c r="QGR126" s="1740"/>
      <c r="QGS126" s="1740"/>
      <c r="QGT126" s="1740"/>
      <c r="QGU126" s="1740"/>
      <c r="QGV126" s="1740"/>
      <c r="QGW126" s="1740"/>
      <c r="QGX126" s="1740"/>
      <c r="QGY126" s="1740"/>
      <c r="QGZ126" s="1740"/>
      <c r="QHA126" s="1740"/>
      <c r="QHB126" s="1740"/>
      <c r="QHC126" s="1740"/>
      <c r="QHD126" s="1740"/>
      <c r="QHE126" s="1740"/>
      <c r="QHF126" s="1740"/>
      <c r="QHG126" s="1740"/>
      <c r="QHH126" s="1740"/>
      <c r="QHI126" s="1740"/>
      <c r="QHJ126" s="1740"/>
      <c r="QHK126" s="1740"/>
      <c r="QHL126" s="1740"/>
      <c r="QHM126" s="1740"/>
      <c r="QHN126" s="1740"/>
      <c r="QHO126" s="1740"/>
      <c r="QHP126" s="1740"/>
      <c r="QHQ126" s="1740"/>
      <c r="QHR126" s="1740"/>
      <c r="QHS126" s="1740"/>
      <c r="QHT126" s="1740"/>
      <c r="QHU126" s="1740"/>
      <c r="QHV126" s="1740"/>
      <c r="QHW126" s="1740"/>
      <c r="QHX126" s="1740"/>
      <c r="QHY126" s="1740"/>
      <c r="QHZ126" s="1740"/>
      <c r="QIA126" s="1740"/>
      <c r="QIB126" s="1740"/>
      <c r="QIC126" s="1740"/>
      <c r="QID126" s="1740"/>
      <c r="QIE126" s="1740"/>
      <c r="QIF126" s="1740"/>
      <c r="QIG126" s="1740"/>
      <c r="QIH126" s="1740"/>
      <c r="QII126" s="1740"/>
      <c r="QIJ126" s="1740"/>
      <c r="QIK126" s="1740"/>
      <c r="QIL126" s="1740"/>
      <c r="QIM126" s="1740"/>
      <c r="QIN126" s="1740"/>
      <c r="QIO126" s="1740"/>
      <c r="QIP126" s="1740"/>
      <c r="QIQ126" s="1740"/>
      <c r="QIR126" s="1740"/>
      <c r="QIS126" s="1740"/>
      <c r="QIT126" s="1740"/>
      <c r="QIU126" s="1740"/>
      <c r="QIV126" s="1740"/>
      <c r="QIW126" s="1740"/>
      <c r="QIX126" s="1740"/>
      <c r="QIY126" s="1740"/>
      <c r="QIZ126" s="1740"/>
      <c r="QJA126" s="1740"/>
      <c r="QJB126" s="1740"/>
      <c r="QJC126" s="1740"/>
      <c r="QJD126" s="1740"/>
      <c r="QJE126" s="1740"/>
      <c r="QJF126" s="1740"/>
      <c r="QJG126" s="1740"/>
      <c r="QJH126" s="1740"/>
      <c r="QJI126" s="1740"/>
      <c r="QJJ126" s="1740"/>
      <c r="QJK126" s="1740"/>
      <c r="QJL126" s="1740"/>
      <c r="QJM126" s="1740"/>
      <c r="QJN126" s="1740"/>
      <c r="QJO126" s="1740"/>
      <c r="QJP126" s="1740"/>
      <c r="QJQ126" s="1740"/>
      <c r="QJR126" s="1740"/>
      <c r="QJS126" s="1740"/>
      <c r="QJT126" s="1740"/>
      <c r="QJU126" s="1740"/>
      <c r="QJV126" s="1740"/>
      <c r="QJW126" s="1740"/>
      <c r="QJX126" s="1740"/>
      <c r="QJY126" s="1740"/>
      <c r="QJZ126" s="1740"/>
      <c r="QKA126" s="1740"/>
      <c r="QKB126" s="1740"/>
      <c r="QKC126" s="1740"/>
      <c r="QKD126" s="1740"/>
      <c r="QKE126" s="1740"/>
      <c r="QKF126" s="1740"/>
      <c r="QKG126" s="1740"/>
      <c r="QKH126" s="1740"/>
      <c r="QKI126" s="1740"/>
      <c r="QKJ126" s="1740"/>
      <c r="QKK126" s="1740"/>
      <c r="QKL126" s="1740"/>
      <c r="QKM126" s="1740"/>
      <c r="QKN126" s="1740"/>
      <c r="QKO126" s="1740"/>
      <c r="QKP126" s="1740"/>
      <c r="QKQ126" s="1740"/>
      <c r="QKR126" s="1740"/>
      <c r="QKS126" s="1740"/>
      <c r="QKT126" s="1740"/>
      <c r="QKU126" s="1740"/>
      <c r="QKV126" s="1740"/>
      <c r="QKW126" s="1740"/>
      <c r="QKX126" s="1740"/>
      <c r="QKY126" s="1740"/>
      <c r="QKZ126" s="1740"/>
      <c r="QLA126" s="1740"/>
      <c r="QLB126" s="1740"/>
      <c r="QLC126" s="1740"/>
      <c r="QLD126" s="1740"/>
      <c r="QLE126" s="1740"/>
      <c r="QLF126" s="1740"/>
      <c r="QLG126" s="1740"/>
      <c r="QLH126" s="1740"/>
      <c r="QLI126" s="1740"/>
      <c r="QLJ126" s="1740"/>
      <c r="QLK126" s="1740"/>
      <c r="QLL126" s="1740"/>
      <c r="QLM126" s="1740"/>
      <c r="QLN126" s="1740"/>
      <c r="QLO126" s="1740"/>
      <c r="QLP126" s="1740"/>
      <c r="QLQ126" s="1740"/>
      <c r="QLR126" s="1740"/>
      <c r="QLS126" s="1740"/>
      <c r="QLT126" s="1740"/>
      <c r="QLU126" s="1740"/>
      <c r="QLV126" s="1740"/>
      <c r="QLW126" s="1740"/>
      <c r="QLX126" s="1740"/>
      <c r="QLY126" s="1740"/>
      <c r="QLZ126" s="1740"/>
      <c r="QMA126" s="1740"/>
      <c r="QMB126" s="1740"/>
      <c r="QMC126" s="1740"/>
      <c r="QMD126" s="1740"/>
      <c r="QME126" s="1740"/>
      <c r="QMF126" s="1740"/>
      <c r="QMG126" s="1740"/>
      <c r="QMH126" s="1740"/>
      <c r="QMI126" s="1740"/>
      <c r="QMJ126" s="1740"/>
      <c r="QMK126" s="1740"/>
      <c r="QML126" s="1740"/>
      <c r="QMM126" s="1740"/>
      <c r="QMN126" s="1740"/>
      <c r="QMO126" s="1740"/>
      <c r="QMP126" s="1740"/>
      <c r="QMQ126" s="1740"/>
      <c r="QMR126" s="1740"/>
      <c r="QMS126" s="1740"/>
      <c r="QMT126" s="1740"/>
      <c r="QMU126" s="1740"/>
      <c r="QMV126" s="1740"/>
      <c r="QMW126" s="1740"/>
      <c r="QMX126" s="1740"/>
      <c r="QMY126" s="1740"/>
      <c r="QMZ126" s="1740"/>
      <c r="QNA126" s="1740"/>
      <c r="QNB126" s="1740"/>
      <c r="QNC126" s="1740"/>
      <c r="QND126" s="1740"/>
      <c r="QNE126" s="1740"/>
      <c r="QNF126" s="1740"/>
      <c r="QNG126" s="1740"/>
      <c r="QNH126" s="1740"/>
      <c r="QNI126" s="1740"/>
      <c r="QNJ126" s="1740"/>
      <c r="QNK126" s="1740"/>
      <c r="QNL126" s="1740"/>
      <c r="QNM126" s="1740"/>
      <c r="QNN126" s="1740"/>
      <c r="QNO126" s="1740"/>
      <c r="QNP126" s="1740"/>
      <c r="QNQ126" s="1740"/>
      <c r="QNR126" s="1740"/>
      <c r="QNS126" s="1740"/>
      <c r="QNT126" s="1740"/>
      <c r="QNU126" s="1740"/>
      <c r="QNV126" s="1740"/>
      <c r="QNW126" s="1740"/>
      <c r="QNX126" s="1740"/>
      <c r="QNY126" s="1740"/>
      <c r="QNZ126" s="1740"/>
      <c r="QOA126" s="1740"/>
      <c r="QOB126" s="1740"/>
      <c r="QOC126" s="1740"/>
      <c r="QOD126" s="1740"/>
      <c r="QOE126" s="1740"/>
      <c r="QOF126" s="1740"/>
      <c r="QOG126" s="1740"/>
      <c r="QOH126" s="1740"/>
      <c r="QOI126" s="1740"/>
      <c r="QOJ126" s="1740"/>
      <c r="QOK126" s="1740"/>
      <c r="QOL126" s="1740"/>
      <c r="QOM126" s="1740"/>
      <c r="QON126" s="1740"/>
      <c r="QOO126" s="1740"/>
      <c r="QOP126" s="1740"/>
      <c r="QOQ126" s="1740"/>
      <c r="QOR126" s="1740"/>
      <c r="QOS126" s="1740"/>
      <c r="QOT126" s="1740"/>
      <c r="QOU126" s="1740"/>
      <c r="QOV126" s="1740"/>
      <c r="QOW126" s="1740"/>
      <c r="QOX126" s="1740"/>
      <c r="QOY126" s="1740"/>
      <c r="QOZ126" s="1740"/>
      <c r="QPA126" s="1740"/>
      <c r="QPB126" s="1740"/>
      <c r="QPC126" s="1740"/>
      <c r="QPD126" s="1740"/>
      <c r="QPE126" s="1740"/>
      <c r="QPF126" s="1740"/>
      <c r="QPG126" s="1740"/>
      <c r="QPH126" s="1740"/>
      <c r="QPI126" s="1740"/>
      <c r="QPJ126" s="1740"/>
      <c r="QPK126" s="1740"/>
      <c r="QPL126" s="1740"/>
      <c r="QPM126" s="1740"/>
      <c r="QPN126" s="1740"/>
      <c r="QPO126" s="1740"/>
      <c r="QPP126" s="1740"/>
      <c r="QPQ126" s="1740"/>
      <c r="QPR126" s="1740"/>
      <c r="QPS126" s="1740"/>
      <c r="QPT126" s="1740"/>
      <c r="QPU126" s="1740"/>
      <c r="QPV126" s="1740"/>
      <c r="QPW126" s="1740"/>
      <c r="QPX126" s="1740"/>
      <c r="QPY126" s="1740"/>
      <c r="QPZ126" s="1740"/>
      <c r="QQA126" s="1740"/>
      <c r="QQB126" s="1740"/>
      <c r="QQC126" s="1740"/>
      <c r="QQD126" s="1740"/>
      <c r="QQE126" s="1740"/>
      <c r="QQF126" s="1740"/>
      <c r="QQG126" s="1740"/>
      <c r="QQH126" s="1740"/>
      <c r="QQI126" s="1740"/>
      <c r="QQJ126" s="1740"/>
      <c r="QQK126" s="1740"/>
      <c r="QQL126" s="1740"/>
      <c r="QQM126" s="1740"/>
      <c r="QQN126" s="1740"/>
      <c r="QQO126" s="1740"/>
      <c r="QQP126" s="1740"/>
      <c r="QQQ126" s="1740"/>
      <c r="QQR126" s="1740"/>
      <c r="QQS126" s="1740"/>
      <c r="QQT126" s="1740"/>
      <c r="QQU126" s="1740"/>
      <c r="QQV126" s="1740"/>
      <c r="QQW126" s="1740"/>
      <c r="QQX126" s="1740"/>
      <c r="QQY126" s="1740"/>
      <c r="QQZ126" s="1740"/>
      <c r="QRA126" s="1740"/>
      <c r="QRB126" s="1740"/>
      <c r="QRC126" s="1740"/>
      <c r="QRD126" s="1740"/>
      <c r="QRE126" s="1740"/>
      <c r="QRF126" s="1740"/>
      <c r="QRG126" s="1740"/>
      <c r="QRH126" s="1740"/>
      <c r="QRI126" s="1740"/>
      <c r="QRJ126" s="1740"/>
      <c r="QRK126" s="1740"/>
      <c r="QRL126" s="1740"/>
      <c r="QRM126" s="1740"/>
      <c r="QRN126" s="1740"/>
      <c r="QRO126" s="1740"/>
      <c r="QRP126" s="1740"/>
      <c r="QRQ126" s="1740"/>
      <c r="QRR126" s="1740"/>
      <c r="QRS126" s="1740"/>
      <c r="QRT126" s="1740"/>
      <c r="QRU126" s="1740"/>
      <c r="QRV126" s="1740"/>
      <c r="QRW126" s="1740"/>
      <c r="QRX126" s="1740"/>
      <c r="QRY126" s="1740"/>
      <c r="QRZ126" s="1740"/>
      <c r="QSA126" s="1740"/>
      <c r="QSB126" s="1740"/>
      <c r="QSC126" s="1740"/>
      <c r="QSD126" s="1740"/>
      <c r="QSE126" s="1740"/>
      <c r="QSF126" s="1740"/>
      <c r="QSG126" s="1740"/>
      <c r="QSH126" s="1740"/>
      <c r="QSI126" s="1740"/>
      <c r="QSJ126" s="1740"/>
      <c r="QSK126" s="1740"/>
      <c r="QSL126" s="1740"/>
      <c r="QSM126" s="1740"/>
      <c r="QSN126" s="1740"/>
      <c r="QSO126" s="1740"/>
      <c r="QSP126" s="1740"/>
      <c r="QSQ126" s="1740"/>
      <c r="QSR126" s="1740"/>
      <c r="QSS126" s="1740"/>
      <c r="QST126" s="1740"/>
      <c r="QSU126" s="1740"/>
      <c r="QSV126" s="1740"/>
      <c r="QSW126" s="1740"/>
      <c r="QSX126" s="1740"/>
      <c r="QSY126" s="1740"/>
      <c r="QSZ126" s="1740"/>
      <c r="QTA126" s="1740"/>
      <c r="QTB126" s="1740"/>
      <c r="QTC126" s="1740"/>
      <c r="QTD126" s="1740"/>
      <c r="QTE126" s="1740"/>
      <c r="QTF126" s="1740"/>
      <c r="QTG126" s="1740"/>
      <c r="QTH126" s="1740"/>
      <c r="QTI126" s="1740"/>
      <c r="QTJ126" s="1740"/>
      <c r="QTK126" s="1740"/>
      <c r="QTL126" s="1740"/>
      <c r="QTM126" s="1740"/>
      <c r="QTN126" s="1740"/>
      <c r="QTO126" s="1740"/>
      <c r="QTP126" s="1740"/>
      <c r="QTQ126" s="1740"/>
      <c r="QTR126" s="1740"/>
      <c r="QTS126" s="1740"/>
      <c r="QTT126" s="1740"/>
      <c r="QTU126" s="1740"/>
      <c r="QTV126" s="1740"/>
      <c r="QTW126" s="1740"/>
      <c r="QTX126" s="1740"/>
      <c r="QTY126" s="1740"/>
      <c r="QTZ126" s="1740"/>
      <c r="QUA126" s="1740"/>
      <c r="QUB126" s="1740"/>
      <c r="QUC126" s="1740"/>
      <c r="QUD126" s="1740"/>
      <c r="QUE126" s="1740"/>
      <c r="QUF126" s="1740"/>
      <c r="QUG126" s="1740"/>
      <c r="QUH126" s="1740"/>
      <c r="QUI126" s="1740"/>
      <c r="QUJ126" s="1740"/>
      <c r="QUK126" s="1740"/>
      <c r="QUL126" s="1740"/>
      <c r="QUM126" s="1740"/>
      <c r="QUN126" s="1740"/>
      <c r="QUO126" s="1740"/>
      <c r="QUP126" s="1740"/>
      <c r="QUQ126" s="1740"/>
      <c r="QUR126" s="1740"/>
      <c r="QUS126" s="1740"/>
      <c r="QUT126" s="1740"/>
      <c r="QUU126" s="1740"/>
      <c r="QUV126" s="1740"/>
      <c r="QUW126" s="1740"/>
      <c r="QUX126" s="1740"/>
      <c r="QUY126" s="1740"/>
      <c r="QUZ126" s="1740"/>
      <c r="QVA126" s="1740"/>
      <c r="QVB126" s="1740"/>
      <c r="QVC126" s="1740"/>
      <c r="QVD126" s="1740"/>
      <c r="QVE126" s="1740"/>
      <c r="QVF126" s="1740"/>
      <c r="QVG126" s="1740"/>
      <c r="QVH126" s="1740"/>
      <c r="QVI126" s="1740"/>
      <c r="QVJ126" s="1740"/>
      <c r="QVK126" s="1740"/>
      <c r="QVL126" s="1740"/>
      <c r="QVM126" s="1740"/>
      <c r="QVN126" s="1740"/>
      <c r="QVO126" s="1740"/>
      <c r="QVP126" s="1740"/>
      <c r="QVQ126" s="1740"/>
      <c r="QVR126" s="1740"/>
      <c r="QVS126" s="1740"/>
      <c r="QVT126" s="1740"/>
      <c r="QVU126" s="1740"/>
      <c r="QVV126" s="1740"/>
      <c r="QVW126" s="1740"/>
      <c r="QVX126" s="1740"/>
      <c r="QVY126" s="1740"/>
      <c r="QVZ126" s="1740"/>
      <c r="QWA126" s="1740"/>
      <c r="QWB126" s="1740"/>
      <c r="QWC126" s="1740"/>
      <c r="QWD126" s="1740"/>
      <c r="QWE126" s="1740"/>
      <c r="QWF126" s="1740"/>
      <c r="QWG126" s="1740"/>
      <c r="QWH126" s="1740"/>
      <c r="QWI126" s="1740"/>
      <c r="QWJ126" s="1740"/>
      <c r="QWK126" s="1740"/>
      <c r="QWL126" s="1740"/>
      <c r="QWM126" s="1740"/>
      <c r="QWN126" s="1740"/>
      <c r="QWO126" s="1740"/>
      <c r="QWP126" s="1740"/>
      <c r="QWQ126" s="1740"/>
      <c r="QWR126" s="1740"/>
      <c r="QWS126" s="1740"/>
      <c r="QWT126" s="1740"/>
      <c r="QWU126" s="1740"/>
      <c r="QWV126" s="1740"/>
      <c r="QWW126" s="1740"/>
      <c r="QWX126" s="1740"/>
      <c r="QWY126" s="1740"/>
      <c r="QWZ126" s="1740"/>
      <c r="QXA126" s="1740"/>
      <c r="QXB126" s="1740"/>
      <c r="QXC126" s="1740"/>
      <c r="QXD126" s="1740"/>
      <c r="QXE126" s="1740"/>
      <c r="QXF126" s="1740"/>
      <c r="QXG126" s="1740"/>
      <c r="QXH126" s="1740"/>
      <c r="QXI126" s="1740"/>
      <c r="QXJ126" s="1740"/>
      <c r="QXK126" s="1740"/>
      <c r="QXL126" s="1740"/>
      <c r="QXM126" s="1740"/>
      <c r="QXN126" s="1740"/>
      <c r="QXO126" s="1740"/>
      <c r="QXP126" s="1740"/>
      <c r="QXQ126" s="1740"/>
      <c r="QXR126" s="1740"/>
      <c r="QXS126" s="1740"/>
      <c r="QXT126" s="1740"/>
      <c r="QXU126" s="1740"/>
      <c r="QXV126" s="1740"/>
      <c r="QXW126" s="1740"/>
      <c r="QXX126" s="1740"/>
      <c r="QXY126" s="1740"/>
      <c r="QXZ126" s="1740"/>
      <c r="QYA126" s="1740"/>
      <c r="QYB126" s="1740"/>
      <c r="QYC126" s="1740"/>
      <c r="QYD126" s="1740"/>
      <c r="QYE126" s="1740"/>
      <c r="QYF126" s="1740"/>
      <c r="QYG126" s="1740"/>
      <c r="QYH126" s="1740"/>
      <c r="QYI126" s="1740"/>
      <c r="QYJ126" s="1740"/>
      <c r="QYK126" s="1740"/>
      <c r="QYL126" s="1740"/>
      <c r="QYM126" s="1740"/>
      <c r="QYN126" s="1740"/>
      <c r="QYO126" s="1740"/>
      <c r="QYP126" s="1740"/>
      <c r="QYQ126" s="1740"/>
      <c r="QYR126" s="1740"/>
      <c r="QYS126" s="1740"/>
      <c r="QYT126" s="1740"/>
      <c r="QYU126" s="1740"/>
      <c r="QYV126" s="1740"/>
      <c r="QYW126" s="1740"/>
      <c r="QYX126" s="1740"/>
      <c r="QYY126" s="1740"/>
      <c r="QYZ126" s="1740"/>
      <c r="QZA126" s="1740"/>
      <c r="QZB126" s="1740"/>
      <c r="QZC126" s="1740"/>
      <c r="QZD126" s="1740"/>
      <c r="QZE126" s="1740"/>
      <c r="QZF126" s="1740"/>
      <c r="QZG126" s="1740"/>
      <c r="QZH126" s="1740"/>
      <c r="QZI126" s="1740"/>
      <c r="QZJ126" s="1740"/>
      <c r="QZK126" s="1740"/>
      <c r="QZL126" s="1740"/>
      <c r="QZM126" s="1740"/>
      <c r="QZN126" s="1740"/>
      <c r="QZO126" s="1740"/>
      <c r="QZP126" s="1740"/>
      <c r="QZQ126" s="1740"/>
      <c r="QZR126" s="1740"/>
      <c r="QZS126" s="1740"/>
      <c r="QZT126" s="1740"/>
      <c r="QZU126" s="1740"/>
      <c r="QZV126" s="1740"/>
      <c r="QZW126" s="1740"/>
      <c r="QZX126" s="1740"/>
      <c r="QZY126" s="1740"/>
      <c r="QZZ126" s="1740"/>
      <c r="RAA126" s="1740"/>
      <c r="RAB126" s="1740"/>
      <c r="RAC126" s="1740"/>
      <c r="RAD126" s="1740"/>
      <c r="RAE126" s="1740"/>
      <c r="RAF126" s="1740"/>
      <c r="RAG126" s="1740"/>
      <c r="RAH126" s="1740"/>
      <c r="RAI126" s="1740"/>
      <c r="RAJ126" s="1740"/>
      <c r="RAK126" s="1740"/>
      <c r="RAL126" s="1740"/>
      <c r="RAM126" s="1740"/>
      <c r="RAN126" s="1740"/>
      <c r="RAO126" s="1740"/>
      <c r="RAP126" s="1740"/>
      <c r="RAQ126" s="1740"/>
      <c r="RAR126" s="1740"/>
      <c r="RAS126" s="1740"/>
      <c r="RAT126" s="1740"/>
      <c r="RAU126" s="1740"/>
      <c r="RAV126" s="1740"/>
      <c r="RAW126" s="1740"/>
      <c r="RAX126" s="1740"/>
      <c r="RAY126" s="1740"/>
      <c r="RAZ126" s="1740"/>
      <c r="RBA126" s="1740"/>
      <c r="RBB126" s="1740"/>
      <c r="RBC126" s="1740"/>
      <c r="RBD126" s="1740"/>
      <c r="RBE126" s="1740"/>
      <c r="RBF126" s="1740"/>
      <c r="RBG126" s="1740"/>
      <c r="RBH126" s="1740"/>
      <c r="RBI126" s="1740"/>
      <c r="RBJ126" s="1740"/>
      <c r="RBK126" s="1740"/>
      <c r="RBL126" s="1740"/>
      <c r="RBM126" s="1740"/>
      <c r="RBN126" s="1740"/>
      <c r="RBO126" s="1740"/>
      <c r="RBP126" s="1740"/>
      <c r="RBQ126" s="1740"/>
      <c r="RBR126" s="1740"/>
      <c r="RBS126" s="1740"/>
      <c r="RBT126" s="1740"/>
      <c r="RBU126" s="1740"/>
      <c r="RBV126" s="1740"/>
      <c r="RBW126" s="1740"/>
      <c r="RBX126" s="1740"/>
      <c r="RBY126" s="1740"/>
      <c r="RBZ126" s="1740"/>
      <c r="RCA126" s="1740"/>
      <c r="RCB126" s="1740"/>
      <c r="RCC126" s="1740"/>
      <c r="RCD126" s="1740"/>
      <c r="RCE126" s="1740"/>
      <c r="RCF126" s="1740"/>
      <c r="RCG126" s="1740"/>
      <c r="RCH126" s="1740"/>
      <c r="RCI126" s="1740"/>
      <c r="RCJ126" s="1740"/>
      <c r="RCK126" s="1740"/>
      <c r="RCL126" s="1740"/>
      <c r="RCM126" s="1740"/>
      <c r="RCN126" s="1740"/>
      <c r="RCO126" s="1740"/>
      <c r="RCP126" s="1740"/>
      <c r="RCQ126" s="1740"/>
      <c r="RCR126" s="1740"/>
      <c r="RCS126" s="1740"/>
      <c r="RCT126" s="1740"/>
      <c r="RCU126" s="1740"/>
      <c r="RCV126" s="1740"/>
      <c r="RCW126" s="1740"/>
      <c r="RCX126" s="1740"/>
      <c r="RCY126" s="1740"/>
      <c r="RCZ126" s="1740"/>
      <c r="RDA126" s="1740"/>
      <c r="RDB126" s="1740"/>
      <c r="RDC126" s="1740"/>
      <c r="RDD126" s="1740"/>
      <c r="RDE126" s="1740"/>
      <c r="RDF126" s="1740"/>
      <c r="RDG126" s="1740"/>
      <c r="RDH126" s="1740"/>
      <c r="RDI126" s="1740"/>
      <c r="RDJ126" s="1740"/>
      <c r="RDK126" s="1740"/>
      <c r="RDL126" s="1740"/>
      <c r="RDM126" s="1740"/>
      <c r="RDN126" s="1740"/>
      <c r="RDO126" s="1740"/>
      <c r="RDP126" s="1740"/>
      <c r="RDQ126" s="1740"/>
      <c r="RDR126" s="1740"/>
      <c r="RDS126" s="1740"/>
      <c r="RDT126" s="1740"/>
      <c r="RDU126" s="1740"/>
      <c r="RDV126" s="1740"/>
      <c r="RDW126" s="1740"/>
      <c r="RDX126" s="1740"/>
      <c r="RDY126" s="1740"/>
      <c r="RDZ126" s="1740"/>
      <c r="REA126" s="1740"/>
      <c r="REB126" s="1740"/>
      <c r="REC126" s="1740"/>
      <c r="RED126" s="1740"/>
      <c r="REE126" s="1740"/>
      <c r="REF126" s="1740"/>
      <c r="REG126" s="1740"/>
      <c r="REH126" s="1740"/>
      <c r="REI126" s="1740"/>
      <c r="REJ126" s="1740"/>
      <c r="REK126" s="1740"/>
      <c r="REL126" s="1740"/>
      <c r="REM126" s="1740"/>
      <c r="REN126" s="1740"/>
      <c r="REO126" s="1740"/>
      <c r="REP126" s="1740"/>
      <c r="REQ126" s="1740"/>
      <c r="RER126" s="1740"/>
      <c r="RES126" s="1740"/>
      <c r="RET126" s="1740"/>
      <c r="REU126" s="1740"/>
      <c r="REV126" s="1740"/>
      <c r="REW126" s="1740"/>
      <c r="REX126" s="1740"/>
      <c r="REY126" s="1740"/>
      <c r="REZ126" s="1740"/>
      <c r="RFA126" s="1740"/>
      <c r="RFB126" s="1740"/>
      <c r="RFC126" s="1740"/>
      <c r="RFD126" s="1740"/>
      <c r="RFE126" s="1740"/>
      <c r="RFF126" s="1740"/>
      <c r="RFG126" s="1740"/>
      <c r="RFH126" s="1740"/>
      <c r="RFI126" s="1740"/>
      <c r="RFJ126" s="1740"/>
      <c r="RFK126" s="1740"/>
      <c r="RFL126" s="1740"/>
      <c r="RFM126" s="1740"/>
      <c r="RFN126" s="1740"/>
      <c r="RFO126" s="1740"/>
      <c r="RFP126" s="1740"/>
      <c r="RFQ126" s="1740"/>
      <c r="RFR126" s="1740"/>
      <c r="RFS126" s="1740"/>
      <c r="RFT126" s="1740"/>
      <c r="RFU126" s="1740"/>
      <c r="RFV126" s="1740"/>
      <c r="RFW126" s="1740"/>
      <c r="RFX126" s="1740"/>
      <c r="RFY126" s="1740"/>
      <c r="RFZ126" s="1740"/>
      <c r="RGA126" s="1740"/>
      <c r="RGB126" s="1740"/>
      <c r="RGC126" s="1740"/>
      <c r="RGD126" s="1740"/>
      <c r="RGE126" s="1740"/>
      <c r="RGF126" s="1740"/>
      <c r="RGG126" s="1740"/>
      <c r="RGH126" s="1740"/>
      <c r="RGI126" s="1740"/>
      <c r="RGJ126" s="1740"/>
      <c r="RGK126" s="1740"/>
      <c r="RGL126" s="1740"/>
      <c r="RGM126" s="1740"/>
      <c r="RGN126" s="1740"/>
      <c r="RGO126" s="1740"/>
      <c r="RGP126" s="1740"/>
      <c r="RGQ126" s="1740"/>
      <c r="RGR126" s="1740"/>
      <c r="RGS126" s="1740"/>
      <c r="RGT126" s="1740"/>
      <c r="RGU126" s="1740"/>
      <c r="RGV126" s="1740"/>
      <c r="RGW126" s="1740"/>
      <c r="RGX126" s="1740"/>
      <c r="RGY126" s="1740"/>
      <c r="RGZ126" s="1740"/>
      <c r="RHA126" s="1740"/>
      <c r="RHB126" s="1740"/>
      <c r="RHC126" s="1740"/>
      <c r="RHD126" s="1740"/>
      <c r="RHE126" s="1740"/>
      <c r="RHF126" s="1740"/>
      <c r="RHG126" s="1740"/>
      <c r="RHH126" s="1740"/>
      <c r="RHI126" s="1740"/>
      <c r="RHJ126" s="1740"/>
      <c r="RHK126" s="1740"/>
      <c r="RHL126" s="1740"/>
      <c r="RHM126" s="1740"/>
      <c r="RHN126" s="1740"/>
      <c r="RHO126" s="1740"/>
      <c r="RHP126" s="1740"/>
      <c r="RHQ126" s="1740"/>
      <c r="RHR126" s="1740"/>
      <c r="RHS126" s="1740"/>
      <c r="RHT126" s="1740"/>
      <c r="RHU126" s="1740"/>
      <c r="RHV126" s="1740"/>
      <c r="RHW126" s="1740"/>
      <c r="RHX126" s="1740"/>
      <c r="RHY126" s="1740"/>
      <c r="RHZ126" s="1740"/>
      <c r="RIA126" s="1740"/>
      <c r="RIB126" s="1740"/>
      <c r="RIC126" s="1740"/>
      <c r="RID126" s="1740"/>
      <c r="RIE126" s="1740"/>
      <c r="RIF126" s="1740"/>
      <c r="RIG126" s="1740"/>
      <c r="RIH126" s="1740"/>
      <c r="RII126" s="1740"/>
      <c r="RIJ126" s="1740"/>
      <c r="RIK126" s="1740"/>
      <c r="RIL126" s="1740"/>
      <c r="RIM126" s="1740"/>
      <c r="RIN126" s="1740"/>
      <c r="RIO126" s="1740"/>
      <c r="RIP126" s="1740"/>
      <c r="RIQ126" s="1740"/>
      <c r="RIR126" s="1740"/>
      <c r="RIS126" s="1740"/>
      <c r="RIT126" s="1740"/>
      <c r="RIU126" s="1740"/>
      <c r="RIV126" s="1740"/>
      <c r="RIW126" s="1740"/>
      <c r="RIX126" s="1740"/>
      <c r="RIY126" s="1740"/>
      <c r="RIZ126" s="1740"/>
      <c r="RJA126" s="1740"/>
      <c r="RJB126" s="1740"/>
      <c r="RJC126" s="1740"/>
      <c r="RJD126" s="1740"/>
      <c r="RJE126" s="1740"/>
      <c r="RJF126" s="1740"/>
      <c r="RJG126" s="1740"/>
      <c r="RJH126" s="1740"/>
      <c r="RJI126" s="1740"/>
      <c r="RJJ126" s="1740"/>
      <c r="RJK126" s="1740"/>
      <c r="RJL126" s="1740"/>
      <c r="RJM126" s="1740"/>
      <c r="RJN126" s="1740"/>
      <c r="RJO126" s="1740"/>
      <c r="RJP126" s="1740"/>
      <c r="RJQ126" s="1740"/>
      <c r="RJR126" s="1740"/>
      <c r="RJS126" s="1740"/>
      <c r="RJT126" s="1740"/>
      <c r="RJU126" s="1740"/>
      <c r="RJV126" s="1740"/>
      <c r="RJW126" s="1740"/>
      <c r="RJX126" s="1740"/>
      <c r="RJY126" s="1740"/>
      <c r="RJZ126" s="1740"/>
      <c r="RKA126" s="1740"/>
      <c r="RKB126" s="1740"/>
      <c r="RKC126" s="1740"/>
      <c r="RKD126" s="1740"/>
      <c r="RKE126" s="1740"/>
      <c r="RKF126" s="1740"/>
      <c r="RKG126" s="1740"/>
      <c r="RKH126" s="1740"/>
      <c r="RKI126" s="1740"/>
      <c r="RKJ126" s="1740"/>
      <c r="RKK126" s="1740"/>
      <c r="RKL126" s="1740"/>
      <c r="RKM126" s="1740"/>
      <c r="RKN126" s="1740"/>
      <c r="RKO126" s="1740"/>
      <c r="RKP126" s="1740"/>
      <c r="RKQ126" s="1740"/>
      <c r="RKR126" s="1740"/>
      <c r="RKS126" s="1740"/>
      <c r="RKT126" s="1740"/>
      <c r="RKU126" s="1740"/>
      <c r="RKV126" s="1740"/>
      <c r="RKW126" s="1740"/>
      <c r="RKX126" s="1740"/>
      <c r="RKY126" s="1740"/>
      <c r="RKZ126" s="1740"/>
      <c r="RLA126" s="1740"/>
      <c r="RLB126" s="1740"/>
      <c r="RLC126" s="1740"/>
      <c r="RLD126" s="1740"/>
      <c r="RLE126" s="1740"/>
      <c r="RLF126" s="1740"/>
      <c r="RLG126" s="1740"/>
      <c r="RLH126" s="1740"/>
      <c r="RLI126" s="1740"/>
      <c r="RLJ126" s="1740"/>
      <c r="RLK126" s="1740"/>
      <c r="RLL126" s="1740"/>
      <c r="RLM126" s="1740"/>
      <c r="RLN126" s="1740"/>
      <c r="RLO126" s="1740"/>
      <c r="RLP126" s="1740"/>
      <c r="RLQ126" s="1740"/>
      <c r="RLR126" s="1740"/>
      <c r="RLS126" s="1740"/>
      <c r="RLT126" s="1740"/>
      <c r="RLU126" s="1740"/>
      <c r="RLV126" s="1740"/>
      <c r="RLW126" s="1740"/>
      <c r="RLX126" s="1740"/>
      <c r="RLY126" s="1740"/>
      <c r="RLZ126" s="1740"/>
      <c r="RMA126" s="1740"/>
      <c r="RMB126" s="1740"/>
      <c r="RMC126" s="1740"/>
      <c r="RMD126" s="1740"/>
      <c r="RME126" s="1740"/>
      <c r="RMF126" s="1740"/>
      <c r="RMG126" s="1740"/>
      <c r="RMH126" s="1740"/>
      <c r="RMI126" s="1740"/>
      <c r="RMJ126" s="1740"/>
      <c r="RMK126" s="1740"/>
      <c r="RML126" s="1740"/>
      <c r="RMM126" s="1740"/>
      <c r="RMN126" s="1740"/>
      <c r="RMO126" s="1740"/>
      <c r="RMP126" s="1740"/>
      <c r="RMQ126" s="1740"/>
      <c r="RMR126" s="1740"/>
      <c r="RMS126" s="1740"/>
      <c r="RMT126" s="1740"/>
      <c r="RMU126" s="1740"/>
      <c r="RMV126" s="1740"/>
      <c r="RMW126" s="1740"/>
      <c r="RMX126" s="1740"/>
      <c r="RMY126" s="1740"/>
      <c r="RMZ126" s="1740"/>
      <c r="RNA126" s="1740"/>
      <c r="RNB126" s="1740"/>
      <c r="RNC126" s="1740"/>
      <c r="RND126" s="1740"/>
      <c r="RNE126" s="1740"/>
      <c r="RNF126" s="1740"/>
      <c r="RNG126" s="1740"/>
      <c r="RNH126" s="1740"/>
      <c r="RNI126" s="1740"/>
      <c r="RNJ126" s="1740"/>
      <c r="RNK126" s="1740"/>
      <c r="RNL126" s="1740"/>
      <c r="RNM126" s="1740"/>
      <c r="RNN126" s="1740"/>
      <c r="RNO126" s="1740"/>
      <c r="RNP126" s="1740"/>
      <c r="RNQ126" s="1740"/>
      <c r="RNR126" s="1740"/>
      <c r="RNS126" s="1740"/>
      <c r="RNT126" s="1740"/>
      <c r="RNU126" s="1740"/>
      <c r="RNV126" s="1740"/>
      <c r="RNW126" s="1740"/>
      <c r="RNX126" s="1740"/>
      <c r="RNY126" s="1740"/>
      <c r="RNZ126" s="1740"/>
      <c r="ROA126" s="1740"/>
      <c r="ROB126" s="1740"/>
      <c r="ROC126" s="1740"/>
      <c r="ROD126" s="1740"/>
      <c r="ROE126" s="1740"/>
      <c r="ROF126" s="1740"/>
      <c r="ROG126" s="1740"/>
      <c r="ROH126" s="1740"/>
      <c r="ROI126" s="1740"/>
      <c r="ROJ126" s="1740"/>
      <c r="ROK126" s="1740"/>
      <c r="ROL126" s="1740"/>
      <c r="ROM126" s="1740"/>
      <c r="RON126" s="1740"/>
      <c r="ROO126" s="1740"/>
      <c r="ROP126" s="1740"/>
      <c r="ROQ126" s="1740"/>
      <c r="ROR126" s="1740"/>
      <c r="ROS126" s="1740"/>
      <c r="ROT126" s="1740"/>
      <c r="ROU126" s="1740"/>
      <c r="ROV126" s="1740"/>
      <c r="ROW126" s="1740"/>
      <c r="ROX126" s="1740"/>
      <c r="ROY126" s="1740"/>
      <c r="ROZ126" s="1740"/>
      <c r="RPA126" s="1740"/>
      <c r="RPB126" s="1740"/>
      <c r="RPC126" s="1740"/>
      <c r="RPD126" s="1740"/>
      <c r="RPE126" s="1740"/>
      <c r="RPF126" s="1740"/>
      <c r="RPG126" s="1740"/>
      <c r="RPH126" s="1740"/>
      <c r="RPI126" s="1740"/>
      <c r="RPJ126" s="1740"/>
      <c r="RPK126" s="1740"/>
      <c r="RPL126" s="1740"/>
      <c r="RPM126" s="1740"/>
      <c r="RPN126" s="1740"/>
      <c r="RPO126" s="1740"/>
      <c r="RPP126" s="1740"/>
      <c r="RPQ126" s="1740"/>
      <c r="RPR126" s="1740"/>
      <c r="RPS126" s="1740"/>
      <c r="RPT126" s="1740"/>
      <c r="RPU126" s="1740"/>
      <c r="RPV126" s="1740"/>
      <c r="RPW126" s="1740"/>
      <c r="RPX126" s="1740"/>
      <c r="RPY126" s="1740"/>
      <c r="RPZ126" s="1740"/>
      <c r="RQA126" s="1740"/>
      <c r="RQB126" s="1740"/>
      <c r="RQC126" s="1740"/>
      <c r="RQD126" s="1740"/>
      <c r="RQE126" s="1740"/>
      <c r="RQF126" s="1740"/>
      <c r="RQG126" s="1740"/>
      <c r="RQH126" s="1740"/>
      <c r="RQI126" s="1740"/>
      <c r="RQJ126" s="1740"/>
      <c r="RQK126" s="1740"/>
      <c r="RQL126" s="1740"/>
      <c r="RQM126" s="1740"/>
      <c r="RQN126" s="1740"/>
      <c r="RQO126" s="1740"/>
      <c r="RQP126" s="1740"/>
      <c r="RQQ126" s="1740"/>
      <c r="RQR126" s="1740"/>
      <c r="RQS126" s="1740"/>
      <c r="RQT126" s="1740"/>
      <c r="RQU126" s="1740"/>
      <c r="RQV126" s="1740"/>
      <c r="RQW126" s="1740"/>
      <c r="RQX126" s="1740"/>
      <c r="RQY126" s="1740"/>
      <c r="RQZ126" s="1740"/>
      <c r="RRA126" s="1740"/>
      <c r="RRB126" s="1740"/>
      <c r="RRC126" s="1740"/>
      <c r="RRD126" s="1740"/>
      <c r="RRE126" s="1740"/>
      <c r="RRF126" s="1740"/>
      <c r="RRG126" s="1740"/>
      <c r="RRH126" s="1740"/>
      <c r="RRI126" s="1740"/>
      <c r="RRJ126" s="1740"/>
      <c r="RRK126" s="1740"/>
      <c r="RRL126" s="1740"/>
      <c r="RRM126" s="1740"/>
      <c r="RRN126" s="1740"/>
      <c r="RRO126" s="1740"/>
      <c r="RRP126" s="1740"/>
      <c r="RRQ126" s="1740"/>
      <c r="RRR126" s="1740"/>
      <c r="RRS126" s="1740"/>
      <c r="RRT126" s="1740"/>
      <c r="RRU126" s="1740"/>
      <c r="RRV126" s="1740"/>
      <c r="RRW126" s="1740"/>
      <c r="RRX126" s="1740"/>
      <c r="RRY126" s="1740"/>
      <c r="RRZ126" s="1740"/>
      <c r="RSA126" s="1740"/>
      <c r="RSB126" s="1740"/>
      <c r="RSC126" s="1740"/>
      <c r="RSD126" s="1740"/>
      <c r="RSE126" s="1740"/>
      <c r="RSF126" s="1740"/>
      <c r="RSG126" s="1740"/>
      <c r="RSH126" s="1740"/>
      <c r="RSI126" s="1740"/>
      <c r="RSJ126" s="1740"/>
      <c r="RSK126" s="1740"/>
      <c r="RSL126" s="1740"/>
      <c r="RSM126" s="1740"/>
      <c r="RSN126" s="1740"/>
      <c r="RSO126" s="1740"/>
      <c r="RSP126" s="1740"/>
      <c r="RSQ126" s="1740"/>
      <c r="RSR126" s="1740"/>
      <c r="RSS126" s="1740"/>
      <c r="RST126" s="1740"/>
      <c r="RSU126" s="1740"/>
      <c r="RSV126" s="1740"/>
      <c r="RSW126" s="1740"/>
      <c r="RSX126" s="1740"/>
      <c r="RSY126" s="1740"/>
      <c r="RSZ126" s="1740"/>
      <c r="RTA126" s="1740"/>
      <c r="RTB126" s="1740"/>
      <c r="RTC126" s="1740"/>
      <c r="RTD126" s="1740"/>
      <c r="RTE126" s="1740"/>
      <c r="RTF126" s="1740"/>
      <c r="RTG126" s="1740"/>
      <c r="RTH126" s="1740"/>
      <c r="RTI126" s="1740"/>
      <c r="RTJ126" s="1740"/>
      <c r="RTK126" s="1740"/>
      <c r="RTL126" s="1740"/>
      <c r="RTM126" s="1740"/>
      <c r="RTN126" s="1740"/>
      <c r="RTO126" s="1740"/>
      <c r="RTP126" s="1740"/>
      <c r="RTQ126" s="1740"/>
      <c r="RTR126" s="1740"/>
      <c r="RTS126" s="1740"/>
      <c r="RTT126" s="1740"/>
      <c r="RTU126" s="1740"/>
      <c r="RTV126" s="1740"/>
      <c r="RTW126" s="1740"/>
      <c r="RTX126" s="1740"/>
      <c r="RTY126" s="1740"/>
      <c r="RTZ126" s="1740"/>
      <c r="RUA126" s="1740"/>
      <c r="RUB126" s="1740"/>
      <c r="RUC126" s="1740"/>
      <c r="RUD126" s="1740"/>
      <c r="RUE126" s="1740"/>
      <c r="RUF126" s="1740"/>
      <c r="RUG126" s="1740"/>
      <c r="RUH126" s="1740"/>
      <c r="RUI126" s="1740"/>
      <c r="RUJ126" s="1740"/>
      <c r="RUK126" s="1740"/>
      <c r="RUL126" s="1740"/>
      <c r="RUM126" s="1740"/>
      <c r="RUN126" s="1740"/>
      <c r="RUO126" s="1740"/>
      <c r="RUP126" s="1740"/>
      <c r="RUQ126" s="1740"/>
      <c r="RUR126" s="1740"/>
      <c r="RUS126" s="1740"/>
      <c r="RUT126" s="1740"/>
      <c r="RUU126" s="1740"/>
      <c r="RUV126" s="1740"/>
      <c r="RUW126" s="1740"/>
      <c r="RUX126" s="1740"/>
      <c r="RUY126" s="1740"/>
      <c r="RUZ126" s="1740"/>
      <c r="RVA126" s="1740"/>
      <c r="RVB126" s="1740"/>
      <c r="RVC126" s="1740"/>
      <c r="RVD126" s="1740"/>
      <c r="RVE126" s="1740"/>
      <c r="RVF126" s="1740"/>
      <c r="RVG126" s="1740"/>
      <c r="RVH126" s="1740"/>
      <c r="RVI126" s="1740"/>
      <c r="RVJ126" s="1740"/>
      <c r="RVK126" s="1740"/>
      <c r="RVL126" s="1740"/>
      <c r="RVM126" s="1740"/>
      <c r="RVN126" s="1740"/>
      <c r="RVO126" s="1740"/>
      <c r="RVP126" s="1740"/>
      <c r="RVQ126" s="1740"/>
      <c r="RVR126" s="1740"/>
      <c r="RVS126" s="1740"/>
      <c r="RVT126" s="1740"/>
      <c r="RVU126" s="1740"/>
      <c r="RVV126" s="1740"/>
      <c r="RVW126" s="1740"/>
      <c r="RVX126" s="1740"/>
      <c r="RVY126" s="1740"/>
      <c r="RVZ126" s="1740"/>
      <c r="RWA126" s="1740"/>
      <c r="RWB126" s="1740"/>
      <c r="RWC126" s="1740"/>
      <c r="RWD126" s="1740"/>
      <c r="RWE126" s="1740"/>
      <c r="RWF126" s="1740"/>
      <c r="RWG126" s="1740"/>
      <c r="RWH126" s="1740"/>
      <c r="RWI126" s="1740"/>
      <c r="RWJ126" s="1740"/>
      <c r="RWK126" s="1740"/>
      <c r="RWL126" s="1740"/>
      <c r="RWM126" s="1740"/>
      <c r="RWN126" s="1740"/>
      <c r="RWO126" s="1740"/>
      <c r="RWP126" s="1740"/>
      <c r="RWQ126" s="1740"/>
      <c r="RWR126" s="1740"/>
      <c r="RWS126" s="1740"/>
      <c r="RWT126" s="1740"/>
      <c r="RWU126" s="1740"/>
      <c r="RWV126" s="1740"/>
      <c r="RWW126" s="1740"/>
      <c r="RWX126" s="1740"/>
      <c r="RWY126" s="1740"/>
      <c r="RWZ126" s="1740"/>
      <c r="RXA126" s="1740"/>
      <c r="RXB126" s="1740"/>
      <c r="RXC126" s="1740"/>
      <c r="RXD126" s="1740"/>
      <c r="RXE126" s="1740"/>
      <c r="RXF126" s="1740"/>
      <c r="RXG126" s="1740"/>
      <c r="RXH126" s="1740"/>
      <c r="RXI126" s="1740"/>
      <c r="RXJ126" s="1740"/>
      <c r="RXK126" s="1740"/>
      <c r="RXL126" s="1740"/>
      <c r="RXM126" s="1740"/>
      <c r="RXN126" s="1740"/>
      <c r="RXO126" s="1740"/>
      <c r="RXP126" s="1740"/>
      <c r="RXQ126" s="1740"/>
      <c r="RXR126" s="1740"/>
      <c r="RXS126" s="1740"/>
      <c r="RXT126" s="1740"/>
      <c r="RXU126" s="1740"/>
      <c r="RXV126" s="1740"/>
      <c r="RXW126" s="1740"/>
      <c r="RXX126" s="1740"/>
      <c r="RXY126" s="1740"/>
      <c r="RXZ126" s="1740"/>
      <c r="RYA126" s="1740"/>
      <c r="RYB126" s="1740"/>
      <c r="RYC126" s="1740"/>
      <c r="RYD126" s="1740"/>
      <c r="RYE126" s="1740"/>
      <c r="RYF126" s="1740"/>
      <c r="RYG126" s="1740"/>
      <c r="RYH126" s="1740"/>
      <c r="RYI126" s="1740"/>
      <c r="RYJ126" s="1740"/>
      <c r="RYK126" s="1740"/>
      <c r="RYL126" s="1740"/>
      <c r="RYM126" s="1740"/>
      <c r="RYN126" s="1740"/>
      <c r="RYO126" s="1740"/>
      <c r="RYP126" s="1740"/>
      <c r="RYQ126" s="1740"/>
      <c r="RYR126" s="1740"/>
      <c r="RYS126" s="1740"/>
      <c r="RYT126" s="1740"/>
      <c r="RYU126" s="1740"/>
      <c r="RYV126" s="1740"/>
      <c r="RYW126" s="1740"/>
      <c r="RYX126" s="1740"/>
      <c r="RYY126" s="1740"/>
      <c r="RYZ126" s="1740"/>
      <c r="RZA126" s="1740"/>
      <c r="RZB126" s="1740"/>
      <c r="RZC126" s="1740"/>
      <c r="RZD126" s="1740"/>
      <c r="RZE126" s="1740"/>
      <c r="RZF126" s="1740"/>
      <c r="RZG126" s="1740"/>
      <c r="RZH126" s="1740"/>
      <c r="RZI126" s="1740"/>
      <c r="RZJ126" s="1740"/>
      <c r="RZK126" s="1740"/>
      <c r="RZL126" s="1740"/>
      <c r="RZM126" s="1740"/>
      <c r="RZN126" s="1740"/>
      <c r="RZO126" s="1740"/>
      <c r="RZP126" s="1740"/>
      <c r="RZQ126" s="1740"/>
      <c r="RZR126" s="1740"/>
      <c r="RZS126" s="1740"/>
      <c r="RZT126" s="1740"/>
      <c r="RZU126" s="1740"/>
      <c r="RZV126" s="1740"/>
      <c r="RZW126" s="1740"/>
      <c r="RZX126" s="1740"/>
      <c r="RZY126" s="1740"/>
      <c r="RZZ126" s="1740"/>
      <c r="SAA126" s="1740"/>
      <c r="SAB126" s="1740"/>
      <c r="SAC126" s="1740"/>
      <c r="SAD126" s="1740"/>
      <c r="SAE126" s="1740"/>
      <c r="SAF126" s="1740"/>
      <c r="SAG126" s="1740"/>
      <c r="SAH126" s="1740"/>
      <c r="SAI126" s="1740"/>
      <c r="SAJ126" s="1740"/>
      <c r="SAK126" s="1740"/>
      <c r="SAL126" s="1740"/>
      <c r="SAM126" s="1740"/>
      <c r="SAN126" s="1740"/>
      <c r="SAO126" s="1740"/>
      <c r="SAP126" s="1740"/>
      <c r="SAQ126" s="1740"/>
      <c r="SAR126" s="1740"/>
      <c r="SAS126" s="1740"/>
      <c r="SAT126" s="1740"/>
      <c r="SAU126" s="1740"/>
      <c r="SAV126" s="1740"/>
      <c r="SAW126" s="1740"/>
      <c r="SAX126" s="1740"/>
      <c r="SAY126" s="1740"/>
      <c r="SAZ126" s="1740"/>
      <c r="SBA126" s="1740"/>
      <c r="SBB126" s="1740"/>
      <c r="SBC126" s="1740"/>
      <c r="SBD126" s="1740"/>
      <c r="SBE126" s="1740"/>
      <c r="SBF126" s="1740"/>
      <c r="SBG126" s="1740"/>
      <c r="SBH126" s="1740"/>
      <c r="SBI126" s="1740"/>
      <c r="SBJ126" s="1740"/>
      <c r="SBK126" s="1740"/>
      <c r="SBL126" s="1740"/>
      <c r="SBM126" s="1740"/>
      <c r="SBN126" s="1740"/>
      <c r="SBO126" s="1740"/>
      <c r="SBP126" s="1740"/>
      <c r="SBQ126" s="1740"/>
      <c r="SBR126" s="1740"/>
      <c r="SBS126" s="1740"/>
      <c r="SBT126" s="1740"/>
      <c r="SBU126" s="1740"/>
      <c r="SBV126" s="1740"/>
      <c r="SBW126" s="1740"/>
      <c r="SBX126" s="1740"/>
      <c r="SBY126" s="1740"/>
      <c r="SBZ126" s="1740"/>
      <c r="SCA126" s="1740"/>
      <c r="SCB126" s="1740"/>
      <c r="SCC126" s="1740"/>
      <c r="SCD126" s="1740"/>
      <c r="SCE126" s="1740"/>
      <c r="SCF126" s="1740"/>
      <c r="SCG126" s="1740"/>
      <c r="SCH126" s="1740"/>
      <c r="SCI126" s="1740"/>
      <c r="SCJ126" s="1740"/>
      <c r="SCK126" s="1740"/>
      <c r="SCL126" s="1740"/>
      <c r="SCM126" s="1740"/>
      <c r="SCN126" s="1740"/>
      <c r="SCO126" s="1740"/>
      <c r="SCP126" s="1740"/>
      <c r="SCQ126" s="1740"/>
      <c r="SCR126" s="1740"/>
      <c r="SCS126" s="1740"/>
      <c r="SCT126" s="1740"/>
      <c r="SCU126" s="1740"/>
      <c r="SCV126" s="1740"/>
      <c r="SCW126" s="1740"/>
      <c r="SCX126" s="1740"/>
      <c r="SCY126" s="1740"/>
      <c r="SCZ126" s="1740"/>
      <c r="SDA126" s="1740"/>
      <c r="SDB126" s="1740"/>
      <c r="SDC126" s="1740"/>
      <c r="SDD126" s="1740"/>
      <c r="SDE126" s="1740"/>
      <c r="SDF126" s="1740"/>
      <c r="SDG126" s="1740"/>
      <c r="SDH126" s="1740"/>
      <c r="SDI126" s="1740"/>
      <c r="SDJ126" s="1740"/>
      <c r="SDK126" s="1740"/>
      <c r="SDL126" s="1740"/>
      <c r="SDM126" s="1740"/>
      <c r="SDN126" s="1740"/>
      <c r="SDO126" s="1740"/>
      <c r="SDP126" s="1740"/>
      <c r="SDQ126" s="1740"/>
      <c r="SDR126" s="1740"/>
      <c r="SDS126" s="1740"/>
      <c r="SDT126" s="1740"/>
      <c r="SDU126" s="1740"/>
      <c r="SDV126" s="1740"/>
      <c r="SDW126" s="1740"/>
      <c r="SDX126" s="1740"/>
      <c r="SDY126" s="1740"/>
      <c r="SDZ126" s="1740"/>
      <c r="SEA126" s="1740"/>
      <c r="SEB126" s="1740"/>
      <c r="SEC126" s="1740"/>
      <c r="SED126" s="1740"/>
      <c r="SEE126" s="1740"/>
      <c r="SEF126" s="1740"/>
      <c r="SEG126" s="1740"/>
      <c r="SEH126" s="1740"/>
      <c r="SEI126" s="1740"/>
      <c r="SEJ126" s="1740"/>
      <c r="SEK126" s="1740"/>
      <c r="SEL126" s="1740"/>
      <c r="SEM126" s="1740"/>
      <c r="SEN126" s="1740"/>
      <c r="SEO126" s="1740"/>
      <c r="SEP126" s="1740"/>
      <c r="SEQ126" s="1740"/>
      <c r="SER126" s="1740"/>
      <c r="SES126" s="1740"/>
      <c r="SET126" s="1740"/>
      <c r="SEU126" s="1740"/>
      <c r="SEV126" s="1740"/>
      <c r="SEW126" s="1740"/>
      <c r="SEX126" s="1740"/>
      <c r="SEY126" s="1740"/>
      <c r="SEZ126" s="1740"/>
      <c r="SFA126" s="1740"/>
      <c r="SFB126" s="1740"/>
      <c r="SFC126" s="1740"/>
      <c r="SFD126" s="1740"/>
      <c r="SFE126" s="1740"/>
      <c r="SFF126" s="1740"/>
      <c r="SFG126" s="1740"/>
      <c r="SFH126" s="1740"/>
      <c r="SFI126" s="1740"/>
      <c r="SFJ126" s="1740"/>
      <c r="SFK126" s="1740"/>
      <c r="SFL126" s="1740"/>
      <c r="SFM126" s="1740"/>
      <c r="SFN126" s="1740"/>
      <c r="SFO126" s="1740"/>
      <c r="SFP126" s="1740"/>
      <c r="SFQ126" s="1740"/>
      <c r="SFR126" s="1740"/>
      <c r="SFS126" s="1740"/>
      <c r="SFT126" s="1740"/>
      <c r="SFU126" s="1740"/>
      <c r="SFV126" s="1740"/>
      <c r="SFW126" s="1740"/>
      <c r="SFX126" s="1740"/>
      <c r="SFY126" s="1740"/>
      <c r="SFZ126" s="1740"/>
      <c r="SGA126" s="1740"/>
      <c r="SGB126" s="1740"/>
      <c r="SGC126" s="1740"/>
      <c r="SGD126" s="1740"/>
      <c r="SGE126" s="1740"/>
      <c r="SGF126" s="1740"/>
      <c r="SGG126" s="1740"/>
      <c r="SGH126" s="1740"/>
      <c r="SGI126" s="1740"/>
      <c r="SGJ126" s="1740"/>
      <c r="SGK126" s="1740"/>
      <c r="SGL126" s="1740"/>
      <c r="SGM126" s="1740"/>
      <c r="SGN126" s="1740"/>
      <c r="SGO126" s="1740"/>
      <c r="SGP126" s="1740"/>
      <c r="SGQ126" s="1740"/>
      <c r="SGR126" s="1740"/>
      <c r="SGS126" s="1740"/>
      <c r="SGT126" s="1740"/>
      <c r="SGU126" s="1740"/>
      <c r="SGV126" s="1740"/>
      <c r="SGW126" s="1740"/>
      <c r="SGX126" s="1740"/>
      <c r="SGY126" s="1740"/>
      <c r="SGZ126" s="1740"/>
      <c r="SHA126" s="1740"/>
      <c r="SHB126" s="1740"/>
      <c r="SHC126" s="1740"/>
      <c r="SHD126" s="1740"/>
      <c r="SHE126" s="1740"/>
      <c r="SHF126" s="1740"/>
      <c r="SHG126" s="1740"/>
      <c r="SHH126" s="1740"/>
      <c r="SHI126" s="1740"/>
      <c r="SHJ126" s="1740"/>
      <c r="SHK126" s="1740"/>
      <c r="SHL126" s="1740"/>
      <c r="SHM126" s="1740"/>
      <c r="SHN126" s="1740"/>
      <c r="SHO126" s="1740"/>
      <c r="SHP126" s="1740"/>
      <c r="SHQ126" s="1740"/>
      <c r="SHR126" s="1740"/>
      <c r="SHS126" s="1740"/>
      <c r="SHT126" s="1740"/>
      <c r="SHU126" s="1740"/>
      <c r="SHV126" s="1740"/>
      <c r="SHW126" s="1740"/>
      <c r="SHX126" s="1740"/>
      <c r="SHY126" s="1740"/>
      <c r="SHZ126" s="1740"/>
      <c r="SIA126" s="1740"/>
      <c r="SIB126" s="1740"/>
      <c r="SIC126" s="1740"/>
      <c r="SID126" s="1740"/>
      <c r="SIE126" s="1740"/>
      <c r="SIF126" s="1740"/>
      <c r="SIG126" s="1740"/>
      <c r="SIH126" s="1740"/>
      <c r="SII126" s="1740"/>
      <c r="SIJ126" s="1740"/>
      <c r="SIK126" s="1740"/>
      <c r="SIL126" s="1740"/>
      <c r="SIM126" s="1740"/>
      <c r="SIN126" s="1740"/>
      <c r="SIO126" s="1740"/>
      <c r="SIP126" s="1740"/>
      <c r="SIQ126" s="1740"/>
      <c r="SIR126" s="1740"/>
      <c r="SIS126" s="1740"/>
      <c r="SIT126" s="1740"/>
      <c r="SIU126" s="1740"/>
      <c r="SIV126" s="1740"/>
      <c r="SIW126" s="1740"/>
      <c r="SIX126" s="1740"/>
      <c r="SIY126" s="1740"/>
      <c r="SIZ126" s="1740"/>
      <c r="SJA126" s="1740"/>
      <c r="SJB126" s="1740"/>
      <c r="SJC126" s="1740"/>
      <c r="SJD126" s="1740"/>
      <c r="SJE126" s="1740"/>
      <c r="SJF126" s="1740"/>
      <c r="SJG126" s="1740"/>
      <c r="SJH126" s="1740"/>
      <c r="SJI126" s="1740"/>
      <c r="SJJ126" s="1740"/>
      <c r="SJK126" s="1740"/>
      <c r="SJL126" s="1740"/>
      <c r="SJM126" s="1740"/>
      <c r="SJN126" s="1740"/>
      <c r="SJO126" s="1740"/>
      <c r="SJP126" s="1740"/>
      <c r="SJQ126" s="1740"/>
      <c r="SJR126" s="1740"/>
      <c r="SJS126" s="1740"/>
      <c r="SJT126" s="1740"/>
      <c r="SJU126" s="1740"/>
      <c r="SJV126" s="1740"/>
      <c r="SJW126" s="1740"/>
      <c r="SJX126" s="1740"/>
      <c r="SJY126" s="1740"/>
      <c r="SJZ126" s="1740"/>
      <c r="SKA126" s="1740"/>
      <c r="SKB126" s="1740"/>
      <c r="SKC126" s="1740"/>
      <c r="SKD126" s="1740"/>
      <c r="SKE126" s="1740"/>
      <c r="SKF126" s="1740"/>
      <c r="SKG126" s="1740"/>
      <c r="SKH126" s="1740"/>
      <c r="SKI126" s="1740"/>
      <c r="SKJ126" s="1740"/>
      <c r="SKK126" s="1740"/>
      <c r="SKL126" s="1740"/>
      <c r="SKM126" s="1740"/>
      <c r="SKN126" s="1740"/>
      <c r="SKO126" s="1740"/>
      <c r="SKP126" s="1740"/>
      <c r="SKQ126" s="1740"/>
      <c r="SKR126" s="1740"/>
      <c r="SKS126" s="1740"/>
      <c r="SKT126" s="1740"/>
      <c r="SKU126" s="1740"/>
      <c r="SKV126" s="1740"/>
      <c r="SKW126" s="1740"/>
      <c r="SKX126" s="1740"/>
      <c r="SKY126" s="1740"/>
      <c r="SKZ126" s="1740"/>
      <c r="SLA126" s="1740"/>
      <c r="SLB126" s="1740"/>
      <c r="SLC126" s="1740"/>
      <c r="SLD126" s="1740"/>
      <c r="SLE126" s="1740"/>
      <c r="SLF126" s="1740"/>
      <c r="SLG126" s="1740"/>
      <c r="SLH126" s="1740"/>
      <c r="SLI126" s="1740"/>
      <c r="SLJ126" s="1740"/>
      <c r="SLK126" s="1740"/>
      <c r="SLL126" s="1740"/>
      <c r="SLM126" s="1740"/>
      <c r="SLN126" s="1740"/>
      <c r="SLO126" s="1740"/>
      <c r="SLP126" s="1740"/>
      <c r="SLQ126" s="1740"/>
      <c r="SLR126" s="1740"/>
      <c r="SLS126" s="1740"/>
      <c r="SLT126" s="1740"/>
      <c r="SLU126" s="1740"/>
      <c r="SLV126" s="1740"/>
      <c r="SLW126" s="1740"/>
      <c r="SLX126" s="1740"/>
      <c r="SLY126" s="1740"/>
      <c r="SLZ126" s="1740"/>
      <c r="SMA126" s="1740"/>
      <c r="SMB126" s="1740"/>
      <c r="SMC126" s="1740"/>
      <c r="SMD126" s="1740"/>
      <c r="SME126" s="1740"/>
      <c r="SMF126" s="1740"/>
      <c r="SMG126" s="1740"/>
      <c r="SMH126" s="1740"/>
      <c r="SMI126" s="1740"/>
      <c r="SMJ126" s="1740"/>
      <c r="SMK126" s="1740"/>
      <c r="SML126" s="1740"/>
      <c r="SMM126" s="1740"/>
      <c r="SMN126" s="1740"/>
      <c r="SMO126" s="1740"/>
      <c r="SMP126" s="1740"/>
      <c r="SMQ126" s="1740"/>
      <c r="SMR126" s="1740"/>
      <c r="SMS126" s="1740"/>
      <c r="SMT126" s="1740"/>
      <c r="SMU126" s="1740"/>
      <c r="SMV126" s="1740"/>
      <c r="SMW126" s="1740"/>
      <c r="SMX126" s="1740"/>
      <c r="SMY126" s="1740"/>
      <c r="SMZ126" s="1740"/>
      <c r="SNA126" s="1740"/>
      <c r="SNB126" s="1740"/>
      <c r="SNC126" s="1740"/>
      <c r="SND126" s="1740"/>
      <c r="SNE126" s="1740"/>
      <c r="SNF126" s="1740"/>
      <c r="SNG126" s="1740"/>
      <c r="SNH126" s="1740"/>
      <c r="SNI126" s="1740"/>
      <c r="SNJ126" s="1740"/>
      <c r="SNK126" s="1740"/>
      <c r="SNL126" s="1740"/>
      <c r="SNM126" s="1740"/>
      <c r="SNN126" s="1740"/>
      <c r="SNO126" s="1740"/>
      <c r="SNP126" s="1740"/>
      <c r="SNQ126" s="1740"/>
      <c r="SNR126" s="1740"/>
      <c r="SNS126" s="1740"/>
      <c r="SNT126" s="1740"/>
      <c r="SNU126" s="1740"/>
      <c r="SNV126" s="1740"/>
      <c r="SNW126" s="1740"/>
      <c r="SNX126" s="1740"/>
      <c r="SNY126" s="1740"/>
      <c r="SNZ126" s="1740"/>
      <c r="SOA126" s="1740"/>
      <c r="SOB126" s="1740"/>
      <c r="SOC126" s="1740"/>
      <c r="SOD126" s="1740"/>
      <c r="SOE126" s="1740"/>
      <c r="SOF126" s="1740"/>
      <c r="SOG126" s="1740"/>
      <c r="SOH126" s="1740"/>
      <c r="SOI126" s="1740"/>
      <c r="SOJ126" s="1740"/>
      <c r="SOK126" s="1740"/>
      <c r="SOL126" s="1740"/>
      <c r="SOM126" s="1740"/>
      <c r="SON126" s="1740"/>
      <c r="SOO126" s="1740"/>
      <c r="SOP126" s="1740"/>
      <c r="SOQ126" s="1740"/>
      <c r="SOR126" s="1740"/>
      <c r="SOS126" s="1740"/>
      <c r="SOT126" s="1740"/>
      <c r="SOU126" s="1740"/>
      <c r="SOV126" s="1740"/>
      <c r="SOW126" s="1740"/>
      <c r="SOX126" s="1740"/>
      <c r="SOY126" s="1740"/>
      <c r="SOZ126" s="1740"/>
      <c r="SPA126" s="1740"/>
      <c r="SPB126" s="1740"/>
      <c r="SPC126" s="1740"/>
      <c r="SPD126" s="1740"/>
      <c r="SPE126" s="1740"/>
      <c r="SPF126" s="1740"/>
      <c r="SPG126" s="1740"/>
      <c r="SPH126" s="1740"/>
      <c r="SPI126" s="1740"/>
      <c r="SPJ126" s="1740"/>
      <c r="SPK126" s="1740"/>
      <c r="SPL126" s="1740"/>
      <c r="SPM126" s="1740"/>
      <c r="SPN126" s="1740"/>
      <c r="SPO126" s="1740"/>
      <c r="SPP126" s="1740"/>
      <c r="SPQ126" s="1740"/>
      <c r="SPR126" s="1740"/>
      <c r="SPS126" s="1740"/>
      <c r="SPT126" s="1740"/>
      <c r="SPU126" s="1740"/>
      <c r="SPV126" s="1740"/>
      <c r="SPW126" s="1740"/>
      <c r="SPX126" s="1740"/>
      <c r="SPY126" s="1740"/>
      <c r="SPZ126" s="1740"/>
      <c r="SQA126" s="1740"/>
      <c r="SQB126" s="1740"/>
      <c r="SQC126" s="1740"/>
      <c r="SQD126" s="1740"/>
      <c r="SQE126" s="1740"/>
      <c r="SQF126" s="1740"/>
      <c r="SQG126" s="1740"/>
      <c r="SQH126" s="1740"/>
      <c r="SQI126" s="1740"/>
      <c r="SQJ126" s="1740"/>
      <c r="SQK126" s="1740"/>
      <c r="SQL126" s="1740"/>
      <c r="SQM126" s="1740"/>
      <c r="SQN126" s="1740"/>
      <c r="SQO126" s="1740"/>
      <c r="SQP126" s="1740"/>
      <c r="SQQ126" s="1740"/>
      <c r="SQR126" s="1740"/>
      <c r="SQS126" s="1740"/>
      <c r="SQT126" s="1740"/>
      <c r="SQU126" s="1740"/>
      <c r="SQV126" s="1740"/>
      <c r="SQW126" s="1740"/>
      <c r="SQX126" s="1740"/>
      <c r="SQY126" s="1740"/>
      <c r="SQZ126" s="1740"/>
      <c r="SRA126" s="1740"/>
      <c r="SRB126" s="1740"/>
      <c r="SRC126" s="1740"/>
      <c r="SRD126" s="1740"/>
      <c r="SRE126" s="1740"/>
      <c r="SRF126" s="1740"/>
      <c r="SRG126" s="1740"/>
      <c r="SRH126" s="1740"/>
      <c r="SRI126" s="1740"/>
      <c r="SRJ126" s="1740"/>
      <c r="SRK126" s="1740"/>
      <c r="SRL126" s="1740"/>
      <c r="SRM126" s="1740"/>
      <c r="SRN126" s="1740"/>
      <c r="SRO126" s="1740"/>
      <c r="SRP126" s="1740"/>
      <c r="SRQ126" s="1740"/>
      <c r="SRR126" s="1740"/>
      <c r="SRS126" s="1740"/>
      <c r="SRT126" s="1740"/>
      <c r="SRU126" s="1740"/>
      <c r="SRV126" s="1740"/>
      <c r="SRW126" s="1740"/>
      <c r="SRX126" s="1740"/>
      <c r="SRY126" s="1740"/>
      <c r="SRZ126" s="1740"/>
      <c r="SSA126" s="1740"/>
      <c r="SSB126" s="1740"/>
      <c r="SSC126" s="1740"/>
      <c r="SSD126" s="1740"/>
      <c r="SSE126" s="1740"/>
      <c r="SSF126" s="1740"/>
      <c r="SSG126" s="1740"/>
      <c r="SSH126" s="1740"/>
      <c r="SSI126" s="1740"/>
      <c r="SSJ126" s="1740"/>
      <c r="SSK126" s="1740"/>
      <c r="SSL126" s="1740"/>
      <c r="SSM126" s="1740"/>
      <c r="SSN126" s="1740"/>
      <c r="SSO126" s="1740"/>
      <c r="SSP126" s="1740"/>
      <c r="SSQ126" s="1740"/>
      <c r="SSR126" s="1740"/>
      <c r="SSS126" s="1740"/>
      <c r="SST126" s="1740"/>
      <c r="SSU126" s="1740"/>
      <c r="SSV126" s="1740"/>
      <c r="SSW126" s="1740"/>
      <c r="SSX126" s="1740"/>
      <c r="SSY126" s="1740"/>
      <c r="SSZ126" s="1740"/>
      <c r="STA126" s="1740"/>
      <c r="STB126" s="1740"/>
      <c r="STC126" s="1740"/>
      <c r="STD126" s="1740"/>
      <c r="STE126" s="1740"/>
      <c r="STF126" s="1740"/>
      <c r="STG126" s="1740"/>
      <c r="STH126" s="1740"/>
      <c r="STI126" s="1740"/>
      <c r="STJ126" s="1740"/>
      <c r="STK126" s="1740"/>
      <c r="STL126" s="1740"/>
      <c r="STM126" s="1740"/>
      <c r="STN126" s="1740"/>
      <c r="STO126" s="1740"/>
      <c r="STP126" s="1740"/>
      <c r="STQ126" s="1740"/>
      <c r="STR126" s="1740"/>
      <c r="STS126" s="1740"/>
      <c r="STT126" s="1740"/>
      <c r="STU126" s="1740"/>
      <c r="STV126" s="1740"/>
      <c r="STW126" s="1740"/>
      <c r="STX126" s="1740"/>
      <c r="STY126" s="1740"/>
      <c r="STZ126" s="1740"/>
      <c r="SUA126" s="1740"/>
      <c r="SUB126" s="1740"/>
      <c r="SUC126" s="1740"/>
      <c r="SUD126" s="1740"/>
      <c r="SUE126" s="1740"/>
      <c r="SUF126" s="1740"/>
      <c r="SUG126" s="1740"/>
      <c r="SUH126" s="1740"/>
      <c r="SUI126" s="1740"/>
      <c r="SUJ126" s="1740"/>
      <c r="SUK126" s="1740"/>
      <c r="SUL126" s="1740"/>
      <c r="SUM126" s="1740"/>
      <c r="SUN126" s="1740"/>
      <c r="SUO126" s="1740"/>
      <c r="SUP126" s="1740"/>
      <c r="SUQ126" s="1740"/>
      <c r="SUR126" s="1740"/>
      <c r="SUS126" s="1740"/>
      <c r="SUT126" s="1740"/>
      <c r="SUU126" s="1740"/>
      <c r="SUV126" s="1740"/>
      <c r="SUW126" s="1740"/>
      <c r="SUX126" s="1740"/>
      <c r="SUY126" s="1740"/>
      <c r="SUZ126" s="1740"/>
      <c r="SVA126" s="1740"/>
      <c r="SVB126" s="1740"/>
      <c r="SVC126" s="1740"/>
      <c r="SVD126" s="1740"/>
      <c r="SVE126" s="1740"/>
      <c r="SVF126" s="1740"/>
      <c r="SVG126" s="1740"/>
      <c r="SVH126" s="1740"/>
      <c r="SVI126" s="1740"/>
      <c r="SVJ126" s="1740"/>
      <c r="SVK126" s="1740"/>
      <c r="SVL126" s="1740"/>
      <c r="SVM126" s="1740"/>
      <c r="SVN126" s="1740"/>
      <c r="SVO126" s="1740"/>
      <c r="SVP126" s="1740"/>
      <c r="SVQ126" s="1740"/>
      <c r="SVR126" s="1740"/>
      <c r="SVS126" s="1740"/>
      <c r="SVT126" s="1740"/>
      <c r="SVU126" s="1740"/>
      <c r="SVV126" s="1740"/>
      <c r="SVW126" s="1740"/>
      <c r="SVX126" s="1740"/>
      <c r="SVY126" s="1740"/>
      <c r="SVZ126" s="1740"/>
      <c r="SWA126" s="1740"/>
      <c r="SWB126" s="1740"/>
      <c r="SWC126" s="1740"/>
      <c r="SWD126" s="1740"/>
      <c r="SWE126" s="1740"/>
      <c r="SWF126" s="1740"/>
      <c r="SWG126" s="1740"/>
      <c r="SWH126" s="1740"/>
      <c r="SWI126" s="1740"/>
      <c r="SWJ126" s="1740"/>
      <c r="SWK126" s="1740"/>
      <c r="SWL126" s="1740"/>
      <c r="SWM126" s="1740"/>
      <c r="SWN126" s="1740"/>
      <c r="SWO126" s="1740"/>
      <c r="SWP126" s="1740"/>
      <c r="SWQ126" s="1740"/>
      <c r="SWR126" s="1740"/>
      <c r="SWS126" s="1740"/>
      <c r="SWT126" s="1740"/>
      <c r="SWU126" s="1740"/>
      <c r="SWV126" s="1740"/>
      <c r="SWW126" s="1740"/>
      <c r="SWX126" s="1740"/>
      <c r="SWY126" s="1740"/>
      <c r="SWZ126" s="1740"/>
      <c r="SXA126" s="1740"/>
      <c r="SXB126" s="1740"/>
      <c r="SXC126" s="1740"/>
      <c r="SXD126" s="1740"/>
      <c r="SXE126" s="1740"/>
      <c r="SXF126" s="1740"/>
      <c r="SXG126" s="1740"/>
      <c r="SXH126" s="1740"/>
      <c r="SXI126" s="1740"/>
      <c r="SXJ126" s="1740"/>
      <c r="SXK126" s="1740"/>
      <c r="SXL126" s="1740"/>
      <c r="SXM126" s="1740"/>
      <c r="SXN126" s="1740"/>
      <c r="SXO126" s="1740"/>
      <c r="SXP126" s="1740"/>
      <c r="SXQ126" s="1740"/>
      <c r="SXR126" s="1740"/>
      <c r="SXS126" s="1740"/>
      <c r="SXT126" s="1740"/>
      <c r="SXU126" s="1740"/>
      <c r="SXV126" s="1740"/>
      <c r="SXW126" s="1740"/>
      <c r="SXX126" s="1740"/>
      <c r="SXY126" s="1740"/>
      <c r="SXZ126" s="1740"/>
      <c r="SYA126" s="1740"/>
      <c r="SYB126" s="1740"/>
      <c r="SYC126" s="1740"/>
      <c r="SYD126" s="1740"/>
      <c r="SYE126" s="1740"/>
      <c r="SYF126" s="1740"/>
      <c r="SYG126" s="1740"/>
      <c r="SYH126" s="1740"/>
      <c r="SYI126" s="1740"/>
      <c r="SYJ126" s="1740"/>
      <c r="SYK126" s="1740"/>
      <c r="SYL126" s="1740"/>
      <c r="SYM126" s="1740"/>
      <c r="SYN126" s="1740"/>
      <c r="SYO126" s="1740"/>
      <c r="SYP126" s="1740"/>
      <c r="SYQ126" s="1740"/>
      <c r="SYR126" s="1740"/>
      <c r="SYS126" s="1740"/>
      <c r="SYT126" s="1740"/>
      <c r="SYU126" s="1740"/>
      <c r="SYV126" s="1740"/>
      <c r="SYW126" s="1740"/>
      <c r="SYX126" s="1740"/>
      <c r="SYY126" s="1740"/>
      <c r="SYZ126" s="1740"/>
      <c r="SZA126" s="1740"/>
      <c r="SZB126" s="1740"/>
      <c r="SZC126" s="1740"/>
      <c r="SZD126" s="1740"/>
      <c r="SZE126" s="1740"/>
      <c r="SZF126" s="1740"/>
      <c r="SZG126" s="1740"/>
      <c r="SZH126" s="1740"/>
      <c r="SZI126" s="1740"/>
      <c r="SZJ126" s="1740"/>
      <c r="SZK126" s="1740"/>
      <c r="SZL126" s="1740"/>
      <c r="SZM126" s="1740"/>
      <c r="SZN126" s="1740"/>
      <c r="SZO126" s="1740"/>
      <c r="SZP126" s="1740"/>
      <c r="SZQ126" s="1740"/>
      <c r="SZR126" s="1740"/>
      <c r="SZS126" s="1740"/>
      <c r="SZT126" s="1740"/>
      <c r="SZU126" s="1740"/>
      <c r="SZV126" s="1740"/>
      <c r="SZW126" s="1740"/>
      <c r="SZX126" s="1740"/>
      <c r="SZY126" s="1740"/>
      <c r="SZZ126" s="1740"/>
      <c r="TAA126" s="1740"/>
      <c r="TAB126" s="1740"/>
      <c r="TAC126" s="1740"/>
      <c r="TAD126" s="1740"/>
      <c r="TAE126" s="1740"/>
      <c r="TAF126" s="1740"/>
      <c r="TAG126" s="1740"/>
      <c r="TAH126" s="1740"/>
      <c r="TAI126" s="1740"/>
      <c r="TAJ126" s="1740"/>
      <c r="TAK126" s="1740"/>
      <c r="TAL126" s="1740"/>
      <c r="TAM126" s="1740"/>
      <c r="TAN126" s="1740"/>
      <c r="TAO126" s="1740"/>
      <c r="TAP126" s="1740"/>
      <c r="TAQ126" s="1740"/>
      <c r="TAR126" s="1740"/>
      <c r="TAS126" s="1740"/>
      <c r="TAT126" s="1740"/>
      <c r="TAU126" s="1740"/>
      <c r="TAV126" s="1740"/>
      <c r="TAW126" s="1740"/>
      <c r="TAX126" s="1740"/>
      <c r="TAY126" s="1740"/>
      <c r="TAZ126" s="1740"/>
      <c r="TBA126" s="1740"/>
      <c r="TBB126" s="1740"/>
      <c r="TBC126" s="1740"/>
      <c r="TBD126" s="1740"/>
      <c r="TBE126" s="1740"/>
      <c r="TBF126" s="1740"/>
      <c r="TBG126" s="1740"/>
      <c r="TBH126" s="1740"/>
      <c r="TBI126" s="1740"/>
      <c r="TBJ126" s="1740"/>
      <c r="TBK126" s="1740"/>
      <c r="TBL126" s="1740"/>
      <c r="TBM126" s="1740"/>
      <c r="TBN126" s="1740"/>
      <c r="TBO126" s="1740"/>
      <c r="TBP126" s="1740"/>
      <c r="TBQ126" s="1740"/>
      <c r="TBR126" s="1740"/>
      <c r="TBS126" s="1740"/>
      <c r="TBT126" s="1740"/>
      <c r="TBU126" s="1740"/>
      <c r="TBV126" s="1740"/>
      <c r="TBW126" s="1740"/>
      <c r="TBX126" s="1740"/>
      <c r="TBY126" s="1740"/>
      <c r="TBZ126" s="1740"/>
      <c r="TCA126" s="1740"/>
      <c r="TCB126" s="1740"/>
      <c r="TCC126" s="1740"/>
      <c r="TCD126" s="1740"/>
      <c r="TCE126" s="1740"/>
      <c r="TCF126" s="1740"/>
      <c r="TCG126" s="1740"/>
      <c r="TCH126" s="1740"/>
      <c r="TCI126" s="1740"/>
      <c r="TCJ126" s="1740"/>
      <c r="TCK126" s="1740"/>
      <c r="TCL126" s="1740"/>
      <c r="TCM126" s="1740"/>
      <c r="TCN126" s="1740"/>
      <c r="TCO126" s="1740"/>
      <c r="TCP126" s="1740"/>
      <c r="TCQ126" s="1740"/>
      <c r="TCR126" s="1740"/>
      <c r="TCS126" s="1740"/>
      <c r="TCT126" s="1740"/>
      <c r="TCU126" s="1740"/>
      <c r="TCV126" s="1740"/>
      <c r="TCW126" s="1740"/>
      <c r="TCX126" s="1740"/>
      <c r="TCY126" s="1740"/>
      <c r="TCZ126" s="1740"/>
      <c r="TDA126" s="1740"/>
      <c r="TDB126" s="1740"/>
      <c r="TDC126" s="1740"/>
      <c r="TDD126" s="1740"/>
      <c r="TDE126" s="1740"/>
      <c r="TDF126" s="1740"/>
      <c r="TDG126" s="1740"/>
      <c r="TDH126" s="1740"/>
      <c r="TDI126" s="1740"/>
      <c r="TDJ126" s="1740"/>
      <c r="TDK126" s="1740"/>
      <c r="TDL126" s="1740"/>
      <c r="TDM126" s="1740"/>
      <c r="TDN126" s="1740"/>
      <c r="TDO126" s="1740"/>
      <c r="TDP126" s="1740"/>
      <c r="TDQ126" s="1740"/>
      <c r="TDR126" s="1740"/>
      <c r="TDS126" s="1740"/>
      <c r="TDT126" s="1740"/>
      <c r="TDU126" s="1740"/>
      <c r="TDV126" s="1740"/>
      <c r="TDW126" s="1740"/>
      <c r="TDX126" s="1740"/>
      <c r="TDY126" s="1740"/>
      <c r="TDZ126" s="1740"/>
      <c r="TEA126" s="1740"/>
      <c r="TEB126" s="1740"/>
      <c r="TEC126" s="1740"/>
      <c r="TED126" s="1740"/>
      <c r="TEE126" s="1740"/>
      <c r="TEF126" s="1740"/>
      <c r="TEG126" s="1740"/>
      <c r="TEH126" s="1740"/>
      <c r="TEI126" s="1740"/>
      <c r="TEJ126" s="1740"/>
      <c r="TEK126" s="1740"/>
      <c r="TEL126" s="1740"/>
      <c r="TEM126" s="1740"/>
      <c r="TEN126" s="1740"/>
      <c r="TEO126" s="1740"/>
      <c r="TEP126" s="1740"/>
      <c r="TEQ126" s="1740"/>
      <c r="TER126" s="1740"/>
      <c r="TES126" s="1740"/>
      <c r="TET126" s="1740"/>
      <c r="TEU126" s="1740"/>
      <c r="TEV126" s="1740"/>
      <c r="TEW126" s="1740"/>
      <c r="TEX126" s="1740"/>
      <c r="TEY126" s="1740"/>
      <c r="TEZ126" s="1740"/>
      <c r="TFA126" s="1740"/>
      <c r="TFB126" s="1740"/>
      <c r="TFC126" s="1740"/>
      <c r="TFD126" s="1740"/>
      <c r="TFE126" s="1740"/>
      <c r="TFF126" s="1740"/>
      <c r="TFG126" s="1740"/>
      <c r="TFH126" s="1740"/>
      <c r="TFI126" s="1740"/>
      <c r="TFJ126" s="1740"/>
      <c r="TFK126" s="1740"/>
      <c r="TFL126" s="1740"/>
      <c r="TFM126" s="1740"/>
      <c r="TFN126" s="1740"/>
      <c r="TFO126" s="1740"/>
      <c r="TFP126" s="1740"/>
      <c r="TFQ126" s="1740"/>
      <c r="TFR126" s="1740"/>
      <c r="TFS126" s="1740"/>
      <c r="TFT126" s="1740"/>
      <c r="TFU126" s="1740"/>
      <c r="TFV126" s="1740"/>
      <c r="TFW126" s="1740"/>
      <c r="TFX126" s="1740"/>
      <c r="TFY126" s="1740"/>
      <c r="TFZ126" s="1740"/>
      <c r="TGA126" s="1740"/>
      <c r="TGB126" s="1740"/>
      <c r="TGC126" s="1740"/>
      <c r="TGD126" s="1740"/>
      <c r="TGE126" s="1740"/>
      <c r="TGF126" s="1740"/>
      <c r="TGG126" s="1740"/>
      <c r="TGH126" s="1740"/>
      <c r="TGI126" s="1740"/>
      <c r="TGJ126" s="1740"/>
      <c r="TGK126" s="1740"/>
      <c r="TGL126" s="1740"/>
      <c r="TGM126" s="1740"/>
      <c r="TGN126" s="1740"/>
      <c r="TGO126" s="1740"/>
      <c r="TGP126" s="1740"/>
      <c r="TGQ126" s="1740"/>
      <c r="TGR126" s="1740"/>
      <c r="TGS126" s="1740"/>
      <c r="TGT126" s="1740"/>
      <c r="TGU126" s="1740"/>
      <c r="TGV126" s="1740"/>
      <c r="TGW126" s="1740"/>
      <c r="TGX126" s="1740"/>
      <c r="TGY126" s="1740"/>
      <c r="TGZ126" s="1740"/>
      <c r="THA126" s="1740"/>
      <c r="THB126" s="1740"/>
      <c r="THC126" s="1740"/>
      <c r="THD126" s="1740"/>
      <c r="THE126" s="1740"/>
      <c r="THF126" s="1740"/>
      <c r="THG126" s="1740"/>
      <c r="THH126" s="1740"/>
      <c r="THI126" s="1740"/>
      <c r="THJ126" s="1740"/>
      <c r="THK126" s="1740"/>
      <c r="THL126" s="1740"/>
      <c r="THM126" s="1740"/>
      <c r="THN126" s="1740"/>
      <c r="THO126" s="1740"/>
      <c r="THP126" s="1740"/>
      <c r="THQ126" s="1740"/>
      <c r="THR126" s="1740"/>
      <c r="THS126" s="1740"/>
      <c r="THT126" s="1740"/>
      <c r="THU126" s="1740"/>
      <c r="THV126" s="1740"/>
      <c r="THW126" s="1740"/>
      <c r="THX126" s="1740"/>
      <c r="THY126" s="1740"/>
      <c r="THZ126" s="1740"/>
      <c r="TIA126" s="1740"/>
      <c r="TIB126" s="1740"/>
      <c r="TIC126" s="1740"/>
      <c r="TID126" s="1740"/>
      <c r="TIE126" s="1740"/>
      <c r="TIF126" s="1740"/>
      <c r="TIG126" s="1740"/>
      <c r="TIH126" s="1740"/>
      <c r="TII126" s="1740"/>
      <c r="TIJ126" s="1740"/>
      <c r="TIK126" s="1740"/>
      <c r="TIL126" s="1740"/>
      <c r="TIM126" s="1740"/>
      <c r="TIN126" s="1740"/>
      <c r="TIO126" s="1740"/>
      <c r="TIP126" s="1740"/>
      <c r="TIQ126" s="1740"/>
      <c r="TIR126" s="1740"/>
      <c r="TIS126" s="1740"/>
      <c r="TIT126" s="1740"/>
      <c r="TIU126" s="1740"/>
      <c r="TIV126" s="1740"/>
      <c r="TIW126" s="1740"/>
      <c r="TIX126" s="1740"/>
      <c r="TIY126" s="1740"/>
      <c r="TIZ126" s="1740"/>
      <c r="TJA126" s="1740"/>
      <c r="TJB126" s="1740"/>
      <c r="TJC126" s="1740"/>
      <c r="TJD126" s="1740"/>
      <c r="TJE126" s="1740"/>
      <c r="TJF126" s="1740"/>
      <c r="TJG126" s="1740"/>
      <c r="TJH126" s="1740"/>
      <c r="TJI126" s="1740"/>
      <c r="TJJ126" s="1740"/>
      <c r="TJK126" s="1740"/>
      <c r="TJL126" s="1740"/>
      <c r="TJM126" s="1740"/>
      <c r="TJN126" s="1740"/>
      <c r="TJO126" s="1740"/>
      <c r="TJP126" s="1740"/>
      <c r="TJQ126" s="1740"/>
      <c r="TJR126" s="1740"/>
      <c r="TJS126" s="1740"/>
      <c r="TJT126" s="1740"/>
      <c r="TJU126" s="1740"/>
      <c r="TJV126" s="1740"/>
      <c r="TJW126" s="1740"/>
      <c r="TJX126" s="1740"/>
      <c r="TJY126" s="1740"/>
      <c r="TJZ126" s="1740"/>
      <c r="TKA126" s="1740"/>
      <c r="TKB126" s="1740"/>
      <c r="TKC126" s="1740"/>
      <c r="TKD126" s="1740"/>
      <c r="TKE126" s="1740"/>
      <c r="TKF126" s="1740"/>
      <c r="TKG126" s="1740"/>
      <c r="TKH126" s="1740"/>
      <c r="TKI126" s="1740"/>
      <c r="TKJ126" s="1740"/>
      <c r="TKK126" s="1740"/>
      <c r="TKL126" s="1740"/>
      <c r="TKM126" s="1740"/>
      <c r="TKN126" s="1740"/>
      <c r="TKO126" s="1740"/>
      <c r="TKP126" s="1740"/>
      <c r="TKQ126" s="1740"/>
      <c r="TKR126" s="1740"/>
      <c r="TKS126" s="1740"/>
      <c r="TKT126" s="1740"/>
      <c r="TKU126" s="1740"/>
      <c r="TKV126" s="1740"/>
      <c r="TKW126" s="1740"/>
      <c r="TKX126" s="1740"/>
      <c r="TKY126" s="1740"/>
      <c r="TKZ126" s="1740"/>
      <c r="TLA126" s="1740"/>
      <c r="TLB126" s="1740"/>
      <c r="TLC126" s="1740"/>
      <c r="TLD126" s="1740"/>
      <c r="TLE126" s="1740"/>
      <c r="TLF126" s="1740"/>
      <c r="TLG126" s="1740"/>
      <c r="TLH126" s="1740"/>
      <c r="TLI126" s="1740"/>
      <c r="TLJ126" s="1740"/>
      <c r="TLK126" s="1740"/>
      <c r="TLL126" s="1740"/>
      <c r="TLM126" s="1740"/>
      <c r="TLN126" s="1740"/>
      <c r="TLO126" s="1740"/>
      <c r="TLP126" s="1740"/>
      <c r="TLQ126" s="1740"/>
      <c r="TLR126" s="1740"/>
      <c r="TLS126" s="1740"/>
      <c r="TLT126" s="1740"/>
      <c r="TLU126" s="1740"/>
      <c r="TLV126" s="1740"/>
      <c r="TLW126" s="1740"/>
      <c r="TLX126" s="1740"/>
      <c r="TLY126" s="1740"/>
      <c r="TLZ126" s="1740"/>
      <c r="TMA126" s="1740"/>
      <c r="TMB126" s="1740"/>
      <c r="TMC126" s="1740"/>
      <c r="TMD126" s="1740"/>
      <c r="TME126" s="1740"/>
      <c r="TMF126" s="1740"/>
      <c r="TMG126" s="1740"/>
      <c r="TMH126" s="1740"/>
      <c r="TMI126" s="1740"/>
      <c r="TMJ126" s="1740"/>
      <c r="TMK126" s="1740"/>
      <c r="TML126" s="1740"/>
      <c r="TMM126" s="1740"/>
      <c r="TMN126" s="1740"/>
      <c r="TMO126" s="1740"/>
      <c r="TMP126" s="1740"/>
      <c r="TMQ126" s="1740"/>
      <c r="TMR126" s="1740"/>
      <c r="TMS126" s="1740"/>
      <c r="TMT126" s="1740"/>
      <c r="TMU126" s="1740"/>
      <c r="TMV126" s="1740"/>
      <c r="TMW126" s="1740"/>
      <c r="TMX126" s="1740"/>
      <c r="TMY126" s="1740"/>
      <c r="TMZ126" s="1740"/>
      <c r="TNA126" s="1740"/>
      <c r="TNB126" s="1740"/>
      <c r="TNC126" s="1740"/>
      <c r="TND126" s="1740"/>
      <c r="TNE126" s="1740"/>
      <c r="TNF126" s="1740"/>
      <c r="TNG126" s="1740"/>
      <c r="TNH126" s="1740"/>
      <c r="TNI126" s="1740"/>
      <c r="TNJ126" s="1740"/>
      <c r="TNK126" s="1740"/>
      <c r="TNL126" s="1740"/>
      <c r="TNM126" s="1740"/>
      <c r="TNN126" s="1740"/>
      <c r="TNO126" s="1740"/>
      <c r="TNP126" s="1740"/>
      <c r="TNQ126" s="1740"/>
      <c r="TNR126" s="1740"/>
      <c r="TNS126" s="1740"/>
      <c r="TNT126" s="1740"/>
      <c r="TNU126" s="1740"/>
      <c r="TNV126" s="1740"/>
      <c r="TNW126" s="1740"/>
      <c r="TNX126" s="1740"/>
      <c r="TNY126" s="1740"/>
      <c r="TNZ126" s="1740"/>
      <c r="TOA126" s="1740"/>
      <c r="TOB126" s="1740"/>
      <c r="TOC126" s="1740"/>
      <c r="TOD126" s="1740"/>
      <c r="TOE126" s="1740"/>
      <c r="TOF126" s="1740"/>
      <c r="TOG126" s="1740"/>
      <c r="TOH126" s="1740"/>
      <c r="TOI126" s="1740"/>
      <c r="TOJ126" s="1740"/>
      <c r="TOK126" s="1740"/>
      <c r="TOL126" s="1740"/>
      <c r="TOM126" s="1740"/>
      <c r="TON126" s="1740"/>
      <c r="TOO126" s="1740"/>
      <c r="TOP126" s="1740"/>
      <c r="TOQ126" s="1740"/>
      <c r="TOR126" s="1740"/>
      <c r="TOS126" s="1740"/>
      <c r="TOT126" s="1740"/>
      <c r="TOU126" s="1740"/>
      <c r="TOV126" s="1740"/>
      <c r="TOW126" s="1740"/>
      <c r="TOX126" s="1740"/>
      <c r="TOY126" s="1740"/>
      <c r="TOZ126" s="1740"/>
      <c r="TPA126" s="1740"/>
      <c r="TPB126" s="1740"/>
      <c r="TPC126" s="1740"/>
      <c r="TPD126" s="1740"/>
      <c r="TPE126" s="1740"/>
      <c r="TPF126" s="1740"/>
      <c r="TPG126" s="1740"/>
      <c r="TPH126" s="1740"/>
      <c r="TPI126" s="1740"/>
      <c r="TPJ126" s="1740"/>
      <c r="TPK126" s="1740"/>
      <c r="TPL126" s="1740"/>
      <c r="TPM126" s="1740"/>
      <c r="TPN126" s="1740"/>
      <c r="TPO126" s="1740"/>
      <c r="TPP126" s="1740"/>
      <c r="TPQ126" s="1740"/>
      <c r="TPR126" s="1740"/>
      <c r="TPS126" s="1740"/>
      <c r="TPT126" s="1740"/>
      <c r="TPU126" s="1740"/>
      <c r="TPV126" s="1740"/>
      <c r="TPW126" s="1740"/>
      <c r="TPX126" s="1740"/>
      <c r="TPY126" s="1740"/>
      <c r="TPZ126" s="1740"/>
      <c r="TQA126" s="1740"/>
      <c r="TQB126" s="1740"/>
      <c r="TQC126" s="1740"/>
      <c r="TQD126" s="1740"/>
      <c r="TQE126" s="1740"/>
      <c r="TQF126" s="1740"/>
      <c r="TQG126" s="1740"/>
      <c r="TQH126" s="1740"/>
      <c r="TQI126" s="1740"/>
      <c r="TQJ126" s="1740"/>
      <c r="TQK126" s="1740"/>
      <c r="TQL126" s="1740"/>
      <c r="TQM126" s="1740"/>
      <c r="TQN126" s="1740"/>
      <c r="TQO126" s="1740"/>
      <c r="TQP126" s="1740"/>
      <c r="TQQ126" s="1740"/>
      <c r="TQR126" s="1740"/>
      <c r="TQS126" s="1740"/>
      <c r="TQT126" s="1740"/>
      <c r="TQU126" s="1740"/>
      <c r="TQV126" s="1740"/>
      <c r="TQW126" s="1740"/>
      <c r="TQX126" s="1740"/>
      <c r="TQY126" s="1740"/>
      <c r="TQZ126" s="1740"/>
      <c r="TRA126" s="1740"/>
      <c r="TRB126" s="1740"/>
      <c r="TRC126" s="1740"/>
      <c r="TRD126" s="1740"/>
      <c r="TRE126" s="1740"/>
      <c r="TRF126" s="1740"/>
      <c r="TRG126" s="1740"/>
      <c r="TRH126" s="1740"/>
      <c r="TRI126" s="1740"/>
      <c r="TRJ126" s="1740"/>
      <c r="TRK126" s="1740"/>
      <c r="TRL126" s="1740"/>
      <c r="TRM126" s="1740"/>
      <c r="TRN126" s="1740"/>
      <c r="TRO126" s="1740"/>
      <c r="TRP126" s="1740"/>
      <c r="TRQ126" s="1740"/>
      <c r="TRR126" s="1740"/>
      <c r="TRS126" s="1740"/>
      <c r="TRT126" s="1740"/>
      <c r="TRU126" s="1740"/>
      <c r="TRV126" s="1740"/>
      <c r="TRW126" s="1740"/>
      <c r="TRX126" s="1740"/>
      <c r="TRY126" s="1740"/>
      <c r="TRZ126" s="1740"/>
      <c r="TSA126" s="1740"/>
      <c r="TSB126" s="1740"/>
      <c r="TSC126" s="1740"/>
      <c r="TSD126" s="1740"/>
      <c r="TSE126" s="1740"/>
      <c r="TSF126" s="1740"/>
      <c r="TSG126" s="1740"/>
      <c r="TSH126" s="1740"/>
      <c r="TSI126" s="1740"/>
      <c r="TSJ126" s="1740"/>
      <c r="TSK126" s="1740"/>
      <c r="TSL126" s="1740"/>
      <c r="TSM126" s="1740"/>
      <c r="TSN126" s="1740"/>
      <c r="TSO126" s="1740"/>
      <c r="TSP126" s="1740"/>
      <c r="TSQ126" s="1740"/>
      <c r="TSR126" s="1740"/>
      <c r="TSS126" s="1740"/>
      <c r="TST126" s="1740"/>
      <c r="TSU126" s="1740"/>
      <c r="TSV126" s="1740"/>
      <c r="TSW126" s="1740"/>
      <c r="TSX126" s="1740"/>
      <c r="TSY126" s="1740"/>
      <c r="TSZ126" s="1740"/>
      <c r="TTA126" s="1740"/>
      <c r="TTB126" s="1740"/>
      <c r="TTC126" s="1740"/>
      <c r="TTD126" s="1740"/>
      <c r="TTE126" s="1740"/>
      <c r="TTF126" s="1740"/>
      <c r="TTG126" s="1740"/>
      <c r="TTH126" s="1740"/>
      <c r="TTI126" s="1740"/>
      <c r="TTJ126" s="1740"/>
      <c r="TTK126" s="1740"/>
      <c r="TTL126" s="1740"/>
      <c r="TTM126" s="1740"/>
      <c r="TTN126" s="1740"/>
      <c r="TTO126" s="1740"/>
      <c r="TTP126" s="1740"/>
      <c r="TTQ126" s="1740"/>
      <c r="TTR126" s="1740"/>
      <c r="TTS126" s="1740"/>
      <c r="TTT126" s="1740"/>
      <c r="TTU126" s="1740"/>
      <c r="TTV126" s="1740"/>
      <c r="TTW126" s="1740"/>
      <c r="TTX126" s="1740"/>
      <c r="TTY126" s="1740"/>
      <c r="TTZ126" s="1740"/>
      <c r="TUA126" s="1740"/>
      <c r="TUB126" s="1740"/>
      <c r="TUC126" s="1740"/>
      <c r="TUD126" s="1740"/>
      <c r="TUE126" s="1740"/>
      <c r="TUF126" s="1740"/>
      <c r="TUG126" s="1740"/>
      <c r="TUH126" s="1740"/>
      <c r="TUI126" s="1740"/>
      <c r="TUJ126" s="1740"/>
      <c r="TUK126" s="1740"/>
      <c r="TUL126" s="1740"/>
      <c r="TUM126" s="1740"/>
      <c r="TUN126" s="1740"/>
      <c r="TUO126" s="1740"/>
      <c r="TUP126" s="1740"/>
      <c r="TUQ126" s="1740"/>
      <c r="TUR126" s="1740"/>
      <c r="TUS126" s="1740"/>
      <c r="TUT126" s="1740"/>
      <c r="TUU126" s="1740"/>
      <c r="TUV126" s="1740"/>
      <c r="TUW126" s="1740"/>
      <c r="TUX126" s="1740"/>
      <c r="TUY126" s="1740"/>
      <c r="TUZ126" s="1740"/>
      <c r="TVA126" s="1740"/>
      <c r="TVB126" s="1740"/>
      <c r="TVC126" s="1740"/>
      <c r="TVD126" s="1740"/>
      <c r="TVE126" s="1740"/>
      <c r="TVF126" s="1740"/>
      <c r="TVG126" s="1740"/>
      <c r="TVH126" s="1740"/>
      <c r="TVI126" s="1740"/>
      <c r="TVJ126" s="1740"/>
      <c r="TVK126" s="1740"/>
      <c r="TVL126" s="1740"/>
      <c r="TVM126" s="1740"/>
      <c r="TVN126" s="1740"/>
      <c r="TVO126" s="1740"/>
      <c r="TVP126" s="1740"/>
      <c r="TVQ126" s="1740"/>
      <c r="TVR126" s="1740"/>
      <c r="TVS126" s="1740"/>
      <c r="TVT126" s="1740"/>
      <c r="TVU126" s="1740"/>
      <c r="TVV126" s="1740"/>
      <c r="TVW126" s="1740"/>
      <c r="TVX126" s="1740"/>
      <c r="TVY126" s="1740"/>
      <c r="TVZ126" s="1740"/>
      <c r="TWA126" s="1740"/>
      <c r="TWB126" s="1740"/>
      <c r="TWC126" s="1740"/>
      <c r="TWD126" s="1740"/>
      <c r="TWE126" s="1740"/>
      <c r="TWF126" s="1740"/>
      <c r="TWG126" s="1740"/>
      <c r="TWH126" s="1740"/>
      <c r="TWI126" s="1740"/>
      <c r="TWJ126" s="1740"/>
      <c r="TWK126" s="1740"/>
      <c r="TWL126" s="1740"/>
      <c r="TWM126" s="1740"/>
      <c r="TWN126" s="1740"/>
      <c r="TWO126" s="1740"/>
      <c r="TWP126" s="1740"/>
      <c r="TWQ126" s="1740"/>
      <c r="TWR126" s="1740"/>
      <c r="TWS126" s="1740"/>
      <c r="TWT126" s="1740"/>
      <c r="TWU126" s="1740"/>
      <c r="TWV126" s="1740"/>
      <c r="TWW126" s="1740"/>
      <c r="TWX126" s="1740"/>
      <c r="TWY126" s="1740"/>
      <c r="TWZ126" s="1740"/>
      <c r="TXA126" s="1740"/>
      <c r="TXB126" s="1740"/>
      <c r="TXC126" s="1740"/>
      <c r="TXD126" s="1740"/>
      <c r="TXE126" s="1740"/>
      <c r="TXF126" s="1740"/>
      <c r="TXG126" s="1740"/>
      <c r="TXH126" s="1740"/>
      <c r="TXI126" s="1740"/>
      <c r="TXJ126" s="1740"/>
      <c r="TXK126" s="1740"/>
      <c r="TXL126" s="1740"/>
      <c r="TXM126" s="1740"/>
      <c r="TXN126" s="1740"/>
      <c r="TXO126" s="1740"/>
      <c r="TXP126" s="1740"/>
      <c r="TXQ126" s="1740"/>
      <c r="TXR126" s="1740"/>
      <c r="TXS126" s="1740"/>
      <c r="TXT126" s="1740"/>
      <c r="TXU126" s="1740"/>
      <c r="TXV126" s="1740"/>
      <c r="TXW126" s="1740"/>
      <c r="TXX126" s="1740"/>
      <c r="TXY126" s="1740"/>
      <c r="TXZ126" s="1740"/>
      <c r="TYA126" s="1740"/>
      <c r="TYB126" s="1740"/>
      <c r="TYC126" s="1740"/>
      <c r="TYD126" s="1740"/>
      <c r="TYE126" s="1740"/>
      <c r="TYF126" s="1740"/>
      <c r="TYG126" s="1740"/>
      <c r="TYH126" s="1740"/>
      <c r="TYI126" s="1740"/>
      <c r="TYJ126" s="1740"/>
      <c r="TYK126" s="1740"/>
      <c r="TYL126" s="1740"/>
      <c r="TYM126" s="1740"/>
      <c r="TYN126" s="1740"/>
      <c r="TYO126" s="1740"/>
      <c r="TYP126" s="1740"/>
      <c r="TYQ126" s="1740"/>
      <c r="TYR126" s="1740"/>
      <c r="TYS126" s="1740"/>
      <c r="TYT126" s="1740"/>
      <c r="TYU126" s="1740"/>
      <c r="TYV126" s="1740"/>
      <c r="TYW126" s="1740"/>
      <c r="TYX126" s="1740"/>
      <c r="TYY126" s="1740"/>
      <c r="TYZ126" s="1740"/>
      <c r="TZA126" s="1740"/>
      <c r="TZB126" s="1740"/>
      <c r="TZC126" s="1740"/>
      <c r="TZD126" s="1740"/>
      <c r="TZE126" s="1740"/>
      <c r="TZF126" s="1740"/>
      <c r="TZG126" s="1740"/>
      <c r="TZH126" s="1740"/>
      <c r="TZI126" s="1740"/>
      <c r="TZJ126" s="1740"/>
      <c r="TZK126" s="1740"/>
      <c r="TZL126" s="1740"/>
      <c r="TZM126" s="1740"/>
      <c r="TZN126" s="1740"/>
      <c r="TZO126" s="1740"/>
      <c r="TZP126" s="1740"/>
      <c r="TZQ126" s="1740"/>
      <c r="TZR126" s="1740"/>
      <c r="TZS126" s="1740"/>
      <c r="TZT126" s="1740"/>
      <c r="TZU126" s="1740"/>
      <c r="TZV126" s="1740"/>
      <c r="TZW126" s="1740"/>
      <c r="TZX126" s="1740"/>
      <c r="TZY126" s="1740"/>
      <c r="TZZ126" s="1740"/>
      <c r="UAA126" s="1740"/>
      <c r="UAB126" s="1740"/>
      <c r="UAC126" s="1740"/>
      <c r="UAD126" s="1740"/>
      <c r="UAE126" s="1740"/>
      <c r="UAF126" s="1740"/>
      <c r="UAG126" s="1740"/>
      <c r="UAH126" s="1740"/>
      <c r="UAI126" s="1740"/>
      <c r="UAJ126" s="1740"/>
      <c r="UAK126" s="1740"/>
      <c r="UAL126" s="1740"/>
      <c r="UAM126" s="1740"/>
      <c r="UAN126" s="1740"/>
      <c r="UAO126" s="1740"/>
      <c r="UAP126" s="1740"/>
      <c r="UAQ126" s="1740"/>
      <c r="UAR126" s="1740"/>
      <c r="UAS126" s="1740"/>
      <c r="UAT126" s="1740"/>
      <c r="UAU126" s="1740"/>
      <c r="UAV126" s="1740"/>
      <c r="UAW126" s="1740"/>
      <c r="UAX126" s="1740"/>
      <c r="UAY126" s="1740"/>
      <c r="UAZ126" s="1740"/>
      <c r="UBA126" s="1740"/>
      <c r="UBB126" s="1740"/>
      <c r="UBC126" s="1740"/>
      <c r="UBD126" s="1740"/>
      <c r="UBE126" s="1740"/>
      <c r="UBF126" s="1740"/>
      <c r="UBG126" s="1740"/>
      <c r="UBH126" s="1740"/>
      <c r="UBI126" s="1740"/>
      <c r="UBJ126" s="1740"/>
      <c r="UBK126" s="1740"/>
      <c r="UBL126" s="1740"/>
      <c r="UBM126" s="1740"/>
      <c r="UBN126" s="1740"/>
      <c r="UBO126" s="1740"/>
      <c r="UBP126" s="1740"/>
      <c r="UBQ126" s="1740"/>
      <c r="UBR126" s="1740"/>
      <c r="UBS126" s="1740"/>
      <c r="UBT126" s="1740"/>
      <c r="UBU126" s="1740"/>
      <c r="UBV126" s="1740"/>
      <c r="UBW126" s="1740"/>
      <c r="UBX126" s="1740"/>
      <c r="UBY126" s="1740"/>
      <c r="UBZ126" s="1740"/>
      <c r="UCA126" s="1740"/>
      <c r="UCB126" s="1740"/>
      <c r="UCC126" s="1740"/>
      <c r="UCD126" s="1740"/>
      <c r="UCE126" s="1740"/>
      <c r="UCF126" s="1740"/>
      <c r="UCG126" s="1740"/>
      <c r="UCH126" s="1740"/>
      <c r="UCI126" s="1740"/>
      <c r="UCJ126" s="1740"/>
      <c r="UCK126" s="1740"/>
      <c r="UCL126" s="1740"/>
      <c r="UCM126" s="1740"/>
      <c r="UCN126" s="1740"/>
      <c r="UCO126" s="1740"/>
      <c r="UCP126" s="1740"/>
      <c r="UCQ126" s="1740"/>
      <c r="UCR126" s="1740"/>
      <c r="UCS126" s="1740"/>
      <c r="UCT126" s="1740"/>
      <c r="UCU126" s="1740"/>
      <c r="UCV126" s="1740"/>
      <c r="UCW126" s="1740"/>
      <c r="UCX126" s="1740"/>
      <c r="UCY126" s="1740"/>
      <c r="UCZ126" s="1740"/>
      <c r="UDA126" s="1740"/>
      <c r="UDB126" s="1740"/>
      <c r="UDC126" s="1740"/>
      <c r="UDD126" s="1740"/>
      <c r="UDE126" s="1740"/>
      <c r="UDF126" s="1740"/>
      <c r="UDG126" s="1740"/>
      <c r="UDH126" s="1740"/>
      <c r="UDI126" s="1740"/>
      <c r="UDJ126" s="1740"/>
      <c r="UDK126" s="1740"/>
      <c r="UDL126" s="1740"/>
      <c r="UDM126" s="1740"/>
      <c r="UDN126" s="1740"/>
      <c r="UDO126" s="1740"/>
      <c r="UDP126" s="1740"/>
      <c r="UDQ126" s="1740"/>
      <c r="UDR126" s="1740"/>
      <c r="UDS126" s="1740"/>
      <c r="UDT126" s="1740"/>
      <c r="UDU126" s="1740"/>
      <c r="UDV126" s="1740"/>
      <c r="UDW126" s="1740"/>
      <c r="UDX126" s="1740"/>
      <c r="UDY126" s="1740"/>
      <c r="UDZ126" s="1740"/>
      <c r="UEA126" s="1740"/>
      <c r="UEB126" s="1740"/>
      <c r="UEC126" s="1740"/>
      <c r="UED126" s="1740"/>
      <c r="UEE126" s="1740"/>
      <c r="UEF126" s="1740"/>
      <c r="UEG126" s="1740"/>
      <c r="UEH126" s="1740"/>
      <c r="UEI126" s="1740"/>
      <c r="UEJ126" s="1740"/>
      <c r="UEK126" s="1740"/>
      <c r="UEL126" s="1740"/>
      <c r="UEM126" s="1740"/>
      <c r="UEN126" s="1740"/>
      <c r="UEO126" s="1740"/>
      <c r="UEP126" s="1740"/>
      <c r="UEQ126" s="1740"/>
      <c r="UER126" s="1740"/>
      <c r="UES126" s="1740"/>
      <c r="UET126" s="1740"/>
      <c r="UEU126" s="1740"/>
      <c r="UEV126" s="1740"/>
      <c r="UEW126" s="1740"/>
      <c r="UEX126" s="1740"/>
      <c r="UEY126" s="1740"/>
      <c r="UEZ126" s="1740"/>
      <c r="UFA126" s="1740"/>
      <c r="UFB126" s="1740"/>
      <c r="UFC126" s="1740"/>
      <c r="UFD126" s="1740"/>
      <c r="UFE126" s="1740"/>
      <c r="UFF126" s="1740"/>
      <c r="UFG126" s="1740"/>
      <c r="UFH126" s="1740"/>
      <c r="UFI126" s="1740"/>
      <c r="UFJ126" s="1740"/>
      <c r="UFK126" s="1740"/>
      <c r="UFL126" s="1740"/>
      <c r="UFM126" s="1740"/>
      <c r="UFN126" s="1740"/>
      <c r="UFO126" s="1740"/>
      <c r="UFP126" s="1740"/>
      <c r="UFQ126" s="1740"/>
      <c r="UFR126" s="1740"/>
      <c r="UFS126" s="1740"/>
      <c r="UFT126" s="1740"/>
      <c r="UFU126" s="1740"/>
      <c r="UFV126" s="1740"/>
      <c r="UFW126" s="1740"/>
      <c r="UFX126" s="1740"/>
      <c r="UFY126" s="1740"/>
      <c r="UFZ126" s="1740"/>
      <c r="UGA126" s="1740"/>
      <c r="UGB126" s="1740"/>
      <c r="UGC126" s="1740"/>
      <c r="UGD126" s="1740"/>
      <c r="UGE126" s="1740"/>
      <c r="UGF126" s="1740"/>
      <c r="UGG126" s="1740"/>
      <c r="UGH126" s="1740"/>
      <c r="UGI126" s="1740"/>
      <c r="UGJ126" s="1740"/>
      <c r="UGK126" s="1740"/>
      <c r="UGL126" s="1740"/>
      <c r="UGM126" s="1740"/>
      <c r="UGN126" s="1740"/>
      <c r="UGO126" s="1740"/>
      <c r="UGP126" s="1740"/>
      <c r="UGQ126" s="1740"/>
      <c r="UGR126" s="1740"/>
      <c r="UGS126" s="1740"/>
      <c r="UGT126" s="1740"/>
      <c r="UGU126" s="1740"/>
      <c r="UGV126" s="1740"/>
      <c r="UGW126" s="1740"/>
      <c r="UGX126" s="1740"/>
      <c r="UGY126" s="1740"/>
      <c r="UGZ126" s="1740"/>
      <c r="UHA126" s="1740"/>
      <c r="UHB126" s="1740"/>
      <c r="UHC126" s="1740"/>
      <c r="UHD126" s="1740"/>
      <c r="UHE126" s="1740"/>
      <c r="UHF126" s="1740"/>
      <c r="UHG126" s="1740"/>
      <c r="UHH126" s="1740"/>
      <c r="UHI126" s="1740"/>
      <c r="UHJ126" s="1740"/>
      <c r="UHK126" s="1740"/>
      <c r="UHL126" s="1740"/>
      <c r="UHM126" s="1740"/>
      <c r="UHN126" s="1740"/>
      <c r="UHO126" s="1740"/>
      <c r="UHP126" s="1740"/>
      <c r="UHQ126" s="1740"/>
      <c r="UHR126" s="1740"/>
      <c r="UHS126" s="1740"/>
      <c r="UHT126" s="1740"/>
      <c r="UHU126" s="1740"/>
      <c r="UHV126" s="1740"/>
      <c r="UHW126" s="1740"/>
      <c r="UHX126" s="1740"/>
      <c r="UHY126" s="1740"/>
      <c r="UHZ126" s="1740"/>
      <c r="UIA126" s="1740"/>
      <c r="UIB126" s="1740"/>
      <c r="UIC126" s="1740"/>
      <c r="UID126" s="1740"/>
      <c r="UIE126" s="1740"/>
      <c r="UIF126" s="1740"/>
      <c r="UIG126" s="1740"/>
      <c r="UIH126" s="1740"/>
      <c r="UII126" s="1740"/>
      <c r="UIJ126" s="1740"/>
      <c r="UIK126" s="1740"/>
      <c r="UIL126" s="1740"/>
      <c r="UIM126" s="1740"/>
      <c r="UIN126" s="1740"/>
      <c r="UIO126" s="1740"/>
      <c r="UIP126" s="1740"/>
      <c r="UIQ126" s="1740"/>
      <c r="UIR126" s="1740"/>
      <c r="UIS126" s="1740"/>
      <c r="UIT126" s="1740"/>
      <c r="UIU126" s="1740"/>
      <c r="UIV126" s="1740"/>
      <c r="UIW126" s="1740"/>
      <c r="UIX126" s="1740"/>
      <c r="UIY126" s="1740"/>
      <c r="UIZ126" s="1740"/>
      <c r="UJA126" s="1740"/>
      <c r="UJB126" s="1740"/>
      <c r="UJC126" s="1740"/>
      <c r="UJD126" s="1740"/>
      <c r="UJE126" s="1740"/>
      <c r="UJF126" s="1740"/>
      <c r="UJG126" s="1740"/>
      <c r="UJH126" s="1740"/>
      <c r="UJI126" s="1740"/>
      <c r="UJJ126" s="1740"/>
      <c r="UJK126" s="1740"/>
      <c r="UJL126" s="1740"/>
      <c r="UJM126" s="1740"/>
      <c r="UJN126" s="1740"/>
      <c r="UJO126" s="1740"/>
      <c r="UJP126" s="1740"/>
      <c r="UJQ126" s="1740"/>
      <c r="UJR126" s="1740"/>
      <c r="UJS126" s="1740"/>
      <c r="UJT126" s="1740"/>
      <c r="UJU126" s="1740"/>
      <c r="UJV126" s="1740"/>
      <c r="UJW126" s="1740"/>
      <c r="UJX126" s="1740"/>
      <c r="UJY126" s="1740"/>
      <c r="UJZ126" s="1740"/>
      <c r="UKA126" s="1740"/>
      <c r="UKB126" s="1740"/>
      <c r="UKC126" s="1740"/>
      <c r="UKD126" s="1740"/>
      <c r="UKE126" s="1740"/>
      <c r="UKF126" s="1740"/>
      <c r="UKG126" s="1740"/>
      <c r="UKH126" s="1740"/>
      <c r="UKI126" s="1740"/>
      <c r="UKJ126" s="1740"/>
      <c r="UKK126" s="1740"/>
      <c r="UKL126" s="1740"/>
      <c r="UKM126" s="1740"/>
      <c r="UKN126" s="1740"/>
      <c r="UKO126" s="1740"/>
      <c r="UKP126" s="1740"/>
      <c r="UKQ126" s="1740"/>
      <c r="UKR126" s="1740"/>
      <c r="UKS126" s="1740"/>
      <c r="UKT126" s="1740"/>
      <c r="UKU126" s="1740"/>
      <c r="UKV126" s="1740"/>
      <c r="UKW126" s="1740"/>
      <c r="UKX126" s="1740"/>
      <c r="UKY126" s="1740"/>
      <c r="UKZ126" s="1740"/>
      <c r="ULA126" s="1740"/>
      <c r="ULB126" s="1740"/>
      <c r="ULC126" s="1740"/>
      <c r="ULD126" s="1740"/>
      <c r="ULE126" s="1740"/>
      <c r="ULF126" s="1740"/>
      <c r="ULG126" s="1740"/>
      <c r="ULH126" s="1740"/>
      <c r="ULI126" s="1740"/>
      <c r="ULJ126" s="1740"/>
      <c r="ULK126" s="1740"/>
      <c r="ULL126" s="1740"/>
      <c r="ULM126" s="1740"/>
      <c r="ULN126" s="1740"/>
      <c r="ULO126" s="1740"/>
      <c r="ULP126" s="1740"/>
      <c r="ULQ126" s="1740"/>
      <c r="ULR126" s="1740"/>
      <c r="ULS126" s="1740"/>
      <c r="ULT126" s="1740"/>
      <c r="ULU126" s="1740"/>
      <c r="ULV126" s="1740"/>
      <c r="ULW126" s="1740"/>
      <c r="ULX126" s="1740"/>
      <c r="ULY126" s="1740"/>
      <c r="ULZ126" s="1740"/>
      <c r="UMA126" s="1740"/>
      <c r="UMB126" s="1740"/>
      <c r="UMC126" s="1740"/>
      <c r="UMD126" s="1740"/>
      <c r="UME126" s="1740"/>
      <c r="UMF126" s="1740"/>
      <c r="UMG126" s="1740"/>
      <c r="UMH126" s="1740"/>
      <c r="UMI126" s="1740"/>
      <c r="UMJ126" s="1740"/>
      <c r="UMK126" s="1740"/>
      <c r="UML126" s="1740"/>
      <c r="UMM126" s="1740"/>
      <c r="UMN126" s="1740"/>
      <c r="UMO126" s="1740"/>
      <c r="UMP126" s="1740"/>
      <c r="UMQ126" s="1740"/>
      <c r="UMR126" s="1740"/>
      <c r="UMS126" s="1740"/>
      <c r="UMT126" s="1740"/>
      <c r="UMU126" s="1740"/>
      <c r="UMV126" s="1740"/>
      <c r="UMW126" s="1740"/>
      <c r="UMX126" s="1740"/>
      <c r="UMY126" s="1740"/>
      <c r="UMZ126" s="1740"/>
      <c r="UNA126" s="1740"/>
      <c r="UNB126" s="1740"/>
      <c r="UNC126" s="1740"/>
      <c r="UND126" s="1740"/>
      <c r="UNE126" s="1740"/>
      <c r="UNF126" s="1740"/>
      <c r="UNG126" s="1740"/>
      <c r="UNH126" s="1740"/>
      <c r="UNI126" s="1740"/>
      <c r="UNJ126" s="1740"/>
      <c r="UNK126" s="1740"/>
      <c r="UNL126" s="1740"/>
      <c r="UNM126" s="1740"/>
      <c r="UNN126" s="1740"/>
      <c r="UNO126" s="1740"/>
      <c r="UNP126" s="1740"/>
      <c r="UNQ126" s="1740"/>
      <c r="UNR126" s="1740"/>
      <c r="UNS126" s="1740"/>
      <c r="UNT126" s="1740"/>
      <c r="UNU126" s="1740"/>
      <c r="UNV126" s="1740"/>
      <c r="UNW126" s="1740"/>
      <c r="UNX126" s="1740"/>
      <c r="UNY126" s="1740"/>
      <c r="UNZ126" s="1740"/>
      <c r="UOA126" s="1740"/>
      <c r="UOB126" s="1740"/>
      <c r="UOC126" s="1740"/>
      <c r="UOD126" s="1740"/>
      <c r="UOE126" s="1740"/>
      <c r="UOF126" s="1740"/>
      <c r="UOG126" s="1740"/>
      <c r="UOH126" s="1740"/>
      <c r="UOI126" s="1740"/>
      <c r="UOJ126" s="1740"/>
      <c r="UOK126" s="1740"/>
      <c r="UOL126" s="1740"/>
      <c r="UOM126" s="1740"/>
      <c r="UON126" s="1740"/>
      <c r="UOO126" s="1740"/>
      <c r="UOP126" s="1740"/>
      <c r="UOQ126" s="1740"/>
      <c r="UOR126" s="1740"/>
      <c r="UOS126" s="1740"/>
      <c r="UOT126" s="1740"/>
      <c r="UOU126" s="1740"/>
      <c r="UOV126" s="1740"/>
      <c r="UOW126" s="1740"/>
      <c r="UOX126" s="1740"/>
      <c r="UOY126" s="1740"/>
      <c r="UOZ126" s="1740"/>
      <c r="UPA126" s="1740"/>
      <c r="UPB126" s="1740"/>
      <c r="UPC126" s="1740"/>
      <c r="UPD126" s="1740"/>
      <c r="UPE126" s="1740"/>
      <c r="UPF126" s="1740"/>
      <c r="UPG126" s="1740"/>
      <c r="UPH126" s="1740"/>
      <c r="UPI126" s="1740"/>
      <c r="UPJ126" s="1740"/>
      <c r="UPK126" s="1740"/>
      <c r="UPL126" s="1740"/>
      <c r="UPM126" s="1740"/>
      <c r="UPN126" s="1740"/>
      <c r="UPO126" s="1740"/>
      <c r="UPP126" s="1740"/>
      <c r="UPQ126" s="1740"/>
      <c r="UPR126" s="1740"/>
      <c r="UPS126" s="1740"/>
      <c r="UPT126" s="1740"/>
      <c r="UPU126" s="1740"/>
      <c r="UPV126" s="1740"/>
      <c r="UPW126" s="1740"/>
      <c r="UPX126" s="1740"/>
      <c r="UPY126" s="1740"/>
      <c r="UPZ126" s="1740"/>
      <c r="UQA126" s="1740"/>
      <c r="UQB126" s="1740"/>
      <c r="UQC126" s="1740"/>
      <c r="UQD126" s="1740"/>
      <c r="UQE126" s="1740"/>
      <c r="UQF126" s="1740"/>
      <c r="UQG126" s="1740"/>
      <c r="UQH126" s="1740"/>
      <c r="UQI126" s="1740"/>
      <c r="UQJ126" s="1740"/>
      <c r="UQK126" s="1740"/>
      <c r="UQL126" s="1740"/>
      <c r="UQM126" s="1740"/>
      <c r="UQN126" s="1740"/>
      <c r="UQO126" s="1740"/>
      <c r="UQP126" s="1740"/>
      <c r="UQQ126" s="1740"/>
      <c r="UQR126" s="1740"/>
      <c r="UQS126" s="1740"/>
      <c r="UQT126" s="1740"/>
      <c r="UQU126" s="1740"/>
      <c r="UQV126" s="1740"/>
      <c r="UQW126" s="1740"/>
      <c r="UQX126" s="1740"/>
      <c r="UQY126" s="1740"/>
      <c r="UQZ126" s="1740"/>
      <c r="URA126" s="1740"/>
      <c r="URB126" s="1740"/>
      <c r="URC126" s="1740"/>
      <c r="URD126" s="1740"/>
      <c r="URE126" s="1740"/>
      <c r="URF126" s="1740"/>
      <c r="URG126" s="1740"/>
      <c r="URH126" s="1740"/>
      <c r="URI126" s="1740"/>
      <c r="URJ126" s="1740"/>
      <c r="URK126" s="1740"/>
      <c r="URL126" s="1740"/>
      <c r="URM126" s="1740"/>
      <c r="URN126" s="1740"/>
      <c r="URO126" s="1740"/>
      <c r="URP126" s="1740"/>
      <c r="URQ126" s="1740"/>
      <c r="URR126" s="1740"/>
      <c r="URS126" s="1740"/>
      <c r="URT126" s="1740"/>
      <c r="URU126" s="1740"/>
      <c r="URV126" s="1740"/>
      <c r="URW126" s="1740"/>
      <c r="URX126" s="1740"/>
      <c r="URY126" s="1740"/>
      <c r="URZ126" s="1740"/>
      <c r="USA126" s="1740"/>
      <c r="USB126" s="1740"/>
      <c r="USC126" s="1740"/>
      <c r="USD126" s="1740"/>
      <c r="USE126" s="1740"/>
      <c r="USF126" s="1740"/>
      <c r="USG126" s="1740"/>
      <c r="USH126" s="1740"/>
      <c r="USI126" s="1740"/>
      <c r="USJ126" s="1740"/>
      <c r="USK126" s="1740"/>
      <c r="USL126" s="1740"/>
      <c r="USM126" s="1740"/>
      <c r="USN126" s="1740"/>
      <c r="USO126" s="1740"/>
      <c r="USP126" s="1740"/>
      <c r="USQ126" s="1740"/>
      <c r="USR126" s="1740"/>
      <c r="USS126" s="1740"/>
      <c r="UST126" s="1740"/>
      <c r="USU126" s="1740"/>
      <c r="USV126" s="1740"/>
      <c r="USW126" s="1740"/>
      <c r="USX126" s="1740"/>
      <c r="USY126" s="1740"/>
      <c r="USZ126" s="1740"/>
      <c r="UTA126" s="1740"/>
      <c r="UTB126" s="1740"/>
      <c r="UTC126" s="1740"/>
      <c r="UTD126" s="1740"/>
      <c r="UTE126" s="1740"/>
      <c r="UTF126" s="1740"/>
      <c r="UTG126" s="1740"/>
      <c r="UTH126" s="1740"/>
      <c r="UTI126" s="1740"/>
      <c r="UTJ126" s="1740"/>
      <c r="UTK126" s="1740"/>
      <c r="UTL126" s="1740"/>
      <c r="UTM126" s="1740"/>
      <c r="UTN126" s="1740"/>
      <c r="UTO126" s="1740"/>
      <c r="UTP126" s="1740"/>
      <c r="UTQ126" s="1740"/>
      <c r="UTR126" s="1740"/>
      <c r="UTS126" s="1740"/>
      <c r="UTT126" s="1740"/>
      <c r="UTU126" s="1740"/>
      <c r="UTV126" s="1740"/>
      <c r="UTW126" s="1740"/>
      <c r="UTX126" s="1740"/>
      <c r="UTY126" s="1740"/>
      <c r="UTZ126" s="1740"/>
      <c r="UUA126" s="1740"/>
      <c r="UUB126" s="1740"/>
      <c r="UUC126" s="1740"/>
      <c r="UUD126" s="1740"/>
      <c r="UUE126" s="1740"/>
      <c r="UUF126" s="1740"/>
      <c r="UUG126" s="1740"/>
      <c r="UUH126" s="1740"/>
      <c r="UUI126" s="1740"/>
      <c r="UUJ126" s="1740"/>
      <c r="UUK126" s="1740"/>
      <c r="UUL126" s="1740"/>
      <c r="UUM126" s="1740"/>
      <c r="UUN126" s="1740"/>
      <c r="UUO126" s="1740"/>
      <c r="UUP126" s="1740"/>
      <c r="UUQ126" s="1740"/>
      <c r="UUR126" s="1740"/>
      <c r="UUS126" s="1740"/>
      <c r="UUT126" s="1740"/>
      <c r="UUU126" s="1740"/>
      <c r="UUV126" s="1740"/>
      <c r="UUW126" s="1740"/>
      <c r="UUX126" s="1740"/>
      <c r="UUY126" s="1740"/>
      <c r="UUZ126" s="1740"/>
      <c r="UVA126" s="1740"/>
      <c r="UVB126" s="1740"/>
      <c r="UVC126" s="1740"/>
      <c r="UVD126" s="1740"/>
      <c r="UVE126" s="1740"/>
      <c r="UVF126" s="1740"/>
      <c r="UVG126" s="1740"/>
      <c r="UVH126" s="1740"/>
      <c r="UVI126" s="1740"/>
      <c r="UVJ126" s="1740"/>
      <c r="UVK126" s="1740"/>
      <c r="UVL126" s="1740"/>
      <c r="UVM126" s="1740"/>
      <c r="UVN126" s="1740"/>
      <c r="UVO126" s="1740"/>
      <c r="UVP126" s="1740"/>
      <c r="UVQ126" s="1740"/>
      <c r="UVR126" s="1740"/>
      <c r="UVS126" s="1740"/>
      <c r="UVT126" s="1740"/>
      <c r="UVU126" s="1740"/>
      <c r="UVV126" s="1740"/>
      <c r="UVW126" s="1740"/>
      <c r="UVX126" s="1740"/>
      <c r="UVY126" s="1740"/>
      <c r="UVZ126" s="1740"/>
      <c r="UWA126" s="1740"/>
      <c r="UWB126" s="1740"/>
      <c r="UWC126" s="1740"/>
      <c r="UWD126" s="1740"/>
      <c r="UWE126" s="1740"/>
      <c r="UWF126" s="1740"/>
      <c r="UWG126" s="1740"/>
      <c r="UWH126" s="1740"/>
      <c r="UWI126" s="1740"/>
      <c r="UWJ126" s="1740"/>
      <c r="UWK126" s="1740"/>
      <c r="UWL126" s="1740"/>
      <c r="UWM126" s="1740"/>
      <c r="UWN126" s="1740"/>
      <c r="UWO126" s="1740"/>
      <c r="UWP126" s="1740"/>
      <c r="UWQ126" s="1740"/>
      <c r="UWR126" s="1740"/>
      <c r="UWS126" s="1740"/>
      <c r="UWT126" s="1740"/>
      <c r="UWU126" s="1740"/>
      <c r="UWV126" s="1740"/>
      <c r="UWW126" s="1740"/>
      <c r="UWX126" s="1740"/>
      <c r="UWY126" s="1740"/>
      <c r="UWZ126" s="1740"/>
      <c r="UXA126" s="1740"/>
      <c r="UXB126" s="1740"/>
      <c r="UXC126" s="1740"/>
      <c r="UXD126" s="1740"/>
      <c r="UXE126" s="1740"/>
      <c r="UXF126" s="1740"/>
      <c r="UXG126" s="1740"/>
      <c r="UXH126" s="1740"/>
      <c r="UXI126" s="1740"/>
      <c r="UXJ126" s="1740"/>
      <c r="UXK126" s="1740"/>
      <c r="UXL126" s="1740"/>
      <c r="UXM126" s="1740"/>
      <c r="UXN126" s="1740"/>
      <c r="UXO126" s="1740"/>
      <c r="UXP126" s="1740"/>
      <c r="UXQ126" s="1740"/>
      <c r="UXR126" s="1740"/>
      <c r="UXS126" s="1740"/>
      <c r="UXT126" s="1740"/>
      <c r="UXU126" s="1740"/>
      <c r="UXV126" s="1740"/>
      <c r="UXW126" s="1740"/>
      <c r="UXX126" s="1740"/>
      <c r="UXY126" s="1740"/>
      <c r="UXZ126" s="1740"/>
      <c r="UYA126" s="1740"/>
      <c r="UYB126" s="1740"/>
      <c r="UYC126" s="1740"/>
      <c r="UYD126" s="1740"/>
      <c r="UYE126" s="1740"/>
      <c r="UYF126" s="1740"/>
      <c r="UYG126" s="1740"/>
      <c r="UYH126" s="1740"/>
      <c r="UYI126" s="1740"/>
      <c r="UYJ126" s="1740"/>
      <c r="UYK126" s="1740"/>
      <c r="UYL126" s="1740"/>
      <c r="UYM126" s="1740"/>
      <c r="UYN126" s="1740"/>
      <c r="UYO126" s="1740"/>
      <c r="UYP126" s="1740"/>
      <c r="UYQ126" s="1740"/>
      <c r="UYR126" s="1740"/>
      <c r="UYS126" s="1740"/>
      <c r="UYT126" s="1740"/>
      <c r="UYU126" s="1740"/>
      <c r="UYV126" s="1740"/>
      <c r="UYW126" s="1740"/>
      <c r="UYX126" s="1740"/>
      <c r="UYY126" s="1740"/>
      <c r="UYZ126" s="1740"/>
      <c r="UZA126" s="1740"/>
      <c r="UZB126" s="1740"/>
      <c r="UZC126" s="1740"/>
      <c r="UZD126" s="1740"/>
      <c r="UZE126" s="1740"/>
      <c r="UZF126" s="1740"/>
      <c r="UZG126" s="1740"/>
      <c r="UZH126" s="1740"/>
      <c r="UZI126" s="1740"/>
      <c r="UZJ126" s="1740"/>
      <c r="UZK126" s="1740"/>
      <c r="UZL126" s="1740"/>
      <c r="UZM126" s="1740"/>
      <c r="UZN126" s="1740"/>
      <c r="UZO126" s="1740"/>
      <c r="UZP126" s="1740"/>
      <c r="UZQ126" s="1740"/>
      <c r="UZR126" s="1740"/>
      <c r="UZS126" s="1740"/>
      <c r="UZT126" s="1740"/>
      <c r="UZU126" s="1740"/>
      <c r="UZV126" s="1740"/>
      <c r="UZW126" s="1740"/>
      <c r="UZX126" s="1740"/>
      <c r="UZY126" s="1740"/>
      <c r="UZZ126" s="1740"/>
      <c r="VAA126" s="1740"/>
      <c r="VAB126" s="1740"/>
      <c r="VAC126" s="1740"/>
      <c r="VAD126" s="1740"/>
      <c r="VAE126" s="1740"/>
      <c r="VAF126" s="1740"/>
      <c r="VAG126" s="1740"/>
      <c r="VAH126" s="1740"/>
      <c r="VAI126" s="1740"/>
      <c r="VAJ126" s="1740"/>
      <c r="VAK126" s="1740"/>
      <c r="VAL126" s="1740"/>
      <c r="VAM126" s="1740"/>
      <c r="VAN126" s="1740"/>
      <c r="VAO126" s="1740"/>
      <c r="VAP126" s="1740"/>
      <c r="VAQ126" s="1740"/>
      <c r="VAR126" s="1740"/>
      <c r="VAS126" s="1740"/>
      <c r="VAT126" s="1740"/>
      <c r="VAU126" s="1740"/>
      <c r="VAV126" s="1740"/>
      <c r="VAW126" s="1740"/>
      <c r="VAX126" s="1740"/>
      <c r="VAY126" s="1740"/>
      <c r="VAZ126" s="1740"/>
      <c r="VBA126" s="1740"/>
      <c r="VBB126" s="1740"/>
      <c r="VBC126" s="1740"/>
      <c r="VBD126" s="1740"/>
      <c r="VBE126" s="1740"/>
      <c r="VBF126" s="1740"/>
      <c r="VBG126" s="1740"/>
      <c r="VBH126" s="1740"/>
      <c r="VBI126" s="1740"/>
      <c r="VBJ126" s="1740"/>
      <c r="VBK126" s="1740"/>
      <c r="VBL126" s="1740"/>
      <c r="VBM126" s="1740"/>
      <c r="VBN126" s="1740"/>
      <c r="VBO126" s="1740"/>
      <c r="VBP126" s="1740"/>
      <c r="VBQ126" s="1740"/>
      <c r="VBR126" s="1740"/>
      <c r="VBS126" s="1740"/>
      <c r="VBT126" s="1740"/>
      <c r="VBU126" s="1740"/>
      <c r="VBV126" s="1740"/>
      <c r="VBW126" s="1740"/>
      <c r="VBX126" s="1740"/>
      <c r="VBY126" s="1740"/>
      <c r="VBZ126" s="1740"/>
      <c r="VCA126" s="1740"/>
      <c r="VCB126" s="1740"/>
      <c r="VCC126" s="1740"/>
      <c r="VCD126" s="1740"/>
      <c r="VCE126" s="1740"/>
      <c r="VCF126" s="1740"/>
      <c r="VCG126" s="1740"/>
      <c r="VCH126" s="1740"/>
      <c r="VCI126" s="1740"/>
      <c r="VCJ126" s="1740"/>
      <c r="VCK126" s="1740"/>
      <c r="VCL126" s="1740"/>
      <c r="VCM126" s="1740"/>
      <c r="VCN126" s="1740"/>
      <c r="VCO126" s="1740"/>
      <c r="VCP126" s="1740"/>
      <c r="VCQ126" s="1740"/>
      <c r="VCR126" s="1740"/>
      <c r="VCS126" s="1740"/>
      <c r="VCT126" s="1740"/>
      <c r="VCU126" s="1740"/>
      <c r="VCV126" s="1740"/>
      <c r="VCW126" s="1740"/>
      <c r="VCX126" s="1740"/>
      <c r="VCY126" s="1740"/>
      <c r="VCZ126" s="1740"/>
      <c r="VDA126" s="1740"/>
      <c r="VDB126" s="1740"/>
      <c r="VDC126" s="1740"/>
      <c r="VDD126" s="1740"/>
      <c r="VDE126" s="1740"/>
      <c r="VDF126" s="1740"/>
      <c r="VDG126" s="1740"/>
      <c r="VDH126" s="1740"/>
      <c r="VDI126" s="1740"/>
      <c r="VDJ126" s="1740"/>
      <c r="VDK126" s="1740"/>
      <c r="VDL126" s="1740"/>
      <c r="VDM126" s="1740"/>
      <c r="VDN126" s="1740"/>
      <c r="VDO126" s="1740"/>
      <c r="VDP126" s="1740"/>
      <c r="VDQ126" s="1740"/>
      <c r="VDR126" s="1740"/>
      <c r="VDS126" s="1740"/>
      <c r="VDT126" s="1740"/>
      <c r="VDU126" s="1740"/>
      <c r="VDV126" s="1740"/>
      <c r="VDW126" s="1740"/>
      <c r="VDX126" s="1740"/>
      <c r="VDY126" s="1740"/>
      <c r="VDZ126" s="1740"/>
      <c r="VEA126" s="1740"/>
      <c r="VEB126" s="1740"/>
      <c r="VEC126" s="1740"/>
      <c r="VED126" s="1740"/>
      <c r="VEE126" s="1740"/>
      <c r="VEF126" s="1740"/>
      <c r="VEG126" s="1740"/>
      <c r="VEH126" s="1740"/>
      <c r="VEI126" s="1740"/>
      <c r="VEJ126" s="1740"/>
      <c r="VEK126" s="1740"/>
      <c r="VEL126" s="1740"/>
      <c r="VEM126" s="1740"/>
      <c r="VEN126" s="1740"/>
      <c r="VEO126" s="1740"/>
      <c r="VEP126" s="1740"/>
      <c r="VEQ126" s="1740"/>
      <c r="VER126" s="1740"/>
      <c r="VES126" s="1740"/>
      <c r="VET126" s="1740"/>
      <c r="VEU126" s="1740"/>
      <c r="VEV126" s="1740"/>
      <c r="VEW126" s="1740"/>
      <c r="VEX126" s="1740"/>
      <c r="VEY126" s="1740"/>
      <c r="VEZ126" s="1740"/>
      <c r="VFA126" s="1740"/>
      <c r="VFB126" s="1740"/>
      <c r="VFC126" s="1740"/>
      <c r="VFD126" s="1740"/>
      <c r="VFE126" s="1740"/>
      <c r="VFF126" s="1740"/>
      <c r="VFG126" s="1740"/>
      <c r="VFH126" s="1740"/>
      <c r="VFI126" s="1740"/>
      <c r="VFJ126" s="1740"/>
      <c r="VFK126" s="1740"/>
      <c r="VFL126" s="1740"/>
      <c r="VFM126" s="1740"/>
      <c r="VFN126" s="1740"/>
      <c r="VFO126" s="1740"/>
      <c r="VFP126" s="1740"/>
      <c r="VFQ126" s="1740"/>
      <c r="VFR126" s="1740"/>
      <c r="VFS126" s="1740"/>
      <c r="VFT126" s="1740"/>
      <c r="VFU126" s="1740"/>
      <c r="VFV126" s="1740"/>
      <c r="VFW126" s="1740"/>
      <c r="VFX126" s="1740"/>
      <c r="VFY126" s="1740"/>
      <c r="VFZ126" s="1740"/>
      <c r="VGA126" s="1740"/>
      <c r="VGB126" s="1740"/>
      <c r="VGC126" s="1740"/>
      <c r="VGD126" s="1740"/>
      <c r="VGE126" s="1740"/>
      <c r="VGF126" s="1740"/>
      <c r="VGG126" s="1740"/>
      <c r="VGH126" s="1740"/>
      <c r="VGI126" s="1740"/>
      <c r="VGJ126" s="1740"/>
      <c r="VGK126" s="1740"/>
      <c r="VGL126" s="1740"/>
      <c r="VGM126" s="1740"/>
      <c r="VGN126" s="1740"/>
      <c r="VGO126" s="1740"/>
      <c r="VGP126" s="1740"/>
      <c r="VGQ126" s="1740"/>
      <c r="VGR126" s="1740"/>
      <c r="VGS126" s="1740"/>
      <c r="VGT126" s="1740"/>
      <c r="VGU126" s="1740"/>
      <c r="VGV126" s="1740"/>
      <c r="VGW126" s="1740"/>
      <c r="VGX126" s="1740"/>
      <c r="VGY126" s="1740"/>
      <c r="VGZ126" s="1740"/>
      <c r="VHA126" s="1740"/>
      <c r="VHB126" s="1740"/>
      <c r="VHC126" s="1740"/>
      <c r="VHD126" s="1740"/>
      <c r="VHE126" s="1740"/>
      <c r="VHF126" s="1740"/>
      <c r="VHG126" s="1740"/>
      <c r="VHH126" s="1740"/>
      <c r="VHI126" s="1740"/>
      <c r="VHJ126" s="1740"/>
      <c r="VHK126" s="1740"/>
      <c r="VHL126" s="1740"/>
      <c r="VHM126" s="1740"/>
      <c r="VHN126" s="1740"/>
      <c r="VHO126" s="1740"/>
      <c r="VHP126" s="1740"/>
      <c r="VHQ126" s="1740"/>
      <c r="VHR126" s="1740"/>
      <c r="VHS126" s="1740"/>
      <c r="VHT126" s="1740"/>
      <c r="VHU126" s="1740"/>
      <c r="VHV126" s="1740"/>
      <c r="VHW126" s="1740"/>
      <c r="VHX126" s="1740"/>
      <c r="VHY126" s="1740"/>
      <c r="VHZ126" s="1740"/>
      <c r="VIA126" s="1740"/>
      <c r="VIB126" s="1740"/>
      <c r="VIC126" s="1740"/>
      <c r="VID126" s="1740"/>
      <c r="VIE126" s="1740"/>
      <c r="VIF126" s="1740"/>
      <c r="VIG126" s="1740"/>
      <c r="VIH126" s="1740"/>
      <c r="VII126" s="1740"/>
      <c r="VIJ126" s="1740"/>
      <c r="VIK126" s="1740"/>
      <c r="VIL126" s="1740"/>
      <c r="VIM126" s="1740"/>
      <c r="VIN126" s="1740"/>
      <c r="VIO126" s="1740"/>
      <c r="VIP126" s="1740"/>
      <c r="VIQ126" s="1740"/>
      <c r="VIR126" s="1740"/>
      <c r="VIS126" s="1740"/>
      <c r="VIT126" s="1740"/>
      <c r="VIU126" s="1740"/>
      <c r="VIV126" s="1740"/>
      <c r="VIW126" s="1740"/>
      <c r="VIX126" s="1740"/>
      <c r="VIY126" s="1740"/>
      <c r="VIZ126" s="1740"/>
      <c r="VJA126" s="1740"/>
      <c r="VJB126" s="1740"/>
      <c r="VJC126" s="1740"/>
      <c r="VJD126" s="1740"/>
      <c r="VJE126" s="1740"/>
      <c r="VJF126" s="1740"/>
      <c r="VJG126" s="1740"/>
      <c r="VJH126" s="1740"/>
      <c r="VJI126" s="1740"/>
      <c r="VJJ126" s="1740"/>
      <c r="VJK126" s="1740"/>
      <c r="VJL126" s="1740"/>
      <c r="VJM126" s="1740"/>
      <c r="VJN126" s="1740"/>
      <c r="VJO126" s="1740"/>
      <c r="VJP126" s="1740"/>
      <c r="VJQ126" s="1740"/>
      <c r="VJR126" s="1740"/>
      <c r="VJS126" s="1740"/>
      <c r="VJT126" s="1740"/>
      <c r="VJU126" s="1740"/>
      <c r="VJV126" s="1740"/>
      <c r="VJW126" s="1740"/>
      <c r="VJX126" s="1740"/>
      <c r="VJY126" s="1740"/>
      <c r="VJZ126" s="1740"/>
      <c r="VKA126" s="1740"/>
      <c r="VKB126" s="1740"/>
      <c r="VKC126" s="1740"/>
      <c r="VKD126" s="1740"/>
      <c r="VKE126" s="1740"/>
      <c r="VKF126" s="1740"/>
      <c r="VKG126" s="1740"/>
      <c r="VKH126" s="1740"/>
      <c r="VKI126" s="1740"/>
      <c r="VKJ126" s="1740"/>
      <c r="VKK126" s="1740"/>
      <c r="VKL126" s="1740"/>
      <c r="VKM126" s="1740"/>
      <c r="VKN126" s="1740"/>
      <c r="VKO126" s="1740"/>
      <c r="VKP126" s="1740"/>
      <c r="VKQ126" s="1740"/>
      <c r="VKR126" s="1740"/>
      <c r="VKS126" s="1740"/>
      <c r="VKT126" s="1740"/>
      <c r="VKU126" s="1740"/>
      <c r="VKV126" s="1740"/>
      <c r="VKW126" s="1740"/>
      <c r="VKX126" s="1740"/>
      <c r="VKY126" s="1740"/>
      <c r="VKZ126" s="1740"/>
      <c r="VLA126" s="1740"/>
      <c r="VLB126" s="1740"/>
      <c r="VLC126" s="1740"/>
      <c r="VLD126" s="1740"/>
      <c r="VLE126" s="1740"/>
      <c r="VLF126" s="1740"/>
      <c r="VLG126" s="1740"/>
      <c r="VLH126" s="1740"/>
      <c r="VLI126" s="1740"/>
      <c r="VLJ126" s="1740"/>
      <c r="VLK126" s="1740"/>
      <c r="VLL126" s="1740"/>
      <c r="VLM126" s="1740"/>
      <c r="VLN126" s="1740"/>
      <c r="VLO126" s="1740"/>
      <c r="VLP126" s="1740"/>
      <c r="VLQ126" s="1740"/>
      <c r="VLR126" s="1740"/>
      <c r="VLS126" s="1740"/>
      <c r="VLT126" s="1740"/>
      <c r="VLU126" s="1740"/>
      <c r="VLV126" s="1740"/>
      <c r="VLW126" s="1740"/>
      <c r="VLX126" s="1740"/>
      <c r="VLY126" s="1740"/>
      <c r="VLZ126" s="1740"/>
      <c r="VMA126" s="1740"/>
      <c r="VMB126" s="1740"/>
      <c r="VMC126" s="1740"/>
      <c r="VMD126" s="1740"/>
      <c r="VME126" s="1740"/>
      <c r="VMF126" s="1740"/>
      <c r="VMG126" s="1740"/>
      <c r="VMH126" s="1740"/>
      <c r="VMI126" s="1740"/>
      <c r="VMJ126" s="1740"/>
      <c r="VMK126" s="1740"/>
      <c r="VML126" s="1740"/>
      <c r="VMM126" s="1740"/>
      <c r="VMN126" s="1740"/>
      <c r="VMO126" s="1740"/>
      <c r="VMP126" s="1740"/>
      <c r="VMQ126" s="1740"/>
      <c r="VMR126" s="1740"/>
      <c r="VMS126" s="1740"/>
      <c r="VMT126" s="1740"/>
      <c r="VMU126" s="1740"/>
      <c r="VMV126" s="1740"/>
      <c r="VMW126" s="1740"/>
      <c r="VMX126" s="1740"/>
      <c r="VMY126" s="1740"/>
      <c r="VMZ126" s="1740"/>
      <c r="VNA126" s="1740"/>
      <c r="VNB126" s="1740"/>
      <c r="VNC126" s="1740"/>
      <c r="VND126" s="1740"/>
      <c r="VNE126" s="1740"/>
      <c r="VNF126" s="1740"/>
      <c r="VNG126" s="1740"/>
      <c r="VNH126" s="1740"/>
      <c r="VNI126" s="1740"/>
      <c r="VNJ126" s="1740"/>
      <c r="VNK126" s="1740"/>
      <c r="VNL126" s="1740"/>
      <c r="VNM126" s="1740"/>
      <c r="VNN126" s="1740"/>
      <c r="VNO126" s="1740"/>
      <c r="VNP126" s="1740"/>
      <c r="VNQ126" s="1740"/>
      <c r="VNR126" s="1740"/>
      <c r="VNS126" s="1740"/>
      <c r="VNT126" s="1740"/>
      <c r="VNU126" s="1740"/>
      <c r="VNV126" s="1740"/>
      <c r="VNW126" s="1740"/>
      <c r="VNX126" s="1740"/>
      <c r="VNY126" s="1740"/>
      <c r="VNZ126" s="1740"/>
      <c r="VOA126" s="1740"/>
      <c r="VOB126" s="1740"/>
      <c r="VOC126" s="1740"/>
      <c r="VOD126" s="1740"/>
      <c r="VOE126" s="1740"/>
      <c r="VOF126" s="1740"/>
      <c r="VOG126" s="1740"/>
      <c r="VOH126" s="1740"/>
      <c r="VOI126" s="1740"/>
      <c r="VOJ126" s="1740"/>
      <c r="VOK126" s="1740"/>
      <c r="VOL126" s="1740"/>
      <c r="VOM126" s="1740"/>
      <c r="VON126" s="1740"/>
      <c r="VOO126" s="1740"/>
      <c r="VOP126" s="1740"/>
      <c r="VOQ126" s="1740"/>
      <c r="VOR126" s="1740"/>
      <c r="VOS126" s="1740"/>
      <c r="VOT126" s="1740"/>
      <c r="VOU126" s="1740"/>
      <c r="VOV126" s="1740"/>
      <c r="VOW126" s="1740"/>
      <c r="VOX126" s="1740"/>
      <c r="VOY126" s="1740"/>
      <c r="VOZ126" s="1740"/>
      <c r="VPA126" s="1740"/>
      <c r="VPB126" s="1740"/>
      <c r="VPC126" s="1740"/>
      <c r="VPD126" s="1740"/>
      <c r="VPE126" s="1740"/>
      <c r="VPF126" s="1740"/>
      <c r="VPG126" s="1740"/>
      <c r="VPH126" s="1740"/>
      <c r="VPI126" s="1740"/>
      <c r="VPJ126" s="1740"/>
      <c r="VPK126" s="1740"/>
      <c r="VPL126" s="1740"/>
      <c r="VPM126" s="1740"/>
      <c r="VPN126" s="1740"/>
      <c r="VPO126" s="1740"/>
      <c r="VPP126" s="1740"/>
      <c r="VPQ126" s="1740"/>
      <c r="VPR126" s="1740"/>
      <c r="VPS126" s="1740"/>
      <c r="VPT126" s="1740"/>
      <c r="VPU126" s="1740"/>
      <c r="VPV126" s="1740"/>
      <c r="VPW126" s="1740"/>
      <c r="VPX126" s="1740"/>
      <c r="VPY126" s="1740"/>
      <c r="VPZ126" s="1740"/>
      <c r="VQA126" s="1740"/>
      <c r="VQB126" s="1740"/>
      <c r="VQC126" s="1740"/>
      <c r="VQD126" s="1740"/>
      <c r="VQE126" s="1740"/>
      <c r="VQF126" s="1740"/>
      <c r="VQG126" s="1740"/>
      <c r="VQH126" s="1740"/>
      <c r="VQI126" s="1740"/>
      <c r="VQJ126" s="1740"/>
      <c r="VQK126" s="1740"/>
      <c r="VQL126" s="1740"/>
      <c r="VQM126" s="1740"/>
      <c r="VQN126" s="1740"/>
      <c r="VQO126" s="1740"/>
      <c r="VQP126" s="1740"/>
      <c r="VQQ126" s="1740"/>
      <c r="VQR126" s="1740"/>
      <c r="VQS126" s="1740"/>
      <c r="VQT126" s="1740"/>
      <c r="VQU126" s="1740"/>
      <c r="VQV126" s="1740"/>
      <c r="VQW126" s="1740"/>
      <c r="VQX126" s="1740"/>
      <c r="VQY126" s="1740"/>
      <c r="VQZ126" s="1740"/>
      <c r="VRA126" s="1740"/>
      <c r="VRB126" s="1740"/>
      <c r="VRC126" s="1740"/>
      <c r="VRD126" s="1740"/>
      <c r="VRE126" s="1740"/>
      <c r="VRF126" s="1740"/>
      <c r="VRG126" s="1740"/>
      <c r="VRH126" s="1740"/>
      <c r="VRI126" s="1740"/>
      <c r="VRJ126" s="1740"/>
      <c r="VRK126" s="1740"/>
      <c r="VRL126" s="1740"/>
      <c r="VRM126" s="1740"/>
      <c r="VRN126" s="1740"/>
      <c r="VRO126" s="1740"/>
      <c r="VRP126" s="1740"/>
      <c r="VRQ126" s="1740"/>
      <c r="VRR126" s="1740"/>
      <c r="VRS126" s="1740"/>
      <c r="VRT126" s="1740"/>
      <c r="VRU126" s="1740"/>
      <c r="VRV126" s="1740"/>
      <c r="VRW126" s="1740"/>
      <c r="VRX126" s="1740"/>
      <c r="VRY126" s="1740"/>
      <c r="VRZ126" s="1740"/>
      <c r="VSA126" s="1740"/>
      <c r="VSB126" s="1740"/>
      <c r="VSC126" s="1740"/>
      <c r="VSD126" s="1740"/>
      <c r="VSE126" s="1740"/>
      <c r="VSF126" s="1740"/>
      <c r="VSG126" s="1740"/>
      <c r="VSH126" s="1740"/>
      <c r="VSI126" s="1740"/>
      <c r="VSJ126" s="1740"/>
      <c r="VSK126" s="1740"/>
      <c r="VSL126" s="1740"/>
      <c r="VSM126" s="1740"/>
      <c r="VSN126" s="1740"/>
      <c r="VSO126" s="1740"/>
      <c r="VSP126" s="1740"/>
      <c r="VSQ126" s="1740"/>
      <c r="VSR126" s="1740"/>
      <c r="VSS126" s="1740"/>
      <c r="VST126" s="1740"/>
      <c r="VSU126" s="1740"/>
      <c r="VSV126" s="1740"/>
      <c r="VSW126" s="1740"/>
      <c r="VSX126" s="1740"/>
      <c r="VSY126" s="1740"/>
      <c r="VSZ126" s="1740"/>
      <c r="VTA126" s="1740"/>
      <c r="VTB126" s="1740"/>
      <c r="VTC126" s="1740"/>
      <c r="VTD126" s="1740"/>
      <c r="VTE126" s="1740"/>
      <c r="VTF126" s="1740"/>
      <c r="VTG126" s="1740"/>
      <c r="VTH126" s="1740"/>
      <c r="VTI126" s="1740"/>
      <c r="VTJ126" s="1740"/>
      <c r="VTK126" s="1740"/>
      <c r="VTL126" s="1740"/>
      <c r="VTM126" s="1740"/>
      <c r="VTN126" s="1740"/>
      <c r="VTO126" s="1740"/>
      <c r="VTP126" s="1740"/>
      <c r="VTQ126" s="1740"/>
      <c r="VTR126" s="1740"/>
      <c r="VTS126" s="1740"/>
      <c r="VTT126" s="1740"/>
      <c r="VTU126" s="1740"/>
      <c r="VTV126" s="1740"/>
      <c r="VTW126" s="1740"/>
      <c r="VTX126" s="1740"/>
      <c r="VTY126" s="1740"/>
      <c r="VTZ126" s="1740"/>
      <c r="VUA126" s="1740"/>
      <c r="VUB126" s="1740"/>
      <c r="VUC126" s="1740"/>
      <c r="VUD126" s="1740"/>
      <c r="VUE126" s="1740"/>
      <c r="VUF126" s="1740"/>
      <c r="VUG126" s="1740"/>
      <c r="VUH126" s="1740"/>
      <c r="VUI126" s="1740"/>
      <c r="VUJ126" s="1740"/>
      <c r="VUK126" s="1740"/>
      <c r="VUL126" s="1740"/>
      <c r="VUM126" s="1740"/>
      <c r="VUN126" s="1740"/>
      <c r="VUO126" s="1740"/>
      <c r="VUP126" s="1740"/>
      <c r="VUQ126" s="1740"/>
      <c r="VUR126" s="1740"/>
      <c r="VUS126" s="1740"/>
      <c r="VUT126" s="1740"/>
      <c r="VUU126" s="1740"/>
      <c r="VUV126" s="1740"/>
      <c r="VUW126" s="1740"/>
      <c r="VUX126" s="1740"/>
      <c r="VUY126" s="1740"/>
      <c r="VUZ126" s="1740"/>
      <c r="VVA126" s="1740"/>
      <c r="VVB126" s="1740"/>
      <c r="VVC126" s="1740"/>
      <c r="VVD126" s="1740"/>
      <c r="VVE126" s="1740"/>
      <c r="VVF126" s="1740"/>
      <c r="VVG126" s="1740"/>
      <c r="VVH126" s="1740"/>
      <c r="VVI126" s="1740"/>
      <c r="VVJ126" s="1740"/>
      <c r="VVK126" s="1740"/>
      <c r="VVL126" s="1740"/>
      <c r="VVM126" s="1740"/>
      <c r="VVN126" s="1740"/>
      <c r="VVO126" s="1740"/>
      <c r="VVP126" s="1740"/>
      <c r="VVQ126" s="1740"/>
      <c r="VVR126" s="1740"/>
      <c r="VVS126" s="1740"/>
      <c r="VVT126" s="1740"/>
      <c r="VVU126" s="1740"/>
      <c r="VVV126" s="1740"/>
      <c r="VVW126" s="1740"/>
      <c r="VVX126" s="1740"/>
      <c r="VVY126" s="1740"/>
      <c r="VVZ126" s="1740"/>
      <c r="VWA126" s="1740"/>
      <c r="VWB126" s="1740"/>
      <c r="VWC126" s="1740"/>
      <c r="VWD126" s="1740"/>
      <c r="VWE126" s="1740"/>
      <c r="VWF126" s="1740"/>
      <c r="VWG126" s="1740"/>
      <c r="VWH126" s="1740"/>
      <c r="VWI126" s="1740"/>
      <c r="VWJ126" s="1740"/>
      <c r="VWK126" s="1740"/>
      <c r="VWL126" s="1740"/>
      <c r="VWM126" s="1740"/>
      <c r="VWN126" s="1740"/>
      <c r="VWO126" s="1740"/>
      <c r="VWP126" s="1740"/>
      <c r="VWQ126" s="1740"/>
      <c r="VWR126" s="1740"/>
      <c r="VWS126" s="1740"/>
      <c r="VWT126" s="1740"/>
      <c r="VWU126" s="1740"/>
      <c r="VWV126" s="1740"/>
      <c r="VWW126" s="1740"/>
      <c r="VWX126" s="1740"/>
      <c r="VWY126" s="1740"/>
      <c r="VWZ126" s="1740"/>
      <c r="VXA126" s="1740"/>
      <c r="VXB126" s="1740"/>
      <c r="VXC126" s="1740"/>
      <c r="VXD126" s="1740"/>
      <c r="VXE126" s="1740"/>
      <c r="VXF126" s="1740"/>
      <c r="VXG126" s="1740"/>
      <c r="VXH126" s="1740"/>
      <c r="VXI126" s="1740"/>
      <c r="VXJ126" s="1740"/>
      <c r="VXK126" s="1740"/>
      <c r="VXL126" s="1740"/>
      <c r="VXM126" s="1740"/>
      <c r="VXN126" s="1740"/>
      <c r="VXO126" s="1740"/>
      <c r="VXP126" s="1740"/>
      <c r="VXQ126" s="1740"/>
      <c r="VXR126" s="1740"/>
      <c r="VXS126" s="1740"/>
      <c r="VXT126" s="1740"/>
      <c r="VXU126" s="1740"/>
      <c r="VXV126" s="1740"/>
      <c r="VXW126" s="1740"/>
      <c r="VXX126" s="1740"/>
      <c r="VXY126" s="1740"/>
      <c r="VXZ126" s="1740"/>
      <c r="VYA126" s="1740"/>
      <c r="VYB126" s="1740"/>
      <c r="VYC126" s="1740"/>
      <c r="VYD126" s="1740"/>
      <c r="VYE126" s="1740"/>
      <c r="VYF126" s="1740"/>
      <c r="VYG126" s="1740"/>
      <c r="VYH126" s="1740"/>
      <c r="VYI126" s="1740"/>
      <c r="VYJ126" s="1740"/>
      <c r="VYK126" s="1740"/>
      <c r="VYL126" s="1740"/>
      <c r="VYM126" s="1740"/>
      <c r="VYN126" s="1740"/>
      <c r="VYO126" s="1740"/>
      <c r="VYP126" s="1740"/>
      <c r="VYQ126" s="1740"/>
      <c r="VYR126" s="1740"/>
      <c r="VYS126" s="1740"/>
      <c r="VYT126" s="1740"/>
      <c r="VYU126" s="1740"/>
      <c r="VYV126" s="1740"/>
      <c r="VYW126" s="1740"/>
      <c r="VYX126" s="1740"/>
      <c r="VYY126" s="1740"/>
      <c r="VYZ126" s="1740"/>
      <c r="VZA126" s="1740"/>
      <c r="VZB126" s="1740"/>
      <c r="VZC126" s="1740"/>
      <c r="VZD126" s="1740"/>
      <c r="VZE126" s="1740"/>
      <c r="VZF126" s="1740"/>
      <c r="VZG126" s="1740"/>
      <c r="VZH126" s="1740"/>
      <c r="VZI126" s="1740"/>
      <c r="VZJ126" s="1740"/>
      <c r="VZK126" s="1740"/>
      <c r="VZL126" s="1740"/>
      <c r="VZM126" s="1740"/>
      <c r="VZN126" s="1740"/>
      <c r="VZO126" s="1740"/>
      <c r="VZP126" s="1740"/>
      <c r="VZQ126" s="1740"/>
      <c r="VZR126" s="1740"/>
      <c r="VZS126" s="1740"/>
      <c r="VZT126" s="1740"/>
      <c r="VZU126" s="1740"/>
      <c r="VZV126" s="1740"/>
      <c r="VZW126" s="1740"/>
      <c r="VZX126" s="1740"/>
      <c r="VZY126" s="1740"/>
      <c r="VZZ126" s="1740"/>
      <c r="WAA126" s="1740"/>
      <c r="WAB126" s="1740"/>
      <c r="WAC126" s="1740"/>
      <c r="WAD126" s="1740"/>
      <c r="WAE126" s="1740"/>
      <c r="WAF126" s="1740"/>
      <c r="WAG126" s="1740"/>
      <c r="WAH126" s="1740"/>
      <c r="WAI126" s="1740"/>
      <c r="WAJ126" s="1740"/>
      <c r="WAK126" s="1740"/>
      <c r="WAL126" s="1740"/>
      <c r="WAM126" s="1740"/>
      <c r="WAN126" s="1740"/>
      <c r="WAO126" s="1740"/>
      <c r="WAP126" s="1740"/>
      <c r="WAQ126" s="1740"/>
      <c r="WAR126" s="1740"/>
      <c r="WAS126" s="1740"/>
      <c r="WAT126" s="1740"/>
      <c r="WAU126" s="1740"/>
      <c r="WAV126" s="1740"/>
      <c r="WAW126" s="1740"/>
      <c r="WAX126" s="1740"/>
      <c r="WAY126" s="1740"/>
      <c r="WAZ126" s="1740"/>
      <c r="WBA126" s="1740"/>
      <c r="WBB126" s="1740"/>
      <c r="WBC126" s="1740"/>
      <c r="WBD126" s="1740"/>
      <c r="WBE126" s="1740"/>
      <c r="WBF126" s="1740"/>
      <c r="WBG126" s="1740"/>
      <c r="WBH126" s="1740"/>
      <c r="WBI126" s="1740"/>
      <c r="WBJ126" s="1740"/>
      <c r="WBK126" s="1740"/>
      <c r="WBL126" s="1740"/>
      <c r="WBM126" s="1740"/>
      <c r="WBN126" s="1740"/>
      <c r="WBO126" s="1740"/>
      <c r="WBP126" s="1740"/>
      <c r="WBQ126" s="1740"/>
      <c r="WBR126" s="1740"/>
      <c r="WBS126" s="1740"/>
      <c r="WBT126" s="1740"/>
      <c r="WBU126" s="1740"/>
      <c r="WBV126" s="1740"/>
      <c r="WBW126" s="1740"/>
      <c r="WBX126" s="1740"/>
      <c r="WBY126" s="1740"/>
      <c r="WBZ126" s="1740"/>
      <c r="WCA126" s="1740"/>
      <c r="WCB126" s="1740"/>
      <c r="WCC126" s="1740"/>
      <c r="WCD126" s="1740"/>
      <c r="WCE126" s="1740"/>
      <c r="WCF126" s="1740"/>
      <c r="WCG126" s="1740"/>
      <c r="WCH126" s="1740"/>
      <c r="WCI126" s="1740"/>
      <c r="WCJ126" s="1740"/>
      <c r="WCK126" s="1740"/>
      <c r="WCL126" s="1740"/>
      <c r="WCM126" s="1740"/>
      <c r="WCN126" s="1740"/>
      <c r="WCO126" s="1740"/>
      <c r="WCP126" s="1740"/>
      <c r="WCQ126" s="1740"/>
      <c r="WCR126" s="1740"/>
      <c r="WCS126" s="1740"/>
      <c r="WCT126" s="1740"/>
      <c r="WCU126" s="1740"/>
      <c r="WCV126" s="1740"/>
      <c r="WCW126" s="1740"/>
      <c r="WCX126" s="1740"/>
      <c r="WCY126" s="1740"/>
      <c r="WCZ126" s="1740"/>
      <c r="WDA126" s="1740"/>
      <c r="WDB126" s="1740"/>
      <c r="WDC126" s="1740"/>
      <c r="WDD126" s="1740"/>
      <c r="WDE126" s="1740"/>
      <c r="WDF126" s="1740"/>
      <c r="WDG126" s="1740"/>
      <c r="WDH126" s="1740"/>
      <c r="WDI126" s="1740"/>
      <c r="WDJ126" s="1740"/>
      <c r="WDK126" s="1740"/>
      <c r="WDL126" s="1740"/>
      <c r="WDM126" s="1740"/>
      <c r="WDN126" s="1740"/>
      <c r="WDO126" s="1740"/>
      <c r="WDP126" s="1740"/>
      <c r="WDQ126" s="1740"/>
      <c r="WDR126" s="1740"/>
      <c r="WDS126" s="1740"/>
      <c r="WDT126" s="1740"/>
      <c r="WDU126" s="1740"/>
      <c r="WDV126" s="1740"/>
      <c r="WDW126" s="1740"/>
      <c r="WDX126" s="1740"/>
      <c r="WDY126" s="1740"/>
      <c r="WDZ126" s="1740"/>
      <c r="WEA126" s="1740"/>
      <c r="WEB126" s="1740"/>
      <c r="WEC126" s="1740"/>
      <c r="WED126" s="1740"/>
      <c r="WEE126" s="1740"/>
      <c r="WEF126" s="1740"/>
      <c r="WEG126" s="1740"/>
      <c r="WEH126" s="1740"/>
      <c r="WEI126" s="1740"/>
      <c r="WEJ126" s="1740"/>
      <c r="WEK126" s="1740"/>
      <c r="WEL126" s="1740"/>
      <c r="WEM126" s="1740"/>
      <c r="WEN126" s="1740"/>
      <c r="WEO126" s="1740"/>
      <c r="WEP126" s="1740"/>
      <c r="WEQ126" s="1740"/>
      <c r="WER126" s="1740"/>
      <c r="WES126" s="1740"/>
      <c r="WET126" s="1740"/>
      <c r="WEU126" s="1740"/>
      <c r="WEV126" s="1740"/>
      <c r="WEW126" s="1740"/>
      <c r="WEX126" s="1740"/>
      <c r="WEY126" s="1740"/>
      <c r="WEZ126" s="1740"/>
      <c r="WFA126" s="1740"/>
      <c r="WFB126" s="1740"/>
      <c r="WFC126" s="1740"/>
      <c r="WFD126" s="1740"/>
      <c r="WFE126" s="1740"/>
      <c r="WFF126" s="1740"/>
      <c r="WFG126" s="1740"/>
      <c r="WFH126" s="1740"/>
      <c r="WFI126" s="1740"/>
      <c r="WFJ126" s="1740"/>
      <c r="WFK126" s="1740"/>
      <c r="WFL126" s="1740"/>
      <c r="WFM126" s="1740"/>
      <c r="WFN126" s="1740"/>
      <c r="WFO126" s="1740"/>
      <c r="WFP126" s="1740"/>
      <c r="WFQ126" s="1740"/>
      <c r="WFR126" s="1740"/>
      <c r="WFS126" s="1740"/>
      <c r="WFT126" s="1740"/>
      <c r="WFU126" s="1740"/>
      <c r="WFV126" s="1740"/>
      <c r="WFW126" s="1740"/>
      <c r="WFX126" s="1740"/>
      <c r="WFY126" s="1740"/>
      <c r="WFZ126" s="1740"/>
      <c r="WGA126" s="1740"/>
      <c r="WGB126" s="1740"/>
      <c r="WGC126" s="1740"/>
      <c r="WGD126" s="1740"/>
      <c r="WGE126" s="1740"/>
      <c r="WGF126" s="1740"/>
      <c r="WGG126" s="1740"/>
      <c r="WGH126" s="1740"/>
      <c r="WGI126" s="1740"/>
      <c r="WGJ126" s="1740"/>
      <c r="WGK126" s="1740"/>
      <c r="WGL126" s="1740"/>
      <c r="WGM126" s="1740"/>
      <c r="WGN126" s="1740"/>
      <c r="WGO126" s="1740"/>
      <c r="WGP126" s="1740"/>
      <c r="WGQ126" s="1740"/>
      <c r="WGR126" s="1740"/>
      <c r="WGS126" s="1740"/>
      <c r="WGT126" s="1740"/>
      <c r="WGU126" s="1740"/>
      <c r="WGV126" s="1740"/>
      <c r="WGW126" s="1740"/>
      <c r="WGX126" s="1740"/>
      <c r="WGY126" s="1740"/>
      <c r="WGZ126" s="1740"/>
      <c r="WHA126" s="1740"/>
      <c r="WHB126" s="1740"/>
      <c r="WHC126" s="1740"/>
      <c r="WHD126" s="1740"/>
      <c r="WHE126" s="1740"/>
      <c r="WHF126" s="1740"/>
      <c r="WHG126" s="1740"/>
      <c r="WHH126" s="1740"/>
      <c r="WHI126" s="1740"/>
      <c r="WHJ126" s="1740"/>
      <c r="WHK126" s="1740"/>
      <c r="WHL126" s="1740"/>
      <c r="WHM126" s="1740"/>
      <c r="WHN126" s="1740"/>
      <c r="WHO126" s="1740"/>
      <c r="WHP126" s="1740"/>
      <c r="WHQ126" s="1740"/>
      <c r="WHR126" s="1740"/>
      <c r="WHS126" s="1740"/>
      <c r="WHT126" s="1740"/>
      <c r="WHU126" s="1740"/>
      <c r="WHV126" s="1740"/>
      <c r="WHW126" s="1740"/>
      <c r="WHX126" s="1740"/>
      <c r="WHY126" s="1740"/>
      <c r="WHZ126" s="1740"/>
      <c r="WIA126" s="1740"/>
      <c r="WIB126" s="1740"/>
      <c r="WIC126" s="1740"/>
      <c r="WID126" s="1740"/>
      <c r="WIE126" s="1740"/>
      <c r="WIF126" s="1740"/>
      <c r="WIG126" s="1740"/>
      <c r="WIH126" s="1740"/>
      <c r="WII126" s="1740"/>
      <c r="WIJ126" s="1740"/>
      <c r="WIK126" s="1740"/>
      <c r="WIL126" s="1740"/>
      <c r="WIM126" s="1740"/>
      <c r="WIN126" s="1740"/>
      <c r="WIO126" s="1740"/>
      <c r="WIP126" s="1740"/>
      <c r="WIQ126" s="1740"/>
      <c r="WIR126" s="1740"/>
      <c r="WIS126" s="1740"/>
      <c r="WIT126" s="1740"/>
      <c r="WIU126" s="1740"/>
      <c r="WIV126" s="1740"/>
      <c r="WIW126" s="1740"/>
      <c r="WIX126" s="1740"/>
      <c r="WIY126" s="1740"/>
      <c r="WIZ126" s="1740"/>
      <c r="WJA126" s="1740"/>
      <c r="WJB126" s="1740"/>
      <c r="WJC126" s="1740"/>
      <c r="WJD126" s="1740"/>
      <c r="WJE126" s="1740"/>
      <c r="WJF126" s="1740"/>
      <c r="WJG126" s="1740"/>
      <c r="WJH126" s="1740"/>
      <c r="WJI126" s="1740"/>
      <c r="WJJ126" s="1740"/>
      <c r="WJK126" s="1740"/>
      <c r="WJL126" s="1740"/>
      <c r="WJM126" s="1740"/>
      <c r="WJN126" s="1740"/>
      <c r="WJO126" s="1740"/>
      <c r="WJP126" s="1740"/>
      <c r="WJQ126" s="1740"/>
      <c r="WJR126" s="1740"/>
      <c r="WJS126" s="1740"/>
      <c r="WJT126" s="1740"/>
      <c r="WJU126" s="1740"/>
      <c r="WJV126" s="1740"/>
      <c r="WJW126" s="1740"/>
      <c r="WJX126" s="1740"/>
      <c r="WJY126" s="1740"/>
      <c r="WJZ126" s="1740"/>
      <c r="WKA126" s="1740"/>
      <c r="WKB126" s="1740"/>
      <c r="WKC126" s="1740"/>
      <c r="WKD126" s="1740"/>
      <c r="WKE126" s="1740"/>
      <c r="WKF126" s="1740"/>
      <c r="WKG126" s="1740"/>
      <c r="WKH126" s="1740"/>
      <c r="WKI126" s="1740"/>
      <c r="WKJ126" s="1740"/>
      <c r="WKK126" s="1740"/>
      <c r="WKL126" s="1740"/>
      <c r="WKM126" s="1740"/>
      <c r="WKN126" s="1740"/>
      <c r="WKO126" s="1740"/>
      <c r="WKP126" s="1740"/>
      <c r="WKQ126" s="1740"/>
      <c r="WKR126" s="1740"/>
      <c r="WKS126" s="1740"/>
      <c r="WKT126" s="1740"/>
      <c r="WKU126" s="1740"/>
      <c r="WKV126" s="1740"/>
      <c r="WKW126" s="1740"/>
      <c r="WKX126" s="1740"/>
      <c r="WKY126" s="1740"/>
      <c r="WKZ126" s="1740"/>
      <c r="WLA126" s="1740"/>
      <c r="WLB126" s="1740"/>
      <c r="WLC126" s="1740"/>
      <c r="WLD126" s="1740"/>
      <c r="WLE126" s="1740"/>
      <c r="WLF126" s="1740"/>
      <c r="WLG126" s="1740"/>
      <c r="WLH126" s="1740"/>
      <c r="WLI126" s="1740"/>
      <c r="WLJ126" s="1740"/>
      <c r="WLK126" s="1740"/>
      <c r="WLL126" s="1740"/>
      <c r="WLM126" s="1740"/>
      <c r="WLN126" s="1740"/>
      <c r="WLO126" s="1740"/>
      <c r="WLP126" s="1740"/>
      <c r="WLQ126" s="1740"/>
      <c r="WLR126" s="1740"/>
      <c r="WLS126" s="1740"/>
      <c r="WLT126" s="1740"/>
      <c r="WLU126" s="1740"/>
      <c r="WLV126" s="1740"/>
      <c r="WLW126" s="1740"/>
      <c r="WLX126" s="1740"/>
      <c r="WLY126" s="1740"/>
      <c r="WLZ126" s="1740"/>
      <c r="WMA126" s="1740"/>
      <c r="WMB126" s="1740"/>
      <c r="WMC126" s="1740"/>
      <c r="WMD126" s="1740"/>
      <c r="WME126" s="1740"/>
      <c r="WMF126" s="1740"/>
      <c r="WMG126" s="1740"/>
      <c r="WMH126" s="1740"/>
      <c r="WMI126" s="1740"/>
      <c r="WMJ126" s="1740"/>
      <c r="WMK126" s="1740"/>
      <c r="WML126" s="1740"/>
      <c r="WMM126" s="1740"/>
      <c r="WMN126" s="1740"/>
      <c r="WMO126" s="1740"/>
      <c r="WMP126" s="1740"/>
      <c r="WMQ126" s="1740"/>
      <c r="WMR126" s="1740"/>
      <c r="WMS126" s="1740"/>
      <c r="WMT126" s="1740"/>
      <c r="WMU126" s="1740"/>
      <c r="WMV126" s="1740"/>
      <c r="WMW126" s="1740"/>
      <c r="WMX126" s="1740"/>
      <c r="WMY126" s="1740"/>
      <c r="WMZ126" s="1740"/>
      <c r="WNA126" s="1740"/>
      <c r="WNB126" s="1740"/>
      <c r="WNC126" s="1740"/>
      <c r="WND126" s="1740"/>
      <c r="WNE126" s="1740"/>
      <c r="WNF126" s="1740"/>
      <c r="WNG126" s="1740"/>
      <c r="WNH126" s="1740"/>
      <c r="WNI126" s="1740"/>
      <c r="WNJ126" s="1740"/>
      <c r="WNK126" s="1740"/>
      <c r="WNL126" s="1740"/>
      <c r="WNM126" s="1740"/>
      <c r="WNN126" s="1740"/>
      <c r="WNO126" s="1740"/>
      <c r="WNP126" s="1740"/>
      <c r="WNQ126" s="1740"/>
      <c r="WNR126" s="1740"/>
      <c r="WNS126" s="1740"/>
      <c r="WNT126" s="1740"/>
      <c r="WNU126" s="1740"/>
      <c r="WNV126" s="1740"/>
      <c r="WNW126" s="1740"/>
      <c r="WNX126" s="1740"/>
      <c r="WNY126" s="1740"/>
      <c r="WNZ126" s="1740"/>
      <c r="WOA126" s="1740"/>
      <c r="WOB126" s="1740"/>
      <c r="WOC126" s="1740"/>
      <c r="WOD126" s="1740"/>
      <c r="WOE126" s="1740"/>
      <c r="WOF126" s="1740"/>
      <c r="WOG126" s="1740"/>
      <c r="WOH126" s="1740"/>
      <c r="WOI126" s="1740"/>
      <c r="WOJ126" s="1740"/>
      <c r="WOK126" s="1740"/>
      <c r="WOL126" s="1740"/>
      <c r="WOM126" s="1740"/>
      <c r="WON126" s="1740"/>
      <c r="WOO126" s="1740"/>
      <c r="WOP126" s="1740"/>
      <c r="WOQ126" s="1740"/>
      <c r="WOR126" s="1740"/>
      <c r="WOS126" s="1740"/>
      <c r="WOT126" s="1740"/>
      <c r="WOU126" s="1740"/>
      <c r="WOV126" s="1740"/>
      <c r="WOW126" s="1740"/>
      <c r="WOX126" s="1740"/>
      <c r="WOY126" s="1740"/>
      <c r="WOZ126" s="1740"/>
      <c r="WPA126" s="1740"/>
      <c r="WPB126" s="1740"/>
      <c r="WPC126" s="1740"/>
      <c r="WPD126" s="1740"/>
      <c r="WPE126" s="1740"/>
      <c r="WPF126" s="1740"/>
      <c r="WPG126" s="1740"/>
      <c r="WPH126" s="1740"/>
      <c r="WPI126" s="1740"/>
      <c r="WPJ126" s="1740"/>
      <c r="WPK126" s="1740"/>
      <c r="WPL126" s="1740"/>
      <c r="WPM126" s="1740"/>
      <c r="WPN126" s="1740"/>
      <c r="WPO126" s="1740"/>
      <c r="WPP126" s="1740"/>
      <c r="WPQ126" s="1740"/>
      <c r="WPR126" s="1740"/>
      <c r="WPS126" s="1740"/>
      <c r="WPT126" s="1740"/>
      <c r="WPU126" s="1740"/>
      <c r="WPV126" s="1740"/>
      <c r="WPW126" s="1740"/>
      <c r="WPX126" s="1740"/>
      <c r="WPY126" s="1740"/>
      <c r="WPZ126" s="1740"/>
      <c r="WQA126" s="1740"/>
      <c r="WQB126" s="1740"/>
      <c r="WQC126" s="1740"/>
      <c r="WQD126" s="1740"/>
      <c r="WQE126" s="1740"/>
      <c r="WQF126" s="1740"/>
      <c r="WQG126" s="1740"/>
      <c r="WQH126" s="1740"/>
      <c r="WQI126" s="1740"/>
      <c r="WQJ126" s="1740"/>
      <c r="WQK126" s="1740"/>
      <c r="WQL126" s="1740"/>
      <c r="WQM126" s="1740"/>
      <c r="WQN126" s="1740"/>
      <c r="WQO126" s="1740"/>
      <c r="WQP126" s="1740"/>
      <c r="WQQ126" s="1740"/>
      <c r="WQR126" s="1740"/>
      <c r="WQS126" s="1740"/>
      <c r="WQT126" s="1740"/>
      <c r="WQU126" s="1740"/>
      <c r="WQV126" s="1740"/>
      <c r="WQW126" s="1740"/>
      <c r="WQX126" s="1740"/>
      <c r="WQY126" s="1740"/>
      <c r="WQZ126" s="1740"/>
      <c r="WRA126" s="1740"/>
      <c r="WRB126" s="1740"/>
      <c r="WRC126" s="1740"/>
      <c r="WRD126" s="1740"/>
      <c r="WRE126" s="1740"/>
      <c r="WRF126" s="1740"/>
      <c r="WRG126" s="1740"/>
      <c r="WRH126" s="1740"/>
      <c r="WRI126" s="1740"/>
      <c r="WRJ126" s="1740"/>
      <c r="WRK126" s="1740"/>
      <c r="WRL126" s="1740"/>
      <c r="WRM126" s="1740"/>
      <c r="WRN126" s="1740"/>
      <c r="WRO126" s="1740"/>
      <c r="WRP126" s="1740"/>
      <c r="WRQ126" s="1740"/>
      <c r="WRR126" s="1740"/>
      <c r="WRS126" s="1740"/>
      <c r="WRT126" s="1740"/>
      <c r="WRU126" s="1740"/>
      <c r="WRV126" s="1740"/>
      <c r="WRW126" s="1740"/>
      <c r="WRX126" s="1740"/>
      <c r="WRY126" s="1740"/>
      <c r="WRZ126" s="1740"/>
      <c r="WSA126" s="1740"/>
      <c r="WSB126" s="1740"/>
      <c r="WSC126" s="1740"/>
      <c r="WSD126" s="1740"/>
      <c r="WSE126" s="1740"/>
      <c r="WSF126" s="1740"/>
      <c r="WSG126" s="1740"/>
      <c r="WSH126" s="1740"/>
      <c r="WSI126" s="1740"/>
      <c r="WSJ126" s="1740"/>
      <c r="WSK126" s="1740"/>
      <c r="WSL126" s="1740"/>
      <c r="WSM126" s="1740"/>
      <c r="WSN126" s="1740"/>
      <c r="WSO126" s="1740"/>
      <c r="WSP126" s="1740"/>
      <c r="WSQ126" s="1740"/>
      <c r="WSR126" s="1740"/>
      <c r="WSS126" s="1740"/>
      <c r="WST126" s="1740"/>
      <c r="WSU126" s="1740"/>
      <c r="WSV126" s="1740"/>
      <c r="WSW126" s="1740"/>
      <c r="WSX126" s="1740"/>
      <c r="WSY126" s="1740"/>
      <c r="WSZ126" s="1740"/>
      <c r="WTA126" s="1740"/>
      <c r="WTB126" s="1740"/>
      <c r="WTC126" s="1740"/>
      <c r="WTD126" s="1740"/>
      <c r="WTE126" s="1740"/>
      <c r="WTF126" s="1740"/>
      <c r="WTG126" s="1740"/>
      <c r="WTH126" s="1740"/>
      <c r="WTI126" s="1740"/>
      <c r="WTJ126" s="1740"/>
      <c r="WTK126" s="1740"/>
      <c r="WTL126" s="1740"/>
      <c r="WTM126" s="1740"/>
      <c r="WTN126" s="1740"/>
      <c r="WTO126" s="1740"/>
      <c r="WTP126" s="1740"/>
      <c r="WTQ126" s="1740"/>
      <c r="WTR126" s="1740"/>
      <c r="WTS126" s="1740"/>
      <c r="WTT126" s="1740"/>
      <c r="WTU126" s="1740"/>
      <c r="WTV126" s="1740"/>
      <c r="WTW126" s="1740"/>
      <c r="WTX126" s="1740"/>
      <c r="WTY126" s="1740"/>
      <c r="WTZ126" s="1740"/>
      <c r="WUA126" s="1740"/>
      <c r="WUB126" s="1740"/>
      <c r="WUC126" s="1740"/>
      <c r="WUD126" s="1740"/>
      <c r="WUE126" s="1740"/>
      <c r="WUF126" s="1740"/>
      <c r="WUG126" s="1740"/>
      <c r="WUH126" s="1740"/>
      <c r="WUI126" s="1740"/>
      <c r="WUJ126" s="1740"/>
      <c r="WUK126" s="1740"/>
      <c r="WUL126" s="1740"/>
      <c r="WUM126" s="1740"/>
      <c r="WUN126" s="1740"/>
      <c r="WUO126" s="1740"/>
      <c r="WUP126" s="1740"/>
      <c r="WUQ126" s="1740"/>
      <c r="WUR126" s="1740"/>
      <c r="WUS126" s="1740"/>
      <c r="WUT126" s="1740"/>
      <c r="WUU126" s="1740"/>
      <c r="WUV126" s="1740"/>
      <c r="WUW126" s="1740"/>
      <c r="WUX126" s="1740"/>
      <c r="WUY126" s="1740"/>
      <c r="WUZ126" s="1740"/>
      <c r="WVA126" s="1740"/>
      <c r="WVB126" s="1740"/>
      <c r="WVC126" s="1740"/>
      <c r="WVD126" s="1740"/>
      <c r="WVE126" s="1740"/>
      <c r="WVF126" s="1740"/>
      <c r="WVG126" s="1740"/>
      <c r="WVH126" s="1740"/>
      <c r="WVI126" s="1740"/>
      <c r="WVJ126" s="1740"/>
      <c r="WVK126" s="1740"/>
      <c r="WVL126" s="1740"/>
      <c r="WVM126" s="1740"/>
      <c r="WVN126" s="1740"/>
      <c r="WVO126" s="1740"/>
      <c r="WVP126" s="1740"/>
      <c r="WVQ126" s="1740"/>
      <c r="WVR126" s="1740"/>
      <c r="WVS126" s="1740"/>
      <c r="WVT126" s="1740"/>
      <c r="WVU126" s="1740"/>
      <c r="WVV126" s="1740"/>
      <c r="WVW126" s="1740"/>
      <c r="WVX126" s="1740"/>
      <c r="WVY126" s="1740"/>
      <c r="WVZ126" s="1740"/>
      <c r="WWA126" s="1740"/>
      <c r="WWB126" s="1740"/>
      <c r="WWC126" s="1740"/>
      <c r="WWD126" s="1740"/>
      <c r="WWE126" s="1740"/>
      <c r="WWF126" s="1740"/>
      <c r="WWG126" s="1740"/>
      <c r="WWH126" s="1740"/>
      <c r="WWI126" s="1740"/>
      <c r="WWJ126" s="1740"/>
      <c r="WWK126" s="1740"/>
      <c r="WWL126" s="1740"/>
      <c r="WWM126" s="1740"/>
      <c r="WWN126" s="1740"/>
      <c r="WWO126" s="1740"/>
      <c r="WWP126" s="1740"/>
      <c r="WWQ126" s="1740"/>
      <c r="WWR126" s="1740"/>
      <c r="WWS126" s="1740"/>
      <c r="WWT126" s="1740"/>
      <c r="WWU126" s="1740"/>
      <c r="WWV126" s="1740"/>
      <c r="WWW126" s="1740"/>
      <c r="WWX126" s="1740"/>
      <c r="WWY126" s="1740"/>
      <c r="WWZ126" s="1740"/>
      <c r="WXA126" s="1740"/>
      <c r="WXB126" s="1740"/>
      <c r="WXC126" s="1740"/>
      <c r="WXD126" s="1740"/>
      <c r="WXE126" s="1740"/>
      <c r="WXF126" s="1740"/>
      <c r="WXG126" s="1740"/>
      <c r="WXH126" s="1740"/>
      <c r="WXI126" s="1740"/>
      <c r="WXJ126" s="1740"/>
      <c r="WXK126" s="1740"/>
      <c r="WXL126" s="1740"/>
      <c r="WXM126" s="1740"/>
      <c r="WXN126" s="1740"/>
      <c r="WXO126" s="1740"/>
      <c r="WXP126" s="1740"/>
      <c r="WXQ126" s="1740"/>
      <c r="WXR126" s="1740"/>
      <c r="WXS126" s="1740"/>
      <c r="WXT126" s="1740"/>
      <c r="WXU126" s="1740"/>
      <c r="WXV126" s="1740"/>
      <c r="WXW126" s="1740"/>
      <c r="WXX126" s="1740"/>
      <c r="WXY126" s="1740"/>
      <c r="WXZ126" s="1740"/>
      <c r="WYA126" s="1740"/>
      <c r="WYB126" s="1740"/>
      <c r="WYC126" s="1740"/>
      <c r="WYD126" s="1740"/>
      <c r="WYE126" s="1740"/>
      <c r="WYF126" s="1740"/>
      <c r="WYG126" s="1740"/>
      <c r="WYH126" s="1740"/>
      <c r="WYI126" s="1740"/>
      <c r="WYJ126" s="1740"/>
      <c r="WYK126" s="1740"/>
      <c r="WYL126" s="1740"/>
      <c r="WYM126" s="1740"/>
      <c r="WYN126" s="1740"/>
      <c r="WYO126" s="1740"/>
      <c r="WYP126" s="1740"/>
      <c r="WYQ126" s="1740"/>
      <c r="WYR126" s="1740"/>
      <c r="WYS126" s="1740"/>
      <c r="WYT126" s="1740"/>
      <c r="WYU126" s="1740"/>
      <c r="WYV126" s="1740"/>
      <c r="WYW126" s="1740"/>
      <c r="WYX126" s="1740"/>
      <c r="WYY126" s="1740"/>
      <c r="WYZ126" s="1740"/>
      <c r="WZA126" s="1740"/>
      <c r="WZB126" s="1740"/>
      <c r="WZC126" s="1740"/>
      <c r="WZD126" s="1740"/>
      <c r="WZE126" s="1740"/>
      <c r="WZF126" s="1740"/>
      <c r="WZG126" s="1740"/>
      <c r="WZH126" s="1740"/>
      <c r="WZI126" s="1740"/>
      <c r="WZJ126" s="1740"/>
      <c r="WZK126" s="1740"/>
      <c r="WZL126" s="1740"/>
      <c r="WZM126" s="1740"/>
      <c r="WZN126" s="1740"/>
      <c r="WZO126" s="1740"/>
      <c r="WZP126" s="1740"/>
      <c r="WZQ126" s="1740"/>
      <c r="WZR126" s="1740"/>
      <c r="WZS126" s="1740"/>
      <c r="WZT126" s="1740"/>
      <c r="WZU126" s="1740"/>
      <c r="WZV126" s="1740"/>
      <c r="WZW126" s="1740"/>
      <c r="WZX126" s="1740"/>
      <c r="WZY126" s="1740"/>
      <c r="WZZ126" s="1740"/>
      <c r="XAA126" s="1740"/>
      <c r="XAB126" s="1740"/>
      <c r="XAC126" s="1740"/>
      <c r="XAD126" s="1740"/>
      <c r="XAE126" s="1740"/>
      <c r="XAF126" s="1740"/>
      <c r="XAG126" s="1740"/>
      <c r="XAH126" s="1740"/>
      <c r="XAI126" s="1740"/>
      <c r="XAJ126" s="1740"/>
      <c r="XAK126" s="1740"/>
      <c r="XAL126" s="1740"/>
      <c r="XAM126" s="1740"/>
      <c r="XAN126" s="1740"/>
      <c r="XAO126" s="1740"/>
      <c r="XAP126" s="1740"/>
      <c r="XAQ126" s="1740"/>
      <c r="XAR126" s="1740"/>
      <c r="XAS126" s="1740"/>
      <c r="XAT126" s="1740"/>
      <c r="XAU126" s="1740"/>
      <c r="XAV126" s="1740"/>
      <c r="XAW126" s="1740"/>
      <c r="XAX126" s="1740"/>
      <c r="XAY126" s="1740"/>
      <c r="XAZ126" s="1740"/>
      <c r="XBA126" s="1740"/>
      <c r="XBB126" s="1740"/>
      <c r="XBC126" s="1740"/>
      <c r="XBD126" s="1740"/>
      <c r="XBE126" s="1740"/>
      <c r="XBF126" s="1740"/>
      <c r="XBG126" s="1740"/>
      <c r="XBH126" s="1740"/>
      <c r="XBI126" s="1740"/>
      <c r="XBJ126" s="1740"/>
      <c r="XBK126" s="1740"/>
      <c r="XBL126" s="1740"/>
      <c r="XBM126" s="1740"/>
      <c r="XBN126" s="1740"/>
      <c r="XBO126" s="1740"/>
      <c r="XBP126" s="1740"/>
      <c r="XBQ126" s="1740"/>
      <c r="XBR126" s="1740"/>
      <c r="XBS126" s="1740"/>
      <c r="XBT126" s="1740"/>
      <c r="XBU126" s="1740"/>
      <c r="XBV126" s="1740"/>
      <c r="XBW126" s="1740"/>
      <c r="XBX126" s="1740"/>
      <c r="XBY126" s="1740"/>
      <c r="XBZ126" s="1740"/>
      <c r="XCA126" s="1740"/>
      <c r="XCB126" s="1740"/>
      <c r="XCC126" s="1740"/>
      <c r="XCD126" s="1740"/>
      <c r="XCE126" s="1740"/>
      <c r="XCF126" s="1740"/>
      <c r="XCG126" s="1740"/>
      <c r="XCH126" s="1740"/>
      <c r="XCI126" s="1740"/>
      <c r="XCJ126" s="1740"/>
      <c r="XCK126" s="1740"/>
      <c r="XCL126" s="1740"/>
      <c r="XCM126" s="1740"/>
      <c r="XCN126" s="1740"/>
      <c r="XCO126" s="1740"/>
      <c r="XCP126" s="1740"/>
      <c r="XCQ126" s="1740"/>
      <c r="XCR126" s="1740"/>
      <c r="XCS126" s="1740"/>
      <c r="XCT126" s="1740"/>
      <c r="XCU126" s="1740"/>
      <c r="XCV126" s="1740"/>
      <c r="XCW126" s="1740"/>
      <c r="XCX126" s="1740"/>
      <c r="XCY126" s="1740"/>
      <c r="XCZ126" s="1740"/>
      <c r="XDA126" s="1740"/>
      <c r="XDB126" s="1740"/>
      <c r="XDC126" s="1740"/>
      <c r="XDD126" s="1740"/>
      <c r="XDE126" s="1740"/>
      <c r="XDF126" s="1740"/>
      <c r="XDG126" s="1740"/>
      <c r="XDH126" s="1740"/>
      <c r="XDI126" s="1740"/>
      <c r="XDJ126" s="1740"/>
      <c r="XDK126" s="1740"/>
      <c r="XDL126" s="1740"/>
      <c r="XDM126" s="1740"/>
      <c r="XDN126" s="1740"/>
      <c r="XDO126" s="1740"/>
      <c r="XDP126" s="1740"/>
      <c r="XDQ126" s="1740"/>
      <c r="XDR126" s="1740"/>
      <c r="XDS126" s="1740"/>
      <c r="XDT126" s="1740"/>
      <c r="XDU126" s="1740"/>
      <c r="XDV126" s="1740"/>
      <c r="XDW126" s="1740"/>
      <c r="XDX126" s="1740"/>
      <c r="XDY126" s="1740"/>
      <c r="XDZ126" s="1740"/>
      <c r="XEA126" s="1740"/>
      <c r="XEB126" s="1740"/>
      <c r="XEC126" s="1740"/>
      <c r="XED126" s="1740"/>
      <c r="XEE126" s="1740"/>
      <c r="XEF126" s="1740"/>
      <c r="XEG126" s="1740"/>
      <c r="XEH126" s="1740"/>
      <c r="XEI126" s="1740"/>
      <c r="XEJ126" s="1740"/>
      <c r="XEK126" s="1740"/>
      <c r="XEL126" s="1740"/>
      <c r="XEM126" s="1740"/>
      <c r="XEN126" s="1740"/>
      <c r="XEO126" s="1740"/>
      <c r="XEP126" s="1740"/>
      <c r="XEQ126" s="1740"/>
      <c r="XER126" s="1740"/>
      <c r="XES126" s="1740"/>
      <c r="XET126" s="1740"/>
      <c r="XEU126" s="1740"/>
      <c r="XEV126" s="1740"/>
      <c r="XEW126" s="1740"/>
      <c r="XEX126" s="1740"/>
      <c r="XEY126" s="1740"/>
      <c r="XEZ126" s="1740"/>
      <c r="XFA126" s="1740"/>
    </row>
    <row r="127" spans="1:16381" s="34" customFormat="1" ht="14.4">
      <c r="A127" s="29" t="str">
        <f t="shared" si="21"/>
        <v/>
      </c>
      <c r="B127" s="109"/>
      <c r="C127" s="112"/>
      <c r="D127" s="120"/>
      <c r="E127" s="196" t="s">
        <v>3378</v>
      </c>
      <c r="F127" s="126"/>
      <c r="G127" s="73"/>
      <c r="H127" s="175"/>
      <c r="I127" s="177"/>
      <c r="J127" s="175"/>
      <c r="K127" s="39"/>
      <c r="L127" s="39"/>
      <c r="M127" s="39"/>
      <c r="N127" s="178"/>
    </row>
    <row r="128" spans="1:16381" s="34" customFormat="1">
      <c r="A128" s="29" t="str">
        <f t="shared" si="21"/>
        <v/>
      </c>
      <c r="B128" s="125" t="s">
        <v>5599</v>
      </c>
      <c r="C128" s="119"/>
      <c r="D128" s="120"/>
      <c r="E128" s="151" t="str">
        <f>VLOOKUP($B128,dongia1,DG!$C$5,)&amp;": 0,31m3/m"</f>
        <v>Cát vàng: 0,31m3/m</v>
      </c>
      <c r="F128" s="120" t="str">
        <f>VLOOKUP($B128,dongia1,DG!$D$5,)</f>
        <v>m3</v>
      </c>
      <c r="G128" s="74">
        <f>G126*0.31</f>
        <v>0</v>
      </c>
      <c r="H128" s="121">
        <f>VLOOKUP($B128,dongia1,DG!$F$5,)</f>
        <v>512000</v>
      </c>
      <c r="I128" s="121">
        <v>0</v>
      </c>
      <c r="J128" s="121">
        <v>0</v>
      </c>
      <c r="K128" s="121">
        <f>VLOOKUP($B128,dongia1,DG!$H$5,)</f>
        <v>0</v>
      </c>
      <c r="L128" s="39">
        <f t="shared" ref="L128:L139" si="28">H128*$G128</f>
        <v>0</v>
      </c>
      <c r="M128" s="39">
        <v>0</v>
      </c>
      <c r="N128" s="39">
        <f t="shared" ref="N128:O139" si="29">J128*$G128</f>
        <v>0</v>
      </c>
      <c r="O128" s="39">
        <f t="shared" si="29"/>
        <v>0</v>
      </c>
      <c r="P128" s="161"/>
    </row>
    <row r="129" spans="1:16" s="34" customFormat="1">
      <c r="A129" s="29" t="str">
        <f t="shared" si="21"/>
        <v/>
      </c>
      <c r="B129" s="159" t="s">
        <v>817</v>
      </c>
      <c r="C129" s="119"/>
      <c r="D129" s="120"/>
      <c r="E129" s="151" t="str">
        <f>VLOOKUP($B129,dongia1,DG!$C$5,)&amp;": 0,1m3/m"</f>
        <v>Đá 2x4: 0,1m3/m</v>
      </c>
      <c r="F129" s="120" t="str">
        <f>VLOOKUP($B129,dongia1,DG!$D$5,)</f>
        <v>m3</v>
      </c>
      <c r="G129" s="74">
        <f>G126*0.1</f>
        <v>0</v>
      </c>
      <c r="H129" s="121">
        <f>VLOOKUP($B129,dongia1,DG!$F$5,)</f>
        <v>295000</v>
      </c>
      <c r="I129" s="121">
        <v>0</v>
      </c>
      <c r="J129" s="121">
        <v>0</v>
      </c>
      <c r="K129" s="121">
        <f>VLOOKUP($B129,dongia1,DG!$H$5,)</f>
        <v>0</v>
      </c>
      <c r="L129" s="39">
        <f t="shared" si="28"/>
        <v>0</v>
      </c>
      <c r="M129" s="39">
        <v>0</v>
      </c>
      <c r="N129" s="39">
        <f t="shared" si="29"/>
        <v>0</v>
      </c>
      <c r="O129" s="39">
        <f t="shared" si="29"/>
        <v>0</v>
      </c>
      <c r="P129" s="161"/>
    </row>
    <row r="130" spans="1:16" s="34" customFormat="1" ht="27.6">
      <c r="A130" s="29" t="str">
        <f t="shared" si="21"/>
        <v/>
      </c>
      <c r="B130" s="1741" t="s">
        <v>2066</v>
      </c>
      <c r="C130" s="119"/>
      <c r="D130" s="120"/>
      <c r="E130" s="151" t="str">
        <f>VLOOKUP($B130,dongia1,DG!$C$5,)&amp;": 0,05m3/m"</f>
        <v>Đổ bê tông mác M200 đá 1x 2rộng &gt;250cm: 0,05m3/m</v>
      </c>
      <c r="F130" s="120" t="str">
        <f>VLOOKUP($B130,dongia1,DG!$D$5,)</f>
        <v>m3</v>
      </c>
      <c r="G130" s="74">
        <f>G126*0.05</f>
        <v>0</v>
      </c>
      <c r="H130" s="121">
        <f>VLOOKUP($B130,dongia1,DG!$F$5,)</f>
        <v>920580</v>
      </c>
      <c r="I130" s="121">
        <v>0</v>
      </c>
      <c r="J130" s="121">
        <v>0</v>
      </c>
      <c r="K130" s="121">
        <f>VLOOKUP($B130,dongia1,DG!$H$5,)</f>
        <v>0</v>
      </c>
      <c r="L130" s="39">
        <f t="shared" si="28"/>
        <v>0</v>
      </c>
      <c r="M130" s="39">
        <v>0</v>
      </c>
      <c r="N130" s="39">
        <f t="shared" si="29"/>
        <v>0</v>
      </c>
      <c r="O130" s="39">
        <f t="shared" si="29"/>
        <v>0</v>
      </c>
      <c r="P130" s="161"/>
    </row>
    <row r="131" spans="1:16" s="34" customFormat="1">
      <c r="A131" s="29" t="str">
        <f t="shared" si="21"/>
        <v/>
      </c>
      <c r="B131" s="159" t="s">
        <v>1495</v>
      </c>
      <c r="C131" s="119"/>
      <c r="D131" s="120"/>
      <c r="E131" s="151" t="str">
        <f>VLOOKUP($B131,dongia1,DG!$C$5,)</f>
        <v>Gạch tàu</v>
      </c>
      <c r="F131" s="120" t="str">
        <f>VLOOKUP($B131,dongia1,DG!$D$5,)</f>
        <v>viên</v>
      </c>
      <c r="G131" s="74">
        <f>3.3*G126</f>
        <v>0</v>
      </c>
      <c r="H131" s="121">
        <f>VLOOKUP($B131,dongia1,DG!$F$5,)</f>
        <v>7000</v>
      </c>
      <c r="I131" s="121">
        <v>0</v>
      </c>
      <c r="J131" s="121">
        <v>0</v>
      </c>
      <c r="K131" s="121">
        <f>VLOOKUP($B131,dongia1,DG!$H$5,)</f>
        <v>0</v>
      </c>
      <c r="L131" s="39">
        <f t="shared" si="28"/>
        <v>0</v>
      </c>
      <c r="M131" s="39">
        <v>0</v>
      </c>
      <c r="N131" s="39">
        <f t="shared" si="29"/>
        <v>0</v>
      </c>
      <c r="O131" s="39">
        <f t="shared" si="29"/>
        <v>0</v>
      </c>
      <c r="P131" s="161"/>
    </row>
    <row r="132" spans="1:16" s="34" customFormat="1">
      <c r="A132" s="29" t="str">
        <f t="shared" si="21"/>
        <v/>
      </c>
      <c r="B132" s="159" t="s">
        <v>1496</v>
      </c>
      <c r="C132" s="119"/>
      <c r="D132" s="120"/>
      <c r="E132" s="151" t="str">
        <f>VLOOKUP($B132,dongia1,DG!$C$5,)</f>
        <v>Tấm nilông màu cảnh báo</v>
      </c>
      <c r="F132" s="120" t="str">
        <f>VLOOKUP($B132,dongia1,DG!$D$5,)</f>
        <v>m2</v>
      </c>
      <c r="G132" s="74">
        <f>G126*0.3</f>
        <v>0</v>
      </c>
      <c r="H132" s="121">
        <f>VLOOKUP($B132,dongia1,DG!$F$5,)</f>
        <v>10000</v>
      </c>
      <c r="I132" s="121">
        <v>0</v>
      </c>
      <c r="J132" s="121">
        <v>0</v>
      </c>
      <c r="K132" s="121">
        <f>VLOOKUP($B132,dongia1,DG!$H$5,)</f>
        <v>0</v>
      </c>
      <c r="L132" s="39">
        <f t="shared" si="28"/>
        <v>0</v>
      </c>
      <c r="M132" s="39">
        <v>0</v>
      </c>
      <c r="N132" s="39">
        <f t="shared" si="29"/>
        <v>0</v>
      </c>
      <c r="O132" s="39">
        <f t="shared" si="29"/>
        <v>0</v>
      </c>
      <c r="P132" s="161"/>
    </row>
    <row r="133" spans="1:16" s="34" customFormat="1">
      <c r="A133" s="29" t="str">
        <f t="shared" si="21"/>
        <v/>
      </c>
      <c r="B133" s="16" t="s">
        <v>961</v>
      </c>
      <c r="C133" s="119"/>
      <c r="D133" s="120">
        <v>0</v>
      </c>
      <c r="E133" s="151" t="str">
        <f>VLOOKUP($B133,dongia1,DG!$C$5,)</f>
        <v xml:space="preserve">Ống PVC D114x4,9mm </v>
      </c>
      <c r="F133" s="120" t="str">
        <f>VLOOKUP($B133,dongia1,DG!$D$5,)</f>
        <v>m</v>
      </c>
      <c r="G133" s="74">
        <f>G126</f>
        <v>0</v>
      </c>
      <c r="H133" s="121">
        <f>VLOOKUP($B133,dongia1,DG!$F$5,)</f>
        <v>103700</v>
      </c>
      <c r="I133" s="121">
        <v>0</v>
      </c>
      <c r="J133" s="121">
        <v>0</v>
      </c>
      <c r="K133" s="121">
        <f>VLOOKUP($B133,dongia1,DG!$H$5,)</f>
        <v>0</v>
      </c>
      <c r="L133" s="39">
        <f t="shared" si="28"/>
        <v>0</v>
      </c>
      <c r="M133" s="39">
        <v>0</v>
      </c>
      <c r="N133" s="39">
        <f t="shared" si="29"/>
        <v>0</v>
      </c>
      <c r="O133" s="39">
        <f t="shared" si="29"/>
        <v>0</v>
      </c>
      <c r="P133" s="161"/>
    </row>
    <row r="134" spans="1:16" s="34" customFormat="1">
      <c r="A134" s="29" t="str">
        <f>IF(G134=0,"",1)</f>
        <v/>
      </c>
      <c r="B134" s="159" t="s">
        <v>569</v>
      </c>
      <c r="C134" s="119"/>
      <c r="D134" s="120" t="str">
        <f>VLOOKUP($B134,dongia1,DG!$B$5,)</f>
        <v>AA.21431</v>
      </c>
      <c r="E134" s="151" t="str">
        <f>VLOOKUP($B134,dongia1,DG!$C$5,)</f>
        <v>Pha mặt đường đá dăm, nhựa, bê tông</v>
      </c>
      <c r="F134" s="120" t="str">
        <f>VLOOKUP($B134,dongia1,DG!$D$5,)</f>
        <v>m3</v>
      </c>
      <c r="G134" s="74">
        <f>G126*0.5*0.2</f>
        <v>0</v>
      </c>
      <c r="H134" s="121">
        <f>VLOOKUP($B134,dongia1,DG!$F$5,)</f>
        <v>328703</v>
      </c>
      <c r="I134" s="179"/>
      <c r="J134" s="121">
        <f>VLOOKUP($B134,dongia1,DG!$G$5,)</f>
        <v>0</v>
      </c>
      <c r="K134" s="121">
        <f>VLOOKUP($B134,dongia1,DG!$H$5,)</f>
        <v>0</v>
      </c>
      <c r="L134" s="39">
        <f t="shared" si="28"/>
        <v>0</v>
      </c>
      <c r="M134" s="39">
        <v>0</v>
      </c>
      <c r="N134" s="39">
        <f t="shared" si="29"/>
        <v>0</v>
      </c>
      <c r="O134" s="39">
        <f t="shared" si="29"/>
        <v>0</v>
      </c>
      <c r="P134" s="161"/>
    </row>
    <row r="135" spans="1:16" s="34" customFormat="1">
      <c r="A135" s="29" t="str">
        <f t="shared" si="21"/>
        <v/>
      </c>
      <c r="B135" s="180" t="s">
        <v>927</v>
      </c>
      <c r="C135" s="119"/>
      <c r="D135" s="120" t="str">
        <f>VLOOKUP($B135,dongia1,DG!$B$5,)</f>
        <v>D4.1413</v>
      </c>
      <c r="E135" s="151" t="str">
        <f>VLOOKUP($B135,dongia1,DG!$C$5,)</f>
        <v>Lắp ống nhựa PVC D&lt;=200mm</v>
      </c>
      <c r="F135" s="120" t="str">
        <f>VLOOKUP($B135,dongia1,DG!$D$5,)</f>
        <v>mét</v>
      </c>
      <c r="G135" s="74">
        <f>G133</f>
        <v>0</v>
      </c>
      <c r="H135" s="121">
        <f>VLOOKUP($B135,dongia1,DG!$F$5,)</f>
        <v>0</v>
      </c>
      <c r="I135" s="179"/>
      <c r="J135" s="121">
        <f>VLOOKUP($B135,dongia1,DG!$G$5,)</f>
        <v>106616.73</v>
      </c>
      <c r="K135" s="121">
        <f>VLOOKUP($B135,dongia1,DG!$H$5,)</f>
        <v>0</v>
      </c>
      <c r="L135" s="39">
        <f t="shared" si="28"/>
        <v>0</v>
      </c>
      <c r="M135" s="62">
        <f>I135*$G135</f>
        <v>0</v>
      </c>
      <c r="N135" s="39">
        <f t="shared" si="29"/>
        <v>0</v>
      </c>
      <c r="O135" s="39">
        <f t="shared" si="29"/>
        <v>0</v>
      </c>
      <c r="P135" s="161"/>
    </row>
    <row r="136" spans="1:16" s="34" customFormat="1">
      <c r="A136" s="29" t="str">
        <f t="shared" si="21"/>
        <v/>
      </c>
      <c r="B136" s="159" t="s">
        <v>101</v>
      </c>
      <c r="C136" s="119"/>
      <c r="D136" s="120" t="str">
        <f>VLOOKUP($B136,dongia1,DG!$B$5,)</f>
        <v>D4.1104</v>
      </c>
      <c r="E136" s="151" t="str">
        <f>VLOOKUP($B136,dongia1,DG!$C$5,)</f>
        <v>Lắp gạch làm dấu</v>
      </c>
      <c r="F136" s="120" t="str">
        <f>VLOOKUP($B136,dongia1,DG!$D$5,)</f>
        <v>viên</v>
      </c>
      <c r="G136" s="74">
        <f>+G129</f>
        <v>0</v>
      </c>
      <c r="H136" s="121">
        <f>VLOOKUP($B136,dongia1,DG!$F$5,)</f>
        <v>0</v>
      </c>
      <c r="I136" s="121">
        <v>916.64</v>
      </c>
      <c r="J136" s="121">
        <f>VLOOKUP($B136,dongia1,DG!$G$5,)</f>
        <v>916.64</v>
      </c>
      <c r="K136" s="121">
        <f>VLOOKUP($B136,dongia1,DG!$H$5,)</f>
        <v>0</v>
      </c>
      <c r="L136" s="39">
        <f t="shared" si="28"/>
        <v>0</v>
      </c>
      <c r="M136" s="39">
        <v>0</v>
      </c>
      <c r="N136" s="39">
        <f t="shared" si="29"/>
        <v>0</v>
      </c>
      <c r="O136" s="39">
        <f t="shared" si="29"/>
        <v>0</v>
      </c>
      <c r="P136" s="161"/>
    </row>
    <row r="137" spans="1:16" s="34" customFormat="1">
      <c r="A137" s="29" t="str">
        <f t="shared" si="21"/>
        <v/>
      </c>
      <c r="B137" s="159" t="s">
        <v>1498</v>
      </c>
      <c r="C137" s="119"/>
      <c r="D137" s="120" t="str">
        <f>VLOOKUP($B137,dongia1,DG!$B$5,)</f>
        <v>AB.66112</v>
      </c>
      <c r="E137" s="151" t="str">
        <f>VLOOKUP($B137,dongia1,DG!$C$5,)</f>
        <v>Rải cát đệm (độ chặt K=0,9)</v>
      </c>
      <c r="F137" s="120" t="str">
        <f>VLOOKUP($B137,dongia1,DG!$D$5,)</f>
        <v>m3</v>
      </c>
      <c r="G137" s="74">
        <f>+G130</f>
        <v>0</v>
      </c>
      <c r="H137" s="121">
        <f>VLOOKUP($B137,dongia1,DG!$F$5,)</f>
        <v>0</v>
      </c>
      <c r="I137" s="121">
        <v>315277.5</v>
      </c>
      <c r="J137" s="121">
        <f>VLOOKUP($B137,dongia1,DG!$G$5,)</f>
        <v>315277.5</v>
      </c>
      <c r="K137" s="121">
        <f>VLOOKUP($B137,dongia1,DG!$H$5,)</f>
        <v>0</v>
      </c>
      <c r="L137" s="39">
        <f t="shared" si="28"/>
        <v>0</v>
      </c>
      <c r="M137" s="39">
        <v>0</v>
      </c>
      <c r="N137" s="39">
        <f t="shared" si="29"/>
        <v>0</v>
      </c>
      <c r="O137" s="39">
        <f t="shared" si="29"/>
        <v>0</v>
      </c>
      <c r="P137" s="161"/>
    </row>
    <row r="138" spans="1:16" s="34" customFormat="1">
      <c r="A138" s="29" t="str">
        <f t="shared" si="21"/>
        <v/>
      </c>
      <c r="B138" s="159" t="s">
        <v>291</v>
      </c>
      <c r="C138" s="119"/>
      <c r="D138" s="120" t="str">
        <f>VLOOKUP($B138,dongia1,DG!$B$5,)</f>
        <v>AB.11613</v>
      </c>
      <c r="E138" s="151" t="str">
        <f>VLOOKUP($B138,dongia1,DG!$C$5,)</f>
        <v>Đào mương cáp ngầm đất cấp 3 có mở ta luy</v>
      </c>
      <c r="F138" s="120" t="str">
        <f>VLOOKUP($B138,dongia1,DG!$D$5,)</f>
        <v>m3</v>
      </c>
      <c r="G138" s="74">
        <f>+G131</f>
        <v>0</v>
      </c>
      <c r="H138" s="121">
        <f>VLOOKUP($B138,dongia1,DG!$F$5,)</f>
        <v>0</v>
      </c>
      <c r="I138" s="121">
        <v>640731.36</v>
      </c>
      <c r="J138" s="121">
        <f>VLOOKUP($B138,dongia1,DG!$G$5,)</f>
        <v>640731.36</v>
      </c>
      <c r="K138" s="121">
        <f>VLOOKUP($B138,dongia1,DG!$H$5,)</f>
        <v>0</v>
      </c>
      <c r="L138" s="39">
        <f t="shared" si="28"/>
        <v>0</v>
      </c>
      <c r="M138" s="39">
        <v>0</v>
      </c>
      <c r="N138" s="39">
        <f t="shared" si="29"/>
        <v>0</v>
      </c>
      <c r="O138" s="39">
        <f t="shared" si="29"/>
        <v>0</v>
      </c>
      <c r="P138" s="161"/>
    </row>
    <row r="139" spans="1:16" s="34" customFormat="1">
      <c r="A139" s="29" t="str">
        <f t="shared" si="21"/>
        <v/>
      </c>
      <c r="B139" s="159" t="s">
        <v>2066</v>
      </c>
      <c r="C139" s="119"/>
      <c r="D139" s="120" t="str">
        <f>VLOOKUP($B139,dongia1,DG!$B$5,)</f>
        <v>AF.11220</v>
      </c>
      <c r="E139" s="151" t="str">
        <f>VLOOKUP($B139,dongia1,DG!$C$5,)</f>
        <v>Đổ bê tông mác M200 đá 1x 2rộng &gt;250cm</v>
      </c>
      <c r="F139" s="120" t="str">
        <f>VLOOKUP($B139,dongia1,DG!$D$5,)</f>
        <v>m3</v>
      </c>
      <c r="G139" s="74">
        <f>+G132</f>
        <v>0</v>
      </c>
      <c r="H139" s="121">
        <f>VLOOKUP($B139,dongia1,DG!$F$5,)</f>
        <v>920580</v>
      </c>
      <c r="I139" s="121">
        <v>466397.5</v>
      </c>
      <c r="J139" s="121">
        <f>VLOOKUP($B139,dongia1,DG!$G$5,)</f>
        <v>466397.5</v>
      </c>
      <c r="K139" s="121">
        <f>VLOOKUP($B139,dongia1,DG!$H$5,)</f>
        <v>0</v>
      </c>
      <c r="L139" s="39">
        <f t="shared" si="28"/>
        <v>0</v>
      </c>
      <c r="M139" s="39">
        <v>0</v>
      </c>
      <c r="N139" s="39">
        <f t="shared" si="29"/>
        <v>0</v>
      </c>
      <c r="O139" s="39">
        <f t="shared" si="29"/>
        <v>0</v>
      </c>
      <c r="P139" s="161"/>
    </row>
    <row r="140" spans="1:16" s="61" customFormat="1" ht="30.75" customHeight="1">
      <c r="A140" s="29" t="str">
        <f t="shared" si="21"/>
        <v/>
      </c>
      <c r="B140" s="181"/>
      <c r="C140" s="166">
        <f>IF(G140&gt;0,C126+1,C126)</f>
        <v>0</v>
      </c>
      <c r="D140" s="167"/>
      <c r="E140" s="168" t="s">
        <v>3813</v>
      </c>
      <c r="F140" s="169" t="s">
        <v>2307</v>
      </c>
      <c r="G140" s="1734"/>
      <c r="H140" s="170"/>
      <c r="I140" s="170"/>
      <c r="J140" s="172"/>
      <c r="K140" s="172"/>
      <c r="L140" s="64">
        <f>H140*$G140</f>
        <v>0</v>
      </c>
      <c r="M140" s="64">
        <f>I140*$G140</f>
        <v>0</v>
      </c>
      <c r="N140" s="64">
        <f>J140*$G140</f>
        <v>0</v>
      </c>
      <c r="O140" s="64">
        <f>K140*$G140</f>
        <v>0</v>
      </c>
      <c r="P140" s="173"/>
    </row>
    <row r="141" spans="1:16" s="34" customFormat="1" ht="14.4">
      <c r="A141" s="29" t="str">
        <f t="shared" si="21"/>
        <v/>
      </c>
      <c r="B141" s="109"/>
      <c r="C141" s="112"/>
      <c r="D141" s="120"/>
      <c r="E141" s="174" t="s">
        <v>3378</v>
      </c>
      <c r="F141" s="146"/>
      <c r="G141" s="65"/>
      <c r="H141" s="147"/>
      <c r="I141" s="147"/>
      <c r="J141" s="149"/>
      <c r="K141" s="147"/>
      <c r="L141" s="58"/>
      <c r="M141" s="58"/>
      <c r="N141" s="58"/>
      <c r="O141" s="58"/>
      <c r="P141" s="150"/>
    </row>
    <row r="142" spans="1:16" s="34" customFormat="1">
      <c r="A142" s="29" t="str">
        <f t="shared" si="21"/>
        <v/>
      </c>
      <c r="B142" s="159" t="s">
        <v>1729</v>
      </c>
      <c r="C142" s="119"/>
      <c r="D142" s="120"/>
      <c r="E142" s="151" t="str">
        <f>VLOOKUP($B142,dongia1,DG!$C$5,)&amp;": 0,296m3/m"</f>
        <v>Cát vàng: 0,296m3/m</v>
      </c>
      <c r="F142" s="120" t="str">
        <f>VLOOKUP($B142,dongia1,DG!$D$5,)</f>
        <v>m3</v>
      </c>
      <c r="G142" s="74">
        <f>0.296*G140</f>
        <v>0</v>
      </c>
      <c r="H142" s="121">
        <f>VLOOKUP($B142,dongia1,DG!$F$5,)</f>
        <v>512000</v>
      </c>
      <c r="I142" s="160"/>
      <c r="J142" s="121">
        <f>VLOOKUP($B142,dongia1,DG!$G$5,)</f>
        <v>0</v>
      </c>
      <c r="K142" s="121">
        <f>VLOOKUP($B142,dongia1,DG!$H$5,)</f>
        <v>0</v>
      </c>
      <c r="L142" s="39">
        <f t="shared" ref="L142:L149" si="30">H142*$G142</f>
        <v>0</v>
      </c>
      <c r="M142" s="39">
        <f t="shared" ref="M142:M150" si="31">I142*$G142</f>
        <v>0</v>
      </c>
      <c r="N142" s="39">
        <f t="shared" ref="N142:N150" si="32">J142*$G142</f>
        <v>0</v>
      </c>
      <c r="O142" s="39">
        <f t="shared" ref="O142:O150" si="33">K142*$G142</f>
        <v>0</v>
      </c>
      <c r="P142" s="161"/>
    </row>
    <row r="143" spans="1:16" s="34" customFormat="1">
      <c r="A143" s="29" t="str">
        <f t="shared" si="21"/>
        <v/>
      </c>
      <c r="B143" s="159" t="s">
        <v>817</v>
      </c>
      <c r="C143" s="119"/>
      <c r="D143" s="120"/>
      <c r="E143" s="151" t="str">
        <f>VLOOKUP($B143,dongia1,DG!$C$5,)&amp;": 0,024m3/m"</f>
        <v>Đá 2x4: 0,024m3/m</v>
      </c>
      <c r="F143" s="120" t="str">
        <f>VLOOKUP($B143,dongia1,DG!$D$5,)</f>
        <v>m3</v>
      </c>
      <c r="G143" s="74">
        <f>0.024*G140</f>
        <v>0</v>
      </c>
      <c r="H143" s="121">
        <f>VLOOKUP($B143,dongia1,DG!$F$5,)</f>
        <v>295000</v>
      </c>
      <c r="I143" s="160"/>
      <c r="J143" s="121">
        <f>VLOOKUP($B143,dongia1,DG!$G$5,)</f>
        <v>0</v>
      </c>
      <c r="K143" s="121">
        <f>VLOOKUP($B143,dongia1,DG!$H$5,)</f>
        <v>0</v>
      </c>
      <c r="L143" s="39">
        <f t="shared" si="30"/>
        <v>0</v>
      </c>
      <c r="M143" s="39">
        <f t="shared" si="31"/>
        <v>0</v>
      </c>
      <c r="N143" s="39">
        <f t="shared" si="32"/>
        <v>0</v>
      </c>
      <c r="O143" s="39">
        <f t="shared" si="33"/>
        <v>0</v>
      </c>
      <c r="P143" s="161"/>
    </row>
    <row r="144" spans="1:16" s="34" customFormat="1">
      <c r="A144" s="29" t="str">
        <f t="shared" si="21"/>
        <v/>
      </c>
      <c r="B144" s="159" t="s">
        <v>1731</v>
      </c>
      <c r="C144" s="119"/>
      <c r="D144" s="120"/>
      <c r="E144" s="151" t="str">
        <f>VLOOKUP($B144,dongia1,DG!$C$5,)&amp;": 0,091m3/m"</f>
        <v>Đá 4x6: 0,091m3/m</v>
      </c>
      <c r="F144" s="120" t="str">
        <f>VLOOKUP($B144,dongia1,DG!$D$5,)</f>
        <v>m3</v>
      </c>
      <c r="G144" s="74">
        <f>0.091*G140</f>
        <v>0</v>
      </c>
      <c r="H144" s="121">
        <f>VLOOKUP($B144,dongia1,DG!$F$5,)</f>
        <v>265000</v>
      </c>
      <c r="I144" s="160"/>
      <c r="J144" s="121">
        <f>VLOOKUP($B144,dongia1,DG!$G$5,)</f>
        <v>0</v>
      </c>
      <c r="K144" s="121">
        <f>VLOOKUP($B144,dongia1,DG!$H$5,)</f>
        <v>0</v>
      </c>
      <c r="L144" s="39">
        <f>H144*$G144</f>
        <v>0</v>
      </c>
      <c r="M144" s="39">
        <f>I144*$G144</f>
        <v>0</v>
      </c>
      <c r="N144" s="39">
        <f>J144*$G144</f>
        <v>0</v>
      </c>
      <c r="O144" s="39">
        <f>K144*$G144</f>
        <v>0</v>
      </c>
      <c r="P144" s="161"/>
    </row>
    <row r="145" spans="1:16" s="34" customFormat="1">
      <c r="A145" s="29" t="str">
        <f t="shared" si="21"/>
        <v/>
      </c>
      <c r="B145" s="159" t="s">
        <v>1875</v>
      </c>
      <c r="C145" s="119"/>
      <c r="D145" s="120"/>
      <c r="E145" s="151" t="str">
        <f>VLOOKUP($B145,dongia1,DG!$C$5,)&amp;": 0,049m3/m"</f>
        <v>Bêtông nhựa nóng hạt thô: 0,049m3/m</v>
      </c>
      <c r="F145" s="120" t="str">
        <f>VLOOKUP($B145,dongia1,DG!$D$5,)</f>
        <v>m3</v>
      </c>
      <c r="G145" s="74">
        <f>0.049*G140</f>
        <v>0</v>
      </c>
      <c r="H145" s="182">
        <f>VLOOKUP($B145,dongia1,DG!$F$5,)</f>
        <v>732002</v>
      </c>
      <c r="I145" s="160"/>
      <c r="J145" s="121">
        <f>VLOOKUP($B145,dongia1,DG!$G$5,)</f>
        <v>0</v>
      </c>
      <c r="K145" s="121">
        <f>VLOOKUP($B145,dongia1,DG!$H$5,)</f>
        <v>0</v>
      </c>
      <c r="L145" s="39">
        <f t="shared" si="30"/>
        <v>0</v>
      </c>
      <c r="M145" s="39">
        <f t="shared" si="31"/>
        <v>0</v>
      </c>
      <c r="N145" s="39">
        <f t="shared" si="32"/>
        <v>0</v>
      </c>
      <c r="O145" s="39">
        <f t="shared" si="33"/>
        <v>0</v>
      </c>
      <c r="P145" s="161"/>
    </row>
    <row r="146" spans="1:16" s="34" customFormat="1">
      <c r="A146" s="29" t="str">
        <f t="shared" si="21"/>
        <v/>
      </c>
      <c r="B146" s="159" t="s">
        <v>1495</v>
      </c>
      <c r="C146" s="119"/>
      <c r="D146" s="120"/>
      <c r="E146" s="151" t="str">
        <f>VLOOKUP($B146,dongia1,DG!$C$5,)&amp;": 3,3vieân/m"</f>
        <v>Gạch tàu: 3,3vieân/m</v>
      </c>
      <c r="F146" s="120" t="str">
        <f>VLOOKUP($B146,dongia1,DG!$D$5,)</f>
        <v>viên</v>
      </c>
      <c r="G146" s="74">
        <f>3.3*G140</f>
        <v>0</v>
      </c>
      <c r="H146" s="121">
        <f>VLOOKUP($B146,dongia1,DG!$F$5,)</f>
        <v>7000</v>
      </c>
      <c r="I146" s="160"/>
      <c r="J146" s="121">
        <f>VLOOKUP($B146,dongia1,DG!$G$5,)</f>
        <v>0</v>
      </c>
      <c r="K146" s="121">
        <f>VLOOKUP($B146,dongia1,DG!$H$5,)</f>
        <v>0</v>
      </c>
      <c r="L146" s="39">
        <f t="shared" si="30"/>
        <v>0</v>
      </c>
      <c r="M146" s="39">
        <f t="shared" si="31"/>
        <v>0</v>
      </c>
      <c r="N146" s="39">
        <f t="shared" si="32"/>
        <v>0</v>
      </c>
      <c r="O146" s="39">
        <f t="shared" si="33"/>
        <v>0</v>
      </c>
      <c r="P146" s="161"/>
    </row>
    <row r="147" spans="1:16" s="34" customFormat="1">
      <c r="A147" s="29" t="str">
        <f t="shared" si="21"/>
        <v/>
      </c>
      <c r="B147" s="159" t="s">
        <v>1496</v>
      </c>
      <c r="C147" s="119"/>
      <c r="D147" s="120"/>
      <c r="E147" s="151" t="str">
        <f>VLOOKUP($B147,dongia1,DG!$C$5,)&amp;": 0,5m2/m"</f>
        <v>Tấm nilông màu cảnh báo: 0,5m2/m</v>
      </c>
      <c r="F147" s="120" t="str">
        <f>VLOOKUP($B147,dongia1,DG!$D$5,)</f>
        <v>m2</v>
      </c>
      <c r="G147" s="74">
        <f>0.5*G140</f>
        <v>0</v>
      </c>
      <c r="H147" s="121">
        <f>VLOOKUP($B147,dongia1,DG!$F$5,)</f>
        <v>10000</v>
      </c>
      <c r="I147" s="160"/>
      <c r="J147" s="121">
        <f>VLOOKUP($B147,dongia1,DG!$G$5,)</f>
        <v>1187.155</v>
      </c>
      <c r="K147" s="121">
        <f>VLOOKUP($B147,dongia1,DG!$H$5,)</f>
        <v>0</v>
      </c>
      <c r="L147" s="39">
        <f t="shared" si="30"/>
        <v>0</v>
      </c>
      <c r="M147" s="39">
        <f t="shared" si="31"/>
        <v>0</v>
      </c>
      <c r="N147" s="39">
        <f t="shared" si="32"/>
        <v>0</v>
      </c>
      <c r="O147" s="39">
        <f t="shared" si="33"/>
        <v>0</v>
      </c>
      <c r="P147" s="161"/>
    </row>
    <row r="148" spans="1:16" s="34" customFormat="1">
      <c r="A148" s="29" t="str">
        <f t="shared" si="21"/>
        <v/>
      </c>
      <c r="B148" s="159" t="s">
        <v>1861</v>
      </c>
      <c r="C148" s="119"/>
      <c r="D148" s="120">
        <f>VLOOKUP($B148,dongia1,DG!$B$5,)</f>
        <v>0</v>
      </c>
      <c r="E148" s="151" t="str">
        <f>VLOOKUP($B148,dongia1,DG!$C$5,)</f>
        <v>Ống PVC D140x6,7mm</v>
      </c>
      <c r="F148" s="120" t="str">
        <f>VLOOKUP($B148,dongia1,DG!$D$5,)</f>
        <v>m</v>
      </c>
      <c r="G148" s="74">
        <f>1*G140</f>
        <v>0</v>
      </c>
      <c r="H148" s="121">
        <f>VLOOKUP($B148,dongia1,DG!$F$5,)</f>
        <v>165250</v>
      </c>
      <c r="I148" s="160"/>
      <c r="J148" s="121">
        <f>VLOOKUP($B148,dongia1,DG!$G$5,)</f>
        <v>0</v>
      </c>
      <c r="K148" s="121">
        <f>VLOOKUP($B148,dongia1,DG!$H$5,)</f>
        <v>0</v>
      </c>
      <c r="L148" s="39">
        <f t="shared" si="30"/>
        <v>0</v>
      </c>
      <c r="M148" s="39">
        <f t="shared" si="31"/>
        <v>0</v>
      </c>
      <c r="N148" s="39">
        <f t="shared" si="32"/>
        <v>0</v>
      </c>
      <c r="O148" s="39">
        <f t="shared" si="33"/>
        <v>0</v>
      </c>
      <c r="P148" s="161"/>
    </row>
    <row r="149" spans="1:16" s="34" customFormat="1">
      <c r="A149" s="29" t="str">
        <f t="shared" si="21"/>
        <v/>
      </c>
      <c r="B149" s="159" t="s">
        <v>101</v>
      </c>
      <c r="C149" s="119"/>
      <c r="D149" s="120" t="str">
        <f>VLOOKUP($B149,dongia1,DG!$B$5,)</f>
        <v>D4.1104</v>
      </c>
      <c r="E149" s="151" t="str">
        <f>VLOOKUP($B149,dongia1,DG!$C$5,)</f>
        <v>Lắp gạch làm dấu</v>
      </c>
      <c r="F149" s="120" t="str">
        <f>VLOOKUP($B149,dongia1,DG!$D$5,)</f>
        <v>viên</v>
      </c>
      <c r="G149" s="74">
        <f>G146</f>
        <v>0</v>
      </c>
      <c r="H149" s="121">
        <f>VLOOKUP($B149,dongia1,DG!$F$5,)</f>
        <v>0</v>
      </c>
      <c r="I149" s="179"/>
      <c r="J149" s="121">
        <f>VLOOKUP($B149,dongia1,DG!$G$5,)</f>
        <v>916.64</v>
      </c>
      <c r="K149" s="121">
        <f>VLOOKUP($B149,dongia1,DG!$H$5,)</f>
        <v>0</v>
      </c>
      <c r="L149" s="39">
        <f t="shared" si="30"/>
        <v>0</v>
      </c>
      <c r="M149" s="62">
        <f t="shared" si="31"/>
        <v>0</v>
      </c>
      <c r="N149" s="39">
        <f t="shared" si="32"/>
        <v>0</v>
      </c>
      <c r="O149" s="39">
        <f t="shared" si="33"/>
        <v>0</v>
      </c>
      <c r="P149" s="161"/>
    </row>
    <row r="150" spans="1:16" s="34" customFormat="1">
      <c r="A150" s="29" t="str">
        <f t="shared" si="21"/>
        <v/>
      </c>
      <c r="B150" s="159" t="s">
        <v>569</v>
      </c>
      <c r="C150" s="119"/>
      <c r="D150" s="120" t="str">
        <f>VLOOKUP($B150,dongia1,DG!$B$5,)</f>
        <v>AA.21431</v>
      </c>
      <c r="E150" s="151" t="str">
        <f>VLOOKUP($B150,dongia1,DG!$C$5,)&amp;" 0,5m2/m"</f>
        <v>Pha mặt đường đá dăm, nhựa, bê tông 0,5m2/m</v>
      </c>
      <c r="F150" s="120" t="str">
        <f>VLOOKUP($B150,dongia1,DG!$D$5,)</f>
        <v>m3</v>
      </c>
      <c r="G150" s="74">
        <f>G140*0.5*0</f>
        <v>0</v>
      </c>
      <c r="I150" s="160"/>
      <c r="J150" s="121">
        <f>VLOOKUP($B150,dongia1,DG!$G$5,)</f>
        <v>0</v>
      </c>
      <c r="K150" s="121">
        <f>VLOOKUP($B150,dongia1,DG!$H$5,)</f>
        <v>0</v>
      </c>
      <c r="L150" s="39">
        <f>H134*$G150</f>
        <v>0</v>
      </c>
      <c r="M150" s="39">
        <f t="shared" si="31"/>
        <v>0</v>
      </c>
      <c r="N150" s="39">
        <f t="shared" si="32"/>
        <v>0</v>
      </c>
      <c r="O150" s="39">
        <f t="shared" si="33"/>
        <v>0</v>
      </c>
      <c r="P150" s="161"/>
    </row>
    <row r="151" spans="1:16" s="34" customFormat="1">
      <c r="A151" s="29" t="str">
        <f t="shared" si="21"/>
        <v/>
      </c>
      <c r="B151" s="159" t="s">
        <v>1498</v>
      </c>
      <c r="C151" s="119"/>
      <c r="D151" s="120" t="str">
        <f>VLOOKUP($B151,dongia1,DG!$B$5,)</f>
        <v>AB.66112</v>
      </c>
      <c r="E151" s="151" t="str">
        <f>VLOOKUP($B151,dongia1,DG!$C$5,)&amp;" + ñaép ñaù"</f>
        <v>Rải cát đệm (độ chặt K=0,9) + ñaép ñaù</v>
      </c>
      <c r="F151" s="120" t="str">
        <f>VLOOKUP($B151,dongia1,DG!$D$5,)</f>
        <v>m3</v>
      </c>
      <c r="G151" s="74">
        <f>G142+G143+G144</f>
        <v>0</v>
      </c>
      <c r="H151" s="121">
        <f>VLOOKUP($B151,dongia1,DG!$F$5,)</f>
        <v>0</v>
      </c>
      <c r="I151" s="160"/>
      <c r="J151" s="121">
        <f>VLOOKUP($B151,dongia1,DG!$G$5,)</f>
        <v>315277.5</v>
      </c>
      <c r="K151" s="121">
        <f>VLOOKUP($B151,dongia1,DG!$H$5,)</f>
        <v>0</v>
      </c>
      <c r="L151" s="39">
        <f t="shared" ref="L151:O154" si="34">H151*$G151</f>
        <v>0</v>
      </c>
      <c r="M151" s="39">
        <f t="shared" si="34"/>
        <v>0</v>
      </c>
      <c r="N151" s="39">
        <f t="shared" si="34"/>
        <v>0</v>
      </c>
      <c r="O151" s="39">
        <f t="shared" si="34"/>
        <v>0</v>
      </c>
      <c r="P151" s="161"/>
    </row>
    <row r="152" spans="1:16" s="34" customFormat="1" ht="27.6">
      <c r="A152" s="29" t="str">
        <f t="shared" si="21"/>
        <v/>
      </c>
      <c r="B152" s="159" t="s">
        <v>291</v>
      </c>
      <c r="C152" s="119"/>
      <c r="D152" s="120" t="str">
        <f>VLOOKUP($B152,dongia1,DG!$B$5,)</f>
        <v>AB.11613</v>
      </c>
      <c r="E152" s="151" t="str">
        <f>VLOOKUP($B152,dongia1,DG!$C$5,)&amp;" : 0,48m3/m"</f>
        <v>Đào mương cáp ngầm đất cấp 3 có mở ta luy : 0,48m3/m</v>
      </c>
      <c r="F152" s="120" t="str">
        <f>VLOOKUP($B152,dongia1,DG!$D$5,)</f>
        <v>m3</v>
      </c>
      <c r="G152" s="74">
        <f>0.48*G140</f>
        <v>0</v>
      </c>
      <c r="H152" s="121">
        <f>VLOOKUP($B152,dongia1,DG!$F$5,)</f>
        <v>0</v>
      </c>
      <c r="I152" s="160"/>
      <c r="J152" s="121">
        <f>VLOOKUP($B152,dongia1,DG!$G$5,)</f>
        <v>640731.36</v>
      </c>
      <c r="K152" s="121">
        <f>VLOOKUP($B152,dongia1,DG!$H$5,)</f>
        <v>0</v>
      </c>
      <c r="L152" s="39">
        <f t="shared" si="34"/>
        <v>0</v>
      </c>
      <c r="M152" s="39">
        <f t="shared" si="34"/>
        <v>0</v>
      </c>
      <c r="N152" s="39">
        <f t="shared" si="34"/>
        <v>0</v>
      </c>
      <c r="O152" s="39">
        <f t="shared" si="34"/>
        <v>0</v>
      </c>
      <c r="P152" s="161"/>
    </row>
    <row r="153" spans="1:16" s="34" customFormat="1">
      <c r="A153" s="29" t="str">
        <f t="shared" si="21"/>
        <v/>
      </c>
      <c r="B153" s="159" t="s">
        <v>568</v>
      </c>
      <c r="C153" s="119"/>
      <c r="D153" s="120" t="str">
        <f>VLOOKUP($B153,dongia1,DG!$B$5,)</f>
        <v>ED.2005</v>
      </c>
      <c r="E153" s="151" t="str">
        <f>VLOOKUP($B153,dongia1,DG!$C$5,)</f>
        <v>Tái lập bêtông nhựa nóng hạt thô 7mm</v>
      </c>
      <c r="F153" s="120" t="str">
        <f>VLOOKUP($B153,dongia1,DG!$D$5,)</f>
        <v>m2</v>
      </c>
      <c r="G153" s="83">
        <f>G140*0.5</f>
        <v>0</v>
      </c>
      <c r="H153" s="121">
        <f>VLOOKUP($B153,dongia1,DG!$F$5,)</f>
        <v>0</v>
      </c>
      <c r="I153" s="160"/>
      <c r="J153" s="121">
        <f>VLOOKUP($B153,dongia1,DG!$G$5,)</f>
        <v>338</v>
      </c>
      <c r="K153" s="121">
        <f>VLOOKUP($B153,dongia1,DG!$H$5,)</f>
        <v>1269</v>
      </c>
      <c r="L153" s="39">
        <f t="shared" si="34"/>
        <v>0</v>
      </c>
      <c r="M153" s="39">
        <f t="shared" si="34"/>
        <v>0</v>
      </c>
      <c r="N153" s="39">
        <f t="shared" si="34"/>
        <v>0</v>
      </c>
      <c r="O153" s="39">
        <f t="shared" si="34"/>
        <v>0</v>
      </c>
      <c r="P153" s="161"/>
    </row>
    <row r="154" spans="1:16" s="61" customFormat="1" ht="30.75" customHeight="1">
      <c r="A154" s="29" t="str">
        <f t="shared" si="21"/>
        <v/>
      </c>
      <c r="B154" s="181"/>
      <c r="C154" s="166">
        <f>IF(G154&gt;0,C140+1,C140)</f>
        <v>0</v>
      </c>
      <c r="D154" s="167"/>
      <c r="E154" s="168" t="s">
        <v>3814</v>
      </c>
      <c r="F154" s="169" t="s">
        <v>2307</v>
      </c>
      <c r="G154" s="1734">
        <f>ppCN!BE40</f>
        <v>0</v>
      </c>
      <c r="H154" s="170"/>
      <c r="I154" s="170"/>
      <c r="J154" s="172"/>
      <c r="K154" s="172"/>
      <c r="L154" s="64">
        <f t="shared" si="34"/>
        <v>0</v>
      </c>
      <c r="M154" s="64">
        <f t="shared" si="34"/>
        <v>0</v>
      </c>
      <c r="N154" s="64">
        <f t="shared" si="34"/>
        <v>0</v>
      </c>
      <c r="O154" s="64">
        <f t="shared" si="34"/>
        <v>0</v>
      </c>
      <c r="P154" s="173"/>
    </row>
    <row r="155" spans="1:16" s="34" customFormat="1" ht="14.4">
      <c r="A155" s="29" t="str">
        <f t="shared" si="21"/>
        <v/>
      </c>
      <c r="B155" s="109"/>
      <c r="C155" s="112"/>
      <c r="D155" s="120"/>
      <c r="E155" s="174" t="s">
        <v>3378</v>
      </c>
      <c r="F155" s="146"/>
      <c r="G155" s="65"/>
      <c r="H155" s="147"/>
      <c r="I155" s="147"/>
      <c r="J155" s="149"/>
      <c r="K155" s="147"/>
      <c r="L155" s="58"/>
      <c r="M155" s="58"/>
      <c r="N155" s="58"/>
      <c r="O155" s="58"/>
      <c r="P155" s="150"/>
    </row>
    <row r="156" spans="1:16" s="34" customFormat="1">
      <c r="A156" s="29" t="str">
        <f t="shared" si="21"/>
        <v/>
      </c>
      <c r="B156" s="159" t="s">
        <v>961</v>
      </c>
      <c r="C156" s="119"/>
      <c r="D156" s="120">
        <f>VLOOKUP($B156,dongia1,DG!$B$5,)</f>
        <v>0</v>
      </c>
      <c r="E156" s="151" t="str">
        <f>VLOOKUP($B156,dongia1,DG!$C$5,)</f>
        <v xml:space="preserve">Ống PVC D114x4,9mm </v>
      </c>
      <c r="F156" s="120" t="str">
        <f>VLOOKUP($B156,dongia1,DG!$D$5,)</f>
        <v>m</v>
      </c>
      <c r="G156" s="74">
        <f>1*G154</f>
        <v>0</v>
      </c>
      <c r="H156" s="121">
        <f>VLOOKUP($B156,dongia1,DG!$F$5,)</f>
        <v>103700</v>
      </c>
      <c r="I156" s="160"/>
      <c r="J156" s="121">
        <f>VLOOKUP($B156,dongia1,DG!$G$5,)</f>
        <v>0</v>
      </c>
      <c r="K156" s="121">
        <f>VLOOKUP($B156,dongia1,DG!$H$5,)</f>
        <v>0</v>
      </c>
      <c r="L156" s="39">
        <f t="shared" ref="L156:L161" si="35">H156*$G156</f>
        <v>0</v>
      </c>
      <c r="M156" s="39">
        <f t="shared" ref="M156:M161" si="36">I156*$G156</f>
        <v>0</v>
      </c>
      <c r="N156" s="39">
        <f t="shared" ref="N156:N161" si="37">J156*$G156</f>
        <v>0</v>
      </c>
      <c r="O156" s="39">
        <f t="shared" ref="O156:O161" si="38">K156*$G156</f>
        <v>0</v>
      </c>
      <c r="P156" s="161"/>
    </row>
    <row r="157" spans="1:16" s="34" customFormat="1">
      <c r="A157" s="29" t="str">
        <f t="shared" si="21"/>
        <v/>
      </c>
      <c r="B157" s="159" t="s">
        <v>101</v>
      </c>
      <c r="C157" s="119"/>
      <c r="D157" s="120" t="str">
        <f>VLOOKUP($B157,dongia1,DG!$B$5,)</f>
        <v>D4.1104</v>
      </c>
      <c r="E157" s="151" t="str">
        <f>VLOOKUP($B157,dongia1,DG!$C$5,)</f>
        <v>Lắp gạch làm dấu</v>
      </c>
      <c r="F157" s="120" t="str">
        <f>VLOOKUP($B157,dongia1,DG!$D$5,)</f>
        <v>viên</v>
      </c>
      <c r="G157" s="74"/>
      <c r="H157" s="121">
        <f>VLOOKUP($B157,dongia1,DG!$F$5,)</f>
        <v>0</v>
      </c>
      <c r="I157" s="179"/>
      <c r="J157" s="121">
        <f>VLOOKUP($B157,dongia1,DG!$G$5,)</f>
        <v>916.64</v>
      </c>
      <c r="K157" s="121">
        <f>VLOOKUP($B157,dongia1,DG!$H$5,)</f>
        <v>0</v>
      </c>
      <c r="L157" s="39">
        <f t="shared" si="35"/>
        <v>0</v>
      </c>
      <c r="M157" s="62">
        <f t="shared" si="36"/>
        <v>0</v>
      </c>
      <c r="N157" s="39">
        <f t="shared" si="37"/>
        <v>0</v>
      </c>
      <c r="O157" s="39">
        <f t="shared" si="38"/>
        <v>0</v>
      </c>
      <c r="P157" s="161"/>
    </row>
    <row r="158" spans="1:16" s="34" customFormat="1">
      <c r="A158" s="29" t="str">
        <f t="shared" si="21"/>
        <v/>
      </c>
      <c r="B158" s="159" t="s">
        <v>569</v>
      </c>
      <c r="C158" s="119"/>
      <c r="D158" s="120"/>
      <c r="E158" s="151" t="s">
        <v>3815</v>
      </c>
      <c r="F158" s="120" t="s">
        <v>866</v>
      </c>
      <c r="G158" s="74">
        <f>+G154</f>
        <v>0</v>
      </c>
      <c r="H158" s="121"/>
      <c r="I158" s="160"/>
      <c r="J158" s="121">
        <v>1500000</v>
      </c>
      <c r="K158" s="121">
        <f>VLOOKUP($B158,dongia1,DG!$H$5,)</f>
        <v>0</v>
      </c>
      <c r="L158" s="39">
        <f t="shared" si="35"/>
        <v>0</v>
      </c>
      <c r="M158" s="39">
        <f t="shared" si="36"/>
        <v>0</v>
      </c>
      <c r="N158" s="39">
        <f>J158*$G158</f>
        <v>0</v>
      </c>
      <c r="O158" s="39">
        <f t="shared" si="38"/>
        <v>0</v>
      </c>
      <c r="P158" s="161"/>
    </row>
    <row r="159" spans="1:16" s="34" customFormat="1">
      <c r="A159" s="29" t="str">
        <f t="shared" si="21"/>
        <v/>
      </c>
      <c r="B159" s="159" t="s">
        <v>1498</v>
      </c>
      <c r="C159" s="119"/>
      <c r="D159" s="120" t="str">
        <f>VLOOKUP($B159,dongia1,DG!$B$5,)</f>
        <v>AB.66112</v>
      </c>
      <c r="E159" s="151" t="str">
        <f>VLOOKUP($B159,dongia1,DG!$C$5,)&amp;" + ñaép ñaù"</f>
        <v>Rải cát đệm (độ chặt K=0,9) + ñaép ñaù</v>
      </c>
      <c r="F159" s="120" t="str">
        <f>VLOOKUP($B159,dongia1,DG!$D$5,)</f>
        <v>m3</v>
      </c>
      <c r="G159" s="74"/>
      <c r="H159" s="121">
        <f>VLOOKUP($B159,dongia1,DG!$F$5,)</f>
        <v>0</v>
      </c>
      <c r="I159" s="160"/>
      <c r="J159" s="121">
        <f>VLOOKUP($B159,dongia1,DG!$G$5,)</f>
        <v>315277.5</v>
      </c>
      <c r="K159" s="121">
        <f>VLOOKUP($B159,dongia1,DG!$H$5,)</f>
        <v>0</v>
      </c>
      <c r="L159" s="39">
        <f t="shared" si="35"/>
        <v>0</v>
      </c>
      <c r="M159" s="39">
        <f t="shared" si="36"/>
        <v>0</v>
      </c>
      <c r="N159" s="39">
        <f t="shared" si="37"/>
        <v>0</v>
      </c>
      <c r="O159" s="39">
        <f t="shared" si="38"/>
        <v>0</v>
      </c>
      <c r="P159" s="161"/>
    </row>
    <row r="160" spans="1:16" s="34" customFormat="1" ht="27.6">
      <c r="A160" s="29" t="str">
        <f t="shared" si="21"/>
        <v/>
      </c>
      <c r="B160" s="159" t="s">
        <v>291</v>
      </c>
      <c r="C160" s="119"/>
      <c r="D160" s="120" t="str">
        <f>VLOOKUP($B160,dongia1,DG!$B$5,)</f>
        <v>AB.11613</v>
      </c>
      <c r="E160" s="151" t="str">
        <f>VLOOKUP($B160,dongia1,DG!$C$5,)&amp;" : 0,48m3/m"</f>
        <v>Đào mương cáp ngầm đất cấp 3 có mở ta luy : 0,48m3/m</v>
      </c>
      <c r="F160" s="120" t="str">
        <f>VLOOKUP($B160,dongia1,DG!$D$5,)</f>
        <v>m3</v>
      </c>
      <c r="G160" s="74"/>
      <c r="H160" s="121">
        <f>VLOOKUP($B160,dongia1,DG!$F$5,)</f>
        <v>0</v>
      </c>
      <c r="I160" s="160"/>
      <c r="J160" s="121">
        <f>VLOOKUP($B160,dongia1,DG!$G$5,)</f>
        <v>640731.36</v>
      </c>
      <c r="K160" s="121">
        <f>VLOOKUP($B160,dongia1,DG!$H$5,)</f>
        <v>0</v>
      </c>
      <c r="L160" s="39">
        <f t="shared" si="35"/>
        <v>0</v>
      </c>
      <c r="M160" s="39">
        <f t="shared" si="36"/>
        <v>0</v>
      </c>
      <c r="N160" s="39">
        <f t="shared" si="37"/>
        <v>0</v>
      </c>
      <c r="O160" s="39">
        <f t="shared" si="38"/>
        <v>0</v>
      </c>
      <c r="P160" s="161"/>
    </row>
    <row r="161" spans="1:16" s="34" customFormat="1">
      <c r="A161" s="29" t="str">
        <f t="shared" si="21"/>
        <v/>
      </c>
      <c r="B161" s="159" t="s">
        <v>568</v>
      </c>
      <c r="C161" s="119"/>
      <c r="D161" s="120" t="str">
        <f>VLOOKUP($B161,dongia1,DG!$B$5,)</f>
        <v>ED.2005</v>
      </c>
      <c r="E161" s="151" t="str">
        <f>VLOOKUP($B161,dongia1,DG!$C$5,)</f>
        <v>Tái lập bêtông nhựa nóng hạt thô 7mm</v>
      </c>
      <c r="F161" s="120" t="str">
        <f>VLOOKUP($B161,dongia1,DG!$D$5,)</f>
        <v>m2</v>
      </c>
      <c r="G161" s="83"/>
      <c r="H161" s="121">
        <f>VLOOKUP($B161,dongia1,DG!$F$5,)</f>
        <v>0</v>
      </c>
      <c r="I161" s="160"/>
      <c r="J161" s="121">
        <f>VLOOKUP($B161,dongia1,DG!$G$5,)</f>
        <v>338</v>
      </c>
      <c r="K161" s="121">
        <f>VLOOKUP($B161,dongia1,DG!$H$5,)</f>
        <v>1269</v>
      </c>
      <c r="L161" s="39">
        <f t="shared" si="35"/>
        <v>0</v>
      </c>
      <c r="M161" s="39">
        <f t="shared" si="36"/>
        <v>0</v>
      </c>
      <c r="N161" s="39">
        <f t="shared" si="37"/>
        <v>0</v>
      </c>
      <c r="O161" s="39">
        <f t="shared" si="38"/>
        <v>0</v>
      </c>
      <c r="P161" s="161"/>
    </row>
    <row r="162" spans="1:16" s="61" customFormat="1" ht="30.75" customHeight="1">
      <c r="A162" s="29" t="str">
        <f t="shared" si="21"/>
        <v/>
      </c>
      <c r="B162" s="181"/>
      <c r="C162" s="166">
        <f>IF(G162&gt;0,C154+1,C154)</f>
        <v>0</v>
      </c>
      <c r="D162" s="167"/>
      <c r="E162" s="168" t="s">
        <v>3816</v>
      </c>
      <c r="F162" s="169" t="s">
        <v>2307</v>
      </c>
      <c r="G162" s="63"/>
      <c r="H162" s="170"/>
      <c r="I162" s="170"/>
      <c r="J162" s="172"/>
      <c r="K162" s="172"/>
      <c r="L162" s="64">
        <f>H162*$G162</f>
        <v>0</v>
      </c>
      <c r="M162" s="64">
        <f>I162*$G162</f>
        <v>0</v>
      </c>
      <c r="N162" s="64">
        <f>J162*$G162</f>
        <v>0</v>
      </c>
      <c r="O162" s="64">
        <f>K162*$G162</f>
        <v>0</v>
      </c>
      <c r="P162" s="173"/>
    </row>
    <row r="163" spans="1:16" s="34" customFormat="1" ht="14.4">
      <c r="A163" s="29" t="str">
        <f t="shared" si="21"/>
        <v/>
      </c>
      <c r="B163" s="109"/>
      <c r="C163" s="112"/>
      <c r="D163" s="120"/>
      <c r="E163" s="174" t="s">
        <v>3378</v>
      </c>
      <c r="F163" s="146"/>
      <c r="G163" s="65"/>
      <c r="H163" s="147"/>
      <c r="I163" s="147"/>
      <c r="J163" s="149"/>
      <c r="K163" s="147"/>
      <c r="L163" s="58"/>
      <c r="M163" s="58"/>
      <c r="N163" s="58"/>
      <c r="O163" s="58"/>
      <c r="P163" s="150"/>
    </row>
    <row r="164" spans="1:16" s="34" customFormat="1">
      <c r="A164" s="29" t="str">
        <f t="shared" si="21"/>
        <v/>
      </c>
      <c r="B164" s="159" t="s">
        <v>1729</v>
      </c>
      <c r="C164" s="119"/>
      <c r="D164" s="120"/>
      <c r="E164" s="151" t="str">
        <f>VLOOKUP($B164,dongia1,DG!$C$5,)&amp;": 0,58m3/m"</f>
        <v>Cát vàng: 0,58m3/m</v>
      </c>
      <c r="F164" s="120" t="str">
        <f>VLOOKUP($B164,dongia1,DG!$D$5,)</f>
        <v>m3</v>
      </c>
      <c r="G164" s="74">
        <f>G162*0.58</f>
        <v>0</v>
      </c>
      <c r="H164" s="121">
        <f>VLOOKUP($B164,dongia1,DG!$F$5,)</f>
        <v>512000</v>
      </c>
      <c r="I164" s="160"/>
      <c r="J164" s="121">
        <f>VLOOKUP($B164,dongia1,DG!$G$5,)</f>
        <v>0</v>
      </c>
      <c r="K164" s="121">
        <f>VLOOKUP($B164,dongia1,DG!$H$5,)</f>
        <v>0</v>
      </c>
      <c r="L164" s="39">
        <f t="shared" ref="L164:O166" si="39">H164*$G164</f>
        <v>0</v>
      </c>
      <c r="M164" s="39">
        <f t="shared" si="39"/>
        <v>0</v>
      </c>
      <c r="N164" s="39">
        <f t="shared" si="39"/>
        <v>0</v>
      </c>
      <c r="O164" s="39">
        <f t="shared" si="39"/>
        <v>0</v>
      </c>
      <c r="P164" s="161"/>
    </row>
    <row r="165" spans="1:16" s="34" customFormat="1">
      <c r="A165" s="29" t="str">
        <f t="shared" si="21"/>
        <v/>
      </c>
      <c r="B165" s="159" t="s">
        <v>853</v>
      </c>
      <c r="C165" s="119"/>
      <c r="D165" s="120"/>
      <c r="E165" s="151" t="str">
        <f>VLOOKUP($B165,dongia1,DG!$C$5,)&amp;": 0,022m3/m"</f>
        <v>Đá 1x2: 0,022m3/m</v>
      </c>
      <c r="F165" s="120" t="str">
        <f>VLOOKUP($B165,dongia1,DG!$D$5,)</f>
        <v>m3</v>
      </c>
      <c r="G165" s="74">
        <f>0.022*G162</f>
        <v>0</v>
      </c>
      <c r="H165" s="121">
        <f>VLOOKUP($B165,dongia1,DG!$F$5,)</f>
        <v>335000</v>
      </c>
      <c r="I165" s="160"/>
      <c r="J165" s="121">
        <f>VLOOKUP($B165,dongia1,DG!$G$5,)</f>
        <v>0</v>
      </c>
      <c r="K165" s="121">
        <f>VLOOKUP($B165,dongia1,DG!$H$5,)</f>
        <v>0</v>
      </c>
      <c r="L165" s="39">
        <f t="shared" si="39"/>
        <v>0</v>
      </c>
      <c r="M165" s="39">
        <f t="shared" si="39"/>
        <v>0</v>
      </c>
      <c r="N165" s="39">
        <f t="shared" si="39"/>
        <v>0</v>
      </c>
      <c r="O165" s="39">
        <f t="shared" si="39"/>
        <v>0</v>
      </c>
      <c r="P165" s="161"/>
    </row>
    <row r="166" spans="1:16" s="34" customFormat="1">
      <c r="A166" s="29" t="str">
        <f t="shared" si="21"/>
        <v/>
      </c>
      <c r="B166" s="159" t="s">
        <v>817</v>
      </c>
      <c r="C166" s="119"/>
      <c r="D166" s="120"/>
      <c r="E166" s="151" t="str">
        <f>VLOOKUP($B166,dongia1,DG!$C$5,)&amp;": 0,14m3/m"</f>
        <v>Đá 2x4: 0,14m3/m</v>
      </c>
      <c r="F166" s="120" t="str">
        <f>VLOOKUP($B166,dongia1,DG!$D$5,)</f>
        <v>m3</v>
      </c>
      <c r="G166" s="74">
        <f>0.14*G162</f>
        <v>0</v>
      </c>
      <c r="H166" s="121">
        <f>VLOOKUP($B166,dongia1,DG!$F$5,)</f>
        <v>295000</v>
      </c>
      <c r="I166" s="160"/>
      <c r="J166" s="121">
        <f>VLOOKUP($B166,dongia1,DG!$G$5,)</f>
        <v>0</v>
      </c>
      <c r="K166" s="121">
        <f>VLOOKUP($B166,dongia1,DG!$H$5,)</f>
        <v>0</v>
      </c>
      <c r="L166" s="39">
        <f t="shared" si="39"/>
        <v>0</v>
      </c>
      <c r="M166" s="39">
        <f t="shared" si="39"/>
        <v>0</v>
      </c>
      <c r="N166" s="39">
        <f t="shared" si="39"/>
        <v>0</v>
      </c>
      <c r="O166" s="39">
        <f t="shared" si="39"/>
        <v>0</v>
      </c>
      <c r="P166" s="161"/>
    </row>
    <row r="167" spans="1:16" s="34" customFormat="1">
      <c r="A167" s="29" t="str">
        <f t="shared" si="21"/>
        <v/>
      </c>
      <c r="B167" s="159" t="s">
        <v>1495</v>
      </c>
      <c r="C167" s="119"/>
      <c r="D167" s="120"/>
      <c r="E167" s="151" t="str">
        <f>VLOOKUP($B167,dongia1,DG!$C$5,)&amp;": 3,3vieân/m"</f>
        <v>Gạch tàu: 3,3vieân/m</v>
      </c>
      <c r="F167" s="120" t="str">
        <f>VLOOKUP($B167,dongia1,DG!$D$5,)</f>
        <v>viên</v>
      </c>
      <c r="G167" s="74">
        <f>3.3*G162</f>
        <v>0</v>
      </c>
      <c r="H167" s="121">
        <f>VLOOKUP($B167,dongia1,DG!$F$5,)</f>
        <v>7000</v>
      </c>
      <c r="I167" s="160"/>
      <c r="J167" s="121">
        <f>VLOOKUP($B167,dongia1,DG!$G$5,)</f>
        <v>0</v>
      </c>
      <c r="K167" s="121">
        <f>VLOOKUP($B167,dongia1,DG!$H$5,)</f>
        <v>0</v>
      </c>
      <c r="L167" s="39">
        <f t="shared" ref="L167:L173" si="40">H167*$G167</f>
        <v>0</v>
      </c>
      <c r="M167" s="39">
        <f t="shared" ref="M167:M173" si="41">I167*$G167</f>
        <v>0</v>
      </c>
      <c r="N167" s="39">
        <f t="shared" ref="N167:N173" si="42">J167*$G167</f>
        <v>0</v>
      </c>
      <c r="O167" s="39">
        <f t="shared" ref="O167:O173" si="43">K167*$G167</f>
        <v>0</v>
      </c>
      <c r="P167" s="161"/>
    </row>
    <row r="168" spans="1:16" s="34" customFormat="1">
      <c r="A168" s="29" t="str">
        <f t="shared" si="21"/>
        <v/>
      </c>
      <c r="B168" s="159" t="s">
        <v>1496</v>
      </c>
      <c r="C168" s="119"/>
      <c r="D168" s="120"/>
      <c r="E168" s="151" t="str">
        <f>VLOOKUP($B168,dongia1,DG!$C$5,)&amp;": 0,4m2/m"</f>
        <v>Tấm nilông màu cảnh báo: 0,4m2/m</v>
      </c>
      <c r="F168" s="120" t="str">
        <f>VLOOKUP($B168,dongia1,DG!$D$5,)</f>
        <v>m2</v>
      </c>
      <c r="G168" s="74">
        <f>0.4*G162</f>
        <v>0</v>
      </c>
      <c r="H168" s="121">
        <f>VLOOKUP($B168,dongia1,DG!$F$5,)</f>
        <v>10000</v>
      </c>
      <c r="I168" s="160"/>
      <c r="J168" s="121">
        <f>VLOOKUP($B168,dongia1,DG!$G$5,)</f>
        <v>1187.155</v>
      </c>
      <c r="K168" s="121">
        <f>VLOOKUP($B168,dongia1,DG!$H$5,)</f>
        <v>0</v>
      </c>
      <c r="L168" s="39">
        <f t="shared" si="40"/>
        <v>0</v>
      </c>
      <c r="M168" s="39">
        <f t="shared" si="41"/>
        <v>0</v>
      </c>
      <c r="N168" s="39">
        <f t="shared" si="42"/>
        <v>0</v>
      </c>
      <c r="O168" s="39">
        <f t="shared" si="43"/>
        <v>0</v>
      </c>
      <c r="P168" s="161"/>
    </row>
    <row r="169" spans="1:16" s="34" customFormat="1">
      <c r="A169" s="29" t="str">
        <f t="shared" si="21"/>
        <v/>
      </c>
      <c r="B169" s="159" t="s">
        <v>1861</v>
      </c>
      <c r="C169" s="119"/>
      <c r="D169" s="120">
        <f>VLOOKUP($B169,dongia1,DG!$B$5,)</f>
        <v>0</v>
      </c>
      <c r="E169" s="151" t="str">
        <f>VLOOKUP($B169,dongia1,DG!$C$5,)</f>
        <v>Ống PVC D140x6,7mm</v>
      </c>
      <c r="F169" s="120" t="str">
        <f>VLOOKUP($B169,dongia1,DG!$D$5,)</f>
        <v>m</v>
      </c>
      <c r="G169" s="74">
        <f>1*G162</f>
        <v>0</v>
      </c>
      <c r="H169" s="121">
        <f>VLOOKUP($B169,dongia1,DG!$F$5,)</f>
        <v>165250</v>
      </c>
      <c r="I169" s="160"/>
      <c r="J169" s="121">
        <f>VLOOKUP($B169,dongia1,DG!$G$5,)</f>
        <v>0</v>
      </c>
      <c r="K169" s="121">
        <f>VLOOKUP($B169,dongia1,DG!$H$5,)</f>
        <v>0</v>
      </c>
      <c r="L169" s="39">
        <f t="shared" si="40"/>
        <v>0</v>
      </c>
      <c r="M169" s="39">
        <f t="shared" si="41"/>
        <v>0</v>
      </c>
      <c r="N169" s="39">
        <f t="shared" si="42"/>
        <v>0</v>
      </c>
      <c r="O169" s="39">
        <f t="shared" si="43"/>
        <v>0</v>
      </c>
      <c r="P169" s="161"/>
    </row>
    <row r="170" spans="1:16" s="34" customFormat="1">
      <c r="A170" s="29" t="str">
        <f t="shared" si="21"/>
        <v/>
      </c>
      <c r="B170" s="159" t="s">
        <v>101</v>
      </c>
      <c r="C170" s="119"/>
      <c r="D170" s="120" t="str">
        <f>VLOOKUP($B170,dongia1,DG!$B$5,)</f>
        <v>D4.1104</v>
      </c>
      <c r="E170" s="151" t="str">
        <f>VLOOKUP($B170,dongia1,DG!$C$5,)</f>
        <v>Lắp gạch làm dấu</v>
      </c>
      <c r="F170" s="120" t="str">
        <f>VLOOKUP($B170,dongia1,DG!$D$5,)</f>
        <v>viên</v>
      </c>
      <c r="G170" s="74">
        <f>G167</f>
        <v>0</v>
      </c>
      <c r="H170" s="121">
        <f>VLOOKUP($B170,dongia1,DG!$F$5,)</f>
        <v>0</v>
      </c>
      <c r="I170" s="179"/>
      <c r="J170" s="121">
        <f>VLOOKUP($B170,dongia1,DG!$G$5,)</f>
        <v>916.64</v>
      </c>
      <c r="K170" s="121">
        <f>VLOOKUP($B170,dongia1,DG!$H$5,)</f>
        <v>0</v>
      </c>
      <c r="L170" s="39">
        <f t="shared" si="40"/>
        <v>0</v>
      </c>
      <c r="M170" s="62">
        <f t="shared" si="41"/>
        <v>0</v>
      </c>
      <c r="N170" s="39">
        <f t="shared" si="42"/>
        <v>0</v>
      </c>
      <c r="O170" s="39">
        <f t="shared" si="43"/>
        <v>0</v>
      </c>
      <c r="P170" s="161"/>
    </row>
    <row r="171" spans="1:16" s="34" customFormat="1">
      <c r="A171" s="29" t="str">
        <f t="shared" si="21"/>
        <v/>
      </c>
      <c r="B171" s="159" t="s">
        <v>1498</v>
      </c>
      <c r="C171" s="119"/>
      <c r="D171" s="120" t="str">
        <f>VLOOKUP($B171,dongia1,DG!$B$5,)</f>
        <v>AB.66112</v>
      </c>
      <c r="E171" s="151" t="str">
        <f>VLOOKUP($B171,dongia1,DG!$C$5,)&amp;" + ñaép ñaù"</f>
        <v>Rải cát đệm (độ chặt K=0,9) + ñaép ñaù</v>
      </c>
      <c r="F171" s="120" t="str">
        <f>VLOOKUP($B171,dongia1,DG!$D$5,)</f>
        <v>m3</v>
      </c>
      <c r="G171" s="74">
        <f>G164+G165+G166</f>
        <v>0</v>
      </c>
      <c r="H171" s="121">
        <f>VLOOKUP($B171,dongia1,DG!$F$5,)</f>
        <v>0</v>
      </c>
      <c r="I171" s="160"/>
      <c r="J171" s="121">
        <f>VLOOKUP($B171,dongia1,DG!$G$5,)</f>
        <v>315277.5</v>
      </c>
      <c r="K171" s="121">
        <f>VLOOKUP($B171,dongia1,DG!$H$5,)</f>
        <v>0</v>
      </c>
      <c r="L171" s="39">
        <f t="shared" si="40"/>
        <v>0</v>
      </c>
      <c r="M171" s="39">
        <f t="shared" si="41"/>
        <v>0</v>
      </c>
      <c r="N171" s="39">
        <f t="shared" si="42"/>
        <v>0</v>
      </c>
      <c r="O171" s="39">
        <f t="shared" si="43"/>
        <v>0</v>
      </c>
      <c r="P171" s="161"/>
    </row>
    <row r="172" spans="1:16" s="34" customFormat="1" ht="27.6">
      <c r="A172" s="29" t="str">
        <f t="shared" si="21"/>
        <v/>
      </c>
      <c r="B172" s="159" t="s">
        <v>291</v>
      </c>
      <c r="C172" s="119"/>
      <c r="D172" s="120" t="str">
        <f>VLOOKUP($B172,dongia1,DG!$B$5,)</f>
        <v>AB.11613</v>
      </c>
      <c r="E172" s="151" t="str">
        <f>VLOOKUP($B172,dongia1,DG!$C$5,)&amp;" : 0,48m3/m"</f>
        <v>Đào mương cáp ngầm đất cấp 3 có mở ta luy : 0,48m3/m</v>
      </c>
      <c r="F172" s="120" t="str">
        <f>VLOOKUP($B172,dongia1,DG!$D$5,)</f>
        <v>m3</v>
      </c>
      <c r="G172" s="74">
        <f>0.48*G162</f>
        <v>0</v>
      </c>
      <c r="H172" s="121">
        <f>VLOOKUP($B172,dongia1,DG!$F$5,)</f>
        <v>0</v>
      </c>
      <c r="I172" s="160"/>
      <c r="J172" s="121">
        <f>VLOOKUP($B172,dongia1,DG!$G$5,)</f>
        <v>640731.36</v>
      </c>
      <c r="K172" s="121">
        <f>VLOOKUP($B172,dongia1,DG!$H$5,)</f>
        <v>0</v>
      </c>
      <c r="L172" s="39">
        <f t="shared" si="40"/>
        <v>0</v>
      </c>
      <c r="M172" s="39">
        <f t="shared" si="41"/>
        <v>0</v>
      </c>
      <c r="N172" s="39">
        <f t="shared" si="42"/>
        <v>0</v>
      </c>
      <c r="O172" s="39">
        <f t="shared" si="43"/>
        <v>0</v>
      </c>
      <c r="P172" s="161"/>
    </row>
    <row r="173" spans="1:16" s="34" customFormat="1">
      <c r="A173" s="29" t="str">
        <f t="shared" si="21"/>
        <v/>
      </c>
      <c r="B173" s="159" t="s">
        <v>1906</v>
      </c>
      <c r="C173" s="119"/>
      <c r="D173" s="120" t="str">
        <f>VLOOKUP($B173,dongia1,DG!$B$5,)</f>
        <v>AB.65110</v>
      </c>
      <c r="E173" s="151" t="str">
        <f>VLOOKUP($B173,dongia1,DG!$C$5,)</f>
        <v>Đắp đất mương cáp K=0,9</v>
      </c>
      <c r="F173" s="120" t="str">
        <f>VLOOKUP($B173,dongia1,DG!$D$5,)</f>
        <v>m3</v>
      </c>
      <c r="G173" s="183">
        <f>G162*0.5</f>
        <v>0</v>
      </c>
      <c r="H173" s="121">
        <f>VLOOKUP($B173,dongia1,DG!$F$5,)</f>
        <v>0</v>
      </c>
      <c r="I173" s="160"/>
      <c r="J173" s="121">
        <f>VLOOKUP($B173,dongia1,DG!$G$5,)</f>
        <v>21935.133999999998</v>
      </c>
      <c r="K173" s="121">
        <f>VLOOKUP($B173,dongia1,DG!$H$5,)</f>
        <v>0</v>
      </c>
      <c r="L173" s="39">
        <f t="shared" si="40"/>
        <v>0</v>
      </c>
      <c r="M173" s="39">
        <f t="shared" si="41"/>
        <v>0</v>
      </c>
      <c r="N173" s="39">
        <f t="shared" si="42"/>
        <v>0</v>
      </c>
      <c r="O173" s="39">
        <f t="shared" si="43"/>
        <v>0</v>
      </c>
      <c r="P173" s="161"/>
    </row>
    <row r="174" spans="1:16" s="61" customFormat="1" ht="30.75" customHeight="1">
      <c r="A174" s="29" t="str">
        <f t="shared" si="21"/>
        <v/>
      </c>
      <c r="B174" s="181"/>
      <c r="C174" s="166">
        <f>IF(G174&gt;0,C162+1,C162)</f>
        <v>0</v>
      </c>
      <c r="D174" s="167"/>
      <c r="E174" s="168" t="s">
        <v>3817</v>
      </c>
      <c r="F174" s="169" t="s">
        <v>2307</v>
      </c>
      <c r="G174" s="63">
        <f>F5*G32*0</f>
        <v>0</v>
      </c>
      <c r="H174" s="170"/>
      <c r="I174" s="170"/>
      <c r="J174" s="172"/>
      <c r="K174" s="172"/>
      <c r="L174" s="64">
        <f>H174*$G174</f>
        <v>0</v>
      </c>
      <c r="M174" s="64">
        <f>I174*$G174</f>
        <v>0</v>
      </c>
      <c r="N174" s="64">
        <f>J174*$G174</f>
        <v>0</v>
      </c>
      <c r="O174" s="64">
        <f>K174*$G174</f>
        <v>0</v>
      </c>
      <c r="P174" s="173"/>
    </row>
    <row r="175" spans="1:16" s="34" customFormat="1" ht="14.4">
      <c r="A175" s="29" t="str">
        <f t="shared" si="21"/>
        <v/>
      </c>
      <c r="B175" s="109"/>
      <c r="C175" s="112"/>
      <c r="D175" s="120"/>
      <c r="E175" s="174" t="s">
        <v>3378</v>
      </c>
      <c r="F175" s="146"/>
      <c r="G175" s="65"/>
      <c r="H175" s="147"/>
      <c r="I175" s="147"/>
      <c r="J175" s="149"/>
      <c r="K175" s="147"/>
      <c r="L175" s="58"/>
      <c r="M175" s="58"/>
      <c r="N175" s="58"/>
      <c r="O175" s="58"/>
      <c r="P175" s="150"/>
    </row>
    <row r="176" spans="1:16" s="34" customFormat="1">
      <c r="A176" s="29" t="str">
        <f t="shared" si="21"/>
        <v/>
      </c>
      <c r="B176" s="159" t="s">
        <v>1729</v>
      </c>
      <c r="C176" s="119"/>
      <c r="D176" s="120"/>
      <c r="E176" s="151" t="str">
        <f>VLOOKUP($B176,dongia1,DG!$C$5,)&amp;": (0,314+0,111)m3/m"</f>
        <v>Cát vàng: (0,314+0,111)m3/m</v>
      </c>
      <c r="F176" s="120" t="str">
        <f>VLOOKUP($B176,dongia1,DG!$D$5,)</f>
        <v>m3</v>
      </c>
      <c r="G176" s="74">
        <f>$G174*(0.314+0.111)</f>
        <v>0</v>
      </c>
      <c r="H176" s="121">
        <f>VLOOKUP($B176,dongia1,DG!$F$5,)</f>
        <v>512000</v>
      </c>
      <c r="I176" s="160"/>
      <c r="J176" s="121">
        <f>VLOOKUP($B176,dongia1,DG!$G$5,)</f>
        <v>0</v>
      </c>
      <c r="K176" s="121">
        <f>VLOOKUP($B176,dongia1,DG!$H$5,)</f>
        <v>0</v>
      </c>
      <c r="L176" s="39">
        <f t="shared" ref="L176:O178" si="44">H176*$G176</f>
        <v>0</v>
      </c>
      <c r="M176" s="39">
        <f t="shared" si="44"/>
        <v>0</v>
      </c>
      <c r="N176" s="39">
        <f t="shared" si="44"/>
        <v>0</v>
      </c>
      <c r="O176" s="39">
        <f t="shared" si="44"/>
        <v>0</v>
      </c>
      <c r="P176" s="161"/>
    </row>
    <row r="177" spans="1:16" s="34" customFormat="1">
      <c r="A177" s="29" t="str">
        <f t="shared" si="21"/>
        <v/>
      </c>
      <c r="B177" s="159" t="s">
        <v>817</v>
      </c>
      <c r="C177" s="119"/>
      <c r="D177" s="120"/>
      <c r="E177" s="151" t="str">
        <f>VLOOKUP($B177,dongia1,DG!$C$5,)&amp;": (0,021+0,013)m3/m"</f>
        <v>Đá 2x4: (0,021+0,013)m3/m</v>
      </c>
      <c r="F177" s="120" t="str">
        <f>VLOOKUP($B177,dongia1,DG!$D$5,)</f>
        <v>m3</v>
      </c>
      <c r="G177" s="74">
        <f>G174*(0.02+0.013)</f>
        <v>0</v>
      </c>
      <c r="H177" s="121">
        <f>VLOOKUP($B177,dongia1,DG!$F$5,)</f>
        <v>295000</v>
      </c>
      <c r="I177" s="160"/>
      <c r="J177" s="121">
        <f>VLOOKUP($B177,dongia1,DG!$G$5,)</f>
        <v>0</v>
      </c>
      <c r="K177" s="121">
        <f>VLOOKUP($B177,dongia1,DG!$H$5,)</f>
        <v>0</v>
      </c>
      <c r="L177" s="39">
        <f t="shared" si="44"/>
        <v>0</v>
      </c>
      <c r="M177" s="39">
        <f t="shared" si="44"/>
        <v>0</v>
      </c>
      <c r="N177" s="39">
        <f t="shared" si="44"/>
        <v>0</v>
      </c>
      <c r="O177" s="39">
        <f t="shared" si="44"/>
        <v>0</v>
      </c>
      <c r="P177" s="161"/>
    </row>
    <row r="178" spans="1:16" s="34" customFormat="1">
      <c r="A178" s="29" t="str">
        <f t="shared" si="21"/>
        <v/>
      </c>
      <c r="B178" s="159" t="s">
        <v>1731</v>
      </c>
      <c r="C178" s="119"/>
      <c r="D178" s="120"/>
      <c r="E178" s="151" t="str">
        <f>VLOOKUP($B178,dongia1,DG!$C$5,)&amp;": (0,061+0,038)m3/m"</f>
        <v>Đá 4x6: (0,061+0,038)m3/m</v>
      </c>
      <c r="F178" s="120" t="str">
        <f>VLOOKUP($B178,dongia1,DG!$D$5,)</f>
        <v>m3</v>
      </c>
      <c r="G178" s="74">
        <f>G174*(0.061+0.038)</f>
        <v>0</v>
      </c>
      <c r="H178" s="121">
        <f>VLOOKUP($B178,dongia1,DG!$F$5,)</f>
        <v>265000</v>
      </c>
      <c r="I178" s="160"/>
      <c r="J178" s="121">
        <f>VLOOKUP($B178,dongia1,DG!$G$5,)</f>
        <v>0</v>
      </c>
      <c r="K178" s="121">
        <f>VLOOKUP($B178,dongia1,DG!$H$5,)</f>
        <v>0</v>
      </c>
      <c r="L178" s="39">
        <f t="shared" si="44"/>
        <v>0</v>
      </c>
      <c r="M178" s="39">
        <f t="shared" si="44"/>
        <v>0</v>
      </c>
      <c r="N178" s="39">
        <f t="shared" si="44"/>
        <v>0</v>
      </c>
      <c r="O178" s="39">
        <f t="shared" si="44"/>
        <v>0</v>
      </c>
      <c r="P178" s="161"/>
    </row>
    <row r="179" spans="1:16" s="34" customFormat="1">
      <c r="A179" s="29" t="str">
        <f t="shared" si="21"/>
        <v/>
      </c>
      <c r="B179" s="159" t="s">
        <v>1191</v>
      </c>
      <c r="C179" s="119"/>
      <c r="D179" s="120"/>
      <c r="E179" s="151" t="str">
        <f>VLOOKUP($B179,dongia1,DG!$C$5,)&amp;": (0,042+0,027)m3/m"</f>
        <v>Bêtông nhựa nóng hạt thô: (0,042+0,027)m3/m</v>
      </c>
      <c r="F179" s="120" t="str">
        <f>VLOOKUP($B179,dongia1,DG!$D$5,)</f>
        <v>m3</v>
      </c>
      <c r="G179" s="74">
        <f>G174*(0.042+0.027)</f>
        <v>0</v>
      </c>
      <c r="H179" s="121">
        <f>VLOOKUP($B179,dongia1,DG!$F$5,)</f>
        <v>732002</v>
      </c>
      <c r="I179" s="160"/>
      <c r="J179" s="121">
        <f>VLOOKUP($B179,dongia1,DG!$G$5,)</f>
        <v>0</v>
      </c>
      <c r="K179" s="121">
        <f>VLOOKUP($B179,dongia1,DG!$H$5,)</f>
        <v>0</v>
      </c>
      <c r="L179" s="39">
        <f t="shared" ref="L179:L187" si="45">H179*$G179</f>
        <v>0</v>
      </c>
      <c r="M179" s="39">
        <f t="shared" ref="M179:M187" si="46">I179*$G179</f>
        <v>0</v>
      </c>
      <c r="N179" s="39">
        <f t="shared" ref="N179:N187" si="47">J179*$G179</f>
        <v>0</v>
      </c>
      <c r="O179" s="39">
        <f t="shared" ref="O179:O187" si="48">K179*$G179</f>
        <v>0</v>
      </c>
      <c r="P179" s="161"/>
    </row>
    <row r="180" spans="1:16" s="34" customFormat="1">
      <c r="A180" s="29" t="str">
        <f t="shared" si="21"/>
        <v/>
      </c>
      <c r="B180" s="159" t="s">
        <v>1495</v>
      </c>
      <c r="C180" s="119"/>
      <c r="D180" s="120"/>
      <c r="E180" s="151" t="str">
        <f>VLOOKUP($B180,dongia1,DG!$C$5,)&amp;": 6,6vieân/m"</f>
        <v>Gạch tàu: 6,6vieân/m</v>
      </c>
      <c r="F180" s="120" t="str">
        <f>VLOOKUP($B180,dongia1,DG!$D$5,)</f>
        <v>viên</v>
      </c>
      <c r="G180" s="74">
        <f>G174*6.6</f>
        <v>0</v>
      </c>
      <c r="H180" s="121">
        <f>VLOOKUP($B180,dongia1,DG!$F$5,)</f>
        <v>7000</v>
      </c>
      <c r="I180" s="160"/>
      <c r="J180" s="121">
        <f>VLOOKUP($B180,dongia1,DG!$G$5,)</f>
        <v>0</v>
      </c>
      <c r="K180" s="121">
        <f>VLOOKUP($B180,dongia1,DG!$H$5,)</f>
        <v>0</v>
      </c>
      <c r="L180" s="39">
        <f t="shared" si="45"/>
        <v>0</v>
      </c>
      <c r="M180" s="39">
        <f t="shared" si="46"/>
        <v>0</v>
      </c>
      <c r="N180" s="39">
        <f t="shared" si="47"/>
        <v>0</v>
      </c>
      <c r="O180" s="39">
        <f t="shared" si="48"/>
        <v>0</v>
      </c>
      <c r="P180" s="161"/>
    </row>
    <row r="181" spans="1:16" s="34" customFormat="1">
      <c r="A181" s="29" t="str">
        <f t="shared" si="21"/>
        <v/>
      </c>
      <c r="B181" s="159" t="s">
        <v>1496</v>
      </c>
      <c r="C181" s="119"/>
      <c r="D181" s="120"/>
      <c r="E181" s="151" t="str">
        <f>VLOOKUP($B181,dongia1,DG!$C$5,)&amp;": 0,6m2/m"</f>
        <v>Tấm nilông màu cảnh báo: 0,6m2/m</v>
      </c>
      <c r="F181" s="120" t="str">
        <f>VLOOKUP($B181,dongia1,DG!$D$5,)</f>
        <v>m2</v>
      </c>
      <c r="G181" s="74">
        <f>G174*0.6</f>
        <v>0</v>
      </c>
      <c r="H181" s="121">
        <f>VLOOKUP($B181,dongia1,DG!$F$5,)</f>
        <v>10000</v>
      </c>
      <c r="I181" s="160"/>
      <c r="J181" s="121">
        <f>VLOOKUP($B181,dongia1,DG!$G$5,)</f>
        <v>1187.155</v>
      </c>
      <c r="K181" s="121">
        <f>VLOOKUP($B181,dongia1,DG!$H$5,)</f>
        <v>0</v>
      </c>
      <c r="L181" s="39">
        <f t="shared" si="45"/>
        <v>0</v>
      </c>
      <c r="M181" s="39">
        <f t="shared" si="46"/>
        <v>0</v>
      </c>
      <c r="N181" s="39">
        <f t="shared" si="47"/>
        <v>0</v>
      </c>
      <c r="O181" s="39">
        <f t="shared" si="48"/>
        <v>0</v>
      </c>
      <c r="P181" s="161"/>
    </row>
    <row r="182" spans="1:16" s="34" customFormat="1">
      <c r="A182" s="29" t="str">
        <f t="shared" si="21"/>
        <v/>
      </c>
      <c r="B182" s="159" t="s">
        <v>1861</v>
      </c>
      <c r="C182" s="119"/>
      <c r="D182" s="120">
        <f>VLOOKUP($B182,dongia1,DG!$B$5,)</f>
        <v>0</v>
      </c>
      <c r="E182" s="151" t="str">
        <f>VLOOKUP($B182,dongia1,DG!$C$5,)</f>
        <v>Ống PVC D140x6,7mm</v>
      </c>
      <c r="F182" s="120" t="str">
        <f>VLOOKUP($B182,dongia1,DG!$D$5,)</f>
        <v>m</v>
      </c>
      <c r="G182" s="74">
        <f>G174*2</f>
        <v>0</v>
      </c>
      <c r="H182" s="121">
        <f>VLOOKUP($B182,dongia1,DG!$F$5,)</f>
        <v>165250</v>
      </c>
      <c r="I182" s="160"/>
      <c r="J182" s="121">
        <f>VLOOKUP($B182,dongia1,DG!$G$5,)</f>
        <v>0</v>
      </c>
      <c r="K182" s="121">
        <f>VLOOKUP($B182,dongia1,DG!$H$5,)</f>
        <v>0</v>
      </c>
      <c r="L182" s="39">
        <f t="shared" si="45"/>
        <v>0</v>
      </c>
      <c r="M182" s="39">
        <f t="shared" si="46"/>
        <v>0</v>
      </c>
      <c r="N182" s="39">
        <f t="shared" si="47"/>
        <v>0</v>
      </c>
      <c r="O182" s="39">
        <f t="shared" si="48"/>
        <v>0</v>
      </c>
      <c r="P182" s="161"/>
    </row>
    <row r="183" spans="1:16" s="34" customFormat="1">
      <c r="A183" s="29" t="str">
        <f t="shared" si="21"/>
        <v/>
      </c>
      <c r="B183" s="159" t="s">
        <v>101</v>
      </c>
      <c r="C183" s="119"/>
      <c r="D183" s="120" t="str">
        <f>VLOOKUP($B183,dongia1,DG!$B$5,)</f>
        <v>D4.1104</v>
      </c>
      <c r="E183" s="151" t="str">
        <f>VLOOKUP($B183,dongia1,DG!$C$5,)</f>
        <v>Lắp gạch làm dấu</v>
      </c>
      <c r="F183" s="120" t="str">
        <f>VLOOKUP($B183,dongia1,DG!$D$5,)</f>
        <v>viên</v>
      </c>
      <c r="G183" s="74">
        <f>G180</f>
        <v>0</v>
      </c>
      <c r="H183" s="121">
        <f>VLOOKUP($B183,dongia1,DG!$F$5,)</f>
        <v>0</v>
      </c>
      <c r="I183" s="160"/>
      <c r="J183" s="121">
        <f>VLOOKUP($B183,dongia1,DG!$G$5,)</f>
        <v>916.64</v>
      </c>
      <c r="K183" s="121">
        <f>VLOOKUP($B183,dongia1,DG!$H$5,)</f>
        <v>0</v>
      </c>
      <c r="L183" s="39">
        <f t="shared" si="45"/>
        <v>0</v>
      </c>
      <c r="M183" s="39">
        <f t="shared" si="46"/>
        <v>0</v>
      </c>
      <c r="N183" s="39">
        <f t="shared" si="47"/>
        <v>0</v>
      </c>
      <c r="O183" s="39">
        <f t="shared" si="48"/>
        <v>0</v>
      </c>
      <c r="P183" s="161"/>
    </row>
    <row r="184" spans="1:16" s="34" customFormat="1">
      <c r="A184" s="29" t="str">
        <f t="shared" si="21"/>
        <v/>
      </c>
      <c r="B184" s="159" t="s">
        <v>569</v>
      </c>
      <c r="C184" s="119"/>
      <c r="D184" s="120" t="str">
        <f>VLOOKUP($B184,dongia1,DG!$B$5,)</f>
        <v>AA.21431</v>
      </c>
      <c r="E184" s="151" t="str">
        <f>VLOOKUP($B184,dongia1,DG!$C$5,)&amp;" 0,7m2/m"</f>
        <v>Pha mặt đường đá dăm, nhựa, bê tông 0,7m2/m</v>
      </c>
      <c r="F184" s="120" t="str">
        <f>VLOOKUP($B184,dongia1,DG!$D$5,)</f>
        <v>m3</v>
      </c>
      <c r="G184" s="74">
        <f>G174*0.7</f>
        <v>0</v>
      </c>
      <c r="H184" s="121">
        <f>VLOOKUP($B184,dongia1,DG!$F$5,)</f>
        <v>328703</v>
      </c>
      <c r="I184" s="160"/>
      <c r="J184" s="121">
        <f>VLOOKUP($B184,dongia1,DG!$G$5,)</f>
        <v>0</v>
      </c>
      <c r="K184" s="121">
        <f>VLOOKUP($B184,dongia1,DG!$H$5,)</f>
        <v>0</v>
      </c>
      <c r="L184" s="39">
        <f t="shared" si="45"/>
        <v>0</v>
      </c>
      <c r="M184" s="39">
        <f t="shared" si="46"/>
        <v>0</v>
      </c>
      <c r="N184" s="39">
        <f t="shared" si="47"/>
        <v>0</v>
      </c>
      <c r="O184" s="39">
        <f t="shared" si="48"/>
        <v>0</v>
      </c>
      <c r="P184" s="161"/>
    </row>
    <row r="185" spans="1:16" s="34" customFormat="1">
      <c r="A185" s="29" t="str">
        <f t="shared" ref="A185:A248" si="49">IF(G185=0,"",1)</f>
        <v/>
      </c>
      <c r="B185" s="159" t="s">
        <v>1498</v>
      </c>
      <c r="C185" s="119"/>
      <c r="D185" s="120" t="str">
        <f>VLOOKUP($B185,dongia1,DG!$B$5,)</f>
        <v>AB.66112</v>
      </c>
      <c r="E185" s="151" t="str">
        <f>VLOOKUP($B185,dongia1,DG!$C$5,)&amp;" + ñaép ñaù"</f>
        <v>Rải cát đệm (độ chặt K=0,9) + ñaép ñaù</v>
      </c>
      <c r="F185" s="120" t="str">
        <f>VLOOKUP($B185,dongia1,DG!$D$5,)</f>
        <v>m3</v>
      </c>
      <c r="G185" s="74">
        <f>G176+G177+G178</f>
        <v>0</v>
      </c>
      <c r="H185" s="121">
        <f>VLOOKUP($B185,dongia1,DG!$F$5,)</f>
        <v>0</v>
      </c>
      <c r="I185" s="160"/>
      <c r="J185" s="121">
        <f>VLOOKUP($B185,dongia1,DG!$G$5,)</f>
        <v>315277.5</v>
      </c>
      <c r="K185" s="121">
        <f>VLOOKUP($B185,dongia1,DG!$H$5,)</f>
        <v>0</v>
      </c>
      <c r="L185" s="39">
        <f t="shared" si="45"/>
        <v>0</v>
      </c>
      <c r="M185" s="39">
        <f t="shared" si="46"/>
        <v>0</v>
      </c>
      <c r="N185" s="39">
        <f t="shared" si="47"/>
        <v>0</v>
      </c>
      <c r="O185" s="39">
        <f t="shared" si="48"/>
        <v>0</v>
      </c>
      <c r="P185" s="161"/>
    </row>
    <row r="186" spans="1:16" s="34" customFormat="1" ht="27.6">
      <c r="A186" s="29" t="str">
        <f t="shared" si="49"/>
        <v/>
      </c>
      <c r="B186" s="159" t="s">
        <v>291</v>
      </c>
      <c r="C186" s="119"/>
      <c r="D186" s="120" t="str">
        <f>VLOOKUP($B186,dongia1,DG!$B$5,)</f>
        <v>AB.11613</v>
      </c>
      <c r="E186" s="151" t="str">
        <f>VLOOKUP($B186,dongia1,DG!$C$5,)&amp;" : (0,438+0,188)m3/m"</f>
        <v>Đào mương cáp ngầm đất cấp 3 có mở ta luy : (0,438+0,188)m3/m</v>
      </c>
      <c r="F186" s="120" t="str">
        <f>VLOOKUP($B186,dongia1,DG!$D$5,)</f>
        <v>m3</v>
      </c>
      <c r="G186" s="74">
        <f>G174*(0.438+0.188)</f>
        <v>0</v>
      </c>
      <c r="H186" s="121">
        <f>VLOOKUP($B186,dongia1,DG!$F$5,)</f>
        <v>0</v>
      </c>
      <c r="I186" s="160"/>
      <c r="J186" s="121">
        <f>VLOOKUP($B186,dongia1,DG!$G$5,)</f>
        <v>640731.36</v>
      </c>
      <c r="K186" s="121">
        <f>VLOOKUP($B186,dongia1,DG!$H$5,)</f>
        <v>0</v>
      </c>
      <c r="L186" s="39">
        <f t="shared" si="45"/>
        <v>0</v>
      </c>
      <c r="M186" s="39">
        <f t="shared" si="46"/>
        <v>0</v>
      </c>
      <c r="N186" s="39">
        <f t="shared" si="47"/>
        <v>0</v>
      </c>
      <c r="O186" s="39">
        <f t="shared" si="48"/>
        <v>0</v>
      </c>
      <c r="P186" s="161"/>
    </row>
    <row r="187" spans="1:16" s="34" customFormat="1">
      <c r="A187" s="29" t="str">
        <f t="shared" si="49"/>
        <v/>
      </c>
      <c r="B187" s="159" t="s">
        <v>568</v>
      </c>
      <c r="C187" s="119"/>
      <c r="D187" s="120" t="str">
        <f>VLOOKUP($B187,dongia1,DG!$B$5,)</f>
        <v>ED.2005</v>
      </c>
      <c r="E187" s="151" t="str">
        <f>VLOOKUP($B187,dongia1,DG!$C$5,)&amp;" 0,7m2/m"</f>
        <v>Tái lập bêtông nhựa nóng hạt thô 7mm 0,7m2/m</v>
      </c>
      <c r="F187" s="120" t="str">
        <f>VLOOKUP($B187,dongia1,DG!$D$5,)</f>
        <v>m2</v>
      </c>
      <c r="G187" s="74">
        <f>G174*0.7</f>
        <v>0</v>
      </c>
      <c r="H187" s="121">
        <f>VLOOKUP($B187,dongia1,DG!$F$5,)</f>
        <v>0</v>
      </c>
      <c r="I187" s="160"/>
      <c r="J187" s="121">
        <f>VLOOKUP($B187,dongia1,DG!$G$5,)</f>
        <v>338</v>
      </c>
      <c r="K187" s="121">
        <f>VLOOKUP($B187,dongia1,DG!$H$5,)</f>
        <v>1269</v>
      </c>
      <c r="L187" s="39">
        <f t="shared" si="45"/>
        <v>0</v>
      </c>
      <c r="M187" s="39">
        <f t="shared" si="46"/>
        <v>0</v>
      </c>
      <c r="N187" s="39">
        <f t="shared" si="47"/>
        <v>0</v>
      </c>
      <c r="O187" s="39">
        <f t="shared" si="48"/>
        <v>0</v>
      </c>
      <c r="P187" s="161"/>
    </row>
    <row r="188" spans="1:16" s="61" customFormat="1" outlineLevel="1">
      <c r="A188" s="29" t="str">
        <f t="shared" si="49"/>
        <v/>
      </c>
      <c r="B188" s="184" t="s">
        <v>1956</v>
      </c>
      <c r="C188" s="166">
        <f>IF(G188&gt;0,C174+1,C174)</f>
        <v>0</v>
      </c>
      <c r="D188" s="167"/>
      <c r="E188" s="168" t="s">
        <v>3818</v>
      </c>
      <c r="F188" s="169" t="s">
        <v>3819</v>
      </c>
      <c r="G188" s="67">
        <f>$G$3</f>
        <v>0</v>
      </c>
      <c r="H188" s="170"/>
      <c r="I188" s="170"/>
      <c r="J188" s="172"/>
      <c r="K188" s="172"/>
      <c r="L188" s="64">
        <f>H188*$G188</f>
        <v>0</v>
      </c>
      <c r="M188" s="64">
        <f>I188*$G188</f>
        <v>0</v>
      </c>
      <c r="N188" s="64">
        <f>J188*$G188</f>
        <v>0</v>
      </c>
      <c r="O188" s="64">
        <f>K188*$G188</f>
        <v>0</v>
      </c>
      <c r="P188" s="173"/>
    </row>
    <row r="189" spans="1:16" s="34" customFormat="1" ht="14.4" outlineLevel="1">
      <c r="A189" s="29" t="str">
        <f t="shared" si="49"/>
        <v/>
      </c>
      <c r="B189" s="109"/>
      <c r="C189" s="112"/>
      <c r="D189" s="185"/>
      <c r="E189" s="174" t="s">
        <v>3378</v>
      </c>
      <c r="F189" s="146"/>
      <c r="G189" s="68"/>
      <c r="H189" s="147"/>
      <c r="I189" s="147"/>
      <c r="J189" s="149"/>
      <c r="K189" s="147"/>
      <c r="L189" s="66"/>
      <c r="M189" s="66"/>
      <c r="N189" s="66"/>
      <c r="O189" s="66"/>
      <c r="P189" s="150"/>
    </row>
    <row r="190" spans="1:16" s="34" customFormat="1">
      <c r="A190" s="29" t="str">
        <f t="shared" si="49"/>
        <v/>
      </c>
      <c r="B190" s="159" t="s">
        <v>1496</v>
      </c>
      <c r="C190" s="119"/>
      <c r="D190" s="120"/>
      <c r="E190" s="151" t="str">
        <f>VLOOKUP($B190,dongia1,DG!$C$5,)</f>
        <v>Tấm nilông màu cảnh báo</v>
      </c>
      <c r="F190" s="120" t="str">
        <f>VLOOKUP($B190,dongia1,DG!$D$5,)</f>
        <v>m2</v>
      </c>
      <c r="G190" s="73">
        <f>2*G188</f>
        <v>0</v>
      </c>
      <c r="H190" s="121">
        <f>VLOOKUP($B190,dongia1,DG!$F$5,)</f>
        <v>10000</v>
      </c>
      <c r="I190" s="160"/>
      <c r="J190" s="121"/>
      <c r="K190" s="121">
        <f>VLOOKUP($B190,dongia1,DG!$H$5,)</f>
        <v>0</v>
      </c>
      <c r="L190" s="39">
        <f>H190*$G190</f>
        <v>0</v>
      </c>
      <c r="M190" s="39">
        <f>I190*$G190</f>
        <v>0</v>
      </c>
      <c r="N190" s="39">
        <f>J190*$G190</f>
        <v>0</v>
      </c>
      <c r="O190" s="39">
        <f>K190*$G190</f>
        <v>0</v>
      </c>
      <c r="P190" s="161"/>
    </row>
    <row r="191" spans="1:16" s="34" customFormat="1">
      <c r="A191" s="29" t="str">
        <f t="shared" si="49"/>
        <v/>
      </c>
      <c r="B191" s="159" t="s">
        <v>1495</v>
      </c>
      <c r="C191" s="119"/>
      <c r="D191" s="120"/>
      <c r="E191" s="151" t="str">
        <f>VLOOKUP($B191,dongia1,DG!$C$5,)</f>
        <v>Gạch tàu</v>
      </c>
      <c r="F191" s="120" t="str">
        <f>VLOOKUP($B191,dongia1,DG!$D$5,)</f>
        <v>viên</v>
      </c>
      <c r="G191" s="74">
        <f>3*G188</f>
        <v>0</v>
      </c>
      <c r="H191" s="121">
        <f>VLOOKUP($B191,dongia1,DG!$F$5,)</f>
        <v>7000</v>
      </c>
      <c r="I191" s="160"/>
      <c r="J191" s="121"/>
      <c r="K191" s="121">
        <f>VLOOKUP($B191,dongia1,DG!$H$5,)</f>
        <v>0</v>
      </c>
      <c r="L191" s="39">
        <f t="shared" ref="L191:L201" si="50">H191*$G191</f>
        <v>0</v>
      </c>
      <c r="M191" s="39">
        <f t="shared" ref="M191:M201" si="51">I191*$G191</f>
        <v>0</v>
      </c>
      <c r="N191" s="39">
        <f t="shared" ref="N191:N201" si="52">J191*$G191</f>
        <v>0</v>
      </c>
      <c r="O191" s="39">
        <f t="shared" ref="O191:O201" si="53">K191*$G191</f>
        <v>0</v>
      </c>
      <c r="P191" s="161"/>
    </row>
    <row r="192" spans="1:16" s="34" customFormat="1">
      <c r="A192" s="29" t="str">
        <f t="shared" si="49"/>
        <v/>
      </c>
      <c r="B192" s="159" t="s">
        <v>1092</v>
      </c>
      <c r="C192" s="119"/>
      <c r="D192" s="120"/>
      <c r="E192" s="151" t="str">
        <f>VLOOKUP($B192,dongia1,DG!$C$5,)&amp;" (ñònh möùc x 1,22)"</f>
        <v>Cát san lắp (ñònh möùc x 1,22)</v>
      </c>
      <c r="F192" s="120" t="str">
        <f>VLOOKUP($B192,dongia1,DG!$D$5,)</f>
        <v>m3</v>
      </c>
      <c r="G192" s="74">
        <f>0.36*G188*1.22</f>
        <v>0</v>
      </c>
      <c r="H192" s="121">
        <f>VLOOKUP($B192,dongia1,DG!$F$5,)</f>
        <v>100000</v>
      </c>
      <c r="I192" s="160"/>
      <c r="J192" s="121"/>
      <c r="K192" s="121">
        <f>VLOOKUP($B192,dongia1,DG!$H$5,)</f>
        <v>0</v>
      </c>
      <c r="L192" s="39">
        <f>H192*$G192</f>
        <v>0</v>
      </c>
      <c r="M192" s="39">
        <f>I192*$G192</f>
        <v>0</v>
      </c>
      <c r="N192" s="39">
        <f>J192*$G192</f>
        <v>0</v>
      </c>
      <c r="O192" s="39">
        <f>K192*$G192</f>
        <v>0</v>
      </c>
      <c r="P192" s="161"/>
    </row>
    <row r="193" spans="1:16" s="34" customFormat="1">
      <c r="A193" s="29" t="str">
        <f t="shared" si="49"/>
        <v/>
      </c>
      <c r="B193" s="159" t="s">
        <v>1497</v>
      </c>
      <c r="C193" s="119"/>
      <c r="D193" s="120"/>
      <c r="E193" s="151" t="str">
        <f>VLOOKUP($B193,dongia1,DG!$C$5,)</f>
        <v>Ống PVC D168 dày 7,0mm</v>
      </c>
      <c r="F193" s="120" t="str">
        <f>VLOOKUP($B193,dongia1,DG!$D$5,)</f>
        <v>m</v>
      </c>
      <c r="G193" s="74">
        <f>2*G188</f>
        <v>0</v>
      </c>
      <c r="H193" s="121">
        <f>VLOOKUP($B193,dongia1,DG!$F$5,)</f>
        <v>226800</v>
      </c>
      <c r="I193" s="160"/>
      <c r="J193" s="121"/>
      <c r="K193" s="121">
        <f>VLOOKUP($B193,dongia1,DG!$H$5,)</f>
        <v>0</v>
      </c>
      <c r="L193" s="39">
        <f t="shared" si="50"/>
        <v>0</v>
      </c>
      <c r="M193" s="39">
        <f t="shared" si="51"/>
        <v>0</v>
      </c>
      <c r="N193" s="39">
        <f t="shared" si="52"/>
        <v>0</v>
      </c>
      <c r="O193" s="39">
        <f t="shared" si="53"/>
        <v>0</v>
      </c>
      <c r="P193" s="161"/>
    </row>
    <row r="194" spans="1:16" s="34" customFormat="1">
      <c r="A194" s="29" t="str">
        <f t="shared" si="49"/>
        <v/>
      </c>
      <c r="B194" s="159" t="s">
        <v>927</v>
      </c>
      <c r="C194" s="119"/>
      <c r="D194" s="120" t="str">
        <f>VLOOKUP($B194,dongia1,DG!$B$5,)</f>
        <v>D4.1413</v>
      </c>
      <c r="E194" s="151" t="str">
        <f>VLOOKUP($B194,dongia1,DG!$C$5,)</f>
        <v>Lắp ống nhựa PVC D&lt;=200mm</v>
      </c>
      <c r="F194" s="120" t="str">
        <f>VLOOKUP($B194,dongia1,DG!$D$5,)</f>
        <v>mét</v>
      </c>
      <c r="G194" s="74">
        <f>+G193</f>
        <v>0</v>
      </c>
      <c r="H194" s="121"/>
      <c r="I194" s="160"/>
      <c r="J194" s="121">
        <f>VLOOKUP($B194,dongia1,DG!$G$5,)</f>
        <v>106616.73</v>
      </c>
      <c r="K194" s="121">
        <f>VLOOKUP($B194,dongia1,DG!$H$5,)</f>
        <v>0</v>
      </c>
      <c r="L194" s="39">
        <f t="shared" si="50"/>
        <v>0</v>
      </c>
      <c r="M194" s="39">
        <f t="shared" si="51"/>
        <v>0</v>
      </c>
      <c r="N194" s="39">
        <f t="shared" si="52"/>
        <v>0</v>
      </c>
      <c r="O194" s="39">
        <f t="shared" si="53"/>
        <v>0</v>
      </c>
      <c r="P194" s="161"/>
    </row>
    <row r="195" spans="1:16" s="34" customFormat="1">
      <c r="A195" s="29" t="str">
        <f t="shared" si="49"/>
        <v/>
      </c>
      <c r="B195" s="159" t="s">
        <v>1498</v>
      </c>
      <c r="C195" s="119"/>
      <c r="D195" s="120" t="str">
        <f>VLOOKUP($B195,dongia1,DG!$B$5,)</f>
        <v>AB.66112</v>
      </c>
      <c r="E195" s="151" t="str">
        <f>VLOOKUP($B195,dongia1,DG!$C$5,)</f>
        <v>Rải cát đệm (độ chặt K=0,9)</v>
      </c>
      <c r="F195" s="120" t="str">
        <f>VLOOKUP($B195,dongia1,DG!$D$5,)</f>
        <v>m3</v>
      </c>
      <c r="G195" s="74">
        <f>+G192</f>
        <v>0</v>
      </c>
      <c r="H195" s="121"/>
      <c r="I195" s="160"/>
      <c r="J195" s="121">
        <f>VLOOKUP($B195,dongia1,DG!$G$5,)</f>
        <v>315277.5</v>
      </c>
      <c r="K195" s="121">
        <f>VLOOKUP($B195,dongia1,DG!$H$5,)</f>
        <v>0</v>
      </c>
      <c r="L195" s="39">
        <f t="shared" si="50"/>
        <v>0</v>
      </c>
      <c r="M195" s="39">
        <f t="shared" si="51"/>
        <v>0</v>
      </c>
      <c r="N195" s="39">
        <f t="shared" si="52"/>
        <v>0</v>
      </c>
      <c r="O195" s="39">
        <f t="shared" si="53"/>
        <v>0</v>
      </c>
      <c r="P195" s="161"/>
    </row>
    <row r="196" spans="1:16" s="34" customFormat="1">
      <c r="A196" s="29" t="str">
        <f t="shared" si="49"/>
        <v/>
      </c>
      <c r="B196" s="159" t="s">
        <v>856</v>
      </c>
      <c r="C196" s="119"/>
      <c r="D196" s="120" t="str">
        <f>VLOOKUP($B196,dongia1,DG!$B$5,)</f>
        <v>03.3143</v>
      </c>
      <c r="E196" s="151" t="str">
        <f>VLOOKUP($B196,dongia1,DG!$C$5,)</f>
        <v>Đào mương cáp ngầm đất cấp 3 không mở ta luy</v>
      </c>
      <c r="F196" s="120" t="str">
        <f>VLOOKUP($B196,dongia1,DG!$D$5,)</f>
        <v>m3</v>
      </c>
      <c r="G196" s="74">
        <f>0.6*G188</f>
        <v>0</v>
      </c>
      <c r="H196" s="121"/>
      <c r="I196" s="160"/>
      <c r="J196" s="121">
        <f>VLOOKUP($B196,dongia1,DG!$G$5,)</f>
        <v>328265</v>
      </c>
      <c r="K196" s="121">
        <f>VLOOKUP($B196,dongia1,DG!$H$5,)</f>
        <v>0</v>
      </c>
      <c r="L196" s="39">
        <f t="shared" si="50"/>
        <v>0</v>
      </c>
      <c r="M196" s="39">
        <f t="shared" si="51"/>
        <v>0</v>
      </c>
      <c r="N196" s="39">
        <f t="shared" si="52"/>
        <v>0</v>
      </c>
      <c r="O196" s="39">
        <f t="shared" si="53"/>
        <v>0</v>
      </c>
      <c r="P196" s="161"/>
    </row>
    <row r="197" spans="1:16" s="34" customFormat="1">
      <c r="A197" s="29" t="str">
        <f t="shared" si="49"/>
        <v/>
      </c>
      <c r="B197" s="159" t="s">
        <v>1906</v>
      </c>
      <c r="C197" s="119"/>
      <c r="D197" s="120" t="str">
        <f>VLOOKUP($B197,dongia1,DG!$B$5,)</f>
        <v>AB.65110</v>
      </c>
      <c r="E197" s="151" t="str">
        <f>VLOOKUP($B197,dongia1,DG!$C$5,)</f>
        <v>Đắp đất mương cáp K=0,9</v>
      </c>
      <c r="F197" s="120" t="str">
        <f>VLOOKUP($B197,dongia1,DG!$D$5,)</f>
        <v>m3</v>
      </c>
      <c r="G197" s="74">
        <f>0.2*G188</f>
        <v>0</v>
      </c>
      <c r="H197" s="121"/>
      <c r="I197" s="160"/>
      <c r="J197" s="121">
        <f>VLOOKUP($B197,dongia1,DG!$G$5,)</f>
        <v>21935.133999999998</v>
      </c>
      <c r="K197" s="121">
        <f>VLOOKUP($B197,dongia1,DG!$H$5,)</f>
        <v>0</v>
      </c>
      <c r="L197" s="39">
        <f t="shared" si="50"/>
        <v>0</v>
      </c>
      <c r="M197" s="39">
        <f t="shared" si="51"/>
        <v>0</v>
      </c>
      <c r="N197" s="39">
        <f t="shared" si="52"/>
        <v>0</v>
      </c>
      <c r="O197" s="39">
        <f t="shared" si="53"/>
        <v>0</v>
      </c>
      <c r="P197" s="161"/>
    </row>
    <row r="198" spans="1:16" s="34" customFormat="1">
      <c r="A198" s="29" t="str">
        <f t="shared" si="49"/>
        <v/>
      </c>
      <c r="B198" s="159" t="s">
        <v>643</v>
      </c>
      <c r="C198" s="119"/>
      <c r="D198" s="120">
        <f>VLOOKUP($B198,dongia1,DG!$B$5,)</f>
        <v>0</v>
      </c>
      <c r="E198" s="151" t="str">
        <f>VLOOKUP($B198,dongia1,DG!$C$5,)</f>
        <v>Kẹp ép WR cỡ dây 95mm2</v>
      </c>
      <c r="F198" s="120" t="str">
        <f>VLOOKUP($B198,dongia1,DG!$D$5,)</f>
        <v>cái</v>
      </c>
      <c r="G198" s="74"/>
      <c r="H198" s="121">
        <f>VLOOKUP($B198,dongia1,DG!$F$5,)</f>
        <v>13000</v>
      </c>
      <c r="I198" s="160"/>
      <c r="J198" s="121">
        <f>VLOOKUP($B198,dongia1,DG!$G$5,)</f>
        <v>0</v>
      </c>
      <c r="K198" s="121">
        <f>VLOOKUP($B198,dongia1,DG!$H$5,)</f>
        <v>0</v>
      </c>
      <c r="L198" s="39">
        <f t="shared" si="50"/>
        <v>0</v>
      </c>
      <c r="M198" s="39">
        <f t="shared" si="51"/>
        <v>0</v>
      </c>
      <c r="N198" s="39">
        <f t="shared" si="52"/>
        <v>0</v>
      </c>
      <c r="O198" s="39">
        <f t="shared" si="53"/>
        <v>0</v>
      </c>
      <c r="P198" s="161"/>
    </row>
    <row r="199" spans="1:16" s="34" customFormat="1">
      <c r="A199" s="29" t="str">
        <f t="shared" si="49"/>
        <v/>
      </c>
      <c r="B199" s="159" t="s">
        <v>274</v>
      </c>
      <c r="C199" s="119"/>
      <c r="D199" s="120" t="str">
        <f>VLOOKUP($B199,dongia1,DG!$B$5,)</f>
        <v>D4.1205</v>
      </c>
      <c r="E199" s="151" t="str">
        <f>VLOOKUP($B199,dongia1,DG!$C$5,)</f>
        <v>Ông sắt tráng kẽm D114</v>
      </c>
      <c r="F199" s="120" t="str">
        <f>VLOOKUP($B199,dongia1,DG!$D$5,)</f>
        <v>mét</v>
      </c>
      <c r="G199" s="74"/>
      <c r="H199" s="121">
        <f>VLOOKUP($B199,dongia1,DG!$F$5,)</f>
        <v>146000</v>
      </c>
      <c r="I199" s="160"/>
      <c r="J199" s="121">
        <f>VLOOKUP($B199,dongia1,DG!$G$5,)</f>
        <v>127101.65849999999</v>
      </c>
      <c r="K199" s="121">
        <f>VLOOKUP($B199,dongia1,DG!$H$5,)</f>
        <v>0</v>
      </c>
      <c r="L199" s="39">
        <f t="shared" si="50"/>
        <v>0</v>
      </c>
      <c r="M199" s="39">
        <f t="shared" si="51"/>
        <v>0</v>
      </c>
      <c r="N199" s="39">
        <f t="shared" si="52"/>
        <v>0</v>
      </c>
      <c r="O199" s="39">
        <f t="shared" si="53"/>
        <v>0</v>
      </c>
      <c r="P199" s="161"/>
    </row>
    <row r="200" spans="1:16" s="34" customFormat="1">
      <c r="A200" s="29" t="str">
        <f t="shared" si="49"/>
        <v/>
      </c>
      <c r="B200" s="159" t="s">
        <v>1283</v>
      </c>
      <c r="C200" s="119"/>
      <c r="D200" s="120">
        <f>VLOOKUP($B200,dongia1,DG!$B$5,)</f>
        <v>0</v>
      </c>
      <c r="E200" s="151" t="str">
        <f>VLOOKUP($B200,dongia1,DG!$C$5,)&amp;": 2,5m/oáng"</f>
        <v>Ống đàn hồi 114 (Ruột gà): 2,5m/oáng</v>
      </c>
      <c r="F200" s="120" t="str">
        <f>VLOOKUP($B200,dongia1,DG!$D$5,)</f>
        <v>m</v>
      </c>
      <c r="G200" s="74"/>
      <c r="H200" s="121">
        <f>VLOOKUP($B200,dongia1,DG!$F$5,)</f>
        <v>58700</v>
      </c>
      <c r="I200" s="160"/>
      <c r="J200" s="121">
        <f>VLOOKUP($B200,dongia1,DG!$G$5,)</f>
        <v>0</v>
      </c>
      <c r="K200" s="121">
        <f>VLOOKUP($B200,dongia1,DG!$H$5,)</f>
        <v>0</v>
      </c>
      <c r="L200" s="39">
        <f t="shared" si="50"/>
        <v>0</v>
      </c>
      <c r="M200" s="39">
        <f t="shared" si="51"/>
        <v>0</v>
      </c>
      <c r="N200" s="39">
        <f t="shared" si="52"/>
        <v>0</v>
      </c>
      <c r="O200" s="39">
        <f t="shared" si="53"/>
        <v>0</v>
      </c>
      <c r="P200" s="161"/>
    </row>
    <row r="201" spans="1:16" s="61" customFormat="1" outlineLevel="1">
      <c r="A201" s="29" t="str">
        <f t="shared" si="49"/>
        <v/>
      </c>
      <c r="B201" s="184" t="s">
        <v>1955</v>
      </c>
      <c r="C201" s="166">
        <f>IF(G201&gt;0,C188+1,C188)</f>
        <v>0</v>
      </c>
      <c r="D201" s="167"/>
      <c r="E201" s="168" t="s">
        <v>3820</v>
      </c>
      <c r="F201" s="169" t="s">
        <v>3819</v>
      </c>
      <c r="G201" s="67">
        <f>+$H$3</f>
        <v>0</v>
      </c>
      <c r="H201" s="170"/>
      <c r="I201" s="170"/>
      <c r="J201" s="172"/>
      <c r="K201" s="172"/>
      <c r="L201" s="64">
        <f t="shared" si="50"/>
        <v>0</v>
      </c>
      <c r="M201" s="64">
        <f t="shared" si="51"/>
        <v>0</v>
      </c>
      <c r="N201" s="64">
        <f t="shared" si="52"/>
        <v>0</v>
      </c>
      <c r="O201" s="64">
        <f t="shared" si="53"/>
        <v>0</v>
      </c>
      <c r="P201" s="173"/>
    </row>
    <row r="202" spans="1:16" s="34" customFormat="1" ht="14.4" outlineLevel="1">
      <c r="A202" s="29" t="str">
        <f t="shared" si="49"/>
        <v/>
      </c>
      <c r="B202" s="109"/>
      <c r="C202" s="112"/>
      <c r="D202" s="185"/>
      <c r="E202" s="145" t="s">
        <v>3378</v>
      </c>
      <c r="F202" s="146"/>
      <c r="G202" s="68"/>
      <c r="H202" s="147"/>
      <c r="I202" s="147"/>
      <c r="J202" s="149"/>
      <c r="K202" s="147"/>
      <c r="L202" s="66"/>
      <c r="M202" s="66"/>
      <c r="N202" s="66"/>
      <c r="O202" s="66"/>
      <c r="P202" s="150"/>
    </row>
    <row r="203" spans="1:16" s="34" customFormat="1">
      <c r="A203" s="29" t="str">
        <f t="shared" si="49"/>
        <v/>
      </c>
      <c r="B203" s="159" t="s">
        <v>1496</v>
      </c>
      <c r="C203" s="119"/>
      <c r="D203" s="120"/>
      <c r="E203" s="151" t="str">
        <f>VLOOKUP($B203,dongia1,DG!$C$5,)</f>
        <v>Tấm nilông màu cảnh báo</v>
      </c>
      <c r="F203" s="120" t="str">
        <f>VLOOKUP($B203,dongia1,DG!$D$5,)</f>
        <v>m2</v>
      </c>
      <c r="G203" s="74">
        <f>3*G201</f>
        <v>0</v>
      </c>
      <c r="H203" s="121">
        <f>VLOOKUP($B203,dongia1,DG!$F$5,)</f>
        <v>10000</v>
      </c>
      <c r="I203" s="160"/>
      <c r="J203" s="121"/>
      <c r="K203" s="121">
        <f>VLOOKUP($B203,dongia1,DG!$H$5,)</f>
        <v>0</v>
      </c>
      <c r="L203" s="39">
        <f t="shared" ref="L203:L210" si="54">H203*$G203</f>
        <v>0</v>
      </c>
      <c r="M203" s="39">
        <f t="shared" ref="M203:M210" si="55">I203*$G203</f>
        <v>0</v>
      </c>
      <c r="N203" s="39">
        <f t="shared" ref="N203:N210" si="56">J203*$G203</f>
        <v>0</v>
      </c>
      <c r="O203" s="39">
        <f t="shared" ref="O203:O210" si="57">K203*$G203</f>
        <v>0</v>
      </c>
      <c r="P203" s="161"/>
    </row>
    <row r="204" spans="1:16" s="34" customFormat="1">
      <c r="A204" s="29" t="str">
        <f t="shared" si="49"/>
        <v/>
      </c>
      <c r="B204" s="159" t="s">
        <v>1495</v>
      </c>
      <c r="C204" s="119"/>
      <c r="D204" s="120"/>
      <c r="E204" s="151" t="str">
        <f>VLOOKUP($B204,dongia1,DG!$C$5,)</f>
        <v>Gạch tàu</v>
      </c>
      <c r="F204" s="120" t="str">
        <f>VLOOKUP($B204,dongia1,DG!$D$5,)</f>
        <v>viên</v>
      </c>
      <c r="G204" s="74">
        <f>6*G201</f>
        <v>0</v>
      </c>
      <c r="H204" s="121">
        <f>VLOOKUP($B204,dongia1,DG!$F$5,)</f>
        <v>7000</v>
      </c>
      <c r="I204" s="160"/>
      <c r="J204" s="121"/>
      <c r="K204" s="121">
        <f>VLOOKUP($B204,dongia1,DG!$H$5,)</f>
        <v>0</v>
      </c>
      <c r="L204" s="39">
        <f t="shared" si="54"/>
        <v>0</v>
      </c>
      <c r="M204" s="39">
        <f t="shared" si="55"/>
        <v>0</v>
      </c>
      <c r="N204" s="39">
        <f t="shared" si="56"/>
        <v>0</v>
      </c>
      <c r="O204" s="39">
        <f t="shared" si="57"/>
        <v>0</v>
      </c>
      <c r="P204" s="161"/>
    </row>
    <row r="205" spans="1:16" s="34" customFormat="1">
      <c r="A205" s="29" t="str">
        <f t="shared" si="49"/>
        <v/>
      </c>
      <c r="B205" s="159" t="s">
        <v>1092</v>
      </c>
      <c r="C205" s="119"/>
      <c r="D205" s="120"/>
      <c r="E205" s="151" t="str">
        <f>VLOOKUP($B205,dongia1,DG!$C$5,)&amp;" (ñònh möùc x 1,22)"</f>
        <v>Cát san lắp (ñònh möùc x 1,22)</v>
      </c>
      <c r="F205" s="120" t="str">
        <f>VLOOKUP($B205,dongia1,DG!$D$5,)</f>
        <v>m3</v>
      </c>
      <c r="G205" s="74">
        <f>0.49*G201*1.22</f>
        <v>0</v>
      </c>
      <c r="H205" s="121">
        <f>VLOOKUP($B205,dongia1,DG!$F$5,)</f>
        <v>100000</v>
      </c>
      <c r="I205" s="160"/>
      <c r="J205" s="121"/>
      <c r="K205" s="121">
        <f>VLOOKUP($B205,dongia1,DG!$H$5,)</f>
        <v>0</v>
      </c>
      <c r="L205" s="39">
        <f t="shared" si="54"/>
        <v>0</v>
      </c>
      <c r="M205" s="39">
        <f t="shared" si="55"/>
        <v>0</v>
      </c>
      <c r="N205" s="39">
        <f t="shared" si="56"/>
        <v>0</v>
      </c>
      <c r="O205" s="39">
        <f t="shared" si="57"/>
        <v>0</v>
      </c>
      <c r="P205" s="161"/>
    </row>
    <row r="206" spans="1:16" s="34" customFormat="1">
      <c r="A206" s="29" t="str">
        <f t="shared" si="49"/>
        <v/>
      </c>
      <c r="B206" s="159" t="s">
        <v>1497</v>
      </c>
      <c r="C206" s="119"/>
      <c r="D206" s="120"/>
      <c r="E206" s="151" t="str">
        <f>VLOOKUP($B206,dongia1,DG!$C$5,)</f>
        <v>Ống PVC D168 dày 7,0mm</v>
      </c>
      <c r="F206" s="120" t="str">
        <f>VLOOKUP($B206,dongia1,DG!$D$5,)</f>
        <v>m</v>
      </c>
      <c r="G206" s="74">
        <f>3*G201</f>
        <v>0</v>
      </c>
      <c r="H206" s="121">
        <f>VLOOKUP($B206,dongia1,DG!$F$5,)</f>
        <v>226800</v>
      </c>
      <c r="I206" s="160"/>
      <c r="J206" s="121"/>
      <c r="K206" s="121">
        <f>VLOOKUP($B206,dongia1,DG!$H$5,)</f>
        <v>0</v>
      </c>
      <c r="L206" s="39">
        <f t="shared" si="54"/>
        <v>0</v>
      </c>
      <c r="M206" s="39">
        <f t="shared" si="55"/>
        <v>0</v>
      </c>
      <c r="N206" s="39">
        <f t="shared" si="56"/>
        <v>0</v>
      </c>
      <c r="O206" s="39">
        <f t="shared" si="57"/>
        <v>0</v>
      </c>
      <c r="P206" s="161"/>
    </row>
    <row r="207" spans="1:16" s="34" customFormat="1">
      <c r="A207" s="29" t="str">
        <f t="shared" si="49"/>
        <v/>
      </c>
      <c r="B207" s="159" t="s">
        <v>927</v>
      </c>
      <c r="C207" s="119"/>
      <c r="D207" s="120" t="str">
        <f>VLOOKUP($B207,dongia1,DG!$B$5,)</f>
        <v>D4.1413</v>
      </c>
      <c r="E207" s="151" t="str">
        <f>VLOOKUP($B207,dongia1,DG!$C$5,)</f>
        <v>Lắp ống nhựa PVC D&lt;=200mm</v>
      </c>
      <c r="F207" s="120" t="str">
        <f>VLOOKUP($B207,dongia1,DG!$D$5,)</f>
        <v>mét</v>
      </c>
      <c r="G207" s="74">
        <f>+G206</f>
        <v>0</v>
      </c>
      <c r="H207" s="121"/>
      <c r="I207" s="160"/>
      <c r="J207" s="121">
        <f>VLOOKUP($B207,dongia1,DG!$G$5,)</f>
        <v>106616.73</v>
      </c>
      <c r="K207" s="121">
        <f>VLOOKUP($B207,dongia1,DG!$H$5,)</f>
        <v>0</v>
      </c>
      <c r="L207" s="39">
        <f t="shared" si="54"/>
        <v>0</v>
      </c>
      <c r="M207" s="39">
        <f t="shared" si="55"/>
        <v>0</v>
      </c>
      <c r="N207" s="39">
        <f t="shared" si="56"/>
        <v>0</v>
      </c>
      <c r="O207" s="39">
        <f t="shared" si="57"/>
        <v>0</v>
      </c>
      <c r="P207" s="161"/>
    </row>
    <row r="208" spans="1:16" s="34" customFormat="1">
      <c r="A208" s="29" t="str">
        <f t="shared" si="49"/>
        <v/>
      </c>
      <c r="B208" s="159" t="s">
        <v>1498</v>
      </c>
      <c r="C208" s="119"/>
      <c r="D208" s="120" t="str">
        <f>VLOOKUP($B208,dongia1,DG!$B$5,)</f>
        <v>AB.66112</v>
      </c>
      <c r="E208" s="151" t="str">
        <f>VLOOKUP($B208,dongia1,DG!$C$5,)</f>
        <v>Rải cát đệm (độ chặt K=0,9)</v>
      </c>
      <c r="F208" s="120" t="str">
        <f>VLOOKUP($B208,dongia1,DG!$D$5,)</f>
        <v>m3</v>
      </c>
      <c r="G208" s="74">
        <f>+G205</f>
        <v>0</v>
      </c>
      <c r="H208" s="121"/>
      <c r="I208" s="160"/>
      <c r="J208" s="121">
        <f>VLOOKUP($B208,dongia1,DG!$G$5,)</f>
        <v>315277.5</v>
      </c>
      <c r="K208" s="121">
        <f>VLOOKUP($B208,dongia1,DG!$H$5,)</f>
        <v>0</v>
      </c>
      <c r="L208" s="39">
        <f t="shared" si="54"/>
        <v>0</v>
      </c>
      <c r="M208" s="39">
        <f t="shared" si="55"/>
        <v>0</v>
      </c>
      <c r="N208" s="39">
        <f t="shared" si="56"/>
        <v>0</v>
      </c>
      <c r="O208" s="39">
        <f t="shared" si="57"/>
        <v>0</v>
      </c>
      <c r="P208" s="161"/>
    </row>
    <row r="209" spans="1:16" s="34" customFormat="1">
      <c r="A209" s="29" t="str">
        <f t="shared" si="49"/>
        <v/>
      </c>
      <c r="B209" s="159" t="s">
        <v>856</v>
      </c>
      <c r="C209" s="119"/>
      <c r="D209" s="120" t="str">
        <f>VLOOKUP($B209,dongia1,DG!$B$5,)</f>
        <v>03.3143</v>
      </c>
      <c r="E209" s="151" t="str">
        <f>VLOOKUP($B209,dongia1,DG!$C$5,)</f>
        <v>Đào mương cáp ngầm đất cấp 3 không mở ta luy</v>
      </c>
      <c r="F209" s="120" t="str">
        <f>VLOOKUP($B209,dongia1,DG!$D$5,)</f>
        <v>m3</v>
      </c>
      <c r="G209" s="74">
        <f>0.84*G201</f>
        <v>0</v>
      </c>
      <c r="H209" s="121"/>
      <c r="I209" s="160"/>
      <c r="J209" s="121">
        <f>VLOOKUP($B209,dongia1,DG!$G$5,)</f>
        <v>328265</v>
      </c>
      <c r="K209" s="121">
        <f>VLOOKUP($B209,dongia1,DG!$H$5,)</f>
        <v>0</v>
      </c>
      <c r="L209" s="39">
        <f t="shared" si="54"/>
        <v>0</v>
      </c>
      <c r="M209" s="39">
        <f t="shared" si="55"/>
        <v>0</v>
      </c>
      <c r="N209" s="39">
        <f t="shared" si="56"/>
        <v>0</v>
      </c>
      <c r="O209" s="39">
        <f t="shared" si="57"/>
        <v>0</v>
      </c>
      <c r="P209" s="161"/>
    </row>
    <row r="210" spans="1:16" s="34" customFormat="1">
      <c r="A210" s="29" t="str">
        <f t="shared" si="49"/>
        <v/>
      </c>
      <c r="B210" s="159" t="s">
        <v>1906</v>
      </c>
      <c r="C210" s="119"/>
      <c r="D210" s="120" t="str">
        <f>VLOOKUP($B210,dongia1,DG!$B$5,)</f>
        <v>AB.65110</v>
      </c>
      <c r="E210" s="151" t="str">
        <f>VLOOKUP($B210,dongia1,DG!$C$5,)</f>
        <v>Đắp đất mương cáp K=0,9</v>
      </c>
      <c r="F210" s="120" t="str">
        <f>VLOOKUP($B210,dongia1,DG!$D$5,)</f>
        <v>m3</v>
      </c>
      <c r="G210" s="74">
        <f>0.28*G201</f>
        <v>0</v>
      </c>
      <c r="H210" s="121"/>
      <c r="I210" s="160"/>
      <c r="J210" s="121">
        <f>VLOOKUP($B210,dongia1,DG!$G$5,)</f>
        <v>21935.133999999998</v>
      </c>
      <c r="K210" s="121">
        <f>VLOOKUP($B210,dongia1,DG!$H$5,)</f>
        <v>0</v>
      </c>
      <c r="L210" s="39">
        <f t="shared" si="54"/>
        <v>0</v>
      </c>
      <c r="M210" s="39">
        <f t="shared" si="55"/>
        <v>0</v>
      </c>
      <c r="N210" s="39">
        <f t="shared" si="56"/>
        <v>0</v>
      </c>
      <c r="O210" s="39">
        <f t="shared" si="57"/>
        <v>0</v>
      </c>
      <c r="P210" s="161"/>
    </row>
    <row r="211" spans="1:16" s="61" customFormat="1" outlineLevel="1">
      <c r="A211" s="29" t="str">
        <f t="shared" si="49"/>
        <v/>
      </c>
      <c r="B211" s="184" t="s">
        <v>1954</v>
      </c>
      <c r="C211" s="166">
        <f>IF(G211&gt;0,C201+1,C201)</f>
        <v>0</v>
      </c>
      <c r="D211" s="167"/>
      <c r="E211" s="168" t="s">
        <v>3821</v>
      </c>
      <c r="F211" s="169" t="s">
        <v>3819</v>
      </c>
      <c r="G211" s="67">
        <f>+$I$3</f>
        <v>0</v>
      </c>
      <c r="H211" s="170"/>
      <c r="I211" s="170"/>
      <c r="J211" s="172"/>
      <c r="K211" s="172"/>
      <c r="L211" s="64">
        <f>H211*$G211</f>
        <v>0</v>
      </c>
      <c r="M211" s="64">
        <f>I211*$G211</f>
        <v>0</v>
      </c>
      <c r="N211" s="64">
        <f>J211*$G211</f>
        <v>0</v>
      </c>
      <c r="O211" s="64">
        <f>K211*$G211</f>
        <v>0</v>
      </c>
      <c r="P211" s="173"/>
    </row>
    <row r="212" spans="1:16" s="34" customFormat="1" ht="14.4" outlineLevel="1">
      <c r="A212" s="29" t="str">
        <f t="shared" si="49"/>
        <v/>
      </c>
      <c r="B212" s="109"/>
      <c r="C212" s="112"/>
      <c r="D212" s="185"/>
      <c r="E212" s="145" t="s">
        <v>3378</v>
      </c>
      <c r="F212" s="146"/>
      <c r="G212" s="68"/>
      <c r="H212" s="147"/>
      <c r="I212" s="147"/>
      <c r="J212" s="149"/>
      <c r="K212" s="147"/>
      <c r="L212" s="66"/>
      <c r="M212" s="66"/>
      <c r="N212" s="66"/>
      <c r="O212" s="66"/>
      <c r="P212" s="150"/>
    </row>
    <row r="213" spans="1:16" s="34" customFormat="1">
      <c r="A213" s="29" t="str">
        <f t="shared" si="49"/>
        <v/>
      </c>
      <c r="B213" s="159" t="s">
        <v>1496</v>
      </c>
      <c r="C213" s="119"/>
      <c r="D213" s="120"/>
      <c r="E213" s="151" t="str">
        <f>VLOOKUP($B213,dongia1,DG!$C$5,)</f>
        <v>Tấm nilông màu cảnh báo</v>
      </c>
      <c r="F213" s="120" t="str">
        <f>VLOOKUP($B213,dongia1,DG!$D$5,)</f>
        <v>m2</v>
      </c>
      <c r="G213" s="74">
        <f>5*G211</f>
        <v>0</v>
      </c>
      <c r="H213" s="121">
        <f>VLOOKUP($B213,dongia1,DG!$F$5,)</f>
        <v>10000</v>
      </c>
      <c r="I213" s="160"/>
      <c r="J213" s="121"/>
      <c r="K213" s="121">
        <f>VLOOKUP($B213,dongia1,DG!$H$5,)</f>
        <v>0</v>
      </c>
      <c r="L213" s="39">
        <f t="shared" ref="L213:L221" si="58">H213*$G213</f>
        <v>0</v>
      </c>
      <c r="M213" s="39">
        <f t="shared" ref="M213:M221" si="59">I213*$G213</f>
        <v>0</v>
      </c>
      <c r="N213" s="39">
        <f t="shared" ref="N213:N221" si="60">J213*$G213</f>
        <v>0</v>
      </c>
      <c r="O213" s="39">
        <f t="shared" ref="O213:O221" si="61">K213*$G213</f>
        <v>0</v>
      </c>
      <c r="P213" s="161"/>
    </row>
    <row r="214" spans="1:16" s="34" customFormat="1">
      <c r="A214" s="29" t="str">
        <f t="shared" si="49"/>
        <v/>
      </c>
      <c r="B214" s="159" t="s">
        <v>1495</v>
      </c>
      <c r="C214" s="119"/>
      <c r="D214" s="120"/>
      <c r="E214" s="151" t="str">
        <f>VLOOKUP($B214,dongia1,DG!$C$5,)</f>
        <v>Gạch tàu</v>
      </c>
      <c r="F214" s="120" t="str">
        <f>VLOOKUP($B214,dongia1,DG!$D$5,)</f>
        <v>viên</v>
      </c>
      <c r="G214" s="74">
        <f>9*G211</f>
        <v>0</v>
      </c>
      <c r="H214" s="121">
        <f>VLOOKUP($B214,dongia1,DG!$F$5,)</f>
        <v>7000</v>
      </c>
      <c r="I214" s="160"/>
      <c r="J214" s="121"/>
      <c r="K214" s="121">
        <f>VLOOKUP($B214,dongia1,DG!$H$5,)</f>
        <v>0</v>
      </c>
      <c r="L214" s="39">
        <f t="shared" si="58"/>
        <v>0</v>
      </c>
      <c r="M214" s="39">
        <f t="shared" si="59"/>
        <v>0</v>
      </c>
      <c r="N214" s="39">
        <f t="shared" si="60"/>
        <v>0</v>
      </c>
      <c r="O214" s="39">
        <f t="shared" si="61"/>
        <v>0</v>
      </c>
      <c r="P214" s="161"/>
    </row>
    <row r="215" spans="1:16" s="34" customFormat="1">
      <c r="A215" s="29" t="str">
        <f t="shared" si="49"/>
        <v/>
      </c>
      <c r="B215" s="159" t="s">
        <v>1092</v>
      </c>
      <c r="C215" s="119"/>
      <c r="D215" s="120"/>
      <c r="E215" s="151" t="str">
        <f>VLOOKUP($B215,dongia1,DG!$C$5,)&amp;" (định mức x 1,22)"</f>
        <v>Cát san lắp (định mức x 1,22)</v>
      </c>
      <c r="F215" s="120" t="str">
        <f>VLOOKUP($B215,dongia1,DG!$D$5,)</f>
        <v>m3</v>
      </c>
      <c r="G215" s="74">
        <f>0.69*G211</f>
        <v>0</v>
      </c>
      <c r="H215" s="121">
        <f>VLOOKUP($B215,dongia1,DG!$F$5,)</f>
        <v>100000</v>
      </c>
      <c r="I215" s="160"/>
      <c r="J215" s="121"/>
      <c r="K215" s="121">
        <f>VLOOKUP($B215,dongia1,DG!$H$5,)</f>
        <v>0</v>
      </c>
      <c r="L215" s="39">
        <f t="shared" si="58"/>
        <v>0</v>
      </c>
      <c r="M215" s="39">
        <f t="shared" si="59"/>
        <v>0</v>
      </c>
      <c r="N215" s="39">
        <f t="shared" si="60"/>
        <v>0</v>
      </c>
      <c r="O215" s="39">
        <f t="shared" si="61"/>
        <v>0</v>
      </c>
      <c r="P215" s="161"/>
    </row>
    <row r="216" spans="1:16" s="34" customFormat="1">
      <c r="A216" s="29" t="str">
        <f t="shared" si="49"/>
        <v/>
      </c>
      <c r="B216" s="159" t="s">
        <v>1497</v>
      </c>
      <c r="C216" s="119"/>
      <c r="D216" s="120"/>
      <c r="E216" s="151" t="str">
        <f>VLOOKUP($B216,dongia1,DG!$C$5,)</f>
        <v>Ống PVC D168 dày 7,0mm</v>
      </c>
      <c r="F216" s="120" t="str">
        <f>VLOOKUP($B216,dongia1,DG!$D$5,)</f>
        <v>m</v>
      </c>
      <c r="G216" s="74">
        <f>4*G211</f>
        <v>0</v>
      </c>
      <c r="H216" s="121">
        <f>VLOOKUP($B216,dongia1,DG!$F$5,)</f>
        <v>226800</v>
      </c>
      <c r="I216" s="160"/>
      <c r="J216" s="121"/>
      <c r="K216" s="121">
        <f>VLOOKUP($B216,dongia1,DG!$H$5,)</f>
        <v>0</v>
      </c>
      <c r="L216" s="39">
        <f t="shared" si="58"/>
        <v>0</v>
      </c>
      <c r="M216" s="39">
        <f t="shared" si="59"/>
        <v>0</v>
      </c>
      <c r="N216" s="39">
        <f t="shared" si="60"/>
        <v>0</v>
      </c>
      <c r="O216" s="39">
        <f t="shared" si="61"/>
        <v>0</v>
      </c>
      <c r="P216" s="161"/>
    </row>
    <row r="217" spans="1:16" s="34" customFormat="1">
      <c r="A217" s="29" t="str">
        <f t="shared" si="49"/>
        <v/>
      </c>
      <c r="B217" s="159" t="s">
        <v>927</v>
      </c>
      <c r="C217" s="119"/>
      <c r="D217" s="120" t="str">
        <f>VLOOKUP($B217,dongia1,DG!$B$5,)</f>
        <v>D4.1413</v>
      </c>
      <c r="E217" s="151" t="str">
        <f>VLOOKUP($B217,dongia1,DG!$C$5,)</f>
        <v>Lắp ống nhựa PVC D&lt;=200mm</v>
      </c>
      <c r="F217" s="120" t="str">
        <f>VLOOKUP($B217,dongia1,DG!$D$5,)</f>
        <v>mét</v>
      </c>
      <c r="G217" s="74">
        <f>+G216</f>
        <v>0</v>
      </c>
      <c r="H217" s="121"/>
      <c r="I217" s="160"/>
      <c r="J217" s="121">
        <f>VLOOKUP($B217,dongia1,DG!$G$5,)</f>
        <v>106616.73</v>
      </c>
      <c r="K217" s="121">
        <f>VLOOKUP($B217,dongia1,DG!$H$5,)</f>
        <v>0</v>
      </c>
      <c r="L217" s="39">
        <f t="shared" si="58"/>
        <v>0</v>
      </c>
      <c r="M217" s="39">
        <f t="shared" si="59"/>
        <v>0</v>
      </c>
      <c r="N217" s="39">
        <f t="shared" si="60"/>
        <v>0</v>
      </c>
      <c r="O217" s="39">
        <f t="shared" si="61"/>
        <v>0</v>
      </c>
      <c r="P217" s="161"/>
    </row>
    <row r="218" spans="1:16" s="34" customFormat="1">
      <c r="A218" s="29" t="str">
        <f t="shared" si="49"/>
        <v/>
      </c>
      <c r="B218" s="159" t="s">
        <v>1498</v>
      </c>
      <c r="C218" s="119"/>
      <c r="D218" s="120" t="str">
        <f>VLOOKUP($B218,dongia1,DG!$B$5,)</f>
        <v>AB.66112</v>
      </c>
      <c r="E218" s="151" t="str">
        <f>VLOOKUP($B218,dongia1,DG!$C$5,)</f>
        <v>Rải cát đệm (độ chặt K=0,9)</v>
      </c>
      <c r="F218" s="120" t="str">
        <f>VLOOKUP($B218,dongia1,DG!$D$5,)</f>
        <v>m3</v>
      </c>
      <c r="G218" s="74">
        <f>+G215</f>
        <v>0</v>
      </c>
      <c r="H218" s="121"/>
      <c r="I218" s="160"/>
      <c r="J218" s="121">
        <f>VLOOKUP($B218,dongia1,DG!$G$5,)</f>
        <v>315277.5</v>
      </c>
      <c r="K218" s="121">
        <f>VLOOKUP($B218,dongia1,DG!$H$5,)</f>
        <v>0</v>
      </c>
      <c r="L218" s="39">
        <f t="shared" si="58"/>
        <v>0</v>
      </c>
      <c r="M218" s="39">
        <f t="shared" si="59"/>
        <v>0</v>
      </c>
      <c r="N218" s="39">
        <f t="shared" si="60"/>
        <v>0</v>
      </c>
      <c r="O218" s="39">
        <f t="shared" si="61"/>
        <v>0</v>
      </c>
      <c r="P218" s="161"/>
    </row>
    <row r="219" spans="1:16" s="34" customFormat="1">
      <c r="A219" s="29" t="str">
        <f t="shared" si="49"/>
        <v/>
      </c>
      <c r="B219" s="159" t="s">
        <v>856</v>
      </c>
      <c r="C219" s="119"/>
      <c r="D219" s="120" t="str">
        <f>VLOOKUP($B219,dongia1,DG!$B$5,)</f>
        <v>03.3143</v>
      </c>
      <c r="E219" s="151" t="str">
        <f>VLOOKUP($B219,dongia1,DG!$C$5,)</f>
        <v>Đào mương cáp ngầm đất cấp 3 không mở ta luy</v>
      </c>
      <c r="F219" s="120" t="str">
        <f>VLOOKUP($B219,dongia1,DG!$D$5,)</f>
        <v>m3</v>
      </c>
      <c r="G219" s="74">
        <f>1.2*G211</f>
        <v>0</v>
      </c>
      <c r="H219" s="121"/>
      <c r="I219" s="160"/>
      <c r="J219" s="121">
        <f>VLOOKUP($B219,dongia1,DG!$G$5,)</f>
        <v>328265</v>
      </c>
      <c r="K219" s="121">
        <f>VLOOKUP($B219,dongia1,DG!$H$5,)</f>
        <v>0</v>
      </c>
      <c r="L219" s="39">
        <f t="shared" si="58"/>
        <v>0</v>
      </c>
      <c r="M219" s="39">
        <f t="shared" si="59"/>
        <v>0</v>
      </c>
      <c r="N219" s="39">
        <f t="shared" si="60"/>
        <v>0</v>
      </c>
      <c r="O219" s="39">
        <f t="shared" si="61"/>
        <v>0</v>
      </c>
      <c r="P219" s="161"/>
    </row>
    <row r="220" spans="1:16" s="34" customFormat="1">
      <c r="A220" s="29" t="str">
        <f t="shared" si="49"/>
        <v/>
      </c>
      <c r="B220" s="159" t="s">
        <v>1906</v>
      </c>
      <c r="C220" s="119"/>
      <c r="D220" s="120" t="str">
        <f>VLOOKUP($B220,dongia1,DG!$B$5,)</f>
        <v>AB.65110</v>
      </c>
      <c r="E220" s="151" t="str">
        <f>VLOOKUP($B220,dongia1,DG!$C$5,)</f>
        <v>Đắp đất mương cáp K=0,9</v>
      </c>
      <c r="F220" s="120" t="str">
        <f>VLOOKUP($B220,dongia1,DG!$D$5,)</f>
        <v>m3</v>
      </c>
      <c r="G220" s="74">
        <f>0.4*G211</f>
        <v>0</v>
      </c>
      <c r="H220" s="121"/>
      <c r="I220" s="160"/>
      <c r="J220" s="121">
        <f>VLOOKUP($B220,dongia1,DG!$G$5,)</f>
        <v>21935.133999999998</v>
      </c>
      <c r="K220" s="121">
        <f>VLOOKUP($B220,dongia1,DG!$H$5,)</f>
        <v>0</v>
      </c>
      <c r="L220" s="39">
        <f t="shared" si="58"/>
        <v>0</v>
      </c>
      <c r="M220" s="39">
        <f t="shared" si="59"/>
        <v>0</v>
      </c>
      <c r="N220" s="39">
        <f t="shared" si="60"/>
        <v>0</v>
      </c>
      <c r="O220" s="39">
        <f t="shared" si="61"/>
        <v>0</v>
      </c>
      <c r="P220" s="161"/>
    </row>
    <row r="221" spans="1:16" s="61" customFormat="1" outlineLevel="1">
      <c r="A221" s="29" t="str">
        <f t="shared" si="49"/>
        <v/>
      </c>
      <c r="B221" s="186"/>
      <c r="C221" s="166">
        <f>IF(G221&gt;0,C211+1,C211)</f>
        <v>0</v>
      </c>
      <c r="D221" s="167"/>
      <c r="E221" s="168" t="s">
        <v>3822</v>
      </c>
      <c r="F221" s="169" t="s">
        <v>3819</v>
      </c>
      <c r="G221" s="67">
        <f>+$I$5</f>
        <v>0</v>
      </c>
      <c r="H221" s="170"/>
      <c r="I221" s="170"/>
      <c r="J221" s="172"/>
      <c r="K221" s="172"/>
      <c r="L221" s="64">
        <f t="shared" si="58"/>
        <v>0</v>
      </c>
      <c r="M221" s="64">
        <f t="shared" si="59"/>
        <v>0</v>
      </c>
      <c r="N221" s="64">
        <f t="shared" si="60"/>
        <v>0</v>
      </c>
      <c r="O221" s="64">
        <f t="shared" si="61"/>
        <v>0</v>
      </c>
      <c r="P221" s="173"/>
    </row>
    <row r="222" spans="1:16" s="34" customFormat="1" ht="14.4" outlineLevel="1">
      <c r="A222" s="29" t="str">
        <f t="shared" si="49"/>
        <v/>
      </c>
      <c r="B222" s="109"/>
      <c r="C222" s="112"/>
      <c r="D222" s="185"/>
      <c r="E222" s="145" t="s">
        <v>3378</v>
      </c>
      <c r="F222" s="146"/>
      <c r="G222" s="68"/>
      <c r="H222" s="147"/>
      <c r="I222" s="147"/>
      <c r="J222" s="149"/>
      <c r="K222" s="147"/>
      <c r="L222" s="66"/>
      <c r="M222" s="66"/>
      <c r="N222" s="66"/>
      <c r="O222" s="66"/>
      <c r="P222" s="150"/>
    </row>
    <row r="223" spans="1:16" s="34" customFormat="1">
      <c r="A223" s="29" t="str">
        <f t="shared" si="49"/>
        <v/>
      </c>
      <c r="B223" s="159" t="s">
        <v>1092</v>
      </c>
      <c r="C223" s="119"/>
      <c r="D223" s="120">
        <f>VLOOKUP($B223,dongia1,DG!$B$5,)</f>
        <v>0</v>
      </c>
      <c r="E223" s="151" t="str">
        <f>VLOOKUP($B223,dongia1,DG!$C$5,)&amp;": 1,24m3/m"</f>
        <v>Cát san lắp: 1,24m3/m</v>
      </c>
      <c r="F223" s="120" t="str">
        <f>VLOOKUP($B223,dongia1,DG!$D$5,)</f>
        <v>m3</v>
      </c>
      <c r="G223" s="74">
        <f>1.24*G221</f>
        <v>0</v>
      </c>
      <c r="H223" s="121">
        <f>VLOOKUP($B223,dongia1,DG!$F$5,)</f>
        <v>100000</v>
      </c>
      <c r="I223" s="160"/>
      <c r="J223" s="121">
        <f>VLOOKUP($B223,dongia1,DG!$G$5,)</f>
        <v>0</v>
      </c>
      <c r="K223" s="121">
        <f>VLOOKUP($B223,dongia1,DG!$H$5,)</f>
        <v>0</v>
      </c>
      <c r="L223" s="39">
        <f t="shared" ref="L223:L231" si="62">H223*$G223</f>
        <v>0</v>
      </c>
      <c r="M223" s="39">
        <f t="shared" ref="M223:M231" si="63">I223*$G223</f>
        <v>0</v>
      </c>
      <c r="N223" s="39">
        <f t="shared" ref="N223:N231" si="64">J223*$G223</f>
        <v>0</v>
      </c>
      <c r="O223" s="39">
        <f t="shared" ref="O223:O231" si="65">K223*$G223</f>
        <v>0</v>
      </c>
      <c r="P223" s="161"/>
    </row>
    <row r="224" spans="1:16" s="34" customFormat="1">
      <c r="A224" s="29" t="str">
        <f t="shared" si="49"/>
        <v/>
      </c>
      <c r="B224" s="159" t="s">
        <v>1495</v>
      </c>
      <c r="C224" s="119"/>
      <c r="D224" s="120">
        <f>VLOOKUP($B224,dongia1,DG!$B$5,)</f>
        <v>0</v>
      </c>
      <c r="E224" s="151" t="str">
        <f>VLOOKUP($B224,dongia1,DG!$C$5,)&amp;": 12viên/m"</f>
        <v>Gạch tàu: 12viên/m</v>
      </c>
      <c r="F224" s="120" t="str">
        <f>VLOOKUP($B224,dongia1,DG!$D$5,)</f>
        <v>viên</v>
      </c>
      <c r="G224" s="74">
        <f>12*G221</f>
        <v>0</v>
      </c>
      <c r="H224" s="121">
        <f>VLOOKUP($B224,dongia1,DG!$F$5,)</f>
        <v>7000</v>
      </c>
      <c r="I224" s="160"/>
      <c r="J224" s="121">
        <f>VLOOKUP($B224,dongia1,DG!$G$5,)</f>
        <v>0</v>
      </c>
      <c r="K224" s="121">
        <f>VLOOKUP($B224,dongia1,DG!$H$5,)</f>
        <v>0</v>
      </c>
      <c r="L224" s="39">
        <f t="shared" si="62"/>
        <v>0</v>
      </c>
      <c r="M224" s="39">
        <f t="shared" si="63"/>
        <v>0</v>
      </c>
      <c r="N224" s="39">
        <f t="shared" si="64"/>
        <v>0</v>
      </c>
      <c r="O224" s="39">
        <f t="shared" si="65"/>
        <v>0</v>
      </c>
      <c r="P224" s="161"/>
    </row>
    <row r="225" spans="1:16" s="34" customFormat="1">
      <c r="A225" s="29" t="str">
        <f t="shared" si="49"/>
        <v/>
      </c>
      <c r="B225" s="159" t="s">
        <v>1496</v>
      </c>
      <c r="C225" s="119"/>
      <c r="D225" s="120" t="str">
        <f>VLOOKUP($B225,dongia1,DG!$B$5,)</f>
        <v>D4.1102</v>
      </c>
      <c r="E225" s="151" t="str">
        <f>VLOOKUP($B225,dongia1,DG!$C$5,)</f>
        <v>Tấm nilông màu cảnh báo</v>
      </c>
      <c r="F225" s="120" t="str">
        <f>VLOOKUP($B225,dongia1,DG!$D$5,)</f>
        <v>m2</v>
      </c>
      <c r="G225" s="74">
        <f>0.5*G221</f>
        <v>0</v>
      </c>
      <c r="H225" s="121">
        <f>VLOOKUP($B225,dongia1,DG!$F$5,)</f>
        <v>10000</v>
      </c>
      <c r="I225" s="160"/>
      <c r="J225" s="121">
        <f>VLOOKUP($B225,dongia1,DG!$G$5,)</f>
        <v>1187.155</v>
      </c>
      <c r="K225" s="121">
        <f>VLOOKUP($B225,dongia1,DG!$H$5,)</f>
        <v>0</v>
      </c>
      <c r="L225" s="39">
        <f t="shared" si="62"/>
        <v>0</v>
      </c>
      <c r="M225" s="39">
        <f t="shared" si="63"/>
        <v>0</v>
      </c>
      <c r="N225" s="39">
        <f t="shared" si="64"/>
        <v>0</v>
      </c>
      <c r="O225" s="39">
        <f t="shared" si="65"/>
        <v>0</v>
      </c>
      <c r="P225" s="161"/>
    </row>
    <row r="226" spans="1:16" s="34" customFormat="1">
      <c r="A226" s="29" t="str">
        <f t="shared" si="49"/>
        <v/>
      </c>
      <c r="B226" s="159" t="s">
        <v>1497</v>
      </c>
      <c r="C226" s="119"/>
      <c r="D226" s="120">
        <f>VLOOKUP($B226,dongia1,DG!$B$5,)</f>
        <v>0</v>
      </c>
      <c r="E226" s="151" t="str">
        <f>VLOOKUP($B226,dongia1,DG!$C$5,)</f>
        <v>Ống PVC D168 dày 7,0mm</v>
      </c>
      <c r="F226" s="120" t="str">
        <f>VLOOKUP($B226,dongia1,DG!$D$5,)</f>
        <v>m</v>
      </c>
      <c r="G226" s="74">
        <f>3*G221</f>
        <v>0</v>
      </c>
      <c r="H226" s="121">
        <f>VLOOKUP($B226,dongia1,DG!$F$5,)</f>
        <v>226800</v>
      </c>
      <c r="I226" s="160"/>
      <c r="J226" s="121">
        <f>VLOOKUP($B226,dongia1,DG!$G$5,)</f>
        <v>0</v>
      </c>
      <c r="K226" s="121">
        <f>VLOOKUP($B226,dongia1,DG!$H$5,)</f>
        <v>0</v>
      </c>
      <c r="L226" s="39">
        <f t="shared" si="62"/>
        <v>0</v>
      </c>
      <c r="M226" s="39">
        <f t="shared" si="63"/>
        <v>0</v>
      </c>
      <c r="N226" s="39">
        <f t="shared" si="64"/>
        <v>0</v>
      </c>
      <c r="O226" s="39">
        <f t="shared" si="65"/>
        <v>0</v>
      </c>
      <c r="P226" s="161"/>
    </row>
    <row r="227" spans="1:16" s="34" customFormat="1">
      <c r="A227" s="29" t="str">
        <f t="shared" si="49"/>
        <v/>
      </c>
      <c r="B227" s="159" t="s">
        <v>927</v>
      </c>
      <c r="C227" s="119"/>
      <c r="D227" s="120" t="str">
        <f>VLOOKUP($B227,dongia1,DG!$B$5,)</f>
        <v>D4.1413</v>
      </c>
      <c r="E227" s="151" t="str">
        <f>VLOOKUP($B227,dongia1,DG!$C$5,)</f>
        <v>Lắp ống nhựa PVC D&lt;=200mm</v>
      </c>
      <c r="F227" s="120" t="str">
        <f>VLOOKUP($B227,dongia1,DG!$D$5,)</f>
        <v>mét</v>
      </c>
      <c r="G227" s="74">
        <f>+G226</f>
        <v>0</v>
      </c>
      <c r="H227" s="121"/>
      <c r="I227" s="160"/>
      <c r="J227" s="121">
        <f>VLOOKUP($B227,dongia1,DG!$G$5,)</f>
        <v>106616.73</v>
      </c>
      <c r="K227" s="121">
        <f>VLOOKUP($B227,dongia1,DG!$H$5,)</f>
        <v>0</v>
      </c>
      <c r="L227" s="39">
        <f t="shared" si="62"/>
        <v>0</v>
      </c>
      <c r="M227" s="39">
        <f t="shared" si="63"/>
        <v>0</v>
      </c>
      <c r="N227" s="39">
        <f t="shared" si="64"/>
        <v>0</v>
      </c>
      <c r="O227" s="39">
        <f t="shared" si="65"/>
        <v>0</v>
      </c>
      <c r="P227" s="161"/>
    </row>
    <row r="228" spans="1:16" s="34" customFormat="1">
      <c r="A228" s="29" t="str">
        <f t="shared" si="49"/>
        <v/>
      </c>
      <c r="B228" s="159" t="s">
        <v>1498</v>
      </c>
      <c r="C228" s="119"/>
      <c r="D228" s="120" t="str">
        <f>VLOOKUP($B228,dongia1,DG!$B$5,)</f>
        <v>AB.66112</v>
      </c>
      <c r="E228" s="151" t="str">
        <f>VLOOKUP($B228,dongia1,DG!$C$5,)</f>
        <v>Rải cát đệm (độ chặt K=0,9)</v>
      </c>
      <c r="F228" s="120" t="str">
        <f>VLOOKUP($B228,dongia1,DG!$D$5,)</f>
        <v>m3</v>
      </c>
      <c r="G228" s="74">
        <f>+G223</f>
        <v>0</v>
      </c>
      <c r="H228" s="121">
        <f>VLOOKUP($B228,dongia1,DG!$F$5,)</f>
        <v>0</v>
      </c>
      <c r="I228" s="160"/>
      <c r="J228" s="121">
        <f>VLOOKUP($B228,dongia1,DG!$G$5,)</f>
        <v>315277.5</v>
      </c>
      <c r="K228" s="121">
        <f>VLOOKUP($B228,dongia1,DG!$H$5,)</f>
        <v>0</v>
      </c>
      <c r="L228" s="39">
        <f t="shared" si="62"/>
        <v>0</v>
      </c>
      <c r="M228" s="39">
        <f t="shared" si="63"/>
        <v>0</v>
      </c>
      <c r="N228" s="39">
        <f t="shared" si="64"/>
        <v>0</v>
      </c>
      <c r="O228" s="39">
        <f t="shared" si="65"/>
        <v>0</v>
      </c>
      <c r="P228" s="161"/>
    </row>
    <row r="229" spans="1:16" s="34" customFormat="1">
      <c r="A229" s="29" t="str">
        <f t="shared" si="49"/>
        <v/>
      </c>
      <c r="B229" s="159" t="s">
        <v>291</v>
      </c>
      <c r="C229" s="119"/>
      <c r="D229" s="120" t="str">
        <f>VLOOKUP($B229,dongia1,DG!$B$5,)</f>
        <v>AB.11613</v>
      </c>
      <c r="E229" s="151" t="str">
        <f>VLOOKUP($B229,dongia1,DG!$C$5,)</f>
        <v>Đào mương cáp ngầm đất cấp 3 có mở ta luy</v>
      </c>
      <c r="F229" s="120" t="str">
        <f>VLOOKUP($B229,dongia1,DG!$D$5,)</f>
        <v>m3</v>
      </c>
      <c r="G229" s="74">
        <f>1.56*G221</f>
        <v>0</v>
      </c>
      <c r="H229" s="121">
        <f>VLOOKUP($B229,dongia1,DG!$F$5,)</f>
        <v>0</v>
      </c>
      <c r="I229" s="160"/>
      <c r="J229" s="121">
        <f>VLOOKUP($B229,dongia1,DG!$G$5,)</f>
        <v>640731.36</v>
      </c>
      <c r="K229" s="121">
        <f>VLOOKUP($B229,dongia1,DG!$H$5,)</f>
        <v>0</v>
      </c>
      <c r="L229" s="39">
        <f t="shared" si="62"/>
        <v>0</v>
      </c>
      <c r="M229" s="39">
        <f t="shared" si="63"/>
        <v>0</v>
      </c>
      <c r="N229" s="39">
        <f t="shared" si="64"/>
        <v>0</v>
      </c>
      <c r="O229" s="39">
        <f t="shared" si="65"/>
        <v>0</v>
      </c>
      <c r="P229" s="161"/>
    </row>
    <row r="230" spans="1:16" s="34" customFormat="1">
      <c r="A230" s="29" t="str">
        <f t="shared" si="49"/>
        <v/>
      </c>
      <c r="B230" s="159" t="s">
        <v>501</v>
      </c>
      <c r="C230" s="119"/>
      <c r="D230" s="120" t="str">
        <f>VLOOKUP($B230,dongia1,DG!$B$5,)</f>
        <v>AB.13111</v>
      </c>
      <c r="E230" s="151" t="str">
        <f>VLOOKUP($B230,dongia1,DG!$C$5,)</f>
        <v>Đắp đất hố móng, đất cấp 3 (độ chặt k = 0.85)</v>
      </c>
      <c r="F230" s="120" t="str">
        <f>VLOOKUP($B230,dongia1,DG!$D$5,)</f>
        <v>m3</v>
      </c>
      <c r="G230" s="74">
        <f>0.58*G221</f>
        <v>0</v>
      </c>
      <c r="H230" s="121">
        <f>VLOOKUP($B230,dongia1,DG!$F$5,)</f>
        <v>0</v>
      </c>
      <c r="I230" s="160"/>
      <c r="J230" s="121">
        <f>VLOOKUP($B230,dongia1,DG!$G$5,)</f>
        <v>117703.6</v>
      </c>
      <c r="K230" s="121">
        <f>VLOOKUP($B230,dongia1,DG!$H$5,)</f>
        <v>0</v>
      </c>
      <c r="L230" s="39">
        <f t="shared" si="62"/>
        <v>0</v>
      </c>
      <c r="M230" s="39">
        <f t="shared" si="63"/>
        <v>0</v>
      </c>
      <c r="N230" s="39">
        <f t="shared" si="64"/>
        <v>0</v>
      </c>
      <c r="O230" s="39">
        <f t="shared" si="65"/>
        <v>0</v>
      </c>
      <c r="P230" s="161"/>
    </row>
    <row r="231" spans="1:16" s="61" customFormat="1" outlineLevel="1">
      <c r="A231" s="29" t="str">
        <f t="shared" si="49"/>
        <v/>
      </c>
      <c r="B231" s="184" t="s">
        <v>1897</v>
      </c>
      <c r="C231" s="166">
        <f>IF(G231&gt;0,C221+1,C221)</f>
        <v>0</v>
      </c>
      <c r="D231" s="167"/>
      <c r="E231" s="168" t="s">
        <v>3823</v>
      </c>
      <c r="F231" s="169" t="s">
        <v>3819</v>
      </c>
      <c r="G231" s="67"/>
      <c r="H231" s="170"/>
      <c r="I231" s="170"/>
      <c r="J231" s="172"/>
      <c r="K231" s="172"/>
      <c r="L231" s="64">
        <f t="shared" si="62"/>
        <v>0</v>
      </c>
      <c r="M231" s="64">
        <f t="shared" si="63"/>
        <v>0</v>
      </c>
      <c r="N231" s="64">
        <f t="shared" si="64"/>
        <v>0</v>
      </c>
      <c r="O231" s="64">
        <f t="shared" si="65"/>
        <v>0</v>
      </c>
      <c r="P231" s="173"/>
    </row>
    <row r="232" spans="1:16" s="34" customFormat="1" ht="14.4" outlineLevel="1">
      <c r="A232" s="29" t="str">
        <f t="shared" si="49"/>
        <v/>
      </c>
      <c r="B232" s="109"/>
      <c r="C232" s="112"/>
      <c r="D232" s="185"/>
      <c r="E232" s="145" t="s">
        <v>3378</v>
      </c>
      <c r="F232" s="146"/>
      <c r="G232" s="68"/>
      <c r="H232" s="147"/>
      <c r="I232" s="147"/>
      <c r="J232" s="149"/>
      <c r="K232" s="147"/>
      <c r="L232" s="66"/>
      <c r="M232" s="66"/>
      <c r="N232" s="66"/>
      <c r="O232" s="66"/>
      <c r="P232" s="150"/>
    </row>
    <row r="233" spans="1:16" s="34" customFormat="1">
      <c r="A233" s="29" t="str">
        <f t="shared" si="49"/>
        <v/>
      </c>
      <c r="B233" s="159" t="s">
        <v>891</v>
      </c>
      <c r="C233" s="119"/>
      <c r="D233" s="120">
        <f>VLOOKUP($B233,dongia1,DG!$B$5,)</f>
        <v>73213</v>
      </c>
      <c r="E233" s="187" t="s">
        <v>3472</v>
      </c>
      <c r="F233" s="120" t="str">
        <f>VLOOKUP($B233,dongia1,DG!$D$5,)</f>
        <v>mét</v>
      </c>
      <c r="G233" s="74">
        <f>G231*4</f>
        <v>0</v>
      </c>
      <c r="H233" s="121"/>
      <c r="I233" s="160"/>
      <c r="J233" s="121">
        <f>VLOOKUP($B233,dongia1,DG!$G$5,)</f>
        <v>19214</v>
      </c>
      <c r="K233" s="121">
        <f>VLOOKUP($B233,dongia1,DG!$H$5,)</f>
        <v>0</v>
      </c>
      <c r="L233" s="39">
        <f t="shared" ref="L233:O243" si="66">H233*$G233</f>
        <v>0</v>
      </c>
      <c r="M233" s="39">
        <f t="shared" si="66"/>
        <v>0</v>
      </c>
      <c r="N233" s="39">
        <f t="shared" si="66"/>
        <v>0</v>
      </c>
      <c r="O233" s="39">
        <f t="shared" si="66"/>
        <v>0</v>
      </c>
      <c r="P233" s="161"/>
    </row>
    <row r="234" spans="1:16" s="34" customFormat="1">
      <c r="A234" s="29" t="str">
        <f t="shared" si="49"/>
        <v/>
      </c>
      <c r="B234" s="159" t="s">
        <v>643</v>
      </c>
      <c r="C234" s="119"/>
      <c r="D234" s="120">
        <f>VLOOKUP($B234,dongia1,DG!$B$5,)</f>
        <v>0</v>
      </c>
      <c r="E234" s="151" t="str">
        <f>VLOOKUP($B234,dongia1,DG!$C$5,)</f>
        <v>Kẹp ép WR cỡ dây 95mm2</v>
      </c>
      <c r="F234" s="120" t="str">
        <f>VLOOKUP($B234,dongia1,DG!$D$5,)</f>
        <v>cái</v>
      </c>
      <c r="G234" s="74"/>
      <c r="H234" s="121">
        <f>VLOOKUP($B234,dongia1,DG!$F$5,)</f>
        <v>13000</v>
      </c>
      <c r="I234" s="160"/>
      <c r="J234" s="121">
        <f>VLOOKUP($B234,dongia1,DG!$G$5,)</f>
        <v>0</v>
      </c>
      <c r="K234" s="121">
        <f>VLOOKUP($B234,dongia1,DG!$H$5,)</f>
        <v>0</v>
      </c>
      <c r="L234" s="39">
        <f t="shared" si="66"/>
        <v>0</v>
      </c>
      <c r="M234" s="39">
        <f t="shared" si="66"/>
        <v>0</v>
      </c>
      <c r="N234" s="39">
        <f t="shared" si="66"/>
        <v>0</v>
      </c>
      <c r="O234" s="39">
        <f t="shared" si="66"/>
        <v>0</v>
      </c>
      <c r="P234" s="161"/>
    </row>
    <row r="235" spans="1:16" s="34" customFormat="1">
      <c r="A235" s="29" t="str">
        <f t="shared" si="49"/>
        <v/>
      </c>
      <c r="B235" s="159" t="s">
        <v>274</v>
      </c>
      <c r="C235" s="119"/>
      <c r="D235" s="120" t="str">
        <f>VLOOKUP($B235,dongia1,DG!$B$5,)</f>
        <v>D4.1205</v>
      </c>
      <c r="E235" s="151" t="str">
        <f>VLOOKUP($B235,dongia1,DG!$C$5,)</f>
        <v>Ông sắt tráng kẽm D114</v>
      </c>
      <c r="F235" s="120" t="str">
        <f>VLOOKUP($B235,dongia1,DG!$D$5,)</f>
        <v>mét</v>
      </c>
      <c r="G235" s="74"/>
      <c r="H235" s="121">
        <f>VLOOKUP($B235,dongia1,DG!$F$5,)</f>
        <v>146000</v>
      </c>
      <c r="I235" s="160"/>
      <c r="J235" s="121">
        <f>VLOOKUP($B235,dongia1,DG!$G$5,)</f>
        <v>127101.65849999999</v>
      </c>
      <c r="K235" s="121">
        <f>VLOOKUP($B235,dongia1,DG!$H$5,)</f>
        <v>0</v>
      </c>
      <c r="L235" s="39">
        <f t="shared" si="66"/>
        <v>0</v>
      </c>
      <c r="M235" s="39">
        <f t="shared" si="66"/>
        <v>0</v>
      </c>
      <c r="N235" s="39">
        <f t="shared" si="66"/>
        <v>0</v>
      </c>
      <c r="O235" s="39">
        <f t="shared" si="66"/>
        <v>0</v>
      </c>
      <c r="P235" s="161"/>
    </row>
    <row r="236" spans="1:16" s="34" customFormat="1">
      <c r="A236" s="29" t="str">
        <f t="shared" si="49"/>
        <v/>
      </c>
      <c r="B236" s="159" t="s">
        <v>1283</v>
      </c>
      <c r="C236" s="119"/>
      <c r="D236" s="120">
        <f>VLOOKUP($B236,dongia1,DG!$B$5,)</f>
        <v>0</v>
      </c>
      <c r="E236" s="151" t="str">
        <f>VLOOKUP($B236,dongia1,DG!$C$5,)&amp;": 2,5m/oáng"</f>
        <v>Ống đàn hồi 114 (Ruột gà): 2,5m/oáng</v>
      </c>
      <c r="F236" s="120" t="str">
        <f>VLOOKUP($B236,dongia1,DG!$D$5,)</f>
        <v>m</v>
      </c>
      <c r="G236" s="74"/>
      <c r="H236" s="121">
        <f>VLOOKUP($B236,dongia1,DG!$F$5,)</f>
        <v>58700</v>
      </c>
      <c r="I236" s="160"/>
      <c r="J236" s="121">
        <f>VLOOKUP($B236,dongia1,DG!$G$5,)</f>
        <v>0</v>
      </c>
      <c r="K236" s="121">
        <f>VLOOKUP($B236,dongia1,DG!$H$5,)</f>
        <v>0</v>
      </c>
      <c r="L236" s="39">
        <f t="shared" si="66"/>
        <v>0</v>
      </c>
      <c r="M236" s="39">
        <f t="shared" si="66"/>
        <v>0</v>
      </c>
      <c r="N236" s="39">
        <f t="shared" si="66"/>
        <v>0</v>
      </c>
      <c r="O236" s="39">
        <f t="shared" si="66"/>
        <v>0</v>
      </c>
      <c r="P236" s="161"/>
    </row>
    <row r="237" spans="1:16" s="61" customFormat="1" outlineLevel="1">
      <c r="A237" s="29" t="str">
        <f t="shared" si="49"/>
        <v/>
      </c>
      <c r="B237" s="184" t="s">
        <v>1953</v>
      </c>
      <c r="C237" s="166">
        <f>IF(G237&gt;0,C227+1,C227)</f>
        <v>0</v>
      </c>
      <c r="D237" s="167"/>
      <c r="E237" s="168" t="s">
        <v>3824</v>
      </c>
      <c r="F237" s="169" t="s">
        <v>3819</v>
      </c>
      <c r="G237" s="67"/>
      <c r="H237" s="170"/>
      <c r="I237" s="170"/>
      <c r="J237" s="172"/>
      <c r="K237" s="172"/>
      <c r="L237" s="64">
        <f t="shared" si="66"/>
        <v>0</v>
      </c>
      <c r="M237" s="64">
        <f t="shared" si="66"/>
        <v>0</v>
      </c>
      <c r="N237" s="64">
        <f t="shared" si="66"/>
        <v>0</v>
      </c>
      <c r="O237" s="64">
        <f t="shared" si="66"/>
        <v>0</v>
      </c>
      <c r="P237" s="173"/>
    </row>
    <row r="238" spans="1:16" s="34" customFormat="1" ht="14.4" outlineLevel="1">
      <c r="A238" s="29" t="str">
        <f t="shared" si="49"/>
        <v/>
      </c>
      <c r="B238" s="109"/>
      <c r="C238" s="112"/>
      <c r="D238" s="185"/>
      <c r="E238" s="145" t="s">
        <v>3378</v>
      </c>
      <c r="F238" s="146"/>
      <c r="G238" s="68"/>
      <c r="H238" s="147"/>
      <c r="I238" s="147"/>
      <c r="J238" s="149"/>
      <c r="K238" s="147"/>
      <c r="L238" s="66"/>
      <c r="M238" s="66"/>
      <c r="N238" s="66"/>
      <c r="O238" s="66"/>
      <c r="P238" s="150"/>
    </row>
    <row r="239" spans="1:16" s="34" customFormat="1">
      <c r="A239" s="29" t="str">
        <f t="shared" si="49"/>
        <v/>
      </c>
      <c r="B239" s="159" t="s">
        <v>891</v>
      </c>
      <c r="C239" s="119"/>
      <c r="D239" s="120">
        <f>VLOOKUP($B239,dongia1,DG!$B$5,)</f>
        <v>73213</v>
      </c>
      <c r="E239" s="187" t="s">
        <v>3472</v>
      </c>
      <c r="F239" s="120" t="str">
        <f>VLOOKUP($B239,dongia1,DG!$D$5,)</f>
        <v>mét</v>
      </c>
      <c r="G239" s="74">
        <f>G237*4</f>
        <v>0</v>
      </c>
      <c r="H239" s="121"/>
      <c r="I239" s="160"/>
      <c r="J239" s="121">
        <f>VLOOKUP($B239,dongia1,DG!$G$5,)</f>
        <v>19214</v>
      </c>
      <c r="K239" s="121">
        <f>VLOOKUP($B239,dongia1,DG!$H$5,)</f>
        <v>0</v>
      </c>
      <c r="L239" s="39">
        <f t="shared" ref="L239:O242" si="67">H239*$G239</f>
        <v>0</v>
      </c>
      <c r="M239" s="39">
        <f t="shared" si="67"/>
        <v>0</v>
      </c>
      <c r="N239" s="39">
        <f t="shared" si="67"/>
        <v>0</v>
      </c>
      <c r="O239" s="39">
        <f t="shared" si="67"/>
        <v>0</v>
      </c>
      <c r="P239" s="161"/>
    </row>
    <row r="240" spans="1:16" s="34" customFormat="1">
      <c r="A240" s="29" t="str">
        <f t="shared" si="49"/>
        <v/>
      </c>
      <c r="B240" s="159" t="s">
        <v>643</v>
      </c>
      <c r="C240" s="119"/>
      <c r="D240" s="120">
        <f>VLOOKUP($B240,dongia1,DG!$B$5,)</f>
        <v>0</v>
      </c>
      <c r="E240" s="151" t="str">
        <f>VLOOKUP($B240,dongia1,DG!$C$5,)</f>
        <v>Kẹp ép WR cỡ dây 95mm2</v>
      </c>
      <c r="F240" s="120" t="str">
        <f>VLOOKUP($B240,dongia1,DG!$D$5,)</f>
        <v>cái</v>
      </c>
      <c r="G240" s="74"/>
      <c r="H240" s="121">
        <f>VLOOKUP($B240,dongia1,DG!$F$5,)</f>
        <v>13000</v>
      </c>
      <c r="I240" s="160"/>
      <c r="J240" s="121">
        <f>VLOOKUP($B240,dongia1,DG!$G$5,)</f>
        <v>0</v>
      </c>
      <c r="K240" s="121">
        <f>VLOOKUP($B240,dongia1,DG!$H$5,)</f>
        <v>0</v>
      </c>
      <c r="L240" s="39">
        <f t="shared" si="67"/>
        <v>0</v>
      </c>
      <c r="M240" s="39">
        <f t="shared" si="67"/>
        <v>0</v>
      </c>
      <c r="N240" s="39">
        <f t="shared" si="67"/>
        <v>0</v>
      </c>
      <c r="O240" s="39">
        <f t="shared" si="67"/>
        <v>0</v>
      </c>
      <c r="P240" s="161"/>
    </row>
    <row r="241" spans="1:20" s="34" customFormat="1">
      <c r="A241" s="29" t="str">
        <f t="shared" si="49"/>
        <v/>
      </c>
      <c r="B241" s="159" t="s">
        <v>274</v>
      </c>
      <c r="C241" s="119"/>
      <c r="D241" s="120" t="str">
        <f>VLOOKUP($B241,dongia1,DG!$B$5,)</f>
        <v>D4.1205</v>
      </c>
      <c r="E241" s="151" t="str">
        <f>VLOOKUP($B241,dongia1,DG!$C$5,)</f>
        <v>Ông sắt tráng kẽm D114</v>
      </c>
      <c r="F241" s="120" t="str">
        <f>VLOOKUP($B241,dongia1,DG!$D$5,)</f>
        <v>mét</v>
      </c>
      <c r="G241" s="74"/>
      <c r="H241" s="121">
        <f>VLOOKUP($B241,dongia1,DG!$F$5,)</f>
        <v>146000</v>
      </c>
      <c r="I241" s="160"/>
      <c r="J241" s="121">
        <f>VLOOKUP($B241,dongia1,DG!$G$5,)</f>
        <v>127101.65849999999</v>
      </c>
      <c r="K241" s="121">
        <f>VLOOKUP($B241,dongia1,DG!$H$5,)</f>
        <v>0</v>
      </c>
      <c r="L241" s="39">
        <f t="shared" si="67"/>
        <v>0</v>
      </c>
      <c r="M241" s="39">
        <f t="shared" si="67"/>
        <v>0</v>
      </c>
      <c r="N241" s="39">
        <f t="shared" si="67"/>
        <v>0</v>
      </c>
      <c r="O241" s="39">
        <f t="shared" si="67"/>
        <v>0</v>
      </c>
      <c r="P241" s="161"/>
    </row>
    <row r="242" spans="1:20" s="34" customFormat="1">
      <c r="A242" s="29" t="str">
        <f t="shared" si="49"/>
        <v/>
      </c>
      <c r="B242" s="159" t="s">
        <v>1283</v>
      </c>
      <c r="C242" s="119"/>
      <c r="D242" s="120">
        <f>VLOOKUP($B242,dongia1,DG!$B$5,)</f>
        <v>0</v>
      </c>
      <c r="E242" s="151" t="str">
        <f>VLOOKUP($B242,dongia1,DG!$C$5,)&amp;": 2,5m/oáng"</f>
        <v>Ống đàn hồi 114 (Ruột gà): 2,5m/oáng</v>
      </c>
      <c r="F242" s="120" t="str">
        <f>VLOOKUP($B242,dongia1,DG!$D$5,)</f>
        <v>m</v>
      </c>
      <c r="G242" s="74"/>
      <c r="H242" s="121">
        <f>VLOOKUP($B242,dongia1,DG!$F$5,)</f>
        <v>58700</v>
      </c>
      <c r="I242" s="160"/>
      <c r="J242" s="121">
        <f>VLOOKUP($B242,dongia1,DG!$G$5,)</f>
        <v>0</v>
      </c>
      <c r="K242" s="121">
        <f>VLOOKUP($B242,dongia1,DG!$H$5,)</f>
        <v>0</v>
      </c>
      <c r="L242" s="39">
        <f t="shared" si="67"/>
        <v>0</v>
      </c>
      <c r="M242" s="39">
        <f t="shared" si="67"/>
        <v>0</v>
      </c>
      <c r="N242" s="39">
        <f t="shared" si="67"/>
        <v>0</v>
      </c>
      <c r="O242" s="39">
        <f t="shared" si="67"/>
        <v>0</v>
      </c>
      <c r="P242" s="161"/>
    </row>
    <row r="243" spans="1:20" s="1740" customFormat="1">
      <c r="A243" s="29" t="str">
        <f t="shared" si="49"/>
        <v/>
      </c>
      <c r="B243" s="1732"/>
      <c r="C243" s="166">
        <f>IF(G243&gt;0,C231+1,C231)</f>
        <v>0</v>
      </c>
      <c r="D243" s="1733"/>
      <c r="E243" s="168" t="s">
        <v>3825</v>
      </c>
      <c r="F243" s="169" t="s">
        <v>2451</v>
      </c>
      <c r="G243" s="1806">
        <f>+ppCN!BG40</f>
        <v>0</v>
      </c>
      <c r="H243" s="193"/>
      <c r="I243" s="171"/>
      <c r="J243" s="1736"/>
      <c r="K243" s="1736"/>
      <c r="L243" s="1737">
        <f t="shared" si="66"/>
        <v>0</v>
      </c>
      <c r="M243" s="60">
        <f t="shared" si="66"/>
        <v>0</v>
      </c>
      <c r="N243" s="1737">
        <f t="shared" si="66"/>
        <v>0</v>
      </c>
      <c r="O243" s="1737">
        <f t="shared" si="66"/>
        <v>0</v>
      </c>
      <c r="P243" s="1739"/>
    </row>
    <row r="244" spans="1:20" s="34" customFormat="1" ht="14.4">
      <c r="A244" s="29" t="str">
        <f t="shared" si="49"/>
        <v/>
      </c>
      <c r="B244" s="109"/>
      <c r="C244" s="112"/>
      <c r="D244" s="120"/>
      <c r="E244" s="145" t="s">
        <v>3378</v>
      </c>
      <c r="F244" s="126"/>
      <c r="G244" s="73"/>
      <c r="H244" s="175"/>
      <c r="I244" s="176"/>
      <c r="J244" s="177"/>
      <c r="K244" s="175"/>
      <c r="L244" s="39"/>
      <c r="M244" s="62"/>
      <c r="N244" s="39"/>
      <c r="O244" s="39"/>
      <c r="P244" s="178"/>
    </row>
    <row r="245" spans="1:20" s="34" customFormat="1">
      <c r="A245" s="29" t="str">
        <f t="shared" si="49"/>
        <v/>
      </c>
      <c r="B245" s="159" t="s">
        <v>1728</v>
      </c>
      <c r="C245" s="119"/>
      <c r="D245" s="120"/>
      <c r="E245" s="151" t="str">
        <f>VLOOKUP($B245,dongia1,DG!$C$5,)</f>
        <v>Ximăng</v>
      </c>
      <c r="F245" s="120" t="str">
        <f>VLOOKUP($B245,dongia1,DG!$D$5,)</f>
        <v>kg</v>
      </c>
      <c r="G245" s="74">
        <f>+G252*296</f>
        <v>0</v>
      </c>
      <c r="H245" s="121">
        <f>VLOOKUP($B245,dongia1,DG!$F$5,)</f>
        <v>1740</v>
      </c>
      <c r="I245" s="160"/>
      <c r="J245" s="121">
        <f>VLOOKUP($B245,dongia1,DG!$G$5,)</f>
        <v>0</v>
      </c>
      <c r="K245" s="121">
        <f>VLOOKUP($B245,dongia1,DG!$H$5,)</f>
        <v>0</v>
      </c>
      <c r="L245" s="39">
        <f t="shared" ref="L245:L253" si="68">H245*$G245</f>
        <v>0</v>
      </c>
      <c r="M245" s="39">
        <f t="shared" ref="M245:M253" si="69">I245*$G245</f>
        <v>0</v>
      </c>
      <c r="N245" s="39">
        <f t="shared" ref="N245:N253" si="70">J245*$G245</f>
        <v>0</v>
      </c>
      <c r="O245" s="39">
        <f t="shared" ref="O245:O253" si="71">K245*$G245</f>
        <v>0</v>
      </c>
      <c r="P245" s="161"/>
    </row>
    <row r="246" spans="1:20" s="34" customFormat="1">
      <c r="A246" s="29" t="str">
        <f t="shared" si="49"/>
        <v/>
      </c>
      <c r="B246" s="159" t="s">
        <v>1729</v>
      </c>
      <c r="C246" s="119"/>
      <c r="D246" s="120"/>
      <c r="E246" s="151" t="str">
        <f>VLOOKUP($B246,dongia1,DG!$C$5,)</f>
        <v>Cát vàng</v>
      </c>
      <c r="F246" s="120" t="str">
        <f>VLOOKUP($B246,dongia1,DG!$D$5,)</f>
        <v>m3</v>
      </c>
      <c r="G246" s="74">
        <f>0.475*G252</f>
        <v>0</v>
      </c>
      <c r="H246" s="121">
        <f>VLOOKUP($B246,dongia1,DG!$F$5,)</f>
        <v>512000</v>
      </c>
      <c r="I246" s="160"/>
      <c r="J246" s="121">
        <f>VLOOKUP($B246,dongia1,DG!$G$5,)</f>
        <v>0</v>
      </c>
      <c r="K246" s="121">
        <f>VLOOKUP($B246,dongia1,DG!$H$5,)</f>
        <v>0</v>
      </c>
      <c r="L246" s="39">
        <f t="shared" si="68"/>
        <v>0</v>
      </c>
      <c r="M246" s="39">
        <f t="shared" si="69"/>
        <v>0</v>
      </c>
      <c r="N246" s="39">
        <f t="shared" si="70"/>
        <v>0</v>
      </c>
      <c r="O246" s="39">
        <f t="shared" si="71"/>
        <v>0</v>
      </c>
      <c r="P246" s="161"/>
    </row>
    <row r="247" spans="1:20" s="34" customFormat="1">
      <c r="A247" s="29" t="str">
        <f t="shared" si="49"/>
        <v/>
      </c>
      <c r="B247" s="159" t="s">
        <v>853</v>
      </c>
      <c r="C247" s="119"/>
      <c r="D247" s="120"/>
      <c r="E247" s="151" t="str">
        <f>VLOOKUP($B247,dongia1,DG!$C$5,)</f>
        <v>Đá 1x2</v>
      </c>
      <c r="F247" s="120" t="str">
        <f>VLOOKUP($B247,dongia1,DG!$D$5,)</f>
        <v>m3</v>
      </c>
      <c r="G247" s="74">
        <f>0.881*G252</f>
        <v>0</v>
      </c>
      <c r="H247" s="121">
        <f>VLOOKUP($B247,dongia1,DG!$F$5,)</f>
        <v>335000</v>
      </c>
      <c r="I247" s="160"/>
      <c r="J247" s="121">
        <f>VLOOKUP($B247,dongia1,DG!$G$5,)</f>
        <v>0</v>
      </c>
      <c r="K247" s="121">
        <f>VLOOKUP($B247,dongia1,DG!$H$5,)</f>
        <v>0</v>
      </c>
      <c r="L247" s="39">
        <f t="shared" si="68"/>
        <v>0</v>
      </c>
      <c r="M247" s="39">
        <f t="shared" si="69"/>
        <v>0</v>
      </c>
      <c r="N247" s="39">
        <f t="shared" si="70"/>
        <v>0</v>
      </c>
      <c r="O247" s="39">
        <f t="shared" si="71"/>
        <v>0</v>
      </c>
      <c r="P247" s="161"/>
    </row>
    <row r="248" spans="1:20" s="34" customFormat="1">
      <c r="A248" s="29" t="str">
        <f t="shared" si="49"/>
        <v/>
      </c>
      <c r="B248" s="159" t="s">
        <v>62</v>
      </c>
      <c r="C248" s="119"/>
      <c r="D248" s="120"/>
      <c r="E248" s="151" t="str">
        <f>VLOOKUP($B248,dongia1,DG!$C$5,)</f>
        <v>Sắt   Þ10</v>
      </c>
      <c r="F248" s="120" t="str">
        <f>VLOOKUP($B248,dongia1,DG!$D$5,)</f>
        <v>kg</v>
      </c>
      <c r="G248" s="74">
        <f>2.3*G243</f>
        <v>0</v>
      </c>
      <c r="H248" s="121">
        <f>VLOOKUP($B248,dongia1,DG!$F$5,)</f>
        <v>13300</v>
      </c>
      <c r="I248" s="160"/>
      <c r="J248" s="121">
        <f>VLOOKUP($B248,dongia1,DG!$G$5,)</f>
        <v>0</v>
      </c>
      <c r="K248" s="121">
        <f>VLOOKUP($B248,dongia1,DG!$H$5,)</f>
        <v>0</v>
      </c>
      <c r="L248" s="39">
        <f t="shared" si="68"/>
        <v>0</v>
      </c>
      <c r="M248" s="39">
        <f t="shared" si="69"/>
        <v>0</v>
      </c>
      <c r="N248" s="39">
        <f t="shared" si="70"/>
        <v>0</v>
      </c>
      <c r="O248" s="39">
        <f t="shared" si="71"/>
        <v>0</v>
      </c>
      <c r="P248" s="161"/>
    </row>
    <row r="249" spans="1:20" s="34" customFormat="1">
      <c r="A249" s="29" t="str">
        <f t="shared" ref="A249:A274" si="72">IF(G249=0,"",1)</f>
        <v/>
      </c>
      <c r="B249" s="159" t="s">
        <v>577</v>
      </c>
      <c r="C249" s="119"/>
      <c r="D249" s="120"/>
      <c r="E249" s="151" t="str">
        <f>VLOOKUP($B249,dongia1,DG!$C$5,)</f>
        <v>Sắt   Þ6</v>
      </c>
      <c r="F249" s="120" t="str">
        <f>VLOOKUP($B249,dongia1,DG!$D$5,)</f>
        <v>kg</v>
      </c>
      <c r="G249" s="74">
        <f>0.71*G243</f>
        <v>0</v>
      </c>
      <c r="H249" s="121">
        <f>VLOOKUP($B249,dongia1,DG!$F$5,)</f>
        <v>13200</v>
      </c>
      <c r="I249" s="160"/>
      <c r="J249" s="121">
        <f>VLOOKUP($B249,dongia1,DG!$G$5,)</f>
        <v>0</v>
      </c>
      <c r="K249" s="121">
        <f>VLOOKUP($B249,dongia1,DG!$H$5,)</f>
        <v>0</v>
      </c>
      <c r="L249" s="39">
        <f t="shared" si="68"/>
        <v>0</v>
      </c>
      <c r="M249" s="39">
        <f t="shared" si="69"/>
        <v>0</v>
      </c>
      <c r="N249" s="39">
        <f t="shared" si="70"/>
        <v>0</v>
      </c>
      <c r="O249" s="39">
        <f t="shared" si="71"/>
        <v>0</v>
      </c>
      <c r="P249" s="161"/>
    </row>
    <row r="250" spans="1:20" s="34" customFormat="1">
      <c r="A250" s="29" t="str">
        <f t="shared" si="72"/>
        <v/>
      </c>
      <c r="B250" s="159" t="s">
        <v>60</v>
      </c>
      <c r="C250" s="119"/>
      <c r="D250" s="120"/>
      <c r="E250" s="151" t="str">
        <f>VLOOKUP($B250,dongia1,DG!$C$5,)</f>
        <v>Kẽm</v>
      </c>
      <c r="F250" s="120" t="str">
        <f>VLOOKUP($B250,dongia1,DG!$D$5,)</f>
        <v>kg</v>
      </c>
      <c r="G250" s="74">
        <f>+G243*0.005</f>
        <v>0</v>
      </c>
      <c r="H250" s="121">
        <f>VLOOKUP($B250,dongia1,DG!$F$5,)</f>
        <v>10500</v>
      </c>
      <c r="I250" s="160"/>
      <c r="J250" s="121">
        <f>VLOOKUP($B250,dongia1,DG!$G$5,)</f>
        <v>0</v>
      </c>
      <c r="K250" s="121">
        <f>VLOOKUP($B250,dongia1,DG!$H$5,)</f>
        <v>0</v>
      </c>
      <c r="L250" s="39">
        <f t="shared" si="68"/>
        <v>0</v>
      </c>
      <c r="M250" s="39">
        <f t="shared" si="69"/>
        <v>0</v>
      </c>
      <c r="N250" s="39">
        <f t="shared" si="70"/>
        <v>0</v>
      </c>
      <c r="O250" s="39">
        <f t="shared" si="71"/>
        <v>0</v>
      </c>
      <c r="P250" s="161"/>
    </row>
    <row r="251" spans="1:20" s="34" customFormat="1">
      <c r="A251" s="29" t="str">
        <f t="shared" si="72"/>
        <v/>
      </c>
      <c r="B251" s="159" t="s">
        <v>60</v>
      </c>
      <c r="C251" s="119"/>
      <c r="D251" s="120"/>
      <c r="E251" s="151" t="str">
        <f>VLOOKUP($B251,dongia1,DG!$C$5,)</f>
        <v>Kẽm</v>
      </c>
      <c r="F251" s="120" t="str">
        <f>VLOOKUP($B251,dongia1,DG!$D$5,)</f>
        <v>kg</v>
      </c>
      <c r="G251" s="74"/>
      <c r="H251" s="121"/>
      <c r="I251" s="160"/>
      <c r="J251" s="121">
        <f>VLOOKUP($B251,dongia1,DG!$G$5,)</f>
        <v>0</v>
      </c>
      <c r="K251" s="121">
        <f>VLOOKUP($B251,dongia1,DG!$H$5,)</f>
        <v>0</v>
      </c>
      <c r="L251" s="39">
        <f>H251*$G251</f>
        <v>0</v>
      </c>
      <c r="M251" s="39">
        <f>I251*$G251</f>
        <v>0</v>
      </c>
      <c r="N251" s="39">
        <f t="shared" si="70"/>
        <v>0</v>
      </c>
      <c r="O251" s="39">
        <f>K251*$G251</f>
        <v>0</v>
      </c>
      <c r="P251" s="161"/>
    </row>
    <row r="252" spans="1:20" s="34" customFormat="1">
      <c r="A252" s="29" t="str">
        <f t="shared" si="72"/>
        <v/>
      </c>
      <c r="B252" s="159" t="s">
        <v>2066</v>
      </c>
      <c r="C252" s="119"/>
      <c r="D252" s="120" t="str">
        <f>VLOOKUP($B252,dongia1,DG!$B$5,)</f>
        <v>AF.11220</v>
      </c>
      <c r="E252" s="151" t="str">
        <f>VLOOKUP($B252,dongia1,DG!$C$5,)</f>
        <v>Đổ bê tông mác M200 đá 1x 2rộng &gt;250cm</v>
      </c>
      <c r="F252" s="120" t="str">
        <f>VLOOKUP($B252,dongia1,DG!$D$5,)</f>
        <v>m3</v>
      </c>
      <c r="G252" s="74">
        <f>0.023*G243</f>
        <v>0</v>
      </c>
      <c r="H252" s="121"/>
      <c r="I252" s="160"/>
      <c r="J252" s="121">
        <f>VLOOKUP($B252,dongia1,DG!$G$5,)</f>
        <v>466397.5</v>
      </c>
      <c r="K252" s="121"/>
      <c r="L252" s="39">
        <f t="shared" si="68"/>
        <v>0</v>
      </c>
      <c r="M252" s="39">
        <f t="shared" si="69"/>
        <v>0</v>
      </c>
      <c r="N252" s="39">
        <f t="shared" si="70"/>
        <v>0</v>
      </c>
      <c r="O252" s="39">
        <f t="shared" si="71"/>
        <v>0</v>
      </c>
      <c r="P252" s="161"/>
      <c r="Q252" s="34">
        <f>1.025*361</f>
        <v>370.02499999999998</v>
      </c>
      <c r="R252" s="34">
        <f>1.025*0.45</f>
        <v>0.46124999999999999</v>
      </c>
      <c r="S252" s="34">
        <f>1.025*0.866</f>
        <v>0.88764999999999994</v>
      </c>
      <c r="T252" s="34">
        <v>4.9000000000000002E-2</v>
      </c>
    </row>
    <row r="253" spans="1:20" s="61" customFormat="1" collapsed="1">
      <c r="A253" s="29" t="str">
        <f t="shared" si="72"/>
        <v/>
      </c>
      <c r="B253" s="181"/>
      <c r="C253" s="166">
        <f>IF(G253&gt;0,C243+1,C243)</f>
        <v>0</v>
      </c>
      <c r="D253" s="167"/>
      <c r="E253" s="168" t="s">
        <v>3826</v>
      </c>
      <c r="F253" s="169" t="s">
        <v>3827</v>
      </c>
      <c r="G253" s="67"/>
      <c r="H253" s="170"/>
      <c r="I253" s="171"/>
      <c r="J253" s="172"/>
      <c r="K253" s="172"/>
      <c r="L253" s="64">
        <f t="shared" si="68"/>
        <v>0</v>
      </c>
      <c r="M253" s="60">
        <f t="shared" si="69"/>
        <v>0</v>
      </c>
      <c r="N253" s="64">
        <f t="shared" si="70"/>
        <v>0</v>
      </c>
      <c r="O253" s="64">
        <f t="shared" si="71"/>
        <v>0</v>
      </c>
      <c r="P253" s="173"/>
    </row>
    <row r="254" spans="1:20" s="34" customFormat="1" ht="14.4">
      <c r="A254" s="29" t="str">
        <f t="shared" si="72"/>
        <v/>
      </c>
      <c r="B254" s="109"/>
      <c r="C254" s="112"/>
      <c r="D254" s="120"/>
      <c r="E254" s="145" t="s">
        <v>3378</v>
      </c>
      <c r="F254" s="126"/>
      <c r="G254" s="69"/>
      <c r="H254" s="175"/>
      <c r="I254" s="176"/>
      <c r="J254" s="177"/>
      <c r="K254" s="175"/>
      <c r="L254" s="39"/>
      <c r="M254" s="62"/>
      <c r="N254" s="39"/>
      <c r="O254" s="39"/>
      <c r="P254" s="178"/>
    </row>
    <row r="255" spans="1:20" s="34" customFormat="1">
      <c r="A255" s="29" t="str">
        <f t="shared" si="72"/>
        <v/>
      </c>
      <c r="B255" s="159" t="s">
        <v>1728</v>
      </c>
      <c r="C255" s="119"/>
      <c r="D255" s="120"/>
      <c r="E255" s="151" t="str">
        <f>VLOOKUP($B255,dongia1,DG!$C$5,)</f>
        <v>Ximăng</v>
      </c>
      <c r="F255" s="120" t="str">
        <f>VLOOKUP($B255,dongia1,DG!$D$5,)</f>
        <v>kg</v>
      </c>
      <c r="G255" s="70">
        <f>G262*Q262</f>
        <v>0</v>
      </c>
      <c r="H255" s="121">
        <f>VLOOKUP($B255,dongia1,DG!$F$5,)</f>
        <v>1740</v>
      </c>
      <c r="I255" s="179"/>
      <c r="J255" s="121">
        <f>VLOOKUP($B255,dongia1,DG!$G$5,)</f>
        <v>0</v>
      </c>
      <c r="K255" s="121">
        <f>VLOOKUP($B255,dongia1,DG!$H$5,)</f>
        <v>0</v>
      </c>
      <c r="L255" s="39">
        <f t="shared" ref="L255:L264" si="73">H255*$G255</f>
        <v>0</v>
      </c>
      <c r="M255" s="62">
        <f t="shared" ref="M255:M264" si="74">I255*$G255</f>
        <v>0</v>
      </c>
      <c r="N255" s="39">
        <f t="shared" ref="N255:N264" si="75">J255*$G255</f>
        <v>0</v>
      </c>
      <c r="O255" s="39">
        <f t="shared" ref="O255:O264" si="76">K255*$G255</f>
        <v>0</v>
      </c>
      <c r="P255" s="161"/>
    </row>
    <row r="256" spans="1:20" s="34" customFormat="1">
      <c r="A256" s="29" t="str">
        <f t="shared" si="72"/>
        <v/>
      </c>
      <c r="B256" s="159" t="s">
        <v>1729</v>
      </c>
      <c r="C256" s="119"/>
      <c r="D256" s="120"/>
      <c r="E256" s="151" t="str">
        <f>VLOOKUP($B256,dongia1,DG!$C$5,)</f>
        <v>Cát vàng</v>
      </c>
      <c r="F256" s="120" t="str">
        <f>VLOOKUP($B256,dongia1,DG!$D$5,)</f>
        <v>m3</v>
      </c>
      <c r="G256" s="70">
        <f>G262*R262</f>
        <v>0</v>
      </c>
      <c r="H256" s="121">
        <f>VLOOKUP($B256,dongia1,DG!$F$5,)</f>
        <v>512000</v>
      </c>
      <c r="I256" s="179"/>
      <c r="J256" s="121">
        <f>VLOOKUP($B256,dongia1,DG!$G$5,)</f>
        <v>0</v>
      </c>
      <c r="K256" s="121">
        <f>VLOOKUP($B256,dongia1,DG!$H$5,)</f>
        <v>0</v>
      </c>
      <c r="L256" s="39">
        <f t="shared" si="73"/>
        <v>0</v>
      </c>
      <c r="M256" s="62">
        <f t="shared" si="74"/>
        <v>0</v>
      </c>
      <c r="N256" s="39">
        <f t="shared" si="75"/>
        <v>0</v>
      </c>
      <c r="O256" s="39">
        <f t="shared" si="76"/>
        <v>0</v>
      </c>
      <c r="P256" s="161"/>
    </row>
    <row r="257" spans="1:20" s="34" customFormat="1">
      <c r="A257" s="29" t="str">
        <f t="shared" si="72"/>
        <v/>
      </c>
      <c r="B257" s="159" t="s">
        <v>853</v>
      </c>
      <c r="C257" s="119"/>
      <c r="D257" s="120"/>
      <c r="E257" s="151" t="str">
        <f>VLOOKUP($B257,dongia1,DG!$C$5,)</f>
        <v>Đá 1x2</v>
      </c>
      <c r="F257" s="120" t="str">
        <f>VLOOKUP($B257,dongia1,DG!$D$5,)</f>
        <v>m3</v>
      </c>
      <c r="G257" s="70">
        <f>G262*S262</f>
        <v>0</v>
      </c>
      <c r="H257" s="121">
        <f>VLOOKUP($B257,dongia1,DG!$F$5,)</f>
        <v>335000</v>
      </c>
      <c r="I257" s="179"/>
      <c r="J257" s="121">
        <f>VLOOKUP($B257,dongia1,DG!$G$5,)</f>
        <v>0</v>
      </c>
      <c r="K257" s="121">
        <f>VLOOKUP($B257,dongia1,DG!$H$5,)</f>
        <v>0</v>
      </c>
      <c r="L257" s="39">
        <f t="shared" si="73"/>
        <v>0</v>
      </c>
      <c r="M257" s="62">
        <f t="shared" si="74"/>
        <v>0</v>
      </c>
      <c r="N257" s="39">
        <f t="shared" si="75"/>
        <v>0</v>
      </c>
      <c r="O257" s="39">
        <f t="shared" si="76"/>
        <v>0</v>
      </c>
      <c r="P257" s="161"/>
    </row>
    <row r="258" spans="1:20" s="34" customFormat="1">
      <c r="A258" s="29" t="str">
        <f t="shared" si="72"/>
        <v/>
      </c>
      <c r="B258" s="159" t="s">
        <v>1647</v>
      </c>
      <c r="C258" s="119"/>
      <c r="D258" s="120"/>
      <c r="E258" s="151" t="str">
        <f>VLOOKUP($B258,dongia1,DG!$C$5,)&amp;" : 11,16m/naép"</f>
        <v>Sắt góc L32 x 32 x 3 : 11,16m/naép</v>
      </c>
      <c r="F258" s="120" t="str">
        <f>VLOOKUP($B258,dongia1,DG!$D$5,)</f>
        <v>kg</v>
      </c>
      <c r="G258" s="70">
        <f>G253*11.16*1.46</f>
        <v>0</v>
      </c>
      <c r="H258" s="121">
        <f>VLOOKUP($B258,dongia1,DG!$F$5,)</f>
        <v>31625</v>
      </c>
      <c r="I258" s="179"/>
      <c r="J258" s="121">
        <f>VLOOKUP($B258,dongia1,DG!$G$5,)</f>
        <v>0</v>
      </c>
      <c r="K258" s="121">
        <f>VLOOKUP($B258,dongia1,DG!$H$5,)</f>
        <v>0</v>
      </c>
      <c r="L258" s="39">
        <f>H258*$G258</f>
        <v>0</v>
      </c>
      <c r="M258" s="62">
        <f>I258*$G258</f>
        <v>0</v>
      </c>
      <c r="N258" s="39">
        <f>J258*$G258</f>
        <v>0</v>
      </c>
      <c r="O258" s="39">
        <f>K258*$G258</f>
        <v>0</v>
      </c>
      <c r="P258" s="161"/>
    </row>
    <row r="259" spans="1:20" s="34" customFormat="1">
      <c r="A259" s="29" t="str">
        <f t="shared" si="72"/>
        <v/>
      </c>
      <c r="B259" s="159" t="s">
        <v>59</v>
      </c>
      <c r="C259" s="119"/>
      <c r="D259" s="120"/>
      <c r="E259" s="151" t="str">
        <f>VLOOKUP($B259,dongia1,DG!$C$5,)</f>
        <v>Sắt   Þ8</v>
      </c>
      <c r="F259" s="120" t="str">
        <f>VLOOKUP($B259,dongia1,DG!$D$5,)</f>
        <v>kg</v>
      </c>
      <c r="G259" s="70">
        <f>G253*13.32</f>
        <v>0</v>
      </c>
      <c r="H259" s="121">
        <f>VLOOKUP($B259,dongia1,DG!$F$5,)</f>
        <v>13200</v>
      </c>
      <c r="I259" s="179"/>
      <c r="J259" s="121">
        <f>VLOOKUP($B259,dongia1,DG!$G$5,)</f>
        <v>0</v>
      </c>
      <c r="K259" s="121">
        <f>VLOOKUP($B259,dongia1,DG!$H$5,)</f>
        <v>0</v>
      </c>
      <c r="L259" s="39">
        <f t="shared" si="73"/>
        <v>0</v>
      </c>
      <c r="M259" s="62">
        <f t="shared" si="74"/>
        <v>0</v>
      </c>
      <c r="N259" s="39">
        <f t="shared" si="75"/>
        <v>0</v>
      </c>
      <c r="O259" s="39">
        <f t="shared" si="76"/>
        <v>0</v>
      </c>
      <c r="P259" s="161"/>
    </row>
    <row r="260" spans="1:20" s="34" customFormat="1">
      <c r="A260" s="29" t="str">
        <f t="shared" si="72"/>
        <v/>
      </c>
      <c r="B260" s="159" t="s">
        <v>60</v>
      </c>
      <c r="C260" s="119"/>
      <c r="D260" s="120"/>
      <c r="E260" s="151" t="str">
        <f>VLOOKUP($B260,dongia1,DG!$C$5,)</f>
        <v>Kẽm</v>
      </c>
      <c r="F260" s="120" t="str">
        <f>VLOOKUP($B260,dongia1,DG!$D$5,)</f>
        <v>kg</v>
      </c>
      <c r="G260" s="70">
        <f>G253*0.1</f>
        <v>0</v>
      </c>
      <c r="H260" s="121">
        <f>VLOOKUP($B260,dongia1,DG!$F$5,)</f>
        <v>10500</v>
      </c>
      <c r="I260" s="179"/>
      <c r="J260" s="121">
        <f>VLOOKUP($B260,dongia1,DG!$G$5,)</f>
        <v>0</v>
      </c>
      <c r="K260" s="121">
        <f>VLOOKUP($B260,dongia1,DG!$H$5,)</f>
        <v>0</v>
      </c>
      <c r="L260" s="39">
        <f t="shared" si="73"/>
        <v>0</v>
      </c>
      <c r="M260" s="62">
        <f t="shared" si="74"/>
        <v>0</v>
      </c>
      <c r="N260" s="39">
        <f t="shared" si="75"/>
        <v>0</v>
      </c>
      <c r="O260" s="39">
        <f t="shared" si="76"/>
        <v>0</v>
      </c>
      <c r="P260" s="161"/>
    </row>
    <row r="261" spans="1:20" s="34" customFormat="1">
      <c r="A261" s="29" t="str">
        <f t="shared" si="72"/>
        <v/>
      </c>
      <c r="B261" s="159" t="s">
        <v>732</v>
      </c>
      <c r="C261" s="119"/>
      <c r="D261" s="120" t="str">
        <f>VLOOKUP($B261,dongia1,DG!$B$5,)</f>
        <v>AB.66112</v>
      </c>
      <c r="E261" s="151" t="str">
        <f>VLOOKUP($B261,dongia1,DG!$C$5,)</f>
        <v>Rải cát đệm (độ chặt K=0,9)</v>
      </c>
      <c r="F261" s="120" t="str">
        <f>VLOOKUP($B261,dongia1,DG!$D$5,)</f>
        <v>m3</v>
      </c>
      <c r="G261" s="70">
        <f>G256</f>
        <v>0</v>
      </c>
      <c r="H261" s="121"/>
      <c r="I261" s="160"/>
      <c r="J261" s="121">
        <f>VLOOKUP($B261,dongia1,DG!$G$5,)</f>
        <v>315277.5</v>
      </c>
      <c r="K261" s="121">
        <f>VLOOKUP($B261,dongia1,DG!$H$5,)</f>
        <v>0</v>
      </c>
      <c r="L261" s="39">
        <f t="shared" si="73"/>
        <v>0</v>
      </c>
      <c r="M261" s="39">
        <f t="shared" si="74"/>
        <v>0</v>
      </c>
      <c r="N261" s="39">
        <f t="shared" si="75"/>
        <v>0</v>
      </c>
      <c r="O261" s="39">
        <f t="shared" si="76"/>
        <v>0</v>
      </c>
      <c r="P261" s="161"/>
    </row>
    <row r="262" spans="1:20" s="34" customFormat="1" ht="27.6">
      <c r="A262" s="29" t="str">
        <f t="shared" si="72"/>
        <v/>
      </c>
      <c r="B262" s="159" t="s">
        <v>2066</v>
      </c>
      <c r="C262" s="119"/>
      <c r="D262" s="120" t="str">
        <f>VLOOKUP($B262,dongia1,DG!$B$5,)</f>
        <v>AF.11220</v>
      </c>
      <c r="E262" s="151" t="str">
        <f>VLOOKUP($B262,dongia1,DG!$C$5,)&amp;" : 0,097m3/naép"</f>
        <v>Đổ bê tông mác M200 đá 1x 2rộng &gt;250cm : 0,097m3/naép</v>
      </c>
      <c r="F262" s="120" t="str">
        <f>VLOOKUP($B262,dongia1,DG!$D$5,)</f>
        <v>m3</v>
      </c>
      <c r="G262" s="69">
        <f>G253*0.097</f>
        <v>0</v>
      </c>
      <c r="H262" s="121"/>
      <c r="I262" s="179"/>
      <c r="J262" s="121">
        <f>VLOOKUP($B262,dongia1,DG!$G$5,)</f>
        <v>466397.5</v>
      </c>
      <c r="K262" s="121">
        <f>VLOOKUP($B262,dongia1,DG!$H$5,)</f>
        <v>0</v>
      </c>
      <c r="L262" s="39">
        <f t="shared" si="73"/>
        <v>0</v>
      </c>
      <c r="M262" s="62">
        <f t="shared" si="74"/>
        <v>0</v>
      </c>
      <c r="N262" s="39">
        <f t="shared" si="75"/>
        <v>0</v>
      </c>
      <c r="O262" s="39">
        <f t="shared" si="76"/>
        <v>0</v>
      </c>
      <c r="P262" s="161"/>
      <c r="Q262" s="32">
        <f>1.025*361</f>
        <v>370.02499999999998</v>
      </c>
      <c r="R262" s="32">
        <f>1.025*0.45</f>
        <v>0.46124999999999999</v>
      </c>
      <c r="S262" s="32">
        <f>1.025*0.866</f>
        <v>0.88764999999999994</v>
      </c>
      <c r="T262" s="32">
        <v>4.9000000000000002E-2</v>
      </c>
    </row>
    <row r="263" spans="1:20" s="34" customFormat="1" outlineLevel="1">
      <c r="A263" s="29" t="str">
        <f t="shared" si="72"/>
        <v/>
      </c>
      <c r="B263" s="129" t="s">
        <v>1536</v>
      </c>
      <c r="C263" s="188"/>
      <c r="D263" s="185" t="str">
        <f>VLOOKUP($B263,dongia1,DG!$B$5,)</f>
        <v>D4.24.05</v>
      </c>
      <c r="E263" s="187" t="str">
        <f>VLOOKUP($B263,dongia1,DG!$C$5,)</f>
        <v>Lắp cáp trong ống bảo vệ loại &lt;=6kg</v>
      </c>
      <c r="F263" s="185" t="str">
        <f>VLOOKUP($B263,dongia1,DG!$D$5,)</f>
        <v>mét</v>
      </c>
      <c r="G263" s="71"/>
      <c r="H263" s="182"/>
      <c r="I263" s="189"/>
      <c r="J263" s="182">
        <f>VLOOKUP($B263,dongia1,DG!$G$5,)</f>
        <v>21459.713</v>
      </c>
      <c r="K263" s="182">
        <f>VLOOKUP($B263,dongia1,DG!$H$5,)</f>
        <v>0</v>
      </c>
      <c r="L263" s="72">
        <f t="shared" si="73"/>
        <v>0</v>
      </c>
      <c r="M263" s="72">
        <f t="shared" si="74"/>
        <v>0</v>
      </c>
      <c r="N263" s="72">
        <f t="shared" si="75"/>
        <v>0</v>
      </c>
      <c r="O263" s="72">
        <f t="shared" si="76"/>
        <v>0</v>
      </c>
      <c r="P263" s="161"/>
    </row>
    <row r="264" spans="1:20" s="1740" customFormat="1">
      <c r="A264" s="29" t="str">
        <f t="shared" si="72"/>
        <v/>
      </c>
      <c r="B264" s="1732"/>
      <c r="C264" s="166">
        <f>IF(G264&gt;0,C253+1,C253)</f>
        <v>0</v>
      </c>
      <c r="D264" s="1733"/>
      <c r="E264" s="168" t="s">
        <v>5683</v>
      </c>
      <c r="F264" s="169" t="s">
        <v>2226</v>
      </c>
      <c r="G264" s="1806">
        <f>ppCN!AE40</f>
        <v>0</v>
      </c>
      <c r="H264" s="193"/>
      <c r="I264" s="1735"/>
      <c r="J264" s="1736"/>
      <c r="K264" s="1736"/>
      <c r="L264" s="1737">
        <f t="shared" si="73"/>
        <v>0</v>
      </c>
      <c r="M264" s="1738">
        <f t="shared" si="74"/>
        <v>0</v>
      </c>
      <c r="N264" s="1737">
        <f t="shared" si="75"/>
        <v>0</v>
      </c>
      <c r="O264" s="1737">
        <f t="shared" si="76"/>
        <v>0</v>
      </c>
      <c r="P264" s="1739"/>
    </row>
    <row r="265" spans="1:20" s="34" customFormat="1" ht="14.4">
      <c r="A265" s="29" t="str">
        <f t="shared" si="72"/>
        <v/>
      </c>
      <c r="B265" s="109"/>
      <c r="C265" s="112"/>
      <c r="D265" s="120"/>
      <c r="E265" s="145" t="s">
        <v>3378</v>
      </c>
      <c r="F265" s="126"/>
      <c r="G265" s="69"/>
      <c r="H265" s="175"/>
      <c r="I265" s="176"/>
      <c r="J265" s="177"/>
      <c r="K265" s="175"/>
      <c r="L265" s="39"/>
      <c r="M265" s="62"/>
      <c r="N265" s="39"/>
      <c r="O265" s="39"/>
      <c r="P265" s="178"/>
    </row>
    <row r="266" spans="1:20" s="34" customFormat="1">
      <c r="A266" s="29" t="str">
        <f t="shared" si="72"/>
        <v/>
      </c>
      <c r="B266" s="159" t="s">
        <v>5610</v>
      </c>
      <c r="C266" s="119"/>
      <c r="D266" s="120">
        <f>VLOOKUP($B266,dongia1,DG!$B$5,)</f>
        <v>0</v>
      </c>
      <c r="E266" s="151" t="str">
        <f>VLOOKUP($B266,dongia1,DG!$C$5,)</f>
        <v>Bêtông đá 1x2 mac 200</v>
      </c>
      <c r="F266" s="120" t="str">
        <f>VLOOKUP($B266,dongia1,DG!$D$5,)</f>
        <v>m3</v>
      </c>
      <c r="G266" s="70">
        <f>G264*1.4</f>
        <v>0</v>
      </c>
      <c r="H266" s="121">
        <f>VLOOKUP($B266,dongia1,DG!$F$5,)</f>
        <v>920580</v>
      </c>
      <c r="I266" s="179"/>
      <c r="J266" s="121">
        <f>VLOOKUP($B266,dongia1,DG!$G$5,)</f>
        <v>0</v>
      </c>
      <c r="K266" s="121">
        <f>VLOOKUP($B266,dongia1,DG!$H$5,)</f>
        <v>0</v>
      </c>
      <c r="L266" s="39">
        <f t="shared" ref="L266:L274" si="77">H266*$G266</f>
        <v>0</v>
      </c>
      <c r="M266" s="62">
        <f t="shared" ref="M266:M274" si="78">I266*$G266</f>
        <v>0</v>
      </c>
      <c r="N266" s="39">
        <f t="shared" ref="N266:N274" si="79">J266*$G266</f>
        <v>0</v>
      </c>
      <c r="O266" s="39">
        <f t="shared" ref="O266:O274" si="80">K266*$G266</f>
        <v>0</v>
      </c>
      <c r="P266" s="161"/>
    </row>
    <row r="267" spans="1:20" s="34" customFormat="1">
      <c r="A267" s="29" t="str">
        <f t="shared" si="72"/>
        <v/>
      </c>
      <c r="B267" s="159" t="s">
        <v>1729</v>
      </c>
      <c r="C267" s="119"/>
      <c r="D267" s="120">
        <f>VLOOKUP($B267,dongia1,DG!$B$5,)</f>
        <v>0</v>
      </c>
      <c r="E267" s="151" t="str">
        <f>VLOOKUP($B267,dongia1,DG!$C$5,)</f>
        <v>Cát vàng</v>
      </c>
      <c r="F267" s="120" t="str">
        <f>VLOOKUP($B267,dongia1,DG!$D$5,)</f>
        <v>m3</v>
      </c>
      <c r="G267" s="70">
        <f>G264*2.2</f>
        <v>0</v>
      </c>
      <c r="H267" s="121">
        <f>VLOOKUP($B267,dongia1,DG!$F$5,)</f>
        <v>512000</v>
      </c>
      <c r="I267" s="179"/>
      <c r="J267" s="121">
        <f>VLOOKUP($B267,dongia1,DG!$G$5,)</f>
        <v>0</v>
      </c>
      <c r="K267" s="121">
        <f>VLOOKUP($B267,dongia1,DG!$H$5,)</f>
        <v>0</v>
      </c>
      <c r="L267" s="39">
        <f t="shared" si="77"/>
        <v>0</v>
      </c>
      <c r="M267" s="62">
        <f t="shared" si="78"/>
        <v>0</v>
      </c>
      <c r="N267" s="39">
        <f t="shared" si="79"/>
        <v>0</v>
      </c>
      <c r="O267" s="39">
        <f t="shared" si="80"/>
        <v>0</v>
      </c>
      <c r="P267" s="161"/>
    </row>
    <row r="268" spans="1:20" s="34" customFormat="1">
      <c r="A268" s="29" t="str">
        <f t="shared" si="72"/>
        <v/>
      </c>
      <c r="B268" s="159" t="s">
        <v>62</v>
      </c>
      <c r="C268" s="119"/>
      <c r="D268" s="120">
        <f>VLOOKUP($B268,dongia1,DG!$B$5,)</f>
        <v>0</v>
      </c>
      <c r="E268" s="151" t="str">
        <f>VLOOKUP($B268,dongia1,DG!$C$5,)</f>
        <v>Sắt   Þ10</v>
      </c>
      <c r="F268" s="120" t="str">
        <f>VLOOKUP($B268,dongia1,DG!$D$5,)</f>
        <v>kg</v>
      </c>
      <c r="G268" s="70">
        <f>G264*105</f>
        <v>0</v>
      </c>
      <c r="H268" s="121">
        <f>VLOOKUP($B268,dongia1,DG!$F$5,)</f>
        <v>13300</v>
      </c>
      <c r="I268" s="179"/>
      <c r="J268" s="121">
        <f>VLOOKUP($B268,dongia1,DG!$G$5,)</f>
        <v>0</v>
      </c>
      <c r="K268" s="121">
        <f>VLOOKUP($B268,dongia1,DG!$H$5,)</f>
        <v>0</v>
      </c>
      <c r="L268" s="39">
        <f t="shared" si="77"/>
        <v>0</v>
      </c>
      <c r="M268" s="62">
        <f t="shared" si="78"/>
        <v>0</v>
      </c>
      <c r="N268" s="39">
        <f t="shared" si="79"/>
        <v>0</v>
      </c>
      <c r="O268" s="39">
        <f t="shared" si="80"/>
        <v>0</v>
      </c>
      <c r="P268" s="161"/>
    </row>
    <row r="269" spans="1:20" s="34" customFormat="1">
      <c r="A269" s="29" t="str">
        <f t="shared" si="72"/>
        <v/>
      </c>
      <c r="B269" s="159" t="s">
        <v>60</v>
      </c>
      <c r="C269" s="119"/>
      <c r="D269" s="120">
        <f>VLOOKUP($B269,dongia1,DG!$B$5,)</f>
        <v>0</v>
      </c>
      <c r="E269" s="151" t="str">
        <f>VLOOKUP($B269,dongia1,DG!$C$5,)&amp;" : 11,16m/naép"</f>
        <v>Kẽm : 11,16m/naép</v>
      </c>
      <c r="F269" s="120" t="str">
        <f>VLOOKUP($B269,dongia1,DG!$D$5,)</f>
        <v>kg</v>
      </c>
      <c r="G269" s="70"/>
      <c r="H269" s="121">
        <f>VLOOKUP($B269,dongia1,DG!$F$5,)</f>
        <v>10500</v>
      </c>
      <c r="I269" s="179"/>
      <c r="J269" s="121">
        <f>VLOOKUP($B269,dongia1,DG!$G$5,)</f>
        <v>0</v>
      </c>
      <c r="K269" s="121">
        <f>VLOOKUP($B269,dongia1,DG!$H$5,)</f>
        <v>0</v>
      </c>
      <c r="L269" s="39">
        <f t="shared" si="77"/>
        <v>0</v>
      </c>
      <c r="M269" s="62">
        <f t="shared" si="78"/>
        <v>0</v>
      </c>
      <c r="N269" s="39">
        <f t="shared" si="79"/>
        <v>0</v>
      </c>
      <c r="O269" s="39">
        <f t="shared" si="80"/>
        <v>0</v>
      </c>
      <c r="P269" s="161"/>
    </row>
    <row r="270" spans="1:20" s="34" customFormat="1">
      <c r="A270" s="29" t="str">
        <f t="shared" si="72"/>
        <v/>
      </c>
      <c r="B270" s="159" t="s">
        <v>732</v>
      </c>
      <c r="C270" s="119"/>
      <c r="D270" s="120" t="str">
        <f>VLOOKUP($B270,dongia1,DG!$B$5,)</f>
        <v>AB.66112</v>
      </c>
      <c r="E270" s="151" t="str">
        <f>VLOOKUP($B270,dongia1,DG!$C$5,)</f>
        <v>Rải cát đệm (độ chặt K=0,9)</v>
      </c>
      <c r="F270" s="120" t="str">
        <f>VLOOKUP($B270,dongia1,DG!$D$5,)</f>
        <v>m3</v>
      </c>
      <c r="G270" s="70">
        <f>G264*G267</f>
        <v>0</v>
      </c>
      <c r="H270" s="121">
        <f>VLOOKUP($B270,dongia1,DG!$F$5,)</f>
        <v>0</v>
      </c>
      <c r="I270" s="179"/>
      <c r="J270" s="121">
        <f>VLOOKUP($B270,dongia1,DG!$G$5,)</f>
        <v>315277.5</v>
      </c>
      <c r="K270" s="121">
        <f>VLOOKUP($B270,dongia1,DG!$H$5,)</f>
        <v>0</v>
      </c>
      <c r="L270" s="39">
        <f t="shared" si="77"/>
        <v>0</v>
      </c>
      <c r="M270" s="62">
        <f t="shared" si="78"/>
        <v>0</v>
      </c>
      <c r="N270" s="39">
        <f t="shared" si="79"/>
        <v>0</v>
      </c>
      <c r="O270" s="39">
        <f t="shared" si="80"/>
        <v>0</v>
      </c>
      <c r="P270" s="161"/>
    </row>
    <row r="271" spans="1:20" s="34" customFormat="1">
      <c r="A271" s="29" t="str">
        <f t="shared" si="72"/>
        <v/>
      </c>
      <c r="B271" s="159" t="s">
        <v>2066</v>
      </c>
      <c r="C271" s="119"/>
      <c r="D271" s="120" t="str">
        <f>VLOOKUP($B271,dongia1,DG!$B$5,)</f>
        <v>AF.11220</v>
      </c>
      <c r="E271" s="151" t="str">
        <f>VLOOKUP($B271,dongia1,DG!$C$5,)</f>
        <v>Đổ bê tông mác M200 đá 1x 2rộng &gt;250cm</v>
      </c>
      <c r="F271" s="120" t="str">
        <f>VLOOKUP($B271,dongia1,DG!$D$5,)</f>
        <v>m3</v>
      </c>
      <c r="G271" s="70">
        <f>G264*G266</f>
        <v>0</v>
      </c>
      <c r="H271" s="121"/>
      <c r="I271" s="179"/>
      <c r="J271" s="121">
        <f>VLOOKUP($B271,dongia1,DG!$G$5,)</f>
        <v>466397.5</v>
      </c>
      <c r="K271" s="121">
        <f>VLOOKUP($B271,dongia1,DG!$H$5,)</f>
        <v>0</v>
      </c>
      <c r="L271" s="39">
        <f t="shared" si="77"/>
        <v>0</v>
      </c>
      <c r="M271" s="62">
        <f t="shared" si="78"/>
        <v>0</v>
      </c>
      <c r="N271" s="39">
        <f t="shared" si="79"/>
        <v>0</v>
      </c>
      <c r="O271" s="39">
        <f t="shared" si="80"/>
        <v>0</v>
      </c>
      <c r="P271" s="161"/>
    </row>
    <row r="272" spans="1:20" s="34" customFormat="1" ht="27.6">
      <c r="A272" s="29" t="str">
        <f t="shared" si="72"/>
        <v/>
      </c>
      <c r="B272" s="1759" t="s">
        <v>4946</v>
      </c>
      <c r="C272" s="119"/>
      <c r="D272" s="120" t="str">
        <f>VLOOKUP($B272,dongia1,DG!$B$5,)</f>
        <v>AB.11423</v>
      </c>
      <c r="E272" s="151" t="str">
        <f>VLOOKUP($B272,dongia1,DG!$C$5,)</f>
        <v>Đào hố móng kiểm tra đất cấp III rộng &lt;=1m, sâu &gt;1m</v>
      </c>
      <c r="F272" s="120" t="str">
        <f>VLOOKUP($B272,dongia1,DG!$D$5,)</f>
        <v>m3</v>
      </c>
      <c r="G272" s="70">
        <f>G264*4.3</f>
        <v>0</v>
      </c>
      <c r="H272" s="121"/>
      <c r="I272" s="160"/>
      <c r="J272" s="121">
        <f>VLOOKUP($B272,dongia1,DG!$G$5,)</f>
        <v>491832.89999999997</v>
      </c>
      <c r="K272" s="121">
        <f>VLOOKUP($B272,dongia1,DG!$H$5,)</f>
        <v>0</v>
      </c>
      <c r="L272" s="39">
        <f t="shared" si="77"/>
        <v>0</v>
      </c>
      <c r="M272" s="39">
        <f t="shared" si="78"/>
        <v>0</v>
      </c>
      <c r="N272" s="39">
        <f t="shared" si="79"/>
        <v>0</v>
      </c>
      <c r="O272" s="39">
        <f t="shared" si="80"/>
        <v>0</v>
      </c>
      <c r="P272" s="161"/>
    </row>
    <row r="273" spans="1:20" s="34" customFormat="1">
      <c r="A273" s="29" t="str">
        <f t="shared" si="72"/>
        <v/>
      </c>
      <c r="B273" s="1759" t="s">
        <v>491</v>
      </c>
      <c r="C273" s="119"/>
      <c r="D273" s="120" t="str">
        <f>VLOOKUP($B273,dongia1,DG!$B$5,)</f>
        <v>AB.65120</v>
      </c>
      <c r="E273" s="151" t="str">
        <f>VLOOKUP($B273,dongia1,DG!$C$5,)</f>
        <v>Đắp đất hố móng</v>
      </c>
      <c r="F273" s="120" t="str">
        <f>VLOOKUP($B273,dongia1,DG!$D$5,)</f>
        <v>m3</v>
      </c>
      <c r="G273" s="69">
        <f>G264*0.6</f>
        <v>0</v>
      </c>
      <c r="H273" s="121"/>
      <c r="I273" s="179"/>
      <c r="J273" s="121">
        <f>VLOOKUP($B273,dongia1,DG!$G$5,)</f>
        <v>18580.353999999999</v>
      </c>
      <c r="K273" s="121">
        <f>VLOOKUP($B273,dongia1,DG!$H$5,)</f>
        <v>0</v>
      </c>
      <c r="L273" s="39">
        <f t="shared" si="77"/>
        <v>0</v>
      </c>
      <c r="M273" s="62">
        <f t="shared" si="78"/>
        <v>0</v>
      </c>
      <c r="N273" s="39">
        <f t="shared" si="79"/>
        <v>0</v>
      </c>
      <c r="O273" s="39">
        <f t="shared" si="80"/>
        <v>0</v>
      </c>
      <c r="P273" s="161"/>
      <c r="Q273" s="32">
        <f>1.025*361</f>
        <v>370.02499999999998</v>
      </c>
      <c r="R273" s="32">
        <f>1.025*0.45</f>
        <v>0.46124999999999999</v>
      </c>
      <c r="S273" s="32">
        <f>1.025*0.866</f>
        <v>0.88764999999999994</v>
      </c>
      <c r="T273" s="32">
        <v>4.9000000000000002E-2</v>
      </c>
    </row>
    <row r="274" spans="1:20" s="34" customFormat="1" outlineLevel="1">
      <c r="A274" s="29" t="str">
        <f t="shared" si="72"/>
        <v/>
      </c>
      <c r="B274" s="129" t="s">
        <v>1536</v>
      </c>
      <c r="C274" s="188"/>
      <c r="D274" s="185" t="str">
        <f>VLOOKUP($B274,dongia1,DG!$B$5,)</f>
        <v>D4.24.05</v>
      </c>
      <c r="E274" s="187" t="str">
        <f>VLOOKUP($B274,dongia1,DG!$C$5,)</f>
        <v>Lắp cáp trong ống bảo vệ loại &lt;=6kg</v>
      </c>
      <c r="F274" s="185" t="str">
        <f>VLOOKUP($B274,dongia1,DG!$D$5,)</f>
        <v>mét</v>
      </c>
      <c r="G274" s="71"/>
      <c r="H274" s="182"/>
      <c r="I274" s="189"/>
      <c r="J274" s="182">
        <f>VLOOKUP($B274,dongia1,DG!$G$5,)</f>
        <v>21459.713</v>
      </c>
      <c r="K274" s="182">
        <f>VLOOKUP($B274,dongia1,DG!$H$5,)</f>
        <v>0</v>
      </c>
      <c r="L274" s="72">
        <f t="shared" si="77"/>
        <v>0</v>
      </c>
      <c r="M274" s="72">
        <f t="shared" si="78"/>
        <v>0</v>
      </c>
      <c r="N274" s="72">
        <f t="shared" si="79"/>
        <v>0</v>
      </c>
      <c r="O274" s="72">
        <f t="shared" si="80"/>
        <v>0</v>
      </c>
      <c r="P274" s="161"/>
    </row>
    <row r="275" spans="1:20" s="61" customFormat="1">
      <c r="A275" s="137" t="str">
        <f>IF(G275&lt;&gt;0,1,"")</f>
        <v/>
      </c>
      <c r="B275" s="184" t="s">
        <v>622</v>
      </c>
      <c r="C275" s="166">
        <f>IF(G275&gt;0,C243+1,C243)</f>
        <v>0</v>
      </c>
      <c r="D275" s="167"/>
      <c r="E275" s="190" t="s">
        <v>5712</v>
      </c>
      <c r="F275" s="191" t="s">
        <v>1133</v>
      </c>
      <c r="G275" s="192">
        <f>ppCN!D40</f>
        <v>0</v>
      </c>
      <c r="H275" s="191"/>
      <c r="I275" s="191"/>
      <c r="J275" s="191"/>
      <c r="K275" s="191"/>
      <c r="L275" s="193"/>
      <c r="M275" s="193"/>
      <c r="N275" s="193"/>
      <c r="O275" s="194"/>
      <c r="P275" s="195"/>
    </row>
    <row r="276" spans="1:20" s="34" customFormat="1" ht="14.4">
      <c r="A276" s="29" t="str">
        <f>A275</f>
        <v/>
      </c>
      <c r="B276" s="109"/>
      <c r="C276" s="178"/>
      <c r="D276" s="120"/>
      <c r="E276" s="145" t="s">
        <v>3378</v>
      </c>
      <c r="F276" s="112"/>
      <c r="G276" s="74"/>
      <c r="H276" s="197"/>
      <c r="I276" s="197"/>
      <c r="J276" s="197"/>
      <c r="K276" s="121"/>
      <c r="L276" s="39">
        <f>H276*$G276</f>
        <v>0</v>
      </c>
      <c r="M276" s="39">
        <f>I276*$G276</f>
        <v>0</v>
      </c>
      <c r="N276" s="39">
        <f>J276*$G276</f>
        <v>0</v>
      </c>
      <c r="O276" s="39">
        <f>K276*$G276</f>
        <v>0</v>
      </c>
      <c r="P276" s="178"/>
    </row>
    <row r="277" spans="1:20" s="34" customFormat="1">
      <c r="A277" s="29" t="str">
        <f t="shared" ref="A277:A282" si="81">IF(G277&lt;&gt;0,1,"")</f>
        <v/>
      </c>
      <c r="B277" s="157" t="s">
        <v>1011</v>
      </c>
      <c r="C277" s="198"/>
      <c r="D277" s="120"/>
      <c r="E277" s="151" t="str">
        <f>VLOOKUP($B277,dongia1,DG!$C$5,)</f>
        <v>Trụ BTLT 10,5m F350 dự ứng lực</v>
      </c>
      <c r="F277" s="120" t="str">
        <f>VLOOKUP($B277,dongia1,DG!$D$5,)</f>
        <v>trụ</v>
      </c>
      <c r="G277" s="74">
        <f>G275</f>
        <v>0</v>
      </c>
      <c r="H277" s="121">
        <f>VLOOKUP($B277,dongia1,DG!$F$5,)</f>
        <v>4200000</v>
      </c>
      <c r="I277" s="121"/>
      <c r="J277" s="121"/>
      <c r="K277" s="178"/>
      <c r="L277" s="39">
        <f>H277*G277</f>
        <v>0</v>
      </c>
      <c r="M277" s="39">
        <f>I277*G277</f>
        <v>0</v>
      </c>
      <c r="N277" s="39">
        <f>J277*G277</f>
        <v>0</v>
      </c>
      <c r="O277" s="39">
        <f>K277*G277</f>
        <v>0</v>
      </c>
      <c r="P277" s="199"/>
    </row>
    <row r="278" spans="1:20" s="34" customFormat="1">
      <c r="A278" s="29" t="str">
        <f t="shared" si="81"/>
        <v/>
      </c>
      <c r="B278" s="157" t="s">
        <v>1948</v>
      </c>
      <c r="C278" s="198"/>
      <c r="D278" s="120"/>
      <c r="E278" s="151" t="str">
        <f>VLOOKUP($B278,dongia1,DG!$C$5,)</f>
        <v>Vật liệu dựng trụ</v>
      </c>
      <c r="F278" s="200" t="str">
        <f>VLOOKUP($B278,dongia1,DG!$D$5,)</f>
        <v>trụ</v>
      </c>
      <c r="G278" s="74">
        <f>G277*0</f>
        <v>0</v>
      </c>
      <c r="H278" s="121">
        <f>VLOOKUP($B278,dongia1,DG!$F$5,)</f>
        <v>20335</v>
      </c>
      <c r="I278" s="121"/>
      <c r="J278" s="121"/>
      <c r="K278" s="121">
        <f>VLOOKUP($B278,dongia1,DG!$H$5,)</f>
        <v>0</v>
      </c>
      <c r="L278" s="39">
        <f>H278*G278</f>
        <v>0</v>
      </c>
      <c r="M278" s="39">
        <f>I278*G278</f>
        <v>0</v>
      </c>
      <c r="N278" s="39">
        <f>J278*G278</f>
        <v>0</v>
      </c>
      <c r="O278" s="39">
        <f>K278*G278</f>
        <v>0</v>
      </c>
      <c r="P278" s="199"/>
    </row>
    <row r="279" spans="1:20" s="34" customFormat="1" ht="27.6">
      <c r="A279" s="29" t="str">
        <f t="shared" si="81"/>
        <v/>
      </c>
      <c r="B279" s="1759" t="s">
        <v>4946</v>
      </c>
      <c r="C279" s="198"/>
      <c r="D279" s="120" t="str">
        <f>VLOOKUP($B279,dongia1,DG!$B$5,)</f>
        <v>AB.11423</v>
      </c>
      <c r="E279" s="151" t="str">
        <f>VLOOKUP($B279,dongia1,DG!$C$5,)</f>
        <v>Đào hố móng kiểm tra đất cấp III rộng &lt;=1m, sâu &gt;1m</v>
      </c>
      <c r="F279" s="120" t="str">
        <f>VLOOKUP($B279,dongia1,DG!$D$5,)</f>
        <v>m3</v>
      </c>
      <c r="G279" s="762">
        <f>G275*1.8*0.175*0.175*3.14</f>
        <v>0</v>
      </c>
      <c r="H279" s="121">
        <f>VLOOKUP($B279,dongia1,DG!$F$5,)</f>
        <v>0</v>
      </c>
      <c r="I279" s="178"/>
      <c r="J279" s="121">
        <f>VLOOKUP($B279,dongia1,DG!$G$5,)</f>
        <v>491832.89999999997</v>
      </c>
      <c r="K279" s="121">
        <f>VLOOKUP($B279,dongia1,DG!$H$5,)</f>
        <v>0</v>
      </c>
      <c r="L279" s="39">
        <f>H279*G279</f>
        <v>0</v>
      </c>
      <c r="M279" s="39">
        <f>I279*G279</f>
        <v>0</v>
      </c>
      <c r="N279" s="39">
        <f>J279*G279</f>
        <v>0</v>
      </c>
      <c r="O279" s="39">
        <f>K279*G279</f>
        <v>0</v>
      </c>
      <c r="P279" s="199"/>
      <c r="Q279" s="1825">
        <f>0.35/2</f>
        <v>0.17499999999999999</v>
      </c>
    </row>
    <row r="280" spans="1:20" s="34" customFormat="1">
      <c r="A280" s="29" t="str">
        <f t="shared" si="81"/>
        <v/>
      </c>
      <c r="B280" s="164" t="s">
        <v>855</v>
      </c>
      <c r="C280" s="198"/>
      <c r="D280" s="120" t="str">
        <f>VLOOKUP($B280,dongia1,DG!$B$5,)</f>
        <v>AI.53111</v>
      </c>
      <c r="E280" s="151" t="str">
        <f>VLOOKUP($B280,dongia1,DG!$C$5,)</f>
        <v>Mặt bích nối cột bêt tông loại 200x200x5, 04 lỗ D16</v>
      </c>
      <c r="F280" s="200" t="str">
        <f>VLOOKUP($B280,dongia1,DG!$D$5,)</f>
        <v>mối</v>
      </c>
      <c r="G280" s="74"/>
      <c r="H280" s="121"/>
      <c r="I280" s="121"/>
      <c r="J280" s="121">
        <f>VLOOKUP($B280,dongia1,DG!$G$5,)</f>
        <v>13525.75</v>
      </c>
      <c r="K280" s="121">
        <f>VLOOKUP($B280,dongia1,DG!$H$5,)</f>
        <v>0</v>
      </c>
      <c r="L280" s="39">
        <f>H280*G280</f>
        <v>0</v>
      </c>
      <c r="M280" s="39">
        <f>I280*G280</f>
        <v>0</v>
      </c>
      <c r="N280" s="39">
        <f>J280*G280</f>
        <v>0</v>
      </c>
      <c r="O280" s="39">
        <f>K280*G280</f>
        <v>0</v>
      </c>
      <c r="P280" s="199"/>
    </row>
    <row r="281" spans="1:20" s="34" customFormat="1">
      <c r="A281" s="29" t="str">
        <f t="shared" si="81"/>
        <v/>
      </c>
      <c r="B281" s="157" t="s">
        <v>695</v>
      </c>
      <c r="C281" s="198"/>
      <c r="D281" s="120" t="str">
        <f>VLOOKUP($B281,dongia1,DG!$B$5,)</f>
        <v>D2.5232</v>
      </c>
      <c r="E281" s="151" t="str">
        <f>VLOOKUP($B281,dongia1,DG!$C$5,)</f>
        <v>Dựng trụ BTLT 12m thủ công + cơ giới (cẩu)</v>
      </c>
      <c r="F281" s="200" t="str">
        <f>VLOOKUP($B281,dongia1,DG!$D$5,)</f>
        <v>trụ</v>
      </c>
      <c r="G281" s="74">
        <f>G277</f>
        <v>0</v>
      </c>
      <c r="H281" s="201"/>
      <c r="I281" s="121"/>
      <c r="J281" s="121">
        <f>VLOOKUP($B281,dongia1,DG!$G$5,)</f>
        <v>589996</v>
      </c>
      <c r="K281" s="121">
        <f>VLOOKUP($B281,dongia1,DG!$H$5,)</f>
        <v>202564.7</v>
      </c>
      <c r="L281" s="39">
        <f>H281*G281</f>
        <v>0</v>
      </c>
      <c r="M281" s="39">
        <f>I281*G281</f>
        <v>0</v>
      </c>
      <c r="N281" s="39">
        <f>J281*G281</f>
        <v>0</v>
      </c>
      <c r="O281" s="39">
        <f>K281*G281</f>
        <v>0</v>
      </c>
      <c r="P281" s="199"/>
    </row>
    <row r="282" spans="1:20" s="61" customFormat="1">
      <c r="A282" s="137" t="str">
        <f t="shared" si="81"/>
        <v/>
      </c>
      <c r="B282" s="184" t="s">
        <v>138</v>
      </c>
      <c r="C282" s="166">
        <f>IF(G282&gt;0,C275+1,C275)</f>
        <v>0</v>
      </c>
      <c r="D282" s="167"/>
      <c r="E282" s="190" t="s">
        <v>3520</v>
      </c>
      <c r="F282" s="191" t="s">
        <v>3391</v>
      </c>
      <c r="G282" s="192">
        <f>ppCN!E40</f>
        <v>0</v>
      </c>
      <c r="H282" s="191"/>
      <c r="I282" s="191"/>
      <c r="J282" s="191"/>
      <c r="K282" s="191"/>
      <c r="L282" s="193"/>
      <c r="M282" s="193"/>
      <c r="N282" s="193"/>
      <c r="O282" s="194"/>
      <c r="P282" s="195"/>
    </row>
    <row r="283" spans="1:20" s="34" customFormat="1" ht="14.4">
      <c r="A283" s="29" t="str">
        <f>A282</f>
        <v/>
      </c>
      <c r="B283" s="109"/>
      <c r="C283" s="178"/>
      <c r="D283" s="120"/>
      <c r="E283" s="145" t="s">
        <v>3378</v>
      </c>
      <c r="F283" s="112"/>
      <c r="G283" s="73"/>
      <c r="H283" s="197"/>
      <c r="I283" s="197"/>
      <c r="J283" s="197"/>
      <c r="K283" s="121"/>
      <c r="L283" s="39">
        <f>H283*$G283</f>
        <v>0</v>
      </c>
      <c r="M283" s="39">
        <f>I283*$G283</f>
        <v>0</v>
      </c>
      <c r="N283" s="39">
        <f>J283*$G283</f>
        <v>0</v>
      </c>
      <c r="O283" s="39">
        <f>K283*$G283</f>
        <v>0</v>
      </c>
      <c r="P283" s="178"/>
    </row>
    <row r="284" spans="1:20" s="34" customFormat="1" ht="18" customHeight="1">
      <c r="A284" s="29" t="str">
        <f t="shared" ref="A284:A292" si="82">IF(G284&lt;&gt;0,1,"")</f>
        <v/>
      </c>
      <c r="B284" s="696" t="s">
        <v>1728</v>
      </c>
      <c r="C284" s="198"/>
      <c r="D284" s="120">
        <f>VLOOKUP($B284,dongia1,DG!$B$5,)</f>
        <v>0</v>
      </c>
      <c r="E284" s="151" t="str">
        <f>VLOOKUP($B284,dongia1,DG!$C$5,)</f>
        <v>Ximăng</v>
      </c>
      <c r="F284" s="120" t="str">
        <f>VLOOKUP($B284,dongia1,DG!$D$5,)</f>
        <v>kg</v>
      </c>
      <c r="G284" s="762">
        <f>G292*296*G282</f>
        <v>0</v>
      </c>
      <c r="H284" s="121">
        <f>VLOOKUP($B284,dongia1,DG!$F$5,)</f>
        <v>1740</v>
      </c>
      <c r="I284" s="178"/>
      <c r="J284" s="121"/>
      <c r="K284" s="121">
        <f>VLOOKUP($B284,dongia1,DG!$H$5,)</f>
        <v>0</v>
      </c>
      <c r="L284" s="39">
        <f>H284*G284</f>
        <v>0</v>
      </c>
      <c r="M284" s="39">
        <f>I284*G284</f>
        <v>0</v>
      </c>
      <c r="N284" s="39">
        <f>J284*G284</f>
        <v>0</v>
      </c>
      <c r="O284" s="39">
        <f>K284*G284</f>
        <v>0</v>
      </c>
      <c r="P284" s="199"/>
    </row>
    <row r="285" spans="1:20" s="34" customFormat="1">
      <c r="A285" s="29" t="str">
        <f t="shared" si="82"/>
        <v/>
      </c>
      <c r="B285" s="696" t="s">
        <v>1729</v>
      </c>
      <c r="C285" s="198"/>
      <c r="D285" s="120">
        <f>VLOOKUP($B285,dongia1,DG!$B$5,)</f>
        <v>0</v>
      </c>
      <c r="E285" s="151" t="str">
        <f>VLOOKUP($B285,dongia1,DG!$C$5,)</f>
        <v>Cát vàng</v>
      </c>
      <c r="F285" s="120" t="str">
        <f>VLOOKUP($B285,dongia1,DG!$D$5,)</f>
        <v>m3</v>
      </c>
      <c r="G285" s="762">
        <f>G292*0.475*G282</f>
        <v>0</v>
      </c>
      <c r="H285" s="121">
        <f>VLOOKUP($B285,dongia1,DG!$F$5,)</f>
        <v>512000</v>
      </c>
      <c r="I285" s="178"/>
      <c r="J285" s="121"/>
      <c r="K285" s="121">
        <f>VLOOKUP($B285,dongia1,DG!$H$5,)</f>
        <v>0</v>
      </c>
      <c r="L285" s="39">
        <f t="shared" ref="L285:L292" si="83">H285*G285</f>
        <v>0</v>
      </c>
      <c r="M285" s="39">
        <f t="shared" ref="M285:M292" si="84">I285*G285</f>
        <v>0</v>
      </c>
      <c r="N285" s="39">
        <f t="shared" ref="N285:N292" si="85">J285*G285</f>
        <v>0</v>
      </c>
      <c r="O285" s="39">
        <f t="shared" ref="O285:O292" si="86">K285*G285</f>
        <v>0</v>
      </c>
      <c r="P285" s="199"/>
    </row>
    <row r="286" spans="1:20" s="34" customFormat="1" ht="18" customHeight="1">
      <c r="A286" s="29" t="str">
        <f t="shared" si="82"/>
        <v/>
      </c>
      <c r="B286" s="696" t="s">
        <v>853</v>
      </c>
      <c r="C286" s="198"/>
      <c r="D286" s="120">
        <f>VLOOKUP($B286,dongia1,DG!$B$5,)</f>
        <v>0</v>
      </c>
      <c r="E286" s="151" t="str">
        <f>VLOOKUP($B286,dongia1,DG!$C$5,)</f>
        <v>Đá 1x2</v>
      </c>
      <c r="F286" s="120" t="str">
        <f>VLOOKUP($B286,dongia1,DG!$D$5,)</f>
        <v>m3</v>
      </c>
      <c r="G286" s="762">
        <f>G292*0.8815*G282</f>
        <v>0</v>
      </c>
      <c r="H286" s="121">
        <f>VLOOKUP($B286,dongia1,DG!$F$5,)</f>
        <v>335000</v>
      </c>
      <c r="I286" s="178"/>
      <c r="J286" s="121"/>
      <c r="K286" s="121">
        <f>VLOOKUP($B286,dongia1,DG!$H$5,)</f>
        <v>0</v>
      </c>
      <c r="L286" s="39">
        <f t="shared" si="83"/>
        <v>0</v>
      </c>
      <c r="M286" s="39">
        <f t="shared" si="84"/>
        <v>0</v>
      </c>
      <c r="N286" s="39">
        <f t="shared" si="85"/>
        <v>0</v>
      </c>
      <c r="O286" s="39">
        <f t="shared" si="86"/>
        <v>0</v>
      </c>
      <c r="P286" s="199"/>
    </row>
    <row r="287" spans="1:20" s="34" customFormat="1" ht="18" customHeight="1">
      <c r="A287" s="29" t="str">
        <f t="shared" si="82"/>
        <v/>
      </c>
      <c r="B287" s="622" t="s">
        <v>1614</v>
      </c>
      <c r="C287" s="198"/>
      <c r="D287" s="120">
        <f>VLOOKUP($B287,dongia1,DG!$B$5,)</f>
        <v>0</v>
      </c>
      <c r="E287" s="151" t="str">
        <f>VLOOKUP($B287,dongia1,DG!$C$5,)</f>
        <v>Sắt   Þ10</v>
      </c>
      <c r="F287" s="120" t="str">
        <f>VLOOKUP($B287,dongia1,DG!$D$5,)</f>
        <v>kg</v>
      </c>
      <c r="G287" s="205">
        <f>G282*30.18</f>
        <v>0</v>
      </c>
      <c r="H287" s="121">
        <f>VLOOKUP($B287,dongia1,DG!$F$5,)</f>
        <v>13300</v>
      </c>
      <c r="I287" s="178"/>
      <c r="J287" s="121"/>
      <c r="K287" s="121">
        <f>VLOOKUP($B287,dongia1,DG!$H$5,)</f>
        <v>0</v>
      </c>
      <c r="L287" s="39">
        <f t="shared" si="83"/>
        <v>0</v>
      </c>
      <c r="M287" s="39">
        <f t="shared" si="84"/>
        <v>0</v>
      </c>
      <c r="N287" s="39">
        <f t="shared" si="85"/>
        <v>0</v>
      </c>
      <c r="O287" s="39">
        <f t="shared" si="86"/>
        <v>0</v>
      </c>
      <c r="P287" s="199"/>
    </row>
    <row r="288" spans="1:20" s="34" customFormat="1" ht="18" customHeight="1">
      <c r="A288" s="29" t="str">
        <f t="shared" si="82"/>
        <v/>
      </c>
      <c r="B288" s="622" t="s">
        <v>1615</v>
      </c>
      <c r="C288" s="198"/>
      <c r="D288" s="120">
        <f>VLOOKUP($B288,dongia1,DG!$B$5,)</f>
        <v>0</v>
      </c>
      <c r="E288" s="151" t="str">
        <f>VLOOKUP($B288,dongia1,DG!$C$5,)</f>
        <v>Kẽm</v>
      </c>
      <c r="F288" s="120" t="str">
        <f>VLOOKUP($B288,dongia1,DG!$D$5,)</f>
        <v>kg</v>
      </c>
      <c r="G288" s="205">
        <f>G282*0.65</f>
        <v>0</v>
      </c>
      <c r="H288" s="121">
        <f>VLOOKUP($B288,dongia1,DG!$F$5,)</f>
        <v>10500</v>
      </c>
      <c r="I288" s="178"/>
      <c r="J288" s="121"/>
      <c r="K288" s="121">
        <f>VLOOKUP($B288,dongia1,DG!$H$5,)</f>
        <v>0</v>
      </c>
      <c r="L288" s="39">
        <f t="shared" si="83"/>
        <v>0</v>
      </c>
      <c r="M288" s="39">
        <f t="shared" si="84"/>
        <v>0</v>
      </c>
      <c r="N288" s="39">
        <f t="shared" si="85"/>
        <v>0</v>
      </c>
      <c r="O288" s="39">
        <f t="shared" si="86"/>
        <v>0</v>
      </c>
      <c r="P288" s="199"/>
    </row>
    <row r="289" spans="1:16" s="34" customFormat="1" ht="27.6">
      <c r="A289" s="29" t="str">
        <f t="shared" si="82"/>
        <v/>
      </c>
      <c r="B289" s="666" t="s">
        <v>1322</v>
      </c>
      <c r="C289" s="198"/>
      <c r="D289" s="120" t="str">
        <f>VLOOKUP($B289,dongia1,DG!$B$5,)</f>
        <v>AB.11413</v>
      </c>
      <c r="E289" s="151" t="str">
        <f>VLOOKUP($B289,dongia1,DG!$C$5,)</f>
        <v>Đào móng cột trụ, hố kiểm tra đất cấp III rộng &lt;=1m, sâu &lt;=1m</v>
      </c>
      <c r="F289" s="120" t="str">
        <f>VLOOKUP($B289,dongia1,DG!$D$5,)</f>
        <v>m3</v>
      </c>
      <c r="G289" s="762">
        <f>G282*0.878</f>
        <v>0</v>
      </c>
      <c r="H289" s="121">
        <f>VLOOKUP($B289,dongia1,DG!$F$5,)</f>
        <v>0</v>
      </c>
      <c r="I289" s="178"/>
      <c r="J289" s="121"/>
      <c r="K289" s="121">
        <f>VLOOKUP($B289,dongia1,DG!$H$5,)</f>
        <v>0</v>
      </c>
      <c r="L289" s="39">
        <f t="shared" si="83"/>
        <v>0</v>
      </c>
      <c r="M289" s="39">
        <f t="shared" si="84"/>
        <v>0</v>
      </c>
      <c r="N289" s="39">
        <f t="shared" si="85"/>
        <v>0</v>
      </c>
      <c r="O289" s="39">
        <f t="shared" si="86"/>
        <v>0</v>
      </c>
      <c r="P289" s="199"/>
    </row>
    <row r="290" spans="1:16" s="34" customFormat="1" ht="18" customHeight="1">
      <c r="A290" s="29" t="str">
        <f t="shared" si="82"/>
        <v/>
      </c>
      <c r="B290" s="622" t="s">
        <v>501</v>
      </c>
      <c r="C290" s="198"/>
      <c r="D290" s="120" t="str">
        <f>VLOOKUP($B290,dongia1,DG!$B$5,)</f>
        <v>AB.13111</v>
      </c>
      <c r="E290" s="151" t="str">
        <f>VLOOKUP($B290,dongia1,DG!$C$5,)</f>
        <v>Đắp đất hố móng, đất cấp 3 (độ chặt k = 0.85)</v>
      </c>
      <c r="F290" s="120" t="str">
        <f>VLOOKUP($B290,dongia1,DG!$D$5,)</f>
        <v>m3</v>
      </c>
      <c r="G290" s="205">
        <f>G282*0.075</f>
        <v>0</v>
      </c>
      <c r="H290" s="121">
        <f>VLOOKUP($B290,dongia1,DG!$F$5,)</f>
        <v>0</v>
      </c>
      <c r="I290" s="178"/>
      <c r="J290" s="121"/>
      <c r="K290" s="121">
        <f>VLOOKUP($B290,dongia1,DG!$H$5,)</f>
        <v>0</v>
      </c>
      <c r="L290" s="39">
        <f t="shared" si="83"/>
        <v>0</v>
      </c>
      <c r="M290" s="39">
        <f t="shared" si="84"/>
        <v>0</v>
      </c>
      <c r="N290" s="39">
        <f t="shared" si="85"/>
        <v>0</v>
      </c>
      <c r="O290" s="39">
        <f t="shared" si="86"/>
        <v>0</v>
      </c>
      <c r="P290" s="199"/>
    </row>
    <row r="291" spans="1:16" s="34" customFormat="1" ht="18" customHeight="1">
      <c r="A291" s="29" t="str">
        <f t="shared" si="82"/>
        <v/>
      </c>
      <c r="B291" s="622" t="s">
        <v>1616</v>
      </c>
      <c r="C291" s="198"/>
      <c r="D291" s="120" t="str">
        <f>VLOOKUP($B291,dongia1,DG!$B$5,)</f>
        <v>AF.61210</v>
      </c>
      <c r="E291" s="151" t="str">
        <f>VLOOKUP($B291,dongia1,DG!$C$5,)</f>
        <v>Gia công và lắp dựng cốt thép D&lt;=10</v>
      </c>
      <c r="F291" s="120" t="str">
        <f>VLOOKUP($B291,dongia1,DG!$D$5,)</f>
        <v>kg</v>
      </c>
      <c r="G291" s="205">
        <f>G287</f>
        <v>0</v>
      </c>
      <c r="H291" s="121">
        <f>VLOOKUP($B291,dongia1,DG!$F$5,)</f>
        <v>9814</v>
      </c>
      <c r="I291" s="178"/>
      <c r="J291" s="121"/>
      <c r="K291" s="121">
        <f>VLOOKUP($B291,dongia1,DG!$H$5,)</f>
        <v>0</v>
      </c>
      <c r="L291" s="39">
        <f t="shared" si="83"/>
        <v>0</v>
      </c>
      <c r="M291" s="39">
        <f t="shared" si="84"/>
        <v>0</v>
      </c>
      <c r="N291" s="39">
        <f t="shared" si="85"/>
        <v>0</v>
      </c>
      <c r="O291" s="39">
        <f t="shared" si="86"/>
        <v>0</v>
      </c>
      <c r="P291" s="199"/>
    </row>
    <row r="292" spans="1:16" s="34" customFormat="1" ht="18" customHeight="1">
      <c r="A292" s="29" t="str">
        <f t="shared" si="82"/>
        <v/>
      </c>
      <c r="B292" s="696" t="s">
        <v>2066</v>
      </c>
      <c r="C292" s="198"/>
      <c r="D292" s="120" t="str">
        <f>VLOOKUP($B292,dongia1,DG!$B$5,)</f>
        <v>AF.11220</v>
      </c>
      <c r="E292" s="151" t="str">
        <f>VLOOKUP($B292,dongia1,DG!$C$5,)</f>
        <v>Đổ bê tông mác M200 đá 1x 2rộng &gt;250cm</v>
      </c>
      <c r="F292" s="120" t="str">
        <f>VLOOKUP($B292,dongia1,DG!$D$5,)</f>
        <v>m3</v>
      </c>
      <c r="G292" s="762">
        <f>G282*0.693</f>
        <v>0</v>
      </c>
      <c r="H292" s="121">
        <f>VLOOKUP($B292,dongia1,DG!$F$5,)</f>
        <v>920580</v>
      </c>
      <c r="I292" s="178"/>
      <c r="J292" s="121"/>
      <c r="K292" s="121">
        <f>VLOOKUP($B292,dongia1,DG!$H$5,)</f>
        <v>0</v>
      </c>
      <c r="L292" s="39">
        <f t="shared" si="83"/>
        <v>0</v>
      </c>
      <c r="M292" s="39">
        <f t="shared" si="84"/>
        <v>0</v>
      </c>
      <c r="N292" s="39">
        <f t="shared" si="85"/>
        <v>0</v>
      </c>
      <c r="O292" s="39">
        <f t="shared" si="86"/>
        <v>0</v>
      </c>
      <c r="P292" s="199"/>
    </row>
    <row r="293" spans="1:16" s="61" customFormat="1">
      <c r="A293" s="137" t="str">
        <f>IF(G293&lt;&gt;0,1,"")</f>
        <v/>
      </c>
      <c r="B293" s="184" t="s">
        <v>138</v>
      </c>
      <c r="C293" s="166">
        <f>IF(G293&gt;0,C282+1,C282)</f>
        <v>0</v>
      </c>
      <c r="D293" s="167"/>
      <c r="E293" s="190" t="s">
        <v>3828</v>
      </c>
      <c r="F293" s="191" t="s">
        <v>3391</v>
      </c>
      <c r="G293" s="192">
        <f>+ppCN!F40</f>
        <v>0</v>
      </c>
      <c r="H293" s="191"/>
      <c r="I293" s="191"/>
      <c r="J293" s="191"/>
      <c r="K293" s="191"/>
      <c r="L293" s="193"/>
      <c r="M293" s="193"/>
      <c r="N293" s="193"/>
      <c r="O293" s="194"/>
      <c r="P293" s="195"/>
    </row>
    <row r="294" spans="1:16" s="34" customFormat="1" ht="14.4">
      <c r="A294" s="29" t="str">
        <f>A293</f>
        <v/>
      </c>
      <c r="B294" s="109"/>
      <c r="C294" s="178"/>
      <c r="D294" s="120"/>
      <c r="E294" s="145" t="s">
        <v>3378</v>
      </c>
      <c r="F294" s="112"/>
      <c r="G294" s="73"/>
      <c r="H294" s="197"/>
      <c r="I294" s="197"/>
      <c r="J294" s="197"/>
      <c r="K294" s="121"/>
      <c r="L294" s="39">
        <f>H294*$G294</f>
        <v>0</v>
      </c>
      <c r="M294" s="39">
        <f>I294*$G294</f>
        <v>0</v>
      </c>
      <c r="N294" s="39">
        <f>J294*$G294</f>
        <v>0</v>
      </c>
      <c r="O294" s="39">
        <f>K294*$G294</f>
        <v>0</v>
      </c>
      <c r="P294" s="178"/>
    </row>
    <row r="295" spans="1:16" s="34" customFormat="1" ht="18" customHeight="1">
      <c r="A295" s="29" t="str">
        <f t="shared" ref="A295:A307" si="87">IF(G295&lt;&gt;0,1,"")</f>
        <v/>
      </c>
      <c r="B295" s="202" t="s">
        <v>201</v>
      </c>
      <c r="C295" s="198"/>
      <c r="D295" s="120"/>
      <c r="E295" s="151" t="str">
        <f>VLOOKUP($B295,dongia1,DG!$C$5,)</f>
        <v>Đà cản BTCT 1,5m</v>
      </c>
      <c r="F295" s="120" t="str">
        <f>VLOOKUP($B295,dongia1,DG!$D$5,)</f>
        <v>cái</v>
      </c>
      <c r="G295" s="203">
        <f>+G293*2</f>
        <v>0</v>
      </c>
      <c r="H295" s="121">
        <f>VLOOKUP($B295,dongia1,DG!$F$5,)</f>
        <v>650000</v>
      </c>
      <c r="I295" s="178"/>
      <c r="J295" s="121"/>
      <c r="K295" s="121">
        <f>VLOOKUP($B295,dongia1,DG!$H$5,)</f>
        <v>0</v>
      </c>
      <c r="L295" s="39">
        <f>H295*G295</f>
        <v>0</v>
      </c>
      <c r="M295" s="39">
        <f>I295*G295</f>
        <v>0</v>
      </c>
      <c r="N295" s="39">
        <f>J295*G295</f>
        <v>0</v>
      </c>
      <c r="O295" s="39">
        <f>K295*G295</f>
        <v>0</v>
      </c>
      <c r="P295" s="199"/>
    </row>
    <row r="296" spans="1:16" s="34" customFormat="1">
      <c r="A296" s="29" t="str">
        <f t="shared" si="87"/>
        <v/>
      </c>
      <c r="B296" s="202" t="s">
        <v>1550</v>
      </c>
      <c r="C296" s="198"/>
      <c r="D296" s="120"/>
      <c r="E296" s="151" t="str">
        <f>VLOOKUP($B296,dongia1,DG!$C$5,)</f>
        <v>Boulon 22x750+ 2 long đền vuông D24-60x60x3/Zn</v>
      </c>
      <c r="F296" s="200" t="str">
        <f>VLOOKUP($B296,dongia1,DG!$D$5,)</f>
        <v>bộ</v>
      </c>
      <c r="G296" s="203">
        <f>+G293</f>
        <v>0</v>
      </c>
      <c r="H296" s="121">
        <f>VLOOKUP($B296,dongia1,DG!$F$5,)</f>
        <v>103100</v>
      </c>
      <c r="I296" s="121"/>
      <c r="J296" s="121"/>
      <c r="K296" s="121">
        <f>VLOOKUP($B296,dongia1,DG!$H$5,)</f>
        <v>0</v>
      </c>
      <c r="L296" s="39">
        <f>H296*G296</f>
        <v>0</v>
      </c>
      <c r="M296" s="39">
        <f>I296*G296</f>
        <v>0</v>
      </c>
      <c r="N296" s="39">
        <f>J296*G296</f>
        <v>0</v>
      </c>
      <c r="O296" s="39">
        <f>K296*G296</f>
        <v>0</v>
      </c>
      <c r="P296" s="199"/>
    </row>
    <row r="297" spans="1:16" s="34" customFormat="1" ht="18" customHeight="1">
      <c r="A297" s="29" t="str">
        <f t="shared" si="87"/>
        <v/>
      </c>
      <c r="B297" s="202" t="s">
        <v>860</v>
      </c>
      <c r="C297" s="198"/>
      <c r="D297" s="120" t="str">
        <f>VLOOKUP($B297,dongia1,DG!$B$5,)</f>
        <v>04.4001</v>
      </c>
      <c r="E297" s="151" t="str">
        <f>VLOOKUP($B297,dongia1,DG!$C$5,)</f>
        <v>Lắp đà cản BTCT 1,5m</v>
      </c>
      <c r="F297" s="120" t="str">
        <f>VLOOKUP($B297,dongia1,DG!$D$5,)</f>
        <v>cái</v>
      </c>
      <c r="G297" s="203">
        <f>+G295</f>
        <v>0</v>
      </c>
      <c r="H297" s="121"/>
      <c r="I297" s="178"/>
      <c r="J297" s="121">
        <f>VLOOKUP($B297,dongia1,DG!$G$5,)</f>
        <v>67874</v>
      </c>
      <c r="K297" s="121">
        <f>VLOOKUP($B297,dongia1,DG!$H$5,)</f>
        <v>0</v>
      </c>
      <c r="L297" s="39">
        <f>H297*G297</f>
        <v>0</v>
      </c>
      <c r="M297" s="39">
        <f>I297*G297</f>
        <v>0</v>
      </c>
      <c r="N297" s="39">
        <f>J297*G297</f>
        <v>0</v>
      </c>
      <c r="O297" s="39">
        <f>K297*G297</f>
        <v>0</v>
      </c>
      <c r="P297" s="199"/>
    </row>
    <row r="298" spans="1:16" s="34" customFormat="1" ht="18" customHeight="1">
      <c r="A298" s="29" t="str">
        <f t="shared" si="87"/>
        <v/>
      </c>
      <c r="B298" s="202" t="s">
        <v>1645</v>
      </c>
      <c r="C298" s="198"/>
      <c r="D298" s="120" t="str">
        <f>VLOOKUP($B298,dongia1,DG!$B$5,)</f>
        <v>03.1013</v>
      </c>
      <c r="E298" s="151" t="str">
        <f>VLOOKUP($B298,dongia1,DG!$C$5,)</f>
        <v>Đào hố móng đất cấp 3 sâu &gt;1m DT&lt;5m2</v>
      </c>
      <c r="F298" s="120" t="str">
        <f>VLOOKUP($B298,dongia1,DG!$D$5,)</f>
        <v>m3</v>
      </c>
      <c r="G298" s="204">
        <f>+G293*2.96</f>
        <v>0</v>
      </c>
      <c r="H298" s="121"/>
      <c r="I298" s="178"/>
      <c r="J298" s="121">
        <f>VLOOKUP($B298,dongia1,DG!$G$5,)</f>
        <v>296500.89999999997</v>
      </c>
      <c r="K298" s="121">
        <f>VLOOKUP($B298,dongia1,DG!$H$5,)</f>
        <v>0</v>
      </c>
      <c r="L298" s="39">
        <f>H298*G298</f>
        <v>0</v>
      </c>
      <c r="M298" s="39">
        <f>I298*G298</f>
        <v>0</v>
      </c>
      <c r="N298" s="39">
        <f>J298*G298</f>
        <v>0</v>
      </c>
      <c r="O298" s="39">
        <f>K298*G298</f>
        <v>0</v>
      </c>
      <c r="P298" s="199"/>
    </row>
    <row r="299" spans="1:16" s="34" customFormat="1">
      <c r="A299" s="29" t="str">
        <f t="shared" si="87"/>
        <v/>
      </c>
      <c r="B299" s="202" t="s">
        <v>501</v>
      </c>
      <c r="C299" s="198"/>
      <c r="D299" s="120" t="str">
        <f>VLOOKUP($B299,dongia1,DG!$B$5,)</f>
        <v>AB.13111</v>
      </c>
      <c r="E299" s="151" t="str">
        <f>VLOOKUP($B299,dongia1,DG!$C$5,)</f>
        <v>Đắp đất hố móng, đất cấp 3 (độ chặt k = 0.85)</v>
      </c>
      <c r="F299" s="200" t="str">
        <f>VLOOKUP($B299,dongia1,DG!$D$5,)</f>
        <v>m3</v>
      </c>
      <c r="G299" s="204">
        <f>+G298</f>
        <v>0</v>
      </c>
      <c r="H299" s="121"/>
      <c r="I299" s="121"/>
      <c r="J299" s="121">
        <f>VLOOKUP($B299,dongia1,DG!$G$5,)</f>
        <v>117703.6</v>
      </c>
      <c r="K299" s="121">
        <f>VLOOKUP($B299,dongia1,DG!$H$5,)</f>
        <v>0</v>
      </c>
      <c r="L299" s="39">
        <f>H299*G299</f>
        <v>0</v>
      </c>
      <c r="M299" s="39">
        <f>I299*G299</f>
        <v>0</v>
      </c>
      <c r="N299" s="39">
        <f>J299*G299</f>
        <v>0</v>
      </c>
      <c r="O299" s="39">
        <f>K299*G299</f>
        <v>0</v>
      </c>
      <c r="P299" s="199"/>
    </row>
    <row r="300" spans="1:16" s="61" customFormat="1">
      <c r="A300" s="137" t="str">
        <f t="shared" si="87"/>
        <v/>
      </c>
      <c r="B300" s="184" t="s">
        <v>1949</v>
      </c>
      <c r="C300" s="166">
        <f>IF(G300&gt;0,C293+1,C293)</f>
        <v>0</v>
      </c>
      <c r="D300" s="167"/>
      <c r="E300" s="190" t="s">
        <v>3829</v>
      </c>
      <c r="F300" s="191" t="s">
        <v>3391</v>
      </c>
      <c r="G300" s="192">
        <f>+ppCN!G40</f>
        <v>0</v>
      </c>
      <c r="H300" s="191"/>
      <c r="I300" s="191"/>
      <c r="J300" s="191"/>
      <c r="K300" s="191"/>
      <c r="L300" s="193"/>
      <c r="M300" s="193"/>
      <c r="N300" s="193"/>
      <c r="O300" s="194"/>
      <c r="P300" s="195"/>
    </row>
    <row r="301" spans="1:16" s="34" customFormat="1" ht="14.4">
      <c r="A301" s="29" t="str">
        <f>A300</f>
        <v/>
      </c>
      <c r="B301" s="109"/>
      <c r="C301" s="178"/>
      <c r="D301" s="120"/>
      <c r="E301" s="145" t="s">
        <v>3378</v>
      </c>
      <c r="F301" s="112"/>
      <c r="G301" s="73"/>
      <c r="H301" s="197"/>
      <c r="I301" s="197"/>
      <c r="J301" s="197"/>
      <c r="K301" s="121"/>
      <c r="L301" s="39">
        <f>H301*$G301</f>
        <v>0</v>
      </c>
      <c r="M301" s="39">
        <f>I301*$G301</f>
        <v>0</v>
      </c>
      <c r="N301" s="39">
        <f>J301*$G301</f>
        <v>0</v>
      </c>
      <c r="O301" s="39">
        <f>K301*$G301</f>
        <v>0</v>
      </c>
      <c r="P301" s="178"/>
    </row>
    <row r="302" spans="1:16" s="34" customFormat="1" ht="18" customHeight="1">
      <c r="A302" s="29" t="str">
        <f>IF(G302&lt;&gt;0,1,"")</f>
        <v/>
      </c>
      <c r="B302" s="202" t="s">
        <v>201</v>
      </c>
      <c r="C302" s="198"/>
      <c r="D302" s="120"/>
      <c r="E302" s="151" t="str">
        <f>VLOOKUP($B302,dongia1,DG!$C$5,)</f>
        <v>Đà cản BTCT 1,5m</v>
      </c>
      <c r="F302" s="120" t="str">
        <f>VLOOKUP($B302,dongia1,DG!$D$5,)</f>
        <v>cái</v>
      </c>
      <c r="G302" s="203">
        <f>+G300*2</f>
        <v>0</v>
      </c>
      <c r="H302" s="121">
        <f>VLOOKUP($B302,dongia1,DG!$F$5,)</f>
        <v>650000</v>
      </c>
      <c r="I302" s="178"/>
      <c r="J302" s="121"/>
      <c r="K302" s="121">
        <f>VLOOKUP($B302,dongia1,DG!$H$5,)</f>
        <v>0</v>
      </c>
      <c r="L302" s="39">
        <f>H302*G302</f>
        <v>0</v>
      </c>
      <c r="M302" s="39">
        <f>I302*G302</f>
        <v>0</v>
      </c>
      <c r="N302" s="39">
        <f>J302*G302</f>
        <v>0</v>
      </c>
      <c r="O302" s="39">
        <f>K302*G302</f>
        <v>0</v>
      </c>
      <c r="P302" s="199"/>
    </row>
    <row r="303" spans="1:16" s="34" customFormat="1">
      <c r="A303" s="29" t="str">
        <f>IF(G303&lt;&gt;0,1,"")</f>
        <v/>
      </c>
      <c r="B303" s="202" t="s">
        <v>1550</v>
      </c>
      <c r="C303" s="198"/>
      <c r="D303" s="120"/>
      <c r="E303" s="151" t="str">
        <f>VLOOKUP($B303,dongia1,DG!$C$5,)</f>
        <v>Boulon 22x750+ 2 long đền vuông D24-60x60x3/Zn</v>
      </c>
      <c r="F303" s="200" t="str">
        <f>VLOOKUP($B303,dongia1,DG!$D$5,)</f>
        <v>bộ</v>
      </c>
      <c r="G303" s="203">
        <f>+G300*2</f>
        <v>0</v>
      </c>
      <c r="H303" s="121">
        <f>VLOOKUP($B303,dongia1,DG!$F$5,)</f>
        <v>103100</v>
      </c>
      <c r="I303" s="121"/>
      <c r="J303" s="121"/>
      <c r="K303" s="121">
        <f>VLOOKUP($B303,dongia1,DG!$H$5,)</f>
        <v>0</v>
      </c>
      <c r="L303" s="39">
        <f>H303*G303</f>
        <v>0</v>
      </c>
      <c r="M303" s="39">
        <f>I303*G303</f>
        <v>0</v>
      </c>
      <c r="N303" s="39">
        <f>J303*G303</f>
        <v>0</v>
      </c>
      <c r="O303" s="39">
        <f>K303*G303</f>
        <v>0</v>
      </c>
      <c r="P303" s="199"/>
    </row>
    <row r="304" spans="1:16" s="34" customFormat="1" ht="18" customHeight="1">
      <c r="A304" s="29" t="str">
        <f>IF(G304&lt;&gt;0,1,"")</f>
        <v/>
      </c>
      <c r="B304" s="202" t="s">
        <v>860</v>
      </c>
      <c r="C304" s="198"/>
      <c r="D304" s="120" t="str">
        <f>VLOOKUP($B304,dongia1,DG!$B$5,)</f>
        <v>04.4001</v>
      </c>
      <c r="E304" s="151" t="str">
        <f>VLOOKUP($B304,dongia1,DG!$C$5,)</f>
        <v>Lắp đà cản BTCT 1,5m</v>
      </c>
      <c r="F304" s="120" t="str">
        <f>VLOOKUP($B304,dongia1,DG!$D$5,)</f>
        <v>cái</v>
      </c>
      <c r="G304" s="203">
        <f>+G302</f>
        <v>0</v>
      </c>
      <c r="H304" s="121"/>
      <c r="I304" s="178"/>
      <c r="J304" s="121">
        <f>VLOOKUP($B304,dongia1,DG!$G$5,)</f>
        <v>67874</v>
      </c>
      <c r="K304" s="121">
        <f>VLOOKUP($B304,dongia1,DG!$H$5,)</f>
        <v>0</v>
      </c>
      <c r="L304" s="39">
        <f>H304*G304</f>
        <v>0</v>
      </c>
      <c r="M304" s="39">
        <f>I304*G304</f>
        <v>0</v>
      </c>
      <c r="N304" s="39">
        <f>J304*G304</f>
        <v>0</v>
      </c>
      <c r="O304" s="39">
        <f>K304*G304</f>
        <v>0</v>
      </c>
      <c r="P304" s="199"/>
    </row>
    <row r="305" spans="1:16" s="34" customFormat="1" ht="18" customHeight="1">
      <c r="A305" s="29" t="str">
        <f>IF(G305&lt;&gt;0,1,"")</f>
        <v/>
      </c>
      <c r="B305" s="202" t="s">
        <v>1645</v>
      </c>
      <c r="C305" s="198"/>
      <c r="D305" s="120" t="str">
        <f>VLOOKUP($B305,dongia1,DG!$B$5,)</f>
        <v>03.1013</v>
      </c>
      <c r="E305" s="151" t="str">
        <f>VLOOKUP($B305,dongia1,DG!$C$5,)</f>
        <v>Đào hố móng đất cấp 3 sâu &gt;1m DT&lt;5m2</v>
      </c>
      <c r="F305" s="120" t="str">
        <f>VLOOKUP($B305,dongia1,DG!$D$5,)</f>
        <v>m3</v>
      </c>
      <c r="G305" s="204">
        <f>+G300*4.39</f>
        <v>0</v>
      </c>
      <c r="H305" s="121"/>
      <c r="I305" s="178"/>
      <c r="J305" s="121">
        <f>VLOOKUP($B305,dongia1,DG!$G$5,)</f>
        <v>296500.89999999997</v>
      </c>
      <c r="K305" s="121">
        <f>VLOOKUP($B305,dongia1,DG!$H$5,)</f>
        <v>0</v>
      </c>
      <c r="L305" s="39">
        <f>H305*G305</f>
        <v>0</v>
      </c>
      <c r="M305" s="39">
        <f>I305*G305</f>
        <v>0</v>
      </c>
      <c r="N305" s="39">
        <f>J305*G305</f>
        <v>0</v>
      </c>
      <c r="O305" s="39">
        <f>K305*G305</f>
        <v>0</v>
      </c>
      <c r="P305" s="199"/>
    </row>
    <row r="306" spans="1:16" s="34" customFormat="1">
      <c r="A306" s="29" t="str">
        <f>IF(G306&lt;&gt;0,1,"")</f>
        <v/>
      </c>
      <c r="B306" s="202" t="s">
        <v>501</v>
      </c>
      <c r="C306" s="198"/>
      <c r="D306" s="120" t="str">
        <f>VLOOKUP($B306,dongia1,DG!$B$5,)</f>
        <v>AB.13111</v>
      </c>
      <c r="E306" s="151" t="str">
        <f>VLOOKUP($B306,dongia1,DG!$C$5,)</f>
        <v>Đắp đất hố móng, đất cấp 3 (độ chặt k = 0.85)</v>
      </c>
      <c r="F306" s="200" t="str">
        <f>VLOOKUP($B306,dongia1,DG!$D$5,)</f>
        <v>m3</v>
      </c>
      <c r="G306" s="204">
        <f>+G305</f>
        <v>0</v>
      </c>
      <c r="H306" s="121"/>
      <c r="I306" s="121"/>
      <c r="J306" s="121">
        <f>VLOOKUP($B306,dongia1,DG!$G$5,)</f>
        <v>117703.6</v>
      </c>
      <c r="K306" s="121">
        <f>VLOOKUP($B306,dongia1,DG!$H$5,)</f>
        <v>0</v>
      </c>
      <c r="L306" s="39">
        <f>H306*G306</f>
        <v>0</v>
      </c>
      <c r="M306" s="39">
        <f>I306*G306</f>
        <v>0</v>
      </c>
      <c r="N306" s="39">
        <f>J306*G306</f>
        <v>0</v>
      </c>
      <c r="O306" s="39">
        <f>K306*G306</f>
        <v>0</v>
      </c>
      <c r="P306" s="199"/>
    </row>
    <row r="307" spans="1:16" s="61" customFormat="1">
      <c r="A307" s="137" t="str">
        <f t="shared" si="87"/>
        <v/>
      </c>
      <c r="B307" s="184" t="s">
        <v>1950</v>
      </c>
      <c r="C307" s="166">
        <f>IF(G307&gt;0,C300+1,C300)</f>
        <v>0</v>
      </c>
      <c r="D307" s="167"/>
      <c r="E307" s="190" t="s">
        <v>3830</v>
      </c>
      <c r="F307" s="191" t="s">
        <v>3391</v>
      </c>
      <c r="G307" s="192">
        <f>+ppCN!H40</f>
        <v>0</v>
      </c>
      <c r="H307" s="191"/>
      <c r="I307" s="191"/>
      <c r="J307" s="191"/>
      <c r="K307" s="191"/>
      <c r="L307" s="193"/>
      <c r="M307" s="193"/>
      <c r="N307" s="193"/>
      <c r="O307" s="194"/>
      <c r="P307" s="195"/>
    </row>
    <row r="308" spans="1:16" s="34" customFormat="1" ht="14.4">
      <c r="A308" s="29" t="str">
        <f>A307</f>
        <v/>
      </c>
      <c r="B308" s="109"/>
      <c r="C308" s="178"/>
      <c r="D308" s="120"/>
      <c r="E308" s="196" t="s">
        <v>3378</v>
      </c>
      <c r="F308" s="112"/>
      <c r="G308" s="73"/>
      <c r="H308" s="197"/>
      <c r="I308" s="197"/>
      <c r="J308" s="197"/>
      <c r="K308" s="121"/>
      <c r="L308" s="39">
        <f>H308*$G308</f>
        <v>0</v>
      </c>
      <c r="M308" s="39">
        <f>I308*$G308</f>
        <v>0</v>
      </c>
      <c r="N308" s="39">
        <f>J308*$G308</f>
        <v>0</v>
      </c>
      <c r="O308" s="39">
        <f>K308*$G308</f>
        <v>0</v>
      </c>
      <c r="P308" s="178"/>
    </row>
    <row r="309" spans="1:16" s="34" customFormat="1" ht="18" customHeight="1">
      <c r="A309" s="29" t="str">
        <f>IF(G309&lt;&gt;0,1,"")</f>
        <v/>
      </c>
      <c r="B309" s="202" t="s">
        <v>201</v>
      </c>
      <c r="C309" s="198"/>
      <c r="D309" s="120"/>
      <c r="E309" s="151" t="str">
        <f>VLOOKUP($B309,dongia1,DG!$C$5,)</f>
        <v>Đà cản BTCT 1,5m</v>
      </c>
      <c r="F309" s="120" t="str">
        <f>VLOOKUP($B309,dongia1,DG!$D$5,)</f>
        <v>cái</v>
      </c>
      <c r="G309" s="203">
        <f>+G307*4</f>
        <v>0</v>
      </c>
      <c r="H309" s="121">
        <f>VLOOKUP($B309,dongia1,DG!$F$5,)</f>
        <v>650000</v>
      </c>
      <c r="I309" s="178"/>
      <c r="J309" s="121"/>
      <c r="K309" s="121">
        <f>VLOOKUP($B309,dongia1,DG!$H$5,)</f>
        <v>0</v>
      </c>
      <c r="L309" s="39">
        <f>H309*G309</f>
        <v>0</v>
      </c>
      <c r="M309" s="39">
        <f>I309*G309</f>
        <v>0</v>
      </c>
      <c r="N309" s="39">
        <f>J309*G309</f>
        <v>0</v>
      </c>
      <c r="O309" s="39">
        <f>K309*G309</f>
        <v>0</v>
      </c>
      <c r="P309" s="199"/>
    </row>
    <row r="310" spans="1:16" s="34" customFormat="1">
      <c r="A310" s="29" t="str">
        <f>IF(G310&lt;&gt;0,1,"")</f>
        <v/>
      </c>
      <c r="B310" s="202" t="s">
        <v>1550</v>
      </c>
      <c r="C310" s="198"/>
      <c r="D310" s="120"/>
      <c r="E310" s="151" t="str">
        <f>VLOOKUP($B310,dongia1,DG!$C$5,)</f>
        <v>Boulon 22x750+ 2 long đền vuông D24-60x60x3/Zn</v>
      </c>
      <c r="F310" s="200" t="str">
        <f>VLOOKUP($B310,dongia1,DG!$D$5,)</f>
        <v>bộ</v>
      </c>
      <c r="G310" s="205">
        <f>+G307*4</f>
        <v>0</v>
      </c>
      <c r="H310" s="121">
        <f>VLOOKUP($B310,dongia1,DG!$F$5,)</f>
        <v>103100</v>
      </c>
      <c r="I310" s="121"/>
      <c r="J310" s="121"/>
      <c r="K310" s="121">
        <f>VLOOKUP($B310,dongia1,DG!$H$5,)</f>
        <v>0</v>
      </c>
      <c r="L310" s="39">
        <f>H310*G310</f>
        <v>0</v>
      </c>
      <c r="M310" s="39">
        <f>I310*G310</f>
        <v>0</v>
      </c>
      <c r="N310" s="39">
        <f>J310*G310</f>
        <v>0</v>
      </c>
      <c r="O310" s="39">
        <f>K310*G310</f>
        <v>0</v>
      </c>
      <c r="P310" s="199"/>
    </row>
    <row r="311" spans="1:16" s="34" customFormat="1" ht="18" customHeight="1">
      <c r="A311" s="29" t="str">
        <f>IF(G311&lt;&gt;0,1,"")</f>
        <v/>
      </c>
      <c r="B311" s="202" t="s">
        <v>860</v>
      </c>
      <c r="C311" s="198"/>
      <c r="D311" s="120" t="str">
        <f>VLOOKUP($B311,dongia1,DG!$B$5,)</f>
        <v>04.4001</v>
      </c>
      <c r="E311" s="151" t="str">
        <f>VLOOKUP($B311,dongia1,DG!$C$5,)</f>
        <v>Lắp đà cản BTCT 1,5m</v>
      </c>
      <c r="F311" s="120" t="str">
        <f>VLOOKUP($B311,dongia1,DG!$D$5,)</f>
        <v>cái</v>
      </c>
      <c r="G311" s="203">
        <f>+G309</f>
        <v>0</v>
      </c>
      <c r="H311" s="121"/>
      <c r="I311" s="178"/>
      <c r="J311" s="121">
        <f>VLOOKUP($B311,dongia1,DG!$G$5,)</f>
        <v>67874</v>
      </c>
      <c r="K311" s="121">
        <f>VLOOKUP($B311,dongia1,DG!$H$5,)</f>
        <v>0</v>
      </c>
      <c r="L311" s="39">
        <f>H311*G311</f>
        <v>0</v>
      </c>
      <c r="M311" s="39">
        <f>I311*G311</f>
        <v>0</v>
      </c>
      <c r="N311" s="39">
        <f>J311*G311</f>
        <v>0</v>
      </c>
      <c r="O311" s="39">
        <f>K311*G311</f>
        <v>0</v>
      </c>
      <c r="P311" s="199"/>
    </row>
    <row r="312" spans="1:16" s="34" customFormat="1" ht="18" customHeight="1">
      <c r="A312" s="29" t="str">
        <f>IF(G312&lt;&gt;0,1,"")</f>
        <v/>
      </c>
      <c r="B312" s="202" t="s">
        <v>1645</v>
      </c>
      <c r="C312" s="198"/>
      <c r="D312" s="120" t="str">
        <f>VLOOKUP($B312,dongia1,DG!$B$5,)</f>
        <v>03.1013</v>
      </c>
      <c r="E312" s="151" t="str">
        <f>VLOOKUP($B312,dongia1,DG!$C$5,)</f>
        <v>Đào hố móng đất cấp 3 sâu &gt;1m DT&lt;5m2</v>
      </c>
      <c r="F312" s="120" t="str">
        <f>VLOOKUP($B312,dongia1,DG!$D$5,)</f>
        <v>m3</v>
      </c>
      <c r="G312" s="205">
        <f>+G307*9.79</f>
        <v>0</v>
      </c>
      <c r="H312" s="121"/>
      <c r="I312" s="178"/>
      <c r="J312" s="121">
        <f>VLOOKUP($B312,dongia1,DG!$G$5,)</f>
        <v>296500.89999999997</v>
      </c>
      <c r="K312" s="121">
        <f>VLOOKUP($B312,dongia1,DG!$H$5,)</f>
        <v>0</v>
      </c>
      <c r="L312" s="39">
        <f>H312*G312</f>
        <v>0</v>
      </c>
      <c r="M312" s="39">
        <f>I312*G312</f>
        <v>0</v>
      </c>
      <c r="N312" s="39">
        <f>J312*G312</f>
        <v>0</v>
      </c>
      <c r="O312" s="39">
        <f>K312*G312</f>
        <v>0</v>
      </c>
      <c r="P312" s="199"/>
    </row>
    <row r="313" spans="1:16" s="34" customFormat="1">
      <c r="A313" s="29" t="str">
        <f>IF(G313&lt;&gt;0,1,"")</f>
        <v/>
      </c>
      <c r="B313" s="202" t="s">
        <v>501</v>
      </c>
      <c r="C313" s="198"/>
      <c r="D313" s="120" t="str">
        <f>VLOOKUP($B313,dongia1,DG!$B$5,)</f>
        <v>AB.13111</v>
      </c>
      <c r="E313" s="151" t="str">
        <f>VLOOKUP($B313,dongia1,DG!$C$5,)</f>
        <v>Đắp đất hố móng, đất cấp 3 (độ chặt k = 0.85)</v>
      </c>
      <c r="F313" s="200" t="str">
        <f>VLOOKUP($B313,dongia1,DG!$D$5,)</f>
        <v>m3</v>
      </c>
      <c r="G313" s="204">
        <f>+G312</f>
        <v>0</v>
      </c>
      <c r="H313" s="121"/>
      <c r="I313" s="121"/>
      <c r="J313" s="121">
        <f>VLOOKUP($B313,dongia1,DG!$G$5,)</f>
        <v>117703.6</v>
      </c>
      <c r="K313" s="121">
        <f>VLOOKUP($B313,dongia1,DG!$H$5,)</f>
        <v>0</v>
      </c>
      <c r="L313" s="39">
        <f>H313*G313</f>
        <v>0</v>
      </c>
      <c r="M313" s="39">
        <f>I313*G313</f>
        <v>0</v>
      </c>
      <c r="N313" s="39">
        <f>J313*G313</f>
        <v>0</v>
      </c>
      <c r="O313" s="39">
        <f>K313*G313</f>
        <v>0</v>
      </c>
      <c r="P313" s="199"/>
    </row>
    <row r="314" spans="1:16" s="61" customFormat="1">
      <c r="A314" s="137" t="str">
        <f>IF(G314=0,"",1)</f>
        <v/>
      </c>
      <c r="B314" s="184" t="s">
        <v>607</v>
      </c>
      <c r="C314" s="166">
        <f>IF(G314&gt;0,C307+1,C307)</f>
        <v>0</v>
      </c>
      <c r="D314" s="167"/>
      <c r="E314" s="206" t="s">
        <v>3831</v>
      </c>
      <c r="F314" s="207" t="s">
        <v>2113</v>
      </c>
      <c r="G314" s="67"/>
      <c r="H314" s="207"/>
      <c r="I314" s="207"/>
      <c r="J314" s="207"/>
      <c r="K314" s="172"/>
      <c r="L314" s="64">
        <f t="shared" ref="L314:O325" si="88">H314*$G314</f>
        <v>0</v>
      </c>
      <c r="M314" s="64">
        <f t="shared" si="88"/>
        <v>0</v>
      </c>
      <c r="N314" s="64">
        <f t="shared" si="88"/>
        <v>0</v>
      </c>
      <c r="O314" s="64">
        <f t="shared" si="88"/>
        <v>0</v>
      </c>
      <c r="P314" s="207"/>
    </row>
    <row r="315" spans="1:16" s="34" customFormat="1" ht="14.4">
      <c r="A315" s="29" t="str">
        <f>A314</f>
        <v/>
      </c>
      <c r="B315" s="109"/>
      <c r="C315" s="178"/>
      <c r="D315" s="120"/>
      <c r="E315" s="196" t="s">
        <v>3378</v>
      </c>
      <c r="F315" s="112"/>
      <c r="G315" s="74"/>
      <c r="H315" s="197"/>
      <c r="I315" s="197"/>
      <c r="J315" s="197"/>
      <c r="K315" s="121"/>
      <c r="L315" s="39">
        <f t="shared" si="88"/>
        <v>0</v>
      </c>
      <c r="M315" s="39">
        <f t="shared" si="88"/>
        <v>0</v>
      </c>
      <c r="N315" s="39">
        <f t="shared" si="88"/>
        <v>0</v>
      </c>
      <c r="O315" s="39">
        <f t="shared" si="88"/>
        <v>0</v>
      </c>
      <c r="P315" s="178"/>
    </row>
    <row r="316" spans="1:16" s="34" customFormat="1">
      <c r="A316" s="29" t="str">
        <f t="shared" ref="A316:A327" si="89">IF(G316=0,"",1)</f>
        <v/>
      </c>
      <c r="B316" s="109" t="s">
        <v>1626</v>
      </c>
      <c r="C316" s="119"/>
      <c r="D316" s="120"/>
      <c r="E316" s="151" t="str">
        <f>VLOOKUP($B316,dongia1,DG!$C$5,)</f>
        <v>Sắt góc L75 x75 x8</v>
      </c>
      <c r="F316" s="120" t="str">
        <f>VLOOKUP($B316,dongia1,DG!$D$5,)</f>
        <v>kg</v>
      </c>
      <c r="G316" s="74">
        <f>G314*9.02*(2.2+0.07*4)*2</f>
        <v>0</v>
      </c>
      <c r="H316" s="121">
        <f>VLOOKUP($B316,dongia1,DG!$F$5,)</f>
        <v>31625</v>
      </c>
      <c r="I316" s="121"/>
      <c r="J316" s="121"/>
      <c r="K316" s="121">
        <f>VLOOKUP($B316,dongia1,DG!$H$5,)</f>
        <v>0</v>
      </c>
      <c r="L316" s="39">
        <f t="shared" si="88"/>
        <v>0</v>
      </c>
      <c r="M316" s="39">
        <f t="shared" si="88"/>
        <v>0</v>
      </c>
      <c r="N316" s="39">
        <f t="shared" si="88"/>
        <v>0</v>
      </c>
      <c r="O316" s="39">
        <f t="shared" si="88"/>
        <v>0</v>
      </c>
      <c r="P316" s="112"/>
    </row>
    <row r="317" spans="1:16" s="34" customFormat="1">
      <c r="A317" s="29" t="str">
        <f t="shared" si="89"/>
        <v/>
      </c>
      <c r="B317" s="109" t="s">
        <v>518</v>
      </c>
      <c r="C317" s="119"/>
      <c r="D317" s="120"/>
      <c r="E317" s="151" t="str">
        <f>VLOOKUP($B317,dongia1,DG!$C$5,)&amp;" (thanh choáng 810)"</f>
        <v>Sắt góc L50 x50 x5 (thanh choáng 810)</v>
      </c>
      <c r="F317" s="120" t="str">
        <f>VLOOKUP($B317,dongia1,DG!$D$5,)</f>
        <v>kg</v>
      </c>
      <c r="G317" s="74">
        <f>G314*4*3.77*0.81</f>
        <v>0</v>
      </c>
      <c r="H317" s="121">
        <f>VLOOKUP($B317,dongia1,DG!$F$5,)</f>
        <v>31625</v>
      </c>
      <c r="I317" s="121"/>
      <c r="J317" s="121"/>
      <c r="K317" s="121">
        <f>VLOOKUP($B317,dongia1,DG!$H$5,)</f>
        <v>0</v>
      </c>
      <c r="L317" s="39">
        <f t="shared" si="88"/>
        <v>0</v>
      </c>
      <c r="M317" s="39">
        <f t="shared" si="88"/>
        <v>0</v>
      </c>
      <c r="N317" s="39">
        <f t="shared" si="88"/>
        <v>0</v>
      </c>
      <c r="O317" s="39">
        <f t="shared" si="88"/>
        <v>0</v>
      </c>
      <c r="P317" s="112"/>
    </row>
    <row r="318" spans="1:16" s="34" customFormat="1">
      <c r="A318" s="29" t="str">
        <f t="shared" si="89"/>
        <v/>
      </c>
      <c r="B318" s="109" t="s">
        <v>1673</v>
      </c>
      <c r="C318" s="119"/>
      <c r="D318" s="120"/>
      <c r="E318" s="151" t="str">
        <f>VLOOKUP($B318,dongia1,DG!$C$5,)</f>
        <v>Boulon 16x250+ 2 long đền vuông D18-50x50x3/Zn</v>
      </c>
      <c r="F318" s="120" t="str">
        <f>VLOOKUP($B318,dongia1,DG!$D$5,)</f>
        <v>bộ</v>
      </c>
      <c r="G318" s="74">
        <f>+G314*2</f>
        <v>0</v>
      </c>
      <c r="H318" s="121">
        <f>VLOOKUP($B318,dongia1,DG!$F$5,)</f>
        <v>13400</v>
      </c>
      <c r="I318" s="121"/>
      <c r="J318" s="121"/>
      <c r="K318" s="121">
        <f>VLOOKUP($B318,dongia1,DG!$H$5,)</f>
        <v>0</v>
      </c>
      <c r="L318" s="39">
        <f t="shared" si="88"/>
        <v>0</v>
      </c>
      <c r="M318" s="39">
        <f t="shared" si="88"/>
        <v>0</v>
      </c>
      <c r="N318" s="39">
        <f t="shared" si="88"/>
        <v>0</v>
      </c>
      <c r="O318" s="39">
        <f t="shared" si="88"/>
        <v>0</v>
      </c>
      <c r="P318" s="112"/>
    </row>
    <row r="319" spans="1:16" s="34" customFormat="1">
      <c r="A319" s="29" t="str">
        <f t="shared" si="89"/>
        <v/>
      </c>
      <c r="B319" s="109" t="s">
        <v>1674</v>
      </c>
      <c r="C319" s="119"/>
      <c r="D319" s="120"/>
      <c r="E319" s="151" t="str">
        <f>VLOOKUP($B319,dongia1,DG!$C$5,)</f>
        <v>Boulon 16x50+ 2 long đền vuông D18-50x50x3/Zn</v>
      </c>
      <c r="F319" s="120" t="str">
        <f>VLOOKUP($B319,dongia1,DG!$D$5,)</f>
        <v>bộ</v>
      </c>
      <c r="G319" s="74">
        <f>+G314*4</f>
        <v>0</v>
      </c>
      <c r="H319" s="121">
        <f>VLOOKUP($B319,dongia1,DG!$F$5,)</f>
        <v>12400</v>
      </c>
      <c r="I319" s="121"/>
      <c r="J319" s="121"/>
      <c r="K319" s="121">
        <f>VLOOKUP($B319,dongia1,DG!$H$5,)</f>
        <v>0</v>
      </c>
      <c r="L319" s="39">
        <f t="shared" si="88"/>
        <v>0</v>
      </c>
      <c r="M319" s="39">
        <f t="shared" si="88"/>
        <v>0</v>
      </c>
      <c r="N319" s="39">
        <f t="shared" si="88"/>
        <v>0</v>
      </c>
      <c r="O319" s="39">
        <f t="shared" si="88"/>
        <v>0</v>
      </c>
      <c r="P319" s="112"/>
    </row>
    <row r="320" spans="1:16" s="34" customFormat="1" ht="27.6">
      <c r="A320" s="29" t="str">
        <f>IF(G320=0,"",1)</f>
        <v/>
      </c>
      <c r="B320" s="109" t="s">
        <v>1775</v>
      </c>
      <c r="C320" s="119"/>
      <c r="D320" s="120"/>
      <c r="E320" s="151" t="str">
        <f>VLOOKUP($B320,dongia1,DG!$C$5,)</f>
        <v>Boulon 16x250VRS+ 4 long đền vuông D18-50x50x3/Zn</v>
      </c>
      <c r="F320" s="120" t="str">
        <f>VLOOKUP($B320,dongia1,DG!$D$5,)</f>
        <v>bộ</v>
      </c>
      <c r="G320" s="74">
        <f>+G314*4</f>
        <v>0</v>
      </c>
      <c r="H320" s="121">
        <f>VLOOKUP($B320,dongia1,DG!$F$5,)</f>
        <v>29800</v>
      </c>
      <c r="I320" s="121"/>
      <c r="J320" s="121"/>
      <c r="K320" s="121">
        <f>VLOOKUP($B320,dongia1,DG!$H$5,)</f>
        <v>0</v>
      </c>
      <c r="L320" s="39">
        <f>H320*$G320</f>
        <v>0</v>
      </c>
      <c r="M320" s="39">
        <f>I320*$G320</f>
        <v>0</v>
      </c>
      <c r="N320" s="39">
        <f>J320*$G320</f>
        <v>0</v>
      </c>
      <c r="O320" s="39">
        <f>K320*$G320</f>
        <v>0</v>
      </c>
      <c r="P320" s="112"/>
    </row>
    <row r="321" spans="1:16" s="34" customFormat="1">
      <c r="A321" s="29" t="str">
        <f t="shared" si="89"/>
        <v/>
      </c>
      <c r="B321" s="109" t="s">
        <v>647</v>
      </c>
      <c r="C321" s="119"/>
      <c r="D321" s="120">
        <f>VLOOKUP($B321,dongia1,DG!$B$5,)</f>
        <v>0</v>
      </c>
      <c r="E321" s="151" t="str">
        <f>VLOOKUP($B321,dongia1,DG!$C$5,)</f>
        <v xml:space="preserve">Sứ đứng 24KV </v>
      </c>
      <c r="F321" s="120" t="str">
        <f>VLOOKUP($B321,dongia1,DG!$D$5,)</f>
        <v>cái</v>
      </c>
      <c r="G321" s="73"/>
      <c r="H321" s="121">
        <f>VLOOKUP($B321,dongia1,DG!$F$5,)</f>
        <v>205000</v>
      </c>
      <c r="I321" s="155"/>
      <c r="J321" s="121">
        <f>VLOOKUP($B321,dongia1,DG!$G$5,)</f>
        <v>0</v>
      </c>
      <c r="K321" s="121">
        <f>VLOOKUP($B321,dongia1,DG!$H$5,)</f>
        <v>0</v>
      </c>
      <c r="L321" s="39">
        <f t="shared" si="88"/>
        <v>0</v>
      </c>
      <c r="M321" s="39">
        <f t="shared" si="88"/>
        <v>0</v>
      </c>
      <c r="N321" s="39">
        <f t="shared" si="88"/>
        <v>0</v>
      </c>
      <c r="O321" s="39">
        <f t="shared" si="88"/>
        <v>0</v>
      </c>
      <c r="P321" s="112"/>
    </row>
    <row r="322" spans="1:16" s="34" customFormat="1">
      <c r="A322" s="29" t="str">
        <f t="shared" si="89"/>
        <v/>
      </c>
      <c r="B322" s="109" t="s">
        <v>414</v>
      </c>
      <c r="C322" s="119"/>
      <c r="D322" s="120">
        <f>VLOOKUP($B322,dongia1,DG!$B$5,)</f>
        <v>0</v>
      </c>
      <c r="E322" s="151" t="str">
        <f>VLOOKUP($B322,dongia1,DG!$C$5,)</f>
        <v>Chân sứ đứng D20</v>
      </c>
      <c r="F322" s="120" t="str">
        <f>VLOOKUP($B322,dongia1,DG!$D$5,)</f>
        <v>cái</v>
      </c>
      <c r="G322" s="73"/>
      <c r="H322" s="121">
        <f>VLOOKUP($B322,dongia1,DG!$F$5,)</f>
        <v>65000</v>
      </c>
      <c r="I322" s="155"/>
      <c r="J322" s="121">
        <f>VLOOKUP($B322,dongia1,DG!$G$5,)</f>
        <v>0</v>
      </c>
      <c r="K322" s="121">
        <f>VLOOKUP($B322,dongia1,DG!$H$5,)</f>
        <v>0</v>
      </c>
      <c r="L322" s="39">
        <f t="shared" si="88"/>
        <v>0</v>
      </c>
      <c r="M322" s="39">
        <f t="shared" si="88"/>
        <v>0</v>
      </c>
      <c r="N322" s="39">
        <f t="shared" si="88"/>
        <v>0</v>
      </c>
      <c r="O322" s="39">
        <f t="shared" si="88"/>
        <v>0</v>
      </c>
      <c r="P322" s="112"/>
    </row>
    <row r="323" spans="1:16" s="34" customFormat="1">
      <c r="A323" s="29" t="str">
        <f t="shared" si="89"/>
        <v/>
      </c>
      <c r="B323" s="153" t="s">
        <v>946</v>
      </c>
      <c r="C323" s="119"/>
      <c r="D323" s="120">
        <f>VLOOKUP($B323,dongia1,DG!$B$5,)</f>
        <v>0</v>
      </c>
      <c r="E323" s="151" t="str">
        <f>VLOOKUP($B323,dongia1,DG!$C$5,)</f>
        <v>Bass LL bắt FCO và LA</v>
      </c>
      <c r="F323" s="120" t="str">
        <f>VLOOKUP($B323,dongia1,DG!$D$5,)</f>
        <v>bộ</v>
      </c>
      <c r="G323" s="73"/>
      <c r="H323" s="121">
        <f>VLOOKUP($B323,dongia1,DG!$F$5,)</f>
        <v>65000</v>
      </c>
      <c r="I323" s="155"/>
      <c r="J323" s="121">
        <f>VLOOKUP($B323,dongia1,DG!$G$5,)</f>
        <v>0</v>
      </c>
      <c r="K323" s="121">
        <f>VLOOKUP($B323,dongia1,DG!$H$5,)</f>
        <v>0</v>
      </c>
      <c r="L323" s="39">
        <f t="shared" ref="L323:O324" si="90">H323*$G323</f>
        <v>0</v>
      </c>
      <c r="M323" s="39">
        <f t="shared" si="90"/>
        <v>0</v>
      </c>
      <c r="N323" s="39">
        <f t="shared" si="90"/>
        <v>0</v>
      </c>
      <c r="O323" s="39">
        <f t="shared" si="90"/>
        <v>0</v>
      </c>
      <c r="P323" s="112"/>
    </row>
    <row r="324" spans="1:16" s="34" customFormat="1">
      <c r="A324" s="29" t="str">
        <f t="shared" si="89"/>
        <v/>
      </c>
      <c r="B324" s="153" t="s">
        <v>1355</v>
      </c>
      <c r="C324" s="119"/>
      <c r="D324" s="120">
        <f>VLOOKUP($B324,dongia1,DG!$B$5,)</f>
        <v>0</v>
      </c>
      <c r="E324" s="151" t="str">
        <f>VLOOKUP($B324,dongia1,DG!$C$5,)</f>
        <v>Uclevis (loại gân)+ sứ ống chỉ</v>
      </c>
      <c r="F324" s="120" t="str">
        <f>VLOOKUP($B324,dongia1,DG!$D$5,)</f>
        <v>bộ</v>
      </c>
      <c r="G324" s="73"/>
      <c r="H324" s="121">
        <f>VLOOKUP($B324,dongia1,DG!$F$5,)</f>
        <v>35000</v>
      </c>
      <c r="I324" s="155"/>
      <c r="J324" s="121">
        <f>VLOOKUP($B324,dongia1,DG!$G$5,)</f>
        <v>0</v>
      </c>
      <c r="K324" s="121">
        <f>VLOOKUP($B324,dongia1,DG!$H$5,)</f>
        <v>0</v>
      </c>
      <c r="L324" s="39">
        <f t="shared" si="90"/>
        <v>0</v>
      </c>
      <c r="M324" s="39">
        <f t="shared" si="90"/>
        <v>0</v>
      </c>
      <c r="N324" s="39">
        <f t="shared" si="90"/>
        <v>0</v>
      </c>
      <c r="O324" s="39">
        <f t="shared" si="90"/>
        <v>0</v>
      </c>
      <c r="P324" s="112"/>
    </row>
    <row r="325" spans="1:16" s="34" customFormat="1">
      <c r="A325" s="29" t="str">
        <f t="shared" si="89"/>
        <v/>
      </c>
      <c r="B325" s="109" t="s">
        <v>1116</v>
      </c>
      <c r="C325" s="119"/>
      <c r="D325" s="120" t="str">
        <f>VLOOKUP($B325,dongia1,DG!$B$5,)</f>
        <v>D3.1115</v>
      </c>
      <c r="E325" s="151" t="str">
        <f>VLOOKUP($B325,dongia1,DG!$C$5,)</f>
        <v>Lắp sứ đứng 24KV</v>
      </c>
      <c r="F325" s="120" t="str">
        <f>VLOOKUP($B325,dongia1,DG!$D$5,)</f>
        <v>bộ</v>
      </c>
      <c r="G325" s="73"/>
      <c r="H325" s="121">
        <f>VLOOKUP($B325,dongia1,DG!$F$5,)</f>
        <v>510</v>
      </c>
      <c r="I325" s="155"/>
      <c r="J325" s="121">
        <f>VLOOKUP($B325,dongia1,DG!$G$5,)</f>
        <v>58277.49</v>
      </c>
      <c r="K325" s="121">
        <f>VLOOKUP($B325,dongia1,DG!$H$5,)</f>
        <v>0</v>
      </c>
      <c r="L325" s="39">
        <f t="shared" si="88"/>
        <v>0</v>
      </c>
      <c r="M325" s="39">
        <f t="shared" si="88"/>
        <v>0</v>
      </c>
      <c r="N325" s="39">
        <f t="shared" si="88"/>
        <v>0</v>
      </c>
      <c r="O325" s="39">
        <f t="shared" si="88"/>
        <v>0</v>
      </c>
      <c r="P325" s="112"/>
    </row>
    <row r="326" spans="1:16" s="34" customFormat="1">
      <c r="A326" s="29" t="str">
        <f t="shared" si="89"/>
        <v/>
      </c>
      <c r="B326" s="202" t="s">
        <v>728</v>
      </c>
      <c r="C326" s="119"/>
      <c r="D326" s="120" t="str">
        <f>VLOOKUP($B326,dongia1,DG!$B$5,)</f>
        <v>D2.6054</v>
      </c>
      <c r="E326" s="151" t="str">
        <f>VLOOKUP($B326,dongia1,DG!$C$5,)</f>
        <v>Lắp xà cột Pi loại ≤140kg/xà</v>
      </c>
      <c r="F326" s="120" t="str">
        <f>VLOOKUP($B326,dongia1,DG!$D$5,)</f>
        <v>bộ</v>
      </c>
      <c r="G326" s="73">
        <f>G314</f>
        <v>0</v>
      </c>
      <c r="H326" s="121"/>
      <c r="I326" s="155"/>
      <c r="J326" s="120" t="str">
        <f>VLOOKUP($B326,dongia1,DG!$G$5,)&amp;"x"&amp;hslxh</f>
        <v>474961x1,7</v>
      </c>
      <c r="K326" s="121">
        <f>VLOOKUP($B326,dongia1,DG!$H$5,)</f>
        <v>0</v>
      </c>
      <c r="L326" s="39">
        <f t="shared" ref="L326:L348" si="91">H326*$G326</f>
        <v>0</v>
      </c>
      <c r="M326" s="39">
        <f t="shared" ref="M326:M348" si="92">I326*$G326</f>
        <v>0</v>
      </c>
      <c r="N326" s="121">
        <f>VLOOKUP($B326,dongia1,DG!$G$5,)*hslxh*G326</f>
        <v>0</v>
      </c>
      <c r="O326" s="39">
        <f t="shared" ref="O326:O348" si="93">K326*$G326</f>
        <v>0</v>
      </c>
      <c r="P326" s="112"/>
    </row>
    <row r="327" spans="1:16" s="61" customFormat="1">
      <c r="A327" s="137" t="str">
        <f t="shared" si="89"/>
        <v/>
      </c>
      <c r="B327" s="184" t="s">
        <v>1952</v>
      </c>
      <c r="C327" s="166">
        <f>IF(G327&gt;0,C314+1,C314)</f>
        <v>0</v>
      </c>
      <c r="D327" s="167"/>
      <c r="E327" s="206" t="s">
        <v>5714</v>
      </c>
      <c r="F327" s="207" t="s">
        <v>2113</v>
      </c>
      <c r="G327" s="1806">
        <f>ppCN!J40</f>
        <v>0</v>
      </c>
      <c r="H327" s="207"/>
      <c r="I327" s="207"/>
      <c r="J327" s="207"/>
      <c r="K327" s="172"/>
      <c r="L327" s="64">
        <f t="shared" si="91"/>
        <v>0</v>
      </c>
      <c r="M327" s="64">
        <f t="shared" si="92"/>
        <v>0</v>
      </c>
      <c r="N327" s="64">
        <f t="shared" ref="N327:N338" si="94">J327*$G327</f>
        <v>0</v>
      </c>
      <c r="O327" s="64">
        <f t="shared" si="93"/>
        <v>0</v>
      </c>
      <c r="P327" s="207"/>
    </row>
    <row r="328" spans="1:16" s="34" customFormat="1" ht="14.4">
      <c r="A328" s="29" t="str">
        <f>A327</f>
        <v/>
      </c>
      <c r="B328" s="109"/>
      <c r="C328" s="178"/>
      <c r="D328" s="120"/>
      <c r="E328" s="196" t="s">
        <v>3378</v>
      </c>
      <c r="F328" s="112"/>
      <c r="G328" s="73"/>
      <c r="H328" s="197"/>
      <c r="I328" s="197"/>
      <c r="J328" s="197"/>
      <c r="K328" s="121"/>
      <c r="L328" s="39">
        <f t="shared" si="91"/>
        <v>0</v>
      </c>
      <c r="M328" s="39">
        <f t="shared" si="92"/>
        <v>0</v>
      </c>
      <c r="N328" s="39">
        <f t="shared" si="94"/>
        <v>0</v>
      </c>
      <c r="O328" s="39">
        <f t="shared" si="93"/>
        <v>0</v>
      </c>
      <c r="P328" s="178"/>
    </row>
    <row r="329" spans="1:16" s="34" customFormat="1">
      <c r="A329" s="29" t="str">
        <f t="shared" ref="A329:A335" si="95">IF(G329=0,"",1)</f>
        <v/>
      </c>
      <c r="B329" s="109" t="s">
        <v>5700</v>
      </c>
      <c r="C329" s="119"/>
      <c r="D329" s="120"/>
      <c r="E329" s="151" t="str">
        <f>VLOOKUP($B329,dongia1,DG!$C$5,)</f>
        <v>Sắt góc L75 x75 x8x2400 (4 ốp)</v>
      </c>
      <c r="F329" s="120" t="str">
        <f>VLOOKUP($B329,dongia1,DG!$D$5,)</f>
        <v xml:space="preserve">thanh </v>
      </c>
      <c r="G329" s="74">
        <f>G327*2</f>
        <v>0</v>
      </c>
      <c r="H329" s="121">
        <f>VLOOKUP($B329,dongia1,DG!$F$5,)</f>
        <v>680540.50480000011</v>
      </c>
      <c r="I329" s="121"/>
      <c r="J329" s="121"/>
      <c r="K329" s="121">
        <f>VLOOKUP($B329,dongia1,DG!$H$5,)</f>
        <v>0</v>
      </c>
      <c r="L329" s="39">
        <f t="shared" si="91"/>
        <v>0</v>
      </c>
      <c r="M329" s="39">
        <f t="shared" si="92"/>
        <v>0</v>
      </c>
      <c r="N329" s="39">
        <f t="shared" si="94"/>
        <v>0</v>
      </c>
      <c r="O329" s="39">
        <f t="shared" si="93"/>
        <v>0</v>
      </c>
      <c r="P329" s="112"/>
    </row>
    <row r="330" spans="1:16" s="34" customFormat="1">
      <c r="A330" s="29" t="str">
        <f t="shared" si="95"/>
        <v/>
      </c>
      <c r="B330" s="1759" t="s">
        <v>4930</v>
      </c>
      <c r="C330" s="119"/>
      <c r="D330" s="120">
        <f>VLOOKUP($B330,dongia1,DG!$B$5,)</f>
        <v>0</v>
      </c>
      <c r="E330" s="151" t="str">
        <f>VLOOKUP($B330,dongia1,DG!$C$5,)&amp;" "</f>
        <v xml:space="preserve">Sắt góc L50 x50 x5x810 </v>
      </c>
      <c r="F330" s="120" t="str">
        <f>VLOOKUP($B330,dongia1,DG!$D$5,)</f>
        <v xml:space="preserve">thanh </v>
      </c>
      <c r="G330" s="74">
        <f>G329*2</f>
        <v>0</v>
      </c>
      <c r="H330" s="121">
        <f>VLOOKUP($B330,dongia1,DG!$F$5,)</f>
        <v>86065.309080000006</v>
      </c>
      <c r="I330" s="121"/>
      <c r="J330" s="121">
        <f>VLOOKUP($B330,dongia1,DG!$G$5,)</f>
        <v>0</v>
      </c>
      <c r="K330" s="121">
        <f>VLOOKUP($B330,dongia1,DG!$H$5,)</f>
        <v>0</v>
      </c>
      <c r="L330" s="39">
        <f t="shared" si="91"/>
        <v>0</v>
      </c>
      <c r="M330" s="39">
        <f t="shared" si="92"/>
        <v>0</v>
      </c>
      <c r="N330" s="39">
        <f t="shared" si="94"/>
        <v>0</v>
      </c>
      <c r="O330" s="39">
        <f t="shared" si="93"/>
        <v>0</v>
      </c>
      <c r="P330" s="112"/>
    </row>
    <row r="331" spans="1:16" s="34" customFormat="1">
      <c r="A331" s="29" t="str">
        <f t="shared" si="95"/>
        <v/>
      </c>
      <c r="B331" s="109" t="s">
        <v>847</v>
      </c>
      <c r="C331" s="119"/>
      <c r="D331" s="120"/>
      <c r="E331" s="151" t="str">
        <f>VLOOKUP($B331,dongia1,DG!$C$5,)</f>
        <v>Boulon 16x300+ 2 long đền vuông D18-50x50x3/Zn</v>
      </c>
      <c r="F331" s="120" t="str">
        <f>VLOOKUP($B331,dongia1,DG!$D$5,)</f>
        <v>bộ</v>
      </c>
      <c r="G331" s="74">
        <f>+G327*2</f>
        <v>0</v>
      </c>
      <c r="H331" s="121">
        <f>VLOOKUP($B331,dongia1,DG!$F$5,)</f>
        <v>25400</v>
      </c>
      <c r="I331" s="121"/>
      <c r="J331" s="121"/>
      <c r="K331" s="121">
        <f>VLOOKUP($B331,dongia1,DG!$H$5,)</f>
        <v>0</v>
      </c>
      <c r="L331" s="39">
        <f t="shared" si="91"/>
        <v>0</v>
      </c>
      <c r="M331" s="39">
        <f t="shared" si="92"/>
        <v>0</v>
      </c>
      <c r="N331" s="39">
        <f t="shared" si="94"/>
        <v>0</v>
      </c>
      <c r="O331" s="39">
        <f t="shared" si="93"/>
        <v>0</v>
      </c>
      <c r="P331" s="112"/>
    </row>
    <row r="332" spans="1:16" s="34" customFormat="1">
      <c r="A332" s="29" t="str">
        <f t="shared" si="95"/>
        <v/>
      </c>
      <c r="B332" s="109" t="s">
        <v>1674</v>
      </c>
      <c r="C332" s="119"/>
      <c r="D332" s="120">
        <f>VLOOKUP($B332,dongia1,DG!$B$5,)</f>
        <v>0</v>
      </c>
      <c r="E332" s="151" t="str">
        <f>VLOOKUP($B332,dongia1,DG!$C$5,)</f>
        <v>Boulon 16x50+ 2 long đền vuông D18-50x50x3/Zn</v>
      </c>
      <c r="F332" s="120" t="str">
        <f>VLOOKUP($B332,dongia1,DG!$D$5,)</f>
        <v>bộ</v>
      </c>
      <c r="G332" s="74">
        <f>G331*2</f>
        <v>0</v>
      </c>
      <c r="H332" s="121">
        <f>VLOOKUP($B332,dongia1,DG!$F$5,)</f>
        <v>12400</v>
      </c>
      <c r="I332" s="121"/>
      <c r="J332" s="121">
        <f>VLOOKUP($B332,dongia1,DG!$G$5,)</f>
        <v>0</v>
      </c>
      <c r="K332" s="121">
        <f>VLOOKUP($B332,dongia1,DG!$H$5,)</f>
        <v>0</v>
      </c>
      <c r="L332" s="39">
        <f t="shared" si="91"/>
        <v>0</v>
      </c>
      <c r="M332" s="39">
        <f t="shared" si="92"/>
        <v>0</v>
      </c>
      <c r="N332" s="39">
        <f t="shared" si="94"/>
        <v>0</v>
      </c>
      <c r="O332" s="39">
        <f t="shared" si="93"/>
        <v>0</v>
      </c>
      <c r="P332" s="112"/>
    </row>
    <row r="333" spans="1:16" s="34" customFormat="1" ht="27.6">
      <c r="A333" s="29" t="str">
        <f t="shared" si="95"/>
        <v/>
      </c>
      <c r="B333" s="109" t="s">
        <v>1132</v>
      </c>
      <c r="C333" s="119"/>
      <c r="D333" s="120"/>
      <c r="E333" s="151" t="str">
        <f>VLOOKUP($B333,dongia1,DG!$C$5,)</f>
        <v>Boulon 16x350VRS+ 4 long đền vuông D18-50x50x3/Zn</v>
      </c>
      <c r="F333" s="120" t="str">
        <f>VLOOKUP($B333,dongia1,DG!$D$5,)</f>
        <v>bộ</v>
      </c>
      <c r="G333" s="74">
        <f>+G327*4</f>
        <v>0</v>
      </c>
      <c r="H333" s="121">
        <f>VLOOKUP($B333,dongia1,DG!$F$5,)</f>
        <v>32800</v>
      </c>
      <c r="I333" s="121"/>
      <c r="J333" s="121"/>
      <c r="K333" s="121">
        <f>VLOOKUP($B333,dongia1,DG!$H$5,)</f>
        <v>0</v>
      </c>
      <c r="L333" s="39">
        <f t="shared" si="91"/>
        <v>0</v>
      </c>
      <c r="M333" s="39">
        <f t="shared" si="92"/>
        <v>0</v>
      </c>
      <c r="N333" s="39">
        <f t="shared" si="94"/>
        <v>0</v>
      </c>
      <c r="O333" s="39">
        <f t="shared" si="93"/>
        <v>0</v>
      </c>
      <c r="P333" s="112"/>
    </row>
    <row r="334" spans="1:16" s="34" customFormat="1">
      <c r="A334" s="29" t="str">
        <f t="shared" si="95"/>
        <v/>
      </c>
      <c r="B334" s="109" t="s">
        <v>647</v>
      </c>
      <c r="C334" s="119"/>
      <c r="D334" s="120">
        <f>VLOOKUP($B334,dongia1,DG!$B$5,)</f>
        <v>0</v>
      </c>
      <c r="E334" s="151" t="str">
        <f>VLOOKUP($B334,dongia1,DG!$C$5,)</f>
        <v xml:space="preserve">Sứ đứng 24KV </v>
      </c>
      <c r="F334" s="120" t="str">
        <f>VLOOKUP($B334,dongia1,DG!$D$5,)</f>
        <v>cái</v>
      </c>
      <c r="G334" s="74"/>
      <c r="H334" s="121">
        <f>VLOOKUP($B334,dongia1,DG!$F$5,)</f>
        <v>205000</v>
      </c>
      <c r="I334" s="155"/>
      <c r="J334" s="121">
        <f>VLOOKUP($B334,dongia1,DG!$G$5,)</f>
        <v>0</v>
      </c>
      <c r="K334" s="121">
        <f>VLOOKUP($B334,dongia1,DG!$H$5,)</f>
        <v>0</v>
      </c>
      <c r="L334" s="39">
        <f t="shared" si="91"/>
        <v>0</v>
      </c>
      <c r="M334" s="39">
        <f t="shared" si="92"/>
        <v>0</v>
      </c>
      <c r="N334" s="39">
        <f t="shared" si="94"/>
        <v>0</v>
      </c>
      <c r="O334" s="39">
        <f t="shared" si="93"/>
        <v>0</v>
      </c>
      <c r="P334" s="112"/>
    </row>
    <row r="335" spans="1:16" s="34" customFormat="1">
      <c r="A335" s="29" t="str">
        <f t="shared" si="95"/>
        <v/>
      </c>
      <c r="B335" s="109" t="s">
        <v>414</v>
      </c>
      <c r="C335" s="119"/>
      <c r="D335" s="120">
        <f>VLOOKUP($B335,dongia1,DG!$B$5,)</f>
        <v>0</v>
      </c>
      <c r="E335" s="151" t="str">
        <f>VLOOKUP($B335,dongia1,DG!$C$5,)</f>
        <v>Chân sứ đứng D20</v>
      </c>
      <c r="F335" s="120" t="str">
        <f>VLOOKUP($B335,dongia1,DG!$D$5,)</f>
        <v>cái</v>
      </c>
      <c r="G335" s="74"/>
      <c r="H335" s="121">
        <f>VLOOKUP($B335,dongia1,DG!$F$5,)</f>
        <v>65000</v>
      </c>
      <c r="I335" s="155"/>
      <c r="J335" s="121">
        <f>VLOOKUP($B335,dongia1,DG!$G$5,)</f>
        <v>0</v>
      </c>
      <c r="K335" s="121">
        <f>VLOOKUP($B335,dongia1,DG!$H$5,)</f>
        <v>0</v>
      </c>
      <c r="L335" s="39">
        <f t="shared" si="91"/>
        <v>0</v>
      </c>
      <c r="M335" s="39">
        <f t="shared" si="92"/>
        <v>0</v>
      </c>
      <c r="N335" s="39">
        <f t="shared" si="94"/>
        <v>0</v>
      </c>
      <c r="O335" s="39">
        <f t="shared" si="93"/>
        <v>0</v>
      </c>
      <c r="P335" s="112"/>
    </row>
    <row r="336" spans="1:16" s="34" customFormat="1">
      <c r="A336" s="29" t="str">
        <f>IF(G336=0,"",1)</f>
        <v/>
      </c>
      <c r="B336" s="153" t="s">
        <v>946</v>
      </c>
      <c r="C336" s="119"/>
      <c r="D336" s="120">
        <f>VLOOKUP($B336,dongia1,DG!$B$5,)</f>
        <v>0</v>
      </c>
      <c r="E336" s="151" t="str">
        <f>VLOOKUP($B336,dongia1,DG!$C$5,)</f>
        <v>Bass LL bắt FCO và LA</v>
      </c>
      <c r="F336" s="120" t="str">
        <f>VLOOKUP($B336,dongia1,DG!$D$5,)</f>
        <v>bộ</v>
      </c>
      <c r="G336" s="74"/>
      <c r="H336" s="121">
        <f>VLOOKUP($B336,dongia1,DG!$F$5,)</f>
        <v>65000</v>
      </c>
      <c r="I336" s="155"/>
      <c r="J336" s="121">
        <f>VLOOKUP($B336,dongia1,DG!$G$5,)</f>
        <v>0</v>
      </c>
      <c r="K336" s="121">
        <f>VLOOKUP($B336,dongia1,DG!$H$5,)</f>
        <v>0</v>
      </c>
      <c r="L336" s="39">
        <f t="shared" si="91"/>
        <v>0</v>
      </c>
      <c r="M336" s="39">
        <f t="shared" si="92"/>
        <v>0</v>
      </c>
      <c r="N336" s="39">
        <f t="shared" si="94"/>
        <v>0</v>
      </c>
      <c r="O336" s="39">
        <f t="shared" si="93"/>
        <v>0</v>
      </c>
      <c r="P336" s="112"/>
    </row>
    <row r="337" spans="1:16" s="34" customFormat="1">
      <c r="A337" s="29" t="str">
        <f>IF(G337=0,"",1)</f>
        <v/>
      </c>
      <c r="B337" s="153" t="s">
        <v>1355</v>
      </c>
      <c r="C337" s="119"/>
      <c r="D337" s="120">
        <f>VLOOKUP($B337,dongia1,DG!$B$5,)</f>
        <v>0</v>
      </c>
      <c r="E337" s="151" t="str">
        <f>VLOOKUP($B337,dongia1,DG!$C$5,)</f>
        <v>Uclevis (loại gân)+ sứ ống chỉ</v>
      </c>
      <c r="F337" s="120" t="str">
        <f>VLOOKUP($B337,dongia1,DG!$D$5,)</f>
        <v>bộ</v>
      </c>
      <c r="G337" s="74"/>
      <c r="H337" s="121">
        <f>VLOOKUP($B337,dongia1,DG!$F$5,)</f>
        <v>35000</v>
      </c>
      <c r="I337" s="155"/>
      <c r="J337" s="121">
        <f>VLOOKUP($B337,dongia1,DG!$G$5,)</f>
        <v>0</v>
      </c>
      <c r="K337" s="121">
        <f>VLOOKUP($B337,dongia1,DG!$H$5,)</f>
        <v>0</v>
      </c>
      <c r="L337" s="39">
        <f t="shared" si="91"/>
        <v>0</v>
      </c>
      <c r="M337" s="39">
        <f t="shared" si="92"/>
        <v>0</v>
      </c>
      <c r="N337" s="39">
        <f t="shared" si="94"/>
        <v>0</v>
      </c>
      <c r="O337" s="39">
        <f t="shared" si="93"/>
        <v>0</v>
      </c>
      <c r="P337" s="112"/>
    </row>
    <row r="338" spans="1:16" s="34" customFormat="1">
      <c r="A338" s="29" t="str">
        <f>IF(G338=0,"",1)</f>
        <v/>
      </c>
      <c r="B338" s="109" t="s">
        <v>1116</v>
      </c>
      <c r="C338" s="119"/>
      <c r="D338" s="120" t="str">
        <f>VLOOKUP($B338,dongia1,DG!$B$5,)</f>
        <v>D3.1115</v>
      </c>
      <c r="E338" s="151" t="str">
        <f>VLOOKUP($B338,dongia1,DG!$C$5,)</f>
        <v>Lắp sứ đứng 24KV</v>
      </c>
      <c r="F338" s="120" t="str">
        <f>VLOOKUP($B338,dongia1,DG!$D$5,)</f>
        <v>bộ</v>
      </c>
      <c r="G338" s="74"/>
      <c r="H338" s="121">
        <f>VLOOKUP($B338,dongia1,DG!$F$5,)</f>
        <v>510</v>
      </c>
      <c r="I338" s="155"/>
      <c r="J338" s="121">
        <f>VLOOKUP($B338,dongia1,DG!$G$5,)</f>
        <v>58277.49</v>
      </c>
      <c r="K338" s="121">
        <f>VLOOKUP($B338,dongia1,DG!$H$5,)</f>
        <v>0</v>
      </c>
      <c r="L338" s="39">
        <f t="shared" si="91"/>
        <v>0</v>
      </c>
      <c r="M338" s="39">
        <f t="shared" si="92"/>
        <v>0</v>
      </c>
      <c r="N338" s="39">
        <f t="shared" si="94"/>
        <v>0</v>
      </c>
      <c r="O338" s="39">
        <f t="shared" si="93"/>
        <v>0</v>
      </c>
      <c r="P338" s="112"/>
    </row>
    <row r="339" spans="1:16" s="34" customFormat="1">
      <c r="A339" s="29" t="str">
        <f>IF(G339=0,"",1)</f>
        <v/>
      </c>
      <c r="B339" s="622" t="s">
        <v>32</v>
      </c>
      <c r="C339" s="119"/>
      <c r="D339" s="120" t="str">
        <f>VLOOKUP($B339,dongia1,DG!$B$5,)</f>
        <v>D2.6031</v>
      </c>
      <c r="E339" s="151" t="str">
        <f>VLOOKUP($B339,dongia1,DG!$C$5,)</f>
        <v>Lắp xà đỡ 50kg</v>
      </c>
      <c r="F339" s="120" t="str">
        <f>VLOOKUP($B339,dongia1,DG!$D$5,)</f>
        <v>bộ</v>
      </c>
      <c r="G339" s="74">
        <f>G327</f>
        <v>0</v>
      </c>
      <c r="H339" s="121"/>
      <c r="I339" s="155"/>
      <c r="J339" s="121">
        <f>VLOOKUP($B339,dongia1,DG!$G$5,)</f>
        <v>296544.75</v>
      </c>
      <c r="K339" s="121">
        <f>VLOOKUP($B339,dongia1,DG!$H$5,)</f>
        <v>0</v>
      </c>
      <c r="L339" s="39">
        <f>H339*$G339</f>
        <v>0</v>
      </c>
      <c r="M339" s="39">
        <f>I339*$G339</f>
        <v>0</v>
      </c>
      <c r="N339" s="121">
        <f>VLOOKUP($B339,dongia1,DG!$G$5,)*hslxh*G339</f>
        <v>0</v>
      </c>
      <c r="O339" s="39">
        <f>K339*$G339</f>
        <v>0</v>
      </c>
      <c r="P339" s="112"/>
    </row>
    <row r="340" spans="1:16" s="61" customFormat="1">
      <c r="A340" s="137" t="str">
        <f>IF(G340=0,"",1)</f>
        <v/>
      </c>
      <c r="B340" s="184" t="s">
        <v>1951</v>
      </c>
      <c r="C340" s="166">
        <f>IF(G340&gt;0,C327+1,C327)</f>
        <v>0</v>
      </c>
      <c r="D340" s="167"/>
      <c r="E340" s="206" t="s">
        <v>3832</v>
      </c>
      <c r="F340" s="207" t="s">
        <v>2113</v>
      </c>
      <c r="G340" s="67">
        <f>+ppCN!L40</f>
        <v>0</v>
      </c>
      <c r="H340" s="207"/>
      <c r="I340" s="207"/>
      <c r="J340" s="207"/>
      <c r="K340" s="172"/>
      <c r="L340" s="64">
        <f t="shared" si="91"/>
        <v>0</v>
      </c>
      <c r="M340" s="64">
        <f t="shared" si="92"/>
        <v>0</v>
      </c>
      <c r="N340" s="64">
        <f t="shared" ref="N340:N346" si="96">J340*$G340</f>
        <v>0</v>
      </c>
      <c r="O340" s="64">
        <f t="shared" si="93"/>
        <v>0</v>
      </c>
      <c r="P340" s="207"/>
    </row>
    <row r="341" spans="1:16" s="34" customFormat="1" ht="14.4">
      <c r="A341" s="29" t="str">
        <f>A340</f>
        <v/>
      </c>
      <c r="B341" s="109"/>
      <c r="C341" s="178"/>
      <c r="D341" s="120"/>
      <c r="E341" s="196" t="s">
        <v>3378</v>
      </c>
      <c r="F341" s="112"/>
      <c r="G341" s="73"/>
      <c r="H341" s="197"/>
      <c r="I341" s="197"/>
      <c r="J341" s="197"/>
      <c r="K341" s="121"/>
      <c r="L341" s="39">
        <f t="shared" si="91"/>
        <v>0</v>
      </c>
      <c r="M341" s="39">
        <f t="shared" si="92"/>
        <v>0</v>
      </c>
      <c r="N341" s="39">
        <f t="shared" si="96"/>
        <v>0</v>
      </c>
      <c r="O341" s="39">
        <f t="shared" si="93"/>
        <v>0</v>
      </c>
      <c r="P341" s="178"/>
    </row>
    <row r="342" spans="1:16" s="34" customFormat="1">
      <c r="A342" s="29" t="str">
        <f t="shared" ref="A342:A349" si="97">IF(G342=0,"",1)</f>
        <v/>
      </c>
      <c r="B342" s="202" t="s">
        <v>386</v>
      </c>
      <c r="C342" s="119"/>
      <c r="D342" s="120"/>
      <c r="E342" s="151" t="str">
        <f>VLOOKUP($B342,dongia1,DG!$C$5,)</f>
        <v>Sắt góc L75 x75 x8</v>
      </c>
      <c r="F342" s="120" t="str">
        <f>VLOOKUP($B342,dongia1,DG!$D$5,)</f>
        <v>kg</v>
      </c>
      <c r="G342" s="208">
        <f>9.02*2.3*2*G340</f>
        <v>0</v>
      </c>
      <c r="H342" s="121">
        <f>VLOOKUP($B342,dongia1,DG!$F$5,)</f>
        <v>31625</v>
      </c>
      <c r="I342" s="121"/>
      <c r="J342" s="121"/>
      <c r="K342" s="121">
        <f>VLOOKUP($B342,dongia1,DG!$H$5,)</f>
        <v>0</v>
      </c>
      <c r="L342" s="39">
        <f t="shared" si="91"/>
        <v>0</v>
      </c>
      <c r="M342" s="39">
        <f t="shared" si="92"/>
        <v>0</v>
      </c>
      <c r="N342" s="39">
        <f t="shared" si="96"/>
        <v>0</v>
      </c>
      <c r="O342" s="39">
        <f t="shared" si="93"/>
        <v>0</v>
      </c>
      <c r="P342" s="112"/>
    </row>
    <row r="343" spans="1:16" s="34" customFormat="1">
      <c r="A343" s="29" t="str">
        <f t="shared" si="97"/>
        <v/>
      </c>
      <c r="B343" s="202" t="s">
        <v>1938</v>
      </c>
      <c r="C343" s="119"/>
      <c r="D343" s="120"/>
      <c r="E343" s="151" t="s">
        <v>1718</v>
      </c>
      <c r="F343" s="120" t="str">
        <f>VLOOKUP($B343,dongia1,DG!$D$5,)</f>
        <v>bộ</v>
      </c>
      <c r="G343" s="209">
        <f>2*G340</f>
        <v>0</v>
      </c>
      <c r="H343" s="121">
        <f>VLOOKUP($B343,dongia1,DG!$F$5,)</f>
        <v>60000</v>
      </c>
      <c r="I343" s="121"/>
      <c r="J343" s="121"/>
      <c r="K343" s="121">
        <f>VLOOKUP($B343,dongia1,DG!$H$5,)</f>
        <v>0</v>
      </c>
      <c r="L343" s="39">
        <f t="shared" ref="L343:M347" si="98">H343*$G343</f>
        <v>0</v>
      </c>
      <c r="M343" s="39">
        <f t="shared" si="98"/>
        <v>0</v>
      </c>
      <c r="N343" s="39">
        <f t="shared" si="96"/>
        <v>0</v>
      </c>
      <c r="O343" s="39">
        <f>K343*$G343</f>
        <v>0</v>
      </c>
      <c r="P343" s="112"/>
    </row>
    <row r="344" spans="1:16" s="34" customFormat="1">
      <c r="A344" s="29" t="str">
        <f>IF(G344=0,"",1)</f>
        <v/>
      </c>
      <c r="B344" s="202" t="s">
        <v>1938</v>
      </c>
      <c r="C344" s="119"/>
      <c r="D344" s="120"/>
      <c r="E344" s="151" t="s">
        <v>1719</v>
      </c>
      <c r="F344" s="120" t="str">
        <f>VLOOKUP($B344,dongia1,DG!$D$5,)</f>
        <v>bộ</v>
      </c>
      <c r="G344" s="209">
        <f>+G343</f>
        <v>0</v>
      </c>
      <c r="H344" s="121">
        <f>VLOOKUP($B344,dongia1,DG!$F$5,)</f>
        <v>60000</v>
      </c>
      <c r="I344" s="121"/>
      <c r="J344" s="121"/>
      <c r="K344" s="121">
        <f>VLOOKUP($B344,dongia1,DG!$H$5,)</f>
        <v>0</v>
      </c>
      <c r="L344" s="39">
        <f>H344*$G344</f>
        <v>0</v>
      </c>
      <c r="M344" s="39">
        <f>I344*$G344</f>
        <v>0</v>
      </c>
      <c r="N344" s="39">
        <f>J344*$G344</f>
        <v>0</v>
      </c>
      <c r="O344" s="39">
        <f>K344*$G344</f>
        <v>0</v>
      </c>
      <c r="P344" s="112"/>
    </row>
    <row r="345" spans="1:16" s="34" customFormat="1">
      <c r="A345" s="29" t="str">
        <f t="shared" si="97"/>
        <v/>
      </c>
      <c r="B345" s="202" t="s">
        <v>1044</v>
      </c>
      <c r="C345" s="119"/>
      <c r="D345" s="120"/>
      <c r="E345" s="151" t="str">
        <f>VLOOKUP($B345,dongia1,DG!$C$5,)</f>
        <v>Boulon 16x50+ 2 long đền vuông D18-50x50x3/Zn</v>
      </c>
      <c r="F345" s="120" t="str">
        <f>VLOOKUP($B345,dongia1,DG!$D$5,)</f>
        <v>bộ</v>
      </c>
      <c r="G345" s="209">
        <f>1*G340</f>
        <v>0</v>
      </c>
      <c r="H345" s="121">
        <f>VLOOKUP($B345,dongia1,DG!$F$5,)</f>
        <v>12400</v>
      </c>
      <c r="I345" s="121"/>
      <c r="J345" s="121"/>
      <c r="K345" s="121">
        <f>VLOOKUP($B345,dongia1,DG!$H$5,)</f>
        <v>0</v>
      </c>
      <c r="L345" s="39">
        <f t="shared" si="98"/>
        <v>0</v>
      </c>
      <c r="M345" s="39">
        <f t="shared" si="98"/>
        <v>0</v>
      </c>
      <c r="N345" s="39">
        <f t="shared" si="96"/>
        <v>0</v>
      </c>
      <c r="O345" s="39">
        <f>K345*$G345</f>
        <v>0</v>
      </c>
      <c r="P345" s="112"/>
    </row>
    <row r="346" spans="1:16" s="34" customFormat="1">
      <c r="A346" s="29" t="str">
        <f t="shared" si="97"/>
        <v/>
      </c>
      <c r="B346" s="202" t="s">
        <v>1939</v>
      </c>
      <c r="C346" s="119"/>
      <c r="D346" s="120"/>
      <c r="E346" s="151" t="str">
        <f>VLOOKUP($B346,dongia1,DG!$C$5,)</f>
        <v>Boulon 16x100+ 2 long đền vuông D18-50x50x3/Zn</v>
      </c>
      <c r="F346" s="120" t="str">
        <f>VLOOKUP($B346,dongia1,DG!$D$5,)</f>
        <v>bộ</v>
      </c>
      <c r="G346" s="209"/>
      <c r="H346" s="121">
        <f>VLOOKUP($B346,dongia1,DG!$F$5,)</f>
        <v>17400</v>
      </c>
      <c r="I346" s="121"/>
      <c r="J346" s="121"/>
      <c r="K346" s="121">
        <f>VLOOKUP($B346,dongia1,DG!$H$5,)</f>
        <v>0</v>
      </c>
      <c r="L346" s="39">
        <f t="shared" si="98"/>
        <v>0</v>
      </c>
      <c r="M346" s="39">
        <f t="shared" si="98"/>
        <v>0</v>
      </c>
      <c r="N346" s="39">
        <f t="shared" si="96"/>
        <v>0</v>
      </c>
      <c r="O346" s="39">
        <f>K346*$G346</f>
        <v>0</v>
      </c>
      <c r="P346" s="112"/>
    </row>
    <row r="347" spans="1:16" s="34" customFormat="1">
      <c r="A347" s="29" t="str">
        <f t="shared" si="97"/>
        <v/>
      </c>
      <c r="B347" s="153" t="s">
        <v>1663</v>
      </c>
      <c r="C347" s="119"/>
      <c r="D347" s="163" t="s">
        <v>861</v>
      </c>
      <c r="E347" s="151" t="s">
        <v>862</v>
      </c>
      <c r="F347" s="120" t="str">
        <f>VLOOKUP($B347,dongia1,DG!$D$5,)</f>
        <v>bộ</v>
      </c>
      <c r="G347" s="73">
        <f>+G343+G344</f>
        <v>0</v>
      </c>
      <c r="H347" s="121"/>
      <c r="I347" s="155"/>
      <c r="J347" s="158">
        <v>34935</v>
      </c>
      <c r="K347" s="121">
        <f>VLOOKUP($B347,dongia1,DG!$H$5,)</f>
        <v>0</v>
      </c>
      <c r="L347" s="39">
        <f t="shared" si="98"/>
        <v>0</v>
      </c>
      <c r="M347" s="39">
        <f t="shared" si="98"/>
        <v>0</v>
      </c>
      <c r="N347" s="39">
        <f>J347*G347</f>
        <v>0</v>
      </c>
      <c r="O347" s="39">
        <f>K347*$G347</f>
        <v>0</v>
      </c>
      <c r="P347" s="112"/>
    </row>
    <row r="348" spans="1:16" s="34" customFormat="1">
      <c r="A348" s="29" t="str">
        <f t="shared" si="97"/>
        <v/>
      </c>
      <c r="B348" s="202" t="s">
        <v>728</v>
      </c>
      <c r="C348" s="119"/>
      <c r="D348" s="120" t="str">
        <f>VLOOKUP($B348,dongia1,DG!$B$5,)</f>
        <v>D2.6054</v>
      </c>
      <c r="E348" s="151" t="str">
        <f>VLOOKUP($B348,dongia1,DG!$C$5,)</f>
        <v>Lắp xà cột Pi loại ≤140kg/xà</v>
      </c>
      <c r="F348" s="120" t="str">
        <f>VLOOKUP($B348,dongia1,DG!$D$5,)</f>
        <v>bộ</v>
      </c>
      <c r="G348" s="209">
        <f>+G340</f>
        <v>0</v>
      </c>
      <c r="H348" s="121"/>
      <c r="I348" s="155"/>
      <c r="J348" s="120" t="str">
        <f>VLOOKUP($B348,dongia1,DG!$G$5,)&amp;"x"&amp;hslxh</f>
        <v>474961x1,7</v>
      </c>
      <c r="K348" s="121">
        <f>VLOOKUP($B348,dongia1,DG!$H$5,)</f>
        <v>0</v>
      </c>
      <c r="L348" s="39">
        <f t="shared" si="91"/>
        <v>0</v>
      </c>
      <c r="M348" s="39">
        <f t="shared" si="92"/>
        <v>0</v>
      </c>
      <c r="N348" s="121">
        <f>VLOOKUP($B348,dongia1,DG!$G$5,)*hslxh*G348</f>
        <v>0</v>
      </c>
      <c r="O348" s="39">
        <f t="shared" si="93"/>
        <v>0</v>
      </c>
      <c r="P348" s="112"/>
    </row>
    <row r="349" spans="1:16" s="61" customFormat="1">
      <c r="A349" s="137" t="str">
        <f t="shared" si="97"/>
        <v/>
      </c>
      <c r="B349" s="138"/>
      <c r="C349" s="166">
        <f>IF(G349&gt;0,C340+1,C340)</f>
        <v>0</v>
      </c>
      <c r="D349" s="167"/>
      <c r="E349" s="206" t="s">
        <v>5726</v>
      </c>
      <c r="F349" s="207" t="s">
        <v>2113</v>
      </c>
      <c r="G349" s="1806"/>
      <c r="H349" s="207"/>
      <c r="I349" s="207"/>
      <c r="J349" s="207"/>
      <c r="K349" s="172"/>
      <c r="L349" s="64">
        <f t="shared" ref="L349:L361" si="99">H349*$G349</f>
        <v>0</v>
      </c>
      <c r="M349" s="64">
        <f t="shared" ref="M349:M361" si="100">I349*$G349</f>
        <v>0</v>
      </c>
      <c r="N349" s="64">
        <f t="shared" ref="N349:N361" si="101">J349*$G349</f>
        <v>0</v>
      </c>
      <c r="O349" s="64">
        <f t="shared" ref="O349:O361" si="102">K349*$G349</f>
        <v>0</v>
      </c>
      <c r="P349" s="207"/>
    </row>
    <row r="350" spans="1:16" s="34" customFormat="1" ht="14.4">
      <c r="A350" s="29" t="str">
        <f>A349</f>
        <v/>
      </c>
      <c r="B350" s="109"/>
      <c r="C350" s="178"/>
      <c r="D350" s="120"/>
      <c r="E350" s="196" t="s">
        <v>3378</v>
      </c>
      <c r="F350" s="112"/>
      <c r="G350" s="73"/>
      <c r="H350" s="197"/>
      <c r="I350" s="197"/>
      <c r="J350" s="197"/>
      <c r="K350" s="121"/>
      <c r="L350" s="39">
        <f t="shared" si="99"/>
        <v>0</v>
      </c>
      <c r="M350" s="39">
        <f t="shared" si="100"/>
        <v>0</v>
      </c>
      <c r="N350" s="39">
        <f t="shared" si="101"/>
        <v>0</v>
      </c>
      <c r="O350" s="39">
        <f t="shared" si="102"/>
        <v>0</v>
      </c>
      <c r="P350" s="178"/>
    </row>
    <row r="351" spans="1:16" s="34" customFormat="1">
      <c r="A351" s="29" t="str">
        <f>IF(G351=0,"",1)</f>
        <v/>
      </c>
      <c r="B351" s="692" t="s">
        <v>2116</v>
      </c>
      <c r="C351" s="119"/>
      <c r="D351" s="120">
        <f>VLOOKUP($B351,dongia1,DG!$B$5,)</f>
        <v>0</v>
      </c>
      <c r="E351" s="151" t="str">
        <f>VLOOKUP($B351,dongia1,DG!$C$5,)</f>
        <v>Đà Composite 110x80x5x800</v>
      </c>
      <c r="F351" s="120" t="str">
        <f>VLOOKUP($B351,dongia1,DG!$D$5,)</f>
        <v>cây</v>
      </c>
      <c r="G351" s="74">
        <f>G349</f>
        <v>0</v>
      </c>
      <c r="H351" s="121">
        <f>VLOOKUP($B351,dongia1,DG!$F$5,)</f>
        <v>320000</v>
      </c>
      <c r="I351" s="121"/>
      <c r="J351" s="121">
        <f>VLOOKUP($B351,dongia1,DG!$G$5,)</f>
        <v>0</v>
      </c>
      <c r="K351" s="121">
        <f>VLOOKUP($B351,dongia1,DG!$H$5,)</f>
        <v>0</v>
      </c>
      <c r="L351" s="39">
        <f t="shared" ref="L351:O352" si="103">H351*$G351</f>
        <v>0</v>
      </c>
      <c r="M351" s="39">
        <f t="shared" si="103"/>
        <v>0</v>
      </c>
      <c r="N351" s="39">
        <f t="shared" si="103"/>
        <v>0</v>
      </c>
      <c r="O351" s="39">
        <f t="shared" si="103"/>
        <v>0</v>
      </c>
      <c r="P351" s="112"/>
    </row>
    <row r="352" spans="1:16" s="34" customFormat="1">
      <c r="A352" s="29" t="str">
        <f>IF(G352=0,"",1)</f>
        <v/>
      </c>
      <c r="B352" s="692" t="s">
        <v>2106</v>
      </c>
      <c r="C352" s="119"/>
      <c r="D352" s="120">
        <f>VLOOKUP($B352,dongia1,DG!$B$5,)</f>
        <v>0</v>
      </c>
      <c r="E352" s="151" t="str">
        <f>VLOOKUP($B352,dongia1,DG!$C$5,)</f>
        <v>Chống Composite 40x10x920</v>
      </c>
      <c r="F352" s="120" t="str">
        <f>VLOOKUP($B352,dongia1,DG!$D$5,)</f>
        <v>Thanh</v>
      </c>
      <c r="G352" s="74">
        <f>G351</f>
        <v>0</v>
      </c>
      <c r="H352" s="121">
        <f>VLOOKUP($B352,dongia1,DG!$F$5,)</f>
        <v>140000</v>
      </c>
      <c r="I352" s="121"/>
      <c r="J352" s="121">
        <f>VLOOKUP($B352,dongia1,DG!$G$5,)</f>
        <v>0</v>
      </c>
      <c r="K352" s="121">
        <f>VLOOKUP($B352,dongia1,DG!$H$5,)</f>
        <v>0</v>
      </c>
      <c r="L352" s="39">
        <f t="shared" si="103"/>
        <v>0</v>
      </c>
      <c r="M352" s="39">
        <f t="shared" si="103"/>
        <v>0</v>
      </c>
      <c r="N352" s="39">
        <f t="shared" si="103"/>
        <v>0</v>
      </c>
      <c r="O352" s="39">
        <f t="shared" si="103"/>
        <v>0</v>
      </c>
      <c r="P352" s="112"/>
    </row>
    <row r="353" spans="1:16" s="34" customFormat="1">
      <c r="A353" s="29" t="str">
        <f t="shared" ref="A353:A362" si="104">IF(G353=0,"",1)</f>
        <v/>
      </c>
      <c r="B353" s="109" t="s">
        <v>5727</v>
      </c>
      <c r="C353" s="119"/>
      <c r="D353" s="120">
        <f>VLOOKUP($B353,dongia1,DG!$B$5,)</f>
        <v>0</v>
      </c>
      <c r="E353" s="151" t="str">
        <f>VLOOKUP($B353,dongia1,DG!$C$5,)</f>
        <v>Sắt góc L75 x75 x8x800 (1 ốp)</v>
      </c>
      <c r="F353" s="120" t="str">
        <f>VLOOKUP($B353,dongia1,DG!$D$5,)</f>
        <v xml:space="preserve">thanh </v>
      </c>
      <c r="G353" s="74">
        <f>G349*2</f>
        <v>0</v>
      </c>
      <c r="H353" s="121">
        <f>VLOOKUP($B353,dongia1,DG!$F$5,)</f>
        <v>220546.36860000002</v>
      </c>
      <c r="I353" s="121"/>
      <c r="J353" s="121">
        <f>VLOOKUP($B353,dongia1,DG!$G$5,)</f>
        <v>0</v>
      </c>
      <c r="K353" s="121">
        <f>VLOOKUP($B353,dongia1,DG!$H$5,)</f>
        <v>0</v>
      </c>
      <c r="L353" s="39">
        <f t="shared" si="99"/>
        <v>0</v>
      </c>
      <c r="M353" s="39">
        <f t="shared" si="100"/>
        <v>0</v>
      </c>
      <c r="N353" s="39">
        <f t="shared" si="101"/>
        <v>0</v>
      </c>
      <c r="O353" s="39">
        <f t="shared" si="102"/>
        <v>0</v>
      </c>
      <c r="P353" s="112"/>
    </row>
    <row r="354" spans="1:16" s="34" customFormat="1">
      <c r="A354" s="29" t="str">
        <f>IF(G354=0,"",1)</f>
        <v/>
      </c>
      <c r="B354" s="109" t="s">
        <v>4930</v>
      </c>
      <c r="C354" s="119"/>
      <c r="D354" s="120">
        <f>VLOOKUP($B354,dongia1,DG!$B$5,)</f>
        <v>0</v>
      </c>
      <c r="E354" s="151" t="str">
        <f>VLOOKUP($B354,dongia1,DG!$C$5,)</f>
        <v>Sắt góc L50 x50 x5x810</v>
      </c>
      <c r="F354" s="120" t="str">
        <f>VLOOKUP($B354,dongia1,DG!$D$5,)</f>
        <v xml:space="preserve">thanh </v>
      </c>
      <c r="G354" s="74">
        <f>G353</f>
        <v>0</v>
      </c>
      <c r="H354" s="121">
        <f>VLOOKUP($B354,dongia1,DG!$F$5,)</f>
        <v>86065.309080000006</v>
      </c>
      <c r="I354" s="121"/>
      <c r="J354" s="121">
        <f>VLOOKUP($B354,dongia1,DG!$G$5,)</f>
        <v>0</v>
      </c>
      <c r="K354" s="121">
        <f>VLOOKUP($B354,dongia1,DG!$H$5,)</f>
        <v>0</v>
      </c>
      <c r="L354" s="39">
        <f>H354*$G354</f>
        <v>0</v>
      </c>
      <c r="M354" s="39">
        <f>I354*$G354</f>
        <v>0</v>
      </c>
      <c r="N354" s="39">
        <f>J354*$G354</f>
        <v>0</v>
      </c>
      <c r="O354" s="39">
        <f>K354*$G354</f>
        <v>0</v>
      </c>
      <c r="P354" s="112"/>
    </row>
    <row r="355" spans="1:16" s="34" customFormat="1">
      <c r="A355" s="29" t="str">
        <f t="shared" si="104"/>
        <v/>
      </c>
      <c r="B355" s="109" t="s">
        <v>1539</v>
      </c>
      <c r="C355" s="119"/>
      <c r="D355" s="120">
        <f>VLOOKUP($B355,dongia1,DG!$B$5,)</f>
        <v>0</v>
      </c>
      <c r="E355" s="151" t="str">
        <f>VLOOKUP($B355,dongia1,DG!$C$5,)</f>
        <v>Boulon 16x350+ 2 long đền vuông D18-50x50x3/Zn</v>
      </c>
      <c r="F355" s="120" t="str">
        <f>VLOOKUP($B355,dongia1,DG!$D$5,)</f>
        <v>bộ</v>
      </c>
      <c r="G355" s="74">
        <f>G349*4</f>
        <v>0</v>
      </c>
      <c r="H355" s="121">
        <f>VLOOKUP($B355,dongia1,DG!$F$5,)</f>
        <v>27900</v>
      </c>
      <c r="I355" s="121"/>
      <c r="J355" s="121">
        <f>VLOOKUP($B355,dongia1,DG!$G$5,)</f>
        <v>0</v>
      </c>
      <c r="K355" s="121">
        <f>VLOOKUP($B355,dongia1,DG!$H$5,)</f>
        <v>0</v>
      </c>
      <c r="L355" s="39">
        <f t="shared" ref="L355:O358" si="105">H355*$G355</f>
        <v>0</v>
      </c>
      <c r="M355" s="39">
        <f t="shared" si="105"/>
        <v>0</v>
      </c>
      <c r="N355" s="39">
        <f t="shared" si="105"/>
        <v>0</v>
      </c>
      <c r="O355" s="39">
        <f t="shared" si="105"/>
        <v>0</v>
      </c>
      <c r="P355" s="112"/>
    </row>
    <row r="356" spans="1:16" s="34" customFormat="1">
      <c r="A356" s="29" t="str">
        <f>IF(G356=0,"",1)</f>
        <v/>
      </c>
      <c r="B356" s="109" t="s">
        <v>1674</v>
      </c>
      <c r="C356" s="119"/>
      <c r="D356" s="120">
        <f>VLOOKUP($B356,dongia1,DG!$B$5,)</f>
        <v>0</v>
      </c>
      <c r="E356" s="151" t="str">
        <f>VLOOKUP($B356,dongia1,DG!$C$5,)</f>
        <v>Boulon 16x50+ 2 long đền vuông D18-50x50x3/Zn</v>
      </c>
      <c r="F356" s="120" t="str">
        <f>VLOOKUP($B356,dongia1,DG!$D$5,)</f>
        <v>bộ</v>
      </c>
      <c r="G356" s="74">
        <f>G353</f>
        <v>0</v>
      </c>
      <c r="H356" s="121">
        <f>VLOOKUP($B356,dongia1,DG!$F$5,)</f>
        <v>12400</v>
      </c>
      <c r="I356" s="121"/>
      <c r="J356" s="121">
        <f>VLOOKUP($B356,dongia1,DG!$G$5,)</f>
        <v>0</v>
      </c>
      <c r="K356" s="121">
        <f>VLOOKUP($B356,dongia1,DG!$H$5,)</f>
        <v>0</v>
      </c>
      <c r="L356" s="39">
        <f t="shared" ref="L356:O357" si="106">H356*$G356</f>
        <v>0</v>
      </c>
      <c r="M356" s="39">
        <f t="shared" si="106"/>
        <v>0</v>
      </c>
      <c r="N356" s="39">
        <f t="shared" si="106"/>
        <v>0</v>
      </c>
      <c r="O356" s="39">
        <f t="shared" si="106"/>
        <v>0</v>
      </c>
      <c r="P356" s="112"/>
    </row>
    <row r="357" spans="1:16" s="34" customFormat="1">
      <c r="A357" s="29" t="str">
        <f>IF(G357=0,"",1)</f>
        <v/>
      </c>
      <c r="B357" s="109" t="s">
        <v>4674</v>
      </c>
      <c r="C357" s="119"/>
      <c r="D357" s="120">
        <f>VLOOKUP($B357,dongia1,DG!$B$5,)</f>
        <v>0</v>
      </c>
      <c r="E357" s="151" t="str">
        <f>VLOOKUP($B357,dongia1,DG!$C$5,)</f>
        <v>Boulon 16x100+ 2 long đền vuông D18-50x50x3/Zn</v>
      </c>
      <c r="F357" s="120" t="str">
        <f>VLOOKUP($B357,dongia1,DG!$D$5,)</f>
        <v>bộ</v>
      </c>
      <c r="G357" s="74">
        <f>G351</f>
        <v>0</v>
      </c>
      <c r="H357" s="121">
        <f>VLOOKUP($B357,dongia1,DG!$F$5,)</f>
        <v>17400</v>
      </c>
      <c r="I357" s="121"/>
      <c r="J357" s="121">
        <f>VLOOKUP($B357,dongia1,DG!$G$5,)</f>
        <v>0</v>
      </c>
      <c r="K357" s="121">
        <f>VLOOKUP($B357,dongia1,DG!$H$5,)</f>
        <v>0</v>
      </c>
      <c r="L357" s="39">
        <f t="shared" si="106"/>
        <v>0</v>
      </c>
      <c r="M357" s="39">
        <f t="shared" si="106"/>
        <v>0</v>
      </c>
      <c r="N357" s="39">
        <f t="shared" si="106"/>
        <v>0</v>
      </c>
      <c r="O357" s="39">
        <f t="shared" si="106"/>
        <v>0</v>
      </c>
      <c r="P357" s="112"/>
    </row>
    <row r="358" spans="1:16" s="34" customFormat="1" ht="27.6">
      <c r="A358" s="29" t="str">
        <f t="shared" si="104"/>
        <v/>
      </c>
      <c r="B358" s="109" t="s">
        <v>5729</v>
      </c>
      <c r="C358" s="119"/>
      <c r="D358" s="120">
        <f>VLOOKUP($B358,dongia1,DG!$B$5,)</f>
        <v>0</v>
      </c>
      <c r="E358" s="151" t="str">
        <f>VLOOKUP($B358,dongia1,DG!$C$5,)</f>
        <v>Boulon 16x300VRS+ 4 long đền vuông D18-50x50x3/Zn</v>
      </c>
      <c r="F358" s="120" t="str">
        <f>VLOOKUP($B358,dongia1,DG!$D$5,)</f>
        <v>bộ</v>
      </c>
      <c r="G358" s="74">
        <f>G349*1</f>
        <v>0</v>
      </c>
      <c r="H358" s="121">
        <f>VLOOKUP($B358,dongia1,DG!$F$5,)</f>
        <v>31800</v>
      </c>
      <c r="I358" s="121"/>
      <c r="J358" s="121">
        <f>VLOOKUP($B358,dongia1,DG!$G$5,)</f>
        <v>0</v>
      </c>
      <c r="K358" s="121">
        <f>VLOOKUP($B358,dongia1,DG!$H$5,)</f>
        <v>0</v>
      </c>
      <c r="L358" s="39">
        <f t="shared" si="105"/>
        <v>0</v>
      </c>
      <c r="M358" s="39">
        <f t="shared" si="105"/>
        <v>0</v>
      </c>
      <c r="N358" s="39">
        <f t="shared" si="105"/>
        <v>0</v>
      </c>
      <c r="O358" s="39">
        <f t="shared" si="105"/>
        <v>0</v>
      </c>
      <c r="P358" s="112"/>
    </row>
    <row r="359" spans="1:16" s="34" customFormat="1">
      <c r="A359" s="29" t="str">
        <f t="shared" si="104"/>
        <v/>
      </c>
      <c r="B359" s="109" t="s">
        <v>647</v>
      </c>
      <c r="C359" s="119"/>
      <c r="D359" s="120">
        <f>VLOOKUP($B359,dongia1,DG!$B$5,)</f>
        <v>0</v>
      </c>
      <c r="E359" s="151" t="str">
        <f>VLOOKUP($B359,dongia1,DG!$C$5,)</f>
        <v xml:space="preserve">Sứ đứng 24KV </v>
      </c>
      <c r="F359" s="120" t="str">
        <f>VLOOKUP($B359,dongia1,DG!$D$5,)</f>
        <v>cái</v>
      </c>
      <c r="G359" s="73"/>
      <c r="H359" s="121">
        <f>VLOOKUP($B359,dongia1,DG!$F$5,)</f>
        <v>205000</v>
      </c>
      <c r="I359" s="155"/>
      <c r="J359" s="121">
        <f>VLOOKUP($B359,dongia1,DG!$G$5,)</f>
        <v>0</v>
      </c>
      <c r="K359" s="121">
        <f>VLOOKUP($B359,dongia1,DG!$H$5,)</f>
        <v>0</v>
      </c>
      <c r="L359" s="39">
        <f t="shared" si="99"/>
        <v>0</v>
      </c>
      <c r="M359" s="39">
        <f t="shared" si="100"/>
        <v>0</v>
      </c>
      <c r="N359" s="39">
        <f t="shared" si="101"/>
        <v>0</v>
      </c>
      <c r="O359" s="39">
        <f t="shared" si="102"/>
        <v>0</v>
      </c>
      <c r="P359" s="112"/>
    </row>
    <row r="360" spans="1:16" s="34" customFormat="1">
      <c r="A360" s="29" t="str">
        <f t="shared" si="104"/>
        <v/>
      </c>
      <c r="B360" s="109" t="s">
        <v>414</v>
      </c>
      <c r="C360" s="119"/>
      <c r="D360" s="120">
        <f>VLOOKUP($B360,dongia1,DG!$B$5,)</f>
        <v>0</v>
      </c>
      <c r="E360" s="151" t="str">
        <f>VLOOKUP($B360,dongia1,DG!$C$5,)</f>
        <v>Chân sứ đứng D20</v>
      </c>
      <c r="F360" s="120" t="str">
        <f>VLOOKUP($B360,dongia1,DG!$D$5,)</f>
        <v>cái</v>
      </c>
      <c r="G360" s="73">
        <f>G359</f>
        <v>0</v>
      </c>
      <c r="H360" s="121">
        <f>VLOOKUP($B360,dongia1,DG!$F$5,)</f>
        <v>65000</v>
      </c>
      <c r="I360" s="155"/>
      <c r="J360" s="121">
        <f>VLOOKUP($B360,dongia1,DG!$G$5,)</f>
        <v>0</v>
      </c>
      <c r="K360" s="121">
        <f>VLOOKUP($B360,dongia1,DG!$H$5,)</f>
        <v>0</v>
      </c>
      <c r="L360" s="39">
        <f t="shared" si="99"/>
        <v>0</v>
      </c>
      <c r="M360" s="39">
        <f t="shared" si="100"/>
        <v>0</v>
      </c>
      <c r="N360" s="39">
        <f t="shared" si="101"/>
        <v>0</v>
      </c>
      <c r="O360" s="39">
        <f t="shared" si="102"/>
        <v>0</v>
      </c>
      <c r="P360" s="112"/>
    </row>
    <row r="361" spans="1:16" s="34" customFormat="1">
      <c r="A361" s="29" t="str">
        <f t="shared" si="104"/>
        <v/>
      </c>
      <c r="B361" s="109" t="s">
        <v>1116</v>
      </c>
      <c r="C361" s="119"/>
      <c r="D361" s="120" t="str">
        <f>VLOOKUP($B361,dongia1,DG!$B$5,)</f>
        <v>D3.1115</v>
      </c>
      <c r="E361" s="151" t="str">
        <f>VLOOKUP($B361,dongia1,DG!$C$5,)</f>
        <v>Lắp sứ đứng 24KV</v>
      </c>
      <c r="F361" s="120" t="str">
        <f>VLOOKUP($B361,dongia1,DG!$D$5,)</f>
        <v>bộ</v>
      </c>
      <c r="G361" s="73">
        <f>G359</f>
        <v>0</v>
      </c>
      <c r="H361" s="121">
        <f>VLOOKUP($B361,dongia1,DG!$F$5,)</f>
        <v>510</v>
      </c>
      <c r="I361" s="155"/>
      <c r="J361" s="121">
        <f>VLOOKUP($B361,dongia1,DG!$G$5,)</f>
        <v>58277.49</v>
      </c>
      <c r="K361" s="121">
        <f>VLOOKUP($B361,dongia1,DG!$H$5,)</f>
        <v>0</v>
      </c>
      <c r="L361" s="39">
        <f t="shared" si="99"/>
        <v>0</v>
      </c>
      <c r="M361" s="39">
        <f t="shared" si="100"/>
        <v>0</v>
      </c>
      <c r="N361" s="39">
        <f t="shared" si="101"/>
        <v>0</v>
      </c>
      <c r="O361" s="39">
        <f t="shared" si="102"/>
        <v>0</v>
      </c>
      <c r="P361" s="112"/>
    </row>
    <row r="362" spans="1:16" s="34" customFormat="1">
      <c r="A362" s="29" t="str">
        <f t="shared" si="104"/>
        <v/>
      </c>
      <c r="B362" s="622" t="s">
        <v>534</v>
      </c>
      <c r="C362" s="119"/>
      <c r="D362" s="120" t="str">
        <f>VLOOKUP($B362,dongia1,DG!$B$5,)</f>
        <v>D2.6021</v>
      </c>
      <c r="E362" s="151" t="str">
        <f>VLOOKUP($B362,dongia1,DG!$C$5,)</f>
        <v>Lắp xà đỡ 25kg</v>
      </c>
      <c r="F362" s="120" t="str">
        <f>VLOOKUP($B362,dongia1,DG!$D$5,)</f>
        <v>bộ</v>
      </c>
      <c r="G362" s="73">
        <f>G353+G351</f>
        <v>0</v>
      </c>
      <c r="H362" s="121">
        <f>VLOOKUP($B362,dongia1,DG!$F$5,)</f>
        <v>0</v>
      </c>
      <c r="I362" s="155"/>
      <c r="J362" s="121">
        <f>VLOOKUP($B362,dongia1,DG!$G$5,)</f>
        <v>219185.25</v>
      </c>
      <c r="K362" s="121">
        <f>VLOOKUP($B362,dongia1,DG!$H$5,)</f>
        <v>0</v>
      </c>
      <c r="L362" s="39">
        <f>H362*$G362</f>
        <v>0</v>
      </c>
      <c r="M362" s="39">
        <f>I362*$G362</f>
        <v>0</v>
      </c>
      <c r="N362" s="121">
        <f>VLOOKUP($B362,dongia1,DG!$G$5,)*hslx*G362</f>
        <v>0</v>
      </c>
      <c r="O362" s="39">
        <f>K362*$G362</f>
        <v>0</v>
      </c>
      <c r="P362" s="112"/>
    </row>
    <row r="363" spans="1:16" s="34" customFormat="1">
      <c r="A363" s="29" t="str">
        <f t="shared" ref="A363:A371" si="107">IF(G363=0,"",1)</f>
        <v/>
      </c>
      <c r="B363" s="210" t="s">
        <v>1080</v>
      </c>
      <c r="C363" s="119"/>
      <c r="D363" s="120">
        <f>VLOOKUP($B363,dongia1,DG!$B$5,)</f>
        <v>0</v>
      </c>
      <c r="E363" s="151" t="str">
        <f>VLOOKUP($B363,dongia1,DG!$C$5,)</f>
        <v>Bass LI bắt FCO</v>
      </c>
      <c r="F363" s="120" t="str">
        <f>VLOOKUP($B363,dongia1,DG!$D$5,)</f>
        <v>Bộ</v>
      </c>
      <c r="G363" s="73">
        <f>1*G349</f>
        <v>0</v>
      </c>
      <c r="H363" s="121">
        <f>VLOOKUP($B363,dongia1,DG!$F$5,)</f>
        <v>34000</v>
      </c>
      <c r="I363" s="121"/>
      <c r="J363" s="121">
        <f>VLOOKUP($B363,dongia1,DG!$G$5,)</f>
        <v>0</v>
      </c>
      <c r="K363" s="121">
        <f>VLOOKUP($B363,dongia1,DG!$H$5,)</f>
        <v>0</v>
      </c>
      <c r="L363" s="39">
        <f t="shared" ref="L363:L371" si="108">H363*$G363</f>
        <v>0</v>
      </c>
      <c r="M363" s="39">
        <f t="shared" ref="M363:M371" si="109">I363*$G363</f>
        <v>0</v>
      </c>
      <c r="N363" s="39">
        <f t="shared" ref="N363:N371" si="110">J363*$G363</f>
        <v>0</v>
      </c>
      <c r="O363" s="39">
        <f t="shared" ref="O363:O371" si="111">K363*$G363</f>
        <v>0</v>
      </c>
      <c r="P363" s="112"/>
    </row>
    <row r="364" spans="1:16" s="34" customFormat="1">
      <c r="A364" s="29" t="str">
        <f>IF(G364=0,"",1)</f>
        <v/>
      </c>
      <c r="B364" s="210" t="s">
        <v>1766</v>
      </c>
      <c r="C364" s="119"/>
      <c r="D364" s="120" t="str">
        <f>VLOOKUP($B364,dongia1,DG!$B$5,)</f>
        <v>D4.5003</v>
      </c>
      <c r="E364" s="151" t="str">
        <f>VLOOKUP($B364,dongia1,DG!$C$5,)&amp;": ñaáu noái LTD"</f>
        <v>Đầu cosse ép Cu-Al 70mm2: ñaáu noái LTD</v>
      </c>
      <c r="F364" s="120" t="str">
        <f>VLOOKUP($B364,dongia1,DG!$D$5,)</f>
        <v>cái</v>
      </c>
      <c r="G364" s="73"/>
      <c r="H364" s="121">
        <f>VLOOKUP($B364,dongia1,DG!$F$5,)</f>
        <v>18000</v>
      </c>
      <c r="I364" s="121"/>
      <c r="J364" s="121">
        <f>VLOOKUP($B364,dongia1,DG!$G$5,)</f>
        <v>16671.215</v>
      </c>
      <c r="K364" s="121">
        <f>VLOOKUP($B364,dongia1,DG!$H$5,)</f>
        <v>3332.427897</v>
      </c>
      <c r="L364" s="39">
        <f>H364*$G364</f>
        <v>0</v>
      </c>
      <c r="M364" s="39">
        <f>I364*$G364</f>
        <v>0</v>
      </c>
      <c r="N364" s="39">
        <f>J364*$G364</f>
        <v>0</v>
      </c>
      <c r="O364" s="39">
        <f>K364*$G364</f>
        <v>0</v>
      </c>
      <c r="P364" s="112"/>
    </row>
    <row r="365" spans="1:16" s="34" customFormat="1">
      <c r="A365" s="29" t="str">
        <f t="shared" si="107"/>
        <v/>
      </c>
      <c r="B365" s="210" t="s">
        <v>1323</v>
      </c>
      <c r="C365" s="119"/>
      <c r="D365" s="120" t="str">
        <f>VLOOKUP($B365,dongia1,DG!$B$5,)</f>
        <v>03.1401</v>
      </c>
      <c r="E365" s="151" t="str">
        <f>VLOOKUP($B365,dongia1,DG!$C$5,)</f>
        <v xml:space="preserve">Cáp CVV 4x2,5mm2  </v>
      </c>
      <c r="F365" s="120" t="str">
        <f>VLOOKUP($B365,dongia1,DG!$D$5,)</f>
        <v>mét</v>
      </c>
      <c r="G365" s="73"/>
      <c r="H365" s="121">
        <f>VLOOKUP($B365,dongia1,DG!$F$5,)</f>
        <v>28200</v>
      </c>
      <c r="I365" s="121"/>
      <c r="J365" s="121">
        <f>VLOOKUP($B365,dongia1,DG!$G$5,)</f>
        <v>0</v>
      </c>
      <c r="K365" s="121">
        <f>VLOOKUP($B365,dongia1,DG!$H$5,)</f>
        <v>0</v>
      </c>
      <c r="L365" s="39">
        <f t="shared" si="108"/>
        <v>0</v>
      </c>
      <c r="M365" s="39">
        <f t="shared" si="109"/>
        <v>0</v>
      </c>
      <c r="N365" s="39">
        <f t="shared" si="110"/>
        <v>0</v>
      </c>
      <c r="O365" s="39">
        <f t="shared" si="111"/>
        <v>0</v>
      </c>
      <c r="P365" s="112"/>
    </row>
    <row r="366" spans="1:16" s="34" customFormat="1">
      <c r="A366" s="29" t="str">
        <f t="shared" si="107"/>
        <v/>
      </c>
      <c r="B366" s="16" t="s">
        <v>1524</v>
      </c>
      <c r="C366" s="119"/>
      <c r="D366" s="120">
        <f>VLOOKUP($B366,dongia1,DG!$B$5,)</f>
        <v>0</v>
      </c>
      <c r="E366" s="151" t="str">
        <f>VLOOKUP($B366,dongia1,DG!$C$5,)</f>
        <v>Cổ dê giữ ống PVC D42</v>
      </c>
      <c r="F366" s="120" t="str">
        <f>VLOOKUP($B366,dongia1,DG!$D$5,)</f>
        <v>bộ</v>
      </c>
      <c r="G366" s="73">
        <f>G349*2</f>
        <v>0</v>
      </c>
      <c r="H366" s="121">
        <f>VLOOKUP($B366,dongia1,DG!$F$5,)</f>
        <v>34000</v>
      </c>
      <c r="I366" s="121"/>
      <c r="J366" s="121">
        <f>VLOOKUP($B366,dongia1,DG!$G$5,)</f>
        <v>0</v>
      </c>
      <c r="K366" s="121">
        <f>VLOOKUP($B366,dongia1,DG!$H$5,)</f>
        <v>0</v>
      </c>
      <c r="L366" s="39">
        <f t="shared" si="108"/>
        <v>0</v>
      </c>
      <c r="M366" s="39">
        <f t="shared" si="109"/>
        <v>0</v>
      </c>
      <c r="N366" s="39">
        <f t="shared" si="110"/>
        <v>0</v>
      </c>
      <c r="O366" s="39">
        <f t="shared" si="111"/>
        <v>0</v>
      </c>
      <c r="P366" s="112"/>
    </row>
    <row r="367" spans="1:16" s="34" customFormat="1">
      <c r="A367" s="29" t="str">
        <f t="shared" si="107"/>
        <v/>
      </c>
      <c r="B367" s="153" t="s">
        <v>1112</v>
      </c>
      <c r="C367" s="119"/>
      <c r="D367" s="120">
        <f>VLOOKUP($B367,dongia1,DG!$B$5,)</f>
        <v>0</v>
      </c>
      <c r="E367" s="151" t="str">
        <f>VLOOKUP($B367,dongia1,DG!$C$5,)</f>
        <v>Bảng nhựa gắn tủ điện kế điện tử</v>
      </c>
      <c r="F367" s="120" t="str">
        <f>VLOOKUP($B367,dongia1,DG!$D$5,)</f>
        <v>cái</v>
      </c>
      <c r="G367" s="73">
        <f>G349/2</f>
        <v>0</v>
      </c>
      <c r="H367" s="121">
        <f>VLOOKUP($B367,dongia1,DG!$F$5,)</f>
        <v>30000</v>
      </c>
      <c r="I367" s="121"/>
      <c r="J367" s="121">
        <f>VLOOKUP($B367,dongia1,DG!$G$5,)</f>
        <v>0</v>
      </c>
      <c r="K367" s="121">
        <f>VLOOKUP($B367,dongia1,DG!$H$5,)</f>
        <v>0</v>
      </c>
      <c r="L367" s="39">
        <f t="shared" si="108"/>
        <v>0</v>
      </c>
      <c r="M367" s="39">
        <f t="shared" si="109"/>
        <v>0</v>
      </c>
      <c r="N367" s="39">
        <f t="shared" si="110"/>
        <v>0</v>
      </c>
      <c r="O367" s="39">
        <f t="shared" si="111"/>
        <v>0</v>
      </c>
      <c r="P367" s="112"/>
    </row>
    <row r="368" spans="1:16" s="34" customFormat="1" ht="27.6">
      <c r="A368" s="29" t="str">
        <f t="shared" si="107"/>
        <v/>
      </c>
      <c r="B368" s="109" t="s">
        <v>5669</v>
      </c>
      <c r="C368" s="119"/>
      <c r="D368" s="120">
        <f>VLOOKUP($B368,dongia1,DG!$B$5,)</f>
        <v>0</v>
      </c>
      <c r="E368" s="151" t="str">
        <f>VLOOKUP($B368,dongia1,DG!$C$5,)&amp;": đấu cò TU cấp nguồn REC"</f>
        <v>Cáp 24KV C/XLPE- 25mm2: đấu cò TU cấp nguồn REC</v>
      </c>
      <c r="F368" s="120" t="str">
        <f>VLOOKUP($B368,dongia1,DG!$D$5,)</f>
        <v>mét</v>
      </c>
      <c r="G368" s="73">
        <f>3*G349</f>
        <v>0</v>
      </c>
      <c r="H368" s="121">
        <f>VLOOKUP($B368,dongia1,DG!$F$5,)</f>
        <v>99600</v>
      </c>
      <c r="I368" s="121"/>
      <c r="J368" s="121">
        <f>VLOOKUP($B368,dongia1,DG!$G$5,)</f>
        <v>0</v>
      </c>
      <c r="K368" s="121">
        <f>VLOOKUP($B368,dongia1,DG!$H$5,)</f>
        <v>0</v>
      </c>
      <c r="L368" s="39">
        <f t="shared" si="108"/>
        <v>0</v>
      </c>
      <c r="M368" s="39">
        <f t="shared" si="109"/>
        <v>0</v>
      </c>
      <c r="N368" s="39">
        <f t="shared" si="110"/>
        <v>0</v>
      </c>
      <c r="O368" s="39">
        <f t="shared" si="111"/>
        <v>0</v>
      </c>
      <c r="P368" s="112"/>
    </row>
    <row r="369" spans="1:16" s="34" customFormat="1">
      <c r="A369" s="29" t="str">
        <f t="shared" si="107"/>
        <v/>
      </c>
      <c r="B369" s="153" t="s">
        <v>1916</v>
      </c>
      <c r="C369" s="119"/>
      <c r="D369" s="120" t="str">
        <f>VLOOKUP($B369,dongia1,DG!$B$5,)</f>
        <v>D4.5005</v>
      </c>
      <c r="E369" s="151" t="str">
        <f>VLOOKUP($B369,dongia1,DG!$C$5,)&amp;": ñaáu daây vaøo REC"</f>
        <v>Đầu cosse ép Cu 120mm2: ñaáu daây vaøo REC</v>
      </c>
      <c r="F369" s="120" t="str">
        <f>VLOOKUP($B369,dongia1,DG!$D$5,)</f>
        <v>cái</v>
      </c>
      <c r="G369" s="73">
        <f>6*G349*0</f>
        <v>0</v>
      </c>
      <c r="H369" s="121">
        <f>VLOOKUP($B369,dongia1,DG!$F$5,)</f>
        <v>27000</v>
      </c>
      <c r="I369" s="155"/>
      <c r="J369" s="121">
        <f>VLOOKUP($B369,dongia1,DG!$G$5,)</f>
        <v>27280.17</v>
      </c>
      <c r="K369" s="121">
        <f>VLOOKUP($B369,dongia1,DG!$H$5,)</f>
        <v>3887.8325465000003</v>
      </c>
      <c r="L369" s="39">
        <f t="shared" si="108"/>
        <v>0</v>
      </c>
      <c r="M369" s="39">
        <f t="shared" si="109"/>
        <v>0</v>
      </c>
      <c r="N369" s="39">
        <f t="shared" si="110"/>
        <v>0</v>
      </c>
      <c r="O369" s="39">
        <f t="shared" si="111"/>
        <v>0</v>
      </c>
      <c r="P369" s="112"/>
    </row>
    <row r="370" spans="1:16" s="34" customFormat="1">
      <c r="A370" s="29" t="str">
        <f t="shared" si="107"/>
        <v/>
      </c>
      <c r="B370" s="153" t="s">
        <v>946</v>
      </c>
      <c r="C370" s="119"/>
      <c r="D370" s="120">
        <f>VLOOKUP($B370,dongia1,DG!$B$5,)</f>
        <v>0</v>
      </c>
      <c r="E370" s="151" t="str">
        <f>VLOOKUP($B370,dongia1,DG!$C$5,)</f>
        <v>Bass LL bắt FCO và LA</v>
      </c>
      <c r="F370" s="120" t="str">
        <f>VLOOKUP($B370,dongia1,DG!$D$5,)</f>
        <v>bộ</v>
      </c>
      <c r="G370" s="73"/>
      <c r="H370" s="121">
        <f>VLOOKUP($B370,dongia1,DG!$F$5,)</f>
        <v>65000</v>
      </c>
      <c r="I370" s="155"/>
      <c r="J370" s="121">
        <f>VLOOKUP($B370,dongia1,DG!$G$5,)</f>
        <v>0</v>
      </c>
      <c r="K370" s="121">
        <f>VLOOKUP($B370,dongia1,DG!$H$5,)</f>
        <v>0</v>
      </c>
      <c r="L370" s="39">
        <f t="shared" si="108"/>
        <v>0</v>
      </c>
      <c r="M370" s="39">
        <f t="shared" si="109"/>
        <v>0</v>
      </c>
      <c r="N370" s="39">
        <f t="shared" si="110"/>
        <v>0</v>
      </c>
      <c r="O370" s="39">
        <f t="shared" si="111"/>
        <v>0</v>
      </c>
      <c r="P370" s="112"/>
    </row>
    <row r="371" spans="1:16" s="34" customFormat="1">
      <c r="A371" s="29" t="str">
        <f t="shared" si="107"/>
        <v/>
      </c>
      <c r="B371" s="153" t="s">
        <v>236</v>
      </c>
      <c r="C371" s="119"/>
      <c r="D371" s="120">
        <f>VLOOKUP($B371,dongia1,DG!$B$5,)</f>
        <v>0</v>
      </c>
      <c r="E371" s="211" t="str">
        <f>VLOOKUP($B371,dongia1,DG!$C$5,)</f>
        <v>Băng keo cách điện hạ thế</v>
      </c>
      <c r="F371" s="120" t="str">
        <f>VLOOKUP($B371,dongia1,DG!$D$5,)</f>
        <v>cuộn</v>
      </c>
      <c r="G371" s="75">
        <f>G349</f>
        <v>0</v>
      </c>
      <c r="H371" s="123">
        <f>VLOOKUP($B371,dongia1,DG!$F$5,)</f>
        <v>6500</v>
      </c>
      <c r="I371" s="212"/>
      <c r="J371" s="123">
        <f>VLOOKUP($B371,dongia1,DG!$G$5,)</f>
        <v>0</v>
      </c>
      <c r="K371" s="123">
        <f>VLOOKUP($B371,dongia1,DG!$H$5,)</f>
        <v>0</v>
      </c>
      <c r="L371" s="76">
        <f t="shared" si="108"/>
        <v>0</v>
      </c>
      <c r="M371" s="76">
        <f t="shared" si="109"/>
        <v>0</v>
      </c>
      <c r="N371" s="76">
        <f t="shared" si="110"/>
        <v>0</v>
      </c>
      <c r="O371" s="76">
        <f t="shared" si="111"/>
        <v>0</v>
      </c>
      <c r="P371" s="122"/>
    </row>
    <row r="372" spans="1:16" s="61" customFormat="1" ht="28.5" customHeight="1">
      <c r="A372" s="137" t="str">
        <f>IF(G372=0,"",1)</f>
        <v/>
      </c>
      <c r="B372" s="184" t="s">
        <v>3803</v>
      </c>
      <c r="C372" s="207">
        <f>IF(G372&gt;0,C349+1,C349)</f>
        <v>0</v>
      </c>
      <c r="D372" s="167"/>
      <c r="E372" s="206" t="s">
        <v>3833</v>
      </c>
      <c r="F372" s="207" t="s">
        <v>2113</v>
      </c>
      <c r="G372" s="67"/>
      <c r="H372" s="213"/>
      <c r="I372" s="213"/>
      <c r="J372" s="172"/>
      <c r="K372" s="172"/>
      <c r="L372" s="64">
        <f t="shared" ref="L372:O379" si="112">H372*$G372</f>
        <v>0</v>
      </c>
      <c r="M372" s="64">
        <f t="shared" si="112"/>
        <v>0</v>
      </c>
      <c r="N372" s="64">
        <f t="shared" si="112"/>
        <v>0</v>
      </c>
      <c r="O372" s="64">
        <f t="shared" si="112"/>
        <v>0</v>
      </c>
      <c r="P372" s="214"/>
    </row>
    <row r="373" spans="1:16" s="34" customFormat="1" ht="14.4">
      <c r="A373" s="29" t="str">
        <f>A372</f>
        <v/>
      </c>
      <c r="B373" s="109"/>
      <c r="C373" s="178"/>
      <c r="D373" s="120"/>
      <c r="E373" s="196" t="s">
        <v>3378</v>
      </c>
      <c r="F373" s="215"/>
      <c r="G373" s="65"/>
      <c r="H373" s="216"/>
      <c r="I373" s="216"/>
      <c r="J373" s="130"/>
      <c r="K373" s="130"/>
      <c r="L373" s="58">
        <f t="shared" si="112"/>
        <v>0</v>
      </c>
      <c r="M373" s="58">
        <f t="shared" si="112"/>
        <v>0</v>
      </c>
      <c r="N373" s="58">
        <f t="shared" si="112"/>
        <v>0</v>
      </c>
      <c r="O373" s="58">
        <f t="shared" si="112"/>
        <v>0</v>
      </c>
      <c r="P373" s="215"/>
    </row>
    <row r="374" spans="1:16" s="34" customFormat="1">
      <c r="A374" s="29" t="str">
        <f t="shared" ref="A374:A379" si="113">IF(G374=0,"",1)</f>
        <v/>
      </c>
      <c r="B374" s="109" t="s">
        <v>1200</v>
      </c>
      <c r="C374" s="119"/>
      <c r="D374" s="120"/>
      <c r="E374" s="151" t="str">
        <f>VLOOKUP($B374,dongia1,DG!$C$5,)</f>
        <v>Cáp đồng trần M25mm2</v>
      </c>
      <c r="F374" s="120" t="str">
        <f>VLOOKUP($B374,dongia1,DG!$D$5,)</f>
        <v>kg</v>
      </c>
      <c r="G374" s="74">
        <f>31*G372*0.224</f>
        <v>0</v>
      </c>
      <c r="H374" s="121">
        <f>VLOOKUP($B374,dongia1,DG!$F$5,)</f>
        <v>255500</v>
      </c>
      <c r="I374" s="155"/>
      <c r="J374" s="121"/>
      <c r="K374" s="121">
        <f>VLOOKUP($B374,dongia1,DG!$H$5,)</f>
        <v>0</v>
      </c>
      <c r="L374" s="39">
        <f t="shared" si="112"/>
        <v>0</v>
      </c>
      <c r="M374" s="39">
        <f t="shared" si="112"/>
        <v>0</v>
      </c>
      <c r="N374" s="39">
        <f t="shared" si="112"/>
        <v>0</v>
      </c>
      <c r="O374" s="39">
        <f t="shared" si="112"/>
        <v>0</v>
      </c>
      <c r="P374" s="112"/>
    </row>
    <row r="375" spans="1:16" s="34" customFormat="1">
      <c r="A375" s="29" t="str">
        <f t="shared" si="113"/>
        <v/>
      </c>
      <c r="B375" s="153" t="s">
        <v>1098</v>
      </c>
      <c r="C375" s="119"/>
      <c r="D375" s="120"/>
      <c r="E375" s="151" t="str">
        <f>VLOOKUP($B375,dongia1,DG!$C$5,)</f>
        <v>Cọc tiếp đất Þ 16- 2,4m + kẹp cọc</v>
      </c>
      <c r="F375" s="120" t="str">
        <f>VLOOKUP($B375,dongia1,DG!$D$5,)</f>
        <v>bộ</v>
      </c>
      <c r="G375" s="73">
        <f>2*G372</f>
        <v>0</v>
      </c>
      <c r="H375" s="121">
        <f>VLOOKUP($B375,dongia1,DG!$F$5,)</f>
        <v>160000</v>
      </c>
      <c r="I375" s="155"/>
      <c r="J375" s="121"/>
      <c r="K375" s="121">
        <f>VLOOKUP($B375,dongia1,DG!$H$5,)</f>
        <v>0</v>
      </c>
      <c r="L375" s="39">
        <f t="shared" si="112"/>
        <v>0</v>
      </c>
      <c r="M375" s="39">
        <f t="shared" si="112"/>
        <v>0</v>
      </c>
      <c r="N375" s="39">
        <f t="shared" si="112"/>
        <v>0</v>
      </c>
      <c r="O375" s="39">
        <f t="shared" si="112"/>
        <v>0</v>
      </c>
      <c r="P375" s="112"/>
    </row>
    <row r="376" spans="1:16" s="34" customFormat="1">
      <c r="A376" s="29" t="str">
        <f t="shared" si="113"/>
        <v/>
      </c>
      <c r="B376" s="153" t="s">
        <v>2040</v>
      </c>
      <c r="C376" s="119"/>
      <c r="D376" s="120">
        <f>VLOOKUP($B376,dongia1,DG!$B$5,)</f>
        <v>0</v>
      </c>
      <c r="E376" s="151" t="str">
        <f>VLOOKUP($B376,dongia1,DG!$C$5,)</f>
        <v xml:space="preserve">Ống PVC D21x1,6mm </v>
      </c>
      <c r="F376" s="120" t="str">
        <f>VLOOKUP($B376,dongia1,DG!$D$5,)</f>
        <v>m</v>
      </c>
      <c r="G376" s="73"/>
      <c r="H376" s="121">
        <f>VLOOKUP($B376,dongia1,DG!$F$5,)</f>
        <v>6200</v>
      </c>
      <c r="I376" s="155"/>
      <c r="J376" s="121">
        <f>VLOOKUP($B376,dongia1,DG!$G$5,)</f>
        <v>0</v>
      </c>
      <c r="K376" s="121">
        <f>VLOOKUP($B376,dongia1,DG!$H$5,)</f>
        <v>0</v>
      </c>
      <c r="L376" s="39">
        <f t="shared" si="112"/>
        <v>0</v>
      </c>
      <c r="M376" s="39">
        <f t="shared" si="112"/>
        <v>0</v>
      </c>
      <c r="N376" s="39">
        <f t="shared" si="112"/>
        <v>0</v>
      </c>
      <c r="O376" s="39">
        <f t="shared" si="112"/>
        <v>0</v>
      </c>
      <c r="P376" s="112"/>
    </row>
    <row r="377" spans="1:16" s="34" customFormat="1">
      <c r="A377" s="29" t="str">
        <f t="shared" si="113"/>
        <v/>
      </c>
      <c r="B377" s="210" t="s">
        <v>75</v>
      </c>
      <c r="C377" s="119"/>
      <c r="D377" s="120">
        <f>VLOOKUP($B377,dongia1,DG!$B$5,)</f>
        <v>0</v>
      </c>
      <c r="E377" s="151" t="str">
        <f>VLOOKUP($B377,dongia1,DG!$C$5,)</f>
        <v>Kẹp ép WR cỡ dây 50mm2</v>
      </c>
      <c r="F377" s="120" t="str">
        <f>VLOOKUP($B377,dongia1,DG!$D$5,)</f>
        <v>cái</v>
      </c>
      <c r="G377" s="73"/>
      <c r="H377" s="121">
        <f>VLOOKUP($B377,dongia1,DG!$F$5,)</f>
        <v>8000</v>
      </c>
      <c r="I377" s="121"/>
      <c r="J377" s="121">
        <f>VLOOKUP($B377,dongia1,DG!$G$5,)</f>
        <v>0</v>
      </c>
      <c r="K377" s="121">
        <f>VLOOKUP($B377,dongia1,DG!$H$5,)</f>
        <v>0</v>
      </c>
      <c r="L377" s="39">
        <f t="shared" si="112"/>
        <v>0</v>
      </c>
      <c r="M377" s="39">
        <f t="shared" si="112"/>
        <v>0</v>
      </c>
      <c r="N377" s="39">
        <f t="shared" si="112"/>
        <v>0</v>
      </c>
      <c r="O377" s="39">
        <f t="shared" si="112"/>
        <v>0</v>
      </c>
      <c r="P377" s="112"/>
    </row>
    <row r="378" spans="1:16" s="34" customFormat="1">
      <c r="A378" s="29" t="str">
        <f t="shared" si="113"/>
        <v/>
      </c>
      <c r="B378" s="210" t="s">
        <v>903</v>
      </c>
      <c r="C378" s="119"/>
      <c r="D378" s="120"/>
      <c r="E378" s="151" t="str">
        <f>VLOOKUP($B378,dongia1,DG!$C$5,)</f>
        <v>Ốc xiết cáp cỡ 25mm2</v>
      </c>
      <c r="F378" s="120" t="str">
        <f>VLOOKUP($B378,dongia1,DG!$D$5,)</f>
        <v>cái</v>
      </c>
      <c r="G378" s="73">
        <f>4*G372</f>
        <v>0</v>
      </c>
      <c r="H378" s="121">
        <f>VLOOKUP($B378,dongia1,DG!$F$5,)</f>
        <v>17600</v>
      </c>
      <c r="I378" s="121"/>
      <c r="J378" s="121"/>
      <c r="K378" s="121">
        <f>VLOOKUP($B378,dongia1,DG!$H$5,)</f>
        <v>0</v>
      </c>
      <c r="L378" s="39">
        <f t="shared" si="112"/>
        <v>0</v>
      </c>
      <c r="M378" s="39">
        <f t="shared" si="112"/>
        <v>0</v>
      </c>
      <c r="N378" s="39">
        <f t="shared" si="112"/>
        <v>0</v>
      </c>
      <c r="O378" s="39">
        <f t="shared" si="112"/>
        <v>0</v>
      </c>
      <c r="P378" s="112"/>
    </row>
    <row r="379" spans="1:16" s="34" customFormat="1">
      <c r="A379" s="29" t="str">
        <f t="shared" si="113"/>
        <v/>
      </c>
      <c r="B379" s="153" t="s">
        <v>996</v>
      </c>
      <c r="C379" s="119"/>
      <c r="D379" s="120">
        <f>VLOOKUP($B379,dongia1,DG!$B$5,)</f>
        <v>0</v>
      </c>
      <c r="E379" s="151" t="str">
        <f>VLOOKUP($B379,dongia1,DG!$C$5,)</f>
        <v>Côllier 25x2</v>
      </c>
      <c r="F379" s="120" t="str">
        <f>VLOOKUP($B379,dongia1,DG!$D$5,)</f>
        <v>bộ</v>
      </c>
      <c r="G379" s="73"/>
      <c r="H379" s="121">
        <f>VLOOKUP($B379,dongia1,DG!$F$5,)</f>
        <v>30000</v>
      </c>
      <c r="I379" s="155"/>
      <c r="J379" s="121">
        <f>VLOOKUP($B379,dongia1,DG!$G$5,)</f>
        <v>0</v>
      </c>
      <c r="K379" s="121">
        <f>VLOOKUP($B379,dongia1,DG!$H$5,)</f>
        <v>0</v>
      </c>
      <c r="L379" s="39">
        <f t="shared" si="112"/>
        <v>0</v>
      </c>
      <c r="M379" s="39">
        <f t="shared" si="112"/>
        <v>0</v>
      </c>
      <c r="N379" s="39">
        <f t="shared" si="112"/>
        <v>0</v>
      </c>
      <c r="O379" s="39">
        <f t="shared" si="112"/>
        <v>0</v>
      </c>
      <c r="P379" s="112"/>
    </row>
    <row r="380" spans="1:16" s="34" customFormat="1">
      <c r="A380" s="29" t="str">
        <f>IF(G380=0,"",1)</f>
        <v/>
      </c>
      <c r="B380" s="153" t="s">
        <v>1859</v>
      </c>
      <c r="C380" s="119"/>
      <c r="D380" s="120" t="str">
        <f>VLOOKUP($B380,dongia1,DG!$B$5,)</f>
        <v>D2.7001</v>
      </c>
      <c r="E380" s="151" t="str">
        <f>VLOOKUP($B380,dongia1,DG!$C$5,)</f>
        <v xml:space="preserve">Kéo dây tiếp địa </v>
      </c>
      <c r="F380" s="120" t="s">
        <v>1557</v>
      </c>
      <c r="G380" s="74">
        <f>+G374</f>
        <v>0</v>
      </c>
      <c r="H380" s="121"/>
      <c r="I380" s="155"/>
      <c r="J380" s="121">
        <f>92730/100</f>
        <v>927.3</v>
      </c>
      <c r="K380" s="121">
        <f>VLOOKUP($B380,dongia1,DG!$H$5,)</f>
        <v>0</v>
      </c>
      <c r="L380" s="39">
        <f t="shared" ref="L380:O381" si="114">H380*$G380</f>
        <v>0</v>
      </c>
      <c r="M380" s="39">
        <f t="shared" si="114"/>
        <v>0</v>
      </c>
      <c r="N380" s="39">
        <f t="shared" si="114"/>
        <v>0</v>
      </c>
      <c r="O380" s="39">
        <f t="shared" si="114"/>
        <v>0</v>
      </c>
      <c r="P380" s="112"/>
    </row>
    <row r="381" spans="1:16" s="34" customFormat="1">
      <c r="A381" s="29" t="str">
        <f>IF(G381=0,"",1)</f>
        <v/>
      </c>
      <c r="B381" s="153" t="s">
        <v>102</v>
      </c>
      <c r="C381" s="119"/>
      <c r="D381" s="120" t="str">
        <f>VLOOKUP($B381,dongia1,DG!$B$5,)</f>
        <v>D2.8103</v>
      </c>
      <c r="E381" s="151" t="str">
        <f>VLOOKUP($B381,dongia1,DG!$C$5,)</f>
        <v>Đóng cọc tiếp địa đất cấp 3 dài 2,5m</v>
      </c>
      <c r="F381" s="120" t="str">
        <f>VLOOKUP($B381,dongia1,DG!$D$5,)</f>
        <v>cọc</v>
      </c>
      <c r="G381" s="74">
        <f>G375</f>
        <v>0</v>
      </c>
      <c r="H381" s="121"/>
      <c r="I381" s="155"/>
      <c r="J381" s="121">
        <f>VLOOKUP($B381,dongia1,DG!$G$5,)</f>
        <v>90355.896000000008</v>
      </c>
      <c r="K381" s="121">
        <f>VLOOKUP($B381,dongia1,DG!$H$5,)</f>
        <v>1573.075</v>
      </c>
      <c r="L381" s="39">
        <f t="shared" si="114"/>
        <v>0</v>
      </c>
      <c r="M381" s="39">
        <f t="shared" si="114"/>
        <v>0</v>
      </c>
      <c r="N381" s="39">
        <f t="shared" si="114"/>
        <v>0</v>
      </c>
      <c r="O381" s="39">
        <f t="shared" si="114"/>
        <v>0</v>
      </c>
      <c r="P381" s="112"/>
    </row>
    <row r="382" spans="1:16" s="34" customFormat="1">
      <c r="A382" s="29" t="str">
        <f>IF(G382&lt;&gt;0,1,"")</f>
        <v/>
      </c>
      <c r="B382" s="217" t="s">
        <v>665</v>
      </c>
      <c r="C382" s="198"/>
      <c r="D382" s="120" t="str">
        <f>VLOOKUP($B382,dongia1,DG!$B$5,)</f>
        <v>AB.11513</v>
      </c>
      <c r="E382" s="151" t="str">
        <f>VLOOKUP($B382,dongia1,DG!$C$5,)</f>
        <v>Đào rãnh tiếp địa đất cấp 3</v>
      </c>
      <c r="F382" s="200" t="str">
        <f>VLOOKUP($B382,dongia1,DG!$D$5,)</f>
        <v>m3</v>
      </c>
      <c r="G382" s="218">
        <f>G372*9*0.3*0.5</f>
        <v>0</v>
      </c>
      <c r="H382" s="201"/>
      <c r="I382" s="121"/>
      <c r="J382" s="121">
        <f>VLOOKUP($B382,dongia1,DG!$G$5,)</f>
        <v>283749.75</v>
      </c>
      <c r="K382" s="121">
        <f>VLOOKUP($B382,dongia1,DG!$H$5,)</f>
        <v>0</v>
      </c>
      <c r="L382" s="39">
        <f>H382*G382</f>
        <v>0</v>
      </c>
      <c r="M382" s="39">
        <f>I382*G382</f>
        <v>0</v>
      </c>
      <c r="N382" s="39">
        <f>J382*G382</f>
        <v>0</v>
      </c>
      <c r="O382" s="39">
        <f>K382*G382</f>
        <v>0</v>
      </c>
      <c r="P382" s="199"/>
    </row>
    <row r="383" spans="1:16" s="34" customFormat="1">
      <c r="A383" s="29" t="str">
        <f>IF(G383&lt;&gt;0,1,"")</f>
        <v/>
      </c>
      <c r="B383" s="217" t="s">
        <v>1985</v>
      </c>
      <c r="C383" s="198"/>
      <c r="D383" s="120" t="str">
        <f>VLOOKUP($B383,dongia1,DG!$B$5,)</f>
        <v>AB.13111</v>
      </c>
      <c r="E383" s="151" t="str">
        <f>VLOOKUP($B383,dongia1,DG!$C$5,)</f>
        <v>Đắp đất rãnh tiếp địa cấp 3 (độ chặt k = 0.85)</v>
      </c>
      <c r="F383" s="200" t="str">
        <f>VLOOKUP($B383,dongia1,DG!$D$5,)</f>
        <v>m3</v>
      </c>
      <c r="G383" s="218">
        <f>G382</f>
        <v>0</v>
      </c>
      <c r="H383" s="201"/>
      <c r="I383" s="121"/>
      <c r="J383" s="121">
        <f>406157/10</f>
        <v>40615.699999999997</v>
      </c>
      <c r="K383" s="178"/>
      <c r="L383" s="39">
        <f>H383*G383</f>
        <v>0</v>
      </c>
      <c r="M383" s="39">
        <f>I383*G383</f>
        <v>0</v>
      </c>
      <c r="N383" s="39">
        <f>J383*G383</f>
        <v>0</v>
      </c>
      <c r="O383" s="39">
        <f>K383*G383</f>
        <v>0</v>
      </c>
      <c r="P383" s="199"/>
    </row>
    <row r="384" spans="1:16" s="61" customFormat="1">
      <c r="A384" s="137" t="str">
        <f>IF(G384=0,"",1)</f>
        <v/>
      </c>
      <c r="B384" s="184" t="s">
        <v>3804</v>
      </c>
      <c r="C384" s="207">
        <f>IF(G384&gt;0,C372+1,C372)</f>
        <v>0</v>
      </c>
      <c r="D384" s="167"/>
      <c r="E384" s="206" t="s">
        <v>5704</v>
      </c>
      <c r="F384" s="207" t="s">
        <v>2113</v>
      </c>
      <c r="G384" s="1806">
        <f>ppCN!T40</f>
        <v>0</v>
      </c>
      <c r="H384" s="213"/>
      <c r="I384" s="219"/>
      <c r="J384" s="172"/>
      <c r="K384" s="172"/>
      <c r="L384" s="64">
        <f t="shared" ref="L384:O394" si="115">H384*$G384</f>
        <v>0</v>
      </c>
      <c r="M384" s="60">
        <f t="shared" si="115"/>
        <v>0</v>
      </c>
      <c r="N384" s="64">
        <f t="shared" si="115"/>
        <v>0</v>
      </c>
      <c r="O384" s="64">
        <f t="shared" si="115"/>
        <v>0</v>
      </c>
      <c r="P384" s="214"/>
    </row>
    <row r="385" spans="1:16" s="34" customFormat="1" ht="14.4">
      <c r="A385" s="29" t="str">
        <f>A384</f>
        <v/>
      </c>
      <c r="B385" s="109"/>
      <c r="C385" s="178"/>
      <c r="D385" s="120"/>
      <c r="E385" s="196" t="s">
        <v>3378</v>
      </c>
      <c r="F385" s="215"/>
      <c r="G385" s="65"/>
      <c r="H385" s="216"/>
      <c r="I385" s="220"/>
      <c r="J385" s="130"/>
      <c r="K385" s="130"/>
      <c r="L385" s="58">
        <f t="shared" si="115"/>
        <v>0</v>
      </c>
      <c r="M385" s="59">
        <f t="shared" si="115"/>
        <v>0</v>
      </c>
      <c r="N385" s="58">
        <f t="shared" si="115"/>
        <v>0</v>
      </c>
      <c r="O385" s="58">
        <f t="shared" si="115"/>
        <v>0</v>
      </c>
      <c r="P385" s="215"/>
    </row>
    <row r="386" spans="1:16" s="34" customFormat="1">
      <c r="A386" s="29" t="str">
        <f t="shared" ref="A386:A399" si="116">IF(G386=0,"",1)</f>
        <v/>
      </c>
      <c r="B386" s="210" t="s">
        <v>1200</v>
      </c>
      <c r="C386" s="119"/>
      <c r="D386" s="120"/>
      <c r="E386" s="151" t="str">
        <f>VLOOKUP($B386,dongia1,DG!$C$5,)</f>
        <v>Cáp đồng trần M25mm2</v>
      </c>
      <c r="F386" s="120" t="str">
        <f>VLOOKUP($B386,dongia1,DG!$D$5,)</f>
        <v>kg</v>
      </c>
      <c r="G386" s="74">
        <f>+(24+9+56+10)*0.224*G384</f>
        <v>0</v>
      </c>
      <c r="H386" s="121">
        <f>VLOOKUP($B386,dongia1,DG!$F$5,)</f>
        <v>255500</v>
      </c>
      <c r="I386" s="152"/>
      <c r="J386" s="121"/>
      <c r="K386" s="121">
        <f>VLOOKUP($B386,dongia1,DG!$H$5,)</f>
        <v>0</v>
      </c>
      <c r="L386" s="39">
        <f t="shared" si="115"/>
        <v>0</v>
      </c>
      <c r="M386" s="62">
        <f t="shared" si="115"/>
        <v>0</v>
      </c>
      <c r="N386" s="39">
        <f t="shared" si="115"/>
        <v>0</v>
      </c>
      <c r="O386" s="39">
        <f t="shared" si="115"/>
        <v>0</v>
      </c>
      <c r="P386" s="112"/>
    </row>
    <row r="387" spans="1:16" s="34" customFormat="1">
      <c r="A387" s="29" t="str">
        <f t="shared" si="116"/>
        <v/>
      </c>
      <c r="B387" s="210" t="s">
        <v>1098</v>
      </c>
      <c r="C387" s="119"/>
      <c r="D387" s="120"/>
      <c r="E387" s="151" t="str">
        <f>VLOOKUP($B387,dongia1,DG!$C$5,)</f>
        <v>Cọc tiếp đất Þ 16- 2,4m + kẹp cọc</v>
      </c>
      <c r="F387" s="120" t="str">
        <f>VLOOKUP($B387,dongia1,DG!$D$5,)</f>
        <v>bộ</v>
      </c>
      <c r="G387" s="73">
        <f>8*G384</f>
        <v>0</v>
      </c>
      <c r="H387" s="121">
        <f>VLOOKUP($B387,dongia1,DG!$F$5,)</f>
        <v>160000</v>
      </c>
      <c r="I387" s="152"/>
      <c r="J387" s="121"/>
      <c r="K387" s="121">
        <f>VLOOKUP($B387,dongia1,DG!$H$5,)</f>
        <v>0</v>
      </c>
      <c r="L387" s="39">
        <f t="shared" si="115"/>
        <v>0</v>
      </c>
      <c r="M387" s="62">
        <f t="shared" si="115"/>
        <v>0</v>
      </c>
      <c r="N387" s="39">
        <f t="shared" si="115"/>
        <v>0</v>
      </c>
      <c r="O387" s="39">
        <f t="shared" si="115"/>
        <v>0</v>
      </c>
      <c r="P387" s="112"/>
    </row>
    <row r="388" spans="1:16" s="34" customFormat="1">
      <c r="A388" s="29" t="str">
        <f t="shared" si="116"/>
        <v/>
      </c>
      <c r="B388" s="129" t="s">
        <v>2040</v>
      </c>
      <c r="C388" s="119"/>
      <c r="D388" s="120">
        <f>VLOOKUP($B388,dongia1,DG!$B$5,)</f>
        <v>0</v>
      </c>
      <c r="E388" s="151" t="str">
        <f>VLOOKUP($B388,dongia1,DG!$C$5,)</f>
        <v xml:space="preserve">Ống PVC D21x1,6mm </v>
      </c>
      <c r="F388" s="120" t="str">
        <f>VLOOKUP($B388,dongia1,DG!$D$5,)</f>
        <v>m</v>
      </c>
      <c r="G388" s="73">
        <f>4*G384*0</f>
        <v>0</v>
      </c>
      <c r="H388" s="121">
        <f>VLOOKUP($B388,dongia1,DG!$F$5,)</f>
        <v>6200</v>
      </c>
      <c r="I388" s="152"/>
      <c r="J388" s="121">
        <f>VLOOKUP($B388,dongia1,DG!$G$5,)</f>
        <v>0</v>
      </c>
      <c r="K388" s="121">
        <f>VLOOKUP($B388,dongia1,DG!$H$5,)</f>
        <v>0</v>
      </c>
      <c r="L388" s="39">
        <f t="shared" si="115"/>
        <v>0</v>
      </c>
      <c r="M388" s="62">
        <f t="shared" si="115"/>
        <v>0</v>
      </c>
      <c r="N388" s="39">
        <f t="shared" si="115"/>
        <v>0</v>
      </c>
      <c r="O388" s="39">
        <f t="shared" si="115"/>
        <v>0</v>
      </c>
      <c r="P388" s="112"/>
    </row>
    <row r="389" spans="1:16" s="34" customFormat="1">
      <c r="A389" s="29" t="str">
        <f t="shared" si="116"/>
        <v/>
      </c>
      <c r="B389" s="210" t="s">
        <v>205</v>
      </c>
      <c r="C389" s="119"/>
      <c r="D389" s="120">
        <f>VLOOKUP($B389,dongia1,DG!$B$5,)</f>
        <v>0</v>
      </c>
      <c r="E389" s="151" t="str">
        <f>VLOOKUP($B389,dongia1,DG!$C$5,)</f>
        <v>Kẹp ép WR cỡ dây 50mm2</v>
      </c>
      <c r="F389" s="120" t="str">
        <f>VLOOKUP($B389,dongia1,DG!$D$5,)</f>
        <v>cái</v>
      </c>
      <c r="G389" s="73"/>
      <c r="H389" s="121">
        <f>VLOOKUP($B389,dongia1,DG!$F$5,)</f>
        <v>8000</v>
      </c>
      <c r="I389" s="152"/>
      <c r="J389" s="121">
        <f>VLOOKUP($B389,dongia1,DG!$G$5,)</f>
        <v>0</v>
      </c>
      <c r="K389" s="121">
        <f>VLOOKUP($B389,dongia1,DG!$H$5,)</f>
        <v>0</v>
      </c>
      <c r="L389" s="39">
        <f t="shared" si="115"/>
        <v>0</v>
      </c>
      <c r="M389" s="62">
        <f t="shared" si="115"/>
        <v>0</v>
      </c>
      <c r="N389" s="39">
        <f t="shared" si="115"/>
        <v>0</v>
      </c>
      <c r="O389" s="39">
        <f t="shared" si="115"/>
        <v>0</v>
      </c>
      <c r="P389" s="112"/>
    </row>
    <row r="390" spans="1:16" s="34" customFormat="1">
      <c r="A390" s="29" t="str">
        <f t="shared" si="116"/>
        <v/>
      </c>
      <c r="B390" s="210" t="s">
        <v>903</v>
      </c>
      <c r="C390" s="119"/>
      <c r="D390" s="120"/>
      <c r="E390" s="151" t="str">
        <f>VLOOKUP($B390,dongia1,DG!$C$5,)</f>
        <v>Ốc xiết cáp cỡ 25mm2</v>
      </c>
      <c r="F390" s="120" t="str">
        <f>VLOOKUP($B390,dongia1,DG!$D$5,)</f>
        <v>cái</v>
      </c>
      <c r="G390" s="73">
        <f>G384*12</f>
        <v>0</v>
      </c>
      <c r="H390" s="121">
        <f>VLOOKUP($B390,dongia1,DG!$F$5,)</f>
        <v>17600</v>
      </c>
      <c r="I390" s="152"/>
      <c r="J390" s="121"/>
      <c r="K390" s="121">
        <f>VLOOKUP($B390,dongia1,DG!$H$5,)</f>
        <v>0</v>
      </c>
      <c r="L390" s="39">
        <f t="shared" si="115"/>
        <v>0</v>
      </c>
      <c r="M390" s="62">
        <f t="shared" si="115"/>
        <v>0</v>
      </c>
      <c r="N390" s="39">
        <f t="shared" si="115"/>
        <v>0</v>
      </c>
      <c r="O390" s="39">
        <f t="shared" si="115"/>
        <v>0</v>
      </c>
      <c r="P390" s="112"/>
    </row>
    <row r="391" spans="1:16" s="34" customFormat="1">
      <c r="A391" s="29" t="str">
        <f t="shared" si="116"/>
        <v/>
      </c>
      <c r="B391" s="129" t="s">
        <v>274</v>
      </c>
      <c r="C391" s="119"/>
      <c r="D391" s="120" t="str">
        <f>VLOOKUP($B391,dongia1,DG!$B$5,)</f>
        <v>D4.1205</v>
      </c>
      <c r="E391" s="151" t="str">
        <f>VLOOKUP($B391,dongia1,DG!$C$5,)</f>
        <v>Ông sắt tráng kẽm D114</v>
      </c>
      <c r="F391" s="120" t="str">
        <f>VLOOKUP($B391,dongia1,DG!$D$5,)</f>
        <v>mét</v>
      </c>
      <c r="G391" s="73">
        <f>+G384*3*0</f>
        <v>0</v>
      </c>
      <c r="H391" s="121">
        <f>VLOOKUP($B391,dongia1,DG!$F$5,)</f>
        <v>146000</v>
      </c>
      <c r="I391" s="152"/>
      <c r="J391" s="121">
        <f>VLOOKUP($B391,dongia1,DG!$G$5,)</f>
        <v>127101.65849999999</v>
      </c>
      <c r="K391" s="121">
        <f>VLOOKUP($B391,dongia1,DG!$H$5,)</f>
        <v>0</v>
      </c>
      <c r="L391" s="39">
        <f t="shared" si="115"/>
        <v>0</v>
      </c>
      <c r="M391" s="62">
        <f t="shared" si="115"/>
        <v>0</v>
      </c>
      <c r="N391" s="39">
        <f t="shared" si="115"/>
        <v>0</v>
      </c>
      <c r="O391" s="39">
        <f t="shared" si="115"/>
        <v>0</v>
      </c>
      <c r="P391" s="112"/>
    </row>
    <row r="392" spans="1:16" s="34" customFormat="1">
      <c r="A392" s="29" t="str">
        <f>IF(G392=0,"",1)</f>
        <v/>
      </c>
      <c r="B392" s="210" t="s">
        <v>665</v>
      </c>
      <c r="C392" s="119"/>
      <c r="D392" s="120" t="str">
        <f>VLOOKUP($B392,dongia1,DG!$B$5,)</f>
        <v>AB.11513</v>
      </c>
      <c r="E392" s="151" t="str">
        <f>VLOOKUP($B392,dongia1,DG!$C$5,)</f>
        <v>Đào rãnh tiếp địa đất cấp 3</v>
      </c>
      <c r="F392" s="120" t="str">
        <f>VLOOKUP($B392,dongia1,DG!$D$5,)</f>
        <v>m3</v>
      </c>
      <c r="G392" s="74">
        <f>G384*24*0.3*0.5</f>
        <v>0</v>
      </c>
      <c r="H392" s="121"/>
      <c r="I392" s="152"/>
      <c r="J392" s="121">
        <f>VLOOKUP($B392,dongia1,DG!$G$5,)</f>
        <v>283749.75</v>
      </c>
      <c r="K392" s="121">
        <f>VLOOKUP($B392,dongia1,DG!$H$5,)</f>
        <v>0</v>
      </c>
      <c r="L392" s="39">
        <f t="shared" ref="L392:O393" si="117">H392*$G392</f>
        <v>0</v>
      </c>
      <c r="M392" s="62">
        <f t="shared" si="117"/>
        <v>0</v>
      </c>
      <c r="N392" s="39">
        <f t="shared" si="117"/>
        <v>0</v>
      </c>
      <c r="O392" s="39">
        <f t="shared" si="117"/>
        <v>0</v>
      </c>
      <c r="P392" s="112"/>
    </row>
    <row r="393" spans="1:16" s="34" customFormat="1">
      <c r="A393" s="29" t="str">
        <f>IF(G393=0,"",1)</f>
        <v/>
      </c>
      <c r="B393" s="129" t="s">
        <v>1985</v>
      </c>
      <c r="C393" s="119"/>
      <c r="D393" s="120" t="str">
        <f>VLOOKUP($B393,dongia1,DG!$B$5,)</f>
        <v>AB.13111</v>
      </c>
      <c r="E393" s="151" t="str">
        <f>VLOOKUP($B393,dongia1,DG!$C$5,)</f>
        <v>Đắp đất rãnh tiếp địa cấp 3 (độ chặt k = 0.85)</v>
      </c>
      <c r="F393" s="120" t="str">
        <f>VLOOKUP($B393,dongia1,DG!$D$5,)</f>
        <v>m3</v>
      </c>
      <c r="G393" s="74">
        <f>G392</f>
        <v>0</v>
      </c>
      <c r="H393" s="121"/>
      <c r="I393" s="152"/>
      <c r="J393" s="121">
        <f>VLOOKUP($B393,dongia1,DG!$G$5,)</f>
        <v>117703.6</v>
      </c>
      <c r="K393" s="121">
        <f>VLOOKUP($B393,dongia1,DG!$H$5,)</f>
        <v>0</v>
      </c>
      <c r="L393" s="39">
        <f t="shared" si="117"/>
        <v>0</v>
      </c>
      <c r="M393" s="62">
        <f t="shared" si="117"/>
        <v>0</v>
      </c>
      <c r="N393" s="39">
        <f t="shared" si="117"/>
        <v>0</v>
      </c>
      <c r="O393" s="39">
        <f t="shared" si="117"/>
        <v>0</v>
      </c>
      <c r="P393" s="112"/>
    </row>
    <row r="394" spans="1:16" s="34" customFormat="1">
      <c r="A394" s="29" t="str">
        <f t="shared" si="116"/>
        <v/>
      </c>
      <c r="B394" s="210" t="s">
        <v>68</v>
      </c>
      <c r="C394" s="119"/>
      <c r="D394" s="120">
        <f>VLOOKUP($B394,dongia1,DG!$B$5,)</f>
        <v>0</v>
      </c>
      <c r="E394" s="151" t="str">
        <f>VLOOKUP($B394,dongia1,DG!$C$5,)</f>
        <v>Khoan giếng tiếp địa</v>
      </c>
      <c r="F394" s="120" t="str">
        <f>VLOOKUP($B394,dongia1,DG!$D$5,)</f>
        <v>Cái</v>
      </c>
      <c r="G394" s="73">
        <f>+G384*0</f>
        <v>0</v>
      </c>
      <c r="H394" s="121">
        <f>VLOOKUP($B394,dongia1,DG!$F$5,)</f>
        <v>0</v>
      </c>
      <c r="I394" s="121"/>
      <c r="J394" s="121">
        <f>VLOOKUP($B394,dongia1,DG!$G$5,)</f>
        <v>1500000</v>
      </c>
      <c r="K394" s="121">
        <f>VLOOKUP($B394,dongia1,DG!$H$5,)</f>
        <v>0</v>
      </c>
      <c r="L394" s="39">
        <f t="shared" si="115"/>
        <v>0</v>
      </c>
      <c r="M394" s="39">
        <f t="shared" si="115"/>
        <v>0</v>
      </c>
      <c r="N394" s="39">
        <f t="shared" si="115"/>
        <v>0</v>
      </c>
      <c r="O394" s="39">
        <f t="shared" si="115"/>
        <v>0</v>
      </c>
      <c r="P394" s="112"/>
    </row>
    <row r="395" spans="1:16" s="34" customFormat="1">
      <c r="A395" s="29" t="str">
        <f t="shared" si="116"/>
        <v/>
      </c>
      <c r="B395" s="210" t="s">
        <v>1323</v>
      </c>
      <c r="C395" s="119"/>
      <c r="D395" s="120" t="str">
        <f>VLOOKUP($B395,dongia1,DG!$B$5,)</f>
        <v>03.1401</v>
      </c>
      <c r="E395" s="151" t="str">
        <f>VLOOKUP($B395,dongia1,DG!$C$5,)</f>
        <v xml:space="preserve">Cáp CVV 4x2,5mm2  </v>
      </c>
      <c r="F395" s="120" t="str">
        <f>VLOOKUP($B395,dongia1,DG!$D$5,)</f>
        <v>mét</v>
      </c>
      <c r="G395" s="73"/>
      <c r="H395" s="121">
        <f>VLOOKUP($B395,dongia1,DG!$F$5,)</f>
        <v>28200</v>
      </c>
      <c r="I395" s="121"/>
      <c r="J395" s="121">
        <f>VLOOKUP($B395,dongia1,DG!$G$5,)</f>
        <v>0</v>
      </c>
      <c r="K395" s="121">
        <f>VLOOKUP($B395,dongia1,DG!$H$5,)</f>
        <v>0</v>
      </c>
      <c r="L395" s="39">
        <f t="shared" ref="L395:O397" si="118">H395*$G395</f>
        <v>0</v>
      </c>
      <c r="M395" s="39">
        <f t="shared" si="118"/>
        <v>0</v>
      </c>
      <c r="N395" s="39">
        <f t="shared" si="118"/>
        <v>0</v>
      </c>
      <c r="O395" s="39">
        <f t="shared" si="118"/>
        <v>0</v>
      </c>
      <c r="P395" s="112"/>
    </row>
    <row r="396" spans="1:16" s="34" customFormat="1">
      <c r="A396" s="29" t="str">
        <f t="shared" si="116"/>
        <v/>
      </c>
      <c r="B396" s="210" t="s">
        <v>127</v>
      </c>
      <c r="C396" s="119"/>
      <c r="D396" s="120">
        <f>VLOOKUP($B396,dongia1,DG!$B$5,)</f>
        <v>0</v>
      </c>
      <c r="E396" s="151" t="str">
        <f>VLOOKUP($B396,dongia1,DG!$C$5,)</f>
        <v>Cổ dê CDĐKĐT D320/6x60( bắt thùng)</v>
      </c>
      <c r="F396" s="120" t="str">
        <f>VLOOKUP($B396,dongia1,DG!$D$5,)</f>
        <v>bộ</v>
      </c>
      <c r="G396" s="73"/>
      <c r="H396" s="121">
        <f>VLOOKUP($B396,dongia1,DG!$F$5,)</f>
        <v>168000</v>
      </c>
      <c r="I396" s="121"/>
      <c r="J396" s="121">
        <f>VLOOKUP($B396,dongia1,DG!$G$5,)</f>
        <v>0</v>
      </c>
      <c r="K396" s="121">
        <f>VLOOKUP($B396,dongia1,DG!$H$5,)</f>
        <v>0</v>
      </c>
      <c r="L396" s="39">
        <f t="shared" si="118"/>
        <v>0</v>
      </c>
      <c r="M396" s="39">
        <f t="shared" si="118"/>
        <v>0</v>
      </c>
      <c r="N396" s="39">
        <f t="shared" si="118"/>
        <v>0</v>
      </c>
      <c r="O396" s="39">
        <f t="shared" si="118"/>
        <v>0</v>
      </c>
      <c r="P396" s="112"/>
    </row>
    <row r="397" spans="1:16" s="34" customFormat="1">
      <c r="A397" s="29" t="str">
        <f t="shared" si="116"/>
        <v/>
      </c>
      <c r="B397" s="153" t="s">
        <v>1112</v>
      </c>
      <c r="C397" s="119"/>
      <c r="D397" s="120">
        <f>VLOOKUP($B397,dongia1,DG!$B$5,)</f>
        <v>0</v>
      </c>
      <c r="E397" s="151" t="str">
        <f>VLOOKUP($B397,dongia1,DG!$C$5,)</f>
        <v>Bảng nhựa gắn tủ điện kế điện tử</v>
      </c>
      <c r="F397" s="120" t="str">
        <f>VLOOKUP($B397,dongia1,DG!$D$5,)</f>
        <v>cái</v>
      </c>
      <c r="G397" s="73"/>
      <c r="H397" s="121">
        <f>VLOOKUP($B397,dongia1,DG!$F$5,)</f>
        <v>30000</v>
      </c>
      <c r="I397" s="121"/>
      <c r="J397" s="121">
        <f>VLOOKUP($B397,dongia1,DG!$G$5,)</f>
        <v>0</v>
      </c>
      <c r="K397" s="121">
        <f>VLOOKUP($B397,dongia1,DG!$H$5,)</f>
        <v>0</v>
      </c>
      <c r="L397" s="39">
        <f t="shared" si="118"/>
        <v>0</v>
      </c>
      <c r="M397" s="39">
        <f t="shared" si="118"/>
        <v>0</v>
      </c>
      <c r="N397" s="39">
        <f t="shared" si="118"/>
        <v>0</v>
      </c>
      <c r="O397" s="39">
        <f t="shared" si="118"/>
        <v>0</v>
      </c>
      <c r="P397" s="112"/>
    </row>
    <row r="398" spans="1:16" s="34" customFormat="1">
      <c r="A398" s="29" t="str">
        <f t="shared" si="116"/>
        <v/>
      </c>
      <c r="B398" s="1707" t="s">
        <v>1859</v>
      </c>
      <c r="C398" s="119"/>
      <c r="D398" s="120" t="str">
        <f>VLOOKUP($B398,dongia1,DG!$B$5,)</f>
        <v>D2.7001</v>
      </c>
      <c r="E398" s="151" t="str">
        <f>VLOOKUP($B398,dongia1,DG!$C$5,)</f>
        <v xml:space="preserve">Kéo dây tiếp địa </v>
      </c>
      <c r="F398" s="120" t="s">
        <v>1557</v>
      </c>
      <c r="G398" s="74">
        <f>+G386</f>
        <v>0</v>
      </c>
      <c r="H398" s="121"/>
      <c r="I398" s="156"/>
      <c r="J398" s="121">
        <f>92730/100</f>
        <v>927.3</v>
      </c>
      <c r="K398" s="121">
        <f>VLOOKUP($B398,dongia1,DG!$H$5,)</f>
        <v>0</v>
      </c>
      <c r="L398" s="39">
        <f t="shared" ref="L398:O399" si="119">H398*$G398</f>
        <v>0</v>
      </c>
      <c r="M398" s="62">
        <f t="shared" si="119"/>
        <v>0</v>
      </c>
      <c r="N398" s="39">
        <f t="shared" si="119"/>
        <v>0</v>
      </c>
      <c r="O398" s="39">
        <f t="shared" si="119"/>
        <v>0</v>
      </c>
      <c r="P398" s="112"/>
    </row>
    <row r="399" spans="1:16" s="34" customFormat="1">
      <c r="A399" s="29" t="str">
        <f t="shared" si="116"/>
        <v/>
      </c>
      <c r="B399" s="157" t="s">
        <v>102</v>
      </c>
      <c r="C399" s="132"/>
      <c r="D399" s="120" t="str">
        <f>VLOOKUP($B399,dongia1,DG!$B$5,)</f>
        <v>D2.8103</v>
      </c>
      <c r="E399" s="222" t="str">
        <f>VLOOKUP($B399,dongia1,DG!$C$5,)</f>
        <v>Đóng cọc tiếp địa đất cấp 3 dài 2,5m</v>
      </c>
      <c r="F399" s="120" t="str">
        <f>VLOOKUP($B399,dongia1,DG!$D$5,)</f>
        <v>cọc</v>
      </c>
      <c r="G399" s="128">
        <f>G387</f>
        <v>0</v>
      </c>
      <c r="H399" s="127"/>
      <c r="I399" s="223"/>
      <c r="J399" s="121">
        <f>406157/10</f>
        <v>40615.699999999997</v>
      </c>
      <c r="K399" s="127">
        <f>VLOOKUP($B399,dongia1,DG!$H$5,)</f>
        <v>1573.075</v>
      </c>
      <c r="L399" s="134">
        <f t="shared" si="119"/>
        <v>0</v>
      </c>
      <c r="M399" s="77">
        <f t="shared" si="119"/>
        <v>0</v>
      </c>
      <c r="N399" s="134">
        <f t="shared" si="119"/>
        <v>0</v>
      </c>
      <c r="O399" s="134">
        <f t="shared" si="119"/>
        <v>0</v>
      </c>
      <c r="P399" s="224"/>
    </row>
    <row r="400" spans="1:16">
      <c r="A400" s="29" t="str">
        <f>IF(L400+N400=0,"",1)</f>
        <v/>
      </c>
      <c r="B400" s="109"/>
      <c r="C400" s="225"/>
      <c r="D400" s="226"/>
      <c r="E400" s="2444" t="s">
        <v>3834</v>
      </c>
      <c r="F400" s="2452"/>
      <c r="G400" s="2452"/>
      <c r="H400" s="2452"/>
      <c r="I400" s="2452"/>
      <c r="J400" s="2452"/>
      <c r="K400" s="2445"/>
      <c r="L400" s="229">
        <f>SUM(L33:L399)</f>
        <v>0</v>
      </c>
      <c r="M400" s="229">
        <f>SUM(M33:M399)</f>
        <v>0</v>
      </c>
      <c r="N400" s="229">
        <f>SUM(N33:N399)</f>
        <v>0</v>
      </c>
      <c r="O400" s="229">
        <f>SUM(O33:O399)</f>
        <v>0</v>
      </c>
      <c r="P400" s="230"/>
    </row>
    <row r="401" spans="1:16" s="34" customFormat="1">
      <c r="A401" s="29" t="e">
        <f>+A402</f>
        <v>#REF!</v>
      </c>
      <c r="B401" s="109"/>
      <c r="C401" s="40" t="s">
        <v>956</v>
      </c>
      <c r="D401" s="48"/>
      <c r="E401" s="78" t="s">
        <v>3868</v>
      </c>
      <c r="F401" s="49"/>
      <c r="G401" s="50"/>
      <c r="H401" s="51"/>
      <c r="I401" s="51"/>
      <c r="J401" s="52"/>
      <c r="K401" s="51"/>
      <c r="L401" s="53"/>
      <c r="M401" s="53"/>
      <c r="N401" s="53"/>
      <c r="O401" s="53"/>
      <c r="P401" s="54"/>
    </row>
    <row r="402" spans="1:16" s="61" customFormat="1">
      <c r="A402" s="137" t="e">
        <f>A629</f>
        <v>#REF!</v>
      </c>
      <c r="B402" s="138"/>
      <c r="C402" s="139">
        <f>IF(G402&gt;0,1,0)</f>
        <v>1</v>
      </c>
      <c r="D402" s="231"/>
      <c r="E402" s="140" t="s">
        <v>3835</v>
      </c>
      <c r="F402" s="141" t="s">
        <v>2113</v>
      </c>
      <c r="G402" s="79">
        <v>1</v>
      </c>
      <c r="H402" s="139"/>
      <c r="I402" s="142"/>
      <c r="J402" s="143"/>
      <c r="K402" s="139"/>
      <c r="L402" s="55"/>
      <c r="M402" s="56"/>
      <c r="N402" s="55"/>
      <c r="O402" s="55"/>
      <c r="P402" s="143"/>
    </row>
    <row r="403" spans="1:16" s="34" customFormat="1" ht="14.4">
      <c r="A403" s="29" t="e">
        <f>A402</f>
        <v>#REF!</v>
      </c>
      <c r="B403" s="109"/>
      <c r="C403" s="215"/>
      <c r="D403" s="232"/>
      <c r="E403" s="196" t="s">
        <v>3378</v>
      </c>
      <c r="F403" s="146"/>
      <c r="G403" s="57"/>
      <c r="H403" s="147"/>
      <c r="I403" s="148"/>
      <c r="J403" s="149"/>
      <c r="K403" s="147"/>
      <c r="L403" s="58"/>
      <c r="M403" s="59"/>
      <c r="N403" s="58"/>
      <c r="O403" s="58"/>
      <c r="P403" s="150"/>
    </row>
    <row r="404" spans="1:16" s="34" customFormat="1">
      <c r="A404" s="29" t="e">
        <f t="shared" ref="A404:A437" si="120">IF(G404=0,"",1)</f>
        <v>#REF!</v>
      </c>
      <c r="B404" s="153" t="s">
        <v>360</v>
      </c>
      <c r="C404" s="233" t="e">
        <f>+#REF!</f>
        <v>#REF!</v>
      </c>
      <c r="D404" s="120"/>
      <c r="E404" s="151" t="str">
        <f>VLOOKUP($B404,dongia1,DG!$C$5,)</f>
        <v>Cáp C/XLPE/PVC -0.6/1kV-3x150+95mm2</v>
      </c>
      <c r="F404" s="120" t="str">
        <f>VLOOKUP($B404,dongia1,DG!$D$5,)</f>
        <v>mét</v>
      </c>
      <c r="G404" s="80" t="e">
        <f>(C404)*G402*1.02</f>
        <v>#REF!</v>
      </c>
      <c r="H404" s="121">
        <f>VLOOKUP($B404,dongia1,DG!$F$5,)</f>
        <v>1398900</v>
      </c>
      <c r="I404" s="155"/>
      <c r="J404" s="121">
        <f>VLOOKUP($B404,dongia1,DG!$G$5,)</f>
        <v>0</v>
      </c>
      <c r="K404" s="121">
        <f>VLOOKUP($B404,dongia1,DG!$H$5,)</f>
        <v>0</v>
      </c>
      <c r="L404" s="39" t="e">
        <f t="shared" ref="L404:O411" si="121">H404*$G404</f>
        <v>#REF!</v>
      </c>
      <c r="M404" s="39" t="e">
        <f t="shared" si="121"/>
        <v>#REF!</v>
      </c>
      <c r="N404" s="39" t="e">
        <f t="shared" si="121"/>
        <v>#REF!</v>
      </c>
      <c r="O404" s="39" t="e">
        <f t="shared" si="121"/>
        <v>#REF!</v>
      </c>
      <c r="P404" s="112"/>
    </row>
    <row r="405" spans="1:16" s="34" customFormat="1">
      <c r="A405" s="29" t="str">
        <f t="shared" si="120"/>
        <v/>
      </c>
      <c r="B405" s="153" t="s">
        <v>359</v>
      </c>
      <c r="C405" s="233"/>
      <c r="D405" s="120"/>
      <c r="E405" s="151" t="str">
        <f>VLOOKUP($B405,dongia1,DG!$C$5,)</f>
        <v>Cáp C/XLPE/PVC -0.6/1kV-3x120+70mm2</v>
      </c>
      <c r="F405" s="120" t="str">
        <f>VLOOKUP($B405,dongia1,DG!$D$5,)</f>
        <v>mét</v>
      </c>
      <c r="G405" s="80">
        <f>(C405)*G402*1.02</f>
        <v>0</v>
      </c>
      <c r="H405" s="121">
        <f>VLOOKUP($B405,dongia1,DG!$F$5,)</f>
        <v>623600</v>
      </c>
      <c r="I405" s="155"/>
      <c r="J405" s="121">
        <f>VLOOKUP($B405,dongia1,DG!$G$5,)</f>
        <v>0</v>
      </c>
      <c r="K405" s="121">
        <f>VLOOKUP($B405,dongia1,DG!$H$5,)</f>
        <v>0</v>
      </c>
      <c r="L405" s="39">
        <f t="shared" si="121"/>
        <v>0</v>
      </c>
      <c r="M405" s="39">
        <f t="shared" si="121"/>
        <v>0</v>
      </c>
      <c r="N405" s="39">
        <f t="shared" si="121"/>
        <v>0</v>
      </c>
      <c r="O405" s="39">
        <f t="shared" si="121"/>
        <v>0</v>
      </c>
      <c r="P405" s="112"/>
    </row>
    <row r="406" spans="1:16" s="34" customFormat="1">
      <c r="A406" s="29" t="e">
        <f t="shared" si="120"/>
        <v>#REF!</v>
      </c>
      <c r="B406" s="153" t="s">
        <v>784</v>
      </c>
      <c r="C406" s="233" t="e">
        <f>+#REF!</f>
        <v>#REF!</v>
      </c>
      <c r="D406" s="120"/>
      <c r="E406" s="151" t="str">
        <f>VLOOKUP($B406,dongia1,DG!$C$5,)</f>
        <v>Cáp C/XLPE/PVC -0.6/1kV-3x120+60mm2</v>
      </c>
      <c r="F406" s="120" t="str">
        <f>VLOOKUP($B406,dongia1,DG!$D$5,)</f>
        <v>mét</v>
      </c>
      <c r="G406" s="80" t="e">
        <f>(C406)*G402*1.02</f>
        <v>#REF!</v>
      </c>
      <c r="H406" s="121">
        <f>VLOOKUP($B406,dongia1,DG!$F$5,)</f>
        <v>1057300</v>
      </c>
      <c r="I406" s="155"/>
      <c r="J406" s="121">
        <f>VLOOKUP($B406,dongia1,DG!$G$5,)</f>
        <v>0</v>
      </c>
      <c r="K406" s="121">
        <f>VLOOKUP($B406,dongia1,DG!$H$5,)</f>
        <v>0</v>
      </c>
      <c r="L406" s="39" t="e">
        <f t="shared" si="121"/>
        <v>#REF!</v>
      </c>
      <c r="M406" s="39" t="e">
        <f t="shared" si="121"/>
        <v>#REF!</v>
      </c>
      <c r="N406" s="39" t="e">
        <f t="shared" si="121"/>
        <v>#REF!</v>
      </c>
      <c r="O406" s="39" t="e">
        <f t="shared" si="121"/>
        <v>#REF!</v>
      </c>
      <c r="P406" s="112"/>
    </row>
    <row r="407" spans="1:16" s="34" customFormat="1">
      <c r="A407" s="29" t="e">
        <f t="shared" si="120"/>
        <v>#REF!</v>
      </c>
      <c r="B407" s="129" t="s">
        <v>4073</v>
      </c>
      <c r="C407" s="154" t="e">
        <f>+#REF!</f>
        <v>#REF!</v>
      </c>
      <c r="D407" s="120"/>
      <c r="E407" s="151" t="str">
        <f>VLOOKUP($B407,dongia1,DG!$C$5,)</f>
        <v>Cáp C/XLPE/PVC -0.6/1kV-3x60+30mm3</v>
      </c>
      <c r="F407" s="120" t="str">
        <f>VLOOKUP($B407,dongia1,DG!$D$5,)</f>
        <v>mét</v>
      </c>
      <c r="G407" s="80" t="e">
        <f>(C407)*1.02*G402</f>
        <v>#REF!</v>
      </c>
      <c r="H407" s="121">
        <f>VLOOKUP($B407,dongia1,DG!$F$5,)</f>
        <v>530600</v>
      </c>
      <c r="I407" s="156"/>
      <c r="J407" s="121">
        <f>VLOOKUP($B407,dongia1,DG!$G$5,)</f>
        <v>0</v>
      </c>
      <c r="K407" s="121">
        <f>VLOOKUP($B407,dongia1,DG!$H$5,)</f>
        <v>0</v>
      </c>
      <c r="L407" s="39" t="e">
        <f t="shared" si="121"/>
        <v>#REF!</v>
      </c>
      <c r="M407" s="62" t="e">
        <f t="shared" si="121"/>
        <v>#REF!</v>
      </c>
      <c r="N407" s="39" t="e">
        <f t="shared" si="121"/>
        <v>#REF!</v>
      </c>
      <c r="O407" s="39" t="e">
        <f t="shared" si="121"/>
        <v>#REF!</v>
      </c>
      <c r="P407" s="112"/>
    </row>
    <row r="408" spans="1:16" s="34" customFormat="1">
      <c r="A408" s="29" t="e">
        <f t="shared" si="120"/>
        <v>#REF!</v>
      </c>
      <c r="B408" s="129" t="s">
        <v>4071</v>
      </c>
      <c r="C408" s="154" t="e">
        <f>+#REF!</f>
        <v>#REF!</v>
      </c>
      <c r="D408" s="120"/>
      <c r="E408" s="151" t="str">
        <f>VLOOKUP($B408,dongia1,DG!$C$5,)</f>
        <v>Cáp C/XLPE/PVC -0.6/1kV-3x38+22mm3</v>
      </c>
      <c r="F408" s="120" t="str">
        <f>VLOOKUP($B408,dongia1,DG!$D$5,)</f>
        <v>mét</v>
      </c>
      <c r="G408" s="80" t="e">
        <f>(C408)*1.02*$G$402</f>
        <v>#REF!</v>
      </c>
      <c r="H408" s="121">
        <f>VLOOKUP($B408,dongia1,DG!$F$5,)</f>
        <v>343200</v>
      </c>
      <c r="I408" s="156"/>
      <c r="J408" s="121">
        <f>VLOOKUP($B408,dongia1,DG!$G$5,)</f>
        <v>0</v>
      </c>
      <c r="K408" s="121">
        <f>VLOOKUP($B408,dongia1,DG!$H$5,)</f>
        <v>0</v>
      </c>
      <c r="L408" s="39" t="e">
        <f t="shared" si="121"/>
        <v>#REF!</v>
      </c>
      <c r="M408" s="62" t="e">
        <f t="shared" si="121"/>
        <v>#REF!</v>
      </c>
      <c r="N408" s="39" t="e">
        <f t="shared" si="121"/>
        <v>#REF!</v>
      </c>
      <c r="O408" s="39" t="e">
        <f t="shared" si="121"/>
        <v>#REF!</v>
      </c>
      <c r="P408" s="112"/>
    </row>
    <row r="409" spans="1:16" s="34" customFormat="1">
      <c r="A409" s="29" t="str">
        <f t="shared" si="120"/>
        <v/>
      </c>
      <c r="B409" s="129" t="s">
        <v>2095</v>
      </c>
      <c r="C409" s="154"/>
      <c r="D409" s="120"/>
      <c r="E409" s="151" t="str">
        <f>VLOOKUP($B409,dongia1,DG!$C$5,)</f>
        <v>Cáp C/XLPE/PVC -0.6/1kV-3x50+35mm2</v>
      </c>
      <c r="F409" s="120" t="str">
        <f>VLOOKUP($B409,dongia1,DG!$D$5,)</f>
        <v>mét</v>
      </c>
      <c r="G409" s="80">
        <f>(C409)*1.02*$G$402</f>
        <v>0</v>
      </c>
      <c r="H409" s="121">
        <f>VLOOKUP($B409,dongia1,DG!$F$5,)</f>
        <v>462500</v>
      </c>
      <c r="I409" s="156"/>
      <c r="J409" s="121">
        <f>VLOOKUP($B409,dongia1,DG!$G$5,)</f>
        <v>0</v>
      </c>
      <c r="K409" s="121">
        <f>VLOOKUP($B409,dongia1,DG!$H$5,)</f>
        <v>0</v>
      </c>
      <c r="L409" s="39">
        <f t="shared" si="121"/>
        <v>0</v>
      </c>
      <c r="M409" s="62">
        <f t="shared" si="121"/>
        <v>0</v>
      </c>
      <c r="N409" s="39">
        <f t="shared" si="121"/>
        <v>0</v>
      </c>
      <c r="O409" s="39">
        <f t="shared" si="121"/>
        <v>0</v>
      </c>
      <c r="P409" s="112"/>
    </row>
    <row r="410" spans="1:16" s="34" customFormat="1">
      <c r="A410" s="29" t="str">
        <f t="shared" si="120"/>
        <v/>
      </c>
      <c r="B410" s="129" t="s">
        <v>2095</v>
      </c>
      <c r="C410" s="154"/>
      <c r="D410" s="120"/>
      <c r="E410" s="151" t="str">
        <f>VLOOKUP($B410,dongia1,DG!$C$5,)</f>
        <v>Cáp C/XLPE/PVC -0.6/1kV-3x50+35mm2</v>
      </c>
      <c r="F410" s="120" t="str">
        <f>VLOOKUP($B410,dongia1,DG!$D$5,)</f>
        <v>mét</v>
      </c>
      <c r="G410" s="80">
        <f>(C410)*1.02*$G$402</f>
        <v>0</v>
      </c>
      <c r="H410" s="121">
        <f>VLOOKUP($B410,dongia1,DG!$F$5,)</f>
        <v>462500</v>
      </c>
      <c r="I410" s="156"/>
      <c r="J410" s="121">
        <f>VLOOKUP($B410,dongia1,DG!$G$5,)</f>
        <v>0</v>
      </c>
      <c r="K410" s="121">
        <f>VLOOKUP($B410,dongia1,DG!$H$5,)</f>
        <v>0</v>
      </c>
      <c r="L410" s="39">
        <f t="shared" si="121"/>
        <v>0</v>
      </c>
      <c r="M410" s="62">
        <f t="shared" si="121"/>
        <v>0</v>
      </c>
      <c r="N410" s="39">
        <f t="shared" si="121"/>
        <v>0</v>
      </c>
      <c r="O410" s="39">
        <f t="shared" si="121"/>
        <v>0</v>
      </c>
      <c r="P410" s="112"/>
    </row>
    <row r="411" spans="1:16" s="34" customFormat="1">
      <c r="A411" s="29" t="str">
        <f t="shared" si="120"/>
        <v/>
      </c>
      <c r="B411" s="129" t="s">
        <v>2095</v>
      </c>
      <c r="C411" s="154"/>
      <c r="D411" s="120"/>
      <c r="E411" s="151" t="str">
        <f>VLOOKUP($B411,dongia1,DG!$C$5,)</f>
        <v>Cáp C/XLPE/PVC -0.6/1kV-3x50+35mm2</v>
      </c>
      <c r="F411" s="120" t="str">
        <f>VLOOKUP($B411,dongia1,DG!$D$5,)</f>
        <v>mét</v>
      </c>
      <c r="G411" s="80">
        <f>(C411)*1.02*$G$402</f>
        <v>0</v>
      </c>
      <c r="H411" s="121">
        <f>VLOOKUP($B411,dongia1,DG!$F$5,)</f>
        <v>462500</v>
      </c>
      <c r="I411" s="156"/>
      <c r="J411" s="121">
        <f>VLOOKUP($B411,dongia1,DG!$G$5,)</f>
        <v>0</v>
      </c>
      <c r="K411" s="121">
        <f>VLOOKUP($B411,dongia1,DG!$H$5,)</f>
        <v>0</v>
      </c>
      <c r="L411" s="39">
        <f t="shared" si="121"/>
        <v>0</v>
      </c>
      <c r="M411" s="62">
        <f t="shared" si="121"/>
        <v>0</v>
      </c>
      <c r="N411" s="39">
        <f t="shared" si="121"/>
        <v>0</v>
      </c>
      <c r="O411" s="39">
        <f t="shared" si="121"/>
        <v>0</v>
      </c>
      <c r="P411" s="112"/>
    </row>
    <row r="412" spans="1:16" s="34" customFormat="1">
      <c r="A412" s="29" t="e">
        <f t="shared" si="120"/>
        <v>#REF!</v>
      </c>
      <c r="B412" s="153" t="s">
        <v>520</v>
      </c>
      <c r="C412" s="119"/>
      <c r="D412" s="120">
        <f>VLOOKUP($B412,dongia1,DG!$B$5,)</f>
        <v>0</v>
      </c>
      <c r="E412" s="151" t="str">
        <f>VLOOKUP($B412,dongia1,DG!$C$5,)</f>
        <v>Đầu cáp ngầm hạ thế 3x150+95mm2</v>
      </c>
      <c r="F412" s="120" t="str">
        <f>VLOOKUP($B412,dongia1,DG!$D$5,)</f>
        <v>cái</v>
      </c>
      <c r="G412" s="73" t="e">
        <f>G402*#REF!</f>
        <v>#REF!</v>
      </c>
      <c r="H412" s="121">
        <f>VLOOKUP($B412,dongia1,DG!$F$5,)</f>
        <v>696221</v>
      </c>
      <c r="I412" s="155"/>
      <c r="J412" s="121">
        <f>VLOOKUP($B412,dongia1,DG!$G$5,)</f>
        <v>0</v>
      </c>
      <c r="K412" s="121">
        <f>VLOOKUP($B412,dongia1,DG!$H$5,)</f>
        <v>0</v>
      </c>
      <c r="L412" s="39" t="e">
        <f t="shared" ref="L412:O419" si="122">H412*$G412</f>
        <v>#REF!</v>
      </c>
      <c r="M412" s="39" t="e">
        <f t="shared" si="122"/>
        <v>#REF!</v>
      </c>
      <c r="N412" s="39" t="e">
        <f t="shared" si="122"/>
        <v>#REF!</v>
      </c>
      <c r="O412" s="39" t="e">
        <f t="shared" si="122"/>
        <v>#REF!</v>
      </c>
      <c r="P412" s="112"/>
    </row>
    <row r="413" spans="1:16" s="34" customFormat="1">
      <c r="A413" s="29" t="e">
        <f t="shared" si="120"/>
        <v>#REF!</v>
      </c>
      <c r="B413" s="153" t="s">
        <v>126</v>
      </c>
      <c r="C413" s="119"/>
      <c r="D413" s="120">
        <f>VLOOKUP($B413,dongia1,DG!$B$5,)</f>
        <v>0</v>
      </c>
      <c r="E413" s="151" t="str">
        <f>VLOOKUP($B413,dongia1,DG!$C$5,)&amp;" +1x35"</f>
        <v>Đầu cáp ngầm hạ thế 3x50 +1x35</v>
      </c>
      <c r="F413" s="120" t="str">
        <f>VLOOKUP($B413,dongia1,DG!$D$5,)</f>
        <v>cái</v>
      </c>
      <c r="G413" s="73" t="e">
        <f>+#REF!</f>
        <v>#REF!</v>
      </c>
      <c r="H413" s="121">
        <f>VLOOKUP($B413,dongia1,DG!$F$5,)</f>
        <v>501197</v>
      </c>
      <c r="I413" s="156"/>
      <c r="J413" s="121">
        <f>VLOOKUP($B413,dongia1,DG!$G$5,)</f>
        <v>0</v>
      </c>
      <c r="K413" s="121">
        <f>VLOOKUP($B413,dongia1,DG!$H$5,)</f>
        <v>0</v>
      </c>
      <c r="L413" s="39" t="e">
        <f t="shared" si="122"/>
        <v>#REF!</v>
      </c>
      <c r="M413" s="62" t="e">
        <f t="shared" si="122"/>
        <v>#REF!</v>
      </c>
      <c r="N413" s="39" t="e">
        <f t="shared" si="122"/>
        <v>#REF!</v>
      </c>
      <c r="O413" s="39" t="e">
        <f t="shared" si="122"/>
        <v>#REF!</v>
      </c>
      <c r="P413" s="112"/>
    </row>
    <row r="414" spans="1:16" s="34" customFormat="1">
      <c r="A414" s="29" t="str">
        <f t="shared" si="120"/>
        <v/>
      </c>
      <c r="B414" s="153" t="s">
        <v>165</v>
      </c>
      <c r="C414" s="119"/>
      <c r="D414" s="120">
        <f>VLOOKUP($B414,dongia1,DG!$B$5,)</f>
        <v>0</v>
      </c>
      <c r="E414" s="151" t="str">
        <f>VLOOKUP($B414,dongia1,DG!$C$5,)</f>
        <v>Đầu cáp ngầm hạ thế 3x70+50mm2</v>
      </c>
      <c r="F414" s="120" t="str">
        <f>VLOOKUP($B414,dongia1,DG!$D$5,)</f>
        <v>cái</v>
      </c>
      <c r="G414" s="73"/>
      <c r="H414" s="121">
        <f>VLOOKUP($B414,dongia1,DG!$F$5,)</f>
        <v>501197</v>
      </c>
      <c r="I414" s="155"/>
      <c r="J414" s="121">
        <f>VLOOKUP($B414,dongia1,DG!$G$5,)</f>
        <v>0</v>
      </c>
      <c r="K414" s="121">
        <f>VLOOKUP($B414,dongia1,DG!$H$5,)</f>
        <v>0</v>
      </c>
      <c r="L414" s="39">
        <f t="shared" si="122"/>
        <v>0</v>
      </c>
      <c r="M414" s="39">
        <f t="shared" si="122"/>
        <v>0</v>
      </c>
      <c r="N414" s="39">
        <f t="shared" si="122"/>
        <v>0</v>
      </c>
      <c r="O414" s="39">
        <f t="shared" si="122"/>
        <v>0</v>
      </c>
      <c r="P414" s="112"/>
    </row>
    <row r="415" spans="1:16" s="34" customFormat="1">
      <c r="A415" s="29" t="e">
        <f t="shared" si="120"/>
        <v>#REF!</v>
      </c>
      <c r="B415" s="129" t="s">
        <v>12</v>
      </c>
      <c r="C415" s="119"/>
      <c r="D415" s="120">
        <f>VLOOKUP($B415,dongia1,DG!$B$5,)</f>
        <v>0</v>
      </c>
      <c r="E415" s="151" t="str">
        <f>VLOOKUP($B415,dongia1,DG!$C$5,)</f>
        <v>Đĩa sứ trắng báo hiệu cáp ngầm</v>
      </c>
      <c r="F415" s="120" t="str">
        <f>VLOOKUP($B415,dongia1,DG!$D$5,)</f>
        <v>cái</v>
      </c>
      <c r="G415" s="73" t="e">
        <f>+#REF!</f>
        <v>#REF!</v>
      </c>
      <c r="H415" s="182">
        <f>VLOOKUP($B415,dongia1,DG!$F$5,)</f>
        <v>120000</v>
      </c>
      <c r="I415" s="156"/>
      <c r="J415" s="121">
        <f>VLOOKUP($B415,dongia1,DG!$G$5,)</f>
        <v>0</v>
      </c>
      <c r="K415" s="121">
        <f>VLOOKUP($B415,dongia1,DG!$H$5,)</f>
        <v>0</v>
      </c>
      <c r="L415" s="39" t="e">
        <f t="shared" si="122"/>
        <v>#REF!</v>
      </c>
      <c r="M415" s="62" t="e">
        <f t="shared" si="122"/>
        <v>#REF!</v>
      </c>
      <c r="N415" s="39" t="e">
        <f t="shared" si="122"/>
        <v>#REF!</v>
      </c>
      <c r="O415" s="39" t="e">
        <f t="shared" si="122"/>
        <v>#REF!</v>
      </c>
      <c r="P415" s="112"/>
    </row>
    <row r="416" spans="1:16" s="34" customFormat="1">
      <c r="A416" s="29" t="e">
        <f t="shared" si="120"/>
        <v>#REF!</v>
      </c>
      <c r="B416" s="129" t="s">
        <v>43</v>
      </c>
      <c r="C416" s="119"/>
      <c r="D416" s="120" t="str">
        <f>VLOOKUP($B416,dongia1,DG!$B$5,)</f>
        <v>D4.5003</v>
      </c>
      <c r="E416" s="151" t="str">
        <f>VLOOKUP($B416,dongia1,DG!$C$5,)</f>
        <v>Đầu cosse ép Cu 70mm2</v>
      </c>
      <c r="F416" s="120" t="str">
        <f>VLOOKUP($B416,dongia1,DG!$D$5,)</f>
        <v>cái</v>
      </c>
      <c r="G416" s="73" t="e">
        <f>+#REF!</f>
        <v>#REF!</v>
      </c>
      <c r="H416" s="121">
        <f>VLOOKUP($B416,dongia1,DG!$F$5,)</f>
        <v>14000</v>
      </c>
      <c r="I416" s="156"/>
      <c r="J416" s="121">
        <f>VLOOKUP($B416,dongia1,DG!$G$5,)</f>
        <v>16671.215</v>
      </c>
      <c r="K416" s="121">
        <f>VLOOKUP($B416,dongia1,DG!$H$5,)</f>
        <v>3332.427897</v>
      </c>
      <c r="L416" s="39" t="e">
        <f t="shared" si="122"/>
        <v>#REF!</v>
      </c>
      <c r="M416" s="62" t="e">
        <f t="shared" si="122"/>
        <v>#REF!</v>
      </c>
      <c r="N416" s="39" t="e">
        <f t="shared" si="122"/>
        <v>#REF!</v>
      </c>
      <c r="O416" s="39" t="e">
        <f t="shared" si="122"/>
        <v>#REF!</v>
      </c>
      <c r="P416" s="112"/>
    </row>
    <row r="417" spans="1:16" s="34" customFormat="1">
      <c r="A417" s="29" t="e">
        <f t="shared" si="120"/>
        <v>#REF!</v>
      </c>
      <c r="B417" s="129" t="s">
        <v>41</v>
      </c>
      <c r="C417" s="119"/>
      <c r="D417" s="120" t="str">
        <f>VLOOKUP($B417,dongia1,DG!$B$5,)</f>
        <v>D4.5001</v>
      </c>
      <c r="E417" s="151" t="str">
        <f>VLOOKUP($B417,dongia1,DG!$C$5,)</f>
        <v>Đầu cosse ép Cu 25mm2</v>
      </c>
      <c r="F417" s="120" t="str">
        <f>VLOOKUP($B417,dongia1,DG!$D$5,)</f>
        <v>cái</v>
      </c>
      <c r="G417" s="73" t="e">
        <f>+#REF!</f>
        <v>#REF!</v>
      </c>
      <c r="H417" s="121">
        <f>VLOOKUP($B417,dongia1,DG!$F$5,)</f>
        <v>6500</v>
      </c>
      <c r="I417" s="156"/>
      <c r="J417" s="121">
        <f>VLOOKUP($B417,dongia1,DG!$G$5,)</f>
        <v>6062.26</v>
      </c>
      <c r="K417" s="121">
        <f>VLOOKUP($B417,dongia1,DG!$H$5,)</f>
        <v>2777.0232475000003</v>
      </c>
      <c r="L417" s="39" t="e">
        <f t="shared" ref="L417:O418" si="123">H417*$G417</f>
        <v>#REF!</v>
      </c>
      <c r="M417" s="62" t="e">
        <f t="shared" si="123"/>
        <v>#REF!</v>
      </c>
      <c r="N417" s="39" t="e">
        <f t="shared" si="123"/>
        <v>#REF!</v>
      </c>
      <c r="O417" s="39" t="e">
        <f t="shared" si="123"/>
        <v>#REF!</v>
      </c>
      <c r="P417" s="112"/>
    </row>
    <row r="418" spans="1:16" s="34" customFormat="1">
      <c r="A418" s="29" t="e">
        <f t="shared" si="120"/>
        <v>#REF!</v>
      </c>
      <c r="B418" s="129" t="s">
        <v>4082</v>
      </c>
      <c r="C418" s="119"/>
      <c r="D418" s="120" t="str">
        <f>VLOOKUP($B418,dongia1,DG!$B$5,)</f>
        <v>D4.5002</v>
      </c>
      <c r="E418" s="151" t="str">
        <f>VLOOKUP($B418,dongia1,DG!$C$5,)</f>
        <v>Đầu cosse ép Cu 35mm1</v>
      </c>
      <c r="F418" s="120" t="str">
        <f>VLOOKUP($B418,dongia1,DG!$D$5,)</f>
        <v>cái</v>
      </c>
      <c r="G418" s="73" t="e">
        <f>+#REF!</f>
        <v>#REF!</v>
      </c>
      <c r="H418" s="121">
        <f>VLOOKUP($B418,dongia1,DG!$F$5,)</f>
        <v>6500</v>
      </c>
      <c r="I418" s="156"/>
      <c r="J418" s="121">
        <f>VLOOKUP($B418,dongia1,DG!$G$5,)</f>
        <v>6062.26</v>
      </c>
      <c r="K418" s="121">
        <f>VLOOKUP($B418,dongia1,DG!$H$5,)</f>
        <v>2777.0232475000003</v>
      </c>
      <c r="L418" s="39" t="e">
        <f t="shared" si="123"/>
        <v>#REF!</v>
      </c>
      <c r="M418" s="62" t="e">
        <f t="shared" si="123"/>
        <v>#REF!</v>
      </c>
      <c r="N418" s="39" t="e">
        <f t="shared" si="123"/>
        <v>#REF!</v>
      </c>
      <c r="O418" s="39" t="e">
        <f t="shared" si="123"/>
        <v>#REF!</v>
      </c>
      <c r="P418" s="112"/>
    </row>
    <row r="419" spans="1:16" s="34" customFormat="1">
      <c r="A419" s="29" t="e">
        <f t="shared" si="120"/>
        <v>#REF!</v>
      </c>
      <c r="B419" s="129" t="s">
        <v>4078</v>
      </c>
      <c r="C419" s="119"/>
      <c r="D419" s="120" t="str">
        <f>VLOOKUP($B419,dongia1,DG!$B$5,)</f>
        <v>D4.5002</v>
      </c>
      <c r="E419" s="151" t="str">
        <f>VLOOKUP($B419,dongia1,DG!$C$5,)</f>
        <v>Đầu cosse ép Cu 38mm2</v>
      </c>
      <c r="F419" s="120" t="str">
        <f>VLOOKUP($B419,dongia1,DG!$D$5,)</f>
        <v>cái</v>
      </c>
      <c r="G419" s="73" t="e">
        <f>+#REF!</f>
        <v>#REF!</v>
      </c>
      <c r="H419" s="121">
        <f>VLOOKUP($B419,dongia1,DG!$F$5,)</f>
        <v>7800</v>
      </c>
      <c r="I419" s="156"/>
      <c r="J419" s="121">
        <f>VLOOKUP($B419,dongia1,DG!$G$5,)</f>
        <v>10608.955000000002</v>
      </c>
      <c r="K419" s="121">
        <f>VLOOKUP($B419,dongia1,DG!$H$5,)</f>
        <v>2777.0232475000003</v>
      </c>
      <c r="L419" s="39" t="e">
        <f t="shared" si="122"/>
        <v>#REF!</v>
      </c>
      <c r="M419" s="62" t="e">
        <f t="shared" si="122"/>
        <v>#REF!</v>
      </c>
      <c r="N419" s="39" t="e">
        <f t="shared" si="122"/>
        <v>#REF!</v>
      </c>
      <c r="O419" s="39" t="e">
        <f t="shared" si="122"/>
        <v>#REF!</v>
      </c>
      <c r="P419" s="112"/>
    </row>
    <row r="420" spans="1:16" s="34" customFormat="1">
      <c r="A420" s="29" t="e">
        <f t="shared" si="120"/>
        <v>#REF!</v>
      </c>
      <c r="B420" s="129" t="s">
        <v>1361</v>
      </c>
      <c r="C420" s="119"/>
      <c r="D420" s="120" t="str">
        <f>VLOOKUP($B420,dongia1,DG!$B$5,)</f>
        <v>D4.5002</v>
      </c>
      <c r="E420" s="151" t="str">
        <f>VLOOKUP($B420,dongia1,DG!$C$5,)</f>
        <v>Đầu cosse ép Cu 50mm2</v>
      </c>
      <c r="F420" s="120" t="str">
        <f>VLOOKUP($B420,dongia1,DG!$D$5,)</f>
        <v>cái</v>
      </c>
      <c r="G420" s="73" t="e">
        <f>+#REF!</f>
        <v>#REF!</v>
      </c>
      <c r="H420" s="121">
        <f>VLOOKUP($B420,dongia1,DG!$F$5,)</f>
        <v>9100</v>
      </c>
      <c r="I420" s="156"/>
      <c r="J420" s="121">
        <f>VLOOKUP($B420,dongia1,DG!$G$5,)</f>
        <v>10608.955000000002</v>
      </c>
      <c r="K420" s="121">
        <f>VLOOKUP($B420,dongia1,DG!$H$5,)</f>
        <v>2777.0232475000003</v>
      </c>
      <c r="L420" s="39" t="e">
        <f t="shared" ref="L420:L429" si="124">H420*$G420</f>
        <v>#REF!</v>
      </c>
      <c r="M420" s="62" t="e">
        <f t="shared" ref="M420:M429" si="125">I420*$G420</f>
        <v>#REF!</v>
      </c>
      <c r="N420" s="39" t="e">
        <f t="shared" ref="N420:N429" si="126">J420*$G420</f>
        <v>#REF!</v>
      </c>
      <c r="O420" s="39" t="e">
        <f t="shared" ref="O420:O429" si="127">K420*$G420</f>
        <v>#REF!</v>
      </c>
      <c r="P420" s="112"/>
    </row>
    <row r="421" spans="1:16" s="34" customFormat="1">
      <c r="A421" s="29" t="e">
        <f t="shared" si="120"/>
        <v>#REF!</v>
      </c>
      <c r="B421" s="129" t="s">
        <v>4079</v>
      </c>
      <c r="C421" s="119"/>
      <c r="D421" s="120" t="str">
        <f>VLOOKUP($B421,dongia1,DG!$B$5,)</f>
        <v>D4.5003</v>
      </c>
      <c r="E421" s="151" t="str">
        <f>VLOOKUP($B421,dongia1,DG!$C$5,)</f>
        <v>Đầu cosse ép Cu 60mm3</v>
      </c>
      <c r="F421" s="120" t="str">
        <f>VLOOKUP($B421,dongia1,DG!$D$5,)</f>
        <v>cái</v>
      </c>
      <c r="G421" s="73" t="e">
        <f>+#REF!</f>
        <v>#REF!</v>
      </c>
      <c r="H421" s="121">
        <f>VLOOKUP($B421,dongia1,DG!$F$5,)</f>
        <v>9100</v>
      </c>
      <c r="I421" s="156"/>
      <c r="J421" s="121">
        <f>VLOOKUP($B421,dongia1,DG!$G$5,)</f>
        <v>16671.215</v>
      </c>
      <c r="K421" s="121">
        <f>VLOOKUP($B421,dongia1,DG!$H$5,)</f>
        <v>3332.427897</v>
      </c>
      <c r="L421" s="39" t="e">
        <f t="shared" si="124"/>
        <v>#REF!</v>
      </c>
      <c r="M421" s="62" t="e">
        <f t="shared" si="125"/>
        <v>#REF!</v>
      </c>
      <c r="N421" s="39" t="e">
        <f t="shared" si="126"/>
        <v>#REF!</v>
      </c>
      <c r="O421" s="39" t="e">
        <f t="shared" si="127"/>
        <v>#REF!</v>
      </c>
      <c r="P421" s="112"/>
    </row>
    <row r="422" spans="1:16" s="34" customFormat="1">
      <c r="A422" s="29" t="str">
        <f t="shared" si="120"/>
        <v/>
      </c>
      <c r="B422" s="153" t="s">
        <v>43</v>
      </c>
      <c r="C422" s="119"/>
      <c r="D422" s="120" t="str">
        <f>VLOOKUP($B422,dongia1,DG!$B$5,)</f>
        <v>D4.5003</v>
      </c>
      <c r="E422" s="151" t="str">
        <f>VLOOKUP($B422,dongia1,DG!$C$5,)</f>
        <v>Đầu cosse ép Cu 70mm2</v>
      </c>
      <c r="F422" s="120" t="str">
        <f>VLOOKUP($B422,dongia1,DG!$D$5,)</f>
        <v>cái</v>
      </c>
      <c r="G422" s="73"/>
      <c r="H422" s="121">
        <f>VLOOKUP($B422,dongia1,DG!$F$5,)</f>
        <v>14000</v>
      </c>
      <c r="I422" s="155"/>
      <c r="J422" s="121">
        <f>VLOOKUP($B422,dongia1,DG!$G$5,)</f>
        <v>16671.215</v>
      </c>
      <c r="K422" s="121">
        <f>VLOOKUP($B422,dongia1,DG!$H$5,)</f>
        <v>3332.427897</v>
      </c>
      <c r="L422" s="39">
        <f t="shared" si="124"/>
        <v>0</v>
      </c>
      <c r="M422" s="39">
        <f t="shared" si="125"/>
        <v>0</v>
      </c>
      <c r="N422" s="39">
        <f t="shared" si="126"/>
        <v>0</v>
      </c>
      <c r="O422" s="39">
        <f t="shared" si="127"/>
        <v>0</v>
      </c>
      <c r="P422" s="112"/>
    </row>
    <row r="423" spans="1:16" s="34" customFormat="1">
      <c r="A423" s="29" t="e">
        <f t="shared" si="120"/>
        <v>#REF!</v>
      </c>
      <c r="B423" s="153" t="s">
        <v>1860</v>
      </c>
      <c r="C423" s="119"/>
      <c r="D423" s="120" t="str">
        <f>VLOOKUP($B423,dongia1,DG!$B$5,)</f>
        <v>D4.5004</v>
      </c>
      <c r="E423" s="151" t="str">
        <f>VLOOKUP($B423,dongia1,DG!$C$5,)</f>
        <v>Đầu cosse ép Cu 95mm2</v>
      </c>
      <c r="F423" s="120" t="str">
        <f>VLOOKUP($B423,dongia1,DG!$D$5,)</f>
        <v>cái</v>
      </c>
      <c r="G423" s="73" t="e">
        <f>G412*1</f>
        <v>#REF!</v>
      </c>
      <c r="H423" s="121">
        <f>VLOOKUP($B423,dongia1,DG!$F$5,)</f>
        <v>21000</v>
      </c>
      <c r="I423" s="155"/>
      <c r="J423" s="121">
        <f>VLOOKUP($B423,dongia1,DG!$G$5,)</f>
        <v>21217.910000000003</v>
      </c>
      <c r="K423" s="121">
        <f>VLOOKUP($B423,dongia1,DG!$H$5,)</f>
        <v>3332.427897</v>
      </c>
      <c r="L423" s="39" t="e">
        <f t="shared" si="124"/>
        <v>#REF!</v>
      </c>
      <c r="M423" s="39" t="e">
        <f t="shared" si="125"/>
        <v>#REF!</v>
      </c>
      <c r="N423" s="39" t="e">
        <f t="shared" si="126"/>
        <v>#REF!</v>
      </c>
      <c r="O423" s="39" t="e">
        <f t="shared" si="127"/>
        <v>#REF!</v>
      </c>
      <c r="P423" s="112"/>
    </row>
    <row r="424" spans="1:16" s="34" customFormat="1">
      <c r="A424" s="29" t="e">
        <f t="shared" si="120"/>
        <v>#REF!</v>
      </c>
      <c r="B424" s="153" t="s">
        <v>1916</v>
      </c>
      <c r="C424" s="119"/>
      <c r="D424" s="120" t="str">
        <f>VLOOKUP($B424,dongia1,DG!$B$5,)</f>
        <v>D4.5005</v>
      </c>
      <c r="E424" s="151" t="str">
        <f>VLOOKUP($B424,dongia1,DG!$C$5,)</f>
        <v>Đầu cosse ép Cu 120mm2</v>
      </c>
      <c r="F424" s="120" t="str">
        <f>VLOOKUP($B424,dongia1,DG!$D$5,)</f>
        <v>cái</v>
      </c>
      <c r="G424" s="73" t="e">
        <f>#REF!</f>
        <v>#REF!</v>
      </c>
      <c r="H424" s="121">
        <f>VLOOKUP($B424,dongia1,DG!$F$5,)</f>
        <v>27000</v>
      </c>
      <c r="I424" s="155"/>
      <c r="J424" s="121">
        <f>VLOOKUP($B424,dongia1,DG!$G$5,)</f>
        <v>27280.17</v>
      </c>
      <c r="K424" s="121">
        <f>VLOOKUP($B424,dongia1,DG!$H$5,)</f>
        <v>3887.8325465000003</v>
      </c>
      <c r="L424" s="39" t="e">
        <f t="shared" si="124"/>
        <v>#REF!</v>
      </c>
      <c r="M424" s="39" t="e">
        <f t="shared" si="125"/>
        <v>#REF!</v>
      </c>
      <c r="N424" s="39" t="e">
        <f t="shared" si="126"/>
        <v>#REF!</v>
      </c>
      <c r="O424" s="39" t="e">
        <f t="shared" si="127"/>
        <v>#REF!</v>
      </c>
      <c r="P424" s="112"/>
    </row>
    <row r="425" spans="1:16" s="34" customFormat="1">
      <c r="A425" s="29" t="e">
        <f t="shared" si="120"/>
        <v>#REF!</v>
      </c>
      <c r="B425" s="153" t="s">
        <v>1578</v>
      </c>
      <c r="C425" s="119"/>
      <c r="D425" s="120" t="str">
        <f>VLOOKUP($B425,dongia1,DG!$B$5,)</f>
        <v>D4.5006</v>
      </c>
      <c r="E425" s="151" t="str">
        <f>VLOOKUP($B425,dongia1,DG!$C$5,)</f>
        <v>Đầu cosse ép Cu 150mm2</v>
      </c>
      <c r="F425" s="120" t="str">
        <f>VLOOKUP($B425,dongia1,DG!$D$5,)</f>
        <v>cái</v>
      </c>
      <c r="G425" s="73" t="e">
        <f>+G412*3</f>
        <v>#REF!</v>
      </c>
      <c r="H425" s="121">
        <f>VLOOKUP($B425,dongia1,DG!$F$5,)</f>
        <v>36000</v>
      </c>
      <c r="I425" s="155"/>
      <c r="J425" s="121">
        <f>VLOOKUP($B425,dongia1,DG!$G$5,)</f>
        <v>33342.43</v>
      </c>
      <c r="K425" s="121">
        <f>VLOOKUP($B425,dongia1,DG!$H$5,)</f>
        <v>4443.237196</v>
      </c>
      <c r="L425" s="39" t="e">
        <f t="shared" si="124"/>
        <v>#REF!</v>
      </c>
      <c r="M425" s="39" t="e">
        <f t="shared" si="125"/>
        <v>#REF!</v>
      </c>
      <c r="N425" s="39" t="e">
        <f t="shared" si="126"/>
        <v>#REF!</v>
      </c>
      <c r="O425" s="39" t="e">
        <f t="shared" si="127"/>
        <v>#REF!</v>
      </c>
      <c r="P425" s="112"/>
    </row>
    <row r="426" spans="1:16" s="61" customFormat="1" ht="27.6">
      <c r="A426" s="137" t="str">
        <f t="shared" si="120"/>
        <v/>
      </c>
      <c r="B426" s="266" t="s">
        <v>1266</v>
      </c>
      <c r="C426" s="267"/>
      <c r="D426" s="268">
        <f>VLOOKUP($B426,dongia1,DG!$B$5,)</f>
        <v>0</v>
      </c>
      <c r="E426" s="151" t="str">
        <f>VLOOKUP($B426,dongia1,DG!$C$5,)</f>
        <v>Boulon thau 12x40 + 2 long đền vuông D14-50x50x3/Zn</v>
      </c>
      <c r="F426" s="268" t="str">
        <f>VLOOKUP($B426,dongia1,DG!$D$5,)</f>
        <v>bộ</v>
      </c>
      <c r="G426" s="73"/>
      <c r="H426" s="269">
        <f>VLOOKUP($B426,dongia1,DG!$F$5,)</f>
        <v>4400</v>
      </c>
      <c r="I426" s="270"/>
      <c r="J426" s="269">
        <f>VLOOKUP($B426,dongia1,DG!$G$5,)</f>
        <v>0</v>
      </c>
      <c r="K426" s="269">
        <f>VLOOKUP($B426,dongia1,DG!$H$5,)</f>
        <v>0</v>
      </c>
      <c r="L426" s="39">
        <f t="shared" si="124"/>
        <v>0</v>
      </c>
      <c r="M426" s="39">
        <f t="shared" si="125"/>
        <v>0</v>
      </c>
      <c r="N426" s="39">
        <f t="shared" si="126"/>
        <v>0</v>
      </c>
      <c r="O426" s="39">
        <f t="shared" si="127"/>
        <v>0</v>
      </c>
      <c r="P426" s="271"/>
    </row>
    <row r="427" spans="1:16" s="34" customFormat="1">
      <c r="A427" s="29" t="str">
        <f t="shared" si="120"/>
        <v/>
      </c>
      <c r="B427" s="159" t="s">
        <v>1861</v>
      </c>
      <c r="C427" s="119"/>
      <c r="D427" s="120">
        <f>VLOOKUP($B427,dongia1,DG!$B$5,)</f>
        <v>0</v>
      </c>
      <c r="E427" s="151" t="str">
        <f>VLOOKUP($B427,dongia1,DG!$C$5,)</f>
        <v>Ống PVC D140x6,7mm</v>
      </c>
      <c r="F427" s="120" t="str">
        <f>VLOOKUP($B427,dongia1,DG!$D$5,)</f>
        <v>m</v>
      </c>
      <c r="G427" s="73">
        <f>G437*0</f>
        <v>0</v>
      </c>
      <c r="H427" s="121">
        <f>VLOOKUP($B427,dongia1,DG!$F$5,)</f>
        <v>165250</v>
      </c>
      <c r="I427" s="160"/>
      <c r="J427" s="121">
        <f>VLOOKUP($B427,dongia1,DG!$G$5,)</f>
        <v>0</v>
      </c>
      <c r="K427" s="121">
        <f>VLOOKUP($B427,dongia1,DG!$H$5,)</f>
        <v>0</v>
      </c>
      <c r="L427" s="39">
        <f t="shared" si="124"/>
        <v>0</v>
      </c>
      <c r="M427" s="39">
        <f t="shared" si="125"/>
        <v>0</v>
      </c>
      <c r="N427" s="39">
        <f t="shared" si="126"/>
        <v>0</v>
      </c>
      <c r="O427" s="39">
        <f t="shared" si="127"/>
        <v>0</v>
      </c>
      <c r="P427" s="161"/>
    </row>
    <row r="428" spans="1:16" s="34" customFormat="1">
      <c r="A428" s="29" t="str">
        <f t="shared" si="120"/>
        <v/>
      </c>
      <c r="B428" s="159" t="s">
        <v>962</v>
      </c>
      <c r="C428" s="119"/>
      <c r="D428" s="120">
        <f>VLOOKUP($B428,dongia1,DG!$B$5,)</f>
        <v>0</v>
      </c>
      <c r="E428" s="151" t="str">
        <f>VLOOKUP($B428,dongia1,DG!$C$5,)</f>
        <v>Co  sừng 90 độ PVC 114</v>
      </c>
      <c r="F428" s="120" t="str">
        <f>VLOOKUP($B428,dongia1,DG!$D$5,)</f>
        <v>cái</v>
      </c>
      <c r="G428" s="73"/>
      <c r="H428" s="121">
        <f>VLOOKUP($B428,dongia1,DG!$F$5,)</f>
        <v>104800</v>
      </c>
      <c r="I428" s="160"/>
      <c r="J428" s="121">
        <f>VLOOKUP($B428,dongia1,DG!$G$5,)</f>
        <v>0</v>
      </c>
      <c r="K428" s="121">
        <f>VLOOKUP($B428,dongia1,DG!$H$5,)</f>
        <v>0</v>
      </c>
      <c r="L428" s="39">
        <f t="shared" si="124"/>
        <v>0</v>
      </c>
      <c r="M428" s="39">
        <f t="shared" si="125"/>
        <v>0</v>
      </c>
      <c r="N428" s="39">
        <f t="shared" si="126"/>
        <v>0</v>
      </c>
      <c r="O428" s="39">
        <f t="shared" si="127"/>
        <v>0</v>
      </c>
      <c r="P428" s="161"/>
    </row>
    <row r="429" spans="1:16" s="34" customFormat="1">
      <c r="A429" s="29" t="str">
        <f t="shared" si="120"/>
        <v/>
      </c>
      <c r="B429" s="129" t="s">
        <v>441</v>
      </c>
      <c r="C429" s="119"/>
      <c r="D429" s="120">
        <f>VLOOKUP($B429,dongia1,DG!$B$5,)</f>
        <v>0</v>
      </c>
      <c r="E429" s="151" t="str">
        <f>VLOOKUP($B429,dongia1,DG!$C$5,)</f>
        <v>Giá đỡ cáp ngầm (V63x6)</v>
      </c>
      <c r="F429" s="120" t="str">
        <f>VLOOKUP($B429,dongia1,DG!$D$5,)</f>
        <v>bộ</v>
      </c>
      <c r="G429" s="73">
        <f>G402*0</f>
        <v>0</v>
      </c>
      <c r="H429" s="121">
        <f>VLOOKUP($B429,dongia1,DG!$F$5,)</f>
        <v>150000</v>
      </c>
      <c r="I429" s="156"/>
      <c r="J429" s="121">
        <f>VLOOKUP($B429,dongia1,DG!$G$5,)</f>
        <v>0</v>
      </c>
      <c r="K429" s="121">
        <f>VLOOKUP($B429,dongia1,DG!$H$5,)</f>
        <v>0</v>
      </c>
      <c r="L429" s="39">
        <f t="shared" si="124"/>
        <v>0</v>
      </c>
      <c r="M429" s="62">
        <f t="shared" si="125"/>
        <v>0</v>
      </c>
      <c r="N429" s="39">
        <f t="shared" si="126"/>
        <v>0</v>
      </c>
      <c r="O429" s="39">
        <f t="shared" si="127"/>
        <v>0</v>
      </c>
      <c r="P429" s="112"/>
    </row>
    <row r="430" spans="1:16" s="34" customFormat="1">
      <c r="A430" s="29" t="e">
        <f t="shared" si="120"/>
        <v>#REF!</v>
      </c>
      <c r="B430" s="153" t="s">
        <v>958</v>
      </c>
      <c r="C430" s="119"/>
      <c r="D430" s="120" t="str">
        <f>VLOOKUP($B430,dongia1,DG!$B$5,)</f>
        <v>D4.24.07</v>
      </c>
      <c r="E430" s="151" t="str">
        <f>VLOOKUP($B430,dongia1,DG!$C$5,)</f>
        <v>Lắp cáp trong ống bảo vệ loại &lt;=9kg</v>
      </c>
      <c r="F430" s="120" t="str">
        <f>VLOOKUP($B430,dongia1,DG!$D$5,)</f>
        <v>mét</v>
      </c>
      <c r="G430" s="74" t="e">
        <f>+G404</f>
        <v>#REF!</v>
      </c>
      <c r="H430" s="121">
        <f>VLOOKUP($B430,dongia1,DG!$F$5,)</f>
        <v>685.15</v>
      </c>
      <c r="I430" s="155"/>
      <c r="J430" s="121">
        <f>VLOOKUP($B430,dongia1,DG!$G$5,)</f>
        <v>34102.882000000005</v>
      </c>
      <c r="K430" s="121">
        <f>VLOOKUP($B430,dongia1,DG!$H$5,)</f>
        <v>0</v>
      </c>
      <c r="L430" s="39" t="e">
        <f t="shared" ref="L430:O434" si="128">H430*$G430</f>
        <v>#REF!</v>
      </c>
      <c r="M430" s="39" t="e">
        <f t="shared" si="128"/>
        <v>#REF!</v>
      </c>
      <c r="N430" s="39" t="e">
        <f t="shared" si="128"/>
        <v>#REF!</v>
      </c>
      <c r="O430" s="39" t="e">
        <f t="shared" si="128"/>
        <v>#REF!</v>
      </c>
      <c r="P430" s="112"/>
    </row>
    <row r="431" spans="1:16" s="34" customFormat="1">
      <c r="A431" s="29" t="e">
        <f t="shared" si="120"/>
        <v>#REF!</v>
      </c>
      <c r="B431" s="153" t="s">
        <v>1537</v>
      </c>
      <c r="C431" s="119"/>
      <c r="D431" s="120" t="str">
        <f>VLOOKUP($B431,dongia1,DG!$B$5,)</f>
        <v>D4.24.06</v>
      </c>
      <c r="E431" s="151" t="str">
        <f>VLOOKUP($B431,dongia1,DG!$C$5,)</f>
        <v>Lắp cáp trong ống bảo vệ loại &lt;=7.5kg</v>
      </c>
      <c r="F431" s="120" t="str">
        <f>VLOOKUP($B431,dongia1,DG!$D$5,)</f>
        <v>mét</v>
      </c>
      <c r="G431" s="74" t="e">
        <f>+G405+G406</f>
        <v>#REF!</v>
      </c>
      <c r="H431" s="121">
        <f>VLOOKUP($B431,dongia1,DG!$F$5,)</f>
        <v>685.15</v>
      </c>
      <c r="I431" s="155"/>
      <c r="J431" s="121">
        <f>VLOOKUP($B431,dongia1,DG!$G$5,)</f>
        <v>27796.604000000007</v>
      </c>
      <c r="K431" s="121">
        <f>VLOOKUP($B431,dongia1,DG!$H$5,)</f>
        <v>0</v>
      </c>
      <c r="L431" s="39" t="e">
        <f t="shared" si="128"/>
        <v>#REF!</v>
      </c>
      <c r="M431" s="39" t="e">
        <f t="shared" si="128"/>
        <v>#REF!</v>
      </c>
      <c r="N431" s="39" t="e">
        <f t="shared" si="128"/>
        <v>#REF!</v>
      </c>
      <c r="O431" s="39" t="e">
        <f t="shared" si="128"/>
        <v>#REF!</v>
      </c>
      <c r="P431" s="112"/>
    </row>
    <row r="432" spans="1:16" s="34" customFormat="1">
      <c r="A432" s="29" t="e">
        <f t="shared" si="120"/>
        <v>#REF!</v>
      </c>
      <c r="B432" s="129" t="s">
        <v>1536</v>
      </c>
      <c r="C432" s="119"/>
      <c r="D432" s="120" t="str">
        <f>VLOOKUP($B432,dongia1,DG!$B$5,)</f>
        <v>D4.24.05</v>
      </c>
      <c r="E432" s="151" t="str">
        <f>VLOOKUP($B432,dongia1,DG!$C$5,)</f>
        <v>Lắp cáp trong ống bảo vệ loại &lt;=6kg</v>
      </c>
      <c r="F432" s="120" t="str">
        <f>VLOOKUP($B432,dongia1,DG!$D$5,)</f>
        <v>mét</v>
      </c>
      <c r="G432" s="74" t="e">
        <f>G407+G408</f>
        <v>#REF!</v>
      </c>
      <c r="H432" s="121">
        <f>VLOOKUP($B432,dongia1,DG!$F$5,)</f>
        <v>546.91999999999996</v>
      </c>
      <c r="I432" s="156"/>
      <c r="J432" s="121">
        <f>VLOOKUP($B432,dongia1,DG!$G$5,)</f>
        <v>21459.713</v>
      </c>
      <c r="K432" s="121">
        <f>VLOOKUP($B432,dongia1,DG!$H$5,)</f>
        <v>0</v>
      </c>
      <c r="L432" s="39" t="e">
        <f t="shared" si="128"/>
        <v>#REF!</v>
      </c>
      <c r="M432" s="62" t="e">
        <f t="shared" si="128"/>
        <v>#REF!</v>
      </c>
      <c r="N432" s="39" t="e">
        <f t="shared" si="128"/>
        <v>#REF!</v>
      </c>
      <c r="O432" s="39" t="e">
        <f t="shared" si="128"/>
        <v>#REF!</v>
      </c>
      <c r="P432" s="112"/>
    </row>
    <row r="433" spans="1:16" s="34" customFormat="1">
      <c r="A433" s="29" t="str">
        <f t="shared" si="120"/>
        <v/>
      </c>
      <c r="B433" s="153" t="s">
        <v>1366</v>
      </c>
      <c r="C433" s="119"/>
      <c r="D433" s="120" t="str">
        <f>VLOOKUP($B433,dongia1,DG!$B$5,)</f>
        <v>D4.24.02</v>
      </c>
      <c r="E433" s="151" t="str">
        <f>VLOOKUP($B433,dongia1,DG!$C$5,)</f>
        <v>Lắp cáp trong ống bảo vệ loại &lt;=2kg</v>
      </c>
      <c r="F433" s="120" t="str">
        <f>VLOOKUP($B433,dongia1,DG!$D$5,)</f>
        <v>mét</v>
      </c>
      <c r="G433" s="74"/>
      <c r="H433" s="121">
        <f>VLOOKUP($B433,dongia1,DG!$F$5,)</f>
        <v>455.68</v>
      </c>
      <c r="I433" s="155"/>
      <c r="J433" s="121">
        <f>VLOOKUP($B433,dongia1,DG!$G$5,)</f>
        <v>10102.290000000001</v>
      </c>
      <c r="K433" s="121">
        <f>VLOOKUP($B433,dongia1,DG!$H$5,)</f>
        <v>0</v>
      </c>
      <c r="L433" s="39">
        <f t="shared" si="128"/>
        <v>0</v>
      </c>
      <c r="M433" s="39">
        <f t="shared" si="128"/>
        <v>0</v>
      </c>
      <c r="N433" s="39">
        <f t="shared" si="128"/>
        <v>0</v>
      </c>
      <c r="O433" s="39">
        <f t="shared" si="128"/>
        <v>0</v>
      </c>
      <c r="P433" s="112"/>
    </row>
    <row r="434" spans="1:16" s="34" customFormat="1">
      <c r="A434" s="29" t="str">
        <f t="shared" si="120"/>
        <v/>
      </c>
      <c r="B434" s="109" t="s">
        <v>442</v>
      </c>
      <c r="C434" s="119"/>
      <c r="D434" s="120" t="str">
        <f>VLOOKUP($B434,dongia1,DG!$B$5,)</f>
        <v>T4.8002</v>
      </c>
      <c r="E434" s="151" t="str">
        <f>VLOOKUP($B434,dongia1,DG!$C$5,)</f>
        <v>Lắp gía đỡ cáp</v>
      </c>
      <c r="F434" s="120" t="str">
        <f>VLOOKUP($B434,dongia1,DG!$D$5,)</f>
        <v>bộ</v>
      </c>
      <c r="G434" s="73">
        <f>G429</f>
        <v>0</v>
      </c>
      <c r="H434" s="121">
        <f>VLOOKUP($B434,dongia1,DG!$F$5,)</f>
        <v>0</v>
      </c>
      <c r="I434" s="152"/>
      <c r="J434" s="121">
        <f>VLOOKUP($B434,dongia1,DG!$G$5,)</f>
        <v>28219.62</v>
      </c>
      <c r="K434" s="121">
        <f>VLOOKUP($B434,dongia1,DG!$H$5,)</f>
        <v>0</v>
      </c>
      <c r="L434" s="39">
        <f t="shared" si="128"/>
        <v>0</v>
      </c>
      <c r="M434" s="62">
        <f t="shared" si="128"/>
        <v>0</v>
      </c>
      <c r="N434" s="39">
        <f t="shared" si="128"/>
        <v>0</v>
      </c>
      <c r="O434" s="39">
        <f t="shared" si="128"/>
        <v>0</v>
      </c>
      <c r="P434" s="112"/>
    </row>
    <row r="435" spans="1:16" s="34" customFormat="1">
      <c r="A435" s="29" t="e">
        <f t="shared" si="120"/>
        <v>#REF!</v>
      </c>
      <c r="B435" s="153" t="s">
        <v>4075</v>
      </c>
      <c r="C435" s="119"/>
      <c r="D435" s="120" t="str">
        <f>VLOOKUP($B435,dongia1,DG!$B$5,)</f>
        <v>07.4103</v>
      </c>
      <c r="E435" s="151" t="str">
        <f>VLOOKUP($B435,dongia1,DG!$C$5,)</f>
        <v>Lắp đầu cáp hạ thế 3x150mm2, 95mm2</v>
      </c>
      <c r="F435" s="120" t="str">
        <f>VLOOKUP($B435,dongia1,DG!$D$5,)</f>
        <v>cái</v>
      </c>
      <c r="G435" s="73" t="e">
        <f>G412</f>
        <v>#REF!</v>
      </c>
      <c r="H435" s="121">
        <f>VLOOKUP($B435,dongia1,DG!$F$5,)</f>
        <v>1890</v>
      </c>
      <c r="I435" s="155"/>
      <c r="J435" s="121">
        <f>VLOOKUP($B435,dongia1,DG!$G$5,)</f>
        <v>38989</v>
      </c>
      <c r="K435" s="121">
        <f>VLOOKUP($B435,dongia1,DG!$H$5,)</f>
        <v>0</v>
      </c>
      <c r="L435" s="39" t="e">
        <f t="shared" ref="L435:O437" si="129">H435*$G435</f>
        <v>#REF!</v>
      </c>
      <c r="M435" s="39" t="e">
        <f t="shared" si="129"/>
        <v>#REF!</v>
      </c>
      <c r="N435" s="39" t="e">
        <f t="shared" si="129"/>
        <v>#REF!</v>
      </c>
      <c r="O435" s="39" t="e">
        <f t="shared" si="129"/>
        <v>#REF!</v>
      </c>
      <c r="P435" s="112"/>
    </row>
    <row r="436" spans="1:16" s="34" customFormat="1">
      <c r="A436" s="29" t="e">
        <f t="shared" si="120"/>
        <v>#REF!</v>
      </c>
      <c r="B436" s="129" t="s">
        <v>1181</v>
      </c>
      <c r="C436" s="119"/>
      <c r="D436" s="120" t="str">
        <f>VLOOKUP($B436,dongia1,DG!$B$5,)</f>
        <v>07.4102</v>
      </c>
      <c r="E436" s="151" t="str">
        <f>VLOOKUP($B436,dongia1,DG!$C$5,)</f>
        <v>Lắp đầu cáp hạ thế 3x50mm2, 70mm2</v>
      </c>
      <c r="F436" s="120" t="str">
        <f>VLOOKUP($B436,dongia1,DG!$D$5,)</f>
        <v>cái</v>
      </c>
      <c r="G436" s="73" t="e">
        <f>G413+G414</f>
        <v>#REF!</v>
      </c>
      <c r="H436" s="121">
        <f>VLOOKUP($B436,dongia1,DG!$F$5,)</f>
        <v>1890</v>
      </c>
      <c r="I436" s="156"/>
      <c r="J436" s="121">
        <f>VLOOKUP($B436,dongia1,DG!$G$5,)</f>
        <v>34657</v>
      </c>
      <c r="K436" s="121">
        <f>VLOOKUP($B436,dongia1,DG!$H$5,)</f>
        <v>0</v>
      </c>
      <c r="L436" s="39" t="e">
        <f t="shared" si="129"/>
        <v>#REF!</v>
      </c>
      <c r="M436" s="62" t="e">
        <f t="shared" si="129"/>
        <v>#REF!</v>
      </c>
      <c r="N436" s="39" t="e">
        <f t="shared" si="129"/>
        <v>#REF!</v>
      </c>
      <c r="O436" s="39" t="e">
        <f t="shared" si="129"/>
        <v>#REF!</v>
      </c>
      <c r="P436" s="112"/>
    </row>
    <row r="437" spans="1:16" s="61" customFormat="1">
      <c r="A437" s="137" t="str">
        <f t="shared" si="120"/>
        <v/>
      </c>
      <c r="B437" s="181"/>
      <c r="C437" s="166">
        <f>IF(G437&gt;0,C402+1,C402)</f>
        <v>1</v>
      </c>
      <c r="D437" s="167"/>
      <c r="E437" s="168" t="s">
        <v>3836</v>
      </c>
      <c r="F437" s="169" t="s">
        <v>2307</v>
      </c>
      <c r="G437" s="63"/>
      <c r="H437" s="170"/>
      <c r="I437" s="171"/>
      <c r="J437" s="172"/>
      <c r="K437" s="172"/>
      <c r="L437" s="64">
        <f t="shared" si="129"/>
        <v>0</v>
      </c>
      <c r="M437" s="60">
        <f t="shared" si="129"/>
        <v>0</v>
      </c>
      <c r="N437" s="64">
        <f t="shared" si="129"/>
        <v>0</v>
      </c>
      <c r="O437" s="64">
        <f t="shared" si="129"/>
        <v>0</v>
      </c>
      <c r="P437" s="173"/>
    </row>
    <row r="438" spans="1:16" s="34" customFormat="1" ht="14.4">
      <c r="A438" s="29" t="str">
        <f>A437</f>
        <v/>
      </c>
      <c r="B438" s="109"/>
      <c r="C438" s="112"/>
      <c r="D438" s="120"/>
      <c r="E438" s="196" t="s">
        <v>3378</v>
      </c>
      <c r="F438" s="126"/>
      <c r="G438" s="73"/>
      <c r="H438" s="175"/>
      <c r="I438" s="176"/>
      <c r="J438" s="177"/>
      <c r="K438" s="175"/>
      <c r="L438" s="39"/>
      <c r="M438" s="62"/>
      <c r="N438" s="39"/>
      <c r="O438" s="39"/>
      <c r="P438" s="178"/>
    </row>
    <row r="439" spans="1:16" s="34" customFormat="1">
      <c r="A439" s="29" t="str">
        <f t="shared" ref="A439:A450" si="130">IF(G439=0,"",1)</f>
        <v/>
      </c>
      <c r="B439" s="125" t="s">
        <v>1092</v>
      </c>
      <c r="C439" s="119"/>
      <c r="D439" s="120"/>
      <c r="E439" s="151" t="str">
        <f>VLOOKUP($B439,dongia1,DG!$C$5,)</f>
        <v>Cát san lắp</v>
      </c>
      <c r="F439" s="120" t="str">
        <f>VLOOKUP($B439,dongia1,DG!$D$5,)</f>
        <v>m3</v>
      </c>
      <c r="G439" s="74">
        <f>G437*0.245</f>
        <v>0</v>
      </c>
      <c r="H439" s="121">
        <f>VLOOKUP($B439,dongia1,DG!$F$5,)</f>
        <v>100000</v>
      </c>
      <c r="I439" s="179"/>
      <c r="J439" s="121">
        <f>VLOOKUP($B439,dongia1,DG!$G$5,)</f>
        <v>0</v>
      </c>
      <c r="K439" s="121">
        <f>VLOOKUP($B439,dongia1,DG!$H$5,)</f>
        <v>0</v>
      </c>
      <c r="L439" s="39">
        <f t="shared" ref="L439:L450" si="131">H439*$G439</f>
        <v>0</v>
      </c>
      <c r="M439" s="62">
        <f t="shared" ref="M439:M450" si="132">I439*$G439</f>
        <v>0</v>
      </c>
      <c r="N439" s="39">
        <f t="shared" ref="N439:N450" si="133">J439*$G439</f>
        <v>0</v>
      </c>
      <c r="O439" s="39">
        <f t="shared" ref="O439:O450" si="134">K439*$G439</f>
        <v>0</v>
      </c>
      <c r="P439" s="161"/>
    </row>
    <row r="440" spans="1:16" s="34" customFormat="1">
      <c r="A440" s="29" t="str">
        <f t="shared" si="130"/>
        <v/>
      </c>
      <c r="B440" s="159" t="s">
        <v>853</v>
      </c>
      <c r="C440" s="119"/>
      <c r="D440" s="120"/>
      <c r="E440" s="151" t="str">
        <f>VLOOKUP($B440,dongia1,DG!$C$5,)&amp;": 0,02m3/m"</f>
        <v>Đá 1x2: 0,02m3/m</v>
      </c>
      <c r="F440" s="120" t="str">
        <f>VLOOKUP($B440,dongia1,DG!$D$5,)</f>
        <v>m3</v>
      </c>
      <c r="G440" s="74"/>
      <c r="H440" s="121">
        <f>VLOOKUP($B440,dongia1,DG!$F$5,)</f>
        <v>335000</v>
      </c>
      <c r="I440" s="179"/>
      <c r="J440" s="121">
        <f>VLOOKUP($B440,dongia1,DG!$G$5,)</f>
        <v>0</v>
      </c>
      <c r="K440" s="121">
        <f>VLOOKUP($B440,dongia1,DG!$H$5,)</f>
        <v>0</v>
      </c>
      <c r="L440" s="39">
        <f t="shared" si="131"/>
        <v>0</v>
      </c>
      <c r="M440" s="62">
        <f t="shared" si="132"/>
        <v>0</v>
      </c>
      <c r="N440" s="39">
        <f t="shared" si="133"/>
        <v>0</v>
      </c>
      <c r="O440" s="39">
        <f t="shared" si="134"/>
        <v>0</v>
      </c>
      <c r="P440" s="161"/>
    </row>
    <row r="441" spans="1:16" s="34" customFormat="1">
      <c r="A441" s="29" t="str">
        <f>IF(G441=0,"",1)</f>
        <v/>
      </c>
      <c r="B441" s="159" t="s">
        <v>817</v>
      </c>
      <c r="C441" s="119"/>
      <c r="D441" s="120"/>
      <c r="E441" s="151" t="str">
        <f>VLOOKUP($B441,dongia1,DG!$C$5,)&amp;": 0,064m3/m"</f>
        <v>Đá 2x4: 0,064m3/m</v>
      </c>
      <c r="F441" s="120" t="str">
        <f>VLOOKUP($B441,dongia1,DG!$D$5,)</f>
        <v>m3</v>
      </c>
      <c r="G441" s="74"/>
      <c r="H441" s="121">
        <f>VLOOKUP($B441,dongia1,DG!$F$5,)</f>
        <v>295000</v>
      </c>
      <c r="I441" s="179"/>
      <c r="J441" s="121">
        <f>VLOOKUP($B441,dongia1,DG!$G$5,)</f>
        <v>0</v>
      </c>
      <c r="K441" s="121">
        <f>VLOOKUP($B441,dongia1,DG!$H$5,)</f>
        <v>0</v>
      </c>
      <c r="L441" s="39">
        <f>H441*$G441</f>
        <v>0</v>
      </c>
      <c r="M441" s="62">
        <f>I441*$G441</f>
        <v>0</v>
      </c>
      <c r="N441" s="39">
        <f>J441*$G441</f>
        <v>0</v>
      </c>
      <c r="O441" s="39">
        <f>K441*$G441</f>
        <v>0</v>
      </c>
      <c r="P441" s="161"/>
    </row>
    <row r="442" spans="1:16" s="34" customFormat="1">
      <c r="A442" s="29" t="str">
        <f t="shared" si="130"/>
        <v/>
      </c>
      <c r="B442" s="159" t="s">
        <v>1728</v>
      </c>
      <c r="C442" s="119"/>
      <c r="D442" s="120"/>
      <c r="E442" s="151" t="str">
        <f>VLOOKUP($B442,dongia1,DG!$C$5,)&amp;": 8,24Kg/m"</f>
        <v>Ximăng: 8,24Kg/m</v>
      </c>
      <c r="F442" s="120" t="str">
        <f>VLOOKUP($B442,dongia1,DG!$D$5,)</f>
        <v>kg</v>
      </c>
      <c r="G442" s="74"/>
      <c r="H442" s="121">
        <f>VLOOKUP($B442,dongia1,DG!$F$5,)</f>
        <v>1740</v>
      </c>
      <c r="I442" s="179"/>
      <c r="J442" s="121">
        <f>VLOOKUP($B442,dongia1,DG!$G$5,)</f>
        <v>0</v>
      </c>
      <c r="K442" s="121">
        <f>VLOOKUP($B442,dongia1,DG!$H$5,)</f>
        <v>0</v>
      </c>
      <c r="L442" s="39">
        <f t="shared" si="131"/>
        <v>0</v>
      </c>
      <c r="M442" s="62">
        <f t="shared" si="132"/>
        <v>0</v>
      </c>
      <c r="N442" s="39">
        <f t="shared" si="133"/>
        <v>0</v>
      </c>
      <c r="O442" s="39">
        <f t="shared" si="134"/>
        <v>0</v>
      </c>
      <c r="P442" s="161"/>
    </row>
    <row r="443" spans="1:16" s="34" customFormat="1">
      <c r="A443" s="29" t="str">
        <f t="shared" si="130"/>
        <v/>
      </c>
      <c r="B443" s="159" t="s">
        <v>1495</v>
      </c>
      <c r="C443" s="119"/>
      <c r="D443" s="120"/>
      <c r="E443" s="151" t="str">
        <f>VLOOKUP($B443,dongia1,DG!$C$5,)</f>
        <v>Gạch tàu</v>
      </c>
      <c r="F443" s="120" t="str">
        <f>VLOOKUP($B443,dongia1,DG!$D$5,)</f>
        <v>viên</v>
      </c>
      <c r="G443" s="74">
        <f>3.3*G437</f>
        <v>0</v>
      </c>
      <c r="H443" s="121">
        <f>VLOOKUP($B443,dongia1,DG!$F$5,)</f>
        <v>7000</v>
      </c>
      <c r="I443" s="179"/>
      <c r="J443" s="121">
        <f>VLOOKUP($B443,dongia1,DG!$G$5,)</f>
        <v>0</v>
      </c>
      <c r="K443" s="121">
        <f>VLOOKUP($B443,dongia1,DG!$H$5,)</f>
        <v>0</v>
      </c>
      <c r="L443" s="39">
        <f t="shared" si="131"/>
        <v>0</v>
      </c>
      <c r="M443" s="62">
        <f t="shared" si="132"/>
        <v>0</v>
      </c>
      <c r="N443" s="39">
        <f t="shared" si="133"/>
        <v>0</v>
      </c>
      <c r="O443" s="39">
        <f t="shared" si="134"/>
        <v>0</v>
      </c>
      <c r="P443" s="161"/>
    </row>
    <row r="444" spans="1:16" s="34" customFormat="1">
      <c r="A444" s="29" t="str">
        <f t="shared" si="130"/>
        <v/>
      </c>
      <c r="B444" s="159" t="s">
        <v>1496</v>
      </c>
      <c r="C444" s="119"/>
      <c r="D444" s="120"/>
      <c r="E444" s="151" t="str">
        <f>VLOOKUP($B444,dongia1,DG!$C$5,)</f>
        <v>Tấm nilông màu cảnh báo</v>
      </c>
      <c r="F444" s="120" t="str">
        <f>VLOOKUP($B444,dongia1,DG!$D$5,)</f>
        <v>m2</v>
      </c>
      <c r="G444" s="74">
        <f>0.3*G437</f>
        <v>0</v>
      </c>
      <c r="H444" s="121">
        <f>VLOOKUP($B444,dongia1,DG!$F$5,)</f>
        <v>10000</v>
      </c>
      <c r="I444" s="179"/>
      <c r="J444" s="121">
        <f>VLOOKUP($B444,dongia1,DG!$G$5,)</f>
        <v>1187.155</v>
      </c>
      <c r="K444" s="121">
        <f>VLOOKUP($B444,dongia1,DG!$H$5,)</f>
        <v>0</v>
      </c>
      <c r="L444" s="39">
        <f t="shared" si="131"/>
        <v>0</v>
      </c>
      <c r="M444" s="62">
        <f t="shared" si="132"/>
        <v>0</v>
      </c>
      <c r="N444" s="39">
        <f t="shared" si="133"/>
        <v>0</v>
      </c>
      <c r="O444" s="39">
        <f t="shared" si="134"/>
        <v>0</v>
      </c>
      <c r="P444" s="161"/>
    </row>
    <row r="445" spans="1:16" s="34" customFormat="1">
      <c r="A445" s="29" t="str">
        <f t="shared" si="130"/>
        <v/>
      </c>
      <c r="B445" s="159" t="s">
        <v>961</v>
      </c>
      <c r="C445" s="119"/>
      <c r="D445" s="120">
        <f>VLOOKUP($B445,dongia1,DG!$B$5,)</f>
        <v>0</v>
      </c>
      <c r="E445" s="151" t="str">
        <f>VLOOKUP($B445,dongia1,DG!$C$5,)</f>
        <v xml:space="preserve">Ống PVC D114x4,9mm </v>
      </c>
      <c r="F445" s="120" t="str">
        <f>VLOOKUP($B445,dongia1,DG!$D$5,)</f>
        <v>m</v>
      </c>
      <c r="G445" s="74">
        <f>1*G437</f>
        <v>0</v>
      </c>
      <c r="H445" s="121">
        <f>VLOOKUP($B445,dongia1,DG!$F$5,)</f>
        <v>103700</v>
      </c>
      <c r="I445" s="179"/>
      <c r="J445" s="121">
        <f>VLOOKUP($B445,dongia1,DG!$G$5,)</f>
        <v>0</v>
      </c>
      <c r="K445" s="121">
        <f>VLOOKUP($B445,dongia1,DG!$H$5,)</f>
        <v>0</v>
      </c>
      <c r="L445" s="39">
        <f t="shared" si="131"/>
        <v>0</v>
      </c>
      <c r="M445" s="62">
        <f t="shared" si="132"/>
        <v>0</v>
      </c>
      <c r="N445" s="39">
        <f t="shared" si="133"/>
        <v>0</v>
      </c>
      <c r="O445" s="39">
        <f t="shared" si="134"/>
        <v>0</v>
      </c>
      <c r="P445" s="161"/>
    </row>
    <row r="446" spans="1:16" s="34" customFormat="1">
      <c r="A446" s="29" t="str">
        <f t="shared" si="130"/>
        <v/>
      </c>
      <c r="B446" s="159" t="s">
        <v>101</v>
      </c>
      <c r="C446" s="119"/>
      <c r="D446" s="120" t="str">
        <f>VLOOKUP($B446,dongia1,DG!$B$5,)</f>
        <v>D4.1104</v>
      </c>
      <c r="E446" s="151" t="str">
        <f>VLOOKUP($B446,dongia1,DG!$C$5,)</f>
        <v>Lắp gạch làm dấu</v>
      </c>
      <c r="F446" s="120" t="str">
        <f>VLOOKUP($B446,dongia1,DG!$D$5,)</f>
        <v>viên</v>
      </c>
      <c r="G446" s="74">
        <f>G443</f>
        <v>0</v>
      </c>
      <c r="H446" s="121">
        <f>VLOOKUP($B446,dongia1,DG!$F$5,)</f>
        <v>0</v>
      </c>
      <c r="I446" s="179"/>
      <c r="J446" s="121">
        <f>VLOOKUP($B446,dongia1,DG!$G$5,)</f>
        <v>916.64</v>
      </c>
      <c r="K446" s="121">
        <f>VLOOKUP($B446,dongia1,DG!$H$5,)</f>
        <v>0</v>
      </c>
      <c r="L446" s="39">
        <f t="shared" si="131"/>
        <v>0</v>
      </c>
      <c r="M446" s="62">
        <f t="shared" si="132"/>
        <v>0</v>
      </c>
      <c r="N446" s="39">
        <f t="shared" si="133"/>
        <v>0</v>
      </c>
      <c r="O446" s="39">
        <f t="shared" si="134"/>
        <v>0</v>
      </c>
      <c r="P446" s="161"/>
    </row>
    <row r="447" spans="1:16" s="34" customFormat="1">
      <c r="A447" s="29" t="str">
        <f t="shared" si="130"/>
        <v/>
      </c>
      <c r="B447" s="159" t="s">
        <v>1498</v>
      </c>
      <c r="C447" s="119"/>
      <c r="D447" s="120" t="str">
        <f>VLOOKUP($B447,dongia1,DG!$B$5,)</f>
        <v>AB.66112</v>
      </c>
      <c r="E447" s="151" t="str">
        <f>VLOOKUP($B447,dongia1,DG!$C$5,)&amp;" + ñaép ñaát"</f>
        <v>Rải cát đệm (độ chặt K=0,9) + ñaép ñaát</v>
      </c>
      <c r="F447" s="120" t="str">
        <f>VLOOKUP($B447,dongia1,DG!$D$5,)</f>
        <v>m3</v>
      </c>
      <c r="G447" s="74">
        <f>G439+G440+G441</f>
        <v>0</v>
      </c>
      <c r="H447" s="121"/>
      <c r="I447" s="179"/>
      <c r="J447" s="121">
        <f>VLOOKUP($B447,dongia1,DG!$G$5,)</f>
        <v>315277.5</v>
      </c>
      <c r="K447" s="121">
        <f>VLOOKUP($B447,dongia1,DG!$H$5,)</f>
        <v>0</v>
      </c>
      <c r="L447" s="39">
        <f t="shared" si="131"/>
        <v>0</v>
      </c>
      <c r="M447" s="62">
        <f t="shared" si="132"/>
        <v>0</v>
      </c>
      <c r="N447" s="39">
        <f t="shared" si="133"/>
        <v>0</v>
      </c>
      <c r="O447" s="39">
        <f t="shared" si="134"/>
        <v>0</v>
      </c>
      <c r="P447" s="161"/>
    </row>
    <row r="448" spans="1:16" s="34" customFormat="1">
      <c r="A448" s="29" t="str">
        <f t="shared" si="130"/>
        <v/>
      </c>
      <c r="B448" s="159" t="s">
        <v>291</v>
      </c>
      <c r="C448" s="119"/>
      <c r="D448" s="120" t="str">
        <f>VLOOKUP($B448,dongia1,DG!$B$5,)</f>
        <v>AB.11613</v>
      </c>
      <c r="E448" s="151" t="str">
        <f>VLOOKUP($B448,dongia1,DG!$C$5,)</f>
        <v>Đào mương cáp ngầm đất cấp 3 có mở ta luy</v>
      </c>
      <c r="F448" s="120" t="str">
        <f>VLOOKUP($B448,dongia1,DG!$D$5,)</f>
        <v>m3</v>
      </c>
      <c r="G448" s="74">
        <f>0.34*G437</f>
        <v>0</v>
      </c>
      <c r="H448" s="121"/>
      <c r="I448" s="179"/>
      <c r="J448" s="121">
        <f>VLOOKUP($B448,dongia1,DG!$G$5,)</f>
        <v>640731.36</v>
      </c>
      <c r="K448" s="121">
        <f>VLOOKUP($B448,dongia1,DG!$H$5,)</f>
        <v>0</v>
      </c>
      <c r="L448" s="39">
        <f t="shared" si="131"/>
        <v>0</v>
      </c>
      <c r="M448" s="62">
        <f t="shared" si="132"/>
        <v>0</v>
      </c>
      <c r="N448" s="39">
        <f t="shared" si="133"/>
        <v>0</v>
      </c>
      <c r="O448" s="39">
        <f t="shared" si="134"/>
        <v>0</v>
      </c>
      <c r="P448" s="161"/>
    </row>
    <row r="449" spans="1:16" s="34" customFormat="1" ht="27.6">
      <c r="A449" s="29" t="str">
        <f t="shared" si="130"/>
        <v/>
      </c>
      <c r="B449" s="159" t="s">
        <v>2065</v>
      </c>
      <c r="C449" s="119"/>
      <c r="D449" s="120" t="str">
        <f>VLOOKUP($B449,dongia1,DG!$B$5,)</f>
        <v>AF.11220</v>
      </c>
      <c r="E449" s="151" t="str">
        <f>VLOOKUP($B449,dongia1,DG!$C$5,)&amp;": 0,022m3/m"</f>
        <v>Đổ bê tông mác M150 đá 2x4 rộng &gt;250cm: 0,022m3/m</v>
      </c>
      <c r="F449" s="120" t="str">
        <f>VLOOKUP($B449,dongia1,DG!$D$5,)</f>
        <v>m3</v>
      </c>
      <c r="G449" s="74"/>
      <c r="H449" s="121"/>
      <c r="I449" s="160"/>
      <c r="J449" s="121">
        <f>VLOOKUP($B449,dongia1,DG!$G$5,)</f>
        <v>414064.45</v>
      </c>
      <c r="K449" s="121">
        <f>VLOOKUP($B449,dongia1,DG!$H$5,)</f>
        <v>0</v>
      </c>
      <c r="L449" s="39">
        <f t="shared" si="131"/>
        <v>0</v>
      </c>
      <c r="M449" s="39">
        <f t="shared" si="132"/>
        <v>0</v>
      </c>
      <c r="N449" s="39">
        <f t="shared" si="133"/>
        <v>0</v>
      </c>
      <c r="O449" s="39">
        <f t="shared" si="134"/>
        <v>0</v>
      </c>
      <c r="P449" s="161"/>
    </row>
    <row r="450" spans="1:16" s="61" customFormat="1">
      <c r="A450" s="137" t="str">
        <f t="shared" si="130"/>
        <v/>
      </c>
      <c r="B450" s="181"/>
      <c r="C450" s="166">
        <f>IF(G450&gt;0,C437+1,C437)</f>
        <v>1</v>
      </c>
      <c r="D450" s="167"/>
      <c r="E450" s="168" t="s">
        <v>3837</v>
      </c>
      <c r="F450" s="169" t="s">
        <v>2307</v>
      </c>
      <c r="G450" s="63"/>
      <c r="H450" s="170"/>
      <c r="I450" s="170"/>
      <c r="J450" s="172"/>
      <c r="K450" s="172"/>
      <c r="L450" s="64">
        <f t="shared" si="131"/>
        <v>0</v>
      </c>
      <c r="M450" s="64">
        <f t="shared" si="132"/>
        <v>0</v>
      </c>
      <c r="N450" s="64">
        <f t="shared" si="133"/>
        <v>0</v>
      </c>
      <c r="O450" s="64">
        <f t="shared" si="134"/>
        <v>0</v>
      </c>
      <c r="P450" s="173"/>
    </row>
    <row r="451" spans="1:16" s="34" customFormat="1" ht="14.4">
      <c r="A451" s="29" t="str">
        <f>A450</f>
        <v/>
      </c>
      <c r="B451" s="109"/>
      <c r="C451" s="215"/>
      <c r="D451" s="120"/>
      <c r="E451" s="196" t="s">
        <v>3378</v>
      </c>
      <c r="F451" s="146"/>
      <c r="G451" s="65"/>
      <c r="H451" s="147"/>
      <c r="I451" s="147"/>
      <c r="J451" s="149"/>
      <c r="K451" s="147"/>
      <c r="L451" s="58"/>
      <c r="M451" s="58"/>
      <c r="N451" s="58"/>
      <c r="O451" s="58"/>
      <c r="P451" s="150"/>
    </row>
    <row r="452" spans="1:16" s="34" customFormat="1">
      <c r="A452" s="29" t="str">
        <f t="shared" ref="A452:A464" si="135">IF(G452=0,"",1)</f>
        <v/>
      </c>
      <c r="B452" s="125" t="s">
        <v>1092</v>
      </c>
      <c r="C452" s="119"/>
      <c r="D452" s="120"/>
      <c r="E452" s="151" t="str">
        <f>VLOOKUP($B452,dongia1,DG!$C$5,)</f>
        <v>Cát san lắp</v>
      </c>
      <c r="F452" s="120" t="str">
        <f>VLOOKUP($B452,dongia1,DG!$D$5,)</f>
        <v>m3</v>
      </c>
      <c r="G452" s="74">
        <f>0.275*G450</f>
        <v>0</v>
      </c>
      <c r="H452" s="121">
        <f>VLOOKUP($B452,dongia1,DG!$F$5,)</f>
        <v>100000</v>
      </c>
      <c r="I452" s="160"/>
      <c r="J452" s="121">
        <f>VLOOKUP($B452,dongia1,DG!$G$5,)</f>
        <v>0</v>
      </c>
      <c r="K452" s="121">
        <f>VLOOKUP($B452,dongia1,DG!$H$5,)</f>
        <v>0</v>
      </c>
      <c r="L452" s="39">
        <f t="shared" ref="L452:L464" si="136">H452*$G452</f>
        <v>0</v>
      </c>
      <c r="M452" s="39">
        <f t="shared" ref="M452:M464" si="137">I452*$G452</f>
        <v>0</v>
      </c>
      <c r="N452" s="39">
        <f t="shared" ref="N452:N464" si="138">J452*$G452</f>
        <v>0</v>
      </c>
      <c r="O452" s="39">
        <f t="shared" ref="O452:O464" si="139">K452*$G452</f>
        <v>0</v>
      </c>
      <c r="P452" s="161"/>
    </row>
    <row r="453" spans="1:16" s="34" customFormat="1">
      <c r="A453" s="29" t="str">
        <f t="shared" si="135"/>
        <v/>
      </c>
      <c r="B453" s="159" t="s">
        <v>817</v>
      </c>
      <c r="C453" s="119"/>
      <c r="D453" s="120"/>
      <c r="E453" s="151" t="str">
        <f>VLOOKUP($B453,dongia1,DG!$C$5,)</f>
        <v>Đá 2x4</v>
      </c>
      <c r="F453" s="120" t="str">
        <f>VLOOKUP($B453,dongia1,DG!$D$5,)</f>
        <v>m3</v>
      </c>
      <c r="G453" s="74"/>
      <c r="H453" s="121">
        <f>VLOOKUP($B453,dongia1,DG!$F$5,)</f>
        <v>295000</v>
      </c>
      <c r="I453" s="160"/>
      <c r="J453" s="121">
        <f>VLOOKUP($B453,dongia1,DG!$G$5,)</f>
        <v>0</v>
      </c>
      <c r="K453" s="121">
        <f>VLOOKUP($B453,dongia1,DG!$H$5,)</f>
        <v>0</v>
      </c>
      <c r="L453" s="39">
        <f t="shared" si="136"/>
        <v>0</v>
      </c>
      <c r="M453" s="39">
        <f t="shared" si="137"/>
        <v>0</v>
      </c>
      <c r="N453" s="39">
        <f t="shared" si="138"/>
        <v>0</v>
      </c>
      <c r="O453" s="39">
        <f t="shared" si="139"/>
        <v>0</v>
      </c>
      <c r="P453" s="161"/>
    </row>
    <row r="454" spans="1:16" s="34" customFormat="1">
      <c r="A454" s="29" t="str">
        <f>IF(G454=0,"",1)</f>
        <v/>
      </c>
      <c r="B454" s="159" t="s">
        <v>1731</v>
      </c>
      <c r="C454" s="119"/>
      <c r="D454" s="120"/>
      <c r="E454" s="151" t="str">
        <f>VLOOKUP($B454,dongia1,DG!$C$5,)</f>
        <v>Đá 4x6</v>
      </c>
      <c r="F454" s="120" t="str">
        <f>VLOOKUP($B454,dongia1,DG!$D$5,)</f>
        <v>m3</v>
      </c>
      <c r="G454" s="74"/>
      <c r="H454" s="121">
        <f>VLOOKUP($B454,dongia1,DG!$F$5,)</f>
        <v>265000</v>
      </c>
      <c r="I454" s="160"/>
      <c r="J454" s="121">
        <f>VLOOKUP($B454,dongia1,DG!$G$5,)</f>
        <v>0</v>
      </c>
      <c r="K454" s="121">
        <f>VLOOKUP($B454,dongia1,DG!$H$5,)</f>
        <v>0</v>
      </c>
      <c r="L454" s="39">
        <f>H454*$G454</f>
        <v>0</v>
      </c>
      <c r="M454" s="39">
        <f>I454*$G454</f>
        <v>0</v>
      </c>
      <c r="N454" s="39">
        <f>J454*$G454</f>
        <v>0</v>
      </c>
      <c r="O454" s="39">
        <f>K454*$G454</f>
        <v>0</v>
      </c>
      <c r="P454" s="161"/>
    </row>
    <row r="455" spans="1:16" s="34" customFormat="1">
      <c r="A455" s="29" t="str">
        <f t="shared" si="135"/>
        <v/>
      </c>
      <c r="B455" s="159" t="s">
        <v>1875</v>
      </c>
      <c r="C455" s="119"/>
      <c r="D455" s="120"/>
      <c r="E455" s="151" t="str">
        <f>VLOOKUP($B455,dongia1,DG!$C$5,)</f>
        <v>Bêtông nhựa nóng hạt thô</v>
      </c>
      <c r="F455" s="120" t="str">
        <f>VLOOKUP($B455,dongia1,DG!$D$5,)</f>
        <v>m3</v>
      </c>
      <c r="G455" s="74"/>
      <c r="H455" s="121">
        <f>VLOOKUP($B455,dongia1,DG!$F$5,)</f>
        <v>732002</v>
      </c>
      <c r="I455" s="160"/>
      <c r="J455" s="121">
        <f>VLOOKUP($B455,dongia1,DG!$G$5,)</f>
        <v>0</v>
      </c>
      <c r="K455" s="121">
        <f>VLOOKUP($B455,dongia1,DG!$H$5,)</f>
        <v>0</v>
      </c>
      <c r="L455" s="39">
        <f t="shared" si="136"/>
        <v>0</v>
      </c>
      <c r="M455" s="39">
        <f t="shared" si="137"/>
        <v>0</v>
      </c>
      <c r="N455" s="39">
        <f t="shared" si="138"/>
        <v>0</v>
      </c>
      <c r="O455" s="39">
        <f t="shared" si="139"/>
        <v>0</v>
      </c>
      <c r="P455" s="161"/>
    </row>
    <row r="456" spans="1:16" s="34" customFormat="1">
      <c r="A456" s="29" t="str">
        <f t="shared" si="135"/>
        <v/>
      </c>
      <c r="B456" s="159" t="s">
        <v>1495</v>
      </c>
      <c r="C456" s="119"/>
      <c r="D456" s="120"/>
      <c r="E456" s="151" t="str">
        <f>VLOOKUP($B456,dongia1,DG!$C$5,)</f>
        <v>Gạch tàu</v>
      </c>
      <c r="F456" s="120" t="str">
        <f>VLOOKUP($B456,dongia1,DG!$D$5,)</f>
        <v>viên</v>
      </c>
      <c r="G456" s="74">
        <f>3.3*G450</f>
        <v>0</v>
      </c>
      <c r="H456" s="121">
        <f>VLOOKUP($B456,dongia1,DG!$F$5,)</f>
        <v>7000</v>
      </c>
      <c r="I456" s="160"/>
      <c r="J456" s="121">
        <f>VLOOKUP($B456,dongia1,DG!$G$5,)</f>
        <v>0</v>
      </c>
      <c r="K456" s="121">
        <f>VLOOKUP($B456,dongia1,DG!$H$5,)</f>
        <v>0</v>
      </c>
      <c r="L456" s="39">
        <f t="shared" si="136"/>
        <v>0</v>
      </c>
      <c r="M456" s="39">
        <f t="shared" si="137"/>
        <v>0</v>
      </c>
      <c r="N456" s="39">
        <f t="shared" si="138"/>
        <v>0</v>
      </c>
      <c r="O456" s="39">
        <f t="shared" si="139"/>
        <v>0</v>
      </c>
      <c r="P456" s="161"/>
    </row>
    <row r="457" spans="1:16" s="34" customFormat="1">
      <c r="A457" s="29" t="str">
        <f t="shared" si="135"/>
        <v/>
      </c>
      <c r="B457" s="159" t="s">
        <v>1496</v>
      </c>
      <c r="C457" s="119"/>
      <c r="D457" s="120"/>
      <c r="E457" s="151" t="str">
        <f>VLOOKUP($B457,dongia1,DG!$C$5,)</f>
        <v>Tấm nilông màu cảnh báo</v>
      </c>
      <c r="F457" s="120" t="str">
        <f>VLOOKUP($B457,dongia1,DG!$D$5,)</f>
        <v>m2</v>
      </c>
      <c r="G457" s="74">
        <f>0.3*G450</f>
        <v>0</v>
      </c>
      <c r="H457" s="121">
        <f>VLOOKUP($B457,dongia1,DG!$F$5,)</f>
        <v>10000</v>
      </c>
      <c r="I457" s="160"/>
      <c r="J457" s="121">
        <f>VLOOKUP($B457,dongia1,DG!$G$5,)</f>
        <v>1187.155</v>
      </c>
      <c r="K457" s="121">
        <f>VLOOKUP($B457,dongia1,DG!$H$5,)</f>
        <v>0</v>
      </c>
      <c r="L457" s="39">
        <f t="shared" si="136"/>
        <v>0</v>
      </c>
      <c r="M457" s="39">
        <f t="shared" si="137"/>
        <v>0</v>
      </c>
      <c r="N457" s="39">
        <f t="shared" si="138"/>
        <v>0</v>
      </c>
      <c r="O457" s="39">
        <f t="shared" si="139"/>
        <v>0</v>
      </c>
      <c r="P457" s="161"/>
    </row>
    <row r="458" spans="1:16" s="34" customFormat="1">
      <c r="A458" s="29" t="str">
        <f t="shared" si="135"/>
        <v/>
      </c>
      <c r="B458" s="159" t="s">
        <v>961</v>
      </c>
      <c r="C458" s="119"/>
      <c r="D458" s="120">
        <f>VLOOKUP($B458,dongia1,DG!$B$5,)</f>
        <v>0</v>
      </c>
      <c r="E458" s="151" t="str">
        <f>VLOOKUP($B458,dongia1,DG!$C$5,)</f>
        <v xml:space="preserve">Ống PVC D114x4,9mm </v>
      </c>
      <c r="F458" s="120" t="str">
        <f>VLOOKUP($B458,dongia1,DG!$D$5,)</f>
        <v>m</v>
      </c>
      <c r="G458" s="74">
        <f>1*G450</f>
        <v>0</v>
      </c>
      <c r="H458" s="121">
        <f>VLOOKUP($B458,dongia1,DG!$F$5,)</f>
        <v>103700</v>
      </c>
      <c r="I458" s="160"/>
      <c r="J458" s="121">
        <f>VLOOKUP($B458,dongia1,DG!$G$5,)</f>
        <v>0</v>
      </c>
      <c r="K458" s="121">
        <f>VLOOKUP($B458,dongia1,DG!$H$5,)</f>
        <v>0</v>
      </c>
      <c r="L458" s="39">
        <f t="shared" si="136"/>
        <v>0</v>
      </c>
      <c r="M458" s="39">
        <f t="shared" si="137"/>
        <v>0</v>
      </c>
      <c r="N458" s="39">
        <f t="shared" si="138"/>
        <v>0</v>
      </c>
      <c r="O458" s="39">
        <f t="shared" si="139"/>
        <v>0</v>
      </c>
      <c r="P458" s="161"/>
    </row>
    <row r="459" spans="1:16" s="34" customFormat="1">
      <c r="A459" s="29" t="str">
        <f t="shared" si="135"/>
        <v/>
      </c>
      <c r="B459" s="159" t="s">
        <v>101</v>
      </c>
      <c r="C459" s="119"/>
      <c r="D459" s="120" t="str">
        <f>VLOOKUP($B459,dongia1,DG!$B$5,)</f>
        <v>D4.1104</v>
      </c>
      <c r="E459" s="151" t="str">
        <f>VLOOKUP($B459,dongia1,DG!$C$5,)</f>
        <v>Lắp gạch làm dấu</v>
      </c>
      <c r="F459" s="120" t="str">
        <f>VLOOKUP($B459,dongia1,DG!$D$5,)</f>
        <v>viên</v>
      </c>
      <c r="G459" s="74">
        <f>G456</f>
        <v>0</v>
      </c>
      <c r="H459" s="121">
        <f>VLOOKUP($B459,dongia1,DG!$F$5,)</f>
        <v>0</v>
      </c>
      <c r="I459" s="179"/>
      <c r="J459" s="121">
        <f>VLOOKUP($B459,dongia1,DG!$G$5,)</f>
        <v>916.64</v>
      </c>
      <c r="K459" s="121">
        <f>VLOOKUP($B459,dongia1,DG!$H$5,)</f>
        <v>0</v>
      </c>
      <c r="L459" s="39">
        <f t="shared" si="136"/>
        <v>0</v>
      </c>
      <c r="M459" s="62">
        <f t="shared" si="137"/>
        <v>0</v>
      </c>
      <c r="N459" s="39">
        <f t="shared" si="138"/>
        <v>0</v>
      </c>
      <c r="O459" s="39">
        <f t="shared" si="139"/>
        <v>0</v>
      </c>
      <c r="P459" s="161"/>
    </row>
    <row r="460" spans="1:16" s="34" customFormat="1">
      <c r="A460" s="29" t="str">
        <f>IF(G460=0,"",1)</f>
        <v/>
      </c>
      <c r="B460" s="159" t="s">
        <v>569</v>
      </c>
      <c r="C460" s="119"/>
      <c r="D460" s="120" t="str">
        <f>VLOOKUP($B460,dongia1,DG!$B$5,)</f>
        <v>AA.21431</v>
      </c>
      <c r="E460" s="151" t="str">
        <f>VLOOKUP($B460,dongia1,DG!$C$5,)</f>
        <v>Pha mặt đường đá dăm, nhựa, bê tông</v>
      </c>
      <c r="F460" s="120" t="str">
        <f>VLOOKUP($B460,dongia1,DG!$D$5,)</f>
        <v>m3</v>
      </c>
      <c r="G460" s="74"/>
      <c r="H460" s="121"/>
      <c r="I460" s="160"/>
      <c r="J460" s="121">
        <f>VLOOKUP($B460,dongia1,DG!$G$5,)</f>
        <v>0</v>
      </c>
      <c r="K460" s="121">
        <f>VLOOKUP($B460,dongia1,DG!$H$5,)</f>
        <v>0</v>
      </c>
      <c r="L460" s="39">
        <f>H460*$G460</f>
        <v>0</v>
      </c>
      <c r="M460" s="39">
        <f>I460*$G460</f>
        <v>0</v>
      </c>
      <c r="N460" s="39">
        <f>J460*$G460</f>
        <v>0</v>
      </c>
      <c r="O460" s="39">
        <f>K460*$G460</f>
        <v>0</v>
      </c>
      <c r="P460" s="161"/>
    </row>
    <row r="461" spans="1:16" s="34" customFormat="1">
      <c r="A461" s="29" t="str">
        <f t="shared" si="135"/>
        <v/>
      </c>
      <c r="B461" s="159" t="s">
        <v>1498</v>
      </c>
      <c r="C461" s="119"/>
      <c r="D461" s="120" t="str">
        <f>VLOOKUP($B461,dongia1,DG!$B$5,)</f>
        <v>AB.66112</v>
      </c>
      <c r="E461" s="151" t="str">
        <f>VLOOKUP($B461,dongia1,DG!$C$5,)&amp;" + ñaép ñaát"</f>
        <v>Rải cát đệm (độ chặt K=0,9) + ñaép ñaát</v>
      </c>
      <c r="F461" s="120" t="str">
        <f>VLOOKUP($B461,dongia1,DG!$D$5,)</f>
        <v>m3</v>
      </c>
      <c r="G461" s="74">
        <f>G452+G453+G454</f>
        <v>0</v>
      </c>
      <c r="H461" s="121"/>
      <c r="I461" s="160"/>
      <c r="J461" s="121">
        <f>VLOOKUP($B461,dongia1,DG!$G$5,)</f>
        <v>315277.5</v>
      </c>
      <c r="K461" s="121">
        <f>VLOOKUP($B461,dongia1,DG!$H$5,)</f>
        <v>0</v>
      </c>
      <c r="L461" s="39">
        <f t="shared" si="136"/>
        <v>0</v>
      </c>
      <c r="M461" s="39">
        <f t="shared" si="137"/>
        <v>0</v>
      </c>
      <c r="N461" s="39">
        <f t="shared" si="138"/>
        <v>0</v>
      </c>
      <c r="O461" s="39">
        <f t="shared" si="139"/>
        <v>0</v>
      </c>
      <c r="P461" s="161"/>
    </row>
    <row r="462" spans="1:16" s="34" customFormat="1">
      <c r="A462" s="29" t="str">
        <f t="shared" si="135"/>
        <v/>
      </c>
      <c r="B462" s="159" t="s">
        <v>291</v>
      </c>
      <c r="C462" s="119"/>
      <c r="D462" s="120" t="str">
        <f>VLOOKUP($B462,dongia1,DG!$B$5,)</f>
        <v>AB.11613</v>
      </c>
      <c r="E462" s="151" t="str">
        <f>VLOOKUP($B462,dongia1,DG!$C$5,)</f>
        <v>Đào mương cáp ngầm đất cấp 3 có mở ta luy</v>
      </c>
      <c r="F462" s="120" t="str">
        <f>VLOOKUP($B462,dongia1,DG!$D$5,)</f>
        <v>m3</v>
      </c>
      <c r="G462" s="74">
        <f>0.496*G450</f>
        <v>0</v>
      </c>
      <c r="H462" s="121"/>
      <c r="I462" s="160"/>
      <c r="J462" s="121">
        <f>VLOOKUP($B462,dongia1,DG!$G$5,)</f>
        <v>640731.36</v>
      </c>
      <c r="K462" s="121">
        <f>VLOOKUP($B462,dongia1,DG!$H$5,)</f>
        <v>0</v>
      </c>
      <c r="L462" s="39">
        <f t="shared" si="136"/>
        <v>0</v>
      </c>
      <c r="M462" s="39">
        <f t="shared" si="137"/>
        <v>0</v>
      </c>
      <c r="N462" s="39">
        <f t="shared" si="138"/>
        <v>0</v>
      </c>
      <c r="O462" s="39">
        <f t="shared" si="139"/>
        <v>0</v>
      </c>
      <c r="P462" s="161"/>
    </row>
    <row r="463" spans="1:16" s="34" customFormat="1">
      <c r="A463" s="29" t="str">
        <f t="shared" si="135"/>
        <v/>
      </c>
      <c r="B463" s="159" t="s">
        <v>568</v>
      </c>
      <c r="C463" s="119"/>
      <c r="D463" s="120" t="str">
        <f>VLOOKUP($B463,dongia1,DG!$B$5,)</f>
        <v>ED.2005</v>
      </c>
      <c r="E463" s="151" t="str">
        <f>VLOOKUP($B463,dongia1,DG!$C$5,)</f>
        <v>Tái lập bêtông nhựa nóng hạt thô 7mm</v>
      </c>
      <c r="F463" s="120" t="str">
        <f>VLOOKUP($B463,dongia1,DG!$D$5,)</f>
        <v>m2</v>
      </c>
      <c r="G463" s="74"/>
      <c r="H463" s="121"/>
      <c r="I463" s="160"/>
      <c r="J463" s="121">
        <f>VLOOKUP($B463,dongia1,DG!$G$5,)</f>
        <v>338</v>
      </c>
      <c r="K463" s="121">
        <f>VLOOKUP($B463,dongia1,DG!$H$5,)</f>
        <v>1269</v>
      </c>
      <c r="L463" s="39">
        <f t="shared" si="136"/>
        <v>0</v>
      </c>
      <c r="M463" s="39">
        <f t="shared" si="137"/>
        <v>0</v>
      </c>
      <c r="N463" s="39">
        <f t="shared" si="138"/>
        <v>0</v>
      </c>
      <c r="O463" s="39">
        <f t="shared" si="139"/>
        <v>0</v>
      </c>
      <c r="P463" s="161"/>
    </row>
    <row r="464" spans="1:16" s="61" customFormat="1">
      <c r="A464" s="137" t="str">
        <f t="shared" si="135"/>
        <v/>
      </c>
      <c r="B464" s="181"/>
      <c r="C464" s="166">
        <f>IF(G464&gt;0,C450+1,C450)</f>
        <v>1</v>
      </c>
      <c r="D464" s="167"/>
      <c r="E464" s="168" t="s">
        <v>3838</v>
      </c>
      <c r="F464" s="169" t="s">
        <v>3819</v>
      </c>
      <c r="G464" s="63"/>
      <c r="H464" s="170"/>
      <c r="I464" s="170"/>
      <c r="J464" s="172"/>
      <c r="K464" s="172"/>
      <c r="L464" s="64">
        <f t="shared" si="136"/>
        <v>0</v>
      </c>
      <c r="M464" s="64">
        <f t="shared" si="137"/>
        <v>0</v>
      </c>
      <c r="N464" s="64">
        <f t="shared" si="138"/>
        <v>0</v>
      </c>
      <c r="O464" s="64">
        <f t="shared" si="139"/>
        <v>0</v>
      </c>
      <c r="P464" s="173"/>
    </row>
    <row r="465" spans="1:16" s="34" customFormat="1" ht="14.4">
      <c r="A465" s="29" t="str">
        <f>A464</f>
        <v/>
      </c>
      <c r="B465" s="109"/>
      <c r="C465" s="215"/>
      <c r="D465" s="120"/>
      <c r="E465" s="196" t="s">
        <v>3378</v>
      </c>
      <c r="F465" s="146"/>
      <c r="G465" s="65"/>
      <c r="H465" s="147"/>
      <c r="I465" s="147"/>
      <c r="J465" s="149"/>
      <c r="K465" s="147"/>
      <c r="L465" s="58"/>
      <c r="M465" s="58"/>
      <c r="N465" s="58"/>
      <c r="O465" s="58"/>
      <c r="P465" s="150"/>
    </row>
    <row r="466" spans="1:16" s="34" customFormat="1">
      <c r="A466" s="29" t="str">
        <f t="shared" ref="A466:A490" si="140">IF(G466=0,"",1)</f>
        <v/>
      </c>
      <c r="B466" s="159" t="s">
        <v>1092</v>
      </c>
      <c r="C466" s="119"/>
      <c r="D466" s="120"/>
      <c r="E466" s="151" t="str">
        <f>VLOOKUP($B466,dongia1,DG!$C$5,)</f>
        <v>Cát san lắp</v>
      </c>
      <c r="F466" s="120" t="str">
        <f>VLOOKUP($B466,dongia1,DG!$D$5,)</f>
        <v>m3</v>
      </c>
      <c r="G466" s="74">
        <f>0.325*G464</f>
        <v>0</v>
      </c>
      <c r="H466" s="121">
        <f>VLOOKUP($B466,dongia1,DG!$F$5,)</f>
        <v>100000</v>
      </c>
      <c r="I466" s="160"/>
      <c r="J466" s="121">
        <f>VLOOKUP($B466,dongia1,DG!$G$5,)</f>
        <v>0</v>
      </c>
      <c r="K466" s="121">
        <f>VLOOKUP($B466,dongia1,DG!$H$5,)</f>
        <v>0</v>
      </c>
      <c r="L466" s="39">
        <f t="shared" ref="L466:L490" si="141">H466*$G466</f>
        <v>0</v>
      </c>
      <c r="M466" s="39">
        <f t="shared" ref="M466:M490" si="142">I466*$G466</f>
        <v>0</v>
      </c>
      <c r="N466" s="39">
        <f t="shared" ref="N466:N490" si="143">J466*$G466</f>
        <v>0</v>
      </c>
      <c r="O466" s="39">
        <f t="shared" ref="O466:O490" si="144">K466*$G466</f>
        <v>0</v>
      </c>
      <c r="P466" s="161"/>
    </row>
    <row r="467" spans="1:16" s="34" customFormat="1">
      <c r="A467" s="29" t="str">
        <f t="shared" si="140"/>
        <v/>
      </c>
      <c r="B467" s="159" t="s">
        <v>853</v>
      </c>
      <c r="C467" s="119"/>
      <c r="D467" s="120"/>
      <c r="E467" s="151" t="str">
        <f>VLOOKUP($B467,dongia1,DG!$C$5,)</f>
        <v>Đá 1x2</v>
      </c>
      <c r="F467" s="120" t="str">
        <f>VLOOKUP($B467,dongia1,DG!$D$5,)</f>
        <v>m3</v>
      </c>
      <c r="G467" s="74"/>
      <c r="H467" s="121">
        <f>VLOOKUP($B467,dongia1,DG!$F$5,)</f>
        <v>335000</v>
      </c>
      <c r="I467" s="160"/>
      <c r="J467" s="121">
        <f>VLOOKUP($B467,dongia1,DG!$G$5,)</f>
        <v>0</v>
      </c>
      <c r="K467" s="121">
        <f>VLOOKUP($B467,dongia1,DG!$H$5,)</f>
        <v>0</v>
      </c>
      <c r="L467" s="39">
        <f t="shared" si="141"/>
        <v>0</v>
      </c>
      <c r="M467" s="39">
        <f t="shared" si="142"/>
        <v>0</v>
      </c>
      <c r="N467" s="39">
        <f t="shared" si="143"/>
        <v>0</v>
      </c>
      <c r="O467" s="39">
        <f t="shared" si="144"/>
        <v>0</v>
      </c>
      <c r="P467" s="161"/>
    </row>
    <row r="468" spans="1:16" s="34" customFormat="1">
      <c r="A468" s="29" t="str">
        <f t="shared" si="140"/>
        <v/>
      </c>
      <c r="B468" s="159" t="s">
        <v>817</v>
      </c>
      <c r="C468" s="119"/>
      <c r="D468" s="120"/>
      <c r="E468" s="151" t="str">
        <f>VLOOKUP($B468,dongia1,DG!$C$5,)</f>
        <v>Đá 2x4</v>
      </c>
      <c r="F468" s="120" t="str">
        <f>VLOOKUP($B468,dongia1,DG!$D$5,)</f>
        <v>m3</v>
      </c>
      <c r="G468" s="74"/>
      <c r="H468" s="121">
        <f>VLOOKUP($B468,dongia1,DG!$F$5,)</f>
        <v>295000</v>
      </c>
      <c r="I468" s="160"/>
      <c r="J468" s="121">
        <f>VLOOKUP($B468,dongia1,DG!$G$5,)</f>
        <v>0</v>
      </c>
      <c r="K468" s="121">
        <f>VLOOKUP($B468,dongia1,DG!$H$5,)</f>
        <v>0</v>
      </c>
      <c r="L468" s="39">
        <f t="shared" si="141"/>
        <v>0</v>
      </c>
      <c r="M468" s="39">
        <f t="shared" si="142"/>
        <v>0</v>
      </c>
      <c r="N468" s="39">
        <f t="shared" si="143"/>
        <v>0</v>
      </c>
      <c r="O468" s="39">
        <f t="shared" si="144"/>
        <v>0</v>
      </c>
      <c r="P468" s="161"/>
    </row>
    <row r="469" spans="1:16" s="34" customFormat="1">
      <c r="A469" s="29" t="str">
        <f t="shared" si="140"/>
        <v/>
      </c>
      <c r="B469" s="159" t="s">
        <v>1728</v>
      </c>
      <c r="C469" s="119"/>
      <c r="D469" s="120"/>
      <c r="E469" s="151" t="str">
        <f>VLOOKUP($B469,dongia1,DG!$C$5,)</f>
        <v>Ximăng</v>
      </c>
      <c r="F469" s="120" t="str">
        <f>VLOOKUP($B469,dongia1,DG!$D$5,)</f>
        <v>kg</v>
      </c>
      <c r="G469" s="74"/>
      <c r="H469" s="121">
        <f>VLOOKUP($B469,dongia1,DG!$F$5,)</f>
        <v>1740</v>
      </c>
      <c r="I469" s="160"/>
      <c r="J469" s="121">
        <f>VLOOKUP($B469,dongia1,DG!$G$5,)</f>
        <v>0</v>
      </c>
      <c r="K469" s="121">
        <f>VLOOKUP($B469,dongia1,DG!$H$5,)</f>
        <v>0</v>
      </c>
      <c r="L469" s="39">
        <f t="shared" si="141"/>
        <v>0</v>
      </c>
      <c r="M469" s="39">
        <f t="shared" si="142"/>
        <v>0</v>
      </c>
      <c r="N469" s="39">
        <f t="shared" si="143"/>
        <v>0</v>
      </c>
      <c r="O469" s="39">
        <f t="shared" si="144"/>
        <v>0</v>
      </c>
      <c r="P469" s="161"/>
    </row>
    <row r="470" spans="1:16" s="34" customFormat="1">
      <c r="A470" s="29" t="str">
        <f t="shared" si="140"/>
        <v/>
      </c>
      <c r="B470" s="159" t="s">
        <v>1495</v>
      </c>
      <c r="C470" s="119"/>
      <c r="D470" s="120"/>
      <c r="E470" s="151" t="str">
        <f>VLOOKUP($B470,dongia1,DG!$C$5,)</f>
        <v>Gạch tàu</v>
      </c>
      <c r="F470" s="120" t="str">
        <f>VLOOKUP($B470,dongia1,DG!$D$5,)</f>
        <v>viên</v>
      </c>
      <c r="G470" s="74">
        <f>6.6*G464</f>
        <v>0</v>
      </c>
      <c r="H470" s="121">
        <f>VLOOKUP($B470,dongia1,DG!$F$5,)</f>
        <v>7000</v>
      </c>
      <c r="I470" s="160"/>
      <c r="J470" s="121">
        <f>VLOOKUP($B470,dongia1,DG!$G$5,)</f>
        <v>0</v>
      </c>
      <c r="K470" s="121">
        <f>VLOOKUP($B470,dongia1,DG!$H$5,)</f>
        <v>0</v>
      </c>
      <c r="L470" s="39">
        <f t="shared" si="141"/>
        <v>0</v>
      </c>
      <c r="M470" s="39">
        <f t="shared" si="142"/>
        <v>0</v>
      </c>
      <c r="N470" s="39">
        <f t="shared" si="143"/>
        <v>0</v>
      </c>
      <c r="O470" s="39">
        <f t="shared" si="144"/>
        <v>0</v>
      </c>
      <c r="P470" s="161"/>
    </row>
    <row r="471" spans="1:16" s="34" customFormat="1">
      <c r="A471" s="29" t="str">
        <f t="shared" si="140"/>
        <v/>
      </c>
      <c r="B471" s="159" t="s">
        <v>1496</v>
      </c>
      <c r="C471" s="119"/>
      <c r="D471" s="120"/>
      <c r="E471" s="151" t="str">
        <f>VLOOKUP($B471,dongia1,DG!$C$5,)</f>
        <v>Tấm nilông màu cảnh báo</v>
      </c>
      <c r="F471" s="120" t="str">
        <f>VLOOKUP($B471,dongia1,DG!$D$5,)</f>
        <v>m2</v>
      </c>
      <c r="G471" s="74">
        <f>G464*0.6</f>
        <v>0</v>
      </c>
      <c r="H471" s="121">
        <f>VLOOKUP($B471,dongia1,DG!$F$5,)</f>
        <v>10000</v>
      </c>
      <c r="I471" s="160"/>
      <c r="J471" s="121">
        <f>VLOOKUP($B471,dongia1,DG!$G$5,)</f>
        <v>1187.155</v>
      </c>
      <c r="K471" s="121">
        <f>VLOOKUP($B471,dongia1,DG!$H$5,)</f>
        <v>0</v>
      </c>
      <c r="L471" s="39">
        <f t="shared" si="141"/>
        <v>0</v>
      </c>
      <c r="M471" s="39">
        <f t="shared" si="142"/>
        <v>0</v>
      </c>
      <c r="N471" s="39">
        <f t="shared" si="143"/>
        <v>0</v>
      </c>
      <c r="O471" s="39">
        <f t="shared" si="144"/>
        <v>0</v>
      </c>
      <c r="P471" s="161"/>
    </row>
    <row r="472" spans="1:16" s="34" customFormat="1">
      <c r="A472" s="29" t="str">
        <f t="shared" si="140"/>
        <v/>
      </c>
      <c r="B472" s="159" t="s">
        <v>961</v>
      </c>
      <c r="C472" s="119"/>
      <c r="D472" s="120">
        <f>VLOOKUP($B472,dongia1,DG!$B$5,)</f>
        <v>0</v>
      </c>
      <c r="E472" s="151" t="str">
        <f>VLOOKUP($B472,dongia1,DG!$C$5,)</f>
        <v xml:space="preserve">Ống PVC D114x4,9mm </v>
      </c>
      <c r="F472" s="120" t="str">
        <f>VLOOKUP($B472,dongia1,DG!$D$5,)</f>
        <v>m</v>
      </c>
      <c r="G472" s="74">
        <f>2*G464</f>
        <v>0</v>
      </c>
      <c r="H472" s="121">
        <f>VLOOKUP($B472,dongia1,DG!$F$5,)</f>
        <v>103700</v>
      </c>
      <c r="I472" s="160"/>
      <c r="J472" s="121">
        <f>VLOOKUP($B472,dongia1,DG!$G$5,)</f>
        <v>0</v>
      </c>
      <c r="K472" s="121">
        <f>VLOOKUP($B472,dongia1,DG!$H$5,)</f>
        <v>0</v>
      </c>
      <c r="L472" s="39">
        <f t="shared" si="141"/>
        <v>0</v>
      </c>
      <c r="M472" s="39">
        <f t="shared" si="142"/>
        <v>0</v>
      </c>
      <c r="N472" s="39">
        <f t="shared" si="143"/>
        <v>0</v>
      </c>
      <c r="O472" s="39">
        <f t="shared" si="144"/>
        <v>0</v>
      </c>
      <c r="P472" s="161"/>
    </row>
    <row r="473" spans="1:16" s="34" customFormat="1">
      <c r="A473" s="29" t="str">
        <f t="shared" si="140"/>
        <v/>
      </c>
      <c r="B473" s="159" t="s">
        <v>101</v>
      </c>
      <c r="C473" s="119"/>
      <c r="D473" s="120" t="str">
        <f>VLOOKUP($B473,dongia1,DG!$B$5,)</f>
        <v>D4.1104</v>
      </c>
      <c r="E473" s="151" t="str">
        <f>VLOOKUP($B473,dongia1,DG!$C$5,)</f>
        <v>Lắp gạch làm dấu</v>
      </c>
      <c r="F473" s="120" t="str">
        <f>VLOOKUP($B473,dongia1,DG!$D$5,)</f>
        <v>viên</v>
      </c>
      <c r="G473" s="74">
        <f>G470</f>
        <v>0</v>
      </c>
      <c r="H473" s="121">
        <f>VLOOKUP($B473,dongia1,DG!$F$5,)</f>
        <v>0</v>
      </c>
      <c r="I473" s="179"/>
      <c r="J473" s="121">
        <f>VLOOKUP($B473,dongia1,DG!$G$5,)</f>
        <v>916.64</v>
      </c>
      <c r="K473" s="121">
        <f>VLOOKUP($B473,dongia1,DG!$H$5,)</f>
        <v>0</v>
      </c>
      <c r="L473" s="39">
        <f t="shared" si="141"/>
        <v>0</v>
      </c>
      <c r="M473" s="62">
        <f t="shared" si="142"/>
        <v>0</v>
      </c>
      <c r="N473" s="39">
        <f t="shared" si="143"/>
        <v>0</v>
      </c>
      <c r="O473" s="39">
        <f t="shared" si="144"/>
        <v>0</v>
      </c>
      <c r="P473" s="161"/>
    </row>
    <row r="474" spans="1:16" s="34" customFormat="1">
      <c r="A474" s="29" t="str">
        <f t="shared" si="140"/>
        <v/>
      </c>
      <c r="B474" s="159" t="s">
        <v>1498</v>
      </c>
      <c r="C474" s="119"/>
      <c r="D474" s="120" t="str">
        <f>VLOOKUP($B474,dongia1,DG!$B$5,)</f>
        <v>AB.66112</v>
      </c>
      <c r="E474" s="151" t="str">
        <f>VLOOKUP($B474,dongia1,DG!$C$5,)&amp;" + ñaép ñaát"</f>
        <v>Rải cát đệm (độ chặt K=0,9) + ñaép ñaát</v>
      </c>
      <c r="F474" s="120" t="str">
        <f>VLOOKUP($B474,dongia1,DG!$D$5,)</f>
        <v>m3</v>
      </c>
      <c r="G474" s="74">
        <f>+G466+G467+G468</f>
        <v>0</v>
      </c>
      <c r="H474" s="121"/>
      <c r="I474" s="160"/>
      <c r="J474" s="121">
        <f>VLOOKUP($B474,dongia1,DG!$G$5,)</f>
        <v>315277.5</v>
      </c>
      <c r="K474" s="121">
        <f>VLOOKUP($B474,dongia1,DG!$H$5,)</f>
        <v>0</v>
      </c>
      <c r="L474" s="39">
        <f t="shared" si="141"/>
        <v>0</v>
      </c>
      <c r="M474" s="39">
        <f t="shared" si="142"/>
        <v>0</v>
      </c>
      <c r="N474" s="39">
        <f t="shared" si="143"/>
        <v>0</v>
      </c>
      <c r="O474" s="39">
        <f t="shared" si="144"/>
        <v>0</v>
      </c>
      <c r="P474" s="161"/>
    </row>
    <row r="475" spans="1:16" s="34" customFormat="1">
      <c r="A475" s="29" t="str">
        <f t="shared" si="140"/>
        <v/>
      </c>
      <c r="B475" s="159" t="s">
        <v>291</v>
      </c>
      <c r="C475" s="119"/>
      <c r="D475" s="120" t="str">
        <f>VLOOKUP($B475,dongia1,DG!$B$5,)</f>
        <v>AB.11613</v>
      </c>
      <c r="E475" s="151" t="str">
        <f>VLOOKUP($B475,dongia1,DG!$C$5,)</f>
        <v>Đào mương cáp ngầm đất cấp 3 có mở ta luy</v>
      </c>
      <c r="F475" s="120" t="str">
        <f>VLOOKUP($B475,dongia1,DG!$D$5,)</f>
        <v>m3</v>
      </c>
      <c r="G475" s="74">
        <f>G464*0.442</f>
        <v>0</v>
      </c>
      <c r="H475" s="121"/>
      <c r="I475" s="160"/>
      <c r="J475" s="121">
        <f>VLOOKUP($B475,dongia1,DG!$G$5,)</f>
        <v>640731.36</v>
      </c>
      <c r="K475" s="121">
        <f>VLOOKUP($B475,dongia1,DG!$H$5,)</f>
        <v>0</v>
      </c>
      <c r="L475" s="39">
        <f t="shared" si="141"/>
        <v>0</v>
      </c>
      <c r="M475" s="39">
        <f t="shared" si="142"/>
        <v>0</v>
      </c>
      <c r="N475" s="39">
        <f t="shared" si="143"/>
        <v>0</v>
      </c>
      <c r="O475" s="39">
        <f t="shared" si="144"/>
        <v>0</v>
      </c>
      <c r="P475" s="161"/>
    </row>
    <row r="476" spans="1:16" s="34" customFormat="1" ht="27.6">
      <c r="A476" s="29" t="str">
        <f t="shared" si="140"/>
        <v/>
      </c>
      <c r="B476" s="159" t="s">
        <v>2065</v>
      </c>
      <c r="C476" s="119"/>
      <c r="D476" s="120" t="str">
        <f>VLOOKUP($B476,dongia1,DG!$B$5,)</f>
        <v>AF.11220</v>
      </c>
      <c r="E476" s="151" t="str">
        <f>VLOOKUP($B476,dongia1,DG!$C$5,)&amp;" 0,035m3/m"</f>
        <v>Đổ bê tông mác M150 đá 2x4 rộng &gt;250cm 0,035m3/m</v>
      </c>
      <c r="F476" s="120" t="str">
        <f>VLOOKUP($B476,dongia1,DG!$D$5,)</f>
        <v>m3</v>
      </c>
      <c r="G476" s="74"/>
      <c r="H476" s="121"/>
      <c r="I476" s="160"/>
      <c r="J476" s="121">
        <f>VLOOKUP($B476,dongia1,DG!$G$5,)</f>
        <v>414064.45</v>
      </c>
      <c r="K476" s="121">
        <f>VLOOKUP($B476,dongia1,DG!$H$5,)</f>
        <v>0</v>
      </c>
      <c r="L476" s="39">
        <f t="shared" si="141"/>
        <v>0</v>
      </c>
      <c r="M476" s="39">
        <f t="shared" si="142"/>
        <v>0</v>
      </c>
      <c r="N476" s="39">
        <f t="shared" si="143"/>
        <v>0</v>
      </c>
      <c r="O476" s="39">
        <f t="shared" si="144"/>
        <v>0</v>
      </c>
      <c r="P476" s="161"/>
    </row>
    <row r="477" spans="1:16" s="491" customFormat="1">
      <c r="A477" s="481" t="e">
        <f>IF(G477=0,"",1)</f>
        <v>#REF!</v>
      </c>
      <c r="B477" s="482"/>
      <c r="C477" s="483" t="e">
        <f>IF(G477&gt;0,C451+1,C451)</f>
        <v>#REF!</v>
      </c>
      <c r="D477" s="484"/>
      <c r="E477" s="485" t="s">
        <v>3837</v>
      </c>
      <c r="F477" s="486" t="s">
        <v>3819</v>
      </c>
      <c r="G477" s="512" t="e">
        <f>+#REF!</f>
        <v>#REF!</v>
      </c>
      <c r="H477" s="487"/>
      <c r="I477" s="487"/>
      <c r="J477" s="488"/>
      <c r="K477" s="488"/>
      <c r="L477" s="489" t="e">
        <f>H477*$G477</f>
        <v>#REF!</v>
      </c>
      <c r="M477" s="489" t="e">
        <f>I477*$G477</f>
        <v>#REF!</v>
      </c>
      <c r="N477" s="489" t="e">
        <f>J477*$G477</f>
        <v>#REF!</v>
      </c>
      <c r="O477" s="489" t="e">
        <f>K477*$G477</f>
        <v>#REF!</v>
      </c>
      <c r="P477" s="490"/>
    </row>
    <row r="478" spans="1:16" s="503" customFormat="1" ht="14.4">
      <c r="A478" s="492" t="e">
        <f>A477</f>
        <v>#REF!</v>
      </c>
      <c r="B478" s="493"/>
      <c r="C478" s="494"/>
      <c r="D478" s="495"/>
      <c r="E478" s="496" t="s">
        <v>3378</v>
      </c>
      <c r="F478" s="497"/>
      <c r="G478" s="498"/>
      <c r="H478" s="499"/>
      <c r="I478" s="499"/>
      <c r="J478" s="500"/>
      <c r="K478" s="499"/>
      <c r="L478" s="501"/>
      <c r="M478" s="501"/>
      <c r="N478" s="501"/>
      <c r="O478" s="501"/>
      <c r="P478" s="502"/>
    </row>
    <row r="479" spans="1:16" s="503" customFormat="1">
      <c r="A479" s="492" t="e">
        <f t="shared" ref="A479:A489" si="145">IF(G479=0,"",1)</f>
        <v>#REF!</v>
      </c>
      <c r="B479" s="504" t="s">
        <v>1729</v>
      </c>
      <c r="C479" s="505"/>
      <c r="D479" s="495"/>
      <c r="E479" s="506" t="str">
        <f>VLOOKUP($B479,dongia1,DG!$C$5,)&amp;": 0,267m3/m"</f>
        <v>Cát vàng: 0,267m3/m</v>
      </c>
      <c r="F479" s="495" t="str">
        <f>VLOOKUP($B479,dongia1,DG!$D$5,)</f>
        <v>m3</v>
      </c>
      <c r="G479" s="507" t="e">
        <f>G477*0.267</f>
        <v>#REF!</v>
      </c>
      <c r="H479" s="508">
        <f>VLOOKUP($B479,dongia1,DG!$F$5,)</f>
        <v>512000</v>
      </c>
      <c r="I479" s="509"/>
      <c r="J479" s="508">
        <f>VLOOKUP($B479,dongia1,DG!$G$5,)</f>
        <v>0</v>
      </c>
      <c r="K479" s="508">
        <f>VLOOKUP($B479,dongia1,DG!$H$5,)</f>
        <v>0</v>
      </c>
      <c r="L479" s="510" t="e">
        <f t="shared" ref="L479:L489" si="146">H479*$G479</f>
        <v>#REF!</v>
      </c>
      <c r="M479" s="510" t="e">
        <f t="shared" ref="M479:M489" si="147">I479*$G479</f>
        <v>#REF!</v>
      </c>
      <c r="N479" s="510" t="e">
        <f t="shared" ref="N479:N489" si="148">J479*$G479</f>
        <v>#REF!</v>
      </c>
      <c r="O479" s="510" t="e">
        <f t="shared" ref="O479:O489" si="149">K479*$G479</f>
        <v>#REF!</v>
      </c>
      <c r="P479" s="511"/>
    </row>
    <row r="480" spans="1:16" s="503" customFormat="1">
      <c r="A480" s="492" t="e">
        <f t="shared" si="145"/>
        <v>#REF!</v>
      </c>
      <c r="B480" s="504" t="s">
        <v>817</v>
      </c>
      <c r="C480" s="505"/>
      <c r="D480" s="495"/>
      <c r="E480" s="506" t="str">
        <f>VLOOKUP($B480,dongia1,DG!$C$5,)&amp;": 0,034m3/m"</f>
        <v>Đá 2x4: 0,034m3/m</v>
      </c>
      <c r="F480" s="495" t="str">
        <f>VLOOKUP($B480,dongia1,DG!$D$5,)</f>
        <v>m3</v>
      </c>
      <c r="G480" s="507" t="e">
        <f>G477*0.034</f>
        <v>#REF!</v>
      </c>
      <c r="H480" s="508">
        <f>VLOOKUP($B480,dongia1,DG!$F$5,)</f>
        <v>295000</v>
      </c>
      <c r="I480" s="509"/>
      <c r="J480" s="508">
        <f>VLOOKUP($B480,dongia1,DG!$G$5,)</f>
        <v>0</v>
      </c>
      <c r="K480" s="508">
        <f>VLOOKUP($B480,dongia1,DG!$H$5,)</f>
        <v>0</v>
      </c>
      <c r="L480" s="510" t="e">
        <f t="shared" si="146"/>
        <v>#REF!</v>
      </c>
      <c r="M480" s="510" t="e">
        <f t="shared" si="147"/>
        <v>#REF!</v>
      </c>
      <c r="N480" s="510" t="e">
        <f t="shared" si="148"/>
        <v>#REF!</v>
      </c>
      <c r="O480" s="510" t="e">
        <f t="shared" si="149"/>
        <v>#REF!</v>
      </c>
      <c r="P480" s="511"/>
    </row>
    <row r="481" spans="1:16" s="503" customFormat="1">
      <c r="A481" s="492" t="e">
        <f t="shared" si="145"/>
        <v>#REF!</v>
      </c>
      <c r="B481" s="504" t="s">
        <v>1731</v>
      </c>
      <c r="C481" s="505"/>
      <c r="D481" s="495"/>
      <c r="E481" s="506" t="str">
        <f>VLOOKUP($B481,dongia1,DG!$C$5,)&amp;": 0,098m3/m"</f>
        <v>Đá 4x6: 0,098m3/m</v>
      </c>
      <c r="F481" s="495" t="str">
        <f>VLOOKUP($B481,dongia1,DG!$D$5,)</f>
        <v>m3</v>
      </c>
      <c r="G481" s="507" t="e">
        <f>0.098*G477</f>
        <v>#REF!</v>
      </c>
      <c r="H481" s="508">
        <f>VLOOKUP($B481,dongia1,DG!$F$5,)</f>
        <v>265000</v>
      </c>
      <c r="I481" s="509"/>
      <c r="J481" s="508">
        <f>VLOOKUP($B481,dongia1,DG!$G$5,)</f>
        <v>0</v>
      </c>
      <c r="K481" s="508">
        <f>VLOOKUP($B481,dongia1,DG!$H$5,)</f>
        <v>0</v>
      </c>
      <c r="L481" s="510" t="e">
        <f t="shared" si="146"/>
        <v>#REF!</v>
      </c>
      <c r="M481" s="510" t="e">
        <f t="shared" si="147"/>
        <v>#REF!</v>
      </c>
      <c r="N481" s="510" t="e">
        <f t="shared" si="148"/>
        <v>#REF!</v>
      </c>
      <c r="O481" s="510" t="e">
        <f t="shared" si="149"/>
        <v>#REF!</v>
      </c>
      <c r="P481" s="511"/>
    </row>
    <row r="482" spans="1:16" s="503" customFormat="1">
      <c r="A482" s="492" t="e">
        <f t="shared" si="145"/>
        <v>#REF!</v>
      </c>
      <c r="B482" s="504" t="s">
        <v>1875</v>
      </c>
      <c r="C482" s="505"/>
      <c r="D482" s="495"/>
      <c r="E482" s="506" t="str">
        <f>VLOOKUP($B482,dongia1,DG!$C$5,)&amp;": 0,069/m"</f>
        <v>Bêtông nhựa nóng hạt thô: 0,069/m</v>
      </c>
      <c r="F482" s="495" t="str">
        <f>VLOOKUP($B482,dongia1,DG!$D$5,)</f>
        <v>m3</v>
      </c>
      <c r="G482" s="507" t="e">
        <f>G477*0.069</f>
        <v>#REF!</v>
      </c>
      <c r="H482" s="508">
        <f>VLOOKUP($B482,dongia1,DG!$F$5,)</f>
        <v>732002</v>
      </c>
      <c r="I482" s="509"/>
      <c r="J482" s="508">
        <f>VLOOKUP($B482,dongia1,DG!$G$5,)</f>
        <v>0</v>
      </c>
      <c r="K482" s="508">
        <f>VLOOKUP($B482,dongia1,DG!$H$5,)</f>
        <v>0</v>
      </c>
      <c r="L482" s="510" t="e">
        <f t="shared" si="146"/>
        <v>#REF!</v>
      </c>
      <c r="M482" s="510" t="e">
        <f t="shared" si="147"/>
        <v>#REF!</v>
      </c>
      <c r="N482" s="510" t="e">
        <f t="shared" si="148"/>
        <v>#REF!</v>
      </c>
      <c r="O482" s="510" t="e">
        <f t="shared" si="149"/>
        <v>#REF!</v>
      </c>
      <c r="P482" s="511"/>
    </row>
    <row r="483" spans="1:16" s="503" customFormat="1">
      <c r="A483" s="492" t="e">
        <f t="shared" si="145"/>
        <v>#REF!</v>
      </c>
      <c r="B483" s="504" t="s">
        <v>1495</v>
      </c>
      <c r="C483" s="505"/>
      <c r="D483" s="495"/>
      <c r="E483" s="506" t="str">
        <f>VLOOKUP($B483,dongia1,DG!$C$5,)&amp;": 6,6 viên/m"</f>
        <v>Gạch tàu: 6,6 viên/m</v>
      </c>
      <c r="F483" s="495" t="str">
        <f>VLOOKUP($B483,dongia1,DG!$D$5,)</f>
        <v>viên</v>
      </c>
      <c r="G483" s="507" t="e">
        <f>6.6*G477</f>
        <v>#REF!</v>
      </c>
      <c r="H483" s="508">
        <f>VLOOKUP($B483,dongia1,DG!$F$5,)</f>
        <v>7000</v>
      </c>
      <c r="I483" s="509"/>
      <c r="J483" s="508">
        <f>VLOOKUP($B483,dongia1,DG!$G$5,)</f>
        <v>0</v>
      </c>
      <c r="K483" s="508">
        <f>VLOOKUP($B483,dongia1,DG!$H$5,)</f>
        <v>0</v>
      </c>
      <c r="L483" s="510" t="e">
        <f t="shared" si="146"/>
        <v>#REF!</v>
      </c>
      <c r="M483" s="510" t="e">
        <f t="shared" si="147"/>
        <v>#REF!</v>
      </c>
      <c r="N483" s="510" t="e">
        <f t="shared" si="148"/>
        <v>#REF!</v>
      </c>
      <c r="O483" s="510" t="e">
        <f t="shared" si="149"/>
        <v>#REF!</v>
      </c>
      <c r="P483" s="511"/>
    </row>
    <row r="484" spans="1:16" s="503" customFormat="1">
      <c r="A484" s="492" t="e">
        <f t="shared" si="145"/>
        <v>#REF!</v>
      </c>
      <c r="B484" s="504" t="s">
        <v>1496</v>
      </c>
      <c r="C484" s="505"/>
      <c r="D484" s="495"/>
      <c r="E484" s="506" t="str">
        <f>VLOOKUP($B484,dongia1,DG!$C$5,)&amp;": 0,64m2/m"</f>
        <v>Tấm nilông màu cảnh báo: 0,64m2/m</v>
      </c>
      <c r="F484" s="495" t="str">
        <f>VLOOKUP($B484,dongia1,DG!$D$5,)</f>
        <v>m2</v>
      </c>
      <c r="G484" s="507" t="e">
        <f>G477*0.64</f>
        <v>#REF!</v>
      </c>
      <c r="H484" s="508">
        <f>VLOOKUP($B484,dongia1,DG!$F$5,)</f>
        <v>10000</v>
      </c>
      <c r="I484" s="509"/>
      <c r="J484" s="508">
        <f>VLOOKUP($B484,dongia1,DG!$G$5,)</f>
        <v>1187.155</v>
      </c>
      <c r="K484" s="508">
        <f>VLOOKUP($B484,dongia1,DG!$H$5,)</f>
        <v>0</v>
      </c>
      <c r="L484" s="510" t="e">
        <f t="shared" si="146"/>
        <v>#REF!</v>
      </c>
      <c r="M484" s="510" t="e">
        <f t="shared" si="147"/>
        <v>#REF!</v>
      </c>
      <c r="N484" s="510" t="e">
        <f t="shared" si="148"/>
        <v>#REF!</v>
      </c>
      <c r="O484" s="510" t="e">
        <f t="shared" si="149"/>
        <v>#REF!</v>
      </c>
      <c r="P484" s="511"/>
    </row>
    <row r="485" spans="1:16" s="503" customFormat="1">
      <c r="A485" s="492" t="e">
        <f t="shared" si="145"/>
        <v>#REF!</v>
      </c>
      <c r="B485" s="504" t="s">
        <v>1861</v>
      </c>
      <c r="C485" s="505"/>
      <c r="D485" s="495">
        <f>VLOOKUP($B485,dongia1,DG!$B$5,)</f>
        <v>0</v>
      </c>
      <c r="E485" s="506" t="str">
        <f>VLOOKUP($B485,dongia1,DG!$C$5,)</f>
        <v>Ống PVC D140x6,7mm</v>
      </c>
      <c r="F485" s="495" t="str">
        <f>VLOOKUP($B485,dongia1,DG!$D$5,)</f>
        <v>m</v>
      </c>
      <c r="G485" s="507" t="e">
        <f>2*G477</f>
        <v>#REF!</v>
      </c>
      <c r="H485" s="508">
        <f>VLOOKUP($B485,dongia1,DG!$F$5,)</f>
        <v>165250</v>
      </c>
      <c r="I485" s="509"/>
      <c r="J485" s="508">
        <f>VLOOKUP($B485,dongia1,DG!$G$5,)</f>
        <v>0</v>
      </c>
      <c r="K485" s="508">
        <f>VLOOKUP($B485,dongia1,DG!$H$5,)</f>
        <v>0</v>
      </c>
      <c r="L485" s="510" t="e">
        <f t="shared" si="146"/>
        <v>#REF!</v>
      </c>
      <c r="M485" s="510" t="e">
        <f t="shared" si="147"/>
        <v>#REF!</v>
      </c>
      <c r="N485" s="510" t="e">
        <f t="shared" si="148"/>
        <v>#REF!</v>
      </c>
      <c r="O485" s="510" t="e">
        <f t="shared" si="149"/>
        <v>#REF!</v>
      </c>
      <c r="P485" s="511"/>
    </row>
    <row r="486" spans="1:16" s="503" customFormat="1">
      <c r="A486" s="492" t="e">
        <f t="shared" si="145"/>
        <v>#REF!</v>
      </c>
      <c r="B486" s="504" t="s">
        <v>569</v>
      </c>
      <c r="C486" s="505"/>
      <c r="D486" s="495" t="str">
        <f>VLOOKUP($B486,dongia1,DG!$B$5,)</f>
        <v>AA.21431</v>
      </c>
      <c r="E486" s="506" t="str">
        <f>VLOOKUP($B486,dongia1,DG!$C$5,)</f>
        <v>Pha mặt đường đá dăm, nhựa, bê tông</v>
      </c>
      <c r="F486" s="495" t="str">
        <f>VLOOKUP($B486,dongia1,DG!$D$5,)</f>
        <v>m3</v>
      </c>
      <c r="G486" s="507" t="e">
        <f>G477*0.7</f>
        <v>#REF!</v>
      </c>
      <c r="H486" s="508">
        <f>VLOOKUP($B486,dongia1,DG!$F$5,)</f>
        <v>328703</v>
      </c>
      <c r="I486" s="509"/>
      <c r="J486" s="508">
        <f>VLOOKUP($B486,dongia1,DG!$G$5,)</f>
        <v>0</v>
      </c>
      <c r="K486" s="508">
        <f>VLOOKUP($B486,dongia1,DG!$H$5,)</f>
        <v>0</v>
      </c>
      <c r="L486" s="510" t="e">
        <f t="shared" si="146"/>
        <v>#REF!</v>
      </c>
      <c r="M486" s="510" t="e">
        <f t="shared" si="147"/>
        <v>#REF!</v>
      </c>
      <c r="N486" s="510" t="e">
        <f t="shared" si="148"/>
        <v>#REF!</v>
      </c>
      <c r="O486" s="510" t="e">
        <f t="shared" si="149"/>
        <v>#REF!</v>
      </c>
      <c r="P486" s="511"/>
    </row>
    <row r="487" spans="1:16" s="503" customFormat="1">
      <c r="A487" s="492" t="e">
        <f t="shared" si="145"/>
        <v>#REF!</v>
      </c>
      <c r="B487" s="504" t="s">
        <v>1498</v>
      </c>
      <c r="C487" s="505"/>
      <c r="D487" s="495" t="str">
        <f>VLOOKUP($B487,dongia1,DG!$B$5,)</f>
        <v>AB.66112</v>
      </c>
      <c r="E487" s="506" t="str">
        <f>VLOOKUP($B487,dongia1,DG!$C$5,)&amp;" + đắp đá"</f>
        <v>Rải cát đệm (độ chặt K=0,9) + đắp đá</v>
      </c>
      <c r="F487" s="495" t="str">
        <f>VLOOKUP($B487,dongia1,DG!$D$5,)</f>
        <v>m3</v>
      </c>
      <c r="G487" s="507" t="e">
        <f>+G479+G480+G481</f>
        <v>#REF!</v>
      </c>
      <c r="H487" s="508">
        <f>VLOOKUP($B487,dongia1,DG!$F$5,)</f>
        <v>0</v>
      </c>
      <c r="I487" s="509"/>
      <c r="J487" s="508">
        <f>VLOOKUP($B487,dongia1,DG!$G$5,)</f>
        <v>315277.5</v>
      </c>
      <c r="K487" s="508">
        <f>VLOOKUP($B487,dongia1,DG!$H$5,)</f>
        <v>0</v>
      </c>
      <c r="L487" s="510" t="e">
        <f t="shared" si="146"/>
        <v>#REF!</v>
      </c>
      <c r="M487" s="510" t="e">
        <f t="shared" si="147"/>
        <v>#REF!</v>
      </c>
      <c r="N487" s="510" t="e">
        <f t="shared" si="148"/>
        <v>#REF!</v>
      </c>
      <c r="O487" s="510" t="e">
        <f t="shared" si="149"/>
        <v>#REF!</v>
      </c>
      <c r="P487" s="511"/>
    </row>
    <row r="488" spans="1:16" s="503" customFormat="1">
      <c r="A488" s="492" t="e">
        <f t="shared" si="145"/>
        <v>#REF!</v>
      </c>
      <c r="B488" s="504" t="s">
        <v>1645</v>
      </c>
      <c r="C488" s="505"/>
      <c r="D488" s="495" t="str">
        <f>VLOOKUP($B488,dongia1,DG!$B$5,)</f>
        <v>03.1013</v>
      </c>
      <c r="E488" s="506" t="str">
        <f>VLOOKUP($B488,dongia1,DG!$C$5,)&amp;" 0,5m3/3"</f>
        <v>Đào hố móng đất cấp 3 sâu &gt;1m DT&lt;5m2 0,5m3/3</v>
      </c>
      <c r="F488" s="495" t="str">
        <f>VLOOKUP($B488,dongia1,DG!$D$5,)</f>
        <v>m3</v>
      </c>
      <c r="G488" s="507" t="e">
        <f>0.5*G477</f>
        <v>#REF!</v>
      </c>
      <c r="H488" s="508">
        <f>VLOOKUP($B488,dongia1,DG!$F$5,)</f>
        <v>0</v>
      </c>
      <c r="I488" s="509"/>
      <c r="J488" s="508">
        <f>VLOOKUP($B488,dongia1,DG!$G$5,)</f>
        <v>296500.89999999997</v>
      </c>
      <c r="K488" s="508">
        <f>VLOOKUP($B488,dongia1,DG!$H$5,)</f>
        <v>0</v>
      </c>
      <c r="L488" s="510" t="e">
        <f t="shared" si="146"/>
        <v>#REF!</v>
      </c>
      <c r="M488" s="510" t="e">
        <f t="shared" si="147"/>
        <v>#REF!</v>
      </c>
      <c r="N488" s="510" t="e">
        <f t="shared" si="148"/>
        <v>#REF!</v>
      </c>
      <c r="O488" s="510" t="e">
        <f t="shared" si="149"/>
        <v>#REF!</v>
      </c>
      <c r="P488" s="511"/>
    </row>
    <row r="489" spans="1:16" s="503" customFormat="1">
      <c r="A489" s="492" t="e">
        <f t="shared" si="145"/>
        <v>#REF!</v>
      </c>
      <c r="B489" s="504" t="s">
        <v>568</v>
      </c>
      <c r="C489" s="505"/>
      <c r="D489" s="495" t="str">
        <f>VLOOKUP($B489,dongia1,DG!$B$5,)</f>
        <v>ED.2005</v>
      </c>
      <c r="E489" s="506" t="str">
        <f>VLOOKUP($B489,dongia1,DG!$C$5,)</f>
        <v>Tái lập bêtông nhựa nóng hạt thô 7mm</v>
      </c>
      <c r="F489" s="495" t="str">
        <f>VLOOKUP($B489,dongia1,DG!$D$5,)</f>
        <v>m2</v>
      </c>
      <c r="G489" s="507" t="e">
        <f>G486</f>
        <v>#REF!</v>
      </c>
      <c r="H489" s="508"/>
      <c r="I489" s="509"/>
      <c r="J489" s="508">
        <f>VLOOKUP($B489,dongia1,DG!$G$5,)</f>
        <v>338</v>
      </c>
      <c r="K489" s="508">
        <f>VLOOKUP($B489,dongia1,DG!$H$5,)</f>
        <v>1269</v>
      </c>
      <c r="L489" s="510" t="e">
        <f t="shared" si="146"/>
        <v>#REF!</v>
      </c>
      <c r="M489" s="510" t="e">
        <f t="shared" si="147"/>
        <v>#REF!</v>
      </c>
      <c r="N489" s="510" t="e">
        <f t="shared" si="148"/>
        <v>#REF!</v>
      </c>
      <c r="O489" s="510" t="e">
        <f t="shared" si="149"/>
        <v>#REF!</v>
      </c>
      <c r="P489" s="511"/>
    </row>
    <row r="490" spans="1:16" s="61" customFormat="1">
      <c r="A490" s="137" t="e">
        <f t="shared" si="140"/>
        <v>#REF!</v>
      </c>
      <c r="B490" s="181"/>
      <c r="C490" s="166" t="e">
        <f>IF(G490&gt;0,C464+1,C464)</f>
        <v>#REF!</v>
      </c>
      <c r="D490" s="167"/>
      <c r="E490" s="168" t="s">
        <v>3839</v>
      </c>
      <c r="F490" s="169" t="s">
        <v>3819</v>
      </c>
      <c r="G490" s="67" t="e">
        <f>+#REF!</f>
        <v>#REF!</v>
      </c>
      <c r="H490" s="170"/>
      <c r="I490" s="170"/>
      <c r="J490" s="172"/>
      <c r="K490" s="172"/>
      <c r="L490" s="64" t="e">
        <f t="shared" si="141"/>
        <v>#REF!</v>
      </c>
      <c r="M490" s="64" t="e">
        <f t="shared" si="142"/>
        <v>#REF!</v>
      </c>
      <c r="N490" s="64" t="e">
        <f t="shared" si="143"/>
        <v>#REF!</v>
      </c>
      <c r="O490" s="64" t="e">
        <f t="shared" si="144"/>
        <v>#REF!</v>
      </c>
      <c r="P490" s="173"/>
    </row>
    <row r="491" spans="1:16" s="34" customFormat="1" ht="14.4">
      <c r="A491" s="29" t="e">
        <f>A490</f>
        <v>#REF!</v>
      </c>
      <c r="B491" s="109"/>
      <c r="C491" s="215"/>
      <c r="D491" s="120"/>
      <c r="E491" s="196" t="s">
        <v>3378</v>
      </c>
      <c r="F491" s="146"/>
      <c r="G491" s="65"/>
      <c r="H491" s="147"/>
      <c r="I491" s="147"/>
      <c r="J491" s="149"/>
      <c r="K491" s="147"/>
      <c r="L491" s="58"/>
      <c r="M491" s="58"/>
      <c r="N491" s="58"/>
      <c r="O491" s="58"/>
      <c r="P491" s="150"/>
    </row>
    <row r="492" spans="1:16" s="34" customFormat="1">
      <c r="A492" s="29" t="e">
        <f t="shared" ref="A492:A503" si="150">IF(G492=0,"",1)</f>
        <v>#REF!</v>
      </c>
      <c r="B492" s="159" t="s">
        <v>1729</v>
      </c>
      <c r="C492" s="119"/>
      <c r="D492" s="120"/>
      <c r="E492" s="151" t="str">
        <f>VLOOKUP($B492,dongia1,DG!$C$5,)&amp;": 0,267m3/m"</f>
        <v>Cát vàng: 0,267m3/m</v>
      </c>
      <c r="F492" s="120" t="str">
        <f>VLOOKUP($B492,dongia1,DG!$D$5,)</f>
        <v>m3</v>
      </c>
      <c r="G492" s="74" t="e">
        <f>G490*0.267</f>
        <v>#REF!</v>
      </c>
      <c r="H492" s="121">
        <f>VLOOKUP($B492,dongia1,DG!$F$5,)</f>
        <v>512000</v>
      </c>
      <c r="I492" s="160"/>
      <c r="J492" s="121">
        <f>VLOOKUP($B492,dongia1,DG!$G$5,)</f>
        <v>0</v>
      </c>
      <c r="K492" s="121">
        <f>VLOOKUP($B492,dongia1,DG!$H$5,)</f>
        <v>0</v>
      </c>
      <c r="L492" s="39" t="e">
        <f t="shared" ref="L492:L503" si="151">H492*$G492</f>
        <v>#REF!</v>
      </c>
      <c r="M492" s="39" t="e">
        <f t="shared" ref="M492:M503" si="152">I492*$G492</f>
        <v>#REF!</v>
      </c>
      <c r="N492" s="39" t="e">
        <f t="shared" ref="N492:N503" si="153">J492*$G492</f>
        <v>#REF!</v>
      </c>
      <c r="O492" s="39" t="e">
        <f t="shared" ref="O492:O503" si="154">K492*$G492</f>
        <v>#REF!</v>
      </c>
      <c r="P492" s="161"/>
    </row>
    <row r="493" spans="1:16" s="34" customFormat="1">
      <c r="A493" s="29" t="e">
        <f t="shared" si="150"/>
        <v>#REF!</v>
      </c>
      <c r="B493" s="159" t="s">
        <v>817</v>
      </c>
      <c r="C493" s="119"/>
      <c r="D493" s="120"/>
      <c r="E493" s="151" t="str">
        <f>VLOOKUP($B493,dongia1,DG!$C$5,)&amp;": 0,034m3/m"</f>
        <v>Đá 2x4: 0,034m3/m</v>
      </c>
      <c r="F493" s="120" t="str">
        <f>VLOOKUP($B493,dongia1,DG!$D$5,)</f>
        <v>m3</v>
      </c>
      <c r="G493" s="74" t="e">
        <f>G490*0.034</f>
        <v>#REF!</v>
      </c>
      <c r="H493" s="121">
        <f>VLOOKUP($B493,dongia1,DG!$F$5,)</f>
        <v>295000</v>
      </c>
      <c r="I493" s="160"/>
      <c r="J493" s="121">
        <f>VLOOKUP($B493,dongia1,DG!$G$5,)</f>
        <v>0</v>
      </c>
      <c r="K493" s="121">
        <f>VLOOKUP($B493,dongia1,DG!$H$5,)</f>
        <v>0</v>
      </c>
      <c r="L493" s="39" t="e">
        <f t="shared" si="151"/>
        <v>#REF!</v>
      </c>
      <c r="M493" s="39" t="e">
        <f t="shared" si="152"/>
        <v>#REF!</v>
      </c>
      <c r="N493" s="39" t="e">
        <f t="shared" si="153"/>
        <v>#REF!</v>
      </c>
      <c r="O493" s="39" t="e">
        <f t="shared" si="154"/>
        <v>#REF!</v>
      </c>
      <c r="P493" s="161"/>
    </row>
    <row r="494" spans="1:16" s="34" customFormat="1">
      <c r="A494" s="29" t="e">
        <f t="shared" si="150"/>
        <v>#REF!</v>
      </c>
      <c r="B494" s="159" t="s">
        <v>1731</v>
      </c>
      <c r="C494" s="119"/>
      <c r="D494" s="120"/>
      <c r="E494" s="151" t="str">
        <f>VLOOKUP($B494,dongia1,DG!$C$5,)&amp;": 0,098m3/m"</f>
        <v>Đá 4x6: 0,098m3/m</v>
      </c>
      <c r="F494" s="120" t="str">
        <f>VLOOKUP($B494,dongia1,DG!$D$5,)</f>
        <v>m3</v>
      </c>
      <c r="G494" s="74" t="e">
        <f>0.098*G490</f>
        <v>#REF!</v>
      </c>
      <c r="H494" s="121">
        <f>VLOOKUP($B494,dongia1,DG!$F$5,)</f>
        <v>265000</v>
      </c>
      <c r="I494" s="160"/>
      <c r="J494" s="121">
        <f>VLOOKUP($B494,dongia1,DG!$G$5,)</f>
        <v>0</v>
      </c>
      <c r="K494" s="121">
        <f>VLOOKUP($B494,dongia1,DG!$H$5,)</f>
        <v>0</v>
      </c>
      <c r="L494" s="39" t="e">
        <f t="shared" si="151"/>
        <v>#REF!</v>
      </c>
      <c r="M494" s="39" t="e">
        <f t="shared" si="152"/>
        <v>#REF!</v>
      </c>
      <c r="N494" s="39" t="e">
        <f t="shared" si="153"/>
        <v>#REF!</v>
      </c>
      <c r="O494" s="39" t="e">
        <f t="shared" si="154"/>
        <v>#REF!</v>
      </c>
      <c r="P494" s="161"/>
    </row>
    <row r="495" spans="1:16" s="34" customFormat="1">
      <c r="A495" s="29" t="e">
        <f t="shared" si="150"/>
        <v>#REF!</v>
      </c>
      <c r="B495" s="159" t="s">
        <v>1875</v>
      </c>
      <c r="C495" s="119"/>
      <c r="D495" s="120"/>
      <c r="E495" s="151" t="str">
        <f>VLOOKUP($B495,dongia1,DG!$C$5,)&amp;": 0,069/m"</f>
        <v>Bêtông nhựa nóng hạt thô: 0,069/m</v>
      </c>
      <c r="F495" s="120" t="str">
        <f>VLOOKUP($B495,dongia1,DG!$D$5,)</f>
        <v>m3</v>
      </c>
      <c r="G495" s="74" t="e">
        <f>G490*0.069</f>
        <v>#REF!</v>
      </c>
      <c r="H495" s="121">
        <f>VLOOKUP($B495,dongia1,DG!$F$5,)</f>
        <v>732002</v>
      </c>
      <c r="I495" s="160"/>
      <c r="J495" s="121">
        <f>VLOOKUP($B495,dongia1,DG!$G$5,)</f>
        <v>0</v>
      </c>
      <c r="K495" s="121">
        <f>VLOOKUP($B495,dongia1,DG!$H$5,)</f>
        <v>0</v>
      </c>
      <c r="L495" s="39" t="e">
        <f t="shared" si="151"/>
        <v>#REF!</v>
      </c>
      <c r="M495" s="39" t="e">
        <f t="shared" si="152"/>
        <v>#REF!</v>
      </c>
      <c r="N495" s="39" t="e">
        <f t="shared" si="153"/>
        <v>#REF!</v>
      </c>
      <c r="O495" s="39" t="e">
        <f t="shared" si="154"/>
        <v>#REF!</v>
      </c>
      <c r="P495" s="161"/>
    </row>
    <row r="496" spans="1:16" s="34" customFormat="1">
      <c r="A496" s="29" t="e">
        <f t="shared" si="150"/>
        <v>#REF!</v>
      </c>
      <c r="B496" s="159" t="s">
        <v>1495</v>
      </c>
      <c r="C496" s="119"/>
      <c r="D496" s="120"/>
      <c r="E496" s="151" t="str">
        <f>VLOOKUP($B496,dongia1,DG!$C$5,)&amp;": 6,6viên/m"</f>
        <v>Gạch tàu: 6,6viên/m</v>
      </c>
      <c r="F496" s="120" t="str">
        <f>VLOOKUP($B496,dongia1,DG!$D$5,)</f>
        <v>viên</v>
      </c>
      <c r="G496" s="74" t="e">
        <f>6.6*G490</f>
        <v>#REF!</v>
      </c>
      <c r="H496" s="121">
        <f>VLOOKUP($B496,dongia1,DG!$F$5,)</f>
        <v>7000</v>
      </c>
      <c r="I496" s="160"/>
      <c r="J496" s="121">
        <f>VLOOKUP($B496,dongia1,DG!$G$5,)</f>
        <v>0</v>
      </c>
      <c r="K496" s="121">
        <f>VLOOKUP($B496,dongia1,DG!$H$5,)</f>
        <v>0</v>
      </c>
      <c r="L496" s="39" t="e">
        <f t="shared" si="151"/>
        <v>#REF!</v>
      </c>
      <c r="M496" s="39" t="e">
        <f t="shared" si="152"/>
        <v>#REF!</v>
      </c>
      <c r="N496" s="39" t="e">
        <f t="shared" si="153"/>
        <v>#REF!</v>
      </c>
      <c r="O496" s="39" t="e">
        <f t="shared" si="154"/>
        <v>#REF!</v>
      </c>
      <c r="P496" s="161"/>
    </row>
    <row r="497" spans="1:16" s="34" customFormat="1">
      <c r="A497" s="29" t="e">
        <f t="shared" si="150"/>
        <v>#REF!</v>
      </c>
      <c r="B497" s="159" t="s">
        <v>1496</v>
      </c>
      <c r="C497" s="119"/>
      <c r="D497" s="120"/>
      <c r="E497" s="151" t="str">
        <f>VLOOKUP($B497,dongia1,DG!$C$5,)&amp;": 0,64m2/m"</f>
        <v>Tấm nilông màu cảnh báo: 0,64m2/m</v>
      </c>
      <c r="F497" s="120" t="str">
        <f>VLOOKUP($B497,dongia1,DG!$D$5,)</f>
        <v>m2</v>
      </c>
      <c r="G497" s="74" t="e">
        <f>G490*0.64</f>
        <v>#REF!</v>
      </c>
      <c r="H497" s="121">
        <f>VLOOKUP($B497,dongia1,DG!$F$5,)</f>
        <v>10000</v>
      </c>
      <c r="I497" s="160"/>
      <c r="J497" s="121">
        <f>VLOOKUP($B497,dongia1,DG!$G$5,)</f>
        <v>1187.155</v>
      </c>
      <c r="K497" s="121">
        <f>VLOOKUP($B497,dongia1,DG!$H$5,)</f>
        <v>0</v>
      </c>
      <c r="L497" s="39" t="e">
        <f t="shared" si="151"/>
        <v>#REF!</v>
      </c>
      <c r="M497" s="39" t="e">
        <f t="shared" si="152"/>
        <v>#REF!</v>
      </c>
      <c r="N497" s="39" t="e">
        <f t="shared" si="153"/>
        <v>#REF!</v>
      </c>
      <c r="O497" s="39" t="e">
        <f t="shared" si="154"/>
        <v>#REF!</v>
      </c>
      <c r="P497" s="161"/>
    </row>
    <row r="498" spans="1:16" s="34" customFormat="1">
      <c r="A498" s="29" t="e">
        <f t="shared" si="150"/>
        <v>#REF!</v>
      </c>
      <c r="B498" s="159" t="s">
        <v>1861</v>
      </c>
      <c r="C498" s="119"/>
      <c r="D498" s="120">
        <f>VLOOKUP($B498,dongia1,DG!$B$5,)</f>
        <v>0</v>
      </c>
      <c r="E498" s="151" t="str">
        <f>VLOOKUP($B498,dongia1,DG!$C$5,)</f>
        <v>Ống PVC D140x6,7mm</v>
      </c>
      <c r="F498" s="120" t="str">
        <f>VLOOKUP($B498,dongia1,DG!$D$5,)</f>
        <v>m</v>
      </c>
      <c r="G498" s="74" t="e">
        <f>2*G490</f>
        <v>#REF!</v>
      </c>
      <c r="H498" s="121">
        <f>VLOOKUP($B498,dongia1,DG!$F$5,)</f>
        <v>165250</v>
      </c>
      <c r="I498" s="160"/>
      <c r="J498" s="121">
        <f>VLOOKUP($B498,dongia1,DG!$G$5,)</f>
        <v>0</v>
      </c>
      <c r="K498" s="121">
        <f>VLOOKUP($B498,dongia1,DG!$H$5,)</f>
        <v>0</v>
      </c>
      <c r="L498" s="39" t="e">
        <f t="shared" si="151"/>
        <v>#REF!</v>
      </c>
      <c r="M498" s="39" t="e">
        <f t="shared" si="152"/>
        <v>#REF!</v>
      </c>
      <c r="N498" s="39" t="e">
        <f t="shared" si="153"/>
        <v>#REF!</v>
      </c>
      <c r="O498" s="39" t="e">
        <f t="shared" si="154"/>
        <v>#REF!</v>
      </c>
      <c r="P498" s="161"/>
    </row>
    <row r="499" spans="1:16" s="34" customFormat="1">
      <c r="A499" s="29" t="e">
        <f t="shared" si="150"/>
        <v>#REF!</v>
      </c>
      <c r="B499" s="159" t="s">
        <v>569</v>
      </c>
      <c r="C499" s="119"/>
      <c r="D499" s="120" t="str">
        <f>VLOOKUP($B499,dongia1,DG!$B$5,)</f>
        <v>AA.21431</v>
      </c>
      <c r="E499" s="151" t="str">
        <f>VLOOKUP($B499,dongia1,DG!$C$5,)</f>
        <v>Pha mặt đường đá dăm, nhựa, bê tông</v>
      </c>
      <c r="F499" s="120" t="str">
        <f>VLOOKUP($B499,dongia1,DG!$D$5,)</f>
        <v>m3</v>
      </c>
      <c r="G499" s="74" t="e">
        <f>G490*0.7</f>
        <v>#REF!</v>
      </c>
      <c r="H499" s="121">
        <f>VLOOKUP($B499,dongia1,DG!$F$5,)</f>
        <v>328703</v>
      </c>
      <c r="I499" s="160"/>
      <c r="J499" s="121">
        <f>VLOOKUP($B499,dongia1,DG!$G$5,)</f>
        <v>0</v>
      </c>
      <c r="K499" s="121">
        <f>VLOOKUP($B499,dongia1,DG!$H$5,)</f>
        <v>0</v>
      </c>
      <c r="L499" s="39" t="e">
        <f t="shared" si="151"/>
        <v>#REF!</v>
      </c>
      <c r="M499" s="39" t="e">
        <f t="shared" si="152"/>
        <v>#REF!</v>
      </c>
      <c r="N499" s="39" t="e">
        <f t="shared" si="153"/>
        <v>#REF!</v>
      </c>
      <c r="O499" s="39" t="e">
        <f t="shared" si="154"/>
        <v>#REF!</v>
      </c>
      <c r="P499" s="161"/>
    </row>
    <row r="500" spans="1:16" s="34" customFormat="1">
      <c r="A500" s="29" t="e">
        <f t="shared" si="150"/>
        <v>#REF!</v>
      </c>
      <c r="B500" s="159" t="s">
        <v>1498</v>
      </c>
      <c r="C500" s="119"/>
      <c r="D500" s="120" t="str">
        <f>VLOOKUP($B500,dongia1,DG!$B$5,)</f>
        <v>AB.66112</v>
      </c>
      <c r="E500" s="151" t="str">
        <f>VLOOKUP($B500,dongia1,DG!$C$5,)&amp;" + đắp đá"</f>
        <v>Rải cát đệm (độ chặt K=0,9) + đắp đá</v>
      </c>
      <c r="F500" s="120" t="str">
        <f>VLOOKUP($B500,dongia1,DG!$D$5,)</f>
        <v>m3</v>
      </c>
      <c r="G500" s="74" t="e">
        <f>+G492+G493+G494</f>
        <v>#REF!</v>
      </c>
      <c r="H500" s="121">
        <f>VLOOKUP($B500,dongia1,DG!$F$5,)</f>
        <v>0</v>
      </c>
      <c r="I500" s="160"/>
      <c r="J500" s="121">
        <f>VLOOKUP($B500,dongia1,DG!$G$5,)</f>
        <v>315277.5</v>
      </c>
      <c r="K500" s="121">
        <f>VLOOKUP($B500,dongia1,DG!$H$5,)</f>
        <v>0</v>
      </c>
      <c r="L500" s="39" t="e">
        <f t="shared" si="151"/>
        <v>#REF!</v>
      </c>
      <c r="M500" s="39" t="e">
        <f t="shared" si="152"/>
        <v>#REF!</v>
      </c>
      <c r="N500" s="39" t="e">
        <f t="shared" si="153"/>
        <v>#REF!</v>
      </c>
      <c r="O500" s="39" t="e">
        <f t="shared" si="154"/>
        <v>#REF!</v>
      </c>
      <c r="P500" s="161"/>
    </row>
    <row r="501" spans="1:16" s="34" customFormat="1">
      <c r="A501" s="29" t="e">
        <f t="shared" si="150"/>
        <v>#REF!</v>
      </c>
      <c r="B501" s="159" t="s">
        <v>1645</v>
      </c>
      <c r="C501" s="119"/>
      <c r="D501" s="120" t="str">
        <f>VLOOKUP($B501,dongia1,DG!$B$5,)</f>
        <v>03.1013</v>
      </c>
      <c r="E501" s="151" t="str">
        <f>VLOOKUP($B501,dongia1,DG!$C$5,)&amp;" 0,5m3/3"</f>
        <v>Đào hố móng đất cấp 3 sâu &gt;1m DT&lt;5m2 0,5m3/3</v>
      </c>
      <c r="F501" s="120" t="str">
        <f>VLOOKUP($B501,dongia1,DG!$D$5,)</f>
        <v>m3</v>
      </c>
      <c r="G501" s="74" t="e">
        <f>0.55*G490*0.8</f>
        <v>#REF!</v>
      </c>
      <c r="H501" s="121">
        <f>VLOOKUP($B501,dongia1,DG!$F$5,)</f>
        <v>0</v>
      </c>
      <c r="I501" s="160"/>
      <c r="J501" s="121">
        <f>VLOOKUP($B501,dongia1,DG!$G$5,)</f>
        <v>296500.89999999997</v>
      </c>
      <c r="K501" s="121">
        <f>VLOOKUP($B501,dongia1,DG!$H$5,)</f>
        <v>0</v>
      </c>
      <c r="L501" s="39" t="e">
        <f t="shared" si="151"/>
        <v>#REF!</v>
      </c>
      <c r="M501" s="39" t="e">
        <f t="shared" si="152"/>
        <v>#REF!</v>
      </c>
      <c r="N501" s="39" t="e">
        <f t="shared" si="153"/>
        <v>#REF!</v>
      </c>
      <c r="O501" s="39" t="e">
        <f t="shared" si="154"/>
        <v>#REF!</v>
      </c>
      <c r="P501" s="161"/>
    </row>
    <row r="502" spans="1:16" s="34" customFormat="1">
      <c r="A502" s="29" t="e">
        <f t="shared" si="150"/>
        <v>#REF!</v>
      </c>
      <c r="B502" s="159" t="s">
        <v>568</v>
      </c>
      <c r="C502" s="119"/>
      <c r="D502" s="120" t="str">
        <f>VLOOKUP($B502,dongia1,DG!$B$5,)</f>
        <v>ED.2005</v>
      </c>
      <c r="E502" s="151" t="str">
        <f>VLOOKUP($B502,dongia1,DG!$C$5,)</f>
        <v>Tái lập bêtông nhựa nóng hạt thô 7mm</v>
      </c>
      <c r="F502" s="120" t="str">
        <f>VLOOKUP($B502,dongia1,DG!$D$5,)</f>
        <v>m2</v>
      </c>
      <c r="G502" s="74" t="e">
        <f>G499</f>
        <v>#REF!</v>
      </c>
      <c r="H502" s="121"/>
      <c r="I502" s="160"/>
      <c r="J502" s="121">
        <f>VLOOKUP($B502,dongia1,DG!$G$5,)</f>
        <v>338</v>
      </c>
      <c r="K502" s="121">
        <f>VLOOKUP($B502,dongia1,DG!$H$5,)</f>
        <v>1269</v>
      </c>
      <c r="L502" s="39" t="e">
        <f t="shared" si="151"/>
        <v>#REF!</v>
      </c>
      <c r="M502" s="39" t="e">
        <f t="shared" si="152"/>
        <v>#REF!</v>
      </c>
      <c r="N502" s="39" t="e">
        <f t="shared" si="153"/>
        <v>#REF!</v>
      </c>
      <c r="O502" s="39" t="e">
        <f t="shared" si="154"/>
        <v>#REF!</v>
      </c>
      <c r="P502" s="161"/>
    </row>
    <row r="503" spans="1:16" s="61" customFormat="1">
      <c r="A503" s="137" t="e">
        <f t="shared" si="150"/>
        <v>#REF!</v>
      </c>
      <c r="B503" s="181"/>
      <c r="C503" s="166" t="e">
        <f>IF(G503&gt;0,C490+1,C490)</f>
        <v>#REF!</v>
      </c>
      <c r="D503" s="167"/>
      <c r="E503" s="168" t="s">
        <v>3840</v>
      </c>
      <c r="F503" s="169" t="s">
        <v>3819</v>
      </c>
      <c r="G503" s="67" t="e">
        <f>+#REF!</f>
        <v>#REF!</v>
      </c>
      <c r="H503" s="170"/>
      <c r="I503" s="170"/>
      <c r="J503" s="172"/>
      <c r="K503" s="172"/>
      <c r="L503" s="64" t="e">
        <f t="shared" si="151"/>
        <v>#REF!</v>
      </c>
      <c r="M503" s="64" t="e">
        <f t="shared" si="152"/>
        <v>#REF!</v>
      </c>
      <c r="N503" s="64" t="e">
        <f t="shared" si="153"/>
        <v>#REF!</v>
      </c>
      <c r="O503" s="64" t="e">
        <f t="shared" si="154"/>
        <v>#REF!</v>
      </c>
      <c r="P503" s="173"/>
    </row>
    <row r="504" spans="1:16" s="34" customFormat="1" ht="14.4">
      <c r="A504" s="29" t="e">
        <f>A503</f>
        <v>#REF!</v>
      </c>
      <c r="B504" s="109"/>
      <c r="C504" s="215"/>
      <c r="D504" s="120"/>
      <c r="E504" s="196" t="s">
        <v>3378</v>
      </c>
      <c r="F504" s="146"/>
      <c r="G504" s="65"/>
      <c r="H504" s="147"/>
      <c r="I504" s="147"/>
      <c r="J504" s="149"/>
      <c r="K504" s="147"/>
      <c r="L504" s="58"/>
      <c r="M504" s="58"/>
      <c r="N504" s="58"/>
      <c r="O504" s="58"/>
      <c r="P504" s="150"/>
    </row>
    <row r="505" spans="1:16" s="34" customFormat="1">
      <c r="A505" s="29" t="e">
        <f t="shared" ref="A505:A515" si="155">IF(G505=0,"",1)</f>
        <v>#REF!</v>
      </c>
      <c r="B505" s="125" t="s">
        <v>1092</v>
      </c>
      <c r="C505" s="119"/>
      <c r="D505" s="120"/>
      <c r="E505" s="151" t="str">
        <f>VLOOKUP($B505,dongia1,DG!$C$5,)</f>
        <v>Cát san lắp</v>
      </c>
      <c r="F505" s="120" t="str">
        <f>VLOOKUP($B505,dongia1,DG!$D$5,)</f>
        <v>m3</v>
      </c>
      <c r="G505" s="74" t="e">
        <f>G503*0.5</f>
        <v>#REF!</v>
      </c>
      <c r="H505" s="121">
        <f>VLOOKUP($B505,dongia1,DG!$F$5,)</f>
        <v>100000</v>
      </c>
      <c r="I505" s="160"/>
      <c r="J505" s="121">
        <f>VLOOKUP($B505,dongia1,DG!$G$5,)</f>
        <v>0</v>
      </c>
      <c r="K505" s="121">
        <f>VLOOKUP($B505,dongia1,DG!$H$5,)</f>
        <v>0</v>
      </c>
      <c r="L505" s="39" t="e">
        <f t="shared" ref="L505:L515" si="156">H505*$G505</f>
        <v>#REF!</v>
      </c>
      <c r="M505" s="39" t="e">
        <f t="shared" ref="M505:M515" si="157">I505*$G505</f>
        <v>#REF!</v>
      </c>
      <c r="N505" s="39" t="e">
        <f t="shared" ref="N505:N515" si="158">J505*$G505</f>
        <v>#REF!</v>
      </c>
      <c r="O505" s="39" t="e">
        <f t="shared" ref="O505:O515" si="159">K505*$G505</f>
        <v>#REF!</v>
      </c>
      <c r="P505" s="161"/>
    </row>
    <row r="506" spans="1:16" s="34" customFormat="1">
      <c r="A506" s="29" t="e">
        <f t="shared" si="155"/>
        <v>#REF!</v>
      </c>
      <c r="B506" s="159" t="s">
        <v>817</v>
      </c>
      <c r="C506" s="119"/>
      <c r="D506" s="120"/>
      <c r="E506" s="151" t="str">
        <f>VLOOKUP($B506,dongia1,DG!$C$5,)&amp;": 0,034m3/m"</f>
        <v>Đá 2x4: 0,034m3/m</v>
      </c>
      <c r="F506" s="120" t="str">
        <f>VLOOKUP($B506,dongia1,DG!$D$5,)</f>
        <v>m3</v>
      </c>
      <c r="G506" s="74" t="e">
        <f>+G503*0.034</f>
        <v>#REF!</v>
      </c>
      <c r="H506" s="121">
        <f>VLOOKUP($B506,dongia1,DG!$F$5,)</f>
        <v>295000</v>
      </c>
      <c r="I506" s="160"/>
      <c r="J506" s="121">
        <f>VLOOKUP($B506,dongia1,DG!$G$5,)</f>
        <v>0</v>
      </c>
      <c r="K506" s="121">
        <f>VLOOKUP($B506,dongia1,DG!$H$5,)</f>
        <v>0</v>
      </c>
      <c r="L506" s="39" t="e">
        <f t="shared" si="156"/>
        <v>#REF!</v>
      </c>
      <c r="M506" s="39" t="e">
        <f t="shared" si="157"/>
        <v>#REF!</v>
      </c>
      <c r="N506" s="39" t="e">
        <f t="shared" si="158"/>
        <v>#REF!</v>
      </c>
      <c r="O506" s="39" t="e">
        <f t="shared" si="159"/>
        <v>#REF!</v>
      </c>
      <c r="P506" s="161"/>
    </row>
    <row r="507" spans="1:16" s="34" customFormat="1">
      <c r="A507" s="29" t="e">
        <f t="shared" si="155"/>
        <v>#REF!</v>
      </c>
      <c r="B507" s="159" t="s">
        <v>1731</v>
      </c>
      <c r="C507" s="119"/>
      <c r="D507" s="120"/>
      <c r="E507" s="151" t="str">
        <f>VLOOKUP($B507,dongia1,DG!$C$5,)</f>
        <v>Đá 4x6</v>
      </c>
      <c r="F507" s="120" t="str">
        <f>VLOOKUP($B507,dongia1,DG!$D$5,)</f>
        <v>m3</v>
      </c>
      <c r="G507" s="74" t="e">
        <f>+G503*0.098</f>
        <v>#REF!</v>
      </c>
      <c r="H507" s="121">
        <f>VLOOKUP($B507,dongia1,DG!$F$5,)</f>
        <v>265000</v>
      </c>
      <c r="I507" s="160"/>
      <c r="J507" s="121">
        <f>VLOOKUP($B507,dongia1,DG!$G$5,)</f>
        <v>0</v>
      </c>
      <c r="K507" s="121">
        <f>VLOOKUP($B507,dongia1,DG!$H$5,)</f>
        <v>0</v>
      </c>
      <c r="L507" s="39" t="e">
        <f t="shared" si="156"/>
        <v>#REF!</v>
      </c>
      <c r="M507" s="39" t="e">
        <f t="shared" si="157"/>
        <v>#REF!</v>
      </c>
      <c r="N507" s="39" t="e">
        <f t="shared" si="158"/>
        <v>#REF!</v>
      </c>
      <c r="O507" s="39" t="e">
        <f t="shared" si="159"/>
        <v>#REF!</v>
      </c>
      <c r="P507" s="161"/>
    </row>
    <row r="508" spans="1:16" s="34" customFormat="1">
      <c r="A508" s="29" t="e">
        <f t="shared" si="155"/>
        <v>#REF!</v>
      </c>
      <c r="B508" s="159" t="s">
        <v>1875</v>
      </c>
      <c r="C508" s="119"/>
      <c r="D508" s="120"/>
      <c r="E508" s="151" t="str">
        <f>VLOOKUP($B508,dongia1,DG!$C$5,)</f>
        <v>Bêtông nhựa nóng hạt thô</v>
      </c>
      <c r="F508" s="120" t="str">
        <f>VLOOKUP($B508,dongia1,DG!$D$5,)</f>
        <v>m3</v>
      </c>
      <c r="G508" s="74" t="e">
        <f>+G503*0.069</f>
        <v>#REF!</v>
      </c>
      <c r="H508" s="121">
        <f>VLOOKUP($B508,dongia1,DG!$F$5,)</f>
        <v>732002</v>
      </c>
      <c r="I508" s="160"/>
      <c r="J508" s="121">
        <f>VLOOKUP($B508,dongia1,DG!$G$5,)</f>
        <v>0</v>
      </c>
      <c r="K508" s="121">
        <f>VLOOKUP($B508,dongia1,DG!$H$5,)</f>
        <v>0</v>
      </c>
      <c r="L508" s="39" t="e">
        <f t="shared" si="156"/>
        <v>#REF!</v>
      </c>
      <c r="M508" s="39" t="e">
        <f t="shared" si="157"/>
        <v>#REF!</v>
      </c>
      <c r="N508" s="39" t="e">
        <f t="shared" si="158"/>
        <v>#REF!</v>
      </c>
      <c r="O508" s="39" t="e">
        <f t="shared" si="159"/>
        <v>#REF!</v>
      </c>
      <c r="P508" s="161"/>
    </row>
    <row r="509" spans="1:16" s="34" customFormat="1">
      <c r="A509" s="29" t="e">
        <f t="shared" si="155"/>
        <v>#REF!</v>
      </c>
      <c r="B509" s="159" t="s">
        <v>1495</v>
      </c>
      <c r="C509" s="119"/>
      <c r="D509" s="120"/>
      <c r="E509" s="151" t="str">
        <f>VLOOKUP($B509,dongia1,DG!$C$5,)</f>
        <v>Gạch tàu</v>
      </c>
      <c r="F509" s="120" t="str">
        <f>VLOOKUP($B509,dongia1,DG!$D$5,)</f>
        <v>viên</v>
      </c>
      <c r="G509" s="74" t="e">
        <f>6.6*G503</f>
        <v>#REF!</v>
      </c>
      <c r="H509" s="121">
        <f>VLOOKUP($B509,dongia1,DG!$F$5,)</f>
        <v>7000</v>
      </c>
      <c r="I509" s="160"/>
      <c r="J509" s="121">
        <f>VLOOKUP($B509,dongia1,DG!$G$5,)</f>
        <v>0</v>
      </c>
      <c r="K509" s="121">
        <f>VLOOKUP($B509,dongia1,DG!$H$5,)</f>
        <v>0</v>
      </c>
      <c r="L509" s="39" t="e">
        <f t="shared" si="156"/>
        <v>#REF!</v>
      </c>
      <c r="M509" s="39" t="e">
        <f t="shared" si="157"/>
        <v>#REF!</v>
      </c>
      <c r="N509" s="39" t="e">
        <f t="shared" si="158"/>
        <v>#REF!</v>
      </c>
      <c r="O509" s="39" t="e">
        <f t="shared" si="159"/>
        <v>#REF!</v>
      </c>
      <c r="P509" s="161"/>
    </row>
    <row r="510" spans="1:16" s="34" customFormat="1">
      <c r="A510" s="29" t="e">
        <f t="shared" si="155"/>
        <v>#REF!</v>
      </c>
      <c r="B510" s="159" t="s">
        <v>1496</v>
      </c>
      <c r="C510" s="119"/>
      <c r="D510" s="120"/>
      <c r="E510" s="151" t="str">
        <f>VLOOKUP($B510,dongia1,DG!$C$5,)</f>
        <v>Tấm nilông màu cảnh báo</v>
      </c>
      <c r="F510" s="120" t="str">
        <f>VLOOKUP($B510,dongia1,DG!$D$5,)</f>
        <v>m2</v>
      </c>
      <c r="G510" s="74" t="e">
        <f>G503*0.3*3</f>
        <v>#REF!</v>
      </c>
      <c r="H510" s="121">
        <f>VLOOKUP($B510,dongia1,DG!$F$5,)</f>
        <v>10000</v>
      </c>
      <c r="I510" s="160"/>
      <c r="J510" s="121">
        <f>VLOOKUP($B510,dongia1,DG!$G$5,)</f>
        <v>1187.155</v>
      </c>
      <c r="K510" s="121">
        <f>VLOOKUP($B510,dongia1,DG!$H$5,)</f>
        <v>0</v>
      </c>
      <c r="L510" s="39" t="e">
        <f t="shared" si="156"/>
        <v>#REF!</v>
      </c>
      <c r="M510" s="39" t="e">
        <f t="shared" si="157"/>
        <v>#REF!</v>
      </c>
      <c r="N510" s="39" t="e">
        <f t="shared" si="158"/>
        <v>#REF!</v>
      </c>
      <c r="O510" s="39" t="e">
        <f t="shared" si="159"/>
        <v>#REF!</v>
      </c>
      <c r="P510" s="161"/>
    </row>
    <row r="511" spans="1:16" s="34" customFormat="1">
      <c r="A511" s="29" t="e">
        <f t="shared" si="155"/>
        <v>#REF!</v>
      </c>
      <c r="B511" s="159" t="s">
        <v>961</v>
      </c>
      <c r="C511" s="119"/>
      <c r="D511" s="120">
        <f>VLOOKUP($B511,dongia1,DG!$B$5,)</f>
        <v>0</v>
      </c>
      <c r="E511" s="151" t="str">
        <f>VLOOKUP($B511,dongia1,DG!$C$5,)</f>
        <v xml:space="preserve">Ống PVC D114x4,9mm </v>
      </c>
      <c r="F511" s="120" t="str">
        <f>VLOOKUP($B511,dongia1,DG!$D$5,)</f>
        <v>m</v>
      </c>
      <c r="G511" s="74" t="e">
        <f>3*G503</f>
        <v>#REF!</v>
      </c>
      <c r="H511" s="121">
        <f>VLOOKUP($B511,dongia1,DG!$F$5,)</f>
        <v>103700</v>
      </c>
      <c r="I511" s="160"/>
      <c r="J511" s="121">
        <f>VLOOKUP($B511,dongia1,DG!$G$5,)</f>
        <v>0</v>
      </c>
      <c r="K511" s="121">
        <f>VLOOKUP($B511,dongia1,DG!$H$5,)</f>
        <v>0</v>
      </c>
      <c r="L511" s="39" t="e">
        <f t="shared" si="156"/>
        <v>#REF!</v>
      </c>
      <c r="M511" s="39" t="e">
        <f t="shared" si="157"/>
        <v>#REF!</v>
      </c>
      <c r="N511" s="39" t="e">
        <f t="shared" si="158"/>
        <v>#REF!</v>
      </c>
      <c r="O511" s="39" t="e">
        <f t="shared" si="159"/>
        <v>#REF!</v>
      </c>
      <c r="P511" s="161"/>
    </row>
    <row r="512" spans="1:16" s="34" customFormat="1">
      <c r="A512" s="29" t="e">
        <f t="shared" si="155"/>
        <v>#REF!</v>
      </c>
      <c r="B512" s="159" t="s">
        <v>101</v>
      </c>
      <c r="C512" s="119"/>
      <c r="D512" s="120" t="str">
        <f>VLOOKUP($B512,dongia1,DG!$B$5,)</f>
        <v>D4.1104</v>
      </c>
      <c r="E512" s="151" t="str">
        <f>VLOOKUP($B512,dongia1,DG!$C$5,)</f>
        <v>Lắp gạch làm dấu</v>
      </c>
      <c r="F512" s="120" t="str">
        <f>VLOOKUP($B512,dongia1,DG!$D$5,)</f>
        <v>viên</v>
      </c>
      <c r="G512" s="74" t="e">
        <f>+G509*G503</f>
        <v>#REF!</v>
      </c>
      <c r="H512" s="121">
        <f>VLOOKUP($B512,dongia1,DG!$F$5,)</f>
        <v>0</v>
      </c>
      <c r="I512" s="160"/>
      <c r="J512" s="121">
        <f>VLOOKUP($B512,dongia1,DG!$G$5,)</f>
        <v>916.64</v>
      </c>
      <c r="K512" s="121">
        <f>VLOOKUP($B512,dongia1,DG!$H$5,)</f>
        <v>0</v>
      </c>
      <c r="L512" s="39" t="e">
        <f t="shared" si="156"/>
        <v>#REF!</v>
      </c>
      <c r="M512" s="39" t="e">
        <f t="shared" si="157"/>
        <v>#REF!</v>
      </c>
      <c r="N512" s="39" t="e">
        <f t="shared" si="158"/>
        <v>#REF!</v>
      </c>
      <c r="O512" s="39" t="e">
        <f t="shared" si="159"/>
        <v>#REF!</v>
      </c>
      <c r="P512" s="161"/>
    </row>
    <row r="513" spans="1:16" s="34" customFormat="1">
      <c r="A513" s="29" t="e">
        <f t="shared" si="155"/>
        <v>#REF!</v>
      </c>
      <c r="B513" s="159" t="s">
        <v>1498</v>
      </c>
      <c r="C513" s="119"/>
      <c r="D513" s="120" t="str">
        <f>VLOOKUP($B513,dongia1,DG!$B$5,)</f>
        <v>AB.66112</v>
      </c>
      <c r="E513" s="151" t="str">
        <f>VLOOKUP($B513,dongia1,DG!$C$5,)&amp;" + ñaép ñaát"</f>
        <v>Rải cát đệm (độ chặt K=0,9) + ñaép ñaát</v>
      </c>
      <c r="F513" s="120" t="str">
        <f>VLOOKUP($B513,dongia1,DG!$D$5,)</f>
        <v>m3</v>
      </c>
      <c r="G513" s="74" t="e">
        <f>+G505+G506+G507</f>
        <v>#REF!</v>
      </c>
      <c r="H513" s="121">
        <f>VLOOKUP($B513,dongia1,DG!$F$5,)</f>
        <v>0</v>
      </c>
      <c r="I513" s="160"/>
      <c r="J513" s="121">
        <f>VLOOKUP($B513,dongia1,DG!$G$5,)</f>
        <v>315277.5</v>
      </c>
      <c r="K513" s="121">
        <f>VLOOKUP($B513,dongia1,DG!$H$5,)</f>
        <v>0</v>
      </c>
      <c r="L513" s="39" t="e">
        <f t="shared" si="156"/>
        <v>#REF!</v>
      </c>
      <c r="M513" s="39" t="e">
        <f t="shared" si="157"/>
        <v>#REF!</v>
      </c>
      <c r="N513" s="39" t="e">
        <f t="shared" si="158"/>
        <v>#REF!</v>
      </c>
      <c r="O513" s="39" t="e">
        <f t="shared" si="159"/>
        <v>#REF!</v>
      </c>
      <c r="P513" s="161"/>
    </row>
    <row r="514" spans="1:16" s="34" customFormat="1">
      <c r="A514" s="29" t="e">
        <f t="shared" si="155"/>
        <v>#REF!</v>
      </c>
      <c r="B514" s="159" t="s">
        <v>1645</v>
      </c>
      <c r="C514" s="119"/>
      <c r="D514" s="120" t="str">
        <f>VLOOKUP($B514,dongia1,DG!$B$5,)</f>
        <v>03.1013</v>
      </c>
      <c r="E514" s="151" t="str">
        <f>VLOOKUP($B514,dongia1,DG!$C$5,)</f>
        <v>Đào hố móng đất cấp 3 sâu &gt;1m DT&lt;5m2</v>
      </c>
      <c r="F514" s="120" t="str">
        <f>VLOOKUP($B514,dongia1,DG!$D$5,)</f>
        <v>m3</v>
      </c>
      <c r="G514" s="74" t="e">
        <f>0.6*G503*0.8</f>
        <v>#REF!</v>
      </c>
      <c r="H514" s="121">
        <f>VLOOKUP($B514,dongia1,DG!$F$5,)</f>
        <v>0</v>
      </c>
      <c r="I514" s="160"/>
      <c r="J514" s="121">
        <f>VLOOKUP($B514,dongia1,DG!$G$5,)</f>
        <v>296500.89999999997</v>
      </c>
      <c r="K514" s="121">
        <f>VLOOKUP($B514,dongia1,DG!$H$5,)</f>
        <v>0</v>
      </c>
      <c r="L514" s="39" t="e">
        <f t="shared" si="156"/>
        <v>#REF!</v>
      </c>
      <c r="M514" s="39" t="e">
        <f t="shared" si="157"/>
        <v>#REF!</v>
      </c>
      <c r="N514" s="39" t="e">
        <f t="shared" si="158"/>
        <v>#REF!</v>
      </c>
      <c r="O514" s="39" t="e">
        <f t="shared" si="159"/>
        <v>#REF!</v>
      </c>
      <c r="P514" s="161"/>
    </row>
    <row r="515" spans="1:16" s="34" customFormat="1">
      <c r="A515" s="29" t="e">
        <f t="shared" si="155"/>
        <v>#REF!</v>
      </c>
      <c r="B515" s="159" t="s">
        <v>568</v>
      </c>
      <c r="C515" s="119"/>
      <c r="D515" s="120" t="str">
        <f>VLOOKUP($B515,dongia1,DG!$B$5,)</f>
        <v>ED.2005</v>
      </c>
      <c r="E515" s="151" t="str">
        <f>VLOOKUP($B515,dongia1,DG!$C$5,)</f>
        <v>Tái lập bêtông nhựa nóng hạt thô 7mm</v>
      </c>
      <c r="F515" s="120" t="str">
        <f>VLOOKUP($B515,dongia1,DG!$D$5,)</f>
        <v>m2</v>
      </c>
      <c r="G515" s="74" t="e">
        <f>G512*0</f>
        <v>#REF!</v>
      </c>
      <c r="H515" s="121"/>
      <c r="I515" s="160"/>
      <c r="J515" s="121">
        <f>VLOOKUP($B515,dongia1,DG!$G$5,)</f>
        <v>338</v>
      </c>
      <c r="K515" s="121">
        <f>VLOOKUP($B515,dongia1,DG!$H$5,)</f>
        <v>1269</v>
      </c>
      <c r="L515" s="39" t="e">
        <f t="shared" si="156"/>
        <v>#REF!</v>
      </c>
      <c r="M515" s="39" t="e">
        <f t="shared" si="157"/>
        <v>#REF!</v>
      </c>
      <c r="N515" s="39" t="e">
        <f t="shared" si="158"/>
        <v>#REF!</v>
      </c>
      <c r="O515" s="39" t="e">
        <f t="shared" si="159"/>
        <v>#REF!</v>
      </c>
      <c r="P515" s="161"/>
    </row>
    <row r="516" spans="1:16" s="61" customFormat="1">
      <c r="A516" s="137" t="str">
        <f>IF(G516=0,"",1)</f>
        <v/>
      </c>
      <c r="B516" s="181"/>
      <c r="C516" s="166" t="e">
        <f>IF(G516&gt;0,C490+1,C490)</f>
        <v>#REF!</v>
      </c>
      <c r="D516" s="167"/>
      <c r="E516" s="168" t="s">
        <v>3841</v>
      </c>
      <c r="F516" s="169" t="s">
        <v>3819</v>
      </c>
      <c r="G516" s="67"/>
      <c r="H516" s="170"/>
      <c r="I516" s="170"/>
      <c r="J516" s="172"/>
      <c r="K516" s="172"/>
      <c r="L516" s="64">
        <f>H516*$G516</f>
        <v>0</v>
      </c>
      <c r="M516" s="64">
        <f>I516*$G516</f>
        <v>0</v>
      </c>
      <c r="N516" s="64">
        <f>J516*$G516</f>
        <v>0</v>
      </c>
      <c r="O516" s="64">
        <f>K516*$G516</f>
        <v>0</v>
      </c>
      <c r="P516" s="173"/>
    </row>
    <row r="517" spans="1:16" s="34" customFormat="1" ht="14.4">
      <c r="A517" s="29" t="str">
        <f>A516</f>
        <v/>
      </c>
      <c r="B517" s="109"/>
      <c r="C517" s="215"/>
      <c r="D517" s="120"/>
      <c r="E517" s="196" t="s">
        <v>3378</v>
      </c>
      <c r="F517" s="146"/>
      <c r="G517" s="65"/>
      <c r="H517" s="147"/>
      <c r="I517" s="147"/>
      <c r="J517" s="149"/>
      <c r="K517" s="147"/>
      <c r="L517" s="58"/>
      <c r="M517" s="58"/>
      <c r="N517" s="58"/>
      <c r="O517" s="58"/>
      <c r="P517" s="150"/>
    </row>
    <row r="518" spans="1:16" s="34" customFormat="1">
      <c r="A518" s="29" t="str">
        <f t="shared" ref="A518:A529" si="160">IF(G518=0,"",1)</f>
        <v/>
      </c>
      <c r="B518" s="125" t="s">
        <v>1092</v>
      </c>
      <c r="C518" s="119"/>
      <c r="D518" s="120"/>
      <c r="E518" s="151" t="str">
        <f>VLOOKUP($B518,dongia1,DG!$C$5,)</f>
        <v>Cát san lắp</v>
      </c>
      <c r="F518" s="120" t="str">
        <f>VLOOKUP($B518,dongia1,DG!$D$5,)</f>
        <v>m3</v>
      </c>
      <c r="G518" s="74">
        <f>0.446*G516</f>
        <v>0</v>
      </c>
      <c r="H518" s="121">
        <f>VLOOKUP($B518,dongia1,DG!$F$5,)</f>
        <v>100000</v>
      </c>
      <c r="I518" s="160"/>
      <c r="J518" s="121">
        <f>VLOOKUP($B518,dongia1,DG!$G$5,)</f>
        <v>0</v>
      </c>
      <c r="K518" s="121">
        <f>VLOOKUP($B518,dongia1,DG!$H$5,)</f>
        <v>0</v>
      </c>
      <c r="L518" s="39">
        <f t="shared" ref="L518:L529" si="161">H518*$G518</f>
        <v>0</v>
      </c>
      <c r="M518" s="39">
        <f t="shared" ref="M518:M529" si="162">I518*$G518</f>
        <v>0</v>
      </c>
      <c r="N518" s="39">
        <f t="shared" ref="N518:N529" si="163">J518*$G518</f>
        <v>0</v>
      </c>
      <c r="O518" s="39">
        <f t="shared" ref="O518:O529" si="164">K518*$G518</f>
        <v>0</v>
      </c>
      <c r="P518" s="161"/>
    </row>
    <row r="519" spans="1:16" s="34" customFormat="1">
      <c r="A519" s="29" t="str">
        <f t="shared" si="160"/>
        <v/>
      </c>
      <c r="B519" s="159" t="s">
        <v>853</v>
      </c>
      <c r="C519" s="119"/>
      <c r="D519" s="120"/>
      <c r="E519" s="151" t="str">
        <f>VLOOKUP($B519,dongia1,DG!$C$5,)</f>
        <v>Đá 1x2</v>
      </c>
      <c r="F519" s="120" t="str">
        <f>VLOOKUP($B519,dongia1,DG!$D$5,)</f>
        <v>m3</v>
      </c>
      <c r="G519" s="74"/>
      <c r="H519" s="121">
        <f>VLOOKUP($B519,dongia1,DG!$F$5,)</f>
        <v>335000</v>
      </c>
      <c r="I519" s="160"/>
      <c r="J519" s="121">
        <f>VLOOKUP($B519,dongia1,DG!$G$5,)</f>
        <v>0</v>
      </c>
      <c r="K519" s="121">
        <f>VLOOKUP($B519,dongia1,DG!$H$5,)</f>
        <v>0</v>
      </c>
      <c r="L519" s="39">
        <f t="shared" si="161"/>
        <v>0</v>
      </c>
      <c r="M519" s="39">
        <f t="shared" si="162"/>
        <v>0</v>
      </c>
      <c r="N519" s="39">
        <f t="shared" si="163"/>
        <v>0</v>
      </c>
      <c r="O519" s="39">
        <f t="shared" si="164"/>
        <v>0</v>
      </c>
      <c r="P519" s="161"/>
    </row>
    <row r="520" spans="1:16" s="34" customFormat="1">
      <c r="A520" s="29" t="str">
        <f t="shared" si="160"/>
        <v/>
      </c>
      <c r="B520" s="159" t="s">
        <v>817</v>
      </c>
      <c r="C520" s="119"/>
      <c r="D520" s="120"/>
      <c r="E520" s="151" t="str">
        <f>VLOOKUP($B520,dongia1,DG!$C$5,)</f>
        <v>Đá 2x4</v>
      </c>
      <c r="F520" s="120" t="str">
        <f>VLOOKUP($B520,dongia1,DG!$D$5,)</f>
        <v>m3</v>
      </c>
      <c r="G520" s="74"/>
      <c r="H520" s="121">
        <f>VLOOKUP($B520,dongia1,DG!$F$5,)</f>
        <v>295000</v>
      </c>
      <c r="I520" s="160"/>
      <c r="J520" s="121">
        <f>VLOOKUP($B520,dongia1,DG!$G$5,)</f>
        <v>0</v>
      </c>
      <c r="K520" s="121">
        <f>VLOOKUP($B520,dongia1,DG!$H$5,)</f>
        <v>0</v>
      </c>
      <c r="L520" s="39">
        <f t="shared" si="161"/>
        <v>0</v>
      </c>
      <c r="M520" s="39">
        <f t="shared" si="162"/>
        <v>0</v>
      </c>
      <c r="N520" s="39">
        <f t="shared" si="163"/>
        <v>0</v>
      </c>
      <c r="O520" s="39">
        <f t="shared" si="164"/>
        <v>0</v>
      </c>
      <c r="P520" s="161"/>
    </row>
    <row r="521" spans="1:16" s="34" customFormat="1">
      <c r="A521" s="29" t="str">
        <f t="shared" si="160"/>
        <v/>
      </c>
      <c r="B521" s="159" t="s">
        <v>1728</v>
      </c>
      <c r="C521" s="119"/>
      <c r="D521" s="120"/>
      <c r="E521" s="151" t="str">
        <f>VLOOKUP($B521,dongia1,DG!$C$5,)</f>
        <v>Ximăng</v>
      </c>
      <c r="F521" s="120" t="str">
        <f>VLOOKUP($B521,dongia1,DG!$D$5,)</f>
        <v>kg</v>
      </c>
      <c r="G521" s="74"/>
      <c r="H521" s="121">
        <f>VLOOKUP($B521,dongia1,DG!$F$5,)</f>
        <v>1740</v>
      </c>
      <c r="I521" s="160"/>
      <c r="J521" s="121">
        <f>VLOOKUP($B521,dongia1,DG!$G$5,)</f>
        <v>0</v>
      </c>
      <c r="K521" s="121">
        <f>VLOOKUP($B521,dongia1,DG!$H$5,)</f>
        <v>0</v>
      </c>
      <c r="L521" s="39">
        <f t="shared" si="161"/>
        <v>0</v>
      </c>
      <c r="M521" s="39">
        <f t="shared" si="162"/>
        <v>0</v>
      </c>
      <c r="N521" s="39">
        <f t="shared" si="163"/>
        <v>0</v>
      </c>
      <c r="O521" s="39">
        <f t="shared" si="164"/>
        <v>0</v>
      </c>
      <c r="P521" s="161"/>
    </row>
    <row r="522" spans="1:16" s="34" customFormat="1">
      <c r="A522" s="29" t="str">
        <f t="shared" si="160"/>
        <v/>
      </c>
      <c r="B522" s="159" t="s">
        <v>1495</v>
      </c>
      <c r="C522" s="119"/>
      <c r="D522" s="120"/>
      <c r="E522" s="151" t="str">
        <f>VLOOKUP($B522,dongia1,DG!$C$5,)</f>
        <v>Gạch tàu</v>
      </c>
      <c r="F522" s="120" t="str">
        <f>VLOOKUP($B522,dongia1,DG!$D$5,)</f>
        <v>viên</v>
      </c>
      <c r="G522" s="74">
        <f>9.9*G516</f>
        <v>0</v>
      </c>
      <c r="H522" s="121">
        <f>VLOOKUP($B522,dongia1,DG!$F$5,)</f>
        <v>7000</v>
      </c>
      <c r="I522" s="160"/>
      <c r="J522" s="121">
        <f>VLOOKUP($B522,dongia1,DG!$G$5,)</f>
        <v>0</v>
      </c>
      <c r="K522" s="121">
        <f>VLOOKUP($B522,dongia1,DG!$H$5,)</f>
        <v>0</v>
      </c>
      <c r="L522" s="39">
        <f t="shared" si="161"/>
        <v>0</v>
      </c>
      <c r="M522" s="39">
        <f t="shared" si="162"/>
        <v>0</v>
      </c>
      <c r="N522" s="39">
        <f t="shared" si="163"/>
        <v>0</v>
      </c>
      <c r="O522" s="39">
        <f t="shared" si="164"/>
        <v>0</v>
      </c>
      <c r="P522" s="161"/>
    </row>
    <row r="523" spans="1:16" s="34" customFormat="1">
      <c r="A523" s="29" t="str">
        <f t="shared" si="160"/>
        <v/>
      </c>
      <c r="B523" s="159" t="s">
        <v>1496</v>
      </c>
      <c r="C523" s="119"/>
      <c r="D523" s="120"/>
      <c r="E523" s="151" t="str">
        <f>VLOOKUP($B523,dongia1,DG!$C$5,)</f>
        <v>Tấm nilông màu cảnh báo</v>
      </c>
      <c r="F523" s="120" t="str">
        <f>VLOOKUP($B523,dongia1,DG!$D$5,)</f>
        <v>m2</v>
      </c>
      <c r="G523" s="74">
        <f>G516*0.9</f>
        <v>0</v>
      </c>
      <c r="H523" s="121">
        <f>VLOOKUP($B523,dongia1,DG!$F$5,)</f>
        <v>10000</v>
      </c>
      <c r="I523" s="160"/>
      <c r="J523" s="121">
        <f>VLOOKUP($B523,dongia1,DG!$G$5,)</f>
        <v>1187.155</v>
      </c>
      <c r="K523" s="121">
        <f>VLOOKUP($B523,dongia1,DG!$H$5,)</f>
        <v>0</v>
      </c>
      <c r="L523" s="39">
        <f t="shared" si="161"/>
        <v>0</v>
      </c>
      <c r="M523" s="39">
        <f t="shared" si="162"/>
        <v>0</v>
      </c>
      <c r="N523" s="39">
        <f t="shared" si="163"/>
        <v>0</v>
      </c>
      <c r="O523" s="39">
        <f t="shared" si="164"/>
        <v>0</v>
      </c>
      <c r="P523" s="161"/>
    </row>
    <row r="524" spans="1:16" s="34" customFormat="1">
      <c r="A524" s="29" t="str">
        <f t="shared" si="160"/>
        <v/>
      </c>
      <c r="B524" s="159" t="s">
        <v>961</v>
      </c>
      <c r="C524" s="119"/>
      <c r="D524" s="120">
        <f>VLOOKUP($B524,dongia1,DG!$B$5,)</f>
        <v>0</v>
      </c>
      <c r="E524" s="151" t="str">
        <f>VLOOKUP($B524,dongia1,DG!$C$5,)</f>
        <v xml:space="preserve">Ống PVC D114x4,9mm </v>
      </c>
      <c r="F524" s="120" t="str">
        <f>VLOOKUP($B524,dongia1,DG!$D$5,)</f>
        <v>m</v>
      </c>
      <c r="G524" s="74">
        <f>G516*3</f>
        <v>0</v>
      </c>
      <c r="H524" s="121">
        <f>VLOOKUP($B524,dongia1,DG!$F$5,)</f>
        <v>103700</v>
      </c>
      <c r="I524" s="160"/>
      <c r="J524" s="121">
        <f>VLOOKUP($B524,dongia1,DG!$G$5,)</f>
        <v>0</v>
      </c>
      <c r="K524" s="121">
        <f>VLOOKUP($B524,dongia1,DG!$H$5,)</f>
        <v>0</v>
      </c>
      <c r="L524" s="39">
        <f t="shared" si="161"/>
        <v>0</v>
      </c>
      <c r="M524" s="39">
        <f t="shared" si="162"/>
        <v>0</v>
      </c>
      <c r="N524" s="39">
        <f t="shared" si="163"/>
        <v>0</v>
      </c>
      <c r="O524" s="39">
        <f t="shared" si="164"/>
        <v>0</v>
      </c>
      <c r="P524" s="161"/>
    </row>
    <row r="525" spans="1:16" s="34" customFormat="1">
      <c r="A525" s="29" t="str">
        <f t="shared" si="160"/>
        <v/>
      </c>
      <c r="B525" s="159" t="s">
        <v>101</v>
      </c>
      <c r="C525" s="119"/>
      <c r="D525" s="120" t="str">
        <f>VLOOKUP($B525,dongia1,DG!$B$5,)</f>
        <v>D4.1104</v>
      </c>
      <c r="E525" s="151" t="str">
        <f>VLOOKUP($B525,dongia1,DG!$C$5,)</f>
        <v>Lắp gạch làm dấu</v>
      </c>
      <c r="F525" s="120" t="str">
        <f>VLOOKUP($B525,dongia1,DG!$D$5,)</f>
        <v>viên</v>
      </c>
      <c r="G525" s="74">
        <f>+G522*G516</f>
        <v>0</v>
      </c>
      <c r="H525" s="121">
        <f>VLOOKUP($B525,dongia1,DG!$F$5,)</f>
        <v>0</v>
      </c>
      <c r="I525" s="160"/>
      <c r="J525" s="121">
        <f>VLOOKUP($B525,dongia1,DG!$G$5,)</f>
        <v>916.64</v>
      </c>
      <c r="K525" s="121">
        <f>VLOOKUP($B525,dongia1,DG!$H$5,)</f>
        <v>0</v>
      </c>
      <c r="L525" s="39">
        <f t="shared" si="161"/>
        <v>0</v>
      </c>
      <c r="M525" s="39">
        <f t="shared" si="162"/>
        <v>0</v>
      </c>
      <c r="N525" s="39">
        <f t="shared" si="163"/>
        <v>0</v>
      </c>
      <c r="O525" s="39">
        <f t="shared" si="164"/>
        <v>0</v>
      </c>
      <c r="P525" s="161"/>
    </row>
    <row r="526" spans="1:16" s="34" customFormat="1">
      <c r="A526" s="29" t="str">
        <f t="shared" si="160"/>
        <v/>
      </c>
      <c r="B526" s="159" t="s">
        <v>1498</v>
      </c>
      <c r="C526" s="119"/>
      <c r="D526" s="120" t="str">
        <f>VLOOKUP($B526,dongia1,DG!$B$5,)</f>
        <v>AB.66112</v>
      </c>
      <c r="E526" s="151" t="str">
        <f>VLOOKUP($B526,dongia1,DG!$C$5,)&amp;" + ñaép ñaát"</f>
        <v>Rải cát đệm (độ chặt K=0,9) + ñaép ñaát</v>
      </c>
      <c r="F526" s="120" t="str">
        <f>VLOOKUP($B526,dongia1,DG!$D$5,)</f>
        <v>m3</v>
      </c>
      <c r="G526" s="74">
        <f>G518+G519+G520</f>
        <v>0</v>
      </c>
      <c r="H526" s="121">
        <f>VLOOKUP($B526,dongia1,DG!$F$5,)</f>
        <v>0</v>
      </c>
      <c r="I526" s="155"/>
      <c r="J526" s="121">
        <f>VLOOKUP($B526,dongia1,DG!$G$5,)</f>
        <v>315277.5</v>
      </c>
      <c r="K526" s="121">
        <f>VLOOKUP($B526,dongia1,DG!$H$5,)</f>
        <v>0</v>
      </c>
      <c r="L526" s="39">
        <f t="shared" si="161"/>
        <v>0</v>
      </c>
      <c r="M526" s="39">
        <f t="shared" si="162"/>
        <v>0</v>
      </c>
      <c r="N526" s="39">
        <f t="shared" si="163"/>
        <v>0</v>
      </c>
      <c r="O526" s="39">
        <f t="shared" si="164"/>
        <v>0</v>
      </c>
      <c r="P526" s="112"/>
    </row>
    <row r="527" spans="1:16" s="34" customFormat="1">
      <c r="A527" s="29" t="str">
        <f t="shared" si="160"/>
        <v/>
      </c>
      <c r="B527" s="159" t="s">
        <v>1645</v>
      </c>
      <c r="C527" s="119"/>
      <c r="D527" s="120" t="str">
        <f>VLOOKUP($B527,dongia1,DG!$B$5,)</f>
        <v>03.1013</v>
      </c>
      <c r="E527" s="151" t="str">
        <f>VLOOKUP($B527,dongia1,DG!$C$5,)&amp;" 0,7m3/3"</f>
        <v>Đào hố móng đất cấp 3 sâu &gt;1m DT&lt;5m2 0,7m3/3</v>
      </c>
      <c r="F527" s="120" t="str">
        <f>VLOOKUP($B527,dongia1,DG!$D$5,)</f>
        <v>m3</v>
      </c>
      <c r="G527" s="74">
        <f>G516*0.595</f>
        <v>0</v>
      </c>
      <c r="H527" s="121">
        <f>VLOOKUP($B527,dongia1,DG!$F$5,)</f>
        <v>0</v>
      </c>
      <c r="I527" s="155"/>
      <c r="J527" s="121">
        <f>VLOOKUP($B527,dongia1,DG!$G$5,)</f>
        <v>296500.89999999997</v>
      </c>
      <c r="K527" s="121">
        <f>VLOOKUP($B527,dongia1,DG!$H$5,)</f>
        <v>0</v>
      </c>
      <c r="L527" s="39">
        <f t="shared" si="161"/>
        <v>0</v>
      </c>
      <c r="M527" s="39">
        <f t="shared" si="162"/>
        <v>0</v>
      </c>
      <c r="N527" s="39">
        <f t="shared" si="163"/>
        <v>0</v>
      </c>
      <c r="O527" s="39">
        <f t="shared" si="164"/>
        <v>0</v>
      </c>
      <c r="P527" s="112"/>
    </row>
    <row r="528" spans="1:16" s="34" customFormat="1" ht="27.6">
      <c r="A528" s="29" t="str">
        <f t="shared" si="160"/>
        <v/>
      </c>
      <c r="B528" s="159" t="s">
        <v>2065</v>
      </c>
      <c r="C528" s="119"/>
      <c r="D528" s="120" t="str">
        <f>VLOOKUP($B528,dongia1,DG!$B$5,)</f>
        <v>AF.11220</v>
      </c>
      <c r="E528" s="151" t="str">
        <f>VLOOKUP($B528,dongia1,DG!$C$5,)&amp;" 0,047m3/m"</f>
        <v>Đổ bê tông mác M150 đá 2x4 rộng &gt;250cm 0,047m3/m</v>
      </c>
      <c r="F528" s="120" t="str">
        <f>VLOOKUP($B528,dongia1,DG!$D$5,)</f>
        <v>m3</v>
      </c>
      <c r="G528" s="74">
        <f>G516*0.047*0</f>
        <v>0</v>
      </c>
      <c r="H528" s="121">
        <f>VLOOKUP($B528,dongia1,DG!$F$5,)</f>
        <v>461871</v>
      </c>
      <c r="I528" s="160"/>
      <c r="J528" s="121">
        <f>VLOOKUP($B528,dongia1,DG!$G$5,)</f>
        <v>414064.45</v>
      </c>
      <c r="K528" s="121">
        <f>VLOOKUP($B528,dongia1,DG!$H$5,)</f>
        <v>0</v>
      </c>
      <c r="L528" s="39">
        <f t="shared" si="161"/>
        <v>0</v>
      </c>
      <c r="M528" s="39">
        <f t="shared" si="162"/>
        <v>0</v>
      </c>
      <c r="N528" s="39">
        <f t="shared" si="163"/>
        <v>0</v>
      </c>
      <c r="O528" s="39">
        <f t="shared" si="164"/>
        <v>0</v>
      </c>
      <c r="P528" s="161"/>
    </row>
    <row r="529" spans="1:16" s="61" customFormat="1">
      <c r="A529" s="137" t="str">
        <f t="shared" si="160"/>
        <v/>
      </c>
      <c r="B529" s="181"/>
      <c r="C529" s="166">
        <f>IF(G529&gt;0,C514+1,C514)</f>
        <v>0</v>
      </c>
      <c r="D529" s="167"/>
      <c r="E529" s="168" t="s">
        <v>3842</v>
      </c>
      <c r="F529" s="169" t="s">
        <v>3819</v>
      </c>
      <c r="G529" s="63"/>
      <c r="H529" s="170"/>
      <c r="I529" s="170"/>
      <c r="J529" s="172"/>
      <c r="K529" s="172"/>
      <c r="L529" s="64">
        <f t="shared" si="161"/>
        <v>0</v>
      </c>
      <c r="M529" s="64">
        <f t="shared" si="162"/>
        <v>0</v>
      </c>
      <c r="N529" s="64">
        <f t="shared" si="163"/>
        <v>0</v>
      </c>
      <c r="O529" s="64">
        <f t="shared" si="164"/>
        <v>0</v>
      </c>
      <c r="P529" s="173"/>
    </row>
    <row r="530" spans="1:16" s="34" customFormat="1" ht="14.4">
      <c r="A530" s="29" t="str">
        <f>A529</f>
        <v/>
      </c>
      <c r="B530" s="109"/>
      <c r="C530" s="215"/>
      <c r="D530" s="120"/>
      <c r="E530" s="196" t="s">
        <v>3378</v>
      </c>
      <c r="F530" s="146"/>
      <c r="G530" s="65"/>
      <c r="H530" s="147"/>
      <c r="I530" s="147"/>
      <c r="J530" s="149"/>
      <c r="K530" s="147"/>
      <c r="L530" s="58"/>
      <c r="M530" s="58"/>
      <c r="N530" s="58"/>
      <c r="O530" s="58"/>
      <c r="P530" s="150"/>
    </row>
    <row r="531" spans="1:16" s="34" customFormat="1">
      <c r="A531" s="29" t="str">
        <f t="shared" ref="A531:A541" si="165">IF(G531=0,"",1)</f>
        <v/>
      </c>
      <c r="B531" s="159" t="s">
        <v>1092</v>
      </c>
      <c r="C531" s="119"/>
      <c r="D531" s="120"/>
      <c r="E531" s="151" t="str">
        <f>VLOOKUP($B531,dongia1,DG!$C$5,)</f>
        <v>Cát san lắp</v>
      </c>
      <c r="F531" s="120" t="str">
        <f>VLOOKUP($B531,dongia1,DG!$D$5,)</f>
        <v>m3</v>
      </c>
      <c r="G531" s="74">
        <f>0.325*G529</f>
        <v>0</v>
      </c>
      <c r="H531" s="121">
        <f>VLOOKUP($B531,dongia1,DG!$F$5,)</f>
        <v>100000</v>
      </c>
      <c r="I531" s="160"/>
      <c r="J531" s="121">
        <f>VLOOKUP($B531,dongia1,DG!$G$5,)</f>
        <v>0</v>
      </c>
      <c r="K531" s="121">
        <f>VLOOKUP($B531,dongia1,DG!$H$5,)</f>
        <v>0</v>
      </c>
      <c r="L531" s="39">
        <f t="shared" ref="L531:L541" si="166">H531*$G531</f>
        <v>0</v>
      </c>
      <c r="M531" s="39">
        <f t="shared" ref="M531:M541" si="167">I531*$G531</f>
        <v>0</v>
      </c>
      <c r="N531" s="39">
        <f t="shared" ref="N531:N541" si="168">J531*$G531</f>
        <v>0</v>
      </c>
      <c r="O531" s="39">
        <f t="shared" ref="O531:O541" si="169">K531*$G531</f>
        <v>0</v>
      </c>
      <c r="P531" s="161"/>
    </row>
    <row r="532" spans="1:16" s="34" customFormat="1">
      <c r="A532" s="29" t="str">
        <f t="shared" si="165"/>
        <v/>
      </c>
      <c r="B532" s="159" t="s">
        <v>853</v>
      </c>
      <c r="C532" s="119"/>
      <c r="D532" s="120"/>
      <c r="E532" s="151" t="str">
        <f>VLOOKUP($B532,dongia1,DG!$C$5,)</f>
        <v>Đá 1x2</v>
      </c>
      <c r="F532" s="120" t="str">
        <f>VLOOKUP($B532,dongia1,DG!$D$5,)</f>
        <v>m3</v>
      </c>
      <c r="G532" s="74"/>
      <c r="H532" s="121">
        <f>VLOOKUP($B532,dongia1,DG!$F$5,)</f>
        <v>335000</v>
      </c>
      <c r="I532" s="160"/>
      <c r="J532" s="121">
        <f>VLOOKUP($B532,dongia1,DG!$G$5,)</f>
        <v>0</v>
      </c>
      <c r="K532" s="121">
        <f>VLOOKUP($B532,dongia1,DG!$H$5,)</f>
        <v>0</v>
      </c>
      <c r="L532" s="39">
        <f t="shared" si="166"/>
        <v>0</v>
      </c>
      <c r="M532" s="39">
        <f t="shared" si="167"/>
        <v>0</v>
      </c>
      <c r="N532" s="39">
        <f t="shared" si="168"/>
        <v>0</v>
      </c>
      <c r="O532" s="39">
        <f t="shared" si="169"/>
        <v>0</v>
      </c>
      <c r="P532" s="161"/>
    </row>
    <row r="533" spans="1:16" s="34" customFormat="1">
      <c r="A533" s="29" t="str">
        <f t="shared" si="165"/>
        <v/>
      </c>
      <c r="B533" s="159" t="s">
        <v>817</v>
      </c>
      <c r="C533" s="119"/>
      <c r="D533" s="120"/>
      <c r="E533" s="151" t="str">
        <f>VLOOKUP($B533,dongia1,DG!$C$5,)</f>
        <v>Đá 2x4</v>
      </c>
      <c r="F533" s="120" t="str">
        <f>VLOOKUP($B533,dongia1,DG!$D$5,)</f>
        <v>m3</v>
      </c>
      <c r="G533" s="74"/>
      <c r="H533" s="121">
        <f>VLOOKUP($B533,dongia1,DG!$F$5,)</f>
        <v>295000</v>
      </c>
      <c r="I533" s="160"/>
      <c r="J533" s="121">
        <f>VLOOKUP($B533,dongia1,DG!$G$5,)</f>
        <v>0</v>
      </c>
      <c r="K533" s="121">
        <f>VLOOKUP($B533,dongia1,DG!$H$5,)</f>
        <v>0</v>
      </c>
      <c r="L533" s="39">
        <f t="shared" si="166"/>
        <v>0</v>
      </c>
      <c r="M533" s="39">
        <f t="shared" si="167"/>
        <v>0</v>
      </c>
      <c r="N533" s="39">
        <f t="shared" si="168"/>
        <v>0</v>
      </c>
      <c r="O533" s="39">
        <f t="shared" si="169"/>
        <v>0</v>
      </c>
      <c r="P533" s="161"/>
    </row>
    <row r="534" spans="1:16" s="34" customFormat="1">
      <c r="A534" s="29" t="str">
        <f t="shared" si="165"/>
        <v/>
      </c>
      <c r="B534" s="159" t="s">
        <v>1728</v>
      </c>
      <c r="C534" s="119"/>
      <c r="D534" s="120"/>
      <c r="E534" s="151" t="str">
        <f>VLOOKUP($B534,dongia1,DG!$C$5,)</f>
        <v>Ximăng</v>
      </c>
      <c r="F534" s="120" t="str">
        <f>VLOOKUP($B534,dongia1,DG!$D$5,)</f>
        <v>kg</v>
      </c>
      <c r="G534" s="74"/>
      <c r="H534" s="121">
        <f>VLOOKUP($B534,dongia1,DG!$F$5,)</f>
        <v>1740</v>
      </c>
      <c r="I534" s="160"/>
      <c r="J534" s="121">
        <f>VLOOKUP($B534,dongia1,DG!$G$5,)</f>
        <v>0</v>
      </c>
      <c r="K534" s="121">
        <f>VLOOKUP($B534,dongia1,DG!$H$5,)</f>
        <v>0</v>
      </c>
      <c r="L534" s="39">
        <f t="shared" si="166"/>
        <v>0</v>
      </c>
      <c r="M534" s="39">
        <f t="shared" si="167"/>
        <v>0</v>
      </c>
      <c r="N534" s="39">
        <f t="shared" si="168"/>
        <v>0</v>
      </c>
      <c r="O534" s="39">
        <f t="shared" si="169"/>
        <v>0</v>
      </c>
      <c r="P534" s="161"/>
    </row>
    <row r="535" spans="1:16" s="34" customFormat="1">
      <c r="A535" s="29" t="str">
        <f t="shared" si="165"/>
        <v/>
      </c>
      <c r="B535" s="159" t="s">
        <v>1495</v>
      </c>
      <c r="C535" s="119"/>
      <c r="D535" s="120"/>
      <c r="E535" s="151" t="str">
        <f>VLOOKUP($B535,dongia1,DG!$C$5,)</f>
        <v>Gạch tàu</v>
      </c>
      <c r="F535" s="120" t="str">
        <f>VLOOKUP($B535,dongia1,DG!$D$5,)</f>
        <v>viên</v>
      </c>
      <c r="G535" s="74">
        <f>6.6*G529</f>
        <v>0</v>
      </c>
      <c r="H535" s="121">
        <f>VLOOKUP($B535,dongia1,DG!$F$5,)</f>
        <v>7000</v>
      </c>
      <c r="I535" s="160"/>
      <c r="J535" s="121">
        <f>VLOOKUP($B535,dongia1,DG!$G$5,)</f>
        <v>0</v>
      </c>
      <c r="K535" s="121">
        <f>VLOOKUP($B535,dongia1,DG!$H$5,)</f>
        <v>0</v>
      </c>
      <c r="L535" s="39">
        <f t="shared" si="166"/>
        <v>0</v>
      </c>
      <c r="M535" s="39">
        <f t="shared" si="167"/>
        <v>0</v>
      </c>
      <c r="N535" s="39">
        <f t="shared" si="168"/>
        <v>0</v>
      </c>
      <c r="O535" s="39">
        <f t="shared" si="169"/>
        <v>0</v>
      </c>
      <c r="P535" s="161"/>
    </row>
    <row r="536" spans="1:16" s="34" customFormat="1">
      <c r="A536" s="29" t="str">
        <f t="shared" si="165"/>
        <v/>
      </c>
      <c r="B536" s="159" t="s">
        <v>1496</v>
      </c>
      <c r="C536" s="119"/>
      <c r="D536" s="120"/>
      <c r="E536" s="151" t="str">
        <f>VLOOKUP($B536,dongia1,DG!$C$5,)</f>
        <v>Tấm nilông màu cảnh báo</v>
      </c>
      <c r="F536" s="120" t="str">
        <f>VLOOKUP($B536,dongia1,DG!$D$5,)</f>
        <v>m2</v>
      </c>
      <c r="G536" s="74">
        <f>G529*0.6</f>
        <v>0</v>
      </c>
      <c r="H536" s="121">
        <f>VLOOKUP($B536,dongia1,DG!$F$5,)</f>
        <v>10000</v>
      </c>
      <c r="I536" s="160"/>
      <c r="J536" s="121">
        <f>VLOOKUP($B536,dongia1,DG!$G$5,)</f>
        <v>1187.155</v>
      </c>
      <c r="K536" s="121">
        <f>VLOOKUP($B536,dongia1,DG!$H$5,)</f>
        <v>0</v>
      </c>
      <c r="L536" s="39">
        <f t="shared" si="166"/>
        <v>0</v>
      </c>
      <c r="M536" s="39">
        <f t="shared" si="167"/>
        <v>0</v>
      </c>
      <c r="N536" s="39">
        <f t="shared" si="168"/>
        <v>0</v>
      </c>
      <c r="O536" s="39">
        <f t="shared" si="169"/>
        <v>0</v>
      </c>
      <c r="P536" s="161"/>
    </row>
    <row r="537" spans="1:16" s="34" customFormat="1">
      <c r="A537" s="29" t="str">
        <f t="shared" si="165"/>
        <v/>
      </c>
      <c r="B537" s="159" t="s">
        <v>961</v>
      </c>
      <c r="C537" s="119"/>
      <c r="D537" s="120">
        <f>VLOOKUP($B537,dongia1,DG!$B$5,)</f>
        <v>0</v>
      </c>
      <c r="E537" s="151" t="str">
        <f>VLOOKUP($B537,dongia1,DG!$C$5,)</f>
        <v xml:space="preserve">Ống PVC D114x4,9mm </v>
      </c>
      <c r="F537" s="120" t="str">
        <f>VLOOKUP($B537,dongia1,DG!$D$5,)</f>
        <v>m</v>
      </c>
      <c r="G537" s="74">
        <f>2*G529</f>
        <v>0</v>
      </c>
      <c r="H537" s="121">
        <f>VLOOKUP($B537,dongia1,DG!$F$5,)</f>
        <v>103700</v>
      </c>
      <c r="I537" s="160"/>
      <c r="J537" s="121">
        <f>VLOOKUP($B537,dongia1,DG!$G$5,)</f>
        <v>0</v>
      </c>
      <c r="K537" s="121">
        <f>VLOOKUP($B537,dongia1,DG!$H$5,)</f>
        <v>0</v>
      </c>
      <c r="L537" s="39">
        <f t="shared" si="166"/>
        <v>0</v>
      </c>
      <c r="M537" s="39">
        <f t="shared" si="167"/>
        <v>0</v>
      </c>
      <c r="N537" s="39">
        <f t="shared" si="168"/>
        <v>0</v>
      </c>
      <c r="O537" s="39">
        <f t="shared" si="169"/>
        <v>0</v>
      </c>
      <c r="P537" s="161"/>
    </row>
    <row r="538" spans="1:16" s="34" customFormat="1">
      <c r="A538" s="29" t="str">
        <f t="shared" si="165"/>
        <v/>
      </c>
      <c r="B538" s="159" t="s">
        <v>101</v>
      </c>
      <c r="C538" s="119"/>
      <c r="D538" s="120" t="str">
        <f>VLOOKUP($B538,dongia1,DG!$B$5,)</f>
        <v>D4.1104</v>
      </c>
      <c r="E538" s="151" t="str">
        <f>VLOOKUP($B538,dongia1,DG!$C$5,)</f>
        <v>Lắp gạch làm dấu</v>
      </c>
      <c r="F538" s="120" t="str">
        <f>VLOOKUP($B538,dongia1,DG!$D$5,)</f>
        <v>viên</v>
      </c>
      <c r="G538" s="74">
        <f>G535</f>
        <v>0</v>
      </c>
      <c r="H538" s="121">
        <f>VLOOKUP($B538,dongia1,DG!$F$5,)</f>
        <v>0</v>
      </c>
      <c r="I538" s="179"/>
      <c r="J538" s="121">
        <f>VLOOKUP($B538,dongia1,DG!$G$5,)</f>
        <v>916.64</v>
      </c>
      <c r="K538" s="121">
        <f>VLOOKUP($B538,dongia1,DG!$H$5,)</f>
        <v>0</v>
      </c>
      <c r="L538" s="39">
        <f t="shared" si="166"/>
        <v>0</v>
      </c>
      <c r="M538" s="62">
        <f t="shared" si="167"/>
        <v>0</v>
      </c>
      <c r="N538" s="39">
        <f t="shared" si="168"/>
        <v>0</v>
      </c>
      <c r="O538" s="39">
        <f t="shared" si="169"/>
        <v>0</v>
      </c>
      <c r="P538" s="161"/>
    </row>
    <row r="539" spans="1:16" s="34" customFormat="1">
      <c r="A539" s="29" t="str">
        <f t="shared" si="165"/>
        <v/>
      </c>
      <c r="B539" s="159" t="s">
        <v>1498</v>
      </c>
      <c r="C539" s="119"/>
      <c r="D539" s="120" t="str">
        <f>VLOOKUP($B539,dongia1,DG!$B$5,)</f>
        <v>AB.66112</v>
      </c>
      <c r="E539" s="151" t="str">
        <f>VLOOKUP($B539,dongia1,DG!$C$5,)&amp;" + ñaép ñaù"</f>
        <v>Rải cát đệm (độ chặt K=0,9) + ñaép ñaù</v>
      </c>
      <c r="F539" s="120" t="str">
        <f>VLOOKUP($B539,dongia1,DG!$D$5,)</f>
        <v>m3</v>
      </c>
      <c r="G539" s="74">
        <f>+G531+G532+G533</f>
        <v>0</v>
      </c>
      <c r="H539" s="121"/>
      <c r="I539" s="160"/>
      <c r="J539" s="121">
        <f>VLOOKUP($B539,dongia1,DG!$G$5,)</f>
        <v>315277.5</v>
      </c>
      <c r="K539" s="121">
        <f>VLOOKUP($B539,dongia1,DG!$H$5,)</f>
        <v>0</v>
      </c>
      <c r="L539" s="39">
        <f t="shared" si="166"/>
        <v>0</v>
      </c>
      <c r="M539" s="39">
        <f t="shared" si="167"/>
        <v>0</v>
      </c>
      <c r="N539" s="39">
        <f t="shared" si="168"/>
        <v>0</v>
      </c>
      <c r="O539" s="39">
        <f t="shared" si="169"/>
        <v>0</v>
      </c>
      <c r="P539" s="161"/>
    </row>
    <row r="540" spans="1:16" s="34" customFormat="1">
      <c r="A540" s="29" t="str">
        <f t="shared" si="165"/>
        <v/>
      </c>
      <c r="B540" s="159" t="s">
        <v>291</v>
      </c>
      <c r="C540" s="119"/>
      <c r="D540" s="120" t="str">
        <f>VLOOKUP($B540,dongia1,DG!$B$5,)</f>
        <v>AB.11613</v>
      </c>
      <c r="E540" s="151" t="str">
        <f>VLOOKUP($B540,dongia1,DG!$C$5,)</f>
        <v>Đào mương cáp ngầm đất cấp 3 có mở ta luy</v>
      </c>
      <c r="F540" s="120" t="str">
        <f>VLOOKUP($B540,dongia1,DG!$D$5,)</f>
        <v>m3</v>
      </c>
      <c r="G540" s="74">
        <f>G529*0.442</f>
        <v>0</v>
      </c>
      <c r="H540" s="121"/>
      <c r="I540" s="160"/>
      <c r="J540" s="121">
        <f>VLOOKUP($B540,dongia1,DG!$G$5,)</f>
        <v>640731.36</v>
      </c>
      <c r="K540" s="121">
        <f>VLOOKUP($B540,dongia1,DG!$H$5,)</f>
        <v>0</v>
      </c>
      <c r="L540" s="39">
        <f t="shared" si="166"/>
        <v>0</v>
      </c>
      <c r="M540" s="39">
        <f t="shared" si="167"/>
        <v>0</v>
      </c>
      <c r="N540" s="39">
        <f t="shared" si="168"/>
        <v>0</v>
      </c>
      <c r="O540" s="39">
        <f t="shared" si="169"/>
        <v>0</v>
      </c>
      <c r="P540" s="161"/>
    </row>
    <row r="541" spans="1:16" s="34" customFormat="1">
      <c r="A541" s="29" t="str">
        <f t="shared" si="165"/>
        <v/>
      </c>
      <c r="B541" s="159" t="s">
        <v>2065</v>
      </c>
      <c r="C541" s="119"/>
      <c r="D541" s="120" t="str">
        <f>VLOOKUP($B541,dongia1,DG!$B$5,)</f>
        <v>AF.11220</v>
      </c>
      <c r="E541" s="151" t="str">
        <f>VLOOKUP($B541,dongia1,DG!$C$5,)</f>
        <v>Đổ bê tông mác M150 đá 2x4 rộng &gt;250cm</v>
      </c>
      <c r="F541" s="120" t="str">
        <f>VLOOKUP($B541,dongia1,DG!$D$5,)</f>
        <v>m3</v>
      </c>
      <c r="G541" s="74"/>
      <c r="H541" s="121"/>
      <c r="I541" s="160"/>
      <c r="J541" s="121">
        <f>VLOOKUP($B541,dongia1,DG!$G$5,)</f>
        <v>414064.45</v>
      </c>
      <c r="K541" s="121">
        <f>VLOOKUP($B541,dongia1,DG!$H$5,)</f>
        <v>0</v>
      </c>
      <c r="L541" s="39">
        <f t="shared" si="166"/>
        <v>0</v>
      </c>
      <c r="M541" s="39">
        <f t="shared" si="167"/>
        <v>0</v>
      </c>
      <c r="N541" s="39">
        <f t="shared" si="168"/>
        <v>0</v>
      </c>
      <c r="O541" s="39">
        <f t="shared" si="169"/>
        <v>0</v>
      </c>
      <c r="P541" s="161"/>
    </row>
    <row r="542" spans="1:16" s="61" customFormat="1">
      <c r="A542" s="137" t="str">
        <f>IF(G542=0,"",1)</f>
        <v/>
      </c>
      <c r="B542" s="181"/>
      <c r="C542" s="166" t="e">
        <f>IF(G542&gt;0,C516+1,C516)</f>
        <v>#REF!</v>
      </c>
      <c r="D542" s="167"/>
      <c r="E542" s="168" t="s">
        <v>3843</v>
      </c>
      <c r="F542" s="169" t="s">
        <v>3819</v>
      </c>
      <c r="G542" s="81"/>
      <c r="H542" s="170"/>
      <c r="I542" s="170"/>
      <c r="J542" s="172"/>
      <c r="K542" s="172"/>
      <c r="L542" s="64">
        <f>H542*$G542</f>
        <v>0</v>
      </c>
      <c r="M542" s="64">
        <f>I542*$G542</f>
        <v>0</v>
      </c>
      <c r="N542" s="64">
        <f>J542*$G542</f>
        <v>0</v>
      </c>
      <c r="O542" s="64">
        <f>K542*$G542</f>
        <v>0</v>
      </c>
      <c r="P542" s="173"/>
    </row>
    <row r="543" spans="1:16" s="34" customFormat="1" ht="14.4">
      <c r="A543" s="29" t="str">
        <f>A542</f>
        <v/>
      </c>
      <c r="B543" s="109"/>
      <c r="C543" s="215"/>
      <c r="D543" s="120"/>
      <c r="E543" s="196" t="s">
        <v>3378</v>
      </c>
      <c r="F543" s="146"/>
      <c r="G543" s="65"/>
      <c r="H543" s="147"/>
      <c r="I543" s="147"/>
      <c r="J543" s="149"/>
      <c r="K543" s="147"/>
      <c r="L543" s="58"/>
      <c r="M543" s="58"/>
      <c r="N543" s="58"/>
      <c r="O543" s="58"/>
      <c r="P543" s="150"/>
    </row>
    <row r="544" spans="1:16" s="34" customFormat="1">
      <c r="A544" s="29" t="str">
        <f t="shared" ref="A544:A554" si="170">IF(G544=0,"",1)</f>
        <v/>
      </c>
      <c r="B544" s="159" t="s">
        <v>1729</v>
      </c>
      <c r="C544" s="119"/>
      <c r="D544" s="120"/>
      <c r="E544" s="151" t="str">
        <f>VLOOKUP($B544,dongia1,DG!$C$5,)&amp;": 1,078m3/m"</f>
        <v>Cát vàng: 1,078m3/m</v>
      </c>
      <c r="F544" s="120" t="str">
        <f>VLOOKUP($B544,dongia1,DG!$D$5,)</f>
        <v>m3</v>
      </c>
      <c r="G544" s="74">
        <f>G542*1.078</f>
        <v>0</v>
      </c>
      <c r="H544" s="121">
        <f>VLOOKUP($B544,dongia1,DG!$F$5,)</f>
        <v>512000</v>
      </c>
      <c r="I544" s="160"/>
      <c r="J544" s="121">
        <f>VLOOKUP($B544,dongia1,DG!$G$5,)</f>
        <v>0</v>
      </c>
      <c r="K544" s="121">
        <f>VLOOKUP($B544,dongia1,DG!$H$5,)</f>
        <v>0</v>
      </c>
      <c r="L544" s="39">
        <f t="shared" ref="L544:L554" si="171">H544*$G544</f>
        <v>0</v>
      </c>
      <c r="M544" s="39">
        <f t="shared" ref="M544:M554" si="172">I544*$G544</f>
        <v>0</v>
      </c>
      <c r="N544" s="39">
        <f t="shared" ref="N544:N554" si="173">J544*$G544</f>
        <v>0</v>
      </c>
      <c r="O544" s="39">
        <f t="shared" ref="O544:O554" si="174">K544*$G544</f>
        <v>0</v>
      </c>
      <c r="P544" s="161"/>
    </row>
    <row r="545" spans="1:16" s="34" customFormat="1">
      <c r="A545" s="29" t="str">
        <f t="shared" si="170"/>
        <v/>
      </c>
      <c r="B545" s="159" t="s">
        <v>853</v>
      </c>
      <c r="C545" s="119"/>
      <c r="D545" s="120"/>
      <c r="E545" s="151" t="str">
        <f>VLOOKUP($B545,dongia1,DG!$C$5,)&amp;": 0,053m3/m"</f>
        <v>Đá 1x2: 0,053m3/m</v>
      </c>
      <c r="F545" s="120" t="str">
        <f>VLOOKUP($B545,dongia1,DG!$D$5,)</f>
        <v>m3</v>
      </c>
      <c r="G545" s="74">
        <f>G542*0.053</f>
        <v>0</v>
      </c>
      <c r="H545" s="121">
        <f>VLOOKUP($B545,dongia1,DG!$F$5,)</f>
        <v>335000</v>
      </c>
      <c r="I545" s="160"/>
      <c r="J545" s="121">
        <f>VLOOKUP($B545,dongia1,DG!$G$5,)</f>
        <v>0</v>
      </c>
      <c r="K545" s="121">
        <f>VLOOKUP($B545,dongia1,DG!$H$5,)</f>
        <v>0</v>
      </c>
      <c r="L545" s="39">
        <f t="shared" si="171"/>
        <v>0</v>
      </c>
      <c r="M545" s="39">
        <f t="shared" si="172"/>
        <v>0</v>
      </c>
      <c r="N545" s="39">
        <f t="shared" si="173"/>
        <v>0</v>
      </c>
      <c r="O545" s="39">
        <f t="shared" si="174"/>
        <v>0</v>
      </c>
      <c r="P545" s="161"/>
    </row>
    <row r="546" spans="1:16" s="34" customFormat="1">
      <c r="A546" s="29" t="str">
        <f t="shared" si="170"/>
        <v/>
      </c>
      <c r="B546" s="159" t="s">
        <v>817</v>
      </c>
      <c r="C546" s="119"/>
      <c r="D546" s="120"/>
      <c r="E546" s="151" t="str">
        <f>VLOOKUP($B546,dongia1,DG!$C$5,)&amp;": 0,176m3/m"</f>
        <v>Đá 2x4: 0,176m3/m</v>
      </c>
      <c r="F546" s="120" t="str">
        <f>VLOOKUP($B546,dongia1,DG!$D$5,)</f>
        <v>m3</v>
      </c>
      <c r="G546" s="74">
        <f>G542*0.176</f>
        <v>0</v>
      </c>
      <c r="H546" s="121">
        <f>VLOOKUP($B546,dongia1,DG!$F$5,)</f>
        <v>295000</v>
      </c>
      <c r="I546" s="160"/>
      <c r="J546" s="121">
        <f>VLOOKUP($B546,dongia1,DG!$G$5,)</f>
        <v>0</v>
      </c>
      <c r="K546" s="121">
        <f>VLOOKUP($B546,dongia1,DG!$H$5,)</f>
        <v>0</v>
      </c>
      <c r="L546" s="39">
        <f t="shared" si="171"/>
        <v>0</v>
      </c>
      <c r="M546" s="39">
        <f t="shared" si="172"/>
        <v>0</v>
      </c>
      <c r="N546" s="39">
        <f t="shared" si="173"/>
        <v>0</v>
      </c>
      <c r="O546" s="39">
        <f t="shared" si="174"/>
        <v>0</v>
      </c>
      <c r="P546" s="161"/>
    </row>
    <row r="547" spans="1:16" s="34" customFormat="1">
      <c r="A547" s="29" t="str">
        <f t="shared" si="170"/>
        <v/>
      </c>
      <c r="B547" s="159" t="s">
        <v>1728</v>
      </c>
      <c r="C547" s="119"/>
      <c r="D547" s="120"/>
      <c r="E547" s="151" t="str">
        <f>VLOOKUP($B547,dongia1,DG!$C$5,)&amp;": 22,115Kg/m"</f>
        <v>Ximăng: 22,115Kg/m</v>
      </c>
      <c r="F547" s="120" t="str">
        <f>VLOOKUP($B547,dongia1,DG!$D$5,)</f>
        <v>kg</v>
      </c>
      <c r="G547" s="74">
        <f>G542*22.115</f>
        <v>0</v>
      </c>
      <c r="H547" s="121">
        <f>VLOOKUP($B547,dongia1,DG!$F$5,)</f>
        <v>1740</v>
      </c>
      <c r="I547" s="160"/>
      <c r="J547" s="121">
        <f>VLOOKUP($B547,dongia1,DG!$G$5,)</f>
        <v>0</v>
      </c>
      <c r="K547" s="121">
        <f>VLOOKUP($B547,dongia1,DG!$H$5,)</f>
        <v>0</v>
      </c>
      <c r="L547" s="39">
        <f t="shared" si="171"/>
        <v>0</v>
      </c>
      <c r="M547" s="39">
        <f t="shared" si="172"/>
        <v>0</v>
      </c>
      <c r="N547" s="39">
        <f t="shared" si="173"/>
        <v>0</v>
      </c>
      <c r="O547" s="39">
        <f t="shared" si="174"/>
        <v>0</v>
      </c>
      <c r="P547" s="161"/>
    </row>
    <row r="548" spans="1:16" s="34" customFormat="1">
      <c r="A548" s="29" t="str">
        <f t="shared" si="170"/>
        <v/>
      </c>
      <c r="B548" s="159" t="s">
        <v>1495</v>
      </c>
      <c r="C548" s="119"/>
      <c r="D548" s="120"/>
      <c r="E548" s="151" t="str">
        <f>VLOOKUP($B548,dongia1,DG!$C$5,)&amp;": 9,9vieân/m"</f>
        <v>Gạch tàu: 9,9vieân/m</v>
      </c>
      <c r="F548" s="120" t="str">
        <f>VLOOKUP($B548,dongia1,DG!$D$5,)</f>
        <v>viên</v>
      </c>
      <c r="G548" s="74">
        <f>G542*9.9</f>
        <v>0</v>
      </c>
      <c r="H548" s="121">
        <f>VLOOKUP($B548,dongia1,DG!$F$5,)</f>
        <v>7000</v>
      </c>
      <c r="I548" s="160"/>
      <c r="J548" s="121">
        <f>VLOOKUP($B548,dongia1,DG!$G$5,)</f>
        <v>0</v>
      </c>
      <c r="K548" s="121">
        <f>VLOOKUP($B548,dongia1,DG!$H$5,)</f>
        <v>0</v>
      </c>
      <c r="L548" s="39">
        <f t="shared" si="171"/>
        <v>0</v>
      </c>
      <c r="M548" s="39">
        <f t="shared" si="172"/>
        <v>0</v>
      </c>
      <c r="N548" s="39">
        <f t="shared" si="173"/>
        <v>0</v>
      </c>
      <c r="O548" s="39">
        <f t="shared" si="174"/>
        <v>0</v>
      </c>
      <c r="P548" s="161"/>
    </row>
    <row r="549" spans="1:16" s="34" customFormat="1">
      <c r="A549" s="29" t="str">
        <f t="shared" si="170"/>
        <v/>
      </c>
      <c r="B549" s="159" t="s">
        <v>1496</v>
      </c>
      <c r="C549" s="119"/>
      <c r="D549" s="120"/>
      <c r="E549" s="151" t="str">
        <f>VLOOKUP($B549,dongia1,DG!$C$5,)&amp;": 1,1m2/m"</f>
        <v>Tấm nilông màu cảnh báo: 1,1m2/m</v>
      </c>
      <c r="F549" s="120" t="str">
        <f>VLOOKUP($B549,dongia1,DG!$D$5,)</f>
        <v>m2</v>
      </c>
      <c r="G549" s="74">
        <f>G542*1.1</f>
        <v>0</v>
      </c>
      <c r="H549" s="121">
        <f>VLOOKUP($B549,dongia1,DG!$F$5,)</f>
        <v>10000</v>
      </c>
      <c r="I549" s="160"/>
      <c r="J549" s="121">
        <f>VLOOKUP($B549,dongia1,DG!$G$5,)</f>
        <v>1187.155</v>
      </c>
      <c r="K549" s="121">
        <f>VLOOKUP($B549,dongia1,DG!$H$5,)</f>
        <v>0</v>
      </c>
      <c r="L549" s="39">
        <f t="shared" si="171"/>
        <v>0</v>
      </c>
      <c r="M549" s="39">
        <f t="shared" si="172"/>
        <v>0</v>
      </c>
      <c r="N549" s="39">
        <f t="shared" si="173"/>
        <v>0</v>
      </c>
      <c r="O549" s="39">
        <f t="shared" si="174"/>
        <v>0</v>
      </c>
      <c r="P549" s="161"/>
    </row>
    <row r="550" spans="1:16" s="34" customFormat="1">
      <c r="A550" s="29" t="str">
        <f t="shared" si="170"/>
        <v/>
      </c>
      <c r="B550" s="159" t="s">
        <v>1861</v>
      </c>
      <c r="C550" s="119"/>
      <c r="D550" s="120">
        <f>VLOOKUP($B550,dongia1,DG!$B$5,)</f>
        <v>0</v>
      </c>
      <c r="E550" s="151" t="str">
        <f>VLOOKUP($B550,dongia1,DG!$C$5,)</f>
        <v>Ống PVC D140x6,7mm</v>
      </c>
      <c r="F550" s="120" t="str">
        <f>VLOOKUP($B550,dongia1,DG!$D$5,)</f>
        <v>m</v>
      </c>
      <c r="G550" s="74">
        <f>G542*4</f>
        <v>0</v>
      </c>
      <c r="H550" s="121">
        <f>VLOOKUP($B550,dongia1,DG!$F$5,)</f>
        <v>165250</v>
      </c>
      <c r="I550" s="160"/>
      <c r="J550" s="121">
        <f>VLOOKUP($B550,dongia1,DG!$G$5,)</f>
        <v>0</v>
      </c>
      <c r="K550" s="121">
        <f>VLOOKUP($B550,dongia1,DG!$H$5,)</f>
        <v>0</v>
      </c>
      <c r="L550" s="39">
        <f t="shared" si="171"/>
        <v>0</v>
      </c>
      <c r="M550" s="39">
        <f t="shared" si="172"/>
        <v>0</v>
      </c>
      <c r="N550" s="39">
        <f t="shared" si="173"/>
        <v>0</v>
      </c>
      <c r="O550" s="39">
        <f t="shared" si="174"/>
        <v>0</v>
      </c>
      <c r="P550" s="161"/>
    </row>
    <row r="551" spans="1:16" s="34" customFormat="1">
      <c r="A551" s="29" t="str">
        <f t="shared" si="170"/>
        <v/>
      </c>
      <c r="B551" s="159" t="s">
        <v>101</v>
      </c>
      <c r="C551" s="119"/>
      <c r="D551" s="120" t="str">
        <f>VLOOKUP($B551,dongia1,DG!$B$5,)</f>
        <v>D4.1104</v>
      </c>
      <c r="E551" s="151" t="str">
        <f>VLOOKUP($B551,dongia1,DG!$C$5,)</f>
        <v>Lắp gạch làm dấu</v>
      </c>
      <c r="F551" s="120" t="str">
        <f>VLOOKUP($B551,dongia1,DG!$D$5,)</f>
        <v>viên</v>
      </c>
      <c r="G551" s="74">
        <f>G548</f>
        <v>0</v>
      </c>
      <c r="H551" s="121">
        <f>VLOOKUP($B551,dongia1,DG!$F$5,)</f>
        <v>0</v>
      </c>
      <c r="I551" s="179"/>
      <c r="J551" s="121">
        <f>VLOOKUP($B551,dongia1,DG!$G$5,)</f>
        <v>916.64</v>
      </c>
      <c r="K551" s="121">
        <f>VLOOKUP($B551,dongia1,DG!$H$5,)</f>
        <v>0</v>
      </c>
      <c r="L551" s="39">
        <f t="shared" si="171"/>
        <v>0</v>
      </c>
      <c r="M551" s="62">
        <f t="shared" si="172"/>
        <v>0</v>
      </c>
      <c r="N551" s="39">
        <f t="shared" si="173"/>
        <v>0</v>
      </c>
      <c r="O551" s="39">
        <f t="shared" si="174"/>
        <v>0</v>
      </c>
      <c r="P551" s="161"/>
    </row>
    <row r="552" spans="1:16" s="34" customFormat="1">
      <c r="A552" s="29" t="str">
        <f t="shared" si="170"/>
        <v/>
      </c>
      <c r="B552" s="159" t="s">
        <v>1498</v>
      </c>
      <c r="C552" s="119"/>
      <c r="D552" s="120" t="str">
        <f>VLOOKUP($B552,dongia1,DG!$B$5,)</f>
        <v>AB.66112</v>
      </c>
      <c r="E552" s="151" t="str">
        <f>VLOOKUP($B552,dongia1,DG!$C$5,)&amp;" + ñaép ñaù"</f>
        <v>Rải cát đệm (độ chặt K=0,9) + ñaép ñaù</v>
      </c>
      <c r="F552" s="120" t="str">
        <f>VLOOKUP($B552,dongia1,DG!$D$5,)</f>
        <v>m3</v>
      </c>
      <c r="G552" s="74">
        <f>G544+G545+G546</f>
        <v>0</v>
      </c>
      <c r="H552" s="121"/>
      <c r="I552" s="155"/>
      <c r="J552" s="121">
        <f>VLOOKUP($B552,dongia1,DG!$G$5,)</f>
        <v>315277.5</v>
      </c>
      <c r="K552" s="121">
        <f>VLOOKUP($B552,dongia1,DG!$H$5,)</f>
        <v>0</v>
      </c>
      <c r="L552" s="39">
        <f t="shared" si="171"/>
        <v>0</v>
      </c>
      <c r="M552" s="39">
        <f t="shared" si="172"/>
        <v>0</v>
      </c>
      <c r="N552" s="39">
        <f t="shared" si="173"/>
        <v>0</v>
      </c>
      <c r="O552" s="39">
        <f t="shared" si="174"/>
        <v>0</v>
      </c>
      <c r="P552" s="112"/>
    </row>
    <row r="553" spans="1:16" s="34" customFormat="1" ht="27.6">
      <c r="A553" s="29" t="str">
        <f t="shared" si="170"/>
        <v/>
      </c>
      <c r="B553" s="159" t="s">
        <v>291</v>
      </c>
      <c r="C553" s="119"/>
      <c r="D553" s="120" t="str">
        <f>VLOOKUP($B553,dongia1,DG!$B$5,)</f>
        <v>AB.11613</v>
      </c>
      <c r="E553" s="151" t="str">
        <f>VLOOKUP($B553,dongia1,DG!$C$5,)&amp;": 0,9m3/3"</f>
        <v>Đào mương cáp ngầm đất cấp 3 có mở ta luy: 0,9m3/3</v>
      </c>
      <c r="F553" s="120" t="str">
        <f>VLOOKUP($B553,dongia1,DG!$D$5,)</f>
        <v>m3</v>
      </c>
      <c r="G553" s="74">
        <f>G542*0.9</f>
        <v>0</v>
      </c>
      <c r="H553" s="121"/>
      <c r="I553" s="155"/>
      <c r="J553" s="121">
        <f>VLOOKUP($B553,dongia1,DG!$G$5,)</f>
        <v>640731.36</v>
      </c>
      <c r="K553" s="121">
        <f>VLOOKUP($B553,dongia1,DG!$H$5,)</f>
        <v>0</v>
      </c>
      <c r="L553" s="39">
        <f t="shared" si="171"/>
        <v>0</v>
      </c>
      <c r="M553" s="39">
        <f t="shared" si="172"/>
        <v>0</v>
      </c>
      <c r="N553" s="39">
        <f t="shared" si="173"/>
        <v>0</v>
      </c>
      <c r="O553" s="39">
        <f t="shared" si="174"/>
        <v>0</v>
      </c>
      <c r="P553" s="112"/>
    </row>
    <row r="554" spans="1:16" s="34" customFormat="1" ht="27.6">
      <c r="A554" s="29" t="str">
        <f t="shared" si="170"/>
        <v/>
      </c>
      <c r="B554" s="159" t="s">
        <v>2065</v>
      </c>
      <c r="C554" s="119"/>
      <c r="D554" s="120" t="str">
        <f>VLOOKUP($B554,dongia1,DG!$B$5,)</f>
        <v>AF.11220</v>
      </c>
      <c r="E554" s="151" t="str">
        <f>VLOOKUP($B554,dongia1,DG!$C$5,)&amp;" 0,06m3/m"</f>
        <v>Đổ bê tông mác M150 đá 2x4 rộng &gt;250cm 0,06m3/m</v>
      </c>
      <c r="F554" s="120" t="str">
        <f>VLOOKUP($B554,dongia1,DG!$D$5,)</f>
        <v>m3</v>
      </c>
      <c r="G554" s="74">
        <f>G542*0.06</f>
        <v>0</v>
      </c>
      <c r="H554" s="121"/>
      <c r="I554" s="160"/>
      <c r="J554" s="121">
        <f>VLOOKUP($B554,dongia1,DG!$G$5,)</f>
        <v>414064.45</v>
      </c>
      <c r="K554" s="121">
        <f>VLOOKUP($B554,dongia1,DG!$H$5,)</f>
        <v>0</v>
      </c>
      <c r="L554" s="39">
        <f t="shared" si="171"/>
        <v>0</v>
      </c>
      <c r="M554" s="39">
        <f t="shared" si="172"/>
        <v>0</v>
      </c>
      <c r="N554" s="39">
        <f t="shared" si="173"/>
        <v>0</v>
      </c>
      <c r="O554" s="39">
        <f t="shared" si="174"/>
        <v>0</v>
      </c>
      <c r="P554" s="161"/>
    </row>
    <row r="555" spans="1:16" s="61" customFormat="1">
      <c r="A555" s="137" t="str">
        <f>IF(G555=0,"",1)</f>
        <v/>
      </c>
      <c r="B555" s="181"/>
      <c r="C555" s="166" t="e">
        <f>IF(G555&gt;0,C516+1,C516)</f>
        <v>#REF!</v>
      </c>
      <c r="D555" s="167"/>
      <c r="E555" s="168" t="s">
        <v>3844</v>
      </c>
      <c r="F555" s="169" t="s">
        <v>3845</v>
      </c>
      <c r="G555" s="67"/>
      <c r="H555" s="170"/>
      <c r="I555" s="171"/>
      <c r="J555" s="172"/>
      <c r="K555" s="172"/>
      <c r="L555" s="64">
        <f>H555*$G555</f>
        <v>0</v>
      </c>
      <c r="M555" s="60">
        <f>I555*$G555</f>
        <v>0</v>
      </c>
      <c r="N555" s="64">
        <f>J555*$G555</f>
        <v>0</v>
      </c>
      <c r="O555" s="64">
        <f>K555*$G555</f>
        <v>0</v>
      </c>
      <c r="P555" s="173"/>
    </row>
    <row r="556" spans="1:16" s="34" customFormat="1" ht="14.4">
      <c r="A556" s="29" t="str">
        <f>A555</f>
        <v/>
      </c>
      <c r="B556" s="109"/>
      <c r="C556" s="112"/>
      <c r="D556" s="120"/>
      <c r="E556" s="196" t="s">
        <v>3378</v>
      </c>
      <c r="F556" s="126"/>
      <c r="G556" s="73"/>
      <c r="H556" s="175"/>
      <c r="I556" s="176"/>
      <c r="J556" s="177"/>
      <c r="K556" s="175"/>
      <c r="L556" s="39"/>
      <c r="M556" s="62"/>
      <c r="N556" s="39"/>
      <c r="O556" s="39"/>
      <c r="P556" s="178"/>
    </row>
    <row r="557" spans="1:16" s="34" customFormat="1">
      <c r="A557" s="29" t="str">
        <f t="shared" ref="A557:A564" si="175">IF(G557=0,"",1)</f>
        <v/>
      </c>
      <c r="B557" s="159" t="s">
        <v>1728</v>
      </c>
      <c r="C557" s="119"/>
      <c r="D557" s="120"/>
      <c r="E557" s="151" t="str">
        <f>VLOOKUP($B557,dongia1,DG!$C$5,)</f>
        <v>Ximăng</v>
      </c>
      <c r="F557" s="120" t="str">
        <f>VLOOKUP($B557,dongia1,DG!$D$5,)</f>
        <v>kg</v>
      </c>
      <c r="G557" s="70">
        <f>G564*Q564</f>
        <v>0</v>
      </c>
      <c r="H557" s="121">
        <f>VLOOKUP($B557,dongia1,DG!$F$5,)</f>
        <v>1740</v>
      </c>
      <c r="I557" s="179"/>
      <c r="J557" s="121">
        <f>VLOOKUP($B557,dongia1,DG!$G$5,)</f>
        <v>0</v>
      </c>
      <c r="K557" s="121">
        <f>VLOOKUP($B557,dongia1,DG!$H$5,)</f>
        <v>0</v>
      </c>
      <c r="L557" s="39">
        <f t="shared" ref="L557:L564" si="176">H557*$G557</f>
        <v>0</v>
      </c>
      <c r="M557" s="62">
        <f t="shared" ref="M557:M564" si="177">I557*$G557</f>
        <v>0</v>
      </c>
      <c r="N557" s="39">
        <f t="shared" ref="N557:N564" si="178">J557*$G557</f>
        <v>0</v>
      </c>
      <c r="O557" s="39">
        <f t="shared" ref="O557:O564" si="179">K557*$G557</f>
        <v>0</v>
      </c>
      <c r="P557" s="161"/>
    </row>
    <row r="558" spans="1:16" s="34" customFormat="1">
      <c r="A558" s="29" t="str">
        <f t="shared" si="175"/>
        <v/>
      </c>
      <c r="B558" s="159" t="s">
        <v>1729</v>
      </c>
      <c r="C558" s="119"/>
      <c r="D558" s="120"/>
      <c r="E558" s="151" t="str">
        <f>VLOOKUP($B558,dongia1,DG!$C$5,)</f>
        <v>Cát vàng</v>
      </c>
      <c r="F558" s="120" t="str">
        <f>VLOOKUP($B558,dongia1,DG!$D$5,)</f>
        <v>m3</v>
      </c>
      <c r="G558" s="70">
        <f>G564*R564</f>
        <v>0</v>
      </c>
      <c r="H558" s="121">
        <f>VLOOKUP($B558,dongia1,DG!$F$5,)</f>
        <v>512000</v>
      </c>
      <c r="I558" s="179"/>
      <c r="J558" s="121">
        <f>VLOOKUP($B558,dongia1,DG!$G$5,)</f>
        <v>0</v>
      </c>
      <c r="K558" s="121">
        <f>VLOOKUP($B558,dongia1,DG!$H$5,)</f>
        <v>0</v>
      </c>
      <c r="L558" s="39">
        <f t="shared" si="176"/>
        <v>0</v>
      </c>
      <c r="M558" s="62">
        <f t="shared" si="177"/>
        <v>0</v>
      </c>
      <c r="N558" s="39">
        <f t="shared" si="178"/>
        <v>0</v>
      </c>
      <c r="O558" s="39">
        <f t="shared" si="179"/>
        <v>0</v>
      </c>
      <c r="P558" s="161"/>
    </row>
    <row r="559" spans="1:16" s="34" customFormat="1">
      <c r="A559" s="29" t="str">
        <f t="shared" si="175"/>
        <v/>
      </c>
      <c r="B559" s="159" t="s">
        <v>853</v>
      </c>
      <c r="C559" s="119"/>
      <c r="D559" s="120"/>
      <c r="E559" s="151" t="str">
        <f>VLOOKUP($B559,dongia1,DG!$C$5,)</f>
        <v>Đá 1x2</v>
      </c>
      <c r="F559" s="120" t="str">
        <f>VLOOKUP($B559,dongia1,DG!$D$5,)</f>
        <v>m3</v>
      </c>
      <c r="G559" s="70">
        <f>G564*S564</f>
        <v>0</v>
      </c>
      <c r="H559" s="121">
        <f>VLOOKUP($B559,dongia1,DG!$F$5,)</f>
        <v>335000</v>
      </c>
      <c r="I559" s="179"/>
      <c r="J559" s="121">
        <f>VLOOKUP($B559,dongia1,DG!$G$5,)</f>
        <v>0</v>
      </c>
      <c r="K559" s="121">
        <f>VLOOKUP($B559,dongia1,DG!$H$5,)</f>
        <v>0</v>
      </c>
      <c r="L559" s="39">
        <f t="shared" si="176"/>
        <v>0</v>
      </c>
      <c r="M559" s="62">
        <f t="shared" si="177"/>
        <v>0</v>
      </c>
      <c r="N559" s="39">
        <f t="shared" si="178"/>
        <v>0</v>
      </c>
      <c r="O559" s="39">
        <f t="shared" si="179"/>
        <v>0</v>
      </c>
      <c r="P559" s="161"/>
    </row>
    <row r="560" spans="1:16" s="34" customFormat="1">
      <c r="A560" s="29" t="str">
        <f t="shared" si="175"/>
        <v/>
      </c>
      <c r="B560" s="159" t="s">
        <v>275</v>
      </c>
      <c r="C560" s="119"/>
      <c r="D560" s="120"/>
      <c r="E560" s="151" t="str">
        <f>VLOOKUP($B560,dongia1,DG!$C$5,)</f>
        <v>Đá 4x6</v>
      </c>
      <c r="F560" s="120" t="str">
        <f>VLOOKUP($B560,dongia1,DG!$D$5,)</f>
        <v>m3</v>
      </c>
      <c r="G560" s="70">
        <f>G555*0.32</f>
        <v>0</v>
      </c>
      <c r="H560" s="121">
        <f>VLOOKUP($B560,dongia1,DG!$F$5,)</f>
        <v>265000</v>
      </c>
      <c r="I560" s="179"/>
      <c r="J560" s="121">
        <f>VLOOKUP($B560,dongia1,DG!$G$5,)</f>
        <v>0</v>
      </c>
      <c r="K560" s="121">
        <f>VLOOKUP($B560,dongia1,DG!$H$5,)</f>
        <v>0</v>
      </c>
      <c r="L560" s="39">
        <f t="shared" si="176"/>
        <v>0</v>
      </c>
      <c r="M560" s="62">
        <f t="shared" si="177"/>
        <v>0</v>
      </c>
      <c r="N560" s="39">
        <f t="shared" si="178"/>
        <v>0</v>
      </c>
      <c r="O560" s="39">
        <f t="shared" si="179"/>
        <v>0</v>
      </c>
      <c r="P560" s="161"/>
    </row>
    <row r="561" spans="1:20" s="34" customFormat="1">
      <c r="A561" s="29" t="str">
        <f t="shared" si="175"/>
        <v/>
      </c>
      <c r="B561" s="159" t="s">
        <v>502</v>
      </c>
      <c r="C561" s="119"/>
      <c r="D561" s="120"/>
      <c r="E561" s="151" t="str">
        <f>VLOOKUP($B561,dongia1,DG!$C$5,)</f>
        <v>Rải cát đệm (độ chặt K=0,9)</v>
      </c>
      <c r="F561" s="120" t="str">
        <f>VLOOKUP($B561,dongia1,DG!$D$5,)</f>
        <v>m3</v>
      </c>
      <c r="G561" s="70">
        <f>G558</f>
        <v>0</v>
      </c>
      <c r="H561" s="121"/>
      <c r="I561" s="179"/>
      <c r="J561" s="121">
        <f>VLOOKUP($B561,dongia1,DG!$G$5,)</f>
        <v>315277.5</v>
      </c>
      <c r="K561" s="121">
        <f>VLOOKUP($B561,dongia1,DG!$H$5,)</f>
        <v>0</v>
      </c>
      <c r="L561" s="39">
        <f t="shared" si="176"/>
        <v>0</v>
      </c>
      <c r="M561" s="62">
        <f t="shared" si="177"/>
        <v>0</v>
      </c>
      <c r="N561" s="39">
        <f t="shared" si="178"/>
        <v>0</v>
      </c>
      <c r="O561" s="39">
        <f t="shared" si="179"/>
        <v>0</v>
      </c>
      <c r="P561" s="161"/>
    </row>
    <row r="562" spans="1:20" s="34" customFormat="1">
      <c r="A562" s="29" t="str">
        <f t="shared" si="175"/>
        <v/>
      </c>
      <c r="B562" s="159" t="s">
        <v>1645</v>
      </c>
      <c r="C562" s="119"/>
      <c r="D562" s="120" t="str">
        <f>VLOOKUP($B562,dongia1,DG!$B$5,)</f>
        <v>03.1013</v>
      </c>
      <c r="E562" s="151" t="str">
        <f>VLOOKUP($B562,dongia1,DG!$C$5,)&amp;" 8,03m3/m"</f>
        <v>Đào hố móng đất cấp 3 sâu &gt;1m DT&lt;5m2 8,03m3/m</v>
      </c>
      <c r="F562" s="120" t="str">
        <f>VLOOKUP($B562,dongia1,DG!$D$5,)</f>
        <v>m3</v>
      </c>
      <c r="G562" s="70">
        <f>G555*8.03</f>
        <v>0</v>
      </c>
      <c r="H562" s="121"/>
      <c r="I562" s="179"/>
      <c r="J562" s="121">
        <f>VLOOKUP($B562,dongia1,DG!$G$5,)</f>
        <v>296500.89999999997</v>
      </c>
      <c r="K562" s="121">
        <f>VLOOKUP($B562,dongia1,DG!$H$5,)</f>
        <v>0</v>
      </c>
      <c r="L562" s="39">
        <f t="shared" si="176"/>
        <v>0</v>
      </c>
      <c r="M562" s="62">
        <f t="shared" si="177"/>
        <v>0</v>
      </c>
      <c r="N562" s="39">
        <f t="shared" si="178"/>
        <v>0</v>
      </c>
      <c r="O562" s="39">
        <f t="shared" si="179"/>
        <v>0</v>
      </c>
      <c r="P562" s="161"/>
    </row>
    <row r="563" spans="1:20" s="34" customFormat="1" ht="27.6">
      <c r="A563" s="29" t="str">
        <f t="shared" si="175"/>
        <v/>
      </c>
      <c r="B563" s="159" t="s">
        <v>501</v>
      </c>
      <c r="C563" s="119"/>
      <c r="D563" s="120" t="str">
        <f>VLOOKUP($B563,dongia1,DG!$B$5,)</f>
        <v>AB.13111</v>
      </c>
      <c r="E563" s="151" t="str">
        <f>VLOOKUP($B563,dongia1,DG!$C$5,)&amp;" 5,15m3/m"</f>
        <v>Đắp đất hố móng, đất cấp 3 (độ chặt k = 0.85) 5,15m3/m</v>
      </c>
      <c r="F563" s="120" t="str">
        <f>VLOOKUP($B563,dongia1,DG!$D$5,)</f>
        <v>m3</v>
      </c>
      <c r="G563" s="70">
        <f>G555*5.15</f>
        <v>0</v>
      </c>
      <c r="H563" s="121"/>
      <c r="I563" s="179"/>
      <c r="J563" s="121">
        <f>VLOOKUP($B563,dongia1,DG!$G$5,)</f>
        <v>117703.6</v>
      </c>
      <c r="K563" s="121">
        <f>VLOOKUP($B563,dongia1,DG!$H$5,)</f>
        <v>0</v>
      </c>
      <c r="L563" s="39">
        <f t="shared" si="176"/>
        <v>0</v>
      </c>
      <c r="M563" s="62">
        <f t="shared" si="177"/>
        <v>0</v>
      </c>
      <c r="N563" s="39">
        <f t="shared" si="178"/>
        <v>0</v>
      </c>
      <c r="O563" s="39">
        <f t="shared" si="179"/>
        <v>0</v>
      </c>
      <c r="P563" s="161"/>
    </row>
    <row r="564" spans="1:20" s="34" customFormat="1" ht="27.6">
      <c r="A564" s="29" t="str">
        <f t="shared" si="175"/>
        <v/>
      </c>
      <c r="B564" s="159" t="s">
        <v>2066</v>
      </c>
      <c r="C564" s="119"/>
      <c r="D564" s="120" t="str">
        <f>VLOOKUP($B564,dongia1,DG!$B$5,)</f>
        <v>AF.11220</v>
      </c>
      <c r="E564" s="151" t="str">
        <f>VLOOKUP($B564,dongia1,DG!$C$5,)&amp;" 1,12m3/m"</f>
        <v>Đổ bê tông mác M200 đá 1x 2rộng &gt;250cm 1,12m3/m</v>
      </c>
      <c r="F564" s="120" t="str">
        <f>VLOOKUP($B564,dongia1,DG!$D$5,)</f>
        <v>m3</v>
      </c>
      <c r="G564" s="74">
        <f>G555*1.12</f>
        <v>0</v>
      </c>
      <c r="H564" s="121"/>
      <c r="I564" s="160"/>
      <c r="J564" s="121">
        <f>VLOOKUP($B564,dongia1,DG!$G$5,)</f>
        <v>466397.5</v>
      </c>
      <c r="K564" s="121">
        <f>VLOOKUP($B564,dongia1,DG!$H$5,)</f>
        <v>0</v>
      </c>
      <c r="L564" s="39">
        <f t="shared" si="176"/>
        <v>0</v>
      </c>
      <c r="M564" s="39">
        <f t="shared" si="177"/>
        <v>0</v>
      </c>
      <c r="N564" s="39">
        <f t="shared" si="178"/>
        <v>0</v>
      </c>
      <c r="O564" s="39">
        <f t="shared" si="179"/>
        <v>0</v>
      </c>
      <c r="P564" s="161"/>
      <c r="Q564" s="32">
        <f>1.025*361</f>
        <v>370.02499999999998</v>
      </c>
      <c r="R564" s="32">
        <f>1.025*0.45</f>
        <v>0.46124999999999999</v>
      </c>
      <c r="S564" s="32">
        <f>1.025*0.866</f>
        <v>0.88764999999999994</v>
      </c>
      <c r="T564" s="32">
        <v>4.9000000000000002E-2</v>
      </c>
    </row>
    <row r="565" spans="1:20" s="61" customFormat="1" collapsed="1">
      <c r="A565" s="137" t="str">
        <f>IF(G565=0,"",1)</f>
        <v/>
      </c>
      <c r="B565" s="181"/>
      <c r="C565" s="166" t="e">
        <f>IF(G565&gt;0,C555+1,C555)</f>
        <v>#REF!</v>
      </c>
      <c r="D565" s="167"/>
      <c r="E565" s="168" t="s">
        <v>3826</v>
      </c>
      <c r="F565" s="169" t="s">
        <v>3827</v>
      </c>
      <c r="G565" s="67"/>
      <c r="H565" s="170"/>
      <c r="I565" s="171"/>
      <c r="J565" s="172"/>
      <c r="K565" s="172"/>
      <c r="L565" s="64">
        <f>H565*$G565</f>
        <v>0</v>
      </c>
      <c r="M565" s="60">
        <f>I565*$G565</f>
        <v>0</v>
      </c>
      <c r="N565" s="64">
        <f>J565*$G565</f>
        <v>0</v>
      </c>
      <c r="O565" s="64">
        <f>K565*$G565</f>
        <v>0</v>
      </c>
      <c r="P565" s="173"/>
    </row>
    <row r="566" spans="1:20" s="34" customFormat="1" ht="14.4">
      <c r="A566" s="29" t="str">
        <f>A565</f>
        <v/>
      </c>
      <c r="B566" s="109"/>
      <c r="C566" s="112"/>
      <c r="D566" s="120"/>
      <c r="E566" s="196" t="s">
        <v>3378</v>
      </c>
      <c r="F566" s="126"/>
      <c r="G566" s="69"/>
      <c r="H566" s="175"/>
      <c r="I566" s="176"/>
      <c r="J566" s="177"/>
      <c r="K566" s="175"/>
      <c r="L566" s="39"/>
      <c r="M566" s="62"/>
      <c r="N566" s="39"/>
      <c r="O566" s="39"/>
      <c r="P566" s="178"/>
    </row>
    <row r="567" spans="1:20" s="34" customFormat="1">
      <c r="A567" s="29" t="str">
        <f t="shared" ref="A567:A575" si="180">IF(G567=0,"",1)</f>
        <v/>
      </c>
      <c r="B567" s="159" t="s">
        <v>1728</v>
      </c>
      <c r="C567" s="119"/>
      <c r="D567" s="120"/>
      <c r="E567" s="151" t="str">
        <f>VLOOKUP($B567,dongia1,DG!$C$5,)</f>
        <v>Ximăng</v>
      </c>
      <c r="F567" s="120" t="str">
        <f>VLOOKUP($B567,dongia1,DG!$D$5,)</f>
        <v>kg</v>
      </c>
      <c r="G567" s="70">
        <f>G574*Q574</f>
        <v>0</v>
      </c>
      <c r="H567" s="121">
        <f>VLOOKUP($B567,dongia1,DG!$F$5,)</f>
        <v>1740</v>
      </c>
      <c r="I567" s="179"/>
      <c r="J567" s="121">
        <f>VLOOKUP($B567,dongia1,DG!$G$5,)</f>
        <v>0</v>
      </c>
      <c r="K567" s="121">
        <f>VLOOKUP($B567,dongia1,DG!$H$5,)</f>
        <v>0</v>
      </c>
      <c r="L567" s="39">
        <f t="shared" ref="L567:O574" si="181">H567*$G567</f>
        <v>0</v>
      </c>
      <c r="M567" s="62">
        <f t="shared" si="181"/>
        <v>0</v>
      </c>
      <c r="N567" s="39">
        <f t="shared" si="181"/>
        <v>0</v>
      </c>
      <c r="O567" s="39">
        <f t="shared" si="181"/>
        <v>0</v>
      </c>
      <c r="P567" s="161"/>
    </row>
    <row r="568" spans="1:20" s="34" customFormat="1">
      <c r="A568" s="29" t="str">
        <f t="shared" si="180"/>
        <v/>
      </c>
      <c r="B568" s="159" t="s">
        <v>1729</v>
      </c>
      <c r="C568" s="119"/>
      <c r="D568" s="120"/>
      <c r="E568" s="151" t="str">
        <f>VLOOKUP($B568,dongia1,DG!$C$5,)</f>
        <v>Cát vàng</v>
      </c>
      <c r="F568" s="120" t="str">
        <f>VLOOKUP($B568,dongia1,DG!$D$5,)</f>
        <v>m3</v>
      </c>
      <c r="G568" s="70">
        <f>G574*R574</f>
        <v>0</v>
      </c>
      <c r="H568" s="121">
        <f>VLOOKUP($B568,dongia1,DG!$F$5,)</f>
        <v>512000</v>
      </c>
      <c r="I568" s="179"/>
      <c r="J568" s="121">
        <f>VLOOKUP($B568,dongia1,DG!$G$5,)</f>
        <v>0</v>
      </c>
      <c r="K568" s="121">
        <f>VLOOKUP($B568,dongia1,DG!$H$5,)</f>
        <v>0</v>
      </c>
      <c r="L568" s="39">
        <f t="shared" si="181"/>
        <v>0</v>
      </c>
      <c r="M568" s="62">
        <f t="shared" si="181"/>
        <v>0</v>
      </c>
      <c r="N568" s="39">
        <f t="shared" si="181"/>
        <v>0</v>
      </c>
      <c r="O568" s="39">
        <f t="shared" si="181"/>
        <v>0</v>
      </c>
      <c r="P568" s="161"/>
    </row>
    <row r="569" spans="1:20" s="34" customFormat="1">
      <c r="A569" s="29" t="str">
        <f t="shared" si="180"/>
        <v/>
      </c>
      <c r="B569" s="159" t="s">
        <v>853</v>
      </c>
      <c r="C569" s="119"/>
      <c r="D569" s="120"/>
      <c r="E569" s="151" t="str">
        <f>VLOOKUP($B569,dongia1,DG!$C$5,)</f>
        <v>Đá 1x2</v>
      </c>
      <c r="F569" s="120" t="str">
        <f>VLOOKUP($B569,dongia1,DG!$D$5,)</f>
        <v>m3</v>
      </c>
      <c r="G569" s="70">
        <f>G574*S574</f>
        <v>0</v>
      </c>
      <c r="H569" s="121">
        <f>VLOOKUP($B569,dongia1,DG!$F$5,)</f>
        <v>335000</v>
      </c>
      <c r="I569" s="179"/>
      <c r="J569" s="121">
        <f>VLOOKUP($B569,dongia1,DG!$G$5,)</f>
        <v>0</v>
      </c>
      <c r="K569" s="121">
        <f>VLOOKUP($B569,dongia1,DG!$H$5,)</f>
        <v>0</v>
      </c>
      <c r="L569" s="39">
        <f t="shared" si="181"/>
        <v>0</v>
      </c>
      <c r="M569" s="62">
        <f t="shared" si="181"/>
        <v>0</v>
      </c>
      <c r="N569" s="39">
        <f t="shared" si="181"/>
        <v>0</v>
      </c>
      <c r="O569" s="39">
        <f t="shared" si="181"/>
        <v>0</v>
      </c>
      <c r="P569" s="161"/>
    </row>
    <row r="570" spans="1:20" s="34" customFormat="1">
      <c r="A570" s="29" t="str">
        <f t="shared" si="180"/>
        <v/>
      </c>
      <c r="B570" s="159" t="s">
        <v>1647</v>
      </c>
      <c r="C570" s="119"/>
      <c r="D570" s="120"/>
      <c r="E570" s="151" t="str">
        <f>VLOOKUP($B570,dongia1,DG!$C$5,)&amp;" : 11,16m/nắp"</f>
        <v>Sắt góc L32 x 32 x 3 : 11,16m/nắp</v>
      </c>
      <c r="F570" s="120" t="str">
        <f>VLOOKUP($B570,dongia1,DG!$D$5,)</f>
        <v>kg</v>
      </c>
      <c r="G570" s="70">
        <f>G564*11.16*1.46</f>
        <v>0</v>
      </c>
      <c r="H570" s="121">
        <f>VLOOKUP($B570,dongia1,DG!$F$5,)</f>
        <v>31625</v>
      </c>
      <c r="I570" s="179"/>
      <c r="J570" s="121">
        <f>VLOOKUP($B570,dongia1,DG!$G$5,)</f>
        <v>0</v>
      </c>
      <c r="K570" s="121">
        <f>VLOOKUP($B570,dongia1,DG!$H$5,)</f>
        <v>0</v>
      </c>
      <c r="L570" s="39">
        <f t="shared" si="181"/>
        <v>0</v>
      </c>
      <c r="M570" s="62">
        <f t="shared" si="181"/>
        <v>0</v>
      </c>
      <c r="N570" s="39">
        <f t="shared" si="181"/>
        <v>0</v>
      </c>
      <c r="O570" s="39">
        <f t="shared" si="181"/>
        <v>0</v>
      </c>
      <c r="P570" s="161"/>
    </row>
    <row r="571" spans="1:20" s="34" customFormat="1">
      <c r="A571" s="29" t="str">
        <f t="shared" si="180"/>
        <v/>
      </c>
      <c r="B571" s="159" t="s">
        <v>59</v>
      </c>
      <c r="C571" s="119"/>
      <c r="D571" s="120"/>
      <c r="E571" s="151" t="str">
        <f>VLOOKUP($B571,dongia1,DG!$C$5,)</f>
        <v>Sắt   Þ8</v>
      </c>
      <c r="F571" s="120" t="str">
        <f>VLOOKUP($B571,dongia1,DG!$D$5,)</f>
        <v>kg</v>
      </c>
      <c r="G571" s="70">
        <f>G565*13.32</f>
        <v>0</v>
      </c>
      <c r="H571" s="121">
        <f>VLOOKUP($B571,dongia1,DG!$F$5,)</f>
        <v>13200</v>
      </c>
      <c r="I571" s="179"/>
      <c r="J571" s="121">
        <f>VLOOKUP($B571,dongia1,DG!$G$5,)</f>
        <v>0</v>
      </c>
      <c r="K571" s="121">
        <f>VLOOKUP($B571,dongia1,DG!$H$5,)</f>
        <v>0</v>
      </c>
      <c r="L571" s="39">
        <f t="shared" si="181"/>
        <v>0</v>
      </c>
      <c r="M571" s="62">
        <f t="shared" si="181"/>
        <v>0</v>
      </c>
      <c r="N571" s="39">
        <f t="shared" si="181"/>
        <v>0</v>
      </c>
      <c r="O571" s="39">
        <f t="shared" si="181"/>
        <v>0</v>
      </c>
      <c r="P571" s="161"/>
    </row>
    <row r="572" spans="1:20" s="34" customFormat="1">
      <c r="A572" s="29" t="str">
        <f t="shared" si="180"/>
        <v/>
      </c>
      <c r="B572" s="159" t="s">
        <v>60</v>
      </c>
      <c r="C572" s="119"/>
      <c r="D572" s="120"/>
      <c r="E572" s="151" t="str">
        <f>VLOOKUP($B572,dongia1,DG!$C$5,)</f>
        <v>Kẽm</v>
      </c>
      <c r="F572" s="120" t="str">
        <f>VLOOKUP($B572,dongia1,DG!$D$5,)</f>
        <v>kg</v>
      </c>
      <c r="G572" s="70">
        <f>G565*0.1</f>
        <v>0</v>
      </c>
      <c r="H572" s="121">
        <f>VLOOKUP($B572,dongia1,DG!$F$5,)</f>
        <v>10500</v>
      </c>
      <c r="I572" s="179"/>
      <c r="J572" s="121">
        <f>VLOOKUP($B572,dongia1,DG!$G$5,)</f>
        <v>0</v>
      </c>
      <c r="K572" s="121">
        <f>VLOOKUP($B572,dongia1,DG!$H$5,)</f>
        <v>0</v>
      </c>
      <c r="L572" s="39">
        <f t="shared" si="181"/>
        <v>0</v>
      </c>
      <c r="M572" s="62">
        <f t="shared" si="181"/>
        <v>0</v>
      </c>
      <c r="N572" s="39">
        <f t="shared" si="181"/>
        <v>0</v>
      </c>
      <c r="O572" s="39">
        <f t="shared" si="181"/>
        <v>0</v>
      </c>
      <c r="P572" s="161"/>
    </row>
    <row r="573" spans="1:20" s="34" customFormat="1">
      <c r="A573" s="29" t="str">
        <f t="shared" si="180"/>
        <v/>
      </c>
      <c r="B573" s="159" t="s">
        <v>732</v>
      </c>
      <c r="C573" s="119"/>
      <c r="D573" s="120" t="str">
        <f>VLOOKUP($B573,dongia1,DG!$B$5,)</f>
        <v>AB.66112</v>
      </c>
      <c r="E573" s="151" t="str">
        <f>VLOOKUP($B573,dongia1,DG!$C$5,)</f>
        <v>Rải cát đệm (độ chặt K=0,9)</v>
      </c>
      <c r="F573" s="120" t="str">
        <f>VLOOKUP($B573,dongia1,DG!$D$5,)</f>
        <v>m3</v>
      </c>
      <c r="G573" s="70">
        <f>G568</f>
        <v>0</v>
      </c>
      <c r="H573" s="121"/>
      <c r="I573" s="160"/>
      <c r="J573" s="121">
        <f>VLOOKUP($B573,dongia1,DG!$G$5,)</f>
        <v>315277.5</v>
      </c>
      <c r="K573" s="121">
        <f>VLOOKUP($B573,dongia1,DG!$H$5,)</f>
        <v>0</v>
      </c>
      <c r="L573" s="39">
        <f t="shared" si="181"/>
        <v>0</v>
      </c>
      <c r="M573" s="39">
        <f t="shared" si="181"/>
        <v>0</v>
      </c>
      <c r="N573" s="39">
        <f t="shared" si="181"/>
        <v>0</v>
      </c>
      <c r="O573" s="39">
        <f t="shared" si="181"/>
        <v>0</v>
      </c>
      <c r="P573" s="161"/>
    </row>
    <row r="574" spans="1:20" s="34" customFormat="1" ht="27.6">
      <c r="A574" s="29" t="str">
        <f t="shared" si="180"/>
        <v/>
      </c>
      <c r="B574" s="159" t="s">
        <v>2066</v>
      </c>
      <c r="C574" s="119"/>
      <c r="D574" s="120" t="str">
        <f>VLOOKUP($B574,dongia1,DG!$B$5,)</f>
        <v>AF.11220</v>
      </c>
      <c r="E574" s="151" t="str">
        <f>VLOOKUP($B574,dongia1,DG!$C$5,)&amp;" : 0,097m3/naép"</f>
        <v>Đổ bê tông mác M200 đá 1x 2rộng &gt;250cm : 0,097m3/naép</v>
      </c>
      <c r="F574" s="120" t="str">
        <f>VLOOKUP($B574,dongia1,DG!$D$5,)</f>
        <v>m3</v>
      </c>
      <c r="G574" s="69">
        <f>G565*0.097</f>
        <v>0</v>
      </c>
      <c r="H574" s="121"/>
      <c r="I574" s="179"/>
      <c r="J574" s="121">
        <f>VLOOKUP($B574,dongia1,DG!$G$5,)</f>
        <v>466397.5</v>
      </c>
      <c r="K574" s="121">
        <f>VLOOKUP($B574,dongia1,DG!$H$5,)</f>
        <v>0</v>
      </c>
      <c r="L574" s="39">
        <f t="shared" si="181"/>
        <v>0</v>
      </c>
      <c r="M574" s="62">
        <f t="shared" si="181"/>
        <v>0</v>
      </c>
      <c r="N574" s="39">
        <f t="shared" si="181"/>
        <v>0</v>
      </c>
      <c r="O574" s="39">
        <f t="shared" si="181"/>
        <v>0</v>
      </c>
      <c r="P574" s="161"/>
      <c r="Q574" s="32">
        <f>1.025*361</f>
        <v>370.02499999999998</v>
      </c>
      <c r="R574" s="32">
        <f>1.025*0.45</f>
        <v>0.46124999999999999</v>
      </c>
      <c r="S574" s="32">
        <f>1.025*0.866</f>
        <v>0.88764999999999994</v>
      </c>
      <c r="T574" s="32">
        <v>4.9000000000000002E-2</v>
      </c>
    </row>
    <row r="575" spans="1:20" s="61" customFormat="1">
      <c r="A575" s="137" t="e">
        <f t="shared" si="180"/>
        <v>#REF!</v>
      </c>
      <c r="B575" s="138"/>
      <c r="C575" s="207" t="e">
        <f>IF(G575&gt;0,C555+1,C555)</f>
        <v>#REF!</v>
      </c>
      <c r="D575" s="167"/>
      <c r="E575" s="206" t="s">
        <v>3846</v>
      </c>
      <c r="F575" s="207" t="s">
        <v>2113</v>
      </c>
      <c r="G575" s="67" t="e">
        <f>+#REF!</f>
        <v>#REF!</v>
      </c>
      <c r="H575" s="213"/>
      <c r="I575" s="213"/>
      <c r="J575" s="172"/>
      <c r="K575" s="172"/>
      <c r="L575" s="64" t="e">
        <f t="shared" ref="L575:L582" si="182">H575*$G575</f>
        <v>#REF!</v>
      </c>
      <c r="M575" s="64" t="e">
        <f t="shared" ref="M575:M582" si="183">I575*$G575</f>
        <v>#REF!</v>
      </c>
      <c r="N575" s="64" t="e">
        <f t="shared" ref="N575:N582" si="184">J575*$G575</f>
        <v>#REF!</v>
      </c>
      <c r="O575" s="64" t="e">
        <f t="shared" ref="O575:O582" si="185">K575*$G575</f>
        <v>#REF!</v>
      </c>
      <c r="P575" s="214"/>
    </row>
    <row r="576" spans="1:20" s="34" customFormat="1" ht="14.4">
      <c r="A576" s="29" t="e">
        <f>A575</f>
        <v>#REF!</v>
      </c>
      <c r="B576" s="109"/>
      <c r="C576" s="150"/>
      <c r="D576" s="120"/>
      <c r="E576" s="196" t="s">
        <v>3378</v>
      </c>
      <c r="F576" s="215"/>
      <c r="G576" s="65"/>
      <c r="H576" s="216"/>
      <c r="I576" s="216"/>
      <c r="J576" s="130"/>
      <c r="K576" s="130"/>
      <c r="L576" s="58">
        <f t="shared" si="182"/>
        <v>0</v>
      </c>
      <c r="M576" s="58">
        <f t="shared" si="183"/>
        <v>0</v>
      </c>
      <c r="N576" s="58">
        <f t="shared" si="184"/>
        <v>0</v>
      </c>
      <c r="O576" s="58">
        <f t="shared" si="185"/>
        <v>0</v>
      </c>
      <c r="P576" s="215"/>
    </row>
    <row r="577" spans="1:16" s="34" customFormat="1">
      <c r="A577" s="29" t="e">
        <f t="shared" ref="A577:A582" si="186">IF(G577=0,"",1)</f>
        <v>#REF!</v>
      </c>
      <c r="B577" s="109" t="s">
        <v>1200</v>
      </c>
      <c r="C577" s="119"/>
      <c r="D577" s="120"/>
      <c r="E577" s="151" t="str">
        <f>VLOOKUP($B577,dongia1,DG!$C$5,)</f>
        <v>Cáp đồng trần M25mm2</v>
      </c>
      <c r="F577" s="120" t="str">
        <f>VLOOKUP($B577,dongia1,DG!$D$5,)</f>
        <v>kg</v>
      </c>
      <c r="G577" s="74" t="e">
        <f>14*0.224*G575</f>
        <v>#REF!</v>
      </c>
      <c r="H577" s="121">
        <f>VLOOKUP($B577,dongia1,DG!$F$5,)</f>
        <v>255500</v>
      </c>
      <c r="I577" s="155"/>
      <c r="J577" s="121">
        <f>VLOOKUP($B577,dongia1,DG!$G$5,)</f>
        <v>0</v>
      </c>
      <c r="K577" s="121">
        <f>VLOOKUP($B577,dongia1,DG!$H$5,)</f>
        <v>0</v>
      </c>
      <c r="L577" s="39" t="e">
        <f t="shared" si="182"/>
        <v>#REF!</v>
      </c>
      <c r="M577" s="39" t="e">
        <f t="shared" si="183"/>
        <v>#REF!</v>
      </c>
      <c r="N577" s="39" t="e">
        <f t="shared" si="184"/>
        <v>#REF!</v>
      </c>
      <c r="O577" s="39" t="e">
        <f t="shared" si="185"/>
        <v>#REF!</v>
      </c>
      <c r="P577" s="112"/>
    </row>
    <row r="578" spans="1:16" s="34" customFormat="1">
      <c r="A578" s="29" t="e">
        <f t="shared" si="186"/>
        <v>#REF!</v>
      </c>
      <c r="B578" s="153" t="s">
        <v>1098</v>
      </c>
      <c r="C578" s="119"/>
      <c r="D578" s="120"/>
      <c r="E578" s="151" t="str">
        <f>VLOOKUP($B578,dongia1,DG!$C$5,)&amp;": 4 cọc/bộ"</f>
        <v>Cọc tiếp đất Þ 16- 2,4m + kẹp cọc: 4 cọc/bộ</v>
      </c>
      <c r="F578" s="120" t="str">
        <f>VLOOKUP($B578,dongia1,DG!$D$5,)</f>
        <v>bộ</v>
      </c>
      <c r="G578" s="73" t="e">
        <f>G575*4</f>
        <v>#REF!</v>
      </c>
      <c r="H578" s="121">
        <f>VLOOKUP($B578,dongia1,DG!$F$5,)</f>
        <v>160000</v>
      </c>
      <c r="I578" s="155"/>
      <c r="J578" s="121">
        <f>VLOOKUP($B578,dongia1,DG!$G$5,)</f>
        <v>0</v>
      </c>
      <c r="K578" s="121">
        <f>VLOOKUP($B578,dongia1,DG!$H$5,)</f>
        <v>0</v>
      </c>
      <c r="L578" s="39" t="e">
        <f t="shared" si="182"/>
        <v>#REF!</v>
      </c>
      <c r="M578" s="39" t="e">
        <f t="shared" si="183"/>
        <v>#REF!</v>
      </c>
      <c r="N578" s="39" t="e">
        <f t="shared" si="184"/>
        <v>#REF!</v>
      </c>
      <c r="O578" s="39" t="e">
        <f t="shared" si="185"/>
        <v>#REF!</v>
      </c>
      <c r="P578" s="112"/>
    </row>
    <row r="579" spans="1:16" s="34" customFormat="1">
      <c r="A579" s="29" t="e">
        <f t="shared" si="186"/>
        <v>#REF!</v>
      </c>
      <c r="B579" s="153" t="s">
        <v>457</v>
      </c>
      <c r="C579" s="119"/>
      <c r="D579" s="120">
        <f>VLOOKUP($B579,dongia1,DG!$B$5,)</f>
        <v>0</v>
      </c>
      <c r="E579" s="151" t="str">
        <f>VLOOKUP($B579,dongia1,DG!$C$5,)</f>
        <v>Boulon 10x40+ 2 long đền vuông D12-50x50x3/Zn</v>
      </c>
      <c r="F579" s="120" t="str">
        <f>VLOOKUP($B579,dongia1,DG!$D$5,)</f>
        <v>bộ</v>
      </c>
      <c r="G579" s="73" t="e">
        <f>G575</f>
        <v>#REF!</v>
      </c>
      <c r="H579" s="121">
        <f>VLOOKUP($B579,dongia1,DG!$F$5,)</f>
        <v>1500</v>
      </c>
      <c r="I579" s="155"/>
      <c r="J579" s="121">
        <f>VLOOKUP($B579,dongia1,DG!$G$5,)</f>
        <v>0</v>
      </c>
      <c r="K579" s="121">
        <f>VLOOKUP($B579,dongia1,DG!$H$5,)</f>
        <v>0</v>
      </c>
      <c r="L579" s="39" t="e">
        <f t="shared" si="182"/>
        <v>#REF!</v>
      </c>
      <c r="M579" s="39" t="e">
        <f t="shared" si="183"/>
        <v>#REF!</v>
      </c>
      <c r="N579" s="39" t="e">
        <f t="shared" si="184"/>
        <v>#REF!</v>
      </c>
      <c r="O579" s="39" t="e">
        <f t="shared" si="185"/>
        <v>#REF!</v>
      </c>
      <c r="P579" s="112"/>
    </row>
    <row r="580" spans="1:16" s="34" customFormat="1">
      <c r="A580" s="29" t="e">
        <f t="shared" si="186"/>
        <v>#REF!</v>
      </c>
      <c r="B580" s="210" t="s">
        <v>971</v>
      </c>
      <c r="C580" s="119"/>
      <c r="D580" s="120" t="str">
        <f>VLOOKUP($B580,dongia1,DG!$B$5,)</f>
        <v>D4.5001</v>
      </c>
      <c r="E580" s="151" t="str">
        <f>VLOOKUP($B580,dongia1,DG!$C$5,)</f>
        <v>Đầu cosse ép Cu 25mm2</v>
      </c>
      <c r="F580" s="120" t="str">
        <f>VLOOKUP($B580,dongia1,DG!$D$5,)</f>
        <v>cái</v>
      </c>
      <c r="G580" s="73" t="e">
        <f>G579*2</f>
        <v>#REF!</v>
      </c>
      <c r="H580" s="121">
        <f>VLOOKUP($B580,dongia1,DG!$F$5,)</f>
        <v>6500</v>
      </c>
      <c r="I580" s="121"/>
      <c r="J580" s="121">
        <f>VLOOKUP($B580,dongia1,DG!$G$5,)</f>
        <v>6062.26</v>
      </c>
      <c r="K580" s="121">
        <f>VLOOKUP($B580,dongia1,DG!$H$5,)</f>
        <v>2777.0232475000003</v>
      </c>
      <c r="L580" s="39" t="e">
        <f t="shared" si="182"/>
        <v>#REF!</v>
      </c>
      <c r="M580" s="39" t="e">
        <f t="shared" si="183"/>
        <v>#REF!</v>
      </c>
      <c r="N580" s="39" t="e">
        <f t="shared" si="184"/>
        <v>#REF!</v>
      </c>
      <c r="O580" s="39" t="e">
        <f t="shared" si="185"/>
        <v>#REF!</v>
      </c>
      <c r="P580" s="112"/>
    </row>
    <row r="581" spans="1:16" s="34" customFormat="1">
      <c r="A581" s="29" t="e">
        <f t="shared" si="186"/>
        <v>#REF!</v>
      </c>
      <c r="B581" s="210" t="s">
        <v>102</v>
      </c>
      <c r="C581" s="119"/>
      <c r="D581" s="120" t="str">
        <f>VLOOKUP($B581,dongia1,DG!$B$5,)</f>
        <v>D2.8103</v>
      </c>
      <c r="E581" s="151" t="str">
        <f>VLOOKUP($B581,dongia1,DG!$C$5,)</f>
        <v>Đóng cọc tiếp địa đất cấp 3 dài 2,5m</v>
      </c>
      <c r="F581" s="120" t="str">
        <f>VLOOKUP($B581,dongia1,DG!$D$5,)</f>
        <v>cọc</v>
      </c>
      <c r="G581" s="73" t="e">
        <f>G578</f>
        <v>#REF!</v>
      </c>
      <c r="H581" s="121">
        <f>VLOOKUP($B581,dongia1,DG!$F$5,)</f>
        <v>0</v>
      </c>
      <c r="I581" s="121"/>
      <c r="J581" s="121">
        <f>VLOOKUP($B581,dongia1,DG!$G$5,)</f>
        <v>90355.896000000008</v>
      </c>
      <c r="K581" s="121">
        <f>VLOOKUP($B581,dongia1,DG!$H$5,)</f>
        <v>1573.075</v>
      </c>
      <c r="L581" s="39" t="e">
        <f t="shared" si="182"/>
        <v>#REF!</v>
      </c>
      <c r="M581" s="39" t="e">
        <f t="shared" si="183"/>
        <v>#REF!</v>
      </c>
      <c r="N581" s="39" t="e">
        <f t="shared" si="184"/>
        <v>#REF!</v>
      </c>
      <c r="O581" s="39" t="e">
        <f t="shared" si="185"/>
        <v>#REF!</v>
      </c>
      <c r="P581" s="112"/>
    </row>
    <row r="582" spans="1:16" s="34" customFormat="1">
      <c r="A582" s="29" t="e">
        <f t="shared" si="186"/>
        <v>#REF!</v>
      </c>
      <c r="B582" s="153" t="s">
        <v>903</v>
      </c>
      <c r="C582" s="119"/>
      <c r="D582" s="120">
        <f>VLOOKUP($B582,dongia1,DG!$B$5,)</f>
        <v>0</v>
      </c>
      <c r="E582" s="151" t="str">
        <f>VLOOKUP($B582,dongia1,DG!$C$5,)</f>
        <v>Ốc xiết cáp cỡ 25mm2</v>
      </c>
      <c r="F582" s="120" t="str">
        <f>VLOOKUP($B582,dongia1,DG!$D$5,)</f>
        <v>cái</v>
      </c>
      <c r="G582" s="73" t="e">
        <f>2*G575</f>
        <v>#REF!</v>
      </c>
      <c r="H582" s="121">
        <f>VLOOKUP($B582,dongia1,DG!$F$5,)</f>
        <v>17600</v>
      </c>
      <c r="I582" s="155"/>
      <c r="J582" s="121">
        <f>VLOOKUP($B582,dongia1,DG!$G$5,)</f>
        <v>0</v>
      </c>
      <c r="K582" s="121">
        <f>VLOOKUP($B582,dongia1,DG!$H$5,)</f>
        <v>0</v>
      </c>
      <c r="L582" s="39" t="e">
        <f t="shared" si="182"/>
        <v>#REF!</v>
      </c>
      <c r="M582" s="39" t="e">
        <f t="shared" si="183"/>
        <v>#REF!</v>
      </c>
      <c r="N582" s="39" t="e">
        <f t="shared" si="184"/>
        <v>#REF!</v>
      </c>
      <c r="O582" s="39" t="e">
        <f t="shared" si="185"/>
        <v>#REF!</v>
      </c>
      <c r="P582" s="112"/>
    </row>
    <row r="583" spans="1:16" s="61" customFormat="1">
      <c r="A583" s="137" t="e">
        <f>IF(G583=0,"",1)</f>
        <v>#REF!</v>
      </c>
      <c r="B583" s="138"/>
      <c r="C583" s="207" t="e">
        <f>IF(G583&gt;0,C575+1,C575)</f>
        <v>#REF!</v>
      </c>
      <c r="D583" s="167"/>
      <c r="E583" s="206" t="s">
        <v>3539</v>
      </c>
      <c r="F583" s="207" t="s">
        <v>2113</v>
      </c>
      <c r="G583" s="67" t="e">
        <f>+G600+G603+G606</f>
        <v>#REF!</v>
      </c>
      <c r="H583" s="213"/>
      <c r="I583" s="213"/>
      <c r="J583" s="172"/>
      <c r="K583" s="172"/>
      <c r="L583" s="64" t="e">
        <f t="shared" ref="L583:L599" si="187">H583*$G583</f>
        <v>#REF!</v>
      </c>
      <c r="M583" s="64" t="e">
        <f t="shared" ref="M583:M599" si="188">I583*$G583</f>
        <v>#REF!</v>
      </c>
      <c r="N583" s="64" t="e">
        <f t="shared" ref="N583:N599" si="189">J583*$G583</f>
        <v>#REF!</v>
      </c>
      <c r="O583" s="64" t="e">
        <f t="shared" ref="O583:O599" si="190">K583*$G583</f>
        <v>#REF!</v>
      </c>
      <c r="P583" s="214"/>
    </row>
    <row r="584" spans="1:16" s="34" customFormat="1" ht="14.4">
      <c r="A584" s="29" t="e">
        <f>A583</f>
        <v>#REF!</v>
      </c>
      <c r="B584" s="109"/>
      <c r="C584" s="150"/>
      <c r="D584" s="120"/>
      <c r="E584" s="196" t="s">
        <v>3378</v>
      </c>
      <c r="F584" s="215"/>
      <c r="G584" s="65"/>
      <c r="H584" s="216"/>
      <c r="I584" s="216"/>
      <c r="J584" s="130"/>
      <c r="K584" s="130"/>
      <c r="L584" s="58">
        <f t="shared" si="187"/>
        <v>0</v>
      </c>
      <c r="M584" s="58">
        <f t="shared" si="188"/>
        <v>0</v>
      </c>
      <c r="N584" s="58">
        <f t="shared" si="189"/>
        <v>0</v>
      </c>
      <c r="O584" s="58">
        <f t="shared" si="190"/>
        <v>0</v>
      </c>
      <c r="P584" s="215"/>
    </row>
    <row r="585" spans="1:16" s="34" customFormat="1">
      <c r="A585" s="29" t="e">
        <f t="shared" ref="A585:A599" si="191">IF(G585=0,"",1)</f>
        <v>#REF!</v>
      </c>
      <c r="B585" s="234" t="s">
        <v>1728</v>
      </c>
      <c r="C585" s="119"/>
      <c r="D585" s="120"/>
      <c r="E585" s="187" t="str">
        <f>VLOOKUP($B585,dongia1,DG!$C$5,)</f>
        <v>Ximăng</v>
      </c>
      <c r="F585" s="185" t="str">
        <f>VLOOKUP($B585,dongia1,DG!$D$5,)</f>
        <v>kg</v>
      </c>
      <c r="G585" s="235" t="e">
        <f>(G598*U598+G599*U599)</f>
        <v>#REF!</v>
      </c>
      <c r="H585" s="121">
        <f>VLOOKUP($B585,dongia1,DG!$F$5,)</f>
        <v>1740</v>
      </c>
      <c r="I585" s="155"/>
      <c r="J585" s="121"/>
      <c r="K585" s="121"/>
      <c r="L585" s="39" t="e">
        <f t="shared" si="187"/>
        <v>#REF!</v>
      </c>
      <c r="M585" s="39" t="e">
        <f t="shared" si="188"/>
        <v>#REF!</v>
      </c>
      <c r="N585" s="39" t="e">
        <f t="shared" si="189"/>
        <v>#REF!</v>
      </c>
      <c r="O585" s="39" t="e">
        <f t="shared" si="190"/>
        <v>#REF!</v>
      </c>
      <c r="P585" s="112"/>
    </row>
    <row r="586" spans="1:16" s="34" customFormat="1">
      <c r="A586" s="29" t="e">
        <f t="shared" si="191"/>
        <v>#REF!</v>
      </c>
      <c r="B586" s="234" t="s">
        <v>1729</v>
      </c>
      <c r="C586" s="119"/>
      <c r="D586" s="120"/>
      <c r="E586" s="187" t="str">
        <f>VLOOKUP($B586,dongia1,DG!$C$5,)</f>
        <v>Cát vàng</v>
      </c>
      <c r="F586" s="185" t="str">
        <f>VLOOKUP($B586,dongia1,DG!$D$5,)</f>
        <v>m3</v>
      </c>
      <c r="G586" s="236" t="e">
        <f>(G598*V598+G599*V599)</f>
        <v>#REF!</v>
      </c>
      <c r="H586" s="121">
        <f>VLOOKUP($B586,dongia1,DG!$F$5,)</f>
        <v>512000</v>
      </c>
      <c r="I586" s="155"/>
      <c r="J586" s="121"/>
      <c r="K586" s="121"/>
      <c r="L586" s="39" t="e">
        <f t="shared" si="187"/>
        <v>#REF!</v>
      </c>
      <c r="M586" s="39" t="e">
        <f t="shared" si="188"/>
        <v>#REF!</v>
      </c>
      <c r="N586" s="39" t="e">
        <f t="shared" si="189"/>
        <v>#REF!</v>
      </c>
      <c r="O586" s="39" t="e">
        <f t="shared" si="190"/>
        <v>#REF!</v>
      </c>
      <c r="P586" s="112"/>
    </row>
    <row r="587" spans="1:16" s="34" customFormat="1">
      <c r="A587" s="29" t="e">
        <f t="shared" si="191"/>
        <v>#REF!</v>
      </c>
      <c r="B587" s="234" t="s">
        <v>853</v>
      </c>
      <c r="C587" s="119"/>
      <c r="D587" s="120"/>
      <c r="E587" s="187" t="str">
        <f>VLOOKUP($B587,dongia1,DG!$C$5,)</f>
        <v>Đá 1x2</v>
      </c>
      <c r="F587" s="120" t="str">
        <f>VLOOKUP($B587,dongia1,DG!$D$5,)</f>
        <v>m3</v>
      </c>
      <c r="G587" s="236" t="e">
        <f>G599*W599</f>
        <v>#REF!</v>
      </c>
      <c r="H587" s="121">
        <f>VLOOKUP($B587,dongia1,DG!$F$5,)</f>
        <v>335000</v>
      </c>
      <c r="I587" s="121"/>
      <c r="J587" s="121"/>
      <c r="K587" s="121"/>
      <c r="L587" s="39" t="e">
        <f t="shared" si="187"/>
        <v>#REF!</v>
      </c>
      <c r="M587" s="39" t="e">
        <f t="shared" si="188"/>
        <v>#REF!</v>
      </c>
      <c r="N587" s="39" t="e">
        <f t="shared" si="189"/>
        <v>#REF!</v>
      </c>
      <c r="O587" s="39" t="e">
        <f t="shared" si="190"/>
        <v>#REF!</v>
      </c>
      <c r="P587" s="112"/>
    </row>
    <row r="588" spans="1:16" s="34" customFormat="1">
      <c r="A588" s="29" t="e">
        <f t="shared" si="191"/>
        <v>#REF!</v>
      </c>
      <c r="B588" s="234" t="s">
        <v>275</v>
      </c>
      <c r="C588" s="119"/>
      <c r="D588" s="120"/>
      <c r="E588" s="187" t="str">
        <f>VLOOKUP($B588,dongia1,DG!$C$5,)</f>
        <v>Đá 4x6</v>
      </c>
      <c r="F588" s="120" t="str">
        <f>VLOOKUP($B588,dongia1,DG!$D$5,)</f>
        <v>m3</v>
      </c>
      <c r="G588" s="236" t="e">
        <f>G598*W598</f>
        <v>#REF!</v>
      </c>
      <c r="H588" s="121">
        <f>VLOOKUP($B588,dongia1,DG!$F$5,)</f>
        <v>265000</v>
      </c>
      <c r="I588" s="121"/>
      <c r="J588" s="121"/>
      <c r="K588" s="121"/>
      <c r="L588" s="39" t="e">
        <f t="shared" si="187"/>
        <v>#REF!</v>
      </c>
      <c r="M588" s="39" t="e">
        <f t="shared" si="188"/>
        <v>#REF!</v>
      </c>
      <c r="N588" s="39" t="e">
        <f t="shared" si="189"/>
        <v>#REF!</v>
      </c>
      <c r="O588" s="39" t="e">
        <f t="shared" si="190"/>
        <v>#REF!</v>
      </c>
      <c r="P588" s="112"/>
    </row>
    <row r="589" spans="1:16" s="34" customFormat="1">
      <c r="A589" s="29" t="e">
        <f t="shared" si="191"/>
        <v>#REF!</v>
      </c>
      <c r="B589" s="234" t="s">
        <v>59</v>
      </c>
      <c r="C589" s="119"/>
      <c r="D589" s="120"/>
      <c r="E589" s="187" t="str">
        <f>VLOOKUP($B589,dongia1,DG!$C$5,)</f>
        <v>Sắt   Þ8</v>
      </c>
      <c r="F589" s="120" t="str">
        <f>VLOOKUP($B589,dongia1,DG!$D$5,)</f>
        <v>kg</v>
      </c>
      <c r="G589" s="236" t="e">
        <f>G583*11.96</f>
        <v>#REF!</v>
      </c>
      <c r="H589" s="121">
        <f>VLOOKUP($B589,dongia1,DG!$F$5,)</f>
        <v>13200</v>
      </c>
      <c r="I589" s="155"/>
      <c r="J589" s="121"/>
      <c r="K589" s="121"/>
      <c r="L589" s="39" t="e">
        <f t="shared" si="187"/>
        <v>#REF!</v>
      </c>
      <c r="M589" s="39" t="e">
        <f t="shared" si="188"/>
        <v>#REF!</v>
      </c>
      <c r="N589" s="39" t="e">
        <f t="shared" si="189"/>
        <v>#REF!</v>
      </c>
      <c r="O589" s="39" t="e">
        <f t="shared" si="190"/>
        <v>#REF!</v>
      </c>
      <c r="P589" s="112"/>
    </row>
    <row r="590" spans="1:16" s="34" customFormat="1">
      <c r="A590" s="29" t="e">
        <f t="shared" si="191"/>
        <v>#REF!</v>
      </c>
      <c r="B590" s="234" t="s">
        <v>806</v>
      </c>
      <c r="C590" s="119"/>
      <c r="D590" s="120"/>
      <c r="E590" s="187" t="str">
        <f>VLOOKUP($B590,dongia1,DG!$C$5,)</f>
        <v>Gỗ ván khuôn</v>
      </c>
      <c r="F590" s="120" t="str">
        <f>VLOOKUP($B590,dongia1,DG!$D$5,)</f>
        <v>m3</v>
      </c>
      <c r="G590" s="237" t="e">
        <f>X599*G599</f>
        <v>#REF!</v>
      </c>
      <c r="H590" s="121">
        <f>VLOOKUP($B590,dongia1,DG!$F$5,)</f>
        <v>1818000</v>
      </c>
      <c r="I590" s="155"/>
      <c r="J590" s="121"/>
      <c r="K590" s="121"/>
      <c r="L590" s="39" t="e">
        <f t="shared" si="187"/>
        <v>#REF!</v>
      </c>
      <c r="M590" s="39" t="e">
        <f t="shared" si="188"/>
        <v>#REF!</v>
      </c>
      <c r="N590" s="39" t="e">
        <f t="shared" si="189"/>
        <v>#REF!</v>
      </c>
      <c r="O590" s="39" t="e">
        <f t="shared" si="190"/>
        <v>#REF!</v>
      </c>
      <c r="P590" s="112"/>
    </row>
    <row r="591" spans="1:16" s="34" customFormat="1">
      <c r="A591" s="29" t="e">
        <f t="shared" si="191"/>
        <v>#REF!</v>
      </c>
      <c r="B591" s="234" t="s">
        <v>353</v>
      </c>
      <c r="C591" s="119"/>
      <c r="D591" s="120"/>
      <c r="E591" s="187" t="str">
        <f>VLOOKUP($B591,dongia1,DG!$C$5,)</f>
        <v>Dây thép buộc A70</v>
      </c>
      <c r="F591" s="120" t="str">
        <f>VLOOKUP($B591,dongia1,DG!$D$5,)</f>
        <v>kg</v>
      </c>
      <c r="G591" s="238" t="e">
        <f>G583*0.25</f>
        <v>#REF!</v>
      </c>
      <c r="H591" s="121">
        <f>VLOOKUP($B591,dongia1,DG!$F$5,)</f>
        <v>61100</v>
      </c>
      <c r="I591" s="155"/>
      <c r="J591" s="121"/>
      <c r="K591" s="121"/>
      <c r="L591" s="39" t="e">
        <f t="shared" si="187"/>
        <v>#REF!</v>
      </c>
      <c r="M591" s="39" t="e">
        <f t="shared" si="188"/>
        <v>#REF!</v>
      </c>
      <c r="N591" s="39" t="e">
        <f t="shared" si="189"/>
        <v>#REF!</v>
      </c>
      <c r="O591" s="39" t="e">
        <f t="shared" si="190"/>
        <v>#REF!</v>
      </c>
      <c r="P591" s="112"/>
    </row>
    <row r="592" spans="1:16" s="34" customFormat="1" ht="27.6">
      <c r="A592" s="29" t="e">
        <f t="shared" si="191"/>
        <v>#REF!</v>
      </c>
      <c r="B592" s="234" t="s">
        <v>1322</v>
      </c>
      <c r="C592" s="119"/>
      <c r="D592" s="120" t="str">
        <f>VLOOKUP($B592,dongia1,DG!$B$5,)</f>
        <v>AB.11413</v>
      </c>
      <c r="E592" s="187" t="str">
        <f>VLOOKUP($B592,dongia1,DG!$C$5,)</f>
        <v>Đào móng cột trụ, hố kiểm tra đất cấp III rộng &lt;=1m, sâu &lt;=1m</v>
      </c>
      <c r="F592" s="120" t="str">
        <f>VLOOKUP($B592,dongia1,DG!$D$5,)</f>
        <v>m3</v>
      </c>
      <c r="G592" s="239" t="e">
        <f>G583*0.29</f>
        <v>#REF!</v>
      </c>
      <c r="H592" s="121"/>
      <c r="I592" s="121"/>
      <c r="J592" s="121">
        <f>VLOOKUP($B592,dongia1,DG!$G$5,)</f>
        <v>315693</v>
      </c>
      <c r="K592" s="121">
        <f>VLOOKUP($B592,dongia1,DG!$H$5,)</f>
        <v>0</v>
      </c>
      <c r="L592" s="39" t="e">
        <f t="shared" si="187"/>
        <v>#REF!</v>
      </c>
      <c r="M592" s="39" t="e">
        <f t="shared" si="188"/>
        <v>#REF!</v>
      </c>
      <c r="N592" s="39" t="e">
        <f t="shared" si="189"/>
        <v>#REF!</v>
      </c>
      <c r="O592" s="39" t="e">
        <f t="shared" si="190"/>
        <v>#REF!</v>
      </c>
      <c r="P592" s="112"/>
    </row>
    <row r="593" spans="1:24" s="34" customFormat="1">
      <c r="A593" s="29" t="e">
        <f t="shared" si="191"/>
        <v>#REF!</v>
      </c>
      <c r="B593" s="234" t="s">
        <v>501</v>
      </c>
      <c r="C593" s="119"/>
      <c r="D593" s="120" t="str">
        <f>VLOOKUP($B593,dongia1,DG!$B$5,)</f>
        <v>AB.13111</v>
      </c>
      <c r="E593" s="187" t="str">
        <f>VLOOKUP($B593,dongia1,DG!$C$5,)</f>
        <v>Đắp đất hố móng, đất cấp 3 (độ chặt k = 0.85)</v>
      </c>
      <c r="F593" s="120" t="str">
        <f>VLOOKUP($B593,dongia1,DG!$D$5,)</f>
        <v>m3</v>
      </c>
      <c r="G593" s="239" t="e">
        <f>G583*0.12</f>
        <v>#REF!</v>
      </c>
      <c r="H593" s="121"/>
      <c r="I593" s="121"/>
      <c r="J593" s="121">
        <f>VLOOKUP($B593,dongia1,DG!$G$5,)</f>
        <v>117703.6</v>
      </c>
      <c r="K593" s="121">
        <f>VLOOKUP($B593,dongia1,DG!$H$5,)</f>
        <v>0</v>
      </c>
      <c r="L593" s="39" t="e">
        <f t="shared" si="187"/>
        <v>#REF!</v>
      </c>
      <c r="M593" s="39" t="e">
        <f t="shared" si="188"/>
        <v>#REF!</v>
      </c>
      <c r="N593" s="39" t="e">
        <f t="shared" si="189"/>
        <v>#REF!</v>
      </c>
      <c r="O593" s="39" t="e">
        <f t="shared" si="190"/>
        <v>#REF!</v>
      </c>
      <c r="P593" s="112"/>
    </row>
    <row r="594" spans="1:24" s="34" customFormat="1">
      <c r="A594" s="29" t="e">
        <f t="shared" si="191"/>
        <v>#REF!</v>
      </c>
      <c r="B594" s="234" t="s">
        <v>553</v>
      </c>
      <c r="C594" s="119"/>
      <c r="D594" s="120" t="str">
        <f>VLOOKUP($B594,dongia1,DG!$B$5,)</f>
        <v>02.1211</v>
      </c>
      <c r="E594" s="187" t="str">
        <f>VLOOKUP($B594,dongia1,DG!$C$5,)</f>
        <v>V/c xi măng ( cự ly &lt;=100m)</v>
      </c>
      <c r="F594" s="120" t="str">
        <f>VLOOKUP($B594,dongia1,DG!$D$5,)</f>
        <v>tấn</v>
      </c>
      <c r="G594" s="239" t="e">
        <f>G585/1000</f>
        <v>#REF!</v>
      </c>
      <c r="H594" s="121"/>
      <c r="I594" s="155"/>
      <c r="J594" s="121">
        <f>VLOOKUP($B594,dongia1,DG!$G$5,)</f>
        <v>144624</v>
      </c>
      <c r="K594" s="121">
        <f>VLOOKUP($B594,dongia1,DG!$H$5,)</f>
        <v>0</v>
      </c>
      <c r="L594" s="39" t="e">
        <f t="shared" si="187"/>
        <v>#REF!</v>
      </c>
      <c r="M594" s="39" t="e">
        <f t="shared" si="188"/>
        <v>#REF!</v>
      </c>
      <c r="N594" s="39" t="e">
        <f t="shared" si="189"/>
        <v>#REF!</v>
      </c>
      <c r="O594" s="39" t="e">
        <f t="shared" si="190"/>
        <v>#REF!</v>
      </c>
      <c r="P594" s="112"/>
    </row>
    <row r="595" spans="1:24" s="34" customFormat="1">
      <c r="A595" s="29" t="e">
        <f t="shared" si="191"/>
        <v>#REF!</v>
      </c>
      <c r="B595" s="234" t="s">
        <v>1263</v>
      </c>
      <c r="C595" s="119"/>
      <c r="D595" s="120" t="str">
        <f>VLOOKUP($B595,dongia1,DG!$B$5,)</f>
        <v>02.1231</v>
      </c>
      <c r="E595" s="187" t="str">
        <f>VLOOKUP($B595,dongia1,DG!$C$5,)</f>
        <v>V/c cát vàng cự ly &lt;=100m</v>
      </c>
      <c r="F595" s="120" t="str">
        <f>VLOOKUP($B595,dongia1,DG!$D$5,)</f>
        <v>m3</v>
      </c>
      <c r="G595" s="239" t="e">
        <f>G586</f>
        <v>#REF!</v>
      </c>
      <c r="H595" s="121"/>
      <c r="I595" s="155"/>
      <c r="J595" s="121">
        <f>VLOOKUP($B595,dongia1,DG!$G$5,)</f>
        <v>135437</v>
      </c>
      <c r="K595" s="121">
        <f>VLOOKUP($B595,dongia1,DG!$H$5,)</f>
        <v>0</v>
      </c>
      <c r="L595" s="39" t="e">
        <f t="shared" si="187"/>
        <v>#REF!</v>
      </c>
      <c r="M595" s="39" t="e">
        <f t="shared" si="188"/>
        <v>#REF!</v>
      </c>
      <c r="N595" s="39" t="e">
        <f t="shared" si="189"/>
        <v>#REF!</v>
      </c>
      <c r="O595" s="39" t="e">
        <f t="shared" si="190"/>
        <v>#REF!</v>
      </c>
      <c r="P595" s="112"/>
    </row>
    <row r="596" spans="1:24" s="34" customFormat="1">
      <c r="A596" s="29" t="e">
        <f t="shared" si="191"/>
        <v>#REF!</v>
      </c>
      <c r="B596" s="234" t="s">
        <v>818</v>
      </c>
      <c r="C596" s="119"/>
      <c r="D596" s="120" t="str">
        <f>VLOOKUP($B596,dongia1,DG!$B$5,)</f>
        <v>02.1241</v>
      </c>
      <c r="E596" s="187" t="str">
        <f>VLOOKUP($B596,dongia1,DG!$C$5,)</f>
        <v>V/c đá dăm ( cự ly &lt;=100m)</v>
      </c>
      <c r="F596" s="120" t="str">
        <f>VLOOKUP($B596,dongia1,DG!$D$5,)</f>
        <v>m3</v>
      </c>
      <c r="G596" s="239" t="e">
        <f>G587</f>
        <v>#REF!</v>
      </c>
      <c r="H596" s="121"/>
      <c r="I596" s="155"/>
      <c r="J596" s="121">
        <f>VLOOKUP($B596,dongia1,DG!$G$5,)</f>
        <v>142253</v>
      </c>
      <c r="K596" s="121">
        <f>VLOOKUP($B596,dongia1,DG!$H$5,)</f>
        <v>0</v>
      </c>
      <c r="L596" s="39" t="e">
        <f t="shared" si="187"/>
        <v>#REF!</v>
      </c>
      <c r="M596" s="39" t="e">
        <f t="shared" si="188"/>
        <v>#REF!</v>
      </c>
      <c r="N596" s="39" t="e">
        <f t="shared" si="189"/>
        <v>#REF!</v>
      </c>
      <c r="O596" s="39" t="e">
        <f t="shared" si="190"/>
        <v>#REF!</v>
      </c>
      <c r="P596" s="112"/>
    </row>
    <row r="597" spans="1:24" s="34" customFormat="1">
      <c r="A597" s="29" t="e">
        <f t="shared" si="191"/>
        <v>#REF!</v>
      </c>
      <c r="B597" s="234" t="s">
        <v>1694</v>
      </c>
      <c r="C597" s="119"/>
      <c r="D597" s="120" t="str">
        <f>VLOOKUP($B597,dongia1,DG!$B$5,)</f>
        <v>AF.61210</v>
      </c>
      <c r="E597" s="187" t="str">
        <f>VLOOKUP($B597,dongia1,DG!$C$5,)</f>
        <v>Gia công và lắp dựng cốt thép D&lt;=10</v>
      </c>
      <c r="F597" s="120" t="str">
        <f>VLOOKUP($B597,dongia1,DG!$D$5,)</f>
        <v>kg</v>
      </c>
      <c r="G597" s="239" t="e">
        <f>G589</f>
        <v>#REF!</v>
      </c>
      <c r="H597" s="121"/>
      <c r="I597" s="155"/>
      <c r="J597" s="121">
        <f>VLOOKUP($B597,dongia1,DG!$F$5,)</f>
        <v>9814</v>
      </c>
      <c r="K597" s="121">
        <f>VLOOKUP($B597,dongia1,DG!$G$5,)</f>
        <v>2965.3303999999998</v>
      </c>
      <c r="L597" s="39" t="e">
        <f t="shared" si="187"/>
        <v>#REF!</v>
      </c>
      <c r="M597" s="39" t="e">
        <f t="shared" si="188"/>
        <v>#REF!</v>
      </c>
      <c r="N597" s="39" t="e">
        <f t="shared" si="189"/>
        <v>#REF!</v>
      </c>
      <c r="O597" s="39" t="e">
        <f t="shared" si="190"/>
        <v>#REF!</v>
      </c>
      <c r="P597" s="112"/>
    </row>
    <row r="598" spans="1:24" s="34" customFormat="1">
      <c r="A598" s="29" t="e">
        <f t="shared" si="191"/>
        <v>#REF!</v>
      </c>
      <c r="B598" s="234" t="s">
        <v>70</v>
      </c>
      <c r="C598" s="119"/>
      <c r="D598" s="120" t="str">
        <f>VLOOKUP($B598,dongia1,DG!$B$5,)</f>
        <v>AF.11220</v>
      </c>
      <c r="E598" s="187" t="str">
        <f>VLOOKUP($B598,dongia1,DG!$C$5,)</f>
        <v>Đổ bê tông mác M100 đá 4x6 rộng &gt;250cm</v>
      </c>
      <c r="F598" s="120" t="str">
        <f>VLOOKUP($B598,dongia1,DG!$D$5,)</f>
        <v>m3</v>
      </c>
      <c r="G598" s="237" t="e">
        <f>G583*0.07</f>
        <v>#REF!</v>
      </c>
      <c r="H598" s="121"/>
      <c r="I598" s="121"/>
      <c r="J598" s="121">
        <f>VLOOKUP($B598,dongia1,DG!$F$5,)</f>
        <v>371262</v>
      </c>
      <c r="K598" s="121">
        <f>VLOOKUP($B598,dongia1,DG!$G$5,)</f>
        <v>414064.45</v>
      </c>
      <c r="L598" s="39" t="e">
        <f t="shared" si="187"/>
        <v>#REF!</v>
      </c>
      <c r="M598" s="39" t="e">
        <f t="shared" si="188"/>
        <v>#REF!</v>
      </c>
      <c r="N598" s="39" t="e">
        <f t="shared" si="189"/>
        <v>#REF!</v>
      </c>
      <c r="O598" s="39" t="e">
        <f t="shared" si="190"/>
        <v>#REF!</v>
      </c>
      <c r="P598" s="112"/>
      <c r="R598" s="240"/>
      <c r="U598" s="107">
        <f>207*1.025</f>
        <v>212.17499999999998</v>
      </c>
      <c r="V598" s="107">
        <f>1.025*0.502</f>
        <v>0.51454999999999995</v>
      </c>
      <c r="W598" s="107">
        <f>1.025*0.898</f>
        <v>0.92044999999999999</v>
      </c>
      <c r="X598" s="107"/>
    </row>
    <row r="599" spans="1:24" s="34" customFormat="1">
      <c r="A599" s="29" t="e">
        <f t="shared" si="191"/>
        <v>#REF!</v>
      </c>
      <c r="B599" s="234" t="s">
        <v>2066</v>
      </c>
      <c r="C599" s="119"/>
      <c r="D599" s="120" t="str">
        <f>VLOOKUP($B599,dongia1,DG!$B$5,)</f>
        <v>AF.11220</v>
      </c>
      <c r="E599" s="187" t="str">
        <f>VLOOKUP($B599,dongia1,DG!$C$5,)</f>
        <v>Đổ bê tông mác M200 đá 1x 2rộng &gt;250cm</v>
      </c>
      <c r="F599" s="120" t="str">
        <f>VLOOKUP($B599,dongia1,DG!$D$5,)</f>
        <v>m3</v>
      </c>
      <c r="G599" s="237" t="e">
        <f>G583*0.22</f>
        <v>#REF!</v>
      </c>
      <c r="H599" s="121"/>
      <c r="I599" s="121"/>
      <c r="J599" s="121">
        <f>VLOOKUP($B599,dongia1,DG!$F$5,)</f>
        <v>920580</v>
      </c>
      <c r="K599" s="121">
        <f>VLOOKUP($B599,dongia1,DG!$G$5,)</f>
        <v>466397.5</v>
      </c>
      <c r="L599" s="39" t="e">
        <f t="shared" si="187"/>
        <v>#REF!</v>
      </c>
      <c r="M599" s="39" t="e">
        <f t="shared" si="188"/>
        <v>#REF!</v>
      </c>
      <c r="N599" s="39" t="e">
        <f t="shared" si="189"/>
        <v>#REF!</v>
      </c>
      <c r="O599" s="39" t="e">
        <f t="shared" si="190"/>
        <v>#REF!</v>
      </c>
      <c r="P599" s="112"/>
      <c r="R599" s="240">
        <f>0.5*0.7*0.1</f>
        <v>3.4999999999999996E-2</v>
      </c>
      <c r="U599" s="107">
        <f>1.025*361</f>
        <v>370.02499999999998</v>
      </c>
      <c r="V599" s="107">
        <f>1.025*0.45</f>
        <v>0.46124999999999999</v>
      </c>
      <c r="W599" s="107">
        <f>1.025*0.866</f>
        <v>0.88764999999999994</v>
      </c>
      <c r="X599" s="107">
        <v>4.9000000000000002E-2</v>
      </c>
    </row>
    <row r="600" spans="1:24" s="34" customFormat="1">
      <c r="A600" s="29" t="str">
        <f>IF(G600=0,"",1)</f>
        <v/>
      </c>
      <c r="B600" s="109"/>
      <c r="C600" s="241" t="e">
        <f>IF(G600&gt;0,C583+1,C583)</f>
        <v>#REF!</v>
      </c>
      <c r="D600" s="242"/>
      <c r="E600" s="206" t="s">
        <v>3847</v>
      </c>
      <c r="F600" s="241" t="s">
        <v>3848</v>
      </c>
      <c r="G600" s="67"/>
      <c r="H600" s="243"/>
      <c r="I600" s="243"/>
      <c r="J600" s="244"/>
      <c r="K600" s="244"/>
      <c r="L600" s="64">
        <f t="shared" ref="L600:L613" si="192">H600*$G600</f>
        <v>0</v>
      </c>
      <c r="M600" s="64">
        <f t="shared" ref="M600:M613" si="193">I600*$G600</f>
        <v>0</v>
      </c>
      <c r="N600" s="64">
        <f t="shared" ref="N600:N613" si="194">J600*$G600</f>
        <v>0</v>
      </c>
      <c r="O600" s="64">
        <f t="shared" ref="O600:O613" si="195">K600*$G600</f>
        <v>0</v>
      </c>
      <c r="P600" s="245"/>
      <c r="R600" s="240">
        <f>0.5*0.25*0.1</f>
        <v>1.2500000000000001E-2</v>
      </c>
    </row>
    <row r="601" spans="1:24" s="34" customFormat="1" ht="14.4">
      <c r="A601" s="29" t="str">
        <f>A600</f>
        <v/>
      </c>
      <c r="B601" s="109"/>
      <c r="C601" s="150"/>
      <c r="D601" s="120"/>
      <c r="E601" s="196" t="s">
        <v>3378</v>
      </c>
      <c r="F601" s="215"/>
      <c r="G601" s="82"/>
      <c r="H601" s="216"/>
      <c r="I601" s="216"/>
      <c r="J601" s="130"/>
      <c r="K601" s="130"/>
      <c r="L601" s="58">
        <f t="shared" si="192"/>
        <v>0</v>
      </c>
      <c r="M601" s="58">
        <f t="shared" si="193"/>
        <v>0</v>
      </c>
      <c r="N601" s="58">
        <f t="shared" si="194"/>
        <v>0</v>
      </c>
      <c r="O601" s="58">
        <f t="shared" si="195"/>
        <v>0</v>
      </c>
      <c r="P601" s="215"/>
    </row>
    <row r="602" spans="1:24" s="34" customFormat="1">
      <c r="A602" s="29" t="str">
        <f t="shared" ref="A602:A613" si="196">IF(G602=0,"",1)</f>
        <v/>
      </c>
      <c r="B602" s="109" t="s">
        <v>1410</v>
      </c>
      <c r="C602" s="119"/>
      <c r="D602" s="120" t="str">
        <f>VLOOKUP($B602,dongia1,DG!$B$5,)</f>
        <v>05.1101</v>
      </c>
      <c r="E602" s="151" t="str">
        <f>VLOOKUP($B602,dongia1,DG!$C$5,)&amp;" trọn bộ theo bản vẽ"</f>
        <v>p trọn bộ theo bản vẽ</v>
      </c>
      <c r="F602" s="120" t="str">
        <f>VLOOKUP($B602,dongia1,DG!$D$5,)</f>
        <v>cái</v>
      </c>
      <c r="G602" s="83">
        <f>G600</f>
        <v>0</v>
      </c>
      <c r="H602" s="121">
        <f>VLOOKUP($B602,dongia1,DG!$F$5,)</f>
        <v>5931200</v>
      </c>
      <c r="I602" s="155"/>
      <c r="J602" s="121">
        <f>VLOOKUP($B602,dongia1,DG!$G$5,)</f>
        <v>85158</v>
      </c>
      <c r="K602" s="121">
        <f>VLOOKUP($B602,dongia1,DG!$H$5,)</f>
        <v>59254</v>
      </c>
      <c r="L602" s="39">
        <f t="shared" si="192"/>
        <v>0</v>
      </c>
      <c r="M602" s="39">
        <f t="shared" si="193"/>
        <v>0</v>
      </c>
      <c r="N602" s="39">
        <f t="shared" si="194"/>
        <v>0</v>
      </c>
      <c r="O602" s="39">
        <f t="shared" si="195"/>
        <v>0</v>
      </c>
      <c r="P602" s="112"/>
    </row>
    <row r="603" spans="1:24" s="34" customFormat="1">
      <c r="A603" s="29" t="str">
        <f>IF(G603=0,"",1)</f>
        <v/>
      </c>
      <c r="B603" s="109"/>
      <c r="C603" s="241">
        <v>9</v>
      </c>
      <c r="D603" s="242"/>
      <c r="E603" s="206" t="s">
        <v>3849</v>
      </c>
      <c r="F603" s="241" t="s">
        <v>3848</v>
      </c>
      <c r="G603" s="67"/>
      <c r="H603" s="243"/>
      <c r="I603" s="243"/>
      <c r="J603" s="244"/>
      <c r="K603" s="244"/>
      <c r="L603" s="64">
        <f t="shared" ref="L603:O608" si="197">H603*$G603</f>
        <v>0</v>
      </c>
      <c r="M603" s="64">
        <f t="shared" si="197"/>
        <v>0</v>
      </c>
      <c r="N603" s="64">
        <f t="shared" si="197"/>
        <v>0</v>
      </c>
      <c r="O603" s="64">
        <f t="shared" si="197"/>
        <v>0</v>
      </c>
      <c r="P603" s="245"/>
      <c r="R603" s="240">
        <f>0.5*0.25*0.1</f>
        <v>1.2500000000000001E-2</v>
      </c>
    </row>
    <row r="604" spans="1:24" s="34" customFormat="1" ht="14.4">
      <c r="A604" s="29" t="str">
        <f>A603</f>
        <v/>
      </c>
      <c r="B604" s="109"/>
      <c r="C604" s="150"/>
      <c r="D604" s="120"/>
      <c r="E604" s="196" t="s">
        <v>3378</v>
      </c>
      <c r="F604" s="215"/>
      <c r="G604" s="82"/>
      <c r="H604" s="216"/>
      <c r="I604" s="216"/>
      <c r="J604" s="130"/>
      <c r="K604" s="130"/>
      <c r="L604" s="58">
        <f t="shared" si="197"/>
        <v>0</v>
      </c>
      <c r="M604" s="58">
        <f t="shared" si="197"/>
        <v>0</v>
      </c>
      <c r="N604" s="58">
        <f t="shared" si="197"/>
        <v>0</v>
      </c>
      <c r="O604" s="58">
        <f t="shared" si="197"/>
        <v>0</v>
      </c>
      <c r="P604" s="215"/>
    </row>
    <row r="605" spans="1:24" s="34" customFormat="1">
      <c r="A605" s="29" t="str">
        <f>IF(G605=0,"",1)</f>
        <v/>
      </c>
      <c r="B605" s="109" t="s">
        <v>1410</v>
      </c>
      <c r="C605" s="119"/>
      <c r="D605" s="120" t="str">
        <f>VLOOKUP($B605,dongia1,DG!$B$5,)</f>
        <v>05.1101</v>
      </c>
      <c r="E605" s="151" t="str">
        <f>VLOOKUP($B605,dongia1,DG!$C$5,)&amp;" trọn bộ theo bản vẽ"</f>
        <v>p trọn bộ theo bản vẽ</v>
      </c>
      <c r="F605" s="120" t="str">
        <f>VLOOKUP($B605,dongia1,DG!$D$5,)</f>
        <v>cái</v>
      </c>
      <c r="G605" s="83">
        <f>G603</f>
        <v>0</v>
      </c>
      <c r="H605" s="121">
        <f>VLOOKUP($B605,dongia1,DG!$F$5,)-86000*1</f>
        <v>5845200</v>
      </c>
      <c r="I605" s="155"/>
      <c r="J605" s="121">
        <f>VLOOKUP($B605,dongia1,DG!$G$5,)</f>
        <v>85158</v>
      </c>
      <c r="K605" s="121">
        <f>VLOOKUP($B605,dongia1,DG!$H$5,)</f>
        <v>59254</v>
      </c>
      <c r="L605" s="39">
        <f t="shared" si="197"/>
        <v>0</v>
      </c>
      <c r="M605" s="39">
        <f t="shared" si="197"/>
        <v>0</v>
      </c>
      <c r="N605" s="39">
        <f t="shared" si="197"/>
        <v>0</v>
      </c>
      <c r="O605" s="39">
        <f t="shared" si="197"/>
        <v>0</v>
      </c>
      <c r="P605" s="112"/>
    </row>
    <row r="606" spans="1:24" s="34" customFormat="1">
      <c r="A606" s="29" t="e">
        <f>IF(G606=0,"",1)</f>
        <v>#REF!</v>
      </c>
      <c r="B606" s="109"/>
      <c r="C606" s="241">
        <v>10</v>
      </c>
      <c r="D606" s="242"/>
      <c r="E606" s="206" t="s">
        <v>3850</v>
      </c>
      <c r="F606" s="241" t="s">
        <v>3848</v>
      </c>
      <c r="G606" s="67" t="e">
        <f>+#REF!</f>
        <v>#REF!</v>
      </c>
      <c r="H606" s="243"/>
      <c r="I606" s="243"/>
      <c r="J606" s="244"/>
      <c r="K606" s="244"/>
      <c r="L606" s="64" t="e">
        <f t="shared" si="197"/>
        <v>#REF!</v>
      </c>
      <c r="M606" s="64" t="e">
        <f t="shared" si="197"/>
        <v>#REF!</v>
      </c>
      <c r="N606" s="64" t="e">
        <f t="shared" si="197"/>
        <v>#REF!</v>
      </c>
      <c r="O606" s="64" t="e">
        <f t="shared" si="197"/>
        <v>#REF!</v>
      </c>
      <c r="P606" s="245"/>
      <c r="R606" s="240">
        <f>0.5*0.25*0.1</f>
        <v>1.2500000000000001E-2</v>
      </c>
    </row>
    <row r="607" spans="1:24" s="34" customFormat="1" ht="14.4">
      <c r="A607" s="29" t="e">
        <f>A606</f>
        <v>#REF!</v>
      </c>
      <c r="B607" s="109"/>
      <c r="C607" s="150"/>
      <c r="D607" s="120"/>
      <c r="E607" s="196" t="s">
        <v>3378</v>
      </c>
      <c r="F607" s="215"/>
      <c r="G607" s="82"/>
      <c r="H607" s="216"/>
      <c r="I607" s="216"/>
      <c r="J607" s="130"/>
      <c r="K607" s="130"/>
      <c r="L607" s="58">
        <f t="shared" si="197"/>
        <v>0</v>
      </c>
      <c r="M607" s="58">
        <f t="shared" si="197"/>
        <v>0</v>
      </c>
      <c r="N607" s="58">
        <f t="shared" si="197"/>
        <v>0</v>
      </c>
      <c r="O607" s="58">
        <f t="shared" si="197"/>
        <v>0</v>
      </c>
      <c r="P607" s="215"/>
    </row>
    <row r="608" spans="1:24" s="34" customFormat="1">
      <c r="A608" s="29" t="e">
        <f>IF(G608=0,"",1)</f>
        <v>#REF!</v>
      </c>
      <c r="B608" s="109" t="s">
        <v>1410</v>
      </c>
      <c r="C608" s="119"/>
      <c r="D608" s="120" t="str">
        <f>VLOOKUP($B608,dongia1,DG!$B$5,)</f>
        <v>05.1101</v>
      </c>
      <c r="E608" s="151" t="str">
        <f>VLOOKUP($B608,dongia1,DG!$C$5,)&amp;" trọn bộ theo bản vẽ"</f>
        <v>p trọn bộ theo bản vẽ</v>
      </c>
      <c r="F608" s="120" t="str">
        <f>VLOOKUP($B608,dongia1,DG!$D$5,)</f>
        <v>cái</v>
      </c>
      <c r="G608" s="83" t="e">
        <f>G606</f>
        <v>#REF!</v>
      </c>
      <c r="H608" s="121">
        <f>VLOOKUP($B608,dongia1,DG!$F$5,)-86000*2</f>
        <v>5759200</v>
      </c>
      <c r="I608" s="155"/>
      <c r="J608" s="121">
        <f>VLOOKUP($B608,dongia1,DG!$G$5,)</f>
        <v>85158</v>
      </c>
      <c r="K608" s="121">
        <f>VLOOKUP($B608,dongia1,DG!$H$5,)</f>
        <v>59254</v>
      </c>
      <c r="L608" s="39" t="e">
        <f t="shared" si="197"/>
        <v>#REF!</v>
      </c>
      <c r="M608" s="39" t="e">
        <f t="shared" si="197"/>
        <v>#REF!</v>
      </c>
      <c r="N608" s="39" t="e">
        <f t="shared" si="197"/>
        <v>#REF!</v>
      </c>
      <c r="O608" s="39" t="e">
        <f t="shared" si="197"/>
        <v>#REF!</v>
      </c>
      <c r="P608" s="112"/>
    </row>
    <row r="609" spans="1:16" s="34" customFormat="1">
      <c r="A609" s="29" t="str">
        <f t="shared" si="196"/>
        <v/>
      </c>
      <c r="B609" s="153" t="s">
        <v>1619</v>
      </c>
      <c r="C609" s="119"/>
      <c r="D609" s="120">
        <f>VLOOKUP($B609,dongia1,DG!$B$5,)</f>
        <v>0</v>
      </c>
      <c r="E609" s="151" t="s">
        <v>4070</v>
      </c>
      <c r="F609" s="120" t="str">
        <f>VLOOKUP($B609,dongia1,DG!$D$5,)</f>
        <v>cái</v>
      </c>
      <c r="G609" s="83">
        <f>9*G600*0</f>
        <v>0</v>
      </c>
      <c r="H609" s="121">
        <v>77000</v>
      </c>
      <c r="I609" s="155"/>
      <c r="J609" s="121">
        <f>VLOOKUP($B609,dongia1,DG!$F$5,)</f>
        <v>0</v>
      </c>
      <c r="K609" s="121">
        <f>VLOOKUP($B609,dongia1,DG!$G$5,)</f>
        <v>3088</v>
      </c>
      <c r="L609" s="39">
        <f t="shared" si="192"/>
        <v>0</v>
      </c>
      <c r="M609" s="39">
        <f t="shared" si="193"/>
        <v>0</v>
      </c>
      <c r="N609" s="39">
        <f t="shared" si="194"/>
        <v>0</v>
      </c>
      <c r="O609" s="39">
        <f t="shared" si="195"/>
        <v>0</v>
      </c>
      <c r="P609" s="112"/>
    </row>
    <row r="610" spans="1:16" s="34" customFormat="1">
      <c r="A610" s="29" t="e">
        <f t="shared" si="196"/>
        <v>#REF!</v>
      </c>
      <c r="B610" s="153" t="s">
        <v>1522</v>
      </c>
      <c r="C610" s="119"/>
      <c r="D610" s="120">
        <f>VLOOKUP($B610,dongia1,DG!$B$5,)</f>
        <v>0</v>
      </c>
      <c r="E610" s="151" t="str">
        <f>VLOOKUP($B610,dongia1,DG!$C$5,)</f>
        <v>MCCB 3 cực 400V-100A - 30KA</v>
      </c>
      <c r="F610" s="120" t="str">
        <f>VLOOKUP($B610,dongia1,DG!$D$5,)</f>
        <v>cái</v>
      </c>
      <c r="G610" s="83" t="e">
        <f>+G606</f>
        <v>#REF!</v>
      </c>
      <c r="H610" s="121">
        <f>VLOOKUP($B610,dongia1,DG!$E$5,)</f>
        <v>1750000</v>
      </c>
      <c r="I610" s="155"/>
      <c r="J610" s="121">
        <f>VLOOKUP($B610,dongia1,DG!$F$5,)</f>
        <v>0</v>
      </c>
      <c r="K610" s="121">
        <f>VLOOKUP($B610,dongia1,DG!$G$5,)</f>
        <v>0</v>
      </c>
      <c r="L610" s="39" t="e">
        <f t="shared" si="192"/>
        <v>#REF!</v>
      </c>
      <c r="M610" s="39" t="e">
        <f t="shared" si="193"/>
        <v>#REF!</v>
      </c>
      <c r="N610" s="39" t="e">
        <f t="shared" si="194"/>
        <v>#REF!</v>
      </c>
      <c r="O610" s="39" t="e">
        <f t="shared" si="195"/>
        <v>#REF!</v>
      </c>
      <c r="P610" s="112"/>
    </row>
    <row r="611" spans="1:16" s="34" customFormat="1">
      <c r="A611" s="29" t="e">
        <f t="shared" si="196"/>
        <v>#REF!</v>
      </c>
      <c r="B611" s="210" t="s">
        <v>1428</v>
      </c>
      <c r="C611" s="119"/>
      <c r="D611" s="120" t="str">
        <f>VLOOKUP($B611,dongia1,DG!$B$5,)</f>
        <v>04.5102</v>
      </c>
      <c r="E611" s="151" t="str">
        <f>VLOOKUP($B611,dongia1,DG!$C$5,)</f>
        <v>Thanh cái đồng 4x30</v>
      </c>
      <c r="F611" s="120" t="str">
        <f>VLOOKUP($B611,dongia1,DG!$D$5,)</f>
        <v>m</v>
      </c>
      <c r="G611" s="83" t="e">
        <f>+G606*3</f>
        <v>#REF!</v>
      </c>
      <c r="H611" s="121">
        <f>388600*1.2</f>
        <v>466320</v>
      </c>
      <c r="I611" s="121"/>
      <c r="J611" s="121">
        <f>VLOOKUP($B611,dongia1,DG!$G$5,)</f>
        <v>3028</v>
      </c>
      <c r="K611" s="121">
        <f>VLOOKUP($B611,dongia1,DG!$H$5,)</f>
        <v>353</v>
      </c>
      <c r="L611" s="39" t="e">
        <f t="shared" si="192"/>
        <v>#REF!</v>
      </c>
      <c r="M611" s="39" t="e">
        <f t="shared" si="193"/>
        <v>#REF!</v>
      </c>
      <c r="N611" s="39" t="e">
        <f t="shared" si="194"/>
        <v>#REF!</v>
      </c>
      <c r="O611" s="39" t="e">
        <f t="shared" si="195"/>
        <v>#REF!</v>
      </c>
      <c r="P611" s="112"/>
    </row>
    <row r="612" spans="1:16" s="34" customFormat="1">
      <c r="A612" s="29" t="e">
        <f t="shared" si="196"/>
        <v>#REF!</v>
      </c>
      <c r="B612" s="210" t="s">
        <v>1429</v>
      </c>
      <c r="C612" s="119"/>
      <c r="D612" s="120" t="str">
        <f>VLOOKUP($B612,dongia1,DG!$B$5,)</f>
        <v>04.5101</v>
      </c>
      <c r="E612" s="151" t="str">
        <f>VLOOKUP($B612,dongia1,DG!$C$5,)</f>
        <v>Thanh cái đồng 4x20</v>
      </c>
      <c r="F612" s="120" t="str">
        <f>VLOOKUP($B612,dongia1,DG!$D$5,)</f>
        <v>m</v>
      </c>
      <c r="G612" s="83" t="e">
        <f>+G606</f>
        <v>#REF!</v>
      </c>
      <c r="H612" s="121">
        <f>VLOOKUP($B612,dongia1,DG!$F$5,)</f>
        <v>40000</v>
      </c>
      <c r="I612" s="121"/>
      <c r="J612" s="121">
        <f>VLOOKUP($B612,dongia1,DG!$G$5,)</f>
        <v>2163</v>
      </c>
      <c r="K612" s="121">
        <f>VLOOKUP($B612,dongia1,DG!$H$5,)</f>
        <v>353</v>
      </c>
      <c r="L612" s="39" t="e">
        <f t="shared" si="192"/>
        <v>#REF!</v>
      </c>
      <c r="M612" s="39" t="e">
        <f t="shared" si="193"/>
        <v>#REF!</v>
      </c>
      <c r="N612" s="39" t="e">
        <f t="shared" si="194"/>
        <v>#REF!</v>
      </c>
      <c r="O612" s="39" t="e">
        <f t="shared" si="195"/>
        <v>#REF!</v>
      </c>
      <c r="P612" s="112"/>
    </row>
    <row r="613" spans="1:16" s="34" customFormat="1">
      <c r="A613" s="29" t="str">
        <f t="shared" si="196"/>
        <v/>
      </c>
      <c r="B613" s="153" t="s">
        <v>1427</v>
      </c>
      <c r="C613" s="119"/>
      <c r="D613" s="120">
        <f>VLOOKUP($B613,dongia1,DG!$B$5,)</f>
        <v>0</v>
      </c>
      <c r="E613" s="151" t="str">
        <f>VLOOKUP($B613,dongia1,DG!$C$5,)</f>
        <v>Đèn báo hiệu pha 5W-220V</v>
      </c>
      <c r="F613" s="120" t="str">
        <f>VLOOKUP($B613,dongia1,DG!$D$5,)</f>
        <v>cái</v>
      </c>
      <c r="G613" s="83"/>
      <c r="H613" s="121">
        <f>VLOOKUP($B613,dongia1,DG!$F$5,)</f>
        <v>5000</v>
      </c>
      <c r="I613" s="155"/>
      <c r="J613" s="121">
        <f>VLOOKUP($B613,dongia1,DG!$G$5,)</f>
        <v>0</v>
      </c>
      <c r="K613" s="121">
        <f>VLOOKUP($B613,dongia1,DG!$H$5,)</f>
        <v>0</v>
      </c>
      <c r="L613" s="39">
        <f t="shared" si="192"/>
        <v>0</v>
      </c>
      <c r="M613" s="39">
        <f t="shared" si="193"/>
        <v>0</v>
      </c>
      <c r="N613" s="39">
        <f t="shared" si="194"/>
        <v>0</v>
      </c>
      <c r="O613" s="39">
        <f t="shared" si="195"/>
        <v>0</v>
      </c>
      <c r="P613" s="112"/>
    </row>
    <row r="614" spans="1:16" s="34" customFormat="1">
      <c r="A614" s="29" t="str">
        <f>IF(G614=0,"",1)</f>
        <v/>
      </c>
      <c r="B614" s="153" t="s">
        <v>556</v>
      </c>
      <c r="C614" s="119"/>
      <c r="D614" s="120" t="str">
        <f>VLOOKUP($B614,dongia1,DG!$B$5,)</f>
        <v>04.4201</v>
      </c>
      <c r="E614" s="151" t="str">
        <f>VLOOKUP($B614,dongia1,DG!$C$5,)&amp;": 4m/tủ"</f>
        <v>Cáp đồng mềm CV2,5: 4m/tủ</v>
      </c>
      <c r="F614" s="120" t="str">
        <f>VLOOKUP($B614,dongia1,DG!$D$5,)</f>
        <v>mét</v>
      </c>
      <c r="G614" s="83"/>
      <c r="H614" s="121">
        <f>VLOOKUP($B614,dongia1,DG!$F$5,)</f>
        <v>8515</v>
      </c>
      <c r="I614" s="155"/>
      <c r="J614" s="121">
        <f>VLOOKUP($B614,dongia1,DG!$G$5,)</f>
        <v>0</v>
      </c>
      <c r="K614" s="121">
        <f>VLOOKUP($B614,dongia1,DG!$H$5,)</f>
        <v>0</v>
      </c>
      <c r="L614" s="39">
        <f t="shared" ref="L614:O618" si="198">H614*$G614</f>
        <v>0</v>
      </c>
      <c r="M614" s="39">
        <f t="shared" si="198"/>
        <v>0</v>
      </c>
      <c r="N614" s="39">
        <f t="shared" si="198"/>
        <v>0</v>
      </c>
      <c r="O614" s="39">
        <f t="shared" si="198"/>
        <v>0</v>
      </c>
      <c r="P614" s="112"/>
    </row>
    <row r="615" spans="1:16" s="34" customFormat="1">
      <c r="A615" s="29" t="str">
        <f>IF(G615=0,"",1)</f>
        <v/>
      </c>
      <c r="B615" s="210" t="s">
        <v>555</v>
      </c>
      <c r="C615" s="119"/>
      <c r="D615" s="120" t="str">
        <f>VLOOKUP($B615,dongia1,DG!$B$5,)</f>
        <v>04.4201</v>
      </c>
      <c r="E615" s="151" t="str">
        <f>VLOOKUP($B615,dongia1,DG!$C$5,)&amp;": 1,5m/tủ"</f>
        <v>Cáp đồng bọc CV16: 1,5m/tủ</v>
      </c>
      <c r="F615" s="120" t="str">
        <f>VLOOKUP($B615,dongia1,DG!$D$5,)</f>
        <v>mét</v>
      </c>
      <c r="G615" s="83"/>
      <c r="H615" s="121">
        <f>VLOOKUP($B615,dongia1,DG!$F$5,)</f>
        <v>51800</v>
      </c>
      <c r="I615" s="155"/>
      <c r="J615" s="121">
        <f>VLOOKUP($B615,dongia1,DG!$G$5,)</f>
        <v>0</v>
      </c>
      <c r="K615" s="121">
        <f>VLOOKUP($B615,dongia1,DG!$H$5,)</f>
        <v>0</v>
      </c>
      <c r="L615" s="39">
        <f t="shared" si="198"/>
        <v>0</v>
      </c>
      <c r="M615" s="39">
        <f t="shared" si="198"/>
        <v>0</v>
      </c>
      <c r="N615" s="39">
        <f t="shared" si="198"/>
        <v>0</v>
      </c>
      <c r="O615" s="39">
        <f t="shared" si="198"/>
        <v>0</v>
      </c>
      <c r="P615" s="112"/>
    </row>
    <row r="616" spans="1:16" s="34" customFormat="1">
      <c r="A616" s="29" t="str">
        <f>IF(G616=0,"",1)</f>
        <v/>
      </c>
      <c r="B616" s="210" t="s">
        <v>2073</v>
      </c>
      <c r="C616" s="119"/>
      <c r="D616" s="120">
        <f>VLOOKUP($B616,dongia1,DG!$B$5,)</f>
        <v>0</v>
      </c>
      <c r="E616" s="151" t="str">
        <f>VLOOKUP($B616,dongia1,DG!$C$5,)&amp;": 1,5m/tủ"</f>
        <v>Cáp đồng bọc CV50: 1,5m/tủ</v>
      </c>
      <c r="F616" s="120" t="str">
        <f>VLOOKUP($B616,dongia1,DG!$D$5,)</f>
        <v>mét</v>
      </c>
      <c r="G616" s="83"/>
      <c r="H616" s="121">
        <f>VLOOKUP($B616,dongia1,DG!$F$5,)</f>
        <v>91800</v>
      </c>
      <c r="I616" s="121"/>
      <c r="J616" s="121">
        <f>VLOOKUP($B616,dongia1,DG!$G$5,)</f>
        <v>0</v>
      </c>
      <c r="K616" s="121">
        <f>VLOOKUP($B616,dongia1,DG!$H$5,)</f>
        <v>0</v>
      </c>
      <c r="L616" s="39">
        <f t="shared" si="198"/>
        <v>0</v>
      </c>
      <c r="M616" s="39">
        <f t="shared" si="198"/>
        <v>0</v>
      </c>
      <c r="N616" s="39">
        <f t="shared" si="198"/>
        <v>0</v>
      </c>
      <c r="O616" s="39">
        <f t="shared" si="198"/>
        <v>0</v>
      </c>
      <c r="P616" s="112"/>
    </row>
    <row r="617" spans="1:16" s="34" customFormat="1" ht="27.6">
      <c r="A617" s="29" t="e">
        <f>IF(G617=0,"",1)</f>
        <v>#REF!</v>
      </c>
      <c r="B617" s="153" t="s">
        <v>1266</v>
      </c>
      <c r="C617" s="119"/>
      <c r="D617" s="120">
        <f>VLOOKUP($B617,dongia1,DG!$B$5,)</f>
        <v>0</v>
      </c>
      <c r="E617" s="151" t="str">
        <f>VLOOKUP($B617,dongia1,DG!$C$5,)</f>
        <v>Boulon thau 12x40 + 2 long đền vuông D14-50x50x3/Zn</v>
      </c>
      <c r="F617" s="120" t="str">
        <f>VLOOKUP($B617,dongia1,DG!$D$5,)</f>
        <v>bộ</v>
      </c>
      <c r="G617" s="83" t="e">
        <f>+G606*6</f>
        <v>#REF!</v>
      </c>
      <c r="H617" s="121">
        <f>VLOOKUP($B617,dongia1,DG!$F$5,)</f>
        <v>4400</v>
      </c>
      <c r="I617" s="121"/>
      <c r="J617" s="121">
        <f>VLOOKUP($B617,dongia1,DG!$G$5,)</f>
        <v>0</v>
      </c>
      <c r="K617" s="121">
        <f>VLOOKUP($B617,dongia1,DG!$H$5,)</f>
        <v>0</v>
      </c>
      <c r="L617" s="39" t="e">
        <f t="shared" si="198"/>
        <v>#REF!</v>
      </c>
      <c r="M617" s="39" t="e">
        <f t="shared" si="198"/>
        <v>#REF!</v>
      </c>
      <c r="N617" s="39" t="e">
        <f t="shared" si="198"/>
        <v>#REF!</v>
      </c>
      <c r="O617" s="39" t="e">
        <f t="shared" si="198"/>
        <v>#REF!</v>
      </c>
      <c r="P617" s="513"/>
    </row>
    <row r="618" spans="1:16" s="34" customFormat="1">
      <c r="A618" s="29" t="e">
        <f>IF(G618=0,"",1)</f>
        <v>#REF!</v>
      </c>
      <c r="B618" s="153" t="s">
        <v>1847</v>
      </c>
      <c r="C618" s="119"/>
      <c r="D618" s="120">
        <f>VLOOKUP($B618,dongia1,DG!$B$5,)</f>
        <v>0</v>
      </c>
      <c r="E618" s="151" t="str">
        <f>VLOOKUP($B618,dongia1,DG!$C$5,)</f>
        <v>Boulon thau 10x30 + 2 long đền vuông</v>
      </c>
      <c r="F618" s="120" t="str">
        <f>VLOOKUP($B618,dongia1,DG!$D$5,)</f>
        <v>bộ</v>
      </c>
      <c r="G618" s="83" t="e">
        <f>+G606*3</f>
        <v>#REF!</v>
      </c>
      <c r="H618" s="121">
        <f>VLOOKUP($B618,dongia1,DG!$F$5,)</f>
        <v>4000</v>
      </c>
      <c r="I618" s="155"/>
      <c r="J618" s="121">
        <f>VLOOKUP($B618,dongia1,DG!$G$5,)</f>
        <v>0</v>
      </c>
      <c r="K618" s="121">
        <f>VLOOKUP($B618,dongia1,DG!$H$5,)</f>
        <v>0</v>
      </c>
      <c r="L618" s="39" t="e">
        <f t="shared" si="198"/>
        <v>#REF!</v>
      </c>
      <c r="M618" s="39" t="e">
        <f t="shared" si="198"/>
        <v>#REF!</v>
      </c>
      <c r="N618" s="39" t="e">
        <f t="shared" si="198"/>
        <v>#REF!</v>
      </c>
      <c r="O618" s="39" t="e">
        <f t="shared" si="198"/>
        <v>#REF!</v>
      </c>
      <c r="P618" s="513"/>
    </row>
    <row r="619" spans="1:16" s="34" customFormat="1">
      <c r="A619" s="29" t="str">
        <f t="shared" ref="A619:A628" si="199">IF(G619=0,"",1)</f>
        <v/>
      </c>
      <c r="B619" s="153" t="s">
        <v>42</v>
      </c>
      <c r="C619" s="119"/>
      <c r="D619" s="120" t="str">
        <f>VLOOKUP($B619,dongia1,DG!$B$5,)</f>
        <v>D4.5002</v>
      </c>
      <c r="E619" s="151" t="str">
        <f>VLOOKUP($B619,dongia1,DG!$C$5,)</f>
        <v>Đầu cosse ép Cu 50mm2</v>
      </c>
      <c r="F619" s="120" t="str">
        <f>VLOOKUP($B619,dongia1,DG!$D$5,)</f>
        <v>cái</v>
      </c>
      <c r="G619" s="83"/>
      <c r="H619" s="121">
        <f>VLOOKUP($B619,dongia1,DG!$F$5,)</f>
        <v>9100</v>
      </c>
      <c r="I619" s="155"/>
      <c r="J619" s="121">
        <f>VLOOKUP($B619,dongia1,DG!$G$5,)</f>
        <v>10608.955000000002</v>
      </c>
      <c r="K619" s="121">
        <f>VLOOKUP($B619,dongia1,DG!$H$5,)</f>
        <v>2777.0232475000003</v>
      </c>
      <c r="L619" s="39">
        <f t="shared" ref="L619:L628" si="200">H619*$G619</f>
        <v>0</v>
      </c>
      <c r="M619" s="39">
        <f t="shared" ref="M619:M628" si="201">I619*$G619</f>
        <v>0</v>
      </c>
      <c r="N619" s="39">
        <f t="shared" ref="N619:N628" si="202">J619*$G619</f>
        <v>0</v>
      </c>
      <c r="O619" s="39">
        <f t="shared" ref="O619:O628" si="203">K619*$G619</f>
        <v>0</v>
      </c>
      <c r="P619" s="112"/>
    </row>
    <row r="620" spans="1:16" s="34" customFormat="1">
      <c r="A620" s="29" t="str">
        <f t="shared" si="199"/>
        <v/>
      </c>
      <c r="B620" s="153" t="s">
        <v>44</v>
      </c>
      <c r="C620" s="119"/>
      <c r="D620" s="120" t="str">
        <f>VLOOKUP($B620,dongia1,DG!$B$5,)</f>
        <v>D4.5004</v>
      </c>
      <c r="E620" s="151" t="str">
        <f>VLOOKUP($B620,dongia1,DG!$C$5,)</f>
        <v>Đầu cosse ép Cu 95mm2</v>
      </c>
      <c r="F620" s="120" t="str">
        <f>VLOOKUP($B620,dongia1,DG!$D$5,)</f>
        <v>cái</v>
      </c>
      <c r="G620" s="83"/>
      <c r="H620" s="121">
        <f>VLOOKUP($B620,dongia1,DG!$F$5,)</f>
        <v>21000</v>
      </c>
      <c r="I620" s="155"/>
      <c r="J620" s="121">
        <f>VLOOKUP($B620,dongia1,DG!$G$5,)</f>
        <v>21217.910000000003</v>
      </c>
      <c r="K620" s="121">
        <f>VLOOKUP($B620,dongia1,DG!$H$5,)</f>
        <v>3332.427897</v>
      </c>
      <c r="L620" s="39">
        <f t="shared" si="200"/>
        <v>0</v>
      </c>
      <c r="M620" s="39">
        <f t="shared" si="201"/>
        <v>0</v>
      </c>
      <c r="N620" s="39">
        <f t="shared" si="202"/>
        <v>0</v>
      </c>
      <c r="O620" s="39">
        <f t="shared" si="203"/>
        <v>0</v>
      </c>
      <c r="P620" s="112"/>
    </row>
    <row r="621" spans="1:16" s="34" customFormat="1">
      <c r="A621" s="29" t="str">
        <f t="shared" si="199"/>
        <v/>
      </c>
      <c r="B621" s="153" t="s">
        <v>264</v>
      </c>
      <c r="C621" s="119"/>
      <c r="D621" s="120" t="str">
        <f>VLOOKUP($B621,dongia1,DG!$B$5,)</f>
        <v>D4.5005</v>
      </c>
      <c r="E621" s="151" t="str">
        <f>VLOOKUP($B621,dongia1,DG!$C$5,)</f>
        <v>Đầu cosse ép Cu 120mm2</v>
      </c>
      <c r="F621" s="120" t="str">
        <f>VLOOKUP($B621,dongia1,DG!$D$5,)</f>
        <v>cái</v>
      </c>
      <c r="G621" s="83"/>
      <c r="H621" s="121">
        <f>VLOOKUP($B621,dongia1,DG!$F$5,)</f>
        <v>27000</v>
      </c>
      <c r="I621" s="121"/>
      <c r="J621" s="121">
        <f>VLOOKUP($B621,dongia1,DG!$G$5,)</f>
        <v>27280.17</v>
      </c>
      <c r="K621" s="121">
        <f>VLOOKUP($B621,dongia1,DG!$H$5,)</f>
        <v>3887.8325465000003</v>
      </c>
      <c r="L621" s="39">
        <f t="shared" si="200"/>
        <v>0</v>
      </c>
      <c r="M621" s="39">
        <f t="shared" si="201"/>
        <v>0</v>
      </c>
      <c r="N621" s="39">
        <f t="shared" si="202"/>
        <v>0</v>
      </c>
      <c r="O621" s="39">
        <f t="shared" si="203"/>
        <v>0</v>
      </c>
      <c r="P621" s="112"/>
    </row>
    <row r="622" spans="1:16" s="34" customFormat="1">
      <c r="A622" s="29" t="str">
        <f t="shared" si="199"/>
        <v/>
      </c>
      <c r="B622" s="153" t="s">
        <v>1107</v>
      </c>
      <c r="C622" s="119"/>
      <c r="D622" s="120">
        <f>VLOOKUP($B622,dongia1,DG!$B$5,)</f>
        <v>0</v>
      </c>
      <c r="E622" s="151" t="str">
        <f>VLOOKUP($B622,dongia1,DG!$C$5,)</f>
        <v>Sứ polymer cách điện hạ thế thanh cái tủ</v>
      </c>
      <c r="F622" s="120" t="str">
        <f>VLOOKUP($B622,dongia1,DG!$D$5,)</f>
        <v>cái</v>
      </c>
      <c r="G622" s="83"/>
      <c r="H622" s="121">
        <f>VLOOKUP($B622,dongia1,DG!$F$5,)</f>
        <v>35000</v>
      </c>
      <c r="I622" s="121"/>
      <c r="J622" s="121">
        <f>VLOOKUP($B622,dongia1,DG!$G$5,)</f>
        <v>0</v>
      </c>
      <c r="K622" s="121">
        <f>VLOOKUP($B622,dongia1,DG!$H$5,)</f>
        <v>0</v>
      </c>
      <c r="L622" s="39">
        <f t="shared" si="200"/>
        <v>0</v>
      </c>
      <c r="M622" s="39">
        <f t="shared" si="201"/>
        <v>0</v>
      </c>
      <c r="N622" s="39">
        <f t="shared" si="202"/>
        <v>0</v>
      </c>
      <c r="O622" s="39">
        <f t="shared" si="203"/>
        <v>0</v>
      </c>
      <c r="P622" s="112"/>
    </row>
    <row r="623" spans="1:16" s="34" customFormat="1">
      <c r="A623" s="29" t="str">
        <f t="shared" si="199"/>
        <v/>
      </c>
      <c r="B623" s="153" t="s">
        <v>1098</v>
      </c>
      <c r="C623" s="119"/>
      <c r="D623" s="120"/>
      <c r="E623" s="151" t="str">
        <f>VLOOKUP($B623,dongia1,DG!$C$5,)</f>
        <v>Cọc tiếp đất Þ 16- 2,4m + kẹp cọc</v>
      </c>
      <c r="F623" s="120" t="str">
        <f>VLOOKUP($B623,dongia1,DG!$D$5,)</f>
        <v>bộ</v>
      </c>
      <c r="G623" s="83">
        <f>G602*0</f>
        <v>0</v>
      </c>
      <c r="H623" s="121">
        <f>VLOOKUP($B623,dongia1,DG!$F$5,)</f>
        <v>160000</v>
      </c>
      <c r="I623" s="155"/>
      <c r="J623" s="121">
        <f>VLOOKUP($B623,dongia1,DG!$G$5,)*0</f>
        <v>0</v>
      </c>
      <c r="K623" s="121">
        <f>VLOOKUP($B623,dongia1,DG!$H$5,)</f>
        <v>0</v>
      </c>
      <c r="L623" s="39">
        <f t="shared" si="200"/>
        <v>0</v>
      </c>
      <c r="M623" s="39">
        <f t="shared" si="201"/>
        <v>0</v>
      </c>
      <c r="N623" s="39">
        <f t="shared" si="202"/>
        <v>0</v>
      </c>
      <c r="O623" s="39">
        <f t="shared" si="203"/>
        <v>0</v>
      </c>
      <c r="P623" s="112"/>
    </row>
    <row r="624" spans="1:16" s="34" customFormat="1">
      <c r="A624" s="29" t="str">
        <f t="shared" si="199"/>
        <v/>
      </c>
      <c r="B624" s="153" t="s">
        <v>584</v>
      </c>
      <c r="C624" s="119"/>
      <c r="D624" s="120">
        <f>VLOOKUP($B624,dongia1,DG!$B$5,)</f>
        <v>0</v>
      </c>
      <c r="E624" s="151" t="str">
        <f>VLOOKUP($B624,dongia1,DG!$C$5,)&amp;": 1,5m/tủ"</f>
        <v>Cáp đồng trần M25mm2: 1,5m/tủ</v>
      </c>
      <c r="F624" s="120" t="str">
        <f>VLOOKUP($B624,dongia1,DG!$D$5,)</f>
        <v>kg</v>
      </c>
      <c r="G624" s="83">
        <f>G623*1.5*0.224</f>
        <v>0</v>
      </c>
      <c r="H624" s="121">
        <f>VLOOKUP($B624,dongia1,DG!$F$5,)</f>
        <v>255500</v>
      </c>
      <c r="I624" s="155"/>
      <c r="J624" s="121">
        <f>VLOOKUP($B624,dongia1,DG!$G$5,)</f>
        <v>0</v>
      </c>
      <c r="K624" s="121">
        <f>VLOOKUP($B624,dongia1,DG!$H$5,)</f>
        <v>0</v>
      </c>
      <c r="L624" s="39">
        <f t="shared" si="200"/>
        <v>0</v>
      </c>
      <c r="M624" s="39">
        <f t="shared" si="201"/>
        <v>0</v>
      </c>
      <c r="N624" s="39">
        <f t="shared" si="202"/>
        <v>0</v>
      </c>
      <c r="O624" s="39">
        <f t="shared" si="203"/>
        <v>0</v>
      </c>
      <c r="P624" s="112"/>
    </row>
    <row r="625" spans="1:16" s="34" customFormat="1" ht="27.6">
      <c r="A625" s="29" t="str">
        <f>IF(G625=0,"",1)</f>
        <v/>
      </c>
      <c r="B625" s="153" t="s">
        <v>844</v>
      </c>
      <c r="C625" s="119"/>
      <c r="D625" s="120">
        <f>VLOOKUP($B625,dongia1,DG!$B$5,)</f>
        <v>0</v>
      </c>
      <c r="E625" s="151" t="str">
        <f>VLOOKUP($B625,dongia1,DG!$C$5,)&amp;": 6 cái/tủ dự phòng đấu nối cho khách hàng"</f>
        <v>Co 90 độ PVC 60: 6 cái/tủ dự phòng đấu nối cho khách hàng</v>
      </c>
      <c r="F625" s="120" t="str">
        <f>VLOOKUP($B625,dongia1,DG!$D$5,)</f>
        <v>cái</v>
      </c>
      <c r="G625" s="83">
        <f>G600*6*0</f>
        <v>0</v>
      </c>
      <c r="H625" s="121">
        <f>VLOOKUP($B625,dongia1,DG!$F$5,)</f>
        <v>18200</v>
      </c>
      <c r="I625" s="155"/>
      <c r="J625" s="121">
        <f>VLOOKUP($B625,dongia1,DG!$G$5,)</f>
        <v>0</v>
      </c>
      <c r="K625" s="121">
        <f>VLOOKUP($B625,dongia1,DG!$H$5,)</f>
        <v>0</v>
      </c>
      <c r="L625" s="39">
        <f>H625*$G625</f>
        <v>0</v>
      </c>
      <c r="M625" s="39">
        <f>I625*$G625</f>
        <v>0</v>
      </c>
      <c r="N625" s="39">
        <f>J625*$G625</f>
        <v>0</v>
      </c>
      <c r="O625" s="39">
        <f>K625*$G625</f>
        <v>0</v>
      </c>
      <c r="P625" s="112"/>
    </row>
    <row r="626" spans="1:16" s="34" customFormat="1">
      <c r="A626" s="29" t="str">
        <f t="shared" si="199"/>
        <v/>
      </c>
      <c r="B626" s="153" t="s">
        <v>971</v>
      </c>
      <c r="C626" s="119"/>
      <c r="D626" s="120" t="str">
        <f>VLOOKUP($B626,dongia1,DG!$B$5,)</f>
        <v>D4.5001</v>
      </c>
      <c r="E626" s="151" t="str">
        <f>VLOOKUP($B626,dongia1,DG!$C$5,)</f>
        <v>Đầu cosse ép Cu 25mm2</v>
      </c>
      <c r="F626" s="120" t="str">
        <f>VLOOKUP($B626,dongia1,DG!$D$5,)</f>
        <v>cái</v>
      </c>
      <c r="G626" s="83">
        <f>G602*0</f>
        <v>0</v>
      </c>
      <c r="H626" s="121">
        <f>VLOOKUP($B626,dongia1,DG!$F$5,)</f>
        <v>6500</v>
      </c>
      <c r="I626" s="121"/>
      <c r="J626" s="121">
        <f>VLOOKUP($B626,dongia1,DG!$G$5,)</f>
        <v>6062.26</v>
      </c>
      <c r="K626" s="121">
        <f>VLOOKUP($B626,dongia1,DG!$H$5,)</f>
        <v>2777.0232475000003</v>
      </c>
      <c r="L626" s="39">
        <f t="shared" si="200"/>
        <v>0</v>
      </c>
      <c r="M626" s="39">
        <f t="shared" si="201"/>
        <v>0</v>
      </c>
      <c r="N626" s="39">
        <f t="shared" si="202"/>
        <v>0</v>
      </c>
      <c r="O626" s="39">
        <f t="shared" si="203"/>
        <v>0</v>
      </c>
      <c r="P626" s="112"/>
    </row>
    <row r="627" spans="1:16" s="34" customFormat="1">
      <c r="A627" s="29" t="str">
        <f>IF(G627=0,"",1)</f>
        <v/>
      </c>
      <c r="B627" s="153" t="s">
        <v>1859</v>
      </c>
      <c r="C627" s="119"/>
      <c r="D627" s="120" t="str">
        <f>VLOOKUP($B627,dongia1,DG!$B$5,)</f>
        <v>D2.7001</v>
      </c>
      <c r="E627" s="151" t="str">
        <f>VLOOKUP($B627,dongia1,DG!$C$5,)</f>
        <v xml:space="preserve">Kéo dây tiếp địa </v>
      </c>
      <c r="F627" s="120" t="str">
        <f>VLOOKUP($B627,dongia1,DG!$D$5,)</f>
        <v>kg</v>
      </c>
      <c r="G627" s="83">
        <f>G624</f>
        <v>0</v>
      </c>
      <c r="H627" s="121">
        <f>VLOOKUP($B627,dongia1,DG!$F$5,)</f>
        <v>0</v>
      </c>
      <c r="I627" s="121"/>
      <c r="J627" s="121">
        <f>VLOOKUP($B627,dongia1,DG!$G$5,)</f>
        <v>2578.65</v>
      </c>
      <c r="K627" s="121">
        <f>VLOOKUP($B627,dongia1,DG!$H$5,)</f>
        <v>0</v>
      </c>
      <c r="L627" s="39">
        <f>H627*$G627</f>
        <v>0</v>
      </c>
      <c r="M627" s="39">
        <f>I627*$G627</f>
        <v>0</v>
      </c>
      <c r="N627" s="39">
        <f>J627*$G627</f>
        <v>0</v>
      </c>
      <c r="O627" s="39">
        <f>K627*$G627</f>
        <v>0</v>
      </c>
      <c r="P627" s="112"/>
    </row>
    <row r="628" spans="1:16" s="34" customFormat="1">
      <c r="A628" s="29" t="str">
        <f t="shared" si="199"/>
        <v/>
      </c>
      <c r="B628" s="153" t="s">
        <v>102</v>
      </c>
      <c r="C628" s="119"/>
      <c r="D628" s="120" t="str">
        <f>VLOOKUP($B628,dongia1,DG!$B$5,)</f>
        <v>D2.8103</v>
      </c>
      <c r="E628" s="151" t="str">
        <f>VLOOKUP($B628,dongia1,DG!$C$5,)</f>
        <v>Đóng cọc tiếp địa đất cấp 3 dài 2,5m</v>
      </c>
      <c r="F628" s="120" t="str">
        <f>VLOOKUP($B628,dongia1,DG!$D$5,)</f>
        <v>cọc</v>
      </c>
      <c r="G628" s="83">
        <f>G623</f>
        <v>0</v>
      </c>
      <c r="H628" s="121">
        <f>VLOOKUP($B628,dongia1,DG!$F$5,)</f>
        <v>0</v>
      </c>
      <c r="I628" s="121"/>
      <c r="J628" s="121">
        <f>VLOOKUP($B628,dongia1,DG!$G$5,)</f>
        <v>90355.896000000008</v>
      </c>
      <c r="K628" s="121">
        <f>VLOOKUP($B628,dongia1,DG!$H$5,)</f>
        <v>1573.075</v>
      </c>
      <c r="L628" s="39">
        <f t="shared" si="200"/>
        <v>0</v>
      </c>
      <c r="M628" s="39">
        <f t="shared" si="201"/>
        <v>0</v>
      </c>
      <c r="N628" s="39">
        <f t="shared" si="202"/>
        <v>0</v>
      </c>
      <c r="O628" s="39">
        <f t="shared" si="203"/>
        <v>0</v>
      </c>
      <c r="P628" s="112"/>
    </row>
    <row r="629" spans="1:16">
      <c r="A629" s="29" t="e">
        <f>IF(L629+N629=0,"",1)</f>
        <v>#REF!</v>
      </c>
      <c r="B629" s="109"/>
      <c r="C629" s="225"/>
      <c r="D629" s="226"/>
      <c r="E629" s="227"/>
      <c r="F629" s="51"/>
      <c r="G629" s="228"/>
      <c r="H629" s="136"/>
      <c r="I629" s="246"/>
      <c r="J629" s="2444" t="s">
        <v>3851</v>
      </c>
      <c r="K629" s="2445"/>
      <c r="L629" s="229" t="e">
        <f>SUM(L403:L628)</f>
        <v>#REF!</v>
      </c>
      <c r="M629" s="229" t="e">
        <f>SUM(M403:M628)</f>
        <v>#REF!</v>
      </c>
      <c r="N629" s="229" t="e">
        <f>SUM(N403:N628)</f>
        <v>#REF!</v>
      </c>
      <c r="O629" s="229" t="e">
        <f>SUM(O403:O628)</f>
        <v>#REF!</v>
      </c>
      <c r="P629" s="230"/>
    </row>
    <row r="630" spans="1:16" s="34" customFormat="1">
      <c r="A630" s="29"/>
      <c r="B630" s="109"/>
      <c r="C630" s="40" t="s">
        <v>1489</v>
      </c>
      <c r="D630" s="48"/>
      <c r="E630" s="78" t="s">
        <v>3852</v>
      </c>
      <c r="F630" s="49"/>
      <c r="G630" s="50"/>
      <c r="H630" s="51"/>
      <c r="I630" s="51"/>
      <c r="J630" s="52"/>
      <c r="K630" s="51"/>
      <c r="L630" s="53"/>
      <c r="M630" s="53"/>
      <c r="N630" s="53"/>
      <c r="O630" s="53"/>
      <c r="P630" s="54"/>
    </row>
    <row r="631" spans="1:16" s="34" customFormat="1">
      <c r="A631" s="29" t="str">
        <f>IF(G631=0,"",1)</f>
        <v/>
      </c>
      <c r="B631" s="109"/>
      <c r="C631" s="247">
        <f>IF(G631&gt;0,1,0)</f>
        <v>0</v>
      </c>
      <c r="D631" s="248"/>
      <c r="E631" s="140" t="s">
        <v>3853</v>
      </c>
      <c r="F631" s="249" t="s">
        <v>2113</v>
      </c>
      <c r="G631" s="79"/>
      <c r="H631" s="250"/>
      <c r="I631" s="251"/>
      <c r="J631" s="252"/>
      <c r="K631" s="250"/>
      <c r="L631" s="55"/>
      <c r="M631" s="56"/>
      <c r="N631" s="55"/>
      <c r="O631" s="55"/>
      <c r="P631" s="253"/>
    </row>
    <row r="632" spans="1:16" s="34" customFormat="1" ht="14.4">
      <c r="A632" s="29" t="str">
        <f>A631</f>
        <v/>
      </c>
      <c r="B632" s="109"/>
      <c r="C632" s="112"/>
      <c r="D632" s="144"/>
      <c r="E632" s="196" t="s">
        <v>3378</v>
      </c>
      <c r="F632" s="146"/>
      <c r="G632" s="57"/>
      <c r="H632" s="147"/>
      <c r="I632" s="148"/>
      <c r="J632" s="149"/>
      <c r="K632" s="147"/>
      <c r="L632" s="58"/>
      <c r="M632" s="59"/>
      <c r="N632" s="58"/>
      <c r="O632" s="58"/>
      <c r="P632" s="150"/>
    </row>
    <row r="633" spans="1:16" s="34" customFormat="1">
      <c r="A633" s="29" t="str">
        <f t="shared" ref="A633:A649" si="204">IF(G633=0,"",1)</f>
        <v/>
      </c>
      <c r="B633" s="129" t="s">
        <v>1618</v>
      </c>
      <c r="C633" s="254">
        <f>'BK DEN CS'!B40</f>
        <v>0</v>
      </c>
      <c r="D633" s="120"/>
      <c r="E633" s="151" t="str">
        <f>VLOOKUP($B633,dongia1,DG!$C$5,)</f>
        <v>Cáp C/XLPE/PVC -0.6/1kV-4x16mm2</v>
      </c>
      <c r="F633" s="120" t="str">
        <f>VLOOKUP($B633,dongia1,DG!$D$5,)</f>
        <v>mét</v>
      </c>
      <c r="G633" s="73">
        <f>G631*ROUND((C633+1.5*G639)*1.02,0)</f>
        <v>0</v>
      </c>
      <c r="H633" s="121">
        <f>VLOOKUP($B633,dongia1,DG!$F$5,)</f>
        <v>134000</v>
      </c>
      <c r="I633" s="156"/>
      <c r="J633" s="121"/>
      <c r="K633" s="121">
        <f>VLOOKUP($B633,dongia1,DG!$H$5,)</f>
        <v>0</v>
      </c>
      <c r="L633" s="39">
        <f t="shared" ref="L633:O634" si="205">H633*$G633</f>
        <v>0</v>
      </c>
      <c r="M633" s="62">
        <f t="shared" si="205"/>
        <v>0</v>
      </c>
      <c r="N633" s="39">
        <f t="shared" si="205"/>
        <v>0</v>
      </c>
      <c r="O633" s="39">
        <f t="shared" si="205"/>
        <v>0</v>
      </c>
      <c r="P633" s="112"/>
    </row>
    <row r="634" spans="1:16" s="34" customFormat="1">
      <c r="A634" s="29" t="str">
        <f>IF(G634=0,"",1)</f>
        <v/>
      </c>
      <c r="B634" s="129" t="s">
        <v>462</v>
      </c>
      <c r="C634" s="254">
        <f>'BK DEN CS'!B41</f>
        <v>0</v>
      </c>
      <c r="D634" s="120"/>
      <c r="E634" s="151" t="str">
        <f>VLOOKUP($B634,dongia1,DG!$C$5,)</f>
        <v>Cáp C/XLPE/PVC -0.6/1kV-3x50mm2</v>
      </c>
      <c r="F634" s="120" t="str">
        <f>VLOOKUP($B634,dongia1,DG!$D$5,)</f>
        <v>mét</v>
      </c>
      <c r="G634" s="83">
        <f>G631*ROUND(C634*1.02,0)</f>
        <v>0</v>
      </c>
      <c r="H634" s="121">
        <f>VLOOKUP($B634,dongia1,DG!$F$5,)</f>
        <v>297100</v>
      </c>
      <c r="I634" s="156"/>
      <c r="J634" s="121"/>
      <c r="K634" s="121">
        <f>VLOOKUP($B634,dongia1,DG!$H$5,)</f>
        <v>0</v>
      </c>
      <c r="L634" s="39">
        <f t="shared" si="205"/>
        <v>0</v>
      </c>
      <c r="M634" s="62">
        <f t="shared" si="205"/>
        <v>0</v>
      </c>
      <c r="N634" s="39">
        <f t="shared" si="205"/>
        <v>0</v>
      </c>
      <c r="O634" s="39">
        <f t="shared" si="205"/>
        <v>0</v>
      </c>
      <c r="P634" s="112"/>
    </row>
    <row r="635" spans="1:16" s="34" customFormat="1">
      <c r="A635" s="29" t="str">
        <f t="shared" si="204"/>
        <v/>
      </c>
      <c r="B635" s="129" t="s">
        <v>875</v>
      </c>
      <c r="C635" s="254">
        <f>'BK DEN CS'!B44</f>
        <v>0</v>
      </c>
      <c r="D635" s="120"/>
      <c r="E635" s="151" t="str">
        <f>VLOOKUP($B635,dongia1,DG!$C$5,)</f>
        <v xml:space="preserve">Cáp CVV 2x2,5mm2  </v>
      </c>
      <c r="F635" s="120" t="str">
        <f>VLOOKUP($B635,dongia1,DG!$D$5,)</f>
        <v>mét</v>
      </c>
      <c r="G635" s="73">
        <f>ROUND(C635*1.02,0)</f>
        <v>0</v>
      </c>
      <c r="H635" s="121">
        <f>VLOOKUP($B635,dongia1,DG!$F$5,)</f>
        <v>17030</v>
      </c>
      <c r="I635" s="156"/>
      <c r="J635" s="121"/>
      <c r="K635" s="121">
        <f>VLOOKUP($B635,dongia1,DG!$H$5,)</f>
        <v>0</v>
      </c>
      <c r="L635" s="39">
        <f t="shared" ref="L635:O637" si="206">H635*$G635</f>
        <v>0</v>
      </c>
      <c r="M635" s="62">
        <f t="shared" si="206"/>
        <v>0</v>
      </c>
      <c r="N635" s="39">
        <f t="shared" si="206"/>
        <v>0</v>
      </c>
      <c r="O635" s="39">
        <f t="shared" si="206"/>
        <v>0</v>
      </c>
      <c r="P635" s="112"/>
    </row>
    <row r="636" spans="1:16" s="34" customFormat="1">
      <c r="A636" s="29" t="str">
        <f t="shared" si="204"/>
        <v/>
      </c>
      <c r="B636" s="129" t="s">
        <v>1618</v>
      </c>
      <c r="C636" s="254"/>
      <c r="D636" s="120"/>
      <c r="E636" s="151" t="str">
        <f>VLOOKUP($B636,dongia1,DG!$C$5,)</f>
        <v>Cáp C/XLPE/PVC -0.6/1kV-4x16mm2</v>
      </c>
      <c r="F636" s="120" t="str">
        <f>VLOOKUP($B636,dongia1,DG!$D$5,)</f>
        <v>mét</v>
      </c>
      <c r="G636" s="73">
        <f>ROUND(C636*1.02,0)</f>
        <v>0</v>
      </c>
      <c r="H636" s="121">
        <f>VLOOKUP($B636,dongia1,DG!$F$5,)</f>
        <v>134000</v>
      </c>
      <c r="I636" s="156"/>
      <c r="J636" s="121"/>
      <c r="K636" s="121">
        <f>VLOOKUP($B636,dongia1,DG!$H$5,)</f>
        <v>0</v>
      </c>
      <c r="L636" s="39">
        <f>H636*$G636</f>
        <v>0</v>
      </c>
      <c r="M636" s="62">
        <f>I636*$G636</f>
        <v>0</v>
      </c>
      <c r="N636" s="39">
        <f>J636*$G636</f>
        <v>0</v>
      </c>
      <c r="O636" s="39">
        <f>K636*$G636</f>
        <v>0</v>
      </c>
      <c r="P636" s="112"/>
    </row>
    <row r="637" spans="1:16" s="34" customFormat="1">
      <c r="A637" s="29" t="str">
        <f t="shared" si="204"/>
        <v/>
      </c>
      <c r="B637" s="129" t="s">
        <v>560</v>
      </c>
      <c r="C637" s="254">
        <f>C633</f>
        <v>0</v>
      </c>
      <c r="D637" s="120"/>
      <c r="E637" s="151" t="str">
        <f>VLOOKUP($B637,dongia1,DG!$C$5,)</f>
        <v>Cáp đồng trần M11mm2</v>
      </c>
      <c r="F637" s="120" t="str">
        <f>VLOOKUP($B637,dongia1,DG!$D$5,)</f>
        <v>kg</v>
      </c>
      <c r="G637" s="74">
        <f>(C637+G639*1.5)*0.0959</f>
        <v>0</v>
      </c>
      <c r="H637" s="121">
        <f>VLOOKUP($B637,dongia1,DG!$F$5,)</f>
        <v>255500</v>
      </c>
      <c r="I637" s="156"/>
      <c r="J637" s="121">
        <f>VLOOKUP($B637,dongia1,DG!$G$5,)</f>
        <v>0</v>
      </c>
      <c r="K637" s="121">
        <f>VLOOKUP($B637,dongia1,DG!$H$5,)</f>
        <v>0</v>
      </c>
      <c r="L637" s="39">
        <f t="shared" si="206"/>
        <v>0</v>
      </c>
      <c r="M637" s="62">
        <f t="shared" si="206"/>
        <v>0</v>
      </c>
      <c r="N637" s="39">
        <f t="shared" si="206"/>
        <v>0</v>
      </c>
      <c r="O637" s="39">
        <f t="shared" si="206"/>
        <v>0</v>
      </c>
      <c r="P637" s="112"/>
    </row>
    <row r="638" spans="1:16" s="34" customFormat="1">
      <c r="A638" s="29" t="str">
        <f t="shared" si="204"/>
        <v/>
      </c>
      <c r="B638" s="153" t="s">
        <v>559</v>
      </c>
      <c r="C638" s="119"/>
      <c r="D638" s="120"/>
      <c r="E638" s="151" t="str">
        <f>VLOOKUP($B638,dongia1,DG!$C$5,)</f>
        <v>Trụ thép tròn cao 6 mét</v>
      </c>
      <c r="F638" s="120" t="str">
        <f>VLOOKUP($B638,dongia1,DG!$D$5,)</f>
        <v>trụ</v>
      </c>
      <c r="G638" s="73">
        <f>'BK DEN CS'!Z37</f>
        <v>0</v>
      </c>
      <c r="H638" s="121">
        <f>VLOOKUP($B638,dongia1,DG!$F$5,)</f>
        <v>1709000</v>
      </c>
      <c r="I638" s="155"/>
      <c r="J638" s="121">
        <f>VLOOKUP($B638,dongia1,DG!$G$5,)</f>
        <v>0</v>
      </c>
      <c r="K638" s="121">
        <f>VLOOKUP($B638,dongia1,DG!$H$5,)</f>
        <v>0</v>
      </c>
      <c r="L638" s="39">
        <f>H638*$G638</f>
        <v>0</v>
      </c>
      <c r="M638" s="39">
        <f>I638*$G638</f>
        <v>0</v>
      </c>
      <c r="N638" s="39">
        <f>J638*$G638</f>
        <v>0</v>
      </c>
      <c r="O638" s="39">
        <f>K638*$G638</f>
        <v>0</v>
      </c>
      <c r="P638" s="112"/>
    </row>
    <row r="639" spans="1:16" s="34" customFormat="1" ht="27.6">
      <c r="A639" s="29" t="str">
        <f t="shared" si="204"/>
        <v/>
      </c>
      <c r="B639" s="153" t="s">
        <v>1960</v>
      </c>
      <c r="C639" s="119"/>
      <c r="D639" s="120"/>
      <c r="E639" s="151" t="str">
        <f>VLOOKUP($B639,dongia1,DG!$C$5,)</f>
        <v>Cần đèn STK D60 đơn cao 2m vươn 1,5m nghiêng 15 độ</v>
      </c>
      <c r="F639" s="120" t="str">
        <f>VLOOKUP($B639,dongia1,DG!$D$5,)</f>
        <v>cần</v>
      </c>
      <c r="G639" s="73">
        <f>'BK DEN CS'!Z37</f>
        <v>0</v>
      </c>
      <c r="H639" s="121">
        <f>VLOOKUP($B639,dongia1,DG!$F$5,)</f>
        <v>210000</v>
      </c>
      <c r="I639" s="155"/>
      <c r="J639" s="121">
        <f>VLOOKUP($B639,dongia1,DG!$G$5,)</f>
        <v>0</v>
      </c>
      <c r="K639" s="121">
        <f>VLOOKUP($B639,dongia1,DG!$H$5,)</f>
        <v>0</v>
      </c>
      <c r="L639" s="39">
        <f t="shared" ref="L639:O640" si="207">H639*$G639</f>
        <v>0</v>
      </c>
      <c r="M639" s="39">
        <f t="shared" si="207"/>
        <v>0</v>
      </c>
      <c r="N639" s="39">
        <f t="shared" si="207"/>
        <v>0</v>
      </c>
      <c r="O639" s="39">
        <f t="shared" si="207"/>
        <v>0</v>
      </c>
      <c r="P639" s="112"/>
    </row>
    <row r="640" spans="1:16" s="34" customFormat="1" ht="27.6">
      <c r="A640" s="29" t="str">
        <f t="shared" si="204"/>
        <v/>
      </c>
      <c r="B640" s="153" t="s">
        <v>1961</v>
      </c>
      <c r="C640" s="119"/>
      <c r="D640" s="120"/>
      <c r="E640" s="151" t="str">
        <f>VLOOKUP($B640,dongia1,DG!$C$5,)</f>
        <v>Cần đèn STK D60 đôi cao 2m vươn 1,5m nghiêng 15 độ</v>
      </c>
      <c r="F640" s="120" t="str">
        <f>VLOOKUP($B640,dongia1,DG!$D$5,)</f>
        <v>cần</v>
      </c>
      <c r="G640" s="73">
        <f>'BK DEN CS'!Y37</f>
        <v>0</v>
      </c>
      <c r="H640" s="121">
        <f>VLOOKUP($B640,dongia1,DG!$F$5,)</f>
        <v>409500</v>
      </c>
      <c r="I640" s="155"/>
      <c r="J640" s="121">
        <f>VLOOKUP($B640,dongia1,DG!$G$5,)</f>
        <v>0</v>
      </c>
      <c r="K640" s="121">
        <f>VLOOKUP($B640,dongia1,DG!$H$5,)</f>
        <v>0</v>
      </c>
      <c r="L640" s="39">
        <f t="shared" si="207"/>
        <v>0</v>
      </c>
      <c r="M640" s="39">
        <f t="shared" si="207"/>
        <v>0</v>
      </c>
      <c r="N640" s="39">
        <f t="shared" si="207"/>
        <v>0</v>
      </c>
      <c r="O640" s="39">
        <f t="shared" si="207"/>
        <v>0</v>
      </c>
      <c r="P640" s="112"/>
    </row>
    <row r="641" spans="1:16" s="34" customFormat="1" ht="27.6">
      <c r="A641" s="29" t="str">
        <f t="shared" si="204"/>
        <v/>
      </c>
      <c r="B641" s="153" t="s">
        <v>1959</v>
      </c>
      <c r="C641" s="119"/>
      <c r="D641" s="120"/>
      <c r="E641" s="151" t="str">
        <f>VLOOKUP($B641,dongia1,DG!$C$5,)</f>
        <v>Choá đèn 73FS 10 + bóng OSAM-250W + tụ điện + ballast</v>
      </c>
      <c r="F641" s="120" t="str">
        <f>VLOOKUP($B641,dongia1,DG!$D$5,)</f>
        <v>bộ</v>
      </c>
      <c r="G641" s="73">
        <f>'BK DEN CS'!AA37</f>
        <v>0</v>
      </c>
      <c r="H641" s="121">
        <f>VLOOKUP($B641,dongia1,DG!$F$5,)</f>
        <v>1669500</v>
      </c>
      <c r="I641" s="155"/>
      <c r="J641" s="121">
        <f>VLOOKUP($B641,dongia1,DG!$G$5,)</f>
        <v>0</v>
      </c>
      <c r="K641" s="121">
        <f>VLOOKUP($B641,dongia1,DG!$H$5,)</f>
        <v>0</v>
      </c>
      <c r="L641" s="39">
        <f t="shared" ref="L641:O649" si="208">H641*$G641</f>
        <v>0</v>
      </c>
      <c r="M641" s="39">
        <f t="shared" si="208"/>
        <v>0</v>
      </c>
      <c r="N641" s="39">
        <f t="shared" si="208"/>
        <v>0</v>
      </c>
      <c r="O641" s="39">
        <f t="shared" si="208"/>
        <v>0</v>
      </c>
      <c r="P641" s="112"/>
    </row>
    <row r="642" spans="1:16" s="34" customFormat="1">
      <c r="A642" s="29" t="str">
        <f t="shared" si="204"/>
        <v/>
      </c>
      <c r="B642" s="129" t="s">
        <v>1053</v>
      </c>
      <c r="C642" s="119"/>
      <c r="D642" s="120"/>
      <c r="E642" s="151" t="str">
        <f>VLOOKUP($B642,dongia1,DG!$C$5,)</f>
        <v xml:space="preserve">Đầu cosse ép Cu 2,5mm2 + bao PVC </v>
      </c>
      <c r="F642" s="120" t="str">
        <f>VLOOKUP($B642,dongia1,DG!$D$5,)</f>
        <v>cái</v>
      </c>
      <c r="G642" s="84">
        <f>G638*2</f>
        <v>0</v>
      </c>
      <c r="H642" s="121">
        <f>VLOOKUP($B642,dongia1,DG!$F$5,)</f>
        <v>1700</v>
      </c>
      <c r="I642" s="156"/>
      <c r="J642" s="121">
        <f>VLOOKUP($B642,dongia1,DG!$G$5,)</f>
        <v>0</v>
      </c>
      <c r="K642" s="121">
        <f>VLOOKUP($B642,dongia1,DG!$H$5,)</f>
        <v>0</v>
      </c>
      <c r="L642" s="39">
        <f t="shared" si="208"/>
        <v>0</v>
      </c>
      <c r="M642" s="62">
        <f t="shared" si="208"/>
        <v>0</v>
      </c>
      <c r="N642" s="39">
        <f t="shared" si="208"/>
        <v>0</v>
      </c>
      <c r="O642" s="39">
        <f t="shared" si="208"/>
        <v>0</v>
      </c>
      <c r="P642" s="112"/>
    </row>
    <row r="643" spans="1:16" s="34" customFormat="1">
      <c r="A643" s="29" t="str">
        <f t="shared" si="204"/>
        <v/>
      </c>
      <c r="B643" s="129" t="s">
        <v>1361</v>
      </c>
      <c r="C643" s="119"/>
      <c r="D643" s="120"/>
      <c r="E643" s="151" t="str">
        <f>VLOOKUP($B643,dongia1,DG!$C$5,)</f>
        <v>Đầu cosse ép Cu 50mm2</v>
      </c>
      <c r="F643" s="120" t="str">
        <f>VLOOKUP($B643,dongia1,DG!$D$5,)</f>
        <v>cái</v>
      </c>
      <c r="G643" s="84">
        <f>G631*3+G638*4</f>
        <v>0</v>
      </c>
      <c r="H643" s="121">
        <f>VLOOKUP($B643,dongia1,DG!$F$5,)</f>
        <v>9100</v>
      </c>
      <c r="I643" s="156"/>
      <c r="J643" s="121">
        <f>VLOOKUP($B643,dongia1,DG!$G$5,)</f>
        <v>10608.955000000002</v>
      </c>
      <c r="K643" s="121">
        <f>VLOOKUP($B643,dongia1,DG!$H$5,)</f>
        <v>2777.0232475000003</v>
      </c>
      <c r="L643" s="39">
        <f t="shared" si="208"/>
        <v>0</v>
      </c>
      <c r="M643" s="62">
        <f t="shared" si="208"/>
        <v>0</v>
      </c>
      <c r="N643" s="39">
        <f t="shared" si="208"/>
        <v>0</v>
      </c>
      <c r="O643" s="39">
        <f t="shared" si="208"/>
        <v>0</v>
      </c>
      <c r="P643" s="112"/>
    </row>
    <row r="644" spans="1:16" s="34" customFormat="1">
      <c r="A644" s="29" t="str">
        <f>IF(G644=0,"",1)</f>
        <v/>
      </c>
      <c r="B644" s="129" t="s">
        <v>1813</v>
      </c>
      <c r="C644" s="119"/>
      <c r="D644" s="120"/>
      <c r="E644" s="151" t="str">
        <f>VLOOKUP($B644,dongia1,DG!$C$5,)</f>
        <v>Chụp đầu cosse  50mm2</v>
      </c>
      <c r="F644" s="120" t="str">
        <f>VLOOKUP($B644,dongia1,DG!$D$5,)</f>
        <v>cái</v>
      </c>
      <c r="G644" s="84">
        <f>G643</f>
        <v>0</v>
      </c>
      <c r="H644" s="121">
        <f>VLOOKUP($B644,dongia1,DG!$F$5,)</f>
        <v>1000</v>
      </c>
      <c r="I644" s="156"/>
      <c r="J644" s="121">
        <f>VLOOKUP($B644,dongia1,DG!$G$5,)</f>
        <v>0</v>
      </c>
      <c r="K644" s="121">
        <f>VLOOKUP($B644,dongia1,DG!$H$5,)</f>
        <v>0</v>
      </c>
      <c r="L644" s="39">
        <f>H644*$G644</f>
        <v>0</v>
      </c>
      <c r="M644" s="62">
        <f>I644*$G644</f>
        <v>0</v>
      </c>
      <c r="N644" s="39">
        <f>J644*$G644</f>
        <v>0</v>
      </c>
      <c r="O644" s="39">
        <f>K644*$G644</f>
        <v>0</v>
      </c>
      <c r="P644" s="112"/>
    </row>
    <row r="645" spans="1:16" s="34" customFormat="1">
      <c r="A645" s="29" t="str">
        <f t="shared" si="204"/>
        <v/>
      </c>
      <c r="B645" s="159" t="s">
        <v>595</v>
      </c>
      <c r="C645" s="119"/>
      <c r="D645" s="120"/>
      <c r="E645" s="151" t="str">
        <f>VLOOKUP($B645,dongia1,DG!$C$5,)&amp;": 7m lên trụ"</f>
        <v>Ống PVC D90x3,8mm : 7m lên trụ</v>
      </c>
      <c r="F645" s="120" t="str">
        <f>VLOOKUP($B645,dongia1,DG!$D$5,)</f>
        <v>m</v>
      </c>
      <c r="G645" s="83">
        <f>G631*(C633+G638*1.5+7)</f>
        <v>0</v>
      </c>
      <c r="H645" s="121">
        <f>VLOOKUP($B645,dongia1,DG!$F$5,)</f>
        <v>63200</v>
      </c>
      <c r="I645" s="160"/>
      <c r="J645" s="121">
        <f>VLOOKUP($B645,dongia1,DG!$G$5,)</f>
        <v>0</v>
      </c>
      <c r="K645" s="121">
        <f>VLOOKUP($B645,dongia1,DG!$H$5,)</f>
        <v>0</v>
      </c>
      <c r="L645" s="39">
        <f t="shared" si="208"/>
        <v>0</v>
      </c>
      <c r="M645" s="39">
        <f t="shared" si="208"/>
        <v>0</v>
      </c>
      <c r="N645" s="39">
        <f t="shared" si="208"/>
        <v>0</v>
      </c>
      <c r="O645" s="39">
        <f t="shared" si="208"/>
        <v>0</v>
      </c>
      <c r="P645" s="161"/>
    </row>
    <row r="646" spans="1:16" s="34" customFormat="1">
      <c r="A646" s="29" t="str">
        <f t="shared" si="204"/>
        <v/>
      </c>
      <c r="B646" s="159" t="s">
        <v>596</v>
      </c>
      <c r="C646" s="119"/>
      <c r="D646" s="120"/>
      <c r="E646" s="151" t="str">
        <f>VLOOKUP($B646,dongia1,DG!$C$5,)</f>
        <v>Co sừng 90 độ PVC 90</v>
      </c>
      <c r="F646" s="120" t="str">
        <f>VLOOKUP($B646,dongia1,DG!$D$5,)</f>
        <v>cái</v>
      </c>
      <c r="G646" s="73">
        <f>'BK DEN CS'!L37</f>
        <v>0</v>
      </c>
      <c r="H646" s="121">
        <f>VLOOKUP($B646,dongia1,DG!$F$5,)</f>
        <v>45400</v>
      </c>
      <c r="I646" s="160"/>
      <c r="J646" s="121">
        <f>VLOOKUP($B646,dongia1,DG!$G$5,)</f>
        <v>0</v>
      </c>
      <c r="K646" s="121">
        <f>VLOOKUP($B646,dongia1,DG!$H$5,)</f>
        <v>0</v>
      </c>
      <c r="L646" s="39">
        <f t="shared" si="208"/>
        <v>0</v>
      </c>
      <c r="M646" s="39">
        <f t="shared" si="208"/>
        <v>0</v>
      </c>
      <c r="N646" s="39">
        <f t="shared" si="208"/>
        <v>0</v>
      </c>
      <c r="O646" s="39">
        <f t="shared" si="208"/>
        <v>0</v>
      </c>
      <c r="P646" s="161"/>
    </row>
    <row r="647" spans="1:16" s="34" customFormat="1">
      <c r="A647" s="29" t="str">
        <f t="shared" si="204"/>
        <v/>
      </c>
      <c r="B647" s="159" t="s">
        <v>1812</v>
      </c>
      <c r="C647" s="119"/>
      <c r="D647" s="120"/>
      <c r="E647" s="151" t="str">
        <f>VLOOKUP($B647,dongia1,DG!$C$5,)</f>
        <v>Co 135 độ PVC 90</v>
      </c>
      <c r="F647" s="120" t="str">
        <f>VLOOKUP($B647,dongia1,DG!$D$5,)</f>
        <v>cái</v>
      </c>
      <c r="G647" s="73">
        <f>'BK DEN CS'!M37</f>
        <v>0</v>
      </c>
      <c r="H647" s="121">
        <f>VLOOKUP($B647,dongia1,DG!$F$5,)</f>
        <v>33900</v>
      </c>
      <c r="I647" s="160"/>
      <c r="J647" s="121">
        <f>VLOOKUP($B647,dongia1,DG!$G$5,)</f>
        <v>0</v>
      </c>
      <c r="K647" s="121">
        <f>VLOOKUP($B647,dongia1,DG!$H$5,)</f>
        <v>0</v>
      </c>
      <c r="L647" s="39">
        <f t="shared" si="208"/>
        <v>0</v>
      </c>
      <c r="M647" s="39">
        <f t="shared" si="208"/>
        <v>0</v>
      </c>
      <c r="N647" s="39">
        <f t="shared" si="208"/>
        <v>0</v>
      </c>
      <c r="O647" s="39">
        <f t="shared" si="208"/>
        <v>0</v>
      </c>
      <c r="P647" s="161"/>
    </row>
    <row r="648" spans="1:16" s="34" customFormat="1">
      <c r="A648" s="29" t="str">
        <f t="shared" si="204"/>
        <v/>
      </c>
      <c r="B648" s="129" t="s">
        <v>316</v>
      </c>
      <c r="C648" s="119"/>
      <c r="D648" s="120"/>
      <c r="E648" s="151" t="str">
        <f>VLOOKUP($B648,dongia1,DG!$C$5,)</f>
        <v>Ông sắt tráng kẽm D90</v>
      </c>
      <c r="F648" s="120" t="str">
        <f>VLOOKUP($B648,dongia1,DG!$D$5,)</f>
        <v>mét</v>
      </c>
      <c r="G648" s="73">
        <f>G631*('BK DEN CS'!K37)</f>
        <v>0</v>
      </c>
      <c r="H648" s="121">
        <f>VLOOKUP($B648,dongia1,DG!$F$5,)</f>
        <v>130000</v>
      </c>
      <c r="I648" s="156"/>
      <c r="J648" s="121">
        <f>VLOOKUP($B648,dongia1,DG!$G$5,)</f>
        <v>109566.8385</v>
      </c>
      <c r="K648" s="121">
        <f>VLOOKUP($B648,dongia1,DG!$H$5,)</f>
        <v>0</v>
      </c>
      <c r="L648" s="39">
        <f t="shared" si="208"/>
        <v>0</v>
      </c>
      <c r="M648" s="62">
        <f t="shared" si="208"/>
        <v>0</v>
      </c>
      <c r="N648" s="39">
        <f t="shared" si="208"/>
        <v>0</v>
      </c>
      <c r="O648" s="39">
        <f t="shared" si="208"/>
        <v>0</v>
      </c>
      <c r="P648" s="112"/>
    </row>
    <row r="649" spans="1:16" s="34" customFormat="1">
      <c r="A649" s="29" t="str">
        <f t="shared" si="204"/>
        <v/>
      </c>
      <c r="B649" s="129" t="s">
        <v>1098</v>
      </c>
      <c r="C649" s="119"/>
      <c r="D649" s="120"/>
      <c r="E649" s="151" t="str">
        <f>VLOOKUP($B649,dongia1,DG!$C$5,)</f>
        <v>Cọc tiếp đất Þ 16- 2,4m + kẹp cọc</v>
      </c>
      <c r="F649" s="120" t="str">
        <f>VLOOKUP($B649,dongia1,DG!$D$5,)</f>
        <v>bộ</v>
      </c>
      <c r="G649" s="73">
        <f>G639+G640</f>
        <v>0</v>
      </c>
      <c r="H649" s="121">
        <f>VLOOKUP($B649,dongia1,DG!$F$5,)</f>
        <v>160000</v>
      </c>
      <c r="I649" s="156"/>
      <c r="J649" s="121">
        <f>VLOOKUP($B649,dongia1,DG!$G$5,)</f>
        <v>0</v>
      </c>
      <c r="K649" s="121">
        <f>VLOOKUP($B649,dongia1,DG!$H$5,)</f>
        <v>0</v>
      </c>
      <c r="L649" s="39">
        <f t="shared" si="208"/>
        <v>0</v>
      </c>
      <c r="M649" s="62">
        <f t="shared" si="208"/>
        <v>0</v>
      </c>
      <c r="N649" s="39">
        <f t="shared" si="208"/>
        <v>0</v>
      </c>
      <c r="O649" s="39">
        <f t="shared" si="208"/>
        <v>0</v>
      </c>
      <c r="P649" s="112"/>
    </row>
    <row r="650" spans="1:16" s="34" customFormat="1">
      <c r="A650" s="29" t="str">
        <f t="shared" ref="A650:A659" si="209">IF(G650=0,"",1)</f>
        <v/>
      </c>
      <c r="B650" s="153" t="s">
        <v>1965</v>
      </c>
      <c r="C650" s="119"/>
      <c r="D650" s="120" t="str">
        <f>VLOOKUP($B650,dongia1,DG!$B$5,)</f>
        <v>CS4.04.010</v>
      </c>
      <c r="E650" s="151" t="str">
        <f>VLOOKUP($B650,dongia1,DG!$C$5,)</f>
        <v>Lắp rải cáp ngầm chiếu sáng</v>
      </c>
      <c r="F650" s="120" t="str">
        <f>VLOOKUP($B650,dongia1,DG!$D$5,)</f>
        <v>mét</v>
      </c>
      <c r="G650" s="74">
        <f>G633+G636+G634</f>
        <v>0</v>
      </c>
      <c r="H650" s="121"/>
      <c r="I650" s="155"/>
      <c r="J650" s="121">
        <f>VLOOKUP($B650,dongia1,DG!$G$5,)</f>
        <v>372.8</v>
      </c>
      <c r="K650" s="121">
        <f>VLOOKUP($B650,dongia1,DG!$H$5,)</f>
        <v>0</v>
      </c>
      <c r="L650" s="39">
        <f t="shared" ref="L650:O657" si="210">H650*$G650</f>
        <v>0</v>
      </c>
      <c r="M650" s="39">
        <f t="shared" si="210"/>
        <v>0</v>
      </c>
      <c r="N650" s="39">
        <f t="shared" si="210"/>
        <v>0</v>
      </c>
      <c r="O650" s="39">
        <f t="shared" si="210"/>
        <v>0</v>
      </c>
      <c r="P650" s="112"/>
    </row>
    <row r="651" spans="1:16" s="34" customFormat="1">
      <c r="A651" s="29" t="str">
        <f t="shared" si="209"/>
        <v/>
      </c>
      <c r="B651" s="153" t="s">
        <v>168</v>
      </c>
      <c r="C651" s="119"/>
      <c r="D651" s="120" t="str">
        <f>VLOOKUP($B651,dongia1,DG!$B$5,)</f>
        <v>CS4.08.010</v>
      </c>
      <c r="E651" s="151" t="str">
        <f>VLOOKUP($B651,dongia1,DG!$C$5,)</f>
        <v>Luồn dây lên đèn</v>
      </c>
      <c r="F651" s="120" t="str">
        <f>VLOOKUP($B651,dongia1,DG!$D$5,)</f>
        <v>mét</v>
      </c>
      <c r="G651" s="74">
        <f>G635</f>
        <v>0</v>
      </c>
      <c r="H651" s="121"/>
      <c r="I651" s="155"/>
      <c r="J651" s="121">
        <f>VLOOKUP($B651,dongia1,DG!$G$5,)</f>
        <v>621.4</v>
      </c>
      <c r="K651" s="121">
        <f>VLOOKUP($B651,dongia1,DG!$H$5,)</f>
        <v>4533.1000000000004</v>
      </c>
      <c r="L651" s="39">
        <f t="shared" si="210"/>
        <v>0</v>
      </c>
      <c r="M651" s="39">
        <f t="shared" si="210"/>
        <v>0</v>
      </c>
      <c r="N651" s="39">
        <f t="shared" si="210"/>
        <v>0</v>
      </c>
      <c r="O651" s="39">
        <f t="shared" si="210"/>
        <v>0</v>
      </c>
      <c r="P651" s="112"/>
    </row>
    <row r="652" spans="1:16" s="34" customFormat="1">
      <c r="A652" s="29" t="str">
        <f t="shared" si="209"/>
        <v/>
      </c>
      <c r="B652" s="159" t="s">
        <v>551</v>
      </c>
      <c r="C652" s="119"/>
      <c r="D652" s="120" t="str">
        <f>VLOOKUP($B652,dongia1,DG!$B$5,)</f>
        <v>CS3.01.013</v>
      </c>
      <c r="E652" s="151" t="str">
        <f>VLOOKUP($B652,dongia1,DG!$C$5,)</f>
        <v>Lắp trụ thép ≤ 8m bằng thủ công</v>
      </c>
      <c r="F652" s="120" t="str">
        <f>VLOOKUP($B652,dongia1,DG!$D$5,)</f>
        <v>trụ</v>
      </c>
      <c r="G652" s="73">
        <f>G638</f>
        <v>0</v>
      </c>
      <c r="H652" s="121"/>
      <c r="I652" s="160"/>
      <c r="J652" s="121">
        <f>VLOOKUP($B652,dongia1,DG!$G$5,)</f>
        <v>74568</v>
      </c>
      <c r="K652" s="121">
        <f>VLOOKUP($B652,dongia1,DG!$H$5,)</f>
        <v>0</v>
      </c>
      <c r="L652" s="39">
        <f t="shared" si="210"/>
        <v>0</v>
      </c>
      <c r="M652" s="39">
        <f t="shared" si="210"/>
        <v>0</v>
      </c>
      <c r="N652" s="39">
        <f t="shared" si="210"/>
        <v>0</v>
      </c>
      <c r="O652" s="39">
        <f t="shared" si="210"/>
        <v>0</v>
      </c>
      <c r="P652" s="161"/>
    </row>
    <row r="653" spans="1:16" s="34" customFormat="1">
      <c r="A653" s="29" t="str">
        <f t="shared" si="209"/>
        <v/>
      </c>
      <c r="B653" s="159" t="s">
        <v>811</v>
      </c>
      <c r="C653" s="119"/>
      <c r="D653" s="120" t="str">
        <f>VLOOKUP($B653,dongia1,DG!$B$5,)</f>
        <v>CS3.03.011</v>
      </c>
      <c r="E653" s="151" t="str">
        <f>VLOOKUP($B653,dongia1,DG!$C$5,)</f>
        <v>Lắp cần đèn D60 ≤ 2,8m</v>
      </c>
      <c r="F653" s="120" t="str">
        <f>VLOOKUP($B653,dongia1,DG!$D$5,)</f>
        <v>cần</v>
      </c>
      <c r="G653" s="73">
        <f>G639+G640*2</f>
        <v>0</v>
      </c>
      <c r="H653" s="121"/>
      <c r="I653" s="160"/>
      <c r="J653" s="121">
        <f>VLOOKUP($B653,dongia1,DG!$G$5,)</f>
        <v>24870</v>
      </c>
      <c r="K653" s="121">
        <f>VLOOKUP($B653,dongia1,DG!$H$5,)</f>
        <v>137035</v>
      </c>
      <c r="L653" s="39">
        <f t="shared" si="210"/>
        <v>0</v>
      </c>
      <c r="M653" s="39">
        <f t="shared" si="210"/>
        <v>0</v>
      </c>
      <c r="N653" s="39">
        <f t="shared" si="210"/>
        <v>0</v>
      </c>
      <c r="O653" s="39">
        <f t="shared" si="210"/>
        <v>0</v>
      </c>
      <c r="P653" s="161"/>
    </row>
    <row r="654" spans="1:16" s="34" customFormat="1">
      <c r="A654" s="29" t="str">
        <f t="shared" si="209"/>
        <v/>
      </c>
      <c r="B654" s="159" t="s">
        <v>254</v>
      </c>
      <c r="C654" s="119"/>
      <c r="D654" s="120" t="str">
        <f>VLOOKUP($B654,dongia1,DG!$B$5,)</f>
        <v>CS3.05.001</v>
      </c>
      <c r="E654" s="151" t="str">
        <f>VLOOKUP($B654,dongia1,DG!$C$5,)</f>
        <v>Lắp chóa đèn chiếu sáng ≤ 12m</v>
      </c>
      <c r="F654" s="120" t="str">
        <f>VLOOKUP($B654,dongia1,DG!$D$5,)</f>
        <v>bộ</v>
      </c>
      <c r="G654" s="73">
        <f>G641</f>
        <v>0</v>
      </c>
      <c r="H654" s="121"/>
      <c r="I654" s="160"/>
      <c r="J654" s="121">
        <f>VLOOKUP($B654,dongia1,DG!$G$5,)</f>
        <v>17954</v>
      </c>
      <c r="K654" s="121">
        <f>VLOOKUP($B654,dongia1,DG!$H$5,)</f>
        <v>69038</v>
      </c>
      <c r="L654" s="39">
        <f t="shared" si="210"/>
        <v>0</v>
      </c>
      <c r="M654" s="39">
        <f t="shared" si="210"/>
        <v>0</v>
      </c>
      <c r="N654" s="39">
        <f t="shared" si="210"/>
        <v>0</v>
      </c>
      <c r="O654" s="39">
        <f t="shared" si="210"/>
        <v>0</v>
      </c>
      <c r="P654" s="161"/>
    </row>
    <row r="655" spans="1:16" s="34" customFormat="1" ht="27.6">
      <c r="A655" s="29" t="str">
        <f t="shared" si="209"/>
        <v/>
      </c>
      <c r="B655" s="159" t="s">
        <v>451</v>
      </c>
      <c r="C655" s="119"/>
      <c r="D655" s="120" t="str">
        <f>VLOOKUP($B655,dongia1,DG!$B$5,)</f>
        <v>07.2406</v>
      </c>
      <c r="E655" s="151" t="str">
        <f>VLOOKUP($B655,dongia1,DG!$C$5,)</f>
        <v>Lắp ống PVC D90 (Nhân công đã qui đổi về ĐG chiếu sáng)</v>
      </c>
      <c r="F655" s="120" t="str">
        <f>VLOOKUP($B655,dongia1,DG!$D$5,)</f>
        <v>mét</v>
      </c>
      <c r="G655" s="73">
        <f>G645</f>
        <v>0</v>
      </c>
      <c r="H655" s="121"/>
      <c r="I655" s="160"/>
      <c r="J655" s="121">
        <f>VLOOKUP($B655,dongia1,DG!$G$5,)</f>
        <v>4499.3</v>
      </c>
      <c r="K655" s="121">
        <f>VLOOKUP($B655,dongia1,DG!$H$5,)</f>
        <v>0</v>
      </c>
      <c r="L655" s="39">
        <f t="shared" si="210"/>
        <v>0</v>
      </c>
      <c r="M655" s="39">
        <f t="shared" si="210"/>
        <v>0</v>
      </c>
      <c r="N655" s="39">
        <f t="shared" si="210"/>
        <v>0</v>
      </c>
      <c r="O655" s="39">
        <f t="shared" si="210"/>
        <v>0</v>
      </c>
      <c r="P655" s="161"/>
    </row>
    <row r="656" spans="1:16" s="34" customFormat="1" ht="27.6">
      <c r="A656" s="29" t="str">
        <f t="shared" si="209"/>
        <v/>
      </c>
      <c r="B656" s="159" t="s">
        <v>1595</v>
      </c>
      <c r="C656" s="119"/>
      <c r="D656" s="120" t="str">
        <f>VLOOKUP($B656,dongia1,DG!$B$5,)</f>
        <v>07.2301</v>
      </c>
      <c r="E656" s="151" t="str">
        <f>VLOOKUP($B656,dongia1,DG!$C$5,)</f>
        <v>Lắp ống sắt d&lt;120mm (Nhân công đã qui đổi về ĐG chiếu sáng)</v>
      </c>
      <c r="F656" s="120" t="str">
        <f>VLOOKUP($B656,dongia1,DG!$D$5,)</f>
        <v>mét</v>
      </c>
      <c r="G656" s="73">
        <f>G648</f>
        <v>0</v>
      </c>
      <c r="H656" s="121">
        <f>VLOOKUP($B656,dongia1,DG!$F$5,)</f>
        <v>3053</v>
      </c>
      <c r="I656" s="160"/>
      <c r="J656" s="121">
        <f>VLOOKUP($B656,dongia1,DG!$G$5,)</f>
        <v>6639.9</v>
      </c>
      <c r="K656" s="121">
        <f>VLOOKUP($B656,dongia1,DG!$H$5,)</f>
        <v>0</v>
      </c>
      <c r="L656" s="39">
        <f t="shared" si="210"/>
        <v>0</v>
      </c>
      <c r="M656" s="39">
        <f t="shared" si="210"/>
        <v>0</v>
      </c>
      <c r="N656" s="39">
        <f t="shared" si="210"/>
        <v>0</v>
      </c>
      <c r="O656" s="39">
        <f t="shared" si="210"/>
        <v>0</v>
      </c>
      <c r="P656" s="161"/>
    </row>
    <row r="657" spans="1:16" s="34" customFormat="1">
      <c r="A657" s="29" t="str">
        <f t="shared" si="209"/>
        <v/>
      </c>
      <c r="B657" s="159" t="s">
        <v>163</v>
      </c>
      <c r="C657" s="119"/>
      <c r="D657" s="120" t="str">
        <f>VLOOKUP($B657,dongia1,DG!$B$5,)</f>
        <v>CS3.07.012</v>
      </c>
      <c r="E657" s="151" t="str">
        <f>VLOOKUP($B657,dongia1,DG!$C$5,)</f>
        <v>Đóng cọc tiếp địa hệ thống CS</v>
      </c>
      <c r="F657" s="120" t="str">
        <f>VLOOKUP($B657,dongia1,DG!$D$5,)</f>
        <v>cọc</v>
      </c>
      <c r="G657" s="73">
        <f>G649</f>
        <v>0</v>
      </c>
      <c r="H657" s="121"/>
      <c r="I657" s="160"/>
      <c r="J657" s="121">
        <f>VLOOKUP($B657,dongia1,DG!$G$5,)</f>
        <v>15707</v>
      </c>
      <c r="K657" s="121">
        <f>VLOOKUP($B657,dongia1,DG!$H$5,)</f>
        <v>0</v>
      </c>
      <c r="L657" s="39">
        <f t="shared" si="210"/>
        <v>0</v>
      </c>
      <c r="M657" s="39">
        <f t="shared" si="210"/>
        <v>0</v>
      </c>
      <c r="N657" s="39">
        <f t="shared" si="210"/>
        <v>0</v>
      </c>
      <c r="O657" s="39">
        <f t="shared" si="210"/>
        <v>0</v>
      </c>
      <c r="P657" s="161"/>
    </row>
    <row r="658" spans="1:16" s="34" customFormat="1">
      <c r="A658" s="29" t="str">
        <f>IF(G658=0,"",1)</f>
        <v/>
      </c>
      <c r="B658" s="159" t="s">
        <v>164</v>
      </c>
      <c r="C658" s="119"/>
      <c r="D658" s="120" t="str">
        <f>VLOOKUP($B658,dongia1,DG!$B$5,)</f>
        <v>CS3.07.023</v>
      </c>
      <c r="E658" s="151" t="str">
        <f>VLOOKUP($B658,dongia1,DG!$C$5,)&amp;" M11"</f>
        <v>Lắp dây tiếp địa CS M11</v>
      </c>
      <c r="F658" s="120" t="str">
        <f>VLOOKUP($B658,dongia1,DG!$D$5,)</f>
        <v>mét</v>
      </c>
      <c r="G658" s="73">
        <f>G637/0.0959</f>
        <v>0</v>
      </c>
      <c r="H658" s="121"/>
      <c r="I658" s="160"/>
      <c r="J658" s="121">
        <f>VLOOKUP($B658,dongia1,DG!$G$5,)</f>
        <v>895</v>
      </c>
      <c r="K658" s="121">
        <f>VLOOKUP($B658,dongia1,DG!$H$5,)</f>
        <v>339</v>
      </c>
      <c r="L658" s="39">
        <f>H658*$G658</f>
        <v>0</v>
      </c>
      <c r="M658" s="39">
        <f>I658*$G658</f>
        <v>0</v>
      </c>
      <c r="N658" s="39">
        <f>J658*$G658</f>
        <v>0</v>
      </c>
      <c r="O658" s="39">
        <f>K658*$G658</f>
        <v>0</v>
      </c>
      <c r="P658" s="161"/>
    </row>
    <row r="659" spans="1:16" s="34" customFormat="1">
      <c r="A659" s="29" t="str">
        <f t="shared" si="209"/>
        <v/>
      </c>
      <c r="B659" s="109"/>
      <c r="C659" s="241">
        <f>IF(G659&gt;0,C631+1,C631)</f>
        <v>0</v>
      </c>
      <c r="D659" s="242"/>
      <c r="E659" s="206" t="s">
        <v>3323</v>
      </c>
      <c r="F659" s="241" t="s">
        <v>2113</v>
      </c>
      <c r="G659" s="67">
        <f>G631*0</f>
        <v>0</v>
      </c>
      <c r="H659" s="243"/>
      <c r="I659" s="243"/>
      <c r="J659" s="244"/>
      <c r="K659" s="244"/>
      <c r="L659" s="64">
        <f t="shared" ref="L659:L679" si="211">H659*$G659</f>
        <v>0</v>
      </c>
      <c r="M659" s="64">
        <f t="shared" ref="M659:M679" si="212">I659*$G659</f>
        <v>0</v>
      </c>
      <c r="N659" s="64">
        <f t="shared" ref="N659:N679" si="213">J659*$G659</f>
        <v>0</v>
      </c>
      <c r="O659" s="64">
        <f t="shared" ref="O659:O679" si="214">K659*$G659</f>
        <v>0</v>
      </c>
      <c r="P659" s="245"/>
    </row>
    <row r="660" spans="1:16" s="34" customFormat="1" ht="14.4">
      <c r="A660" s="29" t="str">
        <f>A659</f>
        <v/>
      </c>
      <c r="B660" s="109"/>
      <c r="C660" s="178"/>
      <c r="D660" s="120"/>
      <c r="E660" s="196" t="s">
        <v>3378</v>
      </c>
      <c r="F660" s="215"/>
      <c r="G660" s="65"/>
      <c r="H660" s="216"/>
      <c r="I660" s="216"/>
      <c r="J660" s="130"/>
      <c r="K660" s="130"/>
      <c r="L660" s="58">
        <f t="shared" si="211"/>
        <v>0</v>
      </c>
      <c r="M660" s="58">
        <f t="shared" si="212"/>
        <v>0</v>
      </c>
      <c r="N660" s="58">
        <f t="shared" si="213"/>
        <v>0</v>
      </c>
      <c r="O660" s="58">
        <f t="shared" si="214"/>
        <v>0</v>
      </c>
      <c r="P660" s="215"/>
    </row>
    <row r="661" spans="1:16" s="34" customFormat="1">
      <c r="A661" s="29" t="str">
        <f t="shared" ref="A661:A677" si="215">IF(G661=0,"",1)</f>
        <v/>
      </c>
      <c r="B661" s="109" t="s">
        <v>1667</v>
      </c>
      <c r="C661" s="119"/>
      <c r="D661" s="120" t="str">
        <f>VLOOKUP($B661,dongia1,DG!$B$5,)</f>
        <v>CS4.09.021</v>
      </c>
      <c r="E661" s="151" t="str">
        <f>VLOOKUP($B661,dongia1,DG!$C$5,)</f>
        <v>Tủ điều khiển chiếu sáng</v>
      </c>
      <c r="F661" s="120" t="str">
        <f>VLOOKUP($B661,dongia1,DG!$D$5,)</f>
        <v>cái</v>
      </c>
      <c r="G661" s="83">
        <f>G659</f>
        <v>0</v>
      </c>
      <c r="H661" s="121">
        <f>VLOOKUP($B661,dongia1,DG!$F$5,)</f>
        <v>7507000</v>
      </c>
      <c r="I661" s="155"/>
      <c r="J661" s="121">
        <f>VLOOKUP($B661,dongia1,DG!$G$5,)</f>
        <v>58412</v>
      </c>
      <c r="K661" s="121">
        <f>VLOOKUP($B661,dongia1,DG!$H$5,)</f>
        <v>0</v>
      </c>
      <c r="L661" s="39">
        <f t="shared" si="211"/>
        <v>0</v>
      </c>
      <c r="M661" s="39">
        <f t="shared" si="212"/>
        <v>0</v>
      </c>
      <c r="N661" s="39">
        <f t="shared" si="213"/>
        <v>0</v>
      </c>
      <c r="O661" s="39">
        <f t="shared" si="214"/>
        <v>0</v>
      </c>
      <c r="P661" s="112"/>
    </row>
    <row r="662" spans="1:16" s="34" customFormat="1">
      <c r="A662" s="29" t="str">
        <f>IF(G662=0,"",1)</f>
        <v/>
      </c>
      <c r="B662" s="109" t="s">
        <v>1098</v>
      </c>
      <c r="C662" s="119"/>
      <c r="D662" s="120"/>
      <c r="E662" s="151" t="str">
        <f>VLOOKUP($B662,dongia1,DG!$C$5,)</f>
        <v>Cọc tiếp đất Þ 16- 2,4m + kẹp cọc</v>
      </c>
      <c r="F662" s="120" t="str">
        <f>VLOOKUP($B662,dongia1,DG!$D$5,)</f>
        <v>bộ</v>
      </c>
      <c r="G662" s="83">
        <f>G661</f>
        <v>0</v>
      </c>
      <c r="H662" s="121">
        <f>VLOOKUP($B662,dongia1,DG!$F$5,)</f>
        <v>160000</v>
      </c>
      <c r="I662" s="155"/>
      <c r="J662" s="121"/>
      <c r="K662" s="121"/>
      <c r="L662" s="39">
        <f t="shared" ref="L662:O665" si="216">H662*$G662</f>
        <v>0</v>
      </c>
      <c r="M662" s="39">
        <f t="shared" si="216"/>
        <v>0</v>
      </c>
      <c r="N662" s="39">
        <f t="shared" si="216"/>
        <v>0</v>
      </c>
      <c r="O662" s="39">
        <f t="shared" si="216"/>
        <v>0</v>
      </c>
      <c r="P662" s="112"/>
    </row>
    <row r="663" spans="1:16" s="34" customFormat="1">
      <c r="A663" s="29" t="str">
        <f>IF(G663=0,"",1)</f>
        <v/>
      </c>
      <c r="B663" s="109" t="s">
        <v>560</v>
      </c>
      <c r="C663" s="119"/>
      <c r="D663" s="120"/>
      <c r="E663" s="151" t="str">
        <f>VLOOKUP($B663,dongia1,DG!$C$5,)&amp;": 2m"</f>
        <v>Cáp đồng trần M11mm2: 2m</v>
      </c>
      <c r="F663" s="120" t="str">
        <f>VLOOKUP($B663,dongia1,DG!$D$5,)</f>
        <v>kg</v>
      </c>
      <c r="G663" s="83">
        <f>G659*2*0.0959</f>
        <v>0</v>
      </c>
      <c r="H663" s="121">
        <f>VLOOKUP($B663,dongia1,DG!$F$5,)</f>
        <v>255500</v>
      </c>
      <c r="I663" s="155"/>
      <c r="J663" s="121"/>
      <c r="K663" s="121"/>
      <c r="L663" s="39">
        <f>H663*$G663</f>
        <v>0</v>
      </c>
      <c r="M663" s="39">
        <f>I663*$G663</f>
        <v>0</v>
      </c>
      <c r="N663" s="39">
        <f>J663*$G663</f>
        <v>0</v>
      </c>
      <c r="O663" s="39">
        <f>K663*$G663</f>
        <v>0</v>
      </c>
      <c r="P663" s="112"/>
    </row>
    <row r="664" spans="1:16" s="34" customFormat="1">
      <c r="A664" s="29" t="str">
        <f>IF(G664=0,"",1)</f>
        <v/>
      </c>
      <c r="B664" s="109" t="s">
        <v>163</v>
      </c>
      <c r="C664" s="119"/>
      <c r="D664" s="120" t="str">
        <f>VLOOKUP($B664,dongia1,DG!$B$5,)</f>
        <v>CS3.07.012</v>
      </c>
      <c r="E664" s="151" t="str">
        <f>VLOOKUP($B664,dongia1,DG!$C$5,)</f>
        <v>Đóng cọc tiếp địa hệ thống CS</v>
      </c>
      <c r="F664" s="120" t="str">
        <f>VLOOKUP($B664,dongia1,DG!$D$5,)</f>
        <v>cọc</v>
      </c>
      <c r="G664" s="83">
        <f>G662</f>
        <v>0</v>
      </c>
      <c r="H664" s="121">
        <f>VLOOKUP($B664,dongia1,DG!$F$5,)</f>
        <v>0</v>
      </c>
      <c r="I664" s="155"/>
      <c r="J664" s="121">
        <f>VLOOKUP($B664,dongia1,DG!$G$5,)</f>
        <v>15707</v>
      </c>
      <c r="K664" s="121">
        <f>VLOOKUP($B664,dongia1,DG!$H$5,)</f>
        <v>0</v>
      </c>
      <c r="L664" s="39">
        <f t="shared" si="216"/>
        <v>0</v>
      </c>
      <c r="M664" s="39">
        <f t="shared" si="216"/>
        <v>0</v>
      </c>
      <c r="N664" s="39">
        <f t="shared" si="216"/>
        <v>0</v>
      </c>
      <c r="O664" s="39">
        <f t="shared" si="216"/>
        <v>0</v>
      </c>
      <c r="P664" s="112"/>
    </row>
    <row r="665" spans="1:16" s="34" customFormat="1">
      <c r="A665" s="29" t="str">
        <f>IF(G665=0,"",1)</f>
        <v/>
      </c>
      <c r="B665" s="109" t="s">
        <v>164</v>
      </c>
      <c r="C665" s="119"/>
      <c r="D665" s="120" t="str">
        <f>VLOOKUP($B665,dongia1,DG!$B$5,)</f>
        <v>CS3.07.023</v>
      </c>
      <c r="E665" s="151" t="str">
        <f>VLOOKUP($B665,dongia1,DG!$C$5,)</f>
        <v>Lắp dây tiếp địa CS</v>
      </c>
      <c r="F665" s="120" t="str">
        <f>VLOOKUP($B665,dongia1,DG!$D$5,)</f>
        <v>mét</v>
      </c>
      <c r="G665" s="83">
        <f>G663/0.0959</f>
        <v>0</v>
      </c>
      <c r="H665" s="121">
        <f>VLOOKUP($B665,dongia1,DG!$F$5,)</f>
        <v>0</v>
      </c>
      <c r="I665" s="155"/>
      <c r="J665" s="121">
        <f>VLOOKUP($B665,dongia1,DG!$G$5,)</f>
        <v>895</v>
      </c>
      <c r="K665" s="121">
        <f>VLOOKUP($B665,dongia1,DG!$H$5,)</f>
        <v>339</v>
      </c>
      <c r="L665" s="39">
        <f t="shared" si="216"/>
        <v>0</v>
      </c>
      <c r="M665" s="39">
        <f t="shared" si="216"/>
        <v>0</v>
      </c>
      <c r="N665" s="39">
        <f t="shared" si="216"/>
        <v>0</v>
      </c>
      <c r="O665" s="39">
        <f t="shared" si="216"/>
        <v>0</v>
      </c>
      <c r="P665" s="112"/>
    </row>
    <row r="666" spans="1:16" s="34" customFormat="1">
      <c r="A666" s="29" t="str">
        <f>IF(G666=0,"",1)</f>
        <v/>
      </c>
      <c r="B666" s="109"/>
      <c r="C666" s="241">
        <f>IF(G666&gt;0,C659+1,C659)</f>
        <v>0</v>
      </c>
      <c r="D666" s="242"/>
      <c r="E666" s="206" t="s">
        <v>3540</v>
      </c>
      <c r="F666" s="241" t="s">
        <v>2113</v>
      </c>
      <c r="G666" s="67">
        <f>G659</f>
        <v>0</v>
      </c>
      <c r="H666" s="243"/>
      <c r="I666" s="243"/>
      <c r="J666" s="244"/>
      <c r="K666" s="244"/>
      <c r="L666" s="64">
        <f t="shared" ref="L666:O667" si="217">H666*$G666</f>
        <v>0</v>
      </c>
      <c r="M666" s="64">
        <f t="shared" si="217"/>
        <v>0</v>
      </c>
      <c r="N666" s="64">
        <f t="shared" si="217"/>
        <v>0</v>
      </c>
      <c r="O666" s="64">
        <f t="shared" si="217"/>
        <v>0</v>
      </c>
      <c r="P666" s="245"/>
    </row>
    <row r="667" spans="1:16" s="34" customFormat="1" ht="14.4">
      <c r="A667" s="29" t="str">
        <f>A666</f>
        <v/>
      </c>
      <c r="B667" s="109"/>
      <c r="C667" s="178"/>
      <c r="D667" s="120"/>
      <c r="E667" s="196" t="s">
        <v>3378</v>
      </c>
      <c r="F667" s="215"/>
      <c r="G667" s="65"/>
      <c r="H667" s="216"/>
      <c r="I667" s="216"/>
      <c r="J667" s="130"/>
      <c r="K667" s="130"/>
      <c r="L667" s="58">
        <f t="shared" si="217"/>
        <v>0</v>
      </c>
      <c r="M667" s="58">
        <f t="shared" si="217"/>
        <v>0</v>
      </c>
      <c r="N667" s="58">
        <f t="shared" si="217"/>
        <v>0</v>
      </c>
      <c r="O667" s="58">
        <f t="shared" si="217"/>
        <v>0</v>
      </c>
      <c r="P667" s="215"/>
    </row>
    <row r="668" spans="1:16" s="34" customFormat="1">
      <c r="A668" s="29" t="str">
        <f t="shared" si="215"/>
        <v/>
      </c>
      <c r="B668" s="234" t="s">
        <v>1728</v>
      </c>
      <c r="C668" s="119"/>
      <c r="D668" s="120"/>
      <c r="E668" s="187" t="str">
        <f>VLOOKUP($B668,dongia1,DG!$C$5,)</f>
        <v>Ximăng</v>
      </c>
      <c r="F668" s="185" t="str">
        <f>VLOOKUP($B668,dongia1,DG!$D$5,)</f>
        <v>kg</v>
      </c>
      <c r="G668" s="236"/>
      <c r="H668" s="121">
        <f>VLOOKUP($B668,dongia1,DG!$F$5,)</f>
        <v>1740</v>
      </c>
      <c r="I668" s="155"/>
      <c r="J668" s="121"/>
      <c r="K668" s="121"/>
      <c r="L668" s="39">
        <f t="shared" si="211"/>
        <v>0</v>
      </c>
      <c r="M668" s="39">
        <f t="shared" si="212"/>
        <v>0</v>
      </c>
      <c r="N668" s="39">
        <f t="shared" si="213"/>
        <v>0</v>
      </c>
      <c r="O668" s="39">
        <f t="shared" si="214"/>
        <v>0</v>
      </c>
      <c r="P668" s="112"/>
    </row>
    <row r="669" spans="1:16" s="34" customFormat="1">
      <c r="A669" s="29" t="str">
        <f t="shared" si="215"/>
        <v/>
      </c>
      <c r="B669" s="234" t="s">
        <v>1729</v>
      </c>
      <c r="C669" s="119"/>
      <c r="D669" s="120"/>
      <c r="E669" s="187" t="str">
        <f>VLOOKUP($B669,dongia1,DG!$C$5,)</f>
        <v>Cát vàng</v>
      </c>
      <c r="F669" s="185" t="str">
        <f>VLOOKUP($B669,dongia1,DG!$D$5,)</f>
        <v>m3</v>
      </c>
      <c r="G669" s="236"/>
      <c r="H669" s="121">
        <f>VLOOKUP($B669,dongia1,DG!$F$5,)</f>
        <v>512000</v>
      </c>
      <c r="I669" s="155"/>
      <c r="J669" s="121"/>
      <c r="K669" s="121"/>
      <c r="L669" s="39">
        <f t="shared" si="211"/>
        <v>0</v>
      </c>
      <c r="M669" s="39">
        <f t="shared" si="212"/>
        <v>0</v>
      </c>
      <c r="N669" s="39">
        <f t="shared" si="213"/>
        <v>0</v>
      </c>
      <c r="O669" s="39">
        <f t="shared" si="214"/>
        <v>0</v>
      </c>
      <c r="P669" s="112"/>
    </row>
    <row r="670" spans="1:16" s="34" customFormat="1">
      <c r="A670" s="29" t="str">
        <f t="shared" si="215"/>
        <v/>
      </c>
      <c r="B670" s="234" t="s">
        <v>853</v>
      </c>
      <c r="C670" s="119"/>
      <c r="D670" s="120"/>
      <c r="E670" s="151" t="str">
        <f>VLOOKUP($B670,dongia1,DG!$C$5,)</f>
        <v>Đá 1x2</v>
      </c>
      <c r="F670" s="120" t="str">
        <f>VLOOKUP($B670,dongia1,DG!$D$5,)</f>
        <v>m3</v>
      </c>
      <c r="G670" s="236"/>
      <c r="H670" s="121">
        <f>VLOOKUP($B670,dongia1,DG!$F$5,)</f>
        <v>335000</v>
      </c>
      <c r="I670" s="121"/>
      <c r="J670" s="121"/>
      <c r="K670" s="121"/>
      <c r="L670" s="39">
        <f t="shared" si="211"/>
        <v>0</v>
      </c>
      <c r="M670" s="39">
        <f t="shared" si="212"/>
        <v>0</v>
      </c>
      <c r="N670" s="39">
        <f t="shared" si="213"/>
        <v>0</v>
      </c>
      <c r="O670" s="39">
        <f t="shared" si="214"/>
        <v>0</v>
      </c>
      <c r="P670" s="112"/>
    </row>
    <row r="671" spans="1:16" s="34" customFormat="1">
      <c r="A671" s="29" t="str">
        <f t="shared" si="215"/>
        <v/>
      </c>
      <c r="B671" s="234" t="s">
        <v>275</v>
      </c>
      <c r="C671" s="119"/>
      <c r="D671" s="120"/>
      <c r="E671" s="151" t="str">
        <f>VLOOKUP($B671,dongia1,DG!$C$5,)</f>
        <v>Đá 4x6</v>
      </c>
      <c r="F671" s="120" t="str">
        <f>VLOOKUP($B671,dongia1,DG!$D$5,)</f>
        <v>m3</v>
      </c>
      <c r="G671" s="236"/>
      <c r="H671" s="121">
        <f>VLOOKUP($B671,dongia1,DG!$F$5,)</f>
        <v>265000</v>
      </c>
      <c r="I671" s="121"/>
      <c r="J671" s="121"/>
      <c r="K671" s="121"/>
      <c r="L671" s="39">
        <f t="shared" si="211"/>
        <v>0</v>
      </c>
      <c r="M671" s="39">
        <f t="shared" si="212"/>
        <v>0</v>
      </c>
      <c r="N671" s="39">
        <f t="shared" si="213"/>
        <v>0</v>
      </c>
      <c r="O671" s="39">
        <f t="shared" si="214"/>
        <v>0</v>
      </c>
      <c r="P671" s="112"/>
    </row>
    <row r="672" spans="1:16" s="34" customFormat="1">
      <c r="A672" s="29" t="str">
        <f t="shared" si="215"/>
        <v/>
      </c>
      <c r="B672" s="234" t="s">
        <v>577</v>
      </c>
      <c r="C672" s="119"/>
      <c r="D672" s="120"/>
      <c r="E672" s="151" t="str">
        <f>VLOOKUP($B672,dongia1,DG!$C$5,)</f>
        <v>Sắt   Þ6</v>
      </c>
      <c r="F672" s="120" t="str">
        <f>VLOOKUP($B672,dongia1,DG!$D$5,)</f>
        <v>kg</v>
      </c>
      <c r="G672" s="236"/>
      <c r="H672" s="121">
        <f>VLOOKUP($B672,dongia1,DG!$F$5,)</f>
        <v>13200</v>
      </c>
      <c r="I672" s="155"/>
      <c r="J672" s="121"/>
      <c r="K672" s="121"/>
      <c r="L672" s="39">
        <f t="shared" si="211"/>
        <v>0</v>
      </c>
      <c r="M672" s="39">
        <f t="shared" si="212"/>
        <v>0</v>
      </c>
      <c r="N672" s="39">
        <f t="shared" si="213"/>
        <v>0</v>
      </c>
      <c r="O672" s="39">
        <f t="shared" si="214"/>
        <v>0</v>
      </c>
      <c r="P672" s="112"/>
    </row>
    <row r="673" spans="1:24" s="34" customFormat="1">
      <c r="A673" s="29" t="str">
        <f t="shared" si="215"/>
        <v/>
      </c>
      <c r="B673" s="234" t="s">
        <v>806</v>
      </c>
      <c r="C673" s="119"/>
      <c r="D673" s="120"/>
      <c r="E673" s="151" t="str">
        <f>VLOOKUP($B673,dongia1,DG!$C$5,)</f>
        <v>Gỗ ván khuôn</v>
      </c>
      <c r="F673" s="120" t="str">
        <f>VLOOKUP($B673,dongia1,DG!$D$5,)</f>
        <v>m3</v>
      </c>
      <c r="G673" s="237"/>
      <c r="H673" s="121">
        <f>VLOOKUP($B673,dongia1,DG!$F$5,)</f>
        <v>1818000</v>
      </c>
      <c r="I673" s="155"/>
      <c r="J673" s="121"/>
      <c r="K673" s="121"/>
      <c r="L673" s="39">
        <f t="shared" si="211"/>
        <v>0</v>
      </c>
      <c r="M673" s="39">
        <f t="shared" si="212"/>
        <v>0</v>
      </c>
      <c r="N673" s="39">
        <f t="shared" si="213"/>
        <v>0</v>
      </c>
      <c r="O673" s="39">
        <f t="shared" si="214"/>
        <v>0</v>
      </c>
      <c r="P673" s="112"/>
    </row>
    <row r="674" spans="1:24" s="34" customFormat="1">
      <c r="A674" s="29" t="str">
        <f t="shared" si="215"/>
        <v/>
      </c>
      <c r="B674" s="234" t="s">
        <v>353</v>
      </c>
      <c r="C674" s="119"/>
      <c r="D674" s="120"/>
      <c r="E674" s="151" t="str">
        <f>VLOOKUP($B674,dongia1,DG!$C$5,)</f>
        <v>Dây thép buộc A70</v>
      </c>
      <c r="F674" s="120" t="str">
        <f>VLOOKUP($B674,dongia1,DG!$D$5,)</f>
        <v>kg</v>
      </c>
      <c r="G674" s="238">
        <f>G666*0.1</f>
        <v>0</v>
      </c>
      <c r="H674" s="121">
        <f>VLOOKUP($B674,dongia1,DG!$F$5,)</f>
        <v>61100</v>
      </c>
      <c r="I674" s="155"/>
      <c r="J674" s="121"/>
      <c r="K674" s="121"/>
      <c r="L674" s="39">
        <f t="shared" si="211"/>
        <v>0</v>
      </c>
      <c r="M674" s="39">
        <f t="shared" si="212"/>
        <v>0</v>
      </c>
      <c r="N674" s="39">
        <f t="shared" si="213"/>
        <v>0</v>
      </c>
      <c r="O674" s="39">
        <f t="shared" si="214"/>
        <v>0</v>
      </c>
      <c r="P674" s="112"/>
    </row>
    <row r="675" spans="1:24" s="34" customFormat="1">
      <c r="A675" s="29" t="str">
        <f t="shared" si="215"/>
        <v/>
      </c>
      <c r="B675" s="234" t="s">
        <v>1501</v>
      </c>
      <c r="C675" s="119"/>
      <c r="D675" s="120" t="str">
        <f>VLOOKUP($B675,dongia1,DG!$B$5,)</f>
        <v>CS1.01.140</v>
      </c>
      <c r="E675" s="151" t="str">
        <f>VLOOKUP($B675,dongia1,DG!$C$5,)</f>
        <v>Đào móng trụ CS sâu ≤ 1m trên vỉa hè</v>
      </c>
      <c r="F675" s="120" t="str">
        <f>VLOOKUP($B675,dongia1,DG!$D$5,)</f>
        <v>m3</v>
      </c>
      <c r="G675" s="239">
        <f>G666*0.296</f>
        <v>0</v>
      </c>
      <c r="H675" s="121">
        <f>VLOOKUP($B675,dongia1,DG!$F$5,)</f>
        <v>0</v>
      </c>
      <c r="I675" s="121"/>
      <c r="J675" s="121">
        <f>VLOOKUP($B675,dongia1,DG!$G$5,)</f>
        <v>67111</v>
      </c>
      <c r="K675" s="121">
        <f>VLOOKUP($B675,dongia1,DG!$H$5,)</f>
        <v>0</v>
      </c>
      <c r="L675" s="39">
        <f t="shared" si="211"/>
        <v>0</v>
      </c>
      <c r="M675" s="39">
        <f t="shared" si="212"/>
        <v>0</v>
      </c>
      <c r="N675" s="39">
        <f t="shared" si="213"/>
        <v>0</v>
      </c>
      <c r="O675" s="39">
        <f t="shared" si="214"/>
        <v>0</v>
      </c>
      <c r="P675" s="112"/>
    </row>
    <row r="676" spans="1:24" s="34" customFormat="1">
      <c r="A676" s="29" t="str">
        <f t="shared" si="215"/>
        <v/>
      </c>
      <c r="B676" s="234" t="s">
        <v>1583</v>
      </c>
      <c r="C676" s="119"/>
      <c r="D676" s="120" t="str">
        <f>VLOOKUP($B676,dongia1,DG!$B$5,)</f>
        <v>CS1.02.013</v>
      </c>
      <c r="E676" s="151" t="str">
        <f>VLOOKUP($B676,dongia1,DG!$C$5,)</f>
        <v>Đắp đất móng trụ CS, đất cấp 3</v>
      </c>
      <c r="F676" s="120" t="str">
        <f>VLOOKUP($B676,dongia1,DG!$D$5,)</f>
        <v>m3</v>
      </c>
      <c r="G676" s="239">
        <f>G666*0.218</f>
        <v>0</v>
      </c>
      <c r="H676" s="121">
        <f>VLOOKUP($B676,dongia1,DG!$F$5,)</f>
        <v>0</v>
      </c>
      <c r="I676" s="121"/>
      <c r="J676" s="121">
        <f>VLOOKUP($B676,dongia1,DG!$G$5,)</f>
        <v>16201</v>
      </c>
      <c r="K676" s="121">
        <f>VLOOKUP($B676,dongia1,DG!$H$5,)</f>
        <v>0</v>
      </c>
      <c r="L676" s="39">
        <f t="shared" si="211"/>
        <v>0</v>
      </c>
      <c r="M676" s="39">
        <f t="shared" si="212"/>
        <v>0</v>
      </c>
      <c r="N676" s="39">
        <f t="shared" si="213"/>
        <v>0</v>
      </c>
      <c r="O676" s="39">
        <f t="shared" si="214"/>
        <v>0</v>
      </c>
      <c r="P676" s="112"/>
    </row>
    <row r="677" spans="1:24" s="34" customFormat="1">
      <c r="A677" s="29" t="str">
        <f t="shared" si="215"/>
        <v/>
      </c>
      <c r="B677" s="234" t="s">
        <v>70</v>
      </c>
      <c r="C677" s="119"/>
      <c r="D677" s="120" t="str">
        <f>VLOOKUP($B677,dongia1,DG!$B$5,)</f>
        <v>AF.11220</v>
      </c>
      <c r="E677" s="151" t="str">
        <f>VLOOKUP($B677,dongia1,DG!$C$5,)</f>
        <v>Đổ bê tông mác M100 đá 4x6 rộng &gt;250cm</v>
      </c>
      <c r="F677" s="120" t="str">
        <f>VLOOKUP($B677,dongia1,DG!$D$5,)</f>
        <v>m3</v>
      </c>
      <c r="G677" s="237">
        <f>0.035*G666</f>
        <v>0</v>
      </c>
      <c r="H677" s="121"/>
      <c r="I677" s="121"/>
      <c r="J677" s="121">
        <f>VLOOKUP($B677,dongia1,DG!$F$5,)</f>
        <v>371262</v>
      </c>
      <c r="K677" s="121">
        <f>VLOOKUP($B677,dongia1,DG!$G$5,)</f>
        <v>414064.45</v>
      </c>
      <c r="L677" s="39">
        <f t="shared" si="211"/>
        <v>0</v>
      </c>
      <c r="M677" s="39">
        <f t="shared" si="212"/>
        <v>0</v>
      </c>
      <c r="N677" s="39">
        <f t="shared" si="213"/>
        <v>0</v>
      </c>
      <c r="O677" s="39">
        <f t="shared" si="214"/>
        <v>0</v>
      </c>
      <c r="P677" s="112"/>
      <c r="U677" s="107">
        <f>207*1.025</f>
        <v>212.17499999999998</v>
      </c>
      <c r="V677" s="107">
        <f>1.025*0.502</f>
        <v>0.51454999999999995</v>
      </c>
      <c r="W677" s="107">
        <f>1.025*0.898</f>
        <v>0.92044999999999999</v>
      </c>
      <c r="X677" s="107"/>
    </row>
    <row r="678" spans="1:24" s="34" customFormat="1">
      <c r="A678" s="29" t="str">
        <f>IF(G678=0,"",1)</f>
        <v/>
      </c>
      <c r="B678" s="109"/>
      <c r="C678" s="241">
        <f>IF(G678&gt;0,C666+1,C666)</f>
        <v>0</v>
      </c>
      <c r="D678" s="242"/>
      <c r="E678" s="206" t="s">
        <v>3854</v>
      </c>
      <c r="F678" s="241" t="s">
        <v>2307</v>
      </c>
      <c r="G678" s="63">
        <f>'BK DEN CS'!G37+'BK DEN CS'!E37</f>
        <v>0</v>
      </c>
      <c r="H678" s="243"/>
      <c r="I678" s="243"/>
      <c r="J678" s="244"/>
      <c r="K678" s="244"/>
      <c r="L678" s="64">
        <f t="shared" si="211"/>
        <v>0</v>
      </c>
      <c r="M678" s="64">
        <f t="shared" si="212"/>
        <v>0</v>
      </c>
      <c r="N678" s="64">
        <f t="shared" si="213"/>
        <v>0</v>
      </c>
      <c r="O678" s="64">
        <f t="shared" si="214"/>
        <v>0</v>
      </c>
      <c r="P678" s="245"/>
    </row>
    <row r="679" spans="1:24" s="34" customFormat="1" ht="14.4">
      <c r="A679" s="29" t="str">
        <f>A678</f>
        <v/>
      </c>
      <c r="B679" s="109"/>
      <c r="C679" s="178"/>
      <c r="D679" s="120"/>
      <c r="E679" s="196" t="s">
        <v>3378</v>
      </c>
      <c r="F679" s="215"/>
      <c r="G679" s="65"/>
      <c r="H679" s="216"/>
      <c r="I679" s="216"/>
      <c r="J679" s="130"/>
      <c r="K679" s="130"/>
      <c r="L679" s="58">
        <f t="shared" si="211"/>
        <v>0</v>
      </c>
      <c r="M679" s="58">
        <f t="shared" si="212"/>
        <v>0</v>
      </c>
      <c r="N679" s="58">
        <f t="shared" si="213"/>
        <v>0</v>
      </c>
      <c r="O679" s="58">
        <f t="shared" si="214"/>
        <v>0</v>
      </c>
      <c r="P679" s="215"/>
    </row>
    <row r="680" spans="1:24" s="34" customFormat="1">
      <c r="A680" s="29" t="str">
        <f t="shared" ref="A680:A694" si="218">IF(G680=0,"",1)</f>
        <v/>
      </c>
      <c r="B680" s="234" t="s">
        <v>1728</v>
      </c>
      <c r="C680" s="119"/>
      <c r="D680" s="120"/>
      <c r="E680" s="187" t="str">
        <f>VLOOKUP($B680,dongia1,DG!$C$5,)</f>
        <v>Ximăng</v>
      </c>
      <c r="F680" s="185" t="str">
        <f>VLOOKUP($B680,dongia1,DG!$D$5,)</f>
        <v>kg</v>
      </c>
      <c r="G680" s="238"/>
      <c r="H680" s="121">
        <f>VLOOKUP($B680,dongia1,DG!$F$5,)</f>
        <v>1740</v>
      </c>
      <c r="I680" s="155"/>
      <c r="J680" s="121"/>
      <c r="K680" s="121"/>
      <c r="L680" s="39">
        <f t="shared" ref="L680:O683" si="219">H680*$G680</f>
        <v>0</v>
      </c>
      <c r="M680" s="39">
        <f t="shared" si="219"/>
        <v>0</v>
      </c>
      <c r="N680" s="39">
        <f t="shared" si="219"/>
        <v>0</v>
      </c>
      <c r="O680" s="39">
        <f t="shared" si="219"/>
        <v>0</v>
      </c>
      <c r="P680" s="112"/>
    </row>
    <row r="681" spans="1:24" s="34" customFormat="1">
      <c r="A681" s="29" t="str">
        <f t="shared" si="218"/>
        <v/>
      </c>
      <c r="B681" s="234" t="s">
        <v>1729</v>
      </c>
      <c r="C681" s="119"/>
      <c r="D681" s="120"/>
      <c r="E681" s="187" t="str">
        <f>VLOOKUP($B681,dongia1,DG!$C$5,)</f>
        <v>Cát vàng</v>
      </c>
      <c r="F681" s="185" t="str">
        <f>VLOOKUP($B681,dongia1,DG!$D$5,)</f>
        <v>m3</v>
      </c>
      <c r="G681" s="238"/>
      <c r="H681" s="121">
        <f>VLOOKUP($B681,dongia1,DG!$F$5,)</f>
        <v>512000</v>
      </c>
      <c r="I681" s="155"/>
      <c r="J681" s="121"/>
      <c r="K681" s="121"/>
      <c r="L681" s="39">
        <f t="shared" si="219"/>
        <v>0</v>
      </c>
      <c r="M681" s="39">
        <f t="shared" si="219"/>
        <v>0</v>
      </c>
      <c r="N681" s="39">
        <f t="shared" si="219"/>
        <v>0</v>
      </c>
      <c r="O681" s="39">
        <f t="shared" si="219"/>
        <v>0</v>
      </c>
      <c r="P681" s="112"/>
    </row>
    <row r="682" spans="1:24" s="34" customFormat="1">
      <c r="A682" s="29" t="str">
        <f t="shared" si="218"/>
        <v/>
      </c>
      <c r="B682" s="234" t="s">
        <v>853</v>
      </c>
      <c r="C682" s="119"/>
      <c r="D682" s="120"/>
      <c r="E682" s="151" t="str">
        <f>VLOOKUP($B682,dongia1,DG!$C$5,)</f>
        <v>Đá 1x2</v>
      </c>
      <c r="F682" s="120" t="str">
        <f>VLOOKUP($B682,dongia1,DG!$D$5,)</f>
        <v>m3</v>
      </c>
      <c r="G682" s="238"/>
      <c r="H682" s="121">
        <f>VLOOKUP($B682,dongia1,DG!$F$5,)</f>
        <v>335000</v>
      </c>
      <c r="I682" s="121"/>
      <c r="J682" s="162"/>
      <c r="K682" s="121"/>
      <c r="L682" s="39">
        <f t="shared" si="219"/>
        <v>0</v>
      </c>
      <c r="M682" s="39">
        <f t="shared" si="219"/>
        <v>0</v>
      </c>
      <c r="N682" s="39">
        <f t="shared" si="219"/>
        <v>0</v>
      </c>
      <c r="O682" s="39">
        <f t="shared" si="219"/>
        <v>0</v>
      </c>
      <c r="P682" s="112"/>
    </row>
    <row r="683" spans="1:24" s="34" customFormat="1">
      <c r="A683" s="29" t="str">
        <f t="shared" si="218"/>
        <v/>
      </c>
      <c r="B683" s="234" t="s">
        <v>275</v>
      </c>
      <c r="C683" s="119"/>
      <c r="D683" s="120"/>
      <c r="E683" s="151" t="str">
        <f>VLOOKUP($B683,dongia1,DG!$C$5,)</f>
        <v>Đá 4x6</v>
      </c>
      <c r="F683" s="120" t="str">
        <f>VLOOKUP($B683,dongia1,DG!$D$5,)</f>
        <v>m3</v>
      </c>
      <c r="G683" s="238"/>
      <c r="H683" s="121">
        <f>VLOOKUP($B683,dongia1,DG!$F$5,)</f>
        <v>265000</v>
      </c>
      <c r="I683" s="121"/>
      <c r="J683" s="121"/>
      <c r="K683" s="121"/>
      <c r="L683" s="39">
        <f t="shared" si="219"/>
        <v>0</v>
      </c>
      <c r="M683" s="39">
        <f t="shared" si="219"/>
        <v>0</v>
      </c>
      <c r="N683" s="39">
        <f t="shared" si="219"/>
        <v>0</v>
      </c>
      <c r="O683" s="39">
        <f t="shared" si="219"/>
        <v>0</v>
      </c>
      <c r="P683" s="112"/>
    </row>
    <row r="684" spans="1:24" s="34" customFormat="1">
      <c r="A684" s="29" t="str">
        <f>IF(G684=0,"",1)</f>
        <v/>
      </c>
      <c r="B684" s="234" t="s">
        <v>817</v>
      </c>
      <c r="C684" s="119"/>
      <c r="D684" s="120"/>
      <c r="E684" s="151" t="str">
        <f>VLOOKUP($B684,dongia1,DG!$C$5,)</f>
        <v>Đá 2x4</v>
      </c>
      <c r="F684" s="120" t="str">
        <f>VLOOKUP($B684,dongia1,DG!$D$5,)</f>
        <v>m3</v>
      </c>
      <c r="G684" s="238"/>
      <c r="H684" s="121">
        <f>VLOOKUP($B684,dongia1,DG!$F$5,)</f>
        <v>295000</v>
      </c>
      <c r="I684" s="121"/>
      <c r="J684" s="121"/>
      <c r="K684" s="121"/>
      <c r="L684" s="39">
        <f t="shared" ref="L684:O685" si="220">H684*$G684</f>
        <v>0</v>
      </c>
      <c r="M684" s="39">
        <f t="shared" si="220"/>
        <v>0</v>
      </c>
      <c r="N684" s="39">
        <f t="shared" si="220"/>
        <v>0</v>
      </c>
      <c r="O684" s="39">
        <f t="shared" si="220"/>
        <v>0</v>
      </c>
      <c r="P684" s="112"/>
    </row>
    <row r="685" spans="1:24" s="34" customFormat="1">
      <c r="A685" s="29" t="str">
        <f>IF(G685=0,"",1)</f>
        <v/>
      </c>
      <c r="B685" s="234" t="s">
        <v>1729</v>
      </c>
      <c r="C685" s="119"/>
      <c r="D685" s="120"/>
      <c r="E685" s="187" t="str">
        <f>VLOOKUP($B685,dongia1,DG!$C$5,)&amp;" lấp mương cáp: 0,269m3/m "</f>
        <v xml:space="preserve">Cát vàng lấp mương cáp: 0,269m3/m </v>
      </c>
      <c r="F685" s="185" t="str">
        <f>VLOOKUP($B685,dongia1,DG!$D$5,)</f>
        <v>m3</v>
      </c>
      <c r="G685" s="238"/>
      <c r="H685" s="121">
        <f>VLOOKUP($B685,dongia1,DG!$F$5,)</f>
        <v>512000</v>
      </c>
      <c r="I685" s="155"/>
      <c r="J685" s="121"/>
      <c r="K685" s="121"/>
      <c r="L685" s="39">
        <f t="shared" si="220"/>
        <v>0</v>
      </c>
      <c r="M685" s="39">
        <f t="shared" si="220"/>
        <v>0</v>
      </c>
      <c r="N685" s="39">
        <f t="shared" si="220"/>
        <v>0</v>
      </c>
      <c r="O685" s="39">
        <f t="shared" si="220"/>
        <v>0</v>
      </c>
      <c r="P685" s="112"/>
    </row>
    <row r="686" spans="1:24" s="34" customFormat="1">
      <c r="A686" s="29" t="str">
        <f t="shared" si="218"/>
        <v/>
      </c>
      <c r="B686" s="234" t="s">
        <v>1606</v>
      </c>
      <c r="C686" s="119"/>
      <c r="D686" s="120"/>
      <c r="E686" s="151" t="str">
        <f>VLOOKUP($B686,dongia1,DG!$C$5,)</f>
        <v>Gạch thẻ</v>
      </c>
      <c r="F686" s="120" t="str">
        <f>VLOOKUP($B686,dongia1,DG!$D$5,)</f>
        <v>viên</v>
      </c>
      <c r="G686" s="235"/>
      <c r="H686" s="121">
        <f>VLOOKUP($B686,dongia1,DG!$F$5,)</f>
        <v>500</v>
      </c>
      <c r="I686" s="155"/>
      <c r="J686" s="121"/>
      <c r="K686" s="121"/>
      <c r="L686" s="39">
        <f t="shared" ref="L686:L694" si="221">H686*$G686</f>
        <v>0</v>
      </c>
      <c r="M686" s="39">
        <f t="shared" ref="M686:M694" si="222">I686*$G686</f>
        <v>0</v>
      </c>
      <c r="N686" s="39">
        <f t="shared" ref="N686:N694" si="223">J686*$G686</f>
        <v>0</v>
      </c>
      <c r="O686" s="39">
        <f t="shared" ref="O686:O694" si="224">K686*$G686</f>
        <v>0</v>
      </c>
      <c r="P686" s="112"/>
    </row>
    <row r="687" spans="1:24" s="34" customFormat="1">
      <c r="A687" s="29" t="str">
        <f t="shared" si="218"/>
        <v/>
      </c>
      <c r="B687" s="234" t="s">
        <v>806</v>
      </c>
      <c r="C687" s="119"/>
      <c r="D687" s="120"/>
      <c r="E687" s="151" t="str">
        <f>VLOOKUP($B687,dongia1,DG!$C$5,)</f>
        <v>Gỗ ván khuôn</v>
      </c>
      <c r="F687" s="120" t="str">
        <f>VLOOKUP($B687,dongia1,DG!$D$5,)</f>
        <v>m3</v>
      </c>
      <c r="G687" s="238"/>
      <c r="H687" s="121">
        <f>VLOOKUP($B687,dongia1,DG!$F$5,)</f>
        <v>1818000</v>
      </c>
      <c r="I687" s="155"/>
      <c r="J687" s="121"/>
      <c r="K687" s="121"/>
      <c r="L687" s="39">
        <f t="shared" si="221"/>
        <v>0</v>
      </c>
      <c r="M687" s="39">
        <f t="shared" si="222"/>
        <v>0</v>
      </c>
      <c r="N687" s="39">
        <f t="shared" si="223"/>
        <v>0</v>
      </c>
      <c r="O687" s="39">
        <f t="shared" si="224"/>
        <v>0</v>
      </c>
      <c r="P687" s="112"/>
    </row>
    <row r="688" spans="1:24" s="34" customFormat="1">
      <c r="A688" s="29" t="str">
        <f t="shared" si="218"/>
        <v/>
      </c>
      <c r="B688" s="234" t="s">
        <v>353</v>
      </c>
      <c r="C688" s="119"/>
      <c r="D688" s="120"/>
      <c r="E688" s="151" t="str">
        <f>VLOOKUP($B688,dongia1,DG!$C$5,)</f>
        <v>Dây thép buộc A70</v>
      </c>
      <c r="F688" s="120" t="str">
        <f>VLOOKUP($B688,dongia1,DG!$D$5,)</f>
        <v>kg</v>
      </c>
      <c r="G688" s="238">
        <f>G678*0.1*0</f>
        <v>0</v>
      </c>
      <c r="H688" s="121">
        <f>VLOOKUP($B688,dongia1,DG!$F$5,)</f>
        <v>61100</v>
      </c>
      <c r="I688" s="155"/>
      <c r="J688" s="121"/>
      <c r="K688" s="121"/>
      <c r="L688" s="39">
        <f t="shared" si="221"/>
        <v>0</v>
      </c>
      <c r="M688" s="39">
        <f t="shared" si="222"/>
        <v>0</v>
      </c>
      <c r="N688" s="39">
        <f t="shared" si="223"/>
        <v>0</v>
      </c>
      <c r="O688" s="39">
        <f t="shared" si="224"/>
        <v>0</v>
      </c>
      <c r="P688" s="112"/>
    </row>
    <row r="689" spans="1:24" s="34" customFormat="1" ht="27.6">
      <c r="A689" s="29" t="str">
        <f t="shared" si="218"/>
        <v/>
      </c>
      <c r="B689" s="159" t="s">
        <v>1596</v>
      </c>
      <c r="C689" s="119"/>
      <c r="D689" s="120" t="str">
        <f>VLOOKUP($B689,dongia1,DG!$B$5,)</f>
        <v>07.2104</v>
      </c>
      <c r="E689" s="151" t="str">
        <f>VLOOKUP($B689,dongia1,DG!$C$5,)</f>
        <v>Lắp gạch mương CS (Nhân công đã qui đổi về ĐG chiếu sáng)</v>
      </c>
      <c r="F689" s="120" t="str">
        <f>VLOOKUP($B689,dongia1,DG!$D$5,)</f>
        <v>viên</v>
      </c>
      <c r="G689" s="74">
        <f>G686</f>
        <v>0</v>
      </c>
      <c r="H689" s="121">
        <f>VLOOKUP($B689,dongia1,DG!$F$5,)</f>
        <v>0</v>
      </c>
      <c r="I689" s="179"/>
      <c r="J689" s="121">
        <f>VLOOKUP($B689,dongia1,DG!$G$5,)</f>
        <v>154.69999999999999</v>
      </c>
      <c r="K689" s="121">
        <f>VLOOKUP($B689,dongia1,DG!$H$5,)</f>
        <v>0</v>
      </c>
      <c r="L689" s="39">
        <f t="shared" si="221"/>
        <v>0</v>
      </c>
      <c r="M689" s="62">
        <f t="shared" si="222"/>
        <v>0</v>
      </c>
      <c r="N689" s="39">
        <f t="shared" si="223"/>
        <v>0</v>
      </c>
      <c r="O689" s="39">
        <f t="shared" si="224"/>
        <v>0</v>
      </c>
      <c r="P689" s="161"/>
    </row>
    <row r="690" spans="1:24" s="34" customFormat="1">
      <c r="A690" s="29" t="str">
        <f t="shared" si="218"/>
        <v/>
      </c>
      <c r="B690" s="234" t="s">
        <v>1921</v>
      </c>
      <c r="C690" s="119"/>
      <c r="D690" s="120" t="str">
        <f>VLOOKUP($B690,dongia1,DG!$B$5,)</f>
        <v>CS1.01.160</v>
      </c>
      <c r="E690" s="151" t="str">
        <f>VLOOKUP($B690,dongia1,DG!$C$5,)&amp;": 0,225m3/m"</f>
        <v>Đào đất mương cáp CS: 0,225m3/m</v>
      </c>
      <c r="F690" s="120" t="str">
        <f>VLOOKUP($B690,dongia1,DG!$D$5,)</f>
        <v>m3</v>
      </c>
      <c r="G690" s="255">
        <f>G678*0.225</f>
        <v>0</v>
      </c>
      <c r="H690" s="121">
        <f>VLOOKUP($B690,dongia1,DG!$F$5,)</f>
        <v>0</v>
      </c>
      <c r="I690" s="121"/>
      <c r="J690" s="121">
        <f>VLOOKUP($B690,dongia1,DG!$G$5,)</f>
        <v>67111</v>
      </c>
      <c r="K690" s="121">
        <f>VLOOKUP($B690,dongia1,DG!$H$5,)</f>
        <v>0</v>
      </c>
      <c r="L690" s="39">
        <f t="shared" si="221"/>
        <v>0</v>
      </c>
      <c r="M690" s="39">
        <f t="shared" si="222"/>
        <v>0</v>
      </c>
      <c r="N690" s="39">
        <f t="shared" si="223"/>
        <v>0</v>
      </c>
      <c r="O690" s="39">
        <f t="shared" si="224"/>
        <v>0</v>
      </c>
      <c r="P690" s="112"/>
    </row>
    <row r="691" spans="1:24" s="34" customFormat="1">
      <c r="A691" s="29" t="str">
        <f t="shared" si="218"/>
        <v/>
      </c>
      <c r="B691" s="234" t="s">
        <v>468</v>
      </c>
      <c r="C691" s="119"/>
      <c r="D691" s="120" t="str">
        <f>VLOOKUP($B691,dongia1,DG!$B$5,)</f>
        <v>CS1.02.023</v>
      </c>
      <c r="E691" s="151" t="str">
        <f>VLOOKUP($B691,dongia1,DG!$C$5,)&amp;": 0,09m3/m"</f>
        <v>Đắp đất mương cáp CS đất cấp 3: 0,09m3/m</v>
      </c>
      <c r="F691" s="120" t="str">
        <f>VLOOKUP($B691,dongia1,DG!$D$5,)</f>
        <v>m3</v>
      </c>
      <c r="G691" s="256">
        <f>G678*0.09*0</f>
        <v>0</v>
      </c>
      <c r="H691" s="121">
        <f>VLOOKUP($B691,dongia1,DG!$F$5,)</f>
        <v>0</v>
      </c>
      <c r="I691" s="121"/>
      <c r="J691" s="121">
        <f>VLOOKUP($B691,dongia1,DG!$G$5,)</f>
        <v>14992</v>
      </c>
      <c r="K691" s="121">
        <f>VLOOKUP($B691,dongia1,DG!$H$5,)</f>
        <v>0</v>
      </c>
      <c r="L691" s="39">
        <f t="shared" si="221"/>
        <v>0</v>
      </c>
      <c r="M691" s="39">
        <f t="shared" si="222"/>
        <v>0</v>
      </c>
      <c r="N691" s="39">
        <f t="shared" si="223"/>
        <v>0</v>
      </c>
      <c r="O691" s="39">
        <f t="shared" si="224"/>
        <v>0</v>
      </c>
      <c r="P691" s="112"/>
    </row>
    <row r="692" spans="1:24" s="34" customFormat="1">
      <c r="A692" s="29" t="str">
        <f>IF(G692=0,"",1)</f>
        <v/>
      </c>
      <c r="B692" s="234" t="s">
        <v>470</v>
      </c>
      <c r="C692" s="119"/>
      <c r="D692" s="120" t="str">
        <f>VLOOKUP($B692,dongia1,DG!$B$5,)</f>
        <v>CS1.02.024</v>
      </c>
      <c r="E692" s="151" t="str">
        <f>VLOOKUP($B692,dongia1,DG!$C$5,)&amp;": 0,09m3/m"</f>
        <v>Đắp cát mương cáp CS: 0,09m3/m</v>
      </c>
      <c r="F692" s="120" t="str">
        <f>VLOOKUP($B692,dongia1,DG!$D$5,)</f>
        <v>m3</v>
      </c>
      <c r="G692" s="255">
        <f>G685</f>
        <v>0</v>
      </c>
      <c r="H692" s="121">
        <f>VLOOKUP($B692,dongia1,DG!$F$5,)</f>
        <v>0</v>
      </c>
      <c r="I692" s="121"/>
      <c r="J692" s="121">
        <f>VLOOKUP($B692,dongia1,DG!$G$5,)</f>
        <v>12090</v>
      </c>
      <c r="K692" s="121">
        <f>VLOOKUP($B692,dongia1,DG!$H$5,)</f>
        <v>0</v>
      </c>
      <c r="L692" s="39">
        <f t="shared" si="221"/>
        <v>0</v>
      </c>
      <c r="M692" s="39">
        <f t="shared" si="222"/>
        <v>0</v>
      </c>
      <c r="N692" s="39">
        <f t="shared" si="223"/>
        <v>0</v>
      </c>
      <c r="O692" s="39">
        <f t="shared" si="224"/>
        <v>0</v>
      </c>
      <c r="P692" s="112"/>
    </row>
    <row r="693" spans="1:24" s="34" customFormat="1" ht="27.6">
      <c r="A693" s="29" t="str">
        <f t="shared" si="218"/>
        <v/>
      </c>
      <c r="B693" s="234" t="s">
        <v>70</v>
      </c>
      <c r="C693" s="119"/>
      <c r="D693" s="120" t="str">
        <f>VLOOKUP($B693,dongia1,DG!$B$5,)</f>
        <v>AF.11220</v>
      </c>
      <c r="E693" s="151" t="str">
        <f>VLOOKUP($B693,dongia1,DG!$C$5,)&amp;": 0,035m3/m"</f>
        <v>Đổ bê tông mác M100 đá 4x6 rộng &gt;250cm: 0,035m3/m</v>
      </c>
      <c r="F693" s="120" t="str">
        <f>VLOOKUP($B693,dongia1,DG!$D$5,)</f>
        <v>m3</v>
      </c>
      <c r="G693" s="238">
        <f>G678*0.035*0</f>
        <v>0</v>
      </c>
      <c r="H693" s="121"/>
      <c r="I693" s="121"/>
      <c r="J693" s="121">
        <f>VLOOKUP($B693,dongia1,DG!$F$5,)</f>
        <v>371262</v>
      </c>
      <c r="K693" s="121">
        <f>VLOOKUP($B693,dongia1,DG!$G$5,)</f>
        <v>414064.45</v>
      </c>
      <c r="L693" s="39">
        <f t="shared" si="221"/>
        <v>0</v>
      </c>
      <c r="M693" s="39">
        <f t="shared" si="222"/>
        <v>0</v>
      </c>
      <c r="N693" s="39">
        <f t="shared" si="223"/>
        <v>0</v>
      </c>
      <c r="O693" s="39">
        <f t="shared" si="224"/>
        <v>0</v>
      </c>
      <c r="P693" s="112"/>
      <c r="U693" s="107">
        <f>207*1.025</f>
        <v>212.17499999999998</v>
      </c>
      <c r="V693" s="107">
        <f>1.025*0.502</f>
        <v>0.51454999999999995</v>
      </c>
      <c r="W693" s="107">
        <f>1.025*0.898</f>
        <v>0.92044999999999999</v>
      </c>
      <c r="X693" s="107"/>
    </row>
    <row r="694" spans="1:24" s="34" customFormat="1">
      <c r="A694" s="29" t="str">
        <f t="shared" si="218"/>
        <v/>
      </c>
      <c r="B694" s="159"/>
      <c r="C694" s="257">
        <f>IF(G694&gt;0,C678+1,C678)</f>
        <v>0</v>
      </c>
      <c r="D694" s="242"/>
      <c r="E694" s="206" t="s">
        <v>3855</v>
      </c>
      <c r="F694" s="258" t="s">
        <v>2307</v>
      </c>
      <c r="G694" s="63">
        <f>'BK DEN CS'!F37+'BK DEN CS'!D37</f>
        <v>0</v>
      </c>
      <c r="H694" s="259"/>
      <c r="I694" s="259"/>
      <c r="J694" s="244"/>
      <c r="K694" s="244"/>
      <c r="L694" s="64">
        <f t="shared" si="221"/>
        <v>0</v>
      </c>
      <c r="M694" s="64">
        <f t="shared" si="222"/>
        <v>0</v>
      </c>
      <c r="N694" s="64">
        <f t="shared" si="223"/>
        <v>0</v>
      </c>
      <c r="O694" s="64">
        <f t="shared" si="224"/>
        <v>0</v>
      </c>
      <c r="P694" s="260"/>
    </row>
    <row r="695" spans="1:24" s="34" customFormat="1" ht="14.4">
      <c r="A695" s="29" t="str">
        <f>A694</f>
        <v/>
      </c>
      <c r="B695" s="109"/>
      <c r="C695" s="112"/>
      <c r="D695" s="120"/>
      <c r="E695" s="196" t="s">
        <v>3378</v>
      </c>
      <c r="F695" s="146"/>
      <c r="G695" s="65"/>
      <c r="H695" s="147"/>
      <c r="I695" s="147"/>
      <c r="J695" s="149"/>
      <c r="K695" s="147"/>
      <c r="L695" s="58"/>
      <c r="M695" s="58"/>
      <c r="N695" s="58"/>
      <c r="O695" s="58"/>
      <c r="P695" s="150"/>
    </row>
    <row r="696" spans="1:24" s="34" customFormat="1">
      <c r="A696" s="29" t="str">
        <f t="shared" ref="A696:A709" si="225">IF(G696=0,"",1)</f>
        <v/>
      </c>
      <c r="B696" s="159" t="s">
        <v>1729</v>
      </c>
      <c r="C696" s="119"/>
      <c r="D696" s="120"/>
      <c r="E696" s="151" t="str">
        <f>VLOOKUP($B696,dongia1,DG!$C$5,)&amp;": 0,315m3/m"</f>
        <v>Cát vàng: 0,315m3/m</v>
      </c>
      <c r="F696" s="120" t="str">
        <f>VLOOKUP($B696,dongia1,DG!$D$5,)</f>
        <v>m3</v>
      </c>
      <c r="G696" s="74">
        <f>G694*0.315</f>
        <v>0</v>
      </c>
      <c r="H696" s="121">
        <f>VLOOKUP($B696,dongia1,DG!$F$5,)</f>
        <v>512000</v>
      </c>
      <c r="I696" s="160"/>
      <c r="J696" s="121">
        <f>VLOOKUP($B696,dongia1,DG!$G$5,)</f>
        <v>0</v>
      </c>
      <c r="K696" s="121">
        <f>VLOOKUP($B696,dongia1,DG!$H$5,)</f>
        <v>0</v>
      </c>
      <c r="L696" s="39">
        <f t="shared" ref="L696:L707" si="226">H696*$G696</f>
        <v>0</v>
      </c>
      <c r="M696" s="39">
        <f t="shared" ref="M696:M707" si="227">I696*$G696</f>
        <v>0</v>
      </c>
      <c r="N696" s="39">
        <f t="shared" ref="N696:N707" si="228">J696*$G696</f>
        <v>0</v>
      </c>
      <c r="O696" s="39">
        <f t="shared" ref="O696:O707" si="229">K696*$G696</f>
        <v>0</v>
      </c>
      <c r="P696" s="161"/>
    </row>
    <row r="697" spans="1:24" s="34" customFormat="1">
      <c r="A697" s="29" t="str">
        <f t="shared" si="225"/>
        <v/>
      </c>
      <c r="B697" s="159" t="s">
        <v>817</v>
      </c>
      <c r="C697" s="119"/>
      <c r="D697" s="120"/>
      <c r="E697" s="151" t="str">
        <f>VLOOKUP($B697,dongia1,DG!$C$5,)&amp;": 0,015m3/m"</f>
        <v>Đá 2x4: 0,015m3/m</v>
      </c>
      <c r="F697" s="120" t="str">
        <f>VLOOKUP($B697,dongia1,DG!$D$5,)</f>
        <v>m3</v>
      </c>
      <c r="G697" s="74">
        <f>G694*0.015</f>
        <v>0</v>
      </c>
      <c r="H697" s="121">
        <f>VLOOKUP($B697,dongia1,DG!$F$5,)</f>
        <v>295000</v>
      </c>
      <c r="I697" s="160"/>
      <c r="J697" s="121">
        <f>VLOOKUP($B697,dongia1,DG!$G$5,)</f>
        <v>0</v>
      </c>
      <c r="K697" s="121">
        <f>VLOOKUP($B697,dongia1,DG!$H$5,)</f>
        <v>0</v>
      </c>
      <c r="L697" s="39">
        <f t="shared" si="226"/>
        <v>0</v>
      </c>
      <c r="M697" s="39">
        <f t="shared" si="227"/>
        <v>0</v>
      </c>
      <c r="N697" s="39">
        <f t="shared" si="228"/>
        <v>0</v>
      </c>
      <c r="O697" s="39">
        <f t="shared" si="229"/>
        <v>0</v>
      </c>
      <c r="P697" s="161"/>
    </row>
    <row r="698" spans="1:24" s="34" customFormat="1">
      <c r="A698" s="29" t="str">
        <f t="shared" si="225"/>
        <v/>
      </c>
      <c r="B698" s="159" t="s">
        <v>1731</v>
      </c>
      <c r="C698" s="119"/>
      <c r="D698" s="120"/>
      <c r="E698" s="151" t="str">
        <f>VLOOKUP($B698,dongia1,DG!$C$5,)&amp;": 0,045m3/m"</f>
        <v>Đá 4x6: 0,045m3/m</v>
      </c>
      <c r="F698" s="120" t="str">
        <f>VLOOKUP($B698,dongia1,DG!$D$5,)</f>
        <v>m3</v>
      </c>
      <c r="G698" s="74">
        <f>G694*0.045</f>
        <v>0</v>
      </c>
      <c r="H698" s="121">
        <f>VLOOKUP($B698,dongia1,DG!$F$5,)</f>
        <v>265000</v>
      </c>
      <c r="I698" s="160"/>
      <c r="J698" s="121">
        <f>VLOOKUP($B698,dongia1,DG!$G$5,)</f>
        <v>0</v>
      </c>
      <c r="K698" s="121">
        <f>VLOOKUP($B698,dongia1,DG!$H$5,)</f>
        <v>0</v>
      </c>
      <c r="L698" s="39">
        <f t="shared" si="226"/>
        <v>0</v>
      </c>
      <c r="M698" s="39">
        <f t="shared" si="227"/>
        <v>0</v>
      </c>
      <c r="N698" s="39">
        <f t="shared" si="228"/>
        <v>0</v>
      </c>
      <c r="O698" s="39">
        <f t="shared" si="229"/>
        <v>0</v>
      </c>
      <c r="P698" s="161"/>
    </row>
    <row r="699" spans="1:24" s="34" customFormat="1">
      <c r="A699" s="29" t="str">
        <f t="shared" si="225"/>
        <v/>
      </c>
      <c r="B699" s="159" t="s">
        <v>1875</v>
      </c>
      <c r="C699" s="119"/>
      <c r="D699" s="120"/>
      <c r="E699" s="151" t="str">
        <f>VLOOKUP($B699,dongia1,DG!$C$5,)&amp;": 0,021m3/m"</f>
        <v>Bêtông nhựa nóng hạt thô: 0,021m3/m</v>
      </c>
      <c r="F699" s="120" t="str">
        <f>VLOOKUP($B699,dongia1,DG!$D$5,)</f>
        <v>m3</v>
      </c>
      <c r="G699" s="74">
        <f>G694*0.021</f>
        <v>0</v>
      </c>
      <c r="H699" s="121">
        <f>VLOOKUP($B699,dongia1,DG!$F$5,)</f>
        <v>732002</v>
      </c>
      <c r="I699" s="160"/>
      <c r="J699" s="121">
        <f>VLOOKUP($B699,dongia1,DG!$G$5,)</f>
        <v>0</v>
      </c>
      <c r="K699" s="121">
        <f>VLOOKUP($B699,dongia1,DG!$H$5,)</f>
        <v>0</v>
      </c>
      <c r="L699" s="39">
        <f t="shared" si="226"/>
        <v>0</v>
      </c>
      <c r="M699" s="39">
        <f t="shared" si="227"/>
        <v>0</v>
      </c>
      <c r="N699" s="39">
        <f t="shared" si="228"/>
        <v>0</v>
      </c>
      <c r="O699" s="39">
        <f t="shared" si="229"/>
        <v>0</v>
      </c>
      <c r="P699" s="161"/>
    </row>
    <row r="700" spans="1:24" s="34" customFormat="1">
      <c r="A700" s="29" t="str">
        <f>IF(G700=0,"",1)</f>
        <v/>
      </c>
      <c r="B700" s="159" t="s">
        <v>1814</v>
      </c>
      <c r="C700" s="119"/>
      <c r="D700" s="120"/>
      <c r="E700" s="151" t="str">
        <f>VLOOKUP($B700,dongia1,DG!$C$5,)&amp;": 0,009m3/m"</f>
        <v>Bêtông nhựa nóng hạt mịn: 0,009m3/m</v>
      </c>
      <c r="F700" s="120" t="str">
        <f>VLOOKUP($B700,dongia1,DG!$D$5,)</f>
        <v>m3</v>
      </c>
      <c r="G700" s="74">
        <f>G694*0.009</f>
        <v>0</v>
      </c>
      <c r="H700" s="121">
        <f>VLOOKUP($B700,dongia1,DG!$F$5,)</f>
        <v>742001</v>
      </c>
      <c r="I700" s="160"/>
      <c r="J700" s="121">
        <f>VLOOKUP($B700,dongia1,DG!$G$5,)</f>
        <v>0</v>
      </c>
      <c r="K700" s="121">
        <f>VLOOKUP($B700,dongia1,DG!$H$5,)</f>
        <v>0</v>
      </c>
      <c r="L700" s="39">
        <f>H700*$G700</f>
        <v>0</v>
      </c>
      <c r="M700" s="39">
        <f>I700*$G700</f>
        <v>0</v>
      </c>
      <c r="N700" s="39">
        <f>J700*$G700</f>
        <v>0</v>
      </c>
      <c r="O700" s="39">
        <f>K700*$G700</f>
        <v>0</v>
      </c>
      <c r="P700" s="161"/>
    </row>
    <row r="701" spans="1:24" s="34" customFormat="1">
      <c r="A701" s="29" t="str">
        <f t="shared" si="225"/>
        <v/>
      </c>
      <c r="B701" s="159" t="s">
        <v>1606</v>
      </c>
      <c r="C701" s="119"/>
      <c r="D701" s="120"/>
      <c r="E701" s="151" t="str">
        <f>VLOOKUP($B701,dongia1,DG!$C$5,)&amp;": 10vieân/m"</f>
        <v>Gạch thẻ: 10vieân/m</v>
      </c>
      <c r="F701" s="120" t="str">
        <f>VLOOKUP($B701,dongia1,DG!$D$5,)</f>
        <v>viên</v>
      </c>
      <c r="G701" s="74">
        <f>10*G694</f>
        <v>0</v>
      </c>
      <c r="H701" s="121">
        <f>VLOOKUP($B701,dongia1,DG!$F$5,)</f>
        <v>500</v>
      </c>
      <c r="I701" s="160"/>
      <c r="J701" s="121">
        <f>VLOOKUP($B701,dongia1,DG!$G$5,)</f>
        <v>0</v>
      </c>
      <c r="K701" s="121">
        <f>VLOOKUP($B701,dongia1,DG!$H$5,)</f>
        <v>0</v>
      </c>
      <c r="L701" s="39">
        <f t="shared" si="226"/>
        <v>0</v>
      </c>
      <c r="M701" s="39">
        <f t="shared" si="227"/>
        <v>0</v>
      </c>
      <c r="N701" s="39">
        <f t="shared" si="228"/>
        <v>0</v>
      </c>
      <c r="O701" s="39">
        <f t="shared" si="229"/>
        <v>0</v>
      </c>
      <c r="P701" s="161"/>
    </row>
    <row r="702" spans="1:24" s="34" customFormat="1">
      <c r="A702" s="29" t="str">
        <f t="shared" si="225"/>
        <v/>
      </c>
      <c r="B702" s="159" t="s">
        <v>1496</v>
      </c>
      <c r="C702" s="119"/>
      <c r="D702" s="120"/>
      <c r="E702" s="151" t="str">
        <f>VLOOKUP($B702,dongia1,DG!$C$5,)&amp;": 0,3m2/m"</f>
        <v>Tấm nilông màu cảnh báo: 0,3m2/m</v>
      </c>
      <c r="F702" s="120" t="str">
        <f>VLOOKUP($B702,dongia1,DG!$D$5,)</f>
        <v>m2</v>
      </c>
      <c r="G702" s="74">
        <f>0.3*G694</f>
        <v>0</v>
      </c>
      <c r="H702" s="121">
        <f>VLOOKUP($B702,dongia1,DG!$F$5,)</f>
        <v>10000</v>
      </c>
      <c r="I702" s="160"/>
      <c r="J702" s="121">
        <f>VLOOKUP($B702,dongia1,DG!$G$5,)</f>
        <v>1187.155</v>
      </c>
      <c r="K702" s="121">
        <f>VLOOKUP($B702,dongia1,DG!$H$5,)</f>
        <v>0</v>
      </c>
      <c r="L702" s="39">
        <f t="shared" si="226"/>
        <v>0</v>
      </c>
      <c r="M702" s="39">
        <f t="shared" si="227"/>
        <v>0</v>
      </c>
      <c r="N702" s="39">
        <f t="shared" si="228"/>
        <v>0</v>
      </c>
      <c r="O702" s="39">
        <f t="shared" si="229"/>
        <v>0</v>
      </c>
      <c r="P702" s="161"/>
    </row>
    <row r="703" spans="1:24" s="34" customFormat="1" ht="27.6">
      <c r="A703" s="29" t="str">
        <f t="shared" si="225"/>
        <v/>
      </c>
      <c r="B703" s="159" t="s">
        <v>1596</v>
      </c>
      <c r="C703" s="119"/>
      <c r="D703" s="120" t="str">
        <f>VLOOKUP($B703,dongia1,DG!$B$5,)</f>
        <v>07.2104</v>
      </c>
      <c r="E703" s="151" t="str">
        <f>VLOOKUP($B703,dongia1,DG!$C$5,)</f>
        <v>Lắp gạch mương CS (Nhân công đã qui đổi về ĐG chiếu sáng)</v>
      </c>
      <c r="F703" s="120" t="str">
        <f>VLOOKUP($B703,dongia1,DG!$D$5,)</f>
        <v>viên</v>
      </c>
      <c r="G703" s="74">
        <f>G701</f>
        <v>0</v>
      </c>
      <c r="H703" s="121">
        <f>VLOOKUP($B703,dongia1,DG!$F$5,)</f>
        <v>0</v>
      </c>
      <c r="I703" s="179"/>
      <c r="J703" s="121">
        <f>VLOOKUP($B703,dongia1,DG!$G$5,)</f>
        <v>154.69999999999999</v>
      </c>
      <c r="K703" s="121">
        <f>VLOOKUP($B703,dongia1,DG!$H$5,)</f>
        <v>0</v>
      </c>
      <c r="L703" s="39">
        <f t="shared" si="226"/>
        <v>0</v>
      </c>
      <c r="M703" s="62">
        <f t="shared" si="227"/>
        <v>0</v>
      </c>
      <c r="N703" s="39">
        <f t="shared" si="228"/>
        <v>0</v>
      </c>
      <c r="O703" s="39">
        <f t="shared" si="229"/>
        <v>0</v>
      </c>
      <c r="P703" s="161"/>
    </row>
    <row r="704" spans="1:24" s="34" customFormat="1">
      <c r="A704" s="29" t="str">
        <f t="shared" si="225"/>
        <v/>
      </c>
      <c r="B704" s="159" t="s">
        <v>569</v>
      </c>
      <c r="C704" s="119"/>
      <c r="D704" s="120" t="str">
        <f>VLOOKUP($B704,dongia1,DG!$B$5,)</f>
        <v>AA.21431</v>
      </c>
      <c r="E704" s="151" t="str">
        <f>VLOOKUP($B704,dongia1,DG!$C$5,)&amp;": 0,3m2/m"</f>
        <v>Pha mặt đường đá dăm, nhựa, bê tông: 0,3m2/m</v>
      </c>
      <c r="F704" s="120" t="str">
        <f>VLOOKUP($B704,dongia1,DG!$D$5,)</f>
        <v>m3</v>
      </c>
      <c r="G704" s="74">
        <f>G694*0.3</f>
        <v>0</v>
      </c>
      <c r="H704" s="121"/>
      <c r="I704" s="160"/>
      <c r="J704" s="121">
        <f>VLOOKUP($B704,dongia1,DG!$G$5,)</f>
        <v>0</v>
      </c>
      <c r="K704" s="121">
        <f>VLOOKUP($B704,dongia1,DG!$H$5,)</f>
        <v>0</v>
      </c>
      <c r="L704" s="39">
        <f t="shared" si="226"/>
        <v>0</v>
      </c>
      <c r="M704" s="39">
        <f t="shared" si="227"/>
        <v>0</v>
      </c>
      <c r="N704" s="39">
        <f t="shared" si="228"/>
        <v>0</v>
      </c>
      <c r="O704" s="39">
        <f t="shared" si="229"/>
        <v>0</v>
      </c>
      <c r="P704" s="161"/>
    </row>
    <row r="705" spans="1:16" s="34" customFormat="1">
      <c r="A705" s="29" t="str">
        <f t="shared" si="225"/>
        <v/>
      </c>
      <c r="B705" s="159" t="s">
        <v>470</v>
      </c>
      <c r="C705" s="119"/>
      <c r="D705" s="120" t="str">
        <f>VLOOKUP($B705,dongia1,DG!$B$5,)</f>
        <v>CS1.02.024</v>
      </c>
      <c r="E705" s="187" t="str">
        <f>VLOOKUP($B705,dongia1,DG!$C$5,)&amp;" + đắp đá"</f>
        <v>Đắp cát mương cáp CS + đắp đá</v>
      </c>
      <c r="F705" s="120" t="str">
        <f>VLOOKUP($B705,dongia1,DG!$D$5,)</f>
        <v>m3</v>
      </c>
      <c r="G705" s="74">
        <f>G696+G697+G698</f>
        <v>0</v>
      </c>
      <c r="H705" s="121"/>
      <c r="I705" s="160"/>
      <c r="J705" s="121">
        <f>VLOOKUP($B705,dongia1,DG!$G$5,)</f>
        <v>12090</v>
      </c>
      <c r="K705" s="121">
        <f>VLOOKUP($B705,dongia1,DG!$H$5,)</f>
        <v>0</v>
      </c>
      <c r="L705" s="39">
        <f t="shared" si="226"/>
        <v>0</v>
      </c>
      <c r="M705" s="39">
        <f t="shared" si="227"/>
        <v>0</v>
      </c>
      <c r="N705" s="39">
        <f t="shared" si="228"/>
        <v>0</v>
      </c>
      <c r="O705" s="39">
        <f t="shared" si="229"/>
        <v>0</v>
      </c>
      <c r="P705" s="161"/>
    </row>
    <row r="706" spans="1:16" s="34" customFormat="1">
      <c r="A706" s="29" t="str">
        <f t="shared" si="225"/>
        <v/>
      </c>
      <c r="B706" s="234" t="s">
        <v>1921</v>
      </c>
      <c r="C706" s="119"/>
      <c r="D706" s="120" t="str">
        <f>VLOOKUP($B706,dongia1,DG!$B$5,)</f>
        <v>CS1.01.160</v>
      </c>
      <c r="E706" s="187" t="str">
        <f>VLOOKUP($B706,dongia1,DG!$C$5,)&amp;" : 0,3m3/m"</f>
        <v>Đào đất mương cáp CS : 0,3m3/m</v>
      </c>
      <c r="F706" s="120" t="str">
        <f>VLOOKUP($B706,dongia1,DG!$D$5,)</f>
        <v>m3</v>
      </c>
      <c r="G706" s="74">
        <f>0.3*G694</f>
        <v>0</v>
      </c>
      <c r="H706" s="121"/>
      <c r="I706" s="160"/>
      <c r="J706" s="121">
        <f>VLOOKUP($B706,dongia1,DG!$G$5,)</f>
        <v>67111</v>
      </c>
      <c r="K706" s="121">
        <f>VLOOKUP($B706,dongia1,DG!$H$5,)</f>
        <v>0</v>
      </c>
      <c r="L706" s="39">
        <f t="shared" si="226"/>
        <v>0</v>
      </c>
      <c r="M706" s="39">
        <f t="shared" si="227"/>
        <v>0</v>
      </c>
      <c r="N706" s="39">
        <f t="shared" si="228"/>
        <v>0</v>
      </c>
      <c r="O706" s="39">
        <f t="shared" si="229"/>
        <v>0</v>
      </c>
      <c r="P706" s="161"/>
    </row>
    <row r="707" spans="1:16" s="34" customFormat="1">
      <c r="A707" s="29" t="str">
        <f t="shared" si="225"/>
        <v/>
      </c>
      <c r="B707" s="159" t="s">
        <v>568</v>
      </c>
      <c r="C707" s="119"/>
      <c r="D707" s="120" t="str">
        <f>VLOOKUP($B707,dongia1,DG!$B$5,)</f>
        <v>ED.2005</v>
      </c>
      <c r="E707" s="151" t="str">
        <f>VLOOKUP($B707,dongia1,DG!$C$5,)</f>
        <v>Tái lập bêtông nhựa nóng hạt thô 7mm</v>
      </c>
      <c r="F707" s="120" t="str">
        <f>VLOOKUP($B707,dongia1,DG!$D$5,)</f>
        <v>m2</v>
      </c>
      <c r="G707" s="74">
        <f>G699/0.3</f>
        <v>0</v>
      </c>
      <c r="H707" s="121"/>
      <c r="I707" s="160"/>
      <c r="J707" s="121">
        <f>VLOOKUP($B707,dongia1,DG!$G$5,)</f>
        <v>338</v>
      </c>
      <c r="K707" s="121">
        <f>VLOOKUP($B707,dongia1,DG!$H$5,)</f>
        <v>1269</v>
      </c>
      <c r="L707" s="39">
        <f t="shared" si="226"/>
        <v>0</v>
      </c>
      <c r="M707" s="39">
        <f t="shared" si="227"/>
        <v>0</v>
      </c>
      <c r="N707" s="39">
        <f t="shared" si="228"/>
        <v>0</v>
      </c>
      <c r="O707" s="39">
        <f t="shared" si="229"/>
        <v>0</v>
      </c>
      <c r="P707" s="161"/>
    </row>
    <row r="708" spans="1:16" s="34" customFormat="1">
      <c r="A708" s="29" t="str">
        <f>IF(G708=0,"",1)</f>
        <v/>
      </c>
      <c r="B708" s="159" t="s">
        <v>1035</v>
      </c>
      <c r="C708" s="119"/>
      <c r="D708" s="120" t="str">
        <f>VLOOKUP($B708,dongia1,DG!$B$5,)</f>
        <v>ED.3001</v>
      </c>
      <c r="E708" s="151" t="str">
        <f>VLOOKUP($B708,dongia1,DG!$C$5,)</f>
        <v>Tái lập bêtông nhựa nóng hạt mịn 3mm</v>
      </c>
      <c r="F708" s="120" t="str">
        <f>VLOOKUP($B708,dongia1,DG!$D$5,)</f>
        <v>m2</v>
      </c>
      <c r="G708" s="74">
        <f>G700/0.3</f>
        <v>0</v>
      </c>
      <c r="H708" s="121"/>
      <c r="I708" s="160"/>
      <c r="J708" s="121">
        <f>VLOOKUP($B708,dongia1,DG!$G$5,)</f>
        <v>151</v>
      </c>
      <c r="K708" s="121">
        <f>VLOOKUP($B708,dongia1,DG!$H$5,)</f>
        <v>855</v>
      </c>
      <c r="L708" s="39">
        <f t="shared" ref="L708:O710" si="230">H708*$G708</f>
        <v>0</v>
      </c>
      <c r="M708" s="39">
        <f t="shared" si="230"/>
        <v>0</v>
      </c>
      <c r="N708" s="39">
        <f t="shared" si="230"/>
        <v>0</v>
      </c>
      <c r="O708" s="39">
        <f t="shared" si="230"/>
        <v>0</v>
      </c>
      <c r="P708" s="161"/>
    </row>
    <row r="709" spans="1:16" s="34" customFormat="1">
      <c r="A709" s="29" t="str">
        <f t="shared" si="225"/>
        <v/>
      </c>
      <c r="B709" s="109"/>
      <c r="C709" s="241">
        <f>IF(G709&gt;0,C694+1,C694)</f>
        <v>0</v>
      </c>
      <c r="D709" s="242"/>
      <c r="E709" s="206" t="s">
        <v>3856</v>
      </c>
      <c r="F709" s="241" t="s">
        <v>3391</v>
      </c>
      <c r="G709" s="67">
        <f>'BK DEN CS'!Z37+'BK DEN CS'!Y37</f>
        <v>0</v>
      </c>
      <c r="H709" s="243"/>
      <c r="I709" s="243"/>
      <c r="J709" s="244"/>
      <c r="K709" s="244"/>
      <c r="L709" s="64">
        <f t="shared" si="230"/>
        <v>0</v>
      </c>
      <c r="M709" s="64">
        <f t="shared" si="230"/>
        <v>0</v>
      </c>
      <c r="N709" s="64">
        <f t="shared" si="230"/>
        <v>0</v>
      </c>
      <c r="O709" s="64">
        <f t="shared" si="230"/>
        <v>0</v>
      </c>
      <c r="P709" s="245"/>
    </row>
    <row r="710" spans="1:16" s="34" customFormat="1" ht="14.4">
      <c r="A710" s="29" t="str">
        <f>A709</f>
        <v/>
      </c>
      <c r="B710" s="109"/>
      <c r="C710" s="178"/>
      <c r="D710" s="120"/>
      <c r="E710" s="196" t="s">
        <v>3378</v>
      </c>
      <c r="F710" s="215"/>
      <c r="G710" s="65"/>
      <c r="H710" s="216"/>
      <c r="I710" s="216"/>
      <c r="J710" s="130"/>
      <c r="K710" s="130"/>
      <c r="L710" s="58">
        <f t="shared" si="230"/>
        <v>0</v>
      </c>
      <c r="M710" s="58">
        <f t="shared" si="230"/>
        <v>0</v>
      </c>
      <c r="N710" s="58">
        <f t="shared" si="230"/>
        <v>0</v>
      </c>
      <c r="O710" s="58">
        <f t="shared" si="230"/>
        <v>0</v>
      </c>
      <c r="P710" s="215"/>
    </row>
    <row r="711" spans="1:16" s="34" customFormat="1">
      <c r="A711" s="29" t="str">
        <f t="shared" ref="A711:A722" si="231">IF(G711=0,"",1)</f>
        <v/>
      </c>
      <c r="B711" s="234" t="s">
        <v>1728</v>
      </c>
      <c r="C711" s="119"/>
      <c r="D711" s="120"/>
      <c r="E711" s="187" t="str">
        <f>VLOOKUP($B711,dongia1,DG!$C$5,)</f>
        <v>Ximăng</v>
      </c>
      <c r="F711" s="185" t="str">
        <f>VLOOKUP($B711,dongia1,DG!$D$5,)</f>
        <v>kg</v>
      </c>
      <c r="G711" s="238">
        <f>G721*U721+G722*U722</f>
        <v>0</v>
      </c>
      <c r="H711" s="121">
        <f>VLOOKUP($B711,dongia1,DG!$F$5,)</f>
        <v>1740</v>
      </c>
      <c r="I711" s="155"/>
      <c r="J711" s="121"/>
      <c r="K711" s="121"/>
      <c r="L711" s="39">
        <f t="shared" ref="L711:L722" si="232">H711*$G711</f>
        <v>0</v>
      </c>
      <c r="M711" s="39">
        <f t="shared" ref="M711:M722" si="233">I711*$G711</f>
        <v>0</v>
      </c>
      <c r="N711" s="39">
        <f t="shared" ref="N711:N722" si="234">J711*$G711</f>
        <v>0</v>
      </c>
      <c r="O711" s="39">
        <f t="shared" ref="O711:O722" si="235">K711*$G711</f>
        <v>0</v>
      </c>
      <c r="P711" s="112"/>
    </row>
    <row r="712" spans="1:16" s="34" customFormat="1">
      <c r="A712" s="29" t="str">
        <f t="shared" si="231"/>
        <v/>
      </c>
      <c r="B712" s="234" t="s">
        <v>1729</v>
      </c>
      <c r="C712" s="119"/>
      <c r="D712" s="120"/>
      <c r="E712" s="187" t="str">
        <f>VLOOKUP($B712,dongia1,DG!$C$5,)</f>
        <v>Cát vàng</v>
      </c>
      <c r="F712" s="185" t="str">
        <f>VLOOKUP($B712,dongia1,DG!$D$5,)</f>
        <v>m3</v>
      </c>
      <c r="G712" s="236">
        <f>G721*V721+G722*V722</f>
        <v>0</v>
      </c>
      <c r="H712" s="121">
        <f>VLOOKUP($B712,dongia1,DG!$F$5,)</f>
        <v>512000</v>
      </c>
      <c r="I712" s="155"/>
      <c r="J712" s="121"/>
      <c r="K712" s="121"/>
      <c r="L712" s="39">
        <f t="shared" si="232"/>
        <v>0</v>
      </c>
      <c r="M712" s="39">
        <f t="shared" si="233"/>
        <v>0</v>
      </c>
      <c r="N712" s="39">
        <f t="shared" si="234"/>
        <v>0</v>
      </c>
      <c r="O712" s="39">
        <f t="shared" si="235"/>
        <v>0</v>
      </c>
      <c r="P712" s="112"/>
    </row>
    <row r="713" spans="1:16" s="34" customFormat="1">
      <c r="A713" s="29" t="str">
        <f t="shared" si="231"/>
        <v/>
      </c>
      <c r="B713" s="234" t="s">
        <v>853</v>
      </c>
      <c r="C713" s="119"/>
      <c r="D713" s="120"/>
      <c r="E713" s="151" t="str">
        <f>VLOOKUP($B713,dongia1,DG!$C$5,)</f>
        <v>Đá 1x2</v>
      </c>
      <c r="F713" s="120" t="str">
        <f>VLOOKUP($B713,dongia1,DG!$D$5,)</f>
        <v>m3</v>
      </c>
      <c r="G713" s="236">
        <f>G722*W722</f>
        <v>0</v>
      </c>
      <c r="H713" s="121">
        <f>VLOOKUP($B713,dongia1,DG!$F$5,)</f>
        <v>335000</v>
      </c>
      <c r="I713" s="121"/>
      <c r="J713" s="121"/>
      <c r="K713" s="121"/>
      <c r="L713" s="39">
        <f t="shared" si="232"/>
        <v>0</v>
      </c>
      <c r="M713" s="39">
        <f t="shared" si="233"/>
        <v>0</v>
      </c>
      <c r="N713" s="39">
        <f t="shared" si="234"/>
        <v>0</v>
      </c>
      <c r="O713" s="39">
        <f t="shared" si="235"/>
        <v>0</v>
      </c>
      <c r="P713" s="112"/>
    </row>
    <row r="714" spans="1:16" s="34" customFormat="1">
      <c r="A714" s="29" t="str">
        <f t="shared" si="231"/>
        <v/>
      </c>
      <c r="B714" s="234" t="s">
        <v>275</v>
      </c>
      <c r="C714" s="119"/>
      <c r="D714" s="120"/>
      <c r="E714" s="151" t="str">
        <f>VLOOKUP($B714,dongia1,DG!$C$5,)</f>
        <v>Đá 4x6</v>
      </c>
      <c r="F714" s="120" t="str">
        <f>VLOOKUP($B714,dongia1,DG!$D$5,)</f>
        <v>m3</v>
      </c>
      <c r="G714" s="236">
        <f>G721*W721</f>
        <v>0</v>
      </c>
      <c r="H714" s="121">
        <f>VLOOKUP($B714,dongia1,DG!$F$5,)</f>
        <v>265000</v>
      </c>
      <c r="I714" s="121"/>
      <c r="J714" s="121"/>
      <c r="K714" s="121"/>
      <c r="L714" s="39">
        <f t="shared" si="232"/>
        <v>0</v>
      </c>
      <c r="M714" s="39">
        <f t="shared" si="233"/>
        <v>0</v>
      </c>
      <c r="N714" s="39">
        <f t="shared" si="234"/>
        <v>0</v>
      </c>
      <c r="O714" s="39">
        <f t="shared" si="235"/>
        <v>0</v>
      </c>
      <c r="P714" s="112"/>
    </row>
    <row r="715" spans="1:16" s="34" customFormat="1">
      <c r="A715" s="29" t="str">
        <f>IF(G715=0,"",1)</f>
        <v/>
      </c>
      <c r="B715" s="234" t="s">
        <v>578</v>
      </c>
      <c r="C715" s="119"/>
      <c r="D715" s="120"/>
      <c r="E715" s="151" t="str">
        <f>VLOOKUP($B715,dongia1,DG!$C$5,)</f>
        <v>Sắt   Þ24</v>
      </c>
      <c r="F715" s="120" t="str">
        <f>VLOOKUP($B715,dongia1,DG!$D$5,)</f>
        <v>kg</v>
      </c>
      <c r="G715" s="261">
        <f>G709*3.549*1.16*4</f>
        <v>0</v>
      </c>
      <c r="H715" s="121">
        <f>VLOOKUP($B715,dongia1,DG!$F$5,)</f>
        <v>13200</v>
      </c>
      <c r="I715" s="155"/>
      <c r="J715" s="121"/>
      <c r="K715" s="121"/>
      <c r="L715" s="39">
        <f>H715*$G715</f>
        <v>0</v>
      </c>
      <c r="M715" s="39">
        <f>I715*$G715</f>
        <v>0</v>
      </c>
      <c r="N715" s="39">
        <f>J715*$G715</f>
        <v>0</v>
      </c>
      <c r="O715" s="39">
        <f>K715*$G715</f>
        <v>0</v>
      </c>
      <c r="P715" s="112"/>
    </row>
    <row r="716" spans="1:16" s="34" customFormat="1">
      <c r="A716" s="29" t="str">
        <f t="shared" si="231"/>
        <v/>
      </c>
      <c r="B716" s="234" t="s">
        <v>62</v>
      </c>
      <c r="C716" s="119"/>
      <c r="D716" s="120"/>
      <c r="E716" s="151" t="str">
        <f>VLOOKUP($B716,dongia1,DG!$C$5,)</f>
        <v>Sắt   Þ10</v>
      </c>
      <c r="F716" s="120" t="str">
        <f>VLOOKUP($B716,dongia1,DG!$D$5,)</f>
        <v>kg</v>
      </c>
      <c r="G716" s="261">
        <f>G709*1.3*0.616*5</f>
        <v>0</v>
      </c>
      <c r="H716" s="121">
        <f>VLOOKUP($B716,dongia1,DG!$F$5,)</f>
        <v>13300</v>
      </c>
      <c r="I716" s="155"/>
      <c r="J716" s="121"/>
      <c r="K716" s="121"/>
      <c r="L716" s="39">
        <f t="shared" si="232"/>
        <v>0</v>
      </c>
      <c r="M716" s="39">
        <f t="shared" si="233"/>
        <v>0</v>
      </c>
      <c r="N716" s="39">
        <f t="shared" si="234"/>
        <v>0</v>
      </c>
      <c r="O716" s="39">
        <f t="shared" si="235"/>
        <v>0</v>
      </c>
      <c r="P716" s="112"/>
    </row>
    <row r="717" spans="1:16" s="34" customFormat="1">
      <c r="A717" s="29" t="str">
        <f t="shared" si="231"/>
        <v/>
      </c>
      <c r="B717" s="234" t="s">
        <v>806</v>
      </c>
      <c r="C717" s="119"/>
      <c r="D717" s="120"/>
      <c r="E717" s="151" t="str">
        <f>VLOOKUP($B717,dongia1,DG!$C$5,)</f>
        <v>Gỗ ván khuôn</v>
      </c>
      <c r="F717" s="120" t="str">
        <f>VLOOKUP($B717,dongia1,DG!$D$5,)</f>
        <v>m3</v>
      </c>
      <c r="G717" s="237">
        <f>X722*G722</f>
        <v>0</v>
      </c>
      <c r="H717" s="121">
        <f>VLOOKUP($B717,dongia1,DG!$F$5,)</f>
        <v>1818000</v>
      </c>
      <c r="I717" s="155"/>
      <c r="J717" s="121"/>
      <c r="K717" s="121"/>
      <c r="L717" s="39">
        <f t="shared" si="232"/>
        <v>0</v>
      </c>
      <c r="M717" s="39">
        <f t="shared" si="233"/>
        <v>0</v>
      </c>
      <c r="N717" s="39">
        <f t="shared" si="234"/>
        <v>0</v>
      </c>
      <c r="O717" s="39">
        <f t="shared" si="235"/>
        <v>0</v>
      </c>
      <c r="P717" s="112"/>
    </row>
    <row r="718" spans="1:16" s="34" customFormat="1">
      <c r="A718" s="29" t="str">
        <f t="shared" si="231"/>
        <v/>
      </c>
      <c r="B718" s="234" t="s">
        <v>353</v>
      </c>
      <c r="C718" s="119"/>
      <c r="D718" s="120"/>
      <c r="E718" s="151" t="str">
        <f>VLOOKUP($B718,dongia1,DG!$C$5,)&amp;": 0,2kg/móng"</f>
        <v>Dây thép buộc A70: 0,2kg/móng</v>
      </c>
      <c r="F718" s="120" t="str">
        <f>VLOOKUP($B718,dongia1,DG!$D$5,)</f>
        <v>kg</v>
      </c>
      <c r="G718" s="238">
        <f>G709*0.2</f>
        <v>0</v>
      </c>
      <c r="H718" s="121">
        <f>VLOOKUP($B718,dongia1,DG!$F$5,)</f>
        <v>61100</v>
      </c>
      <c r="I718" s="155"/>
      <c r="J718" s="121"/>
      <c r="K718" s="121"/>
      <c r="L718" s="39">
        <f t="shared" si="232"/>
        <v>0</v>
      </c>
      <c r="M718" s="39">
        <f t="shared" si="233"/>
        <v>0</v>
      </c>
      <c r="N718" s="39">
        <f t="shared" si="234"/>
        <v>0</v>
      </c>
      <c r="O718" s="39">
        <f t="shared" si="235"/>
        <v>0</v>
      </c>
      <c r="P718" s="112"/>
    </row>
    <row r="719" spans="1:16" s="34" customFormat="1">
      <c r="A719" s="29" t="str">
        <f t="shared" si="231"/>
        <v/>
      </c>
      <c r="B719" s="234" t="s">
        <v>1920</v>
      </c>
      <c r="C719" s="119"/>
      <c r="D719" s="120" t="str">
        <f>VLOOKUP($B719,dongia1,DG!$B$5,)</f>
        <v>CS1.01.150</v>
      </c>
      <c r="E719" s="151" t="str">
        <f>VLOOKUP($B719,dongia1,DG!$C$5,)</f>
        <v>Đào móng trụ CS sâu &gt;1m trên vỉa hè</v>
      </c>
      <c r="F719" s="120" t="str">
        <f>VLOOKUP($B719,dongia1,DG!$D$5,)</f>
        <v>m3</v>
      </c>
      <c r="G719" s="239">
        <f>G709*0.528</f>
        <v>0</v>
      </c>
      <c r="H719" s="121">
        <f>VLOOKUP($B719,dongia1,DG!$F$5,)</f>
        <v>0</v>
      </c>
      <c r="I719" s="121"/>
      <c r="J719" s="121">
        <f>VLOOKUP($B719,dongia1,DG!$G$5,)</f>
        <v>74568</v>
      </c>
      <c r="K719" s="121">
        <f>VLOOKUP($B719,dongia1,DG!$H$5,)</f>
        <v>0</v>
      </c>
      <c r="L719" s="39">
        <f t="shared" si="232"/>
        <v>0</v>
      </c>
      <c r="M719" s="39">
        <f t="shared" si="233"/>
        <v>0</v>
      </c>
      <c r="N719" s="39">
        <f t="shared" si="234"/>
        <v>0</v>
      </c>
      <c r="O719" s="39">
        <f t="shared" si="235"/>
        <v>0</v>
      </c>
      <c r="P719" s="112"/>
    </row>
    <row r="720" spans="1:16" s="34" customFormat="1">
      <c r="A720" s="29" t="str">
        <f t="shared" si="231"/>
        <v/>
      </c>
      <c r="B720" s="234" t="s">
        <v>1583</v>
      </c>
      <c r="C720" s="119"/>
      <c r="D720" s="120" t="str">
        <f>VLOOKUP($B720,dongia1,DG!$B$5,)</f>
        <v>CS1.02.013</v>
      </c>
      <c r="E720" s="151" t="str">
        <f>VLOOKUP($B720,dongia1,DG!$C$5,)</f>
        <v>Đắp đất móng trụ CS, đất cấp 3</v>
      </c>
      <c r="F720" s="120" t="str">
        <f>VLOOKUP($B720,dongia1,DG!$D$5,)</f>
        <v>m3</v>
      </c>
      <c r="G720" s="239">
        <f>G709*0.132</f>
        <v>0</v>
      </c>
      <c r="H720" s="121">
        <f>VLOOKUP($B720,dongia1,DG!$F$5,)</f>
        <v>0</v>
      </c>
      <c r="I720" s="121"/>
      <c r="J720" s="121">
        <f>VLOOKUP($B720,dongia1,DG!$G$5,)</f>
        <v>16201</v>
      </c>
      <c r="K720" s="121">
        <f>VLOOKUP($B720,dongia1,DG!$H$5,)</f>
        <v>0</v>
      </c>
      <c r="L720" s="39">
        <f t="shared" si="232"/>
        <v>0</v>
      </c>
      <c r="M720" s="39">
        <f t="shared" si="233"/>
        <v>0</v>
      </c>
      <c r="N720" s="39">
        <f t="shared" si="234"/>
        <v>0</v>
      </c>
      <c r="O720" s="39">
        <f t="shared" si="235"/>
        <v>0</v>
      </c>
      <c r="P720" s="112"/>
    </row>
    <row r="721" spans="1:24" s="34" customFormat="1" ht="27.6">
      <c r="A721" s="29" t="str">
        <f t="shared" si="231"/>
        <v/>
      </c>
      <c r="B721" s="234" t="s">
        <v>70</v>
      </c>
      <c r="C721" s="119"/>
      <c r="D721" s="120" t="str">
        <f>VLOOKUP($B721,dongia1,DG!$B$5,)</f>
        <v>AF.11220</v>
      </c>
      <c r="E721" s="151" t="str">
        <f>VLOOKUP($B721,dongia1,DG!$C$5,)&amp;": 0,036m3/móng"</f>
        <v>Đổ bê tông mác M100 đá 4x6 rộng &gt;250cm: 0,036m3/móng</v>
      </c>
      <c r="F721" s="120" t="str">
        <f>VLOOKUP($B721,dongia1,DG!$D$5,)</f>
        <v>m3</v>
      </c>
      <c r="G721" s="236">
        <f>G709*0.036</f>
        <v>0</v>
      </c>
      <c r="H721" s="121"/>
      <c r="I721" s="121"/>
      <c r="J721" s="121">
        <f>VLOOKUP($B721,dongia1,DG!$F$5,)</f>
        <v>371262</v>
      </c>
      <c r="K721" s="121">
        <f>VLOOKUP($B721,dongia1,DG!$G$5,)</f>
        <v>414064.45</v>
      </c>
      <c r="L721" s="39">
        <f t="shared" si="232"/>
        <v>0</v>
      </c>
      <c r="M721" s="39">
        <f t="shared" si="233"/>
        <v>0</v>
      </c>
      <c r="N721" s="39">
        <f t="shared" si="234"/>
        <v>0</v>
      </c>
      <c r="O721" s="39">
        <f t="shared" si="235"/>
        <v>0</v>
      </c>
      <c r="P721" s="112"/>
      <c r="U721" s="107">
        <f>207*1.025</f>
        <v>212.17499999999998</v>
      </c>
      <c r="V721" s="107">
        <f>1.025*0.502</f>
        <v>0.51454999999999995</v>
      </c>
      <c r="W721" s="107">
        <f>1.025*0.898</f>
        <v>0.92044999999999999</v>
      </c>
      <c r="X721" s="107"/>
    </row>
    <row r="722" spans="1:24" s="34" customFormat="1" ht="27.6">
      <c r="A722" s="29" t="str">
        <f t="shared" si="231"/>
        <v/>
      </c>
      <c r="B722" s="234" t="s">
        <v>2066</v>
      </c>
      <c r="C722" s="132"/>
      <c r="D722" s="221" t="str">
        <f>VLOOKUP($B722,dongia1,DG!$B$5,)</f>
        <v>AF.11220</v>
      </c>
      <c r="E722" s="151" t="str">
        <f>VLOOKUP($B722,dongia1,DG!$C$5,)&amp;": 0,396m3/móng"</f>
        <v>Đổ bê tông mác M200 đá 1x 2rộng &gt;250cm: 0,396m3/móng</v>
      </c>
      <c r="F722" s="120" t="str">
        <f>VLOOKUP($B722,dongia1,DG!$D$5,)</f>
        <v>m3</v>
      </c>
      <c r="G722" s="236">
        <f>G709*0.396</f>
        <v>0</v>
      </c>
      <c r="H722" s="121"/>
      <c r="I722" s="121"/>
      <c r="J722" s="121">
        <f>VLOOKUP($B722,dongia1,DG!$F$5,)</f>
        <v>920580</v>
      </c>
      <c r="K722" s="121">
        <f>VLOOKUP($B722,dongia1,DG!$G$5,)</f>
        <v>466397.5</v>
      </c>
      <c r="L722" s="39">
        <f t="shared" si="232"/>
        <v>0</v>
      </c>
      <c r="M722" s="39">
        <f t="shared" si="233"/>
        <v>0</v>
      </c>
      <c r="N722" s="39">
        <f t="shared" si="234"/>
        <v>0</v>
      </c>
      <c r="O722" s="39">
        <f t="shared" si="235"/>
        <v>0</v>
      </c>
      <c r="P722" s="112"/>
      <c r="U722" s="107">
        <f>1.025*361</f>
        <v>370.02499999999998</v>
      </c>
      <c r="V722" s="107">
        <f>1.025*0.45</f>
        <v>0.46124999999999999</v>
      </c>
      <c r="W722" s="107">
        <f>1.025*0.866</f>
        <v>0.88764999999999994</v>
      </c>
      <c r="X722" s="107">
        <v>4.9000000000000002E-2</v>
      </c>
    </row>
    <row r="723" spans="1:24">
      <c r="A723" s="29" t="str">
        <f>IF(L723+N723=0,"",1)</f>
        <v/>
      </c>
      <c r="B723" s="109"/>
      <c r="C723" s="225"/>
      <c r="D723" s="226"/>
      <c r="E723" s="262"/>
      <c r="F723" s="51"/>
      <c r="G723" s="228"/>
      <c r="H723" s="136"/>
      <c r="I723" s="246"/>
      <c r="J723" s="2444" t="s">
        <v>3851</v>
      </c>
      <c r="K723" s="2445"/>
      <c r="L723" s="229">
        <f>SUM(L632:L722)</f>
        <v>0</v>
      </c>
      <c r="M723" s="229">
        <f>SUM(M632:M722)</f>
        <v>0</v>
      </c>
      <c r="N723" s="229">
        <f>SUM(N632:N722)</f>
        <v>0</v>
      </c>
      <c r="O723" s="229">
        <f>SUM(O632:O722)</f>
        <v>0</v>
      </c>
      <c r="P723" s="230"/>
    </row>
    <row r="724" spans="1:24">
      <c r="A724" s="29" t="str">
        <f t="shared" ref="A724:A735" si="236">IF(G724=0,"",1)</f>
        <v/>
      </c>
      <c r="B724" s="34"/>
      <c r="C724" s="85"/>
      <c r="D724" s="34"/>
      <c r="E724" s="86"/>
      <c r="F724" s="263"/>
      <c r="H724" s="34"/>
      <c r="I724" s="34"/>
      <c r="J724" s="34"/>
      <c r="K724" s="34"/>
      <c r="P724" s="85"/>
    </row>
    <row r="725" spans="1:24">
      <c r="A725" s="29" t="str">
        <f t="shared" si="236"/>
        <v/>
      </c>
      <c r="B725" s="34"/>
      <c r="C725" s="85"/>
      <c r="D725" s="34"/>
      <c r="E725" s="86"/>
      <c r="F725" s="263"/>
      <c r="H725" s="34"/>
      <c r="I725" s="34"/>
      <c r="J725" s="34"/>
      <c r="K725" s="34"/>
      <c r="P725" s="85"/>
    </row>
    <row r="726" spans="1:24">
      <c r="A726" s="29" t="str">
        <f t="shared" si="236"/>
        <v/>
      </c>
      <c r="C726" s="34"/>
    </row>
    <row r="727" spans="1:24">
      <c r="A727" s="29" t="str">
        <f t="shared" si="236"/>
        <v/>
      </c>
    </row>
    <row r="728" spans="1:24">
      <c r="A728" s="29" t="str">
        <f t="shared" si="236"/>
        <v/>
      </c>
    </row>
    <row r="729" spans="1:24">
      <c r="A729" s="29" t="str">
        <f t="shared" si="236"/>
        <v/>
      </c>
    </row>
    <row r="730" spans="1:24">
      <c r="A730" s="29" t="str">
        <f t="shared" si="236"/>
        <v/>
      </c>
    </row>
    <row r="731" spans="1:24">
      <c r="A731" s="29" t="str">
        <f t="shared" si="236"/>
        <v/>
      </c>
    </row>
    <row r="732" spans="1:24">
      <c r="A732" s="29" t="str">
        <f t="shared" si="236"/>
        <v/>
      </c>
    </row>
    <row r="733" spans="1:24">
      <c r="A733" s="29" t="str">
        <f t="shared" si="236"/>
        <v/>
      </c>
    </row>
    <row r="734" spans="1:24">
      <c r="A734" s="29" t="str">
        <f t="shared" si="236"/>
        <v/>
      </c>
    </row>
    <row r="735" spans="1:24">
      <c r="A735" s="29" t="str">
        <f t="shared" si="236"/>
        <v/>
      </c>
    </row>
    <row r="737" spans="7:7">
      <c r="G737" s="28">
        <f>+G386/0.224</f>
        <v>0</v>
      </c>
    </row>
  </sheetData>
  <autoFilter ref="A14:A735" xr:uid="{00000000-0009-0000-0000-000008000000}"/>
  <mergeCells count="14">
    <mergeCell ref="J723:K723"/>
    <mergeCell ref="N1:N2"/>
    <mergeCell ref="C11:P11"/>
    <mergeCell ref="J29:K29"/>
    <mergeCell ref="J629:K629"/>
    <mergeCell ref="C12:P12"/>
    <mergeCell ref="H13:K13"/>
    <mergeCell ref="E400:K400"/>
    <mergeCell ref="P13:P14"/>
    <mergeCell ref="L13:O13"/>
    <mergeCell ref="C13:C14"/>
    <mergeCell ref="D13:D14"/>
    <mergeCell ref="E13:E14"/>
    <mergeCell ref="F13:F14"/>
  </mergeCells>
  <phoneticPr fontId="0" type="noConversion"/>
  <printOptions horizontalCentered="1"/>
  <pageMargins left="0.25" right="0.25" top="1" bottom="0.5" header="0" footer="0.25"/>
  <pageSetup paperSize="9" scale="87" orientation="landscape" blackAndWhite="1" useFirstPageNumber="1" r:id="rId1"/>
  <headerFooter alignWithMargins="0">
    <oddFooter>&amp;CCaùp ngaàm&amp;RPage&amp;P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 filterMode="1">
    <tabColor rgb="FFFF0000"/>
  </sheetPr>
  <dimension ref="A1:XFC3559"/>
  <sheetViews>
    <sheetView showGridLines="0" showZeros="0" tabSelected="1" topLeftCell="A2588" zoomScale="85" zoomScaleNormal="85" workbookViewId="0">
      <selection activeCell="BO12" sqref="BO12"/>
    </sheetView>
  </sheetViews>
  <sheetFormatPr defaultColWidth="9.109375" defaultRowHeight="13.8" outlineLevelRow="1" outlineLevelCol="1"/>
  <cols>
    <col min="1" max="1" width="8.33203125" style="1088" customWidth="1"/>
    <col min="2" max="2" width="18.109375" style="1088" customWidth="1"/>
    <col min="3" max="3" width="4.5546875" style="1088" customWidth="1"/>
    <col min="4" max="4" width="12.44140625" style="1088" hidden="1" customWidth="1"/>
    <col min="5" max="5" width="53.109375" style="1089" customWidth="1"/>
    <col min="6" max="6" width="10.5546875" style="1088" customWidth="1"/>
    <col min="7" max="7" width="9.88671875" style="1111" customWidth="1"/>
    <col min="8" max="8" width="14.109375" style="1088" hidden="1" customWidth="1" outlineLevel="1"/>
    <col min="9" max="9" width="11.33203125" style="1088" hidden="1" customWidth="1" outlineLevel="1"/>
    <col min="10" max="10" width="13.5546875" style="1088" hidden="1" customWidth="1" outlineLevel="1"/>
    <col min="11" max="11" width="12.109375" style="1088" hidden="1" customWidth="1" outlineLevel="1"/>
    <col min="12" max="12" width="14.109375" style="1088" hidden="1" customWidth="1" outlineLevel="1"/>
    <col min="13" max="13" width="10" style="1088" hidden="1" customWidth="1" outlineLevel="1"/>
    <col min="14" max="14" width="13.33203125" style="1088" hidden="1" customWidth="1" outlineLevel="1"/>
    <col min="15" max="15" width="11" style="1088" hidden="1" customWidth="1" outlineLevel="1"/>
    <col min="16" max="16" width="14.109375" style="1572" customWidth="1" collapsed="1"/>
    <col min="17" max="17" width="13" style="1088" customWidth="1"/>
    <col min="18" max="18" width="12.5546875" style="1088" hidden="1" customWidth="1"/>
    <col min="19" max="20" width="10.44140625" style="1088" customWidth="1"/>
    <col min="21" max="21" width="15" style="1088" customWidth="1"/>
    <col min="22" max="23" width="10.44140625" style="1088" customWidth="1"/>
    <col min="24" max="24" width="11.88671875" style="1088" customWidth="1"/>
    <col min="25" max="25" width="14.33203125" style="1088" customWidth="1"/>
    <col min="26" max="26" width="9.109375" style="1088"/>
    <col min="27" max="27" width="13" style="1088" customWidth="1"/>
    <col min="28" max="16384" width="9.109375" style="1088"/>
  </cols>
  <sheetData>
    <row r="1" spans="3:16" hidden="1" outlineLevel="1">
      <c r="G1" s="1088"/>
      <c r="P1" s="1088"/>
    </row>
    <row r="2" spans="3:16" hidden="1" outlineLevel="1">
      <c r="E2" s="1090" t="s">
        <v>1236</v>
      </c>
      <c r="F2" s="1091" t="s">
        <v>3423</v>
      </c>
      <c r="G2" s="1091"/>
      <c r="H2" s="1092">
        <f>Solieu!F30</f>
        <v>9</v>
      </c>
      <c r="I2" s="1092" t="s">
        <v>30</v>
      </c>
      <c r="J2" s="1091" t="s">
        <v>1788</v>
      </c>
      <c r="K2" s="1091"/>
      <c r="L2" s="1092"/>
      <c r="M2" s="1092" t="s">
        <v>329</v>
      </c>
      <c r="N2" s="1092"/>
      <c r="O2" s="1092" t="s">
        <v>330</v>
      </c>
      <c r="P2" s="1088"/>
    </row>
    <row r="3" spans="3:16" hidden="1" outlineLevel="1">
      <c r="E3" s="1093">
        <f>IF(H2=12,51,IF(H2=9,36,93))</f>
        <v>36</v>
      </c>
      <c r="F3" s="1094" t="s">
        <v>1221</v>
      </c>
      <c r="G3" s="1091"/>
      <c r="H3" s="1095">
        <f>53</f>
        <v>53</v>
      </c>
      <c r="I3" s="1092" t="s">
        <v>866</v>
      </c>
      <c r="J3" s="1091" t="s">
        <v>174</v>
      </c>
      <c r="K3" s="1091"/>
      <c r="L3" s="1092">
        <f>Solieu!F31</f>
        <v>0</v>
      </c>
      <c r="M3" s="1092" t="s">
        <v>175</v>
      </c>
      <c r="N3" s="1096"/>
      <c r="P3" s="1088"/>
    </row>
    <row r="4" spans="3:16" hidden="1" outlineLevel="1">
      <c r="E4" s="1097" t="str">
        <f>Solieu!C43</f>
        <v>N</v>
      </c>
      <c r="F4" s="1094" t="s">
        <v>1789</v>
      </c>
      <c r="G4" s="1091"/>
      <c r="H4" s="1095">
        <f>E3*0.8*0.3</f>
        <v>8.64</v>
      </c>
      <c r="I4" s="1092" t="s">
        <v>805</v>
      </c>
      <c r="J4" s="1098" t="s">
        <v>4113</v>
      </c>
      <c r="K4" s="1091"/>
      <c r="L4" s="1092">
        <f>Solieu!F29</f>
        <v>0</v>
      </c>
      <c r="M4" s="1099"/>
      <c r="N4" s="1096"/>
      <c r="P4" s="1088"/>
    </row>
    <row r="5" spans="3:16" hidden="1" outlineLevel="1">
      <c r="E5" s="1093"/>
      <c r="F5" s="1100" t="s">
        <v>313</v>
      </c>
      <c r="G5" s="1092" t="s">
        <v>3424</v>
      </c>
      <c r="H5" s="1092" t="s">
        <v>314</v>
      </c>
      <c r="I5" s="1100" t="s">
        <v>315</v>
      </c>
      <c r="J5" s="1100" t="s">
        <v>3425</v>
      </c>
      <c r="K5" s="1092" t="s">
        <v>314</v>
      </c>
      <c r="L5" s="1100" t="s">
        <v>1222</v>
      </c>
      <c r="M5" s="1101" t="s">
        <v>1224</v>
      </c>
      <c r="N5" s="1096"/>
      <c r="P5" s="1088"/>
    </row>
    <row r="6" spans="3:16" hidden="1" outlineLevel="1">
      <c r="E6" s="1102"/>
      <c r="F6" s="1103">
        <f>Solieu!F32</f>
        <v>18</v>
      </c>
      <c r="G6" s="1104" t="s">
        <v>1380</v>
      </c>
      <c r="H6" s="1103">
        <f>Solieu!C35</f>
        <v>0</v>
      </c>
      <c r="I6" s="1103">
        <f>H6*15</f>
        <v>0</v>
      </c>
      <c r="J6" s="1105" t="s">
        <v>957</v>
      </c>
      <c r="K6" s="1103">
        <f>Solieu!F35</f>
        <v>0</v>
      </c>
      <c r="L6" s="1106">
        <f>K6*3*15</f>
        <v>0</v>
      </c>
      <c r="M6" s="2462">
        <f>H21+K21</f>
        <v>0</v>
      </c>
      <c r="N6" s="1096"/>
      <c r="P6" s="1088"/>
    </row>
    <row r="7" spans="3:16" hidden="1" outlineLevel="1">
      <c r="C7" s="1107"/>
      <c r="E7" s="1108"/>
      <c r="F7" s="1103" t="s">
        <v>1758</v>
      </c>
      <c r="G7" s="1109" t="s">
        <v>1381</v>
      </c>
      <c r="H7" s="1103">
        <f>Solieu!C36</f>
        <v>0</v>
      </c>
      <c r="I7" s="1103">
        <f>H7*25</f>
        <v>0</v>
      </c>
      <c r="J7" s="1105" t="s">
        <v>1017</v>
      </c>
      <c r="K7" s="1103">
        <f>Solieu!F36</f>
        <v>0</v>
      </c>
      <c r="L7" s="1106">
        <f>K7*3*25</f>
        <v>0</v>
      </c>
      <c r="M7" s="2463"/>
      <c r="N7" s="1096"/>
      <c r="O7" s="1110"/>
      <c r="P7" s="1088"/>
    </row>
    <row r="8" spans="3:16" hidden="1" outlineLevel="1">
      <c r="D8" s="1111"/>
      <c r="E8" s="1093"/>
      <c r="F8" s="1103">
        <f>Solieu!F33</f>
        <v>22</v>
      </c>
      <c r="G8" s="1109" t="s">
        <v>1237</v>
      </c>
      <c r="H8" s="1103">
        <f>Solieu!C37</f>
        <v>0</v>
      </c>
      <c r="I8" s="1103">
        <f>H8*37.5</f>
        <v>0</v>
      </c>
      <c r="J8" s="1105" t="s">
        <v>1018</v>
      </c>
      <c r="K8" s="1103">
        <f>Solieu!F37</f>
        <v>0</v>
      </c>
      <c r="L8" s="1106">
        <f>K8*3*37.5</f>
        <v>0</v>
      </c>
      <c r="M8" s="1101" t="s">
        <v>1223</v>
      </c>
      <c r="N8" s="1096"/>
      <c r="P8" s="1088"/>
    </row>
    <row r="9" spans="3:16" hidden="1" outlineLevel="1">
      <c r="D9" s="1107"/>
      <c r="E9" s="1093"/>
      <c r="F9" s="1112"/>
      <c r="G9" s="1109" t="s">
        <v>1382</v>
      </c>
      <c r="H9" s="1103">
        <f>Solieu!C38</f>
        <v>0</v>
      </c>
      <c r="I9" s="1103">
        <f>H9*50</f>
        <v>0</v>
      </c>
      <c r="J9" s="1105" t="s">
        <v>29</v>
      </c>
      <c r="K9" s="1103">
        <f>Solieu!F38</f>
        <v>0</v>
      </c>
      <c r="L9" s="1106">
        <f>K9*3*50</f>
        <v>0</v>
      </c>
      <c r="M9" s="2462">
        <f>I24+L24</f>
        <v>750</v>
      </c>
      <c r="N9" s="1096"/>
      <c r="P9" s="1088"/>
    </row>
    <row r="10" spans="3:16" hidden="1" outlineLevel="1">
      <c r="D10" s="1107"/>
      <c r="E10" s="1093"/>
      <c r="F10" s="1113"/>
      <c r="G10" s="1114" t="s">
        <v>1383</v>
      </c>
      <c r="H10" s="1103">
        <f>Solieu!C39</f>
        <v>0</v>
      </c>
      <c r="I10" s="1103">
        <f>H10*75</f>
        <v>0</v>
      </c>
      <c r="J10" s="1115" t="s">
        <v>636</v>
      </c>
      <c r="K10" s="1103">
        <f>Solieu!F39</f>
        <v>0</v>
      </c>
      <c r="L10" s="1106">
        <f>K10*160</f>
        <v>0</v>
      </c>
      <c r="M10" s="2464"/>
      <c r="N10" s="1096"/>
      <c r="P10" s="1088"/>
    </row>
    <row r="11" spans="3:16" hidden="1" outlineLevel="1">
      <c r="D11" s="1107"/>
      <c r="E11" s="1093"/>
      <c r="F11" s="1113"/>
      <c r="G11" s="1114" t="s">
        <v>1384</v>
      </c>
      <c r="H11" s="1103">
        <f>Solieu!C40</f>
        <v>0</v>
      </c>
      <c r="I11" s="1103">
        <f>H11*100</f>
        <v>0</v>
      </c>
      <c r="J11" s="1115" t="s">
        <v>637</v>
      </c>
      <c r="K11" s="1103">
        <f>Solieu!F40</f>
        <v>0</v>
      </c>
      <c r="L11" s="1106">
        <f>K11*250</f>
        <v>0</v>
      </c>
      <c r="M11" s="2464"/>
      <c r="N11" s="1096"/>
      <c r="P11" s="1088"/>
    </row>
    <row r="12" spans="3:16" hidden="1" outlineLevel="1">
      <c r="D12" s="1107"/>
      <c r="E12" s="1093"/>
      <c r="F12" s="1113"/>
      <c r="G12" s="1116"/>
      <c r="H12" s="1103"/>
      <c r="I12" s="1117"/>
      <c r="J12" s="1115" t="s">
        <v>638</v>
      </c>
      <c r="K12" s="1103">
        <f>Solieu!F41</f>
        <v>0</v>
      </c>
      <c r="L12" s="1106">
        <f>K12*320</f>
        <v>0</v>
      </c>
      <c r="M12" s="2464"/>
      <c r="N12" s="1096"/>
      <c r="P12" s="1088"/>
    </row>
    <row r="13" spans="3:16" hidden="1" outlineLevel="1">
      <c r="D13" s="1107"/>
      <c r="E13" s="1093"/>
      <c r="F13" s="1113"/>
      <c r="G13" s="1116"/>
      <c r="H13" s="1103"/>
      <c r="I13" s="1117"/>
      <c r="J13" s="1115" t="s">
        <v>639</v>
      </c>
      <c r="K13" s="1103">
        <f>Solieu!F42</f>
        <v>0</v>
      </c>
      <c r="L13" s="1106">
        <f>K13*400</f>
        <v>0</v>
      </c>
      <c r="M13" s="2464"/>
      <c r="N13" s="1096"/>
      <c r="P13" s="1088"/>
    </row>
    <row r="14" spans="3:16" hidden="1" outlineLevel="1">
      <c r="D14" s="1107"/>
      <c r="E14" s="1093"/>
      <c r="F14" s="1113"/>
      <c r="G14" s="1116"/>
      <c r="H14" s="1103"/>
      <c r="I14" s="1117"/>
      <c r="J14" s="1115" t="s">
        <v>640</v>
      </c>
      <c r="K14" s="1103">
        <f>Solieu!F43</f>
        <v>0</v>
      </c>
      <c r="L14" s="1106">
        <f>K14*560</f>
        <v>0</v>
      </c>
      <c r="M14" s="2464"/>
      <c r="N14" s="1096"/>
      <c r="P14" s="1088"/>
    </row>
    <row r="15" spans="3:16" hidden="1" outlineLevel="1">
      <c r="D15" s="1107"/>
      <c r="E15" s="1093"/>
      <c r="F15" s="1113"/>
      <c r="G15" s="1116"/>
      <c r="H15" s="1103"/>
      <c r="I15" s="1117"/>
      <c r="J15" s="1115" t="s">
        <v>641</v>
      </c>
      <c r="K15" s="1103">
        <f>Solieu!F44</f>
        <v>0</v>
      </c>
      <c r="L15" s="1106">
        <f>K15*630</f>
        <v>0</v>
      </c>
      <c r="M15" s="2464"/>
      <c r="N15" s="1096"/>
      <c r="P15" s="1088"/>
    </row>
    <row r="16" spans="3:16" hidden="1" outlineLevel="1">
      <c r="D16" s="1107"/>
      <c r="E16" s="1093"/>
      <c r="F16" s="1113"/>
      <c r="G16" s="1116"/>
      <c r="H16" s="1103"/>
      <c r="I16" s="1117"/>
      <c r="J16" s="1115" t="s">
        <v>5808</v>
      </c>
      <c r="K16" s="1103">
        <f>Solieu!F45</f>
        <v>1</v>
      </c>
      <c r="L16" s="1106">
        <f>K16*750</f>
        <v>750</v>
      </c>
      <c r="M16" s="2464"/>
      <c r="N16" s="1096"/>
      <c r="P16" s="1088"/>
    </row>
    <row r="17" spans="1:26" hidden="1" outlineLevel="1">
      <c r="D17" s="1107"/>
      <c r="E17" s="1093"/>
      <c r="F17" s="1118"/>
      <c r="G17" s="1114"/>
      <c r="H17" s="1103"/>
      <c r="I17" s="1117"/>
      <c r="J17" s="1119">
        <v>1000</v>
      </c>
      <c r="K17" s="1103">
        <f>Solieu!F46</f>
        <v>0</v>
      </c>
      <c r="L17" s="1106">
        <f>K17*1000</f>
        <v>0</v>
      </c>
      <c r="M17" s="2465"/>
      <c r="N17" s="1096"/>
      <c r="P17" s="1088"/>
    </row>
    <row r="18" spans="1:26" hidden="1" outlineLevel="1">
      <c r="D18" s="1107"/>
      <c r="E18" s="1093"/>
      <c r="F18" s="1118"/>
      <c r="G18" s="1114"/>
      <c r="H18" s="1103"/>
      <c r="I18" s="1117"/>
      <c r="J18" s="1119">
        <v>1250</v>
      </c>
      <c r="K18" s="1103"/>
      <c r="L18" s="1106">
        <f>K18*1000</f>
        <v>0</v>
      </c>
      <c r="M18" s="2465"/>
      <c r="N18" s="1096"/>
      <c r="P18" s="1088"/>
    </row>
    <row r="19" spans="1:26" hidden="1" outlineLevel="1">
      <c r="D19" s="1107"/>
      <c r="E19" s="1093"/>
      <c r="F19" s="1118"/>
      <c r="G19" s="1114"/>
      <c r="H19" s="1103"/>
      <c r="I19" s="1117"/>
      <c r="J19" s="1119">
        <v>1500</v>
      </c>
      <c r="K19" s="1103">
        <f>Solieu!F48</f>
        <v>0</v>
      </c>
      <c r="L19" s="1106">
        <f>K19*1500</f>
        <v>0</v>
      </c>
      <c r="M19" s="2465"/>
      <c r="N19" s="1096"/>
      <c r="P19" s="1088"/>
    </row>
    <row r="20" spans="1:26" hidden="1" outlineLevel="1">
      <c r="D20" s="1107"/>
      <c r="E20" s="1093"/>
      <c r="F20" s="1118"/>
      <c r="G20" s="1114"/>
      <c r="H20" s="1103"/>
      <c r="I20" s="1117"/>
      <c r="J20" s="1119">
        <v>1600</v>
      </c>
      <c r="K20" s="1103">
        <f>Solieu!F49</f>
        <v>0</v>
      </c>
      <c r="L20" s="1106">
        <f>K20*1600</f>
        <v>0</v>
      </c>
      <c r="M20" s="2465"/>
      <c r="N20" s="1096"/>
      <c r="P20" s="1088"/>
    </row>
    <row r="21" spans="1:26" hidden="1" outlineLevel="1">
      <c r="E21" s="1093"/>
      <c r="F21" s="1120"/>
      <c r="G21" s="1121"/>
      <c r="H21" s="1103"/>
      <c r="I21" s="1122"/>
      <c r="J21" s="1123">
        <f>Solieu!D50</f>
        <v>2000</v>
      </c>
      <c r="K21" s="1103">
        <f>Solieu!F50</f>
        <v>0</v>
      </c>
      <c r="L21" s="1106">
        <f>K21*2000</f>
        <v>0</v>
      </c>
      <c r="M21" s="2463"/>
      <c r="N21" s="1096"/>
      <c r="P21" s="1088"/>
    </row>
    <row r="22" spans="1:26" hidden="1" outlineLevel="1">
      <c r="E22" s="1124"/>
      <c r="F22" s="1125"/>
      <c r="G22" s="1126"/>
      <c r="H22" s="1127"/>
      <c r="I22" s="1122"/>
      <c r="J22" s="1123">
        <v>2500</v>
      </c>
      <c r="K22" s="1103">
        <f>Solieu!F51</f>
        <v>0</v>
      </c>
      <c r="L22" s="1106">
        <f>K22*2500</f>
        <v>0</v>
      </c>
      <c r="M22" s="1128"/>
      <c r="N22" s="1096"/>
      <c r="P22" s="1088"/>
    </row>
    <row r="23" spans="1:26" hidden="1" outlineLevel="1">
      <c r="E23" s="1124">
        <f>750*1.5</f>
        <v>1125</v>
      </c>
      <c r="F23" s="1125"/>
      <c r="G23" s="1126"/>
      <c r="H23" s="1127"/>
      <c r="I23" s="1122">
        <f>SUM(I6:I11)</f>
        <v>0</v>
      </c>
      <c r="J23" s="1129" t="s">
        <v>2188</v>
      </c>
      <c r="K23" s="1103">
        <f>+Solieu!F53</f>
        <v>0</v>
      </c>
      <c r="L23" s="1106">
        <f>+K23*180</f>
        <v>0</v>
      </c>
      <c r="M23" s="1128"/>
      <c r="N23" s="1096"/>
      <c r="P23" s="1088"/>
    </row>
    <row r="24" spans="1:26" s="1096" customFormat="1" hidden="1" collapsed="1">
      <c r="A24" s="1096" t="e">
        <f>#REF!</f>
        <v>#REF!</v>
      </c>
      <c r="E24" s="1124"/>
      <c r="F24" s="1130"/>
      <c r="G24" s="1131"/>
      <c r="H24" s="1132"/>
      <c r="I24" s="1106">
        <f>+SUM(I6:I23)</f>
        <v>0</v>
      </c>
      <c r="J24" s="1133"/>
      <c r="K24" s="1132"/>
      <c r="L24" s="1106">
        <f>+SUM(L6:L23)</f>
        <v>750</v>
      </c>
      <c r="M24" s="1128"/>
      <c r="P24" s="1134"/>
    </row>
    <row r="25" spans="1:26" s="1096" customFormat="1" hidden="1">
      <c r="E25" s="1124"/>
      <c r="F25" s="1130"/>
      <c r="G25" s="1131"/>
      <c r="H25" s="1132"/>
      <c r="I25" s="1135"/>
      <c r="J25" s="1133"/>
      <c r="K25" s="1132"/>
      <c r="L25" s="1135"/>
      <c r="M25" s="1128"/>
      <c r="P25" s="1134"/>
    </row>
    <row r="26" spans="1:26" s="1136" customFormat="1" ht="16.8" hidden="1">
      <c r="A26" s="1136" t="s">
        <v>312</v>
      </c>
      <c r="C26" s="1137" t="e">
        <f>"BẢNG "&amp;#REF!&amp;": BẢNG TÍNH CHI TIẾT PHẦN TRẠM"</f>
        <v>#REF!</v>
      </c>
      <c r="D26" s="1138"/>
      <c r="E26" s="1138"/>
      <c r="F26" s="1139"/>
      <c r="G26" s="1140"/>
      <c r="H26" s="1139"/>
      <c r="I26" s="1139"/>
      <c r="J26" s="1139"/>
      <c r="K26" s="1139"/>
      <c r="L26" s="1139"/>
      <c r="M26" s="1139"/>
      <c r="N26" s="1139"/>
      <c r="O26" s="1138"/>
      <c r="P26" s="1141"/>
      <c r="R26" s="1142"/>
    </row>
    <row r="27" spans="1:26" s="1081" customFormat="1" ht="16.8" hidden="1">
      <c r="C27" s="1137" t="s">
        <v>4567</v>
      </c>
      <c r="D27" s="1143"/>
      <c r="E27" s="1143"/>
      <c r="F27" s="1143"/>
      <c r="G27" s="1143"/>
      <c r="H27" s="1143"/>
      <c r="I27" s="1143"/>
      <c r="J27" s="1143"/>
      <c r="K27" s="1143"/>
      <c r="L27" s="1143"/>
      <c r="M27" s="1143"/>
      <c r="N27" s="1144"/>
      <c r="O27" s="1144"/>
      <c r="P27" s="1145"/>
      <c r="R27" s="1088"/>
    </row>
    <row r="28" spans="1:26" hidden="1">
      <c r="A28" s="1146" t="str">
        <f>IF(G34&lt;&gt;0,1," ")</f>
        <v xml:space="preserve"> </v>
      </c>
      <c r="C28" s="1147"/>
      <c r="D28" s="1148"/>
      <c r="E28" s="1149"/>
      <c r="F28" s="1096"/>
      <c r="G28" s="1096"/>
      <c r="H28" s="1096"/>
      <c r="I28" s="1096"/>
      <c r="J28" s="1096"/>
      <c r="K28" s="1096"/>
      <c r="L28" s="1096"/>
      <c r="M28" s="1096"/>
      <c r="N28" s="1096"/>
      <c r="P28" s="1088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</row>
    <row r="29" spans="1:26" hidden="1" outlineLevel="1">
      <c r="A29" s="1146" t="str">
        <f>A28</f>
        <v xml:space="preserve"> </v>
      </c>
      <c r="C29" s="1149" t="str">
        <f>"BẢNG TỔNG HỢP VẬT LIỆU, NHÂN CÔNG, MÁY THI CÔNG: "&amp;H6&amp;" TRẠM 1P15KVA"</f>
        <v>BẢNG TỔNG HỢP VẬT LIỆU, NHÂN CÔNG, MÁY THI CÔNG: 0 TRẠM 1P15KVA</v>
      </c>
      <c r="D29" s="1151"/>
      <c r="E29" s="1152"/>
      <c r="F29" s="1149"/>
      <c r="G29" s="1149"/>
      <c r="H29" s="1149"/>
      <c r="I29" s="1149"/>
      <c r="J29" s="1149"/>
      <c r="K29" s="1149"/>
      <c r="L29" s="1149"/>
      <c r="M29" s="1149"/>
      <c r="N29" s="1149"/>
      <c r="O29" s="1149"/>
      <c r="P29" s="1153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</row>
    <row r="30" spans="1:26" hidden="1" outlineLevel="1">
      <c r="A30" s="1146"/>
      <c r="C30" s="1149"/>
      <c r="D30" s="1151"/>
      <c r="E30" s="1088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53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</row>
    <row r="31" spans="1:26" s="1081" customFormat="1" hidden="1" outlineLevel="1">
      <c r="A31" s="1154" t="str">
        <f>A29</f>
        <v xml:space="preserve"> </v>
      </c>
      <c r="B31" s="1154" t="s">
        <v>308</v>
      </c>
      <c r="C31" s="2459" t="s">
        <v>1014</v>
      </c>
      <c r="D31" s="2467" t="s">
        <v>3363</v>
      </c>
      <c r="E31" s="2457" t="s">
        <v>3364</v>
      </c>
      <c r="F31" s="2459" t="s">
        <v>3365</v>
      </c>
      <c r="G31" s="1155" t="s">
        <v>3367</v>
      </c>
      <c r="H31" s="1156" t="s">
        <v>3368</v>
      </c>
      <c r="I31" s="1157"/>
      <c r="J31" s="1157"/>
      <c r="K31" s="1158"/>
      <c r="L31" s="1156" t="s">
        <v>3372</v>
      </c>
      <c r="M31" s="1157"/>
      <c r="N31" s="1157"/>
      <c r="O31" s="1158"/>
      <c r="P31" s="2459" t="s">
        <v>3373</v>
      </c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</row>
    <row r="32" spans="1:26" s="1081" customFormat="1" hidden="1" outlineLevel="1">
      <c r="A32" s="1154" t="str">
        <f>A31</f>
        <v xml:space="preserve"> </v>
      </c>
      <c r="B32" s="1154"/>
      <c r="C32" s="2459"/>
      <c r="D32" s="2468"/>
      <c r="E32" s="2458"/>
      <c r="F32" s="2459"/>
      <c r="G32" s="1160" t="s">
        <v>3366</v>
      </c>
      <c r="H32" s="1161" t="s">
        <v>393</v>
      </c>
      <c r="I32" s="1161" t="s">
        <v>3369</v>
      </c>
      <c r="J32" s="1161" t="s">
        <v>3370</v>
      </c>
      <c r="K32" s="1161" t="s">
        <v>3371</v>
      </c>
      <c r="L32" s="1161" t="s">
        <v>393</v>
      </c>
      <c r="M32" s="1161" t="s">
        <v>3369</v>
      </c>
      <c r="N32" s="1161" t="s">
        <v>3370</v>
      </c>
      <c r="O32" s="1161" t="s">
        <v>3371</v>
      </c>
      <c r="P32" s="24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</row>
    <row r="33" spans="1:27" s="1081" customFormat="1" hidden="1" outlineLevel="1">
      <c r="A33" s="1154" t="str">
        <f>A32</f>
        <v xml:space="preserve"> </v>
      </c>
      <c r="B33" s="1154"/>
      <c r="C33" s="1162"/>
      <c r="D33" s="1163"/>
      <c r="E33" s="1164" t="s">
        <v>3375</v>
      </c>
      <c r="F33" s="1165"/>
      <c r="G33" s="1165"/>
      <c r="H33" s="1165"/>
      <c r="I33" s="1165"/>
      <c r="J33" s="1165"/>
      <c r="K33" s="1165"/>
      <c r="L33" s="1165"/>
      <c r="M33" s="1165"/>
      <c r="N33" s="1165"/>
      <c r="O33" s="1163"/>
      <c r="P33" s="1166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</row>
    <row r="34" spans="1:27" s="1081" customFormat="1" hidden="1" outlineLevel="1">
      <c r="A34" s="1154">
        <f>IF(G34&lt;&gt;0,1,)</f>
        <v>0</v>
      </c>
      <c r="B34" s="1167" t="str">
        <f>IF($F$8=22,"TR151","TR15")</f>
        <v>TR151</v>
      </c>
      <c r="C34" s="1168">
        <f>IF(G34&gt;0,1,0)</f>
        <v>0</v>
      </c>
      <c r="D34" s="1075" t="str">
        <f>VLOOKUP($B34,dongia1,DG!$B$5,)</f>
        <v>T1.1431</v>
      </c>
      <c r="E34" s="1076" t="str">
        <f>VLOOKUP($B34,dongia1,DG!$C$5,)</f>
        <v>Máy biến áp 12,7/0,22-0,44kV  15kVA</v>
      </c>
      <c r="F34" s="1075" t="str">
        <f>VLOOKUP($B34,dongia1,DG!$D$5,)</f>
        <v>máy</v>
      </c>
      <c r="G34" s="1169">
        <f>H6</f>
        <v>0</v>
      </c>
      <c r="H34" s="1062">
        <f>VLOOKUP($B34,dongia1,DG!$E$5,)</f>
        <v>25444000</v>
      </c>
      <c r="I34" s="1062"/>
      <c r="J34" s="1062">
        <f>VLOOKUP($B34,dongia1,DG!$G$5,)</f>
        <v>546322</v>
      </c>
      <c r="K34" s="1062">
        <f>VLOOKUP($B34,dongia1,DG!$H$5,)</f>
        <v>284508</v>
      </c>
      <c r="L34" s="1170">
        <f t="shared" ref="L34:L41" si="0">H34*G34</f>
        <v>0</v>
      </c>
      <c r="M34" s="1170">
        <f t="shared" ref="M34:M41" si="1">I34*G34</f>
        <v>0</v>
      </c>
      <c r="N34" s="1170">
        <f t="shared" ref="N34:N41" si="2">J34*G34</f>
        <v>0</v>
      </c>
      <c r="O34" s="1171">
        <f t="shared" ref="O34:O41" si="3">K34*G34</f>
        <v>0</v>
      </c>
      <c r="P34" s="1172"/>
      <c r="Q34" s="1173"/>
      <c r="R34" s="1159"/>
      <c r="S34" s="1159"/>
      <c r="T34" s="1159"/>
      <c r="U34" s="1159"/>
      <c r="V34" s="1159"/>
      <c r="W34" s="1159"/>
      <c r="X34" s="1159"/>
      <c r="Y34" s="1159"/>
      <c r="Z34" s="1159"/>
      <c r="AA34" s="1159"/>
    </row>
    <row r="35" spans="1:27" s="1081" customFormat="1" hidden="1" outlineLevel="1">
      <c r="A35" s="1154">
        <f t="shared" ref="A35:A41" si="4">IF(G35&lt;&gt;0,1,)</f>
        <v>0</v>
      </c>
      <c r="B35" s="1167" t="str">
        <f>"FCO100-"&amp;$F$8</f>
        <v>FCO100-22</v>
      </c>
      <c r="C35" s="1168">
        <f t="shared" ref="C35:C41" si="5">IF(G35&gt;0,C34+1,C34)</f>
        <v>0</v>
      </c>
      <c r="D35" s="1075" t="str">
        <f>VLOOKUP($B35,dongia1,DG!$B$5,)</f>
        <v>T2.3501</v>
      </c>
      <c r="E35" s="1076" t="str">
        <f>VLOOKUP($B35,dongia1,DG!$C$5,)</f>
        <v>FCO 24kV - 100A</v>
      </c>
      <c r="F35" s="1075" t="str">
        <f>VLOOKUP($B35,dongia1,DG!$D$5,)</f>
        <v>cái</v>
      </c>
      <c r="G35" s="1074">
        <f>+G34</f>
        <v>0</v>
      </c>
      <c r="H35" s="1062">
        <f>VLOOKUP($B35,dongia1,DG!$E$5,)</f>
        <v>2244280</v>
      </c>
      <c r="I35" s="1062"/>
      <c r="J35" s="1062">
        <f>VLOOKUP($B35,dongia1,DG!$G$5,)</f>
        <v>222639.99999999997</v>
      </c>
      <c r="K35" s="1083"/>
      <c r="L35" s="1174">
        <f t="shared" si="0"/>
        <v>0</v>
      </c>
      <c r="M35" s="1174">
        <f t="shared" si="1"/>
        <v>0</v>
      </c>
      <c r="N35" s="1174">
        <f t="shared" si="2"/>
        <v>0</v>
      </c>
      <c r="O35" s="1083">
        <f t="shared" si="3"/>
        <v>0</v>
      </c>
      <c r="P35" s="1074"/>
      <c r="Q35" s="1173"/>
      <c r="R35" s="1159"/>
      <c r="S35" s="1159"/>
      <c r="T35" s="1159"/>
      <c r="U35" s="1159"/>
      <c r="V35" s="1159"/>
      <c r="W35" s="1159"/>
      <c r="X35" s="1159"/>
      <c r="Y35" s="1159"/>
      <c r="Z35" s="1159"/>
      <c r="AA35" s="1159"/>
    </row>
    <row r="36" spans="1:27" s="1081" customFormat="1" hidden="1" outlineLevel="1">
      <c r="A36" s="1154">
        <f t="shared" si="4"/>
        <v>0</v>
      </c>
      <c r="B36" s="1073" t="str">
        <f>"CHI"&amp;Solieu!F55</f>
        <v>CHI3K</v>
      </c>
      <c r="C36" s="1168">
        <f t="shared" si="5"/>
        <v>0</v>
      </c>
      <c r="D36" s="1075">
        <f>VLOOKUP($B36,dongia1,DG!$B$5,)</f>
        <v>0</v>
      </c>
      <c r="E36" s="1076" t="str">
        <f>VLOOKUP($B36,dongia1,DG!$C$5,)</f>
        <v>Dây chảy 3K</v>
      </c>
      <c r="F36" s="1075" t="str">
        <f>VLOOKUP($B36,dongia1,DG!$D$5,)</f>
        <v>Sợi</v>
      </c>
      <c r="G36" s="1074">
        <f>G35</f>
        <v>0</v>
      </c>
      <c r="H36" s="1062">
        <f>VLOOKUP($B36,dongia1,DG!$F$5,)</f>
        <v>84000</v>
      </c>
      <c r="I36" s="1062"/>
      <c r="J36" s="1062">
        <f>VLOOKUP($B36,dongia1,DG!$G$5,)</f>
        <v>0</v>
      </c>
      <c r="K36" s="1083"/>
      <c r="L36" s="1174">
        <f t="shared" si="0"/>
        <v>0</v>
      </c>
      <c r="M36" s="1174">
        <f t="shared" si="1"/>
        <v>0</v>
      </c>
      <c r="N36" s="1174">
        <f t="shared" si="2"/>
        <v>0</v>
      </c>
      <c r="O36" s="1083">
        <f t="shared" si="3"/>
        <v>0</v>
      </c>
      <c r="P36" s="1074"/>
      <c r="Q36" s="1173"/>
      <c r="R36" s="1175"/>
    </row>
    <row r="37" spans="1:27" s="1081" customFormat="1" hidden="1" outlineLevel="1">
      <c r="A37" s="1154">
        <f t="shared" si="4"/>
        <v>0</v>
      </c>
      <c r="B37" s="1073" t="str">
        <f>"LA"&amp;F6</f>
        <v>LA18</v>
      </c>
      <c r="C37" s="1168">
        <f t="shared" si="5"/>
        <v>0</v>
      </c>
      <c r="D37" s="1075" t="str">
        <f>VLOOKUP($B37,dongia1,DG!$B$5,)</f>
        <v>T2.5004</v>
      </c>
      <c r="E37" s="1076" t="str">
        <f>VLOOKUP($B37,dongia1,DG!$C$5,)</f>
        <v>LA 18kV 10kA</v>
      </c>
      <c r="F37" s="1075" t="str">
        <f>VLOOKUP($B37,dongia1,DG!$D$5,)</f>
        <v>cái</v>
      </c>
      <c r="G37" s="1074">
        <f>G35</f>
        <v>0</v>
      </c>
      <c r="H37" s="1062">
        <f>VLOOKUP($B37,dongia1,DG!$E$5,)</f>
        <v>1106000</v>
      </c>
      <c r="I37" s="1062"/>
      <c r="J37" s="1062">
        <f>VLOOKUP($B37,dongia1,DG!$G$5,)</f>
        <v>83490</v>
      </c>
      <c r="K37" s="1083"/>
      <c r="L37" s="1174">
        <f t="shared" si="0"/>
        <v>0</v>
      </c>
      <c r="M37" s="1174">
        <f t="shared" si="1"/>
        <v>0</v>
      </c>
      <c r="N37" s="1174">
        <f t="shared" si="2"/>
        <v>0</v>
      </c>
      <c r="O37" s="1083">
        <f t="shared" si="3"/>
        <v>0</v>
      </c>
      <c r="P37" s="1074"/>
      <c r="Q37" s="1173"/>
      <c r="R37" s="1175"/>
    </row>
    <row r="38" spans="1:27" s="1081" customFormat="1" hidden="1" outlineLevel="1">
      <c r="A38" s="1154">
        <f t="shared" si="4"/>
        <v>0</v>
      </c>
      <c r="B38" s="1176" t="str">
        <f>Solieu!G55</f>
        <v>ATM75</v>
      </c>
      <c r="C38" s="1168">
        <f t="shared" si="5"/>
        <v>0</v>
      </c>
      <c r="D38" s="1075">
        <f>VLOOKUP($B38,dongia1,DG!$B$5,)</f>
        <v>0</v>
      </c>
      <c r="E38" s="1076" t="str">
        <f>VLOOKUP($B38,dongia1,DG!$C$5,)</f>
        <v>MCCB 3 cực 400V-75A - 30KA</v>
      </c>
      <c r="F38" s="1075" t="str">
        <f>VLOOKUP($B38,dongia1,DG!$D$5,)</f>
        <v>cái</v>
      </c>
      <c r="G38" s="1074">
        <f>G34</f>
        <v>0</v>
      </c>
      <c r="H38" s="1062">
        <f>VLOOKUP($B38,dongia1,DG!$E$5,)</f>
        <v>2616000</v>
      </c>
      <c r="I38" s="1062"/>
      <c r="J38" s="1062">
        <f>VLOOKUP($B38,dongia1,DG!$G$5,)</f>
        <v>0</v>
      </c>
      <c r="K38" s="1083"/>
      <c r="L38" s="1174">
        <f t="shared" si="0"/>
        <v>0</v>
      </c>
      <c r="M38" s="1174">
        <f>I38*G38</f>
        <v>0</v>
      </c>
      <c r="N38" s="1174">
        <f>J38*G38</f>
        <v>0</v>
      </c>
      <c r="O38" s="1083">
        <f>K38*G38</f>
        <v>0</v>
      </c>
      <c r="P38" s="1074"/>
      <c r="Q38" s="1173"/>
      <c r="R38" s="1175"/>
    </row>
    <row r="39" spans="1:27" s="1081" customFormat="1" hidden="1" outlineLevel="1">
      <c r="A39" s="1154">
        <f t="shared" si="4"/>
        <v>0</v>
      </c>
      <c r="B39" s="1067" t="s">
        <v>465</v>
      </c>
      <c r="C39" s="1168">
        <f t="shared" si="5"/>
        <v>0</v>
      </c>
      <c r="D39" s="1075">
        <f>VLOOKUP($B39,dongia1,DG!$B$5,)</f>
        <v>0</v>
      </c>
      <c r="E39" s="1076" t="str">
        <f>VLOOKUP($B39,dongia1,DG!$C$5,)</f>
        <v>Điện kế 1 pha 2 dây 220V-80A</v>
      </c>
      <c r="F39" s="1075" t="str">
        <f>VLOOKUP($B39,dongia1,DG!$D$5,)</f>
        <v>cái</v>
      </c>
      <c r="G39" s="1074">
        <f>G34</f>
        <v>0</v>
      </c>
      <c r="H39" s="1062"/>
      <c r="I39" s="1062"/>
      <c r="J39" s="1083"/>
      <c r="K39" s="1083"/>
      <c r="L39" s="1174">
        <f t="shared" si="0"/>
        <v>0</v>
      </c>
      <c r="M39" s="1174">
        <f t="shared" si="1"/>
        <v>0</v>
      </c>
      <c r="N39" s="1174">
        <f t="shared" si="2"/>
        <v>0</v>
      </c>
      <c r="O39" s="1083">
        <f t="shared" si="3"/>
        <v>0</v>
      </c>
      <c r="P39" s="1074" t="s">
        <v>3374</v>
      </c>
      <c r="R39" s="1177"/>
    </row>
    <row r="40" spans="1:27" s="1081" customFormat="1" hidden="1" outlineLevel="1">
      <c r="A40" s="1154">
        <f t="shared" si="4"/>
        <v>0</v>
      </c>
      <c r="B40" s="1073" t="s">
        <v>1520</v>
      </c>
      <c r="C40" s="1168">
        <f t="shared" si="5"/>
        <v>0</v>
      </c>
      <c r="D40" s="1075">
        <f>VLOOKUP($B40,dongia1,DG!$B$5,)</f>
        <v>0</v>
      </c>
      <c r="E40" s="1076" t="str">
        <f>VLOOKUP($B40,dongia1,DG!$C$5,)</f>
        <v xml:space="preserve">Ampe kế 100/5A-600v +AS </v>
      </c>
      <c r="F40" s="1075" t="str">
        <f>VLOOKUP($B40,dongia1,DG!$D$5,)</f>
        <v>Bộ</v>
      </c>
      <c r="G40" s="1074">
        <f>G39</f>
        <v>0</v>
      </c>
      <c r="H40" s="1062"/>
      <c r="I40" s="1062"/>
      <c r="J40" s="1083"/>
      <c r="K40" s="1178"/>
      <c r="L40" s="1174">
        <f t="shared" si="0"/>
        <v>0</v>
      </c>
      <c r="M40" s="1174">
        <f t="shared" si="1"/>
        <v>0</v>
      </c>
      <c r="N40" s="1174">
        <f t="shared" si="2"/>
        <v>0</v>
      </c>
      <c r="O40" s="1083">
        <f t="shared" si="3"/>
        <v>0</v>
      </c>
      <c r="P40" s="1074" t="s">
        <v>3374</v>
      </c>
      <c r="R40" s="1177"/>
    </row>
    <row r="41" spans="1:27" s="1081" customFormat="1" hidden="1" outlineLevel="1">
      <c r="A41" s="1154">
        <f t="shared" si="4"/>
        <v>0</v>
      </c>
      <c r="B41" s="1073" t="s">
        <v>1521</v>
      </c>
      <c r="C41" s="1168">
        <f t="shared" si="5"/>
        <v>0</v>
      </c>
      <c r="D41" s="1075">
        <f>VLOOKUP($B41,dongia1,DG!$B$5,)</f>
        <v>0</v>
      </c>
      <c r="E41" s="1076" t="str">
        <f>VLOOKUP($B41,dongia1,DG!$C$5,)</f>
        <v>Volt kế 500V + VS + 2xChì ống 1A-230V</v>
      </c>
      <c r="F41" s="1075" t="str">
        <f>VLOOKUP($B41,dongia1,DG!$D$5,)</f>
        <v>Bộ</v>
      </c>
      <c r="G41" s="1074">
        <f>G40</f>
        <v>0</v>
      </c>
      <c r="H41" s="1062"/>
      <c r="I41" s="1062"/>
      <c r="J41" s="1083"/>
      <c r="K41" s="1178"/>
      <c r="L41" s="1174">
        <f t="shared" si="0"/>
        <v>0</v>
      </c>
      <c r="M41" s="1174">
        <f t="shared" si="1"/>
        <v>0</v>
      </c>
      <c r="N41" s="1174">
        <f t="shared" si="2"/>
        <v>0</v>
      </c>
      <c r="O41" s="1083">
        <f t="shared" si="3"/>
        <v>0</v>
      </c>
      <c r="P41" s="1074" t="s">
        <v>3374</v>
      </c>
      <c r="R41" s="1177"/>
    </row>
    <row r="42" spans="1:27" s="1081" customFormat="1" hidden="1" outlineLevel="1">
      <c r="A42" s="1154">
        <f>A41</f>
        <v>0</v>
      </c>
      <c r="B42" s="1154"/>
      <c r="C42" s="1179"/>
      <c r="D42" s="1180"/>
      <c r="E42" s="1181"/>
      <c r="F42" s="1182"/>
      <c r="G42" s="1182"/>
      <c r="H42" s="1182"/>
      <c r="I42" s="1182"/>
      <c r="J42" s="1183" t="s">
        <v>3387</v>
      </c>
      <c r="K42" s="1182"/>
      <c r="L42" s="1166">
        <f>SUM(L34:L41)</f>
        <v>0</v>
      </c>
      <c r="M42" s="1166">
        <f>SUM(M34:M41)</f>
        <v>0</v>
      </c>
      <c r="N42" s="1166">
        <f>SUM(N34:N41)</f>
        <v>0</v>
      </c>
      <c r="O42" s="1166">
        <f>SUM(O34:O41)</f>
        <v>0</v>
      </c>
      <c r="P42" s="1179"/>
      <c r="R42" s="1177"/>
    </row>
    <row r="43" spans="1:27" s="1081" customFormat="1" hidden="1" outlineLevel="1">
      <c r="A43" s="1154">
        <f>A42</f>
        <v>0</v>
      </c>
      <c r="B43" s="1154"/>
      <c r="C43" s="1184"/>
      <c r="D43" s="1185"/>
      <c r="E43" s="1164" t="s">
        <v>3376</v>
      </c>
      <c r="F43" s="1186"/>
      <c r="G43" s="1186"/>
      <c r="H43" s="1186"/>
      <c r="I43" s="1186"/>
      <c r="J43" s="1186"/>
      <c r="K43" s="1186"/>
      <c r="L43" s="1186"/>
      <c r="M43" s="1186"/>
      <c r="N43" s="1186"/>
      <c r="O43" s="1185"/>
      <c r="P43" s="1179"/>
      <c r="R43" s="1177"/>
    </row>
    <row r="44" spans="1:27" s="1081" customFormat="1" hidden="1" outlineLevel="1">
      <c r="A44" s="1154">
        <f>IF(G44&lt;&gt;0,1,)</f>
        <v>0</v>
      </c>
      <c r="B44" s="1073" t="s">
        <v>1262</v>
      </c>
      <c r="C44" s="1187">
        <f>IF(G45&gt;0,1,0)</f>
        <v>0</v>
      </c>
      <c r="D44" s="1188"/>
      <c r="E44" s="1076" t="str">
        <f>VLOOKUP($B44,dongia1,DG!$C$5,)</f>
        <v>Boulon 16x300+ 2 long đền vuông D18-50x50x3/Zn</v>
      </c>
      <c r="F44" s="1075" t="str">
        <f>VLOOKUP($B44,dongia1,DG!$D$5,)</f>
        <v>bộ</v>
      </c>
      <c r="G44" s="1064">
        <f>G34*2</f>
        <v>0</v>
      </c>
      <c r="H44" s="1062">
        <f>VLOOKUP($B44,dongia1,DG!$F$5,)</f>
        <v>25400</v>
      </c>
      <c r="I44" s="1062"/>
      <c r="J44" s="1062"/>
      <c r="K44" s="1062">
        <f>VLOOKUP($B44,dongia1,DG!$H$5,)</f>
        <v>0</v>
      </c>
      <c r="L44" s="1174">
        <f t="shared" ref="L44:L115" si="6">H44*G44</f>
        <v>0</v>
      </c>
      <c r="M44" s="1189"/>
      <c r="N44" s="1190"/>
      <c r="O44" s="1189"/>
      <c r="P44" s="1172"/>
      <c r="R44" s="1177"/>
    </row>
    <row r="45" spans="1:27" s="1081" customFormat="1" hidden="1" outlineLevel="1">
      <c r="A45" s="1154">
        <f>IF(G45&lt;&gt;0,1,)</f>
        <v>0</v>
      </c>
      <c r="B45" s="1073"/>
      <c r="C45" s="1191">
        <f>IF(G45&gt;0,C44+1,C44)</f>
        <v>0</v>
      </c>
      <c r="D45" s="1192"/>
      <c r="E45" s="1193" t="s">
        <v>3377</v>
      </c>
      <c r="F45" s="1064" t="s">
        <v>2113</v>
      </c>
      <c r="G45" s="1064"/>
      <c r="H45" s="1083"/>
      <c r="I45" s="1083"/>
      <c r="J45" s="1083"/>
      <c r="K45" s="1083"/>
      <c r="L45" s="1174">
        <f t="shared" si="6"/>
        <v>0</v>
      </c>
      <c r="M45" s="1174">
        <f t="shared" ref="M45:M115" si="7">I45*G45</f>
        <v>0</v>
      </c>
      <c r="N45" s="1174">
        <f>J45*G45</f>
        <v>0</v>
      </c>
      <c r="O45" s="1083">
        <f t="shared" ref="O45:O115" si="8">K45*G45</f>
        <v>0</v>
      </c>
      <c r="P45" s="1074"/>
    </row>
    <row r="46" spans="1:27" s="1081" customFormat="1" ht="14.4" hidden="1" outlineLevel="1">
      <c r="A46" s="1154">
        <f>A45</f>
        <v>0</v>
      </c>
      <c r="B46" s="1073"/>
      <c r="C46" s="1064"/>
      <c r="D46" s="1192"/>
      <c r="E46" s="1194" t="s">
        <v>3378</v>
      </c>
      <c r="F46" s="1074"/>
      <c r="G46" s="1074"/>
      <c r="H46" s="1083"/>
      <c r="I46" s="1083"/>
      <c r="J46" s="1083"/>
      <c r="K46" s="1083"/>
      <c r="L46" s="1174">
        <f t="shared" si="6"/>
        <v>0</v>
      </c>
      <c r="M46" s="1174">
        <f t="shared" si="7"/>
        <v>0</v>
      </c>
      <c r="N46" s="1174">
        <f>J46*G46</f>
        <v>0</v>
      </c>
      <c r="O46" s="1083">
        <f t="shared" si="8"/>
        <v>0</v>
      </c>
      <c r="P46" s="1074"/>
      <c r="R46" s="1195"/>
    </row>
    <row r="47" spans="1:27" s="1081" customFormat="1" hidden="1" outlineLevel="1">
      <c r="A47" s="1154">
        <f>IF(G47&lt;&gt;0,1,)</f>
        <v>0</v>
      </c>
      <c r="B47" s="1067" t="s">
        <v>1012</v>
      </c>
      <c r="C47" s="1074"/>
      <c r="D47" s="1075">
        <f>VLOOKUP($B47,dongia1,DG!$B$5,)</f>
        <v>0</v>
      </c>
      <c r="E47" s="1076" t="str">
        <f>VLOOKUP($B47,dongia1,DG!$C$5,)</f>
        <v>Trụ BTLT 12m F350 dự ứng lực</v>
      </c>
      <c r="F47" s="1075" t="str">
        <f>VLOOKUP($B47,dongia1,DG!$D$5,)</f>
        <v>trụ</v>
      </c>
      <c r="G47" s="1074">
        <f>1*G45</f>
        <v>0</v>
      </c>
      <c r="H47" s="1062">
        <f>VLOOKUP($B47,dongia1,DG!$F$5,)</f>
        <v>4400000</v>
      </c>
      <c r="I47" s="1062"/>
      <c r="J47" s="1062">
        <f>VLOOKUP($B47,dongia1,DG!$G$5,)</f>
        <v>0</v>
      </c>
      <c r="K47" s="1062">
        <f>VLOOKUP($B47,dongia1,DG!$H$5,)</f>
        <v>0</v>
      </c>
      <c r="L47" s="1174">
        <f t="shared" si="6"/>
        <v>0</v>
      </c>
      <c r="M47" s="1174">
        <f t="shared" si="7"/>
        <v>0</v>
      </c>
      <c r="N47" s="1174">
        <f>J47*G47</f>
        <v>0</v>
      </c>
      <c r="O47" s="1083">
        <f t="shared" si="8"/>
        <v>0</v>
      </c>
      <c r="P47" s="1074"/>
      <c r="R47" s="1195"/>
    </row>
    <row r="48" spans="1:27" s="1081" customFormat="1" hidden="1" outlineLevel="1">
      <c r="A48" s="1154">
        <f>IF(G48&lt;&gt;0,1,)</f>
        <v>0</v>
      </c>
      <c r="B48" s="1067" t="s">
        <v>1457</v>
      </c>
      <c r="C48" s="1074"/>
      <c r="D48" s="1196"/>
      <c r="E48" s="1076" t="str">
        <f>VLOOKUP($B48,dongia1,DG!$C$5,)</f>
        <v>Vật liệu dựng trụ</v>
      </c>
      <c r="F48" s="1075" t="str">
        <f>VLOOKUP($B48,dongia1,DG!$D$5,)</f>
        <v>trụ</v>
      </c>
      <c r="G48" s="1074">
        <f>G47</f>
        <v>0</v>
      </c>
      <c r="H48" s="1062">
        <f>VLOOKUP($B48,dongia1,DG!$F$5,)</f>
        <v>17400</v>
      </c>
      <c r="I48" s="1062"/>
      <c r="J48" s="1062">
        <f>VLOOKUP($B48,dongia1,DG!$G$5,)</f>
        <v>0</v>
      </c>
      <c r="K48" s="1062">
        <f>VLOOKUP($B48,dongia1,DG!$H$5,)</f>
        <v>0</v>
      </c>
      <c r="L48" s="1174">
        <f t="shared" si="6"/>
        <v>0</v>
      </c>
      <c r="M48" s="1174">
        <f t="shared" si="7"/>
        <v>0</v>
      </c>
      <c r="N48" s="1174">
        <f>J48*G48</f>
        <v>0</v>
      </c>
      <c r="O48" s="1083">
        <f t="shared" si="8"/>
        <v>0</v>
      </c>
      <c r="P48" s="1074"/>
      <c r="R48" s="1195"/>
    </row>
    <row r="49" spans="1:18" s="1081" customFormat="1" hidden="1" outlineLevel="1">
      <c r="A49" s="1154">
        <f>IF(G49&lt;&gt;0,1,)</f>
        <v>0</v>
      </c>
      <c r="B49" s="1067" t="s">
        <v>1993</v>
      </c>
      <c r="C49" s="1074"/>
      <c r="D49" s="1075" t="str">
        <f>VLOOKUP($B49,dongia1,DG!$B$5,)</f>
        <v>04.9203</v>
      </c>
      <c r="E49" s="1076" t="str">
        <f>VLOOKUP($B49,dongia1,DG!$C$5,)</f>
        <v>Dựng trụ BTLT 12m trong TBA bằng thủ công + cơ giới</v>
      </c>
      <c r="F49" s="1075" t="str">
        <f>VLOOKUP($B49,dongia1,DG!$D$5,)</f>
        <v>trụ</v>
      </c>
      <c r="G49" s="1074">
        <f>G47</f>
        <v>0</v>
      </c>
      <c r="H49" s="1062">
        <f>VLOOKUP($B49,dongia1,DG!$F$5,)</f>
        <v>0</v>
      </c>
      <c r="I49" s="1062"/>
      <c r="J49" s="1062">
        <f>VLOOKUP($B49,dongia1,DG!$G$5,)</f>
        <v>112286</v>
      </c>
      <c r="K49" s="1062">
        <f>VLOOKUP($B49,dongia1,DG!$H$5,)</f>
        <v>105970</v>
      </c>
      <c r="L49" s="1174">
        <f t="shared" si="6"/>
        <v>0</v>
      </c>
      <c r="M49" s="1174">
        <f t="shared" si="7"/>
        <v>0</v>
      </c>
      <c r="N49" s="1174">
        <f>J49*G49</f>
        <v>0</v>
      </c>
      <c r="O49" s="1083">
        <f t="shared" si="8"/>
        <v>0</v>
      </c>
      <c r="P49" s="1074"/>
      <c r="R49" s="1195"/>
    </row>
    <row r="50" spans="1:18" s="1081" customFormat="1" hidden="1" outlineLevel="1">
      <c r="A50" s="1154">
        <f>IF(G50&lt;&gt;0,1,)</f>
        <v>0</v>
      </c>
      <c r="B50" s="1073"/>
      <c r="C50" s="1191">
        <f>IF(G50&gt;0,C45+1,C45)</f>
        <v>0</v>
      </c>
      <c r="D50" s="1192"/>
      <c r="E50" s="1193" t="s">
        <v>3379</v>
      </c>
      <c r="F50" s="1064" t="s">
        <v>2113</v>
      </c>
      <c r="G50" s="1064"/>
      <c r="H50" s="1083"/>
      <c r="I50" s="1083"/>
      <c r="J50" s="1083"/>
      <c r="K50" s="1083"/>
      <c r="L50" s="1174">
        <f t="shared" ref="L50:L55" si="9">H50*G50</f>
        <v>0</v>
      </c>
      <c r="M50" s="1174">
        <f t="shared" ref="M50:M55" si="10">I50*G50</f>
        <v>0</v>
      </c>
      <c r="N50" s="1174">
        <f t="shared" ref="N50:N55" si="11">J50*G50</f>
        <v>0</v>
      </c>
      <c r="O50" s="1083">
        <f t="shared" ref="O50:O55" si="12">K50*G50</f>
        <v>0</v>
      </c>
      <c r="P50" s="1074"/>
    </row>
    <row r="51" spans="1:18" s="1081" customFormat="1" ht="14.4" hidden="1" outlineLevel="1">
      <c r="A51" s="1154">
        <f>A50</f>
        <v>0</v>
      </c>
      <c r="B51" s="1073"/>
      <c r="C51" s="1064"/>
      <c r="D51" s="1192"/>
      <c r="E51" s="1194" t="s">
        <v>3378</v>
      </c>
      <c r="F51" s="1074"/>
      <c r="G51" s="1074"/>
      <c r="H51" s="1083"/>
      <c r="I51" s="1083"/>
      <c r="J51" s="1083"/>
      <c r="K51" s="1083"/>
      <c r="L51" s="1174">
        <f t="shared" si="9"/>
        <v>0</v>
      </c>
      <c r="M51" s="1174">
        <f t="shared" si="10"/>
        <v>0</v>
      </c>
      <c r="N51" s="1174">
        <f t="shared" si="11"/>
        <v>0</v>
      </c>
      <c r="O51" s="1083">
        <f t="shared" si="12"/>
        <v>0</v>
      </c>
      <c r="P51" s="1074"/>
      <c r="R51" s="1195"/>
    </row>
    <row r="52" spans="1:18" s="1081" customFormat="1" hidden="1" outlineLevel="1">
      <c r="A52" s="1154">
        <f>IF(G52&lt;&gt;0,1,)</f>
        <v>0</v>
      </c>
      <c r="B52" s="1067" t="s">
        <v>580</v>
      </c>
      <c r="C52" s="1074"/>
      <c r="D52" s="1075" t="str">
        <f>VLOOKUP($B52,dongia1,DG!$B$5,)</f>
        <v>AG.42111</v>
      </c>
      <c r="E52" s="1076" t="str">
        <f>VLOOKUP($B52,dongia1,DG!$C$5,)</f>
        <v>Đà cản BTCT 1,2m</v>
      </c>
      <c r="F52" s="1075" t="str">
        <f>VLOOKUP($B52,dongia1,DG!$D$5,)</f>
        <v>cái</v>
      </c>
      <c r="G52" s="1074">
        <f>1*G50</f>
        <v>0</v>
      </c>
      <c r="H52" s="1062">
        <f>VLOOKUP($B52,dongia1,DG!$F$5,)</f>
        <v>354545</v>
      </c>
      <c r="I52" s="1062"/>
      <c r="J52" s="1062">
        <f>VLOOKUP($B52,dongia1,DG!$G$5,)</f>
        <v>37220.25</v>
      </c>
      <c r="K52" s="1062">
        <f>VLOOKUP($B52,dongia1,DG!$H$5,)</f>
        <v>0</v>
      </c>
      <c r="L52" s="1174">
        <f t="shared" si="9"/>
        <v>0</v>
      </c>
      <c r="M52" s="1174">
        <f t="shared" si="10"/>
        <v>0</v>
      </c>
      <c r="N52" s="1174">
        <f t="shared" si="11"/>
        <v>0</v>
      </c>
      <c r="O52" s="1083">
        <f t="shared" si="12"/>
        <v>0</v>
      </c>
      <c r="P52" s="1074"/>
      <c r="R52" s="1195"/>
    </row>
    <row r="53" spans="1:18" s="1081" customFormat="1" hidden="1" outlineLevel="1">
      <c r="A53" s="1154">
        <f>IF(G53&lt;&gt;0,1,)</f>
        <v>0</v>
      </c>
      <c r="B53" s="1067" t="s">
        <v>952</v>
      </c>
      <c r="C53" s="1074"/>
      <c r="D53" s="1075">
        <f>VLOOKUP($B53,dongia1,DG!$B$5,)</f>
        <v>0</v>
      </c>
      <c r="E53" s="1076" t="str">
        <f>VLOOKUP($B53,dongia1,DG!$C$5,)</f>
        <v>Boulon 22x650+ 2 long đền vuông D24-60x60x3/Zn</v>
      </c>
      <c r="F53" s="1075" t="str">
        <f>VLOOKUP($B53,dongia1,DG!$D$5,)</f>
        <v>bộ</v>
      </c>
      <c r="G53" s="1074">
        <f>G50</f>
        <v>0</v>
      </c>
      <c r="H53" s="1062">
        <f>VLOOKUP($B53,dongia1,DG!$F$5,)</f>
        <v>92200</v>
      </c>
      <c r="I53" s="1062"/>
      <c r="J53" s="1062">
        <f>VLOOKUP($B53,dongia1,DG!$G$5,)</f>
        <v>0</v>
      </c>
      <c r="K53" s="1062">
        <f>VLOOKUP($B53,dongia1,DG!$H$5,)</f>
        <v>0</v>
      </c>
      <c r="L53" s="1174">
        <f t="shared" si="9"/>
        <v>0</v>
      </c>
      <c r="M53" s="1174">
        <f t="shared" si="10"/>
        <v>0</v>
      </c>
      <c r="N53" s="1174">
        <f t="shared" si="11"/>
        <v>0</v>
      </c>
      <c r="O53" s="1083">
        <f t="shared" si="12"/>
        <v>0</v>
      </c>
      <c r="P53" s="1074"/>
      <c r="R53" s="1195"/>
    </row>
    <row r="54" spans="1:18" s="1081" customFormat="1" hidden="1" outlineLevel="1">
      <c r="A54" s="1154">
        <f>IF(G54&lt;&gt;0,1,)</f>
        <v>0</v>
      </c>
      <c r="B54" s="1067" t="str">
        <f>IF(capdat=1,"MDD1",IF(capdat=2,"MDD2",IF(capdat=3,"MDD3",IF(capdat=4,"MDD4"))))</f>
        <v>MDD3</v>
      </c>
      <c r="C54" s="1074"/>
      <c r="D54" s="1075" t="str">
        <f>VLOOKUP($B54,dongia1,DG!$B$5,)</f>
        <v>03.1013</v>
      </c>
      <c r="E54" s="1076" t="str">
        <f>VLOOKUP($B54,dongia1,DG!$C$5,)</f>
        <v>Đào hố móng đất cấp 3 sâu &gt;1m DT&lt;5m2</v>
      </c>
      <c r="F54" s="1075" t="str">
        <f>VLOOKUP($B54,dongia1,DG!$D$5,)</f>
        <v>m3</v>
      </c>
      <c r="G54" s="1197">
        <f>G50*1.45</f>
        <v>0</v>
      </c>
      <c r="H54" s="1062">
        <f>VLOOKUP($B54,dongia1,DG!$F$5,)</f>
        <v>0</v>
      </c>
      <c r="I54" s="1062"/>
      <c r="J54" s="1062">
        <f>VLOOKUP($B54,dongia1,DG!$G$5,)</f>
        <v>296500.89999999997</v>
      </c>
      <c r="K54" s="1062">
        <f>VLOOKUP($B54,dongia1,DG!$H$5,)</f>
        <v>0</v>
      </c>
      <c r="L54" s="1174">
        <f>H54*G54</f>
        <v>0</v>
      </c>
      <c r="M54" s="1174">
        <f>I54*G54</f>
        <v>0</v>
      </c>
      <c r="N54" s="1174">
        <f>J54*G54</f>
        <v>0</v>
      </c>
      <c r="O54" s="1083">
        <f>K54*G54</f>
        <v>0</v>
      </c>
      <c r="P54" s="1074"/>
      <c r="R54" s="1195"/>
    </row>
    <row r="55" spans="1:18" s="1081" customFormat="1" hidden="1" outlineLevel="1">
      <c r="A55" s="1154">
        <f>IF(G55&lt;&gt;0,1,)</f>
        <v>0</v>
      </c>
      <c r="B55" s="1067" t="str">
        <f>IF(capdat=1,"MDAP1",IF(capdat=2,"MDAP2",IF(capdat=3,"MDAP3",IF(capdat=4,"MDAP4"))))</f>
        <v>MDAP3</v>
      </c>
      <c r="C55" s="1074"/>
      <c r="D55" s="1075" t="str">
        <f>VLOOKUP($B55,dongia1,DG!$B$5,)</f>
        <v>AB.13111</v>
      </c>
      <c r="E55" s="1076" t="str">
        <f>VLOOKUP($B55,dongia1,DG!$C$5,)</f>
        <v>Đắp đất hố móng, đất cấp 3 (độ chặt k = 0.85)</v>
      </c>
      <c r="F55" s="1075" t="str">
        <f>VLOOKUP($B55,dongia1,DG!$D$5,)</f>
        <v>m3</v>
      </c>
      <c r="G55" s="1197">
        <f>G50*1.37</f>
        <v>0</v>
      </c>
      <c r="H55" s="1062">
        <f>VLOOKUP($B55,dongia1,DG!$F$5,)</f>
        <v>0</v>
      </c>
      <c r="I55" s="1062"/>
      <c r="J55" s="1062">
        <f>VLOOKUP($B55,dongia1,DG!$G$5,)</f>
        <v>117703.6</v>
      </c>
      <c r="K55" s="1062">
        <f>VLOOKUP($B55,dongia1,DG!$H$5,)</f>
        <v>0</v>
      </c>
      <c r="L55" s="1174">
        <f t="shared" si="9"/>
        <v>0</v>
      </c>
      <c r="M55" s="1174">
        <f t="shared" si="10"/>
        <v>0</v>
      </c>
      <c r="N55" s="1174">
        <f t="shared" si="11"/>
        <v>0</v>
      </c>
      <c r="O55" s="1083">
        <f t="shared" si="12"/>
        <v>0</v>
      </c>
      <c r="P55" s="1074"/>
      <c r="R55" s="1195"/>
    </row>
    <row r="56" spans="1:18" s="1081" customFormat="1" hidden="1" outlineLevel="1">
      <c r="A56" s="1154">
        <f>IF(G56&lt;&gt;0,1,)</f>
        <v>0</v>
      </c>
      <c r="B56" s="1073"/>
      <c r="C56" s="1191">
        <f>IF(G56&gt;0,C50+1,C50)</f>
        <v>0</v>
      </c>
      <c r="D56" s="1192"/>
      <c r="E56" s="1193" t="s">
        <v>3380</v>
      </c>
      <c r="F56" s="1064" t="s">
        <v>2113</v>
      </c>
      <c r="G56" s="1064">
        <f>SUM(G44:G44)</f>
        <v>0</v>
      </c>
      <c r="H56" s="1083"/>
      <c r="I56" s="1083"/>
      <c r="J56" s="1083"/>
      <c r="K56" s="1083"/>
      <c r="L56" s="1174">
        <f t="shared" ref="L56:L65" si="13">H56*G56</f>
        <v>0</v>
      </c>
      <c r="M56" s="1174">
        <f t="shared" ref="M56:M65" si="14">I56*G56</f>
        <v>0</v>
      </c>
      <c r="N56" s="1174">
        <f t="shared" ref="N56:N64" si="15">J56*G56</f>
        <v>0</v>
      </c>
      <c r="O56" s="1083">
        <f t="shared" ref="O56:O65" si="16">K56*G56</f>
        <v>0</v>
      </c>
      <c r="P56" s="1074"/>
    </row>
    <row r="57" spans="1:18" s="1081" customFormat="1" ht="14.4" hidden="1" outlineLevel="1">
      <c r="A57" s="1154">
        <f>A56</f>
        <v>0</v>
      </c>
      <c r="B57" s="1073"/>
      <c r="C57" s="1064"/>
      <c r="D57" s="1192"/>
      <c r="E57" s="1194" t="s">
        <v>3378</v>
      </c>
      <c r="F57" s="1074"/>
      <c r="G57" s="1074"/>
      <c r="H57" s="1083"/>
      <c r="I57" s="1083"/>
      <c r="J57" s="1083"/>
      <c r="K57" s="1083"/>
      <c r="L57" s="1174">
        <f t="shared" si="13"/>
        <v>0</v>
      </c>
      <c r="M57" s="1174">
        <f t="shared" si="14"/>
        <v>0</v>
      </c>
      <c r="N57" s="1174">
        <f t="shared" si="15"/>
        <v>0</v>
      </c>
      <c r="O57" s="1083">
        <f t="shared" si="16"/>
        <v>0</v>
      </c>
      <c r="P57" s="1074"/>
      <c r="R57" s="1195"/>
    </row>
    <row r="58" spans="1:18" s="1081" customFormat="1" hidden="1" outlineLevel="1">
      <c r="A58" s="1154">
        <f t="shared" ref="A58:A64" si="17">IF(G58&lt;&gt;0,1,)</f>
        <v>0</v>
      </c>
      <c r="B58" s="1067" t="s">
        <v>2116</v>
      </c>
      <c r="C58" s="1074"/>
      <c r="D58" s="1075">
        <f>VLOOKUP($B58,dongia1,DG!$B$5,)</f>
        <v>0</v>
      </c>
      <c r="E58" s="1076" t="str">
        <f>VLOOKUP($B58,dongia1,DG!$C$5,)</f>
        <v>Đà Composite 110x80x5x800</v>
      </c>
      <c r="F58" s="1198" t="str">
        <f>VLOOKUP($B58,dongia1,DG!$D$5,)</f>
        <v>cây</v>
      </c>
      <c r="G58" s="1074">
        <f>1*G56</f>
        <v>0</v>
      </c>
      <c r="H58" s="1062">
        <f>VLOOKUP($B58,dongia1,DG!$F$5,)</f>
        <v>320000</v>
      </c>
      <c r="I58" s="1062"/>
      <c r="J58" s="1062">
        <f>VLOOKUP($B58,dongia1,DG!$G$5,)</f>
        <v>0</v>
      </c>
      <c r="K58" s="1062">
        <f>VLOOKUP($B58,dongia1,DG!$H$5,)</f>
        <v>0</v>
      </c>
      <c r="L58" s="1174">
        <f t="shared" si="13"/>
        <v>0</v>
      </c>
      <c r="M58" s="1174">
        <f t="shared" si="14"/>
        <v>0</v>
      </c>
      <c r="N58" s="1174">
        <f t="shared" si="15"/>
        <v>0</v>
      </c>
      <c r="O58" s="1083">
        <f t="shared" si="16"/>
        <v>0</v>
      </c>
      <c r="P58" s="1074"/>
      <c r="R58" s="1195"/>
    </row>
    <row r="59" spans="1:18" s="1081" customFormat="1" hidden="1" outlineLevel="1">
      <c r="A59" s="1154">
        <f t="shared" si="17"/>
        <v>0</v>
      </c>
      <c r="B59" s="1067" t="s">
        <v>2109</v>
      </c>
      <c r="C59" s="1074"/>
      <c r="D59" s="1196"/>
      <c r="E59" s="1076" t="str">
        <f>VLOOKUP($B59,dongia1,DG!$C$5,)</f>
        <v>Chống Composite 40x10x710</v>
      </c>
      <c r="F59" s="1075" t="str">
        <f>VLOOKUP($B59,dongia1,DG!$D$5,)</f>
        <v>Thanh</v>
      </c>
      <c r="G59" s="1074">
        <f>1*G56</f>
        <v>0</v>
      </c>
      <c r="H59" s="1062">
        <f>VLOOKUP($B59,dongia1,DG!$F$5,)</f>
        <v>95000</v>
      </c>
      <c r="I59" s="1062"/>
      <c r="J59" s="1062">
        <f>VLOOKUP($B59,dongia1,DG!$G$5,)</f>
        <v>0</v>
      </c>
      <c r="K59" s="1062">
        <f>VLOOKUP($B59,dongia1,DG!$H$5,)</f>
        <v>0</v>
      </c>
      <c r="L59" s="1174">
        <f t="shared" si="13"/>
        <v>0</v>
      </c>
      <c r="M59" s="1174">
        <f t="shared" si="14"/>
        <v>0</v>
      </c>
      <c r="N59" s="1174">
        <f t="shared" si="15"/>
        <v>0</v>
      </c>
      <c r="O59" s="1083">
        <f t="shared" si="16"/>
        <v>0</v>
      </c>
      <c r="P59" s="1074"/>
      <c r="R59" s="1195"/>
    </row>
    <row r="60" spans="1:18" s="1081" customFormat="1" hidden="1" outlineLevel="1">
      <c r="A60" s="1154">
        <f t="shared" si="17"/>
        <v>0</v>
      </c>
      <c r="B60" s="1067" t="s">
        <v>946</v>
      </c>
      <c r="C60" s="1074"/>
      <c r="D60" s="1196"/>
      <c r="E60" s="1076" t="str">
        <f>VLOOKUP($B60,dongia1,DG!$C$5,)</f>
        <v>Bass LL bắt FCO và LA</v>
      </c>
      <c r="F60" s="1075" t="str">
        <f>VLOOKUP($B60,dongia1,DG!$D$5,)</f>
        <v>bộ</v>
      </c>
      <c r="G60" s="1074">
        <f>1*G56</f>
        <v>0</v>
      </c>
      <c r="H60" s="1062">
        <f>VLOOKUP($B60,dongia1,DG!$F$5,)</f>
        <v>65000</v>
      </c>
      <c r="I60" s="1062"/>
      <c r="J60" s="1062">
        <f>VLOOKUP($B60,dongia1,DG!$G$5,)</f>
        <v>0</v>
      </c>
      <c r="K60" s="1062">
        <f>VLOOKUP($B60,dongia1,DG!$H$5,)</f>
        <v>0</v>
      </c>
      <c r="L60" s="1174">
        <f t="shared" si="13"/>
        <v>0</v>
      </c>
      <c r="M60" s="1174">
        <f t="shared" si="14"/>
        <v>0</v>
      </c>
      <c r="N60" s="1174">
        <f t="shared" si="15"/>
        <v>0</v>
      </c>
      <c r="O60" s="1083">
        <f t="shared" si="16"/>
        <v>0</v>
      </c>
      <c r="P60" s="1074"/>
      <c r="R60" s="1195"/>
    </row>
    <row r="61" spans="1:18" s="1081" customFormat="1" hidden="1" outlineLevel="1">
      <c r="A61" s="1154">
        <f t="shared" si="17"/>
        <v>0</v>
      </c>
      <c r="B61" s="1073" t="s">
        <v>2164</v>
      </c>
      <c r="C61" s="1074"/>
      <c r="D61" s="1196"/>
      <c r="E61" s="1076" t="str">
        <f>VLOOKUP($B61,dongia1,DG!$C$5,)</f>
        <v>Nắp che đầu cực FCO</v>
      </c>
      <c r="F61" s="1075" t="str">
        <f>VLOOKUP($B61,dongia1,DG!$D$5,)</f>
        <v>cái</v>
      </c>
      <c r="G61" s="1074">
        <f>1*$G$35</f>
        <v>0</v>
      </c>
      <c r="H61" s="1062">
        <f>VLOOKUP($B61,dongia1,DG!$F$5,)</f>
        <v>218200</v>
      </c>
      <c r="I61" s="1062"/>
      <c r="J61" s="1062">
        <f>VLOOKUP($B61,dongia1,DG!$G$5,)</f>
        <v>0</v>
      </c>
      <c r="K61" s="1062">
        <f>VLOOKUP($B61,dongia1,DG!$H$5,)</f>
        <v>0</v>
      </c>
      <c r="L61" s="1174">
        <f t="shared" si="13"/>
        <v>0</v>
      </c>
      <c r="M61" s="1174">
        <f t="shared" si="14"/>
        <v>0</v>
      </c>
      <c r="N61" s="1174">
        <f t="shared" si="15"/>
        <v>0</v>
      </c>
      <c r="O61" s="1083">
        <f t="shared" si="16"/>
        <v>0</v>
      </c>
      <c r="P61" s="1074"/>
      <c r="R61" s="1195"/>
    </row>
    <row r="62" spans="1:18" s="1081" customFormat="1" hidden="1" outlineLevel="1">
      <c r="A62" s="1154">
        <f t="shared" si="17"/>
        <v>0</v>
      </c>
      <c r="B62" s="1073" t="s">
        <v>2165</v>
      </c>
      <c r="C62" s="1074"/>
      <c r="D62" s="1196"/>
      <c r="E62" s="1076" t="str">
        <f>VLOOKUP($B62,dongia1,DG!$C$5,)</f>
        <v>Nắp che đầu cực LA</v>
      </c>
      <c r="F62" s="1075" t="str">
        <f>VLOOKUP($B62,dongia1,DG!$D$5,)</f>
        <v>cái</v>
      </c>
      <c r="G62" s="1074">
        <f>1*$G$37</f>
        <v>0</v>
      </c>
      <c r="H62" s="1062">
        <f>VLOOKUP($B62,dongia1,DG!$F$5,)</f>
        <v>39100</v>
      </c>
      <c r="I62" s="1062"/>
      <c r="J62" s="1062">
        <f>VLOOKUP($B62,dongia1,DG!$G$5,)</f>
        <v>0</v>
      </c>
      <c r="K62" s="1062">
        <f>VLOOKUP($B62,dongia1,DG!$H$5,)</f>
        <v>0</v>
      </c>
      <c r="L62" s="1174">
        <f t="shared" si="13"/>
        <v>0</v>
      </c>
      <c r="M62" s="1174">
        <f t="shared" si="14"/>
        <v>0</v>
      </c>
      <c r="N62" s="1174">
        <f t="shared" si="15"/>
        <v>0</v>
      </c>
      <c r="O62" s="1083">
        <f t="shared" si="16"/>
        <v>0</v>
      </c>
      <c r="P62" s="1074"/>
      <c r="R62" s="1195"/>
    </row>
    <row r="63" spans="1:18" s="1081" customFormat="1" hidden="1" outlineLevel="1">
      <c r="A63" s="1154">
        <f t="shared" si="17"/>
        <v>0</v>
      </c>
      <c r="B63" s="1073" t="s">
        <v>733</v>
      </c>
      <c r="C63" s="1074"/>
      <c r="D63" s="1196"/>
      <c r="E63" s="1076" t="str">
        <f>VLOOKUP($B63,dongia1,DG!$C$5,)</f>
        <v>Boulon 16x350+ 2 long đền vuông D18-50x50x3/Zn</v>
      </c>
      <c r="F63" s="1075" t="str">
        <f>VLOOKUP($B63,dongia1,DG!$D$5,)</f>
        <v>bộ</v>
      </c>
      <c r="G63" s="1074">
        <f>2*G56</f>
        <v>0</v>
      </c>
      <c r="H63" s="1062">
        <f>VLOOKUP($B63,dongia1,DG!$F$5,)</f>
        <v>27900</v>
      </c>
      <c r="I63" s="1062"/>
      <c r="J63" s="1062">
        <f>VLOOKUP($B63,dongia1,DG!$G$5,)</f>
        <v>0</v>
      </c>
      <c r="K63" s="1062">
        <f>VLOOKUP($B63,dongia1,DG!$H$5,)</f>
        <v>0</v>
      </c>
      <c r="L63" s="1174">
        <f t="shared" si="13"/>
        <v>0</v>
      </c>
      <c r="M63" s="1174">
        <f t="shared" si="14"/>
        <v>0</v>
      </c>
      <c r="N63" s="1174">
        <f t="shared" si="15"/>
        <v>0</v>
      </c>
      <c r="O63" s="1083">
        <f t="shared" si="16"/>
        <v>0</v>
      </c>
      <c r="P63" s="1074"/>
      <c r="R63" s="1195"/>
    </row>
    <row r="64" spans="1:18" s="1081" customFormat="1" hidden="1" outlineLevel="1">
      <c r="A64" s="1154">
        <f t="shared" si="17"/>
        <v>0</v>
      </c>
      <c r="B64" s="1073" t="s">
        <v>746</v>
      </c>
      <c r="C64" s="1074"/>
      <c r="D64" s="1196"/>
      <c r="E64" s="1076" t="str">
        <f>VLOOKUP($B64,dongia1,DG!$C$5,)</f>
        <v>Boulon 16x150+ 2 long đền vuông D18-50x50x3/Zn</v>
      </c>
      <c r="F64" s="1075" t="str">
        <f>VLOOKUP($B64,dongia1,DG!$D$5,)</f>
        <v>bộ</v>
      </c>
      <c r="G64" s="1074">
        <f>1*G56</f>
        <v>0</v>
      </c>
      <c r="H64" s="1062">
        <f>VLOOKUP($B64,dongia1,DG!$F$5,)</f>
        <v>18900</v>
      </c>
      <c r="I64" s="1062"/>
      <c r="J64" s="1062">
        <f>VLOOKUP($B64,dongia1,DG!$G$5,)</f>
        <v>0</v>
      </c>
      <c r="K64" s="1062">
        <f>VLOOKUP($B64,dongia1,DG!$H$5,)</f>
        <v>0</v>
      </c>
      <c r="L64" s="1174">
        <f t="shared" si="13"/>
        <v>0</v>
      </c>
      <c r="M64" s="1174">
        <f t="shared" si="14"/>
        <v>0</v>
      </c>
      <c r="N64" s="1174">
        <f t="shared" si="15"/>
        <v>0</v>
      </c>
      <c r="O64" s="1083">
        <f t="shared" si="16"/>
        <v>0</v>
      </c>
      <c r="P64" s="1074"/>
      <c r="R64" s="1195"/>
    </row>
    <row r="65" spans="1:16" s="1081" customFormat="1" hidden="1" outlineLevel="1">
      <c r="A65" s="1199" t="str">
        <f>IF(G65&lt;&gt;0,1,"")</f>
        <v/>
      </c>
      <c r="B65" s="1067" t="s">
        <v>534</v>
      </c>
      <c r="C65" s="1074"/>
      <c r="D65" s="1075" t="str">
        <f>VLOOKUP($B65,dongia1,DG!$B$5,)</f>
        <v>D2.6021</v>
      </c>
      <c r="E65" s="1076" t="str">
        <f>VLOOKUP($B65,dongia1,DG!$C$5,)</f>
        <v>Lắp xà đỡ 25kg</v>
      </c>
      <c r="F65" s="1075" t="str">
        <f>VLOOKUP($B65,dongia1,DG!$D$5,)</f>
        <v>bộ</v>
      </c>
      <c r="G65" s="1074">
        <f>G56</f>
        <v>0</v>
      </c>
      <c r="H65" s="1062">
        <f>VLOOKUP($B65,dongia1,DG!$F$5,)</f>
        <v>0</v>
      </c>
      <c r="I65" s="1083"/>
      <c r="J65" s="1200" t="str">
        <f>VLOOKUP($B65,dongia1,DG!$G$5,)&amp;"x 1,5"</f>
        <v>219185,25x 1,5</v>
      </c>
      <c r="K65" s="1062">
        <f>VLOOKUP($B65,dongia1,DG!$H$5,)</f>
        <v>0</v>
      </c>
      <c r="L65" s="1174">
        <f t="shared" si="13"/>
        <v>0</v>
      </c>
      <c r="M65" s="1174">
        <f t="shared" si="14"/>
        <v>0</v>
      </c>
      <c r="N65" s="1201">
        <f>VLOOKUP($B65,dongia1,DG!$G$5,)*G65*1.5</f>
        <v>0</v>
      </c>
      <c r="O65" s="1083">
        <f t="shared" si="16"/>
        <v>0</v>
      </c>
      <c r="P65" s="1080"/>
    </row>
    <row r="66" spans="1:16" s="1081" customFormat="1" hidden="1" outlineLevel="1">
      <c r="A66" s="1154">
        <f>IF(G66&lt;&gt;0,1,)</f>
        <v>0</v>
      </c>
      <c r="B66" s="1073"/>
      <c r="C66" s="1191">
        <f>IF(G66&gt;0,C56+1,C56)</f>
        <v>0</v>
      </c>
      <c r="D66" s="1192"/>
      <c r="E66" s="1193" t="s">
        <v>3381</v>
      </c>
      <c r="F66" s="1064" t="s">
        <v>2113</v>
      </c>
      <c r="G66" s="1064">
        <f>G34</f>
        <v>0</v>
      </c>
      <c r="H66" s="1083"/>
      <c r="I66" s="1083"/>
      <c r="J66" s="1083"/>
      <c r="K66" s="1083"/>
      <c r="L66" s="1174">
        <f t="shared" si="6"/>
        <v>0</v>
      </c>
      <c r="M66" s="1174">
        <f t="shared" si="7"/>
        <v>0</v>
      </c>
      <c r="N66" s="1174">
        <f t="shared" ref="N66:N72" si="18">J66*G66</f>
        <v>0</v>
      </c>
      <c r="O66" s="1083">
        <f t="shared" si="8"/>
        <v>0</v>
      </c>
      <c r="P66" s="1074"/>
    </row>
    <row r="67" spans="1:16" s="1081" customFormat="1" ht="14.4" hidden="1" outlineLevel="1">
      <c r="A67" s="1154">
        <f>A66</f>
        <v>0</v>
      </c>
      <c r="B67" s="1073"/>
      <c r="C67" s="1074"/>
      <c r="D67" s="1196"/>
      <c r="E67" s="1194" t="s">
        <v>3378</v>
      </c>
      <c r="F67" s="1074"/>
      <c r="G67" s="1074"/>
      <c r="H67" s="1083"/>
      <c r="I67" s="1083"/>
      <c r="J67" s="1083"/>
      <c r="K67" s="1083"/>
      <c r="L67" s="1174">
        <f t="shared" si="6"/>
        <v>0</v>
      </c>
      <c r="M67" s="1174">
        <f t="shared" si="7"/>
        <v>0</v>
      </c>
      <c r="N67" s="1174">
        <f t="shared" si="18"/>
        <v>0</v>
      </c>
      <c r="O67" s="1083">
        <f t="shared" si="8"/>
        <v>0</v>
      </c>
      <c r="P67" s="1074"/>
    </row>
    <row r="68" spans="1:16" s="1081" customFormat="1" hidden="1" outlineLevel="1">
      <c r="A68" s="1154">
        <f>IF(G68&lt;&gt;0,1,)</f>
        <v>0</v>
      </c>
      <c r="B68" s="1073" t="str">
        <f>Solieu!$I$55</f>
        <v>M25</v>
      </c>
      <c r="C68" s="1074"/>
      <c r="D68" s="1075">
        <f>VLOOKUP($B68,dongia1,DG!$B$5,)</f>
        <v>0</v>
      </c>
      <c r="E68" s="1076" t="str">
        <f>VLOOKUP($B68,dongia1,DG!$C$5,)&amp;": "&amp;$H$3&amp;"m"</f>
        <v>Cáp đồng trần M25mm2: 53m</v>
      </c>
      <c r="F68" s="1075" t="str">
        <f>VLOOKUP($B68,dongia1,DG!$D$5,)</f>
        <v>kg</v>
      </c>
      <c r="G68" s="1202">
        <f>$H$3*G66*0.224</f>
        <v>0</v>
      </c>
      <c r="H68" s="1062">
        <f>VLOOKUP($B68,dongia1,DG!$F$5,)</f>
        <v>255500</v>
      </c>
      <c r="I68" s="1062"/>
      <c r="J68" s="1062">
        <f>VLOOKUP($B68,dongia1,DG!$G$5,)</f>
        <v>0</v>
      </c>
      <c r="K68" s="1062">
        <f>VLOOKUP($B68,dongia1,DG!$H$5,)</f>
        <v>0</v>
      </c>
      <c r="L68" s="1174">
        <f t="shared" si="6"/>
        <v>0</v>
      </c>
      <c r="M68" s="1174">
        <f t="shared" si="7"/>
        <v>0</v>
      </c>
      <c r="N68" s="1174">
        <f t="shared" si="18"/>
        <v>0</v>
      </c>
      <c r="O68" s="1083">
        <f t="shared" si="8"/>
        <v>0</v>
      </c>
      <c r="P68" s="1074"/>
    </row>
    <row r="69" spans="1:16" s="1081" customFormat="1" hidden="1" outlineLevel="1">
      <c r="A69" s="1154">
        <f>IF(G69&lt;&gt;0,1,)</f>
        <v>0</v>
      </c>
      <c r="B69" s="1067" t="s">
        <v>1098</v>
      </c>
      <c r="C69" s="1074"/>
      <c r="D69" s="1075">
        <f>VLOOKUP($B69,dongia1,DG!$B$5,)</f>
        <v>0</v>
      </c>
      <c r="E69" s="1076" t="str">
        <f>VLOOKUP($B69,dongia1,DG!$C$5,)</f>
        <v>Cọc tiếp đất Þ 16- 2,4m + kẹp cọc</v>
      </c>
      <c r="F69" s="1075" t="str">
        <f>VLOOKUP($B69,dongia1,DG!$D$5,)</f>
        <v>bộ</v>
      </c>
      <c r="G69" s="1074">
        <f>$H$2*G66</f>
        <v>0</v>
      </c>
      <c r="H69" s="1062">
        <f>VLOOKUP($B69,dongia1,DG!$F$5,)</f>
        <v>160000</v>
      </c>
      <c r="I69" s="1062"/>
      <c r="J69" s="1062">
        <f>VLOOKUP($B69,dongia1,DG!$G$5,)</f>
        <v>0</v>
      </c>
      <c r="K69" s="1062">
        <f>VLOOKUP($B69,dongia1,DG!$H$5,)</f>
        <v>0</v>
      </c>
      <c r="L69" s="1174">
        <f t="shared" si="6"/>
        <v>0</v>
      </c>
      <c r="M69" s="1174">
        <f t="shared" si="7"/>
        <v>0</v>
      </c>
      <c r="N69" s="1174">
        <f t="shared" si="18"/>
        <v>0</v>
      </c>
      <c r="O69" s="1083">
        <f t="shared" si="8"/>
        <v>0</v>
      </c>
      <c r="P69" s="1074"/>
    </row>
    <row r="70" spans="1:16" s="1081" customFormat="1" hidden="1" outlineLevel="1">
      <c r="A70" s="1154">
        <f>IF(G70&lt;&gt;0,1,)</f>
        <v>0</v>
      </c>
      <c r="B70" s="1067" t="s">
        <v>2040</v>
      </c>
      <c r="C70" s="1074"/>
      <c r="D70" s="1075">
        <f>VLOOKUP($B70,dongia1,DG!$B$5,)</f>
        <v>0</v>
      </c>
      <c r="E70" s="1076" t="str">
        <f>VLOOKUP($B70,dongia1,DG!$C$5,)</f>
        <v xml:space="preserve">Ống PVC D21x1,6mm </v>
      </c>
      <c r="F70" s="1075" t="str">
        <f>VLOOKUP($B70,dongia1,DG!$D$5,)</f>
        <v>m</v>
      </c>
      <c r="G70" s="1074">
        <f>6*G66</f>
        <v>0</v>
      </c>
      <c r="H70" s="1062">
        <f>VLOOKUP($B70,dongia1,DG!$F$5,)</f>
        <v>6200</v>
      </c>
      <c r="I70" s="1062"/>
      <c r="J70" s="1062">
        <f>VLOOKUP($B70,dongia1,DG!$G$5,)</f>
        <v>0</v>
      </c>
      <c r="K70" s="1062">
        <f>VLOOKUP($B70,dongia1,DG!$H$5,)</f>
        <v>0</v>
      </c>
      <c r="L70" s="1174">
        <f t="shared" si="6"/>
        <v>0</v>
      </c>
      <c r="M70" s="1174">
        <f t="shared" si="7"/>
        <v>0</v>
      </c>
      <c r="N70" s="1174">
        <f t="shared" si="18"/>
        <v>0</v>
      </c>
      <c r="O70" s="1083">
        <f t="shared" si="8"/>
        <v>0</v>
      </c>
      <c r="P70" s="1074"/>
    </row>
    <row r="71" spans="1:16" s="1081" customFormat="1" hidden="1" outlineLevel="1">
      <c r="A71" s="1154">
        <f>IF(G71&lt;&gt;0,1,)</f>
        <v>0</v>
      </c>
      <c r="B71" s="1086" t="s">
        <v>75</v>
      </c>
      <c r="C71" s="1074"/>
      <c r="D71" s="1075">
        <f>VLOOKUP($B71,dongia1,DG!$B$5,)</f>
        <v>0</v>
      </c>
      <c r="E71" s="1076" t="str">
        <f>VLOOKUP($B71,dongia1,DG!$C$5,)</f>
        <v>Kẹp ép WR cỡ dây 50mm2</v>
      </c>
      <c r="F71" s="1075" t="str">
        <f>VLOOKUP($B71,dongia1,DG!$D$5,)</f>
        <v>cái</v>
      </c>
      <c r="G71" s="1074">
        <f>2*G66</f>
        <v>0</v>
      </c>
      <c r="H71" s="1062">
        <f>VLOOKUP($B71,dongia1,DG!$F$5,)</f>
        <v>8000</v>
      </c>
      <c r="I71" s="1062"/>
      <c r="J71" s="1062">
        <f>VLOOKUP($B71,dongia1,DG!$G$5,)</f>
        <v>0</v>
      </c>
      <c r="K71" s="1062">
        <f>VLOOKUP($B71,dongia1,DG!$H$5,)</f>
        <v>0</v>
      </c>
      <c r="L71" s="1174">
        <f t="shared" si="6"/>
        <v>0</v>
      </c>
      <c r="M71" s="1174">
        <f t="shared" si="7"/>
        <v>0</v>
      </c>
      <c r="N71" s="1174">
        <f t="shared" si="18"/>
        <v>0</v>
      </c>
      <c r="O71" s="1083">
        <f t="shared" si="8"/>
        <v>0</v>
      </c>
      <c r="P71" s="1074"/>
    </row>
    <row r="72" spans="1:16" s="1081" customFormat="1" hidden="1" outlineLevel="1">
      <c r="A72" s="1154">
        <f>IF(G72&lt;&gt;0,1,)</f>
        <v>0</v>
      </c>
      <c r="B72" s="1086" t="s">
        <v>913</v>
      </c>
      <c r="C72" s="1074"/>
      <c r="D72" s="1075">
        <f>VLOOKUP($B72,dongia1,DG!$B$5,)</f>
        <v>0</v>
      </c>
      <c r="E72" s="1076" t="str">
        <f>VLOOKUP($B72,dongia1,DG!$C$5,)</f>
        <v>Kẹp ép cỡ dây 25mm2</v>
      </c>
      <c r="F72" s="1075" t="str">
        <f>VLOOKUP($B72,dongia1,DG!$D$5,)</f>
        <v>cái</v>
      </c>
      <c r="G72" s="1074">
        <f>G66*14</f>
        <v>0</v>
      </c>
      <c r="H72" s="1062">
        <f>VLOOKUP($B72,dongia1,DG!$F$5,)</f>
        <v>6000</v>
      </c>
      <c r="I72" s="1062"/>
      <c r="J72" s="1062">
        <f>VLOOKUP($B72,dongia1,DG!$G$5,)</f>
        <v>0</v>
      </c>
      <c r="K72" s="1062">
        <f>VLOOKUP($B72,dongia1,DG!$H$5,)</f>
        <v>0</v>
      </c>
      <c r="L72" s="1174">
        <f t="shared" si="6"/>
        <v>0</v>
      </c>
      <c r="M72" s="1174">
        <f t="shared" si="7"/>
        <v>0</v>
      </c>
      <c r="N72" s="1174">
        <f t="shared" si="18"/>
        <v>0</v>
      </c>
      <c r="O72" s="1083">
        <f t="shared" si="8"/>
        <v>0</v>
      </c>
      <c r="P72" s="1074"/>
    </row>
    <row r="73" spans="1:16" s="1081" customFormat="1" hidden="1" outlineLevel="1">
      <c r="A73" s="1154">
        <f>A70</f>
        <v>0</v>
      </c>
      <c r="B73" s="1067" t="s">
        <v>1490</v>
      </c>
      <c r="C73" s="1074"/>
      <c r="D73" s="1075">
        <f>VLOOKUP($B73,dongia1,DG!$B$5,)</f>
        <v>0</v>
      </c>
      <c r="E73" s="1076" t="str">
        <f>VLOOKUP($B73,dongia1,DG!$C$5,)&amp;": CD 90-250"</f>
        <v>Cổ dê kẹp ống PVC (STK) Þ 21: CD 90-250</v>
      </c>
      <c r="F73" s="1075" t="str">
        <f>VLOOKUP($B73,dongia1,DG!$D$5,)</f>
        <v>bộ</v>
      </c>
      <c r="G73" s="1203">
        <f>G66*0.415</f>
        <v>0</v>
      </c>
      <c r="H73" s="1062">
        <f>VLOOKUP($B73,dongia1,DG!$F$5,)</f>
        <v>43000</v>
      </c>
      <c r="I73" s="1083"/>
      <c r="J73" s="1062"/>
      <c r="K73" s="1062">
        <f>VLOOKUP($B73,dongia1,DG!$H$5,)</f>
        <v>0</v>
      </c>
      <c r="L73" s="1174">
        <f t="shared" si="6"/>
        <v>0</v>
      </c>
      <c r="M73" s="1174">
        <f t="shared" si="7"/>
        <v>0</v>
      </c>
      <c r="N73" s="1062">
        <f>VLOOKUP($B73,dongia1,DG!$G$5,)*G73</f>
        <v>0</v>
      </c>
      <c r="O73" s="1083">
        <f t="shared" si="8"/>
        <v>0</v>
      </c>
      <c r="P73" s="1080"/>
    </row>
    <row r="74" spans="1:16" s="1081" customFormat="1" hidden="1" outlineLevel="1">
      <c r="A74" s="1154">
        <f>A71</f>
        <v>0</v>
      </c>
      <c r="B74" s="1067" t="s">
        <v>1490</v>
      </c>
      <c r="C74" s="1074"/>
      <c r="D74" s="1075">
        <f>VLOOKUP($B74,dongia1,DG!$B$5,)</f>
        <v>0</v>
      </c>
      <c r="E74" s="1076" t="str">
        <f>VLOOKUP($B74,dongia1,DG!$C$5,)&amp;": CD 90-280"</f>
        <v>Cổ dê kẹp ống PVC (STK) Þ 21: CD 90-280</v>
      </c>
      <c r="F74" s="1075" t="str">
        <f>VLOOKUP($B74,dongia1,DG!$D$5,)</f>
        <v>bộ</v>
      </c>
      <c r="G74" s="1203">
        <f>G66*0.452</f>
        <v>0</v>
      </c>
      <c r="H74" s="1062">
        <f>VLOOKUP($B74,dongia1,DG!$F$5,)</f>
        <v>43000</v>
      </c>
      <c r="I74" s="1083"/>
      <c r="J74" s="1062"/>
      <c r="K74" s="1062">
        <f>VLOOKUP($B74,dongia1,DG!$H$5,)</f>
        <v>0</v>
      </c>
      <c r="L74" s="1174">
        <f t="shared" si="6"/>
        <v>0</v>
      </c>
      <c r="M74" s="1174"/>
      <c r="N74" s="1062">
        <f>VLOOKUP($B74,dongia1,DG!$G$5,)*G74</f>
        <v>0</v>
      </c>
      <c r="O74" s="1083">
        <f t="shared" si="8"/>
        <v>0</v>
      </c>
      <c r="P74" s="1080"/>
    </row>
    <row r="75" spans="1:16" s="1081" customFormat="1" hidden="1" outlineLevel="1">
      <c r="A75" s="1154">
        <f>A72</f>
        <v>0</v>
      </c>
      <c r="B75" s="1067" t="s">
        <v>1490</v>
      </c>
      <c r="C75" s="1074"/>
      <c r="D75" s="1075">
        <f>VLOOKUP($B75,dongia1,DG!$B$5,)</f>
        <v>0</v>
      </c>
      <c r="E75" s="1076" t="str">
        <f>VLOOKUP($B75,dongia1,DG!$C$5,)&amp;": CD 90-320"</f>
        <v>Cổ dê kẹp ống PVC (STK) Þ 21: CD 90-320</v>
      </c>
      <c r="F75" s="1075" t="str">
        <f>VLOOKUP($B75,dongia1,DG!$D$5,)</f>
        <v>bộ</v>
      </c>
      <c r="G75" s="1203">
        <f>G66*0.501</f>
        <v>0</v>
      </c>
      <c r="H75" s="1062">
        <f>VLOOKUP($B75,dongia1,DG!$F$5,)</f>
        <v>43000</v>
      </c>
      <c r="I75" s="1083"/>
      <c r="J75" s="1062"/>
      <c r="K75" s="1062">
        <f>VLOOKUP($B75,dongia1,DG!$H$5,)</f>
        <v>0</v>
      </c>
      <c r="L75" s="1174">
        <f t="shared" si="6"/>
        <v>0</v>
      </c>
      <c r="M75" s="1174"/>
      <c r="N75" s="1062">
        <f>VLOOKUP($B75,dongia1,DG!$G$5,)*G75</f>
        <v>0</v>
      </c>
      <c r="O75" s="1083">
        <f t="shared" si="8"/>
        <v>0</v>
      </c>
      <c r="P75" s="1080"/>
    </row>
    <row r="76" spans="1:16" s="1081" customFormat="1" hidden="1" outlineLevel="1">
      <c r="A76" s="1154">
        <f>A73</f>
        <v>0</v>
      </c>
      <c r="B76" s="1067" t="s">
        <v>1302</v>
      </c>
      <c r="C76" s="1074"/>
      <c r="D76" s="1075" t="str">
        <f>VLOOKUP($B76,dongia1,DG!$B$5,)</f>
        <v>D3.3241</v>
      </c>
      <c r="E76" s="1076" t="str">
        <f>VLOOKUP($B76,dongia1,DG!$C$5,)&amp;": CD 90-320"</f>
        <v>Lắp cổ dê: CD 90-320</v>
      </c>
      <c r="F76" s="1075" t="str">
        <f>VLOOKUP($B76,dongia1,DG!$D$5,)</f>
        <v>cái</v>
      </c>
      <c r="G76" s="1203">
        <f>G67*0.501</f>
        <v>0</v>
      </c>
      <c r="H76" s="1062"/>
      <c r="I76" s="1083"/>
      <c r="J76" s="1062">
        <f>VLOOKUP($B76,dongia1,DG!$G$5,)</f>
        <v>77000</v>
      </c>
      <c r="K76" s="1062">
        <f>VLOOKUP($B76,dongia1,DG!$H$5,)</f>
        <v>0</v>
      </c>
      <c r="L76" s="1174">
        <f t="shared" ref="L76:L81" si="19">H76*G76</f>
        <v>0</v>
      </c>
      <c r="M76" s="1174"/>
      <c r="N76" s="1062">
        <f>VLOOKUP($B76,dongia1,DG!$G$5,)*G76</f>
        <v>0</v>
      </c>
      <c r="O76" s="1083">
        <f t="shared" ref="O76:O81" si="20">K76*G76</f>
        <v>0</v>
      </c>
      <c r="P76" s="1080"/>
    </row>
    <row r="77" spans="1:16" s="1081" customFormat="1" hidden="1" outlineLevel="1">
      <c r="A77" s="1154">
        <f>A73</f>
        <v>0</v>
      </c>
      <c r="B77" s="1067" t="s">
        <v>1623</v>
      </c>
      <c r="C77" s="1074"/>
      <c r="D77" s="1075">
        <f>VLOOKUP($B77,dongia1,DG!$B$5,)</f>
        <v>0</v>
      </c>
      <c r="E77" s="1076" t="str">
        <f>VLOOKUP($B77,dongia1,DG!$C$5,)</f>
        <v>Boulon 12x40+ 2 long đền vuông D14-50x50x3/Zn</v>
      </c>
      <c r="F77" s="1075" t="str">
        <f>VLOOKUP($B77,dongia1,DG!$D$5,)</f>
        <v>bộ</v>
      </c>
      <c r="G77" s="1074">
        <f>G66*6</f>
        <v>0</v>
      </c>
      <c r="H77" s="1062">
        <f>VLOOKUP($B77,dongia1,DG!$F$5,)</f>
        <v>8500</v>
      </c>
      <c r="I77" s="1083"/>
      <c r="J77" s="1062">
        <f>VLOOKUP($B77,dongia1,DG!$G$5,)</f>
        <v>0</v>
      </c>
      <c r="K77" s="1062">
        <f>VLOOKUP($B77,dongia1,DG!$H$5,)</f>
        <v>0</v>
      </c>
      <c r="L77" s="1174">
        <f t="shared" si="19"/>
        <v>0</v>
      </c>
      <c r="M77" s="1174"/>
      <c r="N77" s="1062">
        <f>VLOOKUP($B77,dongia1,DG!$G$5,)*G77</f>
        <v>0</v>
      </c>
      <c r="O77" s="1083">
        <f t="shared" si="20"/>
        <v>0</v>
      </c>
      <c r="P77" s="1080"/>
    </row>
    <row r="78" spans="1:16" s="1081" customFormat="1" hidden="1" outlineLevel="1">
      <c r="A78" s="1154">
        <f>IF(G78&lt;&gt;0,1,)</f>
        <v>0</v>
      </c>
      <c r="B78" s="1067" t="s">
        <v>985</v>
      </c>
      <c r="C78" s="1074"/>
      <c r="D78" s="1075" t="str">
        <f>VLOOKUP($B78,dongia1,DG!$B$5,)</f>
        <v>D2.8103</v>
      </c>
      <c r="E78" s="1076" t="str">
        <f>VLOOKUP($B78,dongia1,DG!$C$5,)</f>
        <v>Đóng cọc tiếp địa đất cấp 3 dài 2,5m</v>
      </c>
      <c r="F78" s="1075" t="str">
        <f>VLOOKUP($B78,dongia1,DG!$D$5,)</f>
        <v>cọc</v>
      </c>
      <c r="G78" s="1074">
        <f>G69</f>
        <v>0</v>
      </c>
      <c r="H78" s="1062"/>
      <c r="I78" s="1062"/>
      <c r="J78" s="1062" t="str">
        <f>VLOOKUP($B78,dongia1,DG!$G$5,)&amp;" x 1,7"</f>
        <v>90355,896 x 1,7</v>
      </c>
      <c r="K78" s="1062">
        <f>VLOOKUP($B78,dongia1,DG!$H$5,)</f>
        <v>1573.075</v>
      </c>
      <c r="L78" s="1174">
        <f t="shared" si="19"/>
        <v>0</v>
      </c>
      <c r="M78" s="1174">
        <f>I78*G78</f>
        <v>0</v>
      </c>
      <c r="N78" s="1062">
        <f>VLOOKUP($B78,dongia1,DG!$G$5,)*1.7*G78</f>
        <v>0</v>
      </c>
      <c r="O78" s="1083">
        <f t="shared" si="20"/>
        <v>0</v>
      </c>
      <c r="P78" s="1074"/>
    </row>
    <row r="79" spans="1:16" s="1081" customFormat="1" hidden="1" outlineLevel="1">
      <c r="A79" s="1154">
        <f>IF(G79&lt;&gt;0,1,)</f>
        <v>0</v>
      </c>
      <c r="B79" s="1067" t="s">
        <v>1195</v>
      </c>
      <c r="C79" s="1074"/>
      <c r="D79" s="1075" t="str">
        <f>VLOOKUP($B79,dongia1,DG!$B$5,)</f>
        <v>T4.7001</v>
      </c>
      <c r="E79" s="1076" t="str">
        <f>VLOOKUP($B79,dongia1,DG!$C$5,)</f>
        <v>Kéo dây tiếp địa TBA</v>
      </c>
      <c r="F79" s="1075" t="str">
        <f>VLOOKUP($B79,dongia1,DG!$D$5,)</f>
        <v>mét</v>
      </c>
      <c r="G79" s="1074">
        <f>G66*$H$3</f>
        <v>0</v>
      </c>
      <c r="H79" s="1062"/>
      <c r="I79" s="1062"/>
      <c r="J79" s="1062">
        <f>VLOOKUP($B79,dongia1,DG!$G$5,)</f>
        <v>8070.7000000000007</v>
      </c>
      <c r="K79" s="1062">
        <f>VLOOKUP($B79,dongia1,DG!$H$5,)</f>
        <v>2044.9974999999999</v>
      </c>
      <c r="L79" s="1174">
        <f t="shared" si="19"/>
        <v>0</v>
      </c>
      <c r="M79" s="1174">
        <f>I79*G79</f>
        <v>0</v>
      </c>
      <c r="N79" s="1174">
        <f t="shared" ref="N79:N103" si="21">J79*G79</f>
        <v>0</v>
      </c>
      <c r="O79" s="1083">
        <f t="shared" si="20"/>
        <v>0</v>
      </c>
      <c r="P79" s="1074"/>
    </row>
    <row r="80" spans="1:16" s="1081" customFormat="1" hidden="1" outlineLevel="1">
      <c r="A80" s="1154">
        <f>IF(G80&lt;&gt;0,1,)</f>
        <v>0</v>
      </c>
      <c r="B80" s="1086" t="str">
        <f>"dtd"&amp;capdat</f>
        <v>dtd3</v>
      </c>
      <c r="C80" s="1074"/>
      <c r="D80" s="1075" t="str">
        <f>VLOOKUP($B80,dongia1,DG!$B$5,)</f>
        <v>AB.11513</v>
      </c>
      <c r="E80" s="1076" t="str">
        <f>VLOOKUP($B80,dongia1,DG!$C$5,)</f>
        <v>Đào rãnh tiếp địa đất cấp 3</v>
      </c>
      <c r="F80" s="1075" t="str">
        <f>VLOOKUP($B80,dongia1,DG!$D$5,)</f>
        <v>m3</v>
      </c>
      <c r="G80" s="1197">
        <f>G66*$H$4</f>
        <v>0</v>
      </c>
      <c r="H80" s="1062"/>
      <c r="I80" s="1062"/>
      <c r="J80" s="1062">
        <f>VLOOKUP($B80,dongia1,DG!$G$5,)</f>
        <v>283749.75</v>
      </c>
      <c r="K80" s="1062">
        <f>VLOOKUP($B80,dongia1,DG!$H$5,)</f>
        <v>0</v>
      </c>
      <c r="L80" s="1174">
        <f t="shared" si="19"/>
        <v>0</v>
      </c>
      <c r="M80" s="1174">
        <f>I80*G80</f>
        <v>0</v>
      </c>
      <c r="N80" s="1174">
        <f t="shared" si="21"/>
        <v>0</v>
      </c>
      <c r="O80" s="1083">
        <f t="shared" si="20"/>
        <v>0</v>
      </c>
      <c r="P80" s="1074"/>
    </row>
    <row r="81" spans="1:16" s="1081" customFormat="1" hidden="1" outlineLevel="1">
      <c r="A81" s="1154">
        <f>IF(G81&lt;&gt;0,1,)</f>
        <v>0</v>
      </c>
      <c r="B81" s="1067" t="str">
        <f>"datd"&amp;capdat</f>
        <v>datd3</v>
      </c>
      <c r="C81" s="1074"/>
      <c r="D81" s="1075" t="str">
        <f>VLOOKUP($B81,dongia1,DG!$B$5,)</f>
        <v>AB.13111</v>
      </c>
      <c r="E81" s="1076" t="str">
        <f>VLOOKUP($B81,dongia1,DG!$C$5,)</f>
        <v>Đắp đất rãnh tiếp địa cấp 3 (độ chặt k = 0.85)</v>
      </c>
      <c r="F81" s="1075" t="str">
        <f>VLOOKUP($B81,dongia1,DG!$D$5,)</f>
        <v>m3</v>
      </c>
      <c r="G81" s="1197">
        <f>G80</f>
        <v>0</v>
      </c>
      <c r="H81" s="1062"/>
      <c r="I81" s="1062"/>
      <c r="J81" s="1062">
        <f>VLOOKUP($B81,dongia1,DG!$G$5,)</f>
        <v>117703.6</v>
      </c>
      <c r="K81" s="1062">
        <f>VLOOKUP($B81,dongia1,DG!$H$5,)</f>
        <v>0</v>
      </c>
      <c r="L81" s="1174">
        <f t="shared" si="19"/>
        <v>0</v>
      </c>
      <c r="M81" s="1174">
        <f>I81*G81</f>
        <v>0</v>
      </c>
      <c r="N81" s="1174">
        <f t="shared" si="21"/>
        <v>0</v>
      </c>
      <c r="O81" s="1083">
        <f t="shared" si="20"/>
        <v>0</v>
      </c>
      <c r="P81" s="1074"/>
    </row>
    <row r="82" spans="1:16" s="1081" customFormat="1" hidden="1" outlineLevel="1">
      <c r="A82" s="1154">
        <f>IF(G82&lt;&gt;0,1,)</f>
        <v>0</v>
      </c>
      <c r="B82" s="1086"/>
      <c r="C82" s="1064">
        <f>IF(G82&gt;0,C66+1,C66)</f>
        <v>0</v>
      </c>
      <c r="D82" s="1192"/>
      <c r="E82" s="1204" t="s">
        <v>3382</v>
      </c>
      <c r="F82" s="1064" t="s">
        <v>2113</v>
      </c>
      <c r="G82" s="1064">
        <f>G34</f>
        <v>0</v>
      </c>
      <c r="H82" s="1083"/>
      <c r="I82" s="1083"/>
      <c r="J82" s="1083"/>
      <c r="K82" s="1083"/>
      <c r="L82" s="1174">
        <f t="shared" si="6"/>
        <v>0</v>
      </c>
      <c r="M82" s="1174">
        <f t="shared" si="7"/>
        <v>0</v>
      </c>
      <c r="N82" s="1174">
        <f t="shared" si="21"/>
        <v>0</v>
      </c>
      <c r="O82" s="1083">
        <f t="shared" si="8"/>
        <v>0</v>
      </c>
      <c r="P82" s="1074"/>
    </row>
    <row r="83" spans="1:16" s="1081" customFormat="1" ht="14.4" hidden="1" outlineLevel="1">
      <c r="A83" s="1154">
        <f>A82</f>
        <v>0</v>
      </c>
      <c r="B83" s="1086"/>
      <c r="C83" s="1064"/>
      <c r="D83" s="1192"/>
      <c r="E83" s="1194" t="s">
        <v>3378</v>
      </c>
      <c r="F83" s="1074"/>
      <c r="G83" s="1074"/>
      <c r="H83" s="1083"/>
      <c r="I83" s="1083"/>
      <c r="J83" s="1083"/>
      <c r="K83" s="1083"/>
      <c r="L83" s="1174">
        <f t="shared" si="6"/>
        <v>0</v>
      </c>
      <c r="M83" s="1174">
        <f t="shared" si="7"/>
        <v>0</v>
      </c>
      <c r="N83" s="1174">
        <f t="shared" si="21"/>
        <v>0</v>
      </c>
      <c r="O83" s="1083">
        <f t="shared" si="8"/>
        <v>0</v>
      </c>
      <c r="P83" s="1074"/>
    </row>
    <row r="84" spans="1:16" s="1081" customFormat="1" hidden="1" outlineLevel="1">
      <c r="A84" s="1154">
        <f>IF(G84&lt;&gt;0,1,)</f>
        <v>0</v>
      </c>
      <c r="B84" s="1067" t="s">
        <v>879</v>
      </c>
      <c r="C84" s="1074"/>
      <c r="D84" s="1075" t="str">
        <f>VLOOKUP($B84,dongia1,DG!$B$5,)</f>
        <v>T5.1001</v>
      </c>
      <c r="E84" s="1076" t="str">
        <f>VLOOKUP($B84,dongia1,DG!$C$5,)</f>
        <v>Tủ CB trạm 1 pha + khóa + boulon</v>
      </c>
      <c r="F84" s="1075" t="str">
        <f>VLOOKUP($B84,dongia1,DG!$D$5,)</f>
        <v>cái</v>
      </c>
      <c r="G84" s="1074">
        <f>G82</f>
        <v>0</v>
      </c>
      <c r="H84" s="1062">
        <f>VLOOKUP($B84,dongia1,DG!$F$5,)</f>
        <v>3793194</v>
      </c>
      <c r="I84" s="1062"/>
      <c r="J84" s="1062">
        <f>VLOOKUP($B84,dongia1,DG!$G$5,)</f>
        <v>599038</v>
      </c>
      <c r="K84" s="1062">
        <f>VLOOKUP($B84,dongia1,DG!$H$5,)</f>
        <v>97369</v>
      </c>
      <c r="L84" s="1174">
        <f t="shared" si="6"/>
        <v>0</v>
      </c>
      <c r="M84" s="1174">
        <f t="shared" si="7"/>
        <v>0</v>
      </c>
      <c r="N84" s="1174">
        <f t="shared" si="21"/>
        <v>0</v>
      </c>
      <c r="O84" s="1083">
        <f t="shared" si="8"/>
        <v>0</v>
      </c>
      <c r="P84" s="1074"/>
    </row>
    <row r="85" spans="1:16" s="1081" customFormat="1" hidden="1" outlineLevel="1">
      <c r="A85" s="1154">
        <f>IF(G85&lt;&gt;0,1,)</f>
        <v>0</v>
      </c>
      <c r="B85" s="1086" t="s">
        <v>1559</v>
      </c>
      <c r="C85" s="1074"/>
      <c r="D85" s="1196"/>
      <c r="E85" s="1076" t="str">
        <f>VLOOKUP($B85,dongia1,DG!$C$5,)</f>
        <v>Cổ dê bắt tủ</v>
      </c>
      <c r="F85" s="1075" t="str">
        <f>VLOOKUP($B85,dongia1,DG!$D$5,)</f>
        <v>bộ</v>
      </c>
      <c r="G85" s="1074">
        <f>2*G82</f>
        <v>0</v>
      </c>
      <c r="H85" s="1062">
        <f>VLOOKUP($B85,dongia1,DG!$F$5,)</f>
        <v>168000</v>
      </c>
      <c r="I85" s="1062"/>
      <c r="J85" s="1062">
        <f>VLOOKUP($B85,dongia1,DG!$G$5,)</f>
        <v>0</v>
      </c>
      <c r="K85" s="1062">
        <f>VLOOKUP($B85,dongia1,DG!$H$5,)</f>
        <v>0</v>
      </c>
      <c r="L85" s="1174">
        <f t="shared" si="6"/>
        <v>0</v>
      </c>
      <c r="M85" s="1174">
        <f t="shared" si="7"/>
        <v>0</v>
      </c>
      <c r="N85" s="1174">
        <f t="shared" si="21"/>
        <v>0</v>
      </c>
      <c r="O85" s="1083">
        <f t="shared" si="8"/>
        <v>0</v>
      </c>
      <c r="P85" s="1074"/>
    </row>
    <row r="86" spans="1:16" s="1081" customFormat="1" hidden="1" outlineLevel="1">
      <c r="A86" s="1154">
        <f>IF(G86&lt;&gt;0,1,)</f>
        <v>0</v>
      </c>
      <c r="B86" s="1086" t="s">
        <v>1560</v>
      </c>
      <c r="C86" s="1074"/>
      <c r="D86" s="1196"/>
      <c r="E86" s="1076" t="str">
        <f>VLOOKUP($B86,dongia1,DG!$C$5,)</f>
        <v xml:space="preserve">Bakelit 500x300 dầy 10mm </v>
      </c>
      <c r="F86" s="1075" t="str">
        <f>VLOOKUP($B86,dongia1,DG!$D$5,)</f>
        <v>cái</v>
      </c>
      <c r="G86" s="1074">
        <f>G82</f>
        <v>0</v>
      </c>
      <c r="H86" s="1062">
        <f>VLOOKUP($B86,dongia1,DG!$F$5,)</f>
        <v>284000</v>
      </c>
      <c r="I86" s="1062"/>
      <c r="J86" s="1062">
        <f>VLOOKUP($B86,dongia1,DG!$G$5,)</f>
        <v>5404</v>
      </c>
      <c r="K86" s="1062">
        <f>VLOOKUP($B86,dongia1,DG!$H$5,)</f>
        <v>0</v>
      </c>
      <c r="L86" s="1174">
        <f t="shared" si="6"/>
        <v>0</v>
      </c>
      <c r="M86" s="1174">
        <f t="shared" si="7"/>
        <v>0</v>
      </c>
      <c r="N86" s="1174">
        <f t="shared" si="21"/>
        <v>0</v>
      </c>
      <c r="O86" s="1083">
        <f t="shared" si="8"/>
        <v>0</v>
      </c>
      <c r="P86" s="1074"/>
    </row>
    <row r="87" spans="1:16" s="1081" customFormat="1" hidden="1" outlineLevel="1">
      <c r="A87" s="1154">
        <f>IF(G87&lt;&gt;0,1,)</f>
        <v>0</v>
      </c>
      <c r="B87" s="1086"/>
      <c r="C87" s="1064">
        <f>IF(G87&gt;0,C82+1,C82)</f>
        <v>0</v>
      </c>
      <c r="D87" s="1192"/>
      <c r="E87" s="1193" t="s">
        <v>3384</v>
      </c>
      <c r="F87" s="1064" t="s">
        <v>2113</v>
      </c>
      <c r="G87" s="1064">
        <f>G82</f>
        <v>0</v>
      </c>
      <c r="H87" s="1083"/>
      <c r="I87" s="1083"/>
      <c r="J87" s="1083"/>
      <c r="K87" s="1083"/>
      <c r="L87" s="1174">
        <f t="shared" si="6"/>
        <v>0</v>
      </c>
      <c r="M87" s="1174">
        <f t="shared" si="7"/>
        <v>0</v>
      </c>
      <c r="N87" s="1174">
        <f t="shared" si="21"/>
        <v>0</v>
      </c>
      <c r="O87" s="1083">
        <f t="shared" si="8"/>
        <v>0</v>
      </c>
      <c r="P87" s="1074"/>
    </row>
    <row r="88" spans="1:16" s="1081" customFormat="1" ht="14.4" hidden="1" outlineLevel="1">
      <c r="A88" s="1154">
        <f>A87</f>
        <v>0</v>
      </c>
      <c r="B88" s="1086"/>
      <c r="C88" s="1064"/>
      <c r="D88" s="1192"/>
      <c r="E88" s="1194" t="s">
        <v>3378</v>
      </c>
      <c r="F88" s="1074"/>
      <c r="G88" s="1074"/>
      <c r="H88" s="1083"/>
      <c r="I88" s="1083"/>
      <c r="J88" s="1083"/>
      <c r="K88" s="1083"/>
      <c r="L88" s="1174">
        <f t="shared" si="6"/>
        <v>0</v>
      </c>
      <c r="M88" s="1174">
        <f t="shared" si="7"/>
        <v>0</v>
      </c>
      <c r="N88" s="1174">
        <f t="shared" si="21"/>
        <v>0</v>
      </c>
      <c r="O88" s="1083">
        <f t="shared" si="8"/>
        <v>0</v>
      </c>
      <c r="P88" s="1074"/>
    </row>
    <row r="89" spans="1:16" s="1081" customFormat="1" hidden="1" outlineLevel="1">
      <c r="A89" s="1154">
        <f>IF(G89&lt;&gt;0,1,)</f>
        <v>0</v>
      </c>
      <c r="B89" s="1205" t="str">
        <f>Solieu!$J$55</f>
        <v>XLPE25</v>
      </c>
      <c r="C89" s="1074"/>
      <c r="D89" s="1075">
        <f>VLOOKUP($B89,dongia1,DG!$B$5,)</f>
        <v>0</v>
      </c>
      <c r="E89" s="1076" t="str">
        <f>VLOOKUP($B89,dongia1,DG!$C$5,)</f>
        <v>Cáp 24KV C/XLPE/PVC- 25mm2</v>
      </c>
      <c r="F89" s="1075" t="str">
        <f>VLOOKUP($B89,dongia1,DG!$D$5,)</f>
        <v>mét</v>
      </c>
      <c r="G89" s="1074">
        <f>3*G87</f>
        <v>0</v>
      </c>
      <c r="H89" s="1062">
        <f>VLOOKUP($B89,dongia1,DG!$F$5,)</f>
        <v>50996</v>
      </c>
      <c r="I89" s="1062"/>
      <c r="J89" s="1062">
        <f>VLOOKUP($B89,dongia1,DG!$G$5,)</f>
        <v>0</v>
      </c>
      <c r="K89" s="1062">
        <f>VLOOKUP($B89,dongia1,DG!$H$5,)</f>
        <v>0</v>
      </c>
      <c r="L89" s="1174">
        <f t="shared" si="6"/>
        <v>0</v>
      </c>
      <c r="M89" s="1174">
        <f t="shared" si="7"/>
        <v>0</v>
      </c>
      <c r="N89" s="1174">
        <f t="shared" si="21"/>
        <v>0</v>
      </c>
      <c r="O89" s="1083">
        <f t="shared" si="8"/>
        <v>0</v>
      </c>
      <c r="P89" s="1074"/>
    </row>
    <row r="90" spans="1:16" s="1081" customFormat="1" hidden="1" outlineLevel="1">
      <c r="A90" s="1154">
        <f>IF(G90&lt;&gt;0,1,)</f>
        <v>0</v>
      </c>
      <c r="B90" s="1206" t="s">
        <v>2028</v>
      </c>
      <c r="C90" s="1074"/>
      <c r="D90" s="1075">
        <f>VLOOKUP($B90,dongia1,DG!$B$5,)</f>
        <v>0</v>
      </c>
      <c r="E90" s="1076" t="str">
        <f>VLOOKUP($B90,dongia1,DG!$C$5,)</f>
        <v>Kẹp quai 2/0</v>
      </c>
      <c r="F90" s="1075" t="str">
        <f>VLOOKUP($B90,dongia1,DG!$D$5,)</f>
        <v>cái</v>
      </c>
      <c r="G90" s="1074">
        <f>G87</f>
        <v>0</v>
      </c>
      <c r="H90" s="1062">
        <f>VLOOKUP($B90,dongia1,DG!$F$5,)</f>
        <v>46000</v>
      </c>
      <c r="I90" s="1062"/>
      <c r="J90" s="1062">
        <f>VLOOKUP($B90,dongia1,DG!$G$5,)</f>
        <v>0</v>
      </c>
      <c r="K90" s="1062">
        <f>VLOOKUP($B90,dongia1,DG!$H$5,)</f>
        <v>0</v>
      </c>
      <c r="L90" s="1174">
        <f t="shared" si="6"/>
        <v>0</v>
      </c>
      <c r="M90" s="1174">
        <f t="shared" si="7"/>
        <v>0</v>
      </c>
      <c r="N90" s="1174">
        <f t="shared" si="21"/>
        <v>0</v>
      </c>
      <c r="O90" s="1083">
        <f t="shared" si="8"/>
        <v>0</v>
      </c>
      <c r="P90" s="1074"/>
    </row>
    <row r="91" spans="1:16" s="1081" customFormat="1" hidden="1" outlineLevel="1">
      <c r="A91" s="1154">
        <f>IF(G91&lt;&gt;0,1,)</f>
        <v>0</v>
      </c>
      <c r="B91" s="1206" t="s">
        <v>2026</v>
      </c>
      <c r="C91" s="1074"/>
      <c r="D91" s="1075">
        <f>VLOOKUP($B91,dongia1,DG!$B$5,)</f>
        <v>0</v>
      </c>
      <c r="E91" s="1076" t="str">
        <f>VLOOKUP($B91,dongia1,DG!$C$5,)</f>
        <v>Kẹp hotline 2/0</v>
      </c>
      <c r="F91" s="1075" t="str">
        <f>VLOOKUP($B91,dongia1,DG!$D$5,)</f>
        <v>cái</v>
      </c>
      <c r="G91" s="1074">
        <f>G87</f>
        <v>0</v>
      </c>
      <c r="H91" s="1062">
        <f>VLOOKUP($B91,dongia1,DG!$F$5,)</f>
        <v>77000</v>
      </c>
      <c r="I91" s="1062"/>
      <c r="J91" s="1062">
        <f>VLOOKUP($B91,dongia1,DG!$G$5,)</f>
        <v>0</v>
      </c>
      <c r="K91" s="1062">
        <f>VLOOKUP($B91,dongia1,DG!$H$5,)</f>
        <v>0</v>
      </c>
      <c r="L91" s="1174">
        <f t="shared" si="6"/>
        <v>0</v>
      </c>
      <c r="M91" s="1174">
        <f t="shared" si="7"/>
        <v>0</v>
      </c>
      <c r="N91" s="1174">
        <f t="shared" si="21"/>
        <v>0</v>
      </c>
      <c r="O91" s="1083">
        <f t="shared" si="8"/>
        <v>0</v>
      </c>
      <c r="P91" s="1074"/>
    </row>
    <row r="92" spans="1:16" s="1081" customFormat="1" hidden="1" outlineLevel="1">
      <c r="A92" s="1154">
        <f>IF(G92&lt;&gt;0,1,)</f>
        <v>0</v>
      </c>
      <c r="B92" s="1206" t="s">
        <v>224</v>
      </c>
      <c r="C92" s="1074"/>
      <c r="D92" s="1075" t="str">
        <f>VLOOKUP($B92,dongia1,DG!$B$5,)</f>
        <v>T4.4201</v>
      </c>
      <c r="E92" s="1076" t="str">
        <f>VLOOKUP($B92,dongia1,DG!$C$5,)</f>
        <v>Lắp cáp đồng xuống thiết bị D ≤ 95mm2</v>
      </c>
      <c r="F92" s="1075" t="str">
        <f>VLOOKUP($B92,dongia1,DG!$D$5,)</f>
        <v>m</v>
      </c>
      <c r="G92" s="1074">
        <f>G89</f>
        <v>0</v>
      </c>
      <c r="H92" s="1062">
        <f>VLOOKUP($B92,dongia1,DG!$F$5,)</f>
        <v>0</v>
      </c>
      <c r="I92" s="1062"/>
      <c r="J92" s="1062">
        <f>VLOOKUP($B92,dongia1,DG!$G$5,)</f>
        <v>13915</v>
      </c>
      <c r="K92" s="1062">
        <f>VLOOKUP($B92,dongia1,DG!$H$5,)</f>
        <v>0</v>
      </c>
      <c r="L92" s="1174">
        <f>H92*G92</f>
        <v>0</v>
      </c>
      <c r="M92" s="1174">
        <f>I92*G92</f>
        <v>0</v>
      </c>
      <c r="N92" s="1174">
        <f t="shared" si="21"/>
        <v>0</v>
      </c>
      <c r="O92" s="1083">
        <f>K92*G92</f>
        <v>0</v>
      </c>
      <c r="P92" s="1074"/>
    </row>
    <row r="93" spans="1:16" s="1081" customFormat="1" hidden="1" outlineLevel="1">
      <c r="A93" s="1154">
        <f>IF(G93&lt;&gt;0,1,)</f>
        <v>0</v>
      </c>
      <c r="B93" s="1086"/>
      <c r="C93" s="1064">
        <f>IF(G93&gt;0,C87+1,C87)</f>
        <v>0</v>
      </c>
      <c r="D93" s="1192"/>
      <c r="E93" s="1193" t="s">
        <v>3383</v>
      </c>
      <c r="F93" s="1064" t="s">
        <v>2113</v>
      </c>
      <c r="G93" s="1064">
        <f>G34</f>
        <v>0</v>
      </c>
      <c r="H93" s="1083"/>
      <c r="I93" s="1083"/>
      <c r="J93" s="1083"/>
      <c r="K93" s="1083"/>
      <c r="L93" s="1174">
        <f t="shared" si="6"/>
        <v>0</v>
      </c>
      <c r="M93" s="1174">
        <f t="shared" si="7"/>
        <v>0</v>
      </c>
      <c r="N93" s="1174">
        <f t="shared" si="21"/>
        <v>0</v>
      </c>
      <c r="O93" s="1083">
        <f t="shared" si="8"/>
        <v>0</v>
      </c>
      <c r="P93" s="1074"/>
    </row>
    <row r="94" spans="1:16" s="1081" customFormat="1" ht="14.4" hidden="1" outlineLevel="1">
      <c r="A94" s="1154">
        <f>A93</f>
        <v>0</v>
      </c>
      <c r="B94" s="1086"/>
      <c r="C94" s="1064"/>
      <c r="D94" s="1192"/>
      <c r="E94" s="1194" t="s">
        <v>3378</v>
      </c>
      <c r="F94" s="1064"/>
      <c r="G94" s="1064"/>
      <c r="H94" s="1083"/>
      <c r="I94" s="1083"/>
      <c r="J94" s="1083"/>
      <c r="K94" s="1083"/>
      <c r="L94" s="1174">
        <f t="shared" si="6"/>
        <v>0</v>
      </c>
      <c r="M94" s="1174">
        <f t="shared" si="7"/>
        <v>0</v>
      </c>
      <c r="N94" s="1174">
        <f t="shared" si="21"/>
        <v>0</v>
      </c>
      <c r="O94" s="1083">
        <f t="shared" si="8"/>
        <v>0</v>
      </c>
      <c r="P94" s="1074"/>
    </row>
    <row r="95" spans="1:16" s="1081" customFormat="1" hidden="1" outlineLevel="1">
      <c r="A95" s="1154">
        <f t="shared" ref="A95:A103" si="22">IF(G95&lt;&gt;0,1,)</f>
        <v>0</v>
      </c>
      <c r="B95" s="1086" t="str">
        <f>Solieu!L55</f>
        <v>CV50</v>
      </c>
      <c r="C95" s="1064"/>
      <c r="D95" s="1075">
        <f>VLOOKUP($B95,dongia1,DG!$B$5,)</f>
        <v>0</v>
      </c>
      <c r="E95" s="1076" t="str">
        <f>VLOOKUP($B95,dongia1,DG!$C$5,)</f>
        <v>Cáp đồng bọc CV50</v>
      </c>
      <c r="F95" s="1075" t="str">
        <f>VLOOKUP($B95,dongia1,DG!$D$5,)</f>
        <v>mét</v>
      </c>
      <c r="G95" s="1074">
        <f>G93*10</f>
        <v>0</v>
      </c>
      <c r="H95" s="1062">
        <f>VLOOKUP($B95,dongia1,DG!$F$5,)</f>
        <v>91800</v>
      </c>
      <c r="I95" s="1062"/>
      <c r="J95" s="1062">
        <f>VLOOKUP($B95,dongia1,DG!$G$5,)</f>
        <v>0</v>
      </c>
      <c r="K95" s="1062">
        <f>VLOOKUP($B95,dongia1,DG!$H$5,)</f>
        <v>0</v>
      </c>
      <c r="L95" s="1174">
        <f t="shared" si="6"/>
        <v>0</v>
      </c>
      <c r="M95" s="1174">
        <f t="shared" si="7"/>
        <v>0</v>
      </c>
      <c r="N95" s="1174">
        <f t="shared" si="21"/>
        <v>0</v>
      </c>
      <c r="O95" s="1083">
        <f t="shared" si="8"/>
        <v>0</v>
      </c>
      <c r="P95" s="1074"/>
    </row>
    <row r="96" spans="1:16" s="1081" customFormat="1" hidden="1" outlineLevel="1">
      <c r="A96" s="1154">
        <f t="shared" si="22"/>
        <v>0</v>
      </c>
      <c r="B96" s="1086" t="str">
        <f>Solieu!N55</f>
        <v>CV50</v>
      </c>
      <c r="C96" s="1064"/>
      <c r="D96" s="1075">
        <f>VLOOKUP($B96,dongia1,DG!$B$5,)</f>
        <v>0</v>
      </c>
      <c r="E96" s="1076" t="str">
        <f>VLOOKUP($B96,dongia1,DG!$C$5,)</f>
        <v>Cáp đồng bọc CV50</v>
      </c>
      <c r="F96" s="1075" t="str">
        <f>VLOOKUP($B96,dongia1,DG!$D$5,)</f>
        <v>mét</v>
      </c>
      <c r="G96" s="1074">
        <f>10*G93</f>
        <v>0</v>
      </c>
      <c r="H96" s="1062">
        <f>VLOOKUP($B96,dongia1,DG!$F$5,)</f>
        <v>91800</v>
      </c>
      <c r="I96" s="1062"/>
      <c r="J96" s="1062">
        <f>VLOOKUP($B96,dongia1,DG!$G$5,)</f>
        <v>0</v>
      </c>
      <c r="K96" s="1062">
        <f>VLOOKUP($B96,dongia1,DG!$H$5,)</f>
        <v>0</v>
      </c>
      <c r="L96" s="1174">
        <f t="shared" si="6"/>
        <v>0</v>
      </c>
      <c r="M96" s="1174">
        <f t="shared" si="7"/>
        <v>0</v>
      </c>
      <c r="N96" s="1174">
        <f t="shared" si="21"/>
        <v>0</v>
      </c>
      <c r="O96" s="1083">
        <f t="shared" si="8"/>
        <v>0</v>
      </c>
      <c r="P96" s="1074"/>
    </row>
    <row r="97" spans="1:16" s="1081" customFormat="1" hidden="1" outlineLevel="1">
      <c r="A97" s="1154">
        <f t="shared" si="22"/>
        <v>0</v>
      </c>
      <c r="B97" s="1086" t="s">
        <v>37</v>
      </c>
      <c r="C97" s="1064"/>
      <c r="D97" s="1075" t="str">
        <f>VLOOKUP($B97,dongia1,DG!$B$5,)</f>
        <v>03.1401</v>
      </c>
      <c r="E97" s="1076" t="str">
        <f>VLOOKUP($B97,dongia1,DG!$C$5,)</f>
        <v xml:space="preserve">Cáp CVV 4x2,5mm2  </v>
      </c>
      <c r="F97" s="1075" t="str">
        <f>VLOOKUP($B97,dongia1,DG!$D$5,)</f>
        <v>mét</v>
      </c>
      <c r="G97" s="1074">
        <f>4*G93</f>
        <v>0</v>
      </c>
      <c r="H97" s="1062">
        <f>VLOOKUP($B97,dongia1,DG!$F$5,)</f>
        <v>28200</v>
      </c>
      <c r="I97" s="1083"/>
      <c r="J97" s="1062">
        <f>VLOOKUP($B97,dongia1,DG!$G$5,)</f>
        <v>0</v>
      </c>
      <c r="K97" s="1062">
        <f>VLOOKUP($B97,dongia1,DG!$H$5,)</f>
        <v>0</v>
      </c>
      <c r="L97" s="1174">
        <f>H97*G97</f>
        <v>0</v>
      </c>
      <c r="M97" s="1174">
        <f>I97*G97</f>
        <v>0</v>
      </c>
      <c r="N97" s="1174">
        <f t="shared" si="21"/>
        <v>0</v>
      </c>
      <c r="O97" s="1083">
        <f>K97*G97</f>
        <v>0</v>
      </c>
      <c r="P97" s="1080"/>
    </row>
    <row r="98" spans="1:16" s="1081" customFormat="1" hidden="1" outlineLevel="1">
      <c r="A98" s="1154">
        <f t="shared" si="22"/>
        <v>0</v>
      </c>
      <c r="B98" s="1086" t="str">
        <f>"Cos"&amp;RIGHT(B95,2)</f>
        <v>Cos50</v>
      </c>
      <c r="C98" s="1074"/>
      <c r="D98" s="1075" t="str">
        <f>VLOOKUP($B98,dongia1,DG!$B$5,)</f>
        <v>D4.5002</v>
      </c>
      <c r="E98" s="1076" t="str">
        <f>VLOOKUP($B98,dongia1,DG!$C$5,)</f>
        <v>Đầu cosse ép Cu 50mm2</v>
      </c>
      <c r="F98" s="1075" t="str">
        <f>VLOOKUP($B98,dongia1,DG!$D$5,)</f>
        <v>cái</v>
      </c>
      <c r="G98" s="1074">
        <f>G93*1</f>
        <v>0</v>
      </c>
      <c r="H98" s="1062">
        <f>VLOOKUP($B98,dongia1,DG!$F$5,)</f>
        <v>9100</v>
      </c>
      <c r="I98" s="1062"/>
      <c r="J98" s="1062">
        <f>VLOOKUP($B98,dongia1,DG!$G$5,)</f>
        <v>10608.955000000002</v>
      </c>
      <c r="K98" s="1062">
        <f>VLOOKUP($B98,dongia1,DG!$H$5,)</f>
        <v>2777.0232475000003</v>
      </c>
      <c r="L98" s="1174">
        <f t="shared" si="6"/>
        <v>0</v>
      </c>
      <c r="M98" s="1174">
        <f t="shared" si="7"/>
        <v>0</v>
      </c>
      <c r="N98" s="1174">
        <f t="shared" si="21"/>
        <v>0</v>
      </c>
      <c r="O98" s="1083">
        <f t="shared" si="8"/>
        <v>0</v>
      </c>
      <c r="P98" s="1074"/>
    </row>
    <row r="99" spans="1:16" s="1081" customFormat="1" hidden="1" outlineLevel="1">
      <c r="A99" s="1154">
        <f t="shared" si="22"/>
        <v>0</v>
      </c>
      <c r="B99" s="1086" t="str">
        <f>"Cos"&amp;RIGHT(B96,2)</f>
        <v>Cos50</v>
      </c>
      <c r="C99" s="1074"/>
      <c r="D99" s="1075" t="str">
        <f>VLOOKUP($B99,dongia1,DG!$B$5,)</f>
        <v>D4.5002</v>
      </c>
      <c r="E99" s="1076" t="str">
        <f>VLOOKUP($B99,dongia1,DG!$C$5,)</f>
        <v>Đầu cosse ép Cu 50mm2</v>
      </c>
      <c r="F99" s="1075" t="str">
        <f>VLOOKUP($B99,dongia1,DG!$D$5,)</f>
        <v>cái</v>
      </c>
      <c r="G99" s="1074">
        <f>G93*1</f>
        <v>0</v>
      </c>
      <c r="H99" s="1062">
        <f>VLOOKUP($B99,dongia1,DG!$F$5,)</f>
        <v>9100</v>
      </c>
      <c r="I99" s="1062"/>
      <c r="J99" s="1062">
        <f>VLOOKUP($B99,dongia1,DG!$G$5,)</f>
        <v>10608.955000000002</v>
      </c>
      <c r="K99" s="1062">
        <f>VLOOKUP($B99,dongia1,DG!$H$5,)</f>
        <v>2777.0232475000003</v>
      </c>
      <c r="L99" s="1174">
        <f t="shared" si="6"/>
        <v>0</v>
      </c>
      <c r="M99" s="1174">
        <f t="shared" si="7"/>
        <v>0</v>
      </c>
      <c r="N99" s="1174">
        <f t="shared" si="21"/>
        <v>0</v>
      </c>
      <c r="O99" s="1083">
        <f t="shared" si="8"/>
        <v>0</v>
      </c>
      <c r="P99" s="1074"/>
    </row>
    <row r="100" spans="1:16" s="1081" customFormat="1" hidden="1" outlineLevel="1">
      <c r="A100" s="1154">
        <f t="shared" si="22"/>
        <v>0</v>
      </c>
      <c r="B100" s="1086" t="str">
        <f>"chCos"&amp;RIGHT(B95,2)</f>
        <v>chCos50</v>
      </c>
      <c r="C100" s="1074"/>
      <c r="D100" s="1075">
        <f>VLOOKUP($B100,dongia1,DG!$B$5,)</f>
        <v>0</v>
      </c>
      <c r="E100" s="1076" t="str">
        <f>VLOOKUP($B100,dongia1,DG!$C$5,)</f>
        <v>Chụp đầu cosse  50mm2</v>
      </c>
      <c r="F100" s="1075" t="str">
        <f>VLOOKUP($B100,dongia1,DG!$D$5,)</f>
        <v>cái</v>
      </c>
      <c r="G100" s="1074">
        <f>G93*1</f>
        <v>0</v>
      </c>
      <c r="H100" s="1062">
        <f>VLOOKUP($B100,dongia1,DG!$F$5,)</f>
        <v>1000</v>
      </c>
      <c r="I100" s="1062"/>
      <c r="J100" s="1062">
        <f>VLOOKUP($B100,dongia1,DG!$G$5,)</f>
        <v>0</v>
      </c>
      <c r="K100" s="1062">
        <f>VLOOKUP($B100,dongia1,DG!$H$5,)</f>
        <v>0</v>
      </c>
      <c r="L100" s="1174">
        <f t="shared" si="6"/>
        <v>0</v>
      </c>
      <c r="M100" s="1174">
        <f t="shared" si="7"/>
        <v>0</v>
      </c>
      <c r="N100" s="1174">
        <f t="shared" si="21"/>
        <v>0</v>
      </c>
      <c r="O100" s="1083">
        <f t="shared" si="8"/>
        <v>0</v>
      </c>
      <c r="P100" s="1074"/>
    </row>
    <row r="101" spans="1:16" s="1081" customFormat="1" hidden="1" outlineLevel="1">
      <c r="A101" s="1154">
        <f t="shared" si="22"/>
        <v>0</v>
      </c>
      <c r="B101" s="1086" t="str">
        <f>"chCos"&amp;RIGHT(B96,2)</f>
        <v>chCos50</v>
      </c>
      <c r="C101" s="1074"/>
      <c r="D101" s="1075">
        <f>VLOOKUP($B101,dongia1,DG!$B$5,)</f>
        <v>0</v>
      </c>
      <c r="E101" s="1076" t="str">
        <f>VLOOKUP($B101,dongia1,DG!$C$5,)</f>
        <v>Chụp đầu cosse  50mm2</v>
      </c>
      <c r="F101" s="1075" t="str">
        <f>VLOOKUP($B101,dongia1,DG!$D$5,)</f>
        <v>cái</v>
      </c>
      <c r="G101" s="1074">
        <f>G93*1</f>
        <v>0</v>
      </c>
      <c r="H101" s="1062">
        <f>VLOOKUP($B101,dongia1,DG!$F$5,)</f>
        <v>1000</v>
      </c>
      <c r="I101" s="1062"/>
      <c r="J101" s="1062">
        <f>VLOOKUP($B101,dongia1,DG!$G$5,)</f>
        <v>0</v>
      </c>
      <c r="K101" s="1062">
        <f>VLOOKUP($B101,dongia1,DG!$H$5,)</f>
        <v>0</v>
      </c>
      <c r="L101" s="1174">
        <f>H101*G101</f>
        <v>0</v>
      </c>
      <c r="M101" s="1174">
        <f>I101*G101</f>
        <v>0</v>
      </c>
      <c r="N101" s="1174">
        <f t="shared" si="21"/>
        <v>0</v>
      </c>
      <c r="O101" s="1083">
        <f>K101*G101</f>
        <v>0</v>
      </c>
      <c r="P101" s="1074"/>
    </row>
    <row r="102" spans="1:16" s="1081" customFormat="1" hidden="1" outlineLevel="1">
      <c r="A102" s="1154">
        <f>IF(G102&lt;&gt;0,1,)</f>
        <v>0</v>
      </c>
      <c r="B102" s="1086" t="s">
        <v>2166</v>
      </c>
      <c r="C102" s="1074"/>
      <c r="D102" s="1075">
        <f>VLOOKUP($B102,dongia1,DG!$B$5,)</f>
        <v>0</v>
      </c>
      <c r="E102" s="1076" t="str">
        <f>VLOOKUP($B102,dongia1,DG!$C$5,)</f>
        <v>Nắp che đầu sứ MBA</v>
      </c>
      <c r="F102" s="1075" t="str">
        <f>VLOOKUP($B102,dongia1,DG!$D$5,)</f>
        <v>cái</v>
      </c>
      <c r="G102" s="1074">
        <f>1*$G$34</f>
        <v>0</v>
      </c>
      <c r="H102" s="1062">
        <f>VLOOKUP($B102,dongia1,DG!$F$5,)</f>
        <v>56700</v>
      </c>
      <c r="I102" s="1062"/>
      <c r="J102" s="1062">
        <f>VLOOKUP($B102,dongia1,DG!$G$5,)</f>
        <v>0</v>
      </c>
      <c r="K102" s="1062">
        <f>VLOOKUP($B102,dongia1,DG!$H$5,)</f>
        <v>0</v>
      </c>
      <c r="L102" s="1174">
        <f>H102*G102</f>
        <v>0</v>
      </c>
      <c r="M102" s="1174">
        <f>I102*G102</f>
        <v>0</v>
      </c>
      <c r="N102" s="1174">
        <f t="shared" si="21"/>
        <v>0</v>
      </c>
      <c r="O102" s="1083">
        <f>K102*G102</f>
        <v>0</v>
      </c>
      <c r="P102" s="1074"/>
    </row>
    <row r="103" spans="1:16" s="1081" customFormat="1" hidden="1" outlineLevel="1">
      <c r="A103" s="1154">
        <f t="shared" si="22"/>
        <v>0</v>
      </c>
      <c r="B103" s="1086" t="s">
        <v>595</v>
      </c>
      <c r="C103" s="1074"/>
      <c r="D103" s="1075">
        <f>VLOOKUP($B103,dongia1,DG!$B$5,)</f>
        <v>0</v>
      </c>
      <c r="E103" s="1076" t="str">
        <f>VLOOKUP($B103,dongia1,DG!$C$5,)</f>
        <v xml:space="preserve">Ống PVC D90x3,8mm </v>
      </c>
      <c r="F103" s="1075" t="str">
        <f>VLOOKUP($B103,dongia1,DG!$D$5,)</f>
        <v>m</v>
      </c>
      <c r="G103" s="1074">
        <f>12*G93</f>
        <v>0</v>
      </c>
      <c r="H103" s="1062">
        <f>VLOOKUP($B103,dongia1,DG!$F$5,)</f>
        <v>63200</v>
      </c>
      <c r="I103" s="1062"/>
      <c r="J103" s="1062">
        <f>VLOOKUP($B103,dongia1,DG!$G$5,)</f>
        <v>0</v>
      </c>
      <c r="K103" s="1062">
        <f>VLOOKUP($B103,dongia1,DG!$H$5,)</f>
        <v>0</v>
      </c>
      <c r="L103" s="1174">
        <f t="shared" si="6"/>
        <v>0</v>
      </c>
      <c r="M103" s="1174">
        <f t="shared" si="7"/>
        <v>0</v>
      </c>
      <c r="N103" s="1174">
        <f t="shared" si="21"/>
        <v>0</v>
      </c>
      <c r="O103" s="1083">
        <f t="shared" si="8"/>
        <v>0</v>
      </c>
      <c r="P103" s="1074"/>
    </row>
    <row r="104" spans="1:16" s="1081" customFormat="1" hidden="1" outlineLevel="1">
      <c r="A104" s="1154">
        <f>IF(G104&lt;&gt;0,1,0)</f>
        <v>0</v>
      </c>
      <c r="B104" s="1067" t="s">
        <v>591</v>
      </c>
      <c r="C104" s="1074"/>
      <c r="D104" s="1075">
        <f>VLOOKUP($B104,dongia1,DG!$B$5,)</f>
        <v>0</v>
      </c>
      <c r="E104" s="1076" t="str">
        <f>VLOOKUP($B104,dongia1,DG!$C$5,)</f>
        <v>Cổ dê kẹp ống PVC Þ 90</v>
      </c>
      <c r="F104" s="1075" t="str">
        <f>VLOOKUP($B104,dongia1,DG!$D$5,)</f>
        <v>bộ</v>
      </c>
      <c r="G104" s="1203">
        <f>G93*0.965*2</f>
        <v>0</v>
      </c>
      <c r="H104" s="1062">
        <f>VLOOKUP($B104,dongia1,DG!$F$5,)</f>
        <v>49000</v>
      </c>
      <c r="I104" s="1083"/>
      <c r="J104" s="1062"/>
      <c r="K104" s="1062">
        <f>VLOOKUP($B104,dongia1,DG!$H$5,)</f>
        <v>0</v>
      </c>
      <c r="L104" s="1174">
        <f t="shared" si="6"/>
        <v>0</v>
      </c>
      <c r="M104" s="1174">
        <f t="shared" si="7"/>
        <v>0</v>
      </c>
      <c r="N104" s="1062">
        <f>VLOOKUP($B104,dongia1,DG!$G$5,)*G104</f>
        <v>0</v>
      </c>
      <c r="O104" s="1083">
        <f t="shared" si="8"/>
        <v>0</v>
      </c>
      <c r="P104" s="1080"/>
    </row>
    <row r="105" spans="1:16" s="1081" customFormat="1" hidden="1" outlineLevel="1">
      <c r="A105" s="1154">
        <f>IF(G105&lt;&gt;0,1,0)</f>
        <v>0</v>
      </c>
      <c r="B105" s="1067" t="s">
        <v>591</v>
      </c>
      <c r="C105" s="1074"/>
      <c r="D105" s="1075">
        <f>VLOOKUP($B105,dongia1,DG!$B$5,)</f>
        <v>0</v>
      </c>
      <c r="E105" s="1076" t="str">
        <f>VLOOKUP($B105,dongia1,DG!$C$5,)</f>
        <v>Cổ dê kẹp ống PVC Þ 90</v>
      </c>
      <c r="F105" s="1075" t="str">
        <f>VLOOKUP($B105,dongia1,DG!$D$5,)</f>
        <v>bộ</v>
      </c>
      <c r="G105" s="1203">
        <f>G93*1.031*2</f>
        <v>0</v>
      </c>
      <c r="H105" s="1062">
        <f>VLOOKUP($B105,dongia1,DG!$F$5,)</f>
        <v>49000</v>
      </c>
      <c r="I105" s="1083"/>
      <c r="J105" s="1062"/>
      <c r="K105" s="1062">
        <f>VLOOKUP($B105,dongia1,DG!$H$5,)</f>
        <v>0</v>
      </c>
      <c r="L105" s="1174">
        <f>H105*G105</f>
        <v>0</v>
      </c>
      <c r="M105" s="1174"/>
      <c r="N105" s="1062">
        <f>VLOOKUP($B105,dongia1,DG!$G$5,)*G105</f>
        <v>0</v>
      </c>
      <c r="O105" s="1083">
        <f>K105*G105</f>
        <v>0</v>
      </c>
      <c r="P105" s="1080"/>
    </row>
    <row r="106" spans="1:16" s="1081" customFormat="1" hidden="1" outlineLevel="1">
      <c r="A106" s="1154">
        <f>IF(G106&lt;&gt;0,1,0)</f>
        <v>0</v>
      </c>
      <c r="B106" s="1067" t="s">
        <v>591</v>
      </c>
      <c r="C106" s="1074"/>
      <c r="D106" s="1075">
        <f>VLOOKUP($B106,dongia1,DG!$B$5,)</f>
        <v>0</v>
      </c>
      <c r="E106" s="1076" t="str">
        <f>VLOOKUP($B106,dongia1,DG!$C$5,)</f>
        <v>Cổ dê kẹp ống PVC Þ 90</v>
      </c>
      <c r="F106" s="1075" t="str">
        <f>VLOOKUP($B106,dongia1,DG!$D$5,)</f>
        <v>bộ</v>
      </c>
      <c r="G106" s="1203">
        <f>G92*1.12*2</f>
        <v>0</v>
      </c>
      <c r="H106" s="1062">
        <f>VLOOKUP($B106,dongia1,DG!$F$5,)</f>
        <v>49000</v>
      </c>
      <c r="I106" s="1083"/>
      <c r="J106" s="1062"/>
      <c r="K106" s="1062">
        <f>VLOOKUP($B106,dongia1,DG!$H$5,)</f>
        <v>0</v>
      </c>
      <c r="L106" s="1174">
        <f>H106*G106</f>
        <v>0</v>
      </c>
      <c r="M106" s="1174"/>
      <c r="N106" s="1062">
        <f>VLOOKUP($B106,dongia1,DG!$G$5,)*G106</f>
        <v>0</v>
      </c>
      <c r="O106" s="1083">
        <f>K106*G106</f>
        <v>0</v>
      </c>
      <c r="P106" s="1080"/>
    </row>
    <row r="107" spans="1:16" s="1081" customFormat="1" hidden="1" outlineLevel="1">
      <c r="A107" s="1154">
        <f>IF(G107&lt;&gt;0,1,0)</f>
        <v>0</v>
      </c>
      <c r="B107" s="1067" t="s">
        <v>1302</v>
      </c>
      <c r="C107" s="1074"/>
      <c r="D107" s="1075" t="str">
        <f>VLOOKUP($B107,dongia1,DG!$B$5,)</f>
        <v>D3.3241</v>
      </c>
      <c r="E107" s="1076" t="str">
        <f>VLOOKUP($B107,dongia1,DG!$C$5,)</f>
        <v>Lắp cổ dê</v>
      </c>
      <c r="F107" s="1075" t="str">
        <f>VLOOKUP($B107,dongia1,DG!$D$5,)</f>
        <v>cái</v>
      </c>
      <c r="G107" s="1203">
        <f>G93*1.12*2</f>
        <v>0</v>
      </c>
      <c r="H107" s="1062"/>
      <c r="I107" s="1083"/>
      <c r="J107" s="1062">
        <f>VLOOKUP($B107,dongia1,DG!$G$5,)</f>
        <v>77000</v>
      </c>
      <c r="K107" s="1062">
        <f>VLOOKUP($B107,dongia1,DG!$H$5,)</f>
        <v>0</v>
      </c>
      <c r="L107" s="1174">
        <f>H107*G107</f>
        <v>0</v>
      </c>
      <c r="M107" s="1174"/>
      <c r="N107" s="1062">
        <f>VLOOKUP($B107,dongia1,DG!$G$5,)*G107</f>
        <v>0</v>
      </c>
      <c r="O107" s="1083">
        <f>K107*G107</f>
        <v>0</v>
      </c>
      <c r="P107" s="1080"/>
    </row>
    <row r="108" spans="1:16" s="1081" customFormat="1" hidden="1" outlineLevel="1">
      <c r="A108" s="1154">
        <f>IF(G108&lt;&gt;0,1,0)</f>
        <v>0</v>
      </c>
      <c r="B108" s="1067" t="s">
        <v>1623</v>
      </c>
      <c r="C108" s="1074"/>
      <c r="D108" s="1075">
        <f>VLOOKUP($B108,dongia1,DG!$B$5,)</f>
        <v>0</v>
      </c>
      <c r="E108" s="1076" t="str">
        <f>VLOOKUP($B108,dongia1,DG!$C$5,)</f>
        <v>Boulon 12x40+ 2 long đền vuông D14-50x50x3/Zn</v>
      </c>
      <c r="F108" s="1075" t="str">
        <f>VLOOKUP($B108,dongia1,DG!$D$5,)</f>
        <v>bộ</v>
      </c>
      <c r="G108" s="1074">
        <f>G93*12</f>
        <v>0</v>
      </c>
      <c r="H108" s="1062">
        <f>VLOOKUP($B108,dongia1,DG!$F$5,)</f>
        <v>8500</v>
      </c>
      <c r="I108" s="1083"/>
      <c r="J108" s="1062">
        <f>VLOOKUP($B108,dongia1,DG!$G$5,)</f>
        <v>0</v>
      </c>
      <c r="K108" s="1062">
        <f>VLOOKUP($B108,dongia1,DG!$H$5,)</f>
        <v>0</v>
      </c>
      <c r="L108" s="1174">
        <f>H108*G108</f>
        <v>0</v>
      </c>
      <c r="M108" s="1174"/>
      <c r="N108" s="1062">
        <f>VLOOKUP($B108,dongia1,DG!$G$5,)*G108</f>
        <v>0</v>
      </c>
      <c r="O108" s="1083">
        <f>K108*G108</f>
        <v>0</v>
      </c>
      <c r="P108" s="1080"/>
    </row>
    <row r="109" spans="1:16" s="1081" customFormat="1" hidden="1" outlineLevel="1">
      <c r="A109" s="1154">
        <f t="shared" ref="A109:A115" si="23">IF(G109&lt;&gt;0,1,)</f>
        <v>0</v>
      </c>
      <c r="B109" s="1086" t="s">
        <v>111</v>
      </c>
      <c r="C109" s="1074"/>
      <c r="D109" s="1075">
        <f>VLOOKUP($B109,dongia1,DG!$B$5,)</f>
        <v>0</v>
      </c>
      <c r="E109" s="1076" t="str">
        <f>VLOOKUP($B109,dongia1,DG!$C$5,)</f>
        <v>Co  90 độ PVC 90 (loại dày)</v>
      </c>
      <c r="F109" s="1075" t="str">
        <f>VLOOKUP($B109,dongia1,DG!$D$5,)</f>
        <v>cái</v>
      </c>
      <c r="G109" s="1074">
        <f>4*G93</f>
        <v>0</v>
      </c>
      <c r="H109" s="1062">
        <f>VLOOKUP($B109,dongia1,DG!$F$5,)</f>
        <v>45400</v>
      </c>
      <c r="I109" s="1062"/>
      <c r="J109" s="1062">
        <f>VLOOKUP($B109,dongia1,DG!$G$5,)</f>
        <v>0</v>
      </c>
      <c r="K109" s="1062">
        <f>VLOOKUP($B109,dongia1,DG!$H$5,)</f>
        <v>0</v>
      </c>
      <c r="L109" s="1174">
        <f t="shared" si="6"/>
        <v>0</v>
      </c>
      <c r="M109" s="1174">
        <f t="shared" si="7"/>
        <v>0</v>
      </c>
      <c r="N109" s="1174">
        <f t="shared" ref="N109:N115" si="24">J109*G109</f>
        <v>0</v>
      </c>
      <c r="O109" s="1083">
        <f t="shared" si="8"/>
        <v>0</v>
      </c>
      <c r="P109" s="1074"/>
    </row>
    <row r="110" spans="1:16" s="1081" customFormat="1" hidden="1" outlineLevel="1">
      <c r="A110" s="1154">
        <f t="shared" si="23"/>
        <v>0</v>
      </c>
      <c r="B110" s="1086" t="s">
        <v>1972</v>
      </c>
      <c r="C110" s="1074"/>
      <c r="D110" s="1075">
        <f>VLOOKUP($B110,dongia1,DG!$B$5,)</f>
        <v>0</v>
      </c>
      <c r="E110" s="1076" t="str">
        <f>VLOOKUP($B110,dongia1,DG!$C$5,)</f>
        <v xml:space="preserve">Nối thẳng ống PVC 90 </v>
      </c>
      <c r="F110" s="1075" t="str">
        <f>VLOOKUP($B110,dongia1,DG!$D$5,)</f>
        <v>cái</v>
      </c>
      <c r="G110" s="1074">
        <f>G93</f>
        <v>0</v>
      </c>
      <c r="H110" s="1062">
        <f>VLOOKUP($B110,dongia1,DG!$F$5,)</f>
        <v>12400</v>
      </c>
      <c r="I110" s="1062"/>
      <c r="J110" s="1062">
        <f>VLOOKUP($B110,dongia1,DG!$G$5,)</f>
        <v>0</v>
      </c>
      <c r="K110" s="1062">
        <f>VLOOKUP($B110,dongia1,DG!$H$5,)</f>
        <v>0</v>
      </c>
      <c r="L110" s="1174">
        <f t="shared" si="6"/>
        <v>0</v>
      </c>
      <c r="M110" s="1174">
        <f t="shared" si="7"/>
        <v>0</v>
      </c>
      <c r="N110" s="1174">
        <f t="shared" si="24"/>
        <v>0</v>
      </c>
      <c r="O110" s="1083">
        <f t="shared" si="8"/>
        <v>0</v>
      </c>
      <c r="P110" s="1074"/>
    </row>
    <row r="111" spans="1:16" s="1081" customFormat="1" hidden="1" outlineLevel="1">
      <c r="A111" s="1154">
        <f t="shared" si="23"/>
        <v>0</v>
      </c>
      <c r="B111" s="1086" t="s">
        <v>887</v>
      </c>
      <c r="C111" s="1074"/>
      <c r="D111" s="1075">
        <f>VLOOKUP($B111,dongia1,DG!$B$5,)</f>
        <v>0</v>
      </c>
      <c r="E111" s="1076" t="str">
        <f>VLOOKUP($B111,dongia1,DG!$C$5,)</f>
        <v>Keo dán ống PVC (100gr)</v>
      </c>
      <c r="F111" s="1075" t="str">
        <f>VLOOKUP($B111,dongia1,DG!$D$5,)</f>
        <v>tuýp</v>
      </c>
      <c r="G111" s="1074">
        <f>G93</f>
        <v>0</v>
      </c>
      <c r="H111" s="1062">
        <f>VLOOKUP($B111,dongia1,DG!$F$5,)</f>
        <v>11500</v>
      </c>
      <c r="I111" s="1062"/>
      <c r="J111" s="1062">
        <f>VLOOKUP($B111,dongia1,DG!$G$5,)</f>
        <v>0</v>
      </c>
      <c r="K111" s="1062">
        <f>VLOOKUP($B111,dongia1,DG!$H$5,)</f>
        <v>0</v>
      </c>
      <c r="L111" s="1174">
        <f t="shared" si="6"/>
        <v>0</v>
      </c>
      <c r="M111" s="1174">
        <f t="shared" si="7"/>
        <v>0</v>
      </c>
      <c r="N111" s="1174">
        <f t="shared" si="24"/>
        <v>0</v>
      </c>
      <c r="O111" s="1083">
        <f t="shared" si="8"/>
        <v>0</v>
      </c>
      <c r="P111" s="1074"/>
    </row>
    <row r="112" spans="1:16" s="1081" customFormat="1" hidden="1" outlineLevel="1">
      <c r="A112" s="1154">
        <f t="shared" si="23"/>
        <v>0</v>
      </c>
      <c r="B112" s="1086" t="s">
        <v>429</v>
      </c>
      <c r="C112" s="1074"/>
      <c r="D112" s="1075">
        <f>VLOOKUP($B112,dongia1,DG!$B$5,)</f>
        <v>0</v>
      </c>
      <c r="E112" s="1076" t="str">
        <f>VLOOKUP($B112,dongia1,DG!$C$5,)</f>
        <v>Keo silicon bít miệng ống</v>
      </c>
      <c r="F112" s="1075" t="str">
        <f>VLOOKUP($B112,dongia1,DG!$D$5,)</f>
        <v>chai</v>
      </c>
      <c r="G112" s="1074">
        <f>G93</f>
        <v>0</v>
      </c>
      <c r="H112" s="1062">
        <f>VLOOKUP($B112,dongia1,DG!$F$5,)</f>
        <v>45000</v>
      </c>
      <c r="I112" s="1062"/>
      <c r="J112" s="1062">
        <f>VLOOKUP($B112,dongia1,DG!$G$5,)</f>
        <v>0</v>
      </c>
      <c r="K112" s="1062">
        <f>VLOOKUP($B112,dongia1,DG!$H$5,)</f>
        <v>0</v>
      </c>
      <c r="L112" s="1174">
        <f>H112*G112</f>
        <v>0</v>
      </c>
      <c r="M112" s="1174">
        <f>I112*G112</f>
        <v>0</v>
      </c>
      <c r="N112" s="1174">
        <f t="shared" si="24"/>
        <v>0</v>
      </c>
      <c r="O112" s="1083">
        <f>K112*G112</f>
        <v>0</v>
      </c>
      <c r="P112" s="1074"/>
    </row>
    <row r="113" spans="1:18" s="1081" customFormat="1" hidden="1" outlineLevel="1">
      <c r="A113" s="1154">
        <f t="shared" si="23"/>
        <v>0</v>
      </c>
      <c r="B113" s="1086" t="s">
        <v>1194</v>
      </c>
      <c r="C113" s="1074"/>
      <c r="D113" s="1075" t="str">
        <f>VLOOKUP($B113,dongia1,DG!$B$5,)</f>
        <v>D4.1409</v>
      </c>
      <c r="E113" s="1076" t="str">
        <f>VLOOKUP($B113,dongia1,DG!$C$5,)</f>
        <v>Lắp ống nhựa PVC D90</v>
      </c>
      <c r="F113" s="1075" t="str">
        <f>VLOOKUP($B113,dongia1,DG!$D$5,)</f>
        <v>mét</v>
      </c>
      <c r="G113" s="1074">
        <f>G103</f>
        <v>0</v>
      </c>
      <c r="H113" s="1062"/>
      <c r="I113" s="1062"/>
      <c r="J113" s="1062">
        <f>VLOOKUP($B113,dongia1,DG!$G$5,)</f>
        <v>55493.02</v>
      </c>
      <c r="K113" s="1062">
        <f>VLOOKUP($B113,dongia1,DG!$H$5,)</f>
        <v>0</v>
      </c>
      <c r="L113" s="1174">
        <f>H113*G113</f>
        <v>0</v>
      </c>
      <c r="M113" s="1174">
        <f>I113*G113</f>
        <v>0</v>
      </c>
      <c r="N113" s="1174">
        <f t="shared" si="24"/>
        <v>0</v>
      </c>
      <c r="O113" s="1083">
        <f>K113*G113</f>
        <v>0</v>
      </c>
      <c r="P113" s="1074"/>
    </row>
    <row r="114" spans="1:18" s="1081" customFormat="1" hidden="1" outlineLevel="1">
      <c r="A114" s="1154">
        <f t="shared" si="23"/>
        <v>0</v>
      </c>
      <c r="B114" s="1086" t="s">
        <v>224</v>
      </c>
      <c r="C114" s="1074"/>
      <c r="D114" s="1075" t="str">
        <f>VLOOKUP($B114,dongia1,DG!$B$5,)</f>
        <v>T4.4201</v>
      </c>
      <c r="E114" s="1076" t="str">
        <f>VLOOKUP($B114,dongia1,DG!$C$5,)</f>
        <v>Lắp cáp đồng xuống thiết bị D ≤ 95mm2</v>
      </c>
      <c r="F114" s="1075" t="str">
        <f>VLOOKUP($B114,dongia1,DG!$D$5,)</f>
        <v>m</v>
      </c>
      <c r="G114" s="1074">
        <f>G95+G96</f>
        <v>0</v>
      </c>
      <c r="H114" s="1062">
        <f>VLOOKUP($B114,dongia1,DG!$F$5,)</f>
        <v>0</v>
      </c>
      <c r="I114" s="1062"/>
      <c r="J114" s="1062">
        <f>VLOOKUP($B114,dongia1,DG!$G$5,)</f>
        <v>13915</v>
      </c>
      <c r="K114" s="1062">
        <f>VLOOKUP($B114,dongia1,DG!$H$5,)</f>
        <v>0</v>
      </c>
      <c r="L114" s="1174">
        <f>H114*G114</f>
        <v>0</v>
      </c>
      <c r="M114" s="1174">
        <f>I114*G114</f>
        <v>0</v>
      </c>
      <c r="N114" s="1174">
        <f t="shared" si="24"/>
        <v>0</v>
      </c>
      <c r="O114" s="1083">
        <f>K114*G114</f>
        <v>0</v>
      </c>
      <c r="P114" s="1074"/>
    </row>
    <row r="115" spans="1:18" s="1081" customFormat="1" hidden="1" outlineLevel="1">
      <c r="A115" s="1154">
        <f t="shared" si="23"/>
        <v>0</v>
      </c>
      <c r="B115" s="1086" t="s">
        <v>888</v>
      </c>
      <c r="C115" s="1207">
        <f>IF(G115&gt;0,C93+1,C93)</f>
        <v>0</v>
      </c>
      <c r="D115" s="1208"/>
      <c r="E115" s="1076" t="str">
        <f>VLOOKUP($B115,dongia1,DG!$C$5,)</f>
        <v>Bảng tên trạm + bảng báo nguy hiểm</v>
      </c>
      <c r="F115" s="1075" t="str">
        <f>VLOOKUP($B115,dongia1,DG!$D$5,)</f>
        <v>cái</v>
      </c>
      <c r="G115" s="1207">
        <f>G34</f>
        <v>0</v>
      </c>
      <c r="H115" s="1062">
        <f>VLOOKUP($B115,dongia1,DG!$F$5,)</f>
        <v>300000</v>
      </c>
      <c r="I115" s="1062"/>
      <c r="J115" s="1062">
        <f>VLOOKUP($B115,dongia1,DG!$G$5,)</f>
        <v>0</v>
      </c>
      <c r="K115" s="1062">
        <f>VLOOKUP($B115,dongia1,DG!$H$5,)</f>
        <v>0</v>
      </c>
      <c r="L115" s="1209">
        <f t="shared" si="6"/>
        <v>0</v>
      </c>
      <c r="M115" s="1209">
        <f t="shared" si="7"/>
        <v>0</v>
      </c>
      <c r="N115" s="1209">
        <f t="shared" si="24"/>
        <v>0</v>
      </c>
      <c r="O115" s="1210">
        <f t="shared" si="8"/>
        <v>0</v>
      </c>
      <c r="P115" s="1211"/>
    </row>
    <row r="116" spans="1:18" s="1081" customFormat="1" hidden="1" outlineLevel="1">
      <c r="A116" s="1154">
        <f>A115</f>
        <v>0</v>
      </c>
      <c r="B116" s="1086"/>
      <c r="C116" s="1212"/>
      <c r="D116" s="1213"/>
      <c r="E116" s="1214"/>
      <c r="F116" s="1215"/>
      <c r="G116" s="1215"/>
      <c r="H116" s="1215"/>
      <c r="I116" s="1215"/>
      <c r="J116" s="2460" t="s">
        <v>3388</v>
      </c>
      <c r="K116" s="2460"/>
      <c r="L116" s="1216">
        <f>SUM(L44:L115)</f>
        <v>0</v>
      </c>
      <c r="M116" s="1216"/>
      <c r="N116" s="1216">
        <f>SUM(N44:N115)</f>
        <v>0</v>
      </c>
      <c r="O116" s="1216">
        <f>SUM(O44:O115)</f>
        <v>0</v>
      </c>
      <c r="P116" s="1179"/>
    </row>
    <row r="117" spans="1:18" s="1081" customFormat="1" hidden="1">
      <c r="A117" s="1199" t="str">
        <f>IF(G122&lt;&gt;0,1,"")</f>
        <v/>
      </c>
      <c r="B117" s="1175"/>
      <c r="C117" s="1217"/>
      <c r="D117" s="1144"/>
    </row>
    <row r="118" spans="1:18" s="1081" customFormat="1" hidden="1" outlineLevel="1">
      <c r="A118" s="1154" t="str">
        <f>A117</f>
        <v/>
      </c>
      <c r="B118" s="1175"/>
      <c r="C118" s="2466" t="s">
        <v>3386</v>
      </c>
      <c r="D118" s="2466"/>
      <c r="E118" s="2466"/>
      <c r="F118" s="2466"/>
      <c r="G118" s="2466"/>
      <c r="H118" s="2466"/>
      <c r="I118" s="2466"/>
      <c r="J118" s="2466"/>
      <c r="K118" s="2466"/>
      <c r="L118" s="2466"/>
      <c r="M118" s="2466"/>
      <c r="N118" s="2466"/>
      <c r="O118" s="2466"/>
      <c r="P118" s="2466"/>
    </row>
    <row r="119" spans="1:18" s="1081" customFormat="1" hidden="1" outlineLevel="1">
      <c r="A119" s="1154" t="str">
        <f>A118</f>
        <v/>
      </c>
      <c r="B119" s="1073" t="s">
        <v>308</v>
      </c>
      <c r="C119" s="2459" t="s">
        <v>1014</v>
      </c>
      <c r="D119" s="2467" t="s">
        <v>3363</v>
      </c>
      <c r="E119" s="2457" t="s">
        <v>3364</v>
      </c>
      <c r="F119" s="2459" t="s">
        <v>3365</v>
      </c>
      <c r="G119" s="1155" t="s">
        <v>3367</v>
      </c>
      <c r="H119" s="1156" t="s">
        <v>3368</v>
      </c>
      <c r="I119" s="1157"/>
      <c r="J119" s="1157"/>
      <c r="K119" s="1158"/>
      <c r="L119" s="1156" t="s">
        <v>3372</v>
      </c>
      <c r="M119" s="1157"/>
      <c r="N119" s="1157"/>
      <c r="O119" s="1158"/>
      <c r="P119" s="2459" t="s">
        <v>3373</v>
      </c>
    </row>
    <row r="120" spans="1:18" s="1081" customFormat="1" hidden="1" outlineLevel="1">
      <c r="A120" s="1154" t="str">
        <f>A119</f>
        <v/>
      </c>
      <c r="B120" s="1073"/>
      <c r="C120" s="2459"/>
      <c r="D120" s="2468"/>
      <c r="E120" s="2458"/>
      <c r="F120" s="2459"/>
      <c r="G120" s="1160" t="s">
        <v>3366</v>
      </c>
      <c r="H120" s="1161" t="s">
        <v>393</v>
      </c>
      <c r="I120" s="1161" t="s">
        <v>3369</v>
      </c>
      <c r="J120" s="1161" t="s">
        <v>3370</v>
      </c>
      <c r="K120" s="1161" t="s">
        <v>3371</v>
      </c>
      <c r="L120" s="1161" t="s">
        <v>393</v>
      </c>
      <c r="M120" s="1161" t="s">
        <v>3369</v>
      </c>
      <c r="N120" s="1161" t="s">
        <v>3370</v>
      </c>
      <c r="O120" s="1161" t="s">
        <v>3371</v>
      </c>
      <c r="P120" s="2459"/>
    </row>
    <row r="121" spans="1:18" s="1081" customFormat="1" hidden="1" outlineLevel="1">
      <c r="A121" s="1154" t="str">
        <f>A120</f>
        <v/>
      </c>
      <c r="B121" s="1073"/>
      <c r="C121" s="1162"/>
      <c r="D121" s="1163"/>
      <c r="E121" s="1164" t="s">
        <v>3375</v>
      </c>
      <c r="F121" s="1165"/>
      <c r="G121" s="1165"/>
      <c r="H121" s="1165"/>
      <c r="I121" s="1165"/>
      <c r="J121" s="1165"/>
      <c r="K121" s="1165"/>
      <c r="L121" s="1165"/>
      <c r="M121" s="1165"/>
      <c r="N121" s="1165"/>
      <c r="O121" s="1163"/>
      <c r="P121" s="1166"/>
    </row>
    <row r="122" spans="1:18" s="1081" customFormat="1" hidden="1" outlineLevel="1">
      <c r="A122" s="1199" t="str">
        <f>IF(G122&lt;&gt;0,1,"")</f>
        <v/>
      </c>
      <c r="B122" s="1167" t="str">
        <f>IF($F$8=22,"TR251","TR25")</f>
        <v>TR251</v>
      </c>
      <c r="C122" s="1168">
        <f>IF(G122&gt;0,1,0)</f>
        <v>0</v>
      </c>
      <c r="D122" s="1075" t="str">
        <f>VLOOKUP($B122,dongia1,DG!$B$5,)</f>
        <v>T1.1431</v>
      </c>
      <c r="E122" s="1076" t="str">
        <f>VLOOKUP($B122,dongia1,DG!$C$5,)</f>
        <v>Máy biến áp 12,7/0,22-0,44kV  25kVA</v>
      </c>
      <c r="F122" s="1075" t="str">
        <f>VLOOKUP($B122,dongia1,DG!$D$5,)</f>
        <v>máy</v>
      </c>
      <c r="G122" s="1218">
        <f>H7</f>
        <v>0</v>
      </c>
      <c r="H122" s="1062">
        <f>VLOOKUP($B122,dongia1,DG!$E$5,)</f>
        <v>41513000</v>
      </c>
      <c r="I122" s="1062"/>
      <c r="J122" s="1062">
        <f>VLOOKUP($B122,dongia1,DG!$G$5,)</f>
        <v>546322</v>
      </c>
      <c r="K122" s="1062">
        <f>VLOOKUP($B122,dongia1,DG!$H$5,)</f>
        <v>284508</v>
      </c>
      <c r="L122" s="1174">
        <f t="shared" ref="L122:L130" si="25">H122*G122</f>
        <v>0</v>
      </c>
      <c r="M122" s="1174">
        <f t="shared" ref="M122:M130" si="26">I122*G122</f>
        <v>0</v>
      </c>
      <c r="N122" s="1174">
        <f t="shared" ref="N122:N130" si="27">J122*G122</f>
        <v>0</v>
      </c>
      <c r="O122" s="1083">
        <f t="shared" ref="O122:O130" si="28">K122*G122</f>
        <v>0</v>
      </c>
      <c r="P122" s="1219"/>
    </row>
    <row r="123" spans="1:18" s="1081" customFormat="1" hidden="1" outlineLevel="1">
      <c r="A123" s="1199" t="str">
        <f t="shared" ref="A123:A190" si="29">IF(G123&lt;&gt;0,1,"")</f>
        <v/>
      </c>
      <c r="B123" s="1167" t="str">
        <f>"FCO100-"&amp;$F$8</f>
        <v>FCO100-22</v>
      </c>
      <c r="C123" s="1168">
        <f t="shared" ref="C123:C130" si="30">IF(G123&gt;0,C122+1,C122)</f>
        <v>0</v>
      </c>
      <c r="D123" s="1075" t="str">
        <f>VLOOKUP($B123,dongia1,DG!$B$5,)</f>
        <v>T2.3501</v>
      </c>
      <c r="E123" s="1076" t="str">
        <f>VLOOKUP($B123,dongia1,DG!$C$5,)</f>
        <v>FCO 24kV - 100A</v>
      </c>
      <c r="F123" s="1075" t="str">
        <f>VLOOKUP($B123,dongia1,DG!$D$5,)</f>
        <v>cái</v>
      </c>
      <c r="G123" s="1074">
        <f>+G122</f>
        <v>0</v>
      </c>
      <c r="H123" s="1062">
        <f>VLOOKUP($B123,dongia1,DG!$E$5,)</f>
        <v>2244280</v>
      </c>
      <c r="I123" s="1062"/>
      <c r="J123" s="1062">
        <f>VLOOKUP($B123,dongia1,DG!$G$5,)</f>
        <v>222639.99999999997</v>
      </c>
      <c r="K123" s="1062">
        <f>VLOOKUP($B123,dongia1,DG!$H$5,)</f>
        <v>0</v>
      </c>
      <c r="L123" s="1174">
        <f t="shared" si="25"/>
        <v>0</v>
      </c>
      <c r="M123" s="1174">
        <f t="shared" si="26"/>
        <v>0</v>
      </c>
      <c r="N123" s="1174">
        <f t="shared" si="27"/>
        <v>0</v>
      </c>
      <c r="O123" s="1083">
        <f t="shared" si="28"/>
        <v>0</v>
      </c>
      <c r="P123" s="1080"/>
    </row>
    <row r="124" spans="1:18" s="1081" customFormat="1" hidden="1" outlineLevel="1">
      <c r="A124" s="1199" t="str">
        <f t="shared" si="29"/>
        <v/>
      </c>
      <c r="B124" s="1167" t="str">
        <f>IF($F$8=22,"CHI3K","CHI6K")</f>
        <v>CHI3K</v>
      </c>
      <c r="C124" s="1168">
        <f t="shared" si="30"/>
        <v>0</v>
      </c>
      <c r="D124" s="1075">
        <f>VLOOKUP($B124,dongia1,DG!$B$5,)</f>
        <v>0</v>
      </c>
      <c r="E124" s="1076" t="str">
        <f>VLOOKUP($B124,dongia1,DG!$C$5,)</f>
        <v>Dây chảy 3K</v>
      </c>
      <c r="F124" s="1075" t="str">
        <f>VLOOKUP($B124,dongia1,DG!$D$5,)</f>
        <v>Sợi</v>
      </c>
      <c r="G124" s="1074">
        <f>G123</f>
        <v>0</v>
      </c>
      <c r="H124" s="1062">
        <f>VLOOKUP($B124,dongia1,DG!$F$5,)</f>
        <v>84000</v>
      </c>
      <c r="I124" s="1062"/>
      <c r="J124" s="1062">
        <f>VLOOKUP($B124,dongia1,DG!$G$5,)</f>
        <v>0</v>
      </c>
      <c r="K124" s="1062">
        <f>VLOOKUP($B124,dongia1,DG!$H$5,)</f>
        <v>0</v>
      </c>
      <c r="L124" s="1174">
        <f t="shared" si="25"/>
        <v>0</v>
      </c>
      <c r="M124" s="1174">
        <f t="shared" si="26"/>
        <v>0</v>
      </c>
      <c r="N124" s="1174">
        <f t="shared" si="27"/>
        <v>0</v>
      </c>
      <c r="O124" s="1083">
        <f t="shared" si="28"/>
        <v>0</v>
      </c>
      <c r="P124" s="1080"/>
    </row>
    <row r="125" spans="1:18" s="1081" customFormat="1" hidden="1" outlineLevel="1">
      <c r="A125" s="1199" t="str">
        <f t="shared" si="29"/>
        <v/>
      </c>
      <c r="B125" s="1073" t="str">
        <f>"LA"&amp;$F$6</f>
        <v>LA18</v>
      </c>
      <c r="C125" s="1168">
        <f>IF(G125&gt;0,C124+1,C124)</f>
        <v>0</v>
      </c>
      <c r="D125" s="1075" t="str">
        <f>VLOOKUP($B125,dongia1,DG!$B$5,)</f>
        <v>T2.5004</v>
      </c>
      <c r="E125" s="1076" t="str">
        <f>VLOOKUP($B125,dongia1,DG!$C$5,)</f>
        <v>LA 18kV 10kA</v>
      </c>
      <c r="F125" s="1075" t="str">
        <f>VLOOKUP($B125,dongia1,DG!$D$5,)</f>
        <v>cái</v>
      </c>
      <c r="G125" s="1074">
        <f>G123</f>
        <v>0</v>
      </c>
      <c r="H125" s="1062">
        <f>VLOOKUP($B125,dongia1,DG!$E$5,)</f>
        <v>1106000</v>
      </c>
      <c r="I125" s="1062"/>
      <c r="J125" s="1062">
        <f>VLOOKUP($B125,dongia1,DG!$G$5,)</f>
        <v>83490</v>
      </c>
      <c r="K125" s="1062">
        <f>VLOOKUP($B125,dongia1,DG!$H$5,)</f>
        <v>0</v>
      </c>
      <c r="L125" s="1174">
        <f t="shared" si="25"/>
        <v>0</v>
      </c>
      <c r="M125" s="1174">
        <f t="shared" si="26"/>
        <v>0</v>
      </c>
      <c r="N125" s="1174">
        <f t="shared" si="27"/>
        <v>0</v>
      </c>
      <c r="O125" s="1083">
        <f t="shared" si="28"/>
        <v>0</v>
      </c>
      <c r="P125" s="1080"/>
    </row>
    <row r="126" spans="1:18" s="1081" customFormat="1" hidden="1" outlineLevel="1">
      <c r="A126" s="1199" t="str">
        <f t="shared" si="29"/>
        <v/>
      </c>
      <c r="B126" s="1176" t="s">
        <v>1412</v>
      </c>
      <c r="C126" s="1168">
        <f t="shared" si="30"/>
        <v>0</v>
      </c>
      <c r="D126" s="1075">
        <f>VLOOKUP($B126,dongia1,DG!$B$5,)</f>
        <v>0</v>
      </c>
      <c r="E126" s="1076" t="str">
        <f>VLOOKUP($B126,dongia1,DG!$C$5,)</f>
        <v>MCCB 3 cực 400V -125A - 36KA</v>
      </c>
      <c r="F126" s="1075" t="str">
        <f>VLOOKUP($B126,dongia1,DG!$D$5,)</f>
        <v>cái</v>
      </c>
      <c r="G126" s="1074">
        <f>G122</f>
        <v>0</v>
      </c>
      <c r="H126" s="1062">
        <f>VLOOKUP($B126,dongia1,DG!$E$5,)</f>
        <v>2440000</v>
      </c>
      <c r="I126" s="1062"/>
      <c r="J126" s="1062">
        <f>VLOOKUP($B126,dongia1,DG!$G$5,)</f>
        <v>0</v>
      </c>
      <c r="K126" s="1062">
        <f>VLOOKUP($B126,dongia1,DG!$H$5,)</f>
        <v>0</v>
      </c>
      <c r="L126" s="1174">
        <f t="shared" si="25"/>
        <v>0</v>
      </c>
      <c r="M126" s="1174">
        <f t="shared" si="26"/>
        <v>0</v>
      </c>
      <c r="N126" s="1174">
        <f t="shared" si="27"/>
        <v>0</v>
      </c>
      <c r="O126" s="1083">
        <f t="shared" si="28"/>
        <v>0</v>
      </c>
      <c r="P126" s="1080"/>
    </row>
    <row r="127" spans="1:18" s="1081" customFormat="1" hidden="1" outlineLevel="1">
      <c r="A127" s="1199" t="str">
        <f t="shared" si="29"/>
        <v/>
      </c>
      <c r="B127" s="1205" t="s">
        <v>327</v>
      </c>
      <c r="C127" s="1168">
        <f t="shared" si="30"/>
        <v>0</v>
      </c>
      <c r="D127" s="1075">
        <f>VLOOKUP($B127,dongia1,DG!$B$5,)</f>
        <v>0</v>
      </c>
      <c r="E127" s="1076" t="str">
        <f>VLOOKUP($B127,dongia1,DG!$C$5,)</f>
        <v>Biến dòng 24kV  100/5A</v>
      </c>
      <c r="F127" s="1075" t="str">
        <f>VLOOKUP($B127,dongia1,DG!$D$5,)</f>
        <v>cái</v>
      </c>
      <c r="G127" s="1074">
        <f>+G122*1</f>
        <v>0</v>
      </c>
      <c r="H127" s="1062">
        <f>VLOOKUP($B127,dongia1,DG!$E$5,)*0</f>
        <v>0</v>
      </c>
      <c r="I127" s="1062"/>
      <c r="J127" s="1062">
        <f>VLOOKUP($B127,dongia1,DG!$G$5,)*0</f>
        <v>0</v>
      </c>
      <c r="K127" s="1062">
        <f>VLOOKUP($B127,dongia1,DG!$H$5,)</f>
        <v>0</v>
      </c>
      <c r="L127" s="1174">
        <f t="shared" si="25"/>
        <v>0</v>
      </c>
      <c r="M127" s="1174">
        <f>I127*G127</f>
        <v>0</v>
      </c>
      <c r="N127" s="1174">
        <f>J127*G127</f>
        <v>0</v>
      </c>
      <c r="O127" s="1083">
        <f>K127*G127</f>
        <v>0</v>
      </c>
      <c r="P127" s="1074" t="s">
        <v>3471</v>
      </c>
      <c r="Q127" s="1173"/>
      <c r="R127" s="1175"/>
    </row>
    <row r="128" spans="1:18" s="1081" customFormat="1" hidden="1" outlineLevel="1">
      <c r="A128" s="1199" t="str">
        <f t="shared" si="29"/>
        <v/>
      </c>
      <c r="B128" s="1067" t="s">
        <v>306</v>
      </c>
      <c r="C128" s="1168">
        <f t="shared" si="30"/>
        <v>0</v>
      </c>
      <c r="D128" s="1075">
        <f>VLOOKUP($B128,dongia1,DG!$B$5,)</f>
        <v>0</v>
      </c>
      <c r="E128" s="1076" t="str">
        <f>VLOOKUP($B128,dongia1,DG!$C$5,)</f>
        <v>Điện kế 1 pha 2 dây 220V-5A</v>
      </c>
      <c r="F128" s="1075" t="str">
        <f>VLOOKUP($B128,dongia1,DG!$D$5,)</f>
        <v>cái</v>
      </c>
      <c r="G128" s="1074">
        <f>G122*1</f>
        <v>0</v>
      </c>
      <c r="H128" s="1062">
        <f>VLOOKUP($B128,dongia1,DG!$E$5,)*0</f>
        <v>0</v>
      </c>
      <c r="I128" s="1062"/>
      <c r="J128" s="1062">
        <f>VLOOKUP($B128,dongia1,DG!$G$5,)</f>
        <v>0</v>
      </c>
      <c r="K128" s="1062">
        <f>VLOOKUP($B128,dongia1,DG!$H$5,)</f>
        <v>0</v>
      </c>
      <c r="L128" s="1174">
        <f t="shared" si="25"/>
        <v>0</v>
      </c>
      <c r="M128" s="1174">
        <f t="shared" si="26"/>
        <v>0</v>
      </c>
      <c r="N128" s="1174">
        <f t="shared" si="27"/>
        <v>0</v>
      </c>
      <c r="O128" s="1083">
        <f t="shared" si="28"/>
        <v>0</v>
      </c>
      <c r="P128" s="1074" t="s">
        <v>3471</v>
      </c>
    </row>
    <row r="129" spans="1:18" s="1081" customFormat="1" hidden="1" outlineLevel="1">
      <c r="A129" s="1199" t="str">
        <f t="shared" si="29"/>
        <v/>
      </c>
      <c r="B129" s="1073" t="s">
        <v>1520</v>
      </c>
      <c r="C129" s="1168">
        <f t="shared" si="30"/>
        <v>0</v>
      </c>
      <c r="D129" s="1075">
        <f>VLOOKUP($B129,dongia1,DG!$B$5,)</f>
        <v>0</v>
      </c>
      <c r="E129" s="1076" t="str">
        <f>VLOOKUP($B129,dongia1,DG!$C$5,)</f>
        <v xml:space="preserve">Ampe kế 100/5A-600v +AS </v>
      </c>
      <c r="F129" s="1075" t="str">
        <f>VLOOKUP($B129,dongia1,DG!$D$5,)</f>
        <v>Bộ</v>
      </c>
      <c r="G129" s="1074"/>
      <c r="H129" s="1062"/>
      <c r="I129" s="1062"/>
      <c r="J129" s="1062">
        <f>VLOOKUP($B129,dongia1,DG!$G$5,)</f>
        <v>0</v>
      </c>
      <c r="K129" s="1062">
        <f>VLOOKUP($B129,dongia1,DG!$H$5,)</f>
        <v>0</v>
      </c>
      <c r="L129" s="1174">
        <f t="shared" si="25"/>
        <v>0</v>
      </c>
      <c r="M129" s="1174">
        <f t="shared" si="26"/>
        <v>0</v>
      </c>
      <c r="N129" s="1174">
        <f t="shared" si="27"/>
        <v>0</v>
      </c>
      <c r="O129" s="1083">
        <f t="shared" si="28"/>
        <v>0</v>
      </c>
      <c r="P129" s="1074" t="s">
        <v>3471</v>
      </c>
    </row>
    <row r="130" spans="1:18" s="1081" customFormat="1" hidden="1" outlineLevel="1">
      <c r="A130" s="1199" t="str">
        <f t="shared" si="29"/>
        <v/>
      </c>
      <c r="B130" s="1073" t="s">
        <v>1521</v>
      </c>
      <c r="C130" s="1168">
        <f t="shared" si="30"/>
        <v>0</v>
      </c>
      <c r="D130" s="1075">
        <f>VLOOKUP($B130,dongia1,DG!$B$5,)</f>
        <v>0</v>
      </c>
      <c r="E130" s="1076" t="str">
        <f>VLOOKUP($B130,dongia1,DG!$C$5,)</f>
        <v>Volt kế 500V + VS + 2xChì ống 1A-230V</v>
      </c>
      <c r="F130" s="1075" t="str">
        <f>VLOOKUP($B130,dongia1,DG!$D$5,)</f>
        <v>Bộ</v>
      </c>
      <c r="G130" s="1074"/>
      <c r="H130" s="1062"/>
      <c r="I130" s="1062"/>
      <c r="J130" s="1062">
        <f>VLOOKUP($B130,dongia1,DG!$G$5,)</f>
        <v>0</v>
      </c>
      <c r="K130" s="1062">
        <f>VLOOKUP($B130,dongia1,DG!$H$5,)</f>
        <v>0</v>
      </c>
      <c r="L130" s="1174">
        <f t="shared" si="25"/>
        <v>0</v>
      </c>
      <c r="M130" s="1174">
        <f t="shared" si="26"/>
        <v>0</v>
      </c>
      <c r="N130" s="1174">
        <f t="shared" si="27"/>
        <v>0</v>
      </c>
      <c r="O130" s="1083">
        <f t="shared" si="28"/>
        <v>0</v>
      </c>
      <c r="P130" s="1074" t="s">
        <v>3471</v>
      </c>
    </row>
    <row r="131" spans="1:18" s="1081" customFormat="1" hidden="1" outlineLevel="1">
      <c r="A131" s="1199" t="str">
        <f>A122</f>
        <v/>
      </c>
      <c r="B131" s="1073"/>
      <c r="C131" s="1179"/>
      <c r="D131" s="1179"/>
      <c r="E131" s="1183"/>
      <c r="F131" s="1182"/>
      <c r="G131" s="1182"/>
      <c r="H131" s="1182"/>
      <c r="I131" s="1182"/>
      <c r="J131" s="1183" t="s">
        <v>3387</v>
      </c>
      <c r="K131" s="1182"/>
      <c r="L131" s="1166">
        <f>SUM(L122:L130)</f>
        <v>0</v>
      </c>
      <c r="M131" s="1166"/>
      <c r="N131" s="1166">
        <f>SUM(N122:N130)</f>
        <v>0</v>
      </c>
      <c r="O131" s="1166">
        <f>SUM(O122:O130)</f>
        <v>0</v>
      </c>
      <c r="P131" s="1220"/>
    </row>
    <row r="132" spans="1:18" s="1081" customFormat="1" hidden="1" outlineLevel="1">
      <c r="A132" s="1154" t="str">
        <f>A131</f>
        <v/>
      </c>
      <c r="B132" s="1073"/>
      <c r="C132" s="1184"/>
      <c r="D132" s="1179"/>
      <c r="E132" s="1186" t="s">
        <v>3376</v>
      </c>
      <c r="F132" s="1186"/>
      <c r="G132" s="1186"/>
      <c r="H132" s="1186"/>
      <c r="I132" s="1186"/>
      <c r="J132" s="1186"/>
      <c r="K132" s="1186"/>
      <c r="L132" s="1186"/>
      <c r="M132" s="1186"/>
      <c r="N132" s="1186"/>
      <c r="O132" s="1185"/>
      <c r="P132" s="1220"/>
    </row>
    <row r="133" spans="1:18" s="1081" customFormat="1" hidden="1" outlineLevel="1">
      <c r="A133" s="1199" t="str">
        <f t="shared" si="29"/>
        <v/>
      </c>
      <c r="B133" s="1073" t="s">
        <v>1262</v>
      </c>
      <c r="C133" s="1187">
        <f>IF(G145&gt;0,1,0)</f>
        <v>0</v>
      </c>
      <c r="D133" s="1075">
        <f>VLOOKUP($B133,dongia1,DG!$B$5,)</f>
        <v>0</v>
      </c>
      <c r="E133" s="1076" t="str">
        <f>VLOOKUP($B133,dongia1,DG!$C$5,)</f>
        <v>Boulon 16x300+ 2 long đền vuông D18-50x50x3/Zn</v>
      </c>
      <c r="F133" s="1075" t="str">
        <f>VLOOKUP($B133,dongia1,DG!$D$5,)</f>
        <v>bộ</v>
      </c>
      <c r="G133" s="1064">
        <f>2*SUM(G122:G122)</f>
        <v>0</v>
      </c>
      <c r="H133" s="1062">
        <f>VLOOKUP($B133,dongia1,DG!$F$5,)</f>
        <v>25400</v>
      </c>
      <c r="I133" s="1083"/>
      <c r="J133" s="1062">
        <f>VLOOKUP($B133,dongia1,DG!$G$5,)</f>
        <v>0</v>
      </c>
      <c r="K133" s="1062">
        <f>VLOOKUP($B133,dongia1,DG!$H$5,)</f>
        <v>0</v>
      </c>
      <c r="L133" s="1174">
        <f t="shared" ref="L133:L204" si="31">H133*G133</f>
        <v>0</v>
      </c>
      <c r="M133" s="1174">
        <f t="shared" ref="M133:M204" si="32">I133*G133</f>
        <v>0</v>
      </c>
      <c r="N133" s="1174">
        <f t="shared" ref="N133:N204" si="33">J133*G133</f>
        <v>0</v>
      </c>
      <c r="O133" s="1083">
        <f t="shared" ref="O133:O204" si="34">K133*G133</f>
        <v>0</v>
      </c>
      <c r="P133" s="1219"/>
    </row>
    <row r="134" spans="1:18" s="1081" customFormat="1" hidden="1" outlineLevel="1">
      <c r="A134" s="1199" t="str">
        <f t="shared" si="29"/>
        <v/>
      </c>
      <c r="B134" s="1073"/>
      <c r="C134" s="1191">
        <f>IF(G134&gt;0,C133+1,C133)</f>
        <v>0</v>
      </c>
      <c r="D134" s="1192"/>
      <c r="E134" s="1193" t="s">
        <v>3397</v>
      </c>
      <c r="F134" s="1064" t="s">
        <v>2113</v>
      </c>
      <c r="G134" s="1064">
        <f>G122*0</f>
        <v>0</v>
      </c>
      <c r="H134" s="1083"/>
      <c r="I134" s="1083"/>
      <c r="J134" s="1083"/>
      <c r="K134" s="1083"/>
      <c r="L134" s="1174">
        <f t="shared" si="31"/>
        <v>0</v>
      </c>
      <c r="M134" s="1174">
        <f t="shared" si="32"/>
        <v>0</v>
      </c>
      <c r="N134" s="1174">
        <f t="shared" si="33"/>
        <v>0</v>
      </c>
      <c r="O134" s="1083">
        <f t="shared" si="34"/>
        <v>0</v>
      </c>
      <c r="P134" s="1074"/>
    </row>
    <row r="135" spans="1:18" s="1081" customFormat="1" ht="14.4" hidden="1" outlineLevel="1">
      <c r="A135" s="1199" t="str">
        <f>A134</f>
        <v/>
      </c>
      <c r="B135" s="1073"/>
      <c r="C135" s="1064"/>
      <c r="D135" s="1192"/>
      <c r="E135" s="1194" t="s">
        <v>3399</v>
      </c>
      <c r="F135" s="1074"/>
      <c r="G135" s="1074"/>
      <c r="H135" s="1083"/>
      <c r="I135" s="1083"/>
      <c r="J135" s="1083"/>
      <c r="K135" s="1083"/>
      <c r="L135" s="1174">
        <f t="shared" si="31"/>
        <v>0</v>
      </c>
      <c r="M135" s="1174">
        <f t="shared" si="32"/>
        <v>0</v>
      </c>
      <c r="N135" s="1174">
        <f t="shared" si="33"/>
        <v>0</v>
      </c>
      <c r="O135" s="1083">
        <f t="shared" si="34"/>
        <v>0</v>
      </c>
      <c r="P135" s="1074"/>
      <c r="R135" s="1195"/>
    </row>
    <row r="136" spans="1:18" s="1081" customFormat="1" hidden="1" outlineLevel="1">
      <c r="A136" s="1199" t="str">
        <f t="shared" si="29"/>
        <v/>
      </c>
      <c r="B136" s="1067" t="s">
        <v>1012</v>
      </c>
      <c r="C136" s="1074"/>
      <c r="D136" s="1075">
        <f>VLOOKUP($B136,dongia1,DG!$B$5,)</f>
        <v>0</v>
      </c>
      <c r="E136" s="1076" t="str">
        <f>VLOOKUP($B136,dongia1,DG!$C$5,)</f>
        <v>Trụ BTLT 12m F350 dự ứng lực</v>
      </c>
      <c r="F136" s="1075" t="str">
        <f>VLOOKUP($B136,dongia1,DG!$D$5,)</f>
        <v>trụ</v>
      </c>
      <c r="G136" s="1074">
        <f>1*G134</f>
        <v>0</v>
      </c>
      <c r="H136" s="1062">
        <f>VLOOKUP($B136,dongia1,DG!$F$5,)</f>
        <v>4400000</v>
      </c>
      <c r="I136" s="1062"/>
      <c r="J136" s="1062">
        <f>VLOOKUP($B136,dongia1,DG!$G$5,)</f>
        <v>0</v>
      </c>
      <c r="K136" s="1062">
        <f>VLOOKUP($B136,dongia1,DG!$H$5,)</f>
        <v>0</v>
      </c>
      <c r="L136" s="1174">
        <f t="shared" si="31"/>
        <v>0</v>
      </c>
      <c r="M136" s="1174">
        <f t="shared" si="32"/>
        <v>0</v>
      </c>
      <c r="N136" s="1174">
        <f t="shared" si="33"/>
        <v>0</v>
      </c>
      <c r="O136" s="1083">
        <f t="shared" si="34"/>
        <v>0</v>
      </c>
      <c r="P136" s="1074"/>
      <c r="R136" s="1195"/>
    </row>
    <row r="137" spans="1:18" s="1081" customFormat="1" hidden="1" outlineLevel="1">
      <c r="A137" s="1199" t="str">
        <f t="shared" si="29"/>
        <v/>
      </c>
      <c r="B137" s="1067" t="s">
        <v>1457</v>
      </c>
      <c r="C137" s="1074"/>
      <c r="D137" s="1196"/>
      <c r="E137" s="1076" t="str">
        <f>VLOOKUP($B137,dongia1,DG!$C$5,)</f>
        <v>Vật liệu dựng trụ</v>
      </c>
      <c r="F137" s="1075" t="str">
        <f>VLOOKUP($B137,dongia1,DG!$D$5,)</f>
        <v>trụ</v>
      </c>
      <c r="G137" s="1074">
        <f>G136</f>
        <v>0</v>
      </c>
      <c r="H137" s="1062">
        <f>VLOOKUP($B137,dongia1,DG!$F$5,)</f>
        <v>17400</v>
      </c>
      <c r="I137" s="1062"/>
      <c r="J137" s="1062">
        <f>VLOOKUP($B137,dongia1,DG!$G$5,)</f>
        <v>0</v>
      </c>
      <c r="K137" s="1062">
        <f>VLOOKUP($B137,dongia1,DG!$H$5,)</f>
        <v>0</v>
      </c>
      <c r="L137" s="1174">
        <f t="shared" si="31"/>
        <v>0</v>
      </c>
      <c r="M137" s="1174">
        <f t="shared" si="32"/>
        <v>0</v>
      </c>
      <c r="N137" s="1174">
        <f t="shared" si="33"/>
        <v>0</v>
      </c>
      <c r="O137" s="1083">
        <f t="shared" si="34"/>
        <v>0</v>
      </c>
      <c r="P137" s="1074"/>
      <c r="R137" s="1195"/>
    </row>
    <row r="138" spans="1:18" s="1081" customFormat="1" hidden="1" outlineLevel="1">
      <c r="A138" s="1199" t="str">
        <f t="shared" si="29"/>
        <v/>
      </c>
      <c r="B138" s="1067" t="s">
        <v>1993</v>
      </c>
      <c r="C138" s="1074"/>
      <c r="D138" s="1196"/>
      <c r="E138" s="1076" t="str">
        <f>VLOOKUP($B138,dongia1,DG!$C$5,)</f>
        <v>Dựng trụ BTLT 12m trong TBA bằng thủ công + cơ giới</v>
      </c>
      <c r="F138" s="1075" t="str">
        <f>VLOOKUP($B138,dongia1,DG!$D$5,)</f>
        <v>trụ</v>
      </c>
      <c r="G138" s="1074">
        <f>G136</f>
        <v>0</v>
      </c>
      <c r="H138" s="1062">
        <f>VLOOKUP($B138,dongia1,DG!$F$5,)</f>
        <v>0</v>
      </c>
      <c r="I138" s="1062"/>
      <c r="J138" s="1062">
        <f>VLOOKUP($B138,dongia1,DG!$G$5,)</f>
        <v>112286</v>
      </c>
      <c r="K138" s="1062">
        <f>VLOOKUP($B138,dongia1,DG!$H$5,)</f>
        <v>105970</v>
      </c>
      <c r="L138" s="1174">
        <f t="shared" si="31"/>
        <v>0</v>
      </c>
      <c r="M138" s="1174">
        <f t="shared" si="32"/>
        <v>0</v>
      </c>
      <c r="N138" s="1174">
        <f t="shared" si="33"/>
        <v>0</v>
      </c>
      <c r="O138" s="1083">
        <f t="shared" si="34"/>
        <v>0</v>
      </c>
      <c r="P138" s="1074"/>
      <c r="R138" s="1195"/>
    </row>
    <row r="139" spans="1:18" s="1081" customFormat="1" hidden="1" outlineLevel="1">
      <c r="A139" s="1199" t="str">
        <f t="shared" si="29"/>
        <v/>
      </c>
      <c r="B139" s="1073"/>
      <c r="C139" s="1191">
        <f>IF(G139&gt;0,C134+1,C134)</f>
        <v>0</v>
      </c>
      <c r="D139" s="1192"/>
      <c r="E139" s="1193" t="s">
        <v>3390</v>
      </c>
      <c r="F139" s="1064" t="s">
        <v>2113</v>
      </c>
      <c r="G139" s="1064">
        <f>G134</f>
        <v>0</v>
      </c>
      <c r="H139" s="1083"/>
      <c r="I139" s="1083"/>
      <c r="J139" s="1083"/>
      <c r="K139" s="1083"/>
      <c r="L139" s="1174">
        <f t="shared" si="31"/>
        <v>0</v>
      </c>
      <c r="M139" s="1174">
        <f t="shared" si="32"/>
        <v>0</v>
      </c>
      <c r="N139" s="1174">
        <f t="shared" si="33"/>
        <v>0</v>
      </c>
      <c r="O139" s="1083">
        <f t="shared" si="34"/>
        <v>0</v>
      </c>
      <c r="P139" s="1074"/>
    </row>
    <row r="140" spans="1:18" s="1081" customFormat="1" ht="14.4" hidden="1" outlineLevel="1">
      <c r="A140" s="1199" t="str">
        <f>A139</f>
        <v/>
      </c>
      <c r="B140" s="1073"/>
      <c r="C140" s="1064"/>
      <c r="D140" s="1192"/>
      <c r="E140" s="1194" t="s">
        <v>3399</v>
      </c>
      <c r="F140" s="1074"/>
      <c r="G140" s="1074"/>
      <c r="H140" s="1083"/>
      <c r="I140" s="1083"/>
      <c r="J140" s="1083"/>
      <c r="K140" s="1083"/>
      <c r="L140" s="1174">
        <f t="shared" si="31"/>
        <v>0</v>
      </c>
      <c r="M140" s="1174">
        <f t="shared" si="32"/>
        <v>0</v>
      </c>
      <c r="N140" s="1174">
        <f t="shared" si="33"/>
        <v>0</v>
      </c>
      <c r="O140" s="1083">
        <f t="shared" si="34"/>
        <v>0</v>
      </c>
      <c r="P140" s="1074"/>
      <c r="R140" s="1195"/>
    </row>
    <row r="141" spans="1:18" s="1081" customFormat="1" hidden="1" outlineLevel="1">
      <c r="A141" s="1199" t="str">
        <f t="shared" si="29"/>
        <v/>
      </c>
      <c r="B141" s="1067" t="s">
        <v>580</v>
      </c>
      <c r="C141" s="1074"/>
      <c r="D141" s="1075" t="str">
        <f>VLOOKUP($B141,dongia1,DG!$B$5,)</f>
        <v>AG.42111</v>
      </c>
      <c r="E141" s="1076" t="str">
        <f>VLOOKUP($B141,dongia1,DG!$C$5,)</f>
        <v>Đà cản BTCT 1,2m</v>
      </c>
      <c r="F141" s="1075" t="str">
        <f>VLOOKUP($B141,dongia1,DG!$D$5,)</f>
        <v>cái</v>
      </c>
      <c r="G141" s="1074">
        <f>1*G139</f>
        <v>0</v>
      </c>
      <c r="H141" s="1062">
        <f>VLOOKUP($B141,dongia1,DG!$F$5,)</f>
        <v>354545</v>
      </c>
      <c r="I141" s="1062"/>
      <c r="J141" s="1062">
        <f>VLOOKUP($B141,dongia1,DG!$G$5,)</f>
        <v>37220.25</v>
      </c>
      <c r="K141" s="1062">
        <f>VLOOKUP($B141,dongia1,DG!$H$5,)</f>
        <v>0</v>
      </c>
      <c r="L141" s="1174">
        <f t="shared" si="31"/>
        <v>0</v>
      </c>
      <c r="M141" s="1174">
        <f t="shared" si="32"/>
        <v>0</v>
      </c>
      <c r="N141" s="1174">
        <f t="shared" si="33"/>
        <v>0</v>
      </c>
      <c r="O141" s="1083">
        <f t="shared" si="34"/>
        <v>0</v>
      </c>
      <c r="P141" s="1074"/>
      <c r="R141" s="1195"/>
    </row>
    <row r="142" spans="1:18" s="1081" customFormat="1" hidden="1" outlineLevel="1">
      <c r="A142" s="1199" t="str">
        <f t="shared" si="29"/>
        <v/>
      </c>
      <c r="B142" s="1067" t="s">
        <v>1549</v>
      </c>
      <c r="C142" s="1074"/>
      <c r="D142" s="1075">
        <f>VLOOKUP($B142,dongia1,DG!$B$5,)</f>
        <v>0</v>
      </c>
      <c r="E142" s="1076" t="str">
        <f>VLOOKUP($B142,dongia1,DG!$C$5,)</f>
        <v>Boulon 22x550+ 2 long đền vuông D24-60x60x3/Zn</v>
      </c>
      <c r="F142" s="1075" t="str">
        <f>VLOOKUP($B142,dongia1,DG!$D$5,)</f>
        <v>bộ</v>
      </c>
      <c r="G142" s="1074">
        <f>G139</f>
        <v>0</v>
      </c>
      <c r="H142" s="1062">
        <f>VLOOKUP($B142,dongia1,DG!$F$5,)</f>
        <v>82400</v>
      </c>
      <c r="I142" s="1062"/>
      <c r="J142" s="1062">
        <f>VLOOKUP($B142,dongia1,DG!$G$5,)</f>
        <v>0</v>
      </c>
      <c r="K142" s="1062">
        <f>VLOOKUP($B142,dongia1,DG!$H$5,)</f>
        <v>0</v>
      </c>
      <c r="L142" s="1174">
        <f t="shared" si="31"/>
        <v>0</v>
      </c>
      <c r="M142" s="1174">
        <f t="shared" si="32"/>
        <v>0</v>
      </c>
      <c r="N142" s="1174">
        <f t="shared" si="33"/>
        <v>0</v>
      </c>
      <c r="O142" s="1083">
        <f t="shared" si="34"/>
        <v>0</v>
      </c>
      <c r="P142" s="1074"/>
      <c r="R142" s="1195"/>
    </row>
    <row r="143" spans="1:18" s="1081" customFormat="1" hidden="1" outlineLevel="1">
      <c r="A143" s="1199" t="str">
        <f t="shared" si="29"/>
        <v/>
      </c>
      <c r="B143" s="1067" t="str">
        <f>IF(capdat=1,"MDD1",IF(capdat=2,"MDD2",IF(capdat=3,"MDD3",IF(capdat=4,"MDD4"))))</f>
        <v>MDD3</v>
      </c>
      <c r="C143" s="1074"/>
      <c r="D143" s="1075" t="str">
        <f>VLOOKUP($B143,dongia1,DG!$B$5,)</f>
        <v>03.1013</v>
      </c>
      <c r="E143" s="1076" t="str">
        <f>VLOOKUP($B143,dongia1,DG!$C$5,)</f>
        <v>Đào hố móng đất cấp 3 sâu &gt;1m DT&lt;5m2</v>
      </c>
      <c r="F143" s="1075" t="str">
        <f>VLOOKUP($B143,dongia1,DG!$D$5,)</f>
        <v>m3</v>
      </c>
      <c r="G143" s="1197">
        <f>G139*1.45</f>
        <v>0</v>
      </c>
      <c r="H143" s="1062">
        <f>VLOOKUP($B143,dongia1,DG!$F$5,)</f>
        <v>0</v>
      </c>
      <c r="I143" s="1062"/>
      <c r="J143" s="1062">
        <f>VLOOKUP($B143,dongia1,DG!$G$5,)</f>
        <v>296500.89999999997</v>
      </c>
      <c r="K143" s="1062">
        <f>VLOOKUP($B143,dongia1,DG!$H$5,)</f>
        <v>0</v>
      </c>
      <c r="L143" s="1174">
        <f t="shared" si="31"/>
        <v>0</v>
      </c>
      <c r="M143" s="1174">
        <f t="shared" si="32"/>
        <v>0</v>
      </c>
      <c r="N143" s="1174">
        <f t="shared" si="33"/>
        <v>0</v>
      </c>
      <c r="O143" s="1083">
        <f t="shared" si="34"/>
        <v>0</v>
      </c>
      <c r="P143" s="1074"/>
      <c r="R143" s="1195"/>
    </row>
    <row r="144" spans="1:18" s="1081" customFormat="1" hidden="1" outlineLevel="1">
      <c r="A144" s="1199" t="str">
        <f t="shared" si="29"/>
        <v/>
      </c>
      <c r="B144" s="1067" t="str">
        <f>IF(capdat=1,"MDAP1",IF(capdat=2,"MDAP2",IF(capdat=3,"MDAP3",IF(capdat=4,"MDAP4"))))</f>
        <v>MDAP3</v>
      </c>
      <c r="C144" s="1074"/>
      <c r="D144" s="1075" t="str">
        <f>VLOOKUP($B144,dongia1,DG!$B$5,)</f>
        <v>AB.13111</v>
      </c>
      <c r="E144" s="1076" t="str">
        <f>VLOOKUP($B144,dongia1,DG!$C$5,)</f>
        <v>Đắp đất hố móng, đất cấp 3 (độ chặt k = 0.85)</v>
      </c>
      <c r="F144" s="1075" t="str">
        <f>VLOOKUP($B144,dongia1,DG!$D$5,)</f>
        <v>m3</v>
      </c>
      <c r="G144" s="1197">
        <f>G139*1.37</f>
        <v>0</v>
      </c>
      <c r="H144" s="1062">
        <f>VLOOKUP($B144,dongia1,DG!$F$5,)</f>
        <v>0</v>
      </c>
      <c r="I144" s="1062"/>
      <c r="J144" s="1062">
        <f>VLOOKUP($B144,dongia1,DG!$G$5,)</f>
        <v>117703.6</v>
      </c>
      <c r="K144" s="1062">
        <f>VLOOKUP($B144,dongia1,DG!$H$5,)</f>
        <v>0</v>
      </c>
      <c r="L144" s="1174">
        <f t="shared" si="31"/>
        <v>0</v>
      </c>
      <c r="M144" s="1174">
        <f t="shared" si="32"/>
        <v>0</v>
      </c>
      <c r="N144" s="1174">
        <f t="shared" si="33"/>
        <v>0</v>
      </c>
      <c r="O144" s="1083">
        <f t="shared" si="34"/>
        <v>0</v>
      </c>
      <c r="P144" s="1074"/>
      <c r="R144" s="1195"/>
    </row>
    <row r="145" spans="1:16" s="1081" customFormat="1" hidden="1" outlineLevel="1">
      <c r="A145" s="1199" t="str">
        <f t="shared" si="29"/>
        <v/>
      </c>
      <c r="B145" s="1073"/>
      <c r="C145" s="1191">
        <f>IF(G145&gt;0,C139+1,C139)</f>
        <v>0</v>
      </c>
      <c r="D145" s="1192"/>
      <c r="E145" s="1221" t="s">
        <v>3398</v>
      </c>
      <c r="F145" s="1064" t="s">
        <v>2113</v>
      </c>
      <c r="G145" s="1064">
        <f>SUM(G122:G122)</f>
        <v>0</v>
      </c>
      <c r="H145" s="1062"/>
      <c r="I145" s="1083"/>
      <c r="J145" s="1083"/>
      <c r="K145" s="1083"/>
      <c r="L145" s="1174">
        <f t="shared" si="31"/>
        <v>0</v>
      </c>
      <c r="M145" s="1174">
        <f t="shared" si="32"/>
        <v>0</v>
      </c>
      <c r="N145" s="1174">
        <f t="shared" si="33"/>
        <v>0</v>
      </c>
      <c r="O145" s="1083">
        <f t="shared" si="34"/>
        <v>0</v>
      </c>
      <c r="P145" s="1080"/>
    </row>
    <row r="146" spans="1:16" s="1081" customFormat="1" ht="14.4" hidden="1" outlineLevel="1">
      <c r="A146" s="1199" t="str">
        <f>A145</f>
        <v/>
      </c>
      <c r="B146" s="1073"/>
      <c r="C146" s="1064"/>
      <c r="D146" s="1192"/>
      <c r="E146" s="1222" t="s">
        <v>3399</v>
      </c>
      <c r="F146" s="1074"/>
      <c r="G146" s="1074"/>
      <c r="H146" s="1083"/>
      <c r="I146" s="1083"/>
      <c r="J146" s="1083"/>
      <c r="K146" s="1083"/>
      <c r="L146" s="1174">
        <f t="shared" si="31"/>
        <v>0</v>
      </c>
      <c r="M146" s="1174">
        <f t="shared" si="32"/>
        <v>0</v>
      </c>
      <c r="N146" s="1174">
        <f t="shared" si="33"/>
        <v>0</v>
      </c>
      <c r="O146" s="1083">
        <f t="shared" si="34"/>
        <v>0</v>
      </c>
      <c r="P146" s="1080"/>
    </row>
    <row r="147" spans="1:16" s="1081" customFormat="1" hidden="1" outlineLevel="1">
      <c r="A147" s="1199" t="str">
        <f t="shared" ref="A147:A154" si="35">IF(G147&lt;&gt;0,1,"")</f>
        <v/>
      </c>
      <c r="B147" s="1223" t="s">
        <v>2116</v>
      </c>
      <c r="C147" s="1074"/>
      <c r="D147" s="1075">
        <f>VLOOKUP($B147,dongia1,DG!$B$5,)</f>
        <v>0</v>
      </c>
      <c r="E147" s="1076" t="str">
        <f>VLOOKUP($B147,dongia1,DG!$C$5,)</f>
        <v>Đà Composite 110x80x5x800</v>
      </c>
      <c r="F147" s="1075" t="str">
        <f>VLOOKUP($B147,dongia1,DG!$D$5,)</f>
        <v>cây</v>
      </c>
      <c r="G147" s="1202">
        <f>$G$145*1</f>
        <v>0</v>
      </c>
      <c r="H147" s="1062">
        <f>VLOOKUP($B147,dongia1,DG!$F$5,)</f>
        <v>320000</v>
      </c>
      <c r="I147" s="1083"/>
      <c r="J147" s="1062">
        <f>VLOOKUP($B147,dongia1,DG!$G$5,)</f>
        <v>0</v>
      </c>
      <c r="K147" s="1062">
        <f>VLOOKUP($B147,dongia1,DG!$H$5,)</f>
        <v>0</v>
      </c>
      <c r="L147" s="1174">
        <f t="shared" ref="L147:L154" si="36">H147*G147</f>
        <v>0</v>
      </c>
      <c r="M147" s="1174">
        <f>I147*G147</f>
        <v>0</v>
      </c>
      <c r="N147" s="1174">
        <f t="shared" ref="N147:N153" si="37">J147*G147</f>
        <v>0</v>
      </c>
      <c r="O147" s="1083">
        <f t="shared" ref="O147:O154" si="38">K147*G147</f>
        <v>0</v>
      </c>
      <c r="P147" s="1080"/>
    </row>
    <row r="148" spans="1:16" s="1081" customFormat="1" hidden="1" outlineLevel="1">
      <c r="A148" s="1199" t="str">
        <f t="shared" si="35"/>
        <v/>
      </c>
      <c r="B148" s="1067" t="s">
        <v>2109</v>
      </c>
      <c r="C148" s="1074"/>
      <c r="D148" s="1075">
        <f>VLOOKUP($B148,dongia1,DG!$B$5,)</f>
        <v>0</v>
      </c>
      <c r="E148" s="1076" t="str">
        <f>VLOOKUP($B148,dongia1,DG!$C$5,)</f>
        <v>Chống Composite 40x10x710</v>
      </c>
      <c r="F148" s="1075" t="str">
        <f>VLOOKUP($B148,dongia1,DG!$D$5,)</f>
        <v>Thanh</v>
      </c>
      <c r="G148" s="1074">
        <f>$G$147*1</f>
        <v>0</v>
      </c>
      <c r="H148" s="1062">
        <f>VLOOKUP($B148,dongia1,DG!$F$5,)</f>
        <v>95000</v>
      </c>
      <c r="I148" s="1083"/>
      <c r="J148" s="1062">
        <f>VLOOKUP($B148,dongia1,DG!$G$5,)</f>
        <v>0</v>
      </c>
      <c r="K148" s="1062">
        <f>VLOOKUP($B148,dongia1,DG!$H$5,)</f>
        <v>0</v>
      </c>
      <c r="L148" s="1174">
        <f t="shared" si="36"/>
        <v>0</v>
      </c>
      <c r="M148" s="1174">
        <f>I148*G148</f>
        <v>0</v>
      </c>
      <c r="N148" s="1174">
        <f t="shared" si="37"/>
        <v>0</v>
      </c>
      <c r="O148" s="1083">
        <f t="shared" si="38"/>
        <v>0</v>
      </c>
      <c r="P148" s="1080"/>
    </row>
    <row r="149" spans="1:16" s="1081" customFormat="1" hidden="1" outlineLevel="1">
      <c r="A149" s="1199" t="str">
        <f t="shared" si="35"/>
        <v/>
      </c>
      <c r="B149" s="1067" t="s">
        <v>2078</v>
      </c>
      <c r="C149" s="1074"/>
      <c r="D149" s="1075">
        <f>VLOOKUP($B149,dongia1,DG!$B$5,)</f>
        <v>0</v>
      </c>
      <c r="E149" s="1076" t="str">
        <f>VLOOKUP($B149,dongia1,DG!$C$5,)</f>
        <v>Bass LL bắt FCO và LA</v>
      </c>
      <c r="F149" s="1075" t="str">
        <f>VLOOKUP($B149,dongia1,DG!$D$5,)</f>
        <v>bộ</v>
      </c>
      <c r="G149" s="1074">
        <f>1*$G$123</f>
        <v>0</v>
      </c>
      <c r="H149" s="1062">
        <f>VLOOKUP($B149,dongia1,DG!$F$5,)</f>
        <v>65000</v>
      </c>
      <c r="I149" s="1083"/>
      <c r="J149" s="1062">
        <f>VLOOKUP($B149,dongia1,DG!$G$5,)</f>
        <v>0</v>
      </c>
      <c r="K149" s="1062">
        <f>VLOOKUP($B149,dongia1,DG!$H$5,)</f>
        <v>0</v>
      </c>
      <c r="L149" s="1174">
        <f t="shared" si="36"/>
        <v>0</v>
      </c>
      <c r="M149" s="1174"/>
      <c r="N149" s="1174">
        <f t="shared" si="37"/>
        <v>0</v>
      </c>
      <c r="O149" s="1083">
        <f t="shared" si="38"/>
        <v>0</v>
      </c>
      <c r="P149" s="1080"/>
    </row>
    <row r="150" spans="1:16" s="1081" customFormat="1" hidden="1" outlineLevel="1">
      <c r="A150" s="1199" t="str">
        <f>IF(G150&lt;&gt;0,1,"")</f>
        <v/>
      </c>
      <c r="B150" s="1067" t="s">
        <v>2164</v>
      </c>
      <c r="C150" s="1074"/>
      <c r="D150" s="1075">
        <f>VLOOKUP($B150,dongia1,DG!$B$5,)</f>
        <v>0</v>
      </c>
      <c r="E150" s="1076" t="str">
        <f>VLOOKUP($B150,dongia1,DG!$C$5,)</f>
        <v>Nắp che đầu cực FCO</v>
      </c>
      <c r="F150" s="1075" t="str">
        <f>VLOOKUP($B150,dongia1,DG!$D$5,)</f>
        <v>cái</v>
      </c>
      <c r="G150" s="1074">
        <f>1*$G$123</f>
        <v>0</v>
      </c>
      <c r="H150" s="1062">
        <f>VLOOKUP($B150,dongia1,DG!$F$5,)</f>
        <v>218200</v>
      </c>
      <c r="I150" s="1083"/>
      <c r="J150" s="1062">
        <f>VLOOKUP($B150,dongia1,DG!$G$5,)</f>
        <v>0</v>
      </c>
      <c r="K150" s="1062">
        <f>VLOOKUP($B150,dongia1,DG!$H$5,)</f>
        <v>0</v>
      </c>
      <c r="L150" s="1174">
        <f>H150*G150</f>
        <v>0</v>
      </c>
      <c r="M150" s="1174"/>
      <c r="N150" s="1174">
        <f t="shared" si="37"/>
        <v>0</v>
      </c>
      <c r="O150" s="1083">
        <f>K150*G150</f>
        <v>0</v>
      </c>
      <c r="P150" s="1080"/>
    </row>
    <row r="151" spans="1:16" s="1081" customFormat="1" hidden="1" outlineLevel="1">
      <c r="A151" s="1199" t="str">
        <f>IF(G151&lt;&gt;0,1,"")</f>
        <v/>
      </c>
      <c r="B151" s="1067" t="s">
        <v>2165</v>
      </c>
      <c r="C151" s="1074"/>
      <c r="D151" s="1075">
        <f>VLOOKUP($B151,dongia1,DG!$B$5,)</f>
        <v>0</v>
      </c>
      <c r="E151" s="1076" t="str">
        <f>VLOOKUP($B151,dongia1,DG!$C$5,)</f>
        <v>Nắp che đầu cực LA</v>
      </c>
      <c r="F151" s="1075" t="str">
        <f>VLOOKUP($B151,dongia1,DG!$D$5,)</f>
        <v>cái</v>
      </c>
      <c r="G151" s="1074">
        <f>1*$G$125</f>
        <v>0</v>
      </c>
      <c r="H151" s="1062">
        <f>VLOOKUP($B151,dongia1,DG!$F$5,)</f>
        <v>39100</v>
      </c>
      <c r="I151" s="1083"/>
      <c r="J151" s="1062">
        <f>VLOOKUP($B151,dongia1,DG!$G$5,)</f>
        <v>0</v>
      </c>
      <c r="K151" s="1062">
        <f>VLOOKUP($B151,dongia1,DG!$H$5,)</f>
        <v>0</v>
      </c>
      <c r="L151" s="1174">
        <f>H151*G151</f>
        <v>0</v>
      </c>
      <c r="M151" s="1174"/>
      <c r="N151" s="1174">
        <f t="shared" si="37"/>
        <v>0</v>
      </c>
      <c r="O151" s="1083">
        <f>K151*G151</f>
        <v>0</v>
      </c>
      <c r="P151" s="1080"/>
    </row>
    <row r="152" spans="1:16" s="1081" customFormat="1" hidden="1" outlineLevel="1">
      <c r="A152" s="1199" t="str">
        <f t="shared" si="35"/>
        <v/>
      </c>
      <c r="B152" s="1067" t="s">
        <v>746</v>
      </c>
      <c r="C152" s="1074"/>
      <c r="D152" s="1075">
        <f>VLOOKUP($B152,dongia1,DG!$B$5,)</f>
        <v>0</v>
      </c>
      <c r="E152" s="1076" t="str">
        <f>VLOOKUP($B152,dongia1,DG!$C$5,)</f>
        <v>Boulon 16x150+ 2 long đền vuông D18-50x50x3/Zn</v>
      </c>
      <c r="F152" s="1075" t="str">
        <f>VLOOKUP($B152,dongia1,DG!$D$5,)</f>
        <v>bộ</v>
      </c>
      <c r="G152" s="1074">
        <f>$G$145*1</f>
        <v>0</v>
      </c>
      <c r="H152" s="1062">
        <f>VLOOKUP($B152,dongia1,DG!$F$5,)</f>
        <v>18900</v>
      </c>
      <c r="I152" s="1083"/>
      <c r="J152" s="1062">
        <f>VLOOKUP($B152,dongia1,DG!$G$5,)</f>
        <v>0</v>
      </c>
      <c r="K152" s="1062">
        <f>VLOOKUP($B152,dongia1,DG!$H$5,)</f>
        <v>0</v>
      </c>
      <c r="L152" s="1174">
        <f t="shared" si="36"/>
        <v>0</v>
      </c>
      <c r="M152" s="1174">
        <f>I152*G152</f>
        <v>0</v>
      </c>
      <c r="N152" s="1174">
        <f t="shared" si="37"/>
        <v>0</v>
      </c>
      <c r="O152" s="1083">
        <f t="shared" si="38"/>
        <v>0</v>
      </c>
      <c r="P152" s="1080"/>
    </row>
    <row r="153" spans="1:16" s="1081" customFormat="1" hidden="1" outlineLevel="1">
      <c r="A153" s="1199" t="str">
        <f t="shared" si="35"/>
        <v/>
      </c>
      <c r="B153" s="1067" t="s">
        <v>733</v>
      </c>
      <c r="C153" s="1074"/>
      <c r="D153" s="1075">
        <f>VLOOKUP($B153,dongia1,DG!$B$5,)</f>
        <v>0</v>
      </c>
      <c r="E153" s="1076" t="str">
        <f>VLOOKUP($B153,dongia1,DG!$C$5,)</f>
        <v>Boulon 16x350+ 2 long đền vuông D18-50x50x3/Zn</v>
      </c>
      <c r="F153" s="1075" t="str">
        <f>VLOOKUP($B153,dongia1,DG!$D$5,)</f>
        <v>bộ</v>
      </c>
      <c r="G153" s="1074">
        <f>$G$145*2</f>
        <v>0</v>
      </c>
      <c r="H153" s="1062">
        <f>VLOOKUP($B153,dongia1,DG!$F$5,)</f>
        <v>27900</v>
      </c>
      <c r="I153" s="1083"/>
      <c r="J153" s="1062">
        <f>VLOOKUP($B153,dongia1,DG!$G$5,)</f>
        <v>0</v>
      </c>
      <c r="K153" s="1062">
        <f>VLOOKUP($B153,dongia1,DG!$H$5,)</f>
        <v>0</v>
      </c>
      <c r="L153" s="1174">
        <f t="shared" si="36"/>
        <v>0</v>
      </c>
      <c r="M153" s="1174">
        <f>I153*G153</f>
        <v>0</v>
      </c>
      <c r="N153" s="1174">
        <f t="shared" si="37"/>
        <v>0</v>
      </c>
      <c r="O153" s="1083">
        <f t="shared" si="38"/>
        <v>0</v>
      </c>
      <c r="P153" s="1080"/>
    </row>
    <row r="154" spans="1:16" s="1081" customFormat="1" hidden="1" outlineLevel="1">
      <c r="A154" s="1199" t="str">
        <f t="shared" si="35"/>
        <v/>
      </c>
      <c r="B154" s="1067" t="s">
        <v>534</v>
      </c>
      <c r="C154" s="1074"/>
      <c r="D154" s="1075" t="str">
        <f>VLOOKUP($B154,dongia1,DG!$B$5,)</f>
        <v>D2.6021</v>
      </c>
      <c r="E154" s="1076" t="str">
        <f>VLOOKUP($B154,dongia1,DG!$C$5,)</f>
        <v>Lắp xà đỡ 25kg</v>
      </c>
      <c r="F154" s="1075" t="str">
        <f>VLOOKUP($B154,dongia1,DG!$D$5,)</f>
        <v>bộ</v>
      </c>
      <c r="G154" s="1074">
        <f>G145</f>
        <v>0</v>
      </c>
      <c r="H154" s="1062">
        <f>VLOOKUP($B154,dongia1,DG!$F$5,)</f>
        <v>0</v>
      </c>
      <c r="I154" s="1083"/>
      <c r="J154" s="1200" t="str">
        <f>VLOOKUP($B154,dongia1,DG!$G$5,)&amp;"x 1,5"</f>
        <v>219185,25x 1,5</v>
      </c>
      <c r="K154" s="1062">
        <f>VLOOKUP($B154,dongia1,DG!$H$5,)</f>
        <v>0</v>
      </c>
      <c r="L154" s="1174">
        <f t="shared" si="36"/>
        <v>0</v>
      </c>
      <c r="M154" s="1174">
        <f>I154*G154</f>
        <v>0</v>
      </c>
      <c r="N154" s="1201">
        <f>106640*G154*1.5</f>
        <v>0</v>
      </c>
      <c r="O154" s="1083">
        <f t="shared" si="38"/>
        <v>0</v>
      </c>
      <c r="P154" s="1080"/>
    </row>
    <row r="155" spans="1:16" s="1081" customFormat="1" hidden="1" outlineLevel="1">
      <c r="A155" s="1199" t="str">
        <f t="shared" si="29"/>
        <v/>
      </c>
      <c r="B155" s="1073"/>
      <c r="C155" s="1064">
        <f>IF(G155&gt;0,C145+1,C145)</f>
        <v>0</v>
      </c>
      <c r="D155" s="1192"/>
      <c r="E155" s="1221" t="s">
        <v>3400</v>
      </c>
      <c r="F155" s="1064" t="s">
        <v>2113</v>
      </c>
      <c r="G155" s="1064">
        <f>G145</f>
        <v>0</v>
      </c>
      <c r="H155" s="1083"/>
      <c r="I155" s="1083"/>
      <c r="J155" s="1083"/>
      <c r="K155" s="1083"/>
      <c r="L155" s="1174">
        <f t="shared" si="31"/>
        <v>0</v>
      </c>
      <c r="M155" s="1174">
        <f t="shared" si="32"/>
        <v>0</v>
      </c>
      <c r="N155" s="1174">
        <f t="shared" si="33"/>
        <v>0</v>
      </c>
      <c r="O155" s="1083">
        <f t="shared" si="34"/>
        <v>0</v>
      </c>
      <c r="P155" s="1080"/>
    </row>
    <row r="156" spans="1:16" s="1081" customFormat="1" ht="14.4" hidden="1" outlineLevel="1">
      <c r="A156" s="1199" t="str">
        <f>A155</f>
        <v/>
      </c>
      <c r="B156" s="1073"/>
      <c r="C156" s="1074"/>
      <c r="D156" s="1196"/>
      <c r="E156" s="1222" t="s">
        <v>3399</v>
      </c>
      <c r="F156" s="1074"/>
      <c r="G156" s="1074"/>
      <c r="H156" s="1083"/>
      <c r="I156" s="1083"/>
      <c r="J156" s="1083"/>
      <c r="K156" s="1083"/>
      <c r="L156" s="1174">
        <f t="shared" si="31"/>
        <v>0</v>
      </c>
      <c r="M156" s="1174">
        <f t="shared" si="32"/>
        <v>0</v>
      </c>
      <c r="N156" s="1174">
        <f t="shared" si="33"/>
        <v>0</v>
      </c>
      <c r="O156" s="1083">
        <f t="shared" si="34"/>
        <v>0</v>
      </c>
      <c r="P156" s="1080"/>
    </row>
    <row r="157" spans="1:16" s="1081" customFormat="1" hidden="1" outlineLevel="1">
      <c r="A157" s="1199" t="str">
        <f t="shared" si="29"/>
        <v/>
      </c>
      <c r="B157" s="1073" t="str">
        <f>Solieu!I56</f>
        <v>M25</v>
      </c>
      <c r="C157" s="1074"/>
      <c r="D157" s="1075">
        <f>VLOOKUP($B157,dongia1,DG!$B$5,)</f>
        <v>0</v>
      </c>
      <c r="E157" s="1076" t="str">
        <f>VLOOKUP($B157,dongia1,DG!$C$5,)</f>
        <v>Cáp đồng trần M25mm2</v>
      </c>
      <c r="F157" s="1075" t="str">
        <f>VLOOKUP($B157,dongia1,DG!$D$5,)</f>
        <v>kg</v>
      </c>
      <c r="G157" s="1197">
        <f>$H$3*G155*0.224</f>
        <v>0</v>
      </c>
      <c r="H157" s="1062">
        <f>VLOOKUP($B157,dongia1,DG!$F$5,)</f>
        <v>255500</v>
      </c>
      <c r="I157" s="1083"/>
      <c r="J157" s="1062">
        <f>VLOOKUP($B157,dongia1,DG!$G$5,)</f>
        <v>0</v>
      </c>
      <c r="K157" s="1062">
        <f>VLOOKUP($B157,dongia1,DG!$H$5,)</f>
        <v>0</v>
      </c>
      <c r="L157" s="1174">
        <f t="shared" si="31"/>
        <v>0</v>
      </c>
      <c r="M157" s="1174">
        <f t="shared" si="32"/>
        <v>0</v>
      </c>
      <c r="N157" s="1174">
        <f t="shared" si="33"/>
        <v>0</v>
      </c>
      <c r="O157" s="1083">
        <f t="shared" si="34"/>
        <v>0</v>
      </c>
      <c r="P157" s="1080"/>
    </row>
    <row r="158" spans="1:16" s="1081" customFormat="1" hidden="1" outlineLevel="1">
      <c r="A158" s="1199" t="str">
        <f t="shared" si="29"/>
        <v/>
      </c>
      <c r="B158" s="1067" t="s">
        <v>1098</v>
      </c>
      <c r="C158" s="1074"/>
      <c r="D158" s="1075">
        <f>VLOOKUP($B158,dongia1,DG!$B$5,)</f>
        <v>0</v>
      </c>
      <c r="E158" s="1076" t="str">
        <f>VLOOKUP($B158,dongia1,DG!$C$5,)</f>
        <v>Cọc tiếp đất Þ 16- 2,4m + kẹp cọc</v>
      </c>
      <c r="F158" s="1075" t="str">
        <f>VLOOKUP($B158,dongia1,DG!$D$5,)</f>
        <v>bộ</v>
      </c>
      <c r="G158" s="1074">
        <f>$H$2*G155</f>
        <v>0</v>
      </c>
      <c r="H158" s="1062">
        <f>VLOOKUP($B158,dongia1,DG!$F$5,)</f>
        <v>160000</v>
      </c>
      <c r="I158" s="1083"/>
      <c r="J158" s="1062">
        <f>VLOOKUP($B158,dongia1,DG!$G$5,)</f>
        <v>0</v>
      </c>
      <c r="K158" s="1062">
        <f>VLOOKUP($B158,dongia1,DG!$H$5,)</f>
        <v>0</v>
      </c>
      <c r="L158" s="1174">
        <f t="shared" si="31"/>
        <v>0</v>
      </c>
      <c r="M158" s="1174">
        <f t="shared" si="32"/>
        <v>0</v>
      </c>
      <c r="N158" s="1174">
        <f t="shared" si="33"/>
        <v>0</v>
      </c>
      <c r="O158" s="1083">
        <f t="shared" si="34"/>
        <v>0</v>
      </c>
      <c r="P158" s="1080"/>
    </row>
    <row r="159" spans="1:16" s="1081" customFormat="1" hidden="1" outlineLevel="1">
      <c r="A159" s="1199" t="str">
        <f t="shared" si="29"/>
        <v/>
      </c>
      <c r="B159" s="1067" t="s">
        <v>2040</v>
      </c>
      <c r="C159" s="1074"/>
      <c r="D159" s="1075">
        <f>VLOOKUP($B159,dongia1,DG!$B$5,)</f>
        <v>0</v>
      </c>
      <c r="E159" s="1076" t="str">
        <f>VLOOKUP($B159,dongia1,DG!$C$5,)</f>
        <v xml:space="preserve">Ống PVC D21x1,6mm </v>
      </c>
      <c r="F159" s="1075" t="str">
        <f>VLOOKUP($B159,dongia1,DG!$D$5,)</f>
        <v>m</v>
      </c>
      <c r="G159" s="1074">
        <f>6*G155</f>
        <v>0</v>
      </c>
      <c r="H159" s="1062">
        <f>VLOOKUP($B159,dongia1,DG!$F$5,)</f>
        <v>6200</v>
      </c>
      <c r="I159" s="1083"/>
      <c r="J159" s="1062"/>
      <c r="K159" s="1062">
        <f>VLOOKUP($B159,dongia1,DG!$H$5,)</f>
        <v>0</v>
      </c>
      <c r="L159" s="1174">
        <f t="shared" si="31"/>
        <v>0</v>
      </c>
      <c r="M159" s="1174">
        <f t="shared" si="32"/>
        <v>0</v>
      </c>
      <c r="N159" s="1174">
        <f t="shared" si="33"/>
        <v>0</v>
      </c>
      <c r="O159" s="1083">
        <f t="shared" si="34"/>
        <v>0</v>
      </c>
      <c r="P159" s="1080"/>
    </row>
    <row r="160" spans="1:16" s="1081" customFormat="1" hidden="1" outlineLevel="1">
      <c r="A160" s="1199" t="str">
        <f t="shared" si="29"/>
        <v/>
      </c>
      <c r="B160" s="1086" t="s">
        <v>75</v>
      </c>
      <c r="C160" s="1074"/>
      <c r="D160" s="1075">
        <f>VLOOKUP($B160,dongia1,DG!$B$5,)</f>
        <v>0</v>
      </c>
      <c r="E160" s="1076" t="str">
        <f>VLOOKUP($B160,dongia1,DG!$C$5,)</f>
        <v>Kẹp ép WR cỡ dây 50mm2</v>
      </c>
      <c r="F160" s="1075" t="str">
        <f>VLOOKUP($B160,dongia1,DG!$D$5,)</f>
        <v>cái</v>
      </c>
      <c r="G160" s="1074">
        <f>2*G155</f>
        <v>0</v>
      </c>
      <c r="H160" s="1062">
        <f>VLOOKUP($B160,dongia1,DG!$F$5,)</f>
        <v>8000</v>
      </c>
      <c r="I160" s="1062"/>
      <c r="J160" s="1062">
        <f>VLOOKUP($B160,dongia1,DG!$G$5,)</f>
        <v>0</v>
      </c>
      <c r="K160" s="1062">
        <f>VLOOKUP($B160,dongia1,DG!$H$5,)</f>
        <v>0</v>
      </c>
      <c r="L160" s="1174">
        <f t="shared" si="31"/>
        <v>0</v>
      </c>
      <c r="M160" s="1174">
        <f t="shared" si="32"/>
        <v>0</v>
      </c>
      <c r="N160" s="1174">
        <f t="shared" si="33"/>
        <v>0</v>
      </c>
      <c r="O160" s="1083">
        <f t="shared" si="34"/>
        <v>0</v>
      </c>
      <c r="P160" s="1080"/>
    </row>
    <row r="161" spans="1:16" s="1081" customFormat="1" hidden="1" outlineLevel="1">
      <c r="A161" s="1199" t="str">
        <f t="shared" si="29"/>
        <v/>
      </c>
      <c r="B161" s="1086" t="s">
        <v>41</v>
      </c>
      <c r="C161" s="1074"/>
      <c r="D161" s="1075" t="str">
        <f>VLOOKUP($B161,dongia1,DG!$B$5,)</f>
        <v>D4.5001</v>
      </c>
      <c r="E161" s="1076" t="str">
        <f>VLOOKUP($B161,dongia1,DG!$C$5,)</f>
        <v>Đầu cosse ép Cu 25mm2</v>
      </c>
      <c r="F161" s="1075" t="str">
        <f>VLOOKUP($B161,dongia1,DG!$D$5,)</f>
        <v>cái</v>
      </c>
      <c r="G161" s="1074">
        <f>G155*2</f>
        <v>0</v>
      </c>
      <c r="H161" s="1062">
        <f>VLOOKUP($B161,dongia1,DG!$F$5,)</f>
        <v>6500</v>
      </c>
      <c r="I161" s="1062"/>
      <c r="J161" s="1062">
        <f>VLOOKUP($B161,dongia1,DG!$G$5,)</f>
        <v>6062.26</v>
      </c>
      <c r="K161" s="1062">
        <f>VLOOKUP($B161,dongia1,DG!$H$5,)</f>
        <v>2777.0232475000003</v>
      </c>
      <c r="L161" s="1174">
        <f t="shared" si="31"/>
        <v>0</v>
      </c>
      <c r="M161" s="1174">
        <f t="shared" si="32"/>
        <v>0</v>
      </c>
      <c r="N161" s="1174">
        <f t="shared" si="33"/>
        <v>0</v>
      </c>
      <c r="O161" s="1083">
        <f t="shared" si="34"/>
        <v>0</v>
      </c>
      <c r="P161" s="1080"/>
    </row>
    <row r="162" spans="1:16" s="1081" customFormat="1" hidden="1" outlineLevel="1">
      <c r="A162" s="1199" t="str">
        <f t="shared" si="29"/>
        <v/>
      </c>
      <c r="B162" s="1086" t="s">
        <v>1623</v>
      </c>
      <c r="C162" s="1074"/>
      <c r="D162" s="1075">
        <f>VLOOKUP($B162,dongia1,DG!$B$5,)</f>
        <v>0</v>
      </c>
      <c r="E162" s="1076" t="str">
        <f>VLOOKUP($B162,dongia1,DG!$C$5,)</f>
        <v>Boulon 12x40+ 2 long đền vuông D14-50x50x3/Zn</v>
      </c>
      <c r="F162" s="1075" t="str">
        <f>VLOOKUP($B162,dongia1,DG!$D$5,)</f>
        <v>bộ</v>
      </c>
      <c r="G162" s="1074">
        <f>G161/2</f>
        <v>0</v>
      </c>
      <c r="H162" s="1062">
        <f>VLOOKUP($B162,dongia1,DG!$F$5,)</f>
        <v>8500</v>
      </c>
      <c r="I162" s="1062"/>
      <c r="J162" s="1062">
        <f>VLOOKUP($B162,dongia1,DG!$G$5,)</f>
        <v>0</v>
      </c>
      <c r="K162" s="1062">
        <f>VLOOKUP($B162,dongia1,DG!$H$5,)</f>
        <v>0</v>
      </c>
      <c r="L162" s="1174">
        <f t="shared" ref="L162:L169" si="39">H162*G162</f>
        <v>0</v>
      </c>
      <c r="M162" s="1174"/>
      <c r="N162" s="1174">
        <f>J162*G162</f>
        <v>0</v>
      </c>
      <c r="O162" s="1083">
        <f t="shared" ref="O162:O169" si="40">K162*G162</f>
        <v>0</v>
      </c>
      <c r="P162" s="1080"/>
    </row>
    <row r="163" spans="1:16" s="1081" customFormat="1" hidden="1" outlineLevel="1">
      <c r="A163" s="1199" t="str">
        <f>IF(G163&lt;&gt;0,1,"")</f>
        <v/>
      </c>
      <c r="B163" s="1086" t="s">
        <v>903</v>
      </c>
      <c r="C163" s="1074"/>
      <c r="D163" s="1075"/>
      <c r="E163" s="1076" t="str">
        <f>VLOOKUP($B163,dongia1,DG!$C$5,)</f>
        <v>Ốc xiết cáp cỡ 25mm2</v>
      </c>
      <c r="F163" s="1075" t="str">
        <f>VLOOKUP($B163,dongia1,DG!$D$5,)</f>
        <v>cái</v>
      </c>
      <c r="G163" s="1074">
        <f>G155*12</f>
        <v>0</v>
      </c>
      <c r="H163" s="1062">
        <f>VLOOKUP($B163,dongia1,DG!$F$5,)</f>
        <v>17600</v>
      </c>
      <c r="I163" s="1062"/>
      <c r="J163" s="1062"/>
      <c r="K163" s="1062">
        <f>VLOOKUP($B163,dongia1,DG!$H$5,)</f>
        <v>0</v>
      </c>
      <c r="L163" s="1174">
        <f>H163*G163</f>
        <v>0</v>
      </c>
      <c r="M163" s="1174"/>
      <c r="N163" s="1174">
        <f>J163*G163</f>
        <v>0</v>
      </c>
      <c r="O163" s="1083">
        <f>K163*G163</f>
        <v>0</v>
      </c>
      <c r="P163" s="1080"/>
    </row>
    <row r="164" spans="1:16" s="1081" customFormat="1" hidden="1" outlineLevel="1">
      <c r="A164" s="1199" t="str">
        <f t="shared" si="29"/>
        <v/>
      </c>
      <c r="B164" s="1067" t="s">
        <v>1490</v>
      </c>
      <c r="C164" s="1074"/>
      <c r="D164" s="1075"/>
      <c r="E164" s="1076" t="str">
        <f>VLOOKUP($B164,dongia1,DG!$C$5,)</f>
        <v>Cổ dê kẹp ống PVC (STK) Þ 21</v>
      </c>
      <c r="F164" s="1075" t="str">
        <f>VLOOKUP($B164,dongia1,DG!$D$5,)</f>
        <v>bộ</v>
      </c>
      <c r="G164" s="1074">
        <f>G155*2</f>
        <v>0</v>
      </c>
      <c r="H164" s="1062">
        <f>VLOOKUP($B164,dongia1,DG!$F$5,)</f>
        <v>43000</v>
      </c>
      <c r="I164" s="1083"/>
      <c r="J164" s="1062"/>
      <c r="K164" s="1062">
        <f>VLOOKUP($B164,dongia1,DG!$H$5,)</f>
        <v>0</v>
      </c>
      <c r="L164" s="1174">
        <f t="shared" si="39"/>
        <v>0</v>
      </c>
      <c r="M164" s="1174"/>
      <c r="N164" s="1174">
        <f>J164*G164</f>
        <v>0</v>
      </c>
      <c r="O164" s="1083">
        <f t="shared" si="40"/>
        <v>0</v>
      </c>
      <c r="P164" s="1080"/>
    </row>
    <row r="165" spans="1:16" s="1081" customFormat="1" hidden="1" outlineLevel="1">
      <c r="A165" s="1199" t="str">
        <f>IF(G165&lt;&gt;0,1,"")</f>
        <v/>
      </c>
      <c r="B165" s="1067" t="s">
        <v>1301</v>
      </c>
      <c r="C165" s="1074"/>
      <c r="D165" s="1075" t="str">
        <f>VLOOKUP($B165,dongia1,DG!$B$5,)</f>
        <v>D3.3241</v>
      </c>
      <c r="E165" s="1076" t="str">
        <f>VLOOKUP($B165,dongia1,DG!$C$5,)</f>
        <v>Lắp cổ dê</v>
      </c>
      <c r="F165" s="1075" t="str">
        <f>VLOOKUP($B165,dongia1,DG!$D$5,)</f>
        <v>cái</v>
      </c>
      <c r="G165" s="1074">
        <f>G164</f>
        <v>0</v>
      </c>
      <c r="H165" s="1062">
        <f>VLOOKUP($B165,dongia1,DG!$F$5,)</f>
        <v>0</v>
      </c>
      <c r="I165" s="1083"/>
      <c r="J165" s="1062">
        <f>VLOOKUP($B165,dongia1,DG!$G$5,)</f>
        <v>77000</v>
      </c>
      <c r="K165" s="1062">
        <f>VLOOKUP($B165,dongia1,DG!$H$5,)</f>
        <v>0</v>
      </c>
      <c r="L165" s="1174">
        <f>H165*G165</f>
        <v>0</v>
      </c>
      <c r="M165" s="1174"/>
      <c r="N165" s="1174">
        <f>J165*G165</f>
        <v>0</v>
      </c>
      <c r="O165" s="1083">
        <f>K165*G165</f>
        <v>0</v>
      </c>
      <c r="P165" s="1080"/>
    </row>
    <row r="166" spans="1:16" s="1081" customFormat="1" hidden="1" outlineLevel="1">
      <c r="A166" s="1199" t="str">
        <f t="shared" si="29"/>
        <v/>
      </c>
      <c r="B166" s="1067" t="s">
        <v>985</v>
      </c>
      <c r="C166" s="1074"/>
      <c r="D166" s="1075" t="str">
        <f>VLOOKUP($B166,dongia1,DG!$B$5,)</f>
        <v>D2.8103</v>
      </c>
      <c r="E166" s="1076" t="str">
        <f>VLOOKUP($B166,dongia1,DG!$C$5,)</f>
        <v>Đóng cọc tiếp địa đất cấp 3 dài 2,5m</v>
      </c>
      <c r="F166" s="1075" t="str">
        <f>VLOOKUP($B166,dongia1,DG!$D$5,)</f>
        <v>cọc</v>
      </c>
      <c r="G166" s="1074">
        <f>G158</f>
        <v>0</v>
      </c>
      <c r="H166" s="1062">
        <f>VLOOKUP($B166,dongia1,DG!$F$5,)</f>
        <v>0</v>
      </c>
      <c r="I166" s="1083"/>
      <c r="J166" s="1062">
        <f>VLOOKUP($B166,dongia1,DG!$G$5,)</f>
        <v>90355.896000000008</v>
      </c>
      <c r="K166" s="1062">
        <f>VLOOKUP($B166,dongia1,DG!$H$5,)</f>
        <v>1573.075</v>
      </c>
      <c r="L166" s="1174">
        <f t="shared" si="39"/>
        <v>0</v>
      </c>
      <c r="M166" s="1174">
        <f>I166*G166</f>
        <v>0</v>
      </c>
      <c r="N166" s="1062">
        <f>VLOOKUP($B166,dongia1,DG!$G$5,)*G166*1.7</f>
        <v>0</v>
      </c>
      <c r="O166" s="1083">
        <f t="shared" si="40"/>
        <v>0</v>
      </c>
      <c r="P166" s="1080"/>
    </row>
    <row r="167" spans="1:16" s="1081" customFormat="1" hidden="1" outlineLevel="1">
      <c r="A167" s="1199" t="str">
        <f t="shared" si="29"/>
        <v/>
      </c>
      <c r="B167" s="1067" t="s">
        <v>1195</v>
      </c>
      <c r="C167" s="1074"/>
      <c r="D167" s="1075" t="str">
        <f>VLOOKUP($B167,dongia1,DG!$B$5,)</f>
        <v>T4.7001</v>
      </c>
      <c r="E167" s="1076" t="str">
        <f>VLOOKUP($B167,dongia1,DG!$C$5,)</f>
        <v>Kéo dây tiếp địa TBA</v>
      </c>
      <c r="F167" s="1075" t="str">
        <f>VLOOKUP($B167,dongia1,DG!$D$5,)</f>
        <v>mét</v>
      </c>
      <c r="G167" s="1074">
        <f>G155*$H$3</f>
        <v>0</v>
      </c>
      <c r="H167" s="1062">
        <f>VLOOKUP($B167,dongia1,DG!$F$5,)</f>
        <v>0</v>
      </c>
      <c r="I167" s="1083"/>
      <c r="J167" s="1062">
        <f>VLOOKUP($B167,dongia1,DG!$G$5,)</f>
        <v>8070.7000000000007</v>
      </c>
      <c r="K167" s="1062">
        <f>VLOOKUP($B167,dongia1,DG!$H$5,)</f>
        <v>2044.9974999999999</v>
      </c>
      <c r="L167" s="1174">
        <f t="shared" si="39"/>
        <v>0</v>
      </c>
      <c r="M167" s="1174">
        <f>I167*G167</f>
        <v>0</v>
      </c>
      <c r="N167" s="1174">
        <f>J167*G167</f>
        <v>0</v>
      </c>
      <c r="O167" s="1083">
        <f t="shared" si="40"/>
        <v>0</v>
      </c>
      <c r="P167" s="1080"/>
    </row>
    <row r="168" spans="1:16" s="1081" customFormat="1" hidden="1" outlineLevel="1">
      <c r="A168" s="1199" t="str">
        <f t="shared" si="29"/>
        <v/>
      </c>
      <c r="B168" s="1086" t="str">
        <f>"dtd"&amp;capdat</f>
        <v>dtd3</v>
      </c>
      <c r="C168" s="1074"/>
      <c r="D168" s="1075" t="str">
        <f>VLOOKUP($B168,dongia1,DG!$B$5,)</f>
        <v>AB.11513</v>
      </c>
      <c r="E168" s="1076" t="str">
        <f>VLOOKUP($B168,dongia1,DG!$C$5,)</f>
        <v>Đào rãnh tiếp địa đất cấp 3</v>
      </c>
      <c r="F168" s="1075" t="str">
        <f>VLOOKUP($B168,dongia1,DG!$D$5,)</f>
        <v>m3</v>
      </c>
      <c r="G168" s="1197">
        <f>G155*H4</f>
        <v>0</v>
      </c>
      <c r="H168" s="1062">
        <f>VLOOKUP($B168,dongia1,DG!$F$5,)</f>
        <v>0</v>
      </c>
      <c r="I168" s="1062"/>
      <c r="J168" s="1062">
        <f>VLOOKUP($B168,dongia1,DG!$G$5,)</f>
        <v>283749.75</v>
      </c>
      <c r="K168" s="1062">
        <f>VLOOKUP($B168,dongia1,DG!$H$5,)</f>
        <v>0</v>
      </c>
      <c r="L168" s="1174">
        <f t="shared" si="39"/>
        <v>0</v>
      </c>
      <c r="M168" s="1174">
        <f>I168*G168</f>
        <v>0</v>
      </c>
      <c r="N168" s="1174">
        <f>J168*G168</f>
        <v>0</v>
      </c>
      <c r="O168" s="1083">
        <f t="shared" si="40"/>
        <v>0</v>
      </c>
      <c r="P168" s="1080"/>
    </row>
    <row r="169" spans="1:16" s="1081" customFormat="1" hidden="1" outlineLevel="1">
      <c r="A169" s="1199" t="str">
        <f t="shared" si="29"/>
        <v/>
      </c>
      <c r="B169" s="1067" t="str">
        <f>"datd"&amp;capdat</f>
        <v>datd3</v>
      </c>
      <c r="C169" s="1074"/>
      <c r="D169" s="1075" t="str">
        <f>VLOOKUP($B169,dongia1,DG!$B$5,)</f>
        <v>AB.13111</v>
      </c>
      <c r="E169" s="1076" t="str">
        <f>VLOOKUP($B169,dongia1,DG!$C$5,)</f>
        <v>Đắp đất rãnh tiếp địa cấp 3 (độ chặt k = 0.85)</v>
      </c>
      <c r="F169" s="1075" t="str">
        <f>VLOOKUP($B169,dongia1,DG!$D$5,)</f>
        <v>m3</v>
      </c>
      <c r="G169" s="1197">
        <f>G168</f>
        <v>0</v>
      </c>
      <c r="H169" s="1062">
        <f>VLOOKUP($B169,dongia1,DG!$F$5,)</f>
        <v>0</v>
      </c>
      <c r="I169" s="1083"/>
      <c r="J169" s="1062">
        <f>VLOOKUP($B169,dongia1,DG!$G$5,)</f>
        <v>117703.6</v>
      </c>
      <c r="K169" s="1062">
        <f>VLOOKUP($B169,dongia1,DG!$H$5,)</f>
        <v>0</v>
      </c>
      <c r="L169" s="1174">
        <f t="shared" si="39"/>
        <v>0</v>
      </c>
      <c r="M169" s="1174">
        <f>I169*G169</f>
        <v>0</v>
      </c>
      <c r="N169" s="1174">
        <f>J169*G169</f>
        <v>0</v>
      </c>
      <c r="O169" s="1083">
        <f t="shared" si="40"/>
        <v>0</v>
      </c>
      <c r="P169" s="1080"/>
    </row>
    <row r="170" spans="1:16" s="1081" customFormat="1" hidden="1" outlineLevel="1">
      <c r="A170" s="1199" t="str">
        <f t="shared" si="29"/>
        <v/>
      </c>
      <c r="B170" s="1086"/>
      <c r="C170" s="1064">
        <f>IF(G170&gt;0,C155+1,C155)</f>
        <v>0</v>
      </c>
      <c r="D170" s="1192"/>
      <c r="E170" s="1204" t="s">
        <v>3408</v>
      </c>
      <c r="F170" s="1064" t="s">
        <v>2113</v>
      </c>
      <c r="G170" s="1064">
        <f>G145</f>
        <v>0</v>
      </c>
      <c r="H170" s="1083"/>
      <c r="I170" s="1083"/>
      <c r="J170" s="1083"/>
      <c r="K170" s="1083"/>
      <c r="L170" s="1174">
        <f t="shared" si="31"/>
        <v>0</v>
      </c>
      <c r="M170" s="1174">
        <f t="shared" si="32"/>
        <v>0</v>
      </c>
      <c r="N170" s="1174">
        <f t="shared" si="33"/>
        <v>0</v>
      </c>
      <c r="O170" s="1083">
        <f t="shared" si="34"/>
        <v>0</v>
      </c>
      <c r="P170" s="1080"/>
    </row>
    <row r="171" spans="1:16" s="1081" customFormat="1" ht="14.4" hidden="1" outlineLevel="1">
      <c r="A171" s="1199" t="str">
        <f>A170</f>
        <v/>
      </c>
      <c r="B171" s="1086"/>
      <c r="C171" s="1064"/>
      <c r="D171" s="1192"/>
      <c r="E171" s="1222" t="s">
        <v>3399</v>
      </c>
      <c r="F171" s="1074"/>
      <c r="G171" s="1074"/>
      <c r="H171" s="1083"/>
      <c r="I171" s="1083"/>
      <c r="J171" s="1083"/>
      <c r="K171" s="1083"/>
      <c r="L171" s="1174">
        <f t="shared" si="31"/>
        <v>0</v>
      </c>
      <c r="M171" s="1174">
        <f t="shared" si="32"/>
        <v>0</v>
      </c>
      <c r="N171" s="1174">
        <f t="shared" si="33"/>
        <v>0</v>
      </c>
      <c r="O171" s="1083">
        <f t="shared" si="34"/>
        <v>0</v>
      </c>
      <c r="P171" s="1080"/>
    </row>
    <row r="172" spans="1:16" s="1081" customFormat="1" hidden="1" outlineLevel="1">
      <c r="A172" s="1199" t="str">
        <f t="shared" si="29"/>
        <v/>
      </c>
      <c r="B172" s="1086" t="s">
        <v>1655</v>
      </c>
      <c r="C172" s="1074"/>
      <c r="D172" s="1075" t="str">
        <f>VLOOKUP($B172,dongia1,DG!$B$5,)</f>
        <v>T5.1001</v>
      </c>
      <c r="E172" s="1076" t="str">
        <f>VLOOKUP($B172,dongia1,DG!$C$5,)</f>
        <v>Tủ MCCB trạm treo 1 pha</v>
      </c>
      <c r="F172" s="1075" t="str">
        <f>VLOOKUP($B172,dongia1,DG!$D$5,)</f>
        <v>cái</v>
      </c>
      <c r="G172" s="1074">
        <f>G170</f>
        <v>0</v>
      </c>
      <c r="H172" s="1062">
        <f>VLOOKUP($B172,dongia1,DG!$F$5,)</f>
        <v>2971168</v>
      </c>
      <c r="I172" s="1062"/>
      <c r="J172" s="1062">
        <f>VLOOKUP($B172,dongia1,DG!$G$5,)</f>
        <v>599038</v>
      </c>
      <c r="K172" s="1062">
        <f>VLOOKUP($B172,dongia1,DG!$H$5,)</f>
        <v>97369</v>
      </c>
      <c r="L172" s="1174">
        <f t="shared" si="31"/>
        <v>0</v>
      </c>
      <c r="M172" s="1174">
        <f t="shared" si="32"/>
        <v>0</v>
      </c>
      <c r="N172" s="1174">
        <f t="shared" si="33"/>
        <v>0</v>
      </c>
      <c r="O172" s="1083">
        <f t="shared" si="34"/>
        <v>0</v>
      </c>
      <c r="P172" s="1080"/>
    </row>
    <row r="173" spans="1:16" s="1081" customFormat="1" hidden="1" outlineLevel="1">
      <c r="A173" s="1199" t="str">
        <f t="shared" si="29"/>
        <v/>
      </c>
      <c r="B173" s="1086" t="s">
        <v>1559</v>
      </c>
      <c r="C173" s="1074"/>
      <c r="D173" s="1075">
        <f>VLOOKUP($B173,dongia1,DG!$B$5,)</f>
        <v>0</v>
      </c>
      <c r="E173" s="1076" t="str">
        <f>VLOOKUP($B173,dongia1,DG!$C$5,)</f>
        <v>Cổ dê bắt tủ</v>
      </c>
      <c r="F173" s="1075" t="str">
        <f>VLOOKUP($B173,dongia1,DG!$D$5,)</f>
        <v>bộ</v>
      </c>
      <c r="G173" s="1074">
        <f>G170*2</f>
        <v>0</v>
      </c>
      <c r="H173" s="1062">
        <f>VLOOKUP($B173,dongia1,DG!$F$5,)</f>
        <v>168000</v>
      </c>
      <c r="I173" s="1083"/>
      <c r="J173" s="1062">
        <f>VLOOKUP($B173,dongia1,DG!$G$5,)</f>
        <v>0</v>
      </c>
      <c r="K173" s="1062">
        <f>VLOOKUP($B173,dongia1,DG!$H$5,)</f>
        <v>0</v>
      </c>
      <c r="L173" s="1174">
        <f t="shared" si="31"/>
        <v>0</v>
      </c>
      <c r="M173" s="1174">
        <f t="shared" si="32"/>
        <v>0</v>
      </c>
      <c r="N173" s="1174">
        <f t="shared" si="33"/>
        <v>0</v>
      </c>
      <c r="O173" s="1083">
        <f t="shared" si="34"/>
        <v>0</v>
      </c>
      <c r="P173" s="1080"/>
    </row>
    <row r="174" spans="1:16" s="1081" customFormat="1" hidden="1" outlineLevel="1">
      <c r="A174" s="1199" t="str">
        <f t="shared" si="29"/>
        <v/>
      </c>
      <c r="B174" s="1086" t="s">
        <v>1560</v>
      </c>
      <c r="C174" s="1074"/>
      <c r="D174" s="1075">
        <f>VLOOKUP($B174,dongia1,DG!$B$5,)</f>
        <v>0</v>
      </c>
      <c r="E174" s="1076" t="str">
        <f>VLOOKUP($B174,dongia1,DG!$C$5,)</f>
        <v xml:space="preserve">Bakelit 500x300 dầy 10mm </v>
      </c>
      <c r="F174" s="1075" t="str">
        <f>VLOOKUP($B174,dongia1,DG!$D$5,)</f>
        <v>cái</v>
      </c>
      <c r="G174" s="1074">
        <f>G170*2</f>
        <v>0</v>
      </c>
      <c r="H174" s="1062">
        <f>VLOOKUP($B174,dongia1,DG!$F$5,)</f>
        <v>284000</v>
      </c>
      <c r="I174" s="1083"/>
      <c r="J174" s="1062">
        <f>VLOOKUP($B174,dongia1,DG!$G$5,)</f>
        <v>5404</v>
      </c>
      <c r="K174" s="1062">
        <f>VLOOKUP($B174,dongia1,DG!$H$5,)</f>
        <v>0</v>
      </c>
      <c r="L174" s="1174">
        <f t="shared" si="31"/>
        <v>0</v>
      </c>
      <c r="M174" s="1174">
        <f t="shared" si="32"/>
        <v>0</v>
      </c>
      <c r="N174" s="1174">
        <f t="shared" si="33"/>
        <v>0</v>
      </c>
      <c r="O174" s="1083">
        <f t="shared" si="34"/>
        <v>0</v>
      </c>
      <c r="P174" s="1080"/>
    </row>
    <row r="175" spans="1:16" s="1081" customFormat="1" hidden="1" outlineLevel="1">
      <c r="A175" s="1199" t="str">
        <f t="shared" si="29"/>
        <v/>
      </c>
      <c r="B175" s="1086" t="s">
        <v>1998</v>
      </c>
      <c r="C175" s="1074"/>
      <c r="D175" s="1075">
        <f>VLOOKUP($B175,dongia1,DG!$B$5,)</f>
        <v>0</v>
      </c>
      <c r="E175" s="1076" t="str">
        <f>VLOOKUP($B175,dongia1,DG!$C$5,)</f>
        <v>Boulon 12x40+ 2 long đền vuông D14-50x50x3/Zn</v>
      </c>
      <c r="F175" s="1075" t="str">
        <f>VLOOKUP($B175,dongia1,DG!$D$5,)</f>
        <v>bộ</v>
      </c>
      <c r="G175" s="1074">
        <f>G170*4</f>
        <v>0</v>
      </c>
      <c r="H175" s="1062">
        <f>VLOOKUP($B175,dongia1,DG!$F$5,)</f>
        <v>8500</v>
      </c>
      <c r="I175" s="1083"/>
      <c r="J175" s="1062">
        <f>VLOOKUP($B175,dongia1,DG!$G$5,)</f>
        <v>0</v>
      </c>
      <c r="K175" s="1062">
        <f>VLOOKUP($B175,dongia1,DG!$H$5,)</f>
        <v>0</v>
      </c>
      <c r="L175" s="1174">
        <f>H175*G175</f>
        <v>0</v>
      </c>
      <c r="M175" s="1174"/>
      <c r="N175" s="1174">
        <f>J175*G175</f>
        <v>0</v>
      </c>
      <c r="O175" s="1083">
        <f>K175*G175</f>
        <v>0</v>
      </c>
      <c r="P175" s="1080"/>
    </row>
    <row r="176" spans="1:16" s="1081" customFormat="1" hidden="1" outlineLevel="1">
      <c r="A176" s="1199" t="str">
        <f t="shared" si="29"/>
        <v/>
      </c>
      <c r="B176" s="1086"/>
      <c r="C176" s="1064">
        <f>IF(G176&gt;0,C170+1,C170)</f>
        <v>0</v>
      </c>
      <c r="D176" s="1192"/>
      <c r="E176" s="1221" t="s">
        <v>3410</v>
      </c>
      <c r="F176" s="1064" t="s">
        <v>2113</v>
      </c>
      <c r="G176" s="1064">
        <f>G170</f>
        <v>0</v>
      </c>
      <c r="H176" s="1083"/>
      <c r="I176" s="1083"/>
      <c r="J176" s="1083"/>
      <c r="K176" s="1083"/>
      <c r="L176" s="1174">
        <f t="shared" si="31"/>
        <v>0</v>
      </c>
      <c r="M176" s="1174">
        <f t="shared" si="32"/>
        <v>0</v>
      </c>
      <c r="N176" s="1174">
        <f t="shared" si="33"/>
        <v>0</v>
      </c>
      <c r="O176" s="1083">
        <f t="shared" si="34"/>
        <v>0</v>
      </c>
      <c r="P176" s="1080"/>
    </row>
    <row r="177" spans="1:16" s="1081" customFormat="1" ht="14.4" hidden="1" outlineLevel="1">
      <c r="A177" s="1199" t="str">
        <f t="shared" si="29"/>
        <v/>
      </c>
      <c r="B177" s="1086"/>
      <c r="C177" s="1064"/>
      <c r="D177" s="1192"/>
      <c r="E177" s="1222" t="s">
        <v>3399</v>
      </c>
      <c r="F177" s="1074"/>
      <c r="G177" s="1074"/>
      <c r="H177" s="1083"/>
      <c r="I177" s="1083"/>
      <c r="J177" s="1083"/>
      <c r="K177" s="1083"/>
      <c r="L177" s="1174">
        <f t="shared" si="31"/>
        <v>0</v>
      </c>
      <c r="M177" s="1174">
        <f t="shared" si="32"/>
        <v>0</v>
      </c>
      <c r="N177" s="1174">
        <f t="shared" si="33"/>
        <v>0</v>
      </c>
      <c r="O177" s="1083">
        <f t="shared" si="34"/>
        <v>0</v>
      </c>
      <c r="P177" s="1080"/>
    </row>
    <row r="178" spans="1:16" s="1081" customFormat="1" hidden="1" outlineLevel="1">
      <c r="A178" s="1199" t="str">
        <f t="shared" si="29"/>
        <v/>
      </c>
      <c r="B178" s="1205" t="str">
        <f>Solieu!J56</f>
        <v>XLPE25</v>
      </c>
      <c r="C178" s="1074"/>
      <c r="D178" s="1075">
        <f>VLOOKUP($B178,dongia1,DG!$B$5,)</f>
        <v>0</v>
      </c>
      <c r="E178" s="1076" t="str">
        <f>VLOOKUP($B178,dongia1,DG!$C$5,)</f>
        <v>Cáp 24KV C/XLPE/PVC- 25mm2</v>
      </c>
      <c r="F178" s="1075" t="str">
        <f>VLOOKUP($B178,dongia1,DG!$D$5,)</f>
        <v>mét</v>
      </c>
      <c r="G178" s="1074">
        <f>3*G176</f>
        <v>0</v>
      </c>
      <c r="H178" s="1062">
        <f>VLOOKUP($B178,dongia1,DG!$F$5,)</f>
        <v>50996</v>
      </c>
      <c r="I178" s="1062"/>
      <c r="J178" s="1062">
        <f>VLOOKUP($B178,dongia1,DG!$G$5,)</f>
        <v>0</v>
      </c>
      <c r="K178" s="1062">
        <f>VLOOKUP($B178,dongia1,DG!$H$5,)</f>
        <v>0</v>
      </c>
      <c r="L178" s="1174">
        <f t="shared" si="31"/>
        <v>0</v>
      </c>
      <c r="M178" s="1174">
        <f t="shared" si="32"/>
        <v>0</v>
      </c>
      <c r="N178" s="1174">
        <f t="shared" si="33"/>
        <v>0</v>
      </c>
      <c r="O178" s="1083">
        <f t="shared" si="34"/>
        <v>0</v>
      </c>
      <c r="P178" s="1080"/>
    </row>
    <row r="179" spans="1:16" s="1081" customFormat="1" hidden="1" outlineLevel="1">
      <c r="A179" s="1199" t="str">
        <f>IF(G179&lt;&gt;0,1,"")</f>
        <v/>
      </c>
      <c r="B179" s="1206" t="s">
        <v>205</v>
      </c>
      <c r="C179" s="1074"/>
      <c r="D179" s="1075">
        <f>VLOOKUP($B179,dongia1,DG!$B$5,)</f>
        <v>0</v>
      </c>
      <c r="E179" s="1076" t="str">
        <f>VLOOKUP($B179,dongia1,DG!$C$5,)</f>
        <v>Kẹp ép WR cỡ dây 50mm2</v>
      </c>
      <c r="F179" s="1075" t="str">
        <f>VLOOKUP($B179,dongia1,DG!$D$5,)</f>
        <v>cái</v>
      </c>
      <c r="G179" s="1074"/>
      <c r="H179" s="1062">
        <f>VLOOKUP($B179,dongia1,DG!$F$5,)</f>
        <v>8000</v>
      </c>
      <c r="I179" s="1062"/>
      <c r="J179" s="1062">
        <f>VLOOKUP($B179,dongia1,DG!$G$5,)</f>
        <v>0</v>
      </c>
      <c r="K179" s="1062">
        <f>VLOOKUP($B179,dongia1,DG!$H$5,)</f>
        <v>0</v>
      </c>
      <c r="L179" s="1174">
        <f>H179*G179</f>
        <v>0</v>
      </c>
      <c r="M179" s="1174">
        <f>I179*G179</f>
        <v>0</v>
      </c>
      <c r="N179" s="1174">
        <f>J179*G179</f>
        <v>0</v>
      </c>
      <c r="O179" s="1083">
        <f>K179*G179</f>
        <v>0</v>
      </c>
      <c r="P179" s="1080"/>
    </row>
    <row r="180" spans="1:16" s="1081" customFormat="1" hidden="1" outlineLevel="1">
      <c r="A180" s="1199" t="str">
        <f t="shared" si="29"/>
        <v/>
      </c>
      <c r="B180" s="1206" t="s">
        <v>2028</v>
      </c>
      <c r="C180" s="1074"/>
      <c r="D180" s="1075">
        <f>VLOOKUP($B180,dongia1,DG!$B$5,)</f>
        <v>0</v>
      </c>
      <c r="E180" s="1076" t="str">
        <f>VLOOKUP($B180,dongia1,DG!$C$5,)</f>
        <v>Kẹp quai 2/0</v>
      </c>
      <c r="F180" s="1075" t="str">
        <f>VLOOKUP($B180,dongia1,DG!$D$5,)</f>
        <v>cái</v>
      </c>
      <c r="G180" s="1074">
        <f>G176</f>
        <v>0</v>
      </c>
      <c r="H180" s="1062">
        <f>VLOOKUP($B180,dongia1,DG!$F$5,)</f>
        <v>46000</v>
      </c>
      <c r="I180" s="1062"/>
      <c r="J180" s="1062">
        <f>VLOOKUP($B180,dongia1,DG!$G$5,)</f>
        <v>0</v>
      </c>
      <c r="K180" s="1062">
        <f>VLOOKUP($B180,dongia1,DG!$H$5,)</f>
        <v>0</v>
      </c>
      <c r="L180" s="1174">
        <f t="shared" si="31"/>
        <v>0</v>
      </c>
      <c r="M180" s="1174">
        <f t="shared" si="32"/>
        <v>0</v>
      </c>
      <c r="N180" s="1174">
        <f t="shared" si="33"/>
        <v>0</v>
      </c>
      <c r="O180" s="1083">
        <f t="shared" si="34"/>
        <v>0</v>
      </c>
      <c r="P180" s="1080"/>
    </row>
    <row r="181" spans="1:16" s="1081" customFormat="1" hidden="1" outlineLevel="1">
      <c r="A181" s="1199" t="str">
        <f t="shared" si="29"/>
        <v/>
      </c>
      <c r="B181" s="1206" t="s">
        <v>2026</v>
      </c>
      <c r="C181" s="1074"/>
      <c r="D181" s="1075">
        <f>VLOOKUP($B181,dongia1,DG!$B$5,)</f>
        <v>0</v>
      </c>
      <c r="E181" s="1076" t="str">
        <f>VLOOKUP($B181,dongia1,DG!$C$5,)</f>
        <v>Kẹp hotline 2/0</v>
      </c>
      <c r="F181" s="1075" t="str">
        <f>VLOOKUP($B181,dongia1,DG!$D$5,)</f>
        <v>cái</v>
      </c>
      <c r="G181" s="1074">
        <f>G176</f>
        <v>0</v>
      </c>
      <c r="H181" s="1062">
        <f>VLOOKUP($B181,dongia1,DG!$F$5,)</f>
        <v>77000</v>
      </c>
      <c r="I181" s="1062"/>
      <c r="J181" s="1062">
        <f>VLOOKUP($B181,dongia1,DG!$G$5,)</f>
        <v>0</v>
      </c>
      <c r="K181" s="1062">
        <f>VLOOKUP($B181,dongia1,DG!$H$5,)</f>
        <v>0</v>
      </c>
      <c r="L181" s="1174">
        <f t="shared" si="31"/>
        <v>0</v>
      </c>
      <c r="M181" s="1174">
        <f t="shared" si="32"/>
        <v>0</v>
      </c>
      <c r="N181" s="1174">
        <f t="shared" si="33"/>
        <v>0</v>
      </c>
      <c r="O181" s="1083">
        <f t="shared" si="34"/>
        <v>0</v>
      </c>
      <c r="P181" s="1080"/>
    </row>
    <row r="182" spans="1:16" s="1081" customFormat="1" hidden="1" outlineLevel="1">
      <c r="A182" s="1199" t="str">
        <f t="shared" si="29"/>
        <v/>
      </c>
      <c r="B182" s="1206" t="s">
        <v>647</v>
      </c>
      <c r="C182" s="1074"/>
      <c r="D182" s="1075">
        <f>VLOOKUP($B182,dongia1,DG!$B$5,)</f>
        <v>0</v>
      </c>
      <c r="E182" s="1076" t="str">
        <f>VLOOKUP($B182,dongia1,DG!$C$5,)</f>
        <v xml:space="preserve">Sứ đứng 24KV </v>
      </c>
      <c r="F182" s="1075" t="str">
        <f>VLOOKUP($B182,dongia1,DG!$D$5,)</f>
        <v>cái</v>
      </c>
      <c r="G182" s="1074">
        <f>G176*2*0</f>
        <v>0</v>
      </c>
      <c r="H182" s="1062">
        <f>VLOOKUP($B182,dongia1,DG!$F$5,)</f>
        <v>205000</v>
      </c>
      <c r="I182" s="1062"/>
      <c r="J182" s="1062">
        <f>VLOOKUP($B182,dongia1,DG!$G$5,)</f>
        <v>0</v>
      </c>
      <c r="K182" s="1062">
        <f>VLOOKUP($B182,dongia1,DG!$H$5,)</f>
        <v>0</v>
      </c>
      <c r="L182" s="1174">
        <f>H182*G182</f>
        <v>0</v>
      </c>
      <c r="M182" s="1174"/>
      <c r="N182" s="1174">
        <f>J182*G182</f>
        <v>0</v>
      </c>
      <c r="O182" s="1083">
        <f>K182*G182</f>
        <v>0</v>
      </c>
      <c r="P182" s="1080"/>
    </row>
    <row r="183" spans="1:16" s="1081" customFormat="1" hidden="1" outlineLevel="1">
      <c r="A183" s="1199" t="str">
        <f t="shared" si="29"/>
        <v/>
      </c>
      <c r="B183" s="1206" t="s">
        <v>414</v>
      </c>
      <c r="C183" s="1074"/>
      <c r="D183" s="1075">
        <f>VLOOKUP($B183,dongia1,DG!$B$5,)</f>
        <v>0</v>
      </c>
      <c r="E183" s="1076" t="str">
        <f>VLOOKUP($B183,dongia1,DG!$C$5,)</f>
        <v>Chân sứ đứng D20</v>
      </c>
      <c r="F183" s="1075" t="str">
        <f>VLOOKUP($B183,dongia1,DG!$D$5,)</f>
        <v>cái</v>
      </c>
      <c r="G183" s="1074">
        <f>G182</f>
        <v>0</v>
      </c>
      <c r="H183" s="1062">
        <f>VLOOKUP($B183,dongia1,DG!$F$5,)</f>
        <v>65000</v>
      </c>
      <c r="I183" s="1062"/>
      <c r="J183" s="1062">
        <f>VLOOKUP($B183,dongia1,DG!$G$5,)</f>
        <v>0</v>
      </c>
      <c r="K183" s="1062">
        <f>VLOOKUP($B183,dongia1,DG!$H$5,)</f>
        <v>0</v>
      </c>
      <c r="L183" s="1174">
        <f>H183*G183</f>
        <v>0</v>
      </c>
      <c r="M183" s="1174"/>
      <c r="N183" s="1174">
        <f>J183*G183</f>
        <v>0</v>
      </c>
      <c r="O183" s="1083">
        <f>K183*G183</f>
        <v>0</v>
      </c>
      <c r="P183" s="1080"/>
    </row>
    <row r="184" spans="1:16" s="1081" customFormat="1" hidden="1" outlineLevel="1">
      <c r="A184" s="1199" t="str">
        <f t="shared" si="29"/>
        <v/>
      </c>
      <c r="B184" s="1206" t="s">
        <v>1116</v>
      </c>
      <c r="C184" s="1074"/>
      <c r="D184" s="1075" t="str">
        <f>VLOOKUP($B184,dongia1,DG!$B$5,)</f>
        <v>D3.1115</v>
      </c>
      <c r="E184" s="1076" t="str">
        <f>VLOOKUP($B184,dongia1,DG!$C$5,)</f>
        <v>Lắp sứ đứng 24KV</v>
      </c>
      <c r="F184" s="1075" t="str">
        <f>VLOOKUP($B184,dongia1,DG!$D$5,)</f>
        <v>bộ</v>
      </c>
      <c r="G184" s="1074">
        <f>G183</f>
        <v>0</v>
      </c>
      <c r="H184" s="1062"/>
      <c r="I184" s="1062"/>
      <c r="J184" s="1062">
        <f>VLOOKUP($B184,dongia1,DG!$G$5,)</f>
        <v>58277.49</v>
      </c>
      <c r="K184" s="1062">
        <f>VLOOKUP($B184,dongia1,DG!$H$5,)</f>
        <v>0</v>
      </c>
      <c r="L184" s="1174">
        <f>H184*G184</f>
        <v>0</v>
      </c>
      <c r="M184" s="1174"/>
      <c r="N184" s="1174">
        <f>J184*G184</f>
        <v>0</v>
      </c>
      <c r="O184" s="1083">
        <f>K184*G184</f>
        <v>0</v>
      </c>
      <c r="P184" s="1080"/>
    </row>
    <row r="185" spans="1:16" s="1081" customFormat="1" hidden="1" outlineLevel="1">
      <c r="A185" s="1199" t="str">
        <f t="shared" si="29"/>
        <v/>
      </c>
      <c r="B185" s="1206" t="s">
        <v>224</v>
      </c>
      <c r="C185" s="1074"/>
      <c r="D185" s="1075" t="str">
        <f>VLOOKUP($B185,dongia1,DG!$B$5,)</f>
        <v>T4.4201</v>
      </c>
      <c r="E185" s="1076" t="str">
        <f>VLOOKUP($B185,dongia1,DG!$C$5,)</f>
        <v>Lắp cáp đồng xuống thiết bị D ≤ 95mm2</v>
      </c>
      <c r="F185" s="1075" t="str">
        <f>VLOOKUP($B185,dongia1,DG!$D$5,)</f>
        <v>m</v>
      </c>
      <c r="G185" s="1074">
        <f>G178</f>
        <v>0</v>
      </c>
      <c r="H185" s="1062">
        <f>VLOOKUP($B185,dongia1,DG!$F$5,)</f>
        <v>0</v>
      </c>
      <c r="I185" s="1062"/>
      <c r="J185" s="1062">
        <f>VLOOKUP($B185,dongia1,DG!$G$5,)</f>
        <v>13915</v>
      </c>
      <c r="K185" s="1062">
        <f>VLOOKUP($B185,dongia1,DG!$H$5,)</f>
        <v>0</v>
      </c>
      <c r="L185" s="1174">
        <f>H185*G185</f>
        <v>0</v>
      </c>
      <c r="M185" s="1174">
        <f>I185*G185</f>
        <v>0</v>
      </c>
      <c r="N185" s="1174">
        <f>J185*G185</f>
        <v>0</v>
      </c>
      <c r="O185" s="1083">
        <f>K185*G185</f>
        <v>0</v>
      </c>
      <c r="P185" s="1080"/>
    </row>
    <row r="186" spans="1:16" s="1081" customFormat="1" hidden="1" outlineLevel="1">
      <c r="A186" s="1199" t="str">
        <f t="shared" si="29"/>
        <v/>
      </c>
      <c r="B186" s="1086"/>
      <c r="C186" s="1064">
        <f>IF(G186&gt;0,C176+1,C176)</f>
        <v>0</v>
      </c>
      <c r="D186" s="1192"/>
      <c r="E186" s="1224" t="s">
        <v>3413</v>
      </c>
      <c r="F186" s="1064" t="s">
        <v>2113</v>
      </c>
      <c r="G186" s="1064">
        <f>G122</f>
        <v>0</v>
      </c>
      <c r="H186" s="1083"/>
      <c r="I186" s="1083"/>
      <c r="J186" s="1083"/>
      <c r="K186" s="1083"/>
      <c r="L186" s="1174">
        <f t="shared" si="31"/>
        <v>0</v>
      </c>
      <c r="M186" s="1174">
        <f t="shared" si="32"/>
        <v>0</v>
      </c>
      <c r="N186" s="1174">
        <f t="shared" si="33"/>
        <v>0</v>
      </c>
      <c r="O186" s="1083">
        <f t="shared" si="34"/>
        <v>0</v>
      </c>
      <c r="P186" s="1080"/>
    </row>
    <row r="187" spans="1:16" s="1081" customFormat="1" ht="14.4" hidden="1" outlineLevel="1">
      <c r="A187" s="1199" t="str">
        <f>A186</f>
        <v/>
      </c>
      <c r="B187" s="1086"/>
      <c r="C187" s="1064"/>
      <c r="D187" s="1192"/>
      <c r="E187" s="1222" t="s">
        <v>3399</v>
      </c>
      <c r="F187" s="1064"/>
      <c r="G187" s="1064"/>
      <c r="H187" s="1083"/>
      <c r="I187" s="1083"/>
      <c r="J187" s="1083"/>
      <c r="K187" s="1083"/>
      <c r="L187" s="1174">
        <f t="shared" si="31"/>
        <v>0</v>
      </c>
      <c r="M187" s="1174">
        <f t="shared" si="32"/>
        <v>0</v>
      </c>
      <c r="N187" s="1174">
        <f t="shared" si="33"/>
        <v>0</v>
      </c>
      <c r="O187" s="1083">
        <f t="shared" si="34"/>
        <v>0</v>
      </c>
      <c r="P187" s="1080"/>
    </row>
    <row r="188" spans="1:16" s="1081" customFormat="1" hidden="1" outlineLevel="1">
      <c r="A188" s="1199" t="str">
        <f t="shared" si="29"/>
        <v/>
      </c>
      <c r="B188" s="1086" t="s">
        <v>1604</v>
      </c>
      <c r="C188" s="1064"/>
      <c r="D188" s="1075">
        <f>VLOOKUP($B188,dongia1,DG!$B$5,)</f>
        <v>0</v>
      </c>
      <c r="E188" s="1076" t="str">
        <f>VLOOKUP($B188,dongia1,DG!$C$5,)</f>
        <v>Cáp đồng bọc CV50</v>
      </c>
      <c r="F188" s="1075" t="str">
        <f>VLOOKUP($B188,dongia1,DG!$D$5,)</f>
        <v>mét</v>
      </c>
      <c r="G188" s="1074">
        <f>G186*9*2</f>
        <v>0</v>
      </c>
      <c r="H188" s="1062">
        <f>VLOOKUP($B188,dongia1,DG!$F$5,)</f>
        <v>91800</v>
      </c>
      <c r="I188" s="1083"/>
      <c r="J188" s="1062">
        <f>VLOOKUP($B188,dongia1,DG!$G$5,)</f>
        <v>0</v>
      </c>
      <c r="K188" s="1062">
        <f>VLOOKUP($B188,dongia1,DG!$H$5,)</f>
        <v>0</v>
      </c>
      <c r="L188" s="1174">
        <f>H188*G188</f>
        <v>0</v>
      </c>
      <c r="M188" s="1174">
        <f>I188*G188</f>
        <v>0</v>
      </c>
      <c r="N188" s="1174">
        <f>J188*G188</f>
        <v>0</v>
      </c>
      <c r="O188" s="1083">
        <f>K188*G188</f>
        <v>0</v>
      </c>
      <c r="P188" s="1080"/>
    </row>
    <row r="189" spans="1:16" s="1081" customFormat="1" hidden="1" outlineLevel="1">
      <c r="A189" s="1199" t="str">
        <f t="shared" si="29"/>
        <v/>
      </c>
      <c r="B189" s="1086" t="s">
        <v>37</v>
      </c>
      <c r="C189" s="1064"/>
      <c r="D189" s="1075" t="str">
        <f>VLOOKUP($B189,dongia1,DG!$B$5,)</f>
        <v>03.1401</v>
      </c>
      <c r="E189" s="1076" t="str">
        <f>VLOOKUP($B189,dongia1,DG!$C$5,)</f>
        <v xml:space="preserve">Cáp CVV 4x2,5mm2  </v>
      </c>
      <c r="F189" s="1075" t="str">
        <f>VLOOKUP($B189,dongia1,DG!$D$5,)</f>
        <v>mét</v>
      </c>
      <c r="G189" s="1074">
        <f>4*G186</f>
        <v>0</v>
      </c>
      <c r="H189" s="1062">
        <f>VLOOKUP($B189,dongia1,DG!$F$5,)</f>
        <v>28200</v>
      </c>
      <c r="I189" s="1083"/>
      <c r="J189" s="1062">
        <f>VLOOKUP($B189,dongia1,DG!$G$5,)</f>
        <v>0</v>
      </c>
      <c r="K189" s="1062">
        <f>VLOOKUP($B189,dongia1,DG!$H$5,)</f>
        <v>0</v>
      </c>
      <c r="L189" s="1174">
        <f>H189*G189</f>
        <v>0</v>
      </c>
      <c r="M189" s="1174">
        <f>I189*G189</f>
        <v>0</v>
      </c>
      <c r="N189" s="1174">
        <f>J189*G189</f>
        <v>0</v>
      </c>
      <c r="O189" s="1083">
        <f>K189*G189</f>
        <v>0</v>
      </c>
      <c r="P189" s="1080"/>
    </row>
    <row r="190" spans="1:16" s="1081" customFormat="1" hidden="1" outlineLevel="1">
      <c r="A190" s="1199" t="str">
        <f t="shared" si="29"/>
        <v/>
      </c>
      <c r="B190" s="1086" t="str">
        <f>"Cos"&amp;RIGHT(B188,2)</f>
        <v>Cos50</v>
      </c>
      <c r="C190" s="1074"/>
      <c r="D190" s="1075" t="str">
        <f>VLOOKUP($B190,dongia1,DG!$B$5,)</f>
        <v>D4.5002</v>
      </c>
      <c r="E190" s="1076" t="str">
        <f>VLOOKUP($B190,dongia1,DG!$C$5,)</f>
        <v>Đầu cosse ép Cu 50mm2</v>
      </c>
      <c r="F190" s="1075" t="str">
        <f>VLOOKUP($B190,dongia1,DG!$D$5,)</f>
        <v>cái</v>
      </c>
      <c r="G190" s="1074">
        <f>G186*2</f>
        <v>0</v>
      </c>
      <c r="H190" s="1062">
        <f>VLOOKUP($B190,dongia1,DG!$F$5,)</f>
        <v>9100</v>
      </c>
      <c r="I190" s="1062"/>
      <c r="J190" s="1062">
        <f>VLOOKUP($B190,dongia1,DG!$G$5,)</f>
        <v>10608.955000000002</v>
      </c>
      <c r="K190" s="1062">
        <f>VLOOKUP($B190,dongia1,DG!$H$5,)</f>
        <v>2777.0232475000003</v>
      </c>
      <c r="L190" s="1174">
        <f>H190*G190</f>
        <v>0</v>
      </c>
      <c r="M190" s="1174">
        <f>I190*G190</f>
        <v>0</v>
      </c>
      <c r="N190" s="1174">
        <f>J190*G190</f>
        <v>0</v>
      </c>
      <c r="O190" s="1083">
        <f>K190*G190</f>
        <v>0</v>
      </c>
      <c r="P190" s="1080"/>
    </row>
    <row r="191" spans="1:16" s="1081" customFormat="1" hidden="1" outlineLevel="1">
      <c r="A191" s="1199" t="str">
        <f t="shared" ref="A191:A197" si="41">IF(G191&lt;&gt;0,1,"")</f>
        <v/>
      </c>
      <c r="B191" s="1086" t="str">
        <f>"chCos"&amp;RIGHT(B188,2)</f>
        <v>chCos50</v>
      </c>
      <c r="C191" s="1074"/>
      <c r="D191" s="1075">
        <f>VLOOKUP($B191,dongia1,DG!$B$5,)</f>
        <v>0</v>
      </c>
      <c r="E191" s="1076" t="str">
        <f>VLOOKUP($B191,dongia1,DG!$C$5,)</f>
        <v>Chụp đầu cosse  50mm2</v>
      </c>
      <c r="F191" s="1075" t="str">
        <f>VLOOKUP($B191,dongia1,DG!$D$5,)</f>
        <v>cái</v>
      </c>
      <c r="G191" s="1074">
        <f>G186*2</f>
        <v>0</v>
      </c>
      <c r="H191" s="1062">
        <f>VLOOKUP($B191,dongia1,DG!$F$5,)</f>
        <v>1000</v>
      </c>
      <c r="I191" s="1062"/>
      <c r="J191" s="1062">
        <f>VLOOKUP($B191,dongia1,DG!$G$5,)</f>
        <v>0</v>
      </c>
      <c r="K191" s="1062">
        <f>VLOOKUP($B191,dongia1,DG!$H$5,)</f>
        <v>0</v>
      </c>
      <c r="L191" s="1174">
        <f t="shared" si="31"/>
        <v>0</v>
      </c>
      <c r="M191" s="1174">
        <f t="shared" si="32"/>
        <v>0</v>
      </c>
      <c r="N191" s="1174">
        <f t="shared" si="33"/>
        <v>0</v>
      </c>
      <c r="O191" s="1083">
        <f t="shared" si="34"/>
        <v>0</v>
      </c>
      <c r="P191" s="1080"/>
    </row>
    <row r="192" spans="1:16" s="1081" customFormat="1" hidden="1" outlineLevel="1">
      <c r="A192" s="1199" t="str">
        <f t="shared" si="41"/>
        <v/>
      </c>
      <c r="B192" s="1067" t="s">
        <v>2123</v>
      </c>
      <c r="C192" s="1074"/>
      <c r="D192" s="1075">
        <f>VLOOKUP($B192,dongia1,DG!$B$5,)</f>
        <v>0</v>
      </c>
      <c r="E192" s="1076" t="str">
        <f>VLOOKUP($B192,dongia1,DG!$C$5,)</f>
        <v>Nắp che đầu sứ MBA</v>
      </c>
      <c r="F192" s="1075" t="str">
        <f>VLOOKUP($B192,dongia1,DG!$D$5,)</f>
        <v>cái</v>
      </c>
      <c r="G192" s="1074">
        <f>G122*1</f>
        <v>0</v>
      </c>
      <c r="H192" s="1062">
        <f>VLOOKUP($B192,dongia1,DG!$F$5,)</f>
        <v>56700</v>
      </c>
      <c r="I192" s="1062"/>
      <c r="J192" s="1062">
        <f>VLOOKUP($B192,dongia1,DG!$G$5,)</f>
        <v>0</v>
      </c>
      <c r="K192" s="1062">
        <f>VLOOKUP($B192,dongia1,DG!$H$5,)</f>
        <v>0</v>
      </c>
      <c r="L192" s="1174">
        <f>H192*G192</f>
        <v>0</v>
      </c>
      <c r="M192" s="1174">
        <f>I192*G192</f>
        <v>0</v>
      </c>
      <c r="N192" s="1174">
        <f>J192*G192</f>
        <v>0</v>
      </c>
      <c r="O192" s="1083">
        <f>K192*G192</f>
        <v>0</v>
      </c>
      <c r="P192" s="1080"/>
    </row>
    <row r="193" spans="1:16" s="1081" customFormat="1" hidden="1" outlineLevel="1">
      <c r="A193" s="1199" t="str">
        <f t="shared" si="41"/>
        <v/>
      </c>
      <c r="B193" s="1086" t="s">
        <v>595</v>
      </c>
      <c r="C193" s="1074"/>
      <c r="D193" s="1075">
        <f>VLOOKUP($B193,dongia1,DG!$B$5,)</f>
        <v>0</v>
      </c>
      <c r="E193" s="1076" t="str">
        <f>VLOOKUP($B193,dongia1,DG!$C$5,)</f>
        <v xml:space="preserve">Ống PVC D90x3,8mm </v>
      </c>
      <c r="F193" s="1075" t="str">
        <f>VLOOKUP($B193,dongia1,DG!$D$5,)</f>
        <v>m</v>
      </c>
      <c r="G193" s="1074">
        <f>G186*6</f>
        <v>0</v>
      </c>
      <c r="H193" s="1062">
        <f>VLOOKUP($B193,dongia1,DG!$F$5,)</f>
        <v>63200</v>
      </c>
      <c r="I193" s="1083"/>
      <c r="J193" s="1062">
        <f>VLOOKUP($B193,dongia1,DG!$G$5,)</f>
        <v>0</v>
      </c>
      <c r="K193" s="1062">
        <f>VLOOKUP($B193,dongia1,DG!$H$5,)</f>
        <v>0</v>
      </c>
      <c r="L193" s="1174">
        <f t="shared" si="31"/>
        <v>0</v>
      </c>
      <c r="M193" s="1174">
        <f t="shared" si="32"/>
        <v>0</v>
      </c>
      <c r="N193" s="1174">
        <f t="shared" si="33"/>
        <v>0</v>
      </c>
      <c r="O193" s="1083">
        <f t="shared" si="34"/>
        <v>0</v>
      </c>
      <c r="P193" s="1080"/>
    </row>
    <row r="194" spans="1:16" s="1081" customFormat="1" hidden="1" outlineLevel="1">
      <c r="A194" s="1199" t="str">
        <f t="shared" si="41"/>
        <v/>
      </c>
      <c r="B194" s="1067" t="s">
        <v>591</v>
      </c>
      <c r="C194" s="1074"/>
      <c r="D194" s="1075">
        <f>VLOOKUP($B194,dongia1,DG!$B$5,)</f>
        <v>0</v>
      </c>
      <c r="E194" s="1076" t="str">
        <f>VLOOKUP($B194,dongia1,DG!$C$5,)</f>
        <v>Cổ dê kẹp ống PVC Þ 90</v>
      </c>
      <c r="F194" s="1075" t="str">
        <f>VLOOKUP($B194,dongia1,DG!$D$5,)</f>
        <v>bộ</v>
      </c>
      <c r="G194" s="1074">
        <f>G186*2</f>
        <v>0</v>
      </c>
      <c r="H194" s="1062">
        <f>VLOOKUP($B194,dongia1,DG!$F$5,)</f>
        <v>49000</v>
      </c>
      <c r="I194" s="1083"/>
      <c r="J194" s="1062"/>
      <c r="K194" s="1062">
        <f>VLOOKUP($B194,dongia1,DG!$H$5,)</f>
        <v>0</v>
      </c>
      <c r="L194" s="1174">
        <f>H194*G194</f>
        <v>0</v>
      </c>
      <c r="M194" s="1174"/>
      <c r="N194" s="1062"/>
      <c r="O194" s="1083">
        <f>K194*G194</f>
        <v>0</v>
      </c>
      <c r="P194" s="1080"/>
    </row>
    <row r="195" spans="1:16" s="1081" customFormat="1" hidden="1" outlineLevel="1">
      <c r="A195" s="1199" t="str">
        <f t="shared" si="41"/>
        <v/>
      </c>
      <c r="B195" s="1067" t="s">
        <v>628</v>
      </c>
      <c r="C195" s="1074"/>
      <c r="D195" s="1075">
        <f>VLOOKUP($B195,dongia1,DG!$B$5,)</f>
        <v>0</v>
      </c>
      <c r="E195" s="1076" t="str">
        <f>VLOOKUP($B195,dongia1,DG!$C$5,)</f>
        <v>Boulon 12x60+ 2 long đền vuông D14-50x50x3/Zn</v>
      </c>
      <c r="F195" s="1075" t="str">
        <f>VLOOKUP($B195,dongia1,DG!$D$5,)</f>
        <v>bộ</v>
      </c>
      <c r="G195" s="1074">
        <f>G194*2</f>
        <v>0</v>
      </c>
      <c r="H195" s="1062">
        <f>VLOOKUP($B195,dongia1,DG!$F$5,)</f>
        <v>9000</v>
      </c>
      <c r="I195" s="1083"/>
      <c r="J195" s="1062">
        <f>VLOOKUP($B195,dongia1,DG!$G$5,)</f>
        <v>0</v>
      </c>
      <c r="K195" s="1062">
        <f>VLOOKUP($B195,dongia1,DG!$H$5,)</f>
        <v>0</v>
      </c>
      <c r="L195" s="1174">
        <f>H195*G195</f>
        <v>0</v>
      </c>
      <c r="M195" s="1174"/>
      <c r="N195" s="1062">
        <f>VLOOKUP($B195,dongia1,DG!$G$5,)*G195</f>
        <v>0</v>
      </c>
      <c r="O195" s="1083">
        <f>K195*G195</f>
        <v>0</v>
      </c>
      <c r="P195" s="1080"/>
    </row>
    <row r="196" spans="1:16" s="1081" customFormat="1" hidden="1" outlineLevel="1">
      <c r="A196" s="1199" t="str">
        <f>IF(G196&lt;&gt;0,1,"")</f>
        <v/>
      </c>
      <c r="B196" s="1067" t="s">
        <v>2138</v>
      </c>
      <c r="C196" s="1074"/>
      <c r="D196" s="1075">
        <f>VLOOKUP($B196,dongia1,DG!$B$5,)</f>
        <v>0</v>
      </c>
      <c r="E196" s="1076" t="str">
        <f>VLOOKUP($B196,dongia1,DG!$C$5,)</f>
        <v>Boulon 12x200+ 2 long đền vuông D14-50x50x3/Zn</v>
      </c>
      <c r="F196" s="1075" t="str">
        <f>VLOOKUP($B196,dongia1,DG!$D$5,)</f>
        <v>bộ</v>
      </c>
      <c r="G196" s="1074">
        <f>G194*2</f>
        <v>0</v>
      </c>
      <c r="H196" s="1062">
        <f>VLOOKUP($B196,dongia1,DG!$F$5,)</f>
        <v>13100</v>
      </c>
      <c r="I196" s="1083"/>
      <c r="J196" s="1062">
        <f>VLOOKUP($B196,dongia1,DG!$G$5,)</f>
        <v>0</v>
      </c>
      <c r="K196" s="1062">
        <f>VLOOKUP($B196,dongia1,DG!$H$5,)</f>
        <v>0</v>
      </c>
      <c r="L196" s="1174">
        <f>H196*G196</f>
        <v>0</v>
      </c>
      <c r="M196" s="1174"/>
      <c r="N196" s="1062">
        <f>VLOOKUP($B196,dongia1,DG!$G$5,)*G196</f>
        <v>0</v>
      </c>
      <c r="O196" s="1083">
        <f>K196*G196</f>
        <v>0</v>
      </c>
      <c r="P196" s="1080"/>
    </row>
    <row r="197" spans="1:16" s="1081" customFormat="1" hidden="1" outlineLevel="1">
      <c r="A197" s="1199" t="str">
        <f t="shared" si="41"/>
        <v/>
      </c>
      <c r="B197" s="1086" t="s">
        <v>111</v>
      </c>
      <c r="C197" s="1074"/>
      <c r="D197" s="1075">
        <f>VLOOKUP($B197,dongia1,DG!$B$5,)</f>
        <v>0</v>
      </c>
      <c r="E197" s="1076" t="str">
        <f>VLOOKUP($B197,dongia1,DG!$C$5,)</f>
        <v>Co  90 độ PVC 90 (loại dày)</v>
      </c>
      <c r="F197" s="1075" t="str">
        <f>VLOOKUP($B197,dongia1,DG!$D$5,)</f>
        <v>cái</v>
      </c>
      <c r="G197" s="1074">
        <f>2*G186</f>
        <v>0</v>
      </c>
      <c r="H197" s="1062">
        <f>VLOOKUP($B197,dongia1,DG!$F$5,)</f>
        <v>45400</v>
      </c>
      <c r="I197" s="1083"/>
      <c r="J197" s="1062">
        <f>VLOOKUP($B197,dongia1,DG!$G$5,)</f>
        <v>0</v>
      </c>
      <c r="K197" s="1062">
        <f>VLOOKUP($B197,dongia1,DG!$H$5,)</f>
        <v>0</v>
      </c>
      <c r="L197" s="1174">
        <f t="shared" si="31"/>
        <v>0</v>
      </c>
      <c r="M197" s="1174">
        <f t="shared" si="32"/>
        <v>0</v>
      </c>
      <c r="N197" s="1174">
        <f t="shared" si="33"/>
        <v>0</v>
      </c>
      <c r="O197" s="1083">
        <f t="shared" si="34"/>
        <v>0</v>
      </c>
      <c r="P197" s="1080"/>
    </row>
    <row r="198" spans="1:16" s="1081" customFormat="1" hidden="1" outlineLevel="1">
      <c r="A198" s="1154">
        <f>IF(G198&lt;&gt;0,1,0)</f>
        <v>0</v>
      </c>
      <c r="B198" s="1086" t="s">
        <v>1972</v>
      </c>
      <c r="C198" s="1074"/>
      <c r="D198" s="1075">
        <f>VLOOKUP($B198,dongia1,DG!$B$5,)</f>
        <v>0</v>
      </c>
      <c r="E198" s="1076" t="str">
        <f>VLOOKUP($B198,dongia1,DG!$C$5,)</f>
        <v xml:space="preserve">Nối thẳng ống PVC 90 </v>
      </c>
      <c r="F198" s="1075" t="str">
        <f>VLOOKUP($B198,dongia1,DG!$D$5,)</f>
        <v>cái</v>
      </c>
      <c r="G198" s="1074">
        <f>G186*0</f>
        <v>0</v>
      </c>
      <c r="H198" s="1062">
        <f>VLOOKUP($B198,dongia1,DG!$F$5,)</f>
        <v>12400</v>
      </c>
      <c r="I198" s="1083"/>
      <c r="J198" s="1062">
        <f>VLOOKUP($B198,dongia1,DG!$G$5,)</f>
        <v>0</v>
      </c>
      <c r="K198" s="1062">
        <f>VLOOKUP($B198,dongia1,DG!$H$5,)</f>
        <v>0</v>
      </c>
      <c r="L198" s="1174">
        <f t="shared" si="31"/>
        <v>0</v>
      </c>
      <c r="M198" s="1174">
        <f t="shared" si="32"/>
        <v>0</v>
      </c>
      <c r="N198" s="1174">
        <f t="shared" si="33"/>
        <v>0</v>
      </c>
      <c r="O198" s="1083">
        <f t="shared" si="34"/>
        <v>0</v>
      </c>
      <c r="P198" s="1080"/>
    </row>
    <row r="199" spans="1:16" s="1081" customFormat="1" hidden="1" outlineLevel="1">
      <c r="A199" s="1199" t="str">
        <f t="shared" ref="A199:A204" si="42">IF(G199&lt;&gt;0,1,"")</f>
        <v/>
      </c>
      <c r="B199" s="1086" t="s">
        <v>887</v>
      </c>
      <c r="C199" s="1074"/>
      <c r="D199" s="1075">
        <f>VLOOKUP($B199,dongia1,DG!$B$5,)</f>
        <v>0</v>
      </c>
      <c r="E199" s="1076" t="str">
        <f>VLOOKUP($B199,dongia1,DG!$C$5,)</f>
        <v>Keo dán ống PVC (100gr)</v>
      </c>
      <c r="F199" s="1075" t="str">
        <f>VLOOKUP($B199,dongia1,DG!$D$5,)</f>
        <v>tuýp</v>
      </c>
      <c r="G199" s="1074">
        <f>G186*2</f>
        <v>0</v>
      </c>
      <c r="H199" s="1062">
        <f>VLOOKUP($B199,dongia1,DG!$F$5,)</f>
        <v>11500</v>
      </c>
      <c r="I199" s="1083"/>
      <c r="J199" s="1062">
        <f>VLOOKUP($B199,dongia1,DG!$G$5,)</f>
        <v>0</v>
      </c>
      <c r="K199" s="1062">
        <f>VLOOKUP($B199,dongia1,DG!$H$5,)</f>
        <v>0</v>
      </c>
      <c r="L199" s="1174">
        <f t="shared" si="31"/>
        <v>0</v>
      </c>
      <c r="M199" s="1174">
        <f t="shared" si="32"/>
        <v>0</v>
      </c>
      <c r="N199" s="1174">
        <f t="shared" si="33"/>
        <v>0</v>
      </c>
      <c r="O199" s="1083">
        <f t="shared" si="34"/>
        <v>0</v>
      </c>
      <c r="P199" s="1080"/>
    </row>
    <row r="200" spans="1:16" s="1081" customFormat="1" hidden="1" outlineLevel="1">
      <c r="A200" s="1199" t="str">
        <f t="shared" si="42"/>
        <v/>
      </c>
      <c r="B200" s="1086" t="s">
        <v>429</v>
      </c>
      <c r="C200" s="1074"/>
      <c r="D200" s="1075">
        <f>VLOOKUP($B200,dongia1,DG!$B$5,)</f>
        <v>0</v>
      </c>
      <c r="E200" s="1076" t="str">
        <f>VLOOKUP($B200,dongia1,DG!$C$5,)</f>
        <v>Keo silicon bít miệng ống</v>
      </c>
      <c r="F200" s="1075" t="str">
        <f>VLOOKUP($B200,dongia1,DG!$D$5,)</f>
        <v>chai</v>
      </c>
      <c r="G200" s="1074">
        <f>G186</f>
        <v>0</v>
      </c>
      <c r="H200" s="1062">
        <f>VLOOKUP($B200,dongia1,DG!$F$5,)</f>
        <v>45000</v>
      </c>
      <c r="I200" s="1083"/>
      <c r="J200" s="1062">
        <f>VLOOKUP($B200,dongia1,DG!$G$5,)</f>
        <v>0</v>
      </c>
      <c r="K200" s="1062">
        <f>VLOOKUP($B200,dongia1,DG!$H$5,)</f>
        <v>0</v>
      </c>
      <c r="L200" s="1174">
        <f>H200*G200</f>
        <v>0</v>
      </c>
      <c r="M200" s="1174">
        <f>I200*G200</f>
        <v>0</v>
      </c>
      <c r="N200" s="1174">
        <f>J200*G200</f>
        <v>0</v>
      </c>
      <c r="O200" s="1083">
        <f>K200*G200</f>
        <v>0</v>
      </c>
      <c r="P200" s="1080"/>
    </row>
    <row r="201" spans="1:16" s="1081" customFormat="1" hidden="1" outlineLevel="1">
      <c r="A201" s="1199" t="str">
        <f t="shared" si="42"/>
        <v/>
      </c>
      <c r="B201" s="1067" t="s">
        <v>236</v>
      </c>
      <c r="C201" s="1074"/>
      <c r="D201" s="1075">
        <f>VLOOKUP($B201,dongia1,DG!$B$5,)</f>
        <v>0</v>
      </c>
      <c r="E201" s="1076" t="str">
        <f>VLOOKUP($B201,dongia1,DG!$C$5,)</f>
        <v>Băng keo cách điện hạ thế</v>
      </c>
      <c r="F201" s="1075" t="str">
        <f>VLOOKUP($B201,dongia1,DG!$D$5,)</f>
        <v>cuộn</v>
      </c>
      <c r="G201" s="1074">
        <f>G199</f>
        <v>0</v>
      </c>
      <c r="H201" s="1062">
        <f>VLOOKUP($B201,dongia1,DG!$F$5,)</f>
        <v>6500</v>
      </c>
      <c r="I201" s="1083"/>
      <c r="J201" s="1062">
        <f>VLOOKUP($B201,dongia1,DG!$G$5,)</f>
        <v>0</v>
      </c>
      <c r="K201" s="1062">
        <f>VLOOKUP($B201,dongia1,DG!$H$5,)</f>
        <v>0</v>
      </c>
      <c r="L201" s="1174">
        <f>H201*G201</f>
        <v>0</v>
      </c>
      <c r="M201" s="1174">
        <f>I201*G201</f>
        <v>0</v>
      </c>
      <c r="N201" s="1174">
        <f>J201*G201</f>
        <v>0</v>
      </c>
      <c r="O201" s="1083">
        <f>K201*G201</f>
        <v>0</v>
      </c>
      <c r="P201" s="1080"/>
    </row>
    <row r="202" spans="1:16" s="1081" customFormat="1" hidden="1" outlineLevel="1">
      <c r="A202" s="1199" t="str">
        <f t="shared" si="42"/>
        <v/>
      </c>
      <c r="B202" s="1086" t="s">
        <v>1194</v>
      </c>
      <c r="C202" s="1074"/>
      <c r="D202" s="1075" t="str">
        <f>VLOOKUP($B202,dongia1,DG!$B$5,)</f>
        <v>D4.1409</v>
      </c>
      <c r="E202" s="1076" t="str">
        <f>VLOOKUP($B202,dongia1,DG!$C$5,)</f>
        <v>Lắp ống nhựa PVC D90</v>
      </c>
      <c r="F202" s="1075" t="str">
        <f>VLOOKUP($B202,dongia1,DG!$D$5,)</f>
        <v>mét</v>
      </c>
      <c r="G202" s="1074">
        <f>G193</f>
        <v>0</v>
      </c>
      <c r="H202" s="1062">
        <f>VLOOKUP($B202,dongia1,DG!$F$5,)*0</f>
        <v>0</v>
      </c>
      <c r="I202" s="1083"/>
      <c r="J202" s="1062">
        <f>VLOOKUP($B202,dongia1,DG!$G$5,)</f>
        <v>55493.02</v>
      </c>
      <c r="K202" s="1062">
        <f>VLOOKUP($B202,dongia1,DG!$H$5,)</f>
        <v>0</v>
      </c>
      <c r="L202" s="1174">
        <f>H202*G202</f>
        <v>0</v>
      </c>
      <c r="M202" s="1174">
        <f>I202*G202</f>
        <v>0</v>
      </c>
      <c r="N202" s="1174">
        <f>J202*G202</f>
        <v>0</v>
      </c>
      <c r="O202" s="1083">
        <f>K202*G202</f>
        <v>0</v>
      </c>
      <c r="P202" s="1080"/>
    </row>
    <row r="203" spans="1:16" s="1081" customFormat="1" hidden="1" outlineLevel="1">
      <c r="A203" s="1199" t="str">
        <f t="shared" si="42"/>
        <v/>
      </c>
      <c r="B203" s="1067" t="s">
        <v>224</v>
      </c>
      <c r="C203" s="1074"/>
      <c r="D203" s="1075" t="str">
        <f>VLOOKUP($B203,dongia1,DG!$B$5,)</f>
        <v>T4.4201</v>
      </c>
      <c r="E203" s="1076" t="str">
        <f>VLOOKUP($B203,dongia1,DG!$C$5,)</f>
        <v>Lắp cáp đồng xuống thiết bị D ≤ 95mm2</v>
      </c>
      <c r="F203" s="1075" t="str">
        <f>VLOOKUP($B203,dongia1,DG!$D$5,)</f>
        <v>m</v>
      </c>
      <c r="G203" s="1074">
        <f>G188</f>
        <v>0</v>
      </c>
      <c r="H203" s="1062">
        <f>VLOOKUP($B203,dongia1,DG!$F$5,)</f>
        <v>0</v>
      </c>
      <c r="I203" s="1083"/>
      <c r="J203" s="1062">
        <f>VLOOKUP($B203,dongia1,DG!$G$5,)</f>
        <v>13915</v>
      </c>
      <c r="K203" s="1062">
        <f>VLOOKUP($B203,dongia1,DG!$H$5,)</f>
        <v>0</v>
      </c>
      <c r="L203" s="1174">
        <f>H203*G203</f>
        <v>0</v>
      </c>
      <c r="M203" s="1174">
        <f>I203*G203</f>
        <v>0</v>
      </c>
      <c r="N203" s="1174">
        <f>J203*G203</f>
        <v>0</v>
      </c>
      <c r="O203" s="1083">
        <f>K203*G203</f>
        <v>0</v>
      </c>
      <c r="P203" s="1080"/>
    </row>
    <row r="204" spans="1:16" s="1081" customFormat="1" hidden="1" outlineLevel="1">
      <c r="A204" s="1199" t="str">
        <f t="shared" si="42"/>
        <v/>
      </c>
      <c r="B204" s="1086" t="s">
        <v>888</v>
      </c>
      <c r="C204" s="1225">
        <f>IF(G204&gt;0,C186+1,C186)</f>
        <v>0</v>
      </c>
      <c r="D204" s="1226"/>
      <c r="E204" s="1076" t="str">
        <f>VLOOKUP($B204,dongia1,DG!$C$5,)</f>
        <v>Bảng tên trạm + bảng báo nguy hiểm</v>
      </c>
      <c r="F204" s="1075" t="str">
        <f>VLOOKUP($B204,dongia1,DG!$D$5,)</f>
        <v>cái</v>
      </c>
      <c r="G204" s="1225">
        <f>G145</f>
        <v>0</v>
      </c>
      <c r="H204" s="1062">
        <f>VLOOKUP($B204,dongia1,DG!$F$5,)</f>
        <v>300000</v>
      </c>
      <c r="I204" s="1227"/>
      <c r="J204" s="1062">
        <f>VLOOKUP($B204,dongia1,DG!$G$5,)</f>
        <v>0</v>
      </c>
      <c r="K204" s="1062">
        <f>VLOOKUP($B204,dongia1,DG!$H$5,)</f>
        <v>0</v>
      </c>
      <c r="L204" s="1228">
        <f t="shared" si="31"/>
        <v>0</v>
      </c>
      <c r="M204" s="1228">
        <f t="shared" si="32"/>
        <v>0</v>
      </c>
      <c r="N204" s="1228">
        <f t="shared" si="33"/>
        <v>0</v>
      </c>
      <c r="O204" s="1227">
        <f t="shared" si="34"/>
        <v>0</v>
      </c>
      <c r="P204" s="1229"/>
    </row>
    <row r="205" spans="1:16" s="1081" customFormat="1" hidden="1" outlineLevel="1">
      <c r="A205" s="1199" t="str">
        <f>A132</f>
        <v/>
      </c>
      <c r="B205" s="1175"/>
      <c r="C205" s="1220"/>
      <c r="D205" s="1212"/>
      <c r="E205" s="1230"/>
      <c r="F205" s="1215"/>
      <c r="G205" s="1215"/>
      <c r="H205" s="1215"/>
      <c r="I205" s="1215"/>
      <c r="J205" s="2460" t="s">
        <v>3388</v>
      </c>
      <c r="K205" s="2460"/>
      <c r="L205" s="1216">
        <f>SUM(L133:L204)</f>
        <v>0</v>
      </c>
      <c r="M205" s="1216">
        <f>SUM(M133:M204)</f>
        <v>0</v>
      </c>
      <c r="N205" s="1216">
        <f>SUM(N133:N204)</f>
        <v>0</v>
      </c>
      <c r="O205" s="1216">
        <f>SUM(O133:O204)</f>
        <v>0</v>
      </c>
      <c r="P205" s="1220"/>
    </row>
    <row r="206" spans="1:16" s="1081" customFormat="1" hidden="1">
      <c r="A206" s="1199" t="str">
        <f>IF(G211&lt;&gt;0,1,"")</f>
        <v/>
      </c>
      <c r="B206" s="1175"/>
      <c r="C206" s="1217"/>
      <c r="D206" s="1144"/>
    </row>
    <row r="207" spans="1:16" s="1081" customFormat="1" hidden="1" outlineLevel="1">
      <c r="A207" s="1154" t="str">
        <f>A206</f>
        <v/>
      </c>
      <c r="B207" s="1175"/>
      <c r="C207" s="2466" t="s">
        <v>3421</v>
      </c>
      <c r="D207" s="2466"/>
      <c r="E207" s="2466"/>
      <c r="F207" s="2466"/>
      <c r="G207" s="2466"/>
      <c r="H207" s="2466"/>
      <c r="I207" s="2466"/>
      <c r="J207" s="2466"/>
      <c r="K207" s="2466"/>
      <c r="L207" s="2466"/>
      <c r="M207" s="2466"/>
      <c r="N207" s="2466"/>
      <c r="O207" s="2466"/>
      <c r="P207" s="2466"/>
    </row>
    <row r="208" spans="1:16" s="1081" customFormat="1" hidden="1" outlineLevel="1">
      <c r="A208" s="1154" t="str">
        <f>A207</f>
        <v/>
      </c>
      <c r="B208" s="1073" t="s">
        <v>308</v>
      </c>
      <c r="C208" s="2459" t="s">
        <v>1014</v>
      </c>
      <c r="D208" s="2467" t="s">
        <v>3363</v>
      </c>
      <c r="E208" s="2457" t="s">
        <v>3364</v>
      </c>
      <c r="F208" s="2459" t="s">
        <v>3365</v>
      </c>
      <c r="G208" s="1155" t="s">
        <v>3367</v>
      </c>
      <c r="H208" s="1156" t="s">
        <v>3368</v>
      </c>
      <c r="I208" s="1157"/>
      <c r="J208" s="1157"/>
      <c r="K208" s="1158"/>
      <c r="L208" s="1156" t="s">
        <v>3372</v>
      </c>
      <c r="M208" s="1157"/>
      <c r="N208" s="1157"/>
      <c r="O208" s="1158"/>
      <c r="P208" s="2459" t="s">
        <v>3373</v>
      </c>
    </row>
    <row r="209" spans="1:18" s="1081" customFormat="1" hidden="1" outlineLevel="1">
      <c r="A209" s="1154" t="str">
        <f>A208</f>
        <v/>
      </c>
      <c r="B209" s="1073"/>
      <c r="C209" s="2459"/>
      <c r="D209" s="2468"/>
      <c r="E209" s="2458"/>
      <c r="F209" s="2459"/>
      <c r="G209" s="1160" t="s">
        <v>3366</v>
      </c>
      <c r="H209" s="1161" t="s">
        <v>393</v>
      </c>
      <c r="I209" s="1161" t="s">
        <v>3369</v>
      </c>
      <c r="J209" s="1161" t="s">
        <v>3370</v>
      </c>
      <c r="K209" s="1161" t="s">
        <v>3371</v>
      </c>
      <c r="L209" s="1161" t="s">
        <v>393</v>
      </c>
      <c r="M209" s="1161" t="s">
        <v>3369</v>
      </c>
      <c r="N209" s="1161" t="s">
        <v>3370</v>
      </c>
      <c r="O209" s="1161" t="s">
        <v>3371</v>
      </c>
      <c r="P209" s="2459"/>
    </row>
    <row r="210" spans="1:18" s="1081" customFormat="1" hidden="1" outlineLevel="1">
      <c r="A210" s="1154" t="str">
        <f>A209</f>
        <v/>
      </c>
      <c r="B210" s="1073"/>
      <c r="C210" s="1162"/>
      <c r="D210" s="1163"/>
      <c r="E210" s="1164" t="s">
        <v>3375</v>
      </c>
      <c r="F210" s="1165"/>
      <c r="G210" s="1165"/>
      <c r="H210" s="1165"/>
      <c r="I210" s="1165"/>
      <c r="J210" s="1165"/>
      <c r="K210" s="1165"/>
      <c r="L210" s="1165"/>
      <c r="M210" s="1165"/>
      <c r="N210" s="1165"/>
      <c r="O210" s="1163"/>
      <c r="P210" s="1166"/>
    </row>
    <row r="211" spans="1:18" s="1081" customFormat="1" hidden="1" outlineLevel="1">
      <c r="A211" s="1199" t="str">
        <f>IF(G211&lt;&gt;0,1,"")</f>
        <v/>
      </c>
      <c r="B211" s="1167" t="str">
        <f>IF($F$8=22,"TR371","TR37")</f>
        <v>TR371</v>
      </c>
      <c r="C211" s="1168">
        <f>IF(G211&gt;0,1,0)</f>
        <v>0</v>
      </c>
      <c r="D211" s="1075" t="str">
        <f>VLOOKUP($B211,dongia1,DG!$B$5,)</f>
        <v>T1.1432</v>
      </c>
      <c r="E211" s="1076" t="str">
        <f>VLOOKUP($B211,dongia1,DG!$C$5,)</f>
        <v>Máy biến áp 12,7/0,22-0,44kV  37,5kVA</v>
      </c>
      <c r="F211" s="1075" t="str">
        <f>VLOOKUP($B211,dongia1,DG!$D$5,)</f>
        <v>máy</v>
      </c>
      <c r="G211" s="1218">
        <f>H8</f>
        <v>0</v>
      </c>
      <c r="H211" s="1062">
        <f>VLOOKUP($B211,dongia1,DG!$E$5,)*0</f>
        <v>0</v>
      </c>
      <c r="I211" s="1062"/>
      <c r="J211" s="1062">
        <f>VLOOKUP($B211,dongia1,DG!$G$5,)</f>
        <v>630187</v>
      </c>
      <c r="K211" s="1062">
        <f>VLOOKUP($B211,dongia1,DG!$H$5,)</f>
        <v>284508</v>
      </c>
      <c r="L211" s="1174">
        <f t="shared" ref="L211:L217" si="43">H211*G211</f>
        <v>0</v>
      </c>
      <c r="M211" s="1174">
        <f t="shared" ref="M211:M216" si="44">I211*G211</f>
        <v>0</v>
      </c>
      <c r="N211" s="1174">
        <f t="shared" ref="N211:N216" si="45">J211*G211</f>
        <v>0</v>
      </c>
      <c r="O211" s="1083">
        <f t="shared" ref="O211:O216" si="46">K211*G211</f>
        <v>0</v>
      </c>
      <c r="P211" s="1219"/>
    </row>
    <row r="212" spans="1:18" s="1081" customFormat="1" hidden="1" outlineLevel="1">
      <c r="A212" s="1199" t="str">
        <f t="shared" ref="A212:A217" si="47">IF(G212&lt;&gt;0,1,"")</f>
        <v/>
      </c>
      <c r="B212" s="1167" t="str">
        <f>"FCO100-"&amp;$F$8</f>
        <v>FCO100-22</v>
      </c>
      <c r="C212" s="1168">
        <f t="shared" ref="C212:C217" si="48">IF(G212&gt;0,C211+1,C211)</f>
        <v>0</v>
      </c>
      <c r="D212" s="1075" t="str">
        <f>VLOOKUP($B212,dongia1,DG!$B$5,)</f>
        <v>T2.3501</v>
      </c>
      <c r="E212" s="1076" t="str">
        <f>VLOOKUP($B212,dongia1,DG!$C$5,)</f>
        <v>FCO 24kV - 100A</v>
      </c>
      <c r="F212" s="1075" t="str">
        <f>VLOOKUP($B212,dongia1,DG!$D$5,)</f>
        <v>cái</v>
      </c>
      <c r="G212" s="1074">
        <f>+G211</f>
        <v>0</v>
      </c>
      <c r="H212" s="1062">
        <f>VLOOKUP($B212,dongia1,DG!$E$5,)</f>
        <v>2244280</v>
      </c>
      <c r="I212" s="1062"/>
      <c r="J212" s="1062">
        <f>VLOOKUP($B212,dongia1,DG!$G$5,)</f>
        <v>222639.99999999997</v>
      </c>
      <c r="K212" s="1062">
        <f>VLOOKUP($B212,dongia1,DG!$H$5,)</f>
        <v>0</v>
      </c>
      <c r="L212" s="1174">
        <f t="shared" si="43"/>
        <v>0</v>
      </c>
      <c r="M212" s="1174">
        <f t="shared" si="44"/>
        <v>0</v>
      </c>
      <c r="N212" s="1174">
        <f t="shared" si="45"/>
        <v>0</v>
      </c>
      <c r="O212" s="1083">
        <f t="shared" si="46"/>
        <v>0</v>
      </c>
      <c r="P212" s="1080"/>
    </row>
    <row r="213" spans="1:18" s="1081" customFormat="1" hidden="1" outlineLevel="1">
      <c r="A213" s="1199" t="str">
        <f t="shared" si="47"/>
        <v/>
      </c>
      <c r="B213" s="1167" t="str">
        <f>IF($F$8=22,"CHI6K","CHI8K")</f>
        <v>CHI6K</v>
      </c>
      <c r="C213" s="1168">
        <f t="shared" si="48"/>
        <v>0</v>
      </c>
      <c r="D213" s="1075">
        <f>VLOOKUP($B213,dongia1,DG!$B$5,)</f>
        <v>0</v>
      </c>
      <c r="E213" s="1076" t="str">
        <f>VLOOKUP($B213,dongia1,DG!$C$5,)</f>
        <v>Dây chảy 6K</v>
      </c>
      <c r="F213" s="1075" t="str">
        <f>VLOOKUP($B213,dongia1,DG!$D$5,)</f>
        <v>Sợi</v>
      </c>
      <c r="G213" s="1074">
        <f>G212</f>
        <v>0</v>
      </c>
      <c r="H213" s="1062">
        <f>VLOOKUP($B213,dongia1,DG!$F$5,)</f>
        <v>84000</v>
      </c>
      <c r="I213" s="1062"/>
      <c r="J213" s="1062">
        <f>VLOOKUP($B213,dongia1,DG!$G$5,)</f>
        <v>0</v>
      </c>
      <c r="K213" s="1062">
        <f>VLOOKUP($B213,dongia1,DG!$H$5,)</f>
        <v>0</v>
      </c>
      <c r="L213" s="1174">
        <f t="shared" si="43"/>
        <v>0</v>
      </c>
      <c r="M213" s="1174">
        <f t="shared" si="44"/>
        <v>0</v>
      </c>
      <c r="N213" s="1174">
        <f t="shared" si="45"/>
        <v>0</v>
      </c>
      <c r="O213" s="1083">
        <f t="shared" si="46"/>
        <v>0</v>
      </c>
      <c r="P213" s="1080"/>
    </row>
    <row r="214" spans="1:18" s="1081" customFormat="1" hidden="1" outlineLevel="1">
      <c r="A214" s="1199" t="str">
        <f t="shared" si="47"/>
        <v/>
      </c>
      <c r="B214" s="1175" t="str">
        <f>"LA"&amp;$F$6</f>
        <v>LA18</v>
      </c>
      <c r="C214" s="1168">
        <f t="shared" si="48"/>
        <v>0</v>
      </c>
      <c r="D214" s="1075" t="str">
        <f>VLOOKUP($B214,dongia1,DG!$B$5,)</f>
        <v>T2.5004</v>
      </c>
      <c r="E214" s="1076" t="str">
        <f>VLOOKUP($B214,dongia1,DG!$C$5,)</f>
        <v>LA 18kV 10kA</v>
      </c>
      <c r="F214" s="1075" t="str">
        <f>VLOOKUP($B214,dongia1,DG!$D$5,)</f>
        <v>cái</v>
      </c>
      <c r="G214" s="1074">
        <f>G212</f>
        <v>0</v>
      </c>
      <c r="H214" s="1062">
        <f>VLOOKUP($B214,dongia1,DG!$E$5,)</f>
        <v>1106000</v>
      </c>
      <c r="I214" s="1062"/>
      <c r="J214" s="1062">
        <f>VLOOKUP($B214,dongia1,DG!$G$5,)</f>
        <v>83490</v>
      </c>
      <c r="K214" s="1062">
        <f>VLOOKUP($B214,dongia1,DG!$H$5,)</f>
        <v>0</v>
      </c>
      <c r="L214" s="1174">
        <f t="shared" si="43"/>
        <v>0</v>
      </c>
      <c r="M214" s="1174">
        <f t="shared" si="44"/>
        <v>0</v>
      </c>
      <c r="N214" s="1174">
        <f t="shared" si="45"/>
        <v>0</v>
      </c>
      <c r="O214" s="1083">
        <f t="shared" si="46"/>
        <v>0</v>
      </c>
      <c r="P214" s="1080"/>
    </row>
    <row r="215" spans="1:18" s="1081" customFormat="1" hidden="1" outlineLevel="1">
      <c r="A215" s="1199" t="str">
        <f t="shared" si="47"/>
        <v/>
      </c>
      <c r="B215" s="1176" t="s">
        <v>664</v>
      </c>
      <c r="C215" s="1168">
        <f t="shared" si="48"/>
        <v>0</v>
      </c>
      <c r="D215" s="1075">
        <f>VLOOKUP($B215,dongia1,DG!$B$5,)</f>
        <v>0</v>
      </c>
      <c r="E215" s="1076" t="str">
        <f>VLOOKUP($B215,dongia1,DG!$C$5,)</f>
        <v>MCCB 3 cực 400V-100A - 30KA</v>
      </c>
      <c r="F215" s="1075" t="str">
        <f>VLOOKUP($B215,dongia1,DG!$D$5,)</f>
        <v>cái</v>
      </c>
      <c r="G215" s="1074">
        <f>G211</f>
        <v>0</v>
      </c>
      <c r="H215" s="1062">
        <f>VLOOKUP($B215,dongia1,DG!$E$5,)</f>
        <v>1750000</v>
      </c>
      <c r="I215" s="1062"/>
      <c r="J215" s="1062">
        <f>VLOOKUP($B215,dongia1,DG!$G$5,)</f>
        <v>0</v>
      </c>
      <c r="K215" s="1062">
        <f>VLOOKUP($B215,dongia1,DG!$H$5,)</f>
        <v>0</v>
      </c>
      <c r="L215" s="1174">
        <f t="shared" si="43"/>
        <v>0</v>
      </c>
      <c r="M215" s="1174">
        <f t="shared" si="44"/>
        <v>0</v>
      </c>
      <c r="N215" s="1174">
        <f t="shared" si="45"/>
        <v>0</v>
      </c>
      <c r="O215" s="1083">
        <f t="shared" si="46"/>
        <v>0</v>
      </c>
      <c r="P215" s="1080"/>
    </row>
    <row r="216" spans="1:18" s="1081" customFormat="1" hidden="1" outlineLevel="1">
      <c r="A216" s="1199" t="str">
        <f t="shared" si="47"/>
        <v/>
      </c>
      <c r="B216" s="1205" t="s">
        <v>1374</v>
      </c>
      <c r="C216" s="1168">
        <f t="shared" si="48"/>
        <v>0</v>
      </c>
      <c r="D216" s="1075">
        <f>VLOOKUP($B216,dongia1,DG!$B$5,)</f>
        <v>0</v>
      </c>
      <c r="E216" s="1076" t="str">
        <f>VLOOKUP($B216,dongia1,DG!$C$5,)</f>
        <v>Biến dòng 600V - 100/5A</v>
      </c>
      <c r="F216" s="1075" t="str">
        <f>VLOOKUP($B216,dongia1,DG!$D$5,)</f>
        <v>cái</v>
      </c>
      <c r="G216" s="1074">
        <f>G211</f>
        <v>0</v>
      </c>
      <c r="H216" s="1062">
        <f>VLOOKUP($B216,dongia1,DG!$E$5,)</f>
        <v>0</v>
      </c>
      <c r="I216" s="1062"/>
      <c r="J216" s="1062">
        <f>VLOOKUP($B216,dongia1,DG!$G$5,)</f>
        <v>0</v>
      </c>
      <c r="K216" s="1062">
        <f>VLOOKUP($B216,dongia1,DG!$H$5,)</f>
        <v>0</v>
      </c>
      <c r="L216" s="1174">
        <f t="shared" si="43"/>
        <v>0</v>
      </c>
      <c r="M216" s="1174">
        <f t="shared" si="44"/>
        <v>0</v>
      </c>
      <c r="N216" s="1174">
        <f t="shared" si="45"/>
        <v>0</v>
      </c>
      <c r="O216" s="1083">
        <f t="shared" si="46"/>
        <v>0</v>
      </c>
      <c r="P216" s="1080"/>
    </row>
    <row r="217" spans="1:18" s="1081" customFormat="1" hidden="1" outlineLevel="1">
      <c r="A217" s="1199" t="str">
        <f t="shared" si="47"/>
        <v/>
      </c>
      <c r="B217" s="1067" t="s">
        <v>306</v>
      </c>
      <c r="C217" s="1168">
        <f t="shared" si="48"/>
        <v>0</v>
      </c>
      <c r="D217" s="1075">
        <f>VLOOKUP($B217,dongia1,DG!$B$5,)</f>
        <v>0</v>
      </c>
      <c r="E217" s="1076" t="str">
        <f>VLOOKUP($B217,dongia1,DG!$C$5,)</f>
        <v>Điện kế 1 pha 2 dây 220V-5A</v>
      </c>
      <c r="F217" s="1075" t="str">
        <f>VLOOKUP($B217,dongia1,DG!$D$5,)</f>
        <v>cái</v>
      </c>
      <c r="G217" s="1074">
        <f>G211</f>
        <v>0</v>
      </c>
      <c r="H217" s="1062">
        <f>VLOOKUP($B217,dongia1,DG!$E$5,)</f>
        <v>0</v>
      </c>
      <c r="I217" s="1062"/>
      <c r="J217" s="1062">
        <f>VLOOKUP($B217,dongia1,DG!$G$5,)</f>
        <v>0</v>
      </c>
      <c r="K217" s="1062">
        <f>VLOOKUP($B217,dongia1,DG!$H$5,)</f>
        <v>0</v>
      </c>
      <c r="L217" s="1174">
        <f t="shared" si="43"/>
        <v>0</v>
      </c>
      <c r="M217" s="1174">
        <f>I217*G217</f>
        <v>0</v>
      </c>
      <c r="N217" s="1174">
        <f>J217*G217</f>
        <v>0</v>
      </c>
      <c r="O217" s="1083">
        <f>K217*G217</f>
        <v>0</v>
      </c>
      <c r="P217" s="1080"/>
    </row>
    <row r="218" spans="1:18" s="1081" customFormat="1" hidden="1" outlineLevel="1">
      <c r="A218" s="1199" t="str">
        <f>A211</f>
        <v/>
      </c>
      <c r="B218" s="1073"/>
      <c r="C218" s="1179"/>
      <c r="D218" s="1180"/>
      <c r="E218" s="1183"/>
      <c r="F218" s="1182"/>
      <c r="G218" s="1182"/>
      <c r="H218" s="1182"/>
      <c r="I218" s="1182"/>
      <c r="J218" s="1183" t="s">
        <v>3387</v>
      </c>
      <c r="K218" s="1182"/>
      <c r="L218" s="1166">
        <f>SUM(L211:L217)</f>
        <v>0</v>
      </c>
      <c r="M218" s="1166"/>
      <c r="N218" s="1166">
        <f>SUM(N211:N217)</f>
        <v>0</v>
      </c>
      <c r="O218" s="1166">
        <f>SUM(O211:O217)</f>
        <v>0</v>
      </c>
      <c r="P218" s="1220"/>
    </row>
    <row r="219" spans="1:18" s="1081" customFormat="1" hidden="1" outlineLevel="1">
      <c r="A219" s="1199" t="str">
        <f>A218</f>
        <v/>
      </c>
      <c r="B219" s="1073"/>
      <c r="C219" s="1184"/>
      <c r="D219" s="1185"/>
      <c r="E219" s="1186" t="s">
        <v>3376</v>
      </c>
      <c r="F219" s="1186"/>
      <c r="G219" s="1186"/>
      <c r="H219" s="1186"/>
      <c r="I219" s="1186"/>
      <c r="J219" s="1186"/>
      <c r="K219" s="1186"/>
      <c r="L219" s="1186"/>
      <c r="M219" s="1186"/>
      <c r="N219" s="1186"/>
      <c r="O219" s="1185"/>
      <c r="P219" s="1220"/>
    </row>
    <row r="220" spans="1:18" s="1081" customFormat="1" hidden="1" outlineLevel="1">
      <c r="A220" s="1199" t="str">
        <f>IF(G220&lt;&gt;0,1,"")</f>
        <v/>
      </c>
      <c r="B220" s="1073" t="s">
        <v>1262</v>
      </c>
      <c r="C220" s="1187">
        <f>IF(G232&gt;0,1,0)</f>
        <v>0</v>
      </c>
      <c r="D220" s="1192"/>
      <c r="E220" s="1076" t="str">
        <f>VLOOKUP($B220,dongia1,DG!$C$5,)</f>
        <v>Boulon 16x300+ 2 long đền vuông D18-50x50x3/Zn</v>
      </c>
      <c r="F220" s="1075" t="str">
        <f>VLOOKUP($B220,dongia1,DG!$D$5,)</f>
        <v>bộ</v>
      </c>
      <c r="G220" s="1064">
        <f>2*SUM(G211:G211)</f>
        <v>0</v>
      </c>
      <c r="H220" s="1062">
        <f>VLOOKUP($B220,dongia1,DG!$F$5,)</f>
        <v>25400</v>
      </c>
      <c r="I220" s="1083"/>
      <c r="J220" s="1062">
        <f>VLOOKUP($B220,dongia1,DG!$G$5,)</f>
        <v>0</v>
      </c>
      <c r="K220" s="1062">
        <f>VLOOKUP($B220,dongia1,DG!$H$5,)</f>
        <v>0</v>
      </c>
      <c r="L220" s="1174">
        <f t="shared" ref="L220:L291" si="49">H220*G220</f>
        <v>0</v>
      </c>
      <c r="M220" s="1174">
        <f t="shared" ref="M220:M291" si="50">I220*G220</f>
        <v>0</v>
      </c>
      <c r="N220" s="1174">
        <f t="shared" ref="N220:N291" si="51">J220*G220</f>
        <v>0</v>
      </c>
      <c r="O220" s="1083">
        <f t="shared" ref="O220:O291" si="52">K220*G220</f>
        <v>0</v>
      </c>
      <c r="P220" s="1219"/>
    </row>
    <row r="221" spans="1:18" s="1081" customFormat="1" hidden="1" outlineLevel="1">
      <c r="A221" s="1199" t="str">
        <f>IF(G221&lt;&gt;0,1,"")</f>
        <v/>
      </c>
      <c r="B221" s="1073"/>
      <c r="C221" s="1191">
        <f>IF(G221&gt;0,C220+1,C220)</f>
        <v>0</v>
      </c>
      <c r="D221" s="1192"/>
      <c r="E221" s="1193" t="s">
        <v>3422</v>
      </c>
      <c r="F221" s="1064" t="s">
        <v>2113</v>
      </c>
      <c r="G221" s="1064">
        <f>G211*0</f>
        <v>0</v>
      </c>
      <c r="H221" s="1083"/>
      <c r="I221" s="1083"/>
      <c r="J221" s="1083"/>
      <c r="K221" s="1083"/>
      <c r="L221" s="1174">
        <f t="shared" si="49"/>
        <v>0</v>
      </c>
      <c r="M221" s="1174">
        <f t="shared" si="50"/>
        <v>0</v>
      </c>
      <c r="N221" s="1174">
        <f t="shared" si="51"/>
        <v>0</v>
      </c>
      <c r="O221" s="1083">
        <f t="shared" si="52"/>
        <v>0</v>
      </c>
      <c r="P221" s="1074"/>
    </row>
    <row r="222" spans="1:18" s="1081" customFormat="1" ht="14.4" hidden="1" outlineLevel="1">
      <c r="A222" s="1199" t="str">
        <f>A221</f>
        <v/>
      </c>
      <c r="B222" s="1073"/>
      <c r="C222" s="1064"/>
      <c r="D222" s="1192"/>
      <c r="E222" s="1194" t="s">
        <v>3399</v>
      </c>
      <c r="F222" s="1074"/>
      <c r="G222" s="1074"/>
      <c r="H222" s="1083"/>
      <c r="I222" s="1083"/>
      <c r="J222" s="1083"/>
      <c r="K222" s="1083"/>
      <c r="L222" s="1174">
        <f t="shared" si="49"/>
        <v>0</v>
      </c>
      <c r="M222" s="1174">
        <f t="shared" si="50"/>
        <v>0</v>
      </c>
      <c r="N222" s="1174">
        <f t="shared" si="51"/>
        <v>0</v>
      </c>
      <c r="O222" s="1083">
        <f t="shared" si="52"/>
        <v>0</v>
      </c>
      <c r="P222" s="1074"/>
      <c r="R222" s="1195"/>
    </row>
    <row r="223" spans="1:18" s="1081" customFormat="1" hidden="1" outlineLevel="1">
      <c r="A223" s="1199" t="str">
        <f>IF(G223&lt;&gt;0,1,"")</f>
        <v/>
      </c>
      <c r="B223" s="1067" t="s">
        <v>1012</v>
      </c>
      <c r="C223" s="1074"/>
      <c r="D223" s="1075">
        <f>VLOOKUP($B223,dongia1,DG!$B$5,)</f>
        <v>0</v>
      </c>
      <c r="E223" s="1076" t="str">
        <f>VLOOKUP($B223,dongia1,DG!$C$5,)</f>
        <v>Trụ BTLT 12m F350 dự ứng lực</v>
      </c>
      <c r="F223" s="1075" t="str">
        <f>VLOOKUP($B223,dongia1,DG!$D$5,)</f>
        <v>trụ</v>
      </c>
      <c r="G223" s="1074">
        <f>1*G221</f>
        <v>0</v>
      </c>
      <c r="H223" s="1062">
        <f>VLOOKUP($B223,dongia1,DG!$F$5,)</f>
        <v>4400000</v>
      </c>
      <c r="I223" s="1062"/>
      <c r="J223" s="1062">
        <f>VLOOKUP($B223,dongia1,DG!$G$5,)</f>
        <v>0</v>
      </c>
      <c r="K223" s="1062">
        <f>VLOOKUP($B223,dongia1,DG!$H$5,)</f>
        <v>0</v>
      </c>
      <c r="L223" s="1174">
        <f t="shared" si="49"/>
        <v>0</v>
      </c>
      <c r="M223" s="1174">
        <f t="shared" si="50"/>
        <v>0</v>
      </c>
      <c r="N223" s="1174">
        <f t="shared" si="51"/>
        <v>0</v>
      </c>
      <c r="O223" s="1083">
        <f t="shared" si="52"/>
        <v>0</v>
      </c>
      <c r="P223" s="1074"/>
      <c r="R223" s="1195"/>
    </row>
    <row r="224" spans="1:18" s="1081" customFormat="1" hidden="1" outlineLevel="1">
      <c r="A224" s="1199" t="str">
        <f>IF(G224&lt;&gt;0,1,"")</f>
        <v/>
      </c>
      <c r="B224" s="1067" t="s">
        <v>1457</v>
      </c>
      <c r="C224" s="1074"/>
      <c r="D224" s="1196"/>
      <c r="E224" s="1076" t="str">
        <f>VLOOKUP($B224,dongia1,DG!$C$5,)</f>
        <v>Vật liệu dựng trụ</v>
      </c>
      <c r="F224" s="1075" t="str">
        <f>VLOOKUP($B224,dongia1,DG!$D$5,)</f>
        <v>trụ</v>
      </c>
      <c r="G224" s="1074">
        <f>G223</f>
        <v>0</v>
      </c>
      <c r="H224" s="1062">
        <f>VLOOKUP($B224,dongia1,DG!$F$5,)</f>
        <v>17400</v>
      </c>
      <c r="I224" s="1062"/>
      <c r="J224" s="1062">
        <f>VLOOKUP($B224,dongia1,DG!$G$5,)</f>
        <v>0</v>
      </c>
      <c r="K224" s="1062">
        <f>VLOOKUP($B224,dongia1,DG!$H$5,)</f>
        <v>0</v>
      </c>
      <c r="L224" s="1174">
        <f t="shared" si="49"/>
        <v>0</v>
      </c>
      <c r="M224" s="1174">
        <f t="shared" si="50"/>
        <v>0</v>
      </c>
      <c r="N224" s="1174">
        <f t="shared" si="51"/>
        <v>0</v>
      </c>
      <c r="O224" s="1083">
        <f t="shared" si="52"/>
        <v>0</v>
      </c>
      <c r="P224" s="1074"/>
      <c r="R224" s="1195"/>
    </row>
    <row r="225" spans="1:18" s="1081" customFormat="1" hidden="1" outlineLevel="1">
      <c r="A225" s="1199" t="str">
        <f>IF(G225&lt;&gt;0,1,"")</f>
        <v/>
      </c>
      <c r="B225" s="1067" t="s">
        <v>1993</v>
      </c>
      <c r="C225" s="1074"/>
      <c r="D225" s="1196"/>
      <c r="E225" s="1076" t="str">
        <f>VLOOKUP($B225,dongia1,DG!$C$5,)</f>
        <v>Dựng trụ BTLT 12m trong TBA bằng thủ công + cơ giới</v>
      </c>
      <c r="F225" s="1075" t="str">
        <f>VLOOKUP($B225,dongia1,DG!$D$5,)</f>
        <v>trụ</v>
      </c>
      <c r="G225" s="1074">
        <f>G223</f>
        <v>0</v>
      </c>
      <c r="H225" s="1062">
        <f>VLOOKUP($B225,dongia1,DG!$F$5,)</f>
        <v>0</v>
      </c>
      <c r="I225" s="1062"/>
      <c r="J225" s="1062">
        <f>VLOOKUP($B225,dongia1,DG!$G$5,)</f>
        <v>112286</v>
      </c>
      <c r="K225" s="1062">
        <f>VLOOKUP($B225,dongia1,DG!$H$5,)</f>
        <v>105970</v>
      </c>
      <c r="L225" s="1174">
        <f t="shared" si="49"/>
        <v>0</v>
      </c>
      <c r="M225" s="1174">
        <f t="shared" si="50"/>
        <v>0</v>
      </c>
      <c r="N225" s="1174">
        <f t="shared" si="51"/>
        <v>0</v>
      </c>
      <c r="O225" s="1083">
        <f t="shared" si="52"/>
        <v>0</v>
      </c>
      <c r="P225" s="1074"/>
      <c r="R225" s="1195"/>
    </row>
    <row r="226" spans="1:18" s="1081" customFormat="1" hidden="1" outlineLevel="1">
      <c r="A226" s="1199" t="str">
        <f>IF(G226&lt;&gt;0,1,"")</f>
        <v/>
      </c>
      <c r="B226" s="1073"/>
      <c r="C226" s="1191">
        <f>IF(G226&gt;0,C221+1,C221)</f>
        <v>0</v>
      </c>
      <c r="D226" s="1192"/>
      <c r="E226" s="1193" t="s">
        <v>3390</v>
      </c>
      <c r="F226" s="1064" t="s">
        <v>2113</v>
      </c>
      <c r="G226" s="1064">
        <f>G221</f>
        <v>0</v>
      </c>
      <c r="H226" s="1083"/>
      <c r="I226" s="1083"/>
      <c r="J226" s="1083"/>
      <c r="K226" s="1083"/>
      <c r="L226" s="1174">
        <f t="shared" si="49"/>
        <v>0</v>
      </c>
      <c r="M226" s="1174">
        <f t="shared" si="50"/>
        <v>0</v>
      </c>
      <c r="N226" s="1174">
        <f t="shared" si="51"/>
        <v>0</v>
      </c>
      <c r="O226" s="1083">
        <f t="shared" si="52"/>
        <v>0</v>
      </c>
      <c r="P226" s="1074"/>
    </row>
    <row r="227" spans="1:18" s="1081" customFormat="1" ht="14.4" hidden="1" outlineLevel="1">
      <c r="A227" s="1199" t="str">
        <f>A226</f>
        <v/>
      </c>
      <c r="B227" s="1073"/>
      <c r="C227" s="1064"/>
      <c r="D227" s="1192"/>
      <c r="E227" s="1194" t="s">
        <v>3399</v>
      </c>
      <c r="F227" s="1074"/>
      <c r="G227" s="1074"/>
      <c r="H227" s="1083"/>
      <c r="I227" s="1083"/>
      <c r="J227" s="1083"/>
      <c r="K227" s="1083"/>
      <c r="L227" s="1174">
        <f t="shared" si="49"/>
        <v>0</v>
      </c>
      <c r="M227" s="1174">
        <f t="shared" si="50"/>
        <v>0</v>
      </c>
      <c r="N227" s="1174">
        <f t="shared" si="51"/>
        <v>0</v>
      </c>
      <c r="O227" s="1083">
        <f t="shared" si="52"/>
        <v>0</v>
      </c>
      <c r="P227" s="1074"/>
      <c r="R227" s="1195"/>
    </row>
    <row r="228" spans="1:18" s="1081" customFormat="1" hidden="1" outlineLevel="1">
      <c r="A228" s="1199" t="str">
        <f>IF(G228&lt;&gt;0,1,"")</f>
        <v/>
      </c>
      <c r="B228" s="1067" t="s">
        <v>580</v>
      </c>
      <c r="C228" s="1074"/>
      <c r="D228" s="1075" t="str">
        <f>VLOOKUP($B228,dongia1,DG!$B$5,)</f>
        <v>AG.42111</v>
      </c>
      <c r="E228" s="1076" t="str">
        <f>VLOOKUP($B228,dongia1,DG!$C$5,)</f>
        <v>Đà cản BTCT 1,2m</v>
      </c>
      <c r="F228" s="1075" t="str">
        <f>VLOOKUP($B228,dongia1,DG!$D$5,)</f>
        <v>cái</v>
      </c>
      <c r="G228" s="1074">
        <f>1*G226</f>
        <v>0</v>
      </c>
      <c r="H228" s="1062">
        <f>VLOOKUP($B228,dongia1,DG!$F$5,)</f>
        <v>354545</v>
      </c>
      <c r="I228" s="1062"/>
      <c r="J228" s="1062">
        <f>VLOOKUP($B228,dongia1,DG!$G$5,)</f>
        <v>37220.25</v>
      </c>
      <c r="K228" s="1062">
        <f>VLOOKUP($B228,dongia1,DG!$H$5,)</f>
        <v>0</v>
      </c>
      <c r="L228" s="1174">
        <f t="shared" si="49"/>
        <v>0</v>
      </c>
      <c r="M228" s="1174">
        <f t="shared" si="50"/>
        <v>0</v>
      </c>
      <c r="N228" s="1174">
        <f t="shared" si="51"/>
        <v>0</v>
      </c>
      <c r="O228" s="1083">
        <f t="shared" si="52"/>
        <v>0</v>
      </c>
      <c r="P228" s="1074"/>
      <c r="R228" s="1195"/>
    </row>
    <row r="229" spans="1:18" s="1081" customFormat="1" hidden="1" outlineLevel="1">
      <c r="A229" s="1199" t="str">
        <f>IF(G229&lt;&gt;0,1,"")</f>
        <v/>
      </c>
      <c r="B229" s="1067" t="s">
        <v>952</v>
      </c>
      <c r="C229" s="1074"/>
      <c r="D229" s="1075">
        <f>VLOOKUP($B229,dongia1,DG!$B$5,)</f>
        <v>0</v>
      </c>
      <c r="E229" s="1076" t="str">
        <f>VLOOKUP($B229,dongia1,DG!$C$5,)</f>
        <v>Boulon 22x650+ 2 long đền vuông D24-60x60x3/Zn</v>
      </c>
      <c r="F229" s="1075" t="str">
        <f>VLOOKUP($B229,dongia1,DG!$D$5,)</f>
        <v>bộ</v>
      </c>
      <c r="G229" s="1074">
        <f>G226</f>
        <v>0</v>
      </c>
      <c r="H229" s="1062">
        <f>VLOOKUP($B229,dongia1,DG!$F$5,)</f>
        <v>92200</v>
      </c>
      <c r="I229" s="1062"/>
      <c r="J229" s="1062">
        <f>VLOOKUP($B229,dongia1,DG!$G$5,)</f>
        <v>0</v>
      </c>
      <c r="K229" s="1062">
        <f>VLOOKUP($B229,dongia1,DG!$H$5,)</f>
        <v>0</v>
      </c>
      <c r="L229" s="1174">
        <f t="shared" si="49"/>
        <v>0</v>
      </c>
      <c r="M229" s="1174">
        <f t="shared" si="50"/>
        <v>0</v>
      </c>
      <c r="N229" s="1174">
        <f t="shared" si="51"/>
        <v>0</v>
      </c>
      <c r="O229" s="1083">
        <f t="shared" si="52"/>
        <v>0</v>
      </c>
      <c r="P229" s="1074"/>
      <c r="R229" s="1195"/>
    </row>
    <row r="230" spans="1:18" s="1081" customFormat="1" hidden="1" outlineLevel="1">
      <c r="A230" s="1199" t="str">
        <f>IF(G230&lt;&gt;0,1,"")</f>
        <v/>
      </c>
      <c r="B230" s="1067" t="str">
        <f>IF(capdat=1,"MDD1",IF(capdat=2,"MDD2",IF(capdat=3,"MDD3",IF(capdat=4,"MDD4"))))</f>
        <v>MDD3</v>
      </c>
      <c r="C230" s="1074"/>
      <c r="D230" s="1075" t="str">
        <f>VLOOKUP($B230,dongia1,DG!$B$5,)</f>
        <v>03.1013</v>
      </c>
      <c r="E230" s="1076" t="str">
        <f>VLOOKUP($B230,dongia1,DG!$C$5,)</f>
        <v>Đào hố móng đất cấp 3 sâu &gt;1m DT&lt;5m2</v>
      </c>
      <c r="F230" s="1075" t="str">
        <f>VLOOKUP($B230,dongia1,DG!$D$5,)</f>
        <v>m3</v>
      </c>
      <c r="G230" s="1197">
        <f>G226*1.45</f>
        <v>0</v>
      </c>
      <c r="H230" s="1062">
        <f>VLOOKUP($B230,dongia1,DG!$F$5,)</f>
        <v>0</v>
      </c>
      <c r="I230" s="1062"/>
      <c r="J230" s="1062">
        <f>VLOOKUP($B230,dongia1,DG!$G$5,)</f>
        <v>296500.89999999997</v>
      </c>
      <c r="K230" s="1062">
        <f>VLOOKUP($B230,dongia1,DG!$H$5,)</f>
        <v>0</v>
      </c>
      <c r="L230" s="1174">
        <f t="shared" si="49"/>
        <v>0</v>
      </c>
      <c r="M230" s="1174">
        <f t="shared" si="50"/>
        <v>0</v>
      </c>
      <c r="N230" s="1174">
        <f t="shared" si="51"/>
        <v>0</v>
      </c>
      <c r="O230" s="1083">
        <f t="shared" si="52"/>
        <v>0</v>
      </c>
      <c r="P230" s="1074"/>
      <c r="R230" s="1195"/>
    </row>
    <row r="231" spans="1:18" s="1081" customFormat="1" hidden="1" outlineLevel="1">
      <c r="A231" s="1199" t="str">
        <f>IF(G231&lt;&gt;0,1,"")</f>
        <v/>
      </c>
      <c r="B231" s="1067" t="str">
        <f>IF(capdat=1,"MDAP1",IF(capdat=2,"MDAP2",IF(capdat=3,"MDAP3",IF(capdat=4,"MDAP4"))))</f>
        <v>MDAP3</v>
      </c>
      <c r="C231" s="1074"/>
      <c r="D231" s="1075" t="str">
        <f>VLOOKUP($B231,dongia1,DG!$B$5,)</f>
        <v>AB.13111</v>
      </c>
      <c r="E231" s="1076" t="str">
        <f>VLOOKUP($B231,dongia1,DG!$C$5,)</f>
        <v>Đắp đất hố móng, đất cấp 3 (độ chặt k = 0.85)</v>
      </c>
      <c r="F231" s="1075" t="str">
        <f>VLOOKUP($B231,dongia1,DG!$D$5,)</f>
        <v>m3</v>
      </c>
      <c r="G231" s="1197">
        <f>G226*1.37</f>
        <v>0</v>
      </c>
      <c r="H231" s="1062">
        <f>VLOOKUP($B231,dongia1,DG!$F$5,)</f>
        <v>0</v>
      </c>
      <c r="I231" s="1062"/>
      <c r="J231" s="1062">
        <f>VLOOKUP($B231,dongia1,DG!$G$5,)</f>
        <v>117703.6</v>
      </c>
      <c r="K231" s="1062">
        <f>VLOOKUP($B231,dongia1,DG!$H$5,)</f>
        <v>0</v>
      </c>
      <c r="L231" s="1174">
        <f t="shared" si="49"/>
        <v>0</v>
      </c>
      <c r="M231" s="1174">
        <f t="shared" si="50"/>
        <v>0</v>
      </c>
      <c r="N231" s="1174">
        <f t="shared" si="51"/>
        <v>0</v>
      </c>
      <c r="O231" s="1083">
        <f t="shared" si="52"/>
        <v>0</v>
      </c>
      <c r="P231" s="1074"/>
      <c r="R231" s="1195"/>
    </row>
    <row r="232" spans="1:18" s="1081" customFormat="1" hidden="1" outlineLevel="1">
      <c r="A232" s="1199" t="str">
        <f>IF(G232&lt;&gt;0,1,"")</f>
        <v/>
      </c>
      <c r="B232" s="1073"/>
      <c r="C232" s="1191">
        <f>IF(G232&gt;0,C226+1,C226)</f>
        <v>0</v>
      </c>
      <c r="D232" s="1192"/>
      <c r="E232" s="1221" t="s">
        <v>3398</v>
      </c>
      <c r="F232" s="1064" t="s">
        <v>2113</v>
      </c>
      <c r="G232" s="1064">
        <f>SUM(G211:G211)</f>
        <v>0</v>
      </c>
      <c r="H232" s="1062"/>
      <c r="I232" s="1083"/>
      <c r="J232" s="1062"/>
      <c r="K232" s="1062"/>
      <c r="L232" s="1174">
        <f t="shared" si="49"/>
        <v>0</v>
      </c>
      <c r="M232" s="1174">
        <f t="shared" si="50"/>
        <v>0</v>
      </c>
      <c r="N232" s="1174">
        <f t="shared" si="51"/>
        <v>0</v>
      </c>
      <c r="O232" s="1083">
        <f t="shared" si="52"/>
        <v>0</v>
      </c>
      <c r="P232" s="1080"/>
    </row>
    <row r="233" spans="1:18" s="1081" customFormat="1" ht="14.4" hidden="1" outlineLevel="1">
      <c r="A233" s="1199" t="str">
        <f>A232</f>
        <v/>
      </c>
      <c r="B233" s="1073"/>
      <c r="C233" s="1064"/>
      <c r="D233" s="1192"/>
      <c r="E233" s="1222" t="s">
        <v>3399</v>
      </c>
      <c r="F233" s="1074"/>
      <c r="G233" s="1074"/>
      <c r="H233" s="1062"/>
      <c r="I233" s="1083"/>
      <c r="J233" s="1062"/>
      <c r="K233" s="1062"/>
      <c r="L233" s="1174">
        <f t="shared" si="49"/>
        <v>0</v>
      </c>
      <c r="M233" s="1174">
        <f t="shared" si="50"/>
        <v>0</v>
      </c>
      <c r="N233" s="1174">
        <f t="shared" si="51"/>
        <v>0</v>
      </c>
      <c r="O233" s="1083">
        <f t="shared" si="52"/>
        <v>0</v>
      </c>
      <c r="P233" s="1080"/>
    </row>
    <row r="234" spans="1:18" s="1081" customFormat="1" hidden="1" outlineLevel="1">
      <c r="A234" s="1199" t="str">
        <f t="shared" ref="A234:A241" si="53">IF(G234&lt;&gt;0,1,"")</f>
        <v/>
      </c>
      <c r="B234" s="1067" t="s">
        <v>2116</v>
      </c>
      <c r="C234" s="1074"/>
      <c r="D234" s="1075">
        <f>VLOOKUP($B234,dongia1,DG!$B$5,)</f>
        <v>0</v>
      </c>
      <c r="E234" s="1076" t="str">
        <f>VLOOKUP($B234,dongia1,DG!$C$5,)</f>
        <v>Đà Composite 110x80x5x800</v>
      </c>
      <c r="F234" s="1075" t="str">
        <f>VLOOKUP($B234,dongia1,DG!$D$5,)</f>
        <v>cây</v>
      </c>
      <c r="G234" s="1202">
        <f>G232*1</f>
        <v>0</v>
      </c>
      <c r="H234" s="1062">
        <f>VLOOKUP($B234,dongia1,DG!$F$5,)</f>
        <v>320000</v>
      </c>
      <c r="I234" s="1083"/>
      <c r="J234" s="1062">
        <f>VLOOKUP($B234,dongia1,DG!$G$5,)</f>
        <v>0</v>
      </c>
      <c r="K234" s="1062">
        <f>VLOOKUP($B234,dongia1,DG!$H$5,)</f>
        <v>0</v>
      </c>
      <c r="L234" s="1174">
        <f t="shared" si="49"/>
        <v>0</v>
      </c>
      <c r="M234" s="1174">
        <f>I234*G234</f>
        <v>0</v>
      </c>
      <c r="N234" s="1174">
        <f t="shared" ref="N234:N240" si="54">J234*G234</f>
        <v>0</v>
      </c>
      <c r="O234" s="1083">
        <f t="shared" si="52"/>
        <v>0</v>
      </c>
      <c r="P234" s="1080"/>
    </row>
    <row r="235" spans="1:18" s="1081" customFormat="1" hidden="1" outlineLevel="1">
      <c r="A235" s="1199" t="str">
        <f t="shared" si="53"/>
        <v/>
      </c>
      <c r="B235" s="1067" t="s">
        <v>2109</v>
      </c>
      <c r="C235" s="1074"/>
      <c r="D235" s="1075">
        <f>VLOOKUP($B235,dongia1,DG!$B$5,)</f>
        <v>0</v>
      </c>
      <c r="E235" s="1076" t="str">
        <f>VLOOKUP($B235,dongia1,DG!$C$5,)</f>
        <v>Chống Composite 40x10x710</v>
      </c>
      <c r="F235" s="1075" t="str">
        <f>VLOOKUP($B235,dongia1,DG!$D$5,)</f>
        <v>Thanh</v>
      </c>
      <c r="G235" s="1074">
        <f>G234*1</f>
        <v>0</v>
      </c>
      <c r="H235" s="1062">
        <f>VLOOKUP($B235,dongia1,DG!$F$5,)</f>
        <v>95000</v>
      </c>
      <c r="I235" s="1083"/>
      <c r="J235" s="1062">
        <f>VLOOKUP($B235,dongia1,DG!$G$5,)</f>
        <v>0</v>
      </c>
      <c r="K235" s="1062">
        <f>VLOOKUP($B235,dongia1,DG!$H$5,)</f>
        <v>0</v>
      </c>
      <c r="L235" s="1174">
        <f t="shared" si="49"/>
        <v>0</v>
      </c>
      <c r="M235" s="1174">
        <f>I235*G235</f>
        <v>0</v>
      </c>
      <c r="N235" s="1174">
        <f t="shared" si="54"/>
        <v>0</v>
      </c>
      <c r="O235" s="1083">
        <f t="shared" si="52"/>
        <v>0</v>
      </c>
      <c r="P235" s="1080"/>
    </row>
    <row r="236" spans="1:18" s="1081" customFormat="1" hidden="1" outlineLevel="1">
      <c r="A236" s="1199" t="str">
        <f t="shared" si="53"/>
        <v/>
      </c>
      <c r="B236" s="1067" t="s">
        <v>2078</v>
      </c>
      <c r="C236" s="1074"/>
      <c r="D236" s="1075">
        <f>VLOOKUP($B236,dongia1,DG!$B$5,)</f>
        <v>0</v>
      </c>
      <c r="E236" s="1076" t="str">
        <f>VLOOKUP($B236,dongia1,DG!$C$5,)</f>
        <v>Bass LL bắt FCO và LA</v>
      </c>
      <c r="F236" s="1075" t="str">
        <f>VLOOKUP($B236,dongia1,DG!$D$5,)</f>
        <v>bộ</v>
      </c>
      <c r="G236" s="1074">
        <f>G232*1</f>
        <v>0</v>
      </c>
      <c r="H236" s="1062">
        <f>VLOOKUP($B236,dongia1,DG!$F$5,)</f>
        <v>65000</v>
      </c>
      <c r="I236" s="1083"/>
      <c r="J236" s="1062">
        <f>VLOOKUP($B236,dongia1,DG!$G$5,)</f>
        <v>0</v>
      </c>
      <c r="K236" s="1062">
        <f>VLOOKUP($B236,dongia1,DG!$H$5,)</f>
        <v>0</v>
      </c>
      <c r="L236" s="1174">
        <f t="shared" si="49"/>
        <v>0</v>
      </c>
      <c r="M236" s="1174"/>
      <c r="N236" s="1174">
        <f t="shared" si="54"/>
        <v>0</v>
      </c>
      <c r="O236" s="1083">
        <f t="shared" si="52"/>
        <v>0</v>
      </c>
      <c r="P236" s="1080"/>
    </row>
    <row r="237" spans="1:18" s="1081" customFormat="1" hidden="1" outlineLevel="1">
      <c r="A237" s="1199" t="str">
        <f t="shared" si="53"/>
        <v/>
      </c>
      <c r="B237" s="1067" t="s">
        <v>2164</v>
      </c>
      <c r="C237" s="1074"/>
      <c r="D237" s="1075">
        <f>VLOOKUP($B237,dongia1,DG!$B$5,)</f>
        <v>0</v>
      </c>
      <c r="E237" s="1076" t="str">
        <f>VLOOKUP($B237,dongia1,DG!$C$5,)</f>
        <v>Nắp che đầu cực FCO</v>
      </c>
      <c r="F237" s="1075" t="str">
        <f>VLOOKUP($B237,dongia1,DG!$D$5,)</f>
        <v>cái</v>
      </c>
      <c r="G237" s="1074"/>
      <c r="H237" s="1062">
        <f>VLOOKUP($B237,dongia1,DG!$F$5,)</f>
        <v>218200</v>
      </c>
      <c r="I237" s="1083"/>
      <c r="J237" s="1062">
        <f>VLOOKUP($B237,dongia1,DG!$G$5,)</f>
        <v>0</v>
      </c>
      <c r="K237" s="1062">
        <f>VLOOKUP($B237,dongia1,DG!$H$5,)</f>
        <v>0</v>
      </c>
      <c r="L237" s="1174">
        <f t="shared" si="49"/>
        <v>0</v>
      </c>
      <c r="M237" s="1174"/>
      <c r="N237" s="1174">
        <f t="shared" si="54"/>
        <v>0</v>
      </c>
      <c r="O237" s="1083">
        <f t="shared" si="52"/>
        <v>0</v>
      </c>
      <c r="P237" s="1080"/>
    </row>
    <row r="238" spans="1:18" s="1081" customFormat="1" hidden="1" outlineLevel="1">
      <c r="A238" s="1199" t="str">
        <f t="shared" si="53"/>
        <v/>
      </c>
      <c r="B238" s="1067" t="s">
        <v>746</v>
      </c>
      <c r="C238" s="1074"/>
      <c r="D238" s="1075">
        <f>VLOOKUP($B238,dongia1,DG!$B$5,)</f>
        <v>0</v>
      </c>
      <c r="E238" s="1076" t="str">
        <f>VLOOKUP($B238,dongia1,DG!$C$5,)</f>
        <v>Boulon 16x150+ 2 long đền vuông D18-50x50x3/Zn</v>
      </c>
      <c r="F238" s="1075" t="str">
        <f>VLOOKUP($B238,dongia1,DG!$D$5,)</f>
        <v>bộ</v>
      </c>
      <c r="G238" s="1074">
        <f>1*$G$214</f>
        <v>0</v>
      </c>
      <c r="H238" s="1062">
        <f>VLOOKUP($B238,dongia1,DG!$F$5,)</f>
        <v>18900</v>
      </c>
      <c r="I238" s="1083"/>
      <c r="J238" s="1062">
        <f>VLOOKUP($B238,dongia1,DG!$G$5,)</f>
        <v>0</v>
      </c>
      <c r="K238" s="1062">
        <f>VLOOKUP($B238,dongia1,DG!$H$5,)</f>
        <v>0</v>
      </c>
      <c r="L238" s="1174">
        <f t="shared" si="49"/>
        <v>0</v>
      </c>
      <c r="M238" s="1174"/>
      <c r="N238" s="1174">
        <f t="shared" si="54"/>
        <v>0</v>
      </c>
      <c r="O238" s="1083">
        <f t="shared" si="52"/>
        <v>0</v>
      </c>
      <c r="P238" s="1080"/>
    </row>
    <row r="239" spans="1:18" s="1081" customFormat="1" hidden="1" outlineLevel="1">
      <c r="A239" s="1199" t="str">
        <f t="shared" si="53"/>
        <v/>
      </c>
      <c r="B239" s="1067" t="s">
        <v>1261</v>
      </c>
      <c r="C239" s="1074"/>
      <c r="D239" s="1075">
        <f>VLOOKUP($B239,dongia1,DG!$B$5,)</f>
        <v>0</v>
      </c>
      <c r="E239" s="1076" t="str">
        <f>VLOOKUP($B239,dongia1,DG!$C$5,)</f>
        <v>Boulon 16x250+ 2 long đền vuông D18-50x50x3/Zn</v>
      </c>
      <c r="F239" s="1075" t="str">
        <f>VLOOKUP($B239,dongia1,DG!$D$5,)</f>
        <v>bộ</v>
      </c>
      <c r="G239" s="1074">
        <f>G232</f>
        <v>0</v>
      </c>
      <c r="H239" s="1062">
        <f>VLOOKUP($B239,dongia1,DG!$F$5,)</f>
        <v>13400</v>
      </c>
      <c r="I239" s="1083"/>
      <c r="J239" s="1062">
        <f>VLOOKUP($B239,dongia1,DG!$G$5,)</f>
        <v>0</v>
      </c>
      <c r="K239" s="1062">
        <f>VLOOKUP($B239,dongia1,DG!$H$5,)</f>
        <v>0</v>
      </c>
      <c r="L239" s="1174">
        <f t="shared" si="49"/>
        <v>0</v>
      </c>
      <c r="M239" s="1174">
        <f>I239*G239</f>
        <v>0</v>
      </c>
      <c r="N239" s="1174">
        <f t="shared" si="54"/>
        <v>0</v>
      </c>
      <c r="O239" s="1083">
        <f t="shared" si="52"/>
        <v>0</v>
      </c>
      <c r="P239" s="1080"/>
    </row>
    <row r="240" spans="1:18" s="1081" customFormat="1" hidden="1" outlineLevel="1">
      <c r="A240" s="1199" t="str">
        <f t="shared" si="53"/>
        <v/>
      </c>
      <c r="B240" s="1067" t="s">
        <v>733</v>
      </c>
      <c r="C240" s="1074"/>
      <c r="D240" s="1075">
        <f>VLOOKUP($B240,dongia1,DG!$B$5,)</f>
        <v>0</v>
      </c>
      <c r="E240" s="1076" t="str">
        <f>VLOOKUP($B240,dongia1,DG!$C$5,)</f>
        <v>Boulon 16x350+ 2 long đền vuông D18-50x50x3/Zn</v>
      </c>
      <c r="F240" s="1075" t="str">
        <f>VLOOKUP($B240,dongia1,DG!$D$5,)</f>
        <v>bộ</v>
      </c>
      <c r="G240" s="1074">
        <f>1*G232</f>
        <v>0</v>
      </c>
      <c r="H240" s="1062">
        <f>VLOOKUP($B240,dongia1,DG!$F$5,)</f>
        <v>27900</v>
      </c>
      <c r="I240" s="1083"/>
      <c r="J240" s="1062">
        <f>VLOOKUP($B240,dongia1,DG!$G$5,)</f>
        <v>0</v>
      </c>
      <c r="K240" s="1062">
        <f>VLOOKUP($B240,dongia1,DG!$H$5,)</f>
        <v>0</v>
      </c>
      <c r="L240" s="1174">
        <f t="shared" si="49"/>
        <v>0</v>
      </c>
      <c r="M240" s="1174">
        <f>I240*G240</f>
        <v>0</v>
      </c>
      <c r="N240" s="1174">
        <f t="shared" si="54"/>
        <v>0</v>
      </c>
      <c r="O240" s="1083">
        <f t="shared" si="52"/>
        <v>0</v>
      </c>
      <c r="P240" s="1080"/>
    </row>
    <row r="241" spans="1:16" s="1081" customFormat="1" hidden="1" outlineLevel="1">
      <c r="A241" s="1199" t="str">
        <f t="shared" si="53"/>
        <v/>
      </c>
      <c r="B241" s="1082" t="s">
        <v>4978</v>
      </c>
      <c r="C241" s="1074"/>
      <c r="D241" s="1075" t="str">
        <f>VLOOKUP($B241,dongia1,DG!$B$5,)</f>
        <v>D2.6011</v>
      </c>
      <c r="E241" s="1076" t="str">
        <f>VLOOKUP($B241,dongia1,DG!$C$5,)</f>
        <v>Lắp xà đỡ composite dài 800mm (3kg)</v>
      </c>
      <c r="F241" s="1075" t="str">
        <f>VLOOKUP($B241,dongia1,DG!$D$5,)</f>
        <v>bộ</v>
      </c>
      <c r="G241" s="1074">
        <f>G232</f>
        <v>0</v>
      </c>
      <c r="H241" s="1062">
        <f>VLOOKUP($B241,dongia1,DG!$F$5,)</f>
        <v>0</v>
      </c>
      <c r="I241" s="1083"/>
      <c r="J241" s="1200" t="str">
        <f>VLOOKUP($B241,dongia1,DG!$G$5,)&amp;"x 1,5"</f>
        <v>20792x 1,5</v>
      </c>
      <c r="K241" s="1062">
        <f>VLOOKUP($B241,dongia1,DG!$H$5,)</f>
        <v>0</v>
      </c>
      <c r="L241" s="1174">
        <f t="shared" si="49"/>
        <v>0</v>
      </c>
      <c r="M241" s="1174">
        <f>I241*G241</f>
        <v>0</v>
      </c>
      <c r="N241" s="1201">
        <f>106640*G241*1.5</f>
        <v>0</v>
      </c>
      <c r="O241" s="1083">
        <f t="shared" si="52"/>
        <v>0</v>
      </c>
      <c r="P241" s="1080"/>
    </row>
    <row r="242" spans="1:16" s="1081" customFormat="1" hidden="1" outlineLevel="1">
      <c r="A242" s="1199" t="str">
        <f>IF(G242&lt;&gt;0,1,"")</f>
        <v/>
      </c>
      <c r="B242" s="1073"/>
      <c r="C242" s="1064">
        <f>IF(G242&gt;0,C232+1,C232)</f>
        <v>0</v>
      </c>
      <c r="D242" s="1192"/>
      <c r="E242" s="1221" t="s">
        <v>3400</v>
      </c>
      <c r="F242" s="1064" t="s">
        <v>2113</v>
      </c>
      <c r="G242" s="1064">
        <f>G232</f>
        <v>0</v>
      </c>
      <c r="H242" s="1062"/>
      <c r="I242" s="1083"/>
      <c r="J242" s="1062"/>
      <c r="K242" s="1062"/>
      <c r="L242" s="1174">
        <f t="shared" si="49"/>
        <v>0</v>
      </c>
      <c r="M242" s="1174">
        <f t="shared" si="50"/>
        <v>0</v>
      </c>
      <c r="N242" s="1174">
        <f t="shared" si="51"/>
        <v>0</v>
      </c>
      <c r="O242" s="1083">
        <f t="shared" si="52"/>
        <v>0</v>
      </c>
      <c r="P242" s="1080"/>
    </row>
    <row r="243" spans="1:16" s="1081" customFormat="1" ht="14.4" hidden="1" outlineLevel="1">
      <c r="A243" s="1199" t="str">
        <f>A242</f>
        <v/>
      </c>
      <c r="B243" s="1073"/>
      <c r="C243" s="1074"/>
      <c r="D243" s="1196"/>
      <c r="E243" s="1222" t="s">
        <v>3399</v>
      </c>
      <c r="F243" s="1074"/>
      <c r="G243" s="1074"/>
      <c r="H243" s="1062"/>
      <c r="I243" s="1083"/>
      <c r="J243" s="1062"/>
      <c r="K243" s="1062"/>
      <c r="L243" s="1174">
        <f t="shared" si="49"/>
        <v>0</v>
      </c>
      <c r="M243" s="1174">
        <f t="shared" si="50"/>
        <v>0</v>
      </c>
      <c r="N243" s="1174">
        <f t="shared" si="51"/>
        <v>0</v>
      </c>
      <c r="O243" s="1083">
        <f t="shared" si="52"/>
        <v>0</v>
      </c>
      <c r="P243" s="1080"/>
    </row>
    <row r="244" spans="1:16" s="1081" customFormat="1" hidden="1" outlineLevel="1">
      <c r="A244" s="1199" t="str">
        <f>IF(G244&lt;&gt;0,1,"")</f>
        <v/>
      </c>
      <c r="B244" s="1073" t="str">
        <f>Solieu!I57</f>
        <v>M25</v>
      </c>
      <c r="C244" s="1074"/>
      <c r="D244" s="1075">
        <f>VLOOKUP($B244,dongia1,DG!$B$5,)</f>
        <v>0</v>
      </c>
      <c r="E244" s="1076" t="str">
        <f>VLOOKUP($B244,dongia1,DG!$C$5,)&amp;" (66m)"</f>
        <v>Cáp đồng trần M25mm2 (66m)</v>
      </c>
      <c r="F244" s="1075" t="str">
        <f>VLOOKUP($B244,dongia1,DG!$D$5,)</f>
        <v>kg</v>
      </c>
      <c r="G244" s="1202">
        <f>0.224*66*G242</f>
        <v>0</v>
      </c>
      <c r="H244" s="1062">
        <f>VLOOKUP($B244,dongia1,DG!$F$5,)</f>
        <v>255500</v>
      </c>
      <c r="I244" s="1083"/>
      <c r="J244" s="1062">
        <f>VLOOKUP($B244,dongia1,DG!$G$5,)</f>
        <v>0</v>
      </c>
      <c r="K244" s="1062">
        <f>VLOOKUP($B244,dongia1,DG!$H$5,)</f>
        <v>0</v>
      </c>
      <c r="L244" s="1174">
        <f t="shared" si="49"/>
        <v>0</v>
      </c>
      <c r="M244" s="1174">
        <f t="shared" si="50"/>
        <v>0</v>
      </c>
      <c r="N244" s="1174">
        <f t="shared" si="51"/>
        <v>0</v>
      </c>
      <c r="O244" s="1083">
        <f t="shared" si="52"/>
        <v>0</v>
      </c>
      <c r="P244" s="1080"/>
    </row>
    <row r="245" spans="1:16" s="1081" customFormat="1" hidden="1" outlineLevel="1">
      <c r="A245" s="1199" t="str">
        <f t="shared" ref="A245:A254" si="55">IF(G245&lt;&gt;0,1,"")</f>
        <v/>
      </c>
      <c r="B245" s="1067" t="s">
        <v>1098</v>
      </c>
      <c r="C245" s="1074"/>
      <c r="D245" s="1075">
        <f>VLOOKUP($B245,dongia1,DG!$B$5,)</f>
        <v>0</v>
      </c>
      <c r="E245" s="1076" t="str">
        <f>VLOOKUP($B245,dongia1,DG!$C$5,)</f>
        <v>Cọc tiếp đất Þ 16- 2,4m + kẹp cọc</v>
      </c>
      <c r="F245" s="1075" t="str">
        <f>VLOOKUP($B245,dongia1,DG!$D$5,)</f>
        <v>bộ</v>
      </c>
      <c r="G245" s="1074">
        <f>$H$2*G242</f>
        <v>0</v>
      </c>
      <c r="H245" s="1062">
        <f>VLOOKUP($B245,dongia1,DG!$F$5,)</f>
        <v>160000</v>
      </c>
      <c r="I245" s="1083"/>
      <c r="J245" s="1062">
        <f>VLOOKUP($B245,dongia1,DG!$G$5,)</f>
        <v>0</v>
      </c>
      <c r="K245" s="1062">
        <f>VLOOKUP($B245,dongia1,DG!$H$5,)</f>
        <v>0</v>
      </c>
      <c r="L245" s="1174">
        <f t="shared" si="49"/>
        <v>0</v>
      </c>
      <c r="M245" s="1174">
        <f t="shared" si="50"/>
        <v>0</v>
      </c>
      <c r="N245" s="1174">
        <f t="shared" si="51"/>
        <v>0</v>
      </c>
      <c r="O245" s="1083">
        <f t="shared" si="52"/>
        <v>0</v>
      </c>
      <c r="P245" s="1080"/>
    </row>
    <row r="246" spans="1:16" s="1081" customFormat="1" hidden="1" outlineLevel="1">
      <c r="A246" s="1199" t="str">
        <f t="shared" si="55"/>
        <v/>
      </c>
      <c r="B246" s="1067" t="s">
        <v>2040</v>
      </c>
      <c r="C246" s="1074"/>
      <c r="D246" s="1075">
        <f>VLOOKUP($B246,dongia1,DG!$B$5,)</f>
        <v>0</v>
      </c>
      <c r="E246" s="1076" t="str">
        <f>VLOOKUP($B246,dongia1,DG!$C$5,)</f>
        <v xml:space="preserve">Ống PVC D21x1,6mm </v>
      </c>
      <c r="F246" s="1075" t="str">
        <f>VLOOKUP($B246,dongia1,DG!$D$5,)</f>
        <v>m</v>
      </c>
      <c r="G246" s="1074">
        <f>6*G242</f>
        <v>0</v>
      </c>
      <c r="H246" s="1062">
        <f>VLOOKUP($B246,dongia1,DG!$F$5,)</f>
        <v>6200</v>
      </c>
      <c r="I246" s="1083"/>
      <c r="J246" s="1062">
        <f>VLOOKUP($B246,dongia1,DG!$G$5,)</f>
        <v>0</v>
      </c>
      <c r="K246" s="1062">
        <f>VLOOKUP($B246,dongia1,DG!$H$5,)</f>
        <v>0</v>
      </c>
      <c r="L246" s="1174">
        <f t="shared" si="49"/>
        <v>0</v>
      </c>
      <c r="M246" s="1174">
        <f t="shared" si="50"/>
        <v>0</v>
      </c>
      <c r="N246" s="1174">
        <f t="shared" si="51"/>
        <v>0</v>
      </c>
      <c r="O246" s="1083">
        <f t="shared" si="52"/>
        <v>0</v>
      </c>
      <c r="P246" s="1080"/>
    </row>
    <row r="247" spans="1:16" s="1081" customFormat="1" hidden="1" outlineLevel="1">
      <c r="A247" s="1199" t="str">
        <f t="shared" si="55"/>
        <v/>
      </c>
      <c r="B247" s="1086" t="s">
        <v>75</v>
      </c>
      <c r="C247" s="1074"/>
      <c r="D247" s="1075">
        <f>VLOOKUP($B247,dongia1,DG!$B$5,)</f>
        <v>0</v>
      </c>
      <c r="E247" s="1076" t="str">
        <f>VLOOKUP($B247,dongia1,DG!$C$5,)</f>
        <v>Kẹp ép WR cỡ dây 50mm2</v>
      </c>
      <c r="F247" s="1075" t="str">
        <f>VLOOKUP($B247,dongia1,DG!$D$5,)</f>
        <v>cái</v>
      </c>
      <c r="G247" s="1074">
        <f>2*G242</f>
        <v>0</v>
      </c>
      <c r="H247" s="1062">
        <f>VLOOKUP($B247,dongia1,DG!$F$5,)</f>
        <v>8000</v>
      </c>
      <c r="I247" s="1062"/>
      <c r="J247" s="1062">
        <f>VLOOKUP($B247,dongia1,DG!$G$5,)</f>
        <v>0</v>
      </c>
      <c r="K247" s="1062">
        <f>VLOOKUP($B247,dongia1,DG!$H$5,)</f>
        <v>0</v>
      </c>
      <c r="L247" s="1174">
        <f t="shared" si="49"/>
        <v>0</v>
      </c>
      <c r="M247" s="1174">
        <f t="shared" si="50"/>
        <v>0</v>
      </c>
      <c r="N247" s="1174">
        <f t="shared" si="51"/>
        <v>0</v>
      </c>
      <c r="O247" s="1083">
        <f t="shared" si="52"/>
        <v>0</v>
      </c>
      <c r="P247" s="1080"/>
    </row>
    <row r="248" spans="1:16" s="1081" customFormat="1" hidden="1" outlineLevel="1">
      <c r="A248" s="1199" t="str">
        <f t="shared" si="55"/>
        <v/>
      </c>
      <c r="B248" s="1086" t="s">
        <v>913</v>
      </c>
      <c r="C248" s="1074"/>
      <c r="D248" s="1075">
        <f>VLOOKUP($B248,dongia1,DG!$B$5,)</f>
        <v>0</v>
      </c>
      <c r="E248" s="1076" t="str">
        <f>VLOOKUP($B248,dongia1,DG!$C$5,)</f>
        <v>Kẹp ép cỡ dây 25mm2</v>
      </c>
      <c r="F248" s="1075" t="str">
        <f>VLOOKUP($B248,dongia1,DG!$D$5,)</f>
        <v>cái</v>
      </c>
      <c r="G248" s="1074">
        <f>12*G242</f>
        <v>0</v>
      </c>
      <c r="H248" s="1062">
        <f>VLOOKUP($B248,dongia1,DG!$F$5,)</f>
        <v>6000</v>
      </c>
      <c r="I248" s="1062"/>
      <c r="J248" s="1062">
        <f>VLOOKUP($B248,dongia1,DG!$G$5,)</f>
        <v>0</v>
      </c>
      <c r="K248" s="1062">
        <f>VLOOKUP($B248,dongia1,DG!$H$5,)</f>
        <v>0</v>
      </c>
      <c r="L248" s="1174">
        <f t="shared" si="49"/>
        <v>0</v>
      </c>
      <c r="M248" s="1174">
        <f t="shared" si="50"/>
        <v>0</v>
      </c>
      <c r="N248" s="1174">
        <f t="shared" si="51"/>
        <v>0</v>
      </c>
      <c r="O248" s="1083">
        <f t="shared" si="52"/>
        <v>0</v>
      </c>
      <c r="P248" s="1080"/>
    </row>
    <row r="249" spans="1:16" s="1081" customFormat="1" hidden="1" outlineLevel="1">
      <c r="A249" s="1199" t="str">
        <f t="shared" si="55"/>
        <v/>
      </c>
      <c r="B249" s="1067" t="s">
        <v>1490</v>
      </c>
      <c r="C249" s="1074"/>
      <c r="D249" s="1075">
        <f>VLOOKUP($B249,dongia1,DG!$B$5,)</f>
        <v>0</v>
      </c>
      <c r="E249" s="1076" t="str">
        <f>VLOOKUP($B249,dongia1,DG!$C$5,)</f>
        <v>Cổ dê kẹp ống PVC (STK) Þ 21</v>
      </c>
      <c r="F249" s="1075" t="str">
        <f>VLOOKUP($B249,dongia1,DG!$D$5,)</f>
        <v>bộ</v>
      </c>
      <c r="G249" s="1074">
        <f>3*G242</f>
        <v>0</v>
      </c>
      <c r="H249" s="1062">
        <f>VLOOKUP($B249,dongia1,DG!$F$5,)</f>
        <v>43000</v>
      </c>
      <c r="I249" s="1083"/>
      <c r="J249" s="1062">
        <f>VLOOKUP($B249,dongia1,DG!$G$5,)</f>
        <v>0</v>
      </c>
      <c r="K249" s="1062">
        <f>VLOOKUP($B249,dongia1,DG!$H$5,)</f>
        <v>0</v>
      </c>
      <c r="L249" s="1174">
        <f t="shared" si="49"/>
        <v>0</v>
      </c>
      <c r="M249" s="1174">
        <f t="shared" si="50"/>
        <v>0</v>
      </c>
      <c r="N249" s="1174">
        <f t="shared" si="51"/>
        <v>0</v>
      </c>
      <c r="O249" s="1083">
        <f t="shared" si="52"/>
        <v>0</v>
      </c>
      <c r="P249" s="1080"/>
    </row>
    <row r="250" spans="1:16" s="1081" customFormat="1" hidden="1" outlineLevel="1">
      <c r="A250" s="1199" t="str">
        <f t="shared" si="55"/>
        <v/>
      </c>
      <c r="B250" s="1086" t="s">
        <v>1195</v>
      </c>
      <c r="C250" s="1074"/>
      <c r="D250" s="1075" t="str">
        <f>VLOOKUP($B250,dongia1,DG!$B$5,)</f>
        <v>T4.7001</v>
      </c>
      <c r="E250" s="1076" t="str">
        <f>VLOOKUP($B250,dongia1,DG!$C$5,)</f>
        <v>Kéo dây tiếp địa TBA</v>
      </c>
      <c r="F250" s="1075" t="str">
        <f>VLOOKUP($B250,dongia1,DG!$D$5,)</f>
        <v>mét</v>
      </c>
      <c r="G250" s="1074">
        <f>G244/0.224</f>
        <v>0</v>
      </c>
      <c r="H250" s="1062">
        <f>VLOOKUP($B250,dongia1,DG!$F$5,)</f>
        <v>0</v>
      </c>
      <c r="I250" s="1062"/>
      <c r="J250" s="1062">
        <f>VLOOKUP($B250,dongia1,DG!$G$5,)</f>
        <v>8070.7000000000007</v>
      </c>
      <c r="K250" s="1062">
        <f>VLOOKUP($B250,dongia1,DG!$H$5,)</f>
        <v>2044.9974999999999</v>
      </c>
      <c r="L250" s="1174">
        <f>H250*G250</f>
        <v>0</v>
      </c>
      <c r="M250" s="1174">
        <f>I250*G250</f>
        <v>0</v>
      </c>
      <c r="N250" s="1174">
        <f>J250*G250</f>
        <v>0</v>
      </c>
      <c r="O250" s="1083">
        <f>K250*G250</f>
        <v>0</v>
      </c>
      <c r="P250" s="1080"/>
    </row>
    <row r="251" spans="1:16" s="1081" customFormat="1" hidden="1" outlineLevel="1">
      <c r="A251" s="1199" t="str">
        <f t="shared" si="55"/>
        <v/>
      </c>
      <c r="B251" s="1067" t="s">
        <v>985</v>
      </c>
      <c r="C251" s="1074"/>
      <c r="D251" s="1075" t="str">
        <f>VLOOKUP($B251,dongia1,DG!$B$5,)</f>
        <v>D2.8103</v>
      </c>
      <c r="E251" s="1076" t="str">
        <f>VLOOKUP($B251,dongia1,DG!$C$5,)</f>
        <v>Đóng cọc tiếp địa đất cấp 3 dài 2,5m</v>
      </c>
      <c r="F251" s="1075" t="str">
        <f>VLOOKUP($B251,dongia1,DG!$D$5,)</f>
        <v>cọc</v>
      </c>
      <c r="G251" s="1074">
        <f>G245</f>
        <v>0</v>
      </c>
      <c r="H251" s="1062">
        <f>VLOOKUP($B251,dongia1,DG!$F$5,)</f>
        <v>0</v>
      </c>
      <c r="I251" s="1083"/>
      <c r="J251" s="1062" t="str">
        <f>VLOOKUP($B251,dongia1,DG!$G$5,)&amp;" x1,7"</f>
        <v>90355,896 x1,7</v>
      </c>
      <c r="K251" s="1062">
        <f>VLOOKUP($B251,dongia1,DG!$H$5,)</f>
        <v>1573.075</v>
      </c>
      <c r="L251" s="1174">
        <f>H251*G251</f>
        <v>0</v>
      </c>
      <c r="M251" s="1174">
        <f>I251*G251</f>
        <v>0</v>
      </c>
      <c r="N251" s="1062">
        <f>VLOOKUP($B251,dongia1,DG!$G$5,)*G251*1.7</f>
        <v>0</v>
      </c>
      <c r="O251" s="1083">
        <f>K251*G251</f>
        <v>0</v>
      </c>
      <c r="P251" s="1080"/>
    </row>
    <row r="252" spans="1:16" s="1081" customFormat="1" hidden="1" outlineLevel="1">
      <c r="A252" s="1199" t="str">
        <f t="shared" si="55"/>
        <v/>
      </c>
      <c r="B252" s="1086" t="str">
        <f>"dtd"&amp;capdat</f>
        <v>dtd3</v>
      </c>
      <c r="C252" s="1074"/>
      <c r="D252" s="1075" t="str">
        <f>VLOOKUP($B252,dongia1,DG!$B$5,)</f>
        <v>AB.11513</v>
      </c>
      <c r="E252" s="1076" t="str">
        <f>VLOOKUP($B252,dongia1,DG!$C$5,)</f>
        <v>Đào rãnh tiếp địa đất cấp 3</v>
      </c>
      <c r="F252" s="1075" t="str">
        <f>VLOOKUP($B252,dongia1,DG!$D$5,)</f>
        <v>m3</v>
      </c>
      <c r="G252" s="1197">
        <f>0.3*0.5*G242*48</f>
        <v>0</v>
      </c>
      <c r="H252" s="1062">
        <f>VLOOKUP($B252,dongia1,DG!$F$5,)</f>
        <v>0</v>
      </c>
      <c r="I252" s="1062"/>
      <c r="J252" s="1062">
        <f>VLOOKUP($B252,dongia1,DG!$G$5,)</f>
        <v>283749.75</v>
      </c>
      <c r="K252" s="1062">
        <f>VLOOKUP($B252,dongia1,DG!$H$5,)</f>
        <v>0</v>
      </c>
      <c r="L252" s="1174">
        <f>H252*G252</f>
        <v>0</v>
      </c>
      <c r="M252" s="1174">
        <f>I252*G252</f>
        <v>0</v>
      </c>
      <c r="N252" s="1174">
        <f>J252*G252</f>
        <v>0</v>
      </c>
      <c r="O252" s="1083">
        <f>K252*G252</f>
        <v>0</v>
      </c>
      <c r="P252" s="1080"/>
    </row>
    <row r="253" spans="1:16" s="1081" customFormat="1" hidden="1" outlineLevel="1">
      <c r="A253" s="1199" t="str">
        <f t="shared" si="55"/>
        <v/>
      </c>
      <c r="B253" s="1067" t="s">
        <v>975</v>
      </c>
      <c r="C253" s="1074"/>
      <c r="D253" s="1075" t="str">
        <f>VLOOKUP($B253,dongia1,DG!$B$5,)</f>
        <v>AB.13111</v>
      </c>
      <c r="E253" s="1076" t="str">
        <f>VLOOKUP($B253,dongia1,DG!$C$5,)</f>
        <v>Đắp đất rãnh tiếp địa cấp 3 (độ chặt k = 0.85)</v>
      </c>
      <c r="F253" s="1075" t="str">
        <f>VLOOKUP($B253,dongia1,DG!$D$5,)</f>
        <v>m3</v>
      </c>
      <c r="G253" s="1197">
        <f>G252</f>
        <v>0</v>
      </c>
      <c r="H253" s="1062">
        <f>VLOOKUP($B253,dongia1,DG!$F$5,)</f>
        <v>0</v>
      </c>
      <c r="I253" s="1083"/>
      <c r="J253" s="1062">
        <f>VLOOKUP($B253,dongia1,DG!$G$5,)</f>
        <v>117703.6</v>
      </c>
      <c r="K253" s="1062">
        <f>VLOOKUP($B253,dongia1,DG!$H$5,)</f>
        <v>0</v>
      </c>
      <c r="L253" s="1174">
        <f>H253*G253</f>
        <v>0</v>
      </c>
      <c r="M253" s="1174">
        <f>I253*G253</f>
        <v>0</v>
      </c>
      <c r="N253" s="1174">
        <f>J253*G253</f>
        <v>0</v>
      </c>
      <c r="O253" s="1083">
        <f>K253*G253</f>
        <v>0</v>
      </c>
      <c r="P253" s="1080"/>
    </row>
    <row r="254" spans="1:16" s="1081" customFormat="1" hidden="1" outlineLevel="1">
      <c r="A254" s="1199" t="str">
        <f t="shared" si="55"/>
        <v/>
      </c>
      <c r="B254" s="1086"/>
      <c r="C254" s="1064">
        <f>IF(G254&gt;0,C242+1,C242)</f>
        <v>0</v>
      </c>
      <c r="D254" s="1075"/>
      <c r="E254" s="1204" t="s">
        <v>3382</v>
      </c>
      <c r="F254" s="1064" t="s">
        <v>2113</v>
      </c>
      <c r="G254" s="1064">
        <f>G232</f>
        <v>0</v>
      </c>
      <c r="H254" s="1062"/>
      <c r="I254" s="1083"/>
      <c r="J254" s="1062"/>
      <c r="K254" s="1062"/>
      <c r="L254" s="1174">
        <f t="shared" si="49"/>
        <v>0</v>
      </c>
      <c r="M254" s="1174">
        <f t="shared" si="50"/>
        <v>0</v>
      </c>
      <c r="N254" s="1174">
        <f t="shared" si="51"/>
        <v>0</v>
      </c>
      <c r="O254" s="1083">
        <f t="shared" si="52"/>
        <v>0</v>
      </c>
      <c r="P254" s="1080"/>
    </row>
    <row r="255" spans="1:16" s="1081" customFormat="1" ht="14.4" hidden="1" outlineLevel="1">
      <c r="A255" s="1199" t="str">
        <f>A254</f>
        <v/>
      </c>
      <c r="B255" s="1086"/>
      <c r="C255" s="1064"/>
      <c r="D255" s="1075"/>
      <c r="E255" s="1222" t="s">
        <v>3399</v>
      </c>
      <c r="F255" s="1074"/>
      <c r="G255" s="1074"/>
      <c r="H255" s="1062"/>
      <c r="I255" s="1083"/>
      <c r="J255" s="1062"/>
      <c r="K255" s="1062"/>
      <c r="L255" s="1174">
        <f t="shared" si="49"/>
        <v>0</v>
      </c>
      <c r="M255" s="1174">
        <f t="shared" si="50"/>
        <v>0</v>
      </c>
      <c r="N255" s="1174">
        <f t="shared" si="51"/>
        <v>0</v>
      </c>
      <c r="O255" s="1083">
        <f t="shared" si="52"/>
        <v>0</v>
      </c>
      <c r="P255" s="1080"/>
    </row>
    <row r="256" spans="1:16" s="1081" customFormat="1" hidden="1" outlineLevel="1">
      <c r="A256" s="1199" t="str">
        <f>IF(G256&lt;&gt;0,1,"")</f>
        <v/>
      </c>
      <c r="B256" s="1231" t="s">
        <v>1655</v>
      </c>
      <c r="C256" s="1074"/>
      <c r="D256" s="1075" t="str">
        <f>VLOOKUP($B256,dongia1,DG!$B$5,)</f>
        <v>T5.1001</v>
      </c>
      <c r="E256" s="1076" t="str">
        <f>VLOOKUP($B256,dongia1,DG!$C$5,)</f>
        <v>Tủ MCCB trạm treo 1 pha</v>
      </c>
      <c r="F256" s="1075" t="str">
        <f>VLOOKUP($B256,dongia1,DG!$D$5,)</f>
        <v>cái</v>
      </c>
      <c r="G256" s="1074">
        <f>G254</f>
        <v>0</v>
      </c>
      <c r="H256" s="1062">
        <f>VLOOKUP($B256,dongia1,DG!$F$5,)</f>
        <v>2971168</v>
      </c>
      <c r="I256" s="1062"/>
      <c r="J256" s="1062">
        <f>VLOOKUP($B256,dongia1,DG!$G$5,)</f>
        <v>599038</v>
      </c>
      <c r="K256" s="1062">
        <f>VLOOKUP($B256,dongia1,DG!$H$5,)</f>
        <v>97369</v>
      </c>
      <c r="L256" s="1174">
        <f t="shared" si="49"/>
        <v>0</v>
      </c>
      <c r="M256" s="1174">
        <f t="shared" si="50"/>
        <v>0</v>
      </c>
      <c r="N256" s="1174">
        <f t="shared" si="51"/>
        <v>0</v>
      </c>
      <c r="O256" s="1083">
        <f t="shared" si="52"/>
        <v>0</v>
      </c>
      <c r="P256" s="1080"/>
    </row>
    <row r="257" spans="1:16" s="1081" customFormat="1" hidden="1" outlineLevel="1">
      <c r="A257" s="1199" t="str">
        <f>IF(G257&lt;&gt;0,1,"")</f>
        <v/>
      </c>
      <c r="B257" s="1086" t="s">
        <v>1559</v>
      </c>
      <c r="C257" s="1074"/>
      <c r="D257" s="1075">
        <f>VLOOKUP($B257,dongia1,DG!$B$5,)</f>
        <v>0</v>
      </c>
      <c r="E257" s="1076" t="str">
        <f>VLOOKUP($B257,dongia1,DG!$C$5,)</f>
        <v>Cổ dê bắt tủ</v>
      </c>
      <c r="F257" s="1075" t="str">
        <f>VLOOKUP($B257,dongia1,DG!$D$5,)</f>
        <v>bộ</v>
      </c>
      <c r="G257" s="1074"/>
      <c r="H257" s="1062">
        <f>VLOOKUP($B257,dongia1,DG!$F$5,)</f>
        <v>168000</v>
      </c>
      <c r="I257" s="1083"/>
      <c r="J257" s="1062">
        <f>VLOOKUP($B257,dongia1,DG!$G$5,)</f>
        <v>0</v>
      </c>
      <c r="K257" s="1062">
        <f>VLOOKUP($B257,dongia1,DG!$H$5,)</f>
        <v>0</v>
      </c>
      <c r="L257" s="1174">
        <f t="shared" si="49"/>
        <v>0</v>
      </c>
      <c r="M257" s="1174">
        <f t="shared" si="50"/>
        <v>0</v>
      </c>
      <c r="N257" s="1174">
        <f t="shared" si="51"/>
        <v>0</v>
      </c>
      <c r="O257" s="1083">
        <f t="shared" si="52"/>
        <v>0</v>
      </c>
      <c r="P257" s="1080"/>
    </row>
    <row r="258" spans="1:16" s="1081" customFormat="1" hidden="1" outlineLevel="1">
      <c r="A258" s="1199" t="str">
        <f>IF(G258&lt;&gt;0,1,"")</f>
        <v/>
      </c>
      <c r="B258" s="1086" t="s">
        <v>1560</v>
      </c>
      <c r="C258" s="1074"/>
      <c r="D258" s="1075">
        <f>VLOOKUP($B258,dongia1,DG!$B$5,)</f>
        <v>0</v>
      </c>
      <c r="E258" s="1076" t="str">
        <f>VLOOKUP($B258,dongia1,DG!$C$5,)</f>
        <v xml:space="preserve">Bakelit 500x300 dầy 10mm </v>
      </c>
      <c r="F258" s="1075" t="str">
        <f>VLOOKUP($B258,dongia1,DG!$D$5,)</f>
        <v>cái</v>
      </c>
      <c r="G258" s="1074"/>
      <c r="H258" s="1062">
        <f>VLOOKUP($B258,dongia1,DG!$F$5,)</f>
        <v>284000</v>
      </c>
      <c r="I258" s="1083"/>
      <c r="J258" s="1062">
        <f>VLOOKUP($B258,dongia1,DG!$G$5,)</f>
        <v>5404</v>
      </c>
      <c r="K258" s="1062">
        <f>VLOOKUP($B258,dongia1,DG!$H$5,)</f>
        <v>0</v>
      </c>
      <c r="L258" s="1174">
        <f t="shared" si="49"/>
        <v>0</v>
      </c>
      <c r="M258" s="1174">
        <f t="shared" si="50"/>
        <v>0</v>
      </c>
      <c r="N258" s="1174">
        <f t="shared" si="51"/>
        <v>0</v>
      </c>
      <c r="O258" s="1083">
        <f t="shared" si="52"/>
        <v>0</v>
      </c>
      <c r="P258" s="1080"/>
    </row>
    <row r="259" spans="1:16" s="1081" customFormat="1" hidden="1" outlineLevel="1">
      <c r="A259" s="1199" t="str">
        <f>IF(G259&lt;&gt;0,1,"")</f>
        <v/>
      </c>
      <c r="B259" s="1086"/>
      <c r="C259" s="1064">
        <f>IF(G259&gt;0,C254+1,C254)</f>
        <v>0</v>
      </c>
      <c r="D259" s="1075"/>
      <c r="E259" s="1221" t="s">
        <v>3411</v>
      </c>
      <c r="F259" s="1064" t="s">
        <v>2113</v>
      </c>
      <c r="G259" s="1064">
        <f>G254</f>
        <v>0</v>
      </c>
      <c r="H259" s="1062"/>
      <c r="I259" s="1083"/>
      <c r="J259" s="1062"/>
      <c r="K259" s="1062"/>
      <c r="L259" s="1174">
        <f t="shared" si="49"/>
        <v>0</v>
      </c>
      <c r="M259" s="1174">
        <f t="shared" si="50"/>
        <v>0</v>
      </c>
      <c r="N259" s="1174">
        <f t="shared" si="51"/>
        <v>0</v>
      </c>
      <c r="O259" s="1083">
        <f t="shared" si="52"/>
        <v>0</v>
      </c>
      <c r="P259" s="1080"/>
    </row>
    <row r="260" spans="1:16" s="1081" customFormat="1" ht="14.4" hidden="1" outlineLevel="1">
      <c r="A260" s="1199" t="str">
        <f>A259</f>
        <v/>
      </c>
      <c r="B260" s="1086"/>
      <c r="C260" s="1064"/>
      <c r="D260" s="1075"/>
      <c r="E260" s="1222" t="s">
        <v>3399</v>
      </c>
      <c r="F260" s="1074"/>
      <c r="G260" s="1074"/>
      <c r="H260" s="1062"/>
      <c r="I260" s="1083"/>
      <c r="J260" s="1062"/>
      <c r="K260" s="1062"/>
      <c r="L260" s="1174">
        <f t="shared" si="49"/>
        <v>0</v>
      </c>
      <c r="M260" s="1174">
        <f t="shared" si="50"/>
        <v>0</v>
      </c>
      <c r="N260" s="1174">
        <f t="shared" si="51"/>
        <v>0</v>
      </c>
      <c r="O260" s="1083">
        <f t="shared" si="52"/>
        <v>0</v>
      </c>
      <c r="P260" s="1080"/>
    </row>
    <row r="261" spans="1:16" s="1081" customFormat="1" hidden="1" outlineLevel="1">
      <c r="A261" s="1199" t="str">
        <f t="shared" ref="A261:A269" si="56">IF(G261&lt;&gt;0,1,"")</f>
        <v/>
      </c>
      <c r="B261" s="1205" t="str">
        <f>Solieu!J57</f>
        <v>XLPE25</v>
      </c>
      <c r="C261" s="1074"/>
      <c r="D261" s="1075">
        <f>VLOOKUP($B261,dongia1,DG!$B$5,)</f>
        <v>0</v>
      </c>
      <c r="E261" s="1076" t="str">
        <f>VLOOKUP($B261,dongia1,DG!$C$5,)</f>
        <v>Cáp 24KV C/XLPE/PVC- 25mm2</v>
      </c>
      <c r="F261" s="1075" t="str">
        <f>VLOOKUP($B261,dongia1,DG!$D$5,)</f>
        <v>mét</v>
      </c>
      <c r="G261" s="1074">
        <f>3*G259</f>
        <v>0</v>
      </c>
      <c r="H261" s="1062">
        <f>VLOOKUP($B261,dongia1,DG!$F$5,)</f>
        <v>50996</v>
      </c>
      <c r="I261" s="1062"/>
      <c r="J261" s="1062">
        <f>VLOOKUP($B261,dongia1,DG!$G$5,)</f>
        <v>0</v>
      </c>
      <c r="K261" s="1062">
        <f>VLOOKUP($B261,dongia1,DG!$H$5,)</f>
        <v>0</v>
      </c>
      <c r="L261" s="1174">
        <f t="shared" si="49"/>
        <v>0</v>
      </c>
      <c r="M261" s="1174">
        <f t="shared" si="50"/>
        <v>0</v>
      </c>
      <c r="N261" s="1174">
        <f t="shared" si="51"/>
        <v>0</v>
      </c>
      <c r="O261" s="1083">
        <f t="shared" si="52"/>
        <v>0</v>
      </c>
      <c r="P261" s="1080"/>
    </row>
    <row r="262" spans="1:16" s="1081" customFormat="1" hidden="1" outlineLevel="1">
      <c r="A262" s="1199" t="str">
        <f t="shared" si="56"/>
        <v/>
      </c>
      <c r="B262" s="1067" t="s">
        <v>2164</v>
      </c>
      <c r="C262" s="1074"/>
      <c r="D262" s="1075">
        <f>VLOOKUP($B262,dongia1,DG!$B$5,)</f>
        <v>0</v>
      </c>
      <c r="E262" s="1076" t="str">
        <f>VLOOKUP($B262,dongia1,DG!$C$5,)</f>
        <v>Nắp che đầu cực FCO</v>
      </c>
      <c r="F262" s="1075" t="str">
        <f>VLOOKUP($B262,dongia1,DG!$D$5,)</f>
        <v>cái</v>
      </c>
      <c r="G262" s="1074">
        <f>G259*1</f>
        <v>0</v>
      </c>
      <c r="H262" s="1062">
        <f>VLOOKUP($B262,dongia1,DG!$F$5,)</f>
        <v>218200</v>
      </c>
      <c r="I262" s="1062"/>
      <c r="J262" s="1062">
        <f>VLOOKUP($B262,dongia1,DG!$G$5,)</f>
        <v>0</v>
      </c>
      <c r="K262" s="1062">
        <f>VLOOKUP($B262,dongia1,DG!$H$5,)</f>
        <v>0</v>
      </c>
      <c r="L262" s="1174">
        <f t="shared" si="49"/>
        <v>0</v>
      </c>
      <c r="M262" s="1174">
        <f t="shared" si="50"/>
        <v>0</v>
      </c>
      <c r="N262" s="1174">
        <f t="shared" si="51"/>
        <v>0</v>
      </c>
      <c r="O262" s="1083">
        <f t="shared" si="52"/>
        <v>0</v>
      </c>
      <c r="P262" s="1080"/>
    </row>
    <row r="263" spans="1:16" s="1081" customFormat="1" hidden="1" outlineLevel="1">
      <c r="A263" s="1199" t="str">
        <f t="shared" si="56"/>
        <v/>
      </c>
      <c r="B263" s="1067" t="s">
        <v>2165</v>
      </c>
      <c r="C263" s="1074"/>
      <c r="D263" s="1075">
        <f>VLOOKUP($B263,dongia1,DG!$B$5,)</f>
        <v>0</v>
      </c>
      <c r="E263" s="1076" t="str">
        <f>VLOOKUP($B263,dongia1,DG!$C$5,)</f>
        <v>Nắp che đầu cực LA</v>
      </c>
      <c r="F263" s="1075" t="str">
        <f>VLOOKUP($B263,dongia1,DG!$D$5,)</f>
        <v>cái</v>
      </c>
      <c r="G263" s="1074">
        <f>G259</f>
        <v>0</v>
      </c>
      <c r="H263" s="1062">
        <f>VLOOKUP($B263,dongia1,DG!$F$5,)</f>
        <v>39100</v>
      </c>
      <c r="I263" s="1062"/>
      <c r="J263" s="1062">
        <f>VLOOKUP($B263,dongia1,DG!$G$5,)</f>
        <v>0</v>
      </c>
      <c r="K263" s="1062">
        <f>VLOOKUP($B263,dongia1,DG!$H$5,)</f>
        <v>0</v>
      </c>
      <c r="L263" s="1174">
        <f>H263*G263</f>
        <v>0</v>
      </c>
      <c r="M263" s="1174">
        <f>I263*G263</f>
        <v>0</v>
      </c>
      <c r="N263" s="1174">
        <f>J263*G263</f>
        <v>0</v>
      </c>
      <c r="O263" s="1083">
        <f>K263*G263</f>
        <v>0</v>
      </c>
      <c r="P263" s="1080"/>
    </row>
    <row r="264" spans="1:16" s="1081" customFormat="1" hidden="1" outlineLevel="1">
      <c r="A264" s="1199" t="str">
        <f t="shared" si="56"/>
        <v/>
      </c>
      <c r="B264" s="1206" t="s">
        <v>2166</v>
      </c>
      <c r="C264" s="1074"/>
      <c r="D264" s="1075">
        <f>VLOOKUP($B264,dongia1,DG!$B$5,)</f>
        <v>0</v>
      </c>
      <c r="E264" s="1076" t="str">
        <f>VLOOKUP($B264,dongia1,DG!$C$5,)</f>
        <v>Nắp che đầu sứ MBA</v>
      </c>
      <c r="F264" s="1075" t="str">
        <f>VLOOKUP($B264,dongia1,DG!$D$5,)</f>
        <v>cái</v>
      </c>
      <c r="G264" s="1074">
        <f>G259</f>
        <v>0</v>
      </c>
      <c r="H264" s="1062">
        <f>VLOOKUP($B264,dongia1,DG!$F$5,)</f>
        <v>56700</v>
      </c>
      <c r="I264" s="1062"/>
      <c r="J264" s="1062">
        <f>VLOOKUP($B264,dongia1,DG!$G$5,)</f>
        <v>0</v>
      </c>
      <c r="K264" s="1062">
        <f>VLOOKUP($B264,dongia1,DG!$H$5,)</f>
        <v>0</v>
      </c>
      <c r="L264" s="1174">
        <f t="shared" si="49"/>
        <v>0</v>
      </c>
      <c r="M264" s="1174">
        <f t="shared" si="50"/>
        <v>0</v>
      </c>
      <c r="N264" s="1174">
        <f t="shared" si="51"/>
        <v>0</v>
      </c>
      <c r="O264" s="1083">
        <f t="shared" si="52"/>
        <v>0</v>
      </c>
      <c r="P264" s="1080"/>
    </row>
    <row r="265" spans="1:16" s="1081" customFormat="1" hidden="1" outlineLevel="1">
      <c r="A265" s="1199" t="str">
        <f t="shared" si="56"/>
        <v/>
      </c>
      <c r="B265" s="1206" t="s">
        <v>4501</v>
      </c>
      <c r="C265" s="1074"/>
      <c r="D265" s="1075">
        <f>VLOOKUP($B265,dongia1,DG!$B$5,)</f>
        <v>0</v>
      </c>
      <c r="E265" s="1076" t="str">
        <f>VLOOKUP($B265,dongia1,DG!$C$5,)</f>
        <v>Chụp cách điện kẹp quai</v>
      </c>
      <c r="F265" s="1075" t="str">
        <f>VLOOKUP($B265,dongia1,DG!$D$5,)</f>
        <v>Cái</v>
      </c>
      <c r="G265" s="1074">
        <f>G259</f>
        <v>0</v>
      </c>
      <c r="H265" s="1062">
        <f>VLOOKUP($B265,dongia1,DG!$F$5,)</f>
        <v>136800</v>
      </c>
      <c r="I265" s="1062"/>
      <c r="J265" s="1062">
        <f>VLOOKUP($B265,dongia1,DG!$G$5,)</f>
        <v>0</v>
      </c>
      <c r="K265" s="1062">
        <f>VLOOKUP($B265,dongia1,DG!$H$5,)</f>
        <v>0</v>
      </c>
      <c r="L265" s="1174">
        <f>H265*G265</f>
        <v>0</v>
      </c>
      <c r="M265" s="1174">
        <f>I265*G265</f>
        <v>0</v>
      </c>
      <c r="N265" s="1174">
        <f>J265*G265</f>
        <v>0</v>
      </c>
      <c r="O265" s="1083">
        <f>K265*G265</f>
        <v>0</v>
      </c>
      <c r="P265" s="1080"/>
    </row>
    <row r="266" spans="1:16" s="1081" customFormat="1" hidden="1" outlineLevel="1">
      <c r="A266" s="1199" t="str">
        <f t="shared" si="56"/>
        <v/>
      </c>
      <c r="B266" s="1206" t="s">
        <v>2028</v>
      </c>
      <c r="C266" s="1074"/>
      <c r="D266" s="1075">
        <f>VLOOKUP($B266,dongia1,DG!$B$5,)</f>
        <v>0</v>
      </c>
      <c r="E266" s="1076" t="str">
        <f>VLOOKUP($B266,dongia1,DG!$C$5,)</f>
        <v>Kẹp quai 2/0</v>
      </c>
      <c r="F266" s="1075" t="str">
        <f>VLOOKUP($B266,dongia1,DG!$D$5,)</f>
        <v>cái</v>
      </c>
      <c r="G266" s="1074">
        <f>G259</f>
        <v>0</v>
      </c>
      <c r="H266" s="1062">
        <f>VLOOKUP($B266,dongia1,DG!$F$5,)</f>
        <v>46000</v>
      </c>
      <c r="I266" s="1062"/>
      <c r="J266" s="1062">
        <f>VLOOKUP($B266,dongia1,DG!$G$5,)</f>
        <v>0</v>
      </c>
      <c r="K266" s="1062">
        <f>VLOOKUP($B266,dongia1,DG!$H$5,)</f>
        <v>0</v>
      </c>
      <c r="L266" s="1174">
        <f t="shared" si="49"/>
        <v>0</v>
      </c>
      <c r="M266" s="1174">
        <f t="shared" si="50"/>
        <v>0</v>
      </c>
      <c r="N266" s="1174">
        <f t="shared" si="51"/>
        <v>0</v>
      </c>
      <c r="O266" s="1083">
        <f t="shared" si="52"/>
        <v>0</v>
      </c>
      <c r="P266" s="1080"/>
    </row>
    <row r="267" spans="1:16" s="1081" customFormat="1" hidden="1" outlineLevel="1">
      <c r="A267" s="1199" t="str">
        <f t="shared" si="56"/>
        <v/>
      </c>
      <c r="B267" s="1206" t="s">
        <v>2026</v>
      </c>
      <c r="C267" s="1074"/>
      <c r="D267" s="1075"/>
      <c r="E267" s="1076" t="str">
        <f>VLOOKUP($B267,dongia1,DG!$C$5,)</f>
        <v>Kẹp hotline 2/0</v>
      </c>
      <c r="F267" s="1075" t="str">
        <f>VLOOKUP($B267,dongia1,DG!$D$5,)</f>
        <v>cái</v>
      </c>
      <c r="G267" s="1074">
        <f>G259</f>
        <v>0</v>
      </c>
      <c r="H267" s="1062">
        <f>VLOOKUP($B267,dongia1,DG!$F$5,)</f>
        <v>77000</v>
      </c>
      <c r="I267" s="1062"/>
      <c r="J267" s="1062"/>
      <c r="K267" s="1062">
        <f>VLOOKUP($B267,dongia1,DG!$H$5,)</f>
        <v>0</v>
      </c>
      <c r="L267" s="1174">
        <f t="shared" si="49"/>
        <v>0</v>
      </c>
      <c r="M267" s="1174">
        <f t="shared" si="50"/>
        <v>0</v>
      </c>
      <c r="N267" s="1174">
        <f t="shared" si="51"/>
        <v>0</v>
      </c>
      <c r="O267" s="1083">
        <f t="shared" si="52"/>
        <v>0</v>
      </c>
      <c r="P267" s="1080"/>
    </row>
    <row r="268" spans="1:16" s="1081" customFormat="1" hidden="1" outlineLevel="1">
      <c r="A268" s="1199" t="str">
        <f t="shared" si="56"/>
        <v/>
      </c>
      <c r="B268" s="1206" t="s">
        <v>224</v>
      </c>
      <c r="C268" s="1074"/>
      <c r="D268" s="1075" t="str">
        <f>VLOOKUP($B268,dongia1,DG!$B$5,)</f>
        <v>T4.4201</v>
      </c>
      <c r="E268" s="1076" t="str">
        <f>VLOOKUP($B268,dongia1,DG!$C$5,)</f>
        <v>Lắp cáp đồng xuống thiết bị D ≤ 95mm2</v>
      </c>
      <c r="F268" s="1075" t="str">
        <f>VLOOKUP($B268,dongia1,DG!$D$5,)</f>
        <v>m</v>
      </c>
      <c r="G268" s="1074">
        <f>G261</f>
        <v>0</v>
      </c>
      <c r="H268" s="1062">
        <f>VLOOKUP($B268,dongia1,DG!$F$5,)</f>
        <v>0</v>
      </c>
      <c r="I268" s="1062"/>
      <c r="J268" s="1062">
        <f>VLOOKUP($B268,dongia1,DG!$G$5,)</f>
        <v>13915</v>
      </c>
      <c r="K268" s="1062">
        <f>VLOOKUP($B268,dongia1,DG!$H$5,)</f>
        <v>0</v>
      </c>
      <c r="L268" s="1174">
        <f>H268*G268</f>
        <v>0</v>
      </c>
      <c r="M268" s="1174">
        <f>I268*G268</f>
        <v>0</v>
      </c>
      <c r="N268" s="1174">
        <f>J268*G268</f>
        <v>0</v>
      </c>
      <c r="O268" s="1083">
        <f>K268*G268</f>
        <v>0</v>
      </c>
      <c r="P268" s="1080"/>
    </row>
    <row r="269" spans="1:16" s="1081" customFormat="1" hidden="1" outlineLevel="1">
      <c r="A269" s="1199" t="str">
        <f t="shared" si="56"/>
        <v/>
      </c>
      <c r="B269" s="1073"/>
      <c r="C269" s="1064">
        <f>IF(G269&gt;0,C259+1,C259)</f>
        <v>0</v>
      </c>
      <c r="D269" s="1075"/>
      <c r="E269" s="1204" t="s">
        <v>3414</v>
      </c>
      <c r="F269" s="1064" t="s">
        <v>2113</v>
      </c>
      <c r="G269" s="1064">
        <f>G211</f>
        <v>0</v>
      </c>
      <c r="H269" s="1062"/>
      <c r="I269" s="1083"/>
      <c r="J269" s="1062"/>
      <c r="K269" s="1062"/>
      <c r="L269" s="1174">
        <f t="shared" si="49"/>
        <v>0</v>
      </c>
      <c r="M269" s="1174">
        <f t="shared" si="50"/>
        <v>0</v>
      </c>
      <c r="N269" s="1174">
        <f t="shared" si="51"/>
        <v>0</v>
      </c>
      <c r="O269" s="1083">
        <f t="shared" si="52"/>
        <v>0</v>
      </c>
      <c r="P269" s="1080"/>
    </row>
    <row r="270" spans="1:16" s="1081" customFormat="1" ht="14.4" hidden="1" outlineLevel="1">
      <c r="A270" s="1199" t="str">
        <f>A269</f>
        <v/>
      </c>
      <c r="B270" s="1073"/>
      <c r="C270" s="1064"/>
      <c r="D270" s="1075"/>
      <c r="E270" s="1194" t="s">
        <v>3399</v>
      </c>
      <c r="F270" s="1064"/>
      <c r="G270" s="1064"/>
      <c r="H270" s="1062"/>
      <c r="I270" s="1083"/>
      <c r="J270" s="1062"/>
      <c r="K270" s="1062"/>
      <c r="L270" s="1174">
        <f t="shared" si="49"/>
        <v>0</v>
      </c>
      <c r="M270" s="1174">
        <f t="shared" si="50"/>
        <v>0</v>
      </c>
      <c r="N270" s="1174">
        <f t="shared" si="51"/>
        <v>0</v>
      </c>
      <c r="O270" s="1083">
        <f t="shared" si="52"/>
        <v>0</v>
      </c>
      <c r="P270" s="1080"/>
    </row>
    <row r="271" spans="1:16" s="1081" customFormat="1" hidden="1" outlineLevel="1">
      <c r="A271" s="1199" t="str">
        <f>IF(G271&lt;&gt;0,1,"")</f>
        <v/>
      </c>
      <c r="B271" s="1073" t="s">
        <v>2073</v>
      </c>
      <c r="C271" s="1064"/>
      <c r="D271" s="1075">
        <f>VLOOKUP($B271,dongia1,DG!$B$5,)</f>
        <v>0</v>
      </c>
      <c r="E271" s="1076" t="str">
        <f>VLOOKUP($B271,dongia1,DG!$C$5,)&amp;" (2x6m cáp xuống + 2m trung hòa)"</f>
        <v>Cáp đồng bọc CV50 (2x6m cáp xuống + 2m trung hòa)</v>
      </c>
      <c r="F271" s="1075" t="str">
        <f>VLOOKUP($B271,dongia1,DG!$D$5,)</f>
        <v>mét</v>
      </c>
      <c r="G271" s="1074">
        <f>G269*14</f>
        <v>0</v>
      </c>
      <c r="H271" s="1062">
        <f>VLOOKUP($B271,dongia1,DG!$F$5,)</f>
        <v>91800</v>
      </c>
      <c r="I271" s="1062"/>
      <c r="J271" s="1062">
        <f>VLOOKUP($B271,dongia1,DG!$G$5,)</f>
        <v>0</v>
      </c>
      <c r="K271" s="1062">
        <f>VLOOKUP($B271,dongia1,DG!$H$5,)</f>
        <v>0</v>
      </c>
      <c r="L271" s="1174">
        <f t="shared" si="49"/>
        <v>0</v>
      </c>
      <c r="M271" s="1174">
        <f t="shared" si="50"/>
        <v>0</v>
      </c>
      <c r="N271" s="1174">
        <f t="shared" si="51"/>
        <v>0</v>
      </c>
      <c r="O271" s="1083">
        <f t="shared" si="52"/>
        <v>0</v>
      </c>
      <c r="P271" s="1080"/>
    </row>
    <row r="272" spans="1:16" s="1081" customFormat="1" hidden="1" outlineLevel="1">
      <c r="A272" s="1199" t="str">
        <f t="shared" ref="A272:A293" si="57">IF(G272&lt;&gt;0,1,"")</f>
        <v/>
      </c>
      <c r="B272" s="1073" t="s">
        <v>225</v>
      </c>
      <c r="C272" s="1064"/>
      <c r="D272" s="1075">
        <f>VLOOKUP($B272,dongia1,DG!$B$5,)</f>
        <v>0</v>
      </c>
      <c r="E272" s="1076" t="str">
        <f>VLOOKUP($B272,dongia1,DG!$C$5,)&amp;" (6m tín hiệu)"</f>
        <v>Cáp đồng bọc CV25 (6m tín hiệu)</v>
      </c>
      <c r="F272" s="1075" t="str">
        <f>VLOOKUP($B272,dongia1,DG!$D$5,)</f>
        <v>mét</v>
      </c>
      <c r="G272" s="1074">
        <f>G269*6</f>
        <v>0</v>
      </c>
      <c r="H272" s="1062">
        <f>VLOOKUP($B272,dongia1,DG!$F$5,)</f>
        <v>59600</v>
      </c>
      <c r="I272" s="1062"/>
      <c r="J272" s="1062">
        <f>VLOOKUP($B272,dongia1,DG!$G$5,)</f>
        <v>0</v>
      </c>
      <c r="K272" s="1062">
        <f>VLOOKUP($B272,dongia1,DG!$H$5,)</f>
        <v>0</v>
      </c>
      <c r="L272" s="1174">
        <f>H272*G272</f>
        <v>0</v>
      </c>
      <c r="M272" s="1174">
        <f>I272*G272</f>
        <v>0</v>
      </c>
      <c r="N272" s="1174">
        <f>J272*G272</f>
        <v>0</v>
      </c>
      <c r="O272" s="1083">
        <f>K272*G272</f>
        <v>0</v>
      </c>
      <c r="P272" s="1080"/>
    </row>
    <row r="273" spans="1:16" s="1081" customFormat="1" hidden="1" outlineLevel="1">
      <c r="A273" s="1199" t="str">
        <f t="shared" si="57"/>
        <v/>
      </c>
      <c r="B273" s="1073" t="s">
        <v>4842</v>
      </c>
      <c r="C273" s="1064"/>
      <c r="D273" s="1075">
        <f>VLOOKUP($B273,dongia1,DG!$B$5,)</f>
        <v>0</v>
      </c>
      <c r="E273" s="1076" t="str">
        <f>VLOOKUP($B273,dongia1,DG!$C$5,)</f>
        <v xml:space="preserve">Cáp CVV 4x4mm2  </v>
      </c>
      <c r="F273" s="1075" t="str">
        <f>VLOOKUP($B273,dongia1,DG!$D$5,)</f>
        <v>mét</v>
      </c>
      <c r="G273" s="1074">
        <f>4*G269</f>
        <v>0</v>
      </c>
      <c r="H273" s="1062">
        <f>VLOOKUP($B273,dongia1,DG!$F$5,)</f>
        <v>63200</v>
      </c>
      <c r="I273" s="1062"/>
      <c r="J273" s="1062">
        <f>VLOOKUP($B273,dongia1,DG!$G$5,)</f>
        <v>0</v>
      </c>
      <c r="K273" s="1062">
        <f>VLOOKUP($B273,dongia1,DG!$H$5,)</f>
        <v>0</v>
      </c>
      <c r="L273" s="1174">
        <f t="shared" si="49"/>
        <v>0</v>
      </c>
      <c r="M273" s="1174">
        <f t="shared" si="50"/>
        <v>0</v>
      </c>
      <c r="N273" s="1174">
        <f t="shared" si="51"/>
        <v>0</v>
      </c>
      <c r="O273" s="1083">
        <f t="shared" si="52"/>
        <v>0</v>
      </c>
      <c r="P273" s="1080"/>
    </row>
    <row r="274" spans="1:16" s="1081" customFormat="1" hidden="1" outlineLevel="1">
      <c r="A274" s="1199" t="str">
        <f t="shared" si="57"/>
        <v/>
      </c>
      <c r="B274" s="1086" t="s">
        <v>2073</v>
      </c>
      <c r="C274" s="1074"/>
      <c r="D274" s="1075">
        <f>VLOOKUP($B274,dongia1,DG!$B$5,)</f>
        <v>0</v>
      </c>
      <c r="E274" s="1076" t="str">
        <f>VLOOKUP($B274,dongia1,DG!$C$5,)&amp;" (2x6,5m cáp lên)"</f>
        <v>Cáp đồng bọc CV50 (2x6,5m cáp lên)</v>
      </c>
      <c r="F274" s="1075" t="str">
        <f>VLOOKUP($B274,dongia1,DG!$D$5,)</f>
        <v>mét</v>
      </c>
      <c r="G274" s="1074">
        <f>2*6.5*G269</f>
        <v>0</v>
      </c>
      <c r="H274" s="1062">
        <f>VLOOKUP($B274,dongia1,DG!$F$5,)</f>
        <v>91800</v>
      </c>
      <c r="I274" s="1062"/>
      <c r="J274" s="1062">
        <f>VLOOKUP($B274,dongia1,DG!$G$5,)</f>
        <v>0</v>
      </c>
      <c r="K274" s="1062">
        <f>VLOOKUP($B274,dongia1,DG!$H$5,)</f>
        <v>0</v>
      </c>
      <c r="L274" s="1174">
        <f t="shared" si="49"/>
        <v>0</v>
      </c>
      <c r="M274" s="1174">
        <f t="shared" si="50"/>
        <v>0</v>
      </c>
      <c r="N274" s="1174">
        <f t="shared" si="51"/>
        <v>0</v>
      </c>
      <c r="O274" s="1083">
        <f t="shared" si="52"/>
        <v>0</v>
      </c>
      <c r="P274" s="1080"/>
    </row>
    <row r="275" spans="1:16" s="1081" customFormat="1" hidden="1" outlineLevel="1">
      <c r="A275" s="1199" t="str">
        <f>IF(G275&lt;&gt;0,1,"")</f>
        <v/>
      </c>
      <c r="B275" s="1086" t="s">
        <v>75</v>
      </c>
      <c r="C275" s="1074"/>
      <c r="D275" s="1075">
        <f>VLOOKUP($B275,dongia1,DG!$B$5,)</f>
        <v>0</v>
      </c>
      <c r="E275" s="1076" t="str">
        <f>VLOOKUP($B275,dongia1,DG!$C$5,)&amp;" (đấu TH máy lưới)"</f>
        <v>Kẹp ép WR cỡ dây 50mm2 (đấu TH máy lưới)</v>
      </c>
      <c r="F275" s="1075" t="str">
        <f>VLOOKUP($B275,dongia1,DG!$D$5,)</f>
        <v>cái</v>
      </c>
      <c r="G275" s="1074">
        <f>4*G269</f>
        <v>0</v>
      </c>
      <c r="H275" s="1062">
        <f>VLOOKUP($B275,dongia1,DG!$F$5,)</f>
        <v>8000</v>
      </c>
      <c r="I275" s="1062"/>
      <c r="J275" s="1062">
        <f>VLOOKUP($B275,dongia1,DG!$G$5,)</f>
        <v>0</v>
      </c>
      <c r="K275" s="1062">
        <f>VLOOKUP($B275,dongia1,DG!$H$5,)</f>
        <v>0</v>
      </c>
      <c r="L275" s="1174">
        <f>H275*G275</f>
        <v>0</v>
      </c>
      <c r="M275" s="1174">
        <f>I275*G275</f>
        <v>0</v>
      </c>
      <c r="N275" s="1174">
        <f>J275*G275</f>
        <v>0</v>
      </c>
      <c r="O275" s="1083">
        <f>K275*G275</f>
        <v>0</v>
      </c>
      <c r="P275" s="1080"/>
    </row>
    <row r="276" spans="1:16" s="1081" customFormat="1" hidden="1" outlineLevel="1">
      <c r="A276" s="1199" t="str">
        <f t="shared" si="57"/>
        <v/>
      </c>
      <c r="B276" s="1086" t="s">
        <v>75</v>
      </c>
      <c r="C276" s="1074"/>
      <c r="D276" s="1075">
        <f>VLOOKUP($B276,dongia1,DG!$B$5,)</f>
        <v>0</v>
      </c>
      <c r="E276" s="1076" t="str">
        <f>VLOOKUP($B276,dongia1,DG!$C$5,)&amp;" (đấu cáp lên)"</f>
        <v>Kẹp ép WR cỡ dây 50mm2 (đấu cáp lên)</v>
      </c>
      <c r="F276" s="1075" t="str">
        <f>VLOOKUP($B276,dongia1,DG!$D$5,)</f>
        <v>cái</v>
      </c>
      <c r="G276" s="1074">
        <f>4*G269</f>
        <v>0</v>
      </c>
      <c r="H276" s="1062">
        <f>VLOOKUP($B276,dongia1,DG!$F$5,)</f>
        <v>8000</v>
      </c>
      <c r="I276" s="1062"/>
      <c r="J276" s="1062">
        <f>VLOOKUP($B276,dongia1,DG!$G$5,)</f>
        <v>0</v>
      </c>
      <c r="K276" s="1062">
        <f>VLOOKUP($B276,dongia1,DG!$H$5,)</f>
        <v>0</v>
      </c>
      <c r="L276" s="1174">
        <f t="shared" si="49"/>
        <v>0</v>
      </c>
      <c r="M276" s="1174">
        <f t="shared" si="50"/>
        <v>0</v>
      </c>
      <c r="N276" s="1174">
        <f t="shared" si="51"/>
        <v>0</v>
      </c>
      <c r="O276" s="1083">
        <f t="shared" si="52"/>
        <v>0</v>
      </c>
      <c r="P276" s="1080"/>
    </row>
    <row r="277" spans="1:16" s="1081" customFormat="1" hidden="1" outlineLevel="1">
      <c r="A277" s="1199" t="str">
        <f>IF(G277&lt;&gt;0,1,"")</f>
        <v/>
      </c>
      <c r="B277" s="1086" t="s">
        <v>4984</v>
      </c>
      <c r="C277" s="1074"/>
      <c r="D277" s="1075">
        <f>VLOOKUP($B277,dongia1,DG!$B$5,)</f>
        <v>0</v>
      </c>
      <c r="E277" s="1076" t="str">
        <f>VLOOKUP($B277,dongia1,DG!$C$5,)</f>
        <v>Băng keo cách điện hạ thế</v>
      </c>
      <c r="F277" s="1075" t="str">
        <f>VLOOKUP($B277,dongia1,DG!$D$5,)</f>
        <v>cuộn</v>
      </c>
      <c r="G277" s="1074">
        <f>4*G269</f>
        <v>0</v>
      </c>
      <c r="H277" s="1062">
        <f>VLOOKUP($B277,dongia1,DG!$F$5,)</f>
        <v>6500</v>
      </c>
      <c r="I277" s="1062"/>
      <c r="J277" s="1062">
        <f>VLOOKUP($B277,dongia1,DG!$G$5,)</f>
        <v>0</v>
      </c>
      <c r="K277" s="1062">
        <f>VLOOKUP($B277,dongia1,DG!$H$5,)</f>
        <v>0</v>
      </c>
      <c r="L277" s="1174">
        <f>H277*G277</f>
        <v>0</v>
      </c>
      <c r="M277" s="1174">
        <f>I277*G277</f>
        <v>0</v>
      </c>
      <c r="N277" s="1174">
        <f>J277*G277</f>
        <v>0</v>
      </c>
      <c r="O277" s="1083">
        <f>K277*G277</f>
        <v>0</v>
      </c>
      <c r="P277" s="1080"/>
    </row>
    <row r="278" spans="1:16" s="1081" customFormat="1" hidden="1" outlineLevel="1">
      <c r="A278" s="1199" t="str">
        <f>IF(G278&lt;&gt;0,1,"")</f>
        <v/>
      </c>
      <c r="B278" s="1086" t="s">
        <v>4986</v>
      </c>
      <c r="C278" s="1074"/>
      <c r="D278" s="1075" t="str">
        <f>VLOOKUP($B278,dongia1,DG!$B$5,)</f>
        <v>D4.5001</v>
      </c>
      <c r="E278" s="1076" t="str">
        <f>VLOOKUP($B278,dongia1,DG!$C$5,)</f>
        <v xml:space="preserve">Đầu cosse ép Cu 25mm2 </v>
      </c>
      <c r="F278" s="1075" t="str">
        <f>VLOOKUP($B278,dongia1,DG!$D$5,)</f>
        <v>cái</v>
      </c>
      <c r="G278" s="1074">
        <f>4*G269</f>
        <v>0</v>
      </c>
      <c r="H278" s="1062">
        <f>VLOOKUP($B278,dongia1,DG!$F$5,)</f>
        <v>6500</v>
      </c>
      <c r="I278" s="1062"/>
      <c r="J278" s="1062">
        <f>VLOOKUP($B278,dongia1,DG!$G$5,)</f>
        <v>6062.26</v>
      </c>
      <c r="K278" s="1062">
        <f>VLOOKUP($B278,dongia1,DG!$H$5,)</f>
        <v>2777.0232475000003</v>
      </c>
      <c r="L278" s="1174">
        <f>H278*G278</f>
        <v>0</v>
      </c>
      <c r="M278" s="1174">
        <f>I278*G278</f>
        <v>0</v>
      </c>
      <c r="N278" s="1174">
        <f>J278*G278</f>
        <v>0</v>
      </c>
      <c r="O278" s="1083">
        <f>K278*G278</f>
        <v>0</v>
      </c>
      <c r="P278" s="1080"/>
    </row>
    <row r="279" spans="1:16" s="1081" customFormat="1" hidden="1" outlineLevel="1">
      <c r="A279" s="1199" t="str">
        <f t="shared" si="57"/>
        <v/>
      </c>
      <c r="B279" s="1086" t="s">
        <v>4986</v>
      </c>
      <c r="C279" s="1074"/>
      <c r="D279" s="1075" t="str">
        <f>VLOOKUP($B279,dongia1,DG!$B$5,)</f>
        <v>D4.5001</v>
      </c>
      <c r="E279" s="1076" t="str">
        <f>VLOOKUP($B279,dongia1,DG!$C$5,)</f>
        <v xml:space="preserve">Đầu cosse ép Cu 25mm2 </v>
      </c>
      <c r="F279" s="1075" t="str">
        <f>VLOOKUP($B279,dongia1,DG!$D$5,)</f>
        <v>cái</v>
      </c>
      <c r="G279" s="1074">
        <f>1*G269</f>
        <v>0</v>
      </c>
      <c r="H279" s="1062">
        <f>VLOOKUP($B279,dongia1,DG!$F$5,)</f>
        <v>6500</v>
      </c>
      <c r="I279" s="1062"/>
      <c r="J279" s="1062">
        <f>VLOOKUP($B279,dongia1,DG!$G$5,)</f>
        <v>6062.26</v>
      </c>
      <c r="K279" s="1062">
        <f>VLOOKUP($B279,dongia1,DG!$H$5,)</f>
        <v>2777.0232475000003</v>
      </c>
      <c r="L279" s="1174">
        <f t="shared" si="49"/>
        <v>0</v>
      </c>
      <c r="M279" s="1174">
        <f t="shared" si="50"/>
        <v>0</v>
      </c>
      <c r="N279" s="1174">
        <f t="shared" si="51"/>
        <v>0</v>
      </c>
      <c r="O279" s="1083">
        <f t="shared" si="52"/>
        <v>0</v>
      </c>
      <c r="P279" s="1080"/>
    </row>
    <row r="280" spans="1:16" s="1081" customFormat="1" hidden="1" outlineLevel="1">
      <c r="A280" s="1199" t="str">
        <f t="shared" si="57"/>
        <v/>
      </c>
      <c r="B280" s="1086" t="s">
        <v>4985</v>
      </c>
      <c r="C280" s="1074"/>
      <c r="D280" s="1075" t="str">
        <f>VLOOKUP($B280,dongia1,DG!$B$5,)</f>
        <v>D4.5002</v>
      </c>
      <c r="E280" s="1076" t="str">
        <f>VLOOKUP($B280,dongia1,DG!$C$5,)</f>
        <v>Đầu cosse ép Cu 50mm2</v>
      </c>
      <c r="F280" s="1075" t="str">
        <f>VLOOKUP($B280,dongia1,DG!$D$5,)</f>
        <v>cái</v>
      </c>
      <c r="G280" s="1074">
        <f>G269*4</f>
        <v>0</v>
      </c>
      <c r="H280" s="1062">
        <f>VLOOKUP($B280,dongia1,DG!$F$5,)</f>
        <v>9100</v>
      </c>
      <c r="I280" s="1062"/>
      <c r="J280" s="1062">
        <f>VLOOKUP($B280,dongia1,DG!$G$5,)</f>
        <v>10608.955000000002</v>
      </c>
      <c r="K280" s="1062">
        <f>VLOOKUP($B280,dongia1,DG!$H$5,)</f>
        <v>2777.0232475000003</v>
      </c>
      <c r="L280" s="1174">
        <f>H280*G280</f>
        <v>0</v>
      </c>
      <c r="M280" s="1174">
        <f>I280*G280</f>
        <v>0</v>
      </c>
      <c r="N280" s="1174">
        <f>J280*G280</f>
        <v>0</v>
      </c>
      <c r="O280" s="1083">
        <f>K280*G280</f>
        <v>0</v>
      </c>
      <c r="P280" s="1080"/>
    </row>
    <row r="281" spans="1:16" s="1081" customFormat="1" hidden="1" outlineLevel="1">
      <c r="A281" s="1199" t="str">
        <f t="shared" si="57"/>
        <v/>
      </c>
      <c r="B281" s="1177" t="s">
        <v>1826</v>
      </c>
      <c r="C281" s="1074"/>
      <c r="D281" s="1075">
        <f>VLOOKUP($B281,dongia1,DG!$B$5,)</f>
        <v>0</v>
      </c>
      <c r="E281" s="1076" t="str">
        <f>VLOOKUP($B281,dongia1,DG!$C$5,)</f>
        <v>Chụp đầu cosse  25mm2</v>
      </c>
      <c r="F281" s="1075" t="str">
        <f>VLOOKUP($B281,dongia1,DG!$D$5,)</f>
        <v>cái</v>
      </c>
      <c r="G281" s="1074">
        <f>G279</f>
        <v>0</v>
      </c>
      <c r="H281" s="1062">
        <f>VLOOKUP($B281,dongia1,DG!$F$5,)</f>
        <v>1000</v>
      </c>
      <c r="I281" s="1083"/>
      <c r="J281" s="1062">
        <f>VLOOKUP($B281,dongia1,DG!$G$5,)</f>
        <v>0</v>
      </c>
      <c r="K281" s="1062"/>
      <c r="L281" s="1174">
        <f>H281*G281</f>
        <v>0</v>
      </c>
      <c r="M281" s="1174">
        <f>I281*G281</f>
        <v>0</v>
      </c>
      <c r="N281" s="1174">
        <f>J281*G281</f>
        <v>0</v>
      </c>
      <c r="O281" s="1083">
        <f>K281*G281</f>
        <v>0</v>
      </c>
      <c r="P281" s="1080"/>
    </row>
    <row r="282" spans="1:16" s="1081" customFormat="1" hidden="1" outlineLevel="1">
      <c r="A282" s="1199" t="str">
        <f t="shared" si="57"/>
        <v/>
      </c>
      <c r="B282" s="1177" t="s">
        <v>1257</v>
      </c>
      <c r="C282" s="1074"/>
      <c r="D282" s="1075">
        <f>VLOOKUP($B282,dongia1,DG!$B$5,)</f>
        <v>0</v>
      </c>
      <c r="E282" s="1076" t="str">
        <f>VLOOKUP($B282,dongia1,DG!$C$5,)</f>
        <v>Chụp đầu cosse  50mm2</v>
      </c>
      <c r="F282" s="1075" t="str">
        <f>VLOOKUP($B282,dongia1,DG!$D$5,)</f>
        <v>cái</v>
      </c>
      <c r="G282" s="1074">
        <f>G280</f>
        <v>0</v>
      </c>
      <c r="H282" s="1062">
        <f>VLOOKUP($B282,dongia1,DG!$F$5,)</f>
        <v>1000</v>
      </c>
      <c r="I282" s="1083"/>
      <c r="J282" s="1062">
        <f>VLOOKUP($B282,dongia1,DG!$G$5,)</f>
        <v>0</v>
      </c>
      <c r="K282" s="1062">
        <f>VLOOKUP($B282,dongia1,DG!$H$5,)</f>
        <v>0</v>
      </c>
      <c r="L282" s="1174">
        <f t="shared" si="49"/>
        <v>0</v>
      </c>
      <c r="M282" s="1174">
        <f t="shared" si="50"/>
        <v>0</v>
      </c>
      <c r="N282" s="1174">
        <f t="shared" si="51"/>
        <v>0</v>
      </c>
      <c r="O282" s="1083">
        <f t="shared" si="52"/>
        <v>0</v>
      </c>
      <c r="P282" s="1080"/>
    </row>
    <row r="283" spans="1:16" s="1081" customFormat="1" hidden="1" outlineLevel="1">
      <c r="A283" s="1199" t="str">
        <f>IF(G283&lt;&gt;0,1,"")</f>
        <v/>
      </c>
      <c r="B283" s="1177" t="s">
        <v>2166</v>
      </c>
      <c r="C283" s="1074"/>
      <c r="D283" s="1075">
        <f>VLOOKUP($B283,dongia1,DG!$B$5,)</f>
        <v>0</v>
      </c>
      <c r="E283" s="1076" t="str">
        <f>VLOOKUP($B283,dongia1,DG!$C$5,)</f>
        <v>Nắp che đầu sứ MBA</v>
      </c>
      <c r="F283" s="1075" t="str">
        <f>VLOOKUP($B283,dongia1,DG!$D$5,)</f>
        <v>cái</v>
      </c>
      <c r="G283" s="1074">
        <f>+$G$211</f>
        <v>0</v>
      </c>
      <c r="H283" s="1062">
        <f>VLOOKUP($B283,dongia1,DG!$F$5,)</f>
        <v>56700</v>
      </c>
      <c r="I283" s="1083"/>
      <c r="J283" s="1062">
        <f>VLOOKUP($B283,dongia1,DG!$G$5,)</f>
        <v>0</v>
      </c>
      <c r="K283" s="1062">
        <f>VLOOKUP($B283,dongia1,DG!$H$5,)</f>
        <v>0</v>
      </c>
      <c r="L283" s="1174">
        <f>H283*G283</f>
        <v>0</v>
      </c>
      <c r="M283" s="1174">
        <f>I283*G283</f>
        <v>0</v>
      </c>
      <c r="N283" s="1174">
        <f>J283*G283</f>
        <v>0</v>
      </c>
      <c r="O283" s="1083">
        <f>K283*G283</f>
        <v>0</v>
      </c>
      <c r="P283" s="1080"/>
    </row>
    <row r="284" spans="1:16" s="1081" customFormat="1" hidden="1" outlineLevel="1">
      <c r="A284" s="1199" t="str">
        <f t="shared" si="57"/>
        <v/>
      </c>
      <c r="B284" s="1086" t="s">
        <v>961</v>
      </c>
      <c r="C284" s="1074"/>
      <c r="D284" s="1075">
        <f>VLOOKUP($B284,dongia1,DG!$B$5,)</f>
        <v>0</v>
      </c>
      <c r="E284" s="1076" t="str">
        <f>VLOOKUP($B284,dongia1,DG!$C$5,)</f>
        <v xml:space="preserve">Ống PVC D114x4,9mm </v>
      </c>
      <c r="F284" s="1075" t="str">
        <f>VLOOKUP($B284,dongia1,DG!$D$5,)</f>
        <v>m</v>
      </c>
      <c r="G284" s="1202">
        <f>6.8*G269</f>
        <v>0</v>
      </c>
      <c r="H284" s="1062">
        <f>VLOOKUP($B284,dongia1,DG!$F$5,)</f>
        <v>103700</v>
      </c>
      <c r="I284" s="1083"/>
      <c r="J284" s="1062">
        <f>VLOOKUP($B284,dongia1,DG!$G$5,)</f>
        <v>0</v>
      </c>
      <c r="K284" s="1062">
        <f>VLOOKUP($B284,dongia1,DG!$H$5,)</f>
        <v>0</v>
      </c>
      <c r="L284" s="1174">
        <f t="shared" si="49"/>
        <v>0</v>
      </c>
      <c r="M284" s="1174">
        <f t="shared" si="50"/>
        <v>0</v>
      </c>
      <c r="N284" s="1174">
        <f t="shared" si="51"/>
        <v>0</v>
      </c>
      <c r="O284" s="1083">
        <f t="shared" si="52"/>
        <v>0</v>
      </c>
      <c r="P284" s="1080"/>
    </row>
    <row r="285" spans="1:16" s="1081" customFormat="1" hidden="1" outlineLevel="1">
      <c r="A285" s="1199" t="str">
        <f t="shared" si="57"/>
        <v/>
      </c>
      <c r="B285" s="1067" t="s">
        <v>826</v>
      </c>
      <c r="C285" s="1074"/>
      <c r="D285" s="1075">
        <f>VLOOKUP($B285,dongia1,DG!$B$5,)</f>
        <v>0</v>
      </c>
      <c r="E285" s="1076" t="str">
        <f>VLOOKUP($B285,dongia1,DG!$C$5,)</f>
        <v>Cổ dê kẹp ống PVC Þ 114</v>
      </c>
      <c r="F285" s="1075" t="str">
        <f>VLOOKUP($B285,dongia1,DG!$D$5,)</f>
        <v>bộ</v>
      </c>
      <c r="G285" s="1074">
        <f>4*G269</f>
        <v>0</v>
      </c>
      <c r="H285" s="1062">
        <f>VLOOKUP($B285,dongia1,DG!$F$5,)</f>
        <v>50000</v>
      </c>
      <c r="I285" s="1083"/>
      <c r="J285" s="1062">
        <f>VLOOKUP($B285,dongia1,DG!$G$5,)</f>
        <v>0</v>
      </c>
      <c r="K285" s="1062">
        <f>VLOOKUP($B285,dongia1,DG!$H$5,)</f>
        <v>0</v>
      </c>
      <c r="L285" s="1174">
        <f t="shared" si="49"/>
        <v>0</v>
      </c>
      <c r="M285" s="1174">
        <f t="shared" si="50"/>
        <v>0</v>
      </c>
      <c r="N285" s="1174">
        <f t="shared" si="51"/>
        <v>0</v>
      </c>
      <c r="O285" s="1083">
        <f t="shared" si="52"/>
        <v>0</v>
      </c>
      <c r="P285" s="1080"/>
    </row>
    <row r="286" spans="1:16" s="1081" customFormat="1" hidden="1" outlineLevel="1">
      <c r="A286" s="1199" t="str">
        <f t="shared" si="57"/>
        <v/>
      </c>
      <c r="B286" s="1086" t="s">
        <v>1461</v>
      </c>
      <c r="C286" s="1074"/>
      <c r="D286" s="1075">
        <f>VLOOKUP($B286,dongia1,DG!$B$5,)</f>
        <v>0</v>
      </c>
      <c r="E286" s="1076" t="str">
        <f>VLOOKUP($B286,dongia1,DG!$C$5,)</f>
        <v>Co  90 độ PVC 114</v>
      </c>
      <c r="F286" s="1075" t="str">
        <f>VLOOKUP($B286,dongia1,DG!$D$5,)</f>
        <v>cái</v>
      </c>
      <c r="G286" s="1074">
        <f>4*G269</f>
        <v>0</v>
      </c>
      <c r="H286" s="1062">
        <f>VLOOKUP($B286,dongia1,DG!$F$5,)</f>
        <v>104800</v>
      </c>
      <c r="I286" s="1083"/>
      <c r="J286" s="1062">
        <f>VLOOKUP($B286,dongia1,DG!$G$5,)</f>
        <v>0</v>
      </c>
      <c r="K286" s="1062">
        <f>VLOOKUP($B286,dongia1,DG!$H$5,)</f>
        <v>0</v>
      </c>
      <c r="L286" s="1174">
        <f t="shared" si="49"/>
        <v>0</v>
      </c>
      <c r="M286" s="1174">
        <f t="shared" si="50"/>
        <v>0</v>
      </c>
      <c r="N286" s="1174">
        <f t="shared" si="51"/>
        <v>0</v>
      </c>
      <c r="O286" s="1083">
        <f t="shared" si="52"/>
        <v>0</v>
      </c>
      <c r="P286" s="1080"/>
    </row>
    <row r="287" spans="1:16" s="1081" customFormat="1" hidden="1" outlineLevel="1">
      <c r="A287" s="1199" t="str">
        <f t="shared" si="57"/>
        <v/>
      </c>
      <c r="B287" s="1086" t="s">
        <v>1972</v>
      </c>
      <c r="C287" s="1074"/>
      <c r="D287" s="1075">
        <f>VLOOKUP($B287,dongia1,DG!$B$5,)</f>
        <v>0</v>
      </c>
      <c r="E287" s="1076" t="str">
        <f>VLOOKUP($B287,dongia1,DG!$C$5,)</f>
        <v xml:space="preserve">Nối thẳng ống PVC 90 </v>
      </c>
      <c r="F287" s="1075" t="str">
        <f>VLOOKUP($B287,dongia1,DG!$D$5,)</f>
        <v>cái</v>
      </c>
      <c r="G287" s="1074"/>
      <c r="H287" s="1062">
        <f>VLOOKUP($B287,dongia1,DG!$F$5,)</f>
        <v>12400</v>
      </c>
      <c r="I287" s="1083"/>
      <c r="J287" s="1062">
        <f>VLOOKUP($B287,dongia1,DG!$G$5,)</f>
        <v>0</v>
      </c>
      <c r="K287" s="1062">
        <f>VLOOKUP($B287,dongia1,DG!$H$5,)</f>
        <v>0</v>
      </c>
      <c r="L287" s="1174">
        <f t="shared" si="49"/>
        <v>0</v>
      </c>
      <c r="M287" s="1174">
        <f t="shared" si="50"/>
        <v>0</v>
      </c>
      <c r="N287" s="1174">
        <f t="shared" si="51"/>
        <v>0</v>
      </c>
      <c r="O287" s="1083">
        <f t="shared" si="52"/>
        <v>0</v>
      </c>
      <c r="P287" s="1080"/>
    </row>
    <row r="288" spans="1:16" s="1081" customFormat="1" hidden="1" outlineLevel="1">
      <c r="A288" s="1199" t="str">
        <f t="shared" si="57"/>
        <v/>
      </c>
      <c r="B288" s="1086" t="s">
        <v>887</v>
      </c>
      <c r="C288" s="1074"/>
      <c r="D288" s="1075">
        <f>VLOOKUP($B288,dongia1,DG!$B$5,)</f>
        <v>0</v>
      </c>
      <c r="E288" s="1076" t="str">
        <f>VLOOKUP($B288,dongia1,DG!$C$5,)</f>
        <v>Keo dán ống PVC (100gr)</v>
      </c>
      <c r="F288" s="1075" t="str">
        <f>VLOOKUP($B288,dongia1,DG!$D$5,)</f>
        <v>tuýp</v>
      </c>
      <c r="G288" s="1074">
        <f>G269*1</f>
        <v>0</v>
      </c>
      <c r="H288" s="1062">
        <f>VLOOKUP($B288,dongia1,DG!$F$5,)</f>
        <v>11500</v>
      </c>
      <c r="I288" s="1083"/>
      <c r="J288" s="1062">
        <f>VLOOKUP($B288,dongia1,DG!$G$5,)</f>
        <v>0</v>
      </c>
      <c r="K288" s="1062">
        <f>VLOOKUP($B288,dongia1,DG!$H$5,)</f>
        <v>0</v>
      </c>
      <c r="L288" s="1174">
        <f t="shared" si="49"/>
        <v>0</v>
      </c>
      <c r="M288" s="1174">
        <f t="shared" si="50"/>
        <v>0</v>
      </c>
      <c r="N288" s="1174">
        <f t="shared" si="51"/>
        <v>0</v>
      </c>
      <c r="O288" s="1083">
        <f t="shared" si="52"/>
        <v>0</v>
      </c>
      <c r="P288" s="1080"/>
    </row>
    <row r="289" spans="1:16" s="1081" customFormat="1" hidden="1" outlineLevel="1">
      <c r="A289" s="1199" t="str">
        <f t="shared" si="57"/>
        <v/>
      </c>
      <c r="B289" s="1086" t="s">
        <v>429</v>
      </c>
      <c r="C289" s="1074"/>
      <c r="D289" s="1075">
        <f>VLOOKUP($B289,dongia1,DG!$B$5,)</f>
        <v>0</v>
      </c>
      <c r="E289" s="1076" t="str">
        <f>VLOOKUP($B289,dongia1,DG!$C$5,)</f>
        <v>Keo silicon bít miệng ống</v>
      </c>
      <c r="F289" s="1075" t="str">
        <f>VLOOKUP($B289,dongia1,DG!$D$5,)</f>
        <v>chai</v>
      </c>
      <c r="G289" s="1074">
        <f>G269*4</f>
        <v>0</v>
      </c>
      <c r="H289" s="1062">
        <f>VLOOKUP($B289,dongia1,DG!$F$5,)</f>
        <v>45000</v>
      </c>
      <c r="I289" s="1083"/>
      <c r="J289" s="1062">
        <f>VLOOKUP($B289,dongia1,DG!$G$5,)</f>
        <v>0</v>
      </c>
      <c r="K289" s="1062">
        <f>VLOOKUP($B289,dongia1,DG!$H$5,)</f>
        <v>0</v>
      </c>
      <c r="L289" s="1174">
        <f>H289*G289</f>
        <v>0</v>
      </c>
      <c r="M289" s="1174">
        <f>I289*G289</f>
        <v>0</v>
      </c>
      <c r="N289" s="1174">
        <f>J289*G289</f>
        <v>0</v>
      </c>
      <c r="O289" s="1083">
        <f>K289*G289</f>
        <v>0</v>
      </c>
      <c r="P289" s="1080"/>
    </row>
    <row r="290" spans="1:16" s="1081" customFormat="1" hidden="1" outlineLevel="1">
      <c r="A290" s="1199" t="str">
        <f t="shared" si="57"/>
        <v/>
      </c>
      <c r="B290" s="1067" t="s">
        <v>236</v>
      </c>
      <c r="C290" s="1074"/>
      <c r="D290" s="1075">
        <f>VLOOKUP($B290,dongia1,DG!$B$5,)</f>
        <v>0</v>
      </c>
      <c r="E290" s="1076" t="str">
        <f>VLOOKUP($B290,dongia1,DG!$C$5,)</f>
        <v>Băng keo cách điện hạ thế</v>
      </c>
      <c r="F290" s="1075" t="str">
        <f>VLOOKUP($B290,dongia1,DG!$D$5,)</f>
        <v>cuộn</v>
      </c>
      <c r="G290" s="1074"/>
      <c r="H290" s="1062">
        <f>VLOOKUP($B290,dongia1,DG!$F$5,)</f>
        <v>6500</v>
      </c>
      <c r="I290" s="1083"/>
      <c r="J290" s="1062">
        <f>VLOOKUP($B290,dongia1,DG!$G$5,)</f>
        <v>0</v>
      </c>
      <c r="K290" s="1062">
        <f>VLOOKUP($B290,dongia1,DG!$H$5,)</f>
        <v>0</v>
      </c>
      <c r="L290" s="1174">
        <f t="shared" si="49"/>
        <v>0</v>
      </c>
      <c r="M290" s="1174">
        <f t="shared" si="50"/>
        <v>0</v>
      </c>
      <c r="N290" s="1174">
        <f t="shared" si="51"/>
        <v>0</v>
      </c>
      <c r="O290" s="1083">
        <f t="shared" si="52"/>
        <v>0</v>
      </c>
      <c r="P290" s="1080"/>
    </row>
    <row r="291" spans="1:16" s="1081" customFormat="1" hidden="1" outlineLevel="1">
      <c r="A291" s="1199" t="str">
        <f t="shared" si="57"/>
        <v/>
      </c>
      <c r="B291" s="1086" t="s">
        <v>1194</v>
      </c>
      <c r="C291" s="1074"/>
      <c r="D291" s="1075" t="str">
        <f>VLOOKUP($B291,dongia1,DG!$B$5,)</f>
        <v>D4.1409</v>
      </c>
      <c r="E291" s="1076" t="str">
        <f>VLOOKUP($B291,dongia1,DG!$C$5,)</f>
        <v>Lắp ống nhựa PVC D90</v>
      </c>
      <c r="F291" s="1075" t="str">
        <f>VLOOKUP($B291,dongia1,DG!$D$5,)</f>
        <v>mét</v>
      </c>
      <c r="G291" s="1074"/>
      <c r="H291" s="1062"/>
      <c r="I291" s="1083"/>
      <c r="J291" s="1062">
        <f>VLOOKUP($B291,dongia1,DG!$G$5,)</f>
        <v>55493.02</v>
      </c>
      <c r="K291" s="1062">
        <f>VLOOKUP($B291,dongia1,DG!$H$5,)</f>
        <v>0</v>
      </c>
      <c r="L291" s="1174">
        <f t="shared" si="49"/>
        <v>0</v>
      </c>
      <c r="M291" s="1174">
        <f t="shared" si="50"/>
        <v>0</v>
      </c>
      <c r="N291" s="1174">
        <f t="shared" si="51"/>
        <v>0</v>
      </c>
      <c r="O291" s="1083">
        <f t="shared" si="52"/>
        <v>0</v>
      </c>
      <c r="P291" s="1080"/>
    </row>
    <row r="292" spans="1:16" s="1081" customFormat="1" hidden="1" outlineLevel="1">
      <c r="A292" s="1199" t="str">
        <f t="shared" si="57"/>
        <v/>
      </c>
      <c r="B292" s="1067" t="s">
        <v>224</v>
      </c>
      <c r="C292" s="1074"/>
      <c r="D292" s="1075" t="str">
        <f>VLOOKUP($B292,dongia1,DG!$B$5,)</f>
        <v>T4.4201</v>
      </c>
      <c r="E292" s="1076" t="str">
        <f>VLOOKUP($B292,dongia1,DG!$C$5,)</f>
        <v>Lắp cáp đồng xuống thiết bị D ≤ 95mm2</v>
      </c>
      <c r="F292" s="1075" t="str">
        <f>VLOOKUP($B292,dongia1,DG!$D$5,)</f>
        <v>m</v>
      </c>
      <c r="G292" s="1074">
        <f>G271+G272+G274</f>
        <v>0</v>
      </c>
      <c r="H292" s="1062"/>
      <c r="I292" s="1083"/>
      <c r="J292" s="1062">
        <f>VLOOKUP($B292,dongia1,DG!$G$5,)</f>
        <v>13915</v>
      </c>
      <c r="K292" s="1062">
        <f>VLOOKUP($B292,dongia1,DG!$H$5,)</f>
        <v>0</v>
      </c>
      <c r="L292" s="1174">
        <f>H292*G292</f>
        <v>0</v>
      </c>
      <c r="M292" s="1174">
        <f>I292*G292</f>
        <v>0</v>
      </c>
      <c r="N292" s="1174">
        <f>J292*G292</f>
        <v>0</v>
      </c>
      <c r="O292" s="1083">
        <f>K292*G292</f>
        <v>0</v>
      </c>
      <c r="P292" s="1080"/>
    </row>
    <row r="293" spans="1:16" s="1081" customFormat="1" hidden="1" outlineLevel="1">
      <c r="A293" s="1199" t="str">
        <f t="shared" si="57"/>
        <v/>
      </c>
      <c r="B293" s="1086" t="s">
        <v>888</v>
      </c>
      <c r="C293" s="1207">
        <f>IF(G293&gt;0,C269+1,C269)</f>
        <v>0</v>
      </c>
      <c r="D293" s="1208"/>
      <c r="E293" s="1076" t="str">
        <f>VLOOKUP($B293,dongia1,DG!$C$5,)</f>
        <v>Bảng tên trạm + bảng báo nguy hiểm</v>
      </c>
      <c r="F293" s="1075" t="str">
        <f>VLOOKUP($B293,dongia1,DG!$D$5,)</f>
        <v>cái</v>
      </c>
      <c r="G293" s="1207">
        <f>G232</f>
        <v>0</v>
      </c>
      <c r="H293" s="1062">
        <f>VLOOKUP($B293,dongia1,DG!$F$5,)</f>
        <v>300000</v>
      </c>
      <c r="I293" s="1210"/>
      <c r="J293" s="1062"/>
      <c r="K293" s="1062">
        <f>VLOOKUP($B293,dongia1,DG!$H$5,)</f>
        <v>0</v>
      </c>
      <c r="L293" s="1209">
        <f>H293*G293</f>
        <v>0</v>
      </c>
      <c r="M293" s="1209">
        <f>I293*G293</f>
        <v>0</v>
      </c>
      <c r="N293" s="1209">
        <f>J293*G293</f>
        <v>0</v>
      </c>
      <c r="O293" s="1210">
        <f>K293*G293</f>
        <v>0</v>
      </c>
      <c r="P293" s="1229"/>
    </row>
    <row r="294" spans="1:16" s="1081" customFormat="1" hidden="1" outlineLevel="1">
      <c r="A294" s="1199" t="str">
        <f>A219</f>
        <v/>
      </c>
      <c r="B294" s="1073"/>
      <c r="C294" s="1212"/>
      <c r="D294" s="1213"/>
      <c r="E294" s="1230"/>
      <c r="F294" s="1215"/>
      <c r="G294" s="1215"/>
      <c r="H294" s="1215"/>
      <c r="I294" s="1215"/>
      <c r="J294" s="2460" t="s">
        <v>3388</v>
      </c>
      <c r="K294" s="2460"/>
      <c r="L294" s="1216">
        <f>SUM(L220:L293)</f>
        <v>0</v>
      </c>
      <c r="M294" s="1216">
        <f>SUM(M211:M293)</f>
        <v>0</v>
      </c>
      <c r="N294" s="1216">
        <f>SUM(N220:N293)</f>
        <v>0</v>
      </c>
      <c r="O294" s="1216">
        <f>SUM(O220:O293)</f>
        <v>0</v>
      </c>
      <c r="P294" s="1220"/>
    </row>
    <row r="295" spans="1:16" s="1081" customFormat="1" hidden="1">
      <c r="A295" s="1199" t="str">
        <f>IF(G300&lt;&gt;0,1,"")</f>
        <v/>
      </c>
      <c r="B295" s="1175"/>
      <c r="C295" s="1217"/>
      <c r="D295" s="1144"/>
    </row>
    <row r="296" spans="1:16" s="1081" customFormat="1" hidden="1" outlineLevel="1">
      <c r="A296" s="1154" t="str">
        <f>A295</f>
        <v/>
      </c>
      <c r="B296" s="1175"/>
      <c r="C296" s="1143" t="str">
        <f>"BẢNG TỔNG HỢP VẬT LIỆU, NHÂN CÔNG, MÁY THI CÔNG: "&amp;H9&amp;" TRẠM 1P50KVA"</f>
        <v>BẢNG TỔNG HỢP VẬT LIỆU, NHÂN CÔNG, MÁY THI CÔNG: 0 TRẠM 1P50KVA</v>
      </c>
      <c r="D296" s="1232"/>
      <c r="E296" s="1143"/>
      <c r="F296" s="1143"/>
      <c r="G296" s="1143"/>
      <c r="H296" s="1143"/>
      <c r="I296" s="1143"/>
      <c r="J296" s="1143"/>
      <c r="K296" s="1143"/>
      <c r="L296" s="1143"/>
      <c r="M296" s="1143"/>
      <c r="N296" s="1143"/>
      <c r="O296" s="1143"/>
      <c r="P296" s="1144"/>
    </row>
    <row r="297" spans="1:16" s="1081" customFormat="1" hidden="1" outlineLevel="1">
      <c r="A297" s="1154" t="str">
        <f>A296</f>
        <v/>
      </c>
      <c r="B297" s="1073" t="s">
        <v>308</v>
      </c>
      <c r="C297" s="2459" t="s">
        <v>1014</v>
      </c>
      <c r="D297" s="2467" t="s">
        <v>3363</v>
      </c>
      <c r="E297" s="2457" t="s">
        <v>3364</v>
      </c>
      <c r="F297" s="2459" t="s">
        <v>3365</v>
      </c>
      <c r="G297" s="1155" t="s">
        <v>3367</v>
      </c>
      <c r="H297" s="1156" t="s">
        <v>3368</v>
      </c>
      <c r="I297" s="1157"/>
      <c r="J297" s="1157"/>
      <c r="K297" s="1158"/>
      <c r="L297" s="1156" t="s">
        <v>3372</v>
      </c>
      <c r="M297" s="1157"/>
      <c r="N297" s="1157"/>
      <c r="O297" s="1158"/>
      <c r="P297" s="2459" t="s">
        <v>3373</v>
      </c>
    </row>
    <row r="298" spans="1:16" s="1081" customFormat="1" hidden="1" outlineLevel="1">
      <c r="A298" s="1154" t="str">
        <f>A297</f>
        <v/>
      </c>
      <c r="B298" s="1073"/>
      <c r="C298" s="2459"/>
      <c r="D298" s="2468"/>
      <c r="E298" s="2458"/>
      <c r="F298" s="2459"/>
      <c r="G298" s="1160" t="s">
        <v>3366</v>
      </c>
      <c r="H298" s="1161" t="s">
        <v>393</v>
      </c>
      <c r="I298" s="1161" t="s">
        <v>3369</v>
      </c>
      <c r="J298" s="1161" t="s">
        <v>3370</v>
      </c>
      <c r="K298" s="1161" t="s">
        <v>3371</v>
      </c>
      <c r="L298" s="1161" t="s">
        <v>393</v>
      </c>
      <c r="M298" s="1161" t="s">
        <v>3369</v>
      </c>
      <c r="N298" s="1161" t="s">
        <v>3370</v>
      </c>
      <c r="O298" s="1161" t="s">
        <v>3371</v>
      </c>
      <c r="P298" s="2459"/>
    </row>
    <row r="299" spans="1:16" s="1081" customFormat="1" hidden="1" outlineLevel="1">
      <c r="A299" s="1154" t="str">
        <f>A298</f>
        <v/>
      </c>
      <c r="B299" s="1073"/>
      <c r="C299" s="1162"/>
      <c r="D299" s="1163"/>
      <c r="E299" s="1164" t="s">
        <v>3375</v>
      </c>
      <c r="F299" s="1165"/>
      <c r="G299" s="1165"/>
      <c r="H299" s="1165"/>
      <c r="I299" s="1165"/>
      <c r="J299" s="1165"/>
      <c r="K299" s="1165"/>
      <c r="L299" s="1165"/>
      <c r="M299" s="1165"/>
      <c r="N299" s="1165"/>
      <c r="O299" s="1163"/>
      <c r="P299" s="1166"/>
    </row>
    <row r="300" spans="1:16" s="1081" customFormat="1" hidden="1" outlineLevel="1">
      <c r="A300" s="1072">
        <f t="shared" ref="A300:A311" si="58">IF(G300=0,0,1)</f>
        <v>0</v>
      </c>
      <c r="B300" s="1167" t="str">
        <f>IF($F$8=22,"TR501","TR50")</f>
        <v>TR501</v>
      </c>
      <c r="C300" s="1168">
        <f>IF(G300&gt;0,1,0)</f>
        <v>0</v>
      </c>
      <c r="D300" s="1075" t="str">
        <f>VLOOKUP($B300,dongia1,DG!$B$5,)</f>
        <v>T1.1432</v>
      </c>
      <c r="E300" s="1076" t="str">
        <f>VLOOKUP($B300,dongia1,DG!$C$5,)</f>
        <v>Máy biến áp 12,7/0,22-0,44kV  50kVA</v>
      </c>
      <c r="F300" s="1075" t="str">
        <f>VLOOKUP($B300,dongia1,DG!$D$5,)</f>
        <v>máy</v>
      </c>
      <c r="G300" s="1218">
        <f>H9</f>
        <v>0</v>
      </c>
      <c r="H300" s="1062">
        <f>VLOOKUP($B300,dongia1,DG!$E$5,)</f>
        <v>44055000</v>
      </c>
      <c r="I300" s="1062"/>
      <c r="J300" s="1062">
        <f>VLOOKUP($B300,dongia1,DG!$G$5,)</f>
        <v>630187</v>
      </c>
      <c r="K300" s="1062">
        <f>VLOOKUP($B300,dongia1,DG!$H$5,)</f>
        <v>284508</v>
      </c>
      <c r="L300" s="1174">
        <f t="shared" ref="L300:L308" si="59">H300*G300</f>
        <v>0</v>
      </c>
      <c r="M300" s="1174">
        <f t="shared" ref="M300:M305" si="60">I300*G300</f>
        <v>0</v>
      </c>
      <c r="N300" s="1174">
        <f t="shared" ref="N300:N305" si="61">J300*G300</f>
        <v>0</v>
      </c>
      <c r="O300" s="1083">
        <f t="shared" ref="O300:O305" si="62">K300*G300</f>
        <v>0</v>
      </c>
      <c r="P300" s="1080"/>
    </row>
    <row r="301" spans="1:16" s="1081" customFormat="1" hidden="1" outlineLevel="1">
      <c r="A301" s="1072">
        <f t="shared" si="58"/>
        <v>0</v>
      </c>
      <c r="B301" s="1167" t="str">
        <f>"FCO100-"&amp;$F$8</f>
        <v>FCO100-22</v>
      </c>
      <c r="C301" s="1168">
        <f t="shared" ref="C301:C308" si="63">IF(G301&gt;0,C300+1,C300)</f>
        <v>0</v>
      </c>
      <c r="D301" s="1075" t="str">
        <f>VLOOKUP($B301,dongia1,DG!$B$5,)</f>
        <v>T2.3501</v>
      </c>
      <c r="E301" s="1076" t="str">
        <f>VLOOKUP($B301,dongia1,DG!$C$5,)</f>
        <v>FCO 24kV - 100A</v>
      </c>
      <c r="F301" s="1075" t="str">
        <f>VLOOKUP($B301,dongia1,DG!$D$5,)</f>
        <v>cái</v>
      </c>
      <c r="G301" s="1074">
        <f>+G300</f>
        <v>0</v>
      </c>
      <c r="H301" s="1062">
        <f>VLOOKUP($B301,dongia1,DG!$E$5,)</f>
        <v>2244280</v>
      </c>
      <c r="I301" s="1062"/>
      <c r="J301" s="1062">
        <f>VLOOKUP($B301,dongia1,DG!$G$5,)</f>
        <v>222639.99999999997</v>
      </c>
      <c r="K301" s="1062">
        <f>VLOOKUP($B301,dongia1,DG!$H$5,)</f>
        <v>0</v>
      </c>
      <c r="L301" s="1174">
        <f t="shared" si="59"/>
        <v>0</v>
      </c>
      <c r="M301" s="1174">
        <f t="shared" si="60"/>
        <v>0</v>
      </c>
      <c r="N301" s="1174">
        <f t="shared" si="61"/>
        <v>0</v>
      </c>
      <c r="O301" s="1083">
        <f t="shared" si="62"/>
        <v>0</v>
      </c>
      <c r="P301" s="1080"/>
    </row>
    <row r="302" spans="1:16" s="1081" customFormat="1" hidden="1" outlineLevel="1">
      <c r="A302" s="1072">
        <f t="shared" si="58"/>
        <v>0</v>
      </c>
      <c r="B302" s="1167" t="str">
        <f>IF($F$8=22,"CHI6K","CHI10K")</f>
        <v>CHI6K</v>
      </c>
      <c r="C302" s="1168">
        <f t="shared" si="63"/>
        <v>0</v>
      </c>
      <c r="D302" s="1075">
        <f>VLOOKUP($B302,dongia1,DG!$B$5,)</f>
        <v>0</v>
      </c>
      <c r="E302" s="1076" t="str">
        <f>VLOOKUP($B302,dongia1,DG!$C$5,)</f>
        <v>Dây chảy 6K</v>
      </c>
      <c r="F302" s="1075" t="str">
        <f>VLOOKUP($B302,dongia1,DG!$D$5,)</f>
        <v>Sợi</v>
      </c>
      <c r="G302" s="1074">
        <f>G301</f>
        <v>0</v>
      </c>
      <c r="H302" s="1062">
        <f>VLOOKUP($B302,dongia1,DG!$F$5,)</f>
        <v>84000</v>
      </c>
      <c r="I302" s="1062"/>
      <c r="J302" s="1062">
        <f>VLOOKUP($B302,dongia1,DG!$G$5,)</f>
        <v>0</v>
      </c>
      <c r="K302" s="1062">
        <f>VLOOKUP($B302,dongia1,DG!$H$5,)</f>
        <v>0</v>
      </c>
      <c r="L302" s="1174">
        <f t="shared" si="59"/>
        <v>0</v>
      </c>
      <c r="M302" s="1174">
        <f t="shared" si="60"/>
        <v>0</v>
      </c>
      <c r="N302" s="1174">
        <f t="shared" si="61"/>
        <v>0</v>
      </c>
      <c r="O302" s="1083">
        <f t="shared" si="62"/>
        <v>0</v>
      </c>
      <c r="P302" s="1080"/>
    </row>
    <row r="303" spans="1:16" s="1081" customFormat="1" hidden="1" outlineLevel="1">
      <c r="A303" s="1072">
        <f t="shared" si="58"/>
        <v>0</v>
      </c>
      <c r="B303" s="1175" t="str">
        <f>"LA"&amp;$F$6</f>
        <v>LA18</v>
      </c>
      <c r="C303" s="1168">
        <f t="shared" si="63"/>
        <v>0</v>
      </c>
      <c r="D303" s="1075" t="str">
        <f>VLOOKUP($B303,dongia1,DG!$B$5,)</f>
        <v>T2.5004</v>
      </c>
      <c r="E303" s="1076" t="str">
        <f>VLOOKUP($B303,dongia1,DG!$C$5,)</f>
        <v>LA 18kV 10kA</v>
      </c>
      <c r="F303" s="1075" t="str">
        <f>VLOOKUP($B303,dongia1,DG!$D$5,)</f>
        <v>cái</v>
      </c>
      <c r="G303" s="1074">
        <f>G301</f>
        <v>0</v>
      </c>
      <c r="H303" s="1062">
        <f>VLOOKUP($B303,dongia1,DG!$E$5,)</f>
        <v>1106000</v>
      </c>
      <c r="I303" s="1062"/>
      <c r="J303" s="1062">
        <f>VLOOKUP($B303,dongia1,DG!$G$5,)</f>
        <v>83490</v>
      </c>
      <c r="K303" s="1062">
        <f>VLOOKUP($B303,dongia1,DG!$H$5,)</f>
        <v>0</v>
      </c>
      <c r="L303" s="1174">
        <f t="shared" si="59"/>
        <v>0</v>
      </c>
      <c r="M303" s="1174">
        <f t="shared" si="60"/>
        <v>0</v>
      </c>
      <c r="N303" s="1174">
        <f t="shared" si="61"/>
        <v>0</v>
      </c>
      <c r="O303" s="1083">
        <f t="shared" si="62"/>
        <v>0</v>
      </c>
      <c r="P303" s="1080"/>
    </row>
    <row r="304" spans="1:16" s="1081" customFormat="1" hidden="1" outlineLevel="1">
      <c r="A304" s="1072">
        <f t="shared" si="58"/>
        <v>0</v>
      </c>
      <c r="B304" s="1176" t="s">
        <v>1186</v>
      </c>
      <c r="C304" s="1168">
        <f t="shared" si="63"/>
        <v>0</v>
      </c>
      <c r="D304" s="1075">
        <f>VLOOKUP($B304,dongia1,DG!$B$5,)</f>
        <v>0</v>
      </c>
      <c r="E304" s="1076" t="str">
        <f>VLOOKUP($B304,dongia1,DG!$C$5,)</f>
        <v xml:space="preserve">MCCB 3 cực 400V -250A - 35KA </v>
      </c>
      <c r="F304" s="1075" t="str">
        <f>VLOOKUP($B304,dongia1,DG!$D$5,)</f>
        <v>cái</v>
      </c>
      <c r="G304" s="1074">
        <f>G300</f>
        <v>0</v>
      </c>
      <c r="H304" s="1062">
        <f>VLOOKUP($B304,dongia1,DG!$E$5,)</f>
        <v>4990000</v>
      </c>
      <c r="I304" s="1062"/>
      <c r="J304" s="1062">
        <f>VLOOKUP($B304,dongia1,DG!$G$5,)</f>
        <v>0</v>
      </c>
      <c r="K304" s="1062">
        <f>VLOOKUP($B304,dongia1,DG!$H$5,)</f>
        <v>0</v>
      </c>
      <c r="L304" s="1174">
        <f t="shared" si="59"/>
        <v>0</v>
      </c>
      <c r="M304" s="1174">
        <f t="shared" si="60"/>
        <v>0</v>
      </c>
      <c r="N304" s="1174">
        <f t="shared" si="61"/>
        <v>0</v>
      </c>
      <c r="O304" s="1083">
        <f t="shared" si="62"/>
        <v>0</v>
      </c>
      <c r="P304" s="1080"/>
    </row>
    <row r="305" spans="1:18" s="1081" customFormat="1" hidden="1" outlineLevel="1">
      <c r="A305" s="1072">
        <f t="shared" si="58"/>
        <v>0</v>
      </c>
      <c r="B305" s="1205" t="s">
        <v>915</v>
      </c>
      <c r="C305" s="1168">
        <f t="shared" si="63"/>
        <v>0</v>
      </c>
      <c r="D305" s="1075">
        <f>VLOOKUP($B305,dongia1,DG!$B$5,)</f>
        <v>0</v>
      </c>
      <c r="E305" s="1076" t="str">
        <f>VLOOKUP($B305,dongia1,DG!$C$5,)</f>
        <v xml:space="preserve">Biến dòng 600V - 200/5A </v>
      </c>
      <c r="F305" s="1075" t="str">
        <f>VLOOKUP($B305,dongia1,DG!$D$5,)</f>
        <v>cái</v>
      </c>
      <c r="G305" s="1074">
        <f>G300*Solieu!M58</f>
        <v>0</v>
      </c>
      <c r="H305" s="1062">
        <f>VLOOKUP($B305,dongia1,DG!$E$5,)</f>
        <v>0</v>
      </c>
      <c r="I305" s="1062"/>
      <c r="J305" s="1062">
        <f>VLOOKUP($B305,dongia1,DG!$G$5,)</f>
        <v>0</v>
      </c>
      <c r="K305" s="1062">
        <f>VLOOKUP($B305,dongia1,DG!$H$5,)</f>
        <v>0</v>
      </c>
      <c r="L305" s="1174">
        <f t="shared" si="59"/>
        <v>0</v>
      </c>
      <c r="M305" s="1174">
        <f t="shared" si="60"/>
        <v>0</v>
      </c>
      <c r="N305" s="1174">
        <f t="shared" si="61"/>
        <v>0</v>
      </c>
      <c r="O305" s="1083">
        <f t="shared" si="62"/>
        <v>0</v>
      </c>
      <c r="P305" s="1074" t="s">
        <v>3471</v>
      </c>
    </row>
    <row r="306" spans="1:18" s="1081" customFormat="1" hidden="1" outlineLevel="1">
      <c r="A306" s="1072">
        <f t="shared" si="58"/>
        <v>0</v>
      </c>
      <c r="B306" s="1067" t="s">
        <v>306</v>
      </c>
      <c r="C306" s="1168">
        <f t="shared" si="63"/>
        <v>0</v>
      </c>
      <c r="D306" s="1075">
        <f>VLOOKUP($B306,dongia1,DG!$B$5,)</f>
        <v>0</v>
      </c>
      <c r="E306" s="1076" t="str">
        <f>VLOOKUP($B306,dongia1,DG!$C$5,)</f>
        <v>Điện kế 1 pha 2 dây 220V-5A</v>
      </c>
      <c r="F306" s="1075" t="str">
        <f>VLOOKUP($B306,dongia1,DG!$D$5,)</f>
        <v>cái</v>
      </c>
      <c r="G306" s="1074">
        <f>G305</f>
        <v>0</v>
      </c>
      <c r="H306" s="1062">
        <f>VLOOKUP($B306,dongia1,DG!$E$5,)</f>
        <v>0</v>
      </c>
      <c r="I306" s="1062"/>
      <c r="J306" s="1062">
        <f>VLOOKUP($B306,dongia1,DG!$G$5,)</f>
        <v>0</v>
      </c>
      <c r="K306" s="1062">
        <f>VLOOKUP($B306,dongia1,DG!$H$5,)</f>
        <v>0</v>
      </c>
      <c r="L306" s="1174">
        <f t="shared" si="59"/>
        <v>0</v>
      </c>
      <c r="M306" s="1174">
        <f>I306*G306</f>
        <v>0</v>
      </c>
      <c r="N306" s="1174">
        <f>J306*G306</f>
        <v>0</v>
      </c>
      <c r="O306" s="1083">
        <f>K306*G306</f>
        <v>0</v>
      </c>
      <c r="P306" s="1074" t="s">
        <v>3471</v>
      </c>
    </row>
    <row r="307" spans="1:18" s="1081" customFormat="1" hidden="1" outlineLevel="1">
      <c r="A307" s="1072">
        <f t="shared" si="58"/>
        <v>0</v>
      </c>
      <c r="B307" s="1073" t="s">
        <v>1520</v>
      </c>
      <c r="C307" s="1168">
        <f t="shared" si="63"/>
        <v>0</v>
      </c>
      <c r="D307" s="1075">
        <f>VLOOKUP($B307,dongia1,DG!$B$5,)</f>
        <v>0</v>
      </c>
      <c r="E307" s="1076" t="str">
        <f>VLOOKUP($B307,dongia1,DG!$C$5,)</f>
        <v xml:space="preserve">Ampe kế 100/5A-600v +AS </v>
      </c>
      <c r="F307" s="1075" t="str">
        <f>VLOOKUP($B307,dongia1,DG!$D$5,)</f>
        <v>Bộ</v>
      </c>
      <c r="G307" s="1074">
        <f>G306*0</f>
        <v>0</v>
      </c>
      <c r="H307" s="1062"/>
      <c r="I307" s="1062"/>
      <c r="J307" s="1062">
        <f>VLOOKUP($B307,dongia1,DG!$G$5,)</f>
        <v>0</v>
      </c>
      <c r="K307" s="1062">
        <f>VLOOKUP($B307,dongia1,DG!$H$5,)</f>
        <v>0</v>
      </c>
      <c r="L307" s="1174">
        <f t="shared" si="59"/>
        <v>0</v>
      </c>
      <c r="M307" s="1174">
        <f>I307*G307</f>
        <v>0</v>
      </c>
      <c r="N307" s="1174">
        <f>J307*G307</f>
        <v>0</v>
      </c>
      <c r="O307" s="1083">
        <f>K307*G307</f>
        <v>0</v>
      </c>
      <c r="P307" s="1080"/>
    </row>
    <row r="308" spans="1:18" s="1081" customFormat="1" hidden="1" outlineLevel="1">
      <c r="A308" s="1072">
        <f t="shared" si="58"/>
        <v>0</v>
      </c>
      <c r="B308" s="1073" t="s">
        <v>1521</v>
      </c>
      <c r="C308" s="1168">
        <f t="shared" si="63"/>
        <v>0</v>
      </c>
      <c r="D308" s="1075">
        <f>VLOOKUP($B308,dongia1,DG!$B$5,)</f>
        <v>0</v>
      </c>
      <c r="E308" s="1076" t="str">
        <f>VLOOKUP($B308,dongia1,DG!$C$5,)</f>
        <v>Volt kế 500V + VS + 2xChì ống 1A-230V</v>
      </c>
      <c r="F308" s="1075" t="str">
        <f>VLOOKUP($B308,dongia1,DG!$D$5,)</f>
        <v>Bộ</v>
      </c>
      <c r="G308" s="1074">
        <f>G307</f>
        <v>0</v>
      </c>
      <c r="H308" s="1062"/>
      <c r="I308" s="1062"/>
      <c r="J308" s="1062">
        <f>VLOOKUP($B308,dongia1,DG!$G$5,)</f>
        <v>0</v>
      </c>
      <c r="K308" s="1062">
        <f>VLOOKUP($B308,dongia1,DG!$H$5,)</f>
        <v>0</v>
      </c>
      <c r="L308" s="1174">
        <f t="shared" si="59"/>
        <v>0</v>
      </c>
      <c r="M308" s="1174">
        <f>I308*G308</f>
        <v>0</v>
      </c>
      <c r="N308" s="1174">
        <f>J308*G308</f>
        <v>0</v>
      </c>
      <c r="O308" s="1083">
        <f>K308*G308</f>
        <v>0</v>
      </c>
      <c r="P308" s="1229"/>
    </row>
    <row r="309" spans="1:18" s="1081" customFormat="1" hidden="1" outlineLevel="1">
      <c r="A309" s="1072" t="str">
        <f>A295</f>
        <v/>
      </c>
      <c r="B309" s="1073"/>
      <c r="C309" s="1179"/>
      <c r="D309" s="1180"/>
      <c r="E309" s="1183"/>
      <c r="F309" s="1182"/>
      <c r="G309" s="1182"/>
      <c r="H309" s="1182"/>
      <c r="I309" s="1182"/>
      <c r="J309" s="1183" t="s">
        <v>3387</v>
      </c>
      <c r="K309" s="1182"/>
      <c r="L309" s="1166">
        <f>SUM(L300:L308)</f>
        <v>0</v>
      </c>
      <c r="M309" s="1166"/>
      <c r="N309" s="1166">
        <f>SUM(N300:N308)</f>
        <v>0</v>
      </c>
      <c r="O309" s="1166">
        <f>SUM(O300:O308)</f>
        <v>0</v>
      </c>
      <c r="P309" s="1220"/>
    </row>
    <row r="310" spans="1:18" s="1081" customFormat="1" hidden="1" outlineLevel="1">
      <c r="A310" s="1072" t="str">
        <f>A309</f>
        <v/>
      </c>
      <c r="B310" s="1073"/>
      <c r="C310" s="1184"/>
      <c r="D310" s="1185"/>
      <c r="E310" s="1186" t="s">
        <v>3376</v>
      </c>
      <c r="F310" s="1186"/>
      <c r="G310" s="1186"/>
      <c r="H310" s="1186"/>
      <c r="I310" s="1186"/>
      <c r="J310" s="1186"/>
      <c r="K310" s="1186"/>
      <c r="L310" s="1186"/>
      <c r="M310" s="1186"/>
      <c r="N310" s="1186"/>
      <c r="O310" s="1185"/>
      <c r="P310" s="1220"/>
    </row>
    <row r="311" spans="1:18" s="1081" customFormat="1" hidden="1" outlineLevel="1">
      <c r="A311" s="1072">
        <f t="shared" si="58"/>
        <v>0</v>
      </c>
      <c r="B311" s="1073" t="s">
        <v>1262</v>
      </c>
      <c r="C311" s="1187">
        <f>IF(G323&gt;0,1,0)</f>
        <v>0</v>
      </c>
      <c r="D311" s="1192"/>
      <c r="E311" s="1076" t="str">
        <f>VLOOKUP($B311,dongia1,DG!$C$5,)</f>
        <v>Boulon 16x300+ 2 long đền vuông D18-50x50x3/Zn</v>
      </c>
      <c r="F311" s="1075" t="str">
        <f>VLOOKUP($B311,dongia1,DG!$D$5,)</f>
        <v>bộ</v>
      </c>
      <c r="G311" s="1064">
        <f>2*SUM(G300:G300)</f>
        <v>0</v>
      </c>
      <c r="H311" s="1062">
        <f>VLOOKUP($B311,dongia1,DG!$F$5,)</f>
        <v>25400</v>
      </c>
      <c r="I311" s="1083"/>
      <c r="J311" s="1062">
        <f>VLOOKUP($B311,dongia1,DG!$G$5,)</f>
        <v>0</v>
      </c>
      <c r="K311" s="1062">
        <f>VLOOKUP($B311,dongia1,DG!$H$5,)</f>
        <v>0</v>
      </c>
      <c r="L311" s="1174">
        <f t="shared" ref="L311:L374" si="64">H311*G311</f>
        <v>0</v>
      </c>
      <c r="M311" s="1174">
        <f t="shared" ref="M311:M374" si="65">I311*G311</f>
        <v>0</v>
      </c>
      <c r="N311" s="1174">
        <f t="shared" ref="N311:N374" si="66">J311*G311</f>
        <v>0</v>
      </c>
      <c r="O311" s="1083">
        <f t="shared" ref="O311:O374" si="67">K311*G311</f>
        <v>0</v>
      </c>
      <c r="P311" s="1219"/>
    </row>
    <row r="312" spans="1:18" s="1081" customFormat="1" hidden="1" outlineLevel="1">
      <c r="A312" s="1154">
        <f>IF(G312&lt;&gt;0,1,)</f>
        <v>0</v>
      </c>
      <c r="B312" s="1073"/>
      <c r="C312" s="1191">
        <f>IF(G312&gt;0,C311+1,C311)</f>
        <v>0</v>
      </c>
      <c r="D312" s="1192"/>
      <c r="E312" s="1193" t="s">
        <v>3422</v>
      </c>
      <c r="F312" s="1064" t="s">
        <v>2113</v>
      </c>
      <c r="G312" s="1064">
        <f>G300*0</f>
        <v>0</v>
      </c>
      <c r="H312" s="1083"/>
      <c r="I312" s="1083"/>
      <c r="J312" s="1083"/>
      <c r="K312" s="1083"/>
      <c r="L312" s="1174">
        <f t="shared" si="64"/>
        <v>0</v>
      </c>
      <c r="M312" s="1174">
        <f t="shared" si="65"/>
        <v>0</v>
      </c>
      <c r="N312" s="1174">
        <f t="shared" si="66"/>
        <v>0</v>
      </c>
      <c r="O312" s="1083">
        <f t="shared" si="67"/>
        <v>0</v>
      </c>
      <c r="P312" s="1074"/>
    </row>
    <row r="313" spans="1:18" s="1081" customFormat="1" ht="14.4" hidden="1" outlineLevel="1">
      <c r="A313" s="1154">
        <f>A312</f>
        <v>0</v>
      </c>
      <c r="B313" s="1073"/>
      <c r="C313" s="1064"/>
      <c r="D313" s="1192"/>
      <c r="E313" s="1194" t="s">
        <v>3399</v>
      </c>
      <c r="F313" s="1074"/>
      <c r="G313" s="1074"/>
      <c r="H313" s="1083"/>
      <c r="I313" s="1083"/>
      <c r="J313" s="1083"/>
      <c r="K313" s="1083"/>
      <c r="L313" s="1174">
        <f t="shared" si="64"/>
        <v>0</v>
      </c>
      <c r="M313" s="1174">
        <f t="shared" si="65"/>
        <v>0</v>
      </c>
      <c r="N313" s="1174">
        <f t="shared" si="66"/>
        <v>0</v>
      </c>
      <c r="O313" s="1083">
        <f t="shared" si="67"/>
        <v>0</v>
      </c>
      <c r="P313" s="1074"/>
      <c r="R313" s="1195"/>
    </row>
    <row r="314" spans="1:18" s="1081" customFormat="1" hidden="1" outlineLevel="1">
      <c r="A314" s="1154">
        <f>IF(G314&lt;&gt;0,1,)</f>
        <v>0</v>
      </c>
      <c r="B314" s="1067" t="s">
        <v>1012</v>
      </c>
      <c r="C314" s="1074"/>
      <c r="D314" s="1075">
        <f>VLOOKUP($B314,dongia1,DG!$B$5,)</f>
        <v>0</v>
      </c>
      <c r="E314" s="1076" t="str">
        <f>VLOOKUP($B314,dongia1,DG!$C$5,)</f>
        <v>Trụ BTLT 12m F350 dự ứng lực</v>
      </c>
      <c r="F314" s="1075" t="str">
        <f>VLOOKUP($B314,dongia1,DG!$D$5,)</f>
        <v>trụ</v>
      </c>
      <c r="G314" s="1074">
        <f>1*G312</f>
        <v>0</v>
      </c>
      <c r="H314" s="1062">
        <f>VLOOKUP($B314,dongia1,DG!$F$5,)</f>
        <v>4400000</v>
      </c>
      <c r="I314" s="1062"/>
      <c r="J314" s="1062">
        <f>VLOOKUP($B314,dongia1,DG!$G$5,)</f>
        <v>0</v>
      </c>
      <c r="K314" s="1062">
        <f>VLOOKUP($B314,dongia1,DG!$H$5,)</f>
        <v>0</v>
      </c>
      <c r="L314" s="1174">
        <f t="shared" si="64"/>
        <v>0</v>
      </c>
      <c r="M314" s="1174">
        <f t="shared" si="65"/>
        <v>0</v>
      </c>
      <c r="N314" s="1174">
        <f t="shared" si="66"/>
        <v>0</v>
      </c>
      <c r="O314" s="1083">
        <f t="shared" si="67"/>
        <v>0</v>
      </c>
      <c r="P314" s="1074"/>
      <c r="R314" s="1195"/>
    </row>
    <row r="315" spans="1:18" s="1081" customFormat="1" hidden="1" outlineLevel="1">
      <c r="A315" s="1154">
        <f>IF(G315&lt;&gt;0,1,)</f>
        <v>0</v>
      </c>
      <c r="B315" s="1067" t="s">
        <v>1457</v>
      </c>
      <c r="C315" s="1074"/>
      <c r="D315" s="1196"/>
      <c r="E315" s="1076" t="str">
        <f>VLOOKUP($B315,dongia1,DG!$C$5,)</f>
        <v>Vật liệu dựng trụ</v>
      </c>
      <c r="F315" s="1075" t="str">
        <f>VLOOKUP($B315,dongia1,DG!$D$5,)</f>
        <v>trụ</v>
      </c>
      <c r="G315" s="1074">
        <f>G314</f>
        <v>0</v>
      </c>
      <c r="H315" s="1062">
        <f>VLOOKUP($B315,dongia1,DG!$F$5,)</f>
        <v>17400</v>
      </c>
      <c r="I315" s="1062"/>
      <c r="J315" s="1062">
        <f>VLOOKUP($B315,dongia1,DG!$G$5,)</f>
        <v>0</v>
      </c>
      <c r="K315" s="1062">
        <f>VLOOKUP($B315,dongia1,DG!$H$5,)</f>
        <v>0</v>
      </c>
      <c r="L315" s="1174">
        <f t="shared" si="64"/>
        <v>0</v>
      </c>
      <c r="M315" s="1174">
        <f t="shared" si="65"/>
        <v>0</v>
      </c>
      <c r="N315" s="1174">
        <f t="shared" si="66"/>
        <v>0</v>
      </c>
      <c r="O315" s="1083">
        <f t="shared" si="67"/>
        <v>0</v>
      </c>
      <c r="P315" s="1074"/>
      <c r="R315" s="1195"/>
    </row>
    <row r="316" spans="1:18" s="1081" customFormat="1" hidden="1" outlineLevel="1">
      <c r="A316" s="1154">
        <f>IF(G316&lt;&gt;0,1,)</f>
        <v>0</v>
      </c>
      <c r="B316" s="1067" t="s">
        <v>1993</v>
      </c>
      <c r="C316" s="1074"/>
      <c r="D316" s="1196"/>
      <c r="E316" s="1076" t="str">
        <f>VLOOKUP($B316,dongia1,DG!$C$5,)</f>
        <v>Dựng trụ BTLT 12m trong TBA bằng thủ công + cơ giới</v>
      </c>
      <c r="F316" s="1075" t="str">
        <f>VLOOKUP($B316,dongia1,DG!$D$5,)</f>
        <v>trụ</v>
      </c>
      <c r="G316" s="1074">
        <f>G314</f>
        <v>0</v>
      </c>
      <c r="H316" s="1062">
        <f>VLOOKUP($B316,dongia1,DG!$F$5,)</f>
        <v>0</v>
      </c>
      <c r="I316" s="1062"/>
      <c r="J316" s="1062">
        <f>VLOOKUP($B316,dongia1,DG!$G$5,)</f>
        <v>112286</v>
      </c>
      <c r="K316" s="1062">
        <f>VLOOKUP($B316,dongia1,DG!$H$5,)</f>
        <v>105970</v>
      </c>
      <c r="L316" s="1174">
        <f t="shared" si="64"/>
        <v>0</v>
      </c>
      <c r="M316" s="1174">
        <f t="shared" si="65"/>
        <v>0</v>
      </c>
      <c r="N316" s="1174">
        <f t="shared" si="66"/>
        <v>0</v>
      </c>
      <c r="O316" s="1083">
        <f t="shared" si="67"/>
        <v>0</v>
      </c>
      <c r="P316" s="1074"/>
      <c r="R316" s="1195"/>
    </row>
    <row r="317" spans="1:18" s="1081" customFormat="1" hidden="1" outlineLevel="1">
      <c r="A317" s="1154">
        <f>IF(G317&lt;&gt;0,1,)</f>
        <v>0</v>
      </c>
      <c r="B317" s="1073"/>
      <c r="C317" s="1191">
        <f>IF(G317&gt;0,C312+1,C312)</f>
        <v>0</v>
      </c>
      <c r="D317" s="1192"/>
      <c r="E317" s="1193" t="s">
        <v>3390</v>
      </c>
      <c r="F317" s="1064" t="s">
        <v>2113</v>
      </c>
      <c r="G317" s="1064">
        <f>G312</f>
        <v>0</v>
      </c>
      <c r="H317" s="1083"/>
      <c r="I317" s="1083"/>
      <c r="J317" s="1083"/>
      <c r="K317" s="1083"/>
      <c r="L317" s="1174">
        <f t="shared" si="64"/>
        <v>0</v>
      </c>
      <c r="M317" s="1174">
        <f t="shared" si="65"/>
        <v>0</v>
      </c>
      <c r="N317" s="1174">
        <f t="shared" si="66"/>
        <v>0</v>
      </c>
      <c r="O317" s="1083">
        <f t="shared" si="67"/>
        <v>0</v>
      </c>
      <c r="P317" s="1074"/>
    </row>
    <row r="318" spans="1:18" s="1081" customFormat="1" ht="14.4" hidden="1" outlineLevel="1">
      <c r="A318" s="1154">
        <f>A317</f>
        <v>0</v>
      </c>
      <c r="B318" s="1073"/>
      <c r="C318" s="1064"/>
      <c r="D318" s="1192"/>
      <c r="E318" s="1194" t="s">
        <v>3399</v>
      </c>
      <c r="F318" s="1074"/>
      <c r="G318" s="1074"/>
      <c r="H318" s="1083"/>
      <c r="I318" s="1083"/>
      <c r="J318" s="1083"/>
      <c r="K318" s="1083"/>
      <c r="L318" s="1174">
        <f t="shared" si="64"/>
        <v>0</v>
      </c>
      <c r="M318" s="1174">
        <f t="shared" si="65"/>
        <v>0</v>
      </c>
      <c r="N318" s="1174">
        <f t="shared" si="66"/>
        <v>0</v>
      </c>
      <c r="O318" s="1083">
        <f t="shared" si="67"/>
        <v>0</v>
      </c>
      <c r="P318" s="1074"/>
      <c r="R318" s="1195"/>
    </row>
    <row r="319" spans="1:18" s="1081" customFormat="1" hidden="1" outlineLevel="1">
      <c r="A319" s="1154">
        <f>IF(G319&lt;&gt;0,1,)</f>
        <v>0</v>
      </c>
      <c r="B319" s="1067" t="s">
        <v>580</v>
      </c>
      <c r="C319" s="1074"/>
      <c r="D319" s="1075" t="str">
        <f>VLOOKUP($B319,dongia1,DG!$B$5,)</f>
        <v>AG.42111</v>
      </c>
      <c r="E319" s="1076" t="str">
        <f>VLOOKUP($B319,dongia1,DG!$C$5,)</f>
        <v>Đà cản BTCT 1,2m</v>
      </c>
      <c r="F319" s="1075" t="str">
        <f>VLOOKUP($B319,dongia1,DG!$D$5,)</f>
        <v>cái</v>
      </c>
      <c r="G319" s="1074">
        <f>1*G317</f>
        <v>0</v>
      </c>
      <c r="H319" s="1062">
        <f>VLOOKUP($B319,dongia1,DG!$F$5,)</f>
        <v>354545</v>
      </c>
      <c r="I319" s="1062"/>
      <c r="J319" s="1062">
        <f>VLOOKUP($B319,dongia1,DG!$G$5,)</f>
        <v>37220.25</v>
      </c>
      <c r="K319" s="1062">
        <f>VLOOKUP($B319,dongia1,DG!$H$5,)</f>
        <v>0</v>
      </c>
      <c r="L319" s="1174">
        <f t="shared" si="64"/>
        <v>0</v>
      </c>
      <c r="M319" s="1174">
        <f t="shared" si="65"/>
        <v>0</v>
      </c>
      <c r="N319" s="1174">
        <f t="shared" si="66"/>
        <v>0</v>
      </c>
      <c r="O319" s="1083">
        <f t="shared" si="67"/>
        <v>0</v>
      </c>
      <c r="P319" s="1074"/>
      <c r="R319" s="1195"/>
    </row>
    <row r="320" spans="1:18" s="1081" customFormat="1" hidden="1" outlineLevel="1">
      <c r="A320" s="1154">
        <f>IF(G320&lt;&gt;0,1,)</f>
        <v>0</v>
      </c>
      <c r="B320" s="1067" t="s">
        <v>952</v>
      </c>
      <c r="C320" s="1074"/>
      <c r="D320" s="1075">
        <f>VLOOKUP($B320,dongia1,DG!$B$5,)</f>
        <v>0</v>
      </c>
      <c r="E320" s="1076" t="str">
        <f>VLOOKUP($B320,dongia1,DG!$C$5,)</f>
        <v>Boulon 22x650+ 2 long đền vuông D24-60x60x3/Zn</v>
      </c>
      <c r="F320" s="1075" t="str">
        <f>VLOOKUP($B320,dongia1,DG!$D$5,)</f>
        <v>bộ</v>
      </c>
      <c r="G320" s="1074">
        <f>G317</f>
        <v>0</v>
      </c>
      <c r="H320" s="1062">
        <f>VLOOKUP($B320,dongia1,DG!$F$5,)</f>
        <v>92200</v>
      </c>
      <c r="I320" s="1062"/>
      <c r="J320" s="1062">
        <f>VLOOKUP($B320,dongia1,DG!$G$5,)</f>
        <v>0</v>
      </c>
      <c r="K320" s="1062">
        <f>VLOOKUP($B320,dongia1,DG!$H$5,)</f>
        <v>0</v>
      </c>
      <c r="L320" s="1174">
        <f t="shared" si="64"/>
        <v>0</v>
      </c>
      <c r="M320" s="1174">
        <f t="shared" si="65"/>
        <v>0</v>
      </c>
      <c r="N320" s="1174">
        <f t="shared" si="66"/>
        <v>0</v>
      </c>
      <c r="O320" s="1083">
        <f t="shared" si="67"/>
        <v>0</v>
      </c>
      <c r="P320" s="1074"/>
      <c r="R320" s="1195"/>
    </row>
    <row r="321" spans="1:18" s="1081" customFormat="1" hidden="1" outlineLevel="1">
      <c r="A321" s="1154">
        <f>IF(G321&lt;&gt;0,1,)</f>
        <v>0</v>
      </c>
      <c r="B321" s="1067" t="str">
        <f>IF(capdat=1,"MDD1",IF(capdat=2,"MDD2",IF(capdat=3,"MDD3",IF(capdat=4,"MDD4"))))</f>
        <v>MDD3</v>
      </c>
      <c r="C321" s="1074"/>
      <c r="D321" s="1075" t="str">
        <f>VLOOKUP($B321,dongia1,DG!$B$5,)</f>
        <v>03.1013</v>
      </c>
      <c r="E321" s="1076" t="str">
        <f>VLOOKUP($B321,dongia1,DG!$C$5,)</f>
        <v>Đào hố móng đất cấp 3 sâu &gt;1m DT&lt;5m2</v>
      </c>
      <c r="F321" s="1075" t="str">
        <f>VLOOKUP($B321,dongia1,DG!$D$5,)</f>
        <v>m3</v>
      </c>
      <c r="G321" s="1197">
        <f>G317*1.45</f>
        <v>0</v>
      </c>
      <c r="H321" s="1062">
        <f>VLOOKUP($B321,dongia1,DG!$F$5,)</f>
        <v>0</v>
      </c>
      <c r="I321" s="1062"/>
      <c r="J321" s="1062">
        <f>VLOOKUP($B321,dongia1,DG!$G$5,)</f>
        <v>296500.89999999997</v>
      </c>
      <c r="K321" s="1062">
        <f>VLOOKUP($B321,dongia1,DG!$H$5,)</f>
        <v>0</v>
      </c>
      <c r="L321" s="1174">
        <f t="shared" si="64"/>
        <v>0</v>
      </c>
      <c r="M321" s="1174">
        <f t="shared" si="65"/>
        <v>0</v>
      </c>
      <c r="N321" s="1174">
        <f t="shared" si="66"/>
        <v>0</v>
      </c>
      <c r="O321" s="1083">
        <f t="shared" si="67"/>
        <v>0</v>
      </c>
      <c r="P321" s="1074"/>
      <c r="R321" s="1195"/>
    </row>
    <row r="322" spans="1:18" s="1081" customFormat="1" hidden="1" outlineLevel="1">
      <c r="A322" s="1154">
        <f>IF(G322&lt;&gt;0,1,)</f>
        <v>0</v>
      </c>
      <c r="B322" s="1067" t="str">
        <f>IF(capdat=1,"MDAP1",IF(capdat=2,"MDAP2",IF(capdat=3,"MDAP3",IF(capdat=4,"MDAP4"))))</f>
        <v>MDAP3</v>
      </c>
      <c r="C322" s="1074"/>
      <c r="D322" s="1075" t="str">
        <f>VLOOKUP($B322,dongia1,DG!$B$5,)</f>
        <v>AB.13111</v>
      </c>
      <c r="E322" s="1076" t="str">
        <f>VLOOKUP($B322,dongia1,DG!$C$5,)</f>
        <v>Đắp đất hố móng, đất cấp 3 (độ chặt k = 0.85)</v>
      </c>
      <c r="F322" s="1075" t="str">
        <f>VLOOKUP($B322,dongia1,DG!$D$5,)</f>
        <v>m3</v>
      </c>
      <c r="G322" s="1197">
        <f>G317*1.37</f>
        <v>0</v>
      </c>
      <c r="H322" s="1062">
        <f>VLOOKUP($B322,dongia1,DG!$F$5,)</f>
        <v>0</v>
      </c>
      <c r="I322" s="1062"/>
      <c r="J322" s="1062">
        <f>VLOOKUP($B322,dongia1,DG!$G$5,)</f>
        <v>117703.6</v>
      </c>
      <c r="K322" s="1062">
        <f>VLOOKUP($B322,dongia1,DG!$H$5,)</f>
        <v>0</v>
      </c>
      <c r="L322" s="1174">
        <f t="shared" si="64"/>
        <v>0</v>
      </c>
      <c r="M322" s="1174">
        <f t="shared" si="65"/>
        <v>0</v>
      </c>
      <c r="N322" s="1174">
        <f t="shared" si="66"/>
        <v>0</v>
      </c>
      <c r="O322" s="1083">
        <f t="shared" si="67"/>
        <v>0</v>
      </c>
      <c r="P322" s="1074"/>
      <c r="R322" s="1195"/>
    </row>
    <row r="323" spans="1:18" s="1081" customFormat="1" hidden="1" outlineLevel="1">
      <c r="A323" s="1072">
        <f t="shared" ref="A323:A374" si="68">IF(G323=0,0,1)</f>
        <v>0</v>
      </c>
      <c r="B323" s="1073"/>
      <c r="C323" s="1191">
        <f>IF(G323&gt;0,C317+1,C317)</f>
        <v>0</v>
      </c>
      <c r="D323" s="1192"/>
      <c r="E323" s="1221" t="s">
        <v>3398</v>
      </c>
      <c r="F323" s="1064" t="s">
        <v>2113</v>
      </c>
      <c r="G323" s="1064">
        <f>SUM(G300:G300)</f>
        <v>0</v>
      </c>
      <c r="H323" s="1062"/>
      <c r="I323" s="1083"/>
      <c r="J323" s="1062"/>
      <c r="K323" s="1062"/>
      <c r="L323" s="1174">
        <f t="shared" si="64"/>
        <v>0</v>
      </c>
      <c r="M323" s="1174">
        <f t="shared" si="65"/>
        <v>0</v>
      </c>
      <c r="N323" s="1174">
        <f t="shared" si="66"/>
        <v>0</v>
      </c>
      <c r="O323" s="1083">
        <f t="shared" si="67"/>
        <v>0</v>
      </c>
      <c r="P323" s="1080"/>
    </row>
    <row r="324" spans="1:18" s="1081" customFormat="1" ht="14.4" hidden="1" outlineLevel="1">
      <c r="A324" s="1072">
        <f>A323</f>
        <v>0</v>
      </c>
      <c r="B324" s="1073"/>
      <c r="C324" s="1064"/>
      <c r="D324" s="1192"/>
      <c r="E324" s="1222" t="s">
        <v>3399</v>
      </c>
      <c r="F324" s="1074"/>
      <c r="G324" s="1074"/>
      <c r="H324" s="1062"/>
      <c r="I324" s="1083"/>
      <c r="J324" s="1062"/>
      <c r="K324" s="1062"/>
      <c r="L324" s="1174">
        <f t="shared" si="64"/>
        <v>0</v>
      </c>
      <c r="M324" s="1174">
        <f t="shared" si="65"/>
        <v>0</v>
      </c>
      <c r="N324" s="1174">
        <f t="shared" si="66"/>
        <v>0</v>
      </c>
      <c r="O324" s="1083">
        <f t="shared" si="67"/>
        <v>0</v>
      </c>
      <c r="P324" s="1080"/>
    </row>
    <row r="325" spans="1:18" s="1081" customFormat="1" hidden="1" outlineLevel="1">
      <c r="A325" s="1199" t="str">
        <f t="shared" ref="A325:A332" si="69">IF(G325&lt;&gt;0,1,"")</f>
        <v/>
      </c>
      <c r="B325" s="1067" t="s">
        <v>2116</v>
      </c>
      <c r="C325" s="1074"/>
      <c r="D325" s="1075">
        <f>VLOOKUP($B325,dongia1,DG!$B$5,)</f>
        <v>0</v>
      </c>
      <c r="E325" s="1076" t="str">
        <f>VLOOKUP($B325,dongia1,DG!$C$5,)</f>
        <v>Đà Composite 110x80x5x800</v>
      </c>
      <c r="F325" s="1198" t="str">
        <f>VLOOKUP($B325,dongia1,DG!$D$5,)</f>
        <v>cây</v>
      </c>
      <c r="G325" s="1202">
        <f>G323*1</f>
        <v>0</v>
      </c>
      <c r="H325" s="1062">
        <f>VLOOKUP($B325,dongia1,DG!$F$5,)</f>
        <v>320000</v>
      </c>
      <c r="I325" s="1083"/>
      <c r="J325" s="1062">
        <f>VLOOKUP($B325,dongia1,DG!$G$5,)</f>
        <v>0</v>
      </c>
      <c r="K325" s="1062">
        <f>VLOOKUP($B325,dongia1,DG!$H$5,)</f>
        <v>0</v>
      </c>
      <c r="L325" s="1174">
        <f t="shared" si="64"/>
        <v>0</v>
      </c>
      <c r="M325" s="1174">
        <f>I325*G325</f>
        <v>0</v>
      </c>
      <c r="N325" s="1174">
        <f t="shared" ref="N325:N331" si="70">J325*G325</f>
        <v>0</v>
      </c>
      <c r="O325" s="1083">
        <f t="shared" si="67"/>
        <v>0</v>
      </c>
      <c r="P325" s="1080"/>
    </row>
    <row r="326" spans="1:18" s="1081" customFormat="1" hidden="1" outlineLevel="1">
      <c r="A326" s="1199" t="str">
        <f t="shared" si="69"/>
        <v/>
      </c>
      <c r="B326" s="1067" t="s">
        <v>2109</v>
      </c>
      <c r="C326" s="1074"/>
      <c r="D326" s="1075">
        <f>VLOOKUP($B326,dongia1,DG!$B$5,)</f>
        <v>0</v>
      </c>
      <c r="E326" s="1076" t="str">
        <f>VLOOKUP($B326,dongia1,DG!$C$5,)</f>
        <v>Chống Composite 40x10x710</v>
      </c>
      <c r="F326" s="1075" t="str">
        <f>VLOOKUP($B326,dongia1,DG!$D$5,)</f>
        <v>Thanh</v>
      </c>
      <c r="G326" s="1074">
        <f>G325*1</f>
        <v>0</v>
      </c>
      <c r="H326" s="1062">
        <f>VLOOKUP($B326,dongia1,DG!$F$5,)</f>
        <v>95000</v>
      </c>
      <c r="I326" s="1083"/>
      <c r="J326" s="1062">
        <f>VLOOKUP($B326,dongia1,DG!$G$5,)</f>
        <v>0</v>
      </c>
      <c r="K326" s="1062">
        <f>VLOOKUP($B326,dongia1,DG!$H$5,)</f>
        <v>0</v>
      </c>
      <c r="L326" s="1174">
        <f t="shared" si="64"/>
        <v>0</v>
      </c>
      <c r="M326" s="1174">
        <f>I326*G326</f>
        <v>0</v>
      </c>
      <c r="N326" s="1174">
        <f t="shared" si="70"/>
        <v>0</v>
      </c>
      <c r="O326" s="1083">
        <f t="shared" si="67"/>
        <v>0</v>
      </c>
      <c r="P326" s="1080"/>
    </row>
    <row r="327" spans="1:18" s="1081" customFormat="1" hidden="1" outlineLevel="1">
      <c r="A327" s="1199" t="str">
        <f t="shared" si="69"/>
        <v/>
      </c>
      <c r="B327" s="1067" t="s">
        <v>2078</v>
      </c>
      <c r="C327" s="1074"/>
      <c r="D327" s="1075">
        <f>VLOOKUP($B327,dongia1,DG!$B$5,)</f>
        <v>0</v>
      </c>
      <c r="E327" s="1076" t="str">
        <f>VLOOKUP($B327,dongia1,DG!$C$5,)</f>
        <v>Bass LL bắt FCO và LA</v>
      </c>
      <c r="F327" s="1075" t="str">
        <f>VLOOKUP($B327,dongia1,DG!$D$5,)</f>
        <v>bộ</v>
      </c>
      <c r="G327" s="1074">
        <f>G323*1</f>
        <v>0</v>
      </c>
      <c r="H327" s="1062">
        <f>VLOOKUP($B327,dongia1,DG!$F$5,)</f>
        <v>65000</v>
      </c>
      <c r="I327" s="1083"/>
      <c r="J327" s="1062">
        <f>VLOOKUP($B327,dongia1,DG!$G$5,)</f>
        <v>0</v>
      </c>
      <c r="K327" s="1062">
        <f>VLOOKUP($B327,dongia1,DG!$H$5,)</f>
        <v>0</v>
      </c>
      <c r="L327" s="1174">
        <f t="shared" si="64"/>
        <v>0</v>
      </c>
      <c r="M327" s="1174"/>
      <c r="N327" s="1174">
        <f t="shared" si="70"/>
        <v>0</v>
      </c>
      <c r="O327" s="1083">
        <f t="shared" si="67"/>
        <v>0</v>
      </c>
      <c r="P327" s="1080"/>
    </row>
    <row r="328" spans="1:18" s="1081" customFormat="1" hidden="1" outlineLevel="1">
      <c r="A328" s="1199" t="str">
        <f t="shared" si="69"/>
        <v/>
      </c>
      <c r="B328" s="1067" t="s">
        <v>2164</v>
      </c>
      <c r="C328" s="1074"/>
      <c r="D328" s="1075">
        <f>VLOOKUP($B328,dongia1,DG!$B$5,)</f>
        <v>0</v>
      </c>
      <c r="E328" s="1076" t="str">
        <f>VLOOKUP($B328,dongia1,DG!$C$5,)</f>
        <v>Nắp che đầu cực FCO</v>
      </c>
      <c r="F328" s="1075" t="str">
        <f>VLOOKUP($B328,dongia1,DG!$D$5,)</f>
        <v>cái</v>
      </c>
      <c r="G328" s="1074">
        <f>1*$G$301</f>
        <v>0</v>
      </c>
      <c r="H328" s="1062">
        <f>VLOOKUP($B328,dongia1,DG!$F$5,)</f>
        <v>218200</v>
      </c>
      <c r="I328" s="1083"/>
      <c r="J328" s="1062">
        <f>VLOOKUP($B328,dongia1,DG!$G$5,)</f>
        <v>0</v>
      </c>
      <c r="K328" s="1062">
        <f>VLOOKUP($B328,dongia1,DG!$H$5,)</f>
        <v>0</v>
      </c>
      <c r="L328" s="1174">
        <f t="shared" si="64"/>
        <v>0</v>
      </c>
      <c r="M328" s="1174"/>
      <c r="N328" s="1174">
        <f t="shared" si="70"/>
        <v>0</v>
      </c>
      <c r="O328" s="1083">
        <f t="shared" si="67"/>
        <v>0</v>
      </c>
      <c r="P328" s="1080"/>
    </row>
    <row r="329" spans="1:18" s="1081" customFormat="1" hidden="1" outlineLevel="1">
      <c r="A329" s="1199" t="str">
        <f t="shared" si="69"/>
        <v/>
      </c>
      <c r="B329" s="1067" t="s">
        <v>2165</v>
      </c>
      <c r="C329" s="1074"/>
      <c r="D329" s="1075">
        <f>VLOOKUP($B329,dongia1,DG!$B$5,)</f>
        <v>0</v>
      </c>
      <c r="E329" s="1076" t="str">
        <f>VLOOKUP($B329,dongia1,DG!$C$5,)</f>
        <v>Nắp che đầu cực LA</v>
      </c>
      <c r="F329" s="1075" t="str">
        <f>VLOOKUP($B329,dongia1,DG!$D$5,)</f>
        <v>cái</v>
      </c>
      <c r="G329" s="1074">
        <f>1*$G$303</f>
        <v>0</v>
      </c>
      <c r="H329" s="1062">
        <f>VLOOKUP($B329,dongia1,DG!$F$5,)</f>
        <v>39100</v>
      </c>
      <c r="I329" s="1083"/>
      <c r="J329" s="1062">
        <f>VLOOKUP($B329,dongia1,DG!$G$5,)</f>
        <v>0</v>
      </c>
      <c r="K329" s="1062">
        <f>VLOOKUP($B329,dongia1,DG!$H$5,)</f>
        <v>0</v>
      </c>
      <c r="L329" s="1174">
        <f t="shared" si="64"/>
        <v>0</v>
      </c>
      <c r="M329" s="1174"/>
      <c r="N329" s="1174">
        <f t="shared" si="70"/>
        <v>0</v>
      </c>
      <c r="O329" s="1083">
        <f t="shared" si="67"/>
        <v>0</v>
      </c>
      <c r="P329" s="1080"/>
    </row>
    <row r="330" spans="1:18" s="1081" customFormat="1" hidden="1" outlineLevel="1">
      <c r="A330" s="1199" t="str">
        <f t="shared" si="69"/>
        <v/>
      </c>
      <c r="B330" s="1067" t="s">
        <v>746</v>
      </c>
      <c r="C330" s="1074"/>
      <c r="D330" s="1075">
        <f>VLOOKUP($B330,dongia1,DG!$B$5,)</f>
        <v>0</v>
      </c>
      <c r="E330" s="1076" t="str">
        <f>VLOOKUP($B330,dongia1,DG!$C$5,)</f>
        <v>Boulon 16x150+ 2 long đền vuông D18-50x50x3/Zn</v>
      </c>
      <c r="F330" s="1075" t="str">
        <f>VLOOKUP($B330,dongia1,DG!$D$5,)</f>
        <v>bộ</v>
      </c>
      <c r="G330" s="1074">
        <f>G323</f>
        <v>0</v>
      </c>
      <c r="H330" s="1062">
        <f>VLOOKUP($B330,dongia1,DG!$F$5,)</f>
        <v>18900</v>
      </c>
      <c r="I330" s="1083"/>
      <c r="J330" s="1062">
        <f>VLOOKUP($B330,dongia1,DG!$G$5,)</f>
        <v>0</v>
      </c>
      <c r="K330" s="1062">
        <f>VLOOKUP($B330,dongia1,DG!$H$5,)</f>
        <v>0</v>
      </c>
      <c r="L330" s="1174">
        <f t="shared" si="64"/>
        <v>0</v>
      </c>
      <c r="M330" s="1174">
        <f>I330*G330</f>
        <v>0</v>
      </c>
      <c r="N330" s="1174">
        <f t="shared" si="70"/>
        <v>0</v>
      </c>
      <c r="O330" s="1083">
        <f t="shared" si="67"/>
        <v>0</v>
      </c>
      <c r="P330" s="1080"/>
    </row>
    <row r="331" spans="1:18" s="1081" customFormat="1" hidden="1" outlineLevel="1">
      <c r="A331" s="1199" t="str">
        <f t="shared" si="69"/>
        <v/>
      </c>
      <c r="B331" s="1067" t="s">
        <v>733</v>
      </c>
      <c r="C331" s="1074"/>
      <c r="D331" s="1075">
        <f>VLOOKUP($B331,dongia1,DG!$B$5,)</f>
        <v>0</v>
      </c>
      <c r="E331" s="1076" t="str">
        <f>VLOOKUP($B331,dongia1,DG!$C$5,)</f>
        <v>Boulon 16x350+ 2 long đền vuông D18-50x50x3/Zn</v>
      </c>
      <c r="F331" s="1075" t="str">
        <f>VLOOKUP($B331,dongia1,DG!$D$5,)</f>
        <v>bộ</v>
      </c>
      <c r="G331" s="1074">
        <f>G323*2</f>
        <v>0</v>
      </c>
      <c r="H331" s="1062">
        <f>VLOOKUP($B331,dongia1,DG!$F$5,)</f>
        <v>27900</v>
      </c>
      <c r="I331" s="1083"/>
      <c r="J331" s="1062">
        <f>VLOOKUP($B331,dongia1,DG!$G$5,)</f>
        <v>0</v>
      </c>
      <c r="K331" s="1062">
        <f>VLOOKUP($B331,dongia1,DG!$H$5,)</f>
        <v>0</v>
      </c>
      <c r="L331" s="1174">
        <f t="shared" si="64"/>
        <v>0</v>
      </c>
      <c r="M331" s="1174">
        <f>I331*G331</f>
        <v>0</v>
      </c>
      <c r="N331" s="1174">
        <f t="shared" si="70"/>
        <v>0</v>
      </c>
      <c r="O331" s="1083">
        <f t="shared" si="67"/>
        <v>0</v>
      </c>
      <c r="P331" s="1080"/>
    </row>
    <row r="332" spans="1:18" s="1081" customFormat="1" hidden="1" outlineLevel="1">
      <c r="A332" s="1199" t="str">
        <f t="shared" si="69"/>
        <v/>
      </c>
      <c r="B332" s="1067" t="s">
        <v>534</v>
      </c>
      <c r="C332" s="1074"/>
      <c r="D332" s="1075" t="str">
        <f>VLOOKUP($B332,dongia1,DG!$B$5,)</f>
        <v>D2.6021</v>
      </c>
      <c r="E332" s="1076" t="str">
        <f>VLOOKUP($B332,dongia1,DG!$C$5,)</f>
        <v>Lắp xà đỡ 25kg</v>
      </c>
      <c r="F332" s="1075" t="str">
        <f>VLOOKUP($B332,dongia1,DG!$D$5,)</f>
        <v>bộ</v>
      </c>
      <c r="G332" s="1074">
        <f>G323</f>
        <v>0</v>
      </c>
      <c r="H332" s="1062">
        <f>VLOOKUP($B332,dongia1,DG!$F$5,)</f>
        <v>0</v>
      </c>
      <c r="I332" s="1083"/>
      <c r="J332" s="1200" t="str">
        <f>VLOOKUP($B332,dongia1,DG!$G$5,)&amp;"x 1,5"</f>
        <v>219185,25x 1,5</v>
      </c>
      <c r="K332" s="1062">
        <f>VLOOKUP($B332,dongia1,DG!$H$5,)</f>
        <v>0</v>
      </c>
      <c r="L332" s="1174">
        <f t="shared" si="64"/>
        <v>0</v>
      </c>
      <c r="M332" s="1174">
        <f>I332*G332</f>
        <v>0</v>
      </c>
      <c r="N332" s="1201">
        <f>106640*G332*1.5</f>
        <v>0</v>
      </c>
      <c r="O332" s="1083">
        <f t="shared" si="67"/>
        <v>0</v>
      </c>
      <c r="P332" s="1080"/>
    </row>
    <row r="333" spans="1:18" s="1081" customFormat="1" hidden="1" outlineLevel="1">
      <c r="A333" s="1072">
        <f t="shared" si="68"/>
        <v>0</v>
      </c>
      <c r="B333" s="1073"/>
      <c r="C333" s="1064">
        <f>IF(G333&gt;0,C323+1,C323)</f>
        <v>0</v>
      </c>
      <c r="D333" s="1192"/>
      <c r="E333" s="1221" t="s">
        <v>3400</v>
      </c>
      <c r="F333" s="1064" t="s">
        <v>2113</v>
      </c>
      <c r="G333" s="1064">
        <f>G323</f>
        <v>0</v>
      </c>
      <c r="H333" s="1062"/>
      <c r="I333" s="1083"/>
      <c r="J333" s="1062"/>
      <c r="K333" s="1062"/>
      <c r="L333" s="1174">
        <f t="shared" si="64"/>
        <v>0</v>
      </c>
      <c r="M333" s="1174">
        <f t="shared" si="65"/>
        <v>0</v>
      </c>
      <c r="N333" s="1174">
        <f t="shared" si="66"/>
        <v>0</v>
      </c>
      <c r="O333" s="1083">
        <f t="shared" si="67"/>
        <v>0</v>
      </c>
      <c r="P333" s="1080"/>
    </row>
    <row r="334" spans="1:18" s="1081" customFormat="1" ht="14.4" hidden="1" outlineLevel="1">
      <c r="A334" s="1072">
        <f>A333</f>
        <v>0</v>
      </c>
      <c r="B334" s="1073"/>
      <c r="C334" s="1074"/>
      <c r="D334" s="1196"/>
      <c r="E334" s="1222" t="s">
        <v>3399</v>
      </c>
      <c r="F334" s="1074"/>
      <c r="G334" s="1074"/>
      <c r="H334" s="1062"/>
      <c r="I334" s="1083"/>
      <c r="J334" s="1062"/>
      <c r="K334" s="1062"/>
      <c r="L334" s="1174">
        <f t="shared" si="64"/>
        <v>0</v>
      </c>
      <c r="M334" s="1174">
        <f t="shared" si="65"/>
        <v>0</v>
      </c>
      <c r="N334" s="1174">
        <f t="shared" si="66"/>
        <v>0</v>
      </c>
      <c r="O334" s="1083">
        <f t="shared" si="67"/>
        <v>0</v>
      </c>
      <c r="P334" s="1080"/>
    </row>
    <row r="335" spans="1:18" s="1081" customFormat="1" hidden="1" outlineLevel="1">
      <c r="A335" s="1072">
        <f t="shared" si="68"/>
        <v>0</v>
      </c>
      <c r="B335" s="1073" t="str">
        <f>Solieu!I58</f>
        <v>M25</v>
      </c>
      <c r="C335" s="1074"/>
      <c r="D335" s="1075">
        <f>VLOOKUP($B335,dongia1,DG!$B$5,)</f>
        <v>0</v>
      </c>
      <c r="E335" s="1076" t="str">
        <f>VLOOKUP($B335,dongia1,DG!$C$5,)</f>
        <v>Cáp đồng trần M25mm2</v>
      </c>
      <c r="F335" s="1075" t="str">
        <f>VLOOKUP($B335,dongia1,DG!$D$5,)</f>
        <v>kg</v>
      </c>
      <c r="G335" s="1202">
        <f>53*G333*0.224</f>
        <v>0</v>
      </c>
      <c r="H335" s="1062">
        <f>VLOOKUP($B335,dongia1,DG!$F$5,)</f>
        <v>255500</v>
      </c>
      <c r="I335" s="1083"/>
      <c r="J335" s="1062">
        <f>VLOOKUP($B335,dongia1,DG!$G$5,)</f>
        <v>0</v>
      </c>
      <c r="K335" s="1062">
        <f>VLOOKUP($B335,dongia1,DG!$H$5,)</f>
        <v>0</v>
      </c>
      <c r="L335" s="1174">
        <f t="shared" si="64"/>
        <v>0</v>
      </c>
      <c r="M335" s="1174">
        <f t="shared" si="65"/>
        <v>0</v>
      </c>
      <c r="N335" s="1174">
        <f t="shared" si="66"/>
        <v>0</v>
      </c>
      <c r="O335" s="1083">
        <f t="shared" si="67"/>
        <v>0</v>
      </c>
      <c r="P335" s="1080"/>
    </row>
    <row r="336" spans="1:18" s="1081" customFormat="1" hidden="1" outlineLevel="1">
      <c r="A336" s="1072">
        <f t="shared" si="68"/>
        <v>0</v>
      </c>
      <c r="B336" s="1067" t="s">
        <v>1098</v>
      </c>
      <c r="C336" s="1074"/>
      <c r="D336" s="1075">
        <f>VLOOKUP($B336,dongia1,DG!$B$5,)</f>
        <v>0</v>
      </c>
      <c r="E336" s="1076" t="str">
        <f>VLOOKUP($B336,dongia1,DG!$C$5,)</f>
        <v>Cọc tiếp đất Þ 16- 2,4m + kẹp cọc</v>
      </c>
      <c r="F336" s="1075" t="str">
        <f>VLOOKUP($B336,dongia1,DG!$D$5,)</f>
        <v>bộ</v>
      </c>
      <c r="G336" s="1074">
        <f>9*G333</f>
        <v>0</v>
      </c>
      <c r="H336" s="1062">
        <f>VLOOKUP($B336,dongia1,DG!$F$5,)</f>
        <v>160000</v>
      </c>
      <c r="I336" s="1083"/>
      <c r="J336" s="1062">
        <f>VLOOKUP($B336,dongia1,DG!$G$5,)</f>
        <v>0</v>
      </c>
      <c r="K336" s="1062">
        <f>VLOOKUP($B336,dongia1,DG!$H$5,)</f>
        <v>0</v>
      </c>
      <c r="L336" s="1174">
        <f t="shared" si="64"/>
        <v>0</v>
      </c>
      <c r="M336" s="1174">
        <f t="shared" si="65"/>
        <v>0</v>
      </c>
      <c r="N336" s="1174">
        <f t="shared" si="66"/>
        <v>0</v>
      </c>
      <c r="O336" s="1083">
        <f t="shared" si="67"/>
        <v>0</v>
      </c>
      <c r="P336" s="1080"/>
    </row>
    <row r="337" spans="1:16" s="1081" customFormat="1" hidden="1" outlineLevel="1">
      <c r="A337" s="1072">
        <f t="shared" si="68"/>
        <v>0</v>
      </c>
      <c r="B337" s="1067" t="s">
        <v>2040</v>
      </c>
      <c r="C337" s="1074"/>
      <c r="D337" s="1075">
        <f>VLOOKUP($B337,dongia1,DG!$B$5,)</f>
        <v>0</v>
      </c>
      <c r="E337" s="1076" t="str">
        <f>VLOOKUP($B337,dongia1,DG!$C$5,)</f>
        <v xml:space="preserve">Ống PVC D21x1,6mm </v>
      </c>
      <c r="F337" s="1075" t="str">
        <f>VLOOKUP($B337,dongia1,DG!$D$5,)</f>
        <v>m</v>
      </c>
      <c r="G337" s="1074">
        <f>6*G333</f>
        <v>0</v>
      </c>
      <c r="H337" s="1062">
        <f>VLOOKUP($B337,dongia1,DG!$F$5,)</f>
        <v>6200</v>
      </c>
      <c r="I337" s="1083"/>
      <c r="J337" s="1062">
        <f>VLOOKUP($B337,dongia1,DG!$G$5,)</f>
        <v>0</v>
      </c>
      <c r="K337" s="1062">
        <f>VLOOKUP($B337,dongia1,DG!$H$5,)</f>
        <v>0</v>
      </c>
      <c r="L337" s="1174">
        <f t="shared" si="64"/>
        <v>0</v>
      </c>
      <c r="M337" s="1174">
        <f t="shared" si="65"/>
        <v>0</v>
      </c>
      <c r="N337" s="1174">
        <f t="shared" si="66"/>
        <v>0</v>
      </c>
      <c r="O337" s="1083">
        <f t="shared" si="67"/>
        <v>0</v>
      </c>
      <c r="P337" s="1080"/>
    </row>
    <row r="338" spans="1:16" s="1081" customFormat="1" hidden="1" outlineLevel="1">
      <c r="A338" s="1072">
        <f t="shared" si="68"/>
        <v>0</v>
      </c>
      <c r="B338" s="1086" t="s">
        <v>205</v>
      </c>
      <c r="C338" s="1074"/>
      <c r="D338" s="1075">
        <f>VLOOKUP($B338,dongia1,DG!$B$5,)</f>
        <v>0</v>
      </c>
      <c r="E338" s="1076" t="str">
        <f>VLOOKUP($B338,dongia1,DG!$C$5,)</f>
        <v>Kẹp ép WR cỡ dây 50mm2</v>
      </c>
      <c r="F338" s="1075" t="str">
        <f>VLOOKUP($B338,dongia1,DG!$D$5,)</f>
        <v>cái</v>
      </c>
      <c r="G338" s="1074">
        <f>2*G333</f>
        <v>0</v>
      </c>
      <c r="H338" s="1062">
        <f>VLOOKUP($B338,dongia1,DG!$F$5,)</f>
        <v>8000</v>
      </c>
      <c r="I338" s="1062"/>
      <c r="J338" s="1062">
        <f>VLOOKUP($B338,dongia1,DG!$G$5,)</f>
        <v>0</v>
      </c>
      <c r="K338" s="1062">
        <f>VLOOKUP($B338,dongia1,DG!$H$5,)</f>
        <v>0</v>
      </c>
      <c r="L338" s="1174">
        <f t="shared" si="64"/>
        <v>0</v>
      </c>
      <c r="M338" s="1174">
        <f t="shared" si="65"/>
        <v>0</v>
      </c>
      <c r="N338" s="1174">
        <f t="shared" si="66"/>
        <v>0</v>
      </c>
      <c r="O338" s="1083">
        <f t="shared" si="67"/>
        <v>0</v>
      </c>
      <c r="P338" s="1080"/>
    </row>
    <row r="339" spans="1:16" s="1081" customFormat="1" hidden="1" outlineLevel="1">
      <c r="A339" s="1072">
        <f t="shared" si="68"/>
        <v>0</v>
      </c>
      <c r="B339" s="1086" t="s">
        <v>914</v>
      </c>
      <c r="C339" s="1074"/>
      <c r="D339" s="1075">
        <f>VLOOKUP($B339,dongia1,DG!$B$5,)</f>
        <v>0</v>
      </c>
      <c r="E339" s="1076" t="str">
        <f>VLOOKUP($B339,dongia1,DG!$C$5,)</f>
        <v>Kẹp ép cỡ dây 25mm2</v>
      </c>
      <c r="F339" s="1075" t="str">
        <f>VLOOKUP($B339,dongia1,DG!$D$5,)</f>
        <v>cái</v>
      </c>
      <c r="G339" s="1074">
        <f>G333*11</f>
        <v>0</v>
      </c>
      <c r="H339" s="1062">
        <f>VLOOKUP($B339,dongia1,DG!$F$5,)</f>
        <v>6000</v>
      </c>
      <c r="I339" s="1062"/>
      <c r="J339" s="1062">
        <f>VLOOKUP($B339,dongia1,DG!$G$5,)</f>
        <v>0</v>
      </c>
      <c r="K339" s="1062">
        <f>VLOOKUP($B339,dongia1,DG!$H$5,)</f>
        <v>0</v>
      </c>
      <c r="L339" s="1174">
        <f t="shared" si="64"/>
        <v>0</v>
      </c>
      <c r="M339" s="1174">
        <f t="shared" si="65"/>
        <v>0</v>
      </c>
      <c r="N339" s="1174">
        <f t="shared" si="66"/>
        <v>0</v>
      </c>
      <c r="O339" s="1083">
        <f t="shared" si="67"/>
        <v>0</v>
      </c>
      <c r="P339" s="1080"/>
    </row>
    <row r="340" spans="1:16" s="1081" customFormat="1" hidden="1" outlineLevel="1">
      <c r="A340" s="1072">
        <f t="shared" si="68"/>
        <v>0</v>
      </c>
      <c r="B340" s="1067" t="s">
        <v>1490</v>
      </c>
      <c r="C340" s="1074"/>
      <c r="D340" s="1075">
        <f>VLOOKUP($B340,dongia1,DG!$B$5,)</f>
        <v>0</v>
      </c>
      <c r="E340" s="1076" t="str">
        <f>VLOOKUP($B340,dongia1,DG!$C$5,)</f>
        <v>Cổ dê kẹp ống PVC (STK) Þ 21</v>
      </c>
      <c r="F340" s="1075" t="str">
        <f>VLOOKUP($B340,dongia1,DG!$D$5,)</f>
        <v>bộ</v>
      </c>
      <c r="G340" s="1074">
        <f>4*G333</f>
        <v>0</v>
      </c>
      <c r="H340" s="1062">
        <f>VLOOKUP($B340,dongia1,DG!$F$5,)</f>
        <v>43000</v>
      </c>
      <c r="I340" s="1083"/>
      <c r="J340" s="1062">
        <f>VLOOKUP($B340,dongia1,DG!$G$5,)</f>
        <v>0</v>
      </c>
      <c r="K340" s="1062">
        <f>VLOOKUP($B340,dongia1,DG!$H$5,)</f>
        <v>0</v>
      </c>
      <c r="L340" s="1174">
        <f t="shared" si="64"/>
        <v>0</v>
      </c>
      <c r="M340" s="1174">
        <f t="shared" si="65"/>
        <v>0</v>
      </c>
      <c r="N340" s="1174">
        <f t="shared" si="66"/>
        <v>0</v>
      </c>
      <c r="O340" s="1083">
        <f t="shared" si="67"/>
        <v>0</v>
      </c>
      <c r="P340" s="1080"/>
    </row>
    <row r="341" spans="1:16" s="1081" customFormat="1" hidden="1" outlineLevel="1">
      <c r="A341" s="1072">
        <f t="shared" si="68"/>
        <v>0</v>
      </c>
      <c r="B341" s="1086" t="s">
        <v>1195</v>
      </c>
      <c r="C341" s="1074"/>
      <c r="D341" s="1075" t="str">
        <f>VLOOKUP($B341,dongia1,DG!$B$5,)</f>
        <v>T4.7001</v>
      </c>
      <c r="E341" s="1076" t="str">
        <f>VLOOKUP($B341,dongia1,DG!$C$5,)</f>
        <v>Kéo dây tiếp địa TBA</v>
      </c>
      <c r="F341" s="1075" t="str">
        <f>VLOOKUP($B341,dongia1,DG!$D$5,)</f>
        <v>mét</v>
      </c>
      <c r="G341" s="1074">
        <f>G335/0.224</f>
        <v>0</v>
      </c>
      <c r="H341" s="1062">
        <f>VLOOKUP($B341,dongia1,DG!$F$5,)</f>
        <v>0</v>
      </c>
      <c r="I341" s="1062"/>
      <c r="J341" s="1062">
        <f>VLOOKUP($B341,dongia1,DG!$G$5,)</f>
        <v>8070.7000000000007</v>
      </c>
      <c r="K341" s="1062">
        <f>VLOOKUP($B341,dongia1,DG!$H$5,)</f>
        <v>2044.9974999999999</v>
      </c>
      <c r="L341" s="1174">
        <f>H341*G341</f>
        <v>0</v>
      </c>
      <c r="M341" s="1174">
        <f>I341*G341</f>
        <v>0</v>
      </c>
      <c r="N341" s="1174">
        <f>J341*G341</f>
        <v>0</v>
      </c>
      <c r="O341" s="1083">
        <f>K341*G341</f>
        <v>0</v>
      </c>
      <c r="P341" s="1080"/>
    </row>
    <row r="342" spans="1:16" s="1081" customFormat="1" hidden="1" outlineLevel="1">
      <c r="A342" s="1072">
        <f t="shared" si="68"/>
        <v>0</v>
      </c>
      <c r="B342" s="1067" t="s">
        <v>985</v>
      </c>
      <c r="C342" s="1074"/>
      <c r="D342" s="1075" t="str">
        <f>VLOOKUP($B342,dongia1,DG!$B$5,)</f>
        <v>D2.8103</v>
      </c>
      <c r="E342" s="1076" t="str">
        <f>VLOOKUP($B342,dongia1,DG!$C$5,)</f>
        <v>Đóng cọc tiếp địa đất cấp 3 dài 2,5m</v>
      </c>
      <c r="F342" s="1075" t="str">
        <f>VLOOKUP($B342,dongia1,DG!$D$5,)</f>
        <v>cọc</v>
      </c>
      <c r="G342" s="1074">
        <f>G336</f>
        <v>0</v>
      </c>
      <c r="H342" s="1062">
        <f>VLOOKUP($B342,dongia1,DG!$F$5,)</f>
        <v>0</v>
      </c>
      <c r="I342" s="1083"/>
      <c r="J342" s="1062" t="str">
        <f>VLOOKUP($B342,dongia1,DG!$G$5,)&amp;" x1,7"</f>
        <v>90355,896 x1,7</v>
      </c>
      <c r="K342" s="1062">
        <f>VLOOKUP($B342,dongia1,DG!$H$5,)</f>
        <v>1573.075</v>
      </c>
      <c r="L342" s="1174">
        <f>H342*G342</f>
        <v>0</v>
      </c>
      <c r="M342" s="1174">
        <f>I342*G342</f>
        <v>0</v>
      </c>
      <c r="N342" s="1062">
        <f>VLOOKUP($B342,dongia1,DG!$G$5,)*G342*1.7</f>
        <v>0</v>
      </c>
      <c r="O342" s="1083">
        <f>K342*G342</f>
        <v>0</v>
      </c>
      <c r="P342" s="1080"/>
    </row>
    <row r="343" spans="1:16" s="1081" customFormat="1" hidden="1" outlineLevel="1">
      <c r="A343" s="1072">
        <f t="shared" si="68"/>
        <v>0</v>
      </c>
      <c r="B343" s="1086" t="str">
        <f>"dtd"&amp;capdat</f>
        <v>dtd3</v>
      </c>
      <c r="C343" s="1074"/>
      <c r="D343" s="1075" t="str">
        <f>VLOOKUP($B343,dongia1,DG!$B$5,)</f>
        <v>AB.11513</v>
      </c>
      <c r="E343" s="1076" t="str">
        <f>VLOOKUP($B343,dongia1,DG!$C$5,)</f>
        <v>Đào rãnh tiếp địa đất cấp 3</v>
      </c>
      <c r="F343" s="1075" t="str">
        <f>VLOOKUP($B343,dongia1,DG!$D$5,)</f>
        <v>m3</v>
      </c>
      <c r="G343" s="1197">
        <f>G333*8.64</f>
        <v>0</v>
      </c>
      <c r="H343" s="1062">
        <f>VLOOKUP($B343,dongia1,DG!$F$5,)</f>
        <v>0</v>
      </c>
      <c r="I343" s="1062"/>
      <c r="J343" s="1062">
        <f>VLOOKUP($B343,dongia1,DG!$G$5,)</f>
        <v>283749.75</v>
      </c>
      <c r="K343" s="1062">
        <f>VLOOKUP($B343,dongia1,DG!$H$5,)</f>
        <v>0</v>
      </c>
      <c r="L343" s="1174">
        <f>H343*G343</f>
        <v>0</v>
      </c>
      <c r="M343" s="1174">
        <f>I343*G343</f>
        <v>0</v>
      </c>
      <c r="N343" s="1174">
        <f>J343*G343</f>
        <v>0</v>
      </c>
      <c r="O343" s="1083">
        <f>K343*G343</f>
        <v>0</v>
      </c>
      <c r="P343" s="1080"/>
    </row>
    <row r="344" spans="1:16" s="1081" customFormat="1" hidden="1" outlineLevel="1">
      <c r="A344" s="1072">
        <f t="shared" si="68"/>
        <v>0</v>
      </c>
      <c r="B344" s="1067" t="str">
        <f>"datd"&amp;capdat</f>
        <v>datd3</v>
      </c>
      <c r="C344" s="1074"/>
      <c r="D344" s="1075" t="str">
        <f>VLOOKUP($B344,dongia1,DG!$B$5,)</f>
        <v>AB.13111</v>
      </c>
      <c r="E344" s="1076" t="str">
        <f>VLOOKUP($B344,dongia1,DG!$C$5,)</f>
        <v>Đắp đất rãnh tiếp địa cấp 3 (độ chặt k = 0.85)</v>
      </c>
      <c r="F344" s="1075" t="str">
        <f>VLOOKUP($B344,dongia1,DG!$D$5,)</f>
        <v>m3</v>
      </c>
      <c r="G344" s="1197">
        <f>G343</f>
        <v>0</v>
      </c>
      <c r="H344" s="1062">
        <f>VLOOKUP($B344,dongia1,DG!$F$5,)</f>
        <v>0</v>
      </c>
      <c r="I344" s="1083"/>
      <c r="J344" s="1062">
        <f>VLOOKUP($B344,dongia1,DG!$G$5,)</f>
        <v>117703.6</v>
      </c>
      <c r="K344" s="1062">
        <f>VLOOKUP($B344,dongia1,DG!$H$5,)</f>
        <v>0</v>
      </c>
      <c r="L344" s="1174">
        <f>H344*G344</f>
        <v>0</v>
      </c>
      <c r="M344" s="1174">
        <f>I344*G344</f>
        <v>0</v>
      </c>
      <c r="N344" s="1174">
        <f>J344*G344</f>
        <v>0</v>
      </c>
      <c r="O344" s="1083">
        <f>K344*G344</f>
        <v>0</v>
      </c>
      <c r="P344" s="1080"/>
    </row>
    <row r="345" spans="1:16" s="1081" customFormat="1" hidden="1" outlineLevel="1">
      <c r="A345" s="1072">
        <f t="shared" si="68"/>
        <v>0</v>
      </c>
      <c r="B345" s="1086"/>
      <c r="C345" s="1064">
        <f>IF(G345&gt;0,C333+1,C333)</f>
        <v>0</v>
      </c>
      <c r="D345" s="1192"/>
      <c r="E345" s="1204" t="s">
        <v>3382</v>
      </c>
      <c r="F345" s="1064" t="s">
        <v>2113</v>
      </c>
      <c r="G345" s="1064">
        <f>G323</f>
        <v>0</v>
      </c>
      <c r="H345" s="1062"/>
      <c r="I345" s="1083"/>
      <c r="J345" s="1062"/>
      <c r="K345" s="1062"/>
      <c r="L345" s="1174">
        <f t="shared" si="64"/>
        <v>0</v>
      </c>
      <c r="M345" s="1174">
        <f t="shared" si="65"/>
        <v>0</v>
      </c>
      <c r="N345" s="1174">
        <f t="shared" si="66"/>
        <v>0</v>
      </c>
      <c r="O345" s="1083">
        <f t="shared" si="67"/>
        <v>0</v>
      </c>
      <c r="P345" s="1080"/>
    </row>
    <row r="346" spans="1:16" s="1081" customFormat="1" ht="14.4" hidden="1" outlineLevel="1">
      <c r="A346" s="1072">
        <f>A345</f>
        <v>0</v>
      </c>
      <c r="B346" s="1086"/>
      <c r="C346" s="1064"/>
      <c r="D346" s="1192"/>
      <c r="E346" s="1222" t="s">
        <v>3399</v>
      </c>
      <c r="F346" s="1074"/>
      <c r="G346" s="1074"/>
      <c r="H346" s="1062"/>
      <c r="I346" s="1083"/>
      <c r="J346" s="1062"/>
      <c r="K346" s="1062"/>
      <c r="L346" s="1174">
        <f t="shared" si="64"/>
        <v>0</v>
      </c>
      <c r="M346" s="1174">
        <f t="shared" si="65"/>
        <v>0</v>
      </c>
      <c r="N346" s="1174">
        <f t="shared" si="66"/>
        <v>0</v>
      </c>
      <c r="O346" s="1083">
        <f t="shared" si="67"/>
        <v>0</v>
      </c>
      <c r="P346" s="1080"/>
    </row>
    <row r="347" spans="1:16" s="1081" customFormat="1" hidden="1" outlineLevel="1">
      <c r="A347" s="1072">
        <f t="shared" si="68"/>
        <v>0</v>
      </c>
      <c r="B347" s="1231" t="s">
        <v>1655</v>
      </c>
      <c r="C347" s="1074"/>
      <c r="D347" s="1075" t="str">
        <f>VLOOKUP($B347,dongia1,DG!$B$5,)</f>
        <v>T5.1001</v>
      </c>
      <c r="E347" s="1076" t="str">
        <f>VLOOKUP($B347,dongia1,DG!$C$5,)</f>
        <v>Tủ MCCB trạm treo 1 pha</v>
      </c>
      <c r="F347" s="1075" t="str">
        <f>VLOOKUP($B347,dongia1,DG!$D$5,)</f>
        <v>cái</v>
      </c>
      <c r="G347" s="1074">
        <f>G345</f>
        <v>0</v>
      </c>
      <c r="H347" s="1062">
        <f>VLOOKUP($B347,dongia1,DG!$F$5,)</f>
        <v>2971168</v>
      </c>
      <c r="I347" s="1062"/>
      <c r="J347" s="1062">
        <f>VLOOKUP($B347,dongia1,DG!$G$5,)</f>
        <v>599038</v>
      </c>
      <c r="K347" s="1062">
        <f>VLOOKUP($B347,dongia1,DG!$H$5,)</f>
        <v>97369</v>
      </c>
      <c r="L347" s="1174">
        <f t="shared" si="64"/>
        <v>0</v>
      </c>
      <c r="M347" s="1174">
        <f t="shared" si="65"/>
        <v>0</v>
      </c>
      <c r="N347" s="1174">
        <f t="shared" si="66"/>
        <v>0</v>
      </c>
      <c r="O347" s="1083">
        <f t="shared" si="67"/>
        <v>0</v>
      </c>
      <c r="P347" s="1080"/>
    </row>
    <row r="348" spans="1:16" s="1081" customFormat="1" hidden="1" outlineLevel="1">
      <c r="A348" s="1072">
        <f t="shared" si="68"/>
        <v>0</v>
      </c>
      <c r="B348" s="1086" t="s">
        <v>1559</v>
      </c>
      <c r="C348" s="1074"/>
      <c r="D348" s="1075">
        <f>VLOOKUP($B348,dongia1,DG!$B$5,)</f>
        <v>0</v>
      </c>
      <c r="E348" s="1076" t="str">
        <f>VLOOKUP($B348,dongia1,DG!$C$5,)</f>
        <v>Cổ dê bắt tủ</v>
      </c>
      <c r="F348" s="1075" t="str">
        <f>VLOOKUP($B348,dongia1,DG!$D$5,)</f>
        <v>bộ</v>
      </c>
      <c r="G348" s="1074">
        <f>2*G345</f>
        <v>0</v>
      </c>
      <c r="H348" s="1062">
        <f>VLOOKUP($B348,dongia1,DG!$F$5,)</f>
        <v>168000</v>
      </c>
      <c r="I348" s="1083"/>
      <c r="J348" s="1062">
        <f>VLOOKUP($B348,dongia1,DG!$G$5,)</f>
        <v>0</v>
      </c>
      <c r="K348" s="1062">
        <f>VLOOKUP($B348,dongia1,DG!$H$5,)</f>
        <v>0</v>
      </c>
      <c r="L348" s="1174">
        <f t="shared" si="64"/>
        <v>0</v>
      </c>
      <c r="M348" s="1174">
        <f t="shared" si="65"/>
        <v>0</v>
      </c>
      <c r="N348" s="1174">
        <f t="shared" si="66"/>
        <v>0</v>
      </c>
      <c r="O348" s="1083">
        <f t="shared" si="67"/>
        <v>0</v>
      </c>
      <c r="P348" s="1080"/>
    </row>
    <row r="349" spans="1:16" s="1081" customFormat="1" hidden="1" outlineLevel="1">
      <c r="A349" s="1072">
        <f t="shared" si="68"/>
        <v>0</v>
      </c>
      <c r="B349" s="1086" t="s">
        <v>1560</v>
      </c>
      <c r="C349" s="1074"/>
      <c r="D349" s="1075">
        <f>VLOOKUP($B349,dongia1,DG!$B$5,)</f>
        <v>0</v>
      </c>
      <c r="E349" s="1076" t="str">
        <f>VLOOKUP($B349,dongia1,DG!$C$5,)</f>
        <v xml:space="preserve">Bakelit 500x300 dầy 10mm </v>
      </c>
      <c r="F349" s="1075" t="str">
        <f>VLOOKUP($B349,dongia1,DG!$D$5,)</f>
        <v>cái</v>
      </c>
      <c r="G349" s="1074">
        <f>G345</f>
        <v>0</v>
      </c>
      <c r="H349" s="1062">
        <f>VLOOKUP($B349,dongia1,DG!$F$5,)</f>
        <v>284000</v>
      </c>
      <c r="I349" s="1083"/>
      <c r="J349" s="1062">
        <f>VLOOKUP($B349,dongia1,DG!$G$5,)</f>
        <v>5404</v>
      </c>
      <c r="K349" s="1062">
        <f>VLOOKUP($B349,dongia1,DG!$H$5,)</f>
        <v>0</v>
      </c>
      <c r="L349" s="1174">
        <f t="shared" si="64"/>
        <v>0</v>
      </c>
      <c r="M349" s="1174">
        <f t="shared" si="65"/>
        <v>0</v>
      </c>
      <c r="N349" s="1174">
        <f t="shared" si="66"/>
        <v>0</v>
      </c>
      <c r="O349" s="1083">
        <f t="shared" si="67"/>
        <v>0</v>
      </c>
      <c r="P349" s="1080"/>
    </row>
    <row r="350" spans="1:16" s="1081" customFormat="1" hidden="1" outlineLevel="1">
      <c r="A350" s="1072">
        <f t="shared" si="68"/>
        <v>0</v>
      </c>
      <c r="B350" s="1086"/>
      <c r="C350" s="1064">
        <f>IF(G350&gt;0,C345+1,C345)</f>
        <v>0</v>
      </c>
      <c r="D350" s="1192"/>
      <c r="E350" s="1221" t="s">
        <v>3411</v>
      </c>
      <c r="F350" s="1064" t="s">
        <v>2113</v>
      </c>
      <c r="G350" s="1064">
        <f>G345</f>
        <v>0</v>
      </c>
      <c r="H350" s="1062"/>
      <c r="I350" s="1083"/>
      <c r="J350" s="1062"/>
      <c r="K350" s="1062"/>
      <c r="L350" s="1174">
        <f t="shared" si="64"/>
        <v>0</v>
      </c>
      <c r="M350" s="1174">
        <f t="shared" si="65"/>
        <v>0</v>
      </c>
      <c r="N350" s="1174">
        <f t="shared" si="66"/>
        <v>0</v>
      </c>
      <c r="O350" s="1083">
        <f t="shared" si="67"/>
        <v>0</v>
      </c>
      <c r="P350" s="1080"/>
    </row>
    <row r="351" spans="1:16" s="1081" customFormat="1" ht="14.4" hidden="1" outlineLevel="1">
      <c r="A351" s="1072">
        <f>A350</f>
        <v>0</v>
      </c>
      <c r="B351" s="1086"/>
      <c r="C351" s="1064"/>
      <c r="D351" s="1192"/>
      <c r="E351" s="1222" t="s">
        <v>3399</v>
      </c>
      <c r="F351" s="1074"/>
      <c r="G351" s="1074"/>
      <c r="H351" s="1062"/>
      <c r="I351" s="1083"/>
      <c r="J351" s="1062"/>
      <c r="K351" s="1062"/>
      <c r="L351" s="1174">
        <f t="shared" si="64"/>
        <v>0</v>
      </c>
      <c r="M351" s="1174">
        <f t="shared" si="65"/>
        <v>0</v>
      </c>
      <c r="N351" s="1174">
        <f t="shared" si="66"/>
        <v>0</v>
      </c>
      <c r="O351" s="1083">
        <f t="shared" si="67"/>
        <v>0</v>
      </c>
      <c r="P351" s="1080"/>
    </row>
    <row r="352" spans="1:16" s="1081" customFormat="1" hidden="1" outlineLevel="1">
      <c r="A352" s="1072">
        <f t="shared" si="68"/>
        <v>0</v>
      </c>
      <c r="B352" s="1067" t="s">
        <v>648</v>
      </c>
      <c r="C352" s="1074"/>
      <c r="D352" s="1075">
        <f>VLOOKUP($B352,dongia1,DG!$B$5,)</f>
        <v>0</v>
      </c>
      <c r="E352" s="1076" t="str">
        <f>VLOOKUP($B352,dongia1,DG!$C$5,)</f>
        <v>Cáp 24KV C/XLPE/PVC- 25mm2</v>
      </c>
      <c r="F352" s="1075" t="str">
        <f>VLOOKUP($B352,dongia1,DG!$D$5,)</f>
        <v>mét</v>
      </c>
      <c r="G352" s="1074">
        <f>3*G350</f>
        <v>0</v>
      </c>
      <c r="H352" s="1062">
        <f>VLOOKUP($B352,dongia1,DG!$F$5,)</f>
        <v>50996</v>
      </c>
      <c r="I352" s="1062"/>
      <c r="J352" s="1062">
        <f>VLOOKUP($B352,dongia1,DG!$G$5,)</f>
        <v>0</v>
      </c>
      <c r="K352" s="1062">
        <f>VLOOKUP($B352,dongia1,DG!$H$5,)</f>
        <v>0</v>
      </c>
      <c r="L352" s="1174">
        <f t="shared" si="64"/>
        <v>0</v>
      </c>
      <c r="M352" s="1174">
        <f t="shared" si="65"/>
        <v>0</v>
      </c>
      <c r="N352" s="1174">
        <f t="shared" si="66"/>
        <v>0</v>
      </c>
      <c r="O352" s="1083">
        <f t="shared" si="67"/>
        <v>0</v>
      </c>
      <c r="P352" s="1080"/>
    </row>
    <row r="353" spans="1:16" s="1081" customFormat="1" hidden="1" outlineLevel="1">
      <c r="A353" s="1072">
        <f t="shared" si="68"/>
        <v>0</v>
      </c>
      <c r="B353" s="1206" t="s">
        <v>2028</v>
      </c>
      <c r="C353" s="1074"/>
      <c r="D353" s="1075">
        <f>VLOOKUP($B353,dongia1,DG!$B$5,)</f>
        <v>0</v>
      </c>
      <c r="E353" s="1076" t="str">
        <f>VLOOKUP($B353,dongia1,DG!$C$5,)</f>
        <v>Kẹp quai 2/0</v>
      </c>
      <c r="F353" s="1075" t="str">
        <f>VLOOKUP($B353,dongia1,DG!$D$5,)</f>
        <v>cái</v>
      </c>
      <c r="G353" s="1074">
        <f>G350</f>
        <v>0</v>
      </c>
      <c r="H353" s="1062">
        <f>VLOOKUP($B353,dongia1,DG!$F$5,)</f>
        <v>46000</v>
      </c>
      <c r="I353" s="1062"/>
      <c r="J353" s="1062">
        <f>VLOOKUP($B353,dongia1,DG!$G$5,)</f>
        <v>0</v>
      </c>
      <c r="K353" s="1062">
        <f>VLOOKUP($B353,dongia1,DG!$H$5,)</f>
        <v>0</v>
      </c>
      <c r="L353" s="1174">
        <f t="shared" si="64"/>
        <v>0</v>
      </c>
      <c r="M353" s="1174">
        <f t="shared" si="65"/>
        <v>0</v>
      </c>
      <c r="N353" s="1174">
        <f t="shared" si="66"/>
        <v>0</v>
      </c>
      <c r="O353" s="1083">
        <f t="shared" si="67"/>
        <v>0</v>
      </c>
      <c r="P353" s="1080"/>
    </row>
    <row r="354" spans="1:16" s="1081" customFormat="1" hidden="1" outlineLevel="1">
      <c r="A354" s="1072">
        <f t="shared" si="68"/>
        <v>0</v>
      </c>
      <c r="B354" s="1206" t="s">
        <v>2026</v>
      </c>
      <c r="C354" s="1074"/>
      <c r="D354" s="1075">
        <f>VLOOKUP($B354,dongia1,DG!$B$5,)</f>
        <v>0</v>
      </c>
      <c r="E354" s="1076" t="str">
        <f>VLOOKUP($B354,dongia1,DG!$C$5,)</f>
        <v>Kẹp hotline 2/0</v>
      </c>
      <c r="F354" s="1075" t="str">
        <f>VLOOKUP($B354,dongia1,DG!$D$5,)</f>
        <v>cái</v>
      </c>
      <c r="G354" s="1074">
        <f>G350</f>
        <v>0</v>
      </c>
      <c r="H354" s="1062">
        <f>VLOOKUP($B354,dongia1,DG!$F$5,)</f>
        <v>77000</v>
      </c>
      <c r="I354" s="1062"/>
      <c r="J354" s="1062">
        <f>VLOOKUP($B354,dongia1,DG!$G$5,)</f>
        <v>0</v>
      </c>
      <c r="K354" s="1062">
        <f>VLOOKUP($B354,dongia1,DG!$H$5,)</f>
        <v>0</v>
      </c>
      <c r="L354" s="1174">
        <f t="shared" si="64"/>
        <v>0</v>
      </c>
      <c r="M354" s="1174">
        <f t="shared" si="65"/>
        <v>0</v>
      </c>
      <c r="N354" s="1174">
        <f t="shared" si="66"/>
        <v>0</v>
      </c>
      <c r="O354" s="1083">
        <f t="shared" si="67"/>
        <v>0</v>
      </c>
      <c r="P354" s="1080"/>
    </row>
    <row r="355" spans="1:16" s="1081" customFormat="1" hidden="1" outlineLevel="1">
      <c r="A355" s="1072">
        <f t="shared" si="68"/>
        <v>0</v>
      </c>
      <c r="B355" s="1206" t="s">
        <v>224</v>
      </c>
      <c r="C355" s="1074"/>
      <c r="D355" s="1075" t="str">
        <f>VLOOKUP($B355,dongia1,DG!$B$5,)</f>
        <v>T4.4201</v>
      </c>
      <c r="E355" s="1076" t="str">
        <f>VLOOKUP($B355,dongia1,DG!$C$5,)</f>
        <v>Lắp cáp đồng xuống thiết bị D ≤ 95mm2</v>
      </c>
      <c r="F355" s="1075" t="str">
        <f>VLOOKUP($B355,dongia1,DG!$D$5,)</f>
        <v>m</v>
      </c>
      <c r="G355" s="1074">
        <f>G352</f>
        <v>0</v>
      </c>
      <c r="H355" s="1062">
        <f>VLOOKUP($B355,dongia1,DG!$F$5,)</f>
        <v>0</v>
      </c>
      <c r="I355" s="1062"/>
      <c r="J355" s="1062">
        <f>VLOOKUP($B355,dongia1,DG!$G$5,)</f>
        <v>13915</v>
      </c>
      <c r="K355" s="1062">
        <f>VLOOKUP($B355,dongia1,DG!$H$5,)</f>
        <v>0</v>
      </c>
      <c r="L355" s="1174">
        <f>H355*G355</f>
        <v>0</v>
      </c>
      <c r="M355" s="1174">
        <f>I355*G355</f>
        <v>0</v>
      </c>
      <c r="N355" s="1174">
        <f>J355*G355</f>
        <v>0</v>
      </c>
      <c r="O355" s="1083">
        <f>K355*G355</f>
        <v>0</v>
      </c>
      <c r="P355" s="1080"/>
    </row>
    <row r="356" spans="1:16" s="1081" customFormat="1" hidden="1" outlineLevel="1">
      <c r="A356" s="1072">
        <f t="shared" si="68"/>
        <v>0</v>
      </c>
      <c r="B356" s="1073"/>
      <c r="C356" s="1064">
        <f>IF(G356&gt;0,C350+1,C350)</f>
        <v>0</v>
      </c>
      <c r="D356" s="1192"/>
      <c r="E356" s="1204" t="s">
        <v>3415</v>
      </c>
      <c r="F356" s="1064" t="s">
        <v>2113</v>
      </c>
      <c r="G356" s="1064">
        <f>G300</f>
        <v>0</v>
      </c>
      <c r="H356" s="1062"/>
      <c r="I356" s="1083"/>
      <c r="J356" s="1062"/>
      <c r="K356" s="1062"/>
      <c r="L356" s="1174">
        <f t="shared" si="64"/>
        <v>0</v>
      </c>
      <c r="M356" s="1174">
        <f t="shared" si="65"/>
        <v>0</v>
      </c>
      <c r="N356" s="1174">
        <f t="shared" si="66"/>
        <v>0</v>
      </c>
      <c r="O356" s="1083">
        <f t="shared" si="67"/>
        <v>0</v>
      </c>
      <c r="P356" s="1080"/>
    </row>
    <row r="357" spans="1:16" s="1081" customFormat="1" ht="14.4" hidden="1" outlineLevel="1">
      <c r="A357" s="1072">
        <f>A356</f>
        <v>0</v>
      </c>
      <c r="B357" s="1073"/>
      <c r="C357" s="1064"/>
      <c r="D357" s="1192"/>
      <c r="E357" s="1194" t="s">
        <v>3399</v>
      </c>
      <c r="F357" s="1064"/>
      <c r="G357" s="1064"/>
      <c r="H357" s="1062"/>
      <c r="I357" s="1083"/>
      <c r="J357" s="1062"/>
      <c r="K357" s="1062"/>
      <c r="L357" s="1174">
        <f t="shared" si="64"/>
        <v>0</v>
      </c>
      <c r="M357" s="1174">
        <f t="shared" si="65"/>
        <v>0</v>
      </c>
      <c r="N357" s="1174">
        <f t="shared" si="66"/>
        <v>0</v>
      </c>
      <c r="O357" s="1083">
        <f t="shared" si="67"/>
        <v>0</v>
      </c>
      <c r="P357" s="1080"/>
    </row>
    <row r="358" spans="1:16" s="1081" customFormat="1" hidden="1" outlineLevel="1">
      <c r="A358" s="1072">
        <f t="shared" si="68"/>
        <v>0</v>
      </c>
      <c r="B358" s="1073" t="str">
        <f>Solieu!L58</f>
        <v>CV120</v>
      </c>
      <c r="C358" s="1064"/>
      <c r="D358" s="1075">
        <f>VLOOKUP($B358,dongia1,DG!$B$5,)</f>
        <v>0</v>
      </c>
      <c r="E358" s="1076" t="str">
        <f>VLOOKUP($B358,dongia1,DG!$C$5,)</f>
        <v>Cáp đồng bọc CV120</v>
      </c>
      <c r="F358" s="1075" t="str">
        <f>VLOOKUP($B358,dongia1,DG!$D$5,)</f>
        <v>mét</v>
      </c>
      <c r="G358" s="1074">
        <f>G356*9</f>
        <v>0</v>
      </c>
      <c r="H358" s="1062">
        <f>VLOOKUP($B358,dongia1,DG!$F$5,)</f>
        <v>236300</v>
      </c>
      <c r="I358" s="1062"/>
      <c r="J358" s="1062">
        <f>VLOOKUP($B358,dongia1,DG!$G$5,)</f>
        <v>0</v>
      </c>
      <c r="K358" s="1062">
        <f>VLOOKUP($B358,dongia1,DG!$H$5,)</f>
        <v>0</v>
      </c>
      <c r="L358" s="1174">
        <f t="shared" si="64"/>
        <v>0</v>
      </c>
      <c r="M358" s="1174">
        <f t="shared" si="65"/>
        <v>0</v>
      </c>
      <c r="N358" s="1174">
        <f t="shared" si="66"/>
        <v>0</v>
      </c>
      <c r="O358" s="1083">
        <f t="shared" si="67"/>
        <v>0</v>
      </c>
      <c r="P358" s="1080"/>
    </row>
    <row r="359" spans="1:16" s="1081" customFormat="1" hidden="1" outlineLevel="1">
      <c r="A359" s="1072">
        <f t="shared" si="68"/>
        <v>0</v>
      </c>
      <c r="B359" s="1073" t="s">
        <v>37</v>
      </c>
      <c r="C359" s="1074"/>
      <c r="D359" s="1075" t="str">
        <f>VLOOKUP($B359,dongia1,DG!$B$5,)</f>
        <v>03.1401</v>
      </c>
      <c r="E359" s="1076" t="str">
        <f>VLOOKUP($B359,dongia1,DG!$C$5,)</f>
        <v xml:space="preserve">Cáp CVV 4x2,5mm2  </v>
      </c>
      <c r="F359" s="1075" t="str">
        <f>VLOOKUP($B359,dongia1,DG!$D$5,)</f>
        <v>mét</v>
      </c>
      <c r="G359" s="1074">
        <f>4*G356</f>
        <v>0</v>
      </c>
      <c r="H359" s="1062">
        <f>VLOOKUP($B359,dongia1,DG!$F$5,)</f>
        <v>28200</v>
      </c>
      <c r="I359" s="1062"/>
      <c r="J359" s="1062">
        <f>VLOOKUP($B359,dongia1,DG!$G$5,)</f>
        <v>0</v>
      </c>
      <c r="K359" s="1062">
        <f>VLOOKUP($B359,dongia1,DG!$H$5,)</f>
        <v>0</v>
      </c>
      <c r="L359" s="1174">
        <f>H359*G359</f>
        <v>0</v>
      </c>
      <c r="M359" s="1174">
        <f>I359*G359</f>
        <v>0</v>
      </c>
      <c r="N359" s="1174">
        <f>J359*G359</f>
        <v>0</v>
      </c>
      <c r="O359" s="1083">
        <f>K359*G359</f>
        <v>0</v>
      </c>
      <c r="P359" s="1080"/>
    </row>
    <row r="360" spans="1:16" s="1081" customFormat="1" hidden="1" outlineLevel="1">
      <c r="A360" s="1072">
        <f t="shared" si="68"/>
        <v>0</v>
      </c>
      <c r="B360" s="1086" t="s">
        <v>1860</v>
      </c>
      <c r="C360" s="1074"/>
      <c r="D360" s="1075" t="str">
        <f>VLOOKUP($B360,dongia1,DG!$B$5,)</f>
        <v>D4.5004</v>
      </c>
      <c r="E360" s="1076" t="str">
        <f>VLOOKUP($B360,dongia1,DG!$C$5,)</f>
        <v>Đầu cosse ép Cu 95mm2</v>
      </c>
      <c r="F360" s="1075" t="str">
        <f>VLOOKUP($B360,dongia1,DG!$D$5,)</f>
        <v>cái</v>
      </c>
      <c r="G360" s="1074">
        <f>G356*G305</f>
        <v>0</v>
      </c>
      <c r="H360" s="1062">
        <f>VLOOKUP($B360,dongia1,DG!$F$5,)</f>
        <v>21000</v>
      </c>
      <c r="I360" s="1062"/>
      <c r="J360" s="1062">
        <f>VLOOKUP($B360,dongia1,DG!$G$5,)</f>
        <v>21217.910000000003</v>
      </c>
      <c r="K360" s="1062">
        <f>VLOOKUP($B360,dongia1,DG!$H$5,)</f>
        <v>3332.427897</v>
      </c>
      <c r="L360" s="1174">
        <f t="shared" si="64"/>
        <v>0</v>
      </c>
      <c r="M360" s="1174">
        <f t="shared" si="65"/>
        <v>0</v>
      </c>
      <c r="N360" s="1174">
        <f t="shared" si="66"/>
        <v>0</v>
      </c>
      <c r="O360" s="1083">
        <f t="shared" si="67"/>
        <v>0</v>
      </c>
      <c r="P360" s="1080"/>
    </row>
    <row r="361" spans="1:16" s="1081" customFormat="1" hidden="1" outlineLevel="1">
      <c r="A361" s="1072">
        <f t="shared" si="68"/>
        <v>0</v>
      </c>
      <c r="B361" s="1086" t="s">
        <v>1361</v>
      </c>
      <c r="C361" s="1074"/>
      <c r="D361" s="1075" t="str">
        <f>VLOOKUP($B361,dongia1,DG!$B$5,)</f>
        <v>D4.5002</v>
      </c>
      <c r="E361" s="1076" t="str">
        <f>VLOOKUP($B361,dongia1,DG!$C$5,)</f>
        <v>Đầu cosse ép Cu 50mm2</v>
      </c>
      <c r="F361" s="1075" t="str">
        <f>VLOOKUP($B361,dongia1,DG!$D$5,)</f>
        <v>cái</v>
      </c>
      <c r="G361" s="1074">
        <f>G356</f>
        <v>0</v>
      </c>
      <c r="H361" s="1062">
        <f>VLOOKUP($B361,dongia1,DG!$F$5,)</f>
        <v>9100</v>
      </c>
      <c r="I361" s="1062"/>
      <c r="J361" s="1062">
        <f>VLOOKUP($B361,dongia1,DG!$G$5,)</f>
        <v>10608.955000000002</v>
      </c>
      <c r="K361" s="1062">
        <f>VLOOKUP($B361,dongia1,DG!$H$5,)</f>
        <v>2777.0232475000003</v>
      </c>
      <c r="L361" s="1174">
        <f>H361*G361</f>
        <v>0</v>
      </c>
      <c r="M361" s="1174">
        <f>I361*G361</f>
        <v>0</v>
      </c>
      <c r="N361" s="1174">
        <f>J361*G361</f>
        <v>0</v>
      </c>
      <c r="O361" s="1083">
        <f>K361*G361</f>
        <v>0</v>
      </c>
      <c r="P361" s="1080"/>
    </row>
    <row r="362" spans="1:16" s="1081" customFormat="1" hidden="1" outlineLevel="1">
      <c r="A362" s="1072">
        <f t="shared" si="68"/>
        <v>0</v>
      </c>
      <c r="B362" s="1086" t="s">
        <v>477</v>
      </c>
      <c r="C362" s="1074"/>
      <c r="D362" s="1075">
        <f>VLOOKUP($B362,dongia1,DG!$B$5,)</f>
        <v>0</v>
      </c>
      <c r="E362" s="1076" t="str">
        <f>VLOOKUP($B362,dongia1,DG!$C$5,)</f>
        <v>Chụp đầu cosse  95mm2</v>
      </c>
      <c r="F362" s="1075" t="str">
        <f>VLOOKUP($B362,dongia1,DG!$D$5,)</f>
        <v>cái</v>
      </c>
      <c r="G362" s="1074">
        <f>G360</f>
        <v>0</v>
      </c>
      <c r="H362" s="1062">
        <f>VLOOKUP($B362,dongia1,DG!$F$5,)</f>
        <v>4000</v>
      </c>
      <c r="I362" s="1062"/>
      <c r="J362" s="1062">
        <f>VLOOKUP($B362,dongia1,DG!$G$5,)</f>
        <v>0</v>
      </c>
      <c r="K362" s="1062">
        <f>VLOOKUP($B362,dongia1,DG!$H$5,)</f>
        <v>0</v>
      </c>
      <c r="L362" s="1174">
        <f>H362*G362</f>
        <v>0</v>
      </c>
      <c r="M362" s="1174">
        <f>I362*G362</f>
        <v>0</v>
      </c>
      <c r="N362" s="1174">
        <f>J362*G362</f>
        <v>0</v>
      </c>
      <c r="O362" s="1083">
        <f>K362*G362</f>
        <v>0</v>
      </c>
      <c r="P362" s="1080"/>
    </row>
    <row r="363" spans="1:16" s="1081" customFormat="1" hidden="1" outlineLevel="1">
      <c r="A363" s="1072">
        <f t="shared" si="68"/>
        <v>0</v>
      </c>
      <c r="B363" s="1086" t="s">
        <v>1813</v>
      </c>
      <c r="C363" s="1074"/>
      <c r="D363" s="1075">
        <f>VLOOKUP($B363,dongia1,DG!$B$5,)</f>
        <v>0</v>
      </c>
      <c r="E363" s="1076" t="str">
        <f>VLOOKUP($B363,dongia1,DG!$C$5,)</f>
        <v>Chụp đầu cosse  50mm2</v>
      </c>
      <c r="F363" s="1075" t="str">
        <f>VLOOKUP($B363,dongia1,DG!$D$5,)</f>
        <v>cái</v>
      </c>
      <c r="G363" s="1074">
        <f>G361</f>
        <v>0</v>
      </c>
      <c r="H363" s="1062">
        <f>VLOOKUP($B363,dongia1,DG!$F$5,)</f>
        <v>1000</v>
      </c>
      <c r="I363" s="1062"/>
      <c r="J363" s="1062">
        <f>VLOOKUP($B363,dongia1,DG!$G$5,)</f>
        <v>0</v>
      </c>
      <c r="K363" s="1062">
        <f>VLOOKUP($B363,dongia1,DG!$H$5,)</f>
        <v>0</v>
      </c>
      <c r="L363" s="1174">
        <f t="shared" si="64"/>
        <v>0</v>
      </c>
      <c r="M363" s="1174">
        <f t="shared" si="65"/>
        <v>0</v>
      </c>
      <c r="N363" s="1174">
        <f t="shared" si="66"/>
        <v>0</v>
      </c>
      <c r="O363" s="1083">
        <f t="shared" si="67"/>
        <v>0</v>
      </c>
      <c r="P363" s="1080"/>
    </row>
    <row r="364" spans="1:16" s="1081" customFormat="1" hidden="1" outlineLevel="1">
      <c r="A364" s="1072">
        <f>IF(G364=0,0,1)</f>
        <v>0</v>
      </c>
      <c r="B364" s="1086" t="s">
        <v>2166</v>
      </c>
      <c r="C364" s="1074"/>
      <c r="D364" s="1075">
        <f>VLOOKUP($B364,dongia1,DG!$B$5,)</f>
        <v>0</v>
      </c>
      <c r="E364" s="1076" t="str">
        <f>VLOOKUP($B364,dongia1,DG!$C$5,)</f>
        <v>Nắp che đầu sứ MBA</v>
      </c>
      <c r="F364" s="1075" t="str">
        <f>VLOOKUP($B364,dongia1,DG!$D$5,)</f>
        <v>cái</v>
      </c>
      <c r="G364" s="1074">
        <f>+$G$300</f>
        <v>0</v>
      </c>
      <c r="H364" s="1062">
        <f>VLOOKUP($B364,dongia1,DG!$F$5,)</f>
        <v>56700</v>
      </c>
      <c r="I364" s="1062"/>
      <c r="J364" s="1062">
        <f>VLOOKUP($B364,dongia1,DG!$G$5,)</f>
        <v>0</v>
      </c>
      <c r="K364" s="1062">
        <f>VLOOKUP($B364,dongia1,DG!$H$5,)</f>
        <v>0</v>
      </c>
      <c r="L364" s="1174">
        <f>H364*G364</f>
        <v>0</v>
      </c>
      <c r="M364" s="1174">
        <f>I364*G364</f>
        <v>0</v>
      </c>
      <c r="N364" s="1174">
        <f>J364*G364</f>
        <v>0</v>
      </c>
      <c r="O364" s="1083">
        <f>K364*G364</f>
        <v>0</v>
      </c>
      <c r="P364" s="1080"/>
    </row>
    <row r="365" spans="1:16" s="1081" customFormat="1" hidden="1" outlineLevel="1">
      <c r="A365" s="1072">
        <f t="shared" si="68"/>
        <v>0</v>
      </c>
      <c r="B365" s="1086" t="s">
        <v>595</v>
      </c>
      <c r="C365" s="1074"/>
      <c r="D365" s="1075">
        <f>VLOOKUP($B365,dongia1,DG!$B$5,)</f>
        <v>0</v>
      </c>
      <c r="E365" s="1076" t="str">
        <f>VLOOKUP($B365,dongia1,DG!$C$5,)</f>
        <v xml:space="preserve">Ống PVC D90x3,8mm </v>
      </c>
      <c r="F365" s="1075" t="str">
        <f>VLOOKUP($B365,dongia1,DG!$D$5,)</f>
        <v>m</v>
      </c>
      <c r="G365" s="1074">
        <f>8*G356</f>
        <v>0</v>
      </c>
      <c r="H365" s="1062">
        <f>VLOOKUP($B365,dongia1,DG!$F$5,)</f>
        <v>63200</v>
      </c>
      <c r="I365" s="1083"/>
      <c r="J365" s="1062">
        <f>VLOOKUP($B365,dongia1,DG!$G$5,)</f>
        <v>0</v>
      </c>
      <c r="K365" s="1062">
        <f>VLOOKUP($B365,dongia1,DG!$H$5,)</f>
        <v>0</v>
      </c>
      <c r="L365" s="1174">
        <f t="shared" si="64"/>
        <v>0</v>
      </c>
      <c r="M365" s="1174">
        <f t="shared" si="65"/>
        <v>0</v>
      </c>
      <c r="N365" s="1174">
        <f t="shared" si="66"/>
        <v>0</v>
      </c>
      <c r="O365" s="1083">
        <f t="shared" si="67"/>
        <v>0</v>
      </c>
      <c r="P365" s="1080"/>
    </row>
    <row r="366" spans="1:16" s="1081" customFormat="1" hidden="1" outlineLevel="1">
      <c r="A366" s="1072">
        <f t="shared" si="68"/>
        <v>0</v>
      </c>
      <c r="B366" s="1067" t="s">
        <v>591</v>
      </c>
      <c r="C366" s="1074"/>
      <c r="D366" s="1075">
        <f>VLOOKUP($B366,dongia1,DG!$B$5,)</f>
        <v>0</v>
      </c>
      <c r="E366" s="1076" t="str">
        <f>VLOOKUP($B366,dongia1,DG!$C$5,)</f>
        <v>Cổ dê kẹp ống PVC Þ 90</v>
      </c>
      <c r="F366" s="1075" t="str">
        <f>VLOOKUP($B366,dongia1,DG!$D$5,)</f>
        <v>bộ</v>
      </c>
      <c r="G366" s="1074">
        <f>3*G356</f>
        <v>0</v>
      </c>
      <c r="H366" s="1062">
        <f>VLOOKUP($B366,dongia1,DG!$F$5,)</f>
        <v>49000</v>
      </c>
      <c r="I366" s="1083"/>
      <c r="J366" s="1062">
        <f>VLOOKUP($B366,dongia1,DG!$G$5,)</f>
        <v>0</v>
      </c>
      <c r="K366" s="1062">
        <f>VLOOKUP($B366,dongia1,DG!$H$5,)</f>
        <v>0</v>
      </c>
      <c r="L366" s="1174">
        <f t="shared" si="64"/>
        <v>0</v>
      </c>
      <c r="M366" s="1174">
        <f t="shared" si="65"/>
        <v>0</v>
      </c>
      <c r="N366" s="1174">
        <f t="shared" si="66"/>
        <v>0</v>
      </c>
      <c r="O366" s="1083">
        <f t="shared" si="67"/>
        <v>0</v>
      </c>
      <c r="P366" s="1080"/>
    </row>
    <row r="367" spans="1:16" s="1081" customFormat="1" hidden="1" outlineLevel="1">
      <c r="A367" s="1072">
        <f t="shared" si="68"/>
        <v>0</v>
      </c>
      <c r="B367" s="1086" t="s">
        <v>111</v>
      </c>
      <c r="C367" s="1074"/>
      <c r="D367" s="1075">
        <f>VLOOKUP($B367,dongia1,DG!$B$5,)</f>
        <v>0</v>
      </c>
      <c r="E367" s="1076" t="str">
        <f>VLOOKUP($B367,dongia1,DG!$C$5,)</f>
        <v>Co  90 độ PVC 90 (loại dày)</v>
      </c>
      <c r="F367" s="1075" t="str">
        <f>VLOOKUP($B367,dongia1,DG!$D$5,)</f>
        <v>cái</v>
      </c>
      <c r="G367" s="1074">
        <f>2*G356</f>
        <v>0</v>
      </c>
      <c r="H367" s="1062">
        <f>VLOOKUP($B367,dongia1,DG!$F$5,)</f>
        <v>45400</v>
      </c>
      <c r="I367" s="1083"/>
      <c r="J367" s="1062">
        <f>VLOOKUP($B367,dongia1,DG!$G$5,)</f>
        <v>0</v>
      </c>
      <c r="K367" s="1062">
        <f>VLOOKUP($B367,dongia1,DG!$H$5,)</f>
        <v>0</v>
      </c>
      <c r="L367" s="1174">
        <f t="shared" si="64"/>
        <v>0</v>
      </c>
      <c r="M367" s="1174">
        <f t="shared" si="65"/>
        <v>0</v>
      </c>
      <c r="N367" s="1174">
        <f t="shared" si="66"/>
        <v>0</v>
      </c>
      <c r="O367" s="1083">
        <f t="shared" si="67"/>
        <v>0</v>
      </c>
      <c r="P367" s="1080"/>
    </row>
    <row r="368" spans="1:16" s="1081" customFormat="1" hidden="1" outlineLevel="1">
      <c r="A368" s="1072">
        <f t="shared" si="68"/>
        <v>0</v>
      </c>
      <c r="B368" s="1086" t="s">
        <v>1972</v>
      </c>
      <c r="C368" s="1074"/>
      <c r="D368" s="1075">
        <f>VLOOKUP($B368,dongia1,DG!$B$5,)</f>
        <v>0</v>
      </c>
      <c r="E368" s="1076" t="str">
        <f>VLOOKUP($B368,dongia1,DG!$C$5,)</f>
        <v xml:space="preserve">Nối thẳng ống PVC 90 </v>
      </c>
      <c r="F368" s="1075" t="str">
        <f>VLOOKUP($B368,dongia1,DG!$D$5,)</f>
        <v>cái</v>
      </c>
      <c r="G368" s="1074">
        <f>G356</f>
        <v>0</v>
      </c>
      <c r="H368" s="1062">
        <f>VLOOKUP($B368,dongia1,DG!$F$5,)</f>
        <v>12400</v>
      </c>
      <c r="I368" s="1083"/>
      <c r="J368" s="1062">
        <f>VLOOKUP($B368,dongia1,DG!$G$5,)</f>
        <v>0</v>
      </c>
      <c r="K368" s="1062">
        <f>VLOOKUP($B368,dongia1,DG!$H$5,)</f>
        <v>0</v>
      </c>
      <c r="L368" s="1174">
        <f t="shared" si="64"/>
        <v>0</v>
      </c>
      <c r="M368" s="1174">
        <f t="shared" si="65"/>
        <v>0</v>
      </c>
      <c r="N368" s="1174">
        <f t="shared" si="66"/>
        <v>0</v>
      </c>
      <c r="O368" s="1083">
        <f t="shared" si="67"/>
        <v>0</v>
      </c>
      <c r="P368" s="1080"/>
    </row>
    <row r="369" spans="1:16" s="1081" customFormat="1" hidden="1" outlineLevel="1">
      <c r="A369" s="1072">
        <f t="shared" si="68"/>
        <v>0</v>
      </c>
      <c r="B369" s="1086" t="s">
        <v>887</v>
      </c>
      <c r="C369" s="1074"/>
      <c r="D369" s="1075">
        <f>VLOOKUP($B369,dongia1,DG!$B$5,)</f>
        <v>0</v>
      </c>
      <c r="E369" s="1076" t="str">
        <f>VLOOKUP($B369,dongia1,DG!$C$5,)</f>
        <v>Keo dán ống PVC (100gr)</v>
      </c>
      <c r="F369" s="1075" t="str">
        <f>VLOOKUP($B369,dongia1,DG!$D$5,)</f>
        <v>tuýp</v>
      </c>
      <c r="G369" s="1074">
        <f>G356</f>
        <v>0</v>
      </c>
      <c r="H369" s="1062">
        <f>VLOOKUP($B369,dongia1,DG!$F$5,)</f>
        <v>11500</v>
      </c>
      <c r="I369" s="1083"/>
      <c r="J369" s="1062">
        <f>VLOOKUP($B369,dongia1,DG!$G$5,)</f>
        <v>0</v>
      </c>
      <c r="K369" s="1062">
        <f>VLOOKUP($B369,dongia1,DG!$H$5,)</f>
        <v>0</v>
      </c>
      <c r="L369" s="1174">
        <f t="shared" si="64"/>
        <v>0</v>
      </c>
      <c r="M369" s="1174">
        <f t="shared" si="65"/>
        <v>0</v>
      </c>
      <c r="N369" s="1174">
        <f t="shared" si="66"/>
        <v>0</v>
      </c>
      <c r="O369" s="1083">
        <f t="shared" si="67"/>
        <v>0</v>
      </c>
      <c r="P369" s="1080"/>
    </row>
    <row r="370" spans="1:16" s="1081" customFormat="1" hidden="1" outlineLevel="1">
      <c r="A370" s="1072">
        <f t="shared" si="68"/>
        <v>0</v>
      </c>
      <c r="B370" s="1086" t="s">
        <v>429</v>
      </c>
      <c r="C370" s="1074"/>
      <c r="D370" s="1075">
        <f>VLOOKUP($B370,dongia1,DG!$B$5,)</f>
        <v>0</v>
      </c>
      <c r="E370" s="1076" t="str">
        <f>VLOOKUP($B370,dongia1,DG!$C$5,)</f>
        <v>Keo silicon bít miệng ống</v>
      </c>
      <c r="F370" s="1075" t="str">
        <f>VLOOKUP($B370,dongia1,DG!$D$5,)</f>
        <v>chai</v>
      </c>
      <c r="G370" s="1074">
        <f>G356</f>
        <v>0</v>
      </c>
      <c r="H370" s="1062">
        <f>VLOOKUP($B370,dongia1,DG!$F$5,)</f>
        <v>45000</v>
      </c>
      <c r="I370" s="1083"/>
      <c r="J370" s="1062">
        <f>VLOOKUP($B370,dongia1,DG!$G$5,)</f>
        <v>0</v>
      </c>
      <c r="K370" s="1062">
        <f>VLOOKUP($B370,dongia1,DG!$H$5,)</f>
        <v>0</v>
      </c>
      <c r="L370" s="1174">
        <f>H370*G370</f>
        <v>0</v>
      </c>
      <c r="M370" s="1174">
        <f>I370*G370</f>
        <v>0</v>
      </c>
      <c r="N370" s="1174">
        <f>J370*G370</f>
        <v>0</v>
      </c>
      <c r="O370" s="1083">
        <f>K370*G370</f>
        <v>0</v>
      </c>
      <c r="P370" s="1080"/>
    </row>
    <row r="371" spans="1:16" s="1081" customFormat="1" hidden="1" outlineLevel="1">
      <c r="A371" s="1072">
        <f t="shared" si="68"/>
        <v>0</v>
      </c>
      <c r="B371" s="1067" t="s">
        <v>236</v>
      </c>
      <c r="C371" s="1074"/>
      <c r="D371" s="1196"/>
      <c r="E371" s="1076" t="str">
        <f>VLOOKUP($B371,dongia1,DG!$C$5,)</f>
        <v>Băng keo cách điện hạ thế</v>
      </c>
      <c r="F371" s="1075" t="str">
        <f>VLOOKUP($B371,dongia1,DG!$D$5,)</f>
        <v>cuộn</v>
      </c>
      <c r="G371" s="1074">
        <f>G356</f>
        <v>0</v>
      </c>
      <c r="H371" s="1062">
        <f>VLOOKUP($B371,dongia1,DG!$F$5,)</f>
        <v>6500</v>
      </c>
      <c r="I371" s="1083"/>
      <c r="J371" s="1062">
        <f>VLOOKUP($B371,dongia1,DG!$G$5,)</f>
        <v>0</v>
      </c>
      <c r="K371" s="1062">
        <f>VLOOKUP($B371,dongia1,DG!$H$5,)</f>
        <v>0</v>
      </c>
      <c r="L371" s="1174">
        <f t="shared" si="64"/>
        <v>0</v>
      </c>
      <c r="M371" s="1174">
        <f t="shared" si="65"/>
        <v>0</v>
      </c>
      <c r="N371" s="1174">
        <f t="shared" si="66"/>
        <v>0</v>
      </c>
      <c r="O371" s="1083">
        <f t="shared" si="67"/>
        <v>0</v>
      </c>
      <c r="P371" s="1080"/>
    </row>
    <row r="372" spans="1:16" s="1081" customFormat="1" hidden="1" outlineLevel="1">
      <c r="A372" s="1072">
        <f t="shared" si="68"/>
        <v>0</v>
      </c>
      <c r="B372" s="1086" t="s">
        <v>1194</v>
      </c>
      <c r="C372" s="1074"/>
      <c r="D372" s="1075" t="str">
        <f>VLOOKUP($B372,dongia1,DG!$B$5,)</f>
        <v>D4.1409</v>
      </c>
      <c r="E372" s="1076" t="str">
        <f>VLOOKUP($B372,dongia1,DG!$C$5,)</f>
        <v>Lắp ống nhựa PVC D90</v>
      </c>
      <c r="F372" s="1075" t="str">
        <f>VLOOKUP($B372,dongia1,DG!$D$5,)</f>
        <v>mét</v>
      </c>
      <c r="G372" s="1074">
        <f>G365</f>
        <v>0</v>
      </c>
      <c r="H372" s="1062"/>
      <c r="I372" s="1083"/>
      <c r="J372" s="1062">
        <f>VLOOKUP($B372,dongia1,DG!$G$5,)</f>
        <v>55493.02</v>
      </c>
      <c r="K372" s="1062">
        <f>VLOOKUP($B372,dongia1,DG!$H$5,)</f>
        <v>0</v>
      </c>
      <c r="L372" s="1174">
        <f t="shared" si="64"/>
        <v>0</v>
      </c>
      <c r="M372" s="1174">
        <f t="shared" si="65"/>
        <v>0</v>
      </c>
      <c r="N372" s="1174">
        <f t="shared" si="66"/>
        <v>0</v>
      </c>
      <c r="O372" s="1083">
        <f t="shared" si="67"/>
        <v>0</v>
      </c>
      <c r="P372" s="1080"/>
    </row>
    <row r="373" spans="1:16" s="1081" customFormat="1" hidden="1" outlineLevel="1">
      <c r="A373" s="1072">
        <f t="shared" si="68"/>
        <v>0</v>
      </c>
      <c r="B373" s="1067" t="s">
        <v>224</v>
      </c>
      <c r="C373" s="1074"/>
      <c r="D373" s="1075" t="str">
        <f>VLOOKUP($B373,dongia1,DG!$B$5,)</f>
        <v>T4.4201</v>
      </c>
      <c r="E373" s="1076" t="str">
        <f>VLOOKUP($B373,dongia1,DG!$C$5,)</f>
        <v>Lắp cáp đồng xuống thiết bị D ≤ 95mm2</v>
      </c>
      <c r="F373" s="1075" t="str">
        <f>VLOOKUP($B373,dongia1,DG!$D$5,)</f>
        <v>m</v>
      </c>
      <c r="G373" s="1074">
        <f>G358</f>
        <v>0</v>
      </c>
      <c r="H373" s="1062"/>
      <c r="I373" s="1083"/>
      <c r="J373" s="1062">
        <f>VLOOKUP($B373,dongia1,DG!$G$5,)</f>
        <v>13915</v>
      </c>
      <c r="K373" s="1062">
        <f>VLOOKUP($B373,dongia1,DG!$H$5,)</f>
        <v>0</v>
      </c>
      <c r="L373" s="1174">
        <f>H373*G373</f>
        <v>0</v>
      </c>
      <c r="M373" s="1174">
        <f>I373*G373</f>
        <v>0</v>
      </c>
      <c r="N373" s="1174">
        <f>J373*G373</f>
        <v>0</v>
      </c>
      <c r="O373" s="1083">
        <f>K373*G373</f>
        <v>0</v>
      </c>
      <c r="P373" s="1080"/>
    </row>
    <row r="374" spans="1:16" s="1081" customFormat="1" hidden="1" outlineLevel="1">
      <c r="A374" s="1072">
        <f t="shared" si="68"/>
        <v>0</v>
      </c>
      <c r="B374" s="1086" t="s">
        <v>888</v>
      </c>
      <c r="C374" s="1207">
        <f>IF(G374&gt;0,C356+1,C356)</f>
        <v>0</v>
      </c>
      <c r="D374" s="1208"/>
      <c r="E374" s="1076" t="str">
        <f>VLOOKUP($B374,dongia1,DG!$C$5,)</f>
        <v>Bảng tên trạm + bảng báo nguy hiểm</v>
      </c>
      <c r="F374" s="1075" t="str">
        <f>VLOOKUP($B374,dongia1,DG!$D$5,)</f>
        <v>cái</v>
      </c>
      <c r="G374" s="1207">
        <f>G323</f>
        <v>0</v>
      </c>
      <c r="H374" s="1062">
        <f>VLOOKUP($B374,dongia1,DG!$F$5,)</f>
        <v>300000</v>
      </c>
      <c r="I374" s="1210"/>
      <c r="J374" s="1062">
        <f>VLOOKUP($B374,dongia1,DG!$G$5,)</f>
        <v>0</v>
      </c>
      <c r="K374" s="1062">
        <f>VLOOKUP($B374,dongia1,DG!$H$5,)</f>
        <v>0</v>
      </c>
      <c r="L374" s="1209">
        <f t="shared" si="64"/>
        <v>0</v>
      </c>
      <c r="M374" s="1209">
        <f t="shared" si="65"/>
        <v>0</v>
      </c>
      <c r="N374" s="1209">
        <f t="shared" si="66"/>
        <v>0</v>
      </c>
      <c r="O374" s="1210">
        <f t="shared" si="67"/>
        <v>0</v>
      </c>
      <c r="P374" s="1229"/>
    </row>
    <row r="375" spans="1:16" s="1081" customFormat="1" hidden="1" outlineLevel="1">
      <c r="A375" s="1154" t="str">
        <f>A295</f>
        <v/>
      </c>
      <c r="B375" s="1073"/>
      <c r="C375" s="1212"/>
      <c r="D375" s="1213"/>
      <c r="E375" s="1230"/>
      <c r="F375" s="1215"/>
      <c r="G375" s="1215"/>
      <c r="H375" s="1215"/>
      <c r="I375" s="1215"/>
      <c r="J375" s="2460" t="s">
        <v>3388</v>
      </c>
      <c r="K375" s="2460"/>
      <c r="L375" s="1216">
        <f>SUM(L311:L374)</f>
        <v>0</v>
      </c>
      <c r="M375" s="1216"/>
      <c r="N375" s="1216">
        <f>SUM(N311:N374)</f>
        <v>0</v>
      </c>
      <c r="O375" s="1216">
        <f>SUM(O311:O374)</f>
        <v>0</v>
      </c>
      <c r="P375" s="1220"/>
    </row>
    <row r="376" spans="1:16" s="1081" customFormat="1" hidden="1">
      <c r="A376" s="1199" t="str">
        <f>IF(G381&lt;&gt;0,1,"")</f>
        <v/>
      </c>
      <c r="B376" s="1175"/>
      <c r="C376" s="1217"/>
      <c r="D376" s="1144"/>
    </row>
    <row r="377" spans="1:16" s="1081" customFormat="1" hidden="1" outlineLevel="1">
      <c r="A377" s="1154" t="str">
        <f>A376</f>
        <v/>
      </c>
      <c r="B377" s="1175"/>
      <c r="C377" s="1143" t="str">
        <f>"BẢNG TỔNG HỢP VẬT LIỆU, NHÂN CÔNG, MÁY THI CÔNG: "&amp;H10&amp;" TRẠM 1P_75KVA"</f>
        <v>BẢNG TỔNG HỢP VẬT LIỆU, NHÂN CÔNG, MÁY THI CÔNG: 0 TRẠM 1P_75KVA</v>
      </c>
      <c r="D377" s="1232"/>
      <c r="E377" s="1143"/>
      <c r="F377" s="1143"/>
      <c r="G377" s="1143"/>
      <c r="H377" s="1143"/>
      <c r="I377" s="1143"/>
      <c r="J377" s="1143"/>
      <c r="K377" s="1143"/>
      <c r="L377" s="1143"/>
      <c r="M377" s="1143"/>
      <c r="N377" s="1143"/>
      <c r="O377" s="1143"/>
      <c r="P377" s="1144"/>
    </row>
    <row r="378" spans="1:16" s="1081" customFormat="1" hidden="1" outlineLevel="1">
      <c r="A378" s="1154" t="str">
        <f>A377</f>
        <v/>
      </c>
      <c r="B378" s="1073" t="s">
        <v>308</v>
      </c>
      <c r="C378" s="2459" t="s">
        <v>1014</v>
      </c>
      <c r="D378" s="2467" t="s">
        <v>3363</v>
      </c>
      <c r="E378" s="2457" t="s">
        <v>3364</v>
      </c>
      <c r="F378" s="2459" t="s">
        <v>3365</v>
      </c>
      <c r="G378" s="1155" t="s">
        <v>3367</v>
      </c>
      <c r="H378" s="1156" t="s">
        <v>3368</v>
      </c>
      <c r="I378" s="1157"/>
      <c r="J378" s="1157"/>
      <c r="K378" s="1158"/>
      <c r="L378" s="1156" t="s">
        <v>3372</v>
      </c>
      <c r="M378" s="1157"/>
      <c r="N378" s="1157"/>
      <c r="O378" s="1158"/>
      <c r="P378" s="2459" t="s">
        <v>3373</v>
      </c>
    </row>
    <row r="379" spans="1:16" s="1081" customFormat="1" hidden="1" outlineLevel="1">
      <c r="A379" s="1154" t="str">
        <f>A378</f>
        <v/>
      </c>
      <c r="B379" s="1073"/>
      <c r="C379" s="2459"/>
      <c r="D379" s="2468"/>
      <c r="E379" s="2458"/>
      <c r="F379" s="2459"/>
      <c r="G379" s="1160" t="s">
        <v>3366</v>
      </c>
      <c r="H379" s="1161" t="s">
        <v>393</v>
      </c>
      <c r="I379" s="1161" t="s">
        <v>3369</v>
      </c>
      <c r="J379" s="1161" t="s">
        <v>3370</v>
      </c>
      <c r="K379" s="1161" t="s">
        <v>3371</v>
      </c>
      <c r="L379" s="1161" t="s">
        <v>393</v>
      </c>
      <c r="M379" s="1161" t="s">
        <v>3369</v>
      </c>
      <c r="N379" s="1161" t="s">
        <v>3370</v>
      </c>
      <c r="O379" s="1161" t="s">
        <v>3371</v>
      </c>
      <c r="P379" s="2459"/>
    </row>
    <row r="380" spans="1:16" s="1081" customFormat="1" hidden="1" outlineLevel="1">
      <c r="A380" s="1154" t="str">
        <f>A379</f>
        <v/>
      </c>
      <c r="B380" s="1073"/>
      <c r="C380" s="1162"/>
      <c r="D380" s="1163"/>
      <c r="E380" s="1164" t="s">
        <v>3375</v>
      </c>
      <c r="F380" s="1165"/>
      <c r="G380" s="1165"/>
      <c r="H380" s="1165"/>
      <c r="I380" s="1165"/>
      <c r="J380" s="1165"/>
      <c r="K380" s="1165"/>
      <c r="L380" s="1165"/>
      <c r="M380" s="1165"/>
      <c r="N380" s="1165"/>
      <c r="O380" s="1163"/>
      <c r="P380" s="1166"/>
    </row>
    <row r="381" spans="1:16" s="1081" customFormat="1" hidden="1" outlineLevel="1">
      <c r="A381" s="1072">
        <f t="shared" ref="A381:A389" si="71">IF(G381=0,0,1)</f>
        <v>0</v>
      </c>
      <c r="B381" s="1167" t="str">
        <f>IF($F$8=22,"TR751","TR75")</f>
        <v>TR751</v>
      </c>
      <c r="C381" s="1168">
        <f>IF(G381&gt;0,1,0)</f>
        <v>0</v>
      </c>
      <c r="D381" s="1075" t="str">
        <f>VLOOKUP($B381,dongia1,DG!$B$5,)</f>
        <v>T1.1433</v>
      </c>
      <c r="E381" s="1076" t="str">
        <f>VLOOKUP($B381,dongia1,DG!$C$5,)</f>
        <v>Máy biến áp 12,7/0,22-0,44kV  75kVA</v>
      </c>
      <c r="F381" s="1075" t="str">
        <f>VLOOKUP($B381,dongia1,DG!$D$5,)</f>
        <v>máy</v>
      </c>
      <c r="G381" s="1233">
        <f>H10</f>
        <v>0</v>
      </c>
      <c r="H381" s="1062">
        <f>VLOOKUP($B381,dongia1,DG!$E$5,)*0</f>
        <v>0</v>
      </c>
      <c r="I381" s="1062"/>
      <c r="J381" s="1062">
        <f>VLOOKUP($B381,dongia1,DG!$G$5,)</f>
        <v>838653</v>
      </c>
      <c r="K381" s="1062">
        <f>VLOOKUP($B381,dongia1,DG!$H$5,)</f>
        <v>284508</v>
      </c>
      <c r="L381" s="1174">
        <f t="shared" ref="L381:L389" si="72">H381*G381</f>
        <v>0</v>
      </c>
      <c r="M381" s="1174">
        <f t="shared" ref="M381:M386" si="73">I381*G381</f>
        <v>0</v>
      </c>
      <c r="N381" s="1174">
        <f t="shared" ref="N381:N386" si="74">J381*G381</f>
        <v>0</v>
      </c>
      <c r="O381" s="1083">
        <f t="shared" ref="O381:O386" si="75">K381*G381</f>
        <v>0</v>
      </c>
      <c r="P381" s="1080"/>
    </row>
    <row r="382" spans="1:16" s="1081" customFormat="1" hidden="1" outlineLevel="1">
      <c r="A382" s="1072">
        <f t="shared" si="71"/>
        <v>0</v>
      </c>
      <c r="B382" s="1167" t="str">
        <f>"FCO100-"&amp;$F$8</f>
        <v>FCO100-22</v>
      </c>
      <c r="C382" s="1168">
        <f t="shared" ref="C382:C389" si="76">IF(G382&gt;0,C381+1,C381)</f>
        <v>0</v>
      </c>
      <c r="D382" s="1075" t="str">
        <f>VLOOKUP($B382,dongia1,DG!$B$5,)</f>
        <v>T2.3501</v>
      </c>
      <c r="E382" s="1076" t="str">
        <f>VLOOKUP($B382,dongia1,DG!$C$5,)</f>
        <v>FCO 24kV - 100A</v>
      </c>
      <c r="F382" s="1075" t="str">
        <f>VLOOKUP($B382,dongia1,DG!$D$5,)</f>
        <v>cái</v>
      </c>
      <c r="G382" s="1077">
        <f>+G381</f>
        <v>0</v>
      </c>
      <c r="H382" s="1062">
        <f>VLOOKUP($B382,dongia1,DG!$E$5,)</f>
        <v>2244280</v>
      </c>
      <c r="I382" s="1062"/>
      <c r="J382" s="1062">
        <f>VLOOKUP($B382,dongia1,DG!$G$5,)</f>
        <v>222639.99999999997</v>
      </c>
      <c r="K382" s="1062">
        <f>VLOOKUP($B382,dongia1,DG!$H$5,)</f>
        <v>0</v>
      </c>
      <c r="L382" s="1174">
        <f t="shared" si="72"/>
        <v>0</v>
      </c>
      <c r="M382" s="1174">
        <f t="shared" si="73"/>
        <v>0</v>
      </c>
      <c r="N382" s="1174">
        <f t="shared" si="74"/>
        <v>0</v>
      </c>
      <c r="O382" s="1083">
        <f t="shared" si="75"/>
        <v>0</v>
      </c>
      <c r="P382" s="1080"/>
    </row>
    <row r="383" spans="1:16" s="1081" customFormat="1" hidden="1" outlineLevel="1">
      <c r="A383" s="1072">
        <f t="shared" si="71"/>
        <v>0</v>
      </c>
      <c r="B383" s="1167" t="s">
        <v>1151</v>
      </c>
      <c r="C383" s="1168">
        <f t="shared" si="76"/>
        <v>0</v>
      </c>
      <c r="D383" s="1075">
        <f>VLOOKUP($B383,dongia1,DG!$B$5,)</f>
        <v>0</v>
      </c>
      <c r="E383" s="1076" t="str">
        <f>VLOOKUP($B383,dongia1,DG!$C$5,)</f>
        <v>Dây chảy 8K</v>
      </c>
      <c r="F383" s="1075" t="str">
        <f>VLOOKUP($B383,dongia1,DG!$D$5,)</f>
        <v>Sợi</v>
      </c>
      <c r="G383" s="1077">
        <f>G382</f>
        <v>0</v>
      </c>
      <c r="H383" s="1062">
        <f>VLOOKUP($B383,dongia1,DG!$F$5,)</f>
        <v>84000</v>
      </c>
      <c r="I383" s="1062"/>
      <c r="J383" s="1062">
        <f>VLOOKUP($B383,dongia1,DG!$G$5,)</f>
        <v>0</v>
      </c>
      <c r="K383" s="1062">
        <f>VLOOKUP($B383,dongia1,DG!$H$5,)</f>
        <v>0</v>
      </c>
      <c r="L383" s="1174">
        <f t="shared" si="72"/>
        <v>0</v>
      </c>
      <c r="M383" s="1174">
        <f t="shared" si="73"/>
        <v>0</v>
      </c>
      <c r="N383" s="1174">
        <f t="shared" si="74"/>
        <v>0</v>
      </c>
      <c r="O383" s="1083">
        <f t="shared" si="75"/>
        <v>0</v>
      </c>
      <c r="P383" s="1080"/>
    </row>
    <row r="384" spans="1:16" s="1081" customFormat="1" hidden="1" outlineLevel="1">
      <c r="A384" s="1072">
        <f t="shared" si="71"/>
        <v>0</v>
      </c>
      <c r="B384" s="1175" t="str">
        <f>"LA"&amp;$F$6</f>
        <v>LA18</v>
      </c>
      <c r="C384" s="1168">
        <f t="shared" si="76"/>
        <v>0</v>
      </c>
      <c r="D384" s="1075" t="str">
        <f>VLOOKUP($B384,dongia1,DG!$B$5,)</f>
        <v>T2.5004</v>
      </c>
      <c r="E384" s="1076" t="str">
        <f>VLOOKUP($B384,dongia1,DG!$C$5,)</f>
        <v>LA 18kV 10kA</v>
      </c>
      <c r="F384" s="1075" t="str">
        <f>VLOOKUP($B384,dongia1,DG!$D$5,)</f>
        <v>cái</v>
      </c>
      <c r="G384" s="1077">
        <f>G382</f>
        <v>0</v>
      </c>
      <c r="H384" s="1062">
        <f>VLOOKUP($B384,dongia1,DG!$E$5,)</f>
        <v>1106000</v>
      </c>
      <c r="I384" s="1062"/>
      <c r="J384" s="1062">
        <f>VLOOKUP($B384,dongia1,DG!$G$5,)</f>
        <v>83490</v>
      </c>
      <c r="K384" s="1062">
        <f>VLOOKUP($B384,dongia1,DG!$H$5,)</f>
        <v>0</v>
      </c>
      <c r="L384" s="1174">
        <f t="shared" si="72"/>
        <v>0</v>
      </c>
      <c r="M384" s="1174">
        <f t="shared" si="73"/>
        <v>0</v>
      </c>
      <c r="N384" s="1174">
        <f t="shared" si="74"/>
        <v>0</v>
      </c>
      <c r="O384" s="1083">
        <f t="shared" si="75"/>
        <v>0</v>
      </c>
      <c r="P384" s="1080"/>
    </row>
    <row r="385" spans="1:18" s="1081" customFormat="1" hidden="1" outlineLevel="1">
      <c r="A385" s="1072">
        <f t="shared" si="71"/>
        <v>0</v>
      </c>
      <c r="B385" s="1176" t="s">
        <v>915</v>
      </c>
      <c r="C385" s="1168">
        <f t="shared" si="76"/>
        <v>0</v>
      </c>
      <c r="D385" s="1075">
        <f>VLOOKUP($B385,dongia1,DG!$B$5,)</f>
        <v>0</v>
      </c>
      <c r="E385" s="1076" t="str">
        <f>VLOOKUP($B385,dongia1,DG!$C$5,)</f>
        <v xml:space="preserve">Biến dòng 600V - 200/5A </v>
      </c>
      <c r="F385" s="1075" t="str">
        <f>VLOOKUP($B385,dongia1,DG!$D$5,)</f>
        <v>cái</v>
      </c>
      <c r="G385" s="1077">
        <f>G381*2</f>
        <v>0</v>
      </c>
      <c r="H385" s="1062">
        <f>VLOOKUP($B385,dongia1,DG!$E$5,)</f>
        <v>0</v>
      </c>
      <c r="I385" s="1062"/>
      <c r="J385" s="1062">
        <f>VLOOKUP($B385,dongia1,DG!$G$5,)</f>
        <v>0</v>
      </c>
      <c r="K385" s="1062">
        <f>VLOOKUP($B385,dongia1,DG!$H$5,)</f>
        <v>0</v>
      </c>
      <c r="L385" s="1174">
        <f t="shared" si="72"/>
        <v>0</v>
      </c>
      <c r="M385" s="1174">
        <f t="shared" si="73"/>
        <v>0</v>
      </c>
      <c r="N385" s="1174">
        <f t="shared" si="74"/>
        <v>0</v>
      </c>
      <c r="O385" s="1083">
        <f t="shared" si="75"/>
        <v>0</v>
      </c>
      <c r="P385" s="1080"/>
    </row>
    <row r="386" spans="1:18" s="1081" customFormat="1" hidden="1" outlineLevel="1">
      <c r="A386" s="1072">
        <f t="shared" si="71"/>
        <v>0</v>
      </c>
      <c r="B386" s="1205" t="s">
        <v>609</v>
      </c>
      <c r="C386" s="1168">
        <f t="shared" si="76"/>
        <v>0</v>
      </c>
      <c r="D386" s="1075">
        <f>VLOOKUP($B386,dongia1,DG!$B$5,)</f>
        <v>0</v>
      </c>
      <c r="E386" s="1076" t="str">
        <f>VLOOKUP($B386,dongia1,DG!$C$5,)</f>
        <v>MCCB 3 cực 400V -200A - 36KA</v>
      </c>
      <c r="F386" s="1075" t="str">
        <f>VLOOKUP($B386,dongia1,DG!$D$5,)</f>
        <v>cái</v>
      </c>
      <c r="G386" s="1077">
        <f>G381</f>
        <v>0</v>
      </c>
      <c r="H386" s="1061">
        <v>9508000</v>
      </c>
      <c r="I386" s="1062"/>
      <c r="J386" s="1062"/>
      <c r="K386" s="1062">
        <f>VLOOKUP($B386,dongia1,DG!$H$5,)</f>
        <v>0</v>
      </c>
      <c r="L386" s="1174">
        <f t="shared" si="72"/>
        <v>0</v>
      </c>
      <c r="M386" s="1174">
        <f t="shared" si="73"/>
        <v>0</v>
      </c>
      <c r="N386" s="1174">
        <f t="shared" si="74"/>
        <v>0</v>
      </c>
      <c r="O386" s="1083">
        <f t="shared" si="75"/>
        <v>0</v>
      </c>
      <c r="P386" s="1074" t="s">
        <v>3471</v>
      </c>
    </row>
    <row r="387" spans="1:18" s="1081" customFormat="1" hidden="1" outlineLevel="1">
      <c r="A387" s="1072">
        <f t="shared" si="71"/>
        <v>0</v>
      </c>
      <c r="B387" s="1067" t="s">
        <v>306</v>
      </c>
      <c r="C387" s="1168">
        <f>IF(G387&gt;0,C386+1,C386)</f>
        <v>0</v>
      </c>
      <c r="D387" s="1075">
        <f>VLOOKUP($B387,dongia1,DG!$B$5,)</f>
        <v>0</v>
      </c>
      <c r="E387" s="1076" t="str">
        <f>VLOOKUP($B387,dongia1,DG!$C$5,)</f>
        <v>Điện kế 1 pha 2 dây 220V-5A</v>
      </c>
      <c r="F387" s="1075" t="str">
        <f>VLOOKUP($B387,dongia1,DG!$D$5,)</f>
        <v>cái</v>
      </c>
      <c r="G387" s="1077">
        <f>G381*2</f>
        <v>0</v>
      </c>
      <c r="H387" s="1062">
        <f>VLOOKUP($B387,dongia1,DG!$E$5,)</f>
        <v>0</v>
      </c>
      <c r="I387" s="1062"/>
      <c r="J387" s="1062">
        <f>VLOOKUP($B387,dongia1,DG!$G$5,)</f>
        <v>0</v>
      </c>
      <c r="K387" s="1062">
        <f>VLOOKUP($B387,dongia1,DG!$H$5,)</f>
        <v>0</v>
      </c>
      <c r="L387" s="1174">
        <f t="shared" si="72"/>
        <v>0</v>
      </c>
      <c r="M387" s="1174">
        <f>I387*G387</f>
        <v>0</v>
      </c>
      <c r="N387" s="1174">
        <f>J387*G387</f>
        <v>0</v>
      </c>
      <c r="O387" s="1083">
        <f>K387*G387</f>
        <v>0</v>
      </c>
      <c r="P387" s="1074" t="s">
        <v>3471</v>
      </c>
    </row>
    <row r="388" spans="1:18" s="1081" customFormat="1" hidden="1" outlineLevel="1">
      <c r="A388" s="1072">
        <f t="shared" si="71"/>
        <v>0</v>
      </c>
      <c r="B388" s="1073" t="s">
        <v>1520</v>
      </c>
      <c r="C388" s="1168">
        <f t="shared" si="76"/>
        <v>0</v>
      </c>
      <c r="D388" s="1075">
        <f>VLOOKUP($B388,dongia1,DG!$B$5,)</f>
        <v>0</v>
      </c>
      <c r="E388" s="1076" t="str">
        <f>VLOOKUP($B388,dongia1,DG!$C$5,)</f>
        <v xml:space="preserve">Ampe kế 100/5A-600v +AS </v>
      </c>
      <c r="F388" s="1075" t="str">
        <f>VLOOKUP($B388,dongia1,DG!$D$5,)</f>
        <v>Bộ</v>
      </c>
      <c r="G388" s="1074">
        <f>G387*0</f>
        <v>0</v>
      </c>
      <c r="H388" s="1062"/>
      <c r="I388" s="1062"/>
      <c r="J388" s="1062">
        <f>VLOOKUP($B388,dongia1,DG!$G$5,)</f>
        <v>0</v>
      </c>
      <c r="K388" s="1062">
        <f>VLOOKUP($B388,dongia1,DG!$H$5,)</f>
        <v>0</v>
      </c>
      <c r="L388" s="1174">
        <f t="shared" si="72"/>
        <v>0</v>
      </c>
      <c r="M388" s="1174">
        <f>I388*G388</f>
        <v>0</v>
      </c>
      <c r="N388" s="1174">
        <f>J388*G388</f>
        <v>0</v>
      </c>
      <c r="O388" s="1083">
        <f>K388*G388</f>
        <v>0</v>
      </c>
      <c r="P388" s="1080"/>
    </row>
    <row r="389" spans="1:18" s="1081" customFormat="1" hidden="1" outlineLevel="1">
      <c r="A389" s="1072">
        <f t="shared" si="71"/>
        <v>0</v>
      </c>
      <c r="B389" s="1073" t="s">
        <v>1521</v>
      </c>
      <c r="C389" s="1168">
        <f t="shared" si="76"/>
        <v>0</v>
      </c>
      <c r="D389" s="1075">
        <f>VLOOKUP($B389,dongia1,DG!$B$5,)</f>
        <v>0</v>
      </c>
      <c r="E389" s="1076" t="str">
        <f>VLOOKUP($B389,dongia1,DG!$C$5,)</f>
        <v>Volt kế 500V + VS + 2xChì ống 1A-230V</v>
      </c>
      <c r="F389" s="1075" t="str">
        <f>VLOOKUP($B389,dongia1,DG!$D$5,)</f>
        <v>Bộ</v>
      </c>
      <c r="G389" s="1074">
        <f>G388</f>
        <v>0</v>
      </c>
      <c r="H389" s="1062"/>
      <c r="I389" s="1062"/>
      <c r="J389" s="1062">
        <f>VLOOKUP($B389,dongia1,DG!$G$5,)</f>
        <v>0</v>
      </c>
      <c r="K389" s="1062">
        <f>VLOOKUP($B389,dongia1,DG!$H$5,)</f>
        <v>0</v>
      </c>
      <c r="L389" s="1174">
        <f t="shared" si="72"/>
        <v>0</v>
      </c>
      <c r="M389" s="1174">
        <f>I389*G389</f>
        <v>0</v>
      </c>
      <c r="N389" s="1174">
        <f>J389*G389</f>
        <v>0</v>
      </c>
      <c r="O389" s="1083">
        <f>K389*G389</f>
        <v>0</v>
      </c>
      <c r="P389" s="1229"/>
    </row>
    <row r="390" spans="1:18" s="1081" customFormat="1" hidden="1" outlineLevel="1">
      <c r="A390" s="1072" t="str">
        <f>A376</f>
        <v/>
      </c>
      <c r="B390" s="1073"/>
      <c r="C390" s="1179"/>
      <c r="D390" s="1180"/>
      <c r="E390" s="1183"/>
      <c r="F390" s="1182"/>
      <c r="G390" s="1234"/>
      <c r="H390" s="1182"/>
      <c r="I390" s="1182"/>
      <c r="J390" s="1183" t="s">
        <v>3387</v>
      </c>
      <c r="K390" s="1182"/>
      <c r="L390" s="1166">
        <f>SUM(L381:L389)</f>
        <v>0</v>
      </c>
      <c r="M390" s="1166"/>
      <c r="N390" s="1166">
        <f>SUM(N381:N389)</f>
        <v>0</v>
      </c>
      <c r="O390" s="1166">
        <f>SUM(O381:O389)</f>
        <v>0</v>
      </c>
      <c r="P390" s="1220"/>
    </row>
    <row r="391" spans="1:18" s="1081" customFormat="1" hidden="1" outlineLevel="1">
      <c r="A391" s="1072" t="str">
        <f>A390</f>
        <v/>
      </c>
      <c r="B391" s="1073"/>
      <c r="C391" s="1184"/>
      <c r="D391" s="1185"/>
      <c r="E391" s="1186" t="s">
        <v>3376</v>
      </c>
      <c r="F391" s="1186"/>
      <c r="G391" s="1235"/>
      <c r="H391" s="1186"/>
      <c r="I391" s="1186"/>
      <c r="J391" s="1186"/>
      <c r="K391" s="1186"/>
      <c r="L391" s="1186"/>
      <c r="M391" s="1186"/>
      <c r="N391" s="1186"/>
      <c r="O391" s="1185"/>
      <c r="P391" s="1220"/>
    </row>
    <row r="392" spans="1:18" s="1081" customFormat="1" hidden="1" outlineLevel="1">
      <c r="A392" s="1072">
        <f>IF(G392=0,0,1)</f>
        <v>0</v>
      </c>
      <c r="B392" s="1073" t="s">
        <v>1262</v>
      </c>
      <c r="C392" s="1187">
        <f>IF(G404&gt;0,1,0)</f>
        <v>0</v>
      </c>
      <c r="D392" s="1192"/>
      <c r="E392" s="1076" t="str">
        <f>VLOOKUP($B392,dongia1,DG!$C$5,)</f>
        <v>Boulon 16x300+ 2 long đền vuông D18-50x50x3/Zn</v>
      </c>
      <c r="F392" s="1075" t="str">
        <f>VLOOKUP($B392,dongia1,DG!$D$5,)</f>
        <v>bộ</v>
      </c>
      <c r="G392" s="1236">
        <f>2*SUM(G381:G381)</f>
        <v>0</v>
      </c>
      <c r="H392" s="1062">
        <f>VLOOKUP($B392,dongia1,DG!$F$5,)</f>
        <v>25400</v>
      </c>
      <c r="I392" s="1083"/>
      <c r="J392" s="1062">
        <f>VLOOKUP($B392,dongia1,DG!$G$5,)</f>
        <v>0</v>
      </c>
      <c r="K392" s="1062">
        <f>VLOOKUP($B392,dongia1,DG!$H$5,)</f>
        <v>0</v>
      </c>
      <c r="L392" s="1174">
        <f t="shared" ref="L392:L456" si="77">H392*G392</f>
        <v>0</v>
      </c>
      <c r="M392" s="1174">
        <f t="shared" ref="M392:M456" si="78">I392*G392</f>
        <v>0</v>
      </c>
      <c r="N392" s="1174">
        <f t="shared" ref="N392:N427" si="79">J392*G392</f>
        <v>0</v>
      </c>
      <c r="O392" s="1083">
        <f t="shared" ref="O392:O456" si="80">K392*G392</f>
        <v>0</v>
      </c>
      <c r="P392" s="1219"/>
    </row>
    <row r="393" spans="1:18" s="1081" customFormat="1" hidden="1" outlineLevel="1">
      <c r="A393" s="1154">
        <f>IF(G393&lt;&gt;0,1,)</f>
        <v>0</v>
      </c>
      <c r="B393" s="1073"/>
      <c r="C393" s="1191">
        <f>IF(G393&gt;0,C392+1,C392)</f>
        <v>0</v>
      </c>
      <c r="D393" s="1192"/>
      <c r="E393" s="1193" t="s">
        <v>3422</v>
      </c>
      <c r="F393" s="1064" t="s">
        <v>2113</v>
      </c>
      <c r="G393" s="1064">
        <f>G381*0</f>
        <v>0</v>
      </c>
      <c r="H393" s="1083"/>
      <c r="I393" s="1083"/>
      <c r="J393" s="1083"/>
      <c r="K393" s="1083"/>
      <c r="L393" s="1174">
        <f t="shared" si="77"/>
        <v>0</v>
      </c>
      <c r="M393" s="1174">
        <f t="shared" si="78"/>
        <v>0</v>
      </c>
      <c r="N393" s="1174">
        <f t="shared" si="79"/>
        <v>0</v>
      </c>
      <c r="O393" s="1083">
        <f t="shared" si="80"/>
        <v>0</v>
      </c>
      <c r="P393" s="1074"/>
    </row>
    <row r="394" spans="1:18" s="1081" customFormat="1" ht="14.4" hidden="1" outlineLevel="1">
      <c r="A394" s="1154">
        <f>A393</f>
        <v>0</v>
      </c>
      <c r="B394" s="1073"/>
      <c r="C394" s="1064"/>
      <c r="D394" s="1192"/>
      <c r="E394" s="1194" t="s">
        <v>3399</v>
      </c>
      <c r="F394" s="1074"/>
      <c r="G394" s="1074"/>
      <c r="H394" s="1083"/>
      <c r="I394" s="1083"/>
      <c r="J394" s="1083"/>
      <c r="K394" s="1083"/>
      <c r="L394" s="1174">
        <f t="shared" si="77"/>
        <v>0</v>
      </c>
      <c r="M394" s="1174">
        <f t="shared" si="78"/>
        <v>0</v>
      </c>
      <c r="N394" s="1174">
        <f t="shared" si="79"/>
        <v>0</v>
      </c>
      <c r="O394" s="1083">
        <f t="shared" si="80"/>
        <v>0</v>
      </c>
      <c r="P394" s="1074"/>
      <c r="R394" s="1195"/>
    </row>
    <row r="395" spans="1:18" s="1081" customFormat="1" hidden="1" outlineLevel="1">
      <c r="A395" s="1154">
        <f>IF(G395&lt;&gt;0,1,)</f>
        <v>0</v>
      </c>
      <c r="B395" s="1067" t="s">
        <v>1012</v>
      </c>
      <c r="C395" s="1074"/>
      <c r="D395" s="1075">
        <f>VLOOKUP($B395,dongia1,DG!$B$5,)</f>
        <v>0</v>
      </c>
      <c r="E395" s="1076" t="str">
        <f>VLOOKUP($B395,dongia1,DG!$C$5,)</f>
        <v>Trụ BTLT 12m F350 dự ứng lực</v>
      </c>
      <c r="F395" s="1075" t="str">
        <f>VLOOKUP($B395,dongia1,DG!$D$5,)</f>
        <v>trụ</v>
      </c>
      <c r="G395" s="1074">
        <f>1*G393</f>
        <v>0</v>
      </c>
      <c r="H395" s="1062">
        <f>VLOOKUP($B395,dongia1,DG!$F$5,)</f>
        <v>4400000</v>
      </c>
      <c r="I395" s="1062"/>
      <c r="J395" s="1062">
        <f>VLOOKUP($B395,dongia1,DG!$G$5,)</f>
        <v>0</v>
      </c>
      <c r="K395" s="1062">
        <f>VLOOKUP($B395,dongia1,DG!$H$5,)</f>
        <v>0</v>
      </c>
      <c r="L395" s="1174">
        <f t="shared" si="77"/>
        <v>0</v>
      </c>
      <c r="M395" s="1174">
        <f t="shared" si="78"/>
        <v>0</v>
      </c>
      <c r="N395" s="1174">
        <f t="shared" si="79"/>
        <v>0</v>
      </c>
      <c r="O395" s="1083">
        <f t="shared" si="80"/>
        <v>0</v>
      </c>
      <c r="P395" s="1074"/>
      <c r="R395" s="1195"/>
    </row>
    <row r="396" spans="1:18" s="1081" customFormat="1" hidden="1" outlineLevel="1">
      <c r="A396" s="1154">
        <f>IF(G396&lt;&gt;0,1,)</f>
        <v>0</v>
      </c>
      <c r="B396" s="1067" t="s">
        <v>1457</v>
      </c>
      <c r="C396" s="1074"/>
      <c r="D396" s="1196"/>
      <c r="E396" s="1076" t="str">
        <f>VLOOKUP($B396,dongia1,DG!$C$5,)</f>
        <v>Vật liệu dựng trụ</v>
      </c>
      <c r="F396" s="1075" t="str">
        <f>VLOOKUP($B396,dongia1,DG!$D$5,)</f>
        <v>trụ</v>
      </c>
      <c r="G396" s="1074">
        <f>G395</f>
        <v>0</v>
      </c>
      <c r="H396" s="1062">
        <f>VLOOKUP($B396,dongia1,DG!$F$5,)</f>
        <v>17400</v>
      </c>
      <c r="I396" s="1062"/>
      <c r="J396" s="1062">
        <f>VLOOKUP($B396,dongia1,DG!$G$5,)</f>
        <v>0</v>
      </c>
      <c r="K396" s="1062">
        <f>VLOOKUP($B396,dongia1,DG!$H$5,)</f>
        <v>0</v>
      </c>
      <c r="L396" s="1174">
        <f t="shared" si="77"/>
        <v>0</v>
      </c>
      <c r="M396" s="1174">
        <f t="shared" si="78"/>
        <v>0</v>
      </c>
      <c r="N396" s="1174">
        <f t="shared" si="79"/>
        <v>0</v>
      </c>
      <c r="O396" s="1083">
        <f t="shared" si="80"/>
        <v>0</v>
      </c>
      <c r="P396" s="1074"/>
      <c r="R396" s="1195"/>
    </row>
    <row r="397" spans="1:18" s="1081" customFormat="1" hidden="1" outlineLevel="1">
      <c r="A397" s="1154">
        <f>IF(G397&lt;&gt;0,1,)</f>
        <v>0</v>
      </c>
      <c r="B397" s="1067" t="s">
        <v>1993</v>
      </c>
      <c r="C397" s="1074"/>
      <c r="D397" s="1196"/>
      <c r="E397" s="1076" t="str">
        <f>VLOOKUP($B397,dongia1,DG!$C$5,)</f>
        <v>Dựng trụ BTLT 12m trong TBA bằng thủ công + cơ giới</v>
      </c>
      <c r="F397" s="1075" t="str">
        <f>VLOOKUP($B397,dongia1,DG!$D$5,)</f>
        <v>trụ</v>
      </c>
      <c r="G397" s="1074">
        <f>G395</f>
        <v>0</v>
      </c>
      <c r="H397" s="1062">
        <f>VLOOKUP($B397,dongia1,DG!$F$5,)</f>
        <v>0</v>
      </c>
      <c r="I397" s="1062"/>
      <c r="J397" s="1062">
        <f>VLOOKUP($B397,dongia1,DG!$G$5,)</f>
        <v>112286</v>
      </c>
      <c r="K397" s="1062">
        <f>VLOOKUP($B397,dongia1,DG!$H$5,)</f>
        <v>105970</v>
      </c>
      <c r="L397" s="1174">
        <f t="shared" si="77"/>
        <v>0</v>
      </c>
      <c r="M397" s="1174">
        <f t="shared" si="78"/>
        <v>0</v>
      </c>
      <c r="N397" s="1174">
        <f t="shared" si="79"/>
        <v>0</v>
      </c>
      <c r="O397" s="1083">
        <f t="shared" si="80"/>
        <v>0</v>
      </c>
      <c r="P397" s="1074"/>
      <c r="R397" s="1195"/>
    </row>
    <row r="398" spans="1:18" s="1081" customFormat="1" hidden="1" outlineLevel="1">
      <c r="A398" s="1154">
        <f>IF(G398&lt;&gt;0,1,)</f>
        <v>0</v>
      </c>
      <c r="B398" s="1073"/>
      <c r="C398" s="1191">
        <f>IF(G398&gt;0,C393+1,C393)</f>
        <v>0</v>
      </c>
      <c r="D398" s="1192"/>
      <c r="E398" s="1193" t="s">
        <v>4981</v>
      </c>
      <c r="F398" s="1064" t="s">
        <v>2113</v>
      </c>
      <c r="G398" s="1236">
        <f>G381</f>
        <v>0</v>
      </c>
      <c r="H398" s="1083"/>
      <c r="I398" s="1083"/>
      <c r="J398" s="1083"/>
      <c r="K398" s="1083"/>
      <c r="L398" s="1174">
        <f t="shared" si="77"/>
        <v>0</v>
      </c>
      <c r="M398" s="1174">
        <f t="shared" si="78"/>
        <v>0</v>
      </c>
      <c r="N398" s="1174">
        <f t="shared" si="79"/>
        <v>0</v>
      </c>
      <c r="O398" s="1083">
        <f t="shared" si="80"/>
        <v>0</v>
      </c>
      <c r="P398" s="1074"/>
    </row>
    <row r="399" spans="1:18" s="1081" customFormat="1" ht="14.4" hidden="1" outlineLevel="1">
      <c r="A399" s="1154">
        <f>A398</f>
        <v>0</v>
      </c>
      <c r="B399" s="1073"/>
      <c r="C399" s="1064"/>
      <c r="D399" s="1192"/>
      <c r="E399" s="1194" t="s">
        <v>3399</v>
      </c>
      <c r="F399" s="1074"/>
      <c r="G399" s="1074"/>
      <c r="H399" s="1083"/>
      <c r="I399" s="1083"/>
      <c r="J399" s="1083"/>
      <c r="K399" s="1083"/>
      <c r="L399" s="1174">
        <f t="shared" si="77"/>
        <v>0</v>
      </c>
      <c r="M399" s="1174">
        <f t="shared" si="78"/>
        <v>0</v>
      </c>
      <c r="N399" s="1174">
        <f t="shared" si="79"/>
        <v>0</v>
      </c>
      <c r="O399" s="1083">
        <f t="shared" si="80"/>
        <v>0</v>
      </c>
      <c r="P399" s="1074"/>
      <c r="R399" s="1195"/>
    </row>
    <row r="400" spans="1:18" s="1081" customFormat="1" hidden="1" outlineLevel="1">
      <c r="A400" s="1154">
        <f>IF(G400&lt;&gt;0,1,)</f>
        <v>0</v>
      </c>
      <c r="B400" s="1082" t="s">
        <v>1307</v>
      </c>
      <c r="C400" s="1074"/>
      <c r="D400" s="1075">
        <f>VLOOKUP($B400,dongia1,DG!$B$5,)</f>
        <v>0</v>
      </c>
      <c r="E400" s="1076" t="str">
        <f>VLOOKUP($B400,dongia1,DG!$C$5,)&amp;" (dùng tháp đầu trụ)"</f>
        <v>Đà U160x68x5x2800 đỡ MBA (dùng tháp đầu trụ)</v>
      </c>
      <c r="F400" s="1075" t="str">
        <f>VLOOKUP($B400,dongia1,DG!$D$5,)</f>
        <v>kg</v>
      </c>
      <c r="G400" s="1077">
        <f>1*G398</f>
        <v>0</v>
      </c>
      <c r="H400" s="1062">
        <f>VLOOKUP($B400,dongia1,DG!$F$5,)</f>
        <v>31625</v>
      </c>
      <c r="I400" s="1062"/>
      <c r="J400" s="1062">
        <f>VLOOKUP($B400,dongia1,DG!$G$5,)</f>
        <v>0</v>
      </c>
      <c r="K400" s="1062">
        <f>VLOOKUP($B400,dongia1,DG!$H$5,)</f>
        <v>0</v>
      </c>
      <c r="L400" s="1174">
        <f t="shared" si="77"/>
        <v>0</v>
      </c>
      <c r="M400" s="1174">
        <f t="shared" si="78"/>
        <v>0</v>
      </c>
      <c r="N400" s="1174">
        <f t="shared" si="79"/>
        <v>0</v>
      </c>
      <c r="O400" s="1083">
        <f t="shared" si="80"/>
        <v>0</v>
      </c>
      <c r="P400" s="1074"/>
      <c r="R400" s="1195"/>
    </row>
    <row r="401" spans="1:18" s="1081" customFormat="1" hidden="1" outlineLevel="1">
      <c r="A401" s="1154">
        <f>IF(G401&lt;&gt;0,1,)</f>
        <v>0</v>
      </c>
      <c r="B401" s="1067" t="s">
        <v>1673</v>
      </c>
      <c r="C401" s="1074"/>
      <c r="D401" s="1075">
        <f>VLOOKUP($B401,dongia1,DG!$B$5,)</f>
        <v>0</v>
      </c>
      <c r="E401" s="1076" t="str">
        <f>VLOOKUP($B401,dongia1,DG!$C$5,)</f>
        <v>Boulon 16x250+ 2 long đền vuông D18-50x50x3/Zn</v>
      </c>
      <c r="F401" s="1075" t="str">
        <f>VLOOKUP($B401,dongia1,DG!$D$5,)</f>
        <v>bộ</v>
      </c>
      <c r="G401" s="1077">
        <f>G398*2</f>
        <v>0</v>
      </c>
      <c r="H401" s="1062">
        <f>VLOOKUP($B401,dongia1,DG!$F$5,)</f>
        <v>13400</v>
      </c>
      <c r="I401" s="1062"/>
      <c r="J401" s="1062">
        <f>VLOOKUP($B401,dongia1,DG!$G$5,)</f>
        <v>0</v>
      </c>
      <c r="K401" s="1062">
        <f>VLOOKUP($B401,dongia1,DG!$H$5,)</f>
        <v>0</v>
      </c>
      <c r="L401" s="1174">
        <f t="shared" si="77"/>
        <v>0</v>
      </c>
      <c r="M401" s="1174">
        <f t="shared" si="78"/>
        <v>0</v>
      </c>
      <c r="N401" s="1174">
        <f t="shared" si="79"/>
        <v>0</v>
      </c>
      <c r="O401" s="1083">
        <f t="shared" si="80"/>
        <v>0</v>
      </c>
      <c r="P401" s="1074"/>
      <c r="R401" s="1195"/>
    </row>
    <row r="402" spans="1:18" s="1081" customFormat="1" hidden="1" outlineLevel="1">
      <c r="A402" s="1154">
        <f>IF(G402&lt;&gt;0,1,)</f>
        <v>0</v>
      </c>
      <c r="B402" s="1082" t="s">
        <v>4982</v>
      </c>
      <c r="C402" s="1074"/>
      <c r="D402" s="1075" t="str">
        <f>VLOOKUP($B402,dongia1,DG!$B$5,)</f>
        <v>D2.6021e</v>
      </c>
      <c r="E402" s="1076" t="str">
        <f>VLOOKUP($B402,dongia1,DG!$C$5,)</f>
        <v>Lắp xà đỡ 2,8m đơn (42,84kg)</v>
      </c>
      <c r="F402" s="1075" t="str">
        <f>VLOOKUP($B402,dongia1,DG!$D$5,)</f>
        <v>bộ</v>
      </c>
      <c r="G402" s="1077">
        <f>G398*1</f>
        <v>0</v>
      </c>
      <c r="H402" s="1062">
        <f>VLOOKUP($B402,dongia1,DG!$F$5,)</f>
        <v>0</v>
      </c>
      <c r="I402" s="1062"/>
      <c r="J402" s="1062">
        <f>VLOOKUP($B402,dongia1,DG!$G$5,)</f>
        <v>296914</v>
      </c>
      <c r="K402" s="1062">
        <f>VLOOKUP($B402,dongia1,DG!$H$5,)</f>
        <v>0</v>
      </c>
      <c r="L402" s="1174">
        <f t="shared" si="77"/>
        <v>0</v>
      </c>
      <c r="M402" s="1174">
        <f t="shared" si="78"/>
        <v>0</v>
      </c>
      <c r="N402" s="1174">
        <f t="shared" si="79"/>
        <v>0</v>
      </c>
      <c r="O402" s="1083">
        <f t="shared" si="80"/>
        <v>0</v>
      </c>
      <c r="P402" s="1074"/>
      <c r="R402" s="1195"/>
    </row>
    <row r="403" spans="1:18" s="1081" customFormat="1" hidden="1" outlineLevel="1">
      <c r="A403" s="1154">
        <f>IF(G403&lt;&gt;0,1,)</f>
        <v>0</v>
      </c>
      <c r="B403" s="1067" t="str">
        <f>IF(capdat=1,"MDAP1",IF(capdat=2,"MDAP2",IF(capdat=3,"MDAP3",IF(capdat=4,"MDAP4"))))</f>
        <v>MDAP3</v>
      </c>
      <c r="C403" s="1074"/>
      <c r="D403" s="1075" t="str">
        <f>VLOOKUP($B403,dongia1,DG!$B$5,)</f>
        <v>AB.13111</v>
      </c>
      <c r="E403" s="1076" t="str">
        <f>VLOOKUP($B403,dongia1,DG!$C$5,)</f>
        <v>Đắp đất hố móng, đất cấp 3 (độ chặt k = 0.85)</v>
      </c>
      <c r="F403" s="1075" t="str">
        <f>VLOOKUP($B403,dongia1,DG!$D$5,)</f>
        <v>m3</v>
      </c>
      <c r="G403" s="1077"/>
      <c r="H403" s="1062">
        <f>VLOOKUP($B403,dongia1,DG!$F$5,)</f>
        <v>0</v>
      </c>
      <c r="I403" s="1062"/>
      <c r="J403" s="1062">
        <f>VLOOKUP($B403,dongia1,DG!$G$5,)</f>
        <v>117703.6</v>
      </c>
      <c r="K403" s="1062">
        <f>VLOOKUP($B403,dongia1,DG!$H$5,)</f>
        <v>0</v>
      </c>
      <c r="L403" s="1174">
        <f t="shared" si="77"/>
        <v>0</v>
      </c>
      <c r="M403" s="1174">
        <f t="shared" si="78"/>
        <v>0</v>
      </c>
      <c r="N403" s="1174">
        <f t="shared" si="79"/>
        <v>0</v>
      </c>
      <c r="O403" s="1083">
        <f t="shared" si="80"/>
        <v>0</v>
      </c>
      <c r="P403" s="1074"/>
      <c r="R403" s="1195"/>
    </row>
    <row r="404" spans="1:18" s="1081" customFormat="1" hidden="1" outlineLevel="1">
      <c r="A404" s="1072">
        <f>IF(G404=0,0,1)</f>
        <v>0</v>
      </c>
      <c r="B404" s="1073"/>
      <c r="C404" s="1191">
        <f>IF(G404&gt;0,C398+1,C398)</f>
        <v>0</v>
      </c>
      <c r="D404" s="1192"/>
      <c r="E404" s="1221" t="s">
        <v>3398</v>
      </c>
      <c r="F404" s="1064" t="s">
        <v>2113</v>
      </c>
      <c r="G404" s="1236">
        <f>SUM(G381:G381)</f>
        <v>0</v>
      </c>
      <c r="H404" s="1062"/>
      <c r="I404" s="1083"/>
      <c r="J404" s="1062"/>
      <c r="K404" s="1062"/>
      <c r="L404" s="1174">
        <f t="shared" si="77"/>
        <v>0</v>
      </c>
      <c r="M404" s="1174">
        <f t="shared" si="78"/>
        <v>0</v>
      </c>
      <c r="N404" s="1174">
        <f t="shared" si="79"/>
        <v>0</v>
      </c>
      <c r="O404" s="1083">
        <f t="shared" si="80"/>
        <v>0</v>
      </c>
      <c r="P404" s="1080"/>
    </row>
    <row r="405" spans="1:18" s="1081" customFormat="1" ht="14.4" hidden="1" outlineLevel="1">
      <c r="A405" s="1072">
        <f>A404</f>
        <v>0</v>
      </c>
      <c r="B405" s="1073"/>
      <c r="C405" s="1064"/>
      <c r="D405" s="1192"/>
      <c r="E405" s="1222" t="s">
        <v>3399</v>
      </c>
      <c r="F405" s="1074"/>
      <c r="G405" s="1077"/>
      <c r="H405" s="1062"/>
      <c r="I405" s="1083"/>
      <c r="J405" s="1062"/>
      <c r="K405" s="1062"/>
      <c r="L405" s="1174">
        <f t="shared" si="77"/>
        <v>0</v>
      </c>
      <c r="M405" s="1174">
        <f t="shared" si="78"/>
        <v>0</v>
      </c>
      <c r="N405" s="1174">
        <f t="shared" si="79"/>
        <v>0</v>
      </c>
      <c r="O405" s="1083">
        <f t="shared" si="80"/>
        <v>0</v>
      </c>
      <c r="P405" s="1080"/>
    </row>
    <row r="406" spans="1:18" s="1081" customFormat="1" hidden="1" outlineLevel="1">
      <c r="A406" s="1199" t="str">
        <f t="shared" ref="A406:A412" si="81">IF(G406&lt;&gt;0,1,"")</f>
        <v/>
      </c>
      <c r="B406" s="1067" t="s">
        <v>2116</v>
      </c>
      <c r="C406" s="1074"/>
      <c r="D406" s="1075">
        <f>VLOOKUP($B406,dongia1,DG!$B$5,)</f>
        <v>0</v>
      </c>
      <c r="E406" s="1076" t="str">
        <f>VLOOKUP($B406,dongia1,DG!$C$5,)</f>
        <v>Đà Composite 110x80x5x800</v>
      </c>
      <c r="F406" s="1075" t="str">
        <f>VLOOKUP($B406,dongia1,DG!$D$5,)</f>
        <v>cây</v>
      </c>
      <c r="G406" s="1077">
        <f>G404</f>
        <v>0</v>
      </c>
      <c r="H406" s="1062">
        <f>VLOOKUP($B406,dongia1,DG!$F$5,)</f>
        <v>320000</v>
      </c>
      <c r="I406" s="1083"/>
      <c r="J406" s="1062">
        <f>VLOOKUP($B406,dongia1,DG!$G$5,)</f>
        <v>0</v>
      </c>
      <c r="K406" s="1062">
        <f>VLOOKUP($B406,dongia1,DG!$H$5,)</f>
        <v>0</v>
      </c>
      <c r="L406" s="1174">
        <f t="shared" si="77"/>
        <v>0</v>
      </c>
      <c r="M406" s="1174">
        <f>I406*G406</f>
        <v>0</v>
      </c>
      <c r="N406" s="1174">
        <f t="shared" ref="N406:N411" si="82">J406*G406</f>
        <v>0</v>
      </c>
      <c r="O406" s="1083">
        <f t="shared" si="80"/>
        <v>0</v>
      </c>
      <c r="P406" s="1080"/>
    </row>
    <row r="407" spans="1:18" s="1081" customFormat="1" hidden="1" outlineLevel="1">
      <c r="A407" s="1199" t="str">
        <f t="shared" si="81"/>
        <v/>
      </c>
      <c r="B407" s="1067" t="s">
        <v>2109</v>
      </c>
      <c r="C407" s="1074"/>
      <c r="D407" s="1075">
        <f>VLOOKUP($B407,dongia1,DG!$B$5,)</f>
        <v>0</v>
      </c>
      <c r="E407" s="1076" t="str">
        <f>VLOOKUP($B407,dongia1,DG!$C$5,)</f>
        <v>Chống Composite 40x10x710</v>
      </c>
      <c r="F407" s="1075" t="str">
        <f>VLOOKUP($B407,dongia1,DG!$D$5,)</f>
        <v>Thanh</v>
      </c>
      <c r="G407" s="1077">
        <f>G406*1</f>
        <v>0</v>
      </c>
      <c r="H407" s="1062">
        <f>VLOOKUP($B407,dongia1,DG!$F$5,)</f>
        <v>95000</v>
      </c>
      <c r="I407" s="1083"/>
      <c r="J407" s="1062">
        <f>VLOOKUP($B407,dongia1,DG!$G$5,)</f>
        <v>0</v>
      </c>
      <c r="K407" s="1062">
        <f>VLOOKUP($B407,dongia1,DG!$H$5,)</f>
        <v>0</v>
      </c>
      <c r="L407" s="1174">
        <f t="shared" si="77"/>
        <v>0</v>
      </c>
      <c r="M407" s="1174">
        <f>I407*G407</f>
        <v>0</v>
      </c>
      <c r="N407" s="1174">
        <f t="shared" si="82"/>
        <v>0</v>
      </c>
      <c r="O407" s="1083">
        <f t="shared" si="80"/>
        <v>0</v>
      </c>
      <c r="P407" s="1080"/>
    </row>
    <row r="408" spans="1:18" s="1081" customFormat="1" hidden="1" outlineLevel="1">
      <c r="A408" s="1199" t="str">
        <f t="shared" si="81"/>
        <v/>
      </c>
      <c r="B408" s="1067" t="s">
        <v>2078</v>
      </c>
      <c r="C408" s="1074"/>
      <c r="D408" s="1075">
        <f>VLOOKUP($B408,dongia1,DG!$B$5,)</f>
        <v>0</v>
      </c>
      <c r="E408" s="1076" t="str">
        <f>VLOOKUP($B408,dongia1,DG!$C$5,)</f>
        <v>Bass LL bắt FCO và LA</v>
      </c>
      <c r="F408" s="1075" t="str">
        <f>VLOOKUP($B408,dongia1,DG!$D$5,)</f>
        <v>bộ</v>
      </c>
      <c r="G408" s="1077">
        <f>G404*1</f>
        <v>0</v>
      </c>
      <c r="H408" s="1062">
        <f>VLOOKUP($B408,dongia1,DG!$F$5,)</f>
        <v>65000</v>
      </c>
      <c r="I408" s="1083"/>
      <c r="J408" s="1062">
        <f>VLOOKUP($B408,dongia1,DG!$G$5,)</f>
        <v>0</v>
      </c>
      <c r="K408" s="1062">
        <f>VLOOKUP($B408,dongia1,DG!$H$5,)</f>
        <v>0</v>
      </c>
      <c r="L408" s="1174">
        <f t="shared" si="77"/>
        <v>0</v>
      </c>
      <c r="M408" s="1174"/>
      <c r="N408" s="1174">
        <f t="shared" si="82"/>
        <v>0</v>
      </c>
      <c r="O408" s="1083">
        <f t="shared" si="80"/>
        <v>0</v>
      </c>
      <c r="P408" s="1080"/>
    </row>
    <row r="409" spans="1:18" s="1081" customFormat="1" hidden="1" outlineLevel="1">
      <c r="A409" s="1199" t="str">
        <f t="shared" si="81"/>
        <v/>
      </c>
      <c r="B409" s="1067" t="s">
        <v>746</v>
      </c>
      <c r="C409" s="1074"/>
      <c r="D409" s="1075">
        <f>VLOOKUP($B409,dongia1,DG!$B$5,)</f>
        <v>0</v>
      </c>
      <c r="E409" s="1076" t="str">
        <f>VLOOKUP($B409,dongia1,DG!$C$5,)</f>
        <v>Boulon 16x150+ 2 long đền vuông D18-50x50x3/Zn</v>
      </c>
      <c r="F409" s="1075" t="str">
        <f>VLOOKUP($B409,dongia1,DG!$D$5,)</f>
        <v>bộ</v>
      </c>
      <c r="G409" s="1077">
        <f>G404</f>
        <v>0</v>
      </c>
      <c r="H409" s="1062">
        <f>VLOOKUP($B409,dongia1,DG!$F$5,)</f>
        <v>18900</v>
      </c>
      <c r="I409" s="1083"/>
      <c r="J409" s="1062">
        <f>VLOOKUP($B409,dongia1,DG!$G$5,)</f>
        <v>0</v>
      </c>
      <c r="K409" s="1062">
        <f>VLOOKUP($B409,dongia1,DG!$H$5,)</f>
        <v>0</v>
      </c>
      <c r="L409" s="1174">
        <f t="shared" si="77"/>
        <v>0</v>
      </c>
      <c r="M409" s="1174">
        <f>I409*G409</f>
        <v>0</v>
      </c>
      <c r="N409" s="1174">
        <f t="shared" si="82"/>
        <v>0</v>
      </c>
      <c r="O409" s="1083">
        <f t="shared" si="80"/>
        <v>0</v>
      </c>
      <c r="P409" s="1080"/>
    </row>
    <row r="410" spans="1:18" s="1081" customFormat="1" hidden="1" outlineLevel="1">
      <c r="A410" s="1199" t="str">
        <f>IF(G410&lt;&gt;0,1,"")</f>
        <v/>
      </c>
      <c r="B410" s="1067" t="s">
        <v>1261</v>
      </c>
      <c r="C410" s="1074"/>
      <c r="D410" s="1075">
        <f>VLOOKUP($B410,dongia1,DG!$B$5,)</f>
        <v>0</v>
      </c>
      <c r="E410" s="1076" t="str">
        <f>VLOOKUP($B410,dongia1,DG!$C$5,)</f>
        <v>Boulon 16x250+ 2 long đền vuông D18-50x50x3/Zn</v>
      </c>
      <c r="F410" s="1075" t="str">
        <f>VLOOKUP($B410,dongia1,DG!$D$5,)</f>
        <v>bộ</v>
      </c>
      <c r="G410" s="1077">
        <f>1*G404</f>
        <v>0</v>
      </c>
      <c r="H410" s="1062">
        <f>VLOOKUP($B410,dongia1,DG!$F$5,)</f>
        <v>13400</v>
      </c>
      <c r="I410" s="1083"/>
      <c r="J410" s="1062">
        <f>VLOOKUP($B410,dongia1,DG!$G$5,)</f>
        <v>0</v>
      </c>
      <c r="K410" s="1062">
        <f>VLOOKUP($B410,dongia1,DG!$H$5,)</f>
        <v>0</v>
      </c>
      <c r="L410" s="1174">
        <f>H410*G410</f>
        <v>0</v>
      </c>
      <c r="M410" s="1174">
        <f>I410*G410</f>
        <v>0</v>
      </c>
      <c r="N410" s="1174">
        <f t="shared" si="82"/>
        <v>0</v>
      </c>
      <c r="O410" s="1083">
        <f>K410*G410</f>
        <v>0</v>
      </c>
      <c r="P410" s="1080"/>
    </row>
    <row r="411" spans="1:18" s="1081" customFormat="1" hidden="1" outlineLevel="1">
      <c r="A411" s="1199" t="str">
        <f t="shared" si="81"/>
        <v/>
      </c>
      <c r="B411" s="1067" t="s">
        <v>733</v>
      </c>
      <c r="C411" s="1074"/>
      <c r="D411" s="1075">
        <f>VLOOKUP($B411,dongia1,DG!$B$5,)</f>
        <v>0</v>
      </c>
      <c r="E411" s="1076" t="str">
        <f>VLOOKUP($B411,dongia1,DG!$C$5,)</f>
        <v>Boulon 16x350+ 2 long đền vuông D18-50x50x3/Zn</v>
      </c>
      <c r="F411" s="1075" t="str">
        <f>VLOOKUP($B411,dongia1,DG!$D$5,)</f>
        <v>bộ</v>
      </c>
      <c r="G411" s="1077">
        <f>1*G404</f>
        <v>0</v>
      </c>
      <c r="H411" s="1062">
        <f>VLOOKUP($B411,dongia1,DG!$F$5,)</f>
        <v>27900</v>
      </c>
      <c r="I411" s="1083"/>
      <c r="J411" s="1062">
        <f>VLOOKUP($B411,dongia1,DG!$G$5,)</f>
        <v>0</v>
      </c>
      <c r="K411" s="1062">
        <f>VLOOKUP($B411,dongia1,DG!$H$5,)</f>
        <v>0</v>
      </c>
      <c r="L411" s="1174">
        <f t="shared" si="77"/>
        <v>0</v>
      </c>
      <c r="M411" s="1174">
        <f>I411*G411</f>
        <v>0</v>
      </c>
      <c r="N411" s="1174">
        <f t="shared" si="82"/>
        <v>0</v>
      </c>
      <c r="O411" s="1083">
        <f t="shared" si="80"/>
        <v>0</v>
      </c>
      <c r="P411" s="1080"/>
    </row>
    <row r="412" spans="1:18" s="1081" customFormat="1" hidden="1" outlineLevel="1">
      <c r="A412" s="1199" t="str">
        <f t="shared" si="81"/>
        <v/>
      </c>
      <c r="B412" s="1067" t="s">
        <v>4978</v>
      </c>
      <c r="C412" s="1074"/>
      <c r="D412" s="1075" t="str">
        <f>VLOOKUP($B412,dongia1,DG!$B$5,)</f>
        <v>D2.6011</v>
      </c>
      <c r="E412" s="1076" t="str">
        <f>VLOOKUP($B412,dongia1,DG!$C$5,)</f>
        <v>Lắp xà đỡ composite dài 800mm (3kg)</v>
      </c>
      <c r="F412" s="1075" t="str">
        <f>VLOOKUP($B412,dongia1,DG!$D$5,)</f>
        <v>bộ</v>
      </c>
      <c r="G412" s="1077">
        <f>G404</f>
        <v>0</v>
      </c>
      <c r="H412" s="1062">
        <f>VLOOKUP($B412,dongia1,DG!$F$5,)</f>
        <v>0</v>
      </c>
      <c r="I412" s="1083"/>
      <c r="J412" s="1200" t="str">
        <f>VLOOKUP($B412,dongia1,DG!$G$5,)&amp;"x 1,5"</f>
        <v>20792x 1,5</v>
      </c>
      <c r="K412" s="1062">
        <f>VLOOKUP($B412,dongia1,DG!$H$5,)</f>
        <v>0</v>
      </c>
      <c r="L412" s="1174">
        <f t="shared" si="77"/>
        <v>0</v>
      </c>
      <c r="M412" s="1174">
        <f>I412*G412</f>
        <v>0</v>
      </c>
      <c r="N412" s="1174">
        <f>VLOOKUP($B412,dongia1,DG!$G$5,)*G412*1.5</f>
        <v>0</v>
      </c>
      <c r="O412" s="1083">
        <f t="shared" si="80"/>
        <v>0</v>
      </c>
      <c r="P412" s="1080"/>
    </row>
    <row r="413" spans="1:18" s="1081" customFormat="1" hidden="1" outlineLevel="1">
      <c r="A413" s="1072">
        <f>IF(G413=0,0,1)</f>
        <v>0</v>
      </c>
      <c r="B413" s="1073"/>
      <c r="C413" s="1064">
        <f>IF(G413&gt;0,C404+1,C404)</f>
        <v>0</v>
      </c>
      <c r="D413" s="1192"/>
      <c r="E413" s="1221" t="s">
        <v>3400</v>
      </c>
      <c r="F413" s="1064" t="s">
        <v>2113</v>
      </c>
      <c r="G413" s="1236">
        <f>G404</f>
        <v>0</v>
      </c>
      <c r="H413" s="1062"/>
      <c r="I413" s="1083"/>
      <c r="J413" s="1062"/>
      <c r="K413" s="1062"/>
      <c r="L413" s="1174">
        <f t="shared" si="77"/>
        <v>0</v>
      </c>
      <c r="M413" s="1174">
        <f t="shared" si="78"/>
        <v>0</v>
      </c>
      <c r="N413" s="1174">
        <f t="shared" si="79"/>
        <v>0</v>
      </c>
      <c r="O413" s="1083">
        <f t="shared" si="80"/>
        <v>0</v>
      </c>
      <c r="P413" s="1080"/>
    </row>
    <row r="414" spans="1:18" s="1081" customFormat="1" ht="14.4" hidden="1" outlineLevel="1">
      <c r="A414" s="1072">
        <f>A413</f>
        <v>0</v>
      </c>
      <c r="B414" s="1073"/>
      <c r="C414" s="1074"/>
      <c r="D414" s="1196"/>
      <c r="E414" s="1222" t="s">
        <v>3399</v>
      </c>
      <c r="F414" s="1074"/>
      <c r="G414" s="1077"/>
      <c r="H414" s="1062"/>
      <c r="I414" s="1083"/>
      <c r="J414" s="1062"/>
      <c r="K414" s="1062"/>
      <c r="L414" s="1174">
        <f t="shared" si="77"/>
        <v>0</v>
      </c>
      <c r="M414" s="1174">
        <f t="shared" si="78"/>
        <v>0</v>
      </c>
      <c r="N414" s="1174">
        <f t="shared" si="79"/>
        <v>0</v>
      </c>
      <c r="O414" s="1083">
        <f t="shared" si="80"/>
        <v>0</v>
      </c>
      <c r="P414" s="1080"/>
    </row>
    <row r="415" spans="1:18" s="1081" customFormat="1" hidden="1" outlineLevel="1">
      <c r="A415" s="1072">
        <f t="shared" ref="A415:A431" si="83">IF(G415=0,0,1)</f>
        <v>0</v>
      </c>
      <c r="B415" s="1073" t="s">
        <v>1200</v>
      </c>
      <c r="C415" s="1074"/>
      <c r="D415" s="1075">
        <f>VLOOKUP($B415,dongia1,DG!$B$5,)</f>
        <v>0</v>
      </c>
      <c r="E415" s="1076" t="str">
        <f>VLOOKUP($B415,dongia1,DG!$C$5,)&amp;" (66m)"</f>
        <v>Cáp đồng trần M25mm2 (66m)</v>
      </c>
      <c r="F415" s="1075" t="str">
        <f>VLOOKUP($B415,dongia1,DG!$D$5,)</f>
        <v>kg</v>
      </c>
      <c r="G415" s="1077">
        <f>66*G413*0.224</f>
        <v>0</v>
      </c>
      <c r="H415" s="1062">
        <f>VLOOKUP($B415,dongia1,DG!$F$5,)</f>
        <v>255500</v>
      </c>
      <c r="I415" s="1083"/>
      <c r="J415" s="1062">
        <f>VLOOKUP($B415,dongia1,DG!$G$5,)</f>
        <v>0</v>
      </c>
      <c r="K415" s="1062">
        <f>VLOOKUP($B415,dongia1,DG!$H$5,)</f>
        <v>0</v>
      </c>
      <c r="L415" s="1174">
        <f t="shared" si="77"/>
        <v>0</v>
      </c>
      <c r="M415" s="1174">
        <f t="shared" si="78"/>
        <v>0</v>
      </c>
      <c r="N415" s="1174">
        <f t="shared" si="79"/>
        <v>0</v>
      </c>
      <c r="O415" s="1083">
        <f t="shared" si="80"/>
        <v>0</v>
      </c>
      <c r="P415" s="1080"/>
    </row>
    <row r="416" spans="1:18" s="1081" customFormat="1" hidden="1" outlineLevel="1">
      <c r="A416" s="1072">
        <f t="shared" si="83"/>
        <v>0</v>
      </c>
      <c r="B416" s="1073" t="s">
        <v>1098</v>
      </c>
      <c r="C416" s="1074"/>
      <c r="D416" s="1075">
        <f>VLOOKUP($B416,dongia1,DG!$B$5,)</f>
        <v>0</v>
      </c>
      <c r="E416" s="1076" t="str">
        <f>VLOOKUP($B416,dongia1,DG!$C$5,)</f>
        <v>Cọc tiếp đất Þ 16- 2,4m + kẹp cọc</v>
      </c>
      <c r="F416" s="1075" t="str">
        <f>VLOOKUP($B416,dongia1,DG!$D$5,)</f>
        <v>bộ</v>
      </c>
      <c r="G416" s="1077">
        <f>12*G413</f>
        <v>0</v>
      </c>
      <c r="H416" s="1062">
        <f>VLOOKUP($B416,dongia1,DG!$F$5,)</f>
        <v>160000</v>
      </c>
      <c r="I416" s="1083"/>
      <c r="J416" s="1062">
        <f>VLOOKUP($B416,dongia1,DG!$G$5,)</f>
        <v>0</v>
      </c>
      <c r="K416" s="1062">
        <f>VLOOKUP($B416,dongia1,DG!$H$5,)</f>
        <v>0</v>
      </c>
      <c r="L416" s="1174">
        <f t="shared" si="77"/>
        <v>0</v>
      </c>
      <c r="M416" s="1174">
        <f t="shared" si="78"/>
        <v>0</v>
      </c>
      <c r="N416" s="1174">
        <f t="shared" si="79"/>
        <v>0</v>
      </c>
      <c r="O416" s="1083">
        <f t="shared" si="80"/>
        <v>0</v>
      </c>
      <c r="P416" s="1080"/>
    </row>
    <row r="417" spans="1:16" s="1081" customFormat="1" hidden="1" outlineLevel="1">
      <c r="A417" s="1072">
        <f t="shared" si="83"/>
        <v>0</v>
      </c>
      <c r="B417" s="1073" t="s">
        <v>2040</v>
      </c>
      <c r="C417" s="1074"/>
      <c r="D417" s="1075">
        <f>VLOOKUP($B417,dongia1,DG!$B$5,)</f>
        <v>0</v>
      </c>
      <c r="E417" s="1076" t="str">
        <f>VLOOKUP($B417,dongia1,DG!$C$5,)</f>
        <v xml:space="preserve">Ống PVC D21x1,6mm </v>
      </c>
      <c r="F417" s="1075" t="str">
        <f>VLOOKUP($B417,dongia1,DG!$D$5,)</f>
        <v>m</v>
      </c>
      <c r="G417" s="1077">
        <f>4*G413</f>
        <v>0</v>
      </c>
      <c r="H417" s="1062">
        <f>VLOOKUP($B417,dongia1,DG!$F$5,)</f>
        <v>6200</v>
      </c>
      <c r="I417" s="1083"/>
      <c r="J417" s="1062"/>
      <c r="K417" s="1062">
        <f>VLOOKUP($B417,dongia1,DG!$H$5,)</f>
        <v>0</v>
      </c>
      <c r="L417" s="1174">
        <f t="shared" si="77"/>
        <v>0</v>
      </c>
      <c r="M417" s="1174">
        <f t="shared" si="78"/>
        <v>0</v>
      </c>
      <c r="N417" s="1174">
        <f t="shared" si="79"/>
        <v>0</v>
      </c>
      <c r="O417" s="1083">
        <f t="shared" si="80"/>
        <v>0</v>
      </c>
      <c r="P417" s="1080"/>
    </row>
    <row r="418" spans="1:16" s="1081" customFormat="1" hidden="1" outlineLevel="1">
      <c r="A418" s="1072">
        <f>A417</f>
        <v>0</v>
      </c>
      <c r="B418" s="1073" t="s">
        <v>4853</v>
      </c>
      <c r="C418" s="1074"/>
      <c r="D418" s="1075">
        <f>VLOOKUP($B418,dongia1,DG!$B$5,)</f>
        <v>0</v>
      </c>
      <c r="E418" s="1076" t="str">
        <f>VLOOKUP($B418,dongia1,DG!$C$5,)</f>
        <v>Co 90 độ PVC 21</v>
      </c>
      <c r="F418" s="1075" t="str">
        <f>VLOOKUP($B418,dongia1,DG!$D$5,)</f>
        <v>cái</v>
      </c>
      <c r="G418" s="1077">
        <f>G413*1</f>
        <v>0</v>
      </c>
      <c r="H418" s="1062">
        <f>VLOOKUP($B418,dongia1,DG!$F$5,)</f>
        <v>2100</v>
      </c>
      <c r="I418" s="1083"/>
      <c r="J418" s="1062">
        <f>VLOOKUP($B418,dongia1,DG!$G$5,)</f>
        <v>0</v>
      </c>
      <c r="K418" s="1062">
        <f>VLOOKUP($B418,dongia1,DG!$H$5,)</f>
        <v>0</v>
      </c>
      <c r="L418" s="1174">
        <f>H418*G418</f>
        <v>0</v>
      </c>
      <c r="M418" s="1174">
        <f>I418*G418</f>
        <v>0</v>
      </c>
      <c r="N418" s="1174">
        <f>J418*G418</f>
        <v>0</v>
      </c>
      <c r="O418" s="1083">
        <f>K418*G418</f>
        <v>0</v>
      </c>
      <c r="P418" s="1080"/>
    </row>
    <row r="419" spans="1:16" s="1081" customFormat="1" hidden="1" outlineLevel="1">
      <c r="A419" s="1072">
        <f t="shared" si="83"/>
        <v>0</v>
      </c>
      <c r="B419" s="1073" t="s">
        <v>205</v>
      </c>
      <c r="C419" s="1074"/>
      <c r="D419" s="1075">
        <f>VLOOKUP($B419,dongia1,DG!$B$5,)</f>
        <v>0</v>
      </c>
      <c r="E419" s="1076" t="str">
        <f>VLOOKUP($B419,dongia1,DG!$C$5,)</f>
        <v>Kẹp ép WR cỡ dây 50mm2</v>
      </c>
      <c r="F419" s="1075" t="str">
        <f>VLOOKUP($B419,dongia1,DG!$D$5,)</f>
        <v>cái</v>
      </c>
      <c r="G419" s="1077">
        <f>2*G413</f>
        <v>0</v>
      </c>
      <c r="H419" s="1062">
        <f>VLOOKUP($B419,dongia1,DG!$F$5,)</f>
        <v>8000</v>
      </c>
      <c r="I419" s="1062"/>
      <c r="J419" s="1062">
        <f>VLOOKUP($B419,dongia1,DG!$G$5,)</f>
        <v>0</v>
      </c>
      <c r="K419" s="1062">
        <f>VLOOKUP($B419,dongia1,DG!$H$5,)</f>
        <v>0</v>
      </c>
      <c r="L419" s="1174">
        <f t="shared" si="77"/>
        <v>0</v>
      </c>
      <c r="M419" s="1174">
        <f t="shared" si="78"/>
        <v>0</v>
      </c>
      <c r="N419" s="1174">
        <f t="shared" si="79"/>
        <v>0</v>
      </c>
      <c r="O419" s="1083">
        <f t="shared" si="80"/>
        <v>0</v>
      </c>
      <c r="P419" s="1080"/>
    </row>
    <row r="420" spans="1:16" s="1081" customFormat="1" hidden="1" outlineLevel="1">
      <c r="A420" s="1072">
        <f t="shared" si="83"/>
        <v>0</v>
      </c>
      <c r="B420" s="1073" t="s">
        <v>913</v>
      </c>
      <c r="C420" s="1074"/>
      <c r="D420" s="1075">
        <f>VLOOKUP($B420,dongia1,DG!$B$5,)</f>
        <v>0</v>
      </c>
      <c r="E420" s="1076" t="str">
        <f>VLOOKUP($B420,dongia1,DG!$C$5,)</f>
        <v>Kẹp ép cỡ dây 25mm2</v>
      </c>
      <c r="F420" s="1075" t="str">
        <f>VLOOKUP($B420,dongia1,DG!$D$5,)</f>
        <v>cái</v>
      </c>
      <c r="G420" s="1077">
        <f>G413*12</f>
        <v>0</v>
      </c>
      <c r="H420" s="1062">
        <f>VLOOKUP($B420,dongia1,DG!$F$5,)</f>
        <v>6000</v>
      </c>
      <c r="I420" s="1062"/>
      <c r="J420" s="1062">
        <f>VLOOKUP($B420,dongia1,DG!$G$5,)</f>
        <v>0</v>
      </c>
      <c r="K420" s="1062">
        <f>VLOOKUP($B420,dongia1,DG!$H$5,)</f>
        <v>0</v>
      </c>
      <c r="L420" s="1174">
        <f t="shared" si="77"/>
        <v>0</v>
      </c>
      <c r="M420" s="1174">
        <f t="shared" si="78"/>
        <v>0</v>
      </c>
      <c r="N420" s="1174">
        <f t="shared" si="79"/>
        <v>0</v>
      </c>
      <c r="O420" s="1083">
        <f t="shared" si="80"/>
        <v>0</v>
      </c>
      <c r="P420" s="1080"/>
    </row>
    <row r="421" spans="1:16" s="1081" customFormat="1" hidden="1" outlineLevel="1">
      <c r="A421" s="1072">
        <f>IF(G421=0,0,1)</f>
        <v>0</v>
      </c>
      <c r="B421" s="1073" t="s">
        <v>1490</v>
      </c>
      <c r="C421" s="1074"/>
      <c r="D421" s="1075">
        <f>VLOOKUP($B421,dongia1,DG!$B$5,)</f>
        <v>0</v>
      </c>
      <c r="E421" s="1076" t="str">
        <f>VLOOKUP($B421,dongia1,DG!$C$5,)</f>
        <v>Cổ dê kẹp ống PVC (STK) Þ 21</v>
      </c>
      <c r="F421" s="1075" t="str">
        <f>VLOOKUP($B421,dongia1,DG!$D$5,)</f>
        <v>bộ</v>
      </c>
      <c r="G421" s="1077">
        <f>G413*3</f>
        <v>0</v>
      </c>
      <c r="H421" s="1062">
        <f>VLOOKUP($B421,dongia1,DG!$F$5,)</f>
        <v>43000</v>
      </c>
      <c r="I421" s="1062"/>
      <c r="J421" s="1062">
        <f>VLOOKUP($B421,dongia1,DG!$G$5,)</f>
        <v>0</v>
      </c>
      <c r="K421" s="1062">
        <f>VLOOKUP($B421,dongia1,DG!$H$5,)</f>
        <v>0</v>
      </c>
      <c r="L421" s="1174">
        <f>H421*G421</f>
        <v>0</v>
      </c>
      <c r="M421" s="1174">
        <f>I421*G421</f>
        <v>0</v>
      </c>
      <c r="N421" s="1174">
        <f>J421*G421</f>
        <v>0</v>
      </c>
      <c r="O421" s="1083">
        <f>K421*G421</f>
        <v>0</v>
      </c>
      <c r="P421" s="1080"/>
    </row>
    <row r="422" spans="1:16" s="1081" customFormat="1" hidden="1" outlineLevel="1">
      <c r="A422" s="1072">
        <f>IF(G422=0,0,1)</f>
        <v>0</v>
      </c>
      <c r="B422" s="1073" t="s">
        <v>1623</v>
      </c>
      <c r="C422" s="1074"/>
      <c r="D422" s="1075">
        <f>VLOOKUP($B422,dongia1,DG!$B$5,)</f>
        <v>0</v>
      </c>
      <c r="E422" s="1076" t="str">
        <f>VLOOKUP($B422,dongia1,DG!$C$5,)</f>
        <v>Boulon 12x40+ 2 long đền vuông D14-50x50x3/Zn</v>
      </c>
      <c r="F422" s="1075" t="str">
        <f>VLOOKUP($B422,dongia1,DG!$D$5,)</f>
        <v>bộ</v>
      </c>
      <c r="G422" s="1077"/>
      <c r="H422" s="1062">
        <f>VLOOKUP($B422,dongia1,DG!$F$5,)</f>
        <v>8500</v>
      </c>
      <c r="I422" s="1062"/>
      <c r="J422" s="1062">
        <f>VLOOKUP($B422,dongia1,DG!$G$5,)</f>
        <v>0</v>
      </c>
      <c r="K422" s="1062">
        <f>VLOOKUP($B422,dongia1,DG!$H$5,)</f>
        <v>0</v>
      </c>
      <c r="L422" s="1174">
        <f>H422*G422</f>
        <v>0</v>
      </c>
      <c r="M422" s="1174">
        <f>I422*G422</f>
        <v>0</v>
      </c>
      <c r="N422" s="1174">
        <f>J422*G422</f>
        <v>0</v>
      </c>
      <c r="O422" s="1083">
        <f>K422*G422</f>
        <v>0</v>
      </c>
      <c r="P422" s="1080"/>
    </row>
    <row r="423" spans="1:16" s="1081" customFormat="1" hidden="1" outlineLevel="1">
      <c r="A423" s="1072">
        <f>IF(G423=0,0,1)</f>
        <v>0</v>
      </c>
      <c r="B423" s="1073" t="s">
        <v>4497</v>
      </c>
      <c r="C423" s="1074"/>
      <c r="D423" s="1075">
        <f>VLOOKUP($B423,dongia1,DG!$B$5,)</f>
        <v>0</v>
      </c>
      <c r="E423" s="1076" t="str">
        <f>VLOOKUP($B423,dongia1,DG!$C$5,)</f>
        <v>Đai thép Inox</v>
      </c>
      <c r="F423" s="1075" t="str">
        <f>VLOOKUP($B423,dongia1,DG!$D$5,)</f>
        <v>mét</v>
      </c>
      <c r="G423" s="1077"/>
      <c r="H423" s="1062">
        <f>VLOOKUP($B423,dongia1,DG!$F$5,)</f>
        <v>11000</v>
      </c>
      <c r="I423" s="1062"/>
      <c r="J423" s="1062">
        <f>VLOOKUP($B423,dongia1,DG!$G$5,)</f>
        <v>0</v>
      </c>
      <c r="K423" s="1062">
        <f>VLOOKUP($B423,dongia1,DG!$H$5,)</f>
        <v>0</v>
      </c>
      <c r="L423" s="1174">
        <f>H423*G423</f>
        <v>0</v>
      </c>
      <c r="M423" s="1174">
        <f>I423*G423</f>
        <v>0</v>
      </c>
      <c r="N423" s="1174">
        <f>J423*G423</f>
        <v>0</v>
      </c>
      <c r="O423" s="1083">
        <f>K423*G423</f>
        <v>0</v>
      </c>
      <c r="P423" s="1080"/>
    </row>
    <row r="424" spans="1:16" s="1081" customFormat="1" hidden="1" outlineLevel="1">
      <c r="A424" s="1072">
        <f>IF(G424=0,0,1)</f>
        <v>0</v>
      </c>
      <c r="B424" s="1073" t="s">
        <v>4499</v>
      </c>
      <c r="C424" s="1074"/>
      <c r="D424" s="1075">
        <f>VLOOKUP($B424,dongia1,DG!$B$5,)</f>
        <v>0</v>
      </c>
      <c r="E424" s="1076" t="str">
        <f>VLOOKUP($B424,dongia1,DG!$C$5,)</f>
        <v>Khóa đai Inox</v>
      </c>
      <c r="F424" s="1075" t="str">
        <f>VLOOKUP($B424,dongia1,DG!$D$5,)</f>
        <v>cái</v>
      </c>
      <c r="G424" s="1077"/>
      <c r="H424" s="1062">
        <f>VLOOKUP($B424,dongia1,DG!$F$5,)</f>
        <v>4000</v>
      </c>
      <c r="I424" s="1062"/>
      <c r="J424" s="1062">
        <f>VLOOKUP($B424,dongia1,DG!$G$5,)</f>
        <v>0</v>
      </c>
      <c r="K424" s="1062">
        <f>VLOOKUP($B424,dongia1,DG!$H$5,)</f>
        <v>0</v>
      </c>
      <c r="L424" s="1174">
        <f>H424*G424</f>
        <v>0</v>
      </c>
      <c r="M424" s="1174">
        <f>I424*G424</f>
        <v>0</v>
      </c>
      <c r="N424" s="1174">
        <f>J424*G424</f>
        <v>0</v>
      </c>
      <c r="O424" s="1083">
        <f>K424*G424</f>
        <v>0</v>
      </c>
      <c r="P424" s="1080"/>
    </row>
    <row r="425" spans="1:16" s="1081" customFormat="1" hidden="1" outlineLevel="1">
      <c r="A425" s="1072">
        <f t="shared" si="83"/>
        <v>0</v>
      </c>
      <c r="B425" s="1067" t="s">
        <v>1490</v>
      </c>
      <c r="C425" s="1074"/>
      <c r="D425" s="1075">
        <f>VLOOKUP($B425,dongia1,DG!$B$5,)</f>
        <v>0</v>
      </c>
      <c r="E425" s="1076" t="str">
        <f>VLOOKUP($B425,dongia1,DG!$C$5,)</f>
        <v>Cổ dê kẹp ống PVC (STK) Þ 21</v>
      </c>
      <c r="F425" s="1075" t="str">
        <f>VLOOKUP($B425,dongia1,DG!$D$5,)</f>
        <v>bộ</v>
      </c>
      <c r="G425" s="1077"/>
      <c r="H425" s="1062">
        <f>VLOOKUP($B425,dongia1,DG!$F$5,)</f>
        <v>43000</v>
      </c>
      <c r="I425" s="1083"/>
      <c r="J425" s="1062">
        <f>VLOOKUP($B425,dongia1,DG!$G$5,)</f>
        <v>0</v>
      </c>
      <c r="K425" s="1062">
        <f>VLOOKUP($B425,dongia1,DG!$H$5,)</f>
        <v>0</v>
      </c>
      <c r="L425" s="1174">
        <f t="shared" si="77"/>
        <v>0</v>
      </c>
      <c r="M425" s="1174">
        <f t="shared" si="78"/>
        <v>0</v>
      </c>
      <c r="N425" s="1174">
        <f t="shared" si="79"/>
        <v>0</v>
      </c>
      <c r="O425" s="1083">
        <f t="shared" si="80"/>
        <v>0</v>
      </c>
      <c r="P425" s="1080"/>
    </row>
    <row r="426" spans="1:16" s="1081" customFormat="1" hidden="1" outlineLevel="1">
      <c r="A426" s="1072">
        <f>IF(G426=0,0,1)</f>
        <v>0</v>
      </c>
      <c r="B426" s="1086" t="s">
        <v>68</v>
      </c>
      <c r="C426" s="1074"/>
      <c r="D426" s="1075">
        <f>VLOOKUP($B426,dongia1,DG!$B$5,)</f>
        <v>0</v>
      </c>
      <c r="E426" s="1076" t="str">
        <f>VLOOKUP($B426,dongia1,DG!$C$5,)</f>
        <v>Khoan giếng tiếp địa</v>
      </c>
      <c r="F426" s="1075" t="str">
        <f>VLOOKUP($B426,dongia1,DG!$D$5,)</f>
        <v>Cái</v>
      </c>
      <c r="G426" s="1077"/>
      <c r="H426" s="1062">
        <f>VLOOKUP($B426,dongia1,DG!$F$5,)</f>
        <v>0</v>
      </c>
      <c r="I426" s="1062"/>
      <c r="J426" s="1062">
        <f>VLOOKUP($B426,dongia1,DG!$G$5,)</f>
        <v>1500000</v>
      </c>
      <c r="K426" s="1062">
        <f>VLOOKUP($B426,dongia1,DG!$H$5,)</f>
        <v>0</v>
      </c>
      <c r="L426" s="1174">
        <f>H426*G426</f>
        <v>0</v>
      </c>
      <c r="M426" s="1174">
        <f>I426*G426</f>
        <v>0</v>
      </c>
      <c r="N426" s="1174">
        <f>J426*G426</f>
        <v>0</v>
      </c>
      <c r="O426" s="1083">
        <f>K426*G426</f>
        <v>0</v>
      </c>
      <c r="P426" s="1080"/>
    </row>
    <row r="427" spans="1:16" s="1081" customFormat="1" hidden="1" outlineLevel="1">
      <c r="A427" s="1072">
        <f t="shared" si="83"/>
        <v>0</v>
      </c>
      <c r="B427" s="1086" t="s">
        <v>1195</v>
      </c>
      <c r="C427" s="1074"/>
      <c r="D427" s="1075" t="str">
        <f>VLOOKUP($B427,dongia1,DG!$B$5,)</f>
        <v>T4.7001</v>
      </c>
      <c r="E427" s="1076" t="str">
        <f>VLOOKUP($B427,dongia1,DG!$C$5,)</f>
        <v>Kéo dây tiếp địa TBA</v>
      </c>
      <c r="F427" s="1075" t="str">
        <f>VLOOKUP($B427,dongia1,DG!$D$5,)</f>
        <v>mét</v>
      </c>
      <c r="G427" s="1077">
        <f>G415/0.224</f>
        <v>0</v>
      </c>
      <c r="H427" s="1062">
        <f>VLOOKUP($B427,dongia1,DG!$F$5,)</f>
        <v>0</v>
      </c>
      <c r="I427" s="1062"/>
      <c r="J427" s="1062">
        <f>VLOOKUP($B427,dongia1,DG!$G$5,)</f>
        <v>8070.7000000000007</v>
      </c>
      <c r="K427" s="1062">
        <f>VLOOKUP($B427,dongia1,DG!$H$5,)</f>
        <v>2044.9974999999999</v>
      </c>
      <c r="L427" s="1174">
        <f t="shared" si="77"/>
        <v>0</v>
      </c>
      <c r="M427" s="1174">
        <f t="shared" si="78"/>
        <v>0</v>
      </c>
      <c r="N427" s="1174">
        <f t="shared" si="79"/>
        <v>0</v>
      </c>
      <c r="O427" s="1083">
        <f t="shared" si="80"/>
        <v>0</v>
      </c>
      <c r="P427" s="1080"/>
    </row>
    <row r="428" spans="1:16" s="1081" customFormat="1" hidden="1" outlineLevel="1">
      <c r="A428" s="1072">
        <f t="shared" si="83"/>
        <v>0</v>
      </c>
      <c r="B428" s="1067" t="s">
        <v>985</v>
      </c>
      <c r="C428" s="1074"/>
      <c r="D428" s="1075" t="str">
        <f>VLOOKUP($B428,dongia1,DG!$B$5,)</f>
        <v>D2.8103</v>
      </c>
      <c r="E428" s="1076" t="str">
        <f>VLOOKUP($B428,dongia1,DG!$C$5,)</f>
        <v>Đóng cọc tiếp địa đất cấp 3 dài 2,5m</v>
      </c>
      <c r="F428" s="1075" t="str">
        <f>VLOOKUP($B428,dongia1,DG!$D$5,)</f>
        <v>cọc</v>
      </c>
      <c r="G428" s="1077">
        <f>G416</f>
        <v>0</v>
      </c>
      <c r="H428" s="1062">
        <f>VLOOKUP($B428,dongia1,DG!$F$5,)</f>
        <v>0</v>
      </c>
      <c r="I428" s="1083"/>
      <c r="J428" s="1062">
        <f>VLOOKUP($B428,dongia1,DG!$G$5,)</f>
        <v>90355.896000000008</v>
      </c>
      <c r="K428" s="1062">
        <f>VLOOKUP($B428,dongia1,DG!$H$5,)</f>
        <v>1573.075</v>
      </c>
      <c r="L428" s="1174">
        <f t="shared" si="77"/>
        <v>0</v>
      </c>
      <c r="M428" s="1174">
        <f t="shared" si="78"/>
        <v>0</v>
      </c>
      <c r="N428" s="1062">
        <f>VLOOKUP($B428,dongia1,DG!$G$5,)*G428*1.7</f>
        <v>0</v>
      </c>
      <c r="O428" s="1083">
        <f t="shared" si="80"/>
        <v>0</v>
      </c>
      <c r="P428" s="1080"/>
    </row>
    <row r="429" spans="1:16" s="1081" customFormat="1" hidden="1" outlineLevel="1">
      <c r="A429" s="1072">
        <f t="shared" si="83"/>
        <v>0</v>
      </c>
      <c r="B429" s="1086" t="str">
        <f>"dtd"&amp;capdat</f>
        <v>dtd3</v>
      </c>
      <c r="C429" s="1074"/>
      <c r="D429" s="1075" t="str">
        <f>VLOOKUP($B429,dongia1,DG!$B$5,)</f>
        <v>AB.11513</v>
      </c>
      <c r="E429" s="1076" t="str">
        <f>VLOOKUP($B429,dongia1,DG!$C$5,)</f>
        <v>Đào rãnh tiếp địa đất cấp 3</v>
      </c>
      <c r="F429" s="1075" t="str">
        <f>VLOOKUP($B429,dongia1,DG!$D$5,)</f>
        <v>m3</v>
      </c>
      <c r="G429" s="1077">
        <f>G413*48*0.3*0.5</f>
        <v>0</v>
      </c>
      <c r="H429" s="1062">
        <f>VLOOKUP($B429,dongia1,DG!$F$5,)</f>
        <v>0</v>
      </c>
      <c r="I429" s="1062"/>
      <c r="J429" s="1062">
        <f>VLOOKUP($B429,dongia1,DG!$G$5,)</f>
        <v>283749.75</v>
      </c>
      <c r="K429" s="1062">
        <f>VLOOKUP($B429,dongia1,DG!$H$5,)</f>
        <v>0</v>
      </c>
      <c r="L429" s="1174">
        <f t="shared" si="77"/>
        <v>0</v>
      </c>
      <c r="M429" s="1174">
        <f t="shared" si="78"/>
        <v>0</v>
      </c>
      <c r="N429" s="1174">
        <f t="shared" ref="N429:N456" si="84">J429*G429</f>
        <v>0</v>
      </c>
      <c r="O429" s="1083">
        <f t="shared" si="80"/>
        <v>0</v>
      </c>
      <c r="P429" s="1080"/>
    </row>
    <row r="430" spans="1:16" s="1081" customFormat="1" hidden="1" outlineLevel="1">
      <c r="A430" s="1072">
        <f t="shared" si="83"/>
        <v>0</v>
      </c>
      <c r="B430" s="1067" t="s">
        <v>975</v>
      </c>
      <c r="C430" s="1074"/>
      <c r="D430" s="1075" t="str">
        <f>VLOOKUP($B430,dongia1,DG!$B$5,)</f>
        <v>AB.13111</v>
      </c>
      <c r="E430" s="1076" t="str">
        <f>VLOOKUP($B430,dongia1,DG!$C$5,)</f>
        <v>Đắp đất rãnh tiếp địa cấp 3 (độ chặt k = 0.85)</v>
      </c>
      <c r="F430" s="1075" t="str">
        <f>VLOOKUP($B430,dongia1,DG!$D$5,)</f>
        <v>m3</v>
      </c>
      <c r="G430" s="1077">
        <f>G429</f>
        <v>0</v>
      </c>
      <c r="H430" s="1062">
        <f>VLOOKUP($B430,dongia1,DG!$F$5,)</f>
        <v>0</v>
      </c>
      <c r="I430" s="1083"/>
      <c r="J430" s="1062">
        <f>VLOOKUP($B430,dongia1,DG!$G$5,)</f>
        <v>117703.6</v>
      </c>
      <c r="K430" s="1062">
        <f>VLOOKUP($B430,dongia1,DG!$H$5,)</f>
        <v>0</v>
      </c>
      <c r="L430" s="1174">
        <f t="shared" si="77"/>
        <v>0</v>
      </c>
      <c r="M430" s="1174">
        <f t="shared" si="78"/>
        <v>0</v>
      </c>
      <c r="N430" s="1174">
        <f t="shared" si="84"/>
        <v>0</v>
      </c>
      <c r="O430" s="1083">
        <f t="shared" si="80"/>
        <v>0</v>
      </c>
      <c r="P430" s="1080"/>
    </row>
    <row r="431" spans="1:16" s="1081" customFormat="1" hidden="1" outlineLevel="1">
      <c r="A431" s="1072">
        <f t="shared" si="83"/>
        <v>0</v>
      </c>
      <c r="B431" s="1086"/>
      <c r="C431" s="1064">
        <f>IF(G431&gt;0,C413+1,C413)</f>
        <v>0</v>
      </c>
      <c r="D431" s="1192"/>
      <c r="E431" s="1204" t="s">
        <v>3382</v>
      </c>
      <c r="F431" s="1064" t="s">
        <v>2113</v>
      </c>
      <c r="G431" s="1236">
        <f>G404</f>
        <v>0</v>
      </c>
      <c r="H431" s="1062"/>
      <c r="I431" s="1083"/>
      <c r="J431" s="1062"/>
      <c r="K431" s="1062"/>
      <c r="L431" s="1174">
        <f t="shared" si="77"/>
        <v>0</v>
      </c>
      <c r="M431" s="1174">
        <f t="shared" si="78"/>
        <v>0</v>
      </c>
      <c r="N431" s="1174">
        <f t="shared" si="84"/>
        <v>0</v>
      </c>
      <c r="O431" s="1083">
        <f t="shared" si="80"/>
        <v>0</v>
      </c>
      <c r="P431" s="1080"/>
    </row>
    <row r="432" spans="1:16" s="1081" customFormat="1" ht="14.4" hidden="1" outlineLevel="1">
      <c r="A432" s="1072">
        <f>A431</f>
        <v>0</v>
      </c>
      <c r="B432" s="1086"/>
      <c r="C432" s="1064"/>
      <c r="D432" s="1192"/>
      <c r="E432" s="1222" t="s">
        <v>3399</v>
      </c>
      <c r="F432" s="1074"/>
      <c r="G432" s="1077"/>
      <c r="H432" s="1062"/>
      <c r="I432" s="1083"/>
      <c r="J432" s="1062"/>
      <c r="K432" s="1062"/>
      <c r="L432" s="1174">
        <f t="shared" si="77"/>
        <v>0</v>
      </c>
      <c r="M432" s="1174">
        <f t="shared" si="78"/>
        <v>0</v>
      </c>
      <c r="N432" s="1174">
        <f t="shared" si="84"/>
        <v>0</v>
      </c>
      <c r="O432" s="1083">
        <f t="shared" si="80"/>
        <v>0</v>
      </c>
      <c r="P432" s="1080"/>
    </row>
    <row r="433" spans="1:16" s="1081" customFormat="1" hidden="1" outlineLevel="1">
      <c r="A433" s="1072">
        <f>IF(G433=0,0,1)</f>
        <v>0</v>
      </c>
      <c r="B433" s="1086" t="s">
        <v>1655</v>
      </c>
      <c r="C433" s="1074"/>
      <c r="D433" s="1075" t="str">
        <f>VLOOKUP($B433,dongia1,DG!$B$5,)</f>
        <v>T5.1001</v>
      </c>
      <c r="E433" s="1076" t="str">
        <f>VLOOKUP($B433,dongia1,DG!$C$5,)</f>
        <v>Tủ MCCB trạm treo 1 pha</v>
      </c>
      <c r="F433" s="1075" t="str">
        <f>VLOOKUP($B433,dongia1,DG!$D$5,)</f>
        <v>cái</v>
      </c>
      <c r="G433" s="1077">
        <f>G431</f>
        <v>0</v>
      </c>
      <c r="H433" s="1062">
        <f>VLOOKUP($B433,dongia1,DG!$F$5,)</f>
        <v>2971168</v>
      </c>
      <c r="I433" s="1062"/>
      <c r="J433" s="1062">
        <f>VLOOKUP($B433,dongia1,DG!$G$5,)</f>
        <v>599038</v>
      </c>
      <c r="K433" s="1062">
        <f>VLOOKUP($B433,dongia1,DG!$H$5,)</f>
        <v>97369</v>
      </c>
      <c r="L433" s="1174">
        <f t="shared" si="77"/>
        <v>0</v>
      </c>
      <c r="M433" s="1174">
        <f t="shared" si="78"/>
        <v>0</v>
      </c>
      <c r="N433" s="1174">
        <f t="shared" si="84"/>
        <v>0</v>
      </c>
      <c r="O433" s="1083">
        <f t="shared" si="80"/>
        <v>0</v>
      </c>
      <c r="P433" s="1080"/>
    </row>
    <row r="434" spans="1:16" s="1081" customFormat="1" hidden="1" outlineLevel="1">
      <c r="A434" s="1072">
        <f>IF(G434=0,0,1)</f>
        <v>0</v>
      </c>
      <c r="B434" s="1086" t="s">
        <v>1559</v>
      </c>
      <c r="C434" s="1074"/>
      <c r="D434" s="1075">
        <f>VLOOKUP($B434,dongia1,DG!$B$5,)</f>
        <v>0</v>
      </c>
      <c r="E434" s="1076" t="str">
        <f>VLOOKUP($B434,dongia1,DG!$C$5,)</f>
        <v>Cổ dê bắt tủ</v>
      </c>
      <c r="F434" s="1075" t="str">
        <f>VLOOKUP($B434,dongia1,DG!$D$5,)</f>
        <v>bộ</v>
      </c>
      <c r="G434" s="1077"/>
      <c r="H434" s="1062">
        <f>VLOOKUP($B434,dongia1,DG!$F$5,)</f>
        <v>168000</v>
      </c>
      <c r="I434" s="1083"/>
      <c r="J434" s="1062">
        <f>VLOOKUP($B434,dongia1,DG!$G$5,)</f>
        <v>0</v>
      </c>
      <c r="K434" s="1062">
        <f>VLOOKUP($B434,dongia1,DG!$H$5,)</f>
        <v>0</v>
      </c>
      <c r="L434" s="1174">
        <f t="shared" si="77"/>
        <v>0</v>
      </c>
      <c r="M434" s="1174">
        <f t="shared" si="78"/>
        <v>0</v>
      </c>
      <c r="N434" s="1174">
        <f t="shared" si="84"/>
        <v>0</v>
      </c>
      <c r="O434" s="1083">
        <f t="shared" si="80"/>
        <v>0</v>
      </c>
      <c r="P434" s="1080"/>
    </row>
    <row r="435" spans="1:16" s="1081" customFormat="1" hidden="1" outlineLevel="1">
      <c r="A435" s="1072">
        <f>IF(G435=0,0,1)</f>
        <v>0</v>
      </c>
      <c r="B435" s="1086" t="s">
        <v>1560</v>
      </c>
      <c r="C435" s="1074"/>
      <c r="D435" s="1075">
        <f>VLOOKUP($B435,dongia1,DG!$B$5,)</f>
        <v>0</v>
      </c>
      <c r="E435" s="1076" t="str">
        <f>VLOOKUP($B435,dongia1,DG!$C$5,)</f>
        <v xml:space="preserve">Bakelit 500x300 dầy 10mm </v>
      </c>
      <c r="F435" s="1075" t="str">
        <f>VLOOKUP($B435,dongia1,DG!$D$5,)</f>
        <v>cái</v>
      </c>
      <c r="G435" s="1077">
        <f>G431*0</f>
        <v>0</v>
      </c>
      <c r="H435" s="1062">
        <f>VLOOKUP($B435,dongia1,DG!$F$5,)</f>
        <v>284000</v>
      </c>
      <c r="I435" s="1083"/>
      <c r="J435" s="1062">
        <f>VLOOKUP($B435,dongia1,DG!$G$5,)</f>
        <v>5404</v>
      </c>
      <c r="K435" s="1062">
        <f>VLOOKUP($B435,dongia1,DG!$H$5,)</f>
        <v>0</v>
      </c>
      <c r="L435" s="1174">
        <f t="shared" si="77"/>
        <v>0</v>
      </c>
      <c r="M435" s="1174">
        <f t="shared" si="78"/>
        <v>0</v>
      </c>
      <c r="N435" s="1174">
        <f t="shared" si="84"/>
        <v>0</v>
      </c>
      <c r="O435" s="1083">
        <f t="shared" si="80"/>
        <v>0</v>
      </c>
      <c r="P435" s="1080"/>
    </row>
    <row r="436" spans="1:16" s="1081" customFormat="1" hidden="1" outlineLevel="1">
      <c r="A436" s="1072">
        <f>IF(G436=0,0,1)</f>
        <v>0</v>
      </c>
      <c r="B436" s="1086"/>
      <c r="C436" s="1064">
        <f>IF(G436&gt;0,C431+1,C431)</f>
        <v>0</v>
      </c>
      <c r="D436" s="1192"/>
      <c r="E436" s="1221" t="s">
        <v>4914</v>
      </c>
      <c r="F436" s="1064" t="s">
        <v>2113</v>
      </c>
      <c r="G436" s="1236">
        <f>G431</f>
        <v>0</v>
      </c>
      <c r="H436" s="1062"/>
      <c r="I436" s="1083"/>
      <c r="J436" s="1062"/>
      <c r="K436" s="1062"/>
      <c r="L436" s="1174">
        <f t="shared" si="77"/>
        <v>0</v>
      </c>
      <c r="M436" s="1174">
        <f t="shared" si="78"/>
        <v>0</v>
      </c>
      <c r="N436" s="1174">
        <f t="shared" si="84"/>
        <v>0</v>
      </c>
      <c r="O436" s="1083">
        <f t="shared" si="80"/>
        <v>0</v>
      </c>
      <c r="P436" s="1080"/>
    </row>
    <row r="437" spans="1:16" s="1081" customFormat="1" ht="14.4" hidden="1" outlineLevel="1">
      <c r="A437" s="1072">
        <f>A436</f>
        <v>0</v>
      </c>
      <c r="B437" s="1086"/>
      <c r="C437" s="1064"/>
      <c r="D437" s="1192"/>
      <c r="E437" s="1222" t="s">
        <v>3399</v>
      </c>
      <c r="F437" s="1074"/>
      <c r="G437" s="1077"/>
      <c r="H437" s="1062"/>
      <c r="I437" s="1083"/>
      <c r="J437" s="1062"/>
      <c r="K437" s="1062"/>
      <c r="L437" s="1174">
        <f t="shared" si="77"/>
        <v>0</v>
      </c>
      <c r="M437" s="1174">
        <f t="shared" si="78"/>
        <v>0</v>
      </c>
      <c r="N437" s="1174">
        <f t="shared" si="84"/>
        <v>0</v>
      </c>
      <c r="O437" s="1083">
        <f t="shared" si="80"/>
        <v>0</v>
      </c>
      <c r="P437" s="1080"/>
    </row>
    <row r="438" spans="1:16" s="1081" customFormat="1" hidden="1" outlineLevel="1">
      <c r="A438" s="1072">
        <f t="shared" ref="A438:A446" si="85">IF(G438=0,0,1)</f>
        <v>0</v>
      </c>
      <c r="B438" s="1067" t="s">
        <v>648</v>
      </c>
      <c r="C438" s="1074"/>
      <c r="D438" s="1075">
        <f>VLOOKUP($B438,dongia1,DG!$B$5,)</f>
        <v>0</v>
      </c>
      <c r="E438" s="1076" t="str">
        <f>VLOOKUP($B438,dongia1,DG!$C$5,)</f>
        <v>Cáp 24KV C/XLPE/PVC- 25mm2</v>
      </c>
      <c r="F438" s="1075" t="str">
        <f>VLOOKUP($B438,dongia1,DG!$D$5,)</f>
        <v>mét</v>
      </c>
      <c r="G438" s="1077">
        <f>4*G436</f>
        <v>0</v>
      </c>
      <c r="H438" s="1062">
        <f>VLOOKUP($B438,dongia1,DG!$F$5,)</f>
        <v>50996</v>
      </c>
      <c r="I438" s="1062"/>
      <c r="J438" s="1062">
        <f>VLOOKUP($B438,dongia1,DG!$G$5,)</f>
        <v>0</v>
      </c>
      <c r="K438" s="1062">
        <f>VLOOKUP($B438,dongia1,DG!$H$5,)</f>
        <v>0</v>
      </c>
      <c r="L438" s="1174">
        <f t="shared" si="77"/>
        <v>0</v>
      </c>
      <c r="M438" s="1174">
        <f t="shared" si="78"/>
        <v>0</v>
      </c>
      <c r="N438" s="1174">
        <f t="shared" si="84"/>
        <v>0</v>
      </c>
      <c r="O438" s="1083">
        <f t="shared" si="80"/>
        <v>0</v>
      </c>
      <c r="P438" s="1080"/>
    </row>
    <row r="439" spans="1:16" s="1081" customFormat="1" hidden="1" outlineLevel="1">
      <c r="A439" s="1072">
        <f t="shared" si="85"/>
        <v>0</v>
      </c>
      <c r="B439" s="1206" t="s">
        <v>2028</v>
      </c>
      <c r="C439" s="1074"/>
      <c r="D439" s="1075">
        <f>VLOOKUP($B439,dongia1,DG!$B$5,)</f>
        <v>0</v>
      </c>
      <c r="E439" s="1076" t="str">
        <f>VLOOKUP($B439,dongia1,DG!$C$5,)</f>
        <v>Kẹp quai 2/0</v>
      </c>
      <c r="F439" s="1075" t="str">
        <f>VLOOKUP($B439,dongia1,DG!$D$5,)</f>
        <v>cái</v>
      </c>
      <c r="G439" s="1077">
        <f>G436</f>
        <v>0</v>
      </c>
      <c r="H439" s="1062">
        <f>VLOOKUP($B439,dongia1,DG!$F$5,)</f>
        <v>46000</v>
      </c>
      <c r="I439" s="1062"/>
      <c r="J439" s="1062">
        <f>VLOOKUP($B439,dongia1,DG!$G$5,)</f>
        <v>0</v>
      </c>
      <c r="K439" s="1062">
        <f>VLOOKUP($B439,dongia1,DG!$H$5,)</f>
        <v>0</v>
      </c>
      <c r="L439" s="1174">
        <f t="shared" si="77"/>
        <v>0</v>
      </c>
      <c r="M439" s="1174">
        <f t="shared" si="78"/>
        <v>0</v>
      </c>
      <c r="N439" s="1174">
        <f t="shared" si="84"/>
        <v>0</v>
      </c>
      <c r="O439" s="1083">
        <f t="shared" si="80"/>
        <v>0</v>
      </c>
      <c r="P439" s="1080"/>
    </row>
    <row r="440" spans="1:16" s="1081" customFormat="1" hidden="1" outlineLevel="1">
      <c r="A440" s="1072">
        <f t="shared" si="85"/>
        <v>0</v>
      </c>
      <c r="B440" s="1206" t="s">
        <v>2026</v>
      </c>
      <c r="C440" s="1074"/>
      <c r="D440" s="1075"/>
      <c r="E440" s="1076" t="str">
        <f>VLOOKUP($B440,dongia1,DG!$C$5,)</f>
        <v>Kẹp hotline 2/0</v>
      </c>
      <c r="F440" s="1075" t="str">
        <f>VLOOKUP($B440,dongia1,DG!$D$5,)</f>
        <v>cái</v>
      </c>
      <c r="G440" s="1077">
        <f>G436</f>
        <v>0</v>
      </c>
      <c r="H440" s="1062">
        <f>VLOOKUP($B440,dongia1,DG!$F$5,)</f>
        <v>77000</v>
      </c>
      <c r="I440" s="1062"/>
      <c r="J440" s="1062"/>
      <c r="K440" s="1062">
        <f>VLOOKUP($B440,dongia1,DG!$H$5,)</f>
        <v>0</v>
      </c>
      <c r="L440" s="1174">
        <f t="shared" si="77"/>
        <v>0</v>
      </c>
      <c r="M440" s="1174">
        <f t="shared" si="78"/>
        <v>0</v>
      </c>
      <c r="N440" s="1174">
        <f t="shared" si="84"/>
        <v>0</v>
      </c>
      <c r="O440" s="1083">
        <f t="shared" si="80"/>
        <v>0</v>
      </c>
      <c r="P440" s="1080"/>
    </row>
    <row r="441" spans="1:16" s="1081" customFormat="1" hidden="1" outlineLevel="1">
      <c r="A441" s="1072">
        <f t="shared" si="85"/>
        <v>0</v>
      </c>
      <c r="B441" s="1067" t="s">
        <v>2164</v>
      </c>
      <c r="C441" s="1074"/>
      <c r="D441" s="1075">
        <f>VLOOKUP($B441,dongia1,DG!$B$5,)</f>
        <v>0</v>
      </c>
      <c r="E441" s="1076" t="str">
        <f>VLOOKUP($B441,dongia1,DG!$C$5,)</f>
        <v>Nắp che đầu cực FCO</v>
      </c>
      <c r="F441" s="1075" t="str">
        <f>VLOOKUP($B441,dongia1,DG!$D$5,)</f>
        <v>cái</v>
      </c>
      <c r="G441" s="1077">
        <f>G382</f>
        <v>0</v>
      </c>
      <c r="H441" s="1062">
        <f>VLOOKUP($B441,dongia1,DG!$F$5,)</f>
        <v>218200</v>
      </c>
      <c r="I441" s="1062"/>
      <c r="J441" s="1062">
        <f>VLOOKUP($B441,dongia1,DG!$G$5,)</f>
        <v>0</v>
      </c>
      <c r="K441" s="1062">
        <f>VLOOKUP($B441,dongia1,DG!$H$5,)</f>
        <v>0</v>
      </c>
      <c r="L441" s="1174">
        <f>H441*G441</f>
        <v>0</v>
      </c>
      <c r="M441" s="1174">
        <f>I441*G441</f>
        <v>0</v>
      </c>
      <c r="N441" s="1174">
        <f>J441*G441</f>
        <v>0</v>
      </c>
      <c r="O441" s="1083">
        <f>K441*G441</f>
        <v>0</v>
      </c>
      <c r="P441" s="1080"/>
    </row>
    <row r="442" spans="1:16" s="1081" customFormat="1" hidden="1" outlineLevel="1">
      <c r="A442" s="1072">
        <f t="shared" si="85"/>
        <v>0</v>
      </c>
      <c r="B442" s="1067" t="s">
        <v>2165</v>
      </c>
      <c r="C442" s="1074"/>
      <c r="D442" s="1075">
        <f>VLOOKUP($B442,dongia1,DG!$B$5,)</f>
        <v>0</v>
      </c>
      <c r="E442" s="1076" t="str">
        <f>VLOOKUP($B442,dongia1,DG!$C$5,)</f>
        <v>Nắp che đầu cực LA</v>
      </c>
      <c r="F442" s="1075" t="str">
        <f>VLOOKUP($B442,dongia1,DG!$D$5,)</f>
        <v>cái</v>
      </c>
      <c r="G442" s="1077">
        <f>G384</f>
        <v>0</v>
      </c>
      <c r="H442" s="1062">
        <f>VLOOKUP($B442,dongia1,DG!$F$5,)</f>
        <v>39100</v>
      </c>
      <c r="I442" s="1062"/>
      <c r="J442" s="1062">
        <f>VLOOKUP($B442,dongia1,DG!$G$5,)</f>
        <v>0</v>
      </c>
      <c r="K442" s="1062">
        <f>VLOOKUP($B442,dongia1,DG!$H$5,)</f>
        <v>0</v>
      </c>
      <c r="L442" s="1174">
        <f>H442*G442</f>
        <v>0</v>
      </c>
      <c r="M442" s="1174">
        <f>I442*G442</f>
        <v>0</v>
      </c>
      <c r="N442" s="1174">
        <f>J442*G442</f>
        <v>0</v>
      </c>
      <c r="O442" s="1083">
        <f>K442*G442</f>
        <v>0</v>
      </c>
      <c r="P442" s="1080"/>
    </row>
    <row r="443" spans="1:16" s="1081" customFormat="1" hidden="1" outlineLevel="1">
      <c r="A443" s="1072">
        <f t="shared" si="85"/>
        <v>0</v>
      </c>
      <c r="B443" s="1206" t="s">
        <v>2166</v>
      </c>
      <c r="C443" s="1074"/>
      <c r="D443" s="1075">
        <f>VLOOKUP($B443,dongia1,DG!$B$5,)</f>
        <v>0</v>
      </c>
      <c r="E443" s="1076" t="str">
        <f>VLOOKUP($B443,dongia1,DG!$C$5,)</f>
        <v>Nắp che đầu sứ MBA</v>
      </c>
      <c r="F443" s="1075" t="str">
        <f>VLOOKUP($B443,dongia1,DG!$D$5,)</f>
        <v>cái</v>
      </c>
      <c r="G443" s="1077">
        <f>G381</f>
        <v>0</v>
      </c>
      <c r="H443" s="1062">
        <f>VLOOKUP($B443,dongia1,DG!$F$5,)</f>
        <v>56700</v>
      </c>
      <c r="I443" s="1062"/>
      <c r="J443" s="1062">
        <f>VLOOKUP($B443,dongia1,DG!$G$5,)</f>
        <v>0</v>
      </c>
      <c r="K443" s="1062">
        <f>VLOOKUP($B443,dongia1,DG!$H$5,)</f>
        <v>0</v>
      </c>
      <c r="L443" s="1174">
        <f>H443*G443</f>
        <v>0</v>
      </c>
      <c r="M443" s="1174">
        <f>I443*G443</f>
        <v>0</v>
      </c>
      <c r="N443" s="1174">
        <f>J443*G443</f>
        <v>0</v>
      </c>
      <c r="O443" s="1083">
        <f>K443*G443</f>
        <v>0</v>
      </c>
      <c r="P443" s="1080"/>
    </row>
    <row r="444" spans="1:16" s="1081" customFormat="1" hidden="1" outlineLevel="1">
      <c r="A444" s="1072">
        <f t="shared" si="85"/>
        <v>0</v>
      </c>
      <c r="B444" s="1206" t="s">
        <v>4501</v>
      </c>
      <c r="C444" s="1074"/>
      <c r="D444" s="1075">
        <f>VLOOKUP($B444,dongia1,DG!$B$5,)</f>
        <v>0</v>
      </c>
      <c r="E444" s="1076" t="str">
        <f>VLOOKUP($B444,dongia1,DG!$C$5,)</f>
        <v>Chụp cách điện kẹp quai</v>
      </c>
      <c r="F444" s="1075" t="str">
        <f>VLOOKUP($B444,dongia1,DG!$D$5,)</f>
        <v>Cái</v>
      </c>
      <c r="G444" s="1077">
        <f>G439</f>
        <v>0</v>
      </c>
      <c r="H444" s="1062">
        <f>VLOOKUP($B444,dongia1,DG!$F$5,)</f>
        <v>136800</v>
      </c>
      <c r="I444" s="1062"/>
      <c r="J444" s="1062">
        <f>VLOOKUP($B444,dongia1,DG!$G$5,)</f>
        <v>0</v>
      </c>
      <c r="K444" s="1062">
        <f>VLOOKUP($B444,dongia1,DG!$H$5,)</f>
        <v>0</v>
      </c>
      <c r="L444" s="1174">
        <f>H444*G444</f>
        <v>0</v>
      </c>
      <c r="M444" s="1174">
        <f>I444*G444</f>
        <v>0</v>
      </c>
      <c r="N444" s="1174">
        <f>J444*G444</f>
        <v>0</v>
      </c>
      <c r="O444" s="1083">
        <f>K444*G444</f>
        <v>0</v>
      </c>
      <c r="P444" s="1080"/>
    </row>
    <row r="445" spans="1:16" s="1081" customFormat="1" hidden="1" outlineLevel="1">
      <c r="A445" s="1072">
        <f t="shared" si="85"/>
        <v>0</v>
      </c>
      <c r="B445" s="1206" t="s">
        <v>224</v>
      </c>
      <c r="C445" s="1074"/>
      <c r="D445" s="1075" t="str">
        <f>VLOOKUP($B445,dongia1,DG!$B$5,)</f>
        <v>T4.4201</v>
      </c>
      <c r="E445" s="1076" t="str">
        <f>VLOOKUP($B445,dongia1,DG!$C$5,)</f>
        <v>Lắp cáp đồng xuống thiết bị D ≤ 95mm2</v>
      </c>
      <c r="F445" s="1075" t="str">
        <f>VLOOKUP($B445,dongia1,DG!$D$5,)</f>
        <v>m</v>
      </c>
      <c r="G445" s="1077">
        <f>G438</f>
        <v>0</v>
      </c>
      <c r="H445" s="1062">
        <f>VLOOKUP($B445,dongia1,DG!$F$5,)</f>
        <v>0</v>
      </c>
      <c r="I445" s="1062"/>
      <c r="J445" s="1062">
        <f>VLOOKUP($B445,dongia1,DG!$G$5,)</f>
        <v>13915</v>
      </c>
      <c r="K445" s="1062">
        <f>VLOOKUP($B445,dongia1,DG!$H$5,)</f>
        <v>0</v>
      </c>
      <c r="L445" s="1174">
        <f t="shared" si="77"/>
        <v>0</v>
      </c>
      <c r="M445" s="1174">
        <f t="shared" si="78"/>
        <v>0</v>
      </c>
      <c r="N445" s="1174">
        <f t="shared" si="84"/>
        <v>0</v>
      </c>
      <c r="O445" s="1083">
        <f t="shared" si="80"/>
        <v>0</v>
      </c>
      <c r="P445" s="1080"/>
    </row>
    <row r="446" spans="1:16" s="1081" customFormat="1" hidden="1" outlineLevel="1">
      <c r="A446" s="1072">
        <f t="shared" si="85"/>
        <v>0</v>
      </c>
      <c r="B446" s="1073"/>
      <c r="C446" s="1064">
        <f>IF(G446&gt;0,C436+1,C436)</f>
        <v>0</v>
      </c>
      <c r="D446" s="1192"/>
      <c r="E446" s="1204" t="s">
        <v>3416</v>
      </c>
      <c r="F446" s="1064" t="s">
        <v>2113</v>
      </c>
      <c r="G446" s="1236">
        <f>G381</f>
        <v>0</v>
      </c>
      <c r="H446" s="1062"/>
      <c r="I446" s="1083"/>
      <c r="J446" s="1062"/>
      <c r="K446" s="1062"/>
      <c r="L446" s="1174">
        <f t="shared" si="77"/>
        <v>0</v>
      </c>
      <c r="M446" s="1174">
        <f t="shared" si="78"/>
        <v>0</v>
      </c>
      <c r="N446" s="1174">
        <f t="shared" si="84"/>
        <v>0</v>
      </c>
      <c r="O446" s="1083">
        <f t="shared" si="80"/>
        <v>0</v>
      </c>
      <c r="P446" s="1080"/>
    </row>
    <row r="447" spans="1:16" s="1081" customFormat="1" ht="14.4" hidden="1" outlineLevel="1">
      <c r="A447" s="1072">
        <f>A446</f>
        <v>0</v>
      </c>
      <c r="B447" s="1073"/>
      <c r="C447" s="1064"/>
      <c r="D447" s="1192"/>
      <c r="E447" s="1194" t="s">
        <v>3399</v>
      </c>
      <c r="F447" s="1064"/>
      <c r="G447" s="1236"/>
      <c r="H447" s="1062"/>
      <c r="I447" s="1083"/>
      <c r="J447" s="1062"/>
      <c r="K447" s="1062"/>
      <c r="L447" s="1174">
        <f t="shared" si="77"/>
        <v>0</v>
      </c>
      <c r="M447" s="1174">
        <f t="shared" si="78"/>
        <v>0</v>
      </c>
      <c r="N447" s="1174">
        <f t="shared" si="84"/>
        <v>0</v>
      </c>
      <c r="O447" s="1083">
        <f t="shared" si="80"/>
        <v>0</v>
      </c>
      <c r="P447" s="1080"/>
    </row>
    <row r="448" spans="1:16" s="1081" customFormat="1" hidden="1" outlineLevel="1">
      <c r="A448" s="1072">
        <f t="shared" ref="A448:A471" si="86">IF(G448=0,0,1)</f>
        <v>0</v>
      </c>
      <c r="B448" s="1073" t="s">
        <v>1312</v>
      </c>
      <c r="C448" s="1064"/>
      <c r="D448" s="1075">
        <f>VLOOKUP($B448,dongia1,DG!$B$5,)</f>
        <v>0</v>
      </c>
      <c r="E448" s="1076" t="str">
        <f>VLOOKUP($B448,dongia1,DG!$C$5,)&amp;" (cáp xuống 2x6m + 2m trung hoà)"</f>
        <v>Cáp đồng bọc CV120 (cáp xuống 2x6m + 2m trung hoà)</v>
      </c>
      <c r="F448" s="1075" t="str">
        <f>VLOOKUP($B448,dongia1,DG!$D$5,)</f>
        <v>mét</v>
      </c>
      <c r="G448" s="1077">
        <f>G446*2*7</f>
        <v>0</v>
      </c>
      <c r="H448" s="1062">
        <f>VLOOKUP($B448,dongia1,DG!$F$5,)</f>
        <v>236300</v>
      </c>
      <c r="I448" s="1062"/>
      <c r="J448" s="1062">
        <f>VLOOKUP($B448,dongia1,DG!$G$5,)</f>
        <v>0</v>
      </c>
      <c r="K448" s="1062">
        <f>VLOOKUP($B448,dongia1,DG!$H$5,)</f>
        <v>0</v>
      </c>
      <c r="L448" s="1174">
        <f t="shared" si="77"/>
        <v>0</v>
      </c>
      <c r="M448" s="1174">
        <f t="shared" si="78"/>
        <v>0</v>
      </c>
      <c r="N448" s="1174">
        <f t="shared" si="84"/>
        <v>0</v>
      </c>
      <c r="O448" s="1083">
        <f t="shared" si="80"/>
        <v>0</v>
      </c>
      <c r="P448" s="1080"/>
    </row>
    <row r="449" spans="1:16" s="1081" customFormat="1" hidden="1" outlineLevel="1">
      <c r="A449" s="1072">
        <f t="shared" si="86"/>
        <v>0</v>
      </c>
      <c r="B449" s="1073" t="s">
        <v>225</v>
      </c>
      <c r="C449" s="1064"/>
      <c r="D449" s="1075">
        <f>VLOOKUP($B449,dongia1,DG!$B$5,)</f>
        <v>0</v>
      </c>
      <c r="E449" s="1076" t="str">
        <f>VLOOKUP($B449,dongia1,DG!$C$5,)&amp;" (6m lấy tín hiệu)"</f>
        <v>Cáp đồng bọc CV25 (6m lấy tín hiệu)</v>
      </c>
      <c r="F449" s="1075" t="str">
        <f>VLOOKUP($B449,dongia1,DG!$D$5,)</f>
        <v>mét</v>
      </c>
      <c r="G449" s="1077">
        <f>6*G446</f>
        <v>0</v>
      </c>
      <c r="H449" s="1062">
        <f>VLOOKUP($B449,dongia1,DG!$F$5,)</f>
        <v>59600</v>
      </c>
      <c r="I449" s="1062"/>
      <c r="J449" s="1062">
        <f>VLOOKUP($B449,dongia1,DG!$G$5,)</f>
        <v>0</v>
      </c>
      <c r="K449" s="1062">
        <f>VLOOKUP($B449,dongia1,DG!$H$5,)</f>
        <v>0</v>
      </c>
      <c r="L449" s="1174">
        <f t="shared" si="77"/>
        <v>0</v>
      </c>
      <c r="M449" s="1174">
        <f t="shared" si="78"/>
        <v>0</v>
      </c>
      <c r="N449" s="1174">
        <f t="shared" si="84"/>
        <v>0</v>
      </c>
      <c r="O449" s="1083">
        <f t="shared" si="80"/>
        <v>0</v>
      </c>
      <c r="P449" s="1080"/>
    </row>
    <row r="450" spans="1:16" s="1081" customFormat="1" hidden="1" outlineLevel="1">
      <c r="A450" s="1072">
        <f t="shared" si="86"/>
        <v>0</v>
      </c>
      <c r="B450" s="1073" t="s">
        <v>4842</v>
      </c>
      <c r="C450" s="1074"/>
      <c r="D450" s="1075">
        <f>VLOOKUP($B450,dongia1,DG!$B$5,)</f>
        <v>0</v>
      </c>
      <c r="E450" s="1076" t="str">
        <f>VLOOKUP($B450,dongia1,DG!$C$5,)</f>
        <v xml:space="preserve">Cáp CVV 4x4mm2  </v>
      </c>
      <c r="F450" s="1075" t="str">
        <f>VLOOKUP($B450,dongia1,DG!$D$5,)</f>
        <v>mét</v>
      </c>
      <c r="G450" s="1077">
        <f>4*G446</f>
        <v>0</v>
      </c>
      <c r="H450" s="1062">
        <f>VLOOKUP($B450,dongia1,DG!$F$5,)</f>
        <v>63200</v>
      </c>
      <c r="I450" s="1062"/>
      <c r="J450" s="1062">
        <f>VLOOKUP($B450,dongia1,DG!$G$5,)</f>
        <v>0</v>
      </c>
      <c r="K450" s="1062">
        <f>VLOOKUP($B450,dongia1,DG!$H$5,)</f>
        <v>0</v>
      </c>
      <c r="L450" s="1174">
        <f t="shared" si="77"/>
        <v>0</v>
      </c>
      <c r="M450" s="1174">
        <f t="shared" si="78"/>
        <v>0</v>
      </c>
      <c r="N450" s="1174">
        <f t="shared" si="84"/>
        <v>0</v>
      </c>
      <c r="O450" s="1083">
        <f t="shared" si="80"/>
        <v>0</v>
      </c>
      <c r="P450" s="1080"/>
    </row>
    <row r="451" spans="1:16" s="1081" customFormat="1" hidden="1" outlineLevel="1">
      <c r="A451" s="1072">
        <f t="shared" si="86"/>
        <v>0</v>
      </c>
      <c r="B451" s="1073" t="s">
        <v>1312</v>
      </c>
      <c r="C451" s="1074"/>
      <c r="D451" s="1075">
        <f>VLOOKUP($B451,dongia1,DG!$B$5,)</f>
        <v>0</v>
      </c>
      <c r="E451" s="1076" t="str">
        <f>VLOOKUP($B451,dongia1,DG!$C$5,)&amp;" (cáp lên: 2x6,5m)"</f>
        <v>Cáp đồng bọc CV120 (cáp lên: 2x6,5m)</v>
      </c>
      <c r="F451" s="1075" t="str">
        <f>VLOOKUP($B451,dongia1,DG!$D$5,)</f>
        <v>mét</v>
      </c>
      <c r="G451" s="1077">
        <f>+G446*2*6.5</f>
        <v>0</v>
      </c>
      <c r="H451" s="1062">
        <f>VLOOKUP($B451,dongia1,DG!$F$5,)</f>
        <v>236300</v>
      </c>
      <c r="I451" s="1062"/>
      <c r="J451" s="1062">
        <f>VLOOKUP($B451,dongia1,DG!$G$5,)</f>
        <v>0</v>
      </c>
      <c r="K451" s="1062">
        <f>VLOOKUP($B451,dongia1,DG!$H$5,)</f>
        <v>0</v>
      </c>
      <c r="L451" s="1174">
        <f t="shared" si="77"/>
        <v>0</v>
      </c>
      <c r="M451" s="1174">
        <f t="shared" si="78"/>
        <v>0</v>
      </c>
      <c r="N451" s="1174">
        <f t="shared" si="84"/>
        <v>0</v>
      </c>
      <c r="O451" s="1083">
        <f t="shared" si="80"/>
        <v>0</v>
      </c>
      <c r="P451" s="1080"/>
    </row>
    <row r="452" spans="1:16" s="1081" customFormat="1" hidden="1" outlineLevel="1">
      <c r="A452" s="1072">
        <f>IF(G452=0,0,1)</f>
        <v>0</v>
      </c>
      <c r="B452" s="1073" t="s">
        <v>1698</v>
      </c>
      <c r="C452" s="1074"/>
      <c r="D452" s="1075">
        <f>VLOOKUP($B452,dongia1,DG!$B$5,)</f>
        <v>0</v>
      </c>
      <c r="E452" s="1076" t="str">
        <f>VLOOKUP($B452,dongia1,DG!$C$5,)</f>
        <v>Kẹp ép WR cỡ dây 120mm2</v>
      </c>
      <c r="F452" s="1075" t="str">
        <f>VLOOKUP($B452,dongia1,DG!$D$5,)</f>
        <v>cái</v>
      </c>
      <c r="G452" s="1077">
        <f>+G446*8</f>
        <v>0</v>
      </c>
      <c r="H452" s="1062">
        <f>VLOOKUP($B452,dongia1,DG!$F$5,)</f>
        <v>14000</v>
      </c>
      <c r="I452" s="1062"/>
      <c r="J452" s="1062">
        <f>VLOOKUP($B452,dongia1,DG!$G$5,)</f>
        <v>0</v>
      </c>
      <c r="K452" s="1062">
        <f>VLOOKUP($B452,dongia1,DG!$H$5,)</f>
        <v>0</v>
      </c>
      <c r="L452" s="1174">
        <f>H452*G452</f>
        <v>0</v>
      </c>
      <c r="M452" s="1174">
        <f>I452*G452</f>
        <v>0</v>
      </c>
      <c r="N452" s="1174">
        <f>J452*G452</f>
        <v>0</v>
      </c>
      <c r="O452" s="1083">
        <f>K452*G452</f>
        <v>0</v>
      </c>
      <c r="P452" s="1080"/>
    </row>
    <row r="453" spans="1:16" s="1081" customFormat="1" hidden="1" outlineLevel="1">
      <c r="A453" s="1072">
        <f>IF(G453=0,0,1)</f>
        <v>0</v>
      </c>
      <c r="B453" s="1086" t="s">
        <v>236</v>
      </c>
      <c r="C453" s="1074"/>
      <c r="D453" s="1075">
        <f>VLOOKUP($B453,dongia1,DG!$B$5,)</f>
        <v>0</v>
      </c>
      <c r="E453" s="1076" t="str">
        <f>VLOOKUP($B453,dongia1,DG!$C$5,)</f>
        <v>Băng keo cách điện hạ thế</v>
      </c>
      <c r="F453" s="1075" t="str">
        <f>VLOOKUP($B453,dongia1,DG!$D$5,)</f>
        <v>cuộn</v>
      </c>
      <c r="G453" s="1077">
        <f>G446*4</f>
        <v>0</v>
      </c>
      <c r="H453" s="1062">
        <f>VLOOKUP($B453,dongia1,DG!$F$5,)</f>
        <v>6500</v>
      </c>
      <c r="I453" s="1062"/>
      <c r="J453" s="1062">
        <f>VLOOKUP($B453,dongia1,DG!$G$5,)</f>
        <v>0</v>
      </c>
      <c r="K453" s="1062">
        <f>VLOOKUP($B453,dongia1,DG!$H$5,)</f>
        <v>0</v>
      </c>
      <c r="L453" s="1174">
        <f>H453*G453</f>
        <v>0</v>
      </c>
      <c r="M453" s="1174">
        <f>I453*G453</f>
        <v>0</v>
      </c>
      <c r="N453" s="1174">
        <f>J453*G453</f>
        <v>0</v>
      </c>
      <c r="O453" s="1083">
        <f>K453*G453</f>
        <v>0</v>
      </c>
      <c r="P453" s="1080"/>
    </row>
    <row r="454" spans="1:16" s="1081" customFormat="1" hidden="1" outlineLevel="1">
      <c r="A454" s="1072">
        <f t="shared" si="86"/>
        <v>0</v>
      </c>
      <c r="B454" s="1086" t="s">
        <v>2062</v>
      </c>
      <c r="C454" s="1074"/>
      <c r="D454" s="1075" t="str">
        <f>VLOOKUP($B454,dongia1,DG!$B$5,)</f>
        <v>D4.5005</v>
      </c>
      <c r="E454" s="1076" t="str">
        <f>VLOOKUP($B454,dongia1,DG!$C$5,)</f>
        <v>Đầu cosse ép Cu 120mm2</v>
      </c>
      <c r="F454" s="1075" t="str">
        <f>VLOOKUP($B454,dongia1,DG!$D$5,)</f>
        <v>cái</v>
      </c>
      <c r="G454" s="1077">
        <f>G446*G386*4</f>
        <v>0</v>
      </c>
      <c r="H454" s="1062">
        <f>VLOOKUP($B454,dongia1,DG!$F$5,)</f>
        <v>27000</v>
      </c>
      <c r="I454" s="1062"/>
      <c r="J454" s="1062">
        <f>VLOOKUP($B454,dongia1,DG!$G$5,)</f>
        <v>27280.17</v>
      </c>
      <c r="K454" s="1062">
        <f>VLOOKUP($B454,dongia1,DG!$H$5,)</f>
        <v>3887.8325465000003</v>
      </c>
      <c r="L454" s="1174">
        <f t="shared" si="77"/>
        <v>0</v>
      </c>
      <c r="M454" s="1174">
        <f t="shared" si="78"/>
        <v>0</v>
      </c>
      <c r="N454" s="1174">
        <f t="shared" si="84"/>
        <v>0</v>
      </c>
      <c r="O454" s="1083">
        <f t="shared" si="80"/>
        <v>0</v>
      </c>
      <c r="P454" s="1080"/>
    </row>
    <row r="455" spans="1:16" s="1081" customFormat="1" hidden="1" outlineLevel="1">
      <c r="A455" s="1072">
        <f t="shared" si="86"/>
        <v>0</v>
      </c>
      <c r="B455" s="1086" t="s">
        <v>41</v>
      </c>
      <c r="C455" s="1074"/>
      <c r="D455" s="1075" t="str">
        <f>VLOOKUP($B455,dongia1,DG!$B$5,)</f>
        <v>D4.5001</v>
      </c>
      <c r="E455" s="1076" t="str">
        <f>VLOOKUP($B455,dongia1,DG!$C$5,)</f>
        <v>Đầu cosse ép Cu 25mm2</v>
      </c>
      <c r="F455" s="1075" t="str">
        <f>VLOOKUP($B455,dongia1,DG!$D$5,)</f>
        <v>cái</v>
      </c>
      <c r="G455" s="1077">
        <f>G446*1</f>
        <v>0</v>
      </c>
      <c r="H455" s="1062">
        <f>VLOOKUP($B455,dongia1,DG!$F$5,)</f>
        <v>6500</v>
      </c>
      <c r="I455" s="1062"/>
      <c r="J455" s="1062">
        <f>VLOOKUP($B455,dongia1,DG!$G$5,)</f>
        <v>6062.26</v>
      </c>
      <c r="K455" s="1062">
        <f>VLOOKUP($B455,dongia1,DG!$H$5,)</f>
        <v>2777.0232475000003</v>
      </c>
      <c r="L455" s="1174">
        <f t="shared" si="77"/>
        <v>0</v>
      </c>
      <c r="M455" s="1174">
        <f t="shared" si="78"/>
        <v>0</v>
      </c>
      <c r="N455" s="1174">
        <f t="shared" si="84"/>
        <v>0</v>
      </c>
      <c r="O455" s="1083">
        <f t="shared" si="80"/>
        <v>0</v>
      </c>
      <c r="P455" s="1080"/>
    </row>
    <row r="456" spans="1:16" s="1081" customFormat="1" hidden="1" outlineLevel="1">
      <c r="A456" s="1072">
        <f t="shared" si="86"/>
        <v>0</v>
      </c>
      <c r="B456" s="1086" t="s">
        <v>825</v>
      </c>
      <c r="C456" s="1074"/>
      <c r="D456" s="1075">
        <f>VLOOKUP($B456,dongia1,DG!$B$5,)</f>
        <v>0</v>
      </c>
      <c r="E456" s="1076" t="str">
        <f>VLOOKUP($B456,dongia1,DG!$C$5,)</f>
        <v>Chụp đầu cosse  120mm2</v>
      </c>
      <c r="F456" s="1075" t="str">
        <f>VLOOKUP($B456,dongia1,DG!$D$5,)</f>
        <v>cái</v>
      </c>
      <c r="G456" s="1077">
        <f>G454</f>
        <v>0</v>
      </c>
      <c r="H456" s="1062">
        <f>VLOOKUP($B456,dongia1,DG!$F$5,)</f>
        <v>4000</v>
      </c>
      <c r="I456" s="1062"/>
      <c r="J456" s="1062">
        <f>VLOOKUP($B456,dongia1,DG!$G$5,)</f>
        <v>0</v>
      </c>
      <c r="K456" s="1062">
        <f>VLOOKUP($B456,dongia1,DG!$H$5,)</f>
        <v>0</v>
      </c>
      <c r="L456" s="1174">
        <f t="shared" si="77"/>
        <v>0</v>
      </c>
      <c r="M456" s="1174">
        <f t="shared" si="78"/>
        <v>0</v>
      </c>
      <c r="N456" s="1174">
        <f t="shared" si="84"/>
        <v>0</v>
      </c>
      <c r="O456" s="1083">
        <f t="shared" si="80"/>
        <v>0</v>
      </c>
      <c r="P456" s="1080"/>
    </row>
    <row r="457" spans="1:16" s="1081" customFormat="1" hidden="1" outlineLevel="1">
      <c r="A457" s="1072">
        <f t="shared" si="86"/>
        <v>0</v>
      </c>
      <c r="B457" s="1086" t="s">
        <v>4980</v>
      </c>
      <c r="C457" s="1074"/>
      <c r="D457" s="1075">
        <f>VLOOKUP($B457,dongia1,DG!$B$5,)</f>
        <v>0</v>
      </c>
      <c r="E457" s="1076" t="str">
        <f>VLOOKUP($B457,dongia1,DG!$C$5,)</f>
        <v>Chụp đầu cosse  25mm2</v>
      </c>
      <c r="F457" s="1075" t="str">
        <f>VLOOKUP($B457,dongia1,DG!$D$5,)</f>
        <v>cái</v>
      </c>
      <c r="G457" s="1077">
        <f>G455</f>
        <v>0</v>
      </c>
      <c r="H457" s="1062">
        <f>VLOOKUP($B457,dongia1,DG!$F$5,)</f>
        <v>1000</v>
      </c>
      <c r="I457" s="1062"/>
      <c r="J457" s="1062">
        <f>VLOOKUP($B457,dongia1,DG!$G$5,)</f>
        <v>0</v>
      </c>
      <c r="K457" s="1062">
        <f>VLOOKUP($B457,dongia1,DG!$H$5,)</f>
        <v>0</v>
      </c>
      <c r="L457" s="1174">
        <f t="shared" ref="L457:L466" si="87">H457*G457</f>
        <v>0</v>
      </c>
      <c r="M457" s="1174">
        <f t="shared" ref="M457:M466" si="88">I457*G457</f>
        <v>0</v>
      </c>
      <c r="N457" s="1174">
        <f t="shared" ref="N457:N466" si="89">J457*G457</f>
        <v>0</v>
      </c>
      <c r="O457" s="1083">
        <f t="shared" ref="O457:O466" si="90">K457*G457</f>
        <v>0</v>
      </c>
      <c r="P457" s="1080"/>
    </row>
    <row r="458" spans="1:16" s="1081" customFormat="1" hidden="1" outlineLevel="1">
      <c r="A458" s="1072">
        <f t="shared" si="86"/>
        <v>0</v>
      </c>
      <c r="B458" s="1086" t="s">
        <v>961</v>
      </c>
      <c r="C458" s="1074"/>
      <c r="D458" s="1075">
        <f>VLOOKUP($B458,dongia1,DG!$B$5,)</f>
        <v>0</v>
      </c>
      <c r="E458" s="1076" t="str">
        <f>VLOOKUP($B458,dongia1,DG!$C$5,)</f>
        <v xml:space="preserve">Ống PVC D114x4,9mm </v>
      </c>
      <c r="F458" s="1075" t="str">
        <f>VLOOKUP($B458,dongia1,DG!$D$5,)</f>
        <v>m</v>
      </c>
      <c r="G458" s="1077">
        <f>6.8*G446</f>
        <v>0</v>
      </c>
      <c r="H458" s="1062">
        <f>VLOOKUP($B458,dongia1,DG!$F$5,)</f>
        <v>103700</v>
      </c>
      <c r="I458" s="1083"/>
      <c r="J458" s="1062">
        <f>VLOOKUP($B458,dongia1,DG!$G$5,)</f>
        <v>0</v>
      </c>
      <c r="K458" s="1062">
        <f>VLOOKUP($B458,dongia1,DG!$H$5,)</f>
        <v>0</v>
      </c>
      <c r="L458" s="1174">
        <f t="shared" si="87"/>
        <v>0</v>
      </c>
      <c r="M458" s="1174">
        <f t="shared" si="88"/>
        <v>0</v>
      </c>
      <c r="N458" s="1174">
        <f t="shared" si="89"/>
        <v>0</v>
      </c>
      <c r="O458" s="1083">
        <f t="shared" si="90"/>
        <v>0</v>
      </c>
      <c r="P458" s="1080"/>
    </row>
    <row r="459" spans="1:16" s="1081" customFormat="1" hidden="1" outlineLevel="1">
      <c r="A459" s="1072">
        <f t="shared" si="86"/>
        <v>0</v>
      </c>
      <c r="B459" s="1067" t="s">
        <v>826</v>
      </c>
      <c r="C459" s="1074"/>
      <c r="D459" s="1075">
        <f>VLOOKUP($B459,dongia1,DG!$B$5,)</f>
        <v>0</v>
      </c>
      <c r="E459" s="1076" t="str">
        <f>VLOOKUP($B459,dongia1,DG!$C$5,)</f>
        <v>Cổ dê kẹp ống PVC Þ 114</v>
      </c>
      <c r="F459" s="1075" t="str">
        <f>VLOOKUP($B459,dongia1,DG!$D$5,)</f>
        <v>bộ</v>
      </c>
      <c r="G459" s="1077">
        <f>4*G446</f>
        <v>0</v>
      </c>
      <c r="H459" s="1062">
        <f>VLOOKUP($B459,dongia1,DG!$F$5,)</f>
        <v>50000</v>
      </c>
      <c r="I459" s="1083"/>
      <c r="J459" s="1062">
        <f>VLOOKUP($B459,dongia1,DG!$G$5,)</f>
        <v>0</v>
      </c>
      <c r="K459" s="1062">
        <f>VLOOKUP($B459,dongia1,DG!$H$5,)</f>
        <v>0</v>
      </c>
      <c r="L459" s="1174">
        <f t="shared" si="87"/>
        <v>0</v>
      </c>
      <c r="M459" s="1174">
        <f t="shared" si="88"/>
        <v>0</v>
      </c>
      <c r="N459" s="1174">
        <f t="shared" si="89"/>
        <v>0</v>
      </c>
      <c r="O459" s="1083">
        <f t="shared" si="90"/>
        <v>0</v>
      </c>
      <c r="P459" s="1080"/>
    </row>
    <row r="460" spans="1:16" s="1081" customFormat="1" hidden="1" outlineLevel="1">
      <c r="A460" s="1072">
        <f>IF(G460=0,0,1)</f>
        <v>0</v>
      </c>
      <c r="B460" s="1067" t="s">
        <v>1623</v>
      </c>
      <c r="C460" s="1074"/>
      <c r="D460" s="1075">
        <f>VLOOKUP($B460,dongia1,DG!$B$5,)</f>
        <v>0</v>
      </c>
      <c r="E460" s="1076" t="str">
        <f>VLOOKUP($B460,dongia1,DG!$C$5,)</f>
        <v>Boulon 12x40+ 2 long đền vuông D14-50x50x3/Zn</v>
      </c>
      <c r="F460" s="1075" t="str">
        <f>VLOOKUP($B460,dongia1,DG!$D$5,)</f>
        <v>bộ</v>
      </c>
      <c r="G460" s="1077">
        <f>G461*4</f>
        <v>0</v>
      </c>
      <c r="H460" s="1062">
        <f>VLOOKUP($B460,dongia1,DG!$F$5,)</f>
        <v>8500</v>
      </c>
      <c r="I460" s="1083"/>
      <c r="J460" s="1062"/>
      <c r="K460" s="1062">
        <f>VLOOKUP($B460,dongia1,DG!$H$5,)</f>
        <v>0</v>
      </c>
      <c r="L460" s="1174">
        <f>H460*G460</f>
        <v>0</v>
      </c>
      <c r="M460" s="1174">
        <f>I460*G460</f>
        <v>0</v>
      </c>
      <c r="N460" s="1174">
        <f>J460*G460</f>
        <v>0</v>
      </c>
      <c r="O460" s="1083">
        <f>K460*G460</f>
        <v>0</v>
      </c>
      <c r="P460" s="1080"/>
    </row>
    <row r="461" spans="1:16" s="1081" customFormat="1" hidden="1" outlineLevel="1">
      <c r="A461" s="1072">
        <f>IF(G461=0,0,1)</f>
        <v>0</v>
      </c>
      <c r="B461" s="1067" t="s">
        <v>1302</v>
      </c>
      <c r="C461" s="1074"/>
      <c r="D461" s="1075" t="str">
        <f>VLOOKUP($B461,dongia1,DG!$B$5,)</f>
        <v>D3.3241</v>
      </c>
      <c r="E461" s="1076" t="str">
        <f>VLOOKUP($B461,dongia1,DG!$C$5,)</f>
        <v>Lắp cổ dê</v>
      </c>
      <c r="F461" s="1075" t="str">
        <f>VLOOKUP($B461,dongia1,DG!$D$5,)</f>
        <v>cái</v>
      </c>
      <c r="G461" s="1077">
        <f>G446*3*0</f>
        <v>0</v>
      </c>
      <c r="H461" s="1062">
        <f>VLOOKUP($B461,dongia1,DG!$F$5,)</f>
        <v>0</v>
      </c>
      <c r="I461" s="1083"/>
      <c r="J461" s="1062">
        <f>VLOOKUP($B461,dongia1,DG!$G$5,)</f>
        <v>77000</v>
      </c>
      <c r="K461" s="1062">
        <f>VLOOKUP($B461,dongia1,DG!$H$5,)</f>
        <v>0</v>
      </c>
      <c r="L461" s="1174">
        <f>H461*G461</f>
        <v>0</v>
      </c>
      <c r="M461" s="1174">
        <f>I461*G461</f>
        <v>0</v>
      </c>
      <c r="N461" s="1174">
        <f>J461*G461</f>
        <v>0</v>
      </c>
      <c r="O461" s="1083">
        <f>K461*G461</f>
        <v>0</v>
      </c>
      <c r="P461" s="1080"/>
    </row>
    <row r="462" spans="1:16" s="1081" customFormat="1" hidden="1" outlineLevel="1">
      <c r="A462" s="1072">
        <f t="shared" si="86"/>
        <v>0</v>
      </c>
      <c r="B462" s="1086" t="s">
        <v>111</v>
      </c>
      <c r="C462" s="1074"/>
      <c r="D462" s="1075">
        <f>VLOOKUP($B462,dongia1,DG!$B$5,)</f>
        <v>0</v>
      </c>
      <c r="E462" s="1076" t="str">
        <f>VLOOKUP($B462,dongia1,DG!$C$5,)</f>
        <v>Co  90 độ PVC 90 (loại dày)</v>
      </c>
      <c r="F462" s="1075" t="str">
        <f>VLOOKUP($B462,dongia1,DG!$D$5,)</f>
        <v>cái</v>
      </c>
      <c r="G462" s="1077">
        <f>4*G446</f>
        <v>0</v>
      </c>
      <c r="H462" s="1062">
        <f>VLOOKUP($B462,dongia1,DG!$F$5,)</f>
        <v>45400</v>
      </c>
      <c r="I462" s="1083"/>
      <c r="J462" s="1062">
        <f>VLOOKUP($B462,dongia1,DG!$G$5,)</f>
        <v>0</v>
      </c>
      <c r="K462" s="1062">
        <f>VLOOKUP($B462,dongia1,DG!$H$5,)</f>
        <v>0</v>
      </c>
      <c r="L462" s="1174">
        <f t="shared" si="87"/>
        <v>0</v>
      </c>
      <c r="M462" s="1174">
        <f t="shared" si="88"/>
        <v>0</v>
      </c>
      <c r="N462" s="1174">
        <f t="shared" si="89"/>
        <v>0</v>
      </c>
      <c r="O462" s="1083">
        <f t="shared" si="90"/>
        <v>0</v>
      </c>
      <c r="P462" s="1080"/>
    </row>
    <row r="463" spans="1:16" s="1081" customFormat="1" hidden="1" outlineLevel="1">
      <c r="A463" s="1072">
        <f t="shared" si="86"/>
        <v>0</v>
      </c>
      <c r="B463" s="1086" t="s">
        <v>530</v>
      </c>
      <c r="C463" s="1074"/>
      <c r="D463" s="1075">
        <f>VLOOKUP($B463,dongia1,DG!$B$5,)</f>
        <v>0</v>
      </c>
      <c r="E463" s="1076" t="str">
        <f>VLOOKUP($B463,dongia1,DG!$C$5,)</f>
        <v>Nối ống PVC 114</v>
      </c>
      <c r="F463" s="1075" t="str">
        <f>VLOOKUP($B463,dongia1,DG!$D$5,)</f>
        <v>cái</v>
      </c>
      <c r="G463" s="1077">
        <f>G446*0</f>
        <v>0</v>
      </c>
      <c r="H463" s="1062">
        <f>VLOOKUP($B463,dongia1,DG!$F$5,)</f>
        <v>27500</v>
      </c>
      <c r="I463" s="1083"/>
      <c r="J463" s="1062">
        <f>VLOOKUP($B463,dongia1,DG!$G$5,)</f>
        <v>0</v>
      </c>
      <c r="K463" s="1062">
        <f>VLOOKUP($B463,dongia1,DG!$H$5,)</f>
        <v>0</v>
      </c>
      <c r="L463" s="1174">
        <f t="shared" si="87"/>
        <v>0</v>
      </c>
      <c r="M463" s="1174">
        <f t="shared" si="88"/>
        <v>0</v>
      </c>
      <c r="N463" s="1174">
        <f t="shared" si="89"/>
        <v>0</v>
      </c>
      <c r="O463" s="1083">
        <f t="shared" si="90"/>
        <v>0</v>
      </c>
      <c r="P463" s="1080"/>
    </row>
    <row r="464" spans="1:16" s="1081" customFormat="1" hidden="1" outlineLevel="1">
      <c r="A464" s="1072">
        <f>IF(G464=0,0,1)</f>
        <v>0</v>
      </c>
      <c r="B464" s="1086" t="s">
        <v>1259</v>
      </c>
      <c r="C464" s="1074"/>
      <c r="D464" s="1075">
        <f>VLOOKUP($B464,dongia1,DG!$B$5,)</f>
        <v>0</v>
      </c>
      <c r="E464" s="1076" t="str">
        <f>VLOOKUP($B464,dongia1,DG!$C$5,)</f>
        <v>Khâu ven răng trong D90</v>
      </c>
      <c r="F464" s="1075" t="str">
        <f>VLOOKUP($B464,dongia1,DG!$D$5,)</f>
        <v>cái</v>
      </c>
      <c r="G464" s="1077">
        <f>+G446</f>
        <v>0</v>
      </c>
      <c r="H464" s="1062">
        <f>VLOOKUP($B464,dongia1,DG!$F$5,)</f>
        <v>25800</v>
      </c>
      <c r="I464" s="1083"/>
      <c r="J464" s="1062">
        <f>VLOOKUP($B464,dongia1,DG!$G$5,)</f>
        <v>0</v>
      </c>
      <c r="K464" s="1062">
        <f>VLOOKUP($B464,dongia1,DG!$H$5,)</f>
        <v>0</v>
      </c>
      <c r="L464" s="1174">
        <f>H464*G464</f>
        <v>0</v>
      </c>
      <c r="M464" s="1174">
        <f>I464*G464</f>
        <v>0</v>
      </c>
      <c r="N464" s="1174">
        <f>J464*G464</f>
        <v>0</v>
      </c>
      <c r="O464" s="1083">
        <f>K464*G464</f>
        <v>0</v>
      </c>
      <c r="P464" s="1080"/>
    </row>
    <row r="465" spans="1:16" s="1081" customFormat="1" hidden="1" outlineLevel="1">
      <c r="A465" s="1072">
        <f>IF(G465=0,0,1)</f>
        <v>0</v>
      </c>
      <c r="B465" s="1086" t="s">
        <v>1260</v>
      </c>
      <c r="C465" s="1074"/>
      <c r="D465" s="1075">
        <f>VLOOKUP($B465,dongia1,DG!$B$5,)</f>
        <v>0</v>
      </c>
      <c r="E465" s="1076" t="str">
        <f>VLOOKUP($B465,dongia1,DG!$C$5,)</f>
        <v>Khâu ven răng ngoài D90</v>
      </c>
      <c r="F465" s="1075" t="str">
        <f>VLOOKUP($B465,dongia1,DG!$D$5,)</f>
        <v>cái</v>
      </c>
      <c r="G465" s="1077">
        <f>G464</f>
        <v>0</v>
      </c>
      <c r="H465" s="1062">
        <f>VLOOKUP($B465,dongia1,DG!$F$5,)</f>
        <v>21500</v>
      </c>
      <c r="I465" s="1083"/>
      <c r="J465" s="1062">
        <f>VLOOKUP($B465,dongia1,DG!$G$5,)</f>
        <v>0</v>
      </c>
      <c r="K465" s="1062">
        <f>VLOOKUP($B465,dongia1,DG!$H$5,)</f>
        <v>0</v>
      </c>
      <c r="L465" s="1174">
        <f>H465*G465</f>
        <v>0</v>
      </c>
      <c r="M465" s="1174">
        <f>I465*G465</f>
        <v>0</v>
      </c>
      <c r="N465" s="1174">
        <f>J465*G465</f>
        <v>0</v>
      </c>
      <c r="O465" s="1083">
        <f>K465*G465</f>
        <v>0</v>
      </c>
      <c r="P465" s="1080"/>
    </row>
    <row r="466" spans="1:16" s="1081" customFormat="1" hidden="1" outlineLevel="1">
      <c r="A466" s="1072">
        <f t="shared" si="86"/>
        <v>0</v>
      </c>
      <c r="B466" s="1086" t="s">
        <v>887</v>
      </c>
      <c r="C466" s="1074"/>
      <c r="D466" s="1075">
        <f>VLOOKUP($B466,dongia1,DG!$B$5,)</f>
        <v>0</v>
      </c>
      <c r="E466" s="1076" t="str">
        <f>VLOOKUP($B466,dongia1,DG!$C$5,)</f>
        <v>Keo dán ống PVC (100gr)</v>
      </c>
      <c r="F466" s="1075" t="str">
        <f>VLOOKUP($B466,dongia1,DG!$D$5,)</f>
        <v>tuýp</v>
      </c>
      <c r="G466" s="1077">
        <f>G446</f>
        <v>0</v>
      </c>
      <c r="H466" s="1062">
        <f>VLOOKUP($B466,dongia1,DG!$F$5,)</f>
        <v>11500</v>
      </c>
      <c r="I466" s="1083"/>
      <c r="J466" s="1062">
        <f>VLOOKUP($B466,dongia1,DG!$G$5,)</f>
        <v>0</v>
      </c>
      <c r="K466" s="1062">
        <f>VLOOKUP($B466,dongia1,DG!$H$5,)</f>
        <v>0</v>
      </c>
      <c r="L466" s="1174">
        <f t="shared" si="87"/>
        <v>0</v>
      </c>
      <c r="M466" s="1174">
        <f t="shared" si="88"/>
        <v>0</v>
      </c>
      <c r="N466" s="1174">
        <f t="shared" si="89"/>
        <v>0</v>
      </c>
      <c r="O466" s="1083">
        <f t="shared" si="90"/>
        <v>0</v>
      </c>
      <c r="P466" s="1080"/>
    </row>
    <row r="467" spans="1:16" s="1081" customFormat="1" hidden="1" outlineLevel="1">
      <c r="A467" s="1072">
        <f t="shared" si="86"/>
        <v>0</v>
      </c>
      <c r="B467" s="1086" t="s">
        <v>429</v>
      </c>
      <c r="C467" s="1074"/>
      <c r="D467" s="1075">
        <f>VLOOKUP($B467,dongia1,DG!$B$5,)</f>
        <v>0</v>
      </c>
      <c r="E467" s="1076" t="str">
        <f>VLOOKUP($B467,dongia1,DG!$C$5,)</f>
        <v>Keo silicon bít miệng ống</v>
      </c>
      <c r="F467" s="1075" t="str">
        <f>VLOOKUP($B467,dongia1,DG!$D$5,)</f>
        <v>chai</v>
      </c>
      <c r="G467" s="1077">
        <f>G446</f>
        <v>0</v>
      </c>
      <c r="H467" s="1062">
        <f>VLOOKUP($B467,dongia1,DG!$F$5,)</f>
        <v>45000</v>
      </c>
      <c r="I467" s="1083"/>
      <c r="J467" s="1062">
        <f>VLOOKUP($B467,dongia1,DG!$G$5,)</f>
        <v>0</v>
      </c>
      <c r="K467" s="1062">
        <f>VLOOKUP($B467,dongia1,DG!$H$5,)</f>
        <v>0</v>
      </c>
      <c r="L467" s="1174">
        <f>H467*G467</f>
        <v>0</v>
      </c>
      <c r="M467" s="1174">
        <f>I467*G467</f>
        <v>0</v>
      </c>
      <c r="N467" s="1174">
        <f>J467*G467</f>
        <v>0</v>
      </c>
      <c r="O467" s="1083">
        <f>K467*G467</f>
        <v>0</v>
      </c>
      <c r="P467" s="1080"/>
    </row>
    <row r="468" spans="1:16" s="1081" customFormat="1" hidden="1" outlineLevel="1">
      <c r="A468" s="1072">
        <f t="shared" si="86"/>
        <v>0</v>
      </c>
      <c r="B468" s="1067" t="s">
        <v>236</v>
      </c>
      <c r="C468" s="1074"/>
      <c r="D468" s="1196"/>
      <c r="E468" s="1076" t="str">
        <f>VLOOKUP($B468,dongia1,DG!$C$5,)</f>
        <v>Băng keo cách điện hạ thế</v>
      </c>
      <c r="F468" s="1075" t="str">
        <f>VLOOKUP($B468,dongia1,DG!$D$5,)</f>
        <v>cuộn</v>
      </c>
      <c r="G468" s="1077"/>
      <c r="H468" s="1062">
        <f>VLOOKUP($B468,dongia1,DG!$F$5,)</f>
        <v>6500</v>
      </c>
      <c r="I468" s="1083"/>
      <c r="J468" s="1062">
        <f>VLOOKUP($B468,dongia1,DG!$G$5,)</f>
        <v>0</v>
      </c>
      <c r="K468" s="1062">
        <f>VLOOKUP($B468,dongia1,DG!$H$5,)</f>
        <v>0</v>
      </c>
      <c r="L468" s="1174">
        <f>H468*G468</f>
        <v>0</v>
      </c>
      <c r="M468" s="1174">
        <f>I468*G468</f>
        <v>0</v>
      </c>
      <c r="N468" s="1174">
        <f>J468*G468</f>
        <v>0</v>
      </c>
      <c r="O468" s="1083">
        <f>K468*G468</f>
        <v>0</v>
      </c>
      <c r="P468" s="1080"/>
    </row>
    <row r="469" spans="1:16" s="1081" customFormat="1" hidden="1" outlineLevel="1">
      <c r="A469" s="1072">
        <f t="shared" si="86"/>
        <v>0</v>
      </c>
      <c r="B469" s="1086" t="s">
        <v>1194</v>
      </c>
      <c r="C469" s="1074"/>
      <c r="D469" s="1075" t="str">
        <f>VLOOKUP($B469,dongia1,DG!$B$5,)</f>
        <v>D4.1409</v>
      </c>
      <c r="E469" s="1076" t="str">
        <f>VLOOKUP($B469,dongia1,DG!$C$5,)</f>
        <v>Lắp ống nhựa PVC D90</v>
      </c>
      <c r="F469" s="1075" t="str">
        <f>VLOOKUP($B469,dongia1,DG!$D$5,)</f>
        <v>mét</v>
      </c>
      <c r="G469" s="1077"/>
      <c r="H469" s="1062"/>
      <c r="I469" s="1083"/>
      <c r="J469" s="1062">
        <f>VLOOKUP($B469,dongia1,DG!$G$5,)</f>
        <v>55493.02</v>
      </c>
      <c r="K469" s="1062">
        <f>VLOOKUP($B469,dongia1,DG!$H$5,)</f>
        <v>0</v>
      </c>
      <c r="L469" s="1174">
        <f>H469*G469</f>
        <v>0</v>
      </c>
      <c r="M469" s="1174">
        <f>I469*G469</f>
        <v>0</v>
      </c>
      <c r="N469" s="1174">
        <f>J469*G469</f>
        <v>0</v>
      </c>
      <c r="O469" s="1083">
        <f>K469*G469</f>
        <v>0</v>
      </c>
      <c r="P469" s="1080"/>
    </row>
    <row r="470" spans="1:16" s="1081" customFormat="1" hidden="1" outlineLevel="1">
      <c r="A470" s="1072">
        <f t="shared" si="86"/>
        <v>0</v>
      </c>
      <c r="B470" s="1067" t="s">
        <v>1346</v>
      </c>
      <c r="C470" s="1074"/>
      <c r="D470" s="1075" t="str">
        <f>VLOOKUP($B470,dongia1,DG!$B$5,)</f>
        <v>T4.4202</v>
      </c>
      <c r="E470" s="1076" t="str">
        <f>VLOOKUP($B470,dongia1,DG!$C$5,)</f>
        <v>Lắp cáp đồng xuống thiết bị D ≤ 150mm2</v>
      </c>
      <c r="F470" s="1075" t="str">
        <f>VLOOKUP($B470,dongia1,DG!$D$5,)</f>
        <v>m</v>
      </c>
      <c r="G470" s="1077">
        <f>G448+G449</f>
        <v>0</v>
      </c>
      <c r="H470" s="1062"/>
      <c r="I470" s="1083"/>
      <c r="J470" s="1062">
        <f>VLOOKUP($B470,dongia1,DG!$G$5,)</f>
        <v>33396</v>
      </c>
      <c r="K470" s="1062">
        <f>VLOOKUP($B470,dongia1,DG!$H$5,)</f>
        <v>0</v>
      </c>
      <c r="L470" s="1174">
        <f>H470*G470</f>
        <v>0</v>
      </c>
      <c r="M470" s="1174">
        <f>I470*G470</f>
        <v>0</v>
      </c>
      <c r="N470" s="1174">
        <f>J470*G470</f>
        <v>0</v>
      </c>
      <c r="O470" s="1083">
        <f>K470*G470</f>
        <v>0</v>
      </c>
      <c r="P470" s="1080"/>
    </row>
    <row r="471" spans="1:16" s="1081" customFormat="1" hidden="1" outlineLevel="1">
      <c r="A471" s="1072">
        <f t="shared" si="86"/>
        <v>0</v>
      </c>
      <c r="B471" s="1086" t="s">
        <v>888</v>
      </c>
      <c r="C471" s="1207">
        <f>IF(G471&gt;0,C446+1,C446)</f>
        <v>0</v>
      </c>
      <c r="D471" s="1208"/>
      <c r="E471" s="1076" t="str">
        <f>VLOOKUP($B471,dongia1,DG!$C$5,)</f>
        <v>Bảng tên trạm + bảng báo nguy hiểm</v>
      </c>
      <c r="F471" s="1075" t="str">
        <f>VLOOKUP($B471,dongia1,DG!$D$5,)</f>
        <v>cái</v>
      </c>
      <c r="G471" s="1237">
        <f>G404</f>
        <v>0</v>
      </c>
      <c r="H471" s="1062">
        <f>VLOOKUP($B471,dongia1,DG!$F$5,)</f>
        <v>300000</v>
      </c>
      <c r="I471" s="1210"/>
      <c r="J471" s="1062"/>
      <c r="K471" s="1062">
        <f>VLOOKUP($B471,dongia1,DG!$H$5,)</f>
        <v>0</v>
      </c>
      <c r="L471" s="1209">
        <f>H471*G471</f>
        <v>0</v>
      </c>
      <c r="M471" s="1209">
        <f>I471*G471</f>
        <v>0</v>
      </c>
      <c r="N471" s="1209">
        <f>J471*G471</f>
        <v>0</v>
      </c>
      <c r="O471" s="1210">
        <f>K471*G471</f>
        <v>0</v>
      </c>
      <c r="P471" s="1229"/>
    </row>
    <row r="472" spans="1:16" s="1081" customFormat="1" hidden="1" outlineLevel="1">
      <c r="A472" s="1154" t="str">
        <f>A376</f>
        <v/>
      </c>
      <c r="B472" s="1073"/>
      <c r="C472" s="1212"/>
      <c r="D472" s="1213"/>
      <c r="E472" s="1230"/>
      <c r="F472" s="1215"/>
      <c r="G472" s="1215"/>
      <c r="H472" s="1215"/>
      <c r="I472" s="1215"/>
      <c r="J472" s="2460" t="s">
        <v>3388</v>
      </c>
      <c r="K472" s="2460"/>
      <c r="L472" s="1216">
        <f>SUM(L392:L471)</f>
        <v>0</v>
      </c>
      <c r="M472" s="1216"/>
      <c r="N472" s="1216">
        <f>SUM(N392:N471)</f>
        <v>0</v>
      </c>
      <c r="O472" s="1216">
        <f>SUM(O392:O471)</f>
        <v>0</v>
      </c>
      <c r="P472" s="1220"/>
    </row>
    <row r="473" spans="1:16" s="1081" customFormat="1" hidden="1">
      <c r="A473" s="1199" t="str">
        <f>IF(G478&lt;&gt;0,1,"")</f>
        <v/>
      </c>
      <c r="B473" s="1073"/>
      <c r="C473" s="1217"/>
      <c r="D473" s="1238"/>
      <c r="E473" s="1239"/>
    </row>
    <row r="474" spans="1:16" s="1081" customFormat="1" hidden="1" outlineLevel="1">
      <c r="A474" s="1154" t="str">
        <f>A473</f>
        <v/>
      </c>
      <c r="B474" s="1175"/>
      <c r="C474" s="1143" t="str">
        <f>"BẢNG TỔNG HỢP VẬT LIỆU, NHÂN CÔNG, MÁY THI CÔNG: "&amp;H11&amp;   "TRẠM_1P100KVA "</f>
        <v xml:space="preserve">BẢNG TỔNG HỢP VẬT LIỆU, NHÂN CÔNG, MÁY THI CÔNG: 0TRẠM_1P100KVA </v>
      </c>
      <c r="D474" s="1232"/>
      <c r="E474" s="1143"/>
      <c r="F474" s="1143"/>
      <c r="G474" s="1143"/>
      <c r="H474" s="1143"/>
      <c r="I474" s="1143"/>
      <c r="J474" s="1143"/>
      <c r="K474" s="1143"/>
      <c r="L474" s="1143"/>
      <c r="M474" s="1143"/>
      <c r="N474" s="1143"/>
      <c r="O474" s="1143"/>
      <c r="P474" s="1144"/>
    </row>
    <row r="475" spans="1:16" s="1081" customFormat="1" hidden="1" outlineLevel="1">
      <c r="A475" s="1154" t="str">
        <f>A474</f>
        <v/>
      </c>
      <c r="B475" s="1073" t="s">
        <v>308</v>
      </c>
      <c r="C475" s="2459" t="s">
        <v>1014</v>
      </c>
      <c r="D475" s="2467" t="s">
        <v>3363</v>
      </c>
      <c r="E475" s="2457" t="s">
        <v>3364</v>
      </c>
      <c r="F475" s="2459" t="s">
        <v>3365</v>
      </c>
      <c r="G475" s="1155" t="s">
        <v>3367</v>
      </c>
      <c r="H475" s="1156" t="s">
        <v>3368</v>
      </c>
      <c r="I475" s="1157"/>
      <c r="J475" s="1157"/>
      <c r="K475" s="1158"/>
      <c r="L475" s="1156" t="s">
        <v>3372</v>
      </c>
      <c r="M475" s="1157"/>
      <c r="N475" s="1157"/>
      <c r="O475" s="1158"/>
      <c r="P475" s="2459" t="s">
        <v>3373</v>
      </c>
    </row>
    <row r="476" spans="1:16" s="1081" customFormat="1" hidden="1" outlineLevel="1">
      <c r="A476" s="1154" t="str">
        <f>A475</f>
        <v/>
      </c>
      <c r="B476" s="1073"/>
      <c r="C476" s="2459"/>
      <c r="D476" s="2468"/>
      <c r="E476" s="2458"/>
      <c r="F476" s="2459"/>
      <c r="G476" s="1160" t="s">
        <v>3366</v>
      </c>
      <c r="H476" s="1161" t="s">
        <v>393</v>
      </c>
      <c r="I476" s="1161" t="s">
        <v>3369</v>
      </c>
      <c r="J476" s="1161" t="s">
        <v>3370</v>
      </c>
      <c r="K476" s="1161" t="s">
        <v>3371</v>
      </c>
      <c r="L476" s="1161" t="s">
        <v>393</v>
      </c>
      <c r="M476" s="1161" t="s">
        <v>3369</v>
      </c>
      <c r="N476" s="1161" t="s">
        <v>3370</v>
      </c>
      <c r="O476" s="1161" t="s">
        <v>3371</v>
      </c>
      <c r="P476" s="2459"/>
    </row>
    <row r="477" spans="1:16" s="1081" customFormat="1" hidden="1" outlineLevel="1">
      <c r="A477" s="1154" t="str">
        <f>A476</f>
        <v/>
      </c>
      <c r="B477" s="1073"/>
      <c r="C477" s="1162"/>
      <c r="D477" s="1163"/>
      <c r="E477" s="1164" t="s">
        <v>3375</v>
      </c>
      <c r="F477" s="1165"/>
      <c r="G477" s="1165"/>
      <c r="H477" s="1165"/>
      <c r="I477" s="1165"/>
      <c r="J477" s="1165"/>
      <c r="K477" s="1165"/>
      <c r="L477" s="1165"/>
      <c r="M477" s="1165"/>
      <c r="N477" s="1165"/>
      <c r="O477" s="1163"/>
      <c r="P477" s="1166"/>
    </row>
    <row r="478" spans="1:16" s="1081" customFormat="1" hidden="1" outlineLevel="1">
      <c r="A478" s="1072">
        <f t="shared" ref="A478:A486" si="91">IF(G478=0,0,1)</f>
        <v>0</v>
      </c>
      <c r="B478" s="1167" t="s">
        <v>343</v>
      </c>
      <c r="C478" s="1168">
        <f>IF(G478&gt;0,1,0)</f>
        <v>0</v>
      </c>
      <c r="D478" s="1075" t="str">
        <f>VLOOKUP($B478,dongia1,DG!$B$5,)</f>
        <v>T1.1434</v>
      </c>
      <c r="E478" s="1076" t="str">
        <f>VLOOKUP($B478,dongia1,DG!$C$5,)</f>
        <v>Máy biến áp 12,7/0,22-0,44kV  100kVA</v>
      </c>
      <c r="F478" s="1075" t="str">
        <f>VLOOKUP($B478,dongia1,DG!$D$5,)</f>
        <v>máy</v>
      </c>
      <c r="G478" s="1240">
        <f>H11</f>
        <v>0</v>
      </c>
      <c r="H478" s="1062">
        <f>VLOOKUP($B478,dongia1,DG!$E$5,)</f>
        <v>68939000</v>
      </c>
      <c r="I478" s="1062"/>
      <c r="J478" s="1062">
        <f>VLOOKUP($B478,dongia1,DG!$G$5,)</f>
        <v>891368</v>
      </c>
      <c r="K478" s="1062">
        <f>VLOOKUP($B478,dongia1,DG!$H$5,)</f>
        <v>284508</v>
      </c>
      <c r="L478" s="1174">
        <f t="shared" ref="L478:L486" si="92">H478*G478</f>
        <v>0</v>
      </c>
      <c r="M478" s="1174">
        <f t="shared" ref="M478:M483" si="93">I478*G478</f>
        <v>0</v>
      </c>
      <c r="N478" s="1174">
        <f t="shared" ref="N478:N483" si="94">J478*G478</f>
        <v>0</v>
      </c>
      <c r="O478" s="1083">
        <f t="shared" ref="O478:O483" si="95">K478*G478</f>
        <v>0</v>
      </c>
      <c r="P478" s="1080"/>
    </row>
    <row r="479" spans="1:16" s="1081" customFormat="1" hidden="1" outlineLevel="1">
      <c r="A479" s="1072">
        <f t="shared" si="91"/>
        <v>0</v>
      </c>
      <c r="B479" s="1167" t="str">
        <f>"FCO100-"&amp;$F$8</f>
        <v>FCO100-22</v>
      </c>
      <c r="C479" s="1168">
        <f t="shared" ref="C479:C486" si="96">IF(G479&gt;0,C478+1,C478)</f>
        <v>0</v>
      </c>
      <c r="D479" s="1075" t="str">
        <f>VLOOKUP($B479,dongia1,DG!$B$5,)</f>
        <v>T2.3501</v>
      </c>
      <c r="E479" s="1076" t="str">
        <f>VLOOKUP($B479,dongia1,DG!$C$5,)</f>
        <v>FCO 24kV - 100A</v>
      </c>
      <c r="F479" s="1075" t="str">
        <f>VLOOKUP($B479,dongia1,DG!$D$5,)</f>
        <v>cái</v>
      </c>
      <c r="G479" s="1087">
        <f>G478</f>
        <v>0</v>
      </c>
      <c r="H479" s="1062">
        <f>VLOOKUP($B479,dongia1,DG!$E$5,)</f>
        <v>2244280</v>
      </c>
      <c r="I479" s="1062"/>
      <c r="J479" s="1062">
        <f>VLOOKUP($B479,dongia1,DG!$G$5,)</f>
        <v>222639.99999999997</v>
      </c>
      <c r="K479" s="1062">
        <f>VLOOKUP($B479,dongia1,DG!$H$5,)</f>
        <v>0</v>
      </c>
      <c r="L479" s="1174">
        <f t="shared" si="92"/>
        <v>0</v>
      </c>
      <c r="M479" s="1174">
        <f t="shared" si="93"/>
        <v>0</v>
      </c>
      <c r="N479" s="1174">
        <f t="shared" si="94"/>
        <v>0</v>
      </c>
      <c r="O479" s="1083">
        <f t="shared" si="95"/>
        <v>0</v>
      </c>
      <c r="P479" s="1080"/>
    </row>
    <row r="480" spans="1:16" s="1081" customFormat="1" hidden="1" outlineLevel="1">
      <c r="A480" s="1072">
        <f t="shared" si="91"/>
        <v>0</v>
      </c>
      <c r="B480" s="1167" t="s">
        <v>1091</v>
      </c>
      <c r="C480" s="1168">
        <f t="shared" si="96"/>
        <v>0</v>
      </c>
      <c r="D480" s="1075">
        <f>VLOOKUP($B480,dongia1,DG!$B$5,)</f>
        <v>0</v>
      </c>
      <c r="E480" s="1076" t="str">
        <f>VLOOKUP($B480,dongia1,DG!$C$5,)</f>
        <v>Dây chảy 20K</v>
      </c>
      <c r="F480" s="1075" t="str">
        <f>VLOOKUP($B480,dongia1,DG!$D$5,)</f>
        <v>Sợi</v>
      </c>
      <c r="G480" s="1087">
        <f>G479</f>
        <v>0</v>
      </c>
      <c r="H480" s="1062">
        <f>VLOOKUP($B480,dongia1,DG!$F$5,)</f>
        <v>110000</v>
      </c>
      <c r="I480" s="1062"/>
      <c r="J480" s="1062">
        <f>VLOOKUP($B480,dongia1,DG!$G$5,)</f>
        <v>0</v>
      </c>
      <c r="K480" s="1062">
        <f>VLOOKUP($B480,dongia1,DG!$H$5,)</f>
        <v>0</v>
      </c>
      <c r="L480" s="1174">
        <f t="shared" si="92"/>
        <v>0</v>
      </c>
      <c r="M480" s="1174">
        <f t="shared" si="93"/>
        <v>0</v>
      </c>
      <c r="N480" s="1174">
        <f t="shared" si="94"/>
        <v>0</v>
      </c>
      <c r="O480" s="1083">
        <f t="shared" si="95"/>
        <v>0</v>
      </c>
      <c r="P480" s="1080"/>
    </row>
    <row r="481" spans="1:18" s="1081" customFormat="1" hidden="1" outlineLevel="1">
      <c r="A481" s="1072">
        <f t="shared" si="91"/>
        <v>0</v>
      </c>
      <c r="B481" s="1175" t="str">
        <f>"LA"&amp;$F$6</f>
        <v>LA18</v>
      </c>
      <c r="C481" s="1168">
        <f t="shared" si="96"/>
        <v>0</v>
      </c>
      <c r="D481" s="1075" t="str">
        <f>VLOOKUP($B481,dongia1,DG!$B$5,)</f>
        <v>T2.5004</v>
      </c>
      <c r="E481" s="1076" t="str">
        <f>VLOOKUP($B481,dongia1,DG!$C$5,)</f>
        <v>LA 18kV 10kA</v>
      </c>
      <c r="F481" s="1075" t="str">
        <f>VLOOKUP($B481,dongia1,DG!$D$5,)</f>
        <v>cái</v>
      </c>
      <c r="G481" s="1087">
        <f>G480</f>
        <v>0</v>
      </c>
      <c r="H481" s="1062">
        <f>VLOOKUP($B481,dongia1,DG!$E$5,)</f>
        <v>1106000</v>
      </c>
      <c r="I481" s="1062"/>
      <c r="J481" s="1062">
        <f>VLOOKUP($B481,dongia1,DG!$G$5,)</f>
        <v>83490</v>
      </c>
      <c r="K481" s="1062">
        <f>VLOOKUP($B481,dongia1,DG!$H$5,)</f>
        <v>0</v>
      </c>
      <c r="L481" s="1174">
        <f t="shared" si="92"/>
        <v>0</v>
      </c>
      <c r="M481" s="1174">
        <f t="shared" si="93"/>
        <v>0</v>
      </c>
      <c r="N481" s="1174">
        <f t="shared" si="94"/>
        <v>0</v>
      </c>
      <c r="O481" s="1083">
        <f t="shared" si="95"/>
        <v>0</v>
      </c>
      <c r="P481" s="1080"/>
    </row>
    <row r="482" spans="1:18" s="1081" customFormat="1" hidden="1" outlineLevel="1">
      <c r="A482" s="1072">
        <f t="shared" si="91"/>
        <v>0</v>
      </c>
      <c r="B482" s="1176" t="s">
        <v>1296</v>
      </c>
      <c r="C482" s="1168">
        <f t="shared" si="96"/>
        <v>0</v>
      </c>
      <c r="D482" s="1075">
        <f>VLOOKUP($B482,dongia1,DG!$B$5,)</f>
        <v>0</v>
      </c>
      <c r="E482" s="1076" t="str">
        <f>VLOOKUP($B482,dongia1,DG!$C$5,)</f>
        <v>Biến dòng 600V - 250/5A</v>
      </c>
      <c r="F482" s="1075" t="str">
        <f>VLOOKUP($B482,dongia1,DG!$D$5,)</f>
        <v>cái</v>
      </c>
      <c r="G482" s="1087">
        <f>G478*2</f>
        <v>0</v>
      </c>
      <c r="H482" s="1062">
        <f>VLOOKUP($B482,dongia1,DG!$E$5,)</f>
        <v>0</v>
      </c>
      <c r="I482" s="1062"/>
      <c r="J482" s="1062">
        <f>VLOOKUP($B482,dongia1,DG!$G$5,)</f>
        <v>0</v>
      </c>
      <c r="K482" s="1062">
        <f>VLOOKUP($B482,dongia1,DG!$H$5,)</f>
        <v>0</v>
      </c>
      <c r="L482" s="1174">
        <f t="shared" si="92"/>
        <v>0</v>
      </c>
      <c r="M482" s="1174">
        <f t="shared" si="93"/>
        <v>0</v>
      </c>
      <c r="N482" s="1174">
        <f t="shared" si="94"/>
        <v>0</v>
      </c>
      <c r="O482" s="1083">
        <f t="shared" si="95"/>
        <v>0</v>
      </c>
      <c r="P482" s="1080"/>
    </row>
    <row r="483" spans="1:18" s="1081" customFormat="1" hidden="1" outlineLevel="1">
      <c r="A483" s="1072">
        <f t="shared" si="91"/>
        <v>0</v>
      </c>
      <c r="B483" s="1205" t="s">
        <v>660</v>
      </c>
      <c r="C483" s="1168">
        <f t="shared" si="96"/>
        <v>0</v>
      </c>
      <c r="D483" s="1075">
        <f>VLOOKUP($B483,dongia1,DG!$B$5,)</f>
        <v>0</v>
      </c>
      <c r="E483" s="1076" t="str">
        <f>VLOOKUP($B483,dongia1,DG!$C$5,)</f>
        <v xml:space="preserve">MCCB 3 cực 400V -250A - 35KA </v>
      </c>
      <c r="F483" s="1075" t="str">
        <f>VLOOKUP($B483,dongia1,DG!$D$5,)</f>
        <v>cái</v>
      </c>
      <c r="G483" s="1087">
        <f>G478</f>
        <v>0</v>
      </c>
      <c r="H483" s="1062">
        <f>VLOOKUP($B483,dongia1,DG!$E$5,)</f>
        <v>4990000</v>
      </c>
      <c r="I483" s="1062"/>
      <c r="J483" s="1062">
        <f>VLOOKUP($B483,dongia1,DG!$G$5,)</f>
        <v>0</v>
      </c>
      <c r="K483" s="1062">
        <f>VLOOKUP($B483,dongia1,DG!$H$5,)</f>
        <v>0</v>
      </c>
      <c r="L483" s="1174">
        <f t="shared" si="92"/>
        <v>0</v>
      </c>
      <c r="M483" s="1174">
        <f t="shared" si="93"/>
        <v>0</v>
      </c>
      <c r="N483" s="1174">
        <f t="shared" si="94"/>
        <v>0</v>
      </c>
      <c r="O483" s="1083">
        <f t="shared" si="95"/>
        <v>0</v>
      </c>
      <c r="P483" s="1074" t="s">
        <v>3471</v>
      </c>
    </row>
    <row r="484" spans="1:18" s="1081" customFormat="1" hidden="1" outlineLevel="1">
      <c r="A484" s="1072">
        <f t="shared" si="91"/>
        <v>0</v>
      </c>
      <c r="B484" s="1067" t="s">
        <v>306</v>
      </c>
      <c r="C484" s="1168">
        <f t="shared" si="96"/>
        <v>0</v>
      </c>
      <c r="D484" s="1075">
        <f>VLOOKUP($B484,dongia1,DG!$B$5,)</f>
        <v>0</v>
      </c>
      <c r="E484" s="1076" t="str">
        <f>VLOOKUP($B484,dongia1,DG!$C$5,)</f>
        <v>Điện kế 1 pha 2 dây 220V-5A</v>
      </c>
      <c r="F484" s="1075" t="str">
        <f>VLOOKUP($B484,dongia1,DG!$D$5,)</f>
        <v>cái</v>
      </c>
      <c r="G484" s="1087">
        <f>G478*2</f>
        <v>0</v>
      </c>
      <c r="H484" s="1062">
        <f>VLOOKUP($B484,dongia1,DG!$E$5,)</f>
        <v>0</v>
      </c>
      <c r="I484" s="1062"/>
      <c r="J484" s="1062">
        <f>VLOOKUP($B484,dongia1,DG!$G$5,)</f>
        <v>0</v>
      </c>
      <c r="K484" s="1062">
        <f>VLOOKUP($B484,dongia1,DG!$H$5,)</f>
        <v>0</v>
      </c>
      <c r="L484" s="1174">
        <f t="shared" si="92"/>
        <v>0</v>
      </c>
      <c r="M484" s="1174">
        <f>I484*G484</f>
        <v>0</v>
      </c>
      <c r="N484" s="1174">
        <f>J484*G484</f>
        <v>0</v>
      </c>
      <c r="O484" s="1083">
        <f>K484*G484</f>
        <v>0</v>
      </c>
      <c r="P484" s="1074" t="s">
        <v>3471</v>
      </c>
    </row>
    <row r="485" spans="1:18" s="1081" customFormat="1" hidden="1" outlineLevel="1">
      <c r="A485" s="1072">
        <f t="shared" si="91"/>
        <v>0</v>
      </c>
      <c r="B485" s="1073" t="s">
        <v>1520</v>
      </c>
      <c r="C485" s="1168">
        <f t="shared" si="96"/>
        <v>0</v>
      </c>
      <c r="D485" s="1075">
        <f>VLOOKUP($B485,dongia1,DG!$B$5,)</f>
        <v>0</v>
      </c>
      <c r="E485" s="1076" t="str">
        <f>VLOOKUP($B485,dongia1,DG!$C$5,)</f>
        <v xml:space="preserve">Ampe kế 100/5A-600v +AS </v>
      </c>
      <c r="F485" s="1075" t="str">
        <f>VLOOKUP($B485,dongia1,DG!$D$5,)</f>
        <v>Bộ</v>
      </c>
      <c r="G485" s="1074">
        <f>G484*0</f>
        <v>0</v>
      </c>
      <c r="H485" s="1062"/>
      <c r="I485" s="1062"/>
      <c r="J485" s="1062">
        <f>VLOOKUP($B485,dongia1,DG!$G$5,)</f>
        <v>0</v>
      </c>
      <c r="K485" s="1062">
        <f>VLOOKUP($B485,dongia1,DG!$H$5,)</f>
        <v>0</v>
      </c>
      <c r="L485" s="1174">
        <f t="shared" si="92"/>
        <v>0</v>
      </c>
      <c r="M485" s="1174">
        <f>I485*G485</f>
        <v>0</v>
      </c>
      <c r="N485" s="1174">
        <f>J485*G485</f>
        <v>0</v>
      </c>
      <c r="O485" s="1083">
        <f>K485*G485</f>
        <v>0</v>
      </c>
      <c r="P485" s="1080"/>
    </row>
    <row r="486" spans="1:18" s="1081" customFormat="1" hidden="1" outlineLevel="1">
      <c r="A486" s="1072">
        <f t="shared" si="91"/>
        <v>0</v>
      </c>
      <c r="B486" s="1073" t="s">
        <v>1521</v>
      </c>
      <c r="C486" s="1168">
        <f t="shared" si="96"/>
        <v>0</v>
      </c>
      <c r="D486" s="1075">
        <f>VLOOKUP($B486,dongia1,DG!$B$5,)</f>
        <v>0</v>
      </c>
      <c r="E486" s="1076" t="str">
        <f>VLOOKUP($B486,dongia1,DG!$C$5,)</f>
        <v>Volt kế 500V + VS + 2xChì ống 1A-230V</v>
      </c>
      <c r="F486" s="1075" t="str">
        <f>VLOOKUP($B486,dongia1,DG!$D$5,)</f>
        <v>Bộ</v>
      </c>
      <c r="G486" s="1074">
        <f>G485*0</f>
        <v>0</v>
      </c>
      <c r="H486" s="1062"/>
      <c r="I486" s="1062"/>
      <c r="J486" s="1062">
        <f>VLOOKUP($B486,dongia1,DG!$G$5,)</f>
        <v>0</v>
      </c>
      <c r="K486" s="1062">
        <f>VLOOKUP($B486,dongia1,DG!$H$5,)</f>
        <v>0</v>
      </c>
      <c r="L486" s="1174">
        <f t="shared" si="92"/>
        <v>0</v>
      </c>
      <c r="M486" s="1174">
        <f>I486*G486</f>
        <v>0</v>
      </c>
      <c r="N486" s="1174">
        <f>J486*G486</f>
        <v>0</v>
      </c>
      <c r="O486" s="1083">
        <f>K486*G486</f>
        <v>0</v>
      </c>
      <c r="P486" s="1229"/>
    </row>
    <row r="487" spans="1:18" s="1081" customFormat="1" hidden="1" outlineLevel="1">
      <c r="A487" s="1072" t="str">
        <f>A473</f>
        <v/>
      </c>
      <c r="B487" s="1073"/>
      <c r="C487" s="1179"/>
      <c r="D487" s="1180"/>
      <c r="E487" s="1183"/>
      <c r="F487" s="1182"/>
      <c r="G487" s="1241"/>
      <c r="H487" s="1182"/>
      <c r="I487" s="1182"/>
      <c r="J487" s="1183" t="s">
        <v>3387</v>
      </c>
      <c r="K487" s="1182"/>
      <c r="L487" s="1166">
        <f>SUM(L478:L486)</f>
        <v>0</v>
      </c>
      <c r="M487" s="1166"/>
      <c r="N487" s="1166">
        <f>SUM(N478:N486)</f>
        <v>0</v>
      </c>
      <c r="O487" s="1166">
        <f>SUM(O478:O486)</f>
        <v>0</v>
      </c>
      <c r="P487" s="1220"/>
    </row>
    <row r="488" spans="1:18" s="1081" customFormat="1" hidden="1" outlineLevel="1">
      <c r="A488" s="1072" t="str">
        <f>A487</f>
        <v/>
      </c>
      <c r="B488" s="1073"/>
      <c r="C488" s="1184"/>
      <c r="D488" s="1185"/>
      <c r="E488" s="1186" t="s">
        <v>3376</v>
      </c>
      <c r="F488" s="1186"/>
      <c r="G488" s="1186"/>
      <c r="H488" s="1186"/>
      <c r="I488" s="1186"/>
      <c r="J488" s="1186"/>
      <c r="K488" s="1186"/>
      <c r="L488" s="1186"/>
      <c r="M488" s="1186"/>
      <c r="N488" s="1186"/>
      <c r="O488" s="1185"/>
      <c r="P488" s="1220"/>
    </row>
    <row r="489" spans="1:18" s="1081" customFormat="1" hidden="1" outlineLevel="1">
      <c r="A489" s="1072">
        <f>IF(G489=0,0,1)</f>
        <v>0</v>
      </c>
      <c r="B489" s="1073" t="s">
        <v>1262</v>
      </c>
      <c r="C489" s="1187">
        <f>IF(G501&gt;0,1,0)</f>
        <v>0</v>
      </c>
      <c r="D489" s="1192"/>
      <c r="E489" s="1076" t="str">
        <f>VLOOKUP($B489,dongia1,DG!$C$5,)</f>
        <v>Boulon 16x300+ 2 long đền vuông D18-50x50x3/Zn</v>
      </c>
      <c r="F489" s="1075" t="str">
        <f>VLOOKUP($B489,dongia1,DG!$D$5,)</f>
        <v>bộ</v>
      </c>
      <c r="G489" s="1242">
        <f>2*SUM(G478:G478)</f>
        <v>0</v>
      </c>
      <c r="H489" s="1062">
        <f>VLOOKUP($B489,dongia1,DG!$F$5,)</f>
        <v>25400</v>
      </c>
      <c r="I489" s="1083"/>
      <c r="J489" s="1062">
        <f>VLOOKUP($B489,dongia1,DG!$G$5,)</f>
        <v>0</v>
      </c>
      <c r="K489" s="1062">
        <f>VLOOKUP($B489,dongia1,DG!$H$5,)</f>
        <v>0</v>
      </c>
      <c r="L489" s="1174">
        <f t="shared" ref="L489:L549" si="97">H489*G489</f>
        <v>0</v>
      </c>
      <c r="M489" s="1174">
        <f t="shared" ref="M489:M549" si="98">I489*G489</f>
        <v>0</v>
      </c>
      <c r="N489" s="1174">
        <f t="shared" ref="N489:N523" si="99">J489*G489</f>
        <v>0</v>
      </c>
      <c r="O489" s="1083">
        <f t="shared" ref="O489:O549" si="100">K489*G489</f>
        <v>0</v>
      </c>
      <c r="P489" s="1219"/>
    </row>
    <row r="490" spans="1:18" s="1081" customFormat="1" hidden="1" outlineLevel="1">
      <c r="A490" s="1154">
        <f>IF(G490&lt;&gt;0,1,)</f>
        <v>0</v>
      </c>
      <c r="B490" s="1073"/>
      <c r="C490" s="1191">
        <f>IF(G490&gt;0,C489+1,C489)</f>
        <v>0</v>
      </c>
      <c r="D490" s="1192"/>
      <c r="E490" s="1193" t="s">
        <v>3422</v>
      </c>
      <c r="F490" s="1064" t="s">
        <v>2113</v>
      </c>
      <c r="G490" s="1064">
        <f>G478*0</f>
        <v>0</v>
      </c>
      <c r="H490" s="1083"/>
      <c r="I490" s="1083"/>
      <c r="J490" s="1083"/>
      <c r="K490" s="1083"/>
      <c r="L490" s="1174">
        <f t="shared" si="97"/>
        <v>0</v>
      </c>
      <c r="M490" s="1174">
        <f t="shared" si="98"/>
        <v>0</v>
      </c>
      <c r="N490" s="1174">
        <f t="shared" si="99"/>
        <v>0</v>
      </c>
      <c r="O490" s="1083">
        <f t="shared" si="100"/>
        <v>0</v>
      </c>
      <c r="P490" s="1074"/>
    </row>
    <row r="491" spans="1:18" s="1081" customFormat="1" ht="14.4" hidden="1" outlineLevel="1">
      <c r="A491" s="1154">
        <f>A490</f>
        <v>0</v>
      </c>
      <c r="B491" s="1073"/>
      <c r="C491" s="1064"/>
      <c r="D491" s="1192"/>
      <c r="E491" s="1194" t="s">
        <v>3399</v>
      </c>
      <c r="F491" s="1074"/>
      <c r="G491" s="1074"/>
      <c r="H491" s="1083"/>
      <c r="I491" s="1083"/>
      <c r="J491" s="1083"/>
      <c r="K491" s="1083"/>
      <c r="L491" s="1174">
        <f t="shared" si="97"/>
        <v>0</v>
      </c>
      <c r="M491" s="1174">
        <f t="shared" si="98"/>
        <v>0</v>
      </c>
      <c r="N491" s="1174">
        <f t="shared" si="99"/>
        <v>0</v>
      </c>
      <c r="O491" s="1083">
        <f t="shared" si="100"/>
        <v>0</v>
      </c>
      <c r="P491" s="1074"/>
      <c r="R491" s="1195"/>
    </row>
    <row r="492" spans="1:18" s="1081" customFormat="1" hidden="1" outlineLevel="1">
      <c r="A492" s="1154">
        <f>IF(G492&lt;&gt;0,1,)</f>
        <v>0</v>
      </c>
      <c r="B492" s="1067" t="s">
        <v>1012</v>
      </c>
      <c r="C492" s="1074"/>
      <c r="D492" s="1075">
        <f>VLOOKUP($B492,dongia1,DG!$B$5,)</f>
        <v>0</v>
      </c>
      <c r="E492" s="1076" t="str">
        <f>VLOOKUP($B492,dongia1,DG!$C$5,)</f>
        <v>Trụ BTLT 12m F350 dự ứng lực</v>
      </c>
      <c r="F492" s="1075" t="str">
        <f>VLOOKUP($B492,dongia1,DG!$D$5,)</f>
        <v>trụ</v>
      </c>
      <c r="G492" s="1074">
        <f>1*G490</f>
        <v>0</v>
      </c>
      <c r="H492" s="1062">
        <f>VLOOKUP($B492,dongia1,DG!$F$5,)</f>
        <v>4400000</v>
      </c>
      <c r="I492" s="1062"/>
      <c r="J492" s="1062">
        <f>VLOOKUP($B492,dongia1,DG!$G$5,)</f>
        <v>0</v>
      </c>
      <c r="K492" s="1062">
        <f>VLOOKUP($B492,dongia1,DG!$H$5,)</f>
        <v>0</v>
      </c>
      <c r="L492" s="1174">
        <f t="shared" si="97"/>
        <v>0</v>
      </c>
      <c r="M492" s="1174">
        <f t="shared" si="98"/>
        <v>0</v>
      </c>
      <c r="N492" s="1174">
        <f t="shared" si="99"/>
        <v>0</v>
      </c>
      <c r="O492" s="1083">
        <f t="shared" si="100"/>
        <v>0</v>
      </c>
      <c r="P492" s="1074"/>
      <c r="R492" s="1195"/>
    </row>
    <row r="493" spans="1:18" s="1081" customFormat="1" hidden="1" outlineLevel="1">
      <c r="A493" s="1154">
        <f>IF(G493&lt;&gt;0,1,)</f>
        <v>0</v>
      </c>
      <c r="B493" s="1067" t="s">
        <v>1457</v>
      </c>
      <c r="C493" s="1074"/>
      <c r="D493" s="1196"/>
      <c r="E493" s="1076" t="str">
        <f>VLOOKUP($B493,dongia1,DG!$C$5,)</f>
        <v>Vật liệu dựng trụ</v>
      </c>
      <c r="F493" s="1075" t="str">
        <f>VLOOKUP($B493,dongia1,DG!$D$5,)</f>
        <v>trụ</v>
      </c>
      <c r="G493" s="1074">
        <f>G492</f>
        <v>0</v>
      </c>
      <c r="H493" s="1062">
        <f>VLOOKUP($B493,dongia1,DG!$F$5,)</f>
        <v>17400</v>
      </c>
      <c r="I493" s="1062"/>
      <c r="J493" s="1062">
        <f>VLOOKUP($B493,dongia1,DG!$G$5,)</f>
        <v>0</v>
      </c>
      <c r="K493" s="1062">
        <f>VLOOKUP($B493,dongia1,DG!$H$5,)</f>
        <v>0</v>
      </c>
      <c r="L493" s="1174">
        <f t="shared" si="97"/>
        <v>0</v>
      </c>
      <c r="M493" s="1174">
        <f t="shared" si="98"/>
        <v>0</v>
      </c>
      <c r="N493" s="1174">
        <f t="shared" si="99"/>
        <v>0</v>
      </c>
      <c r="O493" s="1083">
        <f t="shared" si="100"/>
        <v>0</v>
      </c>
      <c r="P493" s="1074"/>
      <c r="R493" s="1195"/>
    </row>
    <row r="494" spans="1:18" s="1081" customFormat="1" hidden="1" outlineLevel="1">
      <c r="A494" s="1154">
        <f>IF(G494&lt;&gt;0,1,)</f>
        <v>0</v>
      </c>
      <c r="B494" s="1067" t="s">
        <v>1993</v>
      </c>
      <c r="C494" s="1074"/>
      <c r="D494" s="1196"/>
      <c r="E494" s="1076" t="str">
        <f>VLOOKUP($B494,dongia1,DG!$C$5,)</f>
        <v>Dựng trụ BTLT 12m trong TBA bằng thủ công + cơ giới</v>
      </c>
      <c r="F494" s="1075" t="str">
        <f>VLOOKUP($B494,dongia1,DG!$D$5,)</f>
        <v>trụ</v>
      </c>
      <c r="G494" s="1074">
        <f>G492</f>
        <v>0</v>
      </c>
      <c r="H494" s="1062">
        <f>VLOOKUP($B494,dongia1,DG!$F$5,)</f>
        <v>0</v>
      </c>
      <c r="I494" s="1062"/>
      <c r="J494" s="1062">
        <f>VLOOKUP($B494,dongia1,DG!$G$5,)</f>
        <v>112286</v>
      </c>
      <c r="K494" s="1062">
        <f>VLOOKUP($B494,dongia1,DG!$H$5,)</f>
        <v>105970</v>
      </c>
      <c r="L494" s="1174">
        <f t="shared" si="97"/>
        <v>0</v>
      </c>
      <c r="M494" s="1174">
        <f t="shared" si="98"/>
        <v>0</v>
      </c>
      <c r="N494" s="1174">
        <f t="shared" si="99"/>
        <v>0</v>
      </c>
      <c r="O494" s="1083">
        <f t="shared" si="100"/>
        <v>0</v>
      </c>
      <c r="P494" s="1074"/>
      <c r="R494" s="1195"/>
    </row>
    <row r="495" spans="1:18" s="1081" customFormat="1" hidden="1" outlineLevel="1">
      <c r="A495" s="1154">
        <f>IF(G495&lt;&gt;0,1,)</f>
        <v>0</v>
      </c>
      <c r="B495" s="1073"/>
      <c r="C495" s="1191">
        <f>IF(G495&gt;0,C490+1,C490)</f>
        <v>0</v>
      </c>
      <c r="D495" s="1192"/>
      <c r="E495" s="1193" t="s">
        <v>3390</v>
      </c>
      <c r="F495" s="1064" t="s">
        <v>2113</v>
      </c>
      <c r="G495" s="1064">
        <f>G490</f>
        <v>0</v>
      </c>
      <c r="H495" s="1083"/>
      <c r="I495" s="1083"/>
      <c r="J495" s="1083"/>
      <c r="K495" s="1083"/>
      <c r="L495" s="1174">
        <f t="shared" si="97"/>
        <v>0</v>
      </c>
      <c r="M495" s="1174">
        <f t="shared" si="98"/>
        <v>0</v>
      </c>
      <c r="N495" s="1174">
        <f t="shared" si="99"/>
        <v>0</v>
      </c>
      <c r="O495" s="1083">
        <f t="shared" si="100"/>
        <v>0</v>
      </c>
      <c r="P495" s="1074"/>
    </row>
    <row r="496" spans="1:18" s="1081" customFormat="1" ht="14.4" hidden="1" outlineLevel="1">
      <c r="A496" s="1154">
        <f>A495</f>
        <v>0</v>
      </c>
      <c r="B496" s="1073"/>
      <c r="C496" s="1064"/>
      <c r="D496" s="1192"/>
      <c r="E496" s="1194" t="s">
        <v>3399</v>
      </c>
      <c r="F496" s="1074"/>
      <c r="G496" s="1074"/>
      <c r="H496" s="1083"/>
      <c r="I496" s="1083"/>
      <c r="J496" s="1083"/>
      <c r="K496" s="1083"/>
      <c r="L496" s="1174">
        <f t="shared" si="97"/>
        <v>0</v>
      </c>
      <c r="M496" s="1174">
        <f t="shared" si="98"/>
        <v>0</v>
      </c>
      <c r="N496" s="1174">
        <f t="shared" si="99"/>
        <v>0</v>
      </c>
      <c r="O496" s="1083">
        <f t="shared" si="100"/>
        <v>0</v>
      </c>
      <c r="P496" s="1074"/>
      <c r="R496" s="1195"/>
    </row>
    <row r="497" spans="1:18" s="1081" customFormat="1" hidden="1" outlineLevel="1">
      <c r="A497" s="1154">
        <f>IF(G497&lt;&gt;0,1,)</f>
        <v>0</v>
      </c>
      <c r="B497" s="1067" t="s">
        <v>580</v>
      </c>
      <c r="C497" s="1074"/>
      <c r="D497" s="1075" t="str">
        <f>VLOOKUP($B497,dongia1,DG!$B$5,)</f>
        <v>AG.42111</v>
      </c>
      <c r="E497" s="1076" t="str">
        <f>VLOOKUP($B497,dongia1,DG!$C$5,)</f>
        <v>Đà cản BTCT 1,2m</v>
      </c>
      <c r="F497" s="1075" t="str">
        <f>VLOOKUP($B497,dongia1,DG!$D$5,)</f>
        <v>cái</v>
      </c>
      <c r="G497" s="1074">
        <f>1*G495</f>
        <v>0</v>
      </c>
      <c r="H497" s="1062">
        <f>VLOOKUP($B497,dongia1,DG!$F$5,)</f>
        <v>354545</v>
      </c>
      <c r="I497" s="1062"/>
      <c r="J497" s="1062">
        <f>VLOOKUP($B497,dongia1,DG!$G$5,)</f>
        <v>37220.25</v>
      </c>
      <c r="K497" s="1062">
        <f>VLOOKUP($B497,dongia1,DG!$H$5,)</f>
        <v>0</v>
      </c>
      <c r="L497" s="1174">
        <f t="shared" si="97"/>
        <v>0</v>
      </c>
      <c r="M497" s="1174">
        <f t="shared" si="98"/>
        <v>0</v>
      </c>
      <c r="N497" s="1174">
        <f t="shared" si="99"/>
        <v>0</v>
      </c>
      <c r="O497" s="1083">
        <f t="shared" si="100"/>
        <v>0</v>
      </c>
      <c r="P497" s="1074"/>
      <c r="R497" s="1195"/>
    </row>
    <row r="498" spans="1:18" s="1081" customFormat="1" hidden="1" outlineLevel="1">
      <c r="A498" s="1154">
        <f>IF(G498&lt;&gt;0,1,)</f>
        <v>0</v>
      </c>
      <c r="B498" s="1067" t="s">
        <v>952</v>
      </c>
      <c r="C498" s="1074"/>
      <c r="D498" s="1075">
        <f>VLOOKUP($B498,dongia1,DG!$B$5,)</f>
        <v>0</v>
      </c>
      <c r="E498" s="1076" t="str">
        <f>VLOOKUP($B498,dongia1,DG!$C$5,)</f>
        <v>Boulon 22x650+ 2 long đền vuông D24-60x60x3/Zn</v>
      </c>
      <c r="F498" s="1075" t="str">
        <f>VLOOKUP($B498,dongia1,DG!$D$5,)</f>
        <v>bộ</v>
      </c>
      <c r="G498" s="1074">
        <f>G495</f>
        <v>0</v>
      </c>
      <c r="H498" s="1062">
        <f>VLOOKUP($B498,dongia1,DG!$F$5,)</f>
        <v>92200</v>
      </c>
      <c r="I498" s="1062"/>
      <c r="J498" s="1062">
        <f>VLOOKUP($B498,dongia1,DG!$G$5,)</f>
        <v>0</v>
      </c>
      <c r="K498" s="1062">
        <f>VLOOKUP($B498,dongia1,DG!$H$5,)</f>
        <v>0</v>
      </c>
      <c r="L498" s="1174">
        <f t="shared" si="97"/>
        <v>0</v>
      </c>
      <c r="M498" s="1174">
        <f t="shared" si="98"/>
        <v>0</v>
      </c>
      <c r="N498" s="1174">
        <f t="shared" si="99"/>
        <v>0</v>
      </c>
      <c r="O498" s="1083">
        <f t="shared" si="100"/>
        <v>0</v>
      </c>
      <c r="P498" s="1074"/>
      <c r="R498" s="1195"/>
    </row>
    <row r="499" spans="1:18" s="1081" customFormat="1" hidden="1" outlineLevel="1">
      <c r="A499" s="1154">
        <f>IF(G499&lt;&gt;0,1,)</f>
        <v>0</v>
      </c>
      <c r="B499" s="1067" t="str">
        <f>IF(capdat=1,"MDD1",IF(capdat=2,"MDD2",IF(capdat=3,"MDD3",IF(capdat=4,"MDD4"))))</f>
        <v>MDD3</v>
      </c>
      <c r="C499" s="1074"/>
      <c r="D499" s="1075" t="str">
        <f>VLOOKUP($B499,dongia1,DG!$B$5,)</f>
        <v>03.1013</v>
      </c>
      <c r="E499" s="1076" t="str">
        <f>VLOOKUP($B499,dongia1,DG!$C$5,)</f>
        <v>Đào hố móng đất cấp 3 sâu &gt;1m DT&lt;5m2</v>
      </c>
      <c r="F499" s="1075" t="str">
        <f>VLOOKUP($B499,dongia1,DG!$D$5,)</f>
        <v>m3</v>
      </c>
      <c r="G499" s="1197">
        <f>G495*1.45</f>
        <v>0</v>
      </c>
      <c r="H499" s="1062">
        <f>VLOOKUP($B499,dongia1,DG!$F$5,)</f>
        <v>0</v>
      </c>
      <c r="I499" s="1062"/>
      <c r="J499" s="1062">
        <f>VLOOKUP($B499,dongia1,DG!$G$5,)</f>
        <v>296500.89999999997</v>
      </c>
      <c r="K499" s="1062">
        <f>VLOOKUP($B499,dongia1,DG!$H$5,)</f>
        <v>0</v>
      </c>
      <c r="L499" s="1174">
        <f t="shared" si="97"/>
        <v>0</v>
      </c>
      <c r="M499" s="1174">
        <f t="shared" si="98"/>
        <v>0</v>
      </c>
      <c r="N499" s="1174">
        <f t="shared" si="99"/>
        <v>0</v>
      </c>
      <c r="O499" s="1083">
        <f t="shared" si="100"/>
        <v>0</v>
      </c>
      <c r="P499" s="1074"/>
      <c r="R499" s="1195"/>
    </row>
    <row r="500" spans="1:18" s="1081" customFormat="1" hidden="1" outlineLevel="1">
      <c r="A500" s="1154">
        <f>IF(G500&lt;&gt;0,1,)</f>
        <v>0</v>
      </c>
      <c r="B500" s="1067" t="str">
        <f>IF(capdat=1,"MDAP1",IF(capdat=2,"MDAP2",IF(capdat=3,"MDAP3",IF(capdat=4,"MDAP4"))))</f>
        <v>MDAP3</v>
      </c>
      <c r="C500" s="1074"/>
      <c r="D500" s="1075" t="str">
        <f>VLOOKUP($B500,dongia1,DG!$B$5,)</f>
        <v>AB.13111</v>
      </c>
      <c r="E500" s="1076" t="str">
        <f>VLOOKUP($B500,dongia1,DG!$C$5,)</f>
        <v>Đắp đất hố móng, đất cấp 3 (độ chặt k = 0.85)</v>
      </c>
      <c r="F500" s="1075" t="str">
        <f>VLOOKUP($B500,dongia1,DG!$D$5,)</f>
        <v>m3</v>
      </c>
      <c r="G500" s="1197">
        <f>G495*1.37</f>
        <v>0</v>
      </c>
      <c r="H500" s="1062">
        <f>VLOOKUP($B500,dongia1,DG!$F$5,)</f>
        <v>0</v>
      </c>
      <c r="I500" s="1062"/>
      <c r="J500" s="1062">
        <f>VLOOKUP($B500,dongia1,DG!$G$5,)</f>
        <v>117703.6</v>
      </c>
      <c r="K500" s="1062">
        <f>VLOOKUP($B500,dongia1,DG!$H$5,)</f>
        <v>0</v>
      </c>
      <c r="L500" s="1174">
        <f t="shared" si="97"/>
        <v>0</v>
      </c>
      <c r="M500" s="1174">
        <f t="shared" si="98"/>
        <v>0</v>
      </c>
      <c r="N500" s="1174">
        <f t="shared" si="99"/>
        <v>0</v>
      </c>
      <c r="O500" s="1083">
        <f t="shared" si="100"/>
        <v>0</v>
      </c>
      <c r="P500" s="1074"/>
      <c r="R500" s="1195"/>
    </row>
    <row r="501" spans="1:18" s="1081" customFormat="1" hidden="1" outlineLevel="1">
      <c r="A501" s="1072">
        <f>IF(G501=0,0,1)</f>
        <v>0</v>
      </c>
      <c r="B501" s="1073"/>
      <c r="C501" s="1191">
        <f>IF(G501&gt;0,C495+1,C495)</f>
        <v>0</v>
      </c>
      <c r="D501" s="1192"/>
      <c r="E501" s="1221" t="s">
        <v>3398</v>
      </c>
      <c r="F501" s="1064" t="s">
        <v>2113</v>
      </c>
      <c r="G501" s="1242">
        <f>SUM(G478:G478)</f>
        <v>0</v>
      </c>
      <c r="H501" s="1062"/>
      <c r="I501" s="1083"/>
      <c r="J501" s="1062"/>
      <c r="K501" s="1062"/>
      <c r="L501" s="1174">
        <f t="shared" si="97"/>
        <v>0</v>
      </c>
      <c r="M501" s="1174">
        <f t="shared" si="98"/>
        <v>0</v>
      </c>
      <c r="N501" s="1174">
        <f t="shared" si="99"/>
        <v>0</v>
      </c>
      <c r="O501" s="1083">
        <f t="shared" si="100"/>
        <v>0</v>
      </c>
      <c r="P501" s="1080"/>
    </row>
    <row r="502" spans="1:18" s="1081" customFormat="1" ht="14.4" hidden="1" outlineLevel="1">
      <c r="A502" s="1072">
        <f>A501</f>
        <v>0</v>
      </c>
      <c r="B502" s="1073"/>
      <c r="C502" s="1064"/>
      <c r="D502" s="1192"/>
      <c r="E502" s="1222" t="s">
        <v>3399</v>
      </c>
      <c r="F502" s="1074"/>
      <c r="G502" s="1087"/>
      <c r="H502" s="1062"/>
      <c r="I502" s="1083"/>
      <c r="J502" s="1062"/>
      <c r="K502" s="1062"/>
      <c r="L502" s="1174">
        <f t="shared" si="97"/>
        <v>0</v>
      </c>
      <c r="M502" s="1174">
        <f t="shared" si="98"/>
        <v>0</v>
      </c>
      <c r="N502" s="1174">
        <f t="shared" si="99"/>
        <v>0</v>
      </c>
      <c r="O502" s="1083">
        <f t="shared" si="100"/>
        <v>0</v>
      </c>
      <c r="P502" s="1080"/>
    </row>
    <row r="503" spans="1:18" s="1081" customFormat="1" hidden="1" outlineLevel="1">
      <c r="A503" s="1072">
        <f t="shared" ref="A503:A509" si="101">IF(G503=0,0,1)</f>
        <v>0</v>
      </c>
      <c r="B503" s="1067" t="s">
        <v>2116</v>
      </c>
      <c r="C503" s="1074"/>
      <c r="D503" s="1075">
        <f>VLOOKUP($B503,dongia1,DG!$B$5,)</f>
        <v>0</v>
      </c>
      <c r="E503" s="1076" t="str">
        <f>VLOOKUP($B503,dongia1,DG!$C$5,)</f>
        <v>Đà Composite 110x80x5x800</v>
      </c>
      <c r="F503" s="1198" t="str">
        <f>VLOOKUP($B503,dongia1,DG!$D$5,)</f>
        <v>cây</v>
      </c>
      <c r="G503" s="1087">
        <f>G501</f>
        <v>0</v>
      </c>
      <c r="H503" s="1062">
        <f>VLOOKUP($B503,dongia1,DG!$F$5,)</f>
        <v>320000</v>
      </c>
      <c r="I503" s="1083"/>
      <c r="J503" s="1062">
        <f>VLOOKUP($B503,dongia1,DG!$G$5,)</f>
        <v>0</v>
      </c>
      <c r="K503" s="1062">
        <f>VLOOKUP($B503,dongia1,DG!$H$5,)</f>
        <v>0</v>
      </c>
      <c r="L503" s="1174">
        <f t="shared" si="97"/>
        <v>0</v>
      </c>
      <c r="M503" s="1174">
        <f t="shared" si="98"/>
        <v>0</v>
      </c>
      <c r="N503" s="1174">
        <f t="shared" si="99"/>
        <v>0</v>
      </c>
      <c r="O503" s="1083">
        <f t="shared" si="100"/>
        <v>0</v>
      </c>
      <c r="P503" s="1080"/>
    </row>
    <row r="504" spans="1:18" s="1081" customFormat="1" hidden="1" outlineLevel="1">
      <c r="A504" s="1072">
        <f t="shared" si="101"/>
        <v>0</v>
      </c>
      <c r="B504" s="1067" t="s">
        <v>2109</v>
      </c>
      <c r="C504" s="1074"/>
      <c r="D504" s="1196"/>
      <c r="E504" s="1076" t="str">
        <f>VLOOKUP($B504,dongia1,DG!$C$5,)</f>
        <v>Chống Composite 40x10x710</v>
      </c>
      <c r="F504" s="1075" t="str">
        <f>VLOOKUP($B504,dongia1,DG!$D$5,)</f>
        <v>Thanh</v>
      </c>
      <c r="G504" s="1087">
        <f>G501*1</f>
        <v>0</v>
      </c>
      <c r="H504" s="1062">
        <f>VLOOKUP($B504,dongia1,DG!$F$5,)</f>
        <v>95000</v>
      </c>
      <c r="I504" s="1083"/>
      <c r="J504" s="1062">
        <f>VLOOKUP($B504,dongia1,DG!$G$5,)</f>
        <v>0</v>
      </c>
      <c r="K504" s="1062">
        <f>VLOOKUP($B504,dongia1,DG!$H$5,)</f>
        <v>0</v>
      </c>
      <c r="L504" s="1174">
        <f t="shared" si="97"/>
        <v>0</v>
      </c>
      <c r="M504" s="1174">
        <f t="shared" si="98"/>
        <v>0</v>
      </c>
      <c r="N504" s="1174">
        <f t="shared" si="99"/>
        <v>0</v>
      </c>
      <c r="O504" s="1083">
        <f t="shared" si="100"/>
        <v>0</v>
      </c>
      <c r="P504" s="1080"/>
    </row>
    <row r="505" spans="1:18" s="1081" customFormat="1" hidden="1" outlineLevel="1">
      <c r="A505" s="1072">
        <f t="shared" si="101"/>
        <v>0</v>
      </c>
      <c r="B505" s="1067" t="s">
        <v>2189</v>
      </c>
      <c r="C505" s="1074"/>
      <c r="D505" s="1196"/>
      <c r="E505" s="1076" t="str">
        <f>VLOOKUP($B505,dongia1,DG!$C$5,)</f>
        <v>Bass LL bắt FCO và LA</v>
      </c>
      <c r="F505" s="1075" t="str">
        <f>VLOOKUP($B505,dongia1,DG!$D$5,)</f>
        <v>bộ</v>
      </c>
      <c r="G505" s="1087">
        <f>G503*1</f>
        <v>0</v>
      </c>
      <c r="H505" s="1062">
        <f>VLOOKUP($B505,dongia1,DG!$F$5,)</f>
        <v>65000</v>
      </c>
      <c r="I505" s="1083"/>
      <c r="J505" s="1062">
        <f>VLOOKUP($B505,dongia1,DG!$G$5,)</f>
        <v>0</v>
      </c>
      <c r="K505" s="1062">
        <f>VLOOKUP($B505,dongia1,DG!$H$5,)</f>
        <v>0</v>
      </c>
      <c r="L505" s="1174">
        <f>H505*G505</f>
        <v>0</v>
      </c>
      <c r="M505" s="1174">
        <f>I505*G505</f>
        <v>0</v>
      </c>
      <c r="N505" s="1174">
        <f>J505*G505</f>
        <v>0</v>
      </c>
      <c r="O505" s="1083">
        <f>K505*G505</f>
        <v>0</v>
      </c>
      <c r="P505" s="1080"/>
    </row>
    <row r="506" spans="1:18" s="1081" customFormat="1" hidden="1" outlineLevel="1">
      <c r="A506" s="1072">
        <f t="shared" si="101"/>
        <v>0</v>
      </c>
      <c r="B506" s="1073" t="s">
        <v>116</v>
      </c>
      <c r="C506" s="1074"/>
      <c r="D506" s="1196"/>
      <c r="E506" s="1076" t="str">
        <f>VLOOKUP($B506,dongia1,DG!$C$5,)</f>
        <v>Boulon 12x150+ 2 long đền vuông D14-50x50x3/Zn</v>
      </c>
      <c r="F506" s="1075" t="str">
        <f>VLOOKUP($B506,dongia1,DG!$D$5,)</f>
        <v>bộ</v>
      </c>
      <c r="G506" s="1087">
        <f>G503</f>
        <v>0</v>
      </c>
      <c r="H506" s="1062">
        <f>VLOOKUP($B506,dongia1,DG!$F$5,)</f>
        <v>11500</v>
      </c>
      <c r="I506" s="1083"/>
      <c r="J506" s="1062">
        <f>VLOOKUP($B506,dongia1,DG!$G$5,)</f>
        <v>0</v>
      </c>
      <c r="K506" s="1062">
        <f>VLOOKUP($B506,dongia1,DG!$H$5,)</f>
        <v>0</v>
      </c>
      <c r="L506" s="1174">
        <f>H506*G506</f>
        <v>0</v>
      </c>
      <c r="M506" s="1174">
        <f>I506*G506</f>
        <v>0</v>
      </c>
      <c r="N506" s="1174">
        <f>J506*G506</f>
        <v>0</v>
      </c>
      <c r="O506" s="1083">
        <f>K506*G506</f>
        <v>0</v>
      </c>
      <c r="P506" s="1080"/>
    </row>
    <row r="507" spans="1:18" s="1081" customFormat="1" hidden="1" outlineLevel="1">
      <c r="A507" s="1072">
        <f t="shared" si="101"/>
        <v>0</v>
      </c>
      <c r="B507" s="1073" t="s">
        <v>733</v>
      </c>
      <c r="C507" s="1074"/>
      <c r="D507" s="1196"/>
      <c r="E507" s="1076" t="str">
        <f>VLOOKUP($B507,dongia1,DG!$C$5,)</f>
        <v>Boulon 16x350+ 2 long đền vuông D18-50x50x3/Zn</v>
      </c>
      <c r="F507" s="1075" t="str">
        <f>VLOOKUP($B507,dongia1,DG!$D$5,)</f>
        <v>bộ</v>
      </c>
      <c r="G507" s="1087">
        <f>G504*2</f>
        <v>0</v>
      </c>
      <c r="H507" s="1062">
        <f>VLOOKUP($B507,dongia1,DG!$F$5,)</f>
        <v>27900</v>
      </c>
      <c r="I507" s="1083"/>
      <c r="J507" s="1062">
        <f>VLOOKUP($B507,dongia1,DG!$G$5,)</f>
        <v>0</v>
      </c>
      <c r="K507" s="1062">
        <f>VLOOKUP($B507,dongia1,DG!$H$5,)</f>
        <v>0</v>
      </c>
      <c r="L507" s="1174">
        <f t="shared" si="97"/>
        <v>0</v>
      </c>
      <c r="M507" s="1174">
        <f t="shared" si="98"/>
        <v>0</v>
      </c>
      <c r="N507" s="1174">
        <f t="shared" si="99"/>
        <v>0</v>
      </c>
      <c r="O507" s="1083">
        <f t="shared" si="100"/>
        <v>0</v>
      </c>
      <c r="P507" s="1080"/>
    </row>
    <row r="508" spans="1:18" s="1081" customFormat="1" hidden="1" outlineLevel="1">
      <c r="A508" s="1072">
        <f t="shared" si="101"/>
        <v>0</v>
      </c>
      <c r="B508" s="1073" t="s">
        <v>372</v>
      </c>
      <c r="C508" s="1074"/>
      <c r="D508" s="1196"/>
      <c r="E508" s="1076" t="str">
        <f>VLOOKUP($B508,dongia1,DG!$C$5,)</f>
        <v>Lắp xà đỡ 15kg</v>
      </c>
      <c r="F508" s="1075" t="str">
        <f>VLOOKUP($B508,dongia1,DG!$D$5,)</f>
        <v>bộ</v>
      </c>
      <c r="G508" s="1087">
        <f>G506</f>
        <v>0</v>
      </c>
      <c r="H508" s="1062">
        <f>VLOOKUP($B508,dongia1,DG!$F$5,)</f>
        <v>0</v>
      </c>
      <c r="I508" s="1083"/>
      <c r="J508" s="1200" t="str">
        <f>VLOOKUP($B508,dongia1,DG!$G$5,)&amp;"x 1,5"</f>
        <v>131511,15x 1,5</v>
      </c>
      <c r="K508" s="1062">
        <f>VLOOKUP($B508,dongia1,DG!$H$5,)</f>
        <v>0</v>
      </c>
      <c r="L508" s="1174">
        <f>H508*G508</f>
        <v>0</v>
      </c>
      <c r="M508" s="1174">
        <f>I508*G508</f>
        <v>0</v>
      </c>
      <c r="N508" s="1174">
        <f>VLOOKUP($B508,dongia1,DG!$G$5,)*G508*1.5</f>
        <v>0</v>
      </c>
      <c r="O508" s="1083">
        <f>K508*G508</f>
        <v>0</v>
      </c>
      <c r="P508" s="1080"/>
    </row>
    <row r="509" spans="1:18" s="1081" customFormat="1" hidden="1" outlineLevel="1">
      <c r="A509" s="1072">
        <f t="shared" si="101"/>
        <v>0</v>
      </c>
      <c r="B509" s="1073"/>
      <c r="C509" s="1064">
        <f>IF(G509&gt;0,C501+1,C501)</f>
        <v>0</v>
      </c>
      <c r="D509" s="1192"/>
      <c r="E509" s="1221" t="s">
        <v>3400</v>
      </c>
      <c r="F509" s="1064" t="s">
        <v>2113</v>
      </c>
      <c r="G509" s="1242">
        <f>G501</f>
        <v>0</v>
      </c>
      <c r="H509" s="1062"/>
      <c r="I509" s="1083"/>
      <c r="J509" s="1062"/>
      <c r="K509" s="1062"/>
      <c r="L509" s="1174">
        <f t="shared" si="97"/>
        <v>0</v>
      </c>
      <c r="M509" s="1174">
        <f t="shared" si="98"/>
        <v>0</v>
      </c>
      <c r="N509" s="1174">
        <f t="shared" si="99"/>
        <v>0</v>
      </c>
      <c r="O509" s="1083">
        <f t="shared" si="100"/>
        <v>0</v>
      </c>
      <c r="P509" s="1080"/>
    </row>
    <row r="510" spans="1:18" s="1081" customFormat="1" ht="14.4" hidden="1" outlineLevel="1">
      <c r="A510" s="1072">
        <f>A509</f>
        <v>0</v>
      </c>
      <c r="B510" s="1073"/>
      <c r="C510" s="1074"/>
      <c r="D510" s="1196"/>
      <c r="E510" s="1222" t="s">
        <v>3399</v>
      </c>
      <c r="F510" s="1074"/>
      <c r="G510" s="1087"/>
      <c r="H510" s="1062"/>
      <c r="I510" s="1083"/>
      <c r="J510" s="1062"/>
      <c r="K510" s="1062"/>
      <c r="L510" s="1174">
        <f t="shared" si="97"/>
        <v>0</v>
      </c>
      <c r="M510" s="1174">
        <f t="shared" si="98"/>
        <v>0</v>
      </c>
      <c r="N510" s="1174">
        <f t="shared" si="99"/>
        <v>0</v>
      </c>
      <c r="O510" s="1083">
        <f t="shared" si="100"/>
        <v>0</v>
      </c>
      <c r="P510" s="1080"/>
    </row>
    <row r="511" spans="1:18" s="1081" customFormat="1" hidden="1" outlineLevel="1">
      <c r="A511" s="1072">
        <f t="shared" ref="A511:A527" si="102">IF(G511=0,0,1)</f>
        <v>0</v>
      </c>
      <c r="B511" s="1073" t="s">
        <v>1200</v>
      </c>
      <c r="C511" s="1074"/>
      <c r="D511" s="1075">
        <f>VLOOKUP($B511,dongia1,DG!$B$5,)</f>
        <v>0</v>
      </c>
      <c r="E511" s="1076" t="str">
        <f>VLOOKUP($B511,dongia1,DG!$C$5,)</f>
        <v>Cáp đồng trần M25mm2</v>
      </c>
      <c r="F511" s="1075" t="str">
        <f>VLOOKUP($B511,dongia1,DG!$D$5,)</f>
        <v>kg</v>
      </c>
      <c r="G511" s="1087">
        <f>90*G509*0.224</f>
        <v>0</v>
      </c>
      <c r="H511" s="1062">
        <f>VLOOKUP($B511,dongia1,DG!$F$5,)</f>
        <v>255500</v>
      </c>
      <c r="I511" s="1083"/>
      <c r="J511" s="1062">
        <f>VLOOKUP($B511,dongia1,DG!$G$5,)</f>
        <v>0</v>
      </c>
      <c r="K511" s="1062">
        <f>VLOOKUP($B511,dongia1,DG!$H$5,)</f>
        <v>0</v>
      </c>
      <c r="L511" s="1174">
        <f t="shared" si="97"/>
        <v>0</v>
      </c>
      <c r="M511" s="1174">
        <f t="shared" si="98"/>
        <v>0</v>
      </c>
      <c r="N511" s="1174">
        <f t="shared" si="99"/>
        <v>0</v>
      </c>
      <c r="O511" s="1083">
        <f t="shared" si="100"/>
        <v>0</v>
      </c>
      <c r="P511" s="1080"/>
    </row>
    <row r="512" spans="1:18" s="1081" customFormat="1" hidden="1" outlineLevel="1">
      <c r="A512" s="1072">
        <f t="shared" si="102"/>
        <v>0</v>
      </c>
      <c r="B512" s="1067" t="s">
        <v>1098</v>
      </c>
      <c r="C512" s="1074"/>
      <c r="D512" s="1075">
        <f>VLOOKUP($B512,dongia1,DG!$B$5,)</f>
        <v>0</v>
      </c>
      <c r="E512" s="1076" t="str">
        <f>VLOOKUP($B512,dongia1,DG!$C$5,)</f>
        <v>Cọc tiếp đất Þ 16- 2,4m + kẹp cọc</v>
      </c>
      <c r="F512" s="1075" t="str">
        <f>VLOOKUP($B512,dongia1,DG!$D$5,)</f>
        <v>bộ</v>
      </c>
      <c r="G512" s="1087">
        <f>13*G509</f>
        <v>0</v>
      </c>
      <c r="H512" s="1062">
        <f>VLOOKUP($B512,dongia1,DG!$F$5,)</f>
        <v>160000</v>
      </c>
      <c r="I512" s="1083"/>
      <c r="J512" s="1062">
        <f>VLOOKUP($B512,dongia1,DG!$G$5,)</f>
        <v>0</v>
      </c>
      <c r="K512" s="1062">
        <f>VLOOKUP($B512,dongia1,DG!$H$5,)</f>
        <v>0</v>
      </c>
      <c r="L512" s="1174">
        <f t="shared" si="97"/>
        <v>0</v>
      </c>
      <c r="M512" s="1174">
        <f t="shared" si="98"/>
        <v>0</v>
      </c>
      <c r="N512" s="1174">
        <f t="shared" si="99"/>
        <v>0</v>
      </c>
      <c r="O512" s="1083">
        <f t="shared" si="100"/>
        <v>0</v>
      </c>
      <c r="P512" s="1080"/>
    </row>
    <row r="513" spans="1:16" s="1081" customFormat="1" hidden="1" outlineLevel="1">
      <c r="A513" s="1072">
        <f t="shared" si="102"/>
        <v>0</v>
      </c>
      <c r="B513" s="1067" t="s">
        <v>4850</v>
      </c>
      <c r="C513" s="1074"/>
      <c r="D513" s="1075" t="str">
        <f>VLOOKUP($B513,dongia1,DG!$B$5,)</f>
        <v>07.2201</v>
      </c>
      <c r="E513" s="1076" t="str">
        <f>VLOOKUP($B513,dongia1,DG!$C$5,)</f>
        <v>Ông sắt tráng kẽm D21</v>
      </c>
      <c r="F513" s="1075" t="str">
        <f>VLOOKUP($B513,dongia1,DG!$D$5,)</f>
        <v>mét</v>
      </c>
      <c r="G513" s="1087">
        <f>3*G509</f>
        <v>0</v>
      </c>
      <c r="H513" s="1062">
        <f>VLOOKUP($B513,dongia1,DG!$F$5,)</f>
        <v>42000</v>
      </c>
      <c r="I513" s="1083"/>
      <c r="J513" s="1062">
        <f>VLOOKUP($B513,dongia1,DG!$G$5,)</f>
        <v>25037.1</v>
      </c>
      <c r="K513" s="1062">
        <f>VLOOKUP($B513,dongia1,DG!$H$5,)</f>
        <v>0</v>
      </c>
      <c r="L513" s="1174">
        <f t="shared" si="97"/>
        <v>0</v>
      </c>
      <c r="M513" s="1174">
        <f t="shared" si="98"/>
        <v>0</v>
      </c>
      <c r="N513" s="1174">
        <f t="shared" si="99"/>
        <v>0</v>
      </c>
      <c r="O513" s="1083">
        <f t="shared" si="100"/>
        <v>0</v>
      </c>
      <c r="P513" s="1080"/>
    </row>
    <row r="514" spans="1:16" s="1081" customFormat="1" hidden="1" outlineLevel="1">
      <c r="A514" s="1072">
        <f>IF(G514=0,0,1)</f>
        <v>0</v>
      </c>
      <c r="B514" s="1067" t="s">
        <v>4853</v>
      </c>
      <c r="C514" s="1074"/>
      <c r="D514" s="1075">
        <f>VLOOKUP($B514,dongia1,DG!$B$5,)</f>
        <v>0</v>
      </c>
      <c r="E514" s="1076" t="str">
        <f>VLOOKUP($B514,dongia1,DG!$C$5,)</f>
        <v>Co 90 độ PVC 21</v>
      </c>
      <c r="F514" s="1075" t="str">
        <f>VLOOKUP($B514,dongia1,DG!$D$5,)</f>
        <v>cái</v>
      </c>
      <c r="G514" s="1087">
        <f>G509*1</f>
        <v>0</v>
      </c>
      <c r="H514" s="1062">
        <f>VLOOKUP($B514,dongia1,DG!$F$5,)</f>
        <v>2100</v>
      </c>
      <c r="I514" s="1083"/>
      <c r="J514" s="1062">
        <f>VLOOKUP($B514,dongia1,DG!$G$5,)</f>
        <v>0</v>
      </c>
      <c r="K514" s="1062">
        <f>VLOOKUP($B514,dongia1,DG!$H$5,)</f>
        <v>0</v>
      </c>
      <c r="L514" s="1174">
        <f>H514*G514</f>
        <v>0</v>
      </c>
      <c r="M514" s="1174">
        <f>I514*G514</f>
        <v>0</v>
      </c>
      <c r="N514" s="1174">
        <f>J514*G514</f>
        <v>0</v>
      </c>
      <c r="O514" s="1083">
        <f>K514*G514</f>
        <v>0</v>
      </c>
      <c r="P514" s="1080"/>
    </row>
    <row r="515" spans="1:16" s="1081" customFormat="1" hidden="1" outlineLevel="1">
      <c r="A515" s="1072">
        <f t="shared" si="102"/>
        <v>0</v>
      </c>
      <c r="B515" s="1086" t="s">
        <v>205</v>
      </c>
      <c r="C515" s="1074"/>
      <c r="D515" s="1075">
        <f>VLOOKUP($B515,dongia1,DG!$B$5,)</f>
        <v>0</v>
      </c>
      <c r="E515" s="1076" t="str">
        <f>VLOOKUP($B515,dongia1,DG!$C$5,)</f>
        <v>Kẹp ép WR cỡ dây 50mm2</v>
      </c>
      <c r="F515" s="1075" t="str">
        <f>VLOOKUP($B515,dongia1,DG!$D$5,)</f>
        <v>cái</v>
      </c>
      <c r="G515" s="1087">
        <f>2*G509</f>
        <v>0</v>
      </c>
      <c r="H515" s="1062">
        <f>VLOOKUP($B515,dongia1,DG!$F$5,)</f>
        <v>8000</v>
      </c>
      <c r="I515" s="1062"/>
      <c r="J515" s="1062">
        <f>VLOOKUP($B515,dongia1,DG!$G$5,)</f>
        <v>0</v>
      </c>
      <c r="K515" s="1062">
        <f>VLOOKUP($B515,dongia1,DG!$H$5,)</f>
        <v>0</v>
      </c>
      <c r="L515" s="1174">
        <f t="shared" si="97"/>
        <v>0</v>
      </c>
      <c r="M515" s="1174">
        <f t="shared" si="98"/>
        <v>0</v>
      </c>
      <c r="N515" s="1174">
        <f t="shared" si="99"/>
        <v>0</v>
      </c>
      <c r="O515" s="1083">
        <f t="shared" si="100"/>
        <v>0</v>
      </c>
      <c r="P515" s="1080"/>
    </row>
    <row r="516" spans="1:16" s="1081" customFormat="1" hidden="1" outlineLevel="1">
      <c r="A516" s="1072">
        <f t="shared" si="102"/>
        <v>0</v>
      </c>
      <c r="B516" s="1086" t="s">
        <v>903</v>
      </c>
      <c r="C516" s="1074"/>
      <c r="D516" s="1075">
        <f>VLOOKUP($B516,dongia1,DG!$B$5,)</f>
        <v>0</v>
      </c>
      <c r="E516" s="1076" t="str">
        <f>VLOOKUP($B516,dongia1,DG!$C$5,)</f>
        <v>Ốc xiết cáp cỡ 25mm2</v>
      </c>
      <c r="F516" s="1075" t="str">
        <f>VLOOKUP($B516,dongia1,DG!$D$5,)</f>
        <v>cái</v>
      </c>
      <c r="G516" s="1087">
        <f>G509*19</f>
        <v>0</v>
      </c>
      <c r="H516" s="1062">
        <f>VLOOKUP($B516,dongia1,DG!$F$5,)</f>
        <v>17600</v>
      </c>
      <c r="I516" s="1062"/>
      <c r="J516" s="1062">
        <f>VLOOKUP($B516,dongia1,DG!$G$5,)</f>
        <v>0</v>
      </c>
      <c r="K516" s="1062">
        <f>VLOOKUP($B516,dongia1,DG!$H$5,)</f>
        <v>0</v>
      </c>
      <c r="L516" s="1174">
        <f t="shared" si="97"/>
        <v>0</v>
      </c>
      <c r="M516" s="1174">
        <f t="shared" si="98"/>
        <v>0</v>
      </c>
      <c r="N516" s="1174">
        <f t="shared" si="99"/>
        <v>0</v>
      </c>
      <c r="O516" s="1083">
        <f t="shared" si="100"/>
        <v>0</v>
      </c>
      <c r="P516" s="1080"/>
    </row>
    <row r="517" spans="1:16" s="1081" customFormat="1" hidden="1" outlineLevel="1">
      <c r="A517" s="1072">
        <f>IF(G517=0,0,1)</f>
        <v>0</v>
      </c>
      <c r="B517" s="1086" t="s">
        <v>4849</v>
      </c>
      <c r="C517" s="1074"/>
      <c r="D517" s="1075" t="str">
        <f>VLOOKUP($B517,dongia1,DG!$B$5,)</f>
        <v>D4.5002</v>
      </c>
      <c r="E517" s="1076" t="str">
        <f>VLOOKUP($B517,dongia1,DG!$C$5,)</f>
        <v>Đầu cosse ép Cu 35mm2</v>
      </c>
      <c r="F517" s="1075" t="str">
        <f>VLOOKUP($B517,dongia1,DG!$D$5,)</f>
        <v>cái</v>
      </c>
      <c r="G517" s="1087">
        <f>G509*4</f>
        <v>0</v>
      </c>
      <c r="H517" s="1062">
        <f>VLOOKUP($B517,dongia1,DG!$F$5,)</f>
        <v>7800</v>
      </c>
      <c r="I517" s="1062"/>
      <c r="J517" s="1062">
        <f>VLOOKUP($B517,dongia1,DG!$G$5,)</f>
        <v>10608.955000000002</v>
      </c>
      <c r="K517" s="1062">
        <f>VLOOKUP($B517,dongia1,DG!$H$5,)</f>
        <v>2777.0232475000003</v>
      </c>
      <c r="L517" s="1174">
        <f>H517*G517</f>
        <v>0</v>
      </c>
      <c r="M517" s="1174">
        <f>I517*G517</f>
        <v>0</v>
      </c>
      <c r="N517" s="1174">
        <f>J517*G517</f>
        <v>0</v>
      </c>
      <c r="O517" s="1083">
        <f>K517*G517</f>
        <v>0</v>
      </c>
      <c r="P517" s="1080"/>
    </row>
    <row r="518" spans="1:16" s="1081" customFormat="1" hidden="1" outlineLevel="1">
      <c r="A518" s="1072">
        <f>IF(G518=0,0,1)</f>
        <v>0</v>
      </c>
      <c r="B518" s="1086" t="s">
        <v>1623</v>
      </c>
      <c r="C518" s="1074"/>
      <c r="D518" s="1075">
        <f>VLOOKUP($B518,dongia1,DG!$B$5,)</f>
        <v>0</v>
      </c>
      <c r="E518" s="1076" t="str">
        <f>VLOOKUP($B518,dongia1,DG!$C$5,)</f>
        <v>Boulon 12x40+ 2 long đền vuông D14-50x50x3/Zn</v>
      </c>
      <c r="F518" s="1075" t="str">
        <f>VLOOKUP($B518,dongia1,DG!$D$5,)</f>
        <v>bộ</v>
      </c>
      <c r="G518" s="1087">
        <f>G509*3</f>
        <v>0</v>
      </c>
      <c r="H518" s="1062">
        <f>VLOOKUP($B518,dongia1,DG!$F$5,)</f>
        <v>8500</v>
      </c>
      <c r="I518" s="1062"/>
      <c r="J518" s="1062">
        <f>VLOOKUP($B518,dongia1,DG!$G$5,)</f>
        <v>0</v>
      </c>
      <c r="K518" s="1062">
        <f>VLOOKUP($B518,dongia1,DG!$H$5,)</f>
        <v>0</v>
      </c>
      <c r="L518" s="1174">
        <f>H518*G518</f>
        <v>0</v>
      </c>
      <c r="M518" s="1174">
        <f>I518*G518</f>
        <v>0</v>
      </c>
      <c r="N518" s="1174">
        <f>J518*G518</f>
        <v>0</v>
      </c>
      <c r="O518" s="1083">
        <f>K518*G518</f>
        <v>0</v>
      </c>
      <c r="P518" s="1080"/>
    </row>
    <row r="519" spans="1:16" s="1081" customFormat="1" hidden="1" outlineLevel="1">
      <c r="A519" s="1072">
        <f>IF(G519=0,0,1)</f>
        <v>0</v>
      </c>
      <c r="B519" s="1086" t="s">
        <v>4497</v>
      </c>
      <c r="C519" s="1074"/>
      <c r="D519" s="1075">
        <f>VLOOKUP($B519,dongia1,DG!$B$5,)</f>
        <v>0</v>
      </c>
      <c r="E519" s="1076" t="str">
        <f>VLOOKUP($B519,dongia1,DG!$C$5,)</f>
        <v>Đai thép Inox</v>
      </c>
      <c r="F519" s="1075" t="str">
        <f>VLOOKUP($B519,dongia1,DG!$D$5,)</f>
        <v>mét</v>
      </c>
      <c r="G519" s="1087">
        <f>G509*2</f>
        <v>0</v>
      </c>
      <c r="H519" s="1062">
        <f>VLOOKUP($B519,dongia1,DG!$F$5,)</f>
        <v>11000</v>
      </c>
      <c r="I519" s="1062"/>
      <c r="J519" s="1062">
        <f>VLOOKUP($B519,dongia1,DG!$G$5,)</f>
        <v>0</v>
      </c>
      <c r="K519" s="1062">
        <f>VLOOKUP($B519,dongia1,DG!$H$5,)</f>
        <v>0</v>
      </c>
      <c r="L519" s="1174">
        <f>H519*G519</f>
        <v>0</v>
      </c>
      <c r="M519" s="1174">
        <f>I519*G519</f>
        <v>0</v>
      </c>
      <c r="N519" s="1174">
        <f>J519*G519</f>
        <v>0</v>
      </c>
      <c r="O519" s="1083">
        <f>K519*G519</f>
        <v>0</v>
      </c>
      <c r="P519" s="1080"/>
    </row>
    <row r="520" spans="1:16" s="1081" customFormat="1" hidden="1" outlineLevel="1">
      <c r="A520" s="1072">
        <f>IF(G520=0,0,1)</f>
        <v>0</v>
      </c>
      <c r="B520" s="1086" t="s">
        <v>4499</v>
      </c>
      <c r="C520" s="1074"/>
      <c r="D520" s="1075">
        <f>VLOOKUP($B520,dongia1,DG!$B$5,)</f>
        <v>0</v>
      </c>
      <c r="E520" s="1076" t="str">
        <f>VLOOKUP($B520,dongia1,DG!$C$5,)</f>
        <v>Khóa đai Inox</v>
      </c>
      <c r="F520" s="1075" t="str">
        <f>VLOOKUP($B520,dongia1,DG!$D$5,)</f>
        <v>cái</v>
      </c>
      <c r="G520" s="1087">
        <f>G509*2</f>
        <v>0</v>
      </c>
      <c r="H520" s="1062">
        <f>VLOOKUP($B520,dongia1,DG!$F$5,)</f>
        <v>4000</v>
      </c>
      <c r="I520" s="1062"/>
      <c r="J520" s="1062">
        <f>VLOOKUP($B520,dongia1,DG!$G$5,)</f>
        <v>0</v>
      </c>
      <c r="K520" s="1062">
        <f>VLOOKUP($B520,dongia1,DG!$H$5,)</f>
        <v>0</v>
      </c>
      <c r="L520" s="1174">
        <f>H520*G520</f>
        <v>0</v>
      </c>
      <c r="M520" s="1174">
        <f>I520*G520</f>
        <v>0</v>
      </c>
      <c r="N520" s="1174">
        <f>J520*G520</f>
        <v>0</v>
      </c>
      <c r="O520" s="1083">
        <f>K520*G520</f>
        <v>0</v>
      </c>
      <c r="P520" s="1080"/>
    </row>
    <row r="521" spans="1:16" s="1081" customFormat="1" hidden="1" outlineLevel="1">
      <c r="A521" s="1072">
        <f t="shared" si="102"/>
        <v>0</v>
      </c>
      <c r="B521" s="1067" t="s">
        <v>1490</v>
      </c>
      <c r="C521" s="1074"/>
      <c r="D521" s="1075">
        <f>VLOOKUP($B521,dongia1,DG!$B$5,)</f>
        <v>0</v>
      </c>
      <c r="E521" s="1076" t="str">
        <f>VLOOKUP($B521,dongia1,DG!$C$5,)</f>
        <v>Cổ dê kẹp ống PVC (STK) Þ 21</v>
      </c>
      <c r="F521" s="1075" t="str">
        <f>VLOOKUP($B521,dongia1,DG!$D$5,)</f>
        <v>bộ</v>
      </c>
      <c r="G521" s="1087">
        <f>2*G509</f>
        <v>0</v>
      </c>
      <c r="H521" s="1062">
        <f>VLOOKUP($B521,dongia1,DG!$F$5,)</f>
        <v>43000</v>
      </c>
      <c r="I521" s="1083"/>
      <c r="J521" s="1062">
        <f>VLOOKUP($B521,dongia1,DG!$G$5,)</f>
        <v>0</v>
      </c>
      <c r="K521" s="1062">
        <f>VLOOKUP($B521,dongia1,DG!$H$5,)</f>
        <v>0</v>
      </c>
      <c r="L521" s="1174">
        <f t="shared" si="97"/>
        <v>0</v>
      </c>
      <c r="M521" s="1174">
        <f t="shared" si="98"/>
        <v>0</v>
      </c>
      <c r="N521" s="1174">
        <f t="shared" si="99"/>
        <v>0</v>
      </c>
      <c r="O521" s="1083">
        <f t="shared" si="100"/>
        <v>0</v>
      </c>
      <c r="P521" s="1080"/>
    </row>
    <row r="522" spans="1:16" s="1081" customFormat="1" hidden="1" outlineLevel="1">
      <c r="A522" s="1072">
        <f>IF(G522=0,0,1)</f>
        <v>0</v>
      </c>
      <c r="B522" s="1086" t="s">
        <v>68</v>
      </c>
      <c r="C522" s="1074"/>
      <c r="D522" s="1075">
        <f>VLOOKUP($B522,dongia1,DG!$B$5,)</f>
        <v>0</v>
      </c>
      <c r="E522" s="1076" t="str">
        <f>VLOOKUP($B522,dongia1,DG!$C$5,)</f>
        <v>Khoan giếng tiếp địa</v>
      </c>
      <c r="F522" s="1075" t="str">
        <f>VLOOKUP($B522,dongia1,DG!$D$5,)</f>
        <v>Cái</v>
      </c>
      <c r="G522" s="1087">
        <f>G509</f>
        <v>0</v>
      </c>
      <c r="H522" s="1062">
        <f>VLOOKUP($B522,dongia1,DG!$F$5,)</f>
        <v>0</v>
      </c>
      <c r="I522" s="1062"/>
      <c r="J522" s="1062">
        <f>VLOOKUP($B522,dongia1,DG!$G$5,)</f>
        <v>1500000</v>
      </c>
      <c r="K522" s="1062">
        <f>VLOOKUP($B522,dongia1,DG!$H$5,)</f>
        <v>0</v>
      </c>
      <c r="L522" s="1174">
        <f>H522*G522</f>
        <v>0</v>
      </c>
      <c r="M522" s="1174">
        <f>I522*G522</f>
        <v>0</v>
      </c>
      <c r="N522" s="1174">
        <f>J522*G522</f>
        <v>0</v>
      </c>
      <c r="O522" s="1083">
        <f>K522*G522</f>
        <v>0</v>
      </c>
      <c r="P522" s="1080"/>
    </row>
    <row r="523" spans="1:16" s="1081" customFormat="1" hidden="1" outlineLevel="1">
      <c r="A523" s="1072">
        <f t="shared" si="102"/>
        <v>0</v>
      </c>
      <c r="B523" s="1086" t="s">
        <v>1195</v>
      </c>
      <c r="C523" s="1074"/>
      <c r="D523" s="1075" t="str">
        <f>VLOOKUP($B523,dongia1,DG!$B$5,)</f>
        <v>T4.7001</v>
      </c>
      <c r="E523" s="1076" t="str">
        <f>VLOOKUP($B523,dongia1,DG!$C$5,)</f>
        <v>Kéo dây tiếp địa TBA</v>
      </c>
      <c r="F523" s="1075" t="str">
        <f>VLOOKUP($B523,dongia1,DG!$D$5,)</f>
        <v>mét</v>
      </c>
      <c r="G523" s="1087">
        <f>G511/0.224</f>
        <v>0</v>
      </c>
      <c r="H523" s="1062">
        <f>VLOOKUP($B523,dongia1,DG!$F$5,)</f>
        <v>0</v>
      </c>
      <c r="I523" s="1062"/>
      <c r="J523" s="1062">
        <f>VLOOKUP($B523,dongia1,DG!$G$5,)</f>
        <v>8070.7000000000007</v>
      </c>
      <c r="K523" s="1062">
        <f>VLOOKUP($B523,dongia1,DG!$H$5,)</f>
        <v>2044.9974999999999</v>
      </c>
      <c r="L523" s="1174">
        <f t="shared" si="97"/>
        <v>0</v>
      </c>
      <c r="M523" s="1174">
        <f t="shared" si="98"/>
        <v>0</v>
      </c>
      <c r="N523" s="1174">
        <f t="shared" si="99"/>
        <v>0</v>
      </c>
      <c r="O523" s="1083">
        <f t="shared" si="100"/>
        <v>0</v>
      </c>
      <c r="P523" s="1080"/>
    </row>
    <row r="524" spans="1:16" s="1081" customFormat="1" hidden="1" outlineLevel="1">
      <c r="A524" s="1072">
        <f t="shared" si="102"/>
        <v>0</v>
      </c>
      <c r="B524" s="1067" t="s">
        <v>985</v>
      </c>
      <c r="C524" s="1074"/>
      <c r="D524" s="1075" t="str">
        <f>VLOOKUP($B524,dongia1,DG!$B$5,)</f>
        <v>D2.8103</v>
      </c>
      <c r="E524" s="1076" t="str">
        <f>VLOOKUP($B524,dongia1,DG!$C$5,)</f>
        <v>Đóng cọc tiếp địa đất cấp 3 dài 2,5m</v>
      </c>
      <c r="F524" s="1075" t="str">
        <f>VLOOKUP($B524,dongia1,DG!$D$5,)</f>
        <v>cọc</v>
      </c>
      <c r="G524" s="1087">
        <f>G512</f>
        <v>0</v>
      </c>
      <c r="H524" s="1062">
        <f>VLOOKUP($B524,dongia1,DG!$F$5,)</f>
        <v>0</v>
      </c>
      <c r="I524" s="1083"/>
      <c r="J524" s="1062" t="str">
        <f>VLOOKUP($B524,dongia1,DG!$G$5,)&amp;" x1,7"</f>
        <v>90355,896 x1,7</v>
      </c>
      <c r="K524" s="1062">
        <f>VLOOKUP($B524,dongia1,DG!$H$5,)</f>
        <v>1573.075</v>
      </c>
      <c r="L524" s="1174">
        <f t="shared" si="97"/>
        <v>0</v>
      </c>
      <c r="M524" s="1174">
        <f t="shared" si="98"/>
        <v>0</v>
      </c>
      <c r="N524" s="1062">
        <f>VLOOKUP($B524,dongia1,DG!$G$5,)*G524*1.7</f>
        <v>0</v>
      </c>
      <c r="O524" s="1083">
        <f t="shared" si="100"/>
        <v>0</v>
      </c>
      <c r="P524" s="1080"/>
    </row>
    <row r="525" spans="1:16" s="1081" customFormat="1" hidden="1" outlineLevel="1">
      <c r="A525" s="1072">
        <f t="shared" si="102"/>
        <v>0</v>
      </c>
      <c r="B525" s="1086" t="str">
        <f>"dtd"&amp;capdat</f>
        <v>dtd3</v>
      </c>
      <c r="C525" s="1074"/>
      <c r="D525" s="1075" t="str">
        <f>VLOOKUP($B525,dongia1,DG!$B$5,)</f>
        <v>AB.11513</v>
      </c>
      <c r="E525" s="1076" t="str">
        <f>VLOOKUP($B525,dongia1,DG!$C$5,)</f>
        <v>Đào rãnh tiếp địa đất cấp 3</v>
      </c>
      <c r="F525" s="1075" t="str">
        <f>VLOOKUP($B525,dongia1,DG!$D$5,)</f>
        <v>m3</v>
      </c>
      <c r="G525" s="1087">
        <f>G509*53*0.3*0.5</f>
        <v>0</v>
      </c>
      <c r="H525" s="1062">
        <f>VLOOKUP($B525,dongia1,DG!$F$5,)</f>
        <v>0</v>
      </c>
      <c r="I525" s="1062"/>
      <c r="J525" s="1062">
        <f>VLOOKUP($B525,dongia1,DG!$G$5,)</f>
        <v>283749.75</v>
      </c>
      <c r="K525" s="1062">
        <f>VLOOKUP($B525,dongia1,DG!$H$5,)</f>
        <v>0</v>
      </c>
      <c r="L525" s="1174">
        <f t="shared" si="97"/>
        <v>0</v>
      </c>
      <c r="M525" s="1174">
        <f t="shared" si="98"/>
        <v>0</v>
      </c>
      <c r="N525" s="1174">
        <f t="shared" ref="N525:N549" si="103">J525*G525</f>
        <v>0</v>
      </c>
      <c r="O525" s="1083">
        <f t="shared" si="100"/>
        <v>0</v>
      </c>
      <c r="P525" s="1080"/>
    </row>
    <row r="526" spans="1:16" s="1081" customFormat="1" hidden="1" outlineLevel="1">
      <c r="A526" s="1072">
        <f t="shared" si="102"/>
        <v>0</v>
      </c>
      <c r="B526" s="1067" t="str">
        <f>"datd"&amp;capdat</f>
        <v>datd3</v>
      </c>
      <c r="C526" s="1074"/>
      <c r="D526" s="1075" t="str">
        <f>VLOOKUP($B526,dongia1,DG!$B$5,)</f>
        <v>AB.13111</v>
      </c>
      <c r="E526" s="1076" t="str">
        <f>VLOOKUP($B526,dongia1,DG!$C$5,)</f>
        <v>Đắp đất rãnh tiếp địa cấp 3 (độ chặt k = 0.85)</v>
      </c>
      <c r="F526" s="1075" t="str">
        <f>VLOOKUP($B526,dongia1,DG!$D$5,)</f>
        <v>m3</v>
      </c>
      <c r="G526" s="1087">
        <f>G525</f>
        <v>0</v>
      </c>
      <c r="H526" s="1062">
        <f>VLOOKUP($B526,dongia1,DG!$F$5,)</f>
        <v>0</v>
      </c>
      <c r="I526" s="1083"/>
      <c r="J526" s="1062">
        <f>VLOOKUP($B526,dongia1,DG!$G$5,)</f>
        <v>117703.6</v>
      </c>
      <c r="K526" s="1062">
        <f>VLOOKUP($B526,dongia1,DG!$H$5,)</f>
        <v>0</v>
      </c>
      <c r="L526" s="1174">
        <f t="shared" si="97"/>
        <v>0</v>
      </c>
      <c r="M526" s="1174">
        <f t="shared" si="98"/>
        <v>0</v>
      </c>
      <c r="N526" s="1174">
        <f t="shared" si="103"/>
        <v>0</v>
      </c>
      <c r="O526" s="1083">
        <f t="shared" si="100"/>
        <v>0</v>
      </c>
      <c r="P526" s="1080"/>
    </row>
    <row r="527" spans="1:16" s="1081" customFormat="1" hidden="1" outlineLevel="1">
      <c r="A527" s="1072">
        <f t="shared" si="102"/>
        <v>0</v>
      </c>
      <c r="B527" s="1086"/>
      <c r="C527" s="1064">
        <f>IF(G527&gt;0,C509+1,C509)</f>
        <v>0</v>
      </c>
      <c r="D527" s="1192"/>
      <c r="E527" s="1204" t="s">
        <v>3382</v>
      </c>
      <c r="F527" s="1064" t="s">
        <v>2113</v>
      </c>
      <c r="G527" s="1242">
        <f>G501</f>
        <v>0</v>
      </c>
      <c r="H527" s="1062"/>
      <c r="I527" s="1083"/>
      <c r="J527" s="1062"/>
      <c r="K527" s="1062"/>
      <c r="L527" s="1174">
        <f t="shared" si="97"/>
        <v>0</v>
      </c>
      <c r="M527" s="1174">
        <f t="shared" si="98"/>
        <v>0</v>
      </c>
      <c r="N527" s="1174">
        <f t="shared" si="103"/>
        <v>0</v>
      </c>
      <c r="O527" s="1083">
        <f t="shared" si="100"/>
        <v>0</v>
      </c>
      <c r="P527" s="1080"/>
    </row>
    <row r="528" spans="1:16" s="1081" customFormat="1" ht="14.4" hidden="1" outlineLevel="1">
      <c r="A528" s="1072">
        <f>A527</f>
        <v>0</v>
      </c>
      <c r="B528" s="1086"/>
      <c r="C528" s="1064"/>
      <c r="D528" s="1192"/>
      <c r="E528" s="1222" t="s">
        <v>3399</v>
      </c>
      <c r="F528" s="1074"/>
      <c r="G528" s="1087"/>
      <c r="H528" s="1062"/>
      <c r="I528" s="1083"/>
      <c r="J528" s="1062"/>
      <c r="K528" s="1062"/>
      <c r="L528" s="1174">
        <f t="shared" si="97"/>
        <v>0</v>
      </c>
      <c r="M528" s="1174">
        <f t="shared" si="98"/>
        <v>0</v>
      </c>
      <c r="N528" s="1174">
        <f t="shared" si="103"/>
        <v>0</v>
      </c>
      <c r="O528" s="1083">
        <f t="shared" si="100"/>
        <v>0</v>
      </c>
      <c r="P528" s="1080"/>
    </row>
    <row r="529" spans="1:16" s="1081" customFormat="1" hidden="1" outlineLevel="1">
      <c r="A529" s="1072">
        <f>IF(G529=0,0,1)</f>
        <v>0</v>
      </c>
      <c r="B529" s="1231" t="s">
        <v>1655</v>
      </c>
      <c r="C529" s="1074"/>
      <c r="D529" s="1075" t="str">
        <f>VLOOKUP($B529,dongia1,DG!$B$5,)</f>
        <v>T5.1001</v>
      </c>
      <c r="E529" s="1076" t="str">
        <f>VLOOKUP($B529,dongia1,DG!$C$5,)</f>
        <v>Tủ MCCB trạm treo 1 pha</v>
      </c>
      <c r="F529" s="1075" t="str">
        <f>VLOOKUP($B529,dongia1,DG!$D$5,)</f>
        <v>cái</v>
      </c>
      <c r="G529" s="1087">
        <f>G527</f>
        <v>0</v>
      </c>
      <c r="H529" s="1062">
        <f>VLOOKUP($B529,dongia1,DG!$F$5,)</f>
        <v>2971168</v>
      </c>
      <c r="I529" s="1062"/>
      <c r="J529" s="1062">
        <f>VLOOKUP($B529,dongia1,DG!$G$5,)</f>
        <v>599038</v>
      </c>
      <c r="K529" s="1062">
        <f>VLOOKUP($B529,dongia1,DG!$H$5,)</f>
        <v>97369</v>
      </c>
      <c r="L529" s="1174">
        <f t="shared" si="97"/>
        <v>0</v>
      </c>
      <c r="M529" s="1174">
        <f t="shared" si="98"/>
        <v>0</v>
      </c>
      <c r="N529" s="1174">
        <f t="shared" si="103"/>
        <v>0</v>
      </c>
      <c r="O529" s="1083">
        <f t="shared" si="100"/>
        <v>0</v>
      </c>
      <c r="P529" s="1080"/>
    </row>
    <row r="530" spans="1:16" s="1081" customFormat="1" hidden="1" outlineLevel="1">
      <c r="A530" s="1072">
        <f>IF(G530=0,0,1)</f>
        <v>0</v>
      </c>
      <c r="B530" s="1073" t="s">
        <v>1439</v>
      </c>
      <c r="C530" s="1074"/>
      <c r="D530" s="1075">
        <f>VLOOKUP($B530,dongia1,DG!$B$5,)</f>
        <v>0</v>
      </c>
      <c r="E530" s="1076" t="str">
        <f>VLOOKUP($B530,dongia1,DG!$C$5,)</f>
        <v>Cổ dê CDĐKĐT D320/6x60( bắt thùng)</v>
      </c>
      <c r="F530" s="1075" t="str">
        <f>VLOOKUP($B530,dongia1,DG!$D$5,)</f>
        <v>bộ</v>
      </c>
      <c r="G530" s="1087">
        <f>2*G527</f>
        <v>0</v>
      </c>
      <c r="H530" s="1062">
        <f>VLOOKUP($B530,dongia1,DG!$F$5,)</f>
        <v>168000</v>
      </c>
      <c r="I530" s="1083"/>
      <c r="J530" s="1062">
        <f>VLOOKUP($B530,dongia1,DG!$G$5,)</f>
        <v>0</v>
      </c>
      <c r="K530" s="1062">
        <f>VLOOKUP($B530,dongia1,DG!$H$5,)</f>
        <v>0</v>
      </c>
      <c r="L530" s="1174">
        <f t="shared" si="97"/>
        <v>0</v>
      </c>
      <c r="M530" s="1174">
        <f t="shared" si="98"/>
        <v>0</v>
      </c>
      <c r="N530" s="1174">
        <f t="shared" si="103"/>
        <v>0</v>
      </c>
      <c r="O530" s="1083">
        <f t="shared" si="100"/>
        <v>0</v>
      </c>
      <c r="P530" s="1080"/>
    </row>
    <row r="531" spans="1:16" s="1081" customFormat="1" hidden="1" outlineLevel="1">
      <c r="A531" s="1072">
        <f>IF(G531=0,0,1)</f>
        <v>0</v>
      </c>
      <c r="B531" s="1086" t="s">
        <v>1560</v>
      </c>
      <c r="C531" s="1074"/>
      <c r="D531" s="1075">
        <f>VLOOKUP($B531,dongia1,DG!$B$5,)</f>
        <v>0</v>
      </c>
      <c r="E531" s="1076" t="str">
        <f>VLOOKUP($B531,dongia1,DG!$C$5,)</f>
        <v xml:space="preserve">Bakelit 500x300 dầy 10mm </v>
      </c>
      <c r="F531" s="1075" t="str">
        <f>VLOOKUP($B531,dongia1,DG!$D$5,)</f>
        <v>cái</v>
      </c>
      <c r="G531" s="1087">
        <f>G527*0</f>
        <v>0</v>
      </c>
      <c r="H531" s="1062">
        <f>VLOOKUP($B531,dongia1,DG!$F$5,)</f>
        <v>284000</v>
      </c>
      <c r="I531" s="1083"/>
      <c r="J531" s="1062">
        <f>VLOOKUP($B531,dongia1,DG!$G$5,)</f>
        <v>5404</v>
      </c>
      <c r="K531" s="1062">
        <f>VLOOKUP($B531,dongia1,DG!$H$5,)</f>
        <v>0</v>
      </c>
      <c r="L531" s="1174">
        <f t="shared" si="97"/>
        <v>0</v>
      </c>
      <c r="M531" s="1174">
        <f t="shared" si="98"/>
        <v>0</v>
      </c>
      <c r="N531" s="1174">
        <f t="shared" si="103"/>
        <v>0</v>
      </c>
      <c r="O531" s="1083">
        <f t="shared" si="100"/>
        <v>0</v>
      </c>
      <c r="P531" s="1080"/>
    </row>
    <row r="532" spans="1:16" s="1081" customFormat="1" hidden="1" outlineLevel="1">
      <c r="A532" s="1072">
        <f>IF(G532=0,0,1)</f>
        <v>0</v>
      </c>
      <c r="B532" s="1086"/>
      <c r="C532" s="1064">
        <f>IF(G532&gt;0,C527+1,C527)</f>
        <v>0</v>
      </c>
      <c r="D532" s="1192"/>
      <c r="E532" s="1221" t="s">
        <v>3411</v>
      </c>
      <c r="F532" s="1064" t="s">
        <v>2113</v>
      </c>
      <c r="G532" s="1242">
        <f>G527</f>
        <v>0</v>
      </c>
      <c r="H532" s="1062"/>
      <c r="I532" s="1083"/>
      <c r="J532" s="1062"/>
      <c r="K532" s="1062"/>
      <c r="L532" s="1174">
        <f t="shared" si="97"/>
        <v>0</v>
      </c>
      <c r="M532" s="1174">
        <f t="shared" si="98"/>
        <v>0</v>
      </c>
      <c r="N532" s="1174">
        <f t="shared" si="103"/>
        <v>0</v>
      </c>
      <c r="O532" s="1083">
        <f t="shared" si="100"/>
        <v>0</v>
      </c>
      <c r="P532" s="1080"/>
    </row>
    <row r="533" spans="1:16" s="1081" customFormat="1" ht="14.4" hidden="1" outlineLevel="1">
      <c r="A533" s="1072">
        <f>A532</f>
        <v>0</v>
      </c>
      <c r="B533" s="1086"/>
      <c r="C533" s="1064"/>
      <c r="D533" s="1192"/>
      <c r="E533" s="1222" t="s">
        <v>3399</v>
      </c>
      <c r="F533" s="1074"/>
      <c r="G533" s="1087"/>
      <c r="H533" s="1062"/>
      <c r="I533" s="1083"/>
      <c r="J533" s="1062"/>
      <c r="K533" s="1062"/>
      <c r="L533" s="1174">
        <f t="shared" si="97"/>
        <v>0</v>
      </c>
      <c r="M533" s="1174">
        <f t="shared" si="98"/>
        <v>0</v>
      </c>
      <c r="N533" s="1174">
        <f t="shared" si="103"/>
        <v>0</v>
      </c>
      <c r="O533" s="1083">
        <f t="shared" si="100"/>
        <v>0</v>
      </c>
      <c r="P533" s="1080"/>
    </row>
    <row r="534" spans="1:16" s="1081" customFormat="1" hidden="1" outlineLevel="1">
      <c r="A534" s="1072">
        <f t="shared" ref="A534:A542" si="104">IF(G534=0,0,1)</f>
        <v>0</v>
      </c>
      <c r="B534" s="1067" t="s">
        <v>648</v>
      </c>
      <c r="C534" s="1074"/>
      <c r="D534" s="1075">
        <f>VLOOKUP($B534,dongia1,DG!$B$5,)</f>
        <v>0</v>
      </c>
      <c r="E534" s="1076" t="str">
        <f>VLOOKUP($B534,dongia1,DG!$C$5,)</f>
        <v>Cáp 24KV C/XLPE/PVC- 25mm2</v>
      </c>
      <c r="F534" s="1075" t="str">
        <f>VLOOKUP($B534,dongia1,DG!$D$5,)</f>
        <v>mét</v>
      </c>
      <c r="G534" s="1087">
        <f>4*G532</f>
        <v>0</v>
      </c>
      <c r="H534" s="1062">
        <f>VLOOKUP($B534,dongia1,DG!$F$5,)</f>
        <v>50996</v>
      </c>
      <c r="I534" s="1062"/>
      <c r="J534" s="1062">
        <f>VLOOKUP($B534,dongia1,DG!$G$5,)</f>
        <v>0</v>
      </c>
      <c r="K534" s="1062">
        <f>VLOOKUP($B534,dongia1,DG!$H$5,)</f>
        <v>0</v>
      </c>
      <c r="L534" s="1174">
        <f t="shared" si="97"/>
        <v>0</v>
      </c>
      <c r="M534" s="1174">
        <f t="shared" si="98"/>
        <v>0</v>
      </c>
      <c r="N534" s="1174">
        <f t="shared" si="103"/>
        <v>0</v>
      </c>
      <c r="O534" s="1083">
        <f t="shared" si="100"/>
        <v>0</v>
      </c>
      <c r="P534" s="1080"/>
    </row>
    <row r="535" spans="1:16" s="1081" customFormat="1" hidden="1" outlineLevel="1">
      <c r="A535" s="1072">
        <f t="shared" si="104"/>
        <v>0</v>
      </c>
      <c r="B535" s="1206" t="s">
        <v>2028</v>
      </c>
      <c r="C535" s="1074"/>
      <c r="D535" s="1075">
        <f>VLOOKUP($B535,dongia1,DG!$B$5,)</f>
        <v>0</v>
      </c>
      <c r="E535" s="1076" t="str">
        <f>VLOOKUP($B535,dongia1,DG!$C$5,)</f>
        <v>Kẹp quai 2/0</v>
      </c>
      <c r="F535" s="1075" t="str">
        <f>VLOOKUP($B535,dongia1,DG!$D$5,)</f>
        <v>cái</v>
      </c>
      <c r="G535" s="1087">
        <f>G532</f>
        <v>0</v>
      </c>
      <c r="H535" s="1062">
        <f>VLOOKUP($B535,dongia1,DG!$F$5,)</f>
        <v>46000</v>
      </c>
      <c r="I535" s="1062"/>
      <c r="J535" s="1062">
        <f>VLOOKUP($B535,dongia1,DG!$G$5,)</f>
        <v>0</v>
      </c>
      <c r="K535" s="1062">
        <f>VLOOKUP($B535,dongia1,DG!$H$5,)</f>
        <v>0</v>
      </c>
      <c r="L535" s="1174">
        <f t="shared" si="97"/>
        <v>0</v>
      </c>
      <c r="M535" s="1174">
        <f t="shared" si="98"/>
        <v>0</v>
      </c>
      <c r="N535" s="1174">
        <f t="shared" si="103"/>
        <v>0</v>
      </c>
      <c r="O535" s="1083">
        <f t="shared" si="100"/>
        <v>0</v>
      </c>
      <c r="P535" s="1080"/>
    </row>
    <row r="536" spans="1:16" s="1081" customFormat="1" hidden="1" outlineLevel="1">
      <c r="A536" s="1072">
        <f t="shared" si="104"/>
        <v>0</v>
      </c>
      <c r="B536" s="1206" t="s">
        <v>2026</v>
      </c>
      <c r="C536" s="1074"/>
      <c r="D536" s="1075">
        <f>VLOOKUP($B536,dongia1,DG!$B$5,)</f>
        <v>0</v>
      </c>
      <c r="E536" s="1076" t="str">
        <f>VLOOKUP($B536,dongia1,DG!$C$5,)</f>
        <v>Kẹp hotline 2/0</v>
      </c>
      <c r="F536" s="1075" t="str">
        <f>VLOOKUP($B536,dongia1,DG!$D$5,)</f>
        <v>cái</v>
      </c>
      <c r="G536" s="1087">
        <f>G532</f>
        <v>0</v>
      </c>
      <c r="H536" s="1062">
        <f>VLOOKUP($B536,dongia1,DG!$F$5,)</f>
        <v>77000</v>
      </c>
      <c r="I536" s="1062"/>
      <c r="J536" s="1062">
        <f>VLOOKUP($B536,dongia1,DG!$G$5,)</f>
        <v>0</v>
      </c>
      <c r="K536" s="1062">
        <f>VLOOKUP($B536,dongia1,DG!$H$5,)</f>
        <v>0</v>
      </c>
      <c r="L536" s="1174">
        <f t="shared" si="97"/>
        <v>0</v>
      </c>
      <c r="M536" s="1174">
        <f t="shared" si="98"/>
        <v>0</v>
      </c>
      <c r="N536" s="1174">
        <f t="shared" si="103"/>
        <v>0</v>
      </c>
      <c r="O536" s="1083">
        <f t="shared" si="100"/>
        <v>0</v>
      </c>
      <c r="P536" s="1080"/>
    </row>
    <row r="537" spans="1:16" s="1081" customFormat="1" hidden="1" outlineLevel="1">
      <c r="A537" s="1072">
        <f t="shared" si="104"/>
        <v>0</v>
      </c>
      <c r="B537" s="1206" t="s">
        <v>2164</v>
      </c>
      <c r="C537" s="1074"/>
      <c r="D537" s="1075">
        <f>VLOOKUP($B537,dongia1,DG!$B$5,)</f>
        <v>0</v>
      </c>
      <c r="E537" s="1243" t="str">
        <f>VLOOKUP($B537,dongia1,DG!$C$5,)</f>
        <v>Nắp che đầu cực FCO</v>
      </c>
      <c r="F537" s="1198" t="str">
        <f>VLOOKUP($B537,dongia1,DG!$D$5,)</f>
        <v>cái</v>
      </c>
      <c r="G537" s="1087">
        <f>G479</f>
        <v>0</v>
      </c>
      <c r="H537" s="1062">
        <f>VLOOKUP($B537,dongia1,DG!$F$5,)</f>
        <v>218200</v>
      </c>
      <c r="I537" s="1062"/>
      <c r="J537" s="1062">
        <f>VLOOKUP($B537,dongia1,DG!$G$5,)</f>
        <v>0</v>
      </c>
      <c r="K537" s="1062">
        <f>VLOOKUP($B537,dongia1,DG!$H$5,)</f>
        <v>0</v>
      </c>
      <c r="L537" s="1174">
        <f>H537*G537</f>
        <v>0</v>
      </c>
      <c r="M537" s="1174">
        <f>I537*G537</f>
        <v>0</v>
      </c>
      <c r="N537" s="1174">
        <f>J537*G537</f>
        <v>0</v>
      </c>
      <c r="O537" s="1083">
        <f>K537*G537</f>
        <v>0</v>
      </c>
      <c r="P537" s="1080"/>
    </row>
    <row r="538" spans="1:16" s="1081" customFormat="1" hidden="1" outlineLevel="1">
      <c r="A538" s="1072">
        <f t="shared" si="104"/>
        <v>0</v>
      </c>
      <c r="B538" s="1206" t="s">
        <v>2121</v>
      </c>
      <c r="C538" s="1074"/>
      <c r="D538" s="1075">
        <f>VLOOKUP($B538,dongia1,DG!$B$5,)</f>
        <v>0</v>
      </c>
      <c r="E538" s="1243" t="str">
        <f>VLOOKUP($B538,dongia1,DG!$C$5,)</f>
        <v>Nắp che đầu cực LA</v>
      </c>
      <c r="F538" s="1198" t="str">
        <f>VLOOKUP($B538,dongia1,DG!$D$5,)</f>
        <v>cái</v>
      </c>
      <c r="G538" s="1087">
        <f>G481</f>
        <v>0</v>
      </c>
      <c r="H538" s="1062">
        <f>VLOOKUP($B538,dongia1,DG!$F$5,)</f>
        <v>39100</v>
      </c>
      <c r="I538" s="1062"/>
      <c r="J538" s="1062">
        <f>VLOOKUP($B538,dongia1,DG!$G$5,)</f>
        <v>0</v>
      </c>
      <c r="K538" s="1062">
        <f>VLOOKUP($B538,dongia1,DG!$H$5,)</f>
        <v>0</v>
      </c>
      <c r="L538" s="1174">
        <f>H538*G538</f>
        <v>0</v>
      </c>
      <c r="M538" s="1174">
        <f>I538*G538</f>
        <v>0</v>
      </c>
      <c r="N538" s="1174">
        <f>J538*G538</f>
        <v>0</v>
      </c>
      <c r="O538" s="1083">
        <f>K538*G538</f>
        <v>0</v>
      </c>
      <c r="P538" s="1080"/>
    </row>
    <row r="539" spans="1:16" s="1081" customFormat="1" hidden="1" outlineLevel="1">
      <c r="A539" s="1072">
        <f t="shared" si="104"/>
        <v>0</v>
      </c>
      <c r="B539" s="1206" t="s">
        <v>2123</v>
      </c>
      <c r="C539" s="1074"/>
      <c r="D539" s="1075">
        <f>VLOOKUP($B539,dongia1,DG!$B$5,)</f>
        <v>0</v>
      </c>
      <c r="E539" s="1243" t="str">
        <f>VLOOKUP($B539,dongia1,DG!$C$5,)</f>
        <v>Nắp che đầu sứ MBA</v>
      </c>
      <c r="F539" s="1198" t="str">
        <f>VLOOKUP($B539,dongia1,DG!$D$5,)</f>
        <v>cái</v>
      </c>
      <c r="G539" s="1087">
        <f>G478</f>
        <v>0</v>
      </c>
      <c r="H539" s="1062">
        <f>VLOOKUP($B539,dongia1,DG!$F$5,)</f>
        <v>56700</v>
      </c>
      <c r="I539" s="1062"/>
      <c r="J539" s="1062">
        <f>VLOOKUP($B539,dongia1,DG!$G$5,)</f>
        <v>0</v>
      </c>
      <c r="K539" s="1062">
        <f>VLOOKUP($B539,dongia1,DG!$H$5,)</f>
        <v>0</v>
      </c>
      <c r="L539" s="1174">
        <f>H539*G539</f>
        <v>0</v>
      </c>
      <c r="M539" s="1174">
        <f>I539*G539</f>
        <v>0</v>
      </c>
      <c r="N539" s="1174">
        <f>J539*G539</f>
        <v>0</v>
      </c>
      <c r="O539" s="1083">
        <f>K539*G539</f>
        <v>0</v>
      </c>
      <c r="P539" s="1080"/>
    </row>
    <row r="540" spans="1:16" s="1081" customFormat="1" hidden="1" outlineLevel="1">
      <c r="A540" s="1072">
        <f>IF(G540=0,0,1)</f>
        <v>0</v>
      </c>
      <c r="B540" s="1206" t="s">
        <v>4765</v>
      </c>
      <c r="C540" s="1074"/>
      <c r="D540" s="1075">
        <f>VLOOKUP($B540,dongia1,DG!$B$5,)</f>
        <v>0</v>
      </c>
      <c r="E540" s="1243" t="str">
        <f>VLOOKUP($B540,dongia1,DG!$C$5,)</f>
        <v>Chụp cách điện kẹp quai</v>
      </c>
      <c r="F540" s="1198" t="str">
        <f>VLOOKUP($B540,dongia1,DG!$D$5,)</f>
        <v>Cái</v>
      </c>
      <c r="G540" s="1087">
        <f>G535</f>
        <v>0</v>
      </c>
      <c r="H540" s="1062">
        <f>VLOOKUP($B540,dongia1,DG!$F$5,)</f>
        <v>136800</v>
      </c>
      <c r="I540" s="1062"/>
      <c r="J540" s="1062">
        <f>VLOOKUP($B540,dongia1,DG!$G$5,)</f>
        <v>0</v>
      </c>
      <c r="K540" s="1062">
        <f>VLOOKUP($B540,dongia1,DG!$H$5,)</f>
        <v>0</v>
      </c>
      <c r="L540" s="1174">
        <f>H540*G540</f>
        <v>0</v>
      </c>
      <c r="M540" s="1174">
        <f>I540*G540</f>
        <v>0</v>
      </c>
      <c r="N540" s="1174">
        <f>J540*G540</f>
        <v>0</v>
      </c>
      <c r="O540" s="1083">
        <f>K540*G540</f>
        <v>0</v>
      </c>
      <c r="P540" s="1080"/>
    </row>
    <row r="541" spans="1:16" s="1081" customFormat="1" hidden="1" outlineLevel="1">
      <c r="A541" s="1072">
        <f t="shared" si="104"/>
        <v>0</v>
      </c>
      <c r="B541" s="1206" t="s">
        <v>224</v>
      </c>
      <c r="C541" s="1074"/>
      <c r="D541" s="1075" t="str">
        <f>VLOOKUP($B541,dongia1,DG!$B$5,)</f>
        <v>T4.4201</v>
      </c>
      <c r="E541" s="1076" t="str">
        <f>VLOOKUP($B541,dongia1,DG!$C$5,)</f>
        <v>Lắp cáp đồng xuống thiết bị D ≤ 95mm2</v>
      </c>
      <c r="F541" s="1075" t="str">
        <f>VLOOKUP($B541,dongia1,DG!$D$5,)</f>
        <v>m</v>
      </c>
      <c r="G541" s="1087">
        <f>G534</f>
        <v>0</v>
      </c>
      <c r="H541" s="1062">
        <f>VLOOKUP($B541,dongia1,DG!$F$5,)</f>
        <v>0</v>
      </c>
      <c r="I541" s="1062"/>
      <c r="J541" s="1062">
        <f>VLOOKUP($B541,dongia1,DG!$G$5,)</f>
        <v>13915</v>
      </c>
      <c r="K541" s="1062">
        <f>VLOOKUP($B541,dongia1,DG!$H$5,)</f>
        <v>0</v>
      </c>
      <c r="L541" s="1174">
        <f t="shared" si="97"/>
        <v>0</v>
      </c>
      <c r="M541" s="1174">
        <f t="shared" si="98"/>
        <v>0</v>
      </c>
      <c r="N541" s="1174">
        <f t="shared" si="103"/>
        <v>0</v>
      </c>
      <c r="O541" s="1083">
        <f t="shared" si="100"/>
        <v>0</v>
      </c>
      <c r="P541" s="1080"/>
    </row>
    <row r="542" spans="1:16" s="1081" customFormat="1" hidden="1" outlineLevel="1">
      <c r="A542" s="1072">
        <f t="shared" si="104"/>
        <v>0</v>
      </c>
      <c r="B542" s="1073"/>
      <c r="C542" s="1064">
        <f>IF(G542&gt;0,C532+1,C532)</f>
        <v>0</v>
      </c>
      <c r="D542" s="1192"/>
      <c r="E542" s="1204" t="s">
        <v>4843</v>
      </c>
      <c r="F542" s="1064" t="s">
        <v>2113</v>
      </c>
      <c r="G542" s="1242">
        <f>G478</f>
        <v>0</v>
      </c>
      <c r="H542" s="1062"/>
      <c r="I542" s="1083"/>
      <c r="J542" s="1062"/>
      <c r="K542" s="1062"/>
      <c r="L542" s="1174">
        <f t="shared" si="97"/>
        <v>0</v>
      </c>
      <c r="M542" s="1174">
        <f t="shared" si="98"/>
        <v>0</v>
      </c>
      <c r="N542" s="1174">
        <f t="shared" si="103"/>
        <v>0</v>
      </c>
      <c r="O542" s="1083">
        <f t="shared" si="100"/>
        <v>0</v>
      </c>
      <c r="P542" s="1080"/>
    </row>
    <row r="543" spans="1:16" s="1081" customFormat="1" ht="14.4" hidden="1" outlineLevel="1">
      <c r="A543" s="1072">
        <f>A542</f>
        <v>0</v>
      </c>
      <c r="B543" s="1073"/>
      <c r="C543" s="1064"/>
      <c r="D543" s="1192"/>
      <c r="E543" s="1194" t="s">
        <v>3399</v>
      </c>
      <c r="F543" s="1064"/>
      <c r="G543" s="1242"/>
      <c r="H543" s="1062"/>
      <c r="I543" s="1083"/>
      <c r="J543" s="1062"/>
      <c r="K543" s="1062"/>
      <c r="L543" s="1174">
        <f t="shared" si="97"/>
        <v>0</v>
      </c>
      <c r="M543" s="1174">
        <f t="shared" si="98"/>
        <v>0</v>
      </c>
      <c r="N543" s="1174">
        <f t="shared" si="103"/>
        <v>0</v>
      </c>
      <c r="O543" s="1083">
        <f t="shared" si="100"/>
        <v>0</v>
      </c>
      <c r="P543" s="1080"/>
    </row>
    <row r="544" spans="1:16" s="1081" customFormat="1" hidden="1" outlineLevel="1">
      <c r="A544" s="1072">
        <f t="shared" ref="A544:A560" si="105">IF(G544=0,0,1)</f>
        <v>0</v>
      </c>
      <c r="B544" s="1073" t="s">
        <v>188</v>
      </c>
      <c r="C544" s="1064"/>
      <c r="D544" s="1075">
        <f>VLOOKUP($B544,dongia1,DG!$B$5,)</f>
        <v>0</v>
      </c>
      <c r="E544" s="1076" t="str">
        <f>VLOOKUP($B544,dongia1,DG!$C$5,)</f>
        <v>Cáp đồng bọc CV150</v>
      </c>
      <c r="F544" s="1075" t="str">
        <f>VLOOKUP($B544,dongia1,DG!$D$5,)</f>
        <v>mét</v>
      </c>
      <c r="G544" s="1087">
        <f>G542*9*3</f>
        <v>0</v>
      </c>
      <c r="H544" s="1062">
        <f>VLOOKUP($B544,dongia1,DG!$F$5,)</f>
        <v>194893</v>
      </c>
      <c r="I544" s="1062"/>
      <c r="J544" s="1062">
        <f>VLOOKUP($B544,dongia1,DG!$G$5,)</f>
        <v>0</v>
      </c>
      <c r="K544" s="1062">
        <f>VLOOKUP($B544,dongia1,DG!$H$5,)</f>
        <v>0</v>
      </c>
      <c r="L544" s="1174">
        <f t="shared" si="97"/>
        <v>0</v>
      </c>
      <c r="M544" s="1174">
        <f t="shared" si="98"/>
        <v>0</v>
      </c>
      <c r="N544" s="1174">
        <f t="shared" si="103"/>
        <v>0</v>
      </c>
      <c r="O544" s="1083">
        <f t="shared" si="100"/>
        <v>0</v>
      </c>
      <c r="P544" s="1080"/>
    </row>
    <row r="545" spans="1:16" s="1081" customFormat="1" hidden="1" outlineLevel="1">
      <c r="A545" s="1072">
        <f t="shared" si="105"/>
        <v>0</v>
      </c>
      <c r="B545" s="1073" t="s">
        <v>1796</v>
      </c>
      <c r="C545" s="1064"/>
      <c r="D545" s="1075">
        <f>VLOOKUP($B545,dongia1,DG!$B$5,)</f>
        <v>0</v>
      </c>
      <c r="E545" s="1076" t="str">
        <f>VLOOKUP($B545,dongia1,DG!$C$5,)</f>
        <v>Cáp đồng bọc CV120</v>
      </c>
      <c r="F545" s="1075" t="str">
        <f>VLOOKUP($B545,dongia1,DG!$D$5,)</f>
        <v>mét</v>
      </c>
      <c r="G545" s="1074">
        <f>G542*9*0</f>
        <v>0</v>
      </c>
      <c r="H545" s="1062">
        <f>VLOOKUP($B545,dongia1,DG!$F$5,)</f>
        <v>236300</v>
      </c>
      <c r="I545" s="1062"/>
      <c r="J545" s="1062">
        <f>VLOOKUP($B545,dongia1,DG!$G$5,)</f>
        <v>0</v>
      </c>
      <c r="K545" s="1062">
        <f>VLOOKUP($B545,dongia1,DG!$H$5,)</f>
        <v>0</v>
      </c>
      <c r="L545" s="1174">
        <f t="shared" si="97"/>
        <v>0</v>
      </c>
      <c r="M545" s="1174">
        <f t="shared" si="98"/>
        <v>0</v>
      </c>
      <c r="N545" s="1174">
        <f t="shared" si="103"/>
        <v>0</v>
      </c>
      <c r="O545" s="1083">
        <f t="shared" si="100"/>
        <v>0</v>
      </c>
      <c r="P545" s="1080"/>
    </row>
    <row r="546" spans="1:16" s="1081" customFormat="1" hidden="1" outlineLevel="1">
      <c r="A546" s="1072">
        <f t="shared" si="105"/>
        <v>0</v>
      </c>
      <c r="B546" s="1073" t="s">
        <v>4842</v>
      </c>
      <c r="C546" s="1074"/>
      <c r="D546" s="1075">
        <f>VLOOKUP($B546,dongia1,DG!$B$5,)</f>
        <v>0</v>
      </c>
      <c r="E546" s="1076" t="str">
        <f>VLOOKUP($B546,dongia1,DG!$C$5,)</f>
        <v xml:space="preserve">Cáp CVV 4x4mm2  </v>
      </c>
      <c r="F546" s="1075" t="str">
        <f>VLOOKUP($B546,dongia1,DG!$D$5,)</f>
        <v>mét</v>
      </c>
      <c r="G546" s="1087">
        <f>4*G542</f>
        <v>0</v>
      </c>
      <c r="H546" s="1062">
        <f>VLOOKUP($B546,dongia1,DG!$F$5,)</f>
        <v>63200</v>
      </c>
      <c r="I546" s="1062"/>
      <c r="J546" s="1062">
        <f>VLOOKUP($B546,dongia1,DG!$G$5,)</f>
        <v>0</v>
      </c>
      <c r="K546" s="1062">
        <f>VLOOKUP($B546,dongia1,DG!$H$5,)</f>
        <v>0</v>
      </c>
      <c r="L546" s="1174">
        <f t="shared" si="97"/>
        <v>0</v>
      </c>
      <c r="M546" s="1174">
        <f t="shared" si="98"/>
        <v>0</v>
      </c>
      <c r="N546" s="1174">
        <f t="shared" si="103"/>
        <v>0</v>
      </c>
      <c r="O546" s="1083">
        <f t="shared" si="100"/>
        <v>0</v>
      </c>
      <c r="P546" s="1080"/>
    </row>
    <row r="547" spans="1:16" s="1081" customFormat="1" hidden="1" outlineLevel="1">
      <c r="A547" s="1072">
        <f t="shared" si="105"/>
        <v>0</v>
      </c>
      <c r="B547" s="1086" t="s">
        <v>1869</v>
      </c>
      <c r="C547" s="1074"/>
      <c r="D547" s="1075" t="str">
        <f>VLOOKUP($B547,dongia1,DG!$B$5,)</f>
        <v>D4.5006</v>
      </c>
      <c r="E547" s="1076" t="str">
        <f>VLOOKUP($B547,dongia1,DG!$C$5,)</f>
        <v>Đầu cosse ép Cu 150mm2</v>
      </c>
      <c r="F547" s="1075" t="str">
        <f>VLOOKUP($B547,dongia1,DG!$D$5,)</f>
        <v>cái</v>
      </c>
      <c r="G547" s="1087">
        <f>G542*3</f>
        <v>0</v>
      </c>
      <c r="H547" s="1062">
        <f>VLOOKUP($B547,dongia1,DG!$F$5,)</f>
        <v>36000</v>
      </c>
      <c r="I547" s="1062"/>
      <c r="J547" s="1062">
        <f>VLOOKUP($B547,dongia1,DG!$G$5,)</f>
        <v>33342.43</v>
      </c>
      <c r="K547" s="1062">
        <f>VLOOKUP($B547,dongia1,DG!$H$5,)</f>
        <v>4443.237196</v>
      </c>
      <c r="L547" s="1174">
        <f t="shared" si="97"/>
        <v>0</v>
      </c>
      <c r="M547" s="1174">
        <f t="shared" si="98"/>
        <v>0</v>
      </c>
      <c r="N547" s="1174">
        <f t="shared" si="103"/>
        <v>0</v>
      </c>
      <c r="O547" s="1083">
        <f t="shared" si="100"/>
        <v>0</v>
      </c>
      <c r="P547" s="1080"/>
    </row>
    <row r="548" spans="1:16" s="1081" customFormat="1" hidden="1" outlineLevel="1">
      <c r="A548" s="1072">
        <f t="shared" si="105"/>
        <v>0</v>
      </c>
      <c r="B548" s="1086" t="str">
        <f>IF(G542=1,"Cos"&amp;RIGHT(B$545,3),"Cos"&amp;RIGHT(B$545,3))</f>
        <v>Cos120</v>
      </c>
      <c r="C548" s="1074"/>
      <c r="D548" s="1075" t="str">
        <f>VLOOKUP($B548,dongia1,DG!$B$5,)</f>
        <v>D4.5005</v>
      </c>
      <c r="E548" s="1076" t="str">
        <f>VLOOKUP($B548,dongia1,DG!$C$5,)</f>
        <v>Đầu cosse ép Cu 120mm2</v>
      </c>
      <c r="F548" s="1075" t="str">
        <f>VLOOKUP($B548,dongia1,DG!$D$5,)</f>
        <v>cái</v>
      </c>
      <c r="G548" s="1074">
        <f>G542*0</f>
        <v>0</v>
      </c>
      <c r="H548" s="1062">
        <f>VLOOKUP($B548,dongia1,DG!$F$5,)</f>
        <v>27000</v>
      </c>
      <c r="I548" s="1062"/>
      <c r="J548" s="1062">
        <f>VLOOKUP($B548,dongia1,DG!$G$5,)</f>
        <v>27280.17</v>
      </c>
      <c r="K548" s="1062">
        <f>VLOOKUP($B548,dongia1,DG!$H$5,)</f>
        <v>3887.8325465000003</v>
      </c>
      <c r="L548" s="1174">
        <f t="shared" si="97"/>
        <v>0</v>
      </c>
      <c r="M548" s="1174">
        <f t="shared" si="98"/>
        <v>0</v>
      </c>
      <c r="N548" s="1174">
        <f t="shared" si="103"/>
        <v>0</v>
      </c>
      <c r="O548" s="1083">
        <f t="shared" si="100"/>
        <v>0</v>
      </c>
      <c r="P548" s="1080"/>
    </row>
    <row r="549" spans="1:16" s="1081" customFormat="1" hidden="1" outlineLevel="1">
      <c r="A549" s="1072">
        <f t="shared" si="105"/>
        <v>0</v>
      </c>
      <c r="B549" s="1086" t="s">
        <v>475</v>
      </c>
      <c r="C549" s="1074"/>
      <c r="D549" s="1075">
        <f>VLOOKUP($B549,dongia1,DG!$B$5,)</f>
        <v>0</v>
      </c>
      <c r="E549" s="1076" t="str">
        <f>VLOOKUP($B549,dongia1,DG!$C$5,)</f>
        <v>Chụp đầu cosse  150mm2</v>
      </c>
      <c r="F549" s="1075" t="str">
        <f>VLOOKUP($B549,dongia1,DG!$D$5,)</f>
        <v>cái</v>
      </c>
      <c r="G549" s="1087">
        <f>G547</f>
        <v>0</v>
      </c>
      <c r="H549" s="1062">
        <f>VLOOKUP($B549,dongia1,DG!$F$5,)</f>
        <v>5000</v>
      </c>
      <c r="I549" s="1062"/>
      <c r="J549" s="1062">
        <f>VLOOKUP($B549,dongia1,DG!$G$5,)</f>
        <v>0</v>
      </c>
      <c r="K549" s="1062">
        <f>VLOOKUP($B549,dongia1,DG!$H$5,)</f>
        <v>0</v>
      </c>
      <c r="L549" s="1174">
        <f t="shared" si="97"/>
        <v>0</v>
      </c>
      <c r="M549" s="1174">
        <f t="shared" si="98"/>
        <v>0</v>
      </c>
      <c r="N549" s="1174">
        <f t="shared" si="103"/>
        <v>0</v>
      </c>
      <c r="O549" s="1083">
        <f t="shared" si="100"/>
        <v>0</v>
      </c>
      <c r="P549" s="1080"/>
    </row>
    <row r="550" spans="1:16" s="1081" customFormat="1" hidden="1" outlineLevel="1">
      <c r="A550" s="1072">
        <f t="shared" si="105"/>
        <v>0</v>
      </c>
      <c r="B550" s="1086" t="s">
        <v>825</v>
      </c>
      <c r="C550" s="1074"/>
      <c r="D550" s="1075">
        <f>VLOOKUP($B550,dongia1,DG!$B$5,)</f>
        <v>0</v>
      </c>
      <c r="E550" s="1076" t="str">
        <f>VLOOKUP($B550,dongia1,DG!$C$5,)</f>
        <v>Chụp đầu cosse  120mm2</v>
      </c>
      <c r="F550" s="1075" t="str">
        <f>VLOOKUP($B550,dongia1,DG!$D$5,)</f>
        <v>cái</v>
      </c>
      <c r="G550" s="1074">
        <f>G548*0</f>
        <v>0</v>
      </c>
      <c r="H550" s="1062">
        <f>VLOOKUP($B550,dongia1,DG!$F$5,)</f>
        <v>4000</v>
      </c>
      <c r="I550" s="1062"/>
      <c r="J550" s="1062">
        <f>VLOOKUP($B550,dongia1,DG!$G$5,)</f>
        <v>0</v>
      </c>
      <c r="K550" s="1062">
        <f>VLOOKUP($B550,dongia1,DG!$H$5,)</f>
        <v>0</v>
      </c>
      <c r="L550" s="1174">
        <f t="shared" ref="L550:L555" si="106">H550*G550</f>
        <v>0</v>
      </c>
      <c r="M550" s="1174">
        <f t="shared" ref="M550:M555" si="107">I550*G550</f>
        <v>0</v>
      </c>
      <c r="N550" s="1174">
        <f t="shared" ref="N550:N555" si="108">J550*G550</f>
        <v>0</v>
      </c>
      <c r="O550" s="1083">
        <f t="shared" ref="O550:O555" si="109">K550*G550</f>
        <v>0</v>
      </c>
      <c r="P550" s="1080"/>
    </row>
    <row r="551" spans="1:16" s="1081" customFormat="1" hidden="1" outlineLevel="1">
      <c r="A551" s="1072">
        <f t="shared" si="105"/>
        <v>0</v>
      </c>
      <c r="B551" s="1086" t="s">
        <v>595</v>
      </c>
      <c r="C551" s="1074"/>
      <c r="D551" s="1075">
        <f>VLOOKUP($B551,dongia1,DG!$B$5,)</f>
        <v>0</v>
      </c>
      <c r="E551" s="1076" t="str">
        <f>VLOOKUP($B551,dongia1,DG!$C$5,)</f>
        <v xml:space="preserve">Ống PVC D90x3,8mm </v>
      </c>
      <c r="F551" s="1075" t="str">
        <f>VLOOKUP($B551,dongia1,DG!$D$5,)</f>
        <v>m</v>
      </c>
      <c r="G551" s="1087">
        <f>8*G542</f>
        <v>0</v>
      </c>
      <c r="H551" s="1062">
        <f>VLOOKUP($B551,dongia1,DG!$F$5,)</f>
        <v>63200</v>
      </c>
      <c r="I551" s="1083"/>
      <c r="J551" s="1062">
        <f>VLOOKUP($B551,dongia1,DG!$G$5,)</f>
        <v>0</v>
      </c>
      <c r="K551" s="1062">
        <f>VLOOKUP($B551,dongia1,DG!$H$5,)</f>
        <v>0</v>
      </c>
      <c r="L551" s="1174">
        <f t="shared" si="106"/>
        <v>0</v>
      </c>
      <c r="M551" s="1174">
        <f t="shared" si="107"/>
        <v>0</v>
      </c>
      <c r="N551" s="1174">
        <f t="shared" si="108"/>
        <v>0</v>
      </c>
      <c r="O551" s="1083">
        <f t="shared" si="109"/>
        <v>0</v>
      </c>
      <c r="P551" s="1080"/>
    </row>
    <row r="552" spans="1:16" s="1081" customFormat="1" hidden="1" outlineLevel="1">
      <c r="A552" s="1072">
        <f t="shared" si="105"/>
        <v>0</v>
      </c>
      <c r="B552" s="1067" t="s">
        <v>591</v>
      </c>
      <c r="C552" s="1074"/>
      <c r="D552" s="1075">
        <f>VLOOKUP($B552,dongia1,DG!$B$5,)</f>
        <v>0</v>
      </c>
      <c r="E552" s="1076" t="str">
        <f>VLOOKUP($B552,dongia1,DG!$C$5,)</f>
        <v>Cổ dê kẹp ống PVC Þ 90</v>
      </c>
      <c r="F552" s="1075" t="str">
        <f>VLOOKUP($B552,dongia1,DG!$D$5,)</f>
        <v>bộ</v>
      </c>
      <c r="G552" s="1087">
        <f>3*G542</f>
        <v>0</v>
      </c>
      <c r="H552" s="1062">
        <f>VLOOKUP($B552,dongia1,DG!$F$5,)</f>
        <v>49000</v>
      </c>
      <c r="I552" s="1083"/>
      <c r="J552" s="1062">
        <f>VLOOKUP($B552,dongia1,DG!$G$5,)</f>
        <v>0</v>
      </c>
      <c r="K552" s="1062">
        <f>VLOOKUP($B552,dongia1,DG!$H$5,)</f>
        <v>0</v>
      </c>
      <c r="L552" s="1174">
        <f t="shared" si="106"/>
        <v>0</v>
      </c>
      <c r="M552" s="1174">
        <f t="shared" si="107"/>
        <v>0</v>
      </c>
      <c r="N552" s="1174">
        <f t="shared" si="108"/>
        <v>0</v>
      </c>
      <c r="O552" s="1083">
        <f t="shared" si="109"/>
        <v>0</v>
      </c>
      <c r="P552" s="1080"/>
    </row>
    <row r="553" spans="1:16" s="1081" customFormat="1" hidden="1" outlineLevel="1">
      <c r="A553" s="1072">
        <f t="shared" si="105"/>
        <v>0</v>
      </c>
      <c r="B553" s="1086" t="s">
        <v>111</v>
      </c>
      <c r="C553" s="1074"/>
      <c r="D553" s="1075">
        <f>VLOOKUP($B553,dongia1,DG!$B$5,)</f>
        <v>0</v>
      </c>
      <c r="E553" s="1076" t="str">
        <f>VLOOKUP($B553,dongia1,DG!$C$5,)</f>
        <v>Co  90 độ PVC 90 (loại dày)</v>
      </c>
      <c r="F553" s="1075" t="str">
        <f>VLOOKUP($B553,dongia1,DG!$D$5,)</f>
        <v>cái</v>
      </c>
      <c r="G553" s="1087">
        <f>2*G542</f>
        <v>0</v>
      </c>
      <c r="H553" s="1062">
        <f>VLOOKUP($B553,dongia1,DG!$F$5,)</f>
        <v>45400</v>
      </c>
      <c r="I553" s="1083"/>
      <c r="J553" s="1062">
        <f>VLOOKUP($B553,dongia1,DG!$G$5,)</f>
        <v>0</v>
      </c>
      <c r="K553" s="1062">
        <f>VLOOKUP($B553,dongia1,DG!$H$5,)</f>
        <v>0</v>
      </c>
      <c r="L553" s="1174">
        <f t="shared" si="106"/>
        <v>0</v>
      </c>
      <c r="M553" s="1174">
        <f t="shared" si="107"/>
        <v>0</v>
      </c>
      <c r="N553" s="1174">
        <f t="shared" si="108"/>
        <v>0</v>
      </c>
      <c r="O553" s="1083">
        <f t="shared" si="109"/>
        <v>0</v>
      </c>
      <c r="P553" s="1080"/>
    </row>
    <row r="554" spans="1:16" s="1081" customFormat="1" hidden="1" outlineLevel="1">
      <c r="A554" s="1072">
        <f t="shared" si="105"/>
        <v>0</v>
      </c>
      <c r="B554" s="1086" t="s">
        <v>1972</v>
      </c>
      <c r="C554" s="1074"/>
      <c r="D554" s="1075">
        <f>VLOOKUP($B554,dongia1,DG!$B$5,)</f>
        <v>0</v>
      </c>
      <c r="E554" s="1076" t="str">
        <f>VLOOKUP($B554,dongia1,DG!$C$5,)</f>
        <v xml:space="preserve">Nối thẳng ống PVC 90 </v>
      </c>
      <c r="F554" s="1075" t="str">
        <f>VLOOKUP($B554,dongia1,DG!$D$5,)</f>
        <v>cái</v>
      </c>
      <c r="G554" s="1087">
        <f>G542*0</f>
        <v>0</v>
      </c>
      <c r="H554" s="1062">
        <f>VLOOKUP($B554,dongia1,DG!$F$5,)</f>
        <v>12400</v>
      </c>
      <c r="I554" s="1083"/>
      <c r="J554" s="1062">
        <f>VLOOKUP($B554,dongia1,DG!$G$5,)</f>
        <v>0</v>
      </c>
      <c r="K554" s="1062">
        <f>VLOOKUP($B554,dongia1,DG!$H$5,)</f>
        <v>0</v>
      </c>
      <c r="L554" s="1174">
        <f t="shared" si="106"/>
        <v>0</v>
      </c>
      <c r="M554" s="1174">
        <f t="shared" si="107"/>
        <v>0</v>
      </c>
      <c r="N554" s="1174">
        <f t="shared" si="108"/>
        <v>0</v>
      </c>
      <c r="O554" s="1083">
        <f t="shared" si="109"/>
        <v>0</v>
      </c>
      <c r="P554" s="1080"/>
    </row>
    <row r="555" spans="1:16" s="1081" customFormat="1" hidden="1" outlineLevel="1">
      <c r="A555" s="1072">
        <f t="shared" si="105"/>
        <v>0</v>
      </c>
      <c r="B555" s="1086" t="s">
        <v>887</v>
      </c>
      <c r="C555" s="1074"/>
      <c r="D555" s="1075">
        <f>VLOOKUP($B555,dongia1,DG!$B$5,)</f>
        <v>0</v>
      </c>
      <c r="E555" s="1076" t="str">
        <f>VLOOKUP($B555,dongia1,DG!$C$5,)</f>
        <v>Keo dán ống PVC (100gr)</v>
      </c>
      <c r="F555" s="1075" t="str">
        <f>VLOOKUP($B555,dongia1,DG!$D$5,)</f>
        <v>tuýp</v>
      </c>
      <c r="G555" s="1087">
        <f>G542</f>
        <v>0</v>
      </c>
      <c r="H555" s="1062">
        <f>VLOOKUP($B555,dongia1,DG!$F$5,)</f>
        <v>11500</v>
      </c>
      <c r="I555" s="1083"/>
      <c r="J555" s="1062">
        <f>VLOOKUP($B555,dongia1,DG!$G$5,)</f>
        <v>0</v>
      </c>
      <c r="K555" s="1062">
        <f>VLOOKUP($B555,dongia1,DG!$H$5,)</f>
        <v>0</v>
      </c>
      <c r="L555" s="1174">
        <f t="shared" si="106"/>
        <v>0</v>
      </c>
      <c r="M555" s="1174">
        <f t="shared" si="107"/>
        <v>0</v>
      </c>
      <c r="N555" s="1174">
        <f t="shared" si="108"/>
        <v>0</v>
      </c>
      <c r="O555" s="1083">
        <f t="shared" si="109"/>
        <v>0</v>
      </c>
      <c r="P555" s="1080"/>
    </row>
    <row r="556" spans="1:16" s="1081" customFormat="1" hidden="1" outlineLevel="1">
      <c r="A556" s="1072">
        <f t="shared" si="105"/>
        <v>0</v>
      </c>
      <c r="B556" s="1086" t="s">
        <v>429</v>
      </c>
      <c r="C556" s="1074"/>
      <c r="D556" s="1075">
        <f>VLOOKUP($B556,dongia1,DG!$B$5,)</f>
        <v>0</v>
      </c>
      <c r="E556" s="1076" t="str">
        <f>VLOOKUP($B556,dongia1,DG!$C$5,)</f>
        <v>Keo silicon bít miệng ống</v>
      </c>
      <c r="F556" s="1075" t="str">
        <f>VLOOKUP($B556,dongia1,DG!$D$5,)</f>
        <v>chai</v>
      </c>
      <c r="G556" s="1087">
        <f>G542</f>
        <v>0</v>
      </c>
      <c r="H556" s="1062">
        <f>VLOOKUP($B556,dongia1,DG!$F$5,)</f>
        <v>45000</v>
      </c>
      <c r="I556" s="1083"/>
      <c r="J556" s="1062">
        <f>VLOOKUP($B556,dongia1,DG!$G$5,)</f>
        <v>0</v>
      </c>
      <c r="K556" s="1062">
        <f>VLOOKUP($B556,dongia1,DG!$H$5,)</f>
        <v>0</v>
      </c>
      <c r="L556" s="1174">
        <f>H556*G556</f>
        <v>0</v>
      </c>
      <c r="M556" s="1174">
        <f>I556*G556</f>
        <v>0</v>
      </c>
      <c r="N556" s="1174">
        <f>J556*G556</f>
        <v>0</v>
      </c>
      <c r="O556" s="1083">
        <f>K556*G556</f>
        <v>0</v>
      </c>
      <c r="P556" s="1080"/>
    </row>
    <row r="557" spans="1:16" s="1081" customFormat="1" hidden="1" outlineLevel="1">
      <c r="A557" s="1072">
        <f t="shared" si="105"/>
        <v>0</v>
      </c>
      <c r="B557" s="1067" t="s">
        <v>236</v>
      </c>
      <c r="C557" s="1074"/>
      <c r="D557" s="1196"/>
      <c r="E557" s="1076" t="str">
        <f>VLOOKUP($B557,dongia1,DG!$C$5,)</f>
        <v>Băng keo cách điện hạ thế</v>
      </c>
      <c r="F557" s="1075" t="str">
        <f>VLOOKUP($B557,dongia1,DG!$D$5,)</f>
        <v>cuộn</v>
      </c>
      <c r="G557" s="1087">
        <f>G542</f>
        <v>0</v>
      </c>
      <c r="H557" s="1062">
        <f>VLOOKUP($B557,dongia1,DG!$F$5,)</f>
        <v>6500</v>
      </c>
      <c r="I557" s="1083"/>
      <c r="J557" s="1062">
        <f>VLOOKUP($B557,dongia1,DG!$G$5,)</f>
        <v>0</v>
      </c>
      <c r="K557" s="1062">
        <f>VLOOKUP($B557,dongia1,DG!$H$5,)</f>
        <v>0</v>
      </c>
      <c r="L557" s="1174">
        <f>H557*G557</f>
        <v>0</v>
      </c>
      <c r="M557" s="1174">
        <f>I557*G557</f>
        <v>0</v>
      </c>
      <c r="N557" s="1174">
        <f>J557*G557</f>
        <v>0</v>
      </c>
      <c r="O557" s="1083">
        <f>K557*G557</f>
        <v>0</v>
      </c>
      <c r="P557" s="1080"/>
    </row>
    <row r="558" spans="1:16" s="1081" customFormat="1" hidden="1" outlineLevel="1">
      <c r="A558" s="1072">
        <f t="shared" si="105"/>
        <v>0</v>
      </c>
      <c r="B558" s="1086" t="s">
        <v>1194</v>
      </c>
      <c r="C558" s="1074"/>
      <c r="D558" s="1075" t="str">
        <f>VLOOKUP($B558,dongia1,DG!$B$5,)</f>
        <v>D4.1409</v>
      </c>
      <c r="E558" s="1076" t="str">
        <f>VLOOKUP($B558,dongia1,DG!$C$5,)</f>
        <v>Lắp ống nhựa PVC D90</v>
      </c>
      <c r="F558" s="1075" t="str">
        <f>VLOOKUP($B558,dongia1,DG!$D$5,)</f>
        <v>mét</v>
      </c>
      <c r="G558" s="1087">
        <f>G551</f>
        <v>0</v>
      </c>
      <c r="H558" s="1062"/>
      <c r="I558" s="1083"/>
      <c r="J558" s="1062">
        <f>VLOOKUP($B558,dongia1,DG!$G$5,)</f>
        <v>55493.02</v>
      </c>
      <c r="K558" s="1062">
        <f>VLOOKUP($B558,dongia1,DG!$H$5,)</f>
        <v>0</v>
      </c>
      <c r="L558" s="1174">
        <f>H558*G558</f>
        <v>0</v>
      </c>
      <c r="M558" s="1174">
        <f>I558*G558</f>
        <v>0</v>
      </c>
      <c r="N558" s="1174">
        <f>J558*G558</f>
        <v>0</v>
      </c>
      <c r="O558" s="1083">
        <f>K558*G558</f>
        <v>0</v>
      </c>
      <c r="P558" s="1080"/>
    </row>
    <row r="559" spans="1:16" s="1081" customFormat="1" hidden="1" outlineLevel="1">
      <c r="A559" s="1072">
        <f t="shared" si="105"/>
        <v>0</v>
      </c>
      <c r="B559" s="1067" t="s">
        <v>1346</v>
      </c>
      <c r="C559" s="1074"/>
      <c r="D559" s="1075" t="str">
        <f>VLOOKUP($B559,dongia1,DG!$B$5,)</f>
        <v>T4.4202</v>
      </c>
      <c r="E559" s="1076" t="str">
        <f>VLOOKUP($B559,dongia1,DG!$C$5,)</f>
        <v>Lắp cáp đồng xuống thiết bị D ≤ 150mm2</v>
      </c>
      <c r="F559" s="1075" t="str">
        <f>VLOOKUP($B559,dongia1,DG!$D$5,)</f>
        <v>m</v>
      </c>
      <c r="G559" s="1087">
        <f>G544+G545</f>
        <v>0</v>
      </c>
      <c r="H559" s="1062"/>
      <c r="I559" s="1083"/>
      <c r="J559" s="1062">
        <f>VLOOKUP($B559,dongia1,DG!$G$5,)</f>
        <v>33396</v>
      </c>
      <c r="K559" s="1062">
        <f>VLOOKUP($B559,dongia1,DG!$H$5,)</f>
        <v>0</v>
      </c>
      <c r="L559" s="1174">
        <f>H559*G559</f>
        <v>0</v>
      </c>
      <c r="M559" s="1174">
        <f>I559*G559</f>
        <v>0</v>
      </c>
      <c r="N559" s="1174">
        <f>J559*G559</f>
        <v>0</v>
      </c>
      <c r="O559" s="1083">
        <f>K559*G559</f>
        <v>0</v>
      </c>
      <c r="P559" s="1080"/>
    </row>
    <row r="560" spans="1:16" s="1081" customFormat="1" hidden="1" outlineLevel="1">
      <c r="A560" s="1072">
        <f t="shared" si="105"/>
        <v>0</v>
      </c>
      <c r="B560" s="1086" t="s">
        <v>888</v>
      </c>
      <c r="C560" s="1207">
        <f>IF(G560&gt;0,C542+1,C542)</f>
        <v>0</v>
      </c>
      <c r="D560" s="1208"/>
      <c r="E560" s="1076" t="str">
        <f>VLOOKUP($B560,dongia1,DG!$C$5,)</f>
        <v>Bảng tên trạm + bảng báo nguy hiểm</v>
      </c>
      <c r="F560" s="1075" t="str">
        <f>VLOOKUP($B560,dongia1,DG!$D$5,)</f>
        <v>cái</v>
      </c>
      <c r="G560" s="1244">
        <f>G501</f>
        <v>0</v>
      </c>
      <c r="H560" s="1062">
        <f>VLOOKUP($B560,dongia1,DG!$F$5,)</f>
        <v>300000</v>
      </c>
      <c r="I560" s="1210"/>
      <c r="J560" s="1062">
        <f>VLOOKUP($B560,dongia1,DG!$G$5,)</f>
        <v>0</v>
      </c>
      <c r="K560" s="1062">
        <f>VLOOKUP($B560,dongia1,DG!$H$5,)</f>
        <v>0</v>
      </c>
      <c r="L560" s="1209">
        <f>H560*G560</f>
        <v>0</v>
      </c>
      <c r="M560" s="1209">
        <f>I560*G560</f>
        <v>0</v>
      </c>
      <c r="N560" s="1209">
        <f>J560*G560</f>
        <v>0</v>
      </c>
      <c r="O560" s="1210">
        <f>K560*G560</f>
        <v>0</v>
      </c>
      <c r="P560" s="1229"/>
    </row>
    <row r="561" spans="1:16" s="1081" customFormat="1" hidden="1" outlineLevel="1">
      <c r="A561" s="1154" t="str">
        <f>A473</f>
        <v/>
      </c>
      <c r="B561" s="1073"/>
      <c r="C561" s="1212"/>
      <c r="D561" s="1213"/>
      <c r="E561" s="1230"/>
      <c r="F561" s="1215"/>
      <c r="G561" s="1215"/>
      <c r="H561" s="1215"/>
      <c r="I561" s="1215"/>
      <c r="J561" s="2460" t="s">
        <v>3388</v>
      </c>
      <c r="K561" s="2460"/>
      <c r="L561" s="1216">
        <f>SUM(L489:L560)</f>
        <v>0</v>
      </c>
      <c r="M561" s="1216"/>
      <c r="N561" s="1216">
        <f>SUM(N489:N560)</f>
        <v>0</v>
      </c>
      <c r="O561" s="1216">
        <f>SUM(O489:O560)</f>
        <v>0</v>
      </c>
      <c r="P561" s="1220"/>
    </row>
    <row r="562" spans="1:16" s="1081" customFormat="1" hidden="1">
      <c r="A562" s="1199" t="str">
        <f>IF(G567&lt;&gt;0,1,"")</f>
        <v/>
      </c>
      <c r="B562" s="1073"/>
      <c r="C562" s="1217"/>
      <c r="D562" s="1238"/>
      <c r="E562" s="1239"/>
    </row>
    <row r="563" spans="1:16" s="1081" customFormat="1" hidden="1" outlineLevel="1">
      <c r="A563" s="1154" t="str">
        <f>A562</f>
        <v/>
      </c>
      <c r="B563" s="1073"/>
      <c r="C563" s="1143" t="str">
        <f>" BẢNG TỔNG HỢP VẬT LIỆU, NHÂN CÔNG, MÁY THI CÔNG: "&amp;K6&amp;" TRẠM 3P 3x15KVA"</f>
        <v xml:space="preserve"> BẢNG TỔNG HỢP VẬT LIỆU, NHÂN CÔNG, MÁY THI CÔNG: 0 TRẠM 3P 3x15KVA</v>
      </c>
      <c r="D563" s="1232"/>
      <c r="E563" s="1143"/>
      <c r="F563" s="1143"/>
      <c r="G563" s="1143"/>
      <c r="H563" s="1143"/>
      <c r="I563" s="1143"/>
      <c r="J563" s="1143"/>
      <c r="K563" s="1143"/>
      <c r="L563" s="1143"/>
      <c r="M563" s="1143"/>
      <c r="N563" s="1143"/>
      <c r="O563" s="1143"/>
    </row>
    <row r="564" spans="1:16" s="1081" customFormat="1" hidden="1" outlineLevel="1">
      <c r="A564" s="1154" t="str">
        <f>A563</f>
        <v/>
      </c>
      <c r="B564" s="1073" t="s">
        <v>308</v>
      </c>
      <c r="C564" s="2459" t="s">
        <v>1014</v>
      </c>
      <c r="D564" s="2467" t="s">
        <v>3363</v>
      </c>
      <c r="E564" s="2457" t="s">
        <v>3364</v>
      </c>
      <c r="F564" s="2459" t="s">
        <v>3365</v>
      </c>
      <c r="G564" s="1155" t="s">
        <v>3367</v>
      </c>
      <c r="H564" s="1156" t="s">
        <v>3368</v>
      </c>
      <c r="I564" s="1157"/>
      <c r="J564" s="1157"/>
      <c r="K564" s="1158"/>
      <c r="L564" s="1156" t="s">
        <v>3372</v>
      </c>
      <c r="M564" s="1157"/>
      <c r="N564" s="1157"/>
      <c r="O564" s="1158"/>
      <c r="P564" s="2459" t="s">
        <v>3373</v>
      </c>
    </row>
    <row r="565" spans="1:16" s="1081" customFormat="1" hidden="1" outlineLevel="1">
      <c r="A565" s="1154" t="str">
        <f>A564</f>
        <v/>
      </c>
      <c r="B565" s="1073"/>
      <c r="C565" s="2459"/>
      <c r="D565" s="2468"/>
      <c r="E565" s="2458"/>
      <c r="F565" s="2459"/>
      <c r="G565" s="1160" t="s">
        <v>3366</v>
      </c>
      <c r="H565" s="1161" t="s">
        <v>393</v>
      </c>
      <c r="I565" s="1161" t="s">
        <v>3369</v>
      </c>
      <c r="J565" s="1161" t="s">
        <v>3370</v>
      </c>
      <c r="K565" s="1161" t="s">
        <v>3371</v>
      </c>
      <c r="L565" s="1161" t="s">
        <v>393</v>
      </c>
      <c r="M565" s="1161" t="s">
        <v>3369</v>
      </c>
      <c r="N565" s="1161" t="s">
        <v>3370</v>
      </c>
      <c r="O565" s="1161" t="s">
        <v>3371</v>
      </c>
      <c r="P565" s="2459"/>
    </row>
    <row r="566" spans="1:16" s="1081" customFormat="1" hidden="1" outlineLevel="1">
      <c r="A566" s="1154" t="str">
        <f>A565</f>
        <v/>
      </c>
      <c r="B566" s="1073"/>
      <c r="C566" s="1162"/>
      <c r="D566" s="1163"/>
      <c r="E566" s="1164" t="s">
        <v>3375</v>
      </c>
      <c r="F566" s="1165"/>
      <c r="G566" s="1165"/>
      <c r="H566" s="1165"/>
      <c r="I566" s="1165"/>
      <c r="J566" s="1165"/>
      <c r="K566" s="1165"/>
      <c r="L566" s="1165"/>
      <c r="M566" s="1165"/>
      <c r="N566" s="1165"/>
      <c r="O566" s="1163"/>
      <c r="P566" s="1166"/>
    </row>
    <row r="567" spans="1:16" s="1081" customFormat="1" hidden="1" outlineLevel="1">
      <c r="A567" s="1154" t="str">
        <f t="shared" ref="A567:A572" si="110">IF(G567&gt;0,1,"")</f>
        <v/>
      </c>
      <c r="B567" s="1167" t="str">
        <f>IF($F$8=22,"TR151","TR15")</f>
        <v>TR151</v>
      </c>
      <c r="C567" s="1168">
        <f>IF(G567&gt;0,1,0)</f>
        <v>0</v>
      </c>
      <c r="D567" s="1075" t="str">
        <f>VLOOKUP($B567,dongia1,DG!$B$5,)</f>
        <v>T1.1431</v>
      </c>
      <c r="E567" s="1076" t="str">
        <f>VLOOKUP($B567,dongia1,DG!$C$5,)</f>
        <v>Máy biến áp 12,7/0,22-0,44kV  15kVA</v>
      </c>
      <c r="F567" s="1075" t="str">
        <f>VLOOKUP($B567,dongia1,DG!$D$5,)</f>
        <v>máy</v>
      </c>
      <c r="G567" s="1218">
        <f>$K$6*3</f>
        <v>0</v>
      </c>
      <c r="H567" s="1062">
        <f>VLOOKUP($B567,dongia1,DG!$E$5,)</f>
        <v>25444000</v>
      </c>
      <c r="I567" s="1062"/>
      <c r="J567" s="1062">
        <f>VLOOKUP($B567,dongia1,DG!$G$5,)</f>
        <v>546322</v>
      </c>
      <c r="K567" s="1062">
        <f>VLOOKUP($B567,dongia1,DG!$H$5,)</f>
        <v>284508</v>
      </c>
      <c r="L567" s="1174">
        <f t="shared" ref="L567:L572" si="111">H567*G567</f>
        <v>0</v>
      </c>
      <c r="M567" s="1174">
        <f t="shared" ref="M567:M572" si="112">I567*G567</f>
        <v>0</v>
      </c>
      <c r="N567" s="1174">
        <f t="shared" ref="N567:N572" si="113">J567*G567</f>
        <v>0</v>
      </c>
      <c r="O567" s="1083">
        <f t="shared" ref="O567:O572" si="114">K567*G567</f>
        <v>0</v>
      </c>
      <c r="P567" s="1080"/>
    </row>
    <row r="568" spans="1:16" s="1081" customFormat="1" hidden="1" outlineLevel="1">
      <c r="A568" s="1154" t="str">
        <f t="shared" si="110"/>
        <v/>
      </c>
      <c r="B568" s="1167" t="str">
        <f>"FCO100-"&amp;$F$8</f>
        <v>FCO100-22</v>
      </c>
      <c r="C568" s="1074">
        <f>IF(G568&gt;0,C567+1,C567)</f>
        <v>0</v>
      </c>
      <c r="D568" s="1075" t="str">
        <f>VLOOKUP($B568,dongia1,DG!$B$5,)</f>
        <v>T2.3501</v>
      </c>
      <c r="E568" s="1076" t="str">
        <f>VLOOKUP($B568,dongia1,DG!$C$5,)</f>
        <v>FCO 24kV - 100A</v>
      </c>
      <c r="F568" s="1075" t="str">
        <f>VLOOKUP($B568,dongia1,DG!$D$5,)</f>
        <v>cái</v>
      </c>
      <c r="G568" s="1074">
        <f>+G567</f>
        <v>0</v>
      </c>
      <c r="H568" s="1062">
        <f>VLOOKUP($B568,dongia1,DG!$E$5,)</f>
        <v>2244280</v>
      </c>
      <c r="I568" s="1062"/>
      <c r="J568" s="1062">
        <f>VLOOKUP($B568,dongia1,DG!$G$5,)</f>
        <v>222639.99999999997</v>
      </c>
      <c r="K568" s="1062">
        <f>VLOOKUP($B568,dongia1,DG!$H$5,)</f>
        <v>0</v>
      </c>
      <c r="L568" s="1174">
        <f t="shared" si="111"/>
        <v>0</v>
      </c>
      <c r="M568" s="1174">
        <f t="shared" si="112"/>
        <v>0</v>
      </c>
      <c r="N568" s="1174">
        <f t="shared" si="113"/>
        <v>0</v>
      </c>
      <c r="O568" s="1083">
        <f t="shared" si="114"/>
        <v>0</v>
      </c>
      <c r="P568" s="1080"/>
    </row>
    <row r="569" spans="1:16" s="1081" customFormat="1" hidden="1" outlineLevel="1">
      <c r="A569" s="1154" t="str">
        <f t="shared" si="110"/>
        <v/>
      </c>
      <c r="B569" s="1167" t="str">
        <f>IF($F$8=22,"CHI3K","CHI6K")</f>
        <v>CHI3K</v>
      </c>
      <c r="C569" s="1074">
        <f>IF(G569&gt;0,C568+1,C568)</f>
        <v>0</v>
      </c>
      <c r="D569" s="1075">
        <f>VLOOKUP($B569,dongia1,DG!$B$5,)</f>
        <v>0</v>
      </c>
      <c r="E569" s="1076" t="str">
        <f>VLOOKUP($B569,dongia1,DG!$C$5,)</f>
        <v>Dây chảy 3K</v>
      </c>
      <c r="F569" s="1075" t="str">
        <f>VLOOKUP($B569,dongia1,DG!$D$5,)</f>
        <v>Sợi</v>
      </c>
      <c r="G569" s="1074">
        <f>G568</f>
        <v>0</v>
      </c>
      <c r="H569" s="1062">
        <f>VLOOKUP($B569,dongia1,DG!$F$5,)</f>
        <v>84000</v>
      </c>
      <c r="I569" s="1062"/>
      <c r="J569" s="1062">
        <f>VLOOKUP($B569,dongia1,DG!$G$5,)</f>
        <v>0</v>
      </c>
      <c r="K569" s="1062">
        <f>VLOOKUP($B569,dongia1,DG!$H$5,)</f>
        <v>0</v>
      </c>
      <c r="L569" s="1174">
        <f t="shared" si="111"/>
        <v>0</v>
      </c>
      <c r="M569" s="1174">
        <f t="shared" si="112"/>
        <v>0</v>
      </c>
      <c r="N569" s="1174">
        <f t="shared" si="113"/>
        <v>0</v>
      </c>
      <c r="O569" s="1083">
        <f t="shared" si="114"/>
        <v>0</v>
      </c>
      <c r="P569" s="1080"/>
    </row>
    <row r="570" spans="1:16" s="1081" customFormat="1" hidden="1" outlineLevel="1">
      <c r="A570" s="1154" t="str">
        <f t="shared" si="110"/>
        <v/>
      </c>
      <c r="B570" s="1073" t="str">
        <f>"LA"&amp;$F$6</f>
        <v>LA18</v>
      </c>
      <c r="C570" s="1074">
        <f>IF(G570&gt;0,C569+1,C569)</f>
        <v>0</v>
      </c>
      <c r="D570" s="1075" t="str">
        <f>VLOOKUP($B570,dongia1,DG!$B$5,)</f>
        <v>T2.5004</v>
      </c>
      <c r="E570" s="1076" t="str">
        <f>VLOOKUP($B570,dongia1,DG!$C$5,)</f>
        <v>LA 18kV 10kA</v>
      </c>
      <c r="F570" s="1075" t="str">
        <f>VLOOKUP($B570,dongia1,DG!$D$5,)</f>
        <v>cái</v>
      </c>
      <c r="G570" s="1074">
        <f>G568</f>
        <v>0</v>
      </c>
      <c r="H570" s="1062">
        <f>VLOOKUP($B570,dongia1,DG!$E$5,)</f>
        <v>1106000</v>
      </c>
      <c r="I570" s="1062"/>
      <c r="J570" s="1062">
        <f>VLOOKUP($B570,dongia1,DG!$G$5,)</f>
        <v>83490</v>
      </c>
      <c r="K570" s="1062">
        <f>VLOOKUP($B570,dongia1,DG!$H$5,)</f>
        <v>0</v>
      </c>
      <c r="L570" s="1174">
        <f t="shared" si="111"/>
        <v>0</v>
      </c>
      <c r="M570" s="1174">
        <f t="shared" si="112"/>
        <v>0</v>
      </c>
      <c r="N570" s="1174">
        <f t="shared" si="113"/>
        <v>0</v>
      </c>
      <c r="O570" s="1083">
        <f t="shared" si="114"/>
        <v>0</v>
      </c>
      <c r="P570" s="1080"/>
    </row>
    <row r="571" spans="1:16" s="1081" customFormat="1" hidden="1" outlineLevel="1">
      <c r="A571" s="1154" t="str">
        <f t="shared" si="110"/>
        <v/>
      </c>
      <c r="B571" s="1176" t="s">
        <v>911</v>
      </c>
      <c r="C571" s="1074">
        <f>IF(G571&gt;0,C570+1,C570)</f>
        <v>0</v>
      </c>
      <c r="D571" s="1075">
        <f>VLOOKUP($B571,dongia1,DG!$B$5,)</f>
        <v>0</v>
      </c>
      <c r="E571" s="1076" t="str">
        <f>VLOOKUP($B571,dongia1,DG!$C$5,)</f>
        <v>MCCB 3 cực 400V-75A - 30KA</v>
      </c>
      <c r="F571" s="1075" t="str">
        <f>VLOOKUP($B571,dongia1,DG!$D$5,)</f>
        <v>cái</v>
      </c>
      <c r="G571" s="1074">
        <f>G567/3</f>
        <v>0</v>
      </c>
      <c r="H571" s="1062">
        <f>VLOOKUP($B571,dongia1,DG!$E$5,)</f>
        <v>2616000</v>
      </c>
      <c r="I571" s="1062"/>
      <c r="J571" s="1062">
        <f>VLOOKUP($B571,dongia1,DG!$G$5,)</f>
        <v>0</v>
      </c>
      <c r="K571" s="1062">
        <f>VLOOKUP($B571,dongia1,DG!$H$5,)</f>
        <v>0</v>
      </c>
      <c r="L571" s="1174">
        <f t="shared" si="111"/>
        <v>0</v>
      </c>
      <c r="M571" s="1174">
        <f t="shared" si="112"/>
        <v>0</v>
      </c>
      <c r="N571" s="1174">
        <f t="shared" si="113"/>
        <v>0</v>
      </c>
      <c r="O571" s="1083">
        <f t="shared" si="114"/>
        <v>0</v>
      </c>
      <c r="P571" s="1080"/>
    </row>
    <row r="572" spans="1:16" s="1081" customFormat="1" hidden="1" outlineLevel="1">
      <c r="A572" s="1154" t="str">
        <f t="shared" si="110"/>
        <v/>
      </c>
      <c r="B572" s="1245" t="s">
        <v>1387</v>
      </c>
      <c r="C572" s="1074">
        <f>IF(G572&gt;0,C571+1,C571)</f>
        <v>0</v>
      </c>
      <c r="D572" s="1075">
        <f>VLOOKUP($B572,dongia1,DG!$B$5,)</f>
        <v>0</v>
      </c>
      <c r="E572" s="1076" t="str">
        <f>VLOOKUP($B572,dongia1,DG!$C$5,)</f>
        <v>Điện kế 3 pha 4 dây 220/380V-50(100)A</v>
      </c>
      <c r="F572" s="1075" t="str">
        <f>VLOOKUP($B572,dongia1,DG!$D$5,)</f>
        <v>cái</v>
      </c>
      <c r="G572" s="1074">
        <f>G569/3</f>
        <v>0</v>
      </c>
      <c r="H572" s="1062"/>
      <c r="I572" s="1062"/>
      <c r="J572" s="1062"/>
      <c r="K572" s="1062">
        <f>VLOOKUP($B572,dongia1,DG!$H$5,)</f>
        <v>0</v>
      </c>
      <c r="L572" s="1174">
        <f t="shared" si="111"/>
        <v>0</v>
      </c>
      <c r="M572" s="1174">
        <f t="shared" si="112"/>
        <v>0</v>
      </c>
      <c r="N572" s="1174">
        <f t="shared" si="113"/>
        <v>0</v>
      </c>
      <c r="O572" s="1083">
        <f t="shared" si="114"/>
        <v>0</v>
      </c>
      <c r="P572" s="1229" t="s">
        <v>3471</v>
      </c>
    </row>
    <row r="573" spans="1:16" s="1081" customFormat="1" hidden="1" outlineLevel="1">
      <c r="A573" s="1154" t="str">
        <f>A562</f>
        <v/>
      </c>
      <c r="B573" s="1073"/>
      <c r="C573" s="1179"/>
      <c r="D573" s="1246"/>
      <c r="E573" s="1183"/>
      <c r="F573" s="1182"/>
      <c r="G573" s="1182"/>
      <c r="H573" s="1182"/>
      <c r="I573" s="1182"/>
      <c r="J573" s="1183" t="s">
        <v>3387</v>
      </c>
      <c r="K573" s="1182"/>
      <c r="L573" s="1166">
        <f>SUM(L567:L572)</f>
        <v>0</v>
      </c>
      <c r="M573" s="1166"/>
      <c r="N573" s="1166">
        <f>SUM(N567:N572)</f>
        <v>0</v>
      </c>
      <c r="O573" s="1166">
        <f>SUM(O567:O572)</f>
        <v>0</v>
      </c>
      <c r="P573" s="1247"/>
    </row>
    <row r="574" spans="1:16" s="1081" customFormat="1" hidden="1" outlineLevel="1">
      <c r="A574" s="1154" t="str">
        <f>A573</f>
        <v/>
      </c>
      <c r="B574" s="1073"/>
      <c r="C574" s="1184"/>
      <c r="D574" s="1248"/>
      <c r="E574" s="1186" t="s">
        <v>3376</v>
      </c>
      <c r="F574" s="1186"/>
      <c r="G574" s="1186"/>
      <c r="H574" s="1186"/>
      <c r="I574" s="1186"/>
      <c r="J574" s="1186"/>
      <c r="K574" s="1186"/>
      <c r="L574" s="1186"/>
      <c r="M574" s="1186"/>
      <c r="N574" s="1186"/>
      <c r="O574" s="1185"/>
      <c r="P574" s="1220"/>
    </row>
    <row r="575" spans="1:16" s="1081" customFormat="1" hidden="1" outlineLevel="1">
      <c r="A575" s="1154" t="str">
        <f>IF(G575&gt;0,1,"")</f>
        <v/>
      </c>
      <c r="B575" s="1073"/>
      <c r="C575" s="1189">
        <f>IF(G575&gt;0,1,0)</f>
        <v>0</v>
      </c>
      <c r="D575" s="1249"/>
      <c r="E575" s="1250" t="s">
        <v>3426</v>
      </c>
      <c r="F575" s="1189" t="s">
        <v>2113</v>
      </c>
      <c r="G575" s="1189">
        <f>G567/3</f>
        <v>0</v>
      </c>
      <c r="H575" s="1251"/>
      <c r="I575" s="1251"/>
      <c r="J575" s="1251"/>
      <c r="K575" s="1251"/>
      <c r="L575" s="1251"/>
      <c r="M575" s="1251"/>
      <c r="N575" s="1251"/>
      <c r="O575" s="1189"/>
      <c r="P575" s="1219"/>
    </row>
    <row r="576" spans="1:16" s="1081" customFormat="1" ht="14.4" hidden="1" outlineLevel="1">
      <c r="A576" s="1154" t="str">
        <f>A575</f>
        <v/>
      </c>
      <c r="B576" s="1073"/>
      <c r="C576" s="1064"/>
      <c r="D576" s="1252"/>
      <c r="E576" s="1222" t="s">
        <v>3399</v>
      </c>
      <c r="F576" s="1074"/>
      <c r="G576" s="1074"/>
      <c r="H576" s="1253"/>
      <c r="I576" s="1253"/>
      <c r="J576" s="1253"/>
      <c r="K576" s="1253"/>
      <c r="L576" s="1253"/>
      <c r="M576" s="1253"/>
      <c r="N576" s="1253"/>
      <c r="O576" s="1254"/>
      <c r="P576" s="1080"/>
    </row>
    <row r="577" spans="1:18" s="1081" customFormat="1" hidden="1" outlineLevel="1">
      <c r="A577" s="1154" t="str">
        <f>IF(G577&gt;0,1,"")</f>
        <v/>
      </c>
      <c r="B577" s="1067" t="s">
        <v>212</v>
      </c>
      <c r="C577" s="1064"/>
      <c r="D577" s="1075">
        <f>VLOOKUP($B577,dongia1,DG!$B$5,)</f>
        <v>0</v>
      </c>
      <c r="E577" s="1076" t="str">
        <f>VLOOKUP($B577,dongia1,DG!$C$5,)</f>
        <v>Gía chùm treo máy biến áp 3x15</v>
      </c>
      <c r="F577" s="1075" t="str">
        <f>VLOOKUP($B577,dongia1,DG!$D$5,)</f>
        <v>bô</v>
      </c>
      <c r="G577" s="1197">
        <f>G575*24.13*0+1*G575</f>
        <v>0</v>
      </c>
      <c r="H577" s="1062">
        <f>VLOOKUP($B577,dongia1,DG!$F$5,)</f>
        <v>563000</v>
      </c>
      <c r="I577" s="1178"/>
      <c r="J577" s="1062">
        <f>VLOOKUP($B577,dongia1,DG!$G$5,)</f>
        <v>0</v>
      </c>
      <c r="K577" s="1062">
        <f>VLOOKUP($B577,dongia1,DG!$H$5,)</f>
        <v>0</v>
      </c>
      <c r="L577" s="1174">
        <f>H577*G577</f>
        <v>0</v>
      </c>
      <c r="M577" s="1174">
        <f t="shared" ref="M577:M651" si="115">I577*G577</f>
        <v>0</v>
      </c>
      <c r="N577" s="1174">
        <f>J577*G575</f>
        <v>0</v>
      </c>
      <c r="O577" s="1083">
        <f t="shared" ref="O577:O651" si="116">K577*G577</f>
        <v>0</v>
      </c>
      <c r="P577" s="1080"/>
    </row>
    <row r="578" spans="1:18" s="1081" customFormat="1" hidden="1" outlineLevel="1">
      <c r="A578" s="1154" t="str">
        <f>IF(G578&gt;0,1,"")</f>
        <v/>
      </c>
      <c r="B578" s="1073" t="s">
        <v>1044</v>
      </c>
      <c r="C578" s="1064"/>
      <c r="D578" s="1075">
        <f>VLOOKUP($B578,dongia1,DG!$B$5,)</f>
        <v>0</v>
      </c>
      <c r="E578" s="1076" t="str">
        <f>VLOOKUP($B578,dongia1,DG!$C$5,)</f>
        <v>Boulon 16x50+ 2 long đền vuông D18-50x50x3/Zn</v>
      </c>
      <c r="F578" s="1075" t="str">
        <f>VLOOKUP($B578,dongia1,DG!$D$5,)</f>
        <v>bộ</v>
      </c>
      <c r="G578" s="1074">
        <f>6*G575</f>
        <v>0</v>
      </c>
      <c r="H578" s="1062">
        <f>VLOOKUP($B578,dongia1,DG!$F$5,)</f>
        <v>12400</v>
      </c>
      <c r="I578" s="1178"/>
      <c r="J578" s="1062">
        <f>VLOOKUP($B578,dongia1,DG!$G$5,)</f>
        <v>0</v>
      </c>
      <c r="K578" s="1062">
        <f>VLOOKUP($B578,dongia1,DG!$H$5,)</f>
        <v>0</v>
      </c>
      <c r="L578" s="1174">
        <f t="shared" ref="L578:L651" si="117">H578*G578</f>
        <v>0</v>
      </c>
      <c r="M578" s="1174">
        <f t="shared" si="115"/>
        <v>0</v>
      </c>
      <c r="N578" s="1174">
        <f t="shared" ref="N578:N651" si="118">J578*G578</f>
        <v>0</v>
      </c>
      <c r="O578" s="1083">
        <f t="shared" si="116"/>
        <v>0</v>
      </c>
      <c r="P578" s="1080"/>
    </row>
    <row r="579" spans="1:18" s="1081" customFormat="1" hidden="1" outlineLevel="1">
      <c r="A579" s="1154" t="str">
        <f>IF(G579&gt;0,1,"")</f>
        <v/>
      </c>
      <c r="B579" s="1073" t="s">
        <v>1262</v>
      </c>
      <c r="C579" s="1064"/>
      <c r="D579" s="1075">
        <f>VLOOKUP($B579,dongia1,DG!$B$5,)</f>
        <v>0</v>
      </c>
      <c r="E579" s="1076" t="str">
        <f>VLOOKUP($B579,dongia1,DG!$C$5,)</f>
        <v>Boulon 16x300+ 2 long đền vuông D18-50x50x3/Zn</v>
      </c>
      <c r="F579" s="1075" t="str">
        <f>VLOOKUP($B579,dongia1,DG!$D$5,)</f>
        <v>bộ</v>
      </c>
      <c r="G579" s="1074">
        <f>2*G575</f>
        <v>0</v>
      </c>
      <c r="H579" s="1062">
        <f>VLOOKUP($B579,dongia1,DG!$F$5,)</f>
        <v>25400</v>
      </c>
      <c r="I579" s="1178"/>
      <c r="J579" s="1062">
        <f>VLOOKUP($B579,dongia1,DG!$G$5,)</f>
        <v>0</v>
      </c>
      <c r="K579" s="1062">
        <f>VLOOKUP($B579,dongia1,DG!$H$5,)</f>
        <v>0</v>
      </c>
      <c r="L579" s="1174">
        <f t="shared" si="117"/>
        <v>0</v>
      </c>
      <c r="M579" s="1174">
        <f t="shared" si="115"/>
        <v>0</v>
      </c>
      <c r="N579" s="1174">
        <f t="shared" si="118"/>
        <v>0</v>
      </c>
      <c r="O579" s="1083">
        <f t="shared" si="116"/>
        <v>0</v>
      </c>
      <c r="P579" s="1080"/>
    </row>
    <row r="580" spans="1:18" s="1081" customFormat="1" hidden="1" outlineLevel="1">
      <c r="A580" s="1154">
        <f>IF(G580&lt;&gt;0,1,)</f>
        <v>0</v>
      </c>
      <c r="B580" s="1073"/>
      <c r="C580" s="1191">
        <f>IF(G580&gt;0,C575+1,C575)</f>
        <v>0</v>
      </c>
      <c r="D580" s="1192"/>
      <c r="E580" s="1193" t="s">
        <v>3422</v>
      </c>
      <c r="F580" s="1064" t="s">
        <v>2113</v>
      </c>
      <c r="G580" s="1064"/>
      <c r="H580" s="1083"/>
      <c r="I580" s="1083"/>
      <c r="J580" s="1083"/>
      <c r="K580" s="1083"/>
      <c r="L580" s="1174">
        <f t="shared" si="117"/>
        <v>0</v>
      </c>
      <c r="M580" s="1174">
        <f t="shared" si="115"/>
        <v>0</v>
      </c>
      <c r="N580" s="1174">
        <f t="shared" si="118"/>
        <v>0</v>
      </c>
      <c r="O580" s="1083">
        <f t="shared" si="116"/>
        <v>0</v>
      </c>
      <c r="P580" s="1074"/>
    </row>
    <row r="581" spans="1:18" s="1081" customFormat="1" ht="14.4" hidden="1" outlineLevel="1">
      <c r="A581" s="1154">
        <f>A580</f>
        <v>0</v>
      </c>
      <c r="B581" s="1073"/>
      <c r="C581" s="1064"/>
      <c r="D581" s="1192"/>
      <c r="E581" s="1194" t="s">
        <v>3399</v>
      </c>
      <c r="F581" s="1074"/>
      <c r="G581" s="1074"/>
      <c r="H581" s="1083"/>
      <c r="I581" s="1083"/>
      <c r="J581" s="1083"/>
      <c r="K581" s="1083"/>
      <c r="L581" s="1174">
        <f t="shared" si="117"/>
        <v>0</v>
      </c>
      <c r="M581" s="1174">
        <f t="shared" si="115"/>
        <v>0</v>
      </c>
      <c r="N581" s="1174">
        <f t="shared" si="118"/>
        <v>0</v>
      </c>
      <c r="O581" s="1083">
        <f t="shared" si="116"/>
        <v>0</v>
      </c>
      <c r="P581" s="1074"/>
      <c r="R581" s="1195"/>
    </row>
    <row r="582" spans="1:18" s="1081" customFormat="1" hidden="1" outlineLevel="1">
      <c r="A582" s="1154">
        <f>IF(G582&lt;&gt;0,1,)</f>
        <v>0</v>
      </c>
      <c r="B582" s="1067" t="s">
        <v>1012</v>
      </c>
      <c r="C582" s="1074"/>
      <c r="D582" s="1075">
        <f>VLOOKUP($B582,dongia1,DG!$B$5,)</f>
        <v>0</v>
      </c>
      <c r="E582" s="1076" t="str">
        <f>VLOOKUP($B582,dongia1,DG!$C$5,)</f>
        <v>Trụ BTLT 12m F350 dự ứng lực</v>
      </c>
      <c r="F582" s="1075" t="str">
        <f>VLOOKUP($B582,dongia1,DG!$D$5,)</f>
        <v>trụ</v>
      </c>
      <c r="G582" s="1074">
        <f>1*G580</f>
        <v>0</v>
      </c>
      <c r="H582" s="1062">
        <f>VLOOKUP($B582,dongia1,DG!$F$5,)</f>
        <v>4400000</v>
      </c>
      <c r="I582" s="1062"/>
      <c r="J582" s="1062">
        <f>VLOOKUP($B582,dongia1,DG!$G$5,)</f>
        <v>0</v>
      </c>
      <c r="K582" s="1062">
        <f>VLOOKUP($B582,dongia1,DG!$H$5,)</f>
        <v>0</v>
      </c>
      <c r="L582" s="1174">
        <f t="shared" si="117"/>
        <v>0</v>
      </c>
      <c r="M582" s="1174">
        <f t="shared" si="115"/>
        <v>0</v>
      </c>
      <c r="N582" s="1174">
        <f t="shared" si="118"/>
        <v>0</v>
      </c>
      <c r="O582" s="1083">
        <f t="shared" si="116"/>
        <v>0</v>
      </c>
      <c r="P582" s="1074"/>
      <c r="R582" s="1195"/>
    </row>
    <row r="583" spans="1:18" s="1081" customFormat="1" hidden="1" outlineLevel="1">
      <c r="A583" s="1154">
        <f>IF(G583&lt;&gt;0,1,)</f>
        <v>0</v>
      </c>
      <c r="B583" s="1067" t="s">
        <v>1457</v>
      </c>
      <c r="C583" s="1074"/>
      <c r="D583" s="1196"/>
      <c r="E583" s="1076" t="str">
        <f>VLOOKUP($B583,dongia1,DG!$C$5,)</f>
        <v>Vật liệu dựng trụ</v>
      </c>
      <c r="F583" s="1075" t="str">
        <f>VLOOKUP($B583,dongia1,DG!$D$5,)</f>
        <v>trụ</v>
      </c>
      <c r="G583" s="1074">
        <f>G582</f>
        <v>0</v>
      </c>
      <c r="H583" s="1062">
        <f>VLOOKUP($B583,dongia1,DG!$F$5,)</f>
        <v>17400</v>
      </c>
      <c r="I583" s="1062"/>
      <c r="J583" s="1062">
        <f>VLOOKUP($B583,dongia1,DG!$G$5,)</f>
        <v>0</v>
      </c>
      <c r="K583" s="1062">
        <f>VLOOKUP($B583,dongia1,DG!$H$5,)</f>
        <v>0</v>
      </c>
      <c r="L583" s="1174">
        <f t="shared" si="117"/>
        <v>0</v>
      </c>
      <c r="M583" s="1174">
        <f t="shared" si="115"/>
        <v>0</v>
      </c>
      <c r="N583" s="1174">
        <f t="shared" si="118"/>
        <v>0</v>
      </c>
      <c r="O583" s="1083">
        <f t="shared" si="116"/>
        <v>0</v>
      </c>
      <c r="P583" s="1074"/>
      <c r="R583" s="1195"/>
    </row>
    <row r="584" spans="1:18" s="1081" customFormat="1" hidden="1" outlineLevel="1">
      <c r="A584" s="1154">
        <f>IF(G584&lt;&gt;0,1,)</f>
        <v>0</v>
      </c>
      <c r="B584" s="1067" t="s">
        <v>1993</v>
      </c>
      <c r="C584" s="1074"/>
      <c r="D584" s="1196"/>
      <c r="E584" s="1076" t="str">
        <f>VLOOKUP($B584,dongia1,DG!$C$5,)</f>
        <v>Dựng trụ BTLT 12m trong TBA bằng thủ công + cơ giới</v>
      </c>
      <c r="F584" s="1075" t="str">
        <f>VLOOKUP($B584,dongia1,DG!$D$5,)</f>
        <v>trụ</v>
      </c>
      <c r="G584" s="1074">
        <f>G582</f>
        <v>0</v>
      </c>
      <c r="H584" s="1062">
        <f>VLOOKUP($B584,dongia1,DG!$F$5,)</f>
        <v>0</v>
      </c>
      <c r="I584" s="1062"/>
      <c r="J584" s="1062">
        <f>VLOOKUP($B584,dongia1,DG!$G$5,)</f>
        <v>112286</v>
      </c>
      <c r="K584" s="1062">
        <f>VLOOKUP($B584,dongia1,DG!$H$5,)</f>
        <v>105970</v>
      </c>
      <c r="L584" s="1174">
        <f t="shared" si="117"/>
        <v>0</v>
      </c>
      <c r="M584" s="1174">
        <f t="shared" si="115"/>
        <v>0</v>
      </c>
      <c r="N584" s="1174">
        <f t="shared" si="118"/>
        <v>0</v>
      </c>
      <c r="O584" s="1083">
        <f t="shared" si="116"/>
        <v>0</v>
      </c>
      <c r="P584" s="1074"/>
      <c r="R584" s="1195"/>
    </row>
    <row r="585" spans="1:18" s="1081" customFormat="1" hidden="1" outlineLevel="1">
      <c r="A585" s="1154">
        <f>IF(G585&lt;&gt;0,1,)</f>
        <v>0</v>
      </c>
      <c r="B585" s="1073"/>
      <c r="C585" s="1191">
        <f>IF(G585&gt;0,C580+1,C580)</f>
        <v>0</v>
      </c>
      <c r="D585" s="1192"/>
      <c r="E585" s="1193" t="s">
        <v>3390</v>
      </c>
      <c r="F585" s="1064" t="s">
        <v>2113</v>
      </c>
      <c r="G585" s="1064"/>
      <c r="H585" s="1083"/>
      <c r="I585" s="1083"/>
      <c r="J585" s="1083"/>
      <c r="K585" s="1083"/>
      <c r="L585" s="1174">
        <f t="shared" si="117"/>
        <v>0</v>
      </c>
      <c r="M585" s="1174">
        <f t="shared" si="115"/>
        <v>0</v>
      </c>
      <c r="N585" s="1174">
        <f t="shared" si="118"/>
        <v>0</v>
      </c>
      <c r="O585" s="1083">
        <f t="shared" si="116"/>
        <v>0</v>
      </c>
      <c r="P585" s="1074"/>
    </row>
    <row r="586" spans="1:18" s="1081" customFormat="1" ht="14.4" hidden="1" outlineLevel="1">
      <c r="A586" s="1154">
        <f>A585</f>
        <v>0</v>
      </c>
      <c r="B586" s="1073"/>
      <c r="C586" s="1064"/>
      <c r="D586" s="1192"/>
      <c r="E586" s="1194" t="s">
        <v>3399</v>
      </c>
      <c r="F586" s="1074"/>
      <c r="G586" s="1074"/>
      <c r="H586" s="1083"/>
      <c r="I586" s="1083"/>
      <c r="J586" s="1083"/>
      <c r="K586" s="1083"/>
      <c r="L586" s="1174">
        <f t="shared" si="117"/>
        <v>0</v>
      </c>
      <c r="M586" s="1174">
        <f t="shared" si="115"/>
        <v>0</v>
      </c>
      <c r="N586" s="1174">
        <f t="shared" si="118"/>
        <v>0</v>
      </c>
      <c r="O586" s="1083">
        <f t="shared" si="116"/>
        <v>0</v>
      </c>
      <c r="P586" s="1074"/>
      <c r="R586" s="1195"/>
    </row>
    <row r="587" spans="1:18" s="1081" customFormat="1" hidden="1" outlineLevel="1">
      <c r="A587" s="1154">
        <f>IF(G587&lt;&gt;0,1,)</f>
        <v>0</v>
      </c>
      <c r="B587" s="1067" t="s">
        <v>999</v>
      </c>
      <c r="C587" s="1074"/>
      <c r="D587" s="1075" t="str">
        <f>VLOOKUP($B587,dongia1,DG!$B$5,)</f>
        <v>AG.42111</v>
      </c>
      <c r="E587" s="1076" t="str">
        <f>VLOOKUP($B587,dongia1,DG!$C$5,)</f>
        <v>Đà cản BTCT 1,2m</v>
      </c>
      <c r="F587" s="1075" t="str">
        <f>VLOOKUP($B587,dongia1,DG!$D$5,)</f>
        <v>cái</v>
      </c>
      <c r="G587" s="1074">
        <f>1*G585</f>
        <v>0</v>
      </c>
      <c r="H587" s="1062">
        <f>VLOOKUP($B587,dongia1,DG!$F$5,)</f>
        <v>354545</v>
      </c>
      <c r="I587" s="1062"/>
      <c r="J587" s="1062">
        <f>VLOOKUP($B587,dongia1,DG!$G$5,)</f>
        <v>37220.25</v>
      </c>
      <c r="K587" s="1062">
        <f>VLOOKUP($B587,dongia1,DG!$H$5,)</f>
        <v>0</v>
      </c>
      <c r="L587" s="1174">
        <f t="shared" si="117"/>
        <v>0</v>
      </c>
      <c r="M587" s="1174">
        <f t="shared" si="115"/>
        <v>0</v>
      </c>
      <c r="N587" s="1174">
        <f t="shared" si="118"/>
        <v>0</v>
      </c>
      <c r="O587" s="1083">
        <f t="shared" si="116"/>
        <v>0</v>
      </c>
      <c r="P587" s="1074"/>
      <c r="R587" s="1195"/>
    </row>
    <row r="588" spans="1:18" s="1081" customFormat="1" hidden="1" outlineLevel="1">
      <c r="A588" s="1154">
        <f>IF(G588&lt;&gt;0,1,)</f>
        <v>0</v>
      </c>
      <c r="B588" s="1067" t="s">
        <v>2021</v>
      </c>
      <c r="C588" s="1074"/>
      <c r="D588" s="1075">
        <f>VLOOKUP($B588,dongia1,DG!$B$5,)</f>
        <v>0</v>
      </c>
      <c r="E588" s="1076" t="str">
        <f>VLOOKUP($B588,dongia1,DG!$C$5,)</f>
        <v>Boulon 22x650+ 2 long đền vuông D24-60x60x3/Zn</v>
      </c>
      <c r="F588" s="1075" t="str">
        <f>VLOOKUP($B588,dongia1,DG!$D$5,)</f>
        <v>bộ</v>
      </c>
      <c r="G588" s="1074">
        <f>G585</f>
        <v>0</v>
      </c>
      <c r="H588" s="1062">
        <f>VLOOKUP($B588,dongia1,DG!$F$5,)</f>
        <v>92200</v>
      </c>
      <c r="I588" s="1062"/>
      <c r="J588" s="1062">
        <f>VLOOKUP($B588,dongia1,DG!$G$5,)</f>
        <v>0</v>
      </c>
      <c r="K588" s="1062">
        <f>VLOOKUP($B588,dongia1,DG!$H$5,)</f>
        <v>0</v>
      </c>
      <c r="L588" s="1174">
        <f t="shared" si="117"/>
        <v>0</v>
      </c>
      <c r="M588" s="1174">
        <f t="shared" si="115"/>
        <v>0</v>
      </c>
      <c r="N588" s="1174">
        <f t="shared" si="118"/>
        <v>0</v>
      </c>
      <c r="O588" s="1083">
        <f t="shared" si="116"/>
        <v>0</v>
      </c>
      <c r="P588" s="1074"/>
      <c r="R588" s="1195"/>
    </row>
    <row r="589" spans="1:18" s="1081" customFormat="1" hidden="1" outlineLevel="1">
      <c r="A589" s="1154">
        <f>IF(G589&lt;&gt;0,1,)</f>
        <v>0</v>
      </c>
      <c r="B589" s="1067" t="str">
        <f>IF(capdat=1,"MDD1",IF(capdat=2,"MDD2",IF(capdat=3,"MDD3",IF(capdat=4,"MDD4"))))</f>
        <v>MDD3</v>
      </c>
      <c r="C589" s="1074"/>
      <c r="D589" s="1075" t="str">
        <f>VLOOKUP($B589,dongia1,DG!$B$5,)</f>
        <v>03.1013</v>
      </c>
      <c r="E589" s="1076" t="str">
        <f>VLOOKUP($B589,dongia1,DG!$C$5,)</f>
        <v>Đào hố móng đất cấp 3 sâu &gt;1m DT&lt;5m2</v>
      </c>
      <c r="F589" s="1075" t="str">
        <f>VLOOKUP($B589,dongia1,DG!$D$5,)</f>
        <v>m3</v>
      </c>
      <c r="G589" s="1197">
        <f>G585*1.45</f>
        <v>0</v>
      </c>
      <c r="H589" s="1062">
        <f>VLOOKUP($B589,dongia1,DG!$F$5,)</f>
        <v>0</v>
      </c>
      <c r="I589" s="1062"/>
      <c r="J589" s="1062">
        <f>VLOOKUP($B589,dongia1,DG!$G$5,)</f>
        <v>296500.89999999997</v>
      </c>
      <c r="K589" s="1062">
        <f>VLOOKUP($B589,dongia1,DG!$H$5,)</f>
        <v>0</v>
      </c>
      <c r="L589" s="1174">
        <f t="shared" si="117"/>
        <v>0</v>
      </c>
      <c r="M589" s="1174">
        <f t="shared" si="115"/>
        <v>0</v>
      </c>
      <c r="N589" s="1174">
        <f t="shared" si="118"/>
        <v>0</v>
      </c>
      <c r="O589" s="1083">
        <f t="shared" si="116"/>
        <v>0</v>
      </c>
      <c r="P589" s="1074"/>
      <c r="R589" s="1195"/>
    </row>
    <row r="590" spans="1:18" s="1081" customFormat="1" hidden="1" outlineLevel="1">
      <c r="A590" s="1154">
        <f>IF(G590&lt;&gt;0,1,)</f>
        <v>0</v>
      </c>
      <c r="B590" s="1067" t="str">
        <f>IF(capdat=1,"MDAP1",IF(capdat=2,"MDAP2",IF(capdat=3,"MDAP3",IF(capdat=4,"MDAP4"))))</f>
        <v>MDAP3</v>
      </c>
      <c r="C590" s="1074"/>
      <c r="D590" s="1075" t="str">
        <f>VLOOKUP($B590,dongia1,DG!$B$5,)</f>
        <v>AB.13111</v>
      </c>
      <c r="E590" s="1076" t="str">
        <f>VLOOKUP($B590,dongia1,DG!$C$5,)</f>
        <v>Đắp đất hố móng, đất cấp 3 (độ chặt k = 0.85)</v>
      </c>
      <c r="F590" s="1075" t="str">
        <f>VLOOKUP($B590,dongia1,DG!$D$5,)</f>
        <v>m3</v>
      </c>
      <c r="G590" s="1197">
        <f>G585*1.37</f>
        <v>0</v>
      </c>
      <c r="H590" s="1062">
        <f>VLOOKUP($B590,dongia1,DG!$F$5,)</f>
        <v>0</v>
      </c>
      <c r="I590" s="1062"/>
      <c r="J590" s="1062">
        <f>VLOOKUP($B590,dongia1,DG!$G$5,)</f>
        <v>117703.6</v>
      </c>
      <c r="K590" s="1062">
        <f>VLOOKUP($B590,dongia1,DG!$H$5,)</f>
        <v>0</v>
      </c>
      <c r="L590" s="1174">
        <f t="shared" si="117"/>
        <v>0</v>
      </c>
      <c r="M590" s="1174">
        <f t="shared" si="115"/>
        <v>0</v>
      </c>
      <c r="N590" s="1174">
        <f t="shared" si="118"/>
        <v>0</v>
      </c>
      <c r="O590" s="1083">
        <f t="shared" si="116"/>
        <v>0</v>
      </c>
      <c r="P590" s="1074"/>
      <c r="R590" s="1195"/>
    </row>
    <row r="591" spans="1:18" s="1081" customFormat="1" hidden="1" outlineLevel="1">
      <c r="A591" s="1154">
        <f>IF(G591&lt;&gt;0,1,0)</f>
        <v>0</v>
      </c>
      <c r="B591" s="1067" t="s">
        <v>2110</v>
      </c>
      <c r="C591" s="1064">
        <f>IF(G591&gt;0,C585+1,C585)</f>
        <v>0</v>
      </c>
      <c r="D591" s="1252"/>
      <c r="E591" s="1221" t="s">
        <v>3427</v>
      </c>
      <c r="F591" s="1064" t="s">
        <v>2113</v>
      </c>
      <c r="G591" s="1064">
        <f>G575</f>
        <v>0</v>
      </c>
      <c r="H591" s="1083"/>
      <c r="I591" s="1083"/>
      <c r="J591" s="1083"/>
      <c r="K591" s="1083"/>
      <c r="L591" s="1174">
        <f t="shared" si="117"/>
        <v>0</v>
      </c>
      <c r="M591" s="1174">
        <f t="shared" si="115"/>
        <v>0</v>
      </c>
      <c r="N591" s="1174">
        <f t="shared" si="118"/>
        <v>0</v>
      </c>
      <c r="O591" s="1083">
        <f t="shared" si="116"/>
        <v>0</v>
      </c>
      <c r="P591" s="1080"/>
    </row>
    <row r="592" spans="1:18" s="1081" customFormat="1" hidden="1" outlineLevel="1">
      <c r="A592" s="1154">
        <f t="shared" ref="A592:A597" si="119">IF(G592&lt;&gt;0,1,)</f>
        <v>0</v>
      </c>
      <c r="B592" s="1067" t="s">
        <v>2115</v>
      </c>
      <c r="C592" s="1074"/>
      <c r="D592" s="1075">
        <f>VLOOKUP($B592,dongia1,DG!$B$5,)</f>
        <v>0</v>
      </c>
      <c r="E592" s="1076" t="str">
        <f>VLOOKUP($B592,dongia1,DG!$C$5,)</f>
        <v>Đà Composite 110x80x5x2400</v>
      </c>
      <c r="F592" s="1075" t="str">
        <f>VLOOKUP($B592,dongia1,DG!$D$5,)</f>
        <v>cây</v>
      </c>
      <c r="G592" s="1074">
        <f>G591</f>
        <v>0</v>
      </c>
      <c r="H592" s="1062">
        <f>VLOOKUP($B592,dongia1,DG!$F$5,)</f>
        <v>960000</v>
      </c>
      <c r="I592" s="1062"/>
      <c r="J592" s="1062">
        <f>VLOOKUP($B592,dongia1,DG!$G$5,)</f>
        <v>0</v>
      </c>
      <c r="K592" s="1062">
        <f>VLOOKUP($B592,dongia1,DG!$H$5,)</f>
        <v>0</v>
      </c>
      <c r="L592" s="1174">
        <f t="shared" ref="L592:L598" si="120">H592*G592</f>
        <v>0</v>
      </c>
      <c r="M592" s="1174">
        <f t="shared" ref="M592:M598" si="121">I592*G592</f>
        <v>0</v>
      </c>
      <c r="N592" s="1174">
        <f t="shared" ref="N592:N597" si="122">J592*G592</f>
        <v>0</v>
      </c>
      <c r="O592" s="1083">
        <f t="shared" ref="O592:O598" si="123">K592*G592</f>
        <v>0</v>
      </c>
      <c r="P592" s="1074"/>
      <c r="R592" s="1195"/>
    </row>
    <row r="593" spans="1:18" s="1081" customFormat="1" hidden="1" outlineLevel="1">
      <c r="A593" s="1154">
        <f t="shared" si="119"/>
        <v>0</v>
      </c>
      <c r="B593" s="1067" t="s">
        <v>2106</v>
      </c>
      <c r="C593" s="1074"/>
      <c r="D593" s="1075">
        <f>VLOOKUP($B593,dongia1,DG!$B$5,)</f>
        <v>0</v>
      </c>
      <c r="E593" s="1076" t="str">
        <f>VLOOKUP($B593,dongia1,DG!$C$5,)</f>
        <v>Chống Composite 40x10x920</v>
      </c>
      <c r="F593" s="1075" t="str">
        <f>VLOOKUP($B593,dongia1,DG!$D$5,)</f>
        <v>Thanh</v>
      </c>
      <c r="G593" s="1074">
        <f>G592*2</f>
        <v>0</v>
      </c>
      <c r="H593" s="1062">
        <f>VLOOKUP($B593,dongia1,DG!$F$5,)</f>
        <v>140000</v>
      </c>
      <c r="I593" s="1062"/>
      <c r="J593" s="1062">
        <f>VLOOKUP($B593,dongia1,DG!$G$5,)</f>
        <v>0</v>
      </c>
      <c r="K593" s="1062">
        <f>VLOOKUP($B593,dongia1,DG!$H$5,)</f>
        <v>0</v>
      </c>
      <c r="L593" s="1174">
        <f t="shared" si="120"/>
        <v>0</v>
      </c>
      <c r="M593" s="1174">
        <f t="shared" si="121"/>
        <v>0</v>
      </c>
      <c r="N593" s="1174">
        <f t="shared" si="122"/>
        <v>0</v>
      </c>
      <c r="O593" s="1083">
        <f t="shared" si="123"/>
        <v>0</v>
      </c>
      <c r="P593" s="1074"/>
      <c r="R593" s="1195"/>
    </row>
    <row r="594" spans="1:18" s="1081" customFormat="1" hidden="1" outlineLevel="1">
      <c r="A594" s="1154">
        <f t="shared" si="119"/>
        <v>0</v>
      </c>
      <c r="B594" s="1073" t="s">
        <v>428</v>
      </c>
      <c r="C594" s="1074"/>
      <c r="D594" s="1075">
        <f>VLOOKUP($B594,dongia1,DG!$B$5,)</f>
        <v>0</v>
      </c>
      <c r="E594" s="1076" t="str">
        <f>VLOOKUP($B594,dongia1,DG!$C$5,)</f>
        <v>Bass LL bắt FCO và LA</v>
      </c>
      <c r="F594" s="1075" t="str">
        <f>VLOOKUP($B594,dongia1,DG!$D$5,)</f>
        <v>bộ</v>
      </c>
      <c r="G594" s="1074">
        <f>G591*3</f>
        <v>0</v>
      </c>
      <c r="H594" s="1062">
        <f>VLOOKUP($B594,dongia1,DG!$F$5,)</f>
        <v>65000</v>
      </c>
      <c r="I594" s="1062"/>
      <c r="J594" s="1062">
        <f>VLOOKUP($B594,dongia1,DG!$G$5,)</f>
        <v>0</v>
      </c>
      <c r="K594" s="1062">
        <f>VLOOKUP($B594,dongia1,DG!$H$5,)</f>
        <v>0</v>
      </c>
      <c r="L594" s="1174">
        <f t="shared" si="120"/>
        <v>0</v>
      </c>
      <c r="M594" s="1174">
        <f t="shared" si="121"/>
        <v>0</v>
      </c>
      <c r="N594" s="1174">
        <f t="shared" si="122"/>
        <v>0</v>
      </c>
      <c r="O594" s="1083">
        <f t="shared" si="123"/>
        <v>0</v>
      </c>
      <c r="P594" s="1074"/>
      <c r="R594" s="1195"/>
    </row>
    <row r="595" spans="1:18" s="1081" customFormat="1" hidden="1" outlineLevel="1">
      <c r="A595" s="1154">
        <f t="shared" si="119"/>
        <v>0</v>
      </c>
      <c r="B595" s="1067" t="s">
        <v>733</v>
      </c>
      <c r="C595" s="1074"/>
      <c r="D595" s="1075">
        <f>VLOOKUP($B595,dongia1,DG!$B$5,)</f>
        <v>0</v>
      </c>
      <c r="E595" s="1076" t="str">
        <f>VLOOKUP($B595,dongia1,DG!$C$5,)</f>
        <v>Boulon 16x350+ 2 long đền vuông D18-50x50x3/Zn</v>
      </c>
      <c r="F595" s="1075" t="str">
        <f>VLOOKUP($B595,dongia1,DG!$D$5,)</f>
        <v>bộ</v>
      </c>
      <c r="G595" s="1074">
        <f>+G592*1</f>
        <v>0</v>
      </c>
      <c r="H595" s="1062">
        <f>VLOOKUP($B595,dongia1,DG!$F$5,)</f>
        <v>27900</v>
      </c>
      <c r="I595" s="1062"/>
      <c r="J595" s="1062">
        <f>VLOOKUP($B595,dongia1,DG!$G$5,)</f>
        <v>0</v>
      </c>
      <c r="K595" s="1062">
        <f>VLOOKUP($B595,dongia1,DG!$H$5,)</f>
        <v>0</v>
      </c>
      <c r="L595" s="1174">
        <f t="shared" si="120"/>
        <v>0</v>
      </c>
      <c r="M595" s="1174">
        <f t="shared" si="121"/>
        <v>0</v>
      </c>
      <c r="N595" s="1174">
        <f t="shared" si="122"/>
        <v>0</v>
      </c>
      <c r="O595" s="1083">
        <f t="shared" si="123"/>
        <v>0</v>
      </c>
      <c r="P595" s="1074"/>
      <c r="R595" s="1195"/>
    </row>
    <row r="596" spans="1:18" s="1081" customFormat="1" hidden="1" outlineLevel="1">
      <c r="A596" s="1154">
        <f t="shared" si="119"/>
        <v>0</v>
      </c>
      <c r="B596" s="1067" t="s">
        <v>1262</v>
      </c>
      <c r="C596" s="1074"/>
      <c r="D596" s="1075">
        <f>VLOOKUP($B596,dongia1,DG!$B$5,)</f>
        <v>0</v>
      </c>
      <c r="E596" s="1076" t="str">
        <f>VLOOKUP($B596,dongia1,DG!$C$5,)</f>
        <v>Boulon 16x300+ 2 long đền vuông D18-50x50x3/Zn</v>
      </c>
      <c r="F596" s="1075" t="str">
        <f>VLOOKUP($B596,dongia1,DG!$D$5,)</f>
        <v>bộ</v>
      </c>
      <c r="G596" s="1074">
        <f>+G592*1</f>
        <v>0</v>
      </c>
      <c r="H596" s="1062">
        <f>VLOOKUP($B596,dongia1,DG!$F$5,)</f>
        <v>25400</v>
      </c>
      <c r="I596" s="1062"/>
      <c r="J596" s="1062">
        <f>VLOOKUP($B596,dongia1,DG!$G$5,)</f>
        <v>0</v>
      </c>
      <c r="K596" s="1062">
        <f>VLOOKUP($B596,dongia1,DG!$H$5,)</f>
        <v>0</v>
      </c>
      <c r="L596" s="1174">
        <f t="shared" si="120"/>
        <v>0</v>
      </c>
      <c r="M596" s="1174">
        <f t="shared" si="121"/>
        <v>0</v>
      </c>
      <c r="N596" s="1174">
        <f t="shared" si="122"/>
        <v>0</v>
      </c>
      <c r="O596" s="1083">
        <f t="shared" si="123"/>
        <v>0</v>
      </c>
      <c r="P596" s="1074"/>
      <c r="R596" s="1195"/>
    </row>
    <row r="597" spans="1:18" s="1081" customFormat="1" hidden="1" outlineLevel="1">
      <c r="A597" s="1154">
        <f t="shared" si="119"/>
        <v>0</v>
      </c>
      <c r="B597" s="1067" t="s">
        <v>746</v>
      </c>
      <c r="C597" s="1074"/>
      <c r="D597" s="1075">
        <f>VLOOKUP($B597,dongia1,DG!$B$5,)</f>
        <v>0</v>
      </c>
      <c r="E597" s="1076" t="str">
        <f>VLOOKUP($B597,dongia1,DG!$C$5,)</f>
        <v>Boulon 16x150+ 2 long đền vuông D18-50x50x3/Zn</v>
      </c>
      <c r="F597" s="1075" t="str">
        <f>VLOOKUP($B597,dongia1,DG!$D$5,)</f>
        <v>bộ</v>
      </c>
      <c r="G597" s="1074">
        <f>+G592*2</f>
        <v>0</v>
      </c>
      <c r="H597" s="1062">
        <f>VLOOKUP($B597,dongia1,DG!$F$5,)</f>
        <v>18900</v>
      </c>
      <c r="I597" s="1062"/>
      <c r="J597" s="1062">
        <f>VLOOKUP($B597,dongia1,DG!$G$5,)</f>
        <v>0</v>
      </c>
      <c r="K597" s="1062">
        <f>VLOOKUP($B597,dongia1,DG!$H$5,)</f>
        <v>0</v>
      </c>
      <c r="L597" s="1174">
        <f t="shared" si="120"/>
        <v>0</v>
      </c>
      <c r="M597" s="1174">
        <f t="shared" si="121"/>
        <v>0</v>
      </c>
      <c r="N597" s="1174">
        <f t="shared" si="122"/>
        <v>0</v>
      </c>
      <c r="O597" s="1083">
        <f t="shared" si="123"/>
        <v>0</v>
      </c>
      <c r="P597" s="1074"/>
      <c r="R597" s="1195"/>
    </row>
    <row r="598" spans="1:18" s="1081" customFormat="1" hidden="1" outlineLevel="1">
      <c r="A598" s="1154" t="str">
        <f>IF(G598&gt;0,1,"")</f>
        <v/>
      </c>
      <c r="B598" s="1073" t="s">
        <v>813</v>
      </c>
      <c r="C598" s="1064"/>
      <c r="D598" s="1075" t="str">
        <f>VLOOKUP($B598,dongia1,DG!$B$5,)</f>
        <v>D2.6031</v>
      </c>
      <c r="E598" s="1076" t="str">
        <f>VLOOKUP($B598,dongia1,DG!$C$5,)</f>
        <v>Lắp xà đỡ 50kg</v>
      </c>
      <c r="F598" s="1075" t="str">
        <f>VLOOKUP($B598,dongia1,DG!$D$5,)</f>
        <v>bộ</v>
      </c>
      <c r="G598" s="1074">
        <f>G591</f>
        <v>0</v>
      </c>
      <c r="H598" s="1062">
        <f>VLOOKUP($B598,dongia1,DG!$F$5,)</f>
        <v>0</v>
      </c>
      <c r="I598" s="1178"/>
      <c r="J598" s="1200" t="str">
        <f>VLOOKUP($B598,dongia1,DG!$G$5,)&amp;" x "&amp;hslx</f>
        <v>296544,75 x 1,5</v>
      </c>
      <c r="K598" s="1062">
        <f>VLOOKUP($B598,dongia1,DG!$H$5,)</f>
        <v>0</v>
      </c>
      <c r="L598" s="1174">
        <f t="shared" si="120"/>
        <v>0</v>
      </c>
      <c r="M598" s="1174">
        <f t="shared" si="121"/>
        <v>0</v>
      </c>
      <c r="N598" s="1062">
        <f>VLOOKUP($B598,dongia1,DG!$G$5,)*hslx*G598</f>
        <v>0</v>
      </c>
      <c r="O598" s="1083">
        <f t="shared" si="123"/>
        <v>0</v>
      </c>
      <c r="P598" s="1080"/>
    </row>
    <row r="599" spans="1:18" s="1081" customFormat="1" hidden="1" outlineLevel="1">
      <c r="A599" s="1154" t="str">
        <f>IF(G599&gt;0,1,"")</f>
        <v/>
      </c>
      <c r="B599" s="1073"/>
      <c r="C599" s="1064">
        <f>IF(G599&gt;0,C585+1,C585)</f>
        <v>0</v>
      </c>
      <c r="D599" s="1252"/>
      <c r="E599" s="1221" t="s">
        <v>3428</v>
      </c>
      <c r="F599" s="1064" t="s">
        <v>2113</v>
      </c>
      <c r="G599" s="1064">
        <f>+G575</f>
        <v>0</v>
      </c>
      <c r="H599" s="1083"/>
      <c r="I599" s="1178"/>
      <c r="J599" s="1178"/>
      <c r="K599" s="1178"/>
      <c r="L599" s="1174">
        <f t="shared" si="117"/>
        <v>0</v>
      </c>
      <c r="M599" s="1174">
        <f t="shared" si="115"/>
        <v>0</v>
      </c>
      <c r="N599" s="1174">
        <f t="shared" si="118"/>
        <v>0</v>
      </c>
      <c r="O599" s="1083">
        <f t="shared" si="116"/>
        <v>0</v>
      </c>
      <c r="P599" s="1080"/>
    </row>
    <row r="600" spans="1:18" s="1081" customFormat="1" ht="14.4" hidden="1" outlineLevel="1">
      <c r="A600" s="1154" t="str">
        <f>A599</f>
        <v/>
      </c>
      <c r="B600" s="1073"/>
      <c r="C600" s="1064"/>
      <c r="D600" s="1252"/>
      <c r="E600" s="1222" t="s">
        <v>3399</v>
      </c>
      <c r="F600" s="1074"/>
      <c r="G600" s="1074"/>
      <c r="H600" s="1083"/>
      <c r="I600" s="1178"/>
      <c r="J600" s="1178"/>
      <c r="K600" s="1178"/>
      <c r="L600" s="1174">
        <f t="shared" si="117"/>
        <v>0</v>
      </c>
      <c r="M600" s="1174">
        <f t="shared" si="115"/>
        <v>0</v>
      </c>
      <c r="N600" s="1174">
        <f t="shared" si="118"/>
        <v>0</v>
      </c>
      <c r="O600" s="1083">
        <f t="shared" si="116"/>
        <v>0</v>
      </c>
      <c r="P600" s="1080"/>
    </row>
    <row r="601" spans="1:18" s="1081" customFormat="1" hidden="1" outlineLevel="1">
      <c r="A601" s="1154" t="str">
        <f t="shared" ref="A601:A606" si="124">IF(G601&gt;0,1,"")</f>
        <v/>
      </c>
      <c r="B601" s="1067" t="s">
        <v>386</v>
      </c>
      <c r="C601" s="1064"/>
      <c r="D601" s="1075">
        <f>VLOOKUP($B601,dongia1,DG!$B$5,)</f>
        <v>0</v>
      </c>
      <c r="E601" s="1076" t="str">
        <f>VLOOKUP($B601,dongia1,DG!$C$5,)</f>
        <v>Sắt góc L75 x75 x8</v>
      </c>
      <c r="F601" s="1075" t="str">
        <f>VLOOKUP($B601,dongia1,DG!$D$5,)</f>
        <v>kg</v>
      </c>
      <c r="G601" s="1197">
        <f>G599*9.02*(2.2+4*0.07)</f>
        <v>0</v>
      </c>
      <c r="H601" s="1062">
        <f>VLOOKUP($B601,dongia1,DG!$F$5,)</f>
        <v>31625</v>
      </c>
      <c r="I601" s="1178"/>
      <c r="J601" s="1062">
        <f>VLOOKUP($B601,dongia1,DG!$G$5,)</f>
        <v>0</v>
      </c>
      <c r="K601" s="1062">
        <f>VLOOKUP($B601,dongia1,DG!$H$5,)</f>
        <v>0</v>
      </c>
      <c r="L601" s="1174">
        <f t="shared" si="117"/>
        <v>0</v>
      </c>
      <c r="M601" s="1174">
        <f t="shared" si="115"/>
        <v>0</v>
      </c>
      <c r="N601" s="1174">
        <f t="shared" si="118"/>
        <v>0</v>
      </c>
      <c r="O601" s="1083">
        <f t="shared" si="116"/>
        <v>0</v>
      </c>
      <c r="P601" s="1080"/>
    </row>
    <row r="602" spans="1:18" s="1081" customFormat="1" hidden="1" outlineLevel="1">
      <c r="A602" s="1154" t="str">
        <f t="shared" si="124"/>
        <v/>
      </c>
      <c r="B602" s="1073" t="s">
        <v>2</v>
      </c>
      <c r="C602" s="1064"/>
      <c r="D602" s="1075">
        <f>VLOOKUP($B602,dongia1,DG!$B$5,)</f>
        <v>0</v>
      </c>
      <c r="E602" s="1076" t="str">
        <f>VLOOKUP($B602,dongia1,DG!$C$5,)</f>
        <v>Sắt góc L50 x50 x5</v>
      </c>
      <c r="F602" s="1075" t="str">
        <f>VLOOKUP($B602,dongia1,DG!$D$5,)</f>
        <v>kg</v>
      </c>
      <c r="G602" s="1197">
        <f>G599*2*3.77*0.81</f>
        <v>0</v>
      </c>
      <c r="H602" s="1062">
        <f>VLOOKUP($B602,dongia1,DG!$F$5,)</f>
        <v>31625</v>
      </c>
      <c r="I602" s="1178"/>
      <c r="J602" s="1062">
        <f>VLOOKUP($B602,dongia1,DG!$G$5,)</f>
        <v>0</v>
      </c>
      <c r="K602" s="1062">
        <f>VLOOKUP($B602,dongia1,DG!$H$5,)</f>
        <v>0</v>
      </c>
      <c r="L602" s="1174">
        <f t="shared" si="117"/>
        <v>0</v>
      </c>
      <c r="M602" s="1174">
        <f t="shared" si="115"/>
        <v>0</v>
      </c>
      <c r="N602" s="1174">
        <f t="shared" si="118"/>
        <v>0</v>
      </c>
      <c r="O602" s="1083">
        <f t="shared" si="116"/>
        <v>0</v>
      </c>
      <c r="P602" s="1080"/>
    </row>
    <row r="603" spans="1:18" s="1081" customFormat="1" hidden="1" outlineLevel="1">
      <c r="A603" s="1154" t="str">
        <f t="shared" si="124"/>
        <v/>
      </c>
      <c r="B603" s="1073" t="s">
        <v>1044</v>
      </c>
      <c r="C603" s="1064"/>
      <c r="D603" s="1075">
        <f>VLOOKUP($B603,dongia1,DG!$B$5,)</f>
        <v>0</v>
      </c>
      <c r="E603" s="1076" t="str">
        <f>VLOOKUP($B603,dongia1,DG!$C$5,)</f>
        <v>Boulon 16x50+ 2 long đền vuông D18-50x50x3/Zn</v>
      </c>
      <c r="F603" s="1075" t="str">
        <f>VLOOKUP($B603,dongia1,DG!$D$5,)</f>
        <v>bộ</v>
      </c>
      <c r="G603" s="1074">
        <f>4*G599</f>
        <v>0</v>
      </c>
      <c r="H603" s="1062">
        <f>VLOOKUP($B603,dongia1,DG!$F$5,)</f>
        <v>12400</v>
      </c>
      <c r="I603" s="1178"/>
      <c r="J603" s="1062">
        <f>VLOOKUP($B603,dongia1,DG!$G$5,)</f>
        <v>0</v>
      </c>
      <c r="K603" s="1062">
        <f>VLOOKUP($B603,dongia1,DG!$H$5,)</f>
        <v>0</v>
      </c>
      <c r="L603" s="1174">
        <f t="shared" si="117"/>
        <v>0</v>
      </c>
      <c r="M603" s="1174">
        <f t="shared" si="115"/>
        <v>0</v>
      </c>
      <c r="N603" s="1174">
        <f t="shared" si="118"/>
        <v>0</v>
      </c>
      <c r="O603" s="1083">
        <f t="shared" si="116"/>
        <v>0</v>
      </c>
      <c r="P603" s="1080"/>
    </row>
    <row r="604" spans="1:18" s="1081" customFormat="1" hidden="1" outlineLevel="1">
      <c r="A604" s="1154" t="str">
        <f t="shared" si="124"/>
        <v/>
      </c>
      <c r="B604" s="1073" t="s">
        <v>1261</v>
      </c>
      <c r="C604" s="1064"/>
      <c r="D604" s="1075">
        <f>VLOOKUP($B604,dongia1,DG!$B$5,)</f>
        <v>0</v>
      </c>
      <c r="E604" s="1076" t="str">
        <f>VLOOKUP($B604,dongia1,DG!$C$5,)</f>
        <v>Boulon 16x250+ 2 long đền vuông D18-50x50x3/Zn</v>
      </c>
      <c r="F604" s="1075" t="str">
        <f>VLOOKUP($B604,dongia1,DG!$D$5,)</f>
        <v>bộ</v>
      </c>
      <c r="G604" s="1074">
        <f>2*G599</f>
        <v>0</v>
      </c>
      <c r="H604" s="1062">
        <f>VLOOKUP($B604,dongia1,DG!$F$5,)</f>
        <v>13400</v>
      </c>
      <c r="I604" s="1178"/>
      <c r="J604" s="1062">
        <f>VLOOKUP($B604,dongia1,DG!$G$5,)</f>
        <v>0</v>
      </c>
      <c r="K604" s="1062">
        <f>VLOOKUP($B604,dongia1,DG!$H$5,)</f>
        <v>0</v>
      </c>
      <c r="L604" s="1174">
        <f t="shared" si="117"/>
        <v>0</v>
      </c>
      <c r="M604" s="1174">
        <f t="shared" si="115"/>
        <v>0</v>
      </c>
      <c r="N604" s="1174">
        <f t="shared" si="118"/>
        <v>0</v>
      </c>
      <c r="O604" s="1083">
        <f t="shared" si="116"/>
        <v>0</v>
      </c>
      <c r="P604" s="1080"/>
    </row>
    <row r="605" spans="1:18" s="1081" customFormat="1" hidden="1" outlineLevel="1">
      <c r="A605" s="1154" t="str">
        <f t="shared" si="124"/>
        <v/>
      </c>
      <c r="B605" s="1073" t="s">
        <v>813</v>
      </c>
      <c r="C605" s="1064"/>
      <c r="D605" s="1075" t="str">
        <f>VLOOKUP($B605,dongia1,DG!$B$5,)</f>
        <v>D2.6031</v>
      </c>
      <c r="E605" s="1076" t="str">
        <f>VLOOKUP($B605,dongia1,DG!$C$5,)</f>
        <v>Lắp xà đỡ 50kg</v>
      </c>
      <c r="F605" s="1075" t="str">
        <f>VLOOKUP($B605,dongia1,DG!$D$5,)</f>
        <v>bộ</v>
      </c>
      <c r="G605" s="1074">
        <f>G599</f>
        <v>0</v>
      </c>
      <c r="H605" s="1062">
        <f>VLOOKUP($B605,dongia1,DG!$F$5,)</f>
        <v>0</v>
      </c>
      <c r="I605" s="1178"/>
      <c r="J605" s="1200" t="str">
        <f>VLOOKUP($B605,dongia1,DG!$G$5,)&amp;" x "&amp;hslx</f>
        <v>296544,75 x 1,5</v>
      </c>
      <c r="K605" s="1062">
        <f>VLOOKUP($B605,dongia1,DG!$H$5,)</f>
        <v>0</v>
      </c>
      <c r="L605" s="1174">
        <f>H605*G605</f>
        <v>0</v>
      </c>
      <c r="M605" s="1174">
        <f>I605*G605</f>
        <v>0</v>
      </c>
      <c r="N605" s="1062">
        <f>VLOOKUP($B605,dongia1,DG!$G$5,)*hslx*G605</f>
        <v>0</v>
      </c>
      <c r="O605" s="1083">
        <f>K605*G605</f>
        <v>0</v>
      </c>
      <c r="P605" s="1080"/>
    </row>
    <row r="606" spans="1:18" s="1081" customFormat="1" hidden="1" outlineLevel="1">
      <c r="A606" s="1154" t="str">
        <f t="shared" si="124"/>
        <v/>
      </c>
      <c r="B606" s="1073"/>
      <c r="C606" s="1064">
        <f>IF(G606&gt;0,C599+1,C599)</f>
        <v>0</v>
      </c>
      <c r="D606" s="1252"/>
      <c r="E606" s="1221" t="s">
        <v>3401</v>
      </c>
      <c r="F606" s="1064" t="s">
        <v>2113</v>
      </c>
      <c r="G606" s="1064">
        <f>G575</f>
        <v>0</v>
      </c>
      <c r="H606" s="1083"/>
      <c r="I606" s="1178"/>
      <c r="J606" s="1178"/>
      <c r="K606" s="1178"/>
      <c r="L606" s="1174">
        <f t="shared" si="117"/>
        <v>0</v>
      </c>
      <c r="M606" s="1174">
        <f t="shared" si="115"/>
        <v>0</v>
      </c>
      <c r="N606" s="1174">
        <f t="shared" si="118"/>
        <v>0</v>
      </c>
      <c r="O606" s="1083">
        <f t="shared" si="116"/>
        <v>0</v>
      </c>
      <c r="P606" s="1080"/>
    </row>
    <row r="607" spans="1:18" s="1081" customFormat="1" ht="14.4" hidden="1" outlineLevel="1">
      <c r="A607" s="1154" t="str">
        <f>A606</f>
        <v/>
      </c>
      <c r="B607" s="1073"/>
      <c r="C607" s="1064"/>
      <c r="D607" s="1252"/>
      <c r="E607" s="1222" t="s">
        <v>1203</v>
      </c>
      <c r="F607" s="1074"/>
      <c r="G607" s="1074"/>
      <c r="H607" s="1083"/>
      <c r="I607" s="1178"/>
      <c r="J607" s="1178"/>
      <c r="K607" s="1178"/>
      <c r="L607" s="1174">
        <f t="shared" si="117"/>
        <v>0</v>
      </c>
      <c r="M607" s="1174">
        <f t="shared" si="115"/>
        <v>0</v>
      </c>
      <c r="N607" s="1174">
        <f t="shared" si="118"/>
        <v>0</v>
      </c>
      <c r="O607" s="1083">
        <f t="shared" si="116"/>
        <v>0</v>
      </c>
      <c r="P607" s="1080"/>
    </row>
    <row r="608" spans="1:18" s="1081" customFormat="1" hidden="1" outlineLevel="1">
      <c r="A608" s="1154" t="str">
        <f t="shared" ref="A608:A614" si="125">IF(G608&gt;0,1,"")</f>
        <v/>
      </c>
      <c r="B608" s="1073" t="str">
        <f>Solieu!$I$55</f>
        <v>M25</v>
      </c>
      <c r="C608" s="1074"/>
      <c r="D608" s="1075">
        <f>VLOOKUP($B608,dongia1,DG!$B$5,)</f>
        <v>0</v>
      </c>
      <c r="E608" s="1076" t="str">
        <f>VLOOKUP($B608,dongia1,DG!$C$5,)</f>
        <v>Cáp đồng trần M25mm2</v>
      </c>
      <c r="F608" s="1075" t="str">
        <f>VLOOKUP($B608,dongia1,DG!$D$5,)</f>
        <v>kg</v>
      </c>
      <c r="G608" s="1202">
        <f>$H$3*G606*0.224</f>
        <v>0</v>
      </c>
      <c r="H608" s="1062">
        <f>VLOOKUP($B608,dongia1,DG!$F$5,)</f>
        <v>255500</v>
      </c>
      <c r="I608" s="1083"/>
      <c r="J608" s="1062">
        <f>VLOOKUP($B608,dongia1,DG!$G$5,)</f>
        <v>0</v>
      </c>
      <c r="K608" s="1062">
        <f>VLOOKUP($B608,dongia1,DG!$H$5,)</f>
        <v>0</v>
      </c>
      <c r="L608" s="1174">
        <f>H608*G608</f>
        <v>0</v>
      </c>
      <c r="M608" s="1174">
        <f t="shared" si="115"/>
        <v>0</v>
      </c>
      <c r="N608" s="1174">
        <f t="shared" si="118"/>
        <v>0</v>
      </c>
      <c r="O608" s="1083">
        <f t="shared" si="116"/>
        <v>0</v>
      </c>
      <c r="P608" s="1080"/>
    </row>
    <row r="609" spans="1:16" s="1081" customFormat="1" hidden="1" outlineLevel="1">
      <c r="A609" s="1154" t="str">
        <f t="shared" si="125"/>
        <v/>
      </c>
      <c r="B609" s="1067" t="s">
        <v>1098</v>
      </c>
      <c r="C609" s="1074"/>
      <c r="D609" s="1075">
        <f>VLOOKUP($B609,dongia1,DG!$B$5,)</f>
        <v>0</v>
      </c>
      <c r="E609" s="1076" t="str">
        <f>VLOOKUP($B609,dongia1,DG!$C$5,)</f>
        <v>Cọc tiếp đất Þ 16- 2,4m + kẹp cọc</v>
      </c>
      <c r="F609" s="1075" t="str">
        <f>VLOOKUP($B609,dongia1,DG!$D$5,)</f>
        <v>bộ</v>
      </c>
      <c r="G609" s="1074">
        <f>($H$2)*G606</f>
        <v>0</v>
      </c>
      <c r="H609" s="1062">
        <f>VLOOKUP($B609,dongia1,DG!$F$5,)</f>
        <v>160000</v>
      </c>
      <c r="I609" s="1178"/>
      <c r="J609" s="1062">
        <f>VLOOKUP($B609,dongia1,DG!$G$5,)</f>
        <v>0</v>
      </c>
      <c r="K609" s="1062">
        <f>VLOOKUP($B609,dongia1,DG!$H$5,)</f>
        <v>0</v>
      </c>
      <c r="L609" s="1174">
        <f t="shared" si="117"/>
        <v>0</v>
      </c>
      <c r="M609" s="1174">
        <f t="shared" si="115"/>
        <v>0</v>
      </c>
      <c r="N609" s="1174">
        <f t="shared" si="118"/>
        <v>0</v>
      </c>
      <c r="O609" s="1083">
        <f t="shared" si="116"/>
        <v>0</v>
      </c>
      <c r="P609" s="1080"/>
    </row>
    <row r="610" spans="1:16" s="1081" customFormat="1" hidden="1" outlineLevel="1">
      <c r="A610" s="1154" t="str">
        <f t="shared" si="125"/>
        <v/>
      </c>
      <c r="B610" s="1067" t="s">
        <v>3758</v>
      </c>
      <c r="C610" s="1074"/>
      <c r="D610" s="1075">
        <f>VLOOKUP($B610,dongia1,DG!$B$5,)</f>
        <v>0</v>
      </c>
      <c r="E610" s="1076" t="str">
        <f>VLOOKUP($B610,dongia1,DG!$C$5,)</f>
        <v>Giếng tiếp địa khoan đá</v>
      </c>
      <c r="F610" s="1075" t="str">
        <f>VLOOKUP($B610,dongia1,DG!$D$5,)</f>
        <v>Cái</v>
      </c>
      <c r="G610" s="1074">
        <f>L3*G606</f>
        <v>0</v>
      </c>
      <c r="H610" s="1062">
        <f>VLOOKUP($B610,dongia1,DG!$F$5,)</f>
        <v>0</v>
      </c>
      <c r="I610" s="1178"/>
      <c r="J610" s="1062">
        <f>VLOOKUP($B610,dongia1,DG!$G$5,)</f>
        <v>2500000</v>
      </c>
      <c r="K610" s="1062">
        <f>VLOOKUP($B610,dongia1,DG!$H$5,)</f>
        <v>0</v>
      </c>
      <c r="L610" s="1174">
        <f>H610*G610</f>
        <v>0</v>
      </c>
      <c r="M610" s="1174">
        <f>I610*G610</f>
        <v>0</v>
      </c>
      <c r="N610" s="1174">
        <f>J610*G610</f>
        <v>0</v>
      </c>
      <c r="O610" s="1083">
        <f>K610*G610</f>
        <v>0</v>
      </c>
      <c r="P610" s="1080"/>
    </row>
    <row r="611" spans="1:16" s="1081" customFormat="1" hidden="1" outlineLevel="1">
      <c r="A611" s="1154" t="str">
        <f t="shared" si="125"/>
        <v/>
      </c>
      <c r="B611" s="1067" t="s">
        <v>262</v>
      </c>
      <c r="C611" s="1074"/>
      <c r="D611" s="1075">
        <f>VLOOKUP($B611,dongia1,DG!$B$5,)</f>
        <v>0</v>
      </c>
      <c r="E611" s="1076" t="str">
        <f>VLOOKUP($B611,dongia1,DG!$C$5,)</f>
        <v xml:space="preserve">Ống PVC D21x1,6mm </v>
      </c>
      <c r="F611" s="1075" t="str">
        <f>VLOOKUP($B611,dongia1,DG!$D$5,)</f>
        <v>m</v>
      </c>
      <c r="G611" s="1074">
        <f>3*G606</f>
        <v>0</v>
      </c>
      <c r="H611" s="1062">
        <f>VLOOKUP($B611,dongia1,DG!$F$5,)</f>
        <v>6200</v>
      </c>
      <c r="I611" s="1178"/>
      <c r="J611" s="1062">
        <f>VLOOKUP($B611,dongia1,DG!$G$5,)</f>
        <v>0</v>
      </c>
      <c r="K611" s="1062">
        <f>VLOOKUP($B611,dongia1,DG!$H$5,)</f>
        <v>0</v>
      </c>
      <c r="L611" s="1174">
        <f t="shared" si="117"/>
        <v>0</v>
      </c>
      <c r="M611" s="1174">
        <f t="shared" si="115"/>
        <v>0</v>
      </c>
      <c r="N611" s="1174">
        <f t="shared" si="118"/>
        <v>0</v>
      </c>
      <c r="O611" s="1083">
        <f t="shared" si="116"/>
        <v>0</v>
      </c>
      <c r="P611" s="1080"/>
    </row>
    <row r="612" spans="1:16" s="1081" customFormat="1" hidden="1" outlineLevel="1">
      <c r="A612" s="1154" t="str">
        <f t="shared" si="125"/>
        <v/>
      </c>
      <c r="B612" s="1086" t="s">
        <v>205</v>
      </c>
      <c r="C612" s="1074"/>
      <c r="D612" s="1075">
        <f>VLOOKUP($B612,dongia1,DG!$B$5,)</f>
        <v>0</v>
      </c>
      <c r="E612" s="1076" t="str">
        <f>VLOOKUP($B612,dongia1,DG!$C$5,)</f>
        <v>Kẹp ép WR cỡ dây 50mm2</v>
      </c>
      <c r="F612" s="1075" t="str">
        <f>VLOOKUP($B612,dongia1,DG!$D$5,)</f>
        <v>cái</v>
      </c>
      <c r="G612" s="1074">
        <f>2*G606</f>
        <v>0</v>
      </c>
      <c r="H612" s="1062">
        <f>VLOOKUP($B612,dongia1,DG!$F$5,)</f>
        <v>8000</v>
      </c>
      <c r="I612" s="1062"/>
      <c r="J612" s="1062">
        <f>VLOOKUP($B612,dongia1,DG!$G$5,)</f>
        <v>0</v>
      </c>
      <c r="K612" s="1062">
        <f>VLOOKUP($B612,dongia1,DG!$H$5,)</f>
        <v>0</v>
      </c>
      <c r="L612" s="1174">
        <f t="shared" si="117"/>
        <v>0</v>
      </c>
      <c r="M612" s="1174">
        <f t="shared" si="115"/>
        <v>0</v>
      </c>
      <c r="N612" s="1174">
        <f t="shared" si="118"/>
        <v>0</v>
      </c>
      <c r="O612" s="1083">
        <f t="shared" si="116"/>
        <v>0</v>
      </c>
      <c r="P612" s="1080"/>
    </row>
    <row r="613" spans="1:16" s="1081" customFormat="1" hidden="1" outlineLevel="1">
      <c r="A613" s="1154" t="str">
        <f t="shared" si="125"/>
        <v/>
      </c>
      <c r="B613" s="1086" t="s">
        <v>903</v>
      </c>
      <c r="C613" s="1074"/>
      <c r="D613" s="1075"/>
      <c r="E613" s="1076" t="str">
        <f>VLOOKUP($B613,dongia1,DG!$C$5,)</f>
        <v>Ốc xiết cáp cỡ 25mm2</v>
      </c>
      <c r="F613" s="1075" t="str">
        <f>VLOOKUP($B613,dongia1,DG!$D$5,)</f>
        <v>cái</v>
      </c>
      <c r="G613" s="1074">
        <f>11*G606</f>
        <v>0</v>
      </c>
      <c r="H613" s="1062">
        <f>VLOOKUP($B613,dongia1,DG!$F$5,)</f>
        <v>17600</v>
      </c>
      <c r="I613" s="1062"/>
      <c r="J613" s="1062">
        <f>VLOOKUP($B613,dongia1,DG!$G$5,)</f>
        <v>0</v>
      </c>
      <c r="K613" s="1062">
        <f>VLOOKUP($B613,dongia1,DG!$H$5,)</f>
        <v>0</v>
      </c>
      <c r="L613" s="1174">
        <f t="shared" si="117"/>
        <v>0</v>
      </c>
      <c r="M613" s="1174">
        <f t="shared" si="115"/>
        <v>0</v>
      </c>
      <c r="N613" s="1174">
        <f t="shared" si="118"/>
        <v>0</v>
      </c>
      <c r="O613" s="1083">
        <f t="shared" si="116"/>
        <v>0</v>
      </c>
      <c r="P613" s="1080"/>
    </row>
    <row r="614" spans="1:16" s="1081" customFormat="1" hidden="1" outlineLevel="1">
      <c r="A614" s="1154" t="str">
        <f t="shared" si="125"/>
        <v/>
      </c>
      <c r="B614" s="1067" t="s">
        <v>542</v>
      </c>
      <c r="C614" s="1074"/>
      <c r="D614" s="1075">
        <f>VLOOKUP($B614,dongia1,DG!$B$5,)</f>
        <v>0</v>
      </c>
      <c r="E614" s="1076" t="str">
        <f>VLOOKUP($B614,dongia1,DG!$C$5,)</f>
        <v>Cổ dê kẹp ống PVC (STK) Þ 21</v>
      </c>
      <c r="F614" s="1075" t="str">
        <f>VLOOKUP($B614,dongia1,DG!$D$5,)</f>
        <v>bộ</v>
      </c>
      <c r="G614" s="1197">
        <f>G606*2</f>
        <v>0</v>
      </c>
      <c r="H614" s="1062">
        <f>VLOOKUP($B614,dongia1,DG!$F$5,)</f>
        <v>43000</v>
      </c>
      <c r="I614" s="1178"/>
      <c r="J614" s="1062">
        <f>VLOOKUP($B614,dongia1,DG!$G$5,)</f>
        <v>0</v>
      </c>
      <c r="K614" s="1062">
        <f>VLOOKUP($B614,dongia1,DG!$H$5,)</f>
        <v>0</v>
      </c>
      <c r="L614" s="1174">
        <f t="shared" si="117"/>
        <v>0</v>
      </c>
      <c r="M614" s="1174">
        <f t="shared" si="115"/>
        <v>0</v>
      </c>
      <c r="N614" s="1174">
        <f t="shared" si="118"/>
        <v>0</v>
      </c>
      <c r="O614" s="1083">
        <f t="shared" si="116"/>
        <v>0</v>
      </c>
      <c r="P614" s="1080"/>
    </row>
    <row r="615" spans="1:16" s="1081" customFormat="1" hidden="1" outlineLevel="1">
      <c r="A615" s="1154" t="str">
        <f>IF(G615&gt;0,1,"")</f>
        <v/>
      </c>
      <c r="B615" s="1067" t="s">
        <v>1301</v>
      </c>
      <c r="C615" s="1074"/>
      <c r="D615" s="1075" t="str">
        <f>VLOOKUP($B615,dongia1,DG!$B$5,)</f>
        <v>D3.3241</v>
      </c>
      <c r="E615" s="1076" t="str">
        <f>VLOOKUP($B615,dongia1,DG!$C$5,)</f>
        <v>Lắp cổ dê</v>
      </c>
      <c r="F615" s="1075" t="str">
        <f>VLOOKUP($B615,dongia1,DG!$D$5,)</f>
        <v>cái</v>
      </c>
      <c r="G615" s="1197">
        <f>G607*2</f>
        <v>0</v>
      </c>
      <c r="H615" s="1062">
        <f>VLOOKUP($B615,dongia1,DG!$F$5,)</f>
        <v>0</v>
      </c>
      <c r="I615" s="1178"/>
      <c r="J615" s="1062">
        <f>VLOOKUP($B615,dongia1,DG!$G$5,)</f>
        <v>77000</v>
      </c>
      <c r="K615" s="1062">
        <f>VLOOKUP($B615,dongia1,DG!$H$5,)</f>
        <v>0</v>
      </c>
      <c r="L615" s="1174">
        <f>H615*G615</f>
        <v>0</v>
      </c>
      <c r="M615" s="1174">
        <f>I615*G615</f>
        <v>0</v>
      </c>
      <c r="N615" s="1174">
        <f>J615*G615</f>
        <v>0</v>
      </c>
      <c r="O615" s="1083">
        <f>K615*G615</f>
        <v>0</v>
      </c>
      <c r="P615" s="1080"/>
    </row>
    <row r="616" spans="1:16" s="1081" customFormat="1" hidden="1" outlineLevel="1">
      <c r="A616" s="1154" t="str">
        <f>A614</f>
        <v/>
      </c>
      <c r="B616" s="1086" t="s">
        <v>981</v>
      </c>
      <c r="C616" s="1074"/>
      <c r="D616" s="1075" t="str">
        <f>VLOOKUP($B616,dongia1,DG!$B$5,)</f>
        <v>T4.7001</v>
      </c>
      <c r="E616" s="1076" t="str">
        <f>VLOOKUP($B616,dongia1,DG!$C$5,)</f>
        <v>Kéo dây tiếp địa TBA</v>
      </c>
      <c r="F616" s="1075" t="str">
        <f>VLOOKUP($B616,dongia1,DG!$D$5,)</f>
        <v>mét</v>
      </c>
      <c r="G616" s="1074">
        <f>G606*$H$3</f>
        <v>0</v>
      </c>
      <c r="H616" s="1062">
        <f>VLOOKUP($B616,dongia1,DG!$F$5,)</f>
        <v>0</v>
      </c>
      <c r="I616" s="1062"/>
      <c r="J616" s="1062">
        <f>VLOOKUP($B616,dongia1,DG!$G$5,)</f>
        <v>8070.7000000000007</v>
      </c>
      <c r="K616" s="1062">
        <f>VLOOKUP($B616,dongia1,DG!$H$5,)</f>
        <v>2044.9974999999999</v>
      </c>
      <c r="L616" s="1174">
        <f>H616*G616</f>
        <v>0</v>
      </c>
      <c r="M616" s="1174">
        <f>I616*G616</f>
        <v>0</v>
      </c>
      <c r="N616" s="1174">
        <f>J616*G616</f>
        <v>0</v>
      </c>
      <c r="O616" s="1083">
        <f>K616*G616</f>
        <v>0</v>
      </c>
      <c r="P616" s="1080"/>
    </row>
    <row r="617" spans="1:16" s="1081" customFormat="1" hidden="1" outlineLevel="1">
      <c r="A617" s="1154" t="str">
        <f>A616</f>
        <v/>
      </c>
      <c r="B617" s="1067" t="s">
        <v>984</v>
      </c>
      <c r="C617" s="1074"/>
      <c r="D617" s="1075" t="str">
        <f>VLOOKUP($B617,dongia1,DG!$B$5,)</f>
        <v>D2.8103</v>
      </c>
      <c r="E617" s="1076" t="str">
        <f>VLOOKUP($B617,dongia1,DG!$C$5,)</f>
        <v>Đóng cọc tiếp địa đất cấp 3 dài 2,5m</v>
      </c>
      <c r="F617" s="1075" t="str">
        <f>VLOOKUP($B617,dongia1,DG!$D$5,)</f>
        <v>cọc</v>
      </c>
      <c r="G617" s="1074">
        <f>G609</f>
        <v>0</v>
      </c>
      <c r="H617" s="1062">
        <f>VLOOKUP($B617,dongia1,DG!$F$5,)</f>
        <v>0</v>
      </c>
      <c r="I617" s="1083"/>
      <c r="J617" s="1200" t="str">
        <f>VLOOKUP($B617,dongia1,DG!$G$5,)&amp;" x1,7"</f>
        <v>90355,896 x1,7</v>
      </c>
      <c r="K617" s="1062">
        <f>VLOOKUP($B617,dongia1,DG!$H$5,)</f>
        <v>1573.075</v>
      </c>
      <c r="L617" s="1174">
        <f>H617*G617</f>
        <v>0</v>
      </c>
      <c r="M617" s="1174">
        <f>I617*G617</f>
        <v>0</v>
      </c>
      <c r="N617" s="1062">
        <f>VLOOKUP($B617,dongia1,DG!$G$5,)*G617*1.7</f>
        <v>0</v>
      </c>
      <c r="O617" s="1083">
        <f>K617*G617</f>
        <v>0</v>
      </c>
      <c r="P617" s="1080"/>
    </row>
    <row r="618" spans="1:16" s="1081" customFormat="1" hidden="1" outlineLevel="1">
      <c r="A618" s="1154" t="str">
        <f>IF(G618&gt;0,1,"")</f>
        <v/>
      </c>
      <c r="B618" s="1086" t="s">
        <v>503</v>
      </c>
      <c r="C618" s="1074"/>
      <c r="D618" s="1075" t="str">
        <f>VLOOKUP($B618,dongia1,DG!$B$5,)</f>
        <v>03.3122</v>
      </c>
      <c r="E618" s="1076" t="str">
        <f>VLOOKUP($B618,dongia1,DG!$C$5,)</f>
        <v>Đào rãnh tiếp địa đất cấp 2</v>
      </c>
      <c r="F618" s="1075" t="str">
        <f>VLOOKUP($B618,dongia1,DG!$D$5,)</f>
        <v>m3</v>
      </c>
      <c r="G618" s="1197">
        <f>G606*$H$4</f>
        <v>0</v>
      </c>
      <c r="H618" s="1062">
        <f>VLOOKUP($B618,dongia1,DG!$F$5,)</f>
        <v>0</v>
      </c>
      <c r="I618" s="1062"/>
      <c r="J618" s="1062">
        <f>VLOOKUP($B618,dongia1,DG!$G$5,)</f>
        <v>85640</v>
      </c>
      <c r="K618" s="1062">
        <f>VLOOKUP($B618,dongia1,DG!$H$5,)</f>
        <v>0</v>
      </c>
      <c r="L618" s="1174">
        <f>H618*G618</f>
        <v>0</v>
      </c>
      <c r="M618" s="1174">
        <f>I618*G618</f>
        <v>0</v>
      </c>
      <c r="N618" s="1174">
        <f>J618*G618</f>
        <v>0</v>
      </c>
      <c r="O618" s="1083">
        <f>K618*G618</f>
        <v>0</v>
      </c>
      <c r="P618" s="1080"/>
    </row>
    <row r="619" spans="1:16" s="1081" customFormat="1" hidden="1" outlineLevel="1">
      <c r="A619" s="1154" t="str">
        <f>IF(G619&gt;0,1,"")</f>
        <v/>
      </c>
      <c r="B619" s="1086" t="s">
        <v>975</v>
      </c>
      <c r="C619" s="1074"/>
      <c r="D619" s="1075" t="str">
        <f>VLOOKUP($B619,dongia1,DG!$B$5,)</f>
        <v>AB.13111</v>
      </c>
      <c r="E619" s="1076" t="str">
        <f>VLOOKUP($B619,dongia1,DG!$C$5,)</f>
        <v>Đắp đất rãnh tiếp địa cấp 3 (độ chặt k = 0.85)</v>
      </c>
      <c r="F619" s="1075" t="str">
        <f>VLOOKUP($B619,dongia1,DG!$D$5,)</f>
        <v>m3</v>
      </c>
      <c r="G619" s="1197">
        <f>G618</f>
        <v>0</v>
      </c>
      <c r="H619" s="1062">
        <f>VLOOKUP($B619,dongia1,DG!$F$5,)</f>
        <v>0</v>
      </c>
      <c r="I619" s="1178"/>
      <c r="J619" s="1062">
        <f>VLOOKUP($B619,dongia1,DG!$G$5,)</f>
        <v>117703.6</v>
      </c>
      <c r="K619" s="1062">
        <f>VLOOKUP($B619,dongia1,DG!$H$5,)</f>
        <v>0</v>
      </c>
      <c r="L619" s="1174">
        <f>H619*G619</f>
        <v>0</v>
      </c>
      <c r="M619" s="1174">
        <f>I619*G619</f>
        <v>0</v>
      </c>
      <c r="N619" s="1174">
        <f>J619*G619</f>
        <v>0</v>
      </c>
      <c r="O619" s="1083">
        <f>K619*G619</f>
        <v>0</v>
      </c>
      <c r="P619" s="1080"/>
    </row>
    <row r="620" spans="1:16" s="1081" customFormat="1" hidden="1" outlineLevel="1">
      <c r="A620" s="1154" t="str">
        <f>IF(G620&gt;0,1,"")</f>
        <v/>
      </c>
      <c r="B620" s="1073"/>
      <c r="C620" s="1064">
        <f>IF(G620&gt;0,C606+1,C606)</f>
        <v>0</v>
      </c>
      <c r="D620" s="1252"/>
      <c r="E620" s="1204" t="s">
        <v>3429</v>
      </c>
      <c r="F620" s="1064" t="s">
        <v>2113</v>
      </c>
      <c r="G620" s="1064">
        <f>G575</f>
        <v>0</v>
      </c>
      <c r="H620" s="1083"/>
      <c r="I620" s="1178"/>
      <c r="J620" s="1178"/>
      <c r="K620" s="1178"/>
      <c r="L620" s="1174">
        <f t="shared" si="117"/>
        <v>0</v>
      </c>
      <c r="M620" s="1174">
        <f t="shared" si="115"/>
        <v>0</v>
      </c>
      <c r="N620" s="1174">
        <f t="shared" si="118"/>
        <v>0</v>
      </c>
      <c r="O620" s="1083">
        <f t="shared" si="116"/>
        <v>0</v>
      </c>
      <c r="P620" s="1080"/>
    </row>
    <row r="621" spans="1:16" s="1081" customFormat="1" ht="14.4" hidden="1" outlineLevel="1">
      <c r="A621" s="1154" t="str">
        <f>A620</f>
        <v/>
      </c>
      <c r="B621" s="1073"/>
      <c r="C621" s="1064"/>
      <c r="D621" s="1252"/>
      <c r="E621" s="1222" t="s">
        <v>3399</v>
      </c>
      <c r="F621" s="1074"/>
      <c r="G621" s="1074"/>
      <c r="H621" s="1083"/>
      <c r="I621" s="1178"/>
      <c r="J621" s="1178"/>
      <c r="K621" s="1178"/>
      <c r="L621" s="1174">
        <f t="shared" si="117"/>
        <v>0</v>
      </c>
      <c r="M621" s="1174">
        <f t="shared" si="115"/>
        <v>0</v>
      </c>
      <c r="N621" s="1174">
        <f t="shared" si="118"/>
        <v>0</v>
      </c>
      <c r="O621" s="1083">
        <f t="shared" si="116"/>
        <v>0</v>
      </c>
      <c r="P621" s="1080"/>
    </row>
    <row r="622" spans="1:16" s="1081" customFormat="1" hidden="1" outlineLevel="1">
      <c r="A622" s="1154" t="str">
        <f t="shared" ref="A622:A627" si="126">IF(G622&gt;0,1,"")</f>
        <v/>
      </c>
      <c r="B622" s="1067" t="s">
        <v>879</v>
      </c>
      <c r="C622" s="1074"/>
      <c r="D622" s="1075" t="str">
        <f>VLOOKUP($B622,dongia1,DG!$B$5,)</f>
        <v>T5.1001</v>
      </c>
      <c r="E622" s="1076" t="str">
        <f>VLOOKUP($B622,dongia1,DG!$C$5,)</f>
        <v>Tủ CB trạm 1 pha + khóa + boulon</v>
      </c>
      <c r="F622" s="1075" t="str">
        <f>VLOOKUP($B622,dongia1,DG!$D$5,)</f>
        <v>cái</v>
      </c>
      <c r="G622" s="1074">
        <f>G620</f>
        <v>0</v>
      </c>
      <c r="H622" s="1062">
        <f>VLOOKUP($B622,dongia1,DG!$F$5,)</f>
        <v>3793194</v>
      </c>
      <c r="I622" s="1062"/>
      <c r="J622" s="1062">
        <f>VLOOKUP($B622,dongia1,DG!$G$5,)</f>
        <v>599038</v>
      </c>
      <c r="K622" s="1062">
        <f>VLOOKUP($B622,dongia1,DG!$H$5,)</f>
        <v>97369</v>
      </c>
      <c r="L622" s="1174">
        <f t="shared" si="117"/>
        <v>0</v>
      </c>
      <c r="M622" s="1174">
        <f t="shared" si="115"/>
        <v>0</v>
      </c>
      <c r="N622" s="1174">
        <f t="shared" si="118"/>
        <v>0</v>
      </c>
      <c r="O622" s="1083">
        <f t="shared" si="116"/>
        <v>0</v>
      </c>
      <c r="P622" s="1080"/>
    </row>
    <row r="623" spans="1:16" s="1081" customFormat="1" hidden="1" outlineLevel="1">
      <c r="A623" s="1154" t="str">
        <f t="shared" si="126"/>
        <v/>
      </c>
      <c r="B623" s="1073" t="s">
        <v>1559</v>
      </c>
      <c r="C623" s="1074"/>
      <c r="D623" s="1075"/>
      <c r="E623" s="1076" t="str">
        <f>VLOOKUP($B623,dongia1,DG!$C$5,)</f>
        <v>Cổ dê bắt tủ</v>
      </c>
      <c r="F623" s="1075" t="str">
        <f>VLOOKUP($B623,dongia1,DG!$D$5,)</f>
        <v>bộ</v>
      </c>
      <c r="G623" s="1074">
        <f>G620*2</f>
        <v>0</v>
      </c>
      <c r="H623" s="1062">
        <f>VLOOKUP($B623,dongia1,DG!$F$5,)</f>
        <v>168000</v>
      </c>
      <c r="I623" s="1178"/>
      <c r="J623" s="1062"/>
      <c r="K623" s="1062">
        <f>VLOOKUP($B623,dongia1,DG!$H$5,)</f>
        <v>0</v>
      </c>
      <c r="L623" s="1174">
        <f>H623*G623</f>
        <v>0</v>
      </c>
      <c r="M623" s="1174">
        <f t="shared" si="115"/>
        <v>0</v>
      </c>
      <c r="N623" s="1174">
        <f t="shared" si="118"/>
        <v>0</v>
      </c>
      <c r="O623" s="1083">
        <f t="shared" si="116"/>
        <v>0</v>
      </c>
      <c r="P623" s="1080"/>
    </row>
    <row r="624" spans="1:16" s="1081" customFormat="1" hidden="1" outlineLevel="1">
      <c r="A624" s="1154" t="str">
        <f t="shared" si="126"/>
        <v/>
      </c>
      <c r="B624" s="1067" t="s">
        <v>1301</v>
      </c>
      <c r="C624" s="1074"/>
      <c r="D624" s="1075" t="str">
        <f>VLOOKUP($B624,dongia1,DG!$B$5,)</f>
        <v>D3.3241</v>
      </c>
      <c r="E624" s="1076" t="str">
        <f>VLOOKUP($B624,dongia1,DG!$C$5,)</f>
        <v>Lắp cổ dê</v>
      </c>
      <c r="F624" s="1075" t="str">
        <f>VLOOKUP($B624,dongia1,DG!$D$5,)</f>
        <v>cái</v>
      </c>
      <c r="G624" s="1074">
        <f>G620*2</f>
        <v>0</v>
      </c>
      <c r="H624" s="1062">
        <f>VLOOKUP($B624,dongia1,DG!$F$5,)</f>
        <v>0</v>
      </c>
      <c r="I624" s="1178"/>
      <c r="J624" s="1062">
        <f>VLOOKUP($B624,dongia1,DG!$G$5,)</f>
        <v>77000</v>
      </c>
      <c r="K624" s="1062">
        <f>VLOOKUP($B624,dongia1,DG!$H$5,)</f>
        <v>0</v>
      </c>
      <c r="L624" s="1174">
        <f>H624*G624</f>
        <v>0</v>
      </c>
      <c r="M624" s="1174">
        <f>I624*G624</f>
        <v>0</v>
      </c>
      <c r="N624" s="1174">
        <f>J624*G624</f>
        <v>0</v>
      </c>
      <c r="O624" s="1083">
        <f>K624*G624</f>
        <v>0</v>
      </c>
      <c r="P624" s="1080"/>
    </row>
    <row r="625" spans="1:16" s="1081" customFormat="1" hidden="1" outlineLevel="1">
      <c r="A625" s="1154" t="str">
        <f t="shared" si="126"/>
        <v/>
      </c>
      <c r="B625" s="1073" t="s">
        <v>1998</v>
      </c>
      <c r="C625" s="1074"/>
      <c r="D625" s="1075">
        <f>VLOOKUP($B625,dongia1,DG!$B$5,)</f>
        <v>0</v>
      </c>
      <c r="E625" s="1076" t="str">
        <f>VLOOKUP($B625,dongia1,DG!$C$5,)</f>
        <v>Boulon 12x40+ 2 long đền vuông D14-50x50x3/Zn</v>
      </c>
      <c r="F625" s="1075" t="str">
        <f>VLOOKUP($B625,dongia1,DG!$D$5,)</f>
        <v>bộ</v>
      </c>
      <c r="G625" s="1074">
        <f>G620*4*0</f>
        <v>0</v>
      </c>
      <c r="H625" s="1062">
        <f>VLOOKUP($B625,dongia1,DG!$F$5,)</f>
        <v>8500</v>
      </c>
      <c r="I625" s="1178"/>
      <c r="J625" s="1062">
        <f>VLOOKUP($B625,dongia1,DG!$G$5,)</f>
        <v>0</v>
      </c>
      <c r="K625" s="1062">
        <f>VLOOKUP($B625,dongia1,DG!$H$5,)</f>
        <v>0</v>
      </c>
      <c r="L625" s="1174">
        <f>H625*G625</f>
        <v>0</v>
      </c>
      <c r="M625" s="1174">
        <f>I625*G625</f>
        <v>0</v>
      </c>
      <c r="N625" s="1174">
        <f>J625*G625</f>
        <v>0</v>
      </c>
      <c r="O625" s="1083">
        <f>K625*G625</f>
        <v>0</v>
      </c>
      <c r="P625" s="1080"/>
    </row>
    <row r="626" spans="1:16" s="1081" customFormat="1" hidden="1" outlineLevel="1">
      <c r="A626" s="1154" t="str">
        <f t="shared" si="126"/>
        <v/>
      </c>
      <c r="B626" s="1073" t="s">
        <v>1560</v>
      </c>
      <c r="C626" s="1074"/>
      <c r="D626" s="1075">
        <f>VLOOKUP($B626,dongia1,DG!$B$5,)</f>
        <v>0</v>
      </c>
      <c r="E626" s="1076" t="str">
        <f>VLOOKUP($B626,dongia1,DG!$C$5,)</f>
        <v xml:space="preserve">Bakelit 500x300 dầy 10mm </v>
      </c>
      <c r="F626" s="1075" t="str">
        <f>VLOOKUP($B626,dongia1,DG!$D$5,)</f>
        <v>cái</v>
      </c>
      <c r="G626" s="1074">
        <f>G620*2</f>
        <v>0</v>
      </c>
      <c r="H626" s="1062">
        <f>VLOOKUP($B626,dongia1,DG!$F$5,)</f>
        <v>284000</v>
      </c>
      <c r="I626" s="1178"/>
      <c r="J626" s="1062">
        <f>VLOOKUP($B626,dongia1,DG!$G$5,)</f>
        <v>5404</v>
      </c>
      <c r="K626" s="1062">
        <f>VLOOKUP($B626,dongia1,DG!$H$5,)</f>
        <v>0</v>
      </c>
      <c r="L626" s="1174">
        <f t="shared" si="117"/>
        <v>0</v>
      </c>
      <c r="M626" s="1174">
        <f t="shared" si="115"/>
        <v>0</v>
      </c>
      <c r="N626" s="1174">
        <f t="shared" si="118"/>
        <v>0</v>
      </c>
      <c r="O626" s="1083">
        <f t="shared" si="116"/>
        <v>0</v>
      </c>
      <c r="P626" s="1080"/>
    </row>
    <row r="627" spans="1:16" s="1081" customFormat="1" hidden="1" outlineLevel="1">
      <c r="A627" s="1154" t="str">
        <f t="shared" si="126"/>
        <v/>
      </c>
      <c r="B627" s="1073"/>
      <c r="C627" s="1064">
        <f>IF(G627&gt;0,C620+1,C620)</f>
        <v>0</v>
      </c>
      <c r="D627" s="1252"/>
      <c r="E627" s="1224" t="s">
        <v>3430</v>
      </c>
      <c r="F627" s="1064" t="s">
        <v>2113</v>
      </c>
      <c r="G627" s="1064">
        <f>G575</f>
        <v>0</v>
      </c>
      <c r="H627" s="1083"/>
      <c r="I627" s="1178"/>
      <c r="J627" s="1178"/>
      <c r="K627" s="1178"/>
      <c r="L627" s="1174">
        <f t="shared" si="117"/>
        <v>0</v>
      </c>
      <c r="M627" s="1174">
        <f t="shared" si="115"/>
        <v>0</v>
      </c>
      <c r="N627" s="1174">
        <f t="shared" si="118"/>
        <v>0</v>
      </c>
      <c r="O627" s="1083">
        <f t="shared" si="116"/>
        <v>0</v>
      </c>
      <c r="P627" s="1080"/>
    </row>
    <row r="628" spans="1:16" s="1081" customFormat="1" ht="14.4" hidden="1" outlineLevel="1">
      <c r="A628" s="1154" t="str">
        <f>A627</f>
        <v/>
      </c>
      <c r="B628" s="1073"/>
      <c r="C628" s="1064"/>
      <c r="D628" s="1252"/>
      <c r="E628" s="1222" t="s">
        <v>3399</v>
      </c>
      <c r="F628" s="1074"/>
      <c r="G628" s="1074"/>
      <c r="H628" s="1083"/>
      <c r="I628" s="1178"/>
      <c r="J628" s="1178"/>
      <c r="K628" s="1178"/>
      <c r="L628" s="1174">
        <f t="shared" si="117"/>
        <v>0</v>
      </c>
      <c r="M628" s="1174">
        <f t="shared" si="115"/>
        <v>0</v>
      </c>
      <c r="N628" s="1174">
        <f t="shared" si="118"/>
        <v>0</v>
      </c>
      <c r="O628" s="1083">
        <f t="shared" si="116"/>
        <v>0</v>
      </c>
      <c r="P628" s="1080"/>
    </row>
    <row r="629" spans="1:16" s="1081" customFormat="1" hidden="1" outlineLevel="1">
      <c r="A629" s="1154" t="str">
        <f t="shared" ref="A629:A634" si="127">IF(G629&gt;0,1,"")</f>
        <v/>
      </c>
      <c r="B629" s="1067" t="s">
        <v>648</v>
      </c>
      <c r="C629" s="1074"/>
      <c r="D629" s="1075">
        <f>VLOOKUP($B629,dongia1,DG!$B$5,)</f>
        <v>0</v>
      </c>
      <c r="E629" s="1076" t="str">
        <f>VLOOKUP($B629,dongia1,DG!$C$5,)&amp;": 3m/pha"</f>
        <v>Cáp 24KV C/XLPE/PVC- 25mm2: 3m/pha</v>
      </c>
      <c r="F629" s="1075" t="str">
        <f>VLOOKUP($B629,dongia1,DG!$D$5,)</f>
        <v>mét</v>
      </c>
      <c r="G629" s="1074">
        <f>G627*3*3</f>
        <v>0</v>
      </c>
      <c r="H629" s="1062">
        <f>VLOOKUP($B629,dongia1,DG!$F$5,)</f>
        <v>50996</v>
      </c>
      <c r="I629" s="1062"/>
      <c r="J629" s="1062">
        <f>VLOOKUP($B629,dongia1,DG!$G$5,)</f>
        <v>0</v>
      </c>
      <c r="K629" s="1062">
        <f>VLOOKUP($B629,dongia1,DG!$H$5,)</f>
        <v>0</v>
      </c>
      <c r="L629" s="1174">
        <f t="shared" ref="L629:L635" si="128">H629*G629</f>
        <v>0</v>
      </c>
      <c r="M629" s="1174">
        <f t="shared" si="115"/>
        <v>0</v>
      </c>
      <c r="N629" s="1174">
        <f t="shared" si="118"/>
        <v>0</v>
      </c>
      <c r="O629" s="1083">
        <f t="shared" si="116"/>
        <v>0</v>
      </c>
      <c r="P629" s="1080"/>
    </row>
    <row r="630" spans="1:16" s="1081" customFormat="1" hidden="1" outlineLevel="1">
      <c r="A630" s="1154" t="str">
        <f t="shared" si="127"/>
        <v/>
      </c>
      <c r="B630" s="1206" t="s">
        <v>2028</v>
      </c>
      <c r="C630" s="1074"/>
      <c r="D630" s="1075">
        <f>VLOOKUP($B630,dongia1,DG!$B$5,)</f>
        <v>0</v>
      </c>
      <c r="E630" s="1076" t="str">
        <f>VLOOKUP($B630,dongia1,DG!$C$5,)</f>
        <v>Kẹp quai 2/0</v>
      </c>
      <c r="F630" s="1075" t="str">
        <f>VLOOKUP($B630,dongia1,DG!$D$5,)</f>
        <v>cái</v>
      </c>
      <c r="G630" s="1074">
        <f>3*G627</f>
        <v>0</v>
      </c>
      <c r="H630" s="1062">
        <f>VLOOKUP($B630,dongia1,DG!$F$5,)</f>
        <v>46000</v>
      </c>
      <c r="I630" s="1062"/>
      <c r="J630" s="1062">
        <f>VLOOKUP($B630,dongia1,DG!$G$5,)</f>
        <v>0</v>
      </c>
      <c r="K630" s="1062">
        <f>VLOOKUP($B630,dongia1,DG!$H$5,)</f>
        <v>0</v>
      </c>
      <c r="L630" s="1174">
        <f t="shared" si="128"/>
        <v>0</v>
      </c>
      <c r="M630" s="1174">
        <f t="shared" si="115"/>
        <v>0</v>
      </c>
      <c r="N630" s="1174">
        <f t="shared" si="118"/>
        <v>0</v>
      </c>
      <c r="O630" s="1083">
        <f t="shared" si="116"/>
        <v>0</v>
      </c>
      <c r="P630" s="1080"/>
    </row>
    <row r="631" spans="1:16" s="1081" customFormat="1" hidden="1" outlineLevel="1">
      <c r="A631" s="1154" t="str">
        <f t="shared" si="127"/>
        <v/>
      </c>
      <c r="B631" s="1206" t="s">
        <v>2026</v>
      </c>
      <c r="C631" s="1074"/>
      <c r="D631" s="1075">
        <f>VLOOKUP($B631,dongia1,DG!$B$5,)</f>
        <v>0</v>
      </c>
      <c r="E631" s="1076" t="str">
        <f>VLOOKUP($B631,dongia1,DG!$C$5,)</f>
        <v>Kẹp hotline 2/0</v>
      </c>
      <c r="F631" s="1075" t="str">
        <f>VLOOKUP($B631,dongia1,DG!$D$5,)</f>
        <v>cái</v>
      </c>
      <c r="G631" s="1074">
        <f>3*G624</f>
        <v>0</v>
      </c>
      <c r="H631" s="1062">
        <f>VLOOKUP($B631,dongia1,DG!$F$5,)</f>
        <v>77000</v>
      </c>
      <c r="I631" s="1062"/>
      <c r="J631" s="1062">
        <f>VLOOKUP($B631,dongia1,DG!$G$5,)</f>
        <v>0</v>
      </c>
      <c r="K631" s="1062">
        <f>VLOOKUP($B631,dongia1,DG!$H$5,)</f>
        <v>0</v>
      </c>
      <c r="L631" s="1174">
        <f t="shared" si="128"/>
        <v>0</v>
      </c>
      <c r="M631" s="1174">
        <f>I631*G631</f>
        <v>0</v>
      </c>
      <c r="N631" s="1174">
        <f>J631*G631</f>
        <v>0</v>
      </c>
      <c r="O631" s="1083">
        <f>K631*G631</f>
        <v>0</v>
      </c>
      <c r="P631" s="1080"/>
    </row>
    <row r="632" spans="1:16" s="1081" customFormat="1" hidden="1" outlineLevel="1">
      <c r="A632" s="1154" t="str">
        <f t="shared" si="127"/>
        <v/>
      </c>
      <c r="B632" s="1206" t="s">
        <v>2144</v>
      </c>
      <c r="C632" s="1074"/>
      <c r="D632" s="1075">
        <f>VLOOKUP($B632,dongia1,DG!$B$5,)</f>
        <v>0</v>
      </c>
      <c r="E632" s="1076" t="str">
        <f>VLOOKUP($B632,dongia1,DG!$C$5,)</f>
        <v>Nắp che đầu cực FCO</v>
      </c>
      <c r="F632" s="1198" t="str">
        <f>VLOOKUP($B632,dongia1,DG!$D$5,)</f>
        <v>cái</v>
      </c>
      <c r="G632" s="1074">
        <f>3*G625</f>
        <v>0</v>
      </c>
      <c r="H632" s="1062">
        <f>VLOOKUP($B632,dongia1,DG!$F$5,)</f>
        <v>218200</v>
      </c>
      <c r="I632" s="1062"/>
      <c r="J632" s="1062">
        <f>VLOOKUP($B632,dongia1,DG!$G$5,)</f>
        <v>0</v>
      </c>
      <c r="K632" s="1062">
        <f>VLOOKUP($B632,dongia1,DG!$H$5,)</f>
        <v>0</v>
      </c>
      <c r="L632" s="1174">
        <f t="shared" si="128"/>
        <v>0</v>
      </c>
      <c r="M632" s="1174">
        <f>I632*G632</f>
        <v>0</v>
      </c>
      <c r="N632" s="1174">
        <f>J632*G632</f>
        <v>0</v>
      </c>
      <c r="O632" s="1083">
        <f>K632*G632</f>
        <v>0</v>
      </c>
      <c r="P632" s="1080"/>
    </row>
    <row r="633" spans="1:16" s="1081" customFormat="1" hidden="1" outlineLevel="1">
      <c r="A633" s="1154" t="str">
        <f t="shared" si="127"/>
        <v/>
      </c>
      <c r="B633" s="1206" t="s">
        <v>2121</v>
      </c>
      <c r="C633" s="1074"/>
      <c r="D633" s="1075">
        <f>VLOOKUP($B633,dongia1,DG!$B$5,)</f>
        <v>0</v>
      </c>
      <c r="E633" s="1076" t="str">
        <f>VLOOKUP($B633,dongia1,DG!$C$5,)</f>
        <v>Nắp che đầu cực LA</v>
      </c>
      <c r="F633" s="1198" t="str">
        <f>VLOOKUP($B633,dongia1,DG!$D$5,)</f>
        <v>cái</v>
      </c>
      <c r="G633" s="1074">
        <f>3*G626</f>
        <v>0</v>
      </c>
      <c r="H633" s="1062">
        <f>VLOOKUP($B633,dongia1,DG!$F$5,)</f>
        <v>39100</v>
      </c>
      <c r="I633" s="1062"/>
      <c r="J633" s="1062">
        <f>VLOOKUP($B633,dongia1,DG!$G$5,)</f>
        <v>0</v>
      </c>
      <c r="K633" s="1062">
        <f>VLOOKUP($B633,dongia1,DG!$H$5,)</f>
        <v>0</v>
      </c>
      <c r="L633" s="1174">
        <f t="shared" si="128"/>
        <v>0</v>
      </c>
      <c r="M633" s="1174">
        <f>I633*G633</f>
        <v>0</v>
      </c>
      <c r="N633" s="1174">
        <f>J633*G633</f>
        <v>0</v>
      </c>
      <c r="O633" s="1083">
        <f>K633*G633</f>
        <v>0</v>
      </c>
      <c r="P633" s="1080"/>
    </row>
    <row r="634" spans="1:16" s="1081" customFormat="1" hidden="1" outlineLevel="1">
      <c r="A634" s="1154" t="str">
        <f t="shared" si="127"/>
        <v/>
      </c>
      <c r="B634" s="1206" t="s">
        <v>2123</v>
      </c>
      <c r="C634" s="1074"/>
      <c r="D634" s="1075">
        <f>VLOOKUP($B634,dongia1,DG!$B$5,)</f>
        <v>0</v>
      </c>
      <c r="E634" s="1076" t="str">
        <f>VLOOKUP($B634,dongia1,DG!$C$5,)</f>
        <v>Nắp che đầu sứ MBA</v>
      </c>
      <c r="F634" s="1198" t="str">
        <f>VLOOKUP($B634,dongia1,DG!$D$5,)</f>
        <v>cái</v>
      </c>
      <c r="G634" s="1074">
        <f>3*G627</f>
        <v>0</v>
      </c>
      <c r="H634" s="1062">
        <f>VLOOKUP($B634,dongia1,DG!$F$5,)</f>
        <v>56700</v>
      </c>
      <c r="I634" s="1062"/>
      <c r="J634" s="1062">
        <f>VLOOKUP($B634,dongia1,DG!$G$5,)</f>
        <v>0</v>
      </c>
      <c r="K634" s="1062">
        <f>VLOOKUP($B634,dongia1,DG!$H$5,)</f>
        <v>0</v>
      </c>
      <c r="L634" s="1174">
        <f t="shared" si="128"/>
        <v>0</v>
      </c>
      <c r="M634" s="1174">
        <f t="shared" si="115"/>
        <v>0</v>
      </c>
      <c r="N634" s="1174">
        <f t="shared" si="118"/>
        <v>0</v>
      </c>
      <c r="O634" s="1083">
        <f t="shared" si="116"/>
        <v>0</v>
      </c>
      <c r="P634" s="1080"/>
    </row>
    <row r="635" spans="1:16" s="1081" customFormat="1" hidden="1" outlineLevel="1">
      <c r="A635" s="1154">
        <f>IF(G635&lt;&gt;0,1,0)</f>
        <v>0</v>
      </c>
      <c r="B635" s="1206" t="s">
        <v>224</v>
      </c>
      <c r="C635" s="1074"/>
      <c r="D635" s="1075" t="str">
        <f>VLOOKUP($B635,dongia1,DG!$B$5,)</f>
        <v>T4.4201</v>
      </c>
      <c r="E635" s="1076" t="str">
        <f>VLOOKUP($B635,dongia1,DG!$C$5,)</f>
        <v>Lắp cáp đồng xuống thiết bị D ≤ 95mm2</v>
      </c>
      <c r="F635" s="1075" t="str">
        <f>VLOOKUP($B635,dongia1,DG!$D$5,)</f>
        <v>m</v>
      </c>
      <c r="G635" s="1074">
        <f>G629</f>
        <v>0</v>
      </c>
      <c r="H635" s="1062">
        <f>VLOOKUP($B635,dongia1,DG!$F$5,)</f>
        <v>0</v>
      </c>
      <c r="I635" s="1062"/>
      <c r="J635" s="1062">
        <f>VLOOKUP($B635,dongia1,DG!$G$5,)</f>
        <v>13915</v>
      </c>
      <c r="K635" s="1062">
        <f>VLOOKUP($B635,dongia1,DG!$H$5,)</f>
        <v>0</v>
      </c>
      <c r="L635" s="1174">
        <f t="shared" si="128"/>
        <v>0</v>
      </c>
      <c r="M635" s="1174">
        <f>I635*G635</f>
        <v>0</v>
      </c>
      <c r="N635" s="1174">
        <f>J635*G635</f>
        <v>0</v>
      </c>
      <c r="O635" s="1083">
        <f>K635*G635</f>
        <v>0</v>
      </c>
      <c r="P635" s="1080"/>
    </row>
    <row r="636" spans="1:16" s="1081" customFormat="1" hidden="1" outlineLevel="1">
      <c r="A636" s="1154" t="str">
        <f>IF(G636&gt;0,1,"")</f>
        <v/>
      </c>
      <c r="B636" s="1073"/>
      <c r="C636" s="1064">
        <f>IF(G636&gt;0,C627+1,C627)</f>
        <v>0</v>
      </c>
      <c r="D636" s="1252"/>
      <c r="E636" s="1204" t="s">
        <v>3417</v>
      </c>
      <c r="F636" s="1064" t="s">
        <v>2113</v>
      </c>
      <c r="G636" s="1064">
        <f>G567/3</f>
        <v>0</v>
      </c>
      <c r="H636" s="1083"/>
      <c r="I636" s="1178"/>
      <c r="J636" s="1178"/>
      <c r="K636" s="1178"/>
      <c r="L636" s="1174">
        <f t="shared" si="117"/>
        <v>0</v>
      </c>
      <c r="M636" s="1174">
        <f t="shared" si="115"/>
        <v>0</v>
      </c>
      <c r="N636" s="1174">
        <f t="shared" si="118"/>
        <v>0</v>
      </c>
      <c r="O636" s="1083">
        <f t="shared" si="116"/>
        <v>0</v>
      </c>
      <c r="P636" s="1080"/>
    </row>
    <row r="637" spans="1:16" s="1081" customFormat="1" ht="14.4" hidden="1" outlineLevel="1">
      <c r="A637" s="1154" t="str">
        <f>A636</f>
        <v/>
      </c>
      <c r="B637" s="1073"/>
      <c r="C637" s="1064"/>
      <c r="D637" s="1252"/>
      <c r="E637" s="1222" t="s">
        <v>3399</v>
      </c>
      <c r="F637" s="1074"/>
      <c r="G637" s="1074"/>
      <c r="H637" s="1083"/>
      <c r="I637" s="1178"/>
      <c r="J637" s="1178"/>
      <c r="K637" s="1178"/>
      <c r="L637" s="1174">
        <f t="shared" si="117"/>
        <v>0</v>
      </c>
      <c r="M637" s="1174">
        <f t="shared" si="115"/>
        <v>0</v>
      </c>
      <c r="N637" s="1174">
        <f t="shared" si="118"/>
        <v>0</v>
      </c>
      <c r="O637" s="1083">
        <f t="shared" si="116"/>
        <v>0</v>
      </c>
      <c r="P637" s="1080"/>
    </row>
    <row r="638" spans="1:16" s="1081" customFormat="1" hidden="1" outlineLevel="1">
      <c r="A638" s="1154" t="str">
        <f t="shared" ref="A638:A650" si="129">IF(G638&gt;0,1,"")</f>
        <v/>
      </c>
      <c r="B638" s="1073" t="s">
        <v>1604</v>
      </c>
      <c r="C638" s="1074"/>
      <c r="D638" s="1075">
        <f>VLOOKUP($B638,dongia1,DG!$B$5,)</f>
        <v>0</v>
      </c>
      <c r="E638" s="1076" t="str">
        <f>VLOOKUP($B638,dongia1,DG!$C$5,)</f>
        <v>Cáp đồng bọc CV50</v>
      </c>
      <c r="F638" s="1075" t="str">
        <f>VLOOKUP($B638,dongia1,DG!$D$5,)</f>
        <v>mét</v>
      </c>
      <c r="G638" s="1074">
        <f>4*7*G636</f>
        <v>0</v>
      </c>
      <c r="H638" s="1062">
        <f>VLOOKUP($B638,dongia1,DG!$F$5,)</f>
        <v>91800</v>
      </c>
      <c r="I638" s="1062"/>
      <c r="J638" s="1062">
        <f>VLOOKUP($B638,dongia1,DG!$G$5,)</f>
        <v>0</v>
      </c>
      <c r="K638" s="1062">
        <f>VLOOKUP($B638,dongia1,DG!$H$5,)</f>
        <v>0</v>
      </c>
      <c r="L638" s="1174">
        <f>H638*G638</f>
        <v>0</v>
      </c>
      <c r="M638" s="1174">
        <f t="shared" si="115"/>
        <v>0</v>
      </c>
      <c r="N638" s="1174">
        <f t="shared" si="118"/>
        <v>0</v>
      </c>
      <c r="O638" s="1083">
        <f t="shared" si="116"/>
        <v>0</v>
      </c>
      <c r="P638" s="1080"/>
    </row>
    <row r="639" spans="1:16" s="1081" customFormat="1" hidden="1" outlineLevel="1">
      <c r="A639" s="1154" t="str">
        <f t="shared" si="129"/>
        <v/>
      </c>
      <c r="B639" s="1073" t="s">
        <v>37</v>
      </c>
      <c r="C639" s="1074"/>
      <c r="D639" s="1075" t="str">
        <f>VLOOKUP($B639,dongia1,DG!$B$5,)</f>
        <v>03.1401</v>
      </c>
      <c r="E639" s="1076" t="str">
        <f>VLOOKUP($B639,dongia1,DG!$C$5,)</f>
        <v xml:space="preserve">Cáp CVV 4x2,5mm2  </v>
      </c>
      <c r="F639" s="1075" t="str">
        <f>VLOOKUP($B639,dongia1,DG!$D$5,)</f>
        <v>mét</v>
      </c>
      <c r="G639" s="1074">
        <f>4*G636</f>
        <v>0</v>
      </c>
      <c r="H639" s="1062">
        <f>VLOOKUP($B639,dongia1,DG!$F$5,)</f>
        <v>28200</v>
      </c>
      <c r="I639" s="1062"/>
      <c r="J639" s="1062">
        <f>VLOOKUP($B639,dongia1,DG!$G$5,)</f>
        <v>0</v>
      </c>
      <c r="K639" s="1062">
        <f>VLOOKUP($B639,dongia1,DG!$H$5,)</f>
        <v>0</v>
      </c>
      <c r="L639" s="1174">
        <f>H639*G639</f>
        <v>0</v>
      </c>
      <c r="M639" s="1174">
        <f>I639*G639</f>
        <v>0</v>
      </c>
      <c r="N639" s="1174">
        <f>J639*G639</f>
        <v>0</v>
      </c>
      <c r="O639" s="1083">
        <f>K639*G639</f>
        <v>0</v>
      </c>
      <c r="P639" s="1080"/>
    </row>
    <row r="640" spans="1:16" s="1081" customFormat="1" hidden="1" outlineLevel="1">
      <c r="A640" s="1154" t="str">
        <f t="shared" si="129"/>
        <v/>
      </c>
      <c r="B640" s="1086" t="s">
        <v>2059</v>
      </c>
      <c r="C640" s="1074"/>
      <c r="D640" s="1075" t="str">
        <f>VLOOKUP($B640,dongia1,DG!$B$5,)</f>
        <v>D4.5002</v>
      </c>
      <c r="E640" s="1076" t="str">
        <f>VLOOKUP($B640,dongia1,DG!$C$5,)</f>
        <v>Đầu cosse ép Cu 50mm2</v>
      </c>
      <c r="F640" s="1075" t="str">
        <f>VLOOKUP($B640,dongia1,DG!$D$5,)</f>
        <v>cái</v>
      </c>
      <c r="G640" s="1074">
        <f>4*G636</f>
        <v>0</v>
      </c>
      <c r="H640" s="1062">
        <f>VLOOKUP($B640,dongia1,DG!$F$5,)</f>
        <v>9100</v>
      </c>
      <c r="I640" s="1062"/>
      <c r="J640" s="1062">
        <f>VLOOKUP($B640,dongia1,DG!$G$5,)</f>
        <v>10608.955000000002</v>
      </c>
      <c r="K640" s="1062">
        <f>VLOOKUP($B640,dongia1,DG!$H$5,)</f>
        <v>2777.0232475000003</v>
      </c>
      <c r="L640" s="1174">
        <f t="shared" si="117"/>
        <v>0</v>
      </c>
      <c r="M640" s="1174">
        <f t="shared" si="115"/>
        <v>0</v>
      </c>
      <c r="N640" s="1174">
        <f t="shared" si="118"/>
        <v>0</v>
      </c>
      <c r="O640" s="1083">
        <f t="shared" si="116"/>
        <v>0</v>
      </c>
      <c r="P640" s="1080"/>
    </row>
    <row r="641" spans="1:16" s="1081" customFormat="1" hidden="1" outlineLevel="1">
      <c r="A641" s="1154" t="str">
        <f t="shared" si="129"/>
        <v/>
      </c>
      <c r="B641" s="1086" t="s">
        <v>1257</v>
      </c>
      <c r="C641" s="1074"/>
      <c r="D641" s="1075">
        <f>VLOOKUP($B641,dongia1,DG!$B$5,)</f>
        <v>0</v>
      </c>
      <c r="E641" s="1076" t="str">
        <f>VLOOKUP($B641,dongia1,DG!$C$5,)</f>
        <v>Chụp đầu cosse  50mm2</v>
      </c>
      <c r="F641" s="1075" t="str">
        <f>VLOOKUP($B641,dongia1,DG!$D$5,)</f>
        <v>cái</v>
      </c>
      <c r="G641" s="1074">
        <f>G640</f>
        <v>0</v>
      </c>
      <c r="H641" s="1062">
        <f>VLOOKUP($B641,dongia1,DG!$F$5,)</f>
        <v>1000</v>
      </c>
      <c r="I641" s="1062"/>
      <c r="J641" s="1062">
        <f>VLOOKUP($B641,dongia1,DG!$G$5,)</f>
        <v>0</v>
      </c>
      <c r="K641" s="1062">
        <f>VLOOKUP($B641,dongia1,DG!$H$5,)</f>
        <v>0</v>
      </c>
      <c r="L641" s="1174">
        <f>H641*G641</f>
        <v>0</v>
      </c>
      <c r="M641" s="1174">
        <f>I641*G641</f>
        <v>0</v>
      </c>
      <c r="N641" s="1174">
        <f>J641*G641</f>
        <v>0</v>
      </c>
      <c r="O641" s="1083">
        <f>K641*G641</f>
        <v>0</v>
      </c>
      <c r="P641" s="1080"/>
    </row>
    <row r="642" spans="1:16" s="1081" customFormat="1" hidden="1" outlineLevel="1">
      <c r="A642" s="1154" t="str">
        <f t="shared" si="129"/>
        <v/>
      </c>
      <c r="B642" s="1073" t="s">
        <v>595</v>
      </c>
      <c r="C642" s="1074"/>
      <c r="D642" s="1075">
        <f>VLOOKUP($B642,dongia1,DG!$B$5,)</f>
        <v>0</v>
      </c>
      <c r="E642" s="1076" t="str">
        <f>VLOOKUP($B642,dongia1,DG!$C$5,)</f>
        <v xml:space="preserve">Ống PVC D90x3,8mm </v>
      </c>
      <c r="F642" s="1075" t="str">
        <f>VLOOKUP($B642,dongia1,DG!$D$5,)</f>
        <v>m</v>
      </c>
      <c r="G642" s="1074">
        <f>6*G636</f>
        <v>0</v>
      </c>
      <c r="H642" s="1062">
        <f>VLOOKUP($B642,dongia1,DG!$F$5,)</f>
        <v>63200</v>
      </c>
      <c r="I642" s="1178"/>
      <c r="J642" s="1062">
        <f>VLOOKUP($B642,dongia1,DG!$G$5,)</f>
        <v>0</v>
      </c>
      <c r="K642" s="1062">
        <f>VLOOKUP($B642,dongia1,DG!$H$5,)</f>
        <v>0</v>
      </c>
      <c r="L642" s="1174">
        <f t="shared" si="117"/>
        <v>0</v>
      </c>
      <c r="M642" s="1174">
        <f t="shared" si="115"/>
        <v>0</v>
      </c>
      <c r="N642" s="1174">
        <f t="shared" si="118"/>
        <v>0</v>
      </c>
      <c r="O642" s="1083">
        <f t="shared" si="116"/>
        <v>0</v>
      </c>
      <c r="P642" s="1080"/>
    </row>
    <row r="643" spans="1:16" s="1081" customFormat="1" hidden="1" outlineLevel="1">
      <c r="A643" s="1154" t="str">
        <f t="shared" si="129"/>
        <v/>
      </c>
      <c r="B643" s="1067" t="s">
        <v>2089</v>
      </c>
      <c r="C643" s="1074"/>
      <c r="D643" s="1075">
        <f>VLOOKUP($B643,dongia1,DG!$B$5,)</f>
        <v>0</v>
      </c>
      <c r="E643" s="1076" t="str">
        <f>VLOOKUP($B643,dongia1,DG!$C$5,)</f>
        <v>Cổ dê kẹp ống PVC Þ 90</v>
      </c>
      <c r="F643" s="1075" t="str">
        <f>VLOOKUP($B643,dongia1,DG!$D$5,)</f>
        <v>bộ</v>
      </c>
      <c r="G643" s="1074">
        <f>3*G636</f>
        <v>0</v>
      </c>
      <c r="H643" s="1062">
        <f>VLOOKUP($B643,dongia1,DG!$F$5,)</f>
        <v>49000</v>
      </c>
      <c r="I643" s="1178"/>
      <c r="J643" s="1062">
        <f>VLOOKUP($B643,dongia1,DG!$G$5,)</f>
        <v>0</v>
      </c>
      <c r="K643" s="1062">
        <f>VLOOKUP($B643,dongia1,DG!$H$5,)</f>
        <v>0</v>
      </c>
      <c r="L643" s="1174">
        <f t="shared" si="117"/>
        <v>0</v>
      </c>
      <c r="M643" s="1174">
        <f t="shared" si="115"/>
        <v>0</v>
      </c>
      <c r="N643" s="1174">
        <f t="shared" si="118"/>
        <v>0</v>
      </c>
      <c r="O643" s="1083">
        <f t="shared" si="116"/>
        <v>0</v>
      </c>
      <c r="P643" s="1080"/>
    </row>
    <row r="644" spans="1:16" s="1081" customFormat="1" hidden="1" outlineLevel="1">
      <c r="A644" s="1154" t="str">
        <f>IF(G644&gt;0,1,"")</f>
        <v/>
      </c>
      <c r="B644" s="1067" t="s">
        <v>1301</v>
      </c>
      <c r="C644" s="1074"/>
      <c r="D644" s="1075" t="str">
        <f>VLOOKUP($B644,dongia1,DG!$B$5,)</f>
        <v>D3.3241</v>
      </c>
      <c r="E644" s="1076" t="str">
        <f>VLOOKUP($B644,dongia1,DG!$C$5,)</f>
        <v>Lắp cổ dê</v>
      </c>
      <c r="F644" s="1075" t="str">
        <f>VLOOKUP($B644,dongia1,DG!$D$5,)</f>
        <v>cái</v>
      </c>
      <c r="G644" s="1074">
        <f>3*G637</f>
        <v>0</v>
      </c>
      <c r="H644" s="1062">
        <f>VLOOKUP($B644,dongia1,DG!$F$5,)</f>
        <v>0</v>
      </c>
      <c r="I644" s="1178"/>
      <c r="J644" s="1062">
        <f>VLOOKUP($B644,dongia1,DG!$G$5,)</f>
        <v>77000</v>
      </c>
      <c r="K644" s="1062">
        <f>VLOOKUP($B644,dongia1,DG!$H$5,)</f>
        <v>0</v>
      </c>
      <c r="L644" s="1174">
        <f>H644*G644</f>
        <v>0</v>
      </c>
      <c r="M644" s="1174">
        <f>I644*G644</f>
        <v>0</v>
      </c>
      <c r="N644" s="1174">
        <f>J644*G644</f>
        <v>0</v>
      </c>
      <c r="O644" s="1083">
        <f>K644*G644</f>
        <v>0</v>
      </c>
      <c r="P644" s="1080"/>
    </row>
    <row r="645" spans="1:16" s="1081" customFormat="1" hidden="1" outlineLevel="1">
      <c r="A645" s="1154" t="str">
        <f t="shared" si="129"/>
        <v/>
      </c>
      <c r="B645" s="1073" t="s">
        <v>112</v>
      </c>
      <c r="C645" s="1074"/>
      <c r="D645" s="1075">
        <f>VLOOKUP($B645,dongia1,DG!$B$5,)</f>
        <v>0</v>
      </c>
      <c r="E645" s="1076" t="str">
        <f>VLOOKUP($B645,dongia1,DG!$C$5,)</f>
        <v>Co  90 độ PVC 90 (loại dày)</v>
      </c>
      <c r="F645" s="1075" t="str">
        <f>VLOOKUP($B645,dongia1,DG!$D$5,)</f>
        <v>cái</v>
      </c>
      <c r="G645" s="1074">
        <f>2*G636</f>
        <v>0</v>
      </c>
      <c r="H645" s="1062">
        <f>VLOOKUP($B645,dongia1,DG!$F$5,)</f>
        <v>45400</v>
      </c>
      <c r="I645" s="1178"/>
      <c r="J645" s="1062">
        <f>VLOOKUP($B645,dongia1,DG!$G$5,)</f>
        <v>0</v>
      </c>
      <c r="K645" s="1062">
        <f>VLOOKUP($B645,dongia1,DG!$H$5,)</f>
        <v>0</v>
      </c>
      <c r="L645" s="1174">
        <f t="shared" si="117"/>
        <v>0</v>
      </c>
      <c r="M645" s="1174">
        <f t="shared" si="115"/>
        <v>0</v>
      </c>
      <c r="N645" s="1174">
        <f t="shared" si="118"/>
        <v>0</v>
      </c>
      <c r="O645" s="1083">
        <f t="shared" si="116"/>
        <v>0</v>
      </c>
      <c r="P645" s="1080"/>
    </row>
    <row r="646" spans="1:16" s="1081" customFormat="1" hidden="1" outlineLevel="1">
      <c r="A646" s="1154" t="str">
        <f t="shared" si="129"/>
        <v/>
      </c>
      <c r="B646" s="1073" t="s">
        <v>1259</v>
      </c>
      <c r="C646" s="1074"/>
      <c r="D646" s="1075">
        <f>VLOOKUP($B646,dongia1,DG!$B$5,)</f>
        <v>0</v>
      </c>
      <c r="E646" s="1076" t="str">
        <f>VLOOKUP($B646,dongia1,DG!$C$5,)</f>
        <v>Khâu ven răng trong D90</v>
      </c>
      <c r="F646" s="1075" t="str">
        <f>VLOOKUP($B646,dongia1,DG!$D$5,)</f>
        <v>cái</v>
      </c>
      <c r="G646" s="1074">
        <f>G636</f>
        <v>0</v>
      </c>
      <c r="H646" s="1062">
        <f>VLOOKUP($B646,dongia1,DG!$F$5,)</f>
        <v>25800</v>
      </c>
      <c r="I646" s="1178"/>
      <c r="J646" s="1062">
        <f>VLOOKUP($B646,dongia1,DG!$G$5,)</f>
        <v>0</v>
      </c>
      <c r="K646" s="1062">
        <f>VLOOKUP($B646,dongia1,DG!$H$5,)</f>
        <v>0</v>
      </c>
      <c r="L646" s="1174">
        <f>H646*G646</f>
        <v>0</v>
      </c>
      <c r="M646" s="1174">
        <f>I646*G646</f>
        <v>0</v>
      </c>
      <c r="N646" s="1174">
        <f>J646*G646</f>
        <v>0</v>
      </c>
      <c r="O646" s="1083">
        <f>K646*G646</f>
        <v>0</v>
      </c>
      <c r="P646" s="1080"/>
    </row>
    <row r="647" spans="1:16" s="1081" customFormat="1" hidden="1" outlineLevel="1">
      <c r="A647" s="1154" t="str">
        <f t="shared" si="129"/>
        <v/>
      </c>
      <c r="B647" s="1073" t="s">
        <v>1260</v>
      </c>
      <c r="C647" s="1074"/>
      <c r="D647" s="1075">
        <f>VLOOKUP($B647,dongia1,DG!$B$5,)</f>
        <v>0</v>
      </c>
      <c r="E647" s="1076" t="str">
        <f>VLOOKUP($B647,dongia1,DG!$C$5,)</f>
        <v>Khâu ven răng ngoài D90</v>
      </c>
      <c r="F647" s="1075" t="str">
        <f>VLOOKUP($B647,dongia1,DG!$D$5,)</f>
        <v>cái</v>
      </c>
      <c r="G647" s="1074">
        <f>G646</f>
        <v>0</v>
      </c>
      <c r="H647" s="1062">
        <f>VLOOKUP($B647,dongia1,DG!$F$5,)</f>
        <v>21500</v>
      </c>
      <c r="I647" s="1178"/>
      <c r="J647" s="1062">
        <f>VLOOKUP($B647,dongia1,DG!$G$5,)</f>
        <v>0</v>
      </c>
      <c r="K647" s="1062">
        <f>VLOOKUP($B647,dongia1,DG!$H$5,)</f>
        <v>0</v>
      </c>
      <c r="L647" s="1174">
        <f>H647*G647</f>
        <v>0</v>
      </c>
      <c r="M647" s="1174">
        <f>I647*G647</f>
        <v>0</v>
      </c>
      <c r="N647" s="1174">
        <f>J647*G647</f>
        <v>0</v>
      </c>
      <c r="O647" s="1083">
        <f>K647*G647</f>
        <v>0</v>
      </c>
      <c r="P647" s="1080"/>
    </row>
    <row r="648" spans="1:16" s="1081" customFormat="1" hidden="1" outlineLevel="1">
      <c r="A648" s="1154" t="str">
        <f t="shared" si="129"/>
        <v/>
      </c>
      <c r="B648" s="1073" t="s">
        <v>1188</v>
      </c>
      <c r="C648" s="1074"/>
      <c r="D648" s="1075">
        <f>VLOOKUP($B648,dongia1,DG!$B$5,)</f>
        <v>0</v>
      </c>
      <c r="E648" s="1076" t="str">
        <f>VLOOKUP($B648,dongia1,DG!$C$5,)</f>
        <v>Keo dán ống PVC (100gr)</v>
      </c>
      <c r="F648" s="1075" t="str">
        <f>VLOOKUP($B648,dongia1,DG!$D$5,)</f>
        <v>tuýp</v>
      </c>
      <c r="G648" s="1074">
        <f>G636</f>
        <v>0</v>
      </c>
      <c r="H648" s="1062">
        <f>VLOOKUP($B648,dongia1,DG!$F$5,)</f>
        <v>11500</v>
      </c>
      <c r="I648" s="1178"/>
      <c r="J648" s="1062">
        <f>VLOOKUP($B648,dongia1,DG!$G$5,)</f>
        <v>0</v>
      </c>
      <c r="K648" s="1062">
        <f>VLOOKUP($B648,dongia1,DG!$H$5,)</f>
        <v>0</v>
      </c>
      <c r="L648" s="1174">
        <f>H648*G648</f>
        <v>0</v>
      </c>
      <c r="M648" s="1174">
        <f>I648*G648</f>
        <v>0</v>
      </c>
      <c r="N648" s="1174">
        <f>J648*G648</f>
        <v>0</v>
      </c>
      <c r="O648" s="1083">
        <f>K648*G648</f>
        <v>0</v>
      </c>
      <c r="P648" s="1080"/>
    </row>
    <row r="649" spans="1:16" s="1081" customFormat="1" hidden="1" outlineLevel="1">
      <c r="A649" s="1154" t="str">
        <f t="shared" si="129"/>
        <v/>
      </c>
      <c r="B649" s="1073" t="s">
        <v>1205</v>
      </c>
      <c r="C649" s="1074"/>
      <c r="D649" s="1075">
        <f>VLOOKUP($B649,dongia1,DG!$B$5,)</f>
        <v>0</v>
      </c>
      <c r="E649" s="1076" t="str">
        <f>VLOOKUP($B649,dongia1,DG!$C$5,)</f>
        <v>Keo silicon bít miệng ống</v>
      </c>
      <c r="F649" s="1075" t="str">
        <f>VLOOKUP($B649,dongia1,DG!$D$5,)</f>
        <v>chai</v>
      </c>
      <c r="G649" s="1074">
        <f>G636</f>
        <v>0</v>
      </c>
      <c r="H649" s="1062">
        <f>VLOOKUP($B649,dongia1,DG!$F$5,)</f>
        <v>45000</v>
      </c>
      <c r="I649" s="1178"/>
      <c r="J649" s="1062">
        <f>VLOOKUP($B649,dongia1,DG!$G$5,)</f>
        <v>0</v>
      </c>
      <c r="K649" s="1062">
        <f>VLOOKUP($B649,dongia1,DG!$H$5,)</f>
        <v>0</v>
      </c>
      <c r="L649" s="1174">
        <f>H649*G649</f>
        <v>0</v>
      </c>
      <c r="M649" s="1174">
        <f>I649*G649</f>
        <v>0</v>
      </c>
      <c r="N649" s="1174">
        <f>J649*G649</f>
        <v>0</v>
      </c>
      <c r="O649" s="1083">
        <f>K649*G649</f>
        <v>0</v>
      </c>
      <c r="P649" s="1080"/>
    </row>
    <row r="650" spans="1:16" s="1081" customFormat="1" hidden="1" outlineLevel="1">
      <c r="A650" s="1154" t="str">
        <f t="shared" si="129"/>
        <v/>
      </c>
      <c r="B650" s="1067" t="s">
        <v>236</v>
      </c>
      <c r="C650" s="1074"/>
      <c r="D650" s="1075">
        <f>VLOOKUP($B650,dongia1,DG!$B$5,)</f>
        <v>0</v>
      </c>
      <c r="E650" s="1076" t="str">
        <f>VLOOKUP($B650,dongia1,DG!$C$5,)</f>
        <v>Băng keo cách điện hạ thế</v>
      </c>
      <c r="F650" s="1075" t="str">
        <f>VLOOKUP($B650,dongia1,DG!$D$5,)</f>
        <v>cuộn</v>
      </c>
      <c r="G650" s="1074">
        <f>G636</f>
        <v>0</v>
      </c>
      <c r="H650" s="1062">
        <f>VLOOKUP($B650,dongia1,DG!$F$5,)</f>
        <v>6500</v>
      </c>
      <c r="I650" s="1178"/>
      <c r="J650" s="1062">
        <f>VLOOKUP($B650,dongia1,DG!$G$5,)</f>
        <v>0</v>
      </c>
      <c r="K650" s="1062">
        <f>VLOOKUP($B650,dongia1,DG!$H$5,)</f>
        <v>0</v>
      </c>
      <c r="L650" s="1174">
        <f t="shared" si="117"/>
        <v>0</v>
      </c>
      <c r="M650" s="1174">
        <f t="shared" si="115"/>
        <v>0</v>
      </c>
      <c r="N650" s="1174">
        <f t="shared" si="118"/>
        <v>0</v>
      </c>
      <c r="O650" s="1083">
        <f t="shared" si="116"/>
        <v>0</v>
      </c>
      <c r="P650" s="1080"/>
    </row>
    <row r="651" spans="1:16" s="1081" customFormat="1" hidden="1" outlineLevel="1">
      <c r="A651" s="1154" t="str">
        <f>A650</f>
        <v/>
      </c>
      <c r="B651" s="1086" t="s">
        <v>2009</v>
      </c>
      <c r="C651" s="1074"/>
      <c r="D651" s="1075" t="str">
        <f>VLOOKUP($B651,dongia1,DG!$B$5,)</f>
        <v>D4.1409</v>
      </c>
      <c r="E651" s="1076" t="str">
        <f>VLOOKUP($B651,dongia1,DG!$C$5,)</f>
        <v>Lắp ống nhựa PVC D90</v>
      </c>
      <c r="F651" s="1075" t="str">
        <f>VLOOKUP($B651,dongia1,DG!$D$5,)</f>
        <v>mét</v>
      </c>
      <c r="G651" s="1074">
        <f>G642</f>
        <v>0</v>
      </c>
      <c r="H651" s="1062"/>
      <c r="I651" s="1083"/>
      <c r="J651" s="1062">
        <f>VLOOKUP($B651,dongia1,DG!$G$5,)</f>
        <v>55493.02</v>
      </c>
      <c r="K651" s="1062">
        <f>VLOOKUP($B651,dongia1,DG!$H$5,)</f>
        <v>0</v>
      </c>
      <c r="L651" s="1174">
        <f t="shared" si="117"/>
        <v>0</v>
      </c>
      <c r="M651" s="1174">
        <f t="shared" si="115"/>
        <v>0</v>
      </c>
      <c r="N651" s="1174">
        <f t="shared" si="118"/>
        <v>0</v>
      </c>
      <c r="O651" s="1083">
        <f t="shared" si="116"/>
        <v>0</v>
      </c>
      <c r="P651" s="1080"/>
    </row>
    <row r="652" spans="1:16" s="1081" customFormat="1" hidden="1" outlineLevel="1">
      <c r="A652" s="1154" t="str">
        <f>A650</f>
        <v/>
      </c>
      <c r="B652" s="1067" t="s">
        <v>224</v>
      </c>
      <c r="C652" s="1074"/>
      <c r="D652" s="1075" t="str">
        <f>VLOOKUP($B652,dongia1,DG!$B$5,)</f>
        <v>T4.4201</v>
      </c>
      <c r="E652" s="1076" t="str">
        <f>VLOOKUP($B652,dongia1,DG!$C$5,)</f>
        <v>Lắp cáp đồng xuống thiết bị D ≤ 95mm2</v>
      </c>
      <c r="F652" s="1075" t="str">
        <f>VLOOKUP($B652,dongia1,DG!$D$5,)</f>
        <v>m</v>
      </c>
      <c r="G652" s="1074">
        <f>G638</f>
        <v>0</v>
      </c>
      <c r="H652" s="1062"/>
      <c r="I652" s="1083"/>
      <c r="J652" s="1062">
        <f>VLOOKUP($B652,dongia1,DG!$G$5,)</f>
        <v>13915</v>
      </c>
      <c r="K652" s="1062">
        <f>VLOOKUP($B652,dongia1,DG!$H$5,)</f>
        <v>0</v>
      </c>
      <c r="L652" s="1174">
        <f>H652*G652</f>
        <v>0</v>
      </c>
      <c r="M652" s="1174">
        <f>I652*G652</f>
        <v>0</v>
      </c>
      <c r="N652" s="1174">
        <f>J652*G652</f>
        <v>0</v>
      </c>
      <c r="O652" s="1083">
        <f>K652*G652</f>
        <v>0</v>
      </c>
      <c r="P652" s="1080"/>
    </row>
    <row r="653" spans="1:16" s="1081" customFormat="1" hidden="1" outlineLevel="1">
      <c r="A653" s="1154" t="str">
        <f>IF(G653&gt;0,1,"")</f>
        <v/>
      </c>
      <c r="B653" s="1073" t="s">
        <v>888</v>
      </c>
      <c r="C653" s="1207">
        <f>IF(G653&gt;0,C636+1,C636)</f>
        <v>0</v>
      </c>
      <c r="D653" s="1208"/>
      <c r="E653" s="1076" t="str">
        <f>VLOOKUP($B653,dongia1,DG!$C$5,)</f>
        <v>Bảng tên trạm + bảng báo nguy hiểm</v>
      </c>
      <c r="F653" s="1075" t="str">
        <f>VLOOKUP($B653,dongia1,DG!$D$5,)</f>
        <v>cái</v>
      </c>
      <c r="G653" s="1211">
        <f>G599</f>
        <v>0</v>
      </c>
      <c r="H653" s="1062">
        <f>VLOOKUP($B653,dongia1,DG!$F$5,)</f>
        <v>300000</v>
      </c>
      <c r="I653" s="1255"/>
      <c r="J653" s="1062">
        <f>VLOOKUP($B653,dongia1,DG!$G$5,)</f>
        <v>0</v>
      </c>
      <c r="K653" s="1062">
        <f>VLOOKUP($B653,dongia1,DG!$H$5,)</f>
        <v>0</v>
      </c>
      <c r="L653" s="1209">
        <f>H653*G653</f>
        <v>0</v>
      </c>
      <c r="M653" s="1209">
        <f>I653*G653</f>
        <v>0</v>
      </c>
      <c r="N653" s="1209">
        <f>J653*G653</f>
        <v>0</v>
      </c>
      <c r="O653" s="1210">
        <f>K653*G653</f>
        <v>0</v>
      </c>
      <c r="P653" s="1229"/>
    </row>
    <row r="654" spans="1:16" s="1081" customFormat="1" hidden="1" outlineLevel="1">
      <c r="A654" s="1154" t="str">
        <f>A653</f>
        <v/>
      </c>
      <c r="B654" s="1073"/>
      <c r="C654" s="1212"/>
      <c r="D654" s="1213"/>
      <c r="E654" s="1230"/>
      <c r="F654" s="1215"/>
      <c r="G654" s="1215"/>
      <c r="H654" s="1215"/>
      <c r="I654" s="1215"/>
      <c r="J654" s="2460" t="s">
        <v>3388</v>
      </c>
      <c r="K654" s="2460"/>
      <c r="L654" s="1216">
        <f>SUM(L577:L653)</f>
        <v>0</v>
      </c>
      <c r="M654" s="1216"/>
      <c r="N654" s="1216">
        <f>SUM(N577:N653)</f>
        <v>0</v>
      </c>
      <c r="O654" s="1216">
        <f>SUM(O577:O653)</f>
        <v>0</v>
      </c>
      <c r="P654" s="1220"/>
    </row>
    <row r="655" spans="1:16" s="1081" customFormat="1" hidden="1">
      <c r="A655" s="1199" t="str">
        <f>IF(G661&lt;&gt;0,1,"")</f>
        <v/>
      </c>
      <c r="B655" s="1175"/>
      <c r="C655" s="1217"/>
      <c r="D655" s="1238"/>
    </row>
    <row r="656" spans="1:16" s="1081" customFormat="1" hidden="1">
      <c r="A656" s="1199"/>
      <c r="B656" s="1175"/>
      <c r="C656" s="1217"/>
      <c r="D656" s="1238"/>
      <c r="E656" s="1143"/>
    </row>
    <row r="657" spans="1:16" s="1081" customFormat="1" hidden="1" outlineLevel="1">
      <c r="A657" s="1154" t="str">
        <f>A655</f>
        <v/>
      </c>
      <c r="B657" s="1175"/>
      <c r="C657" s="1143" t="str">
        <f>"BẢNG TỔNG HỢP VẬT LIỆU, NHÂN CÔNG, MÁY THI CÔNG: "&amp;K7&amp;" TRẠM 3P 3x25KVA"</f>
        <v>BẢNG TỔNG HỢP VẬT LIỆU, NHÂN CÔNG, MÁY THI CÔNG: 0 TRẠM 3P 3x25KVA</v>
      </c>
      <c r="D657" s="1143"/>
      <c r="E657" s="1143"/>
      <c r="F657" s="1143"/>
      <c r="G657" s="1143"/>
      <c r="H657" s="1143"/>
      <c r="I657" s="1143"/>
      <c r="J657" s="1143"/>
      <c r="K657" s="1143"/>
      <c r="L657" s="1143"/>
      <c r="M657" s="1143"/>
      <c r="N657" s="1143"/>
      <c r="O657" s="1143"/>
      <c r="P657" s="1144"/>
    </row>
    <row r="658" spans="1:16" s="1081" customFormat="1" hidden="1" outlineLevel="1">
      <c r="A658" s="1154" t="str">
        <f>A657</f>
        <v/>
      </c>
      <c r="B658" s="1073" t="s">
        <v>308</v>
      </c>
      <c r="C658" s="2459" t="s">
        <v>1014</v>
      </c>
      <c r="D658" s="2467" t="s">
        <v>3363</v>
      </c>
      <c r="E658" s="2457" t="s">
        <v>3364</v>
      </c>
      <c r="F658" s="2459" t="s">
        <v>3365</v>
      </c>
      <c r="G658" s="1155" t="s">
        <v>3367</v>
      </c>
      <c r="H658" s="1156" t="s">
        <v>3368</v>
      </c>
      <c r="I658" s="1157"/>
      <c r="J658" s="1157"/>
      <c r="K658" s="1158"/>
      <c r="L658" s="1156" t="s">
        <v>3372</v>
      </c>
      <c r="M658" s="1157"/>
      <c r="N658" s="1157"/>
      <c r="O658" s="1158"/>
      <c r="P658" s="2459" t="s">
        <v>3373</v>
      </c>
    </row>
    <row r="659" spans="1:16" s="1081" customFormat="1" hidden="1" outlineLevel="1">
      <c r="A659" s="1154" t="str">
        <f>A658</f>
        <v/>
      </c>
      <c r="B659" s="1073"/>
      <c r="C659" s="2459"/>
      <c r="D659" s="2468"/>
      <c r="E659" s="2458"/>
      <c r="F659" s="2459"/>
      <c r="G659" s="1160" t="s">
        <v>3366</v>
      </c>
      <c r="H659" s="1161" t="s">
        <v>393</v>
      </c>
      <c r="I659" s="1161" t="s">
        <v>3369</v>
      </c>
      <c r="J659" s="1161" t="s">
        <v>3370</v>
      </c>
      <c r="K659" s="1161" t="s">
        <v>3371</v>
      </c>
      <c r="L659" s="1161" t="s">
        <v>393</v>
      </c>
      <c r="M659" s="1161" t="s">
        <v>3369</v>
      </c>
      <c r="N659" s="1161" t="s">
        <v>3370</v>
      </c>
      <c r="O659" s="1161" t="s">
        <v>3371</v>
      </c>
      <c r="P659" s="2459"/>
    </row>
    <row r="660" spans="1:16" s="1081" customFormat="1" hidden="1" outlineLevel="1">
      <c r="A660" s="1154" t="str">
        <f>A659</f>
        <v/>
      </c>
      <c r="B660" s="1073"/>
      <c r="C660" s="1162"/>
      <c r="D660" s="1163"/>
      <c r="E660" s="1164" t="s">
        <v>3375</v>
      </c>
      <c r="F660" s="1165"/>
      <c r="G660" s="1165"/>
      <c r="H660" s="1165"/>
      <c r="I660" s="1165"/>
      <c r="J660" s="1165"/>
      <c r="K660" s="1165"/>
      <c r="L660" s="1165"/>
      <c r="M660" s="1165"/>
      <c r="N660" s="1165"/>
      <c r="O660" s="1163"/>
      <c r="P660" s="1166"/>
    </row>
    <row r="661" spans="1:16" s="1081" customFormat="1" hidden="1" outlineLevel="1">
      <c r="A661" s="1154">
        <f>IF(G661&lt;&gt;0,1,0)</f>
        <v>0</v>
      </c>
      <c r="B661" s="1167" t="str">
        <f>IF($F$8=22,"TR251","TR25")</f>
        <v>TR251</v>
      </c>
      <c r="C661" s="1168">
        <f>IF(G661&gt;0,1,0)</f>
        <v>0</v>
      </c>
      <c r="D661" s="1075" t="str">
        <f>VLOOKUP($B661,dongia1,DG!$B$5,)</f>
        <v>T1.1431</v>
      </c>
      <c r="E661" s="1076" t="str">
        <f>VLOOKUP($B661,dongia1,DG!$C$5,)</f>
        <v>Máy biến áp 12,7/0,22-0,44kV  25kVA</v>
      </c>
      <c r="F661" s="1075" t="str">
        <f>VLOOKUP($B661,dongia1,DG!$D$5,)</f>
        <v>máy</v>
      </c>
      <c r="G661" s="1218">
        <f>K7*3</f>
        <v>0</v>
      </c>
      <c r="H661" s="1062">
        <f>VLOOKUP($B661,dongia1,DG!$E$5,)</f>
        <v>41513000</v>
      </c>
      <c r="I661" s="1062"/>
      <c r="J661" s="1062">
        <f>VLOOKUP($B661,dongia1,DG!$G$5,)</f>
        <v>546322</v>
      </c>
      <c r="K661" s="1062">
        <f>VLOOKUP($B661,dongia1,DG!$H$5,)</f>
        <v>284508</v>
      </c>
      <c r="L661" s="1174">
        <f t="shared" ref="L661:L667" si="130">H661*G661</f>
        <v>0</v>
      </c>
      <c r="M661" s="1174">
        <f t="shared" ref="M661:M666" si="131">I661*G661</f>
        <v>0</v>
      </c>
      <c r="N661" s="1174">
        <f t="shared" ref="N661:N666" si="132">J661*G661</f>
        <v>0</v>
      </c>
      <c r="O661" s="1083">
        <f t="shared" ref="O661:O666" si="133">K661*G661</f>
        <v>0</v>
      </c>
      <c r="P661" s="1219"/>
    </row>
    <row r="662" spans="1:16" s="1081" customFormat="1" hidden="1" outlineLevel="1">
      <c r="A662" s="1154">
        <f t="shared" ref="A662:A731" si="134">IF(G662&lt;&gt;0,1,0)</f>
        <v>0</v>
      </c>
      <c r="B662" s="1167" t="str">
        <f>"FCO100-"&amp;$F$8</f>
        <v>FCO100-22</v>
      </c>
      <c r="C662" s="1168">
        <f t="shared" ref="C662:C667" si="135">IF(G662&gt;0,C661+1,C661)</f>
        <v>0</v>
      </c>
      <c r="D662" s="1075" t="str">
        <f>VLOOKUP($B662,dongia1,DG!$B$5,)</f>
        <v>T2.3501</v>
      </c>
      <c r="E662" s="1076" t="str">
        <f>VLOOKUP($B662,dongia1,DG!$C$5,)</f>
        <v>FCO 24kV - 100A</v>
      </c>
      <c r="F662" s="1075" t="str">
        <f>VLOOKUP($B662,dongia1,DG!$D$5,)</f>
        <v>cái</v>
      </c>
      <c r="G662" s="1074">
        <f>+G661</f>
        <v>0</v>
      </c>
      <c r="H662" s="1062">
        <f>VLOOKUP($B662,dongia1,DG!$E$5,)</f>
        <v>2244280</v>
      </c>
      <c r="I662" s="1062"/>
      <c r="J662" s="1062">
        <f>VLOOKUP($B662,dongia1,DG!$G$5,)</f>
        <v>222639.99999999997</v>
      </c>
      <c r="K662" s="1062">
        <f>VLOOKUP($B662,dongia1,DG!$H$5,)</f>
        <v>0</v>
      </c>
      <c r="L662" s="1174">
        <f t="shared" si="130"/>
        <v>0</v>
      </c>
      <c r="M662" s="1174">
        <f t="shared" si="131"/>
        <v>0</v>
      </c>
      <c r="N662" s="1174">
        <f t="shared" si="132"/>
        <v>0</v>
      </c>
      <c r="O662" s="1083">
        <f t="shared" si="133"/>
        <v>0</v>
      </c>
      <c r="P662" s="1080"/>
    </row>
    <row r="663" spans="1:16" s="1081" customFormat="1" hidden="1" outlineLevel="1">
      <c r="A663" s="1154">
        <f t="shared" si="134"/>
        <v>0</v>
      </c>
      <c r="B663" s="1167" t="str">
        <f>IF($F$8=22,"CHI3K","CHI6K")</f>
        <v>CHI3K</v>
      </c>
      <c r="C663" s="1168">
        <f t="shared" si="135"/>
        <v>0</v>
      </c>
      <c r="D663" s="1075">
        <f>VLOOKUP($B663,dongia1,DG!$B$5,)</f>
        <v>0</v>
      </c>
      <c r="E663" s="1076" t="str">
        <f>VLOOKUP($B663,dongia1,DG!$C$5,)</f>
        <v>Dây chảy 3K</v>
      </c>
      <c r="F663" s="1075" t="str">
        <f>VLOOKUP($B663,dongia1,DG!$D$5,)</f>
        <v>Sợi</v>
      </c>
      <c r="G663" s="1074">
        <f>G662</f>
        <v>0</v>
      </c>
      <c r="H663" s="1062">
        <f>VLOOKUP($B663,dongia1,DG!$F$5,)</f>
        <v>84000</v>
      </c>
      <c r="I663" s="1062"/>
      <c r="J663" s="1062">
        <f>VLOOKUP($B663,dongia1,DG!$G$5,)</f>
        <v>0</v>
      </c>
      <c r="K663" s="1062">
        <f>VLOOKUP($B663,dongia1,DG!$H$5,)</f>
        <v>0</v>
      </c>
      <c r="L663" s="1174">
        <f t="shared" si="130"/>
        <v>0</v>
      </c>
      <c r="M663" s="1174">
        <f t="shared" si="131"/>
        <v>0</v>
      </c>
      <c r="N663" s="1174">
        <f t="shared" si="132"/>
        <v>0</v>
      </c>
      <c r="O663" s="1083">
        <f t="shared" si="133"/>
        <v>0</v>
      </c>
      <c r="P663" s="1080"/>
    </row>
    <row r="664" spans="1:16" s="1081" customFormat="1" hidden="1" outlineLevel="1">
      <c r="A664" s="1154">
        <f t="shared" si="134"/>
        <v>0</v>
      </c>
      <c r="B664" s="1175" t="str">
        <f>"LA"&amp;$F$6</f>
        <v>LA18</v>
      </c>
      <c r="C664" s="1168">
        <f t="shared" si="135"/>
        <v>0</v>
      </c>
      <c r="D664" s="1075" t="str">
        <f>VLOOKUP($B664,dongia1,DG!$B$5,)</f>
        <v>T2.5004</v>
      </c>
      <c r="E664" s="1076" t="str">
        <f>VLOOKUP($B664,dongia1,DG!$C$5,)</f>
        <v>LA 18kV 10kA</v>
      </c>
      <c r="F664" s="1075" t="str">
        <f>VLOOKUP($B664,dongia1,DG!$D$5,)</f>
        <v>cái</v>
      </c>
      <c r="G664" s="1074">
        <f>G661</f>
        <v>0</v>
      </c>
      <c r="H664" s="1062">
        <f>VLOOKUP($B664,dongia1,DG!$E$5,)</f>
        <v>1106000</v>
      </c>
      <c r="I664" s="1062"/>
      <c r="J664" s="1062">
        <f>VLOOKUP($B664,dongia1,DG!$G$5,)</f>
        <v>83490</v>
      </c>
      <c r="K664" s="1062">
        <f>VLOOKUP($B664,dongia1,DG!$H$5,)</f>
        <v>0</v>
      </c>
      <c r="L664" s="1174">
        <f t="shared" si="130"/>
        <v>0</v>
      </c>
      <c r="M664" s="1174">
        <f t="shared" si="131"/>
        <v>0</v>
      </c>
      <c r="N664" s="1174">
        <f t="shared" si="132"/>
        <v>0</v>
      </c>
      <c r="O664" s="1083">
        <f t="shared" si="133"/>
        <v>0</v>
      </c>
      <c r="P664" s="1080"/>
    </row>
    <row r="665" spans="1:16" s="1081" customFormat="1" hidden="1" outlineLevel="1">
      <c r="A665" s="1154">
        <f t="shared" si="134"/>
        <v>0</v>
      </c>
      <c r="B665" s="1176" t="str">
        <f>Solieu!$G$56</f>
        <v>ATM125</v>
      </c>
      <c r="C665" s="1168">
        <f t="shared" si="135"/>
        <v>0</v>
      </c>
      <c r="D665" s="1075">
        <f>VLOOKUP($B665,dongia1,DG!$B$5,)</f>
        <v>0</v>
      </c>
      <c r="E665" s="1076" t="str">
        <f>VLOOKUP($B665,dongia1,DG!$C$5,)</f>
        <v>MCCB 3 cực 400V -125A - 36KA</v>
      </c>
      <c r="F665" s="1075" t="str">
        <f>VLOOKUP($B665,dongia1,DG!$D$5,)</f>
        <v>cái</v>
      </c>
      <c r="G665" s="1074">
        <f>+G661/3</f>
        <v>0</v>
      </c>
      <c r="H665" s="1062">
        <f>VLOOKUP($B665,dongia1,DG!$E$5,)</f>
        <v>2440000</v>
      </c>
      <c r="I665" s="1062"/>
      <c r="J665" s="1062">
        <f>VLOOKUP($B665,dongia1,DG!$G$5,)</f>
        <v>0</v>
      </c>
      <c r="K665" s="1062">
        <f>VLOOKUP($B665,dongia1,DG!$H$5,)</f>
        <v>0</v>
      </c>
      <c r="L665" s="1174">
        <f t="shared" si="130"/>
        <v>0</v>
      </c>
      <c r="M665" s="1174">
        <f t="shared" si="131"/>
        <v>0</v>
      </c>
      <c r="N665" s="1174">
        <f t="shared" si="132"/>
        <v>0</v>
      </c>
      <c r="O665" s="1083">
        <f t="shared" si="133"/>
        <v>0</v>
      </c>
      <c r="P665" s="1080"/>
    </row>
    <row r="666" spans="1:16" s="1081" customFormat="1" hidden="1" outlineLevel="1">
      <c r="A666" s="1154">
        <f t="shared" si="134"/>
        <v>0</v>
      </c>
      <c r="B666" s="1067" t="s">
        <v>1374</v>
      </c>
      <c r="C666" s="1168">
        <f t="shared" si="135"/>
        <v>0</v>
      </c>
      <c r="D666" s="1075">
        <f>VLOOKUP($B666,dongia1,DG!$B$5,)</f>
        <v>0</v>
      </c>
      <c r="E666" s="1076" t="str">
        <f>VLOOKUP($B666,dongia1,DG!$C$5,)</f>
        <v>Biến dòng 600V - 100/5A</v>
      </c>
      <c r="F666" s="1075" t="str">
        <f>VLOOKUP($B666,dongia1,DG!$D$5,)</f>
        <v>cái</v>
      </c>
      <c r="G666" s="1211">
        <f>+G665*3</f>
        <v>0</v>
      </c>
      <c r="H666" s="1062"/>
      <c r="I666" s="1062"/>
      <c r="J666" s="1062"/>
      <c r="K666" s="1062">
        <f>VLOOKUP($B666,dongia1,DG!$H$5,)</f>
        <v>0</v>
      </c>
      <c r="L666" s="1174">
        <f t="shared" si="130"/>
        <v>0</v>
      </c>
      <c r="M666" s="1174">
        <f t="shared" si="131"/>
        <v>0</v>
      </c>
      <c r="N666" s="1174">
        <f t="shared" si="132"/>
        <v>0</v>
      </c>
      <c r="O666" s="1083">
        <f t="shared" si="133"/>
        <v>0</v>
      </c>
      <c r="P666" s="1074" t="s">
        <v>3471</v>
      </c>
    </row>
    <row r="667" spans="1:16" s="1081" customFormat="1" hidden="1" outlineLevel="1">
      <c r="A667" s="1154">
        <f t="shared" si="134"/>
        <v>0</v>
      </c>
      <c r="B667" s="1256" t="s">
        <v>307</v>
      </c>
      <c r="C667" s="1168">
        <f t="shared" si="135"/>
        <v>0</v>
      </c>
      <c r="D667" s="1075">
        <f>VLOOKUP($B667,dongia1,DG!$B$5,)</f>
        <v>0</v>
      </c>
      <c r="E667" s="1076" t="str">
        <f>VLOOKUP($B667,dongia1,DG!$C$5,)</f>
        <v>Điện kế 3 pha 4 dây 220/380V-5A</v>
      </c>
      <c r="F667" s="1075" t="str">
        <f>VLOOKUP($B667,dongia1,DG!$D$5,)</f>
        <v>cái</v>
      </c>
      <c r="G667" s="1074">
        <f>+G665</f>
        <v>0</v>
      </c>
      <c r="H667" s="1062"/>
      <c r="I667" s="1062"/>
      <c r="J667" s="1062"/>
      <c r="K667" s="1062">
        <f>VLOOKUP($B667,dongia1,DG!$H$5,)</f>
        <v>0</v>
      </c>
      <c r="L667" s="1174">
        <f t="shared" si="130"/>
        <v>0</v>
      </c>
      <c r="M667" s="1174">
        <f>I667*G667</f>
        <v>0</v>
      </c>
      <c r="N667" s="1174">
        <f>J667*G667</f>
        <v>0</v>
      </c>
      <c r="O667" s="1083">
        <f>K667*G667</f>
        <v>0</v>
      </c>
      <c r="P667" s="1074" t="s">
        <v>3471</v>
      </c>
    </row>
    <row r="668" spans="1:16" s="1081" customFormat="1" hidden="1" outlineLevel="1">
      <c r="A668" s="1154" t="str">
        <f>A660</f>
        <v/>
      </c>
      <c r="B668" s="1073"/>
      <c r="C668" s="1179"/>
      <c r="D668" s="1246"/>
      <c r="E668" s="1183"/>
      <c r="F668" s="1182"/>
      <c r="G668" s="1182"/>
      <c r="H668" s="1182"/>
      <c r="I668" s="1182"/>
      <c r="J668" s="1183" t="s">
        <v>3387</v>
      </c>
      <c r="K668" s="1182"/>
      <c r="L668" s="1166">
        <f>SUM(L661:L667)</f>
        <v>0</v>
      </c>
      <c r="M668" s="1166">
        <f>SUM(M661:M667)</f>
        <v>0</v>
      </c>
      <c r="N668" s="1166">
        <f>SUM(N661:N667)</f>
        <v>0</v>
      </c>
      <c r="O668" s="1166">
        <f>SUM(O661:O667)</f>
        <v>0</v>
      </c>
      <c r="P668" s="1220"/>
    </row>
    <row r="669" spans="1:16" s="1081" customFormat="1" hidden="1" outlineLevel="1">
      <c r="A669" s="1154" t="str">
        <f>A668</f>
        <v/>
      </c>
      <c r="B669" s="1073"/>
      <c r="C669" s="1184"/>
      <c r="D669" s="1248"/>
      <c r="E669" s="1186" t="s">
        <v>3376</v>
      </c>
      <c r="F669" s="1186"/>
      <c r="G669" s="1186"/>
      <c r="H669" s="1186"/>
      <c r="I669" s="1186"/>
      <c r="J669" s="1186"/>
      <c r="K669" s="1186"/>
      <c r="L669" s="1186"/>
      <c r="M669" s="1186"/>
      <c r="N669" s="1186"/>
      <c r="O669" s="1185"/>
      <c r="P669" s="1220"/>
    </row>
    <row r="670" spans="1:16" s="1081" customFormat="1" hidden="1" outlineLevel="1">
      <c r="A670" s="1154">
        <f t="shared" si="134"/>
        <v>0</v>
      </c>
      <c r="B670" s="1073"/>
      <c r="C670" s="1189">
        <f>IF(G670&gt;0,1,0)</f>
        <v>0</v>
      </c>
      <c r="D670" s="1249"/>
      <c r="E670" s="1250" t="s">
        <v>3426</v>
      </c>
      <c r="F670" s="1189" t="s">
        <v>2113</v>
      </c>
      <c r="G670" s="1189">
        <f>G661/3</f>
        <v>0</v>
      </c>
      <c r="H670" s="1251"/>
      <c r="I670" s="1251"/>
      <c r="J670" s="1251"/>
      <c r="K670" s="1251"/>
      <c r="L670" s="1251"/>
      <c r="M670" s="1251"/>
      <c r="N670" s="1251"/>
      <c r="O670" s="1189"/>
      <c r="P670" s="1219"/>
    </row>
    <row r="671" spans="1:16" s="1081" customFormat="1" ht="14.4" hidden="1" outlineLevel="1">
      <c r="A671" s="1154">
        <f>A670</f>
        <v>0</v>
      </c>
      <c r="B671" s="1073"/>
      <c r="C671" s="1064"/>
      <c r="D671" s="1252"/>
      <c r="E671" s="1222" t="s">
        <v>3399</v>
      </c>
      <c r="F671" s="1074"/>
      <c r="G671" s="1074"/>
      <c r="H671" s="1253"/>
      <c r="I671" s="1253"/>
      <c r="J671" s="1253"/>
      <c r="K671" s="1253"/>
      <c r="L671" s="1253"/>
      <c r="M671" s="1253"/>
      <c r="N671" s="1253"/>
      <c r="O671" s="1254"/>
      <c r="P671" s="1080"/>
    </row>
    <row r="672" spans="1:16" s="1081" customFormat="1" hidden="1" outlineLevel="1">
      <c r="A672" s="1154">
        <f t="shared" si="134"/>
        <v>0</v>
      </c>
      <c r="B672" s="1067" t="s">
        <v>1147</v>
      </c>
      <c r="C672" s="1064"/>
      <c r="D672" s="1075">
        <f>VLOOKUP($B672,dongia1,DG!$B$5,)</f>
        <v>0</v>
      </c>
      <c r="E672" s="1076" t="str">
        <f>VLOOKUP($B672,dongia1,DG!$C$5,)</f>
        <v>Gía chùm treo máy biến áp 3x25</v>
      </c>
      <c r="F672" s="1075" t="str">
        <f>VLOOKUP($B672,dongia1,DG!$D$5,)</f>
        <v>bô</v>
      </c>
      <c r="G672" s="1074">
        <f>G670</f>
        <v>0</v>
      </c>
      <c r="H672" s="1062">
        <f>VLOOKUP($B672,dongia1,DG!$F$5,)</f>
        <v>784000</v>
      </c>
      <c r="I672" s="1083"/>
      <c r="J672" s="1062">
        <f>VLOOKUP($B672,dongia1,DG!$G$5,)</f>
        <v>0</v>
      </c>
      <c r="K672" s="1062">
        <f>VLOOKUP($B672,dongia1,DG!$H$5,)</f>
        <v>0</v>
      </c>
      <c r="L672" s="1174">
        <f t="shared" ref="L672:L736" si="136">H672*G672</f>
        <v>0</v>
      </c>
      <c r="M672" s="1174">
        <f t="shared" ref="M672:M736" si="137">I672*G672</f>
        <v>0</v>
      </c>
      <c r="N672" s="1174">
        <f t="shared" ref="N672:N736" si="138">J672*G672</f>
        <v>0</v>
      </c>
      <c r="O672" s="1083">
        <f t="shared" ref="O672:O736" si="139">K672*G672</f>
        <v>0</v>
      </c>
      <c r="P672" s="1080"/>
    </row>
    <row r="673" spans="1:18" s="1081" customFormat="1" hidden="1" outlineLevel="1">
      <c r="A673" s="1154">
        <f t="shared" si="134"/>
        <v>0</v>
      </c>
      <c r="B673" s="1073" t="s">
        <v>1044</v>
      </c>
      <c r="C673" s="1064"/>
      <c r="D673" s="1252"/>
      <c r="E673" s="1076" t="str">
        <f>VLOOKUP($B673,dongia1,DG!$C$5,)</f>
        <v>Boulon 16x50+ 2 long đền vuông D18-50x50x3/Zn</v>
      </c>
      <c r="F673" s="1075" t="str">
        <f>VLOOKUP($B673,dongia1,DG!$D$5,)</f>
        <v>bộ</v>
      </c>
      <c r="G673" s="1074">
        <f>6*G670</f>
        <v>0</v>
      </c>
      <c r="H673" s="1062">
        <f>VLOOKUP($B673,dongia1,DG!$F$5,)</f>
        <v>12400</v>
      </c>
      <c r="I673" s="1083"/>
      <c r="J673" s="1062">
        <f>VLOOKUP($B673,dongia1,DG!$G$5,)</f>
        <v>0</v>
      </c>
      <c r="K673" s="1062">
        <f>VLOOKUP($B673,dongia1,DG!$H$5,)</f>
        <v>0</v>
      </c>
      <c r="L673" s="1174">
        <f t="shared" si="136"/>
        <v>0</v>
      </c>
      <c r="M673" s="1174">
        <f t="shared" si="137"/>
        <v>0</v>
      </c>
      <c r="N673" s="1174">
        <f t="shared" si="138"/>
        <v>0</v>
      </c>
      <c r="O673" s="1083">
        <f t="shared" si="139"/>
        <v>0</v>
      </c>
      <c r="P673" s="1080"/>
    </row>
    <row r="674" spans="1:18" s="1081" customFormat="1" hidden="1" outlineLevel="1">
      <c r="A674" s="1154">
        <f t="shared" si="134"/>
        <v>0</v>
      </c>
      <c r="B674" s="1073" t="s">
        <v>1262</v>
      </c>
      <c r="C674" s="1064"/>
      <c r="D674" s="1252"/>
      <c r="E674" s="1076" t="str">
        <f>VLOOKUP($B674,dongia1,DG!$C$5,)</f>
        <v>Boulon 16x300+ 2 long đền vuông D18-50x50x3/Zn</v>
      </c>
      <c r="F674" s="1075" t="str">
        <f>VLOOKUP($B674,dongia1,DG!$D$5,)</f>
        <v>bộ</v>
      </c>
      <c r="G674" s="1074">
        <f>2*G670</f>
        <v>0</v>
      </c>
      <c r="H674" s="1062">
        <f>VLOOKUP($B674,dongia1,DG!$F$5,)</f>
        <v>25400</v>
      </c>
      <c r="I674" s="1083"/>
      <c r="J674" s="1062">
        <f>VLOOKUP($B674,dongia1,DG!$G$5,)</f>
        <v>0</v>
      </c>
      <c r="K674" s="1062">
        <f>VLOOKUP($B674,dongia1,DG!$H$5,)</f>
        <v>0</v>
      </c>
      <c r="L674" s="1174">
        <f t="shared" si="136"/>
        <v>0</v>
      </c>
      <c r="M674" s="1174">
        <f t="shared" si="137"/>
        <v>0</v>
      </c>
      <c r="N674" s="1174">
        <f t="shared" si="138"/>
        <v>0</v>
      </c>
      <c r="O674" s="1083">
        <f t="shared" si="139"/>
        <v>0</v>
      </c>
      <c r="P674" s="1080"/>
    </row>
    <row r="675" spans="1:18" s="1081" customFormat="1" hidden="1" outlineLevel="1">
      <c r="A675" s="1154">
        <f>IF(G675&lt;&gt;0,1,)</f>
        <v>0</v>
      </c>
      <c r="B675" s="1073"/>
      <c r="C675" s="1191">
        <f>IF(G675&gt;0,C670+1,C670)</f>
        <v>0</v>
      </c>
      <c r="D675" s="1192"/>
      <c r="E675" s="1193" t="s">
        <v>3422</v>
      </c>
      <c r="F675" s="1064" t="s">
        <v>2113</v>
      </c>
      <c r="G675" s="1064">
        <f>G670*0</f>
        <v>0</v>
      </c>
      <c r="H675" s="1083"/>
      <c r="I675" s="1083"/>
      <c r="J675" s="1083"/>
      <c r="K675" s="1083"/>
      <c r="L675" s="1174">
        <f t="shared" si="136"/>
        <v>0</v>
      </c>
      <c r="M675" s="1174">
        <f t="shared" si="137"/>
        <v>0</v>
      </c>
      <c r="N675" s="1174">
        <f t="shared" si="138"/>
        <v>0</v>
      </c>
      <c r="O675" s="1083">
        <f t="shared" si="139"/>
        <v>0</v>
      </c>
      <c r="P675" s="1074"/>
    </row>
    <row r="676" spans="1:18" s="1081" customFormat="1" ht="14.4" hidden="1" outlineLevel="1">
      <c r="A676" s="1154">
        <f>A675</f>
        <v>0</v>
      </c>
      <c r="B676" s="1073"/>
      <c r="C676" s="1064"/>
      <c r="D676" s="1192"/>
      <c r="E676" s="1194" t="s">
        <v>3399</v>
      </c>
      <c r="F676" s="1074"/>
      <c r="G676" s="1074"/>
      <c r="H676" s="1083"/>
      <c r="I676" s="1083"/>
      <c r="J676" s="1083"/>
      <c r="K676" s="1083"/>
      <c r="L676" s="1174">
        <f t="shared" si="136"/>
        <v>0</v>
      </c>
      <c r="M676" s="1174">
        <f t="shared" si="137"/>
        <v>0</v>
      </c>
      <c r="N676" s="1174">
        <f t="shared" si="138"/>
        <v>0</v>
      </c>
      <c r="O676" s="1083">
        <f t="shared" si="139"/>
        <v>0</v>
      </c>
      <c r="P676" s="1074"/>
      <c r="R676" s="1195"/>
    </row>
    <row r="677" spans="1:18" s="1081" customFormat="1" hidden="1" outlineLevel="1">
      <c r="A677" s="1154">
        <f>IF(G677&lt;&gt;0,1,)</f>
        <v>0</v>
      </c>
      <c r="B677" s="1067" t="s">
        <v>1012</v>
      </c>
      <c r="C677" s="1074"/>
      <c r="D677" s="1075">
        <f>VLOOKUP($B677,dongia1,DG!$B$5,)</f>
        <v>0</v>
      </c>
      <c r="E677" s="1076" t="str">
        <f>VLOOKUP($B677,dongia1,DG!$C$5,)</f>
        <v>Trụ BTLT 12m F350 dự ứng lực</v>
      </c>
      <c r="F677" s="1075" t="str">
        <f>VLOOKUP($B677,dongia1,DG!$D$5,)</f>
        <v>trụ</v>
      </c>
      <c r="G677" s="1074">
        <f>1*G675</f>
        <v>0</v>
      </c>
      <c r="H677" s="1062">
        <f>VLOOKUP($B677,dongia1,DG!$F$5,)</f>
        <v>4400000</v>
      </c>
      <c r="I677" s="1062"/>
      <c r="J677" s="1062">
        <f>VLOOKUP($B677,dongia1,DG!$G$5,)</f>
        <v>0</v>
      </c>
      <c r="K677" s="1062">
        <f>VLOOKUP($B677,dongia1,DG!$H$5,)</f>
        <v>0</v>
      </c>
      <c r="L677" s="1174">
        <f t="shared" si="136"/>
        <v>0</v>
      </c>
      <c r="M677" s="1174">
        <f t="shared" si="137"/>
        <v>0</v>
      </c>
      <c r="N677" s="1174">
        <f t="shared" si="138"/>
        <v>0</v>
      </c>
      <c r="O677" s="1083">
        <f t="shared" si="139"/>
        <v>0</v>
      </c>
      <c r="P677" s="1074"/>
      <c r="R677" s="1195"/>
    </row>
    <row r="678" spans="1:18" s="1081" customFormat="1" hidden="1" outlineLevel="1">
      <c r="A678" s="1154">
        <f>IF(G678&lt;&gt;0,1,)</f>
        <v>0</v>
      </c>
      <c r="B678" s="1067" t="s">
        <v>1457</v>
      </c>
      <c r="C678" s="1074"/>
      <c r="D678" s="1196"/>
      <c r="E678" s="1076" t="str">
        <f>VLOOKUP($B678,dongia1,DG!$C$5,)</f>
        <v>Vật liệu dựng trụ</v>
      </c>
      <c r="F678" s="1075" t="str">
        <f>VLOOKUP($B678,dongia1,DG!$D$5,)</f>
        <v>trụ</v>
      </c>
      <c r="G678" s="1074">
        <f>G677</f>
        <v>0</v>
      </c>
      <c r="H678" s="1062">
        <f>VLOOKUP($B678,dongia1,DG!$F$5,)</f>
        <v>17400</v>
      </c>
      <c r="I678" s="1062"/>
      <c r="J678" s="1062">
        <f>VLOOKUP($B678,dongia1,DG!$G$5,)</f>
        <v>0</v>
      </c>
      <c r="K678" s="1062">
        <f>VLOOKUP($B678,dongia1,DG!$H$5,)</f>
        <v>0</v>
      </c>
      <c r="L678" s="1174">
        <f t="shared" si="136"/>
        <v>0</v>
      </c>
      <c r="M678" s="1174">
        <f t="shared" si="137"/>
        <v>0</v>
      </c>
      <c r="N678" s="1174">
        <f t="shared" si="138"/>
        <v>0</v>
      </c>
      <c r="O678" s="1083">
        <f t="shared" si="139"/>
        <v>0</v>
      </c>
      <c r="P678" s="1074"/>
      <c r="R678" s="1195"/>
    </row>
    <row r="679" spans="1:18" s="1081" customFormat="1" hidden="1" outlineLevel="1">
      <c r="A679" s="1154">
        <f>IF(G679&lt;&gt;0,1,)</f>
        <v>0</v>
      </c>
      <c r="B679" s="1067" t="s">
        <v>1993</v>
      </c>
      <c r="C679" s="1074"/>
      <c r="D679" s="1196"/>
      <c r="E679" s="1076" t="str">
        <f>VLOOKUP($B679,dongia1,DG!$C$5,)</f>
        <v>Dựng trụ BTLT 12m trong TBA bằng thủ công + cơ giới</v>
      </c>
      <c r="F679" s="1075" t="str">
        <f>VLOOKUP($B679,dongia1,DG!$D$5,)</f>
        <v>trụ</v>
      </c>
      <c r="G679" s="1074">
        <f>G677</f>
        <v>0</v>
      </c>
      <c r="H679" s="1062">
        <f>VLOOKUP($B679,dongia1,DG!$F$5,)</f>
        <v>0</v>
      </c>
      <c r="I679" s="1062"/>
      <c r="J679" s="1062">
        <f>VLOOKUP($B679,dongia1,DG!$G$5,)</f>
        <v>112286</v>
      </c>
      <c r="K679" s="1062">
        <f>VLOOKUP($B679,dongia1,DG!$H$5,)</f>
        <v>105970</v>
      </c>
      <c r="L679" s="1174">
        <f t="shared" si="136"/>
        <v>0</v>
      </c>
      <c r="M679" s="1174">
        <f t="shared" si="137"/>
        <v>0</v>
      </c>
      <c r="N679" s="1174">
        <f t="shared" si="138"/>
        <v>0</v>
      </c>
      <c r="O679" s="1083">
        <f t="shared" si="139"/>
        <v>0</v>
      </c>
      <c r="P679" s="1074"/>
      <c r="R679" s="1195"/>
    </row>
    <row r="680" spans="1:18" s="1081" customFormat="1" hidden="1" outlineLevel="1">
      <c r="A680" s="1154">
        <f>IF(G680&lt;&gt;0,1,)</f>
        <v>0</v>
      </c>
      <c r="B680" s="1073"/>
      <c r="C680" s="1191">
        <f>IF(G680&gt;0,C675+1,C675)</f>
        <v>0</v>
      </c>
      <c r="D680" s="1192"/>
      <c r="E680" s="1193" t="s">
        <v>3390</v>
      </c>
      <c r="F680" s="1064" t="s">
        <v>2113</v>
      </c>
      <c r="G680" s="1064">
        <f>G675</f>
        <v>0</v>
      </c>
      <c r="H680" s="1083"/>
      <c r="I680" s="1083"/>
      <c r="J680" s="1083"/>
      <c r="K680" s="1083"/>
      <c r="L680" s="1174">
        <f t="shared" si="136"/>
        <v>0</v>
      </c>
      <c r="M680" s="1174">
        <f t="shared" si="137"/>
        <v>0</v>
      </c>
      <c r="N680" s="1174">
        <f t="shared" si="138"/>
        <v>0</v>
      </c>
      <c r="O680" s="1083">
        <f t="shared" si="139"/>
        <v>0</v>
      </c>
      <c r="P680" s="1074"/>
    </row>
    <row r="681" spans="1:18" s="1081" customFormat="1" ht="14.4" hidden="1" outlineLevel="1">
      <c r="A681" s="1154">
        <f>A680</f>
        <v>0</v>
      </c>
      <c r="B681" s="1073"/>
      <c r="C681" s="1064"/>
      <c r="D681" s="1192"/>
      <c r="E681" s="1194" t="s">
        <v>3399</v>
      </c>
      <c r="F681" s="1074"/>
      <c r="G681" s="1074"/>
      <c r="H681" s="1083"/>
      <c r="I681" s="1083"/>
      <c r="J681" s="1083"/>
      <c r="K681" s="1083"/>
      <c r="L681" s="1174">
        <f t="shared" si="136"/>
        <v>0</v>
      </c>
      <c r="M681" s="1174">
        <f t="shared" si="137"/>
        <v>0</v>
      </c>
      <c r="N681" s="1174">
        <f t="shared" si="138"/>
        <v>0</v>
      </c>
      <c r="O681" s="1083">
        <f t="shared" si="139"/>
        <v>0</v>
      </c>
      <c r="P681" s="1074"/>
      <c r="R681" s="1195"/>
    </row>
    <row r="682" spans="1:18" s="1081" customFormat="1" hidden="1" outlineLevel="1">
      <c r="A682" s="1154">
        <f>IF(G682&lt;&gt;0,1,)</f>
        <v>0</v>
      </c>
      <c r="B682" s="1067" t="s">
        <v>580</v>
      </c>
      <c r="C682" s="1074"/>
      <c r="D682" s="1075" t="str">
        <f>VLOOKUP($B682,dongia1,DG!$B$5,)</f>
        <v>AG.42111</v>
      </c>
      <c r="E682" s="1076" t="str">
        <f>VLOOKUP($B682,dongia1,DG!$C$5,)</f>
        <v>Đà cản BTCT 1,2m</v>
      </c>
      <c r="F682" s="1075" t="str">
        <f>VLOOKUP($B682,dongia1,DG!$D$5,)</f>
        <v>cái</v>
      </c>
      <c r="G682" s="1074">
        <f>1*G680</f>
        <v>0</v>
      </c>
      <c r="H682" s="1062">
        <f>VLOOKUP($B682,dongia1,DG!$F$5,)</f>
        <v>354545</v>
      </c>
      <c r="I682" s="1062"/>
      <c r="J682" s="1062">
        <f>VLOOKUP($B682,dongia1,DG!$G$5,)</f>
        <v>37220.25</v>
      </c>
      <c r="K682" s="1062">
        <f>VLOOKUP($B682,dongia1,DG!$H$5,)</f>
        <v>0</v>
      </c>
      <c r="L682" s="1174">
        <f t="shared" si="136"/>
        <v>0</v>
      </c>
      <c r="M682" s="1174">
        <f t="shared" si="137"/>
        <v>0</v>
      </c>
      <c r="N682" s="1174">
        <f t="shared" si="138"/>
        <v>0</v>
      </c>
      <c r="O682" s="1083">
        <f t="shared" si="139"/>
        <v>0</v>
      </c>
      <c r="P682" s="1074"/>
      <c r="R682" s="1195"/>
    </row>
    <row r="683" spans="1:18" s="1081" customFormat="1" hidden="1" outlineLevel="1">
      <c r="A683" s="1154">
        <f>IF(G683&lt;&gt;0,1,)</f>
        <v>0</v>
      </c>
      <c r="B683" s="1067" t="s">
        <v>952</v>
      </c>
      <c r="C683" s="1074"/>
      <c r="D683" s="1075">
        <f>VLOOKUP($B683,dongia1,DG!$B$5,)</f>
        <v>0</v>
      </c>
      <c r="E683" s="1076" t="str">
        <f>VLOOKUP($B683,dongia1,DG!$C$5,)</f>
        <v>Boulon 22x650+ 2 long đền vuông D24-60x60x3/Zn</v>
      </c>
      <c r="F683" s="1075" t="str">
        <f>VLOOKUP($B683,dongia1,DG!$D$5,)</f>
        <v>bộ</v>
      </c>
      <c r="G683" s="1074">
        <f>G680</f>
        <v>0</v>
      </c>
      <c r="H683" s="1062">
        <f>VLOOKUP($B683,dongia1,DG!$F$5,)</f>
        <v>92200</v>
      </c>
      <c r="I683" s="1062"/>
      <c r="J683" s="1062">
        <f>VLOOKUP($B683,dongia1,DG!$G$5,)</f>
        <v>0</v>
      </c>
      <c r="K683" s="1062">
        <f>VLOOKUP($B683,dongia1,DG!$H$5,)</f>
        <v>0</v>
      </c>
      <c r="L683" s="1174">
        <f t="shared" si="136"/>
        <v>0</v>
      </c>
      <c r="M683" s="1174">
        <f t="shared" si="137"/>
        <v>0</v>
      </c>
      <c r="N683" s="1174">
        <f t="shared" si="138"/>
        <v>0</v>
      </c>
      <c r="O683" s="1083">
        <f t="shared" si="139"/>
        <v>0</v>
      </c>
      <c r="P683" s="1074"/>
      <c r="R683" s="1195"/>
    </row>
    <row r="684" spans="1:18" s="1081" customFormat="1" hidden="1" outlineLevel="1">
      <c r="A684" s="1154">
        <f>IF(G684&lt;&gt;0,1,)</f>
        <v>0</v>
      </c>
      <c r="B684" s="1067" t="str">
        <f>IF(capdat=1,"MDD1",IF(capdat=2,"MDD2",IF(capdat=3,"MDD3",IF(capdat=4,"MDD4"))))</f>
        <v>MDD3</v>
      </c>
      <c r="C684" s="1074"/>
      <c r="D684" s="1075" t="str">
        <f>VLOOKUP($B684,dongia1,DG!$B$5,)</f>
        <v>03.1013</v>
      </c>
      <c r="E684" s="1076" t="str">
        <f>VLOOKUP($B684,dongia1,DG!$C$5,)</f>
        <v>Đào hố móng đất cấp 3 sâu &gt;1m DT&lt;5m2</v>
      </c>
      <c r="F684" s="1075" t="str">
        <f>VLOOKUP($B684,dongia1,DG!$D$5,)</f>
        <v>m3</v>
      </c>
      <c r="G684" s="1197">
        <f>G680*1.45</f>
        <v>0</v>
      </c>
      <c r="H684" s="1062">
        <f>VLOOKUP($B684,dongia1,DG!$F$5,)</f>
        <v>0</v>
      </c>
      <c r="I684" s="1062"/>
      <c r="J684" s="1062">
        <f>VLOOKUP($B684,dongia1,DG!$G$5,)</f>
        <v>296500.89999999997</v>
      </c>
      <c r="K684" s="1062">
        <f>VLOOKUP($B684,dongia1,DG!$H$5,)</f>
        <v>0</v>
      </c>
      <c r="L684" s="1174">
        <f t="shared" si="136"/>
        <v>0</v>
      </c>
      <c r="M684" s="1174">
        <f t="shared" si="137"/>
        <v>0</v>
      </c>
      <c r="N684" s="1174">
        <f t="shared" si="138"/>
        <v>0</v>
      </c>
      <c r="O684" s="1083">
        <f t="shared" si="139"/>
        <v>0</v>
      </c>
      <c r="P684" s="1074"/>
      <c r="R684" s="1195"/>
    </row>
    <row r="685" spans="1:18" s="1081" customFormat="1" hidden="1" outlineLevel="1">
      <c r="A685" s="1154">
        <f>IF(G685&lt;&gt;0,1,)</f>
        <v>0</v>
      </c>
      <c r="B685" s="1067" t="str">
        <f>IF(capdat=1,"MDAP1",IF(capdat=2,"MDAP2",IF(capdat=3,"MDAP3",IF(capdat=4,"MDAP4"))))</f>
        <v>MDAP3</v>
      </c>
      <c r="C685" s="1074"/>
      <c r="D685" s="1075" t="str">
        <f>VLOOKUP($B685,dongia1,DG!$B$5,)</f>
        <v>AB.13111</v>
      </c>
      <c r="E685" s="1076" t="str">
        <f>VLOOKUP($B685,dongia1,DG!$C$5,)</f>
        <v>Đắp đất hố móng, đất cấp 3 (độ chặt k = 0.85)</v>
      </c>
      <c r="F685" s="1075" t="str">
        <f>VLOOKUP($B685,dongia1,DG!$D$5,)</f>
        <v>m3</v>
      </c>
      <c r="G685" s="1197">
        <f>G680*1.37</f>
        <v>0</v>
      </c>
      <c r="H685" s="1062">
        <f>VLOOKUP($B685,dongia1,DG!$F$5,)</f>
        <v>0</v>
      </c>
      <c r="I685" s="1062"/>
      <c r="J685" s="1062">
        <f>VLOOKUP($B685,dongia1,DG!$G$5,)</f>
        <v>117703.6</v>
      </c>
      <c r="K685" s="1062">
        <f>VLOOKUP($B685,dongia1,DG!$H$5,)</f>
        <v>0</v>
      </c>
      <c r="L685" s="1174">
        <f t="shared" si="136"/>
        <v>0</v>
      </c>
      <c r="M685" s="1174">
        <f t="shared" si="137"/>
        <v>0</v>
      </c>
      <c r="N685" s="1174">
        <f t="shared" si="138"/>
        <v>0</v>
      </c>
      <c r="O685" s="1083">
        <f t="shared" si="139"/>
        <v>0</v>
      </c>
      <c r="P685" s="1074"/>
      <c r="R685" s="1195"/>
    </row>
    <row r="686" spans="1:18" s="1081" customFormat="1" hidden="1" outlineLevel="1">
      <c r="A686" s="1154">
        <f t="shared" si="134"/>
        <v>0</v>
      </c>
      <c r="B686" s="1067" t="s">
        <v>2110</v>
      </c>
      <c r="C686" s="1064">
        <f>IF(G686&gt;0,C680+1,C680)</f>
        <v>0</v>
      </c>
      <c r="D686" s="1252"/>
      <c r="E686" s="1221" t="s">
        <v>3427</v>
      </c>
      <c r="F686" s="1064" t="s">
        <v>2113</v>
      </c>
      <c r="G686" s="1064">
        <f>G670</f>
        <v>0</v>
      </c>
      <c r="H686" s="1083"/>
      <c r="I686" s="1083"/>
      <c r="J686" s="1083"/>
      <c r="K686" s="1083"/>
      <c r="L686" s="1174">
        <f t="shared" si="136"/>
        <v>0</v>
      </c>
      <c r="M686" s="1174">
        <f t="shared" si="137"/>
        <v>0</v>
      </c>
      <c r="N686" s="1174">
        <f t="shared" si="138"/>
        <v>0</v>
      </c>
      <c r="O686" s="1083">
        <f t="shared" si="139"/>
        <v>0</v>
      </c>
      <c r="P686" s="1080"/>
    </row>
    <row r="687" spans="1:18" s="1081" customFormat="1" ht="14.4" hidden="1" outlineLevel="1">
      <c r="A687" s="1154">
        <f>A686</f>
        <v>0</v>
      </c>
      <c r="B687" s="1073"/>
      <c r="C687" s="1064"/>
      <c r="D687" s="1252"/>
      <c r="E687" s="1222" t="s">
        <v>3399</v>
      </c>
      <c r="F687" s="1074"/>
      <c r="G687" s="1074"/>
      <c r="H687" s="1083"/>
      <c r="I687" s="1083"/>
      <c r="J687" s="1083"/>
      <c r="K687" s="1083"/>
      <c r="L687" s="1174">
        <f t="shared" si="136"/>
        <v>0</v>
      </c>
      <c r="M687" s="1174">
        <f t="shared" si="137"/>
        <v>0</v>
      </c>
      <c r="N687" s="1174">
        <f t="shared" si="138"/>
        <v>0</v>
      </c>
      <c r="O687" s="1083">
        <f t="shared" si="139"/>
        <v>0</v>
      </c>
      <c r="P687" s="1080"/>
    </row>
    <row r="688" spans="1:18" s="1081" customFormat="1" hidden="1" outlineLevel="1">
      <c r="A688" s="1154">
        <f t="shared" si="134"/>
        <v>0</v>
      </c>
      <c r="B688" s="1067" t="s">
        <v>2115</v>
      </c>
      <c r="C688" s="1064"/>
      <c r="D688" s="1075">
        <f>VLOOKUP($B688,dongia1,DG!$B$5,)</f>
        <v>0</v>
      </c>
      <c r="E688" s="1076" t="str">
        <f>VLOOKUP($B688,dongia1,DG!$C$5,)</f>
        <v>Đà Composite 110x80x5x2400</v>
      </c>
      <c r="F688" s="1075" t="str">
        <f>VLOOKUP($B688,dongia1,DG!$D$5,)</f>
        <v>cây</v>
      </c>
      <c r="G688" s="1197">
        <f>+G686</f>
        <v>0</v>
      </c>
      <c r="H688" s="1062">
        <f>VLOOKUP($B688,dongia1,DG!$F$5,)</f>
        <v>960000</v>
      </c>
      <c r="I688" s="1083"/>
      <c r="J688" s="1062">
        <f>VLOOKUP($B688,dongia1,DG!$G$5,)</f>
        <v>0</v>
      </c>
      <c r="K688" s="1062">
        <f>VLOOKUP($B688,dongia1,DG!$H$5,)</f>
        <v>0</v>
      </c>
      <c r="L688" s="1174">
        <f t="shared" si="136"/>
        <v>0</v>
      </c>
      <c r="M688" s="1174">
        <f t="shared" si="137"/>
        <v>0</v>
      </c>
      <c r="N688" s="1174">
        <f t="shared" si="138"/>
        <v>0</v>
      </c>
      <c r="O688" s="1083">
        <f t="shared" si="139"/>
        <v>0</v>
      </c>
      <c r="P688" s="1080"/>
    </row>
    <row r="689" spans="1:16" s="1081" customFormat="1" hidden="1" outlineLevel="1">
      <c r="A689" s="1154">
        <f t="shared" si="134"/>
        <v>0</v>
      </c>
      <c r="B689" s="1067" t="s">
        <v>2106</v>
      </c>
      <c r="C689" s="1064"/>
      <c r="D689" s="1075">
        <f>VLOOKUP($B689,dongia1,DG!$B$5,)</f>
        <v>0</v>
      </c>
      <c r="E689" s="1076" t="str">
        <f>VLOOKUP($B689,dongia1,DG!$C$5,)</f>
        <v>Chống Composite 40x10x920</v>
      </c>
      <c r="F689" s="1075" t="str">
        <f>VLOOKUP($B689,dongia1,DG!$D$5,)</f>
        <v>Thanh</v>
      </c>
      <c r="G689" s="1197">
        <f>+G688*2</f>
        <v>0</v>
      </c>
      <c r="H689" s="1062">
        <f>VLOOKUP($B689,dongia1,DG!$F$5,)</f>
        <v>140000</v>
      </c>
      <c r="I689" s="1083"/>
      <c r="J689" s="1062">
        <f>VLOOKUP($B689,dongia1,DG!$G$5,)</f>
        <v>0</v>
      </c>
      <c r="K689" s="1062">
        <f>VLOOKUP($B689,dongia1,DG!$H$5,)</f>
        <v>0</v>
      </c>
      <c r="L689" s="1174">
        <f t="shared" si="136"/>
        <v>0</v>
      </c>
      <c r="M689" s="1174">
        <f t="shared" si="137"/>
        <v>0</v>
      </c>
      <c r="N689" s="1174">
        <f t="shared" si="138"/>
        <v>0</v>
      </c>
      <c r="O689" s="1083">
        <f t="shared" si="139"/>
        <v>0</v>
      </c>
      <c r="P689" s="1080"/>
    </row>
    <row r="690" spans="1:16" s="1081" customFormat="1" hidden="1" outlineLevel="1">
      <c r="A690" s="1154">
        <f t="shared" si="134"/>
        <v>0</v>
      </c>
      <c r="B690" s="1073" t="s">
        <v>428</v>
      </c>
      <c r="C690" s="1064"/>
      <c r="D690" s="1075">
        <f>VLOOKUP($B690,dongia1,DG!$B$5,)</f>
        <v>0</v>
      </c>
      <c r="E690" s="1076" t="str">
        <f>VLOOKUP($B690,dongia1,DG!$C$5,)</f>
        <v>Bass LL bắt FCO và LA</v>
      </c>
      <c r="F690" s="1075" t="str">
        <f>VLOOKUP($B690,dongia1,DG!$D$5,)</f>
        <v>bộ</v>
      </c>
      <c r="G690" s="1074">
        <f>G686*3</f>
        <v>0</v>
      </c>
      <c r="H690" s="1062">
        <f>VLOOKUP($B690,dongia1,DG!$F$5,)</f>
        <v>65000</v>
      </c>
      <c r="I690" s="1083"/>
      <c r="J690" s="1062">
        <f>VLOOKUP($B690,dongia1,DG!$G$5,)</f>
        <v>0</v>
      </c>
      <c r="K690" s="1062">
        <f>VLOOKUP($B690,dongia1,DG!$H$5,)</f>
        <v>0</v>
      </c>
      <c r="L690" s="1174">
        <f t="shared" si="136"/>
        <v>0</v>
      </c>
      <c r="M690" s="1174">
        <f t="shared" si="137"/>
        <v>0</v>
      </c>
      <c r="N690" s="1174">
        <f t="shared" si="138"/>
        <v>0</v>
      </c>
      <c r="O690" s="1083">
        <f t="shared" si="139"/>
        <v>0</v>
      </c>
      <c r="P690" s="1080"/>
    </row>
    <row r="691" spans="1:16" s="1081" customFormat="1" hidden="1" outlineLevel="1">
      <c r="A691" s="1154">
        <f t="shared" si="134"/>
        <v>0</v>
      </c>
      <c r="B691" s="1073" t="s">
        <v>746</v>
      </c>
      <c r="C691" s="1064"/>
      <c r="D691" s="1075">
        <f>VLOOKUP($B691,dongia1,DG!$B$5,)</f>
        <v>0</v>
      </c>
      <c r="E691" s="1076" t="str">
        <f>VLOOKUP($B691,dongia1,DG!$C$5,)</f>
        <v>Boulon 16x150+ 2 long đền vuông D18-50x50x3/Zn</v>
      </c>
      <c r="F691" s="1075" t="str">
        <f>VLOOKUP($B691,dongia1,DG!$D$5,)</f>
        <v>bộ</v>
      </c>
      <c r="G691" s="1074">
        <f>2*G686</f>
        <v>0</v>
      </c>
      <c r="H691" s="1062">
        <f>VLOOKUP($B691,dongia1,DG!$F$5,)</f>
        <v>18900</v>
      </c>
      <c r="I691" s="1083"/>
      <c r="J691" s="1062">
        <f>VLOOKUP($B691,dongia1,DG!$G$5,)</f>
        <v>0</v>
      </c>
      <c r="K691" s="1062">
        <f>VLOOKUP($B691,dongia1,DG!$H$5,)</f>
        <v>0</v>
      </c>
      <c r="L691" s="1174">
        <f t="shared" si="136"/>
        <v>0</v>
      </c>
      <c r="M691" s="1174">
        <f t="shared" si="137"/>
        <v>0</v>
      </c>
      <c r="N691" s="1174">
        <f t="shared" si="138"/>
        <v>0</v>
      </c>
      <c r="O691" s="1083">
        <f t="shared" si="139"/>
        <v>0</v>
      </c>
      <c r="P691" s="1080"/>
    </row>
    <row r="692" spans="1:16" s="1081" customFormat="1" hidden="1" outlineLevel="1">
      <c r="A692" s="1154">
        <f>IF(G692&lt;&gt;0,1,0)</f>
        <v>0</v>
      </c>
      <c r="B692" s="1073" t="s">
        <v>733</v>
      </c>
      <c r="C692" s="1064"/>
      <c r="D692" s="1075">
        <f>VLOOKUP($B692,dongia1,DG!$B$5,)</f>
        <v>0</v>
      </c>
      <c r="E692" s="1076" t="str">
        <f>VLOOKUP($B692,dongia1,DG!$C$5,)</f>
        <v>Boulon 16x350+ 2 long đền vuông D18-50x50x3/Zn</v>
      </c>
      <c r="F692" s="1075" t="str">
        <f>VLOOKUP($B692,dongia1,DG!$D$5,)</f>
        <v>bộ</v>
      </c>
      <c r="G692" s="1074">
        <f>1*G686</f>
        <v>0</v>
      </c>
      <c r="H692" s="1062">
        <f>VLOOKUP($B692,dongia1,DG!$F$5,)</f>
        <v>27900</v>
      </c>
      <c r="I692" s="1083"/>
      <c r="J692" s="1062">
        <f>VLOOKUP($B692,dongia1,DG!$G$5,)</f>
        <v>0</v>
      </c>
      <c r="K692" s="1062">
        <f>VLOOKUP($B692,dongia1,DG!$H$5,)</f>
        <v>0</v>
      </c>
      <c r="L692" s="1174">
        <f>H692*G692</f>
        <v>0</v>
      </c>
      <c r="M692" s="1174">
        <f>I692*G692</f>
        <v>0</v>
      </c>
      <c r="N692" s="1174">
        <f>J692*G692</f>
        <v>0</v>
      </c>
      <c r="O692" s="1083">
        <f>K692*G692</f>
        <v>0</v>
      </c>
      <c r="P692" s="1080"/>
    </row>
    <row r="693" spans="1:16" s="1081" customFormat="1" hidden="1" outlineLevel="1">
      <c r="A693" s="1154">
        <f t="shared" si="134"/>
        <v>0</v>
      </c>
      <c r="B693" s="1073" t="s">
        <v>1262</v>
      </c>
      <c r="C693" s="1064"/>
      <c r="D693" s="1075">
        <f>VLOOKUP($B693,dongia1,DG!$B$5,)</f>
        <v>0</v>
      </c>
      <c r="E693" s="1076" t="str">
        <f>VLOOKUP($B693,dongia1,DG!$C$5,)</f>
        <v>Boulon 16x300+ 2 long đền vuông D18-50x50x3/Zn</v>
      </c>
      <c r="F693" s="1075" t="str">
        <f>VLOOKUP($B693,dongia1,DG!$D$5,)</f>
        <v>bộ</v>
      </c>
      <c r="G693" s="1074">
        <f>1*G686</f>
        <v>0</v>
      </c>
      <c r="H693" s="1062">
        <f>VLOOKUP($B693,dongia1,DG!$F$5,)</f>
        <v>25400</v>
      </c>
      <c r="I693" s="1083"/>
      <c r="J693" s="1062">
        <f>VLOOKUP($B693,dongia1,DG!$G$5,)</f>
        <v>0</v>
      </c>
      <c r="K693" s="1062">
        <f>VLOOKUP($B693,dongia1,DG!$H$5,)</f>
        <v>0</v>
      </c>
      <c r="L693" s="1174">
        <f t="shared" si="136"/>
        <v>0</v>
      </c>
      <c r="M693" s="1174">
        <f t="shared" si="137"/>
        <v>0</v>
      </c>
      <c r="N693" s="1174">
        <f t="shared" si="138"/>
        <v>0</v>
      </c>
      <c r="O693" s="1083">
        <f t="shared" si="139"/>
        <v>0</v>
      </c>
      <c r="P693" s="1080"/>
    </row>
    <row r="694" spans="1:16" s="1081" customFormat="1" hidden="1" outlineLevel="1">
      <c r="A694" s="1154">
        <f>IF(G694&lt;&gt;0,1,0)</f>
        <v>0</v>
      </c>
      <c r="B694" s="1073" t="s">
        <v>1189</v>
      </c>
      <c r="C694" s="1064"/>
      <c r="D694" s="1075" t="str">
        <f>VLOOKUP($B694,dongia1,DG!$B$5,)</f>
        <v>D2.6031</v>
      </c>
      <c r="E694" s="1076" t="str">
        <f>VLOOKUP($B694,dongia1,DG!$C$5,)</f>
        <v>Lắp xà đỡ 50kg</v>
      </c>
      <c r="F694" s="1075" t="str">
        <f>VLOOKUP($B694,dongia1,DG!$D$5,)</f>
        <v>bộ</v>
      </c>
      <c r="G694" s="1074">
        <f>G686</f>
        <v>0</v>
      </c>
      <c r="H694" s="1062">
        <f>VLOOKUP($B694,dongia1,DG!$F$5,)</f>
        <v>0</v>
      </c>
      <c r="I694" s="1083"/>
      <c r="J694" s="1062" t="str">
        <f>VLOOKUP($B694,dongia1,DG!$G$5,)&amp;" x "&amp;hslx</f>
        <v>296544,75 x 1,5</v>
      </c>
      <c r="K694" s="1062">
        <f>VLOOKUP($B694,dongia1,DG!$H$5,)</f>
        <v>0</v>
      </c>
      <c r="L694" s="1174">
        <f>H694*G694</f>
        <v>0</v>
      </c>
      <c r="M694" s="1174">
        <f>I694*G694</f>
        <v>0</v>
      </c>
      <c r="N694" s="1062">
        <f>VLOOKUP($B694,dongia1,DG!$G$5,)*hslx*G694</f>
        <v>0</v>
      </c>
      <c r="O694" s="1083">
        <f>K694*G694</f>
        <v>0</v>
      </c>
      <c r="P694" s="1080"/>
    </row>
    <row r="695" spans="1:16" s="1081" customFormat="1" hidden="1" outlineLevel="1">
      <c r="A695" s="1154">
        <f t="shared" si="134"/>
        <v>0</v>
      </c>
      <c r="B695" s="1073"/>
      <c r="C695" s="1064">
        <f>IF(G695&gt;0,C686+1,C686)</f>
        <v>0</v>
      </c>
      <c r="D695" s="1252"/>
      <c r="E695" s="1221" t="s">
        <v>3401</v>
      </c>
      <c r="F695" s="1064" t="s">
        <v>2113</v>
      </c>
      <c r="G695" s="1064">
        <f>G670</f>
        <v>0</v>
      </c>
      <c r="H695" s="1083"/>
      <c r="I695" s="1083"/>
      <c r="J695" s="1083"/>
      <c r="K695" s="1083"/>
      <c r="L695" s="1174">
        <f t="shared" si="136"/>
        <v>0</v>
      </c>
      <c r="M695" s="1174">
        <f t="shared" si="137"/>
        <v>0</v>
      </c>
      <c r="N695" s="1174">
        <f t="shared" si="138"/>
        <v>0</v>
      </c>
      <c r="O695" s="1083">
        <f t="shared" si="139"/>
        <v>0</v>
      </c>
      <c r="P695" s="1080"/>
    </row>
    <row r="696" spans="1:16" s="1081" customFormat="1" ht="14.4" hidden="1" outlineLevel="1">
      <c r="A696" s="1154">
        <f>A695</f>
        <v>0</v>
      </c>
      <c r="B696" s="1073"/>
      <c r="C696" s="1064"/>
      <c r="D696" s="1252"/>
      <c r="E696" s="1222" t="s">
        <v>3399</v>
      </c>
      <c r="F696" s="1074"/>
      <c r="G696" s="1074"/>
      <c r="H696" s="1083"/>
      <c r="I696" s="1083"/>
      <c r="J696" s="1083"/>
      <c r="K696" s="1083"/>
      <c r="L696" s="1174">
        <f t="shared" si="136"/>
        <v>0</v>
      </c>
      <c r="M696" s="1174">
        <f t="shared" si="137"/>
        <v>0</v>
      </c>
      <c r="N696" s="1174">
        <f t="shared" si="138"/>
        <v>0</v>
      </c>
      <c r="O696" s="1083">
        <f t="shared" si="139"/>
        <v>0</v>
      </c>
      <c r="P696" s="1080"/>
    </row>
    <row r="697" spans="1:16" s="1081" customFormat="1" hidden="1" outlineLevel="1">
      <c r="A697" s="1154">
        <f t="shared" si="134"/>
        <v>0</v>
      </c>
      <c r="B697" s="1073" t="str">
        <f>Solieu!$I$56</f>
        <v>M25</v>
      </c>
      <c r="C697" s="1074"/>
      <c r="D697" s="1075">
        <f>VLOOKUP($B697,dongia1,DG!$B$5,)</f>
        <v>0</v>
      </c>
      <c r="E697" s="1076" t="str">
        <f>VLOOKUP($B697,dongia1,DG!$C$5,)</f>
        <v>Cáp đồng trần M25mm2</v>
      </c>
      <c r="F697" s="1075" t="str">
        <f>VLOOKUP($B697,dongia1,DG!$D$5,)</f>
        <v>kg</v>
      </c>
      <c r="G697" s="1202">
        <f>G695*0.224*H3</f>
        <v>0</v>
      </c>
      <c r="H697" s="1062">
        <f>VLOOKUP($B697,dongia1,DG!$F$5,)</f>
        <v>255500</v>
      </c>
      <c r="I697" s="1083"/>
      <c r="J697" s="1062">
        <f>VLOOKUP($B697,dongia1,DG!$G$5,)</f>
        <v>0</v>
      </c>
      <c r="K697" s="1062">
        <f>VLOOKUP($B697,dongia1,DG!$H$5,)</f>
        <v>0</v>
      </c>
      <c r="L697" s="1174">
        <f t="shared" si="136"/>
        <v>0</v>
      </c>
      <c r="M697" s="1174">
        <f t="shared" si="137"/>
        <v>0</v>
      </c>
      <c r="N697" s="1174">
        <f t="shared" si="138"/>
        <v>0</v>
      </c>
      <c r="O697" s="1083">
        <f t="shared" si="139"/>
        <v>0</v>
      </c>
      <c r="P697" s="1080"/>
    </row>
    <row r="698" spans="1:16" s="1081" customFormat="1" hidden="1" outlineLevel="1">
      <c r="A698" s="1154">
        <f t="shared" si="134"/>
        <v>0</v>
      </c>
      <c r="B698" s="1067" t="s">
        <v>1098</v>
      </c>
      <c r="C698" s="1074"/>
      <c r="D698" s="1075">
        <f>VLOOKUP($B698,dongia1,DG!$B$5,)</f>
        <v>0</v>
      </c>
      <c r="E698" s="1076" t="str">
        <f>VLOOKUP($B698,dongia1,DG!$C$5,)</f>
        <v>Cọc tiếp đất Þ 16- 2,4m + kẹp cọc</v>
      </c>
      <c r="F698" s="1075" t="str">
        <f>VLOOKUP($B698,dongia1,DG!$D$5,)</f>
        <v>bộ</v>
      </c>
      <c r="G698" s="1074">
        <f>9*G695</f>
        <v>0</v>
      </c>
      <c r="H698" s="1062">
        <f>VLOOKUP($B698,dongia1,DG!$F$5,)</f>
        <v>160000</v>
      </c>
      <c r="I698" s="1083"/>
      <c r="J698" s="1062">
        <f>VLOOKUP($B698,dongia1,DG!$G$5,)</f>
        <v>0</v>
      </c>
      <c r="K698" s="1062">
        <f>VLOOKUP($B698,dongia1,DG!$H$5,)</f>
        <v>0</v>
      </c>
      <c r="L698" s="1174">
        <f t="shared" si="136"/>
        <v>0</v>
      </c>
      <c r="M698" s="1174">
        <f t="shared" si="137"/>
        <v>0</v>
      </c>
      <c r="N698" s="1174">
        <f t="shared" si="138"/>
        <v>0</v>
      </c>
      <c r="O698" s="1083">
        <f t="shared" si="139"/>
        <v>0</v>
      </c>
      <c r="P698" s="1080"/>
    </row>
    <row r="699" spans="1:16" s="1081" customFormat="1" hidden="1" outlineLevel="1">
      <c r="A699" s="1154">
        <f t="shared" si="134"/>
        <v>0</v>
      </c>
      <c r="B699" s="1067" t="s">
        <v>2040</v>
      </c>
      <c r="C699" s="1074"/>
      <c r="D699" s="1075">
        <f>VLOOKUP($B699,dongia1,DG!$B$5,)</f>
        <v>0</v>
      </c>
      <c r="E699" s="1076" t="str">
        <f>VLOOKUP($B699,dongia1,DG!$C$5,)</f>
        <v xml:space="preserve">Ống PVC D21x1,6mm </v>
      </c>
      <c r="F699" s="1075" t="str">
        <f>VLOOKUP($B699,dongia1,DG!$D$5,)</f>
        <v>m</v>
      </c>
      <c r="G699" s="1074"/>
      <c r="H699" s="1062">
        <f>VLOOKUP($B699,dongia1,DG!$F$5,)</f>
        <v>6200</v>
      </c>
      <c r="I699" s="1083"/>
      <c r="J699" s="1062">
        <f>VLOOKUP($B699,dongia1,DG!$G$5,)</f>
        <v>0</v>
      </c>
      <c r="K699" s="1062">
        <f>VLOOKUP($B699,dongia1,DG!$H$5,)</f>
        <v>0</v>
      </c>
      <c r="L699" s="1174">
        <f t="shared" si="136"/>
        <v>0</v>
      </c>
      <c r="M699" s="1174">
        <f t="shared" si="137"/>
        <v>0</v>
      </c>
      <c r="N699" s="1174">
        <f t="shared" si="138"/>
        <v>0</v>
      </c>
      <c r="O699" s="1083">
        <f t="shared" si="139"/>
        <v>0</v>
      </c>
      <c r="P699" s="1080"/>
    </row>
    <row r="700" spans="1:16" s="1081" customFormat="1" hidden="1" outlineLevel="1">
      <c r="A700" s="1154">
        <f t="shared" si="134"/>
        <v>0</v>
      </c>
      <c r="B700" s="1086" t="s">
        <v>75</v>
      </c>
      <c r="C700" s="1074"/>
      <c r="D700" s="1075">
        <f>VLOOKUP($B700,dongia1,DG!$B$5,)</f>
        <v>0</v>
      </c>
      <c r="E700" s="1076" t="str">
        <f>VLOOKUP($B700,dongia1,DG!$C$5,)&amp;": baét trung tính löôùi"</f>
        <v>Kẹp ép WR cỡ dây 50mm2: baét trung tính löôùi</v>
      </c>
      <c r="F700" s="1075" t="str">
        <f>VLOOKUP($B700,dongia1,DG!$D$5,)</f>
        <v>cái</v>
      </c>
      <c r="G700" s="1074">
        <f>2*G695</f>
        <v>0</v>
      </c>
      <c r="H700" s="1062">
        <f>VLOOKUP($B700,dongia1,DG!$F$5,)</f>
        <v>8000</v>
      </c>
      <c r="I700" s="1062"/>
      <c r="J700" s="1062">
        <f>VLOOKUP($B700,dongia1,DG!$G$5,)</f>
        <v>0</v>
      </c>
      <c r="K700" s="1062">
        <f>VLOOKUP($B700,dongia1,DG!$H$5,)</f>
        <v>0</v>
      </c>
      <c r="L700" s="1174">
        <f t="shared" si="136"/>
        <v>0</v>
      </c>
      <c r="M700" s="1174">
        <f t="shared" si="137"/>
        <v>0</v>
      </c>
      <c r="N700" s="1174">
        <f t="shared" si="138"/>
        <v>0</v>
      </c>
      <c r="O700" s="1083">
        <f t="shared" si="139"/>
        <v>0</v>
      </c>
      <c r="P700" s="1080"/>
    </row>
    <row r="701" spans="1:16" s="1081" customFormat="1" hidden="1" outlineLevel="1">
      <c r="A701" s="1154">
        <f t="shared" si="134"/>
        <v>0</v>
      </c>
      <c r="B701" s="1086" t="s">
        <v>903</v>
      </c>
      <c r="C701" s="1074"/>
      <c r="D701" s="1075">
        <f>VLOOKUP($B701,dongia1,DG!$B$5,)</f>
        <v>0</v>
      </c>
      <c r="E701" s="1076" t="str">
        <f>VLOOKUP($B701,dongia1,DG!$C$5,)</f>
        <v>Ốc xiết cáp cỡ 25mm2</v>
      </c>
      <c r="F701" s="1075" t="str">
        <f>VLOOKUP($B701,dongia1,DG!$D$5,)</f>
        <v>cái</v>
      </c>
      <c r="G701" s="1074">
        <f>G695*11</f>
        <v>0</v>
      </c>
      <c r="H701" s="1062">
        <f>VLOOKUP($B701,dongia1,DG!$F$5,)</f>
        <v>17600</v>
      </c>
      <c r="I701" s="1062"/>
      <c r="J701" s="1062">
        <f>VLOOKUP($B701,dongia1,DG!$G$5,)</f>
        <v>0</v>
      </c>
      <c r="K701" s="1062">
        <f>VLOOKUP($B701,dongia1,DG!$H$5,)</f>
        <v>0</v>
      </c>
      <c r="L701" s="1174">
        <f t="shared" si="136"/>
        <v>0</v>
      </c>
      <c r="M701" s="1174">
        <f t="shared" si="137"/>
        <v>0</v>
      </c>
      <c r="N701" s="1174">
        <f t="shared" si="138"/>
        <v>0</v>
      </c>
      <c r="O701" s="1083">
        <f t="shared" si="139"/>
        <v>0</v>
      </c>
      <c r="P701" s="1080"/>
    </row>
    <row r="702" spans="1:16" s="1081" customFormat="1" hidden="1" outlineLevel="1">
      <c r="A702" s="1154">
        <f t="shared" si="134"/>
        <v>0</v>
      </c>
      <c r="B702" s="1067" t="s">
        <v>1490</v>
      </c>
      <c r="C702" s="1074"/>
      <c r="D702" s="1075">
        <f>VLOOKUP($B702,dongia1,DG!$B$5,)</f>
        <v>0</v>
      </c>
      <c r="E702" s="1076" t="str">
        <f>VLOOKUP($B702,dongia1,DG!$C$5,)</f>
        <v>Cổ dê kẹp ống PVC (STK) Þ 21</v>
      </c>
      <c r="F702" s="1075" t="str">
        <f>VLOOKUP($B702,dongia1,DG!$D$5,)</f>
        <v>bộ</v>
      </c>
      <c r="G702" s="1074"/>
      <c r="H702" s="1062">
        <f>VLOOKUP($B702,dongia1,DG!$F$5,)</f>
        <v>43000</v>
      </c>
      <c r="I702" s="1083"/>
      <c r="J702" s="1062">
        <f>VLOOKUP($B702,dongia1,DG!$G$5,)</f>
        <v>0</v>
      </c>
      <c r="K702" s="1062">
        <f>VLOOKUP($B702,dongia1,DG!$H$5,)</f>
        <v>0</v>
      </c>
      <c r="L702" s="1174">
        <f t="shared" si="136"/>
        <v>0</v>
      </c>
      <c r="M702" s="1174">
        <f t="shared" si="137"/>
        <v>0</v>
      </c>
      <c r="N702" s="1174">
        <f>J702*A702</f>
        <v>0</v>
      </c>
      <c r="O702" s="1083">
        <f t="shared" si="139"/>
        <v>0</v>
      </c>
      <c r="P702" s="1080"/>
    </row>
    <row r="703" spans="1:16" s="1081" customFormat="1" hidden="1" outlineLevel="1">
      <c r="A703" s="1154">
        <f>+A697</f>
        <v>0</v>
      </c>
      <c r="B703" s="1086" t="s">
        <v>1195</v>
      </c>
      <c r="C703" s="1074"/>
      <c r="D703" s="1075" t="str">
        <f>VLOOKUP($B703,dongia1,DG!$B$5,)</f>
        <v>T4.7001</v>
      </c>
      <c r="E703" s="1076" t="str">
        <f>VLOOKUP($B703,dongia1,DG!$C$5,)</f>
        <v>Kéo dây tiếp địa TBA</v>
      </c>
      <c r="F703" s="1075" t="str">
        <f>VLOOKUP($B703,dongia1,DG!$D$5,)</f>
        <v>mét</v>
      </c>
      <c r="G703" s="1074">
        <f>G697/0.224</f>
        <v>0</v>
      </c>
      <c r="H703" s="1062">
        <f>VLOOKUP($B703,dongia1,DG!$F$5,)</f>
        <v>0</v>
      </c>
      <c r="I703" s="1062"/>
      <c r="J703" s="1062">
        <f>VLOOKUP($B703,dongia1,DG!$G$5,)</f>
        <v>8070.7000000000007</v>
      </c>
      <c r="K703" s="1062">
        <f>VLOOKUP($B703,dongia1,DG!$H$5,)</f>
        <v>2044.9974999999999</v>
      </c>
      <c r="L703" s="1174">
        <f>H703*G703</f>
        <v>0</v>
      </c>
      <c r="M703" s="1174">
        <f>I703*G703</f>
        <v>0</v>
      </c>
      <c r="N703" s="1174">
        <f>J703*G703</f>
        <v>0</v>
      </c>
      <c r="O703" s="1083">
        <f>K703*G703</f>
        <v>0</v>
      </c>
      <c r="P703" s="1080"/>
    </row>
    <row r="704" spans="1:16" s="1081" customFormat="1" hidden="1" outlineLevel="1">
      <c r="A704" s="1154">
        <f>+A698</f>
        <v>0</v>
      </c>
      <c r="B704" s="1067" t="s">
        <v>985</v>
      </c>
      <c r="C704" s="1074"/>
      <c r="D704" s="1075" t="str">
        <f>VLOOKUP($B704,dongia1,DG!$B$5,)</f>
        <v>D2.8103</v>
      </c>
      <c r="E704" s="1076" t="str">
        <f>VLOOKUP($B704,dongia1,DG!$C$5,)</f>
        <v>Đóng cọc tiếp địa đất cấp 3 dài 2,5m</v>
      </c>
      <c r="F704" s="1075" t="str">
        <f>VLOOKUP($B704,dongia1,DG!$D$5,)</f>
        <v>cọc</v>
      </c>
      <c r="G704" s="1074">
        <f>G698</f>
        <v>0</v>
      </c>
      <c r="H704" s="1062">
        <f>VLOOKUP($B704,dongia1,DG!$F$5,)</f>
        <v>0</v>
      </c>
      <c r="I704" s="1083"/>
      <c r="J704" s="1062" t="str">
        <f>VLOOKUP($B704,dongia1,DG!$G$5,)&amp;" x1,7"</f>
        <v>90355,896 x1,7</v>
      </c>
      <c r="K704" s="1062">
        <f>VLOOKUP($B704,dongia1,DG!$H$5,)</f>
        <v>1573.075</v>
      </c>
      <c r="L704" s="1174">
        <f>H704*G704</f>
        <v>0</v>
      </c>
      <c r="M704" s="1174">
        <f>I704*G704</f>
        <v>0</v>
      </c>
      <c r="N704" s="1062">
        <f>VLOOKUP($B704,dongia1,DG!$G$5,)*G704*1.7</f>
        <v>0</v>
      </c>
      <c r="O704" s="1083">
        <f>K704*G704</f>
        <v>0</v>
      </c>
      <c r="P704" s="1080"/>
    </row>
    <row r="705" spans="1:16" s="1081" customFormat="1" hidden="1" outlineLevel="1">
      <c r="A705" s="1154">
        <f>IF(G705&lt;&gt;0,1,0)</f>
        <v>0</v>
      </c>
      <c r="B705" s="1086" t="s">
        <v>974</v>
      </c>
      <c r="C705" s="1074"/>
      <c r="D705" s="1075" t="str">
        <f>VLOOKUP($B705,dongia1,DG!$B$5,)</f>
        <v>AB.11513</v>
      </c>
      <c r="E705" s="1076" t="str">
        <f>VLOOKUP($B705,dongia1,DG!$C$5,)</f>
        <v>Đào rãnh tiếp địa đất cấp 3</v>
      </c>
      <c r="F705" s="1075" t="str">
        <f>VLOOKUP($B705,dongia1,DG!$D$5,)</f>
        <v>m3</v>
      </c>
      <c r="G705" s="1197">
        <f>G695*H4</f>
        <v>0</v>
      </c>
      <c r="H705" s="1062">
        <f>VLOOKUP($B705,dongia1,DG!$F$5,)</f>
        <v>0</v>
      </c>
      <c r="I705" s="1062"/>
      <c r="J705" s="1062">
        <f>VLOOKUP($B705,dongia1,DG!$G$5,)</f>
        <v>283749.75</v>
      </c>
      <c r="K705" s="1062">
        <f>VLOOKUP($B705,dongia1,DG!$H$5,)</f>
        <v>0</v>
      </c>
      <c r="L705" s="1174">
        <f>H705*G705</f>
        <v>0</v>
      </c>
      <c r="M705" s="1174">
        <f>I705*G705</f>
        <v>0</v>
      </c>
      <c r="N705" s="1174">
        <f>J705*G705</f>
        <v>0</v>
      </c>
      <c r="O705" s="1083">
        <f>K705*G705</f>
        <v>0</v>
      </c>
      <c r="P705" s="1080"/>
    </row>
    <row r="706" spans="1:16" s="1081" customFormat="1" hidden="1" outlineLevel="1">
      <c r="A706" s="1154">
        <f>IF(G706&lt;&gt;0,1,0)</f>
        <v>0</v>
      </c>
      <c r="B706" s="1067" t="s">
        <v>975</v>
      </c>
      <c r="C706" s="1074"/>
      <c r="D706" s="1075" t="str">
        <f>VLOOKUP($B706,dongia1,DG!$B$5,)</f>
        <v>AB.13111</v>
      </c>
      <c r="E706" s="1076" t="str">
        <f>VLOOKUP($B706,dongia1,DG!$C$5,)</f>
        <v>Đắp đất rãnh tiếp địa cấp 3 (độ chặt k = 0.85)</v>
      </c>
      <c r="F706" s="1075" t="str">
        <f>VLOOKUP($B706,dongia1,DG!$D$5,)</f>
        <v>m3</v>
      </c>
      <c r="G706" s="1197">
        <f>G705</f>
        <v>0</v>
      </c>
      <c r="H706" s="1062">
        <f>VLOOKUP($B706,dongia1,DG!$F$5,)</f>
        <v>0</v>
      </c>
      <c r="I706" s="1083"/>
      <c r="J706" s="1062">
        <f>VLOOKUP($B706,dongia1,DG!$G$5,)</f>
        <v>117703.6</v>
      </c>
      <c r="K706" s="1062">
        <f>VLOOKUP($B706,dongia1,DG!$H$5,)</f>
        <v>0</v>
      </c>
      <c r="L706" s="1174">
        <f>H706*G706</f>
        <v>0</v>
      </c>
      <c r="M706" s="1174">
        <f>I706*G706</f>
        <v>0</v>
      </c>
      <c r="N706" s="1174">
        <f>J706*G706</f>
        <v>0</v>
      </c>
      <c r="O706" s="1083">
        <f>K706*G706</f>
        <v>0</v>
      </c>
      <c r="P706" s="1080"/>
    </row>
    <row r="707" spans="1:16" s="1081" customFormat="1" hidden="1" outlineLevel="1">
      <c r="A707" s="1154">
        <f t="shared" si="134"/>
        <v>0</v>
      </c>
      <c r="B707" s="1073"/>
      <c r="C707" s="1064">
        <f>IF(G707&gt;0,C695+1,C695)</f>
        <v>0</v>
      </c>
      <c r="D707" s="1252"/>
      <c r="E707" s="1204" t="s">
        <v>3409</v>
      </c>
      <c r="F707" s="1064" t="s">
        <v>2113</v>
      </c>
      <c r="G707" s="1064">
        <f>G695</f>
        <v>0</v>
      </c>
      <c r="H707" s="1083"/>
      <c r="I707" s="1083"/>
      <c r="J707" s="1083"/>
      <c r="K707" s="1083"/>
      <c r="L707" s="1174">
        <f t="shared" si="136"/>
        <v>0</v>
      </c>
      <c r="M707" s="1174">
        <f t="shared" si="137"/>
        <v>0</v>
      </c>
      <c r="N707" s="1174">
        <f t="shared" si="138"/>
        <v>0</v>
      </c>
      <c r="O707" s="1083">
        <f t="shared" si="139"/>
        <v>0</v>
      </c>
      <c r="P707" s="1080"/>
    </row>
    <row r="708" spans="1:16" s="1081" customFormat="1" ht="14.4" hidden="1" outlineLevel="1">
      <c r="A708" s="1154">
        <f>A707</f>
        <v>0</v>
      </c>
      <c r="B708" s="1073"/>
      <c r="C708" s="1064"/>
      <c r="D708" s="1252"/>
      <c r="E708" s="1222" t="s">
        <v>3399</v>
      </c>
      <c r="F708" s="1074"/>
      <c r="G708" s="1074"/>
      <c r="H708" s="1083"/>
      <c r="I708" s="1083"/>
      <c r="J708" s="1083"/>
      <c r="K708" s="1083"/>
      <c r="L708" s="1174">
        <f t="shared" si="136"/>
        <v>0</v>
      </c>
      <c r="M708" s="1174">
        <f t="shared" si="137"/>
        <v>0</v>
      </c>
      <c r="N708" s="1174">
        <f t="shared" si="138"/>
        <v>0</v>
      </c>
      <c r="O708" s="1083">
        <f t="shared" si="139"/>
        <v>0</v>
      </c>
      <c r="P708" s="1080"/>
    </row>
    <row r="709" spans="1:16" s="1081" customFormat="1" hidden="1" outlineLevel="1">
      <c r="A709" s="1154">
        <f t="shared" si="134"/>
        <v>0</v>
      </c>
      <c r="B709" s="1067" t="s">
        <v>879</v>
      </c>
      <c r="C709" s="1074"/>
      <c r="D709" s="1075" t="str">
        <f>VLOOKUP($B709,dongia1,DG!$B$5,)</f>
        <v>T5.1001</v>
      </c>
      <c r="E709" s="1076" t="str">
        <f>VLOOKUP($B709,dongia1,DG!$C$5,)</f>
        <v>Tủ CB trạm 1 pha + khóa + boulon</v>
      </c>
      <c r="F709" s="1075" t="str">
        <f>VLOOKUP($B709,dongia1,DG!$D$5,)</f>
        <v>cái</v>
      </c>
      <c r="G709" s="1074">
        <f>G707</f>
        <v>0</v>
      </c>
      <c r="H709" s="1062">
        <f>VLOOKUP($B709,dongia1,DG!$F$5,)</f>
        <v>3793194</v>
      </c>
      <c r="I709" s="1062"/>
      <c r="J709" s="1062">
        <f>VLOOKUP($B709,dongia1,DG!$G$5,)</f>
        <v>599038</v>
      </c>
      <c r="K709" s="1062">
        <f>VLOOKUP($B709,dongia1,DG!$H$5,)</f>
        <v>97369</v>
      </c>
      <c r="L709" s="1174">
        <f t="shared" si="136"/>
        <v>0</v>
      </c>
      <c r="M709" s="1174">
        <f t="shared" si="137"/>
        <v>0</v>
      </c>
      <c r="N709" s="1174">
        <f t="shared" si="138"/>
        <v>0</v>
      </c>
      <c r="O709" s="1083">
        <f t="shared" si="139"/>
        <v>0</v>
      </c>
      <c r="P709" s="1080"/>
    </row>
    <row r="710" spans="1:16" s="1081" customFormat="1" hidden="1" outlineLevel="1">
      <c r="A710" s="1154">
        <f t="shared" si="134"/>
        <v>0</v>
      </c>
      <c r="B710" s="1073" t="s">
        <v>1559</v>
      </c>
      <c r="C710" s="1074"/>
      <c r="D710" s="1257"/>
      <c r="E710" s="1076" t="str">
        <f>VLOOKUP($B710,dongia1,DG!$C$5,)</f>
        <v>Cổ dê bắt tủ</v>
      </c>
      <c r="F710" s="1075" t="str">
        <f>VLOOKUP($B710,dongia1,DG!$D$5,)</f>
        <v>bộ</v>
      </c>
      <c r="G710" s="1074">
        <f>+G709*2</f>
        <v>0</v>
      </c>
      <c r="H710" s="1062">
        <f>VLOOKUP($B710,dongia1,DG!$F$5,)</f>
        <v>168000</v>
      </c>
      <c r="I710" s="1083"/>
      <c r="J710" s="1062">
        <f>VLOOKUP($B710,dongia1,DG!$G$5,)</f>
        <v>0</v>
      </c>
      <c r="K710" s="1062">
        <f>VLOOKUP($B710,dongia1,DG!$H$5,)</f>
        <v>0</v>
      </c>
      <c r="L710" s="1174">
        <f t="shared" si="136"/>
        <v>0</v>
      </c>
      <c r="M710" s="1174">
        <f t="shared" si="137"/>
        <v>0</v>
      </c>
      <c r="N710" s="1174">
        <f t="shared" si="138"/>
        <v>0</v>
      </c>
      <c r="O710" s="1083">
        <f t="shared" si="139"/>
        <v>0</v>
      </c>
      <c r="P710" s="1080"/>
    </row>
    <row r="711" spans="1:16" s="1081" customFormat="1" hidden="1" outlineLevel="1">
      <c r="A711" s="1154">
        <f t="shared" si="134"/>
        <v>0</v>
      </c>
      <c r="B711" s="1073" t="s">
        <v>1560</v>
      </c>
      <c r="C711" s="1074"/>
      <c r="D711" s="1257"/>
      <c r="E711" s="1076" t="str">
        <f>VLOOKUP($B711,dongia1,DG!$C$5,)</f>
        <v xml:space="preserve">Bakelit 500x300 dầy 10mm </v>
      </c>
      <c r="F711" s="1075" t="str">
        <f>VLOOKUP($B711,dongia1,DG!$D$5,)</f>
        <v>cái</v>
      </c>
      <c r="G711" s="1074">
        <f>+G709</f>
        <v>0</v>
      </c>
      <c r="H711" s="1062">
        <f>VLOOKUP($B711,dongia1,DG!$F$5,)</f>
        <v>284000</v>
      </c>
      <c r="I711" s="1083"/>
      <c r="J711" s="1062">
        <f>VLOOKUP($B711,dongia1,DG!$G$5,)</f>
        <v>5404</v>
      </c>
      <c r="K711" s="1062">
        <f>VLOOKUP($B711,dongia1,DG!$H$5,)</f>
        <v>0</v>
      </c>
      <c r="L711" s="1174">
        <f t="shared" si="136"/>
        <v>0</v>
      </c>
      <c r="M711" s="1174">
        <f t="shared" si="137"/>
        <v>0</v>
      </c>
      <c r="N711" s="1174">
        <f t="shared" si="138"/>
        <v>0</v>
      </c>
      <c r="O711" s="1083">
        <f t="shared" si="139"/>
        <v>0</v>
      </c>
      <c r="P711" s="1080"/>
    </row>
    <row r="712" spans="1:16" s="1081" customFormat="1" hidden="1" outlineLevel="1">
      <c r="A712" s="1154">
        <f t="shared" si="134"/>
        <v>0</v>
      </c>
      <c r="B712" s="1073"/>
      <c r="C712" s="1064">
        <f>IF(G712&gt;0,C707+1,C707)</f>
        <v>0</v>
      </c>
      <c r="D712" s="1252"/>
      <c r="E712" s="1224" t="s">
        <v>3412</v>
      </c>
      <c r="F712" s="1064" t="s">
        <v>2113</v>
      </c>
      <c r="G712" s="1064">
        <f>G670</f>
        <v>0</v>
      </c>
      <c r="H712" s="1083"/>
      <c r="I712" s="1083"/>
      <c r="J712" s="1083"/>
      <c r="K712" s="1083"/>
      <c r="L712" s="1174">
        <f t="shared" si="136"/>
        <v>0</v>
      </c>
      <c r="M712" s="1174">
        <f t="shared" si="137"/>
        <v>0</v>
      </c>
      <c r="N712" s="1174">
        <f t="shared" si="138"/>
        <v>0</v>
      </c>
      <c r="O712" s="1083">
        <f t="shared" si="139"/>
        <v>0</v>
      </c>
      <c r="P712" s="1080"/>
    </row>
    <row r="713" spans="1:16" s="1081" customFormat="1" ht="14.4" hidden="1" outlineLevel="1">
      <c r="A713" s="1154">
        <f>A712</f>
        <v>0</v>
      </c>
      <c r="B713" s="1073"/>
      <c r="C713" s="1064"/>
      <c r="D713" s="1252"/>
      <c r="E713" s="1222" t="s">
        <v>3399</v>
      </c>
      <c r="F713" s="1074"/>
      <c r="G713" s="1074"/>
      <c r="H713" s="1083"/>
      <c r="I713" s="1083"/>
      <c r="J713" s="1083"/>
      <c r="K713" s="1083"/>
      <c r="L713" s="1174">
        <f t="shared" si="136"/>
        <v>0</v>
      </c>
      <c r="M713" s="1174">
        <f t="shared" si="137"/>
        <v>0</v>
      </c>
      <c r="N713" s="1174">
        <f t="shared" si="138"/>
        <v>0</v>
      </c>
      <c r="O713" s="1083">
        <f t="shared" si="139"/>
        <v>0</v>
      </c>
      <c r="P713" s="1080"/>
    </row>
    <row r="714" spans="1:16" s="1081" customFormat="1" hidden="1" outlineLevel="1">
      <c r="A714" s="1154">
        <f t="shared" si="134"/>
        <v>0</v>
      </c>
      <c r="B714" s="1205" t="str">
        <f>Solieu!$J$56</f>
        <v>XLPE25</v>
      </c>
      <c r="C714" s="1074"/>
      <c r="D714" s="1075">
        <f>VLOOKUP($B714,dongia1,DG!$B$5,)</f>
        <v>0</v>
      </c>
      <c r="E714" s="1076" t="str">
        <f>VLOOKUP($B714,dongia1,DG!$C$5,)</f>
        <v>Cáp 24KV C/XLPE/PVC- 25mm2</v>
      </c>
      <c r="F714" s="1075" t="str">
        <f>VLOOKUP($B714,dongia1,DG!$D$5,)</f>
        <v>mét</v>
      </c>
      <c r="G714" s="1074">
        <f>9*G712</f>
        <v>0</v>
      </c>
      <c r="H714" s="1062">
        <f>VLOOKUP($B714,dongia1,DG!$F$5,)</f>
        <v>50996</v>
      </c>
      <c r="I714" s="1062"/>
      <c r="J714" s="1062">
        <f>VLOOKUP($B714,dongia1,DG!$G$5,)</f>
        <v>0</v>
      </c>
      <c r="K714" s="1062">
        <f>VLOOKUP($B714,dongia1,DG!$H$5,)</f>
        <v>0</v>
      </c>
      <c r="L714" s="1174">
        <f t="shared" si="136"/>
        <v>0</v>
      </c>
      <c r="M714" s="1174">
        <f t="shared" si="137"/>
        <v>0</v>
      </c>
      <c r="N714" s="1174">
        <f t="shared" si="138"/>
        <v>0</v>
      </c>
      <c r="O714" s="1083">
        <f t="shared" si="139"/>
        <v>0</v>
      </c>
      <c r="P714" s="1080"/>
    </row>
    <row r="715" spans="1:16" s="1081" customFormat="1" hidden="1" outlineLevel="1">
      <c r="A715" s="1154">
        <f>IF(G715&lt;&gt;0,1,0)</f>
        <v>0</v>
      </c>
      <c r="B715" s="1206" t="s">
        <v>75</v>
      </c>
      <c r="C715" s="1074"/>
      <c r="D715" s="1075">
        <f>VLOOKUP($B715,dongia1,DG!$B$5,)</f>
        <v>0</v>
      </c>
      <c r="E715" s="1076" t="str">
        <f>VLOOKUP($B715,dongia1,DG!$C$5,)</f>
        <v>Kẹp ép WR cỡ dây 50mm2</v>
      </c>
      <c r="F715" s="1075" t="str">
        <f>VLOOKUP($B715,dongia1,DG!$D$5,)</f>
        <v>cái</v>
      </c>
      <c r="G715" s="1074">
        <f>3*G711</f>
        <v>0</v>
      </c>
      <c r="H715" s="1062">
        <f>VLOOKUP($B715,dongia1,DG!$F$5,)</f>
        <v>8000</v>
      </c>
      <c r="I715" s="1062"/>
      <c r="J715" s="1062">
        <f>VLOOKUP($B715,dongia1,DG!$G$5,)</f>
        <v>0</v>
      </c>
      <c r="K715" s="1062">
        <f>VLOOKUP($B715,dongia1,DG!$H$5,)</f>
        <v>0</v>
      </c>
      <c r="L715" s="1174">
        <f>H715*G715</f>
        <v>0</v>
      </c>
      <c r="M715" s="1174">
        <f>I715*G715</f>
        <v>0</v>
      </c>
      <c r="N715" s="1174">
        <f>J715*G715</f>
        <v>0</v>
      </c>
      <c r="O715" s="1083">
        <f>K715*G715</f>
        <v>0</v>
      </c>
      <c r="P715" s="1080"/>
    </row>
    <row r="716" spans="1:16" s="1081" customFormat="1" hidden="1" outlineLevel="1">
      <c r="A716" s="1154">
        <f t="shared" si="134"/>
        <v>0</v>
      </c>
      <c r="B716" s="1206" t="s">
        <v>2028</v>
      </c>
      <c r="C716" s="1074"/>
      <c r="D716" s="1075">
        <f>VLOOKUP($B716,dongia1,DG!$B$5,)</f>
        <v>0</v>
      </c>
      <c r="E716" s="1076" t="str">
        <f>VLOOKUP($B716,dongia1,DG!$C$5,)</f>
        <v>Kẹp quai 2/0</v>
      </c>
      <c r="F716" s="1075" t="str">
        <f>VLOOKUP($B716,dongia1,DG!$D$5,)</f>
        <v>cái</v>
      </c>
      <c r="G716" s="1074">
        <f>3*G712*0</f>
        <v>0</v>
      </c>
      <c r="H716" s="1062">
        <f>VLOOKUP($B716,dongia1,DG!$F$5,)</f>
        <v>46000</v>
      </c>
      <c r="I716" s="1062"/>
      <c r="J716" s="1062">
        <f>VLOOKUP($B716,dongia1,DG!$G$5,)</f>
        <v>0</v>
      </c>
      <c r="K716" s="1062">
        <f>VLOOKUP($B716,dongia1,DG!$H$5,)</f>
        <v>0</v>
      </c>
      <c r="L716" s="1174">
        <f t="shared" si="136"/>
        <v>0</v>
      </c>
      <c r="M716" s="1174">
        <f t="shared" si="137"/>
        <v>0</v>
      </c>
      <c r="N716" s="1174">
        <f t="shared" si="138"/>
        <v>0</v>
      </c>
      <c r="O716" s="1083">
        <f t="shared" si="139"/>
        <v>0</v>
      </c>
      <c r="P716" s="1080"/>
    </row>
    <row r="717" spans="1:16" s="1081" customFormat="1" hidden="1" outlineLevel="1">
      <c r="A717" s="1154">
        <f t="shared" si="134"/>
        <v>0</v>
      </c>
      <c r="B717" s="1206" t="s">
        <v>2026</v>
      </c>
      <c r="C717" s="1074"/>
      <c r="D717" s="1075">
        <f>VLOOKUP($B717,dongia1,DG!$B$5,)</f>
        <v>0</v>
      </c>
      <c r="E717" s="1076" t="str">
        <f>VLOOKUP($B717,dongia1,DG!$C$5,)</f>
        <v>Kẹp hotline 2/0</v>
      </c>
      <c r="F717" s="1075" t="str">
        <f>VLOOKUP($B717,dongia1,DG!$D$5,)</f>
        <v>cái</v>
      </c>
      <c r="G717" s="1074">
        <f>3*G712*0</f>
        <v>0</v>
      </c>
      <c r="H717" s="1062">
        <f>VLOOKUP($B717,dongia1,DG!$F$5,)</f>
        <v>77000</v>
      </c>
      <c r="I717" s="1062"/>
      <c r="J717" s="1062">
        <f>VLOOKUP($B717,dongia1,DG!$G$5,)</f>
        <v>0</v>
      </c>
      <c r="K717" s="1062">
        <f>VLOOKUP($B717,dongia1,DG!$H$5,)</f>
        <v>0</v>
      </c>
      <c r="L717" s="1174">
        <f t="shared" si="136"/>
        <v>0</v>
      </c>
      <c r="M717" s="1174">
        <f t="shared" si="137"/>
        <v>0</v>
      </c>
      <c r="N717" s="1174">
        <f t="shared" si="138"/>
        <v>0</v>
      </c>
      <c r="O717" s="1083">
        <f t="shared" si="139"/>
        <v>0</v>
      </c>
      <c r="P717" s="1080"/>
    </row>
    <row r="718" spans="1:16" s="1081" customFormat="1" hidden="1" outlineLevel="1">
      <c r="A718" s="1154">
        <f>IF(G718&lt;&gt;0,1,0)</f>
        <v>0</v>
      </c>
      <c r="B718" s="1206" t="s">
        <v>2144</v>
      </c>
      <c r="C718" s="1074"/>
      <c r="D718" s="1075">
        <f>VLOOKUP($B718,dongia1,DG!$B$5,)</f>
        <v>0</v>
      </c>
      <c r="E718" s="1076" t="str">
        <f>VLOOKUP($B718,dongia1,DG!$C$5,)</f>
        <v>Nắp che đầu cực FCO</v>
      </c>
      <c r="F718" s="1198" t="str">
        <f>VLOOKUP($B718,dongia1,DG!$D$5,)</f>
        <v>cái</v>
      </c>
      <c r="G718" s="1074">
        <f>3*G712</f>
        <v>0</v>
      </c>
      <c r="H718" s="1062">
        <f>VLOOKUP($B718,dongia1,DG!$F$5,)</f>
        <v>218200</v>
      </c>
      <c r="I718" s="1062"/>
      <c r="J718" s="1062">
        <f>VLOOKUP($B718,dongia1,DG!$G$5,)</f>
        <v>0</v>
      </c>
      <c r="K718" s="1062">
        <f>VLOOKUP($B718,dongia1,DG!$H$5,)</f>
        <v>0</v>
      </c>
      <c r="L718" s="1174">
        <f>H718*G718</f>
        <v>0</v>
      </c>
      <c r="M718" s="1174">
        <f>I718*G718</f>
        <v>0</v>
      </c>
      <c r="N718" s="1174">
        <f>J718*G718</f>
        <v>0</v>
      </c>
      <c r="O718" s="1083">
        <f>K718*G718</f>
        <v>0</v>
      </c>
      <c r="P718" s="1080"/>
    </row>
    <row r="719" spans="1:16" s="1081" customFormat="1" hidden="1" outlineLevel="1">
      <c r="A719" s="1154">
        <f>IF(G719&lt;&gt;0,1,0)</f>
        <v>0</v>
      </c>
      <c r="B719" s="1206" t="s">
        <v>2121</v>
      </c>
      <c r="C719" s="1074"/>
      <c r="D719" s="1075">
        <f>VLOOKUP($B719,dongia1,DG!$B$5,)</f>
        <v>0</v>
      </c>
      <c r="E719" s="1076" t="str">
        <f>VLOOKUP($B719,dongia1,DG!$C$5,)</f>
        <v>Nắp che đầu cực LA</v>
      </c>
      <c r="F719" s="1198" t="str">
        <f>VLOOKUP($B719,dongia1,DG!$D$5,)</f>
        <v>cái</v>
      </c>
      <c r="G719" s="1074">
        <f>3*G712</f>
        <v>0</v>
      </c>
      <c r="H719" s="1062">
        <f>VLOOKUP($B719,dongia1,DG!$F$5,)</f>
        <v>39100</v>
      </c>
      <c r="I719" s="1062"/>
      <c r="J719" s="1062">
        <f>VLOOKUP($B719,dongia1,DG!$G$5,)</f>
        <v>0</v>
      </c>
      <c r="K719" s="1062">
        <f>VLOOKUP($B719,dongia1,DG!$H$5,)</f>
        <v>0</v>
      </c>
      <c r="L719" s="1174">
        <f>H719*G719</f>
        <v>0</v>
      </c>
      <c r="M719" s="1174">
        <f>I719*G719</f>
        <v>0</v>
      </c>
      <c r="N719" s="1174">
        <f>J719*G719</f>
        <v>0</v>
      </c>
      <c r="O719" s="1083">
        <f>K719*G719</f>
        <v>0</v>
      </c>
      <c r="P719" s="1080"/>
    </row>
    <row r="720" spans="1:16" s="1081" customFormat="1" hidden="1" outlineLevel="1">
      <c r="A720" s="1154">
        <f>IF(G720&lt;&gt;0,1,0)</f>
        <v>0</v>
      </c>
      <c r="B720" s="1206" t="s">
        <v>2123</v>
      </c>
      <c r="C720" s="1074"/>
      <c r="D720" s="1075">
        <f>VLOOKUP($B720,dongia1,DG!$B$5,)</f>
        <v>0</v>
      </c>
      <c r="E720" s="1076" t="str">
        <f>VLOOKUP($B720,dongia1,DG!$C$5,)</f>
        <v>Nắp che đầu sứ MBA</v>
      </c>
      <c r="F720" s="1198" t="str">
        <f>VLOOKUP($B720,dongia1,DG!$D$5,)</f>
        <v>cái</v>
      </c>
      <c r="G720" s="1074">
        <f>3*G712</f>
        <v>0</v>
      </c>
      <c r="H720" s="1062">
        <f>VLOOKUP($B720,dongia1,DG!$F$5,)</f>
        <v>56700</v>
      </c>
      <c r="I720" s="1062"/>
      <c r="J720" s="1062">
        <f>VLOOKUP($B720,dongia1,DG!$G$5,)</f>
        <v>0</v>
      </c>
      <c r="K720" s="1062">
        <f>VLOOKUP($B720,dongia1,DG!$H$5,)</f>
        <v>0</v>
      </c>
      <c r="L720" s="1174">
        <f>H720*G720</f>
        <v>0</v>
      </c>
      <c r="M720" s="1174">
        <f>I720*G720</f>
        <v>0</v>
      </c>
      <c r="N720" s="1174">
        <f>J720*G720</f>
        <v>0</v>
      </c>
      <c r="O720" s="1083">
        <f>K720*G720</f>
        <v>0</v>
      </c>
      <c r="P720" s="1080"/>
    </row>
    <row r="721" spans="1:16" s="1081" customFormat="1" hidden="1" outlineLevel="1">
      <c r="A721" s="1154">
        <f>IF(G721&lt;&gt;0,1,0)</f>
        <v>0</v>
      </c>
      <c r="B721" s="1206" t="s">
        <v>224</v>
      </c>
      <c r="C721" s="1074"/>
      <c r="D721" s="1075" t="str">
        <f>VLOOKUP($B721,dongia1,DG!$B$5,)</f>
        <v>T4.4201</v>
      </c>
      <c r="E721" s="1076" t="str">
        <f>VLOOKUP($B721,dongia1,DG!$C$5,)</f>
        <v>Lắp cáp đồng xuống thiết bị D ≤ 95mm2</v>
      </c>
      <c r="F721" s="1075" t="str">
        <f>VLOOKUP($B721,dongia1,DG!$D$5,)</f>
        <v>m</v>
      </c>
      <c r="G721" s="1074">
        <f>G714</f>
        <v>0</v>
      </c>
      <c r="H721" s="1062">
        <f>VLOOKUP($B721,dongia1,DG!$F$5,)</f>
        <v>0</v>
      </c>
      <c r="I721" s="1062"/>
      <c r="J721" s="1062">
        <f>VLOOKUP($B721,dongia1,DG!$G$5,)</f>
        <v>13915</v>
      </c>
      <c r="K721" s="1062">
        <f>VLOOKUP($B721,dongia1,DG!$H$5,)</f>
        <v>0</v>
      </c>
      <c r="L721" s="1174">
        <f>H721*G721</f>
        <v>0</v>
      </c>
      <c r="M721" s="1174">
        <f>I721*G721</f>
        <v>0</v>
      </c>
      <c r="N721" s="1174">
        <f>J721*G721</f>
        <v>0</v>
      </c>
      <c r="O721" s="1083">
        <f>K721*G721</f>
        <v>0</v>
      </c>
      <c r="P721" s="1080"/>
    </row>
    <row r="722" spans="1:16" s="1081" customFormat="1" hidden="1" outlineLevel="1">
      <c r="A722" s="1154">
        <f t="shared" si="134"/>
        <v>0</v>
      </c>
      <c r="B722" s="1073"/>
      <c r="C722" s="1064">
        <f>IF(G722&gt;0,C712+1,C712)</f>
        <v>0</v>
      </c>
      <c r="D722" s="1252"/>
      <c r="E722" s="1224" t="s">
        <v>3418</v>
      </c>
      <c r="F722" s="1064" t="s">
        <v>2113</v>
      </c>
      <c r="G722" s="1064">
        <f>+G670</f>
        <v>0</v>
      </c>
      <c r="H722" s="1083"/>
      <c r="I722" s="1083"/>
      <c r="J722" s="1083"/>
      <c r="K722" s="1083"/>
      <c r="L722" s="1174">
        <f t="shared" si="136"/>
        <v>0</v>
      </c>
      <c r="M722" s="1174">
        <f t="shared" si="137"/>
        <v>0</v>
      </c>
      <c r="N722" s="1174">
        <f t="shared" si="138"/>
        <v>0</v>
      </c>
      <c r="O722" s="1083">
        <f t="shared" si="139"/>
        <v>0</v>
      </c>
      <c r="P722" s="1080"/>
    </row>
    <row r="723" spans="1:16" s="1081" customFormat="1" ht="14.4" hidden="1" outlineLevel="1">
      <c r="A723" s="1154">
        <f>A722</f>
        <v>0</v>
      </c>
      <c r="B723" s="1073"/>
      <c r="C723" s="1064"/>
      <c r="D723" s="1252"/>
      <c r="E723" s="1222" t="s">
        <v>3399</v>
      </c>
      <c r="F723" s="1064"/>
      <c r="G723" s="1064"/>
      <c r="H723" s="1083"/>
      <c r="I723" s="1083"/>
      <c r="J723" s="1083"/>
      <c r="K723" s="1083"/>
      <c r="L723" s="1174">
        <f t="shared" si="136"/>
        <v>0</v>
      </c>
      <c r="M723" s="1174">
        <f t="shared" si="137"/>
        <v>0</v>
      </c>
      <c r="N723" s="1174">
        <f t="shared" si="138"/>
        <v>0</v>
      </c>
      <c r="O723" s="1083">
        <f t="shared" si="139"/>
        <v>0</v>
      </c>
      <c r="P723" s="1080"/>
    </row>
    <row r="724" spans="1:16" s="1081" customFormat="1" hidden="1" outlineLevel="1">
      <c r="A724" s="1154">
        <f t="shared" si="134"/>
        <v>0</v>
      </c>
      <c r="B724" s="1073" t="s">
        <v>1604</v>
      </c>
      <c r="C724" s="1074"/>
      <c r="D724" s="1075">
        <f>VLOOKUP($B724,dongia1,DG!$B$5,)</f>
        <v>0</v>
      </c>
      <c r="E724" s="1076" t="str">
        <f>VLOOKUP($B724,dongia1,DG!$C$5,)</f>
        <v>Cáp đồng bọc CV50</v>
      </c>
      <c r="F724" s="1075" t="str">
        <f>VLOOKUP($B724,dongia1,DG!$D$5,)</f>
        <v>mét</v>
      </c>
      <c r="G724" s="1074">
        <f>7*4*G722</f>
        <v>0</v>
      </c>
      <c r="H724" s="1062">
        <f>VLOOKUP($B724,dongia1,DG!$F$5,)</f>
        <v>91800</v>
      </c>
      <c r="I724" s="1062"/>
      <c r="J724" s="1062">
        <f>VLOOKUP($B724,dongia1,DG!$G$5,)</f>
        <v>0</v>
      </c>
      <c r="K724" s="1062">
        <f>VLOOKUP($B724,dongia1,DG!$H$5,)</f>
        <v>0</v>
      </c>
      <c r="L724" s="1174">
        <f t="shared" si="136"/>
        <v>0</v>
      </c>
      <c r="M724" s="1174">
        <f t="shared" si="137"/>
        <v>0</v>
      </c>
      <c r="N724" s="1174">
        <f t="shared" si="138"/>
        <v>0</v>
      </c>
      <c r="O724" s="1083">
        <f t="shared" si="139"/>
        <v>0</v>
      </c>
      <c r="P724" s="1080"/>
    </row>
    <row r="725" spans="1:16" s="1081" customFormat="1" hidden="1" outlineLevel="1">
      <c r="A725" s="1154">
        <f t="shared" si="134"/>
        <v>0</v>
      </c>
      <c r="B725" s="1073" t="s">
        <v>865</v>
      </c>
      <c r="C725" s="1074"/>
      <c r="D725" s="1075" t="str">
        <f>VLOOKUP($B725,dongia1,DG!$B$5,)</f>
        <v>03.1401</v>
      </c>
      <c r="E725" s="1076" t="str">
        <f>VLOOKUP($B725,dongia1,DG!$C$5,)</f>
        <v xml:space="preserve">Cáp CVV 4x2,5mm2  </v>
      </c>
      <c r="F725" s="1075" t="str">
        <f>VLOOKUP($B725,dongia1,DG!$D$5,)</f>
        <v>mét</v>
      </c>
      <c r="G725" s="1074">
        <f>4*G722</f>
        <v>0</v>
      </c>
      <c r="H725" s="1062">
        <f>VLOOKUP($B725,dongia1,DG!$F$5,)</f>
        <v>28200</v>
      </c>
      <c r="I725" s="1062"/>
      <c r="J725" s="1062">
        <f>VLOOKUP($B725,dongia1,DG!$G$5,)</f>
        <v>0</v>
      </c>
      <c r="K725" s="1062">
        <f>VLOOKUP($B725,dongia1,DG!$H$5,)</f>
        <v>0</v>
      </c>
      <c r="L725" s="1174">
        <f t="shared" si="136"/>
        <v>0</v>
      </c>
      <c r="M725" s="1174">
        <f t="shared" si="137"/>
        <v>0</v>
      </c>
      <c r="N725" s="1174">
        <f t="shared" si="138"/>
        <v>0</v>
      </c>
      <c r="O725" s="1083">
        <f t="shared" si="139"/>
        <v>0</v>
      </c>
      <c r="P725" s="1080"/>
    </row>
    <row r="726" spans="1:16" s="1081" customFormat="1" hidden="1" outlineLevel="1">
      <c r="A726" s="1154">
        <f t="shared" si="134"/>
        <v>0</v>
      </c>
      <c r="B726" s="1073" t="s">
        <v>2059</v>
      </c>
      <c r="C726" s="1074"/>
      <c r="D726" s="1075" t="str">
        <f>VLOOKUP($B726,dongia1,DG!$B$5,)</f>
        <v>D4.5002</v>
      </c>
      <c r="E726" s="1076" t="str">
        <f>VLOOKUP($B726,dongia1,DG!$C$5,)</f>
        <v>Đầu cosse ép Cu 50mm2</v>
      </c>
      <c r="F726" s="1075" t="str">
        <f>VLOOKUP($B726,dongia1,DG!$D$5,)</f>
        <v>cái</v>
      </c>
      <c r="G726" s="1258">
        <f>6*G722</f>
        <v>0</v>
      </c>
      <c r="H726" s="1062">
        <f>VLOOKUP($B726,dongia1,DG!$F$5,)</f>
        <v>9100</v>
      </c>
      <c r="I726" s="1062"/>
      <c r="J726" s="1062">
        <f>VLOOKUP($B726,dongia1,DG!$G$5,)</f>
        <v>10608.955000000002</v>
      </c>
      <c r="K726" s="1062">
        <f>VLOOKUP($B726,dongia1,DG!$H$5,)</f>
        <v>2777.0232475000003</v>
      </c>
      <c r="L726" s="1078">
        <f t="shared" si="136"/>
        <v>0</v>
      </c>
      <c r="M726" s="1078">
        <f t="shared" si="137"/>
        <v>0</v>
      </c>
      <c r="N726" s="1078">
        <f t="shared" si="138"/>
        <v>0</v>
      </c>
      <c r="O726" s="1079">
        <f t="shared" si="139"/>
        <v>0</v>
      </c>
      <c r="P726" s="1080"/>
    </row>
    <row r="727" spans="1:16" s="1081" customFormat="1" hidden="1" outlineLevel="1">
      <c r="A727" s="1154">
        <f t="shared" si="134"/>
        <v>0</v>
      </c>
      <c r="B727" s="1073" t="s">
        <v>1204</v>
      </c>
      <c r="C727" s="1074"/>
      <c r="D727" s="1075">
        <f>VLOOKUP($B727,dongia1,DG!$B$5,)</f>
        <v>0</v>
      </c>
      <c r="E727" s="1076" t="str">
        <f>VLOOKUP($B727,dongia1,DG!$C$5,)</f>
        <v>Chụp đầu cosse  50mm2</v>
      </c>
      <c r="F727" s="1075" t="str">
        <f>VLOOKUP($B727,dongia1,DG!$D$5,)</f>
        <v>cái</v>
      </c>
      <c r="G727" s="1074">
        <f>G726</f>
        <v>0</v>
      </c>
      <c r="H727" s="1062">
        <f>VLOOKUP($B727,dongia1,DG!$F$5,)</f>
        <v>1000</v>
      </c>
      <c r="I727" s="1062"/>
      <c r="J727" s="1062">
        <f>VLOOKUP($B727,dongia1,DG!$G$5,)</f>
        <v>0</v>
      </c>
      <c r="K727" s="1062">
        <f>VLOOKUP($B727,dongia1,DG!$H$5,)</f>
        <v>0</v>
      </c>
      <c r="L727" s="1174">
        <f t="shared" si="136"/>
        <v>0</v>
      </c>
      <c r="M727" s="1174">
        <f t="shared" si="137"/>
        <v>0</v>
      </c>
      <c r="N727" s="1174">
        <f t="shared" si="138"/>
        <v>0</v>
      </c>
      <c r="O727" s="1083">
        <f t="shared" si="139"/>
        <v>0</v>
      </c>
      <c r="P727" s="1080"/>
    </row>
    <row r="728" spans="1:16" s="1081" customFormat="1" hidden="1" outlineLevel="1">
      <c r="A728" s="1154">
        <f t="shared" si="134"/>
        <v>0</v>
      </c>
      <c r="B728" s="1073" t="s">
        <v>595</v>
      </c>
      <c r="C728" s="1074"/>
      <c r="D728" s="1075">
        <f>VLOOKUP($B728,dongia1,DG!$B$5,)</f>
        <v>0</v>
      </c>
      <c r="E728" s="1076" t="str">
        <f>VLOOKUP($B728,dongia1,DG!$C$5,)</f>
        <v xml:space="preserve">Ống PVC D90x3,8mm </v>
      </c>
      <c r="F728" s="1075" t="str">
        <f>VLOOKUP($B728,dongia1,DG!$D$5,)</f>
        <v>m</v>
      </c>
      <c r="G728" s="1074">
        <f>6*G722</f>
        <v>0</v>
      </c>
      <c r="H728" s="1062">
        <f>VLOOKUP($B728,dongia1,DG!$F$5,)</f>
        <v>63200</v>
      </c>
      <c r="I728" s="1083"/>
      <c r="J728" s="1062">
        <f>VLOOKUP($B728,dongia1,DG!$G$5,)</f>
        <v>0</v>
      </c>
      <c r="K728" s="1062">
        <f>VLOOKUP($B728,dongia1,DG!$H$5,)</f>
        <v>0</v>
      </c>
      <c r="L728" s="1174">
        <f t="shared" si="136"/>
        <v>0</v>
      </c>
      <c r="M728" s="1174">
        <f t="shared" si="137"/>
        <v>0</v>
      </c>
      <c r="N728" s="1174">
        <f t="shared" si="138"/>
        <v>0</v>
      </c>
      <c r="O728" s="1083">
        <f t="shared" si="139"/>
        <v>0</v>
      </c>
      <c r="P728" s="1080"/>
    </row>
    <row r="729" spans="1:16" s="1081" customFormat="1" hidden="1" outlineLevel="1">
      <c r="A729" s="1154">
        <f t="shared" si="134"/>
        <v>0</v>
      </c>
      <c r="B729" s="1067" t="s">
        <v>2089</v>
      </c>
      <c r="C729" s="1074"/>
      <c r="D729" s="1075">
        <f>VLOOKUP($B729,dongia1,DG!$B$5,)</f>
        <v>0</v>
      </c>
      <c r="E729" s="1076" t="str">
        <f>VLOOKUP($B729,dongia1,DG!$C$5,)</f>
        <v>Cổ dê kẹp ống PVC Þ 90</v>
      </c>
      <c r="F729" s="1075" t="str">
        <f>VLOOKUP($B729,dongia1,DG!$D$5,)</f>
        <v>bộ</v>
      </c>
      <c r="G729" s="1074">
        <f>+G722*3</f>
        <v>0</v>
      </c>
      <c r="H729" s="1062">
        <f>VLOOKUP($B729,dongia1,DG!$F$5,)</f>
        <v>49000</v>
      </c>
      <c r="I729" s="1083"/>
      <c r="J729" s="1062">
        <f>VLOOKUP($B729,dongia1,DG!$G$5,)</f>
        <v>0</v>
      </c>
      <c r="K729" s="1062">
        <f>VLOOKUP($B729,dongia1,DG!$H$5,)</f>
        <v>0</v>
      </c>
      <c r="L729" s="1174">
        <f t="shared" si="136"/>
        <v>0</v>
      </c>
      <c r="M729" s="1174">
        <f t="shared" si="137"/>
        <v>0</v>
      </c>
      <c r="N729" s="1174">
        <f>J729*A729</f>
        <v>0</v>
      </c>
      <c r="O729" s="1083">
        <f t="shared" si="139"/>
        <v>0</v>
      </c>
      <c r="P729" s="1080"/>
    </row>
    <row r="730" spans="1:16" s="1081" customFormat="1" hidden="1" outlineLevel="1">
      <c r="A730" s="1154">
        <f t="shared" si="134"/>
        <v>0</v>
      </c>
      <c r="B730" s="1073" t="s">
        <v>111</v>
      </c>
      <c r="C730" s="1074"/>
      <c r="D730" s="1075">
        <f>VLOOKUP($B730,dongia1,DG!$B$5,)</f>
        <v>0</v>
      </c>
      <c r="E730" s="1076" t="str">
        <f>VLOOKUP($B730,dongia1,DG!$C$5,)</f>
        <v>Co  90 độ PVC 90 (loại dày)</v>
      </c>
      <c r="F730" s="1075" t="str">
        <f>VLOOKUP($B730,dongia1,DG!$D$5,)</f>
        <v>cái</v>
      </c>
      <c r="G730" s="1074">
        <f>2*G722</f>
        <v>0</v>
      </c>
      <c r="H730" s="1062">
        <f>VLOOKUP($B730,dongia1,DG!$F$5,)</f>
        <v>45400</v>
      </c>
      <c r="I730" s="1083"/>
      <c r="J730" s="1062">
        <f>VLOOKUP($B730,dongia1,DG!$G$5,)</f>
        <v>0</v>
      </c>
      <c r="K730" s="1062">
        <f>VLOOKUP($B730,dongia1,DG!$H$5,)</f>
        <v>0</v>
      </c>
      <c r="L730" s="1174">
        <f t="shared" si="136"/>
        <v>0</v>
      </c>
      <c r="M730" s="1174">
        <f t="shared" si="137"/>
        <v>0</v>
      </c>
      <c r="N730" s="1174">
        <f t="shared" si="138"/>
        <v>0</v>
      </c>
      <c r="O730" s="1083">
        <f t="shared" si="139"/>
        <v>0</v>
      </c>
      <c r="P730" s="1080"/>
    </row>
    <row r="731" spans="1:16" s="1081" customFormat="1" hidden="1" outlineLevel="1">
      <c r="A731" s="1154">
        <f t="shared" si="134"/>
        <v>0</v>
      </c>
      <c r="B731" s="1073" t="s">
        <v>1259</v>
      </c>
      <c r="C731" s="1074"/>
      <c r="D731" s="1075">
        <f>VLOOKUP($B731,dongia1,DG!$B$5,)</f>
        <v>0</v>
      </c>
      <c r="E731" s="1076" t="str">
        <f>VLOOKUP($B731,dongia1,DG!$C$5,)</f>
        <v>Khâu ven răng trong D90</v>
      </c>
      <c r="F731" s="1075" t="str">
        <f>VLOOKUP($B731,dongia1,DG!$D$5,)</f>
        <v>cái</v>
      </c>
      <c r="G731" s="1258">
        <f>+G722</f>
        <v>0</v>
      </c>
      <c r="H731" s="1062">
        <f>VLOOKUP($B731,dongia1,DG!$F$5,)</f>
        <v>25800</v>
      </c>
      <c r="I731" s="1083"/>
      <c r="J731" s="1062">
        <f>VLOOKUP($B731,dongia1,DG!$G$5,)</f>
        <v>0</v>
      </c>
      <c r="K731" s="1062">
        <f>VLOOKUP($B731,dongia1,DG!$H$5,)</f>
        <v>0</v>
      </c>
      <c r="L731" s="1078">
        <f>H731*G731</f>
        <v>0</v>
      </c>
      <c r="M731" s="1078">
        <f>I731*G731</f>
        <v>0</v>
      </c>
      <c r="N731" s="1078">
        <f>J731*G731</f>
        <v>0</v>
      </c>
      <c r="O731" s="1079">
        <f>K731*G731</f>
        <v>0</v>
      </c>
      <c r="P731" s="1080"/>
    </row>
    <row r="732" spans="1:16" s="1081" customFormat="1" hidden="1" outlineLevel="1">
      <c r="A732" s="1154">
        <f>IF(G732&lt;&gt;0,1,0)</f>
        <v>0</v>
      </c>
      <c r="B732" s="1073" t="s">
        <v>1260</v>
      </c>
      <c r="C732" s="1074"/>
      <c r="D732" s="1075">
        <f>VLOOKUP($B732,dongia1,DG!$B$5,)</f>
        <v>0</v>
      </c>
      <c r="E732" s="1076" t="str">
        <f>VLOOKUP($B732,dongia1,DG!$C$5,)</f>
        <v>Khâu ven răng ngoài D90</v>
      </c>
      <c r="F732" s="1075" t="str">
        <f>VLOOKUP($B732,dongia1,DG!$D$5,)</f>
        <v>cái</v>
      </c>
      <c r="G732" s="1258">
        <f>+G731</f>
        <v>0</v>
      </c>
      <c r="H732" s="1062">
        <f>VLOOKUP($B732,dongia1,DG!$F$5,)</f>
        <v>21500</v>
      </c>
      <c r="I732" s="1083"/>
      <c r="J732" s="1062">
        <f>VLOOKUP($B732,dongia1,DG!$G$5,)</f>
        <v>0</v>
      </c>
      <c r="K732" s="1062">
        <f>VLOOKUP($B732,dongia1,DG!$H$5,)</f>
        <v>0</v>
      </c>
      <c r="L732" s="1078">
        <f>H732*G732</f>
        <v>0</v>
      </c>
      <c r="M732" s="1078">
        <f>I732*G732</f>
        <v>0</v>
      </c>
      <c r="N732" s="1078">
        <f>J732*G732</f>
        <v>0</v>
      </c>
      <c r="O732" s="1079">
        <f>K732*G732</f>
        <v>0</v>
      </c>
      <c r="P732" s="1080"/>
    </row>
    <row r="733" spans="1:16" s="1081" customFormat="1" hidden="1" outlineLevel="1">
      <c r="A733" s="1154">
        <f>IF(G733&lt;&gt;0,1,0)</f>
        <v>0</v>
      </c>
      <c r="B733" s="1073" t="s">
        <v>1188</v>
      </c>
      <c r="C733" s="1074"/>
      <c r="D733" s="1075">
        <f>VLOOKUP($B733,dongia1,DG!$B$5,)</f>
        <v>0</v>
      </c>
      <c r="E733" s="1076" t="str">
        <f>VLOOKUP($B733,dongia1,DG!$C$5,)</f>
        <v>Keo dán ống PVC (100gr)</v>
      </c>
      <c r="F733" s="1075" t="str">
        <f>VLOOKUP($B733,dongia1,DG!$D$5,)</f>
        <v>tuýp</v>
      </c>
      <c r="G733" s="1074">
        <f>G722</f>
        <v>0</v>
      </c>
      <c r="H733" s="1062">
        <f>VLOOKUP($B733,dongia1,DG!$F$5,)</f>
        <v>11500</v>
      </c>
      <c r="I733" s="1083"/>
      <c r="J733" s="1062">
        <f>VLOOKUP($B733,dongia1,DG!$G$5,)</f>
        <v>0</v>
      </c>
      <c r="K733" s="1062">
        <f>VLOOKUP($B733,dongia1,DG!$H$5,)</f>
        <v>0</v>
      </c>
      <c r="L733" s="1174">
        <f t="shared" si="136"/>
        <v>0</v>
      </c>
      <c r="M733" s="1174">
        <f t="shared" si="137"/>
        <v>0</v>
      </c>
      <c r="N733" s="1174">
        <f t="shared" si="138"/>
        <v>0</v>
      </c>
      <c r="O733" s="1083">
        <f t="shared" si="139"/>
        <v>0</v>
      </c>
      <c r="P733" s="1080"/>
    </row>
    <row r="734" spans="1:16" s="1081" customFormat="1" hidden="1" outlineLevel="1">
      <c r="A734" s="1154">
        <f>IF(G734&lt;&gt;0,1,0)</f>
        <v>0</v>
      </c>
      <c r="B734" s="1073" t="s">
        <v>1205</v>
      </c>
      <c r="C734" s="1074"/>
      <c r="D734" s="1075">
        <f>VLOOKUP($B734,dongia1,DG!$B$5,)</f>
        <v>0</v>
      </c>
      <c r="E734" s="1076" t="str">
        <f>VLOOKUP($B734,dongia1,DG!$C$5,)</f>
        <v>Keo silicon bít miệng ống</v>
      </c>
      <c r="F734" s="1075" t="str">
        <f>VLOOKUP($B734,dongia1,DG!$D$5,)</f>
        <v>chai</v>
      </c>
      <c r="G734" s="1074">
        <f>G722</f>
        <v>0</v>
      </c>
      <c r="H734" s="1062">
        <f>VLOOKUP($B734,dongia1,DG!$F$5,)</f>
        <v>45000</v>
      </c>
      <c r="I734" s="1083"/>
      <c r="J734" s="1062">
        <f>VLOOKUP($B734,dongia1,DG!$G$5,)</f>
        <v>0</v>
      </c>
      <c r="K734" s="1062">
        <f>VLOOKUP($B734,dongia1,DG!$H$5,)</f>
        <v>0</v>
      </c>
      <c r="L734" s="1174">
        <f>H734*G734</f>
        <v>0</v>
      </c>
      <c r="M734" s="1174">
        <f>I734*G734</f>
        <v>0</v>
      </c>
      <c r="N734" s="1174">
        <f>J734*G734</f>
        <v>0</v>
      </c>
      <c r="O734" s="1083">
        <f>K734*G734</f>
        <v>0</v>
      </c>
      <c r="P734" s="1080"/>
    </row>
    <row r="735" spans="1:16" s="1081" customFormat="1" hidden="1" outlineLevel="1">
      <c r="A735" s="1154">
        <f>IF(G735&lt;&gt;0,1,0)</f>
        <v>0</v>
      </c>
      <c r="B735" s="1067" t="s">
        <v>236</v>
      </c>
      <c r="C735" s="1074"/>
      <c r="D735" s="1075">
        <f>VLOOKUP($B735,dongia1,DG!$B$5,)</f>
        <v>0</v>
      </c>
      <c r="E735" s="1076" t="str">
        <f>VLOOKUP($B735,dongia1,DG!$C$5,)</f>
        <v>Băng keo cách điện hạ thế</v>
      </c>
      <c r="F735" s="1075" t="str">
        <f>VLOOKUP($B735,dongia1,DG!$D$5,)</f>
        <v>cuộn</v>
      </c>
      <c r="G735" s="1074">
        <f>G722*2</f>
        <v>0</v>
      </c>
      <c r="H735" s="1062">
        <f>VLOOKUP($B735,dongia1,DG!$F$5,)</f>
        <v>6500</v>
      </c>
      <c r="I735" s="1083"/>
      <c r="J735" s="1062">
        <f>VLOOKUP($B735,dongia1,DG!$G$5,)</f>
        <v>0</v>
      </c>
      <c r="K735" s="1062">
        <f>VLOOKUP($B735,dongia1,DG!$H$5,)</f>
        <v>0</v>
      </c>
      <c r="L735" s="1174">
        <f t="shared" si="136"/>
        <v>0</v>
      </c>
      <c r="M735" s="1174">
        <f t="shared" si="137"/>
        <v>0</v>
      </c>
      <c r="N735" s="1174">
        <f t="shared" si="138"/>
        <v>0</v>
      </c>
      <c r="O735" s="1083">
        <f t="shared" si="139"/>
        <v>0</v>
      </c>
      <c r="P735" s="1080"/>
    </row>
    <row r="736" spans="1:16" s="1081" customFormat="1" hidden="1" outlineLevel="1">
      <c r="A736" s="1154">
        <f>A735</f>
        <v>0</v>
      </c>
      <c r="B736" s="1086" t="s">
        <v>1194</v>
      </c>
      <c r="C736" s="1074"/>
      <c r="D736" s="1075" t="str">
        <f>VLOOKUP($B736,dongia1,DG!$B$5,)</f>
        <v>D4.1409</v>
      </c>
      <c r="E736" s="1076" t="str">
        <f>VLOOKUP($B736,dongia1,DG!$C$5,)</f>
        <v>Lắp ống nhựa PVC D90</v>
      </c>
      <c r="F736" s="1075" t="str">
        <f>VLOOKUP($B736,dongia1,DG!$D$5,)</f>
        <v>mét</v>
      </c>
      <c r="G736" s="1074">
        <f>G728</f>
        <v>0</v>
      </c>
      <c r="H736" s="1062"/>
      <c r="I736" s="1083"/>
      <c r="J736" s="1062">
        <f>VLOOKUP($B736,dongia1,DG!$G$5,)</f>
        <v>55493.02</v>
      </c>
      <c r="K736" s="1062">
        <f>VLOOKUP($B736,dongia1,DG!$H$5,)</f>
        <v>0</v>
      </c>
      <c r="L736" s="1174">
        <f t="shared" si="136"/>
        <v>0</v>
      </c>
      <c r="M736" s="1174">
        <f t="shared" si="137"/>
        <v>0</v>
      </c>
      <c r="N736" s="1174">
        <f t="shared" si="138"/>
        <v>0</v>
      </c>
      <c r="O736" s="1083">
        <f t="shared" si="139"/>
        <v>0</v>
      </c>
      <c r="P736" s="1080"/>
    </row>
    <row r="737" spans="1:16" s="1081" customFormat="1" hidden="1" outlineLevel="1">
      <c r="A737" s="1154">
        <f>A735</f>
        <v>0</v>
      </c>
      <c r="B737" s="1067" t="s">
        <v>224</v>
      </c>
      <c r="C737" s="1074"/>
      <c r="D737" s="1075" t="str">
        <f>VLOOKUP($B737,dongia1,DG!$B$5,)</f>
        <v>T4.4201</v>
      </c>
      <c r="E737" s="1076" t="str">
        <f>VLOOKUP($B737,dongia1,DG!$C$5,)</f>
        <v>Lắp cáp đồng xuống thiết bị D ≤ 95mm2</v>
      </c>
      <c r="F737" s="1075" t="str">
        <f>VLOOKUP($B737,dongia1,DG!$D$5,)</f>
        <v>m</v>
      </c>
      <c r="G737" s="1074">
        <f>G724</f>
        <v>0</v>
      </c>
      <c r="H737" s="1062"/>
      <c r="I737" s="1083"/>
      <c r="J737" s="1062">
        <f>VLOOKUP($B737,dongia1,DG!$G$5,)</f>
        <v>13915</v>
      </c>
      <c r="K737" s="1062">
        <f>VLOOKUP($B737,dongia1,DG!$H$5,)</f>
        <v>0</v>
      </c>
      <c r="L737" s="1174">
        <f>H737*G737</f>
        <v>0</v>
      </c>
      <c r="M737" s="1174">
        <f>I737*G737</f>
        <v>0</v>
      </c>
      <c r="N737" s="1174">
        <f>J737*G737</f>
        <v>0</v>
      </c>
      <c r="O737" s="1083">
        <f>K737*G737</f>
        <v>0</v>
      </c>
      <c r="P737" s="1080"/>
    </row>
    <row r="738" spans="1:16" s="1081" customFormat="1" hidden="1" outlineLevel="1">
      <c r="A738" s="1154">
        <f>IF(G738&lt;&gt;0,1,0)</f>
        <v>0</v>
      </c>
      <c r="B738" s="1073" t="s">
        <v>888</v>
      </c>
      <c r="C738" s="1207">
        <f>IF(G738&gt;0,C722+1,C722)</f>
        <v>0</v>
      </c>
      <c r="D738" s="1208"/>
      <c r="E738" s="1259" t="s">
        <v>3431</v>
      </c>
      <c r="F738" s="1075" t="str">
        <f>VLOOKUP($B738,dongia1,DG!$D$5,)</f>
        <v>cái</v>
      </c>
      <c r="G738" s="1207">
        <f>G686</f>
        <v>0</v>
      </c>
      <c r="H738" s="1062">
        <f>VLOOKUP($B738,dongia1,DG!$F$5,)</f>
        <v>300000</v>
      </c>
      <c r="I738" s="1210"/>
      <c r="J738" s="1062">
        <f>VLOOKUP($B738,dongia1,DG!$G$5,)</f>
        <v>0</v>
      </c>
      <c r="K738" s="1062">
        <f>VLOOKUP($B738,dongia1,DG!$H$5,)</f>
        <v>0</v>
      </c>
      <c r="L738" s="1209">
        <f>H738*G738</f>
        <v>0</v>
      </c>
      <c r="M738" s="1209">
        <f>I738*G738</f>
        <v>0</v>
      </c>
      <c r="N738" s="1209">
        <f>J738*G738</f>
        <v>0</v>
      </c>
      <c r="O738" s="1210">
        <f>K738*G738</f>
        <v>0</v>
      </c>
      <c r="P738" s="1229"/>
    </row>
    <row r="739" spans="1:16" s="1081" customFormat="1" hidden="1" outlineLevel="1">
      <c r="A739" s="1154">
        <f>A738</f>
        <v>0</v>
      </c>
      <c r="B739" s="1175"/>
      <c r="C739" s="1212"/>
      <c r="D739" s="1213"/>
      <c r="E739" s="1230"/>
      <c r="F739" s="1215"/>
      <c r="G739" s="1215"/>
      <c r="H739" s="1215"/>
      <c r="I739" s="1215"/>
      <c r="J739" s="2460" t="s">
        <v>3388</v>
      </c>
      <c r="K739" s="2460"/>
      <c r="L739" s="1216">
        <f>SUM(L672:L738)</f>
        <v>0</v>
      </c>
      <c r="M739" s="1216">
        <f>SUM(M672:M738)</f>
        <v>0</v>
      </c>
      <c r="N739" s="1216">
        <f>SUM(N672:N738)</f>
        <v>0</v>
      </c>
      <c r="O739" s="1216">
        <f>SUM(O672:O738)</f>
        <v>0</v>
      </c>
      <c r="P739" s="1220"/>
    </row>
    <row r="740" spans="1:16" s="1081" customFormat="1" hidden="1">
      <c r="A740" s="1199" t="str">
        <f>IF(G745&lt;&gt;0,1,"")</f>
        <v/>
      </c>
      <c r="B740" s="1260"/>
      <c r="C740" s="1217"/>
      <c r="D740" s="1238"/>
      <c r="E740" s="1261"/>
      <c r="F740" s="1261"/>
      <c r="G740" s="1261"/>
      <c r="H740" s="1261"/>
      <c r="I740" s="1261"/>
      <c r="J740" s="1261"/>
      <c r="K740" s="1261"/>
      <c r="L740" s="1261"/>
      <c r="M740" s="1261"/>
      <c r="N740" s="1261"/>
      <c r="O740" s="1261"/>
    </row>
    <row r="741" spans="1:16" s="1081" customFormat="1" hidden="1" outlineLevel="1">
      <c r="A741" s="1154" t="str">
        <f>A740</f>
        <v/>
      </c>
      <c r="B741" s="1260"/>
      <c r="C741" s="1143" t="str">
        <f>"BẢNG TỔNG HỢP VẬT LIỆU, NHÂN CÔNG, MÁY THI CÔNG: "&amp;K8&amp;" TRẠM 3P_ 3x37,5KVA"</f>
        <v>BẢNG TỔNG HỢP VẬT LIỆU, NHÂN CÔNG, MÁY THI CÔNG: 0 TRẠM 3P_ 3x37,5KVA</v>
      </c>
      <c r="D741" s="1232"/>
      <c r="E741" s="1262"/>
      <c r="F741" s="1262"/>
      <c r="G741" s="1262"/>
      <c r="H741" s="1262"/>
      <c r="I741" s="1262"/>
      <c r="J741" s="1262"/>
      <c r="K741" s="1262"/>
      <c r="L741" s="1262"/>
      <c r="M741" s="1262"/>
      <c r="N741" s="1262"/>
      <c r="O741" s="1262"/>
      <c r="P741" s="1144"/>
    </row>
    <row r="742" spans="1:16" s="1081" customFormat="1" hidden="1" outlineLevel="1">
      <c r="A742" s="1154" t="str">
        <f>A741</f>
        <v/>
      </c>
      <c r="B742" s="1073" t="s">
        <v>308</v>
      </c>
      <c r="C742" s="2459" t="s">
        <v>1014</v>
      </c>
      <c r="D742" s="2467" t="s">
        <v>3363</v>
      </c>
      <c r="E742" s="2457" t="s">
        <v>3364</v>
      </c>
      <c r="F742" s="2459" t="s">
        <v>3365</v>
      </c>
      <c r="G742" s="1155" t="s">
        <v>3367</v>
      </c>
      <c r="H742" s="1156" t="s">
        <v>3368</v>
      </c>
      <c r="I742" s="1157"/>
      <c r="J742" s="1157"/>
      <c r="K742" s="1158"/>
      <c r="L742" s="1156" t="s">
        <v>3372</v>
      </c>
      <c r="M742" s="1157"/>
      <c r="N742" s="1157"/>
      <c r="O742" s="1158"/>
      <c r="P742" s="2459" t="s">
        <v>3373</v>
      </c>
    </row>
    <row r="743" spans="1:16" s="1081" customFormat="1" hidden="1" outlineLevel="1">
      <c r="A743" s="1154" t="str">
        <f>A742</f>
        <v/>
      </c>
      <c r="B743" s="1073"/>
      <c r="C743" s="2459"/>
      <c r="D743" s="2468"/>
      <c r="E743" s="2458"/>
      <c r="F743" s="2459"/>
      <c r="G743" s="1160" t="s">
        <v>3366</v>
      </c>
      <c r="H743" s="1161" t="s">
        <v>393</v>
      </c>
      <c r="I743" s="1161" t="s">
        <v>3369</v>
      </c>
      <c r="J743" s="1161" t="s">
        <v>3370</v>
      </c>
      <c r="K743" s="1161" t="s">
        <v>3371</v>
      </c>
      <c r="L743" s="1161" t="s">
        <v>393</v>
      </c>
      <c r="M743" s="1161" t="s">
        <v>3369</v>
      </c>
      <c r="N743" s="1161" t="s">
        <v>3370</v>
      </c>
      <c r="O743" s="1161" t="s">
        <v>3371</v>
      </c>
      <c r="P743" s="2459"/>
    </row>
    <row r="744" spans="1:16" s="1081" customFormat="1" hidden="1" outlineLevel="1">
      <c r="A744" s="1154" t="str">
        <f>A743</f>
        <v/>
      </c>
      <c r="B744" s="1073"/>
      <c r="C744" s="1162"/>
      <c r="D744" s="1163"/>
      <c r="E744" s="1164" t="s">
        <v>3375</v>
      </c>
      <c r="F744" s="1165"/>
      <c r="G744" s="1165"/>
      <c r="H744" s="1165"/>
      <c r="I744" s="1165"/>
      <c r="J744" s="1165"/>
      <c r="K744" s="1165"/>
      <c r="L744" s="1165"/>
      <c r="M744" s="1165"/>
      <c r="N744" s="1165"/>
      <c r="O744" s="1163"/>
      <c r="P744" s="1166"/>
    </row>
    <row r="745" spans="1:16" s="1081" customFormat="1" hidden="1" outlineLevel="1">
      <c r="A745" s="1072" t="str">
        <f>IF(G745&lt;&gt;0,1,"")</f>
        <v/>
      </c>
      <c r="B745" s="1167" t="str">
        <f>IF($F$8=22,"TR371","TR37")</f>
        <v>TR371</v>
      </c>
      <c r="C745" s="1168">
        <f>IF(G745&gt;0,1,0)</f>
        <v>0</v>
      </c>
      <c r="D745" s="1075" t="str">
        <f>VLOOKUP($B745,dongia1,DG!$B$5,)</f>
        <v>T1.1432</v>
      </c>
      <c r="E745" s="1076" t="str">
        <f>VLOOKUP($B745,dongia1,DG!$C$5,)</f>
        <v>Máy biến áp 12,7/0,22-0,44kV  37,5kVA</v>
      </c>
      <c r="F745" s="1075" t="str">
        <f>VLOOKUP($B745,dongia1,DG!$D$5,)</f>
        <v>máy</v>
      </c>
      <c r="G745" s="1233">
        <f>K8*3</f>
        <v>0</v>
      </c>
      <c r="H745" s="1062">
        <f>VLOOKUP($B745,dongia1,DG!$E$5,)</f>
        <v>51310000</v>
      </c>
      <c r="I745" s="1062"/>
      <c r="J745" s="1062">
        <f>VLOOKUP($B745,dongia1,DG!$G$5,)</f>
        <v>630187</v>
      </c>
      <c r="K745" s="1062">
        <f>VLOOKUP($B745,dongia1,DG!$H$5,)</f>
        <v>284508</v>
      </c>
      <c r="L745" s="1078">
        <f t="shared" ref="L745:L752" si="140">H745*G745</f>
        <v>0</v>
      </c>
      <c r="M745" s="1078">
        <f t="shared" ref="M745:M751" si="141">I745*G745</f>
        <v>0</v>
      </c>
      <c r="N745" s="1078">
        <f t="shared" ref="N745:N751" si="142">J745*G745</f>
        <v>0</v>
      </c>
      <c r="O745" s="1079">
        <f t="shared" ref="O745:O751" si="143">K745*G745</f>
        <v>0</v>
      </c>
      <c r="P745" s="1074" t="s">
        <v>3471</v>
      </c>
    </row>
    <row r="746" spans="1:16" s="1081" customFormat="1" hidden="1" outlineLevel="1">
      <c r="A746" s="1072" t="str">
        <f t="shared" ref="A746:A752" si="144">IF(G746&lt;&gt;0,1,"")</f>
        <v/>
      </c>
      <c r="B746" s="1167" t="str">
        <f>"FCO100-"&amp;$F$8</f>
        <v>FCO100-22</v>
      </c>
      <c r="C746" s="1168">
        <f>IF(G746&gt;0,C745+1,C745)</f>
        <v>0</v>
      </c>
      <c r="D746" s="1075" t="str">
        <f>VLOOKUP($B746,dongia1,DG!$B$5,)</f>
        <v>T2.3501</v>
      </c>
      <c r="E746" s="1076" t="str">
        <f>VLOOKUP($B746,dongia1,DG!$C$5,)</f>
        <v>FCO 24kV - 100A</v>
      </c>
      <c r="F746" s="1075" t="str">
        <f>VLOOKUP($B746,dongia1,DG!$D$5,)</f>
        <v>cái</v>
      </c>
      <c r="G746" s="1077">
        <f>+G745</f>
        <v>0</v>
      </c>
      <c r="H746" s="1062">
        <f>VLOOKUP($B746,dongia1,DG!$E$5,)</f>
        <v>2244280</v>
      </c>
      <c r="I746" s="1062"/>
      <c r="J746" s="1062">
        <f>VLOOKUP($B746,dongia1,DG!$G$5,)</f>
        <v>222639.99999999997</v>
      </c>
      <c r="K746" s="1062">
        <f>VLOOKUP($B746,dongia1,DG!$H$5,)</f>
        <v>0</v>
      </c>
      <c r="L746" s="1078">
        <f t="shared" si="140"/>
        <v>0</v>
      </c>
      <c r="M746" s="1078">
        <f t="shared" si="141"/>
        <v>0</v>
      </c>
      <c r="N746" s="1078">
        <f t="shared" si="142"/>
        <v>0</v>
      </c>
      <c r="O746" s="1079">
        <f t="shared" si="143"/>
        <v>0</v>
      </c>
      <c r="P746" s="1080"/>
    </row>
    <row r="747" spans="1:16" s="1081" customFormat="1" hidden="1" outlineLevel="1">
      <c r="A747" s="1072" t="str">
        <f t="shared" si="144"/>
        <v/>
      </c>
      <c r="B747" s="1073" t="s">
        <v>504</v>
      </c>
      <c r="C747" s="1168">
        <f t="shared" ref="C747:C752" si="145">IF(G747&gt;0,C746+1,C746)</f>
        <v>0</v>
      </c>
      <c r="D747" s="1075">
        <f>VLOOKUP($B747,dongia1,DG!$B$5,)</f>
        <v>0</v>
      </c>
      <c r="E747" s="1076" t="str">
        <f>VLOOKUP($B747,dongia1,DG!$C$5,)</f>
        <v>Dây chảy 6K</v>
      </c>
      <c r="F747" s="1075" t="str">
        <f>VLOOKUP($B747,dongia1,DG!$D$5,)</f>
        <v>Sợi</v>
      </c>
      <c r="G747" s="1077">
        <f>G746</f>
        <v>0</v>
      </c>
      <c r="H747" s="1062">
        <f>VLOOKUP($B747,dongia1,DG!$F$5,)</f>
        <v>84000</v>
      </c>
      <c r="I747" s="1062"/>
      <c r="J747" s="1062">
        <f>VLOOKUP($B747,dongia1,DG!$G$5,)</f>
        <v>0</v>
      </c>
      <c r="K747" s="1062">
        <f>VLOOKUP($B747,dongia1,DG!$H$5,)</f>
        <v>0</v>
      </c>
      <c r="L747" s="1078">
        <f t="shared" si="140"/>
        <v>0</v>
      </c>
      <c r="M747" s="1078">
        <f t="shared" si="141"/>
        <v>0</v>
      </c>
      <c r="N747" s="1078">
        <f t="shared" si="142"/>
        <v>0</v>
      </c>
      <c r="O747" s="1079">
        <f t="shared" si="143"/>
        <v>0</v>
      </c>
      <c r="P747" s="1080"/>
    </row>
    <row r="748" spans="1:16" s="1081" customFormat="1" hidden="1" outlineLevel="1">
      <c r="A748" s="1072" t="str">
        <f t="shared" si="144"/>
        <v/>
      </c>
      <c r="B748" s="1175" t="str">
        <f>"LA"&amp;$F$6</f>
        <v>LA18</v>
      </c>
      <c r="C748" s="1168">
        <f t="shared" si="145"/>
        <v>0</v>
      </c>
      <c r="D748" s="1075" t="str">
        <f>VLOOKUP($B748,dongia1,DG!$B$5,)</f>
        <v>T2.5004</v>
      </c>
      <c r="E748" s="1076" t="str">
        <f>VLOOKUP($B748,dongia1,DG!$C$5,)</f>
        <v>LA 18kV 10kA</v>
      </c>
      <c r="F748" s="1075" t="str">
        <f>VLOOKUP($B748,dongia1,DG!$D$5,)</f>
        <v>cái</v>
      </c>
      <c r="G748" s="1077">
        <f>G746</f>
        <v>0</v>
      </c>
      <c r="H748" s="1062">
        <f>VLOOKUP($B748,dongia1,DG!$E$5,)</f>
        <v>1106000</v>
      </c>
      <c r="I748" s="1062"/>
      <c r="J748" s="1062">
        <f>VLOOKUP($B748,dongia1,DG!$G$5,)</f>
        <v>83490</v>
      </c>
      <c r="K748" s="1062">
        <f>VLOOKUP($B748,dongia1,DG!$H$5,)</f>
        <v>0</v>
      </c>
      <c r="L748" s="1078">
        <f t="shared" si="140"/>
        <v>0</v>
      </c>
      <c r="M748" s="1078">
        <f t="shared" si="141"/>
        <v>0</v>
      </c>
      <c r="N748" s="1078">
        <f t="shared" si="142"/>
        <v>0</v>
      </c>
      <c r="O748" s="1079">
        <f t="shared" si="143"/>
        <v>0</v>
      </c>
      <c r="P748" s="1080"/>
    </row>
    <row r="749" spans="1:16" s="1081" customFormat="1" hidden="1" outlineLevel="1">
      <c r="A749" s="1072" t="str">
        <f t="shared" si="144"/>
        <v/>
      </c>
      <c r="B749" s="1176" t="str">
        <f>Solieu!$G$57</f>
        <v>atm200</v>
      </c>
      <c r="C749" s="1168">
        <f t="shared" si="145"/>
        <v>0</v>
      </c>
      <c r="D749" s="1075">
        <f>VLOOKUP($B749,dongia1,DG!$B$5,)</f>
        <v>0</v>
      </c>
      <c r="E749" s="1076" t="str">
        <f>VLOOKUP($B749,dongia1,DG!$C$5,)</f>
        <v>MCCB 3 cực 400V -200A - 36KA</v>
      </c>
      <c r="F749" s="1075" t="str">
        <f>VLOOKUP($B749,dongia1,DG!$D$5,)</f>
        <v>cái</v>
      </c>
      <c r="G749" s="1077">
        <f>+G745/3</f>
        <v>0</v>
      </c>
      <c r="H749" s="1062">
        <f>VLOOKUP($B749,dongia1,DG!$E$5,)</f>
        <v>3865000</v>
      </c>
      <c r="I749" s="1062"/>
      <c r="J749" s="1062">
        <f>VLOOKUP($B749,dongia1,DG!$G$5,)</f>
        <v>0</v>
      </c>
      <c r="K749" s="1062">
        <f>VLOOKUP($B749,dongia1,DG!$H$5,)</f>
        <v>0</v>
      </c>
      <c r="L749" s="1174">
        <f t="shared" si="140"/>
        <v>0</v>
      </c>
      <c r="M749" s="1078">
        <f t="shared" si="141"/>
        <v>0</v>
      </c>
      <c r="N749" s="1078">
        <f t="shared" si="142"/>
        <v>0</v>
      </c>
      <c r="O749" s="1079">
        <f t="shared" si="143"/>
        <v>0</v>
      </c>
      <c r="P749" s="1080"/>
    </row>
    <row r="750" spans="1:16" s="1081" customFormat="1" hidden="1" outlineLevel="1">
      <c r="A750" s="1072" t="str">
        <f t="shared" si="144"/>
        <v/>
      </c>
      <c r="B750" s="1176" t="s">
        <v>464</v>
      </c>
      <c r="C750" s="1168">
        <f t="shared" si="145"/>
        <v>0</v>
      </c>
      <c r="D750" s="1075" t="str">
        <f>VLOOKUP($B750,dongia1,DG!$B$5,)</f>
        <v>05.1102</v>
      </c>
      <c r="E750" s="1076" t="str">
        <f>VLOOKUP($B750,dongia1,DG!$C$5,)</f>
        <v>Tủ tụ bù hạ thế 60kVAr</v>
      </c>
      <c r="F750" s="1075" t="str">
        <f>VLOOKUP($B750,dongia1,DG!$D$5,)</f>
        <v>tủ</v>
      </c>
      <c r="G750" s="1258">
        <f>+G749*0</f>
        <v>0</v>
      </c>
      <c r="H750" s="1062"/>
      <c r="I750" s="1062"/>
      <c r="J750" s="1062">
        <f>VLOOKUP($B750,dongia1,DG!$G$5,)</f>
        <v>98101</v>
      </c>
      <c r="K750" s="1062">
        <f>VLOOKUP($B750,dongia1,DG!$H$5,)</f>
        <v>59254</v>
      </c>
      <c r="L750" s="1174">
        <f>H750*G750</f>
        <v>0</v>
      </c>
      <c r="M750" s="1078">
        <f>I750*G750</f>
        <v>0</v>
      </c>
      <c r="N750" s="1078">
        <f>J750*G750</f>
        <v>0</v>
      </c>
      <c r="O750" s="1079">
        <f>K750*G750</f>
        <v>0</v>
      </c>
      <c r="P750" s="1080"/>
    </row>
    <row r="751" spans="1:16" s="1081" customFormat="1" hidden="1" outlineLevel="1">
      <c r="A751" s="1072" t="str">
        <f t="shared" si="144"/>
        <v/>
      </c>
      <c r="B751" s="1205" t="s">
        <v>915</v>
      </c>
      <c r="C751" s="1168">
        <f t="shared" si="145"/>
        <v>0</v>
      </c>
      <c r="D751" s="1075">
        <f>VLOOKUP($B751,dongia1,DG!$B$5,)</f>
        <v>0</v>
      </c>
      <c r="E751" s="1076" t="str">
        <f>VLOOKUP($B751,dongia1,DG!$C$5,)</f>
        <v xml:space="preserve">Biến dòng 600V - 200/5A </v>
      </c>
      <c r="F751" s="1075" t="str">
        <f>VLOOKUP($B751,dongia1,DG!$D$5,)</f>
        <v>cái</v>
      </c>
      <c r="G751" s="1263">
        <f>+G745</f>
        <v>0</v>
      </c>
      <c r="H751" s="1062">
        <f>VLOOKUP($B751,dongia1,DG!$E$5,)</f>
        <v>0</v>
      </c>
      <c r="I751" s="1062"/>
      <c r="J751" s="1062">
        <f>VLOOKUP($B751,dongia1,DG!$G$5,)</f>
        <v>0</v>
      </c>
      <c r="K751" s="1062">
        <f>VLOOKUP($B751,dongia1,DG!$H$5,)</f>
        <v>0</v>
      </c>
      <c r="L751" s="1174">
        <f t="shared" si="140"/>
        <v>0</v>
      </c>
      <c r="M751" s="1078">
        <f t="shared" si="141"/>
        <v>0</v>
      </c>
      <c r="N751" s="1078">
        <f t="shared" si="142"/>
        <v>0</v>
      </c>
      <c r="O751" s="1079">
        <f t="shared" si="143"/>
        <v>0</v>
      </c>
      <c r="P751" s="1074" t="s">
        <v>3471</v>
      </c>
    </row>
    <row r="752" spans="1:16" s="1081" customFormat="1" hidden="1" outlineLevel="1">
      <c r="A752" s="1072" t="str">
        <f t="shared" si="144"/>
        <v/>
      </c>
      <c r="B752" s="1067" t="s">
        <v>307</v>
      </c>
      <c r="C752" s="1168">
        <f t="shared" si="145"/>
        <v>0</v>
      </c>
      <c r="D752" s="1075">
        <f>VLOOKUP($B752,dongia1,DG!$B$5,)</f>
        <v>0</v>
      </c>
      <c r="E752" s="1076" t="str">
        <f>VLOOKUP($B752,dongia1,DG!$C$5,)</f>
        <v>Điện kế 3 pha 4 dây 220/380V-5A</v>
      </c>
      <c r="F752" s="1075" t="str">
        <f>VLOOKUP($B752,dongia1,DG!$D$5,)</f>
        <v>cái</v>
      </c>
      <c r="G752" s="1077">
        <f>+G749</f>
        <v>0</v>
      </c>
      <c r="H752" s="1062">
        <f>VLOOKUP($B752,dongia1,DG!$E$5,)</f>
        <v>0</v>
      </c>
      <c r="I752" s="1062"/>
      <c r="J752" s="1062">
        <f>VLOOKUP($B752,dongia1,DG!$G$5,)</f>
        <v>0</v>
      </c>
      <c r="K752" s="1062">
        <f>VLOOKUP($B752,dongia1,DG!$H$5,)</f>
        <v>0</v>
      </c>
      <c r="L752" s="1174">
        <f t="shared" si="140"/>
        <v>0</v>
      </c>
      <c r="M752" s="1078">
        <f>I752*G752</f>
        <v>0</v>
      </c>
      <c r="N752" s="1078">
        <f>J752*G752</f>
        <v>0</v>
      </c>
      <c r="O752" s="1079">
        <f>K752*G752</f>
        <v>0</v>
      </c>
      <c r="P752" s="1074" t="s">
        <v>3471</v>
      </c>
    </row>
    <row r="753" spans="1:18" s="1081" customFormat="1" hidden="1" outlineLevel="1">
      <c r="A753" s="1072" t="str">
        <f>+A741</f>
        <v/>
      </c>
      <c r="B753" s="1073"/>
      <c r="C753" s="1166"/>
      <c r="D753" s="1246"/>
      <c r="E753" s="1264"/>
      <c r="F753" s="1265"/>
      <c r="G753" s="1234"/>
      <c r="H753" s="1265"/>
      <c r="I753" s="1266"/>
      <c r="J753" s="1183" t="s">
        <v>3387</v>
      </c>
      <c r="K753" s="1267"/>
      <c r="L753" s="1268">
        <f>SUM(L745:L752)</f>
        <v>0</v>
      </c>
      <c r="M753" s="1268">
        <f>SUM(M745:M752)</f>
        <v>0</v>
      </c>
      <c r="N753" s="1268">
        <f>SUM(N745:N752)</f>
        <v>0</v>
      </c>
      <c r="O753" s="1268">
        <f>SUM(O745:O752)</f>
        <v>0</v>
      </c>
      <c r="P753" s="1268"/>
    </row>
    <row r="754" spans="1:18" s="1081" customFormat="1" hidden="1" outlineLevel="1">
      <c r="A754" s="1072"/>
      <c r="B754" s="1073"/>
      <c r="C754" s="1166"/>
      <c r="D754" s="1246"/>
      <c r="E754" s="1269" t="s">
        <v>3376</v>
      </c>
      <c r="F754" s="1269"/>
      <c r="G754" s="1269"/>
      <c r="H754" s="1269"/>
      <c r="I754" s="1269"/>
      <c r="J754" s="1269"/>
      <c r="K754" s="1269"/>
      <c r="L754" s="1269"/>
      <c r="M754" s="1269"/>
      <c r="N754" s="1269"/>
      <c r="O754" s="1267"/>
      <c r="P754" s="1220"/>
    </row>
    <row r="755" spans="1:18" s="1081" customFormat="1" hidden="1" outlineLevel="1">
      <c r="A755" s="1072" t="str">
        <f>IF(G755&lt;&gt;0,1,"")</f>
        <v/>
      </c>
      <c r="B755" s="1073"/>
      <c r="C755" s="1270">
        <f>IF(G755&gt;0,1,0)</f>
        <v>0</v>
      </c>
      <c r="D755" s="1271"/>
      <c r="E755" s="1272" t="s">
        <v>3426</v>
      </c>
      <c r="F755" s="1273" t="s">
        <v>2113</v>
      </c>
      <c r="G755" s="1274">
        <f>G745/3</f>
        <v>0</v>
      </c>
      <c r="H755" s="1275"/>
      <c r="I755" s="1275"/>
      <c r="J755" s="1275"/>
      <c r="K755" s="1275"/>
      <c r="L755" s="1275"/>
      <c r="M755" s="1275"/>
      <c r="N755" s="1275"/>
      <c r="O755" s="1273"/>
      <c r="P755" s="1080"/>
    </row>
    <row r="756" spans="1:18" s="1081" customFormat="1" ht="14.4" hidden="1" outlineLevel="1">
      <c r="A756" s="1154" t="str">
        <f>A755</f>
        <v/>
      </c>
      <c r="B756" s="1073"/>
      <c r="C756" s="1064"/>
      <c r="D756" s="1276"/>
      <c r="E756" s="1277" t="s">
        <v>3399</v>
      </c>
      <c r="F756" s="1258"/>
      <c r="G756" s="1077"/>
      <c r="H756" s="1278"/>
      <c r="I756" s="1278"/>
      <c r="J756" s="1278"/>
      <c r="K756" s="1278"/>
      <c r="L756" s="1278"/>
      <c r="M756" s="1278"/>
      <c r="N756" s="1278"/>
      <c r="O756" s="1279"/>
      <c r="P756" s="1080"/>
    </row>
    <row r="757" spans="1:18" s="1081" customFormat="1" hidden="1" outlineLevel="1">
      <c r="A757" s="1154" t="str">
        <f>A756</f>
        <v/>
      </c>
      <c r="B757" s="1067" t="s">
        <v>213</v>
      </c>
      <c r="C757" s="1064"/>
      <c r="D757" s="1075">
        <f>VLOOKUP($B757,dongia1,DG!$B$5,)</f>
        <v>0</v>
      </c>
      <c r="E757" s="1076" t="str">
        <f>VLOOKUP($B757,dongia1,DG!$C$5,)</f>
        <v>Gía chùm treo máy biến áp 3x37,5</v>
      </c>
      <c r="F757" s="1075" t="str">
        <f>VLOOKUP($B757,dongia1,DG!$D$5,)</f>
        <v>bô</v>
      </c>
      <c r="G757" s="1077">
        <f>G755*1</f>
        <v>0</v>
      </c>
      <c r="H757" s="1062">
        <f>VLOOKUP($B757,dongia1,DG!$F$5,)</f>
        <v>1470000</v>
      </c>
      <c r="I757" s="1083"/>
      <c r="J757" s="1062">
        <f>VLOOKUP($B757,dongia1,DG!$G$5,)*0</f>
        <v>0</v>
      </c>
      <c r="K757" s="1062">
        <f>VLOOKUP($B757,dongia1,DG!$H$5,)</f>
        <v>0</v>
      </c>
      <c r="L757" s="1078">
        <f t="shared" ref="L757:L876" si="146">H757*G757</f>
        <v>0</v>
      </c>
      <c r="M757" s="1078">
        <f t="shared" ref="M757:M876" si="147">I757*G757</f>
        <v>0</v>
      </c>
      <c r="N757" s="1078">
        <f t="shared" ref="N757:N876" si="148">J757*G757</f>
        <v>0</v>
      </c>
      <c r="O757" s="1079">
        <f t="shared" ref="O757:O876" si="149">K757*G757</f>
        <v>0</v>
      </c>
      <c r="P757" s="1080"/>
    </row>
    <row r="758" spans="1:18" s="1081" customFormat="1" hidden="1" outlineLevel="1">
      <c r="A758" s="1154" t="str">
        <f>A757</f>
        <v/>
      </c>
      <c r="B758" s="1073" t="s">
        <v>1044</v>
      </c>
      <c r="C758" s="1064"/>
      <c r="D758" s="1075">
        <f>VLOOKUP($B758,dongia1,DG!$B$5,)</f>
        <v>0</v>
      </c>
      <c r="E758" s="1076" t="str">
        <f>VLOOKUP($B758,dongia1,DG!$C$5,)</f>
        <v>Boulon 16x50+ 2 long đền vuông D18-50x50x3/Zn</v>
      </c>
      <c r="F758" s="1075" t="str">
        <f>VLOOKUP($B758,dongia1,DG!$D$5,)</f>
        <v>bộ</v>
      </c>
      <c r="G758" s="1077">
        <f>6*G755</f>
        <v>0</v>
      </c>
      <c r="H758" s="1062">
        <f>VLOOKUP($B758,dongia1,DG!$F$5,)</f>
        <v>12400</v>
      </c>
      <c r="I758" s="1083"/>
      <c r="J758" s="1062">
        <f>VLOOKUP($B758,dongia1,DG!$G$5,)</f>
        <v>0</v>
      </c>
      <c r="K758" s="1062">
        <f>VLOOKUP($B758,dongia1,DG!$H$5,)</f>
        <v>0</v>
      </c>
      <c r="L758" s="1078">
        <f t="shared" si="146"/>
        <v>0</v>
      </c>
      <c r="M758" s="1078">
        <f t="shared" si="147"/>
        <v>0</v>
      </c>
      <c r="N758" s="1078">
        <f t="shared" si="148"/>
        <v>0</v>
      </c>
      <c r="O758" s="1079">
        <f t="shared" si="149"/>
        <v>0</v>
      </c>
      <c r="P758" s="1080"/>
    </row>
    <row r="759" spans="1:18" s="1081" customFormat="1" hidden="1" outlineLevel="1">
      <c r="A759" s="1154" t="str">
        <f>A758</f>
        <v/>
      </c>
      <c r="B759" s="1073" t="s">
        <v>1262</v>
      </c>
      <c r="C759" s="1064"/>
      <c r="D759" s="1075">
        <f>VLOOKUP($B759,dongia1,DG!$B$5,)</f>
        <v>0</v>
      </c>
      <c r="E759" s="1076" t="str">
        <f>VLOOKUP($B759,dongia1,DG!$C$5,)</f>
        <v>Boulon 16x300+ 2 long đền vuông D18-50x50x3/Zn</v>
      </c>
      <c r="F759" s="1075" t="str">
        <f>VLOOKUP($B759,dongia1,DG!$D$5,)</f>
        <v>bộ</v>
      </c>
      <c r="G759" s="1077">
        <f>2*G755</f>
        <v>0</v>
      </c>
      <c r="H759" s="1062">
        <f>VLOOKUP($B759,dongia1,DG!$F$5,)</f>
        <v>25400</v>
      </c>
      <c r="I759" s="1083"/>
      <c r="J759" s="1062">
        <f>VLOOKUP($B759,dongia1,DG!$G$5,)</f>
        <v>0</v>
      </c>
      <c r="K759" s="1062">
        <f>VLOOKUP($B759,dongia1,DG!$H$5,)</f>
        <v>0</v>
      </c>
      <c r="L759" s="1078">
        <f t="shared" si="146"/>
        <v>0</v>
      </c>
      <c r="M759" s="1078">
        <f t="shared" si="147"/>
        <v>0</v>
      </c>
      <c r="N759" s="1078">
        <f t="shared" si="148"/>
        <v>0</v>
      </c>
      <c r="O759" s="1079">
        <f t="shared" si="149"/>
        <v>0</v>
      </c>
      <c r="P759" s="1080"/>
    </row>
    <row r="760" spans="1:18" s="1081" customFormat="1" ht="14.25" hidden="1" customHeight="1" outlineLevel="1">
      <c r="A760" s="1154" t="str">
        <f>A759</f>
        <v/>
      </c>
      <c r="B760" s="1067" t="s">
        <v>813</v>
      </c>
      <c r="C760" s="1064"/>
      <c r="D760" s="1075" t="str">
        <f>VLOOKUP($B760,dongia1,DG!$B$5,)</f>
        <v>D2.6031</v>
      </c>
      <c r="E760" s="1076" t="str">
        <f>VLOOKUP($B760,dongia1,DG!$C$5,)</f>
        <v>Lắp xà đỡ 50kg</v>
      </c>
      <c r="F760" s="1075" t="str">
        <f>VLOOKUP($B760,dongia1,DG!$D$5,)</f>
        <v>bộ</v>
      </c>
      <c r="G760" s="1077">
        <v>1</v>
      </c>
      <c r="H760" s="1062">
        <f>VLOOKUP($B760,dongia1,DG!$F$5,)</f>
        <v>0</v>
      </c>
      <c r="I760" s="1083"/>
      <c r="J760" s="1062">
        <f>VLOOKUP($B760,dongia1,DG!$G$5,)</f>
        <v>296544.75</v>
      </c>
      <c r="K760" s="1062">
        <f>VLOOKUP($B760,dongia1,DG!$H$5,)</f>
        <v>0</v>
      </c>
      <c r="L760" s="1078">
        <f>H760*G760</f>
        <v>0</v>
      </c>
      <c r="M760" s="1078"/>
      <c r="N760" s="1078">
        <f>J760*G760</f>
        <v>296544.75</v>
      </c>
      <c r="O760" s="1079">
        <f>K760*G760</f>
        <v>0</v>
      </c>
      <c r="P760" s="1080"/>
    </row>
    <row r="761" spans="1:18" s="1081" customFormat="1" ht="27.6" hidden="1" outlineLevel="1">
      <c r="A761" s="1154">
        <f>IF(G761&lt;&gt;0,1,)</f>
        <v>0</v>
      </c>
      <c r="B761" s="1073"/>
      <c r="C761" s="1064">
        <f>IF(G761&gt;0,C755+1,C755)</f>
        <v>0</v>
      </c>
      <c r="D761" s="1192"/>
      <c r="E761" s="1575" t="s">
        <v>4818</v>
      </c>
      <c r="F761" s="1577" t="s">
        <v>2113</v>
      </c>
      <c r="G761" s="1578"/>
      <c r="H761" s="1083"/>
      <c r="I761" s="1083"/>
      <c r="J761" s="1083"/>
      <c r="K761" s="1083"/>
      <c r="L761" s="1174">
        <f t="shared" si="146"/>
        <v>0</v>
      </c>
      <c r="M761" s="1174">
        <f t="shared" si="147"/>
        <v>0</v>
      </c>
      <c r="N761" s="1174">
        <f t="shared" si="148"/>
        <v>0</v>
      </c>
      <c r="O761" s="1083">
        <f t="shared" si="149"/>
        <v>0</v>
      </c>
      <c r="P761" s="1074"/>
    </row>
    <row r="762" spans="1:18" s="1081" customFormat="1" hidden="1" outlineLevel="1">
      <c r="A762" s="1154">
        <f t="shared" ref="A762:A767" si="150">IF(G762&lt;&gt;0,1,)</f>
        <v>0</v>
      </c>
      <c r="B762" s="1065" t="s">
        <v>4813</v>
      </c>
      <c r="C762" s="1074"/>
      <c r="D762" s="1075">
        <f>VLOOKUP($B762,dongia1,DG!$B$5,)</f>
        <v>0</v>
      </c>
      <c r="E762" s="1076" t="str">
        <f>VLOOKUP($B762,dongia1,DG!$C$5,)</f>
        <v>Đà U120x52x4,8x2850mm</v>
      </c>
      <c r="F762" s="1075" t="str">
        <f>VLOOKUP($B762,dongia1,DG!$D$5,)</f>
        <v>kg</v>
      </c>
      <c r="G762" s="1579"/>
      <c r="H762" s="1062">
        <f>VLOOKUP($B762,dongia1,DG!$F$5,)</f>
        <v>31625</v>
      </c>
      <c r="I762" s="1062"/>
      <c r="J762" s="1062">
        <f>VLOOKUP($B762,dongia1,DG!$G$5,)</f>
        <v>0</v>
      </c>
      <c r="K762" s="1062">
        <f>VLOOKUP($B762,dongia1,DG!$H$5,)</f>
        <v>0</v>
      </c>
      <c r="L762" s="1174">
        <f t="shared" ref="L762:L767" si="151">H762*G762</f>
        <v>0</v>
      </c>
      <c r="M762" s="1174">
        <f t="shared" ref="M762:M767" si="152">I762*G762</f>
        <v>0</v>
      </c>
      <c r="N762" s="1174">
        <f t="shared" ref="N762:N767" si="153">J762*G762</f>
        <v>0</v>
      </c>
      <c r="O762" s="1083">
        <f t="shared" ref="O762:O767" si="154">K762*G762</f>
        <v>0</v>
      </c>
      <c r="P762" s="1074"/>
      <c r="R762" s="1195"/>
    </row>
    <row r="763" spans="1:18" s="1081" customFormat="1" hidden="1" outlineLevel="1">
      <c r="A763" s="1154">
        <f t="shared" si="150"/>
        <v>0</v>
      </c>
      <c r="B763" s="1065" t="s">
        <v>651</v>
      </c>
      <c r="C763" s="1074"/>
      <c r="D763" s="1075">
        <f>VLOOKUP($B763,dongia1,DG!$B$5,)</f>
        <v>0</v>
      </c>
      <c r="E763" s="1076" t="str">
        <f>VLOOKUP($B763,dongia1,DG!$C$5,)</f>
        <v>Thép tấm 5mm</v>
      </c>
      <c r="F763" s="1075" t="str">
        <f>VLOOKUP($B763,dongia1,DG!$D$5,)</f>
        <v>kg</v>
      </c>
      <c r="G763" s="1579"/>
      <c r="H763" s="1062">
        <f>VLOOKUP($B763,dongia1,DG!$F$5,)</f>
        <v>31625</v>
      </c>
      <c r="I763" s="1062"/>
      <c r="J763" s="1062">
        <f>VLOOKUP($B763,dongia1,DG!$G$5,)</f>
        <v>0</v>
      </c>
      <c r="K763" s="1062">
        <f>VLOOKUP($B763,dongia1,DG!$H$5,)</f>
        <v>0</v>
      </c>
      <c r="L763" s="1174">
        <f t="shared" si="151"/>
        <v>0</v>
      </c>
      <c r="M763" s="1174">
        <f t="shared" si="152"/>
        <v>0</v>
      </c>
      <c r="N763" s="1174">
        <f t="shared" si="153"/>
        <v>0</v>
      </c>
      <c r="O763" s="1083">
        <f t="shared" si="154"/>
        <v>0</v>
      </c>
      <c r="P763" s="1074"/>
      <c r="R763" s="1195"/>
    </row>
    <row r="764" spans="1:18" s="1081" customFormat="1" hidden="1" outlineLevel="1">
      <c r="A764" s="1154">
        <f t="shared" si="150"/>
        <v>0</v>
      </c>
      <c r="B764" s="1065" t="s">
        <v>4814</v>
      </c>
      <c r="C764" s="1074"/>
      <c r="D764" s="1075">
        <f>VLOOKUP($B764,dongia1,DG!$B$5,)</f>
        <v>0</v>
      </c>
      <c r="E764" s="1076" t="str">
        <f>VLOOKUP($B764,dongia1,DG!$C$5,)</f>
        <v>Boulon 16x200VRS+ 4 long đền vuông D18-50x50x3/Zn</v>
      </c>
      <c r="F764" s="1075" t="str">
        <f>VLOOKUP($B764,dongia1,DG!$D$5,)</f>
        <v>bộ</v>
      </c>
      <c r="G764" s="1579"/>
      <c r="H764" s="1062">
        <f>VLOOKUP($B764,dongia1,DG!$F$5,)</f>
        <v>26800</v>
      </c>
      <c r="I764" s="1062"/>
      <c r="J764" s="1062">
        <f>VLOOKUP($B764,dongia1,DG!$G$5,)</f>
        <v>0</v>
      </c>
      <c r="K764" s="1062">
        <f>VLOOKUP($B764,dongia1,DG!$H$5,)</f>
        <v>0</v>
      </c>
      <c r="L764" s="1174">
        <f t="shared" si="151"/>
        <v>0</v>
      </c>
      <c r="M764" s="1174">
        <f t="shared" si="152"/>
        <v>0</v>
      </c>
      <c r="N764" s="1174">
        <f t="shared" si="153"/>
        <v>0</v>
      </c>
      <c r="O764" s="1083">
        <f t="shared" si="154"/>
        <v>0</v>
      </c>
      <c r="P764" s="1074"/>
      <c r="R764" s="1195"/>
    </row>
    <row r="765" spans="1:18" s="1081" customFormat="1" hidden="1" outlineLevel="1">
      <c r="A765" s="1154">
        <f t="shared" si="150"/>
        <v>0</v>
      </c>
      <c r="B765" s="1065" t="s">
        <v>1132</v>
      </c>
      <c r="C765" s="1074"/>
      <c r="D765" s="1075">
        <f>VLOOKUP($B765,dongia1,DG!$B$5,)</f>
        <v>0</v>
      </c>
      <c r="E765" s="1076" t="str">
        <f>VLOOKUP($B765,dongia1,DG!$C$5,)</f>
        <v>Boulon 16x350VRS+ 4 long đền vuông D18-50x50x3/Zn</v>
      </c>
      <c r="F765" s="1075" t="str">
        <f>VLOOKUP($B765,dongia1,DG!$D$5,)</f>
        <v>bộ</v>
      </c>
      <c r="G765" s="1579"/>
      <c r="H765" s="1062">
        <f>VLOOKUP($B765,dongia1,DG!$F$5,)</f>
        <v>32800</v>
      </c>
      <c r="I765" s="1062"/>
      <c r="J765" s="1062">
        <f>VLOOKUP($B765,dongia1,DG!$G$5,)</f>
        <v>0</v>
      </c>
      <c r="K765" s="1062">
        <f>VLOOKUP($B765,dongia1,DG!$H$5,)</f>
        <v>0</v>
      </c>
      <c r="L765" s="1174">
        <f t="shared" si="151"/>
        <v>0</v>
      </c>
      <c r="M765" s="1174">
        <f t="shared" si="152"/>
        <v>0</v>
      </c>
      <c r="N765" s="1174">
        <f t="shared" si="153"/>
        <v>0</v>
      </c>
      <c r="O765" s="1083">
        <f t="shared" si="154"/>
        <v>0</v>
      </c>
      <c r="P765" s="1074"/>
      <c r="R765" s="1195"/>
    </row>
    <row r="766" spans="1:18" s="1081" customFormat="1" hidden="1" outlineLevel="1">
      <c r="A766" s="1154">
        <f t="shared" si="150"/>
        <v>0</v>
      </c>
      <c r="B766" s="1065" t="s">
        <v>1539</v>
      </c>
      <c r="C766" s="1074"/>
      <c r="D766" s="1075">
        <f>VLOOKUP($B766,dongia1,DG!$B$5,)</f>
        <v>0</v>
      </c>
      <c r="E766" s="1076" t="str">
        <f>VLOOKUP($B766,dongia1,DG!$C$5,)</f>
        <v>Boulon 16x350+ 2 long đền vuông D18-50x50x3/Zn</v>
      </c>
      <c r="F766" s="1075" t="str">
        <f>VLOOKUP($B766,dongia1,DG!$D$5,)</f>
        <v>bộ</v>
      </c>
      <c r="G766" s="1579"/>
      <c r="H766" s="1062">
        <f>VLOOKUP($B766,dongia1,DG!$F$5,)</f>
        <v>27900</v>
      </c>
      <c r="I766" s="1062"/>
      <c r="J766" s="1062">
        <f>VLOOKUP($B766,dongia1,DG!$G$5,)</f>
        <v>0</v>
      </c>
      <c r="K766" s="1062">
        <f>VLOOKUP($B766,dongia1,DG!$H$5,)</f>
        <v>0</v>
      </c>
      <c r="L766" s="1174">
        <f t="shared" si="151"/>
        <v>0</v>
      </c>
      <c r="M766" s="1174">
        <f t="shared" si="152"/>
        <v>0</v>
      </c>
      <c r="N766" s="1174">
        <f t="shared" si="153"/>
        <v>0</v>
      </c>
      <c r="O766" s="1083">
        <f t="shared" si="154"/>
        <v>0</v>
      </c>
      <c r="P766" s="1074"/>
      <c r="R766" s="1195"/>
    </row>
    <row r="767" spans="1:18" s="1081" customFormat="1" hidden="1" outlineLevel="1">
      <c r="A767" s="1154">
        <f t="shared" si="150"/>
        <v>0</v>
      </c>
      <c r="B767" s="1065" t="s">
        <v>813</v>
      </c>
      <c r="C767" s="1074"/>
      <c r="D767" s="1075" t="str">
        <f>VLOOKUP($B767,dongia1,DG!$B$5,)</f>
        <v>D2.6031</v>
      </c>
      <c r="E767" s="1076" t="str">
        <f>VLOOKUP($B767,dongia1,DG!$C$5,)</f>
        <v>Lắp xà đỡ 50kg</v>
      </c>
      <c r="F767" s="1075" t="str">
        <f>VLOOKUP($B767,dongia1,DG!$D$5,)</f>
        <v>bộ</v>
      </c>
      <c r="G767" s="1579"/>
      <c r="H767" s="1062">
        <f>VLOOKUP($B767,dongia1,DG!$F$5,)</f>
        <v>0</v>
      </c>
      <c r="I767" s="1062"/>
      <c r="J767" s="1062">
        <f>VLOOKUP($B767,dongia1,DG!$G$5,)</f>
        <v>296544.75</v>
      </c>
      <c r="K767" s="1062">
        <f>VLOOKUP($B767,dongia1,DG!$H$5,)</f>
        <v>0</v>
      </c>
      <c r="L767" s="1174">
        <f t="shared" si="151"/>
        <v>0</v>
      </c>
      <c r="M767" s="1174">
        <f t="shared" si="152"/>
        <v>0</v>
      </c>
      <c r="N767" s="1174">
        <f t="shared" si="153"/>
        <v>0</v>
      </c>
      <c r="O767" s="1083">
        <f t="shared" si="154"/>
        <v>0</v>
      </c>
      <c r="P767" s="1074"/>
      <c r="R767" s="1195"/>
    </row>
    <row r="768" spans="1:18" s="1081" customFormat="1" hidden="1" outlineLevel="1">
      <c r="A768" s="1154">
        <f>IF(G768&lt;&gt;0,1,)</f>
        <v>0</v>
      </c>
      <c r="B768" s="1073"/>
      <c r="C768" s="1064">
        <f>IF(G768&gt;0,C761+1,C761)</f>
        <v>0</v>
      </c>
      <c r="D768" s="1192"/>
      <c r="E768" s="1580" t="s">
        <v>5027</v>
      </c>
      <c r="F768" s="1577" t="s">
        <v>2113</v>
      </c>
      <c r="G768" s="1576"/>
      <c r="H768" s="1083"/>
      <c r="I768" s="1083"/>
      <c r="J768" s="1083"/>
      <c r="K768" s="1083"/>
      <c r="L768" s="1174">
        <f t="shared" si="146"/>
        <v>0</v>
      </c>
      <c r="M768" s="1174">
        <f t="shared" si="147"/>
        <v>0</v>
      </c>
      <c r="N768" s="1174">
        <f t="shared" si="148"/>
        <v>0</v>
      </c>
      <c r="O768" s="1083">
        <f t="shared" si="149"/>
        <v>0</v>
      </c>
      <c r="P768" s="1074"/>
    </row>
    <row r="769" spans="1:18" s="1081" customFormat="1" hidden="1" outlineLevel="1">
      <c r="A769" s="1154">
        <f>IF(G769&lt;&gt;0,1,)</f>
        <v>0</v>
      </c>
      <c r="B769" s="1065" t="s">
        <v>204</v>
      </c>
      <c r="C769" s="1074"/>
      <c r="D769" s="1075">
        <f>VLOOKUP($B769,dongia1,DG!$B$5,)</f>
        <v>0</v>
      </c>
      <c r="E769" s="1076" t="str">
        <f>VLOOKUP($B769,dongia1,DG!$C$5,)</f>
        <v>Kẹp cáp 3 boulon</v>
      </c>
      <c r="F769" s="1075" t="str">
        <f>VLOOKUP($B769,dongia1,DG!$D$5,)</f>
        <v>cái</v>
      </c>
      <c r="G769" s="1579"/>
      <c r="H769" s="1062">
        <f>VLOOKUP($B769,dongia1,DG!$F$5,)</f>
        <v>38000</v>
      </c>
      <c r="I769" s="1062"/>
      <c r="J769" s="1062">
        <f>VLOOKUP($B769,dongia1,DG!$G$5,)</f>
        <v>0</v>
      </c>
      <c r="K769" s="1062">
        <f>VLOOKUP($B769,dongia1,DG!$H$5,)</f>
        <v>0</v>
      </c>
      <c r="L769" s="1174">
        <f t="shared" si="146"/>
        <v>0</v>
      </c>
      <c r="M769" s="1174">
        <f t="shared" si="147"/>
        <v>0</v>
      </c>
      <c r="N769" s="1174">
        <f t="shared" si="148"/>
        <v>0</v>
      </c>
      <c r="O769" s="1083">
        <f t="shared" si="149"/>
        <v>0</v>
      </c>
      <c r="P769" s="1074"/>
      <c r="R769" s="1195"/>
    </row>
    <row r="770" spans="1:18" s="1081" customFormat="1" hidden="1" outlineLevel="1">
      <c r="A770" s="1154">
        <f>IF(G770&lt;&gt;0,1,)</f>
        <v>0</v>
      </c>
      <c r="B770" s="1065" t="s">
        <v>2075</v>
      </c>
      <c r="C770" s="1074"/>
      <c r="D770" s="1075">
        <f>VLOOKUP($B770,dongia1,DG!$B$5,)</f>
        <v>0</v>
      </c>
      <c r="E770" s="1076" t="str">
        <f>VLOOKUP($B770,dongia1,DG!$C$5,)</f>
        <v>Cáp thép 3/8"</v>
      </c>
      <c r="F770" s="1075" t="str">
        <f>VLOOKUP($B770,dongia1,DG!$D$5,)</f>
        <v>kg</v>
      </c>
      <c r="G770" s="1581"/>
      <c r="H770" s="1062">
        <f>VLOOKUP($B770,dongia1,DG!$F$5,)</f>
        <v>47300</v>
      </c>
      <c r="I770" s="1062"/>
      <c r="J770" s="1062">
        <f>VLOOKUP($B770,dongia1,DG!$G$5,)</f>
        <v>0</v>
      </c>
      <c r="K770" s="1062">
        <f>VLOOKUP($B770,dongia1,DG!$H$5,)</f>
        <v>0</v>
      </c>
      <c r="L770" s="1174">
        <f t="shared" si="146"/>
        <v>0</v>
      </c>
      <c r="M770" s="1174">
        <f t="shared" si="147"/>
        <v>0</v>
      </c>
      <c r="N770" s="1174">
        <f t="shared" si="148"/>
        <v>0</v>
      </c>
      <c r="O770" s="1083">
        <f t="shared" si="149"/>
        <v>0</v>
      </c>
      <c r="P770" s="1074"/>
      <c r="R770" s="1195"/>
    </row>
    <row r="771" spans="1:18" s="1081" customFormat="1" hidden="1" outlineLevel="1">
      <c r="A771" s="1154">
        <f>IF(G771&lt;&gt;0,1,)</f>
        <v>0</v>
      </c>
      <c r="B771" s="1073"/>
      <c r="C771" s="1064">
        <f>IF(G771&gt;0,C768+1,C768)</f>
        <v>0</v>
      </c>
      <c r="D771" s="1192"/>
      <c r="E771" s="1193" t="s">
        <v>3390</v>
      </c>
      <c r="F771" s="1064" t="s">
        <v>2113</v>
      </c>
      <c r="G771" s="1064"/>
      <c r="H771" s="1083"/>
      <c r="I771" s="1083"/>
      <c r="J771" s="1083"/>
      <c r="K771" s="1083"/>
      <c r="L771" s="1174">
        <f t="shared" ref="L771:L776" si="155">H771*G771</f>
        <v>0</v>
      </c>
      <c r="M771" s="1174">
        <f t="shared" ref="M771:M776" si="156">I771*G771</f>
        <v>0</v>
      </c>
      <c r="N771" s="1174">
        <f t="shared" ref="N771:N776" si="157">J771*G771</f>
        <v>0</v>
      </c>
      <c r="O771" s="1083">
        <f t="shared" ref="O771:O776" si="158">K771*G771</f>
        <v>0</v>
      </c>
      <c r="P771" s="1074"/>
    </row>
    <row r="772" spans="1:18" s="1081" customFormat="1" ht="14.4" hidden="1" outlineLevel="1">
      <c r="A772" s="1154">
        <f>A771</f>
        <v>0</v>
      </c>
      <c r="B772" s="1073"/>
      <c r="C772" s="1064"/>
      <c r="D772" s="1192"/>
      <c r="E772" s="1194" t="s">
        <v>3399</v>
      </c>
      <c r="F772" s="1074"/>
      <c r="G772" s="1074"/>
      <c r="H772" s="1083"/>
      <c r="I772" s="1083"/>
      <c r="J772" s="1083"/>
      <c r="K772" s="1083"/>
      <c r="L772" s="1174">
        <f t="shared" si="155"/>
        <v>0</v>
      </c>
      <c r="M772" s="1174">
        <f t="shared" si="156"/>
        <v>0</v>
      </c>
      <c r="N772" s="1174">
        <f t="shared" si="157"/>
        <v>0</v>
      </c>
      <c r="O772" s="1083">
        <f t="shared" si="158"/>
        <v>0</v>
      </c>
      <c r="P772" s="1074"/>
      <c r="R772" s="1195"/>
    </row>
    <row r="773" spans="1:18" s="1081" customFormat="1" hidden="1" outlineLevel="1">
      <c r="A773" s="1154">
        <f>IF(G773&lt;&gt;0,1,)</f>
        <v>0</v>
      </c>
      <c r="B773" s="1067" t="s">
        <v>580</v>
      </c>
      <c r="C773" s="1074"/>
      <c r="D773" s="1075" t="str">
        <f>VLOOKUP($B773,dongia1,DG!$B$5,)</f>
        <v>AG.42111</v>
      </c>
      <c r="E773" s="1076" t="str">
        <f>VLOOKUP($B773,dongia1,DG!$C$5,)</f>
        <v>Đà cản BTCT 1,2m</v>
      </c>
      <c r="F773" s="1075" t="str">
        <f>VLOOKUP($B773,dongia1,DG!$D$5,)</f>
        <v>cái</v>
      </c>
      <c r="G773" s="1074">
        <f>1*G771</f>
        <v>0</v>
      </c>
      <c r="H773" s="1062">
        <f>VLOOKUP($B773,dongia1,DG!$F$5,)</f>
        <v>354545</v>
      </c>
      <c r="I773" s="1062"/>
      <c r="J773" s="1062">
        <f>VLOOKUP($B773,dongia1,DG!$G$5,)</f>
        <v>37220.25</v>
      </c>
      <c r="K773" s="1062">
        <f>VLOOKUP($B773,dongia1,DG!$H$5,)</f>
        <v>0</v>
      </c>
      <c r="L773" s="1174">
        <f t="shared" si="155"/>
        <v>0</v>
      </c>
      <c r="M773" s="1174">
        <f t="shared" si="156"/>
        <v>0</v>
      </c>
      <c r="N773" s="1174">
        <f t="shared" si="157"/>
        <v>0</v>
      </c>
      <c r="O773" s="1083">
        <f t="shared" si="158"/>
        <v>0</v>
      </c>
      <c r="P773" s="1074"/>
      <c r="R773" s="1195"/>
    </row>
    <row r="774" spans="1:18" s="1081" customFormat="1" hidden="1" outlineLevel="1">
      <c r="A774" s="1154">
        <f>IF(G774&lt;&gt;0,1,)</f>
        <v>0</v>
      </c>
      <c r="B774" s="1067" t="s">
        <v>952</v>
      </c>
      <c r="C774" s="1074"/>
      <c r="D774" s="1075">
        <f>VLOOKUP($B774,dongia1,DG!$B$5,)</f>
        <v>0</v>
      </c>
      <c r="E774" s="1076" t="str">
        <f>VLOOKUP($B774,dongia1,DG!$C$5,)</f>
        <v>Boulon 22x650+ 2 long đền vuông D24-60x60x3/Zn</v>
      </c>
      <c r="F774" s="1075" t="str">
        <f>VLOOKUP($B774,dongia1,DG!$D$5,)</f>
        <v>bộ</v>
      </c>
      <c r="G774" s="1074">
        <f>G771</f>
        <v>0</v>
      </c>
      <c r="H774" s="1062">
        <f>VLOOKUP($B774,dongia1,DG!$F$5,)</f>
        <v>92200</v>
      </c>
      <c r="I774" s="1062"/>
      <c r="J774" s="1062">
        <f>VLOOKUP($B774,dongia1,DG!$G$5,)</f>
        <v>0</v>
      </c>
      <c r="K774" s="1062">
        <f>VLOOKUP($B774,dongia1,DG!$H$5,)</f>
        <v>0</v>
      </c>
      <c r="L774" s="1174">
        <f t="shared" si="155"/>
        <v>0</v>
      </c>
      <c r="M774" s="1174">
        <f t="shared" si="156"/>
        <v>0</v>
      </c>
      <c r="N774" s="1174">
        <f t="shared" si="157"/>
        <v>0</v>
      </c>
      <c r="O774" s="1083">
        <f t="shared" si="158"/>
        <v>0</v>
      </c>
      <c r="P774" s="1074"/>
      <c r="R774" s="1195"/>
    </row>
    <row r="775" spans="1:18" s="1081" customFormat="1" hidden="1" outlineLevel="1">
      <c r="A775" s="1154">
        <f>IF(G775&lt;&gt;0,1,)</f>
        <v>0</v>
      </c>
      <c r="B775" s="1067" t="str">
        <f>IF(capdat=1,"MDD1",IF(capdat=2,"MDD2",IF(capdat=3,"MDD3",IF(capdat=4,"MDD4"))))</f>
        <v>MDD3</v>
      </c>
      <c r="C775" s="1074"/>
      <c r="D775" s="1075" t="str">
        <f>VLOOKUP($B775,dongia1,DG!$B$5,)</f>
        <v>03.1013</v>
      </c>
      <c r="E775" s="1076" t="str">
        <f>VLOOKUP($B775,dongia1,DG!$C$5,)</f>
        <v>Đào hố móng đất cấp 3 sâu &gt;1m DT&lt;5m2</v>
      </c>
      <c r="F775" s="1075" t="str">
        <f>VLOOKUP($B775,dongia1,DG!$D$5,)</f>
        <v>m3</v>
      </c>
      <c r="G775" s="1197">
        <f>G771*1.45</f>
        <v>0</v>
      </c>
      <c r="H775" s="1062">
        <f>VLOOKUP($B775,dongia1,DG!$F$5,)</f>
        <v>0</v>
      </c>
      <c r="I775" s="1062"/>
      <c r="J775" s="1062">
        <f>VLOOKUP($B775,dongia1,DG!$G$5,)</f>
        <v>296500.89999999997</v>
      </c>
      <c r="K775" s="1062">
        <f>VLOOKUP($B775,dongia1,DG!$H$5,)</f>
        <v>0</v>
      </c>
      <c r="L775" s="1174">
        <f t="shared" si="155"/>
        <v>0</v>
      </c>
      <c r="M775" s="1174">
        <f t="shared" si="156"/>
        <v>0</v>
      </c>
      <c r="N775" s="1174">
        <f t="shared" si="157"/>
        <v>0</v>
      </c>
      <c r="O775" s="1083">
        <f t="shared" si="158"/>
        <v>0</v>
      </c>
      <c r="P775" s="1074"/>
      <c r="R775" s="1195"/>
    </row>
    <row r="776" spans="1:18" s="1081" customFormat="1" hidden="1" outlineLevel="1">
      <c r="A776" s="1154">
        <f>IF(G776&lt;&gt;0,1,)</f>
        <v>0</v>
      </c>
      <c r="B776" s="1067" t="str">
        <f>IF(capdat=1,"MDAP1",IF(capdat=2,"MDAP2",IF(capdat=3,"MDAP3",IF(capdat=4,"MDAP4"))))</f>
        <v>MDAP3</v>
      </c>
      <c r="C776" s="1074"/>
      <c r="D776" s="1075" t="str">
        <f>VLOOKUP($B776,dongia1,DG!$B$5,)</f>
        <v>AB.13111</v>
      </c>
      <c r="E776" s="1076" t="str">
        <f>VLOOKUP($B776,dongia1,DG!$C$5,)</f>
        <v>Đắp đất hố móng, đất cấp 3 (độ chặt k = 0.85)</v>
      </c>
      <c r="F776" s="1075" t="str">
        <f>VLOOKUP($B776,dongia1,DG!$D$5,)</f>
        <v>m3</v>
      </c>
      <c r="G776" s="1197">
        <f>G771*1.37</f>
        <v>0</v>
      </c>
      <c r="H776" s="1062">
        <f>VLOOKUP($B776,dongia1,DG!$F$5,)</f>
        <v>0</v>
      </c>
      <c r="I776" s="1062"/>
      <c r="J776" s="1062">
        <f>VLOOKUP($B776,dongia1,DG!$G$5,)</f>
        <v>117703.6</v>
      </c>
      <c r="K776" s="1062">
        <f>VLOOKUP($B776,dongia1,DG!$H$5,)</f>
        <v>0</v>
      </c>
      <c r="L776" s="1174">
        <f t="shared" si="155"/>
        <v>0</v>
      </c>
      <c r="M776" s="1174">
        <f t="shared" si="156"/>
        <v>0</v>
      </c>
      <c r="N776" s="1174">
        <f t="shared" si="157"/>
        <v>0</v>
      </c>
      <c r="O776" s="1083">
        <f t="shared" si="158"/>
        <v>0</v>
      </c>
      <c r="P776" s="1074"/>
      <c r="R776" s="1195"/>
    </row>
    <row r="777" spans="1:18" s="1081" customFormat="1" hidden="1" outlineLevel="1">
      <c r="A777" s="1154"/>
      <c r="B777" s="1067"/>
      <c r="C777" s="1064">
        <f>IF(G777&gt;0,C771+1,C771)</f>
        <v>0</v>
      </c>
      <c r="D777" s="1285"/>
      <c r="E777" s="851" t="s">
        <v>5028</v>
      </c>
      <c r="F777" s="852" t="s">
        <v>2113</v>
      </c>
      <c r="G777" s="1236"/>
      <c r="H777" s="1062"/>
      <c r="I777" s="1062"/>
      <c r="J777" s="1062"/>
      <c r="K777" s="1062"/>
      <c r="L777" s="1174"/>
      <c r="M777" s="1174"/>
      <c r="N777" s="1174"/>
      <c r="O777" s="1083"/>
      <c r="P777" s="1074"/>
      <c r="R777" s="1195"/>
    </row>
    <row r="778" spans="1:18" s="1590" customFormat="1" hidden="1" outlineLevel="1">
      <c r="A778" s="1582">
        <f t="shared" ref="A778:A787" si="159">IF(G778&lt;&gt;0,1,)</f>
        <v>0</v>
      </c>
      <c r="B778" s="1583" t="s">
        <v>4938</v>
      </c>
      <c r="C778" s="1584"/>
      <c r="D778" s="1585">
        <f>VLOOKUP($B778,dongia1,DG!$B$5,)</f>
        <v>0</v>
      </c>
      <c r="E778" s="1586" t="str">
        <f>VLOOKUP($B778,dongia1,DG!$C$5,)</f>
        <v>Sắt góc L75 x75 x8x2200 (4 ốp)</v>
      </c>
      <c r="F778" s="1585" t="str">
        <f>VLOOKUP($B778,dongia1,DG!$D$5,)</f>
        <v xml:space="preserve">thanh </v>
      </c>
      <c r="G778" s="1592"/>
      <c r="H778" s="1587"/>
      <c r="I778" s="1587"/>
      <c r="J778" s="1587">
        <f>VLOOKUP($B778,dongia1,DG!$G$5,)</f>
        <v>0</v>
      </c>
      <c r="K778" s="1587">
        <f>VLOOKUP($B778,dongia1,DG!$H$5,)</f>
        <v>0</v>
      </c>
      <c r="L778" s="1588">
        <f t="shared" ref="L778:L787" si="160">H778*G778</f>
        <v>0</v>
      </c>
      <c r="M778" s="1588">
        <f t="shared" ref="M778:M787" si="161">I778*G778</f>
        <v>0</v>
      </c>
      <c r="N778" s="1588">
        <f t="shared" ref="N778:N787" si="162">J778*G778</f>
        <v>0</v>
      </c>
      <c r="O778" s="1589">
        <f t="shared" ref="O778:O787" si="163">K778*G778</f>
        <v>0</v>
      </c>
      <c r="P778" s="1584" t="s">
        <v>4575</v>
      </c>
      <c r="R778" s="1591"/>
    </row>
    <row r="779" spans="1:18" s="1590" customFormat="1" hidden="1" outlineLevel="1">
      <c r="A779" s="1582">
        <f t="shared" si="159"/>
        <v>0</v>
      </c>
      <c r="B779" s="1583" t="s">
        <v>4930</v>
      </c>
      <c r="C779" s="1584"/>
      <c r="D779" s="1585">
        <f>VLOOKUP($B779,dongia1,DG!$B$5,)</f>
        <v>0</v>
      </c>
      <c r="E779" s="1586" t="s">
        <v>5029</v>
      </c>
      <c r="F779" s="1585" t="str">
        <f>VLOOKUP($B779,dongia1,DG!$D$5,)</f>
        <v xml:space="preserve">thanh </v>
      </c>
      <c r="G779" s="1592"/>
      <c r="H779" s="1587"/>
      <c r="I779" s="1587"/>
      <c r="J779" s="1587">
        <f>VLOOKUP($B779,dongia1,DG!$G$5,)</f>
        <v>0</v>
      </c>
      <c r="K779" s="1587">
        <f>VLOOKUP($B779,dongia1,DG!$H$5,)</f>
        <v>0</v>
      </c>
      <c r="L779" s="1588">
        <f t="shared" si="160"/>
        <v>0</v>
      </c>
      <c r="M779" s="1588">
        <f t="shared" si="161"/>
        <v>0</v>
      </c>
      <c r="N779" s="1588">
        <f t="shared" si="162"/>
        <v>0</v>
      </c>
      <c r="O779" s="1589">
        <f t="shared" si="163"/>
        <v>0</v>
      </c>
      <c r="P779" s="1584" t="s">
        <v>4575</v>
      </c>
      <c r="R779" s="1591"/>
    </row>
    <row r="780" spans="1:18" s="1590" customFormat="1" hidden="1" outlineLevel="1">
      <c r="A780" s="1582">
        <f t="shared" si="159"/>
        <v>0</v>
      </c>
      <c r="B780" s="1583" t="s">
        <v>1261</v>
      </c>
      <c r="C780" s="1584"/>
      <c r="D780" s="1585">
        <f>VLOOKUP($B780,dongia1,DG!$B$5,)</f>
        <v>0</v>
      </c>
      <c r="E780" s="1586" t="str">
        <f>VLOOKUP($B780,dongia1,DG!$C$5,)</f>
        <v>Boulon 16x250+ 2 long đền vuông D18-50x50x3/Zn</v>
      </c>
      <c r="F780" s="1585" t="str">
        <f>VLOOKUP($B780,dongia1,DG!$D$5,)</f>
        <v>bộ</v>
      </c>
      <c r="G780" s="1592"/>
      <c r="H780" s="1587"/>
      <c r="I780" s="1587"/>
      <c r="J780" s="1587">
        <f>VLOOKUP($B780,dongia1,DG!$G$5,)</f>
        <v>0</v>
      </c>
      <c r="K780" s="1587">
        <f>VLOOKUP($B780,dongia1,DG!$H$5,)</f>
        <v>0</v>
      </c>
      <c r="L780" s="1588">
        <f t="shared" si="160"/>
        <v>0</v>
      </c>
      <c r="M780" s="1588">
        <f t="shared" si="161"/>
        <v>0</v>
      </c>
      <c r="N780" s="1588">
        <f t="shared" si="162"/>
        <v>0</v>
      </c>
      <c r="O780" s="1589">
        <f t="shared" si="163"/>
        <v>0</v>
      </c>
      <c r="P780" s="1584" t="s">
        <v>4575</v>
      </c>
      <c r="R780" s="1591"/>
    </row>
    <row r="781" spans="1:18" s="1590" customFormat="1" hidden="1" outlineLevel="1">
      <c r="A781" s="1582">
        <f t="shared" si="159"/>
        <v>0</v>
      </c>
      <c r="B781" s="1583" t="s">
        <v>921</v>
      </c>
      <c r="C781" s="1584"/>
      <c r="D781" s="1585">
        <f>VLOOKUP($B781,dongia1,DG!$B$5,)</f>
        <v>0</v>
      </c>
      <c r="E781" s="1586" t="str">
        <f>VLOOKUP($B781,dongia1,DG!$C$5,)</f>
        <v>Boulon 16x250VRS+ 4 long đền vuông D18-50x50x3/Zn</v>
      </c>
      <c r="F781" s="1585" t="str">
        <f>VLOOKUP($B781,dongia1,DG!$D$5,)</f>
        <v>bộ</v>
      </c>
      <c r="G781" s="1592"/>
      <c r="H781" s="1587"/>
      <c r="I781" s="1587"/>
      <c r="J781" s="1587">
        <f>VLOOKUP($B781,dongia1,DG!$G$5,)</f>
        <v>0</v>
      </c>
      <c r="K781" s="1587">
        <f>VLOOKUP($B781,dongia1,DG!$H$5,)</f>
        <v>0</v>
      </c>
      <c r="L781" s="1588">
        <f t="shared" si="160"/>
        <v>0</v>
      </c>
      <c r="M781" s="1588">
        <f t="shared" si="161"/>
        <v>0</v>
      </c>
      <c r="N781" s="1588">
        <f t="shared" si="162"/>
        <v>0</v>
      </c>
      <c r="O781" s="1589">
        <f t="shared" si="163"/>
        <v>0</v>
      </c>
      <c r="P781" s="1584" t="s">
        <v>4575</v>
      </c>
      <c r="R781" s="1591"/>
    </row>
    <row r="782" spans="1:18" s="1590" customFormat="1" hidden="1" outlineLevel="1">
      <c r="A782" s="1582">
        <f t="shared" si="159"/>
        <v>0</v>
      </c>
      <c r="B782" s="1583" t="s">
        <v>1043</v>
      </c>
      <c r="C782" s="1584"/>
      <c r="D782" s="1585">
        <f>VLOOKUP($B782,dongia1,DG!$B$5,)</f>
        <v>0</v>
      </c>
      <c r="E782" s="1586" t="str">
        <f>VLOOKUP($B782,dongia1,DG!$C$5,)</f>
        <v>Boulon 16x35+ 2 long đền vuông D18-50x50x3/Zn</v>
      </c>
      <c r="F782" s="1585" t="str">
        <f>VLOOKUP($B782,dongia1,DG!$D$5,)</f>
        <v>bộ</v>
      </c>
      <c r="G782" s="1592"/>
      <c r="H782" s="1587"/>
      <c r="I782" s="1587"/>
      <c r="J782" s="1587">
        <f>VLOOKUP($B782,dongia1,DG!$G$5,)</f>
        <v>0</v>
      </c>
      <c r="K782" s="1587">
        <f>VLOOKUP($B782,dongia1,DG!$H$5,)</f>
        <v>0</v>
      </c>
      <c r="L782" s="1588">
        <f t="shared" si="160"/>
        <v>0</v>
      </c>
      <c r="M782" s="1588">
        <f t="shared" si="161"/>
        <v>0</v>
      </c>
      <c r="N782" s="1588">
        <f t="shared" si="162"/>
        <v>0</v>
      </c>
      <c r="O782" s="1589">
        <f t="shared" si="163"/>
        <v>0</v>
      </c>
      <c r="P782" s="1584" t="s">
        <v>4575</v>
      </c>
      <c r="R782" s="1591"/>
    </row>
    <row r="783" spans="1:18" s="1081" customFormat="1" hidden="1" outlineLevel="1">
      <c r="A783" s="1154">
        <f>IF(G783&lt;&gt;0,1,)</f>
        <v>0</v>
      </c>
      <c r="B783" s="16" t="s">
        <v>535</v>
      </c>
      <c r="C783" s="1074"/>
      <c r="D783" s="1075" t="str">
        <f>VLOOKUP($B783,dongia1,DG!$B$5,)</f>
        <v>D2.6032</v>
      </c>
      <c r="E783" s="1076" t="str">
        <f>VLOOKUP($B783,dongia1,DG!$C$5,)</f>
        <v>Lắp xà néo 50kg</v>
      </c>
      <c r="F783" s="1075" t="str">
        <f>VLOOKUP($B783,dongia1,DG!$D$5,)</f>
        <v>bộ</v>
      </c>
      <c r="G783" s="1077"/>
      <c r="H783" s="1062">
        <f>VLOOKUP($B783,dongia1,DG!$F$5,)</f>
        <v>0</v>
      </c>
      <c r="I783" s="1062"/>
      <c r="J783" s="1062" t="str">
        <f>VLOOKUP($B783,dongia1,DG!$G$5,)&amp;"x"&amp;hslx</f>
        <v>394533,45x1,5</v>
      </c>
      <c r="K783" s="1062">
        <f>VLOOKUP($B783,dongia1,DG!$H$5,)</f>
        <v>0</v>
      </c>
      <c r="L783" s="1174">
        <f>H783*G783</f>
        <v>0</v>
      </c>
      <c r="M783" s="1174">
        <f>I783*G783</f>
        <v>0</v>
      </c>
      <c r="N783" s="1174">
        <f>VLOOKUP($B783,dongia1,DG!$G$5,)*G783*hslx</f>
        <v>0</v>
      </c>
      <c r="O783" s="1083">
        <f>K783*G783</f>
        <v>0</v>
      </c>
      <c r="P783" s="1074"/>
      <c r="R783" s="1195"/>
    </row>
    <row r="784" spans="1:18" s="1081" customFormat="1" hidden="1" outlineLevel="1">
      <c r="A784" s="1154">
        <f>IF(G784&lt;&gt;0,1,)</f>
        <v>0</v>
      </c>
      <c r="B784" s="678"/>
      <c r="C784" s="1064">
        <f>IF(G784&gt;0,C777+1,C777)</f>
        <v>0</v>
      </c>
      <c r="D784" s="1075"/>
      <c r="E784" s="851" t="s">
        <v>5030</v>
      </c>
      <c r="F784" s="852" t="s">
        <v>2226</v>
      </c>
      <c r="G784" s="1236"/>
      <c r="H784" s="1062"/>
      <c r="I784" s="1062"/>
      <c r="J784" s="1062"/>
      <c r="K784" s="1062"/>
      <c r="L784" s="1174"/>
      <c r="M784" s="1174">
        <f>I784*G784</f>
        <v>0</v>
      </c>
      <c r="N784" s="1174"/>
      <c r="O784" s="1083"/>
      <c r="P784" s="1074"/>
      <c r="R784" s="1195"/>
    </row>
    <row r="785" spans="1:18" s="1590" customFormat="1" hidden="1" outlineLevel="1">
      <c r="A785" s="1582">
        <f t="shared" si="159"/>
        <v>0</v>
      </c>
      <c r="B785" s="1593" t="s">
        <v>647</v>
      </c>
      <c r="C785" s="1584"/>
      <c r="D785" s="1585">
        <f>VLOOKUP($B785,dongia1,DG!$B$5,)</f>
        <v>0</v>
      </c>
      <c r="E785" s="1586" t="str">
        <f>VLOOKUP($B785,dongia1,DG!$C$5,)</f>
        <v xml:space="preserve">Sứ đứng 24KV </v>
      </c>
      <c r="F785" s="1585" t="str">
        <f>VLOOKUP($B785,dongia1,DG!$D$5,)</f>
        <v>cái</v>
      </c>
      <c r="G785" s="1592"/>
      <c r="H785" s="1587"/>
      <c r="I785" s="1587"/>
      <c r="J785" s="1587">
        <f>VLOOKUP($B785,dongia1,DG!$G$5,)</f>
        <v>0</v>
      </c>
      <c r="K785" s="1587">
        <f>VLOOKUP($B785,dongia1,DG!$H$5,)</f>
        <v>0</v>
      </c>
      <c r="L785" s="1588">
        <f t="shared" si="160"/>
        <v>0</v>
      </c>
      <c r="M785" s="1588">
        <f t="shared" si="161"/>
        <v>0</v>
      </c>
      <c r="N785" s="1588">
        <f t="shared" si="162"/>
        <v>0</v>
      </c>
      <c r="O785" s="1589">
        <f t="shared" si="163"/>
        <v>0</v>
      </c>
      <c r="P785" s="1584" t="s">
        <v>4575</v>
      </c>
      <c r="R785" s="1591"/>
    </row>
    <row r="786" spans="1:18" s="1590" customFormat="1" hidden="1" outlineLevel="1">
      <c r="A786" s="1582">
        <f t="shared" si="159"/>
        <v>0</v>
      </c>
      <c r="B786" s="1593" t="s">
        <v>414</v>
      </c>
      <c r="C786" s="1584"/>
      <c r="D786" s="1585">
        <f>VLOOKUP($B786,dongia1,DG!$B$5,)</f>
        <v>0</v>
      </c>
      <c r="E786" s="1586" t="str">
        <f>VLOOKUP($B786,dongia1,DG!$C$5,)</f>
        <v>Chân sứ đứng D20</v>
      </c>
      <c r="F786" s="1585" t="str">
        <f>VLOOKUP($B786,dongia1,DG!$D$5,)</f>
        <v>cái</v>
      </c>
      <c r="G786" s="1592"/>
      <c r="H786" s="1587"/>
      <c r="I786" s="1587"/>
      <c r="J786" s="1587">
        <f>VLOOKUP($B786,dongia1,DG!$G$5,)</f>
        <v>0</v>
      </c>
      <c r="K786" s="1587">
        <f>VLOOKUP($B786,dongia1,DG!$H$5,)</f>
        <v>0</v>
      </c>
      <c r="L786" s="1588">
        <f t="shared" si="160"/>
        <v>0</v>
      </c>
      <c r="M786" s="1588">
        <f t="shared" si="161"/>
        <v>0</v>
      </c>
      <c r="N786" s="1588">
        <f t="shared" si="162"/>
        <v>0</v>
      </c>
      <c r="O786" s="1589">
        <f t="shared" si="163"/>
        <v>0</v>
      </c>
      <c r="P786" s="1584" t="s">
        <v>4575</v>
      </c>
      <c r="R786" s="1591"/>
    </row>
    <row r="787" spans="1:18" s="1081" customFormat="1" hidden="1" outlineLevel="1">
      <c r="A787" s="1154">
        <f t="shared" si="159"/>
        <v>0</v>
      </c>
      <c r="B787" s="1068" t="s">
        <v>742</v>
      </c>
      <c r="C787" s="1074"/>
      <c r="D787" s="1075" t="str">
        <f>VLOOKUP($B787,dongia1,DG!$B$5,)</f>
        <v>D3.1115</v>
      </c>
      <c r="E787" s="1076" t="str">
        <f>VLOOKUP($B787,dongia1,DG!$C$5,)</f>
        <v>Lắp sứ đứng 24KV</v>
      </c>
      <c r="F787" s="1075" t="str">
        <f>VLOOKUP($B787,dongia1,DG!$D$5,)</f>
        <v>bộ</v>
      </c>
      <c r="G787" s="1077"/>
      <c r="H787" s="1062">
        <f>VLOOKUP($B787,dongia1,DG!$F$5,)</f>
        <v>510</v>
      </c>
      <c r="I787" s="1062"/>
      <c r="J787" s="1062">
        <f>VLOOKUP($B787,dongia1,DG!$G$5,)</f>
        <v>58277.49</v>
      </c>
      <c r="K787" s="1062">
        <f>VLOOKUP($B787,dongia1,DG!$H$5,)</f>
        <v>0</v>
      </c>
      <c r="L787" s="1174">
        <f t="shared" si="160"/>
        <v>0</v>
      </c>
      <c r="M787" s="1174">
        <f t="shared" si="161"/>
        <v>0</v>
      </c>
      <c r="N787" s="1174">
        <f t="shared" si="162"/>
        <v>0</v>
      </c>
      <c r="O787" s="1083">
        <f t="shared" si="163"/>
        <v>0</v>
      </c>
      <c r="P787" s="1074"/>
      <c r="R787" s="1195"/>
    </row>
    <row r="788" spans="1:18" s="1081" customFormat="1" hidden="1" outlineLevel="1">
      <c r="A788" s="1154">
        <f>IF(G788&lt;&gt;0,1,0)</f>
        <v>0</v>
      </c>
      <c r="B788" s="1067" t="s">
        <v>2110</v>
      </c>
      <c r="C788" s="1064">
        <f>IF(G788&gt;0,C784+1,C784)</f>
        <v>0</v>
      </c>
      <c r="D788" s="1252"/>
      <c r="E788" s="1221" t="s">
        <v>3427</v>
      </c>
      <c r="F788" s="1064" t="s">
        <v>2113</v>
      </c>
      <c r="G788" s="1236">
        <f>G755</f>
        <v>0</v>
      </c>
      <c r="H788" s="1083"/>
      <c r="I788" s="1083"/>
      <c r="J788" s="1083"/>
      <c r="K788" s="1083"/>
      <c r="L788" s="1174">
        <f t="shared" si="146"/>
        <v>0</v>
      </c>
      <c r="M788" s="1174">
        <f t="shared" si="147"/>
        <v>0</v>
      </c>
      <c r="N788" s="1174">
        <f t="shared" si="148"/>
        <v>0</v>
      </c>
      <c r="O788" s="1083">
        <f t="shared" si="149"/>
        <v>0</v>
      </c>
      <c r="P788" s="1080"/>
    </row>
    <row r="789" spans="1:18" s="1081" customFormat="1" ht="14.4" hidden="1" outlineLevel="1">
      <c r="A789" s="1154">
        <f>A788</f>
        <v>0</v>
      </c>
      <c r="B789" s="1073"/>
      <c r="C789" s="1064"/>
      <c r="D789" s="1252"/>
      <c r="E789" s="1222" t="s">
        <v>3399</v>
      </c>
      <c r="F789" s="1074"/>
      <c r="G789" s="1077"/>
      <c r="H789" s="1083"/>
      <c r="I789" s="1083"/>
      <c r="J789" s="1083"/>
      <c r="K789" s="1083"/>
      <c r="L789" s="1174">
        <f t="shared" si="146"/>
        <v>0</v>
      </c>
      <c r="M789" s="1174">
        <f t="shared" si="147"/>
        <v>0</v>
      </c>
      <c r="N789" s="1174">
        <f t="shared" si="148"/>
        <v>0</v>
      </c>
      <c r="O789" s="1083">
        <f t="shared" si="149"/>
        <v>0</v>
      </c>
      <c r="P789" s="1080"/>
    </row>
    <row r="790" spans="1:18" s="1081" customFormat="1" hidden="1" outlineLevel="1">
      <c r="A790" s="1154">
        <f t="shared" ref="A790:A795" si="164">IF(G790&lt;&gt;0,1,0)</f>
        <v>0</v>
      </c>
      <c r="B790" s="1067" t="s">
        <v>2115</v>
      </c>
      <c r="C790" s="1064"/>
      <c r="D790" s="1075">
        <f>VLOOKUP($B790,dongia1,DG!$B$5,)</f>
        <v>0</v>
      </c>
      <c r="E790" s="1076" t="str">
        <f>VLOOKUP($B790,dongia1,DG!$C$5,)</f>
        <v>Đà Composite 110x80x5x2400</v>
      </c>
      <c r="F790" s="1075" t="str">
        <f>VLOOKUP($B790,dongia1,DG!$D$5,)</f>
        <v>cây</v>
      </c>
      <c r="G790" s="1077">
        <f>+G788</f>
        <v>0</v>
      </c>
      <c r="H790" s="1062">
        <f>VLOOKUP($B790,dongia1,DG!$F$5,)</f>
        <v>960000</v>
      </c>
      <c r="I790" s="1083"/>
      <c r="J790" s="1062">
        <f>VLOOKUP($B790,dongia1,DG!$G$5,)</f>
        <v>0</v>
      </c>
      <c r="K790" s="1062">
        <f>VLOOKUP($B790,dongia1,DG!$H$5,)</f>
        <v>0</v>
      </c>
      <c r="L790" s="1174">
        <f t="shared" si="146"/>
        <v>0</v>
      </c>
      <c r="M790" s="1174">
        <f t="shared" si="147"/>
        <v>0</v>
      </c>
      <c r="N790" s="1174">
        <f t="shared" si="148"/>
        <v>0</v>
      </c>
      <c r="O790" s="1083">
        <f t="shared" si="149"/>
        <v>0</v>
      </c>
      <c r="P790" s="1080"/>
    </row>
    <row r="791" spans="1:18" s="1081" customFormat="1" hidden="1" outlineLevel="1">
      <c r="A791" s="1154">
        <f t="shared" si="164"/>
        <v>0</v>
      </c>
      <c r="B791" s="1067" t="s">
        <v>2106</v>
      </c>
      <c r="C791" s="1064"/>
      <c r="D791" s="1075">
        <f>VLOOKUP($B791,dongia1,DG!$B$5,)</f>
        <v>0</v>
      </c>
      <c r="E791" s="1076" t="str">
        <f>VLOOKUP($B791,dongia1,DG!$C$5,)</f>
        <v>Chống Composite 40x10x920</v>
      </c>
      <c r="F791" s="1075" t="str">
        <f>VLOOKUP($B791,dongia1,DG!$D$5,)</f>
        <v>Thanh</v>
      </c>
      <c r="G791" s="1077">
        <f>+G790*2</f>
        <v>0</v>
      </c>
      <c r="H791" s="1062">
        <f>VLOOKUP($B791,dongia1,DG!$F$5,)</f>
        <v>140000</v>
      </c>
      <c r="I791" s="1083"/>
      <c r="J791" s="1062">
        <f>VLOOKUP($B791,dongia1,DG!$G$5,)</f>
        <v>0</v>
      </c>
      <c r="K791" s="1062">
        <f>VLOOKUP($B791,dongia1,DG!$H$5,)</f>
        <v>0</v>
      </c>
      <c r="L791" s="1174">
        <f t="shared" si="146"/>
        <v>0</v>
      </c>
      <c r="M791" s="1174">
        <f t="shared" si="147"/>
        <v>0</v>
      </c>
      <c r="N791" s="1174">
        <f t="shared" si="148"/>
        <v>0</v>
      </c>
      <c r="O791" s="1083">
        <f t="shared" si="149"/>
        <v>0</v>
      </c>
      <c r="P791" s="1080"/>
    </row>
    <row r="792" spans="1:18" s="1081" customFormat="1" hidden="1" outlineLevel="1">
      <c r="A792" s="1154">
        <f t="shared" si="164"/>
        <v>0</v>
      </c>
      <c r="B792" s="1073" t="s">
        <v>428</v>
      </c>
      <c r="C792" s="1064"/>
      <c r="D792" s="1075">
        <f>VLOOKUP($B792,dongia1,DG!$B$5,)</f>
        <v>0</v>
      </c>
      <c r="E792" s="1076" t="str">
        <f>VLOOKUP($B792,dongia1,DG!$C$5,)</f>
        <v>Bass LL bắt FCO và LA</v>
      </c>
      <c r="F792" s="1075" t="str">
        <f>VLOOKUP($B792,dongia1,DG!$D$5,)</f>
        <v>bộ</v>
      </c>
      <c r="G792" s="1077">
        <f>G788*3</f>
        <v>0</v>
      </c>
      <c r="H792" s="1062">
        <f>VLOOKUP($B792,dongia1,DG!$F$5,)</f>
        <v>65000</v>
      </c>
      <c r="I792" s="1083"/>
      <c r="J792" s="1062">
        <f>VLOOKUP($B792,dongia1,DG!$G$5,)</f>
        <v>0</v>
      </c>
      <c r="K792" s="1062">
        <f>VLOOKUP($B792,dongia1,DG!$H$5,)</f>
        <v>0</v>
      </c>
      <c r="L792" s="1174">
        <f t="shared" si="146"/>
        <v>0</v>
      </c>
      <c r="M792" s="1174">
        <f t="shared" si="147"/>
        <v>0</v>
      </c>
      <c r="N792" s="1174">
        <f t="shared" si="148"/>
        <v>0</v>
      </c>
      <c r="O792" s="1083">
        <f t="shared" si="149"/>
        <v>0</v>
      </c>
      <c r="P792" s="1080"/>
    </row>
    <row r="793" spans="1:18" s="1081" customFormat="1" hidden="1" outlineLevel="1">
      <c r="A793" s="1154">
        <f t="shared" si="164"/>
        <v>0</v>
      </c>
      <c r="B793" s="1073" t="s">
        <v>746</v>
      </c>
      <c r="C793" s="1064"/>
      <c r="D793" s="1075">
        <f>VLOOKUP($B793,dongia1,DG!$B$5,)</f>
        <v>0</v>
      </c>
      <c r="E793" s="1076" t="str">
        <f>VLOOKUP($B793,dongia1,DG!$C$5,)</f>
        <v>Boulon 16x150+ 2 long đền vuông D18-50x50x3/Zn</v>
      </c>
      <c r="F793" s="1075" t="str">
        <f>VLOOKUP($B793,dongia1,DG!$D$5,)</f>
        <v>bộ</v>
      </c>
      <c r="G793" s="1077">
        <f>2*G788</f>
        <v>0</v>
      </c>
      <c r="H793" s="1062">
        <f>VLOOKUP($B793,dongia1,DG!$F$5,)</f>
        <v>18900</v>
      </c>
      <c r="I793" s="1083"/>
      <c r="J793" s="1062">
        <f>VLOOKUP($B793,dongia1,DG!$G$5,)</f>
        <v>0</v>
      </c>
      <c r="K793" s="1062">
        <f>VLOOKUP($B793,dongia1,DG!$H$5,)</f>
        <v>0</v>
      </c>
      <c r="L793" s="1174">
        <f t="shared" si="146"/>
        <v>0</v>
      </c>
      <c r="M793" s="1174">
        <f t="shared" si="147"/>
        <v>0</v>
      </c>
      <c r="N793" s="1174">
        <f t="shared" si="148"/>
        <v>0</v>
      </c>
      <c r="O793" s="1083">
        <f t="shared" si="149"/>
        <v>0</v>
      </c>
      <c r="P793" s="1080"/>
    </row>
    <row r="794" spans="1:18" s="1081" customFormat="1" hidden="1" outlineLevel="1">
      <c r="A794" s="1154">
        <f t="shared" si="164"/>
        <v>0</v>
      </c>
      <c r="B794" s="1073" t="s">
        <v>733</v>
      </c>
      <c r="C794" s="1064"/>
      <c r="D794" s="1075">
        <f>VLOOKUP($B794,dongia1,DG!$B$5,)</f>
        <v>0</v>
      </c>
      <c r="E794" s="1076" t="str">
        <f>VLOOKUP($B794,dongia1,DG!$C$5,)</f>
        <v>Boulon 16x350+ 2 long đền vuông D18-50x50x3/Zn</v>
      </c>
      <c r="F794" s="1075" t="str">
        <f>VLOOKUP($B794,dongia1,DG!$D$5,)</f>
        <v>bộ</v>
      </c>
      <c r="G794" s="1077">
        <f>1*G788</f>
        <v>0</v>
      </c>
      <c r="H794" s="1062">
        <f>VLOOKUP($B794,dongia1,DG!$F$5,)</f>
        <v>27900</v>
      </c>
      <c r="I794" s="1083"/>
      <c r="J794" s="1062">
        <f>VLOOKUP($B794,dongia1,DG!$G$5,)</f>
        <v>0</v>
      </c>
      <c r="K794" s="1062">
        <f>VLOOKUP($B794,dongia1,DG!$H$5,)</f>
        <v>0</v>
      </c>
      <c r="L794" s="1174">
        <f t="shared" si="146"/>
        <v>0</v>
      </c>
      <c r="M794" s="1174">
        <f t="shared" si="147"/>
        <v>0</v>
      </c>
      <c r="N794" s="1174">
        <f t="shared" si="148"/>
        <v>0</v>
      </c>
      <c r="O794" s="1083">
        <f t="shared" si="149"/>
        <v>0</v>
      </c>
      <c r="P794" s="1080"/>
    </row>
    <row r="795" spans="1:18" s="1081" customFormat="1" hidden="1" outlineLevel="1">
      <c r="A795" s="1154">
        <f t="shared" si="164"/>
        <v>0</v>
      </c>
      <c r="B795" s="1073" t="s">
        <v>1262</v>
      </c>
      <c r="C795" s="1064"/>
      <c r="D795" s="1075">
        <f>VLOOKUP($B795,dongia1,DG!$B$5,)</f>
        <v>0</v>
      </c>
      <c r="E795" s="1076" t="str">
        <f>VLOOKUP($B795,dongia1,DG!$C$5,)</f>
        <v>Boulon 16x300+ 2 long đền vuông D18-50x50x3/Zn</v>
      </c>
      <c r="F795" s="1075" t="str">
        <f>VLOOKUP($B795,dongia1,DG!$D$5,)</f>
        <v>bộ</v>
      </c>
      <c r="G795" s="1077">
        <f>1*G788</f>
        <v>0</v>
      </c>
      <c r="H795" s="1062">
        <f>VLOOKUP($B795,dongia1,DG!$F$5,)</f>
        <v>25400</v>
      </c>
      <c r="I795" s="1083"/>
      <c r="J795" s="1062">
        <f>VLOOKUP($B795,dongia1,DG!$G$5,)</f>
        <v>0</v>
      </c>
      <c r="K795" s="1062">
        <f>VLOOKUP($B795,dongia1,DG!$H$5,)</f>
        <v>0</v>
      </c>
      <c r="L795" s="1174">
        <f t="shared" si="146"/>
        <v>0</v>
      </c>
      <c r="M795" s="1174">
        <f t="shared" si="147"/>
        <v>0</v>
      </c>
      <c r="N795" s="1174">
        <f t="shared" si="148"/>
        <v>0</v>
      </c>
      <c r="O795" s="1083">
        <f t="shared" si="149"/>
        <v>0</v>
      </c>
      <c r="P795" s="1080"/>
    </row>
    <row r="796" spans="1:18" s="1081" customFormat="1" hidden="1" outlineLevel="1">
      <c r="A796" s="1154">
        <f>IF(G796&lt;&gt;0,1,0)</f>
        <v>0</v>
      </c>
      <c r="B796" s="1082" t="s">
        <v>4964</v>
      </c>
      <c r="C796" s="1064"/>
      <c r="D796" s="1075" t="str">
        <f>VLOOKUP($B796,dongia1,DG!$B$5,)</f>
        <v>D2.6011</v>
      </c>
      <c r="E796" s="1076" t="str">
        <f>VLOOKUP($B796,dongia1,DG!$C$5,)</f>
        <v>Lắp xà đỡ composite dài 2400mm (7,5kg)</v>
      </c>
      <c r="F796" s="1075" t="str">
        <f>VLOOKUP($B796,dongia1,DG!$D$5,)</f>
        <v>bộ</v>
      </c>
      <c r="G796" s="1077">
        <f>G788</f>
        <v>0</v>
      </c>
      <c r="H796" s="1062">
        <f>VLOOKUP($B796,dongia1,DG!$F$5,)</f>
        <v>0</v>
      </c>
      <c r="I796" s="1083"/>
      <c r="J796" s="1062" t="str">
        <f>VLOOKUP($B796,dongia1,DG!$G$5,)&amp;"x"&amp;hslx</f>
        <v>51981x1,5</v>
      </c>
      <c r="K796" s="1062">
        <f>VLOOKUP($B796,dongia1,DG!$H$5,)</f>
        <v>0</v>
      </c>
      <c r="L796" s="1174">
        <f>H796*G796</f>
        <v>0</v>
      </c>
      <c r="M796" s="1174">
        <f>I796*G796</f>
        <v>0</v>
      </c>
      <c r="N796" s="1062">
        <f>VLOOKUP($B796,dongia1,DG!$G$5,)*G796*hslx</f>
        <v>0</v>
      </c>
      <c r="O796" s="1083">
        <f>K796*G796</f>
        <v>0</v>
      </c>
      <c r="P796" s="1080"/>
    </row>
    <row r="797" spans="1:18" s="1081" customFormat="1" hidden="1" outlineLevel="1">
      <c r="A797" s="1154">
        <f>IF(G797&lt;&gt;0,1,)</f>
        <v>0</v>
      </c>
      <c r="B797" s="1073"/>
      <c r="C797" s="1064">
        <f>IF(G797&gt;0,C788+1,C788)</f>
        <v>0</v>
      </c>
      <c r="D797" s="1276"/>
      <c r="E797" s="1221" t="s">
        <v>3432</v>
      </c>
      <c r="F797" s="1286" t="s">
        <v>2113</v>
      </c>
      <c r="G797" s="1286">
        <f>G755*0</f>
        <v>0</v>
      </c>
      <c r="H797" s="1083"/>
      <c r="I797" s="1083"/>
      <c r="J797" s="1083"/>
      <c r="K797" s="1083"/>
      <c r="L797" s="1078">
        <f t="shared" si="146"/>
        <v>0</v>
      </c>
      <c r="M797" s="1078">
        <f t="shared" si="147"/>
        <v>0</v>
      </c>
      <c r="N797" s="1078">
        <f t="shared" si="148"/>
        <v>0</v>
      </c>
      <c r="O797" s="1079">
        <f t="shared" si="149"/>
        <v>0</v>
      </c>
      <c r="P797" s="1080"/>
    </row>
    <row r="798" spans="1:18" s="1081" customFormat="1" ht="14.4" hidden="1" outlineLevel="1">
      <c r="A798" s="1154">
        <f>A799</f>
        <v>0</v>
      </c>
      <c r="B798" s="1073"/>
      <c r="C798" s="1270"/>
      <c r="D798" s="1287"/>
      <c r="E798" s="1277" t="s">
        <v>3399</v>
      </c>
      <c r="F798" s="1258"/>
      <c r="G798" s="1258"/>
      <c r="H798" s="1083"/>
      <c r="I798" s="1083"/>
      <c r="J798" s="1083"/>
      <c r="K798" s="1083"/>
      <c r="L798" s="1078">
        <f t="shared" si="146"/>
        <v>0</v>
      </c>
      <c r="M798" s="1078">
        <f t="shared" si="147"/>
        <v>0</v>
      </c>
      <c r="N798" s="1078">
        <f t="shared" si="148"/>
        <v>0</v>
      </c>
      <c r="O798" s="1079">
        <f t="shared" si="149"/>
        <v>0</v>
      </c>
      <c r="P798" s="1080"/>
    </row>
    <row r="799" spans="1:18" s="1081" customFormat="1" hidden="1" outlineLevel="1">
      <c r="A799" s="1154">
        <f>IF(G799&lt;&gt;0,1,)</f>
        <v>0</v>
      </c>
      <c r="B799" s="1067" t="s">
        <v>1626</v>
      </c>
      <c r="C799" s="1064"/>
      <c r="D799" s="1075">
        <f>VLOOKUP($B799,dongia1,DG!$B$5,)</f>
        <v>0</v>
      </c>
      <c r="E799" s="1076" t="str">
        <f>VLOOKUP($B799,dongia1,DG!$C$5,)</f>
        <v>Sắt góc L75 x75 x8</v>
      </c>
      <c r="F799" s="1075" t="str">
        <f>VLOOKUP($B799,dongia1,DG!$D$5,)</f>
        <v>kg</v>
      </c>
      <c r="G799" s="1288">
        <f>G797*9.02*(2.2+4*0.07)</f>
        <v>0</v>
      </c>
      <c r="H799" s="1062">
        <f>VLOOKUP($B799,dongia1,DG!$F$5,)</f>
        <v>31625</v>
      </c>
      <c r="I799" s="1083"/>
      <c r="J799" s="1062">
        <f>VLOOKUP($B799,dongia1,DG!$G$5,)</f>
        <v>0</v>
      </c>
      <c r="K799" s="1062">
        <f>VLOOKUP($B799,dongia1,DG!$H$5,)</f>
        <v>0</v>
      </c>
      <c r="L799" s="1078">
        <f t="shared" si="146"/>
        <v>0</v>
      </c>
      <c r="M799" s="1078">
        <f t="shared" si="147"/>
        <v>0</v>
      </c>
      <c r="N799" s="1078">
        <f t="shared" si="148"/>
        <v>0</v>
      </c>
      <c r="O799" s="1079">
        <f t="shared" si="149"/>
        <v>0</v>
      </c>
      <c r="P799" s="1080"/>
    </row>
    <row r="800" spans="1:18" s="1081" customFormat="1" hidden="1" outlineLevel="1">
      <c r="A800" s="1154">
        <f>IF(G800&lt;&gt;0,1,)</f>
        <v>0</v>
      </c>
      <c r="B800" s="1073" t="s">
        <v>518</v>
      </c>
      <c r="C800" s="1064"/>
      <c r="D800" s="1075">
        <f>VLOOKUP($B800,dongia1,DG!$B$5,)</f>
        <v>0</v>
      </c>
      <c r="E800" s="1076" t="str">
        <f>VLOOKUP($B800,dongia1,DG!$C$5,)</f>
        <v>Sắt góc L50 x50 x5</v>
      </c>
      <c r="F800" s="1075" t="str">
        <f>VLOOKUP($B800,dongia1,DG!$D$5,)</f>
        <v>kg</v>
      </c>
      <c r="G800" s="1288">
        <f>G797*2*3.77*0.81</f>
        <v>0</v>
      </c>
      <c r="H800" s="1062">
        <f>VLOOKUP($B800,dongia1,DG!$F$5,)</f>
        <v>31625</v>
      </c>
      <c r="I800" s="1083"/>
      <c r="J800" s="1062">
        <f>VLOOKUP($B800,dongia1,DG!$G$5,)</f>
        <v>0</v>
      </c>
      <c r="K800" s="1062">
        <f>VLOOKUP($B800,dongia1,DG!$H$5,)</f>
        <v>0</v>
      </c>
      <c r="L800" s="1078">
        <f t="shared" si="146"/>
        <v>0</v>
      </c>
      <c r="M800" s="1078">
        <f t="shared" si="147"/>
        <v>0</v>
      </c>
      <c r="N800" s="1078">
        <f t="shared" si="148"/>
        <v>0</v>
      </c>
      <c r="O800" s="1079">
        <f t="shared" si="149"/>
        <v>0</v>
      </c>
      <c r="P800" s="1080"/>
    </row>
    <row r="801" spans="1:16" s="1081" customFormat="1" hidden="1" outlineLevel="1">
      <c r="A801" s="1154">
        <f>IF(G801&lt;&gt;0,1,)</f>
        <v>0</v>
      </c>
      <c r="B801" s="1073" t="s">
        <v>1044</v>
      </c>
      <c r="C801" s="1064"/>
      <c r="D801" s="1075">
        <f>VLOOKUP($B801,dongia1,DG!$B$5,)</f>
        <v>0</v>
      </c>
      <c r="E801" s="1076" t="str">
        <f>VLOOKUP($B801,dongia1,DG!$C$5,)</f>
        <v>Boulon 16x50+ 2 long đền vuông D18-50x50x3/Zn</v>
      </c>
      <c r="F801" s="1075" t="str">
        <f>VLOOKUP($B801,dongia1,DG!$D$5,)</f>
        <v>bộ</v>
      </c>
      <c r="G801" s="1258">
        <f>4*G797</f>
        <v>0</v>
      </c>
      <c r="H801" s="1062">
        <f>VLOOKUP($B801,dongia1,DG!$F$5,)</f>
        <v>12400</v>
      </c>
      <c r="I801" s="1083"/>
      <c r="J801" s="1062">
        <f>VLOOKUP($B801,dongia1,DG!$G$5,)</f>
        <v>0</v>
      </c>
      <c r="K801" s="1062">
        <f>VLOOKUP($B801,dongia1,DG!$H$5,)</f>
        <v>0</v>
      </c>
      <c r="L801" s="1078">
        <f t="shared" si="146"/>
        <v>0</v>
      </c>
      <c r="M801" s="1078">
        <f t="shared" si="147"/>
        <v>0</v>
      </c>
      <c r="N801" s="1078">
        <f t="shared" si="148"/>
        <v>0</v>
      </c>
      <c r="O801" s="1079">
        <f t="shared" si="149"/>
        <v>0</v>
      </c>
      <c r="P801" s="1080"/>
    </row>
    <row r="802" spans="1:16" s="1081" customFormat="1" hidden="1" outlineLevel="1">
      <c r="A802" s="1154">
        <f>IF(G802&lt;&gt;0,1,)</f>
        <v>0</v>
      </c>
      <c r="B802" s="1073" t="s">
        <v>1261</v>
      </c>
      <c r="C802" s="1064"/>
      <c r="D802" s="1075">
        <f>VLOOKUP($B802,dongia1,DG!$B$5,)</f>
        <v>0</v>
      </c>
      <c r="E802" s="1076" t="str">
        <f>VLOOKUP($B802,dongia1,DG!$C$5,)</f>
        <v>Boulon 16x250+ 2 long đền vuông D18-50x50x3/Zn</v>
      </c>
      <c r="F802" s="1075" t="str">
        <f>VLOOKUP($B802,dongia1,DG!$D$5,)</f>
        <v>bộ</v>
      </c>
      <c r="G802" s="1258">
        <f>2*G797</f>
        <v>0</v>
      </c>
      <c r="H802" s="1062">
        <f>VLOOKUP($B802,dongia1,DG!$F$5,)</f>
        <v>13400</v>
      </c>
      <c r="I802" s="1083"/>
      <c r="J802" s="1062">
        <f>VLOOKUP($B802,dongia1,DG!$G$5,)</f>
        <v>0</v>
      </c>
      <c r="K802" s="1062">
        <f>VLOOKUP($B802,dongia1,DG!$H$5,)</f>
        <v>0</v>
      </c>
      <c r="L802" s="1078">
        <f t="shared" si="146"/>
        <v>0</v>
      </c>
      <c r="M802" s="1078">
        <f t="shared" si="147"/>
        <v>0</v>
      </c>
      <c r="N802" s="1078">
        <f t="shared" si="148"/>
        <v>0</v>
      </c>
      <c r="O802" s="1079">
        <f t="shared" si="149"/>
        <v>0</v>
      </c>
      <c r="P802" s="1080"/>
    </row>
    <row r="803" spans="1:16" s="1081" customFormat="1" hidden="1" outlineLevel="1">
      <c r="A803" s="1154">
        <f>IF(G803&lt;&gt;0,1,)</f>
        <v>0</v>
      </c>
      <c r="B803" s="1073" t="s">
        <v>813</v>
      </c>
      <c r="C803" s="1064"/>
      <c r="D803" s="1075" t="str">
        <f>VLOOKUP($B803,dongia1,DG!$B$5,)</f>
        <v>D2.6031</v>
      </c>
      <c r="E803" s="1076" t="str">
        <f>VLOOKUP($B803,dongia1,DG!$C$5,)</f>
        <v>Lắp xà đỡ 50kg</v>
      </c>
      <c r="F803" s="1075" t="str">
        <f>VLOOKUP($B803,dongia1,DG!$D$5,)</f>
        <v>bộ</v>
      </c>
      <c r="G803" s="1258">
        <f>G797</f>
        <v>0</v>
      </c>
      <c r="H803" s="1062">
        <f>VLOOKUP($B803,dongia1,DG!$F$5,)</f>
        <v>0</v>
      </c>
      <c r="I803" s="1083"/>
      <c r="J803" s="1062">
        <f>VLOOKUP($B803,dongia1,DG!$G$5,)</f>
        <v>296544.75</v>
      </c>
      <c r="K803" s="1062">
        <f>VLOOKUP($B803,dongia1,DG!$H$5,)</f>
        <v>0</v>
      </c>
      <c r="L803" s="1078">
        <f>H803*G803</f>
        <v>0</v>
      </c>
      <c r="M803" s="1078">
        <f>I803*G803</f>
        <v>0</v>
      </c>
      <c r="N803" s="1078">
        <f>J803*G803</f>
        <v>0</v>
      </c>
      <c r="O803" s="1079">
        <f>K803*G803</f>
        <v>0</v>
      </c>
      <c r="P803" s="1080"/>
    </row>
    <row r="804" spans="1:16" s="1081" customFormat="1" hidden="1" outlineLevel="1">
      <c r="A804" s="1072" t="str">
        <f t="shared" ref="A804:A818" si="165">IF(G804&lt;&gt;0,1,"")</f>
        <v/>
      </c>
      <c r="B804" s="1073"/>
      <c r="C804" s="1064">
        <f>IF(G804&gt;0,C797+1,C797)</f>
        <v>0</v>
      </c>
      <c r="D804" s="1289"/>
      <c r="E804" s="1290" t="s">
        <v>3401</v>
      </c>
      <c r="F804" s="1286" t="s">
        <v>2113</v>
      </c>
      <c r="G804" s="1236">
        <f>K8</f>
        <v>0</v>
      </c>
      <c r="H804" s="1083"/>
      <c r="I804" s="1083"/>
      <c r="J804" s="1083"/>
      <c r="K804" s="1083"/>
      <c r="L804" s="1078">
        <f t="shared" si="146"/>
        <v>0</v>
      </c>
      <c r="M804" s="1078">
        <f t="shared" si="147"/>
        <v>0</v>
      </c>
      <c r="N804" s="1078">
        <f t="shared" si="148"/>
        <v>0</v>
      </c>
      <c r="O804" s="1079">
        <f t="shared" si="149"/>
        <v>0</v>
      </c>
      <c r="P804" s="1080"/>
    </row>
    <row r="805" spans="1:16" s="1081" customFormat="1" ht="14.4" hidden="1" outlineLevel="1">
      <c r="A805" s="1154" t="str">
        <f>A804</f>
        <v/>
      </c>
      <c r="B805" s="1073"/>
      <c r="C805" s="1064"/>
      <c r="D805" s="1289"/>
      <c r="E805" s="1277" t="s">
        <v>3399</v>
      </c>
      <c r="F805" s="1258"/>
      <c r="G805" s="1077"/>
      <c r="H805" s="1083"/>
      <c r="I805" s="1083"/>
      <c r="J805" s="1083"/>
      <c r="K805" s="1083"/>
      <c r="L805" s="1078">
        <f t="shared" si="146"/>
        <v>0</v>
      </c>
      <c r="M805" s="1078">
        <f t="shared" si="147"/>
        <v>0</v>
      </c>
      <c r="N805" s="1078">
        <f t="shared" si="148"/>
        <v>0</v>
      </c>
      <c r="O805" s="1079">
        <f t="shared" si="149"/>
        <v>0</v>
      </c>
      <c r="P805" s="1080"/>
    </row>
    <row r="806" spans="1:16" s="1081" customFormat="1" hidden="1" outlineLevel="1">
      <c r="A806" s="1072" t="str">
        <f t="shared" si="165"/>
        <v/>
      </c>
      <c r="B806" s="1073" t="str">
        <f>Solieu!I57</f>
        <v>M25</v>
      </c>
      <c r="C806" s="1064"/>
      <c r="D806" s="1075">
        <f>VLOOKUP($B806,dongia1,DG!$B$5,)</f>
        <v>0</v>
      </c>
      <c r="E806" s="1076" t="str">
        <f>VLOOKUP($B806,dongia1,DG!$C$5,)&amp;" (69,9m)"</f>
        <v>Cáp đồng trần M25mm2 (69,9m)</v>
      </c>
      <c r="F806" s="1075" t="str">
        <f>VLOOKUP($B806,dongia1,DG!$D$5,)</f>
        <v>kg</v>
      </c>
      <c r="G806" s="1077">
        <f>ROUND(G804*0.224*69.9,1)</f>
        <v>0</v>
      </c>
      <c r="H806" s="1062">
        <f>VLOOKUP($B806,dongia1,DG!$F$5,)</f>
        <v>255500</v>
      </c>
      <c r="I806" s="1083"/>
      <c r="J806" s="1062">
        <f>VLOOKUP($B806,dongia1,DG!$G$5,)</f>
        <v>0</v>
      </c>
      <c r="K806" s="1062">
        <f>VLOOKUP($B806,dongia1,DG!$H$5,)</f>
        <v>0</v>
      </c>
      <c r="L806" s="1078">
        <f t="shared" si="146"/>
        <v>0</v>
      </c>
      <c r="M806" s="1078">
        <f t="shared" si="147"/>
        <v>0</v>
      </c>
      <c r="N806" s="1078">
        <f t="shared" si="148"/>
        <v>0</v>
      </c>
      <c r="O806" s="1079">
        <f t="shared" si="149"/>
        <v>0</v>
      </c>
      <c r="P806" s="1080"/>
    </row>
    <row r="807" spans="1:16" s="1081" customFormat="1" hidden="1" outlineLevel="1">
      <c r="A807" s="1072" t="str">
        <f t="shared" si="165"/>
        <v/>
      </c>
      <c r="B807" s="1067" t="s">
        <v>1098</v>
      </c>
      <c r="C807" s="1064"/>
      <c r="D807" s="1075">
        <f>VLOOKUP($B807,dongia1,DG!$B$5,)</f>
        <v>0</v>
      </c>
      <c r="E807" s="1076" t="str">
        <f>VLOOKUP($B807,dongia1,DG!$C$5,)</f>
        <v>Cọc tiếp đất Þ 16- 2,4m + kẹp cọc</v>
      </c>
      <c r="F807" s="1075" t="str">
        <f>VLOOKUP($B807,dongia1,DG!$D$5,)</f>
        <v>bộ</v>
      </c>
      <c r="G807" s="1077">
        <f>+H2*G804</f>
        <v>0</v>
      </c>
      <c r="H807" s="1062">
        <f>VLOOKUP($B807,dongia1,DG!$F$5,)</f>
        <v>160000</v>
      </c>
      <c r="I807" s="1083"/>
      <c r="J807" s="1062">
        <f>VLOOKUP($B807,dongia1,DG!$G$5,)</f>
        <v>0</v>
      </c>
      <c r="K807" s="1062">
        <f>VLOOKUP($B807,dongia1,DG!$H$5,)</f>
        <v>0</v>
      </c>
      <c r="L807" s="1078">
        <f t="shared" si="146"/>
        <v>0</v>
      </c>
      <c r="M807" s="1078">
        <f t="shared" si="147"/>
        <v>0</v>
      </c>
      <c r="N807" s="1078">
        <f t="shared" si="148"/>
        <v>0</v>
      </c>
      <c r="O807" s="1079">
        <f t="shared" si="149"/>
        <v>0</v>
      </c>
      <c r="P807" s="1080"/>
    </row>
    <row r="808" spans="1:16" s="1081" customFormat="1" hidden="1" outlineLevel="1">
      <c r="A808" s="1072" t="str">
        <f>IF(G808&lt;&gt;0,1,"")</f>
        <v/>
      </c>
      <c r="B808" s="1067" t="s">
        <v>211</v>
      </c>
      <c r="C808" s="1074"/>
      <c r="D808" s="1075">
        <f>VLOOKUP($B808,dongia1,DG!$B$5,)</f>
        <v>0</v>
      </c>
      <c r="E808" s="1076" t="str">
        <f>VLOOKUP($B808,dongia1,DG!$C$5,)</f>
        <v>Khoan giếng tiếp địa</v>
      </c>
      <c r="F808" s="1075" t="str">
        <f>VLOOKUP($B808,dongia1,DG!$D$5,)</f>
        <v>Cái</v>
      </c>
      <c r="G808" s="1074">
        <f>+L3*G804</f>
        <v>0</v>
      </c>
      <c r="H808" s="1062">
        <f>VLOOKUP($B808,dongia1,DG!$F$5,)</f>
        <v>0</v>
      </c>
      <c r="I808" s="1062" t="s">
        <v>426</v>
      </c>
      <c r="J808" s="1062" t="str">
        <f>VLOOKUP($B808,dongia1,DG!$G$5,)&amp;" x1,7"</f>
        <v>1500000 x1,7</v>
      </c>
      <c r="K808" s="1062">
        <f>VLOOKUP($B808,dongia1,DG!$H$5,)</f>
        <v>0</v>
      </c>
      <c r="L808" s="1174">
        <f>H808*G808</f>
        <v>0</v>
      </c>
      <c r="M808" s="1083">
        <v>0</v>
      </c>
      <c r="N808" s="1062">
        <f>VLOOKUP($B808,dongia1,DG!$G$5,)*G808*1.7</f>
        <v>0</v>
      </c>
      <c r="O808" s="1083">
        <f>K808*G808</f>
        <v>0</v>
      </c>
      <c r="P808" s="1080"/>
    </row>
    <row r="809" spans="1:16" s="1081" customFormat="1" hidden="1" outlineLevel="1">
      <c r="A809" s="1072" t="str">
        <f t="shared" si="165"/>
        <v/>
      </c>
      <c r="B809" s="1067" t="s">
        <v>2040</v>
      </c>
      <c r="C809" s="1074"/>
      <c r="D809" s="1075">
        <f>VLOOKUP($B809,dongia1,DG!$B$5,)</f>
        <v>0</v>
      </c>
      <c r="E809" s="1076" t="str">
        <f>VLOOKUP($B809,dongia1,DG!$C$5,)</f>
        <v xml:space="preserve">Ống PVC D21x1,6mm </v>
      </c>
      <c r="F809" s="1075" t="str">
        <f>VLOOKUP($B809,dongia1,DG!$D$5,)</f>
        <v>m</v>
      </c>
      <c r="G809" s="1077">
        <f>4*G804</f>
        <v>0</v>
      </c>
      <c r="H809" s="1062">
        <f>VLOOKUP($B809,dongia1,DG!$F$5,)</f>
        <v>6200</v>
      </c>
      <c r="I809" s="1083"/>
      <c r="J809" s="1062"/>
      <c r="K809" s="1062">
        <f>VLOOKUP($B809,dongia1,DG!$H$5,)</f>
        <v>0</v>
      </c>
      <c r="L809" s="1078">
        <f t="shared" si="146"/>
        <v>0</v>
      </c>
      <c r="M809" s="1078">
        <f t="shared" si="147"/>
        <v>0</v>
      </c>
      <c r="N809" s="1078">
        <f t="shared" si="148"/>
        <v>0</v>
      </c>
      <c r="O809" s="1079">
        <f t="shared" si="149"/>
        <v>0</v>
      </c>
      <c r="P809" s="1080"/>
    </row>
    <row r="810" spans="1:16" s="1081" customFormat="1" hidden="1" outlineLevel="1">
      <c r="A810" s="1072" t="str">
        <f t="shared" si="165"/>
        <v/>
      </c>
      <c r="B810" s="1086" t="s">
        <v>205</v>
      </c>
      <c r="C810" s="1064"/>
      <c r="D810" s="1075">
        <f>VLOOKUP($B810,dongia1,DG!$B$5,)</f>
        <v>0</v>
      </c>
      <c r="E810" s="1076" t="str">
        <f>VLOOKUP($B810,dongia1,DG!$C$5,)</f>
        <v>Kẹp ép WR cỡ dây 50mm2</v>
      </c>
      <c r="F810" s="1075" t="str">
        <f>VLOOKUP($B810,dongia1,DG!$D$5,)</f>
        <v>cái</v>
      </c>
      <c r="G810" s="1077">
        <f>G804*2</f>
        <v>0</v>
      </c>
      <c r="H810" s="1062">
        <f>VLOOKUP($B810,dongia1,DG!$F$5,)</f>
        <v>8000</v>
      </c>
      <c r="I810" s="1062"/>
      <c r="J810" s="1062">
        <f>VLOOKUP($B810,dongia1,DG!$G$5,)</f>
        <v>0</v>
      </c>
      <c r="K810" s="1062">
        <f>VLOOKUP($B810,dongia1,DG!$H$5,)</f>
        <v>0</v>
      </c>
      <c r="L810" s="1078">
        <f t="shared" si="146"/>
        <v>0</v>
      </c>
      <c r="M810" s="1078">
        <f t="shared" si="147"/>
        <v>0</v>
      </c>
      <c r="N810" s="1078">
        <f t="shared" si="148"/>
        <v>0</v>
      </c>
      <c r="O810" s="1079">
        <f t="shared" si="149"/>
        <v>0</v>
      </c>
      <c r="P810" s="1080"/>
    </row>
    <row r="811" spans="1:16" s="1081" customFormat="1" hidden="1" outlineLevel="1">
      <c r="A811" s="1072" t="str">
        <f t="shared" si="165"/>
        <v/>
      </c>
      <c r="B811" s="1086" t="s">
        <v>913</v>
      </c>
      <c r="C811" s="1064"/>
      <c r="D811" s="1075">
        <f>VLOOKUP($B811,dongia1,DG!$B$5,)</f>
        <v>0</v>
      </c>
      <c r="E811" s="1076" t="str">
        <f>VLOOKUP($B811,dongia1,DG!$C$5,)</f>
        <v>Kẹp ép cỡ dây 25mm2</v>
      </c>
      <c r="F811" s="1075" t="str">
        <f>VLOOKUP($B811,dongia1,DG!$D$5,)</f>
        <v>cái</v>
      </c>
      <c r="G811" s="1077"/>
      <c r="H811" s="1062">
        <f>VLOOKUP($B811,dongia1,DG!$F$5,)</f>
        <v>6000</v>
      </c>
      <c r="I811" s="1062"/>
      <c r="J811" s="1062">
        <f>VLOOKUP($B811,dongia1,DG!$G$5,)</f>
        <v>0</v>
      </c>
      <c r="K811" s="1062">
        <f>VLOOKUP($B811,dongia1,DG!$H$5,)</f>
        <v>0</v>
      </c>
      <c r="L811" s="1078">
        <f t="shared" si="146"/>
        <v>0</v>
      </c>
      <c r="M811" s="1078">
        <f t="shared" si="147"/>
        <v>0</v>
      </c>
      <c r="N811" s="1078">
        <f t="shared" si="148"/>
        <v>0</v>
      </c>
      <c r="O811" s="1079">
        <f t="shared" si="149"/>
        <v>0</v>
      </c>
      <c r="P811" s="1080"/>
    </row>
    <row r="812" spans="1:16" s="1081" customFormat="1" hidden="1" outlineLevel="1">
      <c r="A812" s="1072" t="str">
        <f>IF(G812&lt;&gt;0,1,"")</f>
        <v/>
      </c>
      <c r="B812" s="1073" t="s">
        <v>4985</v>
      </c>
      <c r="C812" s="1074"/>
      <c r="D812" s="1075" t="str">
        <f>VLOOKUP($B812,dongia1,DG!$B$5,)</f>
        <v>D4.5002</v>
      </c>
      <c r="E812" s="1076" t="str">
        <f>VLOOKUP($B812,dongia1,DG!$C$5,)</f>
        <v>Đầu cosse ép Cu 50mm2</v>
      </c>
      <c r="F812" s="1075" t="str">
        <f>VLOOKUP($B812,dongia1,DG!$D$5,)</f>
        <v>cái</v>
      </c>
      <c r="G812" s="1077"/>
      <c r="H812" s="1062">
        <f>VLOOKUP($B812,dongia1,DG!$F$5,)</f>
        <v>9100</v>
      </c>
      <c r="I812" s="1062"/>
      <c r="J812" s="1062">
        <f>VLOOKUP($B812,dongia1,DG!$G$5,)</f>
        <v>10608.955000000002</v>
      </c>
      <c r="K812" s="1062">
        <f>VLOOKUP($B812,dongia1,DG!$H$5,)</f>
        <v>2777.0232475000003</v>
      </c>
      <c r="L812" s="1078">
        <f>H812*G812</f>
        <v>0</v>
      </c>
      <c r="M812" s="1078">
        <f>I812*G812</f>
        <v>0</v>
      </c>
      <c r="N812" s="1078">
        <f>J812*G812</f>
        <v>0</v>
      </c>
      <c r="O812" s="1079">
        <f>K812*G812</f>
        <v>0</v>
      </c>
      <c r="P812" s="1080"/>
    </row>
    <row r="813" spans="1:16" s="1081" customFormat="1" hidden="1" outlineLevel="1">
      <c r="A813" s="1072" t="str">
        <f t="shared" si="165"/>
        <v/>
      </c>
      <c r="B813" s="1073" t="s">
        <v>4975</v>
      </c>
      <c r="C813" s="1074"/>
      <c r="D813" s="1075" t="str">
        <f>VLOOKUP($B813,dongia1,DG!$B$5,)</f>
        <v>D4.5003</v>
      </c>
      <c r="E813" s="1076" t="str">
        <f>VLOOKUP($B813,dongia1,DG!$C$5,)</f>
        <v>Đầu cosse ép Cu 70mm2</v>
      </c>
      <c r="F813" s="1075" t="str">
        <f>VLOOKUP($B813,dongia1,DG!$D$5,)</f>
        <v>cái</v>
      </c>
      <c r="G813" s="1077"/>
      <c r="H813" s="1062">
        <f>VLOOKUP($B813,dongia1,DG!$F$5,)</f>
        <v>14000</v>
      </c>
      <c r="I813" s="1062"/>
      <c r="J813" s="1062">
        <f>VLOOKUP($B813,dongia1,DG!$G$5,)</f>
        <v>16671.215</v>
      </c>
      <c r="K813" s="1062">
        <f>VLOOKUP($B813,dongia1,DG!$H$5,)</f>
        <v>3332.427897</v>
      </c>
      <c r="L813" s="1078">
        <f t="shared" si="146"/>
        <v>0</v>
      </c>
      <c r="M813" s="1078">
        <f t="shared" si="147"/>
        <v>0</v>
      </c>
      <c r="N813" s="1078">
        <f t="shared" si="148"/>
        <v>0</v>
      </c>
      <c r="O813" s="1079">
        <f t="shared" si="149"/>
        <v>0</v>
      </c>
      <c r="P813" s="1080"/>
    </row>
    <row r="814" spans="1:16" s="1081" customFormat="1" hidden="1" outlineLevel="1">
      <c r="A814" s="1072" t="str">
        <f>IF(G814&lt;&gt;0,1,"")</f>
        <v/>
      </c>
      <c r="B814" s="1073" t="s">
        <v>1623</v>
      </c>
      <c r="C814" s="1074"/>
      <c r="D814" s="1075">
        <f>VLOOKUP($B814,dongia1,DG!$B$5,)</f>
        <v>0</v>
      </c>
      <c r="E814" s="1076" t="str">
        <f>VLOOKUP($B814,dongia1,DG!$C$5,)</f>
        <v>Boulon 12x40+ 2 long đền vuông D14-50x50x3/Zn</v>
      </c>
      <c r="F814" s="1075" t="str">
        <f>VLOOKUP($B814,dongia1,DG!$D$5,)</f>
        <v>bộ</v>
      </c>
      <c r="G814" s="1077"/>
      <c r="H814" s="1062">
        <f>VLOOKUP($B814,dongia1,DG!$F$5,)</f>
        <v>8500</v>
      </c>
      <c r="I814" s="1062"/>
      <c r="J814" s="1062">
        <f>VLOOKUP($B814,dongia1,DG!$G$5,)</f>
        <v>0</v>
      </c>
      <c r="K814" s="1062">
        <f>VLOOKUP($B814,dongia1,DG!$H$5,)</f>
        <v>0</v>
      </c>
      <c r="L814" s="1078">
        <f>H814*G814</f>
        <v>0</v>
      </c>
      <c r="M814" s="1078">
        <f>I814*G814</f>
        <v>0</v>
      </c>
      <c r="N814" s="1078">
        <f>J814*G814</f>
        <v>0</v>
      </c>
      <c r="O814" s="1079">
        <f>K814*G814</f>
        <v>0</v>
      </c>
      <c r="P814" s="1080"/>
    </row>
    <row r="815" spans="1:16" s="1081" customFormat="1" hidden="1" outlineLevel="1">
      <c r="A815" s="1072" t="str">
        <f t="shared" si="165"/>
        <v/>
      </c>
      <c r="B815" s="1067" t="s">
        <v>1490</v>
      </c>
      <c r="C815" s="1064"/>
      <c r="D815" s="1075">
        <f>VLOOKUP($B815,dongia1,DG!$B$5,)</f>
        <v>0</v>
      </c>
      <c r="E815" s="1076" t="str">
        <f>VLOOKUP($B815,dongia1,DG!$C$5,)</f>
        <v>Cổ dê kẹp ống PVC (STK) Þ 21</v>
      </c>
      <c r="F815" s="1075" t="str">
        <f>VLOOKUP($B815,dongia1,DG!$D$5,)</f>
        <v>bộ</v>
      </c>
      <c r="G815" s="1077">
        <f>2*G804</f>
        <v>0</v>
      </c>
      <c r="H815" s="1062">
        <f>VLOOKUP($B815,dongia1,DG!$F$5,)</f>
        <v>43000</v>
      </c>
      <c r="I815" s="1083"/>
      <c r="J815" s="1062">
        <f>VLOOKUP($B815,dongia1,DG!$G$5,)</f>
        <v>0</v>
      </c>
      <c r="K815" s="1062">
        <f>VLOOKUP($B815,dongia1,DG!$H$5,)</f>
        <v>0</v>
      </c>
      <c r="L815" s="1078">
        <f t="shared" si="146"/>
        <v>0</v>
      </c>
      <c r="M815" s="1078">
        <f t="shared" si="147"/>
        <v>0</v>
      </c>
      <c r="N815" s="1078">
        <f t="shared" si="148"/>
        <v>0</v>
      </c>
      <c r="O815" s="1079">
        <f t="shared" si="149"/>
        <v>0</v>
      </c>
      <c r="P815" s="1080"/>
    </row>
    <row r="816" spans="1:16" s="1081" customFormat="1" hidden="1" outlineLevel="1">
      <c r="A816" s="1072" t="str">
        <f t="shared" si="165"/>
        <v/>
      </c>
      <c r="B816" s="1086" t="s">
        <v>1195</v>
      </c>
      <c r="C816" s="1074"/>
      <c r="D816" s="1075" t="str">
        <f>VLOOKUP($B816,dongia1,DG!$B$5,)</f>
        <v>T4.7001</v>
      </c>
      <c r="E816" s="1076" t="str">
        <f>VLOOKUP($B816,dongia1,DG!$C$5,)</f>
        <v>Kéo dây tiếp địa TBA</v>
      </c>
      <c r="F816" s="1075" t="str">
        <f>VLOOKUP($B816,dongia1,DG!$D$5,)</f>
        <v>mét</v>
      </c>
      <c r="G816" s="1077"/>
      <c r="H816" s="1062">
        <f>VLOOKUP($B816,dongia1,DG!$F$5,)</f>
        <v>0</v>
      </c>
      <c r="I816" s="1062"/>
      <c r="J816" s="1062">
        <f>VLOOKUP($B816,dongia1,DG!$G$5,)</f>
        <v>8070.7000000000007</v>
      </c>
      <c r="K816" s="1062">
        <f>VLOOKUP($B816,dongia1,DG!$H$5,)</f>
        <v>2044.9974999999999</v>
      </c>
      <c r="L816" s="1174">
        <f>H816*G816</f>
        <v>0</v>
      </c>
      <c r="M816" s="1174">
        <f>I816*G816</f>
        <v>0</v>
      </c>
      <c r="N816" s="1174">
        <f>J816*G816</f>
        <v>0</v>
      </c>
      <c r="O816" s="1083">
        <f>K816*G816</f>
        <v>0</v>
      </c>
      <c r="P816" s="1080"/>
    </row>
    <row r="817" spans="1:20" s="1081" customFormat="1" hidden="1" outlineLevel="1">
      <c r="A817" s="1072" t="str">
        <f t="shared" si="165"/>
        <v/>
      </c>
      <c r="B817" s="1067" t="s">
        <v>985</v>
      </c>
      <c r="C817" s="1074"/>
      <c r="D817" s="1075" t="str">
        <f>VLOOKUP($B817,dongia1,DG!$B$5,)</f>
        <v>D2.8103</v>
      </c>
      <c r="E817" s="1076" t="str">
        <f>VLOOKUP($B817,dongia1,DG!$C$5,)</f>
        <v>Đóng cọc tiếp địa đất cấp 3 dài 2,5m</v>
      </c>
      <c r="F817" s="1075" t="str">
        <f>VLOOKUP($B817,dongia1,DG!$D$5,)</f>
        <v>cọc</v>
      </c>
      <c r="G817" s="1077">
        <f>+G807*G804</f>
        <v>0</v>
      </c>
      <c r="H817" s="1062">
        <f>VLOOKUP($B817,dongia1,DG!$F$5,)</f>
        <v>0</v>
      </c>
      <c r="I817" s="1083"/>
      <c r="J817" s="1062">
        <f>VLOOKUP($B817,dongia1,DG!$G$5,)</f>
        <v>90355.896000000008</v>
      </c>
      <c r="K817" s="1062">
        <f>VLOOKUP($B817,dongia1,DG!$H$5,)</f>
        <v>1573.075</v>
      </c>
      <c r="L817" s="1174">
        <f>H817*G817</f>
        <v>0</v>
      </c>
      <c r="M817" s="1174">
        <f>I817*G817</f>
        <v>0</v>
      </c>
      <c r="N817" s="1062">
        <f>J817*G817</f>
        <v>0</v>
      </c>
      <c r="O817" s="1083">
        <f>K817*G817</f>
        <v>0</v>
      </c>
      <c r="P817" s="1080"/>
    </row>
    <row r="818" spans="1:20" s="1081" customFormat="1" hidden="1" outlineLevel="1">
      <c r="A818" s="1072" t="str">
        <f t="shared" si="165"/>
        <v/>
      </c>
      <c r="B818" s="1086" t="s">
        <v>974</v>
      </c>
      <c r="C818" s="1074"/>
      <c r="D818" s="1075" t="str">
        <f>VLOOKUP($B818,dongia1,DG!$B$5,)</f>
        <v>AB.11513</v>
      </c>
      <c r="E818" s="1076" t="str">
        <f>VLOOKUP($B818,dongia1,DG!$C$5,)</f>
        <v>Đào rãnh tiếp địa đất cấp 3</v>
      </c>
      <c r="F818" s="1075" t="str">
        <f>VLOOKUP($B818,dongia1,DG!$D$5,)</f>
        <v>m3</v>
      </c>
      <c r="G818" s="1077"/>
      <c r="H818" s="1062">
        <f>VLOOKUP($B818,dongia1,DG!$F$5,)</f>
        <v>0</v>
      </c>
      <c r="I818" s="1062"/>
      <c r="J818" s="1062">
        <f>VLOOKUP($B818,dongia1,DG!$G$5,)</f>
        <v>283749.75</v>
      </c>
      <c r="K818" s="1062">
        <f>VLOOKUP($B818,dongia1,DG!$H$5,)</f>
        <v>0</v>
      </c>
      <c r="L818" s="1174">
        <f>H818*G818</f>
        <v>0</v>
      </c>
      <c r="M818" s="1174">
        <f>I818*G818</f>
        <v>0</v>
      </c>
      <c r="N818" s="1174">
        <f>J818*G818</f>
        <v>0</v>
      </c>
      <c r="O818" s="1083">
        <f>K818*G818</f>
        <v>0</v>
      </c>
      <c r="P818" s="1080"/>
    </row>
    <row r="819" spans="1:20" s="1081" customFormat="1" hidden="1" outlineLevel="1">
      <c r="A819" s="1154">
        <f t="shared" ref="A819:A824" si="166">IF(G819&lt;&gt;0,1,0)</f>
        <v>0</v>
      </c>
      <c r="B819" s="1073"/>
      <c r="C819" s="1291">
        <f>IF(G819&gt;0,C804+1,C804)</f>
        <v>0</v>
      </c>
      <c r="D819" s="1292"/>
      <c r="E819" s="1293" t="s">
        <v>3409</v>
      </c>
      <c r="F819" s="1291" t="s">
        <v>2113</v>
      </c>
      <c r="G819" s="1294">
        <f>G755</f>
        <v>0</v>
      </c>
      <c r="H819" s="1083"/>
      <c r="I819" s="1083"/>
      <c r="J819" s="1083"/>
      <c r="K819" s="1083"/>
      <c r="L819" s="1078">
        <f t="shared" si="146"/>
        <v>0</v>
      </c>
      <c r="M819" s="1078">
        <f t="shared" si="147"/>
        <v>0</v>
      </c>
      <c r="N819" s="1078">
        <f t="shared" si="148"/>
        <v>0</v>
      </c>
      <c r="O819" s="1079">
        <f t="shared" si="149"/>
        <v>0</v>
      </c>
      <c r="P819" s="1080"/>
    </row>
    <row r="820" spans="1:20" s="1081" customFormat="1" ht="14.4" hidden="1" outlineLevel="1">
      <c r="A820" s="1154">
        <f t="shared" si="166"/>
        <v>0</v>
      </c>
      <c r="B820" s="1073"/>
      <c r="C820" s="1064"/>
      <c r="D820" s="1289"/>
      <c r="E820" s="1277" t="s">
        <v>3399</v>
      </c>
      <c r="F820" s="1258"/>
      <c r="G820" s="1258"/>
      <c r="H820" s="1083"/>
      <c r="I820" s="1083"/>
      <c r="J820" s="1083"/>
      <c r="K820" s="1083"/>
      <c r="L820" s="1078">
        <f t="shared" si="146"/>
        <v>0</v>
      </c>
      <c r="M820" s="1078">
        <f t="shared" si="147"/>
        <v>0</v>
      </c>
      <c r="N820" s="1078">
        <f t="shared" si="148"/>
        <v>0</v>
      </c>
      <c r="O820" s="1079">
        <f t="shared" si="149"/>
        <v>0</v>
      </c>
      <c r="P820" s="1080"/>
    </row>
    <row r="821" spans="1:20" s="1081" customFormat="1" hidden="1" outlineLevel="1">
      <c r="A821" s="1154">
        <f t="shared" si="166"/>
        <v>0</v>
      </c>
      <c r="B821" s="1082" t="s">
        <v>1656</v>
      </c>
      <c r="C821" s="1064"/>
      <c r="D821" s="1075" t="str">
        <f>VLOOKUP($B821,dongia1,DG!$B$5,)</f>
        <v>T5.1002</v>
      </c>
      <c r="E821" s="1076" t="str">
        <f>VLOOKUP($B821,dongia1,DG!$C$5,)</f>
        <v>Tủ MCCB trạm treo 3 pha</v>
      </c>
      <c r="F821" s="1075" t="str">
        <f>VLOOKUP($B821,dongia1,DG!$D$5,)</f>
        <v>cái</v>
      </c>
      <c r="G821" s="1077">
        <f>G819</f>
        <v>0</v>
      </c>
      <c r="H821" s="1062">
        <f>VLOOKUP($B821,dongia1,DG!$F$5,)</f>
        <v>3664446</v>
      </c>
      <c r="I821" s="1062"/>
      <c r="J821" s="1062">
        <f>VLOOKUP($B821,dongia1,DG!$G$5,)</f>
        <v>690091</v>
      </c>
      <c r="K821" s="1062">
        <f>VLOOKUP($B821,dongia1,DG!$H$5,)</f>
        <v>97369</v>
      </c>
      <c r="L821" s="1078">
        <f t="shared" si="146"/>
        <v>0</v>
      </c>
      <c r="M821" s="1078">
        <f t="shared" si="147"/>
        <v>0</v>
      </c>
      <c r="N821" s="1078">
        <f t="shared" si="148"/>
        <v>0</v>
      </c>
      <c r="O821" s="1079">
        <f t="shared" si="149"/>
        <v>0</v>
      </c>
      <c r="P821" s="1080"/>
    </row>
    <row r="822" spans="1:20" s="1081" customFormat="1" hidden="1" outlineLevel="1">
      <c r="A822" s="1154">
        <f t="shared" si="166"/>
        <v>0</v>
      </c>
      <c r="B822" s="1073" t="s">
        <v>1559</v>
      </c>
      <c r="C822" s="1064"/>
      <c r="D822" s="1289"/>
      <c r="E822" s="1076" t="str">
        <f>VLOOKUP($B822,dongia1,DG!$C$5,)</f>
        <v>Cổ dê bắt tủ</v>
      </c>
      <c r="F822" s="1075" t="str">
        <f>VLOOKUP($B822,dongia1,DG!$D$5,)</f>
        <v>bộ</v>
      </c>
      <c r="G822" s="1258"/>
      <c r="H822" s="1062">
        <f>VLOOKUP($B822,dongia1,DG!$F$5,)</f>
        <v>168000</v>
      </c>
      <c r="I822" s="1083"/>
      <c r="J822" s="1062">
        <f>VLOOKUP($B822,dongia1,DG!$G$5,)</f>
        <v>0</v>
      </c>
      <c r="K822" s="1062">
        <f>VLOOKUP($B822,dongia1,DG!$H$5,)</f>
        <v>0</v>
      </c>
      <c r="L822" s="1078">
        <f t="shared" si="146"/>
        <v>0</v>
      </c>
      <c r="M822" s="1078">
        <f t="shared" si="147"/>
        <v>0</v>
      </c>
      <c r="N822" s="1078">
        <f t="shared" si="148"/>
        <v>0</v>
      </c>
      <c r="O822" s="1079">
        <f t="shared" si="149"/>
        <v>0</v>
      </c>
      <c r="P822" s="1080"/>
    </row>
    <row r="823" spans="1:20" s="1081" customFormat="1" hidden="1" outlineLevel="1">
      <c r="A823" s="1154">
        <f t="shared" si="166"/>
        <v>0</v>
      </c>
      <c r="B823" s="1073" t="s">
        <v>1560</v>
      </c>
      <c r="C823" s="1064"/>
      <c r="D823" s="1289"/>
      <c r="E823" s="1076" t="str">
        <f>VLOOKUP($B823,dongia1,DG!$C$5,)</f>
        <v xml:space="preserve">Bakelit 500x300 dầy 10mm </v>
      </c>
      <c r="F823" s="1075" t="str">
        <f>VLOOKUP($B823,dongia1,DG!$D$5,)</f>
        <v>cái</v>
      </c>
      <c r="G823" s="1258"/>
      <c r="H823" s="1062">
        <f>VLOOKUP($B823,dongia1,DG!$F$5,)</f>
        <v>284000</v>
      </c>
      <c r="I823" s="1083"/>
      <c r="J823" s="1062">
        <f>VLOOKUP($B823,dongia1,DG!$G$5,)</f>
        <v>5404</v>
      </c>
      <c r="K823" s="1062">
        <f>VLOOKUP($B823,dongia1,DG!$H$5,)</f>
        <v>0</v>
      </c>
      <c r="L823" s="1078">
        <f t="shared" si="146"/>
        <v>0</v>
      </c>
      <c r="M823" s="1078">
        <f t="shared" si="147"/>
        <v>0</v>
      </c>
      <c r="N823" s="1078">
        <f t="shared" si="148"/>
        <v>0</v>
      </c>
      <c r="O823" s="1079">
        <f t="shared" si="149"/>
        <v>0</v>
      </c>
      <c r="P823" s="1080"/>
    </row>
    <row r="824" spans="1:20" s="1081" customFormat="1" hidden="1" outlineLevel="1">
      <c r="A824" s="1154">
        <f t="shared" si="166"/>
        <v>0</v>
      </c>
      <c r="B824" s="1295"/>
      <c r="C824" s="1291">
        <f>IF(G824&gt;0,C819+1,C819)</f>
        <v>0</v>
      </c>
      <c r="D824" s="1292"/>
      <c r="E824" s="1296" t="s">
        <v>3433</v>
      </c>
      <c r="F824" s="1291" t="s">
        <v>2113</v>
      </c>
      <c r="G824" s="1297">
        <f>G755*0</f>
        <v>0</v>
      </c>
      <c r="H824" s="1298"/>
      <c r="I824" s="1298"/>
      <c r="J824" s="1298"/>
      <c r="K824" s="1298"/>
      <c r="L824" s="1298">
        <f t="shared" si="146"/>
        <v>0</v>
      </c>
      <c r="M824" s="1298">
        <f t="shared" si="147"/>
        <v>0</v>
      </c>
      <c r="N824" s="1298">
        <f t="shared" si="148"/>
        <v>0</v>
      </c>
      <c r="O824" s="1298">
        <f t="shared" si="149"/>
        <v>0</v>
      </c>
      <c r="P824" s="1299"/>
      <c r="Q824" s="1300"/>
      <c r="R824" s="1300"/>
      <c r="S824" s="1300"/>
    </row>
    <row r="825" spans="1:20" s="1081" customFormat="1" ht="14.4" hidden="1" outlineLevel="1">
      <c r="A825" s="1154">
        <f>A824</f>
        <v>0</v>
      </c>
      <c r="B825" s="1295"/>
      <c r="C825" s="1291"/>
      <c r="D825" s="1292"/>
      <c r="E825" s="1301" t="s">
        <v>3399</v>
      </c>
      <c r="F825" s="1302"/>
      <c r="G825" s="1303"/>
      <c r="H825" s="1298"/>
      <c r="I825" s="1298"/>
      <c r="J825" s="1298"/>
      <c r="K825" s="1298"/>
      <c r="L825" s="1298">
        <f t="shared" si="146"/>
        <v>0</v>
      </c>
      <c r="M825" s="1298">
        <f t="shared" si="147"/>
        <v>0</v>
      </c>
      <c r="N825" s="1298">
        <f t="shared" si="148"/>
        <v>0</v>
      </c>
      <c r="O825" s="1298">
        <f t="shared" si="149"/>
        <v>0</v>
      </c>
      <c r="P825" s="1299"/>
      <c r="Q825" s="1300"/>
      <c r="R825" s="1300"/>
      <c r="S825" s="1300"/>
    </row>
    <row r="826" spans="1:20" s="1081" customFormat="1" hidden="1" outlineLevel="1">
      <c r="A826" s="1072" t="str">
        <f>IF(G826&lt;&gt;0,1,"")</f>
        <v/>
      </c>
      <c r="B826" s="1295" t="s">
        <v>1472</v>
      </c>
      <c r="C826" s="1302"/>
      <c r="D826" s="1198">
        <f>VLOOKUP($B826,dongia1,DG!$B$5,)</f>
        <v>0</v>
      </c>
      <c r="E826" s="1243" t="str">
        <f>VLOOKUP($B826,dongia1,DG!$C$5,)</f>
        <v>Ximăng</v>
      </c>
      <c r="F826" s="1198" t="str">
        <f>VLOOKUP($B826,dongia1,DG!$D$5,)</f>
        <v>kg</v>
      </c>
      <c r="G826" s="1304">
        <f>G829*Q829</f>
        <v>0</v>
      </c>
      <c r="H826" s="1298">
        <f>VLOOKUP($B826,dongia1,DG!$F$5,)</f>
        <v>1740</v>
      </c>
      <c r="I826" s="1298"/>
      <c r="J826" s="1298">
        <f>VLOOKUP($B826,dongia1,DG!$G$5,)</f>
        <v>0</v>
      </c>
      <c r="K826" s="1298">
        <f>VLOOKUP($B826,dongia1,DG!$H$5,)</f>
        <v>0</v>
      </c>
      <c r="L826" s="1298">
        <f t="shared" si="146"/>
        <v>0</v>
      </c>
      <c r="M826" s="1298">
        <f t="shared" si="147"/>
        <v>0</v>
      </c>
      <c r="N826" s="1298">
        <f t="shared" si="148"/>
        <v>0</v>
      </c>
      <c r="O826" s="1298">
        <f t="shared" si="149"/>
        <v>0</v>
      </c>
      <c r="P826" s="1299"/>
      <c r="Q826" s="1300"/>
      <c r="R826" s="1300"/>
      <c r="S826" s="1300"/>
    </row>
    <row r="827" spans="1:20" s="1081" customFormat="1" hidden="1" outlineLevel="1">
      <c r="A827" s="1072" t="str">
        <f>IF(G827&lt;&gt;0,1,"")</f>
        <v/>
      </c>
      <c r="B827" s="1295" t="s">
        <v>1729</v>
      </c>
      <c r="C827" s="1291"/>
      <c r="D827" s="1198">
        <f>VLOOKUP($B827,dongia1,DG!$B$5,)</f>
        <v>0</v>
      </c>
      <c r="E827" s="1243" t="str">
        <f>VLOOKUP($B827,dongia1,DG!$C$5,)</f>
        <v>Cát vàng</v>
      </c>
      <c r="F827" s="1198" t="str">
        <f>VLOOKUP($B827,dongia1,DG!$D$5,)</f>
        <v>m3</v>
      </c>
      <c r="G827" s="1305">
        <f>G829*R829</f>
        <v>0</v>
      </c>
      <c r="H827" s="1298">
        <f>VLOOKUP($B827,dongia1,DG!$F$5,)</f>
        <v>512000</v>
      </c>
      <c r="I827" s="1298"/>
      <c r="J827" s="1298">
        <f>VLOOKUP($B827,dongia1,DG!$G$5,)</f>
        <v>0</v>
      </c>
      <c r="K827" s="1298">
        <f>VLOOKUP($B827,dongia1,DG!$H$5,)</f>
        <v>0</v>
      </c>
      <c r="L827" s="1298">
        <f t="shared" si="146"/>
        <v>0</v>
      </c>
      <c r="M827" s="1298">
        <f t="shared" si="147"/>
        <v>0</v>
      </c>
      <c r="N827" s="1298">
        <f t="shared" si="148"/>
        <v>0</v>
      </c>
      <c r="O827" s="1298">
        <f t="shared" si="149"/>
        <v>0</v>
      </c>
      <c r="P827" s="1299"/>
      <c r="Q827" s="1300"/>
      <c r="R827" s="1300"/>
      <c r="S827" s="1300"/>
    </row>
    <row r="828" spans="1:20" s="1081" customFormat="1" hidden="1" outlineLevel="1">
      <c r="A828" s="1072" t="str">
        <f>IF(G828&lt;&gt;0,1,"")</f>
        <v/>
      </c>
      <c r="B828" s="1295" t="s">
        <v>599</v>
      </c>
      <c r="C828" s="1291"/>
      <c r="D828" s="1198">
        <f>VLOOKUP($B828,dongia1,DG!$B$5,)</f>
        <v>0</v>
      </c>
      <c r="E828" s="1243" t="str">
        <f>VLOOKUP($B828,dongia1,DG!$C$5,)</f>
        <v>Đá 1x2</v>
      </c>
      <c r="F828" s="1198" t="str">
        <f>VLOOKUP($B828,dongia1,DG!$D$5,)</f>
        <v>m3</v>
      </c>
      <c r="G828" s="1305">
        <f>G829*S829</f>
        <v>0</v>
      </c>
      <c r="H828" s="1298">
        <f>VLOOKUP($B828,dongia1,DG!$F$5,)</f>
        <v>335000</v>
      </c>
      <c r="I828" s="1298"/>
      <c r="J828" s="1298">
        <f>VLOOKUP($B828,dongia1,DG!$G$5,)</f>
        <v>0</v>
      </c>
      <c r="K828" s="1298">
        <f>VLOOKUP($B828,dongia1,DG!$H$5,)</f>
        <v>0</v>
      </c>
      <c r="L828" s="1298">
        <f t="shared" si="146"/>
        <v>0</v>
      </c>
      <c r="M828" s="1298">
        <f t="shared" si="147"/>
        <v>0</v>
      </c>
      <c r="N828" s="1298">
        <f t="shared" si="148"/>
        <v>0</v>
      </c>
      <c r="O828" s="1298">
        <f t="shared" si="149"/>
        <v>0</v>
      </c>
      <c r="P828" s="1299"/>
      <c r="Q828" s="1300"/>
      <c r="R828" s="1300"/>
      <c r="S828" s="1300"/>
    </row>
    <row r="829" spans="1:20" s="1081" customFormat="1" hidden="1" outlineLevel="1">
      <c r="A829" s="1072" t="str">
        <f>IF(G829&lt;&gt;0,1,"")</f>
        <v/>
      </c>
      <c r="B829" s="1295" t="s">
        <v>1473</v>
      </c>
      <c r="C829" s="1302"/>
      <c r="D829" s="1198" t="str">
        <f>VLOOKUP($B829,dongia1,DG!$B$5,)</f>
        <v>AF.11220</v>
      </c>
      <c r="E829" s="1243" t="str">
        <f>VLOOKUP($B829,dongia1,DG!$C$5,)</f>
        <v>Đổ bê tông mác M200 đá 1x 2rộng &gt;250cm</v>
      </c>
      <c r="F829" s="1198" t="str">
        <f>VLOOKUP($B829,dongia1,DG!$D$5,)</f>
        <v>m3</v>
      </c>
      <c r="G829" s="1304">
        <f>G824*(0.4*1.5-2*3.14*0.15^2)</f>
        <v>0</v>
      </c>
      <c r="H829" s="1298"/>
      <c r="I829" s="1298"/>
      <c r="J829" s="1298">
        <f>VLOOKUP($B829,dongia1,DG!$G$5,)</f>
        <v>466397.5</v>
      </c>
      <c r="K829" s="1298">
        <f>VLOOKUP($B829,dongia1,DG!$H$5,)</f>
        <v>0</v>
      </c>
      <c r="L829" s="1298">
        <f t="shared" si="146"/>
        <v>0</v>
      </c>
      <c r="M829" s="1298">
        <f t="shared" si="147"/>
        <v>0</v>
      </c>
      <c r="N829" s="1298">
        <f t="shared" si="148"/>
        <v>0</v>
      </c>
      <c r="O829" s="1298">
        <f t="shared" si="149"/>
        <v>0</v>
      </c>
      <c r="P829" s="1299"/>
      <c r="Q829" s="1306">
        <f>1.025*361</f>
        <v>370.02499999999998</v>
      </c>
      <c r="R829" s="1306">
        <f>1.025*0.45</f>
        <v>0.46124999999999999</v>
      </c>
      <c r="S829" s="1306">
        <f>1.025*0.866</f>
        <v>0.88764999999999994</v>
      </c>
      <c r="T829" s="1307"/>
    </row>
    <row r="830" spans="1:20" s="1081" customFormat="1" hidden="1" outlineLevel="1">
      <c r="A830" s="1072" t="str">
        <f>IF(G830&lt;&gt;0,1,"")</f>
        <v/>
      </c>
      <c r="B830" s="1295"/>
      <c r="C830" s="1291">
        <f>IF(G830&gt;0,C824+1,C824)</f>
        <v>0</v>
      </c>
      <c r="D830" s="1292"/>
      <c r="E830" s="1293" t="s">
        <v>3434</v>
      </c>
      <c r="F830" s="1291" t="s">
        <v>2113</v>
      </c>
      <c r="G830" s="1297">
        <f>G824</f>
        <v>0</v>
      </c>
      <c r="H830" s="1298"/>
      <c r="I830" s="1298"/>
      <c r="J830" s="1298"/>
      <c r="K830" s="1298"/>
      <c r="L830" s="1298"/>
      <c r="M830" s="1298"/>
      <c r="N830" s="1298"/>
      <c r="O830" s="1298"/>
      <c r="P830" s="1299"/>
      <c r="Q830" s="1300"/>
      <c r="R830" s="1300"/>
      <c r="S830" s="1300"/>
    </row>
    <row r="831" spans="1:20" s="1081" customFormat="1" ht="14.4" hidden="1" outlineLevel="1">
      <c r="A831" s="1072" t="str">
        <f>A830</f>
        <v/>
      </c>
      <c r="B831" s="1295"/>
      <c r="C831" s="1291"/>
      <c r="D831" s="1292"/>
      <c r="E831" s="1308" t="s">
        <v>3399</v>
      </c>
      <c r="F831" s="1291"/>
      <c r="G831" s="1297"/>
      <c r="H831" s="1298"/>
      <c r="I831" s="1298"/>
      <c r="J831" s="1298"/>
      <c r="K831" s="1298"/>
      <c r="L831" s="1298"/>
      <c r="M831" s="1298"/>
      <c r="N831" s="1298"/>
      <c r="O831" s="1298"/>
      <c r="P831" s="1299"/>
      <c r="Q831" s="1300"/>
      <c r="R831" s="1300"/>
      <c r="S831" s="1300"/>
    </row>
    <row r="832" spans="1:20" s="1081" customFormat="1" hidden="1" outlineLevel="1">
      <c r="A832" s="1072" t="str">
        <f>IF(G832&lt;&gt;0,1,"")</f>
        <v/>
      </c>
      <c r="B832" s="1295" t="s">
        <v>2039</v>
      </c>
      <c r="C832" s="1302"/>
      <c r="D832" s="1198">
        <f>VLOOKUP($B832,dongia1,DG!$B$5,)</f>
        <v>0</v>
      </c>
      <c r="E832" s="1243" t="str">
        <f>VLOOKUP($B832,dongia1,DG!$C$5,)</f>
        <v xml:space="preserve">Ống PVC D90x3,8mm </v>
      </c>
      <c r="F832" s="1198" t="str">
        <f>VLOOKUP($B832,dongia1,DG!$D$5,)</f>
        <v>m</v>
      </c>
      <c r="G832" s="1303">
        <f>G830*2</f>
        <v>0</v>
      </c>
      <c r="H832" s="1298">
        <f>VLOOKUP($B832,dongia1,DG!$F$5,)</f>
        <v>63200</v>
      </c>
      <c r="I832" s="1298"/>
      <c r="J832" s="1298">
        <f>VLOOKUP($B832,dongia1,DG!$G$5,)</f>
        <v>0</v>
      </c>
      <c r="K832" s="1298">
        <f>VLOOKUP($B832,dongia1,DG!$H$5,)</f>
        <v>0</v>
      </c>
      <c r="L832" s="1298">
        <f>H832*G832</f>
        <v>0</v>
      </c>
      <c r="M832" s="1298">
        <f>I832*G832</f>
        <v>0</v>
      </c>
      <c r="N832" s="1298">
        <f>J832*G832</f>
        <v>0</v>
      </c>
      <c r="O832" s="1298">
        <f>K832*G832</f>
        <v>0</v>
      </c>
      <c r="P832" s="1299"/>
      <c r="Q832" s="1300"/>
      <c r="R832" s="1300"/>
      <c r="S832" s="1300"/>
    </row>
    <row r="833" spans="1:19" s="1081" customFormat="1" hidden="1" outlineLevel="1">
      <c r="A833" s="1072" t="str">
        <f>IF(G833&lt;&gt;0,1,"")</f>
        <v/>
      </c>
      <c r="B833" s="1295" t="s">
        <v>561</v>
      </c>
      <c r="C833" s="1302"/>
      <c r="D833" s="1198">
        <f>VLOOKUP($B833,dongia1,DG!$B$5,)</f>
        <v>0</v>
      </c>
      <c r="E833" s="1243" t="str">
        <f>VLOOKUP($B833,dongia1,DG!$C$5,)</f>
        <v>Co  90 độ PVC 90 (loại dày)</v>
      </c>
      <c r="F833" s="1198" t="str">
        <f>VLOOKUP($B833,dongia1,DG!$D$5,)</f>
        <v>cái</v>
      </c>
      <c r="G833" s="1303">
        <f>G830</f>
        <v>0</v>
      </c>
      <c r="H833" s="1298">
        <f>VLOOKUP($B833,dongia1,DG!$F$5,)</f>
        <v>45400</v>
      </c>
      <c r="I833" s="1298"/>
      <c r="J833" s="1298">
        <f>VLOOKUP($B833,dongia1,DG!$G$5,)</f>
        <v>0</v>
      </c>
      <c r="K833" s="1298">
        <f>VLOOKUP($B833,dongia1,DG!$H$5,)</f>
        <v>0</v>
      </c>
      <c r="L833" s="1298">
        <f>H833*G833</f>
        <v>0</v>
      </c>
      <c r="M833" s="1298">
        <f>I833*G833</f>
        <v>0</v>
      </c>
      <c r="N833" s="1298">
        <f>J833*G833</f>
        <v>0</v>
      </c>
      <c r="O833" s="1298">
        <f>K833*G833</f>
        <v>0</v>
      </c>
      <c r="P833" s="1299"/>
      <c r="Q833" s="1300"/>
      <c r="R833" s="1300"/>
      <c r="S833" s="1300"/>
    </row>
    <row r="834" spans="1:19" s="1081" customFormat="1" hidden="1" outlineLevel="1">
      <c r="A834" s="1154">
        <f>IF(G834&lt;&gt;0,1,0)</f>
        <v>0</v>
      </c>
      <c r="B834" s="1073"/>
      <c r="C834" s="1064">
        <f>IF(G834&gt;0,C830+1,C830)</f>
        <v>0</v>
      </c>
      <c r="D834" s="1289"/>
      <c r="E834" s="1309" t="s">
        <v>3412</v>
      </c>
      <c r="F834" s="1286" t="s">
        <v>2113</v>
      </c>
      <c r="G834" s="1236">
        <f>G755</f>
        <v>0</v>
      </c>
      <c r="H834" s="1083"/>
      <c r="I834" s="1083"/>
      <c r="J834" s="1083"/>
      <c r="K834" s="1083"/>
      <c r="L834" s="1078">
        <f t="shared" si="146"/>
        <v>0</v>
      </c>
      <c r="M834" s="1078">
        <f t="shared" si="147"/>
        <v>0</v>
      </c>
      <c r="N834" s="1078">
        <f t="shared" si="148"/>
        <v>0</v>
      </c>
      <c r="O834" s="1079">
        <f t="shared" si="149"/>
        <v>0</v>
      </c>
      <c r="P834" s="1080"/>
    </row>
    <row r="835" spans="1:19" s="1081" customFormat="1" ht="14.4" hidden="1" outlineLevel="1">
      <c r="A835" s="1154">
        <f>A834</f>
        <v>0</v>
      </c>
      <c r="B835" s="1073"/>
      <c r="C835" s="1064"/>
      <c r="D835" s="1289"/>
      <c r="E835" s="1277" t="s">
        <v>3399</v>
      </c>
      <c r="F835" s="1258"/>
      <c r="G835" s="1077"/>
      <c r="H835" s="1083"/>
      <c r="I835" s="1083"/>
      <c r="J835" s="1083"/>
      <c r="K835" s="1083"/>
      <c r="L835" s="1078">
        <f t="shared" si="146"/>
        <v>0</v>
      </c>
      <c r="M835" s="1078">
        <f t="shared" si="147"/>
        <v>0</v>
      </c>
      <c r="N835" s="1078">
        <f t="shared" si="148"/>
        <v>0</v>
      </c>
      <c r="O835" s="1079">
        <f t="shared" si="149"/>
        <v>0</v>
      </c>
      <c r="P835" s="1080"/>
    </row>
    <row r="836" spans="1:19" s="1081" customFormat="1" hidden="1" outlineLevel="1">
      <c r="A836" s="1154">
        <f>A835</f>
        <v>0</v>
      </c>
      <c r="B836" s="1205" t="str">
        <f>Solieu!$J$57</f>
        <v>XLPE25</v>
      </c>
      <c r="C836" s="1064"/>
      <c r="D836" s="1075">
        <f>VLOOKUP($B836,dongia1,DG!$B$5,)</f>
        <v>0</v>
      </c>
      <c r="E836" s="1076" t="str">
        <f>VLOOKUP($B836,dongia1,DG!$C$5,)</f>
        <v>Cáp 24KV C/XLPE/PVC- 25mm2</v>
      </c>
      <c r="F836" s="1075" t="str">
        <f>VLOOKUP($B836,dongia1,DG!$D$5,)</f>
        <v>mét</v>
      </c>
      <c r="G836" s="1077">
        <f>12*G834</f>
        <v>0</v>
      </c>
      <c r="H836" s="1062">
        <f>VLOOKUP($B836,dongia1,DG!$F$5,)</f>
        <v>50996</v>
      </c>
      <c r="I836" s="1062"/>
      <c r="J836" s="1062">
        <f>VLOOKUP($B836,dongia1,DG!$G$5,)</f>
        <v>0</v>
      </c>
      <c r="K836" s="1062">
        <f>VLOOKUP($B836,dongia1,DG!$H$5,)</f>
        <v>0</v>
      </c>
      <c r="L836" s="1078">
        <f t="shared" si="146"/>
        <v>0</v>
      </c>
      <c r="M836" s="1078">
        <f t="shared" si="147"/>
        <v>0</v>
      </c>
      <c r="N836" s="1078">
        <f t="shared" si="148"/>
        <v>0</v>
      </c>
      <c r="O836" s="1079">
        <f t="shared" si="149"/>
        <v>0</v>
      </c>
      <c r="P836" s="1080"/>
    </row>
    <row r="837" spans="1:19" s="1081" customFormat="1" hidden="1" outlineLevel="1">
      <c r="A837" s="1154">
        <f>A836</f>
        <v>0</v>
      </c>
      <c r="B837" s="1206" t="s">
        <v>2028</v>
      </c>
      <c r="C837" s="1064"/>
      <c r="D837" s="1075">
        <f>VLOOKUP($B837,dongia1,DG!$B$5,)</f>
        <v>0</v>
      </c>
      <c r="E837" s="1076" t="str">
        <f>VLOOKUP($B837,dongia1,DG!$C$5,)</f>
        <v>Kẹp quai 2/0</v>
      </c>
      <c r="F837" s="1075" t="str">
        <f>VLOOKUP($B837,dongia1,DG!$D$5,)</f>
        <v>cái</v>
      </c>
      <c r="G837" s="1077">
        <f>G834*3</f>
        <v>0</v>
      </c>
      <c r="H837" s="1062">
        <f>VLOOKUP($B837,dongia1,DG!$F$5,)</f>
        <v>46000</v>
      </c>
      <c r="I837" s="1062"/>
      <c r="J837" s="1062">
        <f>VLOOKUP($B837,dongia1,DG!$G$5,)</f>
        <v>0</v>
      </c>
      <c r="K837" s="1062">
        <f>VLOOKUP($B837,dongia1,DG!$H$5,)</f>
        <v>0</v>
      </c>
      <c r="L837" s="1078">
        <f t="shared" si="146"/>
        <v>0</v>
      </c>
      <c r="M837" s="1078">
        <f t="shared" si="147"/>
        <v>0</v>
      </c>
      <c r="N837" s="1078">
        <f t="shared" si="148"/>
        <v>0</v>
      </c>
      <c r="O837" s="1079">
        <f t="shared" si="149"/>
        <v>0</v>
      </c>
      <c r="P837" s="1080"/>
    </row>
    <row r="838" spans="1:19" s="1081" customFormat="1" hidden="1" outlineLevel="1">
      <c r="A838" s="1154">
        <f>A837</f>
        <v>0</v>
      </c>
      <c r="B838" s="1206" t="s">
        <v>2026</v>
      </c>
      <c r="C838" s="1064"/>
      <c r="D838" s="1075"/>
      <c r="E838" s="1076" t="str">
        <f>VLOOKUP($B838,dongia1,DG!$C$5,)</f>
        <v>Kẹp hotline 2/0</v>
      </c>
      <c r="F838" s="1075" t="str">
        <f>VLOOKUP($B838,dongia1,DG!$D$5,)</f>
        <v>cái</v>
      </c>
      <c r="G838" s="1077">
        <f>G837</f>
        <v>0</v>
      </c>
      <c r="H838" s="1062">
        <f>VLOOKUP($B838,dongia1,DG!$F$5,)</f>
        <v>77000</v>
      </c>
      <c r="I838" s="1062"/>
      <c r="J838" s="1062"/>
      <c r="K838" s="1062">
        <f>VLOOKUP($B838,dongia1,DG!$H$5,)</f>
        <v>0</v>
      </c>
      <c r="L838" s="1078">
        <f t="shared" si="146"/>
        <v>0</v>
      </c>
      <c r="M838" s="1078">
        <f t="shared" si="147"/>
        <v>0</v>
      </c>
      <c r="N838" s="1078">
        <f t="shared" si="148"/>
        <v>0</v>
      </c>
      <c r="O838" s="1079">
        <f t="shared" si="149"/>
        <v>0</v>
      </c>
      <c r="P838" s="1080"/>
    </row>
    <row r="839" spans="1:19" s="1081" customFormat="1" hidden="1" outlineLevel="1">
      <c r="A839" s="1154">
        <f>IF(G839&lt;&gt;0,1,0)</f>
        <v>0</v>
      </c>
      <c r="B839" s="1082" t="s">
        <v>4501</v>
      </c>
      <c r="C839" s="1074"/>
      <c r="D839" s="1075">
        <f>VLOOKUP($B839,dongia1,DG!$B$5,)</f>
        <v>0</v>
      </c>
      <c r="E839" s="1076" t="str">
        <f>VLOOKUP($B839,dongia1,DG!$C$5,)</f>
        <v>Chụp cách điện kẹp quai</v>
      </c>
      <c r="F839" s="1198" t="str">
        <f>VLOOKUP($B839,dongia1,DG!$D$5,)</f>
        <v>Cái</v>
      </c>
      <c r="G839" s="1077"/>
      <c r="H839" s="1062">
        <f>VLOOKUP($B839,dongia1,DG!$F$5,)</f>
        <v>136800</v>
      </c>
      <c r="I839" s="1062"/>
      <c r="J839" s="1062">
        <f>VLOOKUP($B839,dongia1,DG!$G$5,)</f>
        <v>0</v>
      </c>
      <c r="K839" s="1062">
        <f>VLOOKUP($B839,dongia1,DG!$H$5,)</f>
        <v>0</v>
      </c>
      <c r="L839" s="1174">
        <f>H839*G839</f>
        <v>0</v>
      </c>
      <c r="M839" s="1174">
        <f>I839*G839</f>
        <v>0</v>
      </c>
      <c r="N839" s="1174">
        <f>J839*G839</f>
        <v>0</v>
      </c>
      <c r="O839" s="1083">
        <f>K839*G839</f>
        <v>0</v>
      </c>
      <c r="P839" s="1080"/>
    </row>
    <row r="840" spans="1:19" s="1081" customFormat="1" hidden="1" outlineLevel="1">
      <c r="A840" s="1154">
        <f>IF(G840&lt;&gt;0,1,0)</f>
        <v>0</v>
      </c>
      <c r="B840" s="1206" t="s">
        <v>2144</v>
      </c>
      <c r="C840" s="1074"/>
      <c r="D840" s="1075">
        <f>VLOOKUP($B840,dongia1,DG!$B$5,)</f>
        <v>0</v>
      </c>
      <c r="E840" s="1076" t="str">
        <f>VLOOKUP($B840,dongia1,DG!$C$5,)</f>
        <v>Nắp che đầu cực FCO</v>
      </c>
      <c r="F840" s="1198" t="str">
        <f>VLOOKUP($B840,dongia1,DG!$D$5,)</f>
        <v>cái</v>
      </c>
      <c r="G840" s="1077">
        <f>3*G834</f>
        <v>0</v>
      </c>
      <c r="H840" s="1062">
        <f>VLOOKUP($B840,dongia1,DG!$F$5,)</f>
        <v>218200</v>
      </c>
      <c r="I840" s="1062"/>
      <c r="J840" s="1062">
        <f>VLOOKUP($B840,dongia1,DG!$G$5,)</f>
        <v>0</v>
      </c>
      <c r="K840" s="1062">
        <f>VLOOKUP($B840,dongia1,DG!$H$5,)</f>
        <v>0</v>
      </c>
      <c r="L840" s="1174">
        <f t="shared" si="146"/>
        <v>0</v>
      </c>
      <c r="M840" s="1174">
        <f t="shared" si="147"/>
        <v>0</v>
      </c>
      <c r="N840" s="1174">
        <f t="shared" si="148"/>
        <v>0</v>
      </c>
      <c r="O840" s="1083">
        <f t="shared" si="149"/>
        <v>0</v>
      </c>
      <c r="P840" s="1080"/>
    </row>
    <row r="841" spans="1:19" s="1081" customFormat="1" hidden="1" outlineLevel="1">
      <c r="A841" s="1154">
        <f>IF(G841&lt;&gt;0,1,0)</f>
        <v>0</v>
      </c>
      <c r="B841" s="1206" t="s">
        <v>2121</v>
      </c>
      <c r="C841" s="1074"/>
      <c r="D841" s="1075">
        <f>VLOOKUP($B841,dongia1,DG!$B$5,)</f>
        <v>0</v>
      </c>
      <c r="E841" s="1076" t="str">
        <f>VLOOKUP($B841,dongia1,DG!$C$5,)</f>
        <v>Nắp che đầu cực LA</v>
      </c>
      <c r="F841" s="1198" t="str">
        <f>VLOOKUP($B841,dongia1,DG!$D$5,)</f>
        <v>cái</v>
      </c>
      <c r="G841" s="1077">
        <f>3*G834</f>
        <v>0</v>
      </c>
      <c r="H841" s="1062">
        <f>VLOOKUP($B841,dongia1,DG!$F$5,)</f>
        <v>39100</v>
      </c>
      <c r="I841" s="1062"/>
      <c r="J841" s="1062">
        <f>VLOOKUP($B841,dongia1,DG!$G$5,)</f>
        <v>0</v>
      </c>
      <c r="K841" s="1062">
        <f>VLOOKUP($B841,dongia1,DG!$H$5,)</f>
        <v>0</v>
      </c>
      <c r="L841" s="1174">
        <f t="shared" si="146"/>
        <v>0</v>
      </c>
      <c r="M841" s="1174">
        <f t="shared" si="147"/>
        <v>0</v>
      </c>
      <c r="N841" s="1174">
        <f t="shared" si="148"/>
        <v>0</v>
      </c>
      <c r="O841" s="1083">
        <f t="shared" si="149"/>
        <v>0</v>
      </c>
      <c r="P841" s="1080"/>
    </row>
    <row r="842" spans="1:19" s="1081" customFormat="1" hidden="1" outlineLevel="1">
      <c r="A842" s="1154">
        <f>IF(G842&lt;&gt;0,1,0)</f>
        <v>0</v>
      </c>
      <c r="B842" s="1206" t="s">
        <v>2123</v>
      </c>
      <c r="C842" s="1074"/>
      <c r="D842" s="1075">
        <f>VLOOKUP($B842,dongia1,DG!$B$5,)</f>
        <v>0</v>
      </c>
      <c r="E842" s="1076" t="str">
        <f>VLOOKUP($B842,dongia1,DG!$C$5,)</f>
        <v>Nắp che đầu sứ MBA</v>
      </c>
      <c r="F842" s="1198" t="str">
        <f>VLOOKUP($B842,dongia1,DG!$D$5,)</f>
        <v>cái</v>
      </c>
      <c r="G842" s="1077">
        <f>3*G834</f>
        <v>0</v>
      </c>
      <c r="H842" s="1062">
        <f>VLOOKUP($B842,dongia1,DG!$F$5,)</f>
        <v>56700</v>
      </c>
      <c r="I842" s="1062"/>
      <c r="J842" s="1062">
        <f>VLOOKUP($B842,dongia1,DG!$G$5,)</f>
        <v>0</v>
      </c>
      <c r="K842" s="1062">
        <f>VLOOKUP($B842,dongia1,DG!$H$5,)</f>
        <v>0</v>
      </c>
      <c r="L842" s="1174">
        <f t="shared" si="146"/>
        <v>0</v>
      </c>
      <c r="M842" s="1174">
        <f t="shared" si="147"/>
        <v>0</v>
      </c>
      <c r="N842" s="1174">
        <f t="shared" si="148"/>
        <v>0</v>
      </c>
      <c r="O842" s="1083">
        <f t="shared" si="149"/>
        <v>0</v>
      </c>
      <c r="P842" s="1080"/>
    </row>
    <row r="843" spans="1:19" s="1081" customFormat="1" hidden="1" outlineLevel="1">
      <c r="A843" s="1072" t="str">
        <f>IF(G843&lt;&gt;0,1,"")</f>
        <v/>
      </c>
      <c r="B843" s="1073" t="s">
        <v>4985</v>
      </c>
      <c r="C843" s="1074"/>
      <c r="D843" s="1075" t="str">
        <f>VLOOKUP($B843,dongia1,DG!$B$5,)</f>
        <v>D4.5002</v>
      </c>
      <c r="E843" s="1076" t="str">
        <f>VLOOKUP($B843,dongia1,DG!$C$5,)</f>
        <v>Đầu cosse ép Cu 50mm2</v>
      </c>
      <c r="F843" s="1075" t="str">
        <f>VLOOKUP($B843,dongia1,DG!$D$5,)</f>
        <v>cái</v>
      </c>
      <c r="G843" s="1077"/>
      <c r="H843" s="1062">
        <f>VLOOKUP($B843,dongia1,DG!$F$5,)</f>
        <v>9100</v>
      </c>
      <c r="I843" s="1062"/>
      <c r="J843" s="1062">
        <f>VLOOKUP($B843,dongia1,DG!$G$5,)</f>
        <v>10608.955000000002</v>
      </c>
      <c r="K843" s="1062">
        <f>VLOOKUP($B843,dongia1,DG!$H$5,)</f>
        <v>2777.0232475000003</v>
      </c>
      <c r="L843" s="1078">
        <f>H843*G843</f>
        <v>0</v>
      </c>
      <c r="M843" s="1078">
        <f>I843*G843</f>
        <v>0</v>
      </c>
      <c r="N843" s="1078">
        <f>J843*G843</f>
        <v>0</v>
      </c>
      <c r="O843" s="1079">
        <f>K843*G843</f>
        <v>0</v>
      </c>
      <c r="P843" s="1080"/>
    </row>
    <row r="844" spans="1:19" s="1081" customFormat="1" hidden="1" outlineLevel="1">
      <c r="A844" s="1072" t="str">
        <f>IF(G844&lt;&gt;0,1,"")</f>
        <v/>
      </c>
      <c r="B844" s="1073" t="s">
        <v>4975</v>
      </c>
      <c r="C844" s="1074"/>
      <c r="D844" s="1075" t="str">
        <f>VLOOKUP($B844,dongia1,DG!$B$5,)</f>
        <v>D4.5003</v>
      </c>
      <c r="E844" s="1076" t="str">
        <f>VLOOKUP($B844,dongia1,DG!$C$5,)</f>
        <v>Đầu cosse ép Cu 70mm2</v>
      </c>
      <c r="F844" s="1075" t="str">
        <f>VLOOKUP($B844,dongia1,DG!$D$5,)</f>
        <v>cái</v>
      </c>
      <c r="G844" s="1077"/>
      <c r="H844" s="1062">
        <f>VLOOKUP($B844,dongia1,DG!$F$5,)</f>
        <v>14000</v>
      </c>
      <c r="I844" s="1062"/>
      <c r="J844" s="1062">
        <f>VLOOKUP($B844,dongia1,DG!$G$5,)</f>
        <v>16671.215</v>
      </c>
      <c r="K844" s="1062">
        <f>VLOOKUP($B844,dongia1,DG!$H$5,)</f>
        <v>3332.427897</v>
      </c>
      <c r="L844" s="1078">
        <f>H844*G844</f>
        <v>0</v>
      </c>
      <c r="M844" s="1078">
        <f>I844*G844</f>
        <v>0</v>
      </c>
      <c r="N844" s="1078">
        <f>J844*G844</f>
        <v>0</v>
      </c>
      <c r="O844" s="1079">
        <f>K844*G844</f>
        <v>0</v>
      </c>
      <c r="P844" s="1080"/>
    </row>
    <row r="845" spans="1:19" s="1081" customFormat="1" hidden="1" outlineLevel="1">
      <c r="A845" s="1072" t="str">
        <f>IF(G845&lt;&gt;0,1,"")</f>
        <v/>
      </c>
      <c r="B845" s="1073" t="s">
        <v>5442</v>
      </c>
      <c r="C845" s="1074"/>
      <c r="D845" s="1075" t="str">
        <f>VLOOKUP($B845,dongia1,DG!$B$5,)</f>
        <v>D4.5002</v>
      </c>
      <c r="E845" s="1076" t="str">
        <f>VLOOKUP($B845,dongia1,DG!$C$5,)</f>
        <v>Ép Đầu cosse 50mm2</v>
      </c>
      <c r="F845" s="1075" t="str">
        <f>VLOOKUP($B845,dongia1,DG!$D$5,)</f>
        <v>cái</v>
      </c>
      <c r="G845" s="1077"/>
      <c r="H845" s="1062">
        <f>VLOOKUP($B845,dongia1,DG!$F$5,)</f>
        <v>0</v>
      </c>
      <c r="I845" s="1062"/>
      <c r="J845" s="1062">
        <f>VLOOKUP($B845,dongia1,DG!$G$5,)</f>
        <v>8387</v>
      </c>
      <c r="K845" s="1062">
        <f>VLOOKUP($B845,dongia1,DG!$H$5,)</f>
        <v>2688</v>
      </c>
      <c r="L845" s="1078">
        <f t="shared" si="146"/>
        <v>0</v>
      </c>
      <c r="M845" s="1078">
        <f t="shared" si="147"/>
        <v>0</v>
      </c>
      <c r="N845" s="1078">
        <f t="shared" si="148"/>
        <v>0</v>
      </c>
      <c r="O845" s="1079">
        <f t="shared" si="149"/>
        <v>0</v>
      </c>
      <c r="P845" s="1080"/>
    </row>
    <row r="846" spans="1:19" s="1081" customFormat="1" hidden="1" outlineLevel="1">
      <c r="A846" s="1072" t="str">
        <f>IF(G846&lt;&gt;0,1,"")</f>
        <v/>
      </c>
      <c r="B846" s="1073" t="s">
        <v>5443</v>
      </c>
      <c r="C846" s="1074"/>
      <c r="D846" s="1075" t="str">
        <f>VLOOKUP($B846,dongia1,DG!$B$5,)</f>
        <v>D4.5003</v>
      </c>
      <c r="E846" s="1076" t="str">
        <f>VLOOKUP($B846,dongia1,DG!$C$5,)</f>
        <v>Ép Đầu cosse 70mm2</v>
      </c>
      <c r="F846" s="1075" t="str">
        <f>VLOOKUP($B846,dongia1,DG!$D$5,)</f>
        <v>cái</v>
      </c>
      <c r="G846" s="1077"/>
      <c r="H846" s="1062">
        <f>VLOOKUP($B846,dongia1,DG!$F$5,)</f>
        <v>0</v>
      </c>
      <c r="I846" s="1062"/>
      <c r="J846" s="1062">
        <f>VLOOKUP($B846,dongia1,DG!$G$5,)</f>
        <v>13179</v>
      </c>
      <c r="K846" s="1062">
        <f>VLOOKUP($B846,dongia1,DG!$H$5,)</f>
        <v>3226</v>
      </c>
      <c r="L846" s="1078">
        <f>H846*G846</f>
        <v>0</v>
      </c>
      <c r="M846" s="1078">
        <f>I846*G846</f>
        <v>0</v>
      </c>
      <c r="N846" s="1078">
        <f>J846*G846</f>
        <v>0</v>
      </c>
      <c r="O846" s="1079">
        <f>K846*G846</f>
        <v>0</v>
      </c>
      <c r="P846" s="1080"/>
    </row>
    <row r="847" spans="1:19" s="1081" customFormat="1" hidden="1" outlineLevel="1">
      <c r="A847" s="1154">
        <f>A838</f>
        <v>0</v>
      </c>
      <c r="B847" s="1206" t="s">
        <v>224</v>
      </c>
      <c r="C847" s="1064"/>
      <c r="D847" s="1075" t="str">
        <f>VLOOKUP($B847,dongia1,DG!$B$5,)</f>
        <v>T4.4201</v>
      </c>
      <c r="E847" s="1076" t="str">
        <f>VLOOKUP($B847,dongia1,DG!$C$5,)</f>
        <v>Lắp cáp đồng xuống thiết bị D ≤ 95mm2</v>
      </c>
      <c r="F847" s="1075" t="str">
        <f>VLOOKUP($B847,dongia1,DG!$D$5,)</f>
        <v>m</v>
      </c>
      <c r="G847" s="1077">
        <f>G836</f>
        <v>0</v>
      </c>
      <c r="H847" s="1062">
        <f>VLOOKUP($B847,dongia1,DG!$F$5,)</f>
        <v>0</v>
      </c>
      <c r="I847" s="1062"/>
      <c r="J847" s="1062">
        <f>VLOOKUP($B847,dongia1,DG!$G$5,)</f>
        <v>13915</v>
      </c>
      <c r="K847" s="1062">
        <f>VLOOKUP($B847,dongia1,DG!$H$5,)</f>
        <v>0</v>
      </c>
      <c r="L847" s="1078">
        <f>H847*G847</f>
        <v>0</v>
      </c>
      <c r="M847" s="1078">
        <f>I847*G847</f>
        <v>0</v>
      </c>
      <c r="N847" s="1078">
        <f>J847*G847</f>
        <v>0</v>
      </c>
      <c r="O847" s="1079">
        <f>K847*G847</f>
        <v>0</v>
      </c>
      <c r="P847" s="1080"/>
    </row>
    <row r="848" spans="1:19" s="1081" customFormat="1" hidden="1" outlineLevel="1">
      <c r="A848" s="1072" t="str">
        <f>IF(G848&lt;&gt;0,1,"")</f>
        <v/>
      </c>
      <c r="B848" s="1073"/>
      <c r="C848" s="1064">
        <f>IF(G848&gt;0,C834+1,C834)</f>
        <v>0</v>
      </c>
      <c r="D848" s="1289"/>
      <c r="E848" s="1310" t="s">
        <v>3419</v>
      </c>
      <c r="F848" s="1286" t="s">
        <v>2113</v>
      </c>
      <c r="G848" s="1236">
        <f>K8</f>
        <v>0</v>
      </c>
      <c r="H848" s="1083"/>
      <c r="I848" s="1083"/>
      <c r="J848" s="1083"/>
      <c r="K848" s="1083"/>
      <c r="L848" s="1078">
        <f t="shared" si="146"/>
        <v>0</v>
      </c>
      <c r="M848" s="1078">
        <f t="shared" si="147"/>
        <v>0</v>
      </c>
      <c r="N848" s="1078">
        <f t="shared" si="148"/>
        <v>0</v>
      </c>
      <c r="O848" s="1079">
        <f t="shared" si="149"/>
        <v>0</v>
      </c>
      <c r="P848" s="1080"/>
    </row>
    <row r="849" spans="1:16" s="1081" customFormat="1" ht="14.4" hidden="1" outlineLevel="1">
      <c r="A849" s="1154" t="str">
        <f>A848</f>
        <v/>
      </c>
      <c r="B849" s="1073"/>
      <c r="C849" s="1064"/>
      <c r="D849" s="1289"/>
      <c r="E849" s="1311" t="s">
        <v>3399</v>
      </c>
      <c r="F849" s="1286"/>
      <c r="G849" s="1236"/>
      <c r="H849" s="1083"/>
      <c r="I849" s="1083"/>
      <c r="J849" s="1083"/>
      <c r="K849" s="1083"/>
      <c r="L849" s="1078">
        <f t="shared" si="146"/>
        <v>0</v>
      </c>
      <c r="M849" s="1078">
        <f t="shared" si="147"/>
        <v>0</v>
      </c>
      <c r="N849" s="1078">
        <f t="shared" si="148"/>
        <v>0</v>
      </c>
      <c r="O849" s="1079">
        <f t="shared" si="149"/>
        <v>0</v>
      </c>
      <c r="P849" s="1080"/>
    </row>
    <row r="850" spans="1:16" s="1081" customFormat="1" ht="27.6" hidden="1" outlineLevel="1">
      <c r="A850" s="1072" t="str">
        <f t="shared" ref="A850:A879" si="167">IF(G850&lt;&gt;0,1,"")</f>
        <v/>
      </c>
      <c r="B850" s="1073" t="s">
        <v>1312</v>
      </c>
      <c r="C850" s="1074"/>
      <c r="D850" s="1075">
        <f>VLOOKUP($B850,dongia1,DG!$B$5,)</f>
        <v>0</v>
      </c>
      <c r="E850" s="1312" t="str">
        <f>VLOOKUP($B850,dongia1,DG!$C$5,)&amp;" (3x7,5m cáp xuống +2x2m liên kết các máy+2m trung hoà máy lưới)"</f>
        <v>Cáp đồng bọc CV120 (3x7,5m cáp xuống +2x2m liên kết các máy+2m trung hoà máy lưới)</v>
      </c>
      <c r="F850" s="1075" t="str">
        <f>VLOOKUP($B850,dongia1,DG!$D$5,)</f>
        <v>mét</v>
      </c>
      <c r="G850" s="1077">
        <f>(3*7.5+3*2)*G848</f>
        <v>0</v>
      </c>
      <c r="H850" s="1062">
        <f>VLOOKUP($B850,dongia1,DG!$F$5,)</f>
        <v>236300</v>
      </c>
      <c r="I850" s="1062"/>
      <c r="J850" s="1062">
        <f>VLOOKUP($B850,dongia1,DG!$G$5,)</f>
        <v>0</v>
      </c>
      <c r="K850" s="1062">
        <f>VLOOKUP($B850,dongia1,DG!$H$5,)</f>
        <v>0</v>
      </c>
      <c r="L850" s="1078">
        <f t="shared" si="146"/>
        <v>0</v>
      </c>
      <c r="M850" s="1078">
        <f t="shared" si="147"/>
        <v>0</v>
      </c>
      <c r="N850" s="1078">
        <f t="shared" si="148"/>
        <v>0</v>
      </c>
      <c r="O850" s="1079">
        <f t="shared" si="149"/>
        <v>0</v>
      </c>
      <c r="P850" s="1080"/>
    </row>
    <row r="851" spans="1:16" s="1081" customFormat="1" hidden="1" outlineLevel="1">
      <c r="A851" s="1072" t="str">
        <f t="shared" si="167"/>
        <v/>
      </c>
      <c r="B851" s="1073" t="s">
        <v>4966</v>
      </c>
      <c r="C851" s="1074"/>
      <c r="D851" s="1075">
        <f>VLOOKUP($B851,dongia1,DG!$B$5,)</f>
        <v>0</v>
      </c>
      <c r="E851" s="1076" t="str">
        <f>VLOOKUP($B851,dongia1,DG!$C$5,)&amp;" (7,5m lấy tín hiệu)"</f>
        <v>Cáp đồng bọc CV25 (7,5m lấy tín hiệu)</v>
      </c>
      <c r="F851" s="1075" t="str">
        <f>VLOOKUP($B851,dongia1,DG!$D$5,)</f>
        <v>mét</v>
      </c>
      <c r="G851" s="1077">
        <f>7.5*G848</f>
        <v>0</v>
      </c>
      <c r="H851" s="1062">
        <f>VLOOKUP($B851,dongia1,DG!$F$5,)</f>
        <v>59600</v>
      </c>
      <c r="I851" s="1062"/>
      <c r="J851" s="1062">
        <f>VLOOKUP($B851,dongia1,DG!$G$5,)</f>
        <v>0</v>
      </c>
      <c r="K851" s="1062">
        <f>VLOOKUP($B851,dongia1,DG!$H$5,)</f>
        <v>0</v>
      </c>
      <c r="L851" s="1078">
        <f t="shared" si="146"/>
        <v>0</v>
      </c>
      <c r="M851" s="1078">
        <f t="shared" si="147"/>
        <v>0</v>
      </c>
      <c r="N851" s="1078">
        <f t="shared" si="148"/>
        <v>0</v>
      </c>
      <c r="O851" s="1079">
        <f t="shared" si="149"/>
        <v>0</v>
      </c>
      <c r="P851" s="1080"/>
    </row>
    <row r="852" spans="1:16" s="1081" customFormat="1" hidden="1" outlineLevel="1">
      <c r="A852" s="1072" t="str">
        <f t="shared" si="167"/>
        <v/>
      </c>
      <c r="B852" s="1073" t="s">
        <v>5020</v>
      </c>
      <c r="C852" s="1074"/>
      <c r="D852" s="1075">
        <f>VLOOKUP($B852,dongia1,DG!$B$5,)</f>
        <v>0</v>
      </c>
      <c r="E852" s="1076" t="str">
        <f>VLOOKUP($B852,dongia1,DG!$C$5,)&amp;" (2x8m cáp xuất lên)"</f>
        <v>Cáp nhôm ABC 3x120mm2 (2x8m cáp xuất lên)</v>
      </c>
      <c r="F852" s="1075" t="str">
        <f>VLOOKUP($B852,dongia1,DG!$D$5,)</f>
        <v>mét</v>
      </c>
      <c r="G852" s="1077"/>
      <c r="H852" s="1062">
        <f>VLOOKUP($B852,dongia1,DG!$F$5,)</f>
        <v>119400</v>
      </c>
      <c r="I852" s="1062"/>
      <c r="J852" s="1062">
        <f>VLOOKUP($B852,dongia1,DG!$G$5,)</f>
        <v>0</v>
      </c>
      <c r="K852" s="1062">
        <f>VLOOKUP($B852,dongia1,DG!$H$5,)</f>
        <v>0</v>
      </c>
      <c r="L852" s="1078">
        <f>H852*G852</f>
        <v>0</v>
      </c>
      <c r="M852" s="1078">
        <f>I852*G852</f>
        <v>0</v>
      </c>
      <c r="N852" s="1078">
        <f>J852*G852</f>
        <v>0</v>
      </c>
      <c r="O852" s="1079">
        <f>K852*G852</f>
        <v>0</v>
      </c>
      <c r="P852" s="1080"/>
    </row>
    <row r="853" spans="1:16" s="1081" customFormat="1" hidden="1" outlineLevel="1">
      <c r="A853" s="1072" t="str">
        <f t="shared" si="167"/>
        <v/>
      </c>
      <c r="B853" s="1073" t="s">
        <v>4804</v>
      </c>
      <c r="C853" s="1074"/>
      <c r="D853" s="1075"/>
      <c r="E853" s="1076" t="str">
        <f>VLOOKUP($B853,dongia1,DG!$C$5,)</f>
        <v xml:space="preserve">Cáp CVV 4x4mm2  </v>
      </c>
      <c r="F853" s="1075" t="str">
        <f>VLOOKUP($B853,dongia1,DG!$D$5,)</f>
        <v>mét</v>
      </c>
      <c r="G853" s="1077">
        <f>4*G848</f>
        <v>0</v>
      </c>
      <c r="H853" s="1062">
        <f>VLOOKUP($B853,dongia1,DG!$F$5,)</f>
        <v>63200</v>
      </c>
      <c r="I853" s="1062"/>
      <c r="J853" s="1062">
        <f>VLOOKUP($B853,dongia1,DG!$G$5,)</f>
        <v>0</v>
      </c>
      <c r="K853" s="1062">
        <f>VLOOKUP($B853,dongia1,DG!$H$5,)</f>
        <v>0</v>
      </c>
      <c r="L853" s="1078">
        <f t="shared" si="146"/>
        <v>0</v>
      </c>
      <c r="M853" s="1078">
        <f t="shared" si="147"/>
        <v>0</v>
      </c>
      <c r="N853" s="1078">
        <f t="shared" si="148"/>
        <v>0</v>
      </c>
      <c r="O853" s="1079">
        <f t="shared" si="149"/>
        <v>0</v>
      </c>
      <c r="P853" s="1080"/>
    </row>
    <row r="854" spans="1:16" s="1081" customFormat="1" hidden="1" outlineLevel="1">
      <c r="A854" s="1072" t="str">
        <f t="shared" si="167"/>
        <v/>
      </c>
      <c r="B854" s="1073" t="s">
        <v>4974</v>
      </c>
      <c r="C854" s="1074"/>
      <c r="D854" s="1075" t="str">
        <f>VLOOKUP($B854,dongia1,DG!$B$5,)</f>
        <v>D4.5005</v>
      </c>
      <c r="E854" s="1076" t="str">
        <f>VLOOKUP($B854,dongia1,DG!$C$5,)</f>
        <v>Đầu cosse ép Cu 120mm2</v>
      </c>
      <c r="F854" s="1075" t="str">
        <f>VLOOKUP($B854,dongia1,DG!$D$5,)</f>
        <v>cái</v>
      </c>
      <c r="G854" s="1077"/>
      <c r="H854" s="1062">
        <f>VLOOKUP($B854,dongia1,DG!$F$5,)</f>
        <v>27000</v>
      </c>
      <c r="I854" s="1062"/>
      <c r="J854" s="1062">
        <f>VLOOKUP($B854,dongia1,DG!$G$5,)</f>
        <v>27280.17</v>
      </c>
      <c r="K854" s="1062">
        <f>VLOOKUP($B854,dongia1,DG!$H$5,)</f>
        <v>3887.8325465000003</v>
      </c>
      <c r="L854" s="1078">
        <f t="shared" si="146"/>
        <v>0</v>
      </c>
      <c r="M854" s="1078">
        <f t="shared" si="147"/>
        <v>0</v>
      </c>
      <c r="N854" s="1078">
        <f t="shared" si="148"/>
        <v>0</v>
      </c>
      <c r="O854" s="1079">
        <f t="shared" si="149"/>
        <v>0</v>
      </c>
      <c r="P854" s="1080"/>
    </row>
    <row r="855" spans="1:16" s="1081" customFormat="1" hidden="1" outlineLevel="1">
      <c r="A855" s="1072" t="str">
        <f t="shared" si="167"/>
        <v/>
      </c>
      <c r="B855" s="1073" t="s">
        <v>1738</v>
      </c>
      <c r="C855" s="1074"/>
      <c r="D855" s="1075" t="str">
        <f>VLOOKUP($B855,dongia1,DG!$B$5,)</f>
        <v>D4.5005</v>
      </c>
      <c r="E855" s="1076" t="str">
        <f>VLOOKUP($B855,dongia1,DG!$C$5,)</f>
        <v>Đầu cosse ép Cu-Al 120mm2</v>
      </c>
      <c r="F855" s="1075" t="str">
        <f>VLOOKUP($B855,dongia1,DG!$D$5,)</f>
        <v>cái</v>
      </c>
      <c r="G855" s="1077"/>
      <c r="H855" s="1062">
        <f>VLOOKUP($B855,dongia1,DG!$F$5,)</f>
        <v>34000</v>
      </c>
      <c r="I855" s="1062"/>
      <c r="J855" s="1062">
        <f>VLOOKUP($B855,dongia1,DG!$G$5,)</f>
        <v>27280.17</v>
      </c>
      <c r="K855" s="1062">
        <f>VLOOKUP($B855,dongia1,DG!$H$5,)</f>
        <v>3887.8325465000003</v>
      </c>
      <c r="L855" s="1078">
        <f t="shared" si="146"/>
        <v>0</v>
      </c>
      <c r="M855" s="1078">
        <f t="shared" si="147"/>
        <v>0</v>
      </c>
      <c r="N855" s="1078">
        <f t="shared" si="148"/>
        <v>0</v>
      </c>
      <c r="O855" s="1079">
        <f t="shared" si="149"/>
        <v>0</v>
      </c>
      <c r="P855" s="1080"/>
    </row>
    <row r="856" spans="1:16" s="1081" customFormat="1" hidden="1" outlineLevel="1">
      <c r="A856" s="1072" t="str">
        <f t="shared" si="167"/>
        <v/>
      </c>
      <c r="B856" s="1073" t="s">
        <v>4986</v>
      </c>
      <c r="C856" s="1074"/>
      <c r="D856" s="1075" t="str">
        <f>VLOOKUP($B856,dongia1,DG!$B$5,)</f>
        <v>D4.5001</v>
      </c>
      <c r="E856" s="1076" t="str">
        <f>VLOOKUP($B856,dongia1,DG!$C$5,)</f>
        <v xml:space="preserve">Đầu cosse ép Cu 25mm2 </v>
      </c>
      <c r="F856" s="1075" t="str">
        <f>VLOOKUP($B856,dongia1,DG!$D$5,)</f>
        <v>cái</v>
      </c>
      <c r="G856" s="1077"/>
      <c r="H856" s="1062">
        <f>VLOOKUP($B856,dongia1,DG!$F$5,)</f>
        <v>6500</v>
      </c>
      <c r="I856" s="1062"/>
      <c r="J856" s="1062">
        <f>VLOOKUP($B856,dongia1,DG!$G$5,)</f>
        <v>6062.26</v>
      </c>
      <c r="K856" s="1062">
        <f>VLOOKUP($B856,dongia1,DG!$H$5,)</f>
        <v>2777.0232475000003</v>
      </c>
      <c r="L856" s="1078">
        <f>H856*G856</f>
        <v>0</v>
      </c>
      <c r="M856" s="1078">
        <f>I856*G856</f>
        <v>0</v>
      </c>
      <c r="N856" s="1078">
        <f>J856*G856</f>
        <v>0</v>
      </c>
      <c r="O856" s="1079">
        <f>K856*G856</f>
        <v>0</v>
      </c>
      <c r="P856" s="1080"/>
    </row>
    <row r="857" spans="1:16" s="1081" customFormat="1" hidden="1" outlineLevel="1">
      <c r="A857" s="1072" t="str">
        <f t="shared" si="167"/>
        <v/>
      </c>
      <c r="B857" s="1073" t="s">
        <v>5444</v>
      </c>
      <c r="C857" s="1074"/>
      <c r="D857" s="1075" t="str">
        <f>VLOOKUP($B857,dongia1,DG!$B$5,)</f>
        <v>D4.5004</v>
      </c>
      <c r="E857" s="1076" t="str">
        <f>VLOOKUP($B857,dongia1,DG!$C$5,)</f>
        <v>Ép Đầu cosse 95mm2</v>
      </c>
      <c r="F857" s="1075" t="str">
        <f>VLOOKUP($B857,dongia1,DG!$D$5,)</f>
        <v>cái</v>
      </c>
      <c r="G857" s="1077"/>
      <c r="H857" s="1062">
        <f>VLOOKUP($B857,dongia1,DG!$F$5,)</f>
        <v>0</v>
      </c>
      <c r="I857" s="1062"/>
      <c r="J857" s="1062">
        <f>VLOOKUP($B857,dongia1,DG!$G$5,)</f>
        <v>16773</v>
      </c>
      <c r="K857" s="1062">
        <f>VLOOKUP($B857,dongia1,DG!$H$5,)</f>
        <v>3226</v>
      </c>
      <c r="L857" s="1078">
        <f>H857*G857</f>
        <v>0</v>
      </c>
      <c r="M857" s="1078">
        <f>I857*G857</f>
        <v>0</v>
      </c>
      <c r="N857" s="1078">
        <f>J857*G857</f>
        <v>0</v>
      </c>
      <c r="O857" s="1079">
        <f>K857*G857</f>
        <v>0</v>
      </c>
      <c r="P857" s="1080"/>
    </row>
    <row r="858" spans="1:16" s="1081" customFormat="1" hidden="1" outlineLevel="1">
      <c r="A858" s="1072" t="str">
        <f t="shared" si="167"/>
        <v/>
      </c>
      <c r="B858" s="1073" t="s">
        <v>5445</v>
      </c>
      <c r="C858" s="1074"/>
      <c r="D858" s="1075" t="str">
        <f>VLOOKUP($B858,dongia1,DG!$B$5,)</f>
        <v>D4.5005</v>
      </c>
      <c r="E858" s="1076" t="str">
        <f>VLOOKUP($B858,dongia1,DG!$C$5,)</f>
        <v>Ép Đầu cosse 120mm2</v>
      </c>
      <c r="F858" s="1075" t="str">
        <f>VLOOKUP($B858,dongia1,DG!$D$5,)</f>
        <v>cái</v>
      </c>
      <c r="G858" s="1077"/>
      <c r="H858" s="1062">
        <f>VLOOKUP($B858,dongia1,DG!$F$5,)</f>
        <v>0</v>
      </c>
      <c r="I858" s="1062"/>
      <c r="J858" s="1062">
        <f>VLOOKUP($B858,dongia1,DG!$G$5,)</f>
        <v>21565</v>
      </c>
      <c r="K858" s="1062">
        <f>VLOOKUP($B858,dongia1,DG!$H$5,)</f>
        <v>3764</v>
      </c>
      <c r="L858" s="1078">
        <f>H858*G858</f>
        <v>0</v>
      </c>
      <c r="M858" s="1078">
        <f>I858*G858</f>
        <v>0</v>
      </c>
      <c r="N858" s="1078">
        <f>J858*G858</f>
        <v>0</v>
      </c>
      <c r="O858" s="1079">
        <f>K858*G858</f>
        <v>0</v>
      </c>
      <c r="P858" s="1080"/>
    </row>
    <row r="859" spans="1:16" s="1081" customFormat="1" hidden="1" outlineLevel="1">
      <c r="A859" s="1072" t="str">
        <f t="shared" si="167"/>
        <v/>
      </c>
      <c r="B859" s="1073" t="s">
        <v>5446</v>
      </c>
      <c r="C859" s="1074"/>
      <c r="D859" s="1075" t="str">
        <f>VLOOKUP($B859,dongia1,DG!$B$5,)</f>
        <v>D4.5001</v>
      </c>
      <c r="E859" s="1076" t="str">
        <f>VLOOKUP($B859,dongia1,DG!$C$5,)</f>
        <v>Ép Đầu cosse 25mm2</v>
      </c>
      <c r="F859" s="1075" t="str">
        <f>VLOOKUP($B859,dongia1,DG!$D$5,)</f>
        <v>cái</v>
      </c>
      <c r="G859" s="1077">
        <f>G848*1</f>
        <v>0</v>
      </c>
      <c r="H859" s="1062">
        <f>VLOOKUP($B859,dongia1,DG!$F$5,)</f>
        <v>0</v>
      </c>
      <c r="I859" s="1062"/>
      <c r="J859" s="1062">
        <f>VLOOKUP($B859,dongia1,DG!$G$5,)</f>
        <v>4792</v>
      </c>
      <c r="K859" s="1062">
        <f>VLOOKUP($B859,dongia1,DG!$H$5,)</f>
        <v>2688</v>
      </c>
      <c r="L859" s="1078">
        <f t="shared" si="146"/>
        <v>0</v>
      </c>
      <c r="M859" s="1078">
        <f t="shared" si="147"/>
        <v>0</v>
      </c>
      <c r="N859" s="1078">
        <f t="shared" si="148"/>
        <v>0</v>
      </c>
      <c r="O859" s="1079">
        <f t="shared" si="149"/>
        <v>0</v>
      </c>
      <c r="P859" s="1080"/>
    </row>
    <row r="860" spans="1:16" s="1081" customFormat="1" hidden="1" outlineLevel="1">
      <c r="A860" s="1072" t="str">
        <f t="shared" si="167"/>
        <v/>
      </c>
      <c r="B860" s="1073" t="s">
        <v>1698</v>
      </c>
      <c r="C860" s="1074"/>
      <c r="D860" s="1075">
        <f>VLOOKUP($B860,dongia1,DG!$B$5,)</f>
        <v>0</v>
      </c>
      <c r="E860" s="1076" t="str">
        <f>VLOOKUP($B860,dongia1,DG!$C$5,)</f>
        <v>Kẹp ép WR cỡ dây 120mm2</v>
      </c>
      <c r="F860" s="1075" t="str">
        <f>VLOOKUP($B860,dongia1,DG!$D$5,)</f>
        <v>cái</v>
      </c>
      <c r="G860" s="1077"/>
      <c r="H860" s="1062">
        <f>VLOOKUP($B860,dongia1,DG!$F$5,)</f>
        <v>14000</v>
      </c>
      <c r="I860" s="1062"/>
      <c r="J860" s="1062">
        <f>VLOOKUP($B860,dongia1,DG!$G$5,)</f>
        <v>0</v>
      </c>
      <c r="K860" s="1062">
        <f>VLOOKUP($B860,dongia1,DG!$H$5,)</f>
        <v>0</v>
      </c>
      <c r="L860" s="1078">
        <f>H860*G860</f>
        <v>0</v>
      </c>
      <c r="M860" s="1078">
        <f>I860*G860</f>
        <v>0</v>
      </c>
      <c r="N860" s="1078">
        <f>J860*G860</f>
        <v>0</v>
      </c>
      <c r="O860" s="1079">
        <f>K860*G860</f>
        <v>0</v>
      </c>
      <c r="P860" s="1080"/>
    </row>
    <row r="861" spans="1:16" s="1081" customFormat="1" hidden="1" outlineLevel="1">
      <c r="A861" s="1072" t="str">
        <f t="shared" si="167"/>
        <v/>
      </c>
      <c r="B861" s="1073" t="s">
        <v>1698</v>
      </c>
      <c r="C861" s="1074"/>
      <c r="D861" s="1075">
        <f>VLOOKUP($B861,dongia1,DG!$B$5,)</f>
        <v>0</v>
      </c>
      <c r="E861" s="1312" t="str">
        <f>VLOOKUP($B861,dongia1,DG!$C$5,)</f>
        <v>Kẹp ép WR cỡ dây 120mm2</v>
      </c>
      <c r="F861" s="1075" t="str">
        <f>VLOOKUP($B861,dongia1,DG!$D$5,)</f>
        <v>cái</v>
      </c>
      <c r="G861" s="1077"/>
      <c r="H861" s="1062">
        <f>VLOOKUP($B861,dongia1,DG!$F$5,)</f>
        <v>14000</v>
      </c>
      <c r="I861" s="1062"/>
      <c r="J861" s="1062">
        <f>VLOOKUP($B861,dongia1,DG!$G$5,)</f>
        <v>0</v>
      </c>
      <c r="K861" s="1062">
        <f>VLOOKUP($B861,dongia1,DG!$H$5,)</f>
        <v>0</v>
      </c>
      <c r="L861" s="1078">
        <f>H861*G861</f>
        <v>0</v>
      </c>
      <c r="M861" s="1078">
        <f>I861*G861</f>
        <v>0</v>
      </c>
      <c r="N861" s="1078">
        <f>J861*G861</f>
        <v>0</v>
      </c>
      <c r="O861" s="1079">
        <f>K861*G861</f>
        <v>0</v>
      </c>
      <c r="P861" s="1080"/>
    </row>
    <row r="862" spans="1:16" s="1081" customFormat="1" hidden="1" outlineLevel="1">
      <c r="A862" s="1072" t="str">
        <f t="shared" si="167"/>
        <v/>
      </c>
      <c r="B862" s="1067" t="s">
        <v>236</v>
      </c>
      <c r="C862" s="1074"/>
      <c r="D862" s="1075">
        <f>VLOOKUP($B862,dongia1,DG!$B$5,)</f>
        <v>0</v>
      </c>
      <c r="E862" s="1076" t="str">
        <f>VLOOKUP($B862,dongia1,DG!$C$5,)</f>
        <v>Băng keo cách điện hạ thế</v>
      </c>
      <c r="F862" s="1075" t="str">
        <f>VLOOKUP($B862,dongia1,DG!$D$5,)</f>
        <v>cuộn</v>
      </c>
      <c r="G862" s="1077"/>
      <c r="H862" s="1062">
        <f>VLOOKUP($B862,dongia1,DG!$F$5,)</f>
        <v>6500</v>
      </c>
      <c r="I862" s="1083"/>
      <c r="J862" s="1062">
        <f>VLOOKUP($B862,dongia1,DG!$G$5,)</f>
        <v>0</v>
      </c>
      <c r="K862" s="1062">
        <f>VLOOKUP($B862,dongia1,DG!$H$5,)</f>
        <v>0</v>
      </c>
      <c r="L862" s="1078">
        <f>H862*G862</f>
        <v>0</v>
      </c>
      <c r="M862" s="1078">
        <f>I862*G862</f>
        <v>0</v>
      </c>
      <c r="N862" s="1078">
        <f>J862*G862</f>
        <v>0</v>
      </c>
      <c r="O862" s="1079">
        <f>K862*G862</f>
        <v>0</v>
      </c>
      <c r="P862" s="1080"/>
    </row>
    <row r="863" spans="1:16" s="1081" customFormat="1" hidden="1" outlineLevel="1">
      <c r="A863" s="1072" t="str">
        <f t="shared" si="167"/>
        <v/>
      </c>
      <c r="B863" s="1073" t="s">
        <v>476</v>
      </c>
      <c r="C863" s="1074"/>
      <c r="D863" s="1075">
        <f>VLOOKUP($B863,dongia1,DG!$B$5,)</f>
        <v>0</v>
      </c>
      <c r="E863" s="1076" t="str">
        <f>VLOOKUP($B863,dongia1,DG!$C$5,)</f>
        <v>Chụp đầu cosse  120mm2</v>
      </c>
      <c r="F863" s="1075" t="str">
        <f>VLOOKUP($B863,dongia1,DG!$D$5,)</f>
        <v>cái</v>
      </c>
      <c r="G863" s="1077"/>
      <c r="H863" s="1062">
        <f>VLOOKUP($B863,dongia1,DG!$F$5,)</f>
        <v>4000</v>
      </c>
      <c r="I863" s="1062"/>
      <c r="J863" s="1062">
        <f>VLOOKUP($B863,dongia1,DG!$G$5,)</f>
        <v>0</v>
      </c>
      <c r="K863" s="1062">
        <f>VLOOKUP($B863,dongia1,DG!$H$5,)</f>
        <v>0</v>
      </c>
      <c r="L863" s="1078">
        <f t="shared" si="146"/>
        <v>0</v>
      </c>
      <c r="M863" s="1078">
        <f t="shared" si="147"/>
        <v>0</v>
      </c>
      <c r="N863" s="1078">
        <f t="shared" si="148"/>
        <v>0</v>
      </c>
      <c r="O863" s="1079">
        <f t="shared" si="149"/>
        <v>0</v>
      </c>
      <c r="P863" s="1080"/>
    </row>
    <row r="864" spans="1:16" s="1081" customFormat="1" hidden="1" outlineLevel="1">
      <c r="A864" s="1072" t="str">
        <f t="shared" si="167"/>
        <v/>
      </c>
      <c r="B864" s="1073" t="s">
        <v>476</v>
      </c>
      <c r="C864" s="1074"/>
      <c r="D864" s="1075">
        <f>VLOOKUP($B864,dongia1,DG!$B$5,)</f>
        <v>0</v>
      </c>
      <c r="E864" s="1076" t="str">
        <f>VLOOKUP($B864,dongia1,DG!$C$5,)</f>
        <v>Chụp đầu cosse  120mm2</v>
      </c>
      <c r="F864" s="1075" t="str">
        <f>VLOOKUP($B864,dongia1,DG!$D$5,)</f>
        <v>cái</v>
      </c>
      <c r="G864" s="1077"/>
      <c r="H864" s="1062">
        <f>VLOOKUP($B864,dongia1,DG!$F$5,)</f>
        <v>4000</v>
      </c>
      <c r="I864" s="1062"/>
      <c r="J864" s="1062">
        <f>VLOOKUP($B864,dongia1,DG!$G$5,)</f>
        <v>0</v>
      </c>
      <c r="K864" s="1062">
        <f>VLOOKUP($B864,dongia1,DG!$H$5,)</f>
        <v>0</v>
      </c>
      <c r="L864" s="1078">
        <f>H864*G864</f>
        <v>0</v>
      </c>
      <c r="M864" s="1078">
        <f>I864*G864</f>
        <v>0</v>
      </c>
      <c r="N864" s="1078">
        <f>J864*G864</f>
        <v>0</v>
      </c>
      <c r="O864" s="1079">
        <f>K864*G864</f>
        <v>0</v>
      </c>
      <c r="P864" s="1080"/>
    </row>
    <row r="865" spans="1:16" s="1081" customFormat="1" hidden="1" outlineLevel="1">
      <c r="A865" s="1072" t="str">
        <f t="shared" si="167"/>
        <v/>
      </c>
      <c r="B865" s="1073" t="s">
        <v>1826</v>
      </c>
      <c r="C865" s="1074"/>
      <c r="D865" s="1075">
        <f>VLOOKUP($B865,dongia1,DG!$B$5,)</f>
        <v>0</v>
      </c>
      <c r="E865" s="1076" t="str">
        <f>VLOOKUP($B865,dongia1,DG!$C$5,)</f>
        <v>Chụp đầu cosse  25mm2</v>
      </c>
      <c r="F865" s="1075" t="str">
        <f>VLOOKUP($B865,dongia1,DG!$D$5,)</f>
        <v>cái</v>
      </c>
      <c r="G865" s="1077">
        <f>G859</f>
        <v>0</v>
      </c>
      <c r="H865" s="1062">
        <f>VLOOKUP($B865,dongia1,DG!$F$5,)</f>
        <v>1000</v>
      </c>
      <c r="I865" s="1062"/>
      <c r="J865" s="1062">
        <f>VLOOKUP($B865,dongia1,DG!$G$5,)</f>
        <v>0</v>
      </c>
      <c r="K865" s="1062">
        <f>VLOOKUP($B865,dongia1,DG!$H$5,)</f>
        <v>0</v>
      </c>
      <c r="L865" s="1078">
        <f t="shared" si="146"/>
        <v>0</v>
      </c>
      <c r="M865" s="1078">
        <f t="shared" si="147"/>
        <v>0</v>
      </c>
      <c r="N865" s="1078">
        <f t="shared" si="148"/>
        <v>0</v>
      </c>
      <c r="O865" s="1079">
        <f t="shared" si="149"/>
        <v>0</v>
      </c>
      <c r="P865" s="1080"/>
    </row>
    <row r="866" spans="1:16" s="1081" customFormat="1" hidden="1" outlineLevel="1">
      <c r="A866" s="1072" t="str">
        <f t="shared" si="167"/>
        <v/>
      </c>
      <c r="B866" s="1082" t="s">
        <v>4692</v>
      </c>
      <c r="C866" s="1074"/>
      <c r="D866" s="1075">
        <f>VLOOKUP($B866,dongia1,DG!$B$5,)</f>
        <v>0</v>
      </c>
      <c r="E866" s="1076" t="str">
        <f>VLOOKUP($B866,dongia1,DG!$C$5,)</f>
        <v>Tiếp địa cố định cáp ABC 120mm2</v>
      </c>
      <c r="F866" s="1075" t="str">
        <f>VLOOKUP($B866,dongia1,DG!$D$5,)</f>
        <v>cái</v>
      </c>
      <c r="G866" s="1077"/>
      <c r="H866" s="1062">
        <f>VLOOKUP($B866,dongia1,DG!$F$5,)</f>
        <v>190000</v>
      </c>
      <c r="I866" s="1062"/>
      <c r="J866" s="1062">
        <f>VLOOKUP($B866,dongia1,DG!$G$5,)</f>
        <v>0</v>
      </c>
      <c r="K866" s="1062">
        <f>VLOOKUP($B866,dongia1,DG!$H$5,)</f>
        <v>0</v>
      </c>
      <c r="L866" s="1078">
        <f>H866*G866</f>
        <v>0</v>
      </c>
      <c r="M866" s="1078">
        <f>I866*G866</f>
        <v>0</v>
      </c>
      <c r="N866" s="1078">
        <f>J866*G866</f>
        <v>0</v>
      </c>
      <c r="O866" s="1079">
        <f>K866*G866</f>
        <v>0</v>
      </c>
      <c r="P866" s="1080"/>
    </row>
    <row r="867" spans="1:16" s="1081" customFormat="1" hidden="1" outlineLevel="1">
      <c r="A867" s="1072" t="str">
        <f t="shared" si="167"/>
        <v/>
      </c>
      <c r="B867" s="1073" t="s">
        <v>961</v>
      </c>
      <c r="C867" s="1074"/>
      <c r="D867" s="1075">
        <f>VLOOKUP($B867,dongia1,DG!$B$5,)</f>
        <v>0</v>
      </c>
      <c r="E867" s="1076" t="str">
        <f>VLOOKUP($B867,dongia1,DG!$C$5,)</f>
        <v xml:space="preserve">Ống PVC D114x4,9mm </v>
      </c>
      <c r="F867" s="1075" t="str">
        <f>VLOOKUP($B867,dongia1,DG!$D$5,)</f>
        <v>m</v>
      </c>
      <c r="G867" s="1077"/>
      <c r="H867" s="1062">
        <f>VLOOKUP($B867,dongia1,DG!$F$5,)</f>
        <v>103700</v>
      </c>
      <c r="I867" s="1083"/>
      <c r="J867" s="1062">
        <f>VLOOKUP($B867,dongia1,DG!$G$5,)</f>
        <v>0</v>
      </c>
      <c r="K867" s="1062">
        <f>VLOOKUP($B867,dongia1,DG!$H$5,)</f>
        <v>0</v>
      </c>
      <c r="L867" s="1078">
        <f t="shared" si="146"/>
        <v>0</v>
      </c>
      <c r="M867" s="1078">
        <f t="shared" si="147"/>
        <v>0</v>
      </c>
      <c r="N867" s="1078">
        <f t="shared" si="148"/>
        <v>0</v>
      </c>
      <c r="O867" s="1079">
        <f t="shared" si="149"/>
        <v>0</v>
      </c>
      <c r="P867" s="1080"/>
    </row>
    <row r="868" spans="1:16" s="1081" customFormat="1" hidden="1" outlineLevel="1">
      <c r="A868" s="1072" t="str">
        <f t="shared" si="167"/>
        <v/>
      </c>
      <c r="B868" s="1082" t="s">
        <v>1283</v>
      </c>
      <c r="C868" s="1074"/>
      <c r="D868" s="1075">
        <f>VLOOKUP($B868,dongia1,DG!$B$5,)</f>
        <v>0</v>
      </c>
      <c r="E868" s="1076" t="str">
        <f>VLOOKUP($B868,dongia1,DG!$C$5,)</f>
        <v>Ống đàn hồi 114 (Ruột gà)</v>
      </c>
      <c r="F868" s="1075" t="str">
        <f>VLOOKUP($B868,dongia1,DG!$D$5,)</f>
        <v>m</v>
      </c>
      <c r="G868" s="1077"/>
      <c r="H868" s="1062">
        <f>VLOOKUP($B868,dongia1,DG!$F$5,)</f>
        <v>58700</v>
      </c>
      <c r="I868" s="1083"/>
      <c r="J868" s="1062">
        <f>VLOOKUP($B868,dongia1,DG!$G$5,)</f>
        <v>0</v>
      </c>
      <c r="K868" s="1062">
        <f>VLOOKUP($B868,dongia1,DG!$H$5,)</f>
        <v>0</v>
      </c>
      <c r="L868" s="1078">
        <f>H868*G868</f>
        <v>0</v>
      </c>
      <c r="M868" s="1078">
        <f>I868*G868</f>
        <v>0</v>
      </c>
      <c r="N868" s="1078">
        <f>J868*G868</f>
        <v>0</v>
      </c>
      <c r="O868" s="1079">
        <f>K868*G868</f>
        <v>0</v>
      </c>
      <c r="P868" s="1080"/>
    </row>
    <row r="869" spans="1:16" s="1081" customFormat="1" hidden="1" outlineLevel="1">
      <c r="A869" s="1072" t="str">
        <f t="shared" si="167"/>
        <v/>
      </c>
      <c r="B869" s="1082" t="s">
        <v>1609</v>
      </c>
      <c r="C869" s="1074"/>
      <c r="D869" s="1075">
        <f>VLOOKUP($B869,dongia1,DG!$B$5,)</f>
        <v>0</v>
      </c>
      <c r="E869" s="1076" t="str">
        <f>VLOOKUP($B869,dongia1,DG!$C$5,)</f>
        <v>Khâu ven răng trong D114</v>
      </c>
      <c r="F869" s="1075" t="str">
        <f>VLOOKUP($B869,dongia1,DG!$D$5,)</f>
        <v>cái</v>
      </c>
      <c r="G869" s="1077"/>
      <c r="H869" s="1062">
        <f>VLOOKUP($B869,dongia1,DG!$F$5,)</f>
        <v>41900</v>
      </c>
      <c r="I869" s="1083"/>
      <c r="J869" s="1062">
        <f>VLOOKUP($B869,dongia1,DG!$G$5,)</f>
        <v>0</v>
      </c>
      <c r="K869" s="1062">
        <f>VLOOKUP($B869,dongia1,DG!$H$5,)</f>
        <v>0</v>
      </c>
      <c r="L869" s="1078">
        <f>H869*G869</f>
        <v>0</v>
      </c>
      <c r="M869" s="1078">
        <f>I869*G869</f>
        <v>0</v>
      </c>
      <c r="N869" s="1078">
        <f>J869*G869</f>
        <v>0</v>
      </c>
      <c r="O869" s="1079">
        <f>K869*G869</f>
        <v>0</v>
      </c>
      <c r="P869" s="1080"/>
    </row>
    <row r="870" spans="1:16" s="1081" customFormat="1" hidden="1" outlineLevel="1">
      <c r="A870" s="1072" t="str">
        <f t="shared" si="167"/>
        <v/>
      </c>
      <c r="B870" s="1082" t="s">
        <v>1610</v>
      </c>
      <c r="C870" s="1074"/>
      <c r="D870" s="1075">
        <f>VLOOKUP($B870,dongia1,DG!$B$5,)</f>
        <v>0</v>
      </c>
      <c r="E870" s="1076" t="str">
        <f>VLOOKUP($B870,dongia1,DG!$C$5,)</f>
        <v>Khâu ven răng ngoài D114</v>
      </c>
      <c r="F870" s="1075" t="str">
        <f>VLOOKUP($B870,dongia1,DG!$D$5,)</f>
        <v>cái</v>
      </c>
      <c r="G870" s="1077"/>
      <c r="H870" s="1062">
        <f>VLOOKUP($B870,dongia1,DG!$F$5,)</f>
        <v>41900</v>
      </c>
      <c r="I870" s="1083"/>
      <c r="J870" s="1062">
        <f>VLOOKUP($B870,dongia1,DG!$G$5,)</f>
        <v>0</v>
      </c>
      <c r="K870" s="1062">
        <f>VLOOKUP($B870,dongia1,DG!$H$5,)</f>
        <v>0</v>
      </c>
      <c r="L870" s="1078">
        <f>H870*G870</f>
        <v>0</v>
      </c>
      <c r="M870" s="1078">
        <f>I870*G870</f>
        <v>0</v>
      </c>
      <c r="N870" s="1078">
        <f>J870*G870</f>
        <v>0</v>
      </c>
      <c r="O870" s="1079">
        <f>K870*G870</f>
        <v>0</v>
      </c>
      <c r="P870" s="1080"/>
    </row>
    <row r="871" spans="1:16" s="1081" customFormat="1" hidden="1" outlineLevel="1">
      <c r="A871" s="1072" t="str">
        <f t="shared" si="167"/>
        <v/>
      </c>
      <c r="B871" s="1067" t="s">
        <v>826</v>
      </c>
      <c r="C871" s="1074"/>
      <c r="D871" s="1075">
        <f>VLOOKUP($B871,dongia1,DG!$B$5,)</f>
        <v>0</v>
      </c>
      <c r="E871" s="1076" t="str">
        <f>VLOOKUP($B871,dongia1,DG!$C$5,)</f>
        <v>Cổ dê kẹp ống PVC Þ 114</v>
      </c>
      <c r="F871" s="1075" t="str">
        <f>VLOOKUP($B871,dongia1,DG!$D$5,)</f>
        <v>bộ</v>
      </c>
      <c r="G871" s="1077"/>
      <c r="H871" s="1062">
        <f>VLOOKUP($B871,dongia1,DG!$F$5,)</f>
        <v>50000</v>
      </c>
      <c r="I871" s="1083"/>
      <c r="J871" s="1062">
        <f>VLOOKUP($B871,dongia1,DG!$G$5,)</f>
        <v>0</v>
      </c>
      <c r="K871" s="1062">
        <f>VLOOKUP($B871,dongia1,DG!$H$5,)</f>
        <v>0</v>
      </c>
      <c r="L871" s="1078">
        <f t="shared" si="146"/>
        <v>0</v>
      </c>
      <c r="M871" s="1078">
        <f t="shared" si="147"/>
        <v>0</v>
      </c>
      <c r="N871" s="1078">
        <f t="shared" si="148"/>
        <v>0</v>
      </c>
      <c r="O871" s="1079">
        <f t="shared" si="149"/>
        <v>0</v>
      </c>
      <c r="P871" s="1080"/>
    </row>
    <row r="872" spans="1:16" s="1081" customFormat="1" hidden="1" outlineLevel="1">
      <c r="A872" s="1072" t="str">
        <f t="shared" si="167"/>
        <v/>
      </c>
      <c r="B872" s="1073" t="s">
        <v>828</v>
      </c>
      <c r="C872" s="1074"/>
      <c r="D872" s="1075">
        <f>VLOOKUP($B872,dongia1,DG!$B$5,)</f>
        <v>0</v>
      </c>
      <c r="E872" s="1076" t="str">
        <f>VLOOKUP($B872,dongia1,DG!$C$5,)</f>
        <v>Co  90 độ PVC 114</v>
      </c>
      <c r="F872" s="1075" t="str">
        <f>VLOOKUP($B872,dongia1,DG!$D$5,)</f>
        <v>cái</v>
      </c>
      <c r="G872" s="1077"/>
      <c r="H872" s="1062">
        <f>VLOOKUP($B872,dongia1,DG!$F$5,)</f>
        <v>104800</v>
      </c>
      <c r="I872" s="1083"/>
      <c r="J872" s="1062">
        <f>VLOOKUP($B872,dongia1,DG!$G$5,)</f>
        <v>0</v>
      </c>
      <c r="K872" s="1062">
        <f>VLOOKUP($B872,dongia1,DG!$H$5,)</f>
        <v>0</v>
      </c>
      <c r="L872" s="1078">
        <f t="shared" si="146"/>
        <v>0</v>
      </c>
      <c r="M872" s="1078">
        <f t="shared" si="147"/>
        <v>0</v>
      </c>
      <c r="N872" s="1078">
        <f t="shared" si="148"/>
        <v>0</v>
      </c>
      <c r="O872" s="1079">
        <f t="shared" si="149"/>
        <v>0</v>
      </c>
      <c r="P872" s="1080"/>
    </row>
    <row r="873" spans="1:16" s="1081" customFormat="1" hidden="1" outlineLevel="1">
      <c r="A873" s="1072" t="str">
        <f t="shared" si="167"/>
        <v/>
      </c>
      <c r="B873" s="1073" t="s">
        <v>1972</v>
      </c>
      <c r="C873" s="1074"/>
      <c r="D873" s="1075">
        <f>VLOOKUP($B873,dongia1,DG!$B$5,)</f>
        <v>0</v>
      </c>
      <c r="E873" s="1076" t="str">
        <f>VLOOKUP($B873,dongia1,DG!$C$5,)</f>
        <v xml:space="preserve">Nối thẳng ống PVC 90 </v>
      </c>
      <c r="F873" s="1075" t="str">
        <f>VLOOKUP($B873,dongia1,DG!$D$5,)</f>
        <v>cái</v>
      </c>
      <c r="G873" s="1258">
        <f>G848*0</f>
        <v>0</v>
      </c>
      <c r="H873" s="1062">
        <f>VLOOKUP($B873,dongia1,DG!$F$5,)</f>
        <v>12400</v>
      </c>
      <c r="I873" s="1083"/>
      <c r="J873" s="1062">
        <f>VLOOKUP($B873,dongia1,DG!$G$5,)</f>
        <v>0</v>
      </c>
      <c r="K873" s="1062">
        <f>VLOOKUP($B873,dongia1,DG!$H$5,)</f>
        <v>0</v>
      </c>
      <c r="L873" s="1078">
        <f>H873*G873</f>
        <v>0</v>
      </c>
      <c r="M873" s="1078">
        <f>I873*G873</f>
        <v>0</v>
      </c>
      <c r="N873" s="1078">
        <f>J873*G873</f>
        <v>0</v>
      </c>
      <c r="O873" s="1079">
        <f>K873*G873</f>
        <v>0</v>
      </c>
      <c r="P873" s="1080"/>
    </row>
    <row r="874" spans="1:16" s="1081" customFormat="1" hidden="1" outlineLevel="1">
      <c r="A874" s="1072" t="str">
        <f t="shared" si="167"/>
        <v/>
      </c>
      <c r="B874" s="1073" t="s">
        <v>1188</v>
      </c>
      <c r="C874" s="1074"/>
      <c r="D874" s="1075">
        <f>VLOOKUP($B874,dongia1,DG!$B$5,)</f>
        <v>0</v>
      </c>
      <c r="E874" s="1076" t="str">
        <f>VLOOKUP($B874,dongia1,DG!$C$5,)</f>
        <v>Keo dán ống PVC (100gr)</v>
      </c>
      <c r="F874" s="1075" t="str">
        <f>VLOOKUP($B874,dongia1,DG!$D$5,)</f>
        <v>tuýp</v>
      </c>
      <c r="G874" s="1077"/>
      <c r="H874" s="1062">
        <f>VLOOKUP($B874,dongia1,DG!$F$5,)</f>
        <v>11500</v>
      </c>
      <c r="I874" s="1083"/>
      <c r="J874" s="1062">
        <f>VLOOKUP($B874,dongia1,DG!$G$5,)</f>
        <v>0</v>
      </c>
      <c r="K874" s="1062">
        <f>VLOOKUP($B874,dongia1,DG!$H$5,)</f>
        <v>0</v>
      </c>
      <c r="L874" s="1078">
        <f t="shared" si="146"/>
        <v>0</v>
      </c>
      <c r="M874" s="1078">
        <f t="shared" si="147"/>
        <v>0</v>
      </c>
      <c r="N874" s="1078">
        <f t="shared" si="148"/>
        <v>0</v>
      </c>
      <c r="O874" s="1079">
        <f t="shared" si="149"/>
        <v>0</v>
      </c>
      <c r="P874" s="1080"/>
    </row>
    <row r="875" spans="1:16" s="1081" customFormat="1" hidden="1" outlineLevel="1">
      <c r="A875" s="1072" t="str">
        <f t="shared" si="167"/>
        <v/>
      </c>
      <c r="B875" s="1073" t="s">
        <v>1205</v>
      </c>
      <c r="C875" s="1074"/>
      <c r="D875" s="1075">
        <f>VLOOKUP($B875,dongia1,DG!$B$5,)</f>
        <v>0</v>
      </c>
      <c r="E875" s="1076" t="str">
        <f>VLOOKUP($B875,dongia1,DG!$C$5,)</f>
        <v>Keo silicon bít miệng ống</v>
      </c>
      <c r="F875" s="1075" t="str">
        <f>VLOOKUP($B875,dongia1,DG!$D$5,)</f>
        <v>chai</v>
      </c>
      <c r="G875" s="1077"/>
      <c r="H875" s="1062">
        <f>VLOOKUP($B875,dongia1,DG!$F$5,)</f>
        <v>45000</v>
      </c>
      <c r="I875" s="1083"/>
      <c r="J875" s="1062">
        <f>VLOOKUP($B875,dongia1,DG!$G$5,)</f>
        <v>0</v>
      </c>
      <c r="K875" s="1062">
        <f>VLOOKUP($B875,dongia1,DG!$H$5,)</f>
        <v>0</v>
      </c>
      <c r="L875" s="1078">
        <f>H875*G875</f>
        <v>0</v>
      </c>
      <c r="M875" s="1078">
        <f>I875*G875</f>
        <v>0</v>
      </c>
      <c r="N875" s="1078">
        <f>J875*G875</f>
        <v>0</v>
      </c>
      <c r="O875" s="1079">
        <f>K875*G875</f>
        <v>0</v>
      </c>
      <c r="P875" s="1080"/>
    </row>
    <row r="876" spans="1:16" s="1081" customFormat="1" hidden="1" outlineLevel="1">
      <c r="A876" s="1072" t="str">
        <f t="shared" si="167"/>
        <v/>
      </c>
      <c r="B876" s="1086" t="s">
        <v>827</v>
      </c>
      <c r="C876" s="1074"/>
      <c r="D876" s="1075" t="str">
        <f>VLOOKUP($B876,dongia1,DG!$B$5,)</f>
        <v>D4.1411</v>
      </c>
      <c r="E876" s="1076" t="str">
        <f>VLOOKUP($B876,dongia1,DG!$C$5,)</f>
        <v>Lắp ống nhựa PVC D114</v>
      </c>
      <c r="F876" s="1075" t="str">
        <f>VLOOKUP($B876,dongia1,DG!$D$5,)</f>
        <v>mét</v>
      </c>
      <c r="G876" s="1077"/>
      <c r="H876" s="1062"/>
      <c r="I876" s="1083"/>
      <c r="J876" s="1062">
        <f>VLOOKUP($B876,dongia1,DG!$G$5,)</f>
        <v>65150.03</v>
      </c>
      <c r="K876" s="1062">
        <f>VLOOKUP($B876,dongia1,DG!$H$5,)</f>
        <v>0</v>
      </c>
      <c r="L876" s="1174">
        <f t="shared" si="146"/>
        <v>0</v>
      </c>
      <c r="M876" s="1174">
        <f t="shared" si="147"/>
        <v>0</v>
      </c>
      <c r="N876" s="1174">
        <f t="shared" si="148"/>
        <v>0</v>
      </c>
      <c r="O876" s="1083">
        <f t="shared" si="149"/>
        <v>0</v>
      </c>
      <c r="P876" s="1080"/>
    </row>
    <row r="877" spans="1:16" s="1081" customFormat="1" hidden="1" outlineLevel="1">
      <c r="A877" s="1072" t="str">
        <f t="shared" si="167"/>
        <v/>
      </c>
      <c r="B877" s="1067" t="s">
        <v>224</v>
      </c>
      <c r="C877" s="1074"/>
      <c r="D877" s="1075" t="str">
        <f>VLOOKUP($B877,dongia1,DG!$B$5,)</f>
        <v>T4.4201</v>
      </c>
      <c r="E877" s="1076" t="str">
        <f>VLOOKUP($B877,dongia1,DG!$C$5,)</f>
        <v>Lắp cáp đồng xuống thiết bị D ≤ 95mm2</v>
      </c>
      <c r="F877" s="1075" t="str">
        <f>VLOOKUP($B877,dongia1,DG!$D$5,)</f>
        <v>m</v>
      </c>
      <c r="G877" s="1077">
        <f>G851+G850</f>
        <v>0</v>
      </c>
      <c r="H877" s="1062"/>
      <c r="I877" s="1083"/>
      <c r="J877" s="1062">
        <f>VLOOKUP($B877,dongia1,DG!$G$5,)</f>
        <v>13915</v>
      </c>
      <c r="K877" s="1062">
        <f>VLOOKUP($B877,dongia1,DG!$H$5,)</f>
        <v>0</v>
      </c>
      <c r="L877" s="1174">
        <f>H877*G877</f>
        <v>0</v>
      </c>
      <c r="M877" s="1174">
        <f>I877*G877</f>
        <v>0</v>
      </c>
      <c r="N877" s="1174">
        <f>J877*G877</f>
        <v>0</v>
      </c>
      <c r="O877" s="1083">
        <f>K877*G877</f>
        <v>0</v>
      </c>
      <c r="P877" s="1080"/>
    </row>
    <row r="878" spans="1:16" s="1081" customFormat="1" hidden="1" outlineLevel="1">
      <c r="A878" s="1072" t="str">
        <f t="shared" si="167"/>
        <v/>
      </c>
      <c r="B878" s="1067" t="s">
        <v>5447</v>
      </c>
      <c r="C878" s="1074"/>
      <c r="D878" s="1075" t="str">
        <f>VLOOKUP($B878,dongia1,DG!$B$5,)</f>
        <v>D3.6307</v>
      </c>
      <c r="E878" s="1076" t="str">
        <f>VLOOKUP($B878,dongia1,DG!$C$5,)</f>
        <v>Kéo dây ABC 3x120mm2</v>
      </c>
      <c r="F878" s="1075" t="str">
        <f>VLOOKUP($B878,dongia1,DG!$D$5,)</f>
        <v>km</v>
      </c>
      <c r="G878" s="1077">
        <f>G852/1000</f>
        <v>0</v>
      </c>
      <c r="H878" s="1062"/>
      <c r="I878" s="1083"/>
      <c r="J878" s="1062">
        <f>VLOOKUP($B878,dongia1,DG!$G$5,)</f>
        <v>9637980</v>
      </c>
      <c r="K878" s="1062">
        <f>VLOOKUP($B878,dongia1,DG!$H$5,)</f>
        <v>0</v>
      </c>
      <c r="L878" s="1174">
        <f>H878*G878</f>
        <v>0</v>
      </c>
      <c r="M878" s="1174">
        <f>I878*G878</f>
        <v>0</v>
      </c>
      <c r="N878" s="1174">
        <f>J878*G878</f>
        <v>0</v>
      </c>
      <c r="O878" s="1083">
        <f>K878*G878</f>
        <v>0</v>
      </c>
      <c r="P878" s="1080"/>
    </row>
    <row r="879" spans="1:16" s="1284" customFormat="1" hidden="1" outlineLevel="1">
      <c r="A879" s="1313" t="str">
        <f t="shared" si="167"/>
        <v/>
      </c>
      <c r="B879" s="1314" t="s">
        <v>888</v>
      </c>
      <c r="C879" s="1207">
        <f>IF(G879&gt;0,C848+1,C848)</f>
        <v>0</v>
      </c>
      <c r="D879" s="1315"/>
      <c r="E879" s="1280" t="str">
        <f>VLOOKUP($B879,dongia1,DG!$C$5,)</f>
        <v>Bảng tên trạm + bảng báo nguy hiểm</v>
      </c>
      <c r="F879" s="1281" t="str">
        <f>VLOOKUP($B879,dongia1,DG!$D$5,)</f>
        <v>cái</v>
      </c>
      <c r="G879" s="1237">
        <f>G788</f>
        <v>0</v>
      </c>
      <c r="H879" s="1282">
        <f>VLOOKUP($B879,dongia1,DG!$F$5,)</f>
        <v>300000</v>
      </c>
      <c r="I879" s="1316"/>
      <c r="J879" s="1282">
        <f>VLOOKUP($B879,dongia1,DG!$G$5,)</f>
        <v>0</v>
      </c>
      <c r="K879" s="1282">
        <f>VLOOKUP($B879,dongia1,DG!$H$5,)</f>
        <v>0</v>
      </c>
      <c r="L879" s="1317">
        <f>H879*G879</f>
        <v>0</v>
      </c>
      <c r="M879" s="1317">
        <f>I879*G879</f>
        <v>0</v>
      </c>
      <c r="N879" s="1317">
        <f>J879*G879</f>
        <v>0</v>
      </c>
      <c r="O879" s="1318">
        <f>K879*G879</f>
        <v>0</v>
      </c>
      <c r="P879" s="1283"/>
    </row>
    <row r="880" spans="1:16" s="1081" customFormat="1" hidden="1" outlineLevel="1">
      <c r="A880" s="1072"/>
      <c r="B880" s="1073"/>
      <c r="C880" s="1207">
        <f>C879+1</f>
        <v>1</v>
      </c>
      <c r="D880" s="1319"/>
      <c r="E880" s="1280" t="s">
        <v>5031</v>
      </c>
      <c r="F880" s="1075"/>
      <c r="G880" s="1320"/>
      <c r="H880" s="1062"/>
      <c r="I880" s="1210"/>
      <c r="J880" s="1062"/>
      <c r="K880" s="1062"/>
      <c r="L880" s="1321"/>
      <c r="M880" s="1321"/>
      <c r="N880" s="1321"/>
      <c r="O880" s="1322"/>
      <c r="P880" s="1080"/>
    </row>
    <row r="881" spans="1:16" s="1081" customFormat="1" hidden="1" outlineLevel="1">
      <c r="A881" s="1072" t="str">
        <f t="shared" ref="A881:A887" si="168">IF(G881&lt;&gt;0,1,"")</f>
        <v/>
      </c>
      <c r="B881" s="25" t="s">
        <v>3782</v>
      </c>
      <c r="C881" s="1207"/>
      <c r="D881" s="1319"/>
      <c r="E881" s="1323" t="str">
        <f>VLOOKUP($B881,dongia1,DG!$C$5,)</f>
        <v>Kẹp ngừng cáp ABC4x95mm2</v>
      </c>
      <c r="F881" s="1075" t="str">
        <f>VLOOKUP($B881,dongia1,DG!$D$5,)</f>
        <v>cái</v>
      </c>
      <c r="G881" s="1077"/>
      <c r="H881" s="1062">
        <f>VLOOKUP($B881,dongia1,DG!$F$5,)</f>
        <v>50000</v>
      </c>
      <c r="I881" s="1210"/>
      <c r="J881" s="1062">
        <f>VLOOKUP($B881,dongia1,DG!$G$5,)</f>
        <v>0</v>
      </c>
      <c r="K881" s="1062">
        <f>VLOOKUP($B881,dongia1,DG!$H$5,)</f>
        <v>0</v>
      </c>
      <c r="L881" s="1321">
        <f t="shared" ref="L881:L887" si="169">H881*G881</f>
        <v>0</v>
      </c>
      <c r="M881" s="1321">
        <f t="shared" ref="M881:M887" si="170">I881*G881</f>
        <v>0</v>
      </c>
      <c r="N881" s="1321">
        <f t="shared" ref="N881:N887" si="171">J881*G881</f>
        <v>0</v>
      </c>
      <c r="O881" s="1322">
        <f t="shared" ref="O881:O887" si="172">K881*G881</f>
        <v>0</v>
      </c>
      <c r="P881" s="1080"/>
    </row>
    <row r="882" spans="1:16" s="1081" customFormat="1" hidden="1" outlineLevel="1">
      <c r="A882" s="1072" t="str">
        <f t="shared" si="168"/>
        <v/>
      </c>
      <c r="B882" s="1573" t="s">
        <v>5026</v>
      </c>
      <c r="C882" s="1207"/>
      <c r="D882" s="1319"/>
      <c r="E882" s="1076" t="str">
        <f>VLOOKUP($B882,dongia1,DG!$C$5,)</f>
        <v>Boulon móc 16x300+ 1 long đền vuông D18-50x50x3/Zn</v>
      </c>
      <c r="F882" s="1075" t="str">
        <f>VLOOKUP($B882,dongia1,DG!$D$5,)</f>
        <v>bộ</v>
      </c>
      <c r="G882" s="1077"/>
      <c r="H882" s="1062">
        <f>VLOOKUP($B882,dongia1,DG!$F$5,)</f>
        <v>30200</v>
      </c>
      <c r="I882" s="1210"/>
      <c r="J882" s="1062">
        <f>VLOOKUP($B882,dongia1,DG!$G$5,)</f>
        <v>0</v>
      </c>
      <c r="K882" s="1062">
        <f>VLOOKUP($B882,dongia1,DG!$H$5,)</f>
        <v>0</v>
      </c>
      <c r="L882" s="1321">
        <f t="shared" si="169"/>
        <v>0</v>
      </c>
      <c r="M882" s="1321">
        <f t="shared" si="170"/>
        <v>0</v>
      </c>
      <c r="N882" s="1321">
        <f t="shared" si="171"/>
        <v>0</v>
      </c>
      <c r="O882" s="1322">
        <f t="shared" si="172"/>
        <v>0</v>
      </c>
      <c r="P882" s="1080"/>
    </row>
    <row r="883" spans="1:16" s="1081" customFormat="1" hidden="1" outlineLevel="1">
      <c r="A883" s="1072" t="str">
        <f t="shared" si="168"/>
        <v/>
      </c>
      <c r="B883" s="1574" t="s">
        <v>4930</v>
      </c>
      <c r="C883" s="1207"/>
      <c r="D883" s="1319"/>
      <c r="E883" s="1076" t="str">
        <f>VLOOKUP($B883,dongia1,DG!$C$5,)</f>
        <v>Sắt góc L50 x50 x5x810</v>
      </c>
      <c r="F883" s="1075" t="str">
        <f>VLOOKUP($B883,dongia1,DG!$D$5,)</f>
        <v xml:space="preserve">thanh </v>
      </c>
      <c r="G883" s="1077"/>
      <c r="H883" s="1062">
        <f>VLOOKUP($B883,dongia1,DG!$F$5,)</f>
        <v>86065.309080000006</v>
      </c>
      <c r="I883" s="1210"/>
      <c r="J883" s="1062">
        <f>VLOOKUP($B883,dongia1,DG!$G$5,)</f>
        <v>0</v>
      </c>
      <c r="K883" s="1062">
        <f>VLOOKUP($B883,dongia1,DG!$H$5,)</f>
        <v>0</v>
      </c>
      <c r="L883" s="1321">
        <f t="shared" si="169"/>
        <v>0</v>
      </c>
      <c r="M883" s="1321">
        <f t="shared" si="170"/>
        <v>0</v>
      </c>
      <c r="N883" s="1321">
        <f t="shared" si="171"/>
        <v>0</v>
      </c>
      <c r="O883" s="1322">
        <f t="shared" si="172"/>
        <v>0</v>
      </c>
      <c r="P883" s="1080"/>
    </row>
    <row r="884" spans="1:16" s="1081" customFormat="1" hidden="1" outlineLevel="1">
      <c r="A884" s="1072" t="str">
        <f t="shared" si="168"/>
        <v/>
      </c>
      <c r="B884" s="25" t="s">
        <v>3782</v>
      </c>
      <c r="C884" s="1207"/>
      <c r="D884" s="1319"/>
      <c r="E884" s="1323" t="str">
        <f>VLOOKUP($B884,dongia1,DG!$C$5,)</f>
        <v>Kẹp ngừng cáp ABC4x95mm2</v>
      </c>
      <c r="F884" s="1075" t="str">
        <f>VLOOKUP($B884,dongia1,DG!$D$5,)</f>
        <v>cái</v>
      </c>
      <c r="G884" s="1077"/>
      <c r="H884" s="1062">
        <f>VLOOKUP($B884,dongia1,DG!$F$5,)</f>
        <v>50000</v>
      </c>
      <c r="I884" s="1210"/>
      <c r="J884" s="1062">
        <f>VLOOKUP($B884,dongia1,DG!$G$5,)</f>
        <v>0</v>
      </c>
      <c r="K884" s="1062">
        <f>VLOOKUP($B884,dongia1,DG!$H$5,)</f>
        <v>0</v>
      </c>
      <c r="L884" s="1321">
        <f t="shared" si="169"/>
        <v>0</v>
      </c>
      <c r="M884" s="1321">
        <f t="shared" si="170"/>
        <v>0</v>
      </c>
      <c r="N884" s="1321">
        <f t="shared" si="171"/>
        <v>0</v>
      </c>
      <c r="O884" s="1322">
        <f t="shared" si="172"/>
        <v>0</v>
      </c>
      <c r="P884" s="1080"/>
    </row>
    <row r="885" spans="1:16" s="1081" customFormat="1" hidden="1" outlineLevel="1">
      <c r="A885" s="1072" t="str">
        <f t="shared" si="168"/>
        <v/>
      </c>
      <c r="B885" s="1573" t="s">
        <v>1490</v>
      </c>
      <c r="C885" s="1207"/>
      <c r="D885" s="1319"/>
      <c r="E885" s="1076" t="str">
        <f>VLOOKUP($B885,dongia1,DG!$C$5,)</f>
        <v>Cổ dê kẹp ống PVC (STK) Þ 21</v>
      </c>
      <c r="F885" s="1075" t="str">
        <f>VLOOKUP($B885,dongia1,DG!$D$5,)</f>
        <v>bộ</v>
      </c>
      <c r="G885" s="1077"/>
      <c r="H885" s="1062">
        <f>VLOOKUP($B885,dongia1,DG!$F$5,)</f>
        <v>43000</v>
      </c>
      <c r="I885" s="1210"/>
      <c r="J885" s="1062">
        <f>VLOOKUP($B885,dongia1,DG!$G$5,)</f>
        <v>0</v>
      </c>
      <c r="K885" s="1062">
        <f>VLOOKUP($B885,dongia1,DG!$H$5,)</f>
        <v>0</v>
      </c>
      <c r="L885" s="1321">
        <f t="shared" si="169"/>
        <v>0</v>
      </c>
      <c r="M885" s="1321">
        <f t="shared" si="170"/>
        <v>0</v>
      </c>
      <c r="N885" s="1321">
        <f t="shared" si="171"/>
        <v>0</v>
      </c>
      <c r="O885" s="1322">
        <f t="shared" si="172"/>
        <v>0</v>
      </c>
      <c r="P885" s="1080"/>
    </row>
    <row r="886" spans="1:16" s="1081" customFormat="1" hidden="1" outlineLevel="1">
      <c r="A886" s="1072" t="str">
        <f t="shared" si="168"/>
        <v/>
      </c>
      <c r="B886" s="1574" t="s">
        <v>4930</v>
      </c>
      <c r="C886" s="1207"/>
      <c r="D886" s="1319"/>
      <c r="E886" s="1076" t="str">
        <f>VLOOKUP($B886,dongia1,DG!$C$5,)</f>
        <v>Sắt góc L50 x50 x5x810</v>
      </c>
      <c r="F886" s="1075" t="str">
        <f>VLOOKUP($B886,dongia1,DG!$D$5,)</f>
        <v xml:space="preserve">thanh </v>
      </c>
      <c r="G886" s="1077"/>
      <c r="H886" s="1062">
        <f>VLOOKUP($B886,dongia1,DG!$F$5,)</f>
        <v>86065.309080000006</v>
      </c>
      <c r="I886" s="1210"/>
      <c r="J886" s="1062">
        <f>VLOOKUP($B886,dongia1,DG!$G$5,)</f>
        <v>0</v>
      </c>
      <c r="K886" s="1062">
        <f>VLOOKUP($B886,dongia1,DG!$H$5,)</f>
        <v>0</v>
      </c>
      <c r="L886" s="1321">
        <f t="shared" si="169"/>
        <v>0</v>
      </c>
      <c r="M886" s="1321">
        <f t="shared" si="170"/>
        <v>0</v>
      </c>
      <c r="N886" s="1321">
        <f t="shared" si="171"/>
        <v>0</v>
      </c>
      <c r="O886" s="1322">
        <f t="shared" si="172"/>
        <v>0</v>
      </c>
      <c r="P886" s="1080"/>
    </row>
    <row r="887" spans="1:16" s="1081" customFormat="1" ht="27.6" hidden="1" outlineLevel="1">
      <c r="A887" s="1072" t="str">
        <f t="shared" si="168"/>
        <v/>
      </c>
      <c r="B887" s="1073" t="s">
        <v>1779</v>
      </c>
      <c r="C887" s="1207"/>
      <c r="D887" s="1319"/>
      <c r="E887" s="1312" t="str">
        <f>VLOOKUP($B887,dongia1,DG!$C$5,)&amp;" (đấu nối trung hoà hạ thế vào trung hoà trung thế)"</f>
        <v>Kẹp ép WR cỡ dây 95mm2 (đấu nối trung hoà hạ thế vào trung hoà trung thế)</v>
      </c>
      <c r="F887" s="1075" t="str">
        <f>VLOOKUP($B887,dongia1,DG!$D$5,)</f>
        <v>cái</v>
      </c>
      <c r="G887" s="1077"/>
      <c r="H887" s="1062">
        <f>VLOOKUP($B887,dongia1,DG!$F$5,)</f>
        <v>13000</v>
      </c>
      <c r="I887" s="1210"/>
      <c r="J887" s="1062">
        <f>VLOOKUP($B887,dongia1,DG!$G$5,)</f>
        <v>0</v>
      </c>
      <c r="K887" s="1062">
        <f>VLOOKUP($B887,dongia1,DG!$H$5,)</f>
        <v>0</v>
      </c>
      <c r="L887" s="1321">
        <f t="shared" si="169"/>
        <v>0</v>
      </c>
      <c r="M887" s="1321">
        <f t="shared" si="170"/>
        <v>0</v>
      </c>
      <c r="N887" s="1321">
        <f t="shared" si="171"/>
        <v>0</v>
      </c>
      <c r="O887" s="1322">
        <f t="shared" si="172"/>
        <v>0</v>
      </c>
      <c r="P887" s="1080"/>
    </row>
    <row r="888" spans="1:16" s="1081" customFormat="1" hidden="1" outlineLevel="1">
      <c r="A888" s="1072"/>
      <c r="B888" s="1073"/>
      <c r="C888" s="1207">
        <f>C880+1</f>
        <v>2</v>
      </c>
      <c r="D888" s="1319"/>
      <c r="E888" s="1280" t="s">
        <v>5032</v>
      </c>
      <c r="F888" s="1075"/>
      <c r="G888" s="1320"/>
      <c r="H888" s="1062"/>
      <c r="I888" s="1210"/>
      <c r="J888" s="1062"/>
      <c r="K888" s="1062"/>
      <c r="L888" s="1321"/>
      <c r="M888" s="1321"/>
      <c r="N888" s="1321"/>
      <c r="O888" s="1322"/>
      <c r="P888" s="1080"/>
    </row>
    <row r="889" spans="1:16" s="1081" customFormat="1" hidden="1" outlineLevel="1">
      <c r="A889" s="1072" t="str">
        <f t="shared" ref="A889:A899" si="173">IF(G889&lt;&gt;0,1,"")</f>
        <v/>
      </c>
      <c r="B889" s="1084" t="s">
        <v>1100</v>
      </c>
      <c r="C889" s="1207"/>
      <c r="D889" s="1319"/>
      <c r="E889" s="1323" t="str">
        <f>VLOOKUP($B889,dongia1,DG!$C$5,)</f>
        <v>Kẹp U bolt dây 95mm2</v>
      </c>
      <c r="F889" s="1075" t="str">
        <f>VLOOKUP($B889,dongia1,DG!$D$5,)</f>
        <v>cái</v>
      </c>
      <c r="G889" s="1077"/>
      <c r="H889" s="1062">
        <f>VLOOKUP($B889,dongia1,DG!$F$5,)</f>
        <v>17000</v>
      </c>
      <c r="I889" s="1210"/>
      <c r="J889" s="1062">
        <f>VLOOKUP($B889,dongia1,DG!$G$5,)</f>
        <v>0</v>
      </c>
      <c r="K889" s="1062">
        <f>VLOOKUP($B889,dongia1,DG!$H$5,)</f>
        <v>0</v>
      </c>
      <c r="L889" s="1321">
        <f t="shared" ref="L889:L899" si="174">H889*G889</f>
        <v>0</v>
      </c>
      <c r="M889" s="1321">
        <f t="shared" ref="M889:M899" si="175">I889*G889</f>
        <v>0</v>
      </c>
      <c r="N889" s="1321">
        <f t="shared" ref="N889:N899" si="176">J889*G889</f>
        <v>0</v>
      </c>
      <c r="O889" s="1322">
        <f t="shared" ref="O889:O899" si="177">K889*G889</f>
        <v>0</v>
      </c>
      <c r="P889" s="1080"/>
    </row>
    <row r="890" spans="1:16" s="1081" customFormat="1" hidden="1" outlineLevel="1">
      <c r="A890" s="1072" t="str">
        <f t="shared" si="173"/>
        <v/>
      </c>
      <c r="B890" s="1067" t="s">
        <v>592</v>
      </c>
      <c r="C890" s="1207"/>
      <c r="D890" s="1319"/>
      <c r="E890" s="1076" t="str">
        <f>VLOOKUP($B890,dongia1,DG!$C$5,)</f>
        <v>Rack 3 sứ + sứ ống chỉ</v>
      </c>
      <c r="F890" s="1075" t="str">
        <f>VLOOKUP($B890,dongia1,DG!$D$5,)</f>
        <v>bộ</v>
      </c>
      <c r="G890" s="1077"/>
      <c r="H890" s="1062">
        <f>VLOOKUP($B890,dongia1,DG!$F$5,)</f>
        <v>147000</v>
      </c>
      <c r="I890" s="1210"/>
      <c r="J890" s="1062">
        <f>VLOOKUP($B890,dongia1,DG!$G$5,)</f>
        <v>0</v>
      </c>
      <c r="K890" s="1062">
        <f>VLOOKUP($B890,dongia1,DG!$H$5,)</f>
        <v>0</v>
      </c>
      <c r="L890" s="1321">
        <f t="shared" si="174"/>
        <v>0</v>
      </c>
      <c r="M890" s="1321">
        <f t="shared" si="175"/>
        <v>0</v>
      </c>
      <c r="N890" s="1321">
        <f t="shared" si="176"/>
        <v>0</v>
      </c>
      <c r="O890" s="1322">
        <f t="shared" si="177"/>
        <v>0</v>
      </c>
      <c r="P890" s="1080"/>
    </row>
    <row r="891" spans="1:16" s="1081" customFormat="1" hidden="1" outlineLevel="1">
      <c r="A891" s="1072" t="str">
        <f t="shared" si="173"/>
        <v/>
      </c>
      <c r="B891" s="1067" t="s">
        <v>1276</v>
      </c>
      <c r="C891" s="1207"/>
      <c r="D891" s="1319"/>
      <c r="E891" s="1076" t="str">
        <f>VLOOKUP($B891,dongia1,DG!$C$5,)</f>
        <v>Uclevis (loại gân)+ sứ ống chỉ</v>
      </c>
      <c r="F891" s="1075" t="str">
        <f>VLOOKUP($B891,dongia1,DG!$D$5,)</f>
        <v>bộ</v>
      </c>
      <c r="G891" s="1077"/>
      <c r="H891" s="1062">
        <f>VLOOKUP($B891,dongia1,DG!$F$5,)</f>
        <v>35000</v>
      </c>
      <c r="I891" s="1210"/>
      <c r="J891" s="1062">
        <f>VLOOKUP($B891,dongia1,DG!$G$5,)</f>
        <v>0</v>
      </c>
      <c r="K891" s="1062">
        <f>VLOOKUP($B891,dongia1,DG!$H$5,)</f>
        <v>0</v>
      </c>
      <c r="L891" s="1321">
        <f>H891*G891</f>
        <v>0</v>
      </c>
      <c r="M891" s="1321">
        <f>I891*G891</f>
        <v>0</v>
      </c>
      <c r="N891" s="1321">
        <f>J891*G891</f>
        <v>0</v>
      </c>
      <c r="O891" s="1322">
        <f>K891*G891</f>
        <v>0</v>
      </c>
      <c r="P891" s="1080"/>
    </row>
    <row r="892" spans="1:16" s="1081" customFormat="1" hidden="1" outlineLevel="1">
      <c r="A892" s="1072" t="str">
        <f t="shared" si="173"/>
        <v/>
      </c>
      <c r="B892" s="1067" t="s">
        <v>1673</v>
      </c>
      <c r="C892" s="1207"/>
      <c r="D892" s="1319"/>
      <c r="E892" s="1076" t="str">
        <f>VLOOKUP($B892,dongia1,DG!$C$5,)</f>
        <v>Boulon 16x250+ 2 long đền vuông D18-50x50x3/Zn</v>
      </c>
      <c r="F892" s="1075" t="str">
        <f>VLOOKUP($B892,dongia1,DG!$D$5,)</f>
        <v>bộ</v>
      </c>
      <c r="G892" s="1077"/>
      <c r="H892" s="1062">
        <f>VLOOKUP($B892,dongia1,DG!$F$5,)</f>
        <v>13400</v>
      </c>
      <c r="I892" s="1210"/>
      <c r="J892" s="1062">
        <f>VLOOKUP($B892,dongia1,DG!$G$5,)</f>
        <v>0</v>
      </c>
      <c r="K892" s="1062">
        <f>VLOOKUP($B892,dongia1,DG!$H$5,)</f>
        <v>0</v>
      </c>
      <c r="L892" s="1321">
        <f>H892*G892</f>
        <v>0</v>
      </c>
      <c r="M892" s="1321">
        <f>I892*G892</f>
        <v>0</v>
      </c>
      <c r="N892" s="1321">
        <f>J892*G892</f>
        <v>0</v>
      </c>
      <c r="O892" s="1322">
        <f>K892*G892</f>
        <v>0</v>
      </c>
      <c r="P892" s="1080"/>
    </row>
    <row r="893" spans="1:16" s="1081" customFormat="1" hidden="1" outlineLevel="1">
      <c r="A893" s="1072" t="str">
        <f t="shared" si="173"/>
        <v/>
      </c>
      <c r="B893" s="1067" t="s">
        <v>5025</v>
      </c>
      <c r="C893" s="1207"/>
      <c r="D893" s="1319"/>
      <c r="E893" s="1076" t="str">
        <f>VLOOKUP($B893,dongia1,DG!$C$5,)</f>
        <v>Cổ dê bắt rack</v>
      </c>
      <c r="F893" s="1075" t="str">
        <f>VLOOKUP($B893,dongia1,DG!$D$5,)</f>
        <v>bộ</v>
      </c>
      <c r="G893" s="1077"/>
      <c r="H893" s="1062">
        <f>VLOOKUP($B893,dongia1,DG!$F$5,)</f>
        <v>43000</v>
      </c>
      <c r="I893" s="1210"/>
      <c r="J893" s="1062">
        <f>VLOOKUP($B893,dongia1,DG!$G$5,)</f>
        <v>0</v>
      </c>
      <c r="K893" s="1062">
        <f>VLOOKUP($B893,dongia1,DG!$H$5,)</f>
        <v>0</v>
      </c>
      <c r="L893" s="1321">
        <f>H893*G893</f>
        <v>0</v>
      </c>
      <c r="M893" s="1321">
        <f>I893*G893</f>
        <v>0</v>
      </c>
      <c r="N893" s="1321">
        <f>J893*G893</f>
        <v>0</v>
      </c>
      <c r="O893" s="1322">
        <f>K893*G893</f>
        <v>0</v>
      </c>
      <c r="P893" s="1080"/>
    </row>
    <row r="894" spans="1:16" s="1081" customFormat="1" hidden="1" outlineLevel="1">
      <c r="A894" s="1072" t="str">
        <f t="shared" si="173"/>
        <v/>
      </c>
      <c r="B894" s="1073" t="s">
        <v>1291</v>
      </c>
      <c r="C894" s="1207"/>
      <c r="D894" s="1319"/>
      <c r="E894" s="1076" t="str">
        <f>VLOOKUP($B894,dongia1,DG!$C$5,)</f>
        <v>Cáp nhôm bọc AV70</v>
      </c>
      <c r="F894" s="1075" t="str">
        <f>VLOOKUP($B894,dongia1,DG!$D$5,)</f>
        <v>mét</v>
      </c>
      <c r="G894" s="1077"/>
      <c r="H894" s="1062">
        <f>VLOOKUP($B894,dongia1,DG!$F$5,)</f>
        <v>20200</v>
      </c>
      <c r="I894" s="1210"/>
      <c r="J894" s="1062">
        <f>VLOOKUP($B894,dongia1,DG!$G$5,)</f>
        <v>0</v>
      </c>
      <c r="K894" s="1062">
        <f>VLOOKUP($B894,dongia1,DG!$H$5,)</f>
        <v>0</v>
      </c>
      <c r="L894" s="1321">
        <f>H894*G894</f>
        <v>0</v>
      </c>
      <c r="M894" s="1321">
        <f>I894*G894</f>
        <v>0</v>
      </c>
      <c r="N894" s="1321">
        <f>J894*G894</f>
        <v>0</v>
      </c>
      <c r="O894" s="1322">
        <f>K894*G894</f>
        <v>0</v>
      </c>
      <c r="P894" s="1080"/>
    </row>
    <row r="895" spans="1:16" s="1081" customFormat="1" hidden="1" outlineLevel="1">
      <c r="A895" s="1072" t="str">
        <f t="shared" si="173"/>
        <v/>
      </c>
      <c r="B895" s="1085" t="s">
        <v>1487</v>
      </c>
      <c r="C895" s="1207"/>
      <c r="D895" s="1319"/>
      <c r="E895" s="1076" t="str">
        <f>VLOOKUP($B895,dongia1,DG!$C$5,)</f>
        <v>Ống nối dây A-70</v>
      </c>
      <c r="F895" s="1075" t="str">
        <f>VLOOKUP($B895,dongia1,DG!$D$5,)</f>
        <v>cái</v>
      </c>
      <c r="G895" s="1077"/>
      <c r="H895" s="1062">
        <f>VLOOKUP($B895,dongia1,DG!$F$5,)</f>
        <v>18000</v>
      </c>
      <c r="I895" s="1210"/>
      <c r="J895" s="1062">
        <f>VLOOKUP($B895,dongia1,DG!$G$5,)</f>
        <v>0</v>
      </c>
      <c r="K895" s="1062">
        <f>VLOOKUP($B895,dongia1,DG!$H$5,)</f>
        <v>0</v>
      </c>
      <c r="L895" s="1321">
        <f t="shared" si="174"/>
        <v>0</v>
      </c>
      <c r="M895" s="1321">
        <f t="shared" si="175"/>
        <v>0</v>
      </c>
      <c r="N895" s="1321">
        <f t="shared" si="176"/>
        <v>0</v>
      </c>
      <c r="O895" s="1322">
        <f t="shared" si="177"/>
        <v>0</v>
      </c>
      <c r="P895" s="1080"/>
    </row>
    <row r="896" spans="1:16" s="1081" customFormat="1" hidden="1" outlineLevel="1">
      <c r="A896" s="1072" t="str">
        <f t="shared" si="173"/>
        <v/>
      </c>
      <c r="B896" s="1086" t="s">
        <v>236</v>
      </c>
      <c r="C896" s="1207"/>
      <c r="D896" s="1319"/>
      <c r="E896" s="1076" t="str">
        <f>VLOOKUP($B896,dongia1,DG!$C$5,)</f>
        <v>Băng keo cách điện hạ thế</v>
      </c>
      <c r="F896" s="1075" t="str">
        <f>VLOOKUP($B896,dongia1,DG!$D$5,)</f>
        <v>cuộn</v>
      </c>
      <c r="G896" s="1077"/>
      <c r="H896" s="1062">
        <f>VLOOKUP($B896,dongia1,DG!$F$5,)</f>
        <v>6500</v>
      </c>
      <c r="I896" s="1210"/>
      <c r="J896" s="1062">
        <f>VLOOKUP($B896,dongia1,DG!$G$5,)</f>
        <v>0</v>
      </c>
      <c r="K896" s="1062">
        <f>VLOOKUP($B896,dongia1,DG!$H$5,)</f>
        <v>0</v>
      </c>
      <c r="L896" s="1321">
        <f t="shared" si="174"/>
        <v>0</v>
      </c>
      <c r="M896" s="1321">
        <f t="shared" si="175"/>
        <v>0</v>
      </c>
      <c r="N896" s="1321">
        <f t="shared" si="176"/>
        <v>0</v>
      </c>
      <c r="O896" s="1322">
        <f t="shared" si="177"/>
        <v>0</v>
      </c>
      <c r="P896" s="1080"/>
    </row>
    <row r="897" spans="1:16" s="1081" customFormat="1" hidden="1" outlineLevel="1">
      <c r="A897" s="1072" t="str">
        <f t="shared" si="173"/>
        <v/>
      </c>
      <c r="B897" s="1067" t="s">
        <v>531</v>
      </c>
      <c r="C897" s="1207"/>
      <c r="D897" s="1075" t="str">
        <f>VLOOKUP($B897,dongia1,DG!$B$5,)</f>
        <v>D3.1215</v>
      </c>
      <c r="E897" s="1076" t="str">
        <f>VLOOKUP($B897,dongia1,DG!$C$5,)</f>
        <v>Lắp rack 4 sứ + sứ ống chỉ</v>
      </c>
      <c r="F897" s="1075" t="str">
        <f>VLOOKUP($B897,dongia1,DG!$D$5,)</f>
        <v>bộ</v>
      </c>
      <c r="G897" s="1077"/>
      <c r="H897" s="1062">
        <f>VLOOKUP($B897,dongia1,DG!$F$5,)</f>
        <v>0</v>
      </c>
      <c r="I897" s="1210"/>
      <c r="J897" s="1062">
        <f>VLOOKUP($B897,dongia1,DG!$G$5,)</f>
        <v>112115</v>
      </c>
      <c r="K897" s="1062">
        <f>VLOOKUP($B897,dongia1,DG!$H$5,)</f>
        <v>0</v>
      </c>
      <c r="L897" s="1321">
        <f>H897*G897</f>
        <v>0</v>
      </c>
      <c r="M897" s="1321">
        <f>I897*G897</f>
        <v>0</v>
      </c>
      <c r="N897" s="1321">
        <f>J897*G897</f>
        <v>0</v>
      </c>
      <c r="O897" s="1322">
        <f>K897*G897</f>
        <v>0</v>
      </c>
      <c r="P897" s="1080"/>
    </row>
    <row r="898" spans="1:16" s="1081" customFormat="1" hidden="1" outlineLevel="1">
      <c r="A898" s="1072" t="str">
        <f t="shared" si="173"/>
        <v/>
      </c>
      <c r="B898" s="1067" t="s">
        <v>1110</v>
      </c>
      <c r="C898" s="1207"/>
      <c r="D898" s="1075" t="str">
        <f>VLOOKUP($B898,dongia1,DG!$B$5,)</f>
        <v>D3.1214</v>
      </c>
      <c r="E898" s="1076" t="str">
        <f>VLOOKUP($B898,dongia1,DG!$C$5,)</f>
        <v>Lắp rack 3 sứ + sứ ống chỉ</v>
      </c>
      <c r="F898" s="1075" t="str">
        <f>VLOOKUP($B898,dongia1,DG!$D$5,)</f>
        <v>bộ</v>
      </c>
      <c r="G898" s="1077"/>
      <c r="H898" s="1062">
        <f>VLOOKUP($B898,dongia1,DG!$F$5,)</f>
        <v>0</v>
      </c>
      <c r="I898" s="1210"/>
      <c r="J898" s="1062">
        <f>VLOOKUP($B898,dongia1,DG!$G$5,)</f>
        <v>79500</v>
      </c>
      <c r="K898" s="1062">
        <f>VLOOKUP($B898,dongia1,DG!$H$5,)</f>
        <v>0</v>
      </c>
      <c r="L898" s="1321">
        <f t="shared" si="174"/>
        <v>0</v>
      </c>
      <c r="M898" s="1321">
        <f t="shared" si="175"/>
        <v>0</v>
      </c>
      <c r="N898" s="1321">
        <f t="shared" si="176"/>
        <v>0</v>
      </c>
      <c r="O898" s="1322">
        <f t="shared" si="177"/>
        <v>0</v>
      </c>
      <c r="P898" s="1080"/>
    </row>
    <row r="899" spans="1:16" s="1081" customFormat="1" hidden="1" outlineLevel="1">
      <c r="A899" s="1072" t="str">
        <f t="shared" si="173"/>
        <v/>
      </c>
      <c r="B899" s="1067" t="s">
        <v>5021</v>
      </c>
      <c r="C899" s="1207"/>
      <c r="D899" s="1075" t="str">
        <f>VLOOKUP($B899,dongia1,DG!$B$5,)</f>
        <v>D3.1211</v>
      </c>
      <c r="E899" s="1076" t="str">
        <f>VLOOKUP($B899,dongia1,DG!$C$5,)</f>
        <v>Lắp rack sứ + sứ ống chỉ</v>
      </c>
      <c r="F899" s="1075" t="str">
        <f>VLOOKUP($B899,dongia1,DG!$D$5,)</f>
        <v>bộ</v>
      </c>
      <c r="G899" s="1077"/>
      <c r="H899" s="1062">
        <f>VLOOKUP($B899,dongia1,DG!$F$5,)</f>
        <v>115</v>
      </c>
      <c r="I899" s="1210"/>
      <c r="J899" s="1062">
        <f>VLOOKUP($B899,dongia1,DG!$G$5,)</f>
        <v>15471.9</v>
      </c>
      <c r="K899" s="1062">
        <f>VLOOKUP($B899,dongia1,DG!$H$5,)</f>
        <v>0</v>
      </c>
      <c r="L899" s="1321">
        <f t="shared" si="174"/>
        <v>0</v>
      </c>
      <c r="M899" s="1321">
        <f t="shared" si="175"/>
        <v>0</v>
      </c>
      <c r="N899" s="1321">
        <f t="shared" si="176"/>
        <v>0</v>
      </c>
      <c r="O899" s="1322">
        <f t="shared" si="177"/>
        <v>0</v>
      </c>
      <c r="P899" s="1080"/>
    </row>
    <row r="900" spans="1:16" s="1081" customFormat="1" hidden="1" outlineLevel="1">
      <c r="A900" s="1154"/>
      <c r="B900" s="1260"/>
      <c r="C900" s="1179"/>
      <c r="D900" s="1180"/>
      <c r="E900" s="1324"/>
      <c r="F900" s="1325"/>
      <c r="G900" s="1325"/>
      <c r="H900" s="1325"/>
      <c r="I900" s="1325"/>
      <c r="J900" s="2461" t="s">
        <v>3388</v>
      </c>
      <c r="K900" s="2461"/>
      <c r="L900" s="1326">
        <f>SUM(L757:M899)</f>
        <v>0</v>
      </c>
      <c r="M900" s="1326"/>
      <c r="N900" s="1326">
        <f>SUM(N757:O899)</f>
        <v>296544.75</v>
      </c>
      <c r="O900" s="1326">
        <f>SUM(O757:P899)</f>
        <v>0</v>
      </c>
      <c r="P900" s="1327"/>
    </row>
    <row r="901" spans="1:16" s="1173" customFormat="1" hidden="1" outlineLevel="1">
      <c r="A901" s="1195" t="str">
        <f>IF(G907&lt;&gt;0,1,"")</f>
        <v/>
      </c>
      <c r="B901" s="1328"/>
      <c r="C901" s="1195"/>
      <c r="D901" s="1329"/>
      <c r="E901" s="1330"/>
      <c r="F901" s="1331"/>
      <c r="G901" s="1331"/>
      <c r="H901" s="1331"/>
      <c r="I901" s="1331"/>
      <c r="J901" s="1332"/>
      <c r="K901" s="1332"/>
      <c r="L901" s="1333"/>
      <c r="M901" s="1333"/>
      <c r="N901" s="1333"/>
      <c r="O901" s="1333"/>
    </row>
    <row r="902" spans="1:16" s="1173" customFormat="1" hidden="1" outlineLevel="1">
      <c r="A902" s="1195"/>
      <c r="B902" s="1328"/>
      <c r="C902" s="1195"/>
      <c r="D902" s="1329"/>
      <c r="E902" s="1334" t="s">
        <v>2133</v>
      </c>
      <c r="F902" s="1331"/>
      <c r="G902" s="1331"/>
      <c r="H902" s="1331"/>
      <c r="I902" s="1331"/>
      <c r="J902" s="1332"/>
      <c r="K902" s="1332"/>
      <c r="L902" s="1333"/>
      <c r="M902" s="1333"/>
      <c r="N902" s="1333"/>
      <c r="O902" s="1333"/>
    </row>
    <row r="903" spans="1:16" s="1081" customFormat="1" hidden="1" outlineLevel="1">
      <c r="A903" s="1199" t="str">
        <f>A901</f>
        <v/>
      </c>
      <c r="B903" s="1335"/>
      <c r="C903" s="1336" t="str">
        <f>"BẢNG TỔNG HỢP VẬT LIỆU, NHÂN CÔNG, MÁY THI CÔNG: "&amp;K9&amp;" TRẠM 3P_3x50KVA"</f>
        <v>BẢNG TỔNG HỢP VẬT LIỆU, NHÂN CÔNG, MÁY THI CÔNG: 0 TRẠM 3P_3x50KVA</v>
      </c>
      <c r="D903" s="1336"/>
      <c r="E903" s="1336"/>
      <c r="F903" s="1336"/>
      <c r="G903" s="1336"/>
      <c r="H903" s="1336"/>
      <c r="I903" s="1336"/>
      <c r="J903" s="1336"/>
      <c r="K903" s="1336"/>
      <c r="L903" s="1336"/>
      <c r="M903" s="1336"/>
      <c r="N903" s="1336"/>
      <c r="O903" s="1336"/>
    </row>
    <row r="904" spans="1:16" s="1081" customFormat="1" hidden="1" outlineLevel="1">
      <c r="A904" s="1154" t="str">
        <f>A903</f>
        <v/>
      </c>
      <c r="B904" s="1073" t="s">
        <v>308</v>
      </c>
      <c r="C904" s="2459" t="s">
        <v>1014</v>
      </c>
      <c r="D904" s="2467" t="s">
        <v>3363</v>
      </c>
      <c r="E904" s="2457" t="s">
        <v>3364</v>
      </c>
      <c r="F904" s="2459" t="s">
        <v>3365</v>
      </c>
      <c r="G904" s="1155" t="s">
        <v>3367</v>
      </c>
      <c r="H904" s="1156" t="s">
        <v>3368</v>
      </c>
      <c r="I904" s="1157"/>
      <c r="J904" s="1157"/>
      <c r="K904" s="1158"/>
      <c r="L904" s="1156" t="s">
        <v>3372</v>
      </c>
      <c r="M904" s="1157"/>
      <c r="N904" s="1157"/>
      <c r="O904" s="1158"/>
      <c r="P904" s="2459" t="s">
        <v>3373</v>
      </c>
    </row>
    <row r="905" spans="1:16" s="1081" customFormat="1" hidden="1" outlineLevel="1">
      <c r="A905" s="1154" t="str">
        <f>A904</f>
        <v/>
      </c>
      <c r="B905" s="1073"/>
      <c r="C905" s="2459"/>
      <c r="D905" s="2468"/>
      <c r="E905" s="2458"/>
      <c r="F905" s="2459"/>
      <c r="G905" s="1160" t="s">
        <v>3366</v>
      </c>
      <c r="H905" s="1161" t="s">
        <v>393</v>
      </c>
      <c r="I905" s="1161" t="s">
        <v>3369</v>
      </c>
      <c r="J905" s="1161" t="s">
        <v>3370</v>
      </c>
      <c r="K905" s="1161" t="s">
        <v>3371</v>
      </c>
      <c r="L905" s="1161" t="s">
        <v>393</v>
      </c>
      <c r="M905" s="1161" t="s">
        <v>3369</v>
      </c>
      <c r="N905" s="1161" t="s">
        <v>3370</v>
      </c>
      <c r="O905" s="1161" t="s">
        <v>3371</v>
      </c>
      <c r="P905" s="2459"/>
    </row>
    <row r="906" spans="1:16" s="1081" customFormat="1" hidden="1" outlineLevel="1">
      <c r="A906" s="1154" t="str">
        <f>A905</f>
        <v/>
      </c>
      <c r="B906" s="1073"/>
      <c r="C906" s="1162"/>
      <c r="D906" s="1163"/>
      <c r="E906" s="1164" t="s">
        <v>3375</v>
      </c>
      <c r="F906" s="1165"/>
      <c r="G906" s="1165"/>
      <c r="H906" s="1165"/>
      <c r="I906" s="1165"/>
      <c r="J906" s="1165"/>
      <c r="K906" s="1165"/>
      <c r="L906" s="1165"/>
      <c r="M906" s="1165"/>
      <c r="N906" s="1165"/>
      <c r="O906" s="1163"/>
      <c r="P906" s="1166"/>
    </row>
    <row r="907" spans="1:16" s="1081" customFormat="1" hidden="1" outlineLevel="1">
      <c r="A907" s="1154" t="str">
        <f>IF(G907&lt;&gt;0,1,"")</f>
        <v/>
      </c>
      <c r="B907" s="1167" t="str">
        <f>IF($F$8=22,"TR501","TR50")</f>
        <v>TR501</v>
      </c>
      <c r="C907" s="1168">
        <f>IF(G907&gt;0,1,0)</f>
        <v>0</v>
      </c>
      <c r="D907" s="1075" t="str">
        <f>VLOOKUP($B907,dongia1,DG!$B$5,)</f>
        <v>T1.1432</v>
      </c>
      <c r="E907" s="1076" t="str">
        <f>VLOOKUP($B907,dongia1,DG!$C$5,)</f>
        <v>Máy biến áp 12,7/0,22-0,44kV  50kVA</v>
      </c>
      <c r="F907" s="1075" t="str">
        <f>VLOOKUP($B907,dongia1,DG!$D$5,)</f>
        <v>máy</v>
      </c>
      <c r="G907" s="1233">
        <f>K9*3</f>
        <v>0</v>
      </c>
      <c r="H907" s="1062">
        <f>VLOOKUP($B907,dongia1,DG!$E$5,)</f>
        <v>44055000</v>
      </c>
      <c r="I907" s="1062"/>
      <c r="J907" s="1062">
        <f>VLOOKUP($B907,dongia1,DG!$G$5,)</f>
        <v>630187</v>
      </c>
      <c r="K907" s="1062">
        <f>VLOOKUP($B907,dongia1,DG!$H$5,)</f>
        <v>284508</v>
      </c>
      <c r="L907" s="1337">
        <f t="shared" ref="L907:L914" si="178">H907*G907</f>
        <v>0</v>
      </c>
      <c r="M907" s="1337">
        <f t="shared" ref="M907:M913" si="179">I907*G907</f>
        <v>0</v>
      </c>
      <c r="N907" s="1337">
        <f t="shared" ref="N907:N913" si="180">J907*G907</f>
        <v>0</v>
      </c>
      <c r="O907" s="1338">
        <f t="shared" ref="O907:O913" si="181">K907*G907</f>
        <v>0</v>
      </c>
      <c r="P907" s="1219"/>
    </row>
    <row r="908" spans="1:16" s="1081" customFormat="1" hidden="1" outlineLevel="1">
      <c r="A908" s="1154" t="str">
        <f t="shared" ref="A908:A914" si="182">IF(G908&lt;&gt;0,1,"")</f>
        <v/>
      </c>
      <c r="B908" s="1167" t="str">
        <f>"FCO100-"&amp;$F$8</f>
        <v>FCO100-22</v>
      </c>
      <c r="C908" s="1168">
        <f t="shared" ref="C908:C914" si="183">IF(G908&gt;0,C907+1,C907)</f>
        <v>0</v>
      </c>
      <c r="D908" s="1075" t="str">
        <f>VLOOKUP($B908,dongia1,DG!$B$5,)</f>
        <v>T2.3501</v>
      </c>
      <c r="E908" s="1076" t="str">
        <f>VLOOKUP($B908,dongia1,DG!$C$5,)</f>
        <v>FCO 24kV - 100A</v>
      </c>
      <c r="F908" s="1075" t="str">
        <f>VLOOKUP($B908,dongia1,DG!$D$5,)</f>
        <v>cái</v>
      </c>
      <c r="G908" s="1077">
        <f>+G907</f>
        <v>0</v>
      </c>
      <c r="H908" s="1062">
        <f>VLOOKUP($B908,dongia1,DG!$E$5,)</f>
        <v>2244280</v>
      </c>
      <c r="I908" s="1062"/>
      <c r="J908" s="1062">
        <f>VLOOKUP($B908,dongia1,DG!$G$5,)</f>
        <v>222639.99999999997</v>
      </c>
      <c r="K908" s="1062">
        <f>VLOOKUP($B908,dongia1,DG!$H$5,)</f>
        <v>0</v>
      </c>
      <c r="L908" s="1337">
        <f t="shared" si="178"/>
        <v>0</v>
      </c>
      <c r="M908" s="1337">
        <f t="shared" si="179"/>
        <v>0</v>
      </c>
      <c r="N908" s="1337">
        <f t="shared" si="180"/>
        <v>0</v>
      </c>
      <c r="O908" s="1338">
        <f t="shared" si="181"/>
        <v>0</v>
      </c>
      <c r="P908" s="1080"/>
    </row>
    <row r="909" spans="1:16" s="1081" customFormat="1" hidden="1" outlineLevel="1">
      <c r="A909" s="1154" t="str">
        <f t="shared" si="182"/>
        <v/>
      </c>
      <c r="B909" s="1073" t="s">
        <v>504</v>
      </c>
      <c r="C909" s="1168">
        <f t="shared" si="183"/>
        <v>0</v>
      </c>
      <c r="D909" s="1075">
        <f>VLOOKUP($B909,dongia1,DG!$B$5,)</f>
        <v>0</v>
      </c>
      <c r="E909" s="1076" t="str">
        <f>VLOOKUP($B909,dongia1,DG!$C$5,)</f>
        <v>Dây chảy 6K</v>
      </c>
      <c r="F909" s="1075" t="str">
        <f>VLOOKUP($B909,dongia1,DG!$D$5,)</f>
        <v>Sợi</v>
      </c>
      <c r="G909" s="1077">
        <f>G908</f>
        <v>0</v>
      </c>
      <c r="H909" s="1062">
        <f>VLOOKUP($B909,dongia1,DG!$F$5,)</f>
        <v>84000</v>
      </c>
      <c r="I909" s="1062"/>
      <c r="J909" s="1062">
        <f>VLOOKUP($B909,dongia1,DG!$G$5,)</f>
        <v>0</v>
      </c>
      <c r="K909" s="1062">
        <f>VLOOKUP($B909,dongia1,DG!$H$5,)</f>
        <v>0</v>
      </c>
      <c r="L909" s="1337">
        <f t="shared" si="178"/>
        <v>0</v>
      </c>
      <c r="M909" s="1337">
        <f t="shared" si="179"/>
        <v>0</v>
      </c>
      <c r="N909" s="1337">
        <f t="shared" si="180"/>
        <v>0</v>
      </c>
      <c r="O909" s="1338">
        <f t="shared" si="181"/>
        <v>0</v>
      </c>
      <c r="P909" s="1080"/>
    </row>
    <row r="910" spans="1:16" s="1081" customFormat="1" hidden="1" outlineLevel="1">
      <c r="A910" s="1154" t="str">
        <f t="shared" si="182"/>
        <v/>
      </c>
      <c r="B910" s="1073" t="str">
        <f>IF($F$6=12,"LA12","LA18")</f>
        <v>LA18</v>
      </c>
      <c r="C910" s="1168">
        <f t="shared" si="183"/>
        <v>0</v>
      </c>
      <c r="D910" s="1075" t="str">
        <f>VLOOKUP($B910,dongia1,DG!$B$5,)</f>
        <v>T2.5004</v>
      </c>
      <c r="E910" s="1076" t="str">
        <f>VLOOKUP($B910,dongia1,DG!$C$5,)</f>
        <v>LA 18kV 10kA</v>
      </c>
      <c r="F910" s="1075" t="str">
        <f>VLOOKUP($B910,dongia1,DG!$D$5,)</f>
        <v>cái</v>
      </c>
      <c r="G910" s="1077">
        <f>G908</f>
        <v>0</v>
      </c>
      <c r="H910" s="1062">
        <f>VLOOKUP($B910,dongia1,DG!$E$5,)</f>
        <v>1106000</v>
      </c>
      <c r="I910" s="1062"/>
      <c r="J910" s="1062">
        <f>VLOOKUP($B910,dongia1,DG!$G$5,)</f>
        <v>83490</v>
      </c>
      <c r="K910" s="1062">
        <f>VLOOKUP($B910,dongia1,DG!$H$5,)</f>
        <v>0</v>
      </c>
      <c r="L910" s="1337">
        <f t="shared" si="178"/>
        <v>0</v>
      </c>
      <c r="M910" s="1337">
        <f t="shared" si="179"/>
        <v>0</v>
      </c>
      <c r="N910" s="1337">
        <f t="shared" si="180"/>
        <v>0</v>
      </c>
      <c r="O910" s="1338">
        <f t="shared" si="181"/>
        <v>0</v>
      </c>
      <c r="P910" s="1080"/>
    </row>
    <row r="911" spans="1:16" s="1081" customFormat="1" hidden="1" outlineLevel="1">
      <c r="A911" s="1154" t="str">
        <f t="shared" si="182"/>
        <v/>
      </c>
      <c r="B911" s="1167" t="s">
        <v>660</v>
      </c>
      <c r="C911" s="1168">
        <f t="shared" si="183"/>
        <v>0</v>
      </c>
      <c r="D911" s="1075">
        <f>VLOOKUP($B911,dongia1,DG!$B$5,)</f>
        <v>0</v>
      </c>
      <c r="E911" s="1076" t="str">
        <f>VLOOKUP($B911,dongia1,DG!$C$5,)</f>
        <v xml:space="preserve">MCCB 3 cực 400V -250A - 35KA </v>
      </c>
      <c r="F911" s="1075" t="str">
        <f>VLOOKUP($B911,dongia1,DG!$D$5,)</f>
        <v>cái</v>
      </c>
      <c r="G911" s="1339">
        <f>G907/3</f>
        <v>0</v>
      </c>
      <c r="H911" s="1062">
        <f>VLOOKUP($B911,dongia1,DG!$E$5,)</f>
        <v>4990000</v>
      </c>
      <c r="I911" s="1062"/>
      <c r="J911" s="1062"/>
      <c r="K911" s="1062">
        <f>VLOOKUP($B911,dongia1,DG!$H$5,)</f>
        <v>0</v>
      </c>
      <c r="L911" s="1174">
        <f t="shared" si="178"/>
        <v>0</v>
      </c>
      <c r="M911" s="1337">
        <f t="shared" si="179"/>
        <v>0</v>
      </c>
      <c r="N911" s="1337">
        <f t="shared" si="180"/>
        <v>0</v>
      </c>
      <c r="O911" s="1338">
        <f t="shared" si="181"/>
        <v>0</v>
      </c>
      <c r="P911" s="1080"/>
    </row>
    <row r="912" spans="1:16" s="1081" customFormat="1" hidden="1" outlineLevel="1">
      <c r="A912" s="1154" t="str">
        <f>IF(G912&lt;&gt;0,1,"")</f>
        <v/>
      </c>
      <c r="B912" s="1167" t="s">
        <v>464</v>
      </c>
      <c r="C912" s="1168">
        <f t="shared" si="183"/>
        <v>0</v>
      </c>
      <c r="D912" s="1075" t="str">
        <f>VLOOKUP($B912,dongia1,DG!$B$5,)</f>
        <v>05.1102</v>
      </c>
      <c r="E912" s="1076" t="str">
        <f>VLOOKUP($B912,dongia1,DG!$C$5,)</f>
        <v>Tủ tụ bù hạ thế 60kVAr</v>
      </c>
      <c r="F912" s="1075" t="str">
        <f>VLOOKUP($B912,dongia1,DG!$D$5,)</f>
        <v>tủ</v>
      </c>
      <c r="G912" s="1340">
        <f>+G911*0</f>
        <v>0</v>
      </c>
      <c r="H912" s="1062">
        <f>VLOOKUP($B912,dongia1,DG!$E$5,)</f>
        <v>9797887</v>
      </c>
      <c r="I912" s="1062"/>
      <c r="J912" s="1062">
        <f>VLOOKUP($B912,dongia1,DG!$G$5,)</f>
        <v>98101</v>
      </c>
      <c r="K912" s="1062">
        <f>VLOOKUP($B912,dongia1,DG!$H$5,)</f>
        <v>59254</v>
      </c>
      <c r="L912" s="1174">
        <f>H912*G912</f>
        <v>0</v>
      </c>
      <c r="M912" s="1337">
        <f>I912*G912</f>
        <v>0</v>
      </c>
      <c r="N912" s="1337">
        <f>J912*G912</f>
        <v>0</v>
      </c>
      <c r="O912" s="1338">
        <f>K912*G912</f>
        <v>0</v>
      </c>
      <c r="P912" s="1080"/>
    </row>
    <row r="913" spans="1:18" s="1081" customFormat="1" hidden="1" outlineLevel="1">
      <c r="A913" s="1154" t="str">
        <f t="shared" si="182"/>
        <v/>
      </c>
      <c r="B913" s="1205" t="str">
        <f>Solieu!$H$58</f>
        <v>TI200</v>
      </c>
      <c r="C913" s="1168">
        <f t="shared" si="183"/>
        <v>0</v>
      </c>
      <c r="D913" s="1075">
        <f>VLOOKUP($B913,dongia1,DG!$B$5,)</f>
        <v>0</v>
      </c>
      <c r="E913" s="1076" t="str">
        <f>VLOOKUP($B913,dongia1,DG!$C$5,)</f>
        <v xml:space="preserve">Biến dòng 600V - 200/5A </v>
      </c>
      <c r="F913" s="1075" t="str">
        <f>VLOOKUP($B913,dongia1,DG!$D$5,)</f>
        <v>cái</v>
      </c>
      <c r="G913" s="1077">
        <f>G907</f>
        <v>0</v>
      </c>
      <c r="H913" s="1062">
        <f>VLOOKUP($B913,dongia1,DG!$E$5,)*0</f>
        <v>0</v>
      </c>
      <c r="I913" s="1062"/>
      <c r="J913" s="1062">
        <f>VLOOKUP($B913,dongia1,DG!$G$5,)*0</f>
        <v>0</v>
      </c>
      <c r="K913" s="1062">
        <f>VLOOKUP($B913,dongia1,DG!$H$5,)</f>
        <v>0</v>
      </c>
      <c r="L913" s="1174">
        <f t="shared" si="178"/>
        <v>0</v>
      </c>
      <c r="M913" s="1337">
        <f t="shared" si="179"/>
        <v>0</v>
      </c>
      <c r="N913" s="1337">
        <f t="shared" si="180"/>
        <v>0</v>
      </c>
      <c r="O913" s="1338">
        <f t="shared" si="181"/>
        <v>0</v>
      </c>
      <c r="P913" s="1074" t="s">
        <v>3471</v>
      </c>
    </row>
    <row r="914" spans="1:18" s="1081" customFormat="1" hidden="1" outlineLevel="1">
      <c r="A914" s="1154" t="str">
        <f t="shared" si="182"/>
        <v/>
      </c>
      <c r="B914" s="1067" t="s">
        <v>307</v>
      </c>
      <c r="C914" s="1168">
        <f t="shared" si="183"/>
        <v>0</v>
      </c>
      <c r="D914" s="1075">
        <f>VLOOKUP($B914,dongia1,DG!$B$5,)</f>
        <v>0</v>
      </c>
      <c r="E914" s="1076" t="str">
        <f>VLOOKUP($B914,dongia1,DG!$C$5,)</f>
        <v>Điện kế 3 pha 4 dây 220/380V-5A</v>
      </c>
      <c r="F914" s="1075" t="str">
        <f>VLOOKUP($B914,dongia1,DG!$D$5,)</f>
        <v>cái</v>
      </c>
      <c r="G914" s="1077">
        <f>G909/3</f>
        <v>0</v>
      </c>
      <c r="H914" s="1062">
        <f>VLOOKUP($B914,dongia1,DG!$E$5,)*0</f>
        <v>0</v>
      </c>
      <c r="I914" s="1062"/>
      <c r="J914" s="1062">
        <f>VLOOKUP($B914,dongia1,DG!$G$5,)*0</f>
        <v>0</v>
      </c>
      <c r="K914" s="1062">
        <f>VLOOKUP($B914,dongia1,DG!$H$5,)</f>
        <v>0</v>
      </c>
      <c r="L914" s="1174">
        <f t="shared" si="178"/>
        <v>0</v>
      </c>
      <c r="M914" s="1337">
        <f>I914*G914</f>
        <v>0</v>
      </c>
      <c r="N914" s="1337">
        <f>J914*G914</f>
        <v>0</v>
      </c>
      <c r="O914" s="1338">
        <f>K914*G914</f>
        <v>0</v>
      </c>
      <c r="P914" s="1074" t="s">
        <v>3471</v>
      </c>
    </row>
    <row r="915" spans="1:18" s="1081" customFormat="1" hidden="1" outlineLevel="1">
      <c r="A915" s="1154" t="str">
        <f>A914</f>
        <v/>
      </c>
      <c r="B915" s="1073"/>
      <c r="C915" s="1341"/>
      <c r="D915" s="1342"/>
      <c r="E915" s="1343"/>
      <c r="F915" s="1344"/>
      <c r="G915" s="1265"/>
      <c r="H915" s="1344"/>
      <c r="I915" s="1344"/>
      <c r="J915" s="1183" t="s">
        <v>3387</v>
      </c>
      <c r="K915" s="1344"/>
      <c r="L915" s="1345">
        <f>SUM(L907:L914)</f>
        <v>0</v>
      </c>
      <c r="M915" s="1345"/>
      <c r="N915" s="1345">
        <f>SUM(N907:N914)</f>
        <v>0</v>
      </c>
      <c r="O915" s="1345">
        <f>SUM(O907:O914)</f>
        <v>0</v>
      </c>
      <c r="P915" s="1327"/>
    </row>
    <row r="916" spans="1:18" s="1081" customFormat="1" hidden="1" outlineLevel="1">
      <c r="A916" s="1154" t="str">
        <f>A915</f>
        <v/>
      </c>
      <c r="B916" s="1073"/>
      <c r="C916" s="1346"/>
      <c r="D916" s="1347"/>
      <c r="E916" s="1348" t="s">
        <v>3376</v>
      </c>
      <c r="F916" s="1348"/>
      <c r="G916" s="1269"/>
      <c r="H916" s="1348"/>
      <c r="I916" s="1348"/>
      <c r="J916" s="1348"/>
      <c r="K916" s="1348"/>
      <c r="L916" s="1348"/>
      <c r="M916" s="1348"/>
      <c r="N916" s="1348"/>
      <c r="O916" s="1347"/>
      <c r="P916" s="1220"/>
    </row>
    <row r="917" spans="1:18" s="1081" customFormat="1" hidden="1" outlineLevel="1">
      <c r="A917" s="1154" t="str">
        <f>A916</f>
        <v/>
      </c>
      <c r="B917" s="1073"/>
      <c r="C917" s="1187">
        <f>IF(G917&gt;0,1,0)</f>
        <v>0</v>
      </c>
      <c r="D917" s="1349"/>
      <c r="E917" s="1350" t="s">
        <v>3426</v>
      </c>
      <c r="F917" s="1187" t="s">
        <v>2113</v>
      </c>
      <c r="G917" s="1351">
        <f>G907/3</f>
        <v>0</v>
      </c>
      <c r="H917" s="1352"/>
      <c r="I917" s="1352"/>
      <c r="J917" s="1352"/>
      <c r="K917" s="1352"/>
      <c r="L917" s="1352"/>
      <c r="M917" s="1352"/>
      <c r="N917" s="1352"/>
      <c r="O917" s="1187"/>
      <c r="P917" s="1219"/>
    </row>
    <row r="918" spans="1:18" s="1081" customFormat="1" ht="14.4" hidden="1" outlineLevel="1">
      <c r="A918" s="1154" t="str">
        <f>A917</f>
        <v/>
      </c>
      <c r="B918" s="1073"/>
      <c r="C918" s="1191"/>
      <c r="D918" s="1353"/>
      <c r="E918" s="1354" t="s">
        <v>3399</v>
      </c>
      <c r="F918" s="1168"/>
      <c r="G918" s="1355"/>
      <c r="H918" s="1356"/>
      <c r="I918" s="1356"/>
      <c r="J918" s="1356"/>
      <c r="K918" s="1356"/>
      <c r="L918" s="1356"/>
      <c r="M918" s="1356"/>
      <c r="N918" s="1356"/>
      <c r="O918" s="1357"/>
      <c r="P918" s="1080"/>
    </row>
    <row r="919" spans="1:18" s="1081" customFormat="1" hidden="1" outlineLevel="1">
      <c r="A919" s="1154" t="str">
        <f>IF(G919&lt;&gt;0,1,"")</f>
        <v/>
      </c>
      <c r="B919" s="1067" t="s">
        <v>960</v>
      </c>
      <c r="C919" s="1191"/>
      <c r="D919" s="1075">
        <f>VLOOKUP($B919,dongia1,DG!$B$5,)</f>
        <v>0</v>
      </c>
      <c r="E919" s="1076" t="str">
        <f>VLOOKUP($B919,dongia1,DG!$C$5,)</f>
        <v>Gía chùm treo máy biến áp 3x50</v>
      </c>
      <c r="F919" s="1075" t="str">
        <f>VLOOKUP($B919,dongia1,DG!$D$5,)</f>
        <v>bô</v>
      </c>
      <c r="G919" s="1355">
        <f>G917</f>
        <v>0</v>
      </c>
      <c r="H919" s="1062">
        <f>VLOOKUP($B919,dongia1,DG!$F$5,)</f>
        <v>1540000</v>
      </c>
      <c r="I919" s="1083"/>
      <c r="J919" s="1062"/>
      <c r="K919" s="1062">
        <f>VLOOKUP($B919,dongia1,DG!$H$5,)</f>
        <v>0</v>
      </c>
      <c r="L919" s="1337">
        <f t="shared" ref="L919:L973" si="184">H919*G919</f>
        <v>0</v>
      </c>
      <c r="M919" s="1337">
        <f t="shared" ref="M919:M973" si="185">I919*G919</f>
        <v>0</v>
      </c>
      <c r="N919" s="1337">
        <f t="shared" ref="N919:N973" si="186">J919*G919</f>
        <v>0</v>
      </c>
      <c r="O919" s="1338">
        <f t="shared" ref="O919:O973" si="187">K919*G919</f>
        <v>0</v>
      </c>
      <c r="P919" s="1080"/>
    </row>
    <row r="920" spans="1:18" s="1081" customFormat="1" hidden="1" outlineLevel="1">
      <c r="A920" s="1154" t="str">
        <f>IF(G920&lt;&gt;0,1,"")</f>
        <v/>
      </c>
      <c r="B920" s="1073" t="s">
        <v>1044</v>
      </c>
      <c r="C920" s="1191"/>
      <c r="D920" s="1075">
        <f>VLOOKUP($B920,dongia1,DG!$B$5,)</f>
        <v>0</v>
      </c>
      <c r="E920" s="1076" t="str">
        <f>VLOOKUP($B920,dongia1,DG!$C$5,)</f>
        <v>Boulon 16x50+ 2 long đền vuông D18-50x50x3/Zn</v>
      </c>
      <c r="F920" s="1075" t="str">
        <f>VLOOKUP($B920,dongia1,DG!$D$5,)</f>
        <v>bộ</v>
      </c>
      <c r="G920" s="1355">
        <f>6*G917</f>
        <v>0</v>
      </c>
      <c r="H920" s="1062">
        <f>VLOOKUP($B920,dongia1,DG!$F$5,)</f>
        <v>12400</v>
      </c>
      <c r="I920" s="1083"/>
      <c r="J920" s="1062">
        <f>VLOOKUP($B920,dongia1,DG!$G$5,)</f>
        <v>0</v>
      </c>
      <c r="K920" s="1062">
        <f>VLOOKUP($B920,dongia1,DG!$H$5,)</f>
        <v>0</v>
      </c>
      <c r="L920" s="1337">
        <f t="shared" si="184"/>
        <v>0</v>
      </c>
      <c r="M920" s="1337">
        <f t="shared" si="185"/>
        <v>0</v>
      </c>
      <c r="N920" s="1337">
        <f t="shared" si="186"/>
        <v>0</v>
      </c>
      <c r="O920" s="1338">
        <f t="shared" si="187"/>
        <v>0</v>
      </c>
      <c r="P920" s="1080"/>
    </row>
    <row r="921" spans="1:18" s="1081" customFormat="1" hidden="1" outlineLevel="1">
      <c r="A921" s="1154" t="str">
        <f>IF(G921&lt;&gt;0,1,"")</f>
        <v/>
      </c>
      <c r="B921" s="1073" t="s">
        <v>1262</v>
      </c>
      <c r="C921" s="1191"/>
      <c r="D921" s="1075">
        <f>VLOOKUP($B921,dongia1,DG!$B$5,)</f>
        <v>0</v>
      </c>
      <c r="E921" s="1076" t="str">
        <f>VLOOKUP($B921,dongia1,DG!$C$5,)</f>
        <v>Boulon 16x300+ 2 long đền vuông D18-50x50x3/Zn</v>
      </c>
      <c r="F921" s="1075" t="str">
        <f>VLOOKUP($B921,dongia1,DG!$D$5,)</f>
        <v>bộ</v>
      </c>
      <c r="G921" s="1355">
        <f>2*G917</f>
        <v>0</v>
      </c>
      <c r="H921" s="1062">
        <f>VLOOKUP($B921,dongia1,DG!$F$5,)</f>
        <v>25400</v>
      </c>
      <c r="I921" s="1083"/>
      <c r="J921" s="1062">
        <f>VLOOKUP($B921,dongia1,DG!$G$5,)</f>
        <v>0</v>
      </c>
      <c r="K921" s="1062">
        <f>VLOOKUP($B921,dongia1,DG!$H$5,)</f>
        <v>0</v>
      </c>
      <c r="L921" s="1337">
        <f>H921*G921</f>
        <v>0</v>
      </c>
      <c r="M921" s="1337">
        <f>I921*G921</f>
        <v>0</v>
      </c>
      <c r="N921" s="1337">
        <f>J921*G921</f>
        <v>0</v>
      </c>
      <c r="O921" s="1338">
        <f>K921*G921</f>
        <v>0</v>
      </c>
      <c r="P921" s="1080"/>
    </row>
    <row r="922" spans="1:18" s="1081" customFormat="1" hidden="1" outlineLevel="1">
      <c r="A922" s="1154" t="str">
        <f>IF(G922&lt;&gt;0,1,"")</f>
        <v/>
      </c>
      <c r="B922" s="1067" t="s">
        <v>4960</v>
      </c>
      <c r="C922" s="1191"/>
      <c r="D922" s="1075" t="str">
        <f>VLOOKUP($B922,dongia1,DG!$B$5,)</f>
        <v>T4.9302</v>
      </c>
      <c r="E922" s="1076" t="str">
        <f>VLOOKUP($B922,dongia1,DG!$C$5,)</f>
        <v>Lắp gía chùm treo máy biến áp</v>
      </c>
      <c r="F922" s="1075" t="str">
        <f>VLOOKUP($B922,dongia1,DG!$D$5,)</f>
        <v>bô</v>
      </c>
      <c r="G922" s="1355">
        <f>45*G917</f>
        <v>0</v>
      </c>
      <c r="H922" s="1062">
        <f>VLOOKUP($B922,dongia1,DG!$F$5,)</f>
        <v>0</v>
      </c>
      <c r="I922" s="1083"/>
      <c r="J922" s="1062">
        <f>VLOOKUP($B922,dongia1,DG!$G$5,)</f>
        <v>2025</v>
      </c>
      <c r="K922" s="1062">
        <f>VLOOKUP($B922,dongia1,DG!$H$5,)</f>
        <v>0</v>
      </c>
      <c r="L922" s="1337">
        <f t="shared" si="184"/>
        <v>0</v>
      </c>
      <c r="M922" s="1337">
        <f t="shared" si="185"/>
        <v>0</v>
      </c>
      <c r="N922" s="1337">
        <f t="shared" si="186"/>
        <v>0</v>
      </c>
      <c r="O922" s="1338">
        <f t="shared" si="187"/>
        <v>0</v>
      </c>
      <c r="P922" s="1080"/>
    </row>
    <row r="923" spans="1:18" s="1081" customFormat="1" hidden="1" outlineLevel="1">
      <c r="A923" s="1154">
        <f>IF(G923&lt;&gt;0,1,)</f>
        <v>0</v>
      </c>
      <c r="B923" s="1073"/>
      <c r="C923" s="1191">
        <f>IF(G923&gt;0,C917+1,C917)</f>
        <v>0</v>
      </c>
      <c r="D923" s="1192"/>
      <c r="E923" s="1193" t="s">
        <v>3422</v>
      </c>
      <c r="F923" s="1064" t="s">
        <v>2113</v>
      </c>
      <c r="G923" s="1064"/>
      <c r="H923" s="1083"/>
      <c r="I923" s="1083"/>
      <c r="J923" s="1083"/>
      <c r="K923" s="1083"/>
      <c r="L923" s="1174">
        <f t="shared" si="184"/>
        <v>0</v>
      </c>
      <c r="M923" s="1174">
        <f t="shared" si="185"/>
        <v>0</v>
      </c>
      <c r="N923" s="1174">
        <f t="shared" si="186"/>
        <v>0</v>
      </c>
      <c r="O923" s="1083">
        <f t="shared" si="187"/>
        <v>0</v>
      </c>
      <c r="P923" s="1074"/>
    </row>
    <row r="924" spans="1:18" s="1081" customFormat="1" ht="14.4" hidden="1" outlineLevel="1">
      <c r="A924" s="1154">
        <f>A923</f>
        <v>0</v>
      </c>
      <c r="B924" s="1073"/>
      <c r="C924" s="1064"/>
      <c r="D924" s="1192"/>
      <c r="E924" s="1194" t="s">
        <v>3399</v>
      </c>
      <c r="F924" s="1074"/>
      <c r="G924" s="1074"/>
      <c r="H924" s="1083"/>
      <c r="I924" s="1083"/>
      <c r="J924" s="1083"/>
      <c r="K924" s="1083"/>
      <c r="L924" s="1174">
        <f t="shared" si="184"/>
        <v>0</v>
      </c>
      <c r="M924" s="1174">
        <f t="shared" si="185"/>
        <v>0</v>
      </c>
      <c r="N924" s="1174">
        <f t="shared" si="186"/>
        <v>0</v>
      </c>
      <c r="O924" s="1083">
        <f t="shared" si="187"/>
        <v>0</v>
      </c>
      <c r="P924" s="1074"/>
      <c r="R924" s="1195"/>
    </row>
    <row r="925" spans="1:18" s="1081" customFormat="1" hidden="1" outlineLevel="1">
      <c r="A925" s="1154">
        <f>IF(G925&lt;&gt;0,1,)</f>
        <v>0</v>
      </c>
      <c r="B925" s="1067" t="s">
        <v>1012</v>
      </c>
      <c r="C925" s="1074"/>
      <c r="D925" s="1075">
        <f>VLOOKUP($B925,dongia1,DG!$B$5,)</f>
        <v>0</v>
      </c>
      <c r="E925" s="1076" t="str">
        <f>VLOOKUP($B925,dongia1,DG!$C$5,)</f>
        <v>Trụ BTLT 12m F350 dự ứng lực</v>
      </c>
      <c r="F925" s="1075" t="str">
        <f>VLOOKUP($B925,dongia1,DG!$D$5,)</f>
        <v>trụ</v>
      </c>
      <c r="G925" s="1074">
        <f>1*G923</f>
        <v>0</v>
      </c>
      <c r="H925" s="1062">
        <f>VLOOKUP($B925,dongia1,DG!$F$5,)</f>
        <v>4400000</v>
      </c>
      <c r="I925" s="1062"/>
      <c r="J925" s="1062">
        <f>VLOOKUP($B925,dongia1,DG!$G$5,)</f>
        <v>0</v>
      </c>
      <c r="K925" s="1062">
        <f>VLOOKUP($B925,dongia1,DG!$H$5,)</f>
        <v>0</v>
      </c>
      <c r="L925" s="1174">
        <f t="shared" si="184"/>
        <v>0</v>
      </c>
      <c r="M925" s="1174">
        <f t="shared" si="185"/>
        <v>0</v>
      </c>
      <c r="N925" s="1174">
        <f t="shared" si="186"/>
        <v>0</v>
      </c>
      <c r="O925" s="1083">
        <f t="shared" si="187"/>
        <v>0</v>
      </c>
      <c r="P925" s="1074"/>
      <c r="R925" s="1195"/>
    </row>
    <row r="926" spans="1:18" s="1081" customFormat="1" hidden="1" outlineLevel="1">
      <c r="A926" s="1154">
        <f>IF(G926&lt;&gt;0,1,)</f>
        <v>0</v>
      </c>
      <c r="B926" s="1067" t="s">
        <v>1457</v>
      </c>
      <c r="C926" s="1074"/>
      <c r="D926" s="1196"/>
      <c r="E926" s="1076" t="str">
        <f>VLOOKUP($B926,dongia1,DG!$C$5,)</f>
        <v>Vật liệu dựng trụ</v>
      </c>
      <c r="F926" s="1075" t="str">
        <f>VLOOKUP($B926,dongia1,DG!$D$5,)</f>
        <v>trụ</v>
      </c>
      <c r="G926" s="1074">
        <f>G925</f>
        <v>0</v>
      </c>
      <c r="H926" s="1062">
        <f>VLOOKUP($B926,dongia1,DG!$F$5,)</f>
        <v>17400</v>
      </c>
      <c r="I926" s="1062"/>
      <c r="J926" s="1062">
        <f>VLOOKUP($B926,dongia1,DG!$G$5,)</f>
        <v>0</v>
      </c>
      <c r="K926" s="1062">
        <f>VLOOKUP($B926,dongia1,DG!$H$5,)</f>
        <v>0</v>
      </c>
      <c r="L926" s="1174">
        <f t="shared" si="184"/>
        <v>0</v>
      </c>
      <c r="M926" s="1174">
        <f t="shared" si="185"/>
        <v>0</v>
      </c>
      <c r="N926" s="1174">
        <f t="shared" si="186"/>
        <v>0</v>
      </c>
      <c r="O926" s="1083">
        <f t="shared" si="187"/>
        <v>0</v>
      </c>
      <c r="P926" s="1074"/>
      <c r="R926" s="1195"/>
    </row>
    <row r="927" spans="1:18" s="1081" customFormat="1" hidden="1" outlineLevel="1">
      <c r="A927" s="1154">
        <f>IF(G927&lt;&gt;0,1,)</f>
        <v>0</v>
      </c>
      <c r="B927" s="1067" t="s">
        <v>1993</v>
      </c>
      <c r="C927" s="1074"/>
      <c r="D927" s="1196"/>
      <c r="E927" s="1076" t="str">
        <f>VLOOKUP($B927,dongia1,DG!$C$5,)</f>
        <v>Dựng trụ BTLT 12m trong TBA bằng thủ công + cơ giới</v>
      </c>
      <c r="F927" s="1075" t="str">
        <f>VLOOKUP($B927,dongia1,DG!$D$5,)</f>
        <v>trụ</v>
      </c>
      <c r="G927" s="1074">
        <f>G925</f>
        <v>0</v>
      </c>
      <c r="H927" s="1062">
        <f>VLOOKUP($B927,dongia1,DG!$F$5,)</f>
        <v>0</v>
      </c>
      <c r="I927" s="1062"/>
      <c r="J927" s="1062">
        <f>VLOOKUP($B927,dongia1,DG!$G$5,)</f>
        <v>112286</v>
      </c>
      <c r="K927" s="1062">
        <f>VLOOKUP($B927,dongia1,DG!$H$5,)</f>
        <v>105970</v>
      </c>
      <c r="L927" s="1174">
        <f t="shared" si="184"/>
        <v>0</v>
      </c>
      <c r="M927" s="1174">
        <f t="shared" si="185"/>
        <v>0</v>
      </c>
      <c r="N927" s="1174">
        <f t="shared" si="186"/>
        <v>0</v>
      </c>
      <c r="O927" s="1083">
        <f t="shared" si="187"/>
        <v>0</v>
      </c>
      <c r="P927" s="1074"/>
      <c r="R927" s="1195"/>
    </row>
    <row r="928" spans="1:18" s="1081" customFormat="1" hidden="1" outlineLevel="1">
      <c r="A928" s="1154">
        <f>IF(G928&lt;&gt;0,1,)</f>
        <v>0</v>
      </c>
      <c r="B928" s="1073"/>
      <c r="C928" s="1191">
        <f>IF(G928&gt;0,C923+1,C923)</f>
        <v>0</v>
      </c>
      <c r="D928" s="1192"/>
      <c r="E928" s="1193" t="s">
        <v>3390</v>
      </c>
      <c r="F928" s="1064" t="s">
        <v>2113</v>
      </c>
      <c r="G928" s="1064">
        <f>G923</f>
        <v>0</v>
      </c>
      <c r="H928" s="1083"/>
      <c r="I928" s="1083"/>
      <c r="J928" s="1083"/>
      <c r="K928" s="1083"/>
      <c r="L928" s="1174">
        <f t="shared" si="184"/>
        <v>0</v>
      </c>
      <c r="M928" s="1174">
        <f t="shared" si="185"/>
        <v>0</v>
      </c>
      <c r="N928" s="1174">
        <f t="shared" si="186"/>
        <v>0</v>
      </c>
      <c r="O928" s="1083">
        <f t="shared" si="187"/>
        <v>0</v>
      </c>
      <c r="P928" s="1074"/>
    </row>
    <row r="929" spans="1:18" s="1081" customFormat="1" ht="14.4" hidden="1" outlineLevel="1">
      <c r="A929" s="1154">
        <f>A928</f>
        <v>0</v>
      </c>
      <c r="B929" s="1073"/>
      <c r="C929" s="1064"/>
      <c r="D929" s="1192"/>
      <c r="E929" s="1194" t="s">
        <v>3399</v>
      </c>
      <c r="F929" s="1074"/>
      <c r="G929" s="1074"/>
      <c r="H929" s="1083"/>
      <c r="I929" s="1083"/>
      <c r="J929" s="1083"/>
      <c r="K929" s="1083"/>
      <c r="L929" s="1174">
        <f t="shared" si="184"/>
        <v>0</v>
      </c>
      <c r="M929" s="1174">
        <f t="shared" si="185"/>
        <v>0</v>
      </c>
      <c r="N929" s="1174">
        <f t="shared" si="186"/>
        <v>0</v>
      </c>
      <c r="O929" s="1083">
        <f t="shared" si="187"/>
        <v>0</v>
      </c>
      <c r="P929" s="1074"/>
      <c r="R929" s="1195"/>
    </row>
    <row r="930" spans="1:18" s="1081" customFormat="1" hidden="1" outlineLevel="1">
      <c r="A930" s="1154">
        <f>IF(G930&lt;&gt;0,1,)</f>
        <v>0</v>
      </c>
      <c r="B930" s="1067" t="s">
        <v>580</v>
      </c>
      <c r="C930" s="1074"/>
      <c r="D930" s="1075" t="str">
        <f>VLOOKUP($B930,dongia1,DG!$B$5,)</f>
        <v>AG.42111</v>
      </c>
      <c r="E930" s="1076" t="str">
        <f>VLOOKUP($B930,dongia1,DG!$C$5,)</f>
        <v>Đà cản BTCT 1,2m</v>
      </c>
      <c r="F930" s="1075" t="str">
        <f>VLOOKUP($B930,dongia1,DG!$D$5,)</f>
        <v>cái</v>
      </c>
      <c r="G930" s="1074">
        <f>1*G928</f>
        <v>0</v>
      </c>
      <c r="H930" s="1062">
        <f>VLOOKUP($B930,dongia1,DG!$F$5,)</f>
        <v>354545</v>
      </c>
      <c r="I930" s="1062"/>
      <c r="J930" s="1062">
        <f>VLOOKUP($B930,dongia1,DG!$G$5,)</f>
        <v>37220.25</v>
      </c>
      <c r="K930" s="1062">
        <f>VLOOKUP($B930,dongia1,DG!$H$5,)</f>
        <v>0</v>
      </c>
      <c r="L930" s="1174">
        <f t="shared" si="184"/>
        <v>0</v>
      </c>
      <c r="M930" s="1174">
        <f t="shared" si="185"/>
        <v>0</v>
      </c>
      <c r="N930" s="1174">
        <f t="shared" si="186"/>
        <v>0</v>
      </c>
      <c r="O930" s="1083">
        <f t="shared" si="187"/>
        <v>0</v>
      </c>
      <c r="P930" s="1074"/>
      <c r="R930" s="1195"/>
    </row>
    <row r="931" spans="1:18" s="1081" customFormat="1" hidden="1" outlineLevel="1">
      <c r="A931" s="1154">
        <f>IF(G931&lt;&gt;0,1,)</f>
        <v>0</v>
      </c>
      <c r="B931" s="1067" t="s">
        <v>952</v>
      </c>
      <c r="C931" s="1074"/>
      <c r="D931" s="1075">
        <f>VLOOKUP($B931,dongia1,DG!$B$5,)</f>
        <v>0</v>
      </c>
      <c r="E931" s="1076" t="str">
        <f>VLOOKUP($B931,dongia1,DG!$C$5,)</f>
        <v>Boulon 22x650+ 2 long đền vuông D24-60x60x3/Zn</v>
      </c>
      <c r="F931" s="1075" t="str">
        <f>VLOOKUP($B931,dongia1,DG!$D$5,)</f>
        <v>bộ</v>
      </c>
      <c r="G931" s="1074">
        <f>G928</f>
        <v>0</v>
      </c>
      <c r="H931" s="1062">
        <f>VLOOKUP($B931,dongia1,DG!$F$5,)</f>
        <v>92200</v>
      </c>
      <c r="I931" s="1062"/>
      <c r="J931" s="1062">
        <f>VLOOKUP($B931,dongia1,DG!$G$5,)</f>
        <v>0</v>
      </c>
      <c r="K931" s="1062">
        <f>VLOOKUP($B931,dongia1,DG!$H$5,)</f>
        <v>0</v>
      </c>
      <c r="L931" s="1174">
        <f t="shared" si="184"/>
        <v>0</v>
      </c>
      <c r="M931" s="1174">
        <f t="shared" si="185"/>
        <v>0</v>
      </c>
      <c r="N931" s="1174">
        <f t="shared" si="186"/>
        <v>0</v>
      </c>
      <c r="O931" s="1083">
        <f t="shared" si="187"/>
        <v>0</v>
      </c>
      <c r="P931" s="1074"/>
      <c r="R931" s="1195"/>
    </row>
    <row r="932" spans="1:18" s="1081" customFormat="1" hidden="1" outlineLevel="1">
      <c r="A932" s="1154">
        <f>IF(G932&lt;&gt;0,1,)</f>
        <v>0</v>
      </c>
      <c r="B932" s="1067" t="str">
        <f>IF(capdat=1,"MDD1",IF(capdat=2,"MDD2",IF(capdat=3,"MDD3",IF(capdat=4,"MDD4"))))</f>
        <v>MDD3</v>
      </c>
      <c r="C932" s="1074"/>
      <c r="D932" s="1075" t="str">
        <f>VLOOKUP($B932,dongia1,DG!$B$5,)</f>
        <v>03.1013</v>
      </c>
      <c r="E932" s="1076" t="str">
        <f>VLOOKUP($B932,dongia1,DG!$C$5,)</f>
        <v>Đào hố móng đất cấp 3 sâu &gt;1m DT&lt;5m2</v>
      </c>
      <c r="F932" s="1075" t="str">
        <f>VLOOKUP($B932,dongia1,DG!$D$5,)</f>
        <v>m3</v>
      </c>
      <c r="G932" s="1197">
        <f>G928*0.87</f>
        <v>0</v>
      </c>
      <c r="H932" s="1062">
        <f>VLOOKUP($B932,dongia1,DG!$F$5,)</f>
        <v>0</v>
      </c>
      <c r="I932" s="1062"/>
      <c r="J932" s="1062">
        <f>VLOOKUP($B932,dongia1,DG!$G$5,)</f>
        <v>296500.89999999997</v>
      </c>
      <c r="K932" s="1062">
        <f>VLOOKUP($B932,dongia1,DG!$H$5,)</f>
        <v>0</v>
      </c>
      <c r="L932" s="1174">
        <f t="shared" si="184"/>
        <v>0</v>
      </c>
      <c r="M932" s="1174">
        <f t="shared" si="185"/>
        <v>0</v>
      </c>
      <c r="N932" s="1174">
        <f t="shared" si="186"/>
        <v>0</v>
      </c>
      <c r="O932" s="1083">
        <f t="shared" si="187"/>
        <v>0</v>
      </c>
      <c r="P932" s="1074"/>
      <c r="R932" s="1195"/>
    </row>
    <row r="933" spans="1:18" s="1081" customFormat="1" hidden="1" outlineLevel="1">
      <c r="A933" s="1154">
        <f>IF(G933&lt;&gt;0,1,)</f>
        <v>0</v>
      </c>
      <c r="B933" s="1067" t="str">
        <f>IF(capdat=1,"MDAP1",IF(capdat=2,"MDAP2",IF(capdat=3,"MDAP3",IF(capdat=4,"MDAP4"))))</f>
        <v>MDAP3</v>
      </c>
      <c r="C933" s="1074"/>
      <c r="D933" s="1075" t="str">
        <f>VLOOKUP($B933,dongia1,DG!$B$5,)</f>
        <v>AB.13111</v>
      </c>
      <c r="E933" s="1076" t="str">
        <f>VLOOKUP($B933,dongia1,DG!$C$5,)</f>
        <v>Đắp đất hố móng, đất cấp 3 (độ chặt k = 0.85)</v>
      </c>
      <c r="F933" s="1075" t="str">
        <f>VLOOKUP($B933,dongia1,DG!$D$5,)</f>
        <v>m3</v>
      </c>
      <c r="G933" s="1197">
        <f>G928*0.79</f>
        <v>0</v>
      </c>
      <c r="H933" s="1062">
        <f>VLOOKUP($B933,dongia1,DG!$F$5,)</f>
        <v>0</v>
      </c>
      <c r="I933" s="1062"/>
      <c r="J933" s="1062">
        <f>VLOOKUP($B933,dongia1,DG!$G$5,)</f>
        <v>117703.6</v>
      </c>
      <c r="K933" s="1062">
        <f>VLOOKUP($B933,dongia1,DG!$H$5,)</f>
        <v>0</v>
      </c>
      <c r="L933" s="1174">
        <f t="shared" si="184"/>
        <v>0</v>
      </c>
      <c r="M933" s="1174">
        <f t="shared" si="185"/>
        <v>0</v>
      </c>
      <c r="N933" s="1174">
        <f t="shared" si="186"/>
        <v>0</v>
      </c>
      <c r="O933" s="1083">
        <f t="shared" si="187"/>
        <v>0</v>
      </c>
      <c r="P933" s="1074"/>
      <c r="R933" s="1195"/>
    </row>
    <row r="934" spans="1:18" s="1081" customFormat="1" hidden="1" outlineLevel="1">
      <c r="A934" s="1154">
        <f>IF(G934&lt;&gt;0,1,0)</f>
        <v>0</v>
      </c>
      <c r="B934" s="1067" t="s">
        <v>2110</v>
      </c>
      <c r="C934" s="1064">
        <f>IF(G934&gt;0,C928+1,C928)</f>
        <v>0</v>
      </c>
      <c r="D934" s="1252"/>
      <c r="E934" s="1221" t="s">
        <v>3427</v>
      </c>
      <c r="F934" s="1064" t="s">
        <v>2113</v>
      </c>
      <c r="G934" s="1242">
        <f>G907/3</f>
        <v>0</v>
      </c>
      <c r="H934" s="1083"/>
      <c r="I934" s="1083"/>
      <c r="J934" s="1083"/>
      <c r="K934" s="1083"/>
      <c r="L934" s="1174">
        <f t="shared" si="184"/>
        <v>0</v>
      </c>
      <c r="M934" s="1174">
        <f t="shared" si="185"/>
        <v>0</v>
      </c>
      <c r="N934" s="1174">
        <f t="shared" si="186"/>
        <v>0</v>
      </c>
      <c r="O934" s="1083">
        <f t="shared" si="187"/>
        <v>0</v>
      </c>
      <c r="P934" s="1080"/>
    </row>
    <row r="935" spans="1:18" s="1081" customFormat="1" ht="14.4" hidden="1" outlineLevel="1">
      <c r="A935" s="1154">
        <f>A934</f>
        <v>0</v>
      </c>
      <c r="B935" s="1073"/>
      <c r="C935" s="1064"/>
      <c r="D935" s="1252"/>
      <c r="E935" s="1222" t="s">
        <v>3399</v>
      </c>
      <c r="F935" s="1074"/>
      <c r="G935" s="1358"/>
      <c r="H935" s="1083"/>
      <c r="I935" s="1083"/>
      <c r="J935" s="1083"/>
      <c r="K935" s="1083"/>
      <c r="L935" s="1174">
        <f t="shared" si="184"/>
        <v>0</v>
      </c>
      <c r="M935" s="1174">
        <f t="shared" si="185"/>
        <v>0</v>
      </c>
      <c r="N935" s="1174">
        <f t="shared" si="186"/>
        <v>0</v>
      </c>
      <c r="O935" s="1083">
        <f t="shared" si="187"/>
        <v>0</v>
      </c>
      <c r="P935" s="1080"/>
    </row>
    <row r="936" spans="1:18" s="1081" customFormat="1" hidden="1" outlineLevel="1">
      <c r="A936" s="1154">
        <f t="shared" ref="A936:A941" si="188">IF(G936&lt;&gt;0,1,0)</f>
        <v>0</v>
      </c>
      <c r="B936" s="1067" t="s">
        <v>2115</v>
      </c>
      <c r="C936" s="1064"/>
      <c r="D936" s="1075">
        <f>VLOOKUP($B936,dongia1,DG!$B$5,)</f>
        <v>0</v>
      </c>
      <c r="E936" s="1076" t="str">
        <f>VLOOKUP($B936,dongia1,DG!$C$5,)</f>
        <v>Đà Composite 110x80x5x2400</v>
      </c>
      <c r="F936" s="1075" t="str">
        <f>VLOOKUP($B936,dongia1,DG!$D$5,)</f>
        <v>cây</v>
      </c>
      <c r="G936" s="1087">
        <f>+G934</f>
        <v>0</v>
      </c>
      <c r="H936" s="1062">
        <f>VLOOKUP($B936,dongia1,DG!$F$5,)</f>
        <v>960000</v>
      </c>
      <c r="I936" s="1083"/>
      <c r="J936" s="1062">
        <f>VLOOKUP($B936,dongia1,DG!$G$5,)</f>
        <v>0</v>
      </c>
      <c r="K936" s="1062">
        <f>VLOOKUP($B936,dongia1,DG!$H$5,)</f>
        <v>0</v>
      </c>
      <c r="L936" s="1174">
        <f t="shared" si="184"/>
        <v>0</v>
      </c>
      <c r="M936" s="1174">
        <f t="shared" si="185"/>
        <v>0</v>
      </c>
      <c r="N936" s="1174">
        <f t="shared" si="186"/>
        <v>0</v>
      </c>
      <c r="O936" s="1083">
        <f t="shared" si="187"/>
        <v>0</v>
      </c>
      <c r="P936" s="1080"/>
    </row>
    <row r="937" spans="1:18" s="1081" customFormat="1" hidden="1" outlineLevel="1">
      <c r="A937" s="1154">
        <f t="shared" si="188"/>
        <v>0</v>
      </c>
      <c r="B937" s="1067" t="s">
        <v>2106</v>
      </c>
      <c r="C937" s="1064"/>
      <c r="D937" s="1075">
        <f>VLOOKUP($B937,dongia1,DG!$B$5,)</f>
        <v>0</v>
      </c>
      <c r="E937" s="1076" t="str">
        <f>VLOOKUP($B937,dongia1,DG!$C$5,)</f>
        <v>Chống Composite 40x10x920</v>
      </c>
      <c r="F937" s="1075" t="str">
        <f>VLOOKUP($B937,dongia1,DG!$D$5,)</f>
        <v>Thanh</v>
      </c>
      <c r="G937" s="1087">
        <f>+G936*2</f>
        <v>0</v>
      </c>
      <c r="H937" s="1062">
        <f>VLOOKUP($B937,dongia1,DG!$F$5,)</f>
        <v>140000</v>
      </c>
      <c r="I937" s="1083"/>
      <c r="J937" s="1062">
        <f>VLOOKUP($B937,dongia1,DG!$G$5,)</f>
        <v>0</v>
      </c>
      <c r="K937" s="1062">
        <f>VLOOKUP($B937,dongia1,DG!$H$5,)</f>
        <v>0</v>
      </c>
      <c r="L937" s="1174">
        <f t="shared" si="184"/>
        <v>0</v>
      </c>
      <c r="M937" s="1174">
        <f t="shared" si="185"/>
        <v>0</v>
      </c>
      <c r="N937" s="1174">
        <f t="shared" si="186"/>
        <v>0</v>
      </c>
      <c r="O937" s="1083">
        <f t="shared" si="187"/>
        <v>0</v>
      </c>
      <c r="P937" s="1080"/>
    </row>
    <row r="938" spans="1:18" s="1081" customFormat="1" hidden="1" outlineLevel="1">
      <c r="A938" s="1154">
        <f t="shared" si="188"/>
        <v>0</v>
      </c>
      <c r="B938" s="1073" t="s">
        <v>428</v>
      </c>
      <c r="C938" s="1064"/>
      <c r="D938" s="1075">
        <f>VLOOKUP($B938,dongia1,DG!$B$5,)</f>
        <v>0</v>
      </c>
      <c r="E938" s="1076" t="str">
        <f>VLOOKUP($B938,dongia1,DG!$C$5,)</f>
        <v>Bass LL bắt FCO và LA</v>
      </c>
      <c r="F938" s="1075" t="str">
        <f>VLOOKUP($B938,dongia1,DG!$D$5,)</f>
        <v>bộ</v>
      </c>
      <c r="G938" s="1087">
        <f>G934*3</f>
        <v>0</v>
      </c>
      <c r="H938" s="1062">
        <f>VLOOKUP($B938,dongia1,DG!$F$5,)</f>
        <v>65000</v>
      </c>
      <c r="I938" s="1083"/>
      <c r="J938" s="1062">
        <f>VLOOKUP($B938,dongia1,DG!$G$5,)</f>
        <v>0</v>
      </c>
      <c r="K938" s="1062">
        <f>VLOOKUP($B938,dongia1,DG!$H$5,)</f>
        <v>0</v>
      </c>
      <c r="L938" s="1174">
        <f t="shared" si="184"/>
        <v>0</v>
      </c>
      <c r="M938" s="1174">
        <f t="shared" si="185"/>
        <v>0</v>
      </c>
      <c r="N938" s="1174">
        <f t="shared" si="186"/>
        <v>0</v>
      </c>
      <c r="O938" s="1083">
        <f t="shared" si="187"/>
        <v>0</v>
      </c>
      <c r="P938" s="1080"/>
    </row>
    <row r="939" spans="1:18" s="1081" customFormat="1" hidden="1" outlineLevel="1">
      <c r="A939" s="1154">
        <f t="shared" si="188"/>
        <v>0</v>
      </c>
      <c r="B939" s="1073" t="s">
        <v>746</v>
      </c>
      <c r="C939" s="1064"/>
      <c r="D939" s="1075">
        <f>VLOOKUP($B939,dongia1,DG!$B$5,)</f>
        <v>0</v>
      </c>
      <c r="E939" s="1076" t="str">
        <f>VLOOKUP($B939,dongia1,DG!$C$5,)</f>
        <v>Boulon 16x150+ 2 long đền vuông D18-50x50x3/Zn</v>
      </c>
      <c r="F939" s="1075" t="str">
        <f>VLOOKUP($B939,dongia1,DG!$D$5,)</f>
        <v>bộ</v>
      </c>
      <c r="G939" s="1087">
        <f>2*G934</f>
        <v>0</v>
      </c>
      <c r="H939" s="1062">
        <f>VLOOKUP($B939,dongia1,DG!$F$5,)</f>
        <v>18900</v>
      </c>
      <c r="I939" s="1083"/>
      <c r="J939" s="1062">
        <f>VLOOKUP($B939,dongia1,DG!$G$5,)</f>
        <v>0</v>
      </c>
      <c r="K939" s="1062">
        <f>VLOOKUP($B939,dongia1,DG!$H$5,)</f>
        <v>0</v>
      </c>
      <c r="L939" s="1174">
        <f t="shared" si="184"/>
        <v>0</v>
      </c>
      <c r="M939" s="1174">
        <f t="shared" si="185"/>
        <v>0</v>
      </c>
      <c r="N939" s="1174">
        <f t="shared" si="186"/>
        <v>0</v>
      </c>
      <c r="O939" s="1083">
        <f t="shared" si="187"/>
        <v>0</v>
      </c>
      <c r="P939" s="1080"/>
    </row>
    <row r="940" spans="1:18" s="1081" customFormat="1" hidden="1" outlineLevel="1">
      <c r="A940" s="1154">
        <f t="shared" si="188"/>
        <v>0</v>
      </c>
      <c r="B940" s="1073" t="s">
        <v>1261</v>
      </c>
      <c r="C940" s="1064"/>
      <c r="D940" s="1075">
        <f>VLOOKUP($B940,dongia1,DG!$B$5,)</f>
        <v>0</v>
      </c>
      <c r="E940" s="1076" t="str">
        <f>VLOOKUP($B940,dongia1,DG!$C$5,)</f>
        <v>Boulon 16x250+ 2 long đền vuông D18-50x50x3/Zn</v>
      </c>
      <c r="F940" s="1075" t="str">
        <f>VLOOKUP($B940,dongia1,DG!$D$5,)</f>
        <v>bộ</v>
      </c>
      <c r="G940" s="1087">
        <f>1*G934</f>
        <v>0</v>
      </c>
      <c r="H940" s="1062">
        <f>VLOOKUP($B940,dongia1,DG!$F$5,)</f>
        <v>13400</v>
      </c>
      <c r="I940" s="1083"/>
      <c r="J940" s="1062">
        <f>VLOOKUP($B940,dongia1,DG!$G$5,)</f>
        <v>0</v>
      </c>
      <c r="K940" s="1062">
        <f>VLOOKUP($B940,dongia1,DG!$H$5,)</f>
        <v>0</v>
      </c>
      <c r="L940" s="1174">
        <f t="shared" si="184"/>
        <v>0</v>
      </c>
      <c r="M940" s="1174">
        <f t="shared" si="185"/>
        <v>0</v>
      </c>
      <c r="N940" s="1174">
        <f t="shared" si="186"/>
        <v>0</v>
      </c>
      <c r="O940" s="1083">
        <f t="shared" si="187"/>
        <v>0</v>
      </c>
      <c r="P940" s="1080"/>
    </row>
    <row r="941" spans="1:18" s="1081" customFormat="1" hidden="1" outlineLevel="1">
      <c r="A941" s="1154">
        <f t="shared" si="188"/>
        <v>0</v>
      </c>
      <c r="B941" s="1073" t="s">
        <v>733</v>
      </c>
      <c r="C941" s="1064"/>
      <c r="D941" s="1075">
        <f>VLOOKUP($B941,dongia1,DG!$B$5,)</f>
        <v>0</v>
      </c>
      <c r="E941" s="1076" t="str">
        <f>VLOOKUP($B941,dongia1,DG!$C$5,)</f>
        <v>Boulon 16x350+ 2 long đền vuông D18-50x50x3/Zn</v>
      </c>
      <c r="F941" s="1075" t="str">
        <f>VLOOKUP($B941,dongia1,DG!$D$5,)</f>
        <v>bộ</v>
      </c>
      <c r="G941" s="1087">
        <f>1*G934</f>
        <v>0</v>
      </c>
      <c r="H941" s="1062">
        <f>VLOOKUP($B941,dongia1,DG!$F$5,)</f>
        <v>27900</v>
      </c>
      <c r="I941" s="1083"/>
      <c r="J941" s="1062">
        <f>VLOOKUP($B941,dongia1,DG!$G$5,)</f>
        <v>0</v>
      </c>
      <c r="K941" s="1062">
        <f>VLOOKUP($B941,dongia1,DG!$H$5,)</f>
        <v>0</v>
      </c>
      <c r="L941" s="1174">
        <f t="shared" si="184"/>
        <v>0</v>
      </c>
      <c r="M941" s="1174">
        <f t="shared" si="185"/>
        <v>0</v>
      </c>
      <c r="N941" s="1174">
        <f t="shared" si="186"/>
        <v>0</v>
      </c>
      <c r="O941" s="1083">
        <f t="shared" si="187"/>
        <v>0</v>
      </c>
      <c r="P941" s="1080"/>
    </row>
    <row r="942" spans="1:18" s="1081" customFormat="1" hidden="1" outlineLevel="1">
      <c r="A942" s="1154">
        <f>IF(G942&lt;&gt;0,1,0)</f>
        <v>0</v>
      </c>
      <c r="B942" s="1082" t="s">
        <v>4964</v>
      </c>
      <c r="C942" s="1064"/>
      <c r="D942" s="1075" t="str">
        <f>VLOOKUP($B942,dongia1,DG!$B$5,)</f>
        <v>D2.6011</v>
      </c>
      <c r="E942" s="1076" t="str">
        <f>VLOOKUP($B942,dongia1,DG!$C$5,)</f>
        <v>Lắp xà đỡ composite dài 2400mm (7,5kg)</v>
      </c>
      <c r="F942" s="1075" t="str">
        <f>VLOOKUP($B942,dongia1,DG!$D$5,)</f>
        <v>bộ</v>
      </c>
      <c r="G942" s="1087">
        <f>G934</f>
        <v>0</v>
      </c>
      <c r="H942" s="1062">
        <f>VLOOKUP($B942,dongia1,DG!$F$5,)</f>
        <v>0</v>
      </c>
      <c r="I942" s="1083"/>
      <c r="J942" s="1062" t="str">
        <f>VLOOKUP($B942,dongia1,DG!$G$5,)&amp;" x "&amp;hslx</f>
        <v>51981 x 1,5</v>
      </c>
      <c r="K942" s="1062">
        <f>VLOOKUP($B942,dongia1,DG!$H$5,)</f>
        <v>0</v>
      </c>
      <c r="L942" s="1174">
        <f>H942*G942</f>
        <v>0</v>
      </c>
      <c r="M942" s="1174">
        <f>I942*G942</f>
        <v>0</v>
      </c>
      <c r="N942" s="1062">
        <f>VLOOKUP($B942,dongia1,DG!$G$5,)*hslx*G942</f>
        <v>0</v>
      </c>
      <c r="O942" s="1083">
        <f>K942*G942</f>
        <v>0</v>
      </c>
      <c r="P942" s="1080"/>
    </row>
    <row r="943" spans="1:18" s="1081" customFormat="1" hidden="1" outlineLevel="1">
      <c r="A943" s="1154">
        <f>+IF(G943&gt;0,1,0)</f>
        <v>0</v>
      </c>
      <c r="B943" s="1073"/>
      <c r="C943" s="1191">
        <f>IF(G943&gt;0,C934+1,C934)</f>
        <v>0</v>
      </c>
      <c r="D943" s="1353"/>
      <c r="E943" s="1359" t="s">
        <v>3401</v>
      </c>
      <c r="F943" s="1191" t="s">
        <v>2113</v>
      </c>
      <c r="G943" s="1360">
        <f>+G907/3</f>
        <v>0</v>
      </c>
      <c r="H943" s="1083"/>
      <c r="I943" s="1083"/>
      <c r="J943" s="1083"/>
      <c r="K943" s="1083"/>
      <c r="L943" s="1337">
        <f t="shared" si="184"/>
        <v>0</v>
      </c>
      <c r="M943" s="1337">
        <f t="shared" si="185"/>
        <v>0</v>
      </c>
      <c r="N943" s="1337">
        <f t="shared" si="186"/>
        <v>0</v>
      </c>
      <c r="O943" s="1338">
        <f t="shared" si="187"/>
        <v>0</v>
      </c>
      <c r="P943" s="1080"/>
    </row>
    <row r="944" spans="1:18" s="1081" customFormat="1" ht="14.4" hidden="1" outlineLevel="1">
      <c r="A944" s="1154">
        <f>A943</f>
        <v>0</v>
      </c>
      <c r="B944" s="1073"/>
      <c r="C944" s="1191"/>
      <c r="D944" s="1353"/>
      <c r="E944" s="1354" t="s">
        <v>3399</v>
      </c>
      <c r="F944" s="1075"/>
      <c r="G944" s="1355"/>
      <c r="H944" s="1083"/>
      <c r="I944" s="1083"/>
      <c r="J944" s="1083"/>
      <c r="K944" s="1083"/>
      <c r="L944" s="1337">
        <f t="shared" si="184"/>
        <v>0</v>
      </c>
      <c r="M944" s="1337">
        <f t="shared" si="185"/>
        <v>0</v>
      </c>
      <c r="N944" s="1337">
        <f t="shared" si="186"/>
        <v>0</v>
      </c>
      <c r="O944" s="1338">
        <f t="shared" si="187"/>
        <v>0</v>
      </c>
      <c r="P944" s="1080"/>
    </row>
    <row r="945" spans="1:16" s="1081" customFormat="1" hidden="1" outlineLevel="1">
      <c r="A945" s="1154" t="str">
        <f t="shared" ref="A945:A956" si="189">IF(G945&lt;&gt;0,1,"")</f>
        <v/>
      </c>
      <c r="B945" s="1073" t="s">
        <v>1200</v>
      </c>
      <c r="C945" s="1168"/>
      <c r="D945" s="1075">
        <f>VLOOKUP($B945,dongia1,DG!$B$5,)</f>
        <v>0</v>
      </c>
      <c r="E945" s="1076" t="str">
        <f>VLOOKUP($B945,dongia1,DG!$C$5,)</f>
        <v>Cáp đồng trần M25mm2</v>
      </c>
      <c r="F945" s="1075" t="str">
        <f>VLOOKUP($B945,dongia1,DG!$D$5,)</f>
        <v>kg</v>
      </c>
      <c r="G945" s="1087">
        <f>64.7*G943*0.224</f>
        <v>0</v>
      </c>
      <c r="H945" s="1062">
        <f>VLOOKUP($B945,dongia1,DG!$F$5,)</f>
        <v>255500</v>
      </c>
      <c r="I945" s="1083"/>
      <c r="J945" s="1062">
        <f>VLOOKUP($B945,dongia1,DG!$G$5,)</f>
        <v>0</v>
      </c>
      <c r="K945" s="1062">
        <f>VLOOKUP($B945,dongia1,DG!$H$5,)</f>
        <v>0</v>
      </c>
      <c r="L945" s="1337">
        <f t="shared" si="184"/>
        <v>0</v>
      </c>
      <c r="M945" s="1337">
        <f t="shared" si="185"/>
        <v>0</v>
      </c>
      <c r="N945" s="1337">
        <f t="shared" si="186"/>
        <v>0</v>
      </c>
      <c r="O945" s="1338">
        <f t="shared" si="187"/>
        <v>0</v>
      </c>
      <c r="P945" s="1080"/>
    </row>
    <row r="946" spans="1:16" s="1081" customFormat="1" hidden="1" outlineLevel="1">
      <c r="A946" s="1154" t="str">
        <f t="shared" si="189"/>
        <v/>
      </c>
      <c r="B946" s="1067" t="s">
        <v>1098</v>
      </c>
      <c r="C946" s="1168"/>
      <c r="D946" s="1075">
        <f>VLOOKUP($B946,dongia1,DG!$B$5,)</f>
        <v>0</v>
      </c>
      <c r="E946" s="1076" t="str">
        <f>VLOOKUP($B946,dongia1,DG!$C$5,)</f>
        <v>Cọc tiếp đất Þ 16- 2,4m + kẹp cọc</v>
      </c>
      <c r="F946" s="1075" t="str">
        <f>VLOOKUP($B946,dongia1,DG!$D$5,)</f>
        <v>bộ</v>
      </c>
      <c r="G946" s="1087">
        <f>12*G943</f>
        <v>0</v>
      </c>
      <c r="H946" s="1062">
        <f>VLOOKUP($B946,dongia1,DG!$F$5,)</f>
        <v>160000</v>
      </c>
      <c r="I946" s="1083"/>
      <c r="J946" s="1062">
        <f>VLOOKUP($B946,dongia1,DG!$G$5,)</f>
        <v>0</v>
      </c>
      <c r="K946" s="1062">
        <f>VLOOKUP($B946,dongia1,DG!$H$5,)</f>
        <v>0</v>
      </c>
      <c r="L946" s="1337">
        <f t="shared" si="184"/>
        <v>0</v>
      </c>
      <c r="M946" s="1337">
        <f t="shared" si="185"/>
        <v>0</v>
      </c>
      <c r="N946" s="1337">
        <f t="shared" si="186"/>
        <v>0</v>
      </c>
      <c r="O946" s="1338">
        <f t="shared" si="187"/>
        <v>0</v>
      </c>
      <c r="P946" s="1080"/>
    </row>
    <row r="947" spans="1:16" s="1081" customFormat="1" hidden="1" outlineLevel="1">
      <c r="A947" s="1154" t="str">
        <f t="shared" si="189"/>
        <v/>
      </c>
      <c r="B947" s="1067" t="s">
        <v>2040</v>
      </c>
      <c r="C947" s="1074"/>
      <c r="D947" s="1075">
        <f>VLOOKUP($B947,dongia1,DG!$B$5,)</f>
        <v>0</v>
      </c>
      <c r="E947" s="1076" t="str">
        <f>VLOOKUP($B947,dongia1,DG!$C$5,)</f>
        <v xml:space="preserve">Ống PVC D21x1,6mm </v>
      </c>
      <c r="F947" s="1075" t="str">
        <f>VLOOKUP($B947,dongia1,DG!$D$5,)</f>
        <v>m</v>
      </c>
      <c r="G947" s="1087">
        <f>1*G943</f>
        <v>0</v>
      </c>
      <c r="H947" s="1062">
        <f>VLOOKUP($B947,dongia1,DG!$F$5,)</f>
        <v>6200</v>
      </c>
      <c r="I947" s="1083"/>
      <c r="J947" s="1062">
        <f>VLOOKUP($B947,dongia1,DG!$G$5,)</f>
        <v>0</v>
      </c>
      <c r="K947" s="1062">
        <f>VLOOKUP($B947,dongia1,DG!$H$5,)</f>
        <v>0</v>
      </c>
      <c r="L947" s="1337">
        <f t="shared" si="184"/>
        <v>0</v>
      </c>
      <c r="M947" s="1337">
        <f t="shared" si="185"/>
        <v>0</v>
      </c>
      <c r="N947" s="1337">
        <f t="shared" si="186"/>
        <v>0</v>
      </c>
      <c r="O947" s="1338">
        <f t="shared" si="187"/>
        <v>0</v>
      </c>
      <c r="P947" s="1080"/>
    </row>
    <row r="948" spans="1:16" s="1081" customFormat="1" hidden="1" outlineLevel="1">
      <c r="A948" s="1154" t="str">
        <f>IF(G948&lt;&gt;0,1,"")</f>
        <v/>
      </c>
      <c r="B948" s="1067" t="s">
        <v>4853</v>
      </c>
      <c r="C948" s="1074"/>
      <c r="D948" s="1075">
        <f>VLOOKUP($B948,dongia1,DG!$B$5,)</f>
        <v>0</v>
      </c>
      <c r="E948" s="1076" t="str">
        <f>VLOOKUP($B948,dongia1,DG!$C$5,)</f>
        <v>Co 90 độ PVC 21</v>
      </c>
      <c r="F948" s="1075" t="str">
        <f>VLOOKUP($B948,dongia1,DG!$D$5,)</f>
        <v>cái</v>
      </c>
      <c r="G948" s="1087"/>
      <c r="H948" s="1062">
        <f>VLOOKUP($B948,dongia1,DG!$F$5,)</f>
        <v>2100</v>
      </c>
      <c r="I948" s="1083"/>
      <c r="J948" s="1062">
        <f>VLOOKUP($B948,dongia1,DG!$G$5,)</f>
        <v>0</v>
      </c>
      <c r="K948" s="1062">
        <f>VLOOKUP($B948,dongia1,DG!$H$5,)</f>
        <v>0</v>
      </c>
      <c r="L948" s="1337">
        <f>H948*G948</f>
        <v>0</v>
      </c>
      <c r="M948" s="1337">
        <f>I948*G948</f>
        <v>0</v>
      </c>
      <c r="N948" s="1337">
        <f>J948*G948</f>
        <v>0</v>
      </c>
      <c r="O948" s="1338">
        <f>K948*G948</f>
        <v>0</v>
      </c>
      <c r="P948" s="1080"/>
    </row>
    <row r="949" spans="1:16" s="1081" customFormat="1" hidden="1" outlineLevel="1">
      <c r="A949" s="1154" t="str">
        <f t="shared" si="189"/>
        <v/>
      </c>
      <c r="B949" s="1086" t="s">
        <v>205</v>
      </c>
      <c r="C949" s="1168"/>
      <c r="D949" s="1075">
        <f>VLOOKUP($B949,dongia1,DG!$B$5,)</f>
        <v>0</v>
      </c>
      <c r="E949" s="1076" t="str">
        <f>VLOOKUP($B949,dongia1,DG!$C$5,)</f>
        <v>Kẹp ép WR cỡ dây 50mm2</v>
      </c>
      <c r="F949" s="1075" t="str">
        <f>VLOOKUP($B949,dongia1,DG!$D$5,)</f>
        <v>cái</v>
      </c>
      <c r="G949" s="1087">
        <f>2*G943</f>
        <v>0</v>
      </c>
      <c r="H949" s="1062">
        <f>VLOOKUP($B949,dongia1,DG!$F$5,)</f>
        <v>8000</v>
      </c>
      <c r="I949" s="1062"/>
      <c r="J949" s="1062">
        <f>VLOOKUP($B949,dongia1,DG!$G$5,)</f>
        <v>0</v>
      </c>
      <c r="K949" s="1062">
        <f>VLOOKUP($B949,dongia1,DG!$H$5,)</f>
        <v>0</v>
      </c>
      <c r="L949" s="1337">
        <f t="shared" si="184"/>
        <v>0</v>
      </c>
      <c r="M949" s="1337">
        <f t="shared" si="185"/>
        <v>0</v>
      </c>
      <c r="N949" s="1337">
        <f t="shared" si="186"/>
        <v>0</v>
      </c>
      <c r="O949" s="1338">
        <f t="shared" si="187"/>
        <v>0</v>
      </c>
      <c r="P949" s="1080"/>
    </row>
    <row r="950" spans="1:16" s="1081" customFormat="1" hidden="1" outlineLevel="1">
      <c r="A950" s="1154" t="str">
        <f t="shared" si="189"/>
        <v/>
      </c>
      <c r="B950" s="1086" t="s">
        <v>903</v>
      </c>
      <c r="C950" s="1168"/>
      <c r="D950" s="1075">
        <f>VLOOKUP($B950,dongia1,DG!$B$5,)</f>
        <v>0</v>
      </c>
      <c r="E950" s="1076" t="str">
        <f>VLOOKUP($B950,dongia1,DG!$C$5,)</f>
        <v>Ốc xiết cáp cỡ 25mm2</v>
      </c>
      <c r="F950" s="1075" t="str">
        <f>VLOOKUP($B950,dongia1,DG!$D$5,)</f>
        <v>cái</v>
      </c>
      <c r="G950" s="1087">
        <f>G943*3</f>
        <v>0</v>
      </c>
      <c r="H950" s="1062">
        <f>VLOOKUP($B950,dongia1,DG!$F$5,)</f>
        <v>17600</v>
      </c>
      <c r="I950" s="1062"/>
      <c r="J950" s="1062">
        <f>VLOOKUP($B950,dongia1,DG!$G$5,)</f>
        <v>0</v>
      </c>
      <c r="K950" s="1062">
        <f>VLOOKUP($B950,dongia1,DG!$H$5,)</f>
        <v>0</v>
      </c>
      <c r="L950" s="1337">
        <f t="shared" si="184"/>
        <v>0</v>
      </c>
      <c r="M950" s="1337">
        <f t="shared" si="185"/>
        <v>0</v>
      </c>
      <c r="N950" s="1337">
        <f t="shared" si="186"/>
        <v>0</v>
      </c>
      <c r="O950" s="1338">
        <f t="shared" si="187"/>
        <v>0</v>
      </c>
      <c r="P950" s="1080"/>
    </row>
    <row r="951" spans="1:16" s="1081" customFormat="1" hidden="1" outlineLevel="1">
      <c r="A951" s="1154" t="str">
        <f>IF(G951&lt;&gt;0,1,"")</f>
        <v/>
      </c>
      <c r="B951" s="1086" t="s">
        <v>4961</v>
      </c>
      <c r="C951" s="1168"/>
      <c r="D951" s="1075" t="str">
        <f>VLOOKUP($B951,dongia1,DG!$B$5,)</f>
        <v>D4.5002</v>
      </c>
      <c r="E951" s="1076" t="str">
        <f>VLOOKUP($B951,dongia1,DG!$C$5,)</f>
        <v>Đầu cosse ép Cu 50mm2</v>
      </c>
      <c r="F951" s="1075" t="str">
        <f>VLOOKUP($B951,dongia1,DG!$D$5,)</f>
        <v>cái</v>
      </c>
      <c r="G951" s="1087">
        <f>G942*7</f>
        <v>0</v>
      </c>
      <c r="H951" s="1062">
        <f>VLOOKUP($B951,dongia1,DG!$F$5,)</f>
        <v>9100</v>
      </c>
      <c r="I951" s="1062"/>
      <c r="J951" s="1062">
        <f>VLOOKUP($B951,dongia1,DG!$G$5,)</f>
        <v>10608.955000000002</v>
      </c>
      <c r="K951" s="1062">
        <f>VLOOKUP($B951,dongia1,DG!$H$5,)</f>
        <v>2777.0232475000003</v>
      </c>
      <c r="L951" s="1337">
        <f>H951*G951</f>
        <v>0</v>
      </c>
      <c r="M951" s="1337">
        <f>I951*G951</f>
        <v>0</v>
      </c>
      <c r="N951" s="1337">
        <f>J951*G951</f>
        <v>0</v>
      </c>
      <c r="O951" s="1338">
        <f>K951*G951</f>
        <v>0</v>
      </c>
      <c r="P951" s="1080"/>
    </row>
    <row r="952" spans="1:16" s="1081" customFormat="1" hidden="1" outlineLevel="1">
      <c r="A952" s="1154" t="str">
        <f>IF(G952&lt;&gt;0,1,"")</f>
        <v/>
      </c>
      <c r="B952" s="1086" t="s">
        <v>4962</v>
      </c>
      <c r="C952" s="1168"/>
      <c r="D952" s="1075" t="str">
        <f>VLOOKUP($B952,dongia1,DG!$B$5,)</f>
        <v>D4.5003</v>
      </c>
      <c r="E952" s="1076" t="str">
        <f>VLOOKUP($B952,dongia1,DG!$C$5,)</f>
        <v>Đầu cosse ép Cu 70mm2</v>
      </c>
      <c r="F952" s="1075" t="str">
        <f>VLOOKUP($B952,dongia1,DG!$D$5,)</f>
        <v>cái</v>
      </c>
      <c r="G952" s="1087">
        <f>G943*2</f>
        <v>0</v>
      </c>
      <c r="H952" s="1062">
        <f>VLOOKUP($B952,dongia1,DG!$F$5,)</f>
        <v>14000</v>
      </c>
      <c r="I952" s="1062"/>
      <c r="J952" s="1062">
        <f>VLOOKUP($B952,dongia1,DG!$G$5,)</f>
        <v>16671.215</v>
      </c>
      <c r="K952" s="1062">
        <f>VLOOKUP($B952,dongia1,DG!$H$5,)</f>
        <v>3332.427897</v>
      </c>
      <c r="L952" s="1337">
        <f>H952*G952</f>
        <v>0</v>
      </c>
      <c r="M952" s="1337">
        <f>I952*G952</f>
        <v>0</v>
      </c>
      <c r="N952" s="1337">
        <f>J952*G952</f>
        <v>0</v>
      </c>
      <c r="O952" s="1338">
        <f>K952*G952</f>
        <v>0</v>
      </c>
      <c r="P952" s="1080"/>
    </row>
    <row r="953" spans="1:16" s="1081" customFormat="1" hidden="1" outlineLevel="1">
      <c r="A953" s="1154" t="str">
        <f>IF(G953&lt;&gt;0,1,"")</f>
        <v/>
      </c>
      <c r="B953" s="1086" t="s">
        <v>1623</v>
      </c>
      <c r="C953" s="1168"/>
      <c r="D953" s="1075">
        <f>VLOOKUP($B953,dongia1,DG!$B$5,)</f>
        <v>0</v>
      </c>
      <c r="E953" s="1076" t="str">
        <f>VLOOKUP($B953,dongia1,DG!$C$5,)</f>
        <v>Boulon 12x40+ 2 long đền vuông D14-50x50x3/Zn</v>
      </c>
      <c r="F953" s="1075" t="str">
        <f>VLOOKUP($B953,dongia1,DG!$D$5,)</f>
        <v>bộ</v>
      </c>
      <c r="G953" s="1087">
        <f>G943*2</f>
        <v>0</v>
      </c>
      <c r="H953" s="1062">
        <f>VLOOKUP($B953,dongia1,DG!$F$5,)</f>
        <v>8500</v>
      </c>
      <c r="I953" s="1062"/>
      <c r="J953" s="1062">
        <f>VLOOKUP($B953,dongia1,DG!$G$5,)</f>
        <v>0</v>
      </c>
      <c r="K953" s="1062">
        <f>VLOOKUP($B953,dongia1,DG!$H$5,)</f>
        <v>0</v>
      </c>
      <c r="L953" s="1337">
        <f>H953*G953</f>
        <v>0</v>
      </c>
      <c r="M953" s="1337">
        <f>I953*G953</f>
        <v>0</v>
      </c>
      <c r="N953" s="1337">
        <f>J953*G953</f>
        <v>0</v>
      </c>
      <c r="O953" s="1338">
        <f>K953*G953</f>
        <v>0</v>
      </c>
      <c r="P953" s="1080"/>
    </row>
    <row r="954" spans="1:16" s="1081" customFormat="1" hidden="1" outlineLevel="1">
      <c r="A954" s="1154" t="str">
        <f>IF(G954&lt;&gt;0,1,"")</f>
        <v/>
      </c>
      <c r="B954" s="1086" t="s">
        <v>4497</v>
      </c>
      <c r="C954" s="1168"/>
      <c r="D954" s="1075">
        <f>VLOOKUP($B954,dongia1,DG!$B$5,)</f>
        <v>0</v>
      </c>
      <c r="E954" s="1076" t="str">
        <f>VLOOKUP($B954,dongia1,DG!$C$5,)</f>
        <v>Đai thép Inox</v>
      </c>
      <c r="F954" s="1075" t="str">
        <f>VLOOKUP($B954,dongia1,DG!$D$5,)</f>
        <v>mét</v>
      </c>
      <c r="G954" s="1087"/>
      <c r="H954" s="1062">
        <f>VLOOKUP($B954,dongia1,DG!$F$5,)</f>
        <v>11000</v>
      </c>
      <c r="I954" s="1062"/>
      <c r="J954" s="1062">
        <f>VLOOKUP($B954,dongia1,DG!$G$5,)</f>
        <v>0</v>
      </c>
      <c r="K954" s="1062">
        <f>VLOOKUP($B954,dongia1,DG!$H$5,)</f>
        <v>0</v>
      </c>
      <c r="L954" s="1337">
        <f>H954*G954</f>
        <v>0</v>
      </c>
      <c r="M954" s="1337">
        <f>I954*G954</f>
        <v>0</v>
      </c>
      <c r="N954" s="1337">
        <f>J954*G954</f>
        <v>0</v>
      </c>
      <c r="O954" s="1338">
        <f>K954*G954</f>
        <v>0</v>
      </c>
      <c r="P954" s="1080"/>
    </row>
    <row r="955" spans="1:16" s="1081" customFormat="1" hidden="1" outlineLevel="1">
      <c r="A955" s="1154" t="str">
        <f>IF(G955&lt;&gt;0,1,"")</f>
        <v/>
      </c>
      <c r="B955" s="1086" t="s">
        <v>4499</v>
      </c>
      <c r="C955" s="1168"/>
      <c r="D955" s="1075">
        <f>VLOOKUP($B955,dongia1,DG!$B$5,)</f>
        <v>0</v>
      </c>
      <c r="E955" s="1076" t="str">
        <f>VLOOKUP($B955,dongia1,DG!$C$5,)</f>
        <v>Khóa đai Inox</v>
      </c>
      <c r="F955" s="1075" t="str">
        <f>VLOOKUP($B955,dongia1,DG!$D$5,)</f>
        <v>cái</v>
      </c>
      <c r="G955" s="1087">
        <f>G943*2</f>
        <v>0</v>
      </c>
      <c r="H955" s="1062">
        <f>VLOOKUP($B955,dongia1,DG!$F$5,)</f>
        <v>4000</v>
      </c>
      <c r="I955" s="1062"/>
      <c r="J955" s="1062">
        <f>VLOOKUP($B955,dongia1,DG!$G$5,)</f>
        <v>0</v>
      </c>
      <c r="K955" s="1062">
        <f>VLOOKUP($B955,dongia1,DG!$H$5,)</f>
        <v>0</v>
      </c>
      <c r="L955" s="1337">
        <f>H955*G955</f>
        <v>0</v>
      </c>
      <c r="M955" s="1337">
        <f>I955*G955</f>
        <v>0</v>
      </c>
      <c r="N955" s="1337">
        <f>J955*G955</f>
        <v>0</v>
      </c>
      <c r="O955" s="1338">
        <f>K955*G955</f>
        <v>0</v>
      </c>
      <c r="P955" s="1080"/>
    </row>
    <row r="956" spans="1:16" s="1081" customFormat="1" hidden="1" outlineLevel="1">
      <c r="A956" s="1154" t="str">
        <f t="shared" si="189"/>
        <v/>
      </c>
      <c r="B956" s="1067" t="s">
        <v>1490</v>
      </c>
      <c r="C956" s="1168"/>
      <c r="D956" s="1075">
        <f>VLOOKUP($B956,dongia1,DG!$B$5,)</f>
        <v>0</v>
      </c>
      <c r="E956" s="1076" t="str">
        <f>VLOOKUP($B956,dongia1,DG!$C$5,)</f>
        <v>Cổ dê kẹp ống PVC (STK) Þ 21</v>
      </c>
      <c r="F956" s="1075" t="str">
        <f>VLOOKUP($B956,dongia1,DG!$D$5,)</f>
        <v>bộ</v>
      </c>
      <c r="G956" s="1087"/>
      <c r="H956" s="1062">
        <f>VLOOKUP($B956,dongia1,DG!$F$5,)</f>
        <v>43000</v>
      </c>
      <c r="I956" s="1083"/>
      <c r="J956" s="1062">
        <f>VLOOKUP($B956,dongia1,DG!$G$5,)</f>
        <v>0</v>
      </c>
      <c r="K956" s="1062">
        <f>VLOOKUP($B956,dongia1,DG!$H$5,)</f>
        <v>0</v>
      </c>
      <c r="L956" s="1337">
        <f t="shared" si="184"/>
        <v>0</v>
      </c>
      <c r="M956" s="1337">
        <f t="shared" si="185"/>
        <v>0</v>
      </c>
      <c r="N956" s="1337">
        <f t="shared" si="186"/>
        <v>0</v>
      </c>
      <c r="O956" s="1338">
        <f t="shared" si="187"/>
        <v>0</v>
      </c>
      <c r="P956" s="1080"/>
    </row>
    <row r="957" spans="1:16" s="1081" customFormat="1" hidden="1" outlineLevel="1">
      <c r="A957" s="1154" t="str">
        <f>IF(G957&lt;&gt;0,1,"")</f>
        <v/>
      </c>
      <c r="B957" s="1086" t="s">
        <v>68</v>
      </c>
      <c r="C957" s="1168"/>
      <c r="D957" s="1075">
        <f>VLOOKUP($B957,dongia1,DG!$B$5,)</f>
        <v>0</v>
      </c>
      <c r="E957" s="1076" t="str">
        <f>VLOOKUP($B957,dongia1,DG!$C$5,)</f>
        <v>Khoan giếng tiếp địa</v>
      </c>
      <c r="F957" s="1075" t="str">
        <f>VLOOKUP($B957,dongia1,DG!$D$5,)</f>
        <v>Cái</v>
      </c>
      <c r="G957" s="1087"/>
      <c r="H957" s="1062">
        <f>VLOOKUP($B957,dongia1,DG!$F$5,)</f>
        <v>0</v>
      </c>
      <c r="I957" s="1083"/>
      <c r="J957" s="1174">
        <f>VLOOKUP($B957,dongia1,DG!$G$5,)</f>
        <v>1500000</v>
      </c>
      <c r="K957" s="1174">
        <f>VLOOKUP($B957,dongia1,DG!$H$5,)</f>
        <v>0</v>
      </c>
      <c r="L957" s="1174">
        <f>H957*G957</f>
        <v>0</v>
      </c>
      <c r="M957" s="1174">
        <f>I957*G957</f>
        <v>0</v>
      </c>
      <c r="N957" s="1174">
        <f>J957*G957</f>
        <v>0</v>
      </c>
      <c r="O957" s="1338">
        <f>K957*G957</f>
        <v>0</v>
      </c>
      <c r="P957" s="1080"/>
    </row>
    <row r="958" spans="1:16" s="1081" customFormat="1" hidden="1" outlineLevel="1">
      <c r="A958" s="1154" t="str">
        <f>IF(G958&lt;&gt;0,1,"")</f>
        <v/>
      </c>
      <c r="B958" s="1086" t="s">
        <v>1195</v>
      </c>
      <c r="C958" s="1168"/>
      <c r="D958" s="1075" t="str">
        <f>VLOOKUP($B958,dongia1,DG!$B$5,)</f>
        <v>T4.7001</v>
      </c>
      <c r="E958" s="1076" t="str">
        <f>VLOOKUP($B958,dongia1,DG!$C$5,)</f>
        <v>Kéo dây tiếp địa TBA</v>
      </c>
      <c r="F958" s="1075" t="str">
        <f>VLOOKUP($B958,dongia1,DG!$D$5,)</f>
        <v>mét</v>
      </c>
      <c r="G958" s="1087">
        <f>G945/0.224</f>
        <v>0</v>
      </c>
      <c r="H958" s="1062">
        <f>VLOOKUP($B958,dongia1,DG!$F$5,)</f>
        <v>0</v>
      </c>
      <c r="I958" s="1062"/>
      <c r="J958" s="1062">
        <f>VLOOKUP($B958,dongia1,DG!$G$5,)</f>
        <v>8070.7000000000007</v>
      </c>
      <c r="K958" s="1062">
        <f>VLOOKUP($B958,dongia1,DG!$H$5,)</f>
        <v>2044.9974999999999</v>
      </c>
      <c r="L958" s="1337">
        <f>H958*G958</f>
        <v>0</v>
      </c>
      <c r="M958" s="1337">
        <f>I958*G958</f>
        <v>0</v>
      </c>
      <c r="N958" s="1337">
        <f>J958*G958</f>
        <v>0</v>
      </c>
      <c r="O958" s="1338">
        <f>K958*G958</f>
        <v>0</v>
      </c>
      <c r="P958" s="1080"/>
    </row>
    <row r="959" spans="1:16" s="1081" customFormat="1" hidden="1" outlineLevel="1">
      <c r="A959" s="1154" t="str">
        <f>IF(G959&lt;&gt;0,1,"")</f>
        <v/>
      </c>
      <c r="B959" s="1067" t="s">
        <v>985</v>
      </c>
      <c r="C959" s="1168"/>
      <c r="D959" s="1075" t="str">
        <f>VLOOKUP($B959,dongia1,DG!$B$5,)</f>
        <v>D2.8103</v>
      </c>
      <c r="E959" s="1076" t="str">
        <f>VLOOKUP($B959,dongia1,DG!$C$5,)</f>
        <v>Đóng cọc tiếp địa đất cấp 3 dài 2,5m</v>
      </c>
      <c r="F959" s="1075" t="str">
        <f>VLOOKUP($B959,dongia1,DG!$D$5,)</f>
        <v>cọc</v>
      </c>
      <c r="G959" s="1087">
        <f>G946</f>
        <v>0</v>
      </c>
      <c r="H959" s="1062">
        <f>VLOOKUP($B959,dongia1,DG!$F$5,)</f>
        <v>0</v>
      </c>
      <c r="I959" s="1062"/>
      <c r="J959" s="1174" t="str">
        <f>VLOOKUP($B959,dongia1,DG!$G$5,)&amp;" x 1,7"</f>
        <v>90355,896 x 1,7</v>
      </c>
      <c r="K959" s="1174">
        <v>0</v>
      </c>
      <c r="L959" s="1174">
        <f>H959*$G959</f>
        <v>0</v>
      </c>
      <c r="M959" s="1174">
        <f>I959*$G959</f>
        <v>0</v>
      </c>
      <c r="N959" s="1174">
        <f>VLOOKUP($B959,dongia1,DG!$G$5,)*1.7*G959</f>
        <v>0</v>
      </c>
      <c r="O959" s="1338">
        <f>K959*G959</f>
        <v>0</v>
      </c>
      <c r="P959" s="1080"/>
    </row>
    <row r="960" spans="1:16" s="1081" customFormat="1" hidden="1" outlineLevel="1">
      <c r="A960" s="1154" t="str">
        <f>IF(G960&lt;&gt;0,1,"")</f>
        <v/>
      </c>
      <c r="B960" s="1086" t="str">
        <f>"dtd"&amp;capdat</f>
        <v>dtd3</v>
      </c>
      <c r="C960" s="1168"/>
      <c r="D960" s="1075" t="str">
        <f>VLOOKUP($B960,dongia1,DG!$B$5,)</f>
        <v>AB.11513</v>
      </c>
      <c r="E960" s="1076" t="str">
        <f>VLOOKUP($B960,dongia1,DG!$C$5,)</f>
        <v>Đào rãnh tiếp địa đất cấp 3</v>
      </c>
      <c r="F960" s="1075" t="str">
        <f>VLOOKUP($B960,dongia1,DG!$D$5,)</f>
        <v>m3</v>
      </c>
      <c r="G960" s="1087">
        <f>G943*48*0.3*0.5</f>
        <v>0</v>
      </c>
      <c r="H960" s="1062">
        <f>VLOOKUP($B960,dongia1,DG!$F$5,)</f>
        <v>0</v>
      </c>
      <c r="I960" s="1062"/>
      <c r="J960" s="1174">
        <f>VLOOKUP($B960,dongia1,DG!$G$5,)</f>
        <v>283749.75</v>
      </c>
      <c r="K960" s="1174">
        <f>VLOOKUP($B960,dongia1,DG!$H$5,)</f>
        <v>0</v>
      </c>
      <c r="L960" s="1174">
        <f>H960*G960</f>
        <v>0</v>
      </c>
      <c r="M960" s="1174">
        <f>I960*G960</f>
        <v>0</v>
      </c>
      <c r="N960" s="1174">
        <f>J960*G960</f>
        <v>0</v>
      </c>
      <c r="O960" s="1338">
        <f>K960*G960</f>
        <v>0</v>
      </c>
      <c r="P960" s="1080"/>
    </row>
    <row r="961" spans="1:16" s="1371" customFormat="1" hidden="1" outlineLevel="1">
      <c r="A961" s="1361">
        <f>+IF(G961&gt;0,1,0)</f>
        <v>0</v>
      </c>
      <c r="B961" s="1361"/>
      <c r="C961" s="1362">
        <f>IF(G961&gt;0,C943+1,C943)</f>
        <v>0</v>
      </c>
      <c r="D961" s="1363"/>
      <c r="E961" s="1364" t="s">
        <v>4855</v>
      </c>
      <c r="F961" s="1365" t="s">
        <v>2113</v>
      </c>
      <c r="G961" s="1366">
        <f>G917</f>
        <v>0</v>
      </c>
      <c r="H961" s="1367"/>
      <c r="I961" s="1367"/>
      <c r="J961" s="1367"/>
      <c r="K961" s="1367"/>
      <c r="L961" s="1368">
        <f t="shared" si="184"/>
        <v>0</v>
      </c>
      <c r="M961" s="1368">
        <f t="shared" si="185"/>
        <v>0</v>
      </c>
      <c r="N961" s="1368">
        <f t="shared" si="186"/>
        <v>0</v>
      </c>
      <c r="O961" s="1369">
        <f t="shared" si="187"/>
        <v>0</v>
      </c>
      <c r="P961" s="1370"/>
    </row>
    <row r="962" spans="1:16" s="1081" customFormat="1" hidden="1" outlineLevel="1">
      <c r="A962" s="1154" t="str">
        <f>IF(G962&lt;&gt;0,1,"")</f>
        <v/>
      </c>
      <c r="B962" s="1082" t="s">
        <v>1656</v>
      </c>
      <c r="C962" s="1372"/>
      <c r="D962" s="1075" t="str">
        <f>VLOOKUP($B962,dongia1,DG!$B$5,)</f>
        <v>T5.1002</v>
      </c>
      <c r="E962" s="1076" t="str">
        <f>VLOOKUP($B962,dongia1,DG!$C$5,)</f>
        <v>Tủ MCCB trạm treo 3 pha</v>
      </c>
      <c r="F962" s="1075" t="str">
        <f>VLOOKUP($B962,dongia1,DG!$D$5,)</f>
        <v>cái</v>
      </c>
      <c r="G962" s="1355">
        <f>G961</f>
        <v>0</v>
      </c>
      <c r="H962" s="1062">
        <f>VLOOKUP($B962,dongia1,DG!$F$5,)</f>
        <v>3664446</v>
      </c>
      <c r="I962" s="1062"/>
      <c r="J962" s="1062">
        <f>VLOOKUP($B962,dongia1,DG!$G$5,)</f>
        <v>690091</v>
      </c>
      <c r="K962" s="1062">
        <f>VLOOKUP($B962,dongia1,DG!$H$5,)</f>
        <v>97369</v>
      </c>
      <c r="L962" s="1337">
        <f>H962*G962</f>
        <v>0</v>
      </c>
      <c r="M962" s="1337">
        <f>I962*G962</f>
        <v>0</v>
      </c>
      <c r="N962" s="1337">
        <f>J962*G962</f>
        <v>0</v>
      </c>
      <c r="O962" s="1338">
        <f>K962*G962</f>
        <v>0</v>
      </c>
      <c r="P962" s="1080"/>
    </row>
    <row r="963" spans="1:16" s="1081" customFormat="1" hidden="1" outlineLevel="1">
      <c r="A963" s="1154" t="str">
        <f>IF(G963&lt;&gt;0,1,"")</f>
        <v/>
      </c>
      <c r="B963" s="1073" t="s">
        <v>1439</v>
      </c>
      <c r="C963" s="1168"/>
      <c r="D963" s="1075">
        <f>VLOOKUP($B963,dongia1,DG!$B$5,)</f>
        <v>0</v>
      </c>
      <c r="E963" s="1076" t="str">
        <f>VLOOKUP($B963,dongia1,DG!$C$5,)</f>
        <v>Cổ dê CDĐKĐT D320/6x60( bắt thùng)</v>
      </c>
      <c r="F963" s="1075" t="str">
        <f>VLOOKUP($B963,dongia1,DG!$D$5,)</f>
        <v>bộ</v>
      </c>
      <c r="G963" s="1355"/>
      <c r="H963" s="1062">
        <f>VLOOKUP($B963,dongia1,DG!$F$5,)</f>
        <v>168000</v>
      </c>
      <c r="I963" s="1083"/>
      <c r="J963" s="1062">
        <f>VLOOKUP($B963,dongia1,DG!$G$5,)</f>
        <v>0</v>
      </c>
      <c r="K963" s="1062">
        <f>VLOOKUP($B963,dongia1,DG!$H$5,)</f>
        <v>0</v>
      </c>
      <c r="L963" s="1337">
        <f t="shared" si="184"/>
        <v>0</v>
      </c>
      <c r="M963" s="1337">
        <f t="shared" si="185"/>
        <v>0</v>
      </c>
      <c r="N963" s="1337">
        <f t="shared" si="186"/>
        <v>0</v>
      </c>
      <c r="O963" s="1338">
        <f t="shared" si="187"/>
        <v>0</v>
      </c>
      <c r="P963" s="1080"/>
    </row>
    <row r="964" spans="1:16" s="1081" customFormat="1" hidden="1" outlineLevel="1">
      <c r="A964" s="1154" t="str">
        <f>IF(G964&lt;&gt;0,1,"")</f>
        <v/>
      </c>
      <c r="B964" s="1073" t="s">
        <v>1560</v>
      </c>
      <c r="C964" s="1168"/>
      <c r="D964" s="1373"/>
      <c r="E964" s="1076" t="str">
        <f>VLOOKUP($B964,dongia1,DG!$C$5,)</f>
        <v xml:space="preserve">Bakelit 500x300 dầy 10mm </v>
      </c>
      <c r="F964" s="1075" t="str">
        <f>VLOOKUP($B964,dongia1,DG!$D$5,)</f>
        <v>cái</v>
      </c>
      <c r="G964" s="1355"/>
      <c r="H964" s="1062">
        <f>VLOOKUP($B964,dongia1,DG!$F$5,)</f>
        <v>284000</v>
      </c>
      <c r="I964" s="1083"/>
      <c r="J964" s="1062">
        <f>VLOOKUP($B964,dongia1,DG!$G$5,)</f>
        <v>5404</v>
      </c>
      <c r="K964" s="1062">
        <f>VLOOKUP($B964,dongia1,DG!$H$5,)</f>
        <v>0</v>
      </c>
      <c r="L964" s="1337">
        <f t="shared" si="184"/>
        <v>0</v>
      </c>
      <c r="M964" s="1337">
        <f t="shared" si="185"/>
        <v>0</v>
      </c>
      <c r="N964" s="1337">
        <f t="shared" si="186"/>
        <v>0</v>
      </c>
      <c r="O964" s="1338">
        <f t="shared" si="187"/>
        <v>0</v>
      </c>
      <c r="P964" s="1080"/>
    </row>
    <row r="965" spans="1:16" s="1081" customFormat="1" hidden="1" outlineLevel="1">
      <c r="A965" s="1361">
        <f>+IF(G965&gt;0,1,0)</f>
        <v>0</v>
      </c>
      <c r="B965" s="1073"/>
      <c r="C965" s="1191">
        <f>IF(G965&gt;0,C961+1,C961)</f>
        <v>0</v>
      </c>
      <c r="D965" s="1353"/>
      <c r="E965" s="1374" t="s">
        <v>3412</v>
      </c>
      <c r="F965" s="1191" t="s">
        <v>2113</v>
      </c>
      <c r="G965" s="1360">
        <f>G917</f>
        <v>0</v>
      </c>
      <c r="H965" s="1083"/>
      <c r="I965" s="1083"/>
      <c r="J965" s="1083"/>
      <c r="K965" s="1083"/>
      <c r="L965" s="1337">
        <f t="shared" si="184"/>
        <v>0</v>
      </c>
      <c r="M965" s="1337">
        <f t="shared" si="185"/>
        <v>0</v>
      </c>
      <c r="N965" s="1337">
        <f t="shared" si="186"/>
        <v>0</v>
      </c>
      <c r="O965" s="1338">
        <f t="shared" si="187"/>
        <v>0</v>
      </c>
      <c r="P965" s="1080"/>
    </row>
    <row r="966" spans="1:16" s="1081" customFormat="1" ht="14.4" hidden="1" outlineLevel="1">
      <c r="A966" s="1154">
        <f>A965</f>
        <v>0</v>
      </c>
      <c r="B966" s="1073"/>
      <c r="C966" s="1191"/>
      <c r="D966" s="1353"/>
      <c r="E966" s="1354" t="s">
        <v>3399</v>
      </c>
      <c r="F966" s="1075"/>
      <c r="G966" s="1355"/>
      <c r="H966" s="1083"/>
      <c r="I966" s="1083"/>
      <c r="J966" s="1083"/>
      <c r="K966" s="1083"/>
      <c r="L966" s="1337">
        <f t="shared" si="184"/>
        <v>0</v>
      </c>
      <c r="M966" s="1337">
        <f t="shared" si="185"/>
        <v>0</v>
      </c>
      <c r="N966" s="1337">
        <f t="shared" si="186"/>
        <v>0</v>
      </c>
      <c r="O966" s="1338">
        <f t="shared" si="187"/>
        <v>0</v>
      </c>
      <c r="P966" s="1080"/>
    </row>
    <row r="967" spans="1:16" s="1081" customFormat="1" hidden="1" outlineLevel="1">
      <c r="A967" s="1154" t="str">
        <f>IF(G967&lt;&gt;0,1,"")</f>
        <v/>
      </c>
      <c r="B967" s="1067" t="s">
        <v>648</v>
      </c>
      <c r="C967" s="1168"/>
      <c r="D967" s="1075">
        <f>VLOOKUP($B967,dongia1,DG!$B$5,)</f>
        <v>0</v>
      </c>
      <c r="E967" s="1076" t="str">
        <f>VLOOKUP($B967,dongia1,DG!$C$5,)</f>
        <v>Cáp 24KV C/XLPE/PVC- 25mm2</v>
      </c>
      <c r="F967" s="1075" t="str">
        <f>VLOOKUP($B967,dongia1,DG!$D$5,)</f>
        <v>mét</v>
      </c>
      <c r="G967" s="1355">
        <f>3*G965*4</f>
        <v>0</v>
      </c>
      <c r="H967" s="1062">
        <f>VLOOKUP($B967,dongia1,DG!$F$5,)</f>
        <v>50996</v>
      </c>
      <c r="I967" s="1062"/>
      <c r="J967" s="1062">
        <f>VLOOKUP($B967,dongia1,DG!$G$5,)</f>
        <v>0</v>
      </c>
      <c r="K967" s="1062">
        <f>VLOOKUP($B967,dongia1,DG!$H$5,)</f>
        <v>0</v>
      </c>
      <c r="L967" s="1337">
        <f t="shared" si="184"/>
        <v>0</v>
      </c>
      <c r="M967" s="1337">
        <f t="shared" si="185"/>
        <v>0</v>
      </c>
      <c r="N967" s="1337">
        <f t="shared" si="186"/>
        <v>0</v>
      </c>
      <c r="O967" s="1338">
        <f t="shared" si="187"/>
        <v>0</v>
      </c>
      <c r="P967" s="1080"/>
    </row>
    <row r="968" spans="1:16" s="1081" customFormat="1" hidden="1" outlineLevel="1">
      <c r="A968" s="1154" t="str">
        <f>IF(G968&lt;&gt;0,1,"")</f>
        <v/>
      </c>
      <c r="B968" s="1067" t="s">
        <v>75</v>
      </c>
      <c r="C968" s="1168"/>
      <c r="D968" s="1075">
        <f>VLOOKUP($B968,dongia1,DG!$B$5,)</f>
        <v>0</v>
      </c>
      <c r="E968" s="1076" t="str">
        <f>VLOOKUP($B968,dongia1,DG!$C$5,)</f>
        <v>Kẹp ép WR cỡ dây 50mm2</v>
      </c>
      <c r="F968" s="1075" t="str">
        <f>VLOOKUP($B968,dongia1,DG!$D$5,)</f>
        <v>cái</v>
      </c>
      <c r="G968" s="1077">
        <f>3*G965*2*0</f>
        <v>0</v>
      </c>
      <c r="H968" s="1062">
        <f>VLOOKUP($B968,dongia1,DG!$F$5,)</f>
        <v>8000</v>
      </c>
      <c r="I968" s="1062"/>
      <c r="J968" s="1062">
        <f>VLOOKUP($B968,dongia1,DG!$G$5,)</f>
        <v>0</v>
      </c>
      <c r="K968" s="1062">
        <f>VLOOKUP($B968,dongia1,DG!$H$5,)</f>
        <v>0</v>
      </c>
      <c r="L968" s="1337">
        <f>H968*G968</f>
        <v>0</v>
      </c>
      <c r="M968" s="1337">
        <f>I968*G968</f>
        <v>0</v>
      </c>
      <c r="N968" s="1337">
        <f>J968*G968</f>
        <v>0</v>
      </c>
      <c r="O968" s="1338">
        <f>K968*G968</f>
        <v>0</v>
      </c>
      <c r="P968" s="1080"/>
    </row>
    <row r="969" spans="1:16" s="1081" customFormat="1" hidden="1" outlineLevel="1">
      <c r="A969" s="1154" t="str">
        <f>IF(G969&lt;&gt;0,1,"")</f>
        <v/>
      </c>
      <c r="B969" s="1206" t="s">
        <v>2028</v>
      </c>
      <c r="C969" s="1168"/>
      <c r="D969" s="1075">
        <f>VLOOKUP($B969,dongia1,DG!$B$5,)</f>
        <v>0</v>
      </c>
      <c r="E969" s="1076" t="str">
        <f>VLOOKUP($B969,dongia1,DG!$C$5,)</f>
        <v>Kẹp quai 2/0</v>
      </c>
      <c r="F969" s="1075" t="str">
        <f>VLOOKUP($B969,dongia1,DG!$D$5,)</f>
        <v>cái</v>
      </c>
      <c r="G969" s="1355">
        <f>3*G965</f>
        <v>0</v>
      </c>
      <c r="H969" s="1062">
        <f>VLOOKUP($B969,dongia1,DG!$F$5,)</f>
        <v>46000</v>
      </c>
      <c r="I969" s="1062"/>
      <c r="J969" s="1062">
        <f>VLOOKUP($B969,dongia1,DG!$G$5,)</f>
        <v>0</v>
      </c>
      <c r="K969" s="1062">
        <f>VLOOKUP($B969,dongia1,DG!$H$5,)</f>
        <v>0</v>
      </c>
      <c r="L969" s="1337">
        <f t="shared" si="184"/>
        <v>0</v>
      </c>
      <c r="M969" s="1337">
        <f t="shared" si="185"/>
        <v>0</v>
      </c>
      <c r="N969" s="1337">
        <f t="shared" si="186"/>
        <v>0</v>
      </c>
      <c r="O969" s="1338">
        <f t="shared" si="187"/>
        <v>0</v>
      </c>
      <c r="P969" s="1080"/>
    </row>
    <row r="970" spans="1:16" s="1081" customFormat="1" hidden="1" outlineLevel="1">
      <c r="A970" s="1154" t="str">
        <f>IF(G970&lt;&gt;0,1,"")</f>
        <v/>
      </c>
      <c r="B970" s="1206" t="s">
        <v>2026</v>
      </c>
      <c r="C970" s="1168"/>
      <c r="D970" s="1075"/>
      <c r="E970" s="1076" t="str">
        <f>VLOOKUP($B970,dongia1,DG!$C$5,)</f>
        <v>Kẹp hotline 2/0</v>
      </c>
      <c r="F970" s="1075" t="str">
        <f>VLOOKUP($B970,dongia1,DG!$D$5,)</f>
        <v>cái</v>
      </c>
      <c r="G970" s="1355">
        <f>3*G965</f>
        <v>0</v>
      </c>
      <c r="H970" s="1062">
        <f>VLOOKUP($B970,dongia1,DG!$F$5,)</f>
        <v>77000</v>
      </c>
      <c r="I970" s="1062"/>
      <c r="J970" s="1062"/>
      <c r="K970" s="1062">
        <f>VLOOKUP($B970,dongia1,DG!$H$5,)</f>
        <v>0</v>
      </c>
      <c r="L970" s="1337">
        <f t="shared" si="184"/>
        <v>0</v>
      </c>
      <c r="M970" s="1337">
        <f t="shared" si="185"/>
        <v>0</v>
      </c>
      <c r="N970" s="1337">
        <f t="shared" si="186"/>
        <v>0</v>
      </c>
      <c r="O970" s="1338">
        <f t="shared" si="187"/>
        <v>0</v>
      </c>
      <c r="P970" s="1080"/>
    </row>
    <row r="971" spans="1:16" s="1081" customFormat="1" hidden="1" outlineLevel="1">
      <c r="A971" s="1154">
        <f>IF(G971&lt;&gt;0,1,0)</f>
        <v>0</v>
      </c>
      <c r="B971" s="1206" t="s">
        <v>2144</v>
      </c>
      <c r="C971" s="1074"/>
      <c r="D971" s="1075">
        <f>VLOOKUP($B971,dongia1,DG!$B$5,)</f>
        <v>0</v>
      </c>
      <c r="E971" s="1076" t="str">
        <f>VLOOKUP($B971,dongia1,DG!$C$5,)</f>
        <v>Nắp che đầu cực FCO</v>
      </c>
      <c r="F971" s="1198" t="str">
        <f>VLOOKUP($B971,dongia1,DG!$D$5,)</f>
        <v>cái</v>
      </c>
      <c r="G971" s="1355">
        <f>G908</f>
        <v>0</v>
      </c>
      <c r="H971" s="1062">
        <f>VLOOKUP($B971,dongia1,DG!$F$5,)</f>
        <v>218200</v>
      </c>
      <c r="I971" s="1062"/>
      <c r="J971" s="1062">
        <f>VLOOKUP($B971,dongia1,DG!$G$5,)</f>
        <v>0</v>
      </c>
      <c r="K971" s="1062">
        <f>VLOOKUP($B971,dongia1,DG!$H$5,)</f>
        <v>0</v>
      </c>
      <c r="L971" s="1174">
        <f t="shared" si="184"/>
        <v>0</v>
      </c>
      <c r="M971" s="1174">
        <f t="shared" si="185"/>
        <v>0</v>
      </c>
      <c r="N971" s="1174">
        <f t="shared" si="186"/>
        <v>0</v>
      </c>
      <c r="O971" s="1083">
        <f t="shared" si="187"/>
        <v>0</v>
      </c>
      <c r="P971" s="1080"/>
    </row>
    <row r="972" spans="1:16" s="1081" customFormat="1" hidden="1" outlineLevel="1">
      <c r="A972" s="1154">
        <f>IF(G972&lt;&gt;0,1,0)</f>
        <v>0</v>
      </c>
      <c r="B972" s="1206" t="s">
        <v>2121</v>
      </c>
      <c r="C972" s="1074"/>
      <c r="D972" s="1075">
        <f>VLOOKUP($B972,dongia1,DG!$B$5,)</f>
        <v>0</v>
      </c>
      <c r="E972" s="1076" t="str">
        <f>VLOOKUP($B972,dongia1,DG!$C$5,)</f>
        <v>Nắp che đầu cực LA</v>
      </c>
      <c r="F972" s="1198" t="str">
        <f>VLOOKUP($B972,dongia1,DG!$D$5,)</f>
        <v>cái</v>
      </c>
      <c r="G972" s="1355">
        <f>G910</f>
        <v>0</v>
      </c>
      <c r="H972" s="1062">
        <f>VLOOKUP($B972,dongia1,DG!$F$5,)</f>
        <v>39100</v>
      </c>
      <c r="I972" s="1062"/>
      <c r="J972" s="1062">
        <f>VLOOKUP($B972,dongia1,DG!$G$5,)</f>
        <v>0</v>
      </c>
      <c r="K972" s="1062">
        <f>VLOOKUP($B972,dongia1,DG!$H$5,)</f>
        <v>0</v>
      </c>
      <c r="L972" s="1174">
        <f t="shared" si="184"/>
        <v>0</v>
      </c>
      <c r="M972" s="1174">
        <f t="shared" si="185"/>
        <v>0</v>
      </c>
      <c r="N972" s="1174">
        <f t="shared" si="186"/>
        <v>0</v>
      </c>
      <c r="O972" s="1083">
        <f t="shared" si="187"/>
        <v>0</v>
      </c>
      <c r="P972" s="1080"/>
    </row>
    <row r="973" spans="1:16" s="1081" customFormat="1" hidden="1" outlineLevel="1">
      <c r="A973" s="1154">
        <f>IF(G973&lt;&gt;0,1,0)</f>
        <v>0</v>
      </c>
      <c r="B973" s="1206" t="s">
        <v>2123</v>
      </c>
      <c r="C973" s="1074"/>
      <c r="D973" s="1075">
        <f>VLOOKUP($B973,dongia1,DG!$B$5,)</f>
        <v>0</v>
      </c>
      <c r="E973" s="1076" t="str">
        <f>VLOOKUP($B973,dongia1,DG!$C$5,)</f>
        <v>Nắp che đầu sứ MBA</v>
      </c>
      <c r="F973" s="1198" t="str">
        <f>VLOOKUP($B973,dongia1,DG!$D$5,)</f>
        <v>cái</v>
      </c>
      <c r="G973" s="1355">
        <f>G907</f>
        <v>0</v>
      </c>
      <c r="H973" s="1062">
        <f>VLOOKUP($B973,dongia1,DG!$F$5,)</f>
        <v>56700</v>
      </c>
      <c r="I973" s="1062"/>
      <c r="J973" s="1062">
        <f>VLOOKUP($B973,dongia1,DG!$G$5,)</f>
        <v>0</v>
      </c>
      <c r="K973" s="1062">
        <f>VLOOKUP($B973,dongia1,DG!$H$5,)</f>
        <v>0</v>
      </c>
      <c r="L973" s="1174">
        <f t="shared" si="184"/>
        <v>0</v>
      </c>
      <c r="M973" s="1174">
        <f t="shared" si="185"/>
        <v>0</v>
      </c>
      <c r="N973" s="1174">
        <f t="shared" si="186"/>
        <v>0</v>
      </c>
      <c r="O973" s="1083">
        <f t="shared" si="187"/>
        <v>0</v>
      </c>
      <c r="P973" s="1080"/>
    </row>
    <row r="974" spans="1:16" s="1081" customFormat="1" hidden="1" outlineLevel="1">
      <c r="A974" s="1154">
        <f>IF(G974&lt;&gt;0,1,0)</f>
        <v>0</v>
      </c>
      <c r="B974" s="1206" t="s">
        <v>4765</v>
      </c>
      <c r="C974" s="1074"/>
      <c r="D974" s="1075">
        <f>VLOOKUP($B974,dongia1,DG!$B$5,)</f>
        <v>0</v>
      </c>
      <c r="E974" s="1076" t="str">
        <f>VLOOKUP($B974,dongia1,DG!$C$5,)</f>
        <v>Chụp cách điện kẹp quai</v>
      </c>
      <c r="F974" s="1198" t="str">
        <f>VLOOKUP($B974,dongia1,DG!$D$5,)</f>
        <v>Cái</v>
      </c>
      <c r="G974" s="1355">
        <f>G969</f>
        <v>0</v>
      </c>
      <c r="H974" s="1062">
        <f>VLOOKUP($B974,dongia1,DG!$F$5,)</f>
        <v>136800</v>
      </c>
      <c r="I974" s="1062"/>
      <c r="J974" s="1062">
        <f>VLOOKUP($B974,dongia1,DG!$G$5,)</f>
        <v>0</v>
      </c>
      <c r="K974" s="1062">
        <f>VLOOKUP($B974,dongia1,DG!$H$5,)</f>
        <v>0</v>
      </c>
      <c r="L974" s="1174">
        <f>H974*G974</f>
        <v>0</v>
      </c>
      <c r="M974" s="1174">
        <f>I974*G974</f>
        <v>0</v>
      </c>
      <c r="N974" s="1174">
        <f>J974*G974</f>
        <v>0</v>
      </c>
      <c r="O974" s="1083">
        <f>K974*G974</f>
        <v>0</v>
      </c>
      <c r="P974" s="1080"/>
    </row>
    <row r="975" spans="1:16" s="1081" customFormat="1" hidden="1" outlineLevel="1">
      <c r="A975" s="1154" t="str">
        <f>IF(G975&lt;&gt;0,1,"")</f>
        <v/>
      </c>
      <c r="B975" s="1206" t="s">
        <v>224</v>
      </c>
      <c r="C975" s="1168"/>
      <c r="D975" s="1075" t="str">
        <f>VLOOKUP($B975,dongia1,DG!$B$5,)</f>
        <v>T4.4201</v>
      </c>
      <c r="E975" s="1076" t="str">
        <f>VLOOKUP($B975,dongia1,DG!$C$5,)</f>
        <v>Lắp cáp đồng xuống thiết bị D ≤ 95mm2</v>
      </c>
      <c r="F975" s="1075" t="str">
        <f>VLOOKUP($B975,dongia1,DG!$D$5,)</f>
        <v>m</v>
      </c>
      <c r="G975" s="1355">
        <f>G967</f>
        <v>0</v>
      </c>
      <c r="H975" s="1062">
        <f>VLOOKUP($B975,dongia1,DG!$F$5,)</f>
        <v>0</v>
      </c>
      <c r="I975" s="1062"/>
      <c r="J975" s="1062">
        <f>VLOOKUP($B975,dongia1,DG!$G$5,)</f>
        <v>13915</v>
      </c>
      <c r="K975" s="1062">
        <f>VLOOKUP($B975,dongia1,DG!$H$5,)</f>
        <v>0</v>
      </c>
      <c r="L975" s="1337">
        <f>H975*G975</f>
        <v>0</v>
      </c>
      <c r="M975" s="1337">
        <f>I975*G975</f>
        <v>0</v>
      </c>
      <c r="N975" s="1337">
        <f>J975*G975</f>
        <v>0</v>
      </c>
      <c r="O975" s="1338">
        <f>K975*G975</f>
        <v>0</v>
      </c>
      <c r="P975" s="1080"/>
    </row>
    <row r="976" spans="1:16" s="1081" customFormat="1" hidden="1" outlineLevel="1">
      <c r="A976" s="1154" t="str">
        <f>A970</f>
        <v/>
      </c>
      <c r="B976" s="1073"/>
      <c r="C976" s="1191">
        <f>IF(G976&gt;0,C965+1,C965)</f>
        <v>0</v>
      </c>
      <c r="D976" s="1353"/>
      <c r="E976" s="1375" t="s">
        <v>3420</v>
      </c>
      <c r="F976" s="1191" t="s">
        <v>2113</v>
      </c>
      <c r="G976" s="1360">
        <f>G917</f>
        <v>0</v>
      </c>
      <c r="H976" s="1083"/>
      <c r="I976" s="1083"/>
      <c r="J976" s="1083"/>
      <c r="K976" s="1083"/>
      <c r="L976" s="1337">
        <f>H976*G976</f>
        <v>0</v>
      </c>
      <c r="M976" s="1337">
        <f>I976*G976</f>
        <v>0</v>
      </c>
      <c r="N976" s="1337">
        <f>J976*G976</f>
        <v>0</v>
      </c>
      <c r="O976" s="1338">
        <f>K976*G976</f>
        <v>0</v>
      </c>
      <c r="P976" s="1080"/>
    </row>
    <row r="977" spans="1:16" s="1081" customFormat="1" ht="14.4" hidden="1" outlineLevel="1">
      <c r="A977" s="1154" t="str">
        <f>A976</f>
        <v/>
      </c>
      <c r="B977" s="1073"/>
      <c r="C977" s="1191"/>
      <c r="D977" s="1353"/>
      <c r="E977" s="1376" t="s">
        <v>3399</v>
      </c>
      <c r="F977" s="1075"/>
      <c r="G977" s="1279"/>
      <c r="H977" s="1083"/>
      <c r="I977" s="1083"/>
      <c r="J977" s="1083"/>
      <c r="K977" s="1083"/>
      <c r="L977" s="1337">
        <f t="shared" ref="L977:L993" si="190">H977*G977</f>
        <v>0</v>
      </c>
      <c r="M977" s="1337">
        <f t="shared" ref="M977:M993" si="191">I977*G977</f>
        <v>0</v>
      </c>
      <c r="N977" s="1337">
        <f t="shared" ref="N977:N993" si="192">J977*G977</f>
        <v>0</v>
      </c>
      <c r="O977" s="1338">
        <f t="shared" ref="O977:O993" si="193">K977*G977</f>
        <v>0</v>
      </c>
      <c r="P977" s="1080"/>
    </row>
    <row r="978" spans="1:16" s="1081" customFormat="1" hidden="1" outlineLevel="1">
      <c r="A978" s="1154" t="str">
        <f>IF(G978&lt;&gt;0,1,"")</f>
        <v/>
      </c>
      <c r="B978" s="1073" t="s">
        <v>188</v>
      </c>
      <c r="C978" s="1168"/>
      <c r="D978" s="1075">
        <f>VLOOKUP($B978,dongia1,DG!$B$5,)</f>
        <v>0</v>
      </c>
      <c r="E978" s="1076" t="str">
        <f>VLOOKUP($B978,dongia1,DG!$C$5,)</f>
        <v>Cáp đồng bọc CV150</v>
      </c>
      <c r="F978" s="1075" t="str">
        <f>VLOOKUP($B978,dongia1,DG!$D$5,)</f>
        <v>mét</v>
      </c>
      <c r="G978" s="1355">
        <f>G976*27.5</f>
        <v>0</v>
      </c>
      <c r="H978" s="1062">
        <f>VLOOKUP($B978,dongia1,DG!$F$5,)</f>
        <v>194893</v>
      </c>
      <c r="I978" s="1062"/>
      <c r="J978" s="1062">
        <f>VLOOKUP($B978,dongia1,DG!$G$5,)</f>
        <v>0</v>
      </c>
      <c r="K978" s="1062">
        <f>VLOOKUP($B978,dongia1,DG!$H$5,)</f>
        <v>0</v>
      </c>
      <c r="L978" s="1337">
        <f t="shared" si="190"/>
        <v>0</v>
      </c>
      <c r="M978" s="1337">
        <f t="shared" si="191"/>
        <v>0</v>
      </c>
      <c r="N978" s="1337">
        <f t="shared" si="192"/>
        <v>0</v>
      </c>
      <c r="O978" s="1338">
        <f t="shared" si="193"/>
        <v>0</v>
      </c>
      <c r="P978" s="1080"/>
    </row>
    <row r="979" spans="1:16" s="1081" customFormat="1" hidden="1" outlineLevel="1">
      <c r="A979" s="1154" t="str">
        <f t="shared" ref="A979:A995" si="194">IF(G979&lt;&gt;0,1,"")</f>
        <v/>
      </c>
      <c r="B979" s="1073" t="s">
        <v>4966</v>
      </c>
      <c r="C979" s="1168"/>
      <c r="D979" s="1075">
        <f>VLOOKUP($B979,dongia1,DG!$B$5,)</f>
        <v>0</v>
      </c>
      <c r="E979" s="1076" t="str">
        <f>VLOOKUP($B979,dongia1,DG!$C$5,)</f>
        <v>Cáp đồng bọc CV25</v>
      </c>
      <c r="F979" s="1075" t="str">
        <f>VLOOKUP($B979,dongia1,DG!$D$5,)</f>
        <v>mét</v>
      </c>
      <c r="G979" s="1355">
        <f>G976*7</f>
        <v>0</v>
      </c>
      <c r="H979" s="1062">
        <f>VLOOKUP($B979,dongia1,DG!$F$5,)</f>
        <v>59600</v>
      </c>
      <c r="I979" s="1062"/>
      <c r="J979" s="1062">
        <f>VLOOKUP($B979,dongia1,DG!$G$5,)</f>
        <v>0</v>
      </c>
      <c r="K979" s="1062">
        <f>VLOOKUP($B979,dongia1,DG!$H$5,)</f>
        <v>0</v>
      </c>
      <c r="L979" s="1337">
        <f t="shared" si="190"/>
        <v>0</v>
      </c>
      <c r="M979" s="1337">
        <f t="shared" si="191"/>
        <v>0</v>
      </c>
      <c r="N979" s="1337">
        <f t="shared" si="192"/>
        <v>0</v>
      </c>
      <c r="O979" s="1338">
        <f t="shared" si="193"/>
        <v>0</v>
      </c>
      <c r="P979" s="1080"/>
    </row>
    <row r="980" spans="1:16" s="1081" customFormat="1" hidden="1" outlineLevel="1">
      <c r="A980" s="1154" t="str">
        <f t="shared" si="194"/>
        <v/>
      </c>
      <c r="B980" s="1073" t="s">
        <v>4804</v>
      </c>
      <c r="C980" s="1074"/>
      <c r="D980" s="1075"/>
      <c r="E980" s="1076" t="str">
        <f>VLOOKUP($B980,dongia1,DG!$C$5,)</f>
        <v xml:space="preserve">Cáp CVV 4x4mm2  </v>
      </c>
      <c r="F980" s="1075" t="str">
        <f>VLOOKUP($B980,dongia1,DG!$D$5,)</f>
        <v>mét</v>
      </c>
      <c r="G980" s="1355">
        <f>4*G976</f>
        <v>0</v>
      </c>
      <c r="H980" s="1062">
        <f>VLOOKUP($B980,dongia1,DG!$F$5,)</f>
        <v>63200</v>
      </c>
      <c r="I980" s="1062"/>
      <c r="J980" s="1062">
        <f>VLOOKUP($B980,dongia1,DG!$G$5,)</f>
        <v>0</v>
      </c>
      <c r="K980" s="1062">
        <f>VLOOKUP($B980,dongia1,DG!$H$5,)</f>
        <v>0</v>
      </c>
      <c r="L980" s="1078">
        <f t="shared" si="190"/>
        <v>0</v>
      </c>
      <c r="M980" s="1078">
        <f t="shared" si="191"/>
        <v>0</v>
      </c>
      <c r="N980" s="1078">
        <f t="shared" si="192"/>
        <v>0</v>
      </c>
      <c r="O980" s="1079">
        <f t="shared" si="193"/>
        <v>0</v>
      </c>
      <c r="P980" s="1080"/>
    </row>
    <row r="981" spans="1:16" s="1081" customFormat="1" hidden="1" outlineLevel="1">
      <c r="A981" s="1154" t="str">
        <f t="shared" si="194"/>
        <v/>
      </c>
      <c r="B981" s="1073" t="s">
        <v>4967</v>
      </c>
      <c r="C981" s="1168"/>
      <c r="D981" s="1075" t="str">
        <f>VLOOKUP($B981,dongia1,DG!$B$5,)</f>
        <v>D4.5006</v>
      </c>
      <c r="E981" s="1076" t="str">
        <f>VLOOKUP($B981,dongia1,DG!$C$5,)</f>
        <v>Đầu cosse ép Cu 150mm2</v>
      </c>
      <c r="F981" s="1075" t="str">
        <f>VLOOKUP($B981,dongia1,DG!$D$5,)</f>
        <v>cái</v>
      </c>
      <c r="G981" s="1355">
        <f>G976*6</f>
        <v>0</v>
      </c>
      <c r="H981" s="1062">
        <f>VLOOKUP($B981,dongia1,DG!$F$5,)</f>
        <v>36000</v>
      </c>
      <c r="I981" s="1062"/>
      <c r="J981" s="1062">
        <f>VLOOKUP($B981,dongia1,DG!$G$5,)</f>
        <v>33342.43</v>
      </c>
      <c r="K981" s="1062">
        <f>VLOOKUP($B981,dongia1,DG!$H$5,)</f>
        <v>4443.237196</v>
      </c>
      <c r="L981" s="1337">
        <f t="shared" si="190"/>
        <v>0</v>
      </c>
      <c r="M981" s="1337">
        <f t="shared" si="191"/>
        <v>0</v>
      </c>
      <c r="N981" s="1337">
        <f t="shared" si="192"/>
        <v>0</v>
      </c>
      <c r="O981" s="1338">
        <f t="shared" si="193"/>
        <v>0</v>
      </c>
      <c r="P981" s="1080"/>
    </row>
    <row r="982" spans="1:16" s="1081" customFormat="1" hidden="1" outlineLevel="1">
      <c r="A982" s="1154" t="str">
        <f t="shared" si="194"/>
        <v/>
      </c>
      <c r="B982" s="1073" t="s">
        <v>4968</v>
      </c>
      <c r="C982" s="1168"/>
      <c r="D982" s="1075" t="str">
        <f>VLOOKUP($B982,dongia1,DG!$B$5,)</f>
        <v>D4.5002</v>
      </c>
      <c r="E982" s="1076" t="str">
        <f>VLOOKUP($B982,dongia1,DG!$C$5,)</f>
        <v>Đầu cosse ép Cu 50mm2</v>
      </c>
      <c r="F982" s="1075" t="str">
        <f>VLOOKUP($B982,dongia1,DG!$D$5,)</f>
        <v>cái</v>
      </c>
      <c r="G982" s="1355">
        <f>G976*2</f>
        <v>0</v>
      </c>
      <c r="H982" s="1062">
        <f>VLOOKUP($B982,dongia1,DG!$F$5,)</f>
        <v>9100</v>
      </c>
      <c r="I982" s="1062"/>
      <c r="J982" s="1062">
        <f>VLOOKUP($B982,dongia1,DG!$G$5,)</f>
        <v>10608.955000000002</v>
      </c>
      <c r="K982" s="1062">
        <f>VLOOKUP($B982,dongia1,DG!$H$5,)</f>
        <v>2777.0232475000003</v>
      </c>
      <c r="L982" s="1337">
        <f t="shared" si="190"/>
        <v>0</v>
      </c>
      <c r="M982" s="1337">
        <f t="shared" si="191"/>
        <v>0</v>
      </c>
      <c r="N982" s="1337">
        <f t="shared" si="192"/>
        <v>0</v>
      </c>
      <c r="O982" s="1338">
        <f t="shared" si="193"/>
        <v>0</v>
      </c>
      <c r="P982" s="1080"/>
    </row>
    <row r="983" spans="1:16" s="1081" customFormat="1" hidden="1" outlineLevel="1">
      <c r="A983" s="1154" t="str">
        <f t="shared" si="194"/>
        <v/>
      </c>
      <c r="B983" s="1073" t="s">
        <v>4582</v>
      </c>
      <c r="C983" s="1168"/>
      <c r="D983" s="1075">
        <f>VLOOKUP($B983,dongia1,DG!$B$5,)</f>
        <v>0</v>
      </c>
      <c r="E983" s="1076" t="str">
        <f>VLOOKUP($B983,dongia1,DG!$C$5,)</f>
        <v>Chụp đầu cosse  150mm2</v>
      </c>
      <c r="F983" s="1075" t="str">
        <f>VLOOKUP($B983,dongia1,DG!$D$5,)</f>
        <v>cái</v>
      </c>
      <c r="G983" s="1355">
        <f>G981</f>
        <v>0</v>
      </c>
      <c r="H983" s="1062">
        <f>VLOOKUP($B983,dongia1,DG!$F$5,)</f>
        <v>5000</v>
      </c>
      <c r="I983" s="1062"/>
      <c r="J983" s="1062">
        <f>VLOOKUP($B983,dongia1,DG!$G$5,)</f>
        <v>0</v>
      </c>
      <c r="K983" s="1062">
        <f>VLOOKUP($B983,dongia1,DG!$H$5,)</f>
        <v>0</v>
      </c>
      <c r="L983" s="1337">
        <f t="shared" si="190"/>
        <v>0</v>
      </c>
      <c r="M983" s="1337">
        <f t="shared" si="191"/>
        <v>0</v>
      </c>
      <c r="N983" s="1337">
        <f t="shared" si="192"/>
        <v>0</v>
      </c>
      <c r="O983" s="1338">
        <f t="shared" si="193"/>
        <v>0</v>
      </c>
      <c r="P983" s="1080"/>
    </row>
    <row r="984" spans="1:16" s="1081" customFormat="1" hidden="1" outlineLevel="1">
      <c r="A984" s="1154" t="str">
        <f t="shared" si="194"/>
        <v/>
      </c>
      <c r="B984" s="1073" t="s">
        <v>1204</v>
      </c>
      <c r="C984" s="1168"/>
      <c r="D984" s="1075">
        <f>VLOOKUP($B984,dongia1,DG!$B$5,)</f>
        <v>0</v>
      </c>
      <c r="E984" s="1076" t="str">
        <f>VLOOKUP($B984,dongia1,DG!$C$5,)</f>
        <v>Chụp đầu cosse  50mm2</v>
      </c>
      <c r="F984" s="1075" t="str">
        <f>VLOOKUP($B984,dongia1,DG!$D$5,)</f>
        <v>cái</v>
      </c>
      <c r="G984" s="1355">
        <f>G982</f>
        <v>0</v>
      </c>
      <c r="H984" s="1062">
        <f>VLOOKUP($B984,dongia1,DG!$F$5,)</f>
        <v>1000</v>
      </c>
      <c r="I984" s="1062"/>
      <c r="J984" s="1062">
        <f>VLOOKUP($B984,dongia1,DG!$G$5,)</f>
        <v>0</v>
      </c>
      <c r="K984" s="1062">
        <f>VLOOKUP($B984,dongia1,DG!$H$5,)</f>
        <v>0</v>
      </c>
      <c r="L984" s="1337">
        <f t="shared" si="190"/>
        <v>0</v>
      </c>
      <c r="M984" s="1337">
        <f t="shared" si="191"/>
        <v>0</v>
      </c>
      <c r="N984" s="1337">
        <f t="shared" si="192"/>
        <v>0</v>
      </c>
      <c r="O984" s="1338">
        <f t="shared" si="193"/>
        <v>0</v>
      </c>
      <c r="P984" s="1080"/>
    </row>
    <row r="985" spans="1:16" s="1081" customFormat="1" hidden="1" outlineLevel="1">
      <c r="A985" s="1154" t="str">
        <f t="shared" si="194"/>
        <v/>
      </c>
      <c r="B985" s="1073" t="s">
        <v>961</v>
      </c>
      <c r="C985" s="1168"/>
      <c r="D985" s="1075">
        <f>VLOOKUP($B985,dongia1,DG!$B$5,)</f>
        <v>0</v>
      </c>
      <c r="E985" s="1076" t="str">
        <f>VLOOKUP($B985,dongia1,DG!$C$5,)</f>
        <v xml:space="preserve">Ống PVC D114x4,9mm </v>
      </c>
      <c r="F985" s="1075" t="str">
        <f>VLOOKUP($B985,dongia1,DG!$D$5,)</f>
        <v>m</v>
      </c>
      <c r="G985" s="1355">
        <f>4*G976</f>
        <v>0</v>
      </c>
      <c r="H985" s="1062">
        <f>VLOOKUP($B985,dongia1,DG!$F$5,)</f>
        <v>103700</v>
      </c>
      <c r="I985" s="1083"/>
      <c r="J985" s="1062">
        <f>VLOOKUP($B985,dongia1,DG!$G$5,)</f>
        <v>0</v>
      </c>
      <c r="K985" s="1062">
        <f>VLOOKUP($B985,dongia1,DG!$H$5,)</f>
        <v>0</v>
      </c>
      <c r="L985" s="1337">
        <f t="shared" si="190"/>
        <v>0</v>
      </c>
      <c r="M985" s="1337">
        <f t="shared" si="191"/>
        <v>0</v>
      </c>
      <c r="N985" s="1337">
        <f t="shared" si="192"/>
        <v>0</v>
      </c>
      <c r="O985" s="1338">
        <f t="shared" si="193"/>
        <v>0</v>
      </c>
      <c r="P985" s="1080"/>
    </row>
    <row r="986" spans="1:16" s="1081" customFormat="1" hidden="1" outlineLevel="1">
      <c r="A986" s="1154" t="str">
        <f t="shared" si="194"/>
        <v/>
      </c>
      <c r="B986" s="1067" t="s">
        <v>826</v>
      </c>
      <c r="C986" s="1168"/>
      <c r="D986" s="1075">
        <f>VLOOKUP($B986,dongia1,DG!$B$5,)</f>
        <v>0</v>
      </c>
      <c r="E986" s="1076" t="str">
        <f>VLOOKUP($B986,dongia1,DG!$C$5,)</f>
        <v>Cổ dê kẹp ống PVC Þ 114</v>
      </c>
      <c r="F986" s="1075" t="str">
        <f>VLOOKUP($B986,dongia1,DG!$D$5,)</f>
        <v>bộ</v>
      </c>
      <c r="G986" s="1355">
        <f>2*G976</f>
        <v>0</v>
      </c>
      <c r="H986" s="1062">
        <f>VLOOKUP($B986,dongia1,DG!$F$5,)</f>
        <v>50000</v>
      </c>
      <c r="I986" s="1083"/>
      <c r="J986" s="1062">
        <f>VLOOKUP($B986,dongia1,DG!$G$5,)</f>
        <v>0</v>
      </c>
      <c r="K986" s="1062">
        <f>VLOOKUP($B986,dongia1,DG!$H$5,)</f>
        <v>0</v>
      </c>
      <c r="L986" s="1337">
        <f t="shared" si="190"/>
        <v>0</v>
      </c>
      <c r="M986" s="1337">
        <f t="shared" si="191"/>
        <v>0</v>
      </c>
      <c r="N986" s="1337">
        <f t="shared" si="192"/>
        <v>0</v>
      </c>
      <c r="O986" s="1338">
        <f t="shared" si="193"/>
        <v>0</v>
      </c>
      <c r="P986" s="1080"/>
    </row>
    <row r="987" spans="1:16" s="1081" customFormat="1" hidden="1" outlineLevel="1">
      <c r="A987" s="1154" t="str">
        <f t="shared" si="194"/>
        <v/>
      </c>
      <c r="B987" s="1073" t="s">
        <v>112</v>
      </c>
      <c r="C987" s="1168"/>
      <c r="D987" s="1075">
        <f>VLOOKUP($B987,dongia1,DG!$B$5,)</f>
        <v>0</v>
      </c>
      <c r="E987" s="1076" t="str">
        <f>VLOOKUP($B987,dongia1,DG!$C$5,)</f>
        <v>Co  90 độ PVC 90 (loại dày)</v>
      </c>
      <c r="F987" s="1075" t="str">
        <f>VLOOKUP($B987,dongia1,DG!$D$5,)</f>
        <v>cái</v>
      </c>
      <c r="G987" s="1355">
        <f>2*G976</f>
        <v>0</v>
      </c>
      <c r="H987" s="1062">
        <f>VLOOKUP($B987,dongia1,DG!$F$5,)</f>
        <v>45400</v>
      </c>
      <c r="I987" s="1083"/>
      <c r="J987" s="1062">
        <f>VLOOKUP($B987,dongia1,DG!$G$5,)</f>
        <v>0</v>
      </c>
      <c r="K987" s="1062">
        <f>VLOOKUP($B987,dongia1,DG!$H$5,)</f>
        <v>0</v>
      </c>
      <c r="L987" s="1337">
        <f t="shared" si="190"/>
        <v>0</v>
      </c>
      <c r="M987" s="1337">
        <f t="shared" si="191"/>
        <v>0</v>
      </c>
      <c r="N987" s="1337">
        <f t="shared" si="192"/>
        <v>0</v>
      </c>
      <c r="O987" s="1338">
        <f t="shared" si="193"/>
        <v>0</v>
      </c>
      <c r="P987" s="1080"/>
    </row>
    <row r="988" spans="1:16" s="1081" customFormat="1" hidden="1" outlineLevel="1">
      <c r="A988" s="1154" t="str">
        <f t="shared" si="194"/>
        <v/>
      </c>
      <c r="B988" s="1073" t="s">
        <v>693</v>
      </c>
      <c r="C988" s="1168"/>
      <c r="D988" s="1075">
        <f>VLOOKUP($B988,dongia1,DG!$B$5,)</f>
        <v>0</v>
      </c>
      <c r="E988" s="1076" t="str">
        <f>VLOOKUP($B988,dongia1,DG!$C$5,)</f>
        <v>Khâu ven răng trong D114</v>
      </c>
      <c r="F988" s="1075" t="str">
        <f>VLOOKUP($B988,dongia1,DG!$D$5,)</f>
        <v>cái</v>
      </c>
      <c r="G988" s="1355">
        <f>+G976</f>
        <v>0</v>
      </c>
      <c r="H988" s="1062">
        <f>VLOOKUP($B988,dongia1,DG!$F$5,)</f>
        <v>41900</v>
      </c>
      <c r="I988" s="1083"/>
      <c r="J988" s="1062">
        <f>VLOOKUP($B988,dongia1,DG!$G$5,)</f>
        <v>0</v>
      </c>
      <c r="K988" s="1062">
        <f>VLOOKUP($B988,dongia1,DG!$H$5,)</f>
        <v>0</v>
      </c>
      <c r="L988" s="1337">
        <f t="shared" si="190"/>
        <v>0</v>
      </c>
      <c r="M988" s="1337">
        <f t="shared" si="191"/>
        <v>0</v>
      </c>
      <c r="N988" s="1337">
        <f t="shared" si="192"/>
        <v>0</v>
      </c>
      <c r="O988" s="1338">
        <f t="shared" si="193"/>
        <v>0</v>
      </c>
      <c r="P988" s="1080"/>
    </row>
    <row r="989" spans="1:16" s="1081" customFormat="1" hidden="1" outlineLevel="1">
      <c r="A989" s="1154" t="str">
        <f t="shared" si="194"/>
        <v/>
      </c>
      <c r="B989" s="1073" t="s">
        <v>694</v>
      </c>
      <c r="C989" s="1168"/>
      <c r="D989" s="1075">
        <f>VLOOKUP($B989,dongia1,DG!$B$5,)</f>
        <v>0</v>
      </c>
      <c r="E989" s="1076" t="str">
        <f>VLOOKUP($B989,dongia1,DG!$C$5,)</f>
        <v>Khâu ven răng ngoài D114</v>
      </c>
      <c r="F989" s="1075" t="str">
        <f>VLOOKUP($B989,dongia1,DG!$D$5,)</f>
        <v>cái</v>
      </c>
      <c r="G989" s="1355">
        <f>+G988</f>
        <v>0</v>
      </c>
      <c r="H989" s="1062">
        <f>VLOOKUP($B989,dongia1,DG!$F$5,)</f>
        <v>41900</v>
      </c>
      <c r="I989" s="1083"/>
      <c r="J989" s="1062">
        <f>VLOOKUP($B989,dongia1,DG!$G$5,)</f>
        <v>0</v>
      </c>
      <c r="K989" s="1062">
        <f>VLOOKUP($B989,dongia1,DG!$H$5,)</f>
        <v>0</v>
      </c>
      <c r="L989" s="1337">
        <f>H989*G989</f>
        <v>0</v>
      </c>
      <c r="M989" s="1337">
        <f>I989*G989</f>
        <v>0</v>
      </c>
      <c r="N989" s="1337">
        <f>J989*G989</f>
        <v>0</v>
      </c>
      <c r="O989" s="1338">
        <f>K989*G989</f>
        <v>0</v>
      </c>
      <c r="P989" s="1080"/>
    </row>
    <row r="990" spans="1:16" s="1081" customFormat="1" hidden="1" outlineLevel="1">
      <c r="A990" s="1154" t="str">
        <f t="shared" si="194"/>
        <v/>
      </c>
      <c r="B990" s="1073" t="s">
        <v>1188</v>
      </c>
      <c r="C990" s="1168"/>
      <c r="D990" s="1075">
        <f>VLOOKUP($B990,dongia1,DG!$B$5,)</f>
        <v>0</v>
      </c>
      <c r="E990" s="1076" t="str">
        <f>VLOOKUP($B990,dongia1,DG!$C$5,)</f>
        <v>Keo dán ống PVC (100gr)</v>
      </c>
      <c r="F990" s="1075" t="str">
        <f>VLOOKUP($B990,dongia1,DG!$D$5,)</f>
        <v>tuýp</v>
      </c>
      <c r="G990" s="1355">
        <f>G976*1</f>
        <v>0</v>
      </c>
      <c r="H990" s="1062">
        <f>VLOOKUP($B990,dongia1,DG!$F$5,)</f>
        <v>11500</v>
      </c>
      <c r="I990" s="1083"/>
      <c r="J990" s="1062">
        <f>VLOOKUP($B990,dongia1,DG!$G$5,)</f>
        <v>0</v>
      </c>
      <c r="K990" s="1062">
        <f>VLOOKUP($B990,dongia1,DG!$H$5,)</f>
        <v>0</v>
      </c>
      <c r="L990" s="1337">
        <f t="shared" si="190"/>
        <v>0</v>
      </c>
      <c r="M990" s="1337">
        <f t="shared" si="191"/>
        <v>0</v>
      </c>
      <c r="N990" s="1337">
        <f t="shared" si="192"/>
        <v>0</v>
      </c>
      <c r="O990" s="1338">
        <f t="shared" si="193"/>
        <v>0</v>
      </c>
      <c r="P990" s="1080"/>
    </row>
    <row r="991" spans="1:16" s="1081" customFormat="1" hidden="1" outlineLevel="1">
      <c r="A991" s="1154" t="str">
        <f t="shared" si="194"/>
        <v/>
      </c>
      <c r="B991" s="1073" t="s">
        <v>429</v>
      </c>
      <c r="C991" s="1168"/>
      <c r="D991" s="1075">
        <f>VLOOKUP($B991,dongia1,DG!$B$5,)</f>
        <v>0</v>
      </c>
      <c r="E991" s="1076" t="str">
        <f>VLOOKUP($B991,dongia1,DG!$C$5,)</f>
        <v>Keo silicon bít miệng ống</v>
      </c>
      <c r="F991" s="1075" t="str">
        <f>VLOOKUP($B991,dongia1,DG!$D$5,)</f>
        <v>chai</v>
      </c>
      <c r="G991" s="1355">
        <f>G990</f>
        <v>0</v>
      </c>
      <c r="H991" s="1062">
        <f>VLOOKUP($B991,dongia1,DG!$F$5,)</f>
        <v>45000</v>
      </c>
      <c r="I991" s="1083"/>
      <c r="J991" s="1062">
        <f>VLOOKUP($B991,dongia1,DG!$G$5,)</f>
        <v>0</v>
      </c>
      <c r="K991" s="1062">
        <f>VLOOKUP($B991,dongia1,DG!$H$5,)</f>
        <v>0</v>
      </c>
      <c r="L991" s="1337">
        <f>H991*G991</f>
        <v>0</v>
      </c>
      <c r="M991" s="1337">
        <f>I991*G991</f>
        <v>0</v>
      </c>
      <c r="N991" s="1337">
        <f>J991*G991</f>
        <v>0</v>
      </c>
      <c r="O991" s="1338">
        <f>K991*G991</f>
        <v>0</v>
      </c>
      <c r="P991" s="1080"/>
    </row>
    <row r="992" spans="1:16" s="1081" customFormat="1" hidden="1" outlineLevel="1">
      <c r="A992" s="1154" t="str">
        <f t="shared" si="194"/>
        <v/>
      </c>
      <c r="B992" s="1067" t="s">
        <v>236</v>
      </c>
      <c r="C992" s="1168"/>
      <c r="D992" s="1075">
        <f>VLOOKUP($B992,dongia1,DG!$B$5,)</f>
        <v>0</v>
      </c>
      <c r="E992" s="1076" t="str">
        <f>VLOOKUP($B992,dongia1,DG!$C$5,)</f>
        <v>Băng keo cách điện hạ thế</v>
      </c>
      <c r="F992" s="1075" t="str">
        <f>VLOOKUP($B992,dongia1,DG!$D$5,)</f>
        <v>cuộn</v>
      </c>
      <c r="G992" s="1355">
        <f>G976*2</f>
        <v>0</v>
      </c>
      <c r="H992" s="1062">
        <f>VLOOKUP($B992,dongia1,DG!$F$5,)</f>
        <v>6500</v>
      </c>
      <c r="I992" s="1083"/>
      <c r="J992" s="1062">
        <f>VLOOKUP($B992,dongia1,DG!$G$5,)</f>
        <v>0</v>
      </c>
      <c r="K992" s="1062">
        <f>VLOOKUP($B992,dongia1,DG!$H$5,)</f>
        <v>0</v>
      </c>
      <c r="L992" s="1337">
        <f t="shared" si="190"/>
        <v>0</v>
      </c>
      <c r="M992" s="1337">
        <f t="shared" si="191"/>
        <v>0</v>
      </c>
      <c r="N992" s="1337">
        <f t="shared" si="192"/>
        <v>0</v>
      </c>
      <c r="O992" s="1338">
        <f t="shared" si="193"/>
        <v>0</v>
      </c>
      <c r="P992" s="1229"/>
    </row>
    <row r="993" spans="1:18" s="1081" customFormat="1" hidden="1" outlineLevel="1">
      <c r="A993" s="1154" t="str">
        <f t="shared" si="194"/>
        <v/>
      </c>
      <c r="B993" s="1086" t="s">
        <v>1194</v>
      </c>
      <c r="C993" s="1074"/>
      <c r="D993" s="1075" t="str">
        <f>VLOOKUP($B993,dongia1,DG!$B$5,)</f>
        <v>D4.1409</v>
      </c>
      <c r="E993" s="1076" t="str">
        <f>VLOOKUP($B993,dongia1,DG!$C$5,)</f>
        <v>Lắp ống nhựa PVC D90</v>
      </c>
      <c r="F993" s="1075" t="str">
        <f>VLOOKUP($B993,dongia1,DG!$D$5,)</f>
        <v>mét</v>
      </c>
      <c r="G993" s="1355"/>
      <c r="H993" s="1062"/>
      <c r="I993" s="1083"/>
      <c r="J993" s="1062">
        <f>VLOOKUP($B993,dongia1,DG!$G$5,)</f>
        <v>55493.02</v>
      </c>
      <c r="K993" s="1062">
        <f>VLOOKUP($B993,dongia1,DG!$H$5,)</f>
        <v>0</v>
      </c>
      <c r="L993" s="1174">
        <f t="shared" si="190"/>
        <v>0</v>
      </c>
      <c r="M993" s="1174">
        <f t="shared" si="191"/>
        <v>0</v>
      </c>
      <c r="N993" s="1174">
        <f t="shared" si="192"/>
        <v>0</v>
      </c>
      <c r="O993" s="1083">
        <f t="shared" si="193"/>
        <v>0</v>
      </c>
      <c r="P993" s="1080"/>
    </row>
    <row r="994" spans="1:18" s="1081" customFormat="1" hidden="1" outlineLevel="1">
      <c r="A994" s="1154" t="str">
        <f t="shared" si="194"/>
        <v/>
      </c>
      <c r="B994" s="1067" t="s">
        <v>224</v>
      </c>
      <c r="C994" s="1074"/>
      <c r="D994" s="1075" t="str">
        <f>VLOOKUP($B994,dongia1,DG!$B$5,)</f>
        <v>T4.4201</v>
      </c>
      <c r="E994" s="1076" t="str">
        <f>VLOOKUP($B994,dongia1,DG!$C$5,)</f>
        <v>Lắp cáp đồng xuống thiết bị D ≤ 95mm2</v>
      </c>
      <c r="F994" s="1075" t="str">
        <f>VLOOKUP($B994,dongia1,DG!$D$5,)</f>
        <v>m</v>
      </c>
      <c r="G994" s="1355">
        <f>G978+G979</f>
        <v>0</v>
      </c>
      <c r="H994" s="1062"/>
      <c r="I994" s="1083"/>
      <c r="J994" s="1062">
        <f>VLOOKUP($B994,dongia1,DG!$G$5,)</f>
        <v>13915</v>
      </c>
      <c r="K994" s="1062">
        <f>VLOOKUP($B994,dongia1,DG!$H$5,)</f>
        <v>0</v>
      </c>
      <c r="L994" s="1174">
        <f>H994*G994</f>
        <v>0</v>
      </c>
      <c r="M994" s="1174">
        <f>I994*G994</f>
        <v>0</v>
      </c>
      <c r="N994" s="1174">
        <f>J994*G994</f>
        <v>0</v>
      </c>
      <c r="O994" s="1083">
        <f>K994*G994</f>
        <v>0</v>
      </c>
      <c r="P994" s="1080"/>
    </row>
    <row r="995" spans="1:18" s="1081" customFormat="1" hidden="1" outlineLevel="1">
      <c r="A995" s="1154" t="str">
        <f t="shared" si="194"/>
        <v/>
      </c>
      <c r="B995" s="1073" t="s">
        <v>888</v>
      </c>
      <c r="C995" s="1377">
        <f>IF(G995&gt;0,C976+1,C976)</f>
        <v>0</v>
      </c>
      <c r="D995" s="1378"/>
      <c r="E995" s="1076" t="str">
        <f>VLOOKUP($B995,dongia1,DG!$C$5,)</f>
        <v>Bảng tên trạm + bảng báo nguy hiểm</v>
      </c>
      <c r="F995" s="1075" t="str">
        <f>VLOOKUP($B995,dongia1,DG!$D$5,)</f>
        <v>cái</v>
      </c>
      <c r="G995" s="1355">
        <f>G976</f>
        <v>0</v>
      </c>
      <c r="H995" s="1062">
        <f>VLOOKUP($B995,dongia1,DG!$F$5,)</f>
        <v>300000</v>
      </c>
      <c r="I995" s="1210"/>
      <c r="J995" s="1062"/>
      <c r="K995" s="1062">
        <f>VLOOKUP($B995,dongia1,DG!$H$5,)</f>
        <v>0</v>
      </c>
      <c r="L995" s="1379">
        <f>H995*G995</f>
        <v>0</v>
      </c>
      <c r="M995" s="1379">
        <f>I995*G995</f>
        <v>0</v>
      </c>
      <c r="N995" s="1379">
        <f>J995*G995</f>
        <v>0</v>
      </c>
      <c r="O995" s="1380">
        <f>K995*G995</f>
        <v>0</v>
      </c>
      <c r="P995" s="1327"/>
    </row>
    <row r="996" spans="1:18" s="1081" customFormat="1" hidden="1" outlineLevel="1">
      <c r="A996" s="1154" t="str">
        <f>A995</f>
        <v/>
      </c>
      <c r="B996" s="1073"/>
      <c r="C996" s="1381"/>
      <c r="D996" s="1382"/>
      <c r="E996" s="1383"/>
      <c r="F996" s="1384"/>
      <c r="G996" s="1384"/>
      <c r="H996" s="1384"/>
      <c r="I996" s="1384"/>
      <c r="J996" s="2470" t="s">
        <v>3388</v>
      </c>
      <c r="K996" s="2470"/>
      <c r="L996" s="1385">
        <f>SUM(L919:L995)</f>
        <v>0</v>
      </c>
      <c r="M996" s="1385"/>
      <c r="N996" s="1385">
        <f>SUM(N919:N995)</f>
        <v>0</v>
      </c>
      <c r="O996" s="1385">
        <f>SUM(O919:O995)</f>
        <v>0</v>
      </c>
      <c r="P996" s="1386"/>
    </row>
    <row r="997" spans="1:18" s="1081" customFormat="1" hidden="1" outlineLevel="1">
      <c r="A997" s="1154"/>
      <c r="B997" s="1073"/>
      <c r="C997" s="1387"/>
      <c r="D997" s="1387"/>
      <c r="E997" s="1388"/>
      <c r="F997" s="1389"/>
      <c r="G997" s="1389"/>
      <c r="H997" s="1389"/>
      <c r="I997" s="1389"/>
      <c r="J997" s="1390"/>
      <c r="K997" s="1390"/>
      <c r="L997" s="1391"/>
      <c r="M997" s="1391"/>
      <c r="N997" s="1391"/>
      <c r="O997" s="1391"/>
      <c r="P997" s="1173"/>
    </row>
    <row r="998" spans="1:18" s="1081" customFormat="1" hidden="1" outlineLevel="1">
      <c r="A998" s="1195" t="str">
        <f>IF(G1004&lt;&gt;0,1,"")</f>
        <v/>
      </c>
      <c r="B998" s="1073"/>
      <c r="C998" s="1387"/>
      <c r="D998" s="1387"/>
      <c r="E998" s="1388"/>
      <c r="F998" s="1389"/>
      <c r="G998" s="1389"/>
      <c r="H998" s="1389"/>
      <c r="I998" s="1389"/>
      <c r="J998" s="1390"/>
      <c r="K998" s="1390"/>
      <c r="L998" s="1391"/>
      <c r="M998" s="1391"/>
      <c r="N998" s="1391"/>
      <c r="O998" s="1391"/>
      <c r="P998" s="1392"/>
    </row>
    <row r="999" spans="1:18" s="1173" customFormat="1" hidden="1" outlineLevel="1">
      <c r="A999" s="1195"/>
      <c r="B999" s="1328"/>
      <c r="C999" s="1195"/>
      <c r="D999" s="1329"/>
      <c r="E999" s="1334" t="s">
        <v>4574</v>
      </c>
      <c r="F999" s="1331"/>
      <c r="G999" s="1331"/>
      <c r="H999" s="1331"/>
      <c r="I999" s="1331"/>
      <c r="J999" s="1332"/>
      <c r="K999" s="1332"/>
      <c r="L999" s="1333"/>
      <c r="M999" s="1333"/>
      <c r="N999" s="1333"/>
      <c r="O999" s="1333"/>
    </row>
    <row r="1000" spans="1:18" s="1081" customFormat="1" hidden="1" outlineLevel="1">
      <c r="A1000" s="1199" t="str">
        <f>A998</f>
        <v/>
      </c>
      <c r="B1000" s="1335"/>
      <c r="C1000" s="1336" t="str">
        <f>"BẢNG TỔNG HỢP VẬT LIỆU, NHÂN CÔNG, MÁY THI CÔNG 1 TRẠM3P_3x100KVA"</f>
        <v>BẢNG TỔNG HỢP VẬT LIỆU, NHÂN CÔNG, MÁY THI CÔNG 1 TRẠM3P_3x100KVA</v>
      </c>
      <c r="D1000" s="1336"/>
      <c r="E1000" s="1336"/>
      <c r="F1000" s="1336"/>
      <c r="G1000" s="1336"/>
      <c r="H1000" s="1336"/>
      <c r="I1000" s="1336"/>
      <c r="J1000" s="1336"/>
      <c r="K1000" s="1336"/>
      <c r="L1000" s="1336"/>
      <c r="M1000" s="1336"/>
      <c r="N1000" s="1336"/>
      <c r="O1000" s="1336"/>
      <c r="P1000" s="1393"/>
    </row>
    <row r="1001" spans="1:18" s="1081" customFormat="1" hidden="1" outlineLevel="1">
      <c r="A1001" s="1154" t="str">
        <f>A1000</f>
        <v/>
      </c>
      <c r="B1001" s="1073" t="s">
        <v>308</v>
      </c>
      <c r="C1001" s="2459" t="s">
        <v>1014</v>
      </c>
      <c r="D1001" s="2467" t="s">
        <v>3363</v>
      </c>
      <c r="E1001" s="2457" t="s">
        <v>3364</v>
      </c>
      <c r="F1001" s="2459" t="s">
        <v>3365</v>
      </c>
      <c r="G1001" s="1155" t="s">
        <v>3367</v>
      </c>
      <c r="H1001" s="1156" t="s">
        <v>3368</v>
      </c>
      <c r="I1001" s="1157"/>
      <c r="J1001" s="1157"/>
      <c r="K1001" s="1158"/>
      <c r="L1001" s="1156" t="s">
        <v>3372</v>
      </c>
      <c r="M1001" s="1157"/>
      <c r="N1001" s="1157"/>
      <c r="O1001" s="1158"/>
      <c r="P1001" s="2459" t="s">
        <v>3373</v>
      </c>
    </row>
    <row r="1002" spans="1:18" s="1081" customFormat="1" hidden="1" outlineLevel="1">
      <c r="A1002" s="1154" t="str">
        <f>A1001</f>
        <v/>
      </c>
      <c r="B1002" s="1073"/>
      <c r="C1002" s="2459"/>
      <c r="D1002" s="2468"/>
      <c r="E1002" s="2458"/>
      <c r="F1002" s="2459"/>
      <c r="G1002" s="1160" t="s">
        <v>3366</v>
      </c>
      <c r="H1002" s="1161" t="s">
        <v>393</v>
      </c>
      <c r="I1002" s="1161" t="s">
        <v>3369</v>
      </c>
      <c r="J1002" s="1161" t="s">
        <v>3370</v>
      </c>
      <c r="K1002" s="1161" t="s">
        <v>3371</v>
      </c>
      <c r="L1002" s="1161" t="s">
        <v>393</v>
      </c>
      <c r="M1002" s="1161" t="s">
        <v>3369</v>
      </c>
      <c r="N1002" s="1161" t="s">
        <v>3370</v>
      </c>
      <c r="O1002" s="1161" t="s">
        <v>3371</v>
      </c>
      <c r="P1002" s="2459"/>
    </row>
    <row r="1003" spans="1:18" s="1081" customFormat="1" hidden="1" outlineLevel="1">
      <c r="A1003" s="1154" t="str">
        <f>A1002</f>
        <v/>
      </c>
      <c r="B1003" s="1073"/>
      <c r="C1003" s="1162"/>
      <c r="D1003" s="1163"/>
      <c r="E1003" s="1164" t="s">
        <v>3375</v>
      </c>
      <c r="F1003" s="1165"/>
      <c r="G1003" s="1165"/>
      <c r="H1003" s="1165"/>
      <c r="I1003" s="1165"/>
      <c r="J1003" s="1165"/>
      <c r="K1003" s="1165"/>
      <c r="L1003" s="1165"/>
      <c r="M1003" s="1165"/>
      <c r="N1003" s="1165"/>
      <c r="O1003" s="1163"/>
      <c r="P1003" s="1394"/>
    </row>
    <row r="1004" spans="1:18" s="1081" customFormat="1" hidden="1" outlineLevel="1">
      <c r="A1004" s="1154" t="str">
        <f t="shared" ref="A1004:A1013" si="195">IF(G1004&lt;&gt;0,1,"")</f>
        <v/>
      </c>
      <c r="B1004" s="1167" t="s">
        <v>4577</v>
      </c>
      <c r="C1004" s="1168">
        <f>IF(G1004&gt;0,1,0)</f>
        <v>0</v>
      </c>
      <c r="D1004" s="1075" t="str">
        <f>VLOOKUP($B1004,dongia1,DG!$B$5,)</f>
        <v>T1.1434</v>
      </c>
      <c r="E1004" s="1076" t="str">
        <f>VLOOKUP($B1004,dongia1,DG!$C$5,)</f>
        <v>Máy biến áp 12,7/0,22-0,44kV  100kVA</v>
      </c>
      <c r="F1004" s="1075" t="str">
        <f>VLOOKUP($B1004,dongia1,DG!$D$5,)</f>
        <v>máy</v>
      </c>
      <c r="G1004" s="1338"/>
      <c r="H1004" s="1062"/>
      <c r="I1004" s="1062"/>
      <c r="J1004" s="1062">
        <f>VLOOKUP($B1004,dongia1,DG!$G$5,)</f>
        <v>891368</v>
      </c>
      <c r="K1004" s="1062">
        <f>VLOOKUP($B1004,dongia1,DG!$H$5,)</f>
        <v>284508</v>
      </c>
      <c r="L1004" s="1337">
        <f t="shared" ref="L1004:L1013" si="196">H1004*G1004</f>
        <v>0</v>
      </c>
      <c r="M1004" s="1337">
        <f t="shared" ref="M1004:M1013" si="197">I1004*G1004</f>
        <v>0</v>
      </c>
      <c r="N1004" s="1337">
        <f t="shared" ref="N1004:N1013" si="198">J1004*G1004</f>
        <v>0</v>
      </c>
      <c r="O1004" s="1338">
        <f t="shared" ref="O1004:O1013" si="199">K1004*G1004</f>
        <v>0</v>
      </c>
      <c r="P1004" s="1395" t="s">
        <v>4575</v>
      </c>
    </row>
    <row r="1005" spans="1:18" s="1081" customFormat="1" hidden="1" outlineLevel="1">
      <c r="A1005" s="1154" t="str">
        <f t="shared" si="195"/>
        <v/>
      </c>
      <c r="B1005" s="1167" t="str">
        <f>"FCO100-"&amp;$F$8</f>
        <v>FCO100-22</v>
      </c>
      <c r="C1005" s="1168">
        <f t="shared" ref="C1005:C1013" si="200">IF(G1005&gt;0,C1004+1,C1004)</f>
        <v>0</v>
      </c>
      <c r="D1005" s="1075" t="str">
        <f>VLOOKUP($B1005,dongia1,DG!$B$5,)</f>
        <v>T2.3501</v>
      </c>
      <c r="E1005" s="1076" t="str">
        <f>VLOOKUP($B1005,dongia1,DG!$C$5,)</f>
        <v>FCO 24kV - 100A</v>
      </c>
      <c r="F1005" s="1075" t="str">
        <f>VLOOKUP($B1005,dongia1,DG!$D$5,)</f>
        <v>cái</v>
      </c>
      <c r="G1005" s="1396">
        <f>+G1004-G1006</f>
        <v>0</v>
      </c>
      <c r="H1005" s="1298">
        <f>VLOOKUP($B1005,dongia1,DG!$E$5,)</f>
        <v>2244280</v>
      </c>
      <c r="I1005" s="1062"/>
      <c r="J1005" s="1062">
        <f>VLOOKUP($B1005,dongia1,DG!$G$5,)</f>
        <v>222639.99999999997</v>
      </c>
      <c r="K1005" s="1062">
        <f>VLOOKUP($B1005,dongia1,DG!$H$5,)</f>
        <v>0</v>
      </c>
      <c r="L1005" s="1337">
        <f t="shared" si="196"/>
        <v>0</v>
      </c>
      <c r="M1005" s="1337">
        <f t="shared" si="197"/>
        <v>0</v>
      </c>
      <c r="N1005" s="1337">
        <f t="shared" si="198"/>
        <v>0</v>
      </c>
      <c r="O1005" s="1338">
        <f t="shared" si="199"/>
        <v>0</v>
      </c>
      <c r="P1005" s="1395"/>
    </row>
    <row r="1006" spans="1:18" s="1300" customFormat="1" ht="27.6" hidden="1" outlineLevel="1">
      <c r="A1006" s="1072" t="str">
        <f>IF(G1006&lt;&gt;0,1,"")</f>
        <v/>
      </c>
      <c r="B1006" s="1397" t="str">
        <f>"FCO100-"&amp;$F$8</f>
        <v>FCO100-22</v>
      </c>
      <c r="C1006" s="1302">
        <f>IF(G1006&gt;0,C1005+1,C1005)</f>
        <v>0</v>
      </c>
      <c r="D1006" s="1198" t="str">
        <f>VLOOKUP($B1006,dongia1,DG!$B$5,)</f>
        <v>T2.3501</v>
      </c>
      <c r="E1006" s="1243" t="str">
        <f>VLOOKUP($B1006,dongia1,DG!$C$5,)</f>
        <v>FCO 24kV - 100A</v>
      </c>
      <c r="F1006" s="1198" t="str">
        <f>VLOOKUP($B1006,dongia1,DG!$D$5,)</f>
        <v>cái</v>
      </c>
      <c r="G1006" s="1398"/>
      <c r="H1006" s="1399"/>
      <c r="I1006" s="1062"/>
      <c r="J1006" s="1399">
        <f>VLOOKUP($B1006,dongia1,DG!$G$5,)</f>
        <v>222639.99999999997</v>
      </c>
      <c r="K1006" s="1399">
        <f>VLOOKUP($B1006,dongia1,DG!$H$5,)</f>
        <v>0</v>
      </c>
      <c r="L1006" s="1400">
        <f>H1006*G1006</f>
        <v>0</v>
      </c>
      <c r="M1006" s="1400">
        <f>I1006*G1006</f>
        <v>0</v>
      </c>
      <c r="N1006" s="1400">
        <f>J1006*G1006</f>
        <v>0</v>
      </c>
      <c r="O1006" s="1401">
        <f>K1006*G1006</f>
        <v>0</v>
      </c>
      <c r="P1006" s="1402" t="s">
        <v>4626</v>
      </c>
      <c r="R1006" s="1081"/>
    </row>
    <row r="1007" spans="1:18" s="1081" customFormat="1" hidden="1" outlineLevel="1">
      <c r="A1007" s="1154" t="str">
        <f t="shared" si="195"/>
        <v/>
      </c>
      <c r="B1007" s="1073" t="str">
        <f>"CHI"&amp;Solieu!$F$58</f>
        <v>CHI10K</v>
      </c>
      <c r="C1007" s="1168">
        <f>IF(G1007&gt;0,C1005+1,C1005)</f>
        <v>0</v>
      </c>
      <c r="D1007" s="1075">
        <f>VLOOKUP($B1007,dongia1,DG!$B$5,)</f>
        <v>0</v>
      </c>
      <c r="E1007" s="1076" t="str">
        <f>VLOOKUP($B1007,dongia1,DG!$C$5,)</f>
        <v>Dây chảy 10K</v>
      </c>
      <c r="F1007" s="1075" t="str">
        <f>VLOOKUP($B1007,dongia1,DG!$D$5,)</f>
        <v>Sợi</v>
      </c>
      <c r="G1007" s="1403"/>
      <c r="H1007" s="1062">
        <f>VLOOKUP($B1007,dongia1,DG!$F$5,)</f>
        <v>84000</v>
      </c>
      <c r="I1007" s="1062"/>
      <c r="J1007" s="1062">
        <f>VLOOKUP($B1007,dongia1,DG!$G$5,)</f>
        <v>0</v>
      </c>
      <c r="K1007" s="1062">
        <f>VLOOKUP($B1007,dongia1,DG!$H$5,)</f>
        <v>0</v>
      </c>
      <c r="L1007" s="1337">
        <f t="shared" si="196"/>
        <v>0</v>
      </c>
      <c r="M1007" s="1337">
        <f t="shared" si="197"/>
        <v>0</v>
      </c>
      <c r="N1007" s="1337">
        <f t="shared" si="198"/>
        <v>0</v>
      </c>
      <c r="O1007" s="1338">
        <f t="shared" si="199"/>
        <v>0</v>
      </c>
      <c r="P1007" s="1404"/>
    </row>
    <row r="1008" spans="1:18" s="1081" customFormat="1" hidden="1" outlineLevel="1">
      <c r="A1008" s="1154" t="str">
        <f t="shared" si="195"/>
        <v/>
      </c>
      <c r="B1008" s="1073" t="str">
        <f>IF($F$6=12,"LA12","LA18")</f>
        <v>LA18</v>
      </c>
      <c r="C1008" s="1168">
        <f t="shared" si="200"/>
        <v>0</v>
      </c>
      <c r="D1008" s="1075" t="str">
        <f>VLOOKUP($B1008,dongia1,DG!$B$5,)</f>
        <v>T2.5004</v>
      </c>
      <c r="E1008" s="1076" t="str">
        <f>VLOOKUP($B1008,dongia1,DG!$C$5,)</f>
        <v>LA 18kV 10kA</v>
      </c>
      <c r="F1008" s="1075" t="str">
        <f>VLOOKUP($B1008,dongia1,DG!$D$5,)</f>
        <v>cái</v>
      </c>
      <c r="G1008" s="1396">
        <f>G1004-G1009</f>
        <v>0</v>
      </c>
      <c r="H1008" s="1298">
        <f>VLOOKUP($B1008,dongia1,DG!$E$5,)</f>
        <v>1106000</v>
      </c>
      <c r="I1008" s="1062"/>
      <c r="J1008" s="1062">
        <f>VLOOKUP($B1008,dongia1,DG!$G$5,)</f>
        <v>83490</v>
      </c>
      <c r="K1008" s="1062">
        <f>VLOOKUP($B1008,dongia1,DG!$H$5,)</f>
        <v>0</v>
      </c>
      <c r="L1008" s="1337">
        <f t="shared" si="196"/>
        <v>0</v>
      </c>
      <c r="M1008" s="1337">
        <f t="shared" si="197"/>
        <v>0</v>
      </c>
      <c r="N1008" s="1337">
        <f t="shared" si="198"/>
        <v>0</v>
      </c>
      <c r="O1008" s="1338">
        <f t="shared" si="199"/>
        <v>0</v>
      </c>
      <c r="P1008" s="1395"/>
    </row>
    <row r="1009" spans="1:18" s="1300" customFormat="1" ht="41.4" hidden="1" outlineLevel="1">
      <c r="A1009" s="1072" t="str">
        <f>IF(G1009&lt;&gt;0,1,"")</f>
        <v/>
      </c>
      <c r="B1009" s="1295" t="str">
        <f>IF($F$6=12,"LA12","LA18")</f>
        <v>LA18</v>
      </c>
      <c r="C1009" s="1302">
        <f>IF(G1009&gt;0,C1008+1,C1008)</f>
        <v>0</v>
      </c>
      <c r="D1009" s="1198" t="str">
        <f>VLOOKUP($B1009,dongia1,DG!$B$5,)</f>
        <v>T2.5004</v>
      </c>
      <c r="E1009" s="1243" t="str">
        <f>VLOOKUP($B1009,dongia1,DG!$C$5,)</f>
        <v>LA 18kV 10kA</v>
      </c>
      <c r="F1009" s="1198" t="str">
        <f>VLOOKUP($B1009,dongia1,DG!$D$5,)</f>
        <v>cái</v>
      </c>
      <c r="G1009" s="1398"/>
      <c r="H1009" s="1399"/>
      <c r="I1009" s="1062"/>
      <c r="J1009" s="1399">
        <f>VLOOKUP($B1009,dongia1,DG!$G$5,)</f>
        <v>83490</v>
      </c>
      <c r="K1009" s="1399">
        <f>VLOOKUP($B1009,dongia1,DG!$H$5,)</f>
        <v>0</v>
      </c>
      <c r="L1009" s="1400">
        <f>H1009*G1009</f>
        <v>0</v>
      </c>
      <c r="M1009" s="1400">
        <f>I1009*G1009</f>
        <v>0</v>
      </c>
      <c r="N1009" s="1400">
        <f>J1009*G1009</f>
        <v>0</v>
      </c>
      <c r="O1009" s="1401">
        <f>K1009*G1009</f>
        <v>0</v>
      </c>
      <c r="P1009" s="1402" t="s">
        <v>4632</v>
      </c>
      <c r="R1009" s="1081"/>
    </row>
    <row r="1010" spans="1:18" s="1081" customFormat="1" hidden="1" outlineLevel="1">
      <c r="A1010" s="1199" t="str">
        <f t="shared" si="195"/>
        <v/>
      </c>
      <c r="B1010" s="1307" t="s">
        <v>838</v>
      </c>
      <c r="C1010" s="1168">
        <f>IF(G1010&gt;0,C1008+1,C1008)</f>
        <v>0</v>
      </c>
      <c r="D1010" s="1075">
        <f>VLOOKUP($B1010,dongia1,DG!$B$5,)</f>
        <v>0</v>
      </c>
      <c r="E1010" s="1076" t="str">
        <f>VLOOKUP($B1010,dongia1,DG!$C$5,)</f>
        <v>MCCB 3 cực 400V -200/500A - 50KA</v>
      </c>
      <c r="F1010" s="1075" t="str">
        <f>VLOOKUP($B1010,dongia1,DG!$D$5,)</f>
        <v>cái</v>
      </c>
      <c r="G1010" s="1403"/>
      <c r="H1010" s="1062">
        <f>VLOOKUP($B1010,dongia1,DG!$E$5,)</f>
        <v>11490000</v>
      </c>
      <c r="I1010" s="1062"/>
      <c r="J1010" s="1062">
        <f>VLOOKUP($B1010,dongia1,DG!$G$5,)</f>
        <v>0</v>
      </c>
      <c r="K1010" s="1062">
        <f>VLOOKUP($B1010,dongia1,DG!$H$5,)</f>
        <v>0</v>
      </c>
      <c r="L1010" s="1178">
        <f t="shared" si="196"/>
        <v>0</v>
      </c>
      <c r="M1010" s="1405">
        <f t="shared" si="197"/>
        <v>0</v>
      </c>
      <c r="N1010" s="1405">
        <f t="shared" si="198"/>
        <v>0</v>
      </c>
      <c r="O1010" s="1406">
        <f t="shared" si="199"/>
        <v>0</v>
      </c>
      <c r="P1010" s="1407"/>
    </row>
    <row r="1011" spans="1:18" s="1081" customFormat="1" hidden="1" outlineLevel="1">
      <c r="A1011" s="1154" t="str">
        <f t="shared" si="195"/>
        <v/>
      </c>
      <c r="B1011" s="1167" t="s">
        <v>464</v>
      </c>
      <c r="C1011" s="1168">
        <f t="shared" si="200"/>
        <v>0</v>
      </c>
      <c r="D1011" s="1075" t="str">
        <f>VLOOKUP($B1011,dongia1,DG!$B$5,)</f>
        <v>05.1102</v>
      </c>
      <c r="E1011" s="1076" t="str">
        <f>VLOOKUP($B1011,dongia1,DG!$C$5,)</f>
        <v>Tủ tụ bù hạ thế 60kVAr</v>
      </c>
      <c r="F1011" s="1075" t="str">
        <f>VLOOKUP($B1011,dongia1,DG!$D$5,)</f>
        <v>tủ</v>
      </c>
      <c r="G1011" s="1340">
        <f>+G1010*0</f>
        <v>0</v>
      </c>
      <c r="H1011" s="1062">
        <f>VLOOKUP($B1011,dongia1,DG!$E$5,)</f>
        <v>9797887</v>
      </c>
      <c r="I1011" s="1062"/>
      <c r="J1011" s="1062">
        <f>VLOOKUP($B1011,dongia1,DG!$G$5,)</f>
        <v>98101</v>
      </c>
      <c r="K1011" s="1062">
        <f>VLOOKUP($B1011,dongia1,DG!$H$5,)</f>
        <v>59254</v>
      </c>
      <c r="L1011" s="1174">
        <f t="shared" si="196"/>
        <v>0</v>
      </c>
      <c r="M1011" s="1337">
        <f t="shared" si="197"/>
        <v>0</v>
      </c>
      <c r="N1011" s="1337">
        <f t="shared" si="198"/>
        <v>0</v>
      </c>
      <c r="O1011" s="1338">
        <f t="shared" si="199"/>
        <v>0</v>
      </c>
      <c r="P1011" s="1080"/>
    </row>
    <row r="1012" spans="1:18" s="1081" customFormat="1" hidden="1" outlineLevel="1">
      <c r="A1012" s="1154" t="str">
        <f t="shared" si="195"/>
        <v/>
      </c>
      <c r="B1012" s="1205" t="s">
        <v>4576</v>
      </c>
      <c r="C1012" s="1168">
        <f t="shared" si="200"/>
        <v>0</v>
      </c>
      <c r="D1012" s="1075">
        <f>VLOOKUP($B1012,dongia1,DG!$B$5,)</f>
        <v>0</v>
      </c>
      <c r="E1012" s="1076" t="str">
        <f>VLOOKUP($B1012,dongia1,DG!$C$5,)</f>
        <v>Biến dòng 600V - 400/5A</v>
      </c>
      <c r="F1012" s="1075" t="str">
        <f>VLOOKUP($B1012,dongia1,DG!$D$5,)</f>
        <v>cái</v>
      </c>
      <c r="G1012" s="1403">
        <f>G1004</f>
        <v>0</v>
      </c>
      <c r="H1012" s="1062">
        <f>VLOOKUP($B1012,dongia1,DG!$E$5,)*0</f>
        <v>0</v>
      </c>
      <c r="I1012" s="1062"/>
      <c r="J1012" s="1062">
        <f>VLOOKUP($B1012,dongia1,DG!$G$5,)*0</f>
        <v>0</v>
      </c>
      <c r="K1012" s="1062">
        <f>VLOOKUP($B1012,dongia1,DG!$H$5,)</f>
        <v>0</v>
      </c>
      <c r="L1012" s="1174">
        <f t="shared" si="196"/>
        <v>0</v>
      </c>
      <c r="M1012" s="1337">
        <f t="shared" si="197"/>
        <v>0</v>
      </c>
      <c r="N1012" s="1337">
        <f t="shared" si="198"/>
        <v>0</v>
      </c>
      <c r="O1012" s="1338">
        <f t="shared" si="199"/>
        <v>0</v>
      </c>
      <c r="P1012" s="1404" t="s">
        <v>3471</v>
      </c>
    </row>
    <row r="1013" spans="1:18" s="1081" customFormat="1" hidden="1" outlineLevel="1">
      <c r="A1013" s="1154" t="str">
        <f t="shared" si="195"/>
        <v/>
      </c>
      <c r="B1013" s="1067" t="s">
        <v>307</v>
      </c>
      <c r="C1013" s="1168">
        <f t="shared" si="200"/>
        <v>0</v>
      </c>
      <c r="D1013" s="1075">
        <f>VLOOKUP($B1013,dongia1,DG!$B$5,)</f>
        <v>0</v>
      </c>
      <c r="E1013" s="1076" t="str">
        <f>VLOOKUP($B1013,dongia1,DG!$C$5,)</f>
        <v>Điện kế 3 pha 4 dây 220/380V-5A</v>
      </c>
      <c r="F1013" s="1075" t="str">
        <f>VLOOKUP($B1013,dongia1,DG!$D$5,)</f>
        <v>cái</v>
      </c>
      <c r="G1013" s="1403">
        <f>G1007/3</f>
        <v>0</v>
      </c>
      <c r="H1013" s="1062">
        <f>VLOOKUP($B1013,dongia1,DG!$E$5,)*0</f>
        <v>0</v>
      </c>
      <c r="I1013" s="1062"/>
      <c r="J1013" s="1062">
        <f>VLOOKUP($B1013,dongia1,DG!$G$5,)*0</f>
        <v>0</v>
      </c>
      <c r="K1013" s="1062">
        <f>VLOOKUP($B1013,dongia1,DG!$H$5,)</f>
        <v>0</v>
      </c>
      <c r="L1013" s="1174">
        <f t="shared" si="196"/>
        <v>0</v>
      </c>
      <c r="M1013" s="1337">
        <f t="shared" si="197"/>
        <v>0</v>
      </c>
      <c r="N1013" s="1337">
        <f t="shared" si="198"/>
        <v>0</v>
      </c>
      <c r="O1013" s="1338">
        <f t="shared" si="199"/>
        <v>0</v>
      </c>
      <c r="P1013" s="1404" t="s">
        <v>3471</v>
      </c>
    </row>
    <row r="1014" spans="1:18" s="1081" customFormat="1" hidden="1" outlineLevel="1">
      <c r="A1014" s="1154" t="str">
        <f>A1004</f>
        <v/>
      </c>
      <c r="B1014" s="1073"/>
      <c r="C1014" s="1341"/>
      <c r="D1014" s="1342"/>
      <c r="E1014" s="1343"/>
      <c r="F1014" s="1344"/>
      <c r="G1014" s="1408"/>
      <c r="H1014" s="1344"/>
      <c r="I1014" s="1344"/>
      <c r="J1014" s="1183" t="s">
        <v>3387</v>
      </c>
      <c r="K1014" s="1344"/>
      <c r="L1014" s="1345">
        <f>SUM(L1004:L1013)</f>
        <v>0</v>
      </c>
      <c r="M1014" s="1345"/>
      <c r="N1014" s="1345">
        <f>SUM(N1004:N1013)</f>
        <v>0</v>
      </c>
      <c r="O1014" s="1345">
        <f>SUM(O1004:O1013)</f>
        <v>0</v>
      </c>
      <c r="P1014" s="1409"/>
    </row>
    <row r="1015" spans="1:18" s="1081" customFormat="1" hidden="1" outlineLevel="1">
      <c r="A1015" s="1154" t="str">
        <f>A1014</f>
        <v/>
      </c>
      <c r="B1015" s="1073"/>
      <c r="C1015" s="1346"/>
      <c r="D1015" s="1347"/>
      <c r="E1015" s="1348" t="s">
        <v>3376</v>
      </c>
      <c r="F1015" s="1348"/>
      <c r="G1015" s="1410"/>
      <c r="H1015" s="1348"/>
      <c r="I1015" s="1348"/>
      <c r="J1015" s="1348"/>
      <c r="K1015" s="1348"/>
      <c r="L1015" s="1348"/>
      <c r="M1015" s="1348"/>
      <c r="N1015" s="1348"/>
      <c r="O1015" s="1347"/>
      <c r="P1015" s="1411"/>
    </row>
    <row r="1016" spans="1:18" s="1081" customFormat="1" hidden="1" outlineLevel="1">
      <c r="A1016" s="1154" t="str">
        <f>A1015</f>
        <v/>
      </c>
      <c r="B1016" s="1073"/>
      <c r="C1016" s="1187">
        <f>IF(G1016&gt;0,1,0)</f>
        <v>0</v>
      </c>
      <c r="D1016" s="1349"/>
      <c r="E1016" s="1350" t="s">
        <v>3426</v>
      </c>
      <c r="F1016" s="1187" t="s">
        <v>2113</v>
      </c>
      <c r="G1016" s="1412">
        <f>G1004/3</f>
        <v>0</v>
      </c>
      <c r="H1016" s="1352"/>
      <c r="I1016" s="1352"/>
      <c r="J1016" s="1352"/>
      <c r="K1016" s="1352"/>
      <c r="L1016" s="1352"/>
      <c r="M1016" s="1352"/>
      <c r="N1016" s="1352"/>
      <c r="O1016" s="1187"/>
      <c r="P1016" s="1395" t="s">
        <v>4575</v>
      </c>
    </row>
    <row r="1017" spans="1:18" s="1081" customFormat="1" ht="14.4" hidden="1" outlineLevel="1">
      <c r="A1017" s="1154" t="str">
        <f>A1016</f>
        <v/>
      </c>
      <c r="B1017" s="1073"/>
      <c r="C1017" s="1191"/>
      <c r="D1017" s="1353"/>
      <c r="E1017" s="1354" t="s">
        <v>3399</v>
      </c>
      <c r="F1017" s="1168"/>
      <c r="G1017" s="1403"/>
      <c r="H1017" s="1356"/>
      <c r="I1017" s="1356"/>
      <c r="J1017" s="1356"/>
      <c r="K1017" s="1356"/>
      <c r="L1017" s="1356"/>
      <c r="M1017" s="1356"/>
      <c r="N1017" s="1356"/>
      <c r="O1017" s="1357"/>
      <c r="P1017" s="1413"/>
    </row>
    <row r="1018" spans="1:18" s="1081" customFormat="1" hidden="1" outlineLevel="1">
      <c r="A1018" s="1154" t="str">
        <f>IF(G1018&lt;&gt;0,1,"")</f>
        <v/>
      </c>
      <c r="B1018" s="1067" t="s">
        <v>4596</v>
      </c>
      <c r="C1018" s="1191"/>
      <c r="D1018" s="1075" t="str">
        <f>VLOOKUP($B1018,dongia1,DG!$B$5,)</f>
        <v>05.6101</v>
      </c>
      <c r="E1018" s="1076" t="str">
        <f>VLOOKUP($B1018,dongia1,DG!$C$5,)</f>
        <v>Gía chùm treo máy biến áp 3x100</v>
      </c>
      <c r="F1018" s="1075" t="str">
        <f>VLOOKUP($B1018,dongia1,DG!$D$5,)</f>
        <v>bô</v>
      </c>
      <c r="G1018" s="1396">
        <f>G1016*0</f>
        <v>0</v>
      </c>
      <c r="H1018" s="1062">
        <f>VLOOKUP($B1018,dongia1,DG!$F$5,)</f>
        <v>1470000</v>
      </c>
      <c r="I1018" s="1083"/>
      <c r="J1018" s="1062">
        <f>VLOOKUP($B1018,dongia1,DG!$G$5,)</f>
        <v>26506</v>
      </c>
      <c r="K1018" s="1062">
        <f>VLOOKUP($B1018,dongia1,DG!$H$5,)</f>
        <v>0</v>
      </c>
      <c r="L1018" s="1337">
        <f t="shared" ref="L1018:L1039" si="201">H1018*G1018</f>
        <v>0</v>
      </c>
      <c r="M1018" s="1337">
        <f t="shared" ref="M1018:M1039" si="202">I1018*G1018</f>
        <v>0</v>
      </c>
      <c r="N1018" s="1337">
        <f t="shared" ref="N1018:N1039" si="203">J1018*G1018</f>
        <v>0</v>
      </c>
      <c r="O1018" s="1338">
        <f t="shared" ref="O1018:O1039" si="204">K1018*G1018</f>
        <v>0</v>
      </c>
      <c r="P1018" s="1413"/>
    </row>
    <row r="1019" spans="1:18" s="1081" customFormat="1" hidden="1" outlineLevel="1">
      <c r="A1019" s="1154" t="str">
        <f>IF(G1019&lt;&gt;0,1,"")</f>
        <v/>
      </c>
      <c r="B1019" s="1073" t="s">
        <v>1044</v>
      </c>
      <c r="C1019" s="1191"/>
      <c r="D1019" s="1075">
        <f>VLOOKUP($B1019,dongia1,DG!$B$5,)</f>
        <v>0</v>
      </c>
      <c r="E1019" s="1076" t="str">
        <f>VLOOKUP($B1019,dongia1,DG!$C$5,)</f>
        <v>Boulon 16x50+ 2 long đền vuông D18-50x50x3/Zn</v>
      </c>
      <c r="F1019" s="1075" t="str">
        <f>VLOOKUP($B1019,dongia1,DG!$D$5,)</f>
        <v>bộ</v>
      </c>
      <c r="G1019" s="1396">
        <f>6*G1016*0</f>
        <v>0</v>
      </c>
      <c r="H1019" s="1062">
        <f>VLOOKUP($B1019,dongia1,DG!$F$5,)</f>
        <v>12400</v>
      </c>
      <c r="I1019" s="1083"/>
      <c r="J1019" s="1062">
        <f>VLOOKUP($B1019,dongia1,DG!$G$5,)</f>
        <v>0</v>
      </c>
      <c r="K1019" s="1062">
        <f>VLOOKUP($B1019,dongia1,DG!$H$5,)</f>
        <v>0</v>
      </c>
      <c r="L1019" s="1337">
        <f t="shared" si="201"/>
        <v>0</v>
      </c>
      <c r="M1019" s="1337">
        <f t="shared" si="202"/>
        <v>0</v>
      </c>
      <c r="N1019" s="1337">
        <f t="shared" si="203"/>
        <v>0</v>
      </c>
      <c r="O1019" s="1338">
        <f t="shared" si="204"/>
        <v>0</v>
      </c>
      <c r="P1019" s="1413"/>
    </row>
    <row r="1020" spans="1:18" s="1081" customFormat="1" hidden="1" outlineLevel="1">
      <c r="A1020" s="1154" t="str">
        <f>IF(G1020&lt;&gt;0,1,"")</f>
        <v/>
      </c>
      <c r="B1020" s="1073" t="s">
        <v>1262</v>
      </c>
      <c r="C1020" s="1191"/>
      <c r="D1020" s="1075">
        <f>VLOOKUP($B1020,dongia1,DG!$B$5,)</f>
        <v>0</v>
      </c>
      <c r="E1020" s="1076" t="str">
        <f>VLOOKUP($B1020,dongia1,DG!$C$5,)</f>
        <v>Boulon 16x300+ 2 long đền vuông D18-50x50x3/Zn</v>
      </c>
      <c r="F1020" s="1075" t="str">
        <f>VLOOKUP($B1020,dongia1,DG!$D$5,)</f>
        <v>bộ</v>
      </c>
      <c r="G1020" s="1396">
        <f>2*G1016*0</f>
        <v>0</v>
      </c>
      <c r="H1020" s="1062">
        <f>VLOOKUP($B1020,dongia1,DG!$F$5,)</f>
        <v>25400</v>
      </c>
      <c r="I1020" s="1083"/>
      <c r="J1020" s="1062">
        <f>VLOOKUP($B1020,dongia1,DG!$G$5,)</f>
        <v>0</v>
      </c>
      <c r="K1020" s="1062">
        <f>VLOOKUP($B1020,dongia1,DG!$H$5,)</f>
        <v>0</v>
      </c>
      <c r="L1020" s="1337">
        <f t="shared" si="201"/>
        <v>0</v>
      </c>
      <c r="M1020" s="1337">
        <f t="shared" si="202"/>
        <v>0</v>
      </c>
      <c r="N1020" s="1337">
        <f t="shared" si="203"/>
        <v>0</v>
      </c>
      <c r="O1020" s="1338">
        <f t="shared" si="204"/>
        <v>0</v>
      </c>
      <c r="P1020" s="1413"/>
    </row>
    <row r="1021" spans="1:18" s="1081" customFormat="1" hidden="1" outlineLevel="1">
      <c r="A1021" s="1154">
        <f>IF(G1021&lt;&gt;0,1,)</f>
        <v>0</v>
      </c>
      <c r="B1021" s="1073"/>
      <c r="C1021" s="1191">
        <f>IF(G1021&gt;0,C1016+1,C1016)</f>
        <v>0</v>
      </c>
      <c r="D1021" s="1192"/>
      <c r="E1021" s="1193" t="s">
        <v>3422</v>
      </c>
      <c r="F1021" s="1064" t="s">
        <v>2113</v>
      </c>
      <c r="G1021" s="1064"/>
      <c r="H1021" s="1083"/>
      <c r="I1021" s="1083"/>
      <c r="J1021" s="1083"/>
      <c r="K1021" s="1083"/>
      <c r="L1021" s="1174">
        <f t="shared" si="201"/>
        <v>0</v>
      </c>
      <c r="M1021" s="1174">
        <f t="shared" si="202"/>
        <v>0</v>
      </c>
      <c r="N1021" s="1174">
        <f t="shared" si="203"/>
        <v>0</v>
      </c>
      <c r="O1021" s="1083">
        <f t="shared" si="204"/>
        <v>0</v>
      </c>
      <c r="P1021" s="1074"/>
    </row>
    <row r="1022" spans="1:18" s="1081" customFormat="1" ht="14.4" hidden="1" outlineLevel="1">
      <c r="A1022" s="1154">
        <f>A1021</f>
        <v>0</v>
      </c>
      <c r="B1022" s="1073"/>
      <c r="C1022" s="1064"/>
      <c r="D1022" s="1192"/>
      <c r="E1022" s="1194" t="s">
        <v>3399</v>
      </c>
      <c r="F1022" s="1074"/>
      <c r="G1022" s="1074"/>
      <c r="H1022" s="1083"/>
      <c r="I1022" s="1083"/>
      <c r="J1022" s="1083"/>
      <c r="K1022" s="1083"/>
      <c r="L1022" s="1174">
        <f t="shared" si="201"/>
        <v>0</v>
      </c>
      <c r="M1022" s="1174">
        <f t="shared" si="202"/>
        <v>0</v>
      </c>
      <c r="N1022" s="1174">
        <f t="shared" si="203"/>
        <v>0</v>
      </c>
      <c r="O1022" s="1083">
        <f t="shared" si="204"/>
        <v>0</v>
      </c>
      <c r="P1022" s="1074"/>
      <c r="R1022" s="1195"/>
    </row>
    <row r="1023" spans="1:18" s="1081" customFormat="1" hidden="1" outlineLevel="1">
      <c r="A1023" s="1154">
        <f>IF(G1023&lt;&gt;0,1,)</f>
        <v>0</v>
      </c>
      <c r="B1023" s="1067" t="s">
        <v>1012</v>
      </c>
      <c r="C1023" s="1074"/>
      <c r="D1023" s="1075">
        <f>VLOOKUP($B1023,dongia1,DG!$B$5,)</f>
        <v>0</v>
      </c>
      <c r="E1023" s="1076" t="str">
        <f>VLOOKUP($B1023,dongia1,DG!$C$5,)</f>
        <v>Trụ BTLT 12m F350 dự ứng lực</v>
      </c>
      <c r="F1023" s="1075" t="str">
        <f>VLOOKUP($B1023,dongia1,DG!$D$5,)</f>
        <v>trụ</v>
      </c>
      <c r="G1023" s="1074">
        <f>1*G1021</f>
        <v>0</v>
      </c>
      <c r="H1023" s="1062">
        <f>VLOOKUP($B1023,dongia1,DG!$F$5,)</f>
        <v>4400000</v>
      </c>
      <c r="I1023" s="1062"/>
      <c r="J1023" s="1062">
        <f>VLOOKUP($B1023,dongia1,DG!$G$5,)</f>
        <v>0</v>
      </c>
      <c r="K1023" s="1062">
        <f>VLOOKUP($B1023,dongia1,DG!$H$5,)</f>
        <v>0</v>
      </c>
      <c r="L1023" s="1174">
        <f t="shared" si="201"/>
        <v>0</v>
      </c>
      <c r="M1023" s="1174">
        <f t="shared" si="202"/>
        <v>0</v>
      </c>
      <c r="N1023" s="1174">
        <f t="shared" si="203"/>
        <v>0</v>
      </c>
      <c r="O1023" s="1083">
        <f t="shared" si="204"/>
        <v>0</v>
      </c>
      <c r="P1023" s="1074"/>
      <c r="R1023" s="1195"/>
    </row>
    <row r="1024" spans="1:18" s="1081" customFormat="1" hidden="1" outlineLevel="1">
      <c r="A1024" s="1154">
        <f>IF(G1024&lt;&gt;0,1,)</f>
        <v>0</v>
      </c>
      <c r="B1024" s="1067" t="s">
        <v>1457</v>
      </c>
      <c r="C1024" s="1074"/>
      <c r="D1024" s="1196"/>
      <c r="E1024" s="1076" t="str">
        <f>VLOOKUP($B1024,dongia1,DG!$C$5,)</f>
        <v>Vật liệu dựng trụ</v>
      </c>
      <c r="F1024" s="1075" t="str">
        <f>VLOOKUP($B1024,dongia1,DG!$D$5,)</f>
        <v>trụ</v>
      </c>
      <c r="G1024" s="1074">
        <f>G1023</f>
        <v>0</v>
      </c>
      <c r="H1024" s="1062">
        <f>VLOOKUP($B1024,dongia1,DG!$F$5,)</f>
        <v>17400</v>
      </c>
      <c r="I1024" s="1062"/>
      <c r="J1024" s="1062">
        <f>VLOOKUP($B1024,dongia1,DG!$G$5,)</f>
        <v>0</v>
      </c>
      <c r="K1024" s="1062">
        <f>VLOOKUP($B1024,dongia1,DG!$H$5,)</f>
        <v>0</v>
      </c>
      <c r="L1024" s="1174">
        <f t="shared" si="201"/>
        <v>0</v>
      </c>
      <c r="M1024" s="1174">
        <f t="shared" si="202"/>
        <v>0</v>
      </c>
      <c r="N1024" s="1174">
        <f t="shared" si="203"/>
        <v>0</v>
      </c>
      <c r="O1024" s="1083">
        <f t="shared" si="204"/>
        <v>0</v>
      </c>
      <c r="P1024" s="1074"/>
      <c r="R1024" s="1195"/>
    </row>
    <row r="1025" spans="1:18" s="1081" customFormat="1" hidden="1" outlineLevel="1">
      <c r="A1025" s="1154">
        <f>IF(G1025&lt;&gt;0,1,)</f>
        <v>0</v>
      </c>
      <c r="B1025" s="1067" t="s">
        <v>1993</v>
      </c>
      <c r="C1025" s="1074"/>
      <c r="D1025" s="1196"/>
      <c r="E1025" s="1076" t="str">
        <f>VLOOKUP($B1025,dongia1,DG!$C$5,)</f>
        <v>Dựng trụ BTLT 12m trong TBA bằng thủ công + cơ giới</v>
      </c>
      <c r="F1025" s="1075" t="str">
        <f>VLOOKUP($B1025,dongia1,DG!$D$5,)</f>
        <v>trụ</v>
      </c>
      <c r="G1025" s="1074">
        <f>G1023</f>
        <v>0</v>
      </c>
      <c r="H1025" s="1062">
        <f>VLOOKUP($B1025,dongia1,DG!$F$5,)</f>
        <v>0</v>
      </c>
      <c r="I1025" s="1062"/>
      <c r="J1025" s="1062">
        <f>VLOOKUP($B1025,dongia1,DG!$G$5,)</f>
        <v>112286</v>
      </c>
      <c r="K1025" s="1062">
        <f>VLOOKUP($B1025,dongia1,DG!$H$5,)</f>
        <v>105970</v>
      </c>
      <c r="L1025" s="1174">
        <f t="shared" si="201"/>
        <v>0</v>
      </c>
      <c r="M1025" s="1174">
        <f t="shared" si="202"/>
        <v>0</v>
      </c>
      <c r="N1025" s="1174">
        <f t="shared" si="203"/>
        <v>0</v>
      </c>
      <c r="O1025" s="1083">
        <f t="shared" si="204"/>
        <v>0</v>
      </c>
      <c r="P1025" s="1074"/>
      <c r="R1025" s="1195"/>
    </row>
    <row r="1026" spans="1:18" s="1081" customFormat="1" hidden="1" outlineLevel="1">
      <c r="A1026" s="1154">
        <f>IF(G1026&lt;&gt;0,1,)</f>
        <v>0</v>
      </c>
      <c r="B1026" s="1073"/>
      <c r="C1026" s="1191">
        <f>IF(G1026&gt;0,C1021+1,C1021)</f>
        <v>0</v>
      </c>
      <c r="D1026" s="1192"/>
      <c r="E1026" s="1193" t="s">
        <v>3390</v>
      </c>
      <c r="F1026" s="1064" t="s">
        <v>2113</v>
      </c>
      <c r="G1026" s="1064">
        <f>G1021</f>
        <v>0</v>
      </c>
      <c r="H1026" s="1083"/>
      <c r="I1026" s="1083"/>
      <c r="J1026" s="1083"/>
      <c r="K1026" s="1083"/>
      <c r="L1026" s="1174">
        <f t="shared" si="201"/>
        <v>0</v>
      </c>
      <c r="M1026" s="1174">
        <f t="shared" si="202"/>
        <v>0</v>
      </c>
      <c r="N1026" s="1174">
        <f t="shared" si="203"/>
        <v>0</v>
      </c>
      <c r="O1026" s="1083">
        <f t="shared" si="204"/>
        <v>0</v>
      </c>
      <c r="P1026" s="1074"/>
    </row>
    <row r="1027" spans="1:18" s="1081" customFormat="1" ht="14.4" hidden="1" outlineLevel="1">
      <c r="A1027" s="1154">
        <f>A1026</f>
        <v>0</v>
      </c>
      <c r="B1027" s="1073"/>
      <c r="C1027" s="1064"/>
      <c r="D1027" s="1192"/>
      <c r="E1027" s="1194" t="s">
        <v>3399</v>
      </c>
      <c r="F1027" s="1074"/>
      <c r="G1027" s="1074"/>
      <c r="H1027" s="1083"/>
      <c r="I1027" s="1083"/>
      <c r="J1027" s="1083"/>
      <c r="K1027" s="1083"/>
      <c r="L1027" s="1174">
        <f t="shared" si="201"/>
        <v>0</v>
      </c>
      <c r="M1027" s="1174">
        <f t="shared" si="202"/>
        <v>0</v>
      </c>
      <c r="N1027" s="1174">
        <f t="shared" si="203"/>
        <v>0</v>
      </c>
      <c r="O1027" s="1083">
        <f t="shared" si="204"/>
        <v>0</v>
      </c>
      <c r="P1027" s="1074"/>
      <c r="R1027" s="1195"/>
    </row>
    <row r="1028" spans="1:18" s="1081" customFormat="1" hidden="1" outlineLevel="1">
      <c r="A1028" s="1154">
        <f>IF(G1028&lt;&gt;0,1,)</f>
        <v>0</v>
      </c>
      <c r="B1028" s="1067" t="s">
        <v>580</v>
      </c>
      <c r="C1028" s="1074"/>
      <c r="D1028" s="1075" t="str">
        <f>VLOOKUP($B1028,dongia1,DG!$B$5,)</f>
        <v>AG.42111</v>
      </c>
      <c r="E1028" s="1076" t="str">
        <f>VLOOKUP($B1028,dongia1,DG!$C$5,)</f>
        <v>Đà cản BTCT 1,2m</v>
      </c>
      <c r="F1028" s="1075" t="str">
        <f>VLOOKUP($B1028,dongia1,DG!$D$5,)</f>
        <v>cái</v>
      </c>
      <c r="G1028" s="1074">
        <f>1*G1026</f>
        <v>0</v>
      </c>
      <c r="H1028" s="1062">
        <f>VLOOKUP($B1028,dongia1,DG!$F$5,)</f>
        <v>354545</v>
      </c>
      <c r="I1028" s="1062"/>
      <c r="J1028" s="1062">
        <f>VLOOKUP($B1028,dongia1,DG!$G$5,)</f>
        <v>37220.25</v>
      </c>
      <c r="K1028" s="1062">
        <f>VLOOKUP($B1028,dongia1,DG!$H$5,)</f>
        <v>0</v>
      </c>
      <c r="L1028" s="1174">
        <f t="shared" si="201"/>
        <v>0</v>
      </c>
      <c r="M1028" s="1174">
        <f t="shared" si="202"/>
        <v>0</v>
      </c>
      <c r="N1028" s="1174">
        <f t="shared" si="203"/>
        <v>0</v>
      </c>
      <c r="O1028" s="1083">
        <f t="shared" si="204"/>
        <v>0</v>
      </c>
      <c r="P1028" s="1074"/>
      <c r="R1028" s="1195"/>
    </row>
    <row r="1029" spans="1:18" s="1081" customFormat="1" hidden="1" outlineLevel="1">
      <c r="A1029" s="1154">
        <f>IF(G1029&lt;&gt;0,1,)</f>
        <v>0</v>
      </c>
      <c r="B1029" s="1067" t="s">
        <v>952</v>
      </c>
      <c r="C1029" s="1074"/>
      <c r="D1029" s="1075">
        <f>VLOOKUP($B1029,dongia1,DG!$B$5,)</f>
        <v>0</v>
      </c>
      <c r="E1029" s="1076" t="str">
        <f>VLOOKUP($B1029,dongia1,DG!$C$5,)</f>
        <v>Boulon 22x650+ 2 long đền vuông D24-60x60x3/Zn</v>
      </c>
      <c r="F1029" s="1075" t="str">
        <f>VLOOKUP($B1029,dongia1,DG!$D$5,)</f>
        <v>bộ</v>
      </c>
      <c r="G1029" s="1074">
        <f>G1026</f>
        <v>0</v>
      </c>
      <c r="H1029" s="1062">
        <f>VLOOKUP($B1029,dongia1,DG!$F$5,)</f>
        <v>92200</v>
      </c>
      <c r="I1029" s="1062"/>
      <c r="J1029" s="1062">
        <f>VLOOKUP($B1029,dongia1,DG!$G$5,)</f>
        <v>0</v>
      </c>
      <c r="K1029" s="1062">
        <f>VLOOKUP($B1029,dongia1,DG!$H$5,)</f>
        <v>0</v>
      </c>
      <c r="L1029" s="1174">
        <f t="shared" si="201"/>
        <v>0</v>
      </c>
      <c r="M1029" s="1174">
        <f t="shared" si="202"/>
        <v>0</v>
      </c>
      <c r="N1029" s="1174">
        <f t="shared" si="203"/>
        <v>0</v>
      </c>
      <c r="O1029" s="1083">
        <f t="shared" si="204"/>
        <v>0</v>
      </c>
      <c r="P1029" s="1074"/>
      <c r="R1029" s="1195"/>
    </row>
    <row r="1030" spans="1:18" s="1081" customFormat="1" hidden="1" outlineLevel="1">
      <c r="A1030" s="1154">
        <f>IF(G1030&lt;&gt;0,1,)</f>
        <v>0</v>
      </c>
      <c r="B1030" s="1067" t="str">
        <f>IF(capdat=1,"MDD1",IF(capdat=2,"MDD2",IF(capdat=3,"MDD3",IF(capdat=4,"MDD4"))))</f>
        <v>MDD3</v>
      </c>
      <c r="C1030" s="1074"/>
      <c r="D1030" s="1075" t="str">
        <f>VLOOKUP($B1030,dongia1,DG!$B$5,)</f>
        <v>03.1013</v>
      </c>
      <c r="E1030" s="1076" t="str">
        <f>VLOOKUP($B1030,dongia1,DG!$C$5,)</f>
        <v>Đào hố móng đất cấp 3 sâu &gt;1m DT&lt;5m2</v>
      </c>
      <c r="F1030" s="1075" t="str">
        <f>VLOOKUP($B1030,dongia1,DG!$D$5,)</f>
        <v>m3</v>
      </c>
      <c r="G1030" s="1197">
        <f>G1026*0.87</f>
        <v>0</v>
      </c>
      <c r="H1030" s="1062">
        <f>VLOOKUP($B1030,dongia1,DG!$F$5,)</f>
        <v>0</v>
      </c>
      <c r="I1030" s="1062"/>
      <c r="J1030" s="1062">
        <f>VLOOKUP($B1030,dongia1,DG!$G$5,)</f>
        <v>296500.89999999997</v>
      </c>
      <c r="K1030" s="1062">
        <f>VLOOKUP($B1030,dongia1,DG!$H$5,)</f>
        <v>0</v>
      </c>
      <c r="L1030" s="1174">
        <f t="shared" si="201"/>
        <v>0</v>
      </c>
      <c r="M1030" s="1174">
        <f t="shared" si="202"/>
        <v>0</v>
      </c>
      <c r="N1030" s="1174">
        <f t="shared" si="203"/>
        <v>0</v>
      </c>
      <c r="O1030" s="1083">
        <f t="shared" si="204"/>
        <v>0</v>
      </c>
      <c r="P1030" s="1074"/>
      <c r="R1030" s="1195"/>
    </row>
    <row r="1031" spans="1:18" s="1081" customFormat="1" hidden="1" outlineLevel="1">
      <c r="A1031" s="1154">
        <f>IF(G1031&lt;&gt;0,1,)</f>
        <v>0</v>
      </c>
      <c r="B1031" s="1067" t="str">
        <f>IF(capdat=1,"MDAP1",IF(capdat=2,"MDAP2",IF(capdat=3,"MDAP3",IF(capdat=4,"MDAP4"))))</f>
        <v>MDAP3</v>
      </c>
      <c r="C1031" s="1074"/>
      <c r="D1031" s="1075" t="str">
        <f>VLOOKUP($B1031,dongia1,DG!$B$5,)</f>
        <v>AB.13111</v>
      </c>
      <c r="E1031" s="1076" t="str">
        <f>VLOOKUP($B1031,dongia1,DG!$C$5,)</f>
        <v>Đắp đất hố móng, đất cấp 3 (độ chặt k = 0.85)</v>
      </c>
      <c r="F1031" s="1075" t="str">
        <f>VLOOKUP($B1031,dongia1,DG!$D$5,)</f>
        <v>m3</v>
      </c>
      <c r="G1031" s="1197">
        <f>G1026*0.79</f>
        <v>0</v>
      </c>
      <c r="H1031" s="1062">
        <f>VLOOKUP($B1031,dongia1,DG!$F$5,)</f>
        <v>0</v>
      </c>
      <c r="I1031" s="1062"/>
      <c r="J1031" s="1062">
        <f>VLOOKUP($B1031,dongia1,DG!$G$5,)</f>
        <v>117703.6</v>
      </c>
      <c r="K1031" s="1062">
        <f>VLOOKUP($B1031,dongia1,DG!$H$5,)</f>
        <v>0</v>
      </c>
      <c r="L1031" s="1174">
        <f t="shared" si="201"/>
        <v>0</v>
      </c>
      <c r="M1031" s="1174">
        <f t="shared" si="202"/>
        <v>0</v>
      </c>
      <c r="N1031" s="1174">
        <f t="shared" si="203"/>
        <v>0</v>
      </c>
      <c r="O1031" s="1083">
        <f t="shared" si="204"/>
        <v>0</v>
      </c>
      <c r="P1031" s="1074"/>
      <c r="R1031" s="1195"/>
    </row>
    <row r="1032" spans="1:18" s="1081" customFormat="1" hidden="1" outlineLevel="1">
      <c r="A1032" s="1154">
        <f>IF(G1032&lt;&gt;0,1,0)</f>
        <v>0</v>
      </c>
      <c r="B1032" s="1067" t="s">
        <v>2110</v>
      </c>
      <c r="C1032" s="1064">
        <f>IF(G1032&gt;0,C1026+1,C1026)</f>
        <v>0</v>
      </c>
      <c r="D1032" s="1252"/>
      <c r="E1032" s="1221" t="s">
        <v>3427</v>
      </c>
      <c r="F1032" s="1064" t="s">
        <v>2113</v>
      </c>
      <c r="G1032" s="1254">
        <f>G1004/3</f>
        <v>0</v>
      </c>
      <c r="H1032" s="1083"/>
      <c r="I1032" s="1083"/>
      <c r="J1032" s="1083"/>
      <c r="K1032" s="1083"/>
      <c r="L1032" s="1174">
        <f t="shared" si="201"/>
        <v>0</v>
      </c>
      <c r="M1032" s="1174">
        <f t="shared" si="202"/>
        <v>0</v>
      </c>
      <c r="N1032" s="1174">
        <f t="shared" si="203"/>
        <v>0</v>
      </c>
      <c r="O1032" s="1083">
        <f t="shared" si="204"/>
        <v>0</v>
      </c>
      <c r="P1032" s="1414" t="s">
        <v>4578</v>
      </c>
    </row>
    <row r="1033" spans="1:18" s="1081" customFormat="1" ht="14.4" hidden="1" outlineLevel="1">
      <c r="A1033" s="1154">
        <f>A1032</f>
        <v>0</v>
      </c>
      <c r="B1033" s="1073"/>
      <c r="C1033" s="1064"/>
      <c r="D1033" s="1252"/>
      <c r="E1033" s="1222" t="s">
        <v>3399</v>
      </c>
      <c r="F1033" s="1074"/>
      <c r="G1033" s="1358"/>
      <c r="H1033" s="1083"/>
      <c r="I1033" s="1083"/>
      <c r="J1033" s="1083"/>
      <c r="K1033" s="1083"/>
      <c r="L1033" s="1174">
        <f t="shared" si="201"/>
        <v>0</v>
      </c>
      <c r="M1033" s="1174">
        <f t="shared" si="202"/>
        <v>0</v>
      </c>
      <c r="N1033" s="1174">
        <f t="shared" si="203"/>
        <v>0</v>
      </c>
      <c r="O1033" s="1083">
        <f t="shared" si="204"/>
        <v>0</v>
      </c>
      <c r="P1033" s="1413"/>
    </row>
    <row r="1034" spans="1:18" s="1081" customFormat="1" hidden="1" outlineLevel="1">
      <c r="A1034" s="1154">
        <f t="shared" ref="A1034:A1039" si="205">IF(G1034&lt;&gt;0,1,0)</f>
        <v>0</v>
      </c>
      <c r="B1034" s="1067" t="s">
        <v>2115</v>
      </c>
      <c r="C1034" s="1064"/>
      <c r="D1034" s="1075">
        <f>VLOOKUP($B1034,dongia1,DG!$B$5,)</f>
        <v>0</v>
      </c>
      <c r="E1034" s="1076" t="str">
        <f>VLOOKUP($B1034,dongia1,DG!$C$5,)</f>
        <v>Đà Composite 110x80x5x2400</v>
      </c>
      <c r="F1034" s="1075" t="str">
        <f>VLOOKUP($B1034,dongia1,DG!$D$5,)</f>
        <v>cây</v>
      </c>
      <c r="G1034" s="1197">
        <f>+G1032*0</f>
        <v>0</v>
      </c>
      <c r="H1034" s="1062">
        <f>VLOOKUP($B1034,dongia1,DG!$F$5,)</f>
        <v>960000</v>
      </c>
      <c r="I1034" s="1083"/>
      <c r="J1034" s="1062">
        <f>VLOOKUP($B1034,dongia1,DG!$G$5,)</f>
        <v>0</v>
      </c>
      <c r="K1034" s="1062">
        <f>VLOOKUP($B1034,dongia1,DG!$H$5,)</f>
        <v>0</v>
      </c>
      <c r="L1034" s="1174">
        <f t="shared" si="201"/>
        <v>0</v>
      </c>
      <c r="M1034" s="1174">
        <f t="shared" si="202"/>
        <v>0</v>
      </c>
      <c r="N1034" s="1174">
        <f t="shared" si="203"/>
        <v>0</v>
      </c>
      <c r="O1034" s="1083">
        <f t="shared" si="204"/>
        <v>0</v>
      </c>
      <c r="P1034" s="1080"/>
    </row>
    <row r="1035" spans="1:18" s="1081" customFormat="1" hidden="1" outlineLevel="1">
      <c r="A1035" s="1154">
        <f t="shared" si="205"/>
        <v>0</v>
      </c>
      <c r="B1035" s="1067" t="s">
        <v>2106</v>
      </c>
      <c r="C1035" s="1064"/>
      <c r="D1035" s="1075">
        <f>VLOOKUP($B1035,dongia1,DG!$B$5,)</f>
        <v>0</v>
      </c>
      <c r="E1035" s="1076" t="str">
        <f>VLOOKUP($B1035,dongia1,DG!$C$5,)</f>
        <v>Chống Composite 40x10x920</v>
      </c>
      <c r="F1035" s="1075" t="str">
        <f>VLOOKUP($B1035,dongia1,DG!$D$5,)</f>
        <v>Thanh</v>
      </c>
      <c r="G1035" s="1197">
        <f>+G1034*2</f>
        <v>0</v>
      </c>
      <c r="H1035" s="1062">
        <f>VLOOKUP($B1035,dongia1,DG!$F$5,)</f>
        <v>140000</v>
      </c>
      <c r="I1035" s="1083"/>
      <c r="J1035" s="1062">
        <f>VLOOKUP($B1035,dongia1,DG!$G$5,)</f>
        <v>0</v>
      </c>
      <c r="K1035" s="1062">
        <f>VLOOKUP($B1035,dongia1,DG!$H$5,)</f>
        <v>0</v>
      </c>
      <c r="L1035" s="1174">
        <f t="shared" si="201"/>
        <v>0</v>
      </c>
      <c r="M1035" s="1174">
        <f t="shared" si="202"/>
        <v>0</v>
      </c>
      <c r="N1035" s="1174">
        <f t="shared" si="203"/>
        <v>0</v>
      </c>
      <c r="O1035" s="1083">
        <f t="shared" si="204"/>
        <v>0</v>
      </c>
      <c r="P1035" s="1080"/>
    </row>
    <row r="1036" spans="1:18" s="1081" customFormat="1" hidden="1" outlineLevel="1">
      <c r="A1036" s="1154">
        <f t="shared" si="205"/>
        <v>0</v>
      </c>
      <c r="B1036" s="1073" t="s">
        <v>428</v>
      </c>
      <c r="C1036" s="1064"/>
      <c r="D1036" s="1075">
        <f>VLOOKUP($B1036,dongia1,DG!$B$5,)</f>
        <v>0</v>
      </c>
      <c r="E1036" s="1076" t="str">
        <f>VLOOKUP($B1036,dongia1,DG!$C$5,)</f>
        <v>Bass LL bắt FCO và LA</v>
      </c>
      <c r="F1036" s="1075" t="str">
        <f>VLOOKUP($B1036,dongia1,DG!$D$5,)</f>
        <v>bộ</v>
      </c>
      <c r="G1036" s="1074">
        <f>G1032*1*0</f>
        <v>0</v>
      </c>
      <c r="H1036" s="1062">
        <f>VLOOKUP($B1036,dongia1,DG!$F$5,)</f>
        <v>65000</v>
      </c>
      <c r="I1036" s="1083"/>
      <c r="J1036" s="1062">
        <f>VLOOKUP($B1036,dongia1,DG!$G$5,)</f>
        <v>0</v>
      </c>
      <c r="K1036" s="1062">
        <f>VLOOKUP($B1036,dongia1,DG!$H$5,)</f>
        <v>0</v>
      </c>
      <c r="L1036" s="1174">
        <f t="shared" si="201"/>
        <v>0</v>
      </c>
      <c r="M1036" s="1174">
        <f t="shared" si="202"/>
        <v>0</v>
      </c>
      <c r="N1036" s="1174">
        <f t="shared" si="203"/>
        <v>0</v>
      </c>
      <c r="O1036" s="1083">
        <f t="shared" si="204"/>
        <v>0</v>
      </c>
      <c r="P1036" s="1413"/>
    </row>
    <row r="1037" spans="1:18" s="1081" customFormat="1" hidden="1" outlineLevel="1">
      <c r="A1037" s="1154">
        <f t="shared" si="205"/>
        <v>0</v>
      </c>
      <c r="B1037" s="1073" t="s">
        <v>746</v>
      </c>
      <c r="C1037" s="1064"/>
      <c r="D1037" s="1075">
        <f>VLOOKUP($B1037,dongia1,DG!$B$5,)</f>
        <v>0</v>
      </c>
      <c r="E1037" s="1076" t="str">
        <f>VLOOKUP($B1037,dongia1,DG!$C$5,)</f>
        <v>Boulon 16x150+ 2 long đền vuông D18-50x50x3/Zn</v>
      </c>
      <c r="F1037" s="1075" t="str">
        <f>VLOOKUP($B1037,dongia1,DG!$D$5,)</f>
        <v>bộ</v>
      </c>
      <c r="G1037" s="1074">
        <f>2*G1032*0</f>
        <v>0</v>
      </c>
      <c r="H1037" s="1062">
        <f>VLOOKUP($B1037,dongia1,DG!$F$5,)</f>
        <v>18900</v>
      </c>
      <c r="I1037" s="1083"/>
      <c r="J1037" s="1062">
        <f>VLOOKUP($B1037,dongia1,DG!$G$5,)</f>
        <v>0</v>
      </c>
      <c r="K1037" s="1062">
        <f>VLOOKUP($B1037,dongia1,DG!$H$5,)</f>
        <v>0</v>
      </c>
      <c r="L1037" s="1174">
        <f t="shared" si="201"/>
        <v>0</v>
      </c>
      <c r="M1037" s="1174">
        <f t="shared" si="202"/>
        <v>0</v>
      </c>
      <c r="N1037" s="1174">
        <f t="shared" si="203"/>
        <v>0</v>
      </c>
      <c r="O1037" s="1083">
        <f t="shared" si="204"/>
        <v>0</v>
      </c>
      <c r="P1037" s="1080"/>
    </row>
    <row r="1038" spans="1:18" s="1081" customFormat="1" hidden="1" outlineLevel="1">
      <c r="A1038" s="1154">
        <f t="shared" si="205"/>
        <v>0</v>
      </c>
      <c r="B1038" s="1073" t="s">
        <v>733</v>
      </c>
      <c r="C1038" s="1064"/>
      <c r="D1038" s="1075">
        <f>VLOOKUP($B1038,dongia1,DG!$B$5,)</f>
        <v>0</v>
      </c>
      <c r="E1038" s="1076" t="str">
        <f>VLOOKUP($B1038,dongia1,DG!$C$5,)</f>
        <v>Boulon 16x350+ 2 long đền vuông D18-50x50x3/Zn</v>
      </c>
      <c r="F1038" s="1075" t="str">
        <f>VLOOKUP($B1038,dongia1,DG!$D$5,)</f>
        <v>bộ</v>
      </c>
      <c r="G1038" s="1074">
        <f>1*G1032*0</f>
        <v>0</v>
      </c>
      <c r="H1038" s="1062">
        <f>VLOOKUP($B1038,dongia1,DG!$F$5,)</f>
        <v>27900</v>
      </c>
      <c r="I1038" s="1083"/>
      <c r="J1038" s="1062">
        <f>VLOOKUP($B1038,dongia1,DG!$G$5,)</f>
        <v>0</v>
      </c>
      <c r="K1038" s="1062">
        <f>VLOOKUP($B1038,dongia1,DG!$H$5,)</f>
        <v>0</v>
      </c>
      <c r="L1038" s="1174">
        <f t="shared" si="201"/>
        <v>0</v>
      </c>
      <c r="M1038" s="1174">
        <f t="shared" si="202"/>
        <v>0</v>
      </c>
      <c r="N1038" s="1174">
        <f t="shared" si="203"/>
        <v>0</v>
      </c>
      <c r="O1038" s="1083">
        <f t="shared" si="204"/>
        <v>0</v>
      </c>
      <c r="P1038" s="1080"/>
    </row>
    <row r="1039" spans="1:18" s="1081" customFormat="1" hidden="1" outlineLevel="1">
      <c r="A1039" s="1154">
        <f t="shared" si="205"/>
        <v>0</v>
      </c>
      <c r="B1039" s="1073" t="s">
        <v>1262</v>
      </c>
      <c r="C1039" s="1064"/>
      <c r="D1039" s="1075">
        <f>VLOOKUP($B1039,dongia1,DG!$B$5,)</f>
        <v>0</v>
      </c>
      <c r="E1039" s="1076" t="str">
        <f>VLOOKUP($B1039,dongia1,DG!$C$5,)</f>
        <v>Boulon 16x300+ 2 long đền vuông D18-50x50x3/Zn</v>
      </c>
      <c r="F1039" s="1075" t="str">
        <f>VLOOKUP($B1039,dongia1,DG!$D$5,)</f>
        <v>bộ</v>
      </c>
      <c r="G1039" s="1074">
        <f>1*G1032*0</f>
        <v>0</v>
      </c>
      <c r="H1039" s="1062">
        <f>VLOOKUP($B1039,dongia1,DG!$F$5,)</f>
        <v>25400</v>
      </c>
      <c r="I1039" s="1083"/>
      <c r="J1039" s="1062">
        <f>VLOOKUP($B1039,dongia1,DG!$G$5,)</f>
        <v>0</v>
      </c>
      <c r="K1039" s="1062">
        <f>VLOOKUP($B1039,dongia1,DG!$H$5,)</f>
        <v>0</v>
      </c>
      <c r="L1039" s="1174">
        <f t="shared" si="201"/>
        <v>0</v>
      </c>
      <c r="M1039" s="1174">
        <f t="shared" si="202"/>
        <v>0</v>
      </c>
      <c r="N1039" s="1174">
        <f t="shared" si="203"/>
        <v>0</v>
      </c>
      <c r="O1039" s="1083">
        <f t="shared" si="204"/>
        <v>0</v>
      </c>
      <c r="P1039" s="1080"/>
    </row>
    <row r="1040" spans="1:18" s="1081" customFormat="1" hidden="1" outlineLevel="1">
      <c r="A1040" s="1154">
        <f>IF(G1040&lt;&gt;0,1,0)</f>
        <v>0</v>
      </c>
      <c r="B1040" s="1073" t="s">
        <v>1189</v>
      </c>
      <c r="C1040" s="1064"/>
      <c r="D1040" s="1075" t="str">
        <f>VLOOKUP($B1040,dongia1,DG!$B$5,)</f>
        <v>D2.6031</v>
      </c>
      <c r="E1040" s="1076" t="str">
        <f>VLOOKUP($B1040,dongia1,DG!$C$5,)</f>
        <v>Lắp xà đỡ 50kg</v>
      </c>
      <c r="F1040" s="1075" t="str">
        <f>VLOOKUP($B1040,dongia1,DG!$D$5,)</f>
        <v>bộ</v>
      </c>
      <c r="G1040" s="1415">
        <f>G1032*0</f>
        <v>0</v>
      </c>
      <c r="H1040" s="1062">
        <f>VLOOKUP($B1040,dongia1,DG!$F$5,)</f>
        <v>0</v>
      </c>
      <c r="I1040" s="1083"/>
      <c r="J1040" s="1062" t="str">
        <f>VLOOKUP($B1040,dongia1,DG!$G$5,)&amp;" x "&amp;hslx</f>
        <v>296544,75 x 1,5</v>
      </c>
      <c r="K1040" s="1062">
        <f>VLOOKUP($B1040,dongia1,DG!$H$5,)</f>
        <v>0</v>
      </c>
      <c r="L1040" s="1174">
        <f t="shared" ref="L1040:L1052" si="206">H1040*G1040</f>
        <v>0</v>
      </c>
      <c r="M1040" s="1174">
        <f>I1040*G1040</f>
        <v>0</v>
      </c>
      <c r="N1040" s="1062">
        <f>VLOOKUP($B1040,dongia1,DG!$G$5,)*hslx*G1040</f>
        <v>0</v>
      </c>
      <c r="O1040" s="1083">
        <f t="shared" ref="O1040:O1054" si="207">K1040*G1040</f>
        <v>0</v>
      </c>
      <c r="P1040" s="1413"/>
    </row>
    <row r="1041" spans="1:16" s="1081" customFormat="1" hidden="1" outlineLevel="1">
      <c r="A1041" s="1154">
        <f>+IF(G1041&gt;0,1,0)</f>
        <v>0</v>
      </c>
      <c r="B1041" s="1073"/>
      <c r="C1041" s="1191">
        <f>IF(G1041&gt;0,C1032+1,C1032)</f>
        <v>0</v>
      </c>
      <c r="D1041" s="1353"/>
      <c r="E1041" s="1359" t="s">
        <v>3401</v>
      </c>
      <c r="F1041" s="1191" t="s">
        <v>2113</v>
      </c>
      <c r="G1041" s="1279">
        <f>+G1004/3</f>
        <v>0</v>
      </c>
      <c r="H1041" s="1083"/>
      <c r="I1041" s="1083"/>
      <c r="J1041" s="1083"/>
      <c r="K1041" s="1083"/>
      <c r="L1041" s="1337">
        <f t="shared" si="206"/>
        <v>0</v>
      </c>
      <c r="M1041" s="1337">
        <f>I1041*G1041</f>
        <v>0</v>
      </c>
      <c r="N1041" s="1337">
        <f t="shared" ref="N1041:N1052" si="208">J1041*G1041</f>
        <v>0</v>
      </c>
      <c r="O1041" s="1338">
        <f t="shared" si="207"/>
        <v>0</v>
      </c>
      <c r="P1041" s="1414" t="s">
        <v>4578</v>
      </c>
    </row>
    <row r="1042" spans="1:16" s="1081" customFormat="1" ht="14.4" hidden="1" outlineLevel="1">
      <c r="A1042" s="1154">
        <f>A1041</f>
        <v>0</v>
      </c>
      <c r="B1042" s="1073"/>
      <c r="C1042" s="1191"/>
      <c r="D1042" s="1353"/>
      <c r="E1042" s="1354" t="s">
        <v>3399</v>
      </c>
      <c r="F1042" s="1075"/>
      <c r="G1042" s="1403"/>
      <c r="H1042" s="1083"/>
      <c r="I1042" s="1083"/>
      <c r="J1042" s="1083"/>
      <c r="K1042" s="1083"/>
      <c r="L1042" s="1337">
        <f t="shared" si="206"/>
        <v>0</v>
      </c>
      <c r="M1042" s="1337">
        <f>I1042*G1042</f>
        <v>0</v>
      </c>
      <c r="N1042" s="1337">
        <f t="shared" si="208"/>
        <v>0</v>
      </c>
      <c r="O1042" s="1338">
        <f t="shared" si="207"/>
        <v>0</v>
      </c>
      <c r="P1042" s="1413"/>
    </row>
    <row r="1043" spans="1:16" s="1081" customFormat="1" hidden="1" outlineLevel="1">
      <c r="A1043" s="1154" t="str">
        <f t="shared" ref="A1043:A1054" si="209">IF(G1043&lt;&gt;0,1,"")</f>
        <v/>
      </c>
      <c r="B1043" s="1073" t="s">
        <v>1200</v>
      </c>
      <c r="C1043" s="1168"/>
      <c r="D1043" s="1075">
        <f>VLOOKUP($B1043,dongia1,DG!$B$5,)</f>
        <v>0</v>
      </c>
      <c r="E1043" s="1076" t="str">
        <f>VLOOKUP($B1043,dongia1,DG!$C$5,)</f>
        <v>Cáp đồng trần M25mm2</v>
      </c>
      <c r="F1043" s="1075" t="str">
        <f>VLOOKUP($B1043,dongia1,DG!$D$5,)</f>
        <v>kg</v>
      </c>
      <c r="G1043" s="1358">
        <f>$H$3*G1041*0.224*0+G1041*4.5*0.224</f>
        <v>0</v>
      </c>
      <c r="H1043" s="1062">
        <f>VLOOKUP($B1043,dongia1,DG!$F$5,)</f>
        <v>255500</v>
      </c>
      <c r="I1043" s="1083"/>
      <c r="J1043" s="1062">
        <f>VLOOKUP($B1043,dongia1,DG!$G$5,)</f>
        <v>0</v>
      </c>
      <c r="K1043" s="1062">
        <f>VLOOKUP($B1043,dongia1,DG!$H$5,)</f>
        <v>0</v>
      </c>
      <c r="L1043" s="1337">
        <f t="shared" si="206"/>
        <v>0</v>
      </c>
      <c r="M1043" s="1337">
        <f>I1043*G1043</f>
        <v>0</v>
      </c>
      <c r="N1043" s="1337">
        <f t="shared" si="208"/>
        <v>0</v>
      </c>
      <c r="O1043" s="1338">
        <f t="shared" si="207"/>
        <v>0</v>
      </c>
      <c r="P1043" s="1413" t="s">
        <v>4579</v>
      </c>
    </row>
    <row r="1044" spans="1:16" s="1081" customFormat="1" hidden="1" outlineLevel="1">
      <c r="A1044" s="1154" t="str">
        <f t="shared" si="209"/>
        <v/>
      </c>
      <c r="B1044" s="1067" t="s">
        <v>1098</v>
      </c>
      <c r="C1044" s="1168"/>
      <c r="D1044" s="1075">
        <f>VLOOKUP($B1044,dongia1,DG!$B$5,)</f>
        <v>0</v>
      </c>
      <c r="E1044" s="1076" t="str">
        <f>VLOOKUP($B1044,dongia1,DG!$C$5,)</f>
        <v>Cọc tiếp đất Þ 16- 2,4m + kẹp cọc</v>
      </c>
      <c r="F1044" s="1075" t="str">
        <f>VLOOKUP($B1044,dongia1,DG!$D$5,)</f>
        <v>bộ</v>
      </c>
      <c r="G1044" s="1074">
        <f>(H92+L93)*G1041</f>
        <v>0</v>
      </c>
      <c r="H1044" s="1062">
        <f>VLOOKUP($B1044,dongia1,DG!$F$5,)</f>
        <v>160000</v>
      </c>
      <c r="I1044" s="1083"/>
      <c r="J1044" s="1062">
        <f>VLOOKUP($B1044,dongia1,DG!$G$5,)</f>
        <v>0</v>
      </c>
      <c r="K1044" s="1062">
        <f>VLOOKUP($B1044,dongia1,DG!$H$5,)</f>
        <v>0</v>
      </c>
      <c r="L1044" s="1337">
        <f t="shared" si="206"/>
        <v>0</v>
      </c>
      <c r="M1044" s="1337">
        <f>I1044*G1044</f>
        <v>0</v>
      </c>
      <c r="N1044" s="1337">
        <f t="shared" si="208"/>
        <v>0</v>
      </c>
      <c r="O1044" s="1338">
        <f t="shared" si="207"/>
        <v>0</v>
      </c>
      <c r="P1044" s="1080"/>
    </row>
    <row r="1045" spans="1:16" s="1081" customFormat="1" hidden="1" outlineLevel="1">
      <c r="A1045" s="1154" t="str">
        <f t="shared" si="209"/>
        <v/>
      </c>
      <c r="B1045" s="1067" t="s">
        <v>552</v>
      </c>
      <c r="C1045" s="1168"/>
      <c r="D1045" s="1075">
        <f>VLOOKUP($B1045,dongia1,DG!$B$5,)</f>
        <v>0</v>
      </c>
      <c r="E1045" s="1076" t="str">
        <f>VLOOKUP($B1045,dongia1,DG!$C$5,)</f>
        <v>Khoan giếng tiếp địa</v>
      </c>
      <c r="F1045" s="1075" t="str">
        <f>VLOOKUP($B1045,dongia1,DG!$D$5,)</f>
        <v>Cái</v>
      </c>
      <c r="G1045" s="1074">
        <f>L93*G1041</f>
        <v>0</v>
      </c>
      <c r="H1045" s="1062">
        <f>VLOOKUP($B1045,dongia1,DG!$F$5,)</f>
        <v>0</v>
      </c>
      <c r="I1045" s="1083"/>
      <c r="J1045" s="1062">
        <f>VLOOKUP($B1045,dongia1,DG!$G$5,)</f>
        <v>1500000</v>
      </c>
      <c r="K1045" s="1062">
        <f>VLOOKUP($B1045,dongia1,DG!$H$5,)</f>
        <v>0</v>
      </c>
      <c r="L1045" s="1337">
        <f t="shared" si="206"/>
        <v>0</v>
      </c>
      <c r="M1045" s="1337"/>
      <c r="N1045" s="1337">
        <f t="shared" si="208"/>
        <v>0</v>
      </c>
      <c r="O1045" s="1338">
        <f t="shared" si="207"/>
        <v>0</v>
      </c>
      <c r="P1045" s="1080"/>
    </row>
    <row r="1046" spans="1:16" s="1081" customFormat="1" hidden="1" outlineLevel="1">
      <c r="A1046" s="1154" t="str">
        <f t="shared" si="209"/>
        <v/>
      </c>
      <c r="B1046" s="1067" t="s">
        <v>2040</v>
      </c>
      <c r="C1046" s="1074"/>
      <c r="D1046" s="1075">
        <f>VLOOKUP($B1046,dongia1,DG!$B$5,)</f>
        <v>0</v>
      </c>
      <c r="E1046" s="1076" t="str">
        <f>VLOOKUP($B1046,dongia1,DG!$C$5,)</f>
        <v xml:space="preserve">Ống PVC D21x1,6mm </v>
      </c>
      <c r="F1046" s="1075" t="str">
        <f>VLOOKUP($B1046,dongia1,DG!$D$5,)</f>
        <v>m</v>
      </c>
      <c r="G1046" s="1258">
        <f>3*G1041*0</f>
        <v>0</v>
      </c>
      <c r="H1046" s="1062">
        <f>VLOOKUP($B1046,dongia1,DG!$F$5,)</f>
        <v>6200</v>
      </c>
      <c r="I1046" s="1083"/>
      <c r="J1046" s="1062">
        <f>VLOOKUP($B1046,dongia1,DG!$G$5,)</f>
        <v>0</v>
      </c>
      <c r="K1046" s="1062">
        <f>VLOOKUP($B1046,dongia1,DG!$H$5,)</f>
        <v>0</v>
      </c>
      <c r="L1046" s="1337">
        <f t="shared" si="206"/>
        <v>0</v>
      </c>
      <c r="M1046" s="1337">
        <f t="shared" ref="M1046:M1052" si="210">I1046*G1046</f>
        <v>0</v>
      </c>
      <c r="N1046" s="1337">
        <f t="shared" si="208"/>
        <v>0</v>
      </c>
      <c r="O1046" s="1338">
        <f t="shared" si="207"/>
        <v>0</v>
      </c>
      <c r="P1046" s="1080"/>
    </row>
    <row r="1047" spans="1:16" s="1081" customFormat="1" hidden="1" outlineLevel="1">
      <c r="A1047" s="1154" t="str">
        <f t="shared" si="209"/>
        <v/>
      </c>
      <c r="B1047" s="1086" t="s">
        <v>205</v>
      </c>
      <c r="C1047" s="1168"/>
      <c r="D1047" s="1075">
        <f>VLOOKUP($B1047,dongia1,DG!$B$5,)</f>
        <v>0</v>
      </c>
      <c r="E1047" s="1076" t="str">
        <f>VLOOKUP($B1047,dongia1,DG!$C$5,)</f>
        <v>Kẹp ép WR cỡ dây 50mm2</v>
      </c>
      <c r="F1047" s="1075" t="str">
        <f>VLOOKUP($B1047,dongia1,DG!$D$5,)</f>
        <v>cái</v>
      </c>
      <c r="G1047" s="1403">
        <f>2*G1041</f>
        <v>0</v>
      </c>
      <c r="H1047" s="1062">
        <f>VLOOKUP($B1047,dongia1,DG!$F$5,)</f>
        <v>8000</v>
      </c>
      <c r="I1047" s="1062"/>
      <c r="J1047" s="1062">
        <f>VLOOKUP($B1047,dongia1,DG!$G$5,)</f>
        <v>0</v>
      </c>
      <c r="K1047" s="1062">
        <f>VLOOKUP($B1047,dongia1,DG!$H$5,)</f>
        <v>0</v>
      </c>
      <c r="L1047" s="1337">
        <f t="shared" si="206"/>
        <v>0</v>
      </c>
      <c r="M1047" s="1337">
        <f t="shared" si="210"/>
        <v>0</v>
      </c>
      <c r="N1047" s="1337">
        <f t="shared" si="208"/>
        <v>0</v>
      </c>
      <c r="O1047" s="1338">
        <f t="shared" si="207"/>
        <v>0</v>
      </c>
      <c r="P1047" s="1413" t="s">
        <v>4579</v>
      </c>
    </row>
    <row r="1048" spans="1:16" s="1081" customFormat="1" hidden="1" outlineLevel="1">
      <c r="A1048" s="1154" t="str">
        <f t="shared" si="209"/>
        <v/>
      </c>
      <c r="B1048" s="1086" t="s">
        <v>42</v>
      </c>
      <c r="C1048" s="1168"/>
      <c r="D1048" s="1075" t="str">
        <f>VLOOKUP($B1048,dongia1,DG!$B$5,)</f>
        <v>D4.5002</v>
      </c>
      <c r="E1048" s="1076" t="str">
        <f>VLOOKUP($B1048,dongia1,DG!$C$5,)</f>
        <v>Đầu cosse ép Cu 50mm2</v>
      </c>
      <c r="F1048" s="1075" t="str">
        <f>VLOOKUP($B1048,dongia1,DG!$D$5,)</f>
        <v>cái</v>
      </c>
      <c r="G1048" s="1403">
        <f>G1041*3</f>
        <v>0</v>
      </c>
      <c r="H1048" s="1062">
        <f>VLOOKUP($B1048,dongia1,DG!$F$5,)</f>
        <v>9100</v>
      </c>
      <c r="I1048" s="1062"/>
      <c r="J1048" s="1062">
        <f>VLOOKUP($B1048,dongia1,DG!$G$5,)</f>
        <v>10608.955000000002</v>
      </c>
      <c r="K1048" s="1062">
        <f>VLOOKUP($B1048,dongia1,DG!$H$5,)</f>
        <v>2777.0232475000003</v>
      </c>
      <c r="L1048" s="1337">
        <f t="shared" si="206"/>
        <v>0</v>
      </c>
      <c r="M1048" s="1337">
        <f t="shared" si="210"/>
        <v>0</v>
      </c>
      <c r="N1048" s="1337">
        <f t="shared" si="208"/>
        <v>0</v>
      </c>
      <c r="O1048" s="1338">
        <f t="shared" si="207"/>
        <v>0</v>
      </c>
      <c r="P1048" s="1413" t="s">
        <v>4579</v>
      </c>
    </row>
    <row r="1049" spans="1:16" s="1081" customFormat="1" hidden="1" outlineLevel="1">
      <c r="A1049" s="1154" t="str">
        <f t="shared" si="209"/>
        <v/>
      </c>
      <c r="B1049" s="1086" t="s">
        <v>903</v>
      </c>
      <c r="C1049" s="1168"/>
      <c r="D1049" s="1075">
        <f>VLOOKUP($B1049,dongia1,DG!$B$5,)</f>
        <v>0</v>
      </c>
      <c r="E1049" s="1076" t="str">
        <f>VLOOKUP($B1049,dongia1,DG!$C$5,)</f>
        <v>Ốc xiết cáp cỡ 25mm2</v>
      </c>
      <c r="F1049" s="1075" t="str">
        <f>VLOOKUP($B1049,dongia1,DG!$D$5,)</f>
        <v>cái</v>
      </c>
      <c r="G1049" s="1403">
        <f>G1041*3</f>
        <v>0</v>
      </c>
      <c r="H1049" s="1062">
        <f>VLOOKUP($B1049,dongia1,DG!$F$5,)</f>
        <v>17600</v>
      </c>
      <c r="I1049" s="1062"/>
      <c r="J1049" s="1062">
        <f>VLOOKUP($B1049,dongia1,DG!$G$5,)</f>
        <v>0</v>
      </c>
      <c r="K1049" s="1062">
        <f>VLOOKUP($B1049,dongia1,DG!$H$5,)</f>
        <v>0</v>
      </c>
      <c r="L1049" s="1337">
        <f t="shared" si="206"/>
        <v>0</v>
      </c>
      <c r="M1049" s="1337">
        <f t="shared" si="210"/>
        <v>0</v>
      </c>
      <c r="N1049" s="1337">
        <f t="shared" si="208"/>
        <v>0</v>
      </c>
      <c r="O1049" s="1338">
        <f t="shared" si="207"/>
        <v>0</v>
      </c>
      <c r="P1049" s="1413" t="s">
        <v>4579</v>
      </c>
    </row>
    <row r="1050" spans="1:16" s="1081" customFormat="1" hidden="1" outlineLevel="1">
      <c r="A1050" s="1154" t="str">
        <f t="shared" si="209"/>
        <v/>
      </c>
      <c r="B1050" s="1067" t="s">
        <v>1490</v>
      </c>
      <c r="C1050" s="1168"/>
      <c r="D1050" s="1075">
        <f>VLOOKUP($B1050,dongia1,DG!$B$5,)</f>
        <v>0</v>
      </c>
      <c r="E1050" s="1076" t="str">
        <f>VLOOKUP($B1050,dongia1,DG!$C$5,)</f>
        <v>Cổ dê kẹp ống PVC (STK) Þ 21</v>
      </c>
      <c r="F1050" s="1075" t="str">
        <f>VLOOKUP($B1050,dongia1,DG!$D$5,)</f>
        <v>bộ</v>
      </c>
      <c r="G1050" s="1258">
        <f>2*G1041*0</f>
        <v>0</v>
      </c>
      <c r="H1050" s="1062">
        <f>VLOOKUP($B1050,dongia1,DG!$F$5,)</f>
        <v>43000</v>
      </c>
      <c r="I1050" s="1083"/>
      <c r="J1050" s="1062">
        <f>VLOOKUP($B1050,dongia1,DG!$G$5,)</f>
        <v>0</v>
      </c>
      <c r="K1050" s="1062">
        <f>VLOOKUP($B1050,dongia1,DG!$H$5,)</f>
        <v>0</v>
      </c>
      <c r="L1050" s="1337">
        <f t="shared" si="206"/>
        <v>0</v>
      </c>
      <c r="M1050" s="1337">
        <f t="shared" si="210"/>
        <v>0</v>
      </c>
      <c r="N1050" s="1337">
        <f t="shared" si="208"/>
        <v>0</v>
      </c>
      <c r="O1050" s="1338">
        <f t="shared" si="207"/>
        <v>0</v>
      </c>
      <c r="P1050" s="1080"/>
    </row>
    <row r="1051" spans="1:16" s="1081" customFormat="1" hidden="1" outlineLevel="1">
      <c r="A1051" s="1154" t="str">
        <f t="shared" si="209"/>
        <v/>
      </c>
      <c r="B1051" s="1067" t="str">
        <f>"DTD"&amp;capdat</f>
        <v>DTD3</v>
      </c>
      <c r="C1051" s="1168"/>
      <c r="D1051" s="1075" t="str">
        <f>VLOOKUP($B1051,dongia1,DG!$B$5,)</f>
        <v>AB.11513</v>
      </c>
      <c r="E1051" s="1076" t="str">
        <f>VLOOKUP($B1051,dongia1,DG!$C$5,)</f>
        <v>Đào rãnh tiếp địa đất cấp 3</v>
      </c>
      <c r="F1051" s="1075" t="str">
        <f>VLOOKUP($B1051,dongia1,DG!$D$5,)</f>
        <v>m3</v>
      </c>
      <c r="G1051" s="1288">
        <f>H94*G1041</f>
        <v>0</v>
      </c>
      <c r="H1051" s="1062">
        <f>VLOOKUP($B1051,dongia1,DG!$F$5,)</f>
        <v>0</v>
      </c>
      <c r="I1051" s="1062"/>
      <c r="J1051" s="1062">
        <f>VLOOKUP($B1051,dongia1,DG!$G$5,)</f>
        <v>283749.75</v>
      </c>
      <c r="K1051" s="1062">
        <f>VLOOKUP($B1051,dongia1,DG!$H$5,)</f>
        <v>0</v>
      </c>
      <c r="L1051" s="1337">
        <f t="shared" si="206"/>
        <v>0</v>
      </c>
      <c r="M1051" s="1337">
        <f t="shared" si="210"/>
        <v>0</v>
      </c>
      <c r="N1051" s="1337">
        <f t="shared" si="208"/>
        <v>0</v>
      </c>
      <c r="O1051" s="1338">
        <f t="shared" si="207"/>
        <v>0</v>
      </c>
      <c r="P1051" s="1080"/>
    </row>
    <row r="1052" spans="1:16" s="1081" customFormat="1" hidden="1" outlineLevel="1">
      <c r="A1052" s="1154" t="str">
        <f t="shared" si="209"/>
        <v/>
      </c>
      <c r="B1052" s="1067" t="str">
        <f>"DATD"&amp;capdat</f>
        <v>DATD3</v>
      </c>
      <c r="C1052" s="1168"/>
      <c r="D1052" s="1075" t="str">
        <f>VLOOKUP($B1052,dongia1,DG!$B$5,)</f>
        <v>AB.13111</v>
      </c>
      <c r="E1052" s="1076" t="str">
        <f>VLOOKUP($B1052,dongia1,DG!$C$5,)</f>
        <v>Đắp đất rãnh tiếp địa cấp 3 (độ chặt k = 0.85)</v>
      </c>
      <c r="F1052" s="1075" t="str">
        <f>VLOOKUP($B1052,dongia1,DG!$D$5,)</f>
        <v>m3</v>
      </c>
      <c r="G1052" s="1288">
        <f>G1051</f>
        <v>0</v>
      </c>
      <c r="H1052" s="1062">
        <f>VLOOKUP($B1052,dongia1,DG!$F$5,)</f>
        <v>0</v>
      </c>
      <c r="I1052" s="1083"/>
      <c r="J1052" s="1062">
        <f>VLOOKUP($B1052,dongia1,DG!$G$5,)</f>
        <v>117703.6</v>
      </c>
      <c r="K1052" s="1062">
        <f>VLOOKUP($B1052,dongia1,DG!$H$5,)</f>
        <v>0</v>
      </c>
      <c r="L1052" s="1337">
        <f t="shared" si="206"/>
        <v>0</v>
      </c>
      <c r="M1052" s="1337">
        <f t="shared" si="210"/>
        <v>0</v>
      </c>
      <c r="N1052" s="1337">
        <f t="shared" si="208"/>
        <v>0</v>
      </c>
      <c r="O1052" s="1338">
        <f t="shared" si="207"/>
        <v>0</v>
      </c>
      <c r="P1052" s="1080"/>
    </row>
    <row r="1053" spans="1:16" s="1081" customFormat="1" hidden="1" outlineLevel="1">
      <c r="A1053" s="1154" t="str">
        <f t="shared" si="209"/>
        <v/>
      </c>
      <c r="B1053" s="1067" t="s">
        <v>985</v>
      </c>
      <c r="C1053" s="1168"/>
      <c r="D1053" s="1075" t="str">
        <f>VLOOKUP($B1053,dongia1,DG!$B$5,)</f>
        <v>D2.8103</v>
      </c>
      <c r="E1053" s="1076" t="str">
        <f>VLOOKUP($B1053,dongia1,DG!$C$5,)</f>
        <v>Đóng cọc tiếp địa đất cấp 3 dài 2,5m</v>
      </c>
      <c r="F1053" s="1075" t="str">
        <f>VLOOKUP($B1053,dongia1,DG!$D$5,)</f>
        <v>cọc</v>
      </c>
      <c r="G1053" s="1288">
        <f>G1044</f>
        <v>0</v>
      </c>
      <c r="H1053" s="1062">
        <f>VLOOKUP($B1053,dongia1,DG!$F$5,)</f>
        <v>0</v>
      </c>
      <c r="I1053" s="1062"/>
      <c r="J1053" s="1174" t="str">
        <f>VLOOKUP($B1053,dongia1,DG!$G$5,)&amp;" x 1,7"</f>
        <v>90355,896 x 1,7</v>
      </c>
      <c r="K1053" s="1174">
        <v>0</v>
      </c>
      <c r="L1053" s="1174">
        <f>H1053*$G1053</f>
        <v>0</v>
      </c>
      <c r="M1053" s="1174">
        <f>I1053*$G1053</f>
        <v>0</v>
      </c>
      <c r="N1053" s="1174">
        <f>VLOOKUP($B1053,dongia1,DG!$G$5,)*1.7*G1053</f>
        <v>0</v>
      </c>
      <c r="O1053" s="1338">
        <f t="shared" si="207"/>
        <v>0</v>
      </c>
      <c r="P1053" s="1080"/>
    </row>
    <row r="1054" spans="1:16" s="1081" customFormat="1" hidden="1" outlineLevel="1">
      <c r="A1054" s="1154" t="str">
        <f t="shared" si="209"/>
        <v/>
      </c>
      <c r="B1054" s="1067" t="s">
        <v>983</v>
      </c>
      <c r="C1054" s="1168"/>
      <c r="D1054" s="1075" t="str">
        <f>VLOOKUP($B1054,dongia1,DG!$B$5,)</f>
        <v>T4.7001</v>
      </c>
      <c r="E1054" s="1076" t="str">
        <f>VLOOKUP($B1054,dongia1,DG!$C$5,)</f>
        <v>Kéo dây tiếp địa TBA</v>
      </c>
      <c r="F1054" s="1075" t="str">
        <f>VLOOKUP($B1054,dongia1,DG!$D$5,)</f>
        <v>mét</v>
      </c>
      <c r="G1054" s="1288">
        <f>G1041*H93</f>
        <v>0</v>
      </c>
      <c r="H1054" s="1062">
        <f>VLOOKUP($B1054,dongia1,DG!$F$5,)</f>
        <v>0</v>
      </c>
      <c r="I1054" s="1083"/>
      <c r="J1054" s="1174">
        <f>VLOOKUP($B1054,dongia1,DG!$G$5,)</f>
        <v>8070.7000000000007</v>
      </c>
      <c r="K1054" s="1174">
        <f>VLOOKUP($B1054,dongia1,DG!$H$5,)</f>
        <v>2044.9974999999999</v>
      </c>
      <c r="L1054" s="1174">
        <f>H1054*G1054</f>
        <v>0</v>
      </c>
      <c r="M1054" s="1174">
        <f>I1054*G1054</f>
        <v>0</v>
      </c>
      <c r="N1054" s="1174">
        <f>J1054*G1054</f>
        <v>0</v>
      </c>
      <c r="O1054" s="1338">
        <f t="shared" si="207"/>
        <v>0</v>
      </c>
      <c r="P1054" s="1080"/>
    </row>
    <row r="1055" spans="1:16" s="1371" customFormat="1" hidden="1" outlineLevel="1">
      <c r="A1055" s="1361">
        <f>+IF(G1055&gt;0,1,0)</f>
        <v>0</v>
      </c>
      <c r="B1055" s="1295"/>
      <c r="C1055" s="1291">
        <f>IF(G1055&gt;0,C1049+4,C1049)</f>
        <v>0</v>
      </c>
      <c r="D1055" s="1292"/>
      <c r="E1055" s="1416" t="s">
        <v>3442</v>
      </c>
      <c r="F1055" s="1291" t="s">
        <v>2113</v>
      </c>
      <c r="G1055" s="1417">
        <f>G1004/3</f>
        <v>0</v>
      </c>
      <c r="H1055" s="1367"/>
      <c r="I1055" s="1367"/>
      <c r="J1055" s="1367"/>
      <c r="K1055" s="1367"/>
      <c r="L1055" s="1368">
        <f t="shared" ref="L1055:L1069" si="211">H1055*G1055</f>
        <v>0</v>
      </c>
      <c r="M1055" s="1368">
        <f t="shared" ref="M1055:M1069" si="212">I1055*G1055</f>
        <v>0</v>
      </c>
      <c r="N1055" s="1368">
        <f t="shared" ref="N1055:N1069" si="213">J1055*G1055</f>
        <v>0</v>
      </c>
      <c r="O1055" s="1369">
        <f t="shared" ref="O1055:O1069" si="214">K1055*G1055</f>
        <v>0</v>
      </c>
      <c r="P1055" s="1414" t="s">
        <v>4578</v>
      </c>
    </row>
    <row r="1056" spans="1:16" s="1081" customFormat="1" ht="14.4" hidden="1" outlineLevel="1">
      <c r="A1056" s="1154">
        <f>A1055</f>
        <v>0</v>
      </c>
      <c r="B1056" s="1295"/>
      <c r="C1056" s="1291"/>
      <c r="D1056" s="1292"/>
      <c r="E1056" s="1301" t="s">
        <v>3399</v>
      </c>
      <c r="F1056" s="1302"/>
      <c r="G1056" s="1398"/>
      <c r="H1056" s="1083"/>
      <c r="I1056" s="1083"/>
      <c r="J1056" s="1083"/>
      <c r="K1056" s="1083"/>
      <c r="L1056" s="1337">
        <f t="shared" si="211"/>
        <v>0</v>
      </c>
      <c r="M1056" s="1337">
        <f t="shared" si="212"/>
        <v>0</v>
      </c>
      <c r="N1056" s="1337">
        <f t="shared" si="213"/>
        <v>0</v>
      </c>
      <c r="O1056" s="1338">
        <f t="shared" si="214"/>
        <v>0</v>
      </c>
      <c r="P1056" s="1413"/>
    </row>
    <row r="1057" spans="1:18" s="1081" customFormat="1" hidden="1" outlineLevel="1">
      <c r="A1057" s="1154" t="str">
        <f>IF(G1057&lt;&gt;0,1,"")</f>
        <v/>
      </c>
      <c r="B1057" s="1066" t="s">
        <v>1656</v>
      </c>
      <c r="C1057" s="1302"/>
      <c r="D1057" s="1198" t="str">
        <f>VLOOKUP($B1057,dongia1,DG!$B$5,)</f>
        <v>T5.1002</v>
      </c>
      <c r="E1057" s="1243" t="str">
        <f>VLOOKUP($B1057,dongia1,DG!$C$5,)</f>
        <v>Tủ MCCB trạm treo 3 pha</v>
      </c>
      <c r="F1057" s="1198" t="str">
        <f>VLOOKUP($B1057,dongia1,DG!$D$5,)</f>
        <v>cái</v>
      </c>
      <c r="G1057" s="1418">
        <f>G1055*0</f>
        <v>0</v>
      </c>
      <c r="H1057" s="1062">
        <f>VLOOKUP($B1057,dongia1,DG!$F$5,)</f>
        <v>3664446</v>
      </c>
      <c r="I1057" s="1062"/>
      <c r="J1057" s="1062">
        <f>VLOOKUP($B1057,dongia1,DG!$G$5,)</f>
        <v>690091</v>
      </c>
      <c r="K1057" s="1062">
        <f>VLOOKUP($B1057,dongia1,DG!$H$5,)</f>
        <v>97369</v>
      </c>
      <c r="L1057" s="1337">
        <f t="shared" si="211"/>
        <v>0</v>
      </c>
      <c r="M1057" s="1337">
        <f t="shared" si="212"/>
        <v>0</v>
      </c>
      <c r="N1057" s="1337">
        <f t="shared" si="213"/>
        <v>0</v>
      </c>
      <c r="O1057" s="1338">
        <f t="shared" si="214"/>
        <v>0</v>
      </c>
      <c r="P1057" s="1080"/>
    </row>
    <row r="1058" spans="1:18" s="1081" customFormat="1" hidden="1" outlineLevel="1">
      <c r="A1058" s="1154" t="str">
        <f>IF(G1058&lt;&gt;0,1,"")</f>
        <v/>
      </c>
      <c r="B1058" s="1295" t="s">
        <v>1560</v>
      </c>
      <c r="C1058" s="1291"/>
      <c r="D1058" s="1198">
        <f>VLOOKUP($B1058,dongia1,DG!$B$5,)</f>
        <v>0</v>
      </c>
      <c r="E1058" s="1243" t="str">
        <f>VLOOKUP($B1058,dongia1,DG!$C$5,)</f>
        <v xml:space="preserve">Bakelit 500x300 dầy 10mm </v>
      </c>
      <c r="F1058" s="1198" t="str">
        <f>VLOOKUP($B1058,dongia1,DG!$D$5,)</f>
        <v>cái</v>
      </c>
      <c r="G1058" s="1418">
        <f>G1057</f>
        <v>0</v>
      </c>
      <c r="H1058" s="1062">
        <f>VLOOKUP($B1058,dongia1,DG!$F$5,)</f>
        <v>284000</v>
      </c>
      <c r="I1058" s="1083"/>
      <c r="J1058" s="1062">
        <f>VLOOKUP($B1058,dongia1,DG!$G$5,)</f>
        <v>5404</v>
      </c>
      <c r="K1058" s="1062">
        <f>VLOOKUP($B1058,dongia1,DG!$H$5,)</f>
        <v>0</v>
      </c>
      <c r="L1058" s="1337">
        <f t="shared" si="211"/>
        <v>0</v>
      </c>
      <c r="M1058" s="1337">
        <f t="shared" si="212"/>
        <v>0</v>
      </c>
      <c r="N1058" s="1337">
        <f t="shared" si="213"/>
        <v>0</v>
      </c>
      <c r="O1058" s="1338">
        <f t="shared" si="214"/>
        <v>0</v>
      </c>
      <c r="P1058" s="1080"/>
    </row>
    <row r="1059" spans="1:18" s="1081" customFormat="1" hidden="1" outlineLevel="1">
      <c r="A1059" s="1154" t="str">
        <f>IF(G1059&lt;&gt;0,1,"")</f>
        <v/>
      </c>
      <c r="B1059" s="1295" t="s">
        <v>888</v>
      </c>
      <c r="C1059" s="1291"/>
      <c r="D1059" s="1198">
        <f>VLOOKUP($B1059,dongia1,DG!$B$5,)</f>
        <v>0</v>
      </c>
      <c r="E1059" s="1243" t="str">
        <f>VLOOKUP($B1059,dongia1,DG!$C$5,)</f>
        <v>Bảng tên trạm + bảng báo nguy hiểm</v>
      </c>
      <c r="F1059" s="1198" t="str">
        <f>VLOOKUP($B1059,dongia1,DG!$D$5,)</f>
        <v>cái</v>
      </c>
      <c r="G1059" s="1418">
        <f>G1055*0</f>
        <v>0</v>
      </c>
      <c r="H1059" s="1062">
        <f>VLOOKUP($B1059,dongia1,DG!$F$5,)</f>
        <v>300000</v>
      </c>
      <c r="I1059" s="1083"/>
      <c r="J1059" s="1062">
        <f>VLOOKUP($B1059,dongia1,DG!$G$5,)</f>
        <v>0</v>
      </c>
      <c r="K1059" s="1062">
        <f>VLOOKUP($B1059,dongia1,DG!$H$5,)</f>
        <v>0</v>
      </c>
      <c r="L1059" s="1337">
        <f>H1059*G1059</f>
        <v>0</v>
      </c>
      <c r="M1059" s="1337">
        <f>I1059*G1059</f>
        <v>0</v>
      </c>
      <c r="N1059" s="1337">
        <f>J1059*G1059</f>
        <v>0</v>
      </c>
      <c r="O1059" s="1338">
        <f>K1059*G1059</f>
        <v>0</v>
      </c>
      <c r="P1059" s="1080"/>
    </row>
    <row r="1060" spans="1:18" s="1081" customFormat="1" hidden="1" outlineLevel="1">
      <c r="A1060" s="1154" t="str">
        <f t="shared" ref="A1060:A1066" si="215">IF(G1060&lt;&gt;0,1,"")</f>
        <v/>
      </c>
      <c r="B1060" s="1066" t="s">
        <v>1542</v>
      </c>
      <c r="C1060" s="1302"/>
      <c r="D1060" s="1198">
        <f>VLOOKUP($B1060,dongia1,DG!$B$5,)</f>
        <v>0</v>
      </c>
      <c r="E1060" s="1243" t="str">
        <f>VLOOKUP($B1060,dongia1,DG!$C$5,)</f>
        <v>Cổ dê bắt tủ</v>
      </c>
      <c r="F1060" s="1198" t="str">
        <f>VLOOKUP($B1060,dongia1,DG!$D$5,)</f>
        <v>bộ</v>
      </c>
      <c r="G1060" s="1418">
        <f>G1055*2*0</f>
        <v>0</v>
      </c>
      <c r="H1060" s="1062">
        <f>VLOOKUP($B1060,dongia1,DG!$F$5,)</f>
        <v>168000</v>
      </c>
      <c r="I1060" s="1083"/>
      <c r="J1060" s="1062">
        <f>VLOOKUP($B1060,dongia1,DG!$G$5,)</f>
        <v>0</v>
      </c>
      <c r="K1060" s="1062">
        <f>VLOOKUP($B1060,dongia1,DG!$H$5,)</f>
        <v>0</v>
      </c>
      <c r="L1060" s="1337">
        <f t="shared" ref="L1060:L1066" si="216">H1060*G1060</f>
        <v>0</v>
      </c>
      <c r="M1060" s="1337">
        <f t="shared" ref="M1060:M1066" si="217">I1060*G1060</f>
        <v>0</v>
      </c>
      <c r="N1060" s="1337">
        <f t="shared" ref="N1060:N1066" si="218">J1060*G1060</f>
        <v>0</v>
      </c>
      <c r="O1060" s="1338">
        <f t="shared" ref="O1060:O1066" si="219">K1060*G1060</f>
        <v>0</v>
      </c>
      <c r="P1060" s="1080"/>
    </row>
    <row r="1061" spans="1:18" s="1081" customFormat="1" hidden="1" outlineLevel="1">
      <c r="A1061" s="1154" t="str">
        <f t="shared" si="215"/>
        <v/>
      </c>
      <c r="B1061" s="1295"/>
      <c r="C1061" s="1291">
        <f>IF(G1061&gt;0,C1054+1,C1054)</f>
        <v>0</v>
      </c>
      <c r="D1061" s="1292"/>
      <c r="E1061" s="1416" t="s">
        <v>4570</v>
      </c>
      <c r="F1061" s="1291" t="s">
        <v>2113</v>
      </c>
      <c r="G1061" s="1419">
        <f>G1004/3*0</f>
        <v>0</v>
      </c>
      <c r="H1061" s="1062"/>
      <c r="I1061" s="1083"/>
      <c r="J1061" s="1062"/>
      <c r="K1061" s="1062"/>
      <c r="L1061" s="1337"/>
      <c r="M1061" s="1337"/>
      <c r="N1061" s="1337"/>
      <c r="O1061" s="1338"/>
      <c r="P1061" s="1080"/>
    </row>
    <row r="1062" spans="1:18" s="1081" customFormat="1" ht="14.4" hidden="1" outlineLevel="1">
      <c r="A1062" s="1154" t="str">
        <f t="shared" si="215"/>
        <v/>
      </c>
      <c r="B1062" s="1295"/>
      <c r="C1062" s="1291"/>
      <c r="D1062" s="1292"/>
      <c r="E1062" s="1301" t="s">
        <v>3399</v>
      </c>
      <c r="F1062" s="1302"/>
      <c r="G1062" s="1418"/>
      <c r="H1062" s="1062"/>
      <c r="I1062" s="1083"/>
      <c r="J1062" s="1062"/>
      <c r="K1062" s="1062"/>
      <c r="L1062" s="1337"/>
      <c r="M1062" s="1337"/>
      <c r="N1062" s="1337"/>
      <c r="O1062" s="1338"/>
      <c r="P1062" s="1080"/>
    </row>
    <row r="1063" spans="1:18" s="1081" customFormat="1" hidden="1" outlineLevel="1">
      <c r="A1063" s="1154" t="str">
        <f t="shared" si="215"/>
        <v/>
      </c>
      <c r="B1063" s="1066" t="s">
        <v>1485</v>
      </c>
      <c r="C1063" s="1302"/>
      <c r="D1063" s="1198" t="str">
        <f>VLOOKUP($B1063,dongia1,DG!$B$5,)</f>
        <v>T5.1001</v>
      </c>
      <c r="E1063" s="1243" t="str">
        <f>VLOOKUP($B1063,dongia1,DG!$C$5,)</f>
        <v>Tủ điện kế</v>
      </c>
      <c r="F1063" s="1198" t="str">
        <f>VLOOKUP($B1063,dongia1,DG!$D$5,)</f>
        <v>cái</v>
      </c>
      <c r="G1063" s="1418">
        <f>G1061*1</f>
        <v>0</v>
      </c>
      <c r="H1063" s="1062">
        <f>VLOOKUP($B1063,dongia1,DG!$F$5,)</f>
        <v>783952</v>
      </c>
      <c r="I1063" s="1083"/>
      <c r="J1063" s="1062">
        <f>VLOOKUP($B1063,dongia1,DG!$G$5,)</f>
        <v>599038</v>
      </c>
      <c r="K1063" s="1062">
        <f>VLOOKUP($B1063,dongia1,DG!$H$5,)</f>
        <v>97369</v>
      </c>
      <c r="L1063" s="1337">
        <f t="shared" si="216"/>
        <v>0</v>
      </c>
      <c r="M1063" s="1337">
        <f t="shared" si="217"/>
        <v>0</v>
      </c>
      <c r="N1063" s="1337">
        <f t="shared" si="218"/>
        <v>0</v>
      </c>
      <c r="O1063" s="1338">
        <f t="shared" si="219"/>
        <v>0</v>
      </c>
      <c r="P1063" s="1080"/>
    </row>
    <row r="1064" spans="1:18" s="1081" customFormat="1" hidden="1" outlineLevel="1">
      <c r="A1064" s="1154" t="str">
        <f t="shared" si="215"/>
        <v/>
      </c>
      <c r="B1064" s="1295" t="s">
        <v>1560</v>
      </c>
      <c r="C1064" s="1291"/>
      <c r="D1064" s="1198">
        <f>VLOOKUP($B1064,dongia1,DG!$B$5,)</f>
        <v>0</v>
      </c>
      <c r="E1064" s="1243" t="str">
        <f>VLOOKUP($B1064,dongia1,DG!$C$5,)</f>
        <v xml:space="preserve">Bakelit 500x300 dầy 10mm </v>
      </c>
      <c r="F1064" s="1198" t="str">
        <f>VLOOKUP($B1064,dongia1,DG!$D$5,)</f>
        <v>cái</v>
      </c>
      <c r="G1064" s="1418">
        <f>G1063</f>
        <v>0</v>
      </c>
      <c r="H1064" s="1062">
        <f>VLOOKUP($B1064,dongia1,DG!$F$5,)</f>
        <v>284000</v>
      </c>
      <c r="I1064" s="1083"/>
      <c r="J1064" s="1062">
        <f>VLOOKUP($B1064,dongia1,DG!$G$5,)</f>
        <v>5404</v>
      </c>
      <c r="K1064" s="1062">
        <f>VLOOKUP($B1064,dongia1,DG!$H$5,)</f>
        <v>0</v>
      </c>
      <c r="L1064" s="1337">
        <f t="shared" si="216"/>
        <v>0</v>
      </c>
      <c r="M1064" s="1337">
        <f t="shared" si="217"/>
        <v>0</v>
      </c>
      <c r="N1064" s="1337">
        <f t="shared" si="218"/>
        <v>0</v>
      </c>
      <c r="O1064" s="1338">
        <f t="shared" si="219"/>
        <v>0</v>
      </c>
      <c r="P1064" s="1080"/>
    </row>
    <row r="1065" spans="1:18" s="1081" customFormat="1" hidden="1" outlineLevel="1">
      <c r="A1065" s="1154" t="str">
        <f t="shared" si="215"/>
        <v/>
      </c>
      <c r="B1065" s="1295" t="s">
        <v>888</v>
      </c>
      <c r="C1065" s="1291"/>
      <c r="D1065" s="1198">
        <f>VLOOKUP($B1065,dongia1,DG!$B$5,)</f>
        <v>0</v>
      </c>
      <c r="E1065" s="1243" t="str">
        <f>VLOOKUP($B1065,dongia1,DG!$C$5,)</f>
        <v>Bảng tên trạm + bảng báo nguy hiểm</v>
      </c>
      <c r="F1065" s="1198" t="str">
        <f>VLOOKUP($B1065,dongia1,DG!$D$5,)</f>
        <v>cái</v>
      </c>
      <c r="G1065" s="1418">
        <f>G1061</f>
        <v>0</v>
      </c>
      <c r="H1065" s="1062">
        <f>VLOOKUP($B1065,dongia1,DG!$F$5,)</f>
        <v>300000</v>
      </c>
      <c r="I1065" s="1083"/>
      <c r="J1065" s="1062">
        <f>VLOOKUP($B1065,dongia1,DG!$G$5,)</f>
        <v>0</v>
      </c>
      <c r="K1065" s="1062">
        <f>VLOOKUP($B1065,dongia1,DG!$H$5,)</f>
        <v>0</v>
      </c>
      <c r="L1065" s="1337">
        <f t="shared" si="216"/>
        <v>0</v>
      </c>
      <c r="M1065" s="1337">
        <f t="shared" si="217"/>
        <v>0</v>
      </c>
      <c r="N1065" s="1337">
        <f t="shared" si="218"/>
        <v>0</v>
      </c>
      <c r="O1065" s="1338">
        <f t="shared" si="219"/>
        <v>0</v>
      </c>
      <c r="P1065" s="1080"/>
    </row>
    <row r="1066" spans="1:18" s="1081" customFormat="1" hidden="1" outlineLevel="1">
      <c r="A1066" s="1154" t="str">
        <f t="shared" si="215"/>
        <v/>
      </c>
      <c r="B1066" s="1066" t="s">
        <v>1542</v>
      </c>
      <c r="C1066" s="1302"/>
      <c r="D1066" s="1198">
        <f>VLOOKUP($B1066,dongia1,DG!$B$5,)</f>
        <v>0</v>
      </c>
      <c r="E1066" s="1243" t="str">
        <f>VLOOKUP($B1066,dongia1,DG!$C$5,)</f>
        <v>Cổ dê bắt tủ</v>
      </c>
      <c r="F1066" s="1198" t="str">
        <f>VLOOKUP($B1066,dongia1,DG!$D$5,)</f>
        <v>bộ</v>
      </c>
      <c r="G1066" s="1418">
        <f>G1063*2</f>
        <v>0</v>
      </c>
      <c r="H1066" s="1062">
        <f>VLOOKUP($B1066,dongia1,DG!$F$5,)</f>
        <v>168000</v>
      </c>
      <c r="I1066" s="1083"/>
      <c r="J1066" s="1062">
        <f>VLOOKUP($B1066,dongia1,DG!$G$5,)</f>
        <v>0</v>
      </c>
      <c r="K1066" s="1062">
        <f>VLOOKUP($B1066,dongia1,DG!$H$5,)</f>
        <v>0</v>
      </c>
      <c r="L1066" s="1337">
        <f t="shared" si="216"/>
        <v>0</v>
      </c>
      <c r="M1066" s="1337">
        <f t="shared" si="217"/>
        <v>0</v>
      </c>
      <c r="N1066" s="1337">
        <f t="shared" si="218"/>
        <v>0</v>
      </c>
      <c r="O1066" s="1338">
        <f t="shared" si="219"/>
        <v>0</v>
      </c>
      <c r="P1066" s="1080"/>
    </row>
    <row r="1067" spans="1:18" s="1081" customFormat="1" hidden="1" outlineLevel="1">
      <c r="A1067" s="1361">
        <f>+IF(G1067&gt;0,1,0)</f>
        <v>0</v>
      </c>
      <c r="B1067" s="1073"/>
      <c r="C1067" s="1191">
        <f>IF(G1067&gt;0,C1055+1,C1055)</f>
        <v>0</v>
      </c>
      <c r="D1067" s="1353"/>
      <c r="E1067" s="1374" t="s">
        <v>3412</v>
      </c>
      <c r="F1067" s="1191" t="s">
        <v>2113</v>
      </c>
      <c r="G1067" s="1279">
        <f>G1016</f>
        <v>0</v>
      </c>
      <c r="H1067" s="1083"/>
      <c r="I1067" s="1083"/>
      <c r="J1067" s="1083"/>
      <c r="K1067" s="1083"/>
      <c r="L1067" s="1337">
        <f t="shared" si="211"/>
        <v>0</v>
      </c>
      <c r="M1067" s="1337">
        <f t="shared" si="212"/>
        <v>0</v>
      </c>
      <c r="N1067" s="1337">
        <f t="shared" si="213"/>
        <v>0</v>
      </c>
      <c r="O1067" s="1338">
        <f t="shared" si="214"/>
        <v>0</v>
      </c>
      <c r="P1067" s="1413"/>
    </row>
    <row r="1068" spans="1:18" s="1081" customFormat="1" ht="14.4" hidden="1" outlineLevel="1">
      <c r="A1068" s="1154">
        <f>A1067</f>
        <v>0</v>
      </c>
      <c r="B1068" s="1073"/>
      <c r="C1068" s="1191"/>
      <c r="D1068" s="1353"/>
      <c r="E1068" s="1354" t="s">
        <v>3399</v>
      </c>
      <c r="F1068" s="1075"/>
      <c r="G1068" s="1403"/>
      <c r="H1068" s="1083"/>
      <c r="I1068" s="1083"/>
      <c r="J1068" s="1083"/>
      <c r="K1068" s="1083"/>
      <c r="L1068" s="1337">
        <f t="shared" si="211"/>
        <v>0</v>
      </c>
      <c r="M1068" s="1337">
        <f t="shared" si="212"/>
        <v>0</v>
      </c>
      <c r="N1068" s="1337">
        <f t="shared" si="213"/>
        <v>0</v>
      </c>
      <c r="O1068" s="1338">
        <f t="shared" si="214"/>
        <v>0</v>
      </c>
      <c r="P1068" s="1413"/>
    </row>
    <row r="1069" spans="1:18" s="1300" customFormat="1" ht="41.4" hidden="1" outlineLevel="1">
      <c r="A1069" s="1072" t="str">
        <f>IF(G1069&lt;&gt;0,1,"")</f>
        <v/>
      </c>
      <c r="B1069" s="1068" t="s">
        <v>648</v>
      </c>
      <c r="C1069" s="1302"/>
      <c r="D1069" s="1198">
        <f>VLOOKUP($B1069,dongia1,DG!$B$5,)</f>
        <v>0</v>
      </c>
      <c r="E1069" s="1243" t="str">
        <f>VLOOKUP($B1069,dongia1,DG!$C$5,)</f>
        <v>Cáp 24KV C/XLPE/PVC- 25mm2</v>
      </c>
      <c r="F1069" s="1198" t="str">
        <f>VLOOKUP($B1069,dongia1,DG!$D$5,)</f>
        <v>mét</v>
      </c>
      <c r="G1069" s="1398">
        <f>G1067*6</f>
        <v>0</v>
      </c>
      <c r="H1069" s="1399">
        <f>VLOOKUP($B1069,dongia1,DG!$F$5,)</f>
        <v>50996</v>
      </c>
      <c r="I1069" s="1062"/>
      <c r="J1069" s="1399">
        <f>VLOOKUP($B1069,dongia1,DG!$G$5,)</f>
        <v>0</v>
      </c>
      <c r="K1069" s="1399">
        <f>VLOOKUP($B1069,dongia1,DG!$H$5,)</f>
        <v>0</v>
      </c>
      <c r="L1069" s="1400">
        <f t="shared" si="211"/>
        <v>0</v>
      </c>
      <c r="M1069" s="1400">
        <f t="shared" si="212"/>
        <v>0</v>
      </c>
      <c r="N1069" s="1400">
        <f t="shared" si="213"/>
        <v>0</v>
      </c>
      <c r="O1069" s="1401">
        <f t="shared" si="214"/>
        <v>0</v>
      </c>
      <c r="P1069" s="1420" t="s">
        <v>4625</v>
      </c>
      <c r="R1069" s="1081"/>
    </row>
    <row r="1070" spans="1:18" s="1081" customFormat="1" hidden="1" outlineLevel="1">
      <c r="A1070" s="1154" t="str">
        <f>IF(G1070&lt;&gt;0,1,"")</f>
        <v/>
      </c>
      <c r="B1070" s="1067" t="s">
        <v>75</v>
      </c>
      <c r="C1070" s="1168"/>
      <c r="D1070" s="1075">
        <f>VLOOKUP($B1070,dongia1,DG!$B$5,)</f>
        <v>0</v>
      </c>
      <c r="E1070" s="1076" t="str">
        <f>VLOOKUP($B1070,dongia1,DG!$C$5,)</f>
        <v>Kẹp ép WR cỡ dây 50mm2</v>
      </c>
      <c r="F1070" s="1075" t="str">
        <f>VLOOKUP($B1070,dongia1,DG!$D$5,)</f>
        <v>cái</v>
      </c>
      <c r="G1070" s="1396">
        <f>3*G1067*2*0</f>
        <v>0</v>
      </c>
      <c r="H1070" s="1062">
        <f>VLOOKUP($B1070,dongia1,DG!$F$5,)</f>
        <v>8000</v>
      </c>
      <c r="I1070" s="1062"/>
      <c r="J1070" s="1062">
        <f>VLOOKUP($B1070,dongia1,DG!$G$5,)</f>
        <v>0</v>
      </c>
      <c r="K1070" s="1062">
        <f>VLOOKUP($B1070,dongia1,DG!$H$5,)</f>
        <v>0</v>
      </c>
      <c r="L1070" s="1337">
        <f t="shared" ref="L1070:L1078" si="220">H1070*G1070</f>
        <v>0</v>
      </c>
      <c r="M1070" s="1337">
        <f t="shared" ref="M1070:M1078" si="221">I1070*G1070</f>
        <v>0</v>
      </c>
      <c r="N1070" s="1337">
        <f t="shared" ref="N1070:N1078" si="222">J1070*G1070</f>
        <v>0</v>
      </c>
      <c r="O1070" s="1338">
        <f t="shared" ref="O1070:O1078" si="223">K1070*G1070</f>
        <v>0</v>
      </c>
      <c r="P1070" s="1413"/>
    </row>
    <row r="1071" spans="1:18" s="1300" customFormat="1" ht="27.6" hidden="1" outlineLevel="1">
      <c r="A1071" s="1072" t="str">
        <f>IF(G1071&lt;&gt;0,1,"")</f>
        <v/>
      </c>
      <c r="B1071" s="1421" t="s">
        <v>2028</v>
      </c>
      <c r="C1071" s="1302"/>
      <c r="D1071" s="1198">
        <f>VLOOKUP($B1071,dongia1,DG!$B$5,)</f>
        <v>0</v>
      </c>
      <c r="E1071" s="1243" t="str">
        <f>VLOOKUP($B1071,dongia1,DG!$C$5,)</f>
        <v>Kẹp quai 2/0</v>
      </c>
      <c r="F1071" s="1198" t="str">
        <f>VLOOKUP($B1071,dongia1,DG!$D$5,)</f>
        <v>cái</v>
      </c>
      <c r="G1071" s="1398">
        <f>2*G1067</f>
        <v>0</v>
      </c>
      <c r="H1071" s="1399">
        <f>VLOOKUP($B1071,dongia1,DG!$F$5,)</f>
        <v>46000</v>
      </c>
      <c r="I1071" s="1062"/>
      <c r="J1071" s="1399">
        <f>VLOOKUP($B1071,dongia1,DG!$G$5,)</f>
        <v>0</v>
      </c>
      <c r="K1071" s="1399">
        <f>VLOOKUP($B1071,dongia1,DG!$H$5,)</f>
        <v>0</v>
      </c>
      <c r="L1071" s="1400">
        <f t="shared" si="220"/>
        <v>0</v>
      </c>
      <c r="M1071" s="1400">
        <f t="shared" si="221"/>
        <v>0</v>
      </c>
      <c r="N1071" s="1400">
        <f t="shared" si="222"/>
        <v>0</v>
      </c>
      <c r="O1071" s="1401">
        <f t="shared" si="223"/>
        <v>0</v>
      </c>
      <c r="P1071" s="1420" t="s">
        <v>4624</v>
      </c>
      <c r="R1071" s="1081"/>
    </row>
    <row r="1072" spans="1:18" s="1081" customFormat="1" hidden="1" outlineLevel="1">
      <c r="A1072" s="1154" t="str">
        <f>IF(G1072&lt;&gt;0,1,"")</f>
        <v/>
      </c>
      <c r="B1072" s="1206" t="s">
        <v>2026</v>
      </c>
      <c r="C1072" s="1168"/>
      <c r="D1072" s="1075">
        <f>VLOOKUP($B1072,dongia1,DG!$B$5,)</f>
        <v>0</v>
      </c>
      <c r="E1072" s="1076" t="str">
        <f>VLOOKUP($B1072,dongia1,DG!$C$5,)</f>
        <v>Kẹp hotline 2/0</v>
      </c>
      <c r="F1072" s="1075" t="str">
        <f>VLOOKUP($B1072,dongia1,DG!$D$5,)</f>
        <v>cái</v>
      </c>
      <c r="G1072" s="1403">
        <f>G1071</f>
        <v>0</v>
      </c>
      <c r="H1072" s="1062">
        <f>VLOOKUP($B1072,dongia1,DG!$F$5,)</f>
        <v>77000</v>
      </c>
      <c r="I1072" s="1062"/>
      <c r="J1072" s="1062">
        <f>VLOOKUP($B1072,dongia1,DG!$G$5,)</f>
        <v>0</v>
      </c>
      <c r="K1072" s="1062">
        <f>VLOOKUP($B1072,dongia1,DG!$H$5,)</f>
        <v>0</v>
      </c>
      <c r="L1072" s="1337">
        <f t="shared" si="220"/>
        <v>0</v>
      </c>
      <c r="M1072" s="1337">
        <f t="shared" si="221"/>
        <v>0</v>
      </c>
      <c r="N1072" s="1337">
        <f t="shared" si="222"/>
        <v>0</v>
      </c>
      <c r="O1072" s="1338">
        <f t="shared" si="223"/>
        <v>0</v>
      </c>
      <c r="P1072" s="1413"/>
    </row>
    <row r="1073" spans="1:16" s="1081" customFormat="1" hidden="1" outlineLevel="1">
      <c r="A1073" s="1154">
        <f>IF(G1073&lt;&gt;0,1,0)</f>
        <v>0</v>
      </c>
      <c r="B1073" s="1206" t="s">
        <v>2144</v>
      </c>
      <c r="C1073" s="1074"/>
      <c r="D1073" s="1075">
        <f>VLOOKUP($B1073,dongia1,DG!$B$5,)</f>
        <v>0</v>
      </c>
      <c r="E1073" s="1076" t="str">
        <f>VLOOKUP($B1073,dongia1,DG!$C$5,)</f>
        <v>Nắp che đầu cực FCO</v>
      </c>
      <c r="F1073" s="1198" t="str">
        <f>VLOOKUP($B1073,dongia1,DG!$D$5,)</f>
        <v>cái</v>
      </c>
      <c r="G1073" s="1074">
        <f>3*G1067*0</f>
        <v>0</v>
      </c>
      <c r="H1073" s="1062">
        <f>VLOOKUP($B1073,dongia1,DG!$F$5,)</f>
        <v>218200</v>
      </c>
      <c r="I1073" s="1062"/>
      <c r="J1073" s="1062">
        <f>VLOOKUP($B1073,dongia1,DG!$G$5,)</f>
        <v>0</v>
      </c>
      <c r="K1073" s="1062">
        <f>VLOOKUP($B1073,dongia1,DG!$H$5,)</f>
        <v>0</v>
      </c>
      <c r="L1073" s="1174">
        <f t="shared" si="220"/>
        <v>0</v>
      </c>
      <c r="M1073" s="1174">
        <f t="shared" si="221"/>
        <v>0</v>
      </c>
      <c r="N1073" s="1174">
        <f t="shared" si="222"/>
        <v>0</v>
      </c>
      <c r="O1073" s="1083">
        <f t="shared" si="223"/>
        <v>0</v>
      </c>
      <c r="P1073" s="1080"/>
    </row>
    <row r="1074" spans="1:16" s="1081" customFormat="1" hidden="1" outlineLevel="1">
      <c r="A1074" s="1154">
        <f>IF(G1074&lt;&gt;0,1,0)</f>
        <v>0</v>
      </c>
      <c r="B1074" s="1206" t="s">
        <v>2121</v>
      </c>
      <c r="C1074" s="1074"/>
      <c r="D1074" s="1075">
        <f>VLOOKUP($B1074,dongia1,DG!$B$5,)</f>
        <v>0</v>
      </c>
      <c r="E1074" s="1076" t="str">
        <f>VLOOKUP($B1074,dongia1,DG!$C$5,)</f>
        <v>Nắp che đầu cực LA</v>
      </c>
      <c r="F1074" s="1198" t="str">
        <f>VLOOKUP($B1074,dongia1,DG!$D$5,)</f>
        <v>cái</v>
      </c>
      <c r="G1074" s="1074">
        <f>3*G1067*0</f>
        <v>0</v>
      </c>
      <c r="H1074" s="1062">
        <f>VLOOKUP($B1074,dongia1,DG!$F$5,)</f>
        <v>39100</v>
      </c>
      <c r="I1074" s="1062"/>
      <c r="J1074" s="1062">
        <f>VLOOKUP($B1074,dongia1,DG!$G$5,)</f>
        <v>0</v>
      </c>
      <c r="K1074" s="1062">
        <f>VLOOKUP($B1074,dongia1,DG!$H$5,)</f>
        <v>0</v>
      </c>
      <c r="L1074" s="1174">
        <f t="shared" si="220"/>
        <v>0</v>
      </c>
      <c r="M1074" s="1174">
        <f t="shared" si="221"/>
        <v>0</v>
      </c>
      <c r="N1074" s="1174">
        <f t="shared" si="222"/>
        <v>0</v>
      </c>
      <c r="O1074" s="1083">
        <f t="shared" si="223"/>
        <v>0</v>
      </c>
      <c r="P1074" s="1080"/>
    </row>
    <row r="1075" spans="1:16" s="1081" customFormat="1" hidden="1" outlineLevel="1">
      <c r="A1075" s="1154" t="str">
        <f>IF(G1075&lt;&gt;0,1,"")</f>
        <v/>
      </c>
      <c r="B1075" s="1206" t="s">
        <v>4609</v>
      </c>
      <c r="C1075" s="1074"/>
      <c r="D1075" s="1075"/>
      <c r="E1075" s="1076" t="str">
        <f>VLOOKUP($B1075,dongia1,DG!$C$5,)</f>
        <v>Chụp đầu cực TI, TU</v>
      </c>
      <c r="F1075" s="1075" t="str">
        <f>VLOOKUP($B1075,dongia1,DG!$D$5,)</f>
        <v>Cái</v>
      </c>
      <c r="G1075" s="1403">
        <f>3*G1055</f>
        <v>0</v>
      </c>
      <c r="H1075" s="1062">
        <f>VLOOKUP($B1075,dongia1,DG!$F$5,)</f>
        <v>25000</v>
      </c>
      <c r="I1075" s="1062"/>
      <c r="J1075" s="1062">
        <f>VLOOKUP($B1075,dongia1,DG!$G$5,)</f>
        <v>0</v>
      </c>
      <c r="K1075" s="1062">
        <f>VLOOKUP($B1075,dongia1,DG!$H$5,)</f>
        <v>0</v>
      </c>
      <c r="L1075" s="1337">
        <f>H1075*G1075</f>
        <v>0</v>
      </c>
      <c r="M1075" s="1337">
        <f>I1075*G1075</f>
        <v>0</v>
      </c>
      <c r="N1075" s="1337">
        <f>J1075*G1075</f>
        <v>0</v>
      </c>
      <c r="O1075" s="1338">
        <f>K1075*G1075</f>
        <v>0</v>
      </c>
      <c r="P1075" s="1413"/>
    </row>
    <row r="1076" spans="1:16" s="1081" customFormat="1" hidden="1" outlineLevel="1">
      <c r="A1076" s="1154">
        <f>IF(G1076&lt;&gt;0,1,0)</f>
        <v>0</v>
      </c>
      <c r="B1076" s="1206" t="s">
        <v>2123</v>
      </c>
      <c r="C1076" s="1074"/>
      <c r="D1076" s="1075">
        <f>VLOOKUP($B1076,dongia1,DG!$B$5,)</f>
        <v>0</v>
      </c>
      <c r="E1076" s="1076" t="str">
        <f>VLOOKUP($B1076,dongia1,DG!$C$5,)</f>
        <v>Nắp che đầu sứ MBA</v>
      </c>
      <c r="F1076" s="1198" t="str">
        <f>VLOOKUP($B1076,dongia1,DG!$D$5,)</f>
        <v>cái</v>
      </c>
      <c r="G1076" s="1358"/>
      <c r="H1076" s="1062">
        <f>VLOOKUP($B1076,dongia1,DG!$F$5,)</f>
        <v>56700</v>
      </c>
      <c r="I1076" s="1062"/>
      <c r="J1076" s="1062">
        <f>VLOOKUP($B1076,dongia1,DG!$G$5,)</f>
        <v>0</v>
      </c>
      <c r="K1076" s="1062">
        <f>VLOOKUP($B1076,dongia1,DG!$H$5,)</f>
        <v>0</v>
      </c>
      <c r="L1076" s="1174">
        <f t="shared" si="220"/>
        <v>0</v>
      </c>
      <c r="M1076" s="1174">
        <f t="shared" si="221"/>
        <v>0</v>
      </c>
      <c r="N1076" s="1174">
        <f t="shared" si="222"/>
        <v>0</v>
      </c>
      <c r="O1076" s="1083">
        <f t="shared" si="223"/>
        <v>0</v>
      </c>
      <c r="P1076" s="1413"/>
    </row>
    <row r="1077" spans="1:16" s="1081" customFormat="1" hidden="1" outlineLevel="1">
      <c r="A1077" s="1154" t="str">
        <f>IF(G1077&lt;&gt;0,1,"")</f>
        <v/>
      </c>
      <c r="B1077" s="1206" t="s">
        <v>224</v>
      </c>
      <c r="C1077" s="1168"/>
      <c r="D1077" s="1075" t="str">
        <f>VLOOKUP($B1077,dongia1,DG!$B$5,)</f>
        <v>T4.4201</v>
      </c>
      <c r="E1077" s="1076" t="str">
        <f>VLOOKUP($B1077,dongia1,DG!$C$5,)</f>
        <v>Lắp cáp đồng xuống thiết bị D ≤ 95mm2</v>
      </c>
      <c r="F1077" s="1075" t="str">
        <f>VLOOKUP($B1077,dongia1,DG!$D$5,)</f>
        <v>m</v>
      </c>
      <c r="G1077" s="1403">
        <f>G1069</f>
        <v>0</v>
      </c>
      <c r="H1077" s="1062">
        <f>VLOOKUP($B1077,dongia1,DG!$F$5,)</f>
        <v>0</v>
      </c>
      <c r="I1077" s="1062"/>
      <c r="J1077" s="1062">
        <f>VLOOKUP($B1077,dongia1,DG!$G$5,)</f>
        <v>13915</v>
      </c>
      <c r="K1077" s="1062">
        <f>VLOOKUP($B1077,dongia1,DG!$H$5,)</f>
        <v>0</v>
      </c>
      <c r="L1077" s="1337">
        <f t="shared" si="220"/>
        <v>0</v>
      </c>
      <c r="M1077" s="1337">
        <f t="shared" si="221"/>
        <v>0</v>
      </c>
      <c r="N1077" s="1337">
        <f t="shared" si="222"/>
        <v>0</v>
      </c>
      <c r="O1077" s="1338">
        <f t="shared" si="223"/>
        <v>0</v>
      </c>
      <c r="P1077" s="1413"/>
    </row>
    <row r="1078" spans="1:16" s="1081" customFormat="1" hidden="1" outlineLevel="1">
      <c r="A1078" s="1154" t="str">
        <f>A1072</f>
        <v/>
      </c>
      <c r="B1078" s="1073"/>
      <c r="C1078" s="1191">
        <f>IF(G1078&gt;0,C1067+1,C1067)</f>
        <v>0</v>
      </c>
      <c r="D1078" s="1353"/>
      <c r="E1078" s="1375" t="s">
        <v>4580</v>
      </c>
      <c r="F1078" s="1191" t="s">
        <v>2113</v>
      </c>
      <c r="G1078" s="1422">
        <f>G1016</f>
        <v>0</v>
      </c>
      <c r="H1078" s="1083"/>
      <c r="I1078" s="1083"/>
      <c r="J1078" s="1083"/>
      <c r="K1078" s="1083"/>
      <c r="L1078" s="1337">
        <f t="shared" si="220"/>
        <v>0</v>
      </c>
      <c r="M1078" s="1337">
        <f t="shared" si="221"/>
        <v>0</v>
      </c>
      <c r="N1078" s="1337">
        <f t="shared" si="222"/>
        <v>0</v>
      </c>
      <c r="O1078" s="1338">
        <f t="shared" si="223"/>
        <v>0</v>
      </c>
      <c r="P1078" s="1413"/>
    </row>
    <row r="1079" spans="1:16" s="1081" customFormat="1" ht="14.4" hidden="1" outlineLevel="1">
      <c r="A1079" s="1154" t="str">
        <f>A1078</f>
        <v/>
      </c>
      <c r="B1079" s="1073"/>
      <c r="C1079" s="1191"/>
      <c r="D1079" s="1353"/>
      <c r="E1079" s="1376" t="s">
        <v>3399</v>
      </c>
      <c r="F1079" s="1075"/>
      <c r="G1079" s="1422"/>
      <c r="H1079" s="1083"/>
      <c r="I1079" s="1083"/>
      <c r="J1079" s="1083"/>
      <c r="K1079" s="1083"/>
      <c r="L1079" s="1337">
        <f t="shared" ref="L1079:L1090" si="224">H1079*G1079</f>
        <v>0</v>
      </c>
      <c r="M1079" s="1337">
        <f t="shared" ref="M1079:M1090" si="225">I1079*G1079</f>
        <v>0</v>
      </c>
      <c r="N1079" s="1337">
        <f t="shared" ref="N1079:N1090" si="226">J1079*G1079</f>
        <v>0</v>
      </c>
      <c r="O1079" s="1338">
        <f t="shared" ref="O1079:O1090" si="227">K1079*G1079</f>
        <v>0</v>
      </c>
      <c r="P1079" s="1413"/>
    </row>
    <row r="1080" spans="1:16" s="1081" customFormat="1" hidden="1" outlineLevel="1">
      <c r="A1080" s="1154" t="str">
        <f t="shared" ref="A1080:A1090" si="228">IF(G1080&lt;&gt;0,1,"")</f>
        <v/>
      </c>
      <c r="B1080" s="1073" t="s">
        <v>3923</v>
      </c>
      <c r="C1080" s="1168"/>
      <c r="D1080" s="1075">
        <f>VLOOKUP($B1080,dongia1,DG!$B$5,)</f>
        <v>0</v>
      </c>
      <c r="E1080" s="1076" t="str">
        <f>VLOOKUP($B1080,dongia1,DG!$C$5,)</f>
        <v>Cáp đồng bọc CV300</v>
      </c>
      <c r="F1080" s="1075" t="str">
        <f>VLOOKUP($B1080,dongia1,DG!$D$5,)</f>
        <v>mét</v>
      </c>
      <c r="G1080" s="1403">
        <f>G1078*8*3</f>
        <v>0</v>
      </c>
      <c r="H1080" s="1062">
        <f>VLOOKUP($B1080,dongia1,DG!$F$5,)</f>
        <v>684900</v>
      </c>
      <c r="I1080" s="1062"/>
      <c r="J1080" s="1062">
        <f>VLOOKUP($B1080,dongia1,DG!$G$5,)</f>
        <v>0</v>
      </c>
      <c r="K1080" s="1062">
        <f>VLOOKUP($B1080,dongia1,DG!$H$5,)</f>
        <v>0</v>
      </c>
      <c r="L1080" s="1337">
        <f t="shared" si="224"/>
        <v>0</v>
      </c>
      <c r="M1080" s="1337">
        <f t="shared" si="225"/>
        <v>0</v>
      </c>
      <c r="N1080" s="1337">
        <f t="shared" si="226"/>
        <v>0</v>
      </c>
      <c r="O1080" s="1338">
        <f t="shared" si="227"/>
        <v>0</v>
      </c>
      <c r="P1080" s="1413"/>
    </row>
    <row r="1081" spans="1:16" s="1081" customFormat="1" hidden="1" outlineLevel="1">
      <c r="A1081" s="1154" t="str">
        <f t="shared" si="228"/>
        <v/>
      </c>
      <c r="B1081" s="1073" t="s">
        <v>188</v>
      </c>
      <c r="C1081" s="1168"/>
      <c r="D1081" s="1075">
        <f>VLOOKUP($B1081,dongia1,DG!$B$5,)</f>
        <v>0</v>
      </c>
      <c r="E1081" s="1076" t="str">
        <f>VLOOKUP($B1081,dongia1,DG!$C$5,)</f>
        <v>Cáp đồng bọc CV150</v>
      </c>
      <c r="F1081" s="1075" t="str">
        <f>VLOOKUP($B1081,dongia1,DG!$D$5,)</f>
        <v>mét</v>
      </c>
      <c r="G1081" s="1403">
        <f>G1078*8</f>
        <v>0</v>
      </c>
      <c r="H1081" s="1062">
        <f>VLOOKUP($B1081,dongia1,DG!$F$5,)</f>
        <v>194893</v>
      </c>
      <c r="I1081" s="1062"/>
      <c r="J1081" s="1062">
        <f>VLOOKUP($B1081,dongia1,DG!$G$5,)</f>
        <v>0</v>
      </c>
      <c r="K1081" s="1062">
        <f>VLOOKUP($B1081,dongia1,DG!$H$5,)</f>
        <v>0</v>
      </c>
      <c r="L1081" s="1337">
        <f t="shared" si="224"/>
        <v>0</v>
      </c>
      <c r="M1081" s="1337">
        <f t="shared" si="225"/>
        <v>0</v>
      </c>
      <c r="N1081" s="1337">
        <f t="shared" si="226"/>
        <v>0</v>
      </c>
      <c r="O1081" s="1338">
        <f t="shared" si="227"/>
        <v>0</v>
      </c>
      <c r="P1081" s="1413"/>
    </row>
    <row r="1082" spans="1:16" s="1081" customFormat="1" hidden="1" outlineLevel="1">
      <c r="A1082" s="1154" t="str">
        <f t="shared" si="228"/>
        <v/>
      </c>
      <c r="B1082" s="1073" t="s">
        <v>865</v>
      </c>
      <c r="C1082" s="1074"/>
      <c r="D1082" s="1075" t="str">
        <f>VLOOKUP($B1082,dongia1,DG!$B$5,)</f>
        <v>03.1401</v>
      </c>
      <c r="E1082" s="1076" t="str">
        <f>VLOOKUP($B1082,dongia1,DG!$C$5,)</f>
        <v xml:space="preserve">Cáp CVV 4x2,5mm2  </v>
      </c>
      <c r="F1082" s="1075" t="str">
        <f>VLOOKUP($B1082,dongia1,DG!$D$5,)</f>
        <v>mét</v>
      </c>
      <c r="G1082" s="1403">
        <f>4*G1078</f>
        <v>0</v>
      </c>
      <c r="H1082" s="1062">
        <f>VLOOKUP($B1082,dongia1,DG!$F$5,)</f>
        <v>28200</v>
      </c>
      <c r="I1082" s="1062"/>
      <c r="J1082" s="1062">
        <f>VLOOKUP($B1082,dongia1,DG!$G$5,)</f>
        <v>0</v>
      </c>
      <c r="K1082" s="1062">
        <f>VLOOKUP($B1082,dongia1,DG!$H$5,)</f>
        <v>0</v>
      </c>
      <c r="L1082" s="1078">
        <f t="shared" si="224"/>
        <v>0</v>
      </c>
      <c r="M1082" s="1078">
        <f t="shared" si="225"/>
        <v>0</v>
      </c>
      <c r="N1082" s="1078">
        <f t="shared" si="226"/>
        <v>0</v>
      </c>
      <c r="O1082" s="1079">
        <f t="shared" si="227"/>
        <v>0</v>
      </c>
      <c r="P1082" s="1413"/>
    </row>
    <row r="1083" spans="1:16" s="1081" customFormat="1" hidden="1" outlineLevel="1">
      <c r="A1083" s="1154" t="str">
        <f t="shared" si="228"/>
        <v/>
      </c>
      <c r="B1083" s="1073" t="s">
        <v>437</v>
      </c>
      <c r="C1083" s="1168"/>
      <c r="D1083" s="1075" t="str">
        <f>VLOOKUP($B1083,dongia1,DG!$B$5,)</f>
        <v>D4.5009</v>
      </c>
      <c r="E1083" s="1076" t="str">
        <f>VLOOKUP($B1083,dongia1,DG!$C$5,)</f>
        <v>Đầu cosse ép Cu 300mm2</v>
      </c>
      <c r="F1083" s="1075" t="str">
        <f>VLOOKUP($B1083,dongia1,DG!$D$5,)</f>
        <v>cái</v>
      </c>
      <c r="G1083" s="1403">
        <f>G1078*6</f>
        <v>0</v>
      </c>
      <c r="H1083" s="1062">
        <f>VLOOKUP($B1083,dongia1,DG!$F$5,)</f>
        <v>108000</v>
      </c>
      <c r="I1083" s="1062"/>
      <c r="J1083" s="1062">
        <f>VLOOKUP($B1083,dongia1,DG!$G$5,)</f>
        <v>59410.148000000001</v>
      </c>
      <c r="K1083" s="1062">
        <f>VLOOKUP($B1083,dongia1,DG!$H$5,)</f>
        <v>7775.6650930000005</v>
      </c>
      <c r="L1083" s="1337">
        <f t="shared" si="224"/>
        <v>0</v>
      </c>
      <c r="M1083" s="1337">
        <f t="shared" si="225"/>
        <v>0</v>
      </c>
      <c r="N1083" s="1337">
        <f t="shared" si="226"/>
        <v>0</v>
      </c>
      <c r="O1083" s="1338">
        <f t="shared" si="227"/>
        <v>0</v>
      </c>
      <c r="P1083" s="1413"/>
    </row>
    <row r="1084" spans="1:16" s="1081" customFormat="1" hidden="1" outlineLevel="1">
      <c r="A1084" s="1154" t="str">
        <f t="shared" si="228"/>
        <v/>
      </c>
      <c r="B1084" s="1073" t="s">
        <v>1578</v>
      </c>
      <c r="C1084" s="1168"/>
      <c r="D1084" s="1075" t="str">
        <f>VLOOKUP($B1084,dongia1,DG!$B$5,)</f>
        <v>D4.5006</v>
      </c>
      <c r="E1084" s="1076" t="str">
        <f>VLOOKUP($B1084,dongia1,DG!$C$5,)</f>
        <v>Đầu cosse ép Cu 150mm2</v>
      </c>
      <c r="F1084" s="1075" t="str">
        <f>VLOOKUP($B1084,dongia1,DG!$D$5,)</f>
        <v>cái</v>
      </c>
      <c r="G1084" s="1403">
        <f>G1078*2</f>
        <v>0</v>
      </c>
      <c r="H1084" s="1062">
        <f>VLOOKUP($B1084,dongia1,DG!$F$5,)</f>
        <v>36000</v>
      </c>
      <c r="I1084" s="1062"/>
      <c r="J1084" s="1062">
        <f>VLOOKUP($B1084,dongia1,DG!$G$5,)</f>
        <v>33342.43</v>
      </c>
      <c r="K1084" s="1062">
        <f>VLOOKUP($B1084,dongia1,DG!$H$5,)</f>
        <v>4443.237196</v>
      </c>
      <c r="L1084" s="1337">
        <f t="shared" si="224"/>
        <v>0</v>
      </c>
      <c r="M1084" s="1337">
        <f t="shared" si="225"/>
        <v>0</v>
      </c>
      <c r="N1084" s="1337">
        <f t="shared" si="226"/>
        <v>0</v>
      </c>
      <c r="O1084" s="1338">
        <f t="shared" si="227"/>
        <v>0</v>
      </c>
      <c r="P1084" s="1413"/>
    </row>
    <row r="1085" spans="1:16" s="1081" customFormat="1" hidden="1" outlineLevel="1">
      <c r="A1085" s="1154" t="str">
        <f t="shared" si="228"/>
        <v/>
      </c>
      <c r="B1085" s="1073" t="s">
        <v>4581</v>
      </c>
      <c r="C1085" s="1168"/>
      <c r="D1085" s="1075">
        <f>VLOOKUP($B1085,dongia1,DG!$B$5,)</f>
        <v>0</v>
      </c>
      <c r="E1085" s="1076" t="str">
        <f>VLOOKUP($B1085,dongia1,DG!$C$5,)</f>
        <v>Chụp đầu cosse  300mm2</v>
      </c>
      <c r="F1085" s="1075" t="str">
        <f>VLOOKUP($B1085,dongia1,DG!$D$5,)</f>
        <v>cái</v>
      </c>
      <c r="G1085" s="1403">
        <f>G1083</f>
        <v>0</v>
      </c>
      <c r="H1085" s="1062">
        <f>VLOOKUP($B1085,dongia1,DG!$F$5,)</f>
        <v>8000</v>
      </c>
      <c r="I1085" s="1062"/>
      <c r="J1085" s="1062">
        <f>VLOOKUP($B1085,dongia1,DG!$G$5,)</f>
        <v>0</v>
      </c>
      <c r="K1085" s="1062">
        <f>VLOOKUP($B1085,dongia1,DG!$H$5,)</f>
        <v>0</v>
      </c>
      <c r="L1085" s="1337">
        <f t="shared" si="224"/>
        <v>0</v>
      </c>
      <c r="M1085" s="1337">
        <f t="shared" si="225"/>
        <v>0</v>
      </c>
      <c r="N1085" s="1337">
        <f t="shared" si="226"/>
        <v>0</v>
      </c>
      <c r="O1085" s="1338">
        <f t="shared" si="227"/>
        <v>0</v>
      </c>
      <c r="P1085" s="1413"/>
    </row>
    <row r="1086" spans="1:16" s="1081" customFormat="1" hidden="1" outlineLevel="1">
      <c r="A1086" s="1154" t="str">
        <f t="shared" si="228"/>
        <v/>
      </c>
      <c r="B1086" s="1073" t="s">
        <v>4582</v>
      </c>
      <c r="C1086" s="1168"/>
      <c r="D1086" s="1075">
        <f>VLOOKUP($B1086,dongia1,DG!$B$5,)</f>
        <v>0</v>
      </c>
      <c r="E1086" s="1076" t="str">
        <f>VLOOKUP($B1086,dongia1,DG!$C$5,)</f>
        <v>Chụp đầu cosse  150mm2</v>
      </c>
      <c r="F1086" s="1075" t="str">
        <f>VLOOKUP($B1086,dongia1,DG!$D$5,)</f>
        <v>cái</v>
      </c>
      <c r="G1086" s="1403">
        <f>G1084</f>
        <v>0</v>
      </c>
      <c r="H1086" s="1062">
        <f>VLOOKUP($B1086,dongia1,DG!$F$5,)</f>
        <v>5000</v>
      </c>
      <c r="I1086" s="1062"/>
      <c r="J1086" s="1062">
        <f>VLOOKUP($B1086,dongia1,DG!$G$5,)</f>
        <v>0</v>
      </c>
      <c r="K1086" s="1062">
        <f>VLOOKUP($B1086,dongia1,DG!$H$5,)</f>
        <v>0</v>
      </c>
      <c r="L1086" s="1337">
        <f t="shared" si="224"/>
        <v>0</v>
      </c>
      <c r="M1086" s="1337">
        <f t="shared" si="225"/>
        <v>0</v>
      </c>
      <c r="N1086" s="1337">
        <f t="shared" si="226"/>
        <v>0</v>
      </c>
      <c r="O1086" s="1338">
        <f t="shared" si="227"/>
        <v>0</v>
      </c>
      <c r="P1086" s="1413"/>
    </row>
    <row r="1087" spans="1:16" s="1081" customFormat="1" hidden="1" outlineLevel="1">
      <c r="A1087" s="1154" t="str">
        <f t="shared" si="228"/>
        <v/>
      </c>
      <c r="B1087" s="1073" t="s">
        <v>961</v>
      </c>
      <c r="C1087" s="1168"/>
      <c r="D1087" s="1075">
        <f>VLOOKUP($B1087,dongia1,DG!$B$5,)</f>
        <v>0</v>
      </c>
      <c r="E1087" s="1076" t="str">
        <f>VLOOKUP($B1087,dongia1,DG!$C$5,)</f>
        <v xml:space="preserve">Ống PVC D114x4,9mm </v>
      </c>
      <c r="F1087" s="1075" t="str">
        <f>VLOOKUP($B1087,dongia1,DG!$D$5,)</f>
        <v>m</v>
      </c>
      <c r="G1087" s="1403">
        <f>8*G1078</f>
        <v>0</v>
      </c>
      <c r="H1087" s="1062">
        <f>VLOOKUP($B1087,dongia1,DG!$F$5,)</f>
        <v>103700</v>
      </c>
      <c r="I1087" s="1083"/>
      <c r="J1087" s="1062">
        <f>VLOOKUP($B1087,dongia1,DG!$G$5,)</f>
        <v>0</v>
      </c>
      <c r="K1087" s="1062">
        <f>VLOOKUP($B1087,dongia1,DG!$H$5,)</f>
        <v>0</v>
      </c>
      <c r="L1087" s="1337">
        <f t="shared" si="224"/>
        <v>0</v>
      </c>
      <c r="M1087" s="1337">
        <f t="shared" si="225"/>
        <v>0</v>
      </c>
      <c r="N1087" s="1337">
        <f t="shared" si="226"/>
        <v>0</v>
      </c>
      <c r="O1087" s="1338">
        <f t="shared" si="227"/>
        <v>0</v>
      </c>
      <c r="P1087" s="1413"/>
    </row>
    <row r="1088" spans="1:16" s="1081" customFormat="1" hidden="1" outlineLevel="1">
      <c r="A1088" s="1154" t="str">
        <f t="shared" si="228"/>
        <v/>
      </c>
      <c r="B1088" s="1067" t="s">
        <v>826</v>
      </c>
      <c r="C1088" s="1168"/>
      <c r="D1088" s="1075">
        <f>VLOOKUP($B1088,dongia1,DG!$B$5,)</f>
        <v>0</v>
      </c>
      <c r="E1088" s="1076" t="str">
        <f>VLOOKUP($B1088,dongia1,DG!$C$5,)</f>
        <v>Cổ dê kẹp ống PVC Þ 114</v>
      </c>
      <c r="F1088" s="1075" t="str">
        <f>VLOOKUP($B1088,dongia1,DG!$D$5,)</f>
        <v>bộ</v>
      </c>
      <c r="G1088" s="1403">
        <f>3*G1078</f>
        <v>0</v>
      </c>
      <c r="H1088" s="1062">
        <f>VLOOKUP($B1088,dongia1,DG!$F$5,)</f>
        <v>50000</v>
      </c>
      <c r="I1088" s="1083"/>
      <c r="J1088" s="1062">
        <f>VLOOKUP($B1088,dongia1,DG!$G$5,)</f>
        <v>0</v>
      </c>
      <c r="K1088" s="1062">
        <f>VLOOKUP($B1088,dongia1,DG!$H$5,)</f>
        <v>0</v>
      </c>
      <c r="L1088" s="1337">
        <f t="shared" si="224"/>
        <v>0</v>
      </c>
      <c r="M1088" s="1337">
        <f t="shared" si="225"/>
        <v>0</v>
      </c>
      <c r="N1088" s="1337">
        <f t="shared" si="226"/>
        <v>0</v>
      </c>
      <c r="O1088" s="1338">
        <f t="shared" si="227"/>
        <v>0</v>
      </c>
      <c r="P1088" s="1413"/>
    </row>
    <row r="1089" spans="1:19" s="1081" customFormat="1" hidden="1" outlineLevel="1">
      <c r="A1089" s="1154" t="str">
        <f t="shared" si="228"/>
        <v/>
      </c>
      <c r="B1089" s="1073" t="s">
        <v>828</v>
      </c>
      <c r="C1089" s="1168"/>
      <c r="D1089" s="1075">
        <f>VLOOKUP($B1089,dongia1,DG!$B$5,)</f>
        <v>0</v>
      </c>
      <c r="E1089" s="1076" t="str">
        <f>VLOOKUP($B1089,dongia1,DG!$C$5,)</f>
        <v>Co  90 độ PVC 114</v>
      </c>
      <c r="F1089" s="1075" t="str">
        <f>VLOOKUP($B1089,dongia1,DG!$D$5,)</f>
        <v>cái</v>
      </c>
      <c r="G1089" s="1403">
        <f>2*G1078</f>
        <v>0</v>
      </c>
      <c r="H1089" s="1062">
        <f>VLOOKUP($B1089,dongia1,DG!$F$5,)</f>
        <v>104800</v>
      </c>
      <c r="I1089" s="1083"/>
      <c r="J1089" s="1062">
        <f>VLOOKUP($B1089,dongia1,DG!$G$5,)</f>
        <v>0</v>
      </c>
      <c r="K1089" s="1062">
        <f>VLOOKUP($B1089,dongia1,DG!$H$5,)</f>
        <v>0</v>
      </c>
      <c r="L1089" s="1337">
        <f t="shared" si="224"/>
        <v>0</v>
      </c>
      <c r="M1089" s="1337">
        <f t="shared" si="225"/>
        <v>0</v>
      </c>
      <c r="N1089" s="1337">
        <f t="shared" si="226"/>
        <v>0</v>
      </c>
      <c r="O1089" s="1338">
        <f t="shared" si="227"/>
        <v>0</v>
      </c>
      <c r="P1089" s="1413"/>
    </row>
    <row r="1090" spans="1:19" s="1081" customFormat="1" hidden="1" outlineLevel="1">
      <c r="A1090" s="1154" t="str">
        <f t="shared" si="228"/>
        <v/>
      </c>
      <c r="B1090" s="1073" t="s">
        <v>693</v>
      </c>
      <c r="C1090" s="1168"/>
      <c r="D1090" s="1075">
        <f>VLOOKUP($B1090,dongia1,DG!$B$5,)</f>
        <v>0</v>
      </c>
      <c r="E1090" s="1076" t="str">
        <f>VLOOKUP($B1090,dongia1,DG!$C$5,)</f>
        <v>Khâu ven răng trong D114</v>
      </c>
      <c r="F1090" s="1075" t="str">
        <f>VLOOKUP($B1090,dongia1,DG!$D$5,)</f>
        <v>cái</v>
      </c>
      <c r="G1090" s="1403">
        <f>+G1078</f>
        <v>0</v>
      </c>
      <c r="H1090" s="1062">
        <f>VLOOKUP($B1090,dongia1,DG!$F$5,)</f>
        <v>41900</v>
      </c>
      <c r="I1090" s="1083"/>
      <c r="J1090" s="1062">
        <f>VLOOKUP($B1090,dongia1,DG!$G$5,)</f>
        <v>0</v>
      </c>
      <c r="K1090" s="1062">
        <f>VLOOKUP($B1090,dongia1,DG!$H$5,)</f>
        <v>0</v>
      </c>
      <c r="L1090" s="1337">
        <f t="shared" si="224"/>
        <v>0</v>
      </c>
      <c r="M1090" s="1337">
        <f t="shared" si="225"/>
        <v>0</v>
      </c>
      <c r="N1090" s="1337">
        <f t="shared" si="226"/>
        <v>0</v>
      </c>
      <c r="O1090" s="1338">
        <f t="shared" si="227"/>
        <v>0</v>
      </c>
      <c r="P1090" s="1413"/>
    </row>
    <row r="1091" spans="1:19" s="1081" customFormat="1" hidden="1" outlineLevel="1">
      <c r="A1091" s="1154" t="str">
        <f>IF(G1091&lt;&gt;0,1,"")</f>
        <v/>
      </c>
      <c r="B1091" s="1073" t="s">
        <v>694</v>
      </c>
      <c r="C1091" s="1168"/>
      <c r="D1091" s="1075">
        <f>VLOOKUP($B1091,dongia1,DG!$B$5,)</f>
        <v>0</v>
      </c>
      <c r="E1091" s="1076" t="str">
        <f>VLOOKUP($B1091,dongia1,DG!$C$5,)</f>
        <v>Khâu ven răng ngoài D114</v>
      </c>
      <c r="F1091" s="1075" t="str">
        <f>VLOOKUP($B1091,dongia1,DG!$D$5,)</f>
        <v>cái</v>
      </c>
      <c r="G1091" s="1403">
        <f>+G1090</f>
        <v>0</v>
      </c>
      <c r="H1091" s="1062">
        <f>VLOOKUP($B1091,dongia1,DG!$F$5,)</f>
        <v>41900</v>
      </c>
      <c r="I1091" s="1083"/>
      <c r="J1091" s="1062">
        <f>VLOOKUP($B1091,dongia1,DG!$G$5,)</f>
        <v>0</v>
      </c>
      <c r="K1091" s="1062">
        <f>VLOOKUP($B1091,dongia1,DG!$H$5,)</f>
        <v>0</v>
      </c>
      <c r="L1091" s="1337">
        <f t="shared" ref="L1091:L1097" si="229">H1091*G1091</f>
        <v>0</v>
      </c>
      <c r="M1091" s="1337">
        <f t="shared" ref="M1091:M1097" si="230">I1091*G1091</f>
        <v>0</v>
      </c>
      <c r="N1091" s="1337">
        <f t="shared" ref="N1091:N1097" si="231">J1091*G1091</f>
        <v>0</v>
      </c>
      <c r="O1091" s="1338">
        <f t="shared" ref="O1091:O1097" si="232">K1091*G1091</f>
        <v>0</v>
      </c>
      <c r="P1091" s="1413"/>
    </row>
    <row r="1092" spans="1:19" s="1081" customFormat="1" hidden="1" outlineLevel="1">
      <c r="A1092" s="1154" t="str">
        <f>IF(G1092&lt;&gt;0,1,"")</f>
        <v/>
      </c>
      <c r="B1092" s="1073" t="s">
        <v>1188</v>
      </c>
      <c r="C1092" s="1168"/>
      <c r="D1092" s="1075">
        <f>VLOOKUP($B1092,dongia1,DG!$B$5,)</f>
        <v>0</v>
      </c>
      <c r="E1092" s="1076" t="str">
        <f>VLOOKUP($B1092,dongia1,DG!$C$5,)</f>
        <v>Keo dán ống PVC (100gr)</v>
      </c>
      <c r="F1092" s="1075" t="str">
        <f>VLOOKUP($B1092,dongia1,DG!$D$5,)</f>
        <v>tuýp</v>
      </c>
      <c r="G1092" s="1403">
        <f>G1078*1</f>
        <v>0</v>
      </c>
      <c r="H1092" s="1062">
        <f>VLOOKUP($B1092,dongia1,DG!$F$5,)</f>
        <v>11500</v>
      </c>
      <c r="I1092" s="1083"/>
      <c r="J1092" s="1062">
        <f>VLOOKUP($B1092,dongia1,DG!$G$5,)</f>
        <v>0</v>
      </c>
      <c r="K1092" s="1062">
        <f>VLOOKUP($B1092,dongia1,DG!$H$5,)</f>
        <v>0</v>
      </c>
      <c r="L1092" s="1337">
        <f t="shared" si="229"/>
        <v>0</v>
      </c>
      <c r="M1092" s="1337">
        <f t="shared" si="230"/>
        <v>0</v>
      </c>
      <c r="N1092" s="1337">
        <f t="shared" si="231"/>
        <v>0</v>
      </c>
      <c r="O1092" s="1338">
        <f t="shared" si="232"/>
        <v>0</v>
      </c>
      <c r="P1092" s="1413"/>
    </row>
    <row r="1093" spans="1:19" s="1081" customFormat="1" hidden="1" outlineLevel="1">
      <c r="A1093" s="1154" t="str">
        <f>IF(G1093&lt;&gt;0,1,"")</f>
        <v/>
      </c>
      <c r="B1093" s="1073" t="s">
        <v>429</v>
      </c>
      <c r="C1093" s="1168"/>
      <c r="D1093" s="1075">
        <f>VLOOKUP($B1093,dongia1,DG!$B$5,)</f>
        <v>0</v>
      </c>
      <c r="E1093" s="1076" t="str">
        <f>VLOOKUP($B1093,dongia1,DG!$C$5,)</f>
        <v>Keo silicon bít miệng ống</v>
      </c>
      <c r="F1093" s="1075" t="str">
        <f>VLOOKUP($B1093,dongia1,DG!$D$5,)</f>
        <v>chai</v>
      </c>
      <c r="G1093" s="1403">
        <f>G1092</f>
        <v>0</v>
      </c>
      <c r="H1093" s="1062">
        <f>VLOOKUP($B1093,dongia1,DG!$F$5,)</f>
        <v>45000</v>
      </c>
      <c r="I1093" s="1083"/>
      <c r="J1093" s="1062">
        <f>VLOOKUP($B1093,dongia1,DG!$G$5,)</f>
        <v>0</v>
      </c>
      <c r="K1093" s="1062">
        <f>VLOOKUP($B1093,dongia1,DG!$H$5,)</f>
        <v>0</v>
      </c>
      <c r="L1093" s="1337">
        <f t="shared" si="229"/>
        <v>0</v>
      </c>
      <c r="M1093" s="1337">
        <f t="shared" si="230"/>
        <v>0</v>
      </c>
      <c r="N1093" s="1337">
        <f t="shared" si="231"/>
        <v>0</v>
      </c>
      <c r="O1093" s="1338">
        <f t="shared" si="232"/>
        <v>0</v>
      </c>
      <c r="P1093" s="1413"/>
    </row>
    <row r="1094" spans="1:19" s="1081" customFormat="1" hidden="1" outlineLevel="1">
      <c r="A1094" s="1154" t="str">
        <f>IF(G1094&lt;&gt;0,1,"")</f>
        <v/>
      </c>
      <c r="B1094" s="1067" t="s">
        <v>236</v>
      </c>
      <c r="C1094" s="1168"/>
      <c r="D1094" s="1075">
        <f>VLOOKUP($B1094,dongia1,DG!$B$5,)</f>
        <v>0</v>
      </c>
      <c r="E1094" s="1076" t="str">
        <f>VLOOKUP($B1094,dongia1,DG!$C$5,)</f>
        <v>Băng keo cách điện hạ thế</v>
      </c>
      <c r="F1094" s="1075" t="str">
        <f>VLOOKUP($B1094,dongia1,DG!$D$5,)</f>
        <v>cuộn</v>
      </c>
      <c r="G1094" s="1403">
        <f>G1078*2</f>
        <v>0</v>
      </c>
      <c r="H1094" s="1062">
        <f>VLOOKUP($B1094,dongia1,DG!$F$5,)</f>
        <v>6500</v>
      </c>
      <c r="I1094" s="1083"/>
      <c r="J1094" s="1062">
        <f>VLOOKUP($B1094,dongia1,DG!$G$5,)</f>
        <v>0</v>
      </c>
      <c r="K1094" s="1062">
        <f>VLOOKUP($B1094,dongia1,DG!$H$5,)</f>
        <v>0</v>
      </c>
      <c r="L1094" s="1337">
        <f t="shared" si="229"/>
        <v>0</v>
      </c>
      <c r="M1094" s="1337">
        <f t="shared" si="230"/>
        <v>0</v>
      </c>
      <c r="N1094" s="1337">
        <f t="shared" si="231"/>
        <v>0</v>
      </c>
      <c r="O1094" s="1338">
        <f t="shared" si="232"/>
        <v>0</v>
      </c>
      <c r="P1094" s="1423"/>
    </row>
    <row r="1095" spans="1:19" s="1081" customFormat="1" hidden="1" outlineLevel="1">
      <c r="A1095" s="1154" t="str">
        <f>A1094</f>
        <v/>
      </c>
      <c r="B1095" s="1086" t="s">
        <v>827</v>
      </c>
      <c r="C1095" s="1074"/>
      <c r="D1095" s="1075" t="str">
        <f>VLOOKUP($B1095,dongia1,DG!$B$5,)</f>
        <v>D4.1411</v>
      </c>
      <c r="E1095" s="1076" t="str">
        <f>VLOOKUP($B1095,dongia1,DG!$C$5,)</f>
        <v>Lắp ống nhựa PVC D114</v>
      </c>
      <c r="F1095" s="1075" t="str">
        <f>VLOOKUP($B1095,dongia1,DG!$D$5,)</f>
        <v>mét</v>
      </c>
      <c r="G1095" s="1358">
        <f>G1087</f>
        <v>0</v>
      </c>
      <c r="H1095" s="1062"/>
      <c r="I1095" s="1083"/>
      <c r="J1095" s="1062">
        <f>VLOOKUP($B1095,dongia1,DG!$G$5,)</f>
        <v>65150.03</v>
      </c>
      <c r="K1095" s="1062">
        <f>VLOOKUP($B1095,dongia1,DG!$H$5,)</f>
        <v>0</v>
      </c>
      <c r="L1095" s="1174">
        <f t="shared" si="229"/>
        <v>0</v>
      </c>
      <c r="M1095" s="1174">
        <f t="shared" si="230"/>
        <v>0</v>
      </c>
      <c r="N1095" s="1174">
        <f t="shared" si="231"/>
        <v>0</v>
      </c>
      <c r="O1095" s="1083">
        <f t="shared" si="232"/>
        <v>0</v>
      </c>
      <c r="P1095" s="1413"/>
    </row>
    <row r="1096" spans="1:19" s="1081" customFormat="1" hidden="1" outlineLevel="1">
      <c r="A1096" s="1154" t="str">
        <f>A1094</f>
        <v/>
      </c>
      <c r="B1096" s="1067" t="s">
        <v>379</v>
      </c>
      <c r="C1096" s="1074"/>
      <c r="D1096" s="1075" t="str">
        <f>VLOOKUP($B1096,dongia1,DG!$B$5,)</f>
        <v>T4.4203</v>
      </c>
      <c r="E1096" s="1076" t="str">
        <f>VLOOKUP($B1096,dongia1,DG!$C$5,)</f>
        <v>Lắp cáp đồng xuống thiết bị D ≤ 240mm2</v>
      </c>
      <c r="F1096" s="1075" t="str">
        <f>VLOOKUP($B1096,dongia1,DG!$D$5,)</f>
        <v>m</v>
      </c>
      <c r="G1096" s="1358">
        <f>G1080+G1081</f>
        <v>0</v>
      </c>
      <c r="H1096" s="1062"/>
      <c r="I1096" s="1083"/>
      <c r="J1096" s="1062">
        <f>VLOOKUP($B1096,dongia1,DG!$G$5,)</f>
        <v>47311</v>
      </c>
      <c r="K1096" s="1062">
        <f>VLOOKUP($B1096,dongia1,DG!$H$5,)</f>
        <v>0</v>
      </c>
      <c r="L1096" s="1174">
        <f t="shared" si="229"/>
        <v>0</v>
      </c>
      <c r="M1096" s="1174">
        <f t="shared" si="230"/>
        <v>0</v>
      </c>
      <c r="N1096" s="1174">
        <f t="shared" si="231"/>
        <v>0</v>
      </c>
      <c r="O1096" s="1083">
        <f t="shared" si="232"/>
        <v>0</v>
      </c>
      <c r="P1096" s="1413"/>
    </row>
    <row r="1097" spans="1:19" s="1081" customFormat="1" hidden="1" outlineLevel="1">
      <c r="A1097" s="1154" t="str">
        <f>IF(G1097&lt;&gt;0,1,"")</f>
        <v/>
      </c>
      <c r="B1097" s="1073" t="s">
        <v>888</v>
      </c>
      <c r="C1097" s="1377">
        <f>IF(G1097&gt;0,C1078+1,C1078)</f>
        <v>0</v>
      </c>
      <c r="D1097" s="1378"/>
      <c r="E1097" s="1076" t="str">
        <f>VLOOKUP($B1097,dongia1,DG!$C$5,)</f>
        <v>Bảng tên trạm + bảng báo nguy hiểm</v>
      </c>
      <c r="F1097" s="1075" t="str">
        <f>VLOOKUP($B1097,dongia1,DG!$D$5,)</f>
        <v>cái</v>
      </c>
      <c r="G1097" s="1424">
        <f>G1032</f>
        <v>0</v>
      </c>
      <c r="H1097" s="1062">
        <f>VLOOKUP($B1097,dongia1,DG!$F$5,)</f>
        <v>300000</v>
      </c>
      <c r="I1097" s="1210"/>
      <c r="J1097" s="1062">
        <f>VLOOKUP($B1097,dongia1,DG!$G$5,)</f>
        <v>0</v>
      </c>
      <c r="K1097" s="1062">
        <f>VLOOKUP($B1097,dongia1,DG!$H$5,)</f>
        <v>0</v>
      </c>
      <c r="L1097" s="1379">
        <f t="shared" si="229"/>
        <v>0</v>
      </c>
      <c r="M1097" s="1379">
        <f t="shared" si="230"/>
        <v>0</v>
      </c>
      <c r="N1097" s="1379">
        <f t="shared" si="231"/>
        <v>0</v>
      </c>
      <c r="O1097" s="1380">
        <f t="shared" si="232"/>
        <v>0</v>
      </c>
      <c r="P1097" s="1409"/>
    </row>
    <row r="1098" spans="1:19" s="1081" customFormat="1" hidden="1" outlineLevel="1">
      <c r="A1098" s="1154" t="str">
        <f>A1097</f>
        <v/>
      </c>
      <c r="B1098" s="1073"/>
      <c r="C1098" s="1381"/>
      <c r="D1098" s="1382"/>
      <c r="E1098" s="1383"/>
      <c r="F1098" s="1384"/>
      <c r="G1098" s="1384"/>
      <c r="H1098" s="1384"/>
      <c r="I1098" s="1384"/>
      <c r="J1098" s="2470" t="s">
        <v>3388</v>
      </c>
      <c r="K1098" s="2470"/>
      <c r="L1098" s="1385">
        <f>SUM(L1018:L1097)</f>
        <v>0</v>
      </c>
      <c r="M1098" s="1385"/>
      <c r="N1098" s="1385">
        <f>SUM(N1018:N1097)</f>
        <v>0</v>
      </c>
      <c r="O1098" s="1385">
        <f>SUM(O1018:O1097)</f>
        <v>0</v>
      </c>
      <c r="P1098" s="1425"/>
    </row>
    <row r="1099" spans="1:19" s="1081" customFormat="1" hidden="1" outlineLevel="1">
      <c r="A1099" s="1154"/>
      <c r="B1099" s="1073"/>
      <c r="C1099" s="1387"/>
      <c r="D1099" s="1387"/>
      <c r="E1099" s="1388"/>
      <c r="F1099" s="1389"/>
      <c r="G1099" s="1389"/>
      <c r="H1099" s="1389"/>
      <c r="I1099" s="1389"/>
      <c r="J1099" s="1390"/>
      <c r="K1099" s="1390"/>
      <c r="L1099" s="1391"/>
      <c r="M1099" s="1391"/>
      <c r="N1099" s="1391"/>
      <c r="O1099" s="1391"/>
      <c r="P1099" s="1173"/>
    </row>
    <row r="1100" spans="1:19" s="1081" customFormat="1" hidden="1">
      <c r="A1100" s="1072" t="str">
        <f>IF(G1226&lt;&gt;0,1,"")</f>
        <v/>
      </c>
      <c r="B1100" s="1426"/>
      <c r="C1100" s="1427"/>
      <c r="D1100" s="1428"/>
      <c r="E1100" s="1429"/>
      <c r="F1100" s="1428"/>
      <c r="G1100" s="1430"/>
      <c r="H1100" s="1300"/>
      <c r="I1100" s="1300"/>
      <c r="J1100" s="1300"/>
      <c r="K1100" s="1300"/>
      <c r="L1100" s="1300"/>
      <c r="M1100" s="1300"/>
      <c r="N1100" s="1300"/>
      <c r="O1100" s="1300"/>
      <c r="P1100" s="1431"/>
      <c r="Q1100" s="1300"/>
      <c r="R1100" s="1300"/>
      <c r="S1100" s="1300"/>
    </row>
    <row r="1101" spans="1:19" s="1081" customFormat="1" hidden="1" outlineLevel="1">
      <c r="A1101" s="1072" t="str">
        <f>+A1105</f>
        <v/>
      </c>
      <c r="B1101" s="1432"/>
      <c r="C1101" s="1336" t="str">
        <f>"BẢNG TỔNG HỢP VẬT LIỆU, NHÂN CÔNG, MÁY THI CÔNG: "&amp;K23&amp;" TRẠM 3P_180KVA"</f>
        <v>BẢNG TỔNG HỢP VẬT LIỆU, NHÂN CÔNG, MÁY THI CÔNG: 0 TRẠM 3P_180KVA</v>
      </c>
      <c r="D1101" s="1433"/>
      <c r="E1101" s="1433"/>
      <c r="F1101" s="1433"/>
      <c r="G1101" s="1433"/>
      <c r="H1101" s="1434"/>
      <c r="I1101" s="1434"/>
      <c r="J1101" s="1434"/>
      <c r="K1101" s="1434"/>
      <c r="L1101" s="1434"/>
      <c r="M1101" s="1434"/>
      <c r="N1101" s="1434"/>
      <c r="O1101" s="1434"/>
      <c r="P1101" s="1428"/>
      <c r="Q1101" s="1300"/>
      <c r="R1101" s="1300"/>
      <c r="S1101" s="1300"/>
    </row>
    <row r="1102" spans="1:19" s="1081" customFormat="1" hidden="1" outlineLevel="1">
      <c r="A1102" s="1072" t="str">
        <f>+A1105</f>
        <v/>
      </c>
      <c r="B1102" s="1295" t="s">
        <v>308</v>
      </c>
      <c r="C1102" s="2459" t="s">
        <v>1014</v>
      </c>
      <c r="D1102" s="2467" t="s">
        <v>3363</v>
      </c>
      <c r="E1102" s="2457" t="s">
        <v>3364</v>
      </c>
      <c r="F1102" s="2459" t="s">
        <v>3365</v>
      </c>
      <c r="G1102" s="1155" t="s">
        <v>3367</v>
      </c>
      <c r="H1102" s="1156" t="s">
        <v>3368</v>
      </c>
      <c r="I1102" s="1157"/>
      <c r="J1102" s="1157"/>
      <c r="K1102" s="1158"/>
      <c r="L1102" s="1156" t="s">
        <v>3372</v>
      </c>
      <c r="M1102" s="1157"/>
      <c r="N1102" s="1157"/>
      <c r="O1102" s="1158"/>
      <c r="P1102" s="2459" t="s">
        <v>3373</v>
      </c>
      <c r="Q1102" s="1300"/>
      <c r="R1102" s="1300"/>
      <c r="S1102" s="1300"/>
    </row>
    <row r="1103" spans="1:19" s="1081" customFormat="1" hidden="1" outlineLevel="1">
      <c r="A1103" s="1072" t="str">
        <f>+A1105</f>
        <v/>
      </c>
      <c r="B1103" s="1295"/>
      <c r="C1103" s="2459"/>
      <c r="D1103" s="2468"/>
      <c r="E1103" s="2458"/>
      <c r="F1103" s="2459"/>
      <c r="G1103" s="1160" t="s">
        <v>3366</v>
      </c>
      <c r="H1103" s="1161" t="s">
        <v>393</v>
      </c>
      <c r="I1103" s="1161" t="s">
        <v>3369</v>
      </c>
      <c r="J1103" s="1161" t="s">
        <v>3370</v>
      </c>
      <c r="K1103" s="1161" t="s">
        <v>3371</v>
      </c>
      <c r="L1103" s="1161" t="s">
        <v>393</v>
      </c>
      <c r="M1103" s="1161" t="s">
        <v>3369</v>
      </c>
      <c r="N1103" s="1161" t="s">
        <v>3370</v>
      </c>
      <c r="O1103" s="1161" t="s">
        <v>3371</v>
      </c>
      <c r="P1103" s="2459"/>
      <c r="Q1103" s="1300"/>
      <c r="R1103" s="1300"/>
      <c r="S1103" s="1300"/>
    </row>
    <row r="1104" spans="1:19" s="1081" customFormat="1" hidden="1" outlineLevel="1">
      <c r="A1104" s="1072" t="str">
        <f>+A1105</f>
        <v/>
      </c>
      <c r="B1104" s="1295"/>
      <c r="C1104" s="1162"/>
      <c r="D1104" s="1163"/>
      <c r="E1104" s="1164" t="s">
        <v>3375</v>
      </c>
      <c r="F1104" s="1165"/>
      <c r="G1104" s="1165"/>
      <c r="H1104" s="1165"/>
      <c r="I1104" s="1165"/>
      <c r="J1104" s="1165"/>
      <c r="K1104" s="1165"/>
      <c r="L1104" s="1165"/>
      <c r="M1104" s="1165"/>
      <c r="N1104" s="1165"/>
      <c r="O1104" s="1163"/>
      <c r="P1104" s="1166"/>
      <c r="Q1104" s="1300"/>
      <c r="R1104" s="1300"/>
      <c r="S1104" s="1300"/>
    </row>
    <row r="1105" spans="1:19" s="1081" customFormat="1" hidden="1" outlineLevel="1">
      <c r="A1105" s="1072" t="str">
        <f t="shared" ref="A1105:A1112" si="233">IF(G1105&lt;&gt;0,1,"")</f>
        <v/>
      </c>
      <c r="B1105" s="1435" t="str">
        <f>IF($F$8=15,"tr180","tr1801")</f>
        <v>tr1801</v>
      </c>
      <c r="C1105" s="1302">
        <f>IF(G1105&gt;0,1,0)</f>
        <v>0</v>
      </c>
      <c r="D1105" s="1198" t="str">
        <f>VLOOKUP($B1105,dongia1,DG!$B$5,)</f>
        <v>T1.1414</v>
      </c>
      <c r="E1105" s="1243" t="str">
        <f>VLOOKUP($B1105,dongia1,DG!$C$5,)</f>
        <v>Máy biến áp 22/0,4kV  180kVA</v>
      </c>
      <c r="F1105" s="1198" t="str">
        <f>VLOOKUP($B1105,dongia1,DG!$D$5,)</f>
        <v>máy</v>
      </c>
      <c r="G1105" s="1302">
        <f>$K$23</f>
        <v>0</v>
      </c>
      <c r="H1105" s="1399">
        <f>VLOOKUP($B1105,dongia1,DG!$E$5,)</f>
        <v>180737000</v>
      </c>
      <c r="I1105" s="1399"/>
      <c r="J1105" s="1399">
        <f>VLOOKUP($B1105,dongia1,DG!$G$5,)</f>
        <v>1190887</v>
      </c>
      <c r="K1105" s="1399">
        <f>VLOOKUP($B1105,dongia1,DG!$H$5,)</f>
        <v>284508</v>
      </c>
      <c r="L1105" s="1400">
        <f t="shared" ref="L1105:L1112" si="234">H1105*G1105</f>
        <v>0</v>
      </c>
      <c r="M1105" s="1400">
        <f t="shared" ref="M1105:M1112" si="235">I1105*G1105</f>
        <v>0</v>
      </c>
      <c r="N1105" s="1400">
        <f t="shared" ref="N1105:N1112" si="236">J1105*G1105</f>
        <v>0</v>
      </c>
      <c r="O1105" s="1401">
        <f t="shared" ref="O1105:O1112" si="237">K1105*G1105</f>
        <v>0</v>
      </c>
      <c r="P1105" s="1436"/>
      <c r="Q1105" s="1300"/>
      <c r="R1105" s="1300"/>
      <c r="S1105" s="1300"/>
    </row>
    <row r="1106" spans="1:19" s="1081" customFormat="1" hidden="1" outlineLevel="1">
      <c r="A1106" s="1072" t="str">
        <f t="shared" si="233"/>
        <v/>
      </c>
      <c r="B1106" s="1167" t="str">
        <f>"FCO100-"&amp;$F$8</f>
        <v>FCO100-22</v>
      </c>
      <c r="C1106" s="1302">
        <f>IF(G1106&gt;0,C1105+1,C1105)</f>
        <v>0</v>
      </c>
      <c r="D1106" s="1198" t="str">
        <f>VLOOKUP($B1106,dongia1,DG!$B$5,)</f>
        <v>T2.3501</v>
      </c>
      <c r="E1106" s="1243" t="str">
        <f>VLOOKUP($B1106,dongia1,DG!$C$5,)</f>
        <v>FCO 24kV - 100A</v>
      </c>
      <c r="F1106" s="1198" t="str">
        <f>VLOOKUP($B1106,dongia1,DG!$D$5,)</f>
        <v>cái</v>
      </c>
      <c r="G1106" s="1303">
        <f>+G1105*3</f>
        <v>0</v>
      </c>
      <c r="H1106" s="1298">
        <f>VLOOKUP($B1106,dongia1,DG!$E$5,)</f>
        <v>2244280</v>
      </c>
      <c r="I1106" s="1298">
        <f>VLOOKUP($B1106,dongia1,DG!$F$5,)*0</f>
        <v>0</v>
      </c>
      <c r="J1106" s="1298">
        <f>VLOOKUP($B1106,dongia1,DG!$G$5,)</f>
        <v>222639.99999999997</v>
      </c>
      <c r="K1106" s="1298">
        <f>VLOOKUP($B1106,dongia1,DG!$H$5,)</f>
        <v>0</v>
      </c>
      <c r="L1106" s="1298">
        <f t="shared" si="234"/>
        <v>0</v>
      </c>
      <c r="M1106" s="1298">
        <f t="shared" si="235"/>
        <v>0</v>
      </c>
      <c r="N1106" s="1298">
        <f t="shared" si="236"/>
        <v>0</v>
      </c>
      <c r="O1106" s="1298">
        <f t="shared" si="237"/>
        <v>0</v>
      </c>
      <c r="P1106" s="1437"/>
      <c r="Q1106" s="1300"/>
      <c r="R1106" s="1300"/>
      <c r="S1106" s="1300"/>
    </row>
    <row r="1107" spans="1:19" s="1081" customFormat="1" hidden="1" outlineLevel="1">
      <c r="A1107" s="1072" t="str">
        <f t="shared" si="233"/>
        <v/>
      </c>
      <c r="B1107" s="1435" t="str">
        <f>IF($F$14=15,"chi10","chi8k")</f>
        <v>chi8k</v>
      </c>
      <c r="C1107" s="1302">
        <f t="shared" ref="C1107:C1112" si="238">IF(G1107&gt;0,C1106+1,C1106)</f>
        <v>0</v>
      </c>
      <c r="D1107" s="1198">
        <f>VLOOKUP($B1107,dongia1,DG!$B$5,)</f>
        <v>0</v>
      </c>
      <c r="E1107" s="1243" t="str">
        <f>VLOOKUP($B1107,dongia1,DG!$C$5,)</f>
        <v>Dây chảy 8K</v>
      </c>
      <c r="F1107" s="1198" t="str">
        <f>VLOOKUP($B1107,dongia1,DG!$D$5,)</f>
        <v>Sợi</v>
      </c>
      <c r="G1107" s="1303">
        <f>G1106</f>
        <v>0</v>
      </c>
      <c r="H1107" s="1298">
        <f>VLOOKUP($B1107,dongia1,DG!$F$5,)</f>
        <v>84000</v>
      </c>
      <c r="I1107" s="1298">
        <f>VLOOKUP($B1107,dongia1,DG!$F$5,)*0</f>
        <v>0</v>
      </c>
      <c r="J1107" s="1298">
        <f>VLOOKUP($B1107,dongia1,DG!$G$5,)</f>
        <v>0</v>
      </c>
      <c r="K1107" s="1298">
        <f>VLOOKUP($B1107,dongia1,DG!$H$5,)</f>
        <v>0</v>
      </c>
      <c r="L1107" s="1298">
        <f t="shared" si="234"/>
        <v>0</v>
      </c>
      <c r="M1107" s="1298">
        <f t="shared" si="235"/>
        <v>0</v>
      </c>
      <c r="N1107" s="1298">
        <f t="shared" si="236"/>
        <v>0</v>
      </c>
      <c r="O1107" s="1298">
        <f t="shared" si="237"/>
        <v>0</v>
      </c>
      <c r="P1107" s="1437"/>
      <c r="Q1107" s="1300"/>
      <c r="R1107" s="1300"/>
      <c r="S1107" s="1300"/>
    </row>
    <row r="1108" spans="1:19" s="1081" customFormat="1" hidden="1" outlineLevel="1">
      <c r="A1108" s="1072" t="str">
        <f t="shared" si="233"/>
        <v/>
      </c>
      <c r="B1108" s="1295" t="str">
        <f>"LA"&amp;$F$6</f>
        <v>LA18</v>
      </c>
      <c r="C1108" s="1302">
        <f t="shared" si="238"/>
        <v>0</v>
      </c>
      <c r="D1108" s="1198" t="str">
        <f>VLOOKUP($B1108,dongia1,DG!$B$5,)</f>
        <v>T2.5004</v>
      </c>
      <c r="E1108" s="1243" t="str">
        <f>VLOOKUP($B1108,dongia1,DG!$C$5,)</f>
        <v>LA 18kV 10kA</v>
      </c>
      <c r="F1108" s="1198" t="str">
        <f>VLOOKUP($B1108,dongia1,DG!$D$5,)</f>
        <v>cái</v>
      </c>
      <c r="G1108" s="1303">
        <f>G1106</f>
        <v>0</v>
      </c>
      <c r="H1108" s="1298">
        <f>VLOOKUP($B1108,dongia1,DG!$E$5,)</f>
        <v>1106000</v>
      </c>
      <c r="I1108" s="1298">
        <f>VLOOKUP($B1108,dongia1,DG!$F$5,)*0</f>
        <v>0</v>
      </c>
      <c r="J1108" s="1298">
        <f>VLOOKUP($B1108,dongia1,DG!$G$5,)</f>
        <v>83490</v>
      </c>
      <c r="K1108" s="1298">
        <f>VLOOKUP($B1108,dongia1,DG!$H$5,)</f>
        <v>0</v>
      </c>
      <c r="L1108" s="1298">
        <f t="shared" si="234"/>
        <v>0</v>
      </c>
      <c r="M1108" s="1298">
        <f t="shared" si="235"/>
        <v>0</v>
      </c>
      <c r="N1108" s="1298">
        <f t="shared" si="236"/>
        <v>0</v>
      </c>
      <c r="O1108" s="1298">
        <f t="shared" si="237"/>
        <v>0</v>
      </c>
      <c r="P1108" s="1437"/>
      <c r="Q1108" s="1300"/>
      <c r="R1108" s="1300"/>
      <c r="S1108" s="1300"/>
    </row>
    <row r="1109" spans="1:19" s="1081" customFormat="1" hidden="1" outlineLevel="1">
      <c r="A1109" s="1072" t="str">
        <f t="shared" si="233"/>
        <v/>
      </c>
      <c r="B1109" s="1397" t="s">
        <v>589</v>
      </c>
      <c r="C1109" s="1302">
        <f t="shared" si="238"/>
        <v>0</v>
      </c>
      <c r="D1109" s="1198">
        <f>VLOOKUP($B1109,dongia1,DG!$B$5,)</f>
        <v>0</v>
      </c>
      <c r="E1109" s="1243" t="str">
        <f>VLOOKUP($B1109,dongia1,DG!$C$5,)</f>
        <v>MCCB 3 cực 400V -300A - 36KA</v>
      </c>
      <c r="F1109" s="1198" t="str">
        <f>VLOOKUP($B1109,dongia1,DG!$D$5,)</f>
        <v>cái</v>
      </c>
      <c r="G1109" s="1303">
        <f>+G1105</f>
        <v>0</v>
      </c>
      <c r="H1109" s="1298">
        <f>VLOOKUP($B1109,dongia1,DG!$E$5,)</f>
        <v>6780000</v>
      </c>
      <c r="I1109" s="1298">
        <f>VLOOKUP($B1109,dongia1,DG!$F$5,)*0</f>
        <v>0</v>
      </c>
      <c r="J1109" s="1298">
        <f>VLOOKUP($B1109,dongia1,DG!$G$5,)</f>
        <v>0</v>
      </c>
      <c r="K1109" s="1298">
        <f>VLOOKUP($B1109,dongia1,DG!$H$5,)</f>
        <v>0</v>
      </c>
      <c r="L1109" s="1298">
        <f t="shared" si="234"/>
        <v>0</v>
      </c>
      <c r="M1109" s="1298">
        <f t="shared" si="235"/>
        <v>0</v>
      </c>
      <c r="N1109" s="1298">
        <f t="shared" si="236"/>
        <v>0</v>
      </c>
      <c r="O1109" s="1298">
        <f t="shared" si="237"/>
        <v>0</v>
      </c>
      <c r="P1109" s="1437"/>
      <c r="Q1109" s="1300"/>
      <c r="R1109" s="1300"/>
      <c r="S1109" s="1300"/>
    </row>
    <row r="1110" spans="1:19" s="1081" customFormat="1" hidden="1" outlineLevel="1">
      <c r="A1110" s="1072" t="str">
        <f t="shared" si="233"/>
        <v/>
      </c>
      <c r="B1110" s="1397" t="s">
        <v>2190</v>
      </c>
      <c r="C1110" s="1302">
        <f t="shared" si="238"/>
        <v>0</v>
      </c>
      <c r="D1110" s="1198" t="str">
        <f>VLOOKUP($B1110,dongia1,DG!$B$5,)</f>
        <v>05.1102</v>
      </c>
      <c r="E1110" s="1243" t="str">
        <f>VLOOKUP($B1110,dongia1,DG!$C$5,)</f>
        <v>Tủ tụ bù hạ thế 80kVAr</v>
      </c>
      <c r="F1110" s="1198" t="str">
        <f>VLOOKUP($B1110,dongia1,DG!$D$5,)</f>
        <v>tủ</v>
      </c>
      <c r="G1110" s="1303">
        <f>+G1105</f>
        <v>0</v>
      </c>
      <c r="H1110" s="1298">
        <f>VLOOKUP($B1110,dongia1,DG!$E$5,)</f>
        <v>12786992</v>
      </c>
      <c r="I1110" s="1298">
        <f>VLOOKUP($B1110,dongia1,DG!$F$5,)</f>
        <v>0</v>
      </c>
      <c r="J1110" s="1298">
        <f>VLOOKUP($B1110,dongia1,DG!$G$5,)</f>
        <v>98101</v>
      </c>
      <c r="K1110" s="1298">
        <f>VLOOKUP($B1110,dongia1,DG!$H$5,)</f>
        <v>59254</v>
      </c>
      <c r="L1110" s="1298">
        <f t="shared" si="234"/>
        <v>0</v>
      </c>
      <c r="M1110" s="1298">
        <f t="shared" si="235"/>
        <v>0</v>
      </c>
      <c r="N1110" s="1298">
        <f t="shared" si="236"/>
        <v>0</v>
      </c>
      <c r="O1110" s="1298">
        <f t="shared" si="237"/>
        <v>0</v>
      </c>
      <c r="P1110" s="1437"/>
      <c r="Q1110" s="1300"/>
      <c r="R1110" s="1300"/>
      <c r="S1110" s="1300"/>
    </row>
    <row r="1111" spans="1:19" s="1081" customFormat="1" hidden="1" outlineLevel="1">
      <c r="A1111" s="1072" t="str">
        <f t="shared" si="233"/>
        <v/>
      </c>
      <c r="B1111" s="1068" t="s">
        <v>1296</v>
      </c>
      <c r="C1111" s="1302">
        <f t="shared" si="238"/>
        <v>0</v>
      </c>
      <c r="D1111" s="1198">
        <f>VLOOKUP($B1111,dongia1,DG!$B$5,)</f>
        <v>0</v>
      </c>
      <c r="E1111" s="1243" t="str">
        <f>VLOOKUP($B1111,dongia1,DG!$C$5,)</f>
        <v>Biến dòng 600V - 250/5A</v>
      </c>
      <c r="F1111" s="1198" t="str">
        <f>VLOOKUP($B1111,dongia1,DG!$D$5,)</f>
        <v>cái</v>
      </c>
      <c r="G1111" s="1438">
        <f>+G1105*3</f>
        <v>0</v>
      </c>
      <c r="H1111" s="1298">
        <f>VLOOKUP($B1111,dongia1,DG!$E$5,)*0</f>
        <v>0</v>
      </c>
      <c r="I1111" s="1298">
        <f>VLOOKUP($B1111,dongia1,DG!$F$5,)*0</f>
        <v>0</v>
      </c>
      <c r="J1111" s="1298">
        <f>VLOOKUP($B1111,dongia1,DG!$G$5,)</f>
        <v>0</v>
      </c>
      <c r="K1111" s="1298">
        <f>VLOOKUP($B1111,dongia1,DG!$H$5,)</f>
        <v>0</v>
      </c>
      <c r="L1111" s="1298">
        <f t="shared" si="234"/>
        <v>0</v>
      </c>
      <c r="M1111" s="1298">
        <f t="shared" si="235"/>
        <v>0</v>
      </c>
      <c r="N1111" s="1298">
        <f t="shared" si="236"/>
        <v>0</v>
      </c>
      <c r="O1111" s="1298">
        <f t="shared" si="237"/>
        <v>0</v>
      </c>
      <c r="P1111" s="1439" t="s">
        <v>3471</v>
      </c>
      <c r="Q1111" s="1300"/>
      <c r="R1111" s="1300"/>
      <c r="S1111" s="1300"/>
    </row>
    <row r="1112" spans="1:19" s="1081" customFormat="1" hidden="1" outlineLevel="1">
      <c r="A1112" s="1072" t="str">
        <f t="shared" si="233"/>
        <v/>
      </c>
      <c r="B1112" s="1068" t="s">
        <v>839</v>
      </c>
      <c r="C1112" s="1302">
        <f t="shared" si="238"/>
        <v>0</v>
      </c>
      <c r="D1112" s="1198">
        <f>VLOOKUP($B1112,dongia1,DG!$B$5,)</f>
        <v>0</v>
      </c>
      <c r="E1112" s="1243" t="str">
        <f>VLOOKUP($B1112,dongia1,DG!$C$5,)</f>
        <v>Điện kế 3 pha 4 dây 220/380V-5A</v>
      </c>
      <c r="F1112" s="1198" t="str">
        <f>VLOOKUP($B1112,dongia1,DG!$D$5,)</f>
        <v>cái</v>
      </c>
      <c r="G1112" s="1438">
        <f>+G1105</f>
        <v>0</v>
      </c>
      <c r="H1112" s="1298">
        <f>VLOOKUP($B1112,dongia1,DG!$E$5,)*0</f>
        <v>0</v>
      </c>
      <c r="I1112" s="1298">
        <f>VLOOKUP($B1112,dongia1,DG!$F$5,)*0</f>
        <v>0</v>
      </c>
      <c r="J1112" s="1298">
        <f>VLOOKUP($B1112,dongia1,DG!$G$5,)*0</f>
        <v>0</v>
      </c>
      <c r="K1112" s="1298">
        <f>VLOOKUP($B1112,dongia1,DG!$H$5,)</f>
        <v>0</v>
      </c>
      <c r="L1112" s="1298">
        <f t="shared" si="234"/>
        <v>0</v>
      </c>
      <c r="M1112" s="1400">
        <f t="shared" si="235"/>
        <v>0</v>
      </c>
      <c r="N1112" s="1400">
        <f t="shared" si="236"/>
        <v>0</v>
      </c>
      <c r="O1112" s="1401">
        <f t="shared" si="237"/>
        <v>0</v>
      </c>
      <c r="P1112" s="1440" t="s">
        <v>3471</v>
      </c>
      <c r="Q1112" s="1300"/>
      <c r="R1112" s="1300"/>
      <c r="S1112" s="1300"/>
    </row>
    <row r="1113" spans="1:19" s="1081" customFormat="1" hidden="1" outlineLevel="1">
      <c r="A1113" s="1072">
        <f>+IF(L1113+N1113+O1113&gt;0,1,0)</f>
        <v>0</v>
      </c>
      <c r="B1113" s="1295"/>
      <c r="C1113" s="1441"/>
      <c r="D1113" s="1442"/>
      <c r="E1113" s="1443"/>
      <c r="F1113" s="1444"/>
      <c r="G1113" s="1445"/>
      <c r="H1113" s="1444"/>
      <c r="I1113" s="1444"/>
      <c r="J1113" s="1183" t="s">
        <v>3387</v>
      </c>
      <c r="K1113" s="1444"/>
      <c r="L1113" s="1446">
        <f>SUM(L1105:L1112)</f>
        <v>0</v>
      </c>
      <c r="M1113" s="1446">
        <f>SUM(M1105:M1112)</f>
        <v>0</v>
      </c>
      <c r="N1113" s="1446">
        <f>SUM(N1105:N1112)</f>
        <v>0</v>
      </c>
      <c r="O1113" s="1446">
        <f>SUM(O1105:O1112)</f>
        <v>0</v>
      </c>
      <c r="P1113" s="1447"/>
      <c r="Q1113" s="1300"/>
      <c r="R1113" s="1300"/>
      <c r="S1113" s="1300"/>
    </row>
    <row r="1114" spans="1:19" s="1081" customFormat="1" hidden="1" outlineLevel="1">
      <c r="A1114" s="1072"/>
      <c r="B1114" s="1295"/>
      <c r="C1114" s="1448"/>
      <c r="D1114" s="1449"/>
      <c r="E1114" s="1450" t="s">
        <v>3376</v>
      </c>
      <c r="F1114" s="1450"/>
      <c r="G1114" s="1451"/>
      <c r="H1114" s="1450"/>
      <c r="I1114" s="1450"/>
      <c r="J1114" s="1450"/>
      <c r="K1114" s="1450"/>
      <c r="L1114" s="1450"/>
      <c r="M1114" s="1450"/>
      <c r="N1114" s="1450"/>
      <c r="O1114" s="1449"/>
      <c r="P1114" s="1447"/>
      <c r="Q1114" s="1300"/>
      <c r="R1114" s="1300"/>
      <c r="S1114" s="1300"/>
    </row>
    <row r="1115" spans="1:19" s="1081" customFormat="1" hidden="1" outlineLevel="1">
      <c r="A1115" s="1072" t="str">
        <f t="shared" ref="A1115:A1133" si="239">IF(G1115&lt;&gt;0,1,"")</f>
        <v/>
      </c>
      <c r="B1115" s="1452"/>
      <c r="C1115" s="1453">
        <f>IF(G1115&gt;0,1,0)</f>
        <v>0</v>
      </c>
      <c r="D1115" s="1198"/>
      <c r="E1115" s="1454" t="s">
        <v>3377</v>
      </c>
      <c r="F1115" s="1455" t="s">
        <v>1133</v>
      </c>
      <c r="G1115" s="1456">
        <f>G1105*2</f>
        <v>0</v>
      </c>
      <c r="H1115" s="1455"/>
      <c r="I1115" s="1455"/>
      <c r="J1115" s="1455"/>
      <c r="K1115" s="1455"/>
      <c r="L1115" s="1456"/>
      <c r="M1115" s="1456"/>
      <c r="N1115" s="1456"/>
      <c r="O1115" s="1457"/>
      <c r="P1115" s="1437"/>
      <c r="Q1115" s="1300"/>
      <c r="R1115" s="1300"/>
      <c r="S1115" s="1300"/>
    </row>
    <row r="1116" spans="1:19" s="1081" customFormat="1" hidden="1" outlineLevel="1">
      <c r="A1116" s="1072" t="str">
        <f t="shared" si="239"/>
        <v/>
      </c>
      <c r="B1116" s="1421" t="s">
        <v>1012</v>
      </c>
      <c r="C1116" s="1458"/>
      <c r="D1116" s="1198"/>
      <c r="E1116" s="1459" t="str">
        <f>VLOOKUP($B1116,dongia1,DG!$C$5,)</f>
        <v>Trụ BTLT 12m F350 dự ứng lực</v>
      </c>
      <c r="F1116" s="1198" t="str">
        <f>VLOOKUP($B1116,dongia1,DG!$D$5,)</f>
        <v>trụ</v>
      </c>
      <c r="G1116" s="1198">
        <f>G1115</f>
        <v>0</v>
      </c>
      <c r="H1116" s="1399">
        <f>VLOOKUP($B1116,dongia1,DG!$F$5,)</f>
        <v>4400000</v>
      </c>
      <c r="I1116" s="1291"/>
      <c r="J1116" s="1399"/>
      <c r="K1116" s="1291"/>
      <c r="L1116" s="1400">
        <f>H1116*G1116</f>
        <v>0</v>
      </c>
      <c r="M1116" s="1400">
        <f>I1116*G1116</f>
        <v>0</v>
      </c>
      <c r="N1116" s="1400">
        <f>J1116*G1116</f>
        <v>0</v>
      </c>
      <c r="O1116" s="1400">
        <f>K1116*G1116</f>
        <v>0</v>
      </c>
      <c r="P1116" s="1437"/>
      <c r="Q1116" s="1300"/>
      <c r="R1116" s="1300"/>
      <c r="S1116" s="1300"/>
    </row>
    <row r="1117" spans="1:19" s="1081" customFormat="1" hidden="1" outlineLevel="1">
      <c r="A1117" s="1072" t="str">
        <f t="shared" si="239"/>
        <v/>
      </c>
      <c r="B1117" s="1421" t="s">
        <v>1457</v>
      </c>
      <c r="C1117" s="1458"/>
      <c r="D1117" s="1198"/>
      <c r="E1117" s="1459" t="str">
        <f>VLOOKUP($B1117,dongia1,DG!$C$5,)</f>
        <v>Vật liệu dựng trụ</v>
      </c>
      <c r="F1117" s="1198" t="str">
        <f>VLOOKUP($B1117,dongia1,DG!$D$5,)</f>
        <v>trụ</v>
      </c>
      <c r="G1117" s="1198">
        <f>G1116</f>
        <v>0</v>
      </c>
      <c r="H1117" s="1399">
        <f>VLOOKUP($B1117,dongia1,DG!$F$5,)</f>
        <v>17400</v>
      </c>
      <c r="I1117" s="1399"/>
      <c r="J1117" s="1291"/>
      <c r="K1117" s="1291"/>
      <c r="L1117" s="1400">
        <f>H1117*G1117</f>
        <v>0</v>
      </c>
      <c r="M1117" s="1400">
        <f>I1117*G1117</f>
        <v>0</v>
      </c>
      <c r="N1117" s="1400">
        <f>J1117*G1117</f>
        <v>0</v>
      </c>
      <c r="O1117" s="1400">
        <f>K1117*G1117</f>
        <v>0</v>
      </c>
      <c r="P1117" s="1437"/>
      <c r="Q1117" s="1300"/>
      <c r="R1117" s="1300"/>
      <c r="S1117" s="1300"/>
    </row>
    <row r="1118" spans="1:19" s="1081" customFormat="1" hidden="1" outlineLevel="1">
      <c r="A1118" s="1072" t="str">
        <f t="shared" si="239"/>
        <v/>
      </c>
      <c r="B1118" s="1421" t="s">
        <v>1701</v>
      </c>
      <c r="C1118" s="1458"/>
      <c r="D1118" s="1198" t="str">
        <f>VLOOKUP($B1118,dongia1,DG!$B$5,)</f>
        <v>04.9203</v>
      </c>
      <c r="E1118" s="1459" t="str">
        <f>VLOOKUP($B1118,dongia1,DG!$C$5,)</f>
        <v>Dựng trụ BTLT 12m trong TBA bằng thủ công + cơ giới</v>
      </c>
      <c r="F1118" s="1198" t="str">
        <f>VLOOKUP($B1118,dongia1,DG!$D$5,)</f>
        <v>trụ</v>
      </c>
      <c r="G1118" s="1198">
        <f>G1116</f>
        <v>0</v>
      </c>
      <c r="H1118" s="1459"/>
      <c r="I1118" s="1399"/>
      <c r="J1118" s="1399">
        <f>VLOOKUP($B1118,dongia1,DG!$G$5,)</f>
        <v>112286</v>
      </c>
      <c r="K1118" s="1399">
        <f>VLOOKUP($B1118,dongia1,DG!$H$5,)</f>
        <v>105970</v>
      </c>
      <c r="L1118" s="1400">
        <f>H1118*G1118</f>
        <v>0</v>
      </c>
      <c r="M1118" s="1400">
        <f>I1118*G1118</f>
        <v>0</v>
      </c>
      <c r="N1118" s="1400">
        <f>J1118*G1118</f>
        <v>0</v>
      </c>
      <c r="O1118" s="1400">
        <f>K1118*G1118</f>
        <v>0</v>
      </c>
      <c r="P1118" s="1437"/>
      <c r="Q1118" s="1300"/>
      <c r="R1118" s="1300"/>
      <c r="S1118" s="1300"/>
    </row>
    <row r="1119" spans="1:19" s="1081" customFormat="1" hidden="1" outlineLevel="1">
      <c r="A1119" s="1072" t="str">
        <f t="shared" si="239"/>
        <v/>
      </c>
      <c r="B1119" s="1452"/>
      <c r="C1119" s="1453">
        <f>IF(G1119&gt;0,1,0)</f>
        <v>0</v>
      </c>
      <c r="D1119" s="1198"/>
      <c r="E1119" s="1454" t="s">
        <v>3389</v>
      </c>
      <c r="F1119" s="1455" t="s">
        <v>1133</v>
      </c>
      <c r="G1119" s="1456">
        <f>G1105*2</f>
        <v>0</v>
      </c>
      <c r="H1119" s="1455"/>
      <c r="I1119" s="1455"/>
      <c r="J1119" s="1455"/>
      <c r="K1119" s="1455"/>
      <c r="L1119" s="1456"/>
      <c r="M1119" s="1456"/>
      <c r="N1119" s="1456"/>
      <c r="O1119" s="1457"/>
      <c r="P1119" s="1299"/>
      <c r="Q1119" s="1300"/>
      <c r="R1119" s="1300"/>
      <c r="S1119" s="1300"/>
    </row>
    <row r="1120" spans="1:19" s="1081" customFormat="1" hidden="1" outlineLevel="1">
      <c r="A1120" s="1072" t="str">
        <f t="shared" si="239"/>
        <v/>
      </c>
      <c r="B1120" s="1421" t="s">
        <v>1011</v>
      </c>
      <c r="C1120" s="1458"/>
      <c r="D1120" s="1198"/>
      <c r="E1120" s="1459" t="str">
        <f>VLOOKUP($B1120,dongia1,DG!$C$5,)</f>
        <v>Trụ BTLT 10,5m F350 dự ứng lực</v>
      </c>
      <c r="F1120" s="1198" t="str">
        <f>VLOOKUP($B1120,dongia1,DG!$D$5,)</f>
        <v>trụ</v>
      </c>
      <c r="G1120" s="1198">
        <f>G1119</f>
        <v>0</v>
      </c>
      <c r="H1120" s="1399">
        <f>VLOOKUP($B1120,dongia1,DG!$F$5,)</f>
        <v>4200000</v>
      </c>
      <c r="I1120" s="1291"/>
      <c r="J1120" s="1399"/>
      <c r="K1120" s="1291"/>
      <c r="L1120" s="1400">
        <f>H1120*G1120</f>
        <v>0</v>
      </c>
      <c r="M1120" s="1400">
        <f>I1120*G1120</f>
        <v>0</v>
      </c>
      <c r="N1120" s="1400">
        <f>J1120*G1120</f>
        <v>0</v>
      </c>
      <c r="O1120" s="1400">
        <f>K1120*G1120</f>
        <v>0</v>
      </c>
      <c r="P1120" s="1299"/>
      <c r="Q1120" s="1300"/>
      <c r="R1120" s="1300"/>
      <c r="S1120" s="1300"/>
    </row>
    <row r="1121" spans="1:19" s="1081" customFormat="1" hidden="1" outlineLevel="1">
      <c r="A1121" s="1072" t="str">
        <f t="shared" si="239"/>
        <v/>
      </c>
      <c r="B1121" s="1421" t="s">
        <v>1457</v>
      </c>
      <c r="C1121" s="1458"/>
      <c r="D1121" s="1198"/>
      <c r="E1121" s="1459" t="str">
        <f>VLOOKUP($B1121,dongia1,DG!$C$5,)</f>
        <v>Vật liệu dựng trụ</v>
      </c>
      <c r="F1121" s="1198" t="str">
        <f>VLOOKUP($B1121,dongia1,DG!$D$5,)</f>
        <v>trụ</v>
      </c>
      <c r="G1121" s="1198">
        <f>G1120</f>
        <v>0</v>
      </c>
      <c r="H1121" s="1399">
        <f>VLOOKUP($B1121,dongia1,DG!$F$5,)</f>
        <v>17400</v>
      </c>
      <c r="I1121" s="1399"/>
      <c r="J1121" s="1291"/>
      <c r="K1121" s="1291"/>
      <c r="L1121" s="1400">
        <f>H1121*G1121</f>
        <v>0</v>
      </c>
      <c r="M1121" s="1400">
        <f>I1121*G1121</f>
        <v>0</v>
      </c>
      <c r="N1121" s="1400">
        <f>J1121*G1121</f>
        <v>0</v>
      </c>
      <c r="O1121" s="1400">
        <f>K1121*G1121</f>
        <v>0</v>
      </c>
      <c r="P1121" s="1299"/>
      <c r="Q1121" s="1300"/>
      <c r="R1121" s="1300"/>
      <c r="S1121" s="1300"/>
    </row>
    <row r="1122" spans="1:19" s="1081" customFormat="1" hidden="1" outlineLevel="1">
      <c r="A1122" s="1072" t="str">
        <f t="shared" si="239"/>
        <v/>
      </c>
      <c r="B1122" s="1421" t="s">
        <v>1702</v>
      </c>
      <c r="C1122" s="1458"/>
      <c r="D1122" s="1198" t="str">
        <f>VLOOKUP($B1122,dongia1,DG!$B$5,)</f>
        <v>04.9203</v>
      </c>
      <c r="E1122" s="1459" t="str">
        <f>VLOOKUP($B1122,dongia1,DG!$C$5,)</f>
        <v>Dựng trụ BTLT 10,5m trong TBA bằng thủ công + cơ giới</v>
      </c>
      <c r="F1122" s="1198" t="str">
        <f>VLOOKUP($B1122,dongia1,DG!$D$5,)</f>
        <v>trụ</v>
      </c>
      <c r="G1122" s="1198">
        <f>G1120</f>
        <v>0</v>
      </c>
      <c r="H1122" s="1459"/>
      <c r="I1122" s="1399"/>
      <c r="J1122" s="1399">
        <f>VLOOKUP($B1122,dongia1,DG!$G$5,)</f>
        <v>112286</v>
      </c>
      <c r="K1122" s="1399">
        <f>VLOOKUP($B1122,dongia1,DG!$H$5,)</f>
        <v>105970</v>
      </c>
      <c r="L1122" s="1400">
        <f>H1122*G1122</f>
        <v>0</v>
      </c>
      <c r="M1122" s="1400">
        <f>I1122*G1122</f>
        <v>0</v>
      </c>
      <c r="N1122" s="1400">
        <f>J1122*G1122</f>
        <v>0</v>
      </c>
      <c r="O1122" s="1400">
        <f>K1122*G1122</f>
        <v>0</v>
      </c>
      <c r="P1122" s="1299"/>
      <c r="Q1122" s="1300"/>
      <c r="R1122" s="1300"/>
      <c r="S1122" s="1300"/>
    </row>
    <row r="1123" spans="1:19" s="1081" customFormat="1" hidden="1" outlineLevel="1">
      <c r="A1123" s="1072" t="str">
        <f t="shared" si="239"/>
        <v/>
      </c>
      <c r="B1123" s="1421"/>
      <c r="C1123" s="1291">
        <f>IF(G1123&gt;0,C1115+1,C1115)</f>
        <v>0</v>
      </c>
      <c r="D1123" s="1198"/>
      <c r="E1123" s="1454" t="s">
        <v>3390</v>
      </c>
      <c r="F1123" s="1455" t="s">
        <v>3391</v>
      </c>
      <c r="G1123" s="1460">
        <f>G1115</f>
        <v>0</v>
      </c>
      <c r="H1123" s="1291"/>
      <c r="I1123" s="1291"/>
      <c r="J1123" s="1291"/>
      <c r="K1123" s="1291"/>
      <c r="L1123" s="1291"/>
      <c r="M1123" s="1291"/>
      <c r="N1123" s="1291"/>
      <c r="O1123" s="1461"/>
      <c r="P1123" s="1437"/>
      <c r="Q1123" s="1300"/>
      <c r="R1123" s="1300"/>
      <c r="S1123" s="1300"/>
    </row>
    <row r="1124" spans="1:19" s="1081" customFormat="1" hidden="1" outlineLevel="1">
      <c r="A1124" s="1072" t="str">
        <f t="shared" si="239"/>
        <v/>
      </c>
      <c r="B1124" s="1421" t="s">
        <v>580</v>
      </c>
      <c r="C1124" s="1458"/>
      <c r="D1124" s="1198" t="str">
        <f>VLOOKUP($B1124,dongia1,DG!$B$5,)</f>
        <v>AG.42111</v>
      </c>
      <c r="E1124" s="1459" t="str">
        <f>VLOOKUP($B1124,dongia1,DG!$C$5,)</f>
        <v>Đà cản BTCT 1,2m</v>
      </c>
      <c r="F1124" s="1198" t="str">
        <f>VLOOKUP($B1124,dongia1,DG!$D$5,)</f>
        <v>cái</v>
      </c>
      <c r="G1124" s="1198">
        <f>G1123</f>
        <v>0</v>
      </c>
      <c r="H1124" s="1399">
        <f>VLOOKUP($B1124,dongia1,DG!$F$5,)</f>
        <v>354545</v>
      </c>
      <c r="I1124" s="1399"/>
      <c r="J1124" s="1399">
        <f>VLOOKUP($B1124,dongia1,DG!$G$5,)</f>
        <v>37220.25</v>
      </c>
      <c r="K1124" s="1291"/>
      <c r="L1124" s="1400">
        <f>H1124*G1124</f>
        <v>0</v>
      </c>
      <c r="M1124" s="1400">
        <f>I1124*G1124</f>
        <v>0</v>
      </c>
      <c r="N1124" s="1400">
        <f>J1124*G1124</f>
        <v>0</v>
      </c>
      <c r="O1124" s="1400">
        <f>K1124*G1124</f>
        <v>0</v>
      </c>
      <c r="P1124" s="1437"/>
      <c r="Q1124" s="1300"/>
      <c r="R1124" s="1300"/>
      <c r="S1124" s="1300"/>
    </row>
    <row r="1125" spans="1:19" s="1081" customFormat="1" hidden="1" outlineLevel="1">
      <c r="A1125" s="1072" t="str">
        <f t="shared" si="239"/>
        <v/>
      </c>
      <c r="B1125" s="1421" t="s">
        <v>952</v>
      </c>
      <c r="C1125" s="1458"/>
      <c r="D1125" s="1198"/>
      <c r="E1125" s="1459" t="str">
        <f>VLOOKUP($B1125,dongia1,DG!$C$5,)</f>
        <v>Boulon 22x650+ 2 long đền vuông D24-60x60x3/Zn</v>
      </c>
      <c r="F1125" s="1198" t="str">
        <f>VLOOKUP($B1125,dongia1,DG!$D$5,)</f>
        <v>bộ</v>
      </c>
      <c r="G1125" s="1198">
        <f>G1124</f>
        <v>0</v>
      </c>
      <c r="H1125" s="1399">
        <f>VLOOKUP($B1125,dongia1,DG!$F$5,)</f>
        <v>92200</v>
      </c>
      <c r="I1125" s="1459"/>
      <c r="J1125" s="1459"/>
      <c r="K1125" s="1291"/>
      <c r="L1125" s="1400">
        <f>H1125*G1125</f>
        <v>0</v>
      </c>
      <c r="M1125" s="1400">
        <f>I1125*G1125</f>
        <v>0</v>
      </c>
      <c r="N1125" s="1400">
        <f>J1125*G1125</f>
        <v>0</v>
      </c>
      <c r="O1125" s="1400">
        <f>K1125*G1125</f>
        <v>0</v>
      </c>
      <c r="P1125" s="1437"/>
      <c r="Q1125" s="1300"/>
      <c r="R1125" s="1300"/>
      <c r="S1125" s="1300"/>
    </row>
    <row r="1126" spans="1:19" s="1081" customFormat="1" hidden="1" outlineLevel="1">
      <c r="A1126" s="1072" t="str">
        <f t="shared" si="239"/>
        <v/>
      </c>
      <c r="B1126" s="1421" t="str">
        <f>IF(capdat=1,"MDD1",IF(capdat=2,"MDD2",IF(capdat=3,"MDD3",IF(capdat=4,"MDD4"))))</f>
        <v>MDD3</v>
      </c>
      <c r="C1126" s="1458"/>
      <c r="D1126" s="1198" t="str">
        <f>VLOOKUP($B1126,dongia1,DG!$B$5,)</f>
        <v>03.1013</v>
      </c>
      <c r="E1126" s="1459" t="str">
        <f>VLOOKUP($B1126,dongia1,DG!$C$5,)</f>
        <v>Đào hố móng đất cấp 3 sâu &gt;1m DT&lt;5m2</v>
      </c>
      <c r="F1126" s="1198" t="str">
        <f>VLOOKUP($B1126,dongia1,DG!$D$5,)</f>
        <v>m3</v>
      </c>
      <c r="G1126" s="1198">
        <f>1.45*G1124</f>
        <v>0</v>
      </c>
      <c r="H1126" s="1399">
        <f>VLOOKUP($B1126,dongia1,DG!$F$5,)</f>
        <v>0</v>
      </c>
      <c r="I1126" s="1399"/>
      <c r="J1126" s="1399">
        <f>VLOOKUP($B1126,dongia1,DG!$G$5,)</f>
        <v>296500.89999999997</v>
      </c>
      <c r="K1126" s="1291"/>
      <c r="L1126" s="1400">
        <f>H1126*G1126</f>
        <v>0</v>
      </c>
      <c r="M1126" s="1400">
        <f>I1126*G1126</f>
        <v>0</v>
      </c>
      <c r="N1126" s="1400">
        <f>J1126*G1126</f>
        <v>0</v>
      </c>
      <c r="O1126" s="1400">
        <f>K1126*G1126</f>
        <v>0</v>
      </c>
      <c r="P1126" s="1437"/>
      <c r="Q1126" s="1300"/>
      <c r="R1126" s="1300"/>
      <c r="S1126" s="1300"/>
    </row>
    <row r="1127" spans="1:19" s="1081" customFormat="1" hidden="1" outlineLevel="1">
      <c r="A1127" s="1072" t="str">
        <f t="shared" si="239"/>
        <v/>
      </c>
      <c r="B1127" s="1421" t="str">
        <f>IF(capdat=1,"MDAP1",IF(capdat=2,"MDAP2",IF(capdat=3,"MDAP3",IF(capdat=4,"MDAP4"))))</f>
        <v>MDAP3</v>
      </c>
      <c r="C1127" s="1458"/>
      <c r="D1127" s="1198" t="str">
        <f>VLOOKUP($B1127,dongia1,DG!$B$5,)</f>
        <v>AB.13111</v>
      </c>
      <c r="E1127" s="1459" t="str">
        <f>VLOOKUP($B1127,dongia1,DG!$C$5,)</f>
        <v>Đắp đất hố móng, đất cấp 3 (độ chặt k = 0.85)</v>
      </c>
      <c r="F1127" s="1198" t="str">
        <f>VLOOKUP($B1127,dongia1,DG!$D$5,)</f>
        <v>m3</v>
      </c>
      <c r="G1127" s="1198">
        <f>1.37*G1123</f>
        <v>0</v>
      </c>
      <c r="H1127" s="1399">
        <f>VLOOKUP($B1127,dongia1,DG!$F$5,)</f>
        <v>0</v>
      </c>
      <c r="I1127" s="1399"/>
      <c r="J1127" s="1399">
        <f>VLOOKUP($B1127,dongia1,DG!$G$5,)</f>
        <v>117703.6</v>
      </c>
      <c r="K1127" s="1291"/>
      <c r="L1127" s="1400">
        <f>H1127*G1127</f>
        <v>0</v>
      </c>
      <c r="M1127" s="1400">
        <f>I1127*G1127</f>
        <v>0</v>
      </c>
      <c r="N1127" s="1400">
        <f>J1127*G1127</f>
        <v>0</v>
      </c>
      <c r="O1127" s="1400">
        <f>K1127*G1127</f>
        <v>0</v>
      </c>
      <c r="P1127" s="1437"/>
      <c r="Q1127" s="1300"/>
      <c r="R1127" s="1300"/>
      <c r="S1127" s="1300"/>
    </row>
    <row r="1128" spans="1:19" s="1081" customFormat="1" hidden="1" outlineLevel="1">
      <c r="A1128" s="1072" t="str">
        <f t="shared" si="239"/>
        <v/>
      </c>
      <c r="B1128" s="1421"/>
      <c r="C1128" s="1291">
        <f>IF(G1128&gt;0,C1120+1,C1120)</f>
        <v>0</v>
      </c>
      <c r="D1128" s="1198"/>
      <c r="E1128" s="1454" t="s">
        <v>3392</v>
      </c>
      <c r="F1128" s="1455" t="s">
        <v>3391</v>
      </c>
      <c r="G1128" s="1460">
        <f>G1119</f>
        <v>0</v>
      </c>
      <c r="H1128" s="1291"/>
      <c r="I1128" s="1291"/>
      <c r="J1128" s="1291"/>
      <c r="K1128" s="1291"/>
      <c r="L1128" s="1291"/>
      <c r="M1128" s="1291"/>
      <c r="N1128" s="1291"/>
      <c r="O1128" s="1461"/>
      <c r="P1128" s="1299"/>
      <c r="Q1128" s="1300"/>
      <c r="R1128" s="1300"/>
      <c r="S1128" s="1300"/>
    </row>
    <row r="1129" spans="1:19" s="1081" customFormat="1" hidden="1" outlineLevel="1">
      <c r="A1129" s="1072" t="str">
        <f t="shared" si="239"/>
        <v/>
      </c>
      <c r="B1129" s="1421" t="s">
        <v>580</v>
      </c>
      <c r="C1129" s="1458"/>
      <c r="D1129" s="1198" t="str">
        <f>VLOOKUP($B1129,dongia1,DG!$B$5,)</f>
        <v>AG.42111</v>
      </c>
      <c r="E1129" s="1459" t="str">
        <f>VLOOKUP($B1129,dongia1,DG!$C$5,)</f>
        <v>Đà cản BTCT 1,2m</v>
      </c>
      <c r="F1129" s="1198" t="str">
        <f>VLOOKUP($B1129,dongia1,DG!$D$5,)</f>
        <v>cái</v>
      </c>
      <c r="G1129" s="1198">
        <f>G1128</f>
        <v>0</v>
      </c>
      <c r="H1129" s="1399">
        <f>VLOOKUP($B1129,dongia1,DG!$F$5,)</f>
        <v>354545</v>
      </c>
      <c r="I1129" s="1399"/>
      <c r="J1129" s="1399">
        <f>VLOOKUP($B1129,dongia1,DG!$G$5,)</f>
        <v>37220.25</v>
      </c>
      <c r="K1129" s="1291"/>
      <c r="L1129" s="1400">
        <f>H1129*G1129</f>
        <v>0</v>
      </c>
      <c r="M1129" s="1400">
        <f>I1129*G1129</f>
        <v>0</v>
      </c>
      <c r="N1129" s="1400">
        <f>J1129*G1129</f>
        <v>0</v>
      </c>
      <c r="O1129" s="1400">
        <f>K1129*G1129</f>
        <v>0</v>
      </c>
      <c r="P1129" s="1299"/>
      <c r="Q1129" s="1300"/>
      <c r="R1129" s="1300"/>
      <c r="S1129" s="1300"/>
    </row>
    <row r="1130" spans="1:19" s="1081" customFormat="1" hidden="1" outlineLevel="1">
      <c r="A1130" s="1072" t="str">
        <f t="shared" si="239"/>
        <v/>
      </c>
      <c r="B1130" s="1421" t="s">
        <v>952</v>
      </c>
      <c r="C1130" s="1458"/>
      <c r="D1130" s="1198"/>
      <c r="E1130" s="1459" t="str">
        <f>VLOOKUP($B1130,dongia1,DG!$C$5,)</f>
        <v>Boulon 22x650+ 2 long đền vuông D24-60x60x3/Zn</v>
      </c>
      <c r="F1130" s="1198" t="str">
        <f>VLOOKUP($B1130,dongia1,DG!$D$5,)</f>
        <v>bộ</v>
      </c>
      <c r="G1130" s="1198">
        <f>G1129</f>
        <v>0</v>
      </c>
      <c r="H1130" s="1399">
        <f>VLOOKUP($B1130,dongia1,DG!$F$5,)</f>
        <v>92200</v>
      </c>
      <c r="I1130" s="1459"/>
      <c r="J1130" s="1459"/>
      <c r="K1130" s="1291"/>
      <c r="L1130" s="1400">
        <f>H1130*G1130</f>
        <v>0</v>
      </c>
      <c r="M1130" s="1400">
        <f>I1130*G1130</f>
        <v>0</v>
      </c>
      <c r="N1130" s="1400">
        <f>J1130*G1130</f>
        <v>0</v>
      </c>
      <c r="O1130" s="1400">
        <f>K1130*G1130</f>
        <v>0</v>
      </c>
      <c r="P1130" s="1299"/>
      <c r="Q1130" s="1300"/>
      <c r="R1130" s="1300"/>
      <c r="S1130" s="1300"/>
    </row>
    <row r="1131" spans="1:19" s="1081" customFormat="1" hidden="1" outlineLevel="1">
      <c r="A1131" s="1072" t="str">
        <f t="shared" si="239"/>
        <v/>
      </c>
      <c r="B1131" s="1421" t="str">
        <f>IF(capdat=1,"MDD1",IF(capdat=2,"MDD2",IF(capdat=3,"MDD3",IF(capdat=4,"MDD4"))))</f>
        <v>MDD3</v>
      </c>
      <c r="C1131" s="1458"/>
      <c r="D1131" s="1198" t="str">
        <f>VLOOKUP($B1131,dongia1,DG!$B$5,)</f>
        <v>03.1013</v>
      </c>
      <c r="E1131" s="1459" t="str">
        <f>VLOOKUP($B1131,dongia1,DG!$C$5,)</f>
        <v>Đào hố móng đất cấp 3 sâu &gt;1m DT&lt;5m2</v>
      </c>
      <c r="F1131" s="1198" t="str">
        <f>VLOOKUP($B1131,dongia1,DG!$D$5,)</f>
        <v>m3</v>
      </c>
      <c r="G1131" s="1198">
        <f>1.48*G1129</f>
        <v>0</v>
      </c>
      <c r="H1131" s="1399">
        <f>VLOOKUP($B1131,dongia1,DG!$F$5,)</f>
        <v>0</v>
      </c>
      <c r="I1131" s="1399"/>
      <c r="J1131" s="1399">
        <f>VLOOKUP($B1131,dongia1,DG!$G$5,)</f>
        <v>296500.89999999997</v>
      </c>
      <c r="K1131" s="1291"/>
      <c r="L1131" s="1400">
        <f>H1131*G1131</f>
        <v>0</v>
      </c>
      <c r="M1131" s="1400">
        <f>I1131*G1131</f>
        <v>0</v>
      </c>
      <c r="N1131" s="1400">
        <f>J1131*G1131</f>
        <v>0</v>
      </c>
      <c r="O1131" s="1400">
        <f>K1131*G1131</f>
        <v>0</v>
      </c>
      <c r="P1131" s="1299"/>
      <c r="Q1131" s="1300"/>
      <c r="R1131" s="1300"/>
      <c r="S1131" s="1300"/>
    </row>
    <row r="1132" spans="1:19" s="1081" customFormat="1" hidden="1" outlineLevel="1">
      <c r="A1132" s="1072" t="str">
        <f t="shared" si="239"/>
        <v/>
      </c>
      <c r="B1132" s="1421" t="str">
        <f>IF(capdat=1,"MDAP1",IF(capdat=2,"MDAP2",IF(capdat=3,"MDAP3",IF(capdat=4,"MDAP4"))))</f>
        <v>MDAP3</v>
      </c>
      <c r="C1132" s="1458"/>
      <c r="D1132" s="1198" t="str">
        <f>VLOOKUP($B1132,dongia1,DG!$B$5,)</f>
        <v>AB.13111</v>
      </c>
      <c r="E1132" s="1459" t="str">
        <f>VLOOKUP($B1132,dongia1,DG!$C$5,)</f>
        <v>Đắp đất hố móng, đất cấp 3 (độ chặt k = 0.85)</v>
      </c>
      <c r="F1132" s="1198" t="str">
        <f>VLOOKUP($B1132,dongia1,DG!$D$5,)</f>
        <v>m3</v>
      </c>
      <c r="G1132" s="1198">
        <f>1.39*G1128</f>
        <v>0</v>
      </c>
      <c r="H1132" s="1399">
        <f>VLOOKUP($B1132,dongia1,DG!$F$5,)</f>
        <v>0</v>
      </c>
      <c r="I1132" s="1399"/>
      <c r="J1132" s="1399">
        <f>VLOOKUP($B1132,dongia1,DG!$G$5,)</f>
        <v>117703.6</v>
      </c>
      <c r="K1132" s="1291"/>
      <c r="L1132" s="1400">
        <f>H1132*G1132</f>
        <v>0</v>
      </c>
      <c r="M1132" s="1400">
        <f>I1132*G1132</f>
        <v>0</v>
      </c>
      <c r="N1132" s="1400">
        <f>J1132*G1132</f>
        <v>0</v>
      </c>
      <c r="O1132" s="1400">
        <f>K1132*G1132</f>
        <v>0</v>
      </c>
      <c r="P1132" s="1299"/>
      <c r="Q1132" s="1300"/>
      <c r="R1132" s="1300"/>
      <c r="S1132" s="1300"/>
    </row>
    <row r="1133" spans="1:19" s="1081" customFormat="1" hidden="1" outlineLevel="1">
      <c r="A1133" s="1072" t="str">
        <f t="shared" si="239"/>
        <v/>
      </c>
      <c r="B1133" s="1295"/>
      <c r="C1133" s="1291">
        <f>IF(G1133&gt;0,C1123+1,C1123)</f>
        <v>0</v>
      </c>
      <c r="D1133" s="1462"/>
      <c r="E1133" s="1454" t="s">
        <v>3396</v>
      </c>
      <c r="F1133" s="1453" t="s">
        <v>2113</v>
      </c>
      <c r="G1133" s="1463">
        <f>G1105</f>
        <v>0</v>
      </c>
      <c r="H1133" s="1464"/>
      <c r="I1133" s="1464"/>
      <c r="J1133" s="1464"/>
      <c r="K1133" s="1464"/>
      <c r="L1133" s="1464"/>
      <c r="M1133" s="1464"/>
      <c r="N1133" s="1464"/>
      <c r="O1133" s="1464"/>
      <c r="P1133" s="1299"/>
      <c r="Q1133" s="1300"/>
      <c r="R1133" s="1300"/>
      <c r="S1133" s="1300"/>
    </row>
    <row r="1134" spans="1:19" s="1081" customFormat="1" ht="14.4" hidden="1" outlineLevel="1">
      <c r="A1134" s="1072" t="str">
        <f>A1133</f>
        <v/>
      </c>
      <c r="B1134" s="1295"/>
      <c r="C1134" s="1291"/>
      <c r="D1134" s="1465"/>
      <c r="E1134" s="1301" t="s">
        <v>3399</v>
      </c>
      <c r="F1134" s="1302"/>
      <c r="G1134" s="1303"/>
      <c r="H1134" s="1466"/>
      <c r="I1134" s="1466"/>
      <c r="J1134" s="1466"/>
      <c r="K1134" s="1466"/>
      <c r="L1134" s="1466"/>
      <c r="M1134" s="1466"/>
      <c r="N1134" s="1466"/>
      <c r="O1134" s="1466"/>
      <c r="P1134" s="1299"/>
      <c r="Q1134" s="1300"/>
      <c r="R1134" s="1300"/>
      <c r="S1134" s="1300"/>
    </row>
    <row r="1135" spans="1:19" s="1081" customFormat="1" hidden="1" outlineLevel="1">
      <c r="A1135" s="1072" t="str">
        <f t="shared" ref="A1135:A1140" si="240">IF(G1135&lt;&gt;0,1,"")</f>
        <v/>
      </c>
      <c r="B1135" s="1068" t="s">
        <v>1307</v>
      </c>
      <c r="C1135" s="1291"/>
      <c r="D1135" s="1198">
        <f>VLOOKUP($B1135,dongia1,DG!$B$5,)</f>
        <v>0</v>
      </c>
      <c r="E1135" s="1243" t="str">
        <f>VLOOKUP($B1135,dongia1,DG!$C$5,)&amp;": 2 cái"</f>
        <v>Đà U160x68x5x2800 đỡ MBA: 2 cái</v>
      </c>
      <c r="F1135" s="1198" t="str">
        <f>VLOOKUP($B1135,dongia1,DG!$D$5,)</f>
        <v>kg</v>
      </c>
      <c r="G1135" s="1304">
        <f>15.3*2.8*2*G1133</f>
        <v>0</v>
      </c>
      <c r="H1135" s="1399">
        <f>VLOOKUP($B1135,dongia1,DG!$F$5,)</f>
        <v>31625</v>
      </c>
      <c r="I1135" s="1467"/>
      <c r="J1135" s="1399"/>
      <c r="K1135" s="1399">
        <f>VLOOKUP($B1135,dongia1,DG!$H$5,)</f>
        <v>0</v>
      </c>
      <c r="L1135" s="1400">
        <f t="shared" ref="L1135:L1151" si="241">H1135*G1135</f>
        <v>0</v>
      </c>
      <c r="M1135" s="1400">
        <f t="shared" ref="M1135:M1140" si="242">I1135*G1135</f>
        <v>0</v>
      </c>
      <c r="N1135" s="1399"/>
      <c r="O1135" s="1400">
        <f t="shared" ref="O1135:O1140" si="243">K1135*G1135</f>
        <v>0</v>
      </c>
      <c r="P1135" s="1299"/>
      <c r="Q1135" s="1300"/>
      <c r="R1135" s="1300"/>
      <c r="S1135" s="1300"/>
    </row>
    <row r="1136" spans="1:19" s="1081" customFormat="1" hidden="1" outlineLevel="1">
      <c r="A1136" s="1072" t="str">
        <f t="shared" si="240"/>
        <v/>
      </c>
      <c r="B1136" s="1068" t="s">
        <v>1308</v>
      </c>
      <c r="C1136" s="1291"/>
      <c r="D1136" s="1198">
        <f>VLOOKUP($B1136,dongia1,DG!$B$5,)</f>
        <v>0</v>
      </c>
      <c r="E1136" s="1243" t="str">
        <f>VLOOKUP($B1136,dongia1,DG!$C$5,)&amp;": 4 cái"</f>
        <v>Đà U100x46x4,5x400 : 4 cái</v>
      </c>
      <c r="F1136" s="1198" t="str">
        <f>VLOOKUP($B1136,dongia1,DG!$D$5,)</f>
        <v>kg</v>
      </c>
      <c r="G1136" s="1304">
        <f>8.59*0.4*4*G1133</f>
        <v>0</v>
      </c>
      <c r="H1136" s="1399">
        <f>VLOOKUP($B1136,dongia1,DG!$F$5,)</f>
        <v>31625</v>
      </c>
      <c r="I1136" s="1467"/>
      <c r="J1136" s="1399"/>
      <c r="K1136" s="1399">
        <f>VLOOKUP($B1136,dongia1,DG!$H$5,)</f>
        <v>0</v>
      </c>
      <c r="L1136" s="1400">
        <f t="shared" si="241"/>
        <v>0</v>
      </c>
      <c r="M1136" s="1400">
        <f t="shared" si="242"/>
        <v>0</v>
      </c>
      <c r="N1136" s="1399"/>
      <c r="O1136" s="1400">
        <f t="shared" si="243"/>
        <v>0</v>
      </c>
      <c r="P1136" s="1299"/>
      <c r="Q1136" s="1300"/>
      <c r="R1136" s="1300"/>
      <c r="S1136" s="1300"/>
    </row>
    <row r="1137" spans="1:19" s="1081" customFormat="1" hidden="1" outlineLevel="1">
      <c r="A1137" s="1072" t="str">
        <f t="shared" si="240"/>
        <v/>
      </c>
      <c r="B1137" s="1068" t="s">
        <v>1309</v>
      </c>
      <c r="C1137" s="1291"/>
      <c r="D1137" s="1198">
        <f>VLOOKUP($B1137,dongia1,DG!$B$5,)</f>
        <v>0</v>
      </c>
      <c r="E1137" s="1243" t="str">
        <f>VLOOKUP($B1137,dongia1,DG!$C$5,)&amp;": 2 cái"</f>
        <v>Đà U100x46x4,5x800 : 2 cái</v>
      </c>
      <c r="F1137" s="1198" t="str">
        <f>VLOOKUP($B1137,dongia1,DG!$D$5,)</f>
        <v>kg</v>
      </c>
      <c r="G1137" s="1304">
        <f>8.59*0.8*2*G1133</f>
        <v>0</v>
      </c>
      <c r="H1137" s="1399">
        <f>VLOOKUP($B1137,dongia1,DG!$F$5,)</f>
        <v>31625</v>
      </c>
      <c r="I1137" s="1467"/>
      <c r="J1137" s="1399"/>
      <c r="K1137" s="1399">
        <f>VLOOKUP($B1137,dongia1,DG!$H$5,)</f>
        <v>0</v>
      </c>
      <c r="L1137" s="1400">
        <f t="shared" si="241"/>
        <v>0</v>
      </c>
      <c r="M1137" s="1400">
        <f t="shared" si="242"/>
        <v>0</v>
      </c>
      <c r="N1137" s="1399"/>
      <c r="O1137" s="1400">
        <f t="shared" si="243"/>
        <v>0</v>
      </c>
      <c r="P1137" s="1299"/>
      <c r="Q1137" s="1300"/>
      <c r="R1137" s="1300"/>
      <c r="S1137" s="1300"/>
    </row>
    <row r="1138" spans="1:19" s="1081" customFormat="1" hidden="1" outlineLevel="1">
      <c r="A1138" s="1072" t="str">
        <f t="shared" si="240"/>
        <v/>
      </c>
      <c r="B1138" s="1295" t="s">
        <v>1039</v>
      </c>
      <c r="C1138" s="1291"/>
      <c r="D1138" s="1198">
        <f>VLOOKUP($B1138,dongia1,DG!$B$5,)</f>
        <v>0</v>
      </c>
      <c r="E1138" s="1243" t="str">
        <f>VLOOKUP($B1138,dongia1,DG!$C$5,)</f>
        <v>Boulon 16x400VRS+ 4 long đền vuông D18-50x50x3/Zn</v>
      </c>
      <c r="F1138" s="1198" t="str">
        <f>VLOOKUP($B1138,dongia1,DG!$D$5,)</f>
        <v>bộ</v>
      </c>
      <c r="G1138" s="1303">
        <f>G1133*10</f>
        <v>0</v>
      </c>
      <c r="H1138" s="1399">
        <f>VLOOKUP($B1138,dongia1,DG!$F$5,)</f>
        <v>34800</v>
      </c>
      <c r="I1138" s="1467"/>
      <c r="J1138" s="1399">
        <f>VLOOKUP($B1138,dongia1,DG!$G$5,)</f>
        <v>0</v>
      </c>
      <c r="K1138" s="1399">
        <f>VLOOKUP($B1138,dongia1,DG!$H$5,)</f>
        <v>0</v>
      </c>
      <c r="L1138" s="1400">
        <f t="shared" si="241"/>
        <v>0</v>
      </c>
      <c r="M1138" s="1400">
        <f t="shared" si="242"/>
        <v>0</v>
      </c>
      <c r="N1138" s="1400">
        <f t="shared" ref="N1138:N1152" si="244">J1138*G1138</f>
        <v>0</v>
      </c>
      <c r="O1138" s="1400">
        <f t="shared" si="243"/>
        <v>0</v>
      </c>
      <c r="P1138" s="1299"/>
      <c r="Q1138" s="1300"/>
      <c r="R1138" s="1300"/>
      <c r="S1138" s="1300"/>
    </row>
    <row r="1139" spans="1:19" s="1081" customFormat="1" hidden="1" outlineLevel="1">
      <c r="A1139" s="1072" t="str">
        <f t="shared" si="240"/>
        <v/>
      </c>
      <c r="B1139" s="1295" t="s">
        <v>82</v>
      </c>
      <c r="C1139" s="1291"/>
      <c r="D1139" s="1198">
        <f>VLOOKUP($B1139,dongia1,DG!$B$5,)</f>
        <v>0</v>
      </c>
      <c r="E1139" s="1243" t="str">
        <f>VLOOKUP($B1139,dongia1,DG!$C$5,)</f>
        <v>Boulon 16x400+ 2 long đền vuông D18-50x50x3/Zn</v>
      </c>
      <c r="F1139" s="1198" t="str">
        <f>VLOOKUP($B1139,dongia1,DG!$D$5,)</f>
        <v>bộ</v>
      </c>
      <c r="G1139" s="1303">
        <f>G1133*2</f>
        <v>0</v>
      </c>
      <c r="H1139" s="1399">
        <f>VLOOKUP($B1139,dongia1,DG!$F$5,)</f>
        <v>29900</v>
      </c>
      <c r="I1139" s="1467"/>
      <c r="J1139" s="1399">
        <f>VLOOKUP($B1139,dongia1,DG!$G$5,)</f>
        <v>0</v>
      </c>
      <c r="K1139" s="1399">
        <f>VLOOKUP($B1139,dongia1,DG!$H$5,)</f>
        <v>0</v>
      </c>
      <c r="L1139" s="1400">
        <f t="shared" si="241"/>
        <v>0</v>
      </c>
      <c r="M1139" s="1400">
        <f t="shared" si="242"/>
        <v>0</v>
      </c>
      <c r="N1139" s="1400">
        <f t="shared" si="244"/>
        <v>0</v>
      </c>
      <c r="O1139" s="1400">
        <f t="shared" si="243"/>
        <v>0</v>
      </c>
      <c r="P1139" s="1299"/>
      <c r="Q1139" s="1300"/>
      <c r="R1139" s="1300"/>
      <c r="S1139" s="1300"/>
    </row>
    <row r="1140" spans="1:19" s="1081" customFormat="1" hidden="1" outlineLevel="1">
      <c r="A1140" s="1072" t="str">
        <f t="shared" si="240"/>
        <v/>
      </c>
      <c r="B1140" s="1295" t="s">
        <v>733</v>
      </c>
      <c r="C1140" s="1291"/>
      <c r="D1140" s="1198">
        <f>VLOOKUP($B1140,dongia1,DG!$B$5,)</f>
        <v>0</v>
      </c>
      <c r="E1140" s="1243" t="str">
        <f>VLOOKUP($B1140,dongia1,DG!$C$5,)</f>
        <v>Boulon 16x350+ 2 long đền vuông D18-50x50x3/Zn</v>
      </c>
      <c r="F1140" s="1198" t="str">
        <f>VLOOKUP($B1140,dongia1,DG!$D$5,)</f>
        <v>bộ</v>
      </c>
      <c r="G1140" s="1303">
        <f>G1133*12</f>
        <v>0</v>
      </c>
      <c r="H1140" s="1399">
        <f>VLOOKUP($B1140,dongia1,DG!$F$5,)</f>
        <v>27900</v>
      </c>
      <c r="I1140" s="1467"/>
      <c r="J1140" s="1399">
        <f>VLOOKUP($B1140,dongia1,DG!$G$5,)</f>
        <v>0</v>
      </c>
      <c r="K1140" s="1399">
        <f>VLOOKUP($B1140,dongia1,DG!$H$5,)</f>
        <v>0</v>
      </c>
      <c r="L1140" s="1400">
        <f t="shared" si="241"/>
        <v>0</v>
      </c>
      <c r="M1140" s="1400">
        <f t="shared" si="242"/>
        <v>0</v>
      </c>
      <c r="N1140" s="1400">
        <f t="shared" si="244"/>
        <v>0</v>
      </c>
      <c r="O1140" s="1400">
        <f t="shared" si="243"/>
        <v>0</v>
      </c>
      <c r="P1140" s="1299"/>
      <c r="Q1140" s="1300"/>
      <c r="R1140" s="1300"/>
      <c r="S1140" s="1300"/>
    </row>
    <row r="1141" spans="1:19" s="1081" customFormat="1" hidden="1" outlineLevel="1">
      <c r="A1141" s="1072" t="str">
        <f>IF(G1141&lt;&gt;0,1,"")</f>
        <v/>
      </c>
      <c r="B1141" s="1068" t="s">
        <v>728</v>
      </c>
      <c r="C1141" s="1291"/>
      <c r="D1141" s="1198" t="str">
        <f>VLOOKUP($B1141,dongia1,DG!$B$5,)</f>
        <v>D2.6054</v>
      </c>
      <c r="E1141" s="1243" t="str">
        <f>VLOOKUP($B1141,dongia1,DG!$C$5,)&amp;": 1 Bộ 2 cái"</f>
        <v>Lắp xà cột Pi loại ≤140kg/xà: 1 Bộ 2 cái</v>
      </c>
      <c r="F1141" s="1198" t="str">
        <f>VLOOKUP($B1141,dongia1,DG!$D$5,)</f>
        <v>bộ</v>
      </c>
      <c r="G1141" s="1303">
        <f>+G1133*1</f>
        <v>0</v>
      </c>
      <c r="H1141" s="1399">
        <f>VLOOKUP($B1141,dongia1,DG!$F$5,)</f>
        <v>0</v>
      </c>
      <c r="I1141" s="1467"/>
      <c r="J1141" s="1399" t="str">
        <f>VLOOKUP($B1141,dongia1,DG!$G$5,)&amp;"x"&amp;hslxh</f>
        <v>474961x1,7</v>
      </c>
      <c r="K1141" s="1399">
        <f>VLOOKUP($B1141,dongia1,DG!$H$5,)</f>
        <v>0</v>
      </c>
      <c r="L1141" s="1400">
        <f>H1141*G1141</f>
        <v>0</v>
      </c>
      <c r="M1141" s="1400">
        <f t="shared" ref="M1141:M1147" si="245">I1141*G1141</f>
        <v>0</v>
      </c>
      <c r="N1141" s="1399">
        <f>VLOOKUP($B1141,dongia1,DG!$G$5,)*hslxh*G1141</f>
        <v>0</v>
      </c>
      <c r="O1141" s="1400">
        <f t="shared" ref="O1141:O1147" si="246">K1141*G1141</f>
        <v>0</v>
      </c>
      <c r="P1141" s="1299"/>
      <c r="Q1141" s="1300"/>
      <c r="R1141" s="1300"/>
      <c r="S1141" s="1300"/>
    </row>
    <row r="1142" spans="1:19" s="1081" customFormat="1" hidden="1" outlineLevel="1">
      <c r="A1142" s="1072" t="str">
        <f>IF(G1142&lt;&gt;0,1,"")</f>
        <v/>
      </c>
      <c r="B1142" s="1068" t="s">
        <v>2191</v>
      </c>
      <c r="C1142" s="1291"/>
      <c r="D1142" s="1198" t="str">
        <f>VLOOKUP($B1142,dongia1,DG!$B$5,)</f>
        <v>D2.6021</v>
      </c>
      <c r="E1142" s="1243" t="str">
        <f>VLOOKUP($B1142,dongia1,DG!$C$5,)&amp;": 1 Bộ 2 cái"</f>
        <v>Lắp xà đỡ 25kg: 1 Bộ 2 cái</v>
      </c>
      <c r="F1142" s="1198" t="str">
        <f>VLOOKUP($B1142,dongia1,DG!$D$5,)</f>
        <v>bộ</v>
      </c>
      <c r="G1142" s="1303">
        <f>+G1133*(IF(G1136&gt;0,2,0)+IF(G1137&gt;0,1,0))</f>
        <v>0</v>
      </c>
      <c r="H1142" s="1399">
        <f>VLOOKUP($B1142,dongia1,DG!$F$5,)</f>
        <v>0</v>
      </c>
      <c r="I1142" s="1467"/>
      <c r="J1142" s="1399" t="str">
        <f>VLOOKUP($B1142,dongia1,DG!$G$5,)&amp;"x"&amp;hslx</f>
        <v>219185,25x1,5</v>
      </c>
      <c r="K1142" s="1399">
        <f>VLOOKUP($B1142,dongia1,DG!$H$5,)</f>
        <v>0</v>
      </c>
      <c r="L1142" s="1400">
        <f>H1142*G1142</f>
        <v>0</v>
      </c>
      <c r="M1142" s="1400">
        <f>I1142*G1142</f>
        <v>0</v>
      </c>
      <c r="N1142" s="1399">
        <f>VLOOKUP($B1142,dongia1,DG!$G$5,)*hslx*G1142</f>
        <v>0</v>
      </c>
      <c r="O1142" s="1400">
        <f>K1142*G1142</f>
        <v>0</v>
      </c>
      <c r="P1142" s="1299"/>
      <c r="Q1142" s="1300"/>
      <c r="R1142" s="1300"/>
      <c r="S1142" s="1300"/>
    </row>
    <row r="1143" spans="1:19" s="1081" customFormat="1" hidden="1" outlineLevel="1">
      <c r="A1143" s="1072" t="str">
        <f>IF(G1143&lt;&gt;0,1,"")</f>
        <v/>
      </c>
      <c r="B1143" s="1295"/>
      <c r="C1143" s="1291">
        <f>IF(G1143&gt;0,C1128+1,C1128)</f>
        <v>0</v>
      </c>
      <c r="D1143" s="1292"/>
      <c r="E1143" s="1468" t="s">
        <v>3435</v>
      </c>
      <c r="F1143" s="1291" t="s">
        <v>2113</v>
      </c>
      <c r="G1143" s="1297">
        <f>+G1105*1</f>
        <v>0</v>
      </c>
      <c r="H1143" s="1467"/>
      <c r="I1143" s="1467"/>
      <c r="J1143" s="1467"/>
      <c r="K1143" s="1467"/>
      <c r="L1143" s="1400">
        <f t="shared" ref="L1143:L1148" si="247">H1143*G1143</f>
        <v>0</v>
      </c>
      <c r="M1143" s="1400">
        <f t="shared" si="245"/>
        <v>0</v>
      </c>
      <c r="N1143" s="1400">
        <f>J1143*G1143</f>
        <v>0</v>
      </c>
      <c r="O1143" s="1400">
        <f t="shared" si="246"/>
        <v>0</v>
      </c>
      <c r="P1143" s="1299"/>
      <c r="Q1143" s="1300"/>
      <c r="R1143" s="1300"/>
      <c r="S1143" s="1300"/>
    </row>
    <row r="1144" spans="1:19" s="1081" customFormat="1" ht="14.4" hidden="1" outlineLevel="1">
      <c r="A1144" s="1072" t="str">
        <f>A1143</f>
        <v/>
      </c>
      <c r="B1144" s="1295"/>
      <c r="C1144" s="1291"/>
      <c r="D1144" s="1292"/>
      <c r="E1144" s="1301" t="s">
        <v>3399</v>
      </c>
      <c r="F1144" s="1302"/>
      <c r="G1144" s="1303"/>
      <c r="H1144" s="1467"/>
      <c r="I1144" s="1467"/>
      <c r="J1144" s="1467"/>
      <c r="K1144" s="1467"/>
      <c r="L1144" s="1400">
        <f t="shared" si="247"/>
        <v>0</v>
      </c>
      <c r="M1144" s="1400">
        <f t="shared" si="245"/>
        <v>0</v>
      </c>
      <c r="N1144" s="1400">
        <f>J1144*G1144</f>
        <v>0</v>
      </c>
      <c r="O1144" s="1400">
        <f t="shared" si="246"/>
        <v>0</v>
      </c>
      <c r="P1144" s="1299"/>
      <c r="Q1144" s="1300"/>
      <c r="R1144" s="1300"/>
      <c r="S1144" s="1300"/>
    </row>
    <row r="1145" spans="1:19" s="1081" customFormat="1" hidden="1" outlineLevel="1">
      <c r="A1145" s="1072" t="str">
        <f>IF(G1145&lt;&gt;0,1,"")</f>
        <v/>
      </c>
      <c r="B1145" s="1067" t="s">
        <v>2167</v>
      </c>
      <c r="C1145" s="1291"/>
      <c r="D1145" s="1198">
        <f>VLOOKUP($B1145,dongia1,DG!$B$5,)</f>
        <v>0</v>
      </c>
      <c r="E1145" s="1243" t="str">
        <f>VLOOKUP($B1145,dongia1,DG!$C$5,)</f>
        <v>Đà Composite 110x80x5x2600</v>
      </c>
      <c r="F1145" s="1198" t="str">
        <f>VLOOKUP($B1145,dongia1,DG!$D$5,)</f>
        <v>cây</v>
      </c>
      <c r="G1145" s="1304">
        <f>+G1143*1</f>
        <v>0</v>
      </c>
      <c r="H1145" s="1399">
        <f>VLOOKUP($B1145,dongia1,DG!$F$5,)</f>
        <v>878000</v>
      </c>
      <c r="I1145" s="1399"/>
      <c r="J1145" s="1399">
        <v>0</v>
      </c>
      <c r="K1145" s="1399">
        <v>0</v>
      </c>
      <c r="L1145" s="1400">
        <f t="shared" si="247"/>
        <v>0</v>
      </c>
      <c r="M1145" s="1400">
        <f t="shared" si="245"/>
        <v>0</v>
      </c>
      <c r="N1145" s="1400">
        <f>J1145*G1145</f>
        <v>0</v>
      </c>
      <c r="O1145" s="1400">
        <f t="shared" si="246"/>
        <v>0</v>
      </c>
      <c r="P1145" s="1299"/>
      <c r="Q1145" s="1300"/>
      <c r="R1145" s="1300"/>
      <c r="S1145" s="1300"/>
    </row>
    <row r="1146" spans="1:19" s="1081" customFormat="1" hidden="1" outlineLevel="1">
      <c r="A1146" s="1072" t="str">
        <f>IF(G1146&lt;&gt;0,1,"")</f>
        <v/>
      </c>
      <c r="B1146" s="1073" t="s">
        <v>428</v>
      </c>
      <c r="C1146" s="1291"/>
      <c r="D1146" s="1198">
        <f>VLOOKUP($B1146,dongia1,DG!$B$5,)</f>
        <v>0</v>
      </c>
      <c r="E1146" s="1243" t="str">
        <f>VLOOKUP($B1146,dongia1,DG!$C$5,)</f>
        <v>Bass LL bắt FCO và LA</v>
      </c>
      <c r="F1146" s="1198" t="str">
        <f>VLOOKUP($B1146,dongia1,DG!$D$5,)</f>
        <v>bộ</v>
      </c>
      <c r="G1146" s="1303">
        <f>+G1143*3</f>
        <v>0</v>
      </c>
      <c r="H1146" s="1399">
        <f>VLOOKUP($B1146,dongia1,DG!$F$5,)</f>
        <v>65000</v>
      </c>
      <c r="I1146" s="1399">
        <v>0</v>
      </c>
      <c r="J1146" s="1399">
        <v>0</v>
      </c>
      <c r="K1146" s="1399">
        <v>0</v>
      </c>
      <c r="L1146" s="1400">
        <f t="shared" si="247"/>
        <v>0</v>
      </c>
      <c r="M1146" s="1400">
        <f t="shared" si="245"/>
        <v>0</v>
      </c>
      <c r="N1146" s="1400">
        <f>J1146*G1146</f>
        <v>0</v>
      </c>
      <c r="O1146" s="1400">
        <f t="shared" si="246"/>
        <v>0</v>
      </c>
      <c r="P1146" s="1299"/>
      <c r="Q1146" s="1300"/>
      <c r="R1146" s="1300"/>
      <c r="S1146" s="1300"/>
    </row>
    <row r="1147" spans="1:19" s="1081" customFormat="1" hidden="1" outlineLevel="1">
      <c r="A1147" s="1072" t="str">
        <f>IF(G1147&lt;&gt;0,1,"")</f>
        <v/>
      </c>
      <c r="B1147" s="1295" t="s">
        <v>733</v>
      </c>
      <c r="C1147" s="1291"/>
      <c r="D1147" s="1198">
        <f>VLOOKUP($B1147,dongia1,DG!$B$5,)</f>
        <v>0</v>
      </c>
      <c r="E1147" s="1243" t="str">
        <f>VLOOKUP($B1147,dongia1,DG!$C$5,)</f>
        <v>Boulon 16x350+ 2 long đền vuông D18-50x50x3/Zn</v>
      </c>
      <c r="F1147" s="1198" t="str">
        <f>VLOOKUP($B1147,dongia1,DG!$D$5,)</f>
        <v>bộ</v>
      </c>
      <c r="G1147" s="1303">
        <f>+G1143*2</f>
        <v>0</v>
      </c>
      <c r="H1147" s="1399">
        <f>VLOOKUP($B1147,dongia1,DG!$F$5,)</f>
        <v>27900</v>
      </c>
      <c r="I1147" s="1467"/>
      <c r="J1147" s="1399">
        <f>VLOOKUP($B1147,dongia1,DG!$G$5,)</f>
        <v>0</v>
      </c>
      <c r="K1147" s="1399">
        <f>VLOOKUP($B1147,dongia1,DG!$H$5,)</f>
        <v>0</v>
      </c>
      <c r="L1147" s="1400">
        <f t="shared" si="247"/>
        <v>0</v>
      </c>
      <c r="M1147" s="1400">
        <f t="shared" si="245"/>
        <v>0</v>
      </c>
      <c r="N1147" s="1400">
        <f>J1147*G1147</f>
        <v>0</v>
      </c>
      <c r="O1147" s="1400">
        <f t="shared" si="246"/>
        <v>0</v>
      </c>
      <c r="P1147" s="1299"/>
      <c r="Q1147" s="1300"/>
      <c r="R1147" s="1300"/>
      <c r="S1147" s="1300"/>
    </row>
    <row r="1148" spans="1:19" s="1081" customFormat="1" hidden="1" outlineLevel="1">
      <c r="A1148" s="1072" t="str">
        <f>IF(G1148&lt;&gt;0,1,"")</f>
        <v/>
      </c>
      <c r="B1148" s="1073" t="s">
        <v>728</v>
      </c>
      <c r="C1148" s="1291"/>
      <c r="D1148" s="1198" t="str">
        <f>VLOOKUP($B1148,dongia1,DG!$B$5,)</f>
        <v>D2.6054</v>
      </c>
      <c r="E1148" s="1243" t="str">
        <f>VLOOKUP($B1148,dongia1,DG!$C$5,)</f>
        <v>Lắp xà cột Pi loại ≤140kg/xà</v>
      </c>
      <c r="F1148" s="1198" t="str">
        <f>VLOOKUP($B1148,dongia1,DG!$D$5,)</f>
        <v>bộ</v>
      </c>
      <c r="G1148" s="1303">
        <f>+G1143</f>
        <v>0</v>
      </c>
      <c r="H1148" s="1298">
        <f>VLOOKUP($B1148,dongia1,DG!$F$5,)</f>
        <v>0</v>
      </c>
      <c r="I1148" s="1399"/>
      <c r="J1148" s="1399" t="str">
        <f>TEXT(VLOOKUP($B1148,dongia1,DG!$G$5,),"#,###")&amp;"x"&amp;hslxh</f>
        <v>474961,x1,7</v>
      </c>
      <c r="K1148" s="1399"/>
      <c r="L1148" s="1400">
        <f t="shared" si="247"/>
        <v>0</v>
      </c>
      <c r="M1148" s="1400"/>
      <c r="N1148" s="1399">
        <f>VLOOKUP($B1148,dongia1,DG!$G$5,)*G1148*hslxh</f>
        <v>0</v>
      </c>
      <c r="O1148" s="1400"/>
      <c r="P1148" s="1299"/>
      <c r="Q1148" s="1300"/>
      <c r="R1148" s="1300"/>
      <c r="S1148" s="1300"/>
    </row>
    <row r="1149" spans="1:19" s="1081" customFormat="1" hidden="1" outlineLevel="1">
      <c r="A1149" s="1072" t="str">
        <f>IF(G1149&lt;&gt;0,1,"")</f>
        <v/>
      </c>
      <c r="B1149" s="1295"/>
      <c r="C1149" s="1291">
        <f>IF(G1149&gt;0,C1133+1,C1133)</f>
        <v>0</v>
      </c>
      <c r="D1149" s="1292"/>
      <c r="E1149" s="1468" t="s">
        <v>3436</v>
      </c>
      <c r="F1149" s="1291" t="s">
        <v>2113</v>
      </c>
      <c r="G1149" s="1297">
        <f>+G1133*2</f>
        <v>0</v>
      </c>
      <c r="H1149" s="1467"/>
      <c r="I1149" s="1467"/>
      <c r="J1149" s="1467"/>
      <c r="K1149" s="1467"/>
      <c r="L1149" s="1400">
        <f t="shared" si="241"/>
        <v>0</v>
      </c>
      <c r="M1149" s="1400">
        <f>I1149*G1149</f>
        <v>0</v>
      </c>
      <c r="N1149" s="1400">
        <f t="shared" si="244"/>
        <v>0</v>
      </c>
      <c r="O1149" s="1400">
        <f>K1149*G1149</f>
        <v>0</v>
      </c>
      <c r="P1149" s="1299"/>
      <c r="Q1149" s="1300"/>
      <c r="R1149" s="1300"/>
      <c r="S1149" s="1300"/>
    </row>
    <row r="1150" spans="1:19" s="1081" customFormat="1" ht="14.4" hidden="1" outlineLevel="1">
      <c r="A1150" s="1072" t="str">
        <f>A1149</f>
        <v/>
      </c>
      <c r="B1150" s="1295"/>
      <c r="C1150" s="1291"/>
      <c r="D1150" s="1292"/>
      <c r="E1150" s="1301" t="s">
        <v>3399</v>
      </c>
      <c r="F1150" s="1302"/>
      <c r="G1150" s="1303"/>
      <c r="H1150" s="1467"/>
      <c r="I1150" s="1467"/>
      <c r="J1150" s="1467"/>
      <c r="K1150" s="1467"/>
      <c r="L1150" s="1400">
        <f t="shared" si="241"/>
        <v>0</v>
      </c>
      <c r="M1150" s="1400">
        <f>I1150*G1150</f>
        <v>0</v>
      </c>
      <c r="N1150" s="1400">
        <f t="shared" si="244"/>
        <v>0</v>
      </c>
      <c r="O1150" s="1400">
        <f>K1150*G1150</f>
        <v>0</v>
      </c>
      <c r="P1150" s="1299"/>
      <c r="Q1150" s="1300"/>
      <c r="R1150" s="1300"/>
      <c r="S1150" s="1300"/>
    </row>
    <row r="1151" spans="1:19" s="1081" customFormat="1" hidden="1" outlineLevel="1">
      <c r="A1151" s="1072" t="str">
        <f>IF(G1151&lt;&gt;0,1,"")</f>
        <v/>
      </c>
      <c r="B1151" s="1068" t="s">
        <v>1626</v>
      </c>
      <c r="C1151" s="1291"/>
      <c r="D1151" s="1198">
        <f>VLOOKUP($B1151,dongia1,DG!$B$5,)</f>
        <v>0</v>
      </c>
      <c r="E1151" s="1243" t="str">
        <f>VLOOKUP($B1151,dongia1,DG!$C$5,)</f>
        <v>Sắt góc L75 x75 x8</v>
      </c>
      <c r="F1151" s="1198" t="str">
        <f>VLOOKUP($B1151,dongia1,DG!$D$5,)</f>
        <v>kg</v>
      </c>
      <c r="G1151" s="1304">
        <f>G1149*9.02*(2.6+3*0.07)</f>
        <v>0</v>
      </c>
      <c r="H1151" s="1298">
        <f>VLOOKUP($B1151,dongia1,DG!$F$5,)+449</f>
        <v>32074</v>
      </c>
      <c r="I1151" s="1399"/>
      <c r="J1151" s="1399">
        <v>0</v>
      </c>
      <c r="K1151" s="1399">
        <v>0</v>
      </c>
      <c r="L1151" s="1400">
        <f t="shared" si="241"/>
        <v>0</v>
      </c>
      <c r="M1151" s="1400">
        <f>I1151*G1151</f>
        <v>0</v>
      </c>
      <c r="N1151" s="1400">
        <f t="shared" si="244"/>
        <v>0</v>
      </c>
      <c r="O1151" s="1400">
        <f>K1151*G1151</f>
        <v>0</v>
      </c>
      <c r="P1151" s="1299"/>
      <c r="Q1151" s="1300"/>
      <c r="R1151" s="1300"/>
      <c r="S1151" s="1300"/>
    </row>
    <row r="1152" spans="1:19" s="1081" customFormat="1" hidden="1" outlineLevel="1">
      <c r="A1152" s="1072" t="str">
        <f>IF(G1152&lt;&gt;0,1,"")</f>
        <v/>
      </c>
      <c r="B1152" s="1295" t="s">
        <v>1262</v>
      </c>
      <c r="C1152" s="1291"/>
      <c r="D1152" s="1198">
        <f>VLOOKUP($B1152,dongia1,DG!$B$5,)</f>
        <v>0</v>
      </c>
      <c r="E1152" s="1243" t="str">
        <f>VLOOKUP($B1152,dongia1,DG!$C$5,)</f>
        <v>Boulon 16x300+ 2 long đền vuông D18-50x50x3/Zn</v>
      </c>
      <c r="F1152" s="1198" t="str">
        <f>VLOOKUP($B1152,dongia1,DG!$D$5,)</f>
        <v>bộ</v>
      </c>
      <c r="G1152" s="1303">
        <f>IF(G1149=0,0,2)*2</f>
        <v>0</v>
      </c>
      <c r="H1152" s="1298">
        <f>VLOOKUP($B1152,dongia1,DG!$F$5,)</f>
        <v>25400</v>
      </c>
      <c r="I1152" s="1399">
        <v>0</v>
      </c>
      <c r="J1152" s="1399">
        <v>0</v>
      </c>
      <c r="K1152" s="1399">
        <v>0</v>
      </c>
      <c r="L1152" s="1400">
        <f t="shared" ref="L1152:L1168" si="248">H1152*G1152</f>
        <v>0</v>
      </c>
      <c r="M1152" s="1400">
        <f>I1152*G1152</f>
        <v>0</v>
      </c>
      <c r="N1152" s="1400">
        <f t="shared" si="244"/>
        <v>0</v>
      </c>
      <c r="O1152" s="1400">
        <f>K1152*G1152</f>
        <v>0</v>
      </c>
      <c r="P1152" s="1299"/>
      <c r="Q1152" s="1300"/>
      <c r="R1152" s="1300"/>
      <c r="S1152" s="1300"/>
    </row>
    <row r="1153" spans="1:19" s="1081" customFormat="1" hidden="1" outlineLevel="1">
      <c r="A1153" s="1072" t="str">
        <f>IF(G1153&lt;&gt;0,1,"")</f>
        <v/>
      </c>
      <c r="B1153" s="1295" t="s">
        <v>728</v>
      </c>
      <c r="C1153" s="1291"/>
      <c r="D1153" s="1198" t="str">
        <f>VLOOKUP($B1153,dongia1,DG!$B$5,)</f>
        <v>D2.6054</v>
      </c>
      <c r="E1153" s="1243" t="str">
        <f>VLOOKUP($B1153,dongia1,DG!$C$5,)</f>
        <v>Lắp xà cột Pi loại ≤140kg/xà</v>
      </c>
      <c r="F1153" s="1198" t="str">
        <f>VLOOKUP($B1153,dongia1,DG!$D$5,)</f>
        <v>bộ</v>
      </c>
      <c r="G1153" s="1303">
        <f>+G1149</f>
        <v>0</v>
      </c>
      <c r="H1153" s="1298">
        <f>VLOOKUP($B1153,dongia1,DG!$F$5,)</f>
        <v>0</v>
      </c>
      <c r="I1153" s="1399"/>
      <c r="J1153" s="1399" t="str">
        <f>TEXT(VLOOKUP($B1153,dongia1,DG!$G$5,),"#,###")&amp;"x"&amp;hslxh</f>
        <v>474961,x1,7</v>
      </c>
      <c r="K1153" s="1399"/>
      <c r="L1153" s="1400">
        <f t="shared" si="248"/>
        <v>0</v>
      </c>
      <c r="M1153" s="1400"/>
      <c r="N1153" s="1399">
        <f>VLOOKUP($B1153,dongia1,DG!$G$5,)*G1153*hslxh</f>
        <v>0</v>
      </c>
      <c r="O1153" s="1400"/>
      <c r="P1153" s="1299"/>
      <c r="Q1153" s="1300"/>
      <c r="R1153" s="1300"/>
      <c r="S1153" s="1300"/>
    </row>
    <row r="1154" spans="1:19" s="1081" customFormat="1" hidden="1" outlineLevel="1">
      <c r="A1154" s="1072" t="str">
        <f>IF(G1154&lt;&gt;0,1,"")</f>
        <v/>
      </c>
      <c r="B1154" s="1295"/>
      <c r="C1154" s="1291">
        <f>IF(G1154&gt;0,C1149+1,C1149)</f>
        <v>0</v>
      </c>
      <c r="D1154" s="1292"/>
      <c r="E1154" s="1468" t="s">
        <v>3439</v>
      </c>
      <c r="F1154" s="1291" t="s">
        <v>2113</v>
      </c>
      <c r="G1154" s="1297">
        <f>+G1105*2</f>
        <v>0</v>
      </c>
      <c r="H1154" s="1467"/>
      <c r="I1154" s="1467"/>
      <c r="J1154" s="1467"/>
      <c r="K1154" s="1467"/>
      <c r="L1154" s="1400">
        <f t="shared" si="248"/>
        <v>0</v>
      </c>
      <c r="M1154" s="1400">
        <f>I1154*G1154</f>
        <v>0</v>
      </c>
      <c r="N1154" s="1400">
        <f>J1154*G1154</f>
        <v>0</v>
      </c>
      <c r="O1154" s="1400">
        <f>K1154*G1154</f>
        <v>0</v>
      </c>
      <c r="P1154" s="1299"/>
      <c r="Q1154" s="1300"/>
      <c r="R1154" s="1300"/>
      <c r="S1154" s="1300"/>
    </row>
    <row r="1155" spans="1:19" s="1081" customFormat="1" ht="14.4" hidden="1" outlineLevel="1">
      <c r="A1155" s="1072" t="str">
        <f>A1154</f>
        <v/>
      </c>
      <c r="B1155" s="1295"/>
      <c r="C1155" s="1291"/>
      <c r="D1155" s="1292"/>
      <c r="E1155" s="1301" t="s">
        <v>3399</v>
      </c>
      <c r="F1155" s="1302"/>
      <c r="G1155" s="1303"/>
      <c r="H1155" s="1467"/>
      <c r="I1155" s="1467"/>
      <c r="J1155" s="1467"/>
      <c r="K1155" s="1467"/>
      <c r="L1155" s="1400">
        <f t="shared" si="248"/>
        <v>0</v>
      </c>
      <c r="M1155" s="1400">
        <f>I1155*G1155</f>
        <v>0</v>
      </c>
      <c r="N1155" s="1400">
        <f>J1155*G1155</f>
        <v>0</v>
      </c>
      <c r="O1155" s="1400">
        <f>K1155*G1155</f>
        <v>0</v>
      </c>
      <c r="P1155" s="1299"/>
      <c r="Q1155" s="1300"/>
      <c r="R1155" s="1300"/>
      <c r="S1155" s="1300"/>
    </row>
    <row r="1156" spans="1:19" s="1081" customFormat="1" hidden="1" outlineLevel="1">
      <c r="A1156" s="1072" t="str">
        <f>IF(G1156&lt;&gt;0,1,"")</f>
        <v/>
      </c>
      <c r="B1156" s="1295" t="s">
        <v>1626</v>
      </c>
      <c r="C1156" s="1291"/>
      <c r="D1156" s="1198">
        <f>VLOOKUP($B1156,dongia1,DG!$B$5,)</f>
        <v>0</v>
      </c>
      <c r="E1156" s="1243" t="str">
        <f>VLOOKUP($B1156,dongia1,DG!$C$5,)</f>
        <v>Sắt góc L75 x75 x8</v>
      </c>
      <c r="F1156" s="1198" t="str">
        <f>VLOOKUP($B1156,dongia1,DG!$D$5,)</f>
        <v>kg</v>
      </c>
      <c r="G1156" s="1304">
        <f>G1154*9.02*2.6</f>
        <v>0</v>
      </c>
      <c r="H1156" s="1298">
        <f>VLOOKUP($B1156,dongia1,DG!$F$5,)+449</f>
        <v>32074</v>
      </c>
      <c r="I1156" s="1399"/>
      <c r="J1156" s="1399">
        <v>0</v>
      </c>
      <c r="K1156" s="1399"/>
      <c r="L1156" s="1400">
        <f t="shared" si="248"/>
        <v>0</v>
      </c>
      <c r="M1156" s="1400"/>
      <c r="N1156" s="1400"/>
      <c r="O1156" s="1400"/>
      <c r="P1156" s="1299"/>
      <c r="Q1156" s="1300"/>
      <c r="R1156" s="1300"/>
      <c r="S1156" s="1300"/>
    </row>
    <row r="1157" spans="1:19" s="1081" customFormat="1" hidden="1" outlineLevel="1">
      <c r="A1157" s="1072" t="str">
        <f>IF(G1157&lt;&gt;0,1,"")</f>
        <v/>
      </c>
      <c r="B1157" s="1295" t="s">
        <v>82</v>
      </c>
      <c r="C1157" s="1291"/>
      <c r="D1157" s="1198">
        <f>VLOOKUP($B1157,dongia1,DG!$B$5,)</f>
        <v>0</v>
      </c>
      <c r="E1157" s="1243" t="str">
        <f>VLOOKUP($B1157,dongia1,DG!$C$5,)</f>
        <v>Boulon 16x400+ 2 long đền vuông D18-50x50x3/Zn</v>
      </c>
      <c r="F1157" s="1198" t="str">
        <f>VLOOKUP($B1157,dongia1,DG!$D$5,)</f>
        <v>bộ</v>
      </c>
      <c r="G1157" s="1303">
        <f>G1154*2</f>
        <v>0</v>
      </c>
      <c r="H1157" s="1298">
        <f>VLOOKUP($B1157,dongia1,DG!$F$5,)</f>
        <v>29900</v>
      </c>
      <c r="I1157" s="1399">
        <v>0</v>
      </c>
      <c r="J1157" s="1399">
        <v>0</v>
      </c>
      <c r="K1157" s="1399"/>
      <c r="L1157" s="1400">
        <f t="shared" si="248"/>
        <v>0</v>
      </c>
      <c r="M1157" s="1400"/>
      <c r="N1157" s="1400"/>
      <c r="O1157" s="1400"/>
      <c r="P1157" s="1299"/>
      <c r="Q1157" s="1300"/>
      <c r="R1157" s="1300"/>
      <c r="S1157" s="1300"/>
    </row>
    <row r="1158" spans="1:19" s="1081" customFormat="1" hidden="1" outlineLevel="1">
      <c r="A1158" s="1072" t="str">
        <f>IF(G1158&lt;&gt;0,1,"")</f>
        <v/>
      </c>
      <c r="B1158" s="1295" t="s">
        <v>1998</v>
      </c>
      <c r="C1158" s="1291"/>
      <c r="D1158" s="1198">
        <f>VLOOKUP($B1158,dongia1,DG!$B$5,)</f>
        <v>0</v>
      </c>
      <c r="E1158" s="1243" t="str">
        <f>VLOOKUP($B1158,dongia1,DG!$C$5,)</f>
        <v>Boulon 12x40+ 2 long đền vuông D14-50x50x3/Zn</v>
      </c>
      <c r="F1158" s="1198" t="str">
        <f>VLOOKUP($B1158,dongia1,DG!$D$5,)</f>
        <v>bộ</v>
      </c>
      <c r="G1158" s="1303">
        <f>G1154*2</f>
        <v>0</v>
      </c>
      <c r="H1158" s="1298">
        <f>VLOOKUP($B1158,dongia1,DG!$F$5,)</f>
        <v>8500</v>
      </c>
      <c r="I1158" s="1399">
        <v>0</v>
      </c>
      <c r="J1158" s="1399">
        <v>0</v>
      </c>
      <c r="K1158" s="1399"/>
      <c r="L1158" s="1400">
        <f t="shared" si="248"/>
        <v>0</v>
      </c>
      <c r="M1158" s="1400"/>
      <c r="N1158" s="1400"/>
      <c r="O1158" s="1400"/>
      <c r="P1158" s="1299"/>
      <c r="Q1158" s="1300"/>
      <c r="R1158" s="1300"/>
      <c r="S1158" s="1300"/>
    </row>
    <row r="1159" spans="1:19" s="1081" customFormat="1" hidden="1" outlineLevel="1">
      <c r="A1159" s="1072" t="str">
        <f>IF(G1159&lt;&gt;0,1,"")</f>
        <v/>
      </c>
      <c r="B1159" s="1295" t="s">
        <v>728</v>
      </c>
      <c r="C1159" s="1291"/>
      <c r="D1159" s="1198" t="str">
        <f>VLOOKUP($B1159,dongia1,DG!$B$5,)</f>
        <v>D2.6054</v>
      </c>
      <c r="E1159" s="1243" t="str">
        <f>VLOOKUP($B1159,dongia1,DG!$C$5,)</f>
        <v>Lắp xà cột Pi loại ≤140kg/xà</v>
      </c>
      <c r="F1159" s="1198" t="str">
        <f>VLOOKUP($B1159,dongia1,DG!$D$5,)</f>
        <v>bộ</v>
      </c>
      <c r="G1159" s="1303">
        <f>G1154/2</f>
        <v>0</v>
      </c>
      <c r="H1159" s="1298">
        <f>VLOOKUP($B1159,dongia1,DG!$F$5,)</f>
        <v>0</v>
      </c>
      <c r="I1159" s="1399"/>
      <c r="J1159" s="1399" t="str">
        <f>TEXT(VLOOKUP($B1159,dongia1,DG!$G$5,),"#,###")&amp;"x"&amp;hslxh</f>
        <v>474961,x1,7</v>
      </c>
      <c r="K1159" s="1399"/>
      <c r="L1159" s="1400">
        <f t="shared" si="248"/>
        <v>0</v>
      </c>
      <c r="M1159" s="1400"/>
      <c r="N1159" s="1399">
        <f>VLOOKUP($B1159,dongia1,DG!$G$5,)*hslxh*G1159</f>
        <v>0</v>
      </c>
      <c r="O1159" s="1400"/>
      <c r="P1159" s="1299"/>
      <c r="Q1159" s="1300"/>
      <c r="R1159" s="1300"/>
      <c r="S1159" s="1300"/>
    </row>
    <row r="1160" spans="1:19" s="1081" customFormat="1" hidden="1" outlineLevel="1">
      <c r="A1160" s="1072" t="str">
        <f>IF(G1160&lt;&gt;0,1,"")</f>
        <v/>
      </c>
      <c r="B1160" s="1295"/>
      <c r="C1160" s="1291">
        <f>IF(G1160&gt;0,C1154+1,C1154)</f>
        <v>0</v>
      </c>
      <c r="D1160" s="1292"/>
      <c r="E1160" s="1468" t="s">
        <v>3440</v>
      </c>
      <c r="F1160" s="1291" t="s">
        <v>2113</v>
      </c>
      <c r="G1160" s="1297">
        <f>G1105</f>
        <v>0</v>
      </c>
      <c r="H1160" s="1298"/>
      <c r="I1160" s="1298"/>
      <c r="J1160" s="1298"/>
      <c r="K1160" s="1298"/>
      <c r="L1160" s="1298">
        <f t="shared" si="248"/>
        <v>0</v>
      </c>
      <c r="M1160" s="1298">
        <f>I1160*G1160</f>
        <v>0</v>
      </c>
      <c r="N1160" s="1298">
        <f t="shared" ref="N1160:N1168" si="249">J1160*G1160</f>
        <v>0</v>
      </c>
      <c r="O1160" s="1298">
        <f>K1160*G1160</f>
        <v>0</v>
      </c>
      <c r="P1160" s="1437"/>
      <c r="Q1160" s="1300"/>
      <c r="R1160" s="1300"/>
      <c r="S1160" s="1300"/>
    </row>
    <row r="1161" spans="1:19" s="1081" customFormat="1" ht="14.4" hidden="1" outlineLevel="1">
      <c r="A1161" s="1072" t="str">
        <f>+A1160</f>
        <v/>
      </c>
      <c r="B1161" s="1469"/>
      <c r="C1161" s="1291"/>
      <c r="D1161" s="1292"/>
      <c r="E1161" s="1301" t="s">
        <v>3399</v>
      </c>
      <c r="F1161" s="1302"/>
      <c r="G1161" s="1303"/>
      <c r="H1161" s="1298"/>
      <c r="I1161" s="1298"/>
      <c r="J1161" s="1298"/>
      <c r="K1161" s="1298"/>
      <c r="L1161" s="1298">
        <f t="shared" si="248"/>
        <v>0</v>
      </c>
      <c r="M1161" s="1298">
        <f>I1161*G1161</f>
        <v>0</v>
      </c>
      <c r="N1161" s="1298">
        <f t="shared" si="249"/>
        <v>0</v>
      </c>
      <c r="O1161" s="1298">
        <f>K1161*G1161</f>
        <v>0</v>
      </c>
      <c r="P1161" s="1437"/>
      <c r="Q1161" s="1300"/>
      <c r="R1161" s="1300"/>
      <c r="S1161" s="1300"/>
    </row>
    <row r="1162" spans="1:19" s="1081" customFormat="1" hidden="1" outlineLevel="1">
      <c r="A1162" s="1072" t="str">
        <f t="shared" ref="A1162:A1168" si="250">IF(G1162&lt;&gt;0,1,"")</f>
        <v/>
      </c>
      <c r="B1162" s="1295" t="s">
        <v>1200</v>
      </c>
      <c r="C1162" s="1291"/>
      <c r="D1162" s="1198">
        <f>VLOOKUP($B1162,dongia1,DG!$B$5,)</f>
        <v>0</v>
      </c>
      <c r="E1162" s="1243" t="str">
        <f>VLOOKUP($B1162,dongia1,DG!$C$5,)</f>
        <v>Cáp đồng trần M25mm2</v>
      </c>
      <c r="F1162" s="1198" t="str">
        <f>VLOOKUP($B1162,dongia1,DG!$D$5,)</f>
        <v>kg</v>
      </c>
      <c r="G1162" s="1304">
        <f>$H$3*0.224*G1160</f>
        <v>0</v>
      </c>
      <c r="H1162" s="1298">
        <f>VLOOKUP($B1162,dongia1,DG!$F$5,)</f>
        <v>255500</v>
      </c>
      <c r="I1162" s="1298"/>
      <c r="J1162" s="1298">
        <f>VLOOKUP($B1162,dongia1,DG!$G$5,)</f>
        <v>0</v>
      </c>
      <c r="K1162" s="1298">
        <f>VLOOKUP($B1162,dongia1,DG!$H$5,)</f>
        <v>0</v>
      </c>
      <c r="L1162" s="1298">
        <f t="shared" si="248"/>
        <v>0</v>
      </c>
      <c r="M1162" s="1298">
        <f>I1162*G1162</f>
        <v>0</v>
      </c>
      <c r="N1162" s="1298">
        <f t="shared" si="249"/>
        <v>0</v>
      </c>
      <c r="O1162" s="1298">
        <f>K1162*G1162</f>
        <v>0</v>
      </c>
      <c r="P1162" s="1437"/>
      <c r="Q1162" s="1300"/>
      <c r="R1162" s="1300"/>
      <c r="S1162" s="1300"/>
    </row>
    <row r="1163" spans="1:19" s="1081" customFormat="1" hidden="1" outlineLevel="1">
      <c r="A1163" s="1072" t="str">
        <f t="shared" si="250"/>
        <v/>
      </c>
      <c r="B1163" s="1068" t="s">
        <v>1098</v>
      </c>
      <c r="C1163" s="1291"/>
      <c r="D1163" s="1198">
        <f>VLOOKUP($B1163,dongia1,DG!$B$5,)</f>
        <v>0</v>
      </c>
      <c r="E1163" s="1243" t="str">
        <f>VLOOKUP($B1163,dongia1,DG!$C$5,)</f>
        <v>Cọc tiếp đất Þ 16- 2,4m + kẹp cọc</v>
      </c>
      <c r="F1163" s="1198" t="str">
        <f>VLOOKUP($B1163,dongia1,DG!$D$5,)</f>
        <v>bộ</v>
      </c>
      <c r="G1163" s="1303">
        <f>$H$2*G1160</f>
        <v>0</v>
      </c>
      <c r="H1163" s="1298">
        <f>VLOOKUP($B1163,dongia1,DG!$F$5,)</f>
        <v>160000</v>
      </c>
      <c r="I1163" s="1298"/>
      <c r="J1163" s="1298">
        <f>VLOOKUP($B1163,dongia1,DG!$G$5,)</f>
        <v>0</v>
      </c>
      <c r="K1163" s="1298">
        <f>VLOOKUP($B1163,dongia1,DG!$H$5,)</f>
        <v>0</v>
      </c>
      <c r="L1163" s="1298">
        <f t="shared" si="248"/>
        <v>0</v>
      </c>
      <c r="M1163" s="1298">
        <f>I1163*G1163</f>
        <v>0</v>
      </c>
      <c r="N1163" s="1298">
        <f t="shared" si="249"/>
        <v>0</v>
      </c>
      <c r="O1163" s="1298">
        <f>K1163*G1163</f>
        <v>0</v>
      </c>
      <c r="P1163" s="1437"/>
      <c r="Q1163" s="1300"/>
      <c r="R1163" s="1300"/>
      <c r="S1163" s="1300"/>
    </row>
    <row r="1164" spans="1:19" s="1081" customFormat="1" hidden="1" outlineLevel="1">
      <c r="A1164" s="1072" t="str">
        <f t="shared" si="250"/>
        <v/>
      </c>
      <c r="B1164" s="1470" t="s">
        <v>205</v>
      </c>
      <c r="C1164" s="1291"/>
      <c r="D1164" s="1198">
        <f>VLOOKUP($B1164,dongia1,DG!$B$5,)</f>
        <v>0</v>
      </c>
      <c r="E1164" s="1243" t="str">
        <f>VLOOKUP($B1164,dongia1,DG!$C$5,)</f>
        <v>Kẹp ép WR cỡ dây 50mm2</v>
      </c>
      <c r="F1164" s="1198" t="str">
        <f>VLOOKUP($B1164,dongia1,DG!$D$5,)</f>
        <v>cái</v>
      </c>
      <c r="G1164" s="1303">
        <f>2*G1160</f>
        <v>0</v>
      </c>
      <c r="H1164" s="1298">
        <f>VLOOKUP($B1164,dongia1,DG!$F$5,)</f>
        <v>8000</v>
      </c>
      <c r="I1164" s="1298"/>
      <c r="J1164" s="1298">
        <f>VLOOKUP($B1164,dongia1,DG!$G$5,)</f>
        <v>0</v>
      </c>
      <c r="K1164" s="1298"/>
      <c r="L1164" s="1298">
        <f t="shared" si="248"/>
        <v>0</v>
      </c>
      <c r="M1164" s="1298"/>
      <c r="N1164" s="1298">
        <f t="shared" si="249"/>
        <v>0</v>
      </c>
      <c r="O1164" s="1298"/>
      <c r="P1164" s="1437"/>
      <c r="Q1164" s="1300"/>
      <c r="R1164" s="1300"/>
      <c r="S1164" s="1300"/>
    </row>
    <row r="1165" spans="1:19" s="1081" customFormat="1" hidden="1" outlineLevel="1">
      <c r="A1165" s="1072" t="str">
        <f t="shared" si="250"/>
        <v/>
      </c>
      <c r="B1165" s="1470" t="s">
        <v>1433</v>
      </c>
      <c r="C1165" s="1471"/>
      <c r="D1165" s="1198">
        <f>VLOOKUP($B1165,dongia1,DG!$B$5,)</f>
        <v>0</v>
      </c>
      <c r="E1165" s="1243" t="str">
        <f>VLOOKUP($B1165,dongia1,DG!$C$5,)</f>
        <v>Ốc xiết cáp cỡ 25mm2</v>
      </c>
      <c r="F1165" s="1198" t="str">
        <f>VLOOKUP($B1165,dongia1,DG!$D$5,)</f>
        <v>cái</v>
      </c>
      <c r="G1165" s="1303">
        <f>IF(G1163&lt;=12,15,21)*G1160</f>
        <v>0</v>
      </c>
      <c r="H1165" s="1298">
        <f>VLOOKUP($B1165,dongia1,DG!$F$5,)</f>
        <v>17600</v>
      </c>
      <c r="I1165" s="1298"/>
      <c r="J1165" s="1298">
        <f>VLOOKUP($B1165,dongia1,DG!$G$5,)</f>
        <v>0</v>
      </c>
      <c r="K1165" s="1298"/>
      <c r="L1165" s="1298">
        <f t="shared" si="248"/>
        <v>0</v>
      </c>
      <c r="M1165" s="1298">
        <f>I1165*G1165</f>
        <v>0</v>
      </c>
      <c r="N1165" s="1298">
        <f t="shared" si="249"/>
        <v>0</v>
      </c>
      <c r="O1165" s="1298">
        <f>K1165*G1165</f>
        <v>0</v>
      </c>
      <c r="P1165" s="1437"/>
      <c r="Q1165" s="1300"/>
      <c r="R1165" s="1300"/>
      <c r="S1165" s="1300"/>
    </row>
    <row r="1166" spans="1:19" s="1081" customFormat="1" hidden="1" outlineLevel="1">
      <c r="A1166" s="1072" t="str">
        <f t="shared" si="250"/>
        <v/>
      </c>
      <c r="B1166" s="1068" t="s">
        <v>2040</v>
      </c>
      <c r="C1166" s="1291"/>
      <c r="D1166" s="1198">
        <f>VLOOKUP($B1166,dongia1,DG!$B$5,)</f>
        <v>0</v>
      </c>
      <c r="E1166" s="1243" t="str">
        <f>VLOOKUP($B1166,dongia1,DG!$C$5,)</f>
        <v xml:space="preserve">Ống PVC D21x1,6mm </v>
      </c>
      <c r="F1166" s="1198" t="str">
        <f>VLOOKUP($B1166,dongia1,DG!$D$5,)</f>
        <v>m</v>
      </c>
      <c r="G1166" s="1303">
        <f>G1160*6</f>
        <v>0</v>
      </c>
      <c r="H1166" s="1298">
        <f>VLOOKUP($B1166,dongia1,DG!$F$5,)</f>
        <v>6200</v>
      </c>
      <c r="I1166" s="1298"/>
      <c r="J1166" s="1298">
        <f>VLOOKUP($B1166,dongia1,DG!$G$5,)</f>
        <v>0</v>
      </c>
      <c r="K1166" s="1298">
        <f>VLOOKUP($B1166,dongia1,DG!$H$5,)</f>
        <v>0</v>
      </c>
      <c r="L1166" s="1298">
        <f t="shared" si="248"/>
        <v>0</v>
      </c>
      <c r="M1166" s="1298">
        <f>I1166*G1166</f>
        <v>0</v>
      </c>
      <c r="N1166" s="1298">
        <f t="shared" si="249"/>
        <v>0</v>
      </c>
      <c r="O1166" s="1298">
        <f>K1166*G1166</f>
        <v>0</v>
      </c>
      <c r="P1166" s="1299"/>
      <c r="Q1166" s="1300"/>
      <c r="R1166" s="1300"/>
      <c r="S1166" s="1300"/>
    </row>
    <row r="1167" spans="1:19" s="1081" customFormat="1" hidden="1" outlineLevel="1">
      <c r="A1167" s="1072" t="str">
        <f t="shared" si="250"/>
        <v/>
      </c>
      <c r="B1167" s="1068" t="s">
        <v>1490</v>
      </c>
      <c r="C1167" s="1291"/>
      <c r="D1167" s="1198">
        <f>VLOOKUP($B1167,dongia1,DG!$B$5,)</f>
        <v>0</v>
      </c>
      <c r="E1167" s="1243" t="str">
        <f>VLOOKUP($B1167,dongia1,DG!$C$5,)</f>
        <v>Cổ dê kẹp ống PVC (STK) Þ 21</v>
      </c>
      <c r="F1167" s="1198" t="str">
        <f>VLOOKUP($B1167,dongia1,DG!$D$5,)</f>
        <v>bộ</v>
      </c>
      <c r="G1167" s="1303">
        <f>G1160*4</f>
        <v>0</v>
      </c>
      <c r="H1167" s="1298">
        <f>VLOOKUP($B1167,dongia1,DG!$F$5,)</f>
        <v>43000</v>
      </c>
      <c r="I1167" s="1298"/>
      <c r="J1167" s="1298">
        <f>VLOOKUP($B1167,dongia1,DG!$G$5,)</f>
        <v>0</v>
      </c>
      <c r="K1167" s="1298">
        <f>VLOOKUP($B1167,dongia1,DG!$H$5,)</f>
        <v>0</v>
      </c>
      <c r="L1167" s="1298">
        <f t="shared" si="248"/>
        <v>0</v>
      </c>
      <c r="M1167" s="1298">
        <f>I1167*G1167</f>
        <v>0</v>
      </c>
      <c r="N1167" s="1298">
        <f t="shared" si="249"/>
        <v>0</v>
      </c>
      <c r="O1167" s="1298">
        <f>K1167*G1167</f>
        <v>0</v>
      </c>
      <c r="P1167" s="1299"/>
      <c r="Q1167" s="1300"/>
      <c r="R1167" s="1300"/>
      <c r="S1167" s="1300"/>
    </row>
    <row r="1168" spans="1:19" s="1081" customFormat="1" hidden="1" outlineLevel="1">
      <c r="A1168" s="1072" t="str">
        <f t="shared" si="250"/>
        <v/>
      </c>
      <c r="B1168" s="1068" t="s">
        <v>211</v>
      </c>
      <c r="C1168" s="1291"/>
      <c r="D1168" s="1198">
        <f>VLOOKUP($B1168,dongia1,DG!$B$5,)</f>
        <v>0</v>
      </c>
      <c r="E1168" s="1243" t="str">
        <f>VLOOKUP($B1168,dongia1,DG!$C$5,)</f>
        <v>Khoan giếng tiếp địa</v>
      </c>
      <c r="F1168" s="1198" t="str">
        <f>VLOOKUP($B1168,dongia1,DG!$D$5,)</f>
        <v>Cái</v>
      </c>
      <c r="G1168" s="1303"/>
      <c r="H1168" s="1298">
        <f>VLOOKUP($B1168,dongia1,DG!$F$5,)</f>
        <v>0</v>
      </c>
      <c r="I1168" s="1298"/>
      <c r="J1168" s="1298">
        <f>VLOOKUP($B1168,dongia1,DG!$G$5,)</f>
        <v>1500000</v>
      </c>
      <c r="K1168" s="1298">
        <f>VLOOKUP($B1168,dongia1,DG!$H$5,)</f>
        <v>0</v>
      </c>
      <c r="L1168" s="1298">
        <f t="shared" si="248"/>
        <v>0</v>
      </c>
      <c r="M1168" s="1298">
        <f>I1168*G1168</f>
        <v>0</v>
      </c>
      <c r="N1168" s="1298">
        <f t="shared" si="249"/>
        <v>0</v>
      </c>
      <c r="O1168" s="1298">
        <f>K1168*G1168</f>
        <v>0</v>
      </c>
      <c r="P1168" s="1437"/>
      <c r="Q1168" s="1300"/>
      <c r="R1168" s="1300"/>
      <c r="S1168" s="1300"/>
    </row>
    <row r="1169" spans="1:20" s="1081" customFormat="1" hidden="1" outlineLevel="1">
      <c r="A1169" s="1072">
        <f>IF(G1169=0,0,1)</f>
        <v>0</v>
      </c>
      <c r="B1169" s="1068" t="str">
        <f>"DTD"&amp;capdat</f>
        <v>DTD3</v>
      </c>
      <c r="C1169" s="1302"/>
      <c r="D1169" s="1198" t="str">
        <f>VLOOKUP($B1169,dongia1,DG!$B$5,)</f>
        <v>AB.11513</v>
      </c>
      <c r="E1169" s="1243" t="str">
        <f>VLOOKUP($B1169,dongia1,DG!$C$5,)</f>
        <v>Đào rãnh tiếp địa đất cấp 3</v>
      </c>
      <c r="F1169" s="1198" t="str">
        <f>VLOOKUP($B1169,dongia1,DG!$D$5,)</f>
        <v>m3</v>
      </c>
      <c r="G1169" s="1472">
        <f>$H$4*G1160</f>
        <v>0</v>
      </c>
      <c r="H1169" s="1298">
        <f>VLOOKUP($B1169,dongia1,DG!$F$5,)</f>
        <v>0</v>
      </c>
      <c r="I1169" s="1298"/>
      <c r="J1169" s="1298">
        <f>VLOOKUP($B1169,dongia1,DG!$G$5,)</f>
        <v>283749.75</v>
      </c>
      <c r="K1169" s="1298">
        <v>0</v>
      </c>
      <c r="L1169" s="1298">
        <f t="shared" ref="L1169:O1170" si="251">H1169*$G1169</f>
        <v>0</v>
      </c>
      <c r="M1169" s="1298">
        <f t="shared" si="251"/>
        <v>0</v>
      </c>
      <c r="N1169" s="1298">
        <f t="shared" si="251"/>
        <v>0</v>
      </c>
      <c r="O1169" s="1298">
        <f t="shared" si="251"/>
        <v>0</v>
      </c>
      <c r="P1169" s="1437"/>
      <c r="Q1169" s="1300"/>
      <c r="R1169" s="1300"/>
      <c r="S1169" s="1300"/>
    </row>
    <row r="1170" spans="1:20" s="1081" customFormat="1" hidden="1" outlineLevel="1">
      <c r="A1170" s="1072">
        <f>IF(G1170=0,0,1)</f>
        <v>0</v>
      </c>
      <c r="B1170" s="1068" t="str">
        <f>"DATD"&amp;capdat</f>
        <v>DATD3</v>
      </c>
      <c r="C1170" s="1302"/>
      <c r="D1170" s="1198" t="str">
        <f>VLOOKUP($B1170,dongia1,DG!$B$5,)</f>
        <v>AB.13111</v>
      </c>
      <c r="E1170" s="1243" t="str">
        <f>VLOOKUP($B1170,dongia1,DG!$C$5,)</f>
        <v>Đắp đất rãnh tiếp địa cấp 3 (độ chặt k = 0.85)</v>
      </c>
      <c r="F1170" s="1198" t="str">
        <f>VLOOKUP($B1170,dongia1,DG!$D$5,)</f>
        <v>m3</v>
      </c>
      <c r="G1170" s="1472">
        <f>G1169</f>
        <v>0</v>
      </c>
      <c r="H1170" s="1298">
        <f>VLOOKUP($B1170,dongia1,DG!$F$5,)</f>
        <v>0</v>
      </c>
      <c r="I1170" s="1298"/>
      <c r="J1170" s="1298">
        <f>VLOOKUP($B1170,dongia1,DG!$G$5,)</f>
        <v>117703.6</v>
      </c>
      <c r="K1170" s="1298">
        <v>0</v>
      </c>
      <c r="L1170" s="1298">
        <f t="shared" si="251"/>
        <v>0</v>
      </c>
      <c r="M1170" s="1298">
        <f t="shared" si="251"/>
        <v>0</v>
      </c>
      <c r="N1170" s="1298">
        <f t="shared" si="251"/>
        <v>0</v>
      </c>
      <c r="O1170" s="1298">
        <f t="shared" si="251"/>
        <v>0</v>
      </c>
      <c r="P1170" s="1437"/>
      <c r="Q1170" s="1300"/>
      <c r="R1170" s="1300"/>
      <c r="S1170" s="1300"/>
    </row>
    <row r="1171" spans="1:20" s="1081" customFormat="1" hidden="1" outlineLevel="1">
      <c r="A1171" s="1072">
        <f>IF(G1171=0,0,1)</f>
        <v>0</v>
      </c>
      <c r="B1171" s="1068" t="s">
        <v>985</v>
      </c>
      <c r="C1171" s="1302"/>
      <c r="D1171" s="1198" t="str">
        <f>VLOOKUP($B1171,dongia1,DG!$B$5,)</f>
        <v>D2.8103</v>
      </c>
      <c r="E1171" s="1243" t="str">
        <f>VLOOKUP($B1171,dongia1,DG!$C$5,)</f>
        <v>Đóng cọc tiếp địa đất cấp 3 dài 2,5m</v>
      </c>
      <c r="F1171" s="1198" t="str">
        <f>VLOOKUP($B1171,dongia1,DG!$D$5,)</f>
        <v>cọc</v>
      </c>
      <c r="G1171" s="1437">
        <f>G1163</f>
        <v>0</v>
      </c>
      <c r="H1171" s="1298">
        <f>VLOOKUP($B1171,dongia1,DG!$F$5,)</f>
        <v>0</v>
      </c>
      <c r="I1171" s="1298"/>
      <c r="J1171" s="1298" t="str">
        <f>VLOOKUP($B1171,dongia1,DG!$G$5,)&amp;" x 1,7"</f>
        <v>90355,896 x 1,7</v>
      </c>
      <c r="K1171" s="1298">
        <v>0</v>
      </c>
      <c r="L1171" s="1298">
        <f>H1171*$G1171</f>
        <v>0</v>
      </c>
      <c r="M1171" s="1298">
        <f>I1171*$G1171</f>
        <v>0</v>
      </c>
      <c r="N1171" s="1298">
        <f>VLOOKUP($B1171,dongia1,DG!$G$5,)*1.7*G1171</f>
        <v>0</v>
      </c>
      <c r="O1171" s="1298">
        <f>K1171*$G1171</f>
        <v>0</v>
      </c>
      <c r="P1171" s="1437"/>
      <c r="Q1171" s="1300"/>
      <c r="R1171" s="1300"/>
      <c r="S1171" s="1300"/>
    </row>
    <row r="1172" spans="1:20" s="1081" customFormat="1" hidden="1" outlineLevel="1">
      <c r="A1172" s="1072" t="str">
        <f>IF(G1172&lt;&gt;0,1,"")</f>
        <v/>
      </c>
      <c r="B1172" s="1068" t="s">
        <v>983</v>
      </c>
      <c r="C1172" s="1291"/>
      <c r="D1172" s="1198" t="str">
        <f>VLOOKUP($B1172,dongia1,DG!$B$5,)</f>
        <v>T4.7001</v>
      </c>
      <c r="E1172" s="1243" t="str">
        <f>VLOOKUP($B1172,dongia1,DG!$C$5,)</f>
        <v>Kéo dây tiếp địa TBA</v>
      </c>
      <c r="F1172" s="1198" t="str">
        <f>VLOOKUP($B1172,dongia1,DG!$D$5,)</f>
        <v>mét</v>
      </c>
      <c r="G1172" s="1303">
        <f>G1160*$H$3</f>
        <v>0</v>
      </c>
      <c r="H1172" s="1298">
        <f>VLOOKUP($B1172,dongia1,DG!$E$5,)</f>
        <v>0</v>
      </c>
      <c r="I1172" s="1298"/>
      <c r="J1172" s="1298">
        <f>VLOOKUP($B1172,dongia1,DG!$G$5,)</f>
        <v>8070.7000000000007</v>
      </c>
      <c r="K1172" s="1298">
        <f>VLOOKUP($B1172,dongia1,DG!$H$5,)</f>
        <v>2044.9974999999999</v>
      </c>
      <c r="L1172" s="1298">
        <f>H1172*G1172</f>
        <v>0</v>
      </c>
      <c r="M1172" s="1298">
        <f>I1172*G1172</f>
        <v>0</v>
      </c>
      <c r="N1172" s="1298">
        <f>J1172*G1172</f>
        <v>0</v>
      </c>
      <c r="O1172" s="1298">
        <f>K1172*G1172</f>
        <v>0</v>
      </c>
      <c r="P1172" s="1437"/>
      <c r="Q1172" s="1300"/>
      <c r="R1172" s="1300"/>
      <c r="S1172" s="1300"/>
    </row>
    <row r="1173" spans="1:20" s="1081" customFormat="1" hidden="1" outlineLevel="1">
      <c r="A1173" s="1072" t="str">
        <f>IF(G1173&lt;&gt;0,1,"")</f>
        <v/>
      </c>
      <c r="B1173" s="1295"/>
      <c r="C1173" s="1291">
        <f>IF(G1173&gt;0,C1160+1,C1160)</f>
        <v>0</v>
      </c>
      <c r="D1173" s="1292"/>
      <c r="E1173" s="1296" t="s">
        <v>3441</v>
      </c>
      <c r="F1173" s="1291" t="s">
        <v>2113</v>
      </c>
      <c r="G1173" s="1297">
        <f>G1110</f>
        <v>0</v>
      </c>
      <c r="H1173" s="1298"/>
      <c r="I1173" s="1298"/>
      <c r="J1173" s="1298"/>
      <c r="K1173" s="1298"/>
      <c r="L1173" s="1298">
        <f t="shared" ref="L1173:L1178" si="252">H1173*G1173</f>
        <v>0</v>
      </c>
      <c r="M1173" s="1298">
        <f t="shared" ref="M1173:M1178" si="253">I1173*G1173</f>
        <v>0</v>
      </c>
      <c r="N1173" s="1298">
        <f t="shared" ref="N1173:N1178" si="254">J1173*G1173</f>
        <v>0</v>
      </c>
      <c r="O1173" s="1298">
        <f t="shared" ref="O1173:O1178" si="255">K1173*G1173</f>
        <v>0</v>
      </c>
      <c r="P1173" s="1299"/>
      <c r="Q1173" s="1300"/>
      <c r="R1173" s="1300"/>
      <c r="S1173" s="1300"/>
    </row>
    <row r="1174" spans="1:20" s="1081" customFormat="1" ht="14.4" hidden="1" outlineLevel="1">
      <c r="A1174" s="1072" t="str">
        <f>A1173</f>
        <v/>
      </c>
      <c r="B1174" s="1295"/>
      <c r="C1174" s="1291"/>
      <c r="D1174" s="1292"/>
      <c r="E1174" s="1301" t="s">
        <v>3399</v>
      </c>
      <c r="F1174" s="1302"/>
      <c r="G1174" s="1303"/>
      <c r="H1174" s="1298"/>
      <c r="I1174" s="1298"/>
      <c r="J1174" s="1298"/>
      <c r="K1174" s="1298"/>
      <c r="L1174" s="1298">
        <f t="shared" si="252"/>
        <v>0</v>
      </c>
      <c r="M1174" s="1298">
        <f t="shared" si="253"/>
        <v>0</v>
      </c>
      <c r="N1174" s="1298">
        <f t="shared" si="254"/>
        <v>0</v>
      </c>
      <c r="O1174" s="1298">
        <f t="shared" si="255"/>
        <v>0</v>
      </c>
      <c r="P1174" s="1299"/>
      <c r="Q1174" s="1300"/>
      <c r="R1174" s="1300"/>
      <c r="S1174" s="1300"/>
    </row>
    <row r="1175" spans="1:20" s="1081" customFormat="1" hidden="1" outlineLevel="1">
      <c r="A1175" s="1072" t="str">
        <f>IF(G1175&lt;&gt;0,1,"")</f>
        <v/>
      </c>
      <c r="B1175" s="1295" t="s">
        <v>1472</v>
      </c>
      <c r="C1175" s="1302"/>
      <c r="D1175" s="1198">
        <f>VLOOKUP($B1175,dongia1,DG!$B$5,)</f>
        <v>0</v>
      </c>
      <c r="E1175" s="1243" t="str">
        <f>VLOOKUP($B1175,dongia1,DG!$C$5,)</f>
        <v>Ximăng</v>
      </c>
      <c r="F1175" s="1198" t="str">
        <f>VLOOKUP($B1175,dongia1,DG!$D$5,)</f>
        <v>kg</v>
      </c>
      <c r="G1175" s="1304">
        <f>+G1178*296</f>
        <v>0</v>
      </c>
      <c r="H1175" s="1298">
        <f>VLOOKUP($B1175,dongia1,DG!$F$5,)</f>
        <v>1740</v>
      </c>
      <c r="I1175" s="1298"/>
      <c r="J1175" s="1298">
        <f>VLOOKUP($B1175,dongia1,DG!$G$5,)</f>
        <v>0</v>
      </c>
      <c r="K1175" s="1298">
        <f>VLOOKUP($B1175,dongia1,DG!$H$5,)</f>
        <v>0</v>
      </c>
      <c r="L1175" s="1298">
        <f t="shared" si="252"/>
        <v>0</v>
      </c>
      <c r="M1175" s="1298">
        <f t="shared" si="253"/>
        <v>0</v>
      </c>
      <c r="N1175" s="1298">
        <f t="shared" si="254"/>
        <v>0</v>
      </c>
      <c r="O1175" s="1298">
        <f t="shared" si="255"/>
        <v>0</v>
      </c>
      <c r="P1175" s="1299"/>
      <c r="Q1175" s="1300"/>
      <c r="R1175" s="1300"/>
      <c r="S1175" s="1300"/>
    </row>
    <row r="1176" spans="1:20" s="1081" customFormat="1" hidden="1" outlineLevel="1">
      <c r="A1176" s="1072" t="str">
        <f>IF(G1176&lt;&gt;0,1,"")</f>
        <v/>
      </c>
      <c r="B1176" s="1295" t="s">
        <v>1729</v>
      </c>
      <c r="C1176" s="1291"/>
      <c r="D1176" s="1198">
        <f>VLOOKUP($B1176,dongia1,DG!$B$5,)</f>
        <v>0</v>
      </c>
      <c r="E1176" s="1243" t="str">
        <f>VLOOKUP($B1176,dongia1,DG!$C$5,)</f>
        <v>Cát vàng</v>
      </c>
      <c r="F1176" s="1198" t="str">
        <f>VLOOKUP($B1176,dongia1,DG!$D$5,)</f>
        <v>m3</v>
      </c>
      <c r="G1176" s="1304">
        <f>G1178*0.475</f>
        <v>0</v>
      </c>
      <c r="H1176" s="1298">
        <f>VLOOKUP($B1176,dongia1,DG!$F$5,)</f>
        <v>512000</v>
      </c>
      <c r="I1176" s="1298"/>
      <c r="J1176" s="1298">
        <f>VLOOKUP($B1176,dongia1,DG!$G$5,)</f>
        <v>0</v>
      </c>
      <c r="K1176" s="1298">
        <f>VLOOKUP($B1176,dongia1,DG!$H$5,)</f>
        <v>0</v>
      </c>
      <c r="L1176" s="1298">
        <f t="shared" si="252"/>
        <v>0</v>
      </c>
      <c r="M1176" s="1298">
        <f t="shared" si="253"/>
        <v>0</v>
      </c>
      <c r="N1176" s="1298">
        <f t="shared" si="254"/>
        <v>0</v>
      </c>
      <c r="O1176" s="1298">
        <f t="shared" si="255"/>
        <v>0</v>
      </c>
      <c r="P1176" s="1299"/>
      <c r="Q1176" s="1300"/>
      <c r="R1176" s="1300"/>
      <c r="S1176" s="1300"/>
    </row>
    <row r="1177" spans="1:20" s="1081" customFormat="1" hidden="1" outlineLevel="1">
      <c r="A1177" s="1072" t="str">
        <f>IF(G1177&lt;&gt;0,1,"")</f>
        <v/>
      </c>
      <c r="B1177" s="1295" t="s">
        <v>599</v>
      </c>
      <c r="C1177" s="1291"/>
      <c r="D1177" s="1198">
        <f>VLOOKUP($B1177,dongia1,DG!$B$5,)</f>
        <v>0</v>
      </c>
      <c r="E1177" s="1243" t="str">
        <f>VLOOKUP($B1177,dongia1,DG!$C$5,)</f>
        <v>Đá 1x2</v>
      </c>
      <c r="F1177" s="1198" t="str">
        <f>VLOOKUP($B1177,dongia1,DG!$D$5,)</f>
        <v>m3</v>
      </c>
      <c r="G1177" s="1304">
        <f>G1178*0.881</f>
        <v>0</v>
      </c>
      <c r="H1177" s="1298">
        <f>VLOOKUP($B1177,dongia1,DG!$F$5,)</f>
        <v>335000</v>
      </c>
      <c r="I1177" s="1298"/>
      <c r="J1177" s="1298">
        <f>VLOOKUP($B1177,dongia1,DG!$G$5,)</f>
        <v>0</v>
      </c>
      <c r="K1177" s="1298">
        <f>VLOOKUP($B1177,dongia1,DG!$H$5,)</f>
        <v>0</v>
      </c>
      <c r="L1177" s="1298">
        <f t="shared" si="252"/>
        <v>0</v>
      </c>
      <c r="M1177" s="1298">
        <f t="shared" si="253"/>
        <v>0</v>
      </c>
      <c r="N1177" s="1298">
        <f t="shared" si="254"/>
        <v>0</v>
      </c>
      <c r="O1177" s="1298">
        <f t="shared" si="255"/>
        <v>0</v>
      </c>
      <c r="P1177" s="1299"/>
      <c r="Q1177" s="1300"/>
      <c r="R1177" s="1300"/>
      <c r="S1177" s="1300"/>
    </row>
    <row r="1178" spans="1:20" s="1081" customFormat="1" hidden="1" outlineLevel="1">
      <c r="A1178" s="1072" t="str">
        <f>IF(G1178&lt;&gt;0,1,"")</f>
        <v/>
      </c>
      <c r="B1178" s="1295" t="s">
        <v>1473</v>
      </c>
      <c r="C1178" s="1302"/>
      <c r="D1178" s="1198" t="str">
        <f>VLOOKUP($B1178,dongia1,DG!$B$5,)</f>
        <v>AF.11220</v>
      </c>
      <c r="E1178" s="1243" t="str">
        <f>VLOOKUP($B1178,dongia1,DG!$C$5,)</f>
        <v>Đổ bê tông mác M200 đá 1x 2rộng &gt;250cm</v>
      </c>
      <c r="F1178" s="1198" t="str">
        <f>VLOOKUP($B1178,dongia1,DG!$D$5,)</f>
        <v>m3</v>
      </c>
      <c r="G1178" s="1304">
        <f>G1173*(0.4*3*1-2*3.14*0.15^2*0.4)</f>
        <v>0</v>
      </c>
      <c r="H1178" s="1298"/>
      <c r="I1178" s="1298"/>
      <c r="J1178" s="1298">
        <f>VLOOKUP($B1178,dongia1,DG!$G$5,)</f>
        <v>466397.5</v>
      </c>
      <c r="K1178" s="1298">
        <f>VLOOKUP($B1178,dongia1,DG!$H$5,)</f>
        <v>0</v>
      </c>
      <c r="L1178" s="1298">
        <f t="shared" si="252"/>
        <v>0</v>
      </c>
      <c r="M1178" s="1298">
        <f t="shared" si="253"/>
        <v>0</v>
      </c>
      <c r="N1178" s="1298">
        <f t="shared" si="254"/>
        <v>0</v>
      </c>
      <c r="O1178" s="1298">
        <f t="shared" si="255"/>
        <v>0</v>
      </c>
      <c r="P1178" s="1299"/>
      <c r="Q1178" s="1306">
        <f>1.025*361</f>
        <v>370.02499999999998</v>
      </c>
      <c r="R1178" s="1306">
        <f>1.025*0.45</f>
        <v>0.46124999999999999</v>
      </c>
      <c r="S1178" s="1306">
        <f>1.025*0.866</f>
        <v>0.88764999999999994</v>
      </c>
      <c r="T1178" s="1307"/>
    </row>
    <row r="1179" spans="1:20" s="1081" customFormat="1" hidden="1" outlineLevel="1">
      <c r="A1179" s="1072" t="str">
        <f>IF(G1179&lt;&gt;0,1,"")</f>
        <v/>
      </c>
      <c r="B1179" s="1295"/>
      <c r="C1179" s="1291">
        <f>IF(G1179&gt;0,C1173+1,C1173)</f>
        <v>0</v>
      </c>
      <c r="D1179" s="1292"/>
      <c r="E1179" s="1416" t="s">
        <v>3442</v>
      </c>
      <c r="F1179" s="1291" t="s">
        <v>2113</v>
      </c>
      <c r="G1179" s="1297">
        <f>G1105</f>
        <v>0</v>
      </c>
      <c r="H1179" s="1298"/>
      <c r="I1179" s="1298"/>
      <c r="J1179" s="1298"/>
      <c r="K1179" s="1298"/>
      <c r="L1179" s="1298">
        <f>H1179*G1179</f>
        <v>0</v>
      </c>
      <c r="M1179" s="1298">
        <f>I1179*G1179</f>
        <v>0</v>
      </c>
      <c r="N1179" s="1298">
        <f>J1179*G1179</f>
        <v>0</v>
      </c>
      <c r="O1179" s="1298">
        <f>K1179*G1179</f>
        <v>0</v>
      </c>
      <c r="P1179" s="1437"/>
      <c r="Q1179" s="1300"/>
      <c r="R1179" s="1300"/>
      <c r="S1179" s="1300"/>
    </row>
    <row r="1180" spans="1:20" s="1081" customFormat="1" ht="14.4" hidden="1" outlineLevel="1">
      <c r="A1180" s="1072" t="str">
        <f>A1179</f>
        <v/>
      </c>
      <c r="B1180" s="1295"/>
      <c r="C1180" s="1291"/>
      <c r="D1180" s="1292"/>
      <c r="E1180" s="1301" t="s">
        <v>3399</v>
      </c>
      <c r="F1180" s="1302"/>
      <c r="G1180" s="1303"/>
      <c r="H1180" s="1298"/>
      <c r="I1180" s="1298"/>
      <c r="J1180" s="1298"/>
      <c r="K1180" s="1298"/>
      <c r="L1180" s="1298">
        <f>H1180*G1180</f>
        <v>0</v>
      </c>
      <c r="M1180" s="1298">
        <f>I1180*G1180</f>
        <v>0</v>
      </c>
      <c r="N1180" s="1298">
        <f>J1180*G1180</f>
        <v>0</v>
      </c>
      <c r="O1180" s="1298">
        <f>K1180*G1180</f>
        <v>0</v>
      </c>
      <c r="P1180" s="1437"/>
      <c r="Q1180" s="1300"/>
      <c r="R1180" s="1300"/>
      <c r="S1180" s="1300"/>
    </row>
    <row r="1181" spans="1:20" s="1081" customFormat="1" hidden="1" outlineLevel="1">
      <c r="A1181" s="1072" t="str">
        <f>IF(G1181&lt;&gt;0,1,"")</f>
        <v/>
      </c>
      <c r="B1181" s="1295" t="s">
        <v>332</v>
      </c>
      <c r="C1181" s="1302"/>
      <c r="D1181" s="1198" t="str">
        <f>VLOOKUP($B1181,dongia1,DG!$B$5,)</f>
        <v>T5.1002</v>
      </c>
      <c r="E1181" s="1243" t="str">
        <f>VLOOKUP($B1181,dongia1,DG!$C$5,)</f>
        <v>Tủ MCCB trạm giàn 2 ngăn</v>
      </c>
      <c r="F1181" s="1198" t="str">
        <f>VLOOKUP($B1181,dongia1,DG!$D$5,)</f>
        <v>cái</v>
      </c>
      <c r="G1181" s="1303">
        <f>+G1105</f>
        <v>0</v>
      </c>
      <c r="H1181" s="1298">
        <f>VLOOKUP($B1181,dongia1,DG!$F$5,)</f>
        <v>5000000</v>
      </c>
      <c r="I1181" s="1298"/>
      <c r="J1181" s="1298">
        <f>VLOOKUP($B1181,dongia1,DG!$G$5,)</f>
        <v>690091</v>
      </c>
      <c r="K1181" s="1298">
        <f>VLOOKUP($B1181,dongia1,DG!$H$5,)</f>
        <v>97369</v>
      </c>
      <c r="L1181" s="1298">
        <f>H1181*G1181</f>
        <v>0</v>
      </c>
      <c r="M1181" s="1298">
        <f>I1181*G1181</f>
        <v>0</v>
      </c>
      <c r="N1181" s="1298">
        <f>J1181*G1181</f>
        <v>0</v>
      </c>
      <c r="O1181" s="1298">
        <f>K1181*G1181</f>
        <v>0</v>
      </c>
      <c r="P1181" s="1437"/>
      <c r="Q1181" s="1300"/>
      <c r="R1181" s="1300"/>
      <c r="S1181" s="1300"/>
    </row>
    <row r="1182" spans="1:20" s="1081" customFormat="1" hidden="1" outlineLevel="1">
      <c r="A1182" s="1072" t="str">
        <f>IF(G1182&lt;&gt;0,1,"")</f>
        <v/>
      </c>
      <c r="B1182" s="1295" t="s">
        <v>1560</v>
      </c>
      <c r="C1182" s="1291"/>
      <c r="D1182" s="1198">
        <f>VLOOKUP($B1182,dongia1,DG!$B$5,)</f>
        <v>0</v>
      </c>
      <c r="E1182" s="1243" t="str">
        <f>VLOOKUP($B1182,dongia1,DG!$C$5,)</f>
        <v xml:space="preserve">Bakelit 500x300 dầy 10mm </v>
      </c>
      <c r="F1182" s="1198" t="str">
        <f>VLOOKUP($B1182,dongia1,DG!$D$5,)</f>
        <v>cái</v>
      </c>
      <c r="G1182" s="1297">
        <f>G1179*1</f>
        <v>0</v>
      </c>
      <c r="H1182" s="1298">
        <f>VLOOKUP($B1182,dongia1,DG!$F$5,)</f>
        <v>284000</v>
      </c>
      <c r="I1182" s="1298"/>
      <c r="J1182" s="1298">
        <f>VLOOKUP($B1182,dongia1,DG!$G$5,)</f>
        <v>5404</v>
      </c>
      <c r="K1182" s="1298">
        <f>VLOOKUP($B1182,dongia1,DG!$H$5,)</f>
        <v>0</v>
      </c>
      <c r="L1182" s="1298">
        <f>H1182*G1182</f>
        <v>0</v>
      </c>
      <c r="M1182" s="1298">
        <f>I1182*G1182</f>
        <v>0</v>
      </c>
      <c r="N1182" s="1298">
        <f>J1182*G1182</f>
        <v>0</v>
      </c>
      <c r="O1182" s="1298">
        <f>K1182*G1182</f>
        <v>0</v>
      </c>
      <c r="P1182" s="1437"/>
      <c r="Q1182" s="1300"/>
      <c r="R1182" s="1300"/>
      <c r="S1182" s="1300"/>
    </row>
    <row r="1183" spans="1:20" s="1081" customFormat="1" hidden="1" outlineLevel="1">
      <c r="A1183" s="1072" t="str">
        <f>IF(G1183&lt;&gt;0,1,"")</f>
        <v/>
      </c>
      <c r="B1183" s="1295" t="s">
        <v>888</v>
      </c>
      <c r="C1183" s="1302"/>
      <c r="D1183" s="1198">
        <f>VLOOKUP($B1183,dongia1,DG!$B$5,)</f>
        <v>0</v>
      </c>
      <c r="E1183" s="1243" t="str">
        <f>VLOOKUP($B1183,dongia1,DG!$C$5,)</f>
        <v>Bảng tên trạm + bảng báo nguy hiểm</v>
      </c>
      <c r="F1183" s="1198" t="str">
        <f>VLOOKUP($B1183,dongia1,DG!$D$5,)</f>
        <v>cái</v>
      </c>
      <c r="G1183" s="1303">
        <f>G1179</f>
        <v>0</v>
      </c>
      <c r="H1183" s="1298">
        <f>VLOOKUP($B1183,dongia1,DG!$F$5,)</f>
        <v>300000</v>
      </c>
      <c r="I1183" s="1298"/>
      <c r="J1183" s="1298">
        <f>VLOOKUP($B1183,dongia1,DG!$G$5,)</f>
        <v>0</v>
      </c>
      <c r="K1183" s="1298">
        <f>VLOOKUP($B1183,dongia1,DG!$H$5,)</f>
        <v>0</v>
      </c>
      <c r="L1183" s="1298">
        <f>H1183*G1183</f>
        <v>0</v>
      </c>
      <c r="M1183" s="1298">
        <f>I1183*G1183</f>
        <v>0</v>
      </c>
      <c r="N1183" s="1298">
        <f>J1183*G1183</f>
        <v>0</v>
      </c>
      <c r="O1183" s="1298">
        <f>K1183*G1183</f>
        <v>0</v>
      </c>
      <c r="P1183" s="1437"/>
      <c r="Q1183" s="1300"/>
      <c r="R1183" s="1300"/>
      <c r="S1183" s="1300"/>
    </row>
    <row r="1184" spans="1:20" s="1081" customFormat="1" hidden="1" outlineLevel="1">
      <c r="A1184" s="1072" t="str">
        <f>IF(G1184&lt;&gt;0,1,"")</f>
        <v/>
      </c>
      <c r="B1184" s="1295"/>
      <c r="C1184" s="1291">
        <f>IF(G1184&gt;0,C1179+1,C1179)</f>
        <v>0</v>
      </c>
      <c r="D1184" s="1292"/>
      <c r="E1184" s="1293" t="s">
        <v>3443</v>
      </c>
      <c r="F1184" s="1291" t="s">
        <v>2113</v>
      </c>
      <c r="G1184" s="1297">
        <f>G1105</f>
        <v>0</v>
      </c>
      <c r="H1184" s="1298"/>
      <c r="I1184" s="1298"/>
      <c r="J1184" s="1298"/>
      <c r="K1184" s="1298"/>
      <c r="L1184" s="1298"/>
      <c r="M1184" s="1298"/>
      <c r="N1184" s="1298"/>
      <c r="O1184" s="1298"/>
      <c r="P1184" s="1437"/>
      <c r="Q1184" s="1300"/>
      <c r="R1184" s="1300"/>
      <c r="S1184" s="1300"/>
    </row>
    <row r="1185" spans="1:19" s="1081" customFormat="1" ht="14.4" hidden="1" outlineLevel="1">
      <c r="A1185" s="1072" t="str">
        <f>A1184</f>
        <v/>
      </c>
      <c r="B1185" s="1295"/>
      <c r="C1185" s="1291"/>
      <c r="D1185" s="1292"/>
      <c r="E1185" s="1308" t="s">
        <v>3399</v>
      </c>
      <c r="F1185" s="1291"/>
      <c r="G1185" s="1297"/>
      <c r="H1185" s="1298"/>
      <c r="I1185" s="1298"/>
      <c r="J1185" s="1298"/>
      <c r="K1185" s="1298"/>
      <c r="L1185" s="1298"/>
      <c r="M1185" s="1298"/>
      <c r="N1185" s="1298"/>
      <c r="O1185" s="1298"/>
      <c r="P1185" s="1437"/>
      <c r="Q1185" s="1300"/>
      <c r="R1185" s="1300"/>
      <c r="S1185" s="1300"/>
    </row>
    <row r="1186" spans="1:19" s="1081" customFormat="1" hidden="1" outlineLevel="1">
      <c r="A1186" s="1072" t="str">
        <f>IF(G1186&lt;&gt;0,1,"")</f>
        <v/>
      </c>
      <c r="B1186" s="1068" t="s">
        <v>648</v>
      </c>
      <c r="C1186" s="1302"/>
      <c r="D1186" s="1198">
        <f>VLOOKUP($B1186,dongia1,DG!$B$5,)</f>
        <v>0</v>
      </c>
      <c r="E1186" s="1243" t="str">
        <f>VLOOKUP($B1186,dongia1,DG!$C$5,)</f>
        <v>Cáp 24KV C/XLPE/PVC- 25mm2</v>
      </c>
      <c r="F1186" s="1198" t="str">
        <f>VLOOKUP($B1186,dongia1,DG!$D$5,)</f>
        <v>mét</v>
      </c>
      <c r="G1186" s="1303">
        <f>G1184*(7)*3</f>
        <v>0</v>
      </c>
      <c r="H1186" s="1298">
        <f>VLOOKUP($B1186,dongia1,DG!$F$5,)</f>
        <v>50996</v>
      </c>
      <c r="I1186" s="1298"/>
      <c r="J1186" s="1298">
        <f>VLOOKUP($B1186,dongia1,DG!$G$5,)</f>
        <v>0</v>
      </c>
      <c r="K1186" s="1298">
        <f>VLOOKUP($B1186,dongia1,DG!$H$5,)</f>
        <v>0</v>
      </c>
      <c r="L1186" s="1298">
        <f>H1186*G1186</f>
        <v>0</v>
      </c>
      <c r="M1186" s="1298">
        <f>I1186*G1186</f>
        <v>0</v>
      </c>
      <c r="N1186" s="1298">
        <f>J1186*G1186</f>
        <v>0</v>
      </c>
      <c r="O1186" s="1298">
        <f>K1186*G1186</f>
        <v>0</v>
      </c>
      <c r="P1186" s="1437"/>
      <c r="Q1186" s="1300"/>
      <c r="R1186" s="1300"/>
      <c r="S1186" s="1300"/>
    </row>
    <row r="1187" spans="1:19" s="1081" customFormat="1" hidden="1" outlineLevel="1">
      <c r="A1187" s="1072" t="str">
        <f t="shared" ref="A1187:A1193" si="256">IF(G1187&lt;&gt;0,1,"")</f>
        <v/>
      </c>
      <c r="B1187" s="1421" t="s">
        <v>2028</v>
      </c>
      <c r="C1187" s="1302"/>
      <c r="D1187" s="1198">
        <f>VLOOKUP($B1187,dongia1,DG!$B$5,)</f>
        <v>0</v>
      </c>
      <c r="E1187" s="1243" t="str">
        <f>VLOOKUP($B1187,dongia1,DG!$C$5,)</f>
        <v>Kẹp quai 2/0</v>
      </c>
      <c r="F1187" s="1198" t="str">
        <f>VLOOKUP($B1187,dongia1,DG!$D$5,)</f>
        <v>cái</v>
      </c>
      <c r="G1187" s="1303">
        <f>+G1184*3</f>
        <v>0</v>
      </c>
      <c r="H1187" s="1298">
        <f>VLOOKUP($B1187,dongia1,DG!$F$5,)</f>
        <v>46000</v>
      </c>
      <c r="I1187" s="1298"/>
      <c r="J1187" s="1298">
        <f>VLOOKUP($B1187,dongia1,DG!$G$5,)</f>
        <v>0</v>
      </c>
      <c r="K1187" s="1298">
        <f>VLOOKUP($B1187,dongia1,DG!$H$5,)</f>
        <v>0</v>
      </c>
      <c r="L1187" s="1298">
        <f t="shared" ref="L1187:L1193" si="257">H1187*G1187</f>
        <v>0</v>
      </c>
      <c r="M1187" s="1298">
        <f t="shared" ref="M1187:M1193" si="258">I1187*G1187</f>
        <v>0</v>
      </c>
      <c r="N1187" s="1298">
        <f t="shared" ref="N1187:N1193" si="259">J1187*G1187</f>
        <v>0</v>
      </c>
      <c r="O1187" s="1298">
        <f t="shared" ref="O1187:O1193" si="260">K1187*G1187</f>
        <v>0</v>
      </c>
      <c r="P1187" s="1437"/>
      <c r="Q1187" s="1300"/>
      <c r="R1187" s="1300"/>
      <c r="S1187" s="1300"/>
    </row>
    <row r="1188" spans="1:19" s="1081" customFormat="1" hidden="1" outlineLevel="1">
      <c r="A1188" s="1072" t="str">
        <f>IF(G1188&lt;&gt;0,1,"")</f>
        <v/>
      </c>
      <c r="B1188" s="1421" t="s">
        <v>2026</v>
      </c>
      <c r="C1188" s="1302"/>
      <c r="D1188" s="1198">
        <f>VLOOKUP($B1188,dongia1,DG!$B$5,)</f>
        <v>0</v>
      </c>
      <c r="E1188" s="1243" t="str">
        <f>VLOOKUP($B1188,dongia1,DG!$C$5,)&amp;": "</f>
        <v xml:space="preserve">Kẹp hotline 2/0: </v>
      </c>
      <c r="F1188" s="1198" t="str">
        <f>VLOOKUP($B1188,dongia1,DG!$D$5,)</f>
        <v>cái</v>
      </c>
      <c r="G1188" s="1303">
        <f>G1184*3</f>
        <v>0</v>
      </c>
      <c r="H1188" s="1298">
        <f>VLOOKUP($B1188,dongia1,DG!$F$5,)</f>
        <v>77000</v>
      </c>
      <c r="I1188" s="1298"/>
      <c r="J1188" s="1298">
        <f>VLOOKUP($B1188,dongia1,DG!$G$5,)</f>
        <v>0</v>
      </c>
      <c r="K1188" s="1298">
        <f>VLOOKUP($B1188,dongia1,DG!$H$5,)</f>
        <v>0</v>
      </c>
      <c r="L1188" s="1298">
        <f>H1188*G1188</f>
        <v>0</v>
      </c>
      <c r="M1188" s="1298">
        <f>I1188*G1188</f>
        <v>0</v>
      </c>
      <c r="N1188" s="1298">
        <f>J1188*G1188</f>
        <v>0</v>
      </c>
      <c r="O1188" s="1298">
        <f>K1188*G1188</f>
        <v>0</v>
      </c>
      <c r="P1188" s="1437"/>
      <c r="Q1188" s="1300"/>
      <c r="R1188" s="1300"/>
      <c r="S1188" s="1300"/>
    </row>
    <row r="1189" spans="1:19" s="1081" customFormat="1" hidden="1" outlineLevel="1">
      <c r="A1189" s="1072" t="str">
        <f>IF(G1189&lt;&gt;0,1,"")</f>
        <v/>
      </c>
      <c r="B1189" s="1421" t="s">
        <v>2144</v>
      </c>
      <c r="C1189" s="1302"/>
      <c r="D1189" s="1198">
        <f>VLOOKUP($B1189,dongia1,DG!$B$5,)</f>
        <v>0</v>
      </c>
      <c r="E1189" s="1243" t="str">
        <f>VLOOKUP($B1189,dongia1,DG!$C$5,)&amp;": "</f>
        <v xml:space="preserve">Nắp che đầu cực FCO: </v>
      </c>
      <c r="F1189" s="1198" t="str">
        <f>VLOOKUP($B1189,dongia1,DG!$D$5,)</f>
        <v>cái</v>
      </c>
      <c r="G1189" s="1303">
        <f>+G1184*3</f>
        <v>0</v>
      </c>
      <c r="H1189" s="1298">
        <f>VLOOKUP($B1189,dongia1,DG!$F$5,)</f>
        <v>218200</v>
      </c>
      <c r="I1189" s="1298"/>
      <c r="J1189" s="1298">
        <f>VLOOKUP($B1189,dongia1,DG!$G$5,)</f>
        <v>0</v>
      </c>
      <c r="K1189" s="1298">
        <f>VLOOKUP($B1189,dongia1,DG!$H$5,)</f>
        <v>0</v>
      </c>
      <c r="L1189" s="1298">
        <f>H1189*G1189</f>
        <v>0</v>
      </c>
      <c r="M1189" s="1298">
        <f>I1189*G1189</f>
        <v>0</v>
      </c>
      <c r="N1189" s="1298">
        <f>J1189*G1189</f>
        <v>0</v>
      </c>
      <c r="O1189" s="1298">
        <f>K1189*G1189</f>
        <v>0</v>
      </c>
      <c r="P1189" s="1437"/>
      <c r="Q1189" s="1300"/>
      <c r="R1189" s="1300"/>
      <c r="S1189" s="1300"/>
    </row>
    <row r="1190" spans="1:19" s="1081" customFormat="1" hidden="1" outlineLevel="1">
      <c r="A1190" s="1072" t="str">
        <f>IF(G1190&lt;&gt;0,1,"")</f>
        <v/>
      </c>
      <c r="B1190" s="1421" t="s">
        <v>2121</v>
      </c>
      <c r="C1190" s="1302"/>
      <c r="D1190" s="1198">
        <f>VLOOKUP($B1190,dongia1,DG!$B$5,)</f>
        <v>0</v>
      </c>
      <c r="E1190" s="1243" t="str">
        <f>VLOOKUP($B1190,dongia1,DG!$C$5,)&amp;": "</f>
        <v xml:space="preserve">Nắp che đầu cực LA: </v>
      </c>
      <c r="F1190" s="1198" t="str">
        <f>VLOOKUP($B1190,dongia1,DG!$D$5,)</f>
        <v>cái</v>
      </c>
      <c r="G1190" s="1303">
        <f>+G1184*3</f>
        <v>0</v>
      </c>
      <c r="H1190" s="1298">
        <f>VLOOKUP($B1190,dongia1,DG!$F$5,)</f>
        <v>39100</v>
      </c>
      <c r="I1190" s="1298"/>
      <c r="J1190" s="1298">
        <f>VLOOKUP($B1190,dongia1,DG!$G$5,)</f>
        <v>0</v>
      </c>
      <c r="K1190" s="1298">
        <f>VLOOKUP($B1190,dongia1,DG!$H$5,)</f>
        <v>0</v>
      </c>
      <c r="L1190" s="1298">
        <f>H1190*G1190</f>
        <v>0</v>
      </c>
      <c r="M1190" s="1298">
        <f>I1190*G1190</f>
        <v>0</v>
      </c>
      <c r="N1190" s="1298">
        <f>J1190*G1190</f>
        <v>0</v>
      </c>
      <c r="O1190" s="1298">
        <f>K1190*G1190</f>
        <v>0</v>
      </c>
      <c r="P1190" s="1437"/>
      <c r="Q1190" s="1300"/>
      <c r="R1190" s="1300"/>
      <c r="S1190" s="1300"/>
    </row>
    <row r="1191" spans="1:19" s="1081" customFormat="1" hidden="1" outlineLevel="1">
      <c r="A1191" s="1072" t="str">
        <f t="shared" si="256"/>
        <v/>
      </c>
      <c r="B1191" s="1421" t="s">
        <v>2123</v>
      </c>
      <c r="C1191" s="1302"/>
      <c r="D1191" s="1198">
        <f>VLOOKUP($B1191,dongia1,DG!$B$5,)</f>
        <v>0</v>
      </c>
      <c r="E1191" s="1243" t="str">
        <f>VLOOKUP($B1191,dongia1,DG!$C$5,)&amp;": "</f>
        <v xml:space="preserve">Nắp che đầu sứ MBA: </v>
      </c>
      <c r="F1191" s="1198" t="str">
        <f>VLOOKUP($B1191,dongia1,DG!$D$5,)</f>
        <v>cái</v>
      </c>
      <c r="G1191" s="1303">
        <f>+G1184*3</f>
        <v>0</v>
      </c>
      <c r="H1191" s="1298">
        <f>VLOOKUP($B1191,dongia1,DG!$F$5,)</f>
        <v>56700</v>
      </c>
      <c r="I1191" s="1298"/>
      <c r="J1191" s="1298">
        <f>VLOOKUP($B1191,dongia1,DG!$G$5,)</f>
        <v>0</v>
      </c>
      <c r="K1191" s="1298">
        <f>VLOOKUP($B1191,dongia1,DG!$H$5,)</f>
        <v>0</v>
      </c>
      <c r="L1191" s="1298">
        <f t="shared" si="257"/>
        <v>0</v>
      </c>
      <c r="M1191" s="1298">
        <f t="shared" si="258"/>
        <v>0</v>
      </c>
      <c r="N1191" s="1298">
        <f t="shared" si="259"/>
        <v>0</v>
      </c>
      <c r="O1191" s="1298">
        <f t="shared" si="260"/>
        <v>0</v>
      </c>
      <c r="P1191" s="1437"/>
      <c r="Q1191" s="1300"/>
      <c r="R1191" s="1300"/>
      <c r="S1191" s="1300"/>
    </row>
    <row r="1192" spans="1:19" s="1081" customFormat="1" hidden="1" outlineLevel="1">
      <c r="A1192" s="1072" t="str">
        <f t="shared" si="256"/>
        <v/>
      </c>
      <c r="B1192" s="1068" t="s">
        <v>647</v>
      </c>
      <c r="C1192" s="1437"/>
      <c r="D1192" s="1198">
        <f>VLOOKUP($B1192,dongia1,DG!$B$5,)</f>
        <v>0</v>
      </c>
      <c r="E1192" s="1243" t="str">
        <f>VLOOKUP($B1192,dongia1,DG!$C$5,)</f>
        <v xml:space="preserve">Sứ đứng 24KV </v>
      </c>
      <c r="F1192" s="1198" t="str">
        <f>VLOOKUP($B1192,dongia1,DG!$D$5,)</f>
        <v>cái</v>
      </c>
      <c r="G1192" s="1303">
        <f>+G1184*6</f>
        <v>0</v>
      </c>
      <c r="H1192" s="1298">
        <f>VLOOKUP($B1192,dongia1,DG!$F$5,)</f>
        <v>205000</v>
      </c>
      <c r="I1192" s="1298"/>
      <c r="J1192" s="1298">
        <f>VLOOKUP($B1192,dongia1,DG!$G$5,)</f>
        <v>0</v>
      </c>
      <c r="K1192" s="1298">
        <f>VLOOKUP($B1192,dongia1,DG!$H$5,)</f>
        <v>0</v>
      </c>
      <c r="L1192" s="1298">
        <f t="shared" si="257"/>
        <v>0</v>
      </c>
      <c r="M1192" s="1298">
        <f t="shared" si="258"/>
        <v>0</v>
      </c>
      <c r="N1192" s="1298">
        <f t="shared" si="259"/>
        <v>0</v>
      </c>
      <c r="O1192" s="1298">
        <f t="shared" si="260"/>
        <v>0</v>
      </c>
      <c r="P1192" s="1437"/>
      <c r="Q1192" s="1300"/>
      <c r="R1192" s="1300"/>
      <c r="S1192" s="1300"/>
    </row>
    <row r="1193" spans="1:19" s="1081" customFormat="1" hidden="1" outlineLevel="1">
      <c r="A1193" s="1072" t="str">
        <f t="shared" si="256"/>
        <v/>
      </c>
      <c r="B1193" s="1068" t="s">
        <v>414</v>
      </c>
      <c r="C1193" s="1302"/>
      <c r="D1193" s="1198">
        <f>VLOOKUP($B1193,dongia1,DG!$B$5,)</f>
        <v>0</v>
      </c>
      <c r="E1193" s="1243" t="str">
        <f>VLOOKUP($B1193,dongia1,DG!$C$5,)</f>
        <v>Chân sứ đứng D20</v>
      </c>
      <c r="F1193" s="1198" t="str">
        <f>VLOOKUP($B1193,dongia1,DG!$D$5,)</f>
        <v>cái</v>
      </c>
      <c r="G1193" s="1303">
        <f>G1192</f>
        <v>0</v>
      </c>
      <c r="H1193" s="1298">
        <f>VLOOKUP($B1193,dongia1,DG!$F$5,)</f>
        <v>65000</v>
      </c>
      <c r="I1193" s="1298"/>
      <c r="J1193" s="1298">
        <f>VLOOKUP($B1193,dongia1,DG!$G$5,)</f>
        <v>0</v>
      </c>
      <c r="K1193" s="1298">
        <f>VLOOKUP($B1193,dongia1,DG!$H$5,)</f>
        <v>0</v>
      </c>
      <c r="L1193" s="1298">
        <f t="shared" si="257"/>
        <v>0</v>
      </c>
      <c r="M1193" s="1298">
        <f t="shared" si="258"/>
        <v>0</v>
      </c>
      <c r="N1193" s="1298">
        <f t="shared" si="259"/>
        <v>0</v>
      </c>
      <c r="O1193" s="1298">
        <f t="shared" si="260"/>
        <v>0</v>
      </c>
      <c r="P1193" s="1437"/>
      <c r="Q1193" s="1300"/>
      <c r="R1193" s="1300"/>
      <c r="S1193" s="1300"/>
    </row>
    <row r="1194" spans="1:19" s="1081" customFormat="1" hidden="1" outlineLevel="1">
      <c r="A1194" s="1072" t="str">
        <f>IF(G1194&lt;&gt;0,1,"")</f>
        <v/>
      </c>
      <c r="B1194" s="1068" t="s">
        <v>742</v>
      </c>
      <c r="C1194" s="1302"/>
      <c r="D1194" s="1198" t="str">
        <f>VLOOKUP($B1194,dongia1,DG!$B$5,)</f>
        <v>D3.1115</v>
      </c>
      <c r="E1194" s="1243" t="str">
        <f>VLOOKUP($B1194,dongia1,DG!$C$5,)</f>
        <v>Lắp sứ đứng 24KV</v>
      </c>
      <c r="F1194" s="1198" t="str">
        <f>VLOOKUP($B1194,dongia1,DG!$D$5,)</f>
        <v>bộ</v>
      </c>
      <c r="G1194" s="1303">
        <f>G1193</f>
        <v>0</v>
      </c>
      <c r="H1194" s="1298"/>
      <c r="I1194" s="1298"/>
      <c r="J1194" s="1298">
        <f>VLOOKUP($B1194,dongia1,DG!$G$5,)</f>
        <v>58277.49</v>
      </c>
      <c r="K1194" s="1298"/>
      <c r="L1194" s="1298">
        <f>H1194*G1194</f>
        <v>0</v>
      </c>
      <c r="M1194" s="1298">
        <f>I1194*G1194</f>
        <v>0</v>
      </c>
      <c r="N1194" s="1298">
        <f>J1194*G1194</f>
        <v>0</v>
      </c>
      <c r="O1194" s="1298">
        <f>K1194*G1194</f>
        <v>0</v>
      </c>
      <c r="P1194" s="1437"/>
      <c r="Q1194" s="1300"/>
      <c r="R1194" s="1300"/>
      <c r="S1194" s="1300"/>
    </row>
    <row r="1195" spans="1:19" s="1081" customFormat="1" hidden="1" outlineLevel="1">
      <c r="A1195" s="1072" t="str">
        <f>IF(G1195&lt;&gt;0,1,"")</f>
        <v/>
      </c>
      <c r="B1195" s="1068" t="s">
        <v>224</v>
      </c>
      <c r="C1195" s="1302"/>
      <c r="D1195" s="1198" t="str">
        <f>VLOOKUP($B1195,dongia1,DG!$B$5,)</f>
        <v>T4.4201</v>
      </c>
      <c r="E1195" s="1243" t="str">
        <f>VLOOKUP($B1195,dongia1,DG!$C$5,)</f>
        <v>Lắp cáp đồng xuống thiết bị D ≤ 95mm2</v>
      </c>
      <c r="F1195" s="1198" t="str">
        <f>VLOOKUP($B1195,dongia1,DG!$D$5,)</f>
        <v>m</v>
      </c>
      <c r="G1195" s="1303">
        <f>G1186</f>
        <v>0</v>
      </c>
      <c r="H1195" s="1298"/>
      <c r="I1195" s="1298"/>
      <c r="J1195" s="1298">
        <f>VLOOKUP($B1195,dongia1,DG!$G$5,)</f>
        <v>13915</v>
      </c>
      <c r="K1195" s="1298"/>
      <c r="L1195" s="1298">
        <f>H1195*G1195</f>
        <v>0</v>
      </c>
      <c r="M1195" s="1298">
        <f>I1195*G1195</f>
        <v>0</v>
      </c>
      <c r="N1195" s="1298">
        <f>J1195*G1195</f>
        <v>0</v>
      </c>
      <c r="O1195" s="1298">
        <f>K1195*G1195</f>
        <v>0</v>
      </c>
      <c r="P1195" s="1437"/>
      <c r="Q1195" s="1300"/>
      <c r="R1195" s="1300"/>
      <c r="S1195" s="1300"/>
    </row>
    <row r="1196" spans="1:19" s="1081" customFormat="1" hidden="1" outlineLevel="1">
      <c r="A1196" s="1072" t="str">
        <f>IF(G1196&lt;&gt;0,1,"")</f>
        <v/>
      </c>
      <c r="B1196" s="1295"/>
      <c r="C1196" s="1291">
        <f>IF(G1196&gt;0,C1184+1,C1184)</f>
        <v>0</v>
      </c>
      <c r="D1196" s="1292"/>
      <c r="E1196" s="1293" t="s">
        <v>3434</v>
      </c>
      <c r="F1196" s="1291" t="s">
        <v>2113</v>
      </c>
      <c r="G1196" s="1297">
        <f>G1133</f>
        <v>0</v>
      </c>
      <c r="H1196" s="1298"/>
      <c r="I1196" s="1298"/>
      <c r="J1196" s="1298"/>
      <c r="K1196" s="1298"/>
      <c r="L1196" s="1298"/>
      <c r="M1196" s="1298"/>
      <c r="N1196" s="1298"/>
      <c r="O1196" s="1298"/>
      <c r="P1196" s="1299"/>
      <c r="Q1196" s="1300"/>
      <c r="R1196" s="1300"/>
      <c r="S1196" s="1300"/>
    </row>
    <row r="1197" spans="1:19" s="1081" customFormat="1" ht="14.4" hidden="1" outlineLevel="1">
      <c r="A1197" s="1072" t="str">
        <f>A1196</f>
        <v/>
      </c>
      <c r="B1197" s="1295"/>
      <c r="C1197" s="1291"/>
      <c r="D1197" s="1292"/>
      <c r="E1197" s="1308" t="s">
        <v>3399</v>
      </c>
      <c r="F1197" s="1291"/>
      <c r="G1197" s="1297"/>
      <c r="H1197" s="1298"/>
      <c r="I1197" s="1298"/>
      <c r="J1197" s="1298"/>
      <c r="K1197" s="1298"/>
      <c r="L1197" s="1298"/>
      <c r="M1197" s="1298"/>
      <c r="N1197" s="1298"/>
      <c r="O1197" s="1298"/>
      <c r="P1197" s="1299"/>
      <c r="Q1197" s="1300"/>
      <c r="R1197" s="1300"/>
      <c r="S1197" s="1300"/>
    </row>
    <row r="1198" spans="1:19" s="1081" customFormat="1" hidden="1" outlineLevel="1">
      <c r="A1198" s="1072" t="str">
        <f>IF(G1198&lt;&gt;0,1,"")</f>
        <v/>
      </c>
      <c r="B1198" s="1295" t="s">
        <v>2039</v>
      </c>
      <c r="C1198" s="1302"/>
      <c r="D1198" s="1198">
        <f>VLOOKUP($B1198,dongia1,DG!$B$5,)</f>
        <v>0</v>
      </c>
      <c r="E1198" s="1243" t="str">
        <f>VLOOKUP($B1198,dongia1,DG!$C$5,)</f>
        <v xml:space="preserve">Ống PVC D90x3,8mm </v>
      </c>
      <c r="F1198" s="1198" t="str">
        <f>VLOOKUP($B1198,dongia1,DG!$D$5,)</f>
        <v>m</v>
      </c>
      <c r="G1198" s="1303">
        <f>G1196*2</f>
        <v>0</v>
      </c>
      <c r="H1198" s="1298">
        <f>VLOOKUP($B1198,dongia1,DG!$F$5,)</f>
        <v>63200</v>
      </c>
      <c r="I1198" s="1298"/>
      <c r="J1198" s="1298">
        <f>VLOOKUP($B1198,dongia1,DG!$G$5,)</f>
        <v>0</v>
      </c>
      <c r="K1198" s="1298">
        <f>VLOOKUP($B1198,dongia1,DG!$H$5,)</f>
        <v>0</v>
      </c>
      <c r="L1198" s="1298">
        <f>H1198*G1198</f>
        <v>0</v>
      </c>
      <c r="M1198" s="1298">
        <f>I1198*G1198</f>
        <v>0</v>
      </c>
      <c r="N1198" s="1298">
        <f>J1198*G1198</f>
        <v>0</v>
      </c>
      <c r="O1198" s="1298">
        <f>K1198*G1198</f>
        <v>0</v>
      </c>
      <c r="P1198" s="1299"/>
      <c r="Q1198" s="1300"/>
      <c r="R1198" s="1300"/>
      <c r="S1198" s="1300"/>
    </row>
    <row r="1199" spans="1:19" s="1081" customFormat="1" hidden="1" outlineLevel="1">
      <c r="A1199" s="1072" t="str">
        <f>IF(G1199&lt;&gt;0,1,"")</f>
        <v/>
      </c>
      <c r="B1199" s="1295" t="s">
        <v>561</v>
      </c>
      <c r="C1199" s="1302"/>
      <c r="D1199" s="1198">
        <f>VLOOKUP($B1199,dongia1,DG!$B$5,)</f>
        <v>0</v>
      </c>
      <c r="E1199" s="1243" t="str">
        <f>VLOOKUP($B1199,dongia1,DG!$C$5,)</f>
        <v>Co  90 độ PVC 90 (loại dày)</v>
      </c>
      <c r="F1199" s="1198" t="str">
        <f>VLOOKUP($B1199,dongia1,DG!$D$5,)</f>
        <v>cái</v>
      </c>
      <c r="G1199" s="1303">
        <f>G1196</f>
        <v>0</v>
      </c>
      <c r="H1199" s="1298">
        <f>VLOOKUP($B1199,dongia1,DG!$F$5,)</f>
        <v>45400</v>
      </c>
      <c r="I1199" s="1298"/>
      <c r="J1199" s="1298">
        <f>VLOOKUP($B1199,dongia1,DG!$G$5,)</f>
        <v>0</v>
      </c>
      <c r="K1199" s="1298">
        <f>VLOOKUP($B1199,dongia1,DG!$H$5,)</f>
        <v>0</v>
      </c>
      <c r="L1199" s="1298">
        <f>H1199*G1199</f>
        <v>0</v>
      </c>
      <c r="M1199" s="1298">
        <f>I1199*G1199</f>
        <v>0</v>
      </c>
      <c r="N1199" s="1298">
        <f>J1199*G1199</f>
        <v>0</v>
      </c>
      <c r="O1199" s="1298">
        <f>K1199*G1199</f>
        <v>0</v>
      </c>
      <c r="P1199" s="1299"/>
      <c r="Q1199" s="1300"/>
      <c r="R1199" s="1300"/>
      <c r="S1199" s="1300"/>
    </row>
    <row r="1200" spans="1:19" s="1081" customFormat="1" hidden="1" outlineLevel="1">
      <c r="A1200" s="1072" t="str">
        <f>IF(G1200&lt;&gt;0,1,"")</f>
        <v/>
      </c>
      <c r="B1200" s="1295" t="s">
        <v>705</v>
      </c>
      <c r="C1200" s="1302"/>
      <c r="D1200" s="1198">
        <f>VLOOKUP($B1200,dongia1,DG!$B$5,)</f>
        <v>0</v>
      </c>
      <c r="E1200" s="1243" t="str">
        <f>VLOOKUP($B1200,dongia1,DG!$C$5,)</f>
        <v>Khâu ven răng trong D90</v>
      </c>
      <c r="F1200" s="1198" t="str">
        <f>VLOOKUP($B1200,dongia1,DG!$D$5,)</f>
        <v>cái</v>
      </c>
      <c r="G1200" s="1303">
        <f>G1196*2</f>
        <v>0</v>
      </c>
      <c r="H1200" s="1298">
        <f>VLOOKUP($B1200,dongia1,DG!$F$5,)</f>
        <v>25800</v>
      </c>
      <c r="I1200" s="1298"/>
      <c r="J1200" s="1298">
        <f>VLOOKUP($B1200,dongia1,DG!$G$5,)</f>
        <v>0</v>
      </c>
      <c r="K1200" s="1298">
        <f>VLOOKUP($B1200,dongia1,DG!$H$5,)</f>
        <v>0</v>
      </c>
      <c r="L1200" s="1298">
        <f>H1200*G1200</f>
        <v>0</v>
      </c>
      <c r="M1200" s="1298">
        <f>I1200*G1200</f>
        <v>0</v>
      </c>
      <c r="N1200" s="1298">
        <f>J1200*G1200</f>
        <v>0</v>
      </c>
      <c r="O1200" s="1298">
        <f>K1200*G1200</f>
        <v>0</v>
      </c>
      <c r="P1200" s="1299"/>
      <c r="Q1200" s="1300"/>
      <c r="R1200" s="1300"/>
      <c r="S1200" s="1300"/>
    </row>
    <row r="1201" spans="1:19" s="1081" customFormat="1" hidden="1" outlineLevel="1">
      <c r="A1201" s="1072" t="str">
        <f>IF(G1201&lt;&gt;0,1,"")</f>
        <v/>
      </c>
      <c r="B1201" s="1295" t="s">
        <v>704</v>
      </c>
      <c r="C1201" s="1302"/>
      <c r="D1201" s="1198">
        <f>VLOOKUP($B1201,dongia1,DG!$B$5,)</f>
        <v>0</v>
      </c>
      <c r="E1201" s="1243" t="str">
        <f>VLOOKUP($B1201,dongia1,DG!$C$5,)</f>
        <v>Khâu ven răng ngoài D90</v>
      </c>
      <c r="F1201" s="1198" t="str">
        <f>VLOOKUP($B1201,dongia1,DG!$D$5,)</f>
        <v>cái</v>
      </c>
      <c r="G1201" s="1303">
        <f>G1200</f>
        <v>0</v>
      </c>
      <c r="H1201" s="1298">
        <f>VLOOKUP($B1201,dongia1,DG!$F$5,)</f>
        <v>21500</v>
      </c>
      <c r="I1201" s="1298"/>
      <c r="J1201" s="1298">
        <f>VLOOKUP($B1201,dongia1,DG!$G$5,)</f>
        <v>0</v>
      </c>
      <c r="K1201" s="1298">
        <f>VLOOKUP($B1201,dongia1,DG!$H$5,)</f>
        <v>0</v>
      </c>
      <c r="L1201" s="1298">
        <f>H1201*G1201</f>
        <v>0</v>
      </c>
      <c r="M1201" s="1298">
        <f>I1201*G1201</f>
        <v>0</v>
      </c>
      <c r="N1201" s="1298">
        <f>J1201*G1201</f>
        <v>0</v>
      </c>
      <c r="O1201" s="1298">
        <f>K1201*G1201</f>
        <v>0</v>
      </c>
      <c r="P1201" s="1299"/>
      <c r="Q1201" s="1300"/>
      <c r="R1201" s="1300"/>
      <c r="S1201" s="1300"/>
    </row>
    <row r="1202" spans="1:19" s="1081" customFormat="1" hidden="1" outlineLevel="1">
      <c r="A1202" s="1072" t="str">
        <f>IF(G1202&lt;&gt;0,1,"")</f>
        <v/>
      </c>
      <c r="B1202" s="1068"/>
      <c r="C1202" s="1291">
        <f>IF(G1202&gt;0,C1196+1,C1196)</f>
        <v>0</v>
      </c>
      <c r="D1202" s="1292"/>
      <c r="E1202" s="1293" t="s">
        <v>3445</v>
      </c>
      <c r="F1202" s="1291" t="s">
        <v>2113</v>
      </c>
      <c r="G1202" s="1303">
        <f>+G1105</f>
        <v>0</v>
      </c>
      <c r="H1202" s="1298"/>
      <c r="I1202" s="1298"/>
      <c r="J1202" s="1298"/>
      <c r="K1202" s="1298"/>
      <c r="L1202" s="1298"/>
      <c r="M1202" s="1298"/>
      <c r="N1202" s="1298"/>
      <c r="O1202" s="1298"/>
      <c r="P1202" s="1437"/>
      <c r="Q1202" s="1300"/>
      <c r="R1202" s="1300"/>
      <c r="S1202" s="1300"/>
    </row>
    <row r="1203" spans="1:19" s="1081" customFormat="1" ht="14.4" hidden="1" outlineLevel="1">
      <c r="A1203" s="1072" t="str">
        <f>A1202</f>
        <v/>
      </c>
      <c r="B1203" s="1068"/>
      <c r="C1203" s="1291"/>
      <c r="D1203" s="1292"/>
      <c r="E1203" s="1308" t="s">
        <v>3399</v>
      </c>
      <c r="F1203" s="1291"/>
      <c r="G1203" s="1303"/>
      <c r="H1203" s="1298"/>
      <c r="I1203" s="1298"/>
      <c r="J1203" s="1298"/>
      <c r="K1203" s="1298"/>
      <c r="L1203" s="1298"/>
      <c r="M1203" s="1298"/>
      <c r="N1203" s="1298"/>
      <c r="O1203" s="1298"/>
      <c r="P1203" s="1437"/>
      <c r="Q1203" s="1300"/>
      <c r="R1203" s="1300"/>
      <c r="S1203" s="1300"/>
    </row>
    <row r="1204" spans="1:19" s="1081" customFormat="1" hidden="1" outlineLevel="1">
      <c r="A1204" s="1072" t="str">
        <f>IF(G1204&lt;&gt;0,1,"")</f>
        <v/>
      </c>
      <c r="B1204" s="1295" t="s">
        <v>1313</v>
      </c>
      <c r="C1204" s="1302"/>
      <c r="D1204" s="1198">
        <f>VLOOKUP($B1204,dongia1,DG!$B$5,)</f>
        <v>0</v>
      </c>
      <c r="E1204" s="1243" t="str">
        <f>VLOOKUP($B1204,dongia1,DG!$C$5,)</f>
        <v>Cáp đồng bọc CV150</v>
      </c>
      <c r="F1204" s="1198" t="str">
        <f>VLOOKUP($B1204,dongia1,DG!$D$5,)</f>
        <v>mét</v>
      </c>
      <c r="G1204" s="1473">
        <f>+G1202*3*6</f>
        <v>0</v>
      </c>
      <c r="H1204" s="1298">
        <f>VLOOKUP($B1204,dongia1,DG!$F$5,)</f>
        <v>194893</v>
      </c>
      <c r="I1204" s="1298"/>
      <c r="J1204" s="1298">
        <f>VLOOKUP($B1204,dongia1,DG!$G$5,)</f>
        <v>0</v>
      </c>
      <c r="K1204" s="1298">
        <f>VLOOKUP($B1204,dongia1,DG!$H$5,)</f>
        <v>0</v>
      </c>
      <c r="L1204" s="1298">
        <f>H1204*G1204</f>
        <v>0</v>
      </c>
      <c r="M1204" s="1298">
        <f>I1204*G1204</f>
        <v>0</v>
      </c>
      <c r="N1204" s="1298">
        <f>J1204*G1204</f>
        <v>0</v>
      </c>
      <c r="O1204" s="1298">
        <f>K1204*G1204</f>
        <v>0</v>
      </c>
      <c r="P1204" s="1437"/>
      <c r="Q1204" s="1300"/>
      <c r="R1204" s="1300"/>
      <c r="S1204" s="1300"/>
    </row>
    <row r="1205" spans="1:19" s="1081" customFormat="1" hidden="1" outlineLevel="1">
      <c r="A1205" s="1072" t="str">
        <f>IF(G1205&lt;&gt;0,1,"")</f>
        <v/>
      </c>
      <c r="B1205" s="1295" t="s">
        <v>2074</v>
      </c>
      <c r="C1205" s="1302"/>
      <c r="D1205" s="1198">
        <f>VLOOKUP($B1205,dongia1,DG!$B$5,)</f>
        <v>0</v>
      </c>
      <c r="E1205" s="1243" t="str">
        <f>VLOOKUP($B1205,dongia1,DG!$C$5,)</f>
        <v>Cáp đồng bọc CV95</v>
      </c>
      <c r="F1205" s="1198" t="str">
        <f>VLOOKUP($B1205,dongia1,DG!$D$5,)</f>
        <v>mét</v>
      </c>
      <c r="G1205" s="1473">
        <f>+G1202*6</f>
        <v>0</v>
      </c>
      <c r="H1205" s="1298">
        <f>VLOOKUP($B1205,dongia1,DG!$F$5,)</f>
        <v>120529</v>
      </c>
      <c r="I1205" s="1298"/>
      <c r="J1205" s="1298">
        <f>VLOOKUP($B1205,dongia1,DG!$G$5,)</f>
        <v>0</v>
      </c>
      <c r="K1205" s="1298">
        <f>VLOOKUP($B1205,dongia1,DG!$H$5,)</f>
        <v>0</v>
      </c>
      <c r="L1205" s="1298">
        <f>H1205*G1205</f>
        <v>0</v>
      </c>
      <c r="M1205" s="1298">
        <f>I1205*G1205</f>
        <v>0</v>
      </c>
      <c r="N1205" s="1298">
        <f>J1205*G1205</f>
        <v>0</v>
      </c>
      <c r="O1205" s="1298">
        <f>K1205*G1205</f>
        <v>0</v>
      </c>
      <c r="P1205" s="1437"/>
      <c r="Q1205" s="1300"/>
      <c r="R1205" s="1300"/>
      <c r="S1205" s="1300"/>
    </row>
    <row r="1206" spans="1:19" s="1081" customFormat="1" hidden="1" outlineLevel="1">
      <c r="A1206" s="1072" t="str">
        <f>IF(G1206&lt;&gt;0,1,"")</f>
        <v/>
      </c>
      <c r="B1206" s="1295" t="s">
        <v>865</v>
      </c>
      <c r="C1206" s="1302"/>
      <c r="D1206" s="1198" t="str">
        <f>VLOOKUP($B1206,dongia1,DG!$B$5,)</f>
        <v>03.1401</v>
      </c>
      <c r="E1206" s="1243" t="str">
        <f>VLOOKUP($B1206,dongia1,DG!$C$5,)</f>
        <v xml:space="preserve">Cáp CVV 4x2,5mm2  </v>
      </c>
      <c r="F1206" s="1198" t="str">
        <f>VLOOKUP($B1206,dongia1,DG!$D$5,)</f>
        <v>mét</v>
      </c>
      <c r="G1206" s="1303">
        <f>+G1202*4</f>
        <v>0</v>
      </c>
      <c r="H1206" s="1298">
        <f>VLOOKUP($B1206,dongia1,DG!$F$5,)</f>
        <v>28200</v>
      </c>
      <c r="I1206" s="1298"/>
      <c r="J1206" s="1298">
        <f>VLOOKUP($B1206,dongia1,DG!$G$5,)</f>
        <v>0</v>
      </c>
      <c r="K1206" s="1298">
        <f>VLOOKUP($B1206,dongia1,DG!$H$5,)</f>
        <v>0</v>
      </c>
      <c r="L1206" s="1298">
        <f>H1206*G1206</f>
        <v>0</v>
      </c>
      <c r="M1206" s="1298">
        <f>I1206*G1206</f>
        <v>0</v>
      </c>
      <c r="N1206" s="1298">
        <f>J1206*G1206</f>
        <v>0</v>
      </c>
      <c r="O1206" s="1298">
        <f>K1206*G1206</f>
        <v>0</v>
      </c>
      <c r="P1206" s="1299"/>
      <c r="Q1206" s="1300"/>
      <c r="R1206" s="1300"/>
      <c r="S1206" s="1300"/>
    </row>
    <row r="1207" spans="1:19" s="1081" customFormat="1" hidden="1" outlineLevel="1">
      <c r="A1207" s="1072" t="str">
        <f t="shared" ref="A1207:A1212" si="261">IF(G1207&lt;&gt;0,1,"")</f>
        <v/>
      </c>
      <c r="B1207" s="1295" t="s">
        <v>682</v>
      </c>
      <c r="C1207" s="1302"/>
      <c r="D1207" s="1198" t="str">
        <f>VLOOKUP($B1207,dongia1,DG!$B$5,)</f>
        <v>D4.5006</v>
      </c>
      <c r="E1207" s="1243" t="str">
        <f>VLOOKUP($B1207,dongia1,DG!$C$5,)</f>
        <v>Đầu cosse ép Cu 150mm2</v>
      </c>
      <c r="F1207" s="1198" t="str">
        <f>VLOOKUP($B1207,dongia1,DG!$D$5,)</f>
        <v>cái</v>
      </c>
      <c r="G1207" s="1303">
        <f>+G1202*6</f>
        <v>0</v>
      </c>
      <c r="H1207" s="1298">
        <f>VLOOKUP($B1207,dongia1,DG!$F$5,)</f>
        <v>36000</v>
      </c>
      <c r="I1207" s="1298"/>
      <c r="J1207" s="1298">
        <f>VLOOKUP($B1207,dongia1,DG!$G$5,)</f>
        <v>33342.43</v>
      </c>
      <c r="K1207" s="1298">
        <f>VLOOKUP($B1207,dongia1,DG!$H$5,)</f>
        <v>4443.237196</v>
      </c>
      <c r="L1207" s="1298">
        <f t="shared" ref="L1207:L1216" si="262">H1207*G1207</f>
        <v>0</v>
      </c>
      <c r="M1207" s="1298">
        <f t="shared" ref="M1207:M1216" si="263">I1207*G1207</f>
        <v>0</v>
      </c>
      <c r="N1207" s="1298">
        <f t="shared" ref="N1207:N1216" si="264">J1207*G1207</f>
        <v>0</v>
      </c>
      <c r="O1207" s="1298">
        <f t="shared" ref="O1207:O1216" si="265">K1207*G1207</f>
        <v>0</v>
      </c>
      <c r="P1207" s="1437"/>
      <c r="Q1207" s="1300"/>
      <c r="R1207" s="1300"/>
      <c r="S1207" s="1300"/>
    </row>
    <row r="1208" spans="1:19" s="1081" customFormat="1" hidden="1" outlineLevel="1">
      <c r="A1208" s="1072" t="str">
        <f t="shared" si="261"/>
        <v/>
      </c>
      <c r="B1208" s="1295" t="s">
        <v>2061</v>
      </c>
      <c r="C1208" s="1302"/>
      <c r="D1208" s="1198" t="str">
        <f>VLOOKUP($B1208,dongia1,DG!$B$5,)</f>
        <v>D4.5004</v>
      </c>
      <c r="E1208" s="1243" t="str">
        <f>VLOOKUP($B1208,dongia1,DG!$C$5,)</f>
        <v>Đầu cosse ép Cu 95mm2</v>
      </c>
      <c r="F1208" s="1198" t="str">
        <f>VLOOKUP($B1208,dongia1,DG!$D$5,)</f>
        <v>cái</v>
      </c>
      <c r="G1208" s="1303">
        <f>G1202*2</f>
        <v>0</v>
      </c>
      <c r="H1208" s="1298">
        <f>VLOOKUP($B1208,dongia1,DG!$F$5,)</f>
        <v>21000</v>
      </c>
      <c r="I1208" s="1298"/>
      <c r="J1208" s="1298">
        <f>VLOOKUP($B1208,dongia1,DG!$G$5,)</f>
        <v>21217.910000000003</v>
      </c>
      <c r="K1208" s="1298">
        <f>VLOOKUP($B1208,dongia1,DG!$H$5,)</f>
        <v>3332.427897</v>
      </c>
      <c r="L1208" s="1298">
        <f t="shared" si="262"/>
        <v>0</v>
      </c>
      <c r="M1208" s="1298">
        <f t="shared" si="263"/>
        <v>0</v>
      </c>
      <c r="N1208" s="1298">
        <f t="shared" si="264"/>
        <v>0</v>
      </c>
      <c r="O1208" s="1298">
        <f t="shared" si="265"/>
        <v>0</v>
      </c>
      <c r="P1208" s="1437"/>
      <c r="Q1208" s="1300"/>
      <c r="R1208" s="1300"/>
      <c r="S1208" s="1300"/>
    </row>
    <row r="1209" spans="1:19" s="1081" customFormat="1" hidden="1" outlineLevel="1">
      <c r="A1209" s="1072" t="str">
        <f t="shared" si="261"/>
        <v/>
      </c>
      <c r="B1209" s="1295" t="s">
        <v>475</v>
      </c>
      <c r="C1209" s="1302"/>
      <c r="D1209" s="1198">
        <f>VLOOKUP($B1209,dongia1,DG!$B$5,)</f>
        <v>0</v>
      </c>
      <c r="E1209" s="1243" t="str">
        <f>VLOOKUP($B1209,dongia1,DG!$C$5,)</f>
        <v>Chụp đầu cosse  150mm2</v>
      </c>
      <c r="F1209" s="1198" t="str">
        <f>VLOOKUP($B1209,dongia1,DG!$D$5,)</f>
        <v>cái</v>
      </c>
      <c r="G1209" s="1303">
        <f>G1207</f>
        <v>0</v>
      </c>
      <c r="H1209" s="1298">
        <f>VLOOKUP($B1209,dongia1,DG!$F$5,)</f>
        <v>5000</v>
      </c>
      <c r="I1209" s="1298"/>
      <c r="J1209" s="1298">
        <f>VLOOKUP($B1209,dongia1,DG!$G$5,)</f>
        <v>0</v>
      </c>
      <c r="K1209" s="1298">
        <f>VLOOKUP($B1209,dongia1,DG!$H$5,)</f>
        <v>0</v>
      </c>
      <c r="L1209" s="1298">
        <f t="shared" si="262"/>
        <v>0</v>
      </c>
      <c r="M1209" s="1298">
        <f t="shared" si="263"/>
        <v>0</v>
      </c>
      <c r="N1209" s="1298">
        <f t="shared" si="264"/>
        <v>0</v>
      </c>
      <c r="O1209" s="1298">
        <f t="shared" si="265"/>
        <v>0</v>
      </c>
      <c r="P1209" s="1437"/>
      <c r="Q1209" s="1300"/>
      <c r="R1209" s="1300"/>
      <c r="S1209" s="1300"/>
    </row>
    <row r="1210" spans="1:19" s="1081" customFormat="1" hidden="1" outlineLevel="1">
      <c r="A1210" s="1072" t="str">
        <f t="shared" si="261"/>
        <v/>
      </c>
      <c r="B1210" s="1295" t="s">
        <v>477</v>
      </c>
      <c r="C1210" s="1302"/>
      <c r="D1210" s="1198">
        <f>VLOOKUP($B1210,dongia1,DG!$B$5,)</f>
        <v>0</v>
      </c>
      <c r="E1210" s="1243" t="str">
        <f>VLOOKUP($B1210,dongia1,DG!$C$5,)</f>
        <v>Chụp đầu cosse  95mm2</v>
      </c>
      <c r="F1210" s="1198" t="str">
        <f>VLOOKUP($B1210,dongia1,DG!$D$5,)</f>
        <v>cái</v>
      </c>
      <c r="G1210" s="1303">
        <f>G1208</f>
        <v>0</v>
      </c>
      <c r="H1210" s="1298">
        <f>VLOOKUP($B1210,dongia1,DG!$F$5,)</f>
        <v>4000</v>
      </c>
      <c r="I1210" s="1298"/>
      <c r="J1210" s="1298">
        <f>VLOOKUP($B1210,dongia1,DG!$G$5,)</f>
        <v>0</v>
      </c>
      <c r="K1210" s="1298">
        <f>VLOOKUP($B1210,dongia1,DG!$H$5,)</f>
        <v>0</v>
      </c>
      <c r="L1210" s="1298">
        <f t="shared" si="262"/>
        <v>0</v>
      </c>
      <c r="M1210" s="1298">
        <f t="shared" si="263"/>
        <v>0</v>
      </c>
      <c r="N1210" s="1298">
        <f t="shared" si="264"/>
        <v>0</v>
      </c>
      <c r="O1210" s="1298">
        <f t="shared" si="265"/>
        <v>0</v>
      </c>
      <c r="P1210" s="1437"/>
      <c r="Q1210" s="1300"/>
      <c r="R1210" s="1300"/>
      <c r="S1210" s="1300"/>
    </row>
    <row r="1211" spans="1:19" s="1081" customFormat="1" hidden="1" outlineLevel="1">
      <c r="A1211" s="1072" t="str">
        <f t="shared" si="261"/>
        <v/>
      </c>
      <c r="B1211" s="1295" t="s">
        <v>961</v>
      </c>
      <c r="C1211" s="1302"/>
      <c r="D1211" s="1198">
        <f>VLOOKUP($B1211,dongia1,DG!$B$5,)</f>
        <v>0</v>
      </c>
      <c r="E1211" s="1243" t="str">
        <f>VLOOKUP($B1211,dongia1,DG!$C$5,)</f>
        <v xml:space="preserve">Ống PVC D114x4,9mm </v>
      </c>
      <c r="F1211" s="1198" t="str">
        <f>VLOOKUP($B1211,dongia1,DG!$D$5,)</f>
        <v>m</v>
      </c>
      <c r="G1211" s="1473">
        <f>+G1202*4</f>
        <v>0</v>
      </c>
      <c r="H1211" s="1298">
        <f>VLOOKUP($B1211,dongia1,DG!$F$5,)</f>
        <v>103700</v>
      </c>
      <c r="I1211" s="1298"/>
      <c r="J1211" s="1298">
        <f>VLOOKUP($B1211,dongia1,DG!$G$5,)</f>
        <v>0</v>
      </c>
      <c r="K1211" s="1298">
        <f>VLOOKUP($B1211,dongia1,DG!$H$5,)</f>
        <v>0</v>
      </c>
      <c r="L1211" s="1298">
        <f t="shared" si="262"/>
        <v>0</v>
      </c>
      <c r="M1211" s="1298">
        <f t="shared" si="263"/>
        <v>0</v>
      </c>
      <c r="N1211" s="1298">
        <f t="shared" si="264"/>
        <v>0</v>
      </c>
      <c r="O1211" s="1298">
        <f t="shared" si="265"/>
        <v>0</v>
      </c>
      <c r="P1211" s="1437"/>
      <c r="Q1211" s="1300"/>
      <c r="R1211" s="1300"/>
      <c r="S1211" s="1300"/>
    </row>
    <row r="1212" spans="1:19" s="1081" customFormat="1" hidden="1" outlineLevel="1">
      <c r="A1212" s="1072" t="str">
        <f t="shared" si="261"/>
        <v/>
      </c>
      <c r="B1212" s="1068" t="s">
        <v>193</v>
      </c>
      <c r="C1212" s="1302"/>
      <c r="D1212" s="1198">
        <f>VLOOKUP($B1212,dongia1,DG!$B$5,)</f>
        <v>0</v>
      </c>
      <c r="E1212" s="1243" t="str">
        <f>VLOOKUP($B1212,dongia1,DG!$C$5,)</f>
        <v>Cổ dê kẹp ống PVC Þ 114</v>
      </c>
      <c r="F1212" s="1198" t="str">
        <f>VLOOKUP($B1212,dongia1,DG!$D$5,)</f>
        <v>bộ</v>
      </c>
      <c r="G1212" s="1303">
        <f>+G1202*2</f>
        <v>0</v>
      </c>
      <c r="H1212" s="1298">
        <f>VLOOKUP($B1212,dongia1,DG!$F$5,)</f>
        <v>50000</v>
      </c>
      <c r="I1212" s="1298"/>
      <c r="J1212" s="1298">
        <f>VLOOKUP($B1212,dongia1,DG!$G$5,)</f>
        <v>0</v>
      </c>
      <c r="K1212" s="1298">
        <f>VLOOKUP($B1212,dongia1,DG!$H$5,)</f>
        <v>0</v>
      </c>
      <c r="L1212" s="1298">
        <f t="shared" si="262"/>
        <v>0</v>
      </c>
      <c r="M1212" s="1298">
        <f t="shared" si="263"/>
        <v>0</v>
      </c>
      <c r="N1212" s="1298">
        <f t="shared" si="264"/>
        <v>0</v>
      </c>
      <c r="O1212" s="1298">
        <f t="shared" si="265"/>
        <v>0</v>
      </c>
      <c r="P1212" s="1437"/>
      <c r="Q1212" s="1474"/>
      <c r="R1212" s="1300"/>
      <c r="S1212" s="1300"/>
    </row>
    <row r="1213" spans="1:19" s="1081" customFormat="1" hidden="1" outlineLevel="1">
      <c r="A1213" s="1072" t="str">
        <f t="shared" ref="A1213:A1219" si="266">IF(G1213&lt;&gt;0,1,"")</f>
        <v/>
      </c>
      <c r="B1213" s="1295" t="s">
        <v>693</v>
      </c>
      <c r="C1213" s="1302"/>
      <c r="D1213" s="1198">
        <f>VLOOKUP($B1213,dongia1,DG!$B$5,)</f>
        <v>0</v>
      </c>
      <c r="E1213" s="1243" t="str">
        <f>VLOOKUP($B1213,dongia1,DG!$C$5,)</f>
        <v>Khâu ven răng trong D114</v>
      </c>
      <c r="F1213" s="1198" t="str">
        <f>VLOOKUP($B1213,dongia1,DG!$D$5,)</f>
        <v>cái</v>
      </c>
      <c r="G1213" s="1303">
        <f>+G1202</f>
        <v>0</v>
      </c>
      <c r="H1213" s="1298">
        <f>VLOOKUP($B1213,dongia1,DG!$F$5,)</f>
        <v>41900</v>
      </c>
      <c r="I1213" s="1298"/>
      <c r="J1213" s="1298">
        <f>VLOOKUP($B1213,dongia1,DG!$G$5,)</f>
        <v>0</v>
      </c>
      <c r="K1213" s="1298">
        <f>VLOOKUP($B1213,dongia1,DG!$H$5,)</f>
        <v>0</v>
      </c>
      <c r="L1213" s="1298">
        <f t="shared" si="262"/>
        <v>0</v>
      </c>
      <c r="M1213" s="1298">
        <f t="shared" si="263"/>
        <v>0</v>
      </c>
      <c r="N1213" s="1298">
        <f t="shared" si="264"/>
        <v>0</v>
      </c>
      <c r="O1213" s="1298">
        <f t="shared" si="265"/>
        <v>0</v>
      </c>
      <c r="P1213" s="1437"/>
      <c r="Q1213" s="1300"/>
      <c r="R1213" s="1300"/>
      <c r="S1213" s="1300"/>
    </row>
    <row r="1214" spans="1:19" s="1081" customFormat="1" hidden="1" outlineLevel="1">
      <c r="A1214" s="1072" t="str">
        <f t="shared" si="266"/>
        <v/>
      </c>
      <c r="B1214" s="1295" t="s">
        <v>694</v>
      </c>
      <c r="C1214" s="1302"/>
      <c r="D1214" s="1198">
        <f>VLOOKUP($B1214,dongia1,DG!$B$5,)</f>
        <v>0</v>
      </c>
      <c r="E1214" s="1243" t="str">
        <f>VLOOKUP($B1214,dongia1,DG!$C$5,)</f>
        <v>Khâu ven răng ngoài D114</v>
      </c>
      <c r="F1214" s="1198" t="str">
        <f>VLOOKUP($B1214,dongia1,DG!$D$5,)</f>
        <v>cái</v>
      </c>
      <c r="G1214" s="1303">
        <f>G1213</f>
        <v>0</v>
      </c>
      <c r="H1214" s="1298">
        <f>VLOOKUP($B1214,dongia1,DG!$F$5,)</f>
        <v>41900</v>
      </c>
      <c r="I1214" s="1298"/>
      <c r="J1214" s="1298">
        <f>VLOOKUP($B1214,dongia1,DG!$G$5,)</f>
        <v>0</v>
      </c>
      <c r="K1214" s="1298">
        <f>VLOOKUP($B1214,dongia1,DG!$H$5,)</f>
        <v>0</v>
      </c>
      <c r="L1214" s="1298">
        <f t="shared" si="262"/>
        <v>0</v>
      </c>
      <c r="M1214" s="1298">
        <f t="shared" si="263"/>
        <v>0</v>
      </c>
      <c r="N1214" s="1298">
        <f t="shared" si="264"/>
        <v>0</v>
      </c>
      <c r="O1214" s="1298">
        <f t="shared" si="265"/>
        <v>0</v>
      </c>
      <c r="P1214" s="1437"/>
      <c r="Q1214" s="1300"/>
      <c r="R1214" s="1300"/>
      <c r="S1214" s="1300"/>
    </row>
    <row r="1215" spans="1:19" s="1081" customFormat="1" hidden="1" outlineLevel="1">
      <c r="A1215" s="1072" t="str">
        <f t="shared" si="266"/>
        <v/>
      </c>
      <c r="B1215" s="1295" t="s">
        <v>887</v>
      </c>
      <c r="C1215" s="1302"/>
      <c r="D1215" s="1198">
        <f>VLOOKUP($B1215,dongia1,DG!$B$5,)</f>
        <v>0</v>
      </c>
      <c r="E1215" s="1243" t="str">
        <f>VLOOKUP($B1215,dongia1,DG!$C$5,)</f>
        <v>Keo dán ống PVC (100gr)</v>
      </c>
      <c r="F1215" s="1198" t="str">
        <f>VLOOKUP($B1215,dongia1,DG!$D$5,)</f>
        <v>tuýp</v>
      </c>
      <c r="G1215" s="1303">
        <f>+G1202</f>
        <v>0</v>
      </c>
      <c r="H1215" s="1298">
        <f>VLOOKUP($B1215,dongia1,DG!$F$5,)</f>
        <v>11500</v>
      </c>
      <c r="I1215" s="1298"/>
      <c r="J1215" s="1298">
        <f>VLOOKUP($B1215,dongia1,DG!$G$5,)</f>
        <v>0</v>
      </c>
      <c r="K1215" s="1298">
        <f>VLOOKUP($B1215,dongia1,DG!$H$5,)</f>
        <v>0</v>
      </c>
      <c r="L1215" s="1298">
        <f t="shared" si="262"/>
        <v>0</v>
      </c>
      <c r="M1215" s="1298">
        <f t="shared" si="263"/>
        <v>0</v>
      </c>
      <c r="N1215" s="1298">
        <f t="shared" si="264"/>
        <v>0</v>
      </c>
      <c r="O1215" s="1298">
        <f t="shared" si="265"/>
        <v>0</v>
      </c>
      <c r="P1215" s="1437"/>
      <c r="Q1215" s="1300"/>
      <c r="R1215" s="1300"/>
      <c r="S1215" s="1300"/>
    </row>
    <row r="1216" spans="1:19" s="1081" customFormat="1" hidden="1" outlineLevel="1">
      <c r="A1216" s="1072" t="str">
        <f t="shared" si="266"/>
        <v/>
      </c>
      <c r="B1216" s="1068" t="s">
        <v>1690</v>
      </c>
      <c r="C1216" s="1302"/>
      <c r="D1216" s="1198"/>
      <c r="E1216" s="1243" t="str">
        <f>VLOOKUP($B1216,dongia1,DG!$C$5,)</f>
        <v>Keo silicon bít miệng ống</v>
      </c>
      <c r="F1216" s="1198" t="str">
        <f>VLOOKUP($B1216,dongia1,DG!$D$5,)</f>
        <v>chai</v>
      </c>
      <c r="G1216" s="1303">
        <f>G1202*2</f>
        <v>0</v>
      </c>
      <c r="H1216" s="1298">
        <f>VLOOKUP($B1216,dongia1,DG!$F$5,)</f>
        <v>45000</v>
      </c>
      <c r="I1216" s="1298"/>
      <c r="J1216" s="1298"/>
      <c r="K1216" s="1298"/>
      <c r="L1216" s="1298">
        <f t="shared" si="262"/>
        <v>0</v>
      </c>
      <c r="M1216" s="1298">
        <f t="shared" si="263"/>
        <v>0</v>
      </c>
      <c r="N1216" s="1298">
        <f t="shared" si="264"/>
        <v>0</v>
      </c>
      <c r="O1216" s="1298">
        <f t="shared" si="265"/>
        <v>0</v>
      </c>
      <c r="P1216" s="1299"/>
      <c r="Q1216" s="1300"/>
      <c r="R1216" s="1300"/>
      <c r="S1216" s="1300"/>
    </row>
    <row r="1217" spans="1:19" s="1081" customFormat="1" hidden="1" outlineLevel="1">
      <c r="A1217" s="1072" t="str">
        <f t="shared" si="266"/>
        <v/>
      </c>
      <c r="B1217" s="1295" t="s">
        <v>53</v>
      </c>
      <c r="C1217" s="1302"/>
      <c r="D1217" s="1198">
        <f>VLOOKUP($B1217,dongia1,DG!$B$5,)</f>
        <v>0</v>
      </c>
      <c r="E1217" s="1243" t="str">
        <f>VLOOKUP($B1217,dongia1,DG!$C$5,)</f>
        <v>Dây rút cáp</v>
      </c>
      <c r="F1217" s="1198" t="str">
        <f>VLOOKUP($B1217,dongia1,DG!$D$5,)</f>
        <v>bọc</v>
      </c>
      <c r="G1217" s="1303">
        <f>+G1202</f>
        <v>0</v>
      </c>
      <c r="H1217" s="1298">
        <f>VLOOKUP($B1217,dongia1,DG!$F$5,)</f>
        <v>15000</v>
      </c>
      <c r="I1217" s="1298"/>
      <c r="J1217" s="1298">
        <f>VLOOKUP($B1217,dongia1,DG!$G$5,)</f>
        <v>0</v>
      </c>
      <c r="K1217" s="1298">
        <f>VLOOKUP($B1217,dongia1,DG!$H$5,)</f>
        <v>0</v>
      </c>
      <c r="L1217" s="1298">
        <f>H1217*G1217</f>
        <v>0</v>
      </c>
      <c r="M1217" s="1298">
        <f>I1217*G1217</f>
        <v>0</v>
      </c>
      <c r="N1217" s="1298">
        <f>J1217*G1217</f>
        <v>0</v>
      </c>
      <c r="O1217" s="1298">
        <f>K1217*G1217</f>
        <v>0</v>
      </c>
      <c r="P1217" s="1299"/>
      <c r="Q1217" s="1300"/>
      <c r="R1217" s="1300"/>
      <c r="S1217" s="1300"/>
    </row>
    <row r="1218" spans="1:19" s="1081" customFormat="1" hidden="1" outlineLevel="1">
      <c r="A1218" s="1072" t="str">
        <f t="shared" si="266"/>
        <v/>
      </c>
      <c r="B1218" s="1068" t="s">
        <v>236</v>
      </c>
      <c r="C1218" s="1302"/>
      <c r="D1218" s="1198">
        <f>VLOOKUP($B1218,dongia1,DG!$B$5,)</f>
        <v>0</v>
      </c>
      <c r="E1218" s="1243" t="str">
        <f>VLOOKUP($B1218,dongia1,DG!$C$5,)</f>
        <v>Băng keo cách điện hạ thế</v>
      </c>
      <c r="F1218" s="1198" t="str">
        <f>VLOOKUP($B1218,dongia1,DG!$D$5,)</f>
        <v>cuộn</v>
      </c>
      <c r="G1218" s="1303">
        <f>G1202*1</f>
        <v>0</v>
      </c>
      <c r="H1218" s="1298">
        <f>VLOOKUP($B1218,dongia1,DG!$F$5,)</f>
        <v>6500</v>
      </c>
      <c r="I1218" s="1298"/>
      <c r="J1218" s="1298">
        <f>VLOOKUP($B1218,dongia1,DG!$G$5,)</f>
        <v>0</v>
      </c>
      <c r="K1218" s="1298">
        <f>VLOOKUP($B1218,dongia1,DG!$H$5,)</f>
        <v>0</v>
      </c>
      <c r="L1218" s="1298">
        <f>H1218*G1218</f>
        <v>0</v>
      </c>
      <c r="M1218" s="1298">
        <f>I1218*G1218</f>
        <v>0</v>
      </c>
      <c r="N1218" s="1298">
        <f>J1218*G1218</f>
        <v>0</v>
      </c>
      <c r="O1218" s="1298">
        <f>K1218*G1218</f>
        <v>0</v>
      </c>
      <c r="P1218" s="1437"/>
      <c r="Q1218" s="1300"/>
      <c r="R1218" s="1300"/>
      <c r="S1218" s="1300"/>
    </row>
    <row r="1219" spans="1:19" s="1081" customFormat="1" hidden="1" outlineLevel="1">
      <c r="A1219" s="1072" t="str">
        <f t="shared" si="266"/>
        <v/>
      </c>
      <c r="B1219" s="1068" t="s">
        <v>1346</v>
      </c>
      <c r="C1219" s="1302"/>
      <c r="D1219" s="1198" t="str">
        <f>VLOOKUP($B1219,dongia1,DG!$B$5,)</f>
        <v>T4.4202</v>
      </c>
      <c r="E1219" s="1243" t="str">
        <f>VLOOKUP($B1219,dongia1,DG!$C$5,)&amp;":"</f>
        <v>Lắp cáp đồng xuống thiết bị D ≤ 150mm2:</v>
      </c>
      <c r="F1219" s="1198" t="str">
        <f>VLOOKUP($B1219,dongia1,DG!$D$5,)</f>
        <v>m</v>
      </c>
      <c r="G1219" s="1303">
        <f>G1204+G1205</f>
        <v>0</v>
      </c>
      <c r="H1219" s="1298">
        <f>VLOOKUP($B1219,dongia1,DG!$F$5,)</f>
        <v>0</v>
      </c>
      <c r="I1219" s="1298"/>
      <c r="J1219" s="1298">
        <f>VLOOKUP($B1219,dongia1,DG!$G$5,)</f>
        <v>33396</v>
      </c>
      <c r="K1219" s="1298">
        <f>VLOOKUP($B1219,dongia1,DG!$H$5,)</f>
        <v>0</v>
      </c>
      <c r="L1219" s="1298">
        <f>H1219*G1219</f>
        <v>0</v>
      </c>
      <c r="M1219" s="1298">
        <f>I1219*G1219</f>
        <v>0</v>
      </c>
      <c r="N1219" s="1298">
        <f>J1219*G1219</f>
        <v>0</v>
      </c>
      <c r="O1219" s="1298">
        <f>K1219*G1219</f>
        <v>0</v>
      </c>
      <c r="P1219" s="1437"/>
      <c r="Q1219" s="1300"/>
      <c r="R1219" s="1300"/>
      <c r="S1219" s="1300"/>
    </row>
    <row r="1220" spans="1:19" s="1081" customFormat="1" hidden="1" outlineLevel="1">
      <c r="A1220" s="1072">
        <f>+IF(L1220+N1220+O1220&gt;0,1,0)</f>
        <v>0</v>
      </c>
      <c r="B1220" s="1421"/>
      <c r="C1220" s="1475"/>
      <c r="D1220" s="1476"/>
      <c r="E1220" s="1477"/>
      <c r="F1220" s="1478"/>
      <c r="G1220" s="1479"/>
      <c r="H1220" s="1478"/>
      <c r="I1220" s="1478"/>
      <c r="J1220" s="2469" t="s">
        <v>3388</v>
      </c>
      <c r="K1220" s="2469"/>
      <c r="L1220" s="1480">
        <f>SUM(L1116:L1219)</f>
        <v>0</v>
      </c>
      <c r="M1220" s="1480">
        <f>SUM(M1116:M1219)</f>
        <v>0</v>
      </c>
      <c r="N1220" s="1480">
        <f>SUM(N1116:N1219)</f>
        <v>0</v>
      </c>
      <c r="O1220" s="1480">
        <f>SUM(O1116:O1219)</f>
        <v>0</v>
      </c>
      <c r="P1220" s="1447"/>
      <c r="Q1220" s="1300"/>
      <c r="R1220" s="1300"/>
      <c r="S1220" s="1300"/>
    </row>
    <row r="1221" spans="1:19" s="1081" customFormat="1" hidden="1">
      <c r="A1221" s="1072"/>
      <c r="B1221" s="1426"/>
      <c r="C1221" s="1427"/>
      <c r="D1221" s="1428"/>
      <c r="E1221" s="1429"/>
      <c r="F1221" s="1428"/>
      <c r="G1221" s="1430"/>
      <c r="H1221" s="1300"/>
      <c r="I1221" s="1300"/>
      <c r="J1221" s="1300"/>
      <c r="K1221" s="1300"/>
      <c r="L1221" s="1300"/>
      <c r="M1221" s="1300"/>
      <c r="N1221" s="1300"/>
      <c r="O1221" s="1300"/>
      <c r="P1221" s="1431"/>
      <c r="Q1221" s="1300"/>
      <c r="R1221" s="1300"/>
      <c r="S1221" s="1300"/>
    </row>
    <row r="1222" spans="1:19" s="1081" customFormat="1" hidden="1" outlineLevel="1">
      <c r="A1222" s="1072" t="str">
        <f>A1100</f>
        <v/>
      </c>
      <c r="B1222" s="1432"/>
      <c r="C1222" s="1336" t="str">
        <f>"BẢNG TỔNG HỢP VẬT LIỆU, NHÂN CÔNG, MÁY THI CÔNG: "&amp;K10&amp;" TRẠM 3P_160KVA"</f>
        <v>BẢNG TỔNG HỢP VẬT LIỆU, NHÂN CÔNG, MÁY THI CÔNG: 0 TRẠM 3P_160KVA</v>
      </c>
      <c r="D1222" s="1433"/>
      <c r="E1222" s="1433"/>
      <c r="F1222" s="1433"/>
      <c r="G1222" s="1433"/>
      <c r="H1222" s="1434"/>
      <c r="I1222" s="1434"/>
      <c r="J1222" s="1434"/>
      <c r="K1222" s="1434"/>
      <c r="L1222" s="1434"/>
      <c r="M1222" s="1434"/>
      <c r="N1222" s="1434"/>
      <c r="O1222" s="1434"/>
      <c r="P1222" s="1428"/>
      <c r="Q1222" s="1300"/>
      <c r="R1222" s="1300"/>
      <c r="S1222" s="1300"/>
    </row>
    <row r="1223" spans="1:19" s="1081" customFormat="1" hidden="1" outlineLevel="1">
      <c r="A1223" s="1072" t="str">
        <f>A1100</f>
        <v/>
      </c>
      <c r="B1223" s="1295" t="s">
        <v>3721</v>
      </c>
      <c r="C1223" s="2459" t="s">
        <v>1014</v>
      </c>
      <c r="D1223" s="2467" t="s">
        <v>3363</v>
      </c>
      <c r="E1223" s="2457" t="s">
        <v>3364</v>
      </c>
      <c r="F1223" s="2459" t="s">
        <v>3365</v>
      </c>
      <c r="G1223" s="1155" t="s">
        <v>3367</v>
      </c>
      <c r="H1223" s="1156" t="s">
        <v>3368</v>
      </c>
      <c r="I1223" s="1157"/>
      <c r="J1223" s="1157"/>
      <c r="K1223" s="1158"/>
      <c r="L1223" s="1156" t="s">
        <v>3372</v>
      </c>
      <c r="M1223" s="1157"/>
      <c r="N1223" s="1157"/>
      <c r="O1223" s="1158"/>
      <c r="P1223" s="2459" t="s">
        <v>3373</v>
      </c>
      <c r="Q1223" s="1300"/>
      <c r="R1223" s="1300"/>
      <c r="S1223" s="1300"/>
    </row>
    <row r="1224" spans="1:19" s="1081" customFormat="1" hidden="1" outlineLevel="1">
      <c r="A1224" s="1072" t="str">
        <f>A1223</f>
        <v/>
      </c>
      <c r="B1224" s="1295"/>
      <c r="C1224" s="2459"/>
      <c r="D1224" s="2468"/>
      <c r="E1224" s="2458"/>
      <c r="F1224" s="2459"/>
      <c r="G1224" s="1160" t="s">
        <v>3366</v>
      </c>
      <c r="H1224" s="1161" t="s">
        <v>393</v>
      </c>
      <c r="I1224" s="1161" t="s">
        <v>3369</v>
      </c>
      <c r="J1224" s="1161" t="s">
        <v>3370</v>
      </c>
      <c r="K1224" s="1161" t="s">
        <v>3371</v>
      </c>
      <c r="L1224" s="1161" t="s">
        <v>393</v>
      </c>
      <c r="M1224" s="1161" t="s">
        <v>3369</v>
      </c>
      <c r="N1224" s="1161" t="s">
        <v>3370</v>
      </c>
      <c r="O1224" s="1161" t="s">
        <v>3371</v>
      </c>
      <c r="P1224" s="2459"/>
      <c r="Q1224" s="1300"/>
      <c r="R1224" s="1300"/>
      <c r="S1224" s="1300"/>
    </row>
    <row r="1225" spans="1:19" s="1081" customFormat="1" hidden="1" outlineLevel="1">
      <c r="A1225" s="1072" t="str">
        <f>A1224</f>
        <v/>
      </c>
      <c r="B1225" s="1295"/>
      <c r="C1225" s="1162"/>
      <c r="D1225" s="1163"/>
      <c r="E1225" s="1164" t="s">
        <v>3375</v>
      </c>
      <c r="F1225" s="1165"/>
      <c r="G1225" s="1165"/>
      <c r="H1225" s="1165"/>
      <c r="I1225" s="1165"/>
      <c r="J1225" s="1165"/>
      <c r="K1225" s="1165"/>
      <c r="L1225" s="1165"/>
      <c r="M1225" s="1165"/>
      <c r="N1225" s="1165"/>
      <c r="O1225" s="1163"/>
      <c r="P1225" s="1166"/>
      <c r="Q1225" s="1300"/>
      <c r="R1225" s="1300"/>
      <c r="S1225" s="1300"/>
    </row>
    <row r="1226" spans="1:19" s="1081" customFormat="1" hidden="1" outlineLevel="1">
      <c r="A1226" s="1072" t="str">
        <f>IF(G1226&lt;&gt;0,1,"")</f>
        <v/>
      </c>
      <c r="B1226" s="1435" t="str">
        <f>IF($F$8=15,"tr160","tr1601")</f>
        <v>tr1601</v>
      </c>
      <c r="C1226" s="1302">
        <f>IF(G1226&gt;0,1,0)</f>
        <v>0</v>
      </c>
      <c r="D1226" s="1198" t="str">
        <f>VLOOKUP($B1226,dongia1,DG!$B$5,)</f>
        <v>T1.1414</v>
      </c>
      <c r="E1226" s="1243" t="str">
        <f>VLOOKUP($B1226,dongia1,DG!$C$5,)</f>
        <v>Máy biến áp 22/0,4kV  160kVA</v>
      </c>
      <c r="F1226" s="1198" t="str">
        <f>VLOOKUP($B1226,dongia1,DG!$D$5,)</f>
        <v>máy</v>
      </c>
      <c r="G1226" s="1481">
        <f>$K$10</f>
        <v>0</v>
      </c>
      <c r="H1226" s="1399">
        <f>VLOOKUP($B1226,dongia1,DG!$E$5,)*0</f>
        <v>0</v>
      </c>
      <c r="I1226" s="1399"/>
      <c r="J1226" s="1399">
        <f>VLOOKUP($B1226,dongia1,DG!$G$5,)</f>
        <v>1190887</v>
      </c>
      <c r="K1226" s="1399">
        <f>VLOOKUP($B1226,dongia1,DG!$H$5,)</f>
        <v>284508</v>
      </c>
      <c r="L1226" s="1400">
        <f t="shared" ref="L1226:L1235" si="267">H1226*G1226</f>
        <v>0</v>
      </c>
      <c r="M1226" s="1400">
        <f t="shared" ref="M1226:M1235" si="268">I1226*G1226</f>
        <v>0</v>
      </c>
      <c r="N1226" s="1400">
        <f t="shared" ref="N1226:N1235" si="269">J1226*G1226</f>
        <v>0</v>
      </c>
      <c r="O1226" s="1401">
        <f t="shared" ref="O1226:O1235" si="270">K1226*G1226</f>
        <v>0</v>
      </c>
      <c r="P1226" s="1436"/>
      <c r="Q1226" s="1300"/>
      <c r="R1226" s="1300"/>
      <c r="S1226" s="1300"/>
    </row>
    <row r="1227" spans="1:19" s="1081" customFormat="1" hidden="1" outlineLevel="1">
      <c r="A1227" s="1072" t="str">
        <f>IF(G1227&lt;&gt;0,1,"")</f>
        <v/>
      </c>
      <c r="B1227" s="1435" t="str">
        <f>IF($F$8=15,"tr160","tr1601")</f>
        <v>tr1601</v>
      </c>
      <c r="C1227" s="1302">
        <f>IF(G1227&gt;0,1,0)</f>
        <v>0</v>
      </c>
      <c r="D1227" s="1198" t="str">
        <f>VLOOKUP($B1227,dongia1,DG!$B$5,)</f>
        <v>T1.1414</v>
      </c>
      <c r="E1227" s="1243" t="s">
        <v>4084</v>
      </c>
      <c r="F1227" s="1198" t="str">
        <f>VLOOKUP($B1227,dongia1,DG!$D$5,)</f>
        <v>máy</v>
      </c>
      <c r="G1227" s="1481">
        <f>$K$10*0</f>
        <v>0</v>
      </c>
      <c r="H1227" s="1399">
        <v>450000000</v>
      </c>
      <c r="I1227" s="1399"/>
      <c r="J1227" s="1399">
        <f>VLOOKUP($B1227,dongia1,DG!$G$5,)</f>
        <v>1190887</v>
      </c>
      <c r="K1227" s="1399">
        <f>VLOOKUP($B1227,dongia1,DG!$H$5,)</f>
        <v>284508</v>
      </c>
      <c r="L1227" s="1400">
        <f>H1227*G1227</f>
        <v>0</v>
      </c>
      <c r="M1227" s="1400">
        <f>I1227*G1227</f>
        <v>0</v>
      </c>
      <c r="N1227" s="1400">
        <f>J1227*G1227</f>
        <v>0</v>
      </c>
      <c r="O1227" s="1401">
        <f>K1227*G1227</f>
        <v>0</v>
      </c>
      <c r="P1227" s="1436"/>
      <c r="Q1227" s="1300"/>
      <c r="R1227" s="1300"/>
      <c r="S1227" s="1300"/>
    </row>
    <row r="1228" spans="1:19" s="1081" customFormat="1" hidden="1" outlineLevel="1">
      <c r="A1228" s="1072" t="str">
        <f t="shared" ref="A1228:A1235" si="271">IF(G1228&lt;&gt;0,1,"")</f>
        <v/>
      </c>
      <c r="B1228" s="1167" t="str">
        <f>"FCO100-"&amp;$F$8</f>
        <v>FCO100-22</v>
      </c>
      <c r="C1228" s="1302">
        <f>IF(G1228&gt;0,C1226+1,C1226)</f>
        <v>0</v>
      </c>
      <c r="D1228" s="1198" t="str">
        <f>VLOOKUP($B1228,dongia1,DG!$B$5,)</f>
        <v>T2.3501</v>
      </c>
      <c r="E1228" s="1243" t="str">
        <f>VLOOKUP($B1228,dongia1,DG!$C$5,)</f>
        <v>FCO 24kV - 100A</v>
      </c>
      <c r="F1228" s="1198" t="str">
        <f>VLOOKUP($B1228,dongia1,DG!$D$5,)</f>
        <v>cái</v>
      </c>
      <c r="G1228" s="1481">
        <f>$G$1226*3</f>
        <v>0</v>
      </c>
      <c r="H1228" s="1298">
        <f>VLOOKUP($B1228,dongia1,DG!$E$5,)</f>
        <v>2244280</v>
      </c>
      <c r="I1228" s="1298">
        <f>VLOOKUP($B1228,dongia1,DG!$F$5,)*0</f>
        <v>0</v>
      </c>
      <c r="J1228" s="1298">
        <f>VLOOKUP($B1228,dongia1,DG!$G$5,)</f>
        <v>222639.99999999997</v>
      </c>
      <c r="K1228" s="1298">
        <f>VLOOKUP($B1228,dongia1,DG!$H$5,)</f>
        <v>0</v>
      </c>
      <c r="L1228" s="1298">
        <f t="shared" si="267"/>
        <v>0</v>
      </c>
      <c r="M1228" s="1298">
        <f t="shared" si="268"/>
        <v>0</v>
      </c>
      <c r="N1228" s="1298">
        <f t="shared" si="269"/>
        <v>0</v>
      </c>
      <c r="O1228" s="1298">
        <f t="shared" si="270"/>
        <v>0</v>
      </c>
      <c r="P1228" s="1437"/>
      <c r="Q1228" s="1300"/>
      <c r="R1228" s="1300"/>
      <c r="S1228" s="1300"/>
    </row>
    <row r="1229" spans="1:19" s="1081" customFormat="1" hidden="1" outlineLevel="1">
      <c r="A1229" s="1072" t="str">
        <f t="shared" si="271"/>
        <v/>
      </c>
      <c r="B1229" s="1435" t="s">
        <v>1151</v>
      </c>
      <c r="C1229" s="1302">
        <f t="shared" ref="C1229:C1235" si="272">IF(G1229&gt;0,C1228+1,C1228)</f>
        <v>0</v>
      </c>
      <c r="D1229" s="1198">
        <f>VLOOKUP($B1229,dongia1,DG!$B$5,)</f>
        <v>0</v>
      </c>
      <c r="E1229" s="1243" t="str">
        <f>VLOOKUP($B1229,dongia1,DG!$C$5,)</f>
        <v>Dây chảy 8K</v>
      </c>
      <c r="F1229" s="1198" t="str">
        <f>VLOOKUP($B1229,dongia1,DG!$D$5,)</f>
        <v>Sợi</v>
      </c>
      <c r="G1229" s="1481">
        <f>G1228</f>
        <v>0</v>
      </c>
      <c r="H1229" s="1298">
        <f>VLOOKUP($B1229,dongia1,DG!$F$5,)</f>
        <v>84000</v>
      </c>
      <c r="I1229" s="1298">
        <f>VLOOKUP($B1229,dongia1,DG!$F$5,)*0</f>
        <v>0</v>
      </c>
      <c r="J1229" s="1298">
        <f>VLOOKUP($B1229,dongia1,DG!$G$5,)</f>
        <v>0</v>
      </c>
      <c r="K1229" s="1298">
        <f>VLOOKUP($B1229,dongia1,DG!$H$5,)</f>
        <v>0</v>
      </c>
      <c r="L1229" s="1298">
        <f t="shared" si="267"/>
        <v>0</v>
      </c>
      <c r="M1229" s="1298">
        <f t="shared" si="268"/>
        <v>0</v>
      </c>
      <c r="N1229" s="1298">
        <f t="shared" si="269"/>
        <v>0</v>
      </c>
      <c r="O1229" s="1298">
        <f t="shared" si="270"/>
        <v>0</v>
      </c>
      <c r="P1229" s="1437"/>
      <c r="Q1229" s="1300"/>
      <c r="R1229" s="1300"/>
      <c r="S1229" s="1300"/>
    </row>
    <row r="1230" spans="1:19" s="1081" customFormat="1" hidden="1" outlineLevel="1">
      <c r="A1230" s="1072" t="str">
        <f t="shared" si="271"/>
        <v/>
      </c>
      <c r="B1230" s="1295" t="str">
        <f>"LA"&amp;$F$6</f>
        <v>LA18</v>
      </c>
      <c r="C1230" s="1302">
        <f t="shared" si="272"/>
        <v>0</v>
      </c>
      <c r="D1230" s="1198" t="str">
        <f>VLOOKUP($B1230,dongia1,DG!$B$5,)</f>
        <v>T2.5004</v>
      </c>
      <c r="E1230" s="1243" t="str">
        <f>VLOOKUP($B1230,dongia1,DG!$C$5,)</f>
        <v>LA 18kV 10kA</v>
      </c>
      <c r="F1230" s="1198" t="str">
        <f>VLOOKUP($B1230,dongia1,DG!$D$5,)</f>
        <v>cái</v>
      </c>
      <c r="G1230" s="1481">
        <f>G1228</f>
        <v>0</v>
      </c>
      <c r="H1230" s="1298">
        <f>VLOOKUP($B1230,dongia1,DG!$E$5,)</f>
        <v>1106000</v>
      </c>
      <c r="I1230" s="1298">
        <f>VLOOKUP($B1230,dongia1,DG!$F$5,)*0</f>
        <v>0</v>
      </c>
      <c r="J1230" s="1298">
        <f>VLOOKUP($B1230,dongia1,DG!$G$5,)</f>
        <v>83490</v>
      </c>
      <c r="K1230" s="1298">
        <f>VLOOKUP($B1230,dongia1,DG!$H$5,)</f>
        <v>0</v>
      </c>
      <c r="L1230" s="1298">
        <f t="shared" si="267"/>
        <v>0</v>
      </c>
      <c r="M1230" s="1298">
        <f t="shared" si="268"/>
        <v>0</v>
      </c>
      <c r="N1230" s="1298">
        <f t="shared" si="269"/>
        <v>0</v>
      </c>
      <c r="O1230" s="1298">
        <f t="shared" si="270"/>
        <v>0</v>
      </c>
      <c r="P1230" s="1437"/>
      <c r="Q1230" s="1300"/>
      <c r="R1230" s="1300"/>
      <c r="S1230" s="1300"/>
    </row>
    <row r="1231" spans="1:19" s="1081" customFormat="1" hidden="1" outlineLevel="1">
      <c r="A1231" s="1072" t="str">
        <f>IF(G1231&lt;&gt;0,1,"")</f>
        <v/>
      </c>
      <c r="B1231" s="1397" t="s">
        <v>660</v>
      </c>
      <c r="C1231" s="1302">
        <f>IF(G1231&gt;0,C1229+1,C1229)</f>
        <v>0</v>
      </c>
      <c r="D1231" s="1198">
        <f>VLOOKUP($B1231,dongia1,DG!$B$5,)</f>
        <v>0</v>
      </c>
      <c r="E1231" s="1243" t="s">
        <v>4085</v>
      </c>
      <c r="F1231" s="1198" t="str">
        <f>VLOOKUP($B1231,dongia1,DG!$D$5,)</f>
        <v>cái</v>
      </c>
      <c r="G1231" s="1481">
        <f>$G$1226*0</f>
        <v>0</v>
      </c>
      <c r="H1231" s="1298">
        <v>20000000</v>
      </c>
      <c r="I1231" s="1298">
        <f>VLOOKUP($B1231,dongia1,DG!$F$5,)*0</f>
        <v>0</v>
      </c>
      <c r="J1231" s="1298">
        <f>VLOOKUP($B1231,dongia1,DG!$G$5,)</f>
        <v>0</v>
      </c>
      <c r="K1231" s="1298">
        <f>VLOOKUP($B1231,dongia1,DG!$H$5,)</f>
        <v>0</v>
      </c>
      <c r="L1231" s="1298">
        <f>H1231*G1231</f>
        <v>0</v>
      </c>
      <c r="M1231" s="1298">
        <f>I1231*G1231</f>
        <v>0</v>
      </c>
      <c r="N1231" s="1298">
        <f>J1231*G1231</f>
        <v>0</v>
      </c>
      <c r="O1231" s="1298">
        <f>K1231*G1231</f>
        <v>0</v>
      </c>
      <c r="P1231" s="1437"/>
      <c r="Q1231" s="1300"/>
      <c r="R1231" s="1300"/>
      <c r="S1231" s="1300"/>
    </row>
    <row r="1232" spans="1:19" s="1081" customFormat="1" hidden="1" outlineLevel="1">
      <c r="A1232" s="1072" t="str">
        <f t="shared" si="271"/>
        <v/>
      </c>
      <c r="B1232" s="1397" t="s">
        <v>660</v>
      </c>
      <c r="C1232" s="1302">
        <f>IF(G1232&gt;0,C1230+1,C1230)</f>
        <v>0</v>
      </c>
      <c r="D1232" s="1198">
        <f>VLOOKUP($B1232,dongia1,DG!$B$5,)</f>
        <v>0</v>
      </c>
      <c r="E1232" s="1243" t="str">
        <f>VLOOKUP($B1232,dongia1,DG!$C$5,)</f>
        <v xml:space="preserve">MCCB 3 cực 400V -250A - 35KA </v>
      </c>
      <c r="F1232" s="1198" t="str">
        <f>VLOOKUP($B1232,dongia1,DG!$D$5,)</f>
        <v>cái</v>
      </c>
      <c r="G1232" s="1481">
        <f>$G$1226</f>
        <v>0</v>
      </c>
      <c r="H1232" s="1298">
        <f>VLOOKUP($B1232,dongia1,DG!$E$5,)</f>
        <v>4990000</v>
      </c>
      <c r="I1232" s="1298">
        <f>VLOOKUP($B1232,dongia1,DG!$F$5,)*0</f>
        <v>0</v>
      </c>
      <c r="J1232" s="1298"/>
      <c r="K1232" s="1298">
        <f>VLOOKUP($B1232,dongia1,DG!$H$5,)</f>
        <v>0</v>
      </c>
      <c r="L1232" s="1298">
        <f t="shared" si="267"/>
        <v>0</v>
      </c>
      <c r="M1232" s="1298">
        <f t="shared" si="268"/>
        <v>0</v>
      </c>
      <c r="N1232" s="1298">
        <f t="shared" si="269"/>
        <v>0</v>
      </c>
      <c r="O1232" s="1298">
        <f t="shared" si="270"/>
        <v>0</v>
      </c>
      <c r="P1232" s="1437"/>
      <c r="Q1232" s="1300"/>
      <c r="R1232" s="1300"/>
      <c r="S1232" s="1300"/>
    </row>
    <row r="1233" spans="1:19" s="1081" customFormat="1" hidden="1" outlineLevel="1">
      <c r="A1233" s="1072" t="str">
        <f>IF(G1233&lt;&gt;0,1,"")</f>
        <v/>
      </c>
      <c r="B1233" s="1397" t="s">
        <v>498</v>
      </c>
      <c r="C1233" s="1302">
        <f t="shared" si="272"/>
        <v>0</v>
      </c>
      <c r="D1233" s="1198" t="str">
        <f>VLOOKUP($B1233,dongia1,DG!$B$5,)</f>
        <v>05.1102</v>
      </c>
      <c r="E1233" s="1243" t="str">
        <f>VLOOKUP($B1233,dongia1,DG!$C$5,)</f>
        <v>Tủ tụ bù hạ thế 65kVAr</v>
      </c>
      <c r="F1233" s="1198" t="str">
        <f>VLOOKUP($B1233,dongia1,DG!$D$5,)</f>
        <v>tủ</v>
      </c>
      <c r="G1233" s="1481">
        <f>$G$1226*0</f>
        <v>0</v>
      </c>
      <c r="H1233" s="1298">
        <f>VLOOKUP($B1233,dongia1,DG!$E$5,)</f>
        <v>11869777</v>
      </c>
      <c r="I1233" s="1298">
        <f>VLOOKUP($B1233,dongia1,DG!$F$5,)</f>
        <v>0</v>
      </c>
      <c r="J1233" s="1298">
        <f>VLOOKUP($B1233,dongia1,DG!$G$5,)</f>
        <v>98101</v>
      </c>
      <c r="K1233" s="1298">
        <f>VLOOKUP($B1233,dongia1,DG!$H$5,)</f>
        <v>59254</v>
      </c>
      <c r="L1233" s="1298">
        <f>H1233*G1233</f>
        <v>0</v>
      </c>
      <c r="M1233" s="1298">
        <f>I1233*G1233</f>
        <v>0</v>
      </c>
      <c r="N1233" s="1298">
        <f>J1233*G1233</f>
        <v>0</v>
      </c>
      <c r="O1233" s="1298">
        <f>K1233*G1233</f>
        <v>0</v>
      </c>
      <c r="P1233" s="1437"/>
      <c r="Q1233" s="1300"/>
      <c r="R1233" s="1300"/>
      <c r="S1233" s="1300"/>
    </row>
    <row r="1234" spans="1:19" s="1081" customFormat="1" hidden="1" outlineLevel="1">
      <c r="A1234" s="1072" t="str">
        <f>IF(G1234&lt;&gt;0,1,"")</f>
        <v/>
      </c>
      <c r="B1234" s="1068" t="s">
        <v>1296</v>
      </c>
      <c r="C1234" s="1302">
        <f t="shared" si="272"/>
        <v>0</v>
      </c>
      <c r="D1234" s="1198">
        <f>VLOOKUP($B1234,dongia1,DG!$B$5,)</f>
        <v>0</v>
      </c>
      <c r="E1234" s="1243" t="str">
        <f>VLOOKUP($B1234,dongia1,DG!$C$5,)</f>
        <v>Biến dòng 600V - 250/5A</v>
      </c>
      <c r="F1234" s="1198" t="str">
        <f>VLOOKUP($B1234,dongia1,DG!$D$5,)</f>
        <v>cái</v>
      </c>
      <c r="G1234" s="1482">
        <f>$G$1226*3</f>
        <v>0</v>
      </c>
      <c r="H1234" s="1298">
        <f>VLOOKUP($B1234,dongia1,DG!$E$5,)*0</f>
        <v>0</v>
      </c>
      <c r="I1234" s="1298">
        <f>VLOOKUP($B1234,dongia1,DG!$F$5,)*0</f>
        <v>0</v>
      </c>
      <c r="J1234" s="1298">
        <f>VLOOKUP($B1234,dongia1,DG!$G$5,)</f>
        <v>0</v>
      </c>
      <c r="K1234" s="1298">
        <f>VLOOKUP($B1234,dongia1,DG!$H$5,)</f>
        <v>0</v>
      </c>
      <c r="L1234" s="1298">
        <f>H1234*G1234</f>
        <v>0</v>
      </c>
      <c r="M1234" s="1298">
        <f>I1234*G1234</f>
        <v>0</v>
      </c>
      <c r="N1234" s="1298">
        <f>J1234*G1234</f>
        <v>0</v>
      </c>
      <c r="O1234" s="1298">
        <f>K1234*G1234</f>
        <v>0</v>
      </c>
      <c r="P1234" s="1439" t="s">
        <v>3471</v>
      </c>
      <c r="Q1234" s="1300"/>
      <c r="R1234" s="1300"/>
      <c r="S1234" s="1300"/>
    </row>
    <row r="1235" spans="1:19" s="1081" customFormat="1" hidden="1" outlineLevel="1">
      <c r="A1235" s="1072" t="str">
        <f t="shared" si="271"/>
        <v/>
      </c>
      <c r="B1235" s="1068" t="s">
        <v>839</v>
      </c>
      <c r="C1235" s="1302">
        <f t="shared" si="272"/>
        <v>0</v>
      </c>
      <c r="D1235" s="1198">
        <f>VLOOKUP($B1235,dongia1,DG!$B$5,)</f>
        <v>0</v>
      </c>
      <c r="E1235" s="1243" t="str">
        <f>VLOOKUP($B1235,dongia1,DG!$C$5,)</f>
        <v>Điện kế 3 pha 4 dây 220/380V-5A</v>
      </c>
      <c r="F1235" s="1198" t="str">
        <f>VLOOKUP($B1235,dongia1,DG!$D$5,)</f>
        <v>cái</v>
      </c>
      <c r="G1235" s="1482">
        <f>$G$1226</f>
        <v>0</v>
      </c>
      <c r="H1235" s="1298">
        <f>VLOOKUP($B1235,dongia1,DG!$E$5,)*0</f>
        <v>0</v>
      </c>
      <c r="I1235" s="1298">
        <f>VLOOKUP($B1235,dongia1,DG!$F$5,)*0</f>
        <v>0</v>
      </c>
      <c r="J1235" s="1298">
        <f>VLOOKUP($B1235,dongia1,DG!$G$5,)*0</f>
        <v>0</v>
      </c>
      <c r="K1235" s="1298">
        <f>VLOOKUP($B1235,dongia1,DG!$H$5,)</f>
        <v>0</v>
      </c>
      <c r="L1235" s="1298">
        <f t="shared" si="267"/>
        <v>0</v>
      </c>
      <c r="M1235" s="1400">
        <f t="shared" si="268"/>
        <v>0</v>
      </c>
      <c r="N1235" s="1400">
        <f t="shared" si="269"/>
        <v>0</v>
      </c>
      <c r="O1235" s="1401">
        <f t="shared" si="270"/>
        <v>0</v>
      </c>
      <c r="P1235" s="1440" t="s">
        <v>3471</v>
      </c>
      <c r="Q1235" s="1300"/>
      <c r="R1235" s="1300"/>
      <c r="S1235" s="1300"/>
    </row>
    <row r="1236" spans="1:19" s="1081" customFormat="1" hidden="1" outlineLevel="1">
      <c r="A1236" s="1072" t="str">
        <f>A1100</f>
        <v/>
      </c>
      <c r="B1236" s="1295"/>
      <c r="C1236" s="1441"/>
      <c r="D1236" s="1442"/>
      <c r="E1236" s="1443"/>
      <c r="F1236" s="1444"/>
      <c r="G1236" s="1445"/>
      <c r="H1236" s="1444"/>
      <c r="I1236" s="1444"/>
      <c r="J1236" s="1183" t="s">
        <v>3387</v>
      </c>
      <c r="K1236" s="1444"/>
      <c r="L1236" s="1446">
        <f>SUM(L1226:L1235)</f>
        <v>0</v>
      </c>
      <c r="M1236" s="1446">
        <f>SUM(M1226:M1235)</f>
        <v>0</v>
      </c>
      <c r="N1236" s="1446">
        <f>SUM(N1226:N1235)</f>
        <v>0</v>
      </c>
      <c r="O1236" s="1446">
        <f>SUM(O1226:O1235)</f>
        <v>0</v>
      </c>
      <c r="P1236" s="1447"/>
      <c r="Q1236" s="1300"/>
      <c r="R1236" s="1300"/>
      <c r="S1236" s="1300"/>
    </row>
    <row r="1237" spans="1:19" s="1081" customFormat="1" hidden="1" outlineLevel="1">
      <c r="A1237" s="1072" t="str">
        <f>A1100</f>
        <v/>
      </c>
      <c r="B1237" s="1295"/>
      <c r="C1237" s="1448"/>
      <c r="D1237" s="1449"/>
      <c r="E1237" s="1450" t="s">
        <v>3376</v>
      </c>
      <c r="F1237" s="1450"/>
      <c r="G1237" s="1451"/>
      <c r="H1237" s="1450"/>
      <c r="I1237" s="1450"/>
      <c r="J1237" s="1450"/>
      <c r="K1237" s="1450"/>
      <c r="L1237" s="1450"/>
      <c r="M1237" s="1450"/>
      <c r="N1237" s="1450"/>
      <c r="O1237" s="1449"/>
      <c r="P1237" s="1447"/>
      <c r="Q1237" s="1300"/>
      <c r="R1237" s="1300"/>
      <c r="S1237" s="1300"/>
    </row>
    <row r="1238" spans="1:19" s="1081" customFormat="1" hidden="1" outlineLevel="1">
      <c r="A1238" s="1072" t="str">
        <f t="shared" ref="A1238:A1256" si="273">IF(G1238&lt;&gt;0,1,"")</f>
        <v/>
      </c>
      <c r="B1238" s="1452"/>
      <c r="C1238" s="1453">
        <f>IF(G1238&gt;0,1,0)</f>
        <v>0</v>
      </c>
      <c r="D1238" s="1198"/>
      <c r="E1238" s="1454" t="s">
        <v>3377</v>
      </c>
      <c r="F1238" s="1455" t="s">
        <v>1133</v>
      </c>
      <c r="G1238" s="1456">
        <f>G1226*2*0</f>
        <v>0</v>
      </c>
      <c r="H1238" s="1455"/>
      <c r="I1238" s="1455"/>
      <c r="J1238" s="1455"/>
      <c r="K1238" s="1455"/>
      <c r="L1238" s="1456"/>
      <c r="M1238" s="1456"/>
      <c r="N1238" s="1456"/>
      <c r="O1238" s="1457"/>
      <c r="P1238" s="1437"/>
      <c r="Q1238" s="1300"/>
      <c r="R1238" s="1300"/>
      <c r="S1238" s="1300"/>
    </row>
    <row r="1239" spans="1:19" s="1081" customFormat="1" hidden="1" outlineLevel="1">
      <c r="A1239" s="1072" t="str">
        <f t="shared" si="273"/>
        <v/>
      </c>
      <c r="B1239" s="1421" t="s">
        <v>1012</v>
      </c>
      <c r="C1239" s="1458"/>
      <c r="D1239" s="1198"/>
      <c r="E1239" s="1459" t="str">
        <f>VLOOKUP($B1239,dongia1,DG!$C$5,)</f>
        <v>Trụ BTLT 12m F350 dự ứng lực</v>
      </c>
      <c r="F1239" s="1198" t="str">
        <f>VLOOKUP($B1239,dongia1,DG!$D$5,)</f>
        <v>trụ</v>
      </c>
      <c r="G1239" s="1198">
        <f>G1238</f>
        <v>0</v>
      </c>
      <c r="H1239" s="1399">
        <f>VLOOKUP($B1239,dongia1,DG!$F$5,)</f>
        <v>4400000</v>
      </c>
      <c r="I1239" s="1291"/>
      <c r="J1239" s="1399"/>
      <c r="K1239" s="1291"/>
      <c r="L1239" s="1400">
        <f>H1239*G1239</f>
        <v>0</v>
      </c>
      <c r="M1239" s="1400">
        <f>I1239*G1239</f>
        <v>0</v>
      </c>
      <c r="N1239" s="1400">
        <f>J1239*G1239</f>
        <v>0</v>
      </c>
      <c r="O1239" s="1400">
        <f>K1239*G1239</f>
        <v>0</v>
      </c>
      <c r="P1239" s="1437"/>
      <c r="Q1239" s="1300"/>
      <c r="R1239" s="1300"/>
      <c r="S1239" s="1300"/>
    </row>
    <row r="1240" spans="1:19" s="1081" customFormat="1" hidden="1" outlineLevel="1">
      <c r="A1240" s="1072" t="str">
        <f t="shared" si="273"/>
        <v/>
      </c>
      <c r="B1240" s="1421" t="s">
        <v>1457</v>
      </c>
      <c r="C1240" s="1458"/>
      <c r="D1240" s="1198"/>
      <c r="E1240" s="1459" t="str">
        <f>VLOOKUP($B1240,dongia1,DG!$C$5,)</f>
        <v>Vật liệu dựng trụ</v>
      </c>
      <c r="F1240" s="1198" t="str">
        <f>VLOOKUP($B1240,dongia1,DG!$D$5,)</f>
        <v>trụ</v>
      </c>
      <c r="G1240" s="1198">
        <f>G1239</f>
        <v>0</v>
      </c>
      <c r="H1240" s="1399">
        <f>VLOOKUP($B1240,dongia1,DG!$F$5,)</f>
        <v>17400</v>
      </c>
      <c r="I1240" s="1399"/>
      <c r="J1240" s="1291"/>
      <c r="K1240" s="1291"/>
      <c r="L1240" s="1400">
        <f>H1240*G1240</f>
        <v>0</v>
      </c>
      <c r="M1240" s="1400">
        <f>I1240*G1240</f>
        <v>0</v>
      </c>
      <c r="N1240" s="1400">
        <f>J1240*G1240</f>
        <v>0</v>
      </c>
      <c r="O1240" s="1400">
        <f>K1240*G1240</f>
        <v>0</v>
      </c>
      <c r="P1240" s="1437"/>
      <c r="Q1240" s="1300"/>
      <c r="R1240" s="1300"/>
      <c r="S1240" s="1300"/>
    </row>
    <row r="1241" spans="1:19" s="1081" customFormat="1" hidden="1" outlineLevel="1">
      <c r="A1241" s="1072" t="str">
        <f t="shared" si="273"/>
        <v/>
      </c>
      <c r="B1241" s="1421" t="s">
        <v>1701</v>
      </c>
      <c r="C1241" s="1458"/>
      <c r="D1241" s="1198" t="str">
        <f>VLOOKUP($B1241,dongia1,DG!$B$5,)</f>
        <v>04.9203</v>
      </c>
      <c r="E1241" s="1459" t="str">
        <f>VLOOKUP($B1241,dongia1,DG!$C$5,)</f>
        <v>Dựng trụ BTLT 12m trong TBA bằng thủ công + cơ giới</v>
      </c>
      <c r="F1241" s="1198" t="str">
        <f>VLOOKUP($B1241,dongia1,DG!$D$5,)</f>
        <v>trụ</v>
      </c>
      <c r="G1241" s="1198">
        <f>G1239</f>
        <v>0</v>
      </c>
      <c r="H1241" s="1459"/>
      <c r="I1241" s="1399"/>
      <c r="J1241" s="1399">
        <f>VLOOKUP($B1241,dongia1,DG!$G$5,)</f>
        <v>112286</v>
      </c>
      <c r="K1241" s="1399">
        <f>VLOOKUP($B1241,dongia1,DG!$H$5,)</f>
        <v>105970</v>
      </c>
      <c r="L1241" s="1400">
        <f>H1241*G1241</f>
        <v>0</v>
      </c>
      <c r="M1241" s="1400">
        <f>I1241*G1241</f>
        <v>0</v>
      </c>
      <c r="N1241" s="1400">
        <f>J1241*G1241</f>
        <v>0</v>
      </c>
      <c r="O1241" s="1400">
        <f>K1241*G1241</f>
        <v>0</v>
      </c>
      <c r="P1241" s="1437"/>
      <c r="Q1241" s="1300"/>
      <c r="R1241" s="1300"/>
      <c r="S1241" s="1300"/>
    </row>
    <row r="1242" spans="1:19" s="1081" customFormat="1" hidden="1" outlineLevel="1">
      <c r="A1242" s="1072" t="str">
        <f>IF(G1242&lt;&gt;0,1,"")</f>
        <v/>
      </c>
      <c r="B1242" s="1452"/>
      <c r="C1242" s="1453">
        <f>IF(G1242&gt;0,1,0)</f>
        <v>0</v>
      </c>
      <c r="D1242" s="1198"/>
      <c r="E1242" s="1454" t="s">
        <v>3389</v>
      </c>
      <c r="F1242" s="1455" t="s">
        <v>1133</v>
      </c>
      <c r="G1242" s="1456">
        <f>G1226*2*0</f>
        <v>0</v>
      </c>
      <c r="H1242" s="1455"/>
      <c r="I1242" s="1455"/>
      <c r="J1242" s="1455"/>
      <c r="K1242" s="1455"/>
      <c r="L1242" s="1456"/>
      <c r="M1242" s="1456"/>
      <c r="N1242" s="1456"/>
      <c r="O1242" s="1457"/>
      <c r="P1242" s="1299"/>
      <c r="Q1242" s="1300"/>
      <c r="R1242" s="1300"/>
      <c r="S1242" s="1300"/>
    </row>
    <row r="1243" spans="1:19" s="1081" customFormat="1" hidden="1" outlineLevel="1">
      <c r="A1243" s="1072" t="str">
        <f>IF(G1243&lt;&gt;0,1,"")</f>
        <v/>
      </c>
      <c r="B1243" s="1421" t="s">
        <v>1011</v>
      </c>
      <c r="C1243" s="1458"/>
      <c r="D1243" s="1198"/>
      <c r="E1243" s="1459" t="str">
        <f>VLOOKUP($B1243,dongia1,DG!$C$5,)</f>
        <v>Trụ BTLT 10,5m F350 dự ứng lực</v>
      </c>
      <c r="F1243" s="1198" t="str">
        <f>VLOOKUP($B1243,dongia1,DG!$D$5,)</f>
        <v>trụ</v>
      </c>
      <c r="G1243" s="1198">
        <f>G1242</f>
        <v>0</v>
      </c>
      <c r="H1243" s="1399">
        <f>VLOOKUP($B1243,dongia1,DG!$F$5,)</f>
        <v>4200000</v>
      </c>
      <c r="I1243" s="1291"/>
      <c r="J1243" s="1399"/>
      <c r="K1243" s="1291"/>
      <c r="L1243" s="1400">
        <f>H1243*G1243</f>
        <v>0</v>
      </c>
      <c r="M1243" s="1400">
        <f>I1243*G1243</f>
        <v>0</v>
      </c>
      <c r="N1243" s="1400">
        <f>J1243*G1243</f>
        <v>0</v>
      </c>
      <c r="O1243" s="1400">
        <f>K1243*G1243</f>
        <v>0</v>
      </c>
      <c r="P1243" s="1299"/>
      <c r="Q1243" s="1300"/>
      <c r="R1243" s="1300"/>
      <c r="S1243" s="1300"/>
    </row>
    <row r="1244" spans="1:19" s="1081" customFormat="1" hidden="1" outlineLevel="1">
      <c r="A1244" s="1072" t="str">
        <f>IF(G1244&lt;&gt;0,1,"")</f>
        <v/>
      </c>
      <c r="B1244" s="1421" t="s">
        <v>1457</v>
      </c>
      <c r="C1244" s="1458"/>
      <c r="D1244" s="1198"/>
      <c r="E1244" s="1459" t="str">
        <f>VLOOKUP($B1244,dongia1,DG!$C$5,)</f>
        <v>Vật liệu dựng trụ</v>
      </c>
      <c r="F1244" s="1198" t="str">
        <f>VLOOKUP($B1244,dongia1,DG!$D$5,)</f>
        <v>trụ</v>
      </c>
      <c r="G1244" s="1198">
        <f>G1243</f>
        <v>0</v>
      </c>
      <c r="H1244" s="1399">
        <f>VLOOKUP($B1244,dongia1,DG!$F$5,)</f>
        <v>17400</v>
      </c>
      <c r="I1244" s="1399"/>
      <c r="J1244" s="1291"/>
      <c r="K1244" s="1291"/>
      <c r="L1244" s="1400">
        <f>H1244*G1244</f>
        <v>0</v>
      </c>
      <c r="M1244" s="1400">
        <f>I1244*G1244</f>
        <v>0</v>
      </c>
      <c r="N1244" s="1400">
        <f>J1244*G1244</f>
        <v>0</v>
      </c>
      <c r="O1244" s="1400">
        <f>K1244*G1244</f>
        <v>0</v>
      </c>
      <c r="P1244" s="1299"/>
      <c r="Q1244" s="1300"/>
      <c r="R1244" s="1300"/>
      <c r="S1244" s="1300"/>
    </row>
    <row r="1245" spans="1:19" s="1081" customFormat="1" hidden="1" outlineLevel="1">
      <c r="A1245" s="1072" t="str">
        <f>IF(G1245&lt;&gt;0,1,"")</f>
        <v/>
      </c>
      <c r="B1245" s="1421" t="s">
        <v>1702</v>
      </c>
      <c r="C1245" s="1458"/>
      <c r="D1245" s="1198" t="str">
        <f>VLOOKUP($B1245,dongia1,DG!$B$5,)</f>
        <v>04.9203</v>
      </c>
      <c r="E1245" s="1459" t="str">
        <f>VLOOKUP($B1245,dongia1,DG!$C$5,)</f>
        <v>Dựng trụ BTLT 10,5m trong TBA bằng thủ công + cơ giới</v>
      </c>
      <c r="F1245" s="1198" t="str">
        <f>VLOOKUP($B1245,dongia1,DG!$D$5,)</f>
        <v>trụ</v>
      </c>
      <c r="G1245" s="1198">
        <f>G1243</f>
        <v>0</v>
      </c>
      <c r="H1245" s="1459"/>
      <c r="I1245" s="1399"/>
      <c r="J1245" s="1399">
        <f>VLOOKUP($B1245,dongia1,DG!$G$5,)</f>
        <v>112286</v>
      </c>
      <c r="K1245" s="1399">
        <f>VLOOKUP($B1245,dongia1,DG!$H$5,)</f>
        <v>105970</v>
      </c>
      <c r="L1245" s="1400">
        <f>H1245*G1245</f>
        <v>0</v>
      </c>
      <c r="M1245" s="1400">
        <f>I1245*G1245</f>
        <v>0</v>
      </c>
      <c r="N1245" s="1400">
        <f>J1245*G1245</f>
        <v>0</v>
      </c>
      <c r="O1245" s="1400">
        <f>K1245*G1245</f>
        <v>0</v>
      </c>
      <c r="P1245" s="1299"/>
      <c r="Q1245" s="1300"/>
      <c r="R1245" s="1300"/>
      <c r="S1245" s="1300"/>
    </row>
    <row r="1246" spans="1:19" s="1081" customFormat="1" hidden="1" outlineLevel="1">
      <c r="A1246" s="1072" t="str">
        <f t="shared" si="273"/>
        <v/>
      </c>
      <c r="B1246" s="1421"/>
      <c r="C1246" s="1291">
        <f>IF(G1246&gt;0,C1238+1,C1238)</f>
        <v>0</v>
      </c>
      <c r="D1246" s="1198"/>
      <c r="E1246" s="1454" t="s">
        <v>3390</v>
      </c>
      <c r="F1246" s="1455" t="s">
        <v>3391</v>
      </c>
      <c r="G1246" s="1460">
        <f>G1238</f>
        <v>0</v>
      </c>
      <c r="H1246" s="1291"/>
      <c r="I1246" s="1291"/>
      <c r="J1246" s="1291"/>
      <c r="K1246" s="1291"/>
      <c r="L1246" s="1291"/>
      <c r="M1246" s="1291"/>
      <c r="N1246" s="1291"/>
      <c r="O1246" s="1461"/>
      <c r="P1246" s="1437"/>
      <c r="Q1246" s="1300"/>
      <c r="R1246" s="1300"/>
      <c r="S1246" s="1300"/>
    </row>
    <row r="1247" spans="1:19" s="1081" customFormat="1" hidden="1" outlineLevel="1">
      <c r="A1247" s="1072" t="str">
        <f t="shared" si="273"/>
        <v/>
      </c>
      <c r="B1247" s="1421" t="s">
        <v>580</v>
      </c>
      <c r="C1247" s="1458"/>
      <c r="D1247" s="1198" t="str">
        <f>VLOOKUP($B1247,dongia1,DG!$B$5,)</f>
        <v>AG.42111</v>
      </c>
      <c r="E1247" s="1459" t="str">
        <f>VLOOKUP($B1247,dongia1,DG!$C$5,)</f>
        <v>Đà cản BTCT 1,2m</v>
      </c>
      <c r="F1247" s="1198" t="str">
        <f>VLOOKUP($B1247,dongia1,DG!$D$5,)</f>
        <v>cái</v>
      </c>
      <c r="G1247" s="1198">
        <f>G1246</f>
        <v>0</v>
      </c>
      <c r="H1247" s="1399">
        <f>VLOOKUP($B1247,dongia1,DG!$F$5,)</f>
        <v>354545</v>
      </c>
      <c r="I1247" s="1399"/>
      <c r="J1247" s="1399">
        <f>VLOOKUP($B1247,dongia1,DG!$G$5,)</f>
        <v>37220.25</v>
      </c>
      <c r="K1247" s="1291"/>
      <c r="L1247" s="1400">
        <f>H1247*G1247</f>
        <v>0</v>
      </c>
      <c r="M1247" s="1400">
        <f>I1247*G1247</f>
        <v>0</v>
      </c>
      <c r="N1247" s="1400">
        <f>J1247*G1247</f>
        <v>0</v>
      </c>
      <c r="O1247" s="1400">
        <f>K1247*G1247</f>
        <v>0</v>
      </c>
      <c r="P1247" s="1437"/>
      <c r="Q1247" s="1300"/>
      <c r="R1247" s="1300"/>
      <c r="S1247" s="1300"/>
    </row>
    <row r="1248" spans="1:19" s="1081" customFormat="1" hidden="1" outlineLevel="1">
      <c r="A1248" s="1072" t="str">
        <f t="shared" si="273"/>
        <v/>
      </c>
      <c r="B1248" s="1421" t="s">
        <v>952</v>
      </c>
      <c r="C1248" s="1458"/>
      <c r="D1248" s="1198"/>
      <c r="E1248" s="1459" t="str">
        <f>VLOOKUP($B1248,dongia1,DG!$C$5,)</f>
        <v>Boulon 22x650+ 2 long đền vuông D24-60x60x3/Zn</v>
      </c>
      <c r="F1248" s="1198" t="str">
        <f>VLOOKUP($B1248,dongia1,DG!$D$5,)</f>
        <v>bộ</v>
      </c>
      <c r="G1248" s="1198">
        <f>G1247</f>
        <v>0</v>
      </c>
      <c r="H1248" s="1399">
        <f>VLOOKUP($B1248,dongia1,DG!$F$5,)</f>
        <v>92200</v>
      </c>
      <c r="I1248" s="1459"/>
      <c r="J1248" s="1459"/>
      <c r="K1248" s="1291"/>
      <c r="L1248" s="1400">
        <f>H1248*G1248</f>
        <v>0</v>
      </c>
      <c r="M1248" s="1400">
        <f>I1248*G1248</f>
        <v>0</v>
      </c>
      <c r="N1248" s="1400">
        <f>J1248*G1248</f>
        <v>0</v>
      </c>
      <c r="O1248" s="1400">
        <f>K1248*G1248</f>
        <v>0</v>
      </c>
      <c r="P1248" s="1437"/>
      <c r="Q1248" s="1300"/>
      <c r="R1248" s="1300"/>
      <c r="S1248" s="1300"/>
    </row>
    <row r="1249" spans="1:21" s="1081" customFormat="1" hidden="1" outlineLevel="1">
      <c r="A1249" s="1072" t="str">
        <f t="shared" si="273"/>
        <v/>
      </c>
      <c r="B1249" s="1421" t="str">
        <f>IF(capdat=1,"MDD1",IF(capdat=2,"MDD2",IF(capdat=3,"MDD3",IF(capdat=4,"MDD4"))))</f>
        <v>MDD3</v>
      </c>
      <c r="C1249" s="1458"/>
      <c r="D1249" s="1198" t="str">
        <f>VLOOKUP($B1249,dongia1,DG!$B$5,)</f>
        <v>03.1013</v>
      </c>
      <c r="E1249" s="1459" t="str">
        <f>VLOOKUP($B1249,dongia1,DG!$C$5,)</f>
        <v>Đào hố móng đất cấp 3 sâu &gt;1m DT&lt;5m2</v>
      </c>
      <c r="F1249" s="1198" t="str">
        <f>VLOOKUP($B1249,dongia1,DG!$D$5,)</f>
        <v>m3</v>
      </c>
      <c r="G1249" s="1198">
        <f>1.45*G1247</f>
        <v>0</v>
      </c>
      <c r="H1249" s="1399">
        <f>VLOOKUP($B1249,dongia1,DG!$F$5,)</f>
        <v>0</v>
      </c>
      <c r="I1249" s="1399"/>
      <c r="J1249" s="1399">
        <f>VLOOKUP($B1249,dongia1,DG!$G$5,)</f>
        <v>296500.89999999997</v>
      </c>
      <c r="K1249" s="1291"/>
      <c r="L1249" s="1400">
        <f>H1249*G1249</f>
        <v>0</v>
      </c>
      <c r="M1249" s="1400">
        <f>I1249*G1249</f>
        <v>0</v>
      </c>
      <c r="N1249" s="1400">
        <f>J1249*G1249</f>
        <v>0</v>
      </c>
      <c r="O1249" s="1400">
        <f>K1249*G1249</f>
        <v>0</v>
      </c>
      <c r="P1249" s="1437"/>
      <c r="Q1249" s="1300"/>
      <c r="R1249" s="1300"/>
      <c r="S1249" s="1300"/>
    </row>
    <row r="1250" spans="1:21" s="1081" customFormat="1" hidden="1" outlineLevel="1">
      <c r="A1250" s="1072" t="str">
        <f t="shared" si="273"/>
        <v/>
      </c>
      <c r="B1250" s="1421" t="str">
        <f>IF(capdat=1,"MDAP1",IF(capdat=2,"MDAP2",IF(capdat=3,"MDAP3",IF(capdat=4,"MDAP4"))))</f>
        <v>MDAP3</v>
      </c>
      <c r="C1250" s="1458"/>
      <c r="D1250" s="1198" t="str">
        <f>VLOOKUP($B1250,dongia1,DG!$B$5,)</f>
        <v>AB.13111</v>
      </c>
      <c r="E1250" s="1459" t="str">
        <f>VLOOKUP($B1250,dongia1,DG!$C$5,)</f>
        <v>Đắp đất hố móng, đất cấp 3 (độ chặt k = 0.85)</v>
      </c>
      <c r="F1250" s="1198" t="str">
        <f>VLOOKUP($B1250,dongia1,DG!$D$5,)</f>
        <v>m3</v>
      </c>
      <c r="G1250" s="1198">
        <f>1.37*G1246</f>
        <v>0</v>
      </c>
      <c r="H1250" s="1399">
        <f>VLOOKUP($B1250,dongia1,DG!$F$5,)</f>
        <v>0</v>
      </c>
      <c r="I1250" s="1399"/>
      <c r="J1250" s="1399">
        <f>VLOOKUP($B1250,dongia1,DG!$G$5,)</f>
        <v>117703.6</v>
      </c>
      <c r="K1250" s="1291"/>
      <c r="L1250" s="1400">
        <f>H1250*G1250</f>
        <v>0</v>
      </c>
      <c r="M1250" s="1400">
        <f>I1250*G1250</f>
        <v>0</v>
      </c>
      <c r="N1250" s="1400">
        <f>J1250*G1250</f>
        <v>0</v>
      </c>
      <c r="O1250" s="1400">
        <f>K1250*G1250</f>
        <v>0</v>
      </c>
      <c r="P1250" s="1437"/>
      <c r="Q1250" s="1300"/>
      <c r="R1250" s="1300"/>
      <c r="S1250" s="1300"/>
    </row>
    <row r="1251" spans="1:21" s="1081" customFormat="1" hidden="1" outlineLevel="1">
      <c r="A1251" s="1072" t="str">
        <f>IF(G1251&lt;&gt;0,1,"")</f>
        <v/>
      </c>
      <c r="B1251" s="1421"/>
      <c r="C1251" s="1291">
        <f>IF(G1251&gt;0,C1243+1,C1243)</f>
        <v>0</v>
      </c>
      <c r="D1251" s="1198"/>
      <c r="E1251" s="1454" t="s">
        <v>3392</v>
      </c>
      <c r="F1251" s="1455" t="s">
        <v>3391</v>
      </c>
      <c r="G1251" s="1460">
        <f>G1242</f>
        <v>0</v>
      </c>
      <c r="H1251" s="1291"/>
      <c r="I1251" s="1291"/>
      <c r="J1251" s="1291"/>
      <c r="K1251" s="1291"/>
      <c r="L1251" s="1291"/>
      <c r="M1251" s="1291"/>
      <c r="N1251" s="1291"/>
      <c r="O1251" s="1461"/>
      <c r="P1251" s="1299"/>
      <c r="Q1251" s="1300"/>
      <c r="R1251" s="1300"/>
      <c r="S1251" s="1300"/>
    </row>
    <row r="1252" spans="1:21" s="1081" customFormat="1" hidden="1" outlineLevel="1">
      <c r="A1252" s="1072" t="str">
        <f>IF(G1252&lt;&gt;0,1,"")</f>
        <v/>
      </c>
      <c r="B1252" s="1421" t="s">
        <v>580</v>
      </c>
      <c r="C1252" s="1458"/>
      <c r="D1252" s="1198" t="str">
        <f>VLOOKUP($B1252,dongia1,DG!$B$5,)</f>
        <v>AG.42111</v>
      </c>
      <c r="E1252" s="1459" t="str">
        <f>VLOOKUP($B1252,dongia1,DG!$C$5,)</f>
        <v>Đà cản BTCT 1,2m</v>
      </c>
      <c r="F1252" s="1198" t="str">
        <f>VLOOKUP($B1252,dongia1,DG!$D$5,)</f>
        <v>cái</v>
      </c>
      <c r="G1252" s="1198">
        <f>G1251</f>
        <v>0</v>
      </c>
      <c r="H1252" s="1399">
        <f>VLOOKUP($B1252,dongia1,DG!$F$5,)</f>
        <v>354545</v>
      </c>
      <c r="I1252" s="1399"/>
      <c r="J1252" s="1399">
        <f>VLOOKUP($B1252,dongia1,DG!$G$5,)</f>
        <v>37220.25</v>
      </c>
      <c r="K1252" s="1291"/>
      <c r="L1252" s="1400">
        <f>H1252*G1252</f>
        <v>0</v>
      </c>
      <c r="M1252" s="1400">
        <f>I1252*G1252</f>
        <v>0</v>
      </c>
      <c r="N1252" s="1400">
        <f>J1252*G1252</f>
        <v>0</v>
      </c>
      <c r="O1252" s="1400">
        <f>K1252*G1252</f>
        <v>0</v>
      </c>
      <c r="P1252" s="1299"/>
      <c r="Q1252" s="1300"/>
      <c r="R1252" s="1300"/>
      <c r="S1252" s="1300"/>
    </row>
    <row r="1253" spans="1:21" s="1081" customFormat="1" hidden="1" outlineLevel="1">
      <c r="A1253" s="1072" t="str">
        <f>IF(G1253&lt;&gt;0,1,"")</f>
        <v/>
      </c>
      <c r="B1253" s="1421" t="s">
        <v>952</v>
      </c>
      <c r="C1253" s="1458"/>
      <c r="D1253" s="1198"/>
      <c r="E1253" s="1459" t="str">
        <f>VLOOKUP($B1253,dongia1,DG!$C$5,)</f>
        <v>Boulon 22x650+ 2 long đền vuông D24-60x60x3/Zn</v>
      </c>
      <c r="F1253" s="1198" t="str">
        <f>VLOOKUP($B1253,dongia1,DG!$D$5,)</f>
        <v>bộ</v>
      </c>
      <c r="G1253" s="1198">
        <f>G1252</f>
        <v>0</v>
      </c>
      <c r="H1253" s="1399">
        <f>VLOOKUP($B1253,dongia1,DG!$F$5,)</f>
        <v>92200</v>
      </c>
      <c r="I1253" s="1459"/>
      <c r="J1253" s="1459"/>
      <c r="K1253" s="1291"/>
      <c r="L1253" s="1400">
        <f>H1253*G1253</f>
        <v>0</v>
      </c>
      <c r="M1253" s="1400">
        <f>I1253*G1253</f>
        <v>0</v>
      </c>
      <c r="N1253" s="1400">
        <f>J1253*G1253</f>
        <v>0</v>
      </c>
      <c r="O1253" s="1400">
        <f>K1253*G1253</f>
        <v>0</v>
      </c>
      <c r="P1253" s="1299"/>
      <c r="Q1253" s="1300"/>
      <c r="R1253" s="1300"/>
      <c r="S1253" s="1300"/>
    </row>
    <row r="1254" spans="1:21" s="1081" customFormat="1" hidden="1" outlineLevel="1">
      <c r="A1254" s="1072" t="str">
        <f>IF(G1254&lt;&gt;0,1,"")</f>
        <v/>
      </c>
      <c r="B1254" s="1421" t="str">
        <f>IF(capdat=1,"MDD1",IF(capdat=2,"MDD2",IF(capdat=3,"MDD3",IF(capdat=4,"MDD4"))))</f>
        <v>MDD3</v>
      </c>
      <c r="C1254" s="1458"/>
      <c r="D1254" s="1198" t="str">
        <f>VLOOKUP($B1254,dongia1,DG!$B$5,)</f>
        <v>03.1013</v>
      </c>
      <c r="E1254" s="1459" t="str">
        <f>VLOOKUP($B1254,dongia1,DG!$C$5,)</f>
        <v>Đào hố móng đất cấp 3 sâu &gt;1m DT&lt;5m2</v>
      </c>
      <c r="F1254" s="1198" t="str">
        <f>VLOOKUP($B1254,dongia1,DG!$D$5,)</f>
        <v>m3</v>
      </c>
      <c r="G1254" s="1198">
        <f>1.48*G1252</f>
        <v>0</v>
      </c>
      <c r="H1254" s="1399">
        <f>VLOOKUP($B1254,dongia1,DG!$F$5,)</f>
        <v>0</v>
      </c>
      <c r="I1254" s="1399"/>
      <c r="J1254" s="1399">
        <f>VLOOKUP($B1254,dongia1,DG!$G$5,)</f>
        <v>296500.89999999997</v>
      </c>
      <c r="K1254" s="1291"/>
      <c r="L1254" s="1400">
        <f>H1254*G1254</f>
        <v>0</v>
      </c>
      <c r="M1254" s="1400">
        <f>I1254*G1254</f>
        <v>0</v>
      </c>
      <c r="N1254" s="1400">
        <f>J1254*G1254</f>
        <v>0</v>
      </c>
      <c r="O1254" s="1400">
        <f>K1254*G1254</f>
        <v>0</v>
      </c>
      <c r="P1254" s="1299"/>
      <c r="Q1254" s="1300"/>
      <c r="R1254" s="1300"/>
      <c r="S1254" s="1300"/>
    </row>
    <row r="1255" spans="1:21" s="1081" customFormat="1" hidden="1" outlineLevel="1">
      <c r="A1255" s="1072" t="str">
        <f>IF(G1255&lt;&gt;0,1,"")</f>
        <v/>
      </c>
      <c r="B1255" s="1421" t="str">
        <f>IF(capdat=1,"MDAP1",IF(capdat=2,"MDAP2",IF(capdat=3,"MDAP3",IF(capdat=4,"MDAP4"))))</f>
        <v>MDAP3</v>
      </c>
      <c r="C1255" s="1458"/>
      <c r="D1255" s="1198" t="str">
        <f>VLOOKUP($B1255,dongia1,DG!$B$5,)</f>
        <v>AB.13111</v>
      </c>
      <c r="E1255" s="1459" t="str">
        <f>VLOOKUP($B1255,dongia1,DG!$C$5,)</f>
        <v>Đắp đất hố móng, đất cấp 3 (độ chặt k = 0.85)</v>
      </c>
      <c r="F1255" s="1198" t="str">
        <f>VLOOKUP($B1255,dongia1,DG!$D$5,)</f>
        <v>m3</v>
      </c>
      <c r="G1255" s="1198">
        <f>1.39*G1251</f>
        <v>0</v>
      </c>
      <c r="H1255" s="1399">
        <f>VLOOKUP($B1255,dongia1,DG!$F$5,)</f>
        <v>0</v>
      </c>
      <c r="I1255" s="1399"/>
      <c r="J1255" s="1399">
        <f>VLOOKUP($B1255,dongia1,DG!$G$5,)</f>
        <v>117703.6</v>
      </c>
      <c r="K1255" s="1291"/>
      <c r="L1255" s="1400">
        <f>H1255*G1255</f>
        <v>0</v>
      </c>
      <c r="M1255" s="1400">
        <f>I1255*G1255</f>
        <v>0</v>
      </c>
      <c r="N1255" s="1400">
        <f>J1255*G1255</f>
        <v>0</v>
      </c>
      <c r="O1255" s="1400">
        <f>K1255*G1255</f>
        <v>0</v>
      </c>
      <c r="P1255" s="1299"/>
      <c r="Q1255" s="1300"/>
      <c r="R1255" s="1300"/>
      <c r="S1255" s="1300"/>
    </row>
    <row r="1256" spans="1:21" s="1081" customFormat="1" hidden="1" outlineLevel="1">
      <c r="A1256" s="1072" t="str">
        <f t="shared" si="273"/>
        <v/>
      </c>
      <c r="B1256" s="1295"/>
      <c r="C1256" s="1291">
        <f>IF(G1256&gt;0,C1246+1,C1246)</f>
        <v>0</v>
      </c>
      <c r="D1256" s="1462"/>
      <c r="E1256" s="1454" t="s">
        <v>3396</v>
      </c>
      <c r="F1256" s="1453" t="s">
        <v>2113</v>
      </c>
      <c r="G1256" s="1483">
        <f>G1226</f>
        <v>0</v>
      </c>
      <c r="H1256" s="1464"/>
      <c r="I1256" s="1464"/>
      <c r="J1256" s="1464"/>
      <c r="K1256" s="1464"/>
      <c r="L1256" s="1464"/>
      <c r="M1256" s="1464"/>
      <c r="N1256" s="1464"/>
      <c r="O1256" s="1464"/>
      <c r="P1256" s="1299"/>
      <c r="Q1256" s="1300">
        <f>+SUM(L1258:L1264)</f>
        <v>0</v>
      </c>
      <c r="R1256" s="1300">
        <f>+SUM(M1258:M1264)</f>
        <v>0</v>
      </c>
      <c r="S1256" s="1300">
        <f>+SUM(N1258:N1264)</f>
        <v>0</v>
      </c>
      <c r="T1256" s="1300">
        <f>+SUM(O1258:O1264)</f>
        <v>0</v>
      </c>
      <c r="U1256" s="1300">
        <f>+SUM(P1258:P1264)</f>
        <v>0</v>
      </c>
    </row>
    <row r="1257" spans="1:21" s="1081" customFormat="1" ht="14.4" hidden="1" outlineLevel="1">
      <c r="A1257" s="1072" t="str">
        <f>A1256</f>
        <v/>
      </c>
      <c r="B1257" s="1295"/>
      <c r="C1257" s="1291"/>
      <c r="D1257" s="1465"/>
      <c r="E1257" s="1301" t="s">
        <v>3399</v>
      </c>
      <c r="F1257" s="1302"/>
      <c r="G1257" s="1481"/>
      <c r="H1257" s="1466"/>
      <c r="I1257" s="1466"/>
      <c r="J1257" s="1466"/>
      <c r="K1257" s="1466"/>
      <c r="L1257" s="1466"/>
      <c r="M1257" s="1466"/>
      <c r="N1257" s="1466"/>
      <c r="O1257" s="1466"/>
      <c r="P1257" s="1299"/>
      <c r="Q1257" s="1300"/>
      <c r="R1257" s="1300"/>
      <c r="S1257" s="1300"/>
    </row>
    <row r="1258" spans="1:21" s="1081" customFormat="1" hidden="1" outlineLevel="1">
      <c r="A1258" s="1072" t="str">
        <f t="shared" ref="A1258:A1263" si="274">IF(G1258&lt;&gt;0,1,"")</f>
        <v/>
      </c>
      <c r="B1258" s="1068" t="s">
        <v>1307</v>
      </c>
      <c r="C1258" s="1291"/>
      <c r="D1258" s="1198">
        <f>VLOOKUP($B1258,dongia1,DG!$B$5,)</f>
        <v>0</v>
      </c>
      <c r="E1258" s="1243" t="str">
        <f>VLOOKUP($B1258,dongia1,DG!$C$5,)&amp;": 2 cái"</f>
        <v>Đà U160x68x5x2800 đỡ MBA: 2 cái</v>
      </c>
      <c r="F1258" s="1198" t="str">
        <f>VLOOKUP($B1258,dongia1,DG!$D$5,)</f>
        <v>kg</v>
      </c>
      <c r="G1258" s="1481">
        <f>2*G1256</f>
        <v>0</v>
      </c>
      <c r="H1258" s="1399">
        <f>VLOOKUP($B1258,dongia1,DG!$F$5,)</f>
        <v>31625</v>
      </c>
      <c r="I1258" s="1467"/>
      <c r="J1258" s="1399"/>
      <c r="K1258" s="1399">
        <f>VLOOKUP($B1258,dongia1,DG!$H$5,)</f>
        <v>0</v>
      </c>
      <c r="L1258" s="1400">
        <f t="shared" ref="L1258:L1263" si="275">H1258*G1258</f>
        <v>0</v>
      </c>
      <c r="M1258" s="1400">
        <f t="shared" ref="M1258:M1264" si="276">I1258*G1258</f>
        <v>0</v>
      </c>
      <c r="N1258" s="1399"/>
      <c r="O1258" s="1400">
        <f t="shared" ref="O1258:O1264" si="277">K1258*G1258</f>
        <v>0</v>
      </c>
      <c r="P1258" s="1299"/>
      <c r="Q1258" s="1300"/>
      <c r="R1258" s="1300"/>
      <c r="S1258" s="1300"/>
    </row>
    <row r="1259" spans="1:21" s="1081" customFormat="1" hidden="1" outlineLevel="1">
      <c r="A1259" s="1072" t="str">
        <f t="shared" si="274"/>
        <v/>
      </c>
      <c r="B1259" s="1068" t="s">
        <v>1308</v>
      </c>
      <c r="C1259" s="1291"/>
      <c r="D1259" s="1198">
        <f>VLOOKUP($B1259,dongia1,DG!$B$5,)</f>
        <v>0</v>
      </c>
      <c r="E1259" s="1243" t="str">
        <f>VLOOKUP($B1259,dongia1,DG!$C$5,)&amp;": 4 cái"</f>
        <v>Đà U100x46x4,5x400 : 4 cái</v>
      </c>
      <c r="F1259" s="1198" t="str">
        <f>VLOOKUP($B1259,dongia1,DG!$D$5,)</f>
        <v>kg</v>
      </c>
      <c r="G1259" s="1481">
        <f>4*G1256</f>
        <v>0</v>
      </c>
      <c r="H1259" s="1399">
        <f>VLOOKUP($B1259,dongia1,DG!$F$5,)</f>
        <v>31625</v>
      </c>
      <c r="I1259" s="1467"/>
      <c r="J1259" s="1399"/>
      <c r="K1259" s="1399">
        <f>VLOOKUP($B1259,dongia1,DG!$H$5,)</f>
        <v>0</v>
      </c>
      <c r="L1259" s="1400">
        <f t="shared" si="275"/>
        <v>0</v>
      </c>
      <c r="M1259" s="1400">
        <f t="shared" si="276"/>
        <v>0</v>
      </c>
      <c r="N1259" s="1399"/>
      <c r="O1259" s="1400">
        <f t="shared" si="277"/>
        <v>0</v>
      </c>
      <c r="P1259" s="1299"/>
      <c r="Q1259" s="1300"/>
      <c r="R1259" s="1300"/>
      <c r="S1259" s="1300"/>
    </row>
    <row r="1260" spans="1:21" s="1081" customFormat="1" hidden="1" outlineLevel="1">
      <c r="A1260" s="1072" t="str">
        <f t="shared" si="274"/>
        <v/>
      </c>
      <c r="B1260" s="1068" t="s">
        <v>1309</v>
      </c>
      <c r="C1260" s="1291"/>
      <c r="D1260" s="1198">
        <f>VLOOKUP($B1260,dongia1,DG!$B$5,)</f>
        <v>0</v>
      </c>
      <c r="E1260" s="1243" t="str">
        <f>VLOOKUP($B1260,dongia1,DG!$C$5,)&amp;": 2 cái"</f>
        <v>Đà U100x46x4,5x800 : 2 cái</v>
      </c>
      <c r="F1260" s="1198" t="str">
        <f>VLOOKUP($B1260,dongia1,DG!$D$5,)</f>
        <v>kg</v>
      </c>
      <c r="G1260" s="1481">
        <f>2*G1256</f>
        <v>0</v>
      </c>
      <c r="H1260" s="1399">
        <f>VLOOKUP($B1260,dongia1,DG!$F$5,)</f>
        <v>31625</v>
      </c>
      <c r="I1260" s="1467"/>
      <c r="J1260" s="1399"/>
      <c r="K1260" s="1399">
        <f>VLOOKUP($B1260,dongia1,DG!$H$5,)</f>
        <v>0</v>
      </c>
      <c r="L1260" s="1400">
        <f t="shared" si="275"/>
        <v>0</v>
      </c>
      <c r="M1260" s="1400">
        <f t="shared" si="276"/>
        <v>0</v>
      </c>
      <c r="N1260" s="1399"/>
      <c r="O1260" s="1400">
        <f t="shared" si="277"/>
        <v>0</v>
      </c>
      <c r="P1260" s="1299"/>
      <c r="Q1260" s="1300"/>
      <c r="R1260" s="1300"/>
      <c r="S1260" s="1300"/>
    </row>
    <row r="1261" spans="1:21" s="1081" customFormat="1" hidden="1" outlineLevel="1">
      <c r="A1261" s="1072" t="str">
        <f t="shared" si="274"/>
        <v/>
      </c>
      <c r="B1261" s="1295" t="s">
        <v>1039</v>
      </c>
      <c r="C1261" s="1291"/>
      <c r="D1261" s="1198">
        <f>VLOOKUP($B1261,dongia1,DG!$B$5,)</f>
        <v>0</v>
      </c>
      <c r="E1261" s="1243" t="str">
        <f>VLOOKUP($B1261,dongia1,DG!$C$5,)</f>
        <v>Boulon 16x400VRS+ 4 long đền vuông D18-50x50x3/Zn</v>
      </c>
      <c r="F1261" s="1198" t="str">
        <f>VLOOKUP($B1261,dongia1,DG!$D$5,)</f>
        <v>bộ</v>
      </c>
      <c r="G1261" s="1481">
        <f>$G$1256*10</f>
        <v>0</v>
      </c>
      <c r="H1261" s="1399">
        <f>VLOOKUP($B1261,dongia1,DG!$F$5,)</f>
        <v>34800</v>
      </c>
      <c r="I1261" s="1467"/>
      <c r="J1261" s="1399">
        <f>VLOOKUP($B1261,dongia1,DG!$G$5,)</f>
        <v>0</v>
      </c>
      <c r="K1261" s="1399">
        <f>VLOOKUP($B1261,dongia1,DG!$H$5,)</f>
        <v>0</v>
      </c>
      <c r="L1261" s="1400">
        <f t="shared" si="275"/>
        <v>0</v>
      </c>
      <c r="M1261" s="1400">
        <f t="shared" si="276"/>
        <v>0</v>
      </c>
      <c r="N1261" s="1400">
        <f t="shared" ref="N1261:N1268" si="278">J1261*G1261</f>
        <v>0</v>
      </c>
      <c r="O1261" s="1400">
        <f t="shared" si="277"/>
        <v>0</v>
      </c>
      <c r="P1261" s="1299"/>
      <c r="Q1261" s="1300"/>
      <c r="R1261" s="1300"/>
      <c r="S1261" s="1300"/>
    </row>
    <row r="1262" spans="1:21" s="1081" customFormat="1" hidden="1" outlineLevel="1">
      <c r="A1262" s="1072" t="str">
        <f t="shared" si="274"/>
        <v/>
      </c>
      <c r="B1262" s="1295" t="s">
        <v>82</v>
      </c>
      <c r="C1262" s="1291"/>
      <c r="D1262" s="1198">
        <f>VLOOKUP($B1262,dongia1,DG!$B$5,)</f>
        <v>0</v>
      </c>
      <c r="E1262" s="1243" t="str">
        <f>VLOOKUP($B1262,dongia1,DG!$C$5,)</f>
        <v>Boulon 16x400+ 2 long đền vuông D18-50x50x3/Zn</v>
      </c>
      <c r="F1262" s="1198" t="str">
        <f>VLOOKUP($B1262,dongia1,DG!$D$5,)</f>
        <v>bộ</v>
      </c>
      <c r="G1262" s="1481">
        <f>$G$1256*2</f>
        <v>0</v>
      </c>
      <c r="H1262" s="1399">
        <f>VLOOKUP($B1262,dongia1,DG!$F$5,)</f>
        <v>29900</v>
      </c>
      <c r="I1262" s="1467"/>
      <c r="J1262" s="1399">
        <f>VLOOKUP($B1262,dongia1,DG!$G$5,)</f>
        <v>0</v>
      </c>
      <c r="K1262" s="1399">
        <f>VLOOKUP($B1262,dongia1,DG!$H$5,)</f>
        <v>0</v>
      </c>
      <c r="L1262" s="1400">
        <f t="shared" si="275"/>
        <v>0</v>
      </c>
      <c r="M1262" s="1400">
        <f t="shared" si="276"/>
        <v>0</v>
      </c>
      <c r="N1262" s="1400">
        <f t="shared" si="278"/>
        <v>0</v>
      </c>
      <c r="O1262" s="1400">
        <f t="shared" si="277"/>
        <v>0</v>
      </c>
      <c r="P1262" s="1299"/>
      <c r="Q1262" s="1300"/>
      <c r="R1262" s="1300"/>
      <c r="S1262" s="1300"/>
    </row>
    <row r="1263" spans="1:21" s="1081" customFormat="1" hidden="1" outlineLevel="1">
      <c r="A1263" s="1072" t="str">
        <f t="shared" si="274"/>
        <v/>
      </c>
      <c r="B1263" s="1295" t="s">
        <v>733</v>
      </c>
      <c r="C1263" s="1291"/>
      <c r="D1263" s="1198">
        <f>VLOOKUP($B1263,dongia1,DG!$B$5,)</f>
        <v>0</v>
      </c>
      <c r="E1263" s="1243" t="str">
        <f>VLOOKUP($B1263,dongia1,DG!$C$5,)</f>
        <v>Boulon 16x350+ 2 long đền vuông D18-50x50x3/Zn</v>
      </c>
      <c r="F1263" s="1198" t="str">
        <f>VLOOKUP($B1263,dongia1,DG!$D$5,)</f>
        <v>bộ</v>
      </c>
      <c r="G1263" s="1481">
        <f>$G$1256*12</f>
        <v>0</v>
      </c>
      <c r="H1263" s="1399">
        <f>VLOOKUP($B1263,dongia1,DG!$F$5,)</f>
        <v>27900</v>
      </c>
      <c r="I1263" s="1467"/>
      <c r="J1263" s="1399">
        <f>VLOOKUP($B1263,dongia1,DG!$G$5,)</f>
        <v>0</v>
      </c>
      <c r="K1263" s="1399">
        <f>VLOOKUP($B1263,dongia1,DG!$H$5,)</f>
        <v>0</v>
      </c>
      <c r="L1263" s="1400">
        <f t="shared" si="275"/>
        <v>0</v>
      </c>
      <c r="M1263" s="1400">
        <f t="shared" si="276"/>
        <v>0</v>
      </c>
      <c r="N1263" s="1400">
        <f t="shared" si="278"/>
        <v>0</v>
      </c>
      <c r="O1263" s="1400">
        <f t="shared" si="277"/>
        <v>0</v>
      </c>
      <c r="P1263" s="1299"/>
      <c r="Q1263" s="1300"/>
      <c r="R1263" s="1300"/>
      <c r="S1263" s="1300"/>
    </row>
    <row r="1264" spans="1:21" s="1081" customFormat="1" hidden="1" outlineLevel="1">
      <c r="A1264" s="1072" t="str">
        <f>IF(G1264&lt;&gt;0,1,"")</f>
        <v/>
      </c>
      <c r="B1264" s="1066" t="s">
        <v>4552</v>
      </c>
      <c r="C1264" s="1291"/>
      <c r="D1264" s="1198" t="str">
        <f>VLOOKUP($B1264,dongia1,DG!$B$5,)</f>
        <v>T4.9302</v>
      </c>
      <c r="E1264" s="1243" t="str">
        <f>VLOOKUP($B1264,dongia1,DG!$C$5,)</f>
        <v>Lắp xà thép trong phạm vi trạm</v>
      </c>
      <c r="F1264" s="1198" t="str">
        <f>VLOOKUP($B1264,dongia1,DG!$D$5,)</f>
        <v>kg</v>
      </c>
      <c r="G1264" s="1481"/>
      <c r="H1264" s="1399">
        <f>VLOOKUP($B1264,dongia1,DG!$F$5,)</f>
        <v>0</v>
      </c>
      <c r="I1264" s="1467"/>
      <c r="J1264" s="1399">
        <f>VLOOKUP($B1264,dongia1,DG!$G$5,)</f>
        <v>2025</v>
      </c>
      <c r="K1264" s="1399">
        <f>VLOOKUP($B1264,dongia1,DG!$H$5,)</f>
        <v>0</v>
      </c>
      <c r="L1264" s="1400">
        <f>H1264*G1264</f>
        <v>0</v>
      </c>
      <c r="M1264" s="1400">
        <f t="shared" si="276"/>
        <v>0</v>
      </c>
      <c r="N1264" s="1399">
        <f>VLOOKUP($B1264,dongia1,DG!$G$5,)*G1264</f>
        <v>0</v>
      </c>
      <c r="O1264" s="1400">
        <f t="shared" si="277"/>
        <v>0</v>
      </c>
      <c r="P1264" s="1299"/>
      <c r="Q1264" s="1300"/>
      <c r="R1264" s="1300"/>
      <c r="S1264" s="1300"/>
    </row>
    <row r="1265" spans="1:20" s="1081" customFormat="1" hidden="1" outlineLevel="1">
      <c r="A1265" s="1072" t="str">
        <f>IF(G1265&lt;&gt;0,1,"")</f>
        <v/>
      </c>
      <c r="B1265" s="1295"/>
      <c r="C1265" s="1291">
        <f>IF(G1265&gt;0,C1256+1,C1256)</f>
        <v>0</v>
      </c>
      <c r="D1265" s="1292"/>
      <c r="E1265" s="1468" t="s">
        <v>4069</v>
      </c>
      <c r="F1265" s="1291" t="s">
        <v>2113</v>
      </c>
      <c r="G1265" s="1294">
        <f>+G1256*2</f>
        <v>0</v>
      </c>
      <c r="H1265" s="1467"/>
      <c r="I1265" s="1467"/>
      <c r="J1265" s="1467"/>
      <c r="K1265" s="1467"/>
      <c r="L1265" s="1400">
        <f t="shared" ref="L1265:L1279" si="279">H1265*G1265</f>
        <v>0</v>
      </c>
      <c r="M1265" s="1400">
        <f t="shared" ref="M1265:M1274" si="280">I1265*G1265</f>
        <v>0</v>
      </c>
      <c r="N1265" s="1400">
        <f t="shared" si="278"/>
        <v>0</v>
      </c>
      <c r="O1265" s="1400">
        <f>K1265*G1265</f>
        <v>0</v>
      </c>
      <c r="P1265" s="1299"/>
      <c r="Q1265" s="1300">
        <f>+SUM(L1266:L1269)</f>
        <v>0</v>
      </c>
      <c r="R1265" s="1300">
        <f>+SUM(M1266:M1269)</f>
        <v>0</v>
      </c>
      <c r="S1265" s="1300">
        <f>+SUM(N1266:N1269)</f>
        <v>0</v>
      </c>
      <c r="T1265" s="1300">
        <f>+SUM(O1266:O1269)</f>
        <v>0</v>
      </c>
    </row>
    <row r="1266" spans="1:20" s="1081" customFormat="1" ht="14.4" hidden="1" outlineLevel="1">
      <c r="A1266" s="1072" t="str">
        <f>A1265</f>
        <v/>
      </c>
      <c r="B1266" s="1295"/>
      <c r="C1266" s="1291"/>
      <c r="D1266" s="1292"/>
      <c r="E1266" s="1301" t="s">
        <v>3399</v>
      </c>
      <c r="F1266" s="1302"/>
      <c r="G1266" s="1481"/>
      <c r="H1266" s="1467"/>
      <c r="I1266" s="1467"/>
      <c r="J1266" s="1467"/>
      <c r="K1266" s="1467"/>
      <c r="L1266" s="1400">
        <f t="shared" si="279"/>
        <v>0</v>
      </c>
      <c r="M1266" s="1400">
        <f t="shared" si="280"/>
        <v>0</v>
      </c>
      <c r="N1266" s="1400">
        <f t="shared" si="278"/>
        <v>0</v>
      </c>
      <c r="O1266" s="1400">
        <f>K1266*G1266</f>
        <v>0</v>
      </c>
      <c r="P1266" s="1299"/>
      <c r="Q1266" s="1300"/>
      <c r="R1266" s="1300"/>
      <c r="S1266" s="1300"/>
    </row>
    <row r="1267" spans="1:20" s="1081" customFormat="1" hidden="1" outlineLevel="1">
      <c r="A1267" s="1072" t="str">
        <f>IF(G1267&lt;&gt;0,1,"")</f>
        <v/>
      </c>
      <c r="B1267" s="1068" t="s">
        <v>4963</v>
      </c>
      <c r="C1267" s="1291"/>
      <c r="D1267" s="1198">
        <f>VLOOKUP($B1267,dongia1,DG!$B$5,)</f>
        <v>0</v>
      </c>
      <c r="E1267" s="1243" t="str">
        <f>VLOOKUP($B1267,dongia1,DG!$C$5,)</f>
        <v>Sắt góc L75 x75 x8x2600 (3 ốp)</v>
      </c>
      <c r="F1267" s="1198" t="str">
        <f>VLOOKUP($B1267,dongia1,DG!$D$5,)</f>
        <v xml:space="preserve">thanh </v>
      </c>
      <c r="G1267" s="1481">
        <f>1*G1265</f>
        <v>0</v>
      </c>
      <c r="H1267" s="1298">
        <f>VLOOKUP($B1267,dongia1,DG!$F$5,)+449</f>
        <v>470449</v>
      </c>
      <c r="I1267" s="1399"/>
      <c r="J1267" s="1399">
        <v>0</v>
      </c>
      <c r="K1267" s="1399">
        <v>0</v>
      </c>
      <c r="L1267" s="1400">
        <f t="shared" si="279"/>
        <v>0</v>
      </c>
      <c r="M1267" s="1400">
        <f t="shared" si="280"/>
        <v>0</v>
      </c>
      <c r="N1267" s="1400">
        <f t="shared" si="278"/>
        <v>0</v>
      </c>
      <c r="O1267" s="1400">
        <f>K1267*G1267</f>
        <v>0</v>
      </c>
      <c r="P1267" s="1299"/>
      <c r="Q1267" s="1300"/>
      <c r="R1267" s="1300"/>
      <c r="S1267" s="1300"/>
    </row>
    <row r="1268" spans="1:20" s="1081" customFormat="1" hidden="1" outlineLevel="1">
      <c r="A1268" s="1072" t="str">
        <f>IF(G1268&lt;&gt;0,1,"")</f>
        <v/>
      </c>
      <c r="B1268" s="1295" t="s">
        <v>1262</v>
      </c>
      <c r="C1268" s="1291"/>
      <c r="D1268" s="1198">
        <f>VLOOKUP($B1268,dongia1,DG!$B$5,)</f>
        <v>0</v>
      </c>
      <c r="E1268" s="1243" t="str">
        <f>VLOOKUP($B1268,dongia1,DG!$C$5,)</f>
        <v>Boulon 16x300+ 2 long đền vuông D18-50x50x3/Zn</v>
      </c>
      <c r="F1268" s="1198" t="str">
        <f>VLOOKUP($B1268,dongia1,DG!$D$5,)</f>
        <v>bộ</v>
      </c>
      <c r="G1268" s="1481">
        <f>+G1265*2</f>
        <v>0</v>
      </c>
      <c r="H1268" s="1298">
        <f>VLOOKUP($B1268,dongia1,DG!$F$5,)</f>
        <v>25400</v>
      </c>
      <c r="I1268" s="1399">
        <v>0</v>
      </c>
      <c r="J1268" s="1399">
        <v>0</v>
      </c>
      <c r="K1268" s="1399">
        <v>0</v>
      </c>
      <c r="L1268" s="1400">
        <f>H1268*G1268</f>
        <v>0</v>
      </c>
      <c r="M1268" s="1400">
        <f t="shared" si="280"/>
        <v>0</v>
      </c>
      <c r="N1268" s="1400">
        <f t="shared" si="278"/>
        <v>0</v>
      </c>
      <c r="O1268" s="1400">
        <f>K1268*G1268</f>
        <v>0</v>
      </c>
      <c r="P1268" s="1299"/>
      <c r="Q1268" s="1300"/>
      <c r="R1268" s="1300"/>
      <c r="S1268" s="1300"/>
    </row>
    <row r="1269" spans="1:20" s="1081" customFormat="1" hidden="1" outlineLevel="1">
      <c r="A1269" s="1072" t="str">
        <f>IF(G1269&lt;&gt;0,1,"")</f>
        <v/>
      </c>
      <c r="B1269" s="1066" t="s">
        <v>4552</v>
      </c>
      <c r="C1269" s="1291"/>
      <c r="D1269" s="1198" t="str">
        <f>VLOOKUP($B1269,dongia1,DG!$B$5,)</f>
        <v>T4.9302</v>
      </c>
      <c r="E1269" s="1243" t="str">
        <f>VLOOKUP($B1269,dongia1,DG!$C$5,)</f>
        <v>Lắp xà thép trong phạm vi trạm</v>
      </c>
      <c r="F1269" s="1198" t="str">
        <f>VLOOKUP($B1269,dongia1,DG!$D$5,)</f>
        <v>kg</v>
      </c>
      <c r="G1269" s="1481">
        <f>9.02*(2.6+3*0.07)*G1265</f>
        <v>0</v>
      </c>
      <c r="H1269" s="1298">
        <f>VLOOKUP($B1269,dongia1,DG!$F$5,)</f>
        <v>0</v>
      </c>
      <c r="I1269" s="1399"/>
      <c r="J1269" s="1399">
        <f>VLOOKUP($B1269,dongia1,DG!$G$5,)</f>
        <v>2025</v>
      </c>
      <c r="K1269" s="1399">
        <f>VLOOKUP($B1269,dongia1,DG!$H$5,)</f>
        <v>0</v>
      </c>
      <c r="L1269" s="1400">
        <f>H1269*G1269</f>
        <v>0</v>
      </c>
      <c r="M1269" s="1400">
        <f t="shared" si="280"/>
        <v>0</v>
      </c>
      <c r="N1269" s="1399">
        <f>VLOOKUP($B1269,dongia1,DG!$G$5,)*G1269</f>
        <v>0</v>
      </c>
      <c r="O1269" s="1400"/>
      <c r="P1269" s="1299"/>
      <c r="Q1269" s="1300"/>
      <c r="R1269" s="1300"/>
      <c r="S1269" s="1300"/>
    </row>
    <row r="1270" spans="1:20" s="1081" customFormat="1" hidden="1" outlineLevel="1">
      <c r="A1270" s="1072" t="str">
        <f>IF(G1270&lt;&gt;0,1,"")</f>
        <v/>
      </c>
      <c r="B1270" s="1295"/>
      <c r="C1270" s="1291">
        <f>IF(G1270&gt;0,C1257+1,C1257)</f>
        <v>0</v>
      </c>
      <c r="D1270" s="1292"/>
      <c r="E1270" s="1468" t="s">
        <v>3435</v>
      </c>
      <c r="F1270" s="1291" t="s">
        <v>2113</v>
      </c>
      <c r="G1270" s="1294">
        <f>+G1226*1</f>
        <v>0</v>
      </c>
      <c r="H1270" s="1467"/>
      <c r="I1270" s="1467"/>
      <c r="J1270" s="1467"/>
      <c r="K1270" s="1467"/>
      <c r="L1270" s="1400">
        <f t="shared" ref="L1270:L1275" si="281">H1270*G1270</f>
        <v>0</v>
      </c>
      <c r="M1270" s="1400">
        <f t="shared" si="280"/>
        <v>0</v>
      </c>
      <c r="N1270" s="1400">
        <f>J1270*G1270</f>
        <v>0</v>
      </c>
      <c r="O1270" s="1400">
        <f>K1270*G1270</f>
        <v>0</v>
      </c>
      <c r="P1270" s="1299"/>
      <c r="Q1270" s="1300">
        <f>+SUM(L1271:L1275)</f>
        <v>0</v>
      </c>
      <c r="R1270" s="1300"/>
      <c r="S1270" s="1300">
        <f>+SUM(N1271:N1275)</f>
        <v>0</v>
      </c>
      <c r="T1270" s="1300">
        <f>+SUM(O1271:O1275)</f>
        <v>0</v>
      </c>
    </row>
    <row r="1271" spans="1:20" s="1081" customFormat="1" ht="14.4" hidden="1" outlineLevel="1">
      <c r="A1271" s="1072" t="str">
        <f>A1270</f>
        <v/>
      </c>
      <c r="B1271" s="1295"/>
      <c r="C1271" s="1291"/>
      <c r="D1271" s="1292"/>
      <c r="E1271" s="1301" t="s">
        <v>3399</v>
      </c>
      <c r="F1271" s="1302"/>
      <c r="G1271" s="1481"/>
      <c r="H1271" s="1467"/>
      <c r="I1271" s="1467"/>
      <c r="J1271" s="1467"/>
      <c r="K1271" s="1467"/>
      <c r="L1271" s="1400">
        <f t="shared" si="281"/>
        <v>0</v>
      </c>
      <c r="M1271" s="1400">
        <f t="shared" si="280"/>
        <v>0</v>
      </c>
      <c r="N1271" s="1400">
        <f>J1271*G1271</f>
        <v>0</v>
      </c>
      <c r="O1271" s="1400">
        <f>K1271*G1271</f>
        <v>0</v>
      </c>
      <c r="P1271" s="1299"/>
      <c r="Q1271" s="1300"/>
      <c r="R1271" s="1300"/>
      <c r="S1271" s="1300"/>
    </row>
    <row r="1272" spans="1:20" s="1081" customFormat="1" hidden="1" outlineLevel="1">
      <c r="A1272" s="1072" t="str">
        <f>IF(G1272&lt;&gt;0,1,"")</f>
        <v/>
      </c>
      <c r="B1272" s="1067" t="s">
        <v>2167</v>
      </c>
      <c r="C1272" s="1291"/>
      <c r="D1272" s="1198">
        <f>VLOOKUP($B1272,dongia1,DG!$B$5,)</f>
        <v>0</v>
      </c>
      <c r="E1272" s="1243" t="str">
        <f>VLOOKUP($B1272,dongia1,DG!$C$5,)</f>
        <v>Đà Composite 110x80x5x2600</v>
      </c>
      <c r="F1272" s="1198" t="str">
        <f>VLOOKUP($B1272,dongia1,DG!$D$5,)</f>
        <v>cây</v>
      </c>
      <c r="G1272" s="1481">
        <f>+G1270*1</f>
        <v>0</v>
      </c>
      <c r="H1272" s="1399">
        <f>VLOOKUP($B1272,dongia1,DG!$F$5,)</f>
        <v>878000</v>
      </c>
      <c r="I1272" s="1399"/>
      <c r="J1272" s="1399">
        <v>0</v>
      </c>
      <c r="K1272" s="1399">
        <v>0</v>
      </c>
      <c r="L1272" s="1400">
        <f t="shared" si="281"/>
        <v>0</v>
      </c>
      <c r="M1272" s="1400">
        <f t="shared" si="280"/>
        <v>0</v>
      </c>
      <c r="N1272" s="1400">
        <f>J1272*G1272</f>
        <v>0</v>
      </c>
      <c r="O1272" s="1400">
        <f>K1272*G1272</f>
        <v>0</v>
      </c>
      <c r="P1272" s="1299"/>
      <c r="Q1272" s="1300"/>
      <c r="R1272" s="1300"/>
      <c r="S1272" s="1300"/>
    </row>
    <row r="1273" spans="1:20" s="1081" customFormat="1" hidden="1" outlineLevel="1">
      <c r="A1273" s="1072" t="str">
        <f>IF(G1273&lt;&gt;0,1,"")</f>
        <v/>
      </c>
      <c r="B1273" s="1073" t="s">
        <v>428</v>
      </c>
      <c r="C1273" s="1291"/>
      <c r="D1273" s="1198">
        <f>VLOOKUP($B1273,dongia1,DG!$B$5,)</f>
        <v>0</v>
      </c>
      <c r="E1273" s="1243" t="str">
        <f>VLOOKUP($B1273,dongia1,DG!$C$5,)</f>
        <v>Bass LL bắt FCO và LA</v>
      </c>
      <c r="F1273" s="1198" t="str">
        <f>VLOOKUP($B1273,dongia1,DG!$D$5,)</f>
        <v>bộ</v>
      </c>
      <c r="G1273" s="1481">
        <f>+G1270*3</f>
        <v>0</v>
      </c>
      <c r="H1273" s="1399">
        <f>VLOOKUP($B1273,dongia1,DG!$F$5,)</f>
        <v>65000</v>
      </c>
      <c r="I1273" s="1399">
        <v>0</v>
      </c>
      <c r="J1273" s="1399">
        <v>0</v>
      </c>
      <c r="K1273" s="1399">
        <v>0</v>
      </c>
      <c r="L1273" s="1400">
        <f t="shared" si="281"/>
        <v>0</v>
      </c>
      <c r="M1273" s="1400">
        <f t="shared" si="280"/>
        <v>0</v>
      </c>
      <c r="N1273" s="1400">
        <f>J1273*G1273</f>
        <v>0</v>
      </c>
      <c r="O1273" s="1400">
        <f>K1273*G1273</f>
        <v>0</v>
      </c>
      <c r="P1273" s="1299"/>
      <c r="Q1273" s="1300"/>
      <c r="R1273" s="1300"/>
      <c r="S1273" s="1300"/>
    </row>
    <row r="1274" spans="1:20" s="1081" customFormat="1" hidden="1" outlineLevel="1">
      <c r="A1274" s="1072" t="str">
        <f>IF(G1274&lt;&gt;0,1,"")</f>
        <v/>
      </c>
      <c r="B1274" s="1295" t="s">
        <v>733</v>
      </c>
      <c r="C1274" s="1291"/>
      <c r="D1274" s="1198">
        <f>VLOOKUP($B1274,dongia1,DG!$B$5,)</f>
        <v>0</v>
      </c>
      <c r="E1274" s="1243" t="str">
        <f>VLOOKUP($B1274,dongia1,DG!$C$5,)</f>
        <v>Boulon 16x350+ 2 long đền vuông D18-50x50x3/Zn</v>
      </c>
      <c r="F1274" s="1198" t="str">
        <f>VLOOKUP($B1274,dongia1,DG!$D$5,)</f>
        <v>bộ</v>
      </c>
      <c r="G1274" s="1481">
        <f>+G1270*2</f>
        <v>0</v>
      </c>
      <c r="H1274" s="1399">
        <f>VLOOKUP($B1274,dongia1,DG!$F$5,)</f>
        <v>27900</v>
      </c>
      <c r="I1274" s="1467"/>
      <c r="J1274" s="1399">
        <f>VLOOKUP($B1274,dongia1,DG!$G$5,)</f>
        <v>0</v>
      </c>
      <c r="K1274" s="1399">
        <f>VLOOKUP($B1274,dongia1,DG!$H$5,)</f>
        <v>0</v>
      </c>
      <c r="L1274" s="1400">
        <f t="shared" si="281"/>
        <v>0</v>
      </c>
      <c r="M1274" s="1400">
        <f t="shared" si="280"/>
        <v>0</v>
      </c>
      <c r="N1274" s="1400">
        <f>J1274*G1274</f>
        <v>0</v>
      </c>
      <c r="O1274" s="1400">
        <f>K1274*G1274</f>
        <v>0</v>
      </c>
      <c r="P1274" s="1299"/>
      <c r="Q1274" s="1300"/>
      <c r="R1274" s="1300"/>
      <c r="S1274" s="1300"/>
    </row>
    <row r="1275" spans="1:20" s="1081" customFormat="1" hidden="1" outlineLevel="1">
      <c r="A1275" s="1072" t="str">
        <f>IF(G1275&lt;&gt;0,1,"")</f>
        <v/>
      </c>
      <c r="B1275" s="1066" t="s">
        <v>4972</v>
      </c>
      <c r="C1275" s="1291"/>
      <c r="D1275" s="1198" t="str">
        <f>VLOOKUP($B1275,dongia1,DG!$B$5,)</f>
        <v>D2.6011</v>
      </c>
      <c r="E1275" s="1243" t="str">
        <f>VLOOKUP($B1275,dongia1,DG!$C$5,)</f>
        <v>Lắp xà đỡ composite dài 2600mm (8,5kg)</v>
      </c>
      <c r="F1275" s="1198" t="str">
        <f>VLOOKUP($B1275,dongia1,DG!$D$5,)</f>
        <v>bộ</v>
      </c>
      <c r="G1275" s="1481">
        <f>+G1270</f>
        <v>0</v>
      </c>
      <c r="H1275" s="1298">
        <f>VLOOKUP($B1275,dongia1,DG!$F$5,)</f>
        <v>0</v>
      </c>
      <c r="I1275" s="1399"/>
      <c r="J1275" s="1399" t="str">
        <f>TEXT(VLOOKUP($B1275,dongia1,DG!$G$5,),"#,###")&amp;"x"&amp;hslxh</f>
        <v>58911,x1,7</v>
      </c>
      <c r="K1275" s="1399"/>
      <c r="L1275" s="1400">
        <f t="shared" si="281"/>
        <v>0</v>
      </c>
      <c r="M1275" s="1400"/>
      <c r="N1275" s="1399">
        <f>VLOOKUP($B1275,dongia1,DG!$G$5,)*G1275*hslxh</f>
        <v>0</v>
      </c>
      <c r="O1275" s="1400"/>
      <c r="P1275" s="1299"/>
      <c r="Q1275" s="1300"/>
      <c r="R1275" s="1300"/>
      <c r="S1275" s="1300"/>
    </row>
    <row r="1276" spans="1:20" s="1081" customFormat="1" hidden="1" outlineLevel="1">
      <c r="A1276" s="1072" t="str">
        <f>IF(G1276&lt;&gt;0,1,"")</f>
        <v/>
      </c>
      <c r="B1276" s="1295"/>
      <c r="C1276" s="1291">
        <f>IF(G1276&gt;0,C1265+1,C1265)</f>
        <v>0</v>
      </c>
      <c r="D1276" s="1292"/>
      <c r="E1276" s="1468" t="s">
        <v>3439</v>
      </c>
      <c r="F1276" s="1291" t="s">
        <v>2113</v>
      </c>
      <c r="G1276" s="1294">
        <f>$G$1256*2*0</f>
        <v>0</v>
      </c>
      <c r="H1276" s="1467"/>
      <c r="I1276" s="1467"/>
      <c r="J1276" s="1467"/>
      <c r="K1276" s="1467"/>
      <c r="L1276" s="1400">
        <f t="shared" si="279"/>
        <v>0</v>
      </c>
      <c r="M1276" s="1400">
        <f>I1276*G1276</f>
        <v>0</v>
      </c>
      <c r="N1276" s="1400">
        <f>J1276*G1276</f>
        <v>0</v>
      </c>
      <c r="O1276" s="1400">
        <f>K1276*G1276</f>
        <v>0</v>
      </c>
      <c r="P1276" s="1299"/>
      <c r="Q1276" s="1300">
        <f>+SUM(L1277:L1281)</f>
        <v>0</v>
      </c>
      <c r="R1276" s="1300">
        <f>+SUM(M1277:M1281)</f>
        <v>0</v>
      </c>
      <c r="S1276" s="1300">
        <f>+SUM(N1277:N1281)</f>
        <v>0</v>
      </c>
      <c r="T1276" s="1300">
        <f>+SUM(O1277:O1281)</f>
        <v>0</v>
      </c>
    </row>
    <row r="1277" spans="1:20" s="1081" customFormat="1" ht="14.4" hidden="1" outlineLevel="1">
      <c r="A1277" s="1072" t="str">
        <f>A1276</f>
        <v/>
      </c>
      <c r="B1277" s="1295"/>
      <c r="C1277" s="1291"/>
      <c r="D1277" s="1292"/>
      <c r="E1277" s="1301" t="s">
        <v>3399</v>
      </c>
      <c r="F1277" s="1302"/>
      <c r="G1277" s="1481"/>
      <c r="H1277" s="1467"/>
      <c r="I1277" s="1467"/>
      <c r="J1277" s="1467"/>
      <c r="K1277" s="1467"/>
      <c r="L1277" s="1400">
        <f t="shared" si="279"/>
        <v>0</v>
      </c>
      <c r="M1277" s="1400">
        <f>I1277*G1277</f>
        <v>0</v>
      </c>
      <c r="N1277" s="1400">
        <f>J1277*G1277</f>
        <v>0</v>
      </c>
      <c r="O1277" s="1400">
        <f>K1277*G1277</f>
        <v>0</v>
      </c>
      <c r="P1277" s="1299"/>
      <c r="Q1277" s="1300"/>
      <c r="R1277" s="1300"/>
      <c r="S1277" s="1300"/>
    </row>
    <row r="1278" spans="1:20" s="1081" customFormat="1" hidden="1" outlineLevel="1">
      <c r="A1278" s="1072" t="str">
        <f>IF(G1278&lt;&gt;0,1,"")</f>
        <v/>
      </c>
      <c r="B1278" s="1295" t="s">
        <v>1626</v>
      </c>
      <c r="C1278" s="1291"/>
      <c r="D1278" s="1198">
        <f>VLOOKUP($B1278,dongia1,DG!$B$5,)</f>
        <v>0</v>
      </c>
      <c r="E1278" s="1243" t="str">
        <f>VLOOKUP($B1278,dongia1,DG!$C$5,)</f>
        <v>Sắt góc L75 x75 x8</v>
      </c>
      <c r="F1278" s="1198" t="str">
        <f>VLOOKUP($B1278,dongia1,DG!$D$5,)</f>
        <v>kg</v>
      </c>
      <c r="G1278" s="1481">
        <f>$G$1276*9.02*2.6</f>
        <v>0</v>
      </c>
      <c r="H1278" s="1298">
        <f>VLOOKUP($B1278,dongia1,DG!$F$5,)+449</f>
        <v>32074</v>
      </c>
      <c r="I1278" s="1399"/>
      <c r="J1278" s="1399">
        <v>0</v>
      </c>
      <c r="K1278" s="1399"/>
      <c r="L1278" s="1400">
        <f t="shared" si="279"/>
        <v>0</v>
      </c>
      <c r="M1278" s="1400"/>
      <c r="N1278" s="1400"/>
      <c r="O1278" s="1400"/>
      <c r="P1278" s="1299"/>
      <c r="Q1278" s="1300"/>
      <c r="R1278" s="1300"/>
      <c r="S1278" s="1300"/>
    </row>
    <row r="1279" spans="1:20" s="1081" customFormat="1" hidden="1" outlineLevel="1">
      <c r="A1279" s="1072" t="str">
        <f>IF(G1279&lt;&gt;0,1,"")</f>
        <v/>
      </c>
      <c r="B1279" s="1295" t="s">
        <v>82</v>
      </c>
      <c r="C1279" s="1291"/>
      <c r="D1279" s="1198">
        <f>VLOOKUP($B1279,dongia1,DG!$B$5,)</f>
        <v>0</v>
      </c>
      <c r="E1279" s="1243" t="str">
        <f>VLOOKUP($B1279,dongia1,DG!$C$5,)</f>
        <v>Boulon 16x400+ 2 long đền vuông D18-50x50x3/Zn</v>
      </c>
      <c r="F1279" s="1198" t="str">
        <f>VLOOKUP($B1279,dongia1,DG!$D$5,)</f>
        <v>bộ</v>
      </c>
      <c r="G1279" s="1481">
        <f>$G$1276*2</f>
        <v>0</v>
      </c>
      <c r="H1279" s="1298">
        <f>VLOOKUP($B1279,dongia1,DG!$F$5,)</f>
        <v>29900</v>
      </c>
      <c r="I1279" s="1399">
        <v>0</v>
      </c>
      <c r="J1279" s="1399">
        <v>0</v>
      </c>
      <c r="K1279" s="1399"/>
      <c r="L1279" s="1400">
        <f t="shared" si="279"/>
        <v>0</v>
      </c>
      <c r="M1279" s="1400"/>
      <c r="N1279" s="1400"/>
      <c r="O1279" s="1400"/>
      <c r="P1279" s="1299"/>
      <c r="Q1279" s="1300"/>
      <c r="R1279" s="1300"/>
      <c r="S1279" s="1300"/>
    </row>
    <row r="1280" spans="1:20" s="1081" customFormat="1" hidden="1" outlineLevel="1">
      <c r="A1280" s="1072" t="str">
        <f>IF(G1280&lt;&gt;0,1,"")</f>
        <v/>
      </c>
      <c r="B1280" s="1295" t="s">
        <v>1998</v>
      </c>
      <c r="C1280" s="1291"/>
      <c r="D1280" s="1198">
        <f>VLOOKUP($B1280,dongia1,DG!$B$5,)</f>
        <v>0</v>
      </c>
      <c r="E1280" s="1243" t="str">
        <f>VLOOKUP($B1280,dongia1,DG!$C$5,)</f>
        <v>Boulon 12x40+ 2 long đền vuông D14-50x50x3/Zn</v>
      </c>
      <c r="F1280" s="1198" t="str">
        <f>VLOOKUP($B1280,dongia1,DG!$D$5,)</f>
        <v>bộ</v>
      </c>
      <c r="G1280" s="1481">
        <f>$G$1276*2</f>
        <v>0</v>
      </c>
      <c r="H1280" s="1298">
        <f>VLOOKUP($B1280,dongia1,DG!$F$5,)</f>
        <v>8500</v>
      </c>
      <c r="I1280" s="1399">
        <v>0</v>
      </c>
      <c r="J1280" s="1399">
        <v>0</v>
      </c>
      <c r="K1280" s="1399"/>
      <c r="L1280" s="1400">
        <f>H1280*G1280</f>
        <v>0</v>
      </c>
      <c r="M1280" s="1400"/>
      <c r="N1280" s="1400"/>
      <c r="O1280" s="1400"/>
      <c r="P1280" s="1299"/>
      <c r="Q1280" s="1300"/>
      <c r="R1280" s="1300"/>
      <c r="S1280" s="1300"/>
    </row>
    <row r="1281" spans="1:20" s="1081" customFormat="1" hidden="1" outlineLevel="1">
      <c r="A1281" s="1072" t="str">
        <f>IF(G1281&lt;&gt;0,1,"")</f>
        <v/>
      </c>
      <c r="B1281" s="1066" t="s">
        <v>4552</v>
      </c>
      <c r="C1281" s="1291"/>
      <c r="D1281" s="1198" t="str">
        <f>VLOOKUP($B1281,dongia1,DG!$B$5,)</f>
        <v>T4.9302</v>
      </c>
      <c r="E1281" s="1243" t="str">
        <f>VLOOKUP($B1281,dongia1,DG!$C$5,)</f>
        <v>Lắp xà thép trong phạm vi trạm</v>
      </c>
      <c r="F1281" s="1198" t="str">
        <f>VLOOKUP($B1281,dongia1,DG!$D$5,)</f>
        <v>kg</v>
      </c>
      <c r="G1281" s="1481">
        <f>SUM(G1278)</f>
        <v>0</v>
      </c>
      <c r="H1281" s="1298">
        <f>VLOOKUP($B1281,dongia1,DG!$F$5,)</f>
        <v>0</v>
      </c>
      <c r="I1281" s="1399"/>
      <c r="J1281" s="1399">
        <f>VLOOKUP($B1281,dongia1,DG!$G$5,)</f>
        <v>2025</v>
      </c>
      <c r="K1281" s="1399">
        <f>VLOOKUP($B1281,dongia1,DG!$H$5,)</f>
        <v>0</v>
      </c>
      <c r="L1281" s="1400">
        <f>H1281*G1281</f>
        <v>0</v>
      </c>
      <c r="M1281" s="1400">
        <f>I1281*G1281</f>
        <v>0</v>
      </c>
      <c r="N1281" s="1399">
        <f>VLOOKUP($B1281,dongia1,DG!$G$5,)*G1281</f>
        <v>0</v>
      </c>
      <c r="O1281" s="1400"/>
      <c r="P1281" s="1299"/>
      <c r="Q1281" s="1300"/>
      <c r="R1281" s="1300"/>
      <c r="S1281" s="1300"/>
    </row>
    <row r="1282" spans="1:20" s="1081" customFormat="1" hidden="1" outlineLevel="1">
      <c r="A1282" s="1072" t="str">
        <f>IF(G1282&lt;&gt;0,1,"")</f>
        <v/>
      </c>
      <c r="B1282" s="1295"/>
      <c r="C1282" s="1291">
        <f>IF(G1282&gt;0,C1276+1,C1276)</f>
        <v>0</v>
      </c>
      <c r="D1282" s="1292"/>
      <c r="E1282" s="1468" t="s">
        <v>3440</v>
      </c>
      <c r="F1282" s="1291" t="s">
        <v>2113</v>
      </c>
      <c r="G1282" s="1294">
        <f>G1226</f>
        <v>0</v>
      </c>
      <c r="H1282" s="1298"/>
      <c r="I1282" s="1298"/>
      <c r="J1282" s="1298"/>
      <c r="K1282" s="1298"/>
      <c r="L1282" s="1298">
        <f t="shared" ref="L1282:L1291" si="282">H1282*G1282</f>
        <v>0</v>
      </c>
      <c r="M1282" s="1298">
        <f>I1282*G1282</f>
        <v>0</v>
      </c>
      <c r="N1282" s="1298">
        <f t="shared" ref="N1282:N1291" si="283">J1282*G1282</f>
        <v>0</v>
      </c>
      <c r="O1282" s="1298">
        <f>K1282*G1282</f>
        <v>0</v>
      </c>
      <c r="P1282" s="1437"/>
      <c r="Q1282" s="1300">
        <f>+SUM(L1283:L1299)</f>
        <v>0</v>
      </c>
      <c r="R1282" s="1300">
        <f>+SUM(M1283:M1299)</f>
        <v>0</v>
      </c>
      <c r="S1282" s="1300">
        <f>+SUM(N1283:N1299)</f>
        <v>0</v>
      </c>
      <c r="T1282" s="1300">
        <f>+SUM(O1283:O1299)</f>
        <v>0</v>
      </c>
    </row>
    <row r="1283" spans="1:20" s="1081" customFormat="1" ht="14.4" hidden="1" outlineLevel="1">
      <c r="A1283" s="1072" t="str">
        <f>+A1282</f>
        <v/>
      </c>
      <c r="B1283" s="1469"/>
      <c r="C1283" s="1291"/>
      <c r="D1283" s="1292"/>
      <c r="E1283" s="1301" t="s">
        <v>3399</v>
      </c>
      <c r="F1283" s="1302"/>
      <c r="G1283" s="1481"/>
      <c r="H1283" s="1298"/>
      <c r="I1283" s="1298"/>
      <c r="J1283" s="1298"/>
      <c r="K1283" s="1298"/>
      <c r="L1283" s="1298">
        <f t="shared" si="282"/>
        <v>0</v>
      </c>
      <c r="M1283" s="1298">
        <f>I1283*G1283</f>
        <v>0</v>
      </c>
      <c r="N1283" s="1298">
        <f t="shared" si="283"/>
        <v>0</v>
      </c>
      <c r="O1283" s="1298">
        <f>K1283*G1283</f>
        <v>0</v>
      </c>
      <c r="P1283" s="1437"/>
      <c r="Q1283" s="1300"/>
      <c r="R1283" s="1300"/>
      <c r="S1283" s="1300"/>
    </row>
    <row r="1284" spans="1:20" s="1081" customFormat="1" hidden="1" outlineLevel="1">
      <c r="A1284" s="1072" t="str">
        <f t="shared" ref="A1284:A1295" si="284">IF(G1284&lt;&gt;0,1,"")</f>
        <v/>
      </c>
      <c r="B1284" s="1295" t="s">
        <v>1200</v>
      </c>
      <c r="C1284" s="1291"/>
      <c r="D1284" s="1198">
        <f>VLOOKUP($B1284,dongia1,DG!$B$5,)</f>
        <v>0</v>
      </c>
      <c r="E1284" s="1243" t="str">
        <f>VLOOKUP($B1284,dongia1,DG!$C$5,)</f>
        <v>Cáp đồng trần M25mm2</v>
      </c>
      <c r="F1284" s="1198" t="str">
        <f>VLOOKUP($B1284,dongia1,DG!$D$5,)</f>
        <v>kg</v>
      </c>
      <c r="G1284" s="1481">
        <f>66.75*0.224*G1282</f>
        <v>0</v>
      </c>
      <c r="H1284" s="1298">
        <f>VLOOKUP($B1284,dongia1,DG!$F$5,)</f>
        <v>255500</v>
      </c>
      <c r="I1284" s="1298"/>
      <c r="J1284" s="1298">
        <f>VLOOKUP($B1284,dongia1,DG!$G$5,)</f>
        <v>0</v>
      </c>
      <c r="K1284" s="1298">
        <f>VLOOKUP($B1284,dongia1,DG!$H$5,)</f>
        <v>0</v>
      </c>
      <c r="L1284" s="1298">
        <f t="shared" si="282"/>
        <v>0</v>
      </c>
      <c r="M1284" s="1298">
        <f>I1284*G1284</f>
        <v>0</v>
      </c>
      <c r="N1284" s="1298">
        <f t="shared" si="283"/>
        <v>0</v>
      </c>
      <c r="O1284" s="1298">
        <f>K1284*G1284</f>
        <v>0</v>
      </c>
      <c r="P1284" s="1437"/>
      <c r="Q1284" s="1300"/>
      <c r="R1284" s="1300"/>
      <c r="S1284" s="1300"/>
    </row>
    <row r="1285" spans="1:20" s="1081" customFormat="1" hidden="1" outlineLevel="1">
      <c r="A1285" s="1072" t="str">
        <f t="shared" si="284"/>
        <v/>
      </c>
      <c r="B1285" s="1068" t="s">
        <v>1098</v>
      </c>
      <c r="C1285" s="1291"/>
      <c r="D1285" s="1198">
        <f>VLOOKUP($B1285,dongia1,DG!$B$5,)</f>
        <v>0</v>
      </c>
      <c r="E1285" s="1243" t="str">
        <f>VLOOKUP($B1285,dongia1,DG!$C$5,)</f>
        <v>Cọc tiếp đất Þ 16- 2,4m + kẹp cọc</v>
      </c>
      <c r="F1285" s="1198" t="str">
        <f>VLOOKUP($B1285,dongia1,DG!$D$5,)</f>
        <v>bộ</v>
      </c>
      <c r="G1285" s="1481">
        <f>12*G1282</f>
        <v>0</v>
      </c>
      <c r="H1285" s="1298">
        <f>VLOOKUP($B1285,dongia1,DG!$F$5,)</f>
        <v>160000</v>
      </c>
      <c r="I1285" s="1298"/>
      <c r="J1285" s="1298">
        <f>VLOOKUP($B1285,dongia1,DG!$G$5,)</f>
        <v>0</v>
      </c>
      <c r="K1285" s="1298">
        <f>VLOOKUP($B1285,dongia1,DG!$H$5,)</f>
        <v>0</v>
      </c>
      <c r="L1285" s="1298">
        <f t="shared" si="282"/>
        <v>0</v>
      </c>
      <c r="M1285" s="1298">
        <f>I1285*G1285</f>
        <v>0</v>
      </c>
      <c r="N1285" s="1298">
        <f t="shared" si="283"/>
        <v>0</v>
      </c>
      <c r="O1285" s="1298">
        <f>K1285*G1285</f>
        <v>0</v>
      </c>
      <c r="P1285" s="1437"/>
      <c r="Q1285" s="1300"/>
      <c r="R1285" s="1300"/>
      <c r="S1285" s="1300"/>
    </row>
    <row r="1286" spans="1:20" s="1081" customFormat="1" hidden="1" outlineLevel="1">
      <c r="A1286" s="1072" t="str">
        <f t="shared" si="284"/>
        <v/>
      </c>
      <c r="B1286" s="1470" t="s">
        <v>205</v>
      </c>
      <c r="C1286" s="1291"/>
      <c r="D1286" s="1198">
        <f>VLOOKUP($B1286,dongia1,DG!$B$5,)</f>
        <v>0</v>
      </c>
      <c r="E1286" s="1243" t="str">
        <f>VLOOKUP($B1286,dongia1,DG!$C$5,)</f>
        <v>Kẹp ép WR cỡ dây 50mm2</v>
      </c>
      <c r="F1286" s="1198" t="str">
        <f>VLOOKUP($B1286,dongia1,DG!$D$5,)</f>
        <v>cái</v>
      </c>
      <c r="G1286" s="1481">
        <f>2*G1282</f>
        <v>0</v>
      </c>
      <c r="H1286" s="1298">
        <f>VLOOKUP($B1286,dongia1,DG!$F$5,)</f>
        <v>8000</v>
      </c>
      <c r="I1286" s="1298"/>
      <c r="J1286" s="1298">
        <f>VLOOKUP($B1286,dongia1,DG!$G$5,)</f>
        <v>0</v>
      </c>
      <c r="K1286" s="1298"/>
      <c r="L1286" s="1298">
        <f>H1286*G1286</f>
        <v>0</v>
      </c>
      <c r="M1286" s="1298"/>
      <c r="N1286" s="1298">
        <f>J1286*G1286</f>
        <v>0</v>
      </c>
      <c r="O1286" s="1298"/>
      <c r="P1286" s="1437"/>
      <c r="Q1286" s="1300"/>
      <c r="R1286" s="1300"/>
      <c r="S1286" s="1300"/>
    </row>
    <row r="1287" spans="1:20" s="1081" customFormat="1" hidden="1" outlineLevel="1">
      <c r="A1287" s="1072" t="str">
        <f t="shared" si="284"/>
        <v/>
      </c>
      <c r="B1287" s="1470" t="s">
        <v>1433</v>
      </c>
      <c r="C1287" s="1471"/>
      <c r="D1287" s="1198">
        <f>VLOOKUP($B1287,dongia1,DG!$B$5,)</f>
        <v>0</v>
      </c>
      <c r="E1287" s="1243" t="str">
        <f>VLOOKUP($B1287,dongia1,DG!$C$5,)</f>
        <v>Ốc xiết cáp cỡ 25mm2</v>
      </c>
      <c r="F1287" s="1198" t="str">
        <f>VLOOKUP($B1287,dongia1,DG!$D$5,)</f>
        <v>cái</v>
      </c>
      <c r="G1287" s="1481">
        <f>G1282*3</f>
        <v>0</v>
      </c>
      <c r="H1287" s="1298">
        <f>VLOOKUP($B1287,dongia1,DG!$F$5,)</f>
        <v>17600</v>
      </c>
      <c r="I1287" s="1298"/>
      <c r="J1287" s="1298">
        <f>VLOOKUP($B1287,dongia1,DG!$G$5,)</f>
        <v>0</v>
      </c>
      <c r="K1287" s="1298"/>
      <c r="L1287" s="1298">
        <f>H1287*G1287</f>
        <v>0</v>
      </c>
      <c r="M1287" s="1298">
        <f t="shared" ref="M1287:M1295" si="285">I1287*G1287</f>
        <v>0</v>
      </c>
      <c r="N1287" s="1298">
        <f>J1287*G1287</f>
        <v>0</v>
      </c>
      <c r="O1287" s="1298">
        <f t="shared" ref="O1287:O1295" si="286">K1287*G1287</f>
        <v>0</v>
      </c>
      <c r="P1287" s="1437"/>
      <c r="Q1287" s="1300"/>
      <c r="R1287" s="1300"/>
      <c r="S1287" s="1300"/>
    </row>
    <row r="1288" spans="1:20" s="1081" customFormat="1" hidden="1" outlineLevel="1">
      <c r="A1288" s="1072" t="str">
        <f t="shared" si="284"/>
        <v/>
      </c>
      <c r="B1288" s="1470" t="s">
        <v>1623</v>
      </c>
      <c r="C1288" s="1471"/>
      <c r="D1288" s="1198">
        <f>VLOOKUP($B1288,dongia1,DG!$B$5,)</f>
        <v>0</v>
      </c>
      <c r="E1288" s="1243" t="str">
        <f>VLOOKUP($B1288,dongia1,DG!$C$5,)</f>
        <v>Boulon 12x40+ 2 long đền vuông D14-50x50x3/Zn</v>
      </c>
      <c r="F1288" s="1198" t="str">
        <f>VLOOKUP($B1288,dongia1,DG!$D$5,)</f>
        <v>bộ</v>
      </c>
      <c r="G1288" s="1481">
        <f>2*G1282</f>
        <v>0</v>
      </c>
      <c r="H1288" s="1298">
        <f>VLOOKUP($B1288,dongia1,DG!$F$5,)</f>
        <v>8500</v>
      </c>
      <c r="I1288" s="1298"/>
      <c r="J1288" s="1298">
        <f>VLOOKUP($B1288,dongia1,DG!$G$5,)</f>
        <v>0</v>
      </c>
      <c r="K1288" s="1298"/>
      <c r="L1288" s="1298">
        <f>H1288*G1288</f>
        <v>0</v>
      </c>
      <c r="M1288" s="1298">
        <f t="shared" si="285"/>
        <v>0</v>
      </c>
      <c r="N1288" s="1298">
        <f>J1288*G1288</f>
        <v>0</v>
      </c>
      <c r="O1288" s="1298">
        <f t="shared" si="286"/>
        <v>0</v>
      </c>
      <c r="P1288" s="1437"/>
      <c r="Q1288" s="1300"/>
      <c r="R1288" s="1300"/>
      <c r="S1288" s="1300"/>
    </row>
    <row r="1289" spans="1:20" s="1081" customFormat="1" hidden="1" outlineLevel="1">
      <c r="A1289" s="1072" t="str">
        <f>IF(G1289&lt;&gt;0,1,"")</f>
        <v/>
      </c>
      <c r="B1289" s="1470" t="s">
        <v>4961</v>
      </c>
      <c r="C1289" s="1471"/>
      <c r="D1289" s="1198" t="str">
        <f>VLOOKUP($B1289,dongia1,DG!$B$5,)</f>
        <v>D4.5002</v>
      </c>
      <c r="E1289" s="1243" t="str">
        <f>VLOOKUP($B1289,dongia1,DG!$C$5,)</f>
        <v>Đầu cosse ép Cu 50mm2</v>
      </c>
      <c r="F1289" s="1198" t="str">
        <f>VLOOKUP($B1289,dongia1,DG!$D$5,)</f>
        <v>cái</v>
      </c>
      <c r="G1289" s="1481">
        <f>G1282*7</f>
        <v>0</v>
      </c>
      <c r="H1289" s="1298">
        <f>VLOOKUP($B1289,dongia1,DG!$F$5,)</f>
        <v>9100</v>
      </c>
      <c r="I1289" s="1298"/>
      <c r="J1289" s="1298">
        <f>VLOOKUP($B1289,dongia1,DG!$G$5,)</f>
        <v>10608.955000000002</v>
      </c>
      <c r="K1289" s="1399">
        <f>VLOOKUP($B1289,dongia1,DG!$H$5,)</f>
        <v>2777.0232475000003</v>
      </c>
      <c r="L1289" s="1298">
        <f>H1289*G1289</f>
        <v>0</v>
      </c>
      <c r="M1289" s="1298">
        <f>I1289*G1289</f>
        <v>0</v>
      </c>
      <c r="N1289" s="1298">
        <f>J1289*G1289</f>
        <v>0</v>
      </c>
      <c r="O1289" s="1298">
        <f>K1289*G1289</f>
        <v>0</v>
      </c>
      <c r="P1289" s="1437"/>
      <c r="Q1289" s="1300"/>
      <c r="R1289" s="1300"/>
      <c r="S1289" s="1300"/>
    </row>
    <row r="1290" spans="1:20" s="1081" customFormat="1" hidden="1" outlineLevel="1">
      <c r="A1290" s="1072" t="str">
        <f t="shared" si="284"/>
        <v/>
      </c>
      <c r="B1290" s="1470" t="s">
        <v>4962</v>
      </c>
      <c r="C1290" s="1471"/>
      <c r="D1290" s="1198" t="str">
        <f>VLOOKUP($B1290,dongia1,DG!$B$5,)</f>
        <v>D4.5003</v>
      </c>
      <c r="E1290" s="1243" t="str">
        <f>VLOOKUP($B1290,dongia1,DG!$C$5,)</f>
        <v>Đầu cosse ép Cu 70mm2</v>
      </c>
      <c r="F1290" s="1198" t="str">
        <f>VLOOKUP($B1290,dongia1,DG!$D$5,)</f>
        <v>cái</v>
      </c>
      <c r="G1290" s="1481">
        <f>G1282*2</f>
        <v>0</v>
      </c>
      <c r="H1290" s="1298">
        <f>VLOOKUP($B1290,dongia1,DG!$F$5,)</f>
        <v>14000</v>
      </c>
      <c r="I1290" s="1298"/>
      <c r="J1290" s="1298">
        <f>VLOOKUP($B1290,dongia1,DG!$G$5,)</f>
        <v>16671.215</v>
      </c>
      <c r="K1290" s="1399">
        <f>VLOOKUP($B1290,dongia1,DG!$H$5,)</f>
        <v>3332.427897</v>
      </c>
      <c r="L1290" s="1298">
        <f>H1290*G1290</f>
        <v>0</v>
      </c>
      <c r="M1290" s="1298">
        <f t="shared" si="285"/>
        <v>0</v>
      </c>
      <c r="N1290" s="1298">
        <f>J1290*G1290</f>
        <v>0</v>
      </c>
      <c r="O1290" s="1298">
        <f t="shared" si="286"/>
        <v>0</v>
      </c>
      <c r="P1290" s="1437"/>
      <c r="Q1290" s="1300"/>
      <c r="R1290" s="1300"/>
      <c r="S1290" s="1300"/>
    </row>
    <row r="1291" spans="1:20" s="1081" customFormat="1" hidden="1" outlineLevel="1">
      <c r="A1291" s="1072" t="str">
        <f t="shared" si="284"/>
        <v/>
      </c>
      <c r="B1291" s="1068" t="s">
        <v>2040</v>
      </c>
      <c r="C1291" s="1291"/>
      <c r="D1291" s="1198">
        <f>VLOOKUP($B1291,dongia1,DG!$B$5,)</f>
        <v>0</v>
      </c>
      <c r="E1291" s="1243" t="str">
        <f>VLOOKUP($B1291,dongia1,DG!$C$5,)</f>
        <v xml:space="preserve">Ống PVC D21x1,6mm </v>
      </c>
      <c r="F1291" s="1198" t="str">
        <f>VLOOKUP($B1291,dongia1,DG!$D$5,)</f>
        <v>m</v>
      </c>
      <c r="G1291" s="1481">
        <f>G1282*1</f>
        <v>0</v>
      </c>
      <c r="H1291" s="1298">
        <f>VLOOKUP($B1291,dongia1,DG!$F$5,)</f>
        <v>6200</v>
      </c>
      <c r="I1291" s="1298"/>
      <c r="J1291" s="1298">
        <f>VLOOKUP($B1291,dongia1,DG!$G$5,)</f>
        <v>0</v>
      </c>
      <c r="K1291" s="1298">
        <f>VLOOKUP($B1291,dongia1,DG!$H$5,)</f>
        <v>0</v>
      </c>
      <c r="L1291" s="1298">
        <f t="shared" si="282"/>
        <v>0</v>
      </c>
      <c r="M1291" s="1298">
        <f t="shared" si="285"/>
        <v>0</v>
      </c>
      <c r="N1291" s="1298">
        <f t="shared" si="283"/>
        <v>0</v>
      </c>
      <c r="O1291" s="1298">
        <f t="shared" si="286"/>
        <v>0</v>
      </c>
      <c r="P1291" s="1299"/>
      <c r="Q1291" s="1300"/>
      <c r="R1291" s="1300"/>
      <c r="S1291" s="1300"/>
    </row>
    <row r="1292" spans="1:20" s="1081" customFormat="1" hidden="1" outlineLevel="1">
      <c r="A1292" s="1072" t="str">
        <f t="shared" si="284"/>
        <v/>
      </c>
      <c r="B1292" s="1068" t="s">
        <v>1490</v>
      </c>
      <c r="C1292" s="1291"/>
      <c r="D1292" s="1198">
        <f>VLOOKUP($B1292,dongia1,DG!$B$5,)</f>
        <v>0</v>
      </c>
      <c r="E1292" s="1243" t="str">
        <f>VLOOKUP($B1292,dongia1,DG!$C$5,)</f>
        <v>Cổ dê kẹp ống PVC (STK) Þ 21</v>
      </c>
      <c r="F1292" s="1198" t="str">
        <f>VLOOKUP($B1292,dongia1,DG!$D$5,)</f>
        <v>bộ</v>
      </c>
      <c r="G1292" s="1481"/>
      <c r="H1292" s="1298">
        <f>VLOOKUP($B1292,dongia1,DG!$F$5,)</f>
        <v>43000</v>
      </c>
      <c r="I1292" s="1298"/>
      <c r="J1292" s="1298">
        <f>VLOOKUP($B1292,dongia1,DG!$G$5,)</f>
        <v>0</v>
      </c>
      <c r="K1292" s="1298">
        <f>VLOOKUP($B1292,dongia1,DG!$H$5,)</f>
        <v>0</v>
      </c>
      <c r="L1292" s="1298">
        <f>H1292*G1292</f>
        <v>0</v>
      </c>
      <c r="M1292" s="1298">
        <f t="shared" si="285"/>
        <v>0</v>
      </c>
      <c r="N1292" s="1298">
        <f>J1292*G1292</f>
        <v>0</v>
      </c>
      <c r="O1292" s="1298">
        <f t="shared" si="286"/>
        <v>0</v>
      </c>
      <c r="P1292" s="1299"/>
      <c r="Q1292" s="1300"/>
      <c r="R1292" s="1300"/>
      <c r="S1292" s="1300"/>
    </row>
    <row r="1293" spans="1:20" s="1081" customFormat="1" hidden="1" outlineLevel="1">
      <c r="A1293" s="1072" t="str">
        <f t="shared" si="284"/>
        <v/>
      </c>
      <c r="B1293" s="1086" t="s">
        <v>4497</v>
      </c>
      <c r="C1293" s="1291"/>
      <c r="D1293" s="1198">
        <f>VLOOKUP($B1293,dongia1,DG!$B$5,)</f>
        <v>0</v>
      </c>
      <c r="E1293" s="1243" t="str">
        <f>VLOOKUP($B1293,dongia1,DG!$C$5,)</f>
        <v>Đai thép Inox</v>
      </c>
      <c r="F1293" s="1198" t="str">
        <f>VLOOKUP($B1293,dongia1,DG!$D$5,)</f>
        <v>mét</v>
      </c>
      <c r="G1293" s="1481">
        <f>G1282*2.4</f>
        <v>0</v>
      </c>
      <c r="H1293" s="1298">
        <f>VLOOKUP($B1293,dongia1,DG!$F$5,)</f>
        <v>11000</v>
      </c>
      <c r="I1293" s="1298"/>
      <c r="J1293" s="1298">
        <f>VLOOKUP($B1293,dongia1,DG!$G$5,)</f>
        <v>0</v>
      </c>
      <c r="K1293" s="1298">
        <f>VLOOKUP($B1293,dongia1,DG!$H$5,)</f>
        <v>0</v>
      </c>
      <c r="L1293" s="1298">
        <f>H1293*G1293</f>
        <v>0</v>
      </c>
      <c r="M1293" s="1298">
        <f t="shared" si="285"/>
        <v>0</v>
      </c>
      <c r="N1293" s="1298">
        <f>J1293*G1293</f>
        <v>0</v>
      </c>
      <c r="O1293" s="1298">
        <f t="shared" si="286"/>
        <v>0</v>
      </c>
      <c r="P1293" s="1299"/>
      <c r="Q1293" s="1300"/>
      <c r="R1293" s="1300"/>
      <c r="S1293" s="1300"/>
    </row>
    <row r="1294" spans="1:20" s="1081" customFormat="1" hidden="1" outlineLevel="1">
      <c r="A1294" s="1072" t="str">
        <f t="shared" si="284"/>
        <v/>
      </c>
      <c r="B1294" s="1086" t="s">
        <v>4499</v>
      </c>
      <c r="C1294" s="1291"/>
      <c r="D1294" s="1198">
        <f>VLOOKUP($B1294,dongia1,DG!$B$5,)</f>
        <v>0</v>
      </c>
      <c r="E1294" s="1243" t="str">
        <f>VLOOKUP($B1294,dongia1,DG!$C$5,)</f>
        <v>Khóa đai Inox</v>
      </c>
      <c r="F1294" s="1198" t="str">
        <f>VLOOKUP($B1294,dongia1,DG!$D$5,)</f>
        <v>cái</v>
      </c>
      <c r="G1294" s="1481">
        <f>G1282*2</f>
        <v>0</v>
      </c>
      <c r="H1294" s="1298">
        <f>VLOOKUP($B1294,dongia1,DG!$F$5,)</f>
        <v>4000</v>
      </c>
      <c r="I1294" s="1298"/>
      <c r="J1294" s="1298">
        <f>VLOOKUP($B1294,dongia1,DG!$G$5,)</f>
        <v>0</v>
      </c>
      <c r="K1294" s="1298">
        <f>VLOOKUP($B1294,dongia1,DG!$H$5,)</f>
        <v>0</v>
      </c>
      <c r="L1294" s="1298">
        <f>H1294*G1294</f>
        <v>0</v>
      </c>
      <c r="M1294" s="1298">
        <f t="shared" si="285"/>
        <v>0</v>
      </c>
      <c r="N1294" s="1298">
        <f>J1294*G1294</f>
        <v>0</v>
      </c>
      <c r="O1294" s="1298">
        <f t="shared" si="286"/>
        <v>0</v>
      </c>
      <c r="P1294" s="1299"/>
      <c r="Q1294" s="1300"/>
      <c r="R1294" s="1300"/>
      <c r="S1294" s="1300"/>
    </row>
    <row r="1295" spans="1:20" s="1081" customFormat="1" hidden="1" outlineLevel="1">
      <c r="A1295" s="1072" t="str">
        <f t="shared" si="284"/>
        <v/>
      </c>
      <c r="B1295" s="1068" t="s">
        <v>211</v>
      </c>
      <c r="C1295" s="1291"/>
      <c r="D1295" s="1198">
        <f>VLOOKUP($B1295,dongia1,DG!$B$5,)</f>
        <v>0</v>
      </c>
      <c r="E1295" s="1243" t="str">
        <f>VLOOKUP($B1295,dongia1,DG!$C$5,)</f>
        <v>Khoan giếng tiếp địa</v>
      </c>
      <c r="F1295" s="1198" t="str">
        <f>VLOOKUP($B1295,dongia1,DG!$D$5,)</f>
        <v>Cái</v>
      </c>
      <c r="G1295" s="1481"/>
      <c r="H1295" s="1298">
        <f>VLOOKUP($B1295,dongia1,DG!$F$5,)</f>
        <v>0</v>
      </c>
      <c r="I1295" s="1298"/>
      <c r="J1295" s="1298">
        <f>VLOOKUP($B1295,dongia1,DG!$G$5,)</f>
        <v>1500000</v>
      </c>
      <c r="K1295" s="1298">
        <f>VLOOKUP($B1295,dongia1,DG!$H$5,)</f>
        <v>0</v>
      </c>
      <c r="L1295" s="1298">
        <f>H1295*G1295</f>
        <v>0</v>
      </c>
      <c r="M1295" s="1298">
        <f t="shared" si="285"/>
        <v>0</v>
      </c>
      <c r="N1295" s="1298">
        <f>J1295*G1295</f>
        <v>0</v>
      </c>
      <c r="O1295" s="1298">
        <f t="shared" si="286"/>
        <v>0</v>
      </c>
      <c r="P1295" s="1437"/>
      <c r="Q1295" s="1300"/>
      <c r="R1295" s="1300"/>
      <c r="S1295" s="1300"/>
    </row>
    <row r="1296" spans="1:20" s="1081" customFormat="1" hidden="1" outlineLevel="1">
      <c r="A1296" s="1072">
        <f>IF(G1296=0,0,1)</f>
        <v>0</v>
      </c>
      <c r="B1296" s="1068" t="str">
        <f>"DTD"&amp;capdat</f>
        <v>DTD3</v>
      </c>
      <c r="C1296" s="1302"/>
      <c r="D1296" s="1198" t="str">
        <f>VLOOKUP($B1296,dongia1,DG!$B$5,)</f>
        <v>AB.11513</v>
      </c>
      <c r="E1296" s="1243" t="str">
        <f>VLOOKUP($B1296,dongia1,DG!$C$5,)</f>
        <v>Đào rãnh tiếp địa đất cấp 3</v>
      </c>
      <c r="F1296" s="1198" t="str">
        <f>VLOOKUP($B1296,dongia1,DG!$D$5,)</f>
        <v>m3</v>
      </c>
      <c r="G1296" s="1481">
        <f>G1282*48*0.3*0.5</f>
        <v>0</v>
      </c>
      <c r="H1296" s="1298">
        <f>VLOOKUP($B1296,dongia1,DG!$F$5,)</f>
        <v>0</v>
      </c>
      <c r="I1296" s="1298"/>
      <c r="J1296" s="1298">
        <f>VLOOKUP($B1296,dongia1,DG!$G$5,)</f>
        <v>283749.75</v>
      </c>
      <c r="K1296" s="1298">
        <v>0</v>
      </c>
      <c r="L1296" s="1298">
        <f t="shared" ref="L1296:O1297" si="287">H1296*$G1296</f>
        <v>0</v>
      </c>
      <c r="M1296" s="1298">
        <f t="shared" si="287"/>
        <v>0</v>
      </c>
      <c r="N1296" s="1298">
        <f t="shared" si="287"/>
        <v>0</v>
      </c>
      <c r="O1296" s="1298">
        <f t="shared" si="287"/>
        <v>0</v>
      </c>
      <c r="P1296" s="1437"/>
      <c r="Q1296" s="1300"/>
      <c r="R1296" s="1300"/>
      <c r="S1296" s="1300"/>
    </row>
    <row r="1297" spans="1:20" s="1081" customFormat="1" hidden="1" outlineLevel="1">
      <c r="A1297" s="1072">
        <f>IF(G1297=0,0,1)</f>
        <v>0</v>
      </c>
      <c r="B1297" s="1068" t="s">
        <v>975</v>
      </c>
      <c r="C1297" s="1302"/>
      <c r="D1297" s="1198" t="str">
        <f>VLOOKUP($B1297,dongia1,DG!$B$5,)</f>
        <v>AB.13111</v>
      </c>
      <c r="E1297" s="1243" t="str">
        <f>VLOOKUP($B1297,dongia1,DG!$C$5,)</f>
        <v>Đắp đất rãnh tiếp địa cấp 3 (độ chặt k = 0.85)</v>
      </c>
      <c r="F1297" s="1198" t="str">
        <f>VLOOKUP($B1297,dongia1,DG!$D$5,)</f>
        <v>m3</v>
      </c>
      <c r="G1297" s="1481">
        <f>G1296</f>
        <v>0</v>
      </c>
      <c r="H1297" s="1298">
        <f>VLOOKUP($B1297,dongia1,DG!$F$5,)</f>
        <v>0</v>
      </c>
      <c r="I1297" s="1298"/>
      <c r="J1297" s="1298">
        <f>VLOOKUP($B1297,dongia1,DG!$G$5,)</f>
        <v>117703.6</v>
      </c>
      <c r="K1297" s="1298">
        <v>0</v>
      </c>
      <c r="L1297" s="1298">
        <f t="shared" si="287"/>
        <v>0</v>
      </c>
      <c r="M1297" s="1298">
        <f t="shared" si="287"/>
        <v>0</v>
      </c>
      <c r="N1297" s="1298">
        <f>J1297*$G1297</f>
        <v>0</v>
      </c>
      <c r="O1297" s="1298">
        <f t="shared" si="287"/>
        <v>0</v>
      </c>
      <c r="P1297" s="1437"/>
      <c r="Q1297" s="1300"/>
      <c r="R1297" s="1300"/>
      <c r="S1297" s="1300"/>
    </row>
    <row r="1298" spans="1:20" s="1081" customFormat="1" hidden="1" outlineLevel="1">
      <c r="A1298" s="1072">
        <f>IF(G1298=0,0,1)</f>
        <v>0</v>
      </c>
      <c r="B1298" s="1068" t="s">
        <v>985</v>
      </c>
      <c r="C1298" s="1302"/>
      <c r="D1298" s="1198" t="str">
        <f>VLOOKUP($B1298,dongia1,DG!$B$5,)</f>
        <v>D2.8103</v>
      </c>
      <c r="E1298" s="1243" t="str">
        <f>VLOOKUP($B1298,dongia1,DG!$C$5,)</f>
        <v>Đóng cọc tiếp địa đất cấp 3 dài 2,5m</v>
      </c>
      <c r="F1298" s="1198" t="str">
        <f>VLOOKUP($B1298,dongia1,DG!$D$5,)</f>
        <v>cọc</v>
      </c>
      <c r="G1298" s="1481">
        <f>G1285</f>
        <v>0</v>
      </c>
      <c r="H1298" s="1298">
        <f>VLOOKUP($B1298,dongia1,DG!$F$5,)</f>
        <v>0</v>
      </c>
      <c r="I1298" s="1298"/>
      <c r="J1298" s="1298" t="str">
        <f>VLOOKUP($B1298,dongia1,DG!$G$5,)&amp;" x 1,7"</f>
        <v>90355,896 x 1,7</v>
      </c>
      <c r="K1298" s="1298">
        <v>0</v>
      </c>
      <c r="L1298" s="1298">
        <f>H1298*$G1298</f>
        <v>0</v>
      </c>
      <c r="M1298" s="1298">
        <f>I1298*$G1298</f>
        <v>0</v>
      </c>
      <c r="N1298" s="1298">
        <f>VLOOKUP($B1298,dongia1,DG!$G$5,)*1.7*G1298</f>
        <v>0</v>
      </c>
      <c r="O1298" s="1298">
        <f>K1298*$G1298</f>
        <v>0</v>
      </c>
      <c r="P1298" s="1437"/>
      <c r="Q1298" s="1300"/>
      <c r="R1298" s="1300"/>
      <c r="S1298" s="1300"/>
    </row>
    <row r="1299" spans="1:20" s="1081" customFormat="1" hidden="1" outlineLevel="1">
      <c r="A1299" s="1072" t="str">
        <f>IF(G1299&lt;&gt;0,1,"")</f>
        <v/>
      </c>
      <c r="B1299" s="1068" t="s">
        <v>983</v>
      </c>
      <c r="C1299" s="1291"/>
      <c r="D1299" s="1198" t="str">
        <f>VLOOKUP($B1299,dongia1,DG!$B$5,)</f>
        <v>T4.7001</v>
      </c>
      <c r="E1299" s="1243" t="str">
        <f>VLOOKUP($B1299,dongia1,DG!$C$5,)</f>
        <v>Kéo dây tiếp địa TBA</v>
      </c>
      <c r="F1299" s="1198" t="str">
        <f>VLOOKUP($B1299,dongia1,DG!$D$5,)</f>
        <v>mét</v>
      </c>
      <c r="G1299" s="1481">
        <f>G1284/0.224</f>
        <v>0</v>
      </c>
      <c r="H1299" s="1298">
        <f>VLOOKUP($B1299,dongia1,DG!$E$5,)</f>
        <v>0</v>
      </c>
      <c r="I1299" s="1298"/>
      <c r="J1299" s="1298">
        <f>VLOOKUP($B1299,dongia1,DG!$G$5,)</f>
        <v>8070.7000000000007</v>
      </c>
      <c r="K1299" s="1298">
        <f>VLOOKUP($B1299,dongia1,DG!$H$5,)</f>
        <v>2044.9974999999999</v>
      </c>
      <c r="L1299" s="1298">
        <f>H1299*G1299</f>
        <v>0</v>
      </c>
      <c r="M1299" s="1298">
        <f>I1299*G1299</f>
        <v>0</v>
      </c>
      <c r="N1299" s="1298">
        <f>J1299*G1299</f>
        <v>0</v>
      </c>
      <c r="O1299" s="1298">
        <f>K1299*G1299</f>
        <v>0</v>
      </c>
      <c r="P1299" s="1437"/>
      <c r="Q1299" s="1300"/>
      <c r="R1299" s="1300"/>
      <c r="S1299" s="1300"/>
    </row>
    <row r="1300" spans="1:20" s="1081" customFormat="1" hidden="1" outlineLevel="1">
      <c r="A1300" s="1072" t="str">
        <f>IF(G1300&lt;&gt;0,1,"")</f>
        <v/>
      </c>
      <c r="B1300" s="1295"/>
      <c r="C1300" s="1291">
        <f>IF(G1300&gt;0,C1282+1,C1282)</f>
        <v>0</v>
      </c>
      <c r="D1300" s="1292"/>
      <c r="E1300" s="1296" t="s">
        <v>3441</v>
      </c>
      <c r="F1300" s="1291" t="s">
        <v>2113</v>
      </c>
      <c r="G1300" s="1294">
        <f>G1233</f>
        <v>0</v>
      </c>
      <c r="H1300" s="1298"/>
      <c r="I1300" s="1298"/>
      <c r="J1300" s="1298"/>
      <c r="K1300" s="1298"/>
      <c r="L1300" s="1298">
        <f t="shared" ref="L1300:L1305" si="288">H1300*G1300</f>
        <v>0</v>
      </c>
      <c r="M1300" s="1298">
        <f t="shared" ref="M1300:M1305" si="289">I1300*G1300</f>
        <v>0</v>
      </c>
      <c r="N1300" s="1298">
        <f t="shared" ref="N1300:N1305" si="290">J1300*G1300</f>
        <v>0</v>
      </c>
      <c r="O1300" s="1298">
        <f t="shared" ref="O1300:O1305" si="291">K1300*G1300</f>
        <v>0</v>
      </c>
      <c r="P1300" s="1299"/>
      <c r="Q1300" s="1300">
        <f>+SUM(L1301:L1305)</f>
        <v>0</v>
      </c>
      <c r="R1300" s="1300">
        <f>+SUM(M1301:M1305)</f>
        <v>0</v>
      </c>
      <c r="S1300" s="1300">
        <f>+SUM(N1301:N1305)</f>
        <v>0</v>
      </c>
      <c r="T1300" s="1300">
        <f>+SUM(O1301:O1305)</f>
        <v>0</v>
      </c>
    </row>
    <row r="1301" spans="1:20" s="1081" customFormat="1" ht="14.4" hidden="1" outlineLevel="1">
      <c r="A1301" s="1072" t="str">
        <f>A1300</f>
        <v/>
      </c>
      <c r="B1301" s="1295"/>
      <c r="C1301" s="1291"/>
      <c r="D1301" s="1292"/>
      <c r="E1301" s="1301" t="s">
        <v>3399</v>
      </c>
      <c r="F1301" s="1302"/>
      <c r="G1301" s="1481"/>
      <c r="H1301" s="1298"/>
      <c r="I1301" s="1298"/>
      <c r="J1301" s="1298"/>
      <c r="K1301" s="1298"/>
      <c r="L1301" s="1298">
        <f t="shared" si="288"/>
        <v>0</v>
      </c>
      <c r="M1301" s="1298">
        <f t="shared" si="289"/>
        <v>0</v>
      </c>
      <c r="N1301" s="1298">
        <f t="shared" si="290"/>
        <v>0</v>
      </c>
      <c r="O1301" s="1298">
        <f t="shared" si="291"/>
        <v>0</v>
      </c>
      <c r="P1301" s="1299"/>
      <c r="Q1301" s="1300"/>
      <c r="R1301" s="1300"/>
      <c r="S1301" s="1300"/>
    </row>
    <row r="1302" spans="1:20" s="1081" customFormat="1" hidden="1" outlineLevel="1">
      <c r="A1302" s="1072" t="str">
        <f>IF(G1302&lt;&gt;0,1,"")</f>
        <v/>
      </c>
      <c r="B1302" s="1295" t="s">
        <v>1472</v>
      </c>
      <c r="C1302" s="1302"/>
      <c r="D1302" s="1198">
        <f>VLOOKUP($B1302,dongia1,DG!$B$5,)</f>
        <v>0</v>
      </c>
      <c r="E1302" s="1243" t="str">
        <f>VLOOKUP($B1302,dongia1,DG!$C$5,)</f>
        <v>Ximăng</v>
      </c>
      <c r="F1302" s="1198" t="str">
        <f>VLOOKUP($B1302,dongia1,DG!$D$5,)</f>
        <v>kg</v>
      </c>
      <c r="G1302" s="1481">
        <f>+G1305*296</f>
        <v>0</v>
      </c>
      <c r="H1302" s="1298">
        <f>VLOOKUP($B1302,dongia1,DG!$F$5,)</f>
        <v>1740</v>
      </c>
      <c r="I1302" s="1298"/>
      <c r="J1302" s="1298">
        <f>VLOOKUP($B1302,dongia1,DG!$G$5,)</f>
        <v>0</v>
      </c>
      <c r="K1302" s="1298">
        <f>VLOOKUP($B1302,dongia1,DG!$H$5,)</f>
        <v>0</v>
      </c>
      <c r="L1302" s="1298">
        <f t="shared" si="288"/>
        <v>0</v>
      </c>
      <c r="M1302" s="1298">
        <f t="shared" si="289"/>
        <v>0</v>
      </c>
      <c r="N1302" s="1298">
        <f t="shared" si="290"/>
        <v>0</v>
      </c>
      <c r="O1302" s="1298">
        <f t="shared" si="291"/>
        <v>0</v>
      </c>
      <c r="P1302" s="1299"/>
      <c r="Q1302" s="1300"/>
      <c r="R1302" s="1300"/>
      <c r="S1302" s="1300"/>
    </row>
    <row r="1303" spans="1:20" s="1081" customFormat="1" hidden="1" outlineLevel="1">
      <c r="A1303" s="1072" t="str">
        <f>IF(G1303&lt;&gt;0,1,"")</f>
        <v/>
      </c>
      <c r="B1303" s="1295" t="s">
        <v>1729</v>
      </c>
      <c r="C1303" s="1291"/>
      <c r="D1303" s="1198">
        <f>VLOOKUP($B1303,dongia1,DG!$B$5,)</f>
        <v>0</v>
      </c>
      <c r="E1303" s="1243" t="str">
        <f>VLOOKUP($B1303,dongia1,DG!$C$5,)</f>
        <v>Cát vàng</v>
      </c>
      <c r="F1303" s="1198" t="str">
        <f>VLOOKUP($B1303,dongia1,DG!$D$5,)</f>
        <v>m3</v>
      </c>
      <c r="G1303" s="1481">
        <f>G1305*0.475</f>
        <v>0</v>
      </c>
      <c r="H1303" s="1298">
        <f>VLOOKUP($B1303,dongia1,DG!$F$5,)</f>
        <v>512000</v>
      </c>
      <c r="I1303" s="1298"/>
      <c r="J1303" s="1298">
        <f>VLOOKUP($B1303,dongia1,DG!$G$5,)</f>
        <v>0</v>
      </c>
      <c r="K1303" s="1298">
        <f>VLOOKUP($B1303,dongia1,DG!$H$5,)</f>
        <v>0</v>
      </c>
      <c r="L1303" s="1298">
        <f t="shared" si="288"/>
        <v>0</v>
      </c>
      <c r="M1303" s="1298">
        <f t="shared" si="289"/>
        <v>0</v>
      </c>
      <c r="N1303" s="1298">
        <f t="shared" si="290"/>
        <v>0</v>
      </c>
      <c r="O1303" s="1298">
        <f t="shared" si="291"/>
        <v>0</v>
      </c>
      <c r="P1303" s="1299"/>
      <c r="Q1303" s="1300"/>
      <c r="R1303" s="1300"/>
      <c r="S1303" s="1300"/>
    </row>
    <row r="1304" spans="1:20" s="1081" customFormat="1" hidden="1" outlineLevel="1">
      <c r="A1304" s="1072" t="str">
        <f>IF(G1304&lt;&gt;0,1,"")</f>
        <v/>
      </c>
      <c r="B1304" s="1295" t="s">
        <v>599</v>
      </c>
      <c r="C1304" s="1291"/>
      <c r="D1304" s="1198">
        <f>VLOOKUP($B1304,dongia1,DG!$B$5,)</f>
        <v>0</v>
      </c>
      <c r="E1304" s="1243" t="str">
        <f>VLOOKUP($B1304,dongia1,DG!$C$5,)</f>
        <v>Đá 1x2</v>
      </c>
      <c r="F1304" s="1198" t="str">
        <f>VLOOKUP($B1304,dongia1,DG!$D$5,)</f>
        <v>m3</v>
      </c>
      <c r="G1304" s="1481">
        <f>G1305*0.881</f>
        <v>0</v>
      </c>
      <c r="H1304" s="1298">
        <f>VLOOKUP($B1304,dongia1,DG!$F$5,)</f>
        <v>335000</v>
      </c>
      <c r="I1304" s="1298"/>
      <c r="J1304" s="1298">
        <f>VLOOKUP($B1304,dongia1,DG!$G$5,)</f>
        <v>0</v>
      </c>
      <c r="K1304" s="1298">
        <f>VLOOKUP($B1304,dongia1,DG!$H$5,)</f>
        <v>0</v>
      </c>
      <c r="L1304" s="1298">
        <f t="shared" si="288"/>
        <v>0</v>
      </c>
      <c r="M1304" s="1298">
        <f t="shared" si="289"/>
        <v>0</v>
      </c>
      <c r="N1304" s="1298">
        <f t="shared" si="290"/>
        <v>0</v>
      </c>
      <c r="O1304" s="1298">
        <f t="shared" si="291"/>
        <v>0</v>
      </c>
      <c r="P1304" s="1299"/>
      <c r="Q1304" s="1300"/>
      <c r="R1304" s="1300"/>
      <c r="S1304" s="1300"/>
    </row>
    <row r="1305" spans="1:20" s="1081" customFormat="1" hidden="1" outlineLevel="1">
      <c r="A1305" s="1072" t="str">
        <f>IF(G1305&lt;&gt;0,1,"")</f>
        <v/>
      </c>
      <c r="B1305" s="1295" t="s">
        <v>1473</v>
      </c>
      <c r="C1305" s="1302"/>
      <c r="D1305" s="1198" t="str">
        <f>VLOOKUP($B1305,dongia1,DG!$B$5,)</f>
        <v>AF.11220</v>
      </c>
      <c r="E1305" s="1243" t="str">
        <f>VLOOKUP($B1305,dongia1,DG!$C$5,)</f>
        <v>Đổ bê tông mác M200 đá 1x 2rộng &gt;250cm</v>
      </c>
      <c r="F1305" s="1198" t="str">
        <f>VLOOKUP($B1305,dongia1,DG!$D$5,)</f>
        <v>m3</v>
      </c>
      <c r="G1305" s="1481">
        <f>G1300*(0.4*3*1-2*3.14*0.15^2*0.4)</f>
        <v>0</v>
      </c>
      <c r="H1305" s="1298"/>
      <c r="I1305" s="1298"/>
      <c r="J1305" s="1298">
        <f>VLOOKUP($B1305,dongia1,DG!$G$5,)</f>
        <v>466397.5</v>
      </c>
      <c r="K1305" s="1298">
        <f>VLOOKUP($B1305,dongia1,DG!$H$5,)</f>
        <v>0</v>
      </c>
      <c r="L1305" s="1298">
        <f t="shared" si="288"/>
        <v>0</v>
      </c>
      <c r="M1305" s="1298">
        <f t="shared" si="289"/>
        <v>0</v>
      </c>
      <c r="N1305" s="1298">
        <f t="shared" si="290"/>
        <v>0</v>
      </c>
      <c r="O1305" s="1298">
        <f t="shared" si="291"/>
        <v>0</v>
      </c>
      <c r="P1305" s="1299"/>
      <c r="Q1305" s="1306"/>
      <c r="R1305" s="1306">
        <f>1.025*0.45</f>
        <v>0.46124999999999999</v>
      </c>
      <c r="S1305" s="1306"/>
      <c r="T1305" s="1307"/>
    </row>
    <row r="1306" spans="1:20" s="1081" customFormat="1" hidden="1" outlineLevel="1">
      <c r="A1306" s="1072" t="str">
        <f>IF(G1306&lt;&gt;0,1,"")</f>
        <v/>
      </c>
      <c r="B1306" s="1295"/>
      <c r="C1306" s="1291">
        <f>IF(G1306&gt;0,C1300+1,C1300)</f>
        <v>0</v>
      </c>
      <c r="D1306" s="1292"/>
      <c r="E1306" s="1416" t="s">
        <v>3442</v>
      </c>
      <c r="F1306" s="1291" t="s">
        <v>2113</v>
      </c>
      <c r="G1306" s="1294">
        <f>G1226</f>
        <v>0</v>
      </c>
      <c r="H1306" s="1298"/>
      <c r="I1306" s="1298"/>
      <c r="J1306" s="1298"/>
      <c r="K1306" s="1298"/>
      <c r="L1306" s="1298">
        <f>H1306*G1306</f>
        <v>0</v>
      </c>
      <c r="M1306" s="1298">
        <f>I1306*G1306</f>
        <v>0</v>
      </c>
      <c r="N1306" s="1298">
        <f>J1306*G1306</f>
        <v>0</v>
      </c>
      <c r="O1306" s="1298">
        <f>K1306*G1306</f>
        <v>0</v>
      </c>
      <c r="P1306" s="1437"/>
      <c r="Q1306" s="1300">
        <f>+SUM(L1307:L1310)</f>
        <v>0</v>
      </c>
      <c r="R1306" s="1300">
        <f>+SUM(M1307:M1310)</f>
        <v>0</v>
      </c>
      <c r="S1306" s="1300">
        <f>+SUM(N1307:N1310)</f>
        <v>0</v>
      </c>
      <c r="T1306" s="1300">
        <f>+SUM(O1307:O1310)</f>
        <v>0</v>
      </c>
    </row>
    <row r="1307" spans="1:20" s="1081" customFormat="1" ht="14.4" hidden="1" outlineLevel="1">
      <c r="A1307" s="1072" t="str">
        <f>A1306</f>
        <v/>
      </c>
      <c r="B1307" s="1295"/>
      <c r="C1307" s="1291"/>
      <c r="D1307" s="1292"/>
      <c r="E1307" s="1301" t="s">
        <v>3399</v>
      </c>
      <c r="F1307" s="1302"/>
      <c r="G1307" s="1481"/>
      <c r="H1307" s="1298"/>
      <c r="I1307" s="1298"/>
      <c r="J1307" s="1298"/>
      <c r="K1307" s="1298"/>
      <c r="L1307" s="1298">
        <f>H1307*G1307</f>
        <v>0</v>
      </c>
      <c r="M1307" s="1298">
        <f>I1307*G1307</f>
        <v>0</v>
      </c>
      <c r="N1307" s="1298">
        <f>J1307*G1307</f>
        <v>0</v>
      </c>
      <c r="O1307" s="1298">
        <f>K1307*G1307</f>
        <v>0</v>
      </c>
      <c r="P1307" s="1437"/>
      <c r="Q1307" s="1300"/>
      <c r="R1307" s="1300"/>
      <c r="S1307" s="1300"/>
    </row>
    <row r="1308" spans="1:20" s="1081" customFormat="1" hidden="1" outlineLevel="1">
      <c r="A1308" s="1072" t="str">
        <f>IF(G1308&lt;&gt;0,1,"")</f>
        <v/>
      </c>
      <c r="B1308" s="1082" t="s">
        <v>1485</v>
      </c>
      <c r="C1308" s="1302"/>
      <c r="D1308" s="1198"/>
      <c r="E1308" s="1243" t="str">
        <f>VLOOKUP($B1308,dongia1,DG!$C$5,)</f>
        <v>Tủ điện kế</v>
      </c>
      <c r="F1308" s="1198" t="str">
        <f>VLOOKUP($B1308,dongia1,DG!$D$5,)</f>
        <v>cái</v>
      </c>
      <c r="G1308" s="1481">
        <f>$G$1306</f>
        <v>0</v>
      </c>
      <c r="H1308" s="1298">
        <f>VLOOKUP($B1308,dongia1,DG!$F$5,)</f>
        <v>783952</v>
      </c>
      <c r="I1308" s="1298"/>
      <c r="J1308" s="1298"/>
      <c r="K1308" s="1298"/>
      <c r="L1308" s="1298">
        <f>H1308*G1308</f>
        <v>0</v>
      </c>
      <c r="M1308" s="1298">
        <f>I1308*G1308</f>
        <v>0</v>
      </c>
      <c r="N1308" s="1298">
        <f>J1308*G1308</f>
        <v>0</v>
      </c>
      <c r="O1308" s="1298">
        <f>K1308*G1308</f>
        <v>0</v>
      </c>
      <c r="P1308" s="1437"/>
      <c r="Q1308" s="1300"/>
      <c r="R1308" s="1300"/>
      <c r="S1308" s="1300"/>
    </row>
    <row r="1309" spans="1:20" s="1081" customFormat="1" hidden="1" outlineLevel="1">
      <c r="A1309" s="1072" t="str">
        <f>IF(G1309&lt;&gt;0,1,"")</f>
        <v/>
      </c>
      <c r="B1309" s="1082" t="s">
        <v>333</v>
      </c>
      <c r="C1309" s="1291"/>
      <c r="D1309" s="1198" t="str">
        <f>VLOOKUP($B1309,dongia1,DG!$B$5,)</f>
        <v>T5.1002</v>
      </c>
      <c r="E1309" s="1243" t="str">
        <f>VLOOKUP($B1309,dongia1,DG!$C$5,)</f>
        <v>Tủ MCCB trạm giàn 1 ngăn</v>
      </c>
      <c r="F1309" s="1198" t="str">
        <f>VLOOKUP($B1309,dongia1,DG!$D$5,)</f>
        <v>cái</v>
      </c>
      <c r="G1309" s="1481">
        <f>G1306*1</f>
        <v>0</v>
      </c>
      <c r="H1309" s="1298">
        <f>VLOOKUP($B1309,dongia1,DG!$F$5,)</f>
        <v>2112489</v>
      </c>
      <c r="I1309" s="1298"/>
      <c r="J1309" s="1298">
        <f>VLOOKUP($B1309,dongia1,DG!$G$5,)</f>
        <v>690091</v>
      </c>
      <c r="K1309" s="1298">
        <f>VLOOKUP($B1309,dongia1,DG!$H$5,)</f>
        <v>97369</v>
      </c>
      <c r="L1309" s="1298">
        <f>H1309*G1309</f>
        <v>0</v>
      </c>
      <c r="M1309" s="1298">
        <f>I1309*G1309</f>
        <v>0</v>
      </c>
      <c r="N1309" s="1298">
        <f>J1309*G1309</f>
        <v>0</v>
      </c>
      <c r="O1309" s="1298">
        <f>K1309*G1309</f>
        <v>0</v>
      </c>
      <c r="P1309" s="1437"/>
      <c r="Q1309" s="1300"/>
      <c r="R1309" s="1300"/>
      <c r="S1309" s="1300"/>
    </row>
    <row r="1310" spans="1:20" s="1081" customFormat="1" hidden="1" outlineLevel="1">
      <c r="A1310" s="1072" t="str">
        <f>IF(G1310&lt;&gt;0,1,"")</f>
        <v/>
      </c>
      <c r="B1310" s="1295" t="s">
        <v>888</v>
      </c>
      <c r="C1310" s="1302"/>
      <c r="D1310" s="1198"/>
      <c r="E1310" s="1243" t="str">
        <f>VLOOKUP($B1310,dongia1,DG!$C$5,)</f>
        <v>Bảng tên trạm + bảng báo nguy hiểm</v>
      </c>
      <c r="F1310" s="1198" t="str">
        <f>VLOOKUP($B1310,dongia1,DG!$D$5,)</f>
        <v>cái</v>
      </c>
      <c r="G1310" s="1481">
        <f>G1306</f>
        <v>0</v>
      </c>
      <c r="H1310" s="1298">
        <f>VLOOKUP($B1310,dongia1,DG!$F$5,)</f>
        <v>300000</v>
      </c>
      <c r="I1310" s="1298"/>
      <c r="J1310" s="1298"/>
      <c r="K1310" s="1298">
        <f>VLOOKUP($B1310,dongia1,DG!$H$5,)</f>
        <v>0</v>
      </c>
      <c r="L1310" s="1298">
        <f>H1310*G1310</f>
        <v>0</v>
      </c>
      <c r="M1310" s="1298">
        <f>I1310*G1310</f>
        <v>0</v>
      </c>
      <c r="N1310" s="1298">
        <f>J1310*G1310</f>
        <v>0</v>
      </c>
      <c r="O1310" s="1298">
        <f>K1310*G1310</f>
        <v>0</v>
      </c>
      <c r="P1310" s="1437"/>
      <c r="Q1310" s="1300"/>
      <c r="R1310" s="1300"/>
      <c r="S1310" s="1300"/>
    </row>
    <row r="1311" spans="1:20" s="1081" customFormat="1" hidden="1" outlineLevel="1">
      <c r="A1311" s="1072" t="str">
        <f t="shared" ref="A1311:A1321" si="292">IF(G1311&lt;&gt;0,1,"")</f>
        <v/>
      </c>
      <c r="B1311" s="1295"/>
      <c r="C1311" s="1291">
        <f>IF(G1311&gt;0,C1306+1,C1306)</f>
        <v>0</v>
      </c>
      <c r="D1311" s="1292"/>
      <c r="E1311" s="1293" t="s">
        <v>3443</v>
      </c>
      <c r="F1311" s="1291" t="s">
        <v>2113</v>
      </c>
      <c r="G1311" s="1294">
        <f>G1226</f>
        <v>0</v>
      </c>
      <c r="H1311" s="1298"/>
      <c r="I1311" s="1298"/>
      <c r="J1311" s="1298"/>
      <c r="K1311" s="1298"/>
      <c r="L1311" s="1298"/>
      <c r="M1311" s="1298"/>
      <c r="N1311" s="1298"/>
      <c r="O1311" s="1298"/>
      <c r="P1311" s="1437"/>
      <c r="Q1311" s="1300">
        <f>+SUM(L1312:L1323)</f>
        <v>0</v>
      </c>
      <c r="R1311" s="1300">
        <f>+SUM(M1312:M1323)</f>
        <v>0</v>
      </c>
      <c r="S1311" s="1300">
        <f>+SUM(N1312:N1323)</f>
        <v>0</v>
      </c>
      <c r="T1311" s="1300">
        <f>+SUM(O1312:O1323)</f>
        <v>0</v>
      </c>
    </row>
    <row r="1312" spans="1:20" s="1081" customFormat="1" ht="14.4" hidden="1" outlineLevel="1">
      <c r="A1312" s="1072" t="str">
        <f>A1311</f>
        <v/>
      </c>
      <c r="B1312" s="1295"/>
      <c r="C1312" s="1291"/>
      <c r="D1312" s="1292"/>
      <c r="E1312" s="1308" t="s">
        <v>3399</v>
      </c>
      <c r="F1312" s="1291"/>
      <c r="G1312" s="1294"/>
      <c r="H1312" s="1298"/>
      <c r="I1312" s="1298"/>
      <c r="J1312" s="1298"/>
      <c r="K1312" s="1298"/>
      <c r="L1312" s="1298"/>
      <c r="M1312" s="1298"/>
      <c r="N1312" s="1298"/>
      <c r="O1312" s="1298"/>
      <c r="P1312" s="1437"/>
      <c r="Q1312" s="1300"/>
      <c r="R1312" s="1300"/>
      <c r="S1312" s="1300"/>
    </row>
    <row r="1313" spans="1:20" s="1081" customFormat="1" hidden="1" outlineLevel="1">
      <c r="A1313" s="1072" t="str">
        <f>IF(G1313&lt;&gt;0,1,"")</f>
        <v/>
      </c>
      <c r="B1313" s="1068" t="s">
        <v>648</v>
      </c>
      <c r="C1313" s="1302"/>
      <c r="D1313" s="1198">
        <f>VLOOKUP($B1313,dongia1,DG!$B$5,)</f>
        <v>0</v>
      </c>
      <c r="E1313" s="1243" t="str">
        <f>VLOOKUP($B1313,dongia1,DG!$C$5,)</f>
        <v>Cáp 24KV C/XLPE/PVC- 25mm2</v>
      </c>
      <c r="F1313" s="1198" t="str">
        <f>VLOOKUP($B1313,dongia1,DG!$D$5,)</f>
        <v>mét</v>
      </c>
      <c r="G1313" s="1481">
        <f>G1311*(7)*3</f>
        <v>0</v>
      </c>
      <c r="H1313" s="1298">
        <f>VLOOKUP($B1313,dongia1,DG!$F$5,)</f>
        <v>50996</v>
      </c>
      <c r="I1313" s="1298"/>
      <c r="J1313" s="1298">
        <f>VLOOKUP($B1313,dongia1,DG!$G$5,)</f>
        <v>0</v>
      </c>
      <c r="K1313" s="1298">
        <f>VLOOKUP($B1313,dongia1,DG!$H$5,)</f>
        <v>0</v>
      </c>
      <c r="L1313" s="1298">
        <f t="shared" ref="L1313:L1321" si="293">H1313*G1313</f>
        <v>0</v>
      </c>
      <c r="M1313" s="1298">
        <f t="shared" ref="M1313:M1321" si="294">I1313*G1313</f>
        <v>0</v>
      </c>
      <c r="N1313" s="1298">
        <f t="shared" ref="N1313:N1321" si="295">J1313*G1313</f>
        <v>0</v>
      </c>
      <c r="O1313" s="1298">
        <f t="shared" ref="O1313:O1321" si="296">K1313*G1313</f>
        <v>0</v>
      </c>
      <c r="P1313" s="1437"/>
      <c r="Q1313" s="1300"/>
      <c r="R1313" s="1300"/>
      <c r="S1313" s="1300"/>
    </row>
    <row r="1314" spans="1:20" s="1081" customFormat="1" hidden="1" outlineLevel="1">
      <c r="A1314" s="1072" t="str">
        <f>IF(G1314&lt;&gt;0,1,"")</f>
        <v/>
      </c>
      <c r="B1314" s="1068" t="s">
        <v>2144</v>
      </c>
      <c r="C1314" s="1302"/>
      <c r="D1314" s="1198">
        <f>VLOOKUP($B1314,dongia1,DG!$B$5,)</f>
        <v>0</v>
      </c>
      <c r="E1314" s="1243" t="str">
        <f>VLOOKUP($B1314,dongia1,DG!$C$5,)</f>
        <v>Nắp che đầu cực FCO</v>
      </c>
      <c r="F1314" s="1198" t="str">
        <f>VLOOKUP($B1314,dongia1,DG!$D$5,)</f>
        <v>cái</v>
      </c>
      <c r="G1314" s="1481">
        <f>+G1311*3</f>
        <v>0</v>
      </c>
      <c r="H1314" s="1298">
        <f>VLOOKUP($B1314,dongia1,DG!$F$5,)</f>
        <v>218200</v>
      </c>
      <c r="I1314" s="1298"/>
      <c r="J1314" s="1298">
        <f>VLOOKUP($B1314,dongia1,DG!$G$5,)</f>
        <v>0</v>
      </c>
      <c r="K1314" s="1298">
        <f>VLOOKUP($B1314,dongia1,DG!$H$5,)</f>
        <v>0</v>
      </c>
      <c r="L1314" s="1298">
        <f>H1314*G1314</f>
        <v>0</v>
      </c>
      <c r="M1314" s="1298">
        <f t="shared" si="294"/>
        <v>0</v>
      </c>
      <c r="N1314" s="1298">
        <f>J1314*G1314</f>
        <v>0</v>
      </c>
      <c r="O1314" s="1298">
        <f>K1314*G1314</f>
        <v>0</v>
      </c>
      <c r="P1314" s="1437"/>
      <c r="Q1314" s="1300"/>
      <c r="R1314" s="1300"/>
      <c r="S1314" s="1300"/>
    </row>
    <row r="1315" spans="1:20" s="1081" customFormat="1" hidden="1" outlineLevel="1">
      <c r="A1315" s="1072" t="str">
        <f>IF(G1315&lt;&gt;0,1,"")</f>
        <v/>
      </c>
      <c r="B1315" s="1068" t="s">
        <v>2121</v>
      </c>
      <c r="C1315" s="1302"/>
      <c r="D1315" s="1198">
        <f>VLOOKUP($B1315,dongia1,DG!$B$5,)</f>
        <v>0</v>
      </c>
      <c r="E1315" s="1243" t="str">
        <f>VLOOKUP($B1315,dongia1,DG!$C$5,)</f>
        <v>Nắp che đầu cực LA</v>
      </c>
      <c r="F1315" s="1198" t="str">
        <f>VLOOKUP($B1315,dongia1,DG!$D$5,)</f>
        <v>cái</v>
      </c>
      <c r="G1315" s="1481">
        <f>+G1311*3</f>
        <v>0</v>
      </c>
      <c r="H1315" s="1298">
        <f>VLOOKUP($B1315,dongia1,DG!$F$5,)</f>
        <v>39100</v>
      </c>
      <c r="I1315" s="1298"/>
      <c r="J1315" s="1298">
        <f>VLOOKUP($B1315,dongia1,DG!$G$5,)</f>
        <v>0</v>
      </c>
      <c r="K1315" s="1298">
        <f>VLOOKUP($B1315,dongia1,DG!$H$5,)</f>
        <v>0</v>
      </c>
      <c r="L1315" s="1298">
        <f>H1315*G1315</f>
        <v>0</v>
      </c>
      <c r="M1315" s="1298">
        <f t="shared" si="294"/>
        <v>0</v>
      </c>
      <c r="N1315" s="1298">
        <f>J1315*G1315</f>
        <v>0</v>
      </c>
      <c r="O1315" s="1298">
        <f>K1315*G1315</f>
        <v>0</v>
      </c>
      <c r="P1315" s="1437"/>
      <c r="Q1315" s="1300"/>
      <c r="R1315" s="1300"/>
      <c r="S1315" s="1300"/>
    </row>
    <row r="1316" spans="1:20" s="1081" customFormat="1" hidden="1" outlineLevel="1">
      <c r="A1316" s="1072" t="str">
        <f>IF(G1316&lt;&gt;0,1,"")</f>
        <v/>
      </c>
      <c r="B1316" s="1068" t="s">
        <v>2123</v>
      </c>
      <c r="C1316" s="1302"/>
      <c r="D1316" s="1198">
        <f>VLOOKUP($B1316,dongia1,DG!$B$5,)</f>
        <v>0</v>
      </c>
      <c r="E1316" s="1243" t="str">
        <f>VLOOKUP($B1316,dongia1,DG!$C$5,)</f>
        <v>Nắp che đầu sứ MBA</v>
      </c>
      <c r="F1316" s="1198" t="str">
        <f>VLOOKUP($B1316,dongia1,DG!$D$5,)</f>
        <v>cái</v>
      </c>
      <c r="G1316" s="1481">
        <f>+G1311*3</f>
        <v>0</v>
      </c>
      <c r="H1316" s="1298">
        <f>VLOOKUP($B1316,dongia1,DG!$F$5,)</f>
        <v>56700</v>
      </c>
      <c r="I1316" s="1298"/>
      <c r="J1316" s="1298">
        <f>VLOOKUP($B1316,dongia1,DG!$G$5,)</f>
        <v>0</v>
      </c>
      <c r="K1316" s="1298">
        <f>VLOOKUP($B1316,dongia1,DG!$H$5,)</f>
        <v>0</v>
      </c>
      <c r="L1316" s="1298">
        <f>H1316*G1316</f>
        <v>0</v>
      </c>
      <c r="M1316" s="1298">
        <f t="shared" si="294"/>
        <v>0</v>
      </c>
      <c r="N1316" s="1298">
        <f>J1316*G1316</f>
        <v>0</v>
      </c>
      <c r="O1316" s="1298">
        <f>K1316*G1316</f>
        <v>0</v>
      </c>
      <c r="P1316" s="1437"/>
      <c r="Q1316" s="1300"/>
      <c r="R1316" s="1300"/>
      <c r="S1316" s="1300"/>
    </row>
    <row r="1317" spans="1:20" s="1081" customFormat="1" hidden="1" outlineLevel="1">
      <c r="A1317" s="1072" t="str">
        <f>IF(G1317&lt;&gt;0,1,"")</f>
        <v/>
      </c>
      <c r="B1317" s="1063" t="s">
        <v>4501</v>
      </c>
      <c r="C1317" s="1302"/>
      <c r="D1317" s="1198">
        <f>VLOOKUP($B1317,dongia1,DG!$B$5,)</f>
        <v>0</v>
      </c>
      <c r="E1317" s="1243" t="str">
        <f>VLOOKUP($B1317,dongia1,DG!$C$5,)</f>
        <v>Chụp cách điện kẹp quai</v>
      </c>
      <c r="F1317" s="1198" t="str">
        <f>VLOOKUP($B1317,dongia1,DG!$D$5,)</f>
        <v>Cái</v>
      </c>
      <c r="G1317" s="1481">
        <f>G1318</f>
        <v>0</v>
      </c>
      <c r="H1317" s="1298">
        <f>VLOOKUP($B1317,dongia1,DG!$F$5,)</f>
        <v>136800</v>
      </c>
      <c r="I1317" s="1298"/>
      <c r="J1317" s="1298">
        <f>VLOOKUP($B1317,dongia1,DG!$G$5,)</f>
        <v>0</v>
      </c>
      <c r="K1317" s="1298">
        <f>VLOOKUP($B1317,dongia1,DG!$H$5,)</f>
        <v>0</v>
      </c>
      <c r="L1317" s="1298">
        <f>H1317*G1317</f>
        <v>0</v>
      </c>
      <c r="M1317" s="1298">
        <f>I1317*G1317</f>
        <v>0</v>
      </c>
      <c r="N1317" s="1298">
        <f>J1317*G1317</f>
        <v>0</v>
      </c>
      <c r="O1317" s="1298">
        <f>K1317*G1317</f>
        <v>0</v>
      </c>
      <c r="P1317" s="1437"/>
      <c r="Q1317" s="1300"/>
      <c r="R1317" s="1300"/>
      <c r="S1317" s="1300"/>
    </row>
    <row r="1318" spans="1:20" s="1081" customFormat="1" hidden="1" outlineLevel="1">
      <c r="A1318" s="1072" t="str">
        <f t="shared" si="292"/>
        <v/>
      </c>
      <c r="B1318" s="1068" t="s">
        <v>2028</v>
      </c>
      <c r="C1318" s="1302"/>
      <c r="D1318" s="1198">
        <f>VLOOKUP($B1318,dongia1,DG!$B$5,)</f>
        <v>0</v>
      </c>
      <c r="E1318" s="1243" t="str">
        <f>VLOOKUP($B1318,dongia1,DG!$C$5,)</f>
        <v>Kẹp quai 2/0</v>
      </c>
      <c r="F1318" s="1198" t="str">
        <f>VLOOKUP($B1318,dongia1,DG!$D$5,)</f>
        <v>cái</v>
      </c>
      <c r="G1318" s="1481">
        <f>+G1311*3</f>
        <v>0</v>
      </c>
      <c r="H1318" s="1298">
        <f>VLOOKUP($B1318,dongia1,DG!$F$5,)</f>
        <v>46000</v>
      </c>
      <c r="I1318" s="1298"/>
      <c r="J1318" s="1298">
        <f>VLOOKUP($B1318,dongia1,DG!$G$5,)</f>
        <v>0</v>
      </c>
      <c r="K1318" s="1298">
        <f>VLOOKUP($B1318,dongia1,DG!$H$5,)</f>
        <v>0</v>
      </c>
      <c r="L1318" s="1298">
        <f t="shared" si="293"/>
        <v>0</v>
      </c>
      <c r="M1318" s="1298">
        <f t="shared" si="294"/>
        <v>0</v>
      </c>
      <c r="N1318" s="1298">
        <f t="shared" si="295"/>
        <v>0</v>
      </c>
      <c r="O1318" s="1298">
        <f t="shared" si="296"/>
        <v>0</v>
      </c>
      <c r="P1318" s="1437"/>
      <c r="Q1318" s="1300"/>
      <c r="R1318" s="1300"/>
      <c r="S1318" s="1300"/>
    </row>
    <row r="1319" spans="1:20" s="1081" customFormat="1" hidden="1" outlineLevel="1">
      <c r="A1319" s="1072" t="str">
        <f t="shared" si="292"/>
        <v/>
      </c>
      <c r="B1319" s="1421" t="s">
        <v>2026</v>
      </c>
      <c r="C1319" s="1302"/>
      <c r="D1319" s="1198"/>
      <c r="E1319" s="1243" t="str">
        <f>VLOOKUP($B1319,dongia1,DG!$C$5,)&amp;": "</f>
        <v xml:space="preserve">Kẹp hotline 2/0: </v>
      </c>
      <c r="F1319" s="1198" t="str">
        <f>VLOOKUP($B1319,dongia1,DG!$D$5,)</f>
        <v>cái</v>
      </c>
      <c r="G1319" s="1481">
        <f>G1318</f>
        <v>0</v>
      </c>
      <c r="H1319" s="1298">
        <f>VLOOKUP($B1319,dongia1,DG!$F$5,)</f>
        <v>77000</v>
      </c>
      <c r="I1319" s="1298"/>
      <c r="J1319" s="1298"/>
      <c r="K1319" s="1298">
        <f>VLOOKUP($B1319,dongia1,DG!$H$5,)</f>
        <v>0</v>
      </c>
      <c r="L1319" s="1298">
        <f t="shared" si="293"/>
        <v>0</v>
      </c>
      <c r="M1319" s="1298">
        <f t="shared" si="294"/>
        <v>0</v>
      </c>
      <c r="N1319" s="1298">
        <f t="shared" si="295"/>
        <v>0</v>
      </c>
      <c r="O1319" s="1298">
        <f t="shared" si="296"/>
        <v>0</v>
      </c>
      <c r="P1319" s="1437"/>
      <c r="Q1319" s="1300"/>
      <c r="R1319" s="1300"/>
      <c r="S1319" s="1300"/>
    </row>
    <row r="1320" spans="1:20" s="1081" customFormat="1" hidden="1" outlineLevel="1">
      <c r="A1320" s="1072" t="str">
        <f t="shared" si="292"/>
        <v/>
      </c>
      <c r="B1320" s="1068" t="s">
        <v>647</v>
      </c>
      <c r="C1320" s="1437"/>
      <c r="D1320" s="1198">
        <f>VLOOKUP($B1320,dongia1,DG!$B$5,)</f>
        <v>0</v>
      </c>
      <c r="E1320" s="1243" t="str">
        <f>VLOOKUP($B1320,dongia1,DG!$C$5,)</f>
        <v xml:space="preserve">Sứ đứng 24KV </v>
      </c>
      <c r="F1320" s="1198" t="str">
        <f>VLOOKUP($B1320,dongia1,DG!$D$5,)</f>
        <v>cái</v>
      </c>
      <c r="G1320" s="1481">
        <f>+G1311*6</f>
        <v>0</v>
      </c>
      <c r="H1320" s="1298">
        <f>VLOOKUP($B1320,dongia1,DG!$F$5,)</f>
        <v>205000</v>
      </c>
      <c r="I1320" s="1298"/>
      <c r="J1320" s="1298">
        <f>VLOOKUP($B1320,dongia1,DG!$G$5,)</f>
        <v>0</v>
      </c>
      <c r="K1320" s="1298">
        <f>VLOOKUP($B1320,dongia1,DG!$H$5,)</f>
        <v>0</v>
      </c>
      <c r="L1320" s="1298">
        <f t="shared" si="293"/>
        <v>0</v>
      </c>
      <c r="M1320" s="1298">
        <f t="shared" si="294"/>
        <v>0</v>
      </c>
      <c r="N1320" s="1298">
        <f t="shared" si="295"/>
        <v>0</v>
      </c>
      <c r="O1320" s="1298">
        <f t="shared" si="296"/>
        <v>0</v>
      </c>
      <c r="P1320" s="1437"/>
      <c r="Q1320" s="1300"/>
      <c r="R1320" s="1300"/>
      <c r="S1320" s="1300"/>
    </row>
    <row r="1321" spans="1:20" s="1081" customFormat="1" hidden="1" outlineLevel="1">
      <c r="A1321" s="1072" t="str">
        <f t="shared" si="292"/>
        <v/>
      </c>
      <c r="B1321" s="1068" t="s">
        <v>414</v>
      </c>
      <c r="C1321" s="1302"/>
      <c r="D1321" s="1198">
        <f>VLOOKUP($B1321,dongia1,DG!$B$5,)</f>
        <v>0</v>
      </c>
      <c r="E1321" s="1243" t="str">
        <f>VLOOKUP($B1321,dongia1,DG!$C$5,)</f>
        <v>Chân sứ đứng D20</v>
      </c>
      <c r="F1321" s="1198" t="str">
        <f>VLOOKUP($B1321,dongia1,DG!$D$5,)</f>
        <v>cái</v>
      </c>
      <c r="G1321" s="1481">
        <f>G1320</f>
        <v>0</v>
      </c>
      <c r="H1321" s="1298">
        <f>VLOOKUP($B1321,dongia1,DG!$F$5,)</f>
        <v>65000</v>
      </c>
      <c r="I1321" s="1298"/>
      <c r="J1321" s="1298">
        <f>VLOOKUP($B1321,dongia1,DG!$G$5,)</f>
        <v>0</v>
      </c>
      <c r="K1321" s="1298">
        <f>VLOOKUP($B1321,dongia1,DG!$H$5,)</f>
        <v>0</v>
      </c>
      <c r="L1321" s="1298">
        <f t="shared" si="293"/>
        <v>0</v>
      </c>
      <c r="M1321" s="1298">
        <f t="shared" si="294"/>
        <v>0</v>
      </c>
      <c r="N1321" s="1298">
        <f t="shared" si="295"/>
        <v>0</v>
      </c>
      <c r="O1321" s="1298">
        <f t="shared" si="296"/>
        <v>0</v>
      </c>
      <c r="P1321" s="1437"/>
      <c r="Q1321" s="1300"/>
      <c r="R1321" s="1300"/>
      <c r="S1321" s="1300"/>
    </row>
    <row r="1322" spans="1:20" s="1081" customFormat="1" hidden="1" outlineLevel="1">
      <c r="A1322" s="1072" t="str">
        <f>IF(G1322&lt;&gt;0,1,"")</f>
        <v/>
      </c>
      <c r="B1322" s="1068" t="s">
        <v>742</v>
      </c>
      <c r="C1322" s="1302"/>
      <c r="D1322" s="1198" t="str">
        <f>VLOOKUP($B1322,dongia1,DG!$B$5,)</f>
        <v>D3.1115</v>
      </c>
      <c r="E1322" s="1243" t="str">
        <f>VLOOKUP($B1322,dongia1,DG!$C$5,)</f>
        <v>Lắp sứ đứng 24KV</v>
      </c>
      <c r="F1322" s="1198" t="str">
        <f>VLOOKUP($B1322,dongia1,DG!$D$5,)</f>
        <v>bộ</v>
      </c>
      <c r="G1322" s="1481">
        <f>G1321</f>
        <v>0</v>
      </c>
      <c r="H1322" s="1298"/>
      <c r="I1322" s="1298"/>
      <c r="J1322" s="1298">
        <f>VLOOKUP($B1322,dongia1,DG!$G$5,)</f>
        <v>58277.49</v>
      </c>
      <c r="K1322" s="1298"/>
      <c r="L1322" s="1298">
        <f>H1322*G1322</f>
        <v>0</v>
      </c>
      <c r="M1322" s="1298">
        <f>I1322*G1322</f>
        <v>0</v>
      </c>
      <c r="N1322" s="1298">
        <f>J1322*G1322</f>
        <v>0</v>
      </c>
      <c r="O1322" s="1298">
        <f>K1322*G1322</f>
        <v>0</v>
      </c>
      <c r="P1322" s="1437"/>
      <c r="Q1322" s="1300"/>
      <c r="R1322" s="1300"/>
      <c r="S1322" s="1300"/>
    </row>
    <row r="1323" spans="1:20" s="1081" customFormat="1" hidden="1" outlineLevel="1">
      <c r="A1323" s="1072" t="str">
        <f>IF(G1323&lt;&gt;0,1,"")</f>
        <v/>
      </c>
      <c r="B1323" s="1068" t="s">
        <v>224</v>
      </c>
      <c r="C1323" s="1302"/>
      <c r="D1323" s="1198" t="str">
        <f>VLOOKUP($B1323,dongia1,DG!$B$5,)</f>
        <v>T4.4201</v>
      </c>
      <c r="E1323" s="1243" t="str">
        <f>VLOOKUP($B1323,dongia1,DG!$C$5,)</f>
        <v>Lắp cáp đồng xuống thiết bị D ≤ 95mm2</v>
      </c>
      <c r="F1323" s="1198" t="str">
        <f>VLOOKUP($B1323,dongia1,DG!$D$5,)</f>
        <v>m</v>
      </c>
      <c r="G1323" s="1481">
        <f>G1313</f>
        <v>0</v>
      </c>
      <c r="H1323" s="1298"/>
      <c r="I1323" s="1298"/>
      <c r="J1323" s="1298">
        <f>VLOOKUP($B1323,dongia1,DG!$G$5,)</f>
        <v>13915</v>
      </c>
      <c r="K1323" s="1298"/>
      <c r="L1323" s="1298">
        <f>H1323*G1323</f>
        <v>0</v>
      </c>
      <c r="M1323" s="1298">
        <f>I1323*G1323</f>
        <v>0</v>
      </c>
      <c r="N1323" s="1298">
        <f>J1323*G1323</f>
        <v>0</v>
      </c>
      <c r="O1323" s="1298">
        <f>K1323*G1323</f>
        <v>0</v>
      </c>
      <c r="P1323" s="1437"/>
      <c r="Q1323" s="1300"/>
      <c r="R1323" s="1300"/>
      <c r="S1323" s="1300"/>
    </row>
    <row r="1324" spans="1:20" s="1081" customFormat="1" hidden="1" outlineLevel="1">
      <c r="A1324" s="1072" t="str">
        <f>IF(G1324&lt;&gt;0,1,"")</f>
        <v/>
      </c>
      <c r="B1324" s="1295"/>
      <c r="C1324" s="1291">
        <f>IF(G1324&gt;0,C1311+1,C1311)</f>
        <v>0</v>
      </c>
      <c r="D1324" s="1292"/>
      <c r="E1324" s="1293" t="s">
        <v>3434</v>
      </c>
      <c r="F1324" s="1291" t="s">
        <v>2113</v>
      </c>
      <c r="G1324" s="1294">
        <f>G1256*0</f>
        <v>0</v>
      </c>
      <c r="H1324" s="1298"/>
      <c r="I1324" s="1298"/>
      <c r="J1324" s="1298"/>
      <c r="K1324" s="1298"/>
      <c r="L1324" s="1298"/>
      <c r="M1324" s="1298"/>
      <c r="N1324" s="1298"/>
      <c r="O1324" s="1298"/>
      <c r="P1324" s="1299"/>
      <c r="Q1324" s="1300">
        <f>+SUM(L1325:L1329)</f>
        <v>0</v>
      </c>
      <c r="R1324" s="1300">
        <f>+SUM(M1325:M1329)</f>
        <v>0</v>
      </c>
      <c r="S1324" s="1300">
        <f>+SUM(N1325:N1329)</f>
        <v>0</v>
      </c>
      <c r="T1324" s="1300">
        <f>+SUM(O1325:O1329)</f>
        <v>0</v>
      </c>
    </row>
    <row r="1325" spans="1:20" s="1081" customFormat="1" ht="14.4" hidden="1" outlineLevel="1">
      <c r="A1325" s="1072" t="str">
        <f>A1324</f>
        <v/>
      </c>
      <c r="B1325" s="1295"/>
      <c r="C1325" s="1291"/>
      <c r="D1325" s="1292"/>
      <c r="E1325" s="1308" t="s">
        <v>3399</v>
      </c>
      <c r="F1325" s="1291"/>
      <c r="G1325" s="1294"/>
      <c r="H1325" s="1298"/>
      <c r="I1325" s="1298"/>
      <c r="J1325" s="1298"/>
      <c r="K1325" s="1298"/>
      <c r="L1325" s="1298"/>
      <c r="M1325" s="1298"/>
      <c r="N1325" s="1298"/>
      <c r="O1325" s="1298"/>
      <c r="P1325" s="1299"/>
      <c r="Q1325" s="1300"/>
      <c r="R1325" s="1300"/>
      <c r="S1325" s="1300"/>
    </row>
    <row r="1326" spans="1:20" s="1081" customFormat="1" hidden="1" outlineLevel="1">
      <c r="A1326" s="1072" t="str">
        <f>IF(G1326&lt;&gt;0,1,"")</f>
        <v/>
      </c>
      <c r="B1326" s="1295" t="s">
        <v>2039</v>
      </c>
      <c r="C1326" s="1302"/>
      <c r="D1326" s="1198">
        <f>VLOOKUP($B1326,dongia1,DG!$B$5,)</f>
        <v>0</v>
      </c>
      <c r="E1326" s="1243" t="str">
        <f>VLOOKUP($B1326,dongia1,DG!$C$5,)</f>
        <v xml:space="preserve">Ống PVC D90x3,8mm </v>
      </c>
      <c r="F1326" s="1198" t="str">
        <f>VLOOKUP($B1326,dongia1,DG!$D$5,)</f>
        <v>m</v>
      </c>
      <c r="G1326" s="1481">
        <f>G1324*2</f>
        <v>0</v>
      </c>
      <c r="H1326" s="1298">
        <f>VLOOKUP($B1326,dongia1,DG!$F$5,)</f>
        <v>63200</v>
      </c>
      <c r="I1326" s="1298"/>
      <c r="J1326" s="1298">
        <f>VLOOKUP($B1326,dongia1,DG!$G$5,)</f>
        <v>0</v>
      </c>
      <c r="K1326" s="1298">
        <f>VLOOKUP($B1326,dongia1,DG!$H$5,)</f>
        <v>0</v>
      </c>
      <c r="L1326" s="1298">
        <f>H1326*G1326</f>
        <v>0</v>
      </c>
      <c r="M1326" s="1298">
        <f>I1326*G1326</f>
        <v>0</v>
      </c>
      <c r="N1326" s="1298">
        <f>J1326*G1326</f>
        <v>0</v>
      </c>
      <c r="O1326" s="1298">
        <f>K1326*G1326</f>
        <v>0</v>
      </c>
      <c r="P1326" s="1299"/>
      <c r="Q1326" s="1300"/>
      <c r="R1326" s="1300"/>
      <c r="S1326" s="1300"/>
    </row>
    <row r="1327" spans="1:20" s="1081" customFormat="1" hidden="1" outlineLevel="1">
      <c r="A1327" s="1072" t="str">
        <f>IF(G1327&lt;&gt;0,1,"")</f>
        <v/>
      </c>
      <c r="B1327" s="1295" t="s">
        <v>561</v>
      </c>
      <c r="C1327" s="1302"/>
      <c r="D1327" s="1198">
        <f>VLOOKUP($B1327,dongia1,DG!$B$5,)</f>
        <v>0</v>
      </c>
      <c r="E1327" s="1243" t="str">
        <f>VLOOKUP($B1327,dongia1,DG!$C$5,)</f>
        <v>Co  90 độ PVC 90 (loại dày)</v>
      </c>
      <c r="F1327" s="1198" t="str">
        <f>VLOOKUP($B1327,dongia1,DG!$D$5,)</f>
        <v>cái</v>
      </c>
      <c r="G1327" s="1481">
        <f>G1324</f>
        <v>0</v>
      </c>
      <c r="H1327" s="1298">
        <f>VLOOKUP($B1327,dongia1,DG!$F$5,)</f>
        <v>45400</v>
      </c>
      <c r="I1327" s="1298"/>
      <c r="J1327" s="1298">
        <f>VLOOKUP($B1327,dongia1,DG!$G$5,)</f>
        <v>0</v>
      </c>
      <c r="K1327" s="1298">
        <f>VLOOKUP($B1327,dongia1,DG!$H$5,)</f>
        <v>0</v>
      </c>
      <c r="L1327" s="1298">
        <f>H1327*G1327</f>
        <v>0</v>
      </c>
      <c r="M1327" s="1298">
        <f>I1327*G1327</f>
        <v>0</v>
      </c>
      <c r="N1327" s="1298">
        <f>J1327*G1327</f>
        <v>0</v>
      </c>
      <c r="O1327" s="1298">
        <f>K1327*G1327</f>
        <v>0</v>
      </c>
      <c r="P1327" s="1299"/>
      <c r="Q1327" s="1300"/>
      <c r="R1327" s="1300"/>
      <c r="S1327" s="1300"/>
    </row>
    <row r="1328" spans="1:20" s="1081" customFormat="1" hidden="1" outlineLevel="1">
      <c r="A1328" s="1072" t="str">
        <f>IF(G1328&lt;&gt;0,1,"")</f>
        <v/>
      </c>
      <c r="B1328" s="1295" t="s">
        <v>705</v>
      </c>
      <c r="C1328" s="1302"/>
      <c r="D1328" s="1198">
        <f>VLOOKUP($B1328,dongia1,DG!$B$5,)</f>
        <v>0</v>
      </c>
      <c r="E1328" s="1243" t="str">
        <f>VLOOKUP($B1328,dongia1,DG!$C$5,)</f>
        <v>Khâu ven răng trong D90</v>
      </c>
      <c r="F1328" s="1198" t="str">
        <f>VLOOKUP($B1328,dongia1,DG!$D$5,)</f>
        <v>cái</v>
      </c>
      <c r="G1328" s="1481">
        <f>G1324*2</f>
        <v>0</v>
      </c>
      <c r="H1328" s="1298">
        <f>VLOOKUP($B1328,dongia1,DG!$F$5,)</f>
        <v>25800</v>
      </c>
      <c r="I1328" s="1298"/>
      <c r="J1328" s="1298">
        <f>VLOOKUP($B1328,dongia1,DG!$G$5,)</f>
        <v>0</v>
      </c>
      <c r="K1328" s="1298">
        <f>VLOOKUP($B1328,dongia1,DG!$H$5,)</f>
        <v>0</v>
      </c>
      <c r="L1328" s="1298">
        <f>H1328*G1328</f>
        <v>0</v>
      </c>
      <c r="M1328" s="1298">
        <f>I1328*G1328</f>
        <v>0</v>
      </c>
      <c r="N1328" s="1298">
        <f>J1328*G1328</f>
        <v>0</v>
      </c>
      <c r="O1328" s="1298">
        <f>K1328*G1328</f>
        <v>0</v>
      </c>
      <c r="P1328" s="1299"/>
      <c r="Q1328" s="1300"/>
      <c r="R1328" s="1300"/>
      <c r="S1328" s="1300"/>
    </row>
    <row r="1329" spans="1:20" s="1081" customFormat="1" hidden="1" outlineLevel="1">
      <c r="A1329" s="1072" t="str">
        <f>IF(G1329&lt;&gt;0,1,"")</f>
        <v/>
      </c>
      <c r="B1329" s="1295" t="s">
        <v>704</v>
      </c>
      <c r="C1329" s="1302"/>
      <c r="D1329" s="1198">
        <f>VLOOKUP($B1329,dongia1,DG!$B$5,)</f>
        <v>0</v>
      </c>
      <c r="E1329" s="1243" t="str">
        <f>VLOOKUP($B1329,dongia1,DG!$C$5,)</f>
        <v>Khâu ven răng ngoài D90</v>
      </c>
      <c r="F1329" s="1198" t="str">
        <f>VLOOKUP($B1329,dongia1,DG!$D$5,)</f>
        <v>cái</v>
      </c>
      <c r="G1329" s="1481">
        <f>G1328</f>
        <v>0</v>
      </c>
      <c r="H1329" s="1298">
        <f>VLOOKUP($B1329,dongia1,DG!$F$5,)</f>
        <v>21500</v>
      </c>
      <c r="I1329" s="1298"/>
      <c r="J1329" s="1298">
        <f>VLOOKUP($B1329,dongia1,DG!$G$5,)</f>
        <v>0</v>
      </c>
      <c r="K1329" s="1298">
        <f>VLOOKUP($B1329,dongia1,DG!$H$5,)</f>
        <v>0</v>
      </c>
      <c r="L1329" s="1298">
        <f>H1329*G1329</f>
        <v>0</v>
      </c>
      <c r="M1329" s="1298">
        <f>I1329*G1329</f>
        <v>0</v>
      </c>
      <c r="N1329" s="1298">
        <f>J1329*G1329</f>
        <v>0</v>
      </c>
      <c r="O1329" s="1298">
        <f>K1329*G1329</f>
        <v>0</v>
      </c>
      <c r="P1329" s="1299"/>
      <c r="Q1329" s="1300"/>
      <c r="R1329" s="1300"/>
      <c r="S1329" s="1300"/>
    </row>
    <row r="1330" spans="1:20" s="1284" customFormat="1" hidden="1" outlineLevel="1">
      <c r="A1330" s="1313" t="str">
        <f>IF(G1330&lt;&gt;0,1,"")</f>
        <v/>
      </c>
      <c r="B1330" s="1484"/>
      <c r="C1330" s="1291">
        <f>IF(G1330&gt;0,C1324+1,C1324)</f>
        <v>0</v>
      </c>
      <c r="D1330" s="1292"/>
      <c r="E1330" s="1293" t="s">
        <v>3445</v>
      </c>
      <c r="F1330" s="1291" t="s">
        <v>2113</v>
      </c>
      <c r="G1330" s="1294">
        <f>$G$1226</f>
        <v>0</v>
      </c>
      <c r="H1330" s="1485"/>
      <c r="I1330" s="1298"/>
      <c r="J1330" s="1485"/>
      <c r="K1330" s="1485"/>
      <c r="L1330" s="1485"/>
      <c r="M1330" s="1485"/>
      <c r="N1330" s="1485"/>
      <c r="O1330" s="1485"/>
      <c r="P1330" s="1486"/>
      <c r="Q1330" s="1487">
        <f>+SUM(L1331:L1352)</f>
        <v>0</v>
      </c>
      <c r="R1330" s="1300">
        <f>+SUM(M1331:M1352)</f>
        <v>0</v>
      </c>
      <c r="S1330" s="1487">
        <f>+SUM(N1331:N1352)</f>
        <v>0</v>
      </c>
      <c r="T1330" s="1487">
        <f>+SUM(O1331:O1352)</f>
        <v>0</v>
      </c>
    </row>
    <row r="1331" spans="1:20" s="1081" customFormat="1" ht="14.4" hidden="1" outlineLevel="1">
      <c r="A1331" s="1072" t="str">
        <f>A1330</f>
        <v/>
      </c>
      <c r="B1331" s="1068"/>
      <c r="C1331" s="1291"/>
      <c r="D1331" s="1292"/>
      <c r="E1331" s="1308" t="s">
        <v>3399</v>
      </c>
      <c r="F1331" s="1291"/>
      <c r="G1331" s="1481"/>
      <c r="H1331" s="1298"/>
      <c r="I1331" s="1298"/>
      <c r="J1331" s="1298"/>
      <c r="K1331" s="1298"/>
      <c r="L1331" s="1298"/>
      <c r="M1331" s="1298"/>
      <c r="N1331" s="1298"/>
      <c r="O1331" s="1298"/>
      <c r="P1331" s="1437"/>
      <c r="Q1331" s="1300"/>
      <c r="R1331" s="1300"/>
      <c r="S1331" s="1300"/>
    </row>
    <row r="1332" spans="1:20" s="1081" customFormat="1" hidden="1" outlineLevel="1">
      <c r="A1332" s="1072" t="str">
        <f t="shared" ref="A1332:A1348" si="297">IF(G1332&lt;&gt;0,1,"")</f>
        <v/>
      </c>
      <c r="B1332" s="1295" t="s">
        <v>1313</v>
      </c>
      <c r="C1332" s="1302"/>
      <c r="D1332" s="1198">
        <f>VLOOKUP($B1332,dongia1,DG!$B$5,)</f>
        <v>0</v>
      </c>
      <c r="E1332" s="1243" t="str">
        <f>VLOOKUP($B1332,dongia1,DG!$C$5,)</f>
        <v>Cáp đồng bọc CV150</v>
      </c>
      <c r="F1332" s="1198" t="str">
        <f>VLOOKUP($B1332,dongia1,DG!$D$5,)</f>
        <v>mét</v>
      </c>
      <c r="G1332" s="1481">
        <f>+G1330*3*7</f>
        <v>0</v>
      </c>
      <c r="H1332" s="1298">
        <f>VLOOKUP($B1332,dongia1,DG!$F$5,)</f>
        <v>194893</v>
      </c>
      <c r="I1332" s="1298"/>
      <c r="J1332" s="1298">
        <f>VLOOKUP($B1332,dongia1,DG!$G$5,)</f>
        <v>0</v>
      </c>
      <c r="K1332" s="1298">
        <f>VLOOKUP($B1332,dongia1,DG!$H$5,)</f>
        <v>0</v>
      </c>
      <c r="L1332" s="1298">
        <f t="shared" ref="L1332:L1348" si="298">H1332*G1332</f>
        <v>0</v>
      </c>
      <c r="M1332" s="1298">
        <f t="shared" ref="M1332:M1348" si="299">I1332*G1332</f>
        <v>0</v>
      </c>
      <c r="N1332" s="1298">
        <f t="shared" ref="N1332:N1348" si="300">J1332*G1332</f>
        <v>0</v>
      </c>
      <c r="O1332" s="1298">
        <f t="shared" ref="O1332:O1348" si="301">K1332*G1332</f>
        <v>0</v>
      </c>
      <c r="P1332" s="1437"/>
      <c r="Q1332" s="1300"/>
      <c r="R1332" s="1300"/>
      <c r="S1332" s="1300"/>
    </row>
    <row r="1333" spans="1:20" s="1081" customFormat="1" hidden="1" outlineLevel="1">
      <c r="A1333" s="1072" t="str">
        <f t="shared" si="297"/>
        <v/>
      </c>
      <c r="B1333" s="1295" t="s">
        <v>424</v>
      </c>
      <c r="C1333" s="1302"/>
      <c r="D1333" s="1198">
        <f>VLOOKUP($B1333,dongia1,DG!$B$5,)</f>
        <v>0</v>
      </c>
      <c r="E1333" s="1243" t="str">
        <f>VLOOKUP($B1333,dongia1,DG!$C$5,)</f>
        <v>Cáp đồng bọc CV70</v>
      </c>
      <c r="F1333" s="1198" t="str">
        <f>VLOOKUP($B1333,dongia1,DG!$D$5,)</f>
        <v>mét</v>
      </c>
      <c r="G1333" s="1481">
        <f>+G1330*7</f>
        <v>0</v>
      </c>
      <c r="H1333" s="1298">
        <f>VLOOKUP($B1333,dongia1,DG!$F$5,)</f>
        <v>87805</v>
      </c>
      <c r="I1333" s="1298"/>
      <c r="J1333" s="1298">
        <f>VLOOKUP($B1333,dongia1,DG!$G$5,)</f>
        <v>0</v>
      </c>
      <c r="K1333" s="1298">
        <f>VLOOKUP($B1333,dongia1,DG!$H$5,)</f>
        <v>0</v>
      </c>
      <c r="L1333" s="1298">
        <f t="shared" si="298"/>
        <v>0</v>
      </c>
      <c r="M1333" s="1298">
        <f t="shared" si="299"/>
        <v>0</v>
      </c>
      <c r="N1333" s="1298">
        <f t="shared" si="300"/>
        <v>0</v>
      </c>
      <c r="O1333" s="1298">
        <f t="shared" si="301"/>
        <v>0</v>
      </c>
      <c r="P1333" s="1437"/>
      <c r="Q1333" s="1300"/>
      <c r="R1333" s="1300"/>
      <c r="S1333" s="1300"/>
    </row>
    <row r="1334" spans="1:20" s="1081" customFormat="1" hidden="1" outlineLevel="1">
      <c r="A1334" s="1072" t="str">
        <f>IF(G1334&lt;&gt;0,1,"")</f>
        <v/>
      </c>
      <c r="B1334" s="1295" t="s">
        <v>4804</v>
      </c>
      <c r="C1334" s="1302"/>
      <c r="D1334" s="1198"/>
      <c r="E1334" s="1243" t="str">
        <f>VLOOKUP($B1334,dongia1,DG!$C$5,)</f>
        <v xml:space="preserve">Cáp CVV 4x4mm2  </v>
      </c>
      <c r="F1334" s="1198" t="str">
        <f>VLOOKUP($B1334,dongia1,DG!$D$5,)</f>
        <v>mét</v>
      </c>
      <c r="G1334" s="1481">
        <f>+G1330*4</f>
        <v>0</v>
      </c>
      <c r="H1334" s="1298">
        <f>VLOOKUP($B1334,dongia1,DG!$F$5,)</f>
        <v>63200</v>
      </c>
      <c r="I1334" s="1298"/>
      <c r="J1334" s="1298">
        <f>VLOOKUP($B1334,dongia1,DG!$G$5,)</f>
        <v>0</v>
      </c>
      <c r="K1334" s="1298">
        <f>VLOOKUP($B1334,dongia1,DG!$H$5,)</f>
        <v>0</v>
      </c>
      <c r="L1334" s="1298">
        <f>H1334*G1334</f>
        <v>0</v>
      </c>
      <c r="M1334" s="1298">
        <f>I1334*G1334</f>
        <v>0</v>
      </c>
      <c r="N1334" s="1298">
        <f>J1334*G1334</f>
        <v>0</v>
      </c>
      <c r="O1334" s="1298">
        <f>K1334*G1334</f>
        <v>0</v>
      </c>
      <c r="P1334" s="1299"/>
      <c r="Q1334" s="1300"/>
      <c r="R1334" s="1300"/>
      <c r="S1334" s="1300"/>
    </row>
    <row r="1335" spans="1:20" s="1081" customFormat="1" hidden="1" outlineLevel="1">
      <c r="A1335" s="1072" t="str">
        <f t="shared" si="297"/>
        <v/>
      </c>
      <c r="B1335" s="1295" t="s">
        <v>4974</v>
      </c>
      <c r="C1335" s="1302"/>
      <c r="D1335" s="1198" t="str">
        <f>VLOOKUP($B1335,dongia1,DG!$B$5,)</f>
        <v>D4.5005</v>
      </c>
      <c r="E1335" s="1243" t="str">
        <f>VLOOKUP($B1335,dongia1,DG!$C$5,)</f>
        <v>Đầu cosse ép Cu 120mm2</v>
      </c>
      <c r="F1335" s="1198" t="str">
        <f>VLOOKUP($B1335,dongia1,DG!$D$5,)</f>
        <v>cái</v>
      </c>
      <c r="G1335" s="1481">
        <f>+G1330*6</f>
        <v>0</v>
      </c>
      <c r="H1335" s="1298">
        <f>VLOOKUP($B1335,dongia1,DG!$F$5,)</f>
        <v>27000</v>
      </c>
      <c r="I1335" s="1298"/>
      <c r="J1335" s="1298">
        <f>VLOOKUP($B1335,dongia1,DG!$G$5,)</f>
        <v>27280.17</v>
      </c>
      <c r="K1335" s="1298">
        <f>VLOOKUP($B1335,dongia1,DG!$H$5,)</f>
        <v>3887.8325465000003</v>
      </c>
      <c r="L1335" s="1298">
        <f t="shared" si="298"/>
        <v>0</v>
      </c>
      <c r="M1335" s="1298">
        <f t="shared" si="299"/>
        <v>0</v>
      </c>
      <c r="N1335" s="1298">
        <f t="shared" si="300"/>
        <v>0</v>
      </c>
      <c r="O1335" s="1298">
        <f t="shared" si="301"/>
        <v>0</v>
      </c>
      <c r="P1335" s="1437"/>
      <c r="Q1335" s="1300"/>
      <c r="R1335" s="1300"/>
      <c r="S1335" s="1300"/>
    </row>
    <row r="1336" spans="1:20" s="1081" customFormat="1" hidden="1" outlineLevel="1">
      <c r="A1336" s="1072" t="str">
        <f t="shared" si="297"/>
        <v/>
      </c>
      <c r="B1336" s="1295" t="s">
        <v>4975</v>
      </c>
      <c r="C1336" s="1302"/>
      <c r="D1336" s="1198" t="str">
        <f>VLOOKUP($B1336,dongia1,DG!$B$5,)</f>
        <v>D4.5003</v>
      </c>
      <c r="E1336" s="1243" t="str">
        <f>VLOOKUP($B1336,dongia1,DG!$C$5,)</f>
        <v>Đầu cosse ép Cu 70mm2</v>
      </c>
      <c r="F1336" s="1198" t="str">
        <f>VLOOKUP($B1336,dongia1,DG!$D$5,)</f>
        <v>cái</v>
      </c>
      <c r="G1336" s="1481">
        <f>G1330*2</f>
        <v>0</v>
      </c>
      <c r="H1336" s="1298">
        <f>VLOOKUP($B1336,dongia1,DG!$F$5,)</f>
        <v>14000</v>
      </c>
      <c r="I1336" s="1298"/>
      <c r="J1336" s="1298">
        <f>VLOOKUP($B1336,dongia1,DG!$G$5,)</f>
        <v>16671.215</v>
      </c>
      <c r="K1336" s="1298">
        <f>VLOOKUP($B1336,dongia1,DG!$H$5,)</f>
        <v>3332.427897</v>
      </c>
      <c r="L1336" s="1298">
        <f t="shared" si="298"/>
        <v>0</v>
      </c>
      <c r="M1336" s="1298">
        <f t="shared" si="299"/>
        <v>0</v>
      </c>
      <c r="N1336" s="1298">
        <f t="shared" si="300"/>
        <v>0</v>
      </c>
      <c r="O1336" s="1298">
        <f t="shared" si="301"/>
        <v>0</v>
      </c>
      <c r="P1336" s="1437"/>
      <c r="Q1336" s="1300"/>
      <c r="R1336" s="1300"/>
      <c r="S1336" s="1300"/>
    </row>
    <row r="1337" spans="1:20" s="1081" customFormat="1" hidden="1" outlineLevel="1">
      <c r="A1337" s="1072" t="str">
        <f t="shared" si="297"/>
        <v/>
      </c>
      <c r="B1337" s="1295" t="s">
        <v>475</v>
      </c>
      <c r="C1337" s="1302"/>
      <c r="D1337" s="1198">
        <f>VLOOKUP($B1337,dongia1,DG!$B$5,)</f>
        <v>0</v>
      </c>
      <c r="E1337" s="1243" t="str">
        <f>VLOOKUP($B1337,dongia1,DG!$C$5,)</f>
        <v>Chụp đầu cosse  150mm2</v>
      </c>
      <c r="F1337" s="1198" t="str">
        <f>VLOOKUP($B1337,dongia1,DG!$D$5,)</f>
        <v>cái</v>
      </c>
      <c r="G1337" s="1481">
        <f>G1335</f>
        <v>0</v>
      </c>
      <c r="H1337" s="1298">
        <f>VLOOKUP($B1337,dongia1,DG!$F$5,)</f>
        <v>5000</v>
      </c>
      <c r="I1337" s="1298"/>
      <c r="J1337" s="1298">
        <f>VLOOKUP($B1337,dongia1,DG!$G$5,)</f>
        <v>0</v>
      </c>
      <c r="K1337" s="1298">
        <f>VLOOKUP($B1337,dongia1,DG!$H$5,)</f>
        <v>0</v>
      </c>
      <c r="L1337" s="1298">
        <f t="shared" si="298"/>
        <v>0</v>
      </c>
      <c r="M1337" s="1298">
        <f t="shared" si="299"/>
        <v>0</v>
      </c>
      <c r="N1337" s="1298">
        <f t="shared" si="300"/>
        <v>0</v>
      </c>
      <c r="O1337" s="1298">
        <f t="shared" si="301"/>
        <v>0</v>
      </c>
      <c r="P1337" s="1437"/>
      <c r="Q1337" s="1300"/>
      <c r="R1337" s="1300"/>
      <c r="S1337" s="1300"/>
    </row>
    <row r="1338" spans="1:20" s="1081" customFormat="1" hidden="1" outlineLevel="1">
      <c r="A1338" s="1072" t="str">
        <f t="shared" si="297"/>
        <v/>
      </c>
      <c r="B1338" s="1295" t="s">
        <v>1983</v>
      </c>
      <c r="C1338" s="1302"/>
      <c r="D1338" s="1198">
        <f>VLOOKUP($B1338,dongia1,DG!$B$5,)</f>
        <v>0</v>
      </c>
      <c r="E1338" s="1243" t="str">
        <f>VLOOKUP($B1338,dongia1,DG!$C$5,)</f>
        <v>Chụp đầu cosse  70mm2</v>
      </c>
      <c r="F1338" s="1198" t="str">
        <f>VLOOKUP($B1338,dongia1,DG!$D$5,)</f>
        <v>cái</v>
      </c>
      <c r="G1338" s="1481">
        <f>G1336</f>
        <v>0</v>
      </c>
      <c r="H1338" s="1298">
        <f>VLOOKUP($B1338,dongia1,DG!$F$5,)</f>
        <v>3000</v>
      </c>
      <c r="I1338" s="1298"/>
      <c r="J1338" s="1298">
        <f>VLOOKUP($B1338,dongia1,DG!$G$5,)</f>
        <v>0</v>
      </c>
      <c r="K1338" s="1298">
        <f>VLOOKUP($B1338,dongia1,DG!$H$5,)</f>
        <v>0</v>
      </c>
      <c r="L1338" s="1298">
        <f t="shared" si="298"/>
        <v>0</v>
      </c>
      <c r="M1338" s="1298">
        <f t="shared" si="299"/>
        <v>0</v>
      </c>
      <c r="N1338" s="1298">
        <f t="shared" si="300"/>
        <v>0</v>
      </c>
      <c r="O1338" s="1298">
        <f t="shared" si="301"/>
        <v>0</v>
      </c>
      <c r="P1338" s="1437"/>
      <c r="Q1338" s="1300"/>
      <c r="R1338" s="1300"/>
      <c r="S1338" s="1300"/>
    </row>
    <row r="1339" spans="1:20" s="1081" customFormat="1" hidden="1" outlineLevel="1">
      <c r="A1339" s="1072" t="str">
        <f t="shared" si="297"/>
        <v/>
      </c>
      <c r="B1339" s="1295" t="s">
        <v>961</v>
      </c>
      <c r="C1339" s="1302"/>
      <c r="D1339" s="1198">
        <f>VLOOKUP($B1339,dongia1,DG!$B$5,)</f>
        <v>0</v>
      </c>
      <c r="E1339" s="1243" t="str">
        <f>VLOOKUP($B1339,dongia1,DG!$C$5,)</f>
        <v xml:space="preserve">Ống PVC D114x4,9mm </v>
      </c>
      <c r="F1339" s="1198" t="str">
        <f>VLOOKUP($B1339,dongia1,DG!$D$5,)</f>
        <v>m</v>
      </c>
      <c r="G1339" s="1481">
        <f>+G1330*4</f>
        <v>0</v>
      </c>
      <c r="H1339" s="1298">
        <f>VLOOKUP($B1339,dongia1,DG!$F$5,)</f>
        <v>103700</v>
      </c>
      <c r="I1339" s="1298"/>
      <c r="J1339" s="1298">
        <f>VLOOKUP($B1339,dongia1,DG!$G$5,)</f>
        <v>0</v>
      </c>
      <c r="K1339" s="1298">
        <f>VLOOKUP($B1339,dongia1,DG!$H$5,)</f>
        <v>0</v>
      </c>
      <c r="L1339" s="1298">
        <f t="shared" si="298"/>
        <v>0</v>
      </c>
      <c r="M1339" s="1298">
        <f t="shared" si="299"/>
        <v>0</v>
      </c>
      <c r="N1339" s="1298">
        <f t="shared" si="300"/>
        <v>0</v>
      </c>
      <c r="O1339" s="1298">
        <f t="shared" si="301"/>
        <v>0</v>
      </c>
      <c r="P1339" s="1437"/>
      <c r="Q1339" s="1300"/>
      <c r="R1339" s="1300"/>
      <c r="S1339" s="1300"/>
    </row>
    <row r="1340" spans="1:20" s="1081" customFormat="1" hidden="1" outlineLevel="1">
      <c r="A1340" s="1072" t="str">
        <f t="shared" si="297"/>
        <v/>
      </c>
      <c r="B1340" s="1068" t="s">
        <v>193</v>
      </c>
      <c r="C1340" s="1302"/>
      <c r="D1340" s="1198">
        <f>VLOOKUP($B1340,dongia1,DG!$B$5,)</f>
        <v>0</v>
      </c>
      <c r="E1340" s="1243" t="str">
        <f>VLOOKUP($B1340,dongia1,DG!$C$5,)</f>
        <v>Cổ dê kẹp ống PVC Þ 114</v>
      </c>
      <c r="F1340" s="1198" t="str">
        <f>VLOOKUP($B1340,dongia1,DG!$D$5,)</f>
        <v>bộ</v>
      </c>
      <c r="G1340" s="1481">
        <f>+G1330*2</f>
        <v>0</v>
      </c>
      <c r="H1340" s="1298">
        <f>VLOOKUP($B1340,dongia1,DG!$F$5,)</f>
        <v>50000</v>
      </c>
      <c r="I1340" s="1298"/>
      <c r="J1340" s="1298">
        <f>VLOOKUP($B1340,dongia1,DG!$G$5,)</f>
        <v>0</v>
      </c>
      <c r="K1340" s="1298">
        <f>VLOOKUP($B1340,dongia1,DG!$H$5,)</f>
        <v>0</v>
      </c>
      <c r="L1340" s="1298">
        <f t="shared" si="298"/>
        <v>0</v>
      </c>
      <c r="M1340" s="1298">
        <f t="shared" si="299"/>
        <v>0</v>
      </c>
      <c r="N1340" s="1298">
        <f t="shared" si="300"/>
        <v>0</v>
      </c>
      <c r="O1340" s="1298">
        <f t="shared" si="301"/>
        <v>0</v>
      </c>
      <c r="P1340" s="1437"/>
      <c r="Q1340" s="1474"/>
      <c r="R1340" s="1300"/>
      <c r="S1340" s="1300"/>
    </row>
    <row r="1341" spans="1:20" s="1081" customFormat="1" hidden="1" outlineLevel="1">
      <c r="A1341" s="1072" t="str">
        <f t="shared" ref="A1341:A1346" si="302">IF(G1341&lt;&gt;0,1,"")</f>
        <v/>
      </c>
      <c r="B1341" s="1295" t="s">
        <v>693</v>
      </c>
      <c r="C1341" s="1302"/>
      <c r="D1341" s="1198">
        <f>VLOOKUP($B1341,dongia1,DG!$B$5,)</f>
        <v>0</v>
      </c>
      <c r="E1341" s="1243" t="str">
        <f>VLOOKUP($B1341,dongia1,DG!$C$5,)</f>
        <v>Khâu ven răng trong D114</v>
      </c>
      <c r="F1341" s="1198" t="str">
        <f>VLOOKUP($B1341,dongia1,DG!$D$5,)</f>
        <v>cái</v>
      </c>
      <c r="G1341" s="1481">
        <f>+G1330</f>
        <v>0</v>
      </c>
      <c r="H1341" s="1298">
        <f>VLOOKUP($B1341,dongia1,DG!$F$5,)</f>
        <v>41900</v>
      </c>
      <c r="I1341" s="1298"/>
      <c r="J1341" s="1298">
        <f>VLOOKUP($B1341,dongia1,DG!$G$5,)</f>
        <v>0</v>
      </c>
      <c r="K1341" s="1298">
        <f>VLOOKUP($B1341,dongia1,DG!$H$5,)</f>
        <v>0</v>
      </c>
      <c r="L1341" s="1298">
        <f t="shared" si="298"/>
        <v>0</v>
      </c>
      <c r="M1341" s="1298">
        <f t="shared" si="299"/>
        <v>0</v>
      </c>
      <c r="N1341" s="1298">
        <f t="shared" si="300"/>
        <v>0</v>
      </c>
      <c r="O1341" s="1298">
        <f t="shared" si="301"/>
        <v>0</v>
      </c>
      <c r="P1341" s="1437"/>
      <c r="Q1341" s="1300"/>
      <c r="R1341" s="1300"/>
      <c r="S1341" s="1300"/>
    </row>
    <row r="1342" spans="1:20" s="1081" customFormat="1" hidden="1" outlineLevel="1">
      <c r="A1342" s="1072" t="str">
        <f t="shared" si="302"/>
        <v/>
      </c>
      <c r="B1342" s="1295" t="s">
        <v>694</v>
      </c>
      <c r="C1342" s="1302"/>
      <c r="D1342" s="1198">
        <f>VLOOKUP($B1342,dongia1,DG!$B$5,)</f>
        <v>0</v>
      </c>
      <c r="E1342" s="1243" t="str">
        <f>VLOOKUP($B1342,dongia1,DG!$C$5,)</f>
        <v>Khâu ven răng ngoài D114</v>
      </c>
      <c r="F1342" s="1198" t="str">
        <f>VLOOKUP($B1342,dongia1,DG!$D$5,)</f>
        <v>cái</v>
      </c>
      <c r="G1342" s="1481">
        <f>G1341</f>
        <v>0</v>
      </c>
      <c r="H1342" s="1298">
        <f>VLOOKUP($B1342,dongia1,DG!$F$5,)</f>
        <v>41900</v>
      </c>
      <c r="I1342" s="1298"/>
      <c r="J1342" s="1298">
        <f>VLOOKUP($B1342,dongia1,DG!$G$5,)</f>
        <v>0</v>
      </c>
      <c r="K1342" s="1298">
        <f>VLOOKUP($B1342,dongia1,DG!$H$5,)</f>
        <v>0</v>
      </c>
      <c r="L1342" s="1298">
        <f t="shared" si="298"/>
        <v>0</v>
      </c>
      <c r="M1342" s="1298">
        <f t="shared" si="299"/>
        <v>0</v>
      </c>
      <c r="N1342" s="1298">
        <f t="shared" si="300"/>
        <v>0</v>
      </c>
      <c r="O1342" s="1298">
        <f t="shared" si="301"/>
        <v>0</v>
      </c>
      <c r="P1342" s="1437"/>
      <c r="Q1342" s="1300"/>
      <c r="R1342" s="1300"/>
      <c r="S1342" s="1300"/>
    </row>
    <row r="1343" spans="1:20" s="1081" customFormat="1" hidden="1" outlineLevel="1">
      <c r="A1343" s="1072" t="str">
        <f t="shared" si="302"/>
        <v/>
      </c>
      <c r="B1343" s="1066" t="s">
        <v>1283</v>
      </c>
      <c r="C1343" s="1302"/>
      <c r="D1343" s="1198">
        <f>VLOOKUP($B1343,dongia1,DG!$B$5,)</f>
        <v>0</v>
      </c>
      <c r="E1343" s="1243" t="str">
        <f>VLOOKUP($B1343,dongia1,DG!$C$5,)</f>
        <v>Ống đàn hồi 114 (Ruột gà)</v>
      </c>
      <c r="F1343" s="1198" t="str">
        <f>VLOOKUP($B1343,dongia1,DG!$D$5,)</f>
        <v>m</v>
      </c>
      <c r="G1343" s="1481">
        <f>+G1330*1.5</f>
        <v>0</v>
      </c>
      <c r="H1343" s="1298">
        <f>VLOOKUP($B1343,dongia1,DG!$F$5,)</f>
        <v>58700</v>
      </c>
      <c r="I1343" s="1298"/>
      <c r="J1343" s="1298">
        <f>VLOOKUP($B1343,dongia1,DG!$G$5,)</f>
        <v>0</v>
      </c>
      <c r="K1343" s="1298">
        <f>VLOOKUP($B1343,dongia1,DG!$H$5,)</f>
        <v>0</v>
      </c>
      <c r="L1343" s="1298">
        <f>H1343*G1343</f>
        <v>0</v>
      </c>
      <c r="M1343" s="1298">
        <f>I1343*G1343</f>
        <v>0</v>
      </c>
      <c r="N1343" s="1298">
        <f>J1343*G1343</f>
        <v>0</v>
      </c>
      <c r="O1343" s="1298">
        <f>K1343*G1343</f>
        <v>0</v>
      </c>
      <c r="P1343" s="1437"/>
      <c r="Q1343" s="1300"/>
      <c r="R1343" s="1300"/>
      <c r="S1343" s="1300"/>
    </row>
    <row r="1344" spans="1:20" s="1081" customFormat="1" hidden="1" outlineLevel="1">
      <c r="A1344" s="1072" t="str">
        <f t="shared" si="302"/>
        <v/>
      </c>
      <c r="B1344" s="1488" t="s">
        <v>4949</v>
      </c>
      <c r="C1344" s="1302"/>
      <c r="D1344" s="1198"/>
      <c r="E1344" s="1243" t="str">
        <f>VLOOKUP($B1344,dongia1,DG!$C$5,)</f>
        <v xml:space="preserve">Ống PVC D34 </v>
      </c>
      <c r="F1344" s="1198" t="str">
        <f>VLOOKUP($B1344,dongia1,DG!$D$5,)</f>
        <v>m</v>
      </c>
      <c r="G1344" s="1481">
        <f>G1330*3.5</f>
        <v>0</v>
      </c>
      <c r="H1344" s="1298">
        <f>VLOOKUP($B1344,dongia1,DG!$F$5,)</f>
        <v>12300</v>
      </c>
      <c r="I1344" s="1298"/>
      <c r="J1344" s="1298"/>
      <c r="K1344" s="1298"/>
      <c r="L1344" s="1298">
        <f>H1344*G1344</f>
        <v>0</v>
      </c>
      <c r="M1344" s="1298">
        <f>I1344*G1344</f>
        <v>0</v>
      </c>
      <c r="N1344" s="1298">
        <f>J1344*G1344</f>
        <v>0</v>
      </c>
      <c r="O1344" s="1298">
        <f>K1344*G1344</f>
        <v>0</v>
      </c>
      <c r="P1344" s="1299"/>
      <c r="Q1344" s="1300"/>
      <c r="R1344" s="1300"/>
      <c r="S1344" s="1300"/>
    </row>
    <row r="1345" spans="1:19" s="1081" customFormat="1" hidden="1" outlineLevel="1">
      <c r="A1345" s="1072" t="str">
        <f t="shared" si="302"/>
        <v/>
      </c>
      <c r="B1345" s="1082" t="s">
        <v>4951</v>
      </c>
      <c r="C1345" s="1302"/>
      <c r="D1345" s="1198">
        <f>VLOOKUP($B1345,dongia1,DG!$B$5,)</f>
        <v>0</v>
      </c>
      <c r="E1345" s="1243" t="str">
        <f>VLOOKUP($B1345,dongia1,DG!$C$5,)</f>
        <v>Ống đàn hồi 34</v>
      </c>
      <c r="F1345" s="1198" t="str">
        <f>VLOOKUP($B1345,dongia1,DG!$D$5,)</f>
        <v>m</v>
      </c>
      <c r="G1345" s="1481">
        <f>G1330*1.5</f>
        <v>0</v>
      </c>
      <c r="H1345" s="1298">
        <f>VLOOKUP($B1345,dongia1,DG!$F$5,)</f>
        <v>3100</v>
      </c>
      <c r="I1345" s="1298"/>
      <c r="J1345" s="1298">
        <f>VLOOKUP($B1345,dongia1,DG!$G$5,)</f>
        <v>0</v>
      </c>
      <c r="K1345" s="1298">
        <f>VLOOKUP($B1345,dongia1,DG!$H$5,)</f>
        <v>0</v>
      </c>
      <c r="L1345" s="1298">
        <f>H1345*G1345</f>
        <v>0</v>
      </c>
      <c r="M1345" s="1298">
        <f>I1345*G1345</f>
        <v>0</v>
      </c>
      <c r="N1345" s="1298">
        <f>J1345*G1345</f>
        <v>0</v>
      </c>
      <c r="O1345" s="1298">
        <f>K1345*G1345</f>
        <v>0</v>
      </c>
      <c r="P1345" s="1299"/>
      <c r="Q1345" s="1300"/>
      <c r="R1345" s="1300"/>
      <c r="S1345" s="1300"/>
    </row>
    <row r="1346" spans="1:19" s="1081" customFormat="1" hidden="1" outlineLevel="1">
      <c r="A1346" s="1072" t="str">
        <f t="shared" si="302"/>
        <v/>
      </c>
      <c r="B1346" s="1489" t="s">
        <v>4944</v>
      </c>
      <c r="C1346" s="1302"/>
      <c r="D1346" s="1198">
        <f>VLOOKUP($B1346,dongia1,DG!$B$5,)</f>
        <v>0</v>
      </c>
      <c r="E1346" s="1243" t="str">
        <f>VLOOKUP($B1346,dongia1,DG!$C$5,)</f>
        <v>Cổ dê kẹp ống PVC (STK) Þ 34</v>
      </c>
      <c r="F1346" s="1198" t="str">
        <f>VLOOKUP($B1346,dongia1,DG!$D$5,)</f>
        <v>bộ</v>
      </c>
      <c r="G1346" s="1481">
        <f>G1330*2</f>
        <v>0</v>
      </c>
      <c r="H1346" s="1298">
        <f>VLOOKUP($B1346,dongia1,DG!$F$5,)</f>
        <v>43000</v>
      </c>
      <c r="I1346" s="1298"/>
      <c r="J1346" s="1298">
        <f>VLOOKUP($B1346,dongia1,DG!$G$5,)</f>
        <v>0</v>
      </c>
      <c r="K1346" s="1298">
        <f>VLOOKUP($B1346,dongia1,DG!$H$5,)</f>
        <v>0</v>
      </c>
      <c r="L1346" s="1298">
        <f>H1346*G1346</f>
        <v>0</v>
      </c>
      <c r="M1346" s="1298">
        <f>I1346*G1346</f>
        <v>0</v>
      </c>
      <c r="N1346" s="1298">
        <f>J1346*G1346</f>
        <v>0</v>
      </c>
      <c r="O1346" s="1298">
        <f>K1346*G1346</f>
        <v>0</v>
      </c>
      <c r="P1346" s="1299"/>
      <c r="Q1346" s="1300"/>
      <c r="R1346" s="1300"/>
      <c r="S1346" s="1300"/>
    </row>
    <row r="1347" spans="1:19" s="1081" customFormat="1" hidden="1" outlineLevel="1">
      <c r="A1347" s="1072" t="str">
        <f t="shared" si="297"/>
        <v/>
      </c>
      <c r="B1347" s="1488" t="s">
        <v>4976</v>
      </c>
      <c r="C1347" s="1302"/>
      <c r="D1347" s="1198">
        <f>VLOOKUP($B1347,dongia1,DG!$B$5,)</f>
        <v>0</v>
      </c>
      <c r="E1347" s="1243" t="str">
        <f>VLOOKUP($B1347,dongia1,DG!$C$5,)</f>
        <v>Khâu ven răng trong D34</v>
      </c>
      <c r="F1347" s="1198" t="str">
        <f>VLOOKUP($B1347,dongia1,DG!$D$5,)</f>
        <v>cái</v>
      </c>
      <c r="G1347" s="1481">
        <f>+G1330</f>
        <v>0</v>
      </c>
      <c r="H1347" s="1298">
        <f>VLOOKUP($B1347,dongia1,DG!$F$5,)</f>
        <v>3700</v>
      </c>
      <c r="I1347" s="1298"/>
      <c r="J1347" s="1298">
        <f>VLOOKUP($B1347,dongia1,DG!$G$5,)</f>
        <v>0</v>
      </c>
      <c r="K1347" s="1298">
        <f>VLOOKUP($B1347,dongia1,DG!$H$5,)</f>
        <v>0</v>
      </c>
      <c r="L1347" s="1298">
        <f t="shared" si="298"/>
        <v>0</v>
      </c>
      <c r="M1347" s="1298">
        <f t="shared" si="299"/>
        <v>0</v>
      </c>
      <c r="N1347" s="1298">
        <f t="shared" si="300"/>
        <v>0</v>
      </c>
      <c r="O1347" s="1298">
        <f t="shared" si="301"/>
        <v>0</v>
      </c>
      <c r="P1347" s="1437"/>
      <c r="Q1347" s="1300"/>
      <c r="R1347" s="1300"/>
      <c r="S1347" s="1300"/>
    </row>
    <row r="1348" spans="1:19" s="1081" customFormat="1" hidden="1" outlineLevel="1">
      <c r="A1348" s="1072" t="str">
        <f t="shared" si="297"/>
        <v/>
      </c>
      <c r="B1348" s="1488" t="s">
        <v>4977</v>
      </c>
      <c r="C1348" s="1302"/>
      <c r="D1348" s="1198"/>
      <c r="E1348" s="1243" t="str">
        <f>VLOOKUP($B1348,dongia1,DG!$C$5,)</f>
        <v>Khâu ven răng ngoài D34</v>
      </c>
      <c r="F1348" s="1198" t="str">
        <f>VLOOKUP($B1348,dongia1,DG!$D$5,)</f>
        <v>cái</v>
      </c>
      <c r="G1348" s="1481">
        <f>G1330*1</f>
        <v>0</v>
      </c>
      <c r="H1348" s="1298">
        <f>VLOOKUP($B1348,dongia1,DG!$F$5,)</f>
        <v>3600</v>
      </c>
      <c r="I1348" s="1298"/>
      <c r="J1348" s="1298"/>
      <c r="K1348" s="1298"/>
      <c r="L1348" s="1298">
        <f t="shared" si="298"/>
        <v>0</v>
      </c>
      <c r="M1348" s="1298">
        <f t="shared" si="299"/>
        <v>0</v>
      </c>
      <c r="N1348" s="1298">
        <f t="shared" si="300"/>
        <v>0</v>
      </c>
      <c r="O1348" s="1298">
        <f t="shared" si="301"/>
        <v>0</v>
      </c>
      <c r="P1348" s="1299"/>
      <c r="Q1348" s="1300"/>
      <c r="R1348" s="1300"/>
      <c r="S1348" s="1300"/>
    </row>
    <row r="1349" spans="1:19" s="1081" customFormat="1" hidden="1" outlineLevel="1">
      <c r="A1349" s="1072" t="str">
        <f>IF(G1349&lt;&gt;0,1,"")</f>
        <v/>
      </c>
      <c r="B1349" s="1489" t="s">
        <v>1690</v>
      </c>
      <c r="C1349" s="1302"/>
      <c r="D1349" s="1198">
        <f>VLOOKUP($B1349,dongia1,DG!$B$5,)</f>
        <v>0</v>
      </c>
      <c r="E1349" s="1243" t="str">
        <f>VLOOKUP($B1349,dongia1,DG!$C$5,)</f>
        <v>Keo silicon bít miệng ống</v>
      </c>
      <c r="F1349" s="1198" t="str">
        <f>VLOOKUP($B1349,dongia1,DG!$D$5,)</f>
        <v>chai</v>
      </c>
      <c r="G1349" s="1481">
        <f>G1330*2</f>
        <v>0</v>
      </c>
      <c r="H1349" s="1298">
        <f>VLOOKUP($B1349,dongia1,DG!$F$5,)</f>
        <v>45000</v>
      </c>
      <c r="I1349" s="1298"/>
      <c r="J1349" s="1298">
        <f>VLOOKUP($B1349,dongia1,DG!$G$5,)</f>
        <v>0</v>
      </c>
      <c r="K1349" s="1298">
        <f>VLOOKUP($B1349,dongia1,DG!$H$5,)</f>
        <v>0</v>
      </c>
      <c r="L1349" s="1298">
        <f>H1349*G1349</f>
        <v>0</v>
      </c>
      <c r="M1349" s="1298">
        <f>I1349*G1349</f>
        <v>0</v>
      </c>
      <c r="N1349" s="1298">
        <f>J1349*G1349</f>
        <v>0</v>
      </c>
      <c r="O1349" s="1298">
        <f>K1349*G1349</f>
        <v>0</v>
      </c>
      <c r="P1349" s="1299"/>
      <c r="Q1349" s="1300"/>
      <c r="R1349" s="1300"/>
      <c r="S1349" s="1300"/>
    </row>
    <row r="1350" spans="1:19" s="1081" customFormat="1" hidden="1" outlineLevel="1">
      <c r="A1350" s="1072" t="str">
        <f>IF(G1350&lt;&gt;0,1,"")</f>
        <v/>
      </c>
      <c r="B1350" s="1068" t="s">
        <v>236</v>
      </c>
      <c r="C1350" s="1302"/>
      <c r="D1350" s="1198">
        <f>VLOOKUP($B1350,dongia1,DG!$B$5,)</f>
        <v>0</v>
      </c>
      <c r="E1350" s="1243" t="str">
        <f>VLOOKUP($B1350,dongia1,DG!$C$5,)</f>
        <v>Băng keo cách điện hạ thế</v>
      </c>
      <c r="F1350" s="1198" t="str">
        <f>VLOOKUP($B1350,dongia1,DG!$D$5,)</f>
        <v>cuộn</v>
      </c>
      <c r="G1350" s="1481">
        <f>G1330*3</f>
        <v>0</v>
      </c>
      <c r="H1350" s="1298">
        <f>VLOOKUP($B1350,dongia1,DG!$F$5,)</f>
        <v>6500</v>
      </c>
      <c r="I1350" s="1298"/>
      <c r="J1350" s="1298">
        <f>VLOOKUP($B1350,dongia1,DG!$G$5,)</f>
        <v>0</v>
      </c>
      <c r="K1350" s="1298">
        <f>VLOOKUP($B1350,dongia1,DG!$H$5,)</f>
        <v>0</v>
      </c>
      <c r="L1350" s="1298">
        <f>H1350*G1350</f>
        <v>0</v>
      </c>
      <c r="M1350" s="1298">
        <f>I1350*G1350</f>
        <v>0</v>
      </c>
      <c r="N1350" s="1298">
        <f>J1350*G1350</f>
        <v>0</v>
      </c>
      <c r="O1350" s="1298">
        <f>K1350*G1350</f>
        <v>0</v>
      </c>
      <c r="P1350" s="1437"/>
      <c r="Q1350" s="1300"/>
      <c r="R1350" s="1300"/>
      <c r="S1350" s="1300"/>
    </row>
    <row r="1351" spans="1:19" s="1081" customFormat="1" hidden="1" outlineLevel="1">
      <c r="A1351" s="1072" t="str">
        <f>IF(G1351&lt;&gt;0,1,"")</f>
        <v/>
      </c>
      <c r="B1351" s="1068" t="s">
        <v>224</v>
      </c>
      <c r="C1351" s="1302"/>
      <c r="D1351" s="1198" t="str">
        <f>VLOOKUP($B1351,dongia1,DG!$B$5,)</f>
        <v>T4.4201</v>
      </c>
      <c r="E1351" s="1243" t="str">
        <f>VLOOKUP($B1351,dongia1,DG!$C$5,)&amp;":"</f>
        <v>Lắp cáp đồng xuống thiết bị D ≤ 95mm2:</v>
      </c>
      <c r="F1351" s="1198" t="str">
        <f>VLOOKUP($B1351,dongia1,DG!$D$5,)</f>
        <v>m</v>
      </c>
      <c r="G1351" s="1481">
        <f>G1333</f>
        <v>0</v>
      </c>
      <c r="H1351" s="1298">
        <f>VLOOKUP($B1351,dongia1,DG!$F$5,)</f>
        <v>0</v>
      </c>
      <c r="I1351" s="1298"/>
      <c r="J1351" s="1298">
        <f>VLOOKUP($B1351,dongia1,DG!$G$5,)</f>
        <v>13915</v>
      </c>
      <c r="K1351" s="1298">
        <f>VLOOKUP($B1351,dongia1,DG!$H$5,)</f>
        <v>0</v>
      </c>
      <c r="L1351" s="1298">
        <f>H1351*G1351</f>
        <v>0</v>
      </c>
      <c r="M1351" s="1298">
        <f>I1351*G1351</f>
        <v>0</v>
      </c>
      <c r="N1351" s="1298">
        <f>J1351*G1351</f>
        <v>0</v>
      </c>
      <c r="O1351" s="1298">
        <f>K1351*G1351</f>
        <v>0</v>
      </c>
      <c r="P1351" s="1437"/>
      <c r="Q1351" s="1300"/>
      <c r="R1351" s="1300"/>
      <c r="S1351" s="1300"/>
    </row>
    <row r="1352" spans="1:19" s="1081" customFormat="1" hidden="1" outlineLevel="1">
      <c r="A1352" s="1072" t="str">
        <f>IF(G1352&lt;&gt;0,1,"")</f>
        <v/>
      </c>
      <c r="B1352" s="1068" t="s">
        <v>1346</v>
      </c>
      <c r="C1352" s="1302"/>
      <c r="D1352" s="1198" t="str">
        <f>VLOOKUP($B1352,dongia1,DG!$B$5,)</f>
        <v>T4.4202</v>
      </c>
      <c r="E1352" s="1243" t="str">
        <f>VLOOKUP($B1352,dongia1,DG!$C$5,)&amp;":"</f>
        <v>Lắp cáp đồng xuống thiết bị D ≤ 150mm2:</v>
      </c>
      <c r="F1352" s="1198" t="str">
        <f>VLOOKUP($B1352,dongia1,DG!$D$5,)</f>
        <v>m</v>
      </c>
      <c r="G1352" s="1481">
        <f>G1332</f>
        <v>0</v>
      </c>
      <c r="H1352" s="1298">
        <f>VLOOKUP($B1352,dongia1,DG!$F$5,)</f>
        <v>0</v>
      </c>
      <c r="I1352" s="1298"/>
      <c r="J1352" s="1298">
        <f>VLOOKUP($B1352,dongia1,DG!$G$5,)</f>
        <v>33396</v>
      </c>
      <c r="K1352" s="1298">
        <f>VLOOKUP($B1352,dongia1,DG!$H$5,)</f>
        <v>0</v>
      </c>
      <c r="L1352" s="1298">
        <f>H1352*G1352</f>
        <v>0</v>
      </c>
      <c r="M1352" s="1298">
        <f>I1352*G1352</f>
        <v>0</v>
      </c>
      <c r="N1352" s="1298">
        <f>J1352*G1352</f>
        <v>0</v>
      </c>
      <c r="O1352" s="1298">
        <f>K1352*G1352</f>
        <v>0</v>
      </c>
      <c r="P1352" s="1437"/>
      <c r="Q1352" s="1300"/>
      <c r="R1352" s="1300"/>
      <c r="S1352" s="1300"/>
    </row>
    <row r="1353" spans="1:19" s="1081" customFormat="1" hidden="1" outlineLevel="1">
      <c r="A1353" s="1072" t="str">
        <f>A1100</f>
        <v/>
      </c>
      <c r="B1353" s="1421"/>
      <c r="C1353" s="1475"/>
      <c r="D1353" s="1476"/>
      <c r="E1353" s="1477"/>
      <c r="F1353" s="1478"/>
      <c r="G1353" s="1479"/>
      <c r="H1353" s="1478"/>
      <c r="I1353" s="1478"/>
      <c r="J1353" s="2469" t="s">
        <v>3388</v>
      </c>
      <c r="K1353" s="2469"/>
      <c r="L1353" s="1480">
        <f>SUM(L1239:L1352)</f>
        <v>0</v>
      </c>
      <c r="M1353" s="1480">
        <f>SUM(M1239:M1352)</f>
        <v>0</v>
      </c>
      <c r="N1353" s="1480">
        <f>SUM(N1239:N1352)</f>
        <v>0</v>
      </c>
      <c r="O1353" s="1480">
        <f>SUM(O1239:O1352)</f>
        <v>0</v>
      </c>
      <c r="P1353" s="1447"/>
      <c r="Q1353" s="1300"/>
      <c r="R1353" s="1300"/>
      <c r="S1353" s="1300"/>
    </row>
    <row r="1354" spans="1:19" s="1081" customFormat="1" hidden="1">
      <c r="A1354" s="1431">
        <f>IF(G1359&gt;0,1,)</f>
        <v>0</v>
      </c>
      <c r="B1354" s="1068"/>
      <c r="C1354" s="1490"/>
      <c r="D1354" s="1300"/>
      <c r="E1354" s="1491"/>
      <c r="F1354" s="1300"/>
      <c r="G1354" s="1492"/>
      <c r="H1354" s="1300"/>
      <c r="I1354" s="1300"/>
      <c r="J1354" s="1300"/>
      <c r="K1354" s="1300"/>
      <c r="L1354" s="1300"/>
      <c r="M1354" s="1300"/>
      <c r="N1354" s="1300"/>
      <c r="O1354" s="1300"/>
      <c r="P1354" s="1493"/>
      <c r="Q1354" s="1300"/>
      <c r="R1354" s="1300"/>
      <c r="S1354" s="1300"/>
    </row>
    <row r="1355" spans="1:19" s="1081" customFormat="1" hidden="1" outlineLevel="1">
      <c r="A1355" s="1072">
        <f>A1354</f>
        <v>0</v>
      </c>
      <c r="B1355" s="1432"/>
      <c r="C1355" s="1336" t="str">
        <f>"BẢNG TỔNG HỢP VẬT LIỆU, NHÂN CÔNG, MÁY THI CÔNG: "&amp;K11&amp;" TRẠM 3P_250KVA"</f>
        <v>BẢNG TỔNG HỢP VẬT LIỆU, NHÂN CÔNG, MÁY THI CÔNG: 0 TRẠM 3P_250KVA</v>
      </c>
      <c r="D1355" s="1494"/>
      <c r="E1355" s="1494"/>
      <c r="F1355" s="1494"/>
      <c r="G1355" s="1494"/>
      <c r="H1355" s="1495"/>
      <c r="I1355" s="1434"/>
      <c r="J1355" s="1495"/>
      <c r="K1355" s="1495"/>
      <c r="L1355" s="1495"/>
      <c r="M1355" s="1434"/>
      <c r="N1355" s="1495"/>
      <c r="O1355" s="1495"/>
      <c r="P1355" s="1496"/>
      <c r="Q1355" s="1300"/>
      <c r="R1355" s="1300"/>
      <c r="S1355" s="1300"/>
    </row>
    <row r="1356" spans="1:19" s="1081" customFormat="1" hidden="1" outlineLevel="1">
      <c r="A1356" s="1072">
        <f>A1354</f>
        <v>0</v>
      </c>
      <c r="B1356" s="1295" t="s">
        <v>308</v>
      </c>
      <c r="C1356" s="2459" t="s">
        <v>1014</v>
      </c>
      <c r="D1356" s="2467" t="s">
        <v>3363</v>
      </c>
      <c r="E1356" s="2457" t="s">
        <v>3364</v>
      </c>
      <c r="F1356" s="2459" t="s">
        <v>3365</v>
      </c>
      <c r="G1356" s="1155" t="s">
        <v>3367</v>
      </c>
      <c r="H1356" s="1156" t="s">
        <v>3368</v>
      </c>
      <c r="I1356" s="1157"/>
      <c r="J1356" s="1157"/>
      <c r="K1356" s="1158"/>
      <c r="L1356" s="1156" t="s">
        <v>3372</v>
      </c>
      <c r="M1356" s="1157"/>
      <c r="N1356" s="1157"/>
      <c r="O1356" s="1158"/>
      <c r="P1356" s="2471" t="s">
        <v>3373</v>
      </c>
      <c r="Q1356" s="1300"/>
      <c r="R1356" s="1300"/>
      <c r="S1356" s="1300"/>
    </row>
    <row r="1357" spans="1:19" s="1081" customFormat="1" hidden="1" outlineLevel="1">
      <c r="A1357" s="1072">
        <f>A1356</f>
        <v>0</v>
      </c>
      <c r="B1357" s="1295"/>
      <c r="C1357" s="2459"/>
      <c r="D1357" s="2468"/>
      <c r="E1357" s="2458"/>
      <c r="F1357" s="2459"/>
      <c r="G1357" s="1160" t="s">
        <v>3366</v>
      </c>
      <c r="H1357" s="1161" t="s">
        <v>393</v>
      </c>
      <c r="I1357" s="1161" t="s">
        <v>3369</v>
      </c>
      <c r="J1357" s="1161" t="s">
        <v>3370</v>
      </c>
      <c r="K1357" s="1161" t="s">
        <v>3371</v>
      </c>
      <c r="L1357" s="1161" t="s">
        <v>393</v>
      </c>
      <c r="M1357" s="1161" t="s">
        <v>3369</v>
      </c>
      <c r="N1357" s="1161" t="s">
        <v>3370</v>
      </c>
      <c r="O1357" s="1161" t="s">
        <v>3371</v>
      </c>
      <c r="P1357" s="2471"/>
      <c r="Q1357" s="1300"/>
      <c r="R1357" s="1300"/>
      <c r="S1357" s="1300"/>
    </row>
    <row r="1358" spans="1:19" s="1081" customFormat="1" hidden="1" outlineLevel="1">
      <c r="A1358" s="1072">
        <f>A1357</f>
        <v>0</v>
      </c>
      <c r="B1358" s="1295"/>
      <c r="C1358" s="1162"/>
      <c r="D1358" s="1163"/>
      <c r="E1358" s="1164" t="s">
        <v>3375</v>
      </c>
      <c r="F1358" s="1165"/>
      <c r="G1358" s="1165"/>
      <c r="H1358" s="1165"/>
      <c r="I1358" s="1165"/>
      <c r="J1358" s="1165"/>
      <c r="K1358" s="1165"/>
      <c r="L1358" s="1165"/>
      <c r="M1358" s="1165"/>
      <c r="N1358" s="1165"/>
      <c r="O1358" s="1163"/>
      <c r="P1358" s="1394"/>
      <c r="Q1358" s="1300"/>
      <c r="R1358" s="1300"/>
      <c r="S1358" s="1300"/>
    </row>
    <row r="1359" spans="1:19" s="1081" customFormat="1" hidden="1" outlineLevel="1">
      <c r="A1359" s="1072" t="str">
        <f t="shared" ref="A1359:A1368" si="303">IF(G1359&lt;&gt;0,1,"")</f>
        <v/>
      </c>
      <c r="B1359" s="1435" t="str">
        <f>IF($F$8=15,"tr250","tr2501")</f>
        <v>tr2501</v>
      </c>
      <c r="C1359" s="1302">
        <f>IF(G1359&gt;0,1,0)</f>
        <v>0</v>
      </c>
      <c r="D1359" s="1198" t="str">
        <f>VLOOKUP($B1359,dongia1,DG!$B$5,)</f>
        <v>T1.1415</v>
      </c>
      <c r="E1359" s="1243" t="str">
        <f>VLOOKUP($B1359,dongia1,DG!$C$5,)</f>
        <v>Máy biến áp 22/0,4kV- 250kVA</v>
      </c>
      <c r="F1359" s="1198" t="str">
        <f>VLOOKUP($B1359,dongia1,DG!$D$5,)</f>
        <v>máy</v>
      </c>
      <c r="G1359" s="1497">
        <f>$K$11</f>
        <v>0</v>
      </c>
      <c r="H1359" s="1298">
        <f>VLOOKUP($B1359,dongia1,DG!$E$5,)</f>
        <v>168104000</v>
      </c>
      <c r="I1359" s="1399"/>
      <c r="J1359" s="1399">
        <f>VLOOKUP($B1359,dongia1,DG!$G$5,)</f>
        <v>1392163</v>
      </c>
      <c r="K1359" s="1399">
        <f>VLOOKUP($B1359,dongia1,DG!$H$5,)</f>
        <v>361106</v>
      </c>
      <c r="L1359" s="1400">
        <f t="shared" ref="L1359:L1368" si="304">H1359*G1359</f>
        <v>0</v>
      </c>
      <c r="M1359" s="1400">
        <f t="shared" ref="M1359:M1368" si="305">I1359*G1359</f>
        <v>0</v>
      </c>
      <c r="N1359" s="1400">
        <f t="shared" ref="N1359:N1368" si="306">J1359*G1359</f>
        <v>0</v>
      </c>
      <c r="O1359" s="1401">
        <f t="shared" ref="O1359:O1368" si="307">K1359*G1359</f>
        <v>0</v>
      </c>
      <c r="P1359" s="1498"/>
      <c r="Q1359" s="1300"/>
      <c r="R1359" s="1300"/>
      <c r="S1359" s="1300"/>
    </row>
    <row r="1360" spans="1:19" s="1081" customFormat="1" hidden="1" outlineLevel="1">
      <c r="A1360" s="1072" t="str">
        <f t="shared" si="303"/>
        <v/>
      </c>
      <c r="B1360" s="1167" t="str">
        <f>"FCO100-"&amp;$F$8</f>
        <v>FCO100-22</v>
      </c>
      <c r="C1360" s="1302">
        <f>IF(G1360&gt;0,C1359+1,C1359)</f>
        <v>0</v>
      </c>
      <c r="D1360" s="1198" t="str">
        <f>VLOOKUP($B1360,dongia1,DG!$B$5,)</f>
        <v>T2.3501</v>
      </c>
      <c r="E1360" s="1243" t="str">
        <f>VLOOKUP($B1360,dongia1,DG!$C$5,)</f>
        <v>FCO 24kV - 100A</v>
      </c>
      <c r="F1360" s="1198" t="str">
        <f>VLOOKUP($B1360,dongia1,DG!$D$5,)</f>
        <v>cái</v>
      </c>
      <c r="G1360" s="1497">
        <f>G1359*3</f>
        <v>0</v>
      </c>
      <c r="H1360" s="1298">
        <f>VLOOKUP($B1360,dongia1,DG!$E$5,)</f>
        <v>2244280</v>
      </c>
      <c r="I1360" s="1298">
        <f>VLOOKUP($B1360,dongia1,DG!$F$5,)*0</f>
        <v>0</v>
      </c>
      <c r="J1360" s="1298">
        <f>VLOOKUP($B1360,dongia1,DG!$G$5,)</f>
        <v>222639.99999999997</v>
      </c>
      <c r="K1360" s="1298">
        <f>VLOOKUP($B1360,dongia1,DG!$H$5,)</f>
        <v>0</v>
      </c>
      <c r="L1360" s="1298">
        <f t="shared" si="304"/>
        <v>0</v>
      </c>
      <c r="M1360" s="1298">
        <f t="shared" si="305"/>
        <v>0</v>
      </c>
      <c r="N1360" s="1298">
        <f t="shared" si="306"/>
        <v>0</v>
      </c>
      <c r="O1360" s="1298">
        <f t="shared" si="307"/>
        <v>0</v>
      </c>
      <c r="P1360" s="1499"/>
      <c r="Q1360" s="1300"/>
      <c r="R1360" s="1300"/>
      <c r="S1360" s="1300"/>
    </row>
    <row r="1361" spans="1:19" s="1081" customFormat="1" hidden="1" outlineLevel="1">
      <c r="A1361" s="1072" t="str">
        <f t="shared" si="303"/>
        <v/>
      </c>
      <c r="B1361" s="1066" t="s">
        <v>1082</v>
      </c>
      <c r="C1361" s="1302">
        <f t="shared" ref="C1361:C1366" si="308">IF(G1361&gt;0,C1360+1,C1360)</f>
        <v>0</v>
      </c>
      <c r="D1361" s="1198">
        <f>VLOOKUP($B1361,dongia1,DG!$B$5,)</f>
        <v>0</v>
      </c>
      <c r="E1361" s="1243" t="str">
        <f>VLOOKUP($B1361,dongia1,DG!$C$5,)</f>
        <v>Dây chảy 10K</v>
      </c>
      <c r="F1361" s="1198" t="str">
        <f>VLOOKUP($B1361,dongia1,DG!$D$5,)</f>
        <v>Sợi</v>
      </c>
      <c r="G1361" s="1497">
        <f>G1360</f>
        <v>0</v>
      </c>
      <c r="H1361" s="1298">
        <f>VLOOKUP($B1361,dongia1,DG!$F$5,)</f>
        <v>84000</v>
      </c>
      <c r="I1361" s="1298">
        <f>VLOOKUP($B1361,dongia1,DG!$F$5,)*0</f>
        <v>0</v>
      </c>
      <c r="J1361" s="1298">
        <f>VLOOKUP($B1361,dongia1,DG!$G$5,)</f>
        <v>0</v>
      </c>
      <c r="K1361" s="1298">
        <f>VLOOKUP($B1361,dongia1,DG!$H$5,)</f>
        <v>0</v>
      </c>
      <c r="L1361" s="1298">
        <f t="shared" si="304"/>
        <v>0</v>
      </c>
      <c r="M1361" s="1298">
        <f t="shared" si="305"/>
        <v>0</v>
      </c>
      <c r="N1361" s="1298">
        <f t="shared" si="306"/>
        <v>0</v>
      </c>
      <c r="O1361" s="1298">
        <f t="shared" si="307"/>
        <v>0</v>
      </c>
      <c r="P1361" s="1499"/>
      <c r="Q1361" s="1300"/>
      <c r="R1361" s="1300"/>
      <c r="S1361" s="1300"/>
    </row>
    <row r="1362" spans="1:19" s="1081" customFormat="1" hidden="1" outlineLevel="1">
      <c r="A1362" s="1072" t="str">
        <f t="shared" si="303"/>
        <v/>
      </c>
      <c r="B1362" s="1295" t="str">
        <f>"LA"&amp;$F$6</f>
        <v>LA18</v>
      </c>
      <c r="C1362" s="1302">
        <f t="shared" si="308"/>
        <v>0</v>
      </c>
      <c r="D1362" s="1198" t="str">
        <f>VLOOKUP($B1362,dongia1,DG!$B$5,)</f>
        <v>T2.5004</v>
      </c>
      <c r="E1362" s="1243" t="str">
        <f>VLOOKUP($B1362,dongia1,DG!$C$5,)</f>
        <v>LA 18kV 10kA</v>
      </c>
      <c r="F1362" s="1198" t="str">
        <f>VLOOKUP($B1362,dongia1,DG!$D$5,)</f>
        <v>cái</v>
      </c>
      <c r="G1362" s="1497">
        <f>G1360</f>
        <v>0</v>
      </c>
      <c r="H1362" s="1298">
        <f>VLOOKUP($B1362,dongia1,DG!$E$5,)</f>
        <v>1106000</v>
      </c>
      <c r="I1362" s="1298">
        <f>VLOOKUP($B1362,dongia1,DG!$F$5,)*0</f>
        <v>0</v>
      </c>
      <c r="J1362" s="1298">
        <f>VLOOKUP($B1362,dongia1,DG!$G$5,)</f>
        <v>83490</v>
      </c>
      <c r="K1362" s="1298">
        <f>VLOOKUP($B1362,dongia1,DG!$H$5,)</f>
        <v>0</v>
      </c>
      <c r="L1362" s="1298">
        <f t="shared" si="304"/>
        <v>0</v>
      </c>
      <c r="M1362" s="1298">
        <f t="shared" si="305"/>
        <v>0</v>
      </c>
      <c r="N1362" s="1298">
        <f t="shared" si="306"/>
        <v>0</v>
      </c>
      <c r="O1362" s="1298">
        <f t="shared" si="307"/>
        <v>0</v>
      </c>
      <c r="P1362" s="1499"/>
      <c r="Q1362" s="1300"/>
      <c r="R1362" s="1300"/>
      <c r="S1362" s="1300"/>
    </row>
    <row r="1363" spans="1:19" s="1081" customFormat="1" hidden="1" outlineLevel="1">
      <c r="A1363" s="1072" t="str">
        <f t="shared" si="303"/>
        <v/>
      </c>
      <c r="B1363" s="1397" t="s">
        <v>215</v>
      </c>
      <c r="C1363" s="1302">
        <f t="shared" si="308"/>
        <v>0</v>
      </c>
      <c r="D1363" s="1198" t="str">
        <f>VLOOKUP($B1363,dongia1,DG!$B$5,)</f>
        <v>T2.8405</v>
      </c>
      <c r="E1363" s="1243" t="str">
        <f>VLOOKUP($B1363,dongia1,DG!$C$5,)</f>
        <v>MCCB 3 cực 400V -400A - 50KA (chỉnh định dòng)</v>
      </c>
      <c r="F1363" s="1198" t="str">
        <f>VLOOKUP($B1363,dongia1,DG!$D$5,)</f>
        <v>cái</v>
      </c>
      <c r="G1363" s="1303">
        <f>G1359*0</f>
        <v>0</v>
      </c>
      <c r="H1363" s="1298">
        <f>VLOOKUP($B1363,dongia1,DG!$E$5,)</f>
        <v>7180000</v>
      </c>
      <c r="I1363" s="1298">
        <f>VLOOKUP($B1363,dongia1,DG!$F$5,)*0</f>
        <v>0</v>
      </c>
      <c r="J1363" s="1298">
        <f>VLOOKUP($B1363,dongia1,DG!$G$5,)</f>
        <v>974050</v>
      </c>
      <c r="K1363" s="1298">
        <f>VLOOKUP($B1363,dongia1,DG!$H$5,)</f>
        <v>0</v>
      </c>
      <c r="L1363" s="1298">
        <f t="shared" si="304"/>
        <v>0</v>
      </c>
      <c r="M1363" s="1298">
        <f t="shared" si="305"/>
        <v>0</v>
      </c>
      <c r="N1363" s="1298">
        <f t="shared" si="306"/>
        <v>0</v>
      </c>
      <c r="O1363" s="1298">
        <f t="shared" si="307"/>
        <v>0</v>
      </c>
      <c r="P1363" s="1437"/>
      <c r="Q1363" s="1300"/>
      <c r="R1363" s="1300"/>
      <c r="S1363" s="1300"/>
    </row>
    <row r="1364" spans="1:19" s="1081" customFormat="1" hidden="1" outlineLevel="1">
      <c r="A1364" s="1072" t="str">
        <f>IF(G1364&lt;&gt;0,1,"")</f>
        <v/>
      </c>
      <c r="B1364" s="1397" t="s">
        <v>215</v>
      </c>
      <c r="C1364" s="1302">
        <f>IF(G1364&gt;0,C1363+1,C1363)</f>
        <v>0</v>
      </c>
      <c r="D1364" s="1198" t="str">
        <f>VLOOKUP($B1364,dongia1,DG!$B$5,)</f>
        <v>T2.8405</v>
      </c>
      <c r="E1364" s="1243" t="str">
        <f>VLOOKUP($B1364,dongia1,DG!$C$5,)</f>
        <v>MCCB 3 cực 400V -400A - 50KA (chỉnh định dòng)</v>
      </c>
      <c r="F1364" s="1198" t="str">
        <f>VLOOKUP($B1364,dongia1,DG!$D$5,)</f>
        <v>cái</v>
      </c>
      <c r="G1364" s="1497">
        <f>G1359</f>
        <v>0</v>
      </c>
      <c r="H1364" s="1298">
        <f>VLOOKUP($B1364,dongia1,DG!$E$5,)</f>
        <v>7180000</v>
      </c>
      <c r="I1364" s="1298">
        <f>VLOOKUP($B1364,dongia1,DG!$F$5,)*0</f>
        <v>0</v>
      </c>
      <c r="J1364" s="1298">
        <f>VLOOKUP($B1364,dongia1,DG!$G$5,)</f>
        <v>974050</v>
      </c>
      <c r="K1364" s="1298">
        <f>VLOOKUP($B1364,dongia1,DG!$H$5,)</f>
        <v>0</v>
      </c>
      <c r="L1364" s="1298">
        <f>H1364*G1364</f>
        <v>0</v>
      </c>
      <c r="M1364" s="1298">
        <f>I1364*G1364</f>
        <v>0</v>
      </c>
      <c r="N1364" s="1298">
        <f>J1364*G1364</f>
        <v>0</v>
      </c>
      <c r="O1364" s="1298">
        <f>K1364*G1364</f>
        <v>0</v>
      </c>
      <c r="P1364" s="1499"/>
      <c r="Q1364" s="1300"/>
      <c r="R1364" s="1300"/>
      <c r="S1364" s="1300"/>
    </row>
    <row r="1365" spans="1:19" s="1081" customFormat="1" hidden="1" outlineLevel="1">
      <c r="A1365" s="1072" t="str">
        <f t="shared" si="303"/>
        <v/>
      </c>
      <c r="B1365" s="1397" t="s">
        <v>214</v>
      </c>
      <c r="C1365" s="1302">
        <f>IF(G1365&gt;0,C1363+1,C1363)</f>
        <v>0</v>
      </c>
      <c r="D1365" s="1198" t="str">
        <f>VLOOKUP($B1365,dongia1,DG!$B$5,)</f>
        <v>05.1102</v>
      </c>
      <c r="E1365" s="1243" t="str">
        <f>VLOOKUP($B1365,dongia1,DG!$C$5,)</f>
        <v>Tủ tụ bù hạ thế 100kVAr</v>
      </c>
      <c r="F1365" s="1198" t="str">
        <f>VLOOKUP($B1365,dongia1,DG!$D$5,)</f>
        <v>tủ</v>
      </c>
      <c r="G1365" s="1303">
        <f>G1359*0</f>
        <v>0</v>
      </c>
      <c r="H1365" s="1298">
        <f>VLOOKUP($B1365,dongia1,DG!$E$5,)</f>
        <v>13270912</v>
      </c>
      <c r="I1365" s="1298">
        <f>VLOOKUP($B1365,dongia1,DG!$F$5,)</f>
        <v>0</v>
      </c>
      <c r="J1365" s="1298">
        <f>VLOOKUP($B1365,dongia1,DG!$G$5,)</f>
        <v>98101</v>
      </c>
      <c r="K1365" s="1298">
        <f>VLOOKUP($B1365,dongia1,DG!$H$5,)</f>
        <v>59254</v>
      </c>
      <c r="L1365" s="1298">
        <f t="shared" si="304"/>
        <v>0</v>
      </c>
      <c r="M1365" s="1298">
        <f t="shared" si="305"/>
        <v>0</v>
      </c>
      <c r="N1365" s="1298">
        <f t="shared" si="306"/>
        <v>0</v>
      </c>
      <c r="O1365" s="1298">
        <f t="shared" si="307"/>
        <v>0</v>
      </c>
      <c r="P1365" s="1437"/>
      <c r="Q1365" s="1300"/>
      <c r="R1365" s="1300"/>
      <c r="S1365" s="1300"/>
    </row>
    <row r="1366" spans="1:19" s="1081" customFormat="1" hidden="1" outlineLevel="1">
      <c r="A1366" s="1072" t="str">
        <f t="shared" si="303"/>
        <v/>
      </c>
      <c r="B1366" s="1068" t="s">
        <v>121</v>
      </c>
      <c r="C1366" s="1302">
        <f t="shared" si="308"/>
        <v>0</v>
      </c>
      <c r="D1366" s="1198">
        <f>VLOOKUP($B1366,dongia1,DG!$B$5,)</f>
        <v>0</v>
      </c>
      <c r="E1366" s="1243" t="str">
        <f>VLOOKUP($B1366,dongia1,DG!$C$5,)</f>
        <v>Biến dòng 600V - 400/5A</v>
      </c>
      <c r="F1366" s="1198" t="str">
        <f>VLOOKUP($B1366,dongia1,DG!$D$5,)</f>
        <v>cái</v>
      </c>
      <c r="G1366" s="1500">
        <f>3*G1359</f>
        <v>0</v>
      </c>
      <c r="H1366" s="1298">
        <f>VLOOKUP($B1366,dongia1,DG!$E$5,)*0</f>
        <v>0</v>
      </c>
      <c r="I1366" s="1298">
        <f>VLOOKUP($B1366,dongia1,DG!$F$5,)*0</f>
        <v>0</v>
      </c>
      <c r="J1366" s="1298">
        <f>VLOOKUP($B1366,dongia1,DG!$G$5,)</f>
        <v>0</v>
      </c>
      <c r="K1366" s="1298">
        <f>VLOOKUP($B1366,dongia1,DG!$H$5,)</f>
        <v>0</v>
      </c>
      <c r="L1366" s="1298">
        <f t="shared" si="304"/>
        <v>0</v>
      </c>
      <c r="M1366" s="1298">
        <f t="shared" si="305"/>
        <v>0</v>
      </c>
      <c r="N1366" s="1298">
        <f t="shared" si="306"/>
        <v>0</v>
      </c>
      <c r="O1366" s="1298">
        <f t="shared" si="307"/>
        <v>0</v>
      </c>
      <c r="P1366" s="1501" t="s">
        <v>3471</v>
      </c>
      <c r="Q1366" s="1300"/>
      <c r="R1366" s="1300"/>
      <c r="S1366" s="1300"/>
    </row>
    <row r="1367" spans="1:19" s="1081" customFormat="1" hidden="1" outlineLevel="1">
      <c r="A1367" s="1072" t="str">
        <f>IF(G1367&lt;&gt;0,1,"")</f>
        <v/>
      </c>
      <c r="B1367" s="1068" t="s">
        <v>915</v>
      </c>
      <c r="C1367" s="1302">
        <f>IF(G1367&gt;0,C1366+1,C1366)</f>
        <v>0</v>
      </c>
      <c r="D1367" s="1198">
        <f>VLOOKUP($B1367,dongia1,DG!$B$5,)</f>
        <v>0</v>
      </c>
      <c r="E1367" s="1243" t="str">
        <f>VLOOKUP($B1367,dongia1,DG!$C$5,)</f>
        <v xml:space="preserve">Biến dòng 600V - 200/5A </v>
      </c>
      <c r="F1367" s="1198" t="str">
        <f>VLOOKUP($B1367,dongia1,DG!$D$5,)</f>
        <v>cái</v>
      </c>
      <c r="G1367" s="1438">
        <f>3*G1359*2*0</f>
        <v>0</v>
      </c>
      <c r="H1367" s="1298">
        <f>VLOOKUP($B1367,dongia1,DG!$E$5,)*0</f>
        <v>0</v>
      </c>
      <c r="I1367" s="1298">
        <f>VLOOKUP($B1367,dongia1,DG!$F$5,)*0</f>
        <v>0</v>
      </c>
      <c r="J1367" s="1298">
        <f>VLOOKUP($B1367,dongia1,DG!$G$5,)</f>
        <v>0</v>
      </c>
      <c r="K1367" s="1298">
        <f>VLOOKUP($B1367,dongia1,DG!$H$5,)</f>
        <v>0</v>
      </c>
      <c r="L1367" s="1298">
        <f>H1367*G1367</f>
        <v>0</v>
      </c>
      <c r="M1367" s="1298">
        <f>I1367*G1367</f>
        <v>0</v>
      </c>
      <c r="N1367" s="1298">
        <f>J1367*G1367</f>
        <v>0</v>
      </c>
      <c r="O1367" s="1298">
        <f>K1367*G1367</f>
        <v>0</v>
      </c>
      <c r="P1367" s="1439" t="s">
        <v>3471</v>
      </c>
      <c r="Q1367" s="1300"/>
      <c r="R1367" s="1300"/>
      <c r="S1367" s="1300"/>
    </row>
    <row r="1368" spans="1:19" s="1081" customFormat="1" hidden="1" outlineLevel="1">
      <c r="A1368" s="1072" t="str">
        <f t="shared" si="303"/>
        <v/>
      </c>
      <c r="B1368" s="1068" t="s">
        <v>839</v>
      </c>
      <c r="C1368" s="1302">
        <f>IF(G1368&gt;0,C1366+1,C1366)</f>
        <v>0</v>
      </c>
      <c r="D1368" s="1198">
        <f>VLOOKUP($B1368,dongia1,DG!$B$5,)</f>
        <v>0</v>
      </c>
      <c r="E1368" s="1243" t="str">
        <f>VLOOKUP($B1368,dongia1,DG!$C$5,)</f>
        <v>Điện kế 3 pha 4 dây 220/380V-5A</v>
      </c>
      <c r="F1368" s="1198" t="str">
        <f>VLOOKUP($B1368,dongia1,DG!$D$5,)</f>
        <v>cái</v>
      </c>
      <c r="G1368" s="1500">
        <f>G1359*1</f>
        <v>0</v>
      </c>
      <c r="H1368" s="1298">
        <f>VLOOKUP($B1368,dongia1,DG!$E$5,)*0</f>
        <v>0</v>
      </c>
      <c r="I1368" s="1298">
        <f>VLOOKUP($B1368,dongia1,DG!$F$5,)*0</f>
        <v>0</v>
      </c>
      <c r="J1368" s="1298">
        <f>VLOOKUP($B1368,dongia1,DG!$G$5,)*0</f>
        <v>0</v>
      </c>
      <c r="K1368" s="1298">
        <f>VLOOKUP($B1368,dongia1,DG!$H$5,)</f>
        <v>0</v>
      </c>
      <c r="L1368" s="1298">
        <f t="shared" si="304"/>
        <v>0</v>
      </c>
      <c r="M1368" s="1400">
        <f t="shared" si="305"/>
        <v>0</v>
      </c>
      <c r="N1368" s="1400">
        <f t="shared" si="306"/>
        <v>0</v>
      </c>
      <c r="O1368" s="1401">
        <f t="shared" si="307"/>
        <v>0</v>
      </c>
      <c r="P1368" s="1502" t="s">
        <v>3471</v>
      </c>
      <c r="Q1368" s="1300"/>
      <c r="R1368" s="1300"/>
      <c r="S1368" s="1300"/>
    </row>
    <row r="1369" spans="1:19" s="1081" customFormat="1" hidden="1" outlineLevel="1">
      <c r="A1369" s="1072">
        <f>A1354</f>
        <v>0</v>
      </c>
      <c r="B1369" s="1295"/>
      <c r="C1369" s="1441"/>
      <c r="D1369" s="1442"/>
      <c r="E1369" s="1443"/>
      <c r="F1369" s="1444"/>
      <c r="G1369" s="1503"/>
      <c r="H1369" s="1444"/>
      <c r="I1369" s="1444"/>
      <c r="J1369" s="1183" t="s">
        <v>3387</v>
      </c>
      <c r="K1369" s="1444"/>
      <c r="L1369" s="1446">
        <f>SUM(L1359:L1368)</f>
        <v>0</v>
      </c>
      <c r="M1369" s="1446">
        <f>SUM(M1359:M1368)</f>
        <v>0</v>
      </c>
      <c r="N1369" s="1446">
        <f>SUM(N1359:N1368)</f>
        <v>0</v>
      </c>
      <c r="O1369" s="1446">
        <f>SUM(O1359:O1368)</f>
        <v>0</v>
      </c>
      <c r="P1369" s="1504"/>
      <c r="Q1369" s="1300"/>
      <c r="R1369" s="1300"/>
      <c r="S1369" s="1300"/>
    </row>
    <row r="1370" spans="1:19" s="1081" customFormat="1" hidden="1" outlineLevel="1">
      <c r="A1370" s="1072">
        <f>A1354</f>
        <v>0</v>
      </c>
      <c r="B1370" s="1295"/>
      <c r="C1370" s="1448"/>
      <c r="D1370" s="1449"/>
      <c r="E1370" s="1450" t="s">
        <v>3376</v>
      </c>
      <c r="F1370" s="1450"/>
      <c r="G1370" s="1505"/>
      <c r="H1370" s="1450"/>
      <c r="I1370" s="1450"/>
      <c r="J1370" s="1450"/>
      <c r="K1370" s="1450"/>
      <c r="L1370" s="1450"/>
      <c r="M1370" s="1450"/>
      <c r="N1370" s="1450"/>
      <c r="O1370" s="1449"/>
      <c r="P1370" s="1504"/>
      <c r="Q1370" s="1300"/>
      <c r="R1370" s="1300"/>
      <c r="S1370" s="1300"/>
    </row>
    <row r="1371" spans="1:19" s="1081" customFormat="1" hidden="1" outlineLevel="1">
      <c r="A1371" s="1072" t="str">
        <f t="shared" ref="A1371:A1389" si="309">IF(G1371&lt;&gt;0,1,"")</f>
        <v/>
      </c>
      <c r="B1371" s="1452"/>
      <c r="C1371" s="1453">
        <f>IF(G1371&gt;0,1,0)</f>
        <v>0</v>
      </c>
      <c r="D1371" s="1198"/>
      <c r="E1371" s="1454" t="s">
        <v>3446</v>
      </c>
      <c r="F1371" s="1455" t="s">
        <v>1133</v>
      </c>
      <c r="G1371" s="1456">
        <f>G1359*0</f>
        <v>0</v>
      </c>
      <c r="H1371" s="1455"/>
      <c r="I1371" s="1455"/>
      <c r="J1371" s="1455"/>
      <c r="K1371" s="1455"/>
      <c r="L1371" s="1456"/>
      <c r="M1371" s="1456"/>
      <c r="N1371" s="1456"/>
      <c r="O1371" s="1457"/>
      <c r="P1371" s="1437"/>
      <c r="Q1371" s="1300"/>
      <c r="R1371" s="1300"/>
      <c r="S1371" s="1300"/>
    </row>
    <row r="1372" spans="1:19" s="1081" customFormat="1" hidden="1" outlineLevel="1">
      <c r="A1372" s="1072" t="str">
        <f t="shared" si="309"/>
        <v/>
      </c>
      <c r="B1372" s="1421" t="s">
        <v>1012</v>
      </c>
      <c r="C1372" s="1458"/>
      <c r="D1372" s="1198"/>
      <c r="E1372" s="1459" t="str">
        <f>VLOOKUP($B1372,dongia1,DG!$C$5,)</f>
        <v>Trụ BTLT 12m F350 dự ứng lực</v>
      </c>
      <c r="F1372" s="1198" t="str">
        <f>VLOOKUP($B1372,dongia1,DG!$D$5,)</f>
        <v>trụ</v>
      </c>
      <c r="G1372" s="1198">
        <f>G1371</f>
        <v>0</v>
      </c>
      <c r="H1372" s="1399">
        <f>VLOOKUP($B1372,dongia1,DG!$F$5,)</f>
        <v>4400000</v>
      </c>
      <c r="I1372" s="1291"/>
      <c r="J1372" s="1399"/>
      <c r="K1372" s="1291"/>
      <c r="L1372" s="1400">
        <f>H1372*G1372</f>
        <v>0</v>
      </c>
      <c r="M1372" s="1400">
        <f>I1372*G1372</f>
        <v>0</v>
      </c>
      <c r="N1372" s="1400">
        <f>J1372*G1372</f>
        <v>0</v>
      </c>
      <c r="O1372" s="1400">
        <f>K1372*G1372</f>
        <v>0</v>
      </c>
      <c r="P1372" s="1437"/>
      <c r="Q1372" s="1300"/>
      <c r="R1372" s="1300"/>
      <c r="S1372" s="1300"/>
    </row>
    <row r="1373" spans="1:19" s="1081" customFormat="1" hidden="1" outlineLevel="1">
      <c r="A1373" s="1072" t="str">
        <f t="shared" si="309"/>
        <v/>
      </c>
      <c r="B1373" s="1421" t="s">
        <v>1457</v>
      </c>
      <c r="C1373" s="1458"/>
      <c r="D1373" s="1198"/>
      <c r="E1373" s="1459" t="str">
        <f>VLOOKUP($B1373,dongia1,DG!$C$5,)</f>
        <v>Vật liệu dựng trụ</v>
      </c>
      <c r="F1373" s="1198" t="str">
        <f>VLOOKUP($B1373,dongia1,DG!$D$5,)</f>
        <v>trụ</v>
      </c>
      <c r="G1373" s="1198">
        <f>G1372</f>
        <v>0</v>
      </c>
      <c r="H1373" s="1399">
        <f>VLOOKUP($B1373,dongia1,DG!$F$5,)</f>
        <v>17400</v>
      </c>
      <c r="I1373" s="1399"/>
      <c r="J1373" s="1291"/>
      <c r="K1373" s="1291"/>
      <c r="L1373" s="1400">
        <f>H1373*G1373</f>
        <v>0</v>
      </c>
      <c r="M1373" s="1400">
        <f>I1373*G1373</f>
        <v>0</v>
      </c>
      <c r="N1373" s="1400">
        <f>J1373*G1373</f>
        <v>0</v>
      </c>
      <c r="O1373" s="1400">
        <f>K1373*G1373</f>
        <v>0</v>
      </c>
      <c r="P1373" s="1437"/>
      <c r="Q1373" s="1300"/>
      <c r="R1373" s="1300"/>
      <c r="S1373" s="1300"/>
    </row>
    <row r="1374" spans="1:19" s="1081" customFormat="1" hidden="1" outlineLevel="1">
      <c r="A1374" s="1072" t="str">
        <f t="shared" si="309"/>
        <v/>
      </c>
      <c r="B1374" s="1421" t="s">
        <v>1701</v>
      </c>
      <c r="C1374" s="1458"/>
      <c r="D1374" s="1198" t="str">
        <f>VLOOKUP($B1374,dongia1,DG!$B$5,)</f>
        <v>04.9203</v>
      </c>
      <c r="E1374" s="1459" t="str">
        <f>VLOOKUP($B1374,dongia1,DG!$C$5,)</f>
        <v>Dựng trụ BTLT 12m trong TBA bằng thủ công + cơ giới</v>
      </c>
      <c r="F1374" s="1198" t="str">
        <f>VLOOKUP($B1374,dongia1,DG!$D$5,)</f>
        <v>trụ</v>
      </c>
      <c r="G1374" s="1198">
        <f>G1372</f>
        <v>0</v>
      </c>
      <c r="H1374" s="1459"/>
      <c r="I1374" s="1399"/>
      <c r="J1374" s="1399">
        <f>VLOOKUP($B1374,dongia1,DG!$G$5,)</f>
        <v>112286</v>
      </c>
      <c r="K1374" s="1399">
        <f>VLOOKUP($B1374,dongia1,DG!$H$5,)</f>
        <v>105970</v>
      </c>
      <c r="L1374" s="1400">
        <f>H1374*G1374</f>
        <v>0</v>
      </c>
      <c r="M1374" s="1400">
        <f>I1374*G1374</f>
        <v>0</v>
      </c>
      <c r="N1374" s="1400">
        <f>J1374*G1374</f>
        <v>0</v>
      </c>
      <c r="O1374" s="1400">
        <f>K1374*G1374</f>
        <v>0</v>
      </c>
      <c r="P1374" s="1437"/>
      <c r="Q1374" s="1300"/>
      <c r="R1374" s="1300"/>
      <c r="S1374" s="1300"/>
    </row>
    <row r="1375" spans="1:19" s="1081" customFormat="1" hidden="1" outlineLevel="1">
      <c r="A1375" s="1072" t="str">
        <f t="shared" si="309"/>
        <v/>
      </c>
      <c r="B1375" s="1452"/>
      <c r="C1375" s="1453">
        <f>IF(G1375&gt;0,1,0)</f>
        <v>0</v>
      </c>
      <c r="D1375" s="1198"/>
      <c r="E1375" s="1454" t="s">
        <v>3389</v>
      </c>
      <c r="F1375" s="1455" t="s">
        <v>1133</v>
      </c>
      <c r="G1375" s="1456">
        <f>G1359*2*0</f>
        <v>0</v>
      </c>
      <c r="H1375" s="1455"/>
      <c r="I1375" s="1455"/>
      <c r="J1375" s="1455"/>
      <c r="K1375" s="1455"/>
      <c r="L1375" s="1456"/>
      <c r="M1375" s="1456"/>
      <c r="N1375" s="1456"/>
      <c r="O1375" s="1457"/>
      <c r="P1375" s="1299"/>
      <c r="Q1375" s="1300"/>
      <c r="R1375" s="1300"/>
      <c r="S1375" s="1300"/>
    </row>
    <row r="1376" spans="1:19" s="1081" customFormat="1" hidden="1" outlineLevel="1">
      <c r="A1376" s="1072" t="str">
        <f t="shared" si="309"/>
        <v/>
      </c>
      <c r="B1376" s="1421" t="s">
        <v>1011</v>
      </c>
      <c r="C1376" s="1458"/>
      <c r="D1376" s="1198"/>
      <c r="E1376" s="1459" t="str">
        <f>VLOOKUP($B1376,dongia1,DG!$C$5,)</f>
        <v>Trụ BTLT 10,5m F350 dự ứng lực</v>
      </c>
      <c r="F1376" s="1198" t="str">
        <f>VLOOKUP($B1376,dongia1,DG!$D$5,)</f>
        <v>trụ</v>
      </c>
      <c r="G1376" s="1198">
        <f>G1375</f>
        <v>0</v>
      </c>
      <c r="H1376" s="1399">
        <f>VLOOKUP($B1376,dongia1,DG!$F$5,)</f>
        <v>4200000</v>
      </c>
      <c r="I1376" s="1291"/>
      <c r="J1376" s="1399"/>
      <c r="K1376" s="1291"/>
      <c r="L1376" s="1400">
        <f>H1376*G1376</f>
        <v>0</v>
      </c>
      <c r="M1376" s="1400">
        <f>I1376*G1376</f>
        <v>0</v>
      </c>
      <c r="N1376" s="1400">
        <f>J1376*G1376</f>
        <v>0</v>
      </c>
      <c r="O1376" s="1400">
        <f>K1376*G1376</f>
        <v>0</v>
      </c>
      <c r="P1376" s="1299"/>
      <c r="Q1376" s="1300"/>
      <c r="R1376" s="1300"/>
      <c r="S1376" s="1300"/>
    </row>
    <row r="1377" spans="1:19" s="1081" customFormat="1" hidden="1" outlineLevel="1">
      <c r="A1377" s="1072" t="str">
        <f t="shared" si="309"/>
        <v/>
      </c>
      <c r="B1377" s="1421" t="s">
        <v>1457</v>
      </c>
      <c r="C1377" s="1458"/>
      <c r="D1377" s="1198"/>
      <c r="E1377" s="1459" t="str">
        <f>VLOOKUP($B1377,dongia1,DG!$C$5,)</f>
        <v>Vật liệu dựng trụ</v>
      </c>
      <c r="F1377" s="1198" t="str">
        <f>VLOOKUP($B1377,dongia1,DG!$D$5,)</f>
        <v>trụ</v>
      </c>
      <c r="G1377" s="1198">
        <f>G1376</f>
        <v>0</v>
      </c>
      <c r="H1377" s="1399">
        <f>VLOOKUP($B1377,dongia1,DG!$F$5,)</f>
        <v>17400</v>
      </c>
      <c r="I1377" s="1399"/>
      <c r="J1377" s="1291"/>
      <c r="K1377" s="1291"/>
      <c r="L1377" s="1400">
        <f>H1377*G1377</f>
        <v>0</v>
      </c>
      <c r="M1377" s="1400">
        <f>I1377*G1377</f>
        <v>0</v>
      </c>
      <c r="N1377" s="1400">
        <f>J1377*G1377</f>
        <v>0</v>
      </c>
      <c r="O1377" s="1400">
        <f>K1377*G1377</f>
        <v>0</v>
      </c>
      <c r="P1377" s="1299"/>
      <c r="Q1377" s="1300"/>
      <c r="R1377" s="1300"/>
      <c r="S1377" s="1300"/>
    </row>
    <row r="1378" spans="1:19" s="1081" customFormat="1" hidden="1" outlineLevel="1">
      <c r="A1378" s="1072" t="str">
        <f t="shared" si="309"/>
        <v/>
      </c>
      <c r="B1378" s="1421" t="s">
        <v>1702</v>
      </c>
      <c r="C1378" s="1458"/>
      <c r="D1378" s="1198" t="str">
        <f>VLOOKUP($B1378,dongia1,DG!$B$5,)</f>
        <v>04.9203</v>
      </c>
      <c r="E1378" s="1459" t="str">
        <f>VLOOKUP($B1378,dongia1,DG!$C$5,)</f>
        <v>Dựng trụ BTLT 10,5m trong TBA bằng thủ công + cơ giới</v>
      </c>
      <c r="F1378" s="1198" t="str">
        <f>VLOOKUP($B1378,dongia1,DG!$D$5,)</f>
        <v>trụ</v>
      </c>
      <c r="G1378" s="1198">
        <f>G1376</f>
        <v>0</v>
      </c>
      <c r="H1378" s="1459"/>
      <c r="I1378" s="1399"/>
      <c r="J1378" s="1399">
        <f>VLOOKUP($B1378,dongia1,DG!$G$5,)</f>
        <v>112286</v>
      </c>
      <c r="K1378" s="1399">
        <f>VLOOKUP($B1378,dongia1,DG!$H$5,)</f>
        <v>105970</v>
      </c>
      <c r="L1378" s="1400">
        <f>H1378*G1378</f>
        <v>0</v>
      </c>
      <c r="M1378" s="1400">
        <f>I1378*G1378</f>
        <v>0</v>
      </c>
      <c r="N1378" s="1400">
        <f>J1378*G1378</f>
        <v>0</v>
      </c>
      <c r="O1378" s="1400">
        <f>K1378*G1378</f>
        <v>0</v>
      </c>
      <c r="P1378" s="1299"/>
      <c r="Q1378" s="1300"/>
      <c r="R1378" s="1300"/>
      <c r="S1378" s="1300"/>
    </row>
    <row r="1379" spans="1:19" s="1081" customFormat="1" hidden="1" outlineLevel="1">
      <c r="A1379" s="1072" t="str">
        <f t="shared" si="309"/>
        <v/>
      </c>
      <c r="B1379" s="1421"/>
      <c r="C1379" s="1291">
        <f>IF(G1379&gt;0,C1371+1,C1371)</f>
        <v>0</v>
      </c>
      <c r="D1379" s="1198"/>
      <c r="E1379" s="1454" t="s">
        <v>3390</v>
      </c>
      <c r="F1379" s="1455" t="s">
        <v>3391</v>
      </c>
      <c r="G1379" s="1460">
        <f>G1371</f>
        <v>0</v>
      </c>
      <c r="H1379" s="1291"/>
      <c r="I1379" s="1291"/>
      <c r="J1379" s="1291"/>
      <c r="K1379" s="1291"/>
      <c r="L1379" s="1291"/>
      <c r="M1379" s="1291"/>
      <c r="N1379" s="1291"/>
      <c r="O1379" s="1461"/>
      <c r="P1379" s="1437"/>
      <c r="Q1379" s="1300"/>
      <c r="R1379" s="1300"/>
      <c r="S1379" s="1300"/>
    </row>
    <row r="1380" spans="1:19" s="1081" customFormat="1" hidden="1" outlineLevel="1">
      <c r="A1380" s="1072" t="str">
        <f t="shared" si="309"/>
        <v/>
      </c>
      <c r="B1380" s="1421" t="s">
        <v>580</v>
      </c>
      <c r="C1380" s="1458"/>
      <c r="D1380" s="1198" t="str">
        <f>VLOOKUP($B1380,dongia1,DG!$B$5,)</f>
        <v>AG.42111</v>
      </c>
      <c r="E1380" s="1459" t="str">
        <f>VLOOKUP($B1380,dongia1,DG!$C$5,)</f>
        <v>Đà cản BTCT 1,2m</v>
      </c>
      <c r="F1380" s="1198" t="str">
        <f>VLOOKUP($B1380,dongia1,DG!$D$5,)</f>
        <v>cái</v>
      </c>
      <c r="G1380" s="1198">
        <f>G1379</f>
        <v>0</v>
      </c>
      <c r="H1380" s="1399">
        <f>VLOOKUP($B1380,dongia1,DG!$F$5,)</f>
        <v>354545</v>
      </c>
      <c r="I1380" s="1399"/>
      <c r="J1380" s="1399">
        <f>VLOOKUP($B1380,dongia1,DG!$G$5,)</f>
        <v>37220.25</v>
      </c>
      <c r="K1380" s="1291"/>
      <c r="L1380" s="1400">
        <f>H1380*G1380</f>
        <v>0</v>
      </c>
      <c r="M1380" s="1400">
        <f>I1380*G1380</f>
        <v>0</v>
      </c>
      <c r="N1380" s="1400">
        <f>J1380*G1380</f>
        <v>0</v>
      </c>
      <c r="O1380" s="1400">
        <f>K1380*G1380</f>
        <v>0</v>
      </c>
      <c r="P1380" s="1437"/>
      <c r="Q1380" s="1300"/>
      <c r="R1380" s="1300"/>
      <c r="S1380" s="1300"/>
    </row>
    <row r="1381" spans="1:19" s="1081" customFormat="1" hidden="1" outlineLevel="1">
      <c r="A1381" s="1072" t="str">
        <f t="shared" si="309"/>
        <v/>
      </c>
      <c r="B1381" s="1421" t="s">
        <v>952</v>
      </c>
      <c r="C1381" s="1458"/>
      <c r="D1381" s="1198"/>
      <c r="E1381" s="1459" t="str">
        <f>VLOOKUP($B1381,dongia1,DG!$C$5,)</f>
        <v>Boulon 22x650+ 2 long đền vuông D24-60x60x3/Zn</v>
      </c>
      <c r="F1381" s="1198" t="str">
        <f>VLOOKUP($B1381,dongia1,DG!$D$5,)</f>
        <v>bộ</v>
      </c>
      <c r="G1381" s="1198">
        <f>G1380</f>
        <v>0</v>
      </c>
      <c r="H1381" s="1399">
        <f>VLOOKUP($B1381,dongia1,DG!$F$5,)</f>
        <v>92200</v>
      </c>
      <c r="I1381" s="1459"/>
      <c r="J1381" s="1459"/>
      <c r="K1381" s="1291"/>
      <c r="L1381" s="1400">
        <f>H1381*G1381</f>
        <v>0</v>
      </c>
      <c r="M1381" s="1400">
        <f>I1381*G1381</f>
        <v>0</v>
      </c>
      <c r="N1381" s="1400">
        <f>J1381*G1381</f>
        <v>0</v>
      </c>
      <c r="O1381" s="1400">
        <f>K1381*G1381</f>
        <v>0</v>
      </c>
      <c r="P1381" s="1437"/>
      <c r="Q1381" s="1300"/>
      <c r="R1381" s="1300"/>
      <c r="S1381" s="1300"/>
    </row>
    <row r="1382" spans="1:19" s="1081" customFormat="1" hidden="1" outlineLevel="1">
      <c r="A1382" s="1072" t="str">
        <f t="shared" si="309"/>
        <v/>
      </c>
      <c r="B1382" s="1421" t="str">
        <f>IF(capdat=1,"MDD1",IF(capdat=2,"MDD2",IF(capdat=3,"MDD3",IF(capdat=4,"MDD4"))))</f>
        <v>MDD3</v>
      </c>
      <c r="C1382" s="1458"/>
      <c r="D1382" s="1198" t="str">
        <f>VLOOKUP($B1382,dongia1,DG!$B$5,)</f>
        <v>03.1013</v>
      </c>
      <c r="E1382" s="1459" t="str">
        <f>VLOOKUP($B1382,dongia1,DG!$C$5,)</f>
        <v>Đào hố móng đất cấp 3 sâu &gt;1m DT&lt;5m2</v>
      </c>
      <c r="F1382" s="1198" t="str">
        <f>VLOOKUP($B1382,dongia1,DG!$D$5,)</f>
        <v>m3</v>
      </c>
      <c r="G1382" s="1198">
        <f>0.87*G1380</f>
        <v>0</v>
      </c>
      <c r="H1382" s="1399">
        <f>VLOOKUP($B1382,dongia1,DG!$F$5,)</f>
        <v>0</v>
      </c>
      <c r="I1382" s="1399"/>
      <c r="J1382" s="1399">
        <f>VLOOKUP($B1382,dongia1,DG!$G$5,)</f>
        <v>296500.89999999997</v>
      </c>
      <c r="K1382" s="1291"/>
      <c r="L1382" s="1400">
        <f>H1382*G1382</f>
        <v>0</v>
      </c>
      <c r="M1382" s="1400">
        <f>I1382*G1382</f>
        <v>0</v>
      </c>
      <c r="N1382" s="1400">
        <f>J1382*G1382</f>
        <v>0</v>
      </c>
      <c r="O1382" s="1400">
        <f>K1382*G1382</f>
        <v>0</v>
      </c>
      <c r="P1382" s="1437"/>
      <c r="Q1382" s="1300"/>
      <c r="R1382" s="1300"/>
      <c r="S1382" s="1300"/>
    </row>
    <row r="1383" spans="1:19" s="1081" customFormat="1" hidden="1" outlineLevel="1">
      <c r="A1383" s="1072" t="str">
        <f t="shared" si="309"/>
        <v/>
      </c>
      <c r="B1383" s="1421" t="str">
        <f>IF(capdat=1,"MDAP1",IF(capdat=2,"MDAP2",IF(capdat=3,"MDAP3",IF(capdat=4,"MDAP4"))))</f>
        <v>MDAP3</v>
      </c>
      <c r="C1383" s="1458"/>
      <c r="D1383" s="1198" t="str">
        <f>VLOOKUP($B1383,dongia1,DG!$B$5,)</f>
        <v>AB.13111</v>
      </c>
      <c r="E1383" s="1459" t="str">
        <f>VLOOKUP($B1383,dongia1,DG!$C$5,)</f>
        <v>Đắp đất hố móng, đất cấp 3 (độ chặt k = 0.85)</v>
      </c>
      <c r="F1383" s="1198" t="str">
        <f>VLOOKUP($B1383,dongia1,DG!$D$5,)</f>
        <v>m3</v>
      </c>
      <c r="G1383" s="1198">
        <f>0.79*G1379</f>
        <v>0</v>
      </c>
      <c r="H1383" s="1399">
        <f>VLOOKUP($B1383,dongia1,DG!$F$5,)</f>
        <v>0</v>
      </c>
      <c r="I1383" s="1399"/>
      <c r="J1383" s="1399">
        <f>VLOOKUP($B1383,dongia1,DG!$G$5,)</f>
        <v>117703.6</v>
      </c>
      <c r="K1383" s="1291"/>
      <c r="L1383" s="1400">
        <f>H1383*G1383</f>
        <v>0</v>
      </c>
      <c r="M1383" s="1400">
        <f>I1383*G1383</f>
        <v>0</v>
      </c>
      <c r="N1383" s="1400">
        <f>J1383*G1383</f>
        <v>0</v>
      </c>
      <c r="O1383" s="1400">
        <f>K1383*G1383</f>
        <v>0</v>
      </c>
      <c r="P1383" s="1437"/>
      <c r="Q1383" s="1300"/>
      <c r="R1383" s="1300"/>
      <c r="S1383" s="1300"/>
    </row>
    <row r="1384" spans="1:19" s="1081" customFormat="1" hidden="1" outlineLevel="1">
      <c r="A1384" s="1072" t="str">
        <f t="shared" si="309"/>
        <v/>
      </c>
      <c r="B1384" s="1421"/>
      <c r="C1384" s="1291">
        <f>IF(G1384&gt;0,C1376+1,C1376)</f>
        <v>0</v>
      </c>
      <c r="D1384" s="1198"/>
      <c r="E1384" s="1454" t="s">
        <v>3392</v>
      </c>
      <c r="F1384" s="1455" t="s">
        <v>3391</v>
      </c>
      <c r="G1384" s="1460">
        <f>G1375</f>
        <v>0</v>
      </c>
      <c r="H1384" s="1291"/>
      <c r="I1384" s="1291"/>
      <c r="J1384" s="1291"/>
      <c r="K1384" s="1291"/>
      <c r="L1384" s="1291"/>
      <c r="M1384" s="1291"/>
      <c r="N1384" s="1291"/>
      <c r="O1384" s="1461"/>
      <c r="P1384" s="1299"/>
      <c r="Q1384" s="1300"/>
      <c r="R1384" s="1300"/>
      <c r="S1384" s="1300"/>
    </row>
    <row r="1385" spans="1:19" s="1081" customFormat="1" hidden="1" outlineLevel="1">
      <c r="A1385" s="1072" t="str">
        <f t="shared" si="309"/>
        <v/>
      </c>
      <c r="B1385" s="1421" t="s">
        <v>580</v>
      </c>
      <c r="C1385" s="1458"/>
      <c r="D1385" s="1198" t="str">
        <f>VLOOKUP($B1385,dongia1,DG!$B$5,)</f>
        <v>AG.42111</v>
      </c>
      <c r="E1385" s="1459" t="str">
        <f>VLOOKUP($B1385,dongia1,DG!$C$5,)</f>
        <v>Đà cản BTCT 1,2m</v>
      </c>
      <c r="F1385" s="1198" t="str">
        <f>VLOOKUP($B1385,dongia1,DG!$D$5,)</f>
        <v>cái</v>
      </c>
      <c r="G1385" s="1198">
        <f>G1384</f>
        <v>0</v>
      </c>
      <c r="H1385" s="1399">
        <f>VLOOKUP($B1385,dongia1,DG!$F$5,)</f>
        <v>354545</v>
      </c>
      <c r="I1385" s="1399"/>
      <c r="J1385" s="1399">
        <f>VLOOKUP($B1385,dongia1,DG!$G$5,)</f>
        <v>37220.25</v>
      </c>
      <c r="K1385" s="1291"/>
      <c r="L1385" s="1400">
        <f>H1385*G1385</f>
        <v>0</v>
      </c>
      <c r="M1385" s="1400">
        <f>I1385*G1385</f>
        <v>0</v>
      </c>
      <c r="N1385" s="1400">
        <f>J1385*G1385</f>
        <v>0</v>
      </c>
      <c r="O1385" s="1400">
        <f>K1385*G1385</f>
        <v>0</v>
      </c>
      <c r="P1385" s="1299"/>
      <c r="Q1385" s="1300"/>
      <c r="R1385" s="1300"/>
      <c r="S1385" s="1300"/>
    </row>
    <row r="1386" spans="1:19" s="1081" customFormat="1" hidden="1" outlineLevel="1">
      <c r="A1386" s="1072" t="str">
        <f t="shared" si="309"/>
        <v/>
      </c>
      <c r="B1386" s="1421" t="s">
        <v>952</v>
      </c>
      <c r="C1386" s="1458"/>
      <c r="D1386" s="1198"/>
      <c r="E1386" s="1459" t="str">
        <f>VLOOKUP($B1386,dongia1,DG!$C$5,)</f>
        <v>Boulon 22x650+ 2 long đền vuông D24-60x60x3/Zn</v>
      </c>
      <c r="F1386" s="1198" t="str">
        <f>VLOOKUP($B1386,dongia1,DG!$D$5,)</f>
        <v>bộ</v>
      </c>
      <c r="G1386" s="1198">
        <f>G1385</f>
        <v>0</v>
      </c>
      <c r="H1386" s="1399">
        <f>VLOOKUP($B1386,dongia1,DG!$F$5,)</f>
        <v>92200</v>
      </c>
      <c r="I1386" s="1459"/>
      <c r="J1386" s="1459"/>
      <c r="K1386" s="1291"/>
      <c r="L1386" s="1400">
        <f>H1386*G1386</f>
        <v>0</v>
      </c>
      <c r="M1386" s="1400">
        <f>I1386*G1386</f>
        <v>0</v>
      </c>
      <c r="N1386" s="1400">
        <f>J1386*G1386</f>
        <v>0</v>
      </c>
      <c r="O1386" s="1400">
        <f>K1386*G1386</f>
        <v>0</v>
      </c>
      <c r="P1386" s="1299"/>
      <c r="Q1386" s="1300"/>
      <c r="R1386" s="1300"/>
      <c r="S1386" s="1300"/>
    </row>
    <row r="1387" spans="1:19" s="1081" customFormat="1" hidden="1" outlineLevel="1">
      <c r="A1387" s="1072" t="str">
        <f t="shared" si="309"/>
        <v/>
      </c>
      <c r="B1387" s="1421" t="str">
        <f>IF(capdat=1,"MDD1",IF(capdat=2,"MDD2",IF(capdat=3,"MDD3",IF(capdat=4,"MDD4"))))</f>
        <v>MDD3</v>
      </c>
      <c r="C1387" s="1458"/>
      <c r="D1387" s="1198" t="str">
        <f>VLOOKUP($B1387,dongia1,DG!$B$5,)</f>
        <v>03.1013</v>
      </c>
      <c r="E1387" s="1459" t="str">
        <f>VLOOKUP($B1387,dongia1,DG!$C$5,)</f>
        <v>Đào hố móng đất cấp 3 sâu &gt;1m DT&lt;5m2</v>
      </c>
      <c r="F1387" s="1198" t="str">
        <f>VLOOKUP($B1387,dongia1,DG!$D$5,)</f>
        <v>m3</v>
      </c>
      <c r="G1387" s="1198">
        <f>0.78*G1385</f>
        <v>0</v>
      </c>
      <c r="H1387" s="1399">
        <f>VLOOKUP($B1387,dongia1,DG!$F$5,)</f>
        <v>0</v>
      </c>
      <c r="I1387" s="1399"/>
      <c r="J1387" s="1399">
        <f>VLOOKUP($B1387,dongia1,DG!$G$5,)</f>
        <v>296500.89999999997</v>
      </c>
      <c r="K1387" s="1291"/>
      <c r="L1387" s="1400">
        <f>H1387*G1387</f>
        <v>0</v>
      </c>
      <c r="M1387" s="1400">
        <f>I1387*G1387</f>
        <v>0</v>
      </c>
      <c r="N1387" s="1400">
        <f>J1387*G1387</f>
        <v>0</v>
      </c>
      <c r="O1387" s="1400">
        <f>K1387*G1387</f>
        <v>0</v>
      </c>
      <c r="P1387" s="1299"/>
      <c r="Q1387" s="1300"/>
      <c r="R1387" s="1300"/>
      <c r="S1387" s="1300"/>
    </row>
    <row r="1388" spans="1:19" s="1081" customFormat="1" hidden="1" outlineLevel="1">
      <c r="A1388" s="1072" t="str">
        <f t="shared" si="309"/>
        <v/>
      </c>
      <c r="B1388" s="1421" t="str">
        <f>IF(capdat=1,"MDAP1",IF(capdat=2,"MDAP2",IF(capdat=3,"MDAP3",IF(capdat=4,"MDAP4"))))</f>
        <v>MDAP3</v>
      </c>
      <c r="C1388" s="1458"/>
      <c r="D1388" s="1198" t="str">
        <f>VLOOKUP($B1388,dongia1,DG!$B$5,)</f>
        <v>AB.13111</v>
      </c>
      <c r="E1388" s="1459" t="str">
        <f>VLOOKUP($B1388,dongia1,DG!$C$5,)</f>
        <v>Đắp đất hố móng, đất cấp 3 (độ chặt k = 0.85)</v>
      </c>
      <c r="F1388" s="1198" t="str">
        <f>VLOOKUP($B1388,dongia1,DG!$D$5,)</f>
        <v>m3</v>
      </c>
      <c r="G1388" s="1198">
        <f>0.74*G1384</f>
        <v>0</v>
      </c>
      <c r="H1388" s="1399">
        <f>VLOOKUP($B1388,dongia1,DG!$F$5,)</f>
        <v>0</v>
      </c>
      <c r="I1388" s="1399"/>
      <c r="J1388" s="1399">
        <f>VLOOKUP($B1388,dongia1,DG!$G$5,)</f>
        <v>117703.6</v>
      </c>
      <c r="K1388" s="1291"/>
      <c r="L1388" s="1400">
        <f>H1388*G1388</f>
        <v>0</v>
      </c>
      <c r="M1388" s="1400">
        <f>I1388*G1388</f>
        <v>0</v>
      </c>
      <c r="N1388" s="1400">
        <f>J1388*G1388</f>
        <v>0</v>
      </c>
      <c r="O1388" s="1400">
        <f>K1388*G1388</f>
        <v>0</v>
      </c>
      <c r="P1388" s="1299"/>
      <c r="Q1388" s="1300"/>
      <c r="R1388" s="1300"/>
      <c r="S1388" s="1300"/>
    </row>
    <row r="1389" spans="1:19" s="1081" customFormat="1" hidden="1" outlineLevel="1">
      <c r="A1389" s="1072" t="str">
        <f t="shared" si="309"/>
        <v/>
      </c>
      <c r="B1389" s="1295"/>
      <c r="C1389" s="1291">
        <f>IF(G1389&gt;0,C1379+1,C1379)</f>
        <v>0</v>
      </c>
      <c r="D1389" s="1462"/>
      <c r="E1389" s="1454" t="s">
        <v>3396</v>
      </c>
      <c r="F1389" s="1453" t="s">
        <v>2113</v>
      </c>
      <c r="G1389" s="1506">
        <f>G1359*1</f>
        <v>0</v>
      </c>
      <c r="H1389" s="1464"/>
      <c r="I1389" s="1464"/>
      <c r="J1389" s="1464"/>
      <c r="K1389" s="1464"/>
      <c r="L1389" s="1464"/>
      <c r="M1389" s="1464"/>
      <c r="N1389" s="1464"/>
      <c r="O1389" s="1464"/>
      <c r="P1389" s="1507"/>
      <c r="Q1389" s="1300"/>
      <c r="R1389" s="1300"/>
      <c r="S1389" s="1300"/>
    </row>
    <row r="1390" spans="1:19" s="1081" customFormat="1" ht="14.4" hidden="1" outlineLevel="1">
      <c r="A1390" s="1072" t="str">
        <f>A1389</f>
        <v/>
      </c>
      <c r="B1390" s="1295"/>
      <c r="C1390" s="1291"/>
      <c r="D1390" s="1465"/>
      <c r="E1390" s="1301" t="s">
        <v>3399</v>
      </c>
      <c r="F1390" s="1302"/>
      <c r="G1390" s="1508"/>
      <c r="H1390" s="1466"/>
      <c r="I1390" s="1466"/>
      <c r="J1390" s="1466"/>
      <c r="K1390" s="1466"/>
      <c r="L1390" s="1466"/>
      <c r="M1390" s="1466"/>
      <c r="N1390" s="1466"/>
      <c r="O1390" s="1466"/>
      <c r="P1390" s="1507"/>
      <c r="Q1390" s="1300"/>
      <c r="R1390" s="1300"/>
      <c r="S1390" s="1300"/>
    </row>
    <row r="1391" spans="1:19" s="1081" customFormat="1" hidden="1" outlineLevel="1">
      <c r="A1391" s="1072" t="str">
        <f t="shared" ref="A1391:A1396" si="310">IF(G1391&lt;&gt;0,1,"")</f>
        <v/>
      </c>
      <c r="B1391" s="1068" t="s">
        <v>440</v>
      </c>
      <c r="C1391" s="1291"/>
      <c r="D1391" s="1198">
        <f>VLOOKUP($B1391,dongia1,DG!$B$5,)</f>
        <v>0</v>
      </c>
      <c r="E1391" s="1243" t="str">
        <f>VLOOKUP($B1391,dongia1,DG!$C$5,)&amp;": 2 cái"</f>
        <v>Đà U200x80x5x2800 đỡ MBA: 2 cái</v>
      </c>
      <c r="F1391" s="1198" t="str">
        <f>VLOOKUP($B1391,dongia1,DG!$D$5,)</f>
        <v>kg</v>
      </c>
      <c r="G1391" s="1508">
        <f>19.8*2.8*2*G1389</f>
        <v>0</v>
      </c>
      <c r="H1391" s="1399">
        <f>VLOOKUP($B1391,dongia1,DG!$F$5,)</f>
        <v>31625</v>
      </c>
      <c r="I1391" s="1467"/>
      <c r="J1391" s="1399"/>
      <c r="K1391" s="1399">
        <f>VLOOKUP($B1391,dongia1,DG!$H$5,)</f>
        <v>0</v>
      </c>
      <c r="L1391" s="1400">
        <f t="shared" ref="L1391:L1404" si="311">H1391*G1391</f>
        <v>0</v>
      </c>
      <c r="M1391" s="1400">
        <f t="shared" ref="M1391:M1398" si="312">I1391*G1391</f>
        <v>0</v>
      </c>
      <c r="N1391" s="1399"/>
      <c r="O1391" s="1400">
        <f t="shared" ref="O1391:O1398" si="313">K1391*G1391</f>
        <v>0</v>
      </c>
      <c r="P1391" s="1507"/>
      <c r="Q1391" s="1300">
        <f>980000*2/104.1</f>
        <v>18828.04995196926</v>
      </c>
      <c r="R1391" s="1300"/>
      <c r="S1391" s="1300"/>
    </row>
    <row r="1392" spans="1:19" s="1081" customFormat="1" hidden="1" outlineLevel="1">
      <c r="A1392" s="1072" t="str">
        <f t="shared" si="310"/>
        <v/>
      </c>
      <c r="B1392" s="1068" t="s">
        <v>1308</v>
      </c>
      <c r="C1392" s="1291"/>
      <c r="D1392" s="1198">
        <f>VLOOKUP($B1392,dongia1,DG!$B$5,)</f>
        <v>0</v>
      </c>
      <c r="E1392" s="1243" t="str">
        <f>VLOOKUP($B1392,dongia1,DG!$C$5,)&amp;": 4 cái"</f>
        <v>Đà U100x46x4,5x400 : 4 cái</v>
      </c>
      <c r="F1392" s="1198" t="str">
        <f>VLOOKUP($B1392,dongia1,DG!$D$5,)</f>
        <v>kg</v>
      </c>
      <c r="G1392" s="1508">
        <f>8.59*0.4*4*G1389</f>
        <v>0</v>
      </c>
      <c r="H1392" s="1399">
        <f>VLOOKUP($B1392,dongia1,DG!$F$5,)</f>
        <v>31625</v>
      </c>
      <c r="I1392" s="1467"/>
      <c r="J1392" s="1399"/>
      <c r="K1392" s="1399">
        <f>VLOOKUP($B1392,dongia1,DG!$H$5,)</f>
        <v>0</v>
      </c>
      <c r="L1392" s="1400">
        <f t="shared" si="311"/>
        <v>0</v>
      </c>
      <c r="M1392" s="1400">
        <f t="shared" si="312"/>
        <v>0</v>
      </c>
      <c r="N1392" s="1399"/>
      <c r="O1392" s="1400">
        <f t="shared" si="313"/>
        <v>0</v>
      </c>
      <c r="P1392" s="1507"/>
      <c r="Q1392" s="1300">
        <f>47000*4/10.85</f>
        <v>17327.188940092168</v>
      </c>
      <c r="R1392" s="1300"/>
      <c r="S1392" s="1300"/>
    </row>
    <row r="1393" spans="1:19" s="1081" customFormat="1" hidden="1" outlineLevel="1">
      <c r="A1393" s="1072" t="str">
        <f t="shared" si="310"/>
        <v/>
      </c>
      <c r="B1393" s="1068" t="s">
        <v>1309</v>
      </c>
      <c r="C1393" s="1291"/>
      <c r="D1393" s="1198">
        <f>VLOOKUP($B1393,dongia1,DG!$B$5,)</f>
        <v>0</v>
      </c>
      <c r="E1393" s="1243" t="str">
        <f>VLOOKUP($B1393,dongia1,DG!$C$5,)&amp;": 2 cái"</f>
        <v>Đà U100x46x4,5x800 : 2 cái</v>
      </c>
      <c r="F1393" s="1198" t="str">
        <f>VLOOKUP($B1393,dongia1,DG!$D$5,)</f>
        <v>kg</v>
      </c>
      <c r="G1393" s="1508">
        <f>8.59*0.8*2*G1389</f>
        <v>0</v>
      </c>
      <c r="H1393" s="1399">
        <f>VLOOKUP($B1393,dongia1,DG!$F$5,)</f>
        <v>31625</v>
      </c>
      <c r="I1393" s="1467"/>
      <c r="J1393" s="1399"/>
      <c r="K1393" s="1399">
        <f>VLOOKUP($B1393,dongia1,DG!$H$5,)</f>
        <v>0</v>
      </c>
      <c r="L1393" s="1400">
        <f t="shared" si="311"/>
        <v>0</v>
      </c>
      <c r="M1393" s="1400">
        <f t="shared" si="312"/>
        <v>0</v>
      </c>
      <c r="N1393" s="1399"/>
      <c r="O1393" s="1400">
        <f t="shared" si="313"/>
        <v>0</v>
      </c>
      <c r="P1393" s="1507"/>
      <c r="Q1393" s="1300">
        <f>94000*2/10.85</f>
        <v>17327.188940092168</v>
      </c>
      <c r="R1393" s="1300"/>
      <c r="S1393" s="1300"/>
    </row>
    <row r="1394" spans="1:19" s="1081" customFormat="1" hidden="1" outlineLevel="1">
      <c r="A1394" s="1072" t="str">
        <f t="shared" si="310"/>
        <v/>
      </c>
      <c r="B1394" s="1295" t="s">
        <v>1039</v>
      </c>
      <c r="C1394" s="1291"/>
      <c r="D1394" s="1198">
        <f>VLOOKUP($B1394,dongia1,DG!$B$5,)</f>
        <v>0</v>
      </c>
      <c r="E1394" s="1243" t="str">
        <f>VLOOKUP($B1394,dongia1,DG!$C$5,)</f>
        <v>Boulon 16x400VRS+ 4 long đền vuông D18-50x50x3/Zn</v>
      </c>
      <c r="F1394" s="1198" t="str">
        <f>VLOOKUP($B1394,dongia1,DG!$D$5,)</f>
        <v>bộ</v>
      </c>
      <c r="G1394" s="1508">
        <f>G1389*10</f>
        <v>0</v>
      </c>
      <c r="H1394" s="1399">
        <f>VLOOKUP($B1394,dongia1,DG!$F$5,)</f>
        <v>34800</v>
      </c>
      <c r="I1394" s="1467"/>
      <c r="J1394" s="1399">
        <f>VLOOKUP($B1394,dongia1,DG!$G$5,)</f>
        <v>0</v>
      </c>
      <c r="K1394" s="1399">
        <f>VLOOKUP($B1394,dongia1,DG!$H$5,)</f>
        <v>0</v>
      </c>
      <c r="L1394" s="1400">
        <f t="shared" si="311"/>
        <v>0</v>
      </c>
      <c r="M1394" s="1400">
        <f t="shared" si="312"/>
        <v>0</v>
      </c>
      <c r="N1394" s="1400">
        <f>J1394*G1394</f>
        <v>0</v>
      </c>
      <c r="O1394" s="1400">
        <f t="shared" si="313"/>
        <v>0</v>
      </c>
      <c r="P1394" s="1507"/>
      <c r="Q1394" s="1300"/>
      <c r="R1394" s="1300"/>
      <c r="S1394" s="1300"/>
    </row>
    <row r="1395" spans="1:19" s="1081" customFormat="1" hidden="1" outlineLevel="1">
      <c r="A1395" s="1072" t="str">
        <f t="shared" si="310"/>
        <v/>
      </c>
      <c r="B1395" s="1295" t="s">
        <v>82</v>
      </c>
      <c r="C1395" s="1291"/>
      <c r="D1395" s="1198">
        <f>VLOOKUP($B1395,dongia1,DG!$B$5,)</f>
        <v>0</v>
      </c>
      <c r="E1395" s="1243" t="str">
        <f>VLOOKUP($B1395,dongia1,DG!$C$5,)</f>
        <v>Boulon 16x400+ 2 long đền vuông D18-50x50x3/Zn</v>
      </c>
      <c r="F1395" s="1198" t="str">
        <f>VLOOKUP($B1395,dongia1,DG!$D$5,)</f>
        <v>bộ</v>
      </c>
      <c r="G1395" s="1508">
        <f>G1389*2</f>
        <v>0</v>
      </c>
      <c r="H1395" s="1399">
        <f>VLOOKUP($B1395,dongia1,DG!$F$5,)</f>
        <v>29900</v>
      </c>
      <c r="I1395" s="1467"/>
      <c r="J1395" s="1399">
        <f>VLOOKUP($B1395,dongia1,DG!$G$5,)</f>
        <v>0</v>
      </c>
      <c r="K1395" s="1399">
        <f>VLOOKUP($B1395,dongia1,DG!$H$5,)</f>
        <v>0</v>
      </c>
      <c r="L1395" s="1400">
        <f t="shared" si="311"/>
        <v>0</v>
      </c>
      <c r="M1395" s="1400">
        <f t="shared" si="312"/>
        <v>0</v>
      </c>
      <c r="N1395" s="1400">
        <f>J1395*G1395</f>
        <v>0</v>
      </c>
      <c r="O1395" s="1400">
        <f t="shared" si="313"/>
        <v>0</v>
      </c>
      <c r="P1395" s="1507"/>
      <c r="Q1395" s="1300"/>
      <c r="R1395" s="1300"/>
      <c r="S1395" s="1300"/>
    </row>
    <row r="1396" spans="1:19" s="1081" customFormat="1" hidden="1" outlineLevel="1">
      <c r="A1396" s="1072" t="str">
        <f t="shared" si="310"/>
        <v/>
      </c>
      <c r="B1396" s="1295" t="s">
        <v>733</v>
      </c>
      <c r="C1396" s="1291"/>
      <c r="D1396" s="1198">
        <f>VLOOKUP($B1396,dongia1,DG!$B$5,)</f>
        <v>0</v>
      </c>
      <c r="E1396" s="1243" t="str">
        <f>VLOOKUP($B1396,dongia1,DG!$C$5,)</f>
        <v>Boulon 16x350+ 2 long đền vuông D18-50x50x3/Zn</v>
      </c>
      <c r="F1396" s="1198" t="str">
        <f>VLOOKUP($B1396,dongia1,DG!$D$5,)</f>
        <v>bộ</v>
      </c>
      <c r="G1396" s="1508">
        <f>G1389*12</f>
        <v>0</v>
      </c>
      <c r="H1396" s="1399">
        <f>VLOOKUP($B1396,dongia1,DG!$F$5,)</f>
        <v>27900</v>
      </c>
      <c r="I1396" s="1467"/>
      <c r="J1396" s="1399">
        <f>VLOOKUP($B1396,dongia1,DG!$G$5,)</f>
        <v>0</v>
      </c>
      <c r="K1396" s="1399">
        <f>VLOOKUP($B1396,dongia1,DG!$H$5,)</f>
        <v>0</v>
      </c>
      <c r="L1396" s="1400">
        <f t="shared" si="311"/>
        <v>0</v>
      </c>
      <c r="M1396" s="1400">
        <f t="shared" si="312"/>
        <v>0</v>
      </c>
      <c r="N1396" s="1400">
        <f>J1396*G1396</f>
        <v>0</v>
      </c>
      <c r="O1396" s="1400">
        <f t="shared" si="313"/>
        <v>0</v>
      </c>
      <c r="P1396" s="1507"/>
      <c r="Q1396" s="1300"/>
      <c r="R1396" s="1300"/>
      <c r="S1396" s="1300"/>
    </row>
    <row r="1397" spans="1:19" s="1081" customFormat="1" hidden="1" outlineLevel="1">
      <c r="A1397" s="1072" t="str">
        <f>IF(G1397&lt;&gt;0,1,"")</f>
        <v/>
      </c>
      <c r="B1397" s="1068" t="s">
        <v>728</v>
      </c>
      <c r="C1397" s="1291"/>
      <c r="D1397" s="1198" t="str">
        <f>VLOOKUP($B1397,dongia1,DG!$B$5,)</f>
        <v>D2.6054</v>
      </c>
      <c r="E1397" s="1243" t="str">
        <f>VLOOKUP($B1397,dongia1,DG!$C$5,)</f>
        <v>Lắp xà cột Pi loại ≤140kg/xà</v>
      </c>
      <c r="F1397" s="1198" t="str">
        <f>VLOOKUP($B1397,dongia1,DG!$D$5,)</f>
        <v>bộ</v>
      </c>
      <c r="G1397" s="1304">
        <f>+G1389*1*0</f>
        <v>0</v>
      </c>
      <c r="H1397" s="1399">
        <f>VLOOKUP($B1397,dongia1,DG!$F$5,)</f>
        <v>0</v>
      </c>
      <c r="I1397" s="1467"/>
      <c r="J1397" s="1399" t="str">
        <f>VLOOKUP($B1397,dongia1,DG!$G$5,)&amp;"x"&amp;hslxh</f>
        <v>474961x1,7</v>
      </c>
      <c r="K1397" s="1399">
        <f>VLOOKUP($B1397,dongia1,DG!$H$5,)</f>
        <v>0</v>
      </c>
      <c r="L1397" s="1400">
        <f>H1397*G1397</f>
        <v>0</v>
      </c>
      <c r="M1397" s="1400">
        <f t="shared" si="312"/>
        <v>0</v>
      </c>
      <c r="N1397" s="1399">
        <f>VLOOKUP($B1397,dongia1,DG!$G$5,)*hslxh*G1397</f>
        <v>0</v>
      </c>
      <c r="O1397" s="1400">
        <f t="shared" si="313"/>
        <v>0</v>
      </c>
      <c r="P1397" s="1299"/>
      <c r="Q1397" s="1300"/>
      <c r="R1397" s="1300"/>
      <c r="S1397" s="1300"/>
    </row>
    <row r="1398" spans="1:19" s="1081" customFormat="1" hidden="1" outlineLevel="1">
      <c r="A1398" s="1072" t="str">
        <f>IF(G1398&lt;&gt;0,1,"")</f>
        <v/>
      </c>
      <c r="B1398" s="1066" t="s">
        <v>4552</v>
      </c>
      <c r="C1398" s="1291"/>
      <c r="D1398" s="1198" t="str">
        <f>VLOOKUP($B1398,dongia1,DG!$B$5,)</f>
        <v>T4.9302</v>
      </c>
      <c r="E1398" s="1243" t="str">
        <f>VLOOKUP($B1398,dongia1,DG!$C$5,)</f>
        <v>Lắp xà thép trong phạm vi trạm</v>
      </c>
      <c r="F1398" s="1198" t="str">
        <f>VLOOKUP($B1398,dongia1,DG!$D$5,)</f>
        <v>kg</v>
      </c>
      <c r="G1398" s="1508">
        <f>SUM(G1391:G1393)</f>
        <v>0</v>
      </c>
      <c r="H1398" s="1399"/>
      <c r="I1398" s="1467"/>
      <c r="J1398" s="1399">
        <f>VLOOKUP($B1398,dongia1,DG!$G$5,)</f>
        <v>2025</v>
      </c>
      <c r="K1398" s="1399">
        <f>VLOOKUP($B1398,dongia1,DG!$H$5,)</f>
        <v>0</v>
      </c>
      <c r="L1398" s="1400">
        <f>H1398*G1398</f>
        <v>0</v>
      </c>
      <c r="M1398" s="1400">
        <f t="shared" si="312"/>
        <v>0</v>
      </c>
      <c r="N1398" s="1399">
        <f>VLOOKUP($B1398,dongia1,DG!$G$5,)*G1398</f>
        <v>0</v>
      </c>
      <c r="O1398" s="1400">
        <f t="shared" si="313"/>
        <v>0</v>
      </c>
      <c r="P1398" s="1507"/>
      <c r="Q1398" s="1300"/>
      <c r="R1398" s="1300"/>
      <c r="S1398" s="1300"/>
    </row>
    <row r="1399" spans="1:19" s="1081" customFormat="1" hidden="1" outlineLevel="1">
      <c r="A1399" s="1072" t="str">
        <f>IF(G1399&lt;&gt;0,1,"")</f>
        <v/>
      </c>
      <c r="B1399" s="1295"/>
      <c r="C1399" s="1291">
        <f>IF(G1399&gt;0,C1389+1,C1385)</f>
        <v>0</v>
      </c>
      <c r="D1399" s="1292"/>
      <c r="E1399" s="1468" t="s">
        <v>3435</v>
      </c>
      <c r="F1399" s="1291" t="s">
        <v>2113</v>
      </c>
      <c r="G1399" s="1509">
        <f>+G1359*1</f>
        <v>0</v>
      </c>
      <c r="H1399" s="1467"/>
      <c r="I1399" s="1467"/>
      <c r="J1399" s="1467"/>
      <c r="K1399" s="1467"/>
      <c r="L1399" s="1400">
        <f t="shared" si="311"/>
        <v>0</v>
      </c>
      <c r="M1399" s="1400">
        <f>I1399*G1399</f>
        <v>0</v>
      </c>
      <c r="N1399" s="1400">
        <f>J1399*G1399</f>
        <v>0</v>
      </c>
      <c r="O1399" s="1400">
        <f>K1399*G1399</f>
        <v>0</v>
      </c>
      <c r="P1399" s="1507"/>
      <c r="Q1399" s="1300"/>
      <c r="R1399" s="1300"/>
      <c r="S1399" s="1300"/>
    </row>
    <row r="1400" spans="1:19" s="1081" customFormat="1" ht="14.4" hidden="1" outlineLevel="1">
      <c r="A1400" s="1072" t="str">
        <f>A1399</f>
        <v/>
      </c>
      <c r="B1400" s="1295"/>
      <c r="C1400" s="1291"/>
      <c r="D1400" s="1292"/>
      <c r="E1400" s="1301" t="s">
        <v>3399</v>
      </c>
      <c r="F1400" s="1302"/>
      <c r="G1400" s="1508"/>
      <c r="H1400" s="1467"/>
      <c r="I1400" s="1467"/>
      <c r="J1400" s="1467"/>
      <c r="K1400" s="1467"/>
      <c r="L1400" s="1400">
        <f t="shared" si="311"/>
        <v>0</v>
      </c>
      <c r="M1400" s="1400">
        <f>I1400*G1400</f>
        <v>0</v>
      </c>
      <c r="N1400" s="1400">
        <f>J1400*G1400</f>
        <v>0</v>
      </c>
      <c r="O1400" s="1400">
        <f>K1400*G1400</f>
        <v>0</v>
      </c>
      <c r="P1400" s="1507"/>
      <c r="Q1400" s="1300"/>
      <c r="R1400" s="1300"/>
      <c r="S1400" s="1300"/>
    </row>
    <row r="1401" spans="1:19" s="1081" customFormat="1" hidden="1" outlineLevel="1">
      <c r="A1401" s="1072" t="str">
        <f>IF(G1401&lt;&gt;0,1,"")</f>
        <v/>
      </c>
      <c r="B1401" s="1067" t="s">
        <v>2167</v>
      </c>
      <c r="C1401" s="1291"/>
      <c r="D1401" s="1198">
        <f>VLOOKUP($B1401,dongia1,DG!$B$5,)</f>
        <v>0</v>
      </c>
      <c r="E1401" s="1243" t="str">
        <f>VLOOKUP($B1401,dongia1,DG!$C$5,)</f>
        <v>Đà Composite 110x80x5x2600</v>
      </c>
      <c r="F1401" s="1198" t="str">
        <f>VLOOKUP($B1401,dongia1,DG!$D$5,)</f>
        <v>cây</v>
      </c>
      <c r="G1401" s="1508">
        <f>+G1399*1</f>
        <v>0</v>
      </c>
      <c r="H1401" s="1399">
        <f>VLOOKUP($B1401,dongia1,DG!$F$5,)</f>
        <v>878000</v>
      </c>
      <c r="I1401" s="1399"/>
      <c r="J1401" s="1399">
        <v>0</v>
      </c>
      <c r="K1401" s="1399">
        <v>0</v>
      </c>
      <c r="L1401" s="1400">
        <f t="shared" si="311"/>
        <v>0</v>
      </c>
      <c r="M1401" s="1400">
        <f>I1401*G1401</f>
        <v>0</v>
      </c>
      <c r="N1401" s="1400">
        <f>J1401*G1401</f>
        <v>0</v>
      </c>
      <c r="O1401" s="1400">
        <f>K1401*G1401</f>
        <v>0</v>
      </c>
      <c r="P1401" s="1507"/>
      <c r="Q1401" s="1300"/>
      <c r="R1401" s="1300"/>
      <c r="S1401" s="1300"/>
    </row>
    <row r="1402" spans="1:19" s="1081" customFormat="1" hidden="1" outlineLevel="1">
      <c r="A1402" s="1072" t="str">
        <f>IF(G1402&lt;&gt;0,1,"")</f>
        <v/>
      </c>
      <c r="B1402" s="1073" t="s">
        <v>428</v>
      </c>
      <c r="C1402" s="1291"/>
      <c r="D1402" s="1198">
        <f>VLOOKUP($B1402,dongia1,DG!$B$5,)</f>
        <v>0</v>
      </c>
      <c r="E1402" s="1243" t="str">
        <f>VLOOKUP($B1402,dongia1,DG!$C$5,)</f>
        <v>Bass LL bắt FCO và LA</v>
      </c>
      <c r="F1402" s="1198" t="str">
        <f>VLOOKUP($B1402,dongia1,DG!$D$5,)</f>
        <v>bộ</v>
      </c>
      <c r="G1402" s="1508">
        <f>+G1399*3</f>
        <v>0</v>
      </c>
      <c r="H1402" s="1399">
        <f>VLOOKUP($B1402,dongia1,DG!$F$5,)</f>
        <v>65000</v>
      </c>
      <c r="I1402" s="1399">
        <v>0</v>
      </c>
      <c r="J1402" s="1399">
        <v>0</v>
      </c>
      <c r="K1402" s="1399">
        <v>0</v>
      </c>
      <c r="L1402" s="1400">
        <f t="shared" si="311"/>
        <v>0</v>
      </c>
      <c r="M1402" s="1400">
        <f>I1402*G1402</f>
        <v>0</v>
      </c>
      <c r="N1402" s="1400">
        <f>J1402*G1402</f>
        <v>0</v>
      </c>
      <c r="O1402" s="1400">
        <f>K1402*G1402</f>
        <v>0</v>
      </c>
      <c r="P1402" s="1507"/>
      <c r="Q1402" s="1300"/>
      <c r="R1402" s="1300"/>
      <c r="S1402" s="1300"/>
    </row>
    <row r="1403" spans="1:19" s="1081" customFormat="1" hidden="1" outlineLevel="1">
      <c r="A1403" s="1072" t="str">
        <f>IF(G1403&lt;&gt;0,1,"")</f>
        <v/>
      </c>
      <c r="B1403" s="1295" t="s">
        <v>733</v>
      </c>
      <c r="C1403" s="1291"/>
      <c r="D1403" s="1198">
        <f>VLOOKUP($B1403,dongia1,DG!$B$5,)</f>
        <v>0</v>
      </c>
      <c r="E1403" s="1243" t="str">
        <f>VLOOKUP($B1403,dongia1,DG!$C$5,)</f>
        <v>Boulon 16x350+ 2 long đền vuông D18-50x50x3/Zn</v>
      </c>
      <c r="F1403" s="1198" t="str">
        <f>VLOOKUP($B1403,dongia1,DG!$D$5,)</f>
        <v>bộ</v>
      </c>
      <c r="G1403" s="1508">
        <f>+G1399*2</f>
        <v>0</v>
      </c>
      <c r="H1403" s="1399">
        <f>VLOOKUP($B1403,dongia1,DG!$F$5,)</f>
        <v>27900</v>
      </c>
      <c r="I1403" s="1467"/>
      <c r="J1403" s="1399">
        <f>VLOOKUP($B1403,dongia1,DG!$G$5,)</f>
        <v>0</v>
      </c>
      <c r="K1403" s="1399">
        <f>VLOOKUP($B1403,dongia1,DG!$H$5,)</f>
        <v>0</v>
      </c>
      <c r="L1403" s="1400">
        <f t="shared" si="311"/>
        <v>0</v>
      </c>
      <c r="M1403" s="1400">
        <f>I1403*G1403</f>
        <v>0</v>
      </c>
      <c r="N1403" s="1400">
        <f>J1403*G1403</f>
        <v>0</v>
      </c>
      <c r="O1403" s="1400">
        <f>K1403*G1403</f>
        <v>0</v>
      </c>
      <c r="P1403" s="1507"/>
      <c r="Q1403" s="1300"/>
      <c r="R1403" s="1300"/>
      <c r="S1403" s="1300"/>
    </row>
    <row r="1404" spans="1:19" s="1081" customFormat="1" hidden="1" outlineLevel="1">
      <c r="A1404" s="1072" t="str">
        <f>IF(G1404&lt;&gt;0,1,"")</f>
        <v/>
      </c>
      <c r="B1404" s="1066" t="s">
        <v>372</v>
      </c>
      <c r="C1404" s="1291"/>
      <c r="D1404" s="1198" t="str">
        <f>VLOOKUP($B1404,dongia1,DG!$B$5,)</f>
        <v>D2.6011</v>
      </c>
      <c r="E1404" s="1243" t="str">
        <f>VLOOKUP($B1404,dongia1,DG!$C$5,)</f>
        <v>Lắp xà đỡ 15kg</v>
      </c>
      <c r="F1404" s="1198" t="str">
        <f>VLOOKUP($B1404,dongia1,DG!$D$5,)</f>
        <v>bộ</v>
      </c>
      <c r="G1404" s="1508">
        <f>+G1399</f>
        <v>0</v>
      </c>
      <c r="H1404" s="1298">
        <f>VLOOKUP($B1404,dongia1,DG!$F$5,)</f>
        <v>0</v>
      </c>
      <c r="I1404" s="1399"/>
      <c r="J1404" s="1399" t="str">
        <f>TEXT(VLOOKUP($B1404,dongia1,DG!$G$5,),"#,###")&amp;"x"&amp;hslxh</f>
        <v>131511,15x1,7</v>
      </c>
      <c r="K1404" s="1399"/>
      <c r="L1404" s="1400">
        <f t="shared" si="311"/>
        <v>0</v>
      </c>
      <c r="M1404" s="1400"/>
      <c r="N1404" s="1399">
        <f>VLOOKUP($B1404,dongia1,DG!$G$5,)*G1404*hslxh</f>
        <v>0</v>
      </c>
      <c r="O1404" s="1400"/>
      <c r="P1404" s="1507"/>
      <c r="Q1404" s="1300"/>
      <c r="R1404" s="1300"/>
      <c r="S1404" s="1300"/>
    </row>
    <row r="1405" spans="1:19" s="1081" customFormat="1" hidden="1" outlineLevel="1">
      <c r="A1405" s="1072" t="str">
        <f>IF(G1405&lt;&gt;0,1,"")</f>
        <v/>
      </c>
      <c r="B1405" s="1295"/>
      <c r="C1405" s="1291">
        <f>IF(G1405&gt;0,C1389+2,C1389)</f>
        <v>0</v>
      </c>
      <c r="D1405" s="1292"/>
      <c r="E1405" s="1468" t="s">
        <v>3447</v>
      </c>
      <c r="F1405" s="1291" t="s">
        <v>2113</v>
      </c>
      <c r="G1405" s="1509">
        <f>G1359*1</f>
        <v>0</v>
      </c>
      <c r="H1405" s="1467"/>
      <c r="I1405" s="1467"/>
      <c r="J1405" s="1467"/>
      <c r="K1405" s="1467"/>
      <c r="L1405" s="1400">
        <f t="shared" ref="L1405:L1415" si="314">H1405*G1405</f>
        <v>0</v>
      </c>
      <c r="M1405" s="1400">
        <f>I1405*G1405</f>
        <v>0</v>
      </c>
      <c r="N1405" s="1400">
        <f>J1405*G1405</f>
        <v>0</v>
      </c>
      <c r="O1405" s="1400">
        <f>K1405*G1405</f>
        <v>0</v>
      </c>
      <c r="P1405" s="1507"/>
      <c r="Q1405" s="1300"/>
      <c r="R1405" s="1300"/>
      <c r="S1405" s="1300"/>
    </row>
    <row r="1406" spans="1:19" s="1081" customFormat="1" ht="14.4" hidden="1" outlineLevel="1">
      <c r="A1406" s="1072" t="str">
        <f>A1405</f>
        <v/>
      </c>
      <c r="B1406" s="1295"/>
      <c r="C1406" s="1291"/>
      <c r="D1406" s="1292"/>
      <c r="E1406" s="1301" t="s">
        <v>3399</v>
      </c>
      <c r="F1406" s="1302"/>
      <c r="G1406" s="1508"/>
      <c r="H1406" s="1467"/>
      <c r="I1406" s="1467"/>
      <c r="J1406" s="1467"/>
      <c r="K1406" s="1467"/>
      <c r="L1406" s="1400">
        <f t="shared" si="314"/>
        <v>0</v>
      </c>
      <c r="M1406" s="1400">
        <f>I1406*G1406</f>
        <v>0</v>
      </c>
      <c r="N1406" s="1400">
        <f>J1406*G1406</f>
        <v>0</v>
      </c>
      <c r="O1406" s="1400">
        <f>K1406*G1406</f>
        <v>0</v>
      </c>
      <c r="P1406" s="1507"/>
      <c r="Q1406" s="1300"/>
      <c r="R1406" s="1300"/>
      <c r="S1406" s="1300"/>
    </row>
    <row r="1407" spans="1:19" s="1081" customFormat="1" hidden="1" outlineLevel="1">
      <c r="A1407" s="1072" t="str">
        <f>IF(G1407&lt;&gt;0,1,"")</f>
        <v/>
      </c>
      <c r="B1407" s="1068" t="s">
        <v>1626</v>
      </c>
      <c r="C1407" s="1291"/>
      <c r="D1407" s="1198">
        <f>VLOOKUP($B1407,dongia1,DG!$B$5,)</f>
        <v>0</v>
      </c>
      <c r="E1407" s="1243" t="str">
        <f>VLOOKUP($B1407,dongia1,DG!$C$5,)</f>
        <v>Sắt góc L75 x75 x8</v>
      </c>
      <c r="F1407" s="1198" t="str">
        <f>VLOOKUP($B1407,dongia1,DG!$D$5,)</f>
        <v>kg</v>
      </c>
      <c r="G1407" s="1508">
        <f>G1405*9.02*(2.6+3*0.07)</f>
        <v>0</v>
      </c>
      <c r="H1407" s="1298">
        <f>VLOOKUP($B1407,dongia1,DG!$F$5,)</f>
        <v>31625</v>
      </c>
      <c r="I1407" s="1399"/>
      <c r="J1407" s="1399">
        <v>0</v>
      </c>
      <c r="K1407" s="1399">
        <v>0</v>
      </c>
      <c r="L1407" s="1400">
        <f t="shared" si="314"/>
        <v>0</v>
      </c>
      <c r="M1407" s="1400">
        <f>I1407*G1407</f>
        <v>0</v>
      </c>
      <c r="N1407" s="1400">
        <f>J1407*G1407</f>
        <v>0</v>
      </c>
      <c r="O1407" s="1400">
        <f>K1407*G1407</f>
        <v>0</v>
      </c>
      <c r="P1407" s="1507"/>
      <c r="Q1407" s="1300"/>
      <c r="R1407" s="1300"/>
      <c r="S1407" s="1300"/>
    </row>
    <row r="1408" spans="1:19" s="1081" customFormat="1" hidden="1" outlineLevel="1">
      <c r="A1408" s="1072" t="str">
        <f>IF(G1408&lt;&gt;0,1,"")</f>
        <v/>
      </c>
      <c r="B1408" s="1295" t="s">
        <v>1262</v>
      </c>
      <c r="C1408" s="1291"/>
      <c r="D1408" s="1198">
        <f>VLOOKUP($B1408,dongia1,DG!$B$5,)</f>
        <v>0</v>
      </c>
      <c r="E1408" s="1243" t="str">
        <f>VLOOKUP($B1408,dongia1,DG!$C$5,)</f>
        <v>Boulon 16x300+ 2 long đền vuông D18-50x50x3/Zn</v>
      </c>
      <c r="F1408" s="1198" t="str">
        <f>VLOOKUP($B1408,dongia1,DG!$D$5,)</f>
        <v>bộ</v>
      </c>
      <c r="G1408" s="1508">
        <f>G1405*2</f>
        <v>0</v>
      </c>
      <c r="H1408" s="1298">
        <f>VLOOKUP($B1408,dongia1,DG!$F$5,)</f>
        <v>25400</v>
      </c>
      <c r="I1408" s="1399">
        <v>0</v>
      </c>
      <c r="J1408" s="1399">
        <v>0</v>
      </c>
      <c r="K1408" s="1399">
        <v>0</v>
      </c>
      <c r="L1408" s="1400">
        <f t="shared" si="314"/>
        <v>0</v>
      </c>
      <c r="M1408" s="1400">
        <f>I1408*G1408</f>
        <v>0</v>
      </c>
      <c r="N1408" s="1400">
        <f>J1408*G1408</f>
        <v>0</v>
      </c>
      <c r="O1408" s="1400">
        <f>K1408*G1408</f>
        <v>0</v>
      </c>
      <c r="P1408" s="1507"/>
      <c r="Q1408" s="1300"/>
      <c r="R1408" s="1300"/>
      <c r="S1408" s="1300"/>
    </row>
    <row r="1409" spans="1:19" s="1081" customFormat="1" hidden="1" outlineLevel="1">
      <c r="A1409" s="1072" t="str">
        <f>IF(G1409&lt;&gt;0,1,"")</f>
        <v/>
      </c>
      <c r="B1409" s="1066" t="s">
        <v>4552</v>
      </c>
      <c r="C1409" s="1291"/>
      <c r="D1409" s="1198" t="str">
        <f>VLOOKUP($B1409,dongia1,DG!$B$5,)</f>
        <v>T4.9302</v>
      </c>
      <c r="E1409" s="1243" t="str">
        <f>VLOOKUP($B1409,dongia1,DG!$C$5,)</f>
        <v>Lắp xà thép trong phạm vi trạm</v>
      </c>
      <c r="F1409" s="1198" t="str">
        <f>VLOOKUP($B1409,dongia1,DG!$D$5,)</f>
        <v>kg</v>
      </c>
      <c r="G1409" s="1508">
        <f>SUM(G1407)</f>
        <v>0</v>
      </c>
      <c r="H1409" s="1298">
        <f>VLOOKUP($B1409,dongia1,DG!$F$5,)</f>
        <v>0</v>
      </c>
      <c r="I1409" s="1399"/>
      <c r="J1409" s="1399">
        <f>VLOOKUP($B1409,dongia1,DG!$G$5,)</f>
        <v>2025</v>
      </c>
      <c r="K1409" s="1399"/>
      <c r="L1409" s="1400">
        <f t="shared" si="314"/>
        <v>0</v>
      </c>
      <c r="M1409" s="1400"/>
      <c r="N1409" s="1399">
        <f>VLOOKUP($B1409,dongia1,DG!$G$5,)*G1409</f>
        <v>0</v>
      </c>
      <c r="O1409" s="1400"/>
      <c r="P1409" s="1507"/>
      <c r="Q1409" s="1300"/>
      <c r="R1409" s="1300"/>
      <c r="S1409" s="1300"/>
    </row>
    <row r="1410" spans="1:19" s="1081" customFormat="1" hidden="1" outlineLevel="1">
      <c r="A1410" s="1072" t="str">
        <f>IF(G1410&lt;&gt;0,1,"")</f>
        <v/>
      </c>
      <c r="B1410" s="1295"/>
      <c r="C1410" s="1291">
        <f>IF(G1410&gt;0,C1405+1,C1405)</f>
        <v>0</v>
      </c>
      <c r="D1410" s="1292"/>
      <c r="E1410" s="1468" t="s">
        <v>3439</v>
      </c>
      <c r="F1410" s="1291" t="s">
        <v>2113</v>
      </c>
      <c r="G1410" s="1509">
        <f>G1359*2</f>
        <v>0</v>
      </c>
      <c r="H1410" s="1467"/>
      <c r="I1410" s="1467"/>
      <c r="J1410" s="1467"/>
      <c r="K1410" s="1467"/>
      <c r="L1410" s="1400">
        <f t="shared" si="314"/>
        <v>0</v>
      </c>
      <c r="M1410" s="1400">
        <f>I1410*G1410</f>
        <v>0</v>
      </c>
      <c r="N1410" s="1400">
        <f>J1410*G1410</f>
        <v>0</v>
      </c>
      <c r="O1410" s="1400">
        <f>K1410*G1410</f>
        <v>0</v>
      </c>
      <c r="P1410" s="1299"/>
      <c r="Q1410" s="1300"/>
      <c r="R1410" s="1300"/>
      <c r="S1410" s="1300"/>
    </row>
    <row r="1411" spans="1:19" s="1081" customFormat="1" ht="14.4" hidden="1" outlineLevel="1">
      <c r="A1411" s="1072" t="str">
        <f>A1410</f>
        <v/>
      </c>
      <c r="B1411" s="1295"/>
      <c r="C1411" s="1291"/>
      <c r="D1411" s="1292"/>
      <c r="E1411" s="1301" t="s">
        <v>3399</v>
      </c>
      <c r="F1411" s="1302"/>
      <c r="G1411" s="1303"/>
      <c r="H1411" s="1467"/>
      <c r="I1411" s="1467"/>
      <c r="J1411" s="1467"/>
      <c r="K1411" s="1467"/>
      <c r="L1411" s="1400">
        <f t="shared" si="314"/>
        <v>0</v>
      </c>
      <c r="M1411" s="1400">
        <f>I1411*G1411</f>
        <v>0</v>
      </c>
      <c r="N1411" s="1400">
        <f>J1411*G1411</f>
        <v>0</v>
      </c>
      <c r="O1411" s="1400">
        <f>K1411*G1411</f>
        <v>0</v>
      </c>
      <c r="P1411" s="1299"/>
      <c r="Q1411" s="1300"/>
      <c r="R1411" s="1300"/>
      <c r="S1411" s="1300"/>
    </row>
    <row r="1412" spans="1:19" s="1081" customFormat="1" hidden="1" outlineLevel="1">
      <c r="A1412" s="1072" t="str">
        <f>IF(G1412&lt;&gt;0,1,"")</f>
        <v/>
      </c>
      <c r="B1412" s="1295" t="s">
        <v>1626</v>
      </c>
      <c r="C1412" s="1291"/>
      <c r="D1412" s="1198">
        <f>VLOOKUP($B1412,dongia1,DG!$B$5,)</f>
        <v>0</v>
      </c>
      <c r="E1412" s="1243" t="str">
        <f>VLOOKUP($B1412,dongia1,DG!$C$5,)</f>
        <v>Sắt góc L75 x75 x8</v>
      </c>
      <c r="F1412" s="1198" t="str">
        <f>VLOOKUP($B1412,dongia1,DG!$D$5,)</f>
        <v>kg</v>
      </c>
      <c r="G1412" s="1481">
        <f>G1410*9.02*2.6</f>
        <v>0</v>
      </c>
      <c r="H1412" s="1298">
        <f>VLOOKUP($B1412,dongia1,DG!$F$5,)+449</f>
        <v>32074</v>
      </c>
      <c r="I1412" s="1399"/>
      <c r="J1412" s="1399">
        <v>0</v>
      </c>
      <c r="K1412" s="1399"/>
      <c r="L1412" s="1400">
        <f t="shared" si="314"/>
        <v>0</v>
      </c>
      <c r="M1412" s="1400"/>
      <c r="N1412" s="1400"/>
      <c r="O1412" s="1400"/>
      <c r="P1412" s="1299"/>
      <c r="Q1412" s="1300"/>
      <c r="R1412" s="1300"/>
      <c r="S1412" s="1300"/>
    </row>
    <row r="1413" spans="1:19" s="1081" customFormat="1" hidden="1" outlineLevel="1">
      <c r="A1413" s="1072" t="str">
        <f>IF(G1413&lt;&gt;0,1,"")</f>
        <v/>
      </c>
      <c r="B1413" s="1295" t="s">
        <v>82</v>
      </c>
      <c r="C1413" s="1291"/>
      <c r="D1413" s="1198">
        <f>VLOOKUP($B1413,dongia1,DG!$B$5,)</f>
        <v>0</v>
      </c>
      <c r="E1413" s="1243" t="str">
        <f>VLOOKUP($B1413,dongia1,DG!$C$5,)</f>
        <v>Boulon 16x400+ 2 long đền vuông D18-50x50x3/Zn</v>
      </c>
      <c r="F1413" s="1198" t="str">
        <f>VLOOKUP($B1413,dongia1,DG!$D$5,)</f>
        <v>bộ</v>
      </c>
      <c r="G1413" s="1481">
        <f>G1410*2</f>
        <v>0</v>
      </c>
      <c r="H1413" s="1298">
        <f>VLOOKUP($B1413,dongia1,DG!$F$5,)</f>
        <v>29900</v>
      </c>
      <c r="I1413" s="1399">
        <v>0</v>
      </c>
      <c r="J1413" s="1399">
        <v>0</v>
      </c>
      <c r="K1413" s="1399"/>
      <c r="L1413" s="1400">
        <f t="shared" si="314"/>
        <v>0</v>
      </c>
      <c r="M1413" s="1400"/>
      <c r="N1413" s="1400"/>
      <c r="O1413" s="1400"/>
      <c r="P1413" s="1299"/>
      <c r="Q1413" s="1300"/>
      <c r="R1413" s="1300"/>
      <c r="S1413" s="1300"/>
    </row>
    <row r="1414" spans="1:19" s="1081" customFormat="1" hidden="1" outlineLevel="1">
      <c r="A1414" s="1072" t="str">
        <f>IF(G1414&lt;&gt;0,1,"")</f>
        <v/>
      </c>
      <c r="B1414" s="1295" t="s">
        <v>1998</v>
      </c>
      <c r="C1414" s="1291"/>
      <c r="D1414" s="1198">
        <f>VLOOKUP($B1414,dongia1,DG!$B$5,)</f>
        <v>0</v>
      </c>
      <c r="E1414" s="1243" t="str">
        <f>VLOOKUP($B1414,dongia1,DG!$C$5,)</f>
        <v>Boulon 12x40+ 2 long đền vuông D14-50x50x3/Zn</v>
      </c>
      <c r="F1414" s="1198" t="str">
        <f>VLOOKUP($B1414,dongia1,DG!$D$5,)</f>
        <v>bộ</v>
      </c>
      <c r="G1414" s="1481">
        <f>G1410*2</f>
        <v>0</v>
      </c>
      <c r="H1414" s="1298">
        <f>VLOOKUP($B1414,dongia1,DG!$F$5,)</f>
        <v>8500</v>
      </c>
      <c r="I1414" s="1399">
        <v>0</v>
      </c>
      <c r="J1414" s="1399">
        <v>0</v>
      </c>
      <c r="K1414" s="1399"/>
      <c r="L1414" s="1400">
        <f t="shared" si="314"/>
        <v>0</v>
      </c>
      <c r="M1414" s="1400"/>
      <c r="N1414" s="1400"/>
      <c r="O1414" s="1400"/>
      <c r="P1414" s="1299"/>
      <c r="Q1414" s="1300"/>
      <c r="R1414" s="1300"/>
      <c r="S1414" s="1300"/>
    </row>
    <row r="1415" spans="1:19" s="1081" customFormat="1" hidden="1" outlineLevel="1">
      <c r="A1415" s="1072" t="str">
        <f>IF(G1415&lt;&gt;0,1,"")</f>
        <v/>
      </c>
      <c r="B1415" s="1066" t="s">
        <v>4552</v>
      </c>
      <c r="C1415" s="1291"/>
      <c r="D1415" s="1198" t="str">
        <f>VLOOKUP($B1415,dongia1,DG!$B$5,)</f>
        <v>T4.9302</v>
      </c>
      <c r="E1415" s="1243" t="str">
        <f>VLOOKUP($B1415,dongia1,DG!$C$5,)</f>
        <v>Lắp xà thép trong phạm vi trạm</v>
      </c>
      <c r="F1415" s="1198" t="str">
        <f>VLOOKUP($B1415,dongia1,DG!$D$5,)</f>
        <v>kg</v>
      </c>
      <c r="G1415" s="1481">
        <f>SUM(G1412)</f>
        <v>0</v>
      </c>
      <c r="H1415" s="1298">
        <f>VLOOKUP($B1415,dongia1,DG!$F$5,)</f>
        <v>0</v>
      </c>
      <c r="I1415" s="1399"/>
      <c r="J1415" s="1399">
        <f>VLOOKUP($B1415,dongia1,DG!$G$5,)</f>
        <v>2025</v>
      </c>
      <c r="K1415" s="1399"/>
      <c r="L1415" s="1400">
        <f t="shared" si="314"/>
        <v>0</v>
      </c>
      <c r="M1415" s="1400"/>
      <c r="N1415" s="1399">
        <f>VLOOKUP($B1415,dongia1,DG!$G$5,)*G1415</f>
        <v>0</v>
      </c>
      <c r="O1415" s="1400"/>
      <c r="P1415" s="1299"/>
      <c r="Q1415" s="1300"/>
      <c r="R1415" s="1300"/>
      <c r="S1415" s="1300"/>
    </row>
    <row r="1416" spans="1:19" s="1081" customFormat="1" hidden="1" outlineLevel="1">
      <c r="A1416" s="1072" t="str">
        <f>IF(G1416&lt;&gt;0,1,"")</f>
        <v/>
      </c>
      <c r="B1416" s="1295"/>
      <c r="C1416" s="1291">
        <f>IF(G1416&gt;0,C1410+1,C1410)</f>
        <v>0</v>
      </c>
      <c r="D1416" s="1292"/>
      <c r="E1416" s="1468" t="s">
        <v>3440</v>
      </c>
      <c r="F1416" s="1291" t="s">
        <v>2113</v>
      </c>
      <c r="G1416" s="1509">
        <f>G1359</f>
        <v>0</v>
      </c>
      <c r="H1416" s="1298"/>
      <c r="I1416" s="1298"/>
      <c r="J1416" s="1298"/>
      <c r="K1416" s="1298"/>
      <c r="L1416" s="1298">
        <f t="shared" ref="L1416:L1430" si="315">H1416*G1416</f>
        <v>0</v>
      </c>
      <c r="M1416" s="1298">
        <f>I1416*G1416</f>
        <v>0</v>
      </c>
      <c r="N1416" s="1298">
        <f t="shared" ref="N1416:N1429" si="316">J1416*G1416</f>
        <v>0</v>
      </c>
      <c r="O1416" s="1298">
        <f>K1416*G1416</f>
        <v>0</v>
      </c>
      <c r="P1416" s="1499"/>
      <c r="Q1416" s="1300"/>
      <c r="R1416" s="1300"/>
      <c r="S1416" s="1300"/>
    </row>
    <row r="1417" spans="1:19" s="1081" customFormat="1" ht="14.4" hidden="1" outlineLevel="1">
      <c r="A1417" s="1072" t="str">
        <f>+A1416</f>
        <v/>
      </c>
      <c r="B1417" s="1469"/>
      <c r="C1417" s="1291"/>
      <c r="D1417" s="1292"/>
      <c r="E1417" s="1301" t="s">
        <v>3399</v>
      </c>
      <c r="F1417" s="1302"/>
      <c r="G1417" s="1508"/>
      <c r="H1417" s="1298"/>
      <c r="I1417" s="1298"/>
      <c r="J1417" s="1298"/>
      <c r="K1417" s="1298"/>
      <c r="L1417" s="1298">
        <f t="shared" si="315"/>
        <v>0</v>
      </c>
      <c r="M1417" s="1298">
        <f>I1417*G1417</f>
        <v>0</v>
      </c>
      <c r="N1417" s="1298">
        <f t="shared" si="316"/>
        <v>0</v>
      </c>
      <c r="O1417" s="1298">
        <f>K1417*G1417</f>
        <v>0</v>
      </c>
      <c r="P1417" s="1499"/>
      <c r="Q1417" s="1300"/>
      <c r="R1417" s="1300"/>
      <c r="S1417" s="1300"/>
    </row>
    <row r="1418" spans="1:19" s="1081" customFormat="1" hidden="1" outlineLevel="1">
      <c r="A1418" s="1072" t="str">
        <f t="shared" ref="A1418:A1431" si="317">IF(G1418&lt;&gt;0,1,"")</f>
        <v/>
      </c>
      <c r="B1418" s="1295" t="s">
        <v>1200</v>
      </c>
      <c r="C1418" s="1291"/>
      <c r="D1418" s="1198">
        <f>VLOOKUP($B1418,dongia1,DG!$B$5,)</f>
        <v>0</v>
      </c>
      <c r="E1418" s="1243" t="str">
        <f>VLOOKUP($B1418,dongia1,DG!$C$5,)</f>
        <v>Cáp đồng trần M25mm2</v>
      </c>
      <c r="F1418" s="1198" t="str">
        <f>VLOOKUP($B1418,dongia1,DG!$D$5,)</f>
        <v>kg</v>
      </c>
      <c r="G1418" s="1481">
        <f>95*0.224*G1416</f>
        <v>0</v>
      </c>
      <c r="H1418" s="1298">
        <f>VLOOKUP($B1418,dongia1,DG!$F$5,)</f>
        <v>255500</v>
      </c>
      <c r="I1418" s="1298"/>
      <c r="J1418" s="1298">
        <f>VLOOKUP($B1418,dongia1,DG!$G$5,)</f>
        <v>0</v>
      </c>
      <c r="K1418" s="1298">
        <f>VLOOKUP($B1418,dongia1,DG!$H$5,)</f>
        <v>0</v>
      </c>
      <c r="L1418" s="1298">
        <f t="shared" si="315"/>
        <v>0</v>
      </c>
      <c r="M1418" s="1298">
        <f>I1418*G1418</f>
        <v>0</v>
      </c>
      <c r="N1418" s="1298">
        <f t="shared" si="316"/>
        <v>0</v>
      </c>
      <c r="O1418" s="1298">
        <f>K1418*G1418</f>
        <v>0</v>
      </c>
      <c r="P1418" s="1499"/>
      <c r="Q1418" s="1300"/>
      <c r="R1418" s="1300"/>
      <c r="S1418" s="1300"/>
    </row>
    <row r="1419" spans="1:19" s="1081" customFormat="1" hidden="1" outlineLevel="1">
      <c r="A1419" s="1072" t="str">
        <f t="shared" si="317"/>
        <v/>
      </c>
      <c r="B1419" s="1068" t="s">
        <v>1098</v>
      </c>
      <c r="C1419" s="1291"/>
      <c r="D1419" s="1198">
        <f>VLOOKUP($B1419,dongia1,DG!$B$5,)</f>
        <v>0</v>
      </c>
      <c r="E1419" s="1243" t="str">
        <f>VLOOKUP($B1419,dongia1,DG!$C$5,)</f>
        <v>Cọc tiếp đất Þ 16- 2,4m + kẹp cọc</v>
      </c>
      <c r="F1419" s="1198" t="str">
        <f>VLOOKUP($B1419,dongia1,DG!$D$5,)</f>
        <v>bộ</v>
      </c>
      <c r="G1419" s="1481">
        <f>13*G1416</f>
        <v>0</v>
      </c>
      <c r="H1419" s="1298">
        <f>VLOOKUP($B1419,dongia1,DG!$F$5,)</f>
        <v>160000</v>
      </c>
      <c r="I1419" s="1298"/>
      <c r="J1419" s="1298">
        <f>VLOOKUP($B1419,dongia1,DG!$G$5,)</f>
        <v>0</v>
      </c>
      <c r="K1419" s="1298">
        <f>VLOOKUP($B1419,dongia1,DG!$H$5,)</f>
        <v>0</v>
      </c>
      <c r="L1419" s="1298">
        <f t="shared" si="315"/>
        <v>0</v>
      </c>
      <c r="M1419" s="1298">
        <f>I1419*G1419</f>
        <v>0</v>
      </c>
      <c r="N1419" s="1298">
        <f t="shared" si="316"/>
        <v>0</v>
      </c>
      <c r="O1419" s="1298">
        <f>K1419*G1419</f>
        <v>0</v>
      </c>
      <c r="P1419" s="1499"/>
      <c r="Q1419" s="1300"/>
      <c r="R1419" s="1300"/>
      <c r="S1419" s="1300"/>
    </row>
    <row r="1420" spans="1:19" s="1081" customFormat="1" hidden="1" outlineLevel="1">
      <c r="A1420" s="1072" t="str">
        <f t="shared" si="317"/>
        <v/>
      </c>
      <c r="B1420" s="1470" t="s">
        <v>205</v>
      </c>
      <c r="C1420" s="1291"/>
      <c r="D1420" s="1198">
        <f>VLOOKUP($B1420,dongia1,DG!$B$5,)</f>
        <v>0</v>
      </c>
      <c r="E1420" s="1243" t="str">
        <f>VLOOKUP($B1420,dongia1,DG!$C$5,)</f>
        <v>Kẹp ép WR cỡ dây 50mm2</v>
      </c>
      <c r="F1420" s="1198" t="str">
        <f>VLOOKUP($B1420,dongia1,DG!$D$5,)</f>
        <v>cái</v>
      </c>
      <c r="G1420" s="1481">
        <f>2*G1416</f>
        <v>0</v>
      </c>
      <c r="H1420" s="1298">
        <f>VLOOKUP($B1420,dongia1,DG!$F$5,)</f>
        <v>8000</v>
      </c>
      <c r="I1420" s="1298"/>
      <c r="J1420" s="1298">
        <f>VLOOKUP($B1420,dongia1,DG!$G$5,)</f>
        <v>0</v>
      </c>
      <c r="K1420" s="1298">
        <f>VLOOKUP($B1420,dongia1,DG!$H$5,)</f>
        <v>0</v>
      </c>
      <c r="L1420" s="1298">
        <f t="shared" si="315"/>
        <v>0</v>
      </c>
      <c r="M1420" s="1298">
        <f>I1420*G1420</f>
        <v>0</v>
      </c>
      <c r="N1420" s="1298">
        <f t="shared" si="316"/>
        <v>0</v>
      </c>
      <c r="O1420" s="1298">
        <f>K1420*G1420</f>
        <v>0</v>
      </c>
      <c r="P1420" s="1507"/>
      <c r="Q1420" s="1300"/>
      <c r="R1420" s="1300"/>
      <c r="S1420" s="1300"/>
    </row>
    <row r="1421" spans="1:19" s="1081" customFormat="1" hidden="1" outlineLevel="1">
      <c r="A1421" s="1072" t="str">
        <f t="shared" si="317"/>
        <v/>
      </c>
      <c r="B1421" s="1470" t="s">
        <v>1433</v>
      </c>
      <c r="C1421" s="1291"/>
      <c r="D1421" s="1198">
        <f>VLOOKUP($B1421,dongia1,DG!$B$5,)</f>
        <v>0</v>
      </c>
      <c r="E1421" s="1243" t="str">
        <f>VLOOKUP($B1421,dongia1,DG!$C$5,)</f>
        <v>Ốc xiết cáp cỡ 25mm2</v>
      </c>
      <c r="F1421" s="1198" t="str">
        <f>VLOOKUP($B1421,dongia1,DG!$D$5,)</f>
        <v>cái</v>
      </c>
      <c r="G1421" s="1481">
        <f>G1416*18</f>
        <v>0</v>
      </c>
      <c r="H1421" s="1298">
        <f>VLOOKUP($B1421,dongia1,DG!$F$5,)</f>
        <v>17600</v>
      </c>
      <c r="I1421" s="1298"/>
      <c r="J1421" s="1298">
        <f>VLOOKUP($B1421,dongia1,DG!$G$5,)</f>
        <v>0</v>
      </c>
      <c r="K1421" s="1298"/>
      <c r="L1421" s="1298">
        <f t="shared" si="315"/>
        <v>0</v>
      </c>
      <c r="M1421" s="1298"/>
      <c r="N1421" s="1298">
        <f t="shared" si="316"/>
        <v>0</v>
      </c>
      <c r="O1421" s="1298"/>
      <c r="P1421" s="1499"/>
      <c r="Q1421" s="1300"/>
      <c r="R1421" s="1300"/>
      <c r="S1421" s="1300"/>
    </row>
    <row r="1422" spans="1:19" s="1081" customFormat="1" hidden="1" outlineLevel="1">
      <c r="A1422" s="1072" t="str">
        <f>IF(G1422&lt;&gt;0,1,"")</f>
        <v/>
      </c>
      <c r="B1422" s="1470" t="s">
        <v>1623</v>
      </c>
      <c r="C1422" s="1291"/>
      <c r="D1422" s="1198">
        <f>VLOOKUP($B1422,dongia1,DG!$B$5,)</f>
        <v>0</v>
      </c>
      <c r="E1422" s="1243" t="str">
        <f>VLOOKUP($B1422,dongia1,DG!$C$5,)</f>
        <v>Boulon 12x40+ 2 long đền vuông D14-50x50x3/Zn</v>
      </c>
      <c r="F1422" s="1198" t="str">
        <f>VLOOKUP($B1422,dongia1,DG!$D$5,)</f>
        <v>bộ</v>
      </c>
      <c r="G1422" s="1481">
        <f>G1416*1</f>
        <v>0</v>
      </c>
      <c r="H1422" s="1298">
        <f>VLOOKUP($B1422,dongia1,DG!$F$5,)</f>
        <v>8500</v>
      </c>
      <c r="I1422" s="1298"/>
      <c r="J1422" s="1298">
        <f>VLOOKUP($B1422,dongia1,DG!$G$5,)</f>
        <v>0</v>
      </c>
      <c r="K1422" s="1298"/>
      <c r="L1422" s="1298">
        <f>H1422*G1422</f>
        <v>0</v>
      </c>
      <c r="M1422" s="1298"/>
      <c r="N1422" s="1298">
        <f>J1422*G1422</f>
        <v>0</v>
      </c>
      <c r="O1422" s="1298"/>
      <c r="P1422" s="1499"/>
      <c r="Q1422" s="1300"/>
      <c r="R1422" s="1300"/>
      <c r="S1422" s="1300"/>
    </row>
    <row r="1423" spans="1:19" s="1081" customFormat="1" hidden="1" outlineLevel="1">
      <c r="A1423" s="1072" t="str">
        <f t="shared" ref="A1423:A1428" si="318">IF(G1423&lt;&gt;0,1,"")</f>
        <v/>
      </c>
      <c r="B1423" s="1470" t="s">
        <v>4849</v>
      </c>
      <c r="C1423" s="1291"/>
      <c r="D1423" s="1198" t="str">
        <f>VLOOKUP($B1423,dongia1,DG!$B$5,)</f>
        <v>D4.5002</v>
      </c>
      <c r="E1423" s="1243" t="str">
        <f>VLOOKUP($B1423,dongia1,DG!$C$5,)</f>
        <v>Đầu cosse ép Cu 35mm2</v>
      </c>
      <c r="F1423" s="1198" t="str">
        <f>VLOOKUP($B1423,dongia1,DG!$D$5,)</f>
        <v>cái</v>
      </c>
      <c r="G1423" s="1481">
        <f>G1416*9</f>
        <v>0</v>
      </c>
      <c r="H1423" s="1298">
        <f>VLOOKUP($B1423,dongia1,DG!$F$5,)</f>
        <v>7800</v>
      </c>
      <c r="I1423" s="1298"/>
      <c r="J1423" s="1298">
        <f>VLOOKUP($B1423,dongia1,DG!$G$5,)</f>
        <v>10608.955000000002</v>
      </c>
      <c r="K1423" s="1298"/>
      <c r="L1423" s="1298">
        <f t="shared" ref="L1423:L1428" si="319">H1423*G1423</f>
        <v>0</v>
      </c>
      <c r="M1423" s="1298"/>
      <c r="N1423" s="1298">
        <f t="shared" ref="N1423:N1428" si="320">J1423*G1423</f>
        <v>0</v>
      </c>
      <c r="O1423" s="1298"/>
      <c r="P1423" s="1499"/>
      <c r="Q1423" s="1300"/>
      <c r="R1423" s="1300"/>
      <c r="S1423" s="1300"/>
    </row>
    <row r="1424" spans="1:19" s="1081" customFormat="1" hidden="1" outlineLevel="1">
      <c r="A1424" s="1072" t="str">
        <f t="shared" si="318"/>
        <v/>
      </c>
      <c r="B1424" s="1068" t="s">
        <v>4850</v>
      </c>
      <c r="C1424" s="1291"/>
      <c r="D1424" s="1198" t="str">
        <f>VLOOKUP($B1424,dongia1,DG!$B$5,)</f>
        <v>07.2201</v>
      </c>
      <c r="E1424" s="1243" t="str">
        <f>VLOOKUP($B1424,dongia1,DG!$C$5,)</f>
        <v>Ông sắt tráng kẽm D21</v>
      </c>
      <c r="F1424" s="1198" t="str">
        <f>VLOOKUP($B1424,dongia1,DG!$D$5,)</f>
        <v>mét</v>
      </c>
      <c r="G1424" s="1481">
        <f>G1416*6</f>
        <v>0</v>
      </c>
      <c r="H1424" s="1298">
        <f>VLOOKUP($B1424,dongia1,DG!$F$5,)</f>
        <v>42000</v>
      </c>
      <c r="I1424" s="1298"/>
      <c r="J1424" s="1298">
        <f>VLOOKUP($B1424,dongia1,DG!$G$5,)</f>
        <v>25037.1</v>
      </c>
      <c r="K1424" s="1298"/>
      <c r="L1424" s="1298">
        <f t="shared" si="319"/>
        <v>0</v>
      </c>
      <c r="M1424" s="1298"/>
      <c r="N1424" s="1298">
        <f t="shared" si="320"/>
        <v>0</v>
      </c>
      <c r="O1424" s="1298"/>
      <c r="P1424" s="1499"/>
      <c r="Q1424" s="1300"/>
      <c r="R1424" s="1300"/>
      <c r="S1424" s="1300"/>
    </row>
    <row r="1425" spans="1:19" s="1081" customFormat="1" hidden="1" outlineLevel="1">
      <c r="A1425" s="1072" t="str">
        <f t="shared" si="318"/>
        <v/>
      </c>
      <c r="B1425" s="1068" t="s">
        <v>1490</v>
      </c>
      <c r="C1425" s="1291"/>
      <c r="D1425" s="1198">
        <f>VLOOKUP($B1425,dongia1,DG!$B$5,)</f>
        <v>0</v>
      </c>
      <c r="E1425" s="1243" t="str">
        <f>VLOOKUP($B1425,dongia1,DG!$C$5,)</f>
        <v>Cổ dê kẹp ống PVC (STK) Þ 21</v>
      </c>
      <c r="F1425" s="1198" t="str">
        <f>VLOOKUP($B1425,dongia1,DG!$D$5,)</f>
        <v>bộ</v>
      </c>
      <c r="G1425" s="1481">
        <f>G1416*5</f>
        <v>0</v>
      </c>
      <c r="H1425" s="1298">
        <f>VLOOKUP($B1425,dongia1,DG!$F$5,)</f>
        <v>43000</v>
      </c>
      <c r="I1425" s="1298"/>
      <c r="J1425" s="1298">
        <f>VLOOKUP($B1425,dongia1,DG!$G$5,)</f>
        <v>0</v>
      </c>
      <c r="K1425" s="1298"/>
      <c r="L1425" s="1298">
        <f t="shared" si="319"/>
        <v>0</v>
      </c>
      <c r="M1425" s="1298"/>
      <c r="N1425" s="1298">
        <f t="shared" si="320"/>
        <v>0</v>
      </c>
      <c r="O1425" s="1298"/>
      <c r="P1425" s="1499"/>
      <c r="Q1425" s="1300"/>
      <c r="R1425" s="1300"/>
      <c r="S1425" s="1300"/>
    </row>
    <row r="1426" spans="1:19" s="1081" customFormat="1" hidden="1" outlineLevel="1">
      <c r="A1426" s="1072" t="str">
        <f t="shared" si="318"/>
        <v/>
      </c>
      <c r="B1426" s="1086" t="s">
        <v>4497</v>
      </c>
      <c r="C1426" s="1291"/>
      <c r="D1426" s="1198">
        <f>VLOOKUP($B1426,dongia1,DG!$B$5,)</f>
        <v>0</v>
      </c>
      <c r="E1426" s="1243" t="str">
        <f>VLOOKUP($B1426,dongia1,DG!$C$5,)</f>
        <v>Đai thép Inox</v>
      </c>
      <c r="F1426" s="1198" t="str">
        <f>VLOOKUP($B1426,dongia1,DG!$D$5,)</f>
        <v>mét</v>
      </c>
      <c r="G1426" s="1481">
        <f>G1416*4</f>
        <v>0</v>
      </c>
      <c r="H1426" s="1298">
        <f>VLOOKUP($B1426,dongia1,DG!$F$5,)</f>
        <v>11000</v>
      </c>
      <c r="I1426" s="1298"/>
      <c r="J1426" s="1298">
        <f>VLOOKUP($B1426,dongia1,DG!$G$5,)</f>
        <v>0</v>
      </c>
      <c r="K1426" s="1298"/>
      <c r="L1426" s="1298">
        <f t="shared" si="319"/>
        <v>0</v>
      </c>
      <c r="M1426" s="1298"/>
      <c r="N1426" s="1298">
        <f t="shared" si="320"/>
        <v>0</v>
      </c>
      <c r="O1426" s="1298"/>
      <c r="P1426" s="1499"/>
      <c r="Q1426" s="1300"/>
      <c r="R1426" s="1300"/>
      <c r="S1426" s="1300"/>
    </row>
    <row r="1427" spans="1:19" s="1081" customFormat="1" hidden="1" outlineLevel="1">
      <c r="A1427" s="1072" t="str">
        <f t="shared" si="318"/>
        <v/>
      </c>
      <c r="B1427" s="1086" t="s">
        <v>4499</v>
      </c>
      <c r="C1427" s="1291"/>
      <c r="D1427" s="1198">
        <f>VLOOKUP($B1427,dongia1,DG!$B$5,)</f>
        <v>0</v>
      </c>
      <c r="E1427" s="1243" t="str">
        <f>VLOOKUP($B1427,dongia1,DG!$C$5,)</f>
        <v>Khóa đai Inox</v>
      </c>
      <c r="F1427" s="1198" t="str">
        <f>VLOOKUP($B1427,dongia1,DG!$D$5,)</f>
        <v>cái</v>
      </c>
      <c r="G1427" s="1481">
        <f>G1416*4</f>
        <v>0</v>
      </c>
      <c r="H1427" s="1298">
        <f>VLOOKUP($B1427,dongia1,DG!$F$5,)</f>
        <v>4000</v>
      </c>
      <c r="I1427" s="1298"/>
      <c r="J1427" s="1298">
        <f>VLOOKUP($B1427,dongia1,DG!$G$5,)</f>
        <v>0</v>
      </c>
      <c r="K1427" s="1298"/>
      <c r="L1427" s="1298">
        <f t="shared" si="319"/>
        <v>0</v>
      </c>
      <c r="M1427" s="1298"/>
      <c r="N1427" s="1298">
        <f t="shared" si="320"/>
        <v>0</v>
      </c>
      <c r="O1427" s="1298"/>
      <c r="P1427" s="1499"/>
      <c r="Q1427" s="1300"/>
      <c r="R1427" s="1300"/>
      <c r="S1427" s="1300"/>
    </row>
    <row r="1428" spans="1:19" s="1081" customFormat="1" hidden="1" outlineLevel="1">
      <c r="A1428" s="1072" t="str">
        <f t="shared" si="318"/>
        <v/>
      </c>
      <c r="B1428" s="1068" t="s">
        <v>211</v>
      </c>
      <c r="C1428" s="1291"/>
      <c r="D1428" s="1198">
        <f>VLOOKUP($B1428,dongia1,DG!$B$5,)</f>
        <v>0</v>
      </c>
      <c r="E1428" s="1243" t="str">
        <f>VLOOKUP($B1428,dongia1,DG!$C$5,)</f>
        <v>Khoan giếng tiếp địa</v>
      </c>
      <c r="F1428" s="1198" t="str">
        <f>VLOOKUP($B1428,dongia1,DG!$D$5,)</f>
        <v>Cái</v>
      </c>
      <c r="G1428" s="1481">
        <f>G1416</f>
        <v>0</v>
      </c>
      <c r="H1428" s="1298">
        <f>VLOOKUP($B1428,dongia1,DG!$F$5,)</f>
        <v>0</v>
      </c>
      <c r="I1428" s="1298"/>
      <c r="J1428" s="1298">
        <f>VLOOKUP($B1428,dongia1,DG!$G$5,)</f>
        <v>1500000</v>
      </c>
      <c r="K1428" s="1298"/>
      <c r="L1428" s="1298">
        <f t="shared" si="319"/>
        <v>0</v>
      </c>
      <c r="M1428" s="1298"/>
      <c r="N1428" s="1298">
        <f t="shared" si="320"/>
        <v>0</v>
      </c>
      <c r="O1428" s="1298"/>
      <c r="P1428" s="1499"/>
      <c r="Q1428" s="1300"/>
      <c r="R1428" s="1300"/>
      <c r="S1428" s="1300"/>
    </row>
    <row r="1429" spans="1:19" s="1081" customFormat="1" hidden="1" outlineLevel="1">
      <c r="A1429" s="1072" t="str">
        <f t="shared" si="317"/>
        <v/>
      </c>
      <c r="B1429" s="1068" t="str">
        <f>"DTD"&amp;capdat</f>
        <v>DTD3</v>
      </c>
      <c r="C1429" s="1471"/>
      <c r="D1429" s="1198" t="str">
        <f>VLOOKUP($B1429,dongia1,DG!$B$5,)</f>
        <v>AB.11513</v>
      </c>
      <c r="E1429" s="1243" t="str">
        <f>VLOOKUP($B1429,dongia1,DG!$C$5,)</f>
        <v>Đào rãnh tiếp địa đất cấp 3</v>
      </c>
      <c r="F1429" s="1198" t="str">
        <f>VLOOKUP($B1429,dongia1,DG!$D$5,)</f>
        <v>m3</v>
      </c>
      <c r="G1429" s="1481">
        <f>G1416*0.3*0.5*53</f>
        <v>0</v>
      </c>
      <c r="H1429" s="1298">
        <f>VLOOKUP($B1429,dongia1,DG!$F$5,)</f>
        <v>0</v>
      </c>
      <c r="I1429" s="1298"/>
      <c r="J1429" s="1298">
        <f>VLOOKUP($B1429,dongia1,DG!$G$5,)</f>
        <v>283749.75</v>
      </c>
      <c r="K1429" s="1298"/>
      <c r="L1429" s="1298">
        <f t="shared" si="315"/>
        <v>0</v>
      </c>
      <c r="M1429" s="1298">
        <f>I1429*G1429</f>
        <v>0</v>
      </c>
      <c r="N1429" s="1298">
        <f t="shared" si="316"/>
        <v>0</v>
      </c>
      <c r="O1429" s="1298">
        <f>K1429*G1429</f>
        <v>0</v>
      </c>
      <c r="P1429" s="1499"/>
      <c r="Q1429" s="1300"/>
      <c r="R1429" s="1300"/>
      <c r="S1429" s="1300"/>
    </row>
    <row r="1430" spans="1:19" s="1081" customFormat="1" hidden="1" outlineLevel="1">
      <c r="A1430" s="1072" t="str">
        <f t="shared" si="317"/>
        <v/>
      </c>
      <c r="B1430" s="1068" t="str">
        <f>"DATD"&amp;capdat</f>
        <v>DATD3</v>
      </c>
      <c r="C1430" s="1291"/>
      <c r="D1430" s="1198" t="str">
        <f>VLOOKUP($B1430,dongia1,DG!$B$5,)</f>
        <v>AB.13111</v>
      </c>
      <c r="E1430" s="1243" t="str">
        <f>VLOOKUP($B1430,dongia1,DG!$C$5,)</f>
        <v>Đắp đất rãnh tiếp địa cấp 3 (độ chặt k = 0.85)</v>
      </c>
      <c r="F1430" s="1198" t="str">
        <f>VLOOKUP($B1430,dongia1,DG!$D$5,)</f>
        <v>m3</v>
      </c>
      <c r="G1430" s="1481">
        <f>G1429</f>
        <v>0</v>
      </c>
      <c r="H1430" s="1298">
        <f>VLOOKUP($B1430,dongia1,DG!$F$5,)*0+22240</f>
        <v>22240</v>
      </c>
      <c r="I1430" s="1298"/>
      <c r="J1430" s="1298">
        <f>VLOOKUP($B1430,dongia1,DG!$G$5,)</f>
        <v>117703.6</v>
      </c>
      <c r="K1430" s="1298">
        <f>VLOOKUP($B1430,dongia1,DG!$H$5,)</f>
        <v>0</v>
      </c>
      <c r="L1430" s="1298">
        <f t="shared" si="315"/>
        <v>0</v>
      </c>
      <c r="M1430" s="1298">
        <f>I1430*G1430</f>
        <v>0</v>
      </c>
      <c r="N1430" s="1298">
        <f>J1430*G1430</f>
        <v>0</v>
      </c>
      <c r="O1430" s="1298">
        <f>K1430*G1430</f>
        <v>0</v>
      </c>
      <c r="P1430" s="1507"/>
      <c r="Q1430" s="1510">
        <f>53*0.3*0.5</f>
        <v>7.9499999999999993</v>
      </c>
      <c r="R1430" s="1300"/>
      <c r="S1430" s="1300"/>
    </row>
    <row r="1431" spans="1:19" s="1081" customFormat="1" hidden="1" outlineLevel="1">
      <c r="A1431" s="1072" t="str">
        <f t="shared" si="317"/>
        <v/>
      </c>
      <c r="B1431" s="1068" t="s">
        <v>985</v>
      </c>
      <c r="C1431" s="1291"/>
      <c r="D1431" s="1198" t="str">
        <f>VLOOKUP($B1431,dongia1,DG!$B$5,)</f>
        <v>D2.8103</v>
      </c>
      <c r="E1431" s="1243" t="str">
        <f>VLOOKUP($B1431,dongia1,DG!$C$5,)</f>
        <v>Đóng cọc tiếp địa đất cấp 3 dài 2,5m</v>
      </c>
      <c r="F1431" s="1198" t="str">
        <f>VLOOKUP($B1431,dongia1,DG!$D$5,)</f>
        <v>cọc</v>
      </c>
      <c r="G1431" s="1481">
        <f>G1419</f>
        <v>0</v>
      </c>
      <c r="H1431" s="1298">
        <f>VLOOKUP($B1431,dongia1,DG!$F$5,)</f>
        <v>0</v>
      </c>
      <c r="I1431" s="1298"/>
      <c r="J1431" s="1298" t="str">
        <f>VLOOKUP($B1431,dongia1,DG!$G$5,)&amp;" x 1,7"</f>
        <v>90355,896 x 1,7</v>
      </c>
      <c r="K1431" s="1298">
        <v>0</v>
      </c>
      <c r="L1431" s="1298">
        <f>H1431*$G1431</f>
        <v>0</v>
      </c>
      <c r="M1431" s="1298">
        <f>I1431*$G1431</f>
        <v>0</v>
      </c>
      <c r="N1431" s="1298">
        <f>VLOOKUP($B1431,dongia1,DG!$G$5,)*1.7*G1431</f>
        <v>0</v>
      </c>
      <c r="O1431" s="1298">
        <f>K1431*$G1431</f>
        <v>0</v>
      </c>
      <c r="P1431" s="1499"/>
      <c r="Q1431" s="1300"/>
      <c r="R1431" s="1300"/>
      <c r="S1431" s="1300"/>
    </row>
    <row r="1432" spans="1:19" s="1081" customFormat="1" hidden="1" outlineLevel="1">
      <c r="A1432" s="1072" t="str">
        <f t="shared" ref="A1432:A1438" si="321">IF(G1432&lt;&gt;0,1,"")</f>
        <v/>
      </c>
      <c r="B1432" s="1068" t="s">
        <v>983</v>
      </c>
      <c r="C1432" s="1291"/>
      <c r="D1432" s="1198" t="str">
        <f>VLOOKUP($B1432,dongia1,DG!$B$5,)</f>
        <v>T4.7001</v>
      </c>
      <c r="E1432" s="1243" t="str">
        <f>VLOOKUP($B1432,dongia1,DG!$C$5,)</f>
        <v>Kéo dây tiếp địa TBA</v>
      </c>
      <c r="F1432" s="1198" t="str">
        <f>VLOOKUP($B1432,dongia1,DG!$D$5,)</f>
        <v>mét</v>
      </c>
      <c r="G1432" s="1481">
        <f>G1418/0.224</f>
        <v>0</v>
      </c>
      <c r="H1432" s="1298">
        <f>VLOOKUP($B1432,dongia1,DG!$F$5,)</f>
        <v>0</v>
      </c>
      <c r="I1432" s="1298"/>
      <c r="J1432" s="1298">
        <f>VLOOKUP($B1432,dongia1,DG!$G$5,)</f>
        <v>8070.7000000000007</v>
      </c>
      <c r="K1432" s="1298">
        <f>VLOOKUP($B1432,dongia1,DG!$H$5,)</f>
        <v>2044.9974999999999</v>
      </c>
      <c r="L1432" s="1298">
        <f t="shared" ref="L1432:L1438" si="322">H1432*G1432</f>
        <v>0</v>
      </c>
      <c r="M1432" s="1298">
        <f t="shared" ref="M1432:M1438" si="323">I1432*G1432</f>
        <v>0</v>
      </c>
      <c r="N1432" s="1298">
        <f t="shared" ref="N1432:N1438" si="324">J1432*G1432</f>
        <v>0</v>
      </c>
      <c r="O1432" s="1298">
        <f t="shared" ref="O1432:O1438" si="325">K1432*G1432</f>
        <v>0</v>
      </c>
      <c r="P1432" s="1499"/>
      <c r="Q1432" s="1300"/>
      <c r="R1432" s="1300"/>
      <c r="S1432" s="1300"/>
    </row>
    <row r="1433" spans="1:19" s="1081" customFormat="1" hidden="1" outlineLevel="1">
      <c r="A1433" s="1072" t="str">
        <f t="shared" si="321"/>
        <v/>
      </c>
      <c r="B1433" s="1068" t="s">
        <v>4491</v>
      </c>
      <c r="C1433" s="1291"/>
      <c r="D1433" s="1198">
        <f>VLOOKUP($B1433,dongia1,DG!$B$5,)</f>
        <v>0</v>
      </c>
      <c r="E1433" s="1243" t="str">
        <f>VLOOKUP($B1433,dongia1,DG!$C$5,)</f>
        <v>Sắt tròn Þ8 thanh dài 2m (hàn bass 2 đầu, mạ kẽm)</v>
      </c>
      <c r="F1433" s="1198" t="str">
        <f>VLOOKUP($B1433,dongia1,DG!$D$5,)</f>
        <v xml:space="preserve">thanh </v>
      </c>
      <c r="G1433" s="1508">
        <f>G1416*6*0</f>
        <v>0</v>
      </c>
      <c r="H1433" s="1298">
        <f>VLOOKUP($B1433,dongia1,DG!$F$5,)</f>
        <v>38105</v>
      </c>
      <c r="I1433" s="1298"/>
      <c r="J1433" s="1298">
        <f>VLOOKUP($B1433,dongia1,DG!$G$5,)</f>
        <v>0</v>
      </c>
      <c r="K1433" s="1298">
        <f>VLOOKUP($B1433,dongia1,DG!$H$5,)</f>
        <v>0</v>
      </c>
      <c r="L1433" s="1298">
        <f t="shared" si="322"/>
        <v>0</v>
      </c>
      <c r="M1433" s="1298">
        <f t="shared" si="323"/>
        <v>0</v>
      </c>
      <c r="N1433" s="1298">
        <f t="shared" si="324"/>
        <v>0</v>
      </c>
      <c r="O1433" s="1298">
        <f t="shared" si="325"/>
        <v>0</v>
      </c>
      <c r="P1433" s="1499"/>
      <c r="Q1433" s="1300"/>
      <c r="R1433" s="1300"/>
      <c r="S1433" s="1300"/>
    </row>
    <row r="1434" spans="1:19" s="1081" customFormat="1" hidden="1" outlineLevel="1">
      <c r="A1434" s="1072" t="str">
        <f t="shared" si="321"/>
        <v/>
      </c>
      <c r="B1434" s="1068" t="s">
        <v>4493</v>
      </c>
      <c r="C1434" s="1291"/>
      <c r="D1434" s="1198">
        <f>VLOOKUP($B1434,dongia1,DG!$B$5,)</f>
        <v>0</v>
      </c>
      <c r="E1434" s="1243" t="str">
        <f>VLOOKUP($B1434,dongia1,DG!$C$5,)</f>
        <v>Sắt tròn Þ8 thanh dài 2,5m (hàn bass 2 đầu, mạ kẽm)</v>
      </c>
      <c r="F1434" s="1198" t="str">
        <f>VLOOKUP($B1434,dongia1,DG!$D$5,)</f>
        <v xml:space="preserve">thanh </v>
      </c>
      <c r="G1434" s="1303">
        <f>G1421*2*0</f>
        <v>0</v>
      </c>
      <c r="H1434" s="1298">
        <f>VLOOKUP($B1434,dongia1,DG!$F$5,)</f>
        <v>69188</v>
      </c>
      <c r="I1434" s="1298"/>
      <c r="J1434" s="1298">
        <f>VLOOKUP($B1434,dongia1,DG!$G$5,)</f>
        <v>0</v>
      </c>
      <c r="K1434" s="1298">
        <f>VLOOKUP($B1434,dongia1,DG!$H$5,)</f>
        <v>0</v>
      </c>
      <c r="L1434" s="1298">
        <f t="shared" si="322"/>
        <v>0</v>
      </c>
      <c r="M1434" s="1298">
        <f t="shared" si="323"/>
        <v>0</v>
      </c>
      <c r="N1434" s="1298">
        <f t="shared" si="324"/>
        <v>0</v>
      </c>
      <c r="O1434" s="1298">
        <f t="shared" si="325"/>
        <v>0</v>
      </c>
      <c r="P1434" s="1437"/>
      <c r="Q1434" s="1300"/>
      <c r="R1434" s="1300"/>
      <c r="S1434" s="1300"/>
    </row>
    <row r="1435" spans="1:19" s="1081" customFormat="1" hidden="1" outlineLevel="1">
      <c r="A1435" s="1072" t="str">
        <f t="shared" si="321"/>
        <v/>
      </c>
      <c r="B1435" s="1511" t="s">
        <v>4495</v>
      </c>
      <c r="C1435" s="1291"/>
      <c r="D1435" s="1198">
        <f>VLOOKUP($B1435,dongia1,DG!$B$5,)</f>
        <v>0</v>
      </c>
      <c r="E1435" s="1243" t="str">
        <f>VLOOKUP($B1435,dongia1,DG!$C$5,)</f>
        <v>Sắt tròn Þ8 thanh dài 3m (hàn bass 2 đầu, mạ kẽm)</v>
      </c>
      <c r="F1435" s="1198" t="str">
        <f>VLOOKUP($B1435,dongia1,DG!$D$5,)</f>
        <v xml:space="preserve">thanh </v>
      </c>
      <c r="G1435" s="1508">
        <f>G1416*2*0</f>
        <v>0</v>
      </c>
      <c r="H1435" s="1298">
        <f>VLOOKUP($B1435,dongia1,DG!$F$5,)</f>
        <v>53008</v>
      </c>
      <c r="I1435" s="1298"/>
      <c r="J1435" s="1298">
        <f>VLOOKUP($B1435,dongia1,DG!$G$5,)</f>
        <v>0</v>
      </c>
      <c r="K1435" s="1298">
        <f>VLOOKUP($B1435,dongia1,DG!$H$5,)</f>
        <v>0</v>
      </c>
      <c r="L1435" s="1298">
        <f t="shared" si="322"/>
        <v>0</v>
      </c>
      <c r="M1435" s="1298">
        <f t="shared" si="323"/>
        <v>0</v>
      </c>
      <c r="N1435" s="1298">
        <f t="shared" si="324"/>
        <v>0</v>
      </c>
      <c r="O1435" s="1298">
        <f t="shared" si="325"/>
        <v>0</v>
      </c>
      <c r="P1435" s="1499"/>
      <c r="Q1435" s="1300"/>
      <c r="R1435" s="1300"/>
      <c r="S1435" s="1300"/>
    </row>
    <row r="1436" spans="1:19" s="1081" customFormat="1" hidden="1" outlineLevel="1">
      <c r="A1436" s="1072" t="str">
        <f>IF(G1436&lt;&gt;0,1,"")</f>
        <v/>
      </c>
      <c r="B1436" s="1511" t="s">
        <v>4608</v>
      </c>
      <c r="C1436" s="1291"/>
      <c r="D1436" s="1198">
        <f>VLOOKUP($B1436,dongia1,DG!$B$5,)</f>
        <v>0</v>
      </c>
      <c r="E1436" s="1243" t="str">
        <f>VLOOKUP($B1436,dongia1,DG!$C$5,)</f>
        <v>Boulon 8x50+ 2 long đền vuông</v>
      </c>
      <c r="F1436" s="1198" t="str">
        <f>VLOOKUP($B1436,dongia1,DG!$D$5,)</f>
        <v>bộ</v>
      </c>
      <c r="G1436" s="1508">
        <f>G1416*20*0</f>
        <v>0</v>
      </c>
      <c r="H1436" s="1298">
        <f>VLOOKUP($B1436,dongia1,DG!$F$5,)</f>
        <v>8400</v>
      </c>
      <c r="I1436" s="1298"/>
      <c r="J1436" s="1298">
        <f>VLOOKUP($B1436,dongia1,DG!$G$5,)</f>
        <v>0</v>
      </c>
      <c r="K1436" s="1298">
        <f>VLOOKUP($B1436,dongia1,DG!$H$5,)</f>
        <v>0</v>
      </c>
      <c r="L1436" s="1298">
        <f>H1436*G1436</f>
        <v>0</v>
      </c>
      <c r="M1436" s="1298">
        <f>I1436*G1436</f>
        <v>0</v>
      </c>
      <c r="N1436" s="1298">
        <f>J1436*G1436</f>
        <v>0</v>
      </c>
      <c r="O1436" s="1298">
        <f>K1436*G1436</f>
        <v>0</v>
      </c>
      <c r="P1436" s="1499"/>
      <c r="Q1436" s="1300"/>
      <c r="R1436" s="1300"/>
      <c r="S1436" s="1300"/>
    </row>
    <row r="1437" spans="1:19" s="1081" customFormat="1" hidden="1" outlineLevel="1">
      <c r="A1437" s="1072" t="str">
        <f t="shared" si="321"/>
        <v/>
      </c>
      <c r="B1437" s="1068" t="s">
        <v>4497</v>
      </c>
      <c r="C1437" s="1291"/>
      <c r="D1437" s="1198">
        <f>VLOOKUP($B1437,dongia1,DG!$B$5,)</f>
        <v>0</v>
      </c>
      <c r="E1437" s="1243" t="str">
        <f>VLOOKUP($B1437,dongia1,DG!$C$5,)</f>
        <v>Đai thép Inox</v>
      </c>
      <c r="F1437" s="1198" t="str">
        <f>VLOOKUP($B1437,dongia1,DG!$D$5,)</f>
        <v>mét</v>
      </c>
      <c r="G1437" s="1508">
        <f>G1433+G1435</f>
        <v>0</v>
      </c>
      <c r="H1437" s="1298">
        <f>VLOOKUP($B1437,dongia1,DG!$F$5,)</f>
        <v>11000</v>
      </c>
      <c r="I1437" s="1298"/>
      <c r="J1437" s="1298">
        <f>VLOOKUP($B1437,dongia1,DG!$G$5,)</f>
        <v>0</v>
      </c>
      <c r="K1437" s="1298">
        <f>VLOOKUP($B1437,dongia1,DG!$H$5,)</f>
        <v>0</v>
      </c>
      <c r="L1437" s="1298">
        <f t="shared" si="322"/>
        <v>0</v>
      </c>
      <c r="M1437" s="1298">
        <f t="shared" si="323"/>
        <v>0</v>
      </c>
      <c r="N1437" s="1298">
        <f t="shared" si="324"/>
        <v>0</v>
      </c>
      <c r="O1437" s="1298">
        <f t="shared" si="325"/>
        <v>0</v>
      </c>
      <c r="P1437" s="1499"/>
      <c r="Q1437" s="1300"/>
      <c r="R1437" s="1300"/>
      <c r="S1437" s="1300"/>
    </row>
    <row r="1438" spans="1:19" s="1081" customFormat="1" hidden="1" outlineLevel="1">
      <c r="A1438" s="1072" t="str">
        <f t="shared" si="321"/>
        <v/>
      </c>
      <c r="B1438" s="1068" t="s">
        <v>4499</v>
      </c>
      <c r="C1438" s="1291"/>
      <c r="D1438" s="1198">
        <f>VLOOKUP($B1438,dongia1,DG!$B$5,)</f>
        <v>0</v>
      </c>
      <c r="E1438" s="1243" t="str">
        <f>VLOOKUP($B1438,dongia1,DG!$C$5,)</f>
        <v>Khóa đai Inox</v>
      </c>
      <c r="F1438" s="1198" t="str">
        <f>VLOOKUP($B1438,dongia1,DG!$D$5,)</f>
        <v>cái</v>
      </c>
      <c r="G1438" s="1508">
        <f>G1437</f>
        <v>0</v>
      </c>
      <c r="H1438" s="1298">
        <f>VLOOKUP($B1438,dongia1,DG!$F$5,)</f>
        <v>4000</v>
      </c>
      <c r="I1438" s="1298"/>
      <c r="J1438" s="1298">
        <f>VLOOKUP($B1438,dongia1,DG!$G$5,)</f>
        <v>0</v>
      </c>
      <c r="K1438" s="1298">
        <f>VLOOKUP($B1438,dongia1,DG!$H$5,)</f>
        <v>0</v>
      </c>
      <c r="L1438" s="1298">
        <f t="shared" si="322"/>
        <v>0</v>
      </c>
      <c r="M1438" s="1298">
        <f t="shared" si="323"/>
        <v>0</v>
      </c>
      <c r="N1438" s="1298">
        <f t="shared" si="324"/>
        <v>0</v>
      </c>
      <c r="O1438" s="1298">
        <f t="shared" si="325"/>
        <v>0</v>
      </c>
      <c r="P1438" s="1499"/>
      <c r="Q1438" s="1300"/>
      <c r="R1438" s="1300"/>
      <c r="S1438" s="1300"/>
    </row>
    <row r="1439" spans="1:19" s="1081" customFormat="1" hidden="1" outlineLevel="1">
      <c r="A1439" s="1072">
        <f>IF(G1439=0,0,1)</f>
        <v>0</v>
      </c>
      <c r="B1439" s="1068" t="str">
        <f>"DTD"&amp;capdat</f>
        <v>DTD3</v>
      </c>
      <c r="C1439" s="1302"/>
      <c r="D1439" s="1198" t="str">
        <f>VLOOKUP($B1439,dongia1,DG!$B$5,)</f>
        <v>AB.11513</v>
      </c>
      <c r="E1439" s="1243" t="str">
        <f>VLOOKUP($B1439,dongia1,DG!$C$5,)</f>
        <v>Đào rãnh tiếp địa đất cấp 3</v>
      </c>
      <c r="F1439" s="1198" t="str">
        <f>VLOOKUP($B1439,dongia1,DG!$D$5,)</f>
        <v>m3</v>
      </c>
      <c r="G1439" s="1512">
        <f>G1416*(52+20)*0.3*0.5*0</f>
        <v>0</v>
      </c>
      <c r="H1439" s="1298">
        <f>VLOOKUP($B1439,dongia1,DG!$F$5,)</f>
        <v>0</v>
      </c>
      <c r="I1439" s="1298"/>
      <c r="J1439" s="1298">
        <f>VLOOKUP($B1439,dongia1,DG!$G$5,)</f>
        <v>283749.75</v>
      </c>
      <c r="K1439" s="1298">
        <v>0</v>
      </c>
      <c r="L1439" s="1298">
        <f t="shared" ref="L1439:O1440" si="326">H1439*$G1439</f>
        <v>0</v>
      </c>
      <c r="M1439" s="1298">
        <f t="shared" si="326"/>
        <v>0</v>
      </c>
      <c r="N1439" s="1298">
        <f t="shared" si="326"/>
        <v>0</v>
      </c>
      <c r="O1439" s="1298">
        <f t="shared" si="326"/>
        <v>0</v>
      </c>
      <c r="P1439" s="1499"/>
      <c r="Q1439" s="1300"/>
      <c r="R1439" s="1300"/>
      <c r="S1439" s="1300"/>
    </row>
    <row r="1440" spans="1:19" s="1081" customFormat="1" hidden="1" outlineLevel="1">
      <c r="A1440" s="1072">
        <f>IF(G1440=0,0,1)</f>
        <v>0</v>
      </c>
      <c r="B1440" s="1068" t="str">
        <f>"DATD"&amp;capdat</f>
        <v>DATD3</v>
      </c>
      <c r="C1440" s="1302"/>
      <c r="D1440" s="1198" t="str">
        <f>VLOOKUP($B1440,dongia1,DG!$B$5,)</f>
        <v>AB.13111</v>
      </c>
      <c r="E1440" s="1243" t="str">
        <f>VLOOKUP($B1440,dongia1,DG!$C$5,)</f>
        <v>Đắp đất rãnh tiếp địa cấp 3 (độ chặt k = 0.85)</v>
      </c>
      <c r="F1440" s="1198" t="str">
        <f>VLOOKUP($B1440,dongia1,DG!$D$5,)</f>
        <v>m3</v>
      </c>
      <c r="G1440" s="1512">
        <f>G1439</f>
        <v>0</v>
      </c>
      <c r="H1440" s="1298">
        <f>VLOOKUP($B1440,dongia1,DG!$F$5,)</f>
        <v>0</v>
      </c>
      <c r="I1440" s="1298"/>
      <c r="J1440" s="1298">
        <f>VLOOKUP($B1440,dongia1,DG!$G$5,)</f>
        <v>117703.6</v>
      </c>
      <c r="K1440" s="1298">
        <v>0</v>
      </c>
      <c r="L1440" s="1298">
        <f t="shared" si="326"/>
        <v>0</v>
      </c>
      <c r="M1440" s="1298">
        <f t="shared" si="326"/>
        <v>0</v>
      </c>
      <c r="N1440" s="1298">
        <f t="shared" si="326"/>
        <v>0</v>
      </c>
      <c r="O1440" s="1298">
        <f t="shared" si="326"/>
        <v>0</v>
      </c>
      <c r="P1440" s="1499"/>
      <c r="Q1440" s="1300"/>
      <c r="R1440" s="1300"/>
      <c r="S1440" s="1300"/>
    </row>
    <row r="1441" spans="1:20" s="1081" customFormat="1" hidden="1" outlineLevel="1">
      <c r="A1441" s="1072">
        <f>IF(G1441=0,0,1)</f>
        <v>0</v>
      </c>
      <c r="B1441" s="1068" t="s">
        <v>985</v>
      </c>
      <c r="C1441" s="1302"/>
      <c r="D1441" s="1198" t="str">
        <f>VLOOKUP($B1441,dongia1,DG!$B$5,)</f>
        <v>D2.8103</v>
      </c>
      <c r="E1441" s="1243" t="str">
        <f>VLOOKUP($B1441,dongia1,DG!$C$5,)</f>
        <v>Đóng cọc tiếp địa đất cấp 3 dài 2,5m</v>
      </c>
      <c r="F1441" s="1198" t="str">
        <f>VLOOKUP($B1441,dongia1,DG!$D$5,)</f>
        <v>cọc</v>
      </c>
      <c r="G1441" s="1512">
        <f>G1419*0</f>
        <v>0</v>
      </c>
      <c r="H1441" s="1298">
        <f>VLOOKUP($B1441,dongia1,DG!$F$5,)</f>
        <v>0</v>
      </c>
      <c r="I1441" s="1298"/>
      <c r="J1441" s="1298" t="str">
        <f>VLOOKUP($B1441,dongia1,DG!$G$5,)&amp;" x 1,7"</f>
        <v>90355,896 x 1,7</v>
      </c>
      <c r="K1441" s="1298">
        <v>0</v>
      </c>
      <c r="L1441" s="1298">
        <f>H1441*$G1441</f>
        <v>0</v>
      </c>
      <c r="M1441" s="1298">
        <f>I1441*$G1441</f>
        <v>0</v>
      </c>
      <c r="N1441" s="1298">
        <f>VLOOKUP($B1441,dongia1,DG!$G$5,)*1.7*G1441</f>
        <v>0</v>
      </c>
      <c r="O1441" s="1298">
        <f>K1441*$G1441</f>
        <v>0</v>
      </c>
      <c r="P1441" s="1499"/>
      <c r="Q1441" s="1300"/>
      <c r="R1441" s="1300"/>
      <c r="S1441" s="1300"/>
    </row>
    <row r="1442" spans="1:20" s="1081" customFormat="1" hidden="1" outlineLevel="1">
      <c r="A1442" s="1072" t="str">
        <f>IF(G1442&lt;&gt;0,1,"")</f>
        <v/>
      </c>
      <c r="B1442" s="1068" t="s">
        <v>983</v>
      </c>
      <c r="C1442" s="1291"/>
      <c r="D1442" s="1198" t="str">
        <f>VLOOKUP($B1442,dongia1,DG!$B$5,)</f>
        <v>T4.7001</v>
      </c>
      <c r="E1442" s="1243" t="str">
        <f>VLOOKUP($B1442,dongia1,DG!$C$5,)</f>
        <v>Kéo dây tiếp địa TBA</v>
      </c>
      <c r="F1442" s="1198" t="str">
        <f>VLOOKUP($B1442,dongia1,DG!$D$5,)</f>
        <v>mét</v>
      </c>
      <c r="G1442" s="1508">
        <f>G1418/0.224*0</f>
        <v>0</v>
      </c>
      <c r="H1442" s="1298">
        <f>VLOOKUP($B1442,dongia1,DG!$E$5,)</f>
        <v>0</v>
      </c>
      <c r="I1442" s="1298"/>
      <c r="J1442" s="1298">
        <f>VLOOKUP($B1442,dongia1,DG!$G$5,)</f>
        <v>8070.7000000000007</v>
      </c>
      <c r="K1442" s="1298">
        <f>VLOOKUP($B1442,dongia1,DG!$H$5,)</f>
        <v>2044.9974999999999</v>
      </c>
      <c r="L1442" s="1298">
        <f>H1442*G1442</f>
        <v>0</v>
      </c>
      <c r="M1442" s="1298">
        <f>I1442*G1442</f>
        <v>0</v>
      </c>
      <c r="N1442" s="1298">
        <f>J1442*G1442</f>
        <v>0</v>
      </c>
      <c r="O1442" s="1298">
        <f>K1442*G1442</f>
        <v>0</v>
      </c>
      <c r="P1442" s="1499"/>
      <c r="Q1442" s="1300"/>
      <c r="R1442" s="1300"/>
      <c r="S1442" s="1300"/>
    </row>
    <row r="1443" spans="1:20" s="1081" customFormat="1" hidden="1" outlineLevel="1">
      <c r="A1443" s="1072" t="str">
        <f>IF(G1443&lt;&gt;0,1,"")</f>
        <v/>
      </c>
      <c r="B1443" s="1295"/>
      <c r="C1443" s="1291">
        <f>IF(G1443&gt;0,C1416+1,C1416)</f>
        <v>0</v>
      </c>
      <c r="D1443" s="1292"/>
      <c r="E1443" s="1296" t="s">
        <v>3441</v>
      </c>
      <c r="F1443" s="1291" t="s">
        <v>2113</v>
      </c>
      <c r="G1443" s="1297">
        <f>G1365</f>
        <v>0</v>
      </c>
      <c r="H1443" s="1298"/>
      <c r="I1443" s="1298"/>
      <c r="J1443" s="1298"/>
      <c r="K1443" s="1298"/>
      <c r="L1443" s="1298">
        <f t="shared" ref="L1443:L1448" si="327">H1443*G1443</f>
        <v>0</v>
      </c>
      <c r="M1443" s="1298">
        <f t="shared" ref="M1443:M1448" si="328">I1443*G1443</f>
        <v>0</v>
      </c>
      <c r="N1443" s="1298">
        <f t="shared" ref="N1443:N1448" si="329">J1443*G1443</f>
        <v>0</v>
      </c>
      <c r="O1443" s="1298">
        <f t="shared" ref="O1443:O1448" si="330">K1443*G1443</f>
        <v>0</v>
      </c>
      <c r="P1443" s="1299"/>
      <c r="Q1443" s="1300"/>
      <c r="R1443" s="1300"/>
      <c r="S1443" s="1300"/>
    </row>
    <row r="1444" spans="1:20" s="1081" customFormat="1" ht="14.4" hidden="1" outlineLevel="1">
      <c r="A1444" s="1072" t="str">
        <f>A1443</f>
        <v/>
      </c>
      <c r="B1444" s="1295"/>
      <c r="C1444" s="1291"/>
      <c r="D1444" s="1292"/>
      <c r="E1444" s="1301" t="s">
        <v>3399</v>
      </c>
      <c r="F1444" s="1302"/>
      <c r="G1444" s="1303"/>
      <c r="H1444" s="1298"/>
      <c r="I1444" s="1298"/>
      <c r="J1444" s="1298"/>
      <c r="K1444" s="1298"/>
      <c r="L1444" s="1298">
        <f t="shared" si="327"/>
        <v>0</v>
      </c>
      <c r="M1444" s="1298">
        <f t="shared" si="328"/>
        <v>0</v>
      </c>
      <c r="N1444" s="1298">
        <f t="shared" si="329"/>
        <v>0</v>
      </c>
      <c r="O1444" s="1298">
        <f t="shared" si="330"/>
        <v>0</v>
      </c>
      <c r="P1444" s="1299"/>
      <c r="Q1444" s="1300"/>
      <c r="R1444" s="1300"/>
      <c r="S1444" s="1300"/>
    </row>
    <row r="1445" spans="1:20" s="1081" customFormat="1" hidden="1" outlineLevel="1">
      <c r="A1445" s="1072" t="str">
        <f>IF(G1445&lt;&gt;0,1,"")</f>
        <v/>
      </c>
      <c r="B1445" s="1295" t="s">
        <v>1472</v>
      </c>
      <c r="C1445" s="1302"/>
      <c r="D1445" s="1198">
        <f>VLOOKUP($B1445,dongia1,DG!$B$5,)</f>
        <v>0</v>
      </c>
      <c r="E1445" s="1243" t="str">
        <f>VLOOKUP($B1445,dongia1,DG!$C$5,)</f>
        <v>Ximăng</v>
      </c>
      <c r="F1445" s="1198" t="str">
        <f>VLOOKUP($B1445,dongia1,DG!$D$5,)</f>
        <v>kg</v>
      </c>
      <c r="G1445" s="1304">
        <f>+G1448*296</f>
        <v>0</v>
      </c>
      <c r="H1445" s="1298">
        <f>VLOOKUP($B1445,dongia1,DG!$F$5,)</f>
        <v>1740</v>
      </c>
      <c r="I1445" s="1298"/>
      <c r="J1445" s="1298">
        <f>VLOOKUP($B1445,dongia1,DG!$G$5,)</f>
        <v>0</v>
      </c>
      <c r="K1445" s="1298">
        <f>VLOOKUP($B1445,dongia1,DG!$H$5,)</f>
        <v>0</v>
      </c>
      <c r="L1445" s="1298">
        <f t="shared" si="327"/>
        <v>0</v>
      </c>
      <c r="M1445" s="1298">
        <f t="shared" si="328"/>
        <v>0</v>
      </c>
      <c r="N1445" s="1298">
        <f t="shared" si="329"/>
        <v>0</v>
      </c>
      <c r="O1445" s="1298">
        <f t="shared" si="330"/>
        <v>0</v>
      </c>
      <c r="P1445" s="1299"/>
      <c r="Q1445" s="1300"/>
      <c r="R1445" s="1300"/>
      <c r="S1445" s="1300"/>
    </row>
    <row r="1446" spans="1:20" s="1081" customFormat="1" hidden="1" outlineLevel="1">
      <c r="A1446" s="1072" t="str">
        <f>IF(G1446&lt;&gt;0,1,"")</f>
        <v/>
      </c>
      <c r="B1446" s="1295" t="s">
        <v>1729</v>
      </c>
      <c r="C1446" s="1291"/>
      <c r="D1446" s="1198">
        <f>VLOOKUP($B1446,dongia1,DG!$B$5,)</f>
        <v>0</v>
      </c>
      <c r="E1446" s="1243" t="str">
        <f>VLOOKUP($B1446,dongia1,DG!$C$5,)</f>
        <v>Cát vàng</v>
      </c>
      <c r="F1446" s="1198" t="str">
        <f>VLOOKUP($B1446,dongia1,DG!$D$5,)</f>
        <v>m3</v>
      </c>
      <c r="G1446" s="1304">
        <f>G1448*0.475</f>
        <v>0</v>
      </c>
      <c r="H1446" s="1298">
        <f>VLOOKUP($B1446,dongia1,DG!$F$5,)</f>
        <v>512000</v>
      </c>
      <c r="I1446" s="1298"/>
      <c r="J1446" s="1298">
        <f>VLOOKUP($B1446,dongia1,DG!$G$5,)</f>
        <v>0</v>
      </c>
      <c r="K1446" s="1298">
        <f>VLOOKUP($B1446,dongia1,DG!$H$5,)</f>
        <v>0</v>
      </c>
      <c r="L1446" s="1298">
        <f t="shared" si="327"/>
        <v>0</v>
      </c>
      <c r="M1446" s="1298">
        <f t="shared" si="328"/>
        <v>0</v>
      </c>
      <c r="N1446" s="1298">
        <f t="shared" si="329"/>
        <v>0</v>
      </c>
      <c r="O1446" s="1298">
        <f t="shared" si="330"/>
        <v>0</v>
      </c>
      <c r="P1446" s="1299"/>
      <c r="Q1446" s="1300"/>
      <c r="R1446" s="1300"/>
      <c r="S1446" s="1300"/>
    </row>
    <row r="1447" spans="1:20" s="1081" customFormat="1" hidden="1" outlineLevel="1">
      <c r="A1447" s="1072" t="str">
        <f>IF(G1447&lt;&gt;0,1,"")</f>
        <v/>
      </c>
      <c r="B1447" s="1295" t="s">
        <v>599</v>
      </c>
      <c r="C1447" s="1291"/>
      <c r="D1447" s="1198">
        <f>VLOOKUP($B1447,dongia1,DG!$B$5,)</f>
        <v>0</v>
      </c>
      <c r="E1447" s="1243" t="str">
        <f>VLOOKUP($B1447,dongia1,DG!$C$5,)</f>
        <v>Đá 1x2</v>
      </c>
      <c r="F1447" s="1198" t="str">
        <f>VLOOKUP($B1447,dongia1,DG!$D$5,)</f>
        <v>m3</v>
      </c>
      <c r="G1447" s="1304">
        <f>G1448*0.881</f>
        <v>0</v>
      </c>
      <c r="H1447" s="1298">
        <f>VLOOKUP($B1447,dongia1,DG!$F$5,)</f>
        <v>335000</v>
      </c>
      <c r="I1447" s="1298"/>
      <c r="J1447" s="1298">
        <f>VLOOKUP($B1447,dongia1,DG!$G$5,)</f>
        <v>0</v>
      </c>
      <c r="K1447" s="1298">
        <f>VLOOKUP($B1447,dongia1,DG!$H$5,)</f>
        <v>0</v>
      </c>
      <c r="L1447" s="1298">
        <f t="shared" si="327"/>
        <v>0</v>
      </c>
      <c r="M1447" s="1298">
        <f t="shared" si="328"/>
        <v>0</v>
      </c>
      <c r="N1447" s="1298">
        <f t="shared" si="329"/>
        <v>0</v>
      </c>
      <c r="O1447" s="1298">
        <f t="shared" si="330"/>
        <v>0</v>
      </c>
      <c r="P1447" s="1299"/>
      <c r="Q1447" s="1300"/>
      <c r="R1447" s="1300"/>
      <c r="S1447" s="1300"/>
    </row>
    <row r="1448" spans="1:20" s="1081" customFormat="1" hidden="1" outlineLevel="1">
      <c r="A1448" s="1072" t="str">
        <f>IF(G1448&lt;&gt;0,1,"")</f>
        <v/>
      </c>
      <c r="B1448" s="1295" t="s">
        <v>1473</v>
      </c>
      <c r="C1448" s="1302"/>
      <c r="D1448" s="1198" t="str">
        <f>VLOOKUP($B1448,dongia1,DG!$B$5,)</f>
        <v>AF.11220</v>
      </c>
      <c r="E1448" s="1243" t="str">
        <f>VLOOKUP($B1448,dongia1,DG!$C$5,)</f>
        <v>Đổ bê tông mác M200 đá 1x 2rộng &gt;250cm</v>
      </c>
      <c r="F1448" s="1198" t="str">
        <f>VLOOKUP($B1448,dongia1,DG!$D$5,)</f>
        <v>m3</v>
      </c>
      <c r="G1448" s="1304">
        <f>G1443*(0.4*3*1-2*3.14*0.15^2*0.4)</f>
        <v>0</v>
      </c>
      <c r="H1448" s="1298"/>
      <c r="I1448" s="1298"/>
      <c r="J1448" s="1298">
        <f>VLOOKUP($B1448,dongia1,DG!$G$5,)</f>
        <v>466397.5</v>
      </c>
      <c r="K1448" s="1298">
        <f>VLOOKUP($B1448,dongia1,DG!$H$5,)</f>
        <v>0</v>
      </c>
      <c r="L1448" s="1298">
        <f t="shared" si="327"/>
        <v>0</v>
      </c>
      <c r="M1448" s="1298">
        <f t="shared" si="328"/>
        <v>0</v>
      </c>
      <c r="N1448" s="1298">
        <f t="shared" si="329"/>
        <v>0</v>
      </c>
      <c r="O1448" s="1298">
        <f t="shared" si="330"/>
        <v>0</v>
      </c>
      <c r="P1448" s="1299"/>
      <c r="Q1448" s="1306">
        <f>1.025*361</f>
        <v>370.02499999999998</v>
      </c>
      <c r="R1448" s="1306">
        <f>1.025*0.45</f>
        <v>0.46124999999999999</v>
      </c>
      <c r="S1448" s="1306">
        <f>1.025*0.866</f>
        <v>0.88764999999999994</v>
      </c>
      <c r="T1448" s="1307"/>
    </row>
    <row r="1449" spans="1:20" s="1081" customFormat="1" hidden="1" outlineLevel="1">
      <c r="A1449" s="1072" t="str">
        <f>IF(G1449&lt;&gt;0,1,"")</f>
        <v/>
      </c>
      <c r="B1449" s="1295"/>
      <c r="C1449" s="1291">
        <f>IF(G1449&gt;0,C1443+1,C1443)</f>
        <v>0</v>
      </c>
      <c r="D1449" s="1292"/>
      <c r="E1449" s="1416" t="s">
        <v>3442</v>
      </c>
      <c r="F1449" s="1291" t="s">
        <v>2113</v>
      </c>
      <c r="G1449" s="1509">
        <f>G1359</f>
        <v>0</v>
      </c>
      <c r="H1449" s="1298"/>
      <c r="I1449" s="1298"/>
      <c r="J1449" s="1298"/>
      <c r="K1449" s="1298"/>
      <c r="L1449" s="1298">
        <f t="shared" ref="L1449:L1460" si="331">H1449*G1449</f>
        <v>0</v>
      </c>
      <c r="M1449" s="1298">
        <f t="shared" ref="M1449:M1460" si="332">I1449*G1449</f>
        <v>0</v>
      </c>
      <c r="N1449" s="1298">
        <f t="shared" ref="N1449:N1460" si="333">J1449*G1449</f>
        <v>0</v>
      </c>
      <c r="O1449" s="1298">
        <f t="shared" ref="O1449:O1460" si="334">K1449*G1449</f>
        <v>0</v>
      </c>
      <c r="P1449" s="1499"/>
      <c r="Q1449" s="1300"/>
      <c r="R1449" s="1300"/>
      <c r="S1449" s="1300"/>
    </row>
    <row r="1450" spans="1:20" s="1081" customFormat="1" ht="14.4" hidden="1" outlineLevel="1">
      <c r="A1450" s="1072" t="str">
        <f>A1449</f>
        <v/>
      </c>
      <c r="B1450" s="1295"/>
      <c r="C1450" s="1291"/>
      <c r="D1450" s="1292"/>
      <c r="E1450" s="1301" t="s">
        <v>3399</v>
      </c>
      <c r="F1450" s="1302"/>
      <c r="G1450" s="1508"/>
      <c r="H1450" s="1298"/>
      <c r="I1450" s="1298"/>
      <c r="J1450" s="1298"/>
      <c r="K1450" s="1298"/>
      <c r="L1450" s="1298">
        <f t="shared" si="331"/>
        <v>0</v>
      </c>
      <c r="M1450" s="1298">
        <f t="shared" si="332"/>
        <v>0</v>
      </c>
      <c r="N1450" s="1298">
        <f t="shared" si="333"/>
        <v>0</v>
      </c>
      <c r="O1450" s="1298">
        <f t="shared" si="334"/>
        <v>0</v>
      </c>
      <c r="P1450" s="1499"/>
      <c r="Q1450" s="1300"/>
      <c r="R1450" s="1300"/>
      <c r="S1450" s="1300"/>
    </row>
    <row r="1451" spans="1:20" s="1081" customFormat="1" hidden="1" outlineLevel="1">
      <c r="A1451" s="1072" t="str">
        <f>IF(G1451&lt;&gt;0,1,"")</f>
        <v/>
      </c>
      <c r="B1451" s="1295" t="s">
        <v>332</v>
      </c>
      <c r="C1451" s="1302"/>
      <c r="D1451" s="1198" t="str">
        <f>VLOOKUP($B1451,dongia1,DG!$B$5,)</f>
        <v>T5.1002</v>
      </c>
      <c r="E1451" s="1243" t="str">
        <f>VLOOKUP($B1451,dongia1,DG!$C$5,)</f>
        <v>Tủ MCCB trạm giàn 2 ngăn</v>
      </c>
      <c r="F1451" s="1198" t="str">
        <f>VLOOKUP($B1451,dongia1,DG!$D$5,)</f>
        <v>cái</v>
      </c>
      <c r="G1451" s="1508">
        <f>G1449</f>
        <v>0</v>
      </c>
      <c r="H1451" s="1298">
        <f>VLOOKUP($B1451,dongia1,DG!$F$5,)</f>
        <v>5000000</v>
      </c>
      <c r="I1451" s="1298"/>
      <c r="J1451" s="1298">
        <f>VLOOKUP($B1451,dongia1,DG!$G$5,)</f>
        <v>690091</v>
      </c>
      <c r="K1451" s="1298">
        <f>VLOOKUP($B1451,dongia1,DG!$H$5,)</f>
        <v>97369</v>
      </c>
      <c r="L1451" s="1298">
        <f t="shared" si="331"/>
        <v>0</v>
      </c>
      <c r="M1451" s="1298">
        <f t="shared" si="332"/>
        <v>0</v>
      </c>
      <c r="N1451" s="1298">
        <f t="shared" si="333"/>
        <v>0</v>
      </c>
      <c r="O1451" s="1298">
        <f t="shared" si="334"/>
        <v>0</v>
      </c>
      <c r="P1451" s="1499"/>
      <c r="Q1451" s="1300"/>
      <c r="R1451" s="1300"/>
      <c r="S1451" s="1300"/>
    </row>
    <row r="1452" spans="1:20" s="1081" customFormat="1" hidden="1" outlineLevel="1">
      <c r="A1452" s="1072" t="str">
        <f>IF(G1452&lt;&gt;0,1,"")</f>
        <v/>
      </c>
      <c r="B1452" s="1295" t="s">
        <v>1560</v>
      </c>
      <c r="C1452" s="1291"/>
      <c r="D1452" s="1198">
        <f>VLOOKUP($B1452,dongia1,DG!$B$5,)</f>
        <v>0</v>
      </c>
      <c r="E1452" s="1243" t="str">
        <f>VLOOKUP($B1452,dongia1,DG!$C$5,)</f>
        <v xml:space="preserve">Bakelit 500x300 dầy 10mm </v>
      </c>
      <c r="F1452" s="1198" t="str">
        <f>VLOOKUP($B1452,dongia1,DG!$D$5,)</f>
        <v>cái</v>
      </c>
      <c r="G1452" s="1508">
        <f>G1451</f>
        <v>0</v>
      </c>
      <c r="H1452" s="1298">
        <f>VLOOKUP($B1452,dongia1,DG!$F$5,)</f>
        <v>284000</v>
      </c>
      <c r="I1452" s="1298"/>
      <c r="J1452" s="1298">
        <f>VLOOKUP($B1452,dongia1,DG!$G$5,)*0</f>
        <v>0</v>
      </c>
      <c r="K1452" s="1298">
        <f>VLOOKUP($B1452,dongia1,DG!$H$5,)</f>
        <v>0</v>
      </c>
      <c r="L1452" s="1298">
        <f t="shared" si="331"/>
        <v>0</v>
      </c>
      <c r="M1452" s="1298">
        <f t="shared" si="332"/>
        <v>0</v>
      </c>
      <c r="N1452" s="1298">
        <f t="shared" si="333"/>
        <v>0</v>
      </c>
      <c r="O1452" s="1298">
        <f t="shared" si="334"/>
        <v>0</v>
      </c>
      <c r="P1452" s="1499"/>
      <c r="Q1452" s="1300"/>
      <c r="R1452" s="1300"/>
      <c r="S1452" s="1300"/>
    </row>
    <row r="1453" spans="1:20" s="1081" customFormat="1" hidden="1" outlineLevel="1">
      <c r="A1453" s="1072" t="str">
        <f>IF(G1453&lt;&gt;0,1,"")</f>
        <v/>
      </c>
      <c r="B1453" s="1295" t="s">
        <v>888</v>
      </c>
      <c r="C1453" s="1302"/>
      <c r="D1453" s="1198">
        <f>VLOOKUP($B1453,dongia1,DG!$B$5,)</f>
        <v>0</v>
      </c>
      <c r="E1453" s="1243" t="str">
        <f>VLOOKUP($B1453,dongia1,DG!$C$5,)</f>
        <v>Bảng tên trạm + bảng báo nguy hiểm</v>
      </c>
      <c r="F1453" s="1198" t="str">
        <f>VLOOKUP($B1453,dongia1,DG!$D$5,)</f>
        <v>cái</v>
      </c>
      <c r="G1453" s="1418">
        <f>G1449</f>
        <v>0</v>
      </c>
      <c r="H1453" s="1298">
        <f>VLOOKUP($B1453,dongia1,DG!$F$5,)</f>
        <v>300000</v>
      </c>
      <c r="I1453" s="1298"/>
      <c r="J1453" s="1298">
        <f>VLOOKUP($B1453,dongia1,DG!$G$5,)</f>
        <v>0</v>
      </c>
      <c r="K1453" s="1298">
        <f>VLOOKUP($B1453,dongia1,DG!$H$5,)</f>
        <v>0</v>
      </c>
      <c r="L1453" s="1298">
        <f t="shared" si="331"/>
        <v>0</v>
      </c>
      <c r="M1453" s="1298">
        <f t="shared" si="332"/>
        <v>0</v>
      </c>
      <c r="N1453" s="1298">
        <f t="shared" si="333"/>
        <v>0</v>
      </c>
      <c r="O1453" s="1298">
        <f t="shared" si="334"/>
        <v>0</v>
      </c>
      <c r="P1453" s="1437"/>
      <c r="Q1453" s="1300"/>
      <c r="R1453" s="1300"/>
      <c r="S1453" s="1300"/>
    </row>
    <row r="1454" spans="1:20" s="1081" customFormat="1" hidden="1" outlineLevel="1">
      <c r="A1454" s="1072" t="str">
        <f>IF(G1454&lt;&gt;0,1,"")</f>
        <v/>
      </c>
      <c r="B1454" s="1066" t="s">
        <v>1542</v>
      </c>
      <c r="C1454" s="1302"/>
      <c r="D1454" s="1198">
        <f>VLOOKUP($B1454,dongia1,DG!$B$5,)</f>
        <v>0</v>
      </c>
      <c r="E1454" s="1243" t="str">
        <f>VLOOKUP($B1454,dongia1,DG!$C$5,)</f>
        <v>Cổ dê bắt tủ</v>
      </c>
      <c r="F1454" s="1198" t="str">
        <f>VLOOKUP($B1454,dongia1,DG!$D$5,)</f>
        <v>bộ</v>
      </c>
      <c r="G1454" s="1398">
        <f>G1451*2*0</f>
        <v>0</v>
      </c>
      <c r="H1454" s="1298">
        <f>VLOOKUP($B1454,dongia1,DG!$F$5,)*0</f>
        <v>0</v>
      </c>
      <c r="I1454" s="1298"/>
      <c r="J1454" s="1298">
        <f>VLOOKUP($B1454,dongia1,DG!$G$5,)*0</f>
        <v>0</v>
      </c>
      <c r="K1454" s="1298">
        <f>VLOOKUP($B1454,dongia1,DG!$H$5,)</f>
        <v>0</v>
      </c>
      <c r="L1454" s="1298">
        <f t="shared" si="331"/>
        <v>0</v>
      </c>
      <c r="M1454" s="1298">
        <f t="shared" si="332"/>
        <v>0</v>
      </c>
      <c r="N1454" s="1298">
        <f t="shared" si="333"/>
        <v>0</v>
      </c>
      <c r="O1454" s="1298">
        <f t="shared" si="334"/>
        <v>0</v>
      </c>
      <c r="P1454" s="1499"/>
      <c r="Q1454" s="1300"/>
      <c r="R1454" s="1300"/>
      <c r="S1454" s="1300"/>
    </row>
    <row r="1455" spans="1:20" s="1081" customFormat="1" hidden="1" outlineLevel="1">
      <c r="A1455" s="1072" t="str">
        <f>IF(G1455&lt;&gt;0,1,"")</f>
        <v/>
      </c>
      <c r="B1455" s="1295"/>
      <c r="C1455" s="1291">
        <f>IF(G1455&gt;0,C1449+1,C1449)</f>
        <v>0</v>
      </c>
      <c r="D1455" s="1292"/>
      <c r="E1455" s="1416" t="s">
        <v>4570</v>
      </c>
      <c r="F1455" s="1291" t="s">
        <v>2113</v>
      </c>
      <c r="G1455" s="1509">
        <f>G1359*0</f>
        <v>0</v>
      </c>
      <c r="H1455" s="1298"/>
      <c r="I1455" s="1298"/>
      <c r="J1455" s="1298"/>
      <c r="K1455" s="1298"/>
      <c r="L1455" s="1298">
        <f t="shared" si="331"/>
        <v>0</v>
      </c>
      <c r="M1455" s="1298">
        <f t="shared" si="332"/>
        <v>0</v>
      </c>
      <c r="N1455" s="1298">
        <f t="shared" si="333"/>
        <v>0</v>
      </c>
      <c r="O1455" s="1298">
        <f t="shared" si="334"/>
        <v>0</v>
      </c>
      <c r="P1455" s="1499"/>
      <c r="Q1455" s="1300"/>
      <c r="R1455" s="1300"/>
      <c r="S1455" s="1300"/>
    </row>
    <row r="1456" spans="1:20" s="1081" customFormat="1" ht="14.4" hidden="1" outlineLevel="1">
      <c r="A1456" s="1072" t="str">
        <f>A1455</f>
        <v/>
      </c>
      <c r="B1456" s="1295"/>
      <c r="C1456" s="1291"/>
      <c r="D1456" s="1292"/>
      <c r="E1456" s="1301" t="s">
        <v>3399</v>
      </c>
      <c r="F1456" s="1302"/>
      <c r="G1456" s="1508"/>
      <c r="H1456" s="1298"/>
      <c r="I1456" s="1298"/>
      <c r="J1456" s="1298"/>
      <c r="K1456" s="1298"/>
      <c r="L1456" s="1298">
        <f t="shared" si="331"/>
        <v>0</v>
      </c>
      <c r="M1456" s="1298">
        <f t="shared" si="332"/>
        <v>0</v>
      </c>
      <c r="N1456" s="1298">
        <f t="shared" si="333"/>
        <v>0</v>
      </c>
      <c r="O1456" s="1298">
        <f t="shared" si="334"/>
        <v>0</v>
      </c>
      <c r="P1456" s="1499"/>
      <c r="Q1456" s="1300"/>
      <c r="R1456" s="1300"/>
      <c r="S1456" s="1300"/>
    </row>
    <row r="1457" spans="1:19" s="1081" customFormat="1" hidden="1" outlineLevel="1">
      <c r="A1457" s="1072" t="str">
        <f>IF(G1457&lt;&gt;0,1,"")</f>
        <v/>
      </c>
      <c r="B1457" s="1066" t="s">
        <v>1485</v>
      </c>
      <c r="C1457" s="1302"/>
      <c r="D1457" s="1198" t="str">
        <f>VLOOKUP($B1457,dongia1,DG!$B$5,)</f>
        <v>T5.1001</v>
      </c>
      <c r="E1457" s="1243" t="str">
        <f>VLOOKUP($B1457,dongia1,DG!$C$5,)</f>
        <v>Tủ điện kế</v>
      </c>
      <c r="F1457" s="1198" t="str">
        <f>VLOOKUP($B1457,dongia1,DG!$D$5,)</f>
        <v>cái</v>
      </c>
      <c r="G1457" s="1508">
        <f>G1455*1</f>
        <v>0</v>
      </c>
      <c r="H1457" s="1298">
        <f>VLOOKUP($B1457,dongia1,DG!$F$5,)</f>
        <v>783952</v>
      </c>
      <c r="I1457" s="1298"/>
      <c r="J1457" s="1298">
        <f>VLOOKUP($B1457,dongia1,DG!$G$5,)</f>
        <v>599038</v>
      </c>
      <c r="K1457" s="1298">
        <f>VLOOKUP($B1457,dongia1,DG!$H$5,)</f>
        <v>97369</v>
      </c>
      <c r="L1457" s="1298">
        <f t="shared" si="331"/>
        <v>0</v>
      </c>
      <c r="M1457" s="1298">
        <f t="shared" si="332"/>
        <v>0</v>
      </c>
      <c r="N1457" s="1298">
        <f t="shared" si="333"/>
        <v>0</v>
      </c>
      <c r="O1457" s="1298">
        <f t="shared" si="334"/>
        <v>0</v>
      </c>
      <c r="P1457" s="1499"/>
      <c r="Q1457" s="1300"/>
      <c r="R1457" s="1300"/>
      <c r="S1457" s="1300"/>
    </row>
    <row r="1458" spans="1:19" s="1081" customFormat="1" hidden="1" outlineLevel="1">
      <c r="A1458" s="1072" t="str">
        <f>IF(G1458&lt;&gt;0,1,"")</f>
        <v/>
      </c>
      <c r="B1458" s="1295" t="s">
        <v>1560</v>
      </c>
      <c r="C1458" s="1291"/>
      <c r="D1458" s="1198">
        <f>VLOOKUP($B1458,dongia1,DG!$B$5,)</f>
        <v>0</v>
      </c>
      <c r="E1458" s="1243" t="str">
        <f>VLOOKUP($B1458,dongia1,DG!$C$5,)</f>
        <v xml:space="preserve">Bakelit 500x300 dầy 10mm </v>
      </c>
      <c r="F1458" s="1198" t="str">
        <f>VLOOKUP($B1458,dongia1,DG!$D$5,)</f>
        <v>cái</v>
      </c>
      <c r="G1458" s="1508">
        <f>G1457</f>
        <v>0</v>
      </c>
      <c r="H1458" s="1298">
        <f>VLOOKUP($B1458,dongia1,DG!$F$5,)</f>
        <v>284000</v>
      </c>
      <c r="I1458" s="1298"/>
      <c r="J1458" s="1298">
        <f>VLOOKUP($B1458,dongia1,DG!$G$5,)</f>
        <v>5404</v>
      </c>
      <c r="K1458" s="1298">
        <f>VLOOKUP($B1458,dongia1,DG!$H$5,)</f>
        <v>0</v>
      </c>
      <c r="L1458" s="1298">
        <f t="shared" si="331"/>
        <v>0</v>
      </c>
      <c r="M1458" s="1298">
        <f t="shared" si="332"/>
        <v>0</v>
      </c>
      <c r="N1458" s="1298">
        <f t="shared" si="333"/>
        <v>0</v>
      </c>
      <c r="O1458" s="1298">
        <f t="shared" si="334"/>
        <v>0</v>
      </c>
      <c r="P1458" s="1499"/>
      <c r="Q1458" s="1300"/>
      <c r="R1458" s="1300"/>
      <c r="S1458" s="1300"/>
    </row>
    <row r="1459" spans="1:19" s="1081" customFormat="1" hidden="1" outlineLevel="1">
      <c r="A1459" s="1072" t="str">
        <f>IF(G1459&lt;&gt;0,1,"")</f>
        <v/>
      </c>
      <c r="B1459" s="1295" t="s">
        <v>888</v>
      </c>
      <c r="C1459" s="1291"/>
      <c r="D1459" s="1198">
        <f>VLOOKUP($B1459,dongia1,DG!$B$5,)</f>
        <v>0</v>
      </c>
      <c r="E1459" s="1243" t="str">
        <f>VLOOKUP($B1459,dongia1,DG!$C$5,)</f>
        <v>Bảng tên trạm + bảng báo nguy hiểm</v>
      </c>
      <c r="F1459" s="1198" t="str">
        <f>VLOOKUP($B1459,dongia1,DG!$D$5,)</f>
        <v>cái</v>
      </c>
      <c r="G1459" s="1508">
        <f>G1455</f>
        <v>0</v>
      </c>
      <c r="H1459" s="1298">
        <f>VLOOKUP($B1459,dongia1,DG!$F$5,)</f>
        <v>300000</v>
      </c>
      <c r="I1459" s="1298"/>
      <c r="J1459" s="1298">
        <f>VLOOKUP($B1459,dongia1,DG!$G$5,)</f>
        <v>0</v>
      </c>
      <c r="K1459" s="1298">
        <f>VLOOKUP($B1459,dongia1,DG!$H$5,)</f>
        <v>0</v>
      </c>
      <c r="L1459" s="1298">
        <f t="shared" si="331"/>
        <v>0</v>
      </c>
      <c r="M1459" s="1298">
        <f t="shared" si="332"/>
        <v>0</v>
      </c>
      <c r="N1459" s="1298">
        <f t="shared" si="333"/>
        <v>0</v>
      </c>
      <c r="O1459" s="1298">
        <f t="shared" si="334"/>
        <v>0</v>
      </c>
      <c r="P1459" s="1499"/>
      <c r="Q1459" s="1300"/>
      <c r="R1459" s="1300"/>
      <c r="S1459" s="1300"/>
    </row>
    <row r="1460" spans="1:19" s="1081" customFormat="1" hidden="1" outlineLevel="1">
      <c r="A1460" s="1072" t="str">
        <f>IF(G1460&lt;&gt;0,1,"")</f>
        <v/>
      </c>
      <c r="B1460" s="1066" t="s">
        <v>1542</v>
      </c>
      <c r="C1460" s="1302"/>
      <c r="D1460" s="1198">
        <f>VLOOKUP($B1460,dongia1,DG!$B$5,)</f>
        <v>0</v>
      </c>
      <c r="E1460" s="1243" t="str">
        <f>VLOOKUP($B1460,dongia1,DG!$C$5,)</f>
        <v>Cổ dê bắt tủ</v>
      </c>
      <c r="F1460" s="1198" t="str">
        <f>VLOOKUP($B1460,dongia1,DG!$D$5,)</f>
        <v>bộ</v>
      </c>
      <c r="G1460" s="1398">
        <f>G1457*2*0</f>
        <v>0</v>
      </c>
      <c r="H1460" s="1298">
        <f>VLOOKUP($B1460,dongia1,DG!$F$5,)</f>
        <v>168000</v>
      </c>
      <c r="I1460" s="1298"/>
      <c r="J1460" s="1298">
        <f>VLOOKUP($B1460,dongia1,DG!$G$5,)</f>
        <v>0</v>
      </c>
      <c r="K1460" s="1298">
        <f>VLOOKUP($B1460,dongia1,DG!$H$5,)</f>
        <v>0</v>
      </c>
      <c r="L1460" s="1298">
        <f t="shared" si="331"/>
        <v>0</v>
      </c>
      <c r="M1460" s="1298">
        <f t="shared" si="332"/>
        <v>0</v>
      </c>
      <c r="N1460" s="1298">
        <f t="shared" si="333"/>
        <v>0</v>
      </c>
      <c r="O1460" s="1298">
        <f t="shared" si="334"/>
        <v>0</v>
      </c>
      <c r="P1460" s="1499"/>
      <c r="Q1460" s="1300"/>
      <c r="R1460" s="1300"/>
      <c r="S1460" s="1300"/>
    </row>
    <row r="1461" spans="1:19" s="1081" customFormat="1" hidden="1" outlineLevel="1">
      <c r="A1461" s="1072" t="str">
        <f>IF(G1461&lt;&gt;0,1,"")</f>
        <v/>
      </c>
      <c r="B1461" s="1295"/>
      <c r="C1461" s="1291">
        <f>IF(G1461&gt;0,C1449+2,C1449)</f>
        <v>0</v>
      </c>
      <c r="D1461" s="1292"/>
      <c r="E1461" s="1293" t="s">
        <v>3444</v>
      </c>
      <c r="F1461" s="1291" t="s">
        <v>2113</v>
      </c>
      <c r="G1461" s="1509">
        <f>G1359</f>
        <v>0</v>
      </c>
      <c r="H1461" s="1298"/>
      <c r="I1461" s="1298"/>
      <c r="J1461" s="1298"/>
      <c r="K1461" s="1298"/>
      <c r="L1461" s="1298"/>
      <c r="M1461" s="1298"/>
      <c r="N1461" s="1298"/>
      <c r="O1461" s="1298"/>
      <c r="P1461" s="1499"/>
      <c r="Q1461" s="1300"/>
      <c r="R1461" s="1300"/>
      <c r="S1461" s="1300"/>
    </row>
    <row r="1462" spans="1:19" s="1081" customFormat="1" ht="14.4" hidden="1" outlineLevel="1">
      <c r="A1462" s="1072" t="str">
        <f>A1461</f>
        <v/>
      </c>
      <c r="B1462" s="1295"/>
      <c r="C1462" s="1291"/>
      <c r="D1462" s="1292"/>
      <c r="E1462" s="1308" t="s">
        <v>3399</v>
      </c>
      <c r="F1462" s="1291"/>
      <c r="G1462" s="1509"/>
      <c r="H1462" s="1298"/>
      <c r="I1462" s="1298"/>
      <c r="J1462" s="1298"/>
      <c r="K1462" s="1298"/>
      <c r="L1462" s="1298"/>
      <c r="M1462" s="1298"/>
      <c r="N1462" s="1298"/>
      <c r="O1462" s="1298"/>
      <c r="P1462" s="1499"/>
      <c r="Q1462" s="1300"/>
      <c r="R1462" s="1300"/>
      <c r="S1462" s="1300"/>
    </row>
    <row r="1463" spans="1:19" s="1081" customFormat="1" hidden="1" outlineLevel="1">
      <c r="A1463" s="1072" t="str">
        <f>IF(G1463&lt;&gt;0,1,"")</f>
        <v/>
      </c>
      <c r="B1463" s="1068" t="s">
        <v>648</v>
      </c>
      <c r="C1463" s="1302"/>
      <c r="D1463" s="1198">
        <f>VLOOKUP($B1463,dongia1,DG!$B$5,)</f>
        <v>0</v>
      </c>
      <c r="E1463" s="1243" t="str">
        <f>VLOOKUP($B1463,dongia1,DG!$C$5,)</f>
        <v>Cáp 24KV C/XLPE/PVC- 25mm2</v>
      </c>
      <c r="F1463" s="1198" t="str">
        <f>VLOOKUP($B1463,dongia1,DG!$D$5,)</f>
        <v>mét</v>
      </c>
      <c r="G1463" s="1508">
        <f>G1461*21</f>
        <v>0</v>
      </c>
      <c r="H1463" s="1298">
        <f>VLOOKUP($B1463,dongia1,DG!$F$5,)</f>
        <v>50996</v>
      </c>
      <c r="I1463" s="1298"/>
      <c r="J1463" s="1298">
        <f>VLOOKUP($B1463,dongia1,DG!$G$5,)</f>
        <v>0</v>
      </c>
      <c r="K1463" s="1298">
        <f>VLOOKUP($B1463,dongia1,DG!$H$5,)</f>
        <v>0</v>
      </c>
      <c r="L1463" s="1298">
        <f t="shared" ref="L1463:L1473" si="335">H1463*G1463</f>
        <v>0</v>
      </c>
      <c r="M1463" s="1298">
        <f t="shared" ref="M1463:M1473" si="336">I1463*G1463</f>
        <v>0</v>
      </c>
      <c r="N1463" s="1298">
        <f t="shared" ref="N1463:N1473" si="337">J1463*G1463</f>
        <v>0</v>
      </c>
      <c r="O1463" s="1298">
        <f t="shared" ref="O1463:O1473" si="338">K1463*G1463</f>
        <v>0</v>
      </c>
      <c r="P1463" s="1499"/>
      <c r="Q1463" s="1300"/>
      <c r="R1463" s="1300"/>
      <c r="S1463" s="1300"/>
    </row>
    <row r="1464" spans="1:19" s="1081" customFormat="1" hidden="1" outlineLevel="1">
      <c r="A1464" s="1072" t="str">
        <f t="shared" ref="A1464:A1474" si="339">IF(G1464&lt;&gt;0,1,"")</f>
        <v/>
      </c>
      <c r="B1464" s="1421" t="s">
        <v>2028</v>
      </c>
      <c r="C1464" s="1302"/>
      <c r="D1464" s="1198">
        <f>VLOOKUP($B1464,dongia1,DG!$B$5,)</f>
        <v>0</v>
      </c>
      <c r="E1464" s="1243" t="str">
        <f>VLOOKUP($B1464,dongia1,DG!$C$5,)</f>
        <v>Kẹp quai 2/0</v>
      </c>
      <c r="F1464" s="1198" t="str">
        <f>VLOOKUP($B1464,dongia1,DG!$D$5,)</f>
        <v>cái</v>
      </c>
      <c r="G1464" s="1508">
        <f>G1461*3</f>
        <v>0</v>
      </c>
      <c r="H1464" s="1298">
        <f>VLOOKUP($B1464,dongia1,DG!$F$5,)</f>
        <v>46000</v>
      </c>
      <c r="I1464" s="1298"/>
      <c r="J1464" s="1298">
        <f>VLOOKUP($B1464,dongia1,DG!$G$5,)</f>
        <v>0</v>
      </c>
      <c r="K1464" s="1298">
        <f>VLOOKUP($B1464,dongia1,DG!$H$5,)</f>
        <v>0</v>
      </c>
      <c r="L1464" s="1298">
        <f t="shared" si="335"/>
        <v>0</v>
      </c>
      <c r="M1464" s="1298">
        <f t="shared" si="336"/>
        <v>0</v>
      </c>
      <c r="N1464" s="1298">
        <f t="shared" si="337"/>
        <v>0</v>
      </c>
      <c r="O1464" s="1298">
        <f t="shared" si="338"/>
        <v>0</v>
      </c>
      <c r="P1464" s="1499"/>
      <c r="Q1464" s="1300"/>
      <c r="R1464" s="1300"/>
      <c r="S1464" s="1300"/>
    </row>
    <row r="1465" spans="1:19" s="1081" customFormat="1" hidden="1" outlineLevel="1">
      <c r="A1465" s="1072" t="str">
        <f t="shared" si="339"/>
        <v/>
      </c>
      <c r="B1465" s="1421" t="s">
        <v>2026</v>
      </c>
      <c r="C1465" s="1302"/>
      <c r="D1465" s="1198">
        <f>VLOOKUP($B1465,dongia1,DG!$B$5,)</f>
        <v>0</v>
      </c>
      <c r="E1465" s="1243" t="str">
        <f>VLOOKUP($B1465,dongia1,DG!$C$5,)</f>
        <v>Kẹp hotline 2/0</v>
      </c>
      <c r="F1465" s="1198" t="str">
        <f>VLOOKUP($B1465,dongia1,DG!$D$5,)</f>
        <v>cái</v>
      </c>
      <c r="G1465" s="1508">
        <f>G1464</f>
        <v>0</v>
      </c>
      <c r="H1465" s="1298">
        <f>VLOOKUP($B1465,dongia1,DG!$F$5,)</f>
        <v>77000</v>
      </c>
      <c r="I1465" s="1298"/>
      <c r="J1465" s="1298">
        <f>VLOOKUP($B1465,dongia1,DG!$G$5,)</f>
        <v>0</v>
      </c>
      <c r="K1465" s="1298">
        <f>VLOOKUP($B1465,dongia1,DG!$H$5,)</f>
        <v>0</v>
      </c>
      <c r="L1465" s="1298">
        <f t="shared" si="335"/>
        <v>0</v>
      </c>
      <c r="M1465" s="1298">
        <f t="shared" si="336"/>
        <v>0</v>
      </c>
      <c r="N1465" s="1298">
        <f t="shared" si="337"/>
        <v>0</v>
      </c>
      <c r="O1465" s="1298">
        <f t="shared" si="338"/>
        <v>0</v>
      </c>
      <c r="P1465" s="1499"/>
      <c r="Q1465" s="1300"/>
      <c r="R1465" s="1300"/>
      <c r="S1465" s="1300"/>
    </row>
    <row r="1466" spans="1:19" s="1081" customFormat="1" hidden="1" outlineLevel="1">
      <c r="A1466" s="1072" t="str">
        <f>IF(G1466&lt;&gt;0,1,"")</f>
        <v/>
      </c>
      <c r="B1466" s="1421" t="s">
        <v>2144</v>
      </c>
      <c r="C1466" s="1302"/>
      <c r="D1466" s="1198">
        <f>VLOOKUP($B1466,dongia1,DG!$B$5,)</f>
        <v>0</v>
      </c>
      <c r="E1466" s="1243" t="str">
        <f>VLOOKUP($B1466,dongia1,DG!$C$5,)</f>
        <v>Nắp che đầu cực FCO</v>
      </c>
      <c r="F1466" s="1198" t="str">
        <f>VLOOKUP($B1466,dongia1,DG!$D$5,)</f>
        <v>cái</v>
      </c>
      <c r="G1466" s="1508">
        <f>+G1461*3</f>
        <v>0</v>
      </c>
      <c r="H1466" s="1298">
        <f>VLOOKUP($B1466,dongia1,DG!$F$5,)</f>
        <v>218200</v>
      </c>
      <c r="I1466" s="1298"/>
      <c r="J1466" s="1298">
        <f>VLOOKUP($B1466,dongia1,DG!$G$5,)</f>
        <v>0</v>
      </c>
      <c r="K1466" s="1298">
        <f>VLOOKUP($B1466,dongia1,DG!$H$5,)</f>
        <v>0</v>
      </c>
      <c r="L1466" s="1298">
        <f>H1466*G1466</f>
        <v>0</v>
      </c>
      <c r="M1466" s="1298">
        <f t="shared" si="336"/>
        <v>0</v>
      </c>
      <c r="N1466" s="1298">
        <f>J1466*G1466</f>
        <v>0</v>
      </c>
      <c r="O1466" s="1298">
        <f>K1466*G1466</f>
        <v>0</v>
      </c>
      <c r="P1466" s="1499"/>
      <c r="Q1466" s="1300"/>
      <c r="R1466" s="1300"/>
    </row>
    <row r="1467" spans="1:19" s="1081" customFormat="1" hidden="1" outlineLevel="1">
      <c r="A1467" s="1072" t="str">
        <f>IF(G1467&lt;&gt;0,1,"")</f>
        <v/>
      </c>
      <c r="B1467" s="1421" t="s">
        <v>2121</v>
      </c>
      <c r="C1467" s="1302"/>
      <c r="D1467" s="1198">
        <f>VLOOKUP($B1467,dongia1,DG!$B$5,)</f>
        <v>0</v>
      </c>
      <c r="E1467" s="1243" t="str">
        <f>VLOOKUP($B1467,dongia1,DG!$C$5,)</f>
        <v>Nắp che đầu cực LA</v>
      </c>
      <c r="F1467" s="1198" t="str">
        <f>VLOOKUP($B1467,dongia1,DG!$D$5,)</f>
        <v>cái</v>
      </c>
      <c r="G1467" s="1508">
        <f>+G1461*3</f>
        <v>0</v>
      </c>
      <c r="H1467" s="1298">
        <f>VLOOKUP($B1467,dongia1,DG!$F$5,)</f>
        <v>39100</v>
      </c>
      <c r="I1467" s="1298"/>
      <c r="J1467" s="1298">
        <f>VLOOKUP($B1467,dongia1,DG!$G$5,)</f>
        <v>0</v>
      </c>
      <c r="K1467" s="1298">
        <f>VLOOKUP($B1467,dongia1,DG!$H$5,)</f>
        <v>0</v>
      </c>
      <c r="L1467" s="1298">
        <f>H1467*G1467</f>
        <v>0</v>
      </c>
      <c r="M1467" s="1298">
        <f t="shared" si="336"/>
        <v>0</v>
      </c>
      <c r="N1467" s="1298">
        <f>J1467*G1467</f>
        <v>0</v>
      </c>
      <c r="O1467" s="1298">
        <f>K1467*G1467</f>
        <v>0</v>
      </c>
      <c r="P1467" s="1499"/>
      <c r="Q1467" s="1300"/>
    </row>
    <row r="1468" spans="1:19" s="1081" customFormat="1" hidden="1" outlineLevel="1">
      <c r="A1468" s="1072" t="str">
        <f>IF(G1468&lt;&gt;0,1,"")</f>
        <v/>
      </c>
      <c r="B1468" s="1421" t="s">
        <v>2123</v>
      </c>
      <c r="C1468" s="1302"/>
      <c r="D1468" s="1198">
        <f>VLOOKUP($B1468,dongia1,DG!$B$5,)</f>
        <v>0</v>
      </c>
      <c r="E1468" s="1243" t="str">
        <f>VLOOKUP($B1468,dongia1,DG!$C$5,)</f>
        <v>Nắp che đầu sứ MBA</v>
      </c>
      <c r="F1468" s="1198" t="str">
        <f>VLOOKUP($B1468,dongia1,DG!$D$5,)</f>
        <v>cái</v>
      </c>
      <c r="G1468" s="1508">
        <f>+G1461*3</f>
        <v>0</v>
      </c>
      <c r="H1468" s="1298">
        <f>VLOOKUP($B1468,dongia1,DG!$F$5,)</f>
        <v>56700</v>
      </c>
      <c r="I1468" s="1298"/>
      <c r="J1468" s="1298">
        <f>VLOOKUP($B1468,dongia1,DG!$G$5,)</f>
        <v>0</v>
      </c>
      <c r="K1468" s="1298">
        <f>VLOOKUP($B1468,dongia1,DG!$H$5,)</f>
        <v>0</v>
      </c>
      <c r="L1468" s="1298">
        <f>H1468*G1468</f>
        <v>0</v>
      </c>
      <c r="M1468" s="1298">
        <f t="shared" si="336"/>
        <v>0</v>
      </c>
      <c r="N1468" s="1298">
        <f>J1468*G1468</f>
        <v>0</v>
      </c>
      <c r="O1468" s="1298">
        <f>K1468*G1468</f>
        <v>0</v>
      </c>
      <c r="P1468" s="1499"/>
      <c r="Q1468" s="1300"/>
    </row>
    <row r="1469" spans="1:19" s="1081" customFormat="1" hidden="1" outlineLevel="1">
      <c r="A1469" s="1072" t="str">
        <f>IF(G1469&lt;&gt;0,1,"")</f>
        <v/>
      </c>
      <c r="B1469" s="1421" t="s">
        <v>4501</v>
      </c>
      <c r="C1469" s="1302"/>
      <c r="D1469" s="1198">
        <f>VLOOKUP($B1469,dongia1,DG!$B$5,)</f>
        <v>0</v>
      </c>
      <c r="E1469" s="1243" t="str">
        <f>VLOOKUP($B1469,dongia1,DG!$C$5,)</f>
        <v>Chụp cách điện kẹp quai</v>
      </c>
      <c r="F1469" s="1198" t="str">
        <f>VLOOKUP($B1469,dongia1,DG!$D$5,)</f>
        <v>Cái</v>
      </c>
      <c r="G1469" s="1508">
        <f>G1464</f>
        <v>0</v>
      </c>
      <c r="H1469" s="1298">
        <f>VLOOKUP($B1469,dongia1,DG!$F$5,)</f>
        <v>136800</v>
      </c>
      <c r="I1469" s="1298"/>
      <c r="J1469" s="1298">
        <f>VLOOKUP($B1469,dongia1,DG!$G$5,)</f>
        <v>0</v>
      </c>
      <c r="K1469" s="1298">
        <f>VLOOKUP($B1469,dongia1,DG!$H$5,)</f>
        <v>0</v>
      </c>
      <c r="L1469" s="1298">
        <f>H1469*G1469</f>
        <v>0</v>
      </c>
      <c r="M1469" s="1298">
        <f>I1469*G1469</f>
        <v>0</v>
      </c>
      <c r="N1469" s="1298">
        <f>J1469*G1469</f>
        <v>0</v>
      </c>
      <c r="O1469" s="1298">
        <f>K1469*G1469</f>
        <v>0</v>
      </c>
      <c r="P1469" s="1499"/>
      <c r="Q1469" s="1300"/>
    </row>
    <row r="1470" spans="1:19" s="1081" customFormat="1" hidden="1" outlineLevel="1">
      <c r="A1470" s="1072" t="str">
        <f t="shared" si="339"/>
        <v/>
      </c>
      <c r="B1470" s="1068" t="s">
        <v>647</v>
      </c>
      <c r="C1470" s="1437"/>
      <c r="D1470" s="1198">
        <f>VLOOKUP($B1470,dongia1,DG!$B$5,)</f>
        <v>0</v>
      </c>
      <c r="E1470" s="1243" t="str">
        <f>VLOOKUP($B1470,dongia1,DG!$C$5,)</f>
        <v xml:space="preserve">Sứ đứng 24KV </v>
      </c>
      <c r="F1470" s="1198" t="str">
        <f>VLOOKUP($B1470,dongia1,DG!$D$5,)</f>
        <v>cái</v>
      </c>
      <c r="G1470" s="1508">
        <f>G1461*3</f>
        <v>0</v>
      </c>
      <c r="H1470" s="1298">
        <f>VLOOKUP($B1470,dongia1,DG!$F$5,)</f>
        <v>205000</v>
      </c>
      <c r="I1470" s="1298"/>
      <c r="J1470" s="1298">
        <f>VLOOKUP($B1470,dongia1,DG!$G$5,)</f>
        <v>0</v>
      </c>
      <c r="K1470" s="1298">
        <f>VLOOKUP($B1470,dongia1,DG!$H$5,)</f>
        <v>0</v>
      </c>
      <c r="L1470" s="1298">
        <f t="shared" si="335"/>
        <v>0</v>
      </c>
      <c r="M1470" s="1298">
        <f t="shared" si="336"/>
        <v>0</v>
      </c>
      <c r="N1470" s="1298">
        <f t="shared" si="337"/>
        <v>0</v>
      </c>
      <c r="O1470" s="1298">
        <f t="shared" si="338"/>
        <v>0</v>
      </c>
      <c r="P1470" s="1499"/>
      <c r="Q1470" s="1300"/>
      <c r="R1470" s="1300"/>
      <c r="S1470" s="1300"/>
    </row>
    <row r="1471" spans="1:19" s="1081" customFormat="1" hidden="1" outlineLevel="1">
      <c r="A1471" s="1072" t="str">
        <f t="shared" si="339"/>
        <v/>
      </c>
      <c r="B1471" s="1068" t="s">
        <v>414</v>
      </c>
      <c r="C1471" s="1302"/>
      <c r="D1471" s="1198">
        <f>VLOOKUP($B1471,dongia1,DG!$B$5,)</f>
        <v>0</v>
      </c>
      <c r="E1471" s="1243" t="str">
        <f>VLOOKUP($B1471,dongia1,DG!$C$5,)</f>
        <v>Chân sứ đứng D20</v>
      </c>
      <c r="F1471" s="1198" t="str">
        <f>VLOOKUP($B1471,dongia1,DG!$D$5,)</f>
        <v>cái</v>
      </c>
      <c r="G1471" s="1508">
        <f>G1470</f>
        <v>0</v>
      </c>
      <c r="H1471" s="1298">
        <f>VLOOKUP($B1471,dongia1,DG!$F$5,)</f>
        <v>65000</v>
      </c>
      <c r="I1471" s="1298"/>
      <c r="J1471" s="1298">
        <f>VLOOKUP($B1471,dongia1,DG!$G$5,)</f>
        <v>0</v>
      </c>
      <c r="K1471" s="1298">
        <f>VLOOKUP($B1471,dongia1,DG!$H$5,)</f>
        <v>0</v>
      </c>
      <c r="L1471" s="1298">
        <f t="shared" si="335"/>
        <v>0</v>
      </c>
      <c r="M1471" s="1298">
        <f t="shared" si="336"/>
        <v>0</v>
      </c>
      <c r="N1471" s="1298">
        <f t="shared" si="337"/>
        <v>0</v>
      </c>
      <c r="O1471" s="1298">
        <f t="shared" si="338"/>
        <v>0</v>
      </c>
      <c r="P1471" s="1499"/>
      <c r="Q1471" s="1300"/>
      <c r="R1471" s="1300"/>
      <c r="S1471" s="1300"/>
    </row>
    <row r="1472" spans="1:19" s="1081" customFormat="1" hidden="1" outlineLevel="1">
      <c r="A1472" s="1072" t="str">
        <f t="shared" si="339"/>
        <v/>
      </c>
      <c r="B1472" s="1068" t="s">
        <v>742</v>
      </c>
      <c r="C1472" s="1302"/>
      <c r="D1472" s="1198" t="str">
        <f>VLOOKUP($B1472,dongia1,DG!$B$5,)</f>
        <v>D3.1115</v>
      </c>
      <c r="E1472" s="1243" t="str">
        <f>VLOOKUP($B1472,dongia1,DG!$C$5,)</f>
        <v>Lắp sứ đứng 24KV</v>
      </c>
      <c r="F1472" s="1198" t="str">
        <f>VLOOKUP($B1472,dongia1,DG!$D$5,)</f>
        <v>bộ</v>
      </c>
      <c r="G1472" s="1508">
        <f>G1471</f>
        <v>0</v>
      </c>
      <c r="H1472" s="1298">
        <f>VLOOKUP($B1472,dongia1,DG!$F$5,)</f>
        <v>510</v>
      </c>
      <c r="I1472" s="1298"/>
      <c r="J1472" s="1298">
        <f>VLOOKUP($B1472,dongia1,DG!$G$5,)</f>
        <v>58277.49</v>
      </c>
      <c r="K1472" s="1298">
        <f>VLOOKUP($B1472,dongia1,DG!$H$5,)</f>
        <v>0</v>
      </c>
      <c r="L1472" s="1298">
        <f>H1472*G1472</f>
        <v>0</v>
      </c>
      <c r="M1472" s="1298">
        <f t="shared" si="336"/>
        <v>0</v>
      </c>
      <c r="N1472" s="1298">
        <f>J1472*G1472</f>
        <v>0</v>
      </c>
      <c r="O1472" s="1298">
        <f>K1472*G1472</f>
        <v>0</v>
      </c>
      <c r="P1472" s="1499"/>
      <c r="Q1472" s="1300"/>
      <c r="R1472" s="1300"/>
      <c r="S1472" s="1300"/>
    </row>
    <row r="1473" spans="1:19" s="1081" customFormat="1" hidden="1" outlineLevel="1">
      <c r="A1473" s="1072" t="str">
        <f t="shared" si="339"/>
        <v/>
      </c>
      <c r="B1473" s="1068" t="s">
        <v>224</v>
      </c>
      <c r="C1473" s="1302"/>
      <c r="D1473" s="1198" t="str">
        <f>VLOOKUP($B1473,dongia1,DG!$B$5,)</f>
        <v>T4.4201</v>
      </c>
      <c r="E1473" s="1243" t="str">
        <f>VLOOKUP($B1473,dongia1,DG!$C$5,)</f>
        <v>Lắp cáp đồng xuống thiết bị D ≤ 95mm2</v>
      </c>
      <c r="F1473" s="1198" t="str">
        <f>VLOOKUP($B1473,dongia1,DG!$D$5,)</f>
        <v>m</v>
      </c>
      <c r="G1473" s="1508">
        <f>G1463</f>
        <v>0</v>
      </c>
      <c r="H1473" s="1298"/>
      <c r="I1473" s="1298"/>
      <c r="J1473" s="1298">
        <f>VLOOKUP($B1473,dongia1,DG!$G$5,)</f>
        <v>13915</v>
      </c>
      <c r="K1473" s="1298"/>
      <c r="L1473" s="1298">
        <f t="shared" si="335"/>
        <v>0</v>
      </c>
      <c r="M1473" s="1298">
        <f t="shared" si="336"/>
        <v>0</v>
      </c>
      <c r="N1473" s="1298">
        <f t="shared" si="337"/>
        <v>0</v>
      </c>
      <c r="O1473" s="1298">
        <f t="shared" si="338"/>
        <v>0</v>
      </c>
      <c r="P1473" s="1499"/>
      <c r="Q1473" s="1300"/>
      <c r="R1473" s="1300"/>
      <c r="S1473" s="1300"/>
    </row>
    <row r="1474" spans="1:19" s="1081" customFormat="1" hidden="1" outlineLevel="1">
      <c r="A1474" s="1072" t="str">
        <f t="shared" si="339"/>
        <v/>
      </c>
      <c r="B1474" s="1295"/>
      <c r="C1474" s="1291">
        <f>IF(G1474&gt;0,C1461+1,C1461)</f>
        <v>0</v>
      </c>
      <c r="D1474" s="1292"/>
      <c r="E1474" s="1293" t="s">
        <v>3434</v>
      </c>
      <c r="F1474" s="1291" t="s">
        <v>2113</v>
      </c>
      <c r="G1474" s="1297">
        <f>G1389*0</f>
        <v>0</v>
      </c>
      <c r="H1474" s="1298"/>
      <c r="I1474" s="1298"/>
      <c r="J1474" s="1298"/>
      <c r="K1474" s="1298"/>
      <c r="L1474" s="1298"/>
      <c r="M1474" s="1298"/>
      <c r="N1474" s="1298"/>
      <c r="O1474" s="1298"/>
      <c r="P1474" s="1299"/>
      <c r="Q1474" s="1300"/>
      <c r="R1474" s="1300"/>
      <c r="S1474" s="1300"/>
    </row>
    <row r="1475" spans="1:19" s="1081" customFormat="1" ht="14.4" hidden="1" outlineLevel="1">
      <c r="A1475" s="1072" t="str">
        <f>A1474</f>
        <v/>
      </c>
      <c r="B1475" s="1295"/>
      <c r="C1475" s="1291"/>
      <c r="D1475" s="1292"/>
      <c r="E1475" s="1308" t="s">
        <v>3399</v>
      </c>
      <c r="F1475" s="1291"/>
      <c r="G1475" s="1297"/>
      <c r="H1475" s="1298"/>
      <c r="I1475" s="1298"/>
      <c r="J1475" s="1298"/>
      <c r="K1475" s="1298"/>
      <c r="L1475" s="1298"/>
      <c r="M1475" s="1298"/>
      <c r="N1475" s="1298"/>
      <c r="O1475" s="1298"/>
      <c r="P1475" s="1299"/>
      <c r="Q1475" s="1300"/>
      <c r="R1475" s="1300"/>
      <c r="S1475" s="1300"/>
    </row>
    <row r="1476" spans="1:19" s="1081" customFormat="1" hidden="1" outlineLevel="1">
      <c r="A1476" s="1072" t="str">
        <f t="shared" ref="A1476:A1484" si="340">IF(G1476&lt;&gt;0,1,"")</f>
        <v/>
      </c>
      <c r="B1476" s="1295" t="s">
        <v>595</v>
      </c>
      <c r="C1476" s="1302"/>
      <c r="D1476" s="1198">
        <f>VLOOKUP($B1476,dongia1,DG!$B$5,)</f>
        <v>0</v>
      </c>
      <c r="E1476" s="1243" t="str">
        <f>VLOOKUP($B1476,dongia1,DG!$C$5,)</f>
        <v xml:space="preserve">Ống PVC D90x3,8mm </v>
      </c>
      <c r="F1476" s="1198" t="str">
        <f>VLOOKUP($B1476,dongia1,DG!$D$5,)</f>
        <v>m</v>
      </c>
      <c r="G1476" s="1303">
        <f>G1474*2*0</f>
        <v>0</v>
      </c>
      <c r="H1476" s="1298">
        <f>VLOOKUP($B1476,dongia1,DG!$F$5,)</f>
        <v>63200</v>
      </c>
      <c r="I1476" s="1298"/>
      <c r="J1476" s="1298">
        <f>VLOOKUP($B1476,dongia1,DG!$G$5,)</f>
        <v>0</v>
      </c>
      <c r="K1476" s="1298">
        <f>VLOOKUP($B1476,dongia1,DG!$H$5,)</f>
        <v>0</v>
      </c>
      <c r="L1476" s="1298">
        <f t="shared" ref="L1476:L1483" si="341">H1476*G1476</f>
        <v>0</v>
      </c>
      <c r="M1476" s="1298">
        <f>I1476*G1476</f>
        <v>0</v>
      </c>
      <c r="N1476" s="1298">
        <f>J1476*G1476</f>
        <v>0</v>
      </c>
      <c r="O1476" s="1298">
        <f t="shared" ref="O1476:O1483" si="342">K1476*G1476</f>
        <v>0</v>
      </c>
      <c r="P1476" s="1299"/>
      <c r="Q1476" s="1300"/>
      <c r="R1476" s="1300"/>
      <c r="S1476" s="1300"/>
    </row>
    <row r="1477" spans="1:19" s="1081" customFormat="1" hidden="1" outlineLevel="1">
      <c r="A1477" s="1072" t="str">
        <f t="shared" si="340"/>
        <v/>
      </c>
      <c r="B1477" s="1295" t="s">
        <v>561</v>
      </c>
      <c r="C1477" s="1302"/>
      <c r="D1477" s="1198">
        <f>VLOOKUP($B1477,dongia1,DG!$B$5,)</f>
        <v>0</v>
      </c>
      <c r="E1477" s="1243" t="str">
        <f>VLOOKUP($B1477,dongia1,DG!$C$5,)</f>
        <v>Co  90 độ PVC 90 (loại dày)</v>
      </c>
      <c r="F1477" s="1198" t="str">
        <f>VLOOKUP($B1477,dongia1,DG!$D$5,)</f>
        <v>cái</v>
      </c>
      <c r="G1477" s="1303">
        <f>G1474*2</f>
        <v>0</v>
      </c>
      <c r="H1477" s="1298">
        <f>VLOOKUP($B1477,dongia1,DG!$F$5,)</f>
        <v>45400</v>
      </c>
      <c r="I1477" s="1298"/>
      <c r="J1477" s="1298">
        <f>VLOOKUP($B1477,dongia1,DG!$G$5,)</f>
        <v>0</v>
      </c>
      <c r="K1477" s="1298">
        <f>VLOOKUP($B1477,dongia1,DG!$H$5,)</f>
        <v>0</v>
      </c>
      <c r="L1477" s="1298">
        <f t="shared" si="341"/>
        <v>0</v>
      </c>
      <c r="M1477" s="1298">
        <f>I1477*G1477</f>
        <v>0</v>
      </c>
      <c r="N1477" s="1298">
        <f>J1477*G1477</f>
        <v>0</v>
      </c>
      <c r="O1477" s="1298">
        <f t="shared" si="342"/>
        <v>0</v>
      </c>
      <c r="P1477" s="1299"/>
      <c r="Q1477" s="1300"/>
      <c r="R1477" s="1300"/>
      <c r="S1477" s="1300"/>
    </row>
    <row r="1478" spans="1:19" s="1081" customFormat="1" hidden="1" outlineLevel="1">
      <c r="A1478" s="1072" t="str">
        <f t="shared" si="340"/>
        <v/>
      </c>
      <c r="B1478" s="1245" t="s">
        <v>591</v>
      </c>
      <c r="C1478" s="1302"/>
      <c r="D1478" s="1198">
        <f>VLOOKUP($B1478,dongia1,DG!$B$5,)</f>
        <v>0</v>
      </c>
      <c r="E1478" s="1243" t="str">
        <f>VLOOKUP($B1478,dongia1,DG!$C$5,)&amp;": 1 Bộ"</f>
        <v>Cổ dê kẹp ống PVC Þ 90: 1 Bộ</v>
      </c>
      <c r="F1478" s="1198" t="str">
        <f>VLOOKUP($B1478,dongia1,DG!$D$5,)</f>
        <v>bộ</v>
      </c>
      <c r="G1478" s="1304">
        <f>G1474*1.21</f>
        <v>0</v>
      </c>
      <c r="H1478" s="1298">
        <f>VLOOKUP($B1478,dongia1,DG!$F$5,)</f>
        <v>49000</v>
      </c>
      <c r="I1478" s="1298"/>
      <c r="J1478" s="1298">
        <f>VLOOKUP($B1478,dongia1,DG!$G$5,)</f>
        <v>0</v>
      </c>
      <c r="K1478" s="1298">
        <f>VLOOKUP($B1478,dongia1,DG!$H$5,)</f>
        <v>0</v>
      </c>
      <c r="L1478" s="1298">
        <f t="shared" si="341"/>
        <v>0</v>
      </c>
      <c r="M1478" s="1298"/>
      <c r="N1478" s="1298">
        <f>J1478*G1478/1</f>
        <v>0</v>
      </c>
      <c r="O1478" s="1298">
        <f t="shared" si="342"/>
        <v>0</v>
      </c>
      <c r="P1478" s="1299"/>
      <c r="Q1478" s="1300"/>
      <c r="R1478" s="1300"/>
      <c r="S1478" s="1300"/>
    </row>
    <row r="1479" spans="1:19" s="1081" customFormat="1" hidden="1" outlineLevel="1">
      <c r="A1479" s="1072" t="str">
        <f t="shared" si="340"/>
        <v/>
      </c>
      <c r="B1479" s="1245" t="s">
        <v>561</v>
      </c>
      <c r="C1479" s="1302"/>
      <c r="D1479" s="1198">
        <f>VLOOKUP($B1479,dongia1,DG!$B$5,)</f>
        <v>0</v>
      </c>
      <c r="E1479" s="1243" t="str">
        <f>VLOOKUP($B1479,dongia1,DG!$C$5,)</f>
        <v>Co  90 độ PVC 90 (loại dày)</v>
      </c>
      <c r="F1479" s="1198" t="str">
        <f>VLOOKUP($B1479,dongia1,DG!$D$5,)</f>
        <v>cái</v>
      </c>
      <c r="G1479" s="1303">
        <f>G1474*3</f>
        <v>0</v>
      </c>
      <c r="H1479" s="1298">
        <f>VLOOKUP($B1479,dongia1,DG!$F$5,)</f>
        <v>45400</v>
      </c>
      <c r="I1479" s="1298"/>
      <c r="J1479" s="1298">
        <f>VLOOKUP($B1479,dongia1,DG!$G$5,)</f>
        <v>0</v>
      </c>
      <c r="K1479" s="1298">
        <f>VLOOKUP($B1479,dongia1,DG!$H$5,)</f>
        <v>0</v>
      </c>
      <c r="L1479" s="1298">
        <f t="shared" si="341"/>
        <v>0</v>
      </c>
      <c r="M1479" s="1298"/>
      <c r="N1479" s="1298">
        <f>J1479*G1479</f>
        <v>0</v>
      </c>
      <c r="O1479" s="1298">
        <f t="shared" si="342"/>
        <v>0</v>
      </c>
      <c r="P1479" s="1299"/>
      <c r="Q1479" s="1300"/>
      <c r="R1479" s="1300"/>
      <c r="S1479" s="1300"/>
    </row>
    <row r="1480" spans="1:19" s="1081" customFormat="1" hidden="1" outlineLevel="1">
      <c r="A1480" s="1072" t="str">
        <f t="shared" si="340"/>
        <v/>
      </c>
      <c r="B1480" s="1245" t="s">
        <v>1998</v>
      </c>
      <c r="C1480" s="1302"/>
      <c r="D1480" s="1198">
        <f>VLOOKUP($B1480,dongia1,DG!$B$5,)</f>
        <v>0</v>
      </c>
      <c r="E1480" s="1243" t="str">
        <f>VLOOKUP($B1480,dongia1,DG!$C$5,)</f>
        <v>Boulon 12x40+ 2 long đền vuông D14-50x50x3/Zn</v>
      </c>
      <c r="F1480" s="1198" t="str">
        <f>VLOOKUP($B1480,dongia1,DG!$D$5,)</f>
        <v>bộ</v>
      </c>
      <c r="G1480" s="1303">
        <f>G1474*2*0</f>
        <v>0</v>
      </c>
      <c r="H1480" s="1298">
        <f>VLOOKUP($B1480,dongia1,DG!$F$5,)</f>
        <v>8500</v>
      </c>
      <c r="I1480" s="1298"/>
      <c r="J1480" s="1298">
        <f>VLOOKUP($B1480,dongia1,DG!$G$5,)</f>
        <v>0</v>
      </c>
      <c r="K1480" s="1298">
        <f>VLOOKUP($B1480,dongia1,DG!$H$5,)</f>
        <v>0</v>
      </c>
      <c r="L1480" s="1298">
        <f t="shared" si="341"/>
        <v>0</v>
      </c>
      <c r="M1480" s="1298"/>
      <c r="N1480" s="1298">
        <f>J1480*G1480</f>
        <v>0</v>
      </c>
      <c r="O1480" s="1298">
        <f t="shared" si="342"/>
        <v>0</v>
      </c>
      <c r="P1480" s="1299"/>
      <c r="Q1480" s="1300"/>
      <c r="R1480" s="1300"/>
      <c r="S1480" s="1300"/>
    </row>
    <row r="1481" spans="1:19" s="1081" customFormat="1" hidden="1" outlineLevel="1">
      <c r="A1481" s="1072" t="str">
        <f t="shared" si="340"/>
        <v/>
      </c>
      <c r="B1481" s="1245" t="s">
        <v>1370</v>
      </c>
      <c r="C1481" s="1302"/>
      <c r="D1481" s="1198">
        <f>VLOOKUP($B1481,dongia1,DG!$B$5,)</f>
        <v>0</v>
      </c>
      <c r="E1481" s="1243" t="str">
        <f>VLOOKUP($B1481,dongia1,DG!$C$5,)</f>
        <v>Boulon 12x60+ 2 long đền vuông D14-50x50x3/Zn</v>
      </c>
      <c r="F1481" s="1198" t="str">
        <f>VLOOKUP($B1481,dongia1,DG!$D$5,)</f>
        <v>bộ</v>
      </c>
      <c r="G1481" s="1303">
        <f>G1480*0</f>
        <v>0</v>
      </c>
      <c r="H1481" s="1298">
        <f>VLOOKUP($B1481,dongia1,DG!$F$5,)</f>
        <v>9000</v>
      </c>
      <c r="I1481" s="1298"/>
      <c r="J1481" s="1298">
        <f>VLOOKUP($B1481,dongia1,DG!$G$5,)</f>
        <v>0</v>
      </c>
      <c r="K1481" s="1298">
        <f>VLOOKUP($B1481,dongia1,DG!$H$5,)</f>
        <v>0</v>
      </c>
      <c r="L1481" s="1298">
        <f t="shared" si="341"/>
        <v>0</v>
      </c>
      <c r="M1481" s="1298"/>
      <c r="N1481" s="1298">
        <f>J1481*G1481</f>
        <v>0</v>
      </c>
      <c r="O1481" s="1298">
        <f t="shared" si="342"/>
        <v>0</v>
      </c>
      <c r="P1481" s="1299"/>
      <c r="Q1481" s="1300"/>
      <c r="R1481" s="1300"/>
      <c r="S1481" s="1300"/>
    </row>
    <row r="1482" spans="1:19" s="1081" customFormat="1" hidden="1" outlineLevel="1">
      <c r="A1482" s="1072" t="str">
        <f t="shared" si="340"/>
        <v/>
      </c>
      <c r="B1482" s="1295" t="s">
        <v>705</v>
      </c>
      <c r="C1482" s="1302"/>
      <c r="D1482" s="1198">
        <f>VLOOKUP($B1482,dongia1,DG!$B$5,)</f>
        <v>0</v>
      </c>
      <c r="E1482" s="1243" t="str">
        <f>VLOOKUP($B1482,dongia1,DG!$C$5,)</f>
        <v>Khâu ven răng trong D90</v>
      </c>
      <c r="F1482" s="1198" t="str">
        <f>VLOOKUP($B1482,dongia1,DG!$D$5,)</f>
        <v>cái</v>
      </c>
      <c r="G1482" s="1303">
        <f>G1474*2</f>
        <v>0</v>
      </c>
      <c r="H1482" s="1298">
        <f>VLOOKUP($B1482,dongia1,DG!$F$5,)</f>
        <v>25800</v>
      </c>
      <c r="I1482" s="1298"/>
      <c r="J1482" s="1298">
        <f>VLOOKUP($B1482,dongia1,DG!$G$5,)</f>
        <v>0</v>
      </c>
      <c r="K1482" s="1298">
        <f>VLOOKUP($B1482,dongia1,DG!$H$5,)</f>
        <v>0</v>
      </c>
      <c r="L1482" s="1298">
        <f t="shared" si="341"/>
        <v>0</v>
      </c>
      <c r="M1482" s="1298">
        <f>I1482*G1482</f>
        <v>0</v>
      </c>
      <c r="N1482" s="1298">
        <f>J1482*G1482</f>
        <v>0</v>
      </c>
      <c r="O1482" s="1298">
        <f t="shared" si="342"/>
        <v>0</v>
      </c>
      <c r="P1482" s="1299"/>
      <c r="Q1482" s="1300"/>
      <c r="R1482" s="1300"/>
      <c r="S1482" s="1300"/>
    </row>
    <row r="1483" spans="1:19" s="1081" customFormat="1" hidden="1" outlineLevel="1">
      <c r="A1483" s="1072" t="str">
        <f t="shared" si="340"/>
        <v/>
      </c>
      <c r="B1483" s="1295" t="s">
        <v>704</v>
      </c>
      <c r="C1483" s="1302"/>
      <c r="D1483" s="1198">
        <f>VLOOKUP($B1483,dongia1,DG!$B$5,)</f>
        <v>0</v>
      </c>
      <c r="E1483" s="1243" t="str">
        <f>VLOOKUP($B1483,dongia1,DG!$C$5,)</f>
        <v>Khâu ven răng ngoài D90</v>
      </c>
      <c r="F1483" s="1198" t="str">
        <f>VLOOKUP($B1483,dongia1,DG!$D$5,)</f>
        <v>cái</v>
      </c>
      <c r="G1483" s="1303">
        <f>G1482</f>
        <v>0</v>
      </c>
      <c r="H1483" s="1298">
        <f>VLOOKUP($B1483,dongia1,DG!$F$5,)</f>
        <v>21500</v>
      </c>
      <c r="I1483" s="1298"/>
      <c r="J1483" s="1298">
        <f>VLOOKUP($B1483,dongia1,DG!$G$5,)</f>
        <v>0</v>
      </c>
      <c r="K1483" s="1298">
        <f>VLOOKUP($B1483,dongia1,DG!$H$5,)</f>
        <v>0</v>
      </c>
      <c r="L1483" s="1298">
        <f t="shared" si="341"/>
        <v>0</v>
      </c>
      <c r="M1483" s="1298">
        <f>I1483*G1483</f>
        <v>0</v>
      </c>
      <c r="N1483" s="1298">
        <f>J1483*G1483</f>
        <v>0</v>
      </c>
      <c r="O1483" s="1298">
        <f t="shared" si="342"/>
        <v>0</v>
      </c>
      <c r="P1483" s="1299"/>
      <c r="Q1483" s="1300"/>
      <c r="R1483" s="1300"/>
      <c r="S1483" s="1300"/>
    </row>
    <row r="1484" spans="1:19" s="1081" customFormat="1" hidden="1" outlineLevel="1">
      <c r="A1484" s="1072" t="str">
        <f t="shared" si="340"/>
        <v/>
      </c>
      <c r="B1484" s="1068"/>
      <c r="C1484" s="1291">
        <f>IF(G1484&gt;0,C1474+1,C1474)</f>
        <v>0</v>
      </c>
      <c r="D1484" s="1292"/>
      <c r="E1484" s="1293" t="s">
        <v>3448</v>
      </c>
      <c r="F1484" s="1291" t="s">
        <v>2113</v>
      </c>
      <c r="G1484" s="1508">
        <f>G1449</f>
        <v>0</v>
      </c>
      <c r="H1484" s="1298"/>
      <c r="I1484" s="1298"/>
      <c r="J1484" s="1298"/>
      <c r="K1484" s="1298"/>
      <c r="L1484" s="1298"/>
      <c r="M1484" s="1298"/>
      <c r="N1484" s="1298"/>
      <c r="O1484" s="1298"/>
      <c r="P1484" s="1499"/>
      <c r="Q1484" s="1300"/>
      <c r="R1484" s="1300"/>
      <c r="S1484" s="1300"/>
    </row>
    <row r="1485" spans="1:19" s="1081" customFormat="1" ht="14.4" hidden="1" outlineLevel="1">
      <c r="A1485" s="1072" t="str">
        <f>A1484</f>
        <v/>
      </c>
      <c r="B1485" s="1068"/>
      <c r="C1485" s="1291"/>
      <c r="D1485" s="1292"/>
      <c r="E1485" s="1308" t="s">
        <v>3399</v>
      </c>
      <c r="F1485" s="1291"/>
      <c r="G1485" s="1508"/>
      <c r="H1485" s="1298"/>
      <c r="I1485" s="1298"/>
      <c r="J1485" s="1298"/>
      <c r="K1485" s="1298"/>
      <c r="L1485" s="1298"/>
      <c r="M1485" s="1298"/>
      <c r="N1485" s="1298"/>
      <c r="O1485" s="1298"/>
      <c r="P1485" s="1499"/>
      <c r="Q1485" s="1300"/>
      <c r="R1485" s="1300"/>
      <c r="S1485" s="1300"/>
    </row>
    <row r="1486" spans="1:19" s="1081" customFormat="1" hidden="1" outlineLevel="1">
      <c r="A1486" s="1072" t="str">
        <f t="shared" ref="A1486:A1504" si="343">IF(G1486&lt;&gt;0,1,"")</f>
        <v/>
      </c>
      <c r="B1486" s="1295" t="s">
        <v>1312</v>
      </c>
      <c r="C1486" s="1302"/>
      <c r="D1486" s="1198">
        <f>VLOOKUP($B1486,dongia1,DG!$B$5,)</f>
        <v>0</v>
      </c>
      <c r="E1486" s="1243" t="str">
        <f>VLOOKUP($B1486,dongia1,DG!$C$5,)</f>
        <v>Cáp đồng bọc CV120</v>
      </c>
      <c r="F1486" s="1198" t="str">
        <f>VLOOKUP($B1486,dongia1,DG!$D$5,)</f>
        <v>mét</v>
      </c>
      <c r="G1486" s="1508">
        <f>+G1484*7</f>
        <v>0</v>
      </c>
      <c r="H1486" s="1298">
        <f>VLOOKUP($B1486,dongia1,DG!$F$5,)</f>
        <v>236300</v>
      </c>
      <c r="I1486" s="1298"/>
      <c r="J1486" s="1298">
        <f>VLOOKUP($B1486,dongia1,DG!$G$5,)</f>
        <v>0</v>
      </c>
      <c r="K1486" s="1298">
        <f>VLOOKUP($B1486,dongia1,DG!$H$5,)</f>
        <v>0</v>
      </c>
      <c r="L1486" s="1298">
        <f t="shared" ref="L1486:L1503" si="344">H1486*G1486</f>
        <v>0</v>
      </c>
      <c r="M1486" s="1298">
        <f t="shared" ref="M1486:M1503" si="345">I1486*G1486</f>
        <v>0</v>
      </c>
      <c r="N1486" s="1298">
        <f t="shared" ref="N1486:N1503" si="346">J1486*G1486</f>
        <v>0</v>
      </c>
      <c r="O1486" s="1298">
        <f t="shared" ref="O1486:O1503" si="347">K1486*G1486</f>
        <v>0</v>
      </c>
      <c r="P1486" s="1499"/>
      <c r="Q1486" s="1300"/>
      <c r="R1486" s="1300"/>
      <c r="S1486" s="1300"/>
    </row>
    <row r="1487" spans="1:19" s="1081" customFormat="1" hidden="1" outlineLevel="1">
      <c r="A1487" s="1072" t="str">
        <f t="shared" si="343"/>
        <v/>
      </c>
      <c r="B1487" s="1295" t="s">
        <v>1279</v>
      </c>
      <c r="C1487" s="1302"/>
      <c r="D1487" s="1198">
        <f>VLOOKUP($B1487,dongia1,DG!$B$5,)</f>
        <v>0</v>
      </c>
      <c r="E1487" s="1243" t="str">
        <f>VLOOKUP($B1487,dongia1,DG!$C$5,)</f>
        <v>Cáp đồng bọc CV240</v>
      </c>
      <c r="F1487" s="1198" t="str">
        <f>VLOOKUP($B1487,dongia1,DG!$D$5,)</f>
        <v>mét</v>
      </c>
      <c r="G1487" s="1418">
        <f>+G1484*7*3</f>
        <v>0</v>
      </c>
      <c r="H1487" s="1298">
        <f>VLOOKUP($B1487,dongia1,DG!$F$5,)</f>
        <v>567100</v>
      </c>
      <c r="I1487" s="1298"/>
      <c r="J1487" s="1298">
        <f>VLOOKUP($B1487,dongia1,DG!$G$5,)</f>
        <v>0</v>
      </c>
      <c r="K1487" s="1298">
        <f>VLOOKUP($B1487,dongia1,DG!$H$5,)</f>
        <v>0</v>
      </c>
      <c r="L1487" s="1298">
        <f t="shared" si="344"/>
        <v>0</v>
      </c>
      <c r="M1487" s="1298">
        <f t="shared" si="345"/>
        <v>0</v>
      </c>
      <c r="N1487" s="1298">
        <f t="shared" si="346"/>
        <v>0</v>
      </c>
      <c r="O1487" s="1298">
        <f t="shared" si="347"/>
        <v>0</v>
      </c>
      <c r="P1487" s="1437"/>
      <c r="Q1487" s="1300"/>
      <c r="R1487" s="1300"/>
      <c r="S1487" s="1300"/>
    </row>
    <row r="1488" spans="1:19" s="1081" customFormat="1" hidden="1" outlineLevel="1">
      <c r="A1488" s="1072" t="str">
        <f>IF(G1488&lt;&gt;0,1,"")</f>
        <v/>
      </c>
      <c r="B1488" s="1295" t="s">
        <v>4804</v>
      </c>
      <c r="C1488" s="1302"/>
      <c r="D1488" s="1198">
        <f>VLOOKUP($B1488,dongia1,DG!$B$5,)</f>
        <v>0</v>
      </c>
      <c r="E1488" s="1243" t="str">
        <f>VLOOKUP($B1488,dongia1,DG!$C$5,)</f>
        <v xml:space="preserve">Cáp CVV 4x4mm2  </v>
      </c>
      <c r="F1488" s="1198" t="str">
        <f>VLOOKUP($B1488,dongia1,DG!$D$5,)</f>
        <v>mét</v>
      </c>
      <c r="G1488" s="1508">
        <f>+G1484*10/2</f>
        <v>0</v>
      </c>
      <c r="H1488" s="1298">
        <f>VLOOKUP($B1488,dongia1,DG!$F$5,)</f>
        <v>63200</v>
      </c>
      <c r="I1488" s="1298"/>
      <c r="J1488" s="1298">
        <f>VLOOKUP($B1488,dongia1,DG!$G$5,)</f>
        <v>0</v>
      </c>
      <c r="K1488" s="1298">
        <f>VLOOKUP($B1488,dongia1,DG!$H$5,)</f>
        <v>0</v>
      </c>
      <c r="L1488" s="1298">
        <f>H1488*G1488</f>
        <v>0</v>
      </c>
      <c r="M1488" s="1298">
        <f>I1488*G1488</f>
        <v>0</v>
      </c>
      <c r="N1488" s="1298">
        <f>J1488*G1488</f>
        <v>0</v>
      </c>
      <c r="O1488" s="1298">
        <f>K1488*G1488</f>
        <v>0</v>
      </c>
      <c r="P1488" s="1507"/>
      <c r="Q1488" s="1300"/>
      <c r="R1488" s="1300"/>
      <c r="S1488" s="1300"/>
    </row>
    <row r="1489" spans="1:19" s="1081" customFormat="1" hidden="1" outlineLevel="1">
      <c r="A1489" s="1072" t="str">
        <f t="shared" si="343"/>
        <v/>
      </c>
      <c r="B1489" s="1295" t="s">
        <v>683</v>
      </c>
      <c r="C1489" s="1302"/>
      <c r="D1489" s="1198" t="str">
        <f>VLOOKUP($B1489,dongia1,DG!$B$5,)</f>
        <v>D4.5008</v>
      </c>
      <c r="E1489" s="1243" t="str">
        <f>VLOOKUP($B1489,dongia1,DG!$C$5,)</f>
        <v>Đầu cosse ép Cu 240mm2</v>
      </c>
      <c r="F1489" s="1198" t="str">
        <f>VLOOKUP($B1489,dongia1,DG!$D$5,)</f>
        <v>cái</v>
      </c>
      <c r="G1489" s="1418">
        <f>G1484*3</f>
        <v>0</v>
      </c>
      <c r="H1489" s="1298">
        <f>VLOOKUP($B1489,dongia1,DG!$F$5,)</f>
        <v>70000</v>
      </c>
      <c r="I1489" s="1298"/>
      <c r="J1489" s="1298">
        <f>VLOOKUP($B1489,dongia1,DG!$G$5,)</f>
        <v>50013.645000000004</v>
      </c>
      <c r="K1489" s="1298">
        <f>VLOOKUP($B1489,dongia1,DG!$H$5,)</f>
        <v>5554.0464950000005</v>
      </c>
      <c r="L1489" s="1298">
        <f t="shared" si="344"/>
        <v>0</v>
      </c>
      <c r="M1489" s="1298">
        <f t="shared" si="345"/>
        <v>0</v>
      </c>
      <c r="N1489" s="1298">
        <f t="shared" si="346"/>
        <v>0</v>
      </c>
      <c r="O1489" s="1298">
        <f t="shared" si="347"/>
        <v>0</v>
      </c>
      <c r="P1489" s="1437"/>
      <c r="Q1489" s="1300"/>
      <c r="R1489" s="1300"/>
      <c r="S1489" s="1300"/>
    </row>
    <row r="1490" spans="1:19" s="1081" customFormat="1" hidden="1" outlineLevel="1">
      <c r="A1490" s="1072" t="str">
        <f t="shared" si="343"/>
        <v/>
      </c>
      <c r="B1490" s="1295" t="s">
        <v>2062</v>
      </c>
      <c r="C1490" s="1302"/>
      <c r="D1490" s="1198" t="str">
        <f>VLOOKUP($B1490,dongia1,DG!$B$5,)</f>
        <v>D4.5005</v>
      </c>
      <c r="E1490" s="1243" t="str">
        <f>VLOOKUP($B1490,dongia1,DG!$C$5,)</f>
        <v>Đầu cosse ép Cu 120mm2</v>
      </c>
      <c r="F1490" s="1198" t="str">
        <f>VLOOKUP($B1490,dongia1,DG!$D$5,)</f>
        <v>cái</v>
      </c>
      <c r="G1490" s="1508">
        <f>G1484*1</f>
        <v>0</v>
      </c>
      <c r="H1490" s="1298">
        <f>VLOOKUP($B1490,dongia1,DG!$F$5,)</f>
        <v>27000</v>
      </c>
      <c r="I1490" s="1298"/>
      <c r="J1490" s="1298">
        <f>VLOOKUP($B1490,dongia1,DG!$G$5,)</f>
        <v>27280.17</v>
      </c>
      <c r="K1490" s="1298">
        <f>VLOOKUP($B1490,dongia1,DG!$H$5,)</f>
        <v>3887.8325465000003</v>
      </c>
      <c r="L1490" s="1298">
        <f t="shared" si="344"/>
        <v>0</v>
      </c>
      <c r="M1490" s="1298">
        <f t="shared" si="345"/>
        <v>0</v>
      </c>
      <c r="N1490" s="1298">
        <f t="shared" si="346"/>
        <v>0</v>
      </c>
      <c r="O1490" s="1298">
        <f t="shared" si="347"/>
        <v>0</v>
      </c>
      <c r="P1490" s="1499"/>
      <c r="Q1490" s="1300"/>
      <c r="R1490" s="1300"/>
      <c r="S1490" s="1300"/>
    </row>
    <row r="1491" spans="1:19" s="1081" customFormat="1" hidden="1" outlineLevel="1">
      <c r="A1491" s="1072" t="str">
        <f t="shared" si="343"/>
        <v/>
      </c>
      <c r="B1491" s="1295" t="s">
        <v>474</v>
      </c>
      <c r="C1491" s="1302"/>
      <c r="D1491" s="1198">
        <f>VLOOKUP($B1491,dongia1,DG!$B$5,)</f>
        <v>0</v>
      </c>
      <c r="E1491" s="1243" t="str">
        <f>VLOOKUP($B1491,dongia1,DG!$C$5,)</f>
        <v>Chụp đầu cosse  240mm2</v>
      </c>
      <c r="F1491" s="1198" t="str">
        <f>VLOOKUP($B1491,dongia1,DG!$D$5,)</f>
        <v>cái</v>
      </c>
      <c r="G1491" s="1418">
        <f>G1489</f>
        <v>0</v>
      </c>
      <c r="H1491" s="1298">
        <f>VLOOKUP($B1491,dongia1,DG!$F$5,)</f>
        <v>6000</v>
      </c>
      <c r="I1491" s="1298"/>
      <c r="J1491" s="1298">
        <f>VLOOKUP($B1491,dongia1,DG!$G$5,)</f>
        <v>0</v>
      </c>
      <c r="K1491" s="1298">
        <f>VLOOKUP($B1491,dongia1,DG!$H$5,)</f>
        <v>0</v>
      </c>
      <c r="L1491" s="1298">
        <f t="shared" si="344"/>
        <v>0</v>
      </c>
      <c r="M1491" s="1298">
        <f t="shared" si="345"/>
        <v>0</v>
      </c>
      <c r="N1491" s="1298">
        <f t="shared" si="346"/>
        <v>0</v>
      </c>
      <c r="O1491" s="1298">
        <f t="shared" si="347"/>
        <v>0</v>
      </c>
      <c r="P1491" s="1437"/>
      <c r="Q1491" s="1300"/>
      <c r="R1491" s="1300"/>
      <c r="S1491" s="1300"/>
    </row>
    <row r="1492" spans="1:19" s="1081" customFormat="1" hidden="1" outlineLevel="1">
      <c r="A1492" s="1072" t="str">
        <f t="shared" si="343"/>
        <v/>
      </c>
      <c r="B1492" s="1295" t="s">
        <v>476</v>
      </c>
      <c r="C1492" s="1302"/>
      <c r="D1492" s="1198">
        <f>VLOOKUP($B1492,dongia1,DG!$B$5,)</f>
        <v>0</v>
      </c>
      <c r="E1492" s="1243" t="str">
        <f>VLOOKUP($B1492,dongia1,DG!$C$5,)</f>
        <v>Chụp đầu cosse  120mm2</v>
      </c>
      <c r="F1492" s="1198" t="str">
        <f>VLOOKUP($B1492,dongia1,DG!$D$5,)</f>
        <v>cái</v>
      </c>
      <c r="G1492" s="1508">
        <f>G1490</f>
        <v>0</v>
      </c>
      <c r="H1492" s="1298">
        <f>VLOOKUP($B1492,dongia1,DG!$F$5,)</f>
        <v>4000</v>
      </c>
      <c r="I1492" s="1298"/>
      <c r="J1492" s="1298">
        <f>VLOOKUP($B1492,dongia1,DG!$G$5,)</f>
        <v>0</v>
      </c>
      <c r="K1492" s="1298">
        <f>VLOOKUP($B1492,dongia1,DG!$H$5,)</f>
        <v>0</v>
      </c>
      <c r="L1492" s="1298">
        <f t="shared" si="344"/>
        <v>0</v>
      </c>
      <c r="M1492" s="1298">
        <f t="shared" si="345"/>
        <v>0</v>
      </c>
      <c r="N1492" s="1298">
        <f t="shared" si="346"/>
        <v>0</v>
      </c>
      <c r="O1492" s="1298">
        <f t="shared" si="347"/>
        <v>0</v>
      </c>
      <c r="P1492" s="1499"/>
      <c r="Q1492" s="1300"/>
      <c r="R1492" s="1300"/>
      <c r="S1492" s="1300"/>
    </row>
    <row r="1493" spans="1:19" s="1081" customFormat="1" hidden="1" outlineLevel="1">
      <c r="A1493" s="1072" t="str">
        <f t="shared" si="343"/>
        <v/>
      </c>
      <c r="B1493" s="1295" t="s">
        <v>961</v>
      </c>
      <c r="C1493" s="1302"/>
      <c r="D1493" s="1198">
        <f>VLOOKUP($B1493,dongia1,DG!$B$5,)</f>
        <v>0</v>
      </c>
      <c r="E1493" s="1243" t="str">
        <f>VLOOKUP($B1493,dongia1,DG!$C$5,)</f>
        <v xml:space="preserve">Ống PVC D114x4,9mm </v>
      </c>
      <c r="F1493" s="1198" t="str">
        <f>VLOOKUP($B1493,dongia1,DG!$D$5,)</f>
        <v>m</v>
      </c>
      <c r="G1493" s="1508">
        <f>G1484*6</f>
        <v>0</v>
      </c>
      <c r="H1493" s="1298">
        <f>VLOOKUP($B1493,dongia1,DG!$F$5,)</f>
        <v>103700</v>
      </c>
      <c r="I1493" s="1298"/>
      <c r="J1493" s="1298">
        <f>VLOOKUP($B1493,dongia1,DG!$G$5,)</f>
        <v>0</v>
      </c>
      <c r="K1493" s="1298">
        <f>VLOOKUP($B1493,dongia1,DG!$H$5,)</f>
        <v>0</v>
      </c>
      <c r="L1493" s="1298">
        <f t="shared" si="344"/>
        <v>0</v>
      </c>
      <c r="M1493" s="1298">
        <f t="shared" si="345"/>
        <v>0</v>
      </c>
      <c r="N1493" s="1298">
        <f t="shared" si="346"/>
        <v>0</v>
      </c>
      <c r="O1493" s="1298">
        <f t="shared" si="347"/>
        <v>0</v>
      </c>
      <c r="P1493" s="1499"/>
      <c r="Q1493" s="1300"/>
      <c r="R1493" s="1300"/>
      <c r="S1493" s="1300"/>
    </row>
    <row r="1494" spans="1:19" s="1081" customFormat="1" hidden="1" outlineLevel="1">
      <c r="A1494" s="1072" t="str">
        <f>IF(G1494&lt;&gt;0,1,"")</f>
        <v/>
      </c>
      <c r="B1494" s="1295" t="s">
        <v>4620</v>
      </c>
      <c r="C1494" s="1302"/>
      <c r="D1494" s="1198">
        <f>VLOOKUP($B1494,dongia1,DG!$B$5,)</f>
        <v>0</v>
      </c>
      <c r="E1494" s="1243" t="str">
        <f>VLOOKUP($B1494,dongia1,DG!$C$5,)</f>
        <v>Co  90 độ PVC 114</v>
      </c>
      <c r="F1494" s="1198" t="str">
        <f>VLOOKUP($B1494,dongia1,DG!$D$5,)</f>
        <v>cái</v>
      </c>
      <c r="G1494" s="1508">
        <f>G1484*3</f>
        <v>0</v>
      </c>
      <c r="H1494" s="1298">
        <f>VLOOKUP($B1494,dongia1,DG!$F$5,)</f>
        <v>104800</v>
      </c>
      <c r="I1494" s="1298"/>
      <c r="J1494" s="1298">
        <f>VLOOKUP($B1494,dongia1,DG!$G$5,)</f>
        <v>0</v>
      </c>
      <c r="K1494" s="1298">
        <f>VLOOKUP($B1494,dongia1,DG!$H$5,)</f>
        <v>0</v>
      </c>
      <c r="L1494" s="1298">
        <f>H1494*G1494</f>
        <v>0</v>
      </c>
      <c r="M1494" s="1298"/>
      <c r="N1494" s="1298">
        <f>J1494*G1494</f>
        <v>0</v>
      </c>
      <c r="O1494" s="1298">
        <f>K1494*G1494</f>
        <v>0</v>
      </c>
      <c r="P1494" s="1499"/>
      <c r="Q1494" s="1300"/>
      <c r="R1494" s="1300"/>
      <c r="S1494" s="1300"/>
    </row>
    <row r="1495" spans="1:19" s="1081" customFormat="1" hidden="1" outlineLevel="1">
      <c r="A1495" s="1072" t="str">
        <f>IF(G1495&lt;&gt;0,1,"")</f>
        <v/>
      </c>
      <c r="B1495" s="1295" t="s">
        <v>738</v>
      </c>
      <c r="C1495" s="1302"/>
      <c r="D1495" s="1198">
        <f>VLOOKUP($B1495,dongia1,DG!$B$5,)</f>
        <v>0</v>
      </c>
      <c r="E1495" s="1243" t="str">
        <f>VLOOKUP($B1495,dongia1,DG!$C$5,)</f>
        <v>Co  sừng 90 độ PVC 114</v>
      </c>
      <c r="F1495" s="1198" t="str">
        <f>VLOOKUP($B1495,dongia1,DG!$D$5,)</f>
        <v>cái</v>
      </c>
      <c r="G1495" s="1398"/>
      <c r="H1495" s="1298">
        <f>VLOOKUP($B1495,dongia1,DG!$F$5,)</f>
        <v>104800</v>
      </c>
      <c r="I1495" s="1298"/>
      <c r="J1495" s="1298">
        <f>VLOOKUP($B1495,dongia1,DG!$G$5,)</f>
        <v>0</v>
      </c>
      <c r="K1495" s="1298">
        <f>VLOOKUP($B1495,dongia1,DG!$H$5,)</f>
        <v>0</v>
      </c>
      <c r="L1495" s="1298">
        <f>H1495*G1495</f>
        <v>0</v>
      </c>
      <c r="M1495" s="1298"/>
      <c r="N1495" s="1298">
        <f>J1495*G1495</f>
        <v>0</v>
      </c>
      <c r="O1495" s="1298">
        <f>K1495*G1495</f>
        <v>0</v>
      </c>
      <c r="P1495" s="1499"/>
      <c r="Q1495" s="1300"/>
      <c r="R1495" s="1300"/>
      <c r="S1495" s="1300"/>
    </row>
    <row r="1496" spans="1:19" s="1081" customFormat="1" hidden="1" outlineLevel="1">
      <c r="A1496" s="1072" t="str">
        <f t="shared" si="343"/>
        <v/>
      </c>
      <c r="B1496" s="1068" t="s">
        <v>193</v>
      </c>
      <c r="C1496" s="1302"/>
      <c r="D1496" s="1198">
        <f>VLOOKUP($B1496,dongia1,DG!$B$5,)</f>
        <v>0</v>
      </c>
      <c r="E1496" s="1243" t="str">
        <f>VLOOKUP($B1496,dongia1,DG!$C$5,)</f>
        <v>Cổ dê kẹp ống PVC Þ 114</v>
      </c>
      <c r="F1496" s="1198" t="str">
        <f>VLOOKUP($B1496,dongia1,DG!$D$5,)</f>
        <v>bộ</v>
      </c>
      <c r="G1496" s="1508">
        <f>+G1484*2</f>
        <v>0</v>
      </c>
      <c r="H1496" s="1298">
        <f>VLOOKUP($B1496,dongia1,DG!$F$5,)</f>
        <v>50000</v>
      </c>
      <c r="I1496" s="1298"/>
      <c r="J1496" s="1298">
        <f>VLOOKUP($B1496,dongia1,DG!$G$5,)</f>
        <v>0</v>
      </c>
      <c r="K1496" s="1298">
        <f>VLOOKUP($B1496,dongia1,DG!$H$5,)</f>
        <v>0</v>
      </c>
      <c r="L1496" s="1298">
        <f t="shared" si="344"/>
        <v>0</v>
      </c>
      <c r="M1496" s="1298">
        <f t="shared" si="345"/>
        <v>0</v>
      </c>
      <c r="N1496" s="1298">
        <f t="shared" si="346"/>
        <v>0</v>
      </c>
      <c r="O1496" s="1298">
        <f t="shared" si="347"/>
        <v>0</v>
      </c>
      <c r="P1496" s="1499"/>
      <c r="Q1496" s="1474">
        <f>28000/1.259</f>
        <v>22239.872915011914</v>
      </c>
      <c r="R1496" s="1300"/>
      <c r="S1496" s="1300"/>
    </row>
    <row r="1497" spans="1:19" s="1081" customFormat="1" hidden="1" outlineLevel="1">
      <c r="A1497" s="1072" t="str">
        <f t="shared" si="343"/>
        <v/>
      </c>
      <c r="B1497" s="1295" t="s">
        <v>693</v>
      </c>
      <c r="C1497" s="1302"/>
      <c r="D1497" s="1198">
        <f>VLOOKUP($B1497,dongia1,DG!$B$5,)</f>
        <v>0</v>
      </c>
      <c r="E1497" s="1243" t="str">
        <f>VLOOKUP($B1497,dongia1,DG!$C$5,)</f>
        <v>Khâu ven răng trong D114</v>
      </c>
      <c r="F1497" s="1198" t="str">
        <f>VLOOKUP($B1497,dongia1,DG!$D$5,)</f>
        <v>cái</v>
      </c>
      <c r="G1497" s="1508">
        <f>G1484</f>
        <v>0</v>
      </c>
      <c r="H1497" s="1298">
        <f>VLOOKUP($B1497,dongia1,DG!$F$5,)</f>
        <v>41900</v>
      </c>
      <c r="I1497" s="1298"/>
      <c r="J1497" s="1298">
        <f>VLOOKUP($B1497,dongia1,DG!$G$5,)</f>
        <v>0</v>
      </c>
      <c r="K1497" s="1298">
        <f>VLOOKUP($B1497,dongia1,DG!$H$5,)</f>
        <v>0</v>
      </c>
      <c r="L1497" s="1298">
        <f t="shared" si="344"/>
        <v>0</v>
      </c>
      <c r="M1497" s="1298">
        <f t="shared" si="345"/>
        <v>0</v>
      </c>
      <c r="N1497" s="1298">
        <f t="shared" si="346"/>
        <v>0</v>
      </c>
      <c r="O1497" s="1298">
        <f t="shared" si="347"/>
        <v>0</v>
      </c>
      <c r="P1497" s="1499"/>
      <c r="Q1497" s="1300"/>
      <c r="R1497" s="1300"/>
      <c r="S1497" s="1300"/>
    </row>
    <row r="1498" spans="1:19" s="1081" customFormat="1" hidden="1" outlineLevel="1">
      <c r="A1498" s="1072" t="str">
        <f t="shared" si="343"/>
        <v/>
      </c>
      <c r="B1498" s="1295" t="s">
        <v>694</v>
      </c>
      <c r="C1498" s="1302"/>
      <c r="D1498" s="1198">
        <f>VLOOKUP($B1498,dongia1,DG!$B$5,)</f>
        <v>0</v>
      </c>
      <c r="E1498" s="1243" t="str">
        <f>VLOOKUP($B1498,dongia1,DG!$C$5,)</f>
        <v>Khâu ven răng ngoài D114</v>
      </c>
      <c r="F1498" s="1198" t="str">
        <f>VLOOKUP($B1498,dongia1,DG!$D$5,)</f>
        <v>cái</v>
      </c>
      <c r="G1498" s="1508">
        <f>G1484</f>
        <v>0</v>
      </c>
      <c r="H1498" s="1298">
        <f>VLOOKUP($B1498,dongia1,DG!$F$5,)</f>
        <v>41900</v>
      </c>
      <c r="I1498" s="1298"/>
      <c r="J1498" s="1298">
        <f>VLOOKUP($B1498,dongia1,DG!$G$5,)</f>
        <v>0</v>
      </c>
      <c r="K1498" s="1298">
        <f>VLOOKUP($B1498,dongia1,DG!$H$5,)</f>
        <v>0</v>
      </c>
      <c r="L1498" s="1298">
        <f t="shared" si="344"/>
        <v>0</v>
      </c>
      <c r="M1498" s="1298">
        <f t="shared" si="345"/>
        <v>0</v>
      </c>
      <c r="N1498" s="1298">
        <f t="shared" si="346"/>
        <v>0</v>
      </c>
      <c r="O1498" s="1298">
        <f t="shared" si="347"/>
        <v>0</v>
      </c>
      <c r="P1498" s="1499"/>
      <c r="Q1498" s="1300"/>
      <c r="R1498" s="1300"/>
      <c r="S1498" s="1300"/>
    </row>
    <row r="1499" spans="1:19" s="1081" customFormat="1" hidden="1" outlineLevel="1">
      <c r="A1499" s="1072" t="str">
        <f>IF(G1499&lt;&gt;0,1,"")</f>
        <v/>
      </c>
      <c r="B1499" s="1066" t="s">
        <v>1283</v>
      </c>
      <c r="C1499" s="1302"/>
      <c r="D1499" s="1198">
        <f>VLOOKUP($B1499,dongia1,DG!$B$5,)</f>
        <v>0</v>
      </c>
      <c r="E1499" s="1243" t="str">
        <f>VLOOKUP($B1499,dongia1,DG!$C$5,)</f>
        <v>Ống đàn hồi 114 (Ruột gà)</v>
      </c>
      <c r="F1499" s="1198" t="str">
        <f>VLOOKUP($B1499,dongia1,DG!$D$5,)</f>
        <v>m</v>
      </c>
      <c r="G1499" s="1508">
        <f>G1484*1.2</f>
        <v>0</v>
      </c>
      <c r="H1499" s="1298">
        <f>VLOOKUP($B1499,dongia1,DG!$F$5,)</f>
        <v>58700</v>
      </c>
      <c r="I1499" s="1298"/>
      <c r="J1499" s="1298">
        <f>VLOOKUP($B1499,dongia1,DG!$G$5,)</f>
        <v>0</v>
      </c>
      <c r="K1499" s="1298">
        <f>VLOOKUP($B1499,dongia1,DG!$H$5,)</f>
        <v>0</v>
      </c>
      <c r="L1499" s="1298">
        <f>H1499*G1499</f>
        <v>0</v>
      </c>
      <c r="M1499" s="1298">
        <f>I1499*G1499</f>
        <v>0</v>
      </c>
      <c r="N1499" s="1298">
        <f>J1499*G1499</f>
        <v>0</v>
      </c>
      <c r="O1499" s="1298">
        <f>K1499*G1499</f>
        <v>0</v>
      </c>
      <c r="P1499" s="1499"/>
      <c r="Q1499" s="1300"/>
      <c r="R1499" s="1300"/>
      <c r="S1499" s="1300"/>
    </row>
    <row r="1500" spans="1:19" s="1081" customFormat="1" hidden="1" outlineLevel="1">
      <c r="A1500" s="1072" t="str">
        <f t="shared" si="343"/>
        <v/>
      </c>
      <c r="B1500" s="1295" t="s">
        <v>887</v>
      </c>
      <c r="C1500" s="1302"/>
      <c r="D1500" s="1198">
        <f>VLOOKUP($B1500,dongia1,DG!$B$5,)</f>
        <v>0</v>
      </c>
      <c r="E1500" s="1243" t="str">
        <f>VLOOKUP($B1500,dongia1,DG!$C$5,)</f>
        <v>Keo dán ống PVC (100gr)</v>
      </c>
      <c r="F1500" s="1198" t="str">
        <f>VLOOKUP($B1500,dongia1,DG!$D$5,)</f>
        <v>tuýp</v>
      </c>
      <c r="G1500" s="1508">
        <f>G1484</f>
        <v>0</v>
      </c>
      <c r="H1500" s="1298">
        <f>VLOOKUP($B1500,dongia1,DG!$F$5,)</f>
        <v>11500</v>
      </c>
      <c r="I1500" s="1298"/>
      <c r="J1500" s="1298">
        <f>VLOOKUP($B1500,dongia1,DG!$G$5,)</f>
        <v>0</v>
      </c>
      <c r="K1500" s="1298">
        <f>VLOOKUP($B1500,dongia1,DG!$H$5,)</f>
        <v>0</v>
      </c>
      <c r="L1500" s="1298">
        <f t="shared" si="344"/>
        <v>0</v>
      </c>
      <c r="M1500" s="1298">
        <f t="shared" si="345"/>
        <v>0</v>
      </c>
      <c r="N1500" s="1298">
        <f t="shared" si="346"/>
        <v>0</v>
      </c>
      <c r="O1500" s="1298">
        <f t="shared" si="347"/>
        <v>0</v>
      </c>
      <c r="P1500" s="1499"/>
      <c r="Q1500" s="1300"/>
      <c r="R1500" s="1300"/>
      <c r="S1500" s="1300"/>
    </row>
    <row r="1501" spans="1:19" s="1081" customFormat="1" hidden="1" outlineLevel="1">
      <c r="A1501" s="1072" t="str">
        <f t="shared" si="343"/>
        <v/>
      </c>
      <c r="B1501" s="1068" t="s">
        <v>1690</v>
      </c>
      <c r="C1501" s="1302"/>
      <c r="D1501" s="1198"/>
      <c r="E1501" s="1243" t="str">
        <f>VLOOKUP($B1501,dongia1,DG!$C$5,)</f>
        <v>Keo silicon bít miệng ống</v>
      </c>
      <c r="F1501" s="1198" t="str">
        <f>VLOOKUP($B1501,dongia1,DG!$D$5,)</f>
        <v>chai</v>
      </c>
      <c r="G1501" s="1508">
        <f>G1484</f>
        <v>0</v>
      </c>
      <c r="H1501" s="1298">
        <f>VLOOKUP($B1501,dongia1,DG!$F$5,)</f>
        <v>45000</v>
      </c>
      <c r="I1501" s="1298"/>
      <c r="J1501" s="1298"/>
      <c r="K1501" s="1298"/>
      <c r="L1501" s="1298">
        <f t="shared" si="344"/>
        <v>0</v>
      </c>
      <c r="M1501" s="1298">
        <f t="shared" si="345"/>
        <v>0</v>
      </c>
      <c r="N1501" s="1298">
        <f t="shared" si="346"/>
        <v>0</v>
      </c>
      <c r="O1501" s="1298">
        <f t="shared" si="347"/>
        <v>0</v>
      </c>
      <c r="P1501" s="1507"/>
      <c r="Q1501" s="1300"/>
      <c r="R1501" s="1300"/>
      <c r="S1501" s="1300"/>
    </row>
    <row r="1502" spans="1:19" s="1081" customFormat="1" hidden="1" outlineLevel="1">
      <c r="A1502" s="1072" t="str">
        <f t="shared" si="343"/>
        <v/>
      </c>
      <c r="B1502" s="1295" t="s">
        <v>53</v>
      </c>
      <c r="C1502" s="1302"/>
      <c r="D1502" s="1198">
        <f>VLOOKUP($B1502,dongia1,DG!$B$5,)</f>
        <v>0</v>
      </c>
      <c r="E1502" s="1243" t="str">
        <f>VLOOKUP($B1502,dongia1,DG!$C$5,)</f>
        <v>Dây rút cáp</v>
      </c>
      <c r="F1502" s="1198" t="str">
        <f>VLOOKUP($B1502,dongia1,DG!$D$5,)</f>
        <v>bọc</v>
      </c>
      <c r="G1502" s="1508">
        <f>+G1484</f>
        <v>0</v>
      </c>
      <c r="H1502" s="1298">
        <f>VLOOKUP($B1502,dongia1,DG!$F$5,)</f>
        <v>15000</v>
      </c>
      <c r="I1502" s="1298"/>
      <c r="J1502" s="1298">
        <f>VLOOKUP($B1502,dongia1,DG!$G$5,)</f>
        <v>0</v>
      </c>
      <c r="K1502" s="1298">
        <f>VLOOKUP($B1502,dongia1,DG!$H$5,)</f>
        <v>0</v>
      </c>
      <c r="L1502" s="1298">
        <f t="shared" si="344"/>
        <v>0</v>
      </c>
      <c r="M1502" s="1298">
        <f t="shared" si="345"/>
        <v>0</v>
      </c>
      <c r="N1502" s="1298">
        <f t="shared" si="346"/>
        <v>0</v>
      </c>
      <c r="O1502" s="1298">
        <f t="shared" si="347"/>
        <v>0</v>
      </c>
      <c r="P1502" s="1507"/>
      <c r="Q1502" s="1300"/>
      <c r="R1502" s="1300"/>
      <c r="S1502" s="1300"/>
    </row>
    <row r="1503" spans="1:19" s="1081" customFormat="1" hidden="1" outlineLevel="1">
      <c r="A1503" s="1072" t="str">
        <f t="shared" si="343"/>
        <v/>
      </c>
      <c r="B1503" s="1068" t="s">
        <v>236</v>
      </c>
      <c r="C1503" s="1302"/>
      <c r="D1503" s="1198">
        <f>VLOOKUP($B1503,dongia1,DG!$B$5,)</f>
        <v>0</v>
      </c>
      <c r="E1503" s="1243" t="str">
        <f>VLOOKUP($B1503,dongia1,DG!$C$5,)</f>
        <v>Băng keo cách điện hạ thế</v>
      </c>
      <c r="F1503" s="1198" t="str">
        <f>VLOOKUP($B1503,dongia1,DG!$D$5,)</f>
        <v>cuộn</v>
      </c>
      <c r="G1503" s="1508">
        <f>G1484*2</f>
        <v>0</v>
      </c>
      <c r="H1503" s="1298">
        <f>VLOOKUP($B1503,dongia1,DG!$F$5,)</f>
        <v>6500</v>
      </c>
      <c r="I1503" s="1298"/>
      <c r="J1503" s="1298">
        <f>VLOOKUP($B1503,dongia1,DG!$G$5,)</f>
        <v>0</v>
      </c>
      <c r="K1503" s="1298">
        <f>VLOOKUP($B1503,dongia1,DG!$H$5,)</f>
        <v>0</v>
      </c>
      <c r="L1503" s="1298">
        <f t="shared" si="344"/>
        <v>0</v>
      </c>
      <c r="M1503" s="1298">
        <f t="shared" si="345"/>
        <v>0</v>
      </c>
      <c r="N1503" s="1298">
        <f t="shared" si="346"/>
        <v>0</v>
      </c>
      <c r="O1503" s="1298">
        <f t="shared" si="347"/>
        <v>0</v>
      </c>
      <c r="P1503" s="1499"/>
      <c r="Q1503" s="1300"/>
      <c r="R1503" s="1300"/>
      <c r="S1503" s="1300"/>
    </row>
    <row r="1504" spans="1:19" s="1081" customFormat="1" hidden="1" outlineLevel="1">
      <c r="A1504" s="1072" t="str">
        <f t="shared" si="343"/>
        <v/>
      </c>
      <c r="B1504" s="1068" t="s">
        <v>379</v>
      </c>
      <c r="C1504" s="1302"/>
      <c r="D1504" s="1198" t="str">
        <f>VLOOKUP($B1504,dongia1,DG!$B$5,)</f>
        <v>T4.4203</v>
      </c>
      <c r="E1504" s="1243" t="str">
        <f>VLOOKUP($B1504,dongia1,DG!$C$5,)</f>
        <v>Lắp cáp đồng xuống thiết bị D ≤ 240mm2</v>
      </c>
      <c r="F1504" s="1198" t="str">
        <f>VLOOKUP($B1504,dongia1,DG!$D$5,)</f>
        <v>m</v>
      </c>
      <c r="G1504" s="1508">
        <f>G1486+G1487</f>
        <v>0</v>
      </c>
      <c r="H1504" s="1298">
        <f>VLOOKUP($B1504,dongia1,DG!$F$5,)</f>
        <v>0</v>
      </c>
      <c r="I1504" s="1298"/>
      <c r="J1504" s="1298">
        <f>VLOOKUP($B1504,dongia1,DG!$G$5,)</f>
        <v>47311</v>
      </c>
      <c r="K1504" s="1298">
        <f>VLOOKUP($B1504,dongia1,DG!$H$5,)</f>
        <v>0</v>
      </c>
      <c r="L1504" s="1298">
        <f>H1504*G1504</f>
        <v>0</v>
      </c>
      <c r="M1504" s="1298">
        <f>I1504*G1504</f>
        <v>0</v>
      </c>
      <c r="N1504" s="1298">
        <f>J1504*G1504</f>
        <v>0</v>
      </c>
      <c r="O1504" s="1298">
        <f>K1504*G1504</f>
        <v>0</v>
      </c>
      <c r="P1504" s="1499"/>
      <c r="Q1504" s="1300"/>
      <c r="R1504" s="1300"/>
      <c r="S1504" s="1300"/>
    </row>
    <row r="1505" spans="1:19" s="1081" customFormat="1" hidden="1" outlineLevel="1">
      <c r="A1505" s="1072">
        <f>A1354</f>
        <v>0</v>
      </c>
      <c r="B1505" s="1421"/>
      <c r="C1505" s="1475"/>
      <c r="D1505" s="1476"/>
      <c r="E1505" s="1477"/>
      <c r="F1505" s="1478"/>
      <c r="G1505" s="1479"/>
      <c r="H1505" s="1478"/>
      <c r="I1505" s="1478"/>
      <c r="J1505" s="2469" t="s">
        <v>3388</v>
      </c>
      <c r="K1505" s="2469"/>
      <c r="L1505" s="1480">
        <f>SUM(L1372:L1504)</f>
        <v>0</v>
      </c>
      <c r="M1505" s="1480">
        <f>SUM(M1372:M1504)</f>
        <v>0</v>
      </c>
      <c r="N1505" s="1480">
        <f>SUM(N1372:N1504)</f>
        <v>0</v>
      </c>
      <c r="O1505" s="1480">
        <f>SUM(O1372:O1504)</f>
        <v>0</v>
      </c>
      <c r="P1505" s="1504"/>
      <c r="Q1505" s="1300"/>
      <c r="R1505" s="1300"/>
      <c r="S1505" s="1300"/>
    </row>
    <row r="1506" spans="1:19" s="1081" customFormat="1" hidden="1">
      <c r="A1506" s="1431">
        <f>IF(G1511&gt;0,1,)</f>
        <v>0</v>
      </c>
      <c r="B1506" s="1068"/>
      <c r="C1506" s="1490"/>
      <c r="D1506" s="1300"/>
      <c r="E1506" s="1491"/>
      <c r="F1506" s="1300"/>
      <c r="G1506" s="1492"/>
      <c r="H1506" s="1300"/>
      <c r="I1506" s="1300"/>
      <c r="J1506" s="1300"/>
      <c r="K1506" s="1300"/>
      <c r="L1506" s="1300"/>
      <c r="M1506" s="1300"/>
      <c r="N1506" s="1300"/>
      <c r="O1506" s="1300"/>
      <c r="P1506" s="1300"/>
      <c r="Q1506" s="1300"/>
      <c r="R1506" s="1300"/>
      <c r="S1506" s="1300"/>
    </row>
    <row r="1507" spans="1:19" s="1081" customFormat="1" hidden="1" outlineLevel="1">
      <c r="A1507" s="1072">
        <f>A1506</f>
        <v>0</v>
      </c>
      <c r="B1507" s="1432"/>
      <c r="C1507" s="1336" t="str">
        <f>"BẢNG TỔNG HỢP VẬT LIỆU, NHÂN CÔNG, MÁY THI CÔNG: "&amp;K12&amp;" TRẠM 3P_320KVA "</f>
        <v xml:space="preserve">BẢNG TỔNG HỢP VẬT LIỆU, NHÂN CÔNG, MÁY THI CÔNG: 0 TRẠM 3P_320KVA </v>
      </c>
      <c r="D1507" s="1494"/>
      <c r="E1507" s="1494"/>
      <c r="F1507" s="1494"/>
      <c r="G1507" s="1494"/>
      <c r="H1507" s="1495"/>
      <c r="I1507" s="1434"/>
      <c r="J1507" s="1495"/>
      <c r="K1507" s="1495"/>
      <c r="L1507" s="1495"/>
      <c r="M1507" s="1434"/>
      <c r="N1507" s="1495"/>
      <c r="O1507" s="1495"/>
      <c r="P1507" s="1513"/>
      <c r="Q1507" s="1300"/>
      <c r="R1507" s="1300"/>
      <c r="S1507" s="1300"/>
    </row>
    <row r="1508" spans="1:19" s="1081" customFormat="1" hidden="1" outlineLevel="1">
      <c r="A1508" s="1072">
        <f>A1506</f>
        <v>0</v>
      </c>
      <c r="B1508" s="1295" t="s">
        <v>308</v>
      </c>
      <c r="C1508" s="2459" t="s">
        <v>1014</v>
      </c>
      <c r="D1508" s="2467" t="s">
        <v>3363</v>
      </c>
      <c r="E1508" s="2457" t="s">
        <v>3364</v>
      </c>
      <c r="F1508" s="2459" t="s">
        <v>3365</v>
      </c>
      <c r="G1508" s="1155" t="s">
        <v>3367</v>
      </c>
      <c r="H1508" s="1156" t="s">
        <v>3368</v>
      </c>
      <c r="I1508" s="1157"/>
      <c r="J1508" s="1157"/>
      <c r="K1508" s="1158"/>
      <c r="L1508" s="1156" t="s">
        <v>3372</v>
      </c>
      <c r="M1508" s="1157"/>
      <c r="N1508" s="1157"/>
      <c r="O1508" s="1158"/>
      <c r="P1508" s="2459" t="s">
        <v>3373</v>
      </c>
      <c r="Q1508" s="1300"/>
      <c r="R1508" s="1300"/>
      <c r="S1508" s="1300"/>
    </row>
    <row r="1509" spans="1:19" s="1081" customFormat="1" hidden="1" outlineLevel="1">
      <c r="A1509" s="1072">
        <f>A1508</f>
        <v>0</v>
      </c>
      <c r="B1509" s="1295"/>
      <c r="C1509" s="2459"/>
      <c r="D1509" s="2468"/>
      <c r="E1509" s="2458"/>
      <c r="F1509" s="2459"/>
      <c r="G1509" s="1160" t="s">
        <v>3366</v>
      </c>
      <c r="H1509" s="1161" t="s">
        <v>393</v>
      </c>
      <c r="I1509" s="1161" t="s">
        <v>3369</v>
      </c>
      <c r="J1509" s="1161" t="s">
        <v>3370</v>
      </c>
      <c r="K1509" s="1161" t="s">
        <v>3371</v>
      </c>
      <c r="L1509" s="1161" t="s">
        <v>393</v>
      </c>
      <c r="M1509" s="1161" t="s">
        <v>3369</v>
      </c>
      <c r="N1509" s="1161" t="s">
        <v>3370</v>
      </c>
      <c r="O1509" s="1161" t="s">
        <v>3371</v>
      </c>
      <c r="P1509" s="2459"/>
      <c r="Q1509" s="1300"/>
      <c r="R1509" s="1300"/>
      <c r="S1509" s="1300"/>
    </row>
    <row r="1510" spans="1:19" s="1081" customFormat="1" hidden="1" outlineLevel="1">
      <c r="A1510" s="1072">
        <f>A1509</f>
        <v>0</v>
      </c>
      <c r="B1510" s="1295"/>
      <c r="C1510" s="1162"/>
      <c r="D1510" s="1163"/>
      <c r="E1510" s="1164" t="s">
        <v>3375</v>
      </c>
      <c r="F1510" s="1165"/>
      <c r="G1510" s="1165"/>
      <c r="H1510" s="1165"/>
      <c r="I1510" s="1165"/>
      <c r="J1510" s="1165"/>
      <c r="K1510" s="1165"/>
      <c r="L1510" s="1165"/>
      <c r="M1510" s="1165"/>
      <c r="N1510" s="1165"/>
      <c r="O1510" s="1163"/>
      <c r="P1510" s="1166"/>
      <c r="Q1510" s="1300"/>
      <c r="R1510" s="1300"/>
      <c r="S1510" s="1300"/>
    </row>
    <row r="1511" spans="1:19" s="1081" customFormat="1" hidden="1" outlineLevel="1">
      <c r="A1511" s="1072" t="str">
        <f t="shared" ref="A1511:A1518" si="348">IF(G1511&lt;&gt;0,1,"")</f>
        <v/>
      </c>
      <c r="B1511" s="1435" t="str">
        <f>IF($F$8=15,"tr320","tr3201")</f>
        <v>tr3201</v>
      </c>
      <c r="C1511" s="1302">
        <f>IF(G1511&gt;0,1,0)</f>
        <v>0</v>
      </c>
      <c r="D1511" s="1198" t="str">
        <f>VLOOKUP($B1511,dongia1,DG!$B$5,)</f>
        <v>T1.1415</v>
      </c>
      <c r="E1511" s="1243" t="str">
        <f>VLOOKUP($B1511,dongia1,DG!$C$5,)</f>
        <v>Máy biến áp 22/0,4kV- 320kVA</v>
      </c>
      <c r="F1511" s="1198" t="str">
        <f>VLOOKUP($B1511,dongia1,DG!$D$5,)</f>
        <v>máy</v>
      </c>
      <c r="G1511" s="1302">
        <f>$K$12</f>
        <v>0</v>
      </c>
      <c r="H1511" s="1399">
        <f>VLOOKUP($B1511,dongia1,DG!$E$5,)</f>
        <v>202869000</v>
      </c>
      <c r="I1511" s="1399"/>
      <c r="J1511" s="1399">
        <f>VLOOKUP($B1511,dongia1,DG!$G$5,)</f>
        <v>1392163</v>
      </c>
      <c r="K1511" s="1399">
        <f>VLOOKUP($B1511,dongia1,DG!$H$5,)</f>
        <v>361106</v>
      </c>
      <c r="L1511" s="1400">
        <f t="shared" ref="L1511:L1518" si="349">H1511*G1511</f>
        <v>0</v>
      </c>
      <c r="M1511" s="1400">
        <f t="shared" ref="M1511:M1518" si="350">I1511*G1511</f>
        <v>0</v>
      </c>
      <c r="N1511" s="1400">
        <f t="shared" ref="N1511:N1518" si="351">J1511*G1511</f>
        <v>0</v>
      </c>
      <c r="O1511" s="1401">
        <f t="shared" ref="O1511:O1518" si="352">K1511*G1511</f>
        <v>0</v>
      </c>
      <c r="P1511" s="1436"/>
      <c r="Q1511" s="1300"/>
      <c r="R1511" s="1300"/>
      <c r="S1511" s="1300"/>
    </row>
    <row r="1512" spans="1:19" s="1081" customFormat="1" hidden="1" outlineLevel="1">
      <c r="A1512" s="1072" t="str">
        <f t="shared" si="348"/>
        <v/>
      </c>
      <c r="B1512" s="1167" t="str">
        <f>"FCO100-"&amp;$F$8</f>
        <v>FCO100-22</v>
      </c>
      <c r="C1512" s="1302">
        <f t="shared" ref="C1512:C1518" si="353">IF(G1512&gt;0,C1511+1,C1511)</f>
        <v>0</v>
      </c>
      <c r="D1512" s="1198" t="str">
        <f>VLOOKUP($B1512,dongia1,DG!$B$5,)</f>
        <v>T2.3501</v>
      </c>
      <c r="E1512" s="1243" t="str">
        <f>VLOOKUP($B1512,dongia1,DG!$C$5,)</f>
        <v>FCO 24kV - 100A</v>
      </c>
      <c r="F1512" s="1198" t="str">
        <f>VLOOKUP($B1512,dongia1,DG!$D$5,)</f>
        <v>cái</v>
      </c>
      <c r="G1512" s="1303">
        <f>G1511*3</f>
        <v>0</v>
      </c>
      <c r="H1512" s="1298">
        <f>VLOOKUP($B1512,dongia1,DG!$E$5,)</f>
        <v>2244280</v>
      </c>
      <c r="I1512" s="1298">
        <f>VLOOKUP($B1512,dongia1,DG!$F$5,)*0</f>
        <v>0</v>
      </c>
      <c r="J1512" s="1298">
        <f>VLOOKUP($B1512,dongia1,DG!$G$5,)</f>
        <v>222639.99999999997</v>
      </c>
      <c r="K1512" s="1298">
        <f>VLOOKUP($B1512,dongia1,DG!$H$5,)</f>
        <v>0</v>
      </c>
      <c r="L1512" s="1298">
        <f t="shared" si="349"/>
        <v>0</v>
      </c>
      <c r="M1512" s="1298">
        <f t="shared" si="350"/>
        <v>0</v>
      </c>
      <c r="N1512" s="1298">
        <f t="shared" si="351"/>
        <v>0</v>
      </c>
      <c r="O1512" s="1298">
        <f t="shared" si="352"/>
        <v>0</v>
      </c>
      <c r="P1512" s="1437"/>
      <c r="Q1512" s="1300"/>
      <c r="R1512" s="1300"/>
      <c r="S1512" s="1300"/>
    </row>
    <row r="1513" spans="1:19" s="1081" customFormat="1" hidden="1" outlineLevel="1">
      <c r="A1513" s="1072" t="str">
        <f t="shared" si="348"/>
        <v/>
      </c>
      <c r="B1513" s="1435" t="str">
        <f>IF($F$8=15,"chi20k","chi12k")</f>
        <v>chi12k</v>
      </c>
      <c r="C1513" s="1302">
        <f t="shared" si="353"/>
        <v>0</v>
      </c>
      <c r="D1513" s="1198">
        <f>VLOOKUP($B1513,dongia1,DG!$B$5,)</f>
        <v>0</v>
      </c>
      <c r="E1513" s="1243" t="str">
        <f>VLOOKUP($B1513,dongia1,DG!$C$5,)</f>
        <v>Dây chảy 12K</v>
      </c>
      <c r="F1513" s="1198" t="str">
        <f>VLOOKUP($B1513,dongia1,DG!$D$5,)</f>
        <v>Sợi</v>
      </c>
      <c r="G1513" s="1303">
        <f>G1512</f>
        <v>0</v>
      </c>
      <c r="H1513" s="1298">
        <f>VLOOKUP($B1513,dongia1,DG!$F$5,)</f>
        <v>95000</v>
      </c>
      <c r="I1513" s="1298">
        <f>VLOOKUP($B1513,dongia1,DG!$F$5,)*0</f>
        <v>0</v>
      </c>
      <c r="J1513" s="1298">
        <f>VLOOKUP($B1513,dongia1,DG!$G$5,)</f>
        <v>0</v>
      </c>
      <c r="K1513" s="1298">
        <f>VLOOKUP($B1513,dongia1,DG!$H$5,)</f>
        <v>0</v>
      </c>
      <c r="L1513" s="1298">
        <f t="shared" si="349"/>
        <v>0</v>
      </c>
      <c r="M1513" s="1298">
        <f t="shared" si="350"/>
        <v>0</v>
      </c>
      <c r="N1513" s="1298">
        <f t="shared" si="351"/>
        <v>0</v>
      </c>
      <c r="O1513" s="1298">
        <f t="shared" si="352"/>
        <v>0</v>
      </c>
      <c r="P1513" s="1437"/>
      <c r="Q1513" s="1300"/>
      <c r="R1513" s="1300"/>
      <c r="S1513" s="1300"/>
    </row>
    <row r="1514" spans="1:19" s="1081" customFormat="1" hidden="1" outlineLevel="1">
      <c r="A1514" s="1072" t="str">
        <f t="shared" si="348"/>
        <v/>
      </c>
      <c r="B1514" s="1295" t="str">
        <f>"LA"&amp;$F$6</f>
        <v>LA18</v>
      </c>
      <c r="C1514" s="1302">
        <f t="shared" si="353"/>
        <v>0</v>
      </c>
      <c r="D1514" s="1198" t="str">
        <f>VLOOKUP($B1514,dongia1,DG!$B$5,)</f>
        <v>T2.5004</v>
      </c>
      <c r="E1514" s="1243" t="str">
        <f>VLOOKUP($B1514,dongia1,DG!$C$5,)</f>
        <v>LA 18kV 10kA</v>
      </c>
      <c r="F1514" s="1198" t="str">
        <f>VLOOKUP($B1514,dongia1,DG!$D$5,)</f>
        <v>cái</v>
      </c>
      <c r="G1514" s="1303">
        <f>G1512</f>
        <v>0</v>
      </c>
      <c r="H1514" s="1298">
        <f>VLOOKUP($B1514,dongia1,DG!$E$5,)</f>
        <v>1106000</v>
      </c>
      <c r="I1514" s="1298">
        <f>VLOOKUP($B1514,dongia1,DG!$F$5,)*0</f>
        <v>0</v>
      </c>
      <c r="J1514" s="1298">
        <f>VLOOKUP($B1514,dongia1,DG!$G$5,)</f>
        <v>83490</v>
      </c>
      <c r="K1514" s="1298">
        <f>VLOOKUP($B1514,dongia1,DG!$H$5,)</f>
        <v>0</v>
      </c>
      <c r="L1514" s="1298">
        <f t="shared" si="349"/>
        <v>0</v>
      </c>
      <c r="M1514" s="1298">
        <f t="shared" si="350"/>
        <v>0</v>
      </c>
      <c r="N1514" s="1298">
        <f t="shared" si="351"/>
        <v>0</v>
      </c>
      <c r="O1514" s="1298">
        <f t="shared" si="352"/>
        <v>0</v>
      </c>
      <c r="P1514" s="1437"/>
      <c r="Q1514" s="1300"/>
      <c r="R1514" s="1300"/>
      <c r="S1514" s="1300"/>
    </row>
    <row r="1515" spans="1:19" s="1081" customFormat="1" hidden="1" outlineLevel="1">
      <c r="A1515" s="1072" t="str">
        <f t="shared" si="348"/>
        <v/>
      </c>
      <c r="B1515" s="1397" t="s">
        <v>838</v>
      </c>
      <c r="C1515" s="1302">
        <f t="shared" si="353"/>
        <v>0</v>
      </c>
      <c r="D1515" s="1198">
        <f>VLOOKUP($B1515,dongia1,DG!$B$5,)</f>
        <v>0</v>
      </c>
      <c r="E1515" s="1243" t="str">
        <f>VLOOKUP($B1515,dongia1,DG!$C$5,)</f>
        <v>MCCB 3 cực 400V -200/500A - 50KA</v>
      </c>
      <c r="F1515" s="1198" t="str">
        <f>VLOOKUP($B1515,dongia1,DG!$D$5,)</f>
        <v>cái</v>
      </c>
      <c r="G1515" s="1303">
        <f>G1511</f>
        <v>0</v>
      </c>
      <c r="H1515" s="1298">
        <f>VLOOKUP($B1515,dongia1,DG!$E$5,)</f>
        <v>11490000</v>
      </c>
      <c r="I1515" s="1298">
        <f>VLOOKUP($B1515,dongia1,DG!$F$5,)*0</f>
        <v>0</v>
      </c>
      <c r="J1515" s="1298">
        <f>VLOOKUP($B1515,dongia1,DG!$G$5,)</f>
        <v>0</v>
      </c>
      <c r="K1515" s="1298">
        <f>VLOOKUP($B1515,dongia1,DG!$H$5,)</f>
        <v>0</v>
      </c>
      <c r="L1515" s="1298">
        <f t="shared" si="349"/>
        <v>0</v>
      </c>
      <c r="M1515" s="1298">
        <f t="shared" si="350"/>
        <v>0</v>
      </c>
      <c r="N1515" s="1298">
        <f t="shared" si="351"/>
        <v>0</v>
      </c>
      <c r="O1515" s="1298">
        <f t="shared" si="352"/>
        <v>0</v>
      </c>
      <c r="P1515" s="1437"/>
      <c r="Q1515" s="1300"/>
      <c r="R1515" s="1300"/>
      <c r="S1515" s="1300"/>
    </row>
    <row r="1516" spans="1:19" s="1081" customFormat="1" hidden="1" outlineLevel="1">
      <c r="A1516" s="1072" t="str">
        <f t="shared" si="348"/>
        <v/>
      </c>
      <c r="B1516" s="1397" t="s">
        <v>837</v>
      </c>
      <c r="C1516" s="1302">
        <f t="shared" si="353"/>
        <v>0</v>
      </c>
      <c r="D1516" s="1198" t="str">
        <f>VLOOKUP($B1516,dongia1,DG!$B$5,)</f>
        <v>05.1102</v>
      </c>
      <c r="E1516" s="1243" t="str">
        <f>VLOOKUP($B1516,dongia1,DG!$C$5,)</f>
        <v>Tủ tụ bù hạ thế 135kVAr</v>
      </c>
      <c r="F1516" s="1198" t="str">
        <f>VLOOKUP($B1516,dongia1,DG!$D$5,)</f>
        <v>tủ</v>
      </c>
      <c r="G1516" s="1303">
        <f>G1511</f>
        <v>0</v>
      </c>
      <c r="H1516" s="1298">
        <f>VLOOKUP($B1516,dongia1,DG!$E$5,)</f>
        <v>17205630</v>
      </c>
      <c r="I1516" s="1298">
        <f>VLOOKUP($B1516,dongia1,DG!$F$5,)</f>
        <v>0</v>
      </c>
      <c r="J1516" s="1298">
        <f>VLOOKUP($B1516,dongia1,DG!$G$5,)</f>
        <v>98101</v>
      </c>
      <c r="K1516" s="1298">
        <f>VLOOKUP($B1516,dongia1,DG!$H$5,)</f>
        <v>59254</v>
      </c>
      <c r="L1516" s="1298">
        <f t="shared" si="349"/>
        <v>0</v>
      </c>
      <c r="M1516" s="1298">
        <f t="shared" si="350"/>
        <v>0</v>
      </c>
      <c r="N1516" s="1298">
        <f t="shared" si="351"/>
        <v>0</v>
      </c>
      <c r="O1516" s="1298">
        <f t="shared" si="352"/>
        <v>0</v>
      </c>
      <c r="P1516" s="1437"/>
      <c r="Q1516" s="1300"/>
      <c r="R1516" s="1300"/>
      <c r="S1516" s="1300"/>
    </row>
    <row r="1517" spans="1:19" s="1081" customFormat="1" hidden="1" outlineLevel="1">
      <c r="A1517" s="1072" t="str">
        <f t="shared" si="348"/>
        <v/>
      </c>
      <c r="B1517" s="1435" t="s">
        <v>121</v>
      </c>
      <c r="C1517" s="1302">
        <f t="shared" si="353"/>
        <v>0</v>
      </c>
      <c r="D1517" s="1198">
        <f>VLOOKUP($B1517,dongia1,DG!$B$5,)</f>
        <v>0</v>
      </c>
      <c r="E1517" s="1243" t="str">
        <f>VLOOKUP($B1517,dongia1,DG!$C$5,)</f>
        <v>Biến dòng 600V - 400/5A</v>
      </c>
      <c r="F1517" s="1198" t="str">
        <f>VLOOKUP($B1517,dongia1,DG!$D$5,)</f>
        <v>cái</v>
      </c>
      <c r="G1517" s="1438">
        <f>G1511*3</f>
        <v>0</v>
      </c>
      <c r="H1517" s="1298">
        <f>VLOOKUP($B1517,dongia1,DG!$E$5,)*0</f>
        <v>0</v>
      </c>
      <c r="I1517" s="1298">
        <f>VLOOKUP($B1517,dongia1,DG!$F$5,)*0</f>
        <v>0</v>
      </c>
      <c r="J1517" s="1298">
        <f>VLOOKUP($B1517,dongia1,DG!$G$5,)</f>
        <v>0</v>
      </c>
      <c r="K1517" s="1298">
        <f>VLOOKUP($B1517,dongia1,DG!$H$5,)</f>
        <v>0</v>
      </c>
      <c r="L1517" s="1298">
        <f t="shared" si="349"/>
        <v>0</v>
      </c>
      <c r="M1517" s="1298">
        <f t="shared" si="350"/>
        <v>0</v>
      </c>
      <c r="N1517" s="1298">
        <f t="shared" si="351"/>
        <v>0</v>
      </c>
      <c r="O1517" s="1298">
        <f t="shared" si="352"/>
        <v>0</v>
      </c>
      <c r="P1517" s="1439" t="s">
        <v>3471</v>
      </c>
      <c r="Q1517" s="1300"/>
      <c r="R1517" s="1300"/>
      <c r="S1517" s="1300"/>
    </row>
    <row r="1518" spans="1:19" s="1081" customFormat="1" hidden="1" outlineLevel="1">
      <c r="A1518" s="1072" t="str">
        <f t="shared" si="348"/>
        <v/>
      </c>
      <c r="B1518" s="1068" t="s">
        <v>839</v>
      </c>
      <c r="C1518" s="1302">
        <f t="shared" si="353"/>
        <v>0</v>
      </c>
      <c r="D1518" s="1198">
        <f>VLOOKUP($B1518,dongia1,DG!$B$5,)</f>
        <v>0</v>
      </c>
      <c r="E1518" s="1243" t="str">
        <f>VLOOKUP($B1518,dongia1,DG!$C$5,)</f>
        <v>Điện kế 3 pha 4 dây 220/380V-5A</v>
      </c>
      <c r="F1518" s="1198" t="str">
        <f>VLOOKUP($B1518,dongia1,DG!$D$5,)</f>
        <v>cái</v>
      </c>
      <c r="G1518" s="1438">
        <f>G1511</f>
        <v>0</v>
      </c>
      <c r="H1518" s="1298">
        <f>VLOOKUP($B1518,dongia1,DG!$E$5,)*0</f>
        <v>0</v>
      </c>
      <c r="I1518" s="1298">
        <f>VLOOKUP($B1518,dongia1,DG!$F$5,)*0</f>
        <v>0</v>
      </c>
      <c r="J1518" s="1298">
        <f>VLOOKUP($B1518,dongia1,DG!$G$5,)*0</f>
        <v>0</v>
      </c>
      <c r="K1518" s="1298">
        <f>VLOOKUP($B1518,dongia1,DG!$H$5,)</f>
        <v>0</v>
      </c>
      <c r="L1518" s="1298">
        <f t="shared" si="349"/>
        <v>0</v>
      </c>
      <c r="M1518" s="1400">
        <f t="shared" si="350"/>
        <v>0</v>
      </c>
      <c r="N1518" s="1400">
        <f t="shared" si="351"/>
        <v>0</v>
      </c>
      <c r="O1518" s="1401">
        <f t="shared" si="352"/>
        <v>0</v>
      </c>
      <c r="P1518" s="1440" t="s">
        <v>3471</v>
      </c>
      <c r="Q1518" s="1300"/>
      <c r="R1518" s="1300"/>
      <c r="S1518" s="1300"/>
    </row>
    <row r="1519" spans="1:19" s="1081" customFormat="1" hidden="1" outlineLevel="1">
      <c r="A1519" s="1072">
        <f>A1506</f>
        <v>0</v>
      </c>
      <c r="B1519" s="1295"/>
      <c r="C1519" s="1441"/>
      <c r="D1519" s="1442"/>
      <c r="E1519" s="1443"/>
      <c r="F1519" s="1444"/>
      <c r="G1519" s="1445"/>
      <c r="H1519" s="1444"/>
      <c r="I1519" s="1444"/>
      <c r="J1519" s="1183" t="s">
        <v>3387</v>
      </c>
      <c r="K1519" s="1444"/>
      <c r="L1519" s="1446">
        <f>SUM(L1511:L1518)</f>
        <v>0</v>
      </c>
      <c r="M1519" s="1446">
        <f>SUM(M1511:M1518)</f>
        <v>0</v>
      </c>
      <c r="N1519" s="1446">
        <f>SUM(N1511:N1518)</f>
        <v>0</v>
      </c>
      <c r="O1519" s="1446">
        <f>SUM(O1511:O1518)</f>
        <v>0</v>
      </c>
      <c r="P1519" s="1447"/>
      <c r="Q1519" s="1300"/>
      <c r="R1519" s="1300"/>
      <c r="S1519" s="1300"/>
    </row>
    <row r="1520" spans="1:19" s="1081" customFormat="1" hidden="1" outlineLevel="1">
      <c r="A1520" s="1072">
        <f>A1506</f>
        <v>0</v>
      </c>
      <c r="B1520" s="1295"/>
      <c r="C1520" s="1448"/>
      <c r="D1520" s="1449"/>
      <c r="E1520" s="1450" t="s">
        <v>3376</v>
      </c>
      <c r="F1520" s="1450"/>
      <c r="G1520" s="1451"/>
      <c r="H1520" s="1450"/>
      <c r="I1520" s="1450"/>
      <c r="J1520" s="1450"/>
      <c r="K1520" s="1450"/>
      <c r="L1520" s="1450"/>
      <c r="M1520" s="1450"/>
      <c r="N1520" s="1450"/>
      <c r="O1520" s="1449"/>
      <c r="P1520" s="1447"/>
      <c r="Q1520" s="1300"/>
      <c r="R1520" s="1300"/>
      <c r="S1520" s="1300"/>
    </row>
    <row r="1521" spans="1:19" s="1081" customFormat="1" hidden="1" outlineLevel="1">
      <c r="A1521" s="1072" t="str">
        <f t="shared" ref="A1521:A1539" si="354">IF(G1521&lt;&gt;0,1,"")</f>
        <v/>
      </c>
      <c r="B1521" s="1452"/>
      <c r="C1521" s="1453">
        <f>IF(G1521&gt;0,1,0)</f>
        <v>0</v>
      </c>
      <c r="D1521" s="1198"/>
      <c r="E1521" s="1454" t="s">
        <v>3377</v>
      </c>
      <c r="F1521" s="1455" t="s">
        <v>1133</v>
      </c>
      <c r="G1521" s="1456">
        <f>G1511*2</f>
        <v>0</v>
      </c>
      <c r="H1521" s="1455"/>
      <c r="I1521" s="1455"/>
      <c r="J1521" s="1455"/>
      <c r="K1521" s="1455"/>
      <c r="L1521" s="1456"/>
      <c r="M1521" s="1456"/>
      <c r="N1521" s="1456"/>
      <c r="O1521" s="1457"/>
      <c r="P1521" s="1437"/>
      <c r="Q1521" s="1300"/>
      <c r="R1521" s="1300"/>
      <c r="S1521" s="1300"/>
    </row>
    <row r="1522" spans="1:19" s="1081" customFormat="1" hidden="1" outlineLevel="1">
      <c r="A1522" s="1072" t="str">
        <f t="shared" si="354"/>
        <v/>
      </c>
      <c r="B1522" s="1421" t="s">
        <v>1012</v>
      </c>
      <c r="C1522" s="1458"/>
      <c r="D1522" s="1198"/>
      <c r="E1522" s="1459" t="str">
        <f>VLOOKUP($B1522,dongia1,DG!$C$5,)</f>
        <v>Trụ BTLT 12m F350 dự ứng lực</v>
      </c>
      <c r="F1522" s="1198" t="str">
        <f>VLOOKUP($B1522,dongia1,DG!$D$5,)</f>
        <v>trụ</v>
      </c>
      <c r="G1522" s="1198">
        <f>G1521</f>
        <v>0</v>
      </c>
      <c r="H1522" s="1399">
        <f>VLOOKUP($B1522,dongia1,DG!$F$5,)</f>
        <v>4400000</v>
      </c>
      <c r="I1522" s="1291"/>
      <c r="J1522" s="1399"/>
      <c r="K1522" s="1291"/>
      <c r="L1522" s="1400">
        <f>H1522*G1522</f>
        <v>0</v>
      </c>
      <c r="M1522" s="1400">
        <f>I1522*G1522</f>
        <v>0</v>
      </c>
      <c r="N1522" s="1400">
        <f>J1522*G1522</f>
        <v>0</v>
      </c>
      <c r="O1522" s="1400">
        <f>K1522*G1522</f>
        <v>0</v>
      </c>
      <c r="P1522" s="1437"/>
      <c r="Q1522" s="1300"/>
      <c r="R1522" s="1300"/>
      <c r="S1522" s="1300"/>
    </row>
    <row r="1523" spans="1:19" s="1081" customFormat="1" hidden="1" outlineLevel="1">
      <c r="A1523" s="1072" t="str">
        <f t="shared" si="354"/>
        <v/>
      </c>
      <c r="B1523" s="1421" t="s">
        <v>1457</v>
      </c>
      <c r="C1523" s="1458"/>
      <c r="D1523" s="1198"/>
      <c r="E1523" s="1459" t="str">
        <f>VLOOKUP($B1523,dongia1,DG!$C$5,)</f>
        <v>Vật liệu dựng trụ</v>
      </c>
      <c r="F1523" s="1198" t="str">
        <f>VLOOKUP($B1523,dongia1,DG!$D$5,)</f>
        <v>trụ</v>
      </c>
      <c r="G1523" s="1198">
        <f>G1522</f>
        <v>0</v>
      </c>
      <c r="H1523" s="1399">
        <f>VLOOKUP($B1523,dongia1,DG!$F$5,)</f>
        <v>17400</v>
      </c>
      <c r="I1523" s="1399"/>
      <c r="J1523" s="1291"/>
      <c r="K1523" s="1291"/>
      <c r="L1523" s="1400">
        <f>H1523*G1523</f>
        <v>0</v>
      </c>
      <c r="M1523" s="1400">
        <f>I1523*G1523</f>
        <v>0</v>
      </c>
      <c r="N1523" s="1400">
        <f>J1523*G1523</f>
        <v>0</v>
      </c>
      <c r="O1523" s="1400">
        <f>K1523*G1523</f>
        <v>0</v>
      </c>
      <c r="P1523" s="1437"/>
      <c r="Q1523" s="1300"/>
      <c r="R1523" s="1300"/>
      <c r="S1523" s="1300"/>
    </row>
    <row r="1524" spans="1:19" s="1081" customFormat="1" hidden="1" outlineLevel="1">
      <c r="A1524" s="1072" t="str">
        <f t="shared" si="354"/>
        <v/>
      </c>
      <c r="B1524" s="1421" t="s">
        <v>1701</v>
      </c>
      <c r="C1524" s="1458"/>
      <c r="D1524" s="1198" t="str">
        <f>VLOOKUP($B1524,dongia1,DG!$B$5,)</f>
        <v>04.9203</v>
      </c>
      <c r="E1524" s="1459" t="str">
        <f>VLOOKUP($B1524,dongia1,DG!$C$5,)</f>
        <v>Dựng trụ BTLT 12m trong TBA bằng thủ công + cơ giới</v>
      </c>
      <c r="F1524" s="1198" t="str">
        <f>VLOOKUP($B1524,dongia1,DG!$D$5,)</f>
        <v>trụ</v>
      </c>
      <c r="G1524" s="1198">
        <f>G1522</f>
        <v>0</v>
      </c>
      <c r="H1524" s="1459"/>
      <c r="I1524" s="1399"/>
      <c r="J1524" s="1399">
        <f>VLOOKUP($B1524,dongia1,DG!$G$5,)</f>
        <v>112286</v>
      </c>
      <c r="K1524" s="1399">
        <f>VLOOKUP($B1524,dongia1,DG!$H$5,)</f>
        <v>105970</v>
      </c>
      <c r="L1524" s="1400">
        <f>H1524*G1524</f>
        <v>0</v>
      </c>
      <c r="M1524" s="1400">
        <f>I1524*G1524</f>
        <v>0</v>
      </c>
      <c r="N1524" s="1400">
        <f>J1524*G1524</f>
        <v>0</v>
      </c>
      <c r="O1524" s="1400">
        <f>K1524*G1524</f>
        <v>0</v>
      </c>
      <c r="P1524" s="1437"/>
      <c r="Q1524" s="1300"/>
      <c r="R1524" s="1300"/>
      <c r="S1524" s="1300"/>
    </row>
    <row r="1525" spans="1:19" s="1081" customFormat="1" hidden="1" outlineLevel="1">
      <c r="A1525" s="1072" t="str">
        <f t="shared" si="354"/>
        <v/>
      </c>
      <c r="B1525" s="1452"/>
      <c r="C1525" s="1453">
        <f>IF(G1525&gt;0,1,0)</f>
        <v>0</v>
      </c>
      <c r="D1525" s="1198"/>
      <c r="E1525" s="1454" t="s">
        <v>3389</v>
      </c>
      <c r="F1525" s="1455" t="s">
        <v>1133</v>
      </c>
      <c r="G1525" s="1456">
        <f>G1511*2</f>
        <v>0</v>
      </c>
      <c r="H1525" s="1455"/>
      <c r="I1525" s="1455"/>
      <c r="J1525" s="1455"/>
      <c r="K1525" s="1455"/>
      <c r="L1525" s="1456"/>
      <c r="M1525" s="1456"/>
      <c r="N1525" s="1456"/>
      <c r="O1525" s="1457"/>
      <c r="P1525" s="1299"/>
      <c r="Q1525" s="1300"/>
      <c r="R1525" s="1300"/>
      <c r="S1525" s="1300"/>
    </row>
    <row r="1526" spans="1:19" s="1081" customFormat="1" hidden="1" outlineLevel="1">
      <c r="A1526" s="1072" t="str">
        <f t="shared" si="354"/>
        <v/>
      </c>
      <c r="B1526" s="1421" t="s">
        <v>1011</v>
      </c>
      <c r="C1526" s="1458"/>
      <c r="D1526" s="1198"/>
      <c r="E1526" s="1459" t="str">
        <f>VLOOKUP($B1526,dongia1,DG!$C$5,)</f>
        <v>Trụ BTLT 10,5m F350 dự ứng lực</v>
      </c>
      <c r="F1526" s="1198" t="str">
        <f>VLOOKUP($B1526,dongia1,DG!$D$5,)</f>
        <v>trụ</v>
      </c>
      <c r="G1526" s="1198">
        <f>G1525</f>
        <v>0</v>
      </c>
      <c r="H1526" s="1399">
        <f>VLOOKUP($B1526,dongia1,DG!$F$5,)</f>
        <v>4200000</v>
      </c>
      <c r="I1526" s="1291"/>
      <c r="J1526" s="1399"/>
      <c r="K1526" s="1291"/>
      <c r="L1526" s="1400">
        <f>H1526*G1526</f>
        <v>0</v>
      </c>
      <c r="M1526" s="1400">
        <f>I1526*G1526</f>
        <v>0</v>
      </c>
      <c r="N1526" s="1400">
        <f>J1526*G1526</f>
        <v>0</v>
      </c>
      <c r="O1526" s="1400">
        <f>K1526*G1526</f>
        <v>0</v>
      </c>
      <c r="P1526" s="1299"/>
      <c r="Q1526" s="1300"/>
      <c r="R1526" s="1300"/>
      <c r="S1526" s="1300"/>
    </row>
    <row r="1527" spans="1:19" s="1081" customFormat="1" hidden="1" outlineLevel="1">
      <c r="A1527" s="1072" t="str">
        <f t="shared" si="354"/>
        <v/>
      </c>
      <c r="B1527" s="1421" t="s">
        <v>1457</v>
      </c>
      <c r="C1527" s="1458"/>
      <c r="D1527" s="1198"/>
      <c r="E1527" s="1459" t="str">
        <f>VLOOKUP($B1527,dongia1,DG!$C$5,)</f>
        <v>Vật liệu dựng trụ</v>
      </c>
      <c r="F1527" s="1198" t="str">
        <f>VLOOKUP($B1527,dongia1,DG!$D$5,)</f>
        <v>trụ</v>
      </c>
      <c r="G1527" s="1198">
        <f>G1526</f>
        <v>0</v>
      </c>
      <c r="H1527" s="1399">
        <f>VLOOKUP($B1527,dongia1,DG!$F$5,)</f>
        <v>17400</v>
      </c>
      <c r="I1527" s="1399"/>
      <c r="J1527" s="1291"/>
      <c r="K1527" s="1291"/>
      <c r="L1527" s="1400">
        <f>H1527*G1527</f>
        <v>0</v>
      </c>
      <c r="M1527" s="1400">
        <f>I1527*G1527</f>
        <v>0</v>
      </c>
      <c r="N1527" s="1400">
        <f>J1527*G1527</f>
        <v>0</v>
      </c>
      <c r="O1527" s="1400">
        <f>K1527*G1527</f>
        <v>0</v>
      </c>
      <c r="P1527" s="1299"/>
      <c r="Q1527" s="1300"/>
      <c r="R1527" s="1300"/>
      <c r="S1527" s="1300"/>
    </row>
    <row r="1528" spans="1:19" s="1081" customFormat="1" hidden="1" outlineLevel="1">
      <c r="A1528" s="1072" t="str">
        <f t="shared" si="354"/>
        <v/>
      </c>
      <c r="B1528" s="1421" t="s">
        <v>1702</v>
      </c>
      <c r="C1528" s="1458"/>
      <c r="D1528" s="1198" t="str">
        <f>VLOOKUP($B1528,dongia1,DG!$B$5,)</f>
        <v>04.9203</v>
      </c>
      <c r="E1528" s="1459" t="str">
        <f>VLOOKUP($B1528,dongia1,DG!$C$5,)</f>
        <v>Dựng trụ BTLT 10,5m trong TBA bằng thủ công + cơ giới</v>
      </c>
      <c r="F1528" s="1198" t="str">
        <f>VLOOKUP($B1528,dongia1,DG!$D$5,)</f>
        <v>trụ</v>
      </c>
      <c r="G1528" s="1198">
        <f>G1526</f>
        <v>0</v>
      </c>
      <c r="H1528" s="1459"/>
      <c r="I1528" s="1399"/>
      <c r="J1528" s="1399">
        <f>VLOOKUP($B1528,dongia1,DG!$G$5,)</f>
        <v>112286</v>
      </c>
      <c r="K1528" s="1399">
        <f>VLOOKUP($B1528,dongia1,DG!$H$5,)</f>
        <v>105970</v>
      </c>
      <c r="L1528" s="1400">
        <f>H1528*G1528</f>
        <v>0</v>
      </c>
      <c r="M1528" s="1400">
        <f>I1528*G1528</f>
        <v>0</v>
      </c>
      <c r="N1528" s="1400">
        <f>J1528*G1528</f>
        <v>0</v>
      </c>
      <c r="O1528" s="1400">
        <f>K1528*G1528</f>
        <v>0</v>
      </c>
      <c r="P1528" s="1299"/>
      <c r="Q1528" s="1300"/>
      <c r="R1528" s="1300"/>
      <c r="S1528" s="1300"/>
    </row>
    <row r="1529" spans="1:19" s="1081" customFormat="1" hidden="1" outlineLevel="1">
      <c r="A1529" s="1072" t="str">
        <f t="shared" si="354"/>
        <v/>
      </c>
      <c r="B1529" s="1421"/>
      <c r="C1529" s="1291">
        <f>IF(G1529&gt;0,C1521+1,C1521)</f>
        <v>0</v>
      </c>
      <c r="D1529" s="1198"/>
      <c r="E1529" s="1454" t="s">
        <v>3390</v>
      </c>
      <c r="F1529" s="1455" t="s">
        <v>3391</v>
      </c>
      <c r="G1529" s="1460">
        <f>G1521</f>
        <v>0</v>
      </c>
      <c r="H1529" s="1291"/>
      <c r="I1529" s="1291"/>
      <c r="J1529" s="1291"/>
      <c r="K1529" s="1291"/>
      <c r="L1529" s="1291"/>
      <c r="M1529" s="1291"/>
      <c r="N1529" s="1291"/>
      <c r="O1529" s="1461"/>
      <c r="P1529" s="1437"/>
      <c r="Q1529" s="1300"/>
      <c r="R1529" s="1300"/>
      <c r="S1529" s="1300"/>
    </row>
    <row r="1530" spans="1:19" s="1081" customFormat="1" hidden="1" outlineLevel="1">
      <c r="A1530" s="1072" t="str">
        <f t="shared" si="354"/>
        <v/>
      </c>
      <c r="B1530" s="1421" t="s">
        <v>580</v>
      </c>
      <c r="C1530" s="1458"/>
      <c r="D1530" s="1198" t="str">
        <f>VLOOKUP($B1530,dongia1,DG!$B$5,)</f>
        <v>AG.42111</v>
      </c>
      <c r="E1530" s="1459" t="str">
        <f>VLOOKUP($B1530,dongia1,DG!$C$5,)</f>
        <v>Đà cản BTCT 1,2m</v>
      </c>
      <c r="F1530" s="1198" t="str">
        <f>VLOOKUP($B1530,dongia1,DG!$D$5,)</f>
        <v>cái</v>
      </c>
      <c r="G1530" s="1198">
        <f>G1529</f>
        <v>0</v>
      </c>
      <c r="H1530" s="1399">
        <f>VLOOKUP($B1530,dongia1,DG!$F$5,)</f>
        <v>354545</v>
      </c>
      <c r="I1530" s="1399"/>
      <c r="J1530" s="1399">
        <f>VLOOKUP($B1530,dongia1,DG!$G$5,)</f>
        <v>37220.25</v>
      </c>
      <c r="K1530" s="1291"/>
      <c r="L1530" s="1400">
        <f>H1530*G1530</f>
        <v>0</v>
      </c>
      <c r="M1530" s="1400">
        <f>I1530*G1530</f>
        <v>0</v>
      </c>
      <c r="N1530" s="1400">
        <f>J1530*G1530</f>
        <v>0</v>
      </c>
      <c r="O1530" s="1400">
        <f>K1530*G1530</f>
        <v>0</v>
      </c>
      <c r="P1530" s="1437"/>
      <c r="Q1530" s="1300"/>
      <c r="R1530" s="1300"/>
      <c r="S1530" s="1300"/>
    </row>
    <row r="1531" spans="1:19" s="1081" customFormat="1" hidden="1" outlineLevel="1">
      <c r="A1531" s="1072" t="str">
        <f t="shared" si="354"/>
        <v/>
      </c>
      <c r="B1531" s="1421" t="s">
        <v>952</v>
      </c>
      <c r="C1531" s="1458"/>
      <c r="D1531" s="1198"/>
      <c r="E1531" s="1459" t="str">
        <f>VLOOKUP($B1531,dongia1,DG!$C$5,)</f>
        <v>Boulon 22x650+ 2 long đền vuông D24-60x60x3/Zn</v>
      </c>
      <c r="F1531" s="1198" t="str">
        <f>VLOOKUP($B1531,dongia1,DG!$D$5,)</f>
        <v>bộ</v>
      </c>
      <c r="G1531" s="1198">
        <f>G1530</f>
        <v>0</v>
      </c>
      <c r="H1531" s="1399">
        <f>VLOOKUP($B1531,dongia1,DG!$F$5,)</f>
        <v>92200</v>
      </c>
      <c r="I1531" s="1459"/>
      <c r="J1531" s="1459"/>
      <c r="K1531" s="1291"/>
      <c r="L1531" s="1400">
        <f>H1531*G1531</f>
        <v>0</v>
      </c>
      <c r="M1531" s="1400">
        <f>I1531*G1531</f>
        <v>0</v>
      </c>
      <c r="N1531" s="1400">
        <f>J1531*G1531</f>
        <v>0</v>
      </c>
      <c r="O1531" s="1400">
        <f>K1531*G1531</f>
        <v>0</v>
      </c>
      <c r="P1531" s="1437"/>
      <c r="Q1531" s="1300"/>
      <c r="R1531" s="1300"/>
      <c r="S1531" s="1300"/>
    </row>
    <row r="1532" spans="1:19" s="1081" customFormat="1" hidden="1" outlineLevel="1">
      <c r="A1532" s="1072" t="str">
        <f t="shared" si="354"/>
        <v/>
      </c>
      <c r="B1532" s="1421" t="str">
        <f>IF(capdat=1,"MDD1",IF(capdat=2,"MDD2",IF(capdat=3,"MDD3",IF(capdat=4,"MDD4"))))</f>
        <v>MDD3</v>
      </c>
      <c r="C1532" s="1458"/>
      <c r="D1532" s="1198" t="str">
        <f>VLOOKUP($B1532,dongia1,DG!$B$5,)</f>
        <v>03.1013</v>
      </c>
      <c r="E1532" s="1459" t="str">
        <f>VLOOKUP($B1532,dongia1,DG!$C$5,)</f>
        <v>Đào hố móng đất cấp 3 sâu &gt;1m DT&lt;5m2</v>
      </c>
      <c r="F1532" s="1198" t="str">
        <f>VLOOKUP($B1532,dongia1,DG!$D$5,)</f>
        <v>m3</v>
      </c>
      <c r="G1532" s="1304">
        <f>0.87*G1529</f>
        <v>0</v>
      </c>
      <c r="H1532" s="1399">
        <f>VLOOKUP($B1532,dongia1,DG!$F$5,)</f>
        <v>0</v>
      </c>
      <c r="I1532" s="1399"/>
      <c r="J1532" s="1399">
        <f>VLOOKUP($B1532,dongia1,DG!$G$5,)</f>
        <v>296500.89999999997</v>
      </c>
      <c r="K1532" s="1291"/>
      <c r="L1532" s="1400">
        <f>H1532*G1532</f>
        <v>0</v>
      </c>
      <c r="M1532" s="1400">
        <f>I1532*G1532</f>
        <v>0</v>
      </c>
      <c r="N1532" s="1400">
        <f>J1532*G1532</f>
        <v>0</v>
      </c>
      <c r="O1532" s="1400">
        <f>K1532*G1532</f>
        <v>0</v>
      </c>
      <c r="P1532" s="1437"/>
      <c r="Q1532" s="1300"/>
      <c r="R1532" s="1300"/>
      <c r="S1532" s="1300"/>
    </row>
    <row r="1533" spans="1:19" s="1081" customFormat="1" hidden="1" outlineLevel="1">
      <c r="A1533" s="1072" t="str">
        <f t="shared" si="354"/>
        <v/>
      </c>
      <c r="B1533" s="1421" t="str">
        <f>IF(capdat=1,"MDAP1",IF(capdat=2,"MDAP2",IF(capdat=3,"MDAP3",IF(capdat=4,"MDAP4"))))</f>
        <v>MDAP3</v>
      </c>
      <c r="C1533" s="1458"/>
      <c r="D1533" s="1198" t="str">
        <f>VLOOKUP($B1533,dongia1,DG!$B$5,)</f>
        <v>AB.13111</v>
      </c>
      <c r="E1533" s="1459" t="str">
        <f>VLOOKUP($B1533,dongia1,DG!$C$5,)</f>
        <v>Đắp đất hố móng, đất cấp 3 (độ chặt k = 0.85)</v>
      </c>
      <c r="F1533" s="1198" t="str">
        <f>VLOOKUP($B1533,dongia1,DG!$D$5,)</f>
        <v>m3</v>
      </c>
      <c r="G1533" s="1304">
        <f>0.79*G1529</f>
        <v>0</v>
      </c>
      <c r="H1533" s="1399">
        <f>VLOOKUP($B1533,dongia1,DG!$F$5,)</f>
        <v>0</v>
      </c>
      <c r="I1533" s="1399"/>
      <c r="J1533" s="1399">
        <f>VLOOKUP($B1533,dongia1,DG!$G$5,)</f>
        <v>117703.6</v>
      </c>
      <c r="K1533" s="1291"/>
      <c r="L1533" s="1400">
        <f>H1533*G1533</f>
        <v>0</v>
      </c>
      <c r="M1533" s="1400">
        <f>I1533*G1533</f>
        <v>0</v>
      </c>
      <c r="N1533" s="1400">
        <f>J1533*G1533</f>
        <v>0</v>
      </c>
      <c r="O1533" s="1400">
        <f>K1533*G1533</f>
        <v>0</v>
      </c>
      <c r="P1533" s="1437"/>
      <c r="Q1533" s="1300"/>
      <c r="R1533" s="1300"/>
      <c r="S1533" s="1300"/>
    </row>
    <row r="1534" spans="1:19" s="1081" customFormat="1" hidden="1" outlineLevel="1">
      <c r="A1534" s="1072" t="str">
        <f t="shared" si="354"/>
        <v/>
      </c>
      <c r="B1534" s="1421"/>
      <c r="C1534" s="1291">
        <f>IF(G1534&gt;0,C1526+1,C1526)</f>
        <v>0</v>
      </c>
      <c r="D1534" s="1198"/>
      <c r="E1534" s="1454" t="s">
        <v>3392</v>
      </c>
      <c r="F1534" s="1455" t="s">
        <v>3391</v>
      </c>
      <c r="G1534" s="1460">
        <f>G1525</f>
        <v>0</v>
      </c>
      <c r="H1534" s="1291"/>
      <c r="I1534" s="1291"/>
      <c r="J1534" s="1291"/>
      <c r="K1534" s="1291"/>
      <c r="L1534" s="1291"/>
      <c r="M1534" s="1291"/>
      <c r="N1534" s="1291"/>
      <c r="O1534" s="1461"/>
      <c r="P1534" s="1299"/>
      <c r="Q1534" s="1300"/>
      <c r="R1534" s="1300"/>
      <c r="S1534" s="1300"/>
    </row>
    <row r="1535" spans="1:19" s="1081" customFormat="1" hidden="1" outlineLevel="1">
      <c r="A1535" s="1072" t="str">
        <f t="shared" si="354"/>
        <v/>
      </c>
      <c r="B1535" s="1421" t="s">
        <v>580</v>
      </c>
      <c r="C1535" s="1458"/>
      <c r="D1535" s="1198" t="str">
        <f>VLOOKUP($B1535,dongia1,DG!$B$5,)</f>
        <v>AG.42111</v>
      </c>
      <c r="E1535" s="1459" t="str">
        <f>VLOOKUP($B1535,dongia1,DG!$C$5,)</f>
        <v>Đà cản BTCT 1,2m</v>
      </c>
      <c r="F1535" s="1198" t="str">
        <f>VLOOKUP($B1535,dongia1,DG!$D$5,)</f>
        <v>cái</v>
      </c>
      <c r="G1535" s="1198">
        <f>G1534</f>
        <v>0</v>
      </c>
      <c r="H1535" s="1399">
        <f>VLOOKUP($B1535,dongia1,DG!$F$5,)</f>
        <v>354545</v>
      </c>
      <c r="I1535" s="1399"/>
      <c r="J1535" s="1399">
        <f>VLOOKUP($B1535,dongia1,DG!$G$5,)</f>
        <v>37220.25</v>
      </c>
      <c r="K1535" s="1291"/>
      <c r="L1535" s="1400">
        <f>H1535*G1535</f>
        <v>0</v>
      </c>
      <c r="M1535" s="1400">
        <f>I1535*G1535</f>
        <v>0</v>
      </c>
      <c r="N1535" s="1400">
        <f>J1535*G1535</f>
        <v>0</v>
      </c>
      <c r="O1535" s="1400">
        <f>K1535*G1535</f>
        <v>0</v>
      </c>
      <c r="P1535" s="1299"/>
      <c r="Q1535" s="1300"/>
      <c r="R1535" s="1300"/>
      <c r="S1535" s="1300"/>
    </row>
    <row r="1536" spans="1:19" s="1081" customFormat="1" hidden="1" outlineLevel="1">
      <c r="A1536" s="1072" t="str">
        <f t="shared" si="354"/>
        <v/>
      </c>
      <c r="B1536" s="1421" t="s">
        <v>952</v>
      </c>
      <c r="C1536" s="1458"/>
      <c r="D1536" s="1198"/>
      <c r="E1536" s="1459" t="str">
        <f>VLOOKUP($B1536,dongia1,DG!$C$5,)</f>
        <v>Boulon 22x650+ 2 long đền vuông D24-60x60x3/Zn</v>
      </c>
      <c r="F1536" s="1198" t="str">
        <f>VLOOKUP($B1536,dongia1,DG!$D$5,)</f>
        <v>bộ</v>
      </c>
      <c r="G1536" s="1198">
        <f>G1535</f>
        <v>0</v>
      </c>
      <c r="H1536" s="1399">
        <f>VLOOKUP($B1536,dongia1,DG!$F$5,)</f>
        <v>92200</v>
      </c>
      <c r="I1536" s="1459"/>
      <c r="J1536" s="1459"/>
      <c r="K1536" s="1291"/>
      <c r="L1536" s="1400">
        <f>H1536*G1536</f>
        <v>0</v>
      </c>
      <c r="M1536" s="1400">
        <f>I1536*G1536</f>
        <v>0</v>
      </c>
      <c r="N1536" s="1400">
        <f>J1536*G1536</f>
        <v>0</v>
      </c>
      <c r="O1536" s="1400">
        <f>K1536*G1536</f>
        <v>0</v>
      </c>
      <c r="P1536" s="1299"/>
      <c r="Q1536" s="1300"/>
      <c r="R1536" s="1300"/>
      <c r="S1536" s="1300"/>
    </row>
    <row r="1537" spans="1:19" s="1081" customFormat="1" hidden="1" outlineLevel="1">
      <c r="A1537" s="1072" t="str">
        <f t="shared" si="354"/>
        <v/>
      </c>
      <c r="B1537" s="1421" t="str">
        <f>IF(capdat=1,"MDD1",IF(capdat=2,"MDD2",IF(capdat=3,"MDD3",IF(capdat=4,"MDD4"))))</f>
        <v>MDD3</v>
      </c>
      <c r="C1537" s="1458"/>
      <c r="D1537" s="1198" t="str">
        <f>VLOOKUP($B1537,dongia1,DG!$B$5,)</f>
        <v>03.1013</v>
      </c>
      <c r="E1537" s="1459" t="str">
        <f>VLOOKUP($B1537,dongia1,DG!$C$5,)</f>
        <v>Đào hố móng đất cấp 3 sâu &gt;1m DT&lt;5m2</v>
      </c>
      <c r="F1537" s="1198" t="str">
        <f>VLOOKUP($B1537,dongia1,DG!$D$5,)</f>
        <v>m3</v>
      </c>
      <c r="G1537" s="1304">
        <f>1.48*G1535</f>
        <v>0</v>
      </c>
      <c r="H1537" s="1399">
        <f>VLOOKUP($B1537,dongia1,DG!$F$5,)</f>
        <v>0</v>
      </c>
      <c r="I1537" s="1399"/>
      <c r="J1537" s="1399">
        <f>VLOOKUP($B1537,dongia1,DG!$G$5,)</f>
        <v>296500.89999999997</v>
      </c>
      <c r="K1537" s="1291"/>
      <c r="L1537" s="1400">
        <f>H1537*G1537</f>
        <v>0</v>
      </c>
      <c r="M1537" s="1400">
        <f>I1537*G1537</f>
        <v>0</v>
      </c>
      <c r="N1537" s="1400">
        <f>J1537*G1537</f>
        <v>0</v>
      </c>
      <c r="O1537" s="1400">
        <f>K1537*G1537</f>
        <v>0</v>
      </c>
      <c r="P1537" s="1299"/>
      <c r="Q1537" s="1300"/>
      <c r="R1537" s="1300"/>
      <c r="S1537" s="1300"/>
    </row>
    <row r="1538" spans="1:19" s="1081" customFormat="1" hidden="1" outlineLevel="1">
      <c r="A1538" s="1072" t="str">
        <f t="shared" si="354"/>
        <v/>
      </c>
      <c r="B1538" s="1421" t="str">
        <f>IF(capdat=1,"MDAP1",IF(capdat=2,"MDAP2",IF(capdat=3,"MDAP3",IF(capdat=4,"MDAP4"))))</f>
        <v>MDAP3</v>
      </c>
      <c r="C1538" s="1458"/>
      <c r="D1538" s="1198" t="str">
        <f>VLOOKUP($B1538,dongia1,DG!$B$5,)</f>
        <v>AB.13111</v>
      </c>
      <c r="E1538" s="1459" t="str">
        <f>VLOOKUP($B1538,dongia1,DG!$C$5,)</f>
        <v>Đắp đất hố móng, đất cấp 3 (độ chặt k = 0.85)</v>
      </c>
      <c r="F1538" s="1198" t="str">
        <f>VLOOKUP($B1538,dongia1,DG!$D$5,)</f>
        <v>m3</v>
      </c>
      <c r="G1538" s="1304">
        <f>1.39*G1534</f>
        <v>0</v>
      </c>
      <c r="H1538" s="1399">
        <f>VLOOKUP($B1538,dongia1,DG!$F$5,)</f>
        <v>0</v>
      </c>
      <c r="I1538" s="1399"/>
      <c r="J1538" s="1399">
        <f>VLOOKUP($B1538,dongia1,DG!$G$5,)</f>
        <v>117703.6</v>
      </c>
      <c r="K1538" s="1291"/>
      <c r="L1538" s="1400">
        <f>H1538*G1538</f>
        <v>0</v>
      </c>
      <c r="M1538" s="1400">
        <f>I1538*G1538</f>
        <v>0</v>
      </c>
      <c r="N1538" s="1400">
        <f>J1538*G1538</f>
        <v>0</v>
      </c>
      <c r="O1538" s="1400">
        <f>K1538*G1538</f>
        <v>0</v>
      </c>
      <c r="P1538" s="1299"/>
      <c r="Q1538" s="1300"/>
      <c r="R1538" s="1300"/>
      <c r="S1538" s="1300"/>
    </row>
    <row r="1539" spans="1:19" s="1081" customFormat="1" hidden="1" outlineLevel="1">
      <c r="A1539" s="1072" t="str">
        <f t="shared" si="354"/>
        <v/>
      </c>
      <c r="B1539" s="1295"/>
      <c r="C1539" s="1291">
        <f>IF(G1539&gt;0,C1529+1,C1529)</f>
        <v>0</v>
      </c>
      <c r="D1539" s="1462"/>
      <c r="E1539" s="1454" t="s">
        <v>3396</v>
      </c>
      <c r="F1539" s="1453" t="s">
        <v>2113</v>
      </c>
      <c r="G1539" s="1463">
        <f>G1511*1</f>
        <v>0</v>
      </c>
      <c r="H1539" s="1464"/>
      <c r="I1539" s="1464"/>
      <c r="J1539" s="1464"/>
      <c r="K1539" s="1464"/>
      <c r="L1539" s="1464"/>
      <c r="M1539" s="1464"/>
      <c r="N1539" s="1464"/>
      <c r="O1539" s="1464"/>
      <c r="P1539" s="1299"/>
      <c r="Q1539" s="1300"/>
      <c r="R1539" s="1300"/>
      <c r="S1539" s="1300"/>
    </row>
    <row r="1540" spans="1:19" s="1081" customFormat="1" ht="14.4" hidden="1" outlineLevel="1">
      <c r="A1540" s="1072" t="str">
        <f>A1539</f>
        <v/>
      </c>
      <c r="B1540" s="1295"/>
      <c r="C1540" s="1291"/>
      <c r="D1540" s="1465"/>
      <c r="E1540" s="1301" t="s">
        <v>3399</v>
      </c>
      <c r="F1540" s="1302"/>
      <c r="G1540" s="1303"/>
      <c r="H1540" s="1466"/>
      <c r="I1540" s="1466"/>
      <c r="J1540" s="1466"/>
      <c r="K1540" s="1466"/>
      <c r="L1540" s="1466"/>
      <c r="M1540" s="1466"/>
      <c r="N1540" s="1466"/>
      <c r="O1540" s="1466"/>
      <c r="P1540" s="1299"/>
      <c r="Q1540" s="1300"/>
      <c r="R1540" s="1300"/>
      <c r="S1540" s="1300"/>
    </row>
    <row r="1541" spans="1:19" s="1081" customFormat="1" hidden="1" outlineLevel="1">
      <c r="A1541" s="1072" t="str">
        <f t="shared" ref="A1541:A1546" si="355">IF(G1541&lt;&gt;0,1,"")</f>
        <v/>
      </c>
      <c r="B1541" s="1068" t="s">
        <v>1307</v>
      </c>
      <c r="C1541" s="1291"/>
      <c r="D1541" s="1198">
        <f>VLOOKUP($B1541,dongia1,DG!$B$5,)</f>
        <v>0</v>
      </c>
      <c r="E1541" s="1243" t="str">
        <f>VLOOKUP($B1541,dongia1,DG!$C$5,)&amp;": 2 cái"</f>
        <v>Đà U160x68x5x2800 đỡ MBA: 2 cái</v>
      </c>
      <c r="F1541" s="1198" t="str">
        <f>VLOOKUP($B1541,dongia1,DG!$D$5,)</f>
        <v>kg</v>
      </c>
      <c r="G1541" s="1304">
        <f>15.3*2.8*2*G1539</f>
        <v>0</v>
      </c>
      <c r="H1541" s="1399">
        <f>VLOOKUP($B1541,dongia1,DG!$F$5,)</f>
        <v>31625</v>
      </c>
      <c r="I1541" s="1467"/>
      <c r="J1541" s="1399"/>
      <c r="K1541" s="1399">
        <f>VLOOKUP($B1541,dongia1,DG!$H$5,)</f>
        <v>0</v>
      </c>
      <c r="L1541" s="1400">
        <f t="shared" ref="L1541:L1546" si="356">H1541*G1541</f>
        <v>0</v>
      </c>
      <c r="M1541" s="1400">
        <f t="shared" ref="M1541:M1548" si="357">I1541*G1541</f>
        <v>0</v>
      </c>
      <c r="N1541" s="1399"/>
      <c r="O1541" s="1400">
        <f t="shared" ref="O1541:O1548" si="358">K1541*G1541</f>
        <v>0</v>
      </c>
      <c r="P1541" s="1299"/>
      <c r="Q1541" s="1300"/>
      <c r="R1541" s="1300"/>
      <c r="S1541" s="1300"/>
    </row>
    <row r="1542" spans="1:19" s="1081" customFormat="1" hidden="1" outlineLevel="1">
      <c r="A1542" s="1072" t="str">
        <f t="shared" si="355"/>
        <v/>
      </c>
      <c r="B1542" s="1068" t="s">
        <v>1308</v>
      </c>
      <c r="C1542" s="1291"/>
      <c r="D1542" s="1198">
        <f>VLOOKUP($B1542,dongia1,DG!$B$5,)</f>
        <v>0</v>
      </c>
      <c r="E1542" s="1243" t="str">
        <f>VLOOKUP($B1542,dongia1,DG!$C$5,)&amp;": 4 cái"</f>
        <v>Đà U100x46x4,5x400 : 4 cái</v>
      </c>
      <c r="F1542" s="1198" t="str">
        <f>VLOOKUP($B1542,dongia1,DG!$D$5,)</f>
        <v>kg</v>
      </c>
      <c r="G1542" s="1304">
        <f>8.59*0.4*4*G1539</f>
        <v>0</v>
      </c>
      <c r="H1542" s="1399">
        <f>VLOOKUP($B1542,dongia1,DG!$F$5,)</f>
        <v>31625</v>
      </c>
      <c r="I1542" s="1467"/>
      <c r="J1542" s="1399"/>
      <c r="K1542" s="1399">
        <f>VLOOKUP($B1542,dongia1,DG!$H$5,)</f>
        <v>0</v>
      </c>
      <c r="L1542" s="1400">
        <f t="shared" si="356"/>
        <v>0</v>
      </c>
      <c r="M1542" s="1400">
        <f t="shared" si="357"/>
        <v>0</v>
      </c>
      <c r="N1542" s="1399"/>
      <c r="O1542" s="1400">
        <f t="shared" si="358"/>
        <v>0</v>
      </c>
      <c r="P1542" s="1299"/>
      <c r="Q1542" s="1300"/>
      <c r="R1542" s="1300"/>
      <c r="S1542" s="1300"/>
    </row>
    <row r="1543" spans="1:19" s="1081" customFormat="1" hidden="1" outlineLevel="1">
      <c r="A1543" s="1072" t="str">
        <f t="shared" si="355"/>
        <v/>
      </c>
      <c r="B1543" s="1068" t="s">
        <v>1309</v>
      </c>
      <c r="C1543" s="1291"/>
      <c r="D1543" s="1198">
        <f>VLOOKUP($B1543,dongia1,DG!$B$5,)</f>
        <v>0</v>
      </c>
      <c r="E1543" s="1243" t="str">
        <f>VLOOKUP($B1543,dongia1,DG!$C$5,)&amp;": 2 cái"</f>
        <v>Đà U100x46x4,5x800 : 2 cái</v>
      </c>
      <c r="F1543" s="1198" t="str">
        <f>VLOOKUP($B1543,dongia1,DG!$D$5,)</f>
        <v>kg</v>
      </c>
      <c r="G1543" s="1304">
        <f>8.59*0.8*2*G1539</f>
        <v>0</v>
      </c>
      <c r="H1543" s="1399">
        <f>VLOOKUP($B1543,dongia1,DG!$F$5,)</f>
        <v>31625</v>
      </c>
      <c r="I1543" s="1467"/>
      <c r="J1543" s="1399"/>
      <c r="K1543" s="1399">
        <f>VLOOKUP($B1543,dongia1,DG!$H$5,)</f>
        <v>0</v>
      </c>
      <c r="L1543" s="1400">
        <f t="shared" si="356"/>
        <v>0</v>
      </c>
      <c r="M1543" s="1400">
        <f t="shared" si="357"/>
        <v>0</v>
      </c>
      <c r="N1543" s="1399"/>
      <c r="O1543" s="1400">
        <f t="shared" si="358"/>
        <v>0</v>
      </c>
      <c r="P1543" s="1299"/>
      <c r="Q1543" s="1300"/>
      <c r="R1543" s="1300"/>
      <c r="S1543" s="1300"/>
    </row>
    <row r="1544" spans="1:19" s="1081" customFormat="1" hidden="1" outlineLevel="1">
      <c r="A1544" s="1072" t="str">
        <f t="shared" si="355"/>
        <v/>
      </c>
      <c r="B1544" s="1295" t="s">
        <v>1039</v>
      </c>
      <c r="C1544" s="1291"/>
      <c r="D1544" s="1198">
        <f>VLOOKUP($B1544,dongia1,DG!$B$5,)</f>
        <v>0</v>
      </c>
      <c r="E1544" s="1243" t="str">
        <f>VLOOKUP($B1544,dongia1,DG!$C$5,)</f>
        <v>Boulon 16x400VRS+ 4 long đền vuông D18-50x50x3/Zn</v>
      </c>
      <c r="F1544" s="1198" t="str">
        <f>VLOOKUP($B1544,dongia1,DG!$D$5,)</f>
        <v>bộ</v>
      </c>
      <c r="G1544" s="1303">
        <f>G1539*10</f>
        <v>0</v>
      </c>
      <c r="H1544" s="1399">
        <f>VLOOKUP($B1544,dongia1,DG!$F$5,)</f>
        <v>34800</v>
      </c>
      <c r="I1544" s="1467"/>
      <c r="J1544" s="1399">
        <f>VLOOKUP($B1544,dongia1,DG!$G$5,)</f>
        <v>0</v>
      </c>
      <c r="K1544" s="1399">
        <f>VLOOKUP($B1544,dongia1,DG!$H$5,)</f>
        <v>0</v>
      </c>
      <c r="L1544" s="1400">
        <f t="shared" si="356"/>
        <v>0</v>
      </c>
      <c r="M1544" s="1400">
        <f t="shared" si="357"/>
        <v>0</v>
      </c>
      <c r="N1544" s="1400">
        <f>J1544*G1544</f>
        <v>0</v>
      </c>
      <c r="O1544" s="1400">
        <f t="shared" si="358"/>
        <v>0</v>
      </c>
      <c r="P1544" s="1299"/>
      <c r="Q1544" s="1300"/>
      <c r="R1544" s="1300"/>
      <c r="S1544" s="1300"/>
    </row>
    <row r="1545" spans="1:19" s="1081" customFormat="1" hidden="1" outlineLevel="1">
      <c r="A1545" s="1072" t="str">
        <f t="shared" si="355"/>
        <v/>
      </c>
      <c r="B1545" s="1295" t="s">
        <v>82</v>
      </c>
      <c r="C1545" s="1291"/>
      <c r="D1545" s="1198">
        <f>VLOOKUP($B1545,dongia1,DG!$B$5,)</f>
        <v>0</v>
      </c>
      <c r="E1545" s="1243" t="str">
        <f>VLOOKUP($B1545,dongia1,DG!$C$5,)</f>
        <v>Boulon 16x400+ 2 long đền vuông D18-50x50x3/Zn</v>
      </c>
      <c r="F1545" s="1198" t="str">
        <f>VLOOKUP($B1545,dongia1,DG!$D$5,)</f>
        <v>bộ</v>
      </c>
      <c r="G1545" s="1303">
        <f>G1539*2</f>
        <v>0</v>
      </c>
      <c r="H1545" s="1399">
        <f>VLOOKUP($B1545,dongia1,DG!$F$5,)</f>
        <v>29900</v>
      </c>
      <c r="I1545" s="1467"/>
      <c r="J1545" s="1399">
        <f>VLOOKUP($B1545,dongia1,DG!$G$5,)</f>
        <v>0</v>
      </c>
      <c r="K1545" s="1399">
        <f>VLOOKUP($B1545,dongia1,DG!$H$5,)</f>
        <v>0</v>
      </c>
      <c r="L1545" s="1400">
        <f t="shared" si="356"/>
        <v>0</v>
      </c>
      <c r="M1545" s="1400">
        <f t="shared" si="357"/>
        <v>0</v>
      </c>
      <c r="N1545" s="1400">
        <f>J1545*G1545</f>
        <v>0</v>
      </c>
      <c r="O1545" s="1400">
        <f t="shared" si="358"/>
        <v>0</v>
      </c>
      <c r="P1545" s="1299"/>
      <c r="Q1545" s="1300"/>
      <c r="R1545" s="1300"/>
      <c r="S1545" s="1300"/>
    </row>
    <row r="1546" spans="1:19" s="1081" customFormat="1" hidden="1" outlineLevel="1">
      <c r="A1546" s="1072" t="str">
        <f t="shared" si="355"/>
        <v/>
      </c>
      <c r="B1546" s="1295" t="s">
        <v>733</v>
      </c>
      <c r="C1546" s="1291"/>
      <c r="D1546" s="1198">
        <f>VLOOKUP($B1546,dongia1,DG!$B$5,)</f>
        <v>0</v>
      </c>
      <c r="E1546" s="1243" t="str">
        <f>VLOOKUP($B1546,dongia1,DG!$C$5,)</f>
        <v>Boulon 16x350+ 2 long đền vuông D18-50x50x3/Zn</v>
      </c>
      <c r="F1546" s="1198" t="str">
        <f>VLOOKUP($B1546,dongia1,DG!$D$5,)</f>
        <v>bộ</v>
      </c>
      <c r="G1546" s="1303">
        <f>G1539*12</f>
        <v>0</v>
      </c>
      <c r="H1546" s="1399">
        <f>VLOOKUP($B1546,dongia1,DG!$F$5,)</f>
        <v>27900</v>
      </c>
      <c r="I1546" s="1467"/>
      <c r="J1546" s="1399">
        <f>VLOOKUP($B1546,dongia1,DG!$G$5,)</f>
        <v>0</v>
      </c>
      <c r="K1546" s="1399">
        <f>VLOOKUP($B1546,dongia1,DG!$H$5,)</f>
        <v>0</v>
      </c>
      <c r="L1546" s="1400">
        <f t="shared" si="356"/>
        <v>0</v>
      </c>
      <c r="M1546" s="1400">
        <f t="shared" si="357"/>
        <v>0</v>
      </c>
      <c r="N1546" s="1400">
        <f>J1546*G1546</f>
        <v>0</v>
      </c>
      <c r="O1546" s="1400">
        <f t="shared" si="358"/>
        <v>0</v>
      </c>
      <c r="P1546" s="1299"/>
      <c r="Q1546" s="1300"/>
      <c r="R1546" s="1300"/>
      <c r="S1546" s="1300"/>
    </row>
    <row r="1547" spans="1:19" s="1081" customFormat="1" hidden="1" outlineLevel="1">
      <c r="A1547" s="1072" t="str">
        <f>IF(G1547&lt;&gt;0,1,"")</f>
        <v/>
      </c>
      <c r="B1547" s="1068" t="s">
        <v>728</v>
      </c>
      <c r="C1547" s="1291"/>
      <c r="D1547" s="1198" t="str">
        <f>VLOOKUP($B1547,dongia1,DG!$B$5,)</f>
        <v>D2.6054</v>
      </c>
      <c r="E1547" s="1243" t="str">
        <f>VLOOKUP($B1547,dongia1,DG!$C$5,)&amp;": 1 Bộ 2 cái"</f>
        <v>Lắp xà cột Pi loại ≤140kg/xà: 1 Bộ 2 cái</v>
      </c>
      <c r="F1547" s="1198" t="str">
        <f>VLOOKUP($B1547,dongia1,DG!$D$5,)</f>
        <v>bộ</v>
      </c>
      <c r="G1547" s="1303">
        <f>+G1539*1</f>
        <v>0</v>
      </c>
      <c r="H1547" s="1399">
        <f>VLOOKUP($B1547,dongia1,DG!$F$5,)</f>
        <v>0</v>
      </c>
      <c r="I1547" s="1467"/>
      <c r="J1547" s="1399" t="str">
        <f>VLOOKUP($B1547,dongia1,DG!$G$5,)&amp;"x"&amp;hslxh</f>
        <v>474961x1,7</v>
      </c>
      <c r="K1547" s="1399">
        <f>VLOOKUP($B1547,dongia1,DG!$H$5,)</f>
        <v>0</v>
      </c>
      <c r="L1547" s="1400">
        <f>H1547*G1547</f>
        <v>0</v>
      </c>
      <c r="M1547" s="1400">
        <f t="shared" si="357"/>
        <v>0</v>
      </c>
      <c r="N1547" s="1399">
        <f>VLOOKUP($B1547,dongia1,DG!$G$5,)*hslxh*G1547</f>
        <v>0</v>
      </c>
      <c r="O1547" s="1400">
        <f t="shared" si="358"/>
        <v>0</v>
      </c>
      <c r="P1547" s="1299"/>
      <c r="Q1547" s="1300"/>
      <c r="R1547" s="1300"/>
      <c r="S1547" s="1300"/>
    </row>
    <row r="1548" spans="1:19" s="1081" customFormat="1" hidden="1" outlineLevel="1">
      <c r="A1548" s="1072" t="str">
        <f>IF(G1548&lt;&gt;0,1,"")</f>
        <v/>
      </c>
      <c r="B1548" s="1068" t="s">
        <v>2191</v>
      </c>
      <c r="C1548" s="1291"/>
      <c r="D1548" s="1198" t="str">
        <f>VLOOKUP($B1548,dongia1,DG!$B$5,)</f>
        <v>D2.6021</v>
      </c>
      <c r="E1548" s="1243" t="str">
        <f>VLOOKUP($B1548,dongia1,DG!$C$5,)&amp;": 1 Bộ 2 cái"</f>
        <v>Lắp xà đỡ 25kg: 1 Bộ 2 cái</v>
      </c>
      <c r="F1548" s="1198" t="str">
        <f>VLOOKUP($B1548,dongia1,DG!$D$5,)</f>
        <v>bộ</v>
      </c>
      <c r="G1548" s="1303">
        <f>+G1539*(IF(G1542&gt;0,2,0)+IF(G1543&gt;0,1,0))</f>
        <v>0</v>
      </c>
      <c r="H1548" s="1399">
        <f>VLOOKUP($B1548,dongia1,DG!$F$5,)</f>
        <v>0</v>
      </c>
      <c r="I1548" s="1467"/>
      <c r="J1548" s="1399" t="str">
        <f>VLOOKUP($B1548,dongia1,DG!$G$5,)&amp;"x"&amp;hslx</f>
        <v>219185,25x1,5</v>
      </c>
      <c r="K1548" s="1399">
        <f>VLOOKUP($B1548,dongia1,DG!$H$5,)</f>
        <v>0</v>
      </c>
      <c r="L1548" s="1400">
        <f>H1548*G1548</f>
        <v>0</v>
      </c>
      <c r="M1548" s="1400">
        <f t="shared" si="357"/>
        <v>0</v>
      </c>
      <c r="N1548" s="1399">
        <f>VLOOKUP($B1548,dongia1,DG!$G$5,)*hslx*G1548</f>
        <v>0</v>
      </c>
      <c r="O1548" s="1400">
        <f t="shared" si="358"/>
        <v>0</v>
      </c>
      <c r="P1548" s="1299"/>
      <c r="Q1548" s="1300"/>
      <c r="R1548" s="1300"/>
      <c r="S1548" s="1300"/>
    </row>
    <row r="1549" spans="1:19" s="1081" customFormat="1" hidden="1" outlineLevel="1">
      <c r="A1549" s="1072" t="str">
        <f>IF(G1549&lt;&gt;0,1,"")</f>
        <v/>
      </c>
      <c r="B1549" s="1295"/>
      <c r="C1549" s="1291">
        <f>IF(G1549&gt;0,C1535+1,C1535)</f>
        <v>0</v>
      </c>
      <c r="D1549" s="1292"/>
      <c r="E1549" s="1468" t="s">
        <v>3435</v>
      </c>
      <c r="F1549" s="1291" t="s">
        <v>2113</v>
      </c>
      <c r="G1549" s="1297">
        <f>+G1511*1</f>
        <v>0</v>
      </c>
      <c r="H1549" s="1467"/>
      <c r="I1549" s="1467"/>
      <c r="J1549" s="1467"/>
      <c r="K1549" s="1467"/>
      <c r="L1549" s="1400">
        <f t="shared" ref="L1549:L1554" si="359">H1549*G1549</f>
        <v>0</v>
      </c>
      <c r="M1549" s="1400">
        <f>I1549*G1549</f>
        <v>0</v>
      </c>
      <c r="N1549" s="1400">
        <f>J1549*G1549</f>
        <v>0</v>
      </c>
      <c r="O1549" s="1400">
        <f>K1549*G1549</f>
        <v>0</v>
      </c>
      <c r="P1549" s="1299"/>
      <c r="Q1549" s="1300"/>
      <c r="R1549" s="1300"/>
      <c r="S1549" s="1300"/>
    </row>
    <row r="1550" spans="1:19" s="1081" customFormat="1" ht="14.4" hidden="1" outlineLevel="1">
      <c r="A1550" s="1072" t="str">
        <f>A1549</f>
        <v/>
      </c>
      <c r="B1550" s="1295"/>
      <c r="C1550" s="1291"/>
      <c r="D1550" s="1292"/>
      <c r="E1550" s="1301" t="s">
        <v>3399</v>
      </c>
      <c r="F1550" s="1302"/>
      <c r="G1550" s="1303"/>
      <c r="H1550" s="1467"/>
      <c r="I1550" s="1467"/>
      <c r="J1550" s="1467"/>
      <c r="K1550" s="1467"/>
      <c r="L1550" s="1400">
        <f t="shared" si="359"/>
        <v>0</v>
      </c>
      <c r="M1550" s="1400">
        <f>I1550*G1550</f>
        <v>0</v>
      </c>
      <c r="N1550" s="1400">
        <f>J1550*G1550</f>
        <v>0</v>
      </c>
      <c r="O1550" s="1400">
        <f>K1550*G1550</f>
        <v>0</v>
      </c>
      <c r="P1550" s="1299"/>
      <c r="Q1550" s="1300"/>
      <c r="R1550" s="1300"/>
      <c r="S1550" s="1300"/>
    </row>
    <row r="1551" spans="1:19" s="1081" customFormat="1" hidden="1" outlineLevel="1">
      <c r="A1551" s="1072" t="str">
        <f>IF(G1551&lt;&gt;0,1,"")</f>
        <v/>
      </c>
      <c r="B1551" s="1067" t="s">
        <v>2167</v>
      </c>
      <c r="C1551" s="1291"/>
      <c r="D1551" s="1198">
        <f>VLOOKUP($B1551,dongia1,DG!$B$5,)</f>
        <v>0</v>
      </c>
      <c r="E1551" s="1243" t="str">
        <f>VLOOKUP($B1551,dongia1,DG!$C$5,)</f>
        <v>Đà Composite 110x80x5x2600</v>
      </c>
      <c r="F1551" s="1198" t="str">
        <f>VLOOKUP($B1551,dongia1,DG!$D$5,)</f>
        <v>cây</v>
      </c>
      <c r="G1551" s="1304">
        <f>+G1549*1</f>
        <v>0</v>
      </c>
      <c r="H1551" s="1399">
        <f>VLOOKUP($B1551,dongia1,DG!$F$5,)</f>
        <v>878000</v>
      </c>
      <c r="I1551" s="1399"/>
      <c r="J1551" s="1399">
        <v>0</v>
      </c>
      <c r="K1551" s="1399">
        <v>0</v>
      </c>
      <c r="L1551" s="1400">
        <f t="shared" si="359"/>
        <v>0</v>
      </c>
      <c r="M1551" s="1400">
        <f>I1551*G1551</f>
        <v>0</v>
      </c>
      <c r="N1551" s="1400">
        <f>J1551*G1551</f>
        <v>0</v>
      </c>
      <c r="O1551" s="1400">
        <f>K1551*G1551</f>
        <v>0</v>
      </c>
      <c r="P1551" s="1299"/>
      <c r="Q1551" s="1300"/>
      <c r="R1551" s="1300"/>
      <c r="S1551" s="1300"/>
    </row>
    <row r="1552" spans="1:19" s="1081" customFormat="1" hidden="1" outlineLevel="1">
      <c r="A1552" s="1072" t="str">
        <f>IF(G1552&lt;&gt;0,1,"")</f>
        <v/>
      </c>
      <c r="B1552" s="1073" t="s">
        <v>428</v>
      </c>
      <c r="C1552" s="1291"/>
      <c r="D1552" s="1198">
        <f>VLOOKUP($B1552,dongia1,DG!$B$5,)</f>
        <v>0</v>
      </c>
      <c r="E1552" s="1243" t="str">
        <f>VLOOKUP($B1552,dongia1,DG!$C$5,)</f>
        <v>Bass LL bắt FCO và LA</v>
      </c>
      <c r="F1552" s="1198" t="str">
        <f>VLOOKUP($B1552,dongia1,DG!$D$5,)</f>
        <v>bộ</v>
      </c>
      <c r="G1552" s="1303">
        <f>+G1549*3</f>
        <v>0</v>
      </c>
      <c r="H1552" s="1399">
        <f>VLOOKUP($B1552,dongia1,DG!$F$5,)</f>
        <v>65000</v>
      </c>
      <c r="I1552" s="1399">
        <v>0</v>
      </c>
      <c r="J1552" s="1399">
        <v>0</v>
      </c>
      <c r="K1552" s="1399">
        <v>0</v>
      </c>
      <c r="L1552" s="1400">
        <f t="shared" si="359"/>
        <v>0</v>
      </c>
      <c r="M1552" s="1400">
        <f>I1552*G1552</f>
        <v>0</v>
      </c>
      <c r="N1552" s="1400">
        <f>J1552*G1552</f>
        <v>0</v>
      </c>
      <c r="O1552" s="1400">
        <f>K1552*G1552</f>
        <v>0</v>
      </c>
      <c r="P1552" s="1299"/>
      <c r="Q1552" s="1300"/>
      <c r="R1552" s="1300"/>
      <c r="S1552" s="1300"/>
    </row>
    <row r="1553" spans="1:19" s="1081" customFormat="1" hidden="1" outlineLevel="1">
      <c r="A1553" s="1072" t="str">
        <f>IF(G1553&lt;&gt;0,1,"")</f>
        <v/>
      </c>
      <c r="B1553" s="1295" t="s">
        <v>733</v>
      </c>
      <c r="C1553" s="1291"/>
      <c r="D1553" s="1198">
        <f>VLOOKUP($B1553,dongia1,DG!$B$5,)</f>
        <v>0</v>
      </c>
      <c r="E1553" s="1243" t="str">
        <f>VLOOKUP($B1553,dongia1,DG!$C$5,)</f>
        <v>Boulon 16x350+ 2 long đền vuông D18-50x50x3/Zn</v>
      </c>
      <c r="F1553" s="1198" t="str">
        <f>VLOOKUP($B1553,dongia1,DG!$D$5,)</f>
        <v>bộ</v>
      </c>
      <c r="G1553" s="1303">
        <f>+G1549*2</f>
        <v>0</v>
      </c>
      <c r="H1553" s="1399">
        <f>VLOOKUP($B1553,dongia1,DG!$F$5,)</f>
        <v>27900</v>
      </c>
      <c r="I1553" s="1467"/>
      <c r="J1553" s="1399">
        <f>VLOOKUP($B1553,dongia1,DG!$G$5,)</f>
        <v>0</v>
      </c>
      <c r="K1553" s="1399">
        <f>VLOOKUP($B1553,dongia1,DG!$H$5,)</f>
        <v>0</v>
      </c>
      <c r="L1553" s="1400">
        <f t="shared" si="359"/>
        <v>0</v>
      </c>
      <c r="M1553" s="1400">
        <f>I1553*G1553</f>
        <v>0</v>
      </c>
      <c r="N1553" s="1400">
        <f>J1553*G1553</f>
        <v>0</v>
      </c>
      <c r="O1553" s="1400">
        <f>K1553*G1553</f>
        <v>0</v>
      </c>
      <c r="P1553" s="1299"/>
      <c r="Q1553" s="1300"/>
      <c r="R1553" s="1300"/>
      <c r="S1553" s="1300"/>
    </row>
    <row r="1554" spans="1:19" s="1081" customFormat="1" hidden="1" outlineLevel="1">
      <c r="A1554" s="1072" t="str">
        <f>IF(G1554&lt;&gt;0,1,"")</f>
        <v/>
      </c>
      <c r="B1554" s="1068" t="s">
        <v>728</v>
      </c>
      <c r="C1554" s="1291"/>
      <c r="D1554" s="1198" t="str">
        <f>VLOOKUP($B1554,dongia1,DG!$B$5,)</f>
        <v>D2.6054</v>
      </c>
      <c r="E1554" s="1243" t="str">
        <f>VLOOKUP($B1554,dongia1,DG!$C$5,)</f>
        <v>Lắp xà cột Pi loại ≤140kg/xà</v>
      </c>
      <c r="F1554" s="1198" t="str">
        <f>VLOOKUP($B1554,dongia1,DG!$D$5,)</f>
        <v>bộ</v>
      </c>
      <c r="G1554" s="1303">
        <f>+G1549</f>
        <v>0</v>
      </c>
      <c r="H1554" s="1298">
        <f>VLOOKUP($B1554,dongia1,DG!$F$5,)</f>
        <v>0</v>
      </c>
      <c r="I1554" s="1399"/>
      <c r="J1554" s="1399" t="str">
        <f>TEXT(VLOOKUP($B1554,dongia1,DG!$G$5,),"#,###")&amp;"x"&amp;hslxh</f>
        <v>474961,x1,7</v>
      </c>
      <c r="K1554" s="1399"/>
      <c r="L1554" s="1400">
        <f t="shared" si="359"/>
        <v>0</v>
      </c>
      <c r="M1554" s="1400"/>
      <c r="N1554" s="1399">
        <f>VLOOKUP($B1554,dongia1,DG!$G$5,)*G1554*hslxh</f>
        <v>0</v>
      </c>
      <c r="O1554" s="1400"/>
      <c r="P1554" s="1299"/>
      <c r="Q1554" s="1300"/>
      <c r="R1554" s="1300"/>
      <c r="S1554" s="1300"/>
    </row>
    <row r="1555" spans="1:19" s="1081" customFormat="1" hidden="1" outlineLevel="1">
      <c r="A1555" s="1072" t="str">
        <f>IF(G1555&lt;&gt;0,1,"")</f>
        <v/>
      </c>
      <c r="B1555" s="1295"/>
      <c r="C1555" s="1291">
        <f>IF(G1555&gt;0,C1539+1,C1539)</f>
        <v>0</v>
      </c>
      <c r="D1555" s="1292"/>
      <c r="E1555" s="1468" t="s">
        <v>3436</v>
      </c>
      <c r="F1555" s="1291" t="s">
        <v>2113</v>
      </c>
      <c r="G1555" s="1297">
        <f>+G1539*2</f>
        <v>0</v>
      </c>
      <c r="H1555" s="1467"/>
      <c r="I1555" s="1467"/>
      <c r="J1555" s="1467"/>
      <c r="K1555" s="1467"/>
      <c r="L1555" s="1400">
        <f t="shared" ref="L1555:L1565" si="360">H1555*G1555</f>
        <v>0</v>
      </c>
      <c r="M1555" s="1400">
        <f>I1555*G1555</f>
        <v>0</v>
      </c>
      <c r="N1555" s="1400">
        <f>J1555*G1555</f>
        <v>0</v>
      </c>
      <c r="O1555" s="1400">
        <f>K1555*G1555</f>
        <v>0</v>
      </c>
      <c r="P1555" s="1299"/>
      <c r="Q1555" s="1300"/>
      <c r="R1555" s="1300"/>
      <c r="S1555" s="1300"/>
    </row>
    <row r="1556" spans="1:19" s="1081" customFormat="1" ht="14.4" hidden="1" outlineLevel="1">
      <c r="A1556" s="1072" t="str">
        <f>A1555</f>
        <v/>
      </c>
      <c r="B1556" s="1295"/>
      <c r="C1556" s="1291"/>
      <c r="D1556" s="1292"/>
      <c r="E1556" s="1301" t="s">
        <v>3399</v>
      </c>
      <c r="F1556" s="1302"/>
      <c r="G1556" s="1303"/>
      <c r="H1556" s="1467"/>
      <c r="I1556" s="1467"/>
      <c r="J1556" s="1467"/>
      <c r="K1556" s="1467"/>
      <c r="L1556" s="1400">
        <f t="shared" si="360"/>
        <v>0</v>
      </c>
      <c r="M1556" s="1400">
        <f>I1556*G1556</f>
        <v>0</v>
      </c>
      <c r="N1556" s="1400">
        <f>J1556*G1556</f>
        <v>0</v>
      </c>
      <c r="O1556" s="1400">
        <f>K1556*G1556</f>
        <v>0</v>
      </c>
      <c r="P1556" s="1299"/>
      <c r="Q1556" s="1300"/>
      <c r="R1556" s="1300"/>
      <c r="S1556" s="1300"/>
    </row>
    <row r="1557" spans="1:19" s="1081" customFormat="1" hidden="1" outlineLevel="1">
      <c r="A1557" s="1072" t="str">
        <f>IF(G1557&lt;&gt;0,1,"")</f>
        <v/>
      </c>
      <c r="B1557" s="1068" t="s">
        <v>1626</v>
      </c>
      <c r="C1557" s="1291"/>
      <c r="D1557" s="1198">
        <f>VLOOKUP($B1557,dongia1,DG!$B$5,)</f>
        <v>0</v>
      </c>
      <c r="E1557" s="1243" t="str">
        <f>VLOOKUP($B1557,dongia1,DG!$C$5,)</f>
        <v>Sắt góc L75 x75 x8</v>
      </c>
      <c r="F1557" s="1198" t="str">
        <f>VLOOKUP($B1557,dongia1,DG!$D$5,)</f>
        <v>kg</v>
      </c>
      <c r="G1557" s="1304">
        <f>G1555*9.02*(2.6+3*0.07)</f>
        <v>0</v>
      </c>
      <c r="H1557" s="1298">
        <f>VLOOKUP($B1557,dongia1,DG!$F$5,)+449</f>
        <v>32074</v>
      </c>
      <c r="I1557" s="1399"/>
      <c r="J1557" s="1399">
        <v>0</v>
      </c>
      <c r="K1557" s="1399">
        <v>0</v>
      </c>
      <c r="L1557" s="1400">
        <f t="shared" si="360"/>
        <v>0</v>
      </c>
      <c r="M1557" s="1400">
        <f>I1557*G1557</f>
        <v>0</v>
      </c>
      <c r="N1557" s="1400">
        <f>J1557*G1557</f>
        <v>0</v>
      </c>
      <c r="O1557" s="1400">
        <f>K1557*G1557</f>
        <v>0</v>
      </c>
      <c r="P1557" s="1299"/>
      <c r="Q1557" s="1300"/>
      <c r="R1557" s="1300"/>
      <c r="S1557" s="1300"/>
    </row>
    <row r="1558" spans="1:19" s="1081" customFormat="1" hidden="1" outlineLevel="1">
      <c r="A1558" s="1072" t="str">
        <f>IF(G1558&lt;&gt;0,1,"")</f>
        <v/>
      </c>
      <c r="B1558" s="1295" t="s">
        <v>1262</v>
      </c>
      <c r="C1558" s="1291"/>
      <c r="D1558" s="1198">
        <f>VLOOKUP($B1558,dongia1,DG!$B$5,)</f>
        <v>0</v>
      </c>
      <c r="E1558" s="1243" t="str">
        <f>VLOOKUP($B1558,dongia1,DG!$C$5,)</f>
        <v>Boulon 16x300+ 2 long đền vuông D18-50x50x3/Zn</v>
      </c>
      <c r="F1558" s="1198" t="str">
        <f>VLOOKUP($B1558,dongia1,DG!$D$5,)</f>
        <v>bộ</v>
      </c>
      <c r="G1558" s="1303">
        <f>G1555*2</f>
        <v>0</v>
      </c>
      <c r="H1558" s="1298">
        <f>VLOOKUP($B1558,dongia1,DG!$F$5,)</f>
        <v>25400</v>
      </c>
      <c r="I1558" s="1399">
        <v>0</v>
      </c>
      <c r="J1558" s="1399">
        <v>0</v>
      </c>
      <c r="K1558" s="1399">
        <v>0</v>
      </c>
      <c r="L1558" s="1400">
        <f t="shared" si="360"/>
        <v>0</v>
      </c>
      <c r="M1558" s="1400">
        <f>I1558*G1558</f>
        <v>0</v>
      </c>
      <c r="N1558" s="1400">
        <f>J1558*G1558</f>
        <v>0</v>
      </c>
      <c r="O1558" s="1400">
        <f>K1558*G1558</f>
        <v>0</v>
      </c>
      <c r="P1558" s="1299"/>
      <c r="Q1558" s="1300"/>
      <c r="R1558" s="1300"/>
      <c r="S1558" s="1300"/>
    </row>
    <row r="1559" spans="1:19" s="1081" customFormat="1" hidden="1" outlineLevel="1">
      <c r="A1559" s="1072" t="str">
        <f>IF(G1559&lt;&gt;0,1,"")</f>
        <v/>
      </c>
      <c r="B1559" s="1295" t="s">
        <v>728</v>
      </c>
      <c r="C1559" s="1291"/>
      <c r="D1559" s="1198" t="str">
        <f>VLOOKUP($B1559,dongia1,DG!$B$5,)</f>
        <v>D2.6054</v>
      </c>
      <c r="E1559" s="1243" t="str">
        <f>VLOOKUP($B1559,dongia1,DG!$C$5,)</f>
        <v>Lắp xà cột Pi loại ≤140kg/xà</v>
      </c>
      <c r="F1559" s="1198" t="str">
        <f>VLOOKUP($B1559,dongia1,DG!$D$5,)</f>
        <v>bộ</v>
      </c>
      <c r="G1559" s="1303">
        <f>G1511</f>
        <v>0</v>
      </c>
      <c r="H1559" s="1298">
        <f>VLOOKUP($B1559,dongia1,DG!$F$5,)</f>
        <v>0</v>
      </c>
      <c r="I1559" s="1399"/>
      <c r="J1559" s="1399" t="str">
        <f>TEXT(VLOOKUP($B1559,dongia1,DG!$G$5,),"#,###")&amp;"x"&amp;hslxh</f>
        <v>474961,x1,7</v>
      </c>
      <c r="K1559" s="1399"/>
      <c r="L1559" s="1400">
        <f t="shared" si="360"/>
        <v>0</v>
      </c>
      <c r="M1559" s="1400"/>
      <c r="N1559" s="1399">
        <f>VLOOKUP($B1559,dongia1,DG!$G$5,)*G1559*hslxh</f>
        <v>0</v>
      </c>
      <c r="O1559" s="1400"/>
      <c r="P1559" s="1299"/>
      <c r="Q1559" s="1300"/>
      <c r="R1559" s="1300"/>
      <c r="S1559" s="1300"/>
    </row>
    <row r="1560" spans="1:19" s="1081" customFormat="1" hidden="1" outlineLevel="1">
      <c r="A1560" s="1072" t="str">
        <f>IF(G1560&lt;&gt;0,1,"")</f>
        <v/>
      </c>
      <c r="B1560" s="1295"/>
      <c r="C1560" s="1291">
        <f>IF(G1560&gt;0,C1555+1,C1555)</f>
        <v>0</v>
      </c>
      <c r="D1560" s="1292"/>
      <c r="E1560" s="1468" t="s">
        <v>3439</v>
      </c>
      <c r="F1560" s="1291" t="s">
        <v>2113</v>
      </c>
      <c r="G1560" s="1297">
        <f>G1511*2</f>
        <v>0</v>
      </c>
      <c r="H1560" s="1467"/>
      <c r="I1560" s="1467"/>
      <c r="J1560" s="1467"/>
      <c r="K1560" s="1467"/>
      <c r="L1560" s="1400">
        <f t="shared" si="360"/>
        <v>0</v>
      </c>
      <c r="M1560" s="1400">
        <f>I1560*G1560</f>
        <v>0</v>
      </c>
      <c r="N1560" s="1400">
        <f>J1560*G1560</f>
        <v>0</v>
      </c>
      <c r="O1560" s="1400">
        <f>K1560*G1560</f>
        <v>0</v>
      </c>
      <c r="P1560" s="1299"/>
      <c r="Q1560" s="1300"/>
      <c r="R1560" s="1300"/>
      <c r="S1560" s="1300"/>
    </row>
    <row r="1561" spans="1:19" s="1081" customFormat="1" ht="14.4" hidden="1" outlineLevel="1">
      <c r="A1561" s="1072" t="str">
        <f>A1560</f>
        <v/>
      </c>
      <c r="B1561" s="1295"/>
      <c r="C1561" s="1291"/>
      <c r="D1561" s="1292"/>
      <c r="E1561" s="1301" t="s">
        <v>3399</v>
      </c>
      <c r="F1561" s="1302"/>
      <c r="G1561" s="1303"/>
      <c r="H1561" s="1467"/>
      <c r="I1561" s="1467"/>
      <c r="J1561" s="1467"/>
      <c r="K1561" s="1467"/>
      <c r="L1561" s="1400">
        <f t="shared" si="360"/>
        <v>0</v>
      </c>
      <c r="M1561" s="1400">
        <f>I1561*G1561</f>
        <v>0</v>
      </c>
      <c r="N1561" s="1400">
        <f>J1561*G1561</f>
        <v>0</v>
      </c>
      <c r="O1561" s="1400">
        <f>K1561*G1561</f>
        <v>0</v>
      </c>
      <c r="P1561" s="1299"/>
      <c r="Q1561" s="1300"/>
      <c r="R1561" s="1300"/>
      <c r="S1561" s="1300"/>
    </row>
    <row r="1562" spans="1:19" s="1081" customFormat="1" hidden="1" outlineLevel="1">
      <c r="A1562" s="1072" t="str">
        <f>IF(G1562&lt;&gt;0,1,"")</f>
        <v/>
      </c>
      <c r="B1562" s="1295" t="s">
        <v>1626</v>
      </c>
      <c r="C1562" s="1291"/>
      <c r="D1562" s="1198">
        <f>VLOOKUP($B1562,dongia1,DG!$B$5,)</f>
        <v>0</v>
      </c>
      <c r="E1562" s="1243" t="str">
        <f>VLOOKUP($B1562,dongia1,DG!$C$5,)</f>
        <v>Sắt góc L75 x75 x8</v>
      </c>
      <c r="F1562" s="1198" t="str">
        <f>VLOOKUP($B1562,dongia1,DG!$D$5,)</f>
        <v>kg</v>
      </c>
      <c r="G1562" s="1304">
        <f>G1560*9.02*2.6</f>
        <v>0</v>
      </c>
      <c r="H1562" s="1298">
        <f>VLOOKUP($B1562,dongia1,DG!$F$5,)+449</f>
        <v>32074</v>
      </c>
      <c r="I1562" s="1399"/>
      <c r="J1562" s="1399">
        <v>0</v>
      </c>
      <c r="K1562" s="1399"/>
      <c r="L1562" s="1400">
        <f t="shared" si="360"/>
        <v>0</v>
      </c>
      <c r="M1562" s="1400"/>
      <c r="N1562" s="1400"/>
      <c r="O1562" s="1400"/>
      <c r="P1562" s="1299"/>
      <c r="Q1562" s="1300"/>
      <c r="R1562" s="1300"/>
      <c r="S1562" s="1300"/>
    </row>
    <row r="1563" spans="1:19" s="1081" customFormat="1" hidden="1" outlineLevel="1">
      <c r="A1563" s="1072" t="str">
        <f>IF(G1563&lt;&gt;0,1,"")</f>
        <v/>
      </c>
      <c r="B1563" s="1295" t="s">
        <v>82</v>
      </c>
      <c r="C1563" s="1291"/>
      <c r="D1563" s="1198">
        <f>VLOOKUP($B1563,dongia1,DG!$B$5,)</f>
        <v>0</v>
      </c>
      <c r="E1563" s="1243" t="str">
        <f>VLOOKUP($B1563,dongia1,DG!$C$5,)</f>
        <v>Boulon 16x400+ 2 long đền vuông D18-50x50x3/Zn</v>
      </c>
      <c r="F1563" s="1198" t="str">
        <f>VLOOKUP($B1563,dongia1,DG!$D$5,)</f>
        <v>bộ</v>
      </c>
      <c r="G1563" s="1303">
        <f>G1560*2</f>
        <v>0</v>
      </c>
      <c r="H1563" s="1298">
        <f>VLOOKUP($B1563,dongia1,DG!$F$5,)</f>
        <v>29900</v>
      </c>
      <c r="I1563" s="1399">
        <v>0</v>
      </c>
      <c r="J1563" s="1399">
        <v>0</v>
      </c>
      <c r="K1563" s="1399"/>
      <c r="L1563" s="1400">
        <f t="shared" si="360"/>
        <v>0</v>
      </c>
      <c r="M1563" s="1400"/>
      <c r="N1563" s="1400"/>
      <c r="O1563" s="1400"/>
      <c r="P1563" s="1299"/>
      <c r="Q1563" s="1300"/>
      <c r="R1563" s="1300"/>
      <c r="S1563" s="1300"/>
    </row>
    <row r="1564" spans="1:19" s="1081" customFormat="1" hidden="1" outlineLevel="1">
      <c r="A1564" s="1072" t="str">
        <f>IF(G1564&lt;&gt;0,1,"")</f>
        <v/>
      </c>
      <c r="B1564" s="1295" t="s">
        <v>1998</v>
      </c>
      <c r="C1564" s="1291"/>
      <c r="D1564" s="1198">
        <f>VLOOKUP($B1564,dongia1,DG!$B$5,)</f>
        <v>0</v>
      </c>
      <c r="E1564" s="1243" t="str">
        <f>VLOOKUP($B1564,dongia1,DG!$C$5,)</f>
        <v>Boulon 12x40+ 2 long đền vuông D14-50x50x3/Zn</v>
      </c>
      <c r="F1564" s="1198" t="str">
        <f>VLOOKUP($B1564,dongia1,DG!$D$5,)</f>
        <v>bộ</v>
      </c>
      <c r="G1564" s="1303">
        <f>G1560*2</f>
        <v>0</v>
      </c>
      <c r="H1564" s="1298">
        <f>VLOOKUP($B1564,dongia1,DG!$F$5,)</f>
        <v>8500</v>
      </c>
      <c r="I1564" s="1399">
        <v>0</v>
      </c>
      <c r="J1564" s="1399">
        <v>0</v>
      </c>
      <c r="K1564" s="1399"/>
      <c r="L1564" s="1400">
        <f t="shared" si="360"/>
        <v>0</v>
      </c>
      <c r="M1564" s="1400"/>
      <c r="N1564" s="1400"/>
      <c r="O1564" s="1400"/>
      <c r="P1564" s="1299"/>
      <c r="Q1564" s="1300"/>
      <c r="R1564" s="1300"/>
      <c r="S1564" s="1300"/>
    </row>
    <row r="1565" spans="1:19" s="1081" customFormat="1" hidden="1" outlineLevel="1">
      <c r="A1565" s="1072" t="str">
        <f>IF(G1565&lt;&gt;0,1,"")</f>
        <v/>
      </c>
      <c r="B1565" s="1295" t="s">
        <v>728</v>
      </c>
      <c r="C1565" s="1291"/>
      <c r="D1565" s="1198" t="str">
        <f>VLOOKUP($B1565,dongia1,DG!$B$5,)</f>
        <v>D2.6054</v>
      </c>
      <c r="E1565" s="1243" t="str">
        <f>VLOOKUP($B1565,dongia1,DG!$C$5,)</f>
        <v>Lắp xà cột Pi loại ≤140kg/xà</v>
      </c>
      <c r="F1565" s="1198" t="str">
        <f>VLOOKUP($B1565,dongia1,DG!$D$5,)</f>
        <v>bộ</v>
      </c>
      <c r="G1565" s="1303">
        <f>G1560/2</f>
        <v>0</v>
      </c>
      <c r="H1565" s="1298">
        <f>VLOOKUP($B1565,dongia1,DG!$F$5,)</f>
        <v>0</v>
      </c>
      <c r="I1565" s="1399"/>
      <c r="J1565" s="1399" t="str">
        <f>TEXT(VLOOKUP($B1565,dongia1,DG!$G$5,),"#,###")&amp;"x"&amp;hslxh</f>
        <v>474961,x1,7</v>
      </c>
      <c r="K1565" s="1399"/>
      <c r="L1565" s="1400">
        <f t="shared" si="360"/>
        <v>0</v>
      </c>
      <c r="M1565" s="1400"/>
      <c r="N1565" s="1399">
        <f>VLOOKUP($B1565,dongia1,DG!$G$5,)*hslxh*G1565</f>
        <v>0</v>
      </c>
      <c r="O1565" s="1400"/>
      <c r="P1565" s="1299"/>
      <c r="Q1565" s="1300"/>
      <c r="R1565" s="1300"/>
      <c r="S1565" s="1300"/>
    </row>
    <row r="1566" spans="1:19" s="1081" customFormat="1" hidden="1" outlineLevel="1">
      <c r="A1566" s="1072" t="str">
        <f>IF(G1566&lt;&gt;0,1,"")</f>
        <v/>
      </c>
      <c r="B1566" s="1295"/>
      <c r="C1566" s="1291">
        <f>IF(G1566&gt;0,C1560+1,C1560)</f>
        <v>0</v>
      </c>
      <c r="D1566" s="1292"/>
      <c r="E1566" s="1468" t="s">
        <v>3440</v>
      </c>
      <c r="F1566" s="1291" t="s">
        <v>2113</v>
      </c>
      <c r="G1566" s="1297">
        <f>G1511</f>
        <v>0</v>
      </c>
      <c r="H1566" s="1298"/>
      <c r="I1566" s="1298"/>
      <c r="J1566" s="1298"/>
      <c r="K1566" s="1298"/>
      <c r="L1566" s="1298">
        <f t="shared" ref="L1566:L1574" si="361">H1566*G1566</f>
        <v>0</v>
      </c>
      <c r="M1566" s="1298">
        <f>I1566*G1566</f>
        <v>0</v>
      </c>
      <c r="N1566" s="1298">
        <f t="shared" ref="N1566:N1572" si="362">J1566*G1566</f>
        <v>0</v>
      </c>
      <c r="O1566" s="1298">
        <f>K1566*G1566</f>
        <v>0</v>
      </c>
      <c r="P1566" s="1437"/>
      <c r="Q1566" s="1300"/>
      <c r="R1566" s="1300"/>
      <c r="S1566" s="1300"/>
    </row>
    <row r="1567" spans="1:19" s="1081" customFormat="1" ht="14.4" hidden="1" outlineLevel="1">
      <c r="A1567" s="1072" t="str">
        <f>+A1566</f>
        <v/>
      </c>
      <c r="B1567" s="1469"/>
      <c r="C1567" s="1291"/>
      <c r="D1567" s="1292"/>
      <c r="E1567" s="1301" t="s">
        <v>3399</v>
      </c>
      <c r="F1567" s="1302"/>
      <c r="G1567" s="1303"/>
      <c r="H1567" s="1298"/>
      <c r="I1567" s="1298"/>
      <c r="J1567" s="1298"/>
      <c r="K1567" s="1298"/>
      <c r="L1567" s="1298">
        <f t="shared" si="361"/>
        <v>0</v>
      </c>
      <c r="M1567" s="1298">
        <f>I1567*G1567</f>
        <v>0</v>
      </c>
      <c r="N1567" s="1298">
        <f t="shared" si="362"/>
        <v>0</v>
      </c>
      <c r="O1567" s="1298">
        <f>K1567*G1567</f>
        <v>0</v>
      </c>
      <c r="P1567" s="1437"/>
      <c r="Q1567" s="1300"/>
      <c r="R1567" s="1300"/>
      <c r="S1567" s="1300"/>
    </row>
    <row r="1568" spans="1:19" s="1081" customFormat="1" hidden="1" outlineLevel="1">
      <c r="A1568" s="1072" t="str">
        <f t="shared" ref="A1568:A1574" si="363">IF(G1568&lt;&gt;0,1,"")</f>
        <v/>
      </c>
      <c r="B1568" s="1295" t="s">
        <v>1200</v>
      </c>
      <c r="C1568" s="1291"/>
      <c r="D1568" s="1198">
        <f>VLOOKUP($B1568,dongia1,DG!$B$5,)</f>
        <v>0</v>
      </c>
      <c r="E1568" s="1243" t="str">
        <f>VLOOKUP($B1568,dongia1,DG!$C$5,)</f>
        <v>Cáp đồng trần M25mm2</v>
      </c>
      <c r="F1568" s="1198" t="str">
        <f>VLOOKUP($B1568,dongia1,DG!$D$5,)</f>
        <v>kg</v>
      </c>
      <c r="G1568" s="1304">
        <f>$H$3*0.224*G1566</f>
        <v>0</v>
      </c>
      <c r="H1568" s="1298">
        <f>VLOOKUP($B1568,dongia1,DG!$F$5,)</f>
        <v>255500</v>
      </c>
      <c r="I1568" s="1298"/>
      <c r="J1568" s="1298">
        <f>VLOOKUP($B1568,dongia1,DG!$G$5,)</f>
        <v>0</v>
      </c>
      <c r="K1568" s="1298">
        <f>VLOOKUP($B1568,dongia1,DG!$H$5,)</f>
        <v>0</v>
      </c>
      <c r="L1568" s="1298">
        <f t="shared" si="361"/>
        <v>0</v>
      </c>
      <c r="M1568" s="1298">
        <f>I1568*G1568</f>
        <v>0</v>
      </c>
      <c r="N1568" s="1298">
        <f t="shared" si="362"/>
        <v>0</v>
      </c>
      <c r="O1568" s="1298">
        <f>K1568*G1568</f>
        <v>0</v>
      </c>
      <c r="P1568" s="1437"/>
      <c r="Q1568" s="1300"/>
      <c r="R1568" s="1300"/>
      <c r="S1568" s="1300"/>
    </row>
    <row r="1569" spans="1:20" s="1081" customFormat="1" hidden="1" outlineLevel="1">
      <c r="A1569" s="1072" t="str">
        <f t="shared" si="363"/>
        <v/>
      </c>
      <c r="B1569" s="1068" t="s">
        <v>1098</v>
      </c>
      <c r="C1569" s="1291"/>
      <c r="D1569" s="1198">
        <f>VLOOKUP($B1569,dongia1,DG!$B$5,)</f>
        <v>0</v>
      </c>
      <c r="E1569" s="1243" t="str">
        <f>VLOOKUP($B1569,dongia1,DG!$C$5,)</f>
        <v>Cọc tiếp đất Þ 16- 2,4m + kẹp cọc</v>
      </c>
      <c r="F1569" s="1198" t="str">
        <f>VLOOKUP($B1569,dongia1,DG!$D$5,)</f>
        <v>bộ</v>
      </c>
      <c r="G1569" s="1303">
        <f>$H$2*G1566</f>
        <v>0</v>
      </c>
      <c r="H1569" s="1298">
        <f>VLOOKUP($B1569,dongia1,DG!$F$5,)</f>
        <v>160000</v>
      </c>
      <c r="I1569" s="1298"/>
      <c r="J1569" s="1298">
        <f>VLOOKUP($B1569,dongia1,DG!$G$5,)</f>
        <v>0</v>
      </c>
      <c r="K1569" s="1298">
        <f>VLOOKUP($B1569,dongia1,DG!$H$5,)</f>
        <v>0</v>
      </c>
      <c r="L1569" s="1298">
        <f t="shared" si="361"/>
        <v>0</v>
      </c>
      <c r="M1569" s="1298">
        <f>I1569*G1569</f>
        <v>0</v>
      </c>
      <c r="N1569" s="1298">
        <f t="shared" si="362"/>
        <v>0</v>
      </c>
      <c r="O1569" s="1298">
        <f>K1569*G1569</f>
        <v>0</v>
      </c>
      <c r="P1569" s="1437"/>
      <c r="Q1569" s="1300"/>
      <c r="R1569" s="1300"/>
      <c r="S1569" s="1300"/>
    </row>
    <row r="1570" spans="1:20" s="1081" customFormat="1" hidden="1" outlineLevel="1">
      <c r="A1570" s="1072" t="str">
        <f t="shared" si="363"/>
        <v/>
      </c>
      <c r="B1570" s="1068" t="s">
        <v>2040</v>
      </c>
      <c r="C1570" s="1291"/>
      <c r="D1570" s="1198">
        <f>VLOOKUP($B1570,dongia1,DG!$B$5,)</f>
        <v>0</v>
      </c>
      <c r="E1570" s="1243" t="str">
        <f>VLOOKUP($B1570,dongia1,DG!$C$5,)</f>
        <v xml:space="preserve">Ống PVC D21x1,6mm </v>
      </c>
      <c r="F1570" s="1198" t="str">
        <f>VLOOKUP($B1570,dongia1,DG!$D$5,)</f>
        <v>m</v>
      </c>
      <c r="G1570" s="1303">
        <f>G1566*16</f>
        <v>0</v>
      </c>
      <c r="H1570" s="1298">
        <f>VLOOKUP($B1570,dongia1,DG!$F$5,)</f>
        <v>6200</v>
      </c>
      <c r="I1570" s="1298"/>
      <c r="J1570" s="1298">
        <f>VLOOKUP($B1570,dongia1,DG!$G$5,)</f>
        <v>0</v>
      </c>
      <c r="K1570" s="1298">
        <f>VLOOKUP($B1570,dongia1,DG!$H$5,)</f>
        <v>0</v>
      </c>
      <c r="L1570" s="1298">
        <f t="shared" si="361"/>
        <v>0</v>
      </c>
      <c r="M1570" s="1298">
        <f>I1570*G1570</f>
        <v>0</v>
      </c>
      <c r="N1570" s="1298">
        <f t="shared" si="362"/>
        <v>0</v>
      </c>
      <c r="O1570" s="1298">
        <f>K1570*G1570</f>
        <v>0</v>
      </c>
      <c r="P1570" s="1299"/>
      <c r="Q1570" s="1300"/>
      <c r="R1570" s="1300"/>
      <c r="S1570" s="1300"/>
    </row>
    <row r="1571" spans="1:20" s="1081" customFormat="1" hidden="1" outlineLevel="1">
      <c r="A1571" s="1072" t="str">
        <f t="shared" si="363"/>
        <v/>
      </c>
      <c r="B1571" s="1470" t="s">
        <v>205</v>
      </c>
      <c r="C1571" s="1291"/>
      <c r="D1571" s="1198">
        <f>VLOOKUP($B1571,dongia1,DG!$B$5,)</f>
        <v>0</v>
      </c>
      <c r="E1571" s="1243" t="str">
        <f>VLOOKUP($B1571,dongia1,DG!$C$5,)</f>
        <v>Kẹp ép WR cỡ dây 50mm2</v>
      </c>
      <c r="F1571" s="1198" t="str">
        <f>VLOOKUP($B1571,dongia1,DG!$D$5,)</f>
        <v>cái</v>
      </c>
      <c r="G1571" s="1303">
        <f>2*G1566</f>
        <v>0</v>
      </c>
      <c r="H1571" s="1298">
        <f>VLOOKUP($B1571,dongia1,DG!$F$5,)</f>
        <v>8000</v>
      </c>
      <c r="I1571" s="1298"/>
      <c r="J1571" s="1298">
        <f>VLOOKUP($B1571,dongia1,DG!$G$5,)</f>
        <v>0</v>
      </c>
      <c r="K1571" s="1298"/>
      <c r="L1571" s="1298">
        <f t="shared" si="361"/>
        <v>0</v>
      </c>
      <c r="M1571" s="1298"/>
      <c r="N1571" s="1298">
        <f t="shared" si="362"/>
        <v>0</v>
      </c>
      <c r="O1571" s="1298"/>
      <c r="P1571" s="1437"/>
      <c r="Q1571" s="1300"/>
      <c r="R1571" s="1300"/>
      <c r="S1571" s="1300"/>
    </row>
    <row r="1572" spans="1:20" s="1081" customFormat="1" hidden="1" outlineLevel="1">
      <c r="A1572" s="1072" t="str">
        <f t="shared" si="363"/>
        <v/>
      </c>
      <c r="B1572" s="1470" t="s">
        <v>903</v>
      </c>
      <c r="C1572" s="1471"/>
      <c r="D1572" s="1198">
        <f>VLOOKUP($B1572,dongia1,DG!$B$5,)</f>
        <v>0</v>
      </c>
      <c r="E1572" s="1243" t="str">
        <f>VLOOKUP($B1572,dongia1,DG!$C$5,)</f>
        <v>Ốc xiết cáp cỡ 25mm2</v>
      </c>
      <c r="F1572" s="1198" t="str">
        <f>VLOOKUP($B1572,dongia1,DG!$D$5,)</f>
        <v>cái</v>
      </c>
      <c r="G1572" s="1303">
        <f>+IF(G1569&lt;=12,15,21)*G1566</f>
        <v>0</v>
      </c>
      <c r="H1572" s="1298">
        <f>VLOOKUP($B1572,dongia1,DG!$F$5,)</f>
        <v>17600</v>
      </c>
      <c r="I1572" s="1298"/>
      <c r="J1572" s="1298">
        <f>VLOOKUP($B1572,dongia1,DG!$G$5,)</f>
        <v>0</v>
      </c>
      <c r="K1572" s="1298"/>
      <c r="L1572" s="1298">
        <f t="shared" si="361"/>
        <v>0</v>
      </c>
      <c r="M1572" s="1298">
        <f>I1572*G1572</f>
        <v>0</v>
      </c>
      <c r="N1572" s="1298">
        <f t="shared" si="362"/>
        <v>0</v>
      </c>
      <c r="O1572" s="1298">
        <f>K1572*G1572</f>
        <v>0</v>
      </c>
      <c r="P1572" s="1437"/>
      <c r="Q1572" s="1300"/>
      <c r="R1572" s="1300"/>
      <c r="S1572" s="1300"/>
    </row>
    <row r="1573" spans="1:20" s="1081" customFormat="1" hidden="1" outlineLevel="1">
      <c r="A1573" s="1072" t="str">
        <f t="shared" si="363"/>
        <v/>
      </c>
      <c r="B1573" s="1068" t="s">
        <v>1490</v>
      </c>
      <c r="C1573" s="1291"/>
      <c r="D1573" s="1198">
        <f>VLOOKUP($B1573,dongia1,DG!$B$5,)</f>
        <v>0</v>
      </c>
      <c r="E1573" s="1243" t="str">
        <f>VLOOKUP($B1573,dongia1,DG!$C$5,)</f>
        <v>Cổ dê kẹp ống PVC (STK) Þ 21</v>
      </c>
      <c r="F1573" s="1198" t="str">
        <f>VLOOKUP($B1573,dongia1,DG!$D$5,)</f>
        <v>bộ</v>
      </c>
      <c r="G1573" s="1303">
        <f>+G1566*4</f>
        <v>0</v>
      </c>
      <c r="H1573" s="1298">
        <f>VLOOKUP($B1573,dongia1,DG!$F$5,)</f>
        <v>43000</v>
      </c>
      <c r="I1573" s="1298"/>
      <c r="J1573" s="1298">
        <f>VLOOKUP($B1573,dongia1,DG!$G$5,)</f>
        <v>0</v>
      </c>
      <c r="K1573" s="1298">
        <f>VLOOKUP($B1573,dongia1,DG!$H$5,)</f>
        <v>0</v>
      </c>
      <c r="L1573" s="1298">
        <f t="shared" si="361"/>
        <v>0</v>
      </c>
      <c r="M1573" s="1298">
        <f>I1573*G1573</f>
        <v>0</v>
      </c>
      <c r="N1573" s="1298">
        <f>J1573*G1573</f>
        <v>0</v>
      </c>
      <c r="O1573" s="1298">
        <f>K1573*G1573</f>
        <v>0</v>
      </c>
      <c r="P1573" s="1299"/>
      <c r="Q1573" s="1300"/>
      <c r="R1573" s="1300"/>
      <c r="S1573" s="1300"/>
    </row>
    <row r="1574" spans="1:20" s="1081" customFormat="1" hidden="1" outlineLevel="1">
      <c r="A1574" s="1072" t="str">
        <f t="shared" si="363"/>
        <v/>
      </c>
      <c r="B1574" s="1068" t="s">
        <v>211</v>
      </c>
      <c r="C1574" s="1291"/>
      <c r="D1574" s="1198">
        <f>VLOOKUP($B1574,dongia1,DG!$B$5,)</f>
        <v>0</v>
      </c>
      <c r="E1574" s="1243" t="str">
        <f>VLOOKUP($B1574,dongia1,DG!$C$5,)</f>
        <v>Khoan giếng tiếp địa</v>
      </c>
      <c r="F1574" s="1198" t="str">
        <f>VLOOKUP($B1574,dongia1,DG!$D$5,)</f>
        <v>Cái</v>
      </c>
      <c r="G1574" s="1303">
        <f>$L$3*G1566</f>
        <v>0</v>
      </c>
      <c r="H1574" s="1298">
        <f>VLOOKUP($B1574,dongia1,DG!$F$5,)</f>
        <v>0</v>
      </c>
      <c r="I1574" s="1298"/>
      <c r="J1574" s="1298">
        <f>VLOOKUP($B1574,dongia1,DG!$G$5,)</f>
        <v>1500000</v>
      </c>
      <c r="K1574" s="1298">
        <f>VLOOKUP($B1574,dongia1,DG!$H$5,)</f>
        <v>0</v>
      </c>
      <c r="L1574" s="1298">
        <f t="shared" si="361"/>
        <v>0</v>
      </c>
      <c r="M1574" s="1298">
        <f>I1574*G1574</f>
        <v>0</v>
      </c>
      <c r="N1574" s="1298">
        <f>J1574*G1574</f>
        <v>0</v>
      </c>
      <c r="O1574" s="1298">
        <f>K1574*G1574</f>
        <v>0</v>
      </c>
      <c r="P1574" s="1437"/>
      <c r="Q1574" s="1300"/>
      <c r="R1574" s="1300"/>
      <c r="S1574" s="1300"/>
    </row>
    <row r="1575" spans="1:20" s="1081" customFormat="1" hidden="1" outlineLevel="1">
      <c r="A1575" s="1072">
        <f>IF(G1575=0,0,1)</f>
        <v>0</v>
      </c>
      <c r="B1575" s="1068" t="str">
        <f>"DTD"&amp;capdat</f>
        <v>DTD3</v>
      </c>
      <c r="C1575" s="1302"/>
      <c r="D1575" s="1198" t="str">
        <f>VLOOKUP($B1575,dongia1,DG!$B$5,)</f>
        <v>AB.11513</v>
      </c>
      <c r="E1575" s="1243" t="str">
        <f>VLOOKUP($B1575,dongia1,DG!$C$5,)</f>
        <v>Đào rãnh tiếp địa đất cấp 3</v>
      </c>
      <c r="F1575" s="1198" t="str">
        <f>VLOOKUP($B1575,dongia1,DG!$D$5,)</f>
        <v>m3</v>
      </c>
      <c r="G1575" s="1472">
        <f>H2*G1566</f>
        <v>0</v>
      </c>
      <c r="H1575" s="1298">
        <f>VLOOKUP($B1575,dongia1,DG!$F$5,)</f>
        <v>0</v>
      </c>
      <c r="I1575" s="1298"/>
      <c r="J1575" s="1298">
        <f>VLOOKUP($B1575,dongia1,DG!$G$5,)</f>
        <v>283749.75</v>
      </c>
      <c r="K1575" s="1298">
        <v>0</v>
      </c>
      <c r="L1575" s="1298">
        <f t="shared" ref="L1575:O1576" si="364">H1575*$G1575</f>
        <v>0</v>
      </c>
      <c r="M1575" s="1298">
        <f t="shared" si="364"/>
        <v>0</v>
      </c>
      <c r="N1575" s="1298">
        <f t="shared" si="364"/>
        <v>0</v>
      </c>
      <c r="O1575" s="1298">
        <f t="shared" si="364"/>
        <v>0</v>
      </c>
      <c r="P1575" s="1437"/>
      <c r="Q1575" s="1300"/>
      <c r="R1575" s="1300"/>
      <c r="S1575" s="1300"/>
    </row>
    <row r="1576" spans="1:20" s="1081" customFormat="1" hidden="1" outlineLevel="1">
      <c r="A1576" s="1072">
        <f>IF(G1576=0,0,1)</f>
        <v>0</v>
      </c>
      <c r="B1576" s="1068" t="str">
        <f>"DATD"&amp;capdat</f>
        <v>DATD3</v>
      </c>
      <c r="C1576" s="1302"/>
      <c r="D1576" s="1198" t="str">
        <f>VLOOKUP($B1576,dongia1,DG!$B$5,)</f>
        <v>AB.13111</v>
      </c>
      <c r="E1576" s="1243" t="str">
        <f>VLOOKUP($B1576,dongia1,DG!$C$5,)</f>
        <v>Đắp đất rãnh tiếp địa cấp 3 (độ chặt k = 0.85)</v>
      </c>
      <c r="F1576" s="1198" t="str">
        <f>VLOOKUP($B1576,dongia1,DG!$D$5,)</f>
        <v>m3</v>
      </c>
      <c r="G1576" s="1472">
        <f>G1575</f>
        <v>0</v>
      </c>
      <c r="H1576" s="1298">
        <f>VLOOKUP($B1576,dongia1,DG!$F$5,)</f>
        <v>0</v>
      </c>
      <c r="I1576" s="1298"/>
      <c r="J1576" s="1298">
        <f>VLOOKUP($B1576,dongia1,DG!$G$5,)</f>
        <v>117703.6</v>
      </c>
      <c r="K1576" s="1298">
        <v>0</v>
      </c>
      <c r="L1576" s="1298">
        <f t="shared" si="364"/>
        <v>0</v>
      </c>
      <c r="M1576" s="1298">
        <f t="shared" si="364"/>
        <v>0</v>
      </c>
      <c r="N1576" s="1298">
        <f t="shared" si="364"/>
        <v>0</v>
      </c>
      <c r="O1576" s="1298">
        <f t="shared" si="364"/>
        <v>0</v>
      </c>
      <c r="P1576" s="1437"/>
      <c r="Q1576" s="1300"/>
      <c r="R1576" s="1300"/>
      <c r="S1576" s="1300"/>
    </row>
    <row r="1577" spans="1:20" s="1081" customFormat="1" hidden="1" outlineLevel="1">
      <c r="A1577" s="1072">
        <f>IF(G1577=0,0,1)</f>
        <v>0</v>
      </c>
      <c r="B1577" s="1068" t="s">
        <v>985</v>
      </c>
      <c r="C1577" s="1302"/>
      <c r="D1577" s="1198" t="str">
        <f>VLOOKUP($B1577,dongia1,DG!$B$5,)</f>
        <v>D2.8103</v>
      </c>
      <c r="E1577" s="1243" t="str">
        <f>VLOOKUP($B1577,dongia1,DG!$C$5,)</f>
        <v>Đóng cọc tiếp địa đất cấp 3 dài 2,5m</v>
      </c>
      <c r="F1577" s="1198" t="str">
        <f>VLOOKUP($B1577,dongia1,DG!$D$5,)</f>
        <v>cọc</v>
      </c>
      <c r="G1577" s="1437">
        <f>G1569</f>
        <v>0</v>
      </c>
      <c r="H1577" s="1298">
        <f>VLOOKUP($B1577,dongia1,DG!$F$5,)</f>
        <v>0</v>
      </c>
      <c r="I1577" s="1298"/>
      <c r="J1577" s="1298" t="str">
        <f>VLOOKUP($B1577,dongia1,DG!$G$5,)&amp;" x 1,7"</f>
        <v>90355,896 x 1,7</v>
      </c>
      <c r="K1577" s="1298">
        <v>0</v>
      </c>
      <c r="L1577" s="1298">
        <f>H1577*$G1577</f>
        <v>0</v>
      </c>
      <c r="M1577" s="1298">
        <f>I1577*$G1577</f>
        <v>0</v>
      </c>
      <c r="N1577" s="1298">
        <f>VLOOKUP($B1577,dongia1,DG!$G$5,)*1.7*G1577</f>
        <v>0</v>
      </c>
      <c r="O1577" s="1298">
        <f>K1577*$G1577</f>
        <v>0</v>
      </c>
      <c r="P1577" s="1437"/>
      <c r="Q1577" s="1300"/>
      <c r="R1577" s="1300"/>
      <c r="S1577" s="1300"/>
    </row>
    <row r="1578" spans="1:20" s="1081" customFormat="1" hidden="1" outlineLevel="1">
      <c r="A1578" s="1072" t="str">
        <f>IF(G1578&lt;&gt;0,1,"")</f>
        <v/>
      </c>
      <c r="B1578" s="1068" t="s">
        <v>983</v>
      </c>
      <c r="C1578" s="1291"/>
      <c r="D1578" s="1198" t="str">
        <f>VLOOKUP($B1578,dongia1,DG!$B$5,)</f>
        <v>T4.7001</v>
      </c>
      <c r="E1578" s="1243" t="str">
        <f>VLOOKUP($B1578,dongia1,DG!$C$5,)</f>
        <v>Kéo dây tiếp địa TBA</v>
      </c>
      <c r="F1578" s="1198" t="str">
        <f>VLOOKUP($B1578,dongia1,DG!$D$5,)</f>
        <v>mét</v>
      </c>
      <c r="G1578" s="1303">
        <f>G1566*$H$3</f>
        <v>0</v>
      </c>
      <c r="H1578" s="1298">
        <f>VLOOKUP($B1578,dongia1,DG!$E$5,)</f>
        <v>0</v>
      </c>
      <c r="I1578" s="1298"/>
      <c r="J1578" s="1298">
        <f>VLOOKUP($B1578,dongia1,DG!$G$5,)</f>
        <v>8070.7000000000007</v>
      </c>
      <c r="K1578" s="1298">
        <f>VLOOKUP($B1578,dongia1,DG!$H$5,)</f>
        <v>2044.9974999999999</v>
      </c>
      <c r="L1578" s="1298">
        <f>H1578*G1578</f>
        <v>0</v>
      </c>
      <c r="M1578" s="1298">
        <f>I1578*G1578</f>
        <v>0</v>
      </c>
      <c r="N1578" s="1298">
        <f>J1578*G1578</f>
        <v>0</v>
      </c>
      <c r="O1578" s="1298">
        <f>K1578*G1578</f>
        <v>0</v>
      </c>
      <c r="P1578" s="1437"/>
      <c r="Q1578" s="1300"/>
      <c r="R1578" s="1300"/>
      <c r="S1578" s="1300"/>
    </row>
    <row r="1579" spans="1:20" s="1081" customFormat="1" hidden="1" outlineLevel="1">
      <c r="A1579" s="1072" t="str">
        <f>IF(G1579&lt;&gt;0,1,"")</f>
        <v/>
      </c>
      <c r="B1579" s="1295"/>
      <c r="C1579" s="1291">
        <f>IF(G1579&gt;0,C1566+1,C1566)</f>
        <v>0</v>
      </c>
      <c r="D1579" s="1292"/>
      <c r="E1579" s="1296" t="s">
        <v>3441</v>
      </c>
      <c r="F1579" s="1291" t="s">
        <v>2113</v>
      </c>
      <c r="G1579" s="1297">
        <f>G1516</f>
        <v>0</v>
      </c>
      <c r="H1579" s="1298"/>
      <c r="I1579" s="1298"/>
      <c r="J1579" s="1298"/>
      <c r="K1579" s="1298"/>
      <c r="L1579" s="1298">
        <f t="shared" ref="L1579:L1584" si="365">H1579*G1579</f>
        <v>0</v>
      </c>
      <c r="M1579" s="1298">
        <f t="shared" ref="M1579:M1584" si="366">I1579*G1579</f>
        <v>0</v>
      </c>
      <c r="N1579" s="1298">
        <f t="shared" ref="N1579:N1584" si="367">J1579*G1579</f>
        <v>0</v>
      </c>
      <c r="O1579" s="1298">
        <f t="shared" ref="O1579:O1584" si="368">K1579*G1579</f>
        <v>0</v>
      </c>
      <c r="P1579" s="1299"/>
      <c r="Q1579" s="1300"/>
      <c r="R1579" s="1300"/>
      <c r="S1579" s="1300"/>
    </row>
    <row r="1580" spans="1:20" s="1081" customFormat="1" ht="14.4" hidden="1" outlineLevel="1">
      <c r="A1580" s="1072" t="str">
        <f>A1579</f>
        <v/>
      </c>
      <c r="B1580" s="1295"/>
      <c r="C1580" s="1291"/>
      <c r="D1580" s="1292"/>
      <c r="E1580" s="1301" t="s">
        <v>3399</v>
      </c>
      <c r="F1580" s="1302"/>
      <c r="G1580" s="1303"/>
      <c r="H1580" s="1298"/>
      <c r="I1580" s="1298"/>
      <c r="J1580" s="1298"/>
      <c r="K1580" s="1298"/>
      <c r="L1580" s="1298">
        <f t="shared" si="365"/>
        <v>0</v>
      </c>
      <c r="M1580" s="1298">
        <f t="shared" si="366"/>
        <v>0</v>
      </c>
      <c r="N1580" s="1298">
        <f t="shared" si="367"/>
        <v>0</v>
      </c>
      <c r="O1580" s="1298">
        <f t="shared" si="368"/>
        <v>0</v>
      </c>
      <c r="P1580" s="1299"/>
      <c r="Q1580" s="1300"/>
      <c r="R1580" s="1300"/>
      <c r="S1580" s="1300"/>
    </row>
    <row r="1581" spans="1:20" s="1081" customFormat="1" hidden="1" outlineLevel="1">
      <c r="A1581" s="1072" t="str">
        <f>IF(G1581&lt;&gt;0,1,"")</f>
        <v/>
      </c>
      <c r="B1581" s="1295" t="s">
        <v>1472</v>
      </c>
      <c r="C1581" s="1302"/>
      <c r="D1581" s="1198">
        <f>VLOOKUP($B1581,dongia1,DG!$B$5,)</f>
        <v>0</v>
      </c>
      <c r="E1581" s="1243" t="str">
        <f>VLOOKUP($B1581,dongia1,DG!$C$5,)</f>
        <v>Ximăng</v>
      </c>
      <c r="F1581" s="1198" t="str">
        <f>VLOOKUP($B1581,dongia1,DG!$D$5,)</f>
        <v>kg</v>
      </c>
      <c r="G1581" s="1304">
        <f>+G1584*296</f>
        <v>0</v>
      </c>
      <c r="H1581" s="1298">
        <f>VLOOKUP($B1581,dongia1,DG!$F$5,)</f>
        <v>1740</v>
      </c>
      <c r="I1581" s="1298"/>
      <c r="J1581" s="1298">
        <f>VLOOKUP($B1581,dongia1,DG!$G$5,)</f>
        <v>0</v>
      </c>
      <c r="K1581" s="1298">
        <f>VLOOKUP($B1581,dongia1,DG!$H$5,)</f>
        <v>0</v>
      </c>
      <c r="L1581" s="1298">
        <f t="shared" si="365"/>
        <v>0</v>
      </c>
      <c r="M1581" s="1298">
        <f t="shared" si="366"/>
        <v>0</v>
      </c>
      <c r="N1581" s="1298">
        <f t="shared" si="367"/>
        <v>0</v>
      </c>
      <c r="O1581" s="1298">
        <f t="shared" si="368"/>
        <v>0</v>
      </c>
      <c r="P1581" s="1299"/>
      <c r="Q1581" s="1300"/>
      <c r="R1581" s="1300"/>
      <c r="S1581" s="1300"/>
    </row>
    <row r="1582" spans="1:20" s="1081" customFormat="1" hidden="1" outlineLevel="1">
      <c r="A1582" s="1072" t="str">
        <f>IF(G1582&lt;&gt;0,1,"")</f>
        <v/>
      </c>
      <c r="B1582" s="1295" t="s">
        <v>1729</v>
      </c>
      <c r="C1582" s="1291"/>
      <c r="D1582" s="1198">
        <f>VLOOKUP($B1582,dongia1,DG!$B$5,)</f>
        <v>0</v>
      </c>
      <c r="E1582" s="1243" t="str">
        <f>VLOOKUP($B1582,dongia1,DG!$C$5,)</f>
        <v>Cát vàng</v>
      </c>
      <c r="F1582" s="1198" t="str">
        <f>VLOOKUP($B1582,dongia1,DG!$D$5,)</f>
        <v>m3</v>
      </c>
      <c r="G1582" s="1304">
        <f>G1584*0.475</f>
        <v>0</v>
      </c>
      <c r="H1582" s="1298">
        <f>VLOOKUP($B1582,dongia1,DG!$F$5,)</f>
        <v>512000</v>
      </c>
      <c r="I1582" s="1298"/>
      <c r="J1582" s="1298">
        <f>VLOOKUP($B1582,dongia1,DG!$G$5,)</f>
        <v>0</v>
      </c>
      <c r="K1582" s="1298">
        <f>VLOOKUP($B1582,dongia1,DG!$H$5,)</f>
        <v>0</v>
      </c>
      <c r="L1582" s="1298">
        <f t="shared" si="365"/>
        <v>0</v>
      </c>
      <c r="M1582" s="1298">
        <f t="shared" si="366"/>
        <v>0</v>
      </c>
      <c r="N1582" s="1298">
        <f t="shared" si="367"/>
        <v>0</v>
      </c>
      <c r="O1582" s="1298">
        <f t="shared" si="368"/>
        <v>0</v>
      </c>
      <c r="P1582" s="1299"/>
      <c r="Q1582" s="1300"/>
      <c r="R1582" s="1300"/>
      <c r="S1582" s="1300"/>
    </row>
    <row r="1583" spans="1:20" s="1081" customFormat="1" hidden="1" outlineLevel="1">
      <c r="A1583" s="1072" t="str">
        <f>IF(G1583&lt;&gt;0,1,"")</f>
        <v/>
      </c>
      <c r="B1583" s="1295" t="s">
        <v>599</v>
      </c>
      <c r="C1583" s="1291"/>
      <c r="D1583" s="1198">
        <f>VLOOKUP($B1583,dongia1,DG!$B$5,)</f>
        <v>0</v>
      </c>
      <c r="E1583" s="1243" t="str">
        <f>VLOOKUP($B1583,dongia1,DG!$C$5,)</f>
        <v>Đá 1x2</v>
      </c>
      <c r="F1583" s="1198" t="str">
        <f>VLOOKUP($B1583,dongia1,DG!$D$5,)</f>
        <v>m3</v>
      </c>
      <c r="G1583" s="1304">
        <f>G1584*0.881</f>
        <v>0</v>
      </c>
      <c r="H1583" s="1298">
        <f>VLOOKUP($B1583,dongia1,DG!$F$5,)</f>
        <v>335000</v>
      </c>
      <c r="I1583" s="1298"/>
      <c r="J1583" s="1298">
        <f>VLOOKUP($B1583,dongia1,DG!$G$5,)</f>
        <v>0</v>
      </c>
      <c r="K1583" s="1298">
        <f>VLOOKUP($B1583,dongia1,DG!$H$5,)</f>
        <v>0</v>
      </c>
      <c r="L1583" s="1298">
        <f t="shared" si="365"/>
        <v>0</v>
      </c>
      <c r="M1583" s="1298">
        <f t="shared" si="366"/>
        <v>0</v>
      </c>
      <c r="N1583" s="1298">
        <f t="shared" si="367"/>
        <v>0</v>
      </c>
      <c r="O1583" s="1298">
        <f t="shared" si="368"/>
        <v>0</v>
      </c>
      <c r="P1583" s="1299"/>
      <c r="Q1583" s="1300"/>
      <c r="R1583" s="1300"/>
      <c r="S1583" s="1300"/>
    </row>
    <row r="1584" spans="1:20" s="1081" customFormat="1" hidden="1" outlineLevel="1">
      <c r="A1584" s="1072" t="str">
        <f>IF(G1584&lt;&gt;0,1,"")</f>
        <v/>
      </c>
      <c r="B1584" s="1295" t="s">
        <v>1473</v>
      </c>
      <c r="C1584" s="1302"/>
      <c r="D1584" s="1198" t="str">
        <f>VLOOKUP($B1584,dongia1,DG!$B$5,)</f>
        <v>AF.11220</v>
      </c>
      <c r="E1584" s="1243" t="str">
        <f>VLOOKUP($B1584,dongia1,DG!$C$5,)</f>
        <v>Đổ bê tông mác M200 đá 1x 2rộng &gt;250cm</v>
      </c>
      <c r="F1584" s="1198" t="str">
        <f>VLOOKUP($B1584,dongia1,DG!$D$5,)</f>
        <v>m3</v>
      </c>
      <c r="G1584" s="1304">
        <f>G1579*(0.4*3*1-2*3.14*0.15^2*0.4)</f>
        <v>0</v>
      </c>
      <c r="H1584" s="1298"/>
      <c r="I1584" s="1298"/>
      <c r="J1584" s="1298">
        <f>VLOOKUP($B1584,dongia1,DG!$G$5,)</f>
        <v>466397.5</v>
      </c>
      <c r="K1584" s="1298">
        <f>VLOOKUP($B1584,dongia1,DG!$H$5,)</f>
        <v>0</v>
      </c>
      <c r="L1584" s="1298">
        <f t="shared" si="365"/>
        <v>0</v>
      </c>
      <c r="M1584" s="1298">
        <f t="shared" si="366"/>
        <v>0</v>
      </c>
      <c r="N1584" s="1298">
        <f t="shared" si="367"/>
        <v>0</v>
      </c>
      <c r="O1584" s="1298">
        <f t="shared" si="368"/>
        <v>0</v>
      </c>
      <c r="P1584" s="1299"/>
      <c r="Q1584" s="1306">
        <f>1.025*361</f>
        <v>370.02499999999998</v>
      </c>
      <c r="R1584" s="1306">
        <f>1.025*0.45</f>
        <v>0.46124999999999999</v>
      </c>
      <c r="S1584" s="1306">
        <f>1.025*0.866</f>
        <v>0.88764999999999994</v>
      </c>
      <c r="T1584" s="1307"/>
    </row>
    <row r="1585" spans="1:19" s="1081" customFormat="1" hidden="1" outlineLevel="1">
      <c r="A1585" s="1072" t="str">
        <f>IF(G1585&lt;&gt;0,1,"")</f>
        <v/>
      </c>
      <c r="B1585" s="1295"/>
      <c r="C1585" s="1291">
        <f>IF(G1585&gt;0,C1579+1,C1579)</f>
        <v>0</v>
      </c>
      <c r="D1585" s="1292"/>
      <c r="E1585" s="1416" t="s">
        <v>3442</v>
      </c>
      <c r="F1585" s="1291" t="s">
        <v>2113</v>
      </c>
      <c r="G1585" s="1297">
        <f>G1511</f>
        <v>0</v>
      </c>
      <c r="H1585" s="1298"/>
      <c r="I1585" s="1298"/>
      <c r="J1585" s="1298"/>
      <c r="K1585" s="1298"/>
      <c r="L1585" s="1298">
        <f>H1585*G1585</f>
        <v>0</v>
      </c>
      <c r="M1585" s="1298">
        <f>I1585*G1585</f>
        <v>0</v>
      </c>
      <c r="N1585" s="1298">
        <f>J1585*G1585</f>
        <v>0</v>
      </c>
      <c r="O1585" s="1298">
        <f>K1585*G1585</f>
        <v>0</v>
      </c>
      <c r="P1585" s="1437"/>
      <c r="Q1585" s="1300"/>
      <c r="R1585" s="1300"/>
      <c r="S1585" s="1300"/>
    </row>
    <row r="1586" spans="1:19" s="1081" customFormat="1" ht="14.4" hidden="1" outlineLevel="1">
      <c r="A1586" s="1072" t="str">
        <f>A1585</f>
        <v/>
      </c>
      <c r="B1586" s="1295"/>
      <c r="C1586" s="1291"/>
      <c r="D1586" s="1292"/>
      <c r="E1586" s="1301" t="s">
        <v>3399</v>
      </c>
      <c r="F1586" s="1302"/>
      <c r="G1586" s="1303"/>
      <c r="H1586" s="1298"/>
      <c r="I1586" s="1298"/>
      <c r="J1586" s="1298"/>
      <c r="K1586" s="1298"/>
      <c r="L1586" s="1298">
        <f>H1586*G1586</f>
        <v>0</v>
      </c>
      <c r="M1586" s="1298">
        <f>I1586*G1586</f>
        <v>0</v>
      </c>
      <c r="N1586" s="1298">
        <f>J1586*G1586</f>
        <v>0</v>
      </c>
      <c r="O1586" s="1298">
        <f>K1586*G1586</f>
        <v>0</v>
      </c>
      <c r="P1586" s="1437"/>
      <c r="Q1586" s="1300"/>
      <c r="R1586" s="1300"/>
      <c r="S1586" s="1300"/>
    </row>
    <row r="1587" spans="1:19" s="1081" customFormat="1" hidden="1" outlineLevel="1">
      <c r="A1587" s="1072" t="str">
        <f>IF(G1587&lt;&gt;0,1,"")</f>
        <v/>
      </c>
      <c r="B1587" s="1295" t="s">
        <v>332</v>
      </c>
      <c r="C1587" s="1302"/>
      <c r="D1587" s="1198" t="str">
        <f>VLOOKUP($B1587,dongia1,DG!$B$5,)</f>
        <v>T5.1002</v>
      </c>
      <c r="E1587" s="1243" t="str">
        <f>VLOOKUP($B1587,dongia1,DG!$C$5,)&amp;" + thanh baét MCCB + bulong"</f>
        <v>Tủ MCCB trạm giàn 2 ngăn + thanh baét MCCB + bulong</v>
      </c>
      <c r="F1587" s="1198" t="str">
        <f>VLOOKUP($B1587,dongia1,DG!$D$5,)</f>
        <v>cái</v>
      </c>
      <c r="G1587" s="1303">
        <f>G1585</f>
        <v>0</v>
      </c>
      <c r="H1587" s="1298">
        <f>VLOOKUP($B1587,dongia1,DG!$F$5,)</f>
        <v>5000000</v>
      </c>
      <c r="I1587" s="1298"/>
      <c r="J1587" s="1298">
        <f>VLOOKUP($B1587,dongia1,DG!$G$5,)</f>
        <v>690091</v>
      </c>
      <c r="K1587" s="1298">
        <f>VLOOKUP($B1587,dongia1,DG!$H$5,)</f>
        <v>97369</v>
      </c>
      <c r="L1587" s="1298">
        <f>H1587*G1587</f>
        <v>0</v>
      </c>
      <c r="M1587" s="1298">
        <f>I1587*G1587</f>
        <v>0</v>
      </c>
      <c r="N1587" s="1298">
        <f>J1587*G1587</f>
        <v>0</v>
      </c>
      <c r="O1587" s="1298">
        <f>K1587*G1587</f>
        <v>0</v>
      </c>
      <c r="P1587" s="1437"/>
      <c r="Q1587" s="1300"/>
      <c r="R1587" s="1300"/>
      <c r="S1587" s="1300"/>
    </row>
    <row r="1588" spans="1:19" s="1081" customFormat="1" hidden="1" outlineLevel="1">
      <c r="A1588" s="1072" t="str">
        <f>IF(G1588&lt;&gt;0,1,"")</f>
        <v/>
      </c>
      <c r="B1588" s="1295" t="s">
        <v>1560</v>
      </c>
      <c r="C1588" s="1291"/>
      <c r="D1588" s="1198">
        <f>VLOOKUP($B1588,dongia1,DG!$B$5,)</f>
        <v>0</v>
      </c>
      <c r="E1588" s="1243" t="str">
        <f>VLOOKUP($B1588,dongia1,DG!$C$5,)</f>
        <v xml:space="preserve">Bakelit 500x300 dầy 10mm </v>
      </c>
      <c r="F1588" s="1198" t="str">
        <f>VLOOKUP($B1588,dongia1,DG!$D$5,)</f>
        <v>cái</v>
      </c>
      <c r="G1588" s="1297">
        <f>G1585*1</f>
        <v>0</v>
      </c>
      <c r="H1588" s="1298">
        <f>VLOOKUP($B1588,dongia1,DG!$F$5,)</f>
        <v>284000</v>
      </c>
      <c r="I1588" s="1298"/>
      <c r="J1588" s="1298">
        <f>VLOOKUP($B1588,dongia1,DG!$G$5,)</f>
        <v>5404</v>
      </c>
      <c r="K1588" s="1298">
        <f>VLOOKUP($B1588,dongia1,DG!$H$5,)</f>
        <v>0</v>
      </c>
      <c r="L1588" s="1298">
        <f>H1588*G1588</f>
        <v>0</v>
      </c>
      <c r="M1588" s="1298">
        <f>I1588*G1588</f>
        <v>0</v>
      </c>
      <c r="N1588" s="1298">
        <f>J1588*G1588</f>
        <v>0</v>
      </c>
      <c r="O1588" s="1298">
        <f>K1588*G1588</f>
        <v>0</v>
      </c>
      <c r="P1588" s="1437"/>
      <c r="Q1588" s="1300"/>
      <c r="R1588" s="1300"/>
      <c r="S1588" s="1300"/>
    </row>
    <row r="1589" spans="1:19" s="1081" customFormat="1" hidden="1" outlineLevel="1">
      <c r="A1589" s="1072" t="str">
        <f>IF(G1589&lt;&gt;0,1,"")</f>
        <v/>
      </c>
      <c r="B1589" s="1295" t="s">
        <v>888</v>
      </c>
      <c r="C1589" s="1302"/>
      <c r="D1589" s="1198">
        <f>VLOOKUP($B1589,dongia1,DG!$B$5,)</f>
        <v>0</v>
      </c>
      <c r="E1589" s="1243" t="str">
        <f>VLOOKUP($B1589,dongia1,DG!$C$5,)</f>
        <v>Bảng tên trạm + bảng báo nguy hiểm</v>
      </c>
      <c r="F1589" s="1198" t="str">
        <f>VLOOKUP($B1589,dongia1,DG!$D$5,)</f>
        <v>cái</v>
      </c>
      <c r="G1589" s="1303">
        <f>G1585</f>
        <v>0</v>
      </c>
      <c r="H1589" s="1298">
        <f>VLOOKUP($B1589,dongia1,DG!$F$5,)</f>
        <v>300000</v>
      </c>
      <c r="I1589" s="1298"/>
      <c r="J1589" s="1298">
        <f>VLOOKUP($B1589,dongia1,DG!$G$5,)</f>
        <v>0</v>
      </c>
      <c r="K1589" s="1298">
        <f>VLOOKUP($B1589,dongia1,DG!$H$5,)</f>
        <v>0</v>
      </c>
      <c r="L1589" s="1298">
        <f>H1589*G1589</f>
        <v>0</v>
      </c>
      <c r="M1589" s="1298">
        <f>I1589*G1589</f>
        <v>0</v>
      </c>
      <c r="N1589" s="1298">
        <f>J1589*G1589</f>
        <v>0</v>
      </c>
      <c r="O1589" s="1298">
        <f>K1589*G1589</f>
        <v>0</v>
      </c>
      <c r="P1589" s="1437"/>
      <c r="Q1589" s="1300"/>
      <c r="R1589" s="1300"/>
      <c r="S1589" s="1300"/>
    </row>
    <row r="1590" spans="1:19" s="1081" customFormat="1" hidden="1" outlineLevel="1">
      <c r="A1590" s="1072" t="str">
        <f>IF(G1590&lt;&gt;0,1,"")</f>
        <v/>
      </c>
      <c r="B1590" s="1295"/>
      <c r="C1590" s="1291">
        <f>IF(G1590&gt;0,C1585+1,C1585)</f>
        <v>0</v>
      </c>
      <c r="D1590" s="1292"/>
      <c r="E1590" s="1293" t="s">
        <v>3430</v>
      </c>
      <c r="F1590" s="1291" t="s">
        <v>2113</v>
      </c>
      <c r="G1590" s="1297">
        <f>G1511</f>
        <v>0</v>
      </c>
      <c r="H1590" s="1298"/>
      <c r="I1590" s="1298"/>
      <c r="J1590" s="1298"/>
      <c r="K1590" s="1298"/>
      <c r="L1590" s="1298"/>
      <c r="M1590" s="1298"/>
      <c r="N1590" s="1298"/>
      <c r="O1590" s="1298"/>
      <c r="P1590" s="1437"/>
      <c r="Q1590" s="1300"/>
      <c r="R1590" s="1300"/>
      <c r="S1590" s="1300"/>
    </row>
    <row r="1591" spans="1:19" s="1081" customFormat="1" ht="14.4" hidden="1" outlineLevel="1">
      <c r="A1591" s="1072" t="str">
        <f>A1590</f>
        <v/>
      </c>
      <c r="B1591" s="1295"/>
      <c r="C1591" s="1291"/>
      <c r="D1591" s="1292"/>
      <c r="E1591" s="1308" t="s">
        <v>3399</v>
      </c>
      <c r="F1591" s="1291"/>
      <c r="G1591" s="1297"/>
      <c r="H1591" s="1298"/>
      <c r="I1591" s="1298"/>
      <c r="J1591" s="1298"/>
      <c r="K1591" s="1298"/>
      <c r="L1591" s="1298"/>
      <c r="M1591" s="1298"/>
      <c r="N1591" s="1298"/>
      <c r="O1591" s="1298"/>
      <c r="P1591" s="1437"/>
      <c r="Q1591" s="1300"/>
      <c r="R1591" s="1300"/>
      <c r="S1591" s="1300"/>
    </row>
    <row r="1592" spans="1:19" s="1081" customFormat="1" hidden="1" outlineLevel="1">
      <c r="A1592" s="1072" t="str">
        <f>IF(G1592&lt;&gt;0,1,"")</f>
        <v/>
      </c>
      <c r="B1592" s="1068" t="s">
        <v>648</v>
      </c>
      <c r="C1592" s="1302"/>
      <c r="D1592" s="1198">
        <f>VLOOKUP($B1592,dongia1,DG!$B$5,)</f>
        <v>0</v>
      </c>
      <c r="E1592" s="1243" t="str">
        <f>VLOOKUP($B1592,dongia1,DG!$C$5,)</f>
        <v>Cáp 24KV C/XLPE/PVC- 25mm2</v>
      </c>
      <c r="F1592" s="1198" t="str">
        <f>VLOOKUP($B1592,dongia1,DG!$D$5,)</f>
        <v>mét</v>
      </c>
      <c r="G1592" s="1303">
        <f>G1590*(7)*3</f>
        <v>0</v>
      </c>
      <c r="H1592" s="1298">
        <f>VLOOKUP($B1592,dongia1,DG!$F$5,)</f>
        <v>50996</v>
      </c>
      <c r="I1592" s="1298"/>
      <c r="J1592" s="1298">
        <f>VLOOKUP($B1592,dongia1,DG!$G$5,)</f>
        <v>0</v>
      </c>
      <c r="K1592" s="1298">
        <f>VLOOKUP($B1592,dongia1,DG!$H$5,)</f>
        <v>0</v>
      </c>
      <c r="L1592" s="1298">
        <f t="shared" ref="L1592:L1601" si="369">H1592*G1592</f>
        <v>0</v>
      </c>
      <c r="M1592" s="1298">
        <f>I1592*G1592</f>
        <v>0</v>
      </c>
      <c r="N1592" s="1298">
        <f t="shared" ref="N1592:N1601" si="370">J1592*G1592</f>
        <v>0</v>
      </c>
      <c r="O1592" s="1298">
        <f t="shared" ref="O1592:O1601" si="371">K1592*G1592</f>
        <v>0</v>
      </c>
      <c r="P1592" s="1437"/>
      <c r="Q1592" s="1300"/>
      <c r="R1592" s="1300"/>
      <c r="S1592" s="1300"/>
    </row>
    <row r="1593" spans="1:19" s="1081" customFormat="1" hidden="1" outlineLevel="1">
      <c r="A1593" s="1072" t="str">
        <f t="shared" ref="A1593:A1602" si="372">IF(G1593&lt;&gt;0,1,"")</f>
        <v/>
      </c>
      <c r="B1593" s="1421" t="s">
        <v>2028</v>
      </c>
      <c r="C1593" s="1302"/>
      <c r="D1593" s="1198">
        <f>VLOOKUP($B1593,dongia1,DG!$B$5,)</f>
        <v>0</v>
      </c>
      <c r="E1593" s="1243" t="str">
        <f>VLOOKUP($B1593,dongia1,DG!$C$5,)</f>
        <v>Kẹp quai 2/0</v>
      </c>
      <c r="F1593" s="1198" t="str">
        <f>VLOOKUP($B1593,dongia1,DG!$D$5,)</f>
        <v>cái</v>
      </c>
      <c r="G1593" s="1303">
        <f>G1590*3</f>
        <v>0</v>
      </c>
      <c r="H1593" s="1298">
        <f>VLOOKUP($B1593,dongia1,DG!$F$5,)</f>
        <v>46000</v>
      </c>
      <c r="I1593" s="1298"/>
      <c r="J1593" s="1298">
        <f>VLOOKUP($B1593,dongia1,DG!$G$5,)</f>
        <v>0</v>
      </c>
      <c r="K1593" s="1298">
        <f>VLOOKUP($B1593,dongia1,DG!$H$5,)</f>
        <v>0</v>
      </c>
      <c r="L1593" s="1298">
        <f t="shared" si="369"/>
        <v>0</v>
      </c>
      <c r="M1593" s="1298">
        <f t="shared" ref="M1593:M1601" si="373">I1593*G1593</f>
        <v>0</v>
      </c>
      <c r="N1593" s="1298">
        <f t="shared" si="370"/>
        <v>0</v>
      </c>
      <c r="O1593" s="1298">
        <f t="shared" si="371"/>
        <v>0</v>
      </c>
      <c r="P1593" s="1437"/>
      <c r="Q1593" s="1300"/>
      <c r="R1593" s="1300"/>
      <c r="S1593" s="1300"/>
    </row>
    <row r="1594" spans="1:19" s="1081" customFormat="1" hidden="1" outlineLevel="1">
      <c r="A1594" s="1072" t="str">
        <f t="shared" si="372"/>
        <v/>
      </c>
      <c r="B1594" s="1421" t="s">
        <v>2026</v>
      </c>
      <c r="C1594" s="1302"/>
      <c r="D1594" s="1198">
        <f>VLOOKUP($B1594,dongia1,DG!$B$5,)</f>
        <v>0</v>
      </c>
      <c r="E1594" s="1243" t="str">
        <f>VLOOKUP($B1594,dongia1,DG!$C$5,)</f>
        <v>Kẹp hotline 2/0</v>
      </c>
      <c r="F1594" s="1198" t="str">
        <f>VLOOKUP($B1594,dongia1,DG!$D$5,)</f>
        <v>cái</v>
      </c>
      <c r="G1594" s="1303">
        <f>G1593</f>
        <v>0</v>
      </c>
      <c r="H1594" s="1298">
        <f>VLOOKUP($B1594,dongia1,DG!$F$5,)</f>
        <v>77000</v>
      </c>
      <c r="I1594" s="1298"/>
      <c r="J1594" s="1298">
        <f>VLOOKUP($B1594,dongia1,DG!$G$5,)</f>
        <v>0</v>
      </c>
      <c r="K1594" s="1298">
        <f>VLOOKUP($B1594,dongia1,DG!$H$5,)</f>
        <v>0</v>
      </c>
      <c r="L1594" s="1298">
        <f t="shared" si="369"/>
        <v>0</v>
      </c>
      <c r="M1594" s="1298">
        <f t="shared" si="373"/>
        <v>0</v>
      </c>
      <c r="N1594" s="1298">
        <f t="shared" si="370"/>
        <v>0</v>
      </c>
      <c r="O1594" s="1298">
        <f t="shared" si="371"/>
        <v>0</v>
      </c>
      <c r="P1594" s="1437"/>
      <c r="Q1594" s="1300"/>
      <c r="R1594" s="1300"/>
      <c r="S1594" s="1300"/>
    </row>
    <row r="1595" spans="1:19" s="1081" customFormat="1" hidden="1" outlineLevel="1">
      <c r="A1595" s="1072" t="str">
        <f>IF(G1595&lt;&gt;0,1,"")</f>
        <v/>
      </c>
      <c r="B1595" s="1421" t="s">
        <v>2144</v>
      </c>
      <c r="C1595" s="1302"/>
      <c r="D1595" s="1198">
        <f>VLOOKUP($B1595,dongia1,DG!$B$5,)</f>
        <v>0</v>
      </c>
      <c r="E1595" s="1243" t="str">
        <f>VLOOKUP($B1595,dongia1,DG!$C$5,)</f>
        <v>Nắp che đầu cực FCO</v>
      </c>
      <c r="F1595" s="1198" t="str">
        <f>VLOOKUP($B1595,dongia1,DG!$D$5,)</f>
        <v>cái</v>
      </c>
      <c r="G1595" s="1303">
        <f>+G1590*3</f>
        <v>0</v>
      </c>
      <c r="H1595" s="1298">
        <f>VLOOKUP($B1595,dongia1,DG!$F$5,)</f>
        <v>218200</v>
      </c>
      <c r="I1595" s="1298"/>
      <c r="J1595" s="1298">
        <f>VLOOKUP($B1595,dongia1,DG!$G$5,)</f>
        <v>0</v>
      </c>
      <c r="K1595" s="1298">
        <f>VLOOKUP($B1595,dongia1,DG!$H$5,)</f>
        <v>0</v>
      </c>
      <c r="L1595" s="1298">
        <f>H1595*G1595</f>
        <v>0</v>
      </c>
      <c r="M1595" s="1298">
        <f>I1595*G1595</f>
        <v>0</v>
      </c>
      <c r="N1595" s="1298">
        <f>J1595*G1595</f>
        <v>0</v>
      </c>
      <c r="O1595" s="1298">
        <f>K1595*G1595</f>
        <v>0</v>
      </c>
      <c r="P1595" s="1299"/>
      <c r="Q1595" s="1300"/>
      <c r="R1595" s="1300"/>
      <c r="S1595" s="1300"/>
    </row>
    <row r="1596" spans="1:19" s="1081" customFormat="1" hidden="1" outlineLevel="1">
      <c r="A1596" s="1072" t="str">
        <f>IF(G1596&lt;&gt;0,1,"")</f>
        <v/>
      </c>
      <c r="B1596" s="1421" t="s">
        <v>2121</v>
      </c>
      <c r="C1596" s="1302"/>
      <c r="D1596" s="1198">
        <f>VLOOKUP($B1596,dongia1,DG!$B$5,)</f>
        <v>0</v>
      </c>
      <c r="E1596" s="1243" t="str">
        <f>VLOOKUP($B1596,dongia1,DG!$C$5,)</f>
        <v>Nắp che đầu cực LA</v>
      </c>
      <c r="F1596" s="1198" t="str">
        <f>VLOOKUP($B1596,dongia1,DG!$D$5,)</f>
        <v>cái</v>
      </c>
      <c r="G1596" s="1303">
        <f>+G1590*3</f>
        <v>0</v>
      </c>
      <c r="H1596" s="1298">
        <f>VLOOKUP($B1596,dongia1,DG!$F$5,)</f>
        <v>39100</v>
      </c>
      <c r="I1596" s="1298"/>
      <c r="J1596" s="1298">
        <f>VLOOKUP($B1596,dongia1,DG!$G$5,)</f>
        <v>0</v>
      </c>
      <c r="K1596" s="1298">
        <f>VLOOKUP($B1596,dongia1,DG!$H$5,)</f>
        <v>0</v>
      </c>
      <c r="L1596" s="1298">
        <f>H1596*G1596</f>
        <v>0</v>
      </c>
      <c r="M1596" s="1298">
        <f>I1596*G1596</f>
        <v>0</v>
      </c>
      <c r="N1596" s="1298">
        <f>J1596*G1596</f>
        <v>0</v>
      </c>
      <c r="O1596" s="1298">
        <f>K1596*G1596</f>
        <v>0</v>
      </c>
      <c r="P1596" s="1299"/>
      <c r="Q1596" s="1300"/>
      <c r="R1596" s="1300"/>
      <c r="S1596" s="1300"/>
    </row>
    <row r="1597" spans="1:19" s="1081" customFormat="1" hidden="1" outlineLevel="1">
      <c r="A1597" s="1072" t="str">
        <f>IF(G1597&lt;&gt;0,1,"")</f>
        <v/>
      </c>
      <c r="B1597" s="1421" t="s">
        <v>2123</v>
      </c>
      <c r="C1597" s="1302"/>
      <c r="D1597" s="1198">
        <f>VLOOKUP($B1597,dongia1,DG!$B$5,)</f>
        <v>0</v>
      </c>
      <c r="E1597" s="1243" t="str">
        <f>VLOOKUP($B1597,dongia1,DG!$C$5,)</f>
        <v>Nắp che đầu sứ MBA</v>
      </c>
      <c r="F1597" s="1198" t="str">
        <f>VLOOKUP($B1597,dongia1,DG!$D$5,)</f>
        <v>cái</v>
      </c>
      <c r="G1597" s="1303">
        <f>+G1590*3</f>
        <v>0</v>
      </c>
      <c r="H1597" s="1298">
        <f>VLOOKUP($B1597,dongia1,DG!$F$5,)</f>
        <v>56700</v>
      </c>
      <c r="I1597" s="1298"/>
      <c r="J1597" s="1298">
        <f>VLOOKUP($B1597,dongia1,DG!$G$5,)</f>
        <v>0</v>
      </c>
      <c r="K1597" s="1298">
        <f>VLOOKUP($B1597,dongia1,DG!$H$5,)</f>
        <v>0</v>
      </c>
      <c r="L1597" s="1298">
        <f>H1597*G1597</f>
        <v>0</v>
      </c>
      <c r="M1597" s="1298">
        <f>I1597*G1597</f>
        <v>0</v>
      </c>
      <c r="N1597" s="1298">
        <f>J1597*G1597</f>
        <v>0</v>
      </c>
      <c r="O1597" s="1298">
        <f>K1597*G1597</f>
        <v>0</v>
      </c>
      <c r="P1597" s="1299"/>
      <c r="Q1597" s="1300"/>
      <c r="R1597" s="1300"/>
      <c r="S1597" s="1300"/>
    </row>
    <row r="1598" spans="1:19" s="1081" customFormat="1" hidden="1" outlineLevel="1">
      <c r="A1598" s="1072" t="str">
        <f t="shared" si="372"/>
        <v/>
      </c>
      <c r="B1598" s="1068" t="s">
        <v>647</v>
      </c>
      <c r="C1598" s="1437"/>
      <c r="D1598" s="1198">
        <f>VLOOKUP($B1598,dongia1,DG!$B$5,)</f>
        <v>0</v>
      </c>
      <c r="E1598" s="1243" t="str">
        <f>VLOOKUP($B1598,dongia1,DG!$C$5,)</f>
        <v xml:space="preserve">Sứ đứng 24KV </v>
      </c>
      <c r="F1598" s="1198" t="str">
        <f>VLOOKUP($B1598,dongia1,DG!$D$5,)</f>
        <v>cái</v>
      </c>
      <c r="G1598" s="1303">
        <f>G1590*6</f>
        <v>0</v>
      </c>
      <c r="H1598" s="1298">
        <f>VLOOKUP($B1598,dongia1,DG!$F$5,)</f>
        <v>205000</v>
      </c>
      <c r="I1598" s="1298"/>
      <c r="J1598" s="1298">
        <f>VLOOKUP($B1598,dongia1,DG!$G$5,)</f>
        <v>0</v>
      </c>
      <c r="K1598" s="1298">
        <f>VLOOKUP($B1598,dongia1,DG!$H$5,)</f>
        <v>0</v>
      </c>
      <c r="L1598" s="1298">
        <f t="shared" si="369"/>
        <v>0</v>
      </c>
      <c r="M1598" s="1298">
        <f t="shared" si="373"/>
        <v>0</v>
      </c>
      <c r="N1598" s="1298">
        <f t="shared" si="370"/>
        <v>0</v>
      </c>
      <c r="O1598" s="1298">
        <f t="shared" si="371"/>
        <v>0</v>
      </c>
      <c r="P1598" s="1437"/>
      <c r="Q1598" s="1300"/>
      <c r="R1598" s="1300"/>
      <c r="S1598" s="1300"/>
    </row>
    <row r="1599" spans="1:19" s="1081" customFormat="1" hidden="1" outlineLevel="1">
      <c r="A1599" s="1072" t="str">
        <f t="shared" si="372"/>
        <v/>
      </c>
      <c r="B1599" s="1068" t="s">
        <v>414</v>
      </c>
      <c r="C1599" s="1302"/>
      <c r="D1599" s="1198">
        <f>VLOOKUP($B1599,dongia1,DG!$B$5,)</f>
        <v>0</v>
      </c>
      <c r="E1599" s="1243" t="str">
        <f>VLOOKUP($B1599,dongia1,DG!$C$5,)</f>
        <v>Chân sứ đứng D20</v>
      </c>
      <c r="F1599" s="1198" t="str">
        <f>VLOOKUP($B1599,dongia1,DG!$D$5,)</f>
        <v>cái</v>
      </c>
      <c r="G1599" s="1303">
        <f>G1598</f>
        <v>0</v>
      </c>
      <c r="H1599" s="1298">
        <f>VLOOKUP($B1599,dongia1,DG!$F$5,)</f>
        <v>65000</v>
      </c>
      <c r="I1599" s="1298"/>
      <c r="J1599" s="1298">
        <f>VLOOKUP($B1599,dongia1,DG!$G$5,)</f>
        <v>0</v>
      </c>
      <c r="K1599" s="1298">
        <f>VLOOKUP($B1599,dongia1,DG!$H$5,)</f>
        <v>0</v>
      </c>
      <c r="L1599" s="1298">
        <f t="shared" si="369"/>
        <v>0</v>
      </c>
      <c r="M1599" s="1298">
        <f t="shared" si="373"/>
        <v>0</v>
      </c>
      <c r="N1599" s="1298">
        <f t="shared" si="370"/>
        <v>0</v>
      </c>
      <c r="O1599" s="1298">
        <f t="shared" si="371"/>
        <v>0</v>
      </c>
      <c r="P1599" s="1437"/>
      <c r="Q1599" s="1300"/>
      <c r="R1599" s="1300"/>
      <c r="S1599" s="1300"/>
    </row>
    <row r="1600" spans="1:19" s="1081" customFormat="1" hidden="1" outlineLevel="1">
      <c r="A1600" s="1072" t="str">
        <f t="shared" si="372"/>
        <v/>
      </c>
      <c r="B1600" s="1068" t="s">
        <v>742</v>
      </c>
      <c r="C1600" s="1302"/>
      <c r="D1600" s="1198" t="str">
        <f>VLOOKUP($B1600,dongia1,DG!$B$5,)</f>
        <v>D3.1115</v>
      </c>
      <c r="E1600" s="1243" t="str">
        <f>VLOOKUP($B1600,dongia1,DG!$C$5,)</f>
        <v>Lắp sứ đứng 24KV</v>
      </c>
      <c r="F1600" s="1198" t="str">
        <f>VLOOKUP($B1600,dongia1,DG!$D$5,)</f>
        <v>bộ</v>
      </c>
      <c r="G1600" s="1303">
        <f>G1599</f>
        <v>0</v>
      </c>
      <c r="H1600" s="1298"/>
      <c r="I1600" s="1298"/>
      <c r="J1600" s="1298">
        <f>VLOOKUP($B1600,dongia1,DG!$G$5,)</f>
        <v>58277.49</v>
      </c>
      <c r="K1600" s="1298"/>
      <c r="L1600" s="1298">
        <f t="shared" si="369"/>
        <v>0</v>
      </c>
      <c r="M1600" s="1298">
        <f t="shared" si="373"/>
        <v>0</v>
      </c>
      <c r="N1600" s="1298">
        <f t="shared" si="370"/>
        <v>0</v>
      </c>
      <c r="O1600" s="1298">
        <f t="shared" si="371"/>
        <v>0</v>
      </c>
      <c r="P1600" s="1437"/>
      <c r="Q1600" s="1300"/>
      <c r="R1600" s="1300"/>
      <c r="S1600" s="1300"/>
    </row>
    <row r="1601" spans="1:19" s="1081" customFormat="1" hidden="1" outlineLevel="1">
      <c r="A1601" s="1072" t="str">
        <f t="shared" si="372"/>
        <v/>
      </c>
      <c r="B1601" s="1068" t="s">
        <v>224</v>
      </c>
      <c r="C1601" s="1302"/>
      <c r="D1601" s="1198" t="str">
        <f>VLOOKUP($B1601,dongia1,DG!$B$5,)</f>
        <v>T4.4201</v>
      </c>
      <c r="E1601" s="1243" t="str">
        <f>VLOOKUP($B1601,dongia1,DG!$C$5,)</f>
        <v>Lắp cáp đồng xuống thiết bị D ≤ 95mm2</v>
      </c>
      <c r="F1601" s="1198" t="str">
        <f>VLOOKUP($B1601,dongia1,DG!$D$5,)</f>
        <v>m</v>
      </c>
      <c r="G1601" s="1303">
        <f>G1592</f>
        <v>0</v>
      </c>
      <c r="H1601" s="1298"/>
      <c r="I1601" s="1298"/>
      <c r="J1601" s="1298">
        <f>VLOOKUP($B1601,dongia1,DG!$G$5,)</f>
        <v>13915</v>
      </c>
      <c r="K1601" s="1298"/>
      <c r="L1601" s="1298">
        <f t="shared" si="369"/>
        <v>0</v>
      </c>
      <c r="M1601" s="1298">
        <f t="shared" si="373"/>
        <v>0</v>
      </c>
      <c r="N1601" s="1298">
        <f t="shared" si="370"/>
        <v>0</v>
      </c>
      <c r="O1601" s="1298">
        <f t="shared" si="371"/>
        <v>0</v>
      </c>
      <c r="P1601" s="1437"/>
      <c r="Q1601" s="1300"/>
      <c r="R1601" s="1300"/>
      <c r="S1601" s="1300"/>
    </row>
    <row r="1602" spans="1:19" s="1081" customFormat="1" hidden="1" outlineLevel="1">
      <c r="A1602" s="1072" t="str">
        <f t="shared" si="372"/>
        <v/>
      </c>
      <c r="B1602" s="1295"/>
      <c r="C1602" s="1291">
        <f>IF(G1602&gt;0,C1590+1,C1590)</f>
        <v>0</v>
      </c>
      <c r="D1602" s="1292"/>
      <c r="E1602" s="1293" t="s">
        <v>3434</v>
      </c>
      <c r="F1602" s="1291" t="s">
        <v>2113</v>
      </c>
      <c r="G1602" s="1297">
        <f>+G1516</f>
        <v>0</v>
      </c>
      <c r="H1602" s="1298"/>
      <c r="I1602" s="1298"/>
      <c r="J1602" s="1298"/>
      <c r="K1602" s="1298"/>
      <c r="L1602" s="1298"/>
      <c r="M1602" s="1298"/>
      <c r="N1602" s="1298"/>
      <c r="O1602" s="1298"/>
      <c r="P1602" s="1299"/>
      <c r="Q1602" s="1300"/>
      <c r="R1602" s="1300"/>
      <c r="S1602" s="1300"/>
    </row>
    <row r="1603" spans="1:19" s="1081" customFormat="1" ht="14.4" hidden="1" outlineLevel="1">
      <c r="A1603" s="1072" t="str">
        <f>A1602</f>
        <v/>
      </c>
      <c r="B1603" s="1295"/>
      <c r="C1603" s="1291"/>
      <c r="D1603" s="1292"/>
      <c r="E1603" s="1308" t="s">
        <v>3399</v>
      </c>
      <c r="F1603" s="1291"/>
      <c r="G1603" s="1297"/>
      <c r="H1603" s="1298"/>
      <c r="I1603" s="1298"/>
      <c r="J1603" s="1298"/>
      <c r="K1603" s="1298"/>
      <c r="L1603" s="1298"/>
      <c r="M1603" s="1298"/>
      <c r="N1603" s="1298"/>
      <c r="O1603" s="1298"/>
      <c r="P1603" s="1299"/>
      <c r="Q1603" s="1300"/>
      <c r="R1603" s="1300"/>
      <c r="S1603" s="1300"/>
    </row>
    <row r="1604" spans="1:19" s="1081" customFormat="1" hidden="1" outlineLevel="1">
      <c r="A1604" s="1072" t="str">
        <f>IF(G1604&lt;&gt;0,1,"")</f>
        <v/>
      </c>
      <c r="B1604" s="1295" t="s">
        <v>2039</v>
      </c>
      <c r="C1604" s="1302"/>
      <c r="D1604" s="1198">
        <f>VLOOKUP($B1604,dongia1,DG!$B$5,)</f>
        <v>0</v>
      </c>
      <c r="E1604" s="1243" t="str">
        <f>VLOOKUP($B1604,dongia1,DG!$C$5,)</f>
        <v xml:space="preserve">Ống PVC D90x3,8mm </v>
      </c>
      <c r="F1604" s="1198" t="str">
        <f>VLOOKUP($B1604,dongia1,DG!$D$5,)</f>
        <v>m</v>
      </c>
      <c r="G1604" s="1303">
        <f>G1602*2</f>
        <v>0</v>
      </c>
      <c r="H1604" s="1298">
        <f>VLOOKUP($B1604,dongia1,DG!$F$5,)</f>
        <v>63200</v>
      </c>
      <c r="I1604" s="1298"/>
      <c r="J1604" s="1298">
        <f>VLOOKUP($B1604,dongia1,DG!$G$5,)</f>
        <v>0</v>
      </c>
      <c r="K1604" s="1298">
        <f>VLOOKUP($B1604,dongia1,DG!$H$5,)</f>
        <v>0</v>
      </c>
      <c r="L1604" s="1298">
        <f>H1604*G1604</f>
        <v>0</v>
      </c>
      <c r="M1604" s="1298">
        <f>I1604*G1604</f>
        <v>0</v>
      </c>
      <c r="N1604" s="1298">
        <f>J1604*G1604</f>
        <v>0</v>
      </c>
      <c r="O1604" s="1298">
        <f>K1604*G1604</f>
        <v>0</v>
      </c>
      <c r="P1604" s="1299"/>
      <c r="Q1604" s="1300"/>
      <c r="R1604" s="1300"/>
      <c r="S1604" s="1300"/>
    </row>
    <row r="1605" spans="1:19" s="1081" customFormat="1" hidden="1" outlineLevel="1">
      <c r="A1605" s="1072" t="str">
        <f>IF(G1605&lt;&gt;0,1,"")</f>
        <v/>
      </c>
      <c r="B1605" s="1295" t="s">
        <v>561</v>
      </c>
      <c r="C1605" s="1302"/>
      <c r="D1605" s="1198">
        <f>VLOOKUP($B1605,dongia1,DG!$B$5,)</f>
        <v>0</v>
      </c>
      <c r="E1605" s="1243" t="str">
        <f>VLOOKUP($B1605,dongia1,DG!$C$5,)</f>
        <v>Co  90 độ PVC 90 (loại dày)</v>
      </c>
      <c r="F1605" s="1198" t="str">
        <f>VLOOKUP($B1605,dongia1,DG!$D$5,)</f>
        <v>cái</v>
      </c>
      <c r="G1605" s="1303">
        <f>G1602*2</f>
        <v>0</v>
      </c>
      <c r="H1605" s="1298">
        <f>VLOOKUP($B1605,dongia1,DG!$F$5,)</f>
        <v>45400</v>
      </c>
      <c r="I1605" s="1298"/>
      <c r="J1605" s="1298">
        <f>VLOOKUP($B1605,dongia1,DG!$G$5,)</f>
        <v>0</v>
      </c>
      <c r="K1605" s="1298">
        <f>VLOOKUP($B1605,dongia1,DG!$H$5,)</f>
        <v>0</v>
      </c>
      <c r="L1605" s="1298">
        <f>H1605*G1605</f>
        <v>0</v>
      </c>
      <c r="M1605" s="1298">
        <f>I1605*G1605</f>
        <v>0</v>
      </c>
      <c r="N1605" s="1298">
        <f>J1605*G1605</f>
        <v>0</v>
      </c>
      <c r="O1605" s="1298">
        <f>K1605*G1605</f>
        <v>0</v>
      </c>
      <c r="P1605" s="1299"/>
      <c r="Q1605" s="1300"/>
      <c r="R1605" s="1300"/>
      <c r="S1605" s="1300"/>
    </row>
    <row r="1606" spans="1:19" s="1081" customFormat="1" hidden="1" outlineLevel="1">
      <c r="A1606" s="1072" t="str">
        <f>IF(G1606&lt;&gt;0,1,"")</f>
        <v/>
      </c>
      <c r="B1606" s="1295" t="s">
        <v>705</v>
      </c>
      <c r="C1606" s="1302"/>
      <c r="D1606" s="1198">
        <f>VLOOKUP($B1606,dongia1,DG!$B$5,)</f>
        <v>0</v>
      </c>
      <c r="E1606" s="1243" t="str">
        <f>VLOOKUP($B1606,dongia1,DG!$C$5,)</f>
        <v>Khâu ven răng trong D90</v>
      </c>
      <c r="F1606" s="1198" t="str">
        <f>VLOOKUP($B1606,dongia1,DG!$D$5,)</f>
        <v>cái</v>
      </c>
      <c r="G1606" s="1303">
        <f>G1602*1</f>
        <v>0</v>
      </c>
      <c r="H1606" s="1298">
        <f>VLOOKUP($B1606,dongia1,DG!$F$5,)</f>
        <v>25800</v>
      </c>
      <c r="I1606" s="1298"/>
      <c r="J1606" s="1298">
        <f>VLOOKUP($B1606,dongia1,DG!$G$5,)</f>
        <v>0</v>
      </c>
      <c r="K1606" s="1298">
        <f>VLOOKUP($B1606,dongia1,DG!$H$5,)</f>
        <v>0</v>
      </c>
      <c r="L1606" s="1298">
        <f>H1606*G1606</f>
        <v>0</v>
      </c>
      <c r="M1606" s="1298">
        <f>I1606*G1606</f>
        <v>0</v>
      </c>
      <c r="N1606" s="1298">
        <f>J1606*G1606</f>
        <v>0</v>
      </c>
      <c r="O1606" s="1298">
        <f>K1606*G1606</f>
        <v>0</v>
      </c>
      <c r="P1606" s="1299"/>
      <c r="Q1606" s="1300"/>
      <c r="R1606" s="1300"/>
      <c r="S1606" s="1300"/>
    </row>
    <row r="1607" spans="1:19" s="1081" customFormat="1" hidden="1" outlineLevel="1">
      <c r="A1607" s="1072" t="str">
        <f>IF(G1607&lt;&gt;0,1,"")</f>
        <v/>
      </c>
      <c r="B1607" s="1295" t="s">
        <v>704</v>
      </c>
      <c r="C1607" s="1302"/>
      <c r="D1607" s="1198">
        <f>VLOOKUP($B1607,dongia1,DG!$B$5,)</f>
        <v>0</v>
      </c>
      <c r="E1607" s="1243" t="str">
        <f>VLOOKUP($B1607,dongia1,DG!$C$5,)</f>
        <v>Khâu ven răng ngoài D90</v>
      </c>
      <c r="F1607" s="1198" t="str">
        <f>VLOOKUP($B1607,dongia1,DG!$D$5,)</f>
        <v>cái</v>
      </c>
      <c r="G1607" s="1303">
        <f>G1606</f>
        <v>0</v>
      </c>
      <c r="H1607" s="1298">
        <f>VLOOKUP($B1607,dongia1,DG!$F$5,)</f>
        <v>21500</v>
      </c>
      <c r="I1607" s="1298"/>
      <c r="J1607" s="1298">
        <f>VLOOKUP($B1607,dongia1,DG!$G$5,)</f>
        <v>0</v>
      </c>
      <c r="K1607" s="1298">
        <f>VLOOKUP($B1607,dongia1,DG!$H$5,)</f>
        <v>0</v>
      </c>
      <c r="L1607" s="1298">
        <f>H1607*G1607</f>
        <v>0</v>
      </c>
      <c r="M1607" s="1298">
        <f>I1607*G1607</f>
        <v>0</v>
      </c>
      <c r="N1607" s="1298">
        <f>J1607*G1607</f>
        <v>0</v>
      </c>
      <c r="O1607" s="1298">
        <f>K1607*G1607</f>
        <v>0</v>
      </c>
      <c r="P1607" s="1299"/>
      <c r="Q1607" s="1300"/>
      <c r="R1607" s="1300"/>
      <c r="S1607" s="1300"/>
    </row>
    <row r="1608" spans="1:19" s="1081" customFormat="1" hidden="1" outlineLevel="1">
      <c r="A1608" s="1072" t="str">
        <f>IF(G1608&lt;&gt;0,1,"")</f>
        <v/>
      </c>
      <c r="B1608" s="1068"/>
      <c r="C1608" s="1291">
        <f>IF(G1608&gt;0,C1602+1,C1602)</f>
        <v>0</v>
      </c>
      <c r="D1608" s="1292"/>
      <c r="E1608" s="1293" t="s">
        <v>3448</v>
      </c>
      <c r="F1608" s="1291" t="s">
        <v>2113</v>
      </c>
      <c r="G1608" s="1303">
        <f>G1585</f>
        <v>0</v>
      </c>
      <c r="H1608" s="1298"/>
      <c r="I1608" s="1298"/>
      <c r="J1608" s="1298"/>
      <c r="K1608" s="1298"/>
      <c r="L1608" s="1298"/>
      <c r="M1608" s="1298"/>
      <c r="N1608" s="1298"/>
      <c r="O1608" s="1298"/>
      <c r="P1608" s="1437"/>
      <c r="Q1608" s="1300"/>
      <c r="R1608" s="1300"/>
      <c r="S1608" s="1300"/>
    </row>
    <row r="1609" spans="1:19" s="1081" customFormat="1" ht="14.4" hidden="1" outlineLevel="1">
      <c r="A1609" s="1072" t="str">
        <f>A1608</f>
        <v/>
      </c>
      <c r="B1609" s="1068"/>
      <c r="C1609" s="1291"/>
      <c r="D1609" s="1292"/>
      <c r="E1609" s="1308" t="s">
        <v>3399</v>
      </c>
      <c r="F1609" s="1291"/>
      <c r="G1609" s="1303"/>
      <c r="H1609" s="1298"/>
      <c r="I1609" s="1298"/>
      <c r="J1609" s="1298"/>
      <c r="K1609" s="1298"/>
      <c r="L1609" s="1298"/>
      <c r="M1609" s="1298"/>
      <c r="N1609" s="1298"/>
      <c r="O1609" s="1298"/>
      <c r="P1609" s="1437"/>
      <c r="Q1609" s="1300"/>
      <c r="R1609" s="1300"/>
      <c r="S1609" s="1300"/>
    </row>
    <row r="1610" spans="1:19" s="1081" customFormat="1" hidden="1" outlineLevel="1">
      <c r="A1610" s="1072" t="str">
        <f t="shared" ref="A1610:A1625" si="374">IF(G1610&lt;&gt;0,1,"")</f>
        <v/>
      </c>
      <c r="B1610" s="1295" t="s">
        <v>1255</v>
      </c>
      <c r="C1610" s="1302"/>
      <c r="D1610" s="1198">
        <f>VLOOKUP($B1610,dongia1,DG!$B$5,)</f>
        <v>0</v>
      </c>
      <c r="E1610" s="1243" t="str">
        <f>VLOOKUP($B1610,dongia1,DG!$C$5,)</f>
        <v>Cáp đồng bọc CV300</v>
      </c>
      <c r="F1610" s="1198" t="str">
        <f>VLOOKUP($B1610,dongia1,DG!$D$5,)</f>
        <v>mét</v>
      </c>
      <c r="G1610" s="1473">
        <f>6*3*G1608</f>
        <v>0</v>
      </c>
      <c r="H1610" s="1298">
        <f>VLOOKUP($B1610,dongia1,DG!$F$5,)</f>
        <v>684900</v>
      </c>
      <c r="I1610" s="1298"/>
      <c r="J1610" s="1298">
        <f>VLOOKUP($B1610,dongia1,DG!$G$5,)</f>
        <v>0</v>
      </c>
      <c r="K1610" s="1298">
        <f>VLOOKUP($B1610,dongia1,DG!$H$5,)</f>
        <v>0</v>
      </c>
      <c r="L1610" s="1298">
        <f t="shared" ref="L1610:L1624" si="375">H1610*G1610</f>
        <v>0</v>
      </c>
      <c r="M1610" s="1298">
        <f t="shared" ref="M1610:M1624" si="376">I1610*G1610</f>
        <v>0</v>
      </c>
      <c r="N1610" s="1298">
        <f t="shared" ref="N1610:N1624" si="377">J1610*G1610</f>
        <v>0</v>
      </c>
      <c r="O1610" s="1298">
        <f t="shared" ref="O1610:O1624" si="378">K1610*G1610</f>
        <v>0</v>
      </c>
      <c r="P1610" s="1437"/>
      <c r="Q1610" s="1300"/>
      <c r="R1610" s="1300"/>
      <c r="S1610" s="1300"/>
    </row>
    <row r="1611" spans="1:19" s="1081" customFormat="1" hidden="1" outlineLevel="1">
      <c r="A1611" s="1072" t="str">
        <f t="shared" si="374"/>
        <v/>
      </c>
      <c r="B1611" s="1295" t="s">
        <v>1313</v>
      </c>
      <c r="C1611" s="1302"/>
      <c r="D1611" s="1198">
        <f>VLOOKUP($B1611,dongia1,DG!$B$5,)</f>
        <v>0</v>
      </c>
      <c r="E1611" s="1243" t="str">
        <f>VLOOKUP($B1611,dongia1,DG!$C$5,)</f>
        <v>Cáp đồng bọc CV150</v>
      </c>
      <c r="F1611" s="1198" t="str">
        <f>VLOOKUP($B1611,dongia1,DG!$D$5,)</f>
        <v>mét</v>
      </c>
      <c r="G1611" s="1473">
        <f>6*G1608</f>
        <v>0</v>
      </c>
      <c r="H1611" s="1298">
        <f>VLOOKUP($B1611,dongia1,DG!$F$5,)</f>
        <v>194893</v>
      </c>
      <c r="I1611" s="1298"/>
      <c r="J1611" s="1298">
        <f>VLOOKUP($B1611,dongia1,DG!$G$5,)</f>
        <v>0</v>
      </c>
      <c r="K1611" s="1298">
        <f>VLOOKUP($B1611,dongia1,DG!$H$5,)</f>
        <v>0</v>
      </c>
      <c r="L1611" s="1298">
        <f t="shared" si="375"/>
        <v>0</v>
      </c>
      <c r="M1611" s="1298">
        <f t="shared" si="376"/>
        <v>0</v>
      </c>
      <c r="N1611" s="1298">
        <f t="shared" si="377"/>
        <v>0</v>
      </c>
      <c r="O1611" s="1298">
        <f t="shared" si="378"/>
        <v>0</v>
      </c>
      <c r="P1611" s="1437"/>
      <c r="Q1611" s="1300"/>
      <c r="R1611" s="1300"/>
      <c r="S1611" s="1300"/>
    </row>
    <row r="1612" spans="1:19" s="1081" customFormat="1" hidden="1" outlineLevel="1">
      <c r="A1612" s="1072" t="str">
        <f>IF(G1612&lt;&gt;0,1,"")</f>
        <v/>
      </c>
      <c r="B1612" s="1295" t="s">
        <v>865</v>
      </c>
      <c r="C1612" s="1302"/>
      <c r="D1612" s="1198" t="str">
        <f>VLOOKUP($B1612,dongia1,DG!$B$5,)</f>
        <v>03.1401</v>
      </c>
      <c r="E1612" s="1243" t="str">
        <f>VLOOKUP($B1612,dongia1,DG!$C$5,)</f>
        <v xml:space="preserve">Cáp CVV 4x2,5mm2  </v>
      </c>
      <c r="F1612" s="1198" t="str">
        <f>VLOOKUP($B1612,dongia1,DG!$D$5,)</f>
        <v>mét</v>
      </c>
      <c r="G1612" s="1303">
        <f>+G1608*4</f>
        <v>0</v>
      </c>
      <c r="H1612" s="1298">
        <f>VLOOKUP($B1612,dongia1,DG!$F$5,)</f>
        <v>28200</v>
      </c>
      <c r="I1612" s="1298"/>
      <c r="J1612" s="1298">
        <f>VLOOKUP($B1612,dongia1,DG!$G$5,)</f>
        <v>0</v>
      </c>
      <c r="K1612" s="1298">
        <f>VLOOKUP($B1612,dongia1,DG!$H$5,)</f>
        <v>0</v>
      </c>
      <c r="L1612" s="1298">
        <f>H1612*G1612</f>
        <v>0</v>
      </c>
      <c r="M1612" s="1298">
        <f>I1612*G1612</f>
        <v>0</v>
      </c>
      <c r="N1612" s="1298">
        <f>J1612*G1612</f>
        <v>0</v>
      </c>
      <c r="O1612" s="1298">
        <f>K1612*G1612</f>
        <v>0</v>
      </c>
      <c r="P1612" s="1299"/>
      <c r="Q1612" s="1300"/>
      <c r="R1612" s="1300"/>
      <c r="S1612" s="1300"/>
    </row>
    <row r="1613" spans="1:19" s="1081" customFormat="1" hidden="1" outlineLevel="1">
      <c r="A1613" s="1072" t="str">
        <f t="shared" si="374"/>
        <v/>
      </c>
      <c r="B1613" s="1295" t="s">
        <v>437</v>
      </c>
      <c r="C1613" s="1302"/>
      <c r="D1613" s="1198" t="str">
        <f>VLOOKUP($B1613,dongia1,DG!$B$5,)</f>
        <v>D4.5009</v>
      </c>
      <c r="E1613" s="1243" t="str">
        <f>VLOOKUP($B1613,dongia1,DG!$C$5,)</f>
        <v>Đầu cosse ép Cu 300mm2</v>
      </c>
      <c r="F1613" s="1198" t="str">
        <f>VLOOKUP($B1613,dongia1,DG!$D$5,)</f>
        <v>cái</v>
      </c>
      <c r="G1613" s="1303">
        <f>G1608*6</f>
        <v>0</v>
      </c>
      <c r="H1613" s="1298">
        <f>VLOOKUP($B1613,dongia1,DG!$F$5,)</f>
        <v>108000</v>
      </c>
      <c r="I1613" s="1298"/>
      <c r="J1613" s="1298">
        <f>VLOOKUP($B1613,dongia1,DG!$G$5,)</f>
        <v>59410.148000000001</v>
      </c>
      <c r="K1613" s="1298">
        <f>VLOOKUP($B1613,dongia1,DG!$H$5,)</f>
        <v>7775.6650930000005</v>
      </c>
      <c r="L1613" s="1298">
        <f t="shared" si="375"/>
        <v>0</v>
      </c>
      <c r="M1613" s="1298">
        <f t="shared" si="376"/>
        <v>0</v>
      </c>
      <c r="N1613" s="1298">
        <f t="shared" si="377"/>
        <v>0</v>
      </c>
      <c r="O1613" s="1298">
        <f t="shared" si="378"/>
        <v>0</v>
      </c>
      <c r="P1613" s="1437"/>
      <c r="Q1613" s="1300"/>
      <c r="R1613" s="1300"/>
      <c r="S1613" s="1300"/>
    </row>
    <row r="1614" spans="1:19" s="1081" customFormat="1" hidden="1" outlineLevel="1">
      <c r="A1614" s="1072" t="str">
        <f t="shared" si="374"/>
        <v/>
      </c>
      <c r="B1614" s="1295" t="s">
        <v>682</v>
      </c>
      <c r="C1614" s="1302"/>
      <c r="D1614" s="1198" t="str">
        <f>VLOOKUP($B1614,dongia1,DG!$B$5,)</f>
        <v>D4.5006</v>
      </c>
      <c r="E1614" s="1243" t="str">
        <f>VLOOKUP($B1614,dongia1,DG!$C$5,)</f>
        <v>Đầu cosse ép Cu 150mm2</v>
      </c>
      <c r="F1614" s="1198" t="str">
        <f>VLOOKUP($B1614,dongia1,DG!$D$5,)</f>
        <v>cái</v>
      </c>
      <c r="G1614" s="1303">
        <f>G1608*2</f>
        <v>0</v>
      </c>
      <c r="H1614" s="1298">
        <f>VLOOKUP($B1614,dongia1,DG!$F$5,)</f>
        <v>36000</v>
      </c>
      <c r="I1614" s="1298"/>
      <c r="J1614" s="1298">
        <f>VLOOKUP($B1614,dongia1,DG!$G$5,)</f>
        <v>33342.43</v>
      </c>
      <c r="K1614" s="1298">
        <f>VLOOKUP($B1614,dongia1,DG!$H$5,)</f>
        <v>4443.237196</v>
      </c>
      <c r="L1614" s="1298">
        <f t="shared" si="375"/>
        <v>0</v>
      </c>
      <c r="M1614" s="1298">
        <f t="shared" si="376"/>
        <v>0</v>
      </c>
      <c r="N1614" s="1298">
        <f t="shared" si="377"/>
        <v>0</v>
      </c>
      <c r="O1614" s="1298">
        <f t="shared" si="378"/>
        <v>0</v>
      </c>
      <c r="P1614" s="1437"/>
      <c r="Q1614" s="1300"/>
      <c r="R1614" s="1300"/>
      <c r="S1614" s="1300"/>
    </row>
    <row r="1615" spans="1:19" s="1081" customFormat="1" hidden="1" outlineLevel="1">
      <c r="A1615" s="1072" t="str">
        <f t="shared" si="374"/>
        <v/>
      </c>
      <c r="B1615" s="1295" t="s">
        <v>726</v>
      </c>
      <c r="C1615" s="1302"/>
      <c r="D1615" s="1198">
        <f>VLOOKUP($B1615,dongia1,DG!$B$5,)</f>
        <v>0</v>
      </c>
      <c r="E1615" s="1243" t="str">
        <f>VLOOKUP($B1615,dongia1,DG!$C$5,)</f>
        <v>Chụp đầu cosse  300mm2</v>
      </c>
      <c r="F1615" s="1198" t="str">
        <f>VLOOKUP($B1615,dongia1,DG!$D$5,)</f>
        <v>cái</v>
      </c>
      <c r="G1615" s="1303">
        <f>G1613</f>
        <v>0</v>
      </c>
      <c r="H1615" s="1298">
        <f>VLOOKUP($B1615,dongia1,DG!$F$5,)</f>
        <v>8000</v>
      </c>
      <c r="I1615" s="1298"/>
      <c r="J1615" s="1298">
        <f>VLOOKUP($B1615,dongia1,DG!$G$5,)</f>
        <v>0</v>
      </c>
      <c r="K1615" s="1298">
        <f>VLOOKUP($B1615,dongia1,DG!$H$5,)</f>
        <v>0</v>
      </c>
      <c r="L1615" s="1298">
        <f t="shared" si="375"/>
        <v>0</v>
      </c>
      <c r="M1615" s="1298">
        <f t="shared" si="376"/>
        <v>0</v>
      </c>
      <c r="N1615" s="1298">
        <f t="shared" si="377"/>
        <v>0</v>
      </c>
      <c r="O1615" s="1298">
        <f t="shared" si="378"/>
        <v>0</v>
      </c>
      <c r="P1615" s="1437"/>
      <c r="Q1615" s="1300"/>
      <c r="R1615" s="1300"/>
      <c r="S1615" s="1300"/>
    </row>
    <row r="1616" spans="1:19" s="1081" customFormat="1" hidden="1" outlineLevel="1">
      <c r="A1616" s="1072" t="str">
        <f t="shared" si="374"/>
        <v/>
      </c>
      <c r="B1616" s="1295" t="s">
        <v>475</v>
      </c>
      <c r="C1616" s="1302"/>
      <c r="D1616" s="1198">
        <f>VLOOKUP($B1616,dongia1,DG!$B$5,)</f>
        <v>0</v>
      </c>
      <c r="E1616" s="1243" t="str">
        <f>VLOOKUP($B1616,dongia1,DG!$C$5,)</f>
        <v>Chụp đầu cosse  150mm2</v>
      </c>
      <c r="F1616" s="1198" t="str">
        <f>VLOOKUP($B1616,dongia1,DG!$D$5,)</f>
        <v>cái</v>
      </c>
      <c r="G1616" s="1303">
        <f>G1614</f>
        <v>0</v>
      </c>
      <c r="H1616" s="1298">
        <f>VLOOKUP($B1616,dongia1,DG!$F$5,)</f>
        <v>5000</v>
      </c>
      <c r="I1616" s="1298"/>
      <c r="J1616" s="1298">
        <f>VLOOKUP($B1616,dongia1,DG!$G$5,)</f>
        <v>0</v>
      </c>
      <c r="K1616" s="1298">
        <f>VLOOKUP($B1616,dongia1,DG!$H$5,)</f>
        <v>0</v>
      </c>
      <c r="L1616" s="1298">
        <f t="shared" si="375"/>
        <v>0</v>
      </c>
      <c r="M1616" s="1298">
        <f t="shared" si="376"/>
        <v>0</v>
      </c>
      <c r="N1616" s="1298">
        <f t="shared" si="377"/>
        <v>0</v>
      </c>
      <c r="O1616" s="1298">
        <f t="shared" si="378"/>
        <v>0</v>
      </c>
      <c r="P1616" s="1437"/>
      <c r="Q1616" s="1300"/>
      <c r="R1616" s="1300"/>
      <c r="S1616" s="1300"/>
    </row>
    <row r="1617" spans="1:19" s="1081" customFormat="1" hidden="1" outlineLevel="1">
      <c r="A1617" s="1072" t="str">
        <f t="shared" si="374"/>
        <v/>
      </c>
      <c r="B1617" s="1295" t="s">
        <v>961</v>
      </c>
      <c r="C1617" s="1302"/>
      <c r="D1617" s="1198">
        <f>VLOOKUP($B1617,dongia1,DG!$B$5,)</f>
        <v>0</v>
      </c>
      <c r="E1617" s="1243" t="str">
        <f>VLOOKUP($B1617,dongia1,DG!$C$5,)</f>
        <v xml:space="preserve">Ống PVC D114x4,9mm </v>
      </c>
      <c r="F1617" s="1198" t="str">
        <f>VLOOKUP($B1617,dongia1,DG!$D$5,)</f>
        <v>m</v>
      </c>
      <c r="G1617" s="1303">
        <f>+G1608*3</f>
        <v>0</v>
      </c>
      <c r="H1617" s="1298">
        <f>VLOOKUP($B1617,dongia1,DG!$F$5,)</f>
        <v>103700</v>
      </c>
      <c r="I1617" s="1298"/>
      <c r="J1617" s="1298">
        <f>VLOOKUP($B1617,dongia1,DG!$G$5,)</f>
        <v>0</v>
      </c>
      <c r="K1617" s="1298">
        <f>VLOOKUP($B1617,dongia1,DG!$H$5,)</f>
        <v>0</v>
      </c>
      <c r="L1617" s="1298">
        <f t="shared" si="375"/>
        <v>0</v>
      </c>
      <c r="M1617" s="1298">
        <f t="shared" si="376"/>
        <v>0</v>
      </c>
      <c r="N1617" s="1298">
        <f t="shared" si="377"/>
        <v>0</v>
      </c>
      <c r="O1617" s="1298">
        <f t="shared" si="378"/>
        <v>0</v>
      </c>
      <c r="P1617" s="1437"/>
      <c r="Q1617" s="1300"/>
      <c r="R1617" s="1300"/>
      <c r="S1617" s="1300"/>
    </row>
    <row r="1618" spans="1:19" s="1081" customFormat="1" hidden="1" outlineLevel="1">
      <c r="A1618" s="1072" t="str">
        <f t="shared" si="374"/>
        <v/>
      </c>
      <c r="B1618" s="1068" t="s">
        <v>193</v>
      </c>
      <c r="C1618" s="1302"/>
      <c r="D1618" s="1198">
        <f>VLOOKUP($B1618,dongia1,DG!$B$5,)</f>
        <v>0</v>
      </c>
      <c r="E1618" s="1243" t="str">
        <f>VLOOKUP($B1618,dongia1,DG!$C$5,)</f>
        <v>Cổ dê kẹp ống PVC Þ 114</v>
      </c>
      <c r="F1618" s="1198" t="str">
        <f>VLOOKUP($B1618,dongia1,DG!$D$5,)</f>
        <v>bộ</v>
      </c>
      <c r="G1618" s="1303">
        <f>G1608*2</f>
        <v>0</v>
      </c>
      <c r="H1618" s="1298">
        <f>VLOOKUP($B1618,dongia1,DG!$F$5,)</f>
        <v>50000</v>
      </c>
      <c r="I1618" s="1298"/>
      <c r="J1618" s="1298">
        <f>VLOOKUP($B1618,dongia1,DG!$G$5,)</f>
        <v>0</v>
      </c>
      <c r="K1618" s="1298">
        <f>VLOOKUP($B1618,dongia1,DG!$H$5,)</f>
        <v>0</v>
      </c>
      <c r="L1618" s="1298">
        <f t="shared" si="375"/>
        <v>0</v>
      </c>
      <c r="M1618" s="1298">
        <f t="shared" si="376"/>
        <v>0</v>
      </c>
      <c r="N1618" s="1298">
        <f t="shared" si="377"/>
        <v>0</v>
      </c>
      <c r="O1618" s="1298">
        <f t="shared" si="378"/>
        <v>0</v>
      </c>
      <c r="P1618" s="1437"/>
      <c r="Q1618" s="1474"/>
      <c r="R1618" s="1300"/>
      <c r="S1618" s="1300"/>
    </row>
    <row r="1619" spans="1:19" s="1081" customFormat="1" hidden="1" outlineLevel="1">
      <c r="A1619" s="1072" t="str">
        <f t="shared" si="374"/>
        <v/>
      </c>
      <c r="B1619" s="1295" t="s">
        <v>693</v>
      </c>
      <c r="C1619" s="1302"/>
      <c r="D1619" s="1198">
        <f>VLOOKUP($B1619,dongia1,DG!$B$5,)</f>
        <v>0</v>
      </c>
      <c r="E1619" s="1243" t="str">
        <f>VLOOKUP($B1619,dongia1,DG!$C$5,)</f>
        <v>Khâu ven răng trong D114</v>
      </c>
      <c r="F1619" s="1198" t="str">
        <f>VLOOKUP($B1619,dongia1,DG!$D$5,)</f>
        <v>cái</v>
      </c>
      <c r="G1619" s="1303">
        <f>G1608*1</f>
        <v>0</v>
      </c>
      <c r="H1619" s="1298">
        <f>VLOOKUP($B1619,dongia1,DG!$F$5,)</f>
        <v>41900</v>
      </c>
      <c r="I1619" s="1298"/>
      <c r="J1619" s="1298">
        <f>VLOOKUP($B1619,dongia1,DG!$G$5,)</f>
        <v>0</v>
      </c>
      <c r="K1619" s="1298">
        <f>VLOOKUP($B1619,dongia1,DG!$H$5,)</f>
        <v>0</v>
      </c>
      <c r="L1619" s="1298">
        <f t="shared" si="375"/>
        <v>0</v>
      </c>
      <c r="M1619" s="1298">
        <f t="shared" si="376"/>
        <v>0</v>
      </c>
      <c r="N1619" s="1298">
        <f t="shared" si="377"/>
        <v>0</v>
      </c>
      <c r="O1619" s="1298">
        <f t="shared" si="378"/>
        <v>0</v>
      </c>
      <c r="P1619" s="1437"/>
      <c r="Q1619" s="1300"/>
      <c r="R1619" s="1300"/>
      <c r="S1619" s="1300"/>
    </row>
    <row r="1620" spans="1:19" s="1081" customFormat="1" hidden="1" outlineLevel="1">
      <c r="A1620" s="1072" t="str">
        <f t="shared" si="374"/>
        <v/>
      </c>
      <c r="B1620" s="1295" t="s">
        <v>694</v>
      </c>
      <c r="C1620" s="1302"/>
      <c r="D1620" s="1198">
        <f>VLOOKUP($B1620,dongia1,DG!$B$5,)</f>
        <v>0</v>
      </c>
      <c r="E1620" s="1243" t="str">
        <f>VLOOKUP($B1620,dongia1,DG!$C$5,)</f>
        <v>Khâu ven răng ngoài D114</v>
      </c>
      <c r="F1620" s="1198" t="str">
        <f>VLOOKUP($B1620,dongia1,DG!$D$5,)</f>
        <v>cái</v>
      </c>
      <c r="G1620" s="1303">
        <f>G1619</f>
        <v>0</v>
      </c>
      <c r="H1620" s="1298">
        <f>VLOOKUP($B1620,dongia1,DG!$F$5,)</f>
        <v>41900</v>
      </c>
      <c r="I1620" s="1298"/>
      <c r="J1620" s="1298">
        <f>VLOOKUP($B1620,dongia1,DG!$G$5,)</f>
        <v>0</v>
      </c>
      <c r="K1620" s="1298">
        <f>VLOOKUP($B1620,dongia1,DG!$H$5,)</f>
        <v>0</v>
      </c>
      <c r="L1620" s="1298">
        <f t="shared" si="375"/>
        <v>0</v>
      </c>
      <c r="M1620" s="1298">
        <f t="shared" si="376"/>
        <v>0</v>
      </c>
      <c r="N1620" s="1298">
        <f t="shared" si="377"/>
        <v>0</v>
      </c>
      <c r="O1620" s="1298">
        <f t="shared" si="378"/>
        <v>0</v>
      </c>
      <c r="P1620" s="1437"/>
      <c r="Q1620" s="1300"/>
      <c r="R1620" s="1300"/>
      <c r="S1620" s="1300"/>
    </row>
    <row r="1621" spans="1:19" s="1081" customFormat="1" hidden="1" outlineLevel="1">
      <c r="A1621" s="1072" t="str">
        <f t="shared" si="374"/>
        <v/>
      </c>
      <c r="B1621" s="1295" t="s">
        <v>887</v>
      </c>
      <c r="C1621" s="1302"/>
      <c r="D1621" s="1198">
        <f>VLOOKUP($B1621,dongia1,DG!$B$5,)</f>
        <v>0</v>
      </c>
      <c r="E1621" s="1243" t="str">
        <f>VLOOKUP($B1621,dongia1,DG!$C$5,)</f>
        <v>Keo dán ống PVC (100gr)</v>
      </c>
      <c r="F1621" s="1198" t="str">
        <f>VLOOKUP($B1621,dongia1,DG!$D$5,)</f>
        <v>tuýp</v>
      </c>
      <c r="G1621" s="1303">
        <f>G1620</f>
        <v>0</v>
      </c>
      <c r="H1621" s="1298">
        <f>VLOOKUP($B1621,dongia1,DG!$F$5,)</f>
        <v>11500</v>
      </c>
      <c r="I1621" s="1298"/>
      <c r="J1621" s="1298">
        <f>VLOOKUP($B1621,dongia1,DG!$G$5,)</f>
        <v>0</v>
      </c>
      <c r="K1621" s="1298">
        <f>VLOOKUP($B1621,dongia1,DG!$H$5,)</f>
        <v>0</v>
      </c>
      <c r="L1621" s="1298">
        <f t="shared" si="375"/>
        <v>0</v>
      </c>
      <c r="M1621" s="1298">
        <f t="shared" si="376"/>
        <v>0</v>
      </c>
      <c r="N1621" s="1298">
        <f t="shared" si="377"/>
        <v>0</v>
      </c>
      <c r="O1621" s="1298">
        <f t="shared" si="378"/>
        <v>0</v>
      </c>
      <c r="P1621" s="1437"/>
      <c r="Q1621" s="1300"/>
      <c r="R1621" s="1300"/>
      <c r="S1621" s="1300"/>
    </row>
    <row r="1622" spans="1:19" s="1081" customFormat="1" hidden="1" outlineLevel="1">
      <c r="A1622" s="1072" t="str">
        <f t="shared" si="374"/>
        <v/>
      </c>
      <c r="B1622" s="1068" t="s">
        <v>1690</v>
      </c>
      <c r="C1622" s="1302"/>
      <c r="D1622" s="1198"/>
      <c r="E1622" s="1243" t="str">
        <f>VLOOKUP($B1622,dongia1,DG!$C$5,)</f>
        <v>Keo silicon bít miệng ống</v>
      </c>
      <c r="F1622" s="1198" t="str">
        <f>VLOOKUP($B1622,dongia1,DG!$D$5,)</f>
        <v>chai</v>
      </c>
      <c r="G1622" s="1303">
        <f>G1621</f>
        <v>0</v>
      </c>
      <c r="H1622" s="1298">
        <f>VLOOKUP($B1622,dongia1,DG!$F$5,)</f>
        <v>45000</v>
      </c>
      <c r="I1622" s="1298"/>
      <c r="J1622" s="1298"/>
      <c r="K1622" s="1298"/>
      <c r="L1622" s="1298">
        <f t="shared" si="375"/>
        <v>0</v>
      </c>
      <c r="M1622" s="1298">
        <f t="shared" si="376"/>
        <v>0</v>
      </c>
      <c r="N1622" s="1298">
        <f t="shared" si="377"/>
        <v>0</v>
      </c>
      <c r="O1622" s="1298">
        <f t="shared" si="378"/>
        <v>0</v>
      </c>
      <c r="P1622" s="1299"/>
      <c r="Q1622" s="1300"/>
      <c r="R1622" s="1300"/>
      <c r="S1622" s="1300"/>
    </row>
    <row r="1623" spans="1:19" s="1081" customFormat="1" hidden="1" outlineLevel="1">
      <c r="A1623" s="1072" t="str">
        <f t="shared" si="374"/>
        <v/>
      </c>
      <c r="B1623" s="1295" t="s">
        <v>53</v>
      </c>
      <c r="C1623" s="1302"/>
      <c r="D1623" s="1198">
        <f>VLOOKUP($B1623,dongia1,DG!$B$5,)</f>
        <v>0</v>
      </c>
      <c r="E1623" s="1243" t="str">
        <f>VLOOKUP($B1623,dongia1,DG!$C$5,)</f>
        <v>Dây rút cáp</v>
      </c>
      <c r="F1623" s="1198" t="str">
        <f>VLOOKUP($B1623,dongia1,DG!$D$5,)</f>
        <v>bọc</v>
      </c>
      <c r="G1623" s="1303">
        <f>+G1608</f>
        <v>0</v>
      </c>
      <c r="H1623" s="1298">
        <f>VLOOKUP($B1623,dongia1,DG!$F$5,)</f>
        <v>15000</v>
      </c>
      <c r="I1623" s="1298"/>
      <c r="J1623" s="1298">
        <f>VLOOKUP($B1623,dongia1,DG!$G$5,)</f>
        <v>0</v>
      </c>
      <c r="K1623" s="1298">
        <f>VLOOKUP($B1623,dongia1,DG!$H$5,)</f>
        <v>0</v>
      </c>
      <c r="L1623" s="1298">
        <f t="shared" si="375"/>
        <v>0</v>
      </c>
      <c r="M1623" s="1298">
        <f t="shared" si="376"/>
        <v>0</v>
      </c>
      <c r="N1623" s="1298">
        <f t="shared" si="377"/>
        <v>0</v>
      </c>
      <c r="O1623" s="1298">
        <f t="shared" si="378"/>
        <v>0</v>
      </c>
      <c r="P1623" s="1299"/>
      <c r="Q1623" s="1300"/>
      <c r="R1623" s="1300"/>
      <c r="S1623" s="1300"/>
    </row>
    <row r="1624" spans="1:19" s="1081" customFormat="1" hidden="1" outlineLevel="1">
      <c r="A1624" s="1072" t="str">
        <f t="shared" si="374"/>
        <v/>
      </c>
      <c r="B1624" s="1068" t="s">
        <v>236</v>
      </c>
      <c r="C1624" s="1302"/>
      <c r="D1624" s="1198">
        <f>VLOOKUP($B1624,dongia1,DG!$B$5,)</f>
        <v>0</v>
      </c>
      <c r="E1624" s="1243" t="str">
        <f>VLOOKUP($B1624,dongia1,DG!$C$5,)&amp;":"</f>
        <v>Băng keo cách điện hạ thế:</v>
      </c>
      <c r="F1624" s="1198" t="str">
        <f>VLOOKUP($B1624,dongia1,DG!$D$5,)</f>
        <v>cuộn</v>
      </c>
      <c r="G1624" s="1303">
        <f>G1622*2</f>
        <v>0</v>
      </c>
      <c r="H1624" s="1298">
        <f>VLOOKUP($B1624,dongia1,DG!$F$5,)</f>
        <v>6500</v>
      </c>
      <c r="I1624" s="1298"/>
      <c r="J1624" s="1298">
        <f>VLOOKUP($B1624,dongia1,DG!$G$5,)</f>
        <v>0</v>
      </c>
      <c r="K1624" s="1298">
        <f>VLOOKUP($B1624,dongia1,DG!$H$5,)</f>
        <v>0</v>
      </c>
      <c r="L1624" s="1298">
        <f t="shared" si="375"/>
        <v>0</v>
      </c>
      <c r="M1624" s="1298">
        <f t="shared" si="376"/>
        <v>0</v>
      </c>
      <c r="N1624" s="1298">
        <f t="shared" si="377"/>
        <v>0</v>
      </c>
      <c r="O1624" s="1298">
        <f t="shared" si="378"/>
        <v>0</v>
      </c>
      <c r="P1624" s="1437"/>
      <c r="Q1624" s="1300"/>
      <c r="R1624" s="1300"/>
      <c r="S1624" s="1300"/>
    </row>
    <row r="1625" spans="1:19" s="1081" customFormat="1" hidden="1" outlineLevel="1">
      <c r="A1625" s="1072" t="str">
        <f t="shared" si="374"/>
        <v/>
      </c>
      <c r="B1625" s="1068" t="s">
        <v>379</v>
      </c>
      <c r="C1625" s="1302"/>
      <c r="D1625" s="1198" t="str">
        <f>VLOOKUP($B1625,dongia1,DG!$B$5,)</f>
        <v>T4.4203</v>
      </c>
      <c r="E1625" s="1243" t="str">
        <f>VLOOKUP($B1625,dongia1,DG!$C$5,)</f>
        <v>Lắp cáp đồng xuống thiết bị D ≤ 240mm2</v>
      </c>
      <c r="F1625" s="1198" t="str">
        <f>VLOOKUP($B1625,dongia1,DG!$D$5,)</f>
        <v>m</v>
      </c>
      <c r="G1625" s="1303">
        <f>G1610+G1611</f>
        <v>0</v>
      </c>
      <c r="H1625" s="1298">
        <f>VLOOKUP($B1625,dongia1,DG!$F$5,)</f>
        <v>0</v>
      </c>
      <c r="I1625" s="1298"/>
      <c r="J1625" s="1298">
        <f>VLOOKUP($B1625,dongia1,DG!$G$5,)</f>
        <v>47311</v>
      </c>
      <c r="K1625" s="1298">
        <f>VLOOKUP($B1625,dongia1,DG!$H$5,)</f>
        <v>0</v>
      </c>
      <c r="L1625" s="1298">
        <f>H1625*G1625</f>
        <v>0</v>
      </c>
      <c r="M1625" s="1298">
        <f>I1625*G1625</f>
        <v>0</v>
      </c>
      <c r="N1625" s="1298">
        <f>J1625*G1625</f>
        <v>0</v>
      </c>
      <c r="O1625" s="1298">
        <f>K1625*G1625</f>
        <v>0</v>
      </c>
      <c r="P1625" s="1437"/>
      <c r="Q1625" s="1300"/>
      <c r="R1625" s="1300"/>
      <c r="S1625" s="1300"/>
    </row>
    <row r="1626" spans="1:19" s="1081" customFormat="1" hidden="1" outlineLevel="1">
      <c r="A1626" s="1072">
        <f>A1506</f>
        <v>0</v>
      </c>
      <c r="B1626" s="1421"/>
      <c r="C1626" s="1475"/>
      <c r="D1626" s="1476"/>
      <c r="E1626" s="1477"/>
      <c r="F1626" s="1478"/>
      <c r="G1626" s="1479"/>
      <c r="H1626" s="1478"/>
      <c r="I1626" s="1478"/>
      <c r="J1626" s="2469" t="s">
        <v>3388</v>
      </c>
      <c r="K1626" s="2469"/>
      <c r="L1626" s="1480">
        <f>SUM(L1521:L1625)</f>
        <v>0</v>
      </c>
      <c r="M1626" s="1480">
        <f>SUM(M1522:M1625)</f>
        <v>0</v>
      </c>
      <c r="N1626" s="1480">
        <f>SUM(N1522:N1625)</f>
        <v>0</v>
      </c>
      <c r="O1626" s="1480">
        <f>SUM(O1522:O1625)</f>
        <v>0</v>
      </c>
      <c r="P1626" s="1447"/>
      <c r="Q1626" s="1300"/>
      <c r="R1626" s="1300"/>
      <c r="S1626" s="1300"/>
    </row>
    <row r="1627" spans="1:19" s="1081" customFormat="1" hidden="1">
      <c r="A1627" s="1431">
        <f>IF(G1632&gt;0,1,)</f>
        <v>0</v>
      </c>
      <c r="B1627" s="1068"/>
      <c r="C1627" s="1490"/>
      <c r="D1627" s="1300"/>
      <c r="E1627" s="1491"/>
      <c r="F1627" s="1300"/>
      <c r="G1627" s="1492"/>
      <c r="H1627" s="1300"/>
      <c r="I1627" s="1300"/>
      <c r="J1627" s="1300"/>
      <c r="K1627" s="1300"/>
      <c r="L1627" s="1300"/>
      <c r="M1627" s="1300"/>
      <c r="N1627" s="1300"/>
      <c r="O1627" s="1300"/>
      <c r="P1627" s="1493"/>
      <c r="Q1627" s="1300"/>
      <c r="R1627" s="1300"/>
      <c r="S1627" s="1300"/>
    </row>
    <row r="1628" spans="1:19" s="1081" customFormat="1" hidden="1" outlineLevel="1">
      <c r="A1628" s="1072">
        <f>A1627</f>
        <v>0</v>
      </c>
      <c r="B1628" s="1432"/>
      <c r="C1628" s="1336" t="str">
        <f>"BẢNG TỔNG HỢP VẬT LIỆU, NHÂN CÔNG, MÁY THI CÔNG: "&amp;K13&amp;" TRẠM 3P_3000KVA"</f>
        <v>BẢNG TỔNG HỢP VẬT LIỆU, NHÂN CÔNG, MÁY THI CÔNG: 0 TRẠM 3P_3000KVA</v>
      </c>
      <c r="D1628" s="1494"/>
      <c r="E1628" s="1494"/>
      <c r="F1628" s="1494"/>
      <c r="G1628" s="1494"/>
      <c r="H1628" s="1495"/>
      <c r="I1628" s="1434"/>
      <c r="J1628" s="1495"/>
      <c r="K1628" s="1495"/>
      <c r="L1628" s="1495"/>
      <c r="M1628" s="1434"/>
      <c r="N1628" s="1495"/>
      <c r="O1628" s="1495"/>
      <c r="P1628" s="1496"/>
      <c r="Q1628" s="1300"/>
      <c r="R1628" s="1300"/>
      <c r="S1628" s="1300"/>
    </row>
    <row r="1629" spans="1:19" s="1081" customFormat="1" hidden="1" outlineLevel="1">
      <c r="A1629" s="1072">
        <f>A1627</f>
        <v>0</v>
      </c>
      <c r="B1629" s="1295" t="s">
        <v>308</v>
      </c>
      <c r="C1629" s="2459" t="s">
        <v>1014</v>
      </c>
      <c r="D1629" s="2467" t="s">
        <v>3363</v>
      </c>
      <c r="E1629" s="2457" t="s">
        <v>3364</v>
      </c>
      <c r="F1629" s="2459" t="s">
        <v>3365</v>
      </c>
      <c r="G1629" s="1155" t="s">
        <v>3367</v>
      </c>
      <c r="H1629" s="1156" t="s">
        <v>3368</v>
      </c>
      <c r="I1629" s="1157"/>
      <c r="J1629" s="1157"/>
      <c r="K1629" s="1158"/>
      <c r="L1629" s="1156" t="s">
        <v>3372</v>
      </c>
      <c r="M1629" s="1157"/>
      <c r="N1629" s="1157"/>
      <c r="O1629" s="1158"/>
      <c r="P1629" s="2471" t="s">
        <v>3373</v>
      </c>
      <c r="Q1629" s="1300"/>
      <c r="R1629" s="1300"/>
      <c r="S1629" s="1300"/>
    </row>
    <row r="1630" spans="1:19" s="1081" customFormat="1" hidden="1" outlineLevel="1">
      <c r="A1630" s="1072">
        <f>A1629</f>
        <v>0</v>
      </c>
      <c r="B1630" s="1295"/>
      <c r="C1630" s="2459"/>
      <c r="D1630" s="2468"/>
      <c r="E1630" s="2458"/>
      <c r="F1630" s="2459"/>
      <c r="G1630" s="1160" t="s">
        <v>3366</v>
      </c>
      <c r="H1630" s="1161" t="s">
        <v>393</v>
      </c>
      <c r="I1630" s="1161" t="s">
        <v>3369</v>
      </c>
      <c r="J1630" s="1161" t="s">
        <v>3370</v>
      </c>
      <c r="K1630" s="1161" t="s">
        <v>3371</v>
      </c>
      <c r="L1630" s="1161" t="s">
        <v>393</v>
      </c>
      <c r="M1630" s="1161" t="s">
        <v>3369</v>
      </c>
      <c r="N1630" s="1161" t="s">
        <v>3370</v>
      </c>
      <c r="O1630" s="1161" t="s">
        <v>3371</v>
      </c>
      <c r="P1630" s="2471"/>
      <c r="Q1630" s="1300"/>
      <c r="R1630" s="1300"/>
      <c r="S1630" s="1300"/>
    </row>
    <row r="1631" spans="1:19" s="1081" customFormat="1" hidden="1" outlineLevel="1">
      <c r="A1631" s="1072">
        <f>A1630</f>
        <v>0</v>
      </c>
      <c r="B1631" s="1295"/>
      <c r="C1631" s="1162"/>
      <c r="D1631" s="1163"/>
      <c r="E1631" s="1164" t="s">
        <v>3375</v>
      </c>
      <c r="F1631" s="1165"/>
      <c r="G1631" s="1165"/>
      <c r="H1631" s="1165"/>
      <c r="I1631" s="1165"/>
      <c r="J1631" s="1165"/>
      <c r="K1631" s="1165"/>
      <c r="L1631" s="1165"/>
      <c r="M1631" s="1165"/>
      <c r="N1631" s="1165"/>
      <c r="O1631" s="1163"/>
      <c r="P1631" s="1394"/>
      <c r="Q1631" s="1300"/>
      <c r="R1631" s="1300"/>
      <c r="S1631" s="1300"/>
    </row>
    <row r="1632" spans="1:19" s="1081" customFormat="1" hidden="1" outlineLevel="1">
      <c r="A1632" s="1072" t="str">
        <f t="shared" ref="A1632:A1643" si="379">IF(G1632&lt;&gt;0,1,"")</f>
        <v/>
      </c>
      <c r="B1632" s="1435" t="s">
        <v>454</v>
      </c>
      <c r="C1632" s="1302">
        <f>IF(G1632&gt;0,1,0)</f>
        <v>0</v>
      </c>
      <c r="D1632" s="1198" t="str">
        <f>VLOOKUP($B1632,dongia1,DG!$B$5,)</f>
        <v>T1.1418</v>
      </c>
      <c r="E1632" s="1809" t="str">
        <f>VLOOKUP($B1632,dongia1,DG!$C$5,)&amp;" - amorphous"</f>
        <v>Máy biến áp 22/0,4kV- 3000kVA - amorphous</v>
      </c>
      <c r="F1632" s="1198" t="str">
        <f>VLOOKUP($B1632,dongia1,DG!$D$5,)</f>
        <v>máy</v>
      </c>
      <c r="G1632" s="1514">
        <f>$K$13</f>
        <v>0</v>
      </c>
      <c r="H1632" s="1831">
        <f>VLOOKUP($B1632,dongia1,DG!$E$5,)</f>
        <v>1064770000</v>
      </c>
      <c r="I1632" s="1399"/>
      <c r="J1632" s="1399">
        <f>VLOOKUP($B1632,dongia1,DG!$G$5,)</f>
        <v>2440059.6500000004</v>
      </c>
      <c r="K1632" s="1399">
        <f>VLOOKUP($B1632,dongia1,DG!$H$5,)</f>
        <v>426761</v>
      </c>
      <c r="L1632" s="1400">
        <f t="shared" ref="L1632:L1643" si="380">H1632*G1632</f>
        <v>0</v>
      </c>
      <c r="M1632" s="1400">
        <f t="shared" ref="M1632:M1643" si="381">I1632*G1632</f>
        <v>0</v>
      </c>
      <c r="N1632" s="1400">
        <f t="shared" ref="N1632:N1643" si="382">J1632*G1632</f>
        <v>0</v>
      </c>
      <c r="O1632" s="1401">
        <f t="shared" ref="O1632:O1643" si="383">K1632*G1632</f>
        <v>0</v>
      </c>
      <c r="P1632" s="1498"/>
      <c r="Q1632" s="1300"/>
      <c r="R1632" s="1300"/>
      <c r="S1632" s="1300"/>
    </row>
    <row r="1633" spans="1:19" s="1081" customFormat="1" ht="27.6" hidden="1" outlineLevel="1">
      <c r="A1633" s="1072" t="str">
        <f t="shared" si="379"/>
        <v/>
      </c>
      <c r="B1633" s="1167" t="s">
        <v>5551</v>
      </c>
      <c r="C1633" s="1302">
        <f t="shared" ref="C1633:C1643" si="384">IF(G1633&gt;0,C1632+1,C1632)</f>
        <v>0</v>
      </c>
      <c r="D1633" s="1198" t="str">
        <f>VLOOKUP($B1633,dongia1,DG!$B$5,)</f>
        <v>T5.2002</v>
      </c>
      <c r="E1633" s="1809" t="str">
        <f>VLOOKUP($B1633,dongia1,DG!$C$5,)</f>
        <v>Tủ RMU 3 pha 630A -16kA 3 ngăn IQI + vỏ tủ +phụ kiện + báo áp suất khí (20kA/S)</v>
      </c>
      <c r="F1633" s="1198" t="str">
        <f>VLOOKUP($B1633,dongia1,DG!$D$5,)</f>
        <v>tủ</v>
      </c>
      <c r="G1633" s="1508"/>
      <c r="H1633" s="1298">
        <f>VLOOKUP($B1633,dongia1,DG!$E$5,)</f>
        <v>300000000</v>
      </c>
      <c r="I1633" s="1298">
        <f>VLOOKUP($B1633,dongia1,DG!$F$5,)*0</f>
        <v>0</v>
      </c>
      <c r="J1633" s="1298">
        <f>VLOOKUP($B1633,dongia1,DG!$G$5,)</f>
        <v>2546149.2000000002</v>
      </c>
      <c r="K1633" s="1298">
        <f>VLOOKUP($B1633,dongia1,DG!$H$5,)</f>
        <v>55839</v>
      </c>
      <c r="L1633" s="1298">
        <f t="shared" si="380"/>
        <v>0</v>
      </c>
      <c r="M1633" s="1298">
        <f t="shared" si="381"/>
        <v>0</v>
      </c>
      <c r="N1633" s="1298">
        <f t="shared" si="382"/>
        <v>0</v>
      </c>
      <c r="O1633" s="1298">
        <f t="shared" si="383"/>
        <v>0</v>
      </c>
      <c r="P1633" s="1499"/>
      <c r="Q1633" s="1300"/>
      <c r="R1633" s="1300"/>
      <c r="S1633" s="1300"/>
    </row>
    <row r="1634" spans="1:19" s="1081" customFormat="1" hidden="1" outlineLevel="1">
      <c r="A1634" s="1072" t="str">
        <f t="shared" si="379"/>
        <v/>
      </c>
      <c r="B1634" s="1167" t="str">
        <f>"FCO200-"&amp;$F$8</f>
        <v>FCO200-22</v>
      </c>
      <c r="C1634" s="1302">
        <f>IF(G1634&gt;0,C1633+1,C1633)</f>
        <v>0</v>
      </c>
      <c r="D1634" s="1198" t="str">
        <f>VLOOKUP($B1634,dongia1,DG!$B$5,)</f>
        <v>T2.3501</v>
      </c>
      <c r="E1634" s="1243" t="str">
        <f>VLOOKUP($B1634,dongia1,DG!$C$5,)</f>
        <v xml:space="preserve">FCO 24KV - 200A </v>
      </c>
      <c r="F1634" s="1198" t="str">
        <f>VLOOKUP($B1634,dongia1,DG!$D$5,)</f>
        <v>cái</v>
      </c>
      <c r="G1634" s="1508"/>
      <c r="H1634" s="1298">
        <f>VLOOKUP($B1634,dongia1,DG!$E$5,)</f>
        <v>4076000</v>
      </c>
      <c r="I1634" s="1298">
        <f>VLOOKUP($B1634,dongia1,DG!$F$5,)*0</f>
        <v>0</v>
      </c>
      <c r="J1634" s="1298">
        <f>VLOOKUP($B1634,dongia1,DG!$G$5,)</f>
        <v>176000</v>
      </c>
      <c r="K1634" s="1298">
        <f>VLOOKUP($B1634,dongia1,DG!$H$5,)</f>
        <v>0</v>
      </c>
      <c r="L1634" s="1298">
        <f>H1634*G1634</f>
        <v>0</v>
      </c>
      <c r="M1634" s="1298">
        <f>I1634*G1634</f>
        <v>0</v>
      </c>
      <c r="N1634" s="1298">
        <f>J1634*G1634</f>
        <v>0</v>
      </c>
      <c r="O1634" s="1298">
        <f>K1634*G1634</f>
        <v>0</v>
      </c>
      <c r="P1634" s="1499" t="s">
        <v>4623</v>
      </c>
      <c r="Q1634" s="1300"/>
      <c r="R1634" s="1300"/>
      <c r="S1634" s="1300"/>
    </row>
    <row r="1635" spans="1:19" s="1081" customFormat="1" hidden="1" outlineLevel="1">
      <c r="A1635" s="1072" t="str">
        <f t="shared" si="379"/>
        <v/>
      </c>
      <c r="B1635" s="1435" t="s">
        <v>948</v>
      </c>
      <c r="C1635" s="1302">
        <f>IF(G1635&gt;0,C1633+1,C1633)</f>
        <v>0</v>
      </c>
      <c r="D1635" s="1198">
        <f>VLOOKUP($B1635,dongia1,DG!$B$5,)</f>
        <v>0</v>
      </c>
      <c r="E1635" s="1243" t="str">
        <f>VLOOKUP($B1635,dongia1,DG!$C$5,)</f>
        <v>Dây chảy 100K</v>
      </c>
      <c r="F1635" s="1198" t="str">
        <f>VLOOKUP($B1635,dongia1,DG!$D$5,)</f>
        <v>Sợi</v>
      </c>
      <c r="G1635" s="1508"/>
      <c r="H1635" s="1298">
        <f>VLOOKUP($B1635,dongia1,DG!$F$5,)</f>
        <v>225000</v>
      </c>
      <c r="I1635" s="1298">
        <f>VLOOKUP($B1635,dongia1,DG!$F$5,)*0</f>
        <v>0</v>
      </c>
      <c r="J1635" s="1298">
        <f>VLOOKUP($B1635,dongia1,DG!$G$5,)</f>
        <v>0</v>
      </c>
      <c r="K1635" s="1298">
        <f>VLOOKUP($B1635,dongia1,DG!$H$5,)</f>
        <v>0</v>
      </c>
      <c r="L1635" s="1298">
        <f t="shared" si="380"/>
        <v>0</v>
      </c>
      <c r="M1635" s="1298">
        <f t="shared" si="381"/>
        <v>0</v>
      </c>
      <c r="N1635" s="1298">
        <f t="shared" si="382"/>
        <v>0</v>
      </c>
      <c r="O1635" s="1298">
        <f t="shared" si="383"/>
        <v>0</v>
      </c>
      <c r="P1635" s="1499"/>
      <c r="Q1635" s="1300">
        <f>3000*1.5</f>
        <v>4500</v>
      </c>
      <c r="R1635" s="1300"/>
      <c r="S1635" s="1300"/>
    </row>
    <row r="1636" spans="1:19" s="1081" customFormat="1" hidden="1" outlineLevel="1">
      <c r="A1636" s="1072" t="str">
        <f t="shared" si="379"/>
        <v/>
      </c>
      <c r="B1636" s="1295" t="str">
        <f>"LA"&amp;$F$6</f>
        <v>LA18</v>
      </c>
      <c r="C1636" s="1302">
        <f t="shared" si="384"/>
        <v>0</v>
      </c>
      <c r="D1636" s="1198" t="str">
        <f>VLOOKUP($B1636,dongia1,DG!$B$5,)</f>
        <v>T2.5004</v>
      </c>
      <c r="E1636" s="1243" t="str">
        <f>VLOOKUP($B1636,dongia1,DG!$C$5,)</f>
        <v>LA 18kV 10kA</v>
      </c>
      <c r="F1636" s="1198" t="str">
        <f>VLOOKUP($B1636,dongia1,DG!$D$5,)</f>
        <v>cái</v>
      </c>
      <c r="G1636" s="1508"/>
      <c r="H1636" s="1298">
        <f>VLOOKUP($B1636,dongia1,DG!$E$5,)</f>
        <v>1106000</v>
      </c>
      <c r="I1636" s="1298">
        <f>VLOOKUP($B1636,dongia1,DG!$F$5,)*0</f>
        <v>0</v>
      </c>
      <c r="J1636" s="1298">
        <f>VLOOKUP($B1636,dongia1,DG!$G$5,)</f>
        <v>83490</v>
      </c>
      <c r="K1636" s="1298">
        <f>VLOOKUP($B1636,dongia1,DG!$H$5,)</f>
        <v>0</v>
      </c>
      <c r="L1636" s="1298">
        <f t="shared" si="380"/>
        <v>0</v>
      </c>
      <c r="M1636" s="1298">
        <f t="shared" si="381"/>
        <v>0</v>
      </c>
      <c r="N1636" s="1298">
        <f t="shared" si="382"/>
        <v>0</v>
      </c>
      <c r="O1636" s="1298">
        <f t="shared" si="383"/>
        <v>0</v>
      </c>
      <c r="P1636" s="1499"/>
      <c r="Q1636" s="1300"/>
      <c r="R1636" s="1300"/>
      <c r="S1636" s="1300"/>
    </row>
    <row r="1637" spans="1:19" s="1081" customFormat="1" hidden="1" outlineLevel="1">
      <c r="A1637" s="1072" t="str">
        <f t="shared" si="379"/>
        <v/>
      </c>
      <c r="B1637" s="1295" t="str">
        <f>"LA"&amp;$F$6</f>
        <v>LA18</v>
      </c>
      <c r="C1637" s="1302">
        <f t="shared" si="384"/>
        <v>0</v>
      </c>
      <c r="D1637" s="1198" t="str">
        <f>VLOOKUP($B1637,dongia1,DG!$B$5,)</f>
        <v>T2.5004</v>
      </c>
      <c r="E1637" s="1243" t="str">
        <f>VLOOKUP($B1637,dongia1,DG!$C$5,)</f>
        <v>LA 18kV 10kA</v>
      </c>
      <c r="F1637" s="1198" t="str">
        <f>VLOOKUP($B1637,dongia1,DG!$D$5,)</f>
        <v>cái</v>
      </c>
      <c r="G1637" s="1508"/>
      <c r="H1637" s="1298"/>
      <c r="I1637" s="1298">
        <f>VLOOKUP($B1637,dongia1,DG!$F$5,)*0</f>
        <v>0</v>
      </c>
      <c r="J1637" s="1298">
        <f>VLOOKUP($B1637,dongia1,DG!$G$5,)</f>
        <v>83490</v>
      </c>
      <c r="K1637" s="1298">
        <f>VLOOKUP($B1637,dongia1,DG!$H$5,)</f>
        <v>0</v>
      </c>
      <c r="L1637" s="1298">
        <f t="shared" si="380"/>
        <v>0</v>
      </c>
      <c r="M1637" s="1298">
        <f>I1637*G1637</f>
        <v>0</v>
      </c>
      <c r="N1637" s="1298">
        <f>J1637*G1637</f>
        <v>0</v>
      </c>
      <c r="O1637" s="1298">
        <f>K1637*G1637</f>
        <v>0</v>
      </c>
      <c r="P1637" s="1499" t="s">
        <v>4623</v>
      </c>
      <c r="Q1637" s="1300"/>
      <c r="R1637" s="1300"/>
      <c r="S1637" s="1300"/>
    </row>
    <row r="1638" spans="1:19" s="1081" customFormat="1" hidden="1" outlineLevel="1">
      <c r="A1638" s="1072" t="str">
        <f t="shared" si="379"/>
        <v/>
      </c>
      <c r="B1638" s="1397" t="s">
        <v>5686</v>
      </c>
      <c r="C1638" s="1302">
        <f t="shared" si="384"/>
        <v>0</v>
      </c>
      <c r="D1638" s="1198" t="str">
        <f>VLOOKUP($B1638,dongia1,DG!$B$5,)</f>
        <v>T2.8407</v>
      </c>
      <c r="E1638" s="1243" t="str">
        <f>VLOOKUP($B1638,dongia1,DG!$C$5,)</f>
        <v>ACB 3P - 5000A - 130KA (nạp lò xo bằng tay)</v>
      </c>
      <c r="F1638" s="1198" t="str">
        <f>VLOOKUP($B1638,dongia1,DG!$D$5,)</f>
        <v>cái</v>
      </c>
      <c r="G1638" s="1508">
        <f>G1632</f>
        <v>0</v>
      </c>
      <c r="H1638" s="1832">
        <f>VLOOKUP($B1638,dongia1,DG!$E$5,)</f>
        <v>549444800</v>
      </c>
      <c r="I1638" s="1298">
        <f>VLOOKUP($B1638,dongia1,DG!$F$5,)*0</f>
        <v>0</v>
      </c>
      <c r="J1638" s="1298">
        <f>VLOOKUP($B1638,dongia1,DG!$G$5,)</f>
        <v>1391500</v>
      </c>
      <c r="K1638" s="1298">
        <f>VLOOKUP($B1638,dongia1,DG!$H$5,)</f>
        <v>0</v>
      </c>
      <c r="L1638" s="1298">
        <f t="shared" si="380"/>
        <v>0</v>
      </c>
      <c r="M1638" s="1298">
        <f t="shared" si="381"/>
        <v>0</v>
      </c>
      <c r="N1638" s="1298">
        <f t="shared" si="382"/>
        <v>0</v>
      </c>
      <c r="O1638" s="1298">
        <f t="shared" si="383"/>
        <v>0</v>
      </c>
      <c r="P1638" s="1437"/>
      <c r="Q1638" s="1300"/>
      <c r="R1638" s="1300"/>
      <c r="S1638" s="1300"/>
    </row>
    <row r="1639" spans="1:19" s="1081" customFormat="1" hidden="1" outlineLevel="1">
      <c r="A1639" s="1072" t="str">
        <f t="shared" si="379"/>
        <v/>
      </c>
      <c r="B1639" s="1397" t="s">
        <v>215</v>
      </c>
      <c r="C1639" s="1302">
        <f t="shared" si="384"/>
        <v>0</v>
      </c>
      <c r="D1639" s="1198" t="str">
        <f>VLOOKUP($B1639,dongia1,DG!$B$5,)</f>
        <v>T2.8405</v>
      </c>
      <c r="E1639" s="1243" t="str">
        <f>VLOOKUP($B1639,dongia1,DG!$C$5,)</f>
        <v>MCCB 3 cực 400V -400A - 50KA (chỉnh định dòng)</v>
      </c>
      <c r="F1639" s="1198" t="str">
        <f>VLOOKUP($B1639,dongia1,DG!$D$5,)</f>
        <v>cái</v>
      </c>
      <c r="G1639" s="1508"/>
      <c r="H1639" s="1298">
        <f>VLOOKUP($B1639,dongia1,DG!$E$5,)</f>
        <v>7180000</v>
      </c>
      <c r="I1639" s="1298">
        <f>VLOOKUP($B1639,dongia1,DG!$F$5,)*0</f>
        <v>0</v>
      </c>
      <c r="J1639" s="1298">
        <f>VLOOKUP($B1639,dongia1,DG!$G$5,)</f>
        <v>974050</v>
      </c>
      <c r="K1639" s="1298">
        <f>VLOOKUP($B1639,dongia1,DG!$H$5,)</f>
        <v>0</v>
      </c>
      <c r="L1639" s="1298">
        <f t="shared" si="380"/>
        <v>0</v>
      </c>
      <c r="M1639" s="1298">
        <f>I1639*G1639</f>
        <v>0</v>
      </c>
      <c r="N1639" s="1298">
        <f>J1639*G1639</f>
        <v>0</v>
      </c>
      <c r="O1639" s="1298">
        <f>K1639*G1639</f>
        <v>0</v>
      </c>
      <c r="P1639" s="1499"/>
      <c r="Q1639" s="1300"/>
      <c r="R1639" s="1300"/>
      <c r="S1639" s="1300"/>
    </row>
    <row r="1640" spans="1:19" s="1081" customFormat="1" hidden="1" outlineLevel="1">
      <c r="A1640" s="1072" t="str">
        <f t="shared" si="379"/>
        <v/>
      </c>
      <c r="B1640" s="1397" t="s">
        <v>5710</v>
      </c>
      <c r="C1640" s="1302">
        <f t="shared" si="384"/>
        <v>0</v>
      </c>
      <c r="D1640" s="1198" t="str">
        <f>VLOOKUP($B1640,dongia1,DG!$B$5,)</f>
        <v>T2.8506</v>
      </c>
      <c r="E1640" s="1243" t="str">
        <f>VLOOKUP($B1640,dongia1,DG!$C$5,)</f>
        <v>Tủ tụ bù hạ thế 1200kVAr</v>
      </c>
      <c r="F1640" s="1198" t="str">
        <f>VLOOKUP($B1640,dongia1,DG!$D$5,)</f>
        <v>tủ</v>
      </c>
      <c r="G1640" s="1508">
        <f>G1632</f>
        <v>0</v>
      </c>
      <c r="H1640" s="1298">
        <f>VLOOKUP($B1640,dongia1,DG!$E$5,)</f>
        <v>240000000</v>
      </c>
      <c r="I1640" s="1298">
        <f>VLOOKUP($B1640,dongia1,DG!$F$5,)</f>
        <v>0</v>
      </c>
      <c r="J1640" s="1298">
        <f>VLOOKUP($B1640,dongia1,DG!$G$5,)</f>
        <v>694734.99600000004</v>
      </c>
      <c r="K1640" s="1298">
        <f>VLOOKUP($B1640,dongia1,DG!$H$5,)</f>
        <v>59254</v>
      </c>
      <c r="L1640" s="1298">
        <f t="shared" si="380"/>
        <v>0</v>
      </c>
      <c r="M1640" s="1298">
        <f t="shared" si="381"/>
        <v>0</v>
      </c>
      <c r="N1640" s="1298">
        <f t="shared" si="382"/>
        <v>0</v>
      </c>
      <c r="O1640" s="1298">
        <f t="shared" si="383"/>
        <v>0</v>
      </c>
      <c r="P1640" s="1437"/>
      <c r="Q1640" s="1300"/>
      <c r="R1640" s="1300"/>
      <c r="S1640" s="1300"/>
    </row>
    <row r="1641" spans="1:19" s="1081" customFormat="1" hidden="1" outlineLevel="1">
      <c r="A1641" s="1072" t="str">
        <f t="shared" si="379"/>
        <v/>
      </c>
      <c r="B1641" s="16" t="s">
        <v>327</v>
      </c>
      <c r="C1641" s="1302">
        <f t="shared" si="384"/>
        <v>0</v>
      </c>
      <c r="D1641" s="1198">
        <f>VLOOKUP($B1641,dongia1,DG!$B$5,)</f>
        <v>0</v>
      </c>
      <c r="E1641" s="1243" t="str">
        <f>VLOOKUP($B1641,dongia1,DG!$C$5,)</f>
        <v>Biến dòng 24kV  100/5A</v>
      </c>
      <c r="F1641" s="1198" t="str">
        <f>VLOOKUP($B1641,dongia1,DG!$D$5,)</f>
        <v>cái</v>
      </c>
      <c r="G1641" s="1508"/>
      <c r="H1641" s="1298">
        <f>VLOOKUP($B1641,dongia1,DG!$E$5,)*0</f>
        <v>0</v>
      </c>
      <c r="I1641" s="1298">
        <f>VLOOKUP($B1641,dongia1,DG!$F$5,)*0</f>
        <v>0</v>
      </c>
      <c r="J1641" s="1298">
        <f>VLOOKUP($B1641,dongia1,DG!$G$5,)</f>
        <v>0</v>
      </c>
      <c r="K1641" s="1298">
        <f>VLOOKUP($B1641,dongia1,DG!$H$5,)</f>
        <v>0</v>
      </c>
      <c r="L1641" s="1298">
        <f t="shared" si="380"/>
        <v>0</v>
      </c>
      <c r="M1641" s="1298">
        <f t="shared" si="381"/>
        <v>0</v>
      </c>
      <c r="N1641" s="1298">
        <f t="shared" si="382"/>
        <v>0</v>
      </c>
      <c r="O1641" s="1298">
        <f t="shared" si="383"/>
        <v>0</v>
      </c>
      <c r="P1641" s="1439" t="s">
        <v>3471</v>
      </c>
      <c r="Q1641" s="1300"/>
      <c r="R1641" s="1300"/>
      <c r="S1641" s="1300"/>
    </row>
    <row r="1642" spans="1:19" s="1081" customFormat="1" hidden="1" outlineLevel="1">
      <c r="A1642" s="1072" t="str">
        <f t="shared" si="379"/>
        <v/>
      </c>
      <c r="B1642" s="16" t="s">
        <v>1915</v>
      </c>
      <c r="C1642" s="1302">
        <f t="shared" si="384"/>
        <v>0</v>
      </c>
      <c r="D1642" s="1198">
        <f>VLOOKUP($B1642,dongia1,DG!$B$5,)</f>
        <v>0</v>
      </c>
      <c r="E1642" s="1243" t="str">
        <f>VLOOKUP($B1642,dongia1,DG!$C$5,)</f>
        <v>Biến điện áp 22000/√3/100/√3 V</v>
      </c>
      <c r="F1642" s="1198" t="str">
        <f>VLOOKUP($B1642,dongia1,DG!$D$5,)</f>
        <v>cái</v>
      </c>
      <c r="G1642" s="1508"/>
      <c r="H1642" s="1298">
        <f>VLOOKUP($B1642,dongia1,DG!$E$5,)*0</f>
        <v>0</v>
      </c>
      <c r="I1642" s="1298">
        <f>VLOOKUP($B1642,dongia1,DG!$F$5,)*0</f>
        <v>0</v>
      </c>
      <c r="J1642" s="1298"/>
      <c r="K1642" s="1298"/>
      <c r="L1642" s="1298">
        <f>H1642*G1642</f>
        <v>0</v>
      </c>
      <c r="M1642" s="1298">
        <f>I1642*G1642</f>
        <v>0</v>
      </c>
      <c r="N1642" s="1298">
        <f>J1642*G1642</f>
        <v>0</v>
      </c>
      <c r="O1642" s="1298">
        <f>K1642*G1642</f>
        <v>0</v>
      </c>
      <c r="P1642" s="1501" t="s">
        <v>3471</v>
      </c>
      <c r="Q1642" s="1300"/>
      <c r="R1642" s="1300"/>
      <c r="S1642" s="1300"/>
    </row>
    <row r="1643" spans="1:19" s="1081" customFormat="1" hidden="1" outlineLevel="1">
      <c r="A1643" s="1072" t="str">
        <f t="shared" si="379"/>
        <v/>
      </c>
      <c r="B1643" s="1068" t="s">
        <v>839</v>
      </c>
      <c r="C1643" s="1302">
        <f t="shared" si="384"/>
        <v>0</v>
      </c>
      <c r="D1643" s="1198">
        <f>VLOOKUP($B1643,dongia1,DG!$B$5,)</f>
        <v>0</v>
      </c>
      <c r="E1643" s="1243" t="str">
        <f>VLOOKUP($B1643,dongia1,DG!$C$5,)</f>
        <v>Điện kế 3 pha 4 dây 220/380V-5A</v>
      </c>
      <c r="F1643" s="1198" t="str">
        <f>VLOOKUP($B1643,dongia1,DG!$D$5,)</f>
        <v>cái</v>
      </c>
      <c r="G1643" s="1516"/>
      <c r="H1643" s="1298">
        <f>VLOOKUP($B1643,dongia1,DG!$E$5,)*0</f>
        <v>0</v>
      </c>
      <c r="I1643" s="1298">
        <f>VLOOKUP($B1643,dongia1,DG!$F$5,)*0</f>
        <v>0</v>
      </c>
      <c r="J1643" s="1298">
        <f>VLOOKUP($B1643,dongia1,DG!$G$5,)*0</f>
        <v>0</v>
      </c>
      <c r="K1643" s="1298">
        <f>VLOOKUP($B1643,dongia1,DG!$H$5,)</f>
        <v>0</v>
      </c>
      <c r="L1643" s="1298">
        <f t="shared" si="380"/>
        <v>0</v>
      </c>
      <c r="M1643" s="1400">
        <f t="shared" si="381"/>
        <v>0</v>
      </c>
      <c r="N1643" s="1400">
        <f t="shared" si="382"/>
        <v>0</v>
      </c>
      <c r="O1643" s="1401">
        <f t="shared" si="383"/>
        <v>0</v>
      </c>
      <c r="P1643" s="1502" t="s">
        <v>3471</v>
      </c>
      <c r="Q1643" s="1300"/>
      <c r="R1643" s="1300"/>
      <c r="S1643" s="1300"/>
    </row>
    <row r="1644" spans="1:19" s="1819" customFormat="1" ht="19.5" hidden="1" customHeight="1" outlineLevel="1">
      <c r="A1644" s="1154">
        <f>A1627</f>
        <v>0</v>
      </c>
      <c r="B1644" s="1073"/>
      <c r="C1644" s="1341"/>
      <c r="D1644" s="1342"/>
      <c r="E1644" s="1345"/>
      <c r="F1644" s="1341"/>
      <c r="G1644" s="1408"/>
      <c r="H1644" s="1341"/>
      <c r="I1644" s="1341"/>
      <c r="J1644" s="1166" t="s">
        <v>3387</v>
      </c>
      <c r="K1644" s="1341"/>
      <c r="L1644" s="1345">
        <f>SUM(L1632:L1643)</f>
        <v>0</v>
      </c>
      <c r="M1644" s="1345">
        <f>SUM(M1632:M1643)</f>
        <v>0</v>
      </c>
      <c r="N1644" s="1345">
        <f>SUM(N1632:N1643)</f>
        <v>0</v>
      </c>
      <c r="O1644" s="1345">
        <f>SUM(O1632:O1643)</f>
        <v>0</v>
      </c>
      <c r="P1644" s="1818"/>
    </row>
    <row r="1645" spans="1:19" s="1081" customFormat="1" hidden="1" outlineLevel="1">
      <c r="A1645" s="1072">
        <f>A1627</f>
        <v>0</v>
      </c>
      <c r="B1645" s="1295"/>
      <c r="C1645" s="1448"/>
      <c r="D1645" s="1449"/>
      <c r="E1645" s="1450" t="s">
        <v>3376</v>
      </c>
      <c r="F1645" s="1450"/>
      <c r="G1645" s="1505"/>
      <c r="H1645" s="1450"/>
      <c r="I1645" s="1450"/>
      <c r="J1645" s="1450"/>
      <c r="K1645" s="1450"/>
      <c r="L1645" s="1450"/>
      <c r="M1645" s="1450"/>
      <c r="N1645" s="1450"/>
      <c r="O1645" s="1449"/>
      <c r="P1645" s="1504"/>
      <c r="Q1645" s="1300"/>
      <c r="R1645" s="1300"/>
      <c r="S1645" s="1300"/>
    </row>
    <row r="1646" spans="1:19" s="1081" customFormat="1" hidden="1" outlineLevel="1">
      <c r="A1646" s="1072" t="str">
        <f t="shared" ref="A1646:A1664" si="385">IF(G1646&lt;&gt;0,1,"")</f>
        <v/>
      </c>
      <c r="B1646" s="1452"/>
      <c r="C1646" s="1453">
        <f>IF(G1646&gt;0,1,0)</f>
        <v>0</v>
      </c>
      <c r="D1646" s="1198"/>
      <c r="E1646" s="1454" t="s">
        <v>3377</v>
      </c>
      <c r="F1646" s="1455" t="s">
        <v>1133</v>
      </c>
      <c r="G1646" s="1517"/>
      <c r="H1646" s="1455"/>
      <c r="I1646" s="1455"/>
      <c r="J1646" s="1455"/>
      <c r="K1646" s="1455"/>
      <c r="L1646" s="1456"/>
      <c r="M1646" s="1456"/>
      <c r="N1646" s="1456"/>
      <c r="O1646" s="1457"/>
      <c r="P1646" s="1437"/>
      <c r="Q1646" s="1300"/>
      <c r="R1646" s="1300"/>
      <c r="S1646" s="1300"/>
    </row>
    <row r="1647" spans="1:19" s="1081" customFormat="1" hidden="1" outlineLevel="1">
      <c r="A1647" s="1072" t="str">
        <f t="shared" si="385"/>
        <v/>
      </c>
      <c r="B1647" s="1421" t="s">
        <v>1012</v>
      </c>
      <c r="C1647" s="1458"/>
      <c r="D1647" s="1198"/>
      <c r="E1647" s="1459" t="str">
        <f>VLOOKUP($B1647,dongia1,DG!$C$5,)</f>
        <v>Trụ BTLT 12m F350 dự ứng lực</v>
      </c>
      <c r="F1647" s="1198" t="str">
        <f>VLOOKUP($B1647,dongia1,DG!$D$5,)</f>
        <v>trụ</v>
      </c>
      <c r="G1647" s="1518">
        <f>G1646</f>
        <v>0</v>
      </c>
      <c r="H1647" s="1399">
        <f>VLOOKUP($B1647,dongia1,DG!$F$5,)</f>
        <v>4400000</v>
      </c>
      <c r="I1647" s="1291"/>
      <c r="J1647" s="1399"/>
      <c r="K1647" s="1291"/>
      <c r="L1647" s="1400">
        <f>H1647*G1647</f>
        <v>0</v>
      </c>
      <c r="M1647" s="1400">
        <f>I1647*G1647</f>
        <v>0</v>
      </c>
      <c r="N1647" s="1400">
        <f>J1647*G1647</f>
        <v>0</v>
      </c>
      <c r="O1647" s="1400">
        <f>K1647*G1647</f>
        <v>0</v>
      </c>
      <c r="P1647" s="1437"/>
      <c r="Q1647" s="1300"/>
      <c r="R1647" s="1300"/>
      <c r="S1647" s="1300"/>
    </row>
    <row r="1648" spans="1:19" s="1081" customFormat="1" hidden="1" outlineLevel="1">
      <c r="A1648" s="1072" t="str">
        <f t="shared" si="385"/>
        <v/>
      </c>
      <c r="B1648" s="1421" t="s">
        <v>1457</v>
      </c>
      <c r="C1648" s="1458"/>
      <c r="D1648" s="1198"/>
      <c r="E1648" s="1459" t="str">
        <f>VLOOKUP($B1648,dongia1,DG!$C$5,)</f>
        <v>Vật liệu dựng trụ</v>
      </c>
      <c r="F1648" s="1198" t="str">
        <f>VLOOKUP($B1648,dongia1,DG!$D$5,)</f>
        <v>trụ</v>
      </c>
      <c r="G1648" s="1518">
        <f>G1647</f>
        <v>0</v>
      </c>
      <c r="H1648" s="1399">
        <f>VLOOKUP($B1648,dongia1,DG!$F$5,)</f>
        <v>17400</v>
      </c>
      <c r="I1648" s="1399"/>
      <c r="J1648" s="1291"/>
      <c r="K1648" s="1291"/>
      <c r="L1648" s="1400">
        <f>H1648*G1648</f>
        <v>0</v>
      </c>
      <c r="M1648" s="1400">
        <f>I1648*G1648</f>
        <v>0</v>
      </c>
      <c r="N1648" s="1400">
        <f>J1648*G1648</f>
        <v>0</v>
      </c>
      <c r="O1648" s="1400">
        <f>K1648*G1648</f>
        <v>0</v>
      </c>
      <c r="P1648" s="1437"/>
      <c r="Q1648" s="1300"/>
      <c r="R1648" s="1300"/>
      <c r="S1648" s="1300"/>
    </row>
    <row r="1649" spans="1:19" s="1081" customFormat="1" hidden="1" outlineLevel="1">
      <c r="A1649" s="1072" t="str">
        <f t="shared" si="385"/>
        <v/>
      </c>
      <c r="B1649" s="1421" t="s">
        <v>1701</v>
      </c>
      <c r="C1649" s="1458"/>
      <c r="D1649" s="1198" t="str">
        <f>VLOOKUP($B1649,dongia1,DG!$B$5,)</f>
        <v>04.9203</v>
      </c>
      <c r="E1649" s="1459" t="str">
        <f>VLOOKUP($B1649,dongia1,DG!$C$5,)</f>
        <v>Dựng trụ BTLT 12m trong TBA bằng thủ công + cơ giới</v>
      </c>
      <c r="F1649" s="1198" t="str">
        <f>VLOOKUP($B1649,dongia1,DG!$D$5,)</f>
        <v>trụ</v>
      </c>
      <c r="G1649" s="1518">
        <f>G1647</f>
        <v>0</v>
      </c>
      <c r="H1649" s="1459"/>
      <c r="I1649" s="1399"/>
      <c r="J1649" s="1399">
        <f>VLOOKUP($B1649,dongia1,DG!$G$5,)</f>
        <v>112286</v>
      </c>
      <c r="K1649" s="1399">
        <f>VLOOKUP($B1649,dongia1,DG!$H$5,)</f>
        <v>105970</v>
      </c>
      <c r="L1649" s="1400">
        <f>H1649*G1649</f>
        <v>0</v>
      </c>
      <c r="M1649" s="1400">
        <f>I1649*G1649</f>
        <v>0</v>
      </c>
      <c r="N1649" s="1400">
        <f>J1649*G1649</f>
        <v>0</v>
      </c>
      <c r="O1649" s="1400">
        <f>K1649*G1649</f>
        <v>0</v>
      </c>
      <c r="P1649" s="1437"/>
      <c r="Q1649" s="1300"/>
      <c r="R1649" s="1300"/>
      <c r="S1649" s="1300"/>
    </row>
    <row r="1650" spans="1:19" s="1081" customFormat="1" hidden="1" outlineLevel="1">
      <c r="A1650" s="1072" t="str">
        <f t="shared" si="385"/>
        <v/>
      </c>
      <c r="B1650" s="1452"/>
      <c r="C1650" s="1453">
        <f>IF(G1650&gt;0,1,0)</f>
        <v>0</v>
      </c>
      <c r="D1650" s="1198"/>
      <c r="E1650" s="1454" t="s">
        <v>3389</v>
      </c>
      <c r="F1650" s="1455" t="s">
        <v>1133</v>
      </c>
      <c r="G1650" s="1517">
        <f>G1632*1*0</f>
        <v>0</v>
      </c>
      <c r="H1650" s="1455"/>
      <c r="I1650" s="1455"/>
      <c r="J1650" s="1455"/>
      <c r="K1650" s="1455"/>
      <c r="L1650" s="1456"/>
      <c r="M1650" s="1456"/>
      <c r="N1650" s="1456"/>
      <c r="O1650" s="1457"/>
      <c r="P1650" s="1299"/>
      <c r="Q1650" s="1300"/>
      <c r="R1650" s="1300"/>
      <c r="S1650" s="1300"/>
    </row>
    <row r="1651" spans="1:19" s="1081" customFormat="1" hidden="1" outlineLevel="1">
      <c r="A1651" s="1072" t="str">
        <f t="shared" si="385"/>
        <v/>
      </c>
      <c r="B1651" s="1421" t="s">
        <v>1011</v>
      </c>
      <c r="C1651" s="1458"/>
      <c r="D1651" s="1198"/>
      <c r="E1651" s="1459" t="str">
        <f>VLOOKUP($B1651,dongia1,DG!$C$5,)</f>
        <v>Trụ BTLT 10,5m F350 dự ứng lực</v>
      </c>
      <c r="F1651" s="1198" t="str">
        <f>VLOOKUP($B1651,dongia1,DG!$D$5,)</f>
        <v>trụ</v>
      </c>
      <c r="G1651" s="1518">
        <f>G1650</f>
        <v>0</v>
      </c>
      <c r="H1651" s="1399">
        <f>VLOOKUP($B1651,dongia1,DG!$F$5,)</f>
        <v>4200000</v>
      </c>
      <c r="I1651" s="1291"/>
      <c r="J1651" s="1399"/>
      <c r="K1651" s="1291"/>
      <c r="L1651" s="1400">
        <f>H1651*G1651</f>
        <v>0</v>
      </c>
      <c r="M1651" s="1400">
        <f>I1651*G1651</f>
        <v>0</v>
      </c>
      <c r="N1651" s="1400">
        <f>J1651*G1651</f>
        <v>0</v>
      </c>
      <c r="O1651" s="1400">
        <f>K1651*G1651</f>
        <v>0</v>
      </c>
      <c r="P1651" s="1299"/>
      <c r="Q1651" s="1300"/>
      <c r="R1651" s="1300"/>
      <c r="S1651" s="1300"/>
    </row>
    <row r="1652" spans="1:19" s="1081" customFormat="1" hidden="1" outlineLevel="1">
      <c r="A1652" s="1072" t="str">
        <f t="shared" si="385"/>
        <v/>
      </c>
      <c r="B1652" s="1421" t="s">
        <v>1457</v>
      </c>
      <c r="C1652" s="1458"/>
      <c r="D1652" s="1198"/>
      <c r="E1652" s="1459" t="str">
        <f>VLOOKUP($B1652,dongia1,DG!$C$5,)</f>
        <v>Vật liệu dựng trụ</v>
      </c>
      <c r="F1652" s="1198" t="str">
        <f>VLOOKUP($B1652,dongia1,DG!$D$5,)</f>
        <v>trụ</v>
      </c>
      <c r="G1652" s="1518">
        <f>G1651</f>
        <v>0</v>
      </c>
      <c r="H1652" s="1399">
        <f>VLOOKUP($B1652,dongia1,DG!$F$5,)</f>
        <v>17400</v>
      </c>
      <c r="I1652" s="1399"/>
      <c r="J1652" s="1291"/>
      <c r="K1652" s="1291"/>
      <c r="L1652" s="1400">
        <f>H1652*G1652</f>
        <v>0</v>
      </c>
      <c r="M1652" s="1400">
        <f>I1652*G1652</f>
        <v>0</v>
      </c>
      <c r="N1652" s="1400">
        <f>J1652*G1652</f>
        <v>0</v>
      </c>
      <c r="O1652" s="1400">
        <f>K1652*G1652</f>
        <v>0</v>
      </c>
      <c r="P1652" s="1299"/>
      <c r="Q1652" s="1300"/>
      <c r="R1652" s="1300"/>
      <c r="S1652" s="1300"/>
    </row>
    <row r="1653" spans="1:19" s="1081" customFormat="1" hidden="1" outlineLevel="1">
      <c r="A1653" s="1072" t="str">
        <f t="shared" si="385"/>
        <v/>
      </c>
      <c r="B1653" s="1421" t="s">
        <v>1702</v>
      </c>
      <c r="C1653" s="1458"/>
      <c r="D1653" s="1198" t="str">
        <f>VLOOKUP($B1653,dongia1,DG!$B$5,)</f>
        <v>04.9203</v>
      </c>
      <c r="E1653" s="1459" t="str">
        <f>VLOOKUP($B1653,dongia1,DG!$C$5,)</f>
        <v>Dựng trụ BTLT 10,5m trong TBA bằng thủ công + cơ giới</v>
      </c>
      <c r="F1653" s="1198" t="str">
        <f>VLOOKUP($B1653,dongia1,DG!$D$5,)</f>
        <v>trụ</v>
      </c>
      <c r="G1653" s="1518">
        <f>G1651</f>
        <v>0</v>
      </c>
      <c r="H1653" s="1459"/>
      <c r="I1653" s="1399"/>
      <c r="J1653" s="1399">
        <f>VLOOKUP($B1653,dongia1,DG!$G$5,)</f>
        <v>112286</v>
      </c>
      <c r="K1653" s="1399">
        <f>VLOOKUP($B1653,dongia1,DG!$H$5,)</f>
        <v>105970</v>
      </c>
      <c r="L1653" s="1400">
        <f>H1653*G1653</f>
        <v>0</v>
      </c>
      <c r="M1653" s="1400">
        <f>I1653*G1653</f>
        <v>0</v>
      </c>
      <c r="N1653" s="1400">
        <f>J1653*G1653</f>
        <v>0</v>
      </c>
      <c r="O1653" s="1400">
        <f>K1653*G1653</f>
        <v>0</v>
      </c>
      <c r="P1653" s="1299"/>
      <c r="Q1653" s="1300"/>
      <c r="R1653" s="1300"/>
      <c r="S1653" s="1300"/>
    </row>
    <row r="1654" spans="1:19" s="1081" customFormat="1" hidden="1" outlineLevel="1">
      <c r="A1654" s="1072" t="str">
        <f t="shared" si="385"/>
        <v/>
      </c>
      <c r="B1654" s="1421"/>
      <c r="C1654" s="1291">
        <f>IF(G1654&gt;0,C1646+1,C1646)</f>
        <v>0</v>
      </c>
      <c r="D1654" s="1198"/>
      <c r="E1654" s="1454" t="s">
        <v>3390</v>
      </c>
      <c r="F1654" s="1455" t="s">
        <v>3391</v>
      </c>
      <c r="G1654" s="1517">
        <f>G1646</f>
        <v>0</v>
      </c>
      <c r="H1654" s="1291"/>
      <c r="I1654" s="1291"/>
      <c r="J1654" s="1291"/>
      <c r="K1654" s="1291"/>
      <c r="L1654" s="1291"/>
      <c r="M1654" s="1291"/>
      <c r="N1654" s="1291"/>
      <c r="O1654" s="1461"/>
      <c r="P1654" s="1437"/>
      <c r="Q1654" s="1300"/>
      <c r="R1654" s="1300"/>
      <c r="S1654" s="1300"/>
    </row>
    <row r="1655" spans="1:19" s="1081" customFormat="1" hidden="1" outlineLevel="1">
      <c r="A1655" s="1072" t="str">
        <f t="shared" si="385"/>
        <v/>
      </c>
      <c r="B1655" s="1421" t="s">
        <v>580</v>
      </c>
      <c r="C1655" s="1458"/>
      <c r="D1655" s="1198" t="str">
        <f>VLOOKUP($B1655,dongia1,DG!$B$5,)</f>
        <v>AG.42111</v>
      </c>
      <c r="E1655" s="1459" t="str">
        <f>VLOOKUP($B1655,dongia1,DG!$C$5,)</f>
        <v>Đà cản BTCT 1,2m</v>
      </c>
      <c r="F1655" s="1198" t="str">
        <f>VLOOKUP($B1655,dongia1,DG!$D$5,)</f>
        <v>cái</v>
      </c>
      <c r="G1655" s="1518">
        <f>G1654</f>
        <v>0</v>
      </c>
      <c r="H1655" s="1399">
        <f>VLOOKUP($B1655,dongia1,DG!$F$5,)</f>
        <v>354545</v>
      </c>
      <c r="I1655" s="1399"/>
      <c r="J1655" s="1399">
        <f>VLOOKUP($B1655,dongia1,DG!$G$5,)</f>
        <v>37220.25</v>
      </c>
      <c r="K1655" s="1291"/>
      <c r="L1655" s="1400">
        <f>H1655*G1655</f>
        <v>0</v>
      </c>
      <c r="M1655" s="1400">
        <f>I1655*G1655</f>
        <v>0</v>
      </c>
      <c r="N1655" s="1400">
        <f>J1655*G1655</f>
        <v>0</v>
      </c>
      <c r="O1655" s="1400">
        <f>K1655*G1655</f>
        <v>0</v>
      </c>
      <c r="P1655" s="1437"/>
      <c r="Q1655" s="1300"/>
      <c r="R1655" s="1300"/>
      <c r="S1655" s="1300"/>
    </row>
    <row r="1656" spans="1:19" s="1081" customFormat="1" hidden="1" outlineLevel="1">
      <c r="A1656" s="1072" t="str">
        <f t="shared" si="385"/>
        <v/>
      </c>
      <c r="B1656" s="1421" t="s">
        <v>952</v>
      </c>
      <c r="C1656" s="1458"/>
      <c r="D1656" s="1198"/>
      <c r="E1656" s="1459" t="str">
        <f>VLOOKUP($B1656,dongia1,DG!$C$5,)</f>
        <v>Boulon 22x650+ 2 long đền vuông D24-60x60x3/Zn</v>
      </c>
      <c r="F1656" s="1198" t="str">
        <f>VLOOKUP($B1656,dongia1,DG!$D$5,)</f>
        <v>bộ</v>
      </c>
      <c r="G1656" s="1304">
        <f>G1655</f>
        <v>0</v>
      </c>
      <c r="H1656" s="1399">
        <f>VLOOKUP($B1656,dongia1,DG!$F$5,)</f>
        <v>92200</v>
      </c>
      <c r="I1656" s="1459"/>
      <c r="J1656" s="1459"/>
      <c r="K1656" s="1291"/>
      <c r="L1656" s="1400">
        <f>H1656*G1656</f>
        <v>0</v>
      </c>
      <c r="M1656" s="1400">
        <f>I1656*G1656</f>
        <v>0</v>
      </c>
      <c r="N1656" s="1400">
        <f>J1656*G1656</f>
        <v>0</v>
      </c>
      <c r="O1656" s="1400">
        <f>K1656*G1656</f>
        <v>0</v>
      </c>
      <c r="P1656" s="1437"/>
      <c r="Q1656" s="1300"/>
      <c r="R1656" s="1300"/>
      <c r="S1656" s="1300"/>
    </row>
    <row r="1657" spans="1:19" s="1081" customFormat="1" hidden="1" outlineLevel="1">
      <c r="A1657" s="1072" t="str">
        <f t="shared" si="385"/>
        <v/>
      </c>
      <c r="B1657" s="1421" t="str">
        <f>IF(capdat=1,"MDD1",IF(capdat=2,"MDD2",IF(capdat=3,"MDD3",IF(capdat=4,"MDD4"))))</f>
        <v>MDD3</v>
      </c>
      <c r="C1657" s="1458"/>
      <c r="D1657" s="1198" t="str">
        <f>VLOOKUP($B1657,dongia1,DG!$B$5,)</f>
        <v>03.1013</v>
      </c>
      <c r="E1657" s="1459" t="str">
        <f>VLOOKUP($B1657,dongia1,DG!$C$5,)</f>
        <v>Đào hố móng đất cấp 3 sâu &gt;1m DT&lt;5m2</v>
      </c>
      <c r="F1657" s="1198" t="str">
        <f>VLOOKUP($B1657,dongia1,DG!$D$5,)</f>
        <v>m3</v>
      </c>
      <c r="G1657" s="1304">
        <f>1.45*G1655</f>
        <v>0</v>
      </c>
      <c r="H1657" s="1399">
        <f>VLOOKUP($B1657,dongia1,DG!$F$5,)</f>
        <v>0</v>
      </c>
      <c r="I1657" s="1399"/>
      <c r="J1657" s="1399">
        <f>VLOOKUP($B1657,dongia1,DG!$G$5,)</f>
        <v>296500.89999999997</v>
      </c>
      <c r="K1657" s="1291"/>
      <c r="L1657" s="1400">
        <f>H1657*G1657</f>
        <v>0</v>
      </c>
      <c r="M1657" s="1400">
        <f>I1657*G1657</f>
        <v>0</v>
      </c>
      <c r="N1657" s="1400">
        <f>J1657*G1657</f>
        <v>0</v>
      </c>
      <c r="O1657" s="1400">
        <f>K1657*G1657</f>
        <v>0</v>
      </c>
      <c r="P1657" s="1437"/>
      <c r="Q1657" s="1300"/>
      <c r="R1657" s="1300"/>
      <c r="S1657" s="1300"/>
    </row>
    <row r="1658" spans="1:19" s="1081" customFormat="1" hidden="1" outlineLevel="1">
      <c r="A1658" s="1072" t="str">
        <f t="shared" si="385"/>
        <v/>
      </c>
      <c r="B1658" s="1421" t="str">
        <f>IF(capdat=1,"MDAP1",IF(capdat=2,"MDAP2",IF(capdat=3,"MDAP3",IF(capdat=4,"MDAP4"))))</f>
        <v>MDAP3</v>
      </c>
      <c r="C1658" s="1458"/>
      <c r="D1658" s="1198" t="str">
        <f>VLOOKUP($B1658,dongia1,DG!$B$5,)</f>
        <v>AB.13111</v>
      </c>
      <c r="E1658" s="1459" t="str">
        <f>VLOOKUP($B1658,dongia1,DG!$C$5,)</f>
        <v>Đắp đất hố móng, đất cấp 3 (độ chặt k = 0.85)</v>
      </c>
      <c r="F1658" s="1198" t="str">
        <f>VLOOKUP($B1658,dongia1,DG!$D$5,)</f>
        <v>m3</v>
      </c>
      <c r="G1658" s="1304">
        <f>1.37*G1654</f>
        <v>0</v>
      </c>
      <c r="H1658" s="1399">
        <f>VLOOKUP($B1658,dongia1,DG!$F$5,)</f>
        <v>0</v>
      </c>
      <c r="I1658" s="1399"/>
      <c r="J1658" s="1399">
        <f>VLOOKUP($B1658,dongia1,DG!$G$5,)</f>
        <v>117703.6</v>
      </c>
      <c r="K1658" s="1291"/>
      <c r="L1658" s="1400">
        <f>H1658*G1658</f>
        <v>0</v>
      </c>
      <c r="M1658" s="1400">
        <f>I1658*G1658</f>
        <v>0</v>
      </c>
      <c r="N1658" s="1400">
        <f>J1658*G1658</f>
        <v>0</v>
      </c>
      <c r="O1658" s="1400">
        <f>K1658*G1658</f>
        <v>0</v>
      </c>
      <c r="P1658" s="1437"/>
      <c r="Q1658" s="1300"/>
      <c r="R1658" s="1300"/>
      <c r="S1658" s="1300"/>
    </row>
    <row r="1659" spans="1:19" s="1081" customFormat="1" hidden="1" outlineLevel="1">
      <c r="A1659" s="1072" t="str">
        <f t="shared" si="385"/>
        <v/>
      </c>
      <c r="B1659" s="1421"/>
      <c r="C1659" s="1291">
        <f>IF(G1659&gt;0,C1651+1,C1651)</f>
        <v>0</v>
      </c>
      <c r="D1659" s="1198"/>
      <c r="E1659" s="1454" t="s">
        <v>3392</v>
      </c>
      <c r="F1659" s="1455" t="s">
        <v>3391</v>
      </c>
      <c r="G1659" s="1517">
        <f>G1650</f>
        <v>0</v>
      </c>
      <c r="H1659" s="1291"/>
      <c r="I1659" s="1291"/>
      <c r="J1659" s="1291"/>
      <c r="K1659" s="1291"/>
      <c r="L1659" s="1291"/>
      <c r="M1659" s="1291"/>
      <c r="N1659" s="1291"/>
      <c r="O1659" s="1461"/>
      <c r="P1659" s="1299"/>
      <c r="Q1659" s="1300"/>
      <c r="R1659" s="1300"/>
      <c r="S1659" s="1300"/>
    </row>
    <row r="1660" spans="1:19" s="1081" customFormat="1" hidden="1" outlineLevel="1">
      <c r="A1660" s="1072" t="str">
        <f t="shared" si="385"/>
        <v/>
      </c>
      <c r="B1660" s="1421" t="s">
        <v>580</v>
      </c>
      <c r="C1660" s="1458"/>
      <c r="D1660" s="1198" t="str">
        <f>VLOOKUP($B1660,dongia1,DG!$B$5,)</f>
        <v>AG.42111</v>
      </c>
      <c r="E1660" s="1459" t="str">
        <f>VLOOKUP($B1660,dongia1,DG!$C$5,)</f>
        <v>Đà cản BTCT 1,2m</v>
      </c>
      <c r="F1660" s="1198" t="str">
        <f>VLOOKUP($B1660,dongia1,DG!$D$5,)</f>
        <v>cái</v>
      </c>
      <c r="G1660" s="1518">
        <f>G1659</f>
        <v>0</v>
      </c>
      <c r="H1660" s="1399">
        <f>VLOOKUP($B1660,dongia1,DG!$F$5,)</f>
        <v>354545</v>
      </c>
      <c r="I1660" s="1399"/>
      <c r="J1660" s="1399">
        <f>VLOOKUP($B1660,dongia1,DG!$G$5,)</f>
        <v>37220.25</v>
      </c>
      <c r="K1660" s="1291"/>
      <c r="L1660" s="1400">
        <f>H1660*G1660</f>
        <v>0</v>
      </c>
      <c r="M1660" s="1400">
        <f>I1660*G1660</f>
        <v>0</v>
      </c>
      <c r="N1660" s="1400">
        <f>J1660*G1660</f>
        <v>0</v>
      </c>
      <c r="O1660" s="1400">
        <f>K1660*G1660</f>
        <v>0</v>
      </c>
      <c r="P1660" s="1299"/>
      <c r="Q1660" s="1300"/>
      <c r="R1660" s="1300"/>
      <c r="S1660" s="1300"/>
    </row>
    <row r="1661" spans="1:19" s="1081" customFormat="1" hidden="1" outlineLevel="1">
      <c r="A1661" s="1072" t="str">
        <f t="shared" si="385"/>
        <v/>
      </c>
      <c r="B1661" s="1421" t="s">
        <v>952</v>
      </c>
      <c r="C1661" s="1458"/>
      <c r="D1661" s="1198"/>
      <c r="E1661" s="1459" t="str">
        <f>VLOOKUP($B1661,dongia1,DG!$C$5,)</f>
        <v>Boulon 22x650+ 2 long đền vuông D24-60x60x3/Zn</v>
      </c>
      <c r="F1661" s="1198" t="str">
        <f>VLOOKUP($B1661,dongia1,DG!$D$5,)</f>
        <v>bộ</v>
      </c>
      <c r="G1661" s="1518">
        <f>G1660</f>
        <v>0</v>
      </c>
      <c r="H1661" s="1399">
        <f>VLOOKUP($B1661,dongia1,DG!$F$5,)</f>
        <v>92200</v>
      </c>
      <c r="I1661" s="1459"/>
      <c r="J1661" s="1459"/>
      <c r="K1661" s="1291"/>
      <c r="L1661" s="1400">
        <f>H1661*G1661</f>
        <v>0</v>
      </c>
      <c r="M1661" s="1400">
        <f>I1661*G1661</f>
        <v>0</v>
      </c>
      <c r="N1661" s="1400">
        <f>J1661*G1661</f>
        <v>0</v>
      </c>
      <c r="O1661" s="1400">
        <f>K1661*G1661</f>
        <v>0</v>
      </c>
      <c r="P1661" s="1299"/>
      <c r="Q1661" s="1300"/>
      <c r="R1661" s="1300"/>
      <c r="S1661" s="1300"/>
    </row>
    <row r="1662" spans="1:19" s="1081" customFormat="1" hidden="1" outlineLevel="1">
      <c r="A1662" s="1072" t="str">
        <f t="shared" si="385"/>
        <v/>
      </c>
      <c r="B1662" s="1421" t="str">
        <f>IF(capdat=1,"MDD1",IF(capdat=2,"MDD2",IF(capdat=3,"MDD3",IF(capdat=4,"MDD4"))))</f>
        <v>MDD3</v>
      </c>
      <c r="C1662" s="1458"/>
      <c r="D1662" s="1198" t="str">
        <f>VLOOKUP($B1662,dongia1,DG!$B$5,)</f>
        <v>03.1013</v>
      </c>
      <c r="E1662" s="1459" t="str">
        <f>VLOOKUP($B1662,dongia1,DG!$C$5,)</f>
        <v>Đào hố móng đất cấp 3 sâu &gt;1m DT&lt;5m2</v>
      </c>
      <c r="F1662" s="1198" t="str">
        <f>VLOOKUP($B1662,dongia1,DG!$D$5,)</f>
        <v>m3</v>
      </c>
      <c r="G1662" s="1304">
        <f>1.48*G1660</f>
        <v>0</v>
      </c>
      <c r="H1662" s="1399">
        <f>VLOOKUP($B1662,dongia1,DG!$F$5,)</f>
        <v>0</v>
      </c>
      <c r="I1662" s="1399"/>
      <c r="J1662" s="1399">
        <f>VLOOKUP($B1662,dongia1,DG!$G$5,)</f>
        <v>296500.89999999997</v>
      </c>
      <c r="K1662" s="1291"/>
      <c r="L1662" s="1400">
        <f>H1662*G1662</f>
        <v>0</v>
      </c>
      <c r="M1662" s="1400">
        <f>I1662*G1662</f>
        <v>0</v>
      </c>
      <c r="N1662" s="1400">
        <f>J1662*G1662</f>
        <v>0</v>
      </c>
      <c r="O1662" s="1400">
        <f>K1662*G1662</f>
        <v>0</v>
      </c>
      <c r="P1662" s="1299"/>
      <c r="Q1662" s="1300"/>
      <c r="R1662" s="1300"/>
      <c r="S1662" s="1300"/>
    </row>
    <row r="1663" spans="1:19" s="1081" customFormat="1" hidden="1" outlineLevel="1">
      <c r="A1663" s="1072" t="str">
        <f t="shared" si="385"/>
        <v/>
      </c>
      <c r="B1663" s="1421" t="str">
        <f>IF(capdat=1,"MDAP1",IF(capdat=2,"MDAP2",IF(capdat=3,"MDAP3",IF(capdat=4,"MDAP4"))))</f>
        <v>MDAP3</v>
      </c>
      <c r="C1663" s="1458"/>
      <c r="D1663" s="1198" t="str">
        <f>VLOOKUP($B1663,dongia1,DG!$B$5,)</f>
        <v>AB.13111</v>
      </c>
      <c r="E1663" s="1459" t="str">
        <f>VLOOKUP($B1663,dongia1,DG!$C$5,)</f>
        <v>Đắp đất hố móng, đất cấp 3 (độ chặt k = 0.85)</v>
      </c>
      <c r="F1663" s="1198" t="str">
        <f>VLOOKUP($B1663,dongia1,DG!$D$5,)</f>
        <v>m3</v>
      </c>
      <c r="G1663" s="1304">
        <f>1.39*G1659</f>
        <v>0</v>
      </c>
      <c r="H1663" s="1399">
        <f>VLOOKUP($B1663,dongia1,DG!$F$5,)</f>
        <v>0</v>
      </c>
      <c r="I1663" s="1399"/>
      <c r="J1663" s="1399">
        <f>VLOOKUP($B1663,dongia1,DG!$G$5,)</f>
        <v>117703.6</v>
      </c>
      <c r="K1663" s="1291"/>
      <c r="L1663" s="1400">
        <f>H1663*G1663</f>
        <v>0</v>
      </c>
      <c r="M1663" s="1400">
        <f>I1663*G1663</f>
        <v>0</v>
      </c>
      <c r="N1663" s="1400">
        <f>J1663*G1663</f>
        <v>0</v>
      </c>
      <c r="O1663" s="1400">
        <f>K1663*G1663</f>
        <v>0</v>
      </c>
      <c r="P1663" s="1299"/>
      <c r="Q1663" s="1300"/>
      <c r="R1663" s="1300"/>
      <c r="S1663" s="1300"/>
    </row>
    <row r="1664" spans="1:19" s="1081" customFormat="1" hidden="1" outlineLevel="1">
      <c r="A1664" s="1072" t="str">
        <f t="shared" si="385"/>
        <v/>
      </c>
      <c r="B1664" s="1295"/>
      <c r="C1664" s="1291">
        <f>IF(G1664&gt;0,C1654+1,C1654)</f>
        <v>0</v>
      </c>
      <c r="D1664" s="1462"/>
      <c r="E1664" s="1454" t="s">
        <v>3396</v>
      </c>
      <c r="F1664" s="1453" t="s">
        <v>2113</v>
      </c>
      <c r="G1664" s="1506"/>
      <c r="H1664" s="1464"/>
      <c r="I1664" s="1464"/>
      <c r="J1664" s="1464"/>
      <c r="K1664" s="1464"/>
      <c r="L1664" s="1464"/>
      <c r="M1664" s="1464"/>
      <c r="N1664" s="1464"/>
      <c r="O1664" s="1464"/>
      <c r="P1664" s="1507"/>
      <c r="Q1664" s="1300"/>
      <c r="R1664" s="1300"/>
      <c r="S1664" s="1300"/>
    </row>
    <row r="1665" spans="1:16383" s="1081" customFormat="1" ht="14.4" hidden="1" outlineLevel="1">
      <c r="A1665" s="1072" t="str">
        <f>A1664</f>
        <v/>
      </c>
      <c r="B1665" s="1295"/>
      <c r="C1665" s="1291"/>
      <c r="D1665" s="1465"/>
      <c r="E1665" s="1301" t="s">
        <v>3399</v>
      </c>
      <c r="F1665" s="1302"/>
      <c r="G1665" s="1508"/>
      <c r="H1665" s="1466"/>
      <c r="I1665" s="1466"/>
      <c r="J1665" s="1466"/>
      <c r="K1665" s="1466"/>
      <c r="L1665" s="1466"/>
      <c r="M1665" s="1466"/>
      <c r="N1665" s="1466"/>
      <c r="O1665" s="1466"/>
      <c r="P1665" s="1507"/>
      <c r="Q1665" s="1300"/>
      <c r="R1665" s="1300"/>
      <c r="S1665" s="1300"/>
    </row>
    <row r="1666" spans="1:16383" s="1081" customFormat="1" hidden="1" outlineLevel="1">
      <c r="A1666" s="1072" t="str">
        <f t="shared" ref="A1666:A1671" si="386">IF(G1666&lt;&gt;0,1,"")</f>
        <v/>
      </c>
      <c r="B1666" s="1068" t="s">
        <v>440</v>
      </c>
      <c r="C1666" s="1291"/>
      <c r="D1666" s="1198">
        <f>VLOOKUP($B1666,dongia1,DG!$B$5,)</f>
        <v>0</v>
      </c>
      <c r="E1666" s="1243" t="str">
        <f>VLOOKUP($B1666,dongia1,DG!$C$5,)&amp;": 2 cái"</f>
        <v>Đà U200x80x5x2800 đỡ MBA: 2 cái</v>
      </c>
      <c r="F1666" s="1198" t="str">
        <f>VLOOKUP($B1666,dongia1,DG!$D$5,)</f>
        <v>kg</v>
      </c>
      <c r="G1666" s="1508">
        <f>19.8*2.8*2*G1664</f>
        <v>0</v>
      </c>
      <c r="H1666" s="1399">
        <f>VLOOKUP($B1666,dongia1,DG!$F$5,)</f>
        <v>31625</v>
      </c>
      <c r="I1666" s="1467"/>
      <c r="J1666" s="1399"/>
      <c r="K1666" s="1399">
        <f>VLOOKUP($B1666,dongia1,DG!$H$5,)</f>
        <v>0</v>
      </c>
      <c r="L1666" s="1400">
        <f t="shared" ref="L1666:L1672" si="387">H1666*G1666</f>
        <v>0</v>
      </c>
      <c r="M1666" s="1400">
        <f t="shared" ref="M1666:M1671" si="388">I1666*G1666</f>
        <v>0</v>
      </c>
      <c r="N1666" s="1399"/>
      <c r="O1666" s="1400">
        <f t="shared" ref="O1666:O1671" si="389">K1666*G1666</f>
        <v>0</v>
      </c>
      <c r="P1666" s="1507"/>
      <c r="Q1666" s="1300">
        <f>L1666/2</f>
        <v>0</v>
      </c>
      <c r="R1666" s="1300"/>
      <c r="S1666" s="1300"/>
    </row>
    <row r="1667" spans="1:16383" s="1081" customFormat="1" hidden="1" outlineLevel="1">
      <c r="A1667" s="1072" t="str">
        <f t="shared" si="386"/>
        <v/>
      </c>
      <c r="B1667" s="1068" t="s">
        <v>1308</v>
      </c>
      <c r="C1667" s="1291"/>
      <c r="D1667" s="1198">
        <f>VLOOKUP($B1667,dongia1,DG!$B$5,)</f>
        <v>0</v>
      </c>
      <c r="E1667" s="1243" t="str">
        <f>VLOOKUP($B1667,dongia1,DG!$C$5,)&amp;": 4 cái"</f>
        <v>Đà U100x46x4,5x400 : 4 cái</v>
      </c>
      <c r="F1667" s="1198" t="str">
        <f>VLOOKUP($B1667,dongia1,DG!$D$5,)</f>
        <v>kg</v>
      </c>
      <c r="G1667" s="1508">
        <f>8.59*0.4*4*G1664</f>
        <v>0</v>
      </c>
      <c r="H1667" s="1399">
        <f>VLOOKUP($B1667,dongia1,DG!$F$5,)</f>
        <v>31625</v>
      </c>
      <c r="I1667" s="1467"/>
      <c r="J1667" s="1399"/>
      <c r="K1667" s="1399">
        <f>VLOOKUP($B1667,dongia1,DG!$H$5,)</f>
        <v>0</v>
      </c>
      <c r="L1667" s="1400">
        <f t="shared" si="387"/>
        <v>0</v>
      </c>
      <c r="M1667" s="1400">
        <f t="shared" si="388"/>
        <v>0</v>
      </c>
      <c r="N1667" s="1399"/>
      <c r="O1667" s="1400">
        <f t="shared" si="389"/>
        <v>0</v>
      </c>
      <c r="P1667" s="1507"/>
      <c r="Q1667" s="1300">
        <f>L1667/4</f>
        <v>0</v>
      </c>
      <c r="R1667" s="1300"/>
      <c r="S1667" s="1300"/>
    </row>
    <row r="1668" spans="1:16383" s="1081" customFormat="1" hidden="1" outlineLevel="1">
      <c r="A1668" s="1072" t="str">
        <f t="shared" si="386"/>
        <v/>
      </c>
      <c r="B1668" s="1068" t="s">
        <v>1309</v>
      </c>
      <c r="C1668" s="1291"/>
      <c r="D1668" s="1198">
        <f>VLOOKUP($B1668,dongia1,DG!$B$5,)</f>
        <v>0</v>
      </c>
      <c r="E1668" s="1243" t="str">
        <f>VLOOKUP($B1668,dongia1,DG!$C$5,)&amp;": 2 cái"</f>
        <v>Đà U100x46x4,5x800 : 2 cái</v>
      </c>
      <c r="F1668" s="1198" t="str">
        <f>VLOOKUP($B1668,dongia1,DG!$D$5,)</f>
        <v>kg</v>
      </c>
      <c r="G1668" s="1508">
        <f>8.59*0.8*2*G1664</f>
        <v>0</v>
      </c>
      <c r="H1668" s="1399">
        <f>VLOOKUP($B1668,dongia1,DG!$F$5,)</f>
        <v>31625</v>
      </c>
      <c r="I1668" s="1467"/>
      <c r="J1668" s="1399"/>
      <c r="K1668" s="1399">
        <f>VLOOKUP($B1668,dongia1,DG!$H$5,)</f>
        <v>0</v>
      </c>
      <c r="L1668" s="1400">
        <f t="shared" si="387"/>
        <v>0</v>
      </c>
      <c r="M1668" s="1400">
        <f t="shared" si="388"/>
        <v>0</v>
      </c>
      <c r="N1668" s="1399"/>
      <c r="O1668" s="1400">
        <f t="shared" si="389"/>
        <v>0</v>
      </c>
      <c r="P1668" s="1507"/>
      <c r="Q1668" s="1300"/>
      <c r="R1668" s="1300"/>
      <c r="S1668" s="1300"/>
    </row>
    <row r="1669" spans="1:16383" s="1081" customFormat="1" hidden="1" outlineLevel="1">
      <c r="A1669" s="1072" t="str">
        <f t="shared" si="386"/>
        <v/>
      </c>
      <c r="B1669" s="1295" t="s">
        <v>1039</v>
      </c>
      <c r="C1669" s="1291"/>
      <c r="D1669" s="1198">
        <f>VLOOKUP($B1669,dongia1,DG!$B$5,)</f>
        <v>0</v>
      </c>
      <c r="E1669" s="1243" t="str">
        <f>VLOOKUP($B1669,dongia1,DG!$C$5,)</f>
        <v>Boulon 16x400VRS+ 4 long đền vuông D18-50x50x3/Zn</v>
      </c>
      <c r="F1669" s="1198" t="str">
        <f>VLOOKUP($B1669,dongia1,DG!$D$5,)</f>
        <v>bộ</v>
      </c>
      <c r="G1669" s="1508">
        <f>G1664*10</f>
        <v>0</v>
      </c>
      <c r="H1669" s="1399">
        <f>VLOOKUP($B1669,dongia1,DG!$F$5,)</f>
        <v>34800</v>
      </c>
      <c r="I1669" s="1467"/>
      <c r="J1669" s="1399">
        <f>VLOOKUP($B1669,dongia1,DG!$G$5,)</f>
        <v>0</v>
      </c>
      <c r="K1669" s="1399">
        <f>VLOOKUP($B1669,dongia1,DG!$H$5,)</f>
        <v>0</v>
      </c>
      <c r="L1669" s="1400">
        <f t="shared" si="387"/>
        <v>0</v>
      </c>
      <c r="M1669" s="1400">
        <f t="shared" si="388"/>
        <v>0</v>
      </c>
      <c r="N1669" s="1400">
        <f>J1669*G1669</f>
        <v>0</v>
      </c>
      <c r="O1669" s="1400">
        <f t="shared" si="389"/>
        <v>0</v>
      </c>
      <c r="P1669" s="1507"/>
      <c r="Q1669" s="1300"/>
      <c r="R1669" s="1300"/>
      <c r="S1669" s="1300"/>
    </row>
    <row r="1670" spans="1:16383" s="1081" customFormat="1" hidden="1" outlineLevel="1">
      <c r="A1670" s="1072" t="str">
        <f t="shared" si="386"/>
        <v/>
      </c>
      <c r="B1670" s="1295" t="s">
        <v>82</v>
      </c>
      <c r="C1670" s="1291"/>
      <c r="D1670" s="1198">
        <f>VLOOKUP($B1670,dongia1,DG!$B$5,)</f>
        <v>0</v>
      </c>
      <c r="E1670" s="1243" t="str">
        <f>VLOOKUP($B1670,dongia1,DG!$C$5,)</f>
        <v>Boulon 16x400+ 2 long đền vuông D18-50x50x3/Zn</v>
      </c>
      <c r="F1670" s="1198" t="str">
        <f>VLOOKUP($B1670,dongia1,DG!$D$5,)</f>
        <v>bộ</v>
      </c>
      <c r="G1670" s="1508">
        <f>G1664*2</f>
        <v>0</v>
      </c>
      <c r="H1670" s="1399">
        <f>VLOOKUP($B1670,dongia1,DG!$F$5,)</f>
        <v>29900</v>
      </c>
      <c r="I1670" s="1467"/>
      <c r="J1670" s="1399">
        <f>VLOOKUP($B1670,dongia1,DG!$G$5,)</f>
        <v>0</v>
      </c>
      <c r="K1670" s="1399">
        <f>VLOOKUP($B1670,dongia1,DG!$H$5,)</f>
        <v>0</v>
      </c>
      <c r="L1670" s="1400">
        <f t="shared" si="387"/>
        <v>0</v>
      </c>
      <c r="M1670" s="1400">
        <f t="shared" si="388"/>
        <v>0</v>
      </c>
      <c r="N1670" s="1400">
        <f>J1670*G1670</f>
        <v>0</v>
      </c>
      <c r="O1670" s="1400">
        <f t="shared" si="389"/>
        <v>0</v>
      </c>
      <c r="P1670" s="1507"/>
      <c r="Q1670" s="1300"/>
      <c r="R1670" s="1300"/>
      <c r="S1670" s="1300"/>
    </row>
    <row r="1671" spans="1:16383" s="1081" customFormat="1" hidden="1" outlineLevel="1">
      <c r="A1671" s="1072" t="str">
        <f t="shared" si="386"/>
        <v/>
      </c>
      <c r="B1671" s="1295" t="s">
        <v>733</v>
      </c>
      <c r="C1671" s="1291"/>
      <c r="D1671" s="1198">
        <f>VLOOKUP($B1671,dongia1,DG!$B$5,)</f>
        <v>0</v>
      </c>
      <c r="E1671" s="1243" t="str">
        <f>VLOOKUP($B1671,dongia1,DG!$C$5,)</f>
        <v>Boulon 16x350+ 2 long đền vuông D18-50x50x3/Zn</v>
      </c>
      <c r="F1671" s="1198" t="str">
        <f>VLOOKUP($B1671,dongia1,DG!$D$5,)</f>
        <v>bộ</v>
      </c>
      <c r="G1671" s="1508">
        <f>G1664*12</f>
        <v>0</v>
      </c>
      <c r="H1671" s="1399">
        <f>VLOOKUP($B1671,dongia1,DG!$F$5,)</f>
        <v>27900</v>
      </c>
      <c r="I1671" s="1467"/>
      <c r="J1671" s="1399">
        <f>VLOOKUP($B1671,dongia1,DG!$G$5,)</f>
        <v>0</v>
      </c>
      <c r="K1671" s="1399">
        <f>VLOOKUP($B1671,dongia1,DG!$H$5,)</f>
        <v>0</v>
      </c>
      <c r="L1671" s="1400">
        <f t="shared" si="387"/>
        <v>0</v>
      </c>
      <c r="M1671" s="1400">
        <f t="shared" si="388"/>
        <v>0</v>
      </c>
      <c r="N1671" s="1400">
        <f>J1671*G1671</f>
        <v>0</v>
      </c>
      <c r="O1671" s="1400">
        <f t="shared" si="389"/>
        <v>0</v>
      </c>
      <c r="P1671" s="1507"/>
      <c r="Q1671" s="1300"/>
      <c r="R1671" s="1300"/>
      <c r="S1671" s="1300"/>
    </row>
    <row r="1672" spans="1:16383" s="1081" customFormat="1" hidden="1" outlineLevel="1">
      <c r="A1672" s="1072" t="str">
        <f>IF(G1672&lt;&gt;0,1,"")</f>
        <v/>
      </c>
      <c r="B1672" s="1066" t="s">
        <v>4552</v>
      </c>
      <c r="C1672" s="1291"/>
      <c r="D1672" s="1198" t="str">
        <f>VLOOKUP($B1672,dongia1,DG!$B$5,)</f>
        <v>T4.9302</v>
      </c>
      <c r="E1672" s="1243" t="str">
        <f>VLOOKUP($B1672,dongia1,DG!$C$5,)</f>
        <v>Lắp xà thép trong phạm vi trạm</v>
      </c>
      <c r="F1672" s="1198" t="str">
        <f>VLOOKUP($B1672,dongia1,DG!$D$5,)</f>
        <v>kg</v>
      </c>
      <c r="G1672" s="1508">
        <f>SUM(G1666:G1668)</f>
        <v>0</v>
      </c>
      <c r="H1672" s="1399">
        <f>VLOOKUP($B1672,dongia1,DG!$F$5,)</f>
        <v>0</v>
      </c>
      <c r="I1672" s="1467"/>
      <c r="J1672" s="1399">
        <f>VLOOKUP($B1672,dongia1,DG!$G$5,)</f>
        <v>2025</v>
      </c>
      <c r="K1672" s="1399">
        <f>VLOOKUP($B1672,dongia1,DG!$H$5,)</f>
        <v>0</v>
      </c>
      <c r="L1672" s="1400">
        <f t="shared" si="387"/>
        <v>0</v>
      </c>
      <c r="M1672" s="1400">
        <f>I1672*G1672</f>
        <v>0</v>
      </c>
      <c r="N1672" s="1399">
        <f>VLOOKUP($B1672,dongia1,DG!$G$5,)*G1672</f>
        <v>0</v>
      </c>
      <c r="O1672" s="1400">
        <f>K1672*G1672</f>
        <v>0</v>
      </c>
      <c r="P1672" s="1507"/>
      <c r="Q1672" s="1300"/>
      <c r="R1672" s="1300"/>
      <c r="S1672" s="1300"/>
    </row>
    <row r="1673" spans="1:16383" s="1081" customFormat="1" hidden="1" outlineLevel="1">
      <c r="A1673" s="1072" t="str">
        <f>IF(G1673&lt;&gt;0,1,"")</f>
        <v/>
      </c>
      <c r="B1673" s="1295"/>
      <c r="C1673" s="166">
        <f>IF(G1673&gt;0,C1664+1,C1664)</f>
        <v>0</v>
      </c>
      <c r="D1673" s="1733"/>
      <c r="E1673" s="168" t="s">
        <v>4672</v>
      </c>
      <c r="F1673" s="169" t="s">
        <v>2113</v>
      </c>
      <c r="G1673" s="1734"/>
      <c r="H1673" s="193"/>
      <c r="I1673" s="170"/>
      <c r="J1673" s="1736"/>
      <c r="K1673" s="1736"/>
      <c r="L1673" s="1737">
        <f t="shared" ref="L1673:L1699" si="390">H1673*G1673</f>
        <v>0</v>
      </c>
      <c r="M1673" s="64">
        <f t="shared" ref="M1673:M1678" si="391">I1673*G1673</f>
        <v>0</v>
      </c>
      <c r="N1673" s="1737">
        <f t="shared" ref="N1673:N1678" si="392">J1673*G1673</f>
        <v>0</v>
      </c>
      <c r="O1673" s="166">
        <f t="shared" ref="O1673:O1678" si="393">K1673*G1673</f>
        <v>0</v>
      </c>
      <c r="P1673" s="1733"/>
      <c r="Q1673" s="1300"/>
      <c r="R1673" s="1300"/>
      <c r="S1673" s="1300"/>
    </row>
    <row r="1674" spans="1:16383" s="1081" customFormat="1" ht="14.4" hidden="1" outlineLevel="1">
      <c r="A1674" s="1072" t="str">
        <f>A1673</f>
        <v/>
      </c>
      <c r="B1674" s="1295"/>
      <c r="C1674" s="1291"/>
      <c r="D1674" s="1292"/>
      <c r="E1674" s="1301" t="s">
        <v>3399</v>
      </c>
      <c r="F1674" s="1302"/>
      <c r="G1674" s="1508"/>
      <c r="H1674" s="1467"/>
      <c r="I1674" s="1467"/>
      <c r="J1674" s="1467"/>
      <c r="K1674" s="1467"/>
      <c r="L1674" s="1400">
        <f t="shared" si="390"/>
        <v>0</v>
      </c>
      <c r="M1674" s="1400">
        <f t="shared" si="391"/>
        <v>0</v>
      </c>
      <c r="N1674" s="1400">
        <f t="shared" si="392"/>
        <v>0</v>
      </c>
      <c r="O1674" s="1400">
        <f t="shared" si="393"/>
        <v>0</v>
      </c>
      <c r="P1674" s="1507"/>
      <c r="Q1674" s="1300"/>
      <c r="R1674" s="1300"/>
      <c r="S1674" s="1300"/>
    </row>
    <row r="1675" spans="1:16383" s="1081" customFormat="1" hidden="1" outlineLevel="1">
      <c r="A1675" s="1072" t="str">
        <f>IF(G1675&lt;&gt;0,1,"")</f>
        <v/>
      </c>
      <c r="B1675" s="1067" t="s">
        <v>2167</v>
      </c>
      <c r="C1675" s="1291"/>
      <c r="D1675" s="1198">
        <f>VLOOKUP($B1675,dongia1,DG!$B$5,)</f>
        <v>0</v>
      </c>
      <c r="E1675" s="1243" t="str">
        <f>VLOOKUP($B1675,dongia1,DG!$C$5,)</f>
        <v>Đà Composite 110x80x5x2600</v>
      </c>
      <c r="F1675" s="1198" t="str">
        <f>VLOOKUP($B1675,dongia1,DG!$D$5,)</f>
        <v>cây</v>
      </c>
      <c r="G1675" s="1508">
        <f>+G1673*1</f>
        <v>0</v>
      </c>
      <c r="H1675" s="1399">
        <f>VLOOKUP($B1675,dongia1,DG!$F$5,)</f>
        <v>878000</v>
      </c>
      <c r="I1675" s="1399"/>
      <c r="J1675" s="1399">
        <f>VLOOKUP($B1675,dongia1,DG!$G$5,)</f>
        <v>0</v>
      </c>
      <c r="K1675" s="1399">
        <v>0</v>
      </c>
      <c r="L1675" s="1400">
        <f t="shared" si="390"/>
        <v>0</v>
      </c>
      <c r="M1675" s="1400">
        <f t="shared" si="391"/>
        <v>0</v>
      </c>
      <c r="N1675" s="1400">
        <f t="shared" si="392"/>
        <v>0</v>
      </c>
      <c r="O1675" s="1400">
        <f t="shared" si="393"/>
        <v>0</v>
      </c>
      <c r="P1675" s="1507"/>
      <c r="Q1675" s="1300"/>
      <c r="R1675" s="1300"/>
      <c r="S1675" s="1300"/>
    </row>
    <row r="1676" spans="1:16383" s="1081" customFormat="1" hidden="1" outlineLevel="1">
      <c r="A1676" s="1072"/>
      <c r="B1676" s="1067" t="s">
        <v>2106</v>
      </c>
      <c r="C1676" s="1291"/>
      <c r="D1676" s="1198">
        <f>VLOOKUP($B1676,dongia1,DG!$B$5,)</f>
        <v>0</v>
      </c>
      <c r="E1676" s="1243" t="str">
        <f>VLOOKUP($B1676,dongia1,DG!$C$5,)</f>
        <v>Chống Composite 40x10x920</v>
      </c>
      <c r="F1676" s="1198" t="str">
        <f>VLOOKUP($B1676,dongia1,DG!$D$5,)</f>
        <v>Thanh</v>
      </c>
      <c r="G1676" s="1508">
        <f>G1673*2</f>
        <v>0</v>
      </c>
      <c r="H1676" s="1399">
        <f>VLOOKUP($B1676,dongia1,DG!$F$5,)</f>
        <v>140000</v>
      </c>
      <c r="I1676" s="1399"/>
      <c r="J1676" s="1399">
        <f>VLOOKUP($B1676,dongia1,DG!$G$5,)</f>
        <v>0</v>
      </c>
      <c r="K1676" s="1399">
        <v>0</v>
      </c>
      <c r="L1676" s="1400">
        <f>H1676*G1676</f>
        <v>0</v>
      </c>
      <c r="M1676" s="1400">
        <f>I1676*G1676</f>
        <v>0</v>
      </c>
      <c r="N1676" s="1400">
        <f>J1676*G1676</f>
        <v>0</v>
      </c>
      <c r="O1676" s="1400">
        <f>K1676*G1676</f>
        <v>0</v>
      </c>
      <c r="P1676" s="1507"/>
      <c r="Q1676" s="1300"/>
      <c r="R1676" s="1300"/>
      <c r="S1676" s="1300"/>
    </row>
    <row r="1677" spans="1:16383" s="1081" customFormat="1" hidden="1" outlineLevel="1">
      <c r="A1677" s="1072" t="str">
        <f>IF(G1677&lt;&gt;0,1,"")</f>
        <v/>
      </c>
      <c r="B1677" s="1073" t="s">
        <v>428</v>
      </c>
      <c r="C1677" s="1291"/>
      <c r="D1677" s="1198">
        <f>VLOOKUP($B1677,dongia1,DG!$B$5,)</f>
        <v>0</v>
      </c>
      <c r="E1677" s="1243" t="str">
        <f>VLOOKUP($B1677,dongia1,DG!$C$5,)</f>
        <v>Bass LL bắt FCO và LA</v>
      </c>
      <c r="F1677" s="1198" t="str">
        <f>VLOOKUP($B1677,dongia1,DG!$D$5,)</f>
        <v>bộ</v>
      </c>
      <c r="G1677" s="1508">
        <f>+G1673*3</f>
        <v>0</v>
      </c>
      <c r="H1677" s="1399">
        <f>VLOOKUP($B1677,dongia1,DG!$F$5,)</f>
        <v>65000</v>
      </c>
      <c r="I1677" s="1399">
        <v>0</v>
      </c>
      <c r="J1677" s="1399">
        <f>VLOOKUP($B1677,dongia1,DG!$G$5,)</f>
        <v>0</v>
      </c>
      <c r="K1677" s="1399">
        <v>0</v>
      </c>
      <c r="L1677" s="1400">
        <f t="shared" si="390"/>
        <v>0</v>
      </c>
      <c r="M1677" s="1400">
        <f t="shared" si="391"/>
        <v>0</v>
      </c>
      <c r="N1677" s="1400">
        <f t="shared" si="392"/>
        <v>0</v>
      </c>
      <c r="O1677" s="1400">
        <f t="shared" si="393"/>
        <v>0</v>
      </c>
      <c r="P1677" s="1507"/>
      <c r="Q1677" s="1300"/>
      <c r="R1677" s="1300"/>
      <c r="S1677" s="1300"/>
    </row>
    <row r="1678" spans="1:16383" s="1081" customFormat="1" hidden="1" outlineLevel="1">
      <c r="A1678" s="1072" t="str">
        <f>IF(G1678&lt;&gt;0,1,"")</f>
        <v/>
      </c>
      <c r="B1678" s="1295" t="s">
        <v>733</v>
      </c>
      <c r="C1678" s="1291"/>
      <c r="D1678" s="1198">
        <f>VLOOKUP($B1678,dongia1,DG!$B$5,)</f>
        <v>0</v>
      </c>
      <c r="E1678" s="1243" t="str">
        <f>VLOOKUP($B1678,dongia1,DG!$C$5,)</f>
        <v>Boulon 16x350+ 2 long đền vuông D18-50x50x3/Zn</v>
      </c>
      <c r="F1678" s="1198" t="str">
        <f>VLOOKUP($B1678,dongia1,DG!$D$5,)</f>
        <v>bộ</v>
      </c>
      <c r="G1678" s="1508">
        <f>+G1673*2</f>
        <v>0</v>
      </c>
      <c r="H1678" s="1399">
        <f>VLOOKUP($B1678,dongia1,DG!$F$5,)</f>
        <v>27900</v>
      </c>
      <c r="I1678" s="1467"/>
      <c r="J1678" s="1399">
        <f>VLOOKUP($B1678,dongia1,DG!$G$5,)</f>
        <v>0</v>
      </c>
      <c r="K1678" s="1399">
        <f>VLOOKUP($B1678,dongia1,DG!$H$5,)</f>
        <v>0</v>
      </c>
      <c r="L1678" s="1400">
        <f t="shared" si="390"/>
        <v>0</v>
      </c>
      <c r="M1678" s="1400">
        <f t="shared" si="391"/>
        <v>0</v>
      </c>
      <c r="N1678" s="1400">
        <f t="shared" si="392"/>
        <v>0</v>
      </c>
      <c r="O1678" s="1400">
        <f t="shared" si="393"/>
        <v>0</v>
      </c>
      <c r="P1678" s="1507"/>
      <c r="Q1678" s="1300"/>
      <c r="R1678" s="1300"/>
      <c r="S1678" s="1300"/>
    </row>
    <row r="1679" spans="1:16383" s="1081" customFormat="1" hidden="1" outlineLevel="1">
      <c r="A1679" s="1072" t="str">
        <f>IF(G1679&lt;&gt;0,1,"")</f>
        <v/>
      </c>
      <c r="B1679" s="696" t="s">
        <v>4964</v>
      </c>
      <c r="C1679" s="1291"/>
      <c r="D1679" s="1198" t="str">
        <f>VLOOKUP($B1679,dongia1,DG!$B$5,)</f>
        <v>D2.6011</v>
      </c>
      <c r="E1679" s="1243" t="str">
        <f>VLOOKUP($B1679,dongia1,DG!$C$5,)</f>
        <v>Lắp xà đỡ composite dài 2400mm (7,5kg)</v>
      </c>
      <c r="F1679" s="1198" t="str">
        <f>VLOOKUP($B1679,dongia1,DG!$D$5,)</f>
        <v>bộ</v>
      </c>
      <c r="G1679" s="1508">
        <f>+G1673</f>
        <v>0</v>
      </c>
      <c r="H1679" s="1298">
        <f>VLOOKUP($B1679,dongia1,DG!$F$5,)</f>
        <v>0</v>
      </c>
      <c r="I1679" s="1399"/>
      <c r="J1679" s="1399">
        <f>VLOOKUP($B1679,dongia1,DG!$G$5,)</f>
        <v>51981</v>
      </c>
      <c r="K1679" s="1399"/>
      <c r="L1679" s="1400">
        <f t="shared" si="390"/>
        <v>0</v>
      </c>
      <c r="M1679" s="1400"/>
      <c r="N1679" s="1399">
        <f>G1679*J1679</f>
        <v>0</v>
      </c>
      <c r="O1679" s="1400"/>
      <c r="P1679" s="1507"/>
      <c r="Q1679" s="1300"/>
      <c r="R1679" s="1300"/>
      <c r="S1679" s="1300"/>
    </row>
    <row r="1680" spans="1:16383" s="1081" customFormat="1" hidden="1" outlineLevel="1" collapsed="1">
      <c r="A1680" s="1731" t="str">
        <f>IF(G1680&lt;&gt;0,1,"")</f>
        <v/>
      </c>
      <c r="B1680" s="1732"/>
      <c r="C1680" s="166">
        <f>IF(G1680&gt;0,C1673+1,C1673)</f>
        <v>0</v>
      </c>
      <c r="D1680" s="1733"/>
      <c r="E1680" s="168" t="s">
        <v>3453</v>
      </c>
      <c r="F1680" s="169" t="s">
        <v>2113</v>
      </c>
      <c r="G1680" s="1734"/>
      <c r="H1680" s="193"/>
      <c r="I1680" s="170"/>
      <c r="J1680" s="1736"/>
      <c r="K1680" s="1736"/>
      <c r="L1680" s="1737">
        <f t="shared" si="390"/>
        <v>0</v>
      </c>
      <c r="M1680" s="64">
        <f>I1680*G1680</f>
        <v>0</v>
      </c>
      <c r="N1680" s="1737">
        <f>J1680*G1680</f>
        <v>0</v>
      </c>
      <c r="O1680" s="1737">
        <f>K1680*G1680</f>
        <v>0</v>
      </c>
      <c r="P1680" s="1739"/>
      <c r="Q1680" s="1740"/>
      <c r="R1680" s="1740"/>
      <c r="S1680" s="1740"/>
      <c r="T1680" s="1740"/>
      <c r="U1680" s="1740"/>
      <c r="V1680" s="1740"/>
      <c r="W1680" s="1740"/>
      <c r="X1680" s="1740"/>
      <c r="Y1680" s="1740"/>
      <c r="Z1680" s="1740"/>
      <c r="AA1680" s="1740"/>
      <c r="AB1680" s="1740"/>
      <c r="AC1680" s="1740"/>
      <c r="AD1680" s="1740"/>
      <c r="AE1680" s="1740"/>
      <c r="AF1680" s="1740"/>
      <c r="AG1680" s="1740"/>
      <c r="AH1680" s="1740"/>
      <c r="AI1680" s="1740"/>
      <c r="AJ1680" s="1740"/>
      <c r="AK1680" s="1740"/>
      <c r="AL1680" s="1740"/>
      <c r="AM1680" s="1740"/>
      <c r="AN1680" s="1740"/>
      <c r="AO1680" s="1740"/>
      <c r="AP1680" s="1740"/>
      <c r="AQ1680" s="1740"/>
      <c r="AR1680" s="1740"/>
      <c r="AS1680" s="1740"/>
      <c r="AT1680" s="1740"/>
      <c r="AU1680" s="1740"/>
      <c r="AV1680" s="1740"/>
      <c r="AW1680" s="1740"/>
      <c r="AX1680" s="1740"/>
      <c r="AY1680" s="1740"/>
      <c r="AZ1680" s="1740"/>
      <c r="BA1680" s="1740"/>
      <c r="BB1680" s="1740"/>
      <c r="BC1680" s="1740"/>
      <c r="BD1680" s="1740"/>
      <c r="BE1680" s="1740"/>
      <c r="BF1680" s="1740"/>
      <c r="BG1680" s="1740"/>
      <c r="BH1680" s="1740"/>
      <c r="BI1680" s="1740"/>
      <c r="BJ1680" s="1740"/>
      <c r="BK1680" s="1740"/>
      <c r="BL1680" s="1740"/>
      <c r="BM1680" s="1740"/>
      <c r="BN1680" s="1740"/>
      <c r="BO1680" s="1740"/>
      <c r="BP1680" s="1740"/>
      <c r="BQ1680" s="1740"/>
      <c r="BR1680" s="1740"/>
      <c r="BS1680" s="1740"/>
      <c r="BT1680" s="1740"/>
      <c r="BU1680" s="1740"/>
      <c r="BV1680" s="1740"/>
      <c r="BW1680" s="1740"/>
      <c r="BX1680" s="1740"/>
      <c r="BY1680" s="1740"/>
      <c r="BZ1680" s="1740"/>
      <c r="CA1680" s="1740"/>
      <c r="CB1680" s="1740"/>
      <c r="CC1680" s="1740"/>
      <c r="CD1680" s="1740"/>
      <c r="CE1680" s="1740"/>
      <c r="CF1680" s="1740"/>
      <c r="CG1680" s="1740"/>
      <c r="CH1680" s="1740"/>
      <c r="CI1680" s="1740"/>
      <c r="CJ1680" s="1740"/>
      <c r="CK1680" s="1740"/>
      <c r="CL1680" s="1740"/>
      <c r="CM1680" s="1740"/>
      <c r="CN1680" s="1740"/>
      <c r="CO1680" s="1740"/>
      <c r="CP1680" s="1740"/>
      <c r="CQ1680" s="1740"/>
      <c r="CR1680" s="1740"/>
      <c r="CS1680" s="1740"/>
      <c r="CT1680" s="1740"/>
      <c r="CU1680" s="1740"/>
      <c r="CV1680" s="1740"/>
      <c r="CW1680" s="1740"/>
      <c r="CX1680" s="1740"/>
      <c r="CY1680" s="1740"/>
      <c r="CZ1680" s="1740"/>
      <c r="DA1680" s="1740"/>
      <c r="DB1680" s="1740"/>
      <c r="DC1680" s="1740"/>
      <c r="DD1680" s="1740"/>
      <c r="DE1680" s="1740"/>
      <c r="DF1680" s="1740"/>
      <c r="DG1680" s="1740"/>
      <c r="DH1680" s="1740"/>
      <c r="DI1680" s="1740"/>
      <c r="DJ1680" s="1740"/>
      <c r="DK1680" s="1740"/>
      <c r="DL1680" s="1740"/>
      <c r="DM1680" s="1740"/>
      <c r="DN1680" s="1740"/>
      <c r="DO1680" s="1740"/>
      <c r="DP1680" s="1740"/>
      <c r="DQ1680" s="1740"/>
      <c r="DR1680" s="1740"/>
      <c r="DS1680" s="1740"/>
      <c r="DT1680" s="1740"/>
      <c r="DU1680" s="1740"/>
      <c r="DV1680" s="1740"/>
      <c r="DW1680" s="1740"/>
      <c r="DX1680" s="1740"/>
      <c r="DY1680" s="1740"/>
      <c r="DZ1680" s="1740"/>
      <c r="EA1680" s="1740"/>
      <c r="EB1680" s="1740"/>
      <c r="EC1680" s="1740"/>
      <c r="ED1680" s="1740"/>
      <c r="EE1680" s="1740"/>
      <c r="EF1680" s="1740"/>
      <c r="EG1680" s="1740"/>
      <c r="EH1680" s="1740"/>
      <c r="EI1680" s="1740"/>
      <c r="EJ1680" s="1740"/>
      <c r="EK1680" s="1740"/>
      <c r="EL1680" s="1740"/>
      <c r="EM1680" s="1740"/>
      <c r="EN1680" s="1740"/>
      <c r="EO1680" s="1740"/>
      <c r="EP1680" s="1740"/>
      <c r="EQ1680" s="1740"/>
      <c r="ER1680" s="1740"/>
      <c r="ES1680" s="1740"/>
      <c r="ET1680" s="1740"/>
      <c r="EU1680" s="1740"/>
      <c r="EV1680" s="1740"/>
      <c r="EW1680" s="1740"/>
      <c r="EX1680" s="1740"/>
      <c r="EY1680" s="1740"/>
      <c r="EZ1680" s="1740"/>
      <c r="FA1680" s="1740"/>
      <c r="FB1680" s="1740"/>
      <c r="FC1680" s="1740"/>
      <c r="FD1680" s="1740"/>
      <c r="FE1680" s="1740"/>
      <c r="FF1680" s="1740"/>
      <c r="FG1680" s="1740"/>
      <c r="FH1680" s="1740"/>
      <c r="FI1680" s="1740"/>
      <c r="FJ1680" s="1740"/>
      <c r="FK1680" s="1740"/>
      <c r="FL1680" s="1740"/>
      <c r="FM1680" s="1740"/>
      <c r="FN1680" s="1740"/>
      <c r="FO1680" s="1740"/>
      <c r="FP1680" s="1740"/>
      <c r="FQ1680" s="1740"/>
      <c r="FR1680" s="1740"/>
      <c r="FS1680" s="1740"/>
      <c r="FT1680" s="1740"/>
      <c r="FU1680" s="1740"/>
      <c r="FV1680" s="1740"/>
      <c r="FW1680" s="1740"/>
      <c r="FX1680" s="1740"/>
      <c r="FY1680" s="1740"/>
      <c r="FZ1680" s="1740"/>
      <c r="GA1680" s="1740"/>
      <c r="GB1680" s="1740"/>
      <c r="GC1680" s="1740"/>
      <c r="GD1680" s="1740"/>
      <c r="GE1680" s="1740"/>
      <c r="GF1680" s="1740"/>
      <c r="GG1680" s="1740"/>
      <c r="GH1680" s="1740"/>
      <c r="GI1680" s="1740"/>
      <c r="GJ1680" s="1740"/>
      <c r="GK1680" s="1740"/>
      <c r="GL1680" s="1740"/>
      <c r="GM1680" s="1740"/>
      <c r="GN1680" s="1740"/>
      <c r="GO1680" s="1740"/>
      <c r="GP1680" s="1740"/>
      <c r="GQ1680" s="1740"/>
      <c r="GR1680" s="1740"/>
      <c r="GS1680" s="1740"/>
      <c r="GT1680" s="1740"/>
      <c r="GU1680" s="1740"/>
      <c r="GV1680" s="1740"/>
      <c r="GW1680" s="1740"/>
      <c r="GX1680" s="1740"/>
      <c r="GY1680" s="1740"/>
      <c r="GZ1680" s="1740"/>
      <c r="HA1680" s="1740"/>
      <c r="HB1680" s="1740"/>
      <c r="HC1680" s="1740"/>
      <c r="HD1680" s="1740"/>
      <c r="HE1680" s="1740"/>
      <c r="HF1680" s="1740"/>
      <c r="HG1680" s="1740"/>
      <c r="HH1680" s="1740"/>
      <c r="HI1680" s="1740"/>
      <c r="HJ1680" s="1740"/>
      <c r="HK1680" s="1740"/>
      <c r="HL1680" s="1740"/>
      <c r="HM1680" s="1740"/>
      <c r="HN1680" s="1740"/>
      <c r="HO1680" s="1740"/>
      <c r="HP1680" s="1740"/>
      <c r="HQ1680" s="1740"/>
      <c r="HR1680" s="1740"/>
      <c r="HS1680" s="1740"/>
      <c r="HT1680" s="1740"/>
      <c r="HU1680" s="1740"/>
      <c r="HV1680" s="1740"/>
      <c r="HW1680" s="1740"/>
      <c r="HX1680" s="1740"/>
      <c r="HY1680" s="1740"/>
      <c r="HZ1680" s="1740"/>
      <c r="IA1680" s="1740"/>
      <c r="IB1680" s="1740"/>
      <c r="IC1680" s="1740"/>
      <c r="ID1680" s="1740"/>
      <c r="IE1680" s="1740"/>
      <c r="IF1680" s="1740"/>
      <c r="IG1680" s="1740"/>
      <c r="IH1680" s="1740"/>
      <c r="II1680" s="1740"/>
      <c r="IJ1680" s="1740"/>
      <c r="IK1680" s="1740"/>
      <c r="IL1680" s="1740"/>
      <c r="IM1680" s="1740"/>
      <c r="IN1680" s="1740"/>
      <c r="IO1680" s="1740"/>
      <c r="IP1680" s="1740"/>
      <c r="IQ1680" s="1740"/>
      <c r="IR1680" s="1740"/>
      <c r="IS1680" s="1740"/>
      <c r="IT1680" s="1740"/>
      <c r="IU1680" s="1740"/>
      <c r="IV1680" s="1740"/>
      <c r="IW1680" s="1740"/>
      <c r="IX1680" s="1740"/>
      <c r="IY1680" s="1740"/>
      <c r="IZ1680" s="1740"/>
      <c r="JA1680" s="1740"/>
      <c r="JB1680" s="1740"/>
      <c r="JC1680" s="1740"/>
      <c r="JD1680" s="1740"/>
      <c r="JE1680" s="1740"/>
      <c r="JF1680" s="1740"/>
      <c r="JG1680" s="1740"/>
      <c r="JH1680" s="1740"/>
      <c r="JI1680" s="1740"/>
      <c r="JJ1680" s="1740"/>
      <c r="JK1680" s="1740"/>
      <c r="JL1680" s="1740"/>
      <c r="JM1680" s="1740"/>
      <c r="JN1680" s="1740"/>
      <c r="JO1680" s="1740"/>
      <c r="JP1680" s="1740"/>
      <c r="JQ1680" s="1740"/>
      <c r="JR1680" s="1740"/>
      <c r="JS1680" s="1740"/>
      <c r="JT1680" s="1740"/>
      <c r="JU1680" s="1740"/>
      <c r="JV1680" s="1740"/>
      <c r="JW1680" s="1740"/>
      <c r="JX1680" s="1740"/>
      <c r="JY1680" s="1740"/>
      <c r="JZ1680" s="1740"/>
      <c r="KA1680" s="1740"/>
      <c r="KB1680" s="1740"/>
      <c r="KC1680" s="1740"/>
      <c r="KD1680" s="1740"/>
      <c r="KE1680" s="1740"/>
      <c r="KF1680" s="1740"/>
      <c r="KG1680" s="1740"/>
      <c r="KH1680" s="1740"/>
      <c r="KI1680" s="1740"/>
      <c r="KJ1680" s="1740"/>
      <c r="KK1680" s="1740"/>
      <c r="KL1680" s="1740"/>
      <c r="KM1680" s="1740"/>
      <c r="KN1680" s="1740"/>
      <c r="KO1680" s="1740"/>
      <c r="KP1680" s="1740"/>
      <c r="KQ1680" s="1740"/>
      <c r="KR1680" s="1740"/>
      <c r="KS1680" s="1740"/>
      <c r="KT1680" s="1740"/>
      <c r="KU1680" s="1740"/>
      <c r="KV1680" s="1740"/>
      <c r="KW1680" s="1740"/>
      <c r="KX1680" s="1740"/>
      <c r="KY1680" s="1740"/>
      <c r="KZ1680" s="1740"/>
      <c r="LA1680" s="1740"/>
      <c r="LB1680" s="1740"/>
      <c r="LC1680" s="1740"/>
      <c r="LD1680" s="1740"/>
      <c r="LE1680" s="1740"/>
      <c r="LF1680" s="1740"/>
      <c r="LG1680" s="1740"/>
      <c r="LH1680" s="1740"/>
      <c r="LI1680" s="1740"/>
      <c r="LJ1680" s="1740"/>
      <c r="LK1680" s="1740"/>
      <c r="LL1680" s="1740"/>
      <c r="LM1680" s="1740"/>
      <c r="LN1680" s="1740"/>
      <c r="LO1680" s="1740"/>
      <c r="LP1680" s="1740"/>
      <c r="LQ1680" s="1740"/>
      <c r="LR1680" s="1740"/>
      <c r="LS1680" s="1740"/>
      <c r="LT1680" s="1740"/>
      <c r="LU1680" s="1740"/>
      <c r="LV1680" s="1740"/>
      <c r="LW1680" s="1740"/>
      <c r="LX1680" s="1740"/>
      <c r="LY1680" s="1740"/>
      <c r="LZ1680" s="1740"/>
      <c r="MA1680" s="1740"/>
      <c r="MB1680" s="1740"/>
      <c r="MC1680" s="1740"/>
      <c r="MD1680" s="1740"/>
      <c r="ME1680" s="1740"/>
      <c r="MF1680" s="1740"/>
      <c r="MG1680" s="1740"/>
      <c r="MH1680" s="1740"/>
      <c r="MI1680" s="1740"/>
      <c r="MJ1680" s="1740"/>
      <c r="MK1680" s="1740"/>
      <c r="ML1680" s="1740"/>
      <c r="MM1680" s="1740"/>
      <c r="MN1680" s="1740"/>
      <c r="MO1680" s="1740"/>
      <c r="MP1680" s="1740"/>
      <c r="MQ1680" s="1740"/>
      <c r="MR1680" s="1740"/>
      <c r="MS1680" s="1740"/>
      <c r="MT1680" s="1740"/>
      <c r="MU1680" s="1740"/>
      <c r="MV1680" s="1740"/>
      <c r="MW1680" s="1740"/>
      <c r="MX1680" s="1740"/>
      <c r="MY1680" s="1740"/>
      <c r="MZ1680" s="1740"/>
      <c r="NA1680" s="1740"/>
      <c r="NB1680" s="1740"/>
      <c r="NC1680" s="1740"/>
      <c r="ND1680" s="1740"/>
      <c r="NE1680" s="1740"/>
      <c r="NF1680" s="1740"/>
      <c r="NG1680" s="1740"/>
      <c r="NH1680" s="1740"/>
      <c r="NI1680" s="1740"/>
      <c r="NJ1680" s="1740"/>
      <c r="NK1680" s="1740"/>
      <c r="NL1680" s="1740"/>
      <c r="NM1680" s="1740"/>
      <c r="NN1680" s="1740"/>
      <c r="NO1680" s="1740"/>
      <c r="NP1680" s="1740"/>
      <c r="NQ1680" s="1740"/>
      <c r="NR1680" s="1740"/>
      <c r="NS1680" s="1740"/>
      <c r="NT1680" s="1740"/>
      <c r="NU1680" s="1740"/>
      <c r="NV1680" s="1740"/>
      <c r="NW1680" s="1740"/>
      <c r="NX1680" s="1740"/>
      <c r="NY1680" s="1740"/>
      <c r="NZ1680" s="1740"/>
      <c r="OA1680" s="1740"/>
      <c r="OB1680" s="1740"/>
      <c r="OC1680" s="1740"/>
      <c r="OD1680" s="1740"/>
      <c r="OE1680" s="1740"/>
      <c r="OF1680" s="1740"/>
      <c r="OG1680" s="1740"/>
      <c r="OH1680" s="1740"/>
      <c r="OI1680" s="1740"/>
      <c r="OJ1680" s="1740"/>
      <c r="OK1680" s="1740"/>
      <c r="OL1680" s="1740"/>
      <c r="OM1680" s="1740"/>
      <c r="ON1680" s="1740"/>
      <c r="OO1680" s="1740"/>
      <c r="OP1680" s="1740"/>
      <c r="OQ1680" s="1740"/>
      <c r="OR1680" s="1740"/>
      <c r="OS1680" s="1740"/>
      <c r="OT1680" s="1740"/>
      <c r="OU1680" s="1740"/>
      <c r="OV1680" s="1740"/>
      <c r="OW1680" s="1740"/>
      <c r="OX1680" s="1740"/>
      <c r="OY1680" s="1740"/>
      <c r="OZ1680" s="1740"/>
      <c r="PA1680" s="1740"/>
      <c r="PB1680" s="1740"/>
      <c r="PC1680" s="1740"/>
      <c r="PD1680" s="1740"/>
      <c r="PE1680" s="1740"/>
      <c r="PF1680" s="1740"/>
      <c r="PG1680" s="1740"/>
      <c r="PH1680" s="1740"/>
      <c r="PI1680" s="1740"/>
      <c r="PJ1680" s="1740"/>
      <c r="PK1680" s="1740"/>
      <c r="PL1680" s="1740"/>
      <c r="PM1680" s="1740"/>
      <c r="PN1680" s="1740"/>
      <c r="PO1680" s="1740"/>
      <c r="PP1680" s="1740"/>
      <c r="PQ1680" s="1740"/>
      <c r="PR1680" s="1740"/>
      <c r="PS1680" s="1740"/>
      <c r="PT1680" s="1740"/>
      <c r="PU1680" s="1740"/>
      <c r="PV1680" s="1740"/>
      <c r="PW1680" s="1740"/>
      <c r="PX1680" s="1740"/>
      <c r="PY1680" s="1740"/>
      <c r="PZ1680" s="1740"/>
      <c r="QA1680" s="1740"/>
      <c r="QB1680" s="1740"/>
      <c r="QC1680" s="1740"/>
      <c r="QD1680" s="1740"/>
      <c r="QE1680" s="1740"/>
      <c r="QF1680" s="1740"/>
      <c r="QG1680" s="1740"/>
      <c r="QH1680" s="1740"/>
      <c r="QI1680" s="1740"/>
      <c r="QJ1680" s="1740"/>
      <c r="QK1680" s="1740"/>
      <c r="QL1680" s="1740"/>
      <c r="QM1680" s="1740"/>
      <c r="QN1680" s="1740"/>
      <c r="QO1680" s="1740"/>
      <c r="QP1680" s="1740"/>
      <c r="QQ1680" s="1740"/>
      <c r="QR1680" s="1740"/>
      <c r="QS1680" s="1740"/>
      <c r="QT1680" s="1740"/>
      <c r="QU1680" s="1740"/>
      <c r="QV1680" s="1740"/>
      <c r="QW1680" s="1740"/>
      <c r="QX1680" s="1740"/>
      <c r="QY1680" s="1740"/>
      <c r="QZ1680" s="1740"/>
      <c r="RA1680" s="1740"/>
      <c r="RB1680" s="1740"/>
      <c r="RC1680" s="1740"/>
      <c r="RD1680" s="1740"/>
      <c r="RE1680" s="1740"/>
      <c r="RF1680" s="1740"/>
      <c r="RG1680" s="1740"/>
      <c r="RH1680" s="1740"/>
      <c r="RI1680" s="1740"/>
      <c r="RJ1680" s="1740"/>
      <c r="RK1680" s="1740"/>
      <c r="RL1680" s="1740"/>
      <c r="RM1680" s="1740"/>
      <c r="RN1680" s="1740"/>
      <c r="RO1680" s="1740"/>
      <c r="RP1680" s="1740"/>
      <c r="RQ1680" s="1740"/>
      <c r="RR1680" s="1740"/>
      <c r="RS1680" s="1740"/>
      <c r="RT1680" s="1740"/>
      <c r="RU1680" s="1740"/>
      <c r="RV1680" s="1740"/>
      <c r="RW1680" s="1740"/>
      <c r="RX1680" s="1740"/>
      <c r="RY1680" s="1740"/>
      <c r="RZ1680" s="1740"/>
      <c r="SA1680" s="1740"/>
      <c r="SB1680" s="1740"/>
      <c r="SC1680" s="1740"/>
      <c r="SD1680" s="1740"/>
      <c r="SE1680" s="1740"/>
      <c r="SF1680" s="1740"/>
      <c r="SG1680" s="1740"/>
      <c r="SH1680" s="1740"/>
      <c r="SI1680" s="1740"/>
      <c r="SJ1680" s="1740"/>
      <c r="SK1680" s="1740"/>
      <c r="SL1680" s="1740"/>
      <c r="SM1680" s="1740"/>
      <c r="SN1680" s="1740"/>
      <c r="SO1680" s="1740"/>
      <c r="SP1680" s="1740"/>
      <c r="SQ1680" s="1740"/>
      <c r="SR1680" s="1740"/>
      <c r="SS1680" s="1740"/>
      <c r="ST1680" s="1740"/>
      <c r="SU1680" s="1740"/>
      <c r="SV1680" s="1740"/>
      <c r="SW1680" s="1740"/>
      <c r="SX1680" s="1740"/>
      <c r="SY1680" s="1740"/>
      <c r="SZ1680" s="1740"/>
      <c r="TA1680" s="1740"/>
      <c r="TB1680" s="1740"/>
      <c r="TC1680" s="1740"/>
      <c r="TD1680" s="1740"/>
      <c r="TE1680" s="1740"/>
      <c r="TF1680" s="1740"/>
      <c r="TG1680" s="1740"/>
      <c r="TH1680" s="1740"/>
      <c r="TI1680" s="1740"/>
      <c r="TJ1680" s="1740"/>
      <c r="TK1680" s="1740"/>
      <c r="TL1680" s="1740"/>
      <c r="TM1680" s="1740"/>
      <c r="TN1680" s="1740"/>
      <c r="TO1680" s="1740"/>
      <c r="TP1680" s="1740"/>
      <c r="TQ1680" s="1740"/>
      <c r="TR1680" s="1740"/>
      <c r="TS1680" s="1740"/>
      <c r="TT1680" s="1740"/>
      <c r="TU1680" s="1740"/>
      <c r="TV1680" s="1740"/>
      <c r="TW1680" s="1740"/>
      <c r="TX1680" s="1740"/>
      <c r="TY1680" s="1740"/>
      <c r="TZ1680" s="1740"/>
      <c r="UA1680" s="1740"/>
      <c r="UB1680" s="1740"/>
      <c r="UC1680" s="1740"/>
      <c r="UD1680" s="1740"/>
      <c r="UE1680" s="1740"/>
      <c r="UF1680" s="1740"/>
      <c r="UG1680" s="1740"/>
      <c r="UH1680" s="1740"/>
      <c r="UI1680" s="1740"/>
      <c r="UJ1680" s="1740"/>
      <c r="UK1680" s="1740"/>
      <c r="UL1680" s="1740"/>
      <c r="UM1680" s="1740"/>
      <c r="UN1680" s="1740"/>
      <c r="UO1680" s="1740"/>
      <c r="UP1680" s="1740"/>
      <c r="UQ1680" s="1740"/>
      <c r="UR1680" s="1740"/>
      <c r="US1680" s="1740"/>
      <c r="UT1680" s="1740"/>
      <c r="UU1680" s="1740"/>
      <c r="UV1680" s="1740"/>
      <c r="UW1680" s="1740"/>
      <c r="UX1680" s="1740"/>
      <c r="UY1680" s="1740"/>
      <c r="UZ1680" s="1740"/>
      <c r="VA1680" s="1740"/>
      <c r="VB1680" s="1740"/>
      <c r="VC1680" s="1740"/>
      <c r="VD1680" s="1740"/>
      <c r="VE1680" s="1740"/>
      <c r="VF1680" s="1740"/>
      <c r="VG1680" s="1740"/>
      <c r="VH1680" s="1740"/>
      <c r="VI1680" s="1740"/>
      <c r="VJ1680" s="1740"/>
      <c r="VK1680" s="1740"/>
      <c r="VL1680" s="1740"/>
      <c r="VM1680" s="1740"/>
      <c r="VN1680" s="1740"/>
      <c r="VO1680" s="1740"/>
      <c r="VP1680" s="1740"/>
      <c r="VQ1680" s="1740"/>
      <c r="VR1680" s="1740"/>
      <c r="VS1680" s="1740"/>
      <c r="VT1680" s="1740"/>
      <c r="VU1680" s="1740"/>
      <c r="VV1680" s="1740"/>
      <c r="VW1680" s="1740"/>
      <c r="VX1680" s="1740"/>
      <c r="VY1680" s="1740"/>
      <c r="VZ1680" s="1740"/>
      <c r="WA1680" s="1740"/>
      <c r="WB1680" s="1740"/>
      <c r="WC1680" s="1740"/>
      <c r="WD1680" s="1740"/>
      <c r="WE1680" s="1740"/>
      <c r="WF1680" s="1740"/>
      <c r="WG1680" s="1740"/>
      <c r="WH1680" s="1740"/>
      <c r="WI1680" s="1740"/>
      <c r="WJ1680" s="1740"/>
      <c r="WK1680" s="1740"/>
      <c r="WL1680" s="1740"/>
      <c r="WM1680" s="1740"/>
      <c r="WN1680" s="1740"/>
      <c r="WO1680" s="1740"/>
      <c r="WP1680" s="1740"/>
      <c r="WQ1680" s="1740"/>
      <c r="WR1680" s="1740"/>
      <c r="WS1680" s="1740"/>
      <c r="WT1680" s="1740"/>
      <c r="WU1680" s="1740"/>
      <c r="WV1680" s="1740"/>
      <c r="WW1680" s="1740"/>
      <c r="WX1680" s="1740"/>
      <c r="WY1680" s="1740"/>
      <c r="WZ1680" s="1740"/>
      <c r="XA1680" s="1740"/>
      <c r="XB1680" s="1740"/>
      <c r="XC1680" s="1740"/>
      <c r="XD1680" s="1740"/>
      <c r="XE1680" s="1740"/>
      <c r="XF1680" s="1740"/>
      <c r="XG1680" s="1740"/>
      <c r="XH1680" s="1740"/>
      <c r="XI1680" s="1740"/>
      <c r="XJ1680" s="1740"/>
      <c r="XK1680" s="1740"/>
      <c r="XL1680" s="1740"/>
      <c r="XM1680" s="1740"/>
      <c r="XN1680" s="1740"/>
      <c r="XO1680" s="1740"/>
      <c r="XP1680" s="1740"/>
      <c r="XQ1680" s="1740"/>
      <c r="XR1680" s="1740"/>
      <c r="XS1680" s="1740"/>
      <c r="XT1680" s="1740"/>
      <c r="XU1680" s="1740"/>
      <c r="XV1680" s="1740"/>
      <c r="XW1680" s="1740"/>
      <c r="XX1680" s="1740"/>
      <c r="XY1680" s="1740"/>
      <c r="XZ1680" s="1740"/>
      <c r="YA1680" s="1740"/>
      <c r="YB1680" s="1740"/>
      <c r="YC1680" s="1740"/>
      <c r="YD1680" s="1740"/>
      <c r="YE1680" s="1740"/>
      <c r="YF1680" s="1740"/>
      <c r="YG1680" s="1740"/>
      <c r="YH1680" s="1740"/>
      <c r="YI1680" s="1740"/>
      <c r="YJ1680" s="1740"/>
      <c r="YK1680" s="1740"/>
      <c r="YL1680" s="1740"/>
      <c r="YM1680" s="1740"/>
      <c r="YN1680" s="1740"/>
      <c r="YO1680" s="1740"/>
      <c r="YP1680" s="1740"/>
      <c r="YQ1680" s="1740"/>
      <c r="YR1680" s="1740"/>
      <c r="YS1680" s="1740"/>
      <c r="YT1680" s="1740"/>
      <c r="YU1680" s="1740"/>
      <c r="YV1680" s="1740"/>
      <c r="YW1680" s="1740"/>
      <c r="YX1680" s="1740"/>
      <c r="YY1680" s="1740"/>
      <c r="YZ1680" s="1740"/>
      <c r="ZA1680" s="1740"/>
      <c r="ZB1680" s="1740"/>
      <c r="ZC1680" s="1740"/>
      <c r="ZD1680" s="1740"/>
      <c r="ZE1680" s="1740"/>
      <c r="ZF1680" s="1740"/>
      <c r="ZG1680" s="1740"/>
      <c r="ZH1680" s="1740"/>
      <c r="ZI1680" s="1740"/>
      <c r="ZJ1680" s="1740"/>
      <c r="ZK1680" s="1740"/>
      <c r="ZL1680" s="1740"/>
      <c r="ZM1680" s="1740"/>
      <c r="ZN1680" s="1740"/>
      <c r="ZO1680" s="1740"/>
      <c r="ZP1680" s="1740"/>
      <c r="ZQ1680" s="1740"/>
      <c r="ZR1680" s="1740"/>
      <c r="ZS1680" s="1740"/>
      <c r="ZT1680" s="1740"/>
      <c r="ZU1680" s="1740"/>
      <c r="ZV1680" s="1740"/>
      <c r="ZW1680" s="1740"/>
      <c r="ZX1680" s="1740"/>
      <c r="ZY1680" s="1740"/>
      <c r="ZZ1680" s="1740"/>
      <c r="AAA1680" s="1740"/>
      <c r="AAB1680" s="1740"/>
      <c r="AAC1680" s="1740"/>
      <c r="AAD1680" s="1740"/>
      <c r="AAE1680" s="1740"/>
      <c r="AAF1680" s="1740"/>
      <c r="AAG1680" s="1740"/>
      <c r="AAH1680" s="1740"/>
      <c r="AAI1680" s="1740"/>
      <c r="AAJ1680" s="1740"/>
      <c r="AAK1680" s="1740"/>
      <c r="AAL1680" s="1740"/>
      <c r="AAM1680" s="1740"/>
      <c r="AAN1680" s="1740"/>
      <c r="AAO1680" s="1740"/>
      <c r="AAP1680" s="1740"/>
      <c r="AAQ1680" s="1740"/>
      <c r="AAR1680" s="1740"/>
      <c r="AAS1680" s="1740"/>
      <c r="AAT1680" s="1740"/>
      <c r="AAU1680" s="1740"/>
      <c r="AAV1680" s="1740"/>
      <c r="AAW1680" s="1740"/>
      <c r="AAX1680" s="1740"/>
      <c r="AAY1680" s="1740"/>
      <c r="AAZ1680" s="1740"/>
      <c r="ABA1680" s="1740"/>
      <c r="ABB1680" s="1740"/>
      <c r="ABC1680" s="1740"/>
      <c r="ABD1680" s="1740"/>
      <c r="ABE1680" s="1740"/>
      <c r="ABF1680" s="1740"/>
      <c r="ABG1680" s="1740"/>
      <c r="ABH1680" s="1740"/>
      <c r="ABI1680" s="1740"/>
      <c r="ABJ1680" s="1740"/>
      <c r="ABK1680" s="1740"/>
      <c r="ABL1680" s="1740"/>
      <c r="ABM1680" s="1740"/>
      <c r="ABN1680" s="1740"/>
      <c r="ABO1680" s="1740"/>
      <c r="ABP1680" s="1740"/>
      <c r="ABQ1680" s="1740"/>
      <c r="ABR1680" s="1740"/>
      <c r="ABS1680" s="1740"/>
      <c r="ABT1680" s="1740"/>
      <c r="ABU1680" s="1740"/>
      <c r="ABV1680" s="1740"/>
      <c r="ABW1680" s="1740"/>
      <c r="ABX1680" s="1740"/>
      <c r="ABY1680" s="1740"/>
      <c r="ABZ1680" s="1740"/>
      <c r="ACA1680" s="1740"/>
      <c r="ACB1680" s="1740"/>
      <c r="ACC1680" s="1740"/>
      <c r="ACD1680" s="1740"/>
      <c r="ACE1680" s="1740"/>
      <c r="ACF1680" s="1740"/>
      <c r="ACG1680" s="1740"/>
      <c r="ACH1680" s="1740"/>
      <c r="ACI1680" s="1740"/>
      <c r="ACJ1680" s="1740"/>
      <c r="ACK1680" s="1740"/>
      <c r="ACL1680" s="1740"/>
      <c r="ACM1680" s="1740"/>
      <c r="ACN1680" s="1740"/>
      <c r="ACO1680" s="1740"/>
      <c r="ACP1680" s="1740"/>
      <c r="ACQ1680" s="1740"/>
      <c r="ACR1680" s="1740"/>
      <c r="ACS1680" s="1740"/>
      <c r="ACT1680" s="1740"/>
      <c r="ACU1680" s="1740"/>
      <c r="ACV1680" s="1740"/>
      <c r="ACW1680" s="1740"/>
      <c r="ACX1680" s="1740"/>
      <c r="ACY1680" s="1740"/>
      <c r="ACZ1680" s="1740"/>
      <c r="ADA1680" s="1740"/>
      <c r="ADB1680" s="1740"/>
      <c r="ADC1680" s="1740"/>
      <c r="ADD1680" s="1740"/>
      <c r="ADE1680" s="1740"/>
      <c r="ADF1680" s="1740"/>
      <c r="ADG1680" s="1740"/>
      <c r="ADH1680" s="1740"/>
      <c r="ADI1680" s="1740"/>
      <c r="ADJ1680" s="1740"/>
      <c r="ADK1680" s="1740"/>
      <c r="ADL1680" s="1740"/>
      <c r="ADM1680" s="1740"/>
      <c r="ADN1680" s="1740"/>
      <c r="ADO1680" s="1740"/>
      <c r="ADP1680" s="1740"/>
      <c r="ADQ1680" s="1740"/>
      <c r="ADR1680" s="1740"/>
      <c r="ADS1680" s="1740"/>
      <c r="ADT1680" s="1740"/>
      <c r="ADU1680" s="1740"/>
      <c r="ADV1680" s="1740"/>
      <c r="ADW1680" s="1740"/>
      <c r="ADX1680" s="1740"/>
      <c r="ADY1680" s="1740"/>
      <c r="ADZ1680" s="1740"/>
      <c r="AEA1680" s="1740"/>
      <c r="AEB1680" s="1740"/>
      <c r="AEC1680" s="1740"/>
      <c r="AED1680" s="1740"/>
      <c r="AEE1680" s="1740"/>
      <c r="AEF1680" s="1740"/>
      <c r="AEG1680" s="1740"/>
      <c r="AEH1680" s="1740"/>
      <c r="AEI1680" s="1740"/>
      <c r="AEJ1680" s="1740"/>
      <c r="AEK1680" s="1740"/>
      <c r="AEL1680" s="1740"/>
      <c r="AEM1680" s="1740"/>
      <c r="AEN1680" s="1740"/>
      <c r="AEO1680" s="1740"/>
      <c r="AEP1680" s="1740"/>
      <c r="AEQ1680" s="1740"/>
      <c r="AER1680" s="1740"/>
      <c r="AES1680" s="1740"/>
      <c r="AET1680" s="1740"/>
      <c r="AEU1680" s="1740"/>
      <c r="AEV1680" s="1740"/>
      <c r="AEW1680" s="1740"/>
      <c r="AEX1680" s="1740"/>
      <c r="AEY1680" s="1740"/>
      <c r="AEZ1680" s="1740"/>
      <c r="AFA1680" s="1740"/>
      <c r="AFB1680" s="1740"/>
      <c r="AFC1680" s="1740"/>
      <c r="AFD1680" s="1740"/>
      <c r="AFE1680" s="1740"/>
      <c r="AFF1680" s="1740"/>
      <c r="AFG1680" s="1740"/>
      <c r="AFH1680" s="1740"/>
      <c r="AFI1680" s="1740"/>
      <c r="AFJ1680" s="1740"/>
      <c r="AFK1680" s="1740"/>
      <c r="AFL1680" s="1740"/>
      <c r="AFM1680" s="1740"/>
      <c r="AFN1680" s="1740"/>
      <c r="AFO1680" s="1740"/>
      <c r="AFP1680" s="1740"/>
      <c r="AFQ1680" s="1740"/>
      <c r="AFR1680" s="1740"/>
      <c r="AFS1680" s="1740"/>
      <c r="AFT1680" s="1740"/>
      <c r="AFU1680" s="1740"/>
      <c r="AFV1680" s="1740"/>
      <c r="AFW1680" s="1740"/>
      <c r="AFX1680" s="1740"/>
      <c r="AFY1680" s="1740"/>
      <c r="AFZ1680" s="1740"/>
      <c r="AGA1680" s="1740"/>
      <c r="AGB1680" s="1740"/>
      <c r="AGC1680" s="1740"/>
      <c r="AGD1680" s="1740"/>
      <c r="AGE1680" s="1740"/>
      <c r="AGF1680" s="1740"/>
      <c r="AGG1680" s="1740"/>
      <c r="AGH1680" s="1740"/>
      <c r="AGI1680" s="1740"/>
      <c r="AGJ1680" s="1740"/>
      <c r="AGK1680" s="1740"/>
      <c r="AGL1680" s="1740"/>
      <c r="AGM1680" s="1740"/>
      <c r="AGN1680" s="1740"/>
      <c r="AGO1680" s="1740"/>
      <c r="AGP1680" s="1740"/>
      <c r="AGQ1680" s="1740"/>
      <c r="AGR1680" s="1740"/>
      <c r="AGS1680" s="1740"/>
      <c r="AGT1680" s="1740"/>
      <c r="AGU1680" s="1740"/>
      <c r="AGV1680" s="1740"/>
      <c r="AGW1680" s="1740"/>
      <c r="AGX1680" s="1740"/>
      <c r="AGY1680" s="1740"/>
      <c r="AGZ1680" s="1740"/>
      <c r="AHA1680" s="1740"/>
      <c r="AHB1680" s="1740"/>
      <c r="AHC1680" s="1740"/>
      <c r="AHD1680" s="1740"/>
      <c r="AHE1680" s="1740"/>
      <c r="AHF1680" s="1740"/>
      <c r="AHG1680" s="1740"/>
      <c r="AHH1680" s="1740"/>
      <c r="AHI1680" s="1740"/>
      <c r="AHJ1680" s="1740"/>
      <c r="AHK1680" s="1740"/>
      <c r="AHL1680" s="1740"/>
      <c r="AHM1680" s="1740"/>
      <c r="AHN1680" s="1740"/>
      <c r="AHO1680" s="1740"/>
      <c r="AHP1680" s="1740"/>
      <c r="AHQ1680" s="1740"/>
      <c r="AHR1680" s="1740"/>
      <c r="AHS1680" s="1740"/>
      <c r="AHT1680" s="1740"/>
      <c r="AHU1680" s="1740"/>
      <c r="AHV1680" s="1740"/>
      <c r="AHW1680" s="1740"/>
      <c r="AHX1680" s="1740"/>
      <c r="AHY1680" s="1740"/>
      <c r="AHZ1680" s="1740"/>
      <c r="AIA1680" s="1740"/>
      <c r="AIB1680" s="1740"/>
      <c r="AIC1680" s="1740"/>
      <c r="AID1680" s="1740"/>
      <c r="AIE1680" s="1740"/>
      <c r="AIF1680" s="1740"/>
      <c r="AIG1680" s="1740"/>
      <c r="AIH1680" s="1740"/>
      <c r="AII1680" s="1740"/>
      <c r="AIJ1680" s="1740"/>
      <c r="AIK1680" s="1740"/>
      <c r="AIL1680" s="1740"/>
      <c r="AIM1680" s="1740"/>
      <c r="AIN1680" s="1740"/>
      <c r="AIO1680" s="1740"/>
      <c r="AIP1680" s="1740"/>
      <c r="AIQ1680" s="1740"/>
      <c r="AIR1680" s="1740"/>
      <c r="AIS1680" s="1740"/>
      <c r="AIT1680" s="1740"/>
      <c r="AIU1680" s="1740"/>
      <c r="AIV1680" s="1740"/>
      <c r="AIW1680" s="1740"/>
      <c r="AIX1680" s="1740"/>
      <c r="AIY1680" s="1740"/>
      <c r="AIZ1680" s="1740"/>
      <c r="AJA1680" s="1740"/>
      <c r="AJB1680" s="1740"/>
      <c r="AJC1680" s="1740"/>
      <c r="AJD1680" s="1740"/>
      <c r="AJE1680" s="1740"/>
      <c r="AJF1680" s="1740"/>
      <c r="AJG1680" s="1740"/>
      <c r="AJH1680" s="1740"/>
      <c r="AJI1680" s="1740"/>
      <c r="AJJ1680" s="1740"/>
      <c r="AJK1680" s="1740"/>
      <c r="AJL1680" s="1740"/>
      <c r="AJM1680" s="1740"/>
      <c r="AJN1680" s="1740"/>
      <c r="AJO1680" s="1740"/>
      <c r="AJP1680" s="1740"/>
      <c r="AJQ1680" s="1740"/>
      <c r="AJR1680" s="1740"/>
      <c r="AJS1680" s="1740"/>
      <c r="AJT1680" s="1740"/>
      <c r="AJU1680" s="1740"/>
      <c r="AJV1680" s="1740"/>
      <c r="AJW1680" s="1740"/>
      <c r="AJX1680" s="1740"/>
      <c r="AJY1680" s="1740"/>
      <c r="AJZ1680" s="1740"/>
      <c r="AKA1680" s="1740"/>
      <c r="AKB1680" s="1740"/>
      <c r="AKC1680" s="1740"/>
      <c r="AKD1680" s="1740"/>
      <c r="AKE1680" s="1740"/>
      <c r="AKF1680" s="1740"/>
      <c r="AKG1680" s="1740"/>
      <c r="AKH1680" s="1740"/>
      <c r="AKI1680" s="1740"/>
      <c r="AKJ1680" s="1740"/>
      <c r="AKK1680" s="1740"/>
      <c r="AKL1680" s="1740"/>
      <c r="AKM1680" s="1740"/>
      <c r="AKN1680" s="1740"/>
      <c r="AKO1680" s="1740"/>
      <c r="AKP1680" s="1740"/>
      <c r="AKQ1680" s="1740"/>
      <c r="AKR1680" s="1740"/>
      <c r="AKS1680" s="1740"/>
      <c r="AKT1680" s="1740"/>
      <c r="AKU1680" s="1740"/>
      <c r="AKV1680" s="1740"/>
      <c r="AKW1680" s="1740"/>
      <c r="AKX1680" s="1740"/>
      <c r="AKY1680" s="1740"/>
      <c r="AKZ1680" s="1740"/>
      <c r="ALA1680" s="1740"/>
      <c r="ALB1680" s="1740"/>
      <c r="ALC1680" s="1740"/>
      <c r="ALD1680" s="1740"/>
      <c r="ALE1680" s="1740"/>
      <c r="ALF1680" s="1740"/>
      <c r="ALG1680" s="1740"/>
      <c r="ALH1680" s="1740"/>
      <c r="ALI1680" s="1740"/>
      <c r="ALJ1680" s="1740"/>
      <c r="ALK1680" s="1740"/>
      <c r="ALL1680" s="1740"/>
      <c r="ALM1680" s="1740"/>
      <c r="ALN1680" s="1740"/>
      <c r="ALO1680" s="1740"/>
      <c r="ALP1680" s="1740"/>
      <c r="ALQ1680" s="1740"/>
      <c r="ALR1680" s="1740"/>
      <c r="ALS1680" s="1740"/>
      <c r="ALT1680" s="1740"/>
      <c r="ALU1680" s="1740"/>
      <c r="ALV1680" s="1740"/>
      <c r="ALW1680" s="1740"/>
      <c r="ALX1680" s="1740"/>
      <c r="ALY1680" s="1740"/>
      <c r="ALZ1680" s="1740"/>
      <c r="AMA1680" s="1740"/>
      <c r="AMB1680" s="1740"/>
      <c r="AMC1680" s="1740"/>
      <c r="AMD1680" s="1740"/>
      <c r="AME1680" s="1740"/>
      <c r="AMF1680" s="1740"/>
      <c r="AMG1680" s="1740"/>
      <c r="AMH1680" s="1740"/>
      <c r="AMI1680" s="1740"/>
      <c r="AMJ1680" s="1740"/>
      <c r="AMK1680" s="1740"/>
      <c r="AML1680" s="1740"/>
      <c r="AMM1680" s="1740"/>
      <c r="AMN1680" s="1740"/>
      <c r="AMO1680" s="1740"/>
      <c r="AMP1680" s="1740"/>
      <c r="AMQ1680" s="1740"/>
      <c r="AMR1680" s="1740"/>
      <c r="AMS1680" s="1740"/>
      <c r="AMT1680" s="1740"/>
      <c r="AMU1680" s="1740"/>
      <c r="AMV1680" s="1740"/>
      <c r="AMW1680" s="1740"/>
      <c r="AMX1680" s="1740"/>
      <c r="AMY1680" s="1740"/>
      <c r="AMZ1680" s="1740"/>
      <c r="ANA1680" s="1740"/>
      <c r="ANB1680" s="1740"/>
      <c r="ANC1680" s="1740"/>
      <c r="AND1680" s="1740"/>
      <c r="ANE1680" s="1740"/>
      <c r="ANF1680" s="1740"/>
      <c r="ANG1680" s="1740"/>
      <c r="ANH1680" s="1740"/>
      <c r="ANI1680" s="1740"/>
      <c r="ANJ1680" s="1740"/>
      <c r="ANK1680" s="1740"/>
      <c r="ANL1680" s="1740"/>
      <c r="ANM1680" s="1740"/>
      <c r="ANN1680" s="1740"/>
      <c r="ANO1680" s="1740"/>
      <c r="ANP1680" s="1740"/>
      <c r="ANQ1680" s="1740"/>
      <c r="ANR1680" s="1740"/>
      <c r="ANS1680" s="1740"/>
      <c r="ANT1680" s="1740"/>
      <c r="ANU1680" s="1740"/>
      <c r="ANV1680" s="1740"/>
      <c r="ANW1680" s="1740"/>
      <c r="ANX1680" s="1740"/>
      <c r="ANY1680" s="1740"/>
      <c r="ANZ1680" s="1740"/>
      <c r="AOA1680" s="1740"/>
      <c r="AOB1680" s="1740"/>
      <c r="AOC1680" s="1740"/>
      <c r="AOD1680" s="1740"/>
      <c r="AOE1680" s="1740"/>
      <c r="AOF1680" s="1740"/>
      <c r="AOG1680" s="1740"/>
      <c r="AOH1680" s="1740"/>
      <c r="AOI1680" s="1740"/>
      <c r="AOJ1680" s="1740"/>
      <c r="AOK1680" s="1740"/>
      <c r="AOL1680" s="1740"/>
      <c r="AOM1680" s="1740"/>
      <c r="AON1680" s="1740"/>
      <c r="AOO1680" s="1740"/>
      <c r="AOP1680" s="1740"/>
      <c r="AOQ1680" s="1740"/>
      <c r="AOR1680" s="1740"/>
      <c r="AOS1680" s="1740"/>
      <c r="AOT1680" s="1740"/>
      <c r="AOU1680" s="1740"/>
      <c r="AOV1680" s="1740"/>
      <c r="AOW1680" s="1740"/>
      <c r="AOX1680" s="1740"/>
      <c r="AOY1680" s="1740"/>
      <c r="AOZ1680" s="1740"/>
      <c r="APA1680" s="1740"/>
      <c r="APB1680" s="1740"/>
      <c r="APC1680" s="1740"/>
      <c r="APD1680" s="1740"/>
      <c r="APE1680" s="1740"/>
      <c r="APF1680" s="1740"/>
      <c r="APG1680" s="1740"/>
      <c r="APH1680" s="1740"/>
      <c r="API1680" s="1740"/>
      <c r="APJ1680" s="1740"/>
      <c r="APK1680" s="1740"/>
      <c r="APL1680" s="1740"/>
      <c r="APM1680" s="1740"/>
      <c r="APN1680" s="1740"/>
      <c r="APO1680" s="1740"/>
      <c r="APP1680" s="1740"/>
      <c r="APQ1680" s="1740"/>
      <c r="APR1680" s="1740"/>
      <c r="APS1680" s="1740"/>
      <c r="APT1680" s="1740"/>
      <c r="APU1680" s="1740"/>
      <c r="APV1680" s="1740"/>
      <c r="APW1680" s="1740"/>
      <c r="APX1680" s="1740"/>
      <c r="APY1680" s="1740"/>
      <c r="APZ1680" s="1740"/>
      <c r="AQA1680" s="1740"/>
      <c r="AQB1680" s="1740"/>
      <c r="AQC1680" s="1740"/>
      <c r="AQD1680" s="1740"/>
      <c r="AQE1680" s="1740"/>
      <c r="AQF1680" s="1740"/>
      <c r="AQG1680" s="1740"/>
      <c r="AQH1680" s="1740"/>
      <c r="AQI1680" s="1740"/>
      <c r="AQJ1680" s="1740"/>
      <c r="AQK1680" s="1740"/>
      <c r="AQL1680" s="1740"/>
      <c r="AQM1680" s="1740"/>
      <c r="AQN1680" s="1740"/>
      <c r="AQO1680" s="1740"/>
      <c r="AQP1680" s="1740"/>
      <c r="AQQ1680" s="1740"/>
      <c r="AQR1680" s="1740"/>
      <c r="AQS1680" s="1740"/>
      <c r="AQT1680" s="1740"/>
      <c r="AQU1680" s="1740"/>
      <c r="AQV1680" s="1740"/>
      <c r="AQW1680" s="1740"/>
      <c r="AQX1680" s="1740"/>
      <c r="AQY1680" s="1740"/>
      <c r="AQZ1680" s="1740"/>
      <c r="ARA1680" s="1740"/>
      <c r="ARB1680" s="1740"/>
      <c r="ARC1680" s="1740"/>
      <c r="ARD1680" s="1740"/>
      <c r="ARE1680" s="1740"/>
      <c r="ARF1680" s="1740"/>
      <c r="ARG1680" s="1740"/>
      <c r="ARH1680" s="1740"/>
      <c r="ARI1680" s="1740"/>
      <c r="ARJ1680" s="1740"/>
      <c r="ARK1680" s="1740"/>
      <c r="ARL1680" s="1740"/>
      <c r="ARM1680" s="1740"/>
      <c r="ARN1680" s="1740"/>
      <c r="ARO1680" s="1740"/>
      <c r="ARP1680" s="1740"/>
      <c r="ARQ1680" s="1740"/>
      <c r="ARR1680" s="1740"/>
      <c r="ARS1680" s="1740"/>
      <c r="ART1680" s="1740"/>
      <c r="ARU1680" s="1740"/>
      <c r="ARV1680" s="1740"/>
      <c r="ARW1680" s="1740"/>
      <c r="ARX1680" s="1740"/>
      <c r="ARY1680" s="1740"/>
      <c r="ARZ1680" s="1740"/>
      <c r="ASA1680" s="1740"/>
      <c r="ASB1680" s="1740"/>
      <c r="ASC1680" s="1740"/>
      <c r="ASD1680" s="1740"/>
      <c r="ASE1680" s="1740"/>
      <c r="ASF1680" s="1740"/>
      <c r="ASG1680" s="1740"/>
      <c r="ASH1680" s="1740"/>
      <c r="ASI1680" s="1740"/>
      <c r="ASJ1680" s="1740"/>
      <c r="ASK1680" s="1740"/>
      <c r="ASL1680" s="1740"/>
      <c r="ASM1680" s="1740"/>
      <c r="ASN1680" s="1740"/>
      <c r="ASO1680" s="1740"/>
      <c r="ASP1680" s="1740"/>
      <c r="ASQ1680" s="1740"/>
      <c r="ASR1680" s="1740"/>
      <c r="ASS1680" s="1740"/>
      <c r="AST1680" s="1740"/>
      <c r="ASU1680" s="1740"/>
      <c r="ASV1680" s="1740"/>
      <c r="ASW1680" s="1740"/>
      <c r="ASX1680" s="1740"/>
      <c r="ASY1680" s="1740"/>
      <c r="ASZ1680" s="1740"/>
      <c r="ATA1680" s="1740"/>
      <c r="ATB1680" s="1740"/>
      <c r="ATC1680" s="1740"/>
      <c r="ATD1680" s="1740"/>
      <c r="ATE1680" s="1740"/>
      <c r="ATF1680" s="1740"/>
      <c r="ATG1680" s="1740"/>
      <c r="ATH1680" s="1740"/>
      <c r="ATI1680" s="1740"/>
      <c r="ATJ1680" s="1740"/>
      <c r="ATK1680" s="1740"/>
      <c r="ATL1680" s="1740"/>
      <c r="ATM1680" s="1740"/>
      <c r="ATN1680" s="1740"/>
      <c r="ATO1680" s="1740"/>
      <c r="ATP1680" s="1740"/>
      <c r="ATQ1680" s="1740"/>
      <c r="ATR1680" s="1740"/>
      <c r="ATS1680" s="1740"/>
      <c r="ATT1680" s="1740"/>
      <c r="ATU1680" s="1740"/>
      <c r="ATV1680" s="1740"/>
      <c r="ATW1680" s="1740"/>
      <c r="ATX1680" s="1740"/>
      <c r="ATY1680" s="1740"/>
      <c r="ATZ1680" s="1740"/>
      <c r="AUA1680" s="1740"/>
      <c r="AUB1680" s="1740"/>
      <c r="AUC1680" s="1740"/>
      <c r="AUD1680" s="1740"/>
      <c r="AUE1680" s="1740"/>
      <c r="AUF1680" s="1740"/>
      <c r="AUG1680" s="1740"/>
      <c r="AUH1680" s="1740"/>
      <c r="AUI1680" s="1740"/>
      <c r="AUJ1680" s="1740"/>
      <c r="AUK1680" s="1740"/>
      <c r="AUL1680" s="1740"/>
      <c r="AUM1680" s="1740"/>
      <c r="AUN1680" s="1740"/>
      <c r="AUO1680" s="1740"/>
      <c r="AUP1680" s="1740"/>
      <c r="AUQ1680" s="1740"/>
      <c r="AUR1680" s="1740"/>
      <c r="AUS1680" s="1740"/>
      <c r="AUT1680" s="1740"/>
      <c r="AUU1680" s="1740"/>
      <c r="AUV1680" s="1740"/>
      <c r="AUW1680" s="1740"/>
      <c r="AUX1680" s="1740"/>
      <c r="AUY1680" s="1740"/>
      <c r="AUZ1680" s="1740"/>
      <c r="AVA1680" s="1740"/>
      <c r="AVB1680" s="1740"/>
      <c r="AVC1680" s="1740"/>
      <c r="AVD1680" s="1740"/>
      <c r="AVE1680" s="1740"/>
      <c r="AVF1680" s="1740"/>
      <c r="AVG1680" s="1740"/>
      <c r="AVH1680" s="1740"/>
      <c r="AVI1680" s="1740"/>
      <c r="AVJ1680" s="1740"/>
      <c r="AVK1680" s="1740"/>
      <c r="AVL1680" s="1740"/>
      <c r="AVM1680" s="1740"/>
      <c r="AVN1680" s="1740"/>
      <c r="AVO1680" s="1740"/>
      <c r="AVP1680" s="1740"/>
      <c r="AVQ1680" s="1740"/>
      <c r="AVR1680" s="1740"/>
      <c r="AVS1680" s="1740"/>
      <c r="AVT1680" s="1740"/>
      <c r="AVU1680" s="1740"/>
      <c r="AVV1680" s="1740"/>
      <c r="AVW1680" s="1740"/>
      <c r="AVX1680" s="1740"/>
      <c r="AVY1680" s="1740"/>
      <c r="AVZ1680" s="1740"/>
      <c r="AWA1680" s="1740"/>
      <c r="AWB1680" s="1740"/>
      <c r="AWC1680" s="1740"/>
      <c r="AWD1680" s="1740"/>
      <c r="AWE1680" s="1740"/>
      <c r="AWF1680" s="1740"/>
      <c r="AWG1680" s="1740"/>
      <c r="AWH1680" s="1740"/>
      <c r="AWI1680" s="1740"/>
      <c r="AWJ1680" s="1740"/>
      <c r="AWK1680" s="1740"/>
      <c r="AWL1680" s="1740"/>
      <c r="AWM1680" s="1740"/>
      <c r="AWN1680" s="1740"/>
      <c r="AWO1680" s="1740"/>
      <c r="AWP1680" s="1740"/>
      <c r="AWQ1680" s="1740"/>
      <c r="AWR1680" s="1740"/>
      <c r="AWS1680" s="1740"/>
      <c r="AWT1680" s="1740"/>
      <c r="AWU1680" s="1740"/>
      <c r="AWV1680" s="1740"/>
      <c r="AWW1680" s="1740"/>
      <c r="AWX1680" s="1740"/>
      <c r="AWY1680" s="1740"/>
      <c r="AWZ1680" s="1740"/>
      <c r="AXA1680" s="1740"/>
      <c r="AXB1680" s="1740"/>
      <c r="AXC1680" s="1740"/>
      <c r="AXD1680" s="1740"/>
      <c r="AXE1680" s="1740"/>
      <c r="AXF1680" s="1740"/>
      <c r="AXG1680" s="1740"/>
      <c r="AXH1680" s="1740"/>
      <c r="AXI1680" s="1740"/>
      <c r="AXJ1680" s="1740"/>
      <c r="AXK1680" s="1740"/>
      <c r="AXL1680" s="1740"/>
      <c r="AXM1680" s="1740"/>
      <c r="AXN1680" s="1740"/>
      <c r="AXO1680" s="1740"/>
      <c r="AXP1680" s="1740"/>
      <c r="AXQ1680" s="1740"/>
      <c r="AXR1680" s="1740"/>
      <c r="AXS1680" s="1740"/>
      <c r="AXT1680" s="1740"/>
      <c r="AXU1680" s="1740"/>
      <c r="AXV1680" s="1740"/>
      <c r="AXW1680" s="1740"/>
      <c r="AXX1680" s="1740"/>
      <c r="AXY1680" s="1740"/>
      <c r="AXZ1680" s="1740"/>
      <c r="AYA1680" s="1740"/>
      <c r="AYB1680" s="1740"/>
      <c r="AYC1680" s="1740"/>
      <c r="AYD1680" s="1740"/>
      <c r="AYE1680" s="1740"/>
      <c r="AYF1680" s="1740"/>
      <c r="AYG1680" s="1740"/>
      <c r="AYH1680" s="1740"/>
      <c r="AYI1680" s="1740"/>
      <c r="AYJ1680" s="1740"/>
      <c r="AYK1680" s="1740"/>
      <c r="AYL1680" s="1740"/>
      <c r="AYM1680" s="1740"/>
      <c r="AYN1680" s="1740"/>
      <c r="AYO1680" s="1740"/>
      <c r="AYP1680" s="1740"/>
      <c r="AYQ1680" s="1740"/>
      <c r="AYR1680" s="1740"/>
      <c r="AYS1680" s="1740"/>
      <c r="AYT1680" s="1740"/>
      <c r="AYU1680" s="1740"/>
      <c r="AYV1680" s="1740"/>
      <c r="AYW1680" s="1740"/>
      <c r="AYX1680" s="1740"/>
      <c r="AYY1680" s="1740"/>
      <c r="AYZ1680" s="1740"/>
      <c r="AZA1680" s="1740"/>
      <c r="AZB1680" s="1740"/>
      <c r="AZC1680" s="1740"/>
      <c r="AZD1680" s="1740"/>
      <c r="AZE1680" s="1740"/>
      <c r="AZF1680" s="1740"/>
      <c r="AZG1680" s="1740"/>
      <c r="AZH1680" s="1740"/>
      <c r="AZI1680" s="1740"/>
      <c r="AZJ1680" s="1740"/>
      <c r="AZK1680" s="1740"/>
      <c r="AZL1680" s="1740"/>
      <c r="AZM1680" s="1740"/>
      <c r="AZN1680" s="1740"/>
      <c r="AZO1680" s="1740"/>
      <c r="AZP1680" s="1740"/>
      <c r="AZQ1680" s="1740"/>
      <c r="AZR1680" s="1740"/>
      <c r="AZS1680" s="1740"/>
      <c r="AZT1680" s="1740"/>
      <c r="AZU1680" s="1740"/>
      <c r="AZV1680" s="1740"/>
      <c r="AZW1680" s="1740"/>
      <c r="AZX1680" s="1740"/>
      <c r="AZY1680" s="1740"/>
      <c r="AZZ1680" s="1740"/>
      <c r="BAA1680" s="1740"/>
      <c r="BAB1680" s="1740"/>
      <c r="BAC1680" s="1740"/>
      <c r="BAD1680" s="1740"/>
      <c r="BAE1680" s="1740"/>
      <c r="BAF1680" s="1740"/>
      <c r="BAG1680" s="1740"/>
      <c r="BAH1680" s="1740"/>
      <c r="BAI1680" s="1740"/>
      <c r="BAJ1680" s="1740"/>
      <c r="BAK1680" s="1740"/>
      <c r="BAL1680" s="1740"/>
      <c r="BAM1680" s="1740"/>
      <c r="BAN1680" s="1740"/>
      <c r="BAO1680" s="1740"/>
      <c r="BAP1680" s="1740"/>
      <c r="BAQ1680" s="1740"/>
      <c r="BAR1680" s="1740"/>
      <c r="BAS1680" s="1740"/>
      <c r="BAT1680" s="1740"/>
      <c r="BAU1680" s="1740"/>
      <c r="BAV1680" s="1740"/>
      <c r="BAW1680" s="1740"/>
      <c r="BAX1680" s="1740"/>
      <c r="BAY1680" s="1740"/>
      <c r="BAZ1680" s="1740"/>
      <c r="BBA1680" s="1740"/>
      <c r="BBB1680" s="1740"/>
      <c r="BBC1680" s="1740"/>
      <c r="BBD1680" s="1740"/>
      <c r="BBE1680" s="1740"/>
      <c r="BBF1680" s="1740"/>
      <c r="BBG1680" s="1740"/>
      <c r="BBH1680" s="1740"/>
      <c r="BBI1680" s="1740"/>
      <c r="BBJ1680" s="1740"/>
      <c r="BBK1680" s="1740"/>
      <c r="BBL1680" s="1740"/>
      <c r="BBM1680" s="1740"/>
      <c r="BBN1680" s="1740"/>
      <c r="BBO1680" s="1740"/>
      <c r="BBP1680" s="1740"/>
      <c r="BBQ1680" s="1740"/>
      <c r="BBR1680" s="1740"/>
      <c r="BBS1680" s="1740"/>
      <c r="BBT1680" s="1740"/>
      <c r="BBU1680" s="1740"/>
      <c r="BBV1680" s="1740"/>
      <c r="BBW1680" s="1740"/>
      <c r="BBX1680" s="1740"/>
      <c r="BBY1680" s="1740"/>
      <c r="BBZ1680" s="1740"/>
      <c r="BCA1680" s="1740"/>
      <c r="BCB1680" s="1740"/>
      <c r="BCC1680" s="1740"/>
      <c r="BCD1680" s="1740"/>
      <c r="BCE1680" s="1740"/>
      <c r="BCF1680" s="1740"/>
      <c r="BCG1680" s="1740"/>
      <c r="BCH1680" s="1740"/>
      <c r="BCI1680" s="1740"/>
      <c r="BCJ1680" s="1740"/>
      <c r="BCK1680" s="1740"/>
      <c r="BCL1680" s="1740"/>
      <c r="BCM1680" s="1740"/>
      <c r="BCN1680" s="1740"/>
      <c r="BCO1680" s="1740"/>
      <c r="BCP1680" s="1740"/>
      <c r="BCQ1680" s="1740"/>
      <c r="BCR1680" s="1740"/>
      <c r="BCS1680" s="1740"/>
      <c r="BCT1680" s="1740"/>
      <c r="BCU1680" s="1740"/>
      <c r="BCV1680" s="1740"/>
      <c r="BCW1680" s="1740"/>
      <c r="BCX1680" s="1740"/>
      <c r="BCY1680" s="1740"/>
      <c r="BCZ1680" s="1740"/>
      <c r="BDA1680" s="1740"/>
      <c r="BDB1680" s="1740"/>
      <c r="BDC1680" s="1740"/>
      <c r="BDD1680" s="1740"/>
      <c r="BDE1680" s="1740"/>
      <c r="BDF1680" s="1740"/>
      <c r="BDG1680" s="1740"/>
      <c r="BDH1680" s="1740"/>
      <c r="BDI1680" s="1740"/>
      <c r="BDJ1680" s="1740"/>
      <c r="BDK1680" s="1740"/>
      <c r="BDL1680" s="1740"/>
      <c r="BDM1680" s="1740"/>
      <c r="BDN1680" s="1740"/>
      <c r="BDO1680" s="1740"/>
      <c r="BDP1680" s="1740"/>
      <c r="BDQ1680" s="1740"/>
      <c r="BDR1680" s="1740"/>
      <c r="BDS1680" s="1740"/>
      <c r="BDT1680" s="1740"/>
      <c r="BDU1680" s="1740"/>
      <c r="BDV1680" s="1740"/>
      <c r="BDW1680" s="1740"/>
      <c r="BDX1680" s="1740"/>
      <c r="BDY1680" s="1740"/>
      <c r="BDZ1680" s="1740"/>
      <c r="BEA1680" s="1740"/>
      <c r="BEB1680" s="1740"/>
      <c r="BEC1680" s="1740"/>
      <c r="BED1680" s="1740"/>
      <c r="BEE1680" s="1740"/>
      <c r="BEF1680" s="1740"/>
      <c r="BEG1680" s="1740"/>
      <c r="BEH1680" s="1740"/>
      <c r="BEI1680" s="1740"/>
      <c r="BEJ1680" s="1740"/>
      <c r="BEK1680" s="1740"/>
      <c r="BEL1680" s="1740"/>
      <c r="BEM1680" s="1740"/>
      <c r="BEN1680" s="1740"/>
      <c r="BEO1680" s="1740"/>
      <c r="BEP1680" s="1740"/>
      <c r="BEQ1680" s="1740"/>
      <c r="BER1680" s="1740"/>
      <c r="BES1680" s="1740"/>
      <c r="BET1680" s="1740"/>
      <c r="BEU1680" s="1740"/>
      <c r="BEV1680" s="1740"/>
      <c r="BEW1680" s="1740"/>
      <c r="BEX1680" s="1740"/>
      <c r="BEY1680" s="1740"/>
      <c r="BEZ1680" s="1740"/>
      <c r="BFA1680" s="1740"/>
      <c r="BFB1680" s="1740"/>
      <c r="BFC1680" s="1740"/>
      <c r="BFD1680" s="1740"/>
      <c r="BFE1680" s="1740"/>
      <c r="BFF1680" s="1740"/>
      <c r="BFG1680" s="1740"/>
      <c r="BFH1680" s="1740"/>
      <c r="BFI1680" s="1740"/>
      <c r="BFJ1680" s="1740"/>
      <c r="BFK1680" s="1740"/>
      <c r="BFL1680" s="1740"/>
      <c r="BFM1680" s="1740"/>
      <c r="BFN1680" s="1740"/>
      <c r="BFO1680" s="1740"/>
      <c r="BFP1680" s="1740"/>
      <c r="BFQ1680" s="1740"/>
      <c r="BFR1680" s="1740"/>
      <c r="BFS1680" s="1740"/>
      <c r="BFT1680" s="1740"/>
      <c r="BFU1680" s="1740"/>
      <c r="BFV1680" s="1740"/>
      <c r="BFW1680" s="1740"/>
      <c r="BFX1680" s="1740"/>
      <c r="BFY1680" s="1740"/>
      <c r="BFZ1680" s="1740"/>
      <c r="BGA1680" s="1740"/>
      <c r="BGB1680" s="1740"/>
      <c r="BGC1680" s="1740"/>
      <c r="BGD1680" s="1740"/>
      <c r="BGE1680" s="1740"/>
      <c r="BGF1680" s="1740"/>
      <c r="BGG1680" s="1740"/>
      <c r="BGH1680" s="1740"/>
      <c r="BGI1680" s="1740"/>
      <c r="BGJ1680" s="1740"/>
      <c r="BGK1680" s="1740"/>
      <c r="BGL1680" s="1740"/>
      <c r="BGM1680" s="1740"/>
      <c r="BGN1680" s="1740"/>
      <c r="BGO1680" s="1740"/>
      <c r="BGP1680" s="1740"/>
      <c r="BGQ1680" s="1740"/>
      <c r="BGR1680" s="1740"/>
      <c r="BGS1680" s="1740"/>
      <c r="BGT1680" s="1740"/>
      <c r="BGU1680" s="1740"/>
      <c r="BGV1680" s="1740"/>
      <c r="BGW1680" s="1740"/>
      <c r="BGX1680" s="1740"/>
      <c r="BGY1680" s="1740"/>
      <c r="BGZ1680" s="1740"/>
      <c r="BHA1680" s="1740"/>
      <c r="BHB1680" s="1740"/>
      <c r="BHC1680" s="1740"/>
      <c r="BHD1680" s="1740"/>
      <c r="BHE1680" s="1740"/>
      <c r="BHF1680" s="1740"/>
      <c r="BHG1680" s="1740"/>
      <c r="BHH1680" s="1740"/>
      <c r="BHI1680" s="1740"/>
      <c r="BHJ1680" s="1740"/>
      <c r="BHK1680" s="1740"/>
      <c r="BHL1680" s="1740"/>
      <c r="BHM1680" s="1740"/>
      <c r="BHN1680" s="1740"/>
      <c r="BHO1680" s="1740"/>
      <c r="BHP1680" s="1740"/>
      <c r="BHQ1680" s="1740"/>
      <c r="BHR1680" s="1740"/>
      <c r="BHS1680" s="1740"/>
      <c r="BHT1680" s="1740"/>
      <c r="BHU1680" s="1740"/>
      <c r="BHV1680" s="1740"/>
      <c r="BHW1680" s="1740"/>
      <c r="BHX1680" s="1740"/>
      <c r="BHY1680" s="1740"/>
      <c r="BHZ1680" s="1740"/>
      <c r="BIA1680" s="1740"/>
      <c r="BIB1680" s="1740"/>
      <c r="BIC1680" s="1740"/>
      <c r="BID1680" s="1740"/>
      <c r="BIE1680" s="1740"/>
      <c r="BIF1680" s="1740"/>
      <c r="BIG1680" s="1740"/>
      <c r="BIH1680" s="1740"/>
      <c r="BII1680" s="1740"/>
      <c r="BIJ1680" s="1740"/>
      <c r="BIK1680" s="1740"/>
      <c r="BIL1680" s="1740"/>
      <c r="BIM1680" s="1740"/>
      <c r="BIN1680" s="1740"/>
      <c r="BIO1680" s="1740"/>
      <c r="BIP1680" s="1740"/>
      <c r="BIQ1680" s="1740"/>
      <c r="BIR1680" s="1740"/>
      <c r="BIS1680" s="1740"/>
      <c r="BIT1680" s="1740"/>
      <c r="BIU1680" s="1740"/>
      <c r="BIV1680" s="1740"/>
      <c r="BIW1680" s="1740"/>
      <c r="BIX1680" s="1740"/>
      <c r="BIY1680" s="1740"/>
      <c r="BIZ1680" s="1740"/>
      <c r="BJA1680" s="1740"/>
      <c r="BJB1680" s="1740"/>
      <c r="BJC1680" s="1740"/>
      <c r="BJD1680" s="1740"/>
      <c r="BJE1680" s="1740"/>
      <c r="BJF1680" s="1740"/>
      <c r="BJG1680" s="1740"/>
      <c r="BJH1680" s="1740"/>
      <c r="BJI1680" s="1740"/>
      <c r="BJJ1680" s="1740"/>
      <c r="BJK1680" s="1740"/>
      <c r="BJL1680" s="1740"/>
      <c r="BJM1680" s="1740"/>
      <c r="BJN1680" s="1740"/>
      <c r="BJO1680" s="1740"/>
      <c r="BJP1680" s="1740"/>
      <c r="BJQ1680" s="1740"/>
      <c r="BJR1680" s="1740"/>
      <c r="BJS1680" s="1740"/>
      <c r="BJT1680" s="1740"/>
      <c r="BJU1680" s="1740"/>
      <c r="BJV1680" s="1740"/>
      <c r="BJW1680" s="1740"/>
      <c r="BJX1680" s="1740"/>
      <c r="BJY1680" s="1740"/>
      <c r="BJZ1680" s="1740"/>
      <c r="BKA1680" s="1740"/>
      <c r="BKB1680" s="1740"/>
      <c r="BKC1680" s="1740"/>
      <c r="BKD1680" s="1740"/>
      <c r="BKE1680" s="1740"/>
      <c r="BKF1680" s="1740"/>
      <c r="BKG1680" s="1740"/>
      <c r="BKH1680" s="1740"/>
      <c r="BKI1680" s="1740"/>
      <c r="BKJ1680" s="1740"/>
      <c r="BKK1680" s="1740"/>
      <c r="BKL1680" s="1740"/>
      <c r="BKM1680" s="1740"/>
      <c r="BKN1680" s="1740"/>
      <c r="BKO1680" s="1740"/>
      <c r="BKP1680" s="1740"/>
      <c r="BKQ1680" s="1740"/>
      <c r="BKR1680" s="1740"/>
      <c r="BKS1680" s="1740"/>
      <c r="BKT1680" s="1740"/>
      <c r="BKU1680" s="1740"/>
      <c r="BKV1680" s="1740"/>
      <c r="BKW1680" s="1740"/>
      <c r="BKX1680" s="1740"/>
      <c r="BKY1680" s="1740"/>
      <c r="BKZ1680" s="1740"/>
      <c r="BLA1680" s="1740"/>
      <c r="BLB1680" s="1740"/>
      <c r="BLC1680" s="1740"/>
      <c r="BLD1680" s="1740"/>
      <c r="BLE1680" s="1740"/>
      <c r="BLF1680" s="1740"/>
      <c r="BLG1680" s="1740"/>
      <c r="BLH1680" s="1740"/>
      <c r="BLI1680" s="1740"/>
      <c r="BLJ1680" s="1740"/>
      <c r="BLK1680" s="1740"/>
      <c r="BLL1680" s="1740"/>
      <c r="BLM1680" s="1740"/>
      <c r="BLN1680" s="1740"/>
      <c r="BLO1680" s="1740"/>
      <c r="BLP1680" s="1740"/>
      <c r="BLQ1680" s="1740"/>
      <c r="BLR1680" s="1740"/>
      <c r="BLS1680" s="1740"/>
      <c r="BLT1680" s="1740"/>
      <c r="BLU1680" s="1740"/>
      <c r="BLV1680" s="1740"/>
      <c r="BLW1680" s="1740"/>
      <c r="BLX1680" s="1740"/>
      <c r="BLY1680" s="1740"/>
      <c r="BLZ1680" s="1740"/>
      <c r="BMA1680" s="1740"/>
      <c r="BMB1680" s="1740"/>
      <c r="BMC1680" s="1740"/>
      <c r="BMD1680" s="1740"/>
      <c r="BME1680" s="1740"/>
      <c r="BMF1680" s="1740"/>
      <c r="BMG1680" s="1740"/>
      <c r="BMH1680" s="1740"/>
      <c r="BMI1680" s="1740"/>
      <c r="BMJ1680" s="1740"/>
      <c r="BMK1680" s="1740"/>
      <c r="BML1680" s="1740"/>
      <c r="BMM1680" s="1740"/>
      <c r="BMN1680" s="1740"/>
      <c r="BMO1680" s="1740"/>
      <c r="BMP1680" s="1740"/>
      <c r="BMQ1680" s="1740"/>
      <c r="BMR1680" s="1740"/>
      <c r="BMS1680" s="1740"/>
      <c r="BMT1680" s="1740"/>
      <c r="BMU1680" s="1740"/>
      <c r="BMV1680" s="1740"/>
      <c r="BMW1680" s="1740"/>
      <c r="BMX1680" s="1740"/>
      <c r="BMY1680" s="1740"/>
      <c r="BMZ1680" s="1740"/>
      <c r="BNA1680" s="1740"/>
      <c r="BNB1680" s="1740"/>
      <c r="BNC1680" s="1740"/>
      <c r="BND1680" s="1740"/>
      <c r="BNE1680" s="1740"/>
      <c r="BNF1680" s="1740"/>
      <c r="BNG1680" s="1740"/>
      <c r="BNH1680" s="1740"/>
      <c r="BNI1680" s="1740"/>
      <c r="BNJ1680" s="1740"/>
      <c r="BNK1680" s="1740"/>
      <c r="BNL1680" s="1740"/>
      <c r="BNM1680" s="1740"/>
      <c r="BNN1680" s="1740"/>
      <c r="BNO1680" s="1740"/>
      <c r="BNP1680" s="1740"/>
      <c r="BNQ1680" s="1740"/>
      <c r="BNR1680" s="1740"/>
      <c r="BNS1680" s="1740"/>
      <c r="BNT1680" s="1740"/>
      <c r="BNU1680" s="1740"/>
      <c r="BNV1680" s="1740"/>
      <c r="BNW1680" s="1740"/>
      <c r="BNX1680" s="1740"/>
      <c r="BNY1680" s="1740"/>
      <c r="BNZ1680" s="1740"/>
      <c r="BOA1680" s="1740"/>
      <c r="BOB1680" s="1740"/>
      <c r="BOC1680" s="1740"/>
      <c r="BOD1680" s="1740"/>
      <c r="BOE1680" s="1740"/>
      <c r="BOF1680" s="1740"/>
      <c r="BOG1680" s="1740"/>
      <c r="BOH1680" s="1740"/>
      <c r="BOI1680" s="1740"/>
      <c r="BOJ1680" s="1740"/>
      <c r="BOK1680" s="1740"/>
      <c r="BOL1680" s="1740"/>
      <c r="BOM1680" s="1740"/>
      <c r="BON1680" s="1740"/>
      <c r="BOO1680" s="1740"/>
      <c r="BOP1680" s="1740"/>
      <c r="BOQ1680" s="1740"/>
      <c r="BOR1680" s="1740"/>
      <c r="BOS1680" s="1740"/>
      <c r="BOT1680" s="1740"/>
      <c r="BOU1680" s="1740"/>
      <c r="BOV1680" s="1740"/>
      <c r="BOW1680" s="1740"/>
      <c r="BOX1680" s="1740"/>
      <c r="BOY1680" s="1740"/>
      <c r="BOZ1680" s="1740"/>
      <c r="BPA1680" s="1740"/>
      <c r="BPB1680" s="1740"/>
      <c r="BPC1680" s="1740"/>
      <c r="BPD1680" s="1740"/>
      <c r="BPE1680" s="1740"/>
      <c r="BPF1680" s="1740"/>
      <c r="BPG1680" s="1740"/>
      <c r="BPH1680" s="1740"/>
      <c r="BPI1680" s="1740"/>
      <c r="BPJ1680" s="1740"/>
      <c r="BPK1680" s="1740"/>
      <c r="BPL1680" s="1740"/>
      <c r="BPM1680" s="1740"/>
      <c r="BPN1680" s="1740"/>
      <c r="BPO1680" s="1740"/>
      <c r="BPP1680" s="1740"/>
      <c r="BPQ1680" s="1740"/>
      <c r="BPR1680" s="1740"/>
      <c r="BPS1680" s="1740"/>
      <c r="BPT1680" s="1740"/>
      <c r="BPU1680" s="1740"/>
      <c r="BPV1680" s="1740"/>
      <c r="BPW1680" s="1740"/>
      <c r="BPX1680" s="1740"/>
      <c r="BPY1680" s="1740"/>
      <c r="BPZ1680" s="1740"/>
      <c r="BQA1680" s="1740"/>
      <c r="BQB1680" s="1740"/>
      <c r="BQC1680" s="1740"/>
      <c r="BQD1680" s="1740"/>
      <c r="BQE1680" s="1740"/>
      <c r="BQF1680" s="1740"/>
      <c r="BQG1680" s="1740"/>
      <c r="BQH1680" s="1740"/>
      <c r="BQI1680" s="1740"/>
      <c r="BQJ1680" s="1740"/>
      <c r="BQK1680" s="1740"/>
      <c r="BQL1680" s="1740"/>
      <c r="BQM1680" s="1740"/>
      <c r="BQN1680" s="1740"/>
      <c r="BQO1680" s="1740"/>
      <c r="BQP1680" s="1740"/>
      <c r="BQQ1680" s="1740"/>
      <c r="BQR1680" s="1740"/>
      <c r="BQS1680" s="1740"/>
      <c r="BQT1680" s="1740"/>
      <c r="BQU1680" s="1740"/>
      <c r="BQV1680" s="1740"/>
      <c r="BQW1680" s="1740"/>
      <c r="BQX1680" s="1740"/>
      <c r="BQY1680" s="1740"/>
      <c r="BQZ1680" s="1740"/>
      <c r="BRA1680" s="1740"/>
      <c r="BRB1680" s="1740"/>
      <c r="BRC1680" s="1740"/>
      <c r="BRD1680" s="1740"/>
      <c r="BRE1680" s="1740"/>
      <c r="BRF1680" s="1740"/>
      <c r="BRG1680" s="1740"/>
      <c r="BRH1680" s="1740"/>
      <c r="BRI1680" s="1740"/>
      <c r="BRJ1680" s="1740"/>
      <c r="BRK1680" s="1740"/>
      <c r="BRL1680" s="1740"/>
      <c r="BRM1680" s="1740"/>
      <c r="BRN1680" s="1740"/>
      <c r="BRO1680" s="1740"/>
      <c r="BRP1680" s="1740"/>
      <c r="BRQ1680" s="1740"/>
      <c r="BRR1680" s="1740"/>
      <c r="BRS1680" s="1740"/>
      <c r="BRT1680" s="1740"/>
      <c r="BRU1680" s="1740"/>
      <c r="BRV1680" s="1740"/>
      <c r="BRW1680" s="1740"/>
      <c r="BRX1680" s="1740"/>
      <c r="BRY1680" s="1740"/>
      <c r="BRZ1680" s="1740"/>
      <c r="BSA1680" s="1740"/>
      <c r="BSB1680" s="1740"/>
      <c r="BSC1680" s="1740"/>
      <c r="BSD1680" s="1740"/>
      <c r="BSE1680" s="1740"/>
      <c r="BSF1680" s="1740"/>
      <c r="BSG1680" s="1740"/>
      <c r="BSH1680" s="1740"/>
      <c r="BSI1680" s="1740"/>
      <c r="BSJ1680" s="1740"/>
      <c r="BSK1680" s="1740"/>
      <c r="BSL1680" s="1740"/>
      <c r="BSM1680" s="1740"/>
      <c r="BSN1680" s="1740"/>
      <c r="BSO1680" s="1740"/>
      <c r="BSP1680" s="1740"/>
      <c r="BSQ1680" s="1740"/>
      <c r="BSR1680" s="1740"/>
      <c r="BSS1680" s="1740"/>
      <c r="BST1680" s="1740"/>
      <c r="BSU1680" s="1740"/>
      <c r="BSV1680" s="1740"/>
      <c r="BSW1680" s="1740"/>
      <c r="BSX1680" s="1740"/>
      <c r="BSY1680" s="1740"/>
      <c r="BSZ1680" s="1740"/>
      <c r="BTA1680" s="1740"/>
      <c r="BTB1680" s="1740"/>
      <c r="BTC1680" s="1740"/>
      <c r="BTD1680" s="1740"/>
      <c r="BTE1680" s="1740"/>
      <c r="BTF1680" s="1740"/>
      <c r="BTG1680" s="1740"/>
      <c r="BTH1680" s="1740"/>
      <c r="BTI1680" s="1740"/>
      <c r="BTJ1680" s="1740"/>
      <c r="BTK1680" s="1740"/>
      <c r="BTL1680" s="1740"/>
      <c r="BTM1680" s="1740"/>
      <c r="BTN1680" s="1740"/>
      <c r="BTO1680" s="1740"/>
      <c r="BTP1680" s="1740"/>
      <c r="BTQ1680" s="1740"/>
      <c r="BTR1680" s="1740"/>
      <c r="BTS1680" s="1740"/>
      <c r="BTT1680" s="1740"/>
      <c r="BTU1680" s="1740"/>
      <c r="BTV1680" s="1740"/>
      <c r="BTW1680" s="1740"/>
      <c r="BTX1680" s="1740"/>
      <c r="BTY1680" s="1740"/>
      <c r="BTZ1680" s="1740"/>
      <c r="BUA1680" s="1740"/>
      <c r="BUB1680" s="1740"/>
      <c r="BUC1680" s="1740"/>
      <c r="BUD1680" s="1740"/>
      <c r="BUE1680" s="1740"/>
      <c r="BUF1680" s="1740"/>
      <c r="BUG1680" s="1740"/>
      <c r="BUH1680" s="1740"/>
      <c r="BUI1680" s="1740"/>
      <c r="BUJ1680" s="1740"/>
      <c r="BUK1680" s="1740"/>
      <c r="BUL1680" s="1740"/>
      <c r="BUM1680" s="1740"/>
      <c r="BUN1680" s="1740"/>
      <c r="BUO1680" s="1740"/>
      <c r="BUP1680" s="1740"/>
      <c r="BUQ1680" s="1740"/>
      <c r="BUR1680" s="1740"/>
      <c r="BUS1680" s="1740"/>
      <c r="BUT1680" s="1740"/>
      <c r="BUU1680" s="1740"/>
      <c r="BUV1680" s="1740"/>
      <c r="BUW1680" s="1740"/>
      <c r="BUX1680" s="1740"/>
      <c r="BUY1680" s="1740"/>
      <c r="BUZ1680" s="1740"/>
      <c r="BVA1680" s="1740"/>
      <c r="BVB1680" s="1740"/>
      <c r="BVC1680" s="1740"/>
      <c r="BVD1680" s="1740"/>
      <c r="BVE1680" s="1740"/>
      <c r="BVF1680" s="1740"/>
      <c r="BVG1680" s="1740"/>
      <c r="BVH1680" s="1740"/>
      <c r="BVI1680" s="1740"/>
      <c r="BVJ1680" s="1740"/>
      <c r="BVK1680" s="1740"/>
      <c r="BVL1680" s="1740"/>
      <c r="BVM1680" s="1740"/>
      <c r="BVN1680" s="1740"/>
      <c r="BVO1680" s="1740"/>
      <c r="BVP1680" s="1740"/>
      <c r="BVQ1680" s="1740"/>
      <c r="BVR1680" s="1740"/>
      <c r="BVS1680" s="1740"/>
      <c r="BVT1680" s="1740"/>
      <c r="BVU1680" s="1740"/>
      <c r="BVV1680" s="1740"/>
      <c r="BVW1680" s="1740"/>
      <c r="BVX1680" s="1740"/>
      <c r="BVY1680" s="1740"/>
      <c r="BVZ1680" s="1740"/>
      <c r="BWA1680" s="1740"/>
      <c r="BWB1680" s="1740"/>
      <c r="BWC1680" s="1740"/>
      <c r="BWD1680" s="1740"/>
      <c r="BWE1680" s="1740"/>
      <c r="BWF1680" s="1740"/>
      <c r="BWG1680" s="1740"/>
      <c r="BWH1680" s="1740"/>
      <c r="BWI1680" s="1740"/>
      <c r="BWJ1680" s="1740"/>
      <c r="BWK1680" s="1740"/>
      <c r="BWL1680" s="1740"/>
      <c r="BWM1680" s="1740"/>
      <c r="BWN1680" s="1740"/>
      <c r="BWO1680" s="1740"/>
      <c r="BWP1680" s="1740"/>
      <c r="BWQ1680" s="1740"/>
      <c r="BWR1680" s="1740"/>
      <c r="BWS1680" s="1740"/>
      <c r="BWT1680" s="1740"/>
      <c r="BWU1680" s="1740"/>
      <c r="BWV1680" s="1740"/>
      <c r="BWW1680" s="1740"/>
      <c r="BWX1680" s="1740"/>
      <c r="BWY1680" s="1740"/>
      <c r="BWZ1680" s="1740"/>
      <c r="BXA1680" s="1740"/>
      <c r="BXB1680" s="1740"/>
      <c r="BXC1680" s="1740"/>
      <c r="BXD1680" s="1740"/>
      <c r="BXE1680" s="1740"/>
      <c r="BXF1680" s="1740"/>
      <c r="BXG1680" s="1740"/>
      <c r="BXH1680" s="1740"/>
      <c r="BXI1680" s="1740"/>
      <c r="BXJ1680" s="1740"/>
      <c r="BXK1680" s="1740"/>
      <c r="BXL1680" s="1740"/>
      <c r="BXM1680" s="1740"/>
      <c r="BXN1680" s="1740"/>
      <c r="BXO1680" s="1740"/>
      <c r="BXP1680" s="1740"/>
      <c r="BXQ1680" s="1740"/>
      <c r="BXR1680" s="1740"/>
      <c r="BXS1680" s="1740"/>
      <c r="BXT1680" s="1740"/>
      <c r="BXU1680" s="1740"/>
      <c r="BXV1680" s="1740"/>
      <c r="BXW1680" s="1740"/>
      <c r="BXX1680" s="1740"/>
      <c r="BXY1680" s="1740"/>
      <c r="BXZ1680" s="1740"/>
      <c r="BYA1680" s="1740"/>
      <c r="BYB1680" s="1740"/>
      <c r="BYC1680" s="1740"/>
      <c r="BYD1680" s="1740"/>
      <c r="BYE1680" s="1740"/>
      <c r="BYF1680" s="1740"/>
      <c r="BYG1680" s="1740"/>
      <c r="BYH1680" s="1740"/>
      <c r="BYI1680" s="1740"/>
      <c r="BYJ1680" s="1740"/>
      <c r="BYK1680" s="1740"/>
      <c r="BYL1680" s="1740"/>
      <c r="BYM1680" s="1740"/>
      <c r="BYN1680" s="1740"/>
      <c r="BYO1680" s="1740"/>
      <c r="BYP1680" s="1740"/>
      <c r="BYQ1680" s="1740"/>
      <c r="BYR1680" s="1740"/>
      <c r="BYS1680" s="1740"/>
      <c r="BYT1680" s="1740"/>
      <c r="BYU1680" s="1740"/>
      <c r="BYV1680" s="1740"/>
      <c r="BYW1680" s="1740"/>
      <c r="BYX1680" s="1740"/>
      <c r="BYY1680" s="1740"/>
      <c r="BYZ1680" s="1740"/>
      <c r="BZA1680" s="1740"/>
      <c r="BZB1680" s="1740"/>
      <c r="BZC1680" s="1740"/>
      <c r="BZD1680" s="1740"/>
      <c r="BZE1680" s="1740"/>
      <c r="BZF1680" s="1740"/>
      <c r="BZG1680" s="1740"/>
      <c r="BZH1680" s="1740"/>
      <c r="BZI1680" s="1740"/>
      <c r="BZJ1680" s="1740"/>
      <c r="BZK1680" s="1740"/>
      <c r="BZL1680" s="1740"/>
      <c r="BZM1680" s="1740"/>
      <c r="BZN1680" s="1740"/>
      <c r="BZO1680" s="1740"/>
      <c r="BZP1680" s="1740"/>
      <c r="BZQ1680" s="1740"/>
      <c r="BZR1680" s="1740"/>
      <c r="BZS1680" s="1740"/>
      <c r="BZT1680" s="1740"/>
      <c r="BZU1680" s="1740"/>
      <c r="BZV1680" s="1740"/>
      <c r="BZW1680" s="1740"/>
      <c r="BZX1680" s="1740"/>
      <c r="BZY1680" s="1740"/>
      <c r="BZZ1680" s="1740"/>
      <c r="CAA1680" s="1740"/>
      <c r="CAB1680" s="1740"/>
      <c r="CAC1680" s="1740"/>
      <c r="CAD1680" s="1740"/>
      <c r="CAE1680" s="1740"/>
      <c r="CAF1680" s="1740"/>
      <c r="CAG1680" s="1740"/>
      <c r="CAH1680" s="1740"/>
      <c r="CAI1680" s="1740"/>
      <c r="CAJ1680" s="1740"/>
      <c r="CAK1680" s="1740"/>
      <c r="CAL1680" s="1740"/>
      <c r="CAM1680" s="1740"/>
      <c r="CAN1680" s="1740"/>
      <c r="CAO1680" s="1740"/>
      <c r="CAP1680" s="1740"/>
      <c r="CAQ1680" s="1740"/>
      <c r="CAR1680" s="1740"/>
      <c r="CAS1680" s="1740"/>
      <c r="CAT1680" s="1740"/>
      <c r="CAU1680" s="1740"/>
      <c r="CAV1680" s="1740"/>
      <c r="CAW1680" s="1740"/>
      <c r="CAX1680" s="1740"/>
      <c r="CAY1680" s="1740"/>
      <c r="CAZ1680" s="1740"/>
      <c r="CBA1680" s="1740"/>
      <c r="CBB1680" s="1740"/>
      <c r="CBC1680" s="1740"/>
      <c r="CBD1680" s="1740"/>
      <c r="CBE1680" s="1740"/>
      <c r="CBF1680" s="1740"/>
      <c r="CBG1680" s="1740"/>
      <c r="CBH1680" s="1740"/>
      <c r="CBI1680" s="1740"/>
      <c r="CBJ1680" s="1740"/>
      <c r="CBK1680" s="1740"/>
      <c r="CBL1680" s="1740"/>
      <c r="CBM1680" s="1740"/>
      <c r="CBN1680" s="1740"/>
      <c r="CBO1680" s="1740"/>
      <c r="CBP1680" s="1740"/>
      <c r="CBQ1680" s="1740"/>
      <c r="CBR1680" s="1740"/>
      <c r="CBS1680" s="1740"/>
      <c r="CBT1680" s="1740"/>
      <c r="CBU1680" s="1740"/>
      <c r="CBV1680" s="1740"/>
      <c r="CBW1680" s="1740"/>
      <c r="CBX1680" s="1740"/>
      <c r="CBY1680" s="1740"/>
      <c r="CBZ1680" s="1740"/>
      <c r="CCA1680" s="1740"/>
      <c r="CCB1680" s="1740"/>
      <c r="CCC1680" s="1740"/>
      <c r="CCD1680" s="1740"/>
      <c r="CCE1680" s="1740"/>
      <c r="CCF1680" s="1740"/>
      <c r="CCG1680" s="1740"/>
      <c r="CCH1680" s="1740"/>
      <c r="CCI1680" s="1740"/>
      <c r="CCJ1680" s="1740"/>
      <c r="CCK1680" s="1740"/>
      <c r="CCL1680" s="1740"/>
      <c r="CCM1680" s="1740"/>
      <c r="CCN1680" s="1740"/>
      <c r="CCO1680" s="1740"/>
      <c r="CCP1680" s="1740"/>
      <c r="CCQ1680" s="1740"/>
      <c r="CCR1680" s="1740"/>
      <c r="CCS1680" s="1740"/>
      <c r="CCT1680" s="1740"/>
      <c r="CCU1680" s="1740"/>
      <c r="CCV1680" s="1740"/>
      <c r="CCW1680" s="1740"/>
      <c r="CCX1680" s="1740"/>
      <c r="CCY1680" s="1740"/>
      <c r="CCZ1680" s="1740"/>
      <c r="CDA1680" s="1740"/>
      <c r="CDB1680" s="1740"/>
      <c r="CDC1680" s="1740"/>
      <c r="CDD1680" s="1740"/>
      <c r="CDE1680" s="1740"/>
      <c r="CDF1680" s="1740"/>
      <c r="CDG1680" s="1740"/>
      <c r="CDH1680" s="1740"/>
      <c r="CDI1680" s="1740"/>
      <c r="CDJ1680" s="1740"/>
      <c r="CDK1680" s="1740"/>
      <c r="CDL1680" s="1740"/>
      <c r="CDM1680" s="1740"/>
      <c r="CDN1680" s="1740"/>
      <c r="CDO1680" s="1740"/>
      <c r="CDP1680" s="1740"/>
      <c r="CDQ1680" s="1740"/>
      <c r="CDR1680" s="1740"/>
      <c r="CDS1680" s="1740"/>
      <c r="CDT1680" s="1740"/>
      <c r="CDU1680" s="1740"/>
      <c r="CDV1680" s="1740"/>
      <c r="CDW1680" s="1740"/>
      <c r="CDX1680" s="1740"/>
      <c r="CDY1680" s="1740"/>
      <c r="CDZ1680" s="1740"/>
      <c r="CEA1680" s="1740"/>
      <c r="CEB1680" s="1740"/>
      <c r="CEC1680" s="1740"/>
      <c r="CED1680" s="1740"/>
      <c r="CEE1680" s="1740"/>
      <c r="CEF1680" s="1740"/>
      <c r="CEG1680" s="1740"/>
      <c r="CEH1680" s="1740"/>
      <c r="CEI1680" s="1740"/>
      <c r="CEJ1680" s="1740"/>
      <c r="CEK1680" s="1740"/>
      <c r="CEL1680" s="1740"/>
      <c r="CEM1680" s="1740"/>
      <c r="CEN1680" s="1740"/>
      <c r="CEO1680" s="1740"/>
      <c r="CEP1680" s="1740"/>
      <c r="CEQ1680" s="1740"/>
      <c r="CER1680" s="1740"/>
      <c r="CES1680" s="1740"/>
      <c r="CET1680" s="1740"/>
      <c r="CEU1680" s="1740"/>
      <c r="CEV1680" s="1740"/>
      <c r="CEW1680" s="1740"/>
      <c r="CEX1680" s="1740"/>
      <c r="CEY1680" s="1740"/>
      <c r="CEZ1680" s="1740"/>
      <c r="CFA1680" s="1740"/>
      <c r="CFB1680" s="1740"/>
      <c r="CFC1680" s="1740"/>
      <c r="CFD1680" s="1740"/>
      <c r="CFE1680" s="1740"/>
      <c r="CFF1680" s="1740"/>
      <c r="CFG1680" s="1740"/>
      <c r="CFH1680" s="1740"/>
      <c r="CFI1680" s="1740"/>
      <c r="CFJ1680" s="1740"/>
      <c r="CFK1680" s="1740"/>
      <c r="CFL1680" s="1740"/>
      <c r="CFM1680" s="1740"/>
      <c r="CFN1680" s="1740"/>
      <c r="CFO1680" s="1740"/>
      <c r="CFP1680" s="1740"/>
      <c r="CFQ1680" s="1740"/>
      <c r="CFR1680" s="1740"/>
      <c r="CFS1680" s="1740"/>
      <c r="CFT1680" s="1740"/>
      <c r="CFU1680" s="1740"/>
      <c r="CFV1680" s="1740"/>
      <c r="CFW1680" s="1740"/>
      <c r="CFX1680" s="1740"/>
      <c r="CFY1680" s="1740"/>
      <c r="CFZ1680" s="1740"/>
      <c r="CGA1680" s="1740"/>
      <c r="CGB1680" s="1740"/>
      <c r="CGC1680" s="1740"/>
      <c r="CGD1680" s="1740"/>
      <c r="CGE1680" s="1740"/>
      <c r="CGF1680" s="1740"/>
      <c r="CGG1680" s="1740"/>
      <c r="CGH1680" s="1740"/>
      <c r="CGI1680" s="1740"/>
      <c r="CGJ1680" s="1740"/>
      <c r="CGK1680" s="1740"/>
      <c r="CGL1680" s="1740"/>
      <c r="CGM1680" s="1740"/>
      <c r="CGN1680" s="1740"/>
      <c r="CGO1680" s="1740"/>
      <c r="CGP1680" s="1740"/>
      <c r="CGQ1680" s="1740"/>
      <c r="CGR1680" s="1740"/>
      <c r="CGS1680" s="1740"/>
      <c r="CGT1680" s="1740"/>
      <c r="CGU1680" s="1740"/>
      <c r="CGV1680" s="1740"/>
      <c r="CGW1680" s="1740"/>
      <c r="CGX1680" s="1740"/>
      <c r="CGY1680" s="1740"/>
      <c r="CGZ1680" s="1740"/>
      <c r="CHA1680" s="1740"/>
      <c r="CHB1680" s="1740"/>
      <c r="CHC1680" s="1740"/>
      <c r="CHD1680" s="1740"/>
      <c r="CHE1680" s="1740"/>
      <c r="CHF1680" s="1740"/>
      <c r="CHG1680" s="1740"/>
      <c r="CHH1680" s="1740"/>
      <c r="CHI1680" s="1740"/>
      <c r="CHJ1680" s="1740"/>
      <c r="CHK1680" s="1740"/>
      <c r="CHL1680" s="1740"/>
      <c r="CHM1680" s="1740"/>
      <c r="CHN1680" s="1740"/>
      <c r="CHO1680" s="1740"/>
      <c r="CHP1680" s="1740"/>
      <c r="CHQ1680" s="1740"/>
      <c r="CHR1680" s="1740"/>
      <c r="CHS1680" s="1740"/>
      <c r="CHT1680" s="1740"/>
      <c r="CHU1680" s="1740"/>
      <c r="CHV1680" s="1740"/>
      <c r="CHW1680" s="1740"/>
      <c r="CHX1680" s="1740"/>
      <c r="CHY1680" s="1740"/>
      <c r="CHZ1680" s="1740"/>
      <c r="CIA1680" s="1740"/>
      <c r="CIB1680" s="1740"/>
      <c r="CIC1680" s="1740"/>
      <c r="CID1680" s="1740"/>
      <c r="CIE1680" s="1740"/>
      <c r="CIF1680" s="1740"/>
      <c r="CIG1680" s="1740"/>
      <c r="CIH1680" s="1740"/>
      <c r="CII1680" s="1740"/>
      <c r="CIJ1680" s="1740"/>
      <c r="CIK1680" s="1740"/>
      <c r="CIL1680" s="1740"/>
      <c r="CIM1680" s="1740"/>
      <c r="CIN1680" s="1740"/>
      <c r="CIO1680" s="1740"/>
      <c r="CIP1680" s="1740"/>
      <c r="CIQ1680" s="1740"/>
      <c r="CIR1680" s="1740"/>
      <c r="CIS1680" s="1740"/>
      <c r="CIT1680" s="1740"/>
      <c r="CIU1680" s="1740"/>
      <c r="CIV1680" s="1740"/>
      <c r="CIW1680" s="1740"/>
      <c r="CIX1680" s="1740"/>
      <c r="CIY1680" s="1740"/>
      <c r="CIZ1680" s="1740"/>
      <c r="CJA1680" s="1740"/>
      <c r="CJB1680" s="1740"/>
      <c r="CJC1680" s="1740"/>
      <c r="CJD1680" s="1740"/>
      <c r="CJE1680" s="1740"/>
      <c r="CJF1680" s="1740"/>
      <c r="CJG1680" s="1740"/>
      <c r="CJH1680" s="1740"/>
      <c r="CJI1680" s="1740"/>
      <c r="CJJ1680" s="1740"/>
      <c r="CJK1680" s="1740"/>
      <c r="CJL1680" s="1740"/>
      <c r="CJM1680" s="1740"/>
      <c r="CJN1680" s="1740"/>
      <c r="CJO1680" s="1740"/>
      <c r="CJP1680" s="1740"/>
      <c r="CJQ1680" s="1740"/>
      <c r="CJR1680" s="1740"/>
      <c r="CJS1680" s="1740"/>
      <c r="CJT1680" s="1740"/>
      <c r="CJU1680" s="1740"/>
      <c r="CJV1680" s="1740"/>
      <c r="CJW1680" s="1740"/>
      <c r="CJX1680" s="1740"/>
      <c r="CJY1680" s="1740"/>
      <c r="CJZ1680" s="1740"/>
      <c r="CKA1680" s="1740"/>
      <c r="CKB1680" s="1740"/>
      <c r="CKC1680" s="1740"/>
      <c r="CKD1680" s="1740"/>
      <c r="CKE1680" s="1740"/>
      <c r="CKF1680" s="1740"/>
      <c r="CKG1680" s="1740"/>
      <c r="CKH1680" s="1740"/>
      <c r="CKI1680" s="1740"/>
      <c r="CKJ1680" s="1740"/>
      <c r="CKK1680" s="1740"/>
      <c r="CKL1680" s="1740"/>
      <c r="CKM1680" s="1740"/>
      <c r="CKN1680" s="1740"/>
      <c r="CKO1680" s="1740"/>
      <c r="CKP1680" s="1740"/>
      <c r="CKQ1680" s="1740"/>
      <c r="CKR1680" s="1740"/>
      <c r="CKS1680" s="1740"/>
      <c r="CKT1680" s="1740"/>
      <c r="CKU1680" s="1740"/>
      <c r="CKV1680" s="1740"/>
      <c r="CKW1680" s="1740"/>
      <c r="CKX1680" s="1740"/>
      <c r="CKY1680" s="1740"/>
      <c r="CKZ1680" s="1740"/>
      <c r="CLA1680" s="1740"/>
      <c r="CLB1680" s="1740"/>
      <c r="CLC1680" s="1740"/>
      <c r="CLD1680" s="1740"/>
      <c r="CLE1680" s="1740"/>
      <c r="CLF1680" s="1740"/>
      <c r="CLG1680" s="1740"/>
      <c r="CLH1680" s="1740"/>
      <c r="CLI1680" s="1740"/>
      <c r="CLJ1680" s="1740"/>
      <c r="CLK1680" s="1740"/>
      <c r="CLL1680" s="1740"/>
      <c r="CLM1680" s="1740"/>
      <c r="CLN1680" s="1740"/>
      <c r="CLO1680" s="1740"/>
      <c r="CLP1680" s="1740"/>
      <c r="CLQ1680" s="1740"/>
      <c r="CLR1680" s="1740"/>
      <c r="CLS1680" s="1740"/>
      <c r="CLT1680" s="1740"/>
      <c r="CLU1680" s="1740"/>
      <c r="CLV1680" s="1740"/>
      <c r="CLW1680" s="1740"/>
      <c r="CLX1680" s="1740"/>
      <c r="CLY1680" s="1740"/>
      <c r="CLZ1680" s="1740"/>
      <c r="CMA1680" s="1740"/>
      <c r="CMB1680" s="1740"/>
      <c r="CMC1680" s="1740"/>
      <c r="CMD1680" s="1740"/>
      <c r="CME1680" s="1740"/>
      <c r="CMF1680" s="1740"/>
      <c r="CMG1680" s="1740"/>
      <c r="CMH1680" s="1740"/>
      <c r="CMI1680" s="1740"/>
      <c r="CMJ1680" s="1740"/>
      <c r="CMK1680" s="1740"/>
      <c r="CML1680" s="1740"/>
      <c r="CMM1680" s="1740"/>
      <c r="CMN1680" s="1740"/>
      <c r="CMO1680" s="1740"/>
      <c r="CMP1680" s="1740"/>
      <c r="CMQ1680" s="1740"/>
      <c r="CMR1680" s="1740"/>
      <c r="CMS1680" s="1740"/>
      <c r="CMT1680" s="1740"/>
      <c r="CMU1680" s="1740"/>
      <c r="CMV1680" s="1740"/>
      <c r="CMW1680" s="1740"/>
      <c r="CMX1680" s="1740"/>
      <c r="CMY1680" s="1740"/>
      <c r="CMZ1680" s="1740"/>
      <c r="CNA1680" s="1740"/>
      <c r="CNB1680" s="1740"/>
      <c r="CNC1680" s="1740"/>
      <c r="CND1680" s="1740"/>
      <c r="CNE1680" s="1740"/>
      <c r="CNF1680" s="1740"/>
      <c r="CNG1680" s="1740"/>
      <c r="CNH1680" s="1740"/>
      <c r="CNI1680" s="1740"/>
      <c r="CNJ1680" s="1740"/>
      <c r="CNK1680" s="1740"/>
      <c r="CNL1680" s="1740"/>
      <c r="CNM1680" s="1740"/>
      <c r="CNN1680" s="1740"/>
      <c r="CNO1680" s="1740"/>
      <c r="CNP1680" s="1740"/>
      <c r="CNQ1680" s="1740"/>
      <c r="CNR1680" s="1740"/>
      <c r="CNS1680" s="1740"/>
      <c r="CNT1680" s="1740"/>
      <c r="CNU1680" s="1740"/>
      <c r="CNV1680" s="1740"/>
      <c r="CNW1680" s="1740"/>
      <c r="CNX1680" s="1740"/>
      <c r="CNY1680" s="1740"/>
      <c r="CNZ1680" s="1740"/>
      <c r="COA1680" s="1740"/>
      <c r="COB1680" s="1740"/>
      <c r="COC1680" s="1740"/>
      <c r="COD1680" s="1740"/>
      <c r="COE1680" s="1740"/>
      <c r="COF1680" s="1740"/>
      <c r="COG1680" s="1740"/>
      <c r="COH1680" s="1740"/>
      <c r="COI1680" s="1740"/>
      <c r="COJ1680" s="1740"/>
      <c r="COK1680" s="1740"/>
      <c r="COL1680" s="1740"/>
      <c r="COM1680" s="1740"/>
      <c r="CON1680" s="1740"/>
      <c r="COO1680" s="1740"/>
      <c r="COP1680" s="1740"/>
      <c r="COQ1680" s="1740"/>
      <c r="COR1680" s="1740"/>
      <c r="COS1680" s="1740"/>
      <c r="COT1680" s="1740"/>
      <c r="COU1680" s="1740"/>
      <c r="COV1680" s="1740"/>
      <c r="COW1680" s="1740"/>
      <c r="COX1680" s="1740"/>
      <c r="COY1680" s="1740"/>
      <c r="COZ1680" s="1740"/>
      <c r="CPA1680" s="1740"/>
      <c r="CPB1680" s="1740"/>
      <c r="CPC1680" s="1740"/>
      <c r="CPD1680" s="1740"/>
      <c r="CPE1680" s="1740"/>
      <c r="CPF1680" s="1740"/>
      <c r="CPG1680" s="1740"/>
      <c r="CPH1680" s="1740"/>
      <c r="CPI1680" s="1740"/>
      <c r="CPJ1680" s="1740"/>
      <c r="CPK1680" s="1740"/>
      <c r="CPL1680" s="1740"/>
      <c r="CPM1680" s="1740"/>
      <c r="CPN1680" s="1740"/>
      <c r="CPO1680" s="1740"/>
      <c r="CPP1680" s="1740"/>
      <c r="CPQ1680" s="1740"/>
      <c r="CPR1680" s="1740"/>
      <c r="CPS1680" s="1740"/>
      <c r="CPT1680" s="1740"/>
      <c r="CPU1680" s="1740"/>
      <c r="CPV1680" s="1740"/>
      <c r="CPW1680" s="1740"/>
      <c r="CPX1680" s="1740"/>
      <c r="CPY1680" s="1740"/>
      <c r="CPZ1680" s="1740"/>
      <c r="CQA1680" s="1740"/>
      <c r="CQB1680" s="1740"/>
      <c r="CQC1680" s="1740"/>
      <c r="CQD1680" s="1740"/>
      <c r="CQE1680" s="1740"/>
      <c r="CQF1680" s="1740"/>
      <c r="CQG1680" s="1740"/>
      <c r="CQH1680" s="1740"/>
      <c r="CQI1680" s="1740"/>
      <c r="CQJ1680" s="1740"/>
      <c r="CQK1680" s="1740"/>
      <c r="CQL1680" s="1740"/>
      <c r="CQM1680" s="1740"/>
      <c r="CQN1680" s="1740"/>
      <c r="CQO1680" s="1740"/>
      <c r="CQP1680" s="1740"/>
      <c r="CQQ1680" s="1740"/>
      <c r="CQR1680" s="1740"/>
      <c r="CQS1680" s="1740"/>
      <c r="CQT1680" s="1740"/>
      <c r="CQU1680" s="1740"/>
      <c r="CQV1680" s="1740"/>
      <c r="CQW1680" s="1740"/>
      <c r="CQX1680" s="1740"/>
      <c r="CQY1680" s="1740"/>
      <c r="CQZ1680" s="1740"/>
      <c r="CRA1680" s="1740"/>
      <c r="CRB1680" s="1740"/>
      <c r="CRC1680" s="1740"/>
      <c r="CRD1680" s="1740"/>
      <c r="CRE1680" s="1740"/>
      <c r="CRF1680" s="1740"/>
      <c r="CRG1680" s="1740"/>
      <c r="CRH1680" s="1740"/>
      <c r="CRI1680" s="1740"/>
      <c r="CRJ1680" s="1740"/>
      <c r="CRK1680" s="1740"/>
      <c r="CRL1680" s="1740"/>
      <c r="CRM1680" s="1740"/>
      <c r="CRN1680" s="1740"/>
      <c r="CRO1680" s="1740"/>
      <c r="CRP1680" s="1740"/>
      <c r="CRQ1680" s="1740"/>
      <c r="CRR1680" s="1740"/>
      <c r="CRS1680" s="1740"/>
      <c r="CRT1680" s="1740"/>
      <c r="CRU1680" s="1740"/>
      <c r="CRV1680" s="1740"/>
      <c r="CRW1680" s="1740"/>
      <c r="CRX1680" s="1740"/>
      <c r="CRY1680" s="1740"/>
      <c r="CRZ1680" s="1740"/>
      <c r="CSA1680" s="1740"/>
      <c r="CSB1680" s="1740"/>
      <c r="CSC1680" s="1740"/>
      <c r="CSD1680" s="1740"/>
      <c r="CSE1680" s="1740"/>
      <c r="CSF1680" s="1740"/>
      <c r="CSG1680" s="1740"/>
      <c r="CSH1680" s="1740"/>
      <c r="CSI1680" s="1740"/>
      <c r="CSJ1680" s="1740"/>
      <c r="CSK1680" s="1740"/>
      <c r="CSL1680" s="1740"/>
      <c r="CSM1680" s="1740"/>
      <c r="CSN1680" s="1740"/>
      <c r="CSO1680" s="1740"/>
      <c r="CSP1680" s="1740"/>
      <c r="CSQ1680" s="1740"/>
      <c r="CSR1680" s="1740"/>
      <c r="CSS1680" s="1740"/>
      <c r="CST1680" s="1740"/>
      <c r="CSU1680" s="1740"/>
      <c r="CSV1680" s="1740"/>
      <c r="CSW1680" s="1740"/>
      <c r="CSX1680" s="1740"/>
      <c r="CSY1680" s="1740"/>
      <c r="CSZ1680" s="1740"/>
      <c r="CTA1680" s="1740"/>
      <c r="CTB1680" s="1740"/>
      <c r="CTC1680" s="1740"/>
      <c r="CTD1680" s="1740"/>
      <c r="CTE1680" s="1740"/>
      <c r="CTF1680" s="1740"/>
      <c r="CTG1680" s="1740"/>
      <c r="CTH1680" s="1740"/>
      <c r="CTI1680" s="1740"/>
      <c r="CTJ1680" s="1740"/>
      <c r="CTK1680" s="1740"/>
      <c r="CTL1680" s="1740"/>
      <c r="CTM1680" s="1740"/>
      <c r="CTN1680" s="1740"/>
      <c r="CTO1680" s="1740"/>
      <c r="CTP1680" s="1740"/>
      <c r="CTQ1680" s="1740"/>
      <c r="CTR1680" s="1740"/>
      <c r="CTS1680" s="1740"/>
      <c r="CTT1680" s="1740"/>
      <c r="CTU1680" s="1740"/>
      <c r="CTV1680" s="1740"/>
      <c r="CTW1680" s="1740"/>
      <c r="CTX1680" s="1740"/>
      <c r="CTY1680" s="1740"/>
      <c r="CTZ1680" s="1740"/>
      <c r="CUA1680" s="1740"/>
      <c r="CUB1680" s="1740"/>
      <c r="CUC1680" s="1740"/>
      <c r="CUD1680" s="1740"/>
      <c r="CUE1680" s="1740"/>
      <c r="CUF1680" s="1740"/>
      <c r="CUG1680" s="1740"/>
      <c r="CUH1680" s="1740"/>
      <c r="CUI1680" s="1740"/>
      <c r="CUJ1680" s="1740"/>
      <c r="CUK1680" s="1740"/>
      <c r="CUL1680" s="1740"/>
      <c r="CUM1680" s="1740"/>
      <c r="CUN1680" s="1740"/>
      <c r="CUO1680" s="1740"/>
      <c r="CUP1680" s="1740"/>
      <c r="CUQ1680" s="1740"/>
      <c r="CUR1680" s="1740"/>
      <c r="CUS1680" s="1740"/>
      <c r="CUT1680" s="1740"/>
      <c r="CUU1680" s="1740"/>
      <c r="CUV1680" s="1740"/>
      <c r="CUW1680" s="1740"/>
      <c r="CUX1680" s="1740"/>
      <c r="CUY1680" s="1740"/>
      <c r="CUZ1680" s="1740"/>
      <c r="CVA1680" s="1740"/>
      <c r="CVB1680" s="1740"/>
      <c r="CVC1680" s="1740"/>
      <c r="CVD1680" s="1740"/>
      <c r="CVE1680" s="1740"/>
      <c r="CVF1680" s="1740"/>
      <c r="CVG1680" s="1740"/>
      <c r="CVH1680" s="1740"/>
      <c r="CVI1680" s="1740"/>
      <c r="CVJ1680" s="1740"/>
      <c r="CVK1680" s="1740"/>
      <c r="CVL1680" s="1740"/>
      <c r="CVM1680" s="1740"/>
      <c r="CVN1680" s="1740"/>
      <c r="CVO1680" s="1740"/>
      <c r="CVP1680" s="1740"/>
      <c r="CVQ1680" s="1740"/>
      <c r="CVR1680" s="1740"/>
      <c r="CVS1680" s="1740"/>
      <c r="CVT1680" s="1740"/>
      <c r="CVU1680" s="1740"/>
      <c r="CVV1680" s="1740"/>
      <c r="CVW1680" s="1740"/>
      <c r="CVX1680" s="1740"/>
      <c r="CVY1680" s="1740"/>
      <c r="CVZ1680" s="1740"/>
      <c r="CWA1680" s="1740"/>
      <c r="CWB1680" s="1740"/>
      <c r="CWC1680" s="1740"/>
      <c r="CWD1680" s="1740"/>
      <c r="CWE1680" s="1740"/>
      <c r="CWF1680" s="1740"/>
      <c r="CWG1680" s="1740"/>
      <c r="CWH1680" s="1740"/>
      <c r="CWI1680" s="1740"/>
      <c r="CWJ1680" s="1740"/>
      <c r="CWK1680" s="1740"/>
      <c r="CWL1680" s="1740"/>
      <c r="CWM1680" s="1740"/>
      <c r="CWN1680" s="1740"/>
      <c r="CWO1680" s="1740"/>
      <c r="CWP1680" s="1740"/>
      <c r="CWQ1680" s="1740"/>
      <c r="CWR1680" s="1740"/>
      <c r="CWS1680" s="1740"/>
      <c r="CWT1680" s="1740"/>
      <c r="CWU1680" s="1740"/>
      <c r="CWV1680" s="1740"/>
      <c r="CWW1680" s="1740"/>
      <c r="CWX1680" s="1740"/>
      <c r="CWY1680" s="1740"/>
      <c r="CWZ1680" s="1740"/>
      <c r="CXA1680" s="1740"/>
      <c r="CXB1680" s="1740"/>
      <c r="CXC1680" s="1740"/>
      <c r="CXD1680" s="1740"/>
      <c r="CXE1680" s="1740"/>
      <c r="CXF1680" s="1740"/>
      <c r="CXG1680" s="1740"/>
      <c r="CXH1680" s="1740"/>
      <c r="CXI1680" s="1740"/>
      <c r="CXJ1680" s="1740"/>
      <c r="CXK1680" s="1740"/>
      <c r="CXL1680" s="1740"/>
      <c r="CXM1680" s="1740"/>
      <c r="CXN1680" s="1740"/>
      <c r="CXO1680" s="1740"/>
      <c r="CXP1680" s="1740"/>
      <c r="CXQ1680" s="1740"/>
      <c r="CXR1680" s="1740"/>
      <c r="CXS1680" s="1740"/>
      <c r="CXT1680" s="1740"/>
      <c r="CXU1680" s="1740"/>
      <c r="CXV1680" s="1740"/>
      <c r="CXW1680" s="1740"/>
      <c r="CXX1680" s="1740"/>
      <c r="CXY1680" s="1740"/>
      <c r="CXZ1680" s="1740"/>
      <c r="CYA1680" s="1740"/>
      <c r="CYB1680" s="1740"/>
      <c r="CYC1680" s="1740"/>
      <c r="CYD1680" s="1740"/>
      <c r="CYE1680" s="1740"/>
      <c r="CYF1680" s="1740"/>
      <c r="CYG1680" s="1740"/>
      <c r="CYH1680" s="1740"/>
      <c r="CYI1680" s="1740"/>
      <c r="CYJ1680" s="1740"/>
      <c r="CYK1680" s="1740"/>
      <c r="CYL1680" s="1740"/>
      <c r="CYM1680" s="1740"/>
      <c r="CYN1680" s="1740"/>
      <c r="CYO1680" s="1740"/>
      <c r="CYP1680" s="1740"/>
      <c r="CYQ1680" s="1740"/>
      <c r="CYR1680" s="1740"/>
      <c r="CYS1680" s="1740"/>
      <c r="CYT1680" s="1740"/>
      <c r="CYU1680" s="1740"/>
      <c r="CYV1680" s="1740"/>
      <c r="CYW1680" s="1740"/>
      <c r="CYX1680" s="1740"/>
      <c r="CYY1680" s="1740"/>
      <c r="CYZ1680" s="1740"/>
      <c r="CZA1680" s="1740"/>
      <c r="CZB1680" s="1740"/>
      <c r="CZC1680" s="1740"/>
      <c r="CZD1680" s="1740"/>
      <c r="CZE1680" s="1740"/>
      <c r="CZF1680" s="1740"/>
      <c r="CZG1680" s="1740"/>
      <c r="CZH1680" s="1740"/>
      <c r="CZI1680" s="1740"/>
      <c r="CZJ1680" s="1740"/>
      <c r="CZK1680" s="1740"/>
      <c r="CZL1680" s="1740"/>
      <c r="CZM1680" s="1740"/>
      <c r="CZN1680" s="1740"/>
      <c r="CZO1680" s="1740"/>
      <c r="CZP1680" s="1740"/>
      <c r="CZQ1680" s="1740"/>
      <c r="CZR1680" s="1740"/>
      <c r="CZS1680" s="1740"/>
      <c r="CZT1680" s="1740"/>
      <c r="CZU1680" s="1740"/>
      <c r="CZV1680" s="1740"/>
      <c r="CZW1680" s="1740"/>
      <c r="CZX1680" s="1740"/>
      <c r="CZY1680" s="1740"/>
      <c r="CZZ1680" s="1740"/>
      <c r="DAA1680" s="1740"/>
      <c r="DAB1680" s="1740"/>
      <c r="DAC1680" s="1740"/>
      <c r="DAD1680" s="1740"/>
      <c r="DAE1680" s="1740"/>
      <c r="DAF1680" s="1740"/>
      <c r="DAG1680" s="1740"/>
      <c r="DAH1680" s="1740"/>
      <c r="DAI1680" s="1740"/>
      <c r="DAJ1680" s="1740"/>
      <c r="DAK1680" s="1740"/>
      <c r="DAL1680" s="1740"/>
      <c r="DAM1680" s="1740"/>
      <c r="DAN1680" s="1740"/>
      <c r="DAO1680" s="1740"/>
      <c r="DAP1680" s="1740"/>
      <c r="DAQ1680" s="1740"/>
      <c r="DAR1680" s="1740"/>
      <c r="DAS1680" s="1740"/>
      <c r="DAT1680" s="1740"/>
      <c r="DAU1680" s="1740"/>
      <c r="DAV1680" s="1740"/>
      <c r="DAW1680" s="1740"/>
      <c r="DAX1680" s="1740"/>
      <c r="DAY1680" s="1740"/>
      <c r="DAZ1680" s="1740"/>
      <c r="DBA1680" s="1740"/>
      <c r="DBB1680" s="1740"/>
      <c r="DBC1680" s="1740"/>
      <c r="DBD1680" s="1740"/>
      <c r="DBE1680" s="1740"/>
      <c r="DBF1680" s="1740"/>
      <c r="DBG1680" s="1740"/>
      <c r="DBH1680" s="1740"/>
      <c r="DBI1680" s="1740"/>
      <c r="DBJ1680" s="1740"/>
      <c r="DBK1680" s="1740"/>
      <c r="DBL1680" s="1740"/>
      <c r="DBM1680" s="1740"/>
      <c r="DBN1680" s="1740"/>
      <c r="DBO1680" s="1740"/>
      <c r="DBP1680" s="1740"/>
      <c r="DBQ1680" s="1740"/>
      <c r="DBR1680" s="1740"/>
      <c r="DBS1680" s="1740"/>
      <c r="DBT1680" s="1740"/>
      <c r="DBU1680" s="1740"/>
      <c r="DBV1680" s="1740"/>
      <c r="DBW1680" s="1740"/>
      <c r="DBX1680" s="1740"/>
      <c r="DBY1680" s="1740"/>
      <c r="DBZ1680" s="1740"/>
      <c r="DCA1680" s="1740"/>
      <c r="DCB1680" s="1740"/>
      <c r="DCC1680" s="1740"/>
      <c r="DCD1680" s="1740"/>
      <c r="DCE1680" s="1740"/>
      <c r="DCF1680" s="1740"/>
      <c r="DCG1680" s="1740"/>
      <c r="DCH1680" s="1740"/>
      <c r="DCI1680" s="1740"/>
      <c r="DCJ1680" s="1740"/>
      <c r="DCK1680" s="1740"/>
      <c r="DCL1680" s="1740"/>
      <c r="DCM1680" s="1740"/>
      <c r="DCN1680" s="1740"/>
      <c r="DCO1680" s="1740"/>
      <c r="DCP1680" s="1740"/>
      <c r="DCQ1680" s="1740"/>
      <c r="DCR1680" s="1740"/>
      <c r="DCS1680" s="1740"/>
      <c r="DCT1680" s="1740"/>
      <c r="DCU1680" s="1740"/>
      <c r="DCV1680" s="1740"/>
      <c r="DCW1680" s="1740"/>
      <c r="DCX1680" s="1740"/>
      <c r="DCY1680" s="1740"/>
      <c r="DCZ1680" s="1740"/>
      <c r="DDA1680" s="1740"/>
      <c r="DDB1680" s="1740"/>
      <c r="DDC1680" s="1740"/>
      <c r="DDD1680" s="1740"/>
      <c r="DDE1680" s="1740"/>
      <c r="DDF1680" s="1740"/>
      <c r="DDG1680" s="1740"/>
      <c r="DDH1680" s="1740"/>
      <c r="DDI1680" s="1740"/>
      <c r="DDJ1680" s="1740"/>
      <c r="DDK1680" s="1740"/>
      <c r="DDL1680" s="1740"/>
      <c r="DDM1680" s="1740"/>
      <c r="DDN1680" s="1740"/>
      <c r="DDO1680" s="1740"/>
      <c r="DDP1680" s="1740"/>
      <c r="DDQ1680" s="1740"/>
      <c r="DDR1680" s="1740"/>
      <c r="DDS1680" s="1740"/>
      <c r="DDT1680" s="1740"/>
      <c r="DDU1680" s="1740"/>
      <c r="DDV1680" s="1740"/>
      <c r="DDW1680" s="1740"/>
      <c r="DDX1680" s="1740"/>
      <c r="DDY1680" s="1740"/>
      <c r="DDZ1680" s="1740"/>
      <c r="DEA1680" s="1740"/>
      <c r="DEB1680" s="1740"/>
      <c r="DEC1680" s="1740"/>
      <c r="DED1680" s="1740"/>
      <c r="DEE1680" s="1740"/>
      <c r="DEF1680" s="1740"/>
      <c r="DEG1680" s="1740"/>
      <c r="DEH1680" s="1740"/>
      <c r="DEI1680" s="1740"/>
      <c r="DEJ1680" s="1740"/>
      <c r="DEK1680" s="1740"/>
      <c r="DEL1680" s="1740"/>
      <c r="DEM1680" s="1740"/>
      <c r="DEN1680" s="1740"/>
      <c r="DEO1680" s="1740"/>
      <c r="DEP1680" s="1740"/>
      <c r="DEQ1680" s="1740"/>
      <c r="DER1680" s="1740"/>
      <c r="DES1680" s="1740"/>
      <c r="DET1680" s="1740"/>
      <c r="DEU1680" s="1740"/>
      <c r="DEV1680" s="1740"/>
      <c r="DEW1680" s="1740"/>
      <c r="DEX1680" s="1740"/>
      <c r="DEY1680" s="1740"/>
      <c r="DEZ1680" s="1740"/>
      <c r="DFA1680" s="1740"/>
      <c r="DFB1680" s="1740"/>
      <c r="DFC1680" s="1740"/>
      <c r="DFD1680" s="1740"/>
      <c r="DFE1680" s="1740"/>
      <c r="DFF1680" s="1740"/>
      <c r="DFG1680" s="1740"/>
      <c r="DFH1680" s="1740"/>
      <c r="DFI1680" s="1740"/>
      <c r="DFJ1680" s="1740"/>
      <c r="DFK1680" s="1740"/>
      <c r="DFL1680" s="1740"/>
      <c r="DFM1680" s="1740"/>
      <c r="DFN1680" s="1740"/>
      <c r="DFO1680" s="1740"/>
      <c r="DFP1680" s="1740"/>
      <c r="DFQ1680" s="1740"/>
      <c r="DFR1680" s="1740"/>
      <c r="DFS1680" s="1740"/>
      <c r="DFT1680" s="1740"/>
      <c r="DFU1680" s="1740"/>
      <c r="DFV1680" s="1740"/>
      <c r="DFW1680" s="1740"/>
      <c r="DFX1680" s="1740"/>
      <c r="DFY1680" s="1740"/>
      <c r="DFZ1680" s="1740"/>
      <c r="DGA1680" s="1740"/>
      <c r="DGB1680" s="1740"/>
      <c r="DGC1680" s="1740"/>
      <c r="DGD1680" s="1740"/>
      <c r="DGE1680" s="1740"/>
      <c r="DGF1680" s="1740"/>
      <c r="DGG1680" s="1740"/>
      <c r="DGH1680" s="1740"/>
      <c r="DGI1680" s="1740"/>
      <c r="DGJ1680" s="1740"/>
      <c r="DGK1680" s="1740"/>
      <c r="DGL1680" s="1740"/>
      <c r="DGM1680" s="1740"/>
      <c r="DGN1680" s="1740"/>
      <c r="DGO1680" s="1740"/>
      <c r="DGP1680" s="1740"/>
      <c r="DGQ1680" s="1740"/>
      <c r="DGR1680" s="1740"/>
      <c r="DGS1680" s="1740"/>
      <c r="DGT1680" s="1740"/>
      <c r="DGU1680" s="1740"/>
      <c r="DGV1680" s="1740"/>
      <c r="DGW1680" s="1740"/>
      <c r="DGX1680" s="1740"/>
      <c r="DGY1680" s="1740"/>
      <c r="DGZ1680" s="1740"/>
      <c r="DHA1680" s="1740"/>
      <c r="DHB1680" s="1740"/>
      <c r="DHC1680" s="1740"/>
      <c r="DHD1680" s="1740"/>
      <c r="DHE1680" s="1740"/>
      <c r="DHF1680" s="1740"/>
      <c r="DHG1680" s="1740"/>
      <c r="DHH1680" s="1740"/>
      <c r="DHI1680" s="1740"/>
      <c r="DHJ1680" s="1740"/>
      <c r="DHK1680" s="1740"/>
      <c r="DHL1680" s="1740"/>
      <c r="DHM1680" s="1740"/>
      <c r="DHN1680" s="1740"/>
      <c r="DHO1680" s="1740"/>
      <c r="DHP1680" s="1740"/>
      <c r="DHQ1680" s="1740"/>
      <c r="DHR1680" s="1740"/>
      <c r="DHS1680" s="1740"/>
      <c r="DHT1680" s="1740"/>
      <c r="DHU1680" s="1740"/>
      <c r="DHV1680" s="1740"/>
      <c r="DHW1680" s="1740"/>
      <c r="DHX1680" s="1740"/>
      <c r="DHY1680" s="1740"/>
      <c r="DHZ1680" s="1740"/>
      <c r="DIA1680" s="1740"/>
      <c r="DIB1680" s="1740"/>
      <c r="DIC1680" s="1740"/>
      <c r="DID1680" s="1740"/>
      <c r="DIE1680" s="1740"/>
      <c r="DIF1680" s="1740"/>
      <c r="DIG1680" s="1740"/>
      <c r="DIH1680" s="1740"/>
      <c r="DII1680" s="1740"/>
      <c r="DIJ1680" s="1740"/>
      <c r="DIK1680" s="1740"/>
      <c r="DIL1680" s="1740"/>
      <c r="DIM1680" s="1740"/>
      <c r="DIN1680" s="1740"/>
      <c r="DIO1680" s="1740"/>
      <c r="DIP1680" s="1740"/>
      <c r="DIQ1680" s="1740"/>
      <c r="DIR1680" s="1740"/>
      <c r="DIS1680" s="1740"/>
      <c r="DIT1680" s="1740"/>
      <c r="DIU1680" s="1740"/>
      <c r="DIV1680" s="1740"/>
      <c r="DIW1680" s="1740"/>
      <c r="DIX1680" s="1740"/>
      <c r="DIY1680" s="1740"/>
      <c r="DIZ1680" s="1740"/>
      <c r="DJA1680" s="1740"/>
      <c r="DJB1680" s="1740"/>
      <c r="DJC1680" s="1740"/>
      <c r="DJD1680" s="1740"/>
      <c r="DJE1680" s="1740"/>
      <c r="DJF1680" s="1740"/>
      <c r="DJG1680" s="1740"/>
      <c r="DJH1680" s="1740"/>
      <c r="DJI1680" s="1740"/>
      <c r="DJJ1680" s="1740"/>
      <c r="DJK1680" s="1740"/>
      <c r="DJL1680" s="1740"/>
      <c r="DJM1680" s="1740"/>
      <c r="DJN1680" s="1740"/>
      <c r="DJO1680" s="1740"/>
      <c r="DJP1680" s="1740"/>
      <c r="DJQ1680" s="1740"/>
      <c r="DJR1680" s="1740"/>
      <c r="DJS1680" s="1740"/>
      <c r="DJT1680" s="1740"/>
      <c r="DJU1680" s="1740"/>
      <c r="DJV1680" s="1740"/>
      <c r="DJW1680" s="1740"/>
      <c r="DJX1680" s="1740"/>
      <c r="DJY1680" s="1740"/>
      <c r="DJZ1680" s="1740"/>
      <c r="DKA1680" s="1740"/>
      <c r="DKB1680" s="1740"/>
      <c r="DKC1680" s="1740"/>
      <c r="DKD1680" s="1740"/>
      <c r="DKE1680" s="1740"/>
      <c r="DKF1680" s="1740"/>
      <c r="DKG1680" s="1740"/>
      <c r="DKH1680" s="1740"/>
      <c r="DKI1680" s="1740"/>
      <c r="DKJ1680" s="1740"/>
      <c r="DKK1680" s="1740"/>
      <c r="DKL1680" s="1740"/>
      <c r="DKM1680" s="1740"/>
      <c r="DKN1680" s="1740"/>
      <c r="DKO1680" s="1740"/>
      <c r="DKP1680" s="1740"/>
      <c r="DKQ1680" s="1740"/>
      <c r="DKR1680" s="1740"/>
      <c r="DKS1680" s="1740"/>
      <c r="DKT1680" s="1740"/>
      <c r="DKU1680" s="1740"/>
      <c r="DKV1680" s="1740"/>
      <c r="DKW1680" s="1740"/>
      <c r="DKX1680" s="1740"/>
      <c r="DKY1680" s="1740"/>
      <c r="DKZ1680" s="1740"/>
      <c r="DLA1680" s="1740"/>
      <c r="DLB1680" s="1740"/>
      <c r="DLC1680" s="1740"/>
      <c r="DLD1680" s="1740"/>
      <c r="DLE1680" s="1740"/>
      <c r="DLF1680" s="1740"/>
      <c r="DLG1680" s="1740"/>
      <c r="DLH1680" s="1740"/>
      <c r="DLI1680" s="1740"/>
      <c r="DLJ1680" s="1740"/>
      <c r="DLK1680" s="1740"/>
      <c r="DLL1680" s="1740"/>
      <c r="DLM1680" s="1740"/>
      <c r="DLN1680" s="1740"/>
      <c r="DLO1680" s="1740"/>
      <c r="DLP1680" s="1740"/>
      <c r="DLQ1680" s="1740"/>
      <c r="DLR1680" s="1740"/>
      <c r="DLS1680" s="1740"/>
      <c r="DLT1680" s="1740"/>
      <c r="DLU1680" s="1740"/>
      <c r="DLV1680" s="1740"/>
      <c r="DLW1680" s="1740"/>
      <c r="DLX1680" s="1740"/>
      <c r="DLY1680" s="1740"/>
      <c r="DLZ1680" s="1740"/>
      <c r="DMA1680" s="1740"/>
      <c r="DMB1680" s="1740"/>
      <c r="DMC1680" s="1740"/>
      <c r="DMD1680" s="1740"/>
      <c r="DME1680" s="1740"/>
      <c r="DMF1680" s="1740"/>
      <c r="DMG1680" s="1740"/>
      <c r="DMH1680" s="1740"/>
      <c r="DMI1680" s="1740"/>
      <c r="DMJ1680" s="1740"/>
      <c r="DMK1680" s="1740"/>
      <c r="DML1680" s="1740"/>
      <c r="DMM1680" s="1740"/>
      <c r="DMN1680" s="1740"/>
      <c r="DMO1680" s="1740"/>
      <c r="DMP1680" s="1740"/>
      <c r="DMQ1680" s="1740"/>
      <c r="DMR1680" s="1740"/>
      <c r="DMS1680" s="1740"/>
      <c r="DMT1680" s="1740"/>
      <c r="DMU1680" s="1740"/>
      <c r="DMV1680" s="1740"/>
      <c r="DMW1680" s="1740"/>
      <c r="DMX1680" s="1740"/>
      <c r="DMY1680" s="1740"/>
      <c r="DMZ1680" s="1740"/>
      <c r="DNA1680" s="1740"/>
      <c r="DNB1680" s="1740"/>
      <c r="DNC1680" s="1740"/>
      <c r="DND1680" s="1740"/>
      <c r="DNE1680" s="1740"/>
      <c r="DNF1680" s="1740"/>
      <c r="DNG1680" s="1740"/>
      <c r="DNH1680" s="1740"/>
      <c r="DNI1680" s="1740"/>
      <c r="DNJ1680" s="1740"/>
      <c r="DNK1680" s="1740"/>
      <c r="DNL1680" s="1740"/>
      <c r="DNM1680" s="1740"/>
      <c r="DNN1680" s="1740"/>
      <c r="DNO1680" s="1740"/>
      <c r="DNP1680" s="1740"/>
      <c r="DNQ1680" s="1740"/>
      <c r="DNR1680" s="1740"/>
      <c r="DNS1680" s="1740"/>
      <c r="DNT1680" s="1740"/>
      <c r="DNU1680" s="1740"/>
      <c r="DNV1680" s="1740"/>
      <c r="DNW1680" s="1740"/>
      <c r="DNX1680" s="1740"/>
      <c r="DNY1680" s="1740"/>
      <c r="DNZ1680" s="1740"/>
      <c r="DOA1680" s="1740"/>
      <c r="DOB1680" s="1740"/>
      <c r="DOC1680" s="1740"/>
      <c r="DOD1680" s="1740"/>
      <c r="DOE1680" s="1740"/>
      <c r="DOF1680" s="1740"/>
      <c r="DOG1680" s="1740"/>
      <c r="DOH1680" s="1740"/>
      <c r="DOI1680" s="1740"/>
      <c r="DOJ1680" s="1740"/>
      <c r="DOK1680" s="1740"/>
      <c r="DOL1680" s="1740"/>
      <c r="DOM1680" s="1740"/>
      <c r="DON1680" s="1740"/>
      <c r="DOO1680" s="1740"/>
      <c r="DOP1680" s="1740"/>
      <c r="DOQ1680" s="1740"/>
      <c r="DOR1680" s="1740"/>
      <c r="DOS1680" s="1740"/>
      <c r="DOT1680" s="1740"/>
      <c r="DOU1680" s="1740"/>
      <c r="DOV1680" s="1740"/>
      <c r="DOW1680" s="1740"/>
      <c r="DOX1680" s="1740"/>
      <c r="DOY1680" s="1740"/>
      <c r="DOZ1680" s="1740"/>
      <c r="DPA1680" s="1740"/>
      <c r="DPB1680" s="1740"/>
      <c r="DPC1680" s="1740"/>
      <c r="DPD1680" s="1740"/>
      <c r="DPE1680" s="1740"/>
      <c r="DPF1680" s="1740"/>
      <c r="DPG1680" s="1740"/>
      <c r="DPH1680" s="1740"/>
      <c r="DPI1680" s="1740"/>
      <c r="DPJ1680" s="1740"/>
      <c r="DPK1680" s="1740"/>
      <c r="DPL1680" s="1740"/>
      <c r="DPM1680" s="1740"/>
      <c r="DPN1680" s="1740"/>
      <c r="DPO1680" s="1740"/>
      <c r="DPP1680" s="1740"/>
      <c r="DPQ1680" s="1740"/>
      <c r="DPR1680" s="1740"/>
      <c r="DPS1680" s="1740"/>
      <c r="DPT1680" s="1740"/>
      <c r="DPU1680" s="1740"/>
      <c r="DPV1680" s="1740"/>
      <c r="DPW1680" s="1740"/>
      <c r="DPX1680" s="1740"/>
      <c r="DPY1680" s="1740"/>
      <c r="DPZ1680" s="1740"/>
      <c r="DQA1680" s="1740"/>
      <c r="DQB1680" s="1740"/>
      <c r="DQC1680" s="1740"/>
      <c r="DQD1680" s="1740"/>
      <c r="DQE1680" s="1740"/>
      <c r="DQF1680" s="1740"/>
      <c r="DQG1680" s="1740"/>
      <c r="DQH1680" s="1740"/>
      <c r="DQI1680" s="1740"/>
      <c r="DQJ1680" s="1740"/>
      <c r="DQK1680" s="1740"/>
      <c r="DQL1680" s="1740"/>
      <c r="DQM1680" s="1740"/>
      <c r="DQN1680" s="1740"/>
      <c r="DQO1680" s="1740"/>
      <c r="DQP1680" s="1740"/>
      <c r="DQQ1680" s="1740"/>
      <c r="DQR1680" s="1740"/>
      <c r="DQS1680" s="1740"/>
      <c r="DQT1680" s="1740"/>
      <c r="DQU1680" s="1740"/>
      <c r="DQV1680" s="1740"/>
      <c r="DQW1680" s="1740"/>
      <c r="DQX1680" s="1740"/>
      <c r="DQY1680" s="1740"/>
      <c r="DQZ1680" s="1740"/>
      <c r="DRA1680" s="1740"/>
      <c r="DRB1680" s="1740"/>
      <c r="DRC1680" s="1740"/>
      <c r="DRD1680" s="1740"/>
      <c r="DRE1680" s="1740"/>
      <c r="DRF1680" s="1740"/>
      <c r="DRG1680" s="1740"/>
      <c r="DRH1680" s="1740"/>
      <c r="DRI1680" s="1740"/>
      <c r="DRJ1680" s="1740"/>
      <c r="DRK1680" s="1740"/>
      <c r="DRL1680" s="1740"/>
      <c r="DRM1680" s="1740"/>
      <c r="DRN1680" s="1740"/>
      <c r="DRO1680" s="1740"/>
      <c r="DRP1680" s="1740"/>
      <c r="DRQ1680" s="1740"/>
      <c r="DRR1680" s="1740"/>
      <c r="DRS1680" s="1740"/>
      <c r="DRT1680" s="1740"/>
      <c r="DRU1680" s="1740"/>
      <c r="DRV1680" s="1740"/>
      <c r="DRW1680" s="1740"/>
      <c r="DRX1680" s="1740"/>
      <c r="DRY1680" s="1740"/>
      <c r="DRZ1680" s="1740"/>
      <c r="DSA1680" s="1740"/>
      <c r="DSB1680" s="1740"/>
      <c r="DSC1680" s="1740"/>
      <c r="DSD1680" s="1740"/>
      <c r="DSE1680" s="1740"/>
      <c r="DSF1680" s="1740"/>
      <c r="DSG1680" s="1740"/>
      <c r="DSH1680" s="1740"/>
      <c r="DSI1680" s="1740"/>
      <c r="DSJ1680" s="1740"/>
      <c r="DSK1680" s="1740"/>
      <c r="DSL1680" s="1740"/>
      <c r="DSM1680" s="1740"/>
      <c r="DSN1680" s="1740"/>
      <c r="DSO1680" s="1740"/>
      <c r="DSP1680" s="1740"/>
      <c r="DSQ1680" s="1740"/>
      <c r="DSR1680" s="1740"/>
      <c r="DSS1680" s="1740"/>
      <c r="DST1680" s="1740"/>
      <c r="DSU1680" s="1740"/>
      <c r="DSV1680" s="1740"/>
      <c r="DSW1680" s="1740"/>
      <c r="DSX1680" s="1740"/>
      <c r="DSY1680" s="1740"/>
      <c r="DSZ1680" s="1740"/>
      <c r="DTA1680" s="1740"/>
      <c r="DTB1680" s="1740"/>
      <c r="DTC1680" s="1740"/>
      <c r="DTD1680" s="1740"/>
      <c r="DTE1680" s="1740"/>
      <c r="DTF1680" s="1740"/>
      <c r="DTG1680" s="1740"/>
      <c r="DTH1680" s="1740"/>
      <c r="DTI1680" s="1740"/>
      <c r="DTJ1680" s="1740"/>
      <c r="DTK1680" s="1740"/>
      <c r="DTL1680" s="1740"/>
      <c r="DTM1680" s="1740"/>
      <c r="DTN1680" s="1740"/>
      <c r="DTO1680" s="1740"/>
      <c r="DTP1680" s="1740"/>
      <c r="DTQ1680" s="1740"/>
      <c r="DTR1680" s="1740"/>
      <c r="DTS1680" s="1740"/>
      <c r="DTT1680" s="1740"/>
      <c r="DTU1680" s="1740"/>
      <c r="DTV1680" s="1740"/>
      <c r="DTW1680" s="1740"/>
      <c r="DTX1680" s="1740"/>
      <c r="DTY1680" s="1740"/>
      <c r="DTZ1680" s="1740"/>
      <c r="DUA1680" s="1740"/>
      <c r="DUB1680" s="1740"/>
      <c r="DUC1680" s="1740"/>
      <c r="DUD1680" s="1740"/>
      <c r="DUE1680" s="1740"/>
      <c r="DUF1680" s="1740"/>
      <c r="DUG1680" s="1740"/>
      <c r="DUH1680" s="1740"/>
      <c r="DUI1680" s="1740"/>
      <c r="DUJ1680" s="1740"/>
      <c r="DUK1680" s="1740"/>
      <c r="DUL1680" s="1740"/>
      <c r="DUM1680" s="1740"/>
      <c r="DUN1680" s="1740"/>
      <c r="DUO1680" s="1740"/>
      <c r="DUP1680" s="1740"/>
      <c r="DUQ1680" s="1740"/>
      <c r="DUR1680" s="1740"/>
      <c r="DUS1680" s="1740"/>
      <c r="DUT1680" s="1740"/>
      <c r="DUU1680" s="1740"/>
      <c r="DUV1680" s="1740"/>
      <c r="DUW1680" s="1740"/>
      <c r="DUX1680" s="1740"/>
      <c r="DUY1680" s="1740"/>
      <c r="DUZ1680" s="1740"/>
      <c r="DVA1680" s="1740"/>
      <c r="DVB1680" s="1740"/>
      <c r="DVC1680" s="1740"/>
      <c r="DVD1680" s="1740"/>
      <c r="DVE1680" s="1740"/>
      <c r="DVF1680" s="1740"/>
      <c r="DVG1680" s="1740"/>
      <c r="DVH1680" s="1740"/>
      <c r="DVI1680" s="1740"/>
      <c r="DVJ1680" s="1740"/>
      <c r="DVK1680" s="1740"/>
      <c r="DVL1680" s="1740"/>
      <c r="DVM1680" s="1740"/>
      <c r="DVN1680" s="1740"/>
      <c r="DVO1680" s="1740"/>
      <c r="DVP1680" s="1740"/>
      <c r="DVQ1680" s="1740"/>
      <c r="DVR1680" s="1740"/>
      <c r="DVS1680" s="1740"/>
      <c r="DVT1680" s="1740"/>
      <c r="DVU1680" s="1740"/>
      <c r="DVV1680" s="1740"/>
      <c r="DVW1680" s="1740"/>
      <c r="DVX1680" s="1740"/>
      <c r="DVY1680" s="1740"/>
      <c r="DVZ1680" s="1740"/>
      <c r="DWA1680" s="1740"/>
      <c r="DWB1680" s="1740"/>
      <c r="DWC1680" s="1740"/>
      <c r="DWD1680" s="1740"/>
      <c r="DWE1680" s="1740"/>
      <c r="DWF1680" s="1740"/>
      <c r="DWG1680" s="1740"/>
      <c r="DWH1680" s="1740"/>
      <c r="DWI1680" s="1740"/>
      <c r="DWJ1680" s="1740"/>
      <c r="DWK1680" s="1740"/>
      <c r="DWL1680" s="1740"/>
      <c r="DWM1680" s="1740"/>
      <c r="DWN1680" s="1740"/>
      <c r="DWO1680" s="1740"/>
      <c r="DWP1680" s="1740"/>
      <c r="DWQ1680" s="1740"/>
      <c r="DWR1680" s="1740"/>
      <c r="DWS1680" s="1740"/>
      <c r="DWT1680" s="1740"/>
      <c r="DWU1680" s="1740"/>
      <c r="DWV1680" s="1740"/>
      <c r="DWW1680" s="1740"/>
      <c r="DWX1680" s="1740"/>
      <c r="DWY1680" s="1740"/>
      <c r="DWZ1680" s="1740"/>
      <c r="DXA1680" s="1740"/>
      <c r="DXB1680" s="1740"/>
      <c r="DXC1680" s="1740"/>
      <c r="DXD1680" s="1740"/>
      <c r="DXE1680" s="1740"/>
      <c r="DXF1680" s="1740"/>
      <c r="DXG1680" s="1740"/>
      <c r="DXH1680" s="1740"/>
      <c r="DXI1680" s="1740"/>
      <c r="DXJ1680" s="1740"/>
      <c r="DXK1680" s="1740"/>
      <c r="DXL1680" s="1740"/>
      <c r="DXM1680" s="1740"/>
      <c r="DXN1680" s="1740"/>
      <c r="DXO1680" s="1740"/>
      <c r="DXP1680" s="1740"/>
      <c r="DXQ1680" s="1740"/>
      <c r="DXR1680" s="1740"/>
      <c r="DXS1680" s="1740"/>
      <c r="DXT1680" s="1740"/>
      <c r="DXU1680" s="1740"/>
      <c r="DXV1680" s="1740"/>
      <c r="DXW1680" s="1740"/>
      <c r="DXX1680" s="1740"/>
      <c r="DXY1680" s="1740"/>
      <c r="DXZ1680" s="1740"/>
      <c r="DYA1680" s="1740"/>
      <c r="DYB1680" s="1740"/>
      <c r="DYC1680" s="1740"/>
      <c r="DYD1680" s="1740"/>
      <c r="DYE1680" s="1740"/>
      <c r="DYF1680" s="1740"/>
      <c r="DYG1680" s="1740"/>
      <c r="DYH1680" s="1740"/>
      <c r="DYI1680" s="1740"/>
      <c r="DYJ1680" s="1740"/>
      <c r="DYK1680" s="1740"/>
      <c r="DYL1680" s="1740"/>
      <c r="DYM1680" s="1740"/>
      <c r="DYN1680" s="1740"/>
      <c r="DYO1680" s="1740"/>
      <c r="DYP1680" s="1740"/>
      <c r="DYQ1680" s="1740"/>
      <c r="DYR1680" s="1740"/>
      <c r="DYS1680" s="1740"/>
      <c r="DYT1680" s="1740"/>
      <c r="DYU1680" s="1740"/>
      <c r="DYV1680" s="1740"/>
      <c r="DYW1680" s="1740"/>
      <c r="DYX1680" s="1740"/>
      <c r="DYY1680" s="1740"/>
      <c r="DYZ1680" s="1740"/>
      <c r="DZA1680" s="1740"/>
      <c r="DZB1680" s="1740"/>
      <c r="DZC1680" s="1740"/>
      <c r="DZD1680" s="1740"/>
      <c r="DZE1680" s="1740"/>
      <c r="DZF1680" s="1740"/>
      <c r="DZG1680" s="1740"/>
      <c r="DZH1680" s="1740"/>
      <c r="DZI1680" s="1740"/>
      <c r="DZJ1680" s="1740"/>
      <c r="DZK1680" s="1740"/>
      <c r="DZL1680" s="1740"/>
      <c r="DZM1680" s="1740"/>
      <c r="DZN1680" s="1740"/>
      <c r="DZO1680" s="1740"/>
      <c r="DZP1680" s="1740"/>
      <c r="DZQ1680" s="1740"/>
      <c r="DZR1680" s="1740"/>
      <c r="DZS1680" s="1740"/>
      <c r="DZT1680" s="1740"/>
      <c r="DZU1680" s="1740"/>
      <c r="DZV1680" s="1740"/>
      <c r="DZW1680" s="1740"/>
      <c r="DZX1680" s="1740"/>
      <c r="DZY1680" s="1740"/>
      <c r="DZZ1680" s="1740"/>
      <c r="EAA1680" s="1740"/>
      <c r="EAB1680" s="1740"/>
      <c r="EAC1680" s="1740"/>
      <c r="EAD1680" s="1740"/>
      <c r="EAE1680" s="1740"/>
      <c r="EAF1680" s="1740"/>
      <c r="EAG1680" s="1740"/>
      <c r="EAH1680" s="1740"/>
      <c r="EAI1680" s="1740"/>
      <c r="EAJ1680" s="1740"/>
      <c r="EAK1680" s="1740"/>
      <c r="EAL1680" s="1740"/>
      <c r="EAM1680" s="1740"/>
      <c r="EAN1680" s="1740"/>
      <c r="EAO1680" s="1740"/>
      <c r="EAP1680" s="1740"/>
      <c r="EAQ1680" s="1740"/>
      <c r="EAR1680" s="1740"/>
      <c r="EAS1680" s="1740"/>
      <c r="EAT1680" s="1740"/>
      <c r="EAU1680" s="1740"/>
      <c r="EAV1680" s="1740"/>
      <c r="EAW1680" s="1740"/>
      <c r="EAX1680" s="1740"/>
      <c r="EAY1680" s="1740"/>
      <c r="EAZ1680" s="1740"/>
      <c r="EBA1680" s="1740"/>
      <c r="EBB1680" s="1740"/>
      <c r="EBC1680" s="1740"/>
      <c r="EBD1680" s="1740"/>
      <c r="EBE1680" s="1740"/>
      <c r="EBF1680" s="1740"/>
      <c r="EBG1680" s="1740"/>
      <c r="EBH1680" s="1740"/>
      <c r="EBI1680" s="1740"/>
      <c r="EBJ1680" s="1740"/>
      <c r="EBK1680" s="1740"/>
      <c r="EBL1680" s="1740"/>
      <c r="EBM1680" s="1740"/>
      <c r="EBN1680" s="1740"/>
      <c r="EBO1680" s="1740"/>
      <c r="EBP1680" s="1740"/>
      <c r="EBQ1680" s="1740"/>
      <c r="EBR1680" s="1740"/>
      <c r="EBS1680" s="1740"/>
      <c r="EBT1680" s="1740"/>
      <c r="EBU1680" s="1740"/>
      <c r="EBV1680" s="1740"/>
      <c r="EBW1680" s="1740"/>
      <c r="EBX1680" s="1740"/>
      <c r="EBY1680" s="1740"/>
      <c r="EBZ1680" s="1740"/>
      <c r="ECA1680" s="1740"/>
      <c r="ECB1680" s="1740"/>
      <c r="ECC1680" s="1740"/>
      <c r="ECD1680" s="1740"/>
      <c r="ECE1680" s="1740"/>
      <c r="ECF1680" s="1740"/>
      <c r="ECG1680" s="1740"/>
      <c r="ECH1680" s="1740"/>
      <c r="ECI1680" s="1740"/>
      <c r="ECJ1680" s="1740"/>
      <c r="ECK1680" s="1740"/>
      <c r="ECL1680" s="1740"/>
      <c r="ECM1680" s="1740"/>
      <c r="ECN1680" s="1740"/>
      <c r="ECO1680" s="1740"/>
      <c r="ECP1680" s="1740"/>
      <c r="ECQ1680" s="1740"/>
      <c r="ECR1680" s="1740"/>
      <c r="ECS1680" s="1740"/>
      <c r="ECT1680" s="1740"/>
      <c r="ECU1680" s="1740"/>
      <c r="ECV1680" s="1740"/>
      <c r="ECW1680" s="1740"/>
      <c r="ECX1680" s="1740"/>
      <c r="ECY1680" s="1740"/>
      <c r="ECZ1680" s="1740"/>
      <c r="EDA1680" s="1740"/>
      <c r="EDB1680" s="1740"/>
      <c r="EDC1680" s="1740"/>
      <c r="EDD1680" s="1740"/>
      <c r="EDE1680" s="1740"/>
      <c r="EDF1680" s="1740"/>
      <c r="EDG1680" s="1740"/>
      <c r="EDH1680" s="1740"/>
      <c r="EDI1680" s="1740"/>
      <c r="EDJ1680" s="1740"/>
      <c r="EDK1680" s="1740"/>
      <c r="EDL1680" s="1740"/>
      <c r="EDM1680" s="1740"/>
      <c r="EDN1680" s="1740"/>
      <c r="EDO1680" s="1740"/>
      <c r="EDP1680" s="1740"/>
      <c r="EDQ1680" s="1740"/>
      <c r="EDR1680" s="1740"/>
      <c r="EDS1680" s="1740"/>
      <c r="EDT1680" s="1740"/>
      <c r="EDU1680" s="1740"/>
      <c r="EDV1680" s="1740"/>
      <c r="EDW1680" s="1740"/>
      <c r="EDX1680" s="1740"/>
      <c r="EDY1680" s="1740"/>
      <c r="EDZ1680" s="1740"/>
      <c r="EEA1680" s="1740"/>
      <c r="EEB1680" s="1740"/>
      <c r="EEC1680" s="1740"/>
      <c r="EED1680" s="1740"/>
      <c r="EEE1680" s="1740"/>
      <c r="EEF1680" s="1740"/>
      <c r="EEG1680" s="1740"/>
      <c r="EEH1680" s="1740"/>
      <c r="EEI1680" s="1740"/>
      <c r="EEJ1680" s="1740"/>
      <c r="EEK1680" s="1740"/>
      <c r="EEL1680" s="1740"/>
      <c r="EEM1680" s="1740"/>
      <c r="EEN1680" s="1740"/>
      <c r="EEO1680" s="1740"/>
      <c r="EEP1680" s="1740"/>
      <c r="EEQ1680" s="1740"/>
      <c r="EER1680" s="1740"/>
      <c r="EES1680" s="1740"/>
      <c r="EET1680" s="1740"/>
      <c r="EEU1680" s="1740"/>
      <c r="EEV1680" s="1740"/>
      <c r="EEW1680" s="1740"/>
      <c r="EEX1680" s="1740"/>
      <c r="EEY1680" s="1740"/>
      <c r="EEZ1680" s="1740"/>
      <c r="EFA1680" s="1740"/>
      <c r="EFB1680" s="1740"/>
      <c r="EFC1680" s="1740"/>
      <c r="EFD1680" s="1740"/>
      <c r="EFE1680" s="1740"/>
      <c r="EFF1680" s="1740"/>
      <c r="EFG1680" s="1740"/>
      <c r="EFH1680" s="1740"/>
      <c r="EFI1680" s="1740"/>
      <c r="EFJ1680" s="1740"/>
      <c r="EFK1680" s="1740"/>
      <c r="EFL1680" s="1740"/>
      <c r="EFM1680" s="1740"/>
      <c r="EFN1680" s="1740"/>
      <c r="EFO1680" s="1740"/>
      <c r="EFP1680" s="1740"/>
      <c r="EFQ1680" s="1740"/>
      <c r="EFR1680" s="1740"/>
      <c r="EFS1680" s="1740"/>
      <c r="EFT1680" s="1740"/>
      <c r="EFU1680" s="1740"/>
      <c r="EFV1680" s="1740"/>
      <c r="EFW1680" s="1740"/>
      <c r="EFX1680" s="1740"/>
      <c r="EFY1680" s="1740"/>
      <c r="EFZ1680" s="1740"/>
      <c r="EGA1680" s="1740"/>
      <c r="EGB1680" s="1740"/>
      <c r="EGC1680" s="1740"/>
      <c r="EGD1680" s="1740"/>
      <c r="EGE1680" s="1740"/>
      <c r="EGF1680" s="1740"/>
      <c r="EGG1680" s="1740"/>
      <c r="EGH1680" s="1740"/>
      <c r="EGI1680" s="1740"/>
      <c r="EGJ1680" s="1740"/>
      <c r="EGK1680" s="1740"/>
      <c r="EGL1680" s="1740"/>
      <c r="EGM1680" s="1740"/>
      <c r="EGN1680" s="1740"/>
      <c r="EGO1680" s="1740"/>
      <c r="EGP1680" s="1740"/>
      <c r="EGQ1680" s="1740"/>
      <c r="EGR1680" s="1740"/>
      <c r="EGS1680" s="1740"/>
      <c r="EGT1680" s="1740"/>
      <c r="EGU1680" s="1740"/>
      <c r="EGV1680" s="1740"/>
      <c r="EGW1680" s="1740"/>
      <c r="EGX1680" s="1740"/>
      <c r="EGY1680" s="1740"/>
      <c r="EGZ1680" s="1740"/>
      <c r="EHA1680" s="1740"/>
      <c r="EHB1680" s="1740"/>
      <c r="EHC1680" s="1740"/>
      <c r="EHD1680" s="1740"/>
      <c r="EHE1680" s="1740"/>
      <c r="EHF1680" s="1740"/>
      <c r="EHG1680" s="1740"/>
      <c r="EHH1680" s="1740"/>
      <c r="EHI1680" s="1740"/>
      <c r="EHJ1680" s="1740"/>
      <c r="EHK1680" s="1740"/>
      <c r="EHL1680" s="1740"/>
      <c r="EHM1680" s="1740"/>
      <c r="EHN1680" s="1740"/>
      <c r="EHO1680" s="1740"/>
      <c r="EHP1680" s="1740"/>
      <c r="EHQ1680" s="1740"/>
      <c r="EHR1680" s="1740"/>
      <c r="EHS1680" s="1740"/>
      <c r="EHT1680" s="1740"/>
      <c r="EHU1680" s="1740"/>
      <c r="EHV1680" s="1740"/>
      <c r="EHW1680" s="1740"/>
      <c r="EHX1680" s="1740"/>
      <c r="EHY1680" s="1740"/>
      <c r="EHZ1680" s="1740"/>
      <c r="EIA1680" s="1740"/>
      <c r="EIB1680" s="1740"/>
      <c r="EIC1680" s="1740"/>
      <c r="EID1680" s="1740"/>
      <c r="EIE1680" s="1740"/>
      <c r="EIF1680" s="1740"/>
      <c r="EIG1680" s="1740"/>
      <c r="EIH1680" s="1740"/>
      <c r="EII1680" s="1740"/>
      <c r="EIJ1680" s="1740"/>
      <c r="EIK1680" s="1740"/>
      <c r="EIL1680" s="1740"/>
      <c r="EIM1680" s="1740"/>
      <c r="EIN1680" s="1740"/>
      <c r="EIO1680" s="1740"/>
      <c r="EIP1680" s="1740"/>
      <c r="EIQ1680" s="1740"/>
      <c r="EIR1680" s="1740"/>
      <c r="EIS1680" s="1740"/>
      <c r="EIT1680" s="1740"/>
      <c r="EIU1680" s="1740"/>
      <c r="EIV1680" s="1740"/>
      <c r="EIW1680" s="1740"/>
      <c r="EIX1680" s="1740"/>
      <c r="EIY1680" s="1740"/>
      <c r="EIZ1680" s="1740"/>
      <c r="EJA1680" s="1740"/>
      <c r="EJB1680" s="1740"/>
      <c r="EJC1680" s="1740"/>
      <c r="EJD1680" s="1740"/>
      <c r="EJE1680" s="1740"/>
      <c r="EJF1680" s="1740"/>
      <c r="EJG1680" s="1740"/>
      <c r="EJH1680" s="1740"/>
      <c r="EJI1680" s="1740"/>
      <c r="EJJ1680" s="1740"/>
      <c r="EJK1680" s="1740"/>
      <c r="EJL1680" s="1740"/>
      <c r="EJM1680" s="1740"/>
      <c r="EJN1680" s="1740"/>
      <c r="EJO1680" s="1740"/>
      <c r="EJP1680" s="1740"/>
      <c r="EJQ1680" s="1740"/>
      <c r="EJR1680" s="1740"/>
      <c r="EJS1680" s="1740"/>
      <c r="EJT1680" s="1740"/>
      <c r="EJU1680" s="1740"/>
      <c r="EJV1680" s="1740"/>
      <c r="EJW1680" s="1740"/>
      <c r="EJX1680" s="1740"/>
      <c r="EJY1680" s="1740"/>
      <c r="EJZ1680" s="1740"/>
      <c r="EKA1680" s="1740"/>
      <c r="EKB1680" s="1740"/>
      <c r="EKC1680" s="1740"/>
      <c r="EKD1680" s="1740"/>
      <c r="EKE1680" s="1740"/>
      <c r="EKF1680" s="1740"/>
      <c r="EKG1680" s="1740"/>
      <c r="EKH1680" s="1740"/>
      <c r="EKI1680" s="1740"/>
      <c r="EKJ1680" s="1740"/>
      <c r="EKK1680" s="1740"/>
      <c r="EKL1680" s="1740"/>
      <c r="EKM1680" s="1740"/>
      <c r="EKN1680" s="1740"/>
      <c r="EKO1680" s="1740"/>
      <c r="EKP1680" s="1740"/>
      <c r="EKQ1680" s="1740"/>
      <c r="EKR1680" s="1740"/>
      <c r="EKS1680" s="1740"/>
      <c r="EKT1680" s="1740"/>
      <c r="EKU1680" s="1740"/>
      <c r="EKV1680" s="1740"/>
      <c r="EKW1680" s="1740"/>
      <c r="EKX1680" s="1740"/>
      <c r="EKY1680" s="1740"/>
      <c r="EKZ1680" s="1740"/>
      <c r="ELA1680" s="1740"/>
      <c r="ELB1680" s="1740"/>
      <c r="ELC1680" s="1740"/>
      <c r="ELD1680" s="1740"/>
      <c r="ELE1680" s="1740"/>
      <c r="ELF1680" s="1740"/>
      <c r="ELG1680" s="1740"/>
      <c r="ELH1680" s="1740"/>
      <c r="ELI1680" s="1740"/>
      <c r="ELJ1680" s="1740"/>
      <c r="ELK1680" s="1740"/>
      <c r="ELL1680" s="1740"/>
      <c r="ELM1680" s="1740"/>
      <c r="ELN1680" s="1740"/>
      <c r="ELO1680" s="1740"/>
      <c r="ELP1680" s="1740"/>
      <c r="ELQ1680" s="1740"/>
      <c r="ELR1680" s="1740"/>
      <c r="ELS1680" s="1740"/>
      <c r="ELT1680" s="1740"/>
      <c r="ELU1680" s="1740"/>
      <c r="ELV1680" s="1740"/>
      <c r="ELW1680" s="1740"/>
      <c r="ELX1680" s="1740"/>
      <c r="ELY1680" s="1740"/>
      <c r="ELZ1680" s="1740"/>
      <c r="EMA1680" s="1740"/>
      <c r="EMB1680" s="1740"/>
      <c r="EMC1680" s="1740"/>
      <c r="EMD1680" s="1740"/>
      <c r="EME1680" s="1740"/>
      <c r="EMF1680" s="1740"/>
      <c r="EMG1680" s="1740"/>
      <c r="EMH1680" s="1740"/>
      <c r="EMI1680" s="1740"/>
      <c r="EMJ1680" s="1740"/>
      <c r="EMK1680" s="1740"/>
      <c r="EML1680" s="1740"/>
      <c r="EMM1680" s="1740"/>
      <c r="EMN1680" s="1740"/>
      <c r="EMO1680" s="1740"/>
      <c r="EMP1680" s="1740"/>
      <c r="EMQ1680" s="1740"/>
      <c r="EMR1680" s="1740"/>
      <c r="EMS1680" s="1740"/>
      <c r="EMT1680" s="1740"/>
      <c r="EMU1680" s="1740"/>
      <c r="EMV1680" s="1740"/>
      <c r="EMW1680" s="1740"/>
      <c r="EMX1680" s="1740"/>
      <c r="EMY1680" s="1740"/>
      <c r="EMZ1680" s="1740"/>
      <c r="ENA1680" s="1740"/>
      <c r="ENB1680" s="1740"/>
      <c r="ENC1680" s="1740"/>
      <c r="END1680" s="1740"/>
      <c r="ENE1680" s="1740"/>
      <c r="ENF1680" s="1740"/>
      <c r="ENG1680" s="1740"/>
      <c r="ENH1680" s="1740"/>
      <c r="ENI1680" s="1740"/>
      <c r="ENJ1680" s="1740"/>
      <c r="ENK1680" s="1740"/>
      <c r="ENL1680" s="1740"/>
      <c r="ENM1680" s="1740"/>
      <c r="ENN1680" s="1740"/>
      <c r="ENO1680" s="1740"/>
      <c r="ENP1680" s="1740"/>
      <c r="ENQ1680" s="1740"/>
      <c r="ENR1680" s="1740"/>
      <c r="ENS1680" s="1740"/>
      <c r="ENT1680" s="1740"/>
      <c r="ENU1680" s="1740"/>
      <c r="ENV1680" s="1740"/>
      <c r="ENW1680" s="1740"/>
      <c r="ENX1680" s="1740"/>
      <c r="ENY1680" s="1740"/>
      <c r="ENZ1680" s="1740"/>
      <c r="EOA1680" s="1740"/>
      <c r="EOB1680" s="1740"/>
      <c r="EOC1680" s="1740"/>
      <c r="EOD1680" s="1740"/>
      <c r="EOE1680" s="1740"/>
      <c r="EOF1680" s="1740"/>
      <c r="EOG1680" s="1740"/>
      <c r="EOH1680" s="1740"/>
      <c r="EOI1680" s="1740"/>
      <c r="EOJ1680" s="1740"/>
      <c r="EOK1680" s="1740"/>
      <c r="EOL1680" s="1740"/>
      <c r="EOM1680" s="1740"/>
      <c r="EON1680" s="1740"/>
      <c r="EOO1680" s="1740"/>
      <c r="EOP1680" s="1740"/>
      <c r="EOQ1680" s="1740"/>
      <c r="EOR1680" s="1740"/>
      <c r="EOS1680" s="1740"/>
      <c r="EOT1680" s="1740"/>
      <c r="EOU1680" s="1740"/>
      <c r="EOV1680" s="1740"/>
      <c r="EOW1680" s="1740"/>
      <c r="EOX1680" s="1740"/>
      <c r="EOY1680" s="1740"/>
      <c r="EOZ1680" s="1740"/>
      <c r="EPA1680" s="1740"/>
      <c r="EPB1680" s="1740"/>
      <c r="EPC1680" s="1740"/>
      <c r="EPD1680" s="1740"/>
      <c r="EPE1680" s="1740"/>
      <c r="EPF1680" s="1740"/>
      <c r="EPG1680" s="1740"/>
      <c r="EPH1680" s="1740"/>
      <c r="EPI1680" s="1740"/>
      <c r="EPJ1680" s="1740"/>
      <c r="EPK1680" s="1740"/>
      <c r="EPL1680" s="1740"/>
      <c r="EPM1680" s="1740"/>
      <c r="EPN1680" s="1740"/>
      <c r="EPO1680" s="1740"/>
      <c r="EPP1680" s="1740"/>
      <c r="EPQ1680" s="1740"/>
      <c r="EPR1680" s="1740"/>
      <c r="EPS1680" s="1740"/>
      <c r="EPT1680" s="1740"/>
      <c r="EPU1680" s="1740"/>
      <c r="EPV1680" s="1740"/>
      <c r="EPW1680" s="1740"/>
      <c r="EPX1680" s="1740"/>
      <c r="EPY1680" s="1740"/>
      <c r="EPZ1680" s="1740"/>
      <c r="EQA1680" s="1740"/>
      <c r="EQB1680" s="1740"/>
      <c r="EQC1680" s="1740"/>
      <c r="EQD1680" s="1740"/>
      <c r="EQE1680" s="1740"/>
      <c r="EQF1680" s="1740"/>
      <c r="EQG1680" s="1740"/>
      <c r="EQH1680" s="1740"/>
      <c r="EQI1680" s="1740"/>
      <c r="EQJ1680" s="1740"/>
      <c r="EQK1680" s="1740"/>
      <c r="EQL1680" s="1740"/>
      <c r="EQM1680" s="1740"/>
      <c r="EQN1680" s="1740"/>
      <c r="EQO1680" s="1740"/>
      <c r="EQP1680" s="1740"/>
      <c r="EQQ1680" s="1740"/>
      <c r="EQR1680" s="1740"/>
      <c r="EQS1680" s="1740"/>
      <c r="EQT1680" s="1740"/>
      <c r="EQU1680" s="1740"/>
      <c r="EQV1680" s="1740"/>
      <c r="EQW1680" s="1740"/>
      <c r="EQX1680" s="1740"/>
      <c r="EQY1680" s="1740"/>
      <c r="EQZ1680" s="1740"/>
      <c r="ERA1680" s="1740"/>
      <c r="ERB1680" s="1740"/>
      <c r="ERC1680" s="1740"/>
      <c r="ERD1680" s="1740"/>
      <c r="ERE1680" s="1740"/>
      <c r="ERF1680" s="1740"/>
      <c r="ERG1680" s="1740"/>
      <c r="ERH1680" s="1740"/>
      <c r="ERI1680" s="1740"/>
      <c r="ERJ1680" s="1740"/>
      <c r="ERK1680" s="1740"/>
      <c r="ERL1680" s="1740"/>
      <c r="ERM1680" s="1740"/>
      <c r="ERN1680" s="1740"/>
      <c r="ERO1680" s="1740"/>
      <c r="ERP1680" s="1740"/>
      <c r="ERQ1680" s="1740"/>
      <c r="ERR1680" s="1740"/>
      <c r="ERS1680" s="1740"/>
      <c r="ERT1680" s="1740"/>
      <c r="ERU1680" s="1740"/>
      <c r="ERV1680" s="1740"/>
      <c r="ERW1680" s="1740"/>
      <c r="ERX1680" s="1740"/>
      <c r="ERY1680" s="1740"/>
      <c r="ERZ1680" s="1740"/>
      <c r="ESA1680" s="1740"/>
      <c r="ESB1680" s="1740"/>
      <c r="ESC1680" s="1740"/>
      <c r="ESD1680" s="1740"/>
      <c r="ESE1680" s="1740"/>
      <c r="ESF1680" s="1740"/>
      <c r="ESG1680" s="1740"/>
      <c r="ESH1680" s="1740"/>
      <c r="ESI1680" s="1740"/>
      <c r="ESJ1680" s="1740"/>
      <c r="ESK1680" s="1740"/>
      <c r="ESL1680" s="1740"/>
      <c r="ESM1680" s="1740"/>
      <c r="ESN1680" s="1740"/>
      <c r="ESO1680" s="1740"/>
      <c r="ESP1680" s="1740"/>
      <c r="ESQ1680" s="1740"/>
      <c r="ESR1680" s="1740"/>
      <c r="ESS1680" s="1740"/>
      <c r="EST1680" s="1740"/>
      <c r="ESU1680" s="1740"/>
      <c r="ESV1680" s="1740"/>
      <c r="ESW1680" s="1740"/>
      <c r="ESX1680" s="1740"/>
      <c r="ESY1680" s="1740"/>
      <c r="ESZ1680" s="1740"/>
      <c r="ETA1680" s="1740"/>
      <c r="ETB1680" s="1740"/>
      <c r="ETC1680" s="1740"/>
      <c r="ETD1680" s="1740"/>
      <c r="ETE1680" s="1740"/>
      <c r="ETF1680" s="1740"/>
      <c r="ETG1680" s="1740"/>
      <c r="ETH1680" s="1740"/>
      <c r="ETI1680" s="1740"/>
      <c r="ETJ1680" s="1740"/>
      <c r="ETK1680" s="1740"/>
      <c r="ETL1680" s="1740"/>
      <c r="ETM1680" s="1740"/>
      <c r="ETN1680" s="1740"/>
      <c r="ETO1680" s="1740"/>
      <c r="ETP1680" s="1740"/>
      <c r="ETQ1680" s="1740"/>
      <c r="ETR1680" s="1740"/>
      <c r="ETS1680" s="1740"/>
      <c r="ETT1680" s="1740"/>
      <c r="ETU1680" s="1740"/>
      <c r="ETV1680" s="1740"/>
      <c r="ETW1680" s="1740"/>
      <c r="ETX1680" s="1740"/>
      <c r="ETY1680" s="1740"/>
      <c r="ETZ1680" s="1740"/>
      <c r="EUA1680" s="1740"/>
      <c r="EUB1680" s="1740"/>
      <c r="EUC1680" s="1740"/>
      <c r="EUD1680" s="1740"/>
      <c r="EUE1680" s="1740"/>
      <c r="EUF1680" s="1740"/>
      <c r="EUG1680" s="1740"/>
      <c r="EUH1680" s="1740"/>
      <c r="EUI1680" s="1740"/>
      <c r="EUJ1680" s="1740"/>
      <c r="EUK1680" s="1740"/>
      <c r="EUL1680" s="1740"/>
      <c r="EUM1680" s="1740"/>
      <c r="EUN1680" s="1740"/>
      <c r="EUO1680" s="1740"/>
      <c r="EUP1680" s="1740"/>
      <c r="EUQ1680" s="1740"/>
      <c r="EUR1680" s="1740"/>
      <c r="EUS1680" s="1740"/>
      <c r="EUT1680" s="1740"/>
      <c r="EUU1680" s="1740"/>
      <c r="EUV1680" s="1740"/>
      <c r="EUW1680" s="1740"/>
      <c r="EUX1680" s="1740"/>
      <c r="EUY1680" s="1740"/>
      <c r="EUZ1680" s="1740"/>
      <c r="EVA1680" s="1740"/>
      <c r="EVB1680" s="1740"/>
      <c r="EVC1680" s="1740"/>
      <c r="EVD1680" s="1740"/>
      <c r="EVE1680" s="1740"/>
      <c r="EVF1680" s="1740"/>
      <c r="EVG1680" s="1740"/>
      <c r="EVH1680" s="1740"/>
      <c r="EVI1680" s="1740"/>
      <c r="EVJ1680" s="1740"/>
      <c r="EVK1680" s="1740"/>
      <c r="EVL1680" s="1740"/>
      <c r="EVM1680" s="1740"/>
      <c r="EVN1680" s="1740"/>
      <c r="EVO1680" s="1740"/>
      <c r="EVP1680" s="1740"/>
      <c r="EVQ1680" s="1740"/>
      <c r="EVR1680" s="1740"/>
      <c r="EVS1680" s="1740"/>
      <c r="EVT1680" s="1740"/>
      <c r="EVU1680" s="1740"/>
      <c r="EVV1680" s="1740"/>
      <c r="EVW1680" s="1740"/>
      <c r="EVX1680" s="1740"/>
      <c r="EVY1680" s="1740"/>
      <c r="EVZ1680" s="1740"/>
      <c r="EWA1680" s="1740"/>
      <c r="EWB1680" s="1740"/>
      <c r="EWC1680" s="1740"/>
      <c r="EWD1680" s="1740"/>
      <c r="EWE1680" s="1740"/>
      <c r="EWF1680" s="1740"/>
      <c r="EWG1680" s="1740"/>
      <c r="EWH1680" s="1740"/>
      <c r="EWI1680" s="1740"/>
      <c r="EWJ1680" s="1740"/>
      <c r="EWK1680" s="1740"/>
      <c r="EWL1680" s="1740"/>
      <c r="EWM1680" s="1740"/>
      <c r="EWN1680" s="1740"/>
      <c r="EWO1680" s="1740"/>
      <c r="EWP1680" s="1740"/>
      <c r="EWQ1680" s="1740"/>
      <c r="EWR1680" s="1740"/>
      <c r="EWS1680" s="1740"/>
      <c r="EWT1680" s="1740"/>
      <c r="EWU1680" s="1740"/>
      <c r="EWV1680" s="1740"/>
      <c r="EWW1680" s="1740"/>
      <c r="EWX1680" s="1740"/>
      <c r="EWY1680" s="1740"/>
      <c r="EWZ1680" s="1740"/>
      <c r="EXA1680" s="1740"/>
      <c r="EXB1680" s="1740"/>
      <c r="EXC1680" s="1740"/>
      <c r="EXD1680" s="1740"/>
      <c r="EXE1680" s="1740"/>
      <c r="EXF1680" s="1740"/>
      <c r="EXG1680" s="1740"/>
      <c r="EXH1680" s="1740"/>
      <c r="EXI1680" s="1740"/>
      <c r="EXJ1680" s="1740"/>
      <c r="EXK1680" s="1740"/>
      <c r="EXL1680" s="1740"/>
      <c r="EXM1680" s="1740"/>
      <c r="EXN1680" s="1740"/>
      <c r="EXO1680" s="1740"/>
      <c r="EXP1680" s="1740"/>
      <c r="EXQ1680" s="1740"/>
      <c r="EXR1680" s="1740"/>
      <c r="EXS1680" s="1740"/>
      <c r="EXT1680" s="1740"/>
      <c r="EXU1680" s="1740"/>
      <c r="EXV1680" s="1740"/>
      <c r="EXW1680" s="1740"/>
      <c r="EXX1680" s="1740"/>
      <c r="EXY1680" s="1740"/>
      <c r="EXZ1680" s="1740"/>
      <c r="EYA1680" s="1740"/>
      <c r="EYB1680" s="1740"/>
      <c r="EYC1680" s="1740"/>
      <c r="EYD1680" s="1740"/>
      <c r="EYE1680" s="1740"/>
      <c r="EYF1680" s="1740"/>
      <c r="EYG1680" s="1740"/>
      <c r="EYH1680" s="1740"/>
      <c r="EYI1680" s="1740"/>
      <c r="EYJ1680" s="1740"/>
      <c r="EYK1680" s="1740"/>
      <c r="EYL1680" s="1740"/>
      <c r="EYM1680" s="1740"/>
      <c r="EYN1680" s="1740"/>
      <c r="EYO1680" s="1740"/>
      <c r="EYP1680" s="1740"/>
      <c r="EYQ1680" s="1740"/>
      <c r="EYR1680" s="1740"/>
      <c r="EYS1680" s="1740"/>
      <c r="EYT1680" s="1740"/>
      <c r="EYU1680" s="1740"/>
      <c r="EYV1680" s="1740"/>
      <c r="EYW1680" s="1740"/>
      <c r="EYX1680" s="1740"/>
      <c r="EYY1680" s="1740"/>
      <c r="EYZ1680" s="1740"/>
      <c r="EZA1680" s="1740"/>
      <c r="EZB1680" s="1740"/>
      <c r="EZC1680" s="1740"/>
      <c r="EZD1680" s="1740"/>
      <c r="EZE1680" s="1740"/>
      <c r="EZF1680" s="1740"/>
      <c r="EZG1680" s="1740"/>
      <c r="EZH1680" s="1740"/>
      <c r="EZI1680" s="1740"/>
      <c r="EZJ1680" s="1740"/>
      <c r="EZK1680" s="1740"/>
      <c r="EZL1680" s="1740"/>
      <c r="EZM1680" s="1740"/>
      <c r="EZN1680" s="1740"/>
      <c r="EZO1680" s="1740"/>
      <c r="EZP1680" s="1740"/>
      <c r="EZQ1680" s="1740"/>
      <c r="EZR1680" s="1740"/>
      <c r="EZS1680" s="1740"/>
      <c r="EZT1680" s="1740"/>
      <c r="EZU1680" s="1740"/>
      <c r="EZV1680" s="1740"/>
      <c r="EZW1680" s="1740"/>
      <c r="EZX1680" s="1740"/>
      <c r="EZY1680" s="1740"/>
      <c r="EZZ1680" s="1740"/>
      <c r="FAA1680" s="1740"/>
      <c r="FAB1680" s="1740"/>
      <c r="FAC1680" s="1740"/>
      <c r="FAD1680" s="1740"/>
      <c r="FAE1680" s="1740"/>
      <c r="FAF1680" s="1740"/>
      <c r="FAG1680" s="1740"/>
      <c r="FAH1680" s="1740"/>
      <c r="FAI1680" s="1740"/>
      <c r="FAJ1680" s="1740"/>
      <c r="FAK1680" s="1740"/>
      <c r="FAL1680" s="1740"/>
      <c r="FAM1680" s="1740"/>
      <c r="FAN1680" s="1740"/>
      <c r="FAO1680" s="1740"/>
      <c r="FAP1680" s="1740"/>
      <c r="FAQ1680" s="1740"/>
      <c r="FAR1680" s="1740"/>
      <c r="FAS1680" s="1740"/>
      <c r="FAT1680" s="1740"/>
      <c r="FAU1680" s="1740"/>
      <c r="FAV1680" s="1740"/>
      <c r="FAW1680" s="1740"/>
      <c r="FAX1680" s="1740"/>
      <c r="FAY1680" s="1740"/>
      <c r="FAZ1680" s="1740"/>
      <c r="FBA1680" s="1740"/>
      <c r="FBB1680" s="1740"/>
      <c r="FBC1680" s="1740"/>
      <c r="FBD1680" s="1740"/>
      <c r="FBE1680" s="1740"/>
      <c r="FBF1680" s="1740"/>
      <c r="FBG1680" s="1740"/>
      <c r="FBH1680" s="1740"/>
      <c r="FBI1680" s="1740"/>
      <c r="FBJ1680" s="1740"/>
      <c r="FBK1680" s="1740"/>
      <c r="FBL1680" s="1740"/>
      <c r="FBM1680" s="1740"/>
      <c r="FBN1680" s="1740"/>
      <c r="FBO1680" s="1740"/>
      <c r="FBP1680" s="1740"/>
      <c r="FBQ1680" s="1740"/>
      <c r="FBR1680" s="1740"/>
      <c r="FBS1680" s="1740"/>
      <c r="FBT1680" s="1740"/>
      <c r="FBU1680" s="1740"/>
      <c r="FBV1680" s="1740"/>
      <c r="FBW1680" s="1740"/>
      <c r="FBX1680" s="1740"/>
      <c r="FBY1680" s="1740"/>
      <c r="FBZ1680" s="1740"/>
      <c r="FCA1680" s="1740"/>
      <c r="FCB1680" s="1740"/>
      <c r="FCC1680" s="1740"/>
      <c r="FCD1680" s="1740"/>
      <c r="FCE1680" s="1740"/>
      <c r="FCF1680" s="1740"/>
      <c r="FCG1680" s="1740"/>
      <c r="FCH1680" s="1740"/>
      <c r="FCI1680" s="1740"/>
      <c r="FCJ1680" s="1740"/>
      <c r="FCK1680" s="1740"/>
      <c r="FCL1680" s="1740"/>
      <c r="FCM1680" s="1740"/>
      <c r="FCN1680" s="1740"/>
      <c r="FCO1680" s="1740"/>
      <c r="FCP1680" s="1740"/>
      <c r="FCQ1680" s="1740"/>
      <c r="FCR1680" s="1740"/>
      <c r="FCS1680" s="1740"/>
      <c r="FCT1680" s="1740"/>
      <c r="FCU1680" s="1740"/>
      <c r="FCV1680" s="1740"/>
      <c r="FCW1680" s="1740"/>
      <c r="FCX1680" s="1740"/>
      <c r="FCY1680" s="1740"/>
      <c r="FCZ1680" s="1740"/>
      <c r="FDA1680" s="1740"/>
      <c r="FDB1680" s="1740"/>
      <c r="FDC1680" s="1740"/>
      <c r="FDD1680" s="1740"/>
      <c r="FDE1680" s="1740"/>
      <c r="FDF1680" s="1740"/>
      <c r="FDG1680" s="1740"/>
      <c r="FDH1680" s="1740"/>
      <c r="FDI1680" s="1740"/>
      <c r="FDJ1680" s="1740"/>
      <c r="FDK1680" s="1740"/>
      <c r="FDL1680" s="1740"/>
      <c r="FDM1680" s="1740"/>
      <c r="FDN1680" s="1740"/>
      <c r="FDO1680" s="1740"/>
      <c r="FDP1680" s="1740"/>
      <c r="FDQ1680" s="1740"/>
      <c r="FDR1680" s="1740"/>
      <c r="FDS1680" s="1740"/>
      <c r="FDT1680" s="1740"/>
      <c r="FDU1680" s="1740"/>
      <c r="FDV1680" s="1740"/>
      <c r="FDW1680" s="1740"/>
      <c r="FDX1680" s="1740"/>
      <c r="FDY1680" s="1740"/>
      <c r="FDZ1680" s="1740"/>
      <c r="FEA1680" s="1740"/>
      <c r="FEB1680" s="1740"/>
      <c r="FEC1680" s="1740"/>
      <c r="FED1680" s="1740"/>
      <c r="FEE1680" s="1740"/>
      <c r="FEF1680" s="1740"/>
      <c r="FEG1680" s="1740"/>
      <c r="FEH1680" s="1740"/>
      <c r="FEI1680" s="1740"/>
      <c r="FEJ1680" s="1740"/>
      <c r="FEK1680" s="1740"/>
      <c r="FEL1680" s="1740"/>
      <c r="FEM1680" s="1740"/>
      <c r="FEN1680" s="1740"/>
      <c r="FEO1680" s="1740"/>
      <c r="FEP1680" s="1740"/>
      <c r="FEQ1680" s="1740"/>
      <c r="FER1680" s="1740"/>
      <c r="FES1680" s="1740"/>
      <c r="FET1680" s="1740"/>
      <c r="FEU1680" s="1740"/>
      <c r="FEV1680" s="1740"/>
      <c r="FEW1680" s="1740"/>
      <c r="FEX1680" s="1740"/>
      <c r="FEY1680" s="1740"/>
      <c r="FEZ1680" s="1740"/>
      <c r="FFA1680" s="1740"/>
      <c r="FFB1680" s="1740"/>
      <c r="FFC1680" s="1740"/>
      <c r="FFD1680" s="1740"/>
      <c r="FFE1680" s="1740"/>
      <c r="FFF1680" s="1740"/>
      <c r="FFG1680" s="1740"/>
      <c r="FFH1680" s="1740"/>
      <c r="FFI1680" s="1740"/>
      <c r="FFJ1680" s="1740"/>
      <c r="FFK1680" s="1740"/>
      <c r="FFL1680" s="1740"/>
      <c r="FFM1680" s="1740"/>
      <c r="FFN1680" s="1740"/>
      <c r="FFO1680" s="1740"/>
      <c r="FFP1680" s="1740"/>
      <c r="FFQ1680" s="1740"/>
      <c r="FFR1680" s="1740"/>
      <c r="FFS1680" s="1740"/>
      <c r="FFT1680" s="1740"/>
      <c r="FFU1680" s="1740"/>
      <c r="FFV1680" s="1740"/>
      <c r="FFW1680" s="1740"/>
      <c r="FFX1680" s="1740"/>
      <c r="FFY1680" s="1740"/>
      <c r="FFZ1680" s="1740"/>
      <c r="FGA1680" s="1740"/>
      <c r="FGB1680" s="1740"/>
      <c r="FGC1680" s="1740"/>
      <c r="FGD1680" s="1740"/>
      <c r="FGE1680" s="1740"/>
      <c r="FGF1680" s="1740"/>
      <c r="FGG1680" s="1740"/>
      <c r="FGH1680" s="1740"/>
      <c r="FGI1680" s="1740"/>
      <c r="FGJ1680" s="1740"/>
      <c r="FGK1680" s="1740"/>
      <c r="FGL1680" s="1740"/>
      <c r="FGM1680" s="1740"/>
      <c r="FGN1680" s="1740"/>
      <c r="FGO1680" s="1740"/>
      <c r="FGP1680" s="1740"/>
      <c r="FGQ1680" s="1740"/>
      <c r="FGR1680" s="1740"/>
      <c r="FGS1680" s="1740"/>
      <c r="FGT1680" s="1740"/>
      <c r="FGU1680" s="1740"/>
      <c r="FGV1680" s="1740"/>
      <c r="FGW1680" s="1740"/>
      <c r="FGX1680" s="1740"/>
      <c r="FGY1680" s="1740"/>
      <c r="FGZ1680" s="1740"/>
      <c r="FHA1680" s="1740"/>
      <c r="FHB1680" s="1740"/>
      <c r="FHC1680" s="1740"/>
      <c r="FHD1680" s="1740"/>
      <c r="FHE1680" s="1740"/>
      <c r="FHF1680" s="1740"/>
      <c r="FHG1680" s="1740"/>
      <c r="FHH1680" s="1740"/>
      <c r="FHI1680" s="1740"/>
      <c r="FHJ1680" s="1740"/>
      <c r="FHK1680" s="1740"/>
      <c r="FHL1680" s="1740"/>
      <c r="FHM1680" s="1740"/>
      <c r="FHN1680" s="1740"/>
      <c r="FHO1680" s="1740"/>
      <c r="FHP1680" s="1740"/>
      <c r="FHQ1680" s="1740"/>
      <c r="FHR1680" s="1740"/>
      <c r="FHS1680" s="1740"/>
      <c r="FHT1680" s="1740"/>
      <c r="FHU1680" s="1740"/>
      <c r="FHV1680" s="1740"/>
      <c r="FHW1680" s="1740"/>
      <c r="FHX1680" s="1740"/>
      <c r="FHY1680" s="1740"/>
      <c r="FHZ1680" s="1740"/>
      <c r="FIA1680" s="1740"/>
      <c r="FIB1680" s="1740"/>
      <c r="FIC1680" s="1740"/>
      <c r="FID1680" s="1740"/>
      <c r="FIE1680" s="1740"/>
      <c r="FIF1680" s="1740"/>
      <c r="FIG1680" s="1740"/>
      <c r="FIH1680" s="1740"/>
      <c r="FII1680" s="1740"/>
      <c r="FIJ1680" s="1740"/>
      <c r="FIK1680" s="1740"/>
      <c r="FIL1680" s="1740"/>
      <c r="FIM1680" s="1740"/>
      <c r="FIN1680" s="1740"/>
      <c r="FIO1680" s="1740"/>
      <c r="FIP1680" s="1740"/>
      <c r="FIQ1680" s="1740"/>
      <c r="FIR1680" s="1740"/>
      <c r="FIS1680" s="1740"/>
      <c r="FIT1680" s="1740"/>
      <c r="FIU1680" s="1740"/>
      <c r="FIV1680" s="1740"/>
      <c r="FIW1680" s="1740"/>
      <c r="FIX1680" s="1740"/>
      <c r="FIY1680" s="1740"/>
      <c r="FIZ1680" s="1740"/>
      <c r="FJA1680" s="1740"/>
      <c r="FJB1680" s="1740"/>
      <c r="FJC1680" s="1740"/>
      <c r="FJD1680" s="1740"/>
      <c r="FJE1680" s="1740"/>
      <c r="FJF1680" s="1740"/>
      <c r="FJG1680" s="1740"/>
      <c r="FJH1680" s="1740"/>
      <c r="FJI1680" s="1740"/>
      <c r="FJJ1680" s="1740"/>
      <c r="FJK1680" s="1740"/>
      <c r="FJL1680" s="1740"/>
      <c r="FJM1680" s="1740"/>
      <c r="FJN1680" s="1740"/>
      <c r="FJO1680" s="1740"/>
      <c r="FJP1680" s="1740"/>
      <c r="FJQ1680" s="1740"/>
      <c r="FJR1680" s="1740"/>
      <c r="FJS1680" s="1740"/>
      <c r="FJT1680" s="1740"/>
      <c r="FJU1680" s="1740"/>
      <c r="FJV1680" s="1740"/>
      <c r="FJW1680" s="1740"/>
      <c r="FJX1680" s="1740"/>
      <c r="FJY1680" s="1740"/>
      <c r="FJZ1680" s="1740"/>
      <c r="FKA1680" s="1740"/>
      <c r="FKB1680" s="1740"/>
      <c r="FKC1680" s="1740"/>
      <c r="FKD1680" s="1740"/>
      <c r="FKE1680" s="1740"/>
      <c r="FKF1680" s="1740"/>
      <c r="FKG1680" s="1740"/>
      <c r="FKH1680" s="1740"/>
      <c r="FKI1680" s="1740"/>
      <c r="FKJ1680" s="1740"/>
      <c r="FKK1680" s="1740"/>
      <c r="FKL1680" s="1740"/>
      <c r="FKM1680" s="1740"/>
      <c r="FKN1680" s="1740"/>
      <c r="FKO1680" s="1740"/>
      <c r="FKP1680" s="1740"/>
      <c r="FKQ1680" s="1740"/>
      <c r="FKR1680" s="1740"/>
      <c r="FKS1680" s="1740"/>
      <c r="FKT1680" s="1740"/>
      <c r="FKU1680" s="1740"/>
      <c r="FKV1680" s="1740"/>
      <c r="FKW1680" s="1740"/>
      <c r="FKX1680" s="1740"/>
      <c r="FKY1680" s="1740"/>
      <c r="FKZ1680" s="1740"/>
      <c r="FLA1680" s="1740"/>
      <c r="FLB1680" s="1740"/>
      <c r="FLC1680" s="1740"/>
      <c r="FLD1680" s="1740"/>
      <c r="FLE1680" s="1740"/>
      <c r="FLF1680" s="1740"/>
      <c r="FLG1680" s="1740"/>
      <c r="FLH1680" s="1740"/>
      <c r="FLI1680" s="1740"/>
      <c r="FLJ1680" s="1740"/>
      <c r="FLK1680" s="1740"/>
      <c r="FLL1680" s="1740"/>
      <c r="FLM1680" s="1740"/>
      <c r="FLN1680" s="1740"/>
      <c r="FLO1680" s="1740"/>
      <c r="FLP1680" s="1740"/>
      <c r="FLQ1680" s="1740"/>
      <c r="FLR1680" s="1740"/>
      <c r="FLS1680" s="1740"/>
      <c r="FLT1680" s="1740"/>
      <c r="FLU1680" s="1740"/>
      <c r="FLV1680" s="1740"/>
      <c r="FLW1680" s="1740"/>
      <c r="FLX1680" s="1740"/>
      <c r="FLY1680" s="1740"/>
      <c r="FLZ1680" s="1740"/>
      <c r="FMA1680" s="1740"/>
      <c r="FMB1680" s="1740"/>
      <c r="FMC1680" s="1740"/>
      <c r="FMD1680" s="1740"/>
      <c r="FME1680" s="1740"/>
      <c r="FMF1680" s="1740"/>
      <c r="FMG1680" s="1740"/>
      <c r="FMH1680" s="1740"/>
      <c r="FMI1680" s="1740"/>
      <c r="FMJ1680" s="1740"/>
      <c r="FMK1680" s="1740"/>
      <c r="FML1680" s="1740"/>
      <c r="FMM1680" s="1740"/>
      <c r="FMN1680" s="1740"/>
      <c r="FMO1680" s="1740"/>
      <c r="FMP1680" s="1740"/>
      <c r="FMQ1680" s="1740"/>
      <c r="FMR1680" s="1740"/>
      <c r="FMS1680" s="1740"/>
      <c r="FMT1680" s="1740"/>
      <c r="FMU1680" s="1740"/>
      <c r="FMV1680" s="1740"/>
      <c r="FMW1680" s="1740"/>
      <c r="FMX1680" s="1740"/>
      <c r="FMY1680" s="1740"/>
      <c r="FMZ1680" s="1740"/>
      <c r="FNA1680" s="1740"/>
      <c r="FNB1680" s="1740"/>
      <c r="FNC1680" s="1740"/>
      <c r="FND1680" s="1740"/>
      <c r="FNE1680" s="1740"/>
      <c r="FNF1680" s="1740"/>
      <c r="FNG1680" s="1740"/>
      <c r="FNH1680" s="1740"/>
      <c r="FNI1680" s="1740"/>
      <c r="FNJ1680" s="1740"/>
      <c r="FNK1680" s="1740"/>
      <c r="FNL1680" s="1740"/>
      <c r="FNM1680" s="1740"/>
      <c r="FNN1680" s="1740"/>
      <c r="FNO1680" s="1740"/>
      <c r="FNP1680" s="1740"/>
      <c r="FNQ1680" s="1740"/>
      <c r="FNR1680" s="1740"/>
      <c r="FNS1680" s="1740"/>
      <c r="FNT1680" s="1740"/>
      <c r="FNU1680" s="1740"/>
      <c r="FNV1680" s="1740"/>
      <c r="FNW1680" s="1740"/>
      <c r="FNX1680" s="1740"/>
      <c r="FNY1680" s="1740"/>
      <c r="FNZ1680" s="1740"/>
      <c r="FOA1680" s="1740"/>
      <c r="FOB1680" s="1740"/>
      <c r="FOC1680" s="1740"/>
      <c r="FOD1680" s="1740"/>
      <c r="FOE1680" s="1740"/>
      <c r="FOF1680" s="1740"/>
      <c r="FOG1680" s="1740"/>
      <c r="FOH1680" s="1740"/>
      <c r="FOI1680" s="1740"/>
      <c r="FOJ1680" s="1740"/>
      <c r="FOK1680" s="1740"/>
      <c r="FOL1680" s="1740"/>
      <c r="FOM1680" s="1740"/>
      <c r="FON1680" s="1740"/>
      <c r="FOO1680" s="1740"/>
      <c r="FOP1680" s="1740"/>
      <c r="FOQ1680" s="1740"/>
      <c r="FOR1680" s="1740"/>
      <c r="FOS1680" s="1740"/>
      <c r="FOT1680" s="1740"/>
      <c r="FOU1680" s="1740"/>
      <c r="FOV1680" s="1740"/>
      <c r="FOW1680" s="1740"/>
      <c r="FOX1680" s="1740"/>
      <c r="FOY1680" s="1740"/>
      <c r="FOZ1680" s="1740"/>
      <c r="FPA1680" s="1740"/>
      <c r="FPB1680" s="1740"/>
      <c r="FPC1680" s="1740"/>
      <c r="FPD1680" s="1740"/>
      <c r="FPE1680" s="1740"/>
      <c r="FPF1680" s="1740"/>
      <c r="FPG1680" s="1740"/>
      <c r="FPH1680" s="1740"/>
      <c r="FPI1680" s="1740"/>
      <c r="FPJ1680" s="1740"/>
      <c r="FPK1680" s="1740"/>
      <c r="FPL1680" s="1740"/>
      <c r="FPM1680" s="1740"/>
      <c r="FPN1680" s="1740"/>
      <c r="FPO1680" s="1740"/>
      <c r="FPP1680" s="1740"/>
      <c r="FPQ1680" s="1740"/>
      <c r="FPR1680" s="1740"/>
      <c r="FPS1680" s="1740"/>
      <c r="FPT1680" s="1740"/>
      <c r="FPU1680" s="1740"/>
      <c r="FPV1680" s="1740"/>
      <c r="FPW1680" s="1740"/>
      <c r="FPX1680" s="1740"/>
      <c r="FPY1680" s="1740"/>
      <c r="FPZ1680" s="1740"/>
      <c r="FQA1680" s="1740"/>
      <c r="FQB1680" s="1740"/>
      <c r="FQC1680" s="1740"/>
      <c r="FQD1680" s="1740"/>
      <c r="FQE1680" s="1740"/>
      <c r="FQF1680" s="1740"/>
      <c r="FQG1680" s="1740"/>
      <c r="FQH1680" s="1740"/>
      <c r="FQI1680" s="1740"/>
      <c r="FQJ1680" s="1740"/>
      <c r="FQK1680" s="1740"/>
      <c r="FQL1680" s="1740"/>
      <c r="FQM1680" s="1740"/>
      <c r="FQN1680" s="1740"/>
      <c r="FQO1680" s="1740"/>
      <c r="FQP1680" s="1740"/>
      <c r="FQQ1680" s="1740"/>
      <c r="FQR1680" s="1740"/>
      <c r="FQS1680" s="1740"/>
      <c r="FQT1680" s="1740"/>
      <c r="FQU1680" s="1740"/>
      <c r="FQV1680" s="1740"/>
      <c r="FQW1680" s="1740"/>
      <c r="FQX1680" s="1740"/>
      <c r="FQY1680" s="1740"/>
      <c r="FQZ1680" s="1740"/>
      <c r="FRA1680" s="1740"/>
      <c r="FRB1680" s="1740"/>
      <c r="FRC1680" s="1740"/>
      <c r="FRD1680" s="1740"/>
      <c r="FRE1680" s="1740"/>
      <c r="FRF1680" s="1740"/>
      <c r="FRG1680" s="1740"/>
      <c r="FRH1680" s="1740"/>
      <c r="FRI1680" s="1740"/>
      <c r="FRJ1680" s="1740"/>
      <c r="FRK1680" s="1740"/>
      <c r="FRL1680" s="1740"/>
      <c r="FRM1680" s="1740"/>
      <c r="FRN1680" s="1740"/>
      <c r="FRO1680" s="1740"/>
      <c r="FRP1680" s="1740"/>
      <c r="FRQ1680" s="1740"/>
      <c r="FRR1680" s="1740"/>
      <c r="FRS1680" s="1740"/>
      <c r="FRT1680" s="1740"/>
      <c r="FRU1680" s="1740"/>
      <c r="FRV1680" s="1740"/>
      <c r="FRW1680" s="1740"/>
      <c r="FRX1680" s="1740"/>
      <c r="FRY1680" s="1740"/>
      <c r="FRZ1680" s="1740"/>
      <c r="FSA1680" s="1740"/>
      <c r="FSB1680" s="1740"/>
      <c r="FSC1680" s="1740"/>
      <c r="FSD1680" s="1740"/>
      <c r="FSE1680" s="1740"/>
      <c r="FSF1680" s="1740"/>
      <c r="FSG1680" s="1740"/>
      <c r="FSH1680" s="1740"/>
      <c r="FSI1680" s="1740"/>
      <c r="FSJ1680" s="1740"/>
      <c r="FSK1680" s="1740"/>
      <c r="FSL1680" s="1740"/>
      <c r="FSM1680" s="1740"/>
      <c r="FSN1680" s="1740"/>
      <c r="FSO1680" s="1740"/>
      <c r="FSP1680" s="1740"/>
      <c r="FSQ1680" s="1740"/>
      <c r="FSR1680" s="1740"/>
      <c r="FSS1680" s="1740"/>
      <c r="FST1680" s="1740"/>
      <c r="FSU1680" s="1740"/>
      <c r="FSV1680" s="1740"/>
      <c r="FSW1680" s="1740"/>
      <c r="FSX1680" s="1740"/>
      <c r="FSY1680" s="1740"/>
      <c r="FSZ1680" s="1740"/>
      <c r="FTA1680" s="1740"/>
      <c r="FTB1680" s="1740"/>
      <c r="FTC1680" s="1740"/>
      <c r="FTD1680" s="1740"/>
      <c r="FTE1680" s="1740"/>
      <c r="FTF1680" s="1740"/>
      <c r="FTG1680" s="1740"/>
      <c r="FTH1680" s="1740"/>
      <c r="FTI1680" s="1740"/>
      <c r="FTJ1680" s="1740"/>
      <c r="FTK1680" s="1740"/>
      <c r="FTL1680" s="1740"/>
      <c r="FTM1680" s="1740"/>
      <c r="FTN1680" s="1740"/>
      <c r="FTO1680" s="1740"/>
      <c r="FTP1680" s="1740"/>
      <c r="FTQ1680" s="1740"/>
      <c r="FTR1680" s="1740"/>
      <c r="FTS1680" s="1740"/>
      <c r="FTT1680" s="1740"/>
      <c r="FTU1680" s="1740"/>
      <c r="FTV1680" s="1740"/>
      <c r="FTW1680" s="1740"/>
      <c r="FTX1680" s="1740"/>
      <c r="FTY1680" s="1740"/>
      <c r="FTZ1680" s="1740"/>
      <c r="FUA1680" s="1740"/>
      <c r="FUB1680" s="1740"/>
      <c r="FUC1680" s="1740"/>
      <c r="FUD1680" s="1740"/>
      <c r="FUE1680" s="1740"/>
      <c r="FUF1680" s="1740"/>
      <c r="FUG1680" s="1740"/>
      <c r="FUH1680" s="1740"/>
      <c r="FUI1680" s="1740"/>
      <c r="FUJ1680" s="1740"/>
      <c r="FUK1680" s="1740"/>
      <c r="FUL1680" s="1740"/>
      <c r="FUM1680" s="1740"/>
      <c r="FUN1680" s="1740"/>
      <c r="FUO1680" s="1740"/>
      <c r="FUP1680" s="1740"/>
      <c r="FUQ1680" s="1740"/>
      <c r="FUR1680" s="1740"/>
      <c r="FUS1680" s="1740"/>
      <c r="FUT1680" s="1740"/>
      <c r="FUU1680" s="1740"/>
      <c r="FUV1680" s="1740"/>
      <c r="FUW1680" s="1740"/>
      <c r="FUX1680" s="1740"/>
      <c r="FUY1680" s="1740"/>
      <c r="FUZ1680" s="1740"/>
      <c r="FVA1680" s="1740"/>
      <c r="FVB1680" s="1740"/>
      <c r="FVC1680" s="1740"/>
      <c r="FVD1680" s="1740"/>
      <c r="FVE1680" s="1740"/>
      <c r="FVF1680" s="1740"/>
      <c r="FVG1680" s="1740"/>
      <c r="FVH1680" s="1740"/>
      <c r="FVI1680" s="1740"/>
      <c r="FVJ1680" s="1740"/>
      <c r="FVK1680" s="1740"/>
      <c r="FVL1680" s="1740"/>
      <c r="FVM1680" s="1740"/>
      <c r="FVN1680" s="1740"/>
      <c r="FVO1680" s="1740"/>
      <c r="FVP1680" s="1740"/>
      <c r="FVQ1680" s="1740"/>
      <c r="FVR1680" s="1740"/>
      <c r="FVS1680" s="1740"/>
      <c r="FVT1680" s="1740"/>
      <c r="FVU1680" s="1740"/>
      <c r="FVV1680" s="1740"/>
      <c r="FVW1680" s="1740"/>
      <c r="FVX1680" s="1740"/>
      <c r="FVY1680" s="1740"/>
      <c r="FVZ1680" s="1740"/>
      <c r="FWA1680" s="1740"/>
      <c r="FWB1680" s="1740"/>
      <c r="FWC1680" s="1740"/>
      <c r="FWD1680" s="1740"/>
      <c r="FWE1680" s="1740"/>
      <c r="FWF1680" s="1740"/>
      <c r="FWG1680" s="1740"/>
      <c r="FWH1680" s="1740"/>
      <c r="FWI1680" s="1740"/>
      <c r="FWJ1680" s="1740"/>
      <c r="FWK1680" s="1740"/>
      <c r="FWL1680" s="1740"/>
      <c r="FWM1680" s="1740"/>
      <c r="FWN1680" s="1740"/>
      <c r="FWO1680" s="1740"/>
      <c r="FWP1680" s="1740"/>
      <c r="FWQ1680" s="1740"/>
      <c r="FWR1680" s="1740"/>
      <c r="FWS1680" s="1740"/>
      <c r="FWT1680" s="1740"/>
      <c r="FWU1680" s="1740"/>
      <c r="FWV1680" s="1740"/>
      <c r="FWW1680" s="1740"/>
      <c r="FWX1680" s="1740"/>
      <c r="FWY1680" s="1740"/>
      <c r="FWZ1680" s="1740"/>
      <c r="FXA1680" s="1740"/>
      <c r="FXB1680" s="1740"/>
      <c r="FXC1680" s="1740"/>
      <c r="FXD1680" s="1740"/>
      <c r="FXE1680" s="1740"/>
      <c r="FXF1680" s="1740"/>
      <c r="FXG1680" s="1740"/>
      <c r="FXH1680" s="1740"/>
      <c r="FXI1680" s="1740"/>
      <c r="FXJ1680" s="1740"/>
      <c r="FXK1680" s="1740"/>
      <c r="FXL1680" s="1740"/>
      <c r="FXM1680" s="1740"/>
      <c r="FXN1680" s="1740"/>
      <c r="FXO1680" s="1740"/>
      <c r="FXP1680" s="1740"/>
      <c r="FXQ1680" s="1740"/>
      <c r="FXR1680" s="1740"/>
      <c r="FXS1680" s="1740"/>
      <c r="FXT1680" s="1740"/>
      <c r="FXU1680" s="1740"/>
      <c r="FXV1680" s="1740"/>
      <c r="FXW1680" s="1740"/>
      <c r="FXX1680" s="1740"/>
      <c r="FXY1680" s="1740"/>
      <c r="FXZ1680" s="1740"/>
      <c r="FYA1680" s="1740"/>
      <c r="FYB1680" s="1740"/>
      <c r="FYC1680" s="1740"/>
      <c r="FYD1680" s="1740"/>
      <c r="FYE1680" s="1740"/>
      <c r="FYF1680" s="1740"/>
      <c r="FYG1680" s="1740"/>
      <c r="FYH1680" s="1740"/>
      <c r="FYI1680" s="1740"/>
      <c r="FYJ1680" s="1740"/>
      <c r="FYK1680" s="1740"/>
      <c r="FYL1680" s="1740"/>
      <c r="FYM1680" s="1740"/>
      <c r="FYN1680" s="1740"/>
      <c r="FYO1680" s="1740"/>
      <c r="FYP1680" s="1740"/>
      <c r="FYQ1680" s="1740"/>
      <c r="FYR1680" s="1740"/>
      <c r="FYS1680" s="1740"/>
      <c r="FYT1680" s="1740"/>
      <c r="FYU1680" s="1740"/>
      <c r="FYV1680" s="1740"/>
      <c r="FYW1680" s="1740"/>
      <c r="FYX1680" s="1740"/>
      <c r="FYY1680" s="1740"/>
      <c r="FYZ1680" s="1740"/>
      <c r="FZA1680" s="1740"/>
      <c r="FZB1680" s="1740"/>
      <c r="FZC1680" s="1740"/>
      <c r="FZD1680" s="1740"/>
      <c r="FZE1680" s="1740"/>
      <c r="FZF1680" s="1740"/>
      <c r="FZG1680" s="1740"/>
      <c r="FZH1680" s="1740"/>
      <c r="FZI1680" s="1740"/>
      <c r="FZJ1680" s="1740"/>
      <c r="FZK1680" s="1740"/>
      <c r="FZL1680" s="1740"/>
      <c r="FZM1680" s="1740"/>
      <c r="FZN1680" s="1740"/>
      <c r="FZO1680" s="1740"/>
      <c r="FZP1680" s="1740"/>
      <c r="FZQ1680" s="1740"/>
      <c r="FZR1680" s="1740"/>
      <c r="FZS1680" s="1740"/>
      <c r="FZT1680" s="1740"/>
      <c r="FZU1680" s="1740"/>
      <c r="FZV1680" s="1740"/>
      <c r="FZW1680" s="1740"/>
      <c r="FZX1680" s="1740"/>
      <c r="FZY1680" s="1740"/>
      <c r="FZZ1680" s="1740"/>
      <c r="GAA1680" s="1740"/>
      <c r="GAB1680" s="1740"/>
      <c r="GAC1680" s="1740"/>
      <c r="GAD1680" s="1740"/>
      <c r="GAE1680" s="1740"/>
      <c r="GAF1680" s="1740"/>
      <c r="GAG1680" s="1740"/>
      <c r="GAH1680" s="1740"/>
      <c r="GAI1680" s="1740"/>
      <c r="GAJ1680" s="1740"/>
      <c r="GAK1680" s="1740"/>
      <c r="GAL1680" s="1740"/>
      <c r="GAM1680" s="1740"/>
      <c r="GAN1680" s="1740"/>
      <c r="GAO1680" s="1740"/>
      <c r="GAP1680" s="1740"/>
      <c r="GAQ1680" s="1740"/>
      <c r="GAR1680" s="1740"/>
      <c r="GAS1680" s="1740"/>
      <c r="GAT1680" s="1740"/>
      <c r="GAU1680" s="1740"/>
      <c r="GAV1680" s="1740"/>
      <c r="GAW1680" s="1740"/>
      <c r="GAX1680" s="1740"/>
      <c r="GAY1680" s="1740"/>
      <c r="GAZ1680" s="1740"/>
      <c r="GBA1680" s="1740"/>
      <c r="GBB1680" s="1740"/>
      <c r="GBC1680" s="1740"/>
      <c r="GBD1680" s="1740"/>
      <c r="GBE1680" s="1740"/>
      <c r="GBF1680" s="1740"/>
      <c r="GBG1680" s="1740"/>
      <c r="GBH1680" s="1740"/>
      <c r="GBI1680" s="1740"/>
      <c r="GBJ1680" s="1740"/>
      <c r="GBK1680" s="1740"/>
      <c r="GBL1680" s="1740"/>
      <c r="GBM1680" s="1740"/>
      <c r="GBN1680" s="1740"/>
      <c r="GBO1680" s="1740"/>
      <c r="GBP1680" s="1740"/>
      <c r="GBQ1680" s="1740"/>
      <c r="GBR1680" s="1740"/>
      <c r="GBS1680" s="1740"/>
      <c r="GBT1680" s="1740"/>
      <c r="GBU1680" s="1740"/>
      <c r="GBV1680" s="1740"/>
      <c r="GBW1680" s="1740"/>
      <c r="GBX1680" s="1740"/>
      <c r="GBY1680" s="1740"/>
      <c r="GBZ1680" s="1740"/>
      <c r="GCA1680" s="1740"/>
      <c r="GCB1680" s="1740"/>
      <c r="GCC1680" s="1740"/>
      <c r="GCD1680" s="1740"/>
      <c r="GCE1680" s="1740"/>
      <c r="GCF1680" s="1740"/>
      <c r="GCG1680" s="1740"/>
      <c r="GCH1680" s="1740"/>
      <c r="GCI1680" s="1740"/>
      <c r="GCJ1680" s="1740"/>
      <c r="GCK1680" s="1740"/>
      <c r="GCL1680" s="1740"/>
      <c r="GCM1680" s="1740"/>
      <c r="GCN1680" s="1740"/>
      <c r="GCO1680" s="1740"/>
      <c r="GCP1680" s="1740"/>
      <c r="GCQ1680" s="1740"/>
      <c r="GCR1680" s="1740"/>
      <c r="GCS1680" s="1740"/>
      <c r="GCT1680" s="1740"/>
      <c r="GCU1680" s="1740"/>
      <c r="GCV1680" s="1740"/>
      <c r="GCW1680" s="1740"/>
      <c r="GCX1680" s="1740"/>
      <c r="GCY1680" s="1740"/>
      <c r="GCZ1680" s="1740"/>
      <c r="GDA1680" s="1740"/>
      <c r="GDB1680" s="1740"/>
      <c r="GDC1680" s="1740"/>
      <c r="GDD1680" s="1740"/>
      <c r="GDE1680" s="1740"/>
      <c r="GDF1680" s="1740"/>
      <c r="GDG1680" s="1740"/>
      <c r="GDH1680" s="1740"/>
      <c r="GDI1680" s="1740"/>
      <c r="GDJ1680" s="1740"/>
      <c r="GDK1680" s="1740"/>
      <c r="GDL1680" s="1740"/>
      <c r="GDM1680" s="1740"/>
      <c r="GDN1680" s="1740"/>
      <c r="GDO1680" s="1740"/>
      <c r="GDP1680" s="1740"/>
      <c r="GDQ1680" s="1740"/>
      <c r="GDR1680" s="1740"/>
      <c r="GDS1680" s="1740"/>
      <c r="GDT1680" s="1740"/>
      <c r="GDU1680" s="1740"/>
      <c r="GDV1680" s="1740"/>
      <c r="GDW1680" s="1740"/>
      <c r="GDX1680" s="1740"/>
      <c r="GDY1680" s="1740"/>
      <c r="GDZ1680" s="1740"/>
      <c r="GEA1680" s="1740"/>
      <c r="GEB1680" s="1740"/>
      <c r="GEC1680" s="1740"/>
      <c r="GED1680" s="1740"/>
      <c r="GEE1680" s="1740"/>
      <c r="GEF1680" s="1740"/>
      <c r="GEG1680" s="1740"/>
      <c r="GEH1680" s="1740"/>
      <c r="GEI1680" s="1740"/>
      <c r="GEJ1680" s="1740"/>
      <c r="GEK1680" s="1740"/>
      <c r="GEL1680" s="1740"/>
      <c r="GEM1680" s="1740"/>
      <c r="GEN1680" s="1740"/>
      <c r="GEO1680" s="1740"/>
      <c r="GEP1680" s="1740"/>
      <c r="GEQ1680" s="1740"/>
      <c r="GER1680" s="1740"/>
      <c r="GES1680" s="1740"/>
      <c r="GET1680" s="1740"/>
      <c r="GEU1680" s="1740"/>
      <c r="GEV1680" s="1740"/>
      <c r="GEW1680" s="1740"/>
      <c r="GEX1680" s="1740"/>
      <c r="GEY1680" s="1740"/>
      <c r="GEZ1680" s="1740"/>
      <c r="GFA1680" s="1740"/>
      <c r="GFB1680" s="1740"/>
      <c r="GFC1680" s="1740"/>
      <c r="GFD1680" s="1740"/>
      <c r="GFE1680" s="1740"/>
      <c r="GFF1680" s="1740"/>
      <c r="GFG1680" s="1740"/>
      <c r="GFH1680" s="1740"/>
      <c r="GFI1680" s="1740"/>
      <c r="GFJ1680" s="1740"/>
      <c r="GFK1680" s="1740"/>
      <c r="GFL1680" s="1740"/>
      <c r="GFM1680" s="1740"/>
      <c r="GFN1680" s="1740"/>
      <c r="GFO1680" s="1740"/>
      <c r="GFP1680" s="1740"/>
      <c r="GFQ1680" s="1740"/>
      <c r="GFR1680" s="1740"/>
      <c r="GFS1680" s="1740"/>
      <c r="GFT1680" s="1740"/>
      <c r="GFU1680" s="1740"/>
      <c r="GFV1680" s="1740"/>
      <c r="GFW1680" s="1740"/>
      <c r="GFX1680" s="1740"/>
      <c r="GFY1680" s="1740"/>
      <c r="GFZ1680" s="1740"/>
      <c r="GGA1680" s="1740"/>
      <c r="GGB1680" s="1740"/>
      <c r="GGC1680" s="1740"/>
      <c r="GGD1680" s="1740"/>
      <c r="GGE1680" s="1740"/>
      <c r="GGF1680" s="1740"/>
      <c r="GGG1680" s="1740"/>
      <c r="GGH1680" s="1740"/>
      <c r="GGI1680" s="1740"/>
      <c r="GGJ1680" s="1740"/>
      <c r="GGK1680" s="1740"/>
      <c r="GGL1680" s="1740"/>
      <c r="GGM1680" s="1740"/>
      <c r="GGN1680" s="1740"/>
      <c r="GGO1680" s="1740"/>
      <c r="GGP1680" s="1740"/>
      <c r="GGQ1680" s="1740"/>
      <c r="GGR1680" s="1740"/>
      <c r="GGS1680" s="1740"/>
      <c r="GGT1680" s="1740"/>
      <c r="GGU1680" s="1740"/>
      <c r="GGV1680" s="1740"/>
      <c r="GGW1680" s="1740"/>
      <c r="GGX1680" s="1740"/>
      <c r="GGY1680" s="1740"/>
      <c r="GGZ1680" s="1740"/>
      <c r="GHA1680" s="1740"/>
      <c r="GHB1680" s="1740"/>
      <c r="GHC1680" s="1740"/>
      <c r="GHD1680" s="1740"/>
      <c r="GHE1680" s="1740"/>
      <c r="GHF1680" s="1740"/>
      <c r="GHG1680" s="1740"/>
      <c r="GHH1680" s="1740"/>
      <c r="GHI1680" s="1740"/>
      <c r="GHJ1680" s="1740"/>
      <c r="GHK1680" s="1740"/>
      <c r="GHL1680" s="1740"/>
      <c r="GHM1680" s="1740"/>
      <c r="GHN1680" s="1740"/>
      <c r="GHO1680" s="1740"/>
      <c r="GHP1680" s="1740"/>
      <c r="GHQ1680" s="1740"/>
      <c r="GHR1680" s="1740"/>
      <c r="GHS1680" s="1740"/>
      <c r="GHT1680" s="1740"/>
      <c r="GHU1680" s="1740"/>
      <c r="GHV1680" s="1740"/>
      <c r="GHW1680" s="1740"/>
      <c r="GHX1680" s="1740"/>
      <c r="GHY1680" s="1740"/>
      <c r="GHZ1680" s="1740"/>
      <c r="GIA1680" s="1740"/>
      <c r="GIB1680" s="1740"/>
      <c r="GIC1680" s="1740"/>
      <c r="GID1680" s="1740"/>
      <c r="GIE1680" s="1740"/>
      <c r="GIF1680" s="1740"/>
      <c r="GIG1680" s="1740"/>
      <c r="GIH1680" s="1740"/>
      <c r="GII1680" s="1740"/>
      <c r="GIJ1680" s="1740"/>
      <c r="GIK1680" s="1740"/>
      <c r="GIL1680" s="1740"/>
      <c r="GIM1680" s="1740"/>
      <c r="GIN1680" s="1740"/>
      <c r="GIO1680" s="1740"/>
      <c r="GIP1680" s="1740"/>
      <c r="GIQ1680" s="1740"/>
      <c r="GIR1680" s="1740"/>
      <c r="GIS1680" s="1740"/>
      <c r="GIT1680" s="1740"/>
      <c r="GIU1680" s="1740"/>
      <c r="GIV1680" s="1740"/>
      <c r="GIW1680" s="1740"/>
      <c r="GIX1680" s="1740"/>
      <c r="GIY1680" s="1740"/>
      <c r="GIZ1680" s="1740"/>
      <c r="GJA1680" s="1740"/>
      <c r="GJB1680" s="1740"/>
      <c r="GJC1680" s="1740"/>
      <c r="GJD1680" s="1740"/>
      <c r="GJE1680" s="1740"/>
      <c r="GJF1680" s="1740"/>
      <c r="GJG1680" s="1740"/>
      <c r="GJH1680" s="1740"/>
      <c r="GJI1680" s="1740"/>
      <c r="GJJ1680" s="1740"/>
      <c r="GJK1680" s="1740"/>
      <c r="GJL1680" s="1740"/>
      <c r="GJM1680" s="1740"/>
      <c r="GJN1680" s="1740"/>
      <c r="GJO1680" s="1740"/>
      <c r="GJP1680" s="1740"/>
      <c r="GJQ1680" s="1740"/>
      <c r="GJR1680" s="1740"/>
      <c r="GJS1680" s="1740"/>
      <c r="GJT1680" s="1740"/>
      <c r="GJU1680" s="1740"/>
      <c r="GJV1680" s="1740"/>
      <c r="GJW1680" s="1740"/>
      <c r="GJX1680" s="1740"/>
      <c r="GJY1680" s="1740"/>
      <c r="GJZ1680" s="1740"/>
      <c r="GKA1680" s="1740"/>
      <c r="GKB1680" s="1740"/>
      <c r="GKC1680" s="1740"/>
      <c r="GKD1680" s="1740"/>
      <c r="GKE1680" s="1740"/>
      <c r="GKF1680" s="1740"/>
      <c r="GKG1680" s="1740"/>
      <c r="GKH1680" s="1740"/>
      <c r="GKI1680" s="1740"/>
      <c r="GKJ1680" s="1740"/>
      <c r="GKK1680" s="1740"/>
      <c r="GKL1680" s="1740"/>
      <c r="GKM1680" s="1740"/>
      <c r="GKN1680" s="1740"/>
      <c r="GKO1680" s="1740"/>
      <c r="GKP1680" s="1740"/>
      <c r="GKQ1680" s="1740"/>
      <c r="GKR1680" s="1740"/>
      <c r="GKS1680" s="1740"/>
      <c r="GKT1680" s="1740"/>
      <c r="GKU1680" s="1740"/>
      <c r="GKV1680" s="1740"/>
      <c r="GKW1680" s="1740"/>
      <c r="GKX1680" s="1740"/>
      <c r="GKY1680" s="1740"/>
      <c r="GKZ1680" s="1740"/>
      <c r="GLA1680" s="1740"/>
      <c r="GLB1680" s="1740"/>
      <c r="GLC1680" s="1740"/>
      <c r="GLD1680" s="1740"/>
      <c r="GLE1680" s="1740"/>
      <c r="GLF1680" s="1740"/>
      <c r="GLG1680" s="1740"/>
      <c r="GLH1680" s="1740"/>
      <c r="GLI1680" s="1740"/>
      <c r="GLJ1680" s="1740"/>
      <c r="GLK1680" s="1740"/>
      <c r="GLL1680" s="1740"/>
      <c r="GLM1680" s="1740"/>
      <c r="GLN1680" s="1740"/>
      <c r="GLO1680" s="1740"/>
      <c r="GLP1680" s="1740"/>
      <c r="GLQ1680" s="1740"/>
      <c r="GLR1680" s="1740"/>
      <c r="GLS1680" s="1740"/>
      <c r="GLT1680" s="1740"/>
      <c r="GLU1680" s="1740"/>
      <c r="GLV1680" s="1740"/>
      <c r="GLW1680" s="1740"/>
      <c r="GLX1680" s="1740"/>
      <c r="GLY1680" s="1740"/>
      <c r="GLZ1680" s="1740"/>
      <c r="GMA1680" s="1740"/>
      <c r="GMB1680" s="1740"/>
      <c r="GMC1680" s="1740"/>
      <c r="GMD1680" s="1740"/>
      <c r="GME1680" s="1740"/>
      <c r="GMF1680" s="1740"/>
      <c r="GMG1680" s="1740"/>
      <c r="GMH1680" s="1740"/>
      <c r="GMI1680" s="1740"/>
      <c r="GMJ1680" s="1740"/>
      <c r="GMK1680" s="1740"/>
      <c r="GML1680" s="1740"/>
      <c r="GMM1680" s="1740"/>
      <c r="GMN1680" s="1740"/>
      <c r="GMO1680" s="1740"/>
      <c r="GMP1680" s="1740"/>
      <c r="GMQ1680" s="1740"/>
      <c r="GMR1680" s="1740"/>
      <c r="GMS1680" s="1740"/>
      <c r="GMT1680" s="1740"/>
      <c r="GMU1680" s="1740"/>
      <c r="GMV1680" s="1740"/>
      <c r="GMW1680" s="1740"/>
      <c r="GMX1680" s="1740"/>
      <c r="GMY1680" s="1740"/>
      <c r="GMZ1680" s="1740"/>
      <c r="GNA1680" s="1740"/>
      <c r="GNB1680" s="1740"/>
      <c r="GNC1680" s="1740"/>
      <c r="GND1680" s="1740"/>
      <c r="GNE1680" s="1740"/>
      <c r="GNF1680" s="1740"/>
      <c r="GNG1680" s="1740"/>
      <c r="GNH1680" s="1740"/>
      <c r="GNI1680" s="1740"/>
      <c r="GNJ1680" s="1740"/>
      <c r="GNK1680" s="1740"/>
      <c r="GNL1680" s="1740"/>
      <c r="GNM1680" s="1740"/>
      <c r="GNN1680" s="1740"/>
      <c r="GNO1680" s="1740"/>
      <c r="GNP1680" s="1740"/>
      <c r="GNQ1680" s="1740"/>
      <c r="GNR1680" s="1740"/>
      <c r="GNS1680" s="1740"/>
      <c r="GNT1680" s="1740"/>
      <c r="GNU1680" s="1740"/>
      <c r="GNV1680" s="1740"/>
      <c r="GNW1680" s="1740"/>
      <c r="GNX1680" s="1740"/>
      <c r="GNY1680" s="1740"/>
      <c r="GNZ1680" s="1740"/>
      <c r="GOA1680" s="1740"/>
      <c r="GOB1680" s="1740"/>
      <c r="GOC1680" s="1740"/>
      <c r="GOD1680" s="1740"/>
      <c r="GOE1680" s="1740"/>
      <c r="GOF1680" s="1740"/>
      <c r="GOG1680" s="1740"/>
      <c r="GOH1680" s="1740"/>
      <c r="GOI1680" s="1740"/>
      <c r="GOJ1680" s="1740"/>
      <c r="GOK1680" s="1740"/>
      <c r="GOL1680" s="1740"/>
      <c r="GOM1680" s="1740"/>
      <c r="GON1680" s="1740"/>
      <c r="GOO1680" s="1740"/>
      <c r="GOP1680" s="1740"/>
      <c r="GOQ1680" s="1740"/>
      <c r="GOR1680" s="1740"/>
      <c r="GOS1680" s="1740"/>
      <c r="GOT1680" s="1740"/>
      <c r="GOU1680" s="1740"/>
      <c r="GOV1680" s="1740"/>
      <c r="GOW1680" s="1740"/>
      <c r="GOX1680" s="1740"/>
      <c r="GOY1680" s="1740"/>
      <c r="GOZ1680" s="1740"/>
      <c r="GPA1680" s="1740"/>
      <c r="GPB1680" s="1740"/>
      <c r="GPC1680" s="1740"/>
      <c r="GPD1680" s="1740"/>
      <c r="GPE1680" s="1740"/>
      <c r="GPF1680" s="1740"/>
      <c r="GPG1680" s="1740"/>
      <c r="GPH1680" s="1740"/>
      <c r="GPI1680" s="1740"/>
      <c r="GPJ1680" s="1740"/>
      <c r="GPK1680" s="1740"/>
      <c r="GPL1680" s="1740"/>
      <c r="GPM1680" s="1740"/>
      <c r="GPN1680" s="1740"/>
      <c r="GPO1680" s="1740"/>
      <c r="GPP1680" s="1740"/>
      <c r="GPQ1680" s="1740"/>
      <c r="GPR1680" s="1740"/>
      <c r="GPS1680" s="1740"/>
      <c r="GPT1680" s="1740"/>
      <c r="GPU1680" s="1740"/>
      <c r="GPV1680" s="1740"/>
      <c r="GPW1680" s="1740"/>
      <c r="GPX1680" s="1740"/>
      <c r="GPY1680" s="1740"/>
      <c r="GPZ1680" s="1740"/>
      <c r="GQA1680" s="1740"/>
      <c r="GQB1680" s="1740"/>
      <c r="GQC1680" s="1740"/>
      <c r="GQD1680" s="1740"/>
      <c r="GQE1680" s="1740"/>
      <c r="GQF1680" s="1740"/>
      <c r="GQG1680" s="1740"/>
      <c r="GQH1680" s="1740"/>
      <c r="GQI1680" s="1740"/>
      <c r="GQJ1680" s="1740"/>
      <c r="GQK1680" s="1740"/>
      <c r="GQL1680" s="1740"/>
      <c r="GQM1680" s="1740"/>
      <c r="GQN1680" s="1740"/>
      <c r="GQO1680" s="1740"/>
      <c r="GQP1680" s="1740"/>
      <c r="GQQ1680" s="1740"/>
      <c r="GQR1680" s="1740"/>
      <c r="GQS1680" s="1740"/>
      <c r="GQT1680" s="1740"/>
      <c r="GQU1680" s="1740"/>
      <c r="GQV1680" s="1740"/>
      <c r="GQW1680" s="1740"/>
      <c r="GQX1680" s="1740"/>
      <c r="GQY1680" s="1740"/>
      <c r="GQZ1680" s="1740"/>
      <c r="GRA1680" s="1740"/>
      <c r="GRB1680" s="1740"/>
      <c r="GRC1680" s="1740"/>
      <c r="GRD1680" s="1740"/>
      <c r="GRE1680" s="1740"/>
      <c r="GRF1680" s="1740"/>
      <c r="GRG1680" s="1740"/>
      <c r="GRH1680" s="1740"/>
      <c r="GRI1680" s="1740"/>
      <c r="GRJ1680" s="1740"/>
      <c r="GRK1680" s="1740"/>
      <c r="GRL1680" s="1740"/>
      <c r="GRM1680" s="1740"/>
      <c r="GRN1680" s="1740"/>
      <c r="GRO1680" s="1740"/>
      <c r="GRP1680" s="1740"/>
      <c r="GRQ1680" s="1740"/>
      <c r="GRR1680" s="1740"/>
      <c r="GRS1680" s="1740"/>
      <c r="GRT1680" s="1740"/>
      <c r="GRU1680" s="1740"/>
      <c r="GRV1680" s="1740"/>
      <c r="GRW1680" s="1740"/>
      <c r="GRX1680" s="1740"/>
      <c r="GRY1680" s="1740"/>
      <c r="GRZ1680" s="1740"/>
      <c r="GSA1680" s="1740"/>
      <c r="GSB1680" s="1740"/>
      <c r="GSC1680" s="1740"/>
      <c r="GSD1680" s="1740"/>
      <c r="GSE1680" s="1740"/>
      <c r="GSF1680" s="1740"/>
      <c r="GSG1680" s="1740"/>
      <c r="GSH1680" s="1740"/>
      <c r="GSI1680" s="1740"/>
      <c r="GSJ1680" s="1740"/>
      <c r="GSK1680" s="1740"/>
      <c r="GSL1680" s="1740"/>
      <c r="GSM1680" s="1740"/>
      <c r="GSN1680" s="1740"/>
      <c r="GSO1680" s="1740"/>
      <c r="GSP1680" s="1740"/>
      <c r="GSQ1680" s="1740"/>
      <c r="GSR1680" s="1740"/>
      <c r="GSS1680" s="1740"/>
      <c r="GST1680" s="1740"/>
      <c r="GSU1680" s="1740"/>
      <c r="GSV1680" s="1740"/>
      <c r="GSW1680" s="1740"/>
      <c r="GSX1680" s="1740"/>
      <c r="GSY1680" s="1740"/>
      <c r="GSZ1680" s="1740"/>
      <c r="GTA1680" s="1740"/>
      <c r="GTB1680" s="1740"/>
      <c r="GTC1680" s="1740"/>
      <c r="GTD1680" s="1740"/>
      <c r="GTE1680" s="1740"/>
      <c r="GTF1680" s="1740"/>
      <c r="GTG1680" s="1740"/>
      <c r="GTH1680" s="1740"/>
      <c r="GTI1680" s="1740"/>
      <c r="GTJ1680" s="1740"/>
      <c r="GTK1680" s="1740"/>
      <c r="GTL1680" s="1740"/>
      <c r="GTM1680" s="1740"/>
      <c r="GTN1680" s="1740"/>
      <c r="GTO1680" s="1740"/>
      <c r="GTP1680" s="1740"/>
      <c r="GTQ1680" s="1740"/>
      <c r="GTR1680" s="1740"/>
      <c r="GTS1680" s="1740"/>
      <c r="GTT1680" s="1740"/>
      <c r="GTU1680" s="1740"/>
      <c r="GTV1680" s="1740"/>
      <c r="GTW1680" s="1740"/>
      <c r="GTX1680" s="1740"/>
      <c r="GTY1680" s="1740"/>
      <c r="GTZ1680" s="1740"/>
      <c r="GUA1680" s="1740"/>
      <c r="GUB1680" s="1740"/>
      <c r="GUC1680" s="1740"/>
      <c r="GUD1680" s="1740"/>
      <c r="GUE1680" s="1740"/>
      <c r="GUF1680" s="1740"/>
      <c r="GUG1680" s="1740"/>
      <c r="GUH1680" s="1740"/>
      <c r="GUI1680" s="1740"/>
      <c r="GUJ1680" s="1740"/>
      <c r="GUK1680" s="1740"/>
      <c r="GUL1680" s="1740"/>
      <c r="GUM1680" s="1740"/>
      <c r="GUN1680" s="1740"/>
      <c r="GUO1680" s="1740"/>
      <c r="GUP1680" s="1740"/>
      <c r="GUQ1680" s="1740"/>
      <c r="GUR1680" s="1740"/>
      <c r="GUS1680" s="1740"/>
      <c r="GUT1680" s="1740"/>
      <c r="GUU1680" s="1740"/>
      <c r="GUV1680" s="1740"/>
      <c r="GUW1680" s="1740"/>
      <c r="GUX1680" s="1740"/>
      <c r="GUY1680" s="1740"/>
      <c r="GUZ1680" s="1740"/>
      <c r="GVA1680" s="1740"/>
      <c r="GVB1680" s="1740"/>
      <c r="GVC1680" s="1740"/>
      <c r="GVD1680" s="1740"/>
      <c r="GVE1680" s="1740"/>
      <c r="GVF1680" s="1740"/>
      <c r="GVG1680" s="1740"/>
      <c r="GVH1680" s="1740"/>
      <c r="GVI1680" s="1740"/>
      <c r="GVJ1680" s="1740"/>
      <c r="GVK1680" s="1740"/>
      <c r="GVL1680" s="1740"/>
      <c r="GVM1680" s="1740"/>
      <c r="GVN1680" s="1740"/>
      <c r="GVO1680" s="1740"/>
      <c r="GVP1680" s="1740"/>
      <c r="GVQ1680" s="1740"/>
      <c r="GVR1680" s="1740"/>
      <c r="GVS1680" s="1740"/>
      <c r="GVT1680" s="1740"/>
      <c r="GVU1680" s="1740"/>
      <c r="GVV1680" s="1740"/>
      <c r="GVW1680" s="1740"/>
      <c r="GVX1680" s="1740"/>
      <c r="GVY1680" s="1740"/>
      <c r="GVZ1680" s="1740"/>
      <c r="GWA1680" s="1740"/>
      <c r="GWB1680" s="1740"/>
      <c r="GWC1680" s="1740"/>
      <c r="GWD1680" s="1740"/>
      <c r="GWE1680" s="1740"/>
      <c r="GWF1680" s="1740"/>
      <c r="GWG1680" s="1740"/>
      <c r="GWH1680" s="1740"/>
      <c r="GWI1680" s="1740"/>
      <c r="GWJ1680" s="1740"/>
      <c r="GWK1680" s="1740"/>
      <c r="GWL1680" s="1740"/>
      <c r="GWM1680" s="1740"/>
      <c r="GWN1680" s="1740"/>
      <c r="GWO1680" s="1740"/>
      <c r="GWP1680" s="1740"/>
      <c r="GWQ1680" s="1740"/>
      <c r="GWR1680" s="1740"/>
      <c r="GWS1680" s="1740"/>
      <c r="GWT1680" s="1740"/>
      <c r="GWU1680" s="1740"/>
      <c r="GWV1680" s="1740"/>
      <c r="GWW1680" s="1740"/>
      <c r="GWX1680" s="1740"/>
      <c r="GWY1680" s="1740"/>
      <c r="GWZ1680" s="1740"/>
      <c r="GXA1680" s="1740"/>
      <c r="GXB1680" s="1740"/>
      <c r="GXC1680" s="1740"/>
      <c r="GXD1680" s="1740"/>
      <c r="GXE1680" s="1740"/>
      <c r="GXF1680" s="1740"/>
      <c r="GXG1680" s="1740"/>
      <c r="GXH1680" s="1740"/>
      <c r="GXI1680" s="1740"/>
      <c r="GXJ1680" s="1740"/>
      <c r="GXK1680" s="1740"/>
      <c r="GXL1680" s="1740"/>
      <c r="GXM1680" s="1740"/>
      <c r="GXN1680" s="1740"/>
      <c r="GXO1680" s="1740"/>
      <c r="GXP1680" s="1740"/>
      <c r="GXQ1680" s="1740"/>
      <c r="GXR1680" s="1740"/>
      <c r="GXS1680" s="1740"/>
      <c r="GXT1680" s="1740"/>
      <c r="GXU1680" s="1740"/>
      <c r="GXV1680" s="1740"/>
      <c r="GXW1680" s="1740"/>
      <c r="GXX1680" s="1740"/>
      <c r="GXY1680" s="1740"/>
      <c r="GXZ1680" s="1740"/>
      <c r="GYA1680" s="1740"/>
      <c r="GYB1680" s="1740"/>
      <c r="GYC1680" s="1740"/>
      <c r="GYD1680" s="1740"/>
      <c r="GYE1680" s="1740"/>
      <c r="GYF1680" s="1740"/>
      <c r="GYG1680" s="1740"/>
      <c r="GYH1680" s="1740"/>
      <c r="GYI1680" s="1740"/>
      <c r="GYJ1680" s="1740"/>
      <c r="GYK1680" s="1740"/>
      <c r="GYL1680" s="1740"/>
      <c r="GYM1680" s="1740"/>
      <c r="GYN1680" s="1740"/>
      <c r="GYO1680" s="1740"/>
      <c r="GYP1680" s="1740"/>
      <c r="GYQ1680" s="1740"/>
      <c r="GYR1680" s="1740"/>
      <c r="GYS1680" s="1740"/>
      <c r="GYT1680" s="1740"/>
      <c r="GYU1680" s="1740"/>
      <c r="GYV1680" s="1740"/>
      <c r="GYW1680" s="1740"/>
      <c r="GYX1680" s="1740"/>
      <c r="GYY1680" s="1740"/>
      <c r="GYZ1680" s="1740"/>
      <c r="GZA1680" s="1740"/>
      <c r="GZB1680" s="1740"/>
      <c r="GZC1680" s="1740"/>
      <c r="GZD1680" s="1740"/>
      <c r="GZE1680" s="1740"/>
      <c r="GZF1680" s="1740"/>
      <c r="GZG1680" s="1740"/>
      <c r="GZH1680" s="1740"/>
      <c r="GZI1680" s="1740"/>
      <c r="GZJ1680" s="1740"/>
      <c r="GZK1680" s="1740"/>
      <c r="GZL1680" s="1740"/>
      <c r="GZM1680" s="1740"/>
      <c r="GZN1680" s="1740"/>
      <c r="GZO1680" s="1740"/>
      <c r="GZP1680" s="1740"/>
      <c r="GZQ1680" s="1740"/>
      <c r="GZR1680" s="1740"/>
      <c r="GZS1680" s="1740"/>
      <c r="GZT1680" s="1740"/>
      <c r="GZU1680" s="1740"/>
      <c r="GZV1680" s="1740"/>
      <c r="GZW1680" s="1740"/>
      <c r="GZX1680" s="1740"/>
      <c r="GZY1680" s="1740"/>
      <c r="GZZ1680" s="1740"/>
      <c r="HAA1680" s="1740"/>
      <c r="HAB1680" s="1740"/>
      <c r="HAC1680" s="1740"/>
      <c r="HAD1680" s="1740"/>
      <c r="HAE1680" s="1740"/>
      <c r="HAF1680" s="1740"/>
      <c r="HAG1680" s="1740"/>
      <c r="HAH1680" s="1740"/>
      <c r="HAI1680" s="1740"/>
      <c r="HAJ1680" s="1740"/>
      <c r="HAK1680" s="1740"/>
      <c r="HAL1680" s="1740"/>
      <c r="HAM1680" s="1740"/>
      <c r="HAN1680" s="1740"/>
      <c r="HAO1680" s="1740"/>
      <c r="HAP1680" s="1740"/>
      <c r="HAQ1680" s="1740"/>
      <c r="HAR1680" s="1740"/>
      <c r="HAS1680" s="1740"/>
      <c r="HAT1680" s="1740"/>
      <c r="HAU1680" s="1740"/>
      <c r="HAV1680" s="1740"/>
      <c r="HAW1680" s="1740"/>
      <c r="HAX1680" s="1740"/>
      <c r="HAY1680" s="1740"/>
      <c r="HAZ1680" s="1740"/>
      <c r="HBA1680" s="1740"/>
      <c r="HBB1680" s="1740"/>
      <c r="HBC1680" s="1740"/>
      <c r="HBD1680" s="1740"/>
      <c r="HBE1680" s="1740"/>
      <c r="HBF1680" s="1740"/>
      <c r="HBG1680" s="1740"/>
      <c r="HBH1680" s="1740"/>
      <c r="HBI1680" s="1740"/>
      <c r="HBJ1680" s="1740"/>
      <c r="HBK1680" s="1740"/>
      <c r="HBL1680" s="1740"/>
      <c r="HBM1680" s="1740"/>
      <c r="HBN1680" s="1740"/>
      <c r="HBO1680" s="1740"/>
      <c r="HBP1680" s="1740"/>
      <c r="HBQ1680" s="1740"/>
      <c r="HBR1680" s="1740"/>
      <c r="HBS1680" s="1740"/>
      <c r="HBT1680" s="1740"/>
      <c r="HBU1680" s="1740"/>
      <c r="HBV1680" s="1740"/>
      <c r="HBW1680" s="1740"/>
      <c r="HBX1680" s="1740"/>
      <c r="HBY1680" s="1740"/>
      <c r="HBZ1680" s="1740"/>
      <c r="HCA1680" s="1740"/>
      <c r="HCB1680" s="1740"/>
      <c r="HCC1680" s="1740"/>
      <c r="HCD1680" s="1740"/>
      <c r="HCE1680" s="1740"/>
      <c r="HCF1680" s="1740"/>
      <c r="HCG1680" s="1740"/>
      <c r="HCH1680" s="1740"/>
      <c r="HCI1680" s="1740"/>
      <c r="HCJ1680" s="1740"/>
      <c r="HCK1680" s="1740"/>
      <c r="HCL1680" s="1740"/>
      <c r="HCM1680" s="1740"/>
      <c r="HCN1680" s="1740"/>
      <c r="HCO1680" s="1740"/>
      <c r="HCP1680" s="1740"/>
      <c r="HCQ1680" s="1740"/>
      <c r="HCR1680" s="1740"/>
      <c r="HCS1680" s="1740"/>
      <c r="HCT1680" s="1740"/>
      <c r="HCU1680" s="1740"/>
      <c r="HCV1680" s="1740"/>
      <c r="HCW1680" s="1740"/>
      <c r="HCX1680" s="1740"/>
      <c r="HCY1680" s="1740"/>
      <c r="HCZ1680" s="1740"/>
      <c r="HDA1680" s="1740"/>
      <c r="HDB1680" s="1740"/>
      <c r="HDC1680" s="1740"/>
      <c r="HDD1680" s="1740"/>
      <c r="HDE1680" s="1740"/>
      <c r="HDF1680" s="1740"/>
      <c r="HDG1680" s="1740"/>
      <c r="HDH1680" s="1740"/>
      <c r="HDI1680" s="1740"/>
      <c r="HDJ1680" s="1740"/>
      <c r="HDK1680" s="1740"/>
      <c r="HDL1680" s="1740"/>
      <c r="HDM1680" s="1740"/>
      <c r="HDN1680" s="1740"/>
      <c r="HDO1680" s="1740"/>
      <c r="HDP1680" s="1740"/>
      <c r="HDQ1680" s="1740"/>
      <c r="HDR1680" s="1740"/>
      <c r="HDS1680" s="1740"/>
      <c r="HDT1680" s="1740"/>
      <c r="HDU1680" s="1740"/>
      <c r="HDV1680" s="1740"/>
      <c r="HDW1680" s="1740"/>
      <c r="HDX1680" s="1740"/>
      <c r="HDY1680" s="1740"/>
      <c r="HDZ1680" s="1740"/>
      <c r="HEA1680" s="1740"/>
      <c r="HEB1680" s="1740"/>
      <c r="HEC1680" s="1740"/>
      <c r="HED1680" s="1740"/>
      <c r="HEE1680" s="1740"/>
      <c r="HEF1680" s="1740"/>
      <c r="HEG1680" s="1740"/>
      <c r="HEH1680" s="1740"/>
      <c r="HEI1680" s="1740"/>
      <c r="HEJ1680" s="1740"/>
      <c r="HEK1680" s="1740"/>
      <c r="HEL1680" s="1740"/>
      <c r="HEM1680" s="1740"/>
      <c r="HEN1680" s="1740"/>
      <c r="HEO1680" s="1740"/>
      <c r="HEP1680" s="1740"/>
      <c r="HEQ1680" s="1740"/>
      <c r="HER1680" s="1740"/>
      <c r="HES1680" s="1740"/>
      <c r="HET1680" s="1740"/>
      <c r="HEU1680" s="1740"/>
      <c r="HEV1680" s="1740"/>
      <c r="HEW1680" s="1740"/>
      <c r="HEX1680" s="1740"/>
      <c r="HEY1680" s="1740"/>
      <c r="HEZ1680" s="1740"/>
      <c r="HFA1680" s="1740"/>
      <c r="HFB1680" s="1740"/>
      <c r="HFC1680" s="1740"/>
      <c r="HFD1680" s="1740"/>
      <c r="HFE1680" s="1740"/>
      <c r="HFF1680" s="1740"/>
      <c r="HFG1680" s="1740"/>
      <c r="HFH1680" s="1740"/>
      <c r="HFI1680" s="1740"/>
      <c r="HFJ1680" s="1740"/>
      <c r="HFK1680" s="1740"/>
      <c r="HFL1680" s="1740"/>
      <c r="HFM1680" s="1740"/>
      <c r="HFN1680" s="1740"/>
      <c r="HFO1680" s="1740"/>
      <c r="HFP1680" s="1740"/>
      <c r="HFQ1680" s="1740"/>
      <c r="HFR1680" s="1740"/>
      <c r="HFS1680" s="1740"/>
      <c r="HFT1680" s="1740"/>
      <c r="HFU1680" s="1740"/>
      <c r="HFV1680" s="1740"/>
      <c r="HFW1680" s="1740"/>
      <c r="HFX1680" s="1740"/>
      <c r="HFY1680" s="1740"/>
      <c r="HFZ1680" s="1740"/>
      <c r="HGA1680" s="1740"/>
      <c r="HGB1680" s="1740"/>
      <c r="HGC1680" s="1740"/>
      <c r="HGD1680" s="1740"/>
      <c r="HGE1680" s="1740"/>
      <c r="HGF1680" s="1740"/>
      <c r="HGG1680" s="1740"/>
      <c r="HGH1680" s="1740"/>
      <c r="HGI1680" s="1740"/>
      <c r="HGJ1680" s="1740"/>
      <c r="HGK1680" s="1740"/>
      <c r="HGL1680" s="1740"/>
      <c r="HGM1680" s="1740"/>
      <c r="HGN1680" s="1740"/>
      <c r="HGO1680" s="1740"/>
      <c r="HGP1680" s="1740"/>
      <c r="HGQ1680" s="1740"/>
      <c r="HGR1680" s="1740"/>
      <c r="HGS1680" s="1740"/>
      <c r="HGT1680" s="1740"/>
      <c r="HGU1680" s="1740"/>
      <c r="HGV1680" s="1740"/>
      <c r="HGW1680" s="1740"/>
      <c r="HGX1680" s="1740"/>
      <c r="HGY1680" s="1740"/>
      <c r="HGZ1680" s="1740"/>
      <c r="HHA1680" s="1740"/>
      <c r="HHB1680" s="1740"/>
      <c r="HHC1680" s="1740"/>
      <c r="HHD1680" s="1740"/>
      <c r="HHE1680" s="1740"/>
      <c r="HHF1680" s="1740"/>
      <c r="HHG1680" s="1740"/>
      <c r="HHH1680" s="1740"/>
      <c r="HHI1680" s="1740"/>
      <c r="HHJ1680" s="1740"/>
      <c r="HHK1680" s="1740"/>
      <c r="HHL1680" s="1740"/>
      <c r="HHM1680" s="1740"/>
      <c r="HHN1680" s="1740"/>
      <c r="HHO1680" s="1740"/>
      <c r="HHP1680" s="1740"/>
      <c r="HHQ1680" s="1740"/>
      <c r="HHR1680" s="1740"/>
      <c r="HHS1680" s="1740"/>
      <c r="HHT1680" s="1740"/>
      <c r="HHU1680" s="1740"/>
      <c r="HHV1680" s="1740"/>
      <c r="HHW1680" s="1740"/>
      <c r="HHX1680" s="1740"/>
      <c r="HHY1680" s="1740"/>
      <c r="HHZ1680" s="1740"/>
      <c r="HIA1680" s="1740"/>
      <c r="HIB1680" s="1740"/>
      <c r="HIC1680" s="1740"/>
      <c r="HID1680" s="1740"/>
      <c r="HIE1680" s="1740"/>
      <c r="HIF1680" s="1740"/>
      <c r="HIG1680" s="1740"/>
      <c r="HIH1680" s="1740"/>
      <c r="HII1680" s="1740"/>
      <c r="HIJ1680" s="1740"/>
      <c r="HIK1680" s="1740"/>
      <c r="HIL1680" s="1740"/>
      <c r="HIM1680" s="1740"/>
      <c r="HIN1680" s="1740"/>
      <c r="HIO1680" s="1740"/>
      <c r="HIP1680" s="1740"/>
      <c r="HIQ1680" s="1740"/>
      <c r="HIR1680" s="1740"/>
      <c r="HIS1680" s="1740"/>
      <c r="HIT1680" s="1740"/>
      <c r="HIU1680" s="1740"/>
      <c r="HIV1680" s="1740"/>
      <c r="HIW1680" s="1740"/>
      <c r="HIX1680" s="1740"/>
      <c r="HIY1680" s="1740"/>
      <c r="HIZ1680" s="1740"/>
      <c r="HJA1680" s="1740"/>
      <c r="HJB1680" s="1740"/>
      <c r="HJC1680" s="1740"/>
      <c r="HJD1680" s="1740"/>
      <c r="HJE1680" s="1740"/>
      <c r="HJF1680" s="1740"/>
      <c r="HJG1680" s="1740"/>
      <c r="HJH1680" s="1740"/>
      <c r="HJI1680" s="1740"/>
      <c r="HJJ1680" s="1740"/>
      <c r="HJK1680" s="1740"/>
      <c r="HJL1680" s="1740"/>
      <c r="HJM1680" s="1740"/>
      <c r="HJN1680" s="1740"/>
      <c r="HJO1680" s="1740"/>
      <c r="HJP1680" s="1740"/>
      <c r="HJQ1680" s="1740"/>
      <c r="HJR1680" s="1740"/>
      <c r="HJS1680" s="1740"/>
      <c r="HJT1680" s="1740"/>
      <c r="HJU1680" s="1740"/>
      <c r="HJV1680" s="1740"/>
      <c r="HJW1680" s="1740"/>
      <c r="HJX1680" s="1740"/>
      <c r="HJY1680" s="1740"/>
      <c r="HJZ1680" s="1740"/>
      <c r="HKA1680" s="1740"/>
      <c r="HKB1680" s="1740"/>
      <c r="HKC1680" s="1740"/>
      <c r="HKD1680" s="1740"/>
      <c r="HKE1680" s="1740"/>
      <c r="HKF1680" s="1740"/>
      <c r="HKG1680" s="1740"/>
      <c r="HKH1680" s="1740"/>
      <c r="HKI1680" s="1740"/>
      <c r="HKJ1680" s="1740"/>
      <c r="HKK1680" s="1740"/>
      <c r="HKL1680" s="1740"/>
      <c r="HKM1680" s="1740"/>
      <c r="HKN1680" s="1740"/>
      <c r="HKO1680" s="1740"/>
      <c r="HKP1680" s="1740"/>
      <c r="HKQ1680" s="1740"/>
      <c r="HKR1680" s="1740"/>
      <c r="HKS1680" s="1740"/>
      <c r="HKT1680" s="1740"/>
      <c r="HKU1680" s="1740"/>
      <c r="HKV1680" s="1740"/>
      <c r="HKW1680" s="1740"/>
      <c r="HKX1680" s="1740"/>
      <c r="HKY1680" s="1740"/>
      <c r="HKZ1680" s="1740"/>
      <c r="HLA1680" s="1740"/>
      <c r="HLB1680" s="1740"/>
      <c r="HLC1680" s="1740"/>
      <c r="HLD1680" s="1740"/>
      <c r="HLE1680" s="1740"/>
      <c r="HLF1680" s="1740"/>
      <c r="HLG1680" s="1740"/>
      <c r="HLH1680" s="1740"/>
      <c r="HLI1680" s="1740"/>
      <c r="HLJ1680" s="1740"/>
      <c r="HLK1680" s="1740"/>
      <c r="HLL1680" s="1740"/>
      <c r="HLM1680" s="1740"/>
      <c r="HLN1680" s="1740"/>
      <c r="HLO1680" s="1740"/>
      <c r="HLP1680" s="1740"/>
      <c r="HLQ1680" s="1740"/>
      <c r="HLR1680" s="1740"/>
      <c r="HLS1680" s="1740"/>
      <c r="HLT1680" s="1740"/>
      <c r="HLU1680" s="1740"/>
      <c r="HLV1680" s="1740"/>
      <c r="HLW1680" s="1740"/>
      <c r="HLX1680" s="1740"/>
      <c r="HLY1680" s="1740"/>
      <c r="HLZ1680" s="1740"/>
      <c r="HMA1680" s="1740"/>
      <c r="HMB1680" s="1740"/>
      <c r="HMC1680" s="1740"/>
      <c r="HMD1680" s="1740"/>
      <c r="HME1680" s="1740"/>
      <c r="HMF1680" s="1740"/>
      <c r="HMG1680" s="1740"/>
      <c r="HMH1680" s="1740"/>
      <c r="HMI1680" s="1740"/>
      <c r="HMJ1680" s="1740"/>
      <c r="HMK1680" s="1740"/>
      <c r="HML1680" s="1740"/>
      <c r="HMM1680" s="1740"/>
      <c r="HMN1680" s="1740"/>
      <c r="HMO1680" s="1740"/>
      <c r="HMP1680" s="1740"/>
      <c r="HMQ1680" s="1740"/>
      <c r="HMR1680" s="1740"/>
      <c r="HMS1680" s="1740"/>
      <c r="HMT1680" s="1740"/>
      <c r="HMU1680" s="1740"/>
      <c r="HMV1680" s="1740"/>
      <c r="HMW1680" s="1740"/>
      <c r="HMX1680" s="1740"/>
      <c r="HMY1680" s="1740"/>
      <c r="HMZ1680" s="1740"/>
      <c r="HNA1680" s="1740"/>
      <c r="HNB1680" s="1740"/>
      <c r="HNC1680" s="1740"/>
      <c r="HND1680" s="1740"/>
      <c r="HNE1680" s="1740"/>
      <c r="HNF1680" s="1740"/>
      <c r="HNG1680" s="1740"/>
      <c r="HNH1680" s="1740"/>
      <c r="HNI1680" s="1740"/>
      <c r="HNJ1680" s="1740"/>
      <c r="HNK1680" s="1740"/>
      <c r="HNL1680" s="1740"/>
      <c r="HNM1680" s="1740"/>
      <c r="HNN1680" s="1740"/>
      <c r="HNO1680" s="1740"/>
      <c r="HNP1680" s="1740"/>
      <c r="HNQ1680" s="1740"/>
      <c r="HNR1680" s="1740"/>
      <c r="HNS1680" s="1740"/>
      <c r="HNT1680" s="1740"/>
      <c r="HNU1680" s="1740"/>
      <c r="HNV1680" s="1740"/>
      <c r="HNW1680" s="1740"/>
      <c r="HNX1680" s="1740"/>
      <c r="HNY1680" s="1740"/>
      <c r="HNZ1680" s="1740"/>
      <c r="HOA1680" s="1740"/>
      <c r="HOB1680" s="1740"/>
      <c r="HOC1680" s="1740"/>
      <c r="HOD1680" s="1740"/>
      <c r="HOE1680" s="1740"/>
      <c r="HOF1680" s="1740"/>
      <c r="HOG1680" s="1740"/>
      <c r="HOH1680" s="1740"/>
      <c r="HOI1680" s="1740"/>
      <c r="HOJ1680" s="1740"/>
      <c r="HOK1680" s="1740"/>
      <c r="HOL1680" s="1740"/>
      <c r="HOM1680" s="1740"/>
      <c r="HON1680" s="1740"/>
      <c r="HOO1680" s="1740"/>
      <c r="HOP1680" s="1740"/>
      <c r="HOQ1680" s="1740"/>
      <c r="HOR1680" s="1740"/>
      <c r="HOS1680" s="1740"/>
      <c r="HOT1680" s="1740"/>
      <c r="HOU1680" s="1740"/>
      <c r="HOV1680" s="1740"/>
      <c r="HOW1680" s="1740"/>
      <c r="HOX1680" s="1740"/>
      <c r="HOY1680" s="1740"/>
      <c r="HOZ1680" s="1740"/>
      <c r="HPA1680" s="1740"/>
      <c r="HPB1680" s="1740"/>
      <c r="HPC1680" s="1740"/>
      <c r="HPD1680" s="1740"/>
      <c r="HPE1680" s="1740"/>
      <c r="HPF1680" s="1740"/>
      <c r="HPG1680" s="1740"/>
      <c r="HPH1680" s="1740"/>
      <c r="HPI1680" s="1740"/>
      <c r="HPJ1680" s="1740"/>
      <c r="HPK1680" s="1740"/>
      <c r="HPL1680" s="1740"/>
      <c r="HPM1680" s="1740"/>
      <c r="HPN1680" s="1740"/>
      <c r="HPO1680" s="1740"/>
      <c r="HPP1680" s="1740"/>
      <c r="HPQ1680" s="1740"/>
      <c r="HPR1680" s="1740"/>
      <c r="HPS1680" s="1740"/>
      <c r="HPT1680" s="1740"/>
      <c r="HPU1680" s="1740"/>
      <c r="HPV1680" s="1740"/>
      <c r="HPW1680" s="1740"/>
      <c r="HPX1680" s="1740"/>
      <c r="HPY1680" s="1740"/>
      <c r="HPZ1680" s="1740"/>
      <c r="HQA1680" s="1740"/>
      <c r="HQB1680" s="1740"/>
      <c r="HQC1680" s="1740"/>
      <c r="HQD1680" s="1740"/>
      <c r="HQE1680" s="1740"/>
      <c r="HQF1680" s="1740"/>
      <c r="HQG1680" s="1740"/>
      <c r="HQH1680" s="1740"/>
      <c r="HQI1680" s="1740"/>
      <c r="HQJ1680" s="1740"/>
      <c r="HQK1680" s="1740"/>
      <c r="HQL1680" s="1740"/>
      <c r="HQM1680" s="1740"/>
      <c r="HQN1680" s="1740"/>
      <c r="HQO1680" s="1740"/>
      <c r="HQP1680" s="1740"/>
      <c r="HQQ1680" s="1740"/>
      <c r="HQR1680" s="1740"/>
      <c r="HQS1680" s="1740"/>
      <c r="HQT1680" s="1740"/>
      <c r="HQU1680" s="1740"/>
      <c r="HQV1680" s="1740"/>
      <c r="HQW1680" s="1740"/>
      <c r="HQX1680" s="1740"/>
      <c r="HQY1680" s="1740"/>
      <c r="HQZ1680" s="1740"/>
      <c r="HRA1680" s="1740"/>
      <c r="HRB1680" s="1740"/>
      <c r="HRC1680" s="1740"/>
      <c r="HRD1680" s="1740"/>
      <c r="HRE1680" s="1740"/>
      <c r="HRF1680" s="1740"/>
      <c r="HRG1680" s="1740"/>
      <c r="HRH1680" s="1740"/>
      <c r="HRI1680" s="1740"/>
      <c r="HRJ1680" s="1740"/>
      <c r="HRK1680" s="1740"/>
      <c r="HRL1680" s="1740"/>
      <c r="HRM1680" s="1740"/>
      <c r="HRN1680" s="1740"/>
      <c r="HRO1680" s="1740"/>
      <c r="HRP1680" s="1740"/>
      <c r="HRQ1680" s="1740"/>
      <c r="HRR1680" s="1740"/>
      <c r="HRS1680" s="1740"/>
      <c r="HRT1680" s="1740"/>
      <c r="HRU1680" s="1740"/>
      <c r="HRV1680" s="1740"/>
      <c r="HRW1680" s="1740"/>
      <c r="HRX1680" s="1740"/>
      <c r="HRY1680" s="1740"/>
      <c r="HRZ1680" s="1740"/>
      <c r="HSA1680" s="1740"/>
      <c r="HSB1680" s="1740"/>
      <c r="HSC1680" s="1740"/>
      <c r="HSD1680" s="1740"/>
      <c r="HSE1680" s="1740"/>
      <c r="HSF1680" s="1740"/>
      <c r="HSG1680" s="1740"/>
      <c r="HSH1680" s="1740"/>
      <c r="HSI1680" s="1740"/>
      <c r="HSJ1680" s="1740"/>
      <c r="HSK1680" s="1740"/>
      <c r="HSL1680" s="1740"/>
      <c r="HSM1680" s="1740"/>
      <c r="HSN1680" s="1740"/>
      <c r="HSO1680" s="1740"/>
      <c r="HSP1680" s="1740"/>
      <c r="HSQ1680" s="1740"/>
      <c r="HSR1680" s="1740"/>
      <c r="HSS1680" s="1740"/>
      <c r="HST1680" s="1740"/>
      <c r="HSU1680" s="1740"/>
      <c r="HSV1680" s="1740"/>
      <c r="HSW1680" s="1740"/>
      <c r="HSX1680" s="1740"/>
      <c r="HSY1680" s="1740"/>
      <c r="HSZ1680" s="1740"/>
      <c r="HTA1680" s="1740"/>
      <c r="HTB1680" s="1740"/>
      <c r="HTC1680" s="1740"/>
      <c r="HTD1680" s="1740"/>
      <c r="HTE1680" s="1740"/>
      <c r="HTF1680" s="1740"/>
      <c r="HTG1680" s="1740"/>
      <c r="HTH1680" s="1740"/>
      <c r="HTI1680" s="1740"/>
      <c r="HTJ1680" s="1740"/>
      <c r="HTK1680" s="1740"/>
      <c r="HTL1680" s="1740"/>
      <c r="HTM1680" s="1740"/>
      <c r="HTN1680" s="1740"/>
      <c r="HTO1680" s="1740"/>
      <c r="HTP1680" s="1740"/>
      <c r="HTQ1680" s="1740"/>
      <c r="HTR1680" s="1740"/>
      <c r="HTS1680" s="1740"/>
      <c r="HTT1680" s="1740"/>
      <c r="HTU1680" s="1740"/>
      <c r="HTV1680" s="1740"/>
      <c r="HTW1680" s="1740"/>
      <c r="HTX1680" s="1740"/>
      <c r="HTY1680" s="1740"/>
      <c r="HTZ1680" s="1740"/>
      <c r="HUA1680" s="1740"/>
      <c r="HUB1680" s="1740"/>
      <c r="HUC1680" s="1740"/>
      <c r="HUD1680" s="1740"/>
      <c r="HUE1680" s="1740"/>
      <c r="HUF1680" s="1740"/>
      <c r="HUG1680" s="1740"/>
      <c r="HUH1680" s="1740"/>
      <c r="HUI1680" s="1740"/>
      <c r="HUJ1680" s="1740"/>
      <c r="HUK1680" s="1740"/>
      <c r="HUL1680" s="1740"/>
      <c r="HUM1680" s="1740"/>
      <c r="HUN1680" s="1740"/>
      <c r="HUO1680" s="1740"/>
      <c r="HUP1680" s="1740"/>
      <c r="HUQ1680" s="1740"/>
      <c r="HUR1680" s="1740"/>
      <c r="HUS1680" s="1740"/>
      <c r="HUT1680" s="1740"/>
      <c r="HUU1680" s="1740"/>
      <c r="HUV1680" s="1740"/>
      <c r="HUW1680" s="1740"/>
      <c r="HUX1680" s="1740"/>
      <c r="HUY1680" s="1740"/>
      <c r="HUZ1680" s="1740"/>
      <c r="HVA1680" s="1740"/>
      <c r="HVB1680" s="1740"/>
      <c r="HVC1680" s="1740"/>
      <c r="HVD1680" s="1740"/>
      <c r="HVE1680" s="1740"/>
      <c r="HVF1680" s="1740"/>
      <c r="HVG1680" s="1740"/>
      <c r="HVH1680" s="1740"/>
      <c r="HVI1680" s="1740"/>
      <c r="HVJ1680" s="1740"/>
      <c r="HVK1680" s="1740"/>
      <c r="HVL1680" s="1740"/>
      <c r="HVM1680" s="1740"/>
      <c r="HVN1680" s="1740"/>
      <c r="HVO1680" s="1740"/>
      <c r="HVP1680" s="1740"/>
      <c r="HVQ1680" s="1740"/>
      <c r="HVR1680" s="1740"/>
      <c r="HVS1680" s="1740"/>
      <c r="HVT1680" s="1740"/>
      <c r="HVU1680" s="1740"/>
      <c r="HVV1680" s="1740"/>
      <c r="HVW1680" s="1740"/>
      <c r="HVX1680" s="1740"/>
      <c r="HVY1680" s="1740"/>
      <c r="HVZ1680" s="1740"/>
      <c r="HWA1680" s="1740"/>
      <c r="HWB1680" s="1740"/>
      <c r="HWC1680" s="1740"/>
      <c r="HWD1680" s="1740"/>
      <c r="HWE1680" s="1740"/>
      <c r="HWF1680" s="1740"/>
      <c r="HWG1680" s="1740"/>
      <c r="HWH1680" s="1740"/>
      <c r="HWI1680" s="1740"/>
      <c r="HWJ1680" s="1740"/>
      <c r="HWK1680" s="1740"/>
      <c r="HWL1680" s="1740"/>
      <c r="HWM1680" s="1740"/>
      <c r="HWN1680" s="1740"/>
      <c r="HWO1680" s="1740"/>
      <c r="HWP1680" s="1740"/>
      <c r="HWQ1680" s="1740"/>
      <c r="HWR1680" s="1740"/>
      <c r="HWS1680" s="1740"/>
      <c r="HWT1680" s="1740"/>
      <c r="HWU1680" s="1740"/>
      <c r="HWV1680" s="1740"/>
      <c r="HWW1680" s="1740"/>
      <c r="HWX1680" s="1740"/>
      <c r="HWY1680" s="1740"/>
      <c r="HWZ1680" s="1740"/>
      <c r="HXA1680" s="1740"/>
      <c r="HXB1680" s="1740"/>
      <c r="HXC1680" s="1740"/>
      <c r="HXD1680" s="1740"/>
      <c r="HXE1680" s="1740"/>
      <c r="HXF1680" s="1740"/>
      <c r="HXG1680" s="1740"/>
      <c r="HXH1680" s="1740"/>
      <c r="HXI1680" s="1740"/>
      <c r="HXJ1680" s="1740"/>
      <c r="HXK1680" s="1740"/>
      <c r="HXL1680" s="1740"/>
      <c r="HXM1680" s="1740"/>
      <c r="HXN1680" s="1740"/>
      <c r="HXO1680" s="1740"/>
      <c r="HXP1680" s="1740"/>
      <c r="HXQ1680" s="1740"/>
      <c r="HXR1680" s="1740"/>
      <c r="HXS1680" s="1740"/>
      <c r="HXT1680" s="1740"/>
      <c r="HXU1680" s="1740"/>
      <c r="HXV1680" s="1740"/>
      <c r="HXW1680" s="1740"/>
      <c r="HXX1680" s="1740"/>
      <c r="HXY1680" s="1740"/>
      <c r="HXZ1680" s="1740"/>
      <c r="HYA1680" s="1740"/>
      <c r="HYB1680" s="1740"/>
      <c r="HYC1680" s="1740"/>
      <c r="HYD1680" s="1740"/>
      <c r="HYE1680" s="1740"/>
      <c r="HYF1680" s="1740"/>
      <c r="HYG1680" s="1740"/>
      <c r="HYH1680" s="1740"/>
      <c r="HYI1680" s="1740"/>
      <c r="HYJ1680" s="1740"/>
      <c r="HYK1680" s="1740"/>
      <c r="HYL1680" s="1740"/>
      <c r="HYM1680" s="1740"/>
      <c r="HYN1680" s="1740"/>
      <c r="HYO1680" s="1740"/>
      <c r="HYP1680" s="1740"/>
      <c r="HYQ1680" s="1740"/>
      <c r="HYR1680" s="1740"/>
      <c r="HYS1680" s="1740"/>
      <c r="HYT1680" s="1740"/>
      <c r="HYU1680" s="1740"/>
      <c r="HYV1680" s="1740"/>
      <c r="HYW1680" s="1740"/>
      <c r="HYX1680" s="1740"/>
      <c r="HYY1680" s="1740"/>
      <c r="HYZ1680" s="1740"/>
      <c r="HZA1680" s="1740"/>
      <c r="HZB1680" s="1740"/>
      <c r="HZC1680" s="1740"/>
      <c r="HZD1680" s="1740"/>
      <c r="HZE1680" s="1740"/>
      <c r="HZF1680" s="1740"/>
      <c r="HZG1680" s="1740"/>
      <c r="HZH1680" s="1740"/>
      <c r="HZI1680" s="1740"/>
      <c r="HZJ1680" s="1740"/>
      <c r="HZK1680" s="1740"/>
      <c r="HZL1680" s="1740"/>
      <c r="HZM1680" s="1740"/>
      <c r="HZN1680" s="1740"/>
      <c r="HZO1680" s="1740"/>
      <c r="HZP1680" s="1740"/>
      <c r="HZQ1680" s="1740"/>
      <c r="HZR1680" s="1740"/>
      <c r="HZS1680" s="1740"/>
      <c r="HZT1680" s="1740"/>
      <c r="HZU1680" s="1740"/>
      <c r="HZV1680" s="1740"/>
      <c r="HZW1680" s="1740"/>
      <c r="HZX1680" s="1740"/>
      <c r="HZY1680" s="1740"/>
      <c r="HZZ1680" s="1740"/>
      <c r="IAA1680" s="1740"/>
      <c r="IAB1680" s="1740"/>
      <c r="IAC1680" s="1740"/>
      <c r="IAD1680" s="1740"/>
      <c r="IAE1680" s="1740"/>
      <c r="IAF1680" s="1740"/>
      <c r="IAG1680" s="1740"/>
      <c r="IAH1680" s="1740"/>
      <c r="IAI1680" s="1740"/>
      <c r="IAJ1680" s="1740"/>
      <c r="IAK1680" s="1740"/>
      <c r="IAL1680" s="1740"/>
      <c r="IAM1680" s="1740"/>
      <c r="IAN1680" s="1740"/>
      <c r="IAO1680" s="1740"/>
      <c r="IAP1680" s="1740"/>
      <c r="IAQ1680" s="1740"/>
      <c r="IAR1680" s="1740"/>
      <c r="IAS1680" s="1740"/>
      <c r="IAT1680" s="1740"/>
      <c r="IAU1680" s="1740"/>
      <c r="IAV1680" s="1740"/>
      <c r="IAW1680" s="1740"/>
      <c r="IAX1680" s="1740"/>
      <c r="IAY1680" s="1740"/>
      <c r="IAZ1680" s="1740"/>
      <c r="IBA1680" s="1740"/>
      <c r="IBB1680" s="1740"/>
      <c r="IBC1680" s="1740"/>
      <c r="IBD1680" s="1740"/>
      <c r="IBE1680" s="1740"/>
      <c r="IBF1680" s="1740"/>
      <c r="IBG1680" s="1740"/>
      <c r="IBH1680" s="1740"/>
      <c r="IBI1680" s="1740"/>
      <c r="IBJ1680" s="1740"/>
      <c r="IBK1680" s="1740"/>
      <c r="IBL1680" s="1740"/>
      <c r="IBM1680" s="1740"/>
      <c r="IBN1680" s="1740"/>
      <c r="IBO1680" s="1740"/>
      <c r="IBP1680" s="1740"/>
      <c r="IBQ1680" s="1740"/>
      <c r="IBR1680" s="1740"/>
      <c r="IBS1680" s="1740"/>
      <c r="IBT1680" s="1740"/>
      <c r="IBU1680" s="1740"/>
      <c r="IBV1680" s="1740"/>
      <c r="IBW1680" s="1740"/>
      <c r="IBX1680" s="1740"/>
      <c r="IBY1680" s="1740"/>
      <c r="IBZ1680" s="1740"/>
      <c r="ICA1680" s="1740"/>
      <c r="ICB1680" s="1740"/>
      <c r="ICC1680" s="1740"/>
      <c r="ICD1680" s="1740"/>
      <c r="ICE1680" s="1740"/>
      <c r="ICF1680" s="1740"/>
      <c r="ICG1680" s="1740"/>
      <c r="ICH1680" s="1740"/>
      <c r="ICI1680" s="1740"/>
      <c r="ICJ1680" s="1740"/>
      <c r="ICK1680" s="1740"/>
      <c r="ICL1680" s="1740"/>
      <c r="ICM1680" s="1740"/>
      <c r="ICN1680" s="1740"/>
      <c r="ICO1680" s="1740"/>
      <c r="ICP1680" s="1740"/>
      <c r="ICQ1680" s="1740"/>
      <c r="ICR1680" s="1740"/>
      <c r="ICS1680" s="1740"/>
      <c r="ICT1680" s="1740"/>
      <c r="ICU1680" s="1740"/>
      <c r="ICV1680" s="1740"/>
      <c r="ICW1680" s="1740"/>
      <c r="ICX1680" s="1740"/>
      <c r="ICY1680" s="1740"/>
      <c r="ICZ1680" s="1740"/>
      <c r="IDA1680" s="1740"/>
      <c r="IDB1680" s="1740"/>
      <c r="IDC1680" s="1740"/>
      <c r="IDD1680" s="1740"/>
      <c r="IDE1680" s="1740"/>
      <c r="IDF1680" s="1740"/>
      <c r="IDG1680" s="1740"/>
      <c r="IDH1680" s="1740"/>
      <c r="IDI1680" s="1740"/>
      <c r="IDJ1680" s="1740"/>
      <c r="IDK1680" s="1740"/>
      <c r="IDL1680" s="1740"/>
      <c r="IDM1680" s="1740"/>
      <c r="IDN1680" s="1740"/>
      <c r="IDO1680" s="1740"/>
      <c r="IDP1680" s="1740"/>
      <c r="IDQ1680" s="1740"/>
      <c r="IDR1680" s="1740"/>
      <c r="IDS1680" s="1740"/>
      <c r="IDT1680" s="1740"/>
      <c r="IDU1680" s="1740"/>
      <c r="IDV1680" s="1740"/>
      <c r="IDW1680" s="1740"/>
      <c r="IDX1680" s="1740"/>
      <c r="IDY1680" s="1740"/>
      <c r="IDZ1680" s="1740"/>
      <c r="IEA1680" s="1740"/>
      <c r="IEB1680" s="1740"/>
      <c r="IEC1680" s="1740"/>
      <c r="IED1680" s="1740"/>
      <c r="IEE1680" s="1740"/>
      <c r="IEF1680" s="1740"/>
      <c r="IEG1680" s="1740"/>
      <c r="IEH1680" s="1740"/>
      <c r="IEI1680" s="1740"/>
      <c r="IEJ1680" s="1740"/>
      <c r="IEK1680" s="1740"/>
      <c r="IEL1680" s="1740"/>
      <c r="IEM1680" s="1740"/>
      <c r="IEN1680" s="1740"/>
      <c r="IEO1680" s="1740"/>
      <c r="IEP1680" s="1740"/>
      <c r="IEQ1680" s="1740"/>
      <c r="IER1680" s="1740"/>
      <c r="IES1680" s="1740"/>
      <c r="IET1680" s="1740"/>
      <c r="IEU1680" s="1740"/>
      <c r="IEV1680" s="1740"/>
      <c r="IEW1680" s="1740"/>
      <c r="IEX1680" s="1740"/>
      <c r="IEY1680" s="1740"/>
      <c r="IEZ1680" s="1740"/>
      <c r="IFA1680" s="1740"/>
      <c r="IFB1680" s="1740"/>
      <c r="IFC1680" s="1740"/>
      <c r="IFD1680" s="1740"/>
      <c r="IFE1680" s="1740"/>
      <c r="IFF1680" s="1740"/>
      <c r="IFG1680" s="1740"/>
      <c r="IFH1680" s="1740"/>
      <c r="IFI1680" s="1740"/>
      <c r="IFJ1680" s="1740"/>
      <c r="IFK1680" s="1740"/>
      <c r="IFL1680" s="1740"/>
      <c r="IFM1680" s="1740"/>
      <c r="IFN1680" s="1740"/>
      <c r="IFO1680" s="1740"/>
      <c r="IFP1680" s="1740"/>
      <c r="IFQ1680" s="1740"/>
      <c r="IFR1680" s="1740"/>
      <c r="IFS1680" s="1740"/>
      <c r="IFT1680" s="1740"/>
      <c r="IFU1680" s="1740"/>
      <c r="IFV1680" s="1740"/>
      <c r="IFW1680" s="1740"/>
      <c r="IFX1680" s="1740"/>
      <c r="IFY1680" s="1740"/>
      <c r="IFZ1680" s="1740"/>
      <c r="IGA1680" s="1740"/>
      <c r="IGB1680" s="1740"/>
      <c r="IGC1680" s="1740"/>
      <c r="IGD1680" s="1740"/>
      <c r="IGE1680" s="1740"/>
      <c r="IGF1680" s="1740"/>
      <c r="IGG1680" s="1740"/>
      <c r="IGH1680" s="1740"/>
      <c r="IGI1680" s="1740"/>
      <c r="IGJ1680" s="1740"/>
      <c r="IGK1680" s="1740"/>
      <c r="IGL1680" s="1740"/>
      <c r="IGM1680" s="1740"/>
      <c r="IGN1680" s="1740"/>
      <c r="IGO1680" s="1740"/>
      <c r="IGP1680" s="1740"/>
      <c r="IGQ1680" s="1740"/>
      <c r="IGR1680" s="1740"/>
      <c r="IGS1680" s="1740"/>
      <c r="IGT1680" s="1740"/>
      <c r="IGU1680" s="1740"/>
      <c r="IGV1680" s="1740"/>
      <c r="IGW1680" s="1740"/>
      <c r="IGX1680" s="1740"/>
      <c r="IGY1680" s="1740"/>
      <c r="IGZ1680" s="1740"/>
      <c r="IHA1680" s="1740"/>
      <c r="IHB1680" s="1740"/>
      <c r="IHC1680" s="1740"/>
      <c r="IHD1680" s="1740"/>
      <c r="IHE1680" s="1740"/>
      <c r="IHF1680" s="1740"/>
      <c r="IHG1680" s="1740"/>
      <c r="IHH1680" s="1740"/>
      <c r="IHI1680" s="1740"/>
      <c r="IHJ1680" s="1740"/>
      <c r="IHK1680" s="1740"/>
      <c r="IHL1680" s="1740"/>
      <c r="IHM1680" s="1740"/>
      <c r="IHN1680" s="1740"/>
      <c r="IHO1680" s="1740"/>
      <c r="IHP1680" s="1740"/>
      <c r="IHQ1680" s="1740"/>
      <c r="IHR1680" s="1740"/>
      <c r="IHS1680" s="1740"/>
      <c r="IHT1680" s="1740"/>
      <c r="IHU1680" s="1740"/>
      <c r="IHV1680" s="1740"/>
      <c r="IHW1680" s="1740"/>
      <c r="IHX1680" s="1740"/>
      <c r="IHY1680" s="1740"/>
      <c r="IHZ1680" s="1740"/>
      <c r="IIA1680" s="1740"/>
      <c r="IIB1680" s="1740"/>
      <c r="IIC1680" s="1740"/>
      <c r="IID1680" s="1740"/>
      <c r="IIE1680" s="1740"/>
      <c r="IIF1680" s="1740"/>
      <c r="IIG1680" s="1740"/>
      <c r="IIH1680" s="1740"/>
      <c r="III1680" s="1740"/>
      <c r="IIJ1680" s="1740"/>
      <c r="IIK1680" s="1740"/>
      <c r="IIL1680" s="1740"/>
      <c r="IIM1680" s="1740"/>
      <c r="IIN1680" s="1740"/>
      <c r="IIO1680" s="1740"/>
      <c r="IIP1680" s="1740"/>
      <c r="IIQ1680" s="1740"/>
      <c r="IIR1680" s="1740"/>
      <c r="IIS1680" s="1740"/>
      <c r="IIT1680" s="1740"/>
      <c r="IIU1680" s="1740"/>
      <c r="IIV1680" s="1740"/>
      <c r="IIW1680" s="1740"/>
      <c r="IIX1680" s="1740"/>
      <c r="IIY1680" s="1740"/>
      <c r="IIZ1680" s="1740"/>
      <c r="IJA1680" s="1740"/>
      <c r="IJB1680" s="1740"/>
      <c r="IJC1680" s="1740"/>
      <c r="IJD1680" s="1740"/>
      <c r="IJE1680" s="1740"/>
      <c r="IJF1680" s="1740"/>
      <c r="IJG1680" s="1740"/>
      <c r="IJH1680" s="1740"/>
      <c r="IJI1680" s="1740"/>
      <c r="IJJ1680" s="1740"/>
      <c r="IJK1680" s="1740"/>
      <c r="IJL1680" s="1740"/>
      <c r="IJM1680" s="1740"/>
      <c r="IJN1680" s="1740"/>
      <c r="IJO1680" s="1740"/>
      <c r="IJP1680" s="1740"/>
      <c r="IJQ1680" s="1740"/>
      <c r="IJR1680" s="1740"/>
      <c r="IJS1680" s="1740"/>
      <c r="IJT1680" s="1740"/>
      <c r="IJU1680" s="1740"/>
      <c r="IJV1680" s="1740"/>
      <c r="IJW1680" s="1740"/>
      <c r="IJX1680" s="1740"/>
      <c r="IJY1680" s="1740"/>
      <c r="IJZ1680" s="1740"/>
      <c r="IKA1680" s="1740"/>
      <c r="IKB1680" s="1740"/>
      <c r="IKC1680" s="1740"/>
      <c r="IKD1680" s="1740"/>
      <c r="IKE1680" s="1740"/>
      <c r="IKF1680" s="1740"/>
      <c r="IKG1680" s="1740"/>
      <c r="IKH1680" s="1740"/>
      <c r="IKI1680" s="1740"/>
      <c r="IKJ1680" s="1740"/>
      <c r="IKK1680" s="1740"/>
      <c r="IKL1680" s="1740"/>
      <c r="IKM1680" s="1740"/>
      <c r="IKN1680" s="1740"/>
      <c r="IKO1680" s="1740"/>
      <c r="IKP1680" s="1740"/>
      <c r="IKQ1680" s="1740"/>
      <c r="IKR1680" s="1740"/>
      <c r="IKS1680" s="1740"/>
      <c r="IKT1680" s="1740"/>
      <c r="IKU1680" s="1740"/>
      <c r="IKV1680" s="1740"/>
      <c r="IKW1680" s="1740"/>
      <c r="IKX1680" s="1740"/>
      <c r="IKY1680" s="1740"/>
      <c r="IKZ1680" s="1740"/>
      <c r="ILA1680" s="1740"/>
      <c r="ILB1680" s="1740"/>
      <c r="ILC1680" s="1740"/>
      <c r="ILD1680" s="1740"/>
      <c r="ILE1680" s="1740"/>
      <c r="ILF1680" s="1740"/>
      <c r="ILG1680" s="1740"/>
      <c r="ILH1680" s="1740"/>
      <c r="ILI1680" s="1740"/>
      <c r="ILJ1680" s="1740"/>
      <c r="ILK1680" s="1740"/>
      <c r="ILL1680" s="1740"/>
      <c r="ILM1680" s="1740"/>
      <c r="ILN1680" s="1740"/>
      <c r="ILO1680" s="1740"/>
      <c r="ILP1680" s="1740"/>
      <c r="ILQ1680" s="1740"/>
      <c r="ILR1680" s="1740"/>
      <c r="ILS1680" s="1740"/>
      <c r="ILT1680" s="1740"/>
      <c r="ILU1680" s="1740"/>
      <c r="ILV1680" s="1740"/>
      <c r="ILW1680" s="1740"/>
      <c r="ILX1680" s="1740"/>
      <c r="ILY1680" s="1740"/>
      <c r="ILZ1680" s="1740"/>
      <c r="IMA1680" s="1740"/>
      <c r="IMB1680" s="1740"/>
      <c r="IMC1680" s="1740"/>
      <c r="IMD1680" s="1740"/>
      <c r="IME1680" s="1740"/>
      <c r="IMF1680" s="1740"/>
      <c r="IMG1680" s="1740"/>
      <c r="IMH1680" s="1740"/>
      <c r="IMI1680" s="1740"/>
      <c r="IMJ1680" s="1740"/>
      <c r="IMK1680" s="1740"/>
      <c r="IML1680" s="1740"/>
      <c r="IMM1680" s="1740"/>
      <c r="IMN1680" s="1740"/>
      <c r="IMO1680" s="1740"/>
      <c r="IMP1680" s="1740"/>
      <c r="IMQ1680" s="1740"/>
      <c r="IMR1680" s="1740"/>
      <c r="IMS1680" s="1740"/>
      <c r="IMT1680" s="1740"/>
      <c r="IMU1680" s="1740"/>
      <c r="IMV1680" s="1740"/>
      <c r="IMW1680" s="1740"/>
      <c r="IMX1680" s="1740"/>
      <c r="IMY1680" s="1740"/>
      <c r="IMZ1680" s="1740"/>
      <c r="INA1680" s="1740"/>
      <c r="INB1680" s="1740"/>
      <c r="INC1680" s="1740"/>
      <c r="IND1680" s="1740"/>
      <c r="INE1680" s="1740"/>
      <c r="INF1680" s="1740"/>
      <c r="ING1680" s="1740"/>
      <c r="INH1680" s="1740"/>
      <c r="INI1680" s="1740"/>
      <c r="INJ1680" s="1740"/>
      <c r="INK1680" s="1740"/>
      <c r="INL1680" s="1740"/>
      <c r="INM1680" s="1740"/>
      <c r="INN1680" s="1740"/>
      <c r="INO1680" s="1740"/>
      <c r="INP1680" s="1740"/>
      <c r="INQ1680" s="1740"/>
      <c r="INR1680" s="1740"/>
      <c r="INS1680" s="1740"/>
      <c r="INT1680" s="1740"/>
      <c r="INU1680" s="1740"/>
      <c r="INV1680" s="1740"/>
      <c r="INW1680" s="1740"/>
      <c r="INX1680" s="1740"/>
      <c r="INY1680" s="1740"/>
      <c r="INZ1680" s="1740"/>
      <c r="IOA1680" s="1740"/>
      <c r="IOB1680" s="1740"/>
      <c r="IOC1680" s="1740"/>
      <c r="IOD1680" s="1740"/>
      <c r="IOE1680" s="1740"/>
      <c r="IOF1680" s="1740"/>
      <c r="IOG1680" s="1740"/>
      <c r="IOH1680" s="1740"/>
      <c r="IOI1680" s="1740"/>
      <c r="IOJ1680" s="1740"/>
      <c r="IOK1680" s="1740"/>
      <c r="IOL1680" s="1740"/>
      <c r="IOM1680" s="1740"/>
      <c r="ION1680" s="1740"/>
      <c r="IOO1680" s="1740"/>
      <c r="IOP1680" s="1740"/>
      <c r="IOQ1680" s="1740"/>
      <c r="IOR1680" s="1740"/>
      <c r="IOS1680" s="1740"/>
      <c r="IOT1680" s="1740"/>
      <c r="IOU1680" s="1740"/>
      <c r="IOV1680" s="1740"/>
      <c r="IOW1680" s="1740"/>
      <c r="IOX1680" s="1740"/>
      <c r="IOY1680" s="1740"/>
      <c r="IOZ1680" s="1740"/>
      <c r="IPA1680" s="1740"/>
      <c r="IPB1680" s="1740"/>
      <c r="IPC1680" s="1740"/>
      <c r="IPD1680" s="1740"/>
      <c r="IPE1680" s="1740"/>
      <c r="IPF1680" s="1740"/>
      <c r="IPG1680" s="1740"/>
      <c r="IPH1680" s="1740"/>
      <c r="IPI1680" s="1740"/>
      <c r="IPJ1680" s="1740"/>
      <c r="IPK1680" s="1740"/>
      <c r="IPL1680" s="1740"/>
      <c r="IPM1680" s="1740"/>
      <c r="IPN1680" s="1740"/>
      <c r="IPO1680" s="1740"/>
      <c r="IPP1680" s="1740"/>
      <c r="IPQ1680" s="1740"/>
      <c r="IPR1680" s="1740"/>
      <c r="IPS1680" s="1740"/>
      <c r="IPT1680" s="1740"/>
      <c r="IPU1680" s="1740"/>
      <c r="IPV1680" s="1740"/>
      <c r="IPW1680" s="1740"/>
      <c r="IPX1680" s="1740"/>
      <c r="IPY1680" s="1740"/>
      <c r="IPZ1680" s="1740"/>
      <c r="IQA1680" s="1740"/>
      <c r="IQB1680" s="1740"/>
      <c r="IQC1680" s="1740"/>
      <c r="IQD1680" s="1740"/>
      <c r="IQE1680" s="1740"/>
      <c r="IQF1680" s="1740"/>
      <c r="IQG1680" s="1740"/>
      <c r="IQH1680" s="1740"/>
      <c r="IQI1680" s="1740"/>
      <c r="IQJ1680" s="1740"/>
      <c r="IQK1680" s="1740"/>
      <c r="IQL1680" s="1740"/>
      <c r="IQM1680" s="1740"/>
      <c r="IQN1680" s="1740"/>
      <c r="IQO1680" s="1740"/>
      <c r="IQP1680" s="1740"/>
      <c r="IQQ1680" s="1740"/>
      <c r="IQR1680" s="1740"/>
      <c r="IQS1680" s="1740"/>
      <c r="IQT1680" s="1740"/>
      <c r="IQU1680" s="1740"/>
      <c r="IQV1680" s="1740"/>
      <c r="IQW1680" s="1740"/>
      <c r="IQX1680" s="1740"/>
      <c r="IQY1680" s="1740"/>
      <c r="IQZ1680" s="1740"/>
      <c r="IRA1680" s="1740"/>
      <c r="IRB1680" s="1740"/>
      <c r="IRC1680" s="1740"/>
      <c r="IRD1680" s="1740"/>
      <c r="IRE1680" s="1740"/>
      <c r="IRF1680" s="1740"/>
      <c r="IRG1680" s="1740"/>
      <c r="IRH1680" s="1740"/>
      <c r="IRI1680" s="1740"/>
      <c r="IRJ1680" s="1740"/>
      <c r="IRK1680" s="1740"/>
      <c r="IRL1680" s="1740"/>
      <c r="IRM1680" s="1740"/>
      <c r="IRN1680" s="1740"/>
      <c r="IRO1680" s="1740"/>
      <c r="IRP1680" s="1740"/>
      <c r="IRQ1680" s="1740"/>
      <c r="IRR1680" s="1740"/>
      <c r="IRS1680" s="1740"/>
      <c r="IRT1680" s="1740"/>
      <c r="IRU1680" s="1740"/>
      <c r="IRV1680" s="1740"/>
      <c r="IRW1680" s="1740"/>
      <c r="IRX1680" s="1740"/>
      <c r="IRY1680" s="1740"/>
      <c r="IRZ1680" s="1740"/>
      <c r="ISA1680" s="1740"/>
      <c r="ISB1680" s="1740"/>
      <c r="ISC1680" s="1740"/>
      <c r="ISD1680" s="1740"/>
      <c r="ISE1680" s="1740"/>
      <c r="ISF1680" s="1740"/>
      <c r="ISG1680" s="1740"/>
      <c r="ISH1680" s="1740"/>
      <c r="ISI1680" s="1740"/>
      <c r="ISJ1680" s="1740"/>
      <c r="ISK1680" s="1740"/>
      <c r="ISL1680" s="1740"/>
      <c r="ISM1680" s="1740"/>
      <c r="ISN1680" s="1740"/>
      <c r="ISO1680" s="1740"/>
      <c r="ISP1680" s="1740"/>
      <c r="ISQ1680" s="1740"/>
      <c r="ISR1680" s="1740"/>
      <c r="ISS1680" s="1740"/>
      <c r="IST1680" s="1740"/>
      <c r="ISU1680" s="1740"/>
      <c r="ISV1680" s="1740"/>
      <c r="ISW1680" s="1740"/>
      <c r="ISX1680" s="1740"/>
      <c r="ISY1680" s="1740"/>
      <c r="ISZ1680" s="1740"/>
      <c r="ITA1680" s="1740"/>
      <c r="ITB1680" s="1740"/>
      <c r="ITC1680" s="1740"/>
      <c r="ITD1680" s="1740"/>
      <c r="ITE1680" s="1740"/>
      <c r="ITF1680" s="1740"/>
      <c r="ITG1680" s="1740"/>
      <c r="ITH1680" s="1740"/>
      <c r="ITI1680" s="1740"/>
      <c r="ITJ1680" s="1740"/>
      <c r="ITK1680" s="1740"/>
      <c r="ITL1680" s="1740"/>
      <c r="ITM1680" s="1740"/>
      <c r="ITN1680" s="1740"/>
      <c r="ITO1680" s="1740"/>
      <c r="ITP1680" s="1740"/>
      <c r="ITQ1680" s="1740"/>
      <c r="ITR1680" s="1740"/>
      <c r="ITS1680" s="1740"/>
      <c r="ITT1680" s="1740"/>
      <c r="ITU1680" s="1740"/>
      <c r="ITV1680" s="1740"/>
      <c r="ITW1680" s="1740"/>
      <c r="ITX1680" s="1740"/>
      <c r="ITY1680" s="1740"/>
      <c r="ITZ1680" s="1740"/>
      <c r="IUA1680" s="1740"/>
      <c r="IUB1680" s="1740"/>
      <c r="IUC1680" s="1740"/>
      <c r="IUD1680" s="1740"/>
      <c r="IUE1680" s="1740"/>
      <c r="IUF1680" s="1740"/>
      <c r="IUG1680" s="1740"/>
      <c r="IUH1680" s="1740"/>
      <c r="IUI1680" s="1740"/>
      <c r="IUJ1680" s="1740"/>
      <c r="IUK1680" s="1740"/>
      <c r="IUL1680" s="1740"/>
      <c r="IUM1680" s="1740"/>
      <c r="IUN1680" s="1740"/>
      <c r="IUO1680" s="1740"/>
      <c r="IUP1680" s="1740"/>
      <c r="IUQ1680" s="1740"/>
      <c r="IUR1680" s="1740"/>
      <c r="IUS1680" s="1740"/>
      <c r="IUT1680" s="1740"/>
      <c r="IUU1680" s="1740"/>
      <c r="IUV1680" s="1740"/>
      <c r="IUW1680" s="1740"/>
      <c r="IUX1680" s="1740"/>
      <c r="IUY1680" s="1740"/>
      <c r="IUZ1680" s="1740"/>
      <c r="IVA1680" s="1740"/>
      <c r="IVB1680" s="1740"/>
      <c r="IVC1680" s="1740"/>
      <c r="IVD1680" s="1740"/>
      <c r="IVE1680" s="1740"/>
      <c r="IVF1680" s="1740"/>
      <c r="IVG1680" s="1740"/>
      <c r="IVH1680" s="1740"/>
      <c r="IVI1680" s="1740"/>
      <c r="IVJ1680" s="1740"/>
      <c r="IVK1680" s="1740"/>
      <c r="IVL1680" s="1740"/>
      <c r="IVM1680" s="1740"/>
      <c r="IVN1680" s="1740"/>
      <c r="IVO1680" s="1740"/>
      <c r="IVP1680" s="1740"/>
      <c r="IVQ1680" s="1740"/>
      <c r="IVR1680" s="1740"/>
      <c r="IVS1680" s="1740"/>
      <c r="IVT1680" s="1740"/>
      <c r="IVU1680" s="1740"/>
      <c r="IVV1680" s="1740"/>
      <c r="IVW1680" s="1740"/>
      <c r="IVX1680" s="1740"/>
      <c r="IVY1680" s="1740"/>
      <c r="IVZ1680" s="1740"/>
      <c r="IWA1680" s="1740"/>
      <c r="IWB1680" s="1740"/>
      <c r="IWC1680" s="1740"/>
      <c r="IWD1680" s="1740"/>
      <c r="IWE1680" s="1740"/>
      <c r="IWF1680" s="1740"/>
      <c r="IWG1680" s="1740"/>
      <c r="IWH1680" s="1740"/>
      <c r="IWI1680" s="1740"/>
      <c r="IWJ1680" s="1740"/>
      <c r="IWK1680" s="1740"/>
      <c r="IWL1680" s="1740"/>
      <c r="IWM1680" s="1740"/>
      <c r="IWN1680" s="1740"/>
      <c r="IWO1680" s="1740"/>
      <c r="IWP1680" s="1740"/>
      <c r="IWQ1680" s="1740"/>
      <c r="IWR1680" s="1740"/>
      <c r="IWS1680" s="1740"/>
      <c r="IWT1680" s="1740"/>
      <c r="IWU1680" s="1740"/>
      <c r="IWV1680" s="1740"/>
      <c r="IWW1680" s="1740"/>
      <c r="IWX1680" s="1740"/>
      <c r="IWY1680" s="1740"/>
      <c r="IWZ1680" s="1740"/>
      <c r="IXA1680" s="1740"/>
      <c r="IXB1680" s="1740"/>
      <c r="IXC1680" s="1740"/>
      <c r="IXD1680" s="1740"/>
      <c r="IXE1680" s="1740"/>
      <c r="IXF1680" s="1740"/>
      <c r="IXG1680" s="1740"/>
      <c r="IXH1680" s="1740"/>
      <c r="IXI1680" s="1740"/>
      <c r="IXJ1680" s="1740"/>
      <c r="IXK1680" s="1740"/>
      <c r="IXL1680" s="1740"/>
      <c r="IXM1680" s="1740"/>
      <c r="IXN1680" s="1740"/>
      <c r="IXO1680" s="1740"/>
      <c r="IXP1680" s="1740"/>
      <c r="IXQ1680" s="1740"/>
      <c r="IXR1680" s="1740"/>
      <c r="IXS1680" s="1740"/>
      <c r="IXT1680" s="1740"/>
      <c r="IXU1680" s="1740"/>
      <c r="IXV1680" s="1740"/>
      <c r="IXW1680" s="1740"/>
      <c r="IXX1680" s="1740"/>
      <c r="IXY1680" s="1740"/>
      <c r="IXZ1680" s="1740"/>
      <c r="IYA1680" s="1740"/>
      <c r="IYB1680" s="1740"/>
      <c r="IYC1680" s="1740"/>
      <c r="IYD1680" s="1740"/>
      <c r="IYE1680" s="1740"/>
      <c r="IYF1680" s="1740"/>
      <c r="IYG1680" s="1740"/>
      <c r="IYH1680" s="1740"/>
      <c r="IYI1680" s="1740"/>
      <c r="IYJ1680" s="1740"/>
      <c r="IYK1680" s="1740"/>
      <c r="IYL1680" s="1740"/>
      <c r="IYM1680" s="1740"/>
      <c r="IYN1680" s="1740"/>
      <c r="IYO1680" s="1740"/>
      <c r="IYP1680" s="1740"/>
      <c r="IYQ1680" s="1740"/>
      <c r="IYR1680" s="1740"/>
      <c r="IYS1680" s="1740"/>
      <c r="IYT1680" s="1740"/>
      <c r="IYU1680" s="1740"/>
      <c r="IYV1680" s="1740"/>
      <c r="IYW1680" s="1740"/>
      <c r="IYX1680" s="1740"/>
      <c r="IYY1680" s="1740"/>
      <c r="IYZ1680" s="1740"/>
      <c r="IZA1680" s="1740"/>
      <c r="IZB1680" s="1740"/>
      <c r="IZC1680" s="1740"/>
      <c r="IZD1680" s="1740"/>
      <c r="IZE1680" s="1740"/>
      <c r="IZF1680" s="1740"/>
      <c r="IZG1680" s="1740"/>
      <c r="IZH1680" s="1740"/>
      <c r="IZI1680" s="1740"/>
      <c r="IZJ1680" s="1740"/>
      <c r="IZK1680" s="1740"/>
      <c r="IZL1680" s="1740"/>
      <c r="IZM1680" s="1740"/>
      <c r="IZN1680" s="1740"/>
      <c r="IZO1680" s="1740"/>
      <c r="IZP1680" s="1740"/>
      <c r="IZQ1680" s="1740"/>
      <c r="IZR1680" s="1740"/>
      <c r="IZS1680" s="1740"/>
      <c r="IZT1680" s="1740"/>
      <c r="IZU1680" s="1740"/>
      <c r="IZV1680" s="1740"/>
      <c r="IZW1680" s="1740"/>
      <c r="IZX1680" s="1740"/>
      <c r="IZY1680" s="1740"/>
      <c r="IZZ1680" s="1740"/>
      <c r="JAA1680" s="1740"/>
      <c r="JAB1680" s="1740"/>
      <c r="JAC1680" s="1740"/>
      <c r="JAD1680" s="1740"/>
      <c r="JAE1680" s="1740"/>
      <c r="JAF1680" s="1740"/>
      <c r="JAG1680" s="1740"/>
      <c r="JAH1680" s="1740"/>
      <c r="JAI1680" s="1740"/>
      <c r="JAJ1680" s="1740"/>
      <c r="JAK1680" s="1740"/>
      <c r="JAL1680" s="1740"/>
      <c r="JAM1680" s="1740"/>
      <c r="JAN1680" s="1740"/>
      <c r="JAO1680" s="1740"/>
      <c r="JAP1680" s="1740"/>
      <c r="JAQ1680" s="1740"/>
      <c r="JAR1680" s="1740"/>
      <c r="JAS1680" s="1740"/>
      <c r="JAT1680" s="1740"/>
      <c r="JAU1680" s="1740"/>
      <c r="JAV1680" s="1740"/>
      <c r="JAW1680" s="1740"/>
      <c r="JAX1680" s="1740"/>
      <c r="JAY1680" s="1740"/>
      <c r="JAZ1680" s="1740"/>
      <c r="JBA1680" s="1740"/>
      <c r="JBB1680" s="1740"/>
      <c r="JBC1680" s="1740"/>
      <c r="JBD1680" s="1740"/>
      <c r="JBE1680" s="1740"/>
      <c r="JBF1680" s="1740"/>
      <c r="JBG1680" s="1740"/>
      <c r="JBH1680" s="1740"/>
      <c r="JBI1680" s="1740"/>
      <c r="JBJ1680" s="1740"/>
      <c r="JBK1680" s="1740"/>
      <c r="JBL1680" s="1740"/>
      <c r="JBM1680" s="1740"/>
      <c r="JBN1680" s="1740"/>
      <c r="JBO1680" s="1740"/>
      <c r="JBP1680" s="1740"/>
      <c r="JBQ1680" s="1740"/>
      <c r="JBR1680" s="1740"/>
      <c r="JBS1680" s="1740"/>
      <c r="JBT1680" s="1740"/>
      <c r="JBU1680" s="1740"/>
      <c r="JBV1680" s="1740"/>
      <c r="JBW1680" s="1740"/>
      <c r="JBX1680" s="1740"/>
      <c r="JBY1680" s="1740"/>
      <c r="JBZ1680" s="1740"/>
      <c r="JCA1680" s="1740"/>
      <c r="JCB1680" s="1740"/>
      <c r="JCC1680" s="1740"/>
      <c r="JCD1680" s="1740"/>
      <c r="JCE1680" s="1740"/>
      <c r="JCF1680" s="1740"/>
      <c r="JCG1680" s="1740"/>
      <c r="JCH1680" s="1740"/>
      <c r="JCI1680" s="1740"/>
      <c r="JCJ1680" s="1740"/>
      <c r="JCK1680" s="1740"/>
      <c r="JCL1680" s="1740"/>
      <c r="JCM1680" s="1740"/>
      <c r="JCN1680" s="1740"/>
      <c r="JCO1680" s="1740"/>
      <c r="JCP1680" s="1740"/>
      <c r="JCQ1680" s="1740"/>
      <c r="JCR1680" s="1740"/>
      <c r="JCS1680" s="1740"/>
      <c r="JCT1680" s="1740"/>
      <c r="JCU1680" s="1740"/>
      <c r="JCV1680" s="1740"/>
      <c r="JCW1680" s="1740"/>
      <c r="JCX1680" s="1740"/>
      <c r="JCY1680" s="1740"/>
      <c r="JCZ1680" s="1740"/>
      <c r="JDA1680" s="1740"/>
      <c r="JDB1680" s="1740"/>
      <c r="JDC1680" s="1740"/>
      <c r="JDD1680" s="1740"/>
      <c r="JDE1680" s="1740"/>
      <c r="JDF1680" s="1740"/>
      <c r="JDG1680" s="1740"/>
      <c r="JDH1680" s="1740"/>
      <c r="JDI1680" s="1740"/>
      <c r="JDJ1680" s="1740"/>
      <c r="JDK1680" s="1740"/>
      <c r="JDL1680" s="1740"/>
      <c r="JDM1680" s="1740"/>
      <c r="JDN1680" s="1740"/>
      <c r="JDO1680" s="1740"/>
      <c r="JDP1680" s="1740"/>
      <c r="JDQ1680" s="1740"/>
      <c r="JDR1680" s="1740"/>
      <c r="JDS1680" s="1740"/>
      <c r="JDT1680" s="1740"/>
      <c r="JDU1680" s="1740"/>
      <c r="JDV1680" s="1740"/>
      <c r="JDW1680" s="1740"/>
      <c r="JDX1680" s="1740"/>
      <c r="JDY1680" s="1740"/>
      <c r="JDZ1680" s="1740"/>
      <c r="JEA1680" s="1740"/>
      <c r="JEB1680" s="1740"/>
      <c r="JEC1680" s="1740"/>
      <c r="JED1680" s="1740"/>
      <c r="JEE1680" s="1740"/>
      <c r="JEF1680" s="1740"/>
      <c r="JEG1680" s="1740"/>
      <c r="JEH1680" s="1740"/>
      <c r="JEI1680" s="1740"/>
      <c r="JEJ1680" s="1740"/>
      <c r="JEK1680" s="1740"/>
      <c r="JEL1680" s="1740"/>
      <c r="JEM1680" s="1740"/>
      <c r="JEN1680" s="1740"/>
      <c r="JEO1680" s="1740"/>
      <c r="JEP1680" s="1740"/>
      <c r="JEQ1680" s="1740"/>
      <c r="JER1680" s="1740"/>
      <c r="JES1680" s="1740"/>
      <c r="JET1680" s="1740"/>
      <c r="JEU1680" s="1740"/>
      <c r="JEV1680" s="1740"/>
      <c r="JEW1680" s="1740"/>
      <c r="JEX1680" s="1740"/>
      <c r="JEY1680" s="1740"/>
      <c r="JEZ1680" s="1740"/>
      <c r="JFA1680" s="1740"/>
      <c r="JFB1680" s="1740"/>
      <c r="JFC1680" s="1740"/>
      <c r="JFD1680" s="1740"/>
      <c r="JFE1680" s="1740"/>
      <c r="JFF1680" s="1740"/>
      <c r="JFG1680" s="1740"/>
      <c r="JFH1680" s="1740"/>
      <c r="JFI1680" s="1740"/>
      <c r="JFJ1680" s="1740"/>
      <c r="JFK1680" s="1740"/>
      <c r="JFL1680" s="1740"/>
      <c r="JFM1680" s="1740"/>
      <c r="JFN1680" s="1740"/>
      <c r="JFO1680" s="1740"/>
      <c r="JFP1680" s="1740"/>
      <c r="JFQ1680" s="1740"/>
      <c r="JFR1680" s="1740"/>
      <c r="JFS1680" s="1740"/>
      <c r="JFT1680" s="1740"/>
      <c r="JFU1680" s="1740"/>
      <c r="JFV1680" s="1740"/>
      <c r="JFW1680" s="1740"/>
      <c r="JFX1680" s="1740"/>
      <c r="JFY1680" s="1740"/>
      <c r="JFZ1680" s="1740"/>
      <c r="JGA1680" s="1740"/>
      <c r="JGB1680" s="1740"/>
      <c r="JGC1680" s="1740"/>
      <c r="JGD1680" s="1740"/>
      <c r="JGE1680" s="1740"/>
      <c r="JGF1680" s="1740"/>
      <c r="JGG1680" s="1740"/>
      <c r="JGH1680" s="1740"/>
      <c r="JGI1680" s="1740"/>
      <c r="JGJ1680" s="1740"/>
      <c r="JGK1680" s="1740"/>
      <c r="JGL1680" s="1740"/>
      <c r="JGM1680" s="1740"/>
      <c r="JGN1680" s="1740"/>
      <c r="JGO1680" s="1740"/>
      <c r="JGP1680" s="1740"/>
      <c r="JGQ1680" s="1740"/>
      <c r="JGR1680" s="1740"/>
      <c r="JGS1680" s="1740"/>
      <c r="JGT1680" s="1740"/>
      <c r="JGU1680" s="1740"/>
      <c r="JGV1680" s="1740"/>
      <c r="JGW1680" s="1740"/>
      <c r="JGX1680" s="1740"/>
      <c r="JGY1680" s="1740"/>
      <c r="JGZ1680" s="1740"/>
      <c r="JHA1680" s="1740"/>
      <c r="JHB1680" s="1740"/>
      <c r="JHC1680" s="1740"/>
      <c r="JHD1680" s="1740"/>
      <c r="JHE1680" s="1740"/>
      <c r="JHF1680" s="1740"/>
      <c r="JHG1680" s="1740"/>
      <c r="JHH1680" s="1740"/>
      <c r="JHI1680" s="1740"/>
      <c r="JHJ1680" s="1740"/>
      <c r="JHK1680" s="1740"/>
      <c r="JHL1680" s="1740"/>
      <c r="JHM1680" s="1740"/>
      <c r="JHN1680" s="1740"/>
      <c r="JHO1680" s="1740"/>
      <c r="JHP1680" s="1740"/>
      <c r="JHQ1680" s="1740"/>
      <c r="JHR1680" s="1740"/>
      <c r="JHS1680" s="1740"/>
      <c r="JHT1680" s="1740"/>
      <c r="JHU1680" s="1740"/>
      <c r="JHV1680" s="1740"/>
      <c r="JHW1680" s="1740"/>
      <c r="JHX1680" s="1740"/>
      <c r="JHY1680" s="1740"/>
      <c r="JHZ1680" s="1740"/>
      <c r="JIA1680" s="1740"/>
      <c r="JIB1680" s="1740"/>
      <c r="JIC1680" s="1740"/>
      <c r="JID1680" s="1740"/>
      <c r="JIE1680" s="1740"/>
      <c r="JIF1680" s="1740"/>
      <c r="JIG1680" s="1740"/>
      <c r="JIH1680" s="1740"/>
      <c r="JII1680" s="1740"/>
      <c r="JIJ1680" s="1740"/>
      <c r="JIK1680" s="1740"/>
      <c r="JIL1680" s="1740"/>
      <c r="JIM1680" s="1740"/>
      <c r="JIN1680" s="1740"/>
      <c r="JIO1680" s="1740"/>
      <c r="JIP1680" s="1740"/>
      <c r="JIQ1680" s="1740"/>
      <c r="JIR1680" s="1740"/>
      <c r="JIS1680" s="1740"/>
      <c r="JIT1680" s="1740"/>
      <c r="JIU1680" s="1740"/>
      <c r="JIV1680" s="1740"/>
      <c r="JIW1680" s="1740"/>
      <c r="JIX1680" s="1740"/>
      <c r="JIY1680" s="1740"/>
      <c r="JIZ1680" s="1740"/>
      <c r="JJA1680" s="1740"/>
      <c r="JJB1680" s="1740"/>
      <c r="JJC1680" s="1740"/>
      <c r="JJD1680" s="1740"/>
      <c r="JJE1680" s="1740"/>
      <c r="JJF1680" s="1740"/>
      <c r="JJG1680" s="1740"/>
      <c r="JJH1680" s="1740"/>
      <c r="JJI1680" s="1740"/>
      <c r="JJJ1680" s="1740"/>
      <c r="JJK1680" s="1740"/>
      <c r="JJL1680" s="1740"/>
      <c r="JJM1680" s="1740"/>
      <c r="JJN1680" s="1740"/>
      <c r="JJO1680" s="1740"/>
      <c r="JJP1680" s="1740"/>
      <c r="JJQ1680" s="1740"/>
      <c r="JJR1680" s="1740"/>
      <c r="JJS1680" s="1740"/>
      <c r="JJT1680" s="1740"/>
      <c r="JJU1680" s="1740"/>
      <c r="JJV1680" s="1740"/>
      <c r="JJW1680" s="1740"/>
      <c r="JJX1680" s="1740"/>
      <c r="JJY1680" s="1740"/>
      <c r="JJZ1680" s="1740"/>
      <c r="JKA1680" s="1740"/>
      <c r="JKB1680" s="1740"/>
      <c r="JKC1680" s="1740"/>
      <c r="JKD1680" s="1740"/>
      <c r="JKE1680" s="1740"/>
      <c r="JKF1680" s="1740"/>
      <c r="JKG1680" s="1740"/>
      <c r="JKH1680" s="1740"/>
      <c r="JKI1680" s="1740"/>
      <c r="JKJ1680" s="1740"/>
      <c r="JKK1680" s="1740"/>
      <c r="JKL1680" s="1740"/>
      <c r="JKM1680" s="1740"/>
      <c r="JKN1680" s="1740"/>
      <c r="JKO1680" s="1740"/>
      <c r="JKP1680" s="1740"/>
      <c r="JKQ1680" s="1740"/>
      <c r="JKR1680" s="1740"/>
      <c r="JKS1680" s="1740"/>
      <c r="JKT1680" s="1740"/>
      <c r="JKU1680" s="1740"/>
      <c r="JKV1680" s="1740"/>
      <c r="JKW1680" s="1740"/>
      <c r="JKX1680" s="1740"/>
      <c r="JKY1680" s="1740"/>
      <c r="JKZ1680" s="1740"/>
      <c r="JLA1680" s="1740"/>
      <c r="JLB1680" s="1740"/>
      <c r="JLC1680" s="1740"/>
      <c r="JLD1680" s="1740"/>
      <c r="JLE1680" s="1740"/>
      <c r="JLF1680" s="1740"/>
      <c r="JLG1680" s="1740"/>
      <c r="JLH1680" s="1740"/>
      <c r="JLI1680" s="1740"/>
      <c r="JLJ1680" s="1740"/>
      <c r="JLK1680" s="1740"/>
      <c r="JLL1680" s="1740"/>
      <c r="JLM1680" s="1740"/>
      <c r="JLN1680" s="1740"/>
      <c r="JLO1680" s="1740"/>
      <c r="JLP1680" s="1740"/>
      <c r="JLQ1680" s="1740"/>
      <c r="JLR1680" s="1740"/>
      <c r="JLS1680" s="1740"/>
      <c r="JLT1680" s="1740"/>
      <c r="JLU1680" s="1740"/>
      <c r="JLV1680" s="1740"/>
      <c r="JLW1680" s="1740"/>
      <c r="JLX1680" s="1740"/>
      <c r="JLY1680" s="1740"/>
      <c r="JLZ1680" s="1740"/>
      <c r="JMA1680" s="1740"/>
      <c r="JMB1680" s="1740"/>
      <c r="JMC1680" s="1740"/>
      <c r="JMD1680" s="1740"/>
      <c r="JME1680" s="1740"/>
      <c r="JMF1680" s="1740"/>
      <c r="JMG1680" s="1740"/>
      <c r="JMH1680" s="1740"/>
      <c r="JMI1680" s="1740"/>
      <c r="JMJ1680" s="1740"/>
      <c r="JMK1680" s="1740"/>
      <c r="JML1680" s="1740"/>
      <c r="JMM1680" s="1740"/>
      <c r="JMN1680" s="1740"/>
      <c r="JMO1680" s="1740"/>
      <c r="JMP1680" s="1740"/>
      <c r="JMQ1680" s="1740"/>
      <c r="JMR1680" s="1740"/>
      <c r="JMS1680" s="1740"/>
      <c r="JMT1680" s="1740"/>
      <c r="JMU1680" s="1740"/>
      <c r="JMV1680" s="1740"/>
      <c r="JMW1680" s="1740"/>
      <c r="JMX1680" s="1740"/>
      <c r="JMY1680" s="1740"/>
      <c r="JMZ1680" s="1740"/>
      <c r="JNA1680" s="1740"/>
      <c r="JNB1680" s="1740"/>
      <c r="JNC1680" s="1740"/>
      <c r="JND1680" s="1740"/>
      <c r="JNE1680" s="1740"/>
      <c r="JNF1680" s="1740"/>
      <c r="JNG1680" s="1740"/>
      <c r="JNH1680" s="1740"/>
      <c r="JNI1680" s="1740"/>
      <c r="JNJ1680" s="1740"/>
      <c r="JNK1680" s="1740"/>
      <c r="JNL1680" s="1740"/>
      <c r="JNM1680" s="1740"/>
      <c r="JNN1680" s="1740"/>
      <c r="JNO1680" s="1740"/>
      <c r="JNP1680" s="1740"/>
      <c r="JNQ1680" s="1740"/>
      <c r="JNR1680" s="1740"/>
      <c r="JNS1680" s="1740"/>
      <c r="JNT1680" s="1740"/>
      <c r="JNU1680" s="1740"/>
      <c r="JNV1680" s="1740"/>
      <c r="JNW1680" s="1740"/>
      <c r="JNX1680" s="1740"/>
      <c r="JNY1680" s="1740"/>
      <c r="JNZ1680" s="1740"/>
      <c r="JOA1680" s="1740"/>
      <c r="JOB1680" s="1740"/>
      <c r="JOC1680" s="1740"/>
      <c r="JOD1680" s="1740"/>
      <c r="JOE1680" s="1740"/>
      <c r="JOF1680" s="1740"/>
      <c r="JOG1680" s="1740"/>
      <c r="JOH1680" s="1740"/>
      <c r="JOI1680" s="1740"/>
      <c r="JOJ1680" s="1740"/>
      <c r="JOK1680" s="1740"/>
      <c r="JOL1680" s="1740"/>
      <c r="JOM1680" s="1740"/>
      <c r="JON1680" s="1740"/>
      <c r="JOO1680" s="1740"/>
      <c r="JOP1680" s="1740"/>
      <c r="JOQ1680" s="1740"/>
      <c r="JOR1680" s="1740"/>
      <c r="JOS1680" s="1740"/>
      <c r="JOT1680" s="1740"/>
      <c r="JOU1680" s="1740"/>
      <c r="JOV1680" s="1740"/>
      <c r="JOW1680" s="1740"/>
      <c r="JOX1680" s="1740"/>
      <c r="JOY1680" s="1740"/>
      <c r="JOZ1680" s="1740"/>
      <c r="JPA1680" s="1740"/>
      <c r="JPB1680" s="1740"/>
      <c r="JPC1680" s="1740"/>
      <c r="JPD1680" s="1740"/>
      <c r="JPE1680" s="1740"/>
      <c r="JPF1680" s="1740"/>
      <c r="JPG1680" s="1740"/>
      <c r="JPH1680" s="1740"/>
      <c r="JPI1680" s="1740"/>
      <c r="JPJ1680" s="1740"/>
      <c r="JPK1680" s="1740"/>
      <c r="JPL1680" s="1740"/>
      <c r="JPM1680" s="1740"/>
      <c r="JPN1680" s="1740"/>
      <c r="JPO1680" s="1740"/>
      <c r="JPP1680" s="1740"/>
      <c r="JPQ1680" s="1740"/>
      <c r="JPR1680" s="1740"/>
      <c r="JPS1680" s="1740"/>
      <c r="JPT1680" s="1740"/>
      <c r="JPU1680" s="1740"/>
      <c r="JPV1680" s="1740"/>
      <c r="JPW1680" s="1740"/>
      <c r="JPX1680" s="1740"/>
      <c r="JPY1680" s="1740"/>
      <c r="JPZ1680" s="1740"/>
      <c r="JQA1680" s="1740"/>
      <c r="JQB1680" s="1740"/>
      <c r="JQC1680" s="1740"/>
      <c r="JQD1680" s="1740"/>
      <c r="JQE1680" s="1740"/>
      <c r="JQF1680" s="1740"/>
      <c r="JQG1680" s="1740"/>
      <c r="JQH1680" s="1740"/>
      <c r="JQI1680" s="1740"/>
      <c r="JQJ1680" s="1740"/>
      <c r="JQK1680" s="1740"/>
      <c r="JQL1680" s="1740"/>
      <c r="JQM1680" s="1740"/>
      <c r="JQN1680" s="1740"/>
      <c r="JQO1680" s="1740"/>
      <c r="JQP1680" s="1740"/>
      <c r="JQQ1680" s="1740"/>
      <c r="JQR1680" s="1740"/>
      <c r="JQS1680" s="1740"/>
      <c r="JQT1680" s="1740"/>
      <c r="JQU1680" s="1740"/>
      <c r="JQV1680" s="1740"/>
      <c r="JQW1680" s="1740"/>
      <c r="JQX1680" s="1740"/>
      <c r="JQY1680" s="1740"/>
      <c r="JQZ1680" s="1740"/>
      <c r="JRA1680" s="1740"/>
      <c r="JRB1680" s="1740"/>
      <c r="JRC1680" s="1740"/>
      <c r="JRD1680" s="1740"/>
      <c r="JRE1680" s="1740"/>
      <c r="JRF1680" s="1740"/>
      <c r="JRG1680" s="1740"/>
      <c r="JRH1680" s="1740"/>
      <c r="JRI1680" s="1740"/>
      <c r="JRJ1680" s="1740"/>
      <c r="JRK1680" s="1740"/>
      <c r="JRL1680" s="1740"/>
      <c r="JRM1680" s="1740"/>
      <c r="JRN1680" s="1740"/>
      <c r="JRO1680" s="1740"/>
      <c r="JRP1680" s="1740"/>
      <c r="JRQ1680" s="1740"/>
      <c r="JRR1680" s="1740"/>
      <c r="JRS1680" s="1740"/>
      <c r="JRT1680" s="1740"/>
      <c r="JRU1680" s="1740"/>
      <c r="JRV1680" s="1740"/>
      <c r="JRW1680" s="1740"/>
      <c r="JRX1680" s="1740"/>
      <c r="JRY1680" s="1740"/>
      <c r="JRZ1680" s="1740"/>
      <c r="JSA1680" s="1740"/>
      <c r="JSB1680" s="1740"/>
      <c r="JSC1680" s="1740"/>
      <c r="JSD1680" s="1740"/>
      <c r="JSE1680" s="1740"/>
      <c r="JSF1680" s="1740"/>
      <c r="JSG1680" s="1740"/>
      <c r="JSH1680" s="1740"/>
      <c r="JSI1680" s="1740"/>
      <c r="JSJ1680" s="1740"/>
      <c r="JSK1680" s="1740"/>
      <c r="JSL1680" s="1740"/>
      <c r="JSM1680" s="1740"/>
      <c r="JSN1680" s="1740"/>
      <c r="JSO1680" s="1740"/>
      <c r="JSP1680" s="1740"/>
      <c r="JSQ1680" s="1740"/>
      <c r="JSR1680" s="1740"/>
      <c r="JSS1680" s="1740"/>
      <c r="JST1680" s="1740"/>
      <c r="JSU1680" s="1740"/>
      <c r="JSV1680" s="1740"/>
      <c r="JSW1680" s="1740"/>
      <c r="JSX1680" s="1740"/>
      <c r="JSY1680" s="1740"/>
      <c r="JSZ1680" s="1740"/>
      <c r="JTA1680" s="1740"/>
      <c r="JTB1680" s="1740"/>
      <c r="JTC1680" s="1740"/>
      <c r="JTD1680" s="1740"/>
      <c r="JTE1680" s="1740"/>
      <c r="JTF1680" s="1740"/>
      <c r="JTG1680" s="1740"/>
      <c r="JTH1680" s="1740"/>
      <c r="JTI1680" s="1740"/>
      <c r="JTJ1680" s="1740"/>
      <c r="JTK1680" s="1740"/>
      <c r="JTL1680" s="1740"/>
      <c r="JTM1680" s="1740"/>
      <c r="JTN1680" s="1740"/>
      <c r="JTO1680" s="1740"/>
      <c r="JTP1680" s="1740"/>
      <c r="JTQ1680" s="1740"/>
      <c r="JTR1680" s="1740"/>
      <c r="JTS1680" s="1740"/>
      <c r="JTT1680" s="1740"/>
      <c r="JTU1680" s="1740"/>
      <c r="JTV1680" s="1740"/>
      <c r="JTW1680" s="1740"/>
      <c r="JTX1680" s="1740"/>
      <c r="JTY1680" s="1740"/>
      <c r="JTZ1680" s="1740"/>
      <c r="JUA1680" s="1740"/>
      <c r="JUB1680" s="1740"/>
      <c r="JUC1680" s="1740"/>
      <c r="JUD1680" s="1740"/>
      <c r="JUE1680" s="1740"/>
      <c r="JUF1680" s="1740"/>
      <c r="JUG1680" s="1740"/>
      <c r="JUH1680" s="1740"/>
      <c r="JUI1680" s="1740"/>
      <c r="JUJ1680" s="1740"/>
      <c r="JUK1680" s="1740"/>
      <c r="JUL1680" s="1740"/>
      <c r="JUM1680" s="1740"/>
      <c r="JUN1680" s="1740"/>
      <c r="JUO1680" s="1740"/>
      <c r="JUP1680" s="1740"/>
      <c r="JUQ1680" s="1740"/>
      <c r="JUR1680" s="1740"/>
      <c r="JUS1680" s="1740"/>
      <c r="JUT1680" s="1740"/>
      <c r="JUU1680" s="1740"/>
      <c r="JUV1680" s="1740"/>
      <c r="JUW1680" s="1740"/>
      <c r="JUX1680" s="1740"/>
      <c r="JUY1680" s="1740"/>
      <c r="JUZ1680" s="1740"/>
      <c r="JVA1680" s="1740"/>
      <c r="JVB1680" s="1740"/>
      <c r="JVC1680" s="1740"/>
      <c r="JVD1680" s="1740"/>
      <c r="JVE1680" s="1740"/>
      <c r="JVF1680" s="1740"/>
      <c r="JVG1680" s="1740"/>
      <c r="JVH1680" s="1740"/>
      <c r="JVI1680" s="1740"/>
      <c r="JVJ1680" s="1740"/>
      <c r="JVK1680" s="1740"/>
      <c r="JVL1680" s="1740"/>
      <c r="JVM1680" s="1740"/>
      <c r="JVN1680" s="1740"/>
      <c r="JVO1680" s="1740"/>
      <c r="JVP1680" s="1740"/>
      <c r="JVQ1680" s="1740"/>
      <c r="JVR1680" s="1740"/>
      <c r="JVS1680" s="1740"/>
      <c r="JVT1680" s="1740"/>
      <c r="JVU1680" s="1740"/>
      <c r="JVV1680" s="1740"/>
      <c r="JVW1680" s="1740"/>
      <c r="JVX1680" s="1740"/>
      <c r="JVY1680" s="1740"/>
      <c r="JVZ1680" s="1740"/>
      <c r="JWA1680" s="1740"/>
      <c r="JWB1680" s="1740"/>
      <c r="JWC1680" s="1740"/>
      <c r="JWD1680" s="1740"/>
      <c r="JWE1680" s="1740"/>
      <c r="JWF1680" s="1740"/>
      <c r="JWG1680" s="1740"/>
      <c r="JWH1680" s="1740"/>
      <c r="JWI1680" s="1740"/>
      <c r="JWJ1680" s="1740"/>
      <c r="JWK1680" s="1740"/>
      <c r="JWL1680" s="1740"/>
      <c r="JWM1680" s="1740"/>
      <c r="JWN1680" s="1740"/>
      <c r="JWO1680" s="1740"/>
      <c r="JWP1680" s="1740"/>
      <c r="JWQ1680" s="1740"/>
      <c r="JWR1680" s="1740"/>
      <c r="JWS1680" s="1740"/>
      <c r="JWT1680" s="1740"/>
      <c r="JWU1680" s="1740"/>
      <c r="JWV1680" s="1740"/>
      <c r="JWW1680" s="1740"/>
      <c r="JWX1680" s="1740"/>
      <c r="JWY1680" s="1740"/>
      <c r="JWZ1680" s="1740"/>
      <c r="JXA1680" s="1740"/>
      <c r="JXB1680" s="1740"/>
      <c r="JXC1680" s="1740"/>
      <c r="JXD1680" s="1740"/>
      <c r="JXE1680" s="1740"/>
      <c r="JXF1680" s="1740"/>
      <c r="JXG1680" s="1740"/>
      <c r="JXH1680" s="1740"/>
      <c r="JXI1680" s="1740"/>
      <c r="JXJ1680" s="1740"/>
      <c r="JXK1680" s="1740"/>
      <c r="JXL1680" s="1740"/>
      <c r="JXM1680" s="1740"/>
      <c r="JXN1680" s="1740"/>
      <c r="JXO1680" s="1740"/>
      <c r="JXP1680" s="1740"/>
      <c r="JXQ1680" s="1740"/>
      <c r="JXR1680" s="1740"/>
      <c r="JXS1680" s="1740"/>
      <c r="JXT1680" s="1740"/>
      <c r="JXU1680" s="1740"/>
      <c r="JXV1680" s="1740"/>
      <c r="JXW1680" s="1740"/>
      <c r="JXX1680" s="1740"/>
      <c r="JXY1680" s="1740"/>
      <c r="JXZ1680" s="1740"/>
      <c r="JYA1680" s="1740"/>
      <c r="JYB1680" s="1740"/>
      <c r="JYC1680" s="1740"/>
      <c r="JYD1680" s="1740"/>
      <c r="JYE1680" s="1740"/>
      <c r="JYF1680" s="1740"/>
      <c r="JYG1680" s="1740"/>
      <c r="JYH1680" s="1740"/>
      <c r="JYI1680" s="1740"/>
      <c r="JYJ1680" s="1740"/>
      <c r="JYK1680" s="1740"/>
      <c r="JYL1680" s="1740"/>
      <c r="JYM1680" s="1740"/>
      <c r="JYN1680" s="1740"/>
      <c r="JYO1680" s="1740"/>
      <c r="JYP1680" s="1740"/>
      <c r="JYQ1680" s="1740"/>
      <c r="JYR1680" s="1740"/>
      <c r="JYS1680" s="1740"/>
      <c r="JYT1680" s="1740"/>
      <c r="JYU1680" s="1740"/>
      <c r="JYV1680" s="1740"/>
      <c r="JYW1680" s="1740"/>
      <c r="JYX1680" s="1740"/>
      <c r="JYY1680" s="1740"/>
      <c r="JYZ1680" s="1740"/>
      <c r="JZA1680" s="1740"/>
      <c r="JZB1680" s="1740"/>
      <c r="JZC1680" s="1740"/>
      <c r="JZD1680" s="1740"/>
      <c r="JZE1680" s="1740"/>
      <c r="JZF1680" s="1740"/>
      <c r="JZG1680" s="1740"/>
      <c r="JZH1680" s="1740"/>
      <c r="JZI1680" s="1740"/>
      <c r="JZJ1680" s="1740"/>
      <c r="JZK1680" s="1740"/>
      <c r="JZL1680" s="1740"/>
      <c r="JZM1680" s="1740"/>
      <c r="JZN1680" s="1740"/>
      <c r="JZO1680" s="1740"/>
      <c r="JZP1680" s="1740"/>
      <c r="JZQ1680" s="1740"/>
      <c r="JZR1680" s="1740"/>
      <c r="JZS1680" s="1740"/>
      <c r="JZT1680" s="1740"/>
      <c r="JZU1680" s="1740"/>
      <c r="JZV1680" s="1740"/>
      <c r="JZW1680" s="1740"/>
      <c r="JZX1680" s="1740"/>
      <c r="JZY1680" s="1740"/>
      <c r="JZZ1680" s="1740"/>
      <c r="KAA1680" s="1740"/>
      <c r="KAB1680" s="1740"/>
      <c r="KAC1680" s="1740"/>
      <c r="KAD1680" s="1740"/>
      <c r="KAE1680" s="1740"/>
      <c r="KAF1680" s="1740"/>
      <c r="KAG1680" s="1740"/>
      <c r="KAH1680" s="1740"/>
      <c r="KAI1680" s="1740"/>
      <c r="KAJ1680" s="1740"/>
      <c r="KAK1680" s="1740"/>
      <c r="KAL1680" s="1740"/>
      <c r="KAM1680" s="1740"/>
      <c r="KAN1680" s="1740"/>
      <c r="KAO1680" s="1740"/>
      <c r="KAP1680" s="1740"/>
      <c r="KAQ1680" s="1740"/>
      <c r="KAR1680" s="1740"/>
      <c r="KAS1680" s="1740"/>
      <c r="KAT1680" s="1740"/>
      <c r="KAU1680" s="1740"/>
      <c r="KAV1680" s="1740"/>
      <c r="KAW1680" s="1740"/>
      <c r="KAX1680" s="1740"/>
      <c r="KAY1680" s="1740"/>
      <c r="KAZ1680" s="1740"/>
      <c r="KBA1680" s="1740"/>
      <c r="KBB1680" s="1740"/>
      <c r="KBC1680" s="1740"/>
      <c r="KBD1680" s="1740"/>
      <c r="KBE1680" s="1740"/>
      <c r="KBF1680" s="1740"/>
      <c r="KBG1680" s="1740"/>
      <c r="KBH1680" s="1740"/>
      <c r="KBI1680" s="1740"/>
      <c r="KBJ1680" s="1740"/>
      <c r="KBK1680" s="1740"/>
      <c r="KBL1680" s="1740"/>
      <c r="KBM1680" s="1740"/>
      <c r="KBN1680" s="1740"/>
      <c r="KBO1680" s="1740"/>
      <c r="KBP1680" s="1740"/>
      <c r="KBQ1680" s="1740"/>
      <c r="KBR1680" s="1740"/>
      <c r="KBS1680" s="1740"/>
      <c r="KBT1680" s="1740"/>
      <c r="KBU1680" s="1740"/>
      <c r="KBV1680" s="1740"/>
      <c r="KBW1680" s="1740"/>
      <c r="KBX1680" s="1740"/>
      <c r="KBY1680" s="1740"/>
      <c r="KBZ1680" s="1740"/>
      <c r="KCA1680" s="1740"/>
      <c r="KCB1680" s="1740"/>
      <c r="KCC1680" s="1740"/>
      <c r="KCD1680" s="1740"/>
      <c r="KCE1680" s="1740"/>
      <c r="KCF1680" s="1740"/>
      <c r="KCG1680" s="1740"/>
      <c r="KCH1680" s="1740"/>
      <c r="KCI1680" s="1740"/>
      <c r="KCJ1680" s="1740"/>
      <c r="KCK1680" s="1740"/>
      <c r="KCL1680" s="1740"/>
      <c r="KCM1680" s="1740"/>
      <c r="KCN1680" s="1740"/>
      <c r="KCO1680" s="1740"/>
      <c r="KCP1680" s="1740"/>
      <c r="KCQ1680" s="1740"/>
      <c r="KCR1680" s="1740"/>
      <c r="KCS1680" s="1740"/>
      <c r="KCT1680" s="1740"/>
      <c r="KCU1680" s="1740"/>
      <c r="KCV1680" s="1740"/>
      <c r="KCW1680" s="1740"/>
      <c r="KCX1680" s="1740"/>
      <c r="KCY1680" s="1740"/>
      <c r="KCZ1680" s="1740"/>
      <c r="KDA1680" s="1740"/>
      <c r="KDB1680" s="1740"/>
      <c r="KDC1680" s="1740"/>
      <c r="KDD1680" s="1740"/>
      <c r="KDE1680" s="1740"/>
      <c r="KDF1680" s="1740"/>
      <c r="KDG1680" s="1740"/>
      <c r="KDH1680" s="1740"/>
      <c r="KDI1680" s="1740"/>
      <c r="KDJ1680" s="1740"/>
      <c r="KDK1680" s="1740"/>
      <c r="KDL1680" s="1740"/>
      <c r="KDM1680" s="1740"/>
      <c r="KDN1680" s="1740"/>
      <c r="KDO1680" s="1740"/>
      <c r="KDP1680" s="1740"/>
      <c r="KDQ1680" s="1740"/>
      <c r="KDR1680" s="1740"/>
      <c r="KDS1680" s="1740"/>
      <c r="KDT1680" s="1740"/>
      <c r="KDU1680" s="1740"/>
      <c r="KDV1680" s="1740"/>
      <c r="KDW1680" s="1740"/>
      <c r="KDX1680" s="1740"/>
      <c r="KDY1680" s="1740"/>
      <c r="KDZ1680" s="1740"/>
      <c r="KEA1680" s="1740"/>
      <c r="KEB1680" s="1740"/>
      <c r="KEC1680" s="1740"/>
      <c r="KED1680" s="1740"/>
      <c r="KEE1680" s="1740"/>
      <c r="KEF1680" s="1740"/>
      <c r="KEG1680" s="1740"/>
      <c r="KEH1680" s="1740"/>
      <c r="KEI1680" s="1740"/>
      <c r="KEJ1680" s="1740"/>
      <c r="KEK1680" s="1740"/>
      <c r="KEL1680" s="1740"/>
      <c r="KEM1680" s="1740"/>
      <c r="KEN1680" s="1740"/>
      <c r="KEO1680" s="1740"/>
      <c r="KEP1680" s="1740"/>
      <c r="KEQ1680" s="1740"/>
      <c r="KER1680" s="1740"/>
      <c r="KES1680" s="1740"/>
      <c r="KET1680" s="1740"/>
      <c r="KEU1680" s="1740"/>
      <c r="KEV1680" s="1740"/>
      <c r="KEW1680" s="1740"/>
      <c r="KEX1680" s="1740"/>
      <c r="KEY1680" s="1740"/>
      <c r="KEZ1680" s="1740"/>
      <c r="KFA1680" s="1740"/>
      <c r="KFB1680" s="1740"/>
      <c r="KFC1680" s="1740"/>
      <c r="KFD1680" s="1740"/>
      <c r="KFE1680" s="1740"/>
      <c r="KFF1680" s="1740"/>
      <c r="KFG1680" s="1740"/>
      <c r="KFH1680" s="1740"/>
      <c r="KFI1680" s="1740"/>
      <c r="KFJ1680" s="1740"/>
      <c r="KFK1680" s="1740"/>
      <c r="KFL1680" s="1740"/>
      <c r="KFM1680" s="1740"/>
      <c r="KFN1680" s="1740"/>
      <c r="KFO1680" s="1740"/>
      <c r="KFP1680" s="1740"/>
      <c r="KFQ1680" s="1740"/>
      <c r="KFR1680" s="1740"/>
      <c r="KFS1680" s="1740"/>
      <c r="KFT1680" s="1740"/>
      <c r="KFU1680" s="1740"/>
      <c r="KFV1680" s="1740"/>
      <c r="KFW1680" s="1740"/>
      <c r="KFX1680" s="1740"/>
      <c r="KFY1680" s="1740"/>
      <c r="KFZ1680" s="1740"/>
      <c r="KGA1680" s="1740"/>
      <c r="KGB1680" s="1740"/>
      <c r="KGC1680" s="1740"/>
      <c r="KGD1680" s="1740"/>
      <c r="KGE1680" s="1740"/>
      <c r="KGF1680" s="1740"/>
      <c r="KGG1680" s="1740"/>
      <c r="KGH1680" s="1740"/>
      <c r="KGI1680" s="1740"/>
      <c r="KGJ1680" s="1740"/>
      <c r="KGK1680" s="1740"/>
      <c r="KGL1680" s="1740"/>
      <c r="KGM1680" s="1740"/>
      <c r="KGN1680" s="1740"/>
      <c r="KGO1680" s="1740"/>
      <c r="KGP1680" s="1740"/>
      <c r="KGQ1680" s="1740"/>
      <c r="KGR1680" s="1740"/>
      <c r="KGS1680" s="1740"/>
      <c r="KGT1680" s="1740"/>
      <c r="KGU1680" s="1740"/>
      <c r="KGV1680" s="1740"/>
      <c r="KGW1680" s="1740"/>
      <c r="KGX1680" s="1740"/>
      <c r="KGY1680" s="1740"/>
      <c r="KGZ1680" s="1740"/>
      <c r="KHA1680" s="1740"/>
      <c r="KHB1680" s="1740"/>
      <c r="KHC1680" s="1740"/>
      <c r="KHD1680" s="1740"/>
      <c r="KHE1680" s="1740"/>
      <c r="KHF1680" s="1740"/>
      <c r="KHG1680" s="1740"/>
      <c r="KHH1680" s="1740"/>
      <c r="KHI1680" s="1740"/>
      <c r="KHJ1680" s="1740"/>
      <c r="KHK1680" s="1740"/>
      <c r="KHL1680" s="1740"/>
      <c r="KHM1680" s="1740"/>
      <c r="KHN1680" s="1740"/>
      <c r="KHO1680" s="1740"/>
      <c r="KHP1680" s="1740"/>
      <c r="KHQ1680" s="1740"/>
      <c r="KHR1680" s="1740"/>
      <c r="KHS1680" s="1740"/>
      <c r="KHT1680" s="1740"/>
      <c r="KHU1680" s="1740"/>
      <c r="KHV1680" s="1740"/>
      <c r="KHW1680" s="1740"/>
      <c r="KHX1680" s="1740"/>
      <c r="KHY1680" s="1740"/>
      <c r="KHZ1680" s="1740"/>
      <c r="KIA1680" s="1740"/>
      <c r="KIB1680" s="1740"/>
      <c r="KIC1680" s="1740"/>
      <c r="KID1680" s="1740"/>
      <c r="KIE1680" s="1740"/>
      <c r="KIF1680" s="1740"/>
      <c r="KIG1680" s="1740"/>
      <c r="KIH1680" s="1740"/>
      <c r="KII1680" s="1740"/>
      <c r="KIJ1680" s="1740"/>
      <c r="KIK1680" s="1740"/>
      <c r="KIL1680" s="1740"/>
      <c r="KIM1680" s="1740"/>
      <c r="KIN1680" s="1740"/>
      <c r="KIO1680" s="1740"/>
      <c r="KIP1680" s="1740"/>
      <c r="KIQ1680" s="1740"/>
      <c r="KIR1680" s="1740"/>
      <c r="KIS1680" s="1740"/>
      <c r="KIT1680" s="1740"/>
      <c r="KIU1680" s="1740"/>
      <c r="KIV1680" s="1740"/>
      <c r="KIW1680" s="1740"/>
      <c r="KIX1680" s="1740"/>
      <c r="KIY1680" s="1740"/>
      <c r="KIZ1680" s="1740"/>
      <c r="KJA1680" s="1740"/>
      <c r="KJB1680" s="1740"/>
      <c r="KJC1680" s="1740"/>
      <c r="KJD1680" s="1740"/>
      <c r="KJE1680" s="1740"/>
      <c r="KJF1680" s="1740"/>
      <c r="KJG1680" s="1740"/>
      <c r="KJH1680" s="1740"/>
      <c r="KJI1680" s="1740"/>
      <c r="KJJ1680" s="1740"/>
      <c r="KJK1680" s="1740"/>
      <c r="KJL1680" s="1740"/>
      <c r="KJM1680" s="1740"/>
      <c r="KJN1680" s="1740"/>
      <c r="KJO1680" s="1740"/>
      <c r="KJP1680" s="1740"/>
      <c r="KJQ1680" s="1740"/>
      <c r="KJR1680" s="1740"/>
      <c r="KJS1680" s="1740"/>
      <c r="KJT1680" s="1740"/>
      <c r="KJU1680" s="1740"/>
      <c r="KJV1680" s="1740"/>
      <c r="KJW1680" s="1740"/>
      <c r="KJX1680" s="1740"/>
      <c r="KJY1680" s="1740"/>
      <c r="KJZ1680" s="1740"/>
      <c r="KKA1680" s="1740"/>
      <c r="KKB1680" s="1740"/>
      <c r="KKC1680" s="1740"/>
      <c r="KKD1680" s="1740"/>
      <c r="KKE1680" s="1740"/>
      <c r="KKF1680" s="1740"/>
      <c r="KKG1680" s="1740"/>
      <c r="KKH1680" s="1740"/>
      <c r="KKI1680" s="1740"/>
      <c r="KKJ1680" s="1740"/>
      <c r="KKK1680" s="1740"/>
      <c r="KKL1680" s="1740"/>
      <c r="KKM1680" s="1740"/>
      <c r="KKN1680" s="1740"/>
      <c r="KKO1680" s="1740"/>
      <c r="KKP1680" s="1740"/>
      <c r="KKQ1680" s="1740"/>
      <c r="KKR1680" s="1740"/>
      <c r="KKS1680" s="1740"/>
      <c r="KKT1680" s="1740"/>
      <c r="KKU1680" s="1740"/>
      <c r="KKV1680" s="1740"/>
      <c r="KKW1680" s="1740"/>
      <c r="KKX1680" s="1740"/>
      <c r="KKY1680" s="1740"/>
      <c r="KKZ1680" s="1740"/>
      <c r="KLA1680" s="1740"/>
      <c r="KLB1680" s="1740"/>
      <c r="KLC1680" s="1740"/>
      <c r="KLD1680" s="1740"/>
      <c r="KLE1680" s="1740"/>
      <c r="KLF1680" s="1740"/>
      <c r="KLG1680" s="1740"/>
      <c r="KLH1680" s="1740"/>
      <c r="KLI1680" s="1740"/>
      <c r="KLJ1680" s="1740"/>
      <c r="KLK1680" s="1740"/>
      <c r="KLL1680" s="1740"/>
      <c r="KLM1680" s="1740"/>
      <c r="KLN1680" s="1740"/>
      <c r="KLO1680" s="1740"/>
      <c r="KLP1680" s="1740"/>
      <c r="KLQ1680" s="1740"/>
      <c r="KLR1680" s="1740"/>
      <c r="KLS1680" s="1740"/>
      <c r="KLT1680" s="1740"/>
      <c r="KLU1680" s="1740"/>
      <c r="KLV1680" s="1740"/>
      <c r="KLW1680" s="1740"/>
      <c r="KLX1680" s="1740"/>
      <c r="KLY1680" s="1740"/>
      <c r="KLZ1680" s="1740"/>
      <c r="KMA1680" s="1740"/>
      <c r="KMB1680" s="1740"/>
      <c r="KMC1680" s="1740"/>
      <c r="KMD1680" s="1740"/>
      <c r="KME1680" s="1740"/>
      <c r="KMF1680" s="1740"/>
      <c r="KMG1680" s="1740"/>
      <c r="KMH1680" s="1740"/>
      <c r="KMI1680" s="1740"/>
      <c r="KMJ1680" s="1740"/>
      <c r="KMK1680" s="1740"/>
      <c r="KML1680" s="1740"/>
      <c r="KMM1680" s="1740"/>
      <c r="KMN1680" s="1740"/>
      <c r="KMO1680" s="1740"/>
      <c r="KMP1680" s="1740"/>
      <c r="KMQ1680" s="1740"/>
      <c r="KMR1680" s="1740"/>
      <c r="KMS1680" s="1740"/>
      <c r="KMT1680" s="1740"/>
      <c r="KMU1680" s="1740"/>
      <c r="KMV1680" s="1740"/>
      <c r="KMW1680" s="1740"/>
      <c r="KMX1680" s="1740"/>
      <c r="KMY1680" s="1740"/>
      <c r="KMZ1680" s="1740"/>
      <c r="KNA1680" s="1740"/>
      <c r="KNB1680" s="1740"/>
      <c r="KNC1680" s="1740"/>
      <c r="KND1680" s="1740"/>
      <c r="KNE1680" s="1740"/>
      <c r="KNF1680" s="1740"/>
      <c r="KNG1680" s="1740"/>
      <c r="KNH1680" s="1740"/>
      <c r="KNI1680" s="1740"/>
      <c r="KNJ1680" s="1740"/>
      <c r="KNK1680" s="1740"/>
      <c r="KNL1680" s="1740"/>
      <c r="KNM1680" s="1740"/>
      <c r="KNN1680" s="1740"/>
      <c r="KNO1680" s="1740"/>
      <c r="KNP1680" s="1740"/>
      <c r="KNQ1680" s="1740"/>
      <c r="KNR1680" s="1740"/>
      <c r="KNS1680" s="1740"/>
      <c r="KNT1680" s="1740"/>
      <c r="KNU1680" s="1740"/>
      <c r="KNV1680" s="1740"/>
      <c r="KNW1680" s="1740"/>
      <c r="KNX1680" s="1740"/>
      <c r="KNY1680" s="1740"/>
      <c r="KNZ1680" s="1740"/>
      <c r="KOA1680" s="1740"/>
      <c r="KOB1680" s="1740"/>
      <c r="KOC1680" s="1740"/>
      <c r="KOD1680" s="1740"/>
      <c r="KOE1680" s="1740"/>
      <c r="KOF1680" s="1740"/>
      <c r="KOG1680" s="1740"/>
      <c r="KOH1680" s="1740"/>
      <c r="KOI1680" s="1740"/>
      <c r="KOJ1680" s="1740"/>
      <c r="KOK1680" s="1740"/>
      <c r="KOL1680" s="1740"/>
      <c r="KOM1680" s="1740"/>
      <c r="KON1680" s="1740"/>
      <c r="KOO1680" s="1740"/>
      <c r="KOP1680" s="1740"/>
      <c r="KOQ1680" s="1740"/>
      <c r="KOR1680" s="1740"/>
      <c r="KOS1680" s="1740"/>
      <c r="KOT1680" s="1740"/>
      <c r="KOU1680" s="1740"/>
      <c r="KOV1680" s="1740"/>
      <c r="KOW1680" s="1740"/>
      <c r="KOX1680" s="1740"/>
      <c r="KOY1680" s="1740"/>
      <c r="KOZ1680" s="1740"/>
      <c r="KPA1680" s="1740"/>
      <c r="KPB1680" s="1740"/>
      <c r="KPC1680" s="1740"/>
      <c r="KPD1680" s="1740"/>
      <c r="KPE1680" s="1740"/>
      <c r="KPF1680" s="1740"/>
      <c r="KPG1680" s="1740"/>
      <c r="KPH1680" s="1740"/>
      <c r="KPI1680" s="1740"/>
      <c r="KPJ1680" s="1740"/>
      <c r="KPK1680" s="1740"/>
      <c r="KPL1680" s="1740"/>
      <c r="KPM1680" s="1740"/>
      <c r="KPN1680" s="1740"/>
      <c r="KPO1680" s="1740"/>
      <c r="KPP1680" s="1740"/>
      <c r="KPQ1680" s="1740"/>
      <c r="KPR1680" s="1740"/>
      <c r="KPS1680" s="1740"/>
      <c r="KPT1680" s="1740"/>
      <c r="KPU1680" s="1740"/>
      <c r="KPV1680" s="1740"/>
      <c r="KPW1680" s="1740"/>
      <c r="KPX1680" s="1740"/>
      <c r="KPY1680" s="1740"/>
      <c r="KPZ1680" s="1740"/>
      <c r="KQA1680" s="1740"/>
      <c r="KQB1680" s="1740"/>
      <c r="KQC1680" s="1740"/>
      <c r="KQD1680" s="1740"/>
      <c r="KQE1680" s="1740"/>
      <c r="KQF1680" s="1740"/>
      <c r="KQG1680" s="1740"/>
      <c r="KQH1680" s="1740"/>
      <c r="KQI1680" s="1740"/>
      <c r="KQJ1680" s="1740"/>
      <c r="KQK1680" s="1740"/>
      <c r="KQL1680" s="1740"/>
      <c r="KQM1680" s="1740"/>
      <c r="KQN1680" s="1740"/>
      <c r="KQO1680" s="1740"/>
      <c r="KQP1680" s="1740"/>
      <c r="KQQ1680" s="1740"/>
      <c r="KQR1680" s="1740"/>
      <c r="KQS1680" s="1740"/>
      <c r="KQT1680" s="1740"/>
      <c r="KQU1680" s="1740"/>
      <c r="KQV1680" s="1740"/>
      <c r="KQW1680" s="1740"/>
      <c r="KQX1680" s="1740"/>
      <c r="KQY1680" s="1740"/>
      <c r="KQZ1680" s="1740"/>
      <c r="KRA1680" s="1740"/>
      <c r="KRB1680" s="1740"/>
      <c r="KRC1680" s="1740"/>
      <c r="KRD1680" s="1740"/>
      <c r="KRE1680" s="1740"/>
      <c r="KRF1680" s="1740"/>
      <c r="KRG1680" s="1740"/>
      <c r="KRH1680" s="1740"/>
      <c r="KRI1680" s="1740"/>
      <c r="KRJ1680" s="1740"/>
      <c r="KRK1680" s="1740"/>
      <c r="KRL1680" s="1740"/>
      <c r="KRM1680" s="1740"/>
      <c r="KRN1680" s="1740"/>
      <c r="KRO1680" s="1740"/>
      <c r="KRP1680" s="1740"/>
      <c r="KRQ1680" s="1740"/>
      <c r="KRR1680" s="1740"/>
      <c r="KRS1680" s="1740"/>
      <c r="KRT1680" s="1740"/>
      <c r="KRU1680" s="1740"/>
      <c r="KRV1680" s="1740"/>
      <c r="KRW1680" s="1740"/>
      <c r="KRX1680" s="1740"/>
      <c r="KRY1680" s="1740"/>
      <c r="KRZ1680" s="1740"/>
      <c r="KSA1680" s="1740"/>
      <c r="KSB1680" s="1740"/>
      <c r="KSC1680" s="1740"/>
      <c r="KSD1680" s="1740"/>
      <c r="KSE1680" s="1740"/>
      <c r="KSF1680" s="1740"/>
      <c r="KSG1680" s="1740"/>
      <c r="KSH1680" s="1740"/>
      <c r="KSI1680" s="1740"/>
      <c r="KSJ1680" s="1740"/>
      <c r="KSK1680" s="1740"/>
      <c r="KSL1680" s="1740"/>
      <c r="KSM1680" s="1740"/>
      <c r="KSN1680" s="1740"/>
      <c r="KSO1680" s="1740"/>
      <c r="KSP1680" s="1740"/>
      <c r="KSQ1680" s="1740"/>
      <c r="KSR1680" s="1740"/>
      <c r="KSS1680" s="1740"/>
      <c r="KST1680" s="1740"/>
      <c r="KSU1680" s="1740"/>
      <c r="KSV1680" s="1740"/>
      <c r="KSW1680" s="1740"/>
      <c r="KSX1680" s="1740"/>
      <c r="KSY1680" s="1740"/>
      <c r="KSZ1680" s="1740"/>
      <c r="KTA1680" s="1740"/>
      <c r="KTB1680" s="1740"/>
      <c r="KTC1680" s="1740"/>
      <c r="KTD1680" s="1740"/>
      <c r="KTE1680" s="1740"/>
      <c r="KTF1680" s="1740"/>
      <c r="KTG1680" s="1740"/>
      <c r="KTH1680" s="1740"/>
      <c r="KTI1680" s="1740"/>
      <c r="KTJ1680" s="1740"/>
      <c r="KTK1680" s="1740"/>
      <c r="KTL1680" s="1740"/>
      <c r="KTM1680" s="1740"/>
      <c r="KTN1680" s="1740"/>
      <c r="KTO1680" s="1740"/>
      <c r="KTP1680" s="1740"/>
      <c r="KTQ1680" s="1740"/>
      <c r="KTR1680" s="1740"/>
      <c r="KTS1680" s="1740"/>
      <c r="KTT1680" s="1740"/>
      <c r="KTU1680" s="1740"/>
      <c r="KTV1680" s="1740"/>
      <c r="KTW1680" s="1740"/>
      <c r="KTX1680" s="1740"/>
      <c r="KTY1680" s="1740"/>
      <c r="KTZ1680" s="1740"/>
      <c r="KUA1680" s="1740"/>
      <c r="KUB1680" s="1740"/>
      <c r="KUC1680" s="1740"/>
      <c r="KUD1680" s="1740"/>
      <c r="KUE1680" s="1740"/>
      <c r="KUF1680" s="1740"/>
      <c r="KUG1680" s="1740"/>
      <c r="KUH1680" s="1740"/>
      <c r="KUI1680" s="1740"/>
      <c r="KUJ1680" s="1740"/>
      <c r="KUK1680" s="1740"/>
      <c r="KUL1680" s="1740"/>
      <c r="KUM1680" s="1740"/>
      <c r="KUN1680" s="1740"/>
      <c r="KUO1680" s="1740"/>
      <c r="KUP1680" s="1740"/>
      <c r="KUQ1680" s="1740"/>
      <c r="KUR1680" s="1740"/>
      <c r="KUS1680" s="1740"/>
      <c r="KUT1680" s="1740"/>
      <c r="KUU1680" s="1740"/>
      <c r="KUV1680" s="1740"/>
      <c r="KUW1680" s="1740"/>
      <c r="KUX1680" s="1740"/>
      <c r="KUY1680" s="1740"/>
      <c r="KUZ1680" s="1740"/>
      <c r="KVA1680" s="1740"/>
      <c r="KVB1680" s="1740"/>
      <c r="KVC1680" s="1740"/>
      <c r="KVD1680" s="1740"/>
      <c r="KVE1680" s="1740"/>
      <c r="KVF1680" s="1740"/>
      <c r="KVG1680" s="1740"/>
      <c r="KVH1680" s="1740"/>
      <c r="KVI1680" s="1740"/>
      <c r="KVJ1680" s="1740"/>
      <c r="KVK1680" s="1740"/>
      <c r="KVL1680" s="1740"/>
      <c r="KVM1680" s="1740"/>
      <c r="KVN1680" s="1740"/>
      <c r="KVO1680" s="1740"/>
      <c r="KVP1680" s="1740"/>
      <c r="KVQ1680" s="1740"/>
      <c r="KVR1680" s="1740"/>
      <c r="KVS1680" s="1740"/>
      <c r="KVT1680" s="1740"/>
      <c r="KVU1680" s="1740"/>
      <c r="KVV1680" s="1740"/>
      <c r="KVW1680" s="1740"/>
      <c r="KVX1680" s="1740"/>
      <c r="KVY1680" s="1740"/>
      <c r="KVZ1680" s="1740"/>
      <c r="KWA1680" s="1740"/>
      <c r="KWB1680" s="1740"/>
      <c r="KWC1680" s="1740"/>
      <c r="KWD1680" s="1740"/>
      <c r="KWE1680" s="1740"/>
      <c r="KWF1680" s="1740"/>
      <c r="KWG1680" s="1740"/>
      <c r="KWH1680" s="1740"/>
      <c r="KWI1680" s="1740"/>
      <c r="KWJ1680" s="1740"/>
      <c r="KWK1680" s="1740"/>
      <c r="KWL1680" s="1740"/>
      <c r="KWM1680" s="1740"/>
      <c r="KWN1680" s="1740"/>
      <c r="KWO1680" s="1740"/>
      <c r="KWP1680" s="1740"/>
      <c r="KWQ1680" s="1740"/>
      <c r="KWR1680" s="1740"/>
      <c r="KWS1680" s="1740"/>
      <c r="KWT1680" s="1740"/>
      <c r="KWU1680" s="1740"/>
      <c r="KWV1680" s="1740"/>
      <c r="KWW1680" s="1740"/>
      <c r="KWX1680" s="1740"/>
      <c r="KWY1680" s="1740"/>
      <c r="KWZ1680" s="1740"/>
      <c r="KXA1680" s="1740"/>
      <c r="KXB1680" s="1740"/>
      <c r="KXC1680" s="1740"/>
      <c r="KXD1680" s="1740"/>
      <c r="KXE1680" s="1740"/>
      <c r="KXF1680" s="1740"/>
      <c r="KXG1680" s="1740"/>
      <c r="KXH1680" s="1740"/>
      <c r="KXI1680" s="1740"/>
      <c r="KXJ1680" s="1740"/>
      <c r="KXK1680" s="1740"/>
      <c r="KXL1680" s="1740"/>
      <c r="KXM1680" s="1740"/>
      <c r="KXN1680" s="1740"/>
      <c r="KXO1680" s="1740"/>
      <c r="KXP1680" s="1740"/>
      <c r="KXQ1680" s="1740"/>
      <c r="KXR1680" s="1740"/>
      <c r="KXS1680" s="1740"/>
      <c r="KXT1680" s="1740"/>
      <c r="KXU1680" s="1740"/>
      <c r="KXV1680" s="1740"/>
      <c r="KXW1680" s="1740"/>
      <c r="KXX1680" s="1740"/>
      <c r="KXY1680" s="1740"/>
      <c r="KXZ1680" s="1740"/>
      <c r="KYA1680" s="1740"/>
      <c r="KYB1680" s="1740"/>
      <c r="KYC1680" s="1740"/>
      <c r="KYD1680" s="1740"/>
      <c r="KYE1680" s="1740"/>
      <c r="KYF1680" s="1740"/>
      <c r="KYG1680" s="1740"/>
      <c r="KYH1680" s="1740"/>
      <c r="KYI1680" s="1740"/>
      <c r="KYJ1680" s="1740"/>
      <c r="KYK1680" s="1740"/>
      <c r="KYL1680" s="1740"/>
      <c r="KYM1680" s="1740"/>
      <c r="KYN1680" s="1740"/>
      <c r="KYO1680" s="1740"/>
      <c r="KYP1680" s="1740"/>
      <c r="KYQ1680" s="1740"/>
      <c r="KYR1680" s="1740"/>
      <c r="KYS1680" s="1740"/>
      <c r="KYT1680" s="1740"/>
      <c r="KYU1680" s="1740"/>
      <c r="KYV1680" s="1740"/>
      <c r="KYW1680" s="1740"/>
      <c r="KYX1680" s="1740"/>
      <c r="KYY1680" s="1740"/>
      <c r="KYZ1680" s="1740"/>
      <c r="KZA1680" s="1740"/>
      <c r="KZB1680" s="1740"/>
      <c r="KZC1680" s="1740"/>
      <c r="KZD1680" s="1740"/>
      <c r="KZE1680" s="1740"/>
      <c r="KZF1680" s="1740"/>
      <c r="KZG1680" s="1740"/>
      <c r="KZH1680" s="1740"/>
      <c r="KZI1680" s="1740"/>
      <c r="KZJ1680" s="1740"/>
      <c r="KZK1680" s="1740"/>
      <c r="KZL1680" s="1740"/>
      <c r="KZM1680" s="1740"/>
      <c r="KZN1680" s="1740"/>
      <c r="KZO1680" s="1740"/>
      <c r="KZP1680" s="1740"/>
      <c r="KZQ1680" s="1740"/>
      <c r="KZR1680" s="1740"/>
      <c r="KZS1680" s="1740"/>
      <c r="KZT1680" s="1740"/>
      <c r="KZU1680" s="1740"/>
      <c r="KZV1680" s="1740"/>
      <c r="KZW1680" s="1740"/>
      <c r="KZX1680" s="1740"/>
      <c r="KZY1680" s="1740"/>
      <c r="KZZ1680" s="1740"/>
      <c r="LAA1680" s="1740"/>
      <c r="LAB1680" s="1740"/>
      <c r="LAC1680" s="1740"/>
      <c r="LAD1680" s="1740"/>
      <c r="LAE1680" s="1740"/>
      <c r="LAF1680" s="1740"/>
      <c r="LAG1680" s="1740"/>
      <c r="LAH1680" s="1740"/>
      <c r="LAI1680" s="1740"/>
      <c r="LAJ1680" s="1740"/>
      <c r="LAK1680" s="1740"/>
      <c r="LAL1680" s="1740"/>
      <c r="LAM1680" s="1740"/>
      <c r="LAN1680" s="1740"/>
      <c r="LAO1680" s="1740"/>
      <c r="LAP1680" s="1740"/>
      <c r="LAQ1680" s="1740"/>
      <c r="LAR1680" s="1740"/>
      <c r="LAS1680" s="1740"/>
      <c r="LAT1680" s="1740"/>
      <c r="LAU1680" s="1740"/>
      <c r="LAV1680" s="1740"/>
      <c r="LAW1680" s="1740"/>
      <c r="LAX1680" s="1740"/>
      <c r="LAY1680" s="1740"/>
      <c r="LAZ1680" s="1740"/>
      <c r="LBA1680" s="1740"/>
      <c r="LBB1680" s="1740"/>
      <c r="LBC1680" s="1740"/>
      <c r="LBD1680" s="1740"/>
      <c r="LBE1680" s="1740"/>
      <c r="LBF1680" s="1740"/>
      <c r="LBG1680" s="1740"/>
      <c r="LBH1680" s="1740"/>
      <c r="LBI1680" s="1740"/>
      <c r="LBJ1680" s="1740"/>
      <c r="LBK1680" s="1740"/>
      <c r="LBL1680" s="1740"/>
      <c r="LBM1680" s="1740"/>
      <c r="LBN1680" s="1740"/>
      <c r="LBO1680" s="1740"/>
      <c r="LBP1680" s="1740"/>
      <c r="LBQ1680" s="1740"/>
      <c r="LBR1680" s="1740"/>
      <c r="LBS1680" s="1740"/>
      <c r="LBT1680" s="1740"/>
      <c r="LBU1680" s="1740"/>
      <c r="LBV1680" s="1740"/>
      <c r="LBW1680" s="1740"/>
      <c r="LBX1680" s="1740"/>
      <c r="LBY1680" s="1740"/>
      <c r="LBZ1680" s="1740"/>
      <c r="LCA1680" s="1740"/>
      <c r="LCB1680" s="1740"/>
      <c r="LCC1680" s="1740"/>
      <c r="LCD1680" s="1740"/>
      <c r="LCE1680" s="1740"/>
      <c r="LCF1680" s="1740"/>
      <c r="LCG1680" s="1740"/>
      <c r="LCH1680" s="1740"/>
      <c r="LCI1680" s="1740"/>
      <c r="LCJ1680" s="1740"/>
      <c r="LCK1680" s="1740"/>
      <c r="LCL1680" s="1740"/>
      <c r="LCM1680" s="1740"/>
      <c r="LCN1680" s="1740"/>
      <c r="LCO1680" s="1740"/>
      <c r="LCP1680" s="1740"/>
      <c r="LCQ1680" s="1740"/>
      <c r="LCR1680" s="1740"/>
      <c r="LCS1680" s="1740"/>
      <c r="LCT1680" s="1740"/>
      <c r="LCU1680" s="1740"/>
      <c r="LCV1680" s="1740"/>
      <c r="LCW1680" s="1740"/>
      <c r="LCX1680" s="1740"/>
      <c r="LCY1680" s="1740"/>
      <c r="LCZ1680" s="1740"/>
      <c r="LDA1680" s="1740"/>
      <c r="LDB1680" s="1740"/>
      <c r="LDC1680" s="1740"/>
      <c r="LDD1680" s="1740"/>
      <c r="LDE1680" s="1740"/>
      <c r="LDF1680" s="1740"/>
      <c r="LDG1680" s="1740"/>
      <c r="LDH1680" s="1740"/>
      <c r="LDI1680" s="1740"/>
      <c r="LDJ1680" s="1740"/>
      <c r="LDK1680" s="1740"/>
      <c r="LDL1680" s="1740"/>
      <c r="LDM1680" s="1740"/>
      <c r="LDN1680" s="1740"/>
      <c r="LDO1680" s="1740"/>
      <c r="LDP1680" s="1740"/>
      <c r="LDQ1680" s="1740"/>
      <c r="LDR1680" s="1740"/>
      <c r="LDS1680" s="1740"/>
      <c r="LDT1680" s="1740"/>
      <c r="LDU1680" s="1740"/>
      <c r="LDV1680" s="1740"/>
      <c r="LDW1680" s="1740"/>
      <c r="LDX1680" s="1740"/>
      <c r="LDY1680" s="1740"/>
      <c r="LDZ1680" s="1740"/>
      <c r="LEA1680" s="1740"/>
      <c r="LEB1680" s="1740"/>
      <c r="LEC1680" s="1740"/>
      <c r="LED1680" s="1740"/>
      <c r="LEE1680" s="1740"/>
      <c r="LEF1680" s="1740"/>
      <c r="LEG1680" s="1740"/>
      <c r="LEH1680" s="1740"/>
      <c r="LEI1680" s="1740"/>
      <c r="LEJ1680" s="1740"/>
      <c r="LEK1680" s="1740"/>
      <c r="LEL1680" s="1740"/>
      <c r="LEM1680" s="1740"/>
      <c r="LEN1680" s="1740"/>
      <c r="LEO1680" s="1740"/>
      <c r="LEP1680" s="1740"/>
      <c r="LEQ1680" s="1740"/>
      <c r="LER1680" s="1740"/>
      <c r="LES1680" s="1740"/>
      <c r="LET1680" s="1740"/>
      <c r="LEU1680" s="1740"/>
      <c r="LEV1680" s="1740"/>
      <c r="LEW1680" s="1740"/>
      <c r="LEX1680" s="1740"/>
      <c r="LEY1680" s="1740"/>
      <c r="LEZ1680" s="1740"/>
      <c r="LFA1680" s="1740"/>
      <c r="LFB1680" s="1740"/>
      <c r="LFC1680" s="1740"/>
      <c r="LFD1680" s="1740"/>
      <c r="LFE1680" s="1740"/>
      <c r="LFF1680" s="1740"/>
      <c r="LFG1680" s="1740"/>
      <c r="LFH1680" s="1740"/>
      <c r="LFI1680" s="1740"/>
      <c r="LFJ1680" s="1740"/>
      <c r="LFK1680" s="1740"/>
      <c r="LFL1680" s="1740"/>
      <c r="LFM1680" s="1740"/>
      <c r="LFN1680" s="1740"/>
      <c r="LFO1680" s="1740"/>
      <c r="LFP1680" s="1740"/>
      <c r="LFQ1680" s="1740"/>
      <c r="LFR1680" s="1740"/>
      <c r="LFS1680" s="1740"/>
      <c r="LFT1680" s="1740"/>
      <c r="LFU1680" s="1740"/>
      <c r="LFV1680" s="1740"/>
      <c r="LFW1680" s="1740"/>
      <c r="LFX1680" s="1740"/>
      <c r="LFY1680" s="1740"/>
      <c r="LFZ1680" s="1740"/>
      <c r="LGA1680" s="1740"/>
      <c r="LGB1680" s="1740"/>
      <c r="LGC1680" s="1740"/>
      <c r="LGD1680" s="1740"/>
      <c r="LGE1680" s="1740"/>
      <c r="LGF1680" s="1740"/>
      <c r="LGG1680" s="1740"/>
      <c r="LGH1680" s="1740"/>
      <c r="LGI1680" s="1740"/>
      <c r="LGJ1680" s="1740"/>
      <c r="LGK1680" s="1740"/>
      <c r="LGL1680" s="1740"/>
      <c r="LGM1680" s="1740"/>
      <c r="LGN1680" s="1740"/>
      <c r="LGO1680" s="1740"/>
      <c r="LGP1680" s="1740"/>
      <c r="LGQ1680" s="1740"/>
      <c r="LGR1680" s="1740"/>
      <c r="LGS1680" s="1740"/>
      <c r="LGT1680" s="1740"/>
      <c r="LGU1680" s="1740"/>
      <c r="LGV1680" s="1740"/>
      <c r="LGW1680" s="1740"/>
      <c r="LGX1680" s="1740"/>
      <c r="LGY1680" s="1740"/>
      <c r="LGZ1680" s="1740"/>
      <c r="LHA1680" s="1740"/>
      <c r="LHB1680" s="1740"/>
      <c r="LHC1680" s="1740"/>
      <c r="LHD1680" s="1740"/>
      <c r="LHE1680" s="1740"/>
      <c r="LHF1680" s="1740"/>
      <c r="LHG1680" s="1740"/>
      <c r="LHH1680" s="1740"/>
      <c r="LHI1680" s="1740"/>
      <c r="LHJ1680" s="1740"/>
      <c r="LHK1680" s="1740"/>
      <c r="LHL1680" s="1740"/>
      <c r="LHM1680" s="1740"/>
      <c r="LHN1680" s="1740"/>
      <c r="LHO1680" s="1740"/>
      <c r="LHP1680" s="1740"/>
      <c r="LHQ1680" s="1740"/>
      <c r="LHR1680" s="1740"/>
      <c r="LHS1680" s="1740"/>
      <c r="LHT1680" s="1740"/>
      <c r="LHU1680" s="1740"/>
      <c r="LHV1680" s="1740"/>
      <c r="LHW1680" s="1740"/>
      <c r="LHX1680" s="1740"/>
      <c r="LHY1680" s="1740"/>
      <c r="LHZ1680" s="1740"/>
      <c r="LIA1680" s="1740"/>
      <c r="LIB1680" s="1740"/>
      <c r="LIC1680" s="1740"/>
      <c r="LID1680" s="1740"/>
      <c r="LIE1680" s="1740"/>
      <c r="LIF1680" s="1740"/>
      <c r="LIG1680" s="1740"/>
      <c r="LIH1680" s="1740"/>
      <c r="LII1680" s="1740"/>
      <c r="LIJ1680" s="1740"/>
      <c r="LIK1680" s="1740"/>
      <c r="LIL1680" s="1740"/>
      <c r="LIM1680" s="1740"/>
      <c r="LIN1680" s="1740"/>
      <c r="LIO1680" s="1740"/>
      <c r="LIP1680" s="1740"/>
      <c r="LIQ1680" s="1740"/>
      <c r="LIR1680" s="1740"/>
      <c r="LIS1680" s="1740"/>
      <c r="LIT1680" s="1740"/>
      <c r="LIU1680" s="1740"/>
      <c r="LIV1680" s="1740"/>
      <c r="LIW1680" s="1740"/>
      <c r="LIX1680" s="1740"/>
      <c r="LIY1680" s="1740"/>
      <c r="LIZ1680" s="1740"/>
      <c r="LJA1680" s="1740"/>
      <c r="LJB1680" s="1740"/>
      <c r="LJC1680" s="1740"/>
      <c r="LJD1680" s="1740"/>
      <c r="LJE1680" s="1740"/>
      <c r="LJF1680" s="1740"/>
      <c r="LJG1680" s="1740"/>
      <c r="LJH1680" s="1740"/>
      <c r="LJI1680" s="1740"/>
      <c r="LJJ1680" s="1740"/>
      <c r="LJK1680" s="1740"/>
      <c r="LJL1680" s="1740"/>
      <c r="LJM1680" s="1740"/>
      <c r="LJN1680" s="1740"/>
      <c r="LJO1680" s="1740"/>
      <c r="LJP1680" s="1740"/>
      <c r="LJQ1680" s="1740"/>
      <c r="LJR1680" s="1740"/>
      <c r="LJS1680" s="1740"/>
      <c r="LJT1680" s="1740"/>
      <c r="LJU1680" s="1740"/>
      <c r="LJV1680" s="1740"/>
      <c r="LJW1680" s="1740"/>
      <c r="LJX1680" s="1740"/>
      <c r="LJY1680" s="1740"/>
      <c r="LJZ1680" s="1740"/>
      <c r="LKA1680" s="1740"/>
      <c r="LKB1680" s="1740"/>
      <c r="LKC1680" s="1740"/>
      <c r="LKD1680" s="1740"/>
      <c r="LKE1680" s="1740"/>
      <c r="LKF1680" s="1740"/>
      <c r="LKG1680" s="1740"/>
      <c r="LKH1680" s="1740"/>
      <c r="LKI1680" s="1740"/>
      <c r="LKJ1680" s="1740"/>
      <c r="LKK1680" s="1740"/>
      <c r="LKL1680" s="1740"/>
      <c r="LKM1680" s="1740"/>
      <c r="LKN1680" s="1740"/>
      <c r="LKO1680" s="1740"/>
      <c r="LKP1680" s="1740"/>
      <c r="LKQ1680" s="1740"/>
      <c r="LKR1680" s="1740"/>
      <c r="LKS1680" s="1740"/>
      <c r="LKT1680" s="1740"/>
      <c r="LKU1680" s="1740"/>
      <c r="LKV1680" s="1740"/>
      <c r="LKW1680" s="1740"/>
      <c r="LKX1680" s="1740"/>
      <c r="LKY1680" s="1740"/>
      <c r="LKZ1680" s="1740"/>
      <c r="LLA1680" s="1740"/>
      <c r="LLB1680" s="1740"/>
      <c r="LLC1680" s="1740"/>
      <c r="LLD1680" s="1740"/>
      <c r="LLE1680" s="1740"/>
      <c r="LLF1680" s="1740"/>
      <c r="LLG1680" s="1740"/>
      <c r="LLH1680" s="1740"/>
      <c r="LLI1680" s="1740"/>
      <c r="LLJ1680" s="1740"/>
      <c r="LLK1680" s="1740"/>
      <c r="LLL1680" s="1740"/>
      <c r="LLM1680" s="1740"/>
      <c r="LLN1680" s="1740"/>
      <c r="LLO1680" s="1740"/>
      <c r="LLP1680" s="1740"/>
      <c r="LLQ1680" s="1740"/>
      <c r="LLR1680" s="1740"/>
      <c r="LLS1680" s="1740"/>
      <c r="LLT1680" s="1740"/>
      <c r="LLU1680" s="1740"/>
      <c r="LLV1680" s="1740"/>
      <c r="LLW1680" s="1740"/>
      <c r="LLX1680" s="1740"/>
      <c r="LLY1680" s="1740"/>
      <c r="LLZ1680" s="1740"/>
      <c r="LMA1680" s="1740"/>
      <c r="LMB1680" s="1740"/>
      <c r="LMC1680" s="1740"/>
      <c r="LMD1680" s="1740"/>
      <c r="LME1680" s="1740"/>
      <c r="LMF1680" s="1740"/>
      <c r="LMG1680" s="1740"/>
      <c r="LMH1680" s="1740"/>
      <c r="LMI1680" s="1740"/>
      <c r="LMJ1680" s="1740"/>
      <c r="LMK1680" s="1740"/>
      <c r="LML1680" s="1740"/>
      <c r="LMM1680" s="1740"/>
      <c r="LMN1680" s="1740"/>
      <c r="LMO1680" s="1740"/>
      <c r="LMP1680" s="1740"/>
      <c r="LMQ1680" s="1740"/>
      <c r="LMR1680" s="1740"/>
      <c r="LMS1680" s="1740"/>
      <c r="LMT1680" s="1740"/>
      <c r="LMU1680" s="1740"/>
      <c r="LMV1680" s="1740"/>
      <c r="LMW1680" s="1740"/>
      <c r="LMX1680" s="1740"/>
      <c r="LMY1680" s="1740"/>
      <c r="LMZ1680" s="1740"/>
      <c r="LNA1680" s="1740"/>
      <c r="LNB1680" s="1740"/>
      <c r="LNC1680" s="1740"/>
      <c r="LND1680" s="1740"/>
      <c r="LNE1680" s="1740"/>
      <c r="LNF1680" s="1740"/>
      <c r="LNG1680" s="1740"/>
      <c r="LNH1680" s="1740"/>
      <c r="LNI1680" s="1740"/>
      <c r="LNJ1680" s="1740"/>
      <c r="LNK1680" s="1740"/>
      <c r="LNL1680" s="1740"/>
      <c r="LNM1680" s="1740"/>
      <c r="LNN1680" s="1740"/>
      <c r="LNO1680" s="1740"/>
      <c r="LNP1680" s="1740"/>
      <c r="LNQ1680" s="1740"/>
      <c r="LNR1680" s="1740"/>
      <c r="LNS1680" s="1740"/>
      <c r="LNT1680" s="1740"/>
      <c r="LNU1680" s="1740"/>
      <c r="LNV1680" s="1740"/>
      <c r="LNW1680" s="1740"/>
      <c r="LNX1680" s="1740"/>
      <c r="LNY1680" s="1740"/>
      <c r="LNZ1680" s="1740"/>
      <c r="LOA1680" s="1740"/>
      <c r="LOB1680" s="1740"/>
      <c r="LOC1680" s="1740"/>
      <c r="LOD1680" s="1740"/>
      <c r="LOE1680" s="1740"/>
      <c r="LOF1680" s="1740"/>
      <c r="LOG1680" s="1740"/>
      <c r="LOH1680" s="1740"/>
      <c r="LOI1680" s="1740"/>
      <c r="LOJ1680" s="1740"/>
      <c r="LOK1680" s="1740"/>
      <c r="LOL1680" s="1740"/>
      <c r="LOM1680" s="1740"/>
      <c r="LON1680" s="1740"/>
      <c r="LOO1680" s="1740"/>
      <c r="LOP1680" s="1740"/>
      <c r="LOQ1680" s="1740"/>
      <c r="LOR1680" s="1740"/>
      <c r="LOS1680" s="1740"/>
      <c r="LOT1680" s="1740"/>
      <c r="LOU1680" s="1740"/>
      <c r="LOV1680" s="1740"/>
      <c r="LOW1680" s="1740"/>
      <c r="LOX1680" s="1740"/>
      <c r="LOY1680" s="1740"/>
      <c r="LOZ1680" s="1740"/>
      <c r="LPA1680" s="1740"/>
      <c r="LPB1680" s="1740"/>
      <c r="LPC1680" s="1740"/>
      <c r="LPD1680" s="1740"/>
      <c r="LPE1680" s="1740"/>
      <c r="LPF1680" s="1740"/>
      <c r="LPG1680" s="1740"/>
      <c r="LPH1680" s="1740"/>
      <c r="LPI1680" s="1740"/>
      <c r="LPJ1680" s="1740"/>
      <c r="LPK1680" s="1740"/>
      <c r="LPL1680" s="1740"/>
      <c r="LPM1680" s="1740"/>
      <c r="LPN1680" s="1740"/>
      <c r="LPO1680" s="1740"/>
      <c r="LPP1680" s="1740"/>
      <c r="LPQ1680" s="1740"/>
      <c r="LPR1680" s="1740"/>
      <c r="LPS1680" s="1740"/>
      <c r="LPT1680" s="1740"/>
      <c r="LPU1680" s="1740"/>
      <c r="LPV1680" s="1740"/>
      <c r="LPW1680" s="1740"/>
      <c r="LPX1680" s="1740"/>
      <c r="LPY1680" s="1740"/>
      <c r="LPZ1680" s="1740"/>
      <c r="LQA1680" s="1740"/>
      <c r="LQB1680" s="1740"/>
      <c r="LQC1680" s="1740"/>
      <c r="LQD1680" s="1740"/>
      <c r="LQE1680" s="1740"/>
      <c r="LQF1680" s="1740"/>
      <c r="LQG1680" s="1740"/>
      <c r="LQH1680" s="1740"/>
      <c r="LQI1680" s="1740"/>
      <c r="LQJ1680" s="1740"/>
      <c r="LQK1680" s="1740"/>
      <c r="LQL1680" s="1740"/>
      <c r="LQM1680" s="1740"/>
      <c r="LQN1680" s="1740"/>
      <c r="LQO1680" s="1740"/>
      <c r="LQP1680" s="1740"/>
      <c r="LQQ1680" s="1740"/>
      <c r="LQR1680" s="1740"/>
      <c r="LQS1680" s="1740"/>
      <c r="LQT1680" s="1740"/>
      <c r="LQU1680" s="1740"/>
      <c r="LQV1680" s="1740"/>
      <c r="LQW1680" s="1740"/>
      <c r="LQX1680" s="1740"/>
      <c r="LQY1680" s="1740"/>
      <c r="LQZ1680" s="1740"/>
      <c r="LRA1680" s="1740"/>
      <c r="LRB1680" s="1740"/>
      <c r="LRC1680" s="1740"/>
      <c r="LRD1680" s="1740"/>
      <c r="LRE1680" s="1740"/>
      <c r="LRF1680" s="1740"/>
      <c r="LRG1680" s="1740"/>
      <c r="LRH1680" s="1740"/>
      <c r="LRI1680" s="1740"/>
      <c r="LRJ1680" s="1740"/>
      <c r="LRK1680" s="1740"/>
      <c r="LRL1680" s="1740"/>
      <c r="LRM1680" s="1740"/>
      <c r="LRN1680" s="1740"/>
      <c r="LRO1680" s="1740"/>
      <c r="LRP1680" s="1740"/>
      <c r="LRQ1680" s="1740"/>
      <c r="LRR1680" s="1740"/>
      <c r="LRS1680" s="1740"/>
      <c r="LRT1680" s="1740"/>
      <c r="LRU1680" s="1740"/>
      <c r="LRV1680" s="1740"/>
      <c r="LRW1680" s="1740"/>
      <c r="LRX1680" s="1740"/>
      <c r="LRY1680" s="1740"/>
      <c r="LRZ1680" s="1740"/>
      <c r="LSA1680" s="1740"/>
      <c r="LSB1680" s="1740"/>
      <c r="LSC1680" s="1740"/>
      <c r="LSD1680" s="1740"/>
      <c r="LSE1680" s="1740"/>
      <c r="LSF1680" s="1740"/>
      <c r="LSG1680" s="1740"/>
      <c r="LSH1680" s="1740"/>
      <c r="LSI1680" s="1740"/>
      <c r="LSJ1680" s="1740"/>
      <c r="LSK1680" s="1740"/>
      <c r="LSL1680" s="1740"/>
      <c r="LSM1680" s="1740"/>
      <c r="LSN1680" s="1740"/>
      <c r="LSO1680" s="1740"/>
      <c r="LSP1680" s="1740"/>
      <c r="LSQ1680" s="1740"/>
      <c r="LSR1680" s="1740"/>
      <c r="LSS1680" s="1740"/>
      <c r="LST1680" s="1740"/>
      <c r="LSU1680" s="1740"/>
      <c r="LSV1680" s="1740"/>
      <c r="LSW1680" s="1740"/>
      <c r="LSX1680" s="1740"/>
      <c r="LSY1680" s="1740"/>
      <c r="LSZ1680" s="1740"/>
      <c r="LTA1680" s="1740"/>
      <c r="LTB1680" s="1740"/>
      <c r="LTC1680" s="1740"/>
      <c r="LTD1680" s="1740"/>
      <c r="LTE1680" s="1740"/>
      <c r="LTF1680" s="1740"/>
      <c r="LTG1680" s="1740"/>
      <c r="LTH1680" s="1740"/>
      <c r="LTI1680" s="1740"/>
      <c r="LTJ1680" s="1740"/>
      <c r="LTK1680" s="1740"/>
      <c r="LTL1680" s="1740"/>
      <c r="LTM1680" s="1740"/>
      <c r="LTN1680" s="1740"/>
      <c r="LTO1680" s="1740"/>
      <c r="LTP1680" s="1740"/>
      <c r="LTQ1680" s="1740"/>
      <c r="LTR1680" s="1740"/>
      <c r="LTS1680" s="1740"/>
      <c r="LTT1680" s="1740"/>
      <c r="LTU1680" s="1740"/>
      <c r="LTV1680" s="1740"/>
      <c r="LTW1680" s="1740"/>
      <c r="LTX1680" s="1740"/>
      <c r="LTY1680" s="1740"/>
      <c r="LTZ1680" s="1740"/>
      <c r="LUA1680" s="1740"/>
      <c r="LUB1680" s="1740"/>
      <c r="LUC1680" s="1740"/>
      <c r="LUD1680" s="1740"/>
      <c r="LUE1680" s="1740"/>
      <c r="LUF1680" s="1740"/>
      <c r="LUG1680" s="1740"/>
      <c r="LUH1680" s="1740"/>
      <c r="LUI1680" s="1740"/>
      <c r="LUJ1680" s="1740"/>
      <c r="LUK1680" s="1740"/>
      <c r="LUL1680" s="1740"/>
      <c r="LUM1680" s="1740"/>
      <c r="LUN1680" s="1740"/>
      <c r="LUO1680" s="1740"/>
      <c r="LUP1680" s="1740"/>
      <c r="LUQ1680" s="1740"/>
      <c r="LUR1680" s="1740"/>
      <c r="LUS1680" s="1740"/>
      <c r="LUT1680" s="1740"/>
      <c r="LUU1680" s="1740"/>
      <c r="LUV1680" s="1740"/>
      <c r="LUW1680" s="1740"/>
      <c r="LUX1680" s="1740"/>
      <c r="LUY1680" s="1740"/>
      <c r="LUZ1680" s="1740"/>
      <c r="LVA1680" s="1740"/>
      <c r="LVB1680" s="1740"/>
      <c r="LVC1680" s="1740"/>
      <c r="LVD1680" s="1740"/>
      <c r="LVE1680" s="1740"/>
      <c r="LVF1680" s="1740"/>
      <c r="LVG1680" s="1740"/>
      <c r="LVH1680" s="1740"/>
      <c r="LVI1680" s="1740"/>
      <c r="LVJ1680" s="1740"/>
      <c r="LVK1680" s="1740"/>
      <c r="LVL1680" s="1740"/>
      <c r="LVM1680" s="1740"/>
      <c r="LVN1680" s="1740"/>
      <c r="LVO1680" s="1740"/>
      <c r="LVP1680" s="1740"/>
      <c r="LVQ1680" s="1740"/>
      <c r="LVR1680" s="1740"/>
      <c r="LVS1680" s="1740"/>
      <c r="LVT1680" s="1740"/>
      <c r="LVU1680" s="1740"/>
      <c r="LVV1680" s="1740"/>
      <c r="LVW1680" s="1740"/>
      <c r="LVX1680" s="1740"/>
      <c r="LVY1680" s="1740"/>
      <c r="LVZ1680" s="1740"/>
      <c r="LWA1680" s="1740"/>
      <c r="LWB1680" s="1740"/>
      <c r="LWC1680" s="1740"/>
      <c r="LWD1680" s="1740"/>
      <c r="LWE1680" s="1740"/>
      <c r="LWF1680" s="1740"/>
      <c r="LWG1680" s="1740"/>
      <c r="LWH1680" s="1740"/>
      <c r="LWI1680" s="1740"/>
      <c r="LWJ1680" s="1740"/>
      <c r="LWK1680" s="1740"/>
      <c r="LWL1680" s="1740"/>
      <c r="LWM1680" s="1740"/>
      <c r="LWN1680" s="1740"/>
      <c r="LWO1680" s="1740"/>
      <c r="LWP1680" s="1740"/>
      <c r="LWQ1680" s="1740"/>
      <c r="LWR1680" s="1740"/>
      <c r="LWS1680" s="1740"/>
      <c r="LWT1680" s="1740"/>
      <c r="LWU1680" s="1740"/>
      <c r="LWV1680" s="1740"/>
      <c r="LWW1680" s="1740"/>
      <c r="LWX1680" s="1740"/>
      <c r="LWY1680" s="1740"/>
      <c r="LWZ1680" s="1740"/>
      <c r="LXA1680" s="1740"/>
      <c r="LXB1680" s="1740"/>
      <c r="LXC1680" s="1740"/>
      <c r="LXD1680" s="1740"/>
      <c r="LXE1680" s="1740"/>
      <c r="LXF1680" s="1740"/>
      <c r="LXG1680" s="1740"/>
      <c r="LXH1680" s="1740"/>
      <c r="LXI1680" s="1740"/>
      <c r="LXJ1680" s="1740"/>
      <c r="LXK1680" s="1740"/>
      <c r="LXL1680" s="1740"/>
      <c r="LXM1680" s="1740"/>
      <c r="LXN1680" s="1740"/>
      <c r="LXO1680" s="1740"/>
      <c r="LXP1680" s="1740"/>
      <c r="LXQ1680" s="1740"/>
      <c r="LXR1680" s="1740"/>
      <c r="LXS1680" s="1740"/>
      <c r="LXT1680" s="1740"/>
      <c r="LXU1680" s="1740"/>
      <c r="LXV1680" s="1740"/>
      <c r="LXW1680" s="1740"/>
      <c r="LXX1680" s="1740"/>
      <c r="LXY1680" s="1740"/>
      <c r="LXZ1680" s="1740"/>
      <c r="LYA1680" s="1740"/>
      <c r="LYB1680" s="1740"/>
      <c r="LYC1680" s="1740"/>
      <c r="LYD1680" s="1740"/>
      <c r="LYE1680" s="1740"/>
      <c r="LYF1680" s="1740"/>
      <c r="LYG1680" s="1740"/>
      <c r="LYH1680" s="1740"/>
      <c r="LYI1680" s="1740"/>
      <c r="LYJ1680" s="1740"/>
      <c r="LYK1680" s="1740"/>
      <c r="LYL1680" s="1740"/>
      <c r="LYM1680" s="1740"/>
      <c r="LYN1680" s="1740"/>
      <c r="LYO1680" s="1740"/>
      <c r="LYP1680" s="1740"/>
      <c r="LYQ1680" s="1740"/>
      <c r="LYR1680" s="1740"/>
      <c r="LYS1680" s="1740"/>
      <c r="LYT1680" s="1740"/>
      <c r="LYU1680" s="1740"/>
      <c r="LYV1680" s="1740"/>
      <c r="LYW1680" s="1740"/>
      <c r="LYX1680" s="1740"/>
      <c r="LYY1680" s="1740"/>
      <c r="LYZ1680" s="1740"/>
      <c r="LZA1680" s="1740"/>
      <c r="LZB1680" s="1740"/>
      <c r="LZC1680" s="1740"/>
      <c r="LZD1680" s="1740"/>
      <c r="LZE1680" s="1740"/>
      <c r="LZF1680" s="1740"/>
      <c r="LZG1680" s="1740"/>
      <c r="LZH1680" s="1740"/>
      <c r="LZI1680" s="1740"/>
      <c r="LZJ1680" s="1740"/>
      <c r="LZK1680" s="1740"/>
      <c r="LZL1680" s="1740"/>
      <c r="LZM1680" s="1740"/>
      <c r="LZN1680" s="1740"/>
      <c r="LZO1680" s="1740"/>
      <c r="LZP1680" s="1740"/>
      <c r="LZQ1680" s="1740"/>
      <c r="LZR1680" s="1740"/>
      <c r="LZS1680" s="1740"/>
      <c r="LZT1680" s="1740"/>
      <c r="LZU1680" s="1740"/>
      <c r="LZV1680" s="1740"/>
      <c r="LZW1680" s="1740"/>
      <c r="LZX1680" s="1740"/>
      <c r="LZY1680" s="1740"/>
      <c r="LZZ1680" s="1740"/>
      <c r="MAA1680" s="1740"/>
      <c r="MAB1680" s="1740"/>
      <c r="MAC1680" s="1740"/>
      <c r="MAD1680" s="1740"/>
      <c r="MAE1680" s="1740"/>
      <c r="MAF1680" s="1740"/>
      <c r="MAG1680" s="1740"/>
      <c r="MAH1680" s="1740"/>
      <c r="MAI1680" s="1740"/>
      <c r="MAJ1680" s="1740"/>
      <c r="MAK1680" s="1740"/>
      <c r="MAL1680" s="1740"/>
      <c r="MAM1680" s="1740"/>
      <c r="MAN1680" s="1740"/>
      <c r="MAO1680" s="1740"/>
      <c r="MAP1680" s="1740"/>
      <c r="MAQ1680" s="1740"/>
      <c r="MAR1680" s="1740"/>
      <c r="MAS1680" s="1740"/>
      <c r="MAT1680" s="1740"/>
      <c r="MAU1680" s="1740"/>
      <c r="MAV1680" s="1740"/>
      <c r="MAW1680" s="1740"/>
      <c r="MAX1680" s="1740"/>
      <c r="MAY1680" s="1740"/>
      <c r="MAZ1680" s="1740"/>
      <c r="MBA1680" s="1740"/>
      <c r="MBB1680" s="1740"/>
      <c r="MBC1680" s="1740"/>
      <c r="MBD1680" s="1740"/>
      <c r="MBE1680" s="1740"/>
      <c r="MBF1680" s="1740"/>
      <c r="MBG1680" s="1740"/>
      <c r="MBH1680" s="1740"/>
      <c r="MBI1680" s="1740"/>
      <c r="MBJ1680" s="1740"/>
      <c r="MBK1680" s="1740"/>
      <c r="MBL1680" s="1740"/>
      <c r="MBM1680" s="1740"/>
      <c r="MBN1680" s="1740"/>
      <c r="MBO1680" s="1740"/>
      <c r="MBP1680" s="1740"/>
      <c r="MBQ1680" s="1740"/>
      <c r="MBR1680" s="1740"/>
      <c r="MBS1680" s="1740"/>
      <c r="MBT1680" s="1740"/>
      <c r="MBU1680" s="1740"/>
      <c r="MBV1680" s="1740"/>
      <c r="MBW1680" s="1740"/>
      <c r="MBX1680" s="1740"/>
      <c r="MBY1680" s="1740"/>
      <c r="MBZ1680" s="1740"/>
      <c r="MCA1680" s="1740"/>
      <c r="MCB1680" s="1740"/>
      <c r="MCC1680" s="1740"/>
      <c r="MCD1680" s="1740"/>
      <c r="MCE1680" s="1740"/>
      <c r="MCF1680" s="1740"/>
      <c r="MCG1680" s="1740"/>
      <c r="MCH1680" s="1740"/>
      <c r="MCI1680" s="1740"/>
      <c r="MCJ1680" s="1740"/>
      <c r="MCK1680" s="1740"/>
      <c r="MCL1680" s="1740"/>
      <c r="MCM1680" s="1740"/>
      <c r="MCN1680" s="1740"/>
      <c r="MCO1680" s="1740"/>
      <c r="MCP1680" s="1740"/>
      <c r="MCQ1680" s="1740"/>
      <c r="MCR1680" s="1740"/>
      <c r="MCS1680" s="1740"/>
      <c r="MCT1680" s="1740"/>
      <c r="MCU1680" s="1740"/>
      <c r="MCV1680" s="1740"/>
      <c r="MCW1680" s="1740"/>
      <c r="MCX1680" s="1740"/>
      <c r="MCY1680" s="1740"/>
      <c r="MCZ1680" s="1740"/>
      <c r="MDA1680" s="1740"/>
      <c r="MDB1680" s="1740"/>
      <c r="MDC1680" s="1740"/>
      <c r="MDD1680" s="1740"/>
      <c r="MDE1680" s="1740"/>
      <c r="MDF1680" s="1740"/>
      <c r="MDG1680" s="1740"/>
      <c r="MDH1680" s="1740"/>
      <c r="MDI1680" s="1740"/>
      <c r="MDJ1680" s="1740"/>
      <c r="MDK1680" s="1740"/>
      <c r="MDL1680" s="1740"/>
      <c r="MDM1680" s="1740"/>
      <c r="MDN1680" s="1740"/>
      <c r="MDO1680" s="1740"/>
      <c r="MDP1680" s="1740"/>
      <c r="MDQ1680" s="1740"/>
      <c r="MDR1680" s="1740"/>
      <c r="MDS1680" s="1740"/>
      <c r="MDT1680" s="1740"/>
      <c r="MDU1680" s="1740"/>
      <c r="MDV1680" s="1740"/>
      <c r="MDW1680" s="1740"/>
      <c r="MDX1680" s="1740"/>
      <c r="MDY1680" s="1740"/>
      <c r="MDZ1680" s="1740"/>
      <c r="MEA1680" s="1740"/>
      <c r="MEB1680" s="1740"/>
      <c r="MEC1680" s="1740"/>
      <c r="MED1680" s="1740"/>
      <c r="MEE1680" s="1740"/>
      <c r="MEF1680" s="1740"/>
      <c r="MEG1680" s="1740"/>
      <c r="MEH1680" s="1740"/>
      <c r="MEI1680" s="1740"/>
      <c r="MEJ1680" s="1740"/>
      <c r="MEK1680" s="1740"/>
      <c r="MEL1680" s="1740"/>
      <c r="MEM1680" s="1740"/>
      <c r="MEN1680" s="1740"/>
      <c r="MEO1680" s="1740"/>
      <c r="MEP1680" s="1740"/>
      <c r="MEQ1680" s="1740"/>
      <c r="MER1680" s="1740"/>
      <c r="MES1680" s="1740"/>
      <c r="MET1680" s="1740"/>
      <c r="MEU1680" s="1740"/>
      <c r="MEV1680" s="1740"/>
      <c r="MEW1680" s="1740"/>
      <c r="MEX1680" s="1740"/>
      <c r="MEY1680" s="1740"/>
      <c r="MEZ1680" s="1740"/>
      <c r="MFA1680" s="1740"/>
      <c r="MFB1680" s="1740"/>
      <c r="MFC1680" s="1740"/>
      <c r="MFD1680" s="1740"/>
      <c r="MFE1680" s="1740"/>
      <c r="MFF1680" s="1740"/>
      <c r="MFG1680" s="1740"/>
      <c r="MFH1680" s="1740"/>
      <c r="MFI1680" s="1740"/>
      <c r="MFJ1680" s="1740"/>
      <c r="MFK1680" s="1740"/>
      <c r="MFL1680" s="1740"/>
      <c r="MFM1680" s="1740"/>
      <c r="MFN1680" s="1740"/>
      <c r="MFO1680" s="1740"/>
      <c r="MFP1680" s="1740"/>
      <c r="MFQ1680" s="1740"/>
      <c r="MFR1680" s="1740"/>
      <c r="MFS1680" s="1740"/>
      <c r="MFT1680" s="1740"/>
      <c r="MFU1680" s="1740"/>
      <c r="MFV1680" s="1740"/>
      <c r="MFW1680" s="1740"/>
      <c r="MFX1680" s="1740"/>
      <c r="MFY1680" s="1740"/>
      <c r="MFZ1680" s="1740"/>
      <c r="MGA1680" s="1740"/>
      <c r="MGB1680" s="1740"/>
      <c r="MGC1680" s="1740"/>
      <c r="MGD1680" s="1740"/>
      <c r="MGE1680" s="1740"/>
      <c r="MGF1680" s="1740"/>
      <c r="MGG1680" s="1740"/>
      <c r="MGH1680" s="1740"/>
      <c r="MGI1680" s="1740"/>
      <c r="MGJ1680" s="1740"/>
      <c r="MGK1680" s="1740"/>
      <c r="MGL1680" s="1740"/>
      <c r="MGM1680" s="1740"/>
      <c r="MGN1680" s="1740"/>
      <c r="MGO1680" s="1740"/>
      <c r="MGP1680" s="1740"/>
      <c r="MGQ1680" s="1740"/>
      <c r="MGR1680" s="1740"/>
      <c r="MGS1680" s="1740"/>
      <c r="MGT1680" s="1740"/>
      <c r="MGU1680" s="1740"/>
      <c r="MGV1680" s="1740"/>
      <c r="MGW1680" s="1740"/>
      <c r="MGX1680" s="1740"/>
      <c r="MGY1680" s="1740"/>
      <c r="MGZ1680" s="1740"/>
      <c r="MHA1680" s="1740"/>
      <c r="MHB1680" s="1740"/>
      <c r="MHC1680" s="1740"/>
      <c r="MHD1680" s="1740"/>
      <c r="MHE1680" s="1740"/>
      <c r="MHF1680" s="1740"/>
      <c r="MHG1680" s="1740"/>
      <c r="MHH1680" s="1740"/>
      <c r="MHI1680" s="1740"/>
      <c r="MHJ1680" s="1740"/>
      <c r="MHK1680" s="1740"/>
      <c r="MHL1680" s="1740"/>
      <c r="MHM1680" s="1740"/>
      <c r="MHN1680" s="1740"/>
      <c r="MHO1680" s="1740"/>
      <c r="MHP1680" s="1740"/>
      <c r="MHQ1680" s="1740"/>
      <c r="MHR1680" s="1740"/>
      <c r="MHS1680" s="1740"/>
      <c r="MHT1680" s="1740"/>
      <c r="MHU1680" s="1740"/>
      <c r="MHV1680" s="1740"/>
      <c r="MHW1680" s="1740"/>
      <c r="MHX1680" s="1740"/>
      <c r="MHY1680" s="1740"/>
      <c r="MHZ1680" s="1740"/>
      <c r="MIA1680" s="1740"/>
      <c r="MIB1680" s="1740"/>
      <c r="MIC1680" s="1740"/>
      <c r="MID1680" s="1740"/>
      <c r="MIE1680" s="1740"/>
      <c r="MIF1680" s="1740"/>
      <c r="MIG1680" s="1740"/>
      <c r="MIH1680" s="1740"/>
      <c r="MII1680" s="1740"/>
      <c r="MIJ1680" s="1740"/>
      <c r="MIK1680" s="1740"/>
      <c r="MIL1680" s="1740"/>
      <c r="MIM1680" s="1740"/>
      <c r="MIN1680" s="1740"/>
      <c r="MIO1680" s="1740"/>
      <c r="MIP1680" s="1740"/>
      <c r="MIQ1680" s="1740"/>
      <c r="MIR1680" s="1740"/>
      <c r="MIS1680" s="1740"/>
      <c r="MIT1680" s="1740"/>
      <c r="MIU1680" s="1740"/>
      <c r="MIV1680" s="1740"/>
      <c r="MIW1680" s="1740"/>
      <c r="MIX1680" s="1740"/>
      <c r="MIY1680" s="1740"/>
      <c r="MIZ1680" s="1740"/>
      <c r="MJA1680" s="1740"/>
      <c r="MJB1680" s="1740"/>
      <c r="MJC1680" s="1740"/>
      <c r="MJD1680" s="1740"/>
      <c r="MJE1680" s="1740"/>
      <c r="MJF1680" s="1740"/>
      <c r="MJG1680" s="1740"/>
      <c r="MJH1680" s="1740"/>
      <c r="MJI1680" s="1740"/>
      <c r="MJJ1680" s="1740"/>
      <c r="MJK1680" s="1740"/>
      <c r="MJL1680" s="1740"/>
      <c r="MJM1680" s="1740"/>
      <c r="MJN1680" s="1740"/>
      <c r="MJO1680" s="1740"/>
      <c r="MJP1680" s="1740"/>
      <c r="MJQ1680" s="1740"/>
      <c r="MJR1680" s="1740"/>
      <c r="MJS1680" s="1740"/>
      <c r="MJT1680" s="1740"/>
      <c r="MJU1680" s="1740"/>
      <c r="MJV1680" s="1740"/>
      <c r="MJW1680" s="1740"/>
      <c r="MJX1680" s="1740"/>
      <c r="MJY1680" s="1740"/>
      <c r="MJZ1680" s="1740"/>
      <c r="MKA1680" s="1740"/>
      <c r="MKB1680" s="1740"/>
      <c r="MKC1680" s="1740"/>
      <c r="MKD1680" s="1740"/>
      <c r="MKE1680" s="1740"/>
      <c r="MKF1680" s="1740"/>
      <c r="MKG1680" s="1740"/>
      <c r="MKH1680" s="1740"/>
      <c r="MKI1680" s="1740"/>
      <c r="MKJ1680" s="1740"/>
      <c r="MKK1680" s="1740"/>
      <c r="MKL1680" s="1740"/>
      <c r="MKM1680" s="1740"/>
      <c r="MKN1680" s="1740"/>
      <c r="MKO1680" s="1740"/>
      <c r="MKP1680" s="1740"/>
      <c r="MKQ1680" s="1740"/>
      <c r="MKR1680" s="1740"/>
      <c r="MKS1680" s="1740"/>
      <c r="MKT1680" s="1740"/>
      <c r="MKU1680" s="1740"/>
      <c r="MKV1680" s="1740"/>
      <c r="MKW1680" s="1740"/>
      <c r="MKX1680" s="1740"/>
      <c r="MKY1680" s="1740"/>
      <c r="MKZ1680" s="1740"/>
      <c r="MLA1680" s="1740"/>
      <c r="MLB1680" s="1740"/>
      <c r="MLC1680" s="1740"/>
      <c r="MLD1680" s="1740"/>
      <c r="MLE1680" s="1740"/>
      <c r="MLF1680" s="1740"/>
      <c r="MLG1680" s="1740"/>
      <c r="MLH1680" s="1740"/>
      <c r="MLI1680" s="1740"/>
      <c r="MLJ1680" s="1740"/>
      <c r="MLK1680" s="1740"/>
      <c r="MLL1680" s="1740"/>
      <c r="MLM1680" s="1740"/>
      <c r="MLN1680" s="1740"/>
      <c r="MLO1680" s="1740"/>
      <c r="MLP1680" s="1740"/>
      <c r="MLQ1680" s="1740"/>
      <c r="MLR1680" s="1740"/>
      <c r="MLS1680" s="1740"/>
      <c r="MLT1680" s="1740"/>
      <c r="MLU1680" s="1740"/>
      <c r="MLV1680" s="1740"/>
      <c r="MLW1680" s="1740"/>
      <c r="MLX1680" s="1740"/>
      <c r="MLY1680" s="1740"/>
      <c r="MLZ1680" s="1740"/>
      <c r="MMA1680" s="1740"/>
      <c r="MMB1680" s="1740"/>
      <c r="MMC1680" s="1740"/>
      <c r="MMD1680" s="1740"/>
      <c r="MME1680" s="1740"/>
      <c r="MMF1680" s="1740"/>
      <c r="MMG1680" s="1740"/>
      <c r="MMH1680" s="1740"/>
      <c r="MMI1680" s="1740"/>
      <c r="MMJ1680" s="1740"/>
      <c r="MMK1680" s="1740"/>
      <c r="MML1680" s="1740"/>
      <c r="MMM1680" s="1740"/>
      <c r="MMN1680" s="1740"/>
      <c r="MMO1680" s="1740"/>
      <c r="MMP1680" s="1740"/>
      <c r="MMQ1680" s="1740"/>
      <c r="MMR1680" s="1740"/>
      <c r="MMS1680" s="1740"/>
      <c r="MMT1680" s="1740"/>
      <c r="MMU1680" s="1740"/>
      <c r="MMV1680" s="1740"/>
      <c r="MMW1680" s="1740"/>
      <c r="MMX1680" s="1740"/>
      <c r="MMY1680" s="1740"/>
      <c r="MMZ1680" s="1740"/>
      <c r="MNA1680" s="1740"/>
      <c r="MNB1680" s="1740"/>
      <c r="MNC1680" s="1740"/>
      <c r="MND1680" s="1740"/>
      <c r="MNE1680" s="1740"/>
      <c r="MNF1680" s="1740"/>
      <c r="MNG1680" s="1740"/>
      <c r="MNH1680" s="1740"/>
      <c r="MNI1680" s="1740"/>
      <c r="MNJ1680" s="1740"/>
      <c r="MNK1680" s="1740"/>
      <c r="MNL1680" s="1740"/>
      <c r="MNM1680" s="1740"/>
      <c r="MNN1680" s="1740"/>
      <c r="MNO1680" s="1740"/>
      <c r="MNP1680" s="1740"/>
      <c r="MNQ1680" s="1740"/>
      <c r="MNR1680" s="1740"/>
      <c r="MNS1680" s="1740"/>
      <c r="MNT1680" s="1740"/>
      <c r="MNU1680" s="1740"/>
      <c r="MNV1680" s="1740"/>
      <c r="MNW1680" s="1740"/>
      <c r="MNX1680" s="1740"/>
      <c r="MNY1680" s="1740"/>
      <c r="MNZ1680" s="1740"/>
      <c r="MOA1680" s="1740"/>
      <c r="MOB1680" s="1740"/>
      <c r="MOC1680" s="1740"/>
      <c r="MOD1680" s="1740"/>
      <c r="MOE1680" s="1740"/>
      <c r="MOF1680" s="1740"/>
      <c r="MOG1680" s="1740"/>
      <c r="MOH1680" s="1740"/>
      <c r="MOI1680" s="1740"/>
      <c r="MOJ1680" s="1740"/>
      <c r="MOK1680" s="1740"/>
      <c r="MOL1680" s="1740"/>
      <c r="MOM1680" s="1740"/>
      <c r="MON1680" s="1740"/>
      <c r="MOO1680" s="1740"/>
      <c r="MOP1680" s="1740"/>
      <c r="MOQ1680" s="1740"/>
      <c r="MOR1680" s="1740"/>
      <c r="MOS1680" s="1740"/>
      <c r="MOT1680" s="1740"/>
      <c r="MOU1680" s="1740"/>
      <c r="MOV1680" s="1740"/>
      <c r="MOW1680" s="1740"/>
      <c r="MOX1680" s="1740"/>
      <c r="MOY1680" s="1740"/>
      <c r="MOZ1680" s="1740"/>
      <c r="MPA1680" s="1740"/>
      <c r="MPB1680" s="1740"/>
      <c r="MPC1680" s="1740"/>
      <c r="MPD1680" s="1740"/>
      <c r="MPE1680" s="1740"/>
      <c r="MPF1680" s="1740"/>
      <c r="MPG1680" s="1740"/>
      <c r="MPH1680" s="1740"/>
      <c r="MPI1680" s="1740"/>
      <c r="MPJ1680" s="1740"/>
      <c r="MPK1680" s="1740"/>
      <c r="MPL1680" s="1740"/>
      <c r="MPM1680" s="1740"/>
      <c r="MPN1680" s="1740"/>
      <c r="MPO1680" s="1740"/>
      <c r="MPP1680" s="1740"/>
      <c r="MPQ1680" s="1740"/>
      <c r="MPR1680" s="1740"/>
      <c r="MPS1680" s="1740"/>
      <c r="MPT1680" s="1740"/>
      <c r="MPU1680" s="1740"/>
      <c r="MPV1680" s="1740"/>
      <c r="MPW1680" s="1740"/>
      <c r="MPX1680" s="1740"/>
      <c r="MPY1680" s="1740"/>
      <c r="MPZ1680" s="1740"/>
      <c r="MQA1680" s="1740"/>
      <c r="MQB1680" s="1740"/>
      <c r="MQC1680" s="1740"/>
      <c r="MQD1680" s="1740"/>
      <c r="MQE1680" s="1740"/>
      <c r="MQF1680" s="1740"/>
      <c r="MQG1680" s="1740"/>
      <c r="MQH1680" s="1740"/>
      <c r="MQI1680" s="1740"/>
      <c r="MQJ1680" s="1740"/>
      <c r="MQK1680" s="1740"/>
      <c r="MQL1680" s="1740"/>
      <c r="MQM1680" s="1740"/>
      <c r="MQN1680" s="1740"/>
      <c r="MQO1680" s="1740"/>
      <c r="MQP1680" s="1740"/>
      <c r="MQQ1680" s="1740"/>
      <c r="MQR1680" s="1740"/>
      <c r="MQS1680" s="1740"/>
      <c r="MQT1680" s="1740"/>
      <c r="MQU1680" s="1740"/>
      <c r="MQV1680" s="1740"/>
      <c r="MQW1680" s="1740"/>
      <c r="MQX1680" s="1740"/>
      <c r="MQY1680" s="1740"/>
      <c r="MQZ1680" s="1740"/>
      <c r="MRA1680" s="1740"/>
      <c r="MRB1680" s="1740"/>
      <c r="MRC1680" s="1740"/>
      <c r="MRD1680" s="1740"/>
      <c r="MRE1680" s="1740"/>
      <c r="MRF1680" s="1740"/>
      <c r="MRG1680" s="1740"/>
      <c r="MRH1680" s="1740"/>
      <c r="MRI1680" s="1740"/>
      <c r="MRJ1680" s="1740"/>
      <c r="MRK1680" s="1740"/>
      <c r="MRL1680" s="1740"/>
      <c r="MRM1680" s="1740"/>
      <c r="MRN1680" s="1740"/>
      <c r="MRO1680" s="1740"/>
      <c r="MRP1680" s="1740"/>
      <c r="MRQ1680" s="1740"/>
      <c r="MRR1680" s="1740"/>
      <c r="MRS1680" s="1740"/>
      <c r="MRT1680" s="1740"/>
      <c r="MRU1680" s="1740"/>
      <c r="MRV1680" s="1740"/>
      <c r="MRW1680" s="1740"/>
      <c r="MRX1680" s="1740"/>
      <c r="MRY1680" s="1740"/>
      <c r="MRZ1680" s="1740"/>
      <c r="MSA1680" s="1740"/>
      <c r="MSB1680" s="1740"/>
      <c r="MSC1680" s="1740"/>
      <c r="MSD1680" s="1740"/>
      <c r="MSE1680" s="1740"/>
      <c r="MSF1680" s="1740"/>
      <c r="MSG1680" s="1740"/>
      <c r="MSH1680" s="1740"/>
      <c r="MSI1680" s="1740"/>
      <c r="MSJ1680" s="1740"/>
      <c r="MSK1680" s="1740"/>
      <c r="MSL1680" s="1740"/>
      <c r="MSM1680" s="1740"/>
      <c r="MSN1680" s="1740"/>
      <c r="MSO1680" s="1740"/>
      <c r="MSP1680" s="1740"/>
      <c r="MSQ1680" s="1740"/>
      <c r="MSR1680" s="1740"/>
      <c r="MSS1680" s="1740"/>
      <c r="MST1680" s="1740"/>
      <c r="MSU1680" s="1740"/>
      <c r="MSV1680" s="1740"/>
      <c r="MSW1680" s="1740"/>
      <c r="MSX1680" s="1740"/>
      <c r="MSY1680" s="1740"/>
      <c r="MSZ1680" s="1740"/>
      <c r="MTA1680" s="1740"/>
      <c r="MTB1680" s="1740"/>
      <c r="MTC1680" s="1740"/>
      <c r="MTD1680" s="1740"/>
      <c r="MTE1680" s="1740"/>
      <c r="MTF1680" s="1740"/>
      <c r="MTG1680" s="1740"/>
      <c r="MTH1680" s="1740"/>
      <c r="MTI1680" s="1740"/>
      <c r="MTJ1680" s="1740"/>
      <c r="MTK1680" s="1740"/>
      <c r="MTL1680" s="1740"/>
      <c r="MTM1680" s="1740"/>
      <c r="MTN1680" s="1740"/>
      <c r="MTO1680" s="1740"/>
      <c r="MTP1680" s="1740"/>
      <c r="MTQ1680" s="1740"/>
      <c r="MTR1680" s="1740"/>
      <c r="MTS1680" s="1740"/>
      <c r="MTT1680" s="1740"/>
      <c r="MTU1680" s="1740"/>
      <c r="MTV1680" s="1740"/>
      <c r="MTW1680" s="1740"/>
      <c r="MTX1680" s="1740"/>
      <c r="MTY1680" s="1740"/>
      <c r="MTZ1680" s="1740"/>
      <c r="MUA1680" s="1740"/>
      <c r="MUB1680" s="1740"/>
      <c r="MUC1680" s="1740"/>
      <c r="MUD1680" s="1740"/>
      <c r="MUE1680" s="1740"/>
      <c r="MUF1680" s="1740"/>
      <c r="MUG1680" s="1740"/>
      <c r="MUH1680" s="1740"/>
      <c r="MUI1680" s="1740"/>
      <c r="MUJ1680" s="1740"/>
      <c r="MUK1680" s="1740"/>
      <c r="MUL1680" s="1740"/>
      <c r="MUM1680" s="1740"/>
      <c r="MUN1680" s="1740"/>
      <c r="MUO1680" s="1740"/>
      <c r="MUP1680" s="1740"/>
      <c r="MUQ1680" s="1740"/>
      <c r="MUR1680" s="1740"/>
      <c r="MUS1680" s="1740"/>
      <c r="MUT1680" s="1740"/>
      <c r="MUU1680" s="1740"/>
      <c r="MUV1680" s="1740"/>
      <c r="MUW1680" s="1740"/>
      <c r="MUX1680" s="1740"/>
      <c r="MUY1680" s="1740"/>
      <c r="MUZ1680" s="1740"/>
      <c r="MVA1680" s="1740"/>
      <c r="MVB1680" s="1740"/>
      <c r="MVC1680" s="1740"/>
      <c r="MVD1680" s="1740"/>
      <c r="MVE1680" s="1740"/>
      <c r="MVF1680" s="1740"/>
      <c r="MVG1680" s="1740"/>
      <c r="MVH1680" s="1740"/>
      <c r="MVI1680" s="1740"/>
      <c r="MVJ1680" s="1740"/>
      <c r="MVK1680" s="1740"/>
      <c r="MVL1680" s="1740"/>
      <c r="MVM1680" s="1740"/>
      <c r="MVN1680" s="1740"/>
      <c r="MVO1680" s="1740"/>
      <c r="MVP1680" s="1740"/>
      <c r="MVQ1680" s="1740"/>
      <c r="MVR1680" s="1740"/>
      <c r="MVS1680" s="1740"/>
      <c r="MVT1680" s="1740"/>
      <c r="MVU1680" s="1740"/>
      <c r="MVV1680" s="1740"/>
      <c r="MVW1680" s="1740"/>
      <c r="MVX1680" s="1740"/>
      <c r="MVY1680" s="1740"/>
      <c r="MVZ1680" s="1740"/>
      <c r="MWA1680" s="1740"/>
      <c r="MWB1680" s="1740"/>
      <c r="MWC1680" s="1740"/>
      <c r="MWD1680" s="1740"/>
      <c r="MWE1680" s="1740"/>
      <c r="MWF1680" s="1740"/>
      <c r="MWG1680" s="1740"/>
      <c r="MWH1680" s="1740"/>
      <c r="MWI1680" s="1740"/>
      <c r="MWJ1680" s="1740"/>
      <c r="MWK1680" s="1740"/>
      <c r="MWL1680" s="1740"/>
      <c r="MWM1680" s="1740"/>
      <c r="MWN1680" s="1740"/>
      <c r="MWO1680" s="1740"/>
      <c r="MWP1680" s="1740"/>
      <c r="MWQ1680" s="1740"/>
      <c r="MWR1680" s="1740"/>
      <c r="MWS1680" s="1740"/>
      <c r="MWT1680" s="1740"/>
      <c r="MWU1680" s="1740"/>
      <c r="MWV1680" s="1740"/>
      <c r="MWW1680" s="1740"/>
      <c r="MWX1680" s="1740"/>
      <c r="MWY1680" s="1740"/>
      <c r="MWZ1680" s="1740"/>
      <c r="MXA1680" s="1740"/>
      <c r="MXB1680" s="1740"/>
      <c r="MXC1680" s="1740"/>
      <c r="MXD1680" s="1740"/>
      <c r="MXE1680" s="1740"/>
      <c r="MXF1680" s="1740"/>
      <c r="MXG1680" s="1740"/>
      <c r="MXH1680" s="1740"/>
      <c r="MXI1680" s="1740"/>
      <c r="MXJ1680" s="1740"/>
      <c r="MXK1680" s="1740"/>
      <c r="MXL1680" s="1740"/>
      <c r="MXM1680" s="1740"/>
      <c r="MXN1680" s="1740"/>
      <c r="MXO1680" s="1740"/>
      <c r="MXP1680" s="1740"/>
      <c r="MXQ1680" s="1740"/>
      <c r="MXR1680" s="1740"/>
      <c r="MXS1680" s="1740"/>
      <c r="MXT1680" s="1740"/>
      <c r="MXU1680" s="1740"/>
      <c r="MXV1680" s="1740"/>
      <c r="MXW1680" s="1740"/>
      <c r="MXX1680" s="1740"/>
      <c r="MXY1680" s="1740"/>
      <c r="MXZ1680" s="1740"/>
      <c r="MYA1680" s="1740"/>
      <c r="MYB1680" s="1740"/>
      <c r="MYC1680" s="1740"/>
      <c r="MYD1680" s="1740"/>
      <c r="MYE1680" s="1740"/>
      <c r="MYF1680" s="1740"/>
      <c r="MYG1680" s="1740"/>
      <c r="MYH1680" s="1740"/>
      <c r="MYI1680" s="1740"/>
      <c r="MYJ1680" s="1740"/>
      <c r="MYK1680" s="1740"/>
      <c r="MYL1680" s="1740"/>
      <c r="MYM1680" s="1740"/>
      <c r="MYN1680" s="1740"/>
      <c r="MYO1680" s="1740"/>
      <c r="MYP1680" s="1740"/>
      <c r="MYQ1680" s="1740"/>
      <c r="MYR1680" s="1740"/>
      <c r="MYS1680" s="1740"/>
      <c r="MYT1680" s="1740"/>
      <c r="MYU1680" s="1740"/>
      <c r="MYV1680" s="1740"/>
      <c r="MYW1680" s="1740"/>
      <c r="MYX1680" s="1740"/>
      <c r="MYY1680" s="1740"/>
      <c r="MYZ1680" s="1740"/>
      <c r="MZA1680" s="1740"/>
      <c r="MZB1680" s="1740"/>
      <c r="MZC1680" s="1740"/>
      <c r="MZD1680" s="1740"/>
      <c r="MZE1680" s="1740"/>
      <c r="MZF1680" s="1740"/>
      <c r="MZG1680" s="1740"/>
      <c r="MZH1680" s="1740"/>
      <c r="MZI1680" s="1740"/>
      <c r="MZJ1680" s="1740"/>
      <c r="MZK1680" s="1740"/>
      <c r="MZL1680" s="1740"/>
      <c r="MZM1680" s="1740"/>
      <c r="MZN1680" s="1740"/>
      <c r="MZO1680" s="1740"/>
      <c r="MZP1680" s="1740"/>
      <c r="MZQ1680" s="1740"/>
      <c r="MZR1680" s="1740"/>
      <c r="MZS1680" s="1740"/>
      <c r="MZT1680" s="1740"/>
      <c r="MZU1680" s="1740"/>
      <c r="MZV1680" s="1740"/>
      <c r="MZW1680" s="1740"/>
      <c r="MZX1680" s="1740"/>
      <c r="MZY1680" s="1740"/>
      <c r="MZZ1680" s="1740"/>
      <c r="NAA1680" s="1740"/>
      <c r="NAB1680" s="1740"/>
      <c r="NAC1680" s="1740"/>
      <c r="NAD1680" s="1740"/>
      <c r="NAE1680" s="1740"/>
      <c r="NAF1680" s="1740"/>
      <c r="NAG1680" s="1740"/>
      <c r="NAH1680" s="1740"/>
      <c r="NAI1680" s="1740"/>
      <c r="NAJ1680" s="1740"/>
      <c r="NAK1680" s="1740"/>
      <c r="NAL1680" s="1740"/>
      <c r="NAM1680" s="1740"/>
      <c r="NAN1680" s="1740"/>
      <c r="NAO1680" s="1740"/>
      <c r="NAP1680" s="1740"/>
      <c r="NAQ1680" s="1740"/>
      <c r="NAR1680" s="1740"/>
      <c r="NAS1680" s="1740"/>
      <c r="NAT1680" s="1740"/>
      <c r="NAU1680" s="1740"/>
      <c r="NAV1680" s="1740"/>
      <c r="NAW1680" s="1740"/>
      <c r="NAX1680" s="1740"/>
      <c r="NAY1680" s="1740"/>
      <c r="NAZ1680" s="1740"/>
      <c r="NBA1680" s="1740"/>
      <c r="NBB1680" s="1740"/>
      <c r="NBC1680" s="1740"/>
      <c r="NBD1680" s="1740"/>
      <c r="NBE1680" s="1740"/>
      <c r="NBF1680" s="1740"/>
      <c r="NBG1680" s="1740"/>
      <c r="NBH1680" s="1740"/>
      <c r="NBI1680" s="1740"/>
      <c r="NBJ1680" s="1740"/>
      <c r="NBK1680" s="1740"/>
      <c r="NBL1680" s="1740"/>
      <c r="NBM1680" s="1740"/>
      <c r="NBN1680" s="1740"/>
      <c r="NBO1680" s="1740"/>
      <c r="NBP1680" s="1740"/>
      <c r="NBQ1680" s="1740"/>
      <c r="NBR1680" s="1740"/>
      <c r="NBS1680" s="1740"/>
      <c r="NBT1680" s="1740"/>
      <c r="NBU1680" s="1740"/>
      <c r="NBV1680" s="1740"/>
      <c r="NBW1680" s="1740"/>
      <c r="NBX1680" s="1740"/>
      <c r="NBY1680" s="1740"/>
      <c r="NBZ1680" s="1740"/>
      <c r="NCA1680" s="1740"/>
      <c r="NCB1680" s="1740"/>
      <c r="NCC1680" s="1740"/>
      <c r="NCD1680" s="1740"/>
      <c r="NCE1680" s="1740"/>
      <c r="NCF1680" s="1740"/>
      <c r="NCG1680" s="1740"/>
      <c r="NCH1680" s="1740"/>
      <c r="NCI1680" s="1740"/>
      <c r="NCJ1680" s="1740"/>
      <c r="NCK1680" s="1740"/>
      <c r="NCL1680" s="1740"/>
      <c r="NCM1680" s="1740"/>
      <c r="NCN1680" s="1740"/>
      <c r="NCO1680" s="1740"/>
      <c r="NCP1680" s="1740"/>
      <c r="NCQ1680" s="1740"/>
      <c r="NCR1680" s="1740"/>
      <c r="NCS1680" s="1740"/>
      <c r="NCT1680" s="1740"/>
      <c r="NCU1680" s="1740"/>
      <c r="NCV1680" s="1740"/>
      <c r="NCW1680" s="1740"/>
      <c r="NCX1680" s="1740"/>
      <c r="NCY1680" s="1740"/>
      <c r="NCZ1680" s="1740"/>
      <c r="NDA1680" s="1740"/>
      <c r="NDB1680" s="1740"/>
      <c r="NDC1680" s="1740"/>
      <c r="NDD1680" s="1740"/>
      <c r="NDE1680" s="1740"/>
      <c r="NDF1680" s="1740"/>
      <c r="NDG1680" s="1740"/>
      <c r="NDH1680" s="1740"/>
      <c r="NDI1680" s="1740"/>
      <c r="NDJ1680" s="1740"/>
      <c r="NDK1680" s="1740"/>
      <c r="NDL1680" s="1740"/>
      <c r="NDM1680" s="1740"/>
      <c r="NDN1680" s="1740"/>
      <c r="NDO1680" s="1740"/>
      <c r="NDP1680" s="1740"/>
      <c r="NDQ1680" s="1740"/>
      <c r="NDR1680" s="1740"/>
      <c r="NDS1680" s="1740"/>
      <c r="NDT1680" s="1740"/>
      <c r="NDU1680" s="1740"/>
      <c r="NDV1680" s="1740"/>
      <c r="NDW1680" s="1740"/>
      <c r="NDX1680" s="1740"/>
      <c r="NDY1680" s="1740"/>
      <c r="NDZ1680" s="1740"/>
      <c r="NEA1680" s="1740"/>
      <c r="NEB1680" s="1740"/>
      <c r="NEC1680" s="1740"/>
      <c r="NED1680" s="1740"/>
      <c r="NEE1680" s="1740"/>
      <c r="NEF1680" s="1740"/>
      <c r="NEG1680" s="1740"/>
      <c r="NEH1680" s="1740"/>
      <c r="NEI1680" s="1740"/>
      <c r="NEJ1680" s="1740"/>
      <c r="NEK1680" s="1740"/>
      <c r="NEL1680" s="1740"/>
      <c r="NEM1680" s="1740"/>
      <c r="NEN1680" s="1740"/>
      <c r="NEO1680" s="1740"/>
      <c r="NEP1680" s="1740"/>
      <c r="NEQ1680" s="1740"/>
      <c r="NER1680" s="1740"/>
      <c r="NES1680" s="1740"/>
      <c r="NET1680" s="1740"/>
      <c r="NEU1680" s="1740"/>
      <c r="NEV1680" s="1740"/>
      <c r="NEW1680" s="1740"/>
      <c r="NEX1680" s="1740"/>
      <c r="NEY1680" s="1740"/>
      <c r="NEZ1680" s="1740"/>
      <c r="NFA1680" s="1740"/>
      <c r="NFB1680" s="1740"/>
      <c r="NFC1680" s="1740"/>
      <c r="NFD1680" s="1740"/>
      <c r="NFE1680" s="1740"/>
      <c r="NFF1680" s="1740"/>
      <c r="NFG1680" s="1740"/>
      <c r="NFH1680" s="1740"/>
      <c r="NFI1680" s="1740"/>
      <c r="NFJ1680" s="1740"/>
      <c r="NFK1680" s="1740"/>
      <c r="NFL1680" s="1740"/>
      <c r="NFM1680" s="1740"/>
      <c r="NFN1680" s="1740"/>
      <c r="NFO1680" s="1740"/>
      <c r="NFP1680" s="1740"/>
      <c r="NFQ1680" s="1740"/>
      <c r="NFR1680" s="1740"/>
      <c r="NFS1680" s="1740"/>
      <c r="NFT1680" s="1740"/>
      <c r="NFU1680" s="1740"/>
      <c r="NFV1680" s="1740"/>
      <c r="NFW1680" s="1740"/>
      <c r="NFX1680" s="1740"/>
      <c r="NFY1680" s="1740"/>
      <c r="NFZ1680" s="1740"/>
      <c r="NGA1680" s="1740"/>
      <c r="NGB1680" s="1740"/>
      <c r="NGC1680" s="1740"/>
      <c r="NGD1680" s="1740"/>
      <c r="NGE1680" s="1740"/>
      <c r="NGF1680" s="1740"/>
      <c r="NGG1680" s="1740"/>
      <c r="NGH1680" s="1740"/>
      <c r="NGI1680" s="1740"/>
      <c r="NGJ1680" s="1740"/>
      <c r="NGK1680" s="1740"/>
      <c r="NGL1680" s="1740"/>
      <c r="NGM1680" s="1740"/>
      <c r="NGN1680" s="1740"/>
      <c r="NGO1680" s="1740"/>
      <c r="NGP1680" s="1740"/>
      <c r="NGQ1680" s="1740"/>
      <c r="NGR1680" s="1740"/>
      <c r="NGS1680" s="1740"/>
      <c r="NGT1680" s="1740"/>
      <c r="NGU1680" s="1740"/>
      <c r="NGV1680" s="1740"/>
      <c r="NGW1680" s="1740"/>
      <c r="NGX1680" s="1740"/>
      <c r="NGY1680" s="1740"/>
      <c r="NGZ1680" s="1740"/>
      <c r="NHA1680" s="1740"/>
      <c r="NHB1680" s="1740"/>
      <c r="NHC1680" s="1740"/>
      <c r="NHD1680" s="1740"/>
      <c r="NHE1680" s="1740"/>
      <c r="NHF1680" s="1740"/>
      <c r="NHG1680" s="1740"/>
      <c r="NHH1680" s="1740"/>
      <c r="NHI1680" s="1740"/>
      <c r="NHJ1680" s="1740"/>
      <c r="NHK1680" s="1740"/>
      <c r="NHL1680" s="1740"/>
      <c r="NHM1680" s="1740"/>
      <c r="NHN1680" s="1740"/>
      <c r="NHO1680" s="1740"/>
      <c r="NHP1680" s="1740"/>
      <c r="NHQ1680" s="1740"/>
      <c r="NHR1680" s="1740"/>
      <c r="NHS1680" s="1740"/>
      <c r="NHT1680" s="1740"/>
      <c r="NHU1680" s="1740"/>
      <c r="NHV1680" s="1740"/>
      <c r="NHW1680" s="1740"/>
      <c r="NHX1680" s="1740"/>
      <c r="NHY1680" s="1740"/>
      <c r="NHZ1680" s="1740"/>
      <c r="NIA1680" s="1740"/>
      <c r="NIB1680" s="1740"/>
      <c r="NIC1680" s="1740"/>
      <c r="NID1680" s="1740"/>
      <c r="NIE1680" s="1740"/>
      <c r="NIF1680" s="1740"/>
      <c r="NIG1680" s="1740"/>
      <c r="NIH1680" s="1740"/>
      <c r="NII1680" s="1740"/>
      <c r="NIJ1680" s="1740"/>
      <c r="NIK1680" s="1740"/>
      <c r="NIL1680" s="1740"/>
      <c r="NIM1680" s="1740"/>
      <c r="NIN1680" s="1740"/>
      <c r="NIO1680" s="1740"/>
      <c r="NIP1680" s="1740"/>
      <c r="NIQ1680" s="1740"/>
      <c r="NIR1680" s="1740"/>
      <c r="NIS1680" s="1740"/>
      <c r="NIT1680" s="1740"/>
      <c r="NIU1680" s="1740"/>
      <c r="NIV1680" s="1740"/>
      <c r="NIW1680" s="1740"/>
      <c r="NIX1680" s="1740"/>
      <c r="NIY1680" s="1740"/>
      <c r="NIZ1680" s="1740"/>
      <c r="NJA1680" s="1740"/>
      <c r="NJB1680" s="1740"/>
      <c r="NJC1680" s="1740"/>
      <c r="NJD1680" s="1740"/>
      <c r="NJE1680" s="1740"/>
      <c r="NJF1680" s="1740"/>
      <c r="NJG1680" s="1740"/>
      <c r="NJH1680" s="1740"/>
      <c r="NJI1680" s="1740"/>
      <c r="NJJ1680" s="1740"/>
      <c r="NJK1680" s="1740"/>
      <c r="NJL1680" s="1740"/>
      <c r="NJM1680" s="1740"/>
      <c r="NJN1680" s="1740"/>
      <c r="NJO1680" s="1740"/>
      <c r="NJP1680" s="1740"/>
      <c r="NJQ1680" s="1740"/>
      <c r="NJR1680" s="1740"/>
      <c r="NJS1680" s="1740"/>
      <c r="NJT1680" s="1740"/>
      <c r="NJU1680" s="1740"/>
      <c r="NJV1680" s="1740"/>
      <c r="NJW1680" s="1740"/>
      <c r="NJX1680" s="1740"/>
      <c r="NJY1680" s="1740"/>
      <c r="NJZ1680" s="1740"/>
      <c r="NKA1680" s="1740"/>
      <c r="NKB1680" s="1740"/>
      <c r="NKC1680" s="1740"/>
      <c r="NKD1680" s="1740"/>
      <c r="NKE1680" s="1740"/>
      <c r="NKF1680" s="1740"/>
      <c r="NKG1680" s="1740"/>
      <c r="NKH1680" s="1740"/>
      <c r="NKI1680" s="1740"/>
      <c r="NKJ1680" s="1740"/>
      <c r="NKK1680" s="1740"/>
      <c r="NKL1680" s="1740"/>
      <c r="NKM1680" s="1740"/>
      <c r="NKN1680" s="1740"/>
      <c r="NKO1680" s="1740"/>
      <c r="NKP1680" s="1740"/>
      <c r="NKQ1680" s="1740"/>
      <c r="NKR1680" s="1740"/>
      <c r="NKS1680" s="1740"/>
      <c r="NKT1680" s="1740"/>
      <c r="NKU1680" s="1740"/>
      <c r="NKV1680" s="1740"/>
      <c r="NKW1680" s="1740"/>
      <c r="NKX1680" s="1740"/>
      <c r="NKY1680" s="1740"/>
      <c r="NKZ1680" s="1740"/>
      <c r="NLA1680" s="1740"/>
      <c r="NLB1680" s="1740"/>
      <c r="NLC1680" s="1740"/>
      <c r="NLD1680" s="1740"/>
      <c r="NLE1680" s="1740"/>
      <c r="NLF1680" s="1740"/>
      <c r="NLG1680" s="1740"/>
      <c r="NLH1680" s="1740"/>
      <c r="NLI1680" s="1740"/>
      <c r="NLJ1680" s="1740"/>
      <c r="NLK1680" s="1740"/>
      <c r="NLL1680" s="1740"/>
      <c r="NLM1680" s="1740"/>
      <c r="NLN1680" s="1740"/>
      <c r="NLO1680" s="1740"/>
      <c r="NLP1680" s="1740"/>
      <c r="NLQ1680" s="1740"/>
      <c r="NLR1680" s="1740"/>
      <c r="NLS1680" s="1740"/>
      <c r="NLT1680" s="1740"/>
      <c r="NLU1680" s="1740"/>
      <c r="NLV1680" s="1740"/>
      <c r="NLW1680" s="1740"/>
      <c r="NLX1680" s="1740"/>
      <c r="NLY1680" s="1740"/>
      <c r="NLZ1680" s="1740"/>
      <c r="NMA1680" s="1740"/>
      <c r="NMB1680" s="1740"/>
      <c r="NMC1680" s="1740"/>
      <c r="NMD1680" s="1740"/>
      <c r="NME1680" s="1740"/>
      <c r="NMF1680" s="1740"/>
      <c r="NMG1680" s="1740"/>
      <c r="NMH1680" s="1740"/>
      <c r="NMI1680" s="1740"/>
      <c r="NMJ1680" s="1740"/>
      <c r="NMK1680" s="1740"/>
      <c r="NML1680" s="1740"/>
      <c r="NMM1680" s="1740"/>
      <c r="NMN1680" s="1740"/>
      <c r="NMO1680" s="1740"/>
      <c r="NMP1680" s="1740"/>
      <c r="NMQ1680" s="1740"/>
      <c r="NMR1680" s="1740"/>
      <c r="NMS1680" s="1740"/>
      <c r="NMT1680" s="1740"/>
      <c r="NMU1680" s="1740"/>
      <c r="NMV1680" s="1740"/>
      <c r="NMW1680" s="1740"/>
      <c r="NMX1680" s="1740"/>
      <c r="NMY1680" s="1740"/>
      <c r="NMZ1680" s="1740"/>
      <c r="NNA1680" s="1740"/>
      <c r="NNB1680" s="1740"/>
      <c r="NNC1680" s="1740"/>
      <c r="NND1680" s="1740"/>
      <c r="NNE1680" s="1740"/>
      <c r="NNF1680" s="1740"/>
      <c r="NNG1680" s="1740"/>
      <c r="NNH1680" s="1740"/>
      <c r="NNI1680" s="1740"/>
      <c r="NNJ1680" s="1740"/>
      <c r="NNK1680" s="1740"/>
      <c r="NNL1680" s="1740"/>
      <c r="NNM1680" s="1740"/>
      <c r="NNN1680" s="1740"/>
      <c r="NNO1680" s="1740"/>
      <c r="NNP1680" s="1740"/>
      <c r="NNQ1680" s="1740"/>
      <c r="NNR1680" s="1740"/>
      <c r="NNS1680" s="1740"/>
      <c r="NNT1680" s="1740"/>
      <c r="NNU1680" s="1740"/>
      <c r="NNV1680" s="1740"/>
      <c r="NNW1680" s="1740"/>
      <c r="NNX1680" s="1740"/>
      <c r="NNY1680" s="1740"/>
      <c r="NNZ1680" s="1740"/>
      <c r="NOA1680" s="1740"/>
      <c r="NOB1680" s="1740"/>
      <c r="NOC1680" s="1740"/>
      <c r="NOD1680" s="1740"/>
      <c r="NOE1680" s="1740"/>
      <c r="NOF1680" s="1740"/>
      <c r="NOG1680" s="1740"/>
      <c r="NOH1680" s="1740"/>
      <c r="NOI1680" s="1740"/>
      <c r="NOJ1680" s="1740"/>
      <c r="NOK1680" s="1740"/>
      <c r="NOL1680" s="1740"/>
      <c r="NOM1680" s="1740"/>
      <c r="NON1680" s="1740"/>
      <c r="NOO1680" s="1740"/>
      <c r="NOP1680" s="1740"/>
      <c r="NOQ1680" s="1740"/>
      <c r="NOR1680" s="1740"/>
      <c r="NOS1680" s="1740"/>
      <c r="NOT1680" s="1740"/>
      <c r="NOU1680" s="1740"/>
      <c r="NOV1680" s="1740"/>
      <c r="NOW1680" s="1740"/>
      <c r="NOX1680" s="1740"/>
      <c r="NOY1680" s="1740"/>
      <c r="NOZ1680" s="1740"/>
      <c r="NPA1680" s="1740"/>
      <c r="NPB1680" s="1740"/>
      <c r="NPC1680" s="1740"/>
      <c r="NPD1680" s="1740"/>
      <c r="NPE1680" s="1740"/>
      <c r="NPF1680" s="1740"/>
      <c r="NPG1680" s="1740"/>
      <c r="NPH1680" s="1740"/>
      <c r="NPI1680" s="1740"/>
      <c r="NPJ1680" s="1740"/>
      <c r="NPK1680" s="1740"/>
      <c r="NPL1680" s="1740"/>
      <c r="NPM1680" s="1740"/>
      <c r="NPN1680" s="1740"/>
      <c r="NPO1680" s="1740"/>
      <c r="NPP1680" s="1740"/>
      <c r="NPQ1680" s="1740"/>
      <c r="NPR1680" s="1740"/>
      <c r="NPS1680" s="1740"/>
      <c r="NPT1680" s="1740"/>
      <c r="NPU1680" s="1740"/>
      <c r="NPV1680" s="1740"/>
      <c r="NPW1680" s="1740"/>
      <c r="NPX1680" s="1740"/>
      <c r="NPY1680" s="1740"/>
      <c r="NPZ1680" s="1740"/>
      <c r="NQA1680" s="1740"/>
      <c r="NQB1680" s="1740"/>
      <c r="NQC1680" s="1740"/>
      <c r="NQD1680" s="1740"/>
      <c r="NQE1680" s="1740"/>
      <c r="NQF1680" s="1740"/>
      <c r="NQG1680" s="1740"/>
      <c r="NQH1680" s="1740"/>
      <c r="NQI1680" s="1740"/>
      <c r="NQJ1680" s="1740"/>
      <c r="NQK1680" s="1740"/>
      <c r="NQL1680" s="1740"/>
      <c r="NQM1680" s="1740"/>
      <c r="NQN1680" s="1740"/>
      <c r="NQO1680" s="1740"/>
      <c r="NQP1680" s="1740"/>
      <c r="NQQ1680" s="1740"/>
      <c r="NQR1680" s="1740"/>
      <c r="NQS1680" s="1740"/>
      <c r="NQT1680" s="1740"/>
      <c r="NQU1680" s="1740"/>
      <c r="NQV1680" s="1740"/>
      <c r="NQW1680" s="1740"/>
      <c r="NQX1680" s="1740"/>
      <c r="NQY1680" s="1740"/>
      <c r="NQZ1680" s="1740"/>
      <c r="NRA1680" s="1740"/>
      <c r="NRB1680" s="1740"/>
      <c r="NRC1680" s="1740"/>
      <c r="NRD1680" s="1740"/>
      <c r="NRE1680" s="1740"/>
      <c r="NRF1680" s="1740"/>
      <c r="NRG1680" s="1740"/>
      <c r="NRH1680" s="1740"/>
      <c r="NRI1680" s="1740"/>
      <c r="NRJ1680" s="1740"/>
      <c r="NRK1680" s="1740"/>
      <c r="NRL1680" s="1740"/>
      <c r="NRM1680" s="1740"/>
      <c r="NRN1680" s="1740"/>
      <c r="NRO1680" s="1740"/>
      <c r="NRP1680" s="1740"/>
      <c r="NRQ1680" s="1740"/>
      <c r="NRR1680" s="1740"/>
      <c r="NRS1680" s="1740"/>
      <c r="NRT1680" s="1740"/>
      <c r="NRU1680" s="1740"/>
      <c r="NRV1680" s="1740"/>
      <c r="NRW1680" s="1740"/>
      <c r="NRX1680" s="1740"/>
      <c r="NRY1680" s="1740"/>
      <c r="NRZ1680" s="1740"/>
      <c r="NSA1680" s="1740"/>
      <c r="NSB1680" s="1740"/>
      <c r="NSC1680" s="1740"/>
      <c r="NSD1680" s="1740"/>
      <c r="NSE1680" s="1740"/>
      <c r="NSF1680" s="1740"/>
      <c r="NSG1680" s="1740"/>
      <c r="NSH1680" s="1740"/>
      <c r="NSI1680" s="1740"/>
      <c r="NSJ1680" s="1740"/>
      <c r="NSK1680" s="1740"/>
      <c r="NSL1680" s="1740"/>
      <c r="NSM1680" s="1740"/>
      <c r="NSN1680" s="1740"/>
      <c r="NSO1680" s="1740"/>
      <c r="NSP1680" s="1740"/>
      <c r="NSQ1680" s="1740"/>
      <c r="NSR1680" s="1740"/>
      <c r="NSS1680" s="1740"/>
      <c r="NST1680" s="1740"/>
      <c r="NSU1680" s="1740"/>
      <c r="NSV1680" s="1740"/>
      <c r="NSW1680" s="1740"/>
      <c r="NSX1680" s="1740"/>
      <c r="NSY1680" s="1740"/>
      <c r="NSZ1680" s="1740"/>
      <c r="NTA1680" s="1740"/>
      <c r="NTB1680" s="1740"/>
      <c r="NTC1680" s="1740"/>
      <c r="NTD1680" s="1740"/>
      <c r="NTE1680" s="1740"/>
      <c r="NTF1680" s="1740"/>
      <c r="NTG1680" s="1740"/>
      <c r="NTH1680" s="1740"/>
      <c r="NTI1680" s="1740"/>
      <c r="NTJ1680" s="1740"/>
      <c r="NTK1680" s="1740"/>
      <c r="NTL1680" s="1740"/>
      <c r="NTM1680" s="1740"/>
      <c r="NTN1680" s="1740"/>
      <c r="NTO1680" s="1740"/>
      <c r="NTP1680" s="1740"/>
      <c r="NTQ1680" s="1740"/>
      <c r="NTR1680" s="1740"/>
      <c r="NTS1680" s="1740"/>
      <c r="NTT1680" s="1740"/>
      <c r="NTU1680" s="1740"/>
      <c r="NTV1680" s="1740"/>
      <c r="NTW1680" s="1740"/>
      <c r="NTX1680" s="1740"/>
      <c r="NTY1680" s="1740"/>
      <c r="NTZ1680" s="1740"/>
      <c r="NUA1680" s="1740"/>
      <c r="NUB1680" s="1740"/>
      <c r="NUC1680" s="1740"/>
      <c r="NUD1680" s="1740"/>
      <c r="NUE1680" s="1740"/>
      <c r="NUF1680" s="1740"/>
      <c r="NUG1680" s="1740"/>
      <c r="NUH1680" s="1740"/>
      <c r="NUI1680" s="1740"/>
      <c r="NUJ1680" s="1740"/>
      <c r="NUK1680" s="1740"/>
      <c r="NUL1680" s="1740"/>
      <c r="NUM1680" s="1740"/>
      <c r="NUN1680" s="1740"/>
      <c r="NUO1680" s="1740"/>
      <c r="NUP1680" s="1740"/>
      <c r="NUQ1680" s="1740"/>
      <c r="NUR1680" s="1740"/>
      <c r="NUS1680" s="1740"/>
      <c r="NUT1680" s="1740"/>
      <c r="NUU1680" s="1740"/>
      <c r="NUV1680" s="1740"/>
      <c r="NUW1680" s="1740"/>
      <c r="NUX1680" s="1740"/>
      <c r="NUY1680" s="1740"/>
      <c r="NUZ1680" s="1740"/>
      <c r="NVA1680" s="1740"/>
      <c r="NVB1680" s="1740"/>
      <c r="NVC1680" s="1740"/>
      <c r="NVD1680" s="1740"/>
      <c r="NVE1680" s="1740"/>
      <c r="NVF1680" s="1740"/>
      <c r="NVG1680" s="1740"/>
      <c r="NVH1680" s="1740"/>
      <c r="NVI1680" s="1740"/>
      <c r="NVJ1680" s="1740"/>
      <c r="NVK1680" s="1740"/>
      <c r="NVL1680" s="1740"/>
      <c r="NVM1680" s="1740"/>
      <c r="NVN1680" s="1740"/>
      <c r="NVO1680" s="1740"/>
      <c r="NVP1680" s="1740"/>
      <c r="NVQ1680" s="1740"/>
      <c r="NVR1680" s="1740"/>
      <c r="NVS1680" s="1740"/>
      <c r="NVT1680" s="1740"/>
      <c r="NVU1680" s="1740"/>
      <c r="NVV1680" s="1740"/>
      <c r="NVW1680" s="1740"/>
      <c r="NVX1680" s="1740"/>
      <c r="NVY1680" s="1740"/>
      <c r="NVZ1680" s="1740"/>
      <c r="NWA1680" s="1740"/>
      <c r="NWB1680" s="1740"/>
      <c r="NWC1680" s="1740"/>
      <c r="NWD1680" s="1740"/>
      <c r="NWE1680" s="1740"/>
      <c r="NWF1680" s="1740"/>
      <c r="NWG1680" s="1740"/>
      <c r="NWH1680" s="1740"/>
      <c r="NWI1680" s="1740"/>
      <c r="NWJ1680" s="1740"/>
      <c r="NWK1680" s="1740"/>
      <c r="NWL1680" s="1740"/>
      <c r="NWM1680" s="1740"/>
      <c r="NWN1680" s="1740"/>
      <c r="NWO1680" s="1740"/>
      <c r="NWP1680" s="1740"/>
      <c r="NWQ1680" s="1740"/>
      <c r="NWR1680" s="1740"/>
      <c r="NWS1680" s="1740"/>
      <c r="NWT1680" s="1740"/>
      <c r="NWU1680" s="1740"/>
      <c r="NWV1680" s="1740"/>
      <c r="NWW1680" s="1740"/>
      <c r="NWX1680" s="1740"/>
      <c r="NWY1680" s="1740"/>
      <c r="NWZ1680" s="1740"/>
      <c r="NXA1680" s="1740"/>
      <c r="NXB1680" s="1740"/>
      <c r="NXC1680" s="1740"/>
      <c r="NXD1680" s="1740"/>
      <c r="NXE1680" s="1740"/>
      <c r="NXF1680" s="1740"/>
      <c r="NXG1680" s="1740"/>
      <c r="NXH1680" s="1740"/>
      <c r="NXI1680" s="1740"/>
      <c r="NXJ1680" s="1740"/>
      <c r="NXK1680" s="1740"/>
      <c r="NXL1680" s="1740"/>
      <c r="NXM1680" s="1740"/>
      <c r="NXN1680" s="1740"/>
      <c r="NXO1680" s="1740"/>
      <c r="NXP1680" s="1740"/>
      <c r="NXQ1680" s="1740"/>
      <c r="NXR1680" s="1740"/>
      <c r="NXS1680" s="1740"/>
      <c r="NXT1680" s="1740"/>
      <c r="NXU1680" s="1740"/>
      <c r="NXV1680" s="1740"/>
      <c r="NXW1680" s="1740"/>
      <c r="NXX1680" s="1740"/>
      <c r="NXY1680" s="1740"/>
      <c r="NXZ1680" s="1740"/>
      <c r="NYA1680" s="1740"/>
      <c r="NYB1680" s="1740"/>
      <c r="NYC1680" s="1740"/>
      <c r="NYD1680" s="1740"/>
      <c r="NYE1680" s="1740"/>
      <c r="NYF1680" s="1740"/>
      <c r="NYG1680" s="1740"/>
      <c r="NYH1680" s="1740"/>
      <c r="NYI1680" s="1740"/>
      <c r="NYJ1680" s="1740"/>
      <c r="NYK1680" s="1740"/>
      <c r="NYL1680" s="1740"/>
      <c r="NYM1680" s="1740"/>
      <c r="NYN1680" s="1740"/>
      <c r="NYO1680" s="1740"/>
      <c r="NYP1680" s="1740"/>
      <c r="NYQ1680" s="1740"/>
      <c r="NYR1680" s="1740"/>
      <c r="NYS1680" s="1740"/>
      <c r="NYT1680" s="1740"/>
      <c r="NYU1680" s="1740"/>
      <c r="NYV1680" s="1740"/>
      <c r="NYW1680" s="1740"/>
      <c r="NYX1680" s="1740"/>
      <c r="NYY1680" s="1740"/>
      <c r="NYZ1680" s="1740"/>
      <c r="NZA1680" s="1740"/>
      <c r="NZB1680" s="1740"/>
      <c r="NZC1680" s="1740"/>
      <c r="NZD1680" s="1740"/>
      <c r="NZE1680" s="1740"/>
      <c r="NZF1680" s="1740"/>
      <c r="NZG1680" s="1740"/>
      <c r="NZH1680" s="1740"/>
      <c r="NZI1680" s="1740"/>
      <c r="NZJ1680" s="1740"/>
      <c r="NZK1680" s="1740"/>
      <c r="NZL1680" s="1740"/>
      <c r="NZM1680" s="1740"/>
      <c r="NZN1680" s="1740"/>
      <c r="NZO1680" s="1740"/>
      <c r="NZP1680" s="1740"/>
      <c r="NZQ1680" s="1740"/>
      <c r="NZR1680" s="1740"/>
      <c r="NZS1680" s="1740"/>
      <c r="NZT1680" s="1740"/>
      <c r="NZU1680" s="1740"/>
      <c r="NZV1680" s="1740"/>
      <c r="NZW1680" s="1740"/>
      <c r="NZX1680" s="1740"/>
      <c r="NZY1680" s="1740"/>
      <c r="NZZ1680" s="1740"/>
      <c r="OAA1680" s="1740"/>
      <c r="OAB1680" s="1740"/>
      <c r="OAC1680" s="1740"/>
      <c r="OAD1680" s="1740"/>
      <c r="OAE1680" s="1740"/>
      <c r="OAF1680" s="1740"/>
      <c r="OAG1680" s="1740"/>
      <c r="OAH1680" s="1740"/>
      <c r="OAI1680" s="1740"/>
      <c r="OAJ1680" s="1740"/>
      <c r="OAK1680" s="1740"/>
      <c r="OAL1680" s="1740"/>
      <c r="OAM1680" s="1740"/>
      <c r="OAN1680" s="1740"/>
      <c r="OAO1680" s="1740"/>
      <c r="OAP1680" s="1740"/>
      <c r="OAQ1680" s="1740"/>
      <c r="OAR1680" s="1740"/>
      <c r="OAS1680" s="1740"/>
      <c r="OAT1680" s="1740"/>
      <c r="OAU1680" s="1740"/>
      <c r="OAV1680" s="1740"/>
      <c r="OAW1680" s="1740"/>
      <c r="OAX1680" s="1740"/>
      <c r="OAY1680" s="1740"/>
      <c r="OAZ1680" s="1740"/>
      <c r="OBA1680" s="1740"/>
      <c r="OBB1680" s="1740"/>
      <c r="OBC1680" s="1740"/>
      <c r="OBD1680" s="1740"/>
      <c r="OBE1680" s="1740"/>
      <c r="OBF1680" s="1740"/>
      <c r="OBG1680" s="1740"/>
      <c r="OBH1680" s="1740"/>
      <c r="OBI1680" s="1740"/>
      <c r="OBJ1680" s="1740"/>
      <c r="OBK1680" s="1740"/>
      <c r="OBL1680" s="1740"/>
      <c r="OBM1680" s="1740"/>
      <c r="OBN1680" s="1740"/>
      <c r="OBO1680" s="1740"/>
      <c r="OBP1680" s="1740"/>
      <c r="OBQ1680" s="1740"/>
      <c r="OBR1680" s="1740"/>
      <c r="OBS1680" s="1740"/>
      <c r="OBT1680" s="1740"/>
      <c r="OBU1680" s="1740"/>
      <c r="OBV1680" s="1740"/>
      <c r="OBW1680" s="1740"/>
      <c r="OBX1680" s="1740"/>
      <c r="OBY1680" s="1740"/>
      <c r="OBZ1680" s="1740"/>
      <c r="OCA1680" s="1740"/>
      <c r="OCB1680" s="1740"/>
      <c r="OCC1680" s="1740"/>
      <c r="OCD1680" s="1740"/>
      <c r="OCE1680" s="1740"/>
      <c r="OCF1680" s="1740"/>
      <c r="OCG1680" s="1740"/>
      <c r="OCH1680" s="1740"/>
      <c r="OCI1680" s="1740"/>
      <c r="OCJ1680" s="1740"/>
      <c r="OCK1680" s="1740"/>
      <c r="OCL1680" s="1740"/>
      <c r="OCM1680" s="1740"/>
      <c r="OCN1680" s="1740"/>
      <c r="OCO1680" s="1740"/>
      <c r="OCP1680" s="1740"/>
      <c r="OCQ1680" s="1740"/>
      <c r="OCR1680" s="1740"/>
      <c r="OCS1680" s="1740"/>
      <c r="OCT1680" s="1740"/>
      <c r="OCU1680" s="1740"/>
      <c r="OCV1680" s="1740"/>
      <c r="OCW1680" s="1740"/>
      <c r="OCX1680" s="1740"/>
      <c r="OCY1680" s="1740"/>
      <c r="OCZ1680" s="1740"/>
      <c r="ODA1680" s="1740"/>
      <c r="ODB1680" s="1740"/>
      <c r="ODC1680" s="1740"/>
      <c r="ODD1680" s="1740"/>
      <c r="ODE1680" s="1740"/>
      <c r="ODF1680" s="1740"/>
      <c r="ODG1680" s="1740"/>
      <c r="ODH1680" s="1740"/>
      <c r="ODI1680" s="1740"/>
      <c r="ODJ1680" s="1740"/>
      <c r="ODK1680" s="1740"/>
      <c r="ODL1680" s="1740"/>
      <c r="ODM1680" s="1740"/>
      <c r="ODN1680" s="1740"/>
      <c r="ODO1680" s="1740"/>
      <c r="ODP1680" s="1740"/>
      <c r="ODQ1680" s="1740"/>
      <c r="ODR1680" s="1740"/>
      <c r="ODS1680" s="1740"/>
      <c r="ODT1680" s="1740"/>
      <c r="ODU1680" s="1740"/>
      <c r="ODV1680" s="1740"/>
      <c r="ODW1680" s="1740"/>
      <c r="ODX1680" s="1740"/>
      <c r="ODY1680" s="1740"/>
      <c r="ODZ1680" s="1740"/>
      <c r="OEA1680" s="1740"/>
      <c r="OEB1680" s="1740"/>
      <c r="OEC1680" s="1740"/>
      <c r="OED1680" s="1740"/>
      <c r="OEE1680" s="1740"/>
      <c r="OEF1680" s="1740"/>
      <c r="OEG1680" s="1740"/>
      <c r="OEH1680" s="1740"/>
      <c r="OEI1680" s="1740"/>
      <c r="OEJ1680" s="1740"/>
      <c r="OEK1680" s="1740"/>
      <c r="OEL1680" s="1740"/>
      <c r="OEM1680" s="1740"/>
      <c r="OEN1680" s="1740"/>
      <c r="OEO1680" s="1740"/>
      <c r="OEP1680" s="1740"/>
      <c r="OEQ1680" s="1740"/>
      <c r="OER1680" s="1740"/>
      <c r="OES1680" s="1740"/>
      <c r="OET1680" s="1740"/>
      <c r="OEU1680" s="1740"/>
      <c r="OEV1680" s="1740"/>
      <c r="OEW1680" s="1740"/>
      <c r="OEX1680" s="1740"/>
      <c r="OEY1680" s="1740"/>
      <c r="OEZ1680" s="1740"/>
      <c r="OFA1680" s="1740"/>
      <c r="OFB1680" s="1740"/>
      <c r="OFC1680" s="1740"/>
      <c r="OFD1680" s="1740"/>
      <c r="OFE1680" s="1740"/>
      <c r="OFF1680" s="1740"/>
      <c r="OFG1680" s="1740"/>
      <c r="OFH1680" s="1740"/>
      <c r="OFI1680" s="1740"/>
      <c r="OFJ1680" s="1740"/>
      <c r="OFK1680" s="1740"/>
      <c r="OFL1680" s="1740"/>
      <c r="OFM1680" s="1740"/>
      <c r="OFN1680" s="1740"/>
      <c r="OFO1680" s="1740"/>
      <c r="OFP1680" s="1740"/>
      <c r="OFQ1680" s="1740"/>
      <c r="OFR1680" s="1740"/>
      <c r="OFS1680" s="1740"/>
      <c r="OFT1680" s="1740"/>
      <c r="OFU1680" s="1740"/>
      <c r="OFV1680" s="1740"/>
      <c r="OFW1680" s="1740"/>
      <c r="OFX1680" s="1740"/>
      <c r="OFY1680" s="1740"/>
      <c r="OFZ1680" s="1740"/>
      <c r="OGA1680" s="1740"/>
      <c r="OGB1680" s="1740"/>
      <c r="OGC1680" s="1740"/>
      <c r="OGD1680" s="1740"/>
      <c r="OGE1680" s="1740"/>
      <c r="OGF1680" s="1740"/>
      <c r="OGG1680" s="1740"/>
      <c r="OGH1680" s="1740"/>
      <c r="OGI1680" s="1740"/>
      <c r="OGJ1680" s="1740"/>
      <c r="OGK1680" s="1740"/>
      <c r="OGL1680" s="1740"/>
      <c r="OGM1680" s="1740"/>
      <c r="OGN1680" s="1740"/>
      <c r="OGO1680" s="1740"/>
      <c r="OGP1680" s="1740"/>
      <c r="OGQ1680" s="1740"/>
      <c r="OGR1680" s="1740"/>
      <c r="OGS1680" s="1740"/>
      <c r="OGT1680" s="1740"/>
      <c r="OGU1680" s="1740"/>
      <c r="OGV1680" s="1740"/>
      <c r="OGW1680" s="1740"/>
      <c r="OGX1680" s="1740"/>
      <c r="OGY1680" s="1740"/>
      <c r="OGZ1680" s="1740"/>
      <c r="OHA1680" s="1740"/>
      <c r="OHB1680" s="1740"/>
      <c r="OHC1680" s="1740"/>
      <c r="OHD1680" s="1740"/>
      <c r="OHE1680" s="1740"/>
      <c r="OHF1680" s="1740"/>
      <c r="OHG1680" s="1740"/>
      <c r="OHH1680" s="1740"/>
      <c r="OHI1680" s="1740"/>
      <c r="OHJ1680" s="1740"/>
      <c r="OHK1680" s="1740"/>
      <c r="OHL1680" s="1740"/>
      <c r="OHM1680" s="1740"/>
      <c r="OHN1680" s="1740"/>
      <c r="OHO1680" s="1740"/>
      <c r="OHP1680" s="1740"/>
      <c r="OHQ1680" s="1740"/>
      <c r="OHR1680" s="1740"/>
      <c r="OHS1680" s="1740"/>
      <c r="OHT1680" s="1740"/>
      <c r="OHU1680" s="1740"/>
      <c r="OHV1680" s="1740"/>
      <c r="OHW1680" s="1740"/>
      <c r="OHX1680" s="1740"/>
      <c r="OHY1680" s="1740"/>
      <c r="OHZ1680" s="1740"/>
      <c r="OIA1680" s="1740"/>
      <c r="OIB1680" s="1740"/>
      <c r="OIC1680" s="1740"/>
      <c r="OID1680" s="1740"/>
      <c r="OIE1680" s="1740"/>
      <c r="OIF1680" s="1740"/>
      <c r="OIG1680" s="1740"/>
      <c r="OIH1680" s="1740"/>
      <c r="OII1680" s="1740"/>
      <c r="OIJ1680" s="1740"/>
      <c r="OIK1680" s="1740"/>
      <c r="OIL1680" s="1740"/>
      <c r="OIM1680" s="1740"/>
      <c r="OIN1680" s="1740"/>
      <c r="OIO1680" s="1740"/>
      <c r="OIP1680" s="1740"/>
      <c r="OIQ1680" s="1740"/>
      <c r="OIR1680" s="1740"/>
      <c r="OIS1680" s="1740"/>
      <c r="OIT1680" s="1740"/>
      <c r="OIU1680" s="1740"/>
      <c r="OIV1680" s="1740"/>
      <c r="OIW1680" s="1740"/>
      <c r="OIX1680" s="1740"/>
      <c r="OIY1680" s="1740"/>
      <c r="OIZ1680" s="1740"/>
      <c r="OJA1680" s="1740"/>
      <c r="OJB1680" s="1740"/>
      <c r="OJC1680" s="1740"/>
      <c r="OJD1680" s="1740"/>
      <c r="OJE1680" s="1740"/>
      <c r="OJF1680" s="1740"/>
      <c r="OJG1680" s="1740"/>
      <c r="OJH1680" s="1740"/>
      <c r="OJI1680" s="1740"/>
      <c r="OJJ1680" s="1740"/>
      <c r="OJK1680" s="1740"/>
      <c r="OJL1680" s="1740"/>
      <c r="OJM1680" s="1740"/>
      <c r="OJN1680" s="1740"/>
      <c r="OJO1680" s="1740"/>
      <c r="OJP1680" s="1740"/>
      <c r="OJQ1680" s="1740"/>
      <c r="OJR1680" s="1740"/>
      <c r="OJS1680" s="1740"/>
      <c r="OJT1680" s="1740"/>
      <c r="OJU1680" s="1740"/>
      <c r="OJV1680" s="1740"/>
      <c r="OJW1680" s="1740"/>
      <c r="OJX1680" s="1740"/>
      <c r="OJY1680" s="1740"/>
      <c r="OJZ1680" s="1740"/>
      <c r="OKA1680" s="1740"/>
      <c r="OKB1680" s="1740"/>
      <c r="OKC1680" s="1740"/>
      <c r="OKD1680" s="1740"/>
      <c r="OKE1680" s="1740"/>
      <c r="OKF1680" s="1740"/>
      <c r="OKG1680" s="1740"/>
      <c r="OKH1680" s="1740"/>
      <c r="OKI1680" s="1740"/>
      <c r="OKJ1680" s="1740"/>
      <c r="OKK1680" s="1740"/>
      <c r="OKL1680" s="1740"/>
      <c r="OKM1680" s="1740"/>
      <c r="OKN1680" s="1740"/>
      <c r="OKO1680" s="1740"/>
      <c r="OKP1680" s="1740"/>
      <c r="OKQ1680" s="1740"/>
      <c r="OKR1680" s="1740"/>
      <c r="OKS1680" s="1740"/>
      <c r="OKT1680" s="1740"/>
      <c r="OKU1680" s="1740"/>
      <c r="OKV1680" s="1740"/>
      <c r="OKW1680" s="1740"/>
      <c r="OKX1680" s="1740"/>
      <c r="OKY1680" s="1740"/>
      <c r="OKZ1680" s="1740"/>
      <c r="OLA1680" s="1740"/>
      <c r="OLB1680" s="1740"/>
      <c r="OLC1680" s="1740"/>
      <c r="OLD1680" s="1740"/>
      <c r="OLE1680" s="1740"/>
      <c r="OLF1680" s="1740"/>
      <c r="OLG1680" s="1740"/>
      <c r="OLH1680" s="1740"/>
      <c r="OLI1680" s="1740"/>
      <c r="OLJ1680" s="1740"/>
      <c r="OLK1680" s="1740"/>
      <c r="OLL1680" s="1740"/>
      <c r="OLM1680" s="1740"/>
      <c r="OLN1680" s="1740"/>
      <c r="OLO1680" s="1740"/>
      <c r="OLP1680" s="1740"/>
      <c r="OLQ1680" s="1740"/>
      <c r="OLR1680" s="1740"/>
      <c r="OLS1680" s="1740"/>
      <c r="OLT1680" s="1740"/>
      <c r="OLU1680" s="1740"/>
      <c r="OLV1680" s="1740"/>
      <c r="OLW1680" s="1740"/>
      <c r="OLX1680" s="1740"/>
      <c r="OLY1680" s="1740"/>
      <c r="OLZ1680" s="1740"/>
      <c r="OMA1680" s="1740"/>
      <c r="OMB1680" s="1740"/>
      <c r="OMC1680" s="1740"/>
      <c r="OMD1680" s="1740"/>
      <c r="OME1680" s="1740"/>
      <c r="OMF1680" s="1740"/>
      <c r="OMG1680" s="1740"/>
      <c r="OMH1680" s="1740"/>
      <c r="OMI1680" s="1740"/>
      <c r="OMJ1680" s="1740"/>
      <c r="OMK1680" s="1740"/>
      <c r="OML1680" s="1740"/>
      <c r="OMM1680" s="1740"/>
      <c r="OMN1680" s="1740"/>
      <c r="OMO1680" s="1740"/>
      <c r="OMP1680" s="1740"/>
      <c r="OMQ1680" s="1740"/>
      <c r="OMR1680" s="1740"/>
      <c r="OMS1680" s="1740"/>
      <c r="OMT1680" s="1740"/>
      <c r="OMU1680" s="1740"/>
      <c r="OMV1680" s="1740"/>
      <c r="OMW1680" s="1740"/>
      <c r="OMX1680" s="1740"/>
      <c r="OMY1680" s="1740"/>
      <c r="OMZ1680" s="1740"/>
      <c r="ONA1680" s="1740"/>
      <c r="ONB1680" s="1740"/>
      <c r="ONC1680" s="1740"/>
      <c r="OND1680" s="1740"/>
      <c r="ONE1680" s="1740"/>
      <c r="ONF1680" s="1740"/>
      <c r="ONG1680" s="1740"/>
      <c r="ONH1680" s="1740"/>
      <c r="ONI1680" s="1740"/>
      <c r="ONJ1680" s="1740"/>
      <c r="ONK1680" s="1740"/>
      <c r="ONL1680" s="1740"/>
      <c r="ONM1680" s="1740"/>
      <c r="ONN1680" s="1740"/>
      <c r="ONO1680" s="1740"/>
      <c r="ONP1680" s="1740"/>
      <c r="ONQ1680" s="1740"/>
      <c r="ONR1680" s="1740"/>
      <c r="ONS1680" s="1740"/>
      <c r="ONT1680" s="1740"/>
      <c r="ONU1680" s="1740"/>
      <c r="ONV1680" s="1740"/>
      <c r="ONW1680" s="1740"/>
      <c r="ONX1680" s="1740"/>
      <c r="ONY1680" s="1740"/>
      <c r="ONZ1680" s="1740"/>
      <c r="OOA1680" s="1740"/>
      <c r="OOB1680" s="1740"/>
      <c r="OOC1680" s="1740"/>
      <c r="OOD1680" s="1740"/>
      <c r="OOE1680" s="1740"/>
      <c r="OOF1680" s="1740"/>
      <c r="OOG1680" s="1740"/>
      <c r="OOH1680" s="1740"/>
      <c r="OOI1680" s="1740"/>
      <c r="OOJ1680" s="1740"/>
      <c r="OOK1680" s="1740"/>
      <c r="OOL1680" s="1740"/>
      <c r="OOM1680" s="1740"/>
      <c r="OON1680" s="1740"/>
      <c r="OOO1680" s="1740"/>
      <c r="OOP1680" s="1740"/>
      <c r="OOQ1680" s="1740"/>
      <c r="OOR1680" s="1740"/>
      <c r="OOS1680" s="1740"/>
      <c r="OOT1680" s="1740"/>
      <c r="OOU1680" s="1740"/>
      <c r="OOV1680" s="1740"/>
      <c r="OOW1680" s="1740"/>
      <c r="OOX1680" s="1740"/>
      <c r="OOY1680" s="1740"/>
      <c r="OOZ1680" s="1740"/>
      <c r="OPA1680" s="1740"/>
      <c r="OPB1680" s="1740"/>
      <c r="OPC1680" s="1740"/>
      <c r="OPD1680" s="1740"/>
      <c r="OPE1680" s="1740"/>
      <c r="OPF1680" s="1740"/>
      <c r="OPG1680" s="1740"/>
      <c r="OPH1680" s="1740"/>
      <c r="OPI1680" s="1740"/>
      <c r="OPJ1680" s="1740"/>
      <c r="OPK1680" s="1740"/>
      <c r="OPL1680" s="1740"/>
      <c r="OPM1680" s="1740"/>
      <c r="OPN1680" s="1740"/>
      <c r="OPO1680" s="1740"/>
      <c r="OPP1680" s="1740"/>
      <c r="OPQ1680" s="1740"/>
      <c r="OPR1680" s="1740"/>
      <c r="OPS1680" s="1740"/>
      <c r="OPT1680" s="1740"/>
      <c r="OPU1680" s="1740"/>
      <c r="OPV1680" s="1740"/>
      <c r="OPW1680" s="1740"/>
      <c r="OPX1680" s="1740"/>
      <c r="OPY1680" s="1740"/>
      <c r="OPZ1680" s="1740"/>
      <c r="OQA1680" s="1740"/>
      <c r="OQB1680" s="1740"/>
      <c r="OQC1680" s="1740"/>
      <c r="OQD1680" s="1740"/>
      <c r="OQE1680" s="1740"/>
      <c r="OQF1680" s="1740"/>
      <c r="OQG1680" s="1740"/>
      <c r="OQH1680" s="1740"/>
      <c r="OQI1680" s="1740"/>
      <c r="OQJ1680" s="1740"/>
      <c r="OQK1680" s="1740"/>
      <c r="OQL1680" s="1740"/>
      <c r="OQM1680" s="1740"/>
      <c r="OQN1680" s="1740"/>
      <c r="OQO1680" s="1740"/>
      <c r="OQP1680" s="1740"/>
      <c r="OQQ1680" s="1740"/>
      <c r="OQR1680" s="1740"/>
      <c r="OQS1680" s="1740"/>
      <c r="OQT1680" s="1740"/>
      <c r="OQU1680" s="1740"/>
      <c r="OQV1680" s="1740"/>
      <c r="OQW1680" s="1740"/>
      <c r="OQX1680" s="1740"/>
      <c r="OQY1680" s="1740"/>
      <c r="OQZ1680" s="1740"/>
      <c r="ORA1680" s="1740"/>
      <c r="ORB1680" s="1740"/>
      <c r="ORC1680" s="1740"/>
      <c r="ORD1680" s="1740"/>
      <c r="ORE1680" s="1740"/>
      <c r="ORF1680" s="1740"/>
      <c r="ORG1680" s="1740"/>
      <c r="ORH1680" s="1740"/>
      <c r="ORI1680" s="1740"/>
      <c r="ORJ1680" s="1740"/>
      <c r="ORK1680" s="1740"/>
      <c r="ORL1680" s="1740"/>
      <c r="ORM1680" s="1740"/>
      <c r="ORN1680" s="1740"/>
      <c r="ORO1680" s="1740"/>
      <c r="ORP1680" s="1740"/>
      <c r="ORQ1680" s="1740"/>
      <c r="ORR1680" s="1740"/>
      <c r="ORS1680" s="1740"/>
      <c r="ORT1680" s="1740"/>
      <c r="ORU1680" s="1740"/>
      <c r="ORV1680" s="1740"/>
      <c r="ORW1680" s="1740"/>
      <c r="ORX1680" s="1740"/>
      <c r="ORY1680" s="1740"/>
      <c r="ORZ1680" s="1740"/>
      <c r="OSA1680" s="1740"/>
      <c r="OSB1680" s="1740"/>
      <c r="OSC1680" s="1740"/>
      <c r="OSD1680" s="1740"/>
      <c r="OSE1680" s="1740"/>
      <c r="OSF1680" s="1740"/>
      <c r="OSG1680" s="1740"/>
      <c r="OSH1680" s="1740"/>
      <c r="OSI1680" s="1740"/>
      <c r="OSJ1680" s="1740"/>
      <c r="OSK1680" s="1740"/>
      <c r="OSL1680" s="1740"/>
      <c r="OSM1680" s="1740"/>
      <c r="OSN1680" s="1740"/>
      <c r="OSO1680" s="1740"/>
      <c r="OSP1680" s="1740"/>
      <c r="OSQ1680" s="1740"/>
      <c r="OSR1680" s="1740"/>
      <c r="OSS1680" s="1740"/>
      <c r="OST1680" s="1740"/>
      <c r="OSU1680" s="1740"/>
      <c r="OSV1680" s="1740"/>
      <c r="OSW1680" s="1740"/>
      <c r="OSX1680" s="1740"/>
      <c r="OSY1680" s="1740"/>
      <c r="OSZ1680" s="1740"/>
      <c r="OTA1680" s="1740"/>
      <c r="OTB1680" s="1740"/>
      <c r="OTC1680" s="1740"/>
      <c r="OTD1680" s="1740"/>
      <c r="OTE1680" s="1740"/>
      <c r="OTF1680" s="1740"/>
      <c r="OTG1680" s="1740"/>
      <c r="OTH1680" s="1740"/>
      <c r="OTI1680" s="1740"/>
      <c r="OTJ1680" s="1740"/>
      <c r="OTK1680" s="1740"/>
      <c r="OTL1680" s="1740"/>
      <c r="OTM1680" s="1740"/>
      <c r="OTN1680" s="1740"/>
      <c r="OTO1680" s="1740"/>
      <c r="OTP1680" s="1740"/>
      <c r="OTQ1680" s="1740"/>
      <c r="OTR1680" s="1740"/>
      <c r="OTS1680" s="1740"/>
      <c r="OTT1680" s="1740"/>
      <c r="OTU1680" s="1740"/>
      <c r="OTV1680" s="1740"/>
      <c r="OTW1680" s="1740"/>
      <c r="OTX1680" s="1740"/>
      <c r="OTY1680" s="1740"/>
      <c r="OTZ1680" s="1740"/>
      <c r="OUA1680" s="1740"/>
      <c r="OUB1680" s="1740"/>
      <c r="OUC1680" s="1740"/>
      <c r="OUD1680" s="1740"/>
      <c r="OUE1680" s="1740"/>
      <c r="OUF1680" s="1740"/>
      <c r="OUG1680" s="1740"/>
      <c r="OUH1680" s="1740"/>
      <c r="OUI1680" s="1740"/>
      <c r="OUJ1680" s="1740"/>
      <c r="OUK1680" s="1740"/>
      <c r="OUL1680" s="1740"/>
      <c r="OUM1680" s="1740"/>
      <c r="OUN1680" s="1740"/>
      <c r="OUO1680" s="1740"/>
      <c r="OUP1680" s="1740"/>
      <c r="OUQ1680" s="1740"/>
      <c r="OUR1680" s="1740"/>
      <c r="OUS1680" s="1740"/>
      <c r="OUT1680" s="1740"/>
      <c r="OUU1680" s="1740"/>
      <c r="OUV1680" s="1740"/>
      <c r="OUW1680" s="1740"/>
      <c r="OUX1680" s="1740"/>
      <c r="OUY1680" s="1740"/>
      <c r="OUZ1680" s="1740"/>
      <c r="OVA1680" s="1740"/>
      <c r="OVB1680" s="1740"/>
      <c r="OVC1680" s="1740"/>
      <c r="OVD1680" s="1740"/>
      <c r="OVE1680" s="1740"/>
      <c r="OVF1680" s="1740"/>
      <c r="OVG1680" s="1740"/>
      <c r="OVH1680" s="1740"/>
      <c r="OVI1680" s="1740"/>
      <c r="OVJ1680" s="1740"/>
      <c r="OVK1680" s="1740"/>
      <c r="OVL1680" s="1740"/>
      <c r="OVM1680" s="1740"/>
      <c r="OVN1680" s="1740"/>
      <c r="OVO1680" s="1740"/>
      <c r="OVP1680" s="1740"/>
      <c r="OVQ1680" s="1740"/>
      <c r="OVR1680" s="1740"/>
      <c r="OVS1680" s="1740"/>
      <c r="OVT1680" s="1740"/>
      <c r="OVU1680" s="1740"/>
      <c r="OVV1680" s="1740"/>
      <c r="OVW1680" s="1740"/>
      <c r="OVX1680" s="1740"/>
      <c r="OVY1680" s="1740"/>
      <c r="OVZ1680" s="1740"/>
      <c r="OWA1680" s="1740"/>
      <c r="OWB1680" s="1740"/>
      <c r="OWC1680" s="1740"/>
      <c r="OWD1680" s="1740"/>
      <c r="OWE1680" s="1740"/>
      <c r="OWF1680" s="1740"/>
      <c r="OWG1680" s="1740"/>
      <c r="OWH1680" s="1740"/>
      <c r="OWI1680" s="1740"/>
      <c r="OWJ1680" s="1740"/>
      <c r="OWK1680" s="1740"/>
      <c r="OWL1680" s="1740"/>
      <c r="OWM1680" s="1740"/>
      <c r="OWN1680" s="1740"/>
      <c r="OWO1680" s="1740"/>
      <c r="OWP1680" s="1740"/>
      <c r="OWQ1680" s="1740"/>
      <c r="OWR1680" s="1740"/>
      <c r="OWS1680" s="1740"/>
      <c r="OWT1680" s="1740"/>
      <c r="OWU1680" s="1740"/>
      <c r="OWV1680" s="1740"/>
      <c r="OWW1680" s="1740"/>
      <c r="OWX1680" s="1740"/>
      <c r="OWY1680" s="1740"/>
      <c r="OWZ1680" s="1740"/>
      <c r="OXA1680" s="1740"/>
      <c r="OXB1680" s="1740"/>
      <c r="OXC1680" s="1740"/>
      <c r="OXD1680" s="1740"/>
      <c r="OXE1680" s="1740"/>
      <c r="OXF1680" s="1740"/>
      <c r="OXG1680" s="1740"/>
      <c r="OXH1680" s="1740"/>
      <c r="OXI1680" s="1740"/>
      <c r="OXJ1680" s="1740"/>
      <c r="OXK1680" s="1740"/>
      <c r="OXL1680" s="1740"/>
      <c r="OXM1680" s="1740"/>
      <c r="OXN1680" s="1740"/>
      <c r="OXO1680" s="1740"/>
      <c r="OXP1680" s="1740"/>
      <c r="OXQ1680" s="1740"/>
      <c r="OXR1680" s="1740"/>
      <c r="OXS1680" s="1740"/>
      <c r="OXT1680" s="1740"/>
      <c r="OXU1680" s="1740"/>
      <c r="OXV1680" s="1740"/>
      <c r="OXW1680" s="1740"/>
      <c r="OXX1680" s="1740"/>
      <c r="OXY1680" s="1740"/>
      <c r="OXZ1680" s="1740"/>
      <c r="OYA1680" s="1740"/>
      <c r="OYB1680" s="1740"/>
      <c r="OYC1680" s="1740"/>
      <c r="OYD1680" s="1740"/>
      <c r="OYE1680" s="1740"/>
      <c r="OYF1680" s="1740"/>
      <c r="OYG1680" s="1740"/>
      <c r="OYH1680" s="1740"/>
      <c r="OYI1680" s="1740"/>
      <c r="OYJ1680" s="1740"/>
      <c r="OYK1680" s="1740"/>
      <c r="OYL1680" s="1740"/>
      <c r="OYM1680" s="1740"/>
      <c r="OYN1680" s="1740"/>
      <c r="OYO1680" s="1740"/>
      <c r="OYP1680" s="1740"/>
      <c r="OYQ1680" s="1740"/>
      <c r="OYR1680" s="1740"/>
      <c r="OYS1680" s="1740"/>
      <c r="OYT1680" s="1740"/>
      <c r="OYU1680" s="1740"/>
      <c r="OYV1680" s="1740"/>
      <c r="OYW1680" s="1740"/>
      <c r="OYX1680" s="1740"/>
      <c r="OYY1680" s="1740"/>
      <c r="OYZ1680" s="1740"/>
      <c r="OZA1680" s="1740"/>
      <c r="OZB1680" s="1740"/>
      <c r="OZC1680" s="1740"/>
      <c r="OZD1680" s="1740"/>
      <c r="OZE1680" s="1740"/>
      <c r="OZF1680" s="1740"/>
      <c r="OZG1680" s="1740"/>
      <c r="OZH1680" s="1740"/>
      <c r="OZI1680" s="1740"/>
      <c r="OZJ1680" s="1740"/>
      <c r="OZK1680" s="1740"/>
      <c r="OZL1680" s="1740"/>
      <c r="OZM1680" s="1740"/>
      <c r="OZN1680" s="1740"/>
      <c r="OZO1680" s="1740"/>
      <c r="OZP1680" s="1740"/>
      <c r="OZQ1680" s="1740"/>
      <c r="OZR1680" s="1740"/>
      <c r="OZS1680" s="1740"/>
      <c r="OZT1680" s="1740"/>
      <c r="OZU1680" s="1740"/>
      <c r="OZV1680" s="1740"/>
      <c r="OZW1680" s="1740"/>
      <c r="OZX1680" s="1740"/>
      <c r="OZY1680" s="1740"/>
      <c r="OZZ1680" s="1740"/>
      <c r="PAA1680" s="1740"/>
      <c r="PAB1680" s="1740"/>
      <c r="PAC1680" s="1740"/>
      <c r="PAD1680" s="1740"/>
      <c r="PAE1680" s="1740"/>
      <c r="PAF1680" s="1740"/>
      <c r="PAG1680" s="1740"/>
      <c r="PAH1680" s="1740"/>
      <c r="PAI1680" s="1740"/>
      <c r="PAJ1680" s="1740"/>
      <c r="PAK1680" s="1740"/>
      <c r="PAL1680" s="1740"/>
      <c r="PAM1680" s="1740"/>
      <c r="PAN1680" s="1740"/>
      <c r="PAO1680" s="1740"/>
      <c r="PAP1680" s="1740"/>
      <c r="PAQ1680" s="1740"/>
      <c r="PAR1680" s="1740"/>
      <c r="PAS1680" s="1740"/>
      <c r="PAT1680" s="1740"/>
      <c r="PAU1680" s="1740"/>
      <c r="PAV1680" s="1740"/>
      <c r="PAW1680" s="1740"/>
      <c r="PAX1680" s="1740"/>
      <c r="PAY1680" s="1740"/>
      <c r="PAZ1680" s="1740"/>
      <c r="PBA1680" s="1740"/>
      <c r="PBB1680" s="1740"/>
      <c r="PBC1680" s="1740"/>
      <c r="PBD1680" s="1740"/>
      <c r="PBE1680" s="1740"/>
      <c r="PBF1680" s="1740"/>
      <c r="PBG1680" s="1740"/>
      <c r="PBH1680" s="1740"/>
      <c r="PBI1680" s="1740"/>
      <c r="PBJ1680" s="1740"/>
      <c r="PBK1680" s="1740"/>
      <c r="PBL1680" s="1740"/>
      <c r="PBM1680" s="1740"/>
      <c r="PBN1680" s="1740"/>
      <c r="PBO1680" s="1740"/>
      <c r="PBP1680" s="1740"/>
      <c r="PBQ1680" s="1740"/>
      <c r="PBR1680" s="1740"/>
      <c r="PBS1680" s="1740"/>
      <c r="PBT1680" s="1740"/>
      <c r="PBU1680" s="1740"/>
      <c r="PBV1680" s="1740"/>
      <c r="PBW1680" s="1740"/>
      <c r="PBX1680" s="1740"/>
      <c r="PBY1680" s="1740"/>
      <c r="PBZ1680" s="1740"/>
      <c r="PCA1680" s="1740"/>
      <c r="PCB1680" s="1740"/>
      <c r="PCC1680" s="1740"/>
      <c r="PCD1680" s="1740"/>
      <c r="PCE1680" s="1740"/>
      <c r="PCF1680" s="1740"/>
      <c r="PCG1680" s="1740"/>
      <c r="PCH1680" s="1740"/>
      <c r="PCI1680" s="1740"/>
      <c r="PCJ1680" s="1740"/>
      <c r="PCK1680" s="1740"/>
      <c r="PCL1680" s="1740"/>
      <c r="PCM1680" s="1740"/>
      <c r="PCN1680" s="1740"/>
      <c r="PCO1680" s="1740"/>
      <c r="PCP1680" s="1740"/>
      <c r="PCQ1680" s="1740"/>
      <c r="PCR1680" s="1740"/>
      <c r="PCS1680" s="1740"/>
      <c r="PCT1680" s="1740"/>
      <c r="PCU1680" s="1740"/>
      <c r="PCV1680" s="1740"/>
      <c r="PCW1680" s="1740"/>
      <c r="PCX1680" s="1740"/>
      <c r="PCY1680" s="1740"/>
      <c r="PCZ1680" s="1740"/>
      <c r="PDA1680" s="1740"/>
      <c r="PDB1680" s="1740"/>
      <c r="PDC1680" s="1740"/>
      <c r="PDD1680" s="1740"/>
      <c r="PDE1680" s="1740"/>
      <c r="PDF1680" s="1740"/>
      <c r="PDG1680" s="1740"/>
      <c r="PDH1680" s="1740"/>
      <c r="PDI1680" s="1740"/>
      <c r="PDJ1680" s="1740"/>
      <c r="PDK1680" s="1740"/>
      <c r="PDL1680" s="1740"/>
      <c r="PDM1680" s="1740"/>
      <c r="PDN1680" s="1740"/>
      <c r="PDO1680" s="1740"/>
      <c r="PDP1680" s="1740"/>
      <c r="PDQ1680" s="1740"/>
      <c r="PDR1680" s="1740"/>
      <c r="PDS1680" s="1740"/>
      <c r="PDT1680" s="1740"/>
      <c r="PDU1680" s="1740"/>
      <c r="PDV1680" s="1740"/>
      <c r="PDW1680" s="1740"/>
      <c r="PDX1680" s="1740"/>
      <c r="PDY1680" s="1740"/>
      <c r="PDZ1680" s="1740"/>
      <c r="PEA1680" s="1740"/>
      <c r="PEB1680" s="1740"/>
      <c r="PEC1680" s="1740"/>
      <c r="PED1680" s="1740"/>
      <c r="PEE1680" s="1740"/>
      <c r="PEF1680" s="1740"/>
      <c r="PEG1680" s="1740"/>
      <c r="PEH1680" s="1740"/>
      <c r="PEI1680" s="1740"/>
      <c r="PEJ1680" s="1740"/>
      <c r="PEK1680" s="1740"/>
      <c r="PEL1680" s="1740"/>
      <c r="PEM1680" s="1740"/>
      <c r="PEN1680" s="1740"/>
      <c r="PEO1680" s="1740"/>
      <c r="PEP1680" s="1740"/>
      <c r="PEQ1680" s="1740"/>
      <c r="PER1680" s="1740"/>
      <c r="PES1680" s="1740"/>
      <c r="PET1680" s="1740"/>
      <c r="PEU1680" s="1740"/>
      <c r="PEV1680" s="1740"/>
      <c r="PEW1680" s="1740"/>
      <c r="PEX1680" s="1740"/>
      <c r="PEY1680" s="1740"/>
      <c r="PEZ1680" s="1740"/>
      <c r="PFA1680" s="1740"/>
      <c r="PFB1680" s="1740"/>
      <c r="PFC1680" s="1740"/>
      <c r="PFD1680" s="1740"/>
      <c r="PFE1680" s="1740"/>
      <c r="PFF1680" s="1740"/>
      <c r="PFG1680" s="1740"/>
      <c r="PFH1680" s="1740"/>
      <c r="PFI1680" s="1740"/>
      <c r="PFJ1680" s="1740"/>
      <c r="PFK1680" s="1740"/>
      <c r="PFL1680" s="1740"/>
      <c r="PFM1680" s="1740"/>
      <c r="PFN1680" s="1740"/>
      <c r="PFO1680" s="1740"/>
      <c r="PFP1680" s="1740"/>
      <c r="PFQ1680" s="1740"/>
      <c r="PFR1680" s="1740"/>
      <c r="PFS1680" s="1740"/>
      <c r="PFT1680" s="1740"/>
      <c r="PFU1680" s="1740"/>
      <c r="PFV1680" s="1740"/>
      <c r="PFW1680" s="1740"/>
      <c r="PFX1680" s="1740"/>
      <c r="PFY1680" s="1740"/>
      <c r="PFZ1680" s="1740"/>
      <c r="PGA1680" s="1740"/>
      <c r="PGB1680" s="1740"/>
      <c r="PGC1680" s="1740"/>
      <c r="PGD1680" s="1740"/>
      <c r="PGE1680" s="1740"/>
      <c r="PGF1680" s="1740"/>
      <c r="PGG1680" s="1740"/>
      <c r="PGH1680" s="1740"/>
      <c r="PGI1680" s="1740"/>
      <c r="PGJ1680" s="1740"/>
      <c r="PGK1680" s="1740"/>
      <c r="PGL1680" s="1740"/>
      <c r="PGM1680" s="1740"/>
      <c r="PGN1680" s="1740"/>
      <c r="PGO1680" s="1740"/>
      <c r="PGP1680" s="1740"/>
      <c r="PGQ1680" s="1740"/>
      <c r="PGR1680" s="1740"/>
      <c r="PGS1680" s="1740"/>
      <c r="PGT1680" s="1740"/>
      <c r="PGU1680" s="1740"/>
      <c r="PGV1680" s="1740"/>
      <c r="PGW1680" s="1740"/>
      <c r="PGX1680" s="1740"/>
      <c r="PGY1680" s="1740"/>
      <c r="PGZ1680" s="1740"/>
      <c r="PHA1680" s="1740"/>
      <c r="PHB1680" s="1740"/>
      <c r="PHC1680" s="1740"/>
      <c r="PHD1680" s="1740"/>
      <c r="PHE1680" s="1740"/>
      <c r="PHF1680" s="1740"/>
      <c r="PHG1680" s="1740"/>
      <c r="PHH1680" s="1740"/>
      <c r="PHI1680" s="1740"/>
      <c r="PHJ1680" s="1740"/>
      <c r="PHK1680" s="1740"/>
      <c r="PHL1680" s="1740"/>
      <c r="PHM1680" s="1740"/>
      <c r="PHN1680" s="1740"/>
      <c r="PHO1680" s="1740"/>
      <c r="PHP1680" s="1740"/>
      <c r="PHQ1680" s="1740"/>
      <c r="PHR1680" s="1740"/>
      <c r="PHS1680" s="1740"/>
      <c r="PHT1680" s="1740"/>
      <c r="PHU1680" s="1740"/>
      <c r="PHV1680" s="1740"/>
      <c r="PHW1680" s="1740"/>
      <c r="PHX1680" s="1740"/>
      <c r="PHY1680" s="1740"/>
      <c r="PHZ1680" s="1740"/>
      <c r="PIA1680" s="1740"/>
      <c r="PIB1680" s="1740"/>
      <c r="PIC1680" s="1740"/>
      <c r="PID1680" s="1740"/>
      <c r="PIE1680" s="1740"/>
      <c r="PIF1680" s="1740"/>
      <c r="PIG1680" s="1740"/>
      <c r="PIH1680" s="1740"/>
      <c r="PII1680" s="1740"/>
      <c r="PIJ1680" s="1740"/>
      <c r="PIK1680" s="1740"/>
      <c r="PIL1680" s="1740"/>
      <c r="PIM1680" s="1740"/>
      <c r="PIN1680" s="1740"/>
      <c r="PIO1680" s="1740"/>
      <c r="PIP1680" s="1740"/>
      <c r="PIQ1680" s="1740"/>
      <c r="PIR1680" s="1740"/>
      <c r="PIS1680" s="1740"/>
      <c r="PIT1680" s="1740"/>
      <c r="PIU1680" s="1740"/>
      <c r="PIV1680" s="1740"/>
      <c r="PIW1680" s="1740"/>
      <c r="PIX1680" s="1740"/>
      <c r="PIY1680" s="1740"/>
      <c r="PIZ1680" s="1740"/>
      <c r="PJA1680" s="1740"/>
      <c r="PJB1680" s="1740"/>
      <c r="PJC1680" s="1740"/>
      <c r="PJD1680" s="1740"/>
      <c r="PJE1680" s="1740"/>
      <c r="PJF1680" s="1740"/>
      <c r="PJG1680" s="1740"/>
      <c r="PJH1680" s="1740"/>
      <c r="PJI1680" s="1740"/>
      <c r="PJJ1680" s="1740"/>
      <c r="PJK1680" s="1740"/>
      <c r="PJL1680" s="1740"/>
      <c r="PJM1680" s="1740"/>
      <c r="PJN1680" s="1740"/>
      <c r="PJO1680" s="1740"/>
      <c r="PJP1680" s="1740"/>
      <c r="PJQ1680" s="1740"/>
      <c r="PJR1680" s="1740"/>
      <c r="PJS1680" s="1740"/>
      <c r="PJT1680" s="1740"/>
      <c r="PJU1680" s="1740"/>
      <c r="PJV1680" s="1740"/>
      <c r="PJW1680" s="1740"/>
      <c r="PJX1680" s="1740"/>
      <c r="PJY1680" s="1740"/>
      <c r="PJZ1680" s="1740"/>
      <c r="PKA1680" s="1740"/>
      <c r="PKB1680" s="1740"/>
      <c r="PKC1680" s="1740"/>
      <c r="PKD1680" s="1740"/>
      <c r="PKE1680" s="1740"/>
      <c r="PKF1680" s="1740"/>
      <c r="PKG1680" s="1740"/>
      <c r="PKH1680" s="1740"/>
      <c r="PKI1680" s="1740"/>
      <c r="PKJ1680" s="1740"/>
      <c r="PKK1680" s="1740"/>
      <c r="PKL1680" s="1740"/>
      <c r="PKM1680" s="1740"/>
      <c r="PKN1680" s="1740"/>
      <c r="PKO1680" s="1740"/>
      <c r="PKP1680" s="1740"/>
      <c r="PKQ1680" s="1740"/>
      <c r="PKR1680" s="1740"/>
      <c r="PKS1680" s="1740"/>
      <c r="PKT1680" s="1740"/>
      <c r="PKU1680" s="1740"/>
      <c r="PKV1680" s="1740"/>
      <c r="PKW1680" s="1740"/>
      <c r="PKX1680" s="1740"/>
      <c r="PKY1680" s="1740"/>
      <c r="PKZ1680" s="1740"/>
      <c r="PLA1680" s="1740"/>
      <c r="PLB1680" s="1740"/>
      <c r="PLC1680" s="1740"/>
      <c r="PLD1680" s="1740"/>
      <c r="PLE1680" s="1740"/>
      <c r="PLF1680" s="1740"/>
      <c r="PLG1680" s="1740"/>
      <c r="PLH1680" s="1740"/>
      <c r="PLI1680" s="1740"/>
      <c r="PLJ1680" s="1740"/>
      <c r="PLK1680" s="1740"/>
      <c r="PLL1680" s="1740"/>
      <c r="PLM1680" s="1740"/>
      <c r="PLN1680" s="1740"/>
      <c r="PLO1680" s="1740"/>
      <c r="PLP1680" s="1740"/>
      <c r="PLQ1680" s="1740"/>
      <c r="PLR1680" s="1740"/>
      <c r="PLS1680" s="1740"/>
      <c r="PLT1680" s="1740"/>
      <c r="PLU1680" s="1740"/>
      <c r="PLV1680" s="1740"/>
      <c r="PLW1680" s="1740"/>
      <c r="PLX1680" s="1740"/>
      <c r="PLY1680" s="1740"/>
      <c r="PLZ1680" s="1740"/>
      <c r="PMA1680" s="1740"/>
      <c r="PMB1680" s="1740"/>
      <c r="PMC1680" s="1740"/>
      <c r="PMD1680" s="1740"/>
      <c r="PME1680" s="1740"/>
      <c r="PMF1680" s="1740"/>
      <c r="PMG1680" s="1740"/>
      <c r="PMH1680" s="1740"/>
      <c r="PMI1680" s="1740"/>
      <c r="PMJ1680" s="1740"/>
      <c r="PMK1680" s="1740"/>
      <c r="PML1680" s="1740"/>
      <c r="PMM1680" s="1740"/>
      <c r="PMN1680" s="1740"/>
      <c r="PMO1680" s="1740"/>
      <c r="PMP1680" s="1740"/>
      <c r="PMQ1680" s="1740"/>
      <c r="PMR1680" s="1740"/>
      <c r="PMS1680" s="1740"/>
      <c r="PMT1680" s="1740"/>
      <c r="PMU1680" s="1740"/>
      <c r="PMV1680" s="1740"/>
      <c r="PMW1680" s="1740"/>
      <c r="PMX1680" s="1740"/>
      <c r="PMY1680" s="1740"/>
      <c r="PMZ1680" s="1740"/>
      <c r="PNA1680" s="1740"/>
      <c r="PNB1680" s="1740"/>
      <c r="PNC1680" s="1740"/>
      <c r="PND1680" s="1740"/>
      <c r="PNE1680" s="1740"/>
      <c r="PNF1680" s="1740"/>
      <c r="PNG1680" s="1740"/>
      <c r="PNH1680" s="1740"/>
      <c r="PNI1680" s="1740"/>
      <c r="PNJ1680" s="1740"/>
      <c r="PNK1680" s="1740"/>
      <c r="PNL1680" s="1740"/>
      <c r="PNM1680" s="1740"/>
      <c r="PNN1680" s="1740"/>
      <c r="PNO1680" s="1740"/>
      <c r="PNP1680" s="1740"/>
      <c r="PNQ1680" s="1740"/>
      <c r="PNR1680" s="1740"/>
      <c r="PNS1680" s="1740"/>
      <c r="PNT1680" s="1740"/>
      <c r="PNU1680" s="1740"/>
      <c r="PNV1680" s="1740"/>
      <c r="PNW1680" s="1740"/>
      <c r="PNX1680" s="1740"/>
      <c r="PNY1680" s="1740"/>
      <c r="PNZ1680" s="1740"/>
      <c r="POA1680" s="1740"/>
      <c r="POB1680" s="1740"/>
      <c r="POC1680" s="1740"/>
      <c r="POD1680" s="1740"/>
      <c r="POE1680" s="1740"/>
      <c r="POF1680" s="1740"/>
      <c r="POG1680" s="1740"/>
      <c r="POH1680" s="1740"/>
      <c r="POI1680" s="1740"/>
      <c r="POJ1680" s="1740"/>
      <c r="POK1680" s="1740"/>
      <c r="POL1680" s="1740"/>
      <c r="POM1680" s="1740"/>
      <c r="PON1680" s="1740"/>
      <c r="POO1680" s="1740"/>
      <c r="POP1680" s="1740"/>
      <c r="POQ1680" s="1740"/>
      <c r="POR1680" s="1740"/>
      <c r="POS1680" s="1740"/>
      <c r="POT1680" s="1740"/>
      <c r="POU1680" s="1740"/>
      <c r="POV1680" s="1740"/>
      <c r="POW1680" s="1740"/>
      <c r="POX1680" s="1740"/>
      <c r="POY1680" s="1740"/>
      <c r="POZ1680" s="1740"/>
      <c r="PPA1680" s="1740"/>
      <c r="PPB1680" s="1740"/>
      <c r="PPC1680" s="1740"/>
      <c r="PPD1680" s="1740"/>
      <c r="PPE1680" s="1740"/>
      <c r="PPF1680" s="1740"/>
      <c r="PPG1680" s="1740"/>
      <c r="PPH1680" s="1740"/>
      <c r="PPI1680" s="1740"/>
      <c r="PPJ1680" s="1740"/>
      <c r="PPK1680" s="1740"/>
      <c r="PPL1680" s="1740"/>
      <c r="PPM1680" s="1740"/>
      <c r="PPN1680" s="1740"/>
      <c r="PPO1680" s="1740"/>
      <c r="PPP1680" s="1740"/>
      <c r="PPQ1680" s="1740"/>
      <c r="PPR1680" s="1740"/>
      <c r="PPS1680" s="1740"/>
      <c r="PPT1680" s="1740"/>
      <c r="PPU1680" s="1740"/>
      <c r="PPV1680" s="1740"/>
      <c r="PPW1680" s="1740"/>
      <c r="PPX1680" s="1740"/>
      <c r="PPY1680" s="1740"/>
      <c r="PPZ1680" s="1740"/>
      <c r="PQA1680" s="1740"/>
      <c r="PQB1680" s="1740"/>
      <c r="PQC1680" s="1740"/>
      <c r="PQD1680" s="1740"/>
      <c r="PQE1680" s="1740"/>
      <c r="PQF1680" s="1740"/>
      <c r="PQG1680" s="1740"/>
      <c r="PQH1680" s="1740"/>
      <c r="PQI1680" s="1740"/>
      <c r="PQJ1680" s="1740"/>
      <c r="PQK1680" s="1740"/>
      <c r="PQL1680" s="1740"/>
      <c r="PQM1680" s="1740"/>
      <c r="PQN1680" s="1740"/>
      <c r="PQO1680" s="1740"/>
      <c r="PQP1680" s="1740"/>
      <c r="PQQ1680" s="1740"/>
      <c r="PQR1680" s="1740"/>
      <c r="PQS1680" s="1740"/>
      <c r="PQT1680" s="1740"/>
      <c r="PQU1680" s="1740"/>
      <c r="PQV1680" s="1740"/>
      <c r="PQW1680" s="1740"/>
      <c r="PQX1680" s="1740"/>
      <c r="PQY1680" s="1740"/>
      <c r="PQZ1680" s="1740"/>
      <c r="PRA1680" s="1740"/>
      <c r="PRB1680" s="1740"/>
      <c r="PRC1680" s="1740"/>
      <c r="PRD1680" s="1740"/>
      <c r="PRE1680" s="1740"/>
      <c r="PRF1680" s="1740"/>
      <c r="PRG1680" s="1740"/>
      <c r="PRH1680" s="1740"/>
      <c r="PRI1680" s="1740"/>
      <c r="PRJ1680" s="1740"/>
      <c r="PRK1680" s="1740"/>
      <c r="PRL1680" s="1740"/>
      <c r="PRM1680" s="1740"/>
      <c r="PRN1680" s="1740"/>
      <c r="PRO1680" s="1740"/>
      <c r="PRP1680" s="1740"/>
      <c r="PRQ1680" s="1740"/>
      <c r="PRR1680" s="1740"/>
      <c r="PRS1680" s="1740"/>
      <c r="PRT1680" s="1740"/>
      <c r="PRU1680" s="1740"/>
      <c r="PRV1680" s="1740"/>
      <c r="PRW1680" s="1740"/>
      <c r="PRX1680" s="1740"/>
      <c r="PRY1680" s="1740"/>
      <c r="PRZ1680" s="1740"/>
      <c r="PSA1680" s="1740"/>
      <c r="PSB1680" s="1740"/>
      <c r="PSC1680" s="1740"/>
      <c r="PSD1680" s="1740"/>
      <c r="PSE1680" s="1740"/>
      <c r="PSF1680" s="1740"/>
      <c r="PSG1680" s="1740"/>
      <c r="PSH1680" s="1740"/>
      <c r="PSI1680" s="1740"/>
      <c r="PSJ1680" s="1740"/>
      <c r="PSK1680" s="1740"/>
      <c r="PSL1680" s="1740"/>
      <c r="PSM1680" s="1740"/>
      <c r="PSN1680" s="1740"/>
      <c r="PSO1680" s="1740"/>
      <c r="PSP1680" s="1740"/>
      <c r="PSQ1680" s="1740"/>
      <c r="PSR1680" s="1740"/>
      <c r="PSS1680" s="1740"/>
      <c r="PST1680" s="1740"/>
      <c r="PSU1680" s="1740"/>
      <c r="PSV1680" s="1740"/>
      <c r="PSW1680" s="1740"/>
      <c r="PSX1680" s="1740"/>
      <c r="PSY1680" s="1740"/>
      <c r="PSZ1680" s="1740"/>
      <c r="PTA1680" s="1740"/>
      <c r="PTB1680" s="1740"/>
      <c r="PTC1680" s="1740"/>
      <c r="PTD1680" s="1740"/>
      <c r="PTE1680" s="1740"/>
      <c r="PTF1680" s="1740"/>
      <c r="PTG1680" s="1740"/>
      <c r="PTH1680" s="1740"/>
      <c r="PTI1680" s="1740"/>
      <c r="PTJ1680" s="1740"/>
      <c r="PTK1680" s="1740"/>
      <c r="PTL1680" s="1740"/>
      <c r="PTM1680" s="1740"/>
      <c r="PTN1680" s="1740"/>
      <c r="PTO1680" s="1740"/>
      <c r="PTP1680" s="1740"/>
      <c r="PTQ1680" s="1740"/>
      <c r="PTR1680" s="1740"/>
      <c r="PTS1680" s="1740"/>
      <c r="PTT1680" s="1740"/>
      <c r="PTU1680" s="1740"/>
      <c r="PTV1680" s="1740"/>
      <c r="PTW1680" s="1740"/>
      <c r="PTX1680" s="1740"/>
      <c r="PTY1680" s="1740"/>
      <c r="PTZ1680" s="1740"/>
      <c r="PUA1680" s="1740"/>
      <c r="PUB1680" s="1740"/>
      <c r="PUC1680" s="1740"/>
      <c r="PUD1680" s="1740"/>
      <c r="PUE1680" s="1740"/>
      <c r="PUF1680" s="1740"/>
      <c r="PUG1680" s="1740"/>
      <c r="PUH1680" s="1740"/>
      <c r="PUI1680" s="1740"/>
      <c r="PUJ1680" s="1740"/>
      <c r="PUK1680" s="1740"/>
      <c r="PUL1680" s="1740"/>
      <c r="PUM1680" s="1740"/>
      <c r="PUN1680" s="1740"/>
      <c r="PUO1680" s="1740"/>
      <c r="PUP1680" s="1740"/>
      <c r="PUQ1680" s="1740"/>
      <c r="PUR1680" s="1740"/>
      <c r="PUS1680" s="1740"/>
      <c r="PUT1680" s="1740"/>
      <c r="PUU1680" s="1740"/>
      <c r="PUV1680" s="1740"/>
      <c r="PUW1680" s="1740"/>
      <c r="PUX1680" s="1740"/>
      <c r="PUY1680" s="1740"/>
      <c r="PUZ1680" s="1740"/>
      <c r="PVA1680" s="1740"/>
      <c r="PVB1680" s="1740"/>
      <c r="PVC1680" s="1740"/>
      <c r="PVD1680" s="1740"/>
      <c r="PVE1680" s="1740"/>
      <c r="PVF1680" s="1740"/>
      <c r="PVG1680" s="1740"/>
      <c r="PVH1680" s="1740"/>
      <c r="PVI1680" s="1740"/>
      <c r="PVJ1680" s="1740"/>
      <c r="PVK1680" s="1740"/>
      <c r="PVL1680" s="1740"/>
      <c r="PVM1680" s="1740"/>
      <c r="PVN1680" s="1740"/>
      <c r="PVO1680" s="1740"/>
      <c r="PVP1680" s="1740"/>
      <c r="PVQ1680" s="1740"/>
      <c r="PVR1680" s="1740"/>
      <c r="PVS1680" s="1740"/>
      <c r="PVT1680" s="1740"/>
      <c r="PVU1680" s="1740"/>
      <c r="PVV1680" s="1740"/>
      <c r="PVW1680" s="1740"/>
      <c r="PVX1680" s="1740"/>
      <c r="PVY1680" s="1740"/>
      <c r="PVZ1680" s="1740"/>
      <c r="PWA1680" s="1740"/>
      <c r="PWB1680" s="1740"/>
      <c r="PWC1680" s="1740"/>
      <c r="PWD1680" s="1740"/>
      <c r="PWE1680" s="1740"/>
      <c r="PWF1680" s="1740"/>
      <c r="PWG1680" s="1740"/>
      <c r="PWH1680" s="1740"/>
      <c r="PWI1680" s="1740"/>
      <c r="PWJ1680" s="1740"/>
      <c r="PWK1680" s="1740"/>
      <c r="PWL1680" s="1740"/>
      <c r="PWM1680" s="1740"/>
      <c r="PWN1680" s="1740"/>
      <c r="PWO1680" s="1740"/>
      <c r="PWP1680" s="1740"/>
      <c r="PWQ1680" s="1740"/>
      <c r="PWR1680" s="1740"/>
      <c r="PWS1680" s="1740"/>
      <c r="PWT1680" s="1740"/>
      <c r="PWU1680" s="1740"/>
      <c r="PWV1680" s="1740"/>
      <c r="PWW1680" s="1740"/>
      <c r="PWX1680" s="1740"/>
      <c r="PWY1680" s="1740"/>
      <c r="PWZ1680" s="1740"/>
      <c r="PXA1680" s="1740"/>
      <c r="PXB1680" s="1740"/>
      <c r="PXC1680" s="1740"/>
      <c r="PXD1680" s="1740"/>
      <c r="PXE1680" s="1740"/>
      <c r="PXF1680" s="1740"/>
      <c r="PXG1680" s="1740"/>
      <c r="PXH1680" s="1740"/>
      <c r="PXI1680" s="1740"/>
      <c r="PXJ1680" s="1740"/>
      <c r="PXK1680" s="1740"/>
      <c r="PXL1680" s="1740"/>
      <c r="PXM1680" s="1740"/>
      <c r="PXN1680" s="1740"/>
      <c r="PXO1680" s="1740"/>
      <c r="PXP1680" s="1740"/>
      <c r="PXQ1680" s="1740"/>
      <c r="PXR1680" s="1740"/>
      <c r="PXS1680" s="1740"/>
      <c r="PXT1680" s="1740"/>
      <c r="PXU1680" s="1740"/>
      <c r="PXV1680" s="1740"/>
      <c r="PXW1680" s="1740"/>
      <c r="PXX1680" s="1740"/>
      <c r="PXY1680" s="1740"/>
      <c r="PXZ1680" s="1740"/>
      <c r="PYA1680" s="1740"/>
      <c r="PYB1680" s="1740"/>
      <c r="PYC1680" s="1740"/>
      <c r="PYD1680" s="1740"/>
      <c r="PYE1680" s="1740"/>
      <c r="PYF1680" s="1740"/>
      <c r="PYG1680" s="1740"/>
      <c r="PYH1680" s="1740"/>
      <c r="PYI1680" s="1740"/>
      <c r="PYJ1680" s="1740"/>
      <c r="PYK1680" s="1740"/>
      <c r="PYL1680" s="1740"/>
      <c r="PYM1680" s="1740"/>
      <c r="PYN1680" s="1740"/>
      <c r="PYO1680" s="1740"/>
      <c r="PYP1680" s="1740"/>
      <c r="PYQ1680" s="1740"/>
      <c r="PYR1680" s="1740"/>
      <c r="PYS1680" s="1740"/>
      <c r="PYT1680" s="1740"/>
      <c r="PYU1680" s="1740"/>
      <c r="PYV1680" s="1740"/>
      <c r="PYW1680" s="1740"/>
      <c r="PYX1680" s="1740"/>
      <c r="PYY1680" s="1740"/>
      <c r="PYZ1680" s="1740"/>
      <c r="PZA1680" s="1740"/>
      <c r="PZB1680" s="1740"/>
      <c r="PZC1680" s="1740"/>
      <c r="PZD1680" s="1740"/>
      <c r="PZE1680" s="1740"/>
      <c r="PZF1680" s="1740"/>
      <c r="PZG1680" s="1740"/>
      <c r="PZH1680" s="1740"/>
      <c r="PZI1680" s="1740"/>
      <c r="PZJ1680" s="1740"/>
      <c r="PZK1680" s="1740"/>
      <c r="PZL1680" s="1740"/>
      <c r="PZM1680" s="1740"/>
      <c r="PZN1680" s="1740"/>
      <c r="PZO1680" s="1740"/>
      <c r="PZP1680" s="1740"/>
      <c r="PZQ1680" s="1740"/>
      <c r="PZR1680" s="1740"/>
      <c r="PZS1680" s="1740"/>
      <c r="PZT1680" s="1740"/>
      <c r="PZU1680" s="1740"/>
      <c r="PZV1680" s="1740"/>
      <c r="PZW1680" s="1740"/>
      <c r="PZX1680" s="1740"/>
      <c r="PZY1680" s="1740"/>
      <c r="PZZ1680" s="1740"/>
      <c r="QAA1680" s="1740"/>
      <c r="QAB1680" s="1740"/>
      <c r="QAC1680" s="1740"/>
      <c r="QAD1680" s="1740"/>
      <c r="QAE1680" s="1740"/>
      <c r="QAF1680" s="1740"/>
      <c r="QAG1680" s="1740"/>
      <c r="QAH1680" s="1740"/>
      <c r="QAI1680" s="1740"/>
      <c r="QAJ1680" s="1740"/>
      <c r="QAK1680" s="1740"/>
      <c r="QAL1680" s="1740"/>
      <c r="QAM1680" s="1740"/>
      <c r="QAN1680" s="1740"/>
      <c r="QAO1680" s="1740"/>
      <c r="QAP1680" s="1740"/>
      <c r="QAQ1680" s="1740"/>
      <c r="QAR1680" s="1740"/>
      <c r="QAS1680" s="1740"/>
      <c r="QAT1680" s="1740"/>
      <c r="QAU1680" s="1740"/>
      <c r="QAV1680" s="1740"/>
      <c r="QAW1680" s="1740"/>
      <c r="QAX1680" s="1740"/>
      <c r="QAY1680" s="1740"/>
      <c r="QAZ1680" s="1740"/>
      <c r="QBA1680" s="1740"/>
      <c r="QBB1680" s="1740"/>
      <c r="QBC1680" s="1740"/>
      <c r="QBD1680" s="1740"/>
      <c r="QBE1680" s="1740"/>
      <c r="QBF1680" s="1740"/>
      <c r="QBG1680" s="1740"/>
      <c r="QBH1680" s="1740"/>
      <c r="QBI1680" s="1740"/>
      <c r="QBJ1680" s="1740"/>
      <c r="QBK1680" s="1740"/>
      <c r="QBL1680" s="1740"/>
      <c r="QBM1680" s="1740"/>
      <c r="QBN1680" s="1740"/>
      <c r="QBO1680" s="1740"/>
      <c r="QBP1680" s="1740"/>
      <c r="QBQ1680" s="1740"/>
      <c r="QBR1680" s="1740"/>
      <c r="QBS1680" s="1740"/>
      <c r="QBT1680" s="1740"/>
      <c r="QBU1680" s="1740"/>
      <c r="QBV1680" s="1740"/>
      <c r="QBW1680" s="1740"/>
      <c r="QBX1680" s="1740"/>
      <c r="QBY1680" s="1740"/>
      <c r="QBZ1680" s="1740"/>
      <c r="QCA1680" s="1740"/>
      <c r="QCB1680" s="1740"/>
      <c r="QCC1680" s="1740"/>
      <c r="QCD1680" s="1740"/>
      <c r="QCE1680" s="1740"/>
      <c r="QCF1680" s="1740"/>
      <c r="QCG1680" s="1740"/>
      <c r="QCH1680" s="1740"/>
      <c r="QCI1680" s="1740"/>
      <c r="QCJ1680" s="1740"/>
      <c r="QCK1680" s="1740"/>
      <c r="QCL1680" s="1740"/>
      <c r="QCM1680" s="1740"/>
      <c r="QCN1680" s="1740"/>
      <c r="QCO1680" s="1740"/>
      <c r="QCP1680" s="1740"/>
      <c r="QCQ1680" s="1740"/>
      <c r="QCR1680" s="1740"/>
      <c r="QCS1680" s="1740"/>
      <c r="QCT1680" s="1740"/>
      <c r="QCU1680" s="1740"/>
      <c r="QCV1680" s="1740"/>
      <c r="QCW1680" s="1740"/>
      <c r="QCX1680" s="1740"/>
      <c r="QCY1680" s="1740"/>
      <c r="QCZ1680" s="1740"/>
      <c r="QDA1680" s="1740"/>
      <c r="QDB1680" s="1740"/>
      <c r="QDC1680" s="1740"/>
      <c r="QDD1680" s="1740"/>
      <c r="QDE1680" s="1740"/>
      <c r="QDF1680" s="1740"/>
      <c r="QDG1680" s="1740"/>
      <c r="QDH1680" s="1740"/>
      <c r="QDI1680" s="1740"/>
      <c r="QDJ1680" s="1740"/>
      <c r="QDK1680" s="1740"/>
      <c r="QDL1680" s="1740"/>
      <c r="QDM1680" s="1740"/>
      <c r="QDN1680" s="1740"/>
      <c r="QDO1680" s="1740"/>
      <c r="QDP1680" s="1740"/>
      <c r="QDQ1680" s="1740"/>
      <c r="QDR1680" s="1740"/>
      <c r="QDS1680" s="1740"/>
      <c r="QDT1680" s="1740"/>
      <c r="QDU1680" s="1740"/>
      <c r="QDV1680" s="1740"/>
      <c r="QDW1680" s="1740"/>
      <c r="QDX1680" s="1740"/>
      <c r="QDY1680" s="1740"/>
      <c r="QDZ1680" s="1740"/>
      <c r="QEA1680" s="1740"/>
      <c r="QEB1680" s="1740"/>
      <c r="QEC1680" s="1740"/>
      <c r="QED1680" s="1740"/>
      <c r="QEE1680" s="1740"/>
      <c r="QEF1680" s="1740"/>
      <c r="QEG1680" s="1740"/>
      <c r="QEH1680" s="1740"/>
      <c r="QEI1680" s="1740"/>
      <c r="QEJ1680" s="1740"/>
      <c r="QEK1680" s="1740"/>
      <c r="QEL1680" s="1740"/>
      <c r="QEM1680" s="1740"/>
      <c r="QEN1680" s="1740"/>
      <c r="QEO1680" s="1740"/>
      <c r="QEP1680" s="1740"/>
      <c r="QEQ1680" s="1740"/>
      <c r="QER1680" s="1740"/>
      <c r="QES1680" s="1740"/>
      <c r="QET1680" s="1740"/>
      <c r="QEU1680" s="1740"/>
      <c r="QEV1680" s="1740"/>
      <c r="QEW1680" s="1740"/>
      <c r="QEX1680" s="1740"/>
      <c r="QEY1680" s="1740"/>
      <c r="QEZ1680" s="1740"/>
      <c r="QFA1680" s="1740"/>
      <c r="QFB1680" s="1740"/>
      <c r="QFC1680" s="1740"/>
      <c r="QFD1680" s="1740"/>
      <c r="QFE1680" s="1740"/>
      <c r="QFF1680" s="1740"/>
      <c r="QFG1680" s="1740"/>
      <c r="QFH1680" s="1740"/>
      <c r="QFI1680" s="1740"/>
      <c r="QFJ1680" s="1740"/>
      <c r="QFK1680" s="1740"/>
      <c r="QFL1680" s="1740"/>
      <c r="QFM1680" s="1740"/>
      <c r="QFN1680" s="1740"/>
      <c r="QFO1680" s="1740"/>
      <c r="QFP1680" s="1740"/>
      <c r="QFQ1680" s="1740"/>
      <c r="QFR1680" s="1740"/>
      <c r="QFS1680" s="1740"/>
      <c r="QFT1680" s="1740"/>
      <c r="QFU1680" s="1740"/>
      <c r="QFV1680" s="1740"/>
      <c r="QFW1680" s="1740"/>
      <c r="QFX1680" s="1740"/>
      <c r="QFY1680" s="1740"/>
      <c r="QFZ1680" s="1740"/>
      <c r="QGA1680" s="1740"/>
      <c r="QGB1680" s="1740"/>
      <c r="QGC1680" s="1740"/>
      <c r="QGD1680" s="1740"/>
      <c r="QGE1680" s="1740"/>
      <c r="QGF1680" s="1740"/>
      <c r="QGG1680" s="1740"/>
      <c r="QGH1680" s="1740"/>
      <c r="QGI1680" s="1740"/>
      <c r="QGJ1680" s="1740"/>
      <c r="QGK1680" s="1740"/>
      <c r="QGL1680" s="1740"/>
      <c r="QGM1680" s="1740"/>
      <c r="QGN1680" s="1740"/>
      <c r="QGO1680" s="1740"/>
      <c r="QGP1680" s="1740"/>
      <c r="QGQ1680" s="1740"/>
      <c r="QGR1680" s="1740"/>
      <c r="QGS1680" s="1740"/>
      <c r="QGT1680" s="1740"/>
      <c r="QGU1680" s="1740"/>
      <c r="QGV1680" s="1740"/>
      <c r="QGW1680" s="1740"/>
      <c r="QGX1680" s="1740"/>
      <c r="QGY1680" s="1740"/>
      <c r="QGZ1680" s="1740"/>
      <c r="QHA1680" s="1740"/>
      <c r="QHB1680" s="1740"/>
      <c r="QHC1680" s="1740"/>
      <c r="QHD1680" s="1740"/>
      <c r="QHE1680" s="1740"/>
      <c r="QHF1680" s="1740"/>
      <c r="QHG1680" s="1740"/>
      <c r="QHH1680" s="1740"/>
      <c r="QHI1680" s="1740"/>
      <c r="QHJ1680" s="1740"/>
      <c r="QHK1680" s="1740"/>
      <c r="QHL1680" s="1740"/>
      <c r="QHM1680" s="1740"/>
      <c r="QHN1680" s="1740"/>
      <c r="QHO1680" s="1740"/>
      <c r="QHP1680" s="1740"/>
      <c r="QHQ1680" s="1740"/>
      <c r="QHR1680" s="1740"/>
      <c r="QHS1680" s="1740"/>
      <c r="QHT1680" s="1740"/>
      <c r="QHU1680" s="1740"/>
      <c r="QHV1680" s="1740"/>
      <c r="QHW1680" s="1740"/>
      <c r="QHX1680" s="1740"/>
      <c r="QHY1680" s="1740"/>
      <c r="QHZ1680" s="1740"/>
      <c r="QIA1680" s="1740"/>
      <c r="QIB1680" s="1740"/>
      <c r="QIC1680" s="1740"/>
      <c r="QID1680" s="1740"/>
      <c r="QIE1680" s="1740"/>
      <c r="QIF1680" s="1740"/>
      <c r="QIG1680" s="1740"/>
      <c r="QIH1680" s="1740"/>
      <c r="QII1680" s="1740"/>
      <c r="QIJ1680" s="1740"/>
      <c r="QIK1680" s="1740"/>
      <c r="QIL1680" s="1740"/>
      <c r="QIM1680" s="1740"/>
      <c r="QIN1680" s="1740"/>
      <c r="QIO1680" s="1740"/>
      <c r="QIP1680" s="1740"/>
      <c r="QIQ1680" s="1740"/>
      <c r="QIR1680" s="1740"/>
      <c r="QIS1680" s="1740"/>
      <c r="QIT1680" s="1740"/>
      <c r="QIU1680" s="1740"/>
      <c r="QIV1680" s="1740"/>
      <c r="QIW1680" s="1740"/>
      <c r="QIX1680" s="1740"/>
      <c r="QIY1680" s="1740"/>
      <c r="QIZ1680" s="1740"/>
      <c r="QJA1680" s="1740"/>
      <c r="QJB1680" s="1740"/>
      <c r="QJC1680" s="1740"/>
      <c r="QJD1680" s="1740"/>
      <c r="QJE1680" s="1740"/>
      <c r="QJF1680" s="1740"/>
      <c r="QJG1680" s="1740"/>
      <c r="QJH1680" s="1740"/>
      <c r="QJI1680" s="1740"/>
      <c r="QJJ1680" s="1740"/>
      <c r="QJK1680" s="1740"/>
      <c r="QJL1680" s="1740"/>
      <c r="QJM1680" s="1740"/>
      <c r="QJN1680" s="1740"/>
      <c r="QJO1680" s="1740"/>
      <c r="QJP1680" s="1740"/>
      <c r="QJQ1680" s="1740"/>
      <c r="QJR1680" s="1740"/>
      <c r="QJS1680" s="1740"/>
      <c r="QJT1680" s="1740"/>
      <c r="QJU1680" s="1740"/>
      <c r="QJV1680" s="1740"/>
      <c r="QJW1680" s="1740"/>
      <c r="QJX1680" s="1740"/>
      <c r="QJY1680" s="1740"/>
      <c r="QJZ1680" s="1740"/>
      <c r="QKA1680" s="1740"/>
      <c r="QKB1680" s="1740"/>
      <c r="QKC1680" s="1740"/>
      <c r="QKD1680" s="1740"/>
      <c r="QKE1680" s="1740"/>
      <c r="QKF1680" s="1740"/>
      <c r="QKG1680" s="1740"/>
      <c r="QKH1680" s="1740"/>
      <c r="QKI1680" s="1740"/>
      <c r="QKJ1680" s="1740"/>
      <c r="QKK1680" s="1740"/>
      <c r="QKL1680" s="1740"/>
      <c r="QKM1680" s="1740"/>
      <c r="QKN1680" s="1740"/>
      <c r="QKO1680" s="1740"/>
      <c r="QKP1680" s="1740"/>
      <c r="QKQ1680" s="1740"/>
      <c r="QKR1680" s="1740"/>
      <c r="QKS1680" s="1740"/>
      <c r="QKT1680" s="1740"/>
      <c r="QKU1680" s="1740"/>
      <c r="QKV1680" s="1740"/>
      <c r="QKW1680" s="1740"/>
      <c r="QKX1680" s="1740"/>
      <c r="QKY1680" s="1740"/>
      <c r="QKZ1680" s="1740"/>
      <c r="QLA1680" s="1740"/>
      <c r="QLB1680" s="1740"/>
      <c r="QLC1680" s="1740"/>
      <c r="QLD1680" s="1740"/>
      <c r="QLE1680" s="1740"/>
      <c r="QLF1680" s="1740"/>
      <c r="QLG1680" s="1740"/>
      <c r="QLH1680" s="1740"/>
      <c r="QLI1680" s="1740"/>
      <c r="QLJ1680" s="1740"/>
      <c r="QLK1680" s="1740"/>
      <c r="QLL1680" s="1740"/>
      <c r="QLM1680" s="1740"/>
      <c r="QLN1680" s="1740"/>
      <c r="QLO1680" s="1740"/>
      <c r="QLP1680" s="1740"/>
      <c r="QLQ1680" s="1740"/>
      <c r="QLR1680" s="1740"/>
      <c r="QLS1680" s="1740"/>
      <c r="QLT1680" s="1740"/>
      <c r="QLU1680" s="1740"/>
      <c r="QLV1680" s="1740"/>
      <c r="QLW1680" s="1740"/>
      <c r="QLX1680" s="1740"/>
      <c r="QLY1680" s="1740"/>
      <c r="QLZ1680" s="1740"/>
      <c r="QMA1680" s="1740"/>
      <c r="QMB1680" s="1740"/>
      <c r="QMC1680" s="1740"/>
      <c r="QMD1680" s="1740"/>
      <c r="QME1680" s="1740"/>
      <c r="QMF1680" s="1740"/>
      <c r="QMG1680" s="1740"/>
      <c r="QMH1680" s="1740"/>
      <c r="QMI1680" s="1740"/>
      <c r="QMJ1680" s="1740"/>
      <c r="QMK1680" s="1740"/>
      <c r="QML1680" s="1740"/>
      <c r="QMM1680" s="1740"/>
      <c r="QMN1680" s="1740"/>
      <c r="QMO1680" s="1740"/>
      <c r="QMP1680" s="1740"/>
      <c r="QMQ1680" s="1740"/>
      <c r="QMR1680" s="1740"/>
      <c r="QMS1680" s="1740"/>
      <c r="QMT1680" s="1740"/>
      <c r="QMU1680" s="1740"/>
      <c r="QMV1680" s="1740"/>
      <c r="QMW1680" s="1740"/>
      <c r="QMX1680" s="1740"/>
      <c r="QMY1680" s="1740"/>
      <c r="QMZ1680" s="1740"/>
      <c r="QNA1680" s="1740"/>
      <c r="QNB1680" s="1740"/>
      <c r="QNC1680" s="1740"/>
      <c r="QND1680" s="1740"/>
      <c r="QNE1680" s="1740"/>
      <c r="QNF1680" s="1740"/>
      <c r="QNG1680" s="1740"/>
      <c r="QNH1680" s="1740"/>
      <c r="QNI1680" s="1740"/>
      <c r="QNJ1680" s="1740"/>
      <c r="QNK1680" s="1740"/>
      <c r="QNL1680" s="1740"/>
      <c r="QNM1680" s="1740"/>
      <c r="QNN1680" s="1740"/>
      <c r="QNO1680" s="1740"/>
      <c r="QNP1680" s="1740"/>
      <c r="QNQ1680" s="1740"/>
      <c r="QNR1680" s="1740"/>
      <c r="QNS1680" s="1740"/>
      <c r="QNT1680" s="1740"/>
      <c r="QNU1680" s="1740"/>
      <c r="QNV1680" s="1740"/>
      <c r="QNW1680" s="1740"/>
      <c r="QNX1680" s="1740"/>
      <c r="QNY1680" s="1740"/>
      <c r="QNZ1680" s="1740"/>
      <c r="QOA1680" s="1740"/>
      <c r="QOB1680" s="1740"/>
      <c r="QOC1680" s="1740"/>
      <c r="QOD1680" s="1740"/>
      <c r="QOE1680" s="1740"/>
      <c r="QOF1680" s="1740"/>
      <c r="QOG1680" s="1740"/>
      <c r="QOH1680" s="1740"/>
      <c r="QOI1680" s="1740"/>
      <c r="QOJ1680" s="1740"/>
      <c r="QOK1680" s="1740"/>
      <c r="QOL1680" s="1740"/>
      <c r="QOM1680" s="1740"/>
      <c r="QON1680" s="1740"/>
      <c r="QOO1680" s="1740"/>
      <c r="QOP1680" s="1740"/>
      <c r="QOQ1680" s="1740"/>
      <c r="QOR1680" s="1740"/>
      <c r="QOS1680" s="1740"/>
      <c r="QOT1680" s="1740"/>
      <c r="QOU1680" s="1740"/>
      <c r="QOV1680" s="1740"/>
      <c r="QOW1680" s="1740"/>
      <c r="QOX1680" s="1740"/>
      <c r="QOY1680" s="1740"/>
      <c r="QOZ1680" s="1740"/>
      <c r="QPA1680" s="1740"/>
      <c r="QPB1680" s="1740"/>
      <c r="QPC1680" s="1740"/>
      <c r="QPD1680" s="1740"/>
      <c r="QPE1680" s="1740"/>
      <c r="QPF1680" s="1740"/>
      <c r="QPG1680" s="1740"/>
      <c r="QPH1680" s="1740"/>
      <c r="QPI1680" s="1740"/>
      <c r="QPJ1680" s="1740"/>
      <c r="QPK1680" s="1740"/>
      <c r="QPL1680" s="1740"/>
      <c r="QPM1680" s="1740"/>
      <c r="QPN1680" s="1740"/>
      <c r="QPO1680" s="1740"/>
      <c r="QPP1680" s="1740"/>
      <c r="QPQ1680" s="1740"/>
      <c r="QPR1680" s="1740"/>
      <c r="QPS1680" s="1740"/>
      <c r="QPT1680" s="1740"/>
      <c r="QPU1680" s="1740"/>
      <c r="QPV1680" s="1740"/>
      <c r="QPW1680" s="1740"/>
      <c r="QPX1680" s="1740"/>
      <c r="QPY1680" s="1740"/>
      <c r="QPZ1680" s="1740"/>
      <c r="QQA1680" s="1740"/>
      <c r="QQB1680" s="1740"/>
      <c r="QQC1680" s="1740"/>
      <c r="QQD1680" s="1740"/>
      <c r="QQE1680" s="1740"/>
      <c r="QQF1680" s="1740"/>
      <c r="QQG1680" s="1740"/>
      <c r="QQH1680" s="1740"/>
      <c r="QQI1680" s="1740"/>
      <c r="QQJ1680" s="1740"/>
      <c r="QQK1680" s="1740"/>
      <c r="QQL1680" s="1740"/>
      <c r="QQM1680" s="1740"/>
      <c r="QQN1680" s="1740"/>
      <c r="QQO1680" s="1740"/>
      <c r="QQP1680" s="1740"/>
      <c r="QQQ1680" s="1740"/>
      <c r="QQR1680" s="1740"/>
      <c r="QQS1680" s="1740"/>
      <c r="QQT1680" s="1740"/>
      <c r="QQU1680" s="1740"/>
      <c r="QQV1680" s="1740"/>
      <c r="QQW1680" s="1740"/>
      <c r="QQX1680" s="1740"/>
      <c r="QQY1680" s="1740"/>
      <c r="QQZ1680" s="1740"/>
      <c r="QRA1680" s="1740"/>
      <c r="QRB1680" s="1740"/>
      <c r="QRC1680" s="1740"/>
      <c r="QRD1680" s="1740"/>
      <c r="QRE1680" s="1740"/>
      <c r="QRF1680" s="1740"/>
      <c r="QRG1680" s="1740"/>
      <c r="QRH1680" s="1740"/>
      <c r="QRI1680" s="1740"/>
      <c r="QRJ1680" s="1740"/>
      <c r="QRK1680" s="1740"/>
      <c r="QRL1680" s="1740"/>
      <c r="QRM1680" s="1740"/>
      <c r="QRN1680" s="1740"/>
      <c r="QRO1680" s="1740"/>
      <c r="QRP1680" s="1740"/>
      <c r="QRQ1680" s="1740"/>
      <c r="QRR1680" s="1740"/>
      <c r="QRS1680" s="1740"/>
      <c r="QRT1680" s="1740"/>
      <c r="QRU1680" s="1740"/>
      <c r="QRV1680" s="1740"/>
      <c r="QRW1680" s="1740"/>
      <c r="QRX1680" s="1740"/>
      <c r="QRY1680" s="1740"/>
      <c r="QRZ1680" s="1740"/>
      <c r="QSA1680" s="1740"/>
      <c r="QSB1680" s="1740"/>
      <c r="QSC1680" s="1740"/>
      <c r="QSD1680" s="1740"/>
      <c r="QSE1680" s="1740"/>
      <c r="QSF1680" s="1740"/>
      <c r="QSG1680" s="1740"/>
      <c r="QSH1680" s="1740"/>
      <c r="QSI1680" s="1740"/>
      <c r="QSJ1680" s="1740"/>
      <c r="QSK1680" s="1740"/>
      <c r="QSL1680" s="1740"/>
      <c r="QSM1680" s="1740"/>
      <c r="QSN1680" s="1740"/>
      <c r="QSO1680" s="1740"/>
      <c r="QSP1680" s="1740"/>
      <c r="QSQ1680" s="1740"/>
      <c r="QSR1680" s="1740"/>
      <c r="QSS1680" s="1740"/>
      <c r="QST1680" s="1740"/>
      <c r="QSU1680" s="1740"/>
      <c r="QSV1680" s="1740"/>
      <c r="QSW1680" s="1740"/>
      <c r="QSX1680" s="1740"/>
      <c r="QSY1680" s="1740"/>
      <c r="QSZ1680" s="1740"/>
      <c r="QTA1680" s="1740"/>
      <c r="QTB1680" s="1740"/>
      <c r="QTC1680" s="1740"/>
      <c r="QTD1680" s="1740"/>
      <c r="QTE1680" s="1740"/>
      <c r="QTF1680" s="1740"/>
      <c r="QTG1680" s="1740"/>
      <c r="QTH1680" s="1740"/>
      <c r="QTI1680" s="1740"/>
      <c r="QTJ1680" s="1740"/>
      <c r="QTK1680" s="1740"/>
      <c r="QTL1680" s="1740"/>
      <c r="QTM1680" s="1740"/>
      <c r="QTN1680" s="1740"/>
      <c r="QTO1680" s="1740"/>
      <c r="QTP1680" s="1740"/>
      <c r="QTQ1680" s="1740"/>
      <c r="QTR1680" s="1740"/>
      <c r="QTS1680" s="1740"/>
      <c r="QTT1680" s="1740"/>
      <c r="QTU1680" s="1740"/>
      <c r="QTV1680" s="1740"/>
      <c r="QTW1680" s="1740"/>
      <c r="QTX1680" s="1740"/>
      <c r="QTY1680" s="1740"/>
      <c r="QTZ1680" s="1740"/>
      <c r="QUA1680" s="1740"/>
      <c r="QUB1680" s="1740"/>
      <c r="QUC1680" s="1740"/>
      <c r="QUD1680" s="1740"/>
      <c r="QUE1680" s="1740"/>
      <c r="QUF1680" s="1740"/>
      <c r="QUG1680" s="1740"/>
      <c r="QUH1680" s="1740"/>
      <c r="QUI1680" s="1740"/>
      <c r="QUJ1680" s="1740"/>
      <c r="QUK1680" s="1740"/>
      <c r="QUL1680" s="1740"/>
      <c r="QUM1680" s="1740"/>
      <c r="QUN1680" s="1740"/>
      <c r="QUO1680" s="1740"/>
      <c r="QUP1680" s="1740"/>
      <c r="QUQ1680" s="1740"/>
      <c r="QUR1680" s="1740"/>
      <c r="QUS1680" s="1740"/>
      <c r="QUT1680" s="1740"/>
      <c r="QUU1680" s="1740"/>
      <c r="QUV1680" s="1740"/>
      <c r="QUW1680" s="1740"/>
      <c r="QUX1680" s="1740"/>
      <c r="QUY1680" s="1740"/>
      <c r="QUZ1680" s="1740"/>
      <c r="QVA1680" s="1740"/>
      <c r="QVB1680" s="1740"/>
      <c r="QVC1680" s="1740"/>
      <c r="QVD1680" s="1740"/>
      <c r="QVE1680" s="1740"/>
      <c r="QVF1680" s="1740"/>
      <c r="QVG1680" s="1740"/>
      <c r="QVH1680" s="1740"/>
      <c r="QVI1680" s="1740"/>
      <c r="QVJ1680" s="1740"/>
      <c r="QVK1680" s="1740"/>
      <c r="QVL1680" s="1740"/>
      <c r="QVM1680" s="1740"/>
      <c r="QVN1680" s="1740"/>
      <c r="QVO1680" s="1740"/>
      <c r="QVP1680" s="1740"/>
      <c r="QVQ1680" s="1740"/>
      <c r="QVR1680" s="1740"/>
      <c r="QVS1680" s="1740"/>
      <c r="QVT1680" s="1740"/>
      <c r="QVU1680" s="1740"/>
      <c r="QVV1680" s="1740"/>
      <c r="QVW1680" s="1740"/>
      <c r="QVX1680" s="1740"/>
      <c r="QVY1680" s="1740"/>
      <c r="QVZ1680" s="1740"/>
      <c r="QWA1680" s="1740"/>
      <c r="QWB1680" s="1740"/>
      <c r="QWC1680" s="1740"/>
      <c r="QWD1680" s="1740"/>
      <c r="QWE1680" s="1740"/>
      <c r="QWF1680" s="1740"/>
      <c r="QWG1680" s="1740"/>
      <c r="QWH1680" s="1740"/>
      <c r="QWI1680" s="1740"/>
      <c r="QWJ1680" s="1740"/>
      <c r="QWK1680" s="1740"/>
      <c r="QWL1680" s="1740"/>
      <c r="QWM1680" s="1740"/>
      <c r="QWN1680" s="1740"/>
      <c r="QWO1680" s="1740"/>
      <c r="QWP1680" s="1740"/>
      <c r="QWQ1680" s="1740"/>
      <c r="QWR1680" s="1740"/>
      <c r="QWS1680" s="1740"/>
      <c r="QWT1680" s="1740"/>
      <c r="QWU1680" s="1740"/>
      <c r="QWV1680" s="1740"/>
      <c r="QWW1680" s="1740"/>
      <c r="QWX1680" s="1740"/>
      <c r="QWY1680" s="1740"/>
      <c r="QWZ1680" s="1740"/>
      <c r="QXA1680" s="1740"/>
      <c r="QXB1680" s="1740"/>
      <c r="QXC1680" s="1740"/>
      <c r="QXD1680" s="1740"/>
      <c r="QXE1680" s="1740"/>
      <c r="QXF1680" s="1740"/>
      <c r="QXG1680" s="1740"/>
      <c r="QXH1680" s="1740"/>
      <c r="QXI1680" s="1740"/>
      <c r="QXJ1680" s="1740"/>
      <c r="QXK1680" s="1740"/>
      <c r="QXL1680" s="1740"/>
      <c r="QXM1680" s="1740"/>
      <c r="QXN1680" s="1740"/>
      <c r="QXO1680" s="1740"/>
      <c r="QXP1680" s="1740"/>
      <c r="QXQ1680" s="1740"/>
      <c r="QXR1680" s="1740"/>
      <c r="QXS1680" s="1740"/>
      <c r="QXT1680" s="1740"/>
      <c r="QXU1680" s="1740"/>
      <c r="QXV1680" s="1740"/>
      <c r="QXW1680" s="1740"/>
      <c r="QXX1680" s="1740"/>
      <c r="QXY1680" s="1740"/>
      <c r="QXZ1680" s="1740"/>
      <c r="QYA1680" s="1740"/>
      <c r="QYB1680" s="1740"/>
      <c r="QYC1680" s="1740"/>
      <c r="QYD1680" s="1740"/>
      <c r="QYE1680" s="1740"/>
      <c r="QYF1680" s="1740"/>
      <c r="QYG1680" s="1740"/>
      <c r="QYH1680" s="1740"/>
      <c r="QYI1680" s="1740"/>
      <c r="QYJ1680" s="1740"/>
      <c r="QYK1680" s="1740"/>
      <c r="QYL1680" s="1740"/>
      <c r="QYM1680" s="1740"/>
      <c r="QYN1680" s="1740"/>
      <c r="QYO1680" s="1740"/>
      <c r="QYP1680" s="1740"/>
      <c r="QYQ1680" s="1740"/>
      <c r="QYR1680" s="1740"/>
      <c r="QYS1680" s="1740"/>
      <c r="QYT1680" s="1740"/>
      <c r="QYU1680" s="1740"/>
      <c r="QYV1680" s="1740"/>
      <c r="QYW1680" s="1740"/>
      <c r="QYX1680" s="1740"/>
      <c r="QYY1680" s="1740"/>
      <c r="QYZ1680" s="1740"/>
      <c r="QZA1680" s="1740"/>
      <c r="QZB1680" s="1740"/>
      <c r="QZC1680" s="1740"/>
      <c r="QZD1680" s="1740"/>
      <c r="QZE1680" s="1740"/>
      <c r="QZF1680" s="1740"/>
      <c r="QZG1680" s="1740"/>
      <c r="QZH1680" s="1740"/>
      <c r="QZI1680" s="1740"/>
      <c r="QZJ1680" s="1740"/>
      <c r="QZK1680" s="1740"/>
      <c r="QZL1680" s="1740"/>
      <c r="QZM1680" s="1740"/>
      <c r="QZN1680" s="1740"/>
      <c r="QZO1680" s="1740"/>
      <c r="QZP1680" s="1740"/>
      <c r="QZQ1680" s="1740"/>
      <c r="QZR1680" s="1740"/>
      <c r="QZS1680" s="1740"/>
      <c r="QZT1680" s="1740"/>
      <c r="QZU1680" s="1740"/>
      <c r="QZV1680" s="1740"/>
      <c r="QZW1680" s="1740"/>
      <c r="QZX1680" s="1740"/>
      <c r="QZY1680" s="1740"/>
      <c r="QZZ1680" s="1740"/>
      <c r="RAA1680" s="1740"/>
      <c r="RAB1680" s="1740"/>
      <c r="RAC1680" s="1740"/>
      <c r="RAD1680" s="1740"/>
      <c r="RAE1680" s="1740"/>
      <c r="RAF1680" s="1740"/>
      <c r="RAG1680" s="1740"/>
      <c r="RAH1680" s="1740"/>
      <c r="RAI1680" s="1740"/>
      <c r="RAJ1680" s="1740"/>
      <c r="RAK1680" s="1740"/>
      <c r="RAL1680" s="1740"/>
      <c r="RAM1680" s="1740"/>
      <c r="RAN1680" s="1740"/>
      <c r="RAO1680" s="1740"/>
      <c r="RAP1680" s="1740"/>
      <c r="RAQ1680" s="1740"/>
      <c r="RAR1680" s="1740"/>
      <c r="RAS1680" s="1740"/>
      <c r="RAT1680" s="1740"/>
      <c r="RAU1680" s="1740"/>
      <c r="RAV1680" s="1740"/>
      <c r="RAW1680" s="1740"/>
      <c r="RAX1680" s="1740"/>
      <c r="RAY1680" s="1740"/>
      <c r="RAZ1680" s="1740"/>
      <c r="RBA1680" s="1740"/>
      <c r="RBB1680" s="1740"/>
      <c r="RBC1680" s="1740"/>
      <c r="RBD1680" s="1740"/>
      <c r="RBE1680" s="1740"/>
      <c r="RBF1680" s="1740"/>
      <c r="RBG1680" s="1740"/>
      <c r="RBH1680" s="1740"/>
      <c r="RBI1680" s="1740"/>
      <c r="RBJ1680" s="1740"/>
      <c r="RBK1680" s="1740"/>
      <c r="RBL1680" s="1740"/>
      <c r="RBM1680" s="1740"/>
      <c r="RBN1680" s="1740"/>
      <c r="RBO1680" s="1740"/>
      <c r="RBP1680" s="1740"/>
      <c r="RBQ1680" s="1740"/>
      <c r="RBR1680" s="1740"/>
      <c r="RBS1680" s="1740"/>
      <c r="RBT1680" s="1740"/>
      <c r="RBU1680" s="1740"/>
      <c r="RBV1680" s="1740"/>
      <c r="RBW1680" s="1740"/>
      <c r="RBX1680" s="1740"/>
      <c r="RBY1680" s="1740"/>
      <c r="RBZ1680" s="1740"/>
      <c r="RCA1680" s="1740"/>
      <c r="RCB1680" s="1740"/>
      <c r="RCC1680" s="1740"/>
      <c r="RCD1680" s="1740"/>
      <c r="RCE1680" s="1740"/>
      <c r="RCF1680" s="1740"/>
      <c r="RCG1680" s="1740"/>
      <c r="RCH1680" s="1740"/>
      <c r="RCI1680" s="1740"/>
      <c r="RCJ1680" s="1740"/>
      <c r="RCK1680" s="1740"/>
      <c r="RCL1680" s="1740"/>
      <c r="RCM1680" s="1740"/>
      <c r="RCN1680" s="1740"/>
      <c r="RCO1680" s="1740"/>
      <c r="RCP1680" s="1740"/>
      <c r="RCQ1680" s="1740"/>
      <c r="RCR1680" s="1740"/>
      <c r="RCS1680" s="1740"/>
      <c r="RCT1680" s="1740"/>
      <c r="RCU1680" s="1740"/>
      <c r="RCV1680" s="1740"/>
      <c r="RCW1680" s="1740"/>
      <c r="RCX1680" s="1740"/>
      <c r="RCY1680" s="1740"/>
      <c r="RCZ1680" s="1740"/>
      <c r="RDA1680" s="1740"/>
      <c r="RDB1680" s="1740"/>
      <c r="RDC1680" s="1740"/>
      <c r="RDD1680" s="1740"/>
      <c r="RDE1680" s="1740"/>
      <c r="RDF1680" s="1740"/>
      <c r="RDG1680" s="1740"/>
      <c r="RDH1680" s="1740"/>
      <c r="RDI1680" s="1740"/>
      <c r="RDJ1680" s="1740"/>
      <c r="RDK1680" s="1740"/>
      <c r="RDL1680" s="1740"/>
      <c r="RDM1680" s="1740"/>
      <c r="RDN1680" s="1740"/>
      <c r="RDO1680" s="1740"/>
      <c r="RDP1680" s="1740"/>
      <c r="RDQ1680" s="1740"/>
      <c r="RDR1680" s="1740"/>
      <c r="RDS1680" s="1740"/>
      <c r="RDT1680" s="1740"/>
      <c r="RDU1680" s="1740"/>
      <c r="RDV1680" s="1740"/>
      <c r="RDW1680" s="1740"/>
      <c r="RDX1680" s="1740"/>
      <c r="RDY1680" s="1740"/>
      <c r="RDZ1680" s="1740"/>
      <c r="REA1680" s="1740"/>
      <c r="REB1680" s="1740"/>
      <c r="REC1680" s="1740"/>
      <c r="RED1680" s="1740"/>
      <c r="REE1680" s="1740"/>
      <c r="REF1680" s="1740"/>
      <c r="REG1680" s="1740"/>
      <c r="REH1680" s="1740"/>
      <c r="REI1680" s="1740"/>
      <c r="REJ1680" s="1740"/>
      <c r="REK1680" s="1740"/>
      <c r="REL1680" s="1740"/>
      <c r="REM1680" s="1740"/>
      <c r="REN1680" s="1740"/>
      <c r="REO1680" s="1740"/>
      <c r="REP1680" s="1740"/>
      <c r="REQ1680" s="1740"/>
      <c r="RER1680" s="1740"/>
      <c r="RES1680" s="1740"/>
      <c r="RET1680" s="1740"/>
      <c r="REU1680" s="1740"/>
      <c r="REV1680" s="1740"/>
      <c r="REW1680" s="1740"/>
      <c r="REX1680" s="1740"/>
      <c r="REY1680" s="1740"/>
      <c r="REZ1680" s="1740"/>
      <c r="RFA1680" s="1740"/>
      <c r="RFB1680" s="1740"/>
      <c r="RFC1680" s="1740"/>
      <c r="RFD1680" s="1740"/>
      <c r="RFE1680" s="1740"/>
      <c r="RFF1680" s="1740"/>
      <c r="RFG1680" s="1740"/>
      <c r="RFH1680" s="1740"/>
      <c r="RFI1680" s="1740"/>
      <c r="RFJ1680" s="1740"/>
      <c r="RFK1680" s="1740"/>
      <c r="RFL1680" s="1740"/>
      <c r="RFM1680" s="1740"/>
      <c r="RFN1680" s="1740"/>
      <c r="RFO1680" s="1740"/>
      <c r="RFP1680" s="1740"/>
      <c r="RFQ1680" s="1740"/>
      <c r="RFR1680" s="1740"/>
      <c r="RFS1680" s="1740"/>
      <c r="RFT1680" s="1740"/>
      <c r="RFU1680" s="1740"/>
      <c r="RFV1680" s="1740"/>
      <c r="RFW1680" s="1740"/>
      <c r="RFX1680" s="1740"/>
      <c r="RFY1680" s="1740"/>
      <c r="RFZ1680" s="1740"/>
      <c r="RGA1680" s="1740"/>
      <c r="RGB1680" s="1740"/>
      <c r="RGC1680" s="1740"/>
      <c r="RGD1680" s="1740"/>
      <c r="RGE1680" s="1740"/>
      <c r="RGF1680" s="1740"/>
      <c r="RGG1680" s="1740"/>
      <c r="RGH1680" s="1740"/>
      <c r="RGI1680" s="1740"/>
      <c r="RGJ1680" s="1740"/>
      <c r="RGK1680" s="1740"/>
      <c r="RGL1680" s="1740"/>
      <c r="RGM1680" s="1740"/>
      <c r="RGN1680" s="1740"/>
      <c r="RGO1680" s="1740"/>
      <c r="RGP1680" s="1740"/>
      <c r="RGQ1680" s="1740"/>
      <c r="RGR1680" s="1740"/>
      <c r="RGS1680" s="1740"/>
      <c r="RGT1680" s="1740"/>
      <c r="RGU1680" s="1740"/>
      <c r="RGV1680" s="1740"/>
      <c r="RGW1680" s="1740"/>
      <c r="RGX1680" s="1740"/>
      <c r="RGY1680" s="1740"/>
      <c r="RGZ1680" s="1740"/>
      <c r="RHA1680" s="1740"/>
      <c r="RHB1680" s="1740"/>
      <c r="RHC1680" s="1740"/>
      <c r="RHD1680" s="1740"/>
      <c r="RHE1680" s="1740"/>
      <c r="RHF1680" s="1740"/>
      <c r="RHG1680" s="1740"/>
      <c r="RHH1680" s="1740"/>
      <c r="RHI1680" s="1740"/>
      <c r="RHJ1680" s="1740"/>
      <c r="RHK1680" s="1740"/>
      <c r="RHL1680" s="1740"/>
      <c r="RHM1680" s="1740"/>
      <c r="RHN1680" s="1740"/>
      <c r="RHO1680" s="1740"/>
      <c r="RHP1680" s="1740"/>
      <c r="RHQ1680" s="1740"/>
      <c r="RHR1680" s="1740"/>
      <c r="RHS1680" s="1740"/>
      <c r="RHT1680" s="1740"/>
      <c r="RHU1680" s="1740"/>
      <c r="RHV1680" s="1740"/>
      <c r="RHW1680" s="1740"/>
      <c r="RHX1680" s="1740"/>
      <c r="RHY1680" s="1740"/>
      <c r="RHZ1680" s="1740"/>
      <c r="RIA1680" s="1740"/>
      <c r="RIB1680" s="1740"/>
      <c r="RIC1680" s="1740"/>
      <c r="RID1680" s="1740"/>
      <c r="RIE1680" s="1740"/>
      <c r="RIF1680" s="1740"/>
      <c r="RIG1680" s="1740"/>
      <c r="RIH1680" s="1740"/>
      <c r="RII1680" s="1740"/>
      <c r="RIJ1680" s="1740"/>
      <c r="RIK1680" s="1740"/>
      <c r="RIL1680" s="1740"/>
      <c r="RIM1680" s="1740"/>
      <c r="RIN1680" s="1740"/>
      <c r="RIO1680" s="1740"/>
      <c r="RIP1680" s="1740"/>
      <c r="RIQ1680" s="1740"/>
      <c r="RIR1680" s="1740"/>
      <c r="RIS1680" s="1740"/>
      <c r="RIT1680" s="1740"/>
      <c r="RIU1680" s="1740"/>
      <c r="RIV1680" s="1740"/>
      <c r="RIW1680" s="1740"/>
      <c r="RIX1680" s="1740"/>
      <c r="RIY1680" s="1740"/>
      <c r="RIZ1680" s="1740"/>
      <c r="RJA1680" s="1740"/>
      <c r="RJB1680" s="1740"/>
      <c r="RJC1680" s="1740"/>
      <c r="RJD1680" s="1740"/>
      <c r="RJE1680" s="1740"/>
      <c r="RJF1680" s="1740"/>
      <c r="RJG1680" s="1740"/>
      <c r="RJH1680" s="1740"/>
      <c r="RJI1680" s="1740"/>
      <c r="RJJ1680" s="1740"/>
      <c r="RJK1680" s="1740"/>
      <c r="RJL1680" s="1740"/>
      <c r="RJM1680" s="1740"/>
      <c r="RJN1680" s="1740"/>
      <c r="RJO1680" s="1740"/>
      <c r="RJP1680" s="1740"/>
      <c r="RJQ1680" s="1740"/>
      <c r="RJR1680" s="1740"/>
      <c r="RJS1680" s="1740"/>
      <c r="RJT1680" s="1740"/>
      <c r="RJU1680" s="1740"/>
      <c r="RJV1680" s="1740"/>
      <c r="RJW1680" s="1740"/>
      <c r="RJX1680" s="1740"/>
      <c r="RJY1680" s="1740"/>
      <c r="RJZ1680" s="1740"/>
      <c r="RKA1680" s="1740"/>
      <c r="RKB1680" s="1740"/>
      <c r="RKC1680" s="1740"/>
      <c r="RKD1680" s="1740"/>
      <c r="RKE1680" s="1740"/>
      <c r="RKF1680" s="1740"/>
      <c r="RKG1680" s="1740"/>
      <c r="RKH1680" s="1740"/>
      <c r="RKI1680" s="1740"/>
      <c r="RKJ1680" s="1740"/>
      <c r="RKK1680" s="1740"/>
      <c r="RKL1680" s="1740"/>
      <c r="RKM1680" s="1740"/>
      <c r="RKN1680" s="1740"/>
      <c r="RKO1680" s="1740"/>
      <c r="RKP1680" s="1740"/>
      <c r="RKQ1680" s="1740"/>
      <c r="RKR1680" s="1740"/>
      <c r="RKS1680" s="1740"/>
      <c r="RKT1680" s="1740"/>
      <c r="RKU1680" s="1740"/>
      <c r="RKV1680" s="1740"/>
      <c r="RKW1680" s="1740"/>
      <c r="RKX1680" s="1740"/>
      <c r="RKY1680" s="1740"/>
      <c r="RKZ1680" s="1740"/>
      <c r="RLA1680" s="1740"/>
      <c r="RLB1680" s="1740"/>
      <c r="RLC1680" s="1740"/>
      <c r="RLD1680" s="1740"/>
      <c r="RLE1680" s="1740"/>
      <c r="RLF1680" s="1740"/>
      <c r="RLG1680" s="1740"/>
      <c r="RLH1680" s="1740"/>
      <c r="RLI1680" s="1740"/>
      <c r="RLJ1680" s="1740"/>
      <c r="RLK1680" s="1740"/>
      <c r="RLL1680" s="1740"/>
      <c r="RLM1680" s="1740"/>
      <c r="RLN1680" s="1740"/>
      <c r="RLO1680" s="1740"/>
      <c r="RLP1680" s="1740"/>
      <c r="RLQ1680" s="1740"/>
      <c r="RLR1680" s="1740"/>
      <c r="RLS1680" s="1740"/>
      <c r="RLT1680" s="1740"/>
      <c r="RLU1680" s="1740"/>
      <c r="RLV1680" s="1740"/>
      <c r="RLW1680" s="1740"/>
      <c r="RLX1680" s="1740"/>
      <c r="RLY1680" s="1740"/>
      <c r="RLZ1680" s="1740"/>
      <c r="RMA1680" s="1740"/>
      <c r="RMB1680" s="1740"/>
      <c r="RMC1680" s="1740"/>
      <c r="RMD1680" s="1740"/>
      <c r="RME1680" s="1740"/>
      <c r="RMF1680" s="1740"/>
      <c r="RMG1680" s="1740"/>
      <c r="RMH1680" s="1740"/>
      <c r="RMI1680" s="1740"/>
      <c r="RMJ1680" s="1740"/>
      <c r="RMK1680" s="1740"/>
      <c r="RML1680" s="1740"/>
      <c r="RMM1680" s="1740"/>
      <c r="RMN1680" s="1740"/>
      <c r="RMO1680" s="1740"/>
      <c r="RMP1680" s="1740"/>
      <c r="RMQ1680" s="1740"/>
      <c r="RMR1680" s="1740"/>
      <c r="RMS1680" s="1740"/>
      <c r="RMT1680" s="1740"/>
      <c r="RMU1680" s="1740"/>
      <c r="RMV1680" s="1740"/>
      <c r="RMW1680" s="1740"/>
      <c r="RMX1680" s="1740"/>
      <c r="RMY1680" s="1740"/>
      <c r="RMZ1680" s="1740"/>
      <c r="RNA1680" s="1740"/>
      <c r="RNB1680" s="1740"/>
      <c r="RNC1680" s="1740"/>
      <c r="RND1680" s="1740"/>
      <c r="RNE1680" s="1740"/>
      <c r="RNF1680" s="1740"/>
      <c r="RNG1680" s="1740"/>
      <c r="RNH1680" s="1740"/>
      <c r="RNI1680" s="1740"/>
      <c r="RNJ1680" s="1740"/>
      <c r="RNK1680" s="1740"/>
      <c r="RNL1680" s="1740"/>
      <c r="RNM1680" s="1740"/>
      <c r="RNN1680" s="1740"/>
      <c r="RNO1680" s="1740"/>
      <c r="RNP1680" s="1740"/>
      <c r="RNQ1680" s="1740"/>
      <c r="RNR1680" s="1740"/>
      <c r="RNS1680" s="1740"/>
      <c r="RNT1680" s="1740"/>
      <c r="RNU1680" s="1740"/>
      <c r="RNV1680" s="1740"/>
      <c r="RNW1680" s="1740"/>
      <c r="RNX1680" s="1740"/>
      <c r="RNY1680" s="1740"/>
      <c r="RNZ1680" s="1740"/>
      <c r="ROA1680" s="1740"/>
      <c r="ROB1680" s="1740"/>
      <c r="ROC1680" s="1740"/>
      <c r="ROD1680" s="1740"/>
      <c r="ROE1680" s="1740"/>
      <c r="ROF1680" s="1740"/>
      <c r="ROG1680" s="1740"/>
      <c r="ROH1680" s="1740"/>
      <c r="ROI1680" s="1740"/>
      <c r="ROJ1680" s="1740"/>
      <c r="ROK1680" s="1740"/>
      <c r="ROL1680" s="1740"/>
      <c r="ROM1680" s="1740"/>
      <c r="RON1680" s="1740"/>
      <c r="ROO1680" s="1740"/>
      <c r="ROP1680" s="1740"/>
      <c r="ROQ1680" s="1740"/>
      <c r="ROR1680" s="1740"/>
      <c r="ROS1680" s="1740"/>
      <c r="ROT1680" s="1740"/>
      <c r="ROU1680" s="1740"/>
      <c r="ROV1680" s="1740"/>
      <c r="ROW1680" s="1740"/>
      <c r="ROX1680" s="1740"/>
      <c r="ROY1680" s="1740"/>
      <c r="ROZ1680" s="1740"/>
      <c r="RPA1680" s="1740"/>
      <c r="RPB1680" s="1740"/>
      <c r="RPC1680" s="1740"/>
      <c r="RPD1680" s="1740"/>
      <c r="RPE1680" s="1740"/>
      <c r="RPF1680" s="1740"/>
      <c r="RPG1680" s="1740"/>
      <c r="RPH1680" s="1740"/>
      <c r="RPI1680" s="1740"/>
      <c r="RPJ1680" s="1740"/>
      <c r="RPK1680" s="1740"/>
      <c r="RPL1680" s="1740"/>
      <c r="RPM1680" s="1740"/>
      <c r="RPN1680" s="1740"/>
      <c r="RPO1680" s="1740"/>
      <c r="RPP1680" s="1740"/>
      <c r="RPQ1680" s="1740"/>
      <c r="RPR1680" s="1740"/>
      <c r="RPS1680" s="1740"/>
      <c r="RPT1680" s="1740"/>
      <c r="RPU1680" s="1740"/>
      <c r="RPV1680" s="1740"/>
      <c r="RPW1680" s="1740"/>
      <c r="RPX1680" s="1740"/>
      <c r="RPY1680" s="1740"/>
      <c r="RPZ1680" s="1740"/>
      <c r="RQA1680" s="1740"/>
      <c r="RQB1680" s="1740"/>
      <c r="RQC1680" s="1740"/>
      <c r="RQD1680" s="1740"/>
      <c r="RQE1680" s="1740"/>
      <c r="RQF1680" s="1740"/>
      <c r="RQG1680" s="1740"/>
      <c r="RQH1680" s="1740"/>
      <c r="RQI1680" s="1740"/>
      <c r="RQJ1680" s="1740"/>
      <c r="RQK1680" s="1740"/>
      <c r="RQL1680" s="1740"/>
      <c r="RQM1680" s="1740"/>
      <c r="RQN1680" s="1740"/>
      <c r="RQO1680" s="1740"/>
      <c r="RQP1680" s="1740"/>
      <c r="RQQ1680" s="1740"/>
      <c r="RQR1680" s="1740"/>
      <c r="RQS1680" s="1740"/>
      <c r="RQT1680" s="1740"/>
      <c r="RQU1680" s="1740"/>
      <c r="RQV1680" s="1740"/>
      <c r="RQW1680" s="1740"/>
      <c r="RQX1680" s="1740"/>
      <c r="RQY1680" s="1740"/>
      <c r="RQZ1680" s="1740"/>
      <c r="RRA1680" s="1740"/>
      <c r="RRB1680" s="1740"/>
      <c r="RRC1680" s="1740"/>
      <c r="RRD1680" s="1740"/>
      <c r="RRE1680" s="1740"/>
      <c r="RRF1680" s="1740"/>
      <c r="RRG1680" s="1740"/>
      <c r="RRH1680" s="1740"/>
      <c r="RRI1680" s="1740"/>
      <c r="RRJ1680" s="1740"/>
      <c r="RRK1680" s="1740"/>
      <c r="RRL1680" s="1740"/>
      <c r="RRM1680" s="1740"/>
      <c r="RRN1680" s="1740"/>
      <c r="RRO1680" s="1740"/>
      <c r="RRP1680" s="1740"/>
      <c r="RRQ1680" s="1740"/>
      <c r="RRR1680" s="1740"/>
      <c r="RRS1680" s="1740"/>
      <c r="RRT1680" s="1740"/>
      <c r="RRU1680" s="1740"/>
      <c r="RRV1680" s="1740"/>
      <c r="RRW1680" s="1740"/>
      <c r="RRX1680" s="1740"/>
      <c r="RRY1680" s="1740"/>
      <c r="RRZ1680" s="1740"/>
      <c r="RSA1680" s="1740"/>
      <c r="RSB1680" s="1740"/>
      <c r="RSC1680" s="1740"/>
      <c r="RSD1680" s="1740"/>
      <c r="RSE1680" s="1740"/>
      <c r="RSF1680" s="1740"/>
      <c r="RSG1680" s="1740"/>
      <c r="RSH1680" s="1740"/>
      <c r="RSI1680" s="1740"/>
      <c r="RSJ1680" s="1740"/>
      <c r="RSK1680" s="1740"/>
      <c r="RSL1680" s="1740"/>
      <c r="RSM1680" s="1740"/>
      <c r="RSN1680" s="1740"/>
      <c r="RSO1680" s="1740"/>
      <c r="RSP1680" s="1740"/>
      <c r="RSQ1680" s="1740"/>
      <c r="RSR1680" s="1740"/>
      <c r="RSS1680" s="1740"/>
      <c r="RST1680" s="1740"/>
      <c r="RSU1680" s="1740"/>
      <c r="RSV1680" s="1740"/>
      <c r="RSW1680" s="1740"/>
      <c r="RSX1680" s="1740"/>
      <c r="RSY1680" s="1740"/>
      <c r="RSZ1680" s="1740"/>
      <c r="RTA1680" s="1740"/>
      <c r="RTB1680" s="1740"/>
      <c r="RTC1680" s="1740"/>
      <c r="RTD1680" s="1740"/>
      <c r="RTE1680" s="1740"/>
      <c r="RTF1680" s="1740"/>
      <c r="RTG1680" s="1740"/>
      <c r="RTH1680" s="1740"/>
      <c r="RTI1680" s="1740"/>
      <c r="RTJ1680" s="1740"/>
      <c r="RTK1680" s="1740"/>
      <c r="RTL1680" s="1740"/>
      <c r="RTM1680" s="1740"/>
      <c r="RTN1680" s="1740"/>
      <c r="RTO1680" s="1740"/>
      <c r="RTP1680" s="1740"/>
      <c r="RTQ1680" s="1740"/>
      <c r="RTR1680" s="1740"/>
      <c r="RTS1680" s="1740"/>
      <c r="RTT1680" s="1740"/>
      <c r="RTU1680" s="1740"/>
      <c r="RTV1680" s="1740"/>
      <c r="RTW1680" s="1740"/>
      <c r="RTX1680" s="1740"/>
      <c r="RTY1680" s="1740"/>
      <c r="RTZ1680" s="1740"/>
      <c r="RUA1680" s="1740"/>
      <c r="RUB1680" s="1740"/>
      <c r="RUC1680" s="1740"/>
      <c r="RUD1680" s="1740"/>
      <c r="RUE1680" s="1740"/>
      <c r="RUF1680" s="1740"/>
      <c r="RUG1680" s="1740"/>
      <c r="RUH1680" s="1740"/>
      <c r="RUI1680" s="1740"/>
      <c r="RUJ1680" s="1740"/>
      <c r="RUK1680" s="1740"/>
      <c r="RUL1680" s="1740"/>
      <c r="RUM1680" s="1740"/>
      <c r="RUN1680" s="1740"/>
      <c r="RUO1680" s="1740"/>
      <c r="RUP1680" s="1740"/>
      <c r="RUQ1680" s="1740"/>
      <c r="RUR1680" s="1740"/>
      <c r="RUS1680" s="1740"/>
      <c r="RUT1680" s="1740"/>
      <c r="RUU1680" s="1740"/>
      <c r="RUV1680" s="1740"/>
      <c r="RUW1680" s="1740"/>
      <c r="RUX1680" s="1740"/>
      <c r="RUY1680" s="1740"/>
      <c r="RUZ1680" s="1740"/>
      <c r="RVA1680" s="1740"/>
      <c r="RVB1680" s="1740"/>
      <c r="RVC1680" s="1740"/>
      <c r="RVD1680" s="1740"/>
      <c r="RVE1680" s="1740"/>
      <c r="RVF1680" s="1740"/>
      <c r="RVG1680" s="1740"/>
      <c r="RVH1680" s="1740"/>
      <c r="RVI1680" s="1740"/>
      <c r="RVJ1680" s="1740"/>
      <c r="RVK1680" s="1740"/>
      <c r="RVL1680" s="1740"/>
      <c r="RVM1680" s="1740"/>
      <c r="RVN1680" s="1740"/>
      <c r="RVO1680" s="1740"/>
      <c r="RVP1680" s="1740"/>
      <c r="RVQ1680" s="1740"/>
      <c r="RVR1680" s="1740"/>
      <c r="RVS1680" s="1740"/>
      <c r="RVT1680" s="1740"/>
      <c r="RVU1680" s="1740"/>
      <c r="RVV1680" s="1740"/>
      <c r="RVW1680" s="1740"/>
      <c r="RVX1680" s="1740"/>
      <c r="RVY1680" s="1740"/>
      <c r="RVZ1680" s="1740"/>
      <c r="RWA1680" s="1740"/>
      <c r="RWB1680" s="1740"/>
      <c r="RWC1680" s="1740"/>
      <c r="RWD1680" s="1740"/>
      <c r="RWE1680" s="1740"/>
      <c r="RWF1680" s="1740"/>
      <c r="RWG1680" s="1740"/>
      <c r="RWH1680" s="1740"/>
      <c r="RWI1680" s="1740"/>
      <c r="RWJ1680" s="1740"/>
      <c r="RWK1680" s="1740"/>
      <c r="RWL1680" s="1740"/>
      <c r="RWM1680" s="1740"/>
      <c r="RWN1680" s="1740"/>
      <c r="RWO1680" s="1740"/>
      <c r="RWP1680" s="1740"/>
      <c r="RWQ1680" s="1740"/>
      <c r="RWR1680" s="1740"/>
      <c r="RWS1680" s="1740"/>
      <c r="RWT1680" s="1740"/>
      <c r="RWU1680" s="1740"/>
      <c r="RWV1680" s="1740"/>
      <c r="RWW1680" s="1740"/>
      <c r="RWX1680" s="1740"/>
      <c r="RWY1680" s="1740"/>
      <c r="RWZ1680" s="1740"/>
      <c r="RXA1680" s="1740"/>
      <c r="RXB1680" s="1740"/>
      <c r="RXC1680" s="1740"/>
      <c r="RXD1680" s="1740"/>
      <c r="RXE1680" s="1740"/>
      <c r="RXF1680" s="1740"/>
      <c r="RXG1680" s="1740"/>
      <c r="RXH1680" s="1740"/>
      <c r="RXI1680" s="1740"/>
      <c r="RXJ1680" s="1740"/>
      <c r="RXK1680" s="1740"/>
      <c r="RXL1680" s="1740"/>
      <c r="RXM1680" s="1740"/>
      <c r="RXN1680" s="1740"/>
      <c r="RXO1680" s="1740"/>
      <c r="RXP1680" s="1740"/>
      <c r="RXQ1680" s="1740"/>
      <c r="RXR1680" s="1740"/>
      <c r="RXS1680" s="1740"/>
      <c r="RXT1680" s="1740"/>
      <c r="RXU1680" s="1740"/>
      <c r="RXV1680" s="1740"/>
      <c r="RXW1680" s="1740"/>
      <c r="RXX1680" s="1740"/>
      <c r="RXY1680" s="1740"/>
      <c r="RXZ1680" s="1740"/>
      <c r="RYA1680" s="1740"/>
      <c r="RYB1680" s="1740"/>
      <c r="RYC1680" s="1740"/>
      <c r="RYD1680" s="1740"/>
      <c r="RYE1680" s="1740"/>
      <c r="RYF1680" s="1740"/>
      <c r="RYG1680" s="1740"/>
      <c r="RYH1680" s="1740"/>
      <c r="RYI1680" s="1740"/>
      <c r="RYJ1680" s="1740"/>
      <c r="RYK1680" s="1740"/>
      <c r="RYL1680" s="1740"/>
      <c r="RYM1680" s="1740"/>
      <c r="RYN1680" s="1740"/>
      <c r="RYO1680" s="1740"/>
      <c r="RYP1680" s="1740"/>
      <c r="RYQ1680" s="1740"/>
      <c r="RYR1680" s="1740"/>
      <c r="RYS1680" s="1740"/>
      <c r="RYT1680" s="1740"/>
      <c r="RYU1680" s="1740"/>
      <c r="RYV1680" s="1740"/>
      <c r="RYW1680" s="1740"/>
      <c r="RYX1680" s="1740"/>
      <c r="RYY1680" s="1740"/>
      <c r="RYZ1680" s="1740"/>
      <c r="RZA1680" s="1740"/>
      <c r="RZB1680" s="1740"/>
      <c r="RZC1680" s="1740"/>
      <c r="RZD1680" s="1740"/>
      <c r="RZE1680" s="1740"/>
      <c r="RZF1680" s="1740"/>
      <c r="RZG1680" s="1740"/>
      <c r="RZH1680" s="1740"/>
      <c r="RZI1680" s="1740"/>
      <c r="RZJ1680" s="1740"/>
      <c r="RZK1680" s="1740"/>
      <c r="RZL1680" s="1740"/>
      <c r="RZM1680" s="1740"/>
      <c r="RZN1680" s="1740"/>
      <c r="RZO1680" s="1740"/>
      <c r="RZP1680" s="1740"/>
      <c r="RZQ1680" s="1740"/>
      <c r="RZR1680" s="1740"/>
      <c r="RZS1680" s="1740"/>
      <c r="RZT1680" s="1740"/>
      <c r="RZU1680" s="1740"/>
      <c r="RZV1680" s="1740"/>
      <c r="RZW1680" s="1740"/>
      <c r="RZX1680" s="1740"/>
      <c r="RZY1680" s="1740"/>
      <c r="RZZ1680" s="1740"/>
      <c r="SAA1680" s="1740"/>
      <c r="SAB1680" s="1740"/>
      <c r="SAC1680" s="1740"/>
      <c r="SAD1680" s="1740"/>
      <c r="SAE1680" s="1740"/>
      <c r="SAF1680" s="1740"/>
      <c r="SAG1680" s="1740"/>
      <c r="SAH1680" s="1740"/>
      <c r="SAI1680" s="1740"/>
      <c r="SAJ1680" s="1740"/>
      <c r="SAK1680" s="1740"/>
      <c r="SAL1680" s="1740"/>
      <c r="SAM1680" s="1740"/>
      <c r="SAN1680" s="1740"/>
      <c r="SAO1680" s="1740"/>
      <c r="SAP1680" s="1740"/>
      <c r="SAQ1680" s="1740"/>
      <c r="SAR1680" s="1740"/>
      <c r="SAS1680" s="1740"/>
      <c r="SAT1680" s="1740"/>
      <c r="SAU1680" s="1740"/>
      <c r="SAV1680" s="1740"/>
      <c r="SAW1680" s="1740"/>
      <c r="SAX1680" s="1740"/>
      <c r="SAY1680" s="1740"/>
      <c r="SAZ1680" s="1740"/>
      <c r="SBA1680" s="1740"/>
      <c r="SBB1680" s="1740"/>
      <c r="SBC1680" s="1740"/>
      <c r="SBD1680" s="1740"/>
      <c r="SBE1680" s="1740"/>
      <c r="SBF1680" s="1740"/>
      <c r="SBG1680" s="1740"/>
      <c r="SBH1680" s="1740"/>
      <c r="SBI1680" s="1740"/>
      <c r="SBJ1680" s="1740"/>
      <c r="SBK1680" s="1740"/>
      <c r="SBL1680" s="1740"/>
      <c r="SBM1680" s="1740"/>
      <c r="SBN1680" s="1740"/>
      <c r="SBO1680" s="1740"/>
      <c r="SBP1680" s="1740"/>
      <c r="SBQ1680" s="1740"/>
      <c r="SBR1680" s="1740"/>
      <c r="SBS1680" s="1740"/>
      <c r="SBT1680" s="1740"/>
      <c r="SBU1680" s="1740"/>
      <c r="SBV1680" s="1740"/>
      <c r="SBW1680" s="1740"/>
      <c r="SBX1680" s="1740"/>
      <c r="SBY1680" s="1740"/>
      <c r="SBZ1680" s="1740"/>
      <c r="SCA1680" s="1740"/>
      <c r="SCB1680" s="1740"/>
      <c r="SCC1680" s="1740"/>
      <c r="SCD1680" s="1740"/>
      <c r="SCE1680" s="1740"/>
      <c r="SCF1680" s="1740"/>
      <c r="SCG1680" s="1740"/>
      <c r="SCH1680" s="1740"/>
      <c r="SCI1680" s="1740"/>
      <c r="SCJ1680" s="1740"/>
      <c r="SCK1680" s="1740"/>
      <c r="SCL1680" s="1740"/>
      <c r="SCM1680" s="1740"/>
      <c r="SCN1680" s="1740"/>
      <c r="SCO1680" s="1740"/>
      <c r="SCP1680" s="1740"/>
      <c r="SCQ1680" s="1740"/>
      <c r="SCR1680" s="1740"/>
      <c r="SCS1680" s="1740"/>
      <c r="SCT1680" s="1740"/>
      <c r="SCU1680" s="1740"/>
      <c r="SCV1680" s="1740"/>
      <c r="SCW1680" s="1740"/>
      <c r="SCX1680" s="1740"/>
      <c r="SCY1680" s="1740"/>
      <c r="SCZ1680" s="1740"/>
      <c r="SDA1680" s="1740"/>
      <c r="SDB1680" s="1740"/>
      <c r="SDC1680" s="1740"/>
      <c r="SDD1680" s="1740"/>
      <c r="SDE1680" s="1740"/>
      <c r="SDF1680" s="1740"/>
      <c r="SDG1680" s="1740"/>
      <c r="SDH1680" s="1740"/>
      <c r="SDI1680" s="1740"/>
      <c r="SDJ1680" s="1740"/>
      <c r="SDK1680" s="1740"/>
      <c r="SDL1680" s="1740"/>
      <c r="SDM1680" s="1740"/>
      <c r="SDN1680" s="1740"/>
      <c r="SDO1680" s="1740"/>
      <c r="SDP1680" s="1740"/>
      <c r="SDQ1680" s="1740"/>
      <c r="SDR1680" s="1740"/>
      <c r="SDS1680" s="1740"/>
      <c r="SDT1680" s="1740"/>
      <c r="SDU1680" s="1740"/>
      <c r="SDV1680" s="1740"/>
      <c r="SDW1680" s="1740"/>
      <c r="SDX1680" s="1740"/>
      <c r="SDY1680" s="1740"/>
      <c r="SDZ1680" s="1740"/>
      <c r="SEA1680" s="1740"/>
      <c r="SEB1680" s="1740"/>
      <c r="SEC1680" s="1740"/>
      <c r="SED1680" s="1740"/>
      <c r="SEE1680" s="1740"/>
      <c r="SEF1680" s="1740"/>
      <c r="SEG1680" s="1740"/>
      <c r="SEH1680" s="1740"/>
      <c r="SEI1680" s="1740"/>
      <c r="SEJ1680" s="1740"/>
      <c r="SEK1680" s="1740"/>
      <c r="SEL1680" s="1740"/>
      <c r="SEM1680" s="1740"/>
      <c r="SEN1680" s="1740"/>
      <c r="SEO1680" s="1740"/>
      <c r="SEP1680" s="1740"/>
      <c r="SEQ1680" s="1740"/>
      <c r="SER1680" s="1740"/>
      <c r="SES1680" s="1740"/>
      <c r="SET1680" s="1740"/>
      <c r="SEU1680" s="1740"/>
      <c r="SEV1680" s="1740"/>
      <c r="SEW1680" s="1740"/>
      <c r="SEX1680" s="1740"/>
      <c r="SEY1680" s="1740"/>
      <c r="SEZ1680" s="1740"/>
      <c r="SFA1680" s="1740"/>
      <c r="SFB1680" s="1740"/>
      <c r="SFC1680" s="1740"/>
      <c r="SFD1680" s="1740"/>
      <c r="SFE1680" s="1740"/>
      <c r="SFF1680" s="1740"/>
      <c r="SFG1680" s="1740"/>
      <c r="SFH1680" s="1740"/>
      <c r="SFI1680" s="1740"/>
      <c r="SFJ1680" s="1740"/>
      <c r="SFK1680" s="1740"/>
      <c r="SFL1680" s="1740"/>
      <c r="SFM1680" s="1740"/>
      <c r="SFN1680" s="1740"/>
      <c r="SFO1680" s="1740"/>
      <c r="SFP1680" s="1740"/>
      <c r="SFQ1680" s="1740"/>
      <c r="SFR1680" s="1740"/>
      <c r="SFS1680" s="1740"/>
      <c r="SFT1680" s="1740"/>
      <c r="SFU1680" s="1740"/>
      <c r="SFV1680" s="1740"/>
      <c r="SFW1680" s="1740"/>
      <c r="SFX1680" s="1740"/>
      <c r="SFY1680" s="1740"/>
      <c r="SFZ1680" s="1740"/>
      <c r="SGA1680" s="1740"/>
      <c r="SGB1680" s="1740"/>
      <c r="SGC1680" s="1740"/>
      <c r="SGD1680" s="1740"/>
      <c r="SGE1680" s="1740"/>
      <c r="SGF1680" s="1740"/>
      <c r="SGG1680" s="1740"/>
      <c r="SGH1680" s="1740"/>
      <c r="SGI1680" s="1740"/>
      <c r="SGJ1680" s="1740"/>
      <c r="SGK1680" s="1740"/>
      <c r="SGL1680" s="1740"/>
      <c r="SGM1680" s="1740"/>
      <c r="SGN1680" s="1740"/>
      <c r="SGO1680" s="1740"/>
      <c r="SGP1680" s="1740"/>
      <c r="SGQ1680" s="1740"/>
      <c r="SGR1680" s="1740"/>
      <c r="SGS1680" s="1740"/>
      <c r="SGT1680" s="1740"/>
      <c r="SGU1680" s="1740"/>
      <c r="SGV1680" s="1740"/>
      <c r="SGW1680" s="1740"/>
      <c r="SGX1680" s="1740"/>
      <c r="SGY1680" s="1740"/>
      <c r="SGZ1680" s="1740"/>
      <c r="SHA1680" s="1740"/>
      <c r="SHB1680" s="1740"/>
      <c r="SHC1680" s="1740"/>
      <c r="SHD1680" s="1740"/>
      <c r="SHE1680" s="1740"/>
      <c r="SHF1680" s="1740"/>
      <c r="SHG1680" s="1740"/>
      <c r="SHH1680" s="1740"/>
      <c r="SHI1680" s="1740"/>
      <c r="SHJ1680" s="1740"/>
      <c r="SHK1680" s="1740"/>
      <c r="SHL1680" s="1740"/>
      <c r="SHM1680" s="1740"/>
      <c r="SHN1680" s="1740"/>
      <c r="SHO1680" s="1740"/>
      <c r="SHP1680" s="1740"/>
      <c r="SHQ1680" s="1740"/>
      <c r="SHR1680" s="1740"/>
      <c r="SHS1680" s="1740"/>
      <c r="SHT1680" s="1740"/>
      <c r="SHU1680" s="1740"/>
      <c r="SHV1680" s="1740"/>
      <c r="SHW1680" s="1740"/>
      <c r="SHX1680" s="1740"/>
      <c r="SHY1680" s="1740"/>
      <c r="SHZ1680" s="1740"/>
      <c r="SIA1680" s="1740"/>
      <c r="SIB1680" s="1740"/>
      <c r="SIC1680" s="1740"/>
      <c r="SID1680" s="1740"/>
      <c r="SIE1680" s="1740"/>
      <c r="SIF1680" s="1740"/>
      <c r="SIG1680" s="1740"/>
      <c r="SIH1680" s="1740"/>
      <c r="SII1680" s="1740"/>
      <c r="SIJ1680" s="1740"/>
      <c r="SIK1680" s="1740"/>
      <c r="SIL1680" s="1740"/>
      <c r="SIM1680" s="1740"/>
      <c r="SIN1680" s="1740"/>
      <c r="SIO1680" s="1740"/>
      <c r="SIP1680" s="1740"/>
      <c r="SIQ1680" s="1740"/>
      <c r="SIR1680" s="1740"/>
      <c r="SIS1680" s="1740"/>
      <c r="SIT1680" s="1740"/>
      <c r="SIU1680" s="1740"/>
      <c r="SIV1680" s="1740"/>
      <c r="SIW1680" s="1740"/>
      <c r="SIX1680" s="1740"/>
      <c r="SIY1680" s="1740"/>
      <c r="SIZ1680" s="1740"/>
      <c r="SJA1680" s="1740"/>
      <c r="SJB1680" s="1740"/>
      <c r="SJC1680" s="1740"/>
      <c r="SJD1680" s="1740"/>
      <c r="SJE1680" s="1740"/>
      <c r="SJF1680" s="1740"/>
      <c r="SJG1680" s="1740"/>
      <c r="SJH1680" s="1740"/>
      <c r="SJI1680" s="1740"/>
      <c r="SJJ1680" s="1740"/>
      <c r="SJK1680" s="1740"/>
      <c r="SJL1680" s="1740"/>
      <c r="SJM1680" s="1740"/>
      <c r="SJN1680" s="1740"/>
      <c r="SJO1680" s="1740"/>
      <c r="SJP1680" s="1740"/>
      <c r="SJQ1680" s="1740"/>
      <c r="SJR1680" s="1740"/>
      <c r="SJS1680" s="1740"/>
      <c r="SJT1680" s="1740"/>
      <c r="SJU1680" s="1740"/>
      <c r="SJV1680" s="1740"/>
      <c r="SJW1680" s="1740"/>
      <c r="SJX1680" s="1740"/>
      <c r="SJY1680" s="1740"/>
      <c r="SJZ1680" s="1740"/>
      <c r="SKA1680" s="1740"/>
      <c r="SKB1680" s="1740"/>
      <c r="SKC1680" s="1740"/>
      <c r="SKD1680" s="1740"/>
      <c r="SKE1680" s="1740"/>
      <c r="SKF1680" s="1740"/>
      <c r="SKG1680" s="1740"/>
      <c r="SKH1680" s="1740"/>
      <c r="SKI1680" s="1740"/>
      <c r="SKJ1680" s="1740"/>
      <c r="SKK1680" s="1740"/>
      <c r="SKL1680" s="1740"/>
      <c r="SKM1680" s="1740"/>
      <c r="SKN1680" s="1740"/>
      <c r="SKO1680" s="1740"/>
      <c r="SKP1680" s="1740"/>
      <c r="SKQ1680" s="1740"/>
      <c r="SKR1680" s="1740"/>
      <c r="SKS1680" s="1740"/>
      <c r="SKT1680" s="1740"/>
      <c r="SKU1680" s="1740"/>
      <c r="SKV1680" s="1740"/>
      <c r="SKW1680" s="1740"/>
      <c r="SKX1680" s="1740"/>
      <c r="SKY1680" s="1740"/>
      <c r="SKZ1680" s="1740"/>
      <c r="SLA1680" s="1740"/>
      <c r="SLB1680" s="1740"/>
      <c r="SLC1680" s="1740"/>
      <c r="SLD1680" s="1740"/>
      <c r="SLE1680" s="1740"/>
      <c r="SLF1680" s="1740"/>
      <c r="SLG1680" s="1740"/>
      <c r="SLH1680" s="1740"/>
      <c r="SLI1680" s="1740"/>
      <c r="SLJ1680" s="1740"/>
      <c r="SLK1680" s="1740"/>
      <c r="SLL1680" s="1740"/>
      <c r="SLM1680" s="1740"/>
      <c r="SLN1680" s="1740"/>
      <c r="SLO1680" s="1740"/>
      <c r="SLP1680" s="1740"/>
      <c r="SLQ1680" s="1740"/>
      <c r="SLR1680" s="1740"/>
      <c r="SLS1680" s="1740"/>
      <c r="SLT1680" s="1740"/>
      <c r="SLU1680" s="1740"/>
      <c r="SLV1680" s="1740"/>
      <c r="SLW1680" s="1740"/>
      <c r="SLX1680" s="1740"/>
      <c r="SLY1680" s="1740"/>
      <c r="SLZ1680" s="1740"/>
      <c r="SMA1680" s="1740"/>
      <c r="SMB1680" s="1740"/>
      <c r="SMC1680" s="1740"/>
      <c r="SMD1680" s="1740"/>
      <c r="SME1680" s="1740"/>
      <c r="SMF1680" s="1740"/>
      <c r="SMG1680" s="1740"/>
      <c r="SMH1680" s="1740"/>
      <c r="SMI1680" s="1740"/>
      <c r="SMJ1680" s="1740"/>
      <c r="SMK1680" s="1740"/>
      <c r="SML1680" s="1740"/>
      <c r="SMM1680" s="1740"/>
      <c r="SMN1680" s="1740"/>
      <c r="SMO1680" s="1740"/>
      <c r="SMP1680" s="1740"/>
      <c r="SMQ1680" s="1740"/>
      <c r="SMR1680" s="1740"/>
      <c r="SMS1680" s="1740"/>
      <c r="SMT1680" s="1740"/>
      <c r="SMU1680" s="1740"/>
      <c r="SMV1680" s="1740"/>
      <c r="SMW1680" s="1740"/>
      <c r="SMX1680" s="1740"/>
      <c r="SMY1680" s="1740"/>
      <c r="SMZ1680" s="1740"/>
      <c r="SNA1680" s="1740"/>
      <c r="SNB1680" s="1740"/>
      <c r="SNC1680" s="1740"/>
      <c r="SND1680" s="1740"/>
      <c r="SNE1680" s="1740"/>
      <c r="SNF1680" s="1740"/>
      <c r="SNG1680" s="1740"/>
      <c r="SNH1680" s="1740"/>
      <c r="SNI1680" s="1740"/>
      <c r="SNJ1680" s="1740"/>
      <c r="SNK1680" s="1740"/>
      <c r="SNL1680" s="1740"/>
      <c r="SNM1680" s="1740"/>
      <c r="SNN1680" s="1740"/>
      <c r="SNO1680" s="1740"/>
      <c r="SNP1680" s="1740"/>
      <c r="SNQ1680" s="1740"/>
      <c r="SNR1680" s="1740"/>
      <c r="SNS1680" s="1740"/>
      <c r="SNT1680" s="1740"/>
      <c r="SNU1680" s="1740"/>
      <c r="SNV1680" s="1740"/>
      <c r="SNW1680" s="1740"/>
      <c r="SNX1680" s="1740"/>
      <c r="SNY1680" s="1740"/>
      <c r="SNZ1680" s="1740"/>
      <c r="SOA1680" s="1740"/>
      <c r="SOB1680" s="1740"/>
      <c r="SOC1680" s="1740"/>
      <c r="SOD1680" s="1740"/>
      <c r="SOE1680" s="1740"/>
      <c r="SOF1680" s="1740"/>
      <c r="SOG1680" s="1740"/>
      <c r="SOH1680" s="1740"/>
      <c r="SOI1680" s="1740"/>
      <c r="SOJ1680" s="1740"/>
      <c r="SOK1680" s="1740"/>
      <c r="SOL1680" s="1740"/>
      <c r="SOM1680" s="1740"/>
      <c r="SON1680" s="1740"/>
      <c r="SOO1680" s="1740"/>
      <c r="SOP1680" s="1740"/>
      <c r="SOQ1680" s="1740"/>
      <c r="SOR1680" s="1740"/>
      <c r="SOS1680" s="1740"/>
      <c r="SOT1680" s="1740"/>
      <c r="SOU1680" s="1740"/>
      <c r="SOV1680" s="1740"/>
      <c r="SOW1680" s="1740"/>
      <c r="SOX1680" s="1740"/>
      <c r="SOY1680" s="1740"/>
      <c r="SOZ1680" s="1740"/>
      <c r="SPA1680" s="1740"/>
      <c r="SPB1680" s="1740"/>
      <c r="SPC1680" s="1740"/>
      <c r="SPD1680" s="1740"/>
      <c r="SPE1680" s="1740"/>
      <c r="SPF1680" s="1740"/>
      <c r="SPG1680" s="1740"/>
      <c r="SPH1680" s="1740"/>
      <c r="SPI1680" s="1740"/>
      <c r="SPJ1680" s="1740"/>
      <c r="SPK1680" s="1740"/>
      <c r="SPL1680" s="1740"/>
      <c r="SPM1680" s="1740"/>
      <c r="SPN1680" s="1740"/>
      <c r="SPO1680" s="1740"/>
      <c r="SPP1680" s="1740"/>
      <c r="SPQ1680" s="1740"/>
      <c r="SPR1680" s="1740"/>
      <c r="SPS1680" s="1740"/>
      <c r="SPT1680" s="1740"/>
      <c r="SPU1680" s="1740"/>
      <c r="SPV1680" s="1740"/>
      <c r="SPW1680" s="1740"/>
      <c r="SPX1680" s="1740"/>
      <c r="SPY1680" s="1740"/>
      <c r="SPZ1680" s="1740"/>
      <c r="SQA1680" s="1740"/>
      <c r="SQB1680" s="1740"/>
      <c r="SQC1680" s="1740"/>
      <c r="SQD1680" s="1740"/>
      <c r="SQE1680" s="1740"/>
      <c r="SQF1680" s="1740"/>
      <c r="SQG1680" s="1740"/>
      <c r="SQH1680" s="1740"/>
      <c r="SQI1680" s="1740"/>
      <c r="SQJ1680" s="1740"/>
      <c r="SQK1680" s="1740"/>
      <c r="SQL1680" s="1740"/>
      <c r="SQM1680" s="1740"/>
      <c r="SQN1680" s="1740"/>
      <c r="SQO1680" s="1740"/>
      <c r="SQP1680" s="1740"/>
      <c r="SQQ1680" s="1740"/>
      <c r="SQR1680" s="1740"/>
      <c r="SQS1680" s="1740"/>
      <c r="SQT1680" s="1740"/>
      <c r="SQU1680" s="1740"/>
      <c r="SQV1680" s="1740"/>
      <c r="SQW1680" s="1740"/>
      <c r="SQX1680" s="1740"/>
      <c r="SQY1680" s="1740"/>
      <c r="SQZ1680" s="1740"/>
      <c r="SRA1680" s="1740"/>
      <c r="SRB1680" s="1740"/>
      <c r="SRC1680" s="1740"/>
      <c r="SRD1680" s="1740"/>
      <c r="SRE1680" s="1740"/>
      <c r="SRF1680" s="1740"/>
      <c r="SRG1680" s="1740"/>
      <c r="SRH1680" s="1740"/>
      <c r="SRI1680" s="1740"/>
      <c r="SRJ1680" s="1740"/>
      <c r="SRK1680" s="1740"/>
      <c r="SRL1680" s="1740"/>
      <c r="SRM1680" s="1740"/>
      <c r="SRN1680" s="1740"/>
      <c r="SRO1680" s="1740"/>
      <c r="SRP1680" s="1740"/>
      <c r="SRQ1680" s="1740"/>
      <c r="SRR1680" s="1740"/>
      <c r="SRS1680" s="1740"/>
      <c r="SRT1680" s="1740"/>
      <c r="SRU1680" s="1740"/>
      <c r="SRV1680" s="1740"/>
      <c r="SRW1680" s="1740"/>
      <c r="SRX1680" s="1740"/>
      <c r="SRY1680" s="1740"/>
      <c r="SRZ1680" s="1740"/>
      <c r="SSA1680" s="1740"/>
      <c r="SSB1680" s="1740"/>
      <c r="SSC1680" s="1740"/>
      <c r="SSD1680" s="1740"/>
      <c r="SSE1680" s="1740"/>
      <c r="SSF1680" s="1740"/>
      <c r="SSG1680" s="1740"/>
      <c r="SSH1680" s="1740"/>
      <c r="SSI1680" s="1740"/>
      <c r="SSJ1680" s="1740"/>
      <c r="SSK1680" s="1740"/>
      <c r="SSL1680" s="1740"/>
      <c r="SSM1680" s="1740"/>
      <c r="SSN1680" s="1740"/>
      <c r="SSO1680" s="1740"/>
      <c r="SSP1680" s="1740"/>
      <c r="SSQ1680" s="1740"/>
      <c r="SSR1680" s="1740"/>
      <c r="SSS1680" s="1740"/>
      <c r="SST1680" s="1740"/>
      <c r="SSU1680" s="1740"/>
      <c r="SSV1680" s="1740"/>
      <c r="SSW1680" s="1740"/>
      <c r="SSX1680" s="1740"/>
      <c r="SSY1680" s="1740"/>
      <c r="SSZ1680" s="1740"/>
      <c r="STA1680" s="1740"/>
      <c r="STB1680" s="1740"/>
      <c r="STC1680" s="1740"/>
      <c r="STD1680" s="1740"/>
      <c r="STE1680" s="1740"/>
      <c r="STF1680" s="1740"/>
      <c r="STG1680" s="1740"/>
      <c r="STH1680" s="1740"/>
      <c r="STI1680" s="1740"/>
      <c r="STJ1680" s="1740"/>
      <c r="STK1680" s="1740"/>
      <c r="STL1680" s="1740"/>
      <c r="STM1680" s="1740"/>
      <c r="STN1680" s="1740"/>
      <c r="STO1680" s="1740"/>
      <c r="STP1680" s="1740"/>
      <c r="STQ1680" s="1740"/>
      <c r="STR1680" s="1740"/>
      <c r="STS1680" s="1740"/>
      <c r="STT1680" s="1740"/>
      <c r="STU1680" s="1740"/>
      <c r="STV1680" s="1740"/>
      <c r="STW1680" s="1740"/>
      <c r="STX1680" s="1740"/>
      <c r="STY1680" s="1740"/>
      <c r="STZ1680" s="1740"/>
      <c r="SUA1680" s="1740"/>
      <c r="SUB1680" s="1740"/>
      <c r="SUC1680" s="1740"/>
      <c r="SUD1680" s="1740"/>
      <c r="SUE1680" s="1740"/>
      <c r="SUF1680" s="1740"/>
      <c r="SUG1680" s="1740"/>
      <c r="SUH1680" s="1740"/>
      <c r="SUI1680" s="1740"/>
      <c r="SUJ1680" s="1740"/>
      <c r="SUK1680" s="1740"/>
      <c r="SUL1680" s="1740"/>
      <c r="SUM1680" s="1740"/>
      <c r="SUN1680" s="1740"/>
      <c r="SUO1680" s="1740"/>
      <c r="SUP1680" s="1740"/>
      <c r="SUQ1680" s="1740"/>
      <c r="SUR1680" s="1740"/>
      <c r="SUS1680" s="1740"/>
      <c r="SUT1680" s="1740"/>
      <c r="SUU1680" s="1740"/>
      <c r="SUV1680" s="1740"/>
      <c r="SUW1680" s="1740"/>
      <c r="SUX1680" s="1740"/>
      <c r="SUY1680" s="1740"/>
      <c r="SUZ1680" s="1740"/>
      <c r="SVA1680" s="1740"/>
      <c r="SVB1680" s="1740"/>
      <c r="SVC1680" s="1740"/>
      <c r="SVD1680" s="1740"/>
      <c r="SVE1680" s="1740"/>
      <c r="SVF1680" s="1740"/>
      <c r="SVG1680" s="1740"/>
      <c r="SVH1680" s="1740"/>
      <c r="SVI1680" s="1740"/>
      <c r="SVJ1680" s="1740"/>
      <c r="SVK1680" s="1740"/>
      <c r="SVL1680" s="1740"/>
      <c r="SVM1680" s="1740"/>
      <c r="SVN1680" s="1740"/>
      <c r="SVO1680" s="1740"/>
      <c r="SVP1680" s="1740"/>
      <c r="SVQ1680" s="1740"/>
      <c r="SVR1680" s="1740"/>
      <c r="SVS1680" s="1740"/>
      <c r="SVT1680" s="1740"/>
      <c r="SVU1680" s="1740"/>
      <c r="SVV1680" s="1740"/>
      <c r="SVW1680" s="1740"/>
      <c r="SVX1680" s="1740"/>
      <c r="SVY1680" s="1740"/>
      <c r="SVZ1680" s="1740"/>
      <c r="SWA1680" s="1740"/>
      <c r="SWB1680" s="1740"/>
      <c r="SWC1680" s="1740"/>
      <c r="SWD1680" s="1740"/>
      <c r="SWE1680" s="1740"/>
      <c r="SWF1680" s="1740"/>
      <c r="SWG1680" s="1740"/>
      <c r="SWH1680" s="1740"/>
      <c r="SWI1680" s="1740"/>
      <c r="SWJ1680" s="1740"/>
      <c r="SWK1680" s="1740"/>
      <c r="SWL1680" s="1740"/>
      <c r="SWM1680" s="1740"/>
      <c r="SWN1680" s="1740"/>
      <c r="SWO1680" s="1740"/>
      <c r="SWP1680" s="1740"/>
      <c r="SWQ1680" s="1740"/>
      <c r="SWR1680" s="1740"/>
      <c r="SWS1680" s="1740"/>
      <c r="SWT1680" s="1740"/>
      <c r="SWU1680" s="1740"/>
      <c r="SWV1680" s="1740"/>
      <c r="SWW1680" s="1740"/>
      <c r="SWX1680" s="1740"/>
      <c r="SWY1680" s="1740"/>
      <c r="SWZ1680" s="1740"/>
      <c r="SXA1680" s="1740"/>
      <c r="SXB1680" s="1740"/>
      <c r="SXC1680" s="1740"/>
      <c r="SXD1680" s="1740"/>
      <c r="SXE1680" s="1740"/>
      <c r="SXF1680" s="1740"/>
      <c r="SXG1680" s="1740"/>
      <c r="SXH1680" s="1740"/>
      <c r="SXI1680" s="1740"/>
      <c r="SXJ1680" s="1740"/>
      <c r="SXK1680" s="1740"/>
      <c r="SXL1680" s="1740"/>
      <c r="SXM1680" s="1740"/>
      <c r="SXN1680" s="1740"/>
      <c r="SXO1680" s="1740"/>
      <c r="SXP1680" s="1740"/>
      <c r="SXQ1680" s="1740"/>
      <c r="SXR1680" s="1740"/>
      <c r="SXS1680" s="1740"/>
      <c r="SXT1680" s="1740"/>
      <c r="SXU1680" s="1740"/>
      <c r="SXV1680" s="1740"/>
      <c r="SXW1680" s="1740"/>
      <c r="SXX1680" s="1740"/>
      <c r="SXY1680" s="1740"/>
      <c r="SXZ1680" s="1740"/>
      <c r="SYA1680" s="1740"/>
      <c r="SYB1680" s="1740"/>
      <c r="SYC1680" s="1740"/>
      <c r="SYD1680" s="1740"/>
      <c r="SYE1680" s="1740"/>
      <c r="SYF1680" s="1740"/>
      <c r="SYG1680" s="1740"/>
      <c r="SYH1680" s="1740"/>
      <c r="SYI1680" s="1740"/>
      <c r="SYJ1680" s="1740"/>
      <c r="SYK1680" s="1740"/>
      <c r="SYL1680" s="1740"/>
      <c r="SYM1680" s="1740"/>
      <c r="SYN1680" s="1740"/>
      <c r="SYO1680" s="1740"/>
      <c r="SYP1680" s="1740"/>
      <c r="SYQ1680" s="1740"/>
      <c r="SYR1680" s="1740"/>
      <c r="SYS1680" s="1740"/>
      <c r="SYT1680" s="1740"/>
      <c r="SYU1680" s="1740"/>
      <c r="SYV1680" s="1740"/>
      <c r="SYW1680" s="1740"/>
      <c r="SYX1680" s="1740"/>
      <c r="SYY1680" s="1740"/>
      <c r="SYZ1680" s="1740"/>
      <c r="SZA1680" s="1740"/>
      <c r="SZB1680" s="1740"/>
      <c r="SZC1680" s="1740"/>
      <c r="SZD1680" s="1740"/>
      <c r="SZE1680" s="1740"/>
      <c r="SZF1680" s="1740"/>
      <c r="SZG1680" s="1740"/>
      <c r="SZH1680" s="1740"/>
      <c r="SZI1680" s="1740"/>
      <c r="SZJ1680" s="1740"/>
      <c r="SZK1680" s="1740"/>
      <c r="SZL1680" s="1740"/>
      <c r="SZM1680" s="1740"/>
      <c r="SZN1680" s="1740"/>
      <c r="SZO1680" s="1740"/>
      <c r="SZP1680" s="1740"/>
      <c r="SZQ1680" s="1740"/>
      <c r="SZR1680" s="1740"/>
      <c r="SZS1680" s="1740"/>
      <c r="SZT1680" s="1740"/>
      <c r="SZU1680" s="1740"/>
      <c r="SZV1680" s="1740"/>
      <c r="SZW1680" s="1740"/>
      <c r="SZX1680" s="1740"/>
      <c r="SZY1680" s="1740"/>
      <c r="SZZ1680" s="1740"/>
      <c r="TAA1680" s="1740"/>
      <c r="TAB1680" s="1740"/>
      <c r="TAC1680" s="1740"/>
      <c r="TAD1680" s="1740"/>
      <c r="TAE1680" s="1740"/>
      <c r="TAF1680" s="1740"/>
      <c r="TAG1680" s="1740"/>
      <c r="TAH1680" s="1740"/>
      <c r="TAI1680" s="1740"/>
      <c r="TAJ1680" s="1740"/>
      <c r="TAK1680" s="1740"/>
      <c r="TAL1680" s="1740"/>
      <c r="TAM1680" s="1740"/>
      <c r="TAN1680" s="1740"/>
      <c r="TAO1680" s="1740"/>
      <c r="TAP1680" s="1740"/>
      <c r="TAQ1680" s="1740"/>
      <c r="TAR1680" s="1740"/>
      <c r="TAS1680" s="1740"/>
      <c r="TAT1680" s="1740"/>
      <c r="TAU1680" s="1740"/>
      <c r="TAV1680" s="1740"/>
      <c r="TAW1680" s="1740"/>
      <c r="TAX1680" s="1740"/>
      <c r="TAY1680" s="1740"/>
      <c r="TAZ1680" s="1740"/>
      <c r="TBA1680" s="1740"/>
      <c r="TBB1680" s="1740"/>
      <c r="TBC1680" s="1740"/>
      <c r="TBD1680" s="1740"/>
      <c r="TBE1680" s="1740"/>
      <c r="TBF1680" s="1740"/>
      <c r="TBG1680" s="1740"/>
      <c r="TBH1680" s="1740"/>
      <c r="TBI1680" s="1740"/>
      <c r="TBJ1680" s="1740"/>
      <c r="TBK1680" s="1740"/>
      <c r="TBL1680" s="1740"/>
      <c r="TBM1680" s="1740"/>
      <c r="TBN1680" s="1740"/>
      <c r="TBO1680" s="1740"/>
      <c r="TBP1680" s="1740"/>
      <c r="TBQ1680" s="1740"/>
      <c r="TBR1680" s="1740"/>
      <c r="TBS1680" s="1740"/>
      <c r="TBT1680" s="1740"/>
      <c r="TBU1680" s="1740"/>
      <c r="TBV1680" s="1740"/>
      <c r="TBW1680" s="1740"/>
      <c r="TBX1680" s="1740"/>
      <c r="TBY1680" s="1740"/>
      <c r="TBZ1680" s="1740"/>
      <c r="TCA1680" s="1740"/>
      <c r="TCB1680" s="1740"/>
      <c r="TCC1680" s="1740"/>
      <c r="TCD1680" s="1740"/>
      <c r="TCE1680" s="1740"/>
      <c r="TCF1680" s="1740"/>
      <c r="TCG1680" s="1740"/>
      <c r="TCH1680" s="1740"/>
      <c r="TCI1680" s="1740"/>
      <c r="TCJ1680" s="1740"/>
      <c r="TCK1680" s="1740"/>
      <c r="TCL1680" s="1740"/>
      <c r="TCM1680" s="1740"/>
      <c r="TCN1680" s="1740"/>
      <c r="TCO1680" s="1740"/>
      <c r="TCP1680" s="1740"/>
      <c r="TCQ1680" s="1740"/>
      <c r="TCR1680" s="1740"/>
      <c r="TCS1680" s="1740"/>
      <c r="TCT1680" s="1740"/>
      <c r="TCU1680" s="1740"/>
      <c r="TCV1680" s="1740"/>
      <c r="TCW1680" s="1740"/>
      <c r="TCX1680" s="1740"/>
      <c r="TCY1680" s="1740"/>
      <c r="TCZ1680" s="1740"/>
      <c r="TDA1680" s="1740"/>
      <c r="TDB1680" s="1740"/>
      <c r="TDC1680" s="1740"/>
      <c r="TDD1680" s="1740"/>
      <c r="TDE1680" s="1740"/>
      <c r="TDF1680" s="1740"/>
      <c r="TDG1680" s="1740"/>
      <c r="TDH1680" s="1740"/>
      <c r="TDI1680" s="1740"/>
      <c r="TDJ1680" s="1740"/>
      <c r="TDK1680" s="1740"/>
      <c r="TDL1680" s="1740"/>
      <c r="TDM1680" s="1740"/>
      <c r="TDN1680" s="1740"/>
      <c r="TDO1680" s="1740"/>
      <c r="TDP1680" s="1740"/>
      <c r="TDQ1680" s="1740"/>
      <c r="TDR1680" s="1740"/>
      <c r="TDS1680" s="1740"/>
      <c r="TDT1680" s="1740"/>
      <c r="TDU1680" s="1740"/>
      <c r="TDV1680" s="1740"/>
      <c r="TDW1680" s="1740"/>
      <c r="TDX1680" s="1740"/>
      <c r="TDY1680" s="1740"/>
      <c r="TDZ1680" s="1740"/>
      <c r="TEA1680" s="1740"/>
      <c r="TEB1680" s="1740"/>
      <c r="TEC1680" s="1740"/>
      <c r="TED1680" s="1740"/>
      <c r="TEE1680" s="1740"/>
      <c r="TEF1680" s="1740"/>
      <c r="TEG1680" s="1740"/>
      <c r="TEH1680" s="1740"/>
      <c r="TEI1680" s="1740"/>
      <c r="TEJ1680" s="1740"/>
      <c r="TEK1680" s="1740"/>
      <c r="TEL1680" s="1740"/>
      <c r="TEM1680" s="1740"/>
      <c r="TEN1680" s="1740"/>
      <c r="TEO1680" s="1740"/>
      <c r="TEP1680" s="1740"/>
      <c r="TEQ1680" s="1740"/>
      <c r="TER1680" s="1740"/>
      <c r="TES1680" s="1740"/>
      <c r="TET1680" s="1740"/>
      <c r="TEU1680" s="1740"/>
      <c r="TEV1680" s="1740"/>
      <c r="TEW1680" s="1740"/>
      <c r="TEX1680" s="1740"/>
      <c r="TEY1680" s="1740"/>
      <c r="TEZ1680" s="1740"/>
      <c r="TFA1680" s="1740"/>
      <c r="TFB1680" s="1740"/>
      <c r="TFC1680" s="1740"/>
      <c r="TFD1680" s="1740"/>
      <c r="TFE1680" s="1740"/>
      <c r="TFF1680" s="1740"/>
      <c r="TFG1680" s="1740"/>
      <c r="TFH1680" s="1740"/>
      <c r="TFI1680" s="1740"/>
      <c r="TFJ1680" s="1740"/>
      <c r="TFK1680" s="1740"/>
      <c r="TFL1680" s="1740"/>
      <c r="TFM1680" s="1740"/>
      <c r="TFN1680" s="1740"/>
      <c r="TFO1680" s="1740"/>
      <c r="TFP1680" s="1740"/>
      <c r="TFQ1680" s="1740"/>
      <c r="TFR1680" s="1740"/>
      <c r="TFS1680" s="1740"/>
      <c r="TFT1680" s="1740"/>
      <c r="TFU1680" s="1740"/>
      <c r="TFV1680" s="1740"/>
      <c r="TFW1680" s="1740"/>
      <c r="TFX1680" s="1740"/>
      <c r="TFY1680" s="1740"/>
      <c r="TFZ1680" s="1740"/>
      <c r="TGA1680" s="1740"/>
      <c r="TGB1680" s="1740"/>
      <c r="TGC1680" s="1740"/>
      <c r="TGD1680" s="1740"/>
      <c r="TGE1680" s="1740"/>
      <c r="TGF1680" s="1740"/>
      <c r="TGG1680" s="1740"/>
      <c r="TGH1680" s="1740"/>
      <c r="TGI1680" s="1740"/>
      <c r="TGJ1680" s="1740"/>
      <c r="TGK1680" s="1740"/>
      <c r="TGL1680" s="1740"/>
      <c r="TGM1680" s="1740"/>
      <c r="TGN1680" s="1740"/>
      <c r="TGO1680" s="1740"/>
      <c r="TGP1680" s="1740"/>
      <c r="TGQ1680" s="1740"/>
      <c r="TGR1680" s="1740"/>
      <c r="TGS1680" s="1740"/>
      <c r="TGT1680" s="1740"/>
      <c r="TGU1680" s="1740"/>
      <c r="TGV1680" s="1740"/>
      <c r="TGW1680" s="1740"/>
      <c r="TGX1680" s="1740"/>
      <c r="TGY1680" s="1740"/>
      <c r="TGZ1680" s="1740"/>
      <c r="THA1680" s="1740"/>
      <c r="THB1680" s="1740"/>
      <c r="THC1680" s="1740"/>
      <c r="THD1680" s="1740"/>
      <c r="THE1680" s="1740"/>
      <c r="THF1680" s="1740"/>
      <c r="THG1680" s="1740"/>
      <c r="THH1680" s="1740"/>
      <c r="THI1680" s="1740"/>
      <c r="THJ1680" s="1740"/>
      <c r="THK1680" s="1740"/>
      <c r="THL1680" s="1740"/>
      <c r="THM1680" s="1740"/>
      <c r="THN1680" s="1740"/>
      <c r="THO1680" s="1740"/>
      <c r="THP1680" s="1740"/>
      <c r="THQ1680" s="1740"/>
      <c r="THR1680" s="1740"/>
      <c r="THS1680" s="1740"/>
      <c r="THT1680" s="1740"/>
      <c r="THU1680" s="1740"/>
      <c r="THV1680" s="1740"/>
      <c r="THW1680" s="1740"/>
      <c r="THX1680" s="1740"/>
      <c r="THY1680" s="1740"/>
      <c r="THZ1680" s="1740"/>
      <c r="TIA1680" s="1740"/>
      <c r="TIB1680" s="1740"/>
      <c r="TIC1680" s="1740"/>
      <c r="TID1680" s="1740"/>
      <c r="TIE1680" s="1740"/>
      <c r="TIF1680" s="1740"/>
      <c r="TIG1680" s="1740"/>
      <c r="TIH1680" s="1740"/>
      <c r="TII1680" s="1740"/>
      <c r="TIJ1680" s="1740"/>
      <c r="TIK1680" s="1740"/>
      <c r="TIL1680" s="1740"/>
      <c r="TIM1680" s="1740"/>
      <c r="TIN1680" s="1740"/>
      <c r="TIO1680" s="1740"/>
      <c r="TIP1680" s="1740"/>
      <c r="TIQ1680" s="1740"/>
      <c r="TIR1680" s="1740"/>
      <c r="TIS1680" s="1740"/>
      <c r="TIT1680" s="1740"/>
      <c r="TIU1680" s="1740"/>
      <c r="TIV1680" s="1740"/>
      <c r="TIW1680" s="1740"/>
      <c r="TIX1680" s="1740"/>
      <c r="TIY1680" s="1740"/>
      <c r="TIZ1680" s="1740"/>
      <c r="TJA1680" s="1740"/>
      <c r="TJB1680" s="1740"/>
      <c r="TJC1680" s="1740"/>
      <c r="TJD1680" s="1740"/>
      <c r="TJE1680" s="1740"/>
      <c r="TJF1680" s="1740"/>
      <c r="TJG1680" s="1740"/>
      <c r="TJH1680" s="1740"/>
      <c r="TJI1680" s="1740"/>
      <c r="TJJ1680" s="1740"/>
      <c r="TJK1680" s="1740"/>
      <c r="TJL1680" s="1740"/>
      <c r="TJM1680" s="1740"/>
      <c r="TJN1680" s="1740"/>
      <c r="TJO1680" s="1740"/>
      <c r="TJP1680" s="1740"/>
      <c r="TJQ1680" s="1740"/>
      <c r="TJR1680" s="1740"/>
      <c r="TJS1680" s="1740"/>
      <c r="TJT1680" s="1740"/>
      <c r="TJU1680" s="1740"/>
      <c r="TJV1680" s="1740"/>
      <c r="TJW1680" s="1740"/>
      <c r="TJX1680" s="1740"/>
      <c r="TJY1680" s="1740"/>
      <c r="TJZ1680" s="1740"/>
      <c r="TKA1680" s="1740"/>
      <c r="TKB1680" s="1740"/>
      <c r="TKC1680" s="1740"/>
      <c r="TKD1680" s="1740"/>
      <c r="TKE1680" s="1740"/>
      <c r="TKF1680" s="1740"/>
      <c r="TKG1680" s="1740"/>
      <c r="TKH1680" s="1740"/>
      <c r="TKI1680" s="1740"/>
      <c r="TKJ1680" s="1740"/>
      <c r="TKK1680" s="1740"/>
      <c r="TKL1680" s="1740"/>
      <c r="TKM1680" s="1740"/>
      <c r="TKN1680" s="1740"/>
      <c r="TKO1680" s="1740"/>
      <c r="TKP1680" s="1740"/>
      <c r="TKQ1680" s="1740"/>
      <c r="TKR1680" s="1740"/>
      <c r="TKS1680" s="1740"/>
      <c r="TKT1680" s="1740"/>
      <c r="TKU1680" s="1740"/>
      <c r="TKV1680" s="1740"/>
      <c r="TKW1680" s="1740"/>
      <c r="TKX1680" s="1740"/>
      <c r="TKY1680" s="1740"/>
      <c r="TKZ1680" s="1740"/>
      <c r="TLA1680" s="1740"/>
      <c r="TLB1680" s="1740"/>
      <c r="TLC1680" s="1740"/>
      <c r="TLD1680" s="1740"/>
      <c r="TLE1680" s="1740"/>
      <c r="TLF1680" s="1740"/>
      <c r="TLG1680" s="1740"/>
      <c r="TLH1680" s="1740"/>
      <c r="TLI1680" s="1740"/>
      <c r="TLJ1680" s="1740"/>
      <c r="TLK1680" s="1740"/>
      <c r="TLL1680" s="1740"/>
      <c r="TLM1680" s="1740"/>
      <c r="TLN1680" s="1740"/>
      <c r="TLO1680" s="1740"/>
      <c r="TLP1680" s="1740"/>
      <c r="TLQ1680" s="1740"/>
      <c r="TLR1680" s="1740"/>
      <c r="TLS1680" s="1740"/>
      <c r="TLT1680" s="1740"/>
      <c r="TLU1680" s="1740"/>
      <c r="TLV1680" s="1740"/>
      <c r="TLW1680" s="1740"/>
      <c r="TLX1680" s="1740"/>
      <c r="TLY1680" s="1740"/>
      <c r="TLZ1680" s="1740"/>
      <c r="TMA1680" s="1740"/>
      <c r="TMB1680" s="1740"/>
      <c r="TMC1680" s="1740"/>
      <c r="TMD1680" s="1740"/>
      <c r="TME1680" s="1740"/>
      <c r="TMF1680" s="1740"/>
      <c r="TMG1680" s="1740"/>
      <c r="TMH1680" s="1740"/>
      <c r="TMI1680" s="1740"/>
      <c r="TMJ1680" s="1740"/>
      <c r="TMK1680" s="1740"/>
      <c r="TML1680" s="1740"/>
      <c r="TMM1680" s="1740"/>
      <c r="TMN1680" s="1740"/>
      <c r="TMO1680" s="1740"/>
      <c r="TMP1680" s="1740"/>
      <c r="TMQ1680" s="1740"/>
      <c r="TMR1680" s="1740"/>
      <c r="TMS1680" s="1740"/>
      <c r="TMT1680" s="1740"/>
      <c r="TMU1680" s="1740"/>
      <c r="TMV1680" s="1740"/>
      <c r="TMW1680" s="1740"/>
      <c r="TMX1680" s="1740"/>
      <c r="TMY1680" s="1740"/>
      <c r="TMZ1680" s="1740"/>
      <c r="TNA1680" s="1740"/>
      <c r="TNB1680" s="1740"/>
      <c r="TNC1680" s="1740"/>
      <c r="TND1680" s="1740"/>
      <c r="TNE1680" s="1740"/>
      <c r="TNF1680" s="1740"/>
      <c r="TNG1680" s="1740"/>
      <c r="TNH1680" s="1740"/>
      <c r="TNI1680" s="1740"/>
      <c r="TNJ1680" s="1740"/>
      <c r="TNK1680" s="1740"/>
      <c r="TNL1680" s="1740"/>
      <c r="TNM1680" s="1740"/>
      <c r="TNN1680" s="1740"/>
      <c r="TNO1680" s="1740"/>
      <c r="TNP1680" s="1740"/>
      <c r="TNQ1680" s="1740"/>
      <c r="TNR1680" s="1740"/>
      <c r="TNS1680" s="1740"/>
      <c r="TNT1680" s="1740"/>
      <c r="TNU1680" s="1740"/>
      <c r="TNV1680" s="1740"/>
      <c r="TNW1680" s="1740"/>
      <c r="TNX1680" s="1740"/>
      <c r="TNY1680" s="1740"/>
      <c r="TNZ1680" s="1740"/>
      <c r="TOA1680" s="1740"/>
      <c r="TOB1680" s="1740"/>
      <c r="TOC1680" s="1740"/>
      <c r="TOD1680" s="1740"/>
      <c r="TOE1680" s="1740"/>
      <c r="TOF1680" s="1740"/>
      <c r="TOG1680" s="1740"/>
      <c r="TOH1680" s="1740"/>
      <c r="TOI1680" s="1740"/>
      <c r="TOJ1680" s="1740"/>
      <c r="TOK1680" s="1740"/>
      <c r="TOL1680" s="1740"/>
      <c r="TOM1680" s="1740"/>
      <c r="TON1680" s="1740"/>
      <c r="TOO1680" s="1740"/>
      <c r="TOP1680" s="1740"/>
      <c r="TOQ1680" s="1740"/>
      <c r="TOR1680" s="1740"/>
      <c r="TOS1680" s="1740"/>
      <c r="TOT1680" s="1740"/>
      <c r="TOU1680" s="1740"/>
      <c r="TOV1680" s="1740"/>
      <c r="TOW1680" s="1740"/>
      <c r="TOX1680" s="1740"/>
      <c r="TOY1680" s="1740"/>
      <c r="TOZ1680" s="1740"/>
      <c r="TPA1680" s="1740"/>
      <c r="TPB1680" s="1740"/>
      <c r="TPC1680" s="1740"/>
      <c r="TPD1680" s="1740"/>
      <c r="TPE1680" s="1740"/>
      <c r="TPF1680" s="1740"/>
      <c r="TPG1680" s="1740"/>
      <c r="TPH1680" s="1740"/>
      <c r="TPI1680" s="1740"/>
      <c r="TPJ1680" s="1740"/>
      <c r="TPK1680" s="1740"/>
      <c r="TPL1680" s="1740"/>
      <c r="TPM1680" s="1740"/>
      <c r="TPN1680" s="1740"/>
      <c r="TPO1680" s="1740"/>
      <c r="TPP1680" s="1740"/>
      <c r="TPQ1680" s="1740"/>
      <c r="TPR1680" s="1740"/>
      <c r="TPS1680" s="1740"/>
      <c r="TPT1680" s="1740"/>
      <c r="TPU1680" s="1740"/>
      <c r="TPV1680" s="1740"/>
      <c r="TPW1680" s="1740"/>
      <c r="TPX1680" s="1740"/>
      <c r="TPY1680" s="1740"/>
      <c r="TPZ1680" s="1740"/>
      <c r="TQA1680" s="1740"/>
      <c r="TQB1680" s="1740"/>
      <c r="TQC1680" s="1740"/>
      <c r="TQD1680" s="1740"/>
      <c r="TQE1680" s="1740"/>
      <c r="TQF1680" s="1740"/>
      <c r="TQG1680" s="1740"/>
      <c r="TQH1680" s="1740"/>
      <c r="TQI1680" s="1740"/>
      <c r="TQJ1680" s="1740"/>
      <c r="TQK1680" s="1740"/>
      <c r="TQL1680" s="1740"/>
      <c r="TQM1680" s="1740"/>
      <c r="TQN1680" s="1740"/>
      <c r="TQO1680" s="1740"/>
      <c r="TQP1680" s="1740"/>
      <c r="TQQ1680" s="1740"/>
      <c r="TQR1680" s="1740"/>
      <c r="TQS1680" s="1740"/>
      <c r="TQT1680" s="1740"/>
      <c r="TQU1680" s="1740"/>
      <c r="TQV1680" s="1740"/>
      <c r="TQW1680" s="1740"/>
      <c r="TQX1680" s="1740"/>
      <c r="TQY1680" s="1740"/>
      <c r="TQZ1680" s="1740"/>
      <c r="TRA1680" s="1740"/>
      <c r="TRB1680" s="1740"/>
      <c r="TRC1680" s="1740"/>
      <c r="TRD1680" s="1740"/>
      <c r="TRE1680" s="1740"/>
      <c r="TRF1680" s="1740"/>
      <c r="TRG1680" s="1740"/>
      <c r="TRH1680" s="1740"/>
      <c r="TRI1680" s="1740"/>
      <c r="TRJ1680" s="1740"/>
      <c r="TRK1680" s="1740"/>
      <c r="TRL1680" s="1740"/>
      <c r="TRM1680" s="1740"/>
      <c r="TRN1680" s="1740"/>
      <c r="TRO1680" s="1740"/>
      <c r="TRP1680" s="1740"/>
      <c r="TRQ1680" s="1740"/>
      <c r="TRR1680" s="1740"/>
      <c r="TRS1680" s="1740"/>
      <c r="TRT1680" s="1740"/>
      <c r="TRU1680" s="1740"/>
      <c r="TRV1680" s="1740"/>
      <c r="TRW1680" s="1740"/>
      <c r="TRX1680" s="1740"/>
      <c r="TRY1680" s="1740"/>
      <c r="TRZ1680" s="1740"/>
      <c r="TSA1680" s="1740"/>
      <c r="TSB1680" s="1740"/>
      <c r="TSC1680" s="1740"/>
      <c r="TSD1680" s="1740"/>
      <c r="TSE1680" s="1740"/>
      <c r="TSF1680" s="1740"/>
      <c r="TSG1680" s="1740"/>
      <c r="TSH1680" s="1740"/>
      <c r="TSI1680" s="1740"/>
      <c r="TSJ1680" s="1740"/>
      <c r="TSK1680" s="1740"/>
      <c r="TSL1680" s="1740"/>
      <c r="TSM1680" s="1740"/>
      <c r="TSN1680" s="1740"/>
      <c r="TSO1680" s="1740"/>
      <c r="TSP1680" s="1740"/>
      <c r="TSQ1680" s="1740"/>
      <c r="TSR1680" s="1740"/>
      <c r="TSS1680" s="1740"/>
      <c r="TST1680" s="1740"/>
      <c r="TSU1680" s="1740"/>
      <c r="TSV1680" s="1740"/>
      <c r="TSW1680" s="1740"/>
      <c r="TSX1680" s="1740"/>
      <c r="TSY1680" s="1740"/>
      <c r="TSZ1680" s="1740"/>
      <c r="TTA1680" s="1740"/>
      <c r="TTB1680" s="1740"/>
      <c r="TTC1680" s="1740"/>
      <c r="TTD1680" s="1740"/>
      <c r="TTE1680" s="1740"/>
      <c r="TTF1680" s="1740"/>
      <c r="TTG1680" s="1740"/>
      <c r="TTH1680" s="1740"/>
      <c r="TTI1680" s="1740"/>
      <c r="TTJ1680" s="1740"/>
      <c r="TTK1680" s="1740"/>
      <c r="TTL1680" s="1740"/>
      <c r="TTM1680" s="1740"/>
      <c r="TTN1680" s="1740"/>
      <c r="TTO1680" s="1740"/>
      <c r="TTP1680" s="1740"/>
      <c r="TTQ1680" s="1740"/>
      <c r="TTR1680" s="1740"/>
      <c r="TTS1680" s="1740"/>
      <c r="TTT1680" s="1740"/>
      <c r="TTU1680" s="1740"/>
      <c r="TTV1680" s="1740"/>
      <c r="TTW1680" s="1740"/>
      <c r="TTX1680" s="1740"/>
      <c r="TTY1680" s="1740"/>
      <c r="TTZ1680" s="1740"/>
      <c r="TUA1680" s="1740"/>
      <c r="TUB1680" s="1740"/>
      <c r="TUC1680" s="1740"/>
      <c r="TUD1680" s="1740"/>
      <c r="TUE1680" s="1740"/>
      <c r="TUF1680" s="1740"/>
      <c r="TUG1680" s="1740"/>
      <c r="TUH1680" s="1740"/>
      <c r="TUI1680" s="1740"/>
      <c r="TUJ1680" s="1740"/>
      <c r="TUK1680" s="1740"/>
      <c r="TUL1680" s="1740"/>
      <c r="TUM1680" s="1740"/>
      <c r="TUN1680" s="1740"/>
      <c r="TUO1680" s="1740"/>
      <c r="TUP1680" s="1740"/>
      <c r="TUQ1680" s="1740"/>
      <c r="TUR1680" s="1740"/>
      <c r="TUS1680" s="1740"/>
      <c r="TUT1680" s="1740"/>
      <c r="TUU1680" s="1740"/>
      <c r="TUV1680" s="1740"/>
      <c r="TUW1680" s="1740"/>
      <c r="TUX1680" s="1740"/>
      <c r="TUY1680" s="1740"/>
      <c r="TUZ1680" s="1740"/>
      <c r="TVA1680" s="1740"/>
      <c r="TVB1680" s="1740"/>
      <c r="TVC1680" s="1740"/>
      <c r="TVD1680" s="1740"/>
      <c r="TVE1680" s="1740"/>
      <c r="TVF1680" s="1740"/>
      <c r="TVG1680" s="1740"/>
      <c r="TVH1680" s="1740"/>
      <c r="TVI1680" s="1740"/>
      <c r="TVJ1680" s="1740"/>
      <c r="TVK1680" s="1740"/>
      <c r="TVL1680" s="1740"/>
      <c r="TVM1680" s="1740"/>
      <c r="TVN1680" s="1740"/>
      <c r="TVO1680" s="1740"/>
      <c r="TVP1680" s="1740"/>
      <c r="TVQ1680" s="1740"/>
      <c r="TVR1680" s="1740"/>
      <c r="TVS1680" s="1740"/>
      <c r="TVT1680" s="1740"/>
      <c r="TVU1680" s="1740"/>
      <c r="TVV1680" s="1740"/>
      <c r="TVW1680" s="1740"/>
      <c r="TVX1680" s="1740"/>
      <c r="TVY1680" s="1740"/>
      <c r="TVZ1680" s="1740"/>
      <c r="TWA1680" s="1740"/>
      <c r="TWB1680" s="1740"/>
      <c r="TWC1680" s="1740"/>
      <c r="TWD1680" s="1740"/>
      <c r="TWE1680" s="1740"/>
      <c r="TWF1680" s="1740"/>
      <c r="TWG1680" s="1740"/>
      <c r="TWH1680" s="1740"/>
      <c r="TWI1680" s="1740"/>
      <c r="TWJ1680" s="1740"/>
      <c r="TWK1680" s="1740"/>
      <c r="TWL1680" s="1740"/>
      <c r="TWM1680" s="1740"/>
      <c r="TWN1680" s="1740"/>
      <c r="TWO1680" s="1740"/>
      <c r="TWP1680" s="1740"/>
      <c r="TWQ1680" s="1740"/>
      <c r="TWR1680" s="1740"/>
      <c r="TWS1680" s="1740"/>
      <c r="TWT1680" s="1740"/>
      <c r="TWU1680" s="1740"/>
      <c r="TWV1680" s="1740"/>
      <c r="TWW1680" s="1740"/>
      <c r="TWX1680" s="1740"/>
      <c r="TWY1680" s="1740"/>
      <c r="TWZ1680" s="1740"/>
      <c r="TXA1680" s="1740"/>
      <c r="TXB1680" s="1740"/>
      <c r="TXC1680" s="1740"/>
      <c r="TXD1680" s="1740"/>
      <c r="TXE1680" s="1740"/>
      <c r="TXF1680" s="1740"/>
      <c r="TXG1680" s="1740"/>
      <c r="TXH1680" s="1740"/>
      <c r="TXI1680" s="1740"/>
      <c r="TXJ1680" s="1740"/>
      <c r="TXK1680" s="1740"/>
      <c r="TXL1680" s="1740"/>
      <c r="TXM1680" s="1740"/>
      <c r="TXN1680" s="1740"/>
      <c r="TXO1680" s="1740"/>
      <c r="TXP1680" s="1740"/>
      <c r="TXQ1680" s="1740"/>
      <c r="TXR1680" s="1740"/>
      <c r="TXS1680" s="1740"/>
      <c r="TXT1680" s="1740"/>
      <c r="TXU1680" s="1740"/>
      <c r="TXV1680" s="1740"/>
      <c r="TXW1680" s="1740"/>
      <c r="TXX1680" s="1740"/>
      <c r="TXY1680" s="1740"/>
      <c r="TXZ1680" s="1740"/>
      <c r="TYA1680" s="1740"/>
      <c r="TYB1680" s="1740"/>
      <c r="TYC1680" s="1740"/>
      <c r="TYD1680" s="1740"/>
      <c r="TYE1680" s="1740"/>
      <c r="TYF1680" s="1740"/>
      <c r="TYG1680" s="1740"/>
      <c r="TYH1680" s="1740"/>
      <c r="TYI1680" s="1740"/>
      <c r="TYJ1680" s="1740"/>
      <c r="TYK1680" s="1740"/>
      <c r="TYL1680" s="1740"/>
      <c r="TYM1680" s="1740"/>
      <c r="TYN1680" s="1740"/>
      <c r="TYO1680" s="1740"/>
      <c r="TYP1680" s="1740"/>
      <c r="TYQ1680" s="1740"/>
      <c r="TYR1680" s="1740"/>
      <c r="TYS1680" s="1740"/>
      <c r="TYT1680" s="1740"/>
      <c r="TYU1680" s="1740"/>
      <c r="TYV1680" s="1740"/>
      <c r="TYW1680" s="1740"/>
      <c r="TYX1680" s="1740"/>
      <c r="TYY1680" s="1740"/>
      <c r="TYZ1680" s="1740"/>
      <c r="TZA1680" s="1740"/>
      <c r="TZB1680" s="1740"/>
      <c r="TZC1680" s="1740"/>
      <c r="TZD1680" s="1740"/>
      <c r="TZE1680" s="1740"/>
      <c r="TZF1680" s="1740"/>
      <c r="TZG1680" s="1740"/>
      <c r="TZH1680" s="1740"/>
      <c r="TZI1680" s="1740"/>
      <c r="TZJ1680" s="1740"/>
      <c r="TZK1680" s="1740"/>
      <c r="TZL1680" s="1740"/>
      <c r="TZM1680" s="1740"/>
      <c r="TZN1680" s="1740"/>
      <c r="TZO1680" s="1740"/>
      <c r="TZP1680" s="1740"/>
      <c r="TZQ1680" s="1740"/>
      <c r="TZR1680" s="1740"/>
      <c r="TZS1680" s="1740"/>
      <c r="TZT1680" s="1740"/>
      <c r="TZU1680" s="1740"/>
      <c r="TZV1680" s="1740"/>
      <c r="TZW1680" s="1740"/>
      <c r="TZX1680" s="1740"/>
      <c r="TZY1680" s="1740"/>
      <c r="TZZ1680" s="1740"/>
      <c r="UAA1680" s="1740"/>
      <c r="UAB1680" s="1740"/>
      <c r="UAC1680" s="1740"/>
      <c r="UAD1680" s="1740"/>
      <c r="UAE1680" s="1740"/>
      <c r="UAF1680" s="1740"/>
      <c r="UAG1680" s="1740"/>
      <c r="UAH1680" s="1740"/>
      <c r="UAI1680" s="1740"/>
      <c r="UAJ1680" s="1740"/>
      <c r="UAK1680" s="1740"/>
      <c r="UAL1680" s="1740"/>
      <c r="UAM1680" s="1740"/>
      <c r="UAN1680" s="1740"/>
      <c r="UAO1680" s="1740"/>
      <c r="UAP1680" s="1740"/>
      <c r="UAQ1680" s="1740"/>
      <c r="UAR1680" s="1740"/>
      <c r="UAS1680" s="1740"/>
      <c r="UAT1680" s="1740"/>
      <c r="UAU1680" s="1740"/>
      <c r="UAV1680" s="1740"/>
      <c r="UAW1680" s="1740"/>
      <c r="UAX1680" s="1740"/>
      <c r="UAY1680" s="1740"/>
      <c r="UAZ1680" s="1740"/>
      <c r="UBA1680" s="1740"/>
      <c r="UBB1680" s="1740"/>
      <c r="UBC1680" s="1740"/>
      <c r="UBD1680" s="1740"/>
      <c r="UBE1680" s="1740"/>
      <c r="UBF1680" s="1740"/>
      <c r="UBG1680" s="1740"/>
      <c r="UBH1680" s="1740"/>
      <c r="UBI1680" s="1740"/>
      <c r="UBJ1680" s="1740"/>
      <c r="UBK1680" s="1740"/>
      <c r="UBL1680" s="1740"/>
      <c r="UBM1680" s="1740"/>
      <c r="UBN1680" s="1740"/>
      <c r="UBO1680" s="1740"/>
      <c r="UBP1680" s="1740"/>
      <c r="UBQ1680" s="1740"/>
      <c r="UBR1680" s="1740"/>
      <c r="UBS1680" s="1740"/>
      <c r="UBT1680" s="1740"/>
      <c r="UBU1680" s="1740"/>
      <c r="UBV1680" s="1740"/>
      <c r="UBW1680" s="1740"/>
      <c r="UBX1680" s="1740"/>
      <c r="UBY1680" s="1740"/>
      <c r="UBZ1680" s="1740"/>
      <c r="UCA1680" s="1740"/>
      <c r="UCB1680" s="1740"/>
      <c r="UCC1680" s="1740"/>
      <c r="UCD1680" s="1740"/>
      <c r="UCE1680" s="1740"/>
      <c r="UCF1680" s="1740"/>
      <c r="UCG1680" s="1740"/>
      <c r="UCH1680" s="1740"/>
      <c r="UCI1680" s="1740"/>
      <c r="UCJ1680" s="1740"/>
      <c r="UCK1680" s="1740"/>
      <c r="UCL1680" s="1740"/>
      <c r="UCM1680" s="1740"/>
      <c r="UCN1680" s="1740"/>
      <c r="UCO1680" s="1740"/>
      <c r="UCP1680" s="1740"/>
      <c r="UCQ1680" s="1740"/>
      <c r="UCR1680" s="1740"/>
      <c r="UCS1680" s="1740"/>
      <c r="UCT1680" s="1740"/>
      <c r="UCU1680" s="1740"/>
      <c r="UCV1680" s="1740"/>
      <c r="UCW1680" s="1740"/>
      <c r="UCX1680" s="1740"/>
      <c r="UCY1680" s="1740"/>
      <c r="UCZ1680" s="1740"/>
      <c r="UDA1680" s="1740"/>
      <c r="UDB1680" s="1740"/>
      <c r="UDC1680" s="1740"/>
      <c r="UDD1680" s="1740"/>
      <c r="UDE1680" s="1740"/>
      <c r="UDF1680" s="1740"/>
      <c r="UDG1680" s="1740"/>
      <c r="UDH1680" s="1740"/>
      <c r="UDI1680" s="1740"/>
      <c r="UDJ1680" s="1740"/>
      <c r="UDK1680" s="1740"/>
      <c r="UDL1680" s="1740"/>
      <c r="UDM1680" s="1740"/>
      <c r="UDN1680" s="1740"/>
      <c r="UDO1680" s="1740"/>
      <c r="UDP1680" s="1740"/>
      <c r="UDQ1680" s="1740"/>
      <c r="UDR1680" s="1740"/>
      <c r="UDS1680" s="1740"/>
      <c r="UDT1680" s="1740"/>
      <c r="UDU1680" s="1740"/>
      <c r="UDV1680" s="1740"/>
      <c r="UDW1680" s="1740"/>
      <c r="UDX1680" s="1740"/>
      <c r="UDY1680" s="1740"/>
      <c r="UDZ1680" s="1740"/>
      <c r="UEA1680" s="1740"/>
      <c r="UEB1680" s="1740"/>
      <c r="UEC1680" s="1740"/>
      <c r="UED1680" s="1740"/>
      <c r="UEE1680" s="1740"/>
      <c r="UEF1680" s="1740"/>
      <c r="UEG1680" s="1740"/>
      <c r="UEH1680" s="1740"/>
      <c r="UEI1680" s="1740"/>
      <c r="UEJ1680" s="1740"/>
      <c r="UEK1680" s="1740"/>
      <c r="UEL1680" s="1740"/>
      <c r="UEM1680" s="1740"/>
      <c r="UEN1680" s="1740"/>
      <c r="UEO1680" s="1740"/>
      <c r="UEP1680" s="1740"/>
      <c r="UEQ1680" s="1740"/>
      <c r="UER1680" s="1740"/>
      <c r="UES1680" s="1740"/>
      <c r="UET1680" s="1740"/>
      <c r="UEU1680" s="1740"/>
      <c r="UEV1680" s="1740"/>
      <c r="UEW1680" s="1740"/>
      <c r="UEX1680" s="1740"/>
      <c r="UEY1680" s="1740"/>
      <c r="UEZ1680" s="1740"/>
      <c r="UFA1680" s="1740"/>
      <c r="UFB1680" s="1740"/>
      <c r="UFC1680" s="1740"/>
      <c r="UFD1680" s="1740"/>
      <c r="UFE1680" s="1740"/>
      <c r="UFF1680" s="1740"/>
      <c r="UFG1680" s="1740"/>
      <c r="UFH1680" s="1740"/>
      <c r="UFI1680" s="1740"/>
      <c r="UFJ1680" s="1740"/>
      <c r="UFK1680" s="1740"/>
      <c r="UFL1680" s="1740"/>
      <c r="UFM1680" s="1740"/>
      <c r="UFN1680" s="1740"/>
      <c r="UFO1680" s="1740"/>
      <c r="UFP1680" s="1740"/>
      <c r="UFQ1680" s="1740"/>
      <c r="UFR1680" s="1740"/>
      <c r="UFS1680" s="1740"/>
      <c r="UFT1680" s="1740"/>
      <c r="UFU1680" s="1740"/>
      <c r="UFV1680" s="1740"/>
      <c r="UFW1680" s="1740"/>
      <c r="UFX1680" s="1740"/>
      <c r="UFY1680" s="1740"/>
      <c r="UFZ1680" s="1740"/>
      <c r="UGA1680" s="1740"/>
      <c r="UGB1680" s="1740"/>
      <c r="UGC1680" s="1740"/>
      <c r="UGD1680" s="1740"/>
      <c r="UGE1680" s="1740"/>
      <c r="UGF1680" s="1740"/>
      <c r="UGG1680" s="1740"/>
      <c r="UGH1680" s="1740"/>
      <c r="UGI1680" s="1740"/>
      <c r="UGJ1680" s="1740"/>
      <c r="UGK1680" s="1740"/>
      <c r="UGL1680" s="1740"/>
      <c r="UGM1680" s="1740"/>
      <c r="UGN1680" s="1740"/>
      <c r="UGO1680" s="1740"/>
      <c r="UGP1680" s="1740"/>
      <c r="UGQ1680" s="1740"/>
      <c r="UGR1680" s="1740"/>
      <c r="UGS1680" s="1740"/>
      <c r="UGT1680" s="1740"/>
      <c r="UGU1680" s="1740"/>
      <c r="UGV1680" s="1740"/>
      <c r="UGW1680" s="1740"/>
      <c r="UGX1680" s="1740"/>
      <c r="UGY1680" s="1740"/>
      <c r="UGZ1680" s="1740"/>
      <c r="UHA1680" s="1740"/>
      <c r="UHB1680" s="1740"/>
      <c r="UHC1680" s="1740"/>
      <c r="UHD1680" s="1740"/>
      <c r="UHE1680" s="1740"/>
      <c r="UHF1680" s="1740"/>
      <c r="UHG1680" s="1740"/>
      <c r="UHH1680" s="1740"/>
      <c r="UHI1680" s="1740"/>
      <c r="UHJ1680" s="1740"/>
      <c r="UHK1680" s="1740"/>
      <c r="UHL1680" s="1740"/>
      <c r="UHM1680" s="1740"/>
      <c r="UHN1680" s="1740"/>
      <c r="UHO1680" s="1740"/>
      <c r="UHP1680" s="1740"/>
      <c r="UHQ1680" s="1740"/>
      <c r="UHR1680" s="1740"/>
      <c r="UHS1680" s="1740"/>
      <c r="UHT1680" s="1740"/>
      <c r="UHU1680" s="1740"/>
      <c r="UHV1680" s="1740"/>
      <c r="UHW1680" s="1740"/>
      <c r="UHX1680" s="1740"/>
      <c r="UHY1680" s="1740"/>
      <c r="UHZ1680" s="1740"/>
      <c r="UIA1680" s="1740"/>
      <c r="UIB1680" s="1740"/>
      <c r="UIC1680" s="1740"/>
      <c r="UID1680" s="1740"/>
      <c r="UIE1680" s="1740"/>
      <c r="UIF1680" s="1740"/>
      <c r="UIG1680" s="1740"/>
      <c r="UIH1680" s="1740"/>
      <c r="UII1680" s="1740"/>
      <c r="UIJ1680" s="1740"/>
      <c r="UIK1680" s="1740"/>
      <c r="UIL1680" s="1740"/>
      <c r="UIM1680" s="1740"/>
      <c r="UIN1680" s="1740"/>
      <c r="UIO1680" s="1740"/>
      <c r="UIP1680" s="1740"/>
      <c r="UIQ1680" s="1740"/>
      <c r="UIR1680" s="1740"/>
      <c r="UIS1680" s="1740"/>
      <c r="UIT1680" s="1740"/>
      <c r="UIU1680" s="1740"/>
      <c r="UIV1680" s="1740"/>
      <c r="UIW1680" s="1740"/>
      <c r="UIX1680" s="1740"/>
      <c r="UIY1680" s="1740"/>
      <c r="UIZ1680" s="1740"/>
      <c r="UJA1680" s="1740"/>
      <c r="UJB1680" s="1740"/>
      <c r="UJC1680" s="1740"/>
      <c r="UJD1680" s="1740"/>
      <c r="UJE1680" s="1740"/>
      <c r="UJF1680" s="1740"/>
      <c r="UJG1680" s="1740"/>
      <c r="UJH1680" s="1740"/>
      <c r="UJI1680" s="1740"/>
      <c r="UJJ1680" s="1740"/>
      <c r="UJK1680" s="1740"/>
      <c r="UJL1680" s="1740"/>
      <c r="UJM1680" s="1740"/>
      <c r="UJN1680" s="1740"/>
      <c r="UJO1680" s="1740"/>
      <c r="UJP1680" s="1740"/>
      <c r="UJQ1680" s="1740"/>
      <c r="UJR1680" s="1740"/>
      <c r="UJS1680" s="1740"/>
      <c r="UJT1680" s="1740"/>
      <c r="UJU1680" s="1740"/>
      <c r="UJV1680" s="1740"/>
      <c r="UJW1680" s="1740"/>
      <c r="UJX1680" s="1740"/>
      <c r="UJY1680" s="1740"/>
      <c r="UJZ1680" s="1740"/>
      <c r="UKA1680" s="1740"/>
      <c r="UKB1680" s="1740"/>
      <c r="UKC1680" s="1740"/>
      <c r="UKD1680" s="1740"/>
      <c r="UKE1680" s="1740"/>
      <c r="UKF1680" s="1740"/>
      <c r="UKG1680" s="1740"/>
      <c r="UKH1680" s="1740"/>
      <c r="UKI1680" s="1740"/>
      <c r="UKJ1680" s="1740"/>
      <c r="UKK1680" s="1740"/>
      <c r="UKL1680" s="1740"/>
      <c r="UKM1680" s="1740"/>
      <c r="UKN1680" s="1740"/>
      <c r="UKO1680" s="1740"/>
      <c r="UKP1680" s="1740"/>
      <c r="UKQ1680" s="1740"/>
      <c r="UKR1680" s="1740"/>
      <c r="UKS1680" s="1740"/>
      <c r="UKT1680" s="1740"/>
      <c r="UKU1680" s="1740"/>
      <c r="UKV1680" s="1740"/>
      <c r="UKW1680" s="1740"/>
      <c r="UKX1680" s="1740"/>
      <c r="UKY1680" s="1740"/>
      <c r="UKZ1680" s="1740"/>
      <c r="ULA1680" s="1740"/>
      <c r="ULB1680" s="1740"/>
      <c r="ULC1680" s="1740"/>
      <c r="ULD1680" s="1740"/>
      <c r="ULE1680" s="1740"/>
      <c r="ULF1680" s="1740"/>
      <c r="ULG1680" s="1740"/>
      <c r="ULH1680" s="1740"/>
      <c r="ULI1680" s="1740"/>
      <c r="ULJ1680" s="1740"/>
      <c r="ULK1680" s="1740"/>
      <c r="ULL1680" s="1740"/>
      <c r="ULM1680" s="1740"/>
      <c r="ULN1680" s="1740"/>
      <c r="ULO1680" s="1740"/>
      <c r="ULP1680" s="1740"/>
      <c r="ULQ1680" s="1740"/>
      <c r="ULR1680" s="1740"/>
      <c r="ULS1680" s="1740"/>
      <c r="ULT1680" s="1740"/>
      <c r="ULU1680" s="1740"/>
      <c r="ULV1680" s="1740"/>
      <c r="ULW1680" s="1740"/>
      <c r="ULX1680" s="1740"/>
      <c r="ULY1680" s="1740"/>
      <c r="ULZ1680" s="1740"/>
      <c r="UMA1680" s="1740"/>
      <c r="UMB1680" s="1740"/>
      <c r="UMC1680" s="1740"/>
      <c r="UMD1680" s="1740"/>
      <c r="UME1680" s="1740"/>
      <c r="UMF1680" s="1740"/>
      <c r="UMG1680" s="1740"/>
      <c r="UMH1680" s="1740"/>
      <c r="UMI1680" s="1740"/>
      <c r="UMJ1680" s="1740"/>
      <c r="UMK1680" s="1740"/>
      <c r="UML1680" s="1740"/>
      <c r="UMM1680" s="1740"/>
      <c r="UMN1680" s="1740"/>
      <c r="UMO1680" s="1740"/>
      <c r="UMP1680" s="1740"/>
      <c r="UMQ1680" s="1740"/>
      <c r="UMR1680" s="1740"/>
      <c r="UMS1680" s="1740"/>
      <c r="UMT1680" s="1740"/>
      <c r="UMU1680" s="1740"/>
      <c r="UMV1680" s="1740"/>
      <c r="UMW1680" s="1740"/>
      <c r="UMX1680" s="1740"/>
      <c r="UMY1680" s="1740"/>
      <c r="UMZ1680" s="1740"/>
      <c r="UNA1680" s="1740"/>
      <c r="UNB1680" s="1740"/>
      <c r="UNC1680" s="1740"/>
      <c r="UND1680" s="1740"/>
      <c r="UNE1680" s="1740"/>
      <c r="UNF1680" s="1740"/>
      <c r="UNG1680" s="1740"/>
      <c r="UNH1680" s="1740"/>
      <c r="UNI1680" s="1740"/>
      <c r="UNJ1680" s="1740"/>
      <c r="UNK1680" s="1740"/>
      <c r="UNL1680" s="1740"/>
      <c r="UNM1680" s="1740"/>
      <c r="UNN1680" s="1740"/>
      <c r="UNO1680" s="1740"/>
      <c r="UNP1680" s="1740"/>
      <c r="UNQ1680" s="1740"/>
      <c r="UNR1680" s="1740"/>
      <c r="UNS1680" s="1740"/>
      <c r="UNT1680" s="1740"/>
      <c r="UNU1680" s="1740"/>
      <c r="UNV1680" s="1740"/>
      <c r="UNW1680" s="1740"/>
      <c r="UNX1680" s="1740"/>
      <c r="UNY1680" s="1740"/>
      <c r="UNZ1680" s="1740"/>
      <c r="UOA1680" s="1740"/>
      <c r="UOB1680" s="1740"/>
      <c r="UOC1680" s="1740"/>
      <c r="UOD1680" s="1740"/>
      <c r="UOE1680" s="1740"/>
      <c r="UOF1680" s="1740"/>
      <c r="UOG1680" s="1740"/>
      <c r="UOH1680" s="1740"/>
      <c r="UOI1680" s="1740"/>
      <c r="UOJ1680" s="1740"/>
      <c r="UOK1680" s="1740"/>
      <c r="UOL1680" s="1740"/>
      <c r="UOM1680" s="1740"/>
      <c r="UON1680" s="1740"/>
      <c r="UOO1680" s="1740"/>
      <c r="UOP1680" s="1740"/>
      <c r="UOQ1680" s="1740"/>
      <c r="UOR1680" s="1740"/>
      <c r="UOS1680" s="1740"/>
      <c r="UOT1680" s="1740"/>
      <c r="UOU1680" s="1740"/>
      <c r="UOV1680" s="1740"/>
      <c r="UOW1680" s="1740"/>
      <c r="UOX1680" s="1740"/>
      <c r="UOY1680" s="1740"/>
      <c r="UOZ1680" s="1740"/>
      <c r="UPA1680" s="1740"/>
      <c r="UPB1680" s="1740"/>
      <c r="UPC1680" s="1740"/>
      <c r="UPD1680" s="1740"/>
      <c r="UPE1680" s="1740"/>
      <c r="UPF1680" s="1740"/>
      <c r="UPG1680" s="1740"/>
      <c r="UPH1680" s="1740"/>
      <c r="UPI1680" s="1740"/>
      <c r="UPJ1680" s="1740"/>
      <c r="UPK1680" s="1740"/>
      <c r="UPL1680" s="1740"/>
      <c r="UPM1680" s="1740"/>
      <c r="UPN1680" s="1740"/>
      <c r="UPO1680" s="1740"/>
      <c r="UPP1680" s="1740"/>
      <c r="UPQ1680" s="1740"/>
      <c r="UPR1680" s="1740"/>
      <c r="UPS1680" s="1740"/>
      <c r="UPT1680" s="1740"/>
      <c r="UPU1680" s="1740"/>
      <c r="UPV1680" s="1740"/>
      <c r="UPW1680" s="1740"/>
      <c r="UPX1680" s="1740"/>
      <c r="UPY1680" s="1740"/>
      <c r="UPZ1680" s="1740"/>
      <c r="UQA1680" s="1740"/>
      <c r="UQB1680" s="1740"/>
      <c r="UQC1680" s="1740"/>
      <c r="UQD1680" s="1740"/>
      <c r="UQE1680" s="1740"/>
      <c r="UQF1680" s="1740"/>
      <c r="UQG1680" s="1740"/>
      <c r="UQH1680" s="1740"/>
      <c r="UQI1680" s="1740"/>
      <c r="UQJ1680" s="1740"/>
      <c r="UQK1680" s="1740"/>
      <c r="UQL1680" s="1740"/>
      <c r="UQM1680" s="1740"/>
      <c r="UQN1680" s="1740"/>
      <c r="UQO1680" s="1740"/>
      <c r="UQP1680" s="1740"/>
      <c r="UQQ1680" s="1740"/>
      <c r="UQR1680" s="1740"/>
      <c r="UQS1680" s="1740"/>
      <c r="UQT1680" s="1740"/>
      <c r="UQU1680" s="1740"/>
      <c r="UQV1680" s="1740"/>
      <c r="UQW1680" s="1740"/>
      <c r="UQX1680" s="1740"/>
      <c r="UQY1680" s="1740"/>
      <c r="UQZ1680" s="1740"/>
      <c r="URA1680" s="1740"/>
      <c r="URB1680" s="1740"/>
      <c r="URC1680" s="1740"/>
      <c r="URD1680" s="1740"/>
      <c r="URE1680" s="1740"/>
      <c r="URF1680" s="1740"/>
      <c r="URG1680" s="1740"/>
      <c r="URH1680" s="1740"/>
      <c r="URI1680" s="1740"/>
      <c r="URJ1680" s="1740"/>
      <c r="URK1680" s="1740"/>
      <c r="URL1680" s="1740"/>
      <c r="URM1680" s="1740"/>
      <c r="URN1680" s="1740"/>
      <c r="URO1680" s="1740"/>
      <c r="URP1680" s="1740"/>
      <c r="URQ1680" s="1740"/>
      <c r="URR1680" s="1740"/>
      <c r="URS1680" s="1740"/>
      <c r="URT1680" s="1740"/>
      <c r="URU1680" s="1740"/>
      <c r="URV1680" s="1740"/>
      <c r="URW1680" s="1740"/>
      <c r="URX1680" s="1740"/>
      <c r="URY1680" s="1740"/>
      <c r="URZ1680" s="1740"/>
      <c r="USA1680" s="1740"/>
      <c r="USB1680" s="1740"/>
      <c r="USC1680" s="1740"/>
      <c r="USD1680" s="1740"/>
      <c r="USE1680" s="1740"/>
      <c r="USF1680" s="1740"/>
      <c r="USG1680" s="1740"/>
      <c r="USH1680" s="1740"/>
      <c r="USI1680" s="1740"/>
      <c r="USJ1680" s="1740"/>
      <c r="USK1680" s="1740"/>
      <c r="USL1680" s="1740"/>
      <c r="USM1680" s="1740"/>
      <c r="USN1680" s="1740"/>
      <c r="USO1680" s="1740"/>
      <c r="USP1680" s="1740"/>
      <c r="USQ1680" s="1740"/>
      <c r="USR1680" s="1740"/>
      <c r="USS1680" s="1740"/>
      <c r="UST1680" s="1740"/>
      <c r="USU1680" s="1740"/>
      <c r="USV1680" s="1740"/>
      <c r="USW1680" s="1740"/>
      <c r="USX1680" s="1740"/>
      <c r="USY1680" s="1740"/>
      <c r="USZ1680" s="1740"/>
      <c r="UTA1680" s="1740"/>
      <c r="UTB1680" s="1740"/>
      <c r="UTC1680" s="1740"/>
      <c r="UTD1680" s="1740"/>
      <c r="UTE1680" s="1740"/>
      <c r="UTF1680" s="1740"/>
      <c r="UTG1680" s="1740"/>
      <c r="UTH1680" s="1740"/>
      <c r="UTI1680" s="1740"/>
      <c r="UTJ1680" s="1740"/>
      <c r="UTK1680" s="1740"/>
      <c r="UTL1680" s="1740"/>
      <c r="UTM1680" s="1740"/>
      <c r="UTN1680" s="1740"/>
      <c r="UTO1680" s="1740"/>
      <c r="UTP1680" s="1740"/>
      <c r="UTQ1680" s="1740"/>
      <c r="UTR1680" s="1740"/>
      <c r="UTS1680" s="1740"/>
      <c r="UTT1680" s="1740"/>
      <c r="UTU1680" s="1740"/>
      <c r="UTV1680" s="1740"/>
      <c r="UTW1680" s="1740"/>
      <c r="UTX1680" s="1740"/>
      <c r="UTY1680" s="1740"/>
      <c r="UTZ1680" s="1740"/>
      <c r="UUA1680" s="1740"/>
      <c r="UUB1680" s="1740"/>
      <c r="UUC1680" s="1740"/>
      <c r="UUD1680" s="1740"/>
      <c r="UUE1680" s="1740"/>
      <c r="UUF1680" s="1740"/>
      <c r="UUG1680" s="1740"/>
      <c r="UUH1680" s="1740"/>
      <c r="UUI1680" s="1740"/>
      <c r="UUJ1680" s="1740"/>
      <c r="UUK1680" s="1740"/>
      <c r="UUL1680" s="1740"/>
      <c r="UUM1680" s="1740"/>
      <c r="UUN1680" s="1740"/>
      <c r="UUO1680" s="1740"/>
      <c r="UUP1680" s="1740"/>
      <c r="UUQ1680" s="1740"/>
      <c r="UUR1680" s="1740"/>
      <c r="UUS1680" s="1740"/>
      <c r="UUT1680" s="1740"/>
      <c r="UUU1680" s="1740"/>
      <c r="UUV1680" s="1740"/>
      <c r="UUW1680" s="1740"/>
      <c r="UUX1680" s="1740"/>
      <c r="UUY1680" s="1740"/>
      <c r="UUZ1680" s="1740"/>
      <c r="UVA1680" s="1740"/>
      <c r="UVB1680" s="1740"/>
      <c r="UVC1680" s="1740"/>
      <c r="UVD1680" s="1740"/>
      <c r="UVE1680" s="1740"/>
      <c r="UVF1680" s="1740"/>
      <c r="UVG1680" s="1740"/>
      <c r="UVH1680" s="1740"/>
      <c r="UVI1680" s="1740"/>
      <c r="UVJ1680" s="1740"/>
      <c r="UVK1680" s="1740"/>
      <c r="UVL1680" s="1740"/>
      <c r="UVM1680" s="1740"/>
      <c r="UVN1680" s="1740"/>
      <c r="UVO1680" s="1740"/>
      <c r="UVP1680" s="1740"/>
      <c r="UVQ1680" s="1740"/>
      <c r="UVR1680" s="1740"/>
      <c r="UVS1680" s="1740"/>
      <c r="UVT1680" s="1740"/>
      <c r="UVU1680" s="1740"/>
      <c r="UVV1680" s="1740"/>
      <c r="UVW1680" s="1740"/>
      <c r="UVX1680" s="1740"/>
      <c r="UVY1680" s="1740"/>
      <c r="UVZ1680" s="1740"/>
      <c r="UWA1680" s="1740"/>
      <c r="UWB1680" s="1740"/>
      <c r="UWC1680" s="1740"/>
      <c r="UWD1680" s="1740"/>
      <c r="UWE1680" s="1740"/>
      <c r="UWF1680" s="1740"/>
      <c r="UWG1680" s="1740"/>
      <c r="UWH1680" s="1740"/>
      <c r="UWI1680" s="1740"/>
      <c r="UWJ1680" s="1740"/>
      <c r="UWK1680" s="1740"/>
      <c r="UWL1680" s="1740"/>
      <c r="UWM1680" s="1740"/>
      <c r="UWN1680" s="1740"/>
      <c r="UWO1680" s="1740"/>
      <c r="UWP1680" s="1740"/>
      <c r="UWQ1680" s="1740"/>
      <c r="UWR1680" s="1740"/>
      <c r="UWS1680" s="1740"/>
      <c r="UWT1680" s="1740"/>
      <c r="UWU1680" s="1740"/>
      <c r="UWV1680" s="1740"/>
      <c r="UWW1680" s="1740"/>
      <c r="UWX1680" s="1740"/>
      <c r="UWY1680" s="1740"/>
      <c r="UWZ1680" s="1740"/>
      <c r="UXA1680" s="1740"/>
      <c r="UXB1680" s="1740"/>
      <c r="UXC1680" s="1740"/>
      <c r="UXD1680" s="1740"/>
      <c r="UXE1680" s="1740"/>
      <c r="UXF1680" s="1740"/>
      <c r="UXG1680" s="1740"/>
      <c r="UXH1680" s="1740"/>
      <c r="UXI1680" s="1740"/>
      <c r="UXJ1680" s="1740"/>
      <c r="UXK1680" s="1740"/>
      <c r="UXL1680" s="1740"/>
      <c r="UXM1680" s="1740"/>
      <c r="UXN1680" s="1740"/>
      <c r="UXO1680" s="1740"/>
      <c r="UXP1680" s="1740"/>
      <c r="UXQ1680" s="1740"/>
      <c r="UXR1680" s="1740"/>
      <c r="UXS1680" s="1740"/>
      <c r="UXT1680" s="1740"/>
      <c r="UXU1680" s="1740"/>
      <c r="UXV1680" s="1740"/>
      <c r="UXW1680" s="1740"/>
      <c r="UXX1680" s="1740"/>
      <c r="UXY1680" s="1740"/>
      <c r="UXZ1680" s="1740"/>
      <c r="UYA1680" s="1740"/>
      <c r="UYB1680" s="1740"/>
      <c r="UYC1680" s="1740"/>
      <c r="UYD1680" s="1740"/>
      <c r="UYE1680" s="1740"/>
      <c r="UYF1680" s="1740"/>
      <c r="UYG1680" s="1740"/>
      <c r="UYH1680" s="1740"/>
      <c r="UYI1680" s="1740"/>
      <c r="UYJ1680" s="1740"/>
      <c r="UYK1680" s="1740"/>
      <c r="UYL1680" s="1740"/>
      <c r="UYM1680" s="1740"/>
      <c r="UYN1680" s="1740"/>
      <c r="UYO1680" s="1740"/>
      <c r="UYP1680" s="1740"/>
      <c r="UYQ1680" s="1740"/>
      <c r="UYR1680" s="1740"/>
      <c r="UYS1680" s="1740"/>
      <c r="UYT1680" s="1740"/>
      <c r="UYU1680" s="1740"/>
      <c r="UYV1680" s="1740"/>
      <c r="UYW1680" s="1740"/>
      <c r="UYX1680" s="1740"/>
      <c r="UYY1680" s="1740"/>
      <c r="UYZ1680" s="1740"/>
      <c r="UZA1680" s="1740"/>
      <c r="UZB1680" s="1740"/>
      <c r="UZC1680" s="1740"/>
      <c r="UZD1680" s="1740"/>
      <c r="UZE1680" s="1740"/>
      <c r="UZF1680" s="1740"/>
      <c r="UZG1680" s="1740"/>
      <c r="UZH1680" s="1740"/>
      <c r="UZI1680" s="1740"/>
      <c r="UZJ1680" s="1740"/>
      <c r="UZK1680" s="1740"/>
      <c r="UZL1680" s="1740"/>
      <c r="UZM1680" s="1740"/>
      <c r="UZN1680" s="1740"/>
      <c r="UZO1680" s="1740"/>
      <c r="UZP1680" s="1740"/>
      <c r="UZQ1680" s="1740"/>
      <c r="UZR1680" s="1740"/>
      <c r="UZS1680" s="1740"/>
      <c r="UZT1680" s="1740"/>
      <c r="UZU1680" s="1740"/>
      <c r="UZV1680" s="1740"/>
      <c r="UZW1680" s="1740"/>
      <c r="UZX1680" s="1740"/>
      <c r="UZY1680" s="1740"/>
      <c r="UZZ1680" s="1740"/>
      <c r="VAA1680" s="1740"/>
      <c r="VAB1680" s="1740"/>
      <c r="VAC1680" s="1740"/>
      <c r="VAD1680" s="1740"/>
      <c r="VAE1680" s="1740"/>
      <c r="VAF1680" s="1740"/>
      <c r="VAG1680" s="1740"/>
      <c r="VAH1680" s="1740"/>
      <c r="VAI1680" s="1740"/>
      <c r="VAJ1680" s="1740"/>
      <c r="VAK1680" s="1740"/>
      <c r="VAL1680" s="1740"/>
      <c r="VAM1680" s="1740"/>
      <c r="VAN1680" s="1740"/>
      <c r="VAO1680" s="1740"/>
      <c r="VAP1680" s="1740"/>
      <c r="VAQ1680" s="1740"/>
      <c r="VAR1680" s="1740"/>
      <c r="VAS1680" s="1740"/>
      <c r="VAT1680" s="1740"/>
      <c r="VAU1680" s="1740"/>
      <c r="VAV1680" s="1740"/>
      <c r="VAW1680" s="1740"/>
      <c r="VAX1680" s="1740"/>
      <c r="VAY1680" s="1740"/>
      <c r="VAZ1680" s="1740"/>
      <c r="VBA1680" s="1740"/>
      <c r="VBB1680" s="1740"/>
      <c r="VBC1680" s="1740"/>
      <c r="VBD1680" s="1740"/>
      <c r="VBE1680" s="1740"/>
      <c r="VBF1680" s="1740"/>
      <c r="VBG1680" s="1740"/>
      <c r="VBH1680" s="1740"/>
      <c r="VBI1680" s="1740"/>
      <c r="VBJ1680" s="1740"/>
      <c r="VBK1680" s="1740"/>
      <c r="VBL1680" s="1740"/>
      <c r="VBM1680" s="1740"/>
      <c r="VBN1680" s="1740"/>
      <c r="VBO1680" s="1740"/>
      <c r="VBP1680" s="1740"/>
      <c r="VBQ1680" s="1740"/>
      <c r="VBR1680" s="1740"/>
      <c r="VBS1680" s="1740"/>
      <c r="VBT1680" s="1740"/>
      <c r="VBU1680" s="1740"/>
      <c r="VBV1680" s="1740"/>
      <c r="VBW1680" s="1740"/>
      <c r="VBX1680" s="1740"/>
      <c r="VBY1680" s="1740"/>
      <c r="VBZ1680" s="1740"/>
      <c r="VCA1680" s="1740"/>
      <c r="VCB1680" s="1740"/>
      <c r="VCC1680" s="1740"/>
      <c r="VCD1680" s="1740"/>
      <c r="VCE1680" s="1740"/>
      <c r="VCF1680" s="1740"/>
      <c r="VCG1680" s="1740"/>
      <c r="VCH1680" s="1740"/>
      <c r="VCI1680" s="1740"/>
      <c r="VCJ1680" s="1740"/>
      <c r="VCK1680" s="1740"/>
      <c r="VCL1680" s="1740"/>
      <c r="VCM1680" s="1740"/>
      <c r="VCN1680" s="1740"/>
      <c r="VCO1680" s="1740"/>
      <c r="VCP1680" s="1740"/>
      <c r="VCQ1680" s="1740"/>
      <c r="VCR1680" s="1740"/>
      <c r="VCS1680" s="1740"/>
      <c r="VCT1680" s="1740"/>
      <c r="VCU1680" s="1740"/>
      <c r="VCV1680" s="1740"/>
      <c r="VCW1680" s="1740"/>
      <c r="VCX1680" s="1740"/>
      <c r="VCY1680" s="1740"/>
      <c r="VCZ1680" s="1740"/>
      <c r="VDA1680" s="1740"/>
      <c r="VDB1680" s="1740"/>
      <c r="VDC1680" s="1740"/>
      <c r="VDD1680" s="1740"/>
      <c r="VDE1680" s="1740"/>
      <c r="VDF1680" s="1740"/>
      <c r="VDG1680" s="1740"/>
      <c r="VDH1680" s="1740"/>
      <c r="VDI1680" s="1740"/>
      <c r="VDJ1680" s="1740"/>
      <c r="VDK1680" s="1740"/>
      <c r="VDL1680" s="1740"/>
      <c r="VDM1680" s="1740"/>
      <c r="VDN1680" s="1740"/>
      <c r="VDO1680" s="1740"/>
      <c r="VDP1680" s="1740"/>
      <c r="VDQ1680" s="1740"/>
      <c r="VDR1680" s="1740"/>
      <c r="VDS1680" s="1740"/>
      <c r="VDT1680" s="1740"/>
      <c r="VDU1680" s="1740"/>
      <c r="VDV1680" s="1740"/>
      <c r="VDW1680" s="1740"/>
      <c r="VDX1680" s="1740"/>
      <c r="VDY1680" s="1740"/>
      <c r="VDZ1680" s="1740"/>
      <c r="VEA1680" s="1740"/>
      <c r="VEB1680" s="1740"/>
      <c r="VEC1680" s="1740"/>
      <c r="VED1680" s="1740"/>
      <c r="VEE1680" s="1740"/>
      <c r="VEF1680" s="1740"/>
      <c r="VEG1680" s="1740"/>
      <c r="VEH1680" s="1740"/>
      <c r="VEI1680" s="1740"/>
      <c r="VEJ1680" s="1740"/>
      <c r="VEK1680" s="1740"/>
      <c r="VEL1680" s="1740"/>
      <c r="VEM1680" s="1740"/>
      <c r="VEN1680" s="1740"/>
      <c r="VEO1680" s="1740"/>
      <c r="VEP1680" s="1740"/>
      <c r="VEQ1680" s="1740"/>
      <c r="VER1680" s="1740"/>
      <c r="VES1680" s="1740"/>
      <c r="VET1680" s="1740"/>
      <c r="VEU1680" s="1740"/>
      <c r="VEV1680" s="1740"/>
      <c r="VEW1680" s="1740"/>
      <c r="VEX1680" s="1740"/>
      <c r="VEY1680" s="1740"/>
      <c r="VEZ1680" s="1740"/>
      <c r="VFA1680" s="1740"/>
      <c r="VFB1680" s="1740"/>
      <c r="VFC1680" s="1740"/>
      <c r="VFD1680" s="1740"/>
      <c r="VFE1680" s="1740"/>
      <c r="VFF1680" s="1740"/>
      <c r="VFG1680" s="1740"/>
      <c r="VFH1680" s="1740"/>
      <c r="VFI1680" s="1740"/>
      <c r="VFJ1680" s="1740"/>
      <c r="VFK1680" s="1740"/>
      <c r="VFL1680" s="1740"/>
      <c r="VFM1680" s="1740"/>
      <c r="VFN1680" s="1740"/>
      <c r="VFO1680" s="1740"/>
      <c r="VFP1680" s="1740"/>
      <c r="VFQ1680" s="1740"/>
      <c r="VFR1680" s="1740"/>
      <c r="VFS1680" s="1740"/>
      <c r="VFT1680" s="1740"/>
      <c r="VFU1680" s="1740"/>
      <c r="VFV1680" s="1740"/>
      <c r="VFW1680" s="1740"/>
      <c r="VFX1680" s="1740"/>
      <c r="VFY1680" s="1740"/>
      <c r="VFZ1680" s="1740"/>
      <c r="VGA1680" s="1740"/>
      <c r="VGB1680" s="1740"/>
      <c r="VGC1680" s="1740"/>
      <c r="VGD1680" s="1740"/>
      <c r="VGE1680" s="1740"/>
      <c r="VGF1680" s="1740"/>
      <c r="VGG1680" s="1740"/>
      <c r="VGH1680" s="1740"/>
      <c r="VGI1680" s="1740"/>
      <c r="VGJ1680" s="1740"/>
      <c r="VGK1680" s="1740"/>
      <c r="VGL1680" s="1740"/>
      <c r="VGM1680" s="1740"/>
      <c r="VGN1680" s="1740"/>
      <c r="VGO1680" s="1740"/>
      <c r="VGP1680" s="1740"/>
      <c r="VGQ1680" s="1740"/>
      <c r="VGR1680" s="1740"/>
      <c r="VGS1680" s="1740"/>
      <c r="VGT1680" s="1740"/>
      <c r="VGU1680" s="1740"/>
      <c r="VGV1680" s="1740"/>
      <c r="VGW1680" s="1740"/>
      <c r="VGX1680" s="1740"/>
      <c r="VGY1680" s="1740"/>
      <c r="VGZ1680" s="1740"/>
      <c r="VHA1680" s="1740"/>
      <c r="VHB1680" s="1740"/>
      <c r="VHC1680" s="1740"/>
      <c r="VHD1680" s="1740"/>
      <c r="VHE1680" s="1740"/>
      <c r="VHF1680" s="1740"/>
      <c r="VHG1680" s="1740"/>
      <c r="VHH1680" s="1740"/>
      <c r="VHI1680" s="1740"/>
      <c r="VHJ1680" s="1740"/>
      <c r="VHK1680" s="1740"/>
      <c r="VHL1680" s="1740"/>
      <c r="VHM1680" s="1740"/>
      <c r="VHN1680" s="1740"/>
      <c r="VHO1680" s="1740"/>
      <c r="VHP1680" s="1740"/>
      <c r="VHQ1680" s="1740"/>
      <c r="VHR1680" s="1740"/>
      <c r="VHS1680" s="1740"/>
      <c r="VHT1680" s="1740"/>
      <c r="VHU1680" s="1740"/>
      <c r="VHV1680" s="1740"/>
      <c r="VHW1680" s="1740"/>
      <c r="VHX1680" s="1740"/>
      <c r="VHY1680" s="1740"/>
      <c r="VHZ1680" s="1740"/>
      <c r="VIA1680" s="1740"/>
      <c r="VIB1680" s="1740"/>
      <c r="VIC1680" s="1740"/>
      <c r="VID1680" s="1740"/>
      <c r="VIE1680" s="1740"/>
      <c r="VIF1680" s="1740"/>
      <c r="VIG1680" s="1740"/>
      <c r="VIH1680" s="1740"/>
      <c r="VII1680" s="1740"/>
      <c r="VIJ1680" s="1740"/>
      <c r="VIK1680" s="1740"/>
      <c r="VIL1680" s="1740"/>
      <c r="VIM1680" s="1740"/>
      <c r="VIN1680" s="1740"/>
      <c r="VIO1680" s="1740"/>
      <c r="VIP1680" s="1740"/>
      <c r="VIQ1680" s="1740"/>
      <c r="VIR1680" s="1740"/>
      <c r="VIS1680" s="1740"/>
      <c r="VIT1680" s="1740"/>
      <c r="VIU1680" s="1740"/>
      <c r="VIV1680" s="1740"/>
      <c r="VIW1680" s="1740"/>
      <c r="VIX1680" s="1740"/>
      <c r="VIY1680" s="1740"/>
      <c r="VIZ1680" s="1740"/>
      <c r="VJA1680" s="1740"/>
      <c r="VJB1680" s="1740"/>
      <c r="VJC1680" s="1740"/>
      <c r="VJD1680" s="1740"/>
      <c r="VJE1680" s="1740"/>
      <c r="VJF1680" s="1740"/>
      <c r="VJG1680" s="1740"/>
      <c r="VJH1680" s="1740"/>
      <c r="VJI1680" s="1740"/>
      <c r="VJJ1680" s="1740"/>
      <c r="VJK1680" s="1740"/>
      <c r="VJL1680" s="1740"/>
      <c r="VJM1680" s="1740"/>
      <c r="VJN1680" s="1740"/>
      <c r="VJO1680" s="1740"/>
      <c r="VJP1680" s="1740"/>
      <c r="VJQ1680" s="1740"/>
      <c r="VJR1680" s="1740"/>
      <c r="VJS1680" s="1740"/>
      <c r="VJT1680" s="1740"/>
      <c r="VJU1680" s="1740"/>
      <c r="VJV1680" s="1740"/>
      <c r="VJW1680" s="1740"/>
      <c r="VJX1680" s="1740"/>
      <c r="VJY1680" s="1740"/>
      <c r="VJZ1680" s="1740"/>
      <c r="VKA1680" s="1740"/>
      <c r="VKB1680" s="1740"/>
      <c r="VKC1680" s="1740"/>
      <c r="VKD1680" s="1740"/>
      <c r="VKE1680" s="1740"/>
      <c r="VKF1680" s="1740"/>
      <c r="VKG1680" s="1740"/>
      <c r="VKH1680" s="1740"/>
      <c r="VKI1680" s="1740"/>
      <c r="VKJ1680" s="1740"/>
      <c r="VKK1680" s="1740"/>
      <c r="VKL1680" s="1740"/>
      <c r="VKM1680" s="1740"/>
      <c r="VKN1680" s="1740"/>
      <c r="VKO1680" s="1740"/>
      <c r="VKP1680" s="1740"/>
      <c r="VKQ1680" s="1740"/>
      <c r="VKR1680" s="1740"/>
      <c r="VKS1680" s="1740"/>
      <c r="VKT1680" s="1740"/>
      <c r="VKU1680" s="1740"/>
      <c r="VKV1680" s="1740"/>
      <c r="VKW1680" s="1740"/>
      <c r="VKX1680" s="1740"/>
      <c r="VKY1680" s="1740"/>
      <c r="VKZ1680" s="1740"/>
      <c r="VLA1680" s="1740"/>
      <c r="VLB1680" s="1740"/>
      <c r="VLC1680" s="1740"/>
      <c r="VLD1680" s="1740"/>
      <c r="VLE1680" s="1740"/>
      <c r="VLF1680" s="1740"/>
      <c r="VLG1680" s="1740"/>
      <c r="VLH1680" s="1740"/>
      <c r="VLI1680" s="1740"/>
      <c r="VLJ1680" s="1740"/>
      <c r="VLK1680" s="1740"/>
      <c r="VLL1680" s="1740"/>
      <c r="VLM1680" s="1740"/>
      <c r="VLN1680" s="1740"/>
      <c r="VLO1680" s="1740"/>
      <c r="VLP1680" s="1740"/>
      <c r="VLQ1680" s="1740"/>
      <c r="VLR1680" s="1740"/>
      <c r="VLS1680" s="1740"/>
      <c r="VLT1680" s="1740"/>
      <c r="VLU1680" s="1740"/>
      <c r="VLV1680" s="1740"/>
      <c r="VLW1680" s="1740"/>
      <c r="VLX1680" s="1740"/>
      <c r="VLY1680" s="1740"/>
      <c r="VLZ1680" s="1740"/>
      <c r="VMA1680" s="1740"/>
      <c r="VMB1680" s="1740"/>
      <c r="VMC1680" s="1740"/>
      <c r="VMD1680" s="1740"/>
      <c r="VME1680" s="1740"/>
      <c r="VMF1680" s="1740"/>
      <c r="VMG1680" s="1740"/>
      <c r="VMH1680" s="1740"/>
      <c r="VMI1680" s="1740"/>
      <c r="VMJ1680" s="1740"/>
      <c r="VMK1680" s="1740"/>
      <c r="VML1680" s="1740"/>
      <c r="VMM1680" s="1740"/>
      <c r="VMN1680" s="1740"/>
      <c r="VMO1680" s="1740"/>
      <c r="VMP1680" s="1740"/>
      <c r="VMQ1680" s="1740"/>
      <c r="VMR1680" s="1740"/>
      <c r="VMS1680" s="1740"/>
      <c r="VMT1680" s="1740"/>
      <c r="VMU1680" s="1740"/>
      <c r="VMV1680" s="1740"/>
      <c r="VMW1680" s="1740"/>
      <c r="VMX1680" s="1740"/>
      <c r="VMY1680" s="1740"/>
      <c r="VMZ1680" s="1740"/>
      <c r="VNA1680" s="1740"/>
      <c r="VNB1680" s="1740"/>
      <c r="VNC1680" s="1740"/>
      <c r="VND1680" s="1740"/>
      <c r="VNE1680" s="1740"/>
      <c r="VNF1680" s="1740"/>
      <c r="VNG1680" s="1740"/>
      <c r="VNH1680" s="1740"/>
      <c r="VNI1680" s="1740"/>
      <c r="VNJ1680" s="1740"/>
      <c r="VNK1680" s="1740"/>
      <c r="VNL1680" s="1740"/>
      <c r="VNM1680" s="1740"/>
      <c r="VNN1680" s="1740"/>
      <c r="VNO1680" s="1740"/>
      <c r="VNP1680" s="1740"/>
      <c r="VNQ1680" s="1740"/>
      <c r="VNR1680" s="1740"/>
      <c r="VNS1680" s="1740"/>
      <c r="VNT1680" s="1740"/>
      <c r="VNU1680" s="1740"/>
      <c r="VNV1680" s="1740"/>
      <c r="VNW1680" s="1740"/>
      <c r="VNX1680" s="1740"/>
      <c r="VNY1680" s="1740"/>
      <c r="VNZ1680" s="1740"/>
      <c r="VOA1680" s="1740"/>
      <c r="VOB1680" s="1740"/>
      <c r="VOC1680" s="1740"/>
      <c r="VOD1680" s="1740"/>
      <c r="VOE1680" s="1740"/>
      <c r="VOF1680" s="1740"/>
      <c r="VOG1680" s="1740"/>
      <c r="VOH1680" s="1740"/>
      <c r="VOI1680" s="1740"/>
      <c r="VOJ1680" s="1740"/>
      <c r="VOK1680" s="1740"/>
      <c r="VOL1680" s="1740"/>
      <c r="VOM1680" s="1740"/>
      <c r="VON1680" s="1740"/>
      <c r="VOO1680" s="1740"/>
      <c r="VOP1680" s="1740"/>
      <c r="VOQ1680" s="1740"/>
      <c r="VOR1680" s="1740"/>
      <c r="VOS1680" s="1740"/>
      <c r="VOT1680" s="1740"/>
      <c r="VOU1680" s="1740"/>
      <c r="VOV1680" s="1740"/>
      <c r="VOW1680" s="1740"/>
      <c r="VOX1680" s="1740"/>
      <c r="VOY1680" s="1740"/>
      <c r="VOZ1680" s="1740"/>
      <c r="VPA1680" s="1740"/>
      <c r="VPB1680" s="1740"/>
      <c r="VPC1680" s="1740"/>
      <c r="VPD1680" s="1740"/>
      <c r="VPE1680" s="1740"/>
      <c r="VPF1680" s="1740"/>
      <c r="VPG1680" s="1740"/>
      <c r="VPH1680" s="1740"/>
      <c r="VPI1680" s="1740"/>
      <c r="VPJ1680" s="1740"/>
      <c r="VPK1680" s="1740"/>
      <c r="VPL1680" s="1740"/>
      <c r="VPM1680" s="1740"/>
      <c r="VPN1680" s="1740"/>
      <c r="VPO1680" s="1740"/>
      <c r="VPP1680" s="1740"/>
      <c r="VPQ1680" s="1740"/>
      <c r="VPR1680" s="1740"/>
      <c r="VPS1680" s="1740"/>
      <c r="VPT1680" s="1740"/>
      <c r="VPU1680" s="1740"/>
      <c r="VPV1680" s="1740"/>
      <c r="VPW1680" s="1740"/>
      <c r="VPX1680" s="1740"/>
      <c r="VPY1680" s="1740"/>
      <c r="VPZ1680" s="1740"/>
      <c r="VQA1680" s="1740"/>
      <c r="VQB1680" s="1740"/>
      <c r="VQC1680" s="1740"/>
      <c r="VQD1680" s="1740"/>
      <c r="VQE1680" s="1740"/>
      <c r="VQF1680" s="1740"/>
      <c r="VQG1680" s="1740"/>
      <c r="VQH1680" s="1740"/>
      <c r="VQI1680" s="1740"/>
      <c r="VQJ1680" s="1740"/>
      <c r="VQK1680" s="1740"/>
      <c r="VQL1680" s="1740"/>
      <c r="VQM1680" s="1740"/>
      <c r="VQN1680" s="1740"/>
      <c r="VQO1680" s="1740"/>
      <c r="VQP1680" s="1740"/>
      <c r="VQQ1680" s="1740"/>
      <c r="VQR1680" s="1740"/>
      <c r="VQS1680" s="1740"/>
      <c r="VQT1680" s="1740"/>
      <c r="VQU1680" s="1740"/>
      <c r="VQV1680" s="1740"/>
      <c r="VQW1680" s="1740"/>
      <c r="VQX1680" s="1740"/>
      <c r="VQY1680" s="1740"/>
      <c r="VQZ1680" s="1740"/>
      <c r="VRA1680" s="1740"/>
      <c r="VRB1680" s="1740"/>
      <c r="VRC1680" s="1740"/>
      <c r="VRD1680" s="1740"/>
      <c r="VRE1680" s="1740"/>
      <c r="VRF1680" s="1740"/>
      <c r="VRG1680" s="1740"/>
      <c r="VRH1680" s="1740"/>
      <c r="VRI1680" s="1740"/>
      <c r="VRJ1680" s="1740"/>
      <c r="VRK1680" s="1740"/>
      <c r="VRL1680" s="1740"/>
      <c r="VRM1680" s="1740"/>
      <c r="VRN1680" s="1740"/>
      <c r="VRO1680" s="1740"/>
      <c r="VRP1680" s="1740"/>
      <c r="VRQ1680" s="1740"/>
      <c r="VRR1680" s="1740"/>
      <c r="VRS1680" s="1740"/>
      <c r="VRT1680" s="1740"/>
      <c r="VRU1680" s="1740"/>
      <c r="VRV1680" s="1740"/>
      <c r="VRW1680" s="1740"/>
      <c r="VRX1680" s="1740"/>
      <c r="VRY1680" s="1740"/>
      <c r="VRZ1680" s="1740"/>
      <c r="VSA1680" s="1740"/>
      <c r="VSB1680" s="1740"/>
      <c r="VSC1680" s="1740"/>
      <c r="VSD1680" s="1740"/>
      <c r="VSE1680" s="1740"/>
      <c r="VSF1680" s="1740"/>
      <c r="VSG1680" s="1740"/>
      <c r="VSH1680" s="1740"/>
      <c r="VSI1680" s="1740"/>
      <c r="VSJ1680" s="1740"/>
      <c r="VSK1680" s="1740"/>
      <c r="VSL1680" s="1740"/>
      <c r="VSM1680" s="1740"/>
      <c r="VSN1680" s="1740"/>
      <c r="VSO1680" s="1740"/>
      <c r="VSP1680" s="1740"/>
      <c r="VSQ1680" s="1740"/>
      <c r="VSR1680" s="1740"/>
      <c r="VSS1680" s="1740"/>
      <c r="VST1680" s="1740"/>
      <c r="VSU1680" s="1740"/>
      <c r="VSV1680" s="1740"/>
      <c r="VSW1680" s="1740"/>
      <c r="VSX1680" s="1740"/>
      <c r="VSY1680" s="1740"/>
      <c r="VSZ1680" s="1740"/>
      <c r="VTA1680" s="1740"/>
      <c r="VTB1680" s="1740"/>
      <c r="VTC1680" s="1740"/>
      <c r="VTD1680" s="1740"/>
      <c r="VTE1680" s="1740"/>
      <c r="VTF1680" s="1740"/>
      <c r="VTG1680" s="1740"/>
      <c r="VTH1680" s="1740"/>
      <c r="VTI1680" s="1740"/>
      <c r="VTJ1680" s="1740"/>
      <c r="VTK1680" s="1740"/>
      <c r="VTL1680" s="1740"/>
      <c r="VTM1680" s="1740"/>
      <c r="VTN1680" s="1740"/>
      <c r="VTO1680" s="1740"/>
      <c r="VTP1680" s="1740"/>
      <c r="VTQ1680" s="1740"/>
      <c r="VTR1680" s="1740"/>
      <c r="VTS1680" s="1740"/>
      <c r="VTT1680" s="1740"/>
      <c r="VTU1680" s="1740"/>
      <c r="VTV1680" s="1740"/>
      <c r="VTW1680" s="1740"/>
      <c r="VTX1680" s="1740"/>
      <c r="VTY1680" s="1740"/>
      <c r="VTZ1680" s="1740"/>
      <c r="VUA1680" s="1740"/>
      <c r="VUB1680" s="1740"/>
      <c r="VUC1680" s="1740"/>
      <c r="VUD1680" s="1740"/>
      <c r="VUE1680" s="1740"/>
      <c r="VUF1680" s="1740"/>
      <c r="VUG1680" s="1740"/>
      <c r="VUH1680" s="1740"/>
      <c r="VUI1680" s="1740"/>
      <c r="VUJ1680" s="1740"/>
      <c r="VUK1680" s="1740"/>
      <c r="VUL1680" s="1740"/>
      <c r="VUM1680" s="1740"/>
      <c r="VUN1680" s="1740"/>
      <c r="VUO1680" s="1740"/>
      <c r="VUP1680" s="1740"/>
      <c r="VUQ1680" s="1740"/>
      <c r="VUR1680" s="1740"/>
      <c r="VUS1680" s="1740"/>
      <c r="VUT1680" s="1740"/>
      <c r="VUU1680" s="1740"/>
      <c r="VUV1680" s="1740"/>
      <c r="VUW1680" s="1740"/>
      <c r="VUX1680" s="1740"/>
      <c r="VUY1680" s="1740"/>
      <c r="VUZ1680" s="1740"/>
      <c r="VVA1680" s="1740"/>
      <c r="VVB1680" s="1740"/>
      <c r="VVC1680" s="1740"/>
      <c r="VVD1680" s="1740"/>
      <c r="VVE1680" s="1740"/>
      <c r="VVF1680" s="1740"/>
      <c r="VVG1680" s="1740"/>
      <c r="VVH1680" s="1740"/>
      <c r="VVI1680" s="1740"/>
      <c r="VVJ1680" s="1740"/>
      <c r="VVK1680" s="1740"/>
      <c r="VVL1680" s="1740"/>
      <c r="VVM1680" s="1740"/>
      <c r="VVN1680" s="1740"/>
      <c r="VVO1680" s="1740"/>
      <c r="VVP1680" s="1740"/>
      <c r="VVQ1680" s="1740"/>
      <c r="VVR1680" s="1740"/>
      <c r="VVS1680" s="1740"/>
      <c r="VVT1680" s="1740"/>
      <c r="VVU1680" s="1740"/>
      <c r="VVV1680" s="1740"/>
      <c r="VVW1680" s="1740"/>
      <c r="VVX1680" s="1740"/>
      <c r="VVY1680" s="1740"/>
      <c r="VVZ1680" s="1740"/>
      <c r="VWA1680" s="1740"/>
      <c r="VWB1680" s="1740"/>
      <c r="VWC1680" s="1740"/>
      <c r="VWD1680" s="1740"/>
      <c r="VWE1680" s="1740"/>
      <c r="VWF1680" s="1740"/>
      <c r="VWG1680" s="1740"/>
      <c r="VWH1680" s="1740"/>
      <c r="VWI1680" s="1740"/>
      <c r="VWJ1680" s="1740"/>
      <c r="VWK1680" s="1740"/>
      <c r="VWL1680" s="1740"/>
      <c r="VWM1680" s="1740"/>
      <c r="VWN1680" s="1740"/>
      <c r="VWO1680" s="1740"/>
      <c r="VWP1680" s="1740"/>
      <c r="VWQ1680" s="1740"/>
      <c r="VWR1680" s="1740"/>
      <c r="VWS1680" s="1740"/>
      <c r="VWT1680" s="1740"/>
      <c r="VWU1680" s="1740"/>
      <c r="VWV1680" s="1740"/>
      <c r="VWW1680" s="1740"/>
      <c r="VWX1680" s="1740"/>
      <c r="VWY1680" s="1740"/>
      <c r="VWZ1680" s="1740"/>
      <c r="VXA1680" s="1740"/>
      <c r="VXB1680" s="1740"/>
      <c r="VXC1680" s="1740"/>
      <c r="VXD1680" s="1740"/>
      <c r="VXE1680" s="1740"/>
      <c r="VXF1680" s="1740"/>
      <c r="VXG1680" s="1740"/>
      <c r="VXH1680" s="1740"/>
      <c r="VXI1680" s="1740"/>
      <c r="VXJ1680" s="1740"/>
      <c r="VXK1680" s="1740"/>
      <c r="VXL1680" s="1740"/>
      <c r="VXM1680" s="1740"/>
      <c r="VXN1680" s="1740"/>
      <c r="VXO1680" s="1740"/>
      <c r="VXP1680" s="1740"/>
      <c r="VXQ1680" s="1740"/>
      <c r="VXR1680" s="1740"/>
      <c r="VXS1680" s="1740"/>
      <c r="VXT1680" s="1740"/>
      <c r="VXU1680" s="1740"/>
      <c r="VXV1680" s="1740"/>
      <c r="VXW1680" s="1740"/>
      <c r="VXX1680" s="1740"/>
      <c r="VXY1680" s="1740"/>
      <c r="VXZ1680" s="1740"/>
      <c r="VYA1680" s="1740"/>
      <c r="VYB1680" s="1740"/>
      <c r="VYC1680" s="1740"/>
      <c r="VYD1680" s="1740"/>
      <c r="VYE1680" s="1740"/>
      <c r="VYF1680" s="1740"/>
      <c r="VYG1680" s="1740"/>
      <c r="VYH1680" s="1740"/>
      <c r="VYI1680" s="1740"/>
      <c r="VYJ1680" s="1740"/>
      <c r="VYK1680" s="1740"/>
      <c r="VYL1680" s="1740"/>
      <c r="VYM1680" s="1740"/>
      <c r="VYN1680" s="1740"/>
      <c r="VYO1680" s="1740"/>
      <c r="VYP1680" s="1740"/>
      <c r="VYQ1680" s="1740"/>
      <c r="VYR1680" s="1740"/>
      <c r="VYS1680" s="1740"/>
      <c r="VYT1680" s="1740"/>
      <c r="VYU1680" s="1740"/>
      <c r="VYV1680" s="1740"/>
      <c r="VYW1680" s="1740"/>
      <c r="VYX1680" s="1740"/>
      <c r="VYY1680" s="1740"/>
      <c r="VYZ1680" s="1740"/>
      <c r="VZA1680" s="1740"/>
      <c r="VZB1680" s="1740"/>
      <c r="VZC1680" s="1740"/>
      <c r="VZD1680" s="1740"/>
      <c r="VZE1680" s="1740"/>
      <c r="VZF1680" s="1740"/>
      <c r="VZG1680" s="1740"/>
      <c r="VZH1680" s="1740"/>
      <c r="VZI1680" s="1740"/>
      <c r="VZJ1680" s="1740"/>
      <c r="VZK1680" s="1740"/>
      <c r="VZL1680" s="1740"/>
      <c r="VZM1680" s="1740"/>
      <c r="VZN1680" s="1740"/>
      <c r="VZO1680" s="1740"/>
      <c r="VZP1680" s="1740"/>
      <c r="VZQ1680" s="1740"/>
      <c r="VZR1680" s="1740"/>
      <c r="VZS1680" s="1740"/>
      <c r="VZT1680" s="1740"/>
      <c r="VZU1680" s="1740"/>
      <c r="VZV1680" s="1740"/>
      <c r="VZW1680" s="1740"/>
      <c r="VZX1680" s="1740"/>
      <c r="VZY1680" s="1740"/>
      <c r="VZZ1680" s="1740"/>
      <c r="WAA1680" s="1740"/>
      <c r="WAB1680" s="1740"/>
      <c r="WAC1680" s="1740"/>
      <c r="WAD1680" s="1740"/>
      <c r="WAE1680" s="1740"/>
      <c r="WAF1680" s="1740"/>
      <c r="WAG1680" s="1740"/>
      <c r="WAH1680" s="1740"/>
      <c r="WAI1680" s="1740"/>
      <c r="WAJ1680" s="1740"/>
      <c r="WAK1680" s="1740"/>
      <c r="WAL1680" s="1740"/>
      <c r="WAM1680" s="1740"/>
      <c r="WAN1680" s="1740"/>
      <c r="WAO1680" s="1740"/>
      <c r="WAP1680" s="1740"/>
      <c r="WAQ1680" s="1740"/>
      <c r="WAR1680" s="1740"/>
      <c r="WAS1680" s="1740"/>
      <c r="WAT1680" s="1740"/>
      <c r="WAU1680" s="1740"/>
      <c r="WAV1680" s="1740"/>
      <c r="WAW1680" s="1740"/>
      <c r="WAX1680" s="1740"/>
      <c r="WAY1680" s="1740"/>
      <c r="WAZ1680" s="1740"/>
      <c r="WBA1680" s="1740"/>
      <c r="WBB1680" s="1740"/>
      <c r="WBC1680" s="1740"/>
      <c r="WBD1680" s="1740"/>
      <c r="WBE1680" s="1740"/>
      <c r="WBF1680" s="1740"/>
      <c r="WBG1680" s="1740"/>
      <c r="WBH1680" s="1740"/>
      <c r="WBI1680" s="1740"/>
      <c r="WBJ1680" s="1740"/>
      <c r="WBK1680" s="1740"/>
      <c r="WBL1680" s="1740"/>
      <c r="WBM1680" s="1740"/>
      <c r="WBN1680" s="1740"/>
      <c r="WBO1680" s="1740"/>
      <c r="WBP1680" s="1740"/>
      <c r="WBQ1680" s="1740"/>
      <c r="WBR1680" s="1740"/>
      <c r="WBS1680" s="1740"/>
      <c r="WBT1680" s="1740"/>
      <c r="WBU1680" s="1740"/>
      <c r="WBV1680" s="1740"/>
      <c r="WBW1680" s="1740"/>
      <c r="WBX1680" s="1740"/>
      <c r="WBY1680" s="1740"/>
      <c r="WBZ1680" s="1740"/>
      <c r="WCA1680" s="1740"/>
      <c r="WCB1680" s="1740"/>
      <c r="WCC1680" s="1740"/>
      <c r="WCD1680" s="1740"/>
      <c r="WCE1680" s="1740"/>
      <c r="WCF1680" s="1740"/>
      <c r="WCG1680" s="1740"/>
      <c r="WCH1680" s="1740"/>
      <c r="WCI1680" s="1740"/>
      <c r="WCJ1680" s="1740"/>
      <c r="WCK1680" s="1740"/>
      <c r="WCL1680" s="1740"/>
      <c r="WCM1680" s="1740"/>
      <c r="WCN1680" s="1740"/>
      <c r="WCO1680" s="1740"/>
      <c r="WCP1680" s="1740"/>
      <c r="WCQ1680" s="1740"/>
      <c r="WCR1680" s="1740"/>
      <c r="WCS1680" s="1740"/>
      <c r="WCT1680" s="1740"/>
      <c r="WCU1680" s="1740"/>
      <c r="WCV1680" s="1740"/>
      <c r="WCW1680" s="1740"/>
      <c r="WCX1680" s="1740"/>
      <c r="WCY1680" s="1740"/>
      <c r="WCZ1680" s="1740"/>
      <c r="WDA1680" s="1740"/>
      <c r="WDB1680" s="1740"/>
      <c r="WDC1680" s="1740"/>
      <c r="WDD1680" s="1740"/>
      <c r="WDE1680" s="1740"/>
      <c r="WDF1680" s="1740"/>
      <c r="WDG1680" s="1740"/>
      <c r="WDH1680" s="1740"/>
      <c r="WDI1680" s="1740"/>
      <c r="WDJ1680" s="1740"/>
      <c r="WDK1680" s="1740"/>
      <c r="WDL1680" s="1740"/>
      <c r="WDM1680" s="1740"/>
      <c r="WDN1680" s="1740"/>
      <c r="WDO1680" s="1740"/>
      <c r="WDP1680" s="1740"/>
      <c r="WDQ1680" s="1740"/>
      <c r="WDR1680" s="1740"/>
      <c r="WDS1680" s="1740"/>
      <c r="WDT1680" s="1740"/>
      <c r="WDU1680" s="1740"/>
      <c r="WDV1680" s="1740"/>
      <c r="WDW1680" s="1740"/>
      <c r="WDX1680" s="1740"/>
      <c r="WDY1680" s="1740"/>
      <c r="WDZ1680" s="1740"/>
      <c r="WEA1680" s="1740"/>
      <c r="WEB1680" s="1740"/>
      <c r="WEC1680" s="1740"/>
      <c r="WED1680" s="1740"/>
      <c r="WEE1680" s="1740"/>
      <c r="WEF1680" s="1740"/>
      <c r="WEG1680" s="1740"/>
      <c r="WEH1680" s="1740"/>
      <c r="WEI1680" s="1740"/>
      <c r="WEJ1680" s="1740"/>
      <c r="WEK1680" s="1740"/>
      <c r="WEL1680" s="1740"/>
      <c r="WEM1680" s="1740"/>
      <c r="WEN1680" s="1740"/>
      <c r="WEO1680" s="1740"/>
      <c r="WEP1680" s="1740"/>
      <c r="WEQ1680" s="1740"/>
      <c r="WER1680" s="1740"/>
      <c r="WES1680" s="1740"/>
      <c r="WET1680" s="1740"/>
      <c r="WEU1680" s="1740"/>
      <c r="WEV1680" s="1740"/>
      <c r="WEW1680" s="1740"/>
      <c r="WEX1680" s="1740"/>
      <c r="WEY1680" s="1740"/>
      <c r="WEZ1680" s="1740"/>
      <c r="WFA1680" s="1740"/>
      <c r="WFB1680" s="1740"/>
      <c r="WFC1680" s="1740"/>
      <c r="WFD1680" s="1740"/>
      <c r="WFE1680" s="1740"/>
      <c r="WFF1680" s="1740"/>
      <c r="WFG1680" s="1740"/>
      <c r="WFH1680" s="1740"/>
      <c r="WFI1680" s="1740"/>
      <c r="WFJ1680" s="1740"/>
      <c r="WFK1680" s="1740"/>
      <c r="WFL1680" s="1740"/>
      <c r="WFM1680" s="1740"/>
      <c r="WFN1680" s="1740"/>
      <c r="WFO1680" s="1740"/>
      <c r="WFP1680" s="1740"/>
      <c r="WFQ1680" s="1740"/>
      <c r="WFR1680" s="1740"/>
      <c r="WFS1680" s="1740"/>
      <c r="WFT1680" s="1740"/>
      <c r="WFU1680" s="1740"/>
      <c r="WFV1680" s="1740"/>
      <c r="WFW1680" s="1740"/>
      <c r="WFX1680" s="1740"/>
      <c r="WFY1680" s="1740"/>
      <c r="WFZ1680" s="1740"/>
      <c r="WGA1680" s="1740"/>
      <c r="WGB1680" s="1740"/>
      <c r="WGC1680" s="1740"/>
      <c r="WGD1680" s="1740"/>
      <c r="WGE1680" s="1740"/>
      <c r="WGF1680" s="1740"/>
      <c r="WGG1680" s="1740"/>
      <c r="WGH1680" s="1740"/>
      <c r="WGI1680" s="1740"/>
      <c r="WGJ1680" s="1740"/>
      <c r="WGK1680" s="1740"/>
      <c r="WGL1680" s="1740"/>
      <c r="WGM1680" s="1740"/>
      <c r="WGN1680" s="1740"/>
      <c r="WGO1680" s="1740"/>
      <c r="WGP1680" s="1740"/>
      <c r="WGQ1680" s="1740"/>
      <c r="WGR1680" s="1740"/>
      <c r="WGS1680" s="1740"/>
      <c r="WGT1680" s="1740"/>
      <c r="WGU1680" s="1740"/>
      <c r="WGV1680" s="1740"/>
      <c r="WGW1680" s="1740"/>
      <c r="WGX1680" s="1740"/>
      <c r="WGY1680" s="1740"/>
      <c r="WGZ1680" s="1740"/>
      <c r="WHA1680" s="1740"/>
      <c r="WHB1680" s="1740"/>
      <c r="WHC1680" s="1740"/>
      <c r="WHD1680" s="1740"/>
      <c r="WHE1680" s="1740"/>
      <c r="WHF1680" s="1740"/>
      <c r="WHG1680" s="1740"/>
      <c r="WHH1680" s="1740"/>
      <c r="WHI1680" s="1740"/>
      <c r="WHJ1680" s="1740"/>
      <c r="WHK1680" s="1740"/>
      <c r="WHL1680" s="1740"/>
      <c r="WHM1680" s="1740"/>
      <c r="WHN1680" s="1740"/>
      <c r="WHO1680" s="1740"/>
      <c r="WHP1680" s="1740"/>
      <c r="WHQ1680" s="1740"/>
      <c r="WHR1680" s="1740"/>
      <c r="WHS1680" s="1740"/>
      <c r="WHT1680" s="1740"/>
      <c r="WHU1680" s="1740"/>
      <c r="WHV1680" s="1740"/>
      <c r="WHW1680" s="1740"/>
      <c r="WHX1680" s="1740"/>
      <c r="WHY1680" s="1740"/>
      <c r="WHZ1680" s="1740"/>
      <c r="WIA1680" s="1740"/>
      <c r="WIB1680" s="1740"/>
      <c r="WIC1680" s="1740"/>
      <c r="WID1680" s="1740"/>
      <c r="WIE1680" s="1740"/>
      <c r="WIF1680" s="1740"/>
      <c r="WIG1680" s="1740"/>
      <c r="WIH1680" s="1740"/>
      <c r="WII1680" s="1740"/>
      <c r="WIJ1680" s="1740"/>
      <c r="WIK1680" s="1740"/>
      <c r="WIL1680" s="1740"/>
      <c r="WIM1680" s="1740"/>
      <c r="WIN1680" s="1740"/>
      <c r="WIO1680" s="1740"/>
      <c r="WIP1680" s="1740"/>
      <c r="WIQ1680" s="1740"/>
      <c r="WIR1680" s="1740"/>
      <c r="WIS1680" s="1740"/>
      <c r="WIT1680" s="1740"/>
      <c r="WIU1680" s="1740"/>
      <c r="WIV1680" s="1740"/>
      <c r="WIW1680" s="1740"/>
      <c r="WIX1680" s="1740"/>
      <c r="WIY1680" s="1740"/>
      <c r="WIZ1680" s="1740"/>
      <c r="WJA1680" s="1740"/>
      <c r="WJB1680" s="1740"/>
      <c r="WJC1680" s="1740"/>
      <c r="WJD1680" s="1740"/>
      <c r="WJE1680" s="1740"/>
      <c r="WJF1680" s="1740"/>
      <c r="WJG1680" s="1740"/>
      <c r="WJH1680" s="1740"/>
      <c r="WJI1680" s="1740"/>
      <c r="WJJ1680" s="1740"/>
      <c r="WJK1680" s="1740"/>
      <c r="WJL1680" s="1740"/>
      <c r="WJM1680" s="1740"/>
      <c r="WJN1680" s="1740"/>
      <c r="WJO1680" s="1740"/>
      <c r="WJP1680" s="1740"/>
      <c r="WJQ1680" s="1740"/>
      <c r="WJR1680" s="1740"/>
      <c r="WJS1680" s="1740"/>
      <c r="WJT1680" s="1740"/>
      <c r="WJU1680" s="1740"/>
      <c r="WJV1680" s="1740"/>
      <c r="WJW1680" s="1740"/>
      <c r="WJX1680" s="1740"/>
      <c r="WJY1680" s="1740"/>
      <c r="WJZ1680" s="1740"/>
      <c r="WKA1680" s="1740"/>
      <c r="WKB1680" s="1740"/>
      <c r="WKC1680" s="1740"/>
      <c r="WKD1680" s="1740"/>
      <c r="WKE1680" s="1740"/>
      <c r="WKF1680" s="1740"/>
      <c r="WKG1680" s="1740"/>
      <c r="WKH1680" s="1740"/>
      <c r="WKI1680" s="1740"/>
      <c r="WKJ1680" s="1740"/>
      <c r="WKK1680" s="1740"/>
      <c r="WKL1680" s="1740"/>
      <c r="WKM1680" s="1740"/>
      <c r="WKN1680" s="1740"/>
      <c r="WKO1680" s="1740"/>
      <c r="WKP1680" s="1740"/>
      <c r="WKQ1680" s="1740"/>
      <c r="WKR1680" s="1740"/>
      <c r="WKS1680" s="1740"/>
      <c r="WKT1680" s="1740"/>
      <c r="WKU1680" s="1740"/>
      <c r="WKV1680" s="1740"/>
      <c r="WKW1680" s="1740"/>
      <c r="WKX1680" s="1740"/>
      <c r="WKY1680" s="1740"/>
      <c r="WKZ1680" s="1740"/>
      <c r="WLA1680" s="1740"/>
      <c r="WLB1680" s="1740"/>
      <c r="WLC1680" s="1740"/>
      <c r="WLD1680" s="1740"/>
      <c r="WLE1680" s="1740"/>
      <c r="WLF1680" s="1740"/>
      <c r="WLG1680" s="1740"/>
      <c r="WLH1680" s="1740"/>
      <c r="WLI1680" s="1740"/>
      <c r="WLJ1680" s="1740"/>
      <c r="WLK1680" s="1740"/>
      <c r="WLL1680" s="1740"/>
      <c r="WLM1680" s="1740"/>
      <c r="WLN1680" s="1740"/>
      <c r="WLO1680" s="1740"/>
      <c r="WLP1680" s="1740"/>
      <c r="WLQ1680" s="1740"/>
      <c r="WLR1680" s="1740"/>
      <c r="WLS1680" s="1740"/>
      <c r="WLT1680" s="1740"/>
      <c r="WLU1680" s="1740"/>
      <c r="WLV1680" s="1740"/>
      <c r="WLW1680" s="1740"/>
      <c r="WLX1680" s="1740"/>
      <c r="WLY1680" s="1740"/>
      <c r="WLZ1680" s="1740"/>
      <c r="WMA1680" s="1740"/>
      <c r="WMB1680" s="1740"/>
      <c r="WMC1680" s="1740"/>
      <c r="WMD1680" s="1740"/>
      <c r="WME1680" s="1740"/>
      <c r="WMF1680" s="1740"/>
      <c r="WMG1680" s="1740"/>
      <c r="WMH1680" s="1740"/>
      <c r="WMI1680" s="1740"/>
      <c r="WMJ1680" s="1740"/>
      <c r="WMK1680" s="1740"/>
      <c r="WML1680" s="1740"/>
      <c r="WMM1680" s="1740"/>
      <c r="WMN1680" s="1740"/>
      <c r="WMO1680" s="1740"/>
      <c r="WMP1680" s="1740"/>
      <c r="WMQ1680" s="1740"/>
      <c r="WMR1680" s="1740"/>
      <c r="WMS1680" s="1740"/>
      <c r="WMT1680" s="1740"/>
      <c r="WMU1680" s="1740"/>
      <c r="WMV1680" s="1740"/>
      <c r="WMW1680" s="1740"/>
      <c r="WMX1680" s="1740"/>
      <c r="WMY1680" s="1740"/>
      <c r="WMZ1680" s="1740"/>
      <c r="WNA1680" s="1740"/>
      <c r="WNB1680" s="1740"/>
      <c r="WNC1680" s="1740"/>
      <c r="WND1680" s="1740"/>
      <c r="WNE1680" s="1740"/>
      <c r="WNF1680" s="1740"/>
      <c r="WNG1680" s="1740"/>
      <c r="WNH1680" s="1740"/>
      <c r="WNI1680" s="1740"/>
      <c r="WNJ1680" s="1740"/>
      <c r="WNK1680" s="1740"/>
      <c r="WNL1680" s="1740"/>
      <c r="WNM1680" s="1740"/>
      <c r="WNN1680" s="1740"/>
      <c r="WNO1680" s="1740"/>
      <c r="WNP1680" s="1740"/>
      <c r="WNQ1680" s="1740"/>
      <c r="WNR1680" s="1740"/>
      <c r="WNS1680" s="1740"/>
      <c r="WNT1680" s="1740"/>
      <c r="WNU1680" s="1740"/>
      <c r="WNV1680" s="1740"/>
      <c r="WNW1680" s="1740"/>
      <c r="WNX1680" s="1740"/>
      <c r="WNY1680" s="1740"/>
      <c r="WNZ1680" s="1740"/>
      <c r="WOA1680" s="1740"/>
      <c r="WOB1680" s="1740"/>
      <c r="WOC1680" s="1740"/>
      <c r="WOD1680" s="1740"/>
      <c r="WOE1680" s="1740"/>
      <c r="WOF1680" s="1740"/>
      <c r="WOG1680" s="1740"/>
      <c r="WOH1680" s="1740"/>
      <c r="WOI1680" s="1740"/>
      <c r="WOJ1680" s="1740"/>
      <c r="WOK1680" s="1740"/>
      <c r="WOL1680" s="1740"/>
      <c r="WOM1680" s="1740"/>
      <c r="WON1680" s="1740"/>
      <c r="WOO1680" s="1740"/>
      <c r="WOP1680" s="1740"/>
      <c r="WOQ1680" s="1740"/>
      <c r="WOR1680" s="1740"/>
      <c r="WOS1680" s="1740"/>
      <c r="WOT1680" s="1740"/>
      <c r="WOU1680" s="1740"/>
      <c r="WOV1680" s="1740"/>
      <c r="WOW1680" s="1740"/>
      <c r="WOX1680" s="1740"/>
      <c r="WOY1680" s="1740"/>
      <c r="WOZ1680" s="1740"/>
      <c r="WPA1680" s="1740"/>
      <c r="WPB1680" s="1740"/>
      <c r="WPC1680" s="1740"/>
      <c r="WPD1680" s="1740"/>
      <c r="WPE1680" s="1740"/>
      <c r="WPF1680" s="1740"/>
      <c r="WPG1680" s="1740"/>
      <c r="WPH1680" s="1740"/>
      <c r="WPI1680" s="1740"/>
      <c r="WPJ1680" s="1740"/>
      <c r="WPK1680" s="1740"/>
      <c r="WPL1680" s="1740"/>
      <c r="WPM1680" s="1740"/>
      <c r="WPN1680" s="1740"/>
      <c r="WPO1680" s="1740"/>
      <c r="WPP1680" s="1740"/>
      <c r="WPQ1680" s="1740"/>
      <c r="WPR1680" s="1740"/>
      <c r="WPS1680" s="1740"/>
      <c r="WPT1680" s="1740"/>
      <c r="WPU1680" s="1740"/>
      <c r="WPV1680" s="1740"/>
      <c r="WPW1680" s="1740"/>
      <c r="WPX1680" s="1740"/>
      <c r="WPY1680" s="1740"/>
      <c r="WPZ1680" s="1740"/>
      <c r="WQA1680" s="1740"/>
      <c r="WQB1680" s="1740"/>
      <c r="WQC1680" s="1740"/>
      <c r="WQD1680" s="1740"/>
      <c r="WQE1680" s="1740"/>
      <c r="WQF1680" s="1740"/>
      <c r="WQG1680" s="1740"/>
      <c r="WQH1680" s="1740"/>
      <c r="WQI1680" s="1740"/>
      <c r="WQJ1680" s="1740"/>
      <c r="WQK1680" s="1740"/>
      <c r="WQL1680" s="1740"/>
      <c r="WQM1680" s="1740"/>
      <c r="WQN1680" s="1740"/>
      <c r="WQO1680" s="1740"/>
      <c r="WQP1680" s="1740"/>
      <c r="WQQ1680" s="1740"/>
      <c r="WQR1680" s="1740"/>
      <c r="WQS1680" s="1740"/>
      <c r="WQT1680" s="1740"/>
      <c r="WQU1680" s="1740"/>
      <c r="WQV1680" s="1740"/>
      <c r="WQW1680" s="1740"/>
      <c r="WQX1680" s="1740"/>
      <c r="WQY1680" s="1740"/>
      <c r="WQZ1680" s="1740"/>
      <c r="WRA1680" s="1740"/>
      <c r="WRB1680" s="1740"/>
      <c r="WRC1680" s="1740"/>
      <c r="WRD1680" s="1740"/>
      <c r="WRE1680" s="1740"/>
      <c r="WRF1680" s="1740"/>
      <c r="WRG1680" s="1740"/>
      <c r="WRH1680" s="1740"/>
      <c r="WRI1680" s="1740"/>
      <c r="WRJ1680" s="1740"/>
      <c r="WRK1680" s="1740"/>
      <c r="WRL1680" s="1740"/>
      <c r="WRM1680" s="1740"/>
      <c r="WRN1680" s="1740"/>
      <c r="WRO1680" s="1740"/>
      <c r="WRP1680" s="1740"/>
      <c r="WRQ1680" s="1740"/>
      <c r="WRR1680" s="1740"/>
      <c r="WRS1680" s="1740"/>
      <c r="WRT1680" s="1740"/>
      <c r="WRU1680" s="1740"/>
      <c r="WRV1680" s="1740"/>
      <c r="WRW1680" s="1740"/>
      <c r="WRX1680" s="1740"/>
      <c r="WRY1680" s="1740"/>
      <c r="WRZ1680" s="1740"/>
      <c r="WSA1680" s="1740"/>
      <c r="WSB1680" s="1740"/>
      <c r="WSC1680" s="1740"/>
      <c r="WSD1680" s="1740"/>
      <c r="WSE1680" s="1740"/>
      <c r="WSF1680" s="1740"/>
      <c r="WSG1680" s="1740"/>
      <c r="WSH1680" s="1740"/>
      <c r="WSI1680" s="1740"/>
      <c r="WSJ1680" s="1740"/>
      <c r="WSK1680" s="1740"/>
      <c r="WSL1680" s="1740"/>
      <c r="WSM1680" s="1740"/>
      <c r="WSN1680" s="1740"/>
      <c r="WSO1680" s="1740"/>
      <c r="WSP1680" s="1740"/>
      <c r="WSQ1680" s="1740"/>
      <c r="WSR1680" s="1740"/>
      <c r="WSS1680" s="1740"/>
      <c r="WST1680" s="1740"/>
      <c r="WSU1680" s="1740"/>
      <c r="WSV1680" s="1740"/>
      <c r="WSW1680" s="1740"/>
      <c r="WSX1680" s="1740"/>
      <c r="WSY1680" s="1740"/>
      <c r="WSZ1680" s="1740"/>
      <c r="WTA1680" s="1740"/>
      <c r="WTB1680" s="1740"/>
      <c r="WTC1680" s="1740"/>
      <c r="WTD1680" s="1740"/>
      <c r="WTE1680" s="1740"/>
      <c r="WTF1680" s="1740"/>
      <c r="WTG1680" s="1740"/>
      <c r="WTH1680" s="1740"/>
      <c r="WTI1680" s="1740"/>
      <c r="WTJ1680" s="1740"/>
      <c r="WTK1680" s="1740"/>
      <c r="WTL1680" s="1740"/>
      <c r="WTM1680" s="1740"/>
      <c r="WTN1680" s="1740"/>
      <c r="WTO1680" s="1740"/>
      <c r="WTP1680" s="1740"/>
      <c r="WTQ1680" s="1740"/>
      <c r="WTR1680" s="1740"/>
      <c r="WTS1680" s="1740"/>
      <c r="WTT1680" s="1740"/>
      <c r="WTU1680" s="1740"/>
      <c r="WTV1680" s="1740"/>
      <c r="WTW1680" s="1740"/>
      <c r="WTX1680" s="1740"/>
      <c r="WTY1680" s="1740"/>
      <c r="WTZ1680" s="1740"/>
      <c r="WUA1680" s="1740"/>
      <c r="WUB1680" s="1740"/>
      <c r="WUC1680" s="1740"/>
      <c r="WUD1680" s="1740"/>
      <c r="WUE1680" s="1740"/>
      <c r="WUF1680" s="1740"/>
      <c r="WUG1680" s="1740"/>
      <c r="WUH1680" s="1740"/>
      <c r="WUI1680" s="1740"/>
      <c r="WUJ1680" s="1740"/>
      <c r="WUK1680" s="1740"/>
      <c r="WUL1680" s="1740"/>
      <c r="WUM1680" s="1740"/>
      <c r="WUN1680" s="1740"/>
      <c r="WUO1680" s="1740"/>
      <c r="WUP1680" s="1740"/>
      <c r="WUQ1680" s="1740"/>
      <c r="WUR1680" s="1740"/>
      <c r="WUS1680" s="1740"/>
      <c r="WUT1680" s="1740"/>
      <c r="WUU1680" s="1740"/>
      <c r="WUV1680" s="1740"/>
      <c r="WUW1680" s="1740"/>
      <c r="WUX1680" s="1740"/>
      <c r="WUY1680" s="1740"/>
      <c r="WUZ1680" s="1740"/>
      <c r="WVA1680" s="1740"/>
      <c r="WVB1680" s="1740"/>
      <c r="WVC1680" s="1740"/>
      <c r="WVD1680" s="1740"/>
      <c r="WVE1680" s="1740"/>
      <c r="WVF1680" s="1740"/>
      <c r="WVG1680" s="1740"/>
      <c r="WVH1680" s="1740"/>
      <c r="WVI1680" s="1740"/>
      <c r="WVJ1680" s="1740"/>
      <c r="WVK1680" s="1740"/>
      <c r="WVL1680" s="1740"/>
      <c r="WVM1680" s="1740"/>
      <c r="WVN1680" s="1740"/>
      <c r="WVO1680" s="1740"/>
      <c r="WVP1680" s="1740"/>
      <c r="WVQ1680" s="1740"/>
      <c r="WVR1680" s="1740"/>
      <c r="WVS1680" s="1740"/>
      <c r="WVT1680" s="1740"/>
      <c r="WVU1680" s="1740"/>
      <c r="WVV1680" s="1740"/>
      <c r="WVW1680" s="1740"/>
      <c r="WVX1680" s="1740"/>
      <c r="WVY1680" s="1740"/>
      <c r="WVZ1680" s="1740"/>
      <c r="WWA1680" s="1740"/>
      <c r="WWB1680" s="1740"/>
      <c r="WWC1680" s="1740"/>
      <c r="WWD1680" s="1740"/>
      <c r="WWE1680" s="1740"/>
      <c r="WWF1680" s="1740"/>
      <c r="WWG1680" s="1740"/>
      <c r="WWH1680" s="1740"/>
      <c r="WWI1680" s="1740"/>
      <c r="WWJ1680" s="1740"/>
      <c r="WWK1680" s="1740"/>
      <c r="WWL1680" s="1740"/>
      <c r="WWM1680" s="1740"/>
      <c r="WWN1680" s="1740"/>
      <c r="WWO1680" s="1740"/>
      <c r="WWP1680" s="1740"/>
      <c r="WWQ1680" s="1740"/>
      <c r="WWR1680" s="1740"/>
      <c r="WWS1680" s="1740"/>
      <c r="WWT1680" s="1740"/>
      <c r="WWU1680" s="1740"/>
      <c r="WWV1680" s="1740"/>
      <c r="WWW1680" s="1740"/>
      <c r="WWX1680" s="1740"/>
      <c r="WWY1680" s="1740"/>
      <c r="WWZ1680" s="1740"/>
      <c r="WXA1680" s="1740"/>
      <c r="WXB1680" s="1740"/>
      <c r="WXC1680" s="1740"/>
      <c r="WXD1680" s="1740"/>
      <c r="WXE1680" s="1740"/>
      <c r="WXF1680" s="1740"/>
      <c r="WXG1680" s="1740"/>
      <c r="WXH1680" s="1740"/>
      <c r="WXI1680" s="1740"/>
      <c r="WXJ1680" s="1740"/>
      <c r="WXK1680" s="1740"/>
      <c r="WXL1680" s="1740"/>
      <c r="WXM1680" s="1740"/>
      <c r="WXN1680" s="1740"/>
      <c r="WXO1680" s="1740"/>
      <c r="WXP1680" s="1740"/>
      <c r="WXQ1680" s="1740"/>
      <c r="WXR1680" s="1740"/>
      <c r="WXS1680" s="1740"/>
      <c r="WXT1680" s="1740"/>
      <c r="WXU1680" s="1740"/>
      <c r="WXV1680" s="1740"/>
      <c r="WXW1680" s="1740"/>
      <c r="WXX1680" s="1740"/>
      <c r="WXY1680" s="1740"/>
      <c r="WXZ1680" s="1740"/>
      <c r="WYA1680" s="1740"/>
      <c r="WYB1680" s="1740"/>
      <c r="WYC1680" s="1740"/>
      <c r="WYD1680" s="1740"/>
      <c r="WYE1680" s="1740"/>
      <c r="WYF1680" s="1740"/>
      <c r="WYG1680" s="1740"/>
      <c r="WYH1680" s="1740"/>
      <c r="WYI1680" s="1740"/>
      <c r="WYJ1680" s="1740"/>
      <c r="WYK1680" s="1740"/>
      <c r="WYL1680" s="1740"/>
      <c r="WYM1680" s="1740"/>
      <c r="WYN1680" s="1740"/>
      <c r="WYO1680" s="1740"/>
      <c r="WYP1680" s="1740"/>
      <c r="WYQ1680" s="1740"/>
      <c r="WYR1680" s="1740"/>
      <c r="WYS1680" s="1740"/>
      <c r="WYT1680" s="1740"/>
      <c r="WYU1680" s="1740"/>
      <c r="WYV1680" s="1740"/>
      <c r="WYW1680" s="1740"/>
      <c r="WYX1680" s="1740"/>
      <c r="WYY1680" s="1740"/>
      <c r="WYZ1680" s="1740"/>
      <c r="WZA1680" s="1740"/>
      <c r="WZB1680" s="1740"/>
      <c r="WZC1680" s="1740"/>
      <c r="WZD1680" s="1740"/>
      <c r="WZE1680" s="1740"/>
      <c r="WZF1680" s="1740"/>
      <c r="WZG1680" s="1740"/>
      <c r="WZH1680" s="1740"/>
      <c r="WZI1680" s="1740"/>
      <c r="WZJ1680" s="1740"/>
      <c r="WZK1680" s="1740"/>
      <c r="WZL1680" s="1740"/>
      <c r="WZM1680" s="1740"/>
      <c r="WZN1680" s="1740"/>
      <c r="WZO1680" s="1740"/>
      <c r="WZP1680" s="1740"/>
      <c r="WZQ1680" s="1740"/>
      <c r="WZR1680" s="1740"/>
      <c r="WZS1680" s="1740"/>
      <c r="WZT1680" s="1740"/>
      <c r="WZU1680" s="1740"/>
      <c r="WZV1680" s="1740"/>
      <c r="WZW1680" s="1740"/>
      <c r="WZX1680" s="1740"/>
      <c r="WZY1680" s="1740"/>
      <c r="WZZ1680" s="1740"/>
      <c r="XAA1680" s="1740"/>
      <c r="XAB1680" s="1740"/>
      <c r="XAC1680" s="1740"/>
      <c r="XAD1680" s="1740"/>
      <c r="XAE1680" s="1740"/>
      <c r="XAF1680" s="1740"/>
      <c r="XAG1680" s="1740"/>
      <c r="XAH1680" s="1740"/>
      <c r="XAI1680" s="1740"/>
      <c r="XAJ1680" s="1740"/>
      <c r="XAK1680" s="1740"/>
      <c r="XAL1680" s="1740"/>
      <c r="XAM1680" s="1740"/>
      <c r="XAN1680" s="1740"/>
      <c r="XAO1680" s="1740"/>
      <c r="XAP1680" s="1740"/>
      <c r="XAQ1680" s="1740"/>
      <c r="XAR1680" s="1740"/>
      <c r="XAS1680" s="1740"/>
      <c r="XAT1680" s="1740"/>
      <c r="XAU1680" s="1740"/>
      <c r="XAV1680" s="1740"/>
      <c r="XAW1680" s="1740"/>
      <c r="XAX1680" s="1740"/>
      <c r="XAY1680" s="1740"/>
      <c r="XAZ1680" s="1740"/>
      <c r="XBA1680" s="1740"/>
      <c r="XBB1680" s="1740"/>
      <c r="XBC1680" s="1740"/>
      <c r="XBD1680" s="1740"/>
      <c r="XBE1680" s="1740"/>
      <c r="XBF1680" s="1740"/>
      <c r="XBG1680" s="1740"/>
      <c r="XBH1680" s="1740"/>
      <c r="XBI1680" s="1740"/>
      <c r="XBJ1680" s="1740"/>
      <c r="XBK1680" s="1740"/>
      <c r="XBL1680" s="1740"/>
      <c r="XBM1680" s="1740"/>
      <c r="XBN1680" s="1740"/>
      <c r="XBO1680" s="1740"/>
      <c r="XBP1680" s="1740"/>
      <c r="XBQ1680" s="1740"/>
      <c r="XBR1680" s="1740"/>
      <c r="XBS1680" s="1740"/>
      <c r="XBT1680" s="1740"/>
      <c r="XBU1680" s="1740"/>
      <c r="XBV1680" s="1740"/>
      <c r="XBW1680" s="1740"/>
      <c r="XBX1680" s="1740"/>
      <c r="XBY1680" s="1740"/>
      <c r="XBZ1680" s="1740"/>
      <c r="XCA1680" s="1740"/>
      <c r="XCB1680" s="1740"/>
      <c r="XCC1680" s="1740"/>
      <c r="XCD1680" s="1740"/>
      <c r="XCE1680" s="1740"/>
      <c r="XCF1680" s="1740"/>
      <c r="XCG1680" s="1740"/>
      <c r="XCH1680" s="1740"/>
      <c r="XCI1680" s="1740"/>
      <c r="XCJ1680" s="1740"/>
      <c r="XCK1680" s="1740"/>
      <c r="XCL1680" s="1740"/>
      <c r="XCM1680" s="1740"/>
      <c r="XCN1680" s="1740"/>
      <c r="XCO1680" s="1740"/>
      <c r="XCP1680" s="1740"/>
      <c r="XCQ1680" s="1740"/>
      <c r="XCR1680" s="1740"/>
      <c r="XCS1680" s="1740"/>
      <c r="XCT1680" s="1740"/>
      <c r="XCU1680" s="1740"/>
      <c r="XCV1680" s="1740"/>
      <c r="XCW1680" s="1740"/>
      <c r="XCX1680" s="1740"/>
      <c r="XCY1680" s="1740"/>
      <c r="XCZ1680" s="1740"/>
      <c r="XDA1680" s="1740"/>
      <c r="XDB1680" s="1740"/>
      <c r="XDC1680" s="1740"/>
      <c r="XDD1680" s="1740"/>
      <c r="XDE1680" s="1740"/>
      <c r="XDF1680" s="1740"/>
      <c r="XDG1680" s="1740"/>
      <c r="XDH1680" s="1740"/>
      <c r="XDI1680" s="1740"/>
      <c r="XDJ1680" s="1740"/>
      <c r="XDK1680" s="1740"/>
      <c r="XDL1680" s="1740"/>
      <c r="XDM1680" s="1740"/>
      <c r="XDN1680" s="1740"/>
      <c r="XDO1680" s="1740"/>
      <c r="XDP1680" s="1740"/>
      <c r="XDQ1680" s="1740"/>
      <c r="XDR1680" s="1740"/>
      <c r="XDS1680" s="1740"/>
      <c r="XDT1680" s="1740"/>
      <c r="XDU1680" s="1740"/>
      <c r="XDV1680" s="1740"/>
      <c r="XDW1680" s="1740"/>
      <c r="XDX1680" s="1740"/>
      <c r="XDY1680" s="1740"/>
      <c r="XDZ1680" s="1740"/>
      <c r="XEA1680" s="1740"/>
      <c r="XEB1680" s="1740"/>
      <c r="XEC1680" s="1740"/>
      <c r="XED1680" s="1740"/>
      <c r="XEE1680" s="1740"/>
      <c r="XEF1680" s="1740"/>
      <c r="XEG1680" s="1740"/>
      <c r="XEH1680" s="1740"/>
      <c r="XEI1680" s="1740"/>
      <c r="XEJ1680" s="1740"/>
      <c r="XEK1680" s="1740"/>
      <c r="XEL1680" s="1740"/>
      <c r="XEM1680" s="1740"/>
      <c r="XEN1680" s="1740"/>
      <c r="XEO1680" s="1740"/>
      <c r="XEP1680" s="1740"/>
      <c r="XEQ1680" s="1740"/>
      <c r="XER1680" s="1740"/>
      <c r="XES1680" s="1740"/>
      <c r="XET1680" s="1740"/>
      <c r="XEU1680" s="1740"/>
      <c r="XEV1680" s="1740"/>
      <c r="XEW1680" s="1740"/>
      <c r="XEX1680" s="1740"/>
      <c r="XEY1680" s="1740"/>
      <c r="XEZ1680" s="1740"/>
      <c r="XFA1680" s="1740"/>
      <c r="XFB1680" s="1740"/>
      <c r="XFC1680" s="1740"/>
    </row>
    <row r="1681" spans="1:16382" s="1081" customFormat="1" ht="14.4" hidden="1" outlineLevel="1">
      <c r="A1681" s="1072" t="str">
        <f>A1680</f>
        <v/>
      </c>
      <c r="B1681" s="1295"/>
      <c r="C1681" s="1291"/>
      <c r="D1681" s="1292"/>
      <c r="E1681" s="1301" t="s">
        <v>3399</v>
      </c>
      <c r="F1681" s="1302"/>
      <c r="G1681" s="1303"/>
      <c r="H1681" s="1298"/>
      <c r="I1681" s="1298"/>
      <c r="J1681" s="1298"/>
      <c r="K1681" s="1298"/>
      <c r="L1681" s="1298">
        <f t="shared" si="390"/>
        <v>0</v>
      </c>
      <c r="M1681" s="1298">
        <f>I1681*G1681</f>
        <v>0</v>
      </c>
      <c r="N1681" s="1298">
        <f>J1681*G1681</f>
        <v>0</v>
      </c>
      <c r="O1681" s="1298">
        <f>K1681*G1681</f>
        <v>0</v>
      </c>
      <c r="P1681" s="1437"/>
      <c r="Q1681" s="1300"/>
      <c r="R1681" s="1300"/>
      <c r="S1681" s="1300"/>
    </row>
    <row r="1682" spans="1:16382" s="1081" customFormat="1" hidden="1" outlineLevel="1">
      <c r="A1682" s="1072" t="str">
        <f t="shared" ref="A1682:A1688" si="394">IF(G1682&lt;&gt;0,1,"")</f>
        <v/>
      </c>
      <c r="B1682" s="1295" t="s">
        <v>5700</v>
      </c>
      <c r="C1682" s="1291"/>
      <c r="D1682" s="1198">
        <f>VLOOKUP($B1682,dongia1,DG!$B$5,)</f>
        <v>0</v>
      </c>
      <c r="E1682" s="1243" t="str">
        <f>VLOOKUP($B1682,dongia1,DG!$C$5,)</f>
        <v>Sắt góc L75 x75 x8x2400 (4 ốp)</v>
      </c>
      <c r="F1682" s="1198" t="str">
        <f>VLOOKUP($B1682,dongia1,DG!$D$5,)</f>
        <v xml:space="preserve">thanh </v>
      </c>
      <c r="G1682" s="1508">
        <f>G1680*2</f>
        <v>0</v>
      </c>
      <c r="H1682" s="1298">
        <f>VLOOKUP($B1682,dongia1,DG!$F$5,)</f>
        <v>680540.50480000011</v>
      </c>
      <c r="I1682" s="1298"/>
      <c r="J1682" s="1399">
        <f>VLOOKUP($B1682,dongia1,DG!$G$5,)</f>
        <v>0</v>
      </c>
      <c r="K1682" s="1298"/>
      <c r="L1682" s="1298">
        <f t="shared" si="390"/>
        <v>0</v>
      </c>
      <c r="M1682" s="1298"/>
      <c r="N1682" s="1298"/>
      <c r="O1682" s="1298"/>
      <c r="P1682" s="1437"/>
      <c r="Q1682" s="1300"/>
      <c r="R1682" s="1300"/>
      <c r="S1682" s="1300"/>
    </row>
    <row r="1683" spans="1:16382" s="1081" customFormat="1" hidden="1" outlineLevel="1">
      <c r="A1683" s="1072" t="str">
        <f t="shared" si="394"/>
        <v/>
      </c>
      <c r="B1683" s="696" t="s">
        <v>4930</v>
      </c>
      <c r="C1683" s="1291"/>
      <c r="D1683" s="1198">
        <f>VLOOKUP($B1683,dongia1,DG!$B$5,)</f>
        <v>0</v>
      </c>
      <c r="E1683" s="1243" t="str">
        <f>VLOOKUP($B1683,dongia1,DG!$C$5,)&amp;" (Thanh choáng 810)"</f>
        <v>Sắt góc L50 x50 x5x810 (Thanh choáng 810)</v>
      </c>
      <c r="F1683" s="1198" t="str">
        <f>VLOOKUP($B1683,dongia1,DG!$D$5,)</f>
        <v xml:space="preserve">thanh </v>
      </c>
      <c r="G1683" s="1508">
        <f>G1682*2</f>
        <v>0</v>
      </c>
      <c r="H1683" s="1298">
        <f>VLOOKUP($B1683,dongia1,DG!$F$5,)</f>
        <v>86065.309080000006</v>
      </c>
      <c r="I1683" s="1298"/>
      <c r="J1683" s="1399">
        <f>VLOOKUP($B1683,dongia1,DG!$G$5,)</f>
        <v>0</v>
      </c>
      <c r="K1683" s="1298"/>
      <c r="L1683" s="1298">
        <f t="shared" si="390"/>
        <v>0</v>
      </c>
      <c r="M1683" s="1298"/>
      <c r="N1683" s="1298"/>
      <c r="O1683" s="1298"/>
      <c r="P1683" s="1437"/>
      <c r="Q1683" s="1300"/>
      <c r="R1683" s="1300"/>
      <c r="S1683" s="1300"/>
    </row>
    <row r="1684" spans="1:16382" s="1081" customFormat="1" hidden="1" outlineLevel="1">
      <c r="A1684" s="1072" t="str">
        <f t="shared" si="394"/>
        <v/>
      </c>
      <c r="B1684" s="1295" t="s">
        <v>1262</v>
      </c>
      <c r="C1684" s="1291"/>
      <c r="D1684" s="1198">
        <f>VLOOKUP($B1684,dongia1,DG!$B$5,)</f>
        <v>0</v>
      </c>
      <c r="E1684" s="1243" t="str">
        <f>VLOOKUP($B1684,dongia1,DG!$C$5,)</f>
        <v>Boulon 16x300+ 2 long đền vuông D18-50x50x3/Zn</v>
      </c>
      <c r="F1684" s="1198" t="str">
        <f>VLOOKUP($B1684,dongia1,DG!$D$5,)</f>
        <v>bộ</v>
      </c>
      <c r="G1684" s="1508">
        <f>G1680*2</f>
        <v>0</v>
      </c>
      <c r="H1684" s="1298">
        <f>VLOOKUP($B1684,dongia1,DG!$F$5,)</f>
        <v>25400</v>
      </c>
      <c r="I1684" s="1298">
        <v>0</v>
      </c>
      <c r="J1684" s="1399">
        <f>VLOOKUP($B1684,dongia1,DG!$G$5,)</f>
        <v>0</v>
      </c>
      <c r="K1684" s="1298"/>
      <c r="L1684" s="1298">
        <f t="shared" si="390"/>
        <v>0</v>
      </c>
      <c r="M1684" s="1298"/>
      <c r="N1684" s="1399">
        <f t="shared" ref="N1684:N1696" si="395">G1684*J1684</f>
        <v>0</v>
      </c>
      <c r="O1684" s="1298"/>
      <c r="P1684" s="1437"/>
      <c r="Q1684" s="1300"/>
      <c r="R1684" s="1300"/>
      <c r="S1684" s="1300"/>
    </row>
    <row r="1685" spans="1:16382" s="1081" customFormat="1" hidden="1" outlineLevel="1">
      <c r="A1685" s="1072" t="str">
        <f t="shared" si="394"/>
        <v/>
      </c>
      <c r="B1685" s="1295" t="s">
        <v>1044</v>
      </c>
      <c r="C1685" s="1291"/>
      <c r="D1685" s="1198">
        <f>VLOOKUP($B1685,dongia1,DG!$B$5,)</f>
        <v>0</v>
      </c>
      <c r="E1685" s="1243" t="str">
        <f>VLOOKUP($B1685,dongia1,DG!$C$5,)</f>
        <v>Boulon 16x50+ 2 long đền vuông D18-50x50x3/Zn</v>
      </c>
      <c r="F1685" s="1198" t="str">
        <f>VLOOKUP($B1685,dongia1,DG!$D$5,)</f>
        <v>bộ</v>
      </c>
      <c r="G1685" s="1508">
        <f>G1680*4</f>
        <v>0</v>
      </c>
      <c r="H1685" s="1298">
        <f>VLOOKUP($B1685,dongia1,DG!$F$5,)</f>
        <v>12400</v>
      </c>
      <c r="I1685" s="1298">
        <v>0</v>
      </c>
      <c r="J1685" s="1399">
        <f>VLOOKUP($B1685,dongia1,DG!$G$5,)</f>
        <v>0</v>
      </c>
      <c r="K1685" s="1298"/>
      <c r="L1685" s="1298">
        <f t="shared" si="390"/>
        <v>0</v>
      </c>
      <c r="M1685" s="1298"/>
      <c r="N1685" s="1399">
        <f t="shared" si="395"/>
        <v>0</v>
      </c>
      <c r="O1685" s="1298"/>
      <c r="P1685" s="1437"/>
      <c r="Q1685" s="1300"/>
      <c r="R1685" s="1300"/>
      <c r="S1685" s="1300"/>
    </row>
    <row r="1686" spans="1:16382" s="1081" customFormat="1" hidden="1" outlineLevel="1">
      <c r="A1686" s="1072" t="str">
        <f t="shared" si="394"/>
        <v/>
      </c>
      <c r="B1686" s="1295" t="s">
        <v>1042</v>
      </c>
      <c r="C1686" s="1291"/>
      <c r="D1686" s="1198">
        <f>VLOOKUP($B1686,dongia1,DG!$B$5,)</f>
        <v>0</v>
      </c>
      <c r="E1686" s="1243" t="str">
        <f>VLOOKUP($B1686,dongia1,DG!$C$5,)</f>
        <v>Boulon 16x300VRS+ 4 long đền vuông D18-50x50x3/Zn</v>
      </c>
      <c r="F1686" s="1198" t="str">
        <f>VLOOKUP($B1686,dongia1,DG!$D$5,)</f>
        <v>bộ</v>
      </c>
      <c r="G1686" s="1508">
        <f>G1680*4</f>
        <v>0</v>
      </c>
      <c r="H1686" s="1298">
        <f>VLOOKUP($B1686,dongia1,DG!$F$5,)</f>
        <v>31800</v>
      </c>
      <c r="I1686" s="1298">
        <v>0</v>
      </c>
      <c r="J1686" s="1399">
        <f>VLOOKUP($B1686,dongia1,DG!$G$5,)</f>
        <v>0</v>
      </c>
      <c r="K1686" s="1298">
        <v>0</v>
      </c>
      <c r="L1686" s="1298">
        <f t="shared" si="390"/>
        <v>0</v>
      </c>
      <c r="M1686" s="1298">
        <f>I1686*G1686</f>
        <v>0</v>
      </c>
      <c r="N1686" s="1399">
        <f t="shared" si="395"/>
        <v>0</v>
      </c>
      <c r="O1686" s="1298">
        <f>K1686*G1686</f>
        <v>0</v>
      </c>
      <c r="P1686" s="1437"/>
      <c r="Q1686" s="1300"/>
      <c r="R1686" s="1300"/>
      <c r="S1686" s="1300"/>
    </row>
    <row r="1687" spans="1:16382" s="1081" customFormat="1" hidden="1" outlineLevel="1">
      <c r="A1687" s="1072" t="str">
        <f t="shared" si="394"/>
        <v/>
      </c>
      <c r="B1687" s="16" t="s">
        <v>813</v>
      </c>
      <c r="C1687" s="1291"/>
      <c r="D1687" s="1198" t="str">
        <f>VLOOKUP($B1687,dongia1,DG!$B$5,)</f>
        <v>D2.6031</v>
      </c>
      <c r="E1687" s="1243" t="str">
        <f>VLOOKUP($B1687,dongia1,DG!$C$5,)</f>
        <v>Lắp xà đỡ 50kg</v>
      </c>
      <c r="F1687" s="1198" t="str">
        <f>VLOOKUP($B1687,dongia1,DG!$D$5,)</f>
        <v>bộ</v>
      </c>
      <c r="G1687" s="1508">
        <f>G1682</f>
        <v>0</v>
      </c>
      <c r="H1687" s="1298">
        <v>0</v>
      </c>
      <c r="I1687" s="1298"/>
      <c r="J1687" s="1399">
        <f>VLOOKUP($B1687,dongia1,DG!$G$5,)</f>
        <v>296544.75</v>
      </c>
      <c r="K1687" s="1298"/>
      <c r="L1687" s="1298">
        <f t="shared" si="390"/>
        <v>0</v>
      </c>
      <c r="M1687" s="1298"/>
      <c r="N1687" s="1399">
        <f t="shared" si="395"/>
        <v>0</v>
      </c>
      <c r="O1687" s="1298"/>
      <c r="P1687" s="1437"/>
      <c r="Q1687" s="1300"/>
      <c r="R1687" s="1300"/>
      <c r="S1687" s="1300"/>
    </row>
    <row r="1688" spans="1:16382" s="1081" customFormat="1" hidden="1" outlineLevel="1">
      <c r="A1688" s="1731" t="str">
        <f t="shared" si="394"/>
        <v/>
      </c>
      <c r="B1688" s="1732"/>
      <c r="C1688" s="166">
        <f>IF(G1688&gt;0,C1680+1,C1680)</f>
        <v>0</v>
      </c>
      <c r="D1688" s="1733"/>
      <c r="E1688" s="168" t="s">
        <v>3454</v>
      </c>
      <c r="F1688" s="169" t="s">
        <v>2113</v>
      </c>
      <c r="G1688" s="1734"/>
      <c r="H1688" s="193"/>
      <c r="I1688" s="170"/>
      <c r="J1688" s="1736"/>
      <c r="K1688" s="1736"/>
      <c r="L1688" s="1737">
        <f t="shared" si="390"/>
        <v>0</v>
      </c>
      <c r="M1688" s="64">
        <f>I1688*G1688</f>
        <v>0</v>
      </c>
      <c r="N1688" s="1737">
        <f t="shared" si="395"/>
        <v>0</v>
      </c>
      <c r="O1688" s="1737">
        <f>K1688*G1688</f>
        <v>0</v>
      </c>
      <c r="P1688" s="1739"/>
      <c r="Q1688" s="1740"/>
      <c r="R1688" s="1740"/>
      <c r="S1688" s="1740"/>
      <c r="T1688" s="1740"/>
      <c r="U1688" s="1740"/>
      <c r="V1688" s="1740"/>
      <c r="W1688" s="1740"/>
      <c r="X1688" s="1740"/>
      <c r="Y1688" s="1740"/>
      <c r="Z1688" s="1740"/>
      <c r="AA1688" s="1740"/>
      <c r="AB1688" s="1740"/>
      <c r="AC1688" s="1740"/>
      <c r="AD1688" s="1740"/>
      <c r="AE1688" s="1740"/>
      <c r="AF1688" s="1740"/>
      <c r="AG1688" s="1740"/>
      <c r="AH1688" s="1740"/>
      <c r="AI1688" s="1740"/>
      <c r="AJ1688" s="1740"/>
      <c r="AK1688" s="1740"/>
      <c r="AL1688" s="1740"/>
      <c r="AM1688" s="1740"/>
      <c r="AN1688" s="1740"/>
      <c r="AO1688" s="1740"/>
      <c r="AP1688" s="1740"/>
      <c r="AQ1688" s="1740"/>
      <c r="AR1688" s="1740"/>
      <c r="AS1688" s="1740"/>
      <c r="AT1688" s="1740"/>
      <c r="AU1688" s="1740"/>
      <c r="AV1688" s="1740"/>
      <c r="AW1688" s="1740"/>
      <c r="AX1688" s="1740"/>
      <c r="AY1688" s="1740"/>
      <c r="AZ1688" s="1740"/>
      <c r="BA1688" s="1740"/>
      <c r="BB1688" s="1740"/>
      <c r="BC1688" s="1740"/>
      <c r="BD1688" s="1740"/>
      <c r="BE1688" s="1740"/>
      <c r="BF1688" s="1740"/>
      <c r="BG1688" s="1740"/>
      <c r="BH1688" s="1740"/>
      <c r="BI1688" s="1740"/>
      <c r="BJ1688" s="1740"/>
      <c r="BK1688" s="1740"/>
      <c r="BL1688" s="1740"/>
      <c r="BM1688" s="1740"/>
      <c r="BN1688" s="1740"/>
      <c r="BO1688" s="1740"/>
      <c r="BP1688" s="1740"/>
      <c r="BQ1688" s="1740"/>
      <c r="BR1688" s="1740"/>
      <c r="BS1688" s="1740"/>
      <c r="BT1688" s="1740"/>
      <c r="BU1688" s="1740"/>
      <c r="BV1688" s="1740"/>
      <c r="BW1688" s="1740"/>
      <c r="BX1688" s="1740"/>
      <c r="BY1688" s="1740"/>
      <c r="BZ1688" s="1740"/>
      <c r="CA1688" s="1740"/>
      <c r="CB1688" s="1740"/>
      <c r="CC1688" s="1740"/>
      <c r="CD1688" s="1740"/>
      <c r="CE1688" s="1740"/>
      <c r="CF1688" s="1740"/>
      <c r="CG1688" s="1740"/>
      <c r="CH1688" s="1740"/>
      <c r="CI1688" s="1740"/>
      <c r="CJ1688" s="1740"/>
      <c r="CK1688" s="1740"/>
      <c r="CL1688" s="1740"/>
      <c r="CM1688" s="1740"/>
      <c r="CN1688" s="1740"/>
      <c r="CO1688" s="1740"/>
      <c r="CP1688" s="1740"/>
      <c r="CQ1688" s="1740"/>
      <c r="CR1688" s="1740"/>
      <c r="CS1688" s="1740"/>
      <c r="CT1688" s="1740"/>
      <c r="CU1688" s="1740"/>
      <c r="CV1688" s="1740"/>
      <c r="CW1688" s="1740"/>
      <c r="CX1688" s="1740"/>
      <c r="CY1688" s="1740"/>
      <c r="CZ1688" s="1740"/>
      <c r="DA1688" s="1740"/>
      <c r="DB1688" s="1740"/>
      <c r="DC1688" s="1740"/>
      <c r="DD1688" s="1740"/>
      <c r="DE1688" s="1740"/>
      <c r="DF1688" s="1740"/>
      <c r="DG1688" s="1740"/>
      <c r="DH1688" s="1740"/>
      <c r="DI1688" s="1740"/>
      <c r="DJ1688" s="1740"/>
      <c r="DK1688" s="1740"/>
      <c r="DL1688" s="1740"/>
      <c r="DM1688" s="1740"/>
      <c r="DN1688" s="1740"/>
      <c r="DO1688" s="1740"/>
      <c r="DP1688" s="1740"/>
      <c r="DQ1688" s="1740"/>
      <c r="DR1688" s="1740"/>
      <c r="DS1688" s="1740"/>
      <c r="DT1688" s="1740"/>
      <c r="DU1688" s="1740"/>
      <c r="DV1688" s="1740"/>
      <c r="DW1688" s="1740"/>
      <c r="DX1688" s="1740"/>
      <c r="DY1688" s="1740"/>
      <c r="DZ1688" s="1740"/>
      <c r="EA1688" s="1740"/>
      <c r="EB1688" s="1740"/>
      <c r="EC1688" s="1740"/>
      <c r="ED1688" s="1740"/>
      <c r="EE1688" s="1740"/>
      <c r="EF1688" s="1740"/>
      <c r="EG1688" s="1740"/>
      <c r="EH1688" s="1740"/>
      <c r="EI1688" s="1740"/>
      <c r="EJ1688" s="1740"/>
      <c r="EK1688" s="1740"/>
      <c r="EL1688" s="1740"/>
      <c r="EM1688" s="1740"/>
      <c r="EN1688" s="1740"/>
      <c r="EO1688" s="1740"/>
      <c r="EP1688" s="1740"/>
      <c r="EQ1688" s="1740"/>
      <c r="ER1688" s="1740"/>
      <c r="ES1688" s="1740"/>
      <c r="ET1688" s="1740"/>
      <c r="EU1688" s="1740"/>
      <c r="EV1688" s="1740"/>
      <c r="EW1688" s="1740"/>
      <c r="EX1688" s="1740"/>
      <c r="EY1688" s="1740"/>
      <c r="EZ1688" s="1740"/>
      <c r="FA1688" s="1740"/>
      <c r="FB1688" s="1740"/>
      <c r="FC1688" s="1740"/>
      <c r="FD1688" s="1740"/>
      <c r="FE1688" s="1740"/>
      <c r="FF1688" s="1740"/>
      <c r="FG1688" s="1740"/>
      <c r="FH1688" s="1740"/>
      <c r="FI1688" s="1740"/>
      <c r="FJ1688" s="1740"/>
      <c r="FK1688" s="1740"/>
      <c r="FL1688" s="1740"/>
      <c r="FM1688" s="1740"/>
      <c r="FN1688" s="1740"/>
      <c r="FO1688" s="1740"/>
      <c r="FP1688" s="1740"/>
      <c r="FQ1688" s="1740"/>
      <c r="FR1688" s="1740"/>
      <c r="FS1688" s="1740"/>
      <c r="FT1688" s="1740"/>
      <c r="FU1688" s="1740"/>
      <c r="FV1688" s="1740"/>
      <c r="FW1688" s="1740"/>
      <c r="FX1688" s="1740"/>
      <c r="FY1688" s="1740"/>
      <c r="FZ1688" s="1740"/>
      <c r="GA1688" s="1740"/>
      <c r="GB1688" s="1740"/>
      <c r="GC1688" s="1740"/>
      <c r="GD1688" s="1740"/>
      <c r="GE1688" s="1740"/>
      <c r="GF1688" s="1740"/>
      <c r="GG1688" s="1740"/>
      <c r="GH1688" s="1740"/>
      <c r="GI1688" s="1740"/>
      <c r="GJ1688" s="1740"/>
      <c r="GK1688" s="1740"/>
      <c r="GL1688" s="1740"/>
      <c r="GM1688" s="1740"/>
      <c r="GN1688" s="1740"/>
      <c r="GO1688" s="1740"/>
      <c r="GP1688" s="1740"/>
      <c r="GQ1688" s="1740"/>
      <c r="GR1688" s="1740"/>
      <c r="GS1688" s="1740"/>
      <c r="GT1688" s="1740"/>
      <c r="GU1688" s="1740"/>
      <c r="GV1688" s="1740"/>
      <c r="GW1688" s="1740"/>
      <c r="GX1688" s="1740"/>
      <c r="GY1688" s="1740"/>
      <c r="GZ1688" s="1740"/>
      <c r="HA1688" s="1740"/>
      <c r="HB1688" s="1740"/>
      <c r="HC1688" s="1740"/>
      <c r="HD1688" s="1740"/>
      <c r="HE1688" s="1740"/>
      <c r="HF1688" s="1740"/>
      <c r="HG1688" s="1740"/>
      <c r="HH1688" s="1740"/>
      <c r="HI1688" s="1740"/>
      <c r="HJ1688" s="1740"/>
      <c r="HK1688" s="1740"/>
      <c r="HL1688" s="1740"/>
      <c r="HM1688" s="1740"/>
      <c r="HN1688" s="1740"/>
      <c r="HO1688" s="1740"/>
      <c r="HP1688" s="1740"/>
      <c r="HQ1688" s="1740"/>
      <c r="HR1688" s="1740"/>
      <c r="HS1688" s="1740"/>
      <c r="HT1688" s="1740"/>
      <c r="HU1688" s="1740"/>
      <c r="HV1688" s="1740"/>
      <c r="HW1688" s="1740"/>
      <c r="HX1688" s="1740"/>
      <c r="HY1688" s="1740"/>
      <c r="HZ1688" s="1740"/>
      <c r="IA1688" s="1740"/>
      <c r="IB1688" s="1740"/>
      <c r="IC1688" s="1740"/>
      <c r="ID1688" s="1740"/>
      <c r="IE1688" s="1740"/>
      <c r="IF1688" s="1740"/>
      <c r="IG1688" s="1740"/>
      <c r="IH1688" s="1740"/>
      <c r="II1688" s="1740"/>
      <c r="IJ1688" s="1740"/>
      <c r="IK1688" s="1740"/>
      <c r="IL1688" s="1740"/>
      <c r="IM1688" s="1740"/>
      <c r="IN1688" s="1740"/>
      <c r="IO1688" s="1740"/>
      <c r="IP1688" s="1740"/>
      <c r="IQ1688" s="1740"/>
      <c r="IR1688" s="1740"/>
      <c r="IS1688" s="1740"/>
      <c r="IT1688" s="1740"/>
      <c r="IU1688" s="1740"/>
      <c r="IV1688" s="1740"/>
      <c r="IW1688" s="1740"/>
      <c r="IX1688" s="1740"/>
      <c r="IY1688" s="1740"/>
      <c r="IZ1688" s="1740"/>
      <c r="JA1688" s="1740"/>
      <c r="JB1688" s="1740"/>
      <c r="JC1688" s="1740"/>
      <c r="JD1688" s="1740"/>
      <c r="JE1688" s="1740"/>
      <c r="JF1688" s="1740"/>
      <c r="JG1688" s="1740"/>
      <c r="JH1688" s="1740"/>
      <c r="JI1688" s="1740"/>
      <c r="JJ1688" s="1740"/>
      <c r="JK1688" s="1740"/>
      <c r="JL1688" s="1740"/>
      <c r="JM1688" s="1740"/>
      <c r="JN1688" s="1740"/>
      <c r="JO1688" s="1740"/>
      <c r="JP1688" s="1740"/>
      <c r="JQ1688" s="1740"/>
      <c r="JR1688" s="1740"/>
      <c r="JS1688" s="1740"/>
      <c r="JT1688" s="1740"/>
      <c r="JU1688" s="1740"/>
      <c r="JV1688" s="1740"/>
      <c r="JW1688" s="1740"/>
      <c r="JX1688" s="1740"/>
      <c r="JY1688" s="1740"/>
      <c r="JZ1688" s="1740"/>
      <c r="KA1688" s="1740"/>
      <c r="KB1688" s="1740"/>
      <c r="KC1688" s="1740"/>
      <c r="KD1688" s="1740"/>
      <c r="KE1688" s="1740"/>
      <c r="KF1688" s="1740"/>
      <c r="KG1688" s="1740"/>
      <c r="KH1688" s="1740"/>
      <c r="KI1688" s="1740"/>
      <c r="KJ1688" s="1740"/>
      <c r="KK1688" s="1740"/>
      <c r="KL1688" s="1740"/>
      <c r="KM1688" s="1740"/>
      <c r="KN1688" s="1740"/>
      <c r="KO1688" s="1740"/>
      <c r="KP1688" s="1740"/>
      <c r="KQ1688" s="1740"/>
      <c r="KR1688" s="1740"/>
      <c r="KS1688" s="1740"/>
      <c r="KT1688" s="1740"/>
      <c r="KU1688" s="1740"/>
      <c r="KV1688" s="1740"/>
      <c r="KW1688" s="1740"/>
      <c r="KX1688" s="1740"/>
      <c r="KY1688" s="1740"/>
      <c r="KZ1688" s="1740"/>
      <c r="LA1688" s="1740"/>
      <c r="LB1688" s="1740"/>
      <c r="LC1688" s="1740"/>
      <c r="LD1688" s="1740"/>
      <c r="LE1688" s="1740"/>
      <c r="LF1688" s="1740"/>
      <c r="LG1688" s="1740"/>
      <c r="LH1688" s="1740"/>
      <c r="LI1688" s="1740"/>
      <c r="LJ1688" s="1740"/>
      <c r="LK1688" s="1740"/>
      <c r="LL1688" s="1740"/>
      <c r="LM1688" s="1740"/>
      <c r="LN1688" s="1740"/>
      <c r="LO1688" s="1740"/>
      <c r="LP1688" s="1740"/>
      <c r="LQ1688" s="1740"/>
      <c r="LR1688" s="1740"/>
      <c r="LS1688" s="1740"/>
      <c r="LT1688" s="1740"/>
      <c r="LU1688" s="1740"/>
      <c r="LV1688" s="1740"/>
      <c r="LW1688" s="1740"/>
      <c r="LX1688" s="1740"/>
      <c r="LY1688" s="1740"/>
      <c r="LZ1688" s="1740"/>
      <c r="MA1688" s="1740"/>
      <c r="MB1688" s="1740"/>
      <c r="MC1688" s="1740"/>
      <c r="MD1688" s="1740"/>
      <c r="ME1688" s="1740"/>
      <c r="MF1688" s="1740"/>
      <c r="MG1688" s="1740"/>
      <c r="MH1688" s="1740"/>
      <c r="MI1688" s="1740"/>
      <c r="MJ1688" s="1740"/>
      <c r="MK1688" s="1740"/>
      <c r="ML1688" s="1740"/>
      <c r="MM1688" s="1740"/>
      <c r="MN1688" s="1740"/>
      <c r="MO1688" s="1740"/>
      <c r="MP1688" s="1740"/>
      <c r="MQ1688" s="1740"/>
      <c r="MR1688" s="1740"/>
      <c r="MS1688" s="1740"/>
      <c r="MT1688" s="1740"/>
      <c r="MU1688" s="1740"/>
      <c r="MV1688" s="1740"/>
      <c r="MW1688" s="1740"/>
      <c r="MX1688" s="1740"/>
      <c r="MY1688" s="1740"/>
      <c r="MZ1688" s="1740"/>
      <c r="NA1688" s="1740"/>
      <c r="NB1688" s="1740"/>
      <c r="NC1688" s="1740"/>
      <c r="ND1688" s="1740"/>
      <c r="NE1688" s="1740"/>
      <c r="NF1688" s="1740"/>
      <c r="NG1688" s="1740"/>
      <c r="NH1688" s="1740"/>
      <c r="NI1688" s="1740"/>
      <c r="NJ1688" s="1740"/>
      <c r="NK1688" s="1740"/>
      <c r="NL1688" s="1740"/>
      <c r="NM1688" s="1740"/>
      <c r="NN1688" s="1740"/>
      <c r="NO1688" s="1740"/>
      <c r="NP1688" s="1740"/>
      <c r="NQ1688" s="1740"/>
      <c r="NR1688" s="1740"/>
      <c r="NS1688" s="1740"/>
      <c r="NT1688" s="1740"/>
      <c r="NU1688" s="1740"/>
      <c r="NV1688" s="1740"/>
      <c r="NW1688" s="1740"/>
      <c r="NX1688" s="1740"/>
      <c r="NY1688" s="1740"/>
      <c r="NZ1688" s="1740"/>
      <c r="OA1688" s="1740"/>
      <c r="OB1688" s="1740"/>
      <c r="OC1688" s="1740"/>
      <c r="OD1688" s="1740"/>
      <c r="OE1688" s="1740"/>
      <c r="OF1688" s="1740"/>
      <c r="OG1688" s="1740"/>
      <c r="OH1688" s="1740"/>
      <c r="OI1688" s="1740"/>
      <c r="OJ1688" s="1740"/>
      <c r="OK1688" s="1740"/>
      <c r="OL1688" s="1740"/>
      <c r="OM1688" s="1740"/>
      <c r="ON1688" s="1740"/>
      <c r="OO1688" s="1740"/>
      <c r="OP1688" s="1740"/>
      <c r="OQ1688" s="1740"/>
      <c r="OR1688" s="1740"/>
      <c r="OS1688" s="1740"/>
      <c r="OT1688" s="1740"/>
      <c r="OU1688" s="1740"/>
      <c r="OV1688" s="1740"/>
      <c r="OW1688" s="1740"/>
      <c r="OX1688" s="1740"/>
      <c r="OY1688" s="1740"/>
      <c r="OZ1688" s="1740"/>
      <c r="PA1688" s="1740"/>
      <c r="PB1688" s="1740"/>
      <c r="PC1688" s="1740"/>
      <c r="PD1688" s="1740"/>
      <c r="PE1688" s="1740"/>
      <c r="PF1688" s="1740"/>
      <c r="PG1688" s="1740"/>
      <c r="PH1688" s="1740"/>
      <c r="PI1688" s="1740"/>
      <c r="PJ1688" s="1740"/>
      <c r="PK1688" s="1740"/>
      <c r="PL1688" s="1740"/>
      <c r="PM1688" s="1740"/>
      <c r="PN1688" s="1740"/>
      <c r="PO1688" s="1740"/>
      <c r="PP1688" s="1740"/>
      <c r="PQ1688" s="1740"/>
      <c r="PR1688" s="1740"/>
      <c r="PS1688" s="1740"/>
      <c r="PT1688" s="1740"/>
      <c r="PU1688" s="1740"/>
      <c r="PV1688" s="1740"/>
      <c r="PW1688" s="1740"/>
      <c r="PX1688" s="1740"/>
      <c r="PY1688" s="1740"/>
      <c r="PZ1688" s="1740"/>
      <c r="QA1688" s="1740"/>
      <c r="QB1688" s="1740"/>
      <c r="QC1688" s="1740"/>
      <c r="QD1688" s="1740"/>
      <c r="QE1688" s="1740"/>
      <c r="QF1688" s="1740"/>
      <c r="QG1688" s="1740"/>
      <c r="QH1688" s="1740"/>
      <c r="QI1688" s="1740"/>
      <c r="QJ1688" s="1740"/>
      <c r="QK1688" s="1740"/>
      <c r="QL1688" s="1740"/>
      <c r="QM1688" s="1740"/>
      <c r="QN1688" s="1740"/>
      <c r="QO1688" s="1740"/>
      <c r="QP1688" s="1740"/>
      <c r="QQ1688" s="1740"/>
      <c r="QR1688" s="1740"/>
      <c r="QS1688" s="1740"/>
      <c r="QT1688" s="1740"/>
      <c r="QU1688" s="1740"/>
      <c r="QV1688" s="1740"/>
      <c r="QW1688" s="1740"/>
      <c r="QX1688" s="1740"/>
      <c r="QY1688" s="1740"/>
      <c r="QZ1688" s="1740"/>
      <c r="RA1688" s="1740"/>
      <c r="RB1688" s="1740"/>
      <c r="RC1688" s="1740"/>
      <c r="RD1688" s="1740"/>
      <c r="RE1688" s="1740"/>
      <c r="RF1688" s="1740"/>
      <c r="RG1688" s="1740"/>
      <c r="RH1688" s="1740"/>
      <c r="RI1688" s="1740"/>
      <c r="RJ1688" s="1740"/>
      <c r="RK1688" s="1740"/>
      <c r="RL1688" s="1740"/>
      <c r="RM1688" s="1740"/>
      <c r="RN1688" s="1740"/>
      <c r="RO1688" s="1740"/>
      <c r="RP1688" s="1740"/>
      <c r="RQ1688" s="1740"/>
      <c r="RR1688" s="1740"/>
      <c r="RS1688" s="1740"/>
      <c r="RT1688" s="1740"/>
      <c r="RU1688" s="1740"/>
      <c r="RV1688" s="1740"/>
      <c r="RW1688" s="1740"/>
      <c r="RX1688" s="1740"/>
      <c r="RY1688" s="1740"/>
      <c r="RZ1688" s="1740"/>
      <c r="SA1688" s="1740"/>
      <c r="SB1688" s="1740"/>
      <c r="SC1688" s="1740"/>
      <c r="SD1688" s="1740"/>
      <c r="SE1688" s="1740"/>
      <c r="SF1688" s="1740"/>
      <c r="SG1688" s="1740"/>
      <c r="SH1688" s="1740"/>
      <c r="SI1688" s="1740"/>
      <c r="SJ1688" s="1740"/>
      <c r="SK1688" s="1740"/>
      <c r="SL1688" s="1740"/>
      <c r="SM1688" s="1740"/>
      <c r="SN1688" s="1740"/>
      <c r="SO1688" s="1740"/>
      <c r="SP1688" s="1740"/>
      <c r="SQ1688" s="1740"/>
      <c r="SR1688" s="1740"/>
      <c r="SS1688" s="1740"/>
      <c r="ST1688" s="1740"/>
      <c r="SU1688" s="1740"/>
      <c r="SV1688" s="1740"/>
      <c r="SW1688" s="1740"/>
      <c r="SX1688" s="1740"/>
      <c r="SY1688" s="1740"/>
      <c r="SZ1688" s="1740"/>
      <c r="TA1688" s="1740"/>
      <c r="TB1688" s="1740"/>
      <c r="TC1688" s="1740"/>
      <c r="TD1688" s="1740"/>
      <c r="TE1688" s="1740"/>
      <c r="TF1688" s="1740"/>
      <c r="TG1688" s="1740"/>
      <c r="TH1688" s="1740"/>
      <c r="TI1688" s="1740"/>
      <c r="TJ1688" s="1740"/>
      <c r="TK1688" s="1740"/>
      <c r="TL1688" s="1740"/>
      <c r="TM1688" s="1740"/>
      <c r="TN1688" s="1740"/>
      <c r="TO1688" s="1740"/>
      <c r="TP1688" s="1740"/>
      <c r="TQ1688" s="1740"/>
      <c r="TR1688" s="1740"/>
      <c r="TS1688" s="1740"/>
      <c r="TT1688" s="1740"/>
      <c r="TU1688" s="1740"/>
      <c r="TV1688" s="1740"/>
      <c r="TW1688" s="1740"/>
      <c r="TX1688" s="1740"/>
      <c r="TY1688" s="1740"/>
      <c r="TZ1688" s="1740"/>
      <c r="UA1688" s="1740"/>
      <c r="UB1688" s="1740"/>
      <c r="UC1688" s="1740"/>
      <c r="UD1688" s="1740"/>
      <c r="UE1688" s="1740"/>
      <c r="UF1688" s="1740"/>
      <c r="UG1688" s="1740"/>
      <c r="UH1688" s="1740"/>
      <c r="UI1688" s="1740"/>
      <c r="UJ1688" s="1740"/>
      <c r="UK1688" s="1740"/>
      <c r="UL1688" s="1740"/>
      <c r="UM1688" s="1740"/>
      <c r="UN1688" s="1740"/>
      <c r="UO1688" s="1740"/>
      <c r="UP1688" s="1740"/>
      <c r="UQ1688" s="1740"/>
      <c r="UR1688" s="1740"/>
      <c r="US1688" s="1740"/>
      <c r="UT1688" s="1740"/>
      <c r="UU1688" s="1740"/>
      <c r="UV1688" s="1740"/>
      <c r="UW1688" s="1740"/>
      <c r="UX1688" s="1740"/>
      <c r="UY1688" s="1740"/>
      <c r="UZ1688" s="1740"/>
      <c r="VA1688" s="1740"/>
      <c r="VB1688" s="1740"/>
      <c r="VC1688" s="1740"/>
      <c r="VD1688" s="1740"/>
      <c r="VE1688" s="1740"/>
      <c r="VF1688" s="1740"/>
      <c r="VG1688" s="1740"/>
      <c r="VH1688" s="1740"/>
      <c r="VI1688" s="1740"/>
      <c r="VJ1688" s="1740"/>
      <c r="VK1688" s="1740"/>
      <c r="VL1688" s="1740"/>
      <c r="VM1688" s="1740"/>
      <c r="VN1688" s="1740"/>
      <c r="VO1688" s="1740"/>
      <c r="VP1688" s="1740"/>
      <c r="VQ1688" s="1740"/>
      <c r="VR1688" s="1740"/>
      <c r="VS1688" s="1740"/>
      <c r="VT1688" s="1740"/>
      <c r="VU1688" s="1740"/>
      <c r="VV1688" s="1740"/>
      <c r="VW1688" s="1740"/>
      <c r="VX1688" s="1740"/>
      <c r="VY1688" s="1740"/>
      <c r="VZ1688" s="1740"/>
      <c r="WA1688" s="1740"/>
      <c r="WB1688" s="1740"/>
      <c r="WC1688" s="1740"/>
      <c r="WD1688" s="1740"/>
      <c r="WE1688" s="1740"/>
      <c r="WF1688" s="1740"/>
      <c r="WG1688" s="1740"/>
      <c r="WH1688" s="1740"/>
      <c r="WI1688" s="1740"/>
      <c r="WJ1688" s="1740"/>
      <c r="WK1688" s="1740"/>
      <c r="WL1688" s="1740"/>
      <c r="WM1688" s="1740"/>
      <c r="WN1688" s="1740"/>
      <c r="WO1688" s="1740"/>
      <c r="WP1688" s="1740"/>
      <c r="WQ1688" s="1740"/>
      <c r="WR1688" s="1740"/>
      <c r="WS1688" s="1740"/>
      <c r="WT1688" s="1740"/>
      <c r="WU1688" s="1740"/>
      <c r="WV1688" s="1740"/>
      <c r="WW1688" s="1740"/>
      <c r="WX1688" s="1740"/>
      <c r="WY1688" s="1740"/>
      <c r="WZ1688" s="1740"/>
      <c r="XA1688" s="1740"/>
      <c r="XB1688" s="1740"/>
      <c r="XC1688" s="1740"/>
      <c r="XD1688" s="1740"/>
      <c r="XE1688" s="1740"/>
      <c r="XF1688" s="1740"/>
      <c r="XG1688" s="1740"/>
      <c r="XH1688" s="1740"/>
      <c r="XI1688" s="1740"/>
      <c r="XJ1688" s="1740"/>
      <c r="XK1688" s="1740"/>
      <c r="XL1688" s="1740"/>
      <c r="XM1688" s="1740"/>
      <c r="XN1688" s="1740"/>
      <c r="XO1688" s="1740"/>
      <c r="XP1688" s="1740"/>
      <c r="XQ1688" s="1740"/>
      <c r="XR1688" s="1740"/>
      <c r="XS1688" s="1740"/>
      <c r="XT1688" s="1740"/>
      <c r="XU1688" s="1740"/>
      <c r="XV1688" s="1740"/>
      <c r="XW1688" s="1740"/>
      <c r="XX1688" s="1740"/>
      <c r="XY1688" s="1740"/>
      <c r="XZ1688" s="1740"/>
      <c r="YA1688" s="1740"/>
      <c r="YB1688" s="1740"/>
      <c r="YC1688" s="1740"/>
      <c r="YD1688" s="1740"/>
      <c r="YE1688" s="1740"/>
      <c r="YF1688" s="1740"/>
      <c r="YG1688" s="1740"/>
      <c r="YH1688" s="1740"/>
      <c r="YI1688" s="1740"/>
      <c r="YJ1688" s="1740"/>
      <c r="YK1688" s="1740"/>
      <c r="YL1688" s="1740"/>
      <c r="YM1688" s="1740"/>
      <c r="YN1688" s="1740"/>
      <c r="YO1688" s="1740"/>
      <c r="YP1688" s="1740"/>
      <c r="YQ1688" s="1740"/>
      <c r="YR1688" s="1740"/>
      <c r="YS1688" s="1740"/>
      <c r="YT1688" s="1740"/>
      <c r="YU1688" s="1740"/>
      <c r="YV1688" s="1740"/>
      <c r="YW1688" s="1740"/>
      <c r="YX1688" s="1740"/>
      <c r="YY1688" s="1740"/>
      <c r="YZ1688" s="1740"/>
      <c r="ZA1688" s="1740"/>
      <c r="ZB1688" s="1740"/>
      <c r="ZC1688" s="1740"/>
      <c r="ZD1688" s="1740"/>
      <c r="ZE1688" s="1740"/>
      <c r="ZF1688" s="1740"/>
      <c r="ZG1688" s="1740"/>
      <c r="ZH1688" s="1740"/>
      <c r="ZI1688" s="1740"/>
      <c r="ZJ1688" s="1740"/>
      <c r="ZK1688" s="1740"/>
      <c r="ZL1688" s="1740"/>
      <c r="ZM1688" s="1740"/>
      <c r="ZN1688" s="1740"/>
      <c r="ZO1688" s="1740"/>
      <c r="ZP1688" s="1740"/>
      <c r="ZQ1688" s="1740"/>
      <c r="ZR1688" s="1740"/>
      <c r="ZS1688" s="1740"/>
      <c r="ZT1688" s="1740"/>
      <c r="ZU1688" s="1740"/>
      <c r="ZV1688" s="1740"/>
      <c r="ZW1688" s="1740"/>
      <c r="ZX1688" s="1740"/>
      <c r="ZY1688" s="1740"/>
      <c r="ZZ1688" s="1740"/>
      <c r="AAA1688" s="1740"/>
      <c r="AAB1688" s="1740"/>
      <c r="AAC1688" s="1740"/>
      <c r="AAD1688" s="1740"/>
      <c r="AAE1688" s="1740"/>
      <c r="AAF1688" s="1740"/>
      <c r="AAG1688" s="1740"/>
      <c r="AAH1688" s="1740"/>
      <c r="AAI1688" s="1740"/>
      <c r="AAJ1688" s="1740"/>
      <c r="AAK1688" s="1740"/>
      <c r="AAL1688" s="1740"/>
      <c r="AAM1688" s="1740"/>
      <c r="AAN1688" s="1740"/>
      <c r="AAO1688" s="1740"/>
      <c r="AAP1688" s="1740"/>
      <c r="AAQ1688" s="1740"/>
      <c r="AAR1688" s="1740"/>
      <c r="AAS1688" s="1740"/>
      <c r="AAT1688" s="1740"/>
      <c r="AAU1688" s="1740"/>
      <c r="AAV1688" s="1740"/>
      <c r="AAW1688" s="1740"/>
      <c r="AAX1688" s="1740"/>
      <c r="AAY1688" s="1740"/>
      <c r="AAZ1688" s="1740"/>
      <c r="ABA1688" s="1740"/>
      <c r="ABB1688" s="1740"/>
      <c r="ABC1688" s="1740"/>
      <c r="ABD1688" s="1740"/>
      <c r="ABE1688" s="1740"/>
      <c r="ABF1688" s="1740"/>
      <c r="ABG1688" s="1740"/>
      <c r="ABH1688" s="1740"/>
      <c r="ABI1688" s="1740"/>
      <c r="ABJ1688" s="1740"/>
      <c r="ABK1688" s="1740"/>
      <c r="ABL1688" s="1740"/>
      <c r="ABM1688" s="1740"/>
      <c r="ABN1688" s="1740"/>
      <c r="ABO1688" s="1740"/>
      <c r="ABP1688" s="1740"/>
      <c r="ABQ1688" s="1740"/>
      <c r="ABR1688" s="1740"/>
      <c r="ABS1688" s="1740"/>
      <c r="ABT1688" s="1740"/>
      <c r="ABU1688" s="1740"/>
      <c r="ABV1688" s="1740"/>
      <c r="ABW1688" s="1740"/>
      <c r="ABX1688" s="1740"/>
      <c r="ABY1688" s="1740"/>
      <c r="ABZ1688" s="1740"/>
      <c r="ACA1688" s="1740"/>
      <c r="ACB1688" s="1740"/>
      <c r="ACC1688" s="1740"/>
      <c r="ACD1688" s="1740"/>
      <c r="ACE1688" s="1740"/>
      <c r="ACF1688" s="1740"/>
      <c r="ACG1688" s="1740"/>
      <c r="ACH1688" s="1740"/>
      <c r="ACI1688" s="1740"/>
      <c r="ACJ1688" s="1740"/>
      <c r="ACK1688" s="1740"/>
      <c r="ACL1688" s="1740"/>
      <c r="ACM1688" s="1740"/>
      <c r="ACN1688" s="1740"/>
      <c r="ACO1688" s="1740"/>
      <c r="ACP1688" s="1740"/>
      <c r="ACQ1688" s="1740"/>
      <c r="ACR1688" s="1740"/>
      <c r="ACS1688" s="1740"/>
      <c r="ACT1688" s="1740"/>
      <c r="ACU1688" s="1740"/>
      <c r="ACV1688" s="1740"/>
      <c r="ACW1688" s="1740"/>
      <c r="ACX1688" s="1740"/>
      <c r="ACY1688" s="1740"/>
      <c r="ACZ1688" s="1740"/>
      <c r="ADA1688" s="1740"/>
      <c r="ADB1688" s="1740"/>
      <c r="ADC1688" s="1740"/>
      <c r="ADD1688" s="1740"/>
      <c r="ADE1688" s="1740"/>
      <c r="ADF1688" s="1740"/>
      <c r="ADG1688" s="1740"/>
      <c r="ADH1688" s="1740"/>
      <c r="ADI1688" s="1740"/>
      <c r="ADJ1688" s="1740"/>
      <c r="ADK1688" s="1740"/>
      <c r="ADL1688" s="1740"/>
      <c r="ADM1688" s="1740"/>
      <c r="ADN1688" s="1740"/>
      <c r="ADO1688" s="1740"/>
      <c r="ADP1688" s="1740"/>
      <c r="ADQ1688" s="1740"/>
      <c r="ADR1688" s="1740"/>
      <c r="ADS1688" s="1740"/>
      <c r="ADT1688" s="1740"/>
      <c r="ADU1688" s="1740"/>
      <c r="ADV1688" s="1740"/>
      <c r="ADW1688" s="1740"/>
      <c r="ADX1688" s="1740"/>
      <c r="ADY1688" s="1740"/>
      <c r="ADZ1688" s="1740"/>
      <c r="AEA1688" s="1740"/>
      <c r="AEB1688" s="1740"/>
      <c r="AEC1688" s="1740"/>
      <c r="AED1688" s="1740"/>
      <c r="AEE1688" s="1740"/>
      <c r="AEF1688" s="1740"/>
      <c r="AEG1688" s="1740"/>
      <c r="AEH1688" s="1740"/>
      <c r="AEI1688" s="1740"/>
      <c r="AEJ1688" s="1740"/>
      <c r="AEK1688" s="1740"/>
      <c r="AEL1688" s="1740"/>
      <c r="AEM1688" s="1740"/>
      <c r="AEN1688" s="1740"/>
      <c r="AEO1688" s="1740"/>
      <c r="AEP1688" s="1740"/>
      <c r="AEQ1688" s="1740"/>
      <c r="AER1688" s="1740"/>
      <c r="AES1688" s="1740"/>
      <c r="AET1688" s="1740"/>
      <c r="AEU1688" s="1740"/>
      <c r="AEV1688" s="1740"/>
      <c r="AEW1688" s="1740"/>
      <c r="AEX1688" s="1740"/>
      <c r="AEY1688" s="1740"/>
      <c r="AEZ1688" s="1740"/>
      <c r="AFA1688" s="1740"/>
      <c r="AFB1688" s="1740"/>
      <c r="AFC1688" s="1740"/>
      <c r="AFD1688" s="1740"/>
      <c r="AFE1688" s="1740"/>
      <c r="AFF1688" s="1740"/>
      <c r="AFG1688" s="1740"/>
      <c r="AFH1688" s="1740"/>
      <c r="AFI1688" s="1740"/>
      <c r="AFJ1688" s="1740"/>
      <c r="AFK1688" s="1740"/>
      <c r="AFL1688" s="1740"/>
      <c r="AFM1688" s="1740"/>
      <c r="AFN1688" s="1740"/>
      <c r="AFO1688" s="1740"/>
      <c r="AFP1688" s="1740"/>
      <c r="AFQ1688" s="1740"/>
      <c r="AFR1688" s="1740"/>
      <c r="AFS1688" s="1740"/>
      <c r="AFT1688" s="1740"/>
      <c r="AFU1688" s="1740"/>
      <c r="AFV1688" s="1740"/>
      <c r="AFW1688" s="1740"/>
      <c r="AFX1688" s="1740"/>
      <c r="AFY1688" s="1740"/>
      <c r="AFZ1688" s="1740"/>
      <c r="AGA1688" s="1740"/>
      <c r="AGB1688" s="1740"/>
      <c r="AGC1688" s="1740"/>
      <c r="AGD1688" s="1740"/>
      <c r="AGE1688" s="1740"/>
      <c r="AGF1688" s="1740"/>
      <c r="AGG1688" s="1740"/>
      <c r="AGH1688" s="1740"/>
      <c r="AGI1688" s="1740"/>
      <c r="AGJ1688" s="1740"/>
      <c r="AGK1688" s="1740"/>
      <c r="AGL1688" s="1740"/>
      <c r="AGM1688" s="1740"/>
      <c r="AGN1688" s="1740"/>
      <c r="AGO1688" s="1740"/>
      <c r="AGP1688" s="1740"/>
      <c r="AGQ1688" s="1740"/>
      <c r="AGR1688" s="1740"/>
      <c r="AGS1688" s="1740"/>
      <c r="AGT1688" s="1740"/>
      <c r="AGU1688" s="1740"/>
      <c r="AGV1688" s="1740"/>
      <c r="AGW1688" s="1740"/>
      <c r="AGX1688" s="1740"/>
      <c r="AGY1688" s="1740"/>
      <c r="AGZ1688" s="1740"/>
      <c r="AHA1688" s="1740"/>
      <c r="AHB1688" s="1740"/>
      <c r="AHC1688" s="1740"/>
      <c r="AHD1688" s="1740"/>
      <c r="AHE1688" s="1740"/>
      <c r="AHF1688" s="1740"/>
      <c r="AHG1688" s="1740"/>
      <c r="AHH1688" s="1740"/>
      <c r="AHI1688" s="1740"/>
      <c r="AHJ1688" s="1740"/>
      <c r="AHK1688" s="1740"/>
      <c r="AHL1688" s="1740"/>
      <c r="AHM1688" s="1740"/>
      <c r="AHN1688" s="1740"/>
      <c r="AHO1688" s="1740"/>
      <c r="AHP1688" s="1740"/>
      <c r="AHQ1688" s="1740"/>
      <c r="AHR1688" s="1740"/>
      <c r="AHS1688" s="1740"/>
      <c r="AHT1688" s="1740"/>
      <c r="AHU1688" s="1740"/>
      <c r="AHV1688" s="1740"/>
      <c r="AHW1688" s="1740"/>
      <c r="AHX1688" s="1740"/>
      <c r="AHY1688" s="1740"/>
      <c r="AHZ1688" s="1740"/>
      <c r="AIA1688" s="1740"/>
      <c r="AIB1688" s="1740"/>
      <c r="AIC1688" s="1740"/>
      <c r="AID1688" s="1740"/>
      <c r="AIE1688" s="1740"/>
      <c r="AIF1688" s="1740"/>
      <c r="AIG1688" s="1740"/>
      <c r="AIH1688" s="1740"/>
      <c r="AII1688" s="1740"/>
      <c r="AIJ1688" s="1740"/>
      <c r="AIK1688" s="1740"/>
      <c r="AIL1688" s="1740"/>
      <c r="AIM1688" s="1740"/>
      <c r="AIN1688" s="1740"/>
      <c r="AIO1688" s="1740"/>
      <c r="AIP1688" s="1740"/>
      <c r="AIQ1688" s="1740"/>
      <c r="AIR1688" s="1740"/>
      <c r="AIS1688" s="1740"/>
      <c r="AIT1688" s="1740"/>
      <c r="AIU1688" s="1740"/>
      <c r="AIV1688" s="1740"/>
      <c r="AIW1688" s="1740"/>
      <c r="AIX1688" s="1740"/>
      <c r="AIY1688" s="1740"/>
      <c r="AIZ1688" s="1740"/>
      <c r="AJA1688" s="1740"/>
      <c r="AJB1688" s="1740"/>
      <c r="AJC1688" s="1740"/>
      <c r="AJD1688" s="1740"/>
      <c r="AJE1688" s="1740"/>
      <c r="AJF1688" s="1740"/>
      <c r="AJG1688" s="1740"/>
      <c r="AJH1688" s="1740"/>
      <c r="AJI1688" s="1740"/>
      <c r="AJJ1688" s="1740"/>
      <c r="AJK1688" s="1740"/>
      <c r="AJL1688" s="1740"/>
      <c r="AJM1688" s="1740"/>
      <c r="AJN1688" s="1740"/>
      <c r="AJO1688" s="1740"/>
      <c r="AJP1688" s="1740"/>
      <c r="AJQ1688" s="1740"/>
      <c r="AJR1688" s="1740"/>
      <c r="AJS1688" s="1740"/>
      <c r="AJT1688" s="1740"/>
      <c r="AJU1688" s="1740"/>
      <c r="AJV1688" s="1740"/>
      <c r="AJW1688" s="1740"/>
      <c r="AJX1688" s="1740"/>
      <c r="AJY1688" s="1740"/>
      <c r="AJZ1688" s="1740"/>
      <c r="AKA1688" s="1740"/>
      <c r="AKB1688" s="1740"/>
      <c r="AKC1688" s="1740"/>
      <c r="AKD1688" s="1740"/>
      <c r="AKE1688" s="1740"/>
      <c r="AKF1688" s="1740"/>
      <c r="AKG1688" s="1740"/>
      <c r="AKH1688" s="1740"/>
      <c r="AKI1688" s="1740"/>
      <c r="AKJ1688" s="1740"/>
      <c r="AKK1688" s="1740"/>
      <c r="AKL1688" s="1740"/>
      <c r="AKM1688" s="1740"/>
      <c r="AKN1688" s="1740"/>
      <c r="AKO1688" s="1740"/>
      <c r="AKP1688" s="1740"/>
      <c r="AKQ1688" s="1740"/>
      <c r="AKR1688" s="1740"/>
      <c r="AKS1688" s="1740"/>
      <c r="AKT1688" s="1740"/>
      <c r="AKU1688" s="1740"/>
      <c r="AKV1688" s="1740"/>
      <c r="AKW1688" s="1740"/>
      <c r="AKX1688" s="1740"/>
      <c r="AKY1688" s="1740"/>
      <c r="AKZ1688" s="1740"/>
      <c r="ALA1688" s="1740"/>
      <c r="ALB1688" s="1740"/>
      <c r="ALC1688" s="1740"/>
      <c r="ALD1688" s="1740"/>
      <c r="ALE1688" s="1740"/>
      <c r="ALF1688" s="1740"/>
      <c r="ALG1688" s="1740"/>
      <c r="ALH1688" s="1740"/>
      <c r="ALI1688" s="1740"/>
      <c r="ALJ1688" s="1740"/>
      <c r="ALK1688" s="1740"/>
      <c r="ALL1688" s="1740"/>
      <c r="ALM1688" s="1740"/>
      <c r="ALN1688" s="1740"/>
      <c r="ALO1688" s="1740"/>
      <c r="ALP1688" s="1740"/>
      <c r="ALQ1688" s="1740"/>
      <c r="ALR1688" s="1740"/>
      <c r="ALS1688" s="1740"/>
      <c r="ALT1688" s="1740"/>
      <c r="ALU1688" s="1740"/>
      <c r="ALV1688" s="1740"/>
      <c r="ALW1688" s="1740"/>
      <c r="ALX1688" s="1740"/>
      <c r="ALY1688" s="1740"/>
      <c r="ALZ1688" s="1740"/>
      <c r="AMA1688" s="1740"/>
      <c r="AMB1688" s="1740"/>
      <c r="AMC1688" s="1740"/>
      <c r="AMD1688" s="1740"/>
      <c r="AME1688" s="1740"/>
      <c r="AMF1688" s="1740"/>
      <c r="AMG1688" s="1740"/>
      <c r="AMH1688" s="1740"/>
      <c r="AMI1688" s="1740"/>
      <c r="AMJ1688" s="1740"/>
      <c r="AMK1688" s="1740"/>
      <c r="AML1688" s="1740"/>
      <c r="AMM1688" s="1740"/>
      <c r="AMN1688" s="1740"/>
      <c r="AMO1688" s="1740"/>
      <c r="AMP1688" s="1740"/>
      <c r="AMQ1688" s="1740"/>
      <c r="AMR1688" s="1740"/>
      <c r="AMS1688" s="1740"/>
      <c r="AMT1688" s="1740"/>
      <c r="AMU1688" s="1740"/>
      <c r="AMV1688" s="1740"/>
      <c r="AMW1688" s="1740"/>
      <c r="AMX1688" s="1740"/>
      <c r="AMY1688" s="1740"/>
      <c r="AMZ1688" s="1740"/>
      <c r="ANA1688" s="1740"/>
      <c r="ANB1688" s="1740"/>
      <c r="ANC1688" s="1740"/>
      <c r="AND1688" s="1740"/>
      <c r="ANE1688" s="1740"/>
      <c r="ANF1688" s="1740"/>
      <c r="ANG1688" s="1740"/>
      <c r="ANH1688" s="1740"/>
      <c r="ANI1688" s="1740"/>
      <c r="ANJ1688" s="1740"/>
      <c r="ANK1688" s="1740"/>
      <c r="ANL1688" s="1740"/>
      <c r="ANM1688" s="1740"/>
      <c r="ANN1688" s="1740"/>
      <c r="ANO1688" s="1740"/>
      <c r="ANP1688" s="1740"/>
      <c r="ANQ1688" s="1740"/>
      <c r="ANR1688" s="1740"/>
      <c r="ANS1688" s="1740"/>
      <c r="ANT1688" s="1740"/>
      <c r="ANU1688" s="1740"/>
      <c r="ANV1688" s="1740"/>
      <c r="ANW1688" s="1740"/>
      <c r="ANX1688" s="1740"/>
      <c r="ANY1688" s="1740"/>
      <c r="ANZ1688" s="1740"/>
      <c r="AOA1688" s="1740"/>
      <c r="AOB1688" s="1740"/>
      <c r="AOC1688" s="1740"/>
      <c r="AOD1688" s="1740"/>
      <c r="AOE1688" s="1740"/>
      <c r="AOF1688" s="1740"/>
      <c r="AOG1688" s="1740"/>
      <c r="AOH1688" s="1740"/>
      <c r="AOI1688" s="1740"/>
      <c r="AOJ1688" s="1740"/>
      <c r="AOK1688" s="1740"/>
      <c r="AOL1688" s="1740"/>
      <c r="AOM1688" s="1740"/>
      <c r="AON1688" s="1740"/>
      <c r="AOO1688" s="1740"/>
      <c r="AOP1688" s="1740"/>
      <c r="AOQ1688" s="1740"/>
      <c r="AOR1688" s="1740"/>
      <c r="AOS1688" s="1740"/>
      <c r="AOT1688" s="1740"/>
      <c r="AOU1688" s="1740"/>
      <c r="AOV1688" s="1740"/>
      <c r="AOW1688" s="1740"/>
      <c r="AOX1688" s="1740"/>
      <c r="AOY1688" s="1740"/>
      <c r="AOZ1688" s="1740"/>
      <c r="APA1688" s="1740"/>
      <c r="APB1688" s="1740"/>
      <c r="APC1688" s="1740"/>
      <c r="APD1688" s="1740"/>
      <c r="APE1688" s="1740"/>
      <c r="APF1688" s="1740"/>
      <c r="APG1688" s="1740"/>
      <c r="APH1688" s="1740"/>
      <c r="API1688" s="1740"/>
      <c r="APJ1688" s="1740"/>
      <c r="APK1688" s="1740"/>
      <c r="APL1688" s="1740"/>
      <c r="APM1688" s="1740"/>
      <c r="APN1688" s="1740"/>
      <c r="APO1688" s="1740"/>
      <c r="APP1688" s="1740"/>
      <c r="APQ1688" s="1740"/>
      <c r="APR1688" s="1740"/>
      <c r="APS1688" s="1740"/>
      <c r="APT1688" s="1740"/>
      <c r="APU1688" s="1740"/>
      <c r="APV1688" s="1740"/>
      <c r="APW1688" s="1740"/>
      <c r="APX1688" s="1740"/>
      <c r="APY1688" s="1740"/>
      <c r="APZ1688" s="1740"/>
      <c r="AQA1688" s="1740"/>
      <c r="AQB1688" s="1740"/>
      <c r="AQC1688" s="1740"/>
      <c r="AQD1688" s="1740"/>
      <c r="AQE1688" s="1740"/>
      <c r="AQF1688" s="1740"/>
      <c r="AQG1688" s="1740"/>
      <c r="AQH1688" s="1740"/>
      <c r="AQI1688" s="1740"/>
      <c r="AQJ1688" s="1740"/>
      <c r="AQK1688" s="1740"/>
      <c r="AQL1688" s="1740"/>
      <c r="AQM1688" s="1740"/>
      <c r="AQN1688" s="1740"/>
      <c r="AQO1688" s="1740"/>
      <c r="AQP1688" s="1740"/>
      <c r="AQQ1688" s="1740"/>
      <c r="AQR1688" s="1740"/>
      <c r="AQS1688" s="1740"/>
      <c r="AQT1688" s="1740"/>
      <c r="AQU1688" s="1740"/>
      <c r="AQV1688" s="1740"/>
      <c r="AQW1688" s="1740"/>
      <c r="AQX1688" s="1740"/>
      <c r="AQY1688" s="1740"/>
      <c r="AQZ1688" s="1740"/>
      <c r="ARA1688" s="1740"/>
      <c r="ARB1688" s="1740"/>
      <c r="ARC1688" s="1740"/>
      <c r="ARD1688" s="1740"/>
      <c r="ARE1688" s="1740"/>
      <c r="ARF1688" s="1740"/>
      <c r="ARG1688" s="1740"/>
      <c r="ARH1688" s="1740"/>
      <c r="ARI1688" s="1740"/>
      <c r="ARJ1688" s="1740"/>
      <c r="ARK1688" s="1740"/>
      <c r="ARL1688" s="1740"/>
      <c r="ARM1688" s="1740"/>
      <c r="ARN1688" s="1740"/>
      <c r="ARO1688" s="1740"/>
      <c r="ARP1688" s="1740"/>
      <c r="ARQ1688" s="1740"/>
      <c r="ARR1688" s="1740"/>
      <c r="ARS1688" s="1740"/>
      <c r="ART1688" s="1740"/>
      <c r="ARU1688" s="1740"/>
      <c r="ARV1688" s="1740"/>
      <c r="ARW1688" s="1740"/>
      <c r="ARX1688" s="1740"/>
      <c r="ARY1688" s="1740"/>
      <c r="ARZ1688" s="1740"/>
      <c r="ASA1688" s="1740"/>
      <c r="ASB1688" s="1740"/>
      <c r="ASC1688" s="1740"/>
      <c r="ASD1688" s="1740"/>
      <c r="ASE1688" s="1740"/>
      <c r="ASF1688" s="1740"/>
      <c r="ASG1688" s="1740"/>
      <c r="ASH1688" s="1740"/>
      <c r="ASI1688" s="1740"/>
      <c r="ASJ1688" s="1740"/>
      <c r="ASK1688" s="1740"/>
      <c r="ASL1688" s="1740"/>
      <c r="ASM1688" s="1740"/>
      <c r="ASN1688" s="1740"/>
      <c r="ASO1688" s="1740"/>
      <c r="ASP1688" s="1740"/>
      <c r="ASQ1688" s="1740"/>
      <c r="ASR1688" s="1740"/>
      <c r="ASS1688" s="1740"/>
      <c r="AST1688" s="1740"/>
      <c r="ASU1688" s="1740"/>
      <c r="ASV1688" s="1740"/>
      <c r="ASW1688" s="1740"/>
      <c r="ASX1688" s="1740"/>
      <c r="ASY1688" s="1740"/>
      <c r="ASZ1688" s="1740"/>
      <c r="ATA1688" s="1740"/>
      <c r="ATB1688" s="1740"/>
      <c r="ATC1688" s="1740"/>
      <c r="ATD1688" s="1740"/>
      <c r="ATE1688" s="1740"/>
      <c r="ATF1688" s="1740"/>
      <c r="ATG1688" s="1740"/>
      <c r="ATH1688" s="1740"/>
      <c r="ATI1688" s="1740"/>
      <c r="ATJ1688" s="1740"/>
      <c r="ATK1688" s="1740"/>
      <c r="ATL1688" s="1740"/>
      <c r="ATM1688" s="1740"/>
      <c r="ATN1688" s="1740"/>
      <c r="ATO1688" s="1740"/>
      <c r="ATP1688" s="1740"/>
      <c r="ATQ1688" s="1740"/>
      <c r="ATR1688" s="1740"/>
      <c r="ATS1688" s="1740"/>
      <c r="ATT1688" s="1740"/>
      <c r="ATU1688" s="1740"/>
      <c r="ATV1688" s="1740"/>
      <c r="ATW1688" s="1740"/>
      <c r="ATX1688" s="1740"/>
      <c r="ATY1688" s="1740"/>
      <c r="ATZ1688" s="1740"/>
      <c r="AUA1688" s="1740"/>
      <c r="AUB1688" s="1740"/>
      <c r="AUC1688" s="1740"/>
      <c r="AUD1688" s="1740"/>
      <c r="AUE1688" s="1740"/>
      <c r="AUF1688" s="1740"/>
      <c r="AUG1688" s="1740"/>
      <c r="AUH1688" s="1740"/>
      <c r="AUI1688" s="1740"/>
      <c r="AUJ1688" s="1740"/>
      <c r="AUK1688" s="1740"/>
      <c r="AUL1688" s="1740"/>
      <c r="AUM1688" s="1740"/>
      <c r="AUN1688" s="1740"/>
      <c r="AUO1688" s="1740"/>
      <c r="AUP1688" s="1740"/>
      <c r="AUQ1688" s="1740"/>
      <c r="AUR1688" s="1740"/>
      <c r="AUS1688" s="1740"/>
      <c r="AUT1688" s="1740"/>
      <c r="AUU1688" s="1740"/>
      <c r="AUV1688" s="1740"/>
      <c r="AUW1688" s="1740"/>
      <c r="AUX1688" s="1740"/>
      <c r="AUY1688" s="1740"/>
      <c r="AUZ1688" s="1740"/>
      <c r="AVA1688" s="1740"/>
      <c r="AVB1688" s="1740"/>
      <c r="AVC1688" s="1740"/>
      <c r="AVD1688" s="1740"/>
      <c r="AVE1688" s="1740"/>
      <c r="AVF1688" s="1740"/>
      <c r="AVG1688" s="1740"/>
      <c r="AVH1688" s="1740"/>
      <c r="AVI1688" s="1740"/>
      <c r="AVJ1688" s="1740"/>
      <c r="AVK1688" s="1740"/>
      <c r="AVL1688" s="1740"/>
      <c r="AVM1688" s="1740"/>
      <c r="AVN1688" s="1740"/>
      <c r="AVO1688" s="1740"/>
      <c r="AVP1688" s="1740"/>
      <c r="AVQ1688" s="1740"/>
      <c r="AVR1688" s="1740"/>
      <c r="AVS1688" s="1740"/>
      <c r="AVT1688" s="1740"/>
      <c r="AVU1688" s="1740"/>
      <c r="AVV1688" s="1740"/>
      <c r="AVW1688" s="1740"/>
      <c r="AVX1688" s="1740"/>
      <c r="AVY1688" s="1740"/>
      <c r="AVZ1688" s="1740"/>
      <c r="AWA1688" s="1740"/>
      <c r="AWB1688" s="1740"/>
      <c r="AWC1688" s="1740"/>
      <c r="AWD1688" s="1740"/>
      <c r="AWE1688" s="1740"/>
      <c r="AWF1688" s="1740"/>
      <c r="AWG1688" s="1740"/>
      <c r="AWH1688" s="1740"/>
      <c r="AWI1688" s="1740"/>
      <c r="AWJ1688" s="1740"/>
      <c r="AWK1688" s="1740"/>
      <c r="AWL1688" s="1740"/>
      <c r="AWM1688" s="1740"/>
      <c r="AWN1688" s="1740"/>
      <c r="AWO1688" s="1740"/>
      <c r="AWP1688" s="1740"/>
      <c r="AWQ1688" s="1740"/>
      <c r="AWR1688" s="1740"/>
      <c r="AWS1688" s="1740"/>
      <c r="AWT1688" s="1740"/>
      <c r="AWU1688" s="1740"/>
      <c r="AWV1688" s="1740"/>
      <c r="AWW1688" s="1740"/>
      <c r="AWX1688" s="1740"/>
      <c r="AWY1688" s="1740"/>
      <c r="AWZ1688" s="1740"/>
      <c r="AXA1688" s="1740"/>
      <c r="AXB1688" s="1740"/>
      <c r="AXC1688" s="1740"/>
      <c r="AXD1688" s="1740"/>
      <c r="AXE1688" s="1740"/>
      <c r="AXF1688" s="1740"/>
      <c r="AXG1688" s="1740"/>
      <c r="AXH1688" s="1740"/>
      <c r="AXI1688" s="1740"/>
      <c r="AXJ1688" s="1740"/>
      <c r="AXK1688" s="1740"/>
      <c r="AXL1688" s="1740"/>
      <c r="AXM1688" s="1740"/>
      <c r="AXN1688" s="1740"/>
      <c r="AXO1688" s="1740"/>
      <c r="AXP1688" s="1740"/>
      <c r="AXQ1688" s="1740"/>
      <c r="AXR1688" s="1740"/>
      <c r="AXS1688" s="1740"/>
      <c r="AXT1688" s="1740"/>
      <c r="AXU1688" s="1740"/>
      <c r="AXV1688" s="1740"/>
      <c r="AXW1688" s="1740"/>
      <c r="AXX1688" s="1740"/>
      <c r="AXY1688" s="1740"/>
      <c r="AXZ1688" s="1740"/>
      <c r="AYA1688" s="1740"/>
      <c r="AYB1688" s="1740"/>
      <c r="AYC1688" s="1740"/>
      <c r="AYD1688" s="1740"/>
      <c r="AYE1688" s="1740"/>
      <c r="AYF1688" s="1740"/>
      <c r="AYG1688" s="1740"/>
      <c r="AYH1688" s="1740"/>
      <c r="AYI1688" s="1740"/>
      <c r="AYJ1688" s="1740"/>
      <c r="AYK1688" s="1740"/>
      <c r="AYL1688" s="1740"/>
      <c r="AYM1688" s="1740"/>
      <c r="AYN1688" s="1740"/>
      <c r="AYO1688" s="1740"/>
      <c r="AYP1688" s="1740"/>
      <c r="AYQ1688" s="1740"/>
      <c r="AYR1688" s="1740"/>
      <c r="AYS1688" s="1740"/>
      <c r="AYT1688" s="1740"/>
      <c r="AYU1688" s="1740"/>
      <c r="AYV1688" s="1740"/>
      <c r="AYW1688" s="1740"/>
      <c r="AYX1688" s="1740"/>
      <c r="AYY1688" s="1740"/>
      <c r="AYZ1688" s="1740"/>
      <c r="AZA1688" s="1740"/>
      <c r="AZB1688" s="1740"/>
      <c r="AZC1688" s="1740"/>
      <c r="AZD1688" s="1740"/>
      <c r="AZE1688" s="1740"/>
      <c r="AZF1688" s="1740"/>
      <c r="AZG1688" s="1740"/>
      <c r="AZH1688" s="1740"/>
      <c r="AZI1688" s="1740"/>
      <c r="AZJ1688" s="1740"/>
      <c r="AZK1688" s="1740"/>
      <c r="AZL1688" s="1740"/>
      <c r="AZM1688" s="1740"/>
      <c r="AZN1688" s="1740"/>
      <c r="AZO1688" s="1740"/>
      <c r="AZP1688" s="1740"/>
      <c r="AZQ1688" s="1740"/>
      <c r="AZR1688" s="1740"/>
      <c r="AZS1688" s="1740"/>
      <c r="AZT1688" s="1740"/>
      <c r="AZU1688" s="1740"/>
      <c r="AZV1688" s="1740"/>
      <c r="AZW1688" s="1740"/>
      <c r="AZX1688" s="1740"/>
      <c r="AZY1688" s="1740"/>
      <c r="AZZ1688" s="1740"/>
      <c r="BAA1688" s="1740"/>
      <c r="BAB1688" s="1740"/>
      <c r="BAC1688" s="1740"/>
      <c r="BAD1688" s="1740"/>
      <c r="BAE1688" s="1740"/>
      <c r="BAF1688" s="1740"/>
      <c r="BAG1688" s="1740"/>
      <c r="BAH1688" s="1740"/>
      <c r="BAI1688" s="1740"/>
      <c r="BAJ1688" s="1740"/>
      <c r="BAK1688" s="1740"/>
      <c r="BAL1688" s="1740"/>
      <c r="BAM1688" s="1740"/>
      <c r="BAN1688" s="1740"/>
      <c r="BAO1688" s="1740"/>
      <c r="BAP1688" s="1740"/>
      <c r="BAQ1688" s="1740"/>
      <c r="BAR1688" s="1740"/>
      <c r="BAS1688" s="1740"/>
      <c r="BAT1688" s="1740"/>
      <c r="BAU1688" s="1740"/>
      <c r="BAV1688" s="1740"/>
      <c r="BAW1688" s="1740"/>
      <c r="BAX1688" s="1740"/>
      <c r="BAY1688" s="1740"/>
      <c r="BAZ1688" s="1740"/>
      <c r="BBA1688" s="1740"/>
      <c r="BBB1688" s="1740"/>
      <c r="BBC1688" s="1740"/>
      <c r="BBD1688" s="1740"/>
      <c r="BBE1688" s="1740"/>
      <c r="BBF1688" s="1740"/>
      <c r="BBG1688" s="1740"/>
      <c r="BBH1688" s="1740"/>
      <c r="BBI1688" s="1740"/>
      <c r="BBJ1688" s="1740"/>
      <c r="BBK1688" s="1740"/>
      <c r="BBL1688" s="1740"/>
      <c r="BBM1688" s="1740"/>
      <c r="BBN1688" s="1740"/>
      <c r="BBO1688" s="1740"/>
      <c r="BBP1688" s="1740"/>
      <c r="BBQ1688" s="1740"/>
      <c r="BBR1688" s="1740"/>
      <c r="BBS1688" s="1740"/>
      <c r="BBT1688" s="1740"/>
      <c r="BBU1688" s="1740"/>
      <c r="BBV1688" s="1740"/>
      <c r="BBW1688" s="1740"/>
      <c r="BBX1688" s="1740"/>
      <c r="BBY1688" s="1740"/>
      <c r="BBZ1688" s="1740"/>
      <c r="BCA1688" s="1740"/>
      <c r="BCB1688" s="1740"/>
      <c r="BCC1688" s="1740"/>
      <c r="BCD1688" s="1740"/>
      <c r="BCE1688" s="1740"/>
      <c r="BCF1688" s="1740"/>
      <c r="BCG1688" s="1740"/>
      <c r="BCH1688" s="1740"/>
      <c r="BCI1688" s="1740"/>
      <c r="BCJ1688" s="1740"/>
      <c r="BCK1688" s="1740"/>
      <c r="BCL1688" s="1740"/>
      <c r="BCM1688" s="1740"/>
      <c r="BCN1688" s="1740"/>
      <c r="BCO1688" s="1740"/>
      <c r="BCP1688" s="1740"/>
      <c r="BCQ1688" s="1740"/>
      <c r="BCR1688" s="1740"/>
      <c r="BCS1688" s="1740"/>
      <c r="BCT1688" s="1740"/>
      <c r="BCU1688" s="1740"/>
      <c r="BCV1688" s="1740"/>
      <c r="BCW1688" s="1740"/>
      <c r="BCX1688" s="1740"/>
      <c r="BCY1688" s="1740"/>
      <c r="BCZ1688" s="1740"/>
      <c r="BDA1688" s="1740"/>
      <c r="BDB1688" s="1740"/>
      <c r="BDC1688" s="1740"/>
      <c r="BDD1688" s="1740"/>
      <c r="BDE1688" s="1740"/>
      <c r="BDF1688" s="1740"/>
      <c r="BDG1688" s="1740"/>
      <c r="BDH1688" s="1740"/>
      <c r="BDI1688" s="1740"/>
      <c r="BDJ1688" s="1740"/>
      <c r="BDK1688" s="1740"/>
      <c r="BDL1688" s="1740"/>
      <c r="BDM1688" s="1740"/>
      <c r="BDN1688" s="1740"/>
      <c r="BDO1688" s="1740"/>
      <c r="BDP1688" s="1740"/>
      <c r="BDQ1688" s="1740"/>
      <c r="BDR1688" s="1740"/>
      <c r="BDS1688" s="1740"/>
      <c r="BDT1688" s="1740"/>
      <c r="BDU1688" s="1740"/>
      <c r="BDV1688" s="1740"/>
      <c r="BDW1688" s="1740"/>
      <c r="BDX1688" s="1740"/>
      <c r="BDY1688" s="1740"/>
      <c r="BDZ1688" s="1740"/>
      <c r="BEA1688" s="1740"/>
      <c r="BEB1688" s="1740"/>
      <c r="BEC1688" s="1740"/>
      <c r="BED1688" s="1740"/>
      <c r="BEE1688" s="1740"/>
      <c r="BEF1688" s="1740"/>
      <c r="BEG1688" s="1740"/>
      <c r="BEH1688" s="1740"/>
      <c r="BEI1688" s="1740"/>
      <c r="BEJ1688" s="1740"/>
      <c r="BEK1688" s="1740"/>
      <c r="BEL1688" s="1740"/>
      <c r="BEM1688" s="1740"/>
      <c r="BEN1688" s="1740"/>
      <c r="BEO1688" s="1740"/>
      <c r="BEP1688" s="1740"/>
      <c r="BEQ1688" s="1740"/>
      <c r="BER1688" s="1740"/>
      <c r="BES1688" s="1740"/>
      <c r="BET1688" s="1740"/>
      <c r="BEU1688" s="1740"/>
      <c r="BEV1688" s="1740"/>
      <c r="BEW1688" s="1740"/>
      <c r="BEX1688" s="1740"/>
      <c r="BEY1688" s="1740"/>
      <c r="BEZ1688" s="1740"/>
      <c r="BFA1688" s="1740"/>
      <c r="BFB1688" s="1740"/>
      <c r="BFC1688" s="1740"/>
      <c r="BFD1688" s="1740"/>
      <c r="BFE1688" s="1740"/>
      <c r="BFF1688" s="1740"/>
      <c r="BFG1688" s="1740"/>
      <c r="BFH1688" s="1740"/>
      <c r="BFI1688" s="1740"/>
      <c r="BFJ1688" s="1740"/>
      <c r="BFK1688" s="1740"/>
      <c r="BFL1688" s="1740"/>
      <c r="BFM1688" s="1740"/>
      <c r="BFN1688" s="1740"/>
      <c r="BFO1688" s="1740"/>
      <c r="BFP1688" s="1740"/>
      <c r="BFQ1688" s="1740"/>
      <c r="BFR1688" s="1740"/>
      <c r="BFS1688" s="1740"/>
      <c r="BFT1688" s="1740"/>
      <c r="BFU1688" s="1740"/>
      <c r="BFV1688" s="1740"/>
      <c r="BFW1688" s="1740"/>
      <c r="BFX1688" s="1740"/>
      <c r="BFY1688" s="1740"/>
      <c r="BFZ1688" s="1740"/>
      <c r="BGA1688" s="1740"/>
      <c r="BGB1688" s="1740"/>
      <c r="BGC1688" s="1740"/>
      <c r="BGD1688" s="1740"/>
      <c r="BGE1688" s="1740"/>
      <c r="BGF1688" s="1740"/>
      <c r="BGG1688" s="1740"/>
      <c r="BGH1688" s="1740"/>
      <c r="BGI1688" s="1740"/>
      <c r="BGJ1688" s="1740"/>
      <c r="BGK1688" s="1740"/>
      <c r="BGL1688" s="1740"/>
      <c r="BGM1688" s="1740"/>
      <c r="BGN1688" s="1740"/>
      <c r="BGO1688" s="1740"/>
      <c r="BGP1688" s="1740"/>
      <c r="BGQ1688" s="1740"/>
      <c r="BGR1688" s="1740"/>
      <c r="BGS1688" s="1740"/>
      <c r="BGT1688" s="1740"/>
      <c r="BGU1688" s="1740"/>
      <c r="BGV1688" s="1740"/>
      <c r="BGW1688" s="1740"/>
      <c r="BGX1688" s="1740"/>
      <c r="BGY1688" s="1740"/>
      <c r="BGZ1688" s="1740"/>
      <c r="BHA1688" s="1740"/>
      <c r="BHB1688" s="1740"/>
      <c r="BHC1688" s="1740"/>
      <c r="BHD1688" s="1740"/>
      <c r="BHE1688" s="1740"/>
      <c r="BHF1688" s="1740"/>
      <c r="BHG1688" s="1740"/>
      <c r="BHH1688" s="1740"/>
      <c r="BHI1688" s="1740"/>
      <c r="BHJ1688" s="1740"/>
      <c r="BHK1688" s="1740"/>
      <c r="BHL1688" s="1740"/>
      <c r="BHM1688" s="1740"/>
      <c r="BHN1688" s="1740"/>
      <c r="BHO1688" s="1740"/>
      <c r="BHP1688" s="1740"/>
      <c r="BHQ1688" s="1740"/>
      <c r="BHR1688" s="1740"/>
      <c r="BHS1688" s="1740"/>
      <c r="BHT1688" s="1740"/>
      <c r="BHU1688" s="1740"/>
      <c r="BHV1688" s="1740"/>
      <c r="BHW1688" s="1740"/>
      <c r="BHX1688" s="1740"/>
      <c r="BHY1688" s="1740"/>
      <c r="BHZ1688" s="1740"/>
      <c r="BIA1688" s="1740"/>
      <c r="BIB1688" s="1740"/>
      <c r="BIC1688" s="1740"/>
      <c r="BID1688" s="1740"/>
      <c r="BIE1688" s="1740"/>
      <c r="BIF1688" s="1740"/>
      <c r="BIG1688" s="1740"/>
      <c r="BIH1688" s="1740"/>
      <c r="BII1688" s="1740"/>
      <c r="BIJ1688" s="1740"/>
      <c r="BIK1688" s="1740"/>
      <c r="BIL1688" s="1740"/>
      <c r="BIM1688" s="1740"/>
      <c r="BIN1688" s="1740"/>
      <c r="BIO1688" s="1740"/>
      <c r="BIP1688" s="1740"/>
      <c r="BIQ1688" s="1740"/>
      <c r="BIR1688" s="1740"/>
      <c r="BIS1688" s="1740"/>
      <c r="BIT1688" s="1740"/>
      <c r="BIU1688" s="1740"/>
      <c r="BIV1688" s="1740"/>
      <c r="BIW1688" s="1740"/>
      <c r="BIX1688" s="1740"/>
      <c r="BIY1688" s="1740"/>
      <c r="BIZ1688" s="1740"/>
      <c r="BJA1688" s="1740"/>
      <c r="BJB1688" s="1740"/>
      <c r="BJC1688" s="1740"/>
      <c r="BJD1688" s="1740"/>
      <c r="BJE1688" s="1740"/>
      <c r="BJF1688" s="1740"/>
      <c r="BJG1688" s="1740"/>
      <c r="BJH1688" s="1740"/>
      <c r="BJI1688" s="1740"/>
      <c r="BJJ1688" s="1740"/>
      <c r="BJK1688" s="1740"/>
      <c r="BJL1688" s="1740"/>
      <c r="BJM1688" s="1740"/>
      <c r="BJN1688" s="1740"/>
      <c r="BJO1688" s="1740"/>
      <c r="BJP1688" s="1740"/>
      <c r="BJQ1688" s="1740"/>
      <c r="BJR1688" s="1740"/>
      <c r="BJS1688" s="1740"/>
      <c r="BJT1688" s="1740"/>
      <c r="BJU1688" s="1740"/>
      <c r="BJV1688" s="1740"/>
      <c r="BJW1688" s="1740"/>
      <c r="BJX1688" s="1740"/>
      <c r="BJY1688" s="1740"/>
      <c r="BJZ1688" s="1740"/>
      <c r="BKA1688" s="1740"/>
      <c r="BKB1688" s="1740"/>
      <c r="BKC1688" s="1740"/>
      <c r="BKD1688" s="1740"/>
      <c r="BKE1688" s="1740"/>
      <c r="BKF1688" s="1740"/>
      <c r="BKG1688" s="1740"/>
      <c r="BKH1688" s="1740"/>
      <c r="BKI1688" s="1740"/>
      <c r="BKJ1688" s="1740"/>
      <c r="BKK1688" s="1740"/>
      <c r="BKL1688" s="1740"/>
      <c r="BKM1688" s="1740"/>
      <c r="BKN1688" s="1740"/>
      <c r="BKO1688" s="1740"/>
      <c r="BKP1688" s="1740"/>
      <c r="BKQ1688" s="1740"/>
      <c r="BKR1688" s="1740"/>
      <c r="BKS1688" s="1740"/>
      <c r="BKT1688" s="1740"/>
      <c r="BKU1688" s="1740"/>
      <c r="BKV1688" s="1740"/>
      <c r="BKW1688" s="1740"/>
      <c r="BKX1688" s="1740"/>
      <c r="BKY1688" s="1740"/>
      <c r="BKZ1688" s="1740"/>
      <c r="BLA1688" s="1740"/>
      <c r="BLB1688" s="1740"/>
      <c r="BLC1688" s="1740"/>
      <c r="BLD1688" s="1740"/>
      <c r="BLE1688" s="1740"/>
      <c r="BLF1688" s="1740"/>
      <c r="BLG1688" s="1740"/>
      <c r="BLH1688" s="1740"/>
      <c r="BLI1688" s="1740"/>
      <c r="BLJ1688" s="1740"/>
      <c r="BLK1688" s="1740"/>
      <c r="BLL1688" s="1740"/>
      <c r="BLM1688" s="1740"/>
      <c r="BLN1688" s="1740"/>
      <c r="BLO1688" s="1740"/>
      <c r="BLP1688" s="1740"/>
      <c r="BLQ1688" s="1740"/>
      <c r="BLR1688" s="1740"/>
      <c r="BLS1688" s="1740"/>
      <c r="BLT1688" s="1740"/>
      <c r="BLU1688" s="1740"/>
      <c r="BLV1688" s="1740"/>
      <c r="BLW1688" s="1740"/>
      <c r="BLX1688" s="1740"/>
      <c r="BLY1688" s="1740"/>
      <c r="BLZ1688" s="1740"/>
      <c r="BMA1688" s="1740"/>
      <c r="BMB1688" s="1740"/>
      <c r="BMC1688" s="1740"/>
      <c r="BMD1688" s="1740"/>
      <c r="BME1688" s="1740"/>
      <c r="BMF1688" s="1740"/>
      <c r="BMG1688" s="1740"/>
      <c r="BMH1688" s="1740"/>
      <c r="BMI1688" s="1740"/>
      <c r="BMJ1688" s="1740"/>
      <c r="BMK1688" s="1740"/>
      <c r="BML1688" s="1740"/>
      <c r="BMM1688" s="1740"/>
      <c r="BMN1688" s="1740"/>
      <c r="BMO1688" s="1740"/>
      <c r="BMP1688" s="1740"/>
      <c r="BMQ1688" s="1740"/>
      <c r="BMR1688" s="1740"/>
      <c r="BMS1688" s="1740"/>
      <c r="BMT1688" s="1740"/>
      <c r="BMU1688" s="1740"/>
      <c r="BMV1688" s="1740"/>
      <c r="BMW1688" s="1740"/>
      <c r="BMX1688" s="1740"/>
      <c r="BMY1688" s="1740"/>
      <c r="BMZ1688" s="1740"/>
      <c r="BNA1688" s="1740"/>
      <c r="BNB1688" s="1740"/>
      <c r="BNC1688" s="1740"/>
      <c r="BND1688" s="1740"/>
      <c r="BNE1688" s="1740"/>
      <c r="BNF1688" s="1740"/>
      <c r="BNG1688" s="1740"/>
      <c r="BNH1688" s="1740"/>
      <c r="BNI1688" s="1740"/>
      <c r="BNJ1688" s="1740"/>
      <c r="BNK1688" s="1740"/>
      <c r="BNL1688" s="1740"/>
      <c r="BNM1688" s="1740"/>
      <c r="BNN1688" s="1740"/>
      <c r="BNO1688" s="1740"/>
      <c r="BNP1688" s="1740"/>
      <c r="BNQ1688" s="1740"/>
      <c r="BNR1688" s="1740"/>
      <c r="BNS1688" s="1740"/>
      <c r="BNT1688" s="1740"/>
      <c r="BNU1688" s="1740"/>
      <c r="BNV1688" s="1740"/>
      <c r="BNW1688" s="1740"/>
      <c r="BNX1688" s="1740"/>
      <c r="BNY1688" s="1740"/>
      <c r="BNZ1688" s="1740"/>
      <c r="BOA1688" s="1740"/>
      <c r="BOB1688" s="1740"/>
      <c r="BOC1688" s="1740"/>
      <c r="BOD1688" s="1740"/>
      <c r="BOE1688" s="1740"/>
      <c r="BOF1688" s="1740"/>
      <c r="BOG1688" s="1740"/>
      <c r="BOH1688" s="1740"/>
      <c r="BOI1688" s="1740"/>
      <c r="BOJ1688" s="1740"/>
      <c r="BOK1688" s="1740"/>
      <c r="BOL1688" s="1740"/>
      <c r="BOM1688" s="1740"/>
      <c r="BON1688" s="1740"/>
      <c r="BOO1688" s="1740"/>
      <c r="BOP1688" s="1740"/>
      <c r="BOQ1688" s="1740"/>
      <c r="BOR1688" s="1740"/>
      <c r="BOS1688" s="1740"/>
      <c r="BOT1688" s="1740"/>
      <c r="BOU1688" s="1740"/>
      <c r="BOV1688" s="1740"/>
      <c r="BOW1688" s="1740"/>
      <c r="BOX1688" s="1740"/>
      <c r="BOY1688" s="1740"/>
      <c r="BOZ1688" s="1740"/>
      <c r="BPA1688" s="1740"/>
      <c r="BPB1688" s="1740"/>
      <c r="BPC1688" s="1740"/>
      <c r="BPD1688" s="1740"/>
      <c r="BPE1688" s="1740"/>
      <c r="BPF1688" s="1740"/>
      <c r="BPG1688" s="1740"/>
      <c r="BPH1688" s="1740"/>
      <c r="BPI1688" s="1740"/>
      <c r="BPJ1688" s="1740"/>
      <c r="BPK1688" s="1740"/>
      <c r="BPL1688" s="1740"/>
      <c r="BPM1688" s="1740"/>
      <c r="BPN1688" s="1740"/>
      <c r="BPO1688" s="1740"/>
      <c r="BPP1688" s="1740"/>
      <c r="BPQ1688" s="1740"/>
      <c r="BPR1688" s="1740"/>
      <c r="BPS1688" s="1740"/>
      <c r="BPT1688" s="1740"/>
      <c r="BPU1688" s="1740"/>
      <c r="BPV1688" s="1740"/>
      <c r="BPW1688" s="1740"/>
      <c r="BPX1688" s="1740"/>
      <c r="BPY1688" s="1740"/>
      <c r="BPZ1688" s="1740"/>
      <c r="BQA1688" s="1740"/>
      <c r="BQB1688" s="1740"/>
      <c r="BQC1688" s="1740"/>
      <c r="BQD1688" s="1740"/>
      <c r="BQE1688" s="1740"/>
      <c r="BQF1688" s="1740"/>
      <c r="BQG1688" s="1740"/>
      <c r="BQH1688" s="1740"/>
      <c r="BQI1688" s="1740"/>
      <c r="BQJ1688" s="1740"/>
      <c r="BQK1688" s="1740"/>
      <c r="BQL1688" s="1740"/>
      <c r="BQM1688" s="1740"/>
      <c r="BQN1688" s="1740"/>
      <c r="BQO1688" s="1740"/>
      <c r="BQP1688" s="1740"/>
      <c r="BQQ1688" s="1740"/>
      <c r="BQR1688" s="1740"/>
      <c r="BQS1688" s="1740"/>
      <c r="BQT1688" s="1740"/>
      <c r="BQU1688" s="1740"/>
      <c r="BQV1688" s="1740"/>
      <c r="BQW1688" s="1740"/>
      <c r="BQX1688" s="1740"/>
      <c r="BQY1688" s="1740"/>
      <c r="BQZ1688" s="1740"/>
      <c r="BRA1688" s="1740"/>
      <c r="BRB1688" s="1740"/>
      <c r="BRC1688" s="1740"/>
      <c r="BRD1688" s="1740"/>
      <c r="BRE1688" s="1740"/>
      <c r="BRF1688" s="1740"/>
      <c r="BRG1688" s="1740"/>
      <c r="BRH1688" s="1740"/>
      <c r="BRI1688" s="1740"/>
      <c r="BRJ1688" s="1740"/>
      <c r="BRK1688" s="1740"/>
      <c r="BRL1688" s="1740"/>
      <c r="BRM1688" s="1740"/>
      <c r="BRN1688" s="1740"/>
      <c r="BRO1688" s="1740"/>
      <c r="BRP1688" s="1740"/>
      <c r="BRQ1688" s="1740"/>
      <c r="BRR1688" s="1740"/>
      <c r="BRS1688" s="1740"/>
      <c r="BRT1688" s="1740"/>
      <c r="BRU1688" s="1740"/>
      <c r="BRV1688" s="1740"/>
      <c r="BRW1688" s="1740"/>
      <c r="BRX1688" s="1740"/>
      <c r="BRY1688" s="1740"/>
      <c r="BRZ1688" s="1740"/>
      <c r="BSA1688" s="1740"/>
      <c r="BSB1688" s="1740"/>
      <c r="BSC1688" s="1740"/>
      <c r="BSD1688" s="1740"/>
      <c r="BSE1688" s="1740"/>
      <c r="BSF1688" s="1740"/>
      <c r="BSG1688" s="1740"/>
      <c r="BSH1688" s="1740"/>
      <c r="BSI1688" s="1740"/>
      <c r="BSJ1688" s="1740"/>
      <c r="BSK1688" s="1740"/>
      <c r="BSL1688" s="1740"/>
      <c r="BSM1688" s="1740"/>
      <c r="BSN1688" s="1740"/>
      <c r="BSO1688" s="1740"/>
      <c r="BSP1688" s="1740"/>
      <c r="BSQ1688" s="1740"/>
      <c r="BSR1688" s="1740"/>
      <c r="BSS1688" s="1740"/>
      <c r="BST1688" s="1740"/>
      <c r="BSU1688" s="1740"/>
      <c r="BSV1688" s="1740"/>
      <c r="BSW1688" s="1740"/>
      <c r="BSX1688" s="1740"/>
      <c r="BSY1688" s="1740"/>
      <c r="BSZ1688" s="1740"/>
      <c r="BTA1688" s="1740"/>
      <c r="BTB1688" s="1740"/>
      <c r="BTC1688" s="1740"/>
      <c r="BTD1688" s="1740"/>
      <c r="BTE1688" s="1740"/>
      <c r="BTF1688" s="1740"/>
      <c r="BTG1688" s="1740"/>
      <c r="BTH1688" s="1740"/>
      <c r="BTI1688" s="1740"/>
      <c r="BTJ1688" s="1740"/>
      <c r="BTK1688" s="1740"/>
      <c r="BTL1688" s="1740"/>
      <c r="BTM1688" s="1740"/>
      <c r="BTN1688" s="1740"/>
      <c r="BTO1688" s="1740"/>
      <c r="BTP1688" s="1740"/>
      <c r="BTQ1688" s="1740"/>
      <c r="BTR1688" s="1740"/>
      <c r="BTS1688" s="1740"/>
      <c r="BTT1688" s="1740"/>
      <c r="BTU1688" s="1740"/>
      <c r="BTV1688" s="1740"/>
      <c r="BTW1688" s="1740"/>
      <c r="BTX1688" s="1740"/>
      <c r="BTY1688" s="1740"/>
      <c r="BTZ1688" s="1740"/>
      <c r="BUA1688" s="1740"/>
      <c r="BUB1688" s="1740"/>
      <c r="BUC1688" s="1740"/>
      <c r="BUD1688" s="1740"/>
      <c r="BUE1688" s="1740"/>
      <c r="BUF1688" s="1740"/>
      <c r="BUG1688" s="1740"/>
      <c r="BUH1688" s="1740"/>
      <c r="BUI1688" s="1740"/>
      <c r="BUJ1688" s="1740"/>
      <c r="BUK1688" s="1740"/>
      <c r="BUL1688" s="1740"/>
      <c r="BUM1688" s="1740"/>
      <c r="BUN1688" s="1740"/>
      <c r="BUO1688" s="1740"/>
      <c r="BUP1688" s="1740"/>
      <c r="BUQ1688" s="1740"/>
      <c r="BUR1688" s="1740"/>
      <c r="BUS1688" s="1740"/>
      <c r="BUT1688" s="1740"/>
      <c r="BUU1688" s="1740"/>
      <c r="BUV1688" s="1740"/>
      <c r="BUW1688" s="1740"/>
      <c r="BUX1688" s="1740"/>
      <c r="BUY1688" s="1740"/>
      <c r="BUZ1688" s="1740"/>
      <c r="BVA1688" s="1740"/>
      <c r="BVB1688" s="1740"/>
      <c r="BVC1688" s="1740"/>
      <c r="BVD1688" s="1740"/>
      <c r="BVE1688" s="1740"/>
      <c r="BVF1688" s="1740"/>
      <c r="BVG1688" s="1740"/>
      <c r="BVH1688" s="1740"/>
      <c r="BVI1688" s="1740"/>
      <c r="BVJ1688" s="1740"/>
      <c r="BVK1688" s="1740"/>
      <c r="BVL1688" s="1740"/>
      <c r="BVM1688" s="1740"/>
      <c r="BVN1688" s="1740"/>
      <c r="BVO1688" s="1740"/>
      <c r="BVP1688" s="1740"/>
      <c r="BVQ1688" s="1740"/>
      <c r="BVR1688" s="1740"/>
      <c r="BVS1688" s="1740"/>
      <c r="BVT1688" s="1740"/>
      <c r="BVU1688" s="1740"/>
      <c r="BVV1688" s="1740"/>
      <c r="BVW1688" s="1740"/>
      <c r="BVX1688" s="1740"/>
      <c r="BVY1688" s="1740"/>
      <c r="BVZ1688" s="1740"/>
      <c r="BWA1688" s="1740"/>
      <c r="BWB1688" s="1740"/>
      <c r="BWC1688" s="1740"/>
      <c r="BWD1688" s="1740"/>
      <c r="BWE1688" s="1740"/>
      <c r="BWF1688" s="1740"/>
      <c r="BWG1688" s="1740"/>
      <c r="BWH1688" s="1740"/>
      <c r="BWI1688" s="1740"/>
      <c r="BWJ1688" s="1740"/>
      <c r="BWK1688" s="1740"/>
      <c r="BWL1688" s="1740"/>
      <c r="BWM1688" s="1740"/>
      <c r="BWN1688" s="1740"/>
      <c r="BWO1688" s="1740"/>
      <c r="BWP1688" s="1740"/>
      <c r="BWQ1688" s="1740"/>
      <c r="BWR1688" s="1740"/>
      <c r="BWS1688" s="1740"/>
      <c r="BWT1688" s="1740"/>
      <c r="BWU1688" s="1740"/>
      <c r="BWV1688" s="1740"/>
      <c r="BWW1688" s="1740"/>
      <c r="BWX1688" s="1740"/>
      <c r="BWY1688" s="1740"/>
      <c r="BWZ1688" s="1740"/>
      <c r="BXA1688" s="1740"/>
      <c r="BXB1688" s="1740"/>
      <c r="BXC1688" s="1740"/>
      <c r="BXD1688" s="1740"/>
      <c r="BXE1688" s="1740"/>
      <c r="BXF1688" s="1740"/>
      <c r="BXG1688" s="1740"/>
      <c r="BXH1688" s="1740"/>
      <c r="BXI1688" s="1740"/>
      <c r="BXJ1688" s="1740"/>
      <c r="BXK1688" s="1740"/>
      <c r="BXL1688" s="1740"/>
      <c r="BXM1688" s="1740"/>
      <c r="BXN1688" s="1740"/>
      <c r="BXO1688" s="1740"/>
      <c r="BXP1688" s="1740"/>
      <c r="BXQ1688" s="1740"/>
      <c r="BXR1688" s="1740"/>
      <c r="BXS1688" s="1740"/>
      <c r="BXT1688" s="1740"/>
      <c r="BXU1688" s="1740"/>
      <c r="BXV1688" s="1740"/>
      <c r="BXW1688" s="1740"/>
      <c r="BXX1688" s="1740"/>
      <c r="BXY1688" s="1740"/>
      <c r="BXZ1688" s="1740"/>
      <c r="BYA1688" s="1740"/>
      <c r="BYB1688" s="1740"/>
      <c r="BYC1688" s="1740"/>
      <c r="BYD1688" s="1740"/>
      <c r="BYE1688" s="1740"/>
      <c r="BYF1688" s="1740"/>
      <c r="BYG1688" s="1740"/>
      <c r="BYH1688" s="1740"/>
      <c r="BYI1688" s="1740"/>
      <c r="BYJ1688" s="1740"/>
      <c r="BYK1688" s="1740"/>
      <c r="BYL1688" s="1740"/>
      <c r="BYM1688" s="1740"/>
      <c r="BYN1688" s="1740"/>
      <c r="BYO1688" s="1740"/>
      <c r="BYP1688" s="1740"/>
      <c r="BYQ1688" s="1740"/>
      <c r="BYR1688" s="1740"/>
      <c r="BYS1688" s="1740"/>
      <c r="BYT1688" s="1740"/>
      <c r="BYU1688" s="1740"/>
      <c r="BYV1688" s="1740"/>
      <c r="BYW1688" s="1740"/>
      <c r="BYX1688" s="1740"/>
      <c r="BYY1688" s="1740"/>
      <c r="BYZ1688" s="1740"/>
      <c r="BZA1688" s="1740"/>
      <c r="BZB1688" s="1740"/>
      <c r="BZC1688" s="1740"/>
      <c r="BZD1688" s="1740"/>
      <c r="BZE1688" s="1740"/>
      <c r="BZF1688" s="1740"/>
      <c r="BZG1688" s="1740"/>
      <c r="BZH1688" s="1740"/>
      <c r="BZI1688" s="1740"/>
      <c r="BZJ1688" s="1740"/>
      <c r="BZK1688" s="1740"/>
      <c r="BZL1688" s="1740"/>
      <c r="BZM1688" s="1740"/>
      <c r="BZN1688" s="1740"/>
      <c r="BZO1688" s="1740"/>
      <c r="BZP1688" s="1740"/>
      <c r="BZQ1688" s="1740"/>
      <c r="BZR1688" s="1740"/>
      <c r="BZS1688" s="1740"/>
      <c r="BZT1688" s="1740"/>
      <c r="BZU1688" s="1740"/>
      <c r="BZV1688" s="1740"/>
      <c r="BZW1688" s="1740"/>
      <c r="BZX1688" s="1740"/>
      <c r="BZY1688" s="1740"/>
      <c r="BZZ1688" s="1740"/>
      <c r="CAA1688" s="1740"/>
      <c r="CAB1688" s="1740"/>
      <c r="CAC1688" s="1740"/>
      <c r="CAD1688" s="1740"/>
      <c r="CAE1688" s="1740"/>
      <c r="CAF1688" s="1740"/>
      <c r="CAG1688" s="1740"/>
      <c r="CAH1688" s="1740"/>
      <c r="CAI1688" s="1740"/>
      <c r="CAJ1688" s="1740"/>
      <c r="CAK1688" s="1740"/>
      <c r="CAL1688" s="1740"/>
      <c r="CAM1688" s="1740"/>
      <c r="CAN1688" s="1740"/>
      <c r="CAO1688" s="1740"/>
      <c r="CAP1688" s="1740"/>
      <c r="CAQ1688" s="1740"/>
      <c r="CAR1688" s="1740"/>
      <c r="CAS1688" s="1740"/>
      <c r="CAT1688" s="1740"/>
      <c r="CAU1688" s="1740"/>
      <c r="CAV1688" s="1740"/>
      <c r="CAW1688" s="1740"/>
      <c r="CAX1688" s="1740"/>
      <c r="CAY1688" s="1740"/>
      <c r="CAZ1688" s="1740"/>
      <c r="CBA1688" s="1740"/>
      <c r="CBB1688" s="1740"/>
      <c r="CBC1688" s="1740"/>
      <c r="CBD1688" s="1740"/>
      <c r="CBE1688" s="1740"/>
      <c r="CBF1688" s="1740"/>
      <c r="CBG1688" s="1740"/>
      <c r="CBH1688" s="1740"/>
      <c r="CBI1688" s="1740"/>
      <c r="CBJ1688" s="1740"/>
      <c r="CBK1688" s="1740"/>
      <c r="CBL1688" s="1740"/>
      <c r="CBM1688" s="1740"/>
      <c r="CBN1688" s="1740"/>
      <c r="CBO1688" s="1740"/>
      <c r="CBP1688" s="1740"/>
      <c r="CBQ1688" s="1740"/>
      <c r="CBR1688" s="1740"/>
      <c r="CBS1688" s="1740"/>
      <c r="CBT1688" s="1740"/>
      <c r="CBU1688" s="1740"/>
      <c r="CBV1688" s="1740"/>
      <c r="CBW1688" s="1740"/>
      <c r="CBX1688" s="1740"/>
      <c r="CBY1688" s="1740"/>
      <c r="CBZ1688" s="1740"/>
      <c r="CCA1688" s="1740"/>
      <c r="CCB1688" s="1740"/>
      <c r="CCC1688" s="1740"/>
      <c r="CCD1688" s="1740"/>
      <c r="CCE1688" s="1740"/>
      <c r="CCF1688" s="1740"/>
      <c r="CCG1688" s="1740"/>
      <c r="CCH1688" s="1740"/>
      <c r="CCI1688" s="1740"/>
      <c r="CCJ1688" s="1740"/>
      <c r="CCK1688" s="1740"/>
      <c r="CCL1688" s="1740"/>
      <c r="CCM1688" s="1740"/>
      <c r="CCN1688" s="1740"/>
      <c r="CCO1688" s="1740"/>
      <c r="CCP1688" s="1740"/>
      <c r="CCQ1688" s="1740"/>
      <c r="CCR1688" s="1740"/>
      <c r="CCS1688" s="1740"/>
      <c r="CCT1688" s="1740"/>
      <c r="CCU1688" s="1740"/>
      <c r="CCV1688" s="1740"/>
      <c r="CCW1688" s="1740"/>
      <c r="CCX1688" s="1740"/>
      <c r="CCY1688" s="1740"/>
      <c r="CCZ1688" s="1740"/>
      <c r="CDA1688" s="1740"/>
      <c r="CDB1688" s="1740"/>
      <c r="CDC1688" s="1740"/>
      <c r="CDD1688" s="1740"/>
      <c r="CDE1688" s="1740"/>
      <c r="CDF1688" s="1740"/>
      <c r="CDG1688" s="1740"/>
      <c r="CDH1688" s="1740"/>
      <c r="CDI1688" s="1740"/>
      <c r="CDJ1688" s="1740"/>
      <c r="CDK1688" s="1740"/>
      <c r="CDL1688" s="1740"/>
      <c r="CDM1688" s="1740"/>
      <c r="CDN1688" s="1740"/>
      <c r="CDO1688" s="1740"/>
      <c r="CDP1688" s="1740"/>
      <c r="CDQ1688" s="1740"/>
      <c r="CDR1688" s="1740"/>
      <c r="CDS1688" s="1740"/>
      <c r="CDT1688" s="1740"/>
      <c r="CDU1688" s="1740"/>
      <c r="CDV1688" s="1740"/>
      <c r="CDW1688" s="1740"/>
      <c r="CDX1688" s="1740"/>
      <c r="CDY1688" s="1740"/>
      <c r="CDZ1688" s="1740"/>
      <c r="CEA1688" s="1740"/>
      <c r="CEB1688" s="1740"/>
      <c r="CEC1688" s="1740"/>
      <c r="CED1688" s="1740"/>
      <c r="CEE1688" s="1740"/>
      <c r="CEF1688" s="1740"/>
      <c r="CEG1688" s="1740"/>
      <c r="CEH1688" s="1740"/>
      <c r="CEI1688" s="1740"/>
      <c r="CEJ1688" s="1740"/>
      <c r="CEK1688" s="1740"/>
      <c r="CEL1688" s="1740"/>
      <c r="CEM1688" s="1740"/>
      <c r="CEN1688" s="1740"/>
      <c r="CEO1688" s="1740"/>
      <c r="CEP1688" s="1740"/>
      <c r="CEQ1688" s="1740"/>
      <c r="CER1688" s="1740"/>
      <c r="CES1688" s="1740"/>
      <c r="CET1688" s="1740"/>
      <c r="CEU1688" s="1740"/>
      <c r="CEV1688" s="1740"/>
      <c r="CEW1688" s="1740"/>
      <c r="CEX1688" s="1740"/>
      <c r="CEY1688" s="1740"/>
      <c r="CEZ1688" s="1740"/>
      <c r="CFA1688" s="1740"/>
      <c r="CFB1688" s="1740"/>
      <c r="CFC1688" s="1740"/>
      <c r="CFD1688" s="1740"/>
      <c r="CFE1688" s="1740"/>
      <c r="CFF1688" s="1740"/>
      <c r="CFG1688" s="1740"/>
      <c r="CFH1688" s="1740"/>
      <c r="CFI1688" s="1740"/>
      <c r="CFJ1688" s="1740"/>
      <c r="CFK1688" s="1740"/>
      <c r="CFL1688" s="1740"/>
      <c r="CFM1688" s="1740"/>
      <c r="CFN1688" s="1740"/>
      <c r="CFO1688" s="1740"/>
      <c r="CFP1688" s="1740"/>
      <c r="CFQ1688" s="1740"/>
      <c r="CFR1688" s="1740"/>
      <c r="CFS1688" s="1740"/>
      <c r="CFT1688" s="1740"/>
      <c r="CFU1688" s="1740"/>
      <c r="CFV1688" s="1740"/>
      <c r="CFW1688" s="1740"/>
      <c r="CFX1688" s="1740"/>
      <c r="CFY1688" s="1740"/>
      <c r="CFZ1688" s="1740"/>
      <c r="CGA1688" s="1740"/>
      <c r="CGB1688" s="1740"/>
      <c r="CGC1688" s="1740"/>
      <c r="CGD1688" s="1740"/>
      <c r="CGE1688" s="1740"/>
      <c r="CGF1688" s="1740"/>
      <c r="CGG1688" s="1740"/>
      <c r="CGH1688" s="1740"/>
      <c r="CGI1688" s="1740"/>
      <c r="CGJ1688" s="1740"/>
      <c r="CGK1688" s="1740"/>
      <c r="CGL1688" s="1740"/>
      <c r="CGM1688" s="1740"/>
      <c r="CGN1688" s="1740"/>
      <c r="CGO1688" s="1740"/>
      <c r="CGP1688" s="1740"/>
      <c r="CGQ1688" s="1740"/>
      <c r="CGR1688" s="1740"/>
      <c r="CGS1688" s="1740"/>
      <c r="CGT1688" s="1740"/>
      <c r="CGU1688" s="1740"/>
      <c r="CGV1688" s="1740"/>
      <c r="CGW1688" s="1740"/>
      <c r="CGX1688" s="1740"/>
      <c r="CGY1688" s="1740"/>
      <c r="CGZ1688" s="1740"/>
      <c r="CHA1688" s="1740"/>
      <c r="CHB1688" s="1740"/>
      <c r="CHC1688" s="1740"/>
      <c r="CHD1688" s="1740"/>
      <c r="CHE1688" s="1740"/>
      <c r="CHF1688" s="1740"/>
      <c r="CHG1688" s="1740"/>
      <c r="CHH1688" s="1740"/>
      <c r="CHI1688" s="1740"/>
      <c r="CHJ1688" s="1740"/>
      <c r="CHK1688" s="1740"/>
      <c r="CHL1688" s="1740"/>
      <c r="CHM1688" s="1740"/>
      <c r="CHN1688" s="1740"/>
      <c r="CHO1688" s="1740"/>
      <c r="CHP1688" s="1740"/>
      <c r="CHQ1688" s="1740"/>
      <c r="CHR1688" s="1740"/>
      <c r="CHS1688" s="1740"/>
      <c r="CHT1688" s="1740"/>
      <c r="CHU1688" s="1740"/>
      <c r="CHV1688" s="1740"/>
      <c r="CHW1688" s="1740"/>
      <c r="CHX1688" s="1740"/>
      <c r="CHY1688" s="1740"/>
      <c r="CHZ1688" s="1740"/>
      <c r="CIA1688" s="1740"/>
      <c r="CIB1688" s="1740"/>
      <c r="CIC1688" s="1740"/>
      <c r="CID1688" s="1740"/>
      <c r="CIE1688" s="1740"/>
      <c r="CIF1688" s="1740"/>
      <c r="CIG1688" s="1740"/>
      <c r="CIH1688" s="1740"/>
      <c r="CII1688" s="1740"/>
      <c r="CIJ1688" s="1740"/>
      <c r="CIK1688" s="1740"/>
      <c r="CIL1688" s="1740"/>
      <c r="CIM1688" s="1740"/>
      <c r="CIN1688" s="1740"/>
      <c r="CIO1688" s="1740"/>
      <c r="CIP1688" s="1740"/>
      <c r="CIQ1688" s="1740"/>
      <c r="CIR1688" s="1740"/>
      <c r="CIS1688" s="1740"/>
      <c r="CIT1688" s="1740"/>
      <c r="CIU1688" s="1740"/>
      <c r="CIV1688" s="1740"/>
      <c r="CIW1688" s="1740"/>
      <c r="CIX1688" s="1740"/>
      <c r="CIY1688" s="1740"/>
      <c r="CIZ1688" s="1740"/>
      <c r="CJA1688" s="1740"/>
      <c r="CJB1688" s="1740"/>
      <c r="CJC1688" s="1740"/>
      <c r="CJD1688" s="1740"/>
      <c r="CJE1688" s="1740"/>
      <c r="CJF1688" s="1740"/>
      <c r="CJG1688" s="1740"/>
      <c r="CJH1688" s="1740"/>
      <c r="CJI1688" s="1740"/>
      <c r="CJJ1688" s="1740"/>
      <c r="CJK1688" s="1740"/>
      <c r="CJL1688" s="1740"/>
      <c r="CJM1688" s="1740"/>
      <c r="CJN1688" s="1740"/>
      <c r="CJO1688" s="1740"/>
      <c r="CJP1688" s="1740"/>
      <c r="CJQ1688" s="1740"/>
      <c r="CJR1688" s="1740"/>
      <c r="CJS1688" s="1740"/>
      <c r="CJT1688" s="1740"/>
      <c r="CJU1688" s="1740"/>
      <c r="CJV1688" s="1740"/>
      <c r="CJW1688" s="1740"/>
      <c r="CJX1688" s="1740"/>
      <c r="CJY1688" s="1740"/>
      <c r="CJZ1688" s="1740"/>
      <c r="CKA1688" s="1740"/>
      <c r="CKB1688" s="1740"/>
      <c r="CKC1688" s="1740"/>
      <c r="CKD1688" s="1740"/>
      <c r="CKE1688" s="1740"/>
      <c r="CKF1688" s="1740"/>
      <c r="CKG1688" s="1740"/>
      <c r="CKH1688" s="1740"/>
      <c r="CKI1688" s="1740"/>
      <c r="CKJ1688" s="1740"/>
      <c r="CKK1688" s="1740"/>
      <c r="CKL1688" s="1740"/>
      <c r="CKM1688" s="1740"/>
      <c r="CKN1688" s="1740"/>
      <c r="CKO1688" s="1740"/>
      <c r="CKP1688" s="1740"/>
      <c r="CKQ1688" s="1740"/>
      <c r="CKR1688" s="1740"/>
      <c r="CKS1688" s="1740"/>
      <c r="CKT1688" s="1740"/>
      <c r="CKU1688" s="1740"/>
      <c r="CKV1688" s="1740"/>
      <c r="CKW1688" s="1740"/>
      <c r="CKX1688" s="1740"/>
      <c r="CKY1688" s="1740"/>
      <c r="CKZ1688" s="1740"/>
      <c r="CLA1688" s="1740"/>
      <c r="CLB1688" s="1740"/>
      <c r="CLC1688" s="1740"/>
      <c r="CLD1688" s="1740"/>
      <c r="CLE1688" s="1740"/>
      <c r="CLF1688" s="1740"/>
      <c r="CLG1688" s="1740"/>
      <c r="CLH1688" s="1740"/>
      <c r="CLI1688" s="1740"/>
      <c r="CLJ1688" s="1740"/>
      <c r="CLK1688" s="1740"/>
      <c r="CLL1688" s="1740"/>
      <c r="CLM1688" s="1740"/>
      <c r="CLN1688" s="1740"/>
      <c r="CLO1688" s="1740"/>
      <c r="CLP1688" s="1740"/>
      <c r="CLQ1688" s="1740"/>
      <c r="CLR1688" s="1740"/>
      <c r="CLS1688" s="1740"/>
      <c r="CLT1688" s="1740"/>
      <c r="CLU1688" s="1740"/>
      <c r="CLV1688" s="1740"/>
      <c r="CLW1688" s="1740"/>
      <c r="CLX1688" s="1740"/>
      <c r="CLY1688" s="1740"/>
      <c r="CLZ1688" s="1740"/>
      <c r="CMA1688" s="1740"/>
      <c r="CMB1688" s="1740"/>
      <c r="CMC1688" s="1740"/>
      <c r="CMD1688" s="1740"/>
      <c r="CME1688" s="1740"/>
      <c r="CMF1688" s="1740"/>
      <c r="CMG1688" s="1740"/>
      <c r="CMH1688" s="1740"/>
      <c r="CMI1688" s="1740"/>
      <c r="CMJ1688" s="1740"/>
      <c r="CMK1688" s="1740"/>
      <c r="CML1688" s="1740"/>
      <c r="CMM1688" s="1740"/>
      <c r="CMN1688" s="1740"/>
      <c r="CMO1688" s="1740"/>
      <c r="CMP1688" s="1740"/>
      <c r="CMQ1688" s="1740"/>
      <c r="CMR1688" s="1740"/>
      <c r="CMS1688" s="1740"/>
      <c r="CMT1688" s="1740"/>
      <c r="CMU1688" s="1740"/>
      <c r="CMV1688" s="1740"/>
      <c r="CMW1688" s="1740"/>
      <c r="CMX1688" s="1740"/>
      <c r="CMY1688" s="1740"/>
      <c r="CMZ1688" s="1740"/>
      <c r="CNA1688" s="1740"/>
      <c r="CNB1688" s="1740"/>
      <c r="CNC1688" s="1740"/>
      <c r="CND1688" s="1740"/>
      <c r="CNE1688" s="1740"/>
      <c r="CNF1688" s="1740"/>
      <c r="CNG1688" s="1740"/>
      <c r="CNH1688" s="1740"/>
      <c r="CNI1688" s="1740"/>
      <c r="CNJ1688" s="1740"/>
      <c r="CNK1688" s="1740"/>
      <c r="CNL1688" s="1740"/>
      <c r="CNM1688" s="1740"/>
      <c r="CNN1688" s="1740"/>
      <c r="CNO1688" s="1740"/>
      <c r="CNP1688" s="1740"/>
      <c r="CNQ1688" s="1740"/>
      <c r="CNR1688" s="1740"/>
      <c r="CNS1688" s="1740"/>
      <c r="CNT1688" s="1740"/>
      <c r="CNU1688" s="1740"/>
      <c r="CNV1688" s="1740"/>
      <c r="CNW1688" s="1740"/>
      <c r="CNX1688" s="1740"/>
      <c r="CNY1688" s="1740"/>
      <c r="CNZ1688" s="1740"/>
      <c r="COA1688" s="1740"/>
      <c r="COB1688" s="1740"/>
      <c r="COC1688" s="1740"/>
      <c r="COD1688" s="1740"/>
      <c r="COE1688" s="1740"/>
      <c r="COF1688" s="1740"/>
      <c r="COG1688" s="1740"/>
      <c r="COH1688" s="1740"/>
      <c r="COI1688" s="1740"/>
      <c r="COJ1688" s="1740"/>
      <c r="COK1688" s="1740"/>
      <c r="COL1688" s="1740"/>
      <c r="COM1688" s="1740"/>
      <c r="CON1688" s="1740"/>
      <c r="COO1688" s="1740"/>
      <c r="COP1688" s="1740"/>
      <c r="COQ1688" s="1740"/>
      <c r="COR1688" s="1740"/>
      <c r="COS1688" s="1740"/>
      <c r="COT1688" s="1740"/>
      <c r="COU1688" s="1740"/>
      <c r="COV1688" s="1740"/>
      <c r="COW1688" s="1740"/>
      <c r="COX1688" s="1740"/>
      <c r="COY1688" s="1740"/>
      <c r="COZ1688" s="1740"/>
      <c r="CPA1688" s="1740"/>
      <c r="CPB1688" s="1740"/>
      <c r="CPC1688" s="1740"/>
      <c r="CPD1688" s="1740"/>
      <c r="CPE1688" s="1740"/>
      <c r="CPF1688" s="1740"/>
      <c r="CPG1688" s="1740"/>
      <c r="CPH1688" s="1740"/>
      <c r="CPI1688" s="1740"/>
      <c r="CPJ1688" s="1740"/>
      <c r="CPK1688" s="1740"/>
      <c r="CPL1688" s="1740"/>
      <c r="CPM1688" s="1740"/>
      <c r="CPN1688" s="1740"/>
      <c r="CPO1688" s="1740"/>
      <c r="CPP1688" s="1740"/>
      <c r="CPQ1688" s="1740"/>
      <c r="CPR1688" s="1740"/>
      <c r="CPS1688" s="1740"/>
      <c r="CPT1688" s="1740"/>
      <c r="CPU1688" s="1740"/>
      <c r="CPV1688" s="1740"/>
      <c r="CPW1688" s="1740"/>
      <c r="CPX1688" s="1740"/>
      <c r="CPY1688" s="1740"/>
      <c r="CPZ1688" s="1740"/>
      <c r="CQA1688" s="1740"/>
      <c r="CQB1688" s="1740"/>
      <c r="CQC1688" s="1740"/>
      <c r="CQD1688" s="1740"/>
      <c r="CQE1688" s="1740"/>
      <c r="CQF1688" s="1740"/>
      <c r="CQG1688" s="1740"/>
      <c r="CQH1688" s="1740"/>
      <c r="CQI1688" s="1740"/>
      <c r="CQJ1688" s="1740"/>
      <c r="CQK1688" s="1740"/>
      <c r="CQL1688" s="1740"/>
      <c r="CQM1688" s="1740"/>
      <c r="CQN1688" s="1740"/>
      <c r="CQO1688" s="1740"/>
      <c r="CQP1688" s="1740"/>
      <c r="CQQ1688" s="1740"/>
      <c r="CQR1688" s="1740"/>
      <c r="CQS1688" s="1740"/>
      <c r="CQT1688" s="1740"/>
      <c r="CQU1688" s="1740"/>
      <c r="CQV1688" s="1740"/>
      <c r="CQW1688" s="1740"/>
      <c r="CQX1688" s="1740"/>
      <c r="CQY1688" s="1740"/>
      <c r="CQZ1688" s="1740"/>
      <c r="CRA1688" s="1740"/>
      <c r="CRB1688" s="1740"/>
      <c r="CRC1688" s="1740"/>
      <c r="CRD1688" s="1740"/>
      <c r="CRE1688" s="1740"/>
      <c r="CRF1688" s="1740"/>
      <c r="CRG1688" s="1740"/>
      <c r="CRH1688" s="1740"/>
      <c r="CRI1688" s="1740"/>
      <c r="CRJ1688" s="1740"/>
      <c r="CRK1688" s="1740"/>
      <c r="CRL1688" s="1740"/>
      <c r="CRM1688" s="1740"/>
      <c r="CRN1688" s="1740"/>
      <c r="CRO1688" s="1740"/>
      <c r="CRP1688" s="1740"/>
      <c r="CRQ1688" s="1740"/>
      <c r="CRR1688" s="1740"/>
      <c r="CRS1688" s="1740"/>
      <c r="CRT1688" s="1740"/>
      <c r="CRU1688" s="1740"/>
      <c r="CRV1688" s="1740"/>
      <c r="CRW1688" s="1740"/>
      <c r="CRX1688" s="1740"/>
      <c r="CRY1688" s="1740"/>
      <c r="CRZ1688" s="1740"/>
      <c r="CSA1688" s="1740"/>
      <c r="CSB1688" s="1740"/>
      <c r="CSC1688" s="1740"/>
      <c r="CSD1688" s="1740"/>
      <c r="CSE1688" s="1740"/>
      <c r="CSF1688" s="1740"/>
      <c r="CSG1688" s="1740"/>
      <c r="CSH1688" s="1740"/>
      <c r="CSI1688" s="1740"/>
      <c r="CSJ1688" s="1740"/>
      <c r="CSK1688" s="1740"/>
      <c r="CSL1688" s="1740"/>
      <c r="CSM1688" s="1740"/>
      <c r="CSN1688" s="1740"/>
      <c r="CSO1688" s="1740"/>
      <c r="CSP1688" s="1740"/>
      <c r="CSQ1688" s="1740"/>
      <c r="CSR1688" s="1740"/>
      <c r="CSS1688" s="1740"/>
      <c r="CST1688" s="1740"/>
      <c r="CSU1688" s="1740"/>
      <c r="CSV1688" s="1740"/>
      <c r="CSW1688" s="1740"/>
      <c r="CSX1688" s="1740"/>
      <c r="CSY1688" s="1740"/>
      <c r="CSZ1688" s="1740"/>
      <c r="CTA1688" s="1740"/>
      <c r="CTB1688" s="1740"/>
      <c r="CTC1688" s="1740"/>
      <c r="CTD1688" s="1740"/>
      <c r="CTE1688" s="1740"/>
      <c r="CTF1688" s="1740"/>
      <c r="CTG1688" s="1740"/>
      <c r="CTH1688" s="1740"/>
      <c r="CTI1688" s="1740"/>
      <c r="CTJ1688" s="1740"/>
      <c r="CTK1688" s="1740"/>
      <c r="CTL1688" s="1740"/>
      <c r="CTM1688" s="1740"/>
      <c r="CTN1688" s="1740"/>
      <c r="CTO1688" s="1740"/>
      <c r="CTP1688" s="1740"/>
      <c r="CTQ1688" s="1740"/>
      <c r="CTR1688" s="1740"/>
      <c r="CTS1688" s="1740"/>
      <c r="CTT1688" s="1740"/>
      <c r="CTU1688" s="1740"/>
      <c r="CTV1688" s="1740"/>
      <c r="CTW1688" s="1740"/>
      <c r="CTX1688" s="1740"/>
      <c r="CTY1688" s="1740"/>
      <c r="CTZ1688" s="1740"/>
      <c r="CUA1688" s="1740"/>
      <c r="CUB1688" s="1740"/>
      <c r="CUC1688" s="1740"/>
      <c r="CUD1688" s="1740"/>
      <c r="CUE1688" s="1740"/>
      <c r="CUF1688" s="1740"/>
      <c r="CUG1688" s="1740"/>
      <c r="CUH1688" s="1740"/>
      <c r="CUI1688" s="1740"/>
      <c r="CUJ1688" s="1740"/>
      <c r="CUK1688" s="1740"/>
      <c r="CUL1688" s="1740"/>
      <c r="CUM1688" s="1740"/>
      <c r="CUN1688" s="1740"/>
      <c r="CUO1688" s="1740"/>
      <c r="CUP1688" s="1740"/>
      <c r="CUQ1688" s="1740"/>
      <c r="CUR1688" s="1740"/>
      <c r="CUS1688" s="1740"/>
      <c r="CUT1688" s="1740"/>
      <c r="CUU1688" s="1740"/>
      <c r="CUV1688" s="1740"/>
      <c r="CUW1688" s="1740"/>
      <c r="CUX1688" s="1740"/>
      <c r="CUY1688" s="1740"/>
      <c r="CUZ1688" s="1740"/>
      <c r="CVA1688" s="1740"/>
      <c r="CVB1688" s="1740"/>
      <c r="CVC1688" s="1740"/>
      <c r="CVD1688" s="1740"/>
      <c r="CVE1688" s="1740"/>
      <c r="CVF1688" s="1740"/>
      <c r="CVG1688" s="1740"/>
      <c r="CVH1688" s="1740"/>
      <c r="CVI1688" s="1740"/>
      <c r="CVJ1688" s="1740"/>
      <c r="CVK1688" s="1740"/>
      <c r="CVL1688" s="1740"/>
      <c r="CVM1688" s="1740"/>
      <c r="CVN1688" s="1740"/>
      <c r="CVO1688" s="1740"/>
      <c r="CVP1688" s="1740"/>
      <c r="CVQ1688" s="1740"/>
      <c r="CVR1688" s="1740"/>
      <c r="CVS1688" s="1740"/>
      <c r="CVT1688" s="1740"/>
      <c r="CVU1688" s="1740"/>
      <c r="CVV1688" s="1740"/>
      <c r="CVW1688" s="1740"/>
      <c r="CVX1688" s="1740"/>
      <c r="CVY1688" s="1740"/>
      <c r="CVZ1688" s="1740"/>
      <c r="CWA1688" s="1740"/>
      <c r="CWB1688" s="1740"/>
      <c r="CWC1688" s="1740"/>
      <c r="CWD1688" s="1740"/>
      <c r="CWE1688" s="1740"/>
      <c r="CWF1688" s="1740"/>
      <c r="CWG1688" s="1740"/>
      <c r="CWH1688" s="1740"/>
      <c r="CWI1688" s="1740"/>
      <c r="CWJ1688" s="1740"/>
      <c r="CWK1688" s="1740"/>
      <c r="CWL1688" s="1740"/>
      <c r="CWM1688" s="1740"/>
      <c r="CWN1688" s="1740"/>
      <c r="CWO1688" s="1740"/>
      <c r="CWP1688" s="1740"/>
      <c r="CWQ1688" s="1740"/>
      <c r="CWR1688" s="1740"/>
      <c r="CWS1688" s="1740"/>
      <c r="CWT1688" s="1740"/>
      <c r="CWU1688" s="1740"/>
      <c r="CWV1688" s="1740"/>
      <c r="CWW1688" s="1740"/>
      <c r="CWX1688" s="1740"/>
      <c r="CWY1688" s="1740"/>
      <c r="CWZ1688" s="1740"/>
      <c r="CXA1688" s="1740"/>
      <c r="CXB1688" s="1740"/>
      <c r="CXC1688" s="1740"/>
      <c r="CXD1688" s="1740"/>
      <c r="CXE1688" s="1740"/>
      <c r="CXF1688" s="1740"/>
      <c r="CXG1688" s="1740"/>
      <c r="CXH1688" s="1740"/>
      <c r="CXI1688" s="1740"/>
      <c r="CXJ1688" s="1740"/>
      <c r="CXK1688" s="1740"/>
      <c r="CXL1688" s="1740"/>
      <c r="CXM1688" s="1740"/>
      <c r="CXN1688" s="1740"/>
      <c r="CXO1688" s="1740"/>
      <c r="CXP1688" s="1740"/>
      <c r="CXQ1688" s="1740"/>
      <c r="CXR1688" s="1740"/>
      <c r="CXS1688" s="1740"/>
      <c r="CXT1688" s="1740"/>
      <c r="CXU1688" s="1740"/>
      <c r="CXV1688" s="1740"/>
      <c r="CXW1688" s="1740"/>
      <c r="CXX1688" s="1740"/>
      <c r="CXY1688" s="1740"/>
      <c r="CXZ1688" s="1740"/>
      <c r="CYA1688" s="1740"/>
      <c r="CYB1688" s="1740"/>
      <c r="CYC1688" s="1740"/>
      <c r="CYD1688" s="1740"/>
      <c r="CYE1688" s="1740"/>
      <c r="CYF1688" s="1740"/>
      <c r="CYG1688" s="1740"/>
      <c r="CYH1688" s="1740"/>
      <c r="CYI1688" s="1740"/>
      <c r="CYJ1688" s="1740"/>
      <c r="CYK1688" s="1740"/>
      <c r="CYL1688" s="1740"/>
      <c r="CYM1688" s="1740"/>
      <c r="CYN1688" s="1740"/>
      <c r="CYO1688" s="1740"/>
      <c r="CYP1688" s="1740"/>
      <c r="CYQ1688" s="1740"/>
      <c r="CYR1688" s="1740"/>
      <c r="CYS1688" s="1740"/>
      <c r="CYT1688" s="1740"/>
      <c r="CYU1688" s="1740"/>
      <c r="CYV1688" s="1740"/>
      <c r="CYW1688" s="1740"/>
      <c r="CYX1688" s="1740"/>
      <c r="CYY1688" s="1740"/>
      <c r="CYZ1688" s="1740"/>
      <c r="CZA1688" s="1740"/>
      <c r="CZB1688" s="1740"/>
      <c r="CZC1688" s="1740"/>
      <c r="CZD1688" s="1740"/>
      <c r="CZE1688" s="1740"/>
      <c r="CZF1688" s="1740"/>
      <c r="CZG1688" s="1740"/>
      <c r="CZH1688" s="1740"/>
      <c r="CZI1688" s="1740"/>
      <c r="CZJ1688" s="1740"/>
      <c r="CZK1688" s="1740"/>
      <c r="CZL1688" s="1740"/>
      <c r="CZM1688" s="1740"/>
      <c r="CZN1688" s="1740"/>
      <c r="CZO1688" s="1740"/>
      <c r="CZP1688" s="1740"/>
      <c r="CZQ1688" s="1740"/>
      <c r="CZR1688" s="1740"/>
      <c r="CZS1688" s="1740"/>
      <c r="CZT1688" s="1740"/>
      <c r="CZU1688" s="1740"/>
      <c r="CZV1688" s="1740"/>
      <c r="CZW1688" s="1740"/>
      <c r="CZX1688" s="1740"/>
      <c r="CZY1688" s="1740"/>
      <c r="CZZ1688" s="1740"/>
      <c r="DAA1688" s="1740"/>
      <c r="DAB1688" s="1740"/>
      <c r="DAC1688" s="1740"/>
      <c r="DAD1688" s="1740"/>
      <c r="DAE1688" s="1740"/>
      <c r="DAF1688" s="1740"/>
      <c r="DAG1688" s="1740"/>
      <c r="DAH1688" s="1740"/>
      <c r="DAI1688" s="1740"/>
      <c r="DAJ1688" s="1740"/>
      <c r="DAK1688" s="1740"/>
      <c r="DAL1688" s="1740"/>
      <c r="DAM1688" s="1740"/>
      <c r="DAN1688" s="1740"/>
      <c r="DAO1688" s="1740"/>
      <c r="DAP1688" s="1740"/>
      <c r="DAQ1688" s="1740"/>
      <c r="DAR1688" s="1740"/>
      <c r="DAS1688" s="1740"/>
      <c r="DAT1688" s="1740"/>
      <c r="DAU1688" s="1740"/>
      <c r="DAV1688" s="1740"/>
      <c r="DAW1688" s="1740"/>
      <c r="DAX1688" s="1740"/>
      <c r="DAY1688" s="1740"/>
      <c r="DAZ1688" s="1740"/>
      <c r="DBA1688" s="1740"/>
      <c r="DBB1688" s="1740"/>
      <c r="DBC1688" s="1740"/>
      <c r="DBD1688" s="1740"/>
      <c r="DBE1688" s="1740"/>
      <c r="DBF1688" s="1740"/>
      <c r="DBG1688" s="1740"/>
      <c r="DBH1688" s="1740"/>
      <c r="DBI1688" s="1740"/>
      <c r="DBJ1688" s="1740"/>
      <c r="DBK1688" s="1740"/>
      <c r="DBL1688" s="1740"/>
      <c r="DBM1688" s="1740"/>
      <c r="DBN1688" s="1740"/>
      <c r="DBO1688" s="1740"/>
      <c r="DBP1688" s="1740"/>
      <c r="DBQ1688" s="1740"/>
      <c r="DBR1688" s="1740"/>
      <c r="DBS1688" s="1740"/>
      <c r="DBT1688" s="1740"/>
      <c r="DBU1688" s="1740"/>
      <c r="DBV1688" s="1740"/>
      <c r="DBW1688" s="1740"/>
      <c r="DBX1688" s="1740"/>
      <c r="DBY1688" s="1740"/>
      <c r="DBZ1688" s="1740"/>
      <c r="DCA1688" s="1740"/>
      <c r="DCB1688" s="1740"/>
      <c r="DCC1688" s="1740"/>
      <c r="DCD1688" s="1740"/>
      <c r="DCE1688" s="1740"/>
      <c r="DCF1688" s="1740"/>
      <c r="DCG1688" s="1740"/>
      <c r="DCH1688" s="1740"/>
      <c r="DCI1688" s="1740"/>
      <c r="DCJ1688" s="1740"/>
      <c r="DCK1688" s="1740"/>
      <c r="DCL1688" s="1740"/>
      <c r="DCM1688" s="1740"/>
      <c r="DCN1688" s="1740"/>
      <c r="DCO1688" s="1740"/>
      <c r="DCP1688" s="1740"/>
      <c r="DCQ1688" s="1740"/>
      <c r="DCR1688" s="1740"/>
      <c r="DCS1688" s="1740"/>
      <c r="DCT1688" s="1740"/>
      <c r="DCU1688" s="1740"/>
      <c r="DCV1688" s="1740"/>
      <c r="DCW1688" s="1740"/>
      <c r="DCX1688" s="1740"/>
      <c r="DCY1688" s="1740"/>
      <c r="DCZ1688" s="1740"/>
      <c r="DDA1688" s="1740"/>
      <c r="DDB1688" s="1740"/>
      <c r="DDC1688" s="1740"/>
      <c r="DDD1688" s="1740"/>
      <c r="DDE1688" s="1740"/>
      <c r="DDF1688" s="1740"/>
      <c r="DDG1688" s="1740"/>
      <c r="DDH1688" s="1740"/>
      <c r="DDI1688" s="1740"/>
      <c r="DDJ1688" s="1740"/>
      <c r="DDK1688" s="1740"/>
      <c r="DDL1688" s="1740"/>
      <c r="DDM1688" s="1740"/>
      <c r="DDN1688" s="1740"/>
      <c r="DDO1688" s="1740"/>
      <c r="DDP1688" s="1740"/>
      <c r="DDQ1688" s="1740"/>
      <c r="DDR1688" s="1740"/>
      <c r="DDS1688" s="1740"/>
      <c r="DDT1688" s="1740"/>
      <c r="DDU1688" s="1740"/>
      <c r="DDV1688" s="1740"/>
      <c r="DDW1688" s="1740"/>
      <c r="DDX1688" s="1740"/>
      <c r="DDY1688" s="1740"/>
      <c r="DDZ1688" s="1740"/>
      <c r="DEA1688" s="1740"/>
      <c r="DEB1688" s="1740"/>
      <c r="DEC1688" s="1740"/>
      <c r="DED1688" s="1740"/>
      <c r="DEE1688" s="1740"/>
      <c r="DEF1688" s="1740"/>
      <c r="DEG1688" s="1740"/>
      <c r="DEH1688" s="1740"/>
      <c r="DEI1688" s="1740"/>
      <c r="DEJ1688" s="1740"/>
      <c r="DEK1688" s="1740"/>
      <c r="DEL1688" s="1740"/>
      <c r="DEM1688" s="1740"/>
      <c r="DEN1688" s="1740"/>
      <c r="DEO1688" s="1740"/>
      <c r="DEP1688" s="1740"/>
      <c r="DEQ1688" s="1740"/>
      <c r="DER1688" s="1740"/>
      <c r="DES1688" s="1740"/>
      <c r="DET1688" s="1740"/>
      <c r="DEU1688" s="1740"/>
      <c r="DEV1688" s="1740"/>
      <c r="DEW1688" s="1740"/>
      <c r="DEX1688" s="1740"/>
      <c r="DEY1688" s="1740"/>
      <c r="DEZ1688" s="1740"/>
      <c r="DFA1688" s="1740"/>
      <c r="DFB1688" s="1740"/>
      <c r="DFC1688" s="1740"/>
      <c r="DFD1688" s="1740"/>
      <c r="DFE1688" s="1740"/>
      <c r="DFF1688" s="1740"/>
      <c r="DFG1688" s="1740"/>
      <c r="DFH1688" s="1740"/>
      <c r="DFI1688" s="1740"/>
      <c r="DFJ1688" s="1740"/>
      <c r="DFK1688" s="1740"/>
      <c r="DFL1688" s="1740"/>
      <c r="DFM1688" s="1740"/>
      <c r="DFN1688" s="1740"/>
      <c r="DFO1688" s="1740"/>
      <c r="DFP1688" s="1740"/>
      <c r="DFQ1688" s="1740"/>
      <c r="DFR1688" s="1740"/>
      <c r="DFS1688" s="1740"/>
      <c r="DFT1688" s="1740"/>
      <c r="DFU1688" s="1740"/>
      <c r="DFV1688" s="1740"/>
      <c r="DFW1688" s="1740"/>
      <c r="DFX1688" s="1740"/>
      <c r="DFY1688" s="1740"/>
      <c r="DFZ1688" s="1740"/>
      <c r="DGA1688" s="1740"/>
      <c r="DGB1688" s="1740"/>
      <c r="DGC1688" s="1740"/>
      <c r="DGD1688" s="1740"/>
      <c r="DGE1688" s="1740"/>
      <c r="DGF1688" s="1740"/>
      <c r="DGG1688" s="1740"/>
      <c r="DGH1688" s="1740"/>
      <c r="DGI1688" s="1740"/>
      <c r="DGJ1688" s="1740"/>
      <c r="DGK1688" s="1740"/>
      <c r="DGL1688" s="1740"/>
      <c r="DGM1688" s="1740"/>
      <c r="DGN1688" s="1740"/>
      <c r="DGO1688" s="1740"/>
      <c r="DGP1688" s="1740"/>
      <c r="DGQ1688" s="1740"/>
      <c r="DGR1688" s="1740"/>
      <c r="DGS1688" s="1740"/>
      <c r="DGT1688" s="1740"/>
      <c r="DGU1688" s="1740"/>
      <c r="DGV1688" s="1740"/>
      <c r="DGW1688" s="1740"/>
      <c r="DGX1688" s="1740"/>
      <c r="DGY1688" s="1740"/>
      <c r="DGZ1688" s="1740"/>
      <c r="DHA1688" s="1740"/>
      <c r="DHB1688" s="1740"/>
      <c r="DHC1688" s="1740"/>
      <c r="DHD1688" s="1740"/>
      <c r="DHE1688" s="1740"/>
      <c r="DHF1688" s="1740"/>
      <c r="DHG1688" s="1740"/>
      <c r="DHH1688" s="1740"/>
      <c r="DHI1688" s="1740"/>
      <c r="DHJ1688" s="1740"/>
      <c r="DHK1688" s="1740"/>
      <c r="DHL1688" s="1740"/>
      <c r="DHM1688" s="1740"/>
      <c r="DHN1688" s="1740"/>
      <c r="DHO1688" s="1740"/>
      <c r="DHP1688" s="1740"/>
      <c r="DHQ1688" s="1740"/>
      <c r="DHR1688" s="1740"/>
      <c r="DHS1688" s="1740"/>
      <c r="DHT1688" s="1740"/>
      <c r="DHU1688" s="1740"/>
      <c r="DHV1688" s="1740"/>
      <c r="DHW1688" s="1740"/>
      <c r="DHX1688" s="1740"/>
      <c r="DHY1688" s="1740"/>
      <c r="DHZ1688" s="1740"/>
      <c r="DIA1688" s="1740"/>
      <c r="DIB1688" s="1740"/>
      <c r="DIC1688" s="1740"/>
      <c r="DID1688" s="1740"/>
      <c r="DIE1688" s="1740"/>
      <c r="DIF1688" s="1740"/>
      <c r="DIG1688" s="1740"/>
      <c r="DIH1688" s="1740"/>
      <c r="DII1688" s="1740"/>
      <c r="DIJ1688" s="1740"/>
      <c r="DIK1688" s="1740"/>
      <c r="DIL1688" s="1740"/>
      <c r="DIM1688" s="1740"/>
      <c r="DIN1688" s="1740"/>
      <c r="DIO1688" s="1740"/>
      <c r="DIP1688" s="1740"/>
      <c r="DIQ1688" s="1740"/>
      <c r="DIR1688" s="1740"/>
      <c r="DIS1688" s="1740"/>
      <c r="DIT1688" s="1740"/>
      <c r="DIU1688" s="1740"/>
      <c r="DIV1688" s="1740"/>
      <c r="DIW1688" s="1740"/>
      <c r="DIX1688" s="1740"/>
      <c r="DIY1688" s="1740"/>
      <c r="DIZ1688" s="1740"/>
      <c r="DJA1688" s="1740"/>
      <c r="DJB1688" s="1740"/>
      <c r="DJC1688" s="1740"/>
      <c r="DJD1688" s="1740"/>
      <c r="DJE1688" s="1740"/>
      <c r="DJF1688" s="1740"/>
      <c r="DJG1688" s="1740"/>
      <c r="DJH1688" s="1740"/>
      <c r="DJI1688" s="1740"/>
      <c r="DJJ1688" s="1740"/>
      <c r="DJK1688" s="1740"/>
      <c r="DJL1688" s="1740"/>
      <c r="DJM1688" s="1740"/>
      <c r="DJN1688" s="1740"/>
      <c r="DJO1688" s="1740"/>
      <c r="DJP1688" s="1740"/>
      <c r="DJQ1688" s="1740"/>
      <c r="DJR1688" s="1740"/>
      <c r="DJS1688" s="1740"/>
      <c r="DJT1688" s="1740"/>
      <c r="DJU1688" s="1740"/>
      <c r="DJV1688" s="1740"/>
      <c r="DJW1688" s="1740"/>
      <c r="DJX1688" s="1740"/>
      <c r="DJY1688" s="1740"/>
      <c r="DJZ1688" s="1740"/>
      <c r="DKA1688" s="1740"/>
      <c r="DKB1688" s="1740"/>
      <c r="DKC1688" s="1740"/>
      <c r="DKD1688" s="1740"/>
      <c r="DKE1688" s="1740"/>
      <c r="DKF1688" s="1740"/>
      <c r="DKG1688" s="1740"/>
      <c r="DKH1688" s="1740"/>
      <c r="DKI1688" s="1740"/>
      <c r="DKJ1688" s="1740"/>
      <c r="DKK1688" s="1740"/>
      <c r="DKL1688" s="1740"/>
      <c r="DKM1688" s="1740"/>
      <c r="DKN1688" s="1740"/>
      <c r="DKO1688" s="1740"/>
      <c r="DKP1688" s="1740"/>
      <c r="DKQ1688" s="1740"/>
      <c r="DKR1688" s="1740"/>
      <c r="DKS1688" s="1740"/>
      <c r="DKT1688" s="1740"/>
      <c r="DKU1688" s="1740"/>
      <c r="DKV1688" s="1740"/>
      <c r="DKW1688" s="1740"/>
      <c r="DKX1688" s="1740"/>
      <c r="DKY1688" s="1740"/>
      <c r="DKZ1688" s="1740"/>
      <c r="DLA1688" s="1740"/>
      <c r="DLB1688" s="1740"/>
      <c r="DLC1688" s="1740"/>
      <c r="DLD1688" s="1740"/>
      <c r="DLE1688" s="1740"/>
      <c r="DLF1688" s="1740"/>
      <c r="DLG1688" s="1740"/>
      <c r="DLH1688" s="1740"/>
      <c r="DLI1688" s="1740"/>
      <c r="DLJ1688" s="1740"/>
      <c r="DLK1688" s="1740"/>
      <c r="DLL1688" s="1740"/>
      <c r="DLM1688" s="1740"/>
      <c r="DLN1688" s="1740"/>
      <c r="DLO1688" s="1740"/>
      <c r="DLP1688" s="1740"/>
      <c r="DLQ1688" s="1740"/>
      <c r="DLR1688" s="1740"/>
      <c r="DLS1688" s="1740"/>
      <c r="DLT1688" s="1740"/>
      <c r="DLU1688" s="1740"/>
      <c r="DLV1688" s="1740"/>
      <c r="DLW1688" s="1740"/>
      <c r="DLX1688" s="1740"/>
      <c r="DLY1688" s="1740"/>
      <c r="DLZ1688" s="1740"/>
      <c r="DMA1688" s="1740"/>
      <c r="DMB1688" s="1740"/>
      <c r="DMC1688" s="1740"/>
      <c r="DMD1688" s="1740"/>
      <c r="DME1688" s="1740"/>
      <c r="DMF1688" s="1740"/>
      <c r="DMG1688" s="1740"/>
      <c r="DMH1688" s="1740"/>
      <c r="DMI1688" s="1740"/>
      <c r="DMJ1688" s="1740"/>
      <c r="DMK1688" s="1740"/>
      <c r="DML1688" s="1740"/>
      <c r="DMM1688" s="1740"/>
      <c r="DMN1688" s="1740"/>
      <c r="DMO1688" s="1740"/>
      <c r="DMP1688" s="1740"/>
      <c r="DMQ1688" s="1740"/>
      <c r="DMR1688" s="1740"/>
      <c r="DMS1688" s="1740"/>
      <c r="DMT1688" s="1740"/>
      <c r="DMU1688" s="1740"/>
      <c r="DMV1688" s="1740"/>
      <c r="DMW1688" s="1740"/>
      <c r="DMX1688" s="1740"/>
      <c r="DMY1688" s="1740"/>
      <c r="DMZ1688" s="1740"/>
      <c r="DNA1688" s="1740"/>
      <c r="DNB1688" s="1740"/>
      <c r="DNC1688" s="1740"/>
      <c r="DND1688" s="1740"/>
      <c r="DNE1688" s="1740"/>
      <c r="DNF1688" s="1740"/>
      <c r="DNG1688" s="1740"/>
      <c r="DNH1688" s="1740"/>
      <c r="DNI1688" s="1740"/>
      <c r="DNJ1688" s="1740"/>
      <c r="DNK1688" s="1740"/>
      <c r="DNL1688" s="1740"/>
      <c r="DNM1688" s="1740"/>
      <c r="DNN1688" s="1740"/>
      <c r="DNO1688" s="1740"/>
      <c r="DNP1688" s="1740"/>
      <c r="DNQ1688" s="1740"/>
      <c r="DNR1688" s="1740"/>
      <c r="DNS1688" s="1740"/>
      <c r="DNT1688" s="1740"/>
      <c r="DNU1688" s="1740"/>
      <c r="DNV1688" s="1740"/>
      <c r="DNW1688" s="1740"/>
      <c r="DNX1688" s="1740"/>
      <c r="DNY1688" s="1740"/>
      <c r="DNZ1688" s="1740"/>
      <c r="DOA1688" s="1740"/>
      <c r="DOB1688" s="1740"/>
      <c r="DOC1688" s="1740"/>
      <c r="DOD1688" s="1740"/>
      <c r="DOE1688" s="1740"/>
      <c r="DOF1688" s="1740"/>
      <c r="DOG1688" s="1740"/>
      <c r="DOH1688" s="1740"/>
      <c r="DOI1688" s="1740"/>
      <c r="DOJ1688" s="1740"/>
      <c r="DOK1688" s="1740"/>
      <c r="DOL1688" s="1740"/>
      <c r="DOM1688" s="1740"/>
      <c r="DON1688" s="1740"/>
      <c r="DOO1688" s="1740"/>
      <c r="DOP1688" s="1740"/>
      <c r="DOQ1688" s="1740"/>
      <c r="DOR1688" s="1740"/>
      <c r="DOS1688" s="1740"/>
      <c r="DOT1688" s="1740"/>
      <c r="DOU1688" s="1740"/>
      <c r="DOV1688" s="1740"/>
      <c r="DOW1688" s="1740"/>
      <c r="DOX1688" s="1740"/>
      <c r="DOY1688" s="1740"/>
      <c r="DOZ1688" s="1740"/>
      <c r="DPA1688" s="1740"/>
      <c r="DPB1688" s="1740"/>
      <c r="DPC1688" s="1740"/>
      <c r="DPD1688" s="1740"/>
      <c r="DPE1688" s="1740"/>
      <c r="DPF1688" s="1740"/>
      <c r="DPG1688" s="1740"/>
      <c r="DPH1688" s="1740"/>
      <c r="DPI1688" s="1740"/>
      <c r="DPJ1688" s="1740"/>
      <c r="DPK1688" s="1740"/>
      <c r="DPL1688" s="1740"/>
      <c r="DPM1688" s="1740"/>
      <c r="DPN1688" s="1740"/>
      <c r="DPO1688" s="1740"/>
      <c r="DPP1688" s="1740"/>
      <c r="DPQ1688" s="1740"/>
      <c r="DPR1688" s="1740"/>
      <c r="DPS1688" s="1740"/>
      <c r="DPT1688" s="1740"/>
      <c r="DPU1688" s="1740"/>
      <c r="DPV1688" s="1740"/>
      <c r="DPW1688" s="1740"/>
      <c r="DPX1688" s="1740"/>
      <c r="DPY1688" s="1740"/>
      <c r="DPZ1688" s="1740"/>
      <c r="DQA1688" s="1740"/>
      <c r="DQB1688" s="1740"/>
      <c r="DQC1688" s="1740"/>
      <c r="DQD1688" s="1740"/>
      <c r="DQE1688" s="1740"/>
      <c r="DQF1688" s="1740"/>
      <c r="DQG1688" s="1740"/>
      <c r="DQH1688" s="1740"/>
      <c r="DQI1688" s="1740"/>
      <c r="DQJ1688" s="1740"/>
      <c r="DQK1688" s="1740"/>
      <c r="DQL1688" s="1740"/>
      <c r="DQM1688" s="1740"/>
      <c r="DQN1688" s="1740"/>
      <c r="DQO1688" s="1740"/>
      <c r="DQP1688" s="1740"/>
      <c r="DQQ1688" s="1740"/>
      <c r="DQR1688" s="1740"/>
      <c r="DQS1688" s="1740"/>
      <c r="DQT1688" s="1740"/>
      <c r="DQU1688" s="1740"/>
      <c r="DQV1688" s="1740"/>
      <c r="DQW1688" s="1740"/>
      <c r="DQX1688" s="1740"/>
      <c r="DQY1688" s="1740"/>
      <c r="DQZ1688" s="1740"/>
      <c r="DRA1688" s="1740"/>
      <c r="DRB1688" s="1740"/>
      <c r="DRC1688" s="1740"/>
      <c r="DRD1688" s="1740"/>
      <c r="DRE1688" s="1740"/>
      <c r="DRF1688" s="1740"/>
      <c r="DRG1688" s="1740"/>
      <c r="DRH1688" s="1740"/>
      <c r="DRI1688" s="1740"/>
      <c r="DRJ1688" s="1740"/>
      <c r="DRK1688" s="1740"/>
      <c r="DRL1688" s="1740"/>
      <c r="DRM1688" s="1740"/>
      <c r="DRN1688" s="1740"/>
      <c r="DRO1688" s="1740"/>
      <c r="DRP1688" s="1740"/>
      <c r="DRQ1688" s="1740"/>
      <c r="DRR1688" s="1740"/>
      <c r="DRS1688" s="1740"/>
      <c r="DRT1688" s="1740"/>
      <c r="DRU1688" s="1740"/>
      <c r="DRV1688" s="1740"/>
      <c r="DRW1688" s="1740"/>
      <c r="DRX1688" s="1740"/>
      <c r="DRY1688" s="1740"/>
      <c r="DRZ1688" s="1740"/>
      <c r="DSA1688" s="1740"/>
      <c r="DSB1688" s="1740"/>
      <c r="DSC1688" s="1740"/>
      <c r="DSD1688" s="1740"/>
      <c r="DSE1688" s="1740"/>
      <c r="DSF1688" s="1740"/>
      <c r="DSG1688" s="1740"/>
      <c r="DSH1688" s="1740"/>
      <c r="DSI1688" s="1740"/>
      <c r="DSJ1688" s="1740"/>
      <c r="DSK1688" s="1740"/>
      <c r="DSL1688" s="1740"/>
      <c r="DSM1688" s="1740"/>
      <c r="DSN1688" s="1740"/>
      <c r="DSO1688" s="1740"/>
      <c r="DSP1688" s="1740"/>
      <c r="DSQ1688" s="1740"/>
      <c r="DSR1688" s="1740"/>
      <c r="DSS1688" s="1740"/>
      <c r="DST1688" s="1740"/>
      <c r="DSU1688" s="1740"/>
      <c r="DSV1688" s="1740"/>
      <c r="DSW1688" s="1740"/>
      <c r="DSX1688" s="1740"/>
      <c r="DSY1688" s="1740"/>
      <c r="DSZ1688" s="1740"/>
      <c r="DTA1688" s="1740"/>
      <c r="DTB1688" s="1740"/>
      <c r="DTC1688" s="1740"/>
      <c r="DTD1688" s="1740"/>
      <c r="DTE1688" s="1740"/>
      <c r="DTF1688" s="1740"/>
      <c r="DTG1688" s="1740"/>
      <c r="DTH1688" s="1740"/>
      <c r="DTI1688" s="1740"/>
      <c r="DTJ1688" s="1740"/>
      <c r="DTK1688" s="1740"/>
      <c r="DTL1688" s="1740"/>
      <c r="DTM1688" s="1740"/>
      <c r="DTN1688" s="1740"/>
      <c r="DTO1688" s="1740"/>
      <c r="DTP1688" s="1740"/>
      <c r="DTQ1688" s="1740"/>
      <c r="DTR1688" s="1740"/>
      <c r="DTS1688" s="1740"/>
      <c r="DTT1688" s="1740"/>
      <c r="DTU1688" s="1740"/>
      <c r="DTV1688" s="1740"/>
      <c r="DTW1688" s="1740"/>
      <c r="DTX1688" s="1740"/>
      <c r="DTY1688" s="1740"/>
      <c r="DTZ1688" s="1740"/>
      <c r="DUA1688" s="1740"/>
      <c r="DUB1688" s="1740"/>
      <c r="DUC1688" s="1740"/>
      <c r="DUD1688" s="1740"/>
      <c r="DUE1688" s="1740"/>
      <c r="DUF1688" s="1740"/>
      <c r="DUG1688" s="1740"/>
      <c r="DUH1688" s="1740"/>
      <c r="DUI1688" s="1740"/>
      <c r="DUJ1688" s="1740"/>
      <c r="DUK1688" s="1740"/>
      <c r="DUL1688" s="1740"/>
      <c r="DUM1688" s="1740"/>
      <c r="DUN1688" s="1740"/>
      <c r="DUO1688" s="1740"/>
      <c r="DUP1688" s="1740"/>
      <c r="DUQ1688" s="1740"/>
      <c r="DUR1688" s="1740"/>
      <c r="DUS1688" s="1740"/>
      <c r="DUT1688" s="1740"/>
      <c r="DUU1688" s="1740"/>
      <c r="DUV1688" s="1740"/>
      <c r="DUW1688" s="1740"/>
      <c r="DUX1688" s="1740"/>
      <c r="DUY1688" s="1740"/>
      <c r="DUZ1688" s="1740"/>
      <c r="DVA1688" s="1740"/>
      <c r="DVB1688" s="1740"/>
      <c r="DVC1688" s="1740"/>
      <c r="DVD1688" s="1740"/>
      <c r="DVE1688" s="1740"/>
      <c r="DVF1688" s="1740"/>
      <c r="DVG1688" s="1740"/>
      <c r="DVH1688" s="1740"/>
      <c r="DVI1688" s="1740"/>
      <c r="DVJ1688" s="1740"/>
      <c r="DVK1688" s="1740"/>
      <c r="DVL1688" s="1740"/>
      <c r="DVM1688" s="1740"/>
      <c r="DVN1688" s="1740"/>
      <c r="DVO1688" s="1740"/>
      <c r="DVP1688" s="1740"/>
      <c r="DVQ1688" s="1740"/>
      <c r="DVR1688" s="1740"/>
      <c r="DVS1688" s="1740"/>
      <c r="DVT1688" s="1740"/>
      <c r="DVU1688" s="1740"/>
      <c r="DVV1688" s="1740"/>
      <c r="DVW1688" s="1740"/>
      <c r="DVX1688" s="1740"/>
      <c r="DVY1688" s="1740"/>
      <c r="DVZ1688" s="1740"/>
      <c r="DWA1688" s="1740"/>
      <c r="DWB1688" s="1740"/>
      <c r="DWC1688" s="1740"/>
      <c r="DWD1688" s="1740"/>
      <c r="DWE1688" s="1740"/>
      <c r="DWF1688" s="1740"/>
      <c r="DWG1688" s="1740"/>
      <c r="DWH1688" s="1740"/>
      <c r="DWI1688" s="1740"/>
      <c r="DWJ1688" s="1740"/>
      <c r="DWK1688" s="1740"/>
      <c r="DWL1688" s="1740"/>
      <c r="DWM1688" s="1740"/>
      <c r="DWN1688" s="1740"/>
      <c r="DWO1688" s="1740"/>
      <c r="DWP1688" s="1740"/>
      <c r="DWQ1688" s="1740"/>
      <c r="DWR1688" s="1740"/>
      <c r="DWS1688" s="1740"/>
      <c r="DWT1688" s="1740"/>
      <c r="DWU1688" s="1740"/>
      <c r="DWV1688" s="1740"/>
      <c r="DWW1688" s="1740"/>
      <c r="DWX1688" s="1740"/>
      <c r="DWY1688" s="1740"/>
      <c r="DWZ1688" s="1740"/>
      <c r="DXA1688" s="1740"/>
      <c r="DXB1688" s="1740"/>
      <c r="DXC1688" s="1740"/>
      <c r="DXD1688" s="1740"/>
      <c r="DXE1688" s="1740"/>
      <c r="DXF1688" s="1740"/>
      <c r="DXG1688" s="1740"/>
      <c r="DXH1688" s="1740"/>
      <c r="DXI1688" s="1740"/>
      <c r="DXJ1688" s="1740"/>
      <c r="DXK1688" s="1740"/>
      <c r="DXL1688" s="1740"/>
      <c r="DXM1688" s="1740"/>
      <c r="DXN1688" s="1740"/>
      <c r="DXO1688" s="1740"/>
      <c r="DXP1688" s="1740"/>
      <c r="DXQ1688" s="1740"/>
      <c r="DXR1688" s="1740"/>
      <c r="DXS1688" s="1740"/>
      <c r="DXT1688" s="1740"/>
      <c r="DXU1688" s="1740"/>
      <c r="DXV1688" s="1740"/>
      <c r="DXW1688" s="1740"/>
      <c r="DXX1688" s="1740"/>
      <c r="DXY1688" s="1740"/>
      <c r="DXZ1688" s="1740"/>
      <c r="DYA1688" s="1740"/>
      <c r="DYB1688" s="1740"/>
      <c r="DYC1688" s="1740"/>
      <c r="DYD1688" s="1740"/>
      <c r="DYE1688" s="1740"/>
      <c r="DYF1688" s="1740"/>
      <c r="DYG1688" s="1740"/>
      <c r="DYH1688" s="1740"/>
      <c r="DYI1688" s="1740"/>
      <c r="DYJ1688" s="1740"/>
      <c r="DYK1688" s="1740"/>
      <c r="DYL1688" s="1740"/>
      <c r="DYM1688" s="1740"/>
      <c r="DYN1688" s="1740"/>
      <c r="DYO1688" s="1740"/>
      <c r="DYP1688" s="1740"/>
      <c r="DYQ1688" s="1740"/>
      <c r="DYR1688" s="1740"/>
      <c r="DYS1688" s="1740"/>
      <c r="DYT1688" s="1740"/>
      <c r="DYU1688" s="1740"/>
      <c r="DYV1688" s="1740"/>
      <c r="DYW1688" s="1740"/>
      <c r="DYX1688" s="1740"/>
      <c r="DYY1688" s="1740"/>
      <c r="DYZ1688" s="1740"/>
      <c r="DZA1688" s="1740"/>
      <c r="DZB1688" s="1740"/>
      <c r="DZC1688" s="1740"/>
      <c r="DZD1688" s="1740"/>
      <c r="DZE1688" s="1740"/>
      <c r="DZF1688" s="1740"/>
      <c r="DZG1688" s="1740"/>
      <c r="DZH1688" s="1740"/>
      <c r="DZI1688" s="1740"/>
      <c r="DZJ1688" s="1740"/>
      <c r="DZK1688" s="1740"/>
      <c r="DZL1688" s="1740"/>
      <c r="DZM1688" s="1740"/>
      <c r="DZN1688" s="1740"/>
      <c r="DZO1688" s="1740"/>
      <c r="DZP1688" s="1740"/>
      <c r="DZQ1688" s="1740"/>
      <c r="DZR1688" s="1740"/>
      <c r="DZS1688" s="1740"/>
      <c r="DZT1688" s="1740"/>
      <c r="DZU1688" s="1740"/>
      <c r="DZV1688" s="1740"/>
      <c r="DZW1688" s="1740"/>
      <c r="DZX1688" s="1740"/>
      <c r="DZY1688" s="1740"/>
      <c r="DZZ1688" s="1740"/>
      <c r="EAA1688" s="1740"/>
      <c r="EAB1688" s="1740"/>
      <c r="EAC1688" s="1740"/>
      <c r="EAD1688" s="1740"/>
      <c r="EAE1688" s="1740"/>
      <c r="EAF1688" s="1740"/>
      <c r="EAG1688" s="1740"/>
      <c r="EAH1688" s="1740"/>
      <c r="EAI1688" s="1740"/>
      <c r="EAJ1688" s="1740"/>
      <c r="EAK1688" s="1740"/>
      <c r="EAL1688" s="1740"/>
      <c r="EAM1688" s="1740"/>
      <c r="EAN1688" s="1740"/>
      <c r="EAO1688" s="1740"/>
      <c r="EAP1688" s="1740"/>
      <c r="EAQ1688" s="1740"/>
      <c r="EAR1688" s="1740"/>
      <c r="EAS1688" s="1740"/>
      <c r="EAT1688" s="1740"/>
      <c r="EAU1688" s="1740"/>
      <c r="EAV1688" s="1740"/>
      <c r="EAW1688" s="1740"/>
      <c r="EAX1688" s="1740"/>
      <c r="EAY1688" s="1740"/>
      <c r="EAZ1688" s="1740"/>
      <c r="EBA1688" s="1740"/>
      <c r="EBB1688" s="1740"/>
      <c r="EBC1688" s="1740"/>
      <c r="EBD1688" s="1740"/>
      <c r="EBE1688" s="1740"/>
      <c r="EBF1688" s="1740"/>
      <c r="EBG1688" s="1740"/>
      <c r="EBH1688" s="1740"/>
      <c r="EBI1688" s="1740"/>
      <c r="EBJ1688" s="1740"/>
      <c r="EBK1688" s="1740"/>
      <c r="EBL1688" s="1740"/>
      <c r="EBM1688" s="1740"/>
      <c r="EBN1688" s="1740"/>
      <c r="EBO1688" s="1740"/>
      <c r="EBP1688" s="1740"/>
      <c r="EBQ1688" s="1740"/>
      <c r="EBR1688" s="1740"/>
      <c r="EBS1688" s="1740"/>
      <c r="EBT1688" s="1740"/>
      <c r="EBU1688" s="1740"/>
      <c r="EBV1688" s="1740"/>
      <c r="EBW1688" s="1740"/>
      <c r="EBX1688" s="1740"/>
      <c r="EBY1688" s="1740"/>
      <c r="EBZ1688" s="1740"/>
      <c r="ECA1688" s="1740"/>
      <c r="ECB1688" s="1740"/>
      <c r="ECC1688" s="1740"/>
      <c r="ECD1688" s="1740"/>
      <c r="ECE1688" s="1740"/>
      <c r="ECF1688" s="1740"/>
      <c r="ECG1688" s="1740"/>
      <c r="ECH1688" s="1740"/>
      <c r="ECI1688" s="1740"/>
      <c r="ECJ1688" s="1740"/>
      <c r="ECK1688" s="1740"/>
      <c r="ECL1688" s="1740"/>
      <c r="ECM1688" s="1740"/>
      <c r="ECN1688" s="1740"/>
      <c r="ECO1688" s="1740"/>
      <c r="ECP1688" s="1740"/>
      <c r="ECQ1688" s="1740"/>
      <c r="ECR1688" s="1740"/>
      <c r="ECS1688" s="1740"/>
      <c r="ECT1688" s="1740"/>
      <c r="ECU1688" s="1740"/>
      <c r="ECV1688" s="1740"/>
      <c r="ECW1688" s="1740"/>
      <c r="ECX1688" s="1740"/>
      <c r="ECY1688" s="1740"/>
      <c r="ECZ1688" s="1740"/>
      <c r="EDA1688" s="1740"/>
      <c r="EDB1688" s="1740"/>
      <c r="EDC1688" s="1740"/>
      <c r="EDD1688" s="1740"/>
      <c r="EDE1688" s="1740"/>
      <c r="EDF1688" s="1740"/>
      <c r="EDG1688" s="1740"/>
      <c r="EDH1688" s="1740"/>
      <c r="EDI1688" s="1740"/>
      <c r="EDJ1688" s="1740"/>
      <c r="EDK1688" s="1740"/>
      <c r="EDL1688" s="1740"/>
      <c r="EDM1688" s="1740"/>
      <c r="EDN1688" s="1740"/>
      <c r="EDO1688" s="1740"/>
      <c r="EDP1688" s="1740"/>
      <c r="EDQ1688" s="1740"/>
      <c r="EDR1688" s="1740"/>
      <c r="EDS1688" s="1740"/>
      <c r="EDT1688" s="1740"/>
      <c r="EDU1688" s="1740"/>
      <c r="EDV1688" s="1740"/>
      <c r="EDW1688" s="1740"/>
      <c r="EDX1688" s="1740"/>
      <c r="EDY1688" s="1740"/>
      <c r="EDZ1688" s="1740"/>
      <c r="EEA1688" s="1740"/>
      <c r="EEB1688" s="1740"/>
      <c r="EEC1688" s="1740"/>
      <c r="EED1688" s="1740"/>
      <c r="EEE1688" s="1740"/>
      <c r="EEF1688" s="1740"/>
      <c r="EEG1688" s="1740"/>
      <c r="EEH1688" s="1740"/>
      <c r="EEI1688" s="1740"/>
      <c r="EEJ1688" s="1740"/>
      <c r="EEK1688" s="1740"/>
      <c r="EEL1688" s="1740"/>
      <c r="EEM1688" s="1740"/>
      <c r="EEN1688" s="1740"/>
      <c r="EEO1688" s="1740"/>
      <c r="EEP1688" s="1740"/>
      <c r="EEQ1688" s="1740"/>
      <c r="EER1688" s="1740"/>
      <c r="EES1688" s="1740"/>
      <c r="EET1688" s="1740"/>
      <c r="EEU1688" s="1740"/>
      <c r="EEV1688" s="1740"/>
      <c r="EEW1688" s="1740"/>
      <c r="EEX1688" s="1740"/>
      <c r="EEY1688" s="1740"/>
      <c r="EEZ1688" s="1740"/>
      <c r="EFA1688" s="1740"/>
      <c r="EFB1688" s="1740"/>
      <c r="EFC1688" s="1740"/>
      <c r="EFD1688" s="1740"/>
      <c r="EFE1688" s="1740"/>
      <c r="EFF1688" s="1740"/>
      <c r="EFG1688" s="1740"/>
      <c r="EFH1688" s="1740"/>
      <c r="EFI1688" s="1740"/>
      <c r="EFJ1688" s="1740"/>
      <c r="EFK1688" s="1740"/>
      <c r="EFL1688" s="1740"/>
      <c r="EFM1688" s="1740"/>
      <c r="EFN1688" s="1740"/>
      <c r="EFO1688" s="1740"/>
      <c r="EFP1688" s="1740"/>
      <c r="EFQ1688" s="1740"/>
      <c r="EFR1688" s="1740"/>
      <c r="EFS1688" s="1740"/>
      <c r="EFT1688" s="1740"/>
      <c r="EFU1688" s="1740"/>
      <c r="EFV1688" s="1740"/>
      <c r="EFW1688" s="1740"/>
      <c r="EFX1688" s="1740"/>
      <c r="EFY1688" s="1740"/>
      <c r="EFZ1688" s="1740"/>
      <c r="EGA1688" s="1740"/>
      <c r="EGB1688" s="1740"/>
      <c r="EGC1688" s="1740"/>
      <c r="EGD1688" s="1740"/>
      <c r="EGE1688" s="1740"/>
      <c r="EGF1688" s="1740"/>
      <c r="EGG1688" s="1740"/>
      <c r="EGH1688" s="1740"/>
      <c r="EGI1688" s="1740"/>
      <c r="EGJ1688" s="1740"/>
      <c r="EGK1688" s="1740"/>
      <c r="EGL1688" s="1740"/>
      <c r="EGM1688" s="1740"/>
      <c r="EGN1688" s="1740"/>
      <c r="EGO1688" s="1740"/>
      <c r="EGP1688" s="1740"/>
      <c r="EGQ1688" s="1740"/>
      <c r="EGR1688" s="1740"/>
      <c r="EGS1688" s="1740"/>
      <c r="EGT1688" s="1740"/>
      <c r="EGU1688" s="1740"/>
      <c r="EGV1688" s="1740"/>
      <c r="EGW1688" s="1740"/>
      <c r="EGX1688" s="1740"/>
      <c r="EGY1688" s="1740"/>
      <c r="EGZ1688" s="1740"/>
      <c r="EHA1688" s="1740"/>
      <c r="EHB1688" s="1740"/>
      <c r="EHC1688" s="1740"/>
      <c r="EHD1688" s="1740"/>
      <c r="EHE1688" s="1740"/>
      <c r="EHF1688" s="1740"/>
      <c r="EHG1688" s="1740"/>
      <c r="EHH1688" s="1740"/>
      <c r="EHI1688" s="1740"/>
      <c r="EHJ1688" s="1740"/>
      <c r="EHK1688" s="1740"/>
      <c r="EHL1688" s="1740"/>
      <c r="EHM1688" s="1740"/>
      <c r="EHN1688" s="1740"/>
      <c r="EHO1688" s="1740"/>
      <c r="EHP1688" s="1740"/>
      <c r="EHQ1688" s="1740"/>
      <c r="EHR1688" s="1740"/>
      <c r="EHS1688" s="1740"/>
      <c r="EHT1688" s="1740"/>
      <c r="EHU1688" s="1740"/>
      <c r="EHV1688" s="1740"/>
      <c r="EHW1688" s="1740"/>
      <c r="EHX1688" s="1740"/>
      <c r="EHY1688" s="1740"/>
      <c r="EHZ1688" s="1740"/>
      <c r="EIA1688" s="1740"/>
      <c r="EIB1688" s="1740"/>
      <c r="EIC1688" s="1740"/>
      <c r="EID1688" s="1740"/>
      <c r="EIE1688" s="1740"/>
      <c r="EIF1688" s="1740"/>
      <c r="EIG1688" s="1740"/>
      <c r="EIH1688" s="1740"/>
      <c r="EII1688" s="1740"/>
      <c r="EIJ1688" s="1740"/>
      <c r="EIK1688" s="1740"/>
      <c r="EIL1688" s="1740"/>
      <c r="EIM1688" s="1740"/>
      <c r="EIN1688" s="1740"/>
      <c r="EIO1688" s="1740"/>
      <c r="EIP1688" s="1740"/>
      <c r="EIQ1688" s="1740"/>
      <c r="EIR1688" s="1740"/>
      <c r="EIS1688" s="1740"/>
      <c r="EIT1688" s="1740"/>
      <c r="EIU1688" s="1740"/>
      <c r="EIV1688" s="1740"/>
      <c r="EIW1688" s="1740"/>
      <c r="EIX1688" s="1740"/>
      <c r="EIY1688" s="1740"/>
      <c r="EIZ1688" s="1740"/>
      <c r="EJA1688" s="1740"/>
      <c r="EJB1688" s="1740"/>
      <c r="EJC1688" s="1740"/>
      <c r="EJD1688" s="1740"/>
      <c r="EJE1688" s="1740"/>
      <c r="EJF1688" s="1740"/>
      <c r="EJG1688" s="1740"/>
      <c r="EJH1688" s="1740"/>
      <c r="EJI1688" s="1740"/>
      <c r="EJJ1688" s="1740"/>
      <c r="EJK1688" s="1740"/>
      <c r="EJL1688" s="1740"/>
      <c r="EJM1688" s="1740"/>
      <c r="EJN1688" s="1740"/>
      <c r="EJO1688" s="1740"/>
      <c r="EJP1688" s="1740"/>
      <c r="EJQ1688" s="1740"/>
      <c r="EJR1688" s="1740"/>
      <c r="EJS1688" s="1740"/>
      <c r="EJT1688" s="1740"/>
      <c r="EJU1688" s="1740"/>
      <c r="EJV1688" s="1740"/>
      <c r="EJW1688" s="1740"/>
      <c r="EJX1688" s="1740"/>
      <c r="EJY1688" s="1740"/>
      <c r="EJZ1688" s="1740"/>
      <c r="EKA1688" s="1740"/>
      <c r="EKB1688" s="1740"/>
      <c r="EKC1688" s="1740"/>
      <c r="EKD1688" s="1740"/>
      <c r="EKE1688" s="1740"/>
      <c r="EKF1688" s="1740"/>
      <c r="EKG1688" s="1740"/>
      <c r="EKH1688" s="1740"/>
      <c r="EKI1688" s="1740"/>
      <c r="EKJ1688" s="1740"/>
      <c r="EKK1688" s="1740"/>
      <c r="EKL1688" s="1740"/>
      <c r="EKM1688" s="1740"/>
      <c r="EKN1688" s="1740"/>
      <c r="EKO1688" s="1740"/>
      <c r="EKP1688" s="1740"/>
      <c r="EKQ1688" s="1740"/>
      <c r="EKR1688" s="1740"/>
      <c r="EKS1688" s="1740"/>
      <c r="EKT1688" s="1740"/>
      <c r="EKU1688" s="1740"/>
      <c r="EKV1688" s="1740"/>
      <c r="EKW1688" s="1740"/>
      <c r="EKX1688" s="1740"/>
      <c r="EKY1688" s="1740"/>
      <c r="EKZ1688" s="1740"/>
      <c r="ELA1688" s="1740"/>
      <c r="ELB1688" s="1740"/>
      <c r="ELC1688" s="1740"/>
      <c r="ELD1688" s="1740"/>
      <c r="ELE1688" s="1740"/>
      <c r="ELF1688" s="1740"/>
      <c r="ELG1688" s="1740"/>
      <c r="ELH1688" s="1740"/>
      <c r="ELI1688" s="1740"/>
      <c r="ELJ1688" s="1740"/>
      <c r="ELK1688" s="1740"/>
      <c r="ELL1688" s="1740"/>
      <c r="ELM1688" s="1740"/>
      <c r="ELN1688" s="1740"/>
      <c r="ELO1688" s="1740"/>
      <c r="ELP1688" s="1740"/>
      <c r="ELQ1688" s="1740"/>
      <c r="ELR1688" s="1740"/>
      <c r="ELS1688" s="1740"/>
      <c r="ELT1688" s="1740"/>
      <c r="ELU1688" s="1740"/>
      <c r="ELV1688" s="1740"/>
      <c r="ELW1688" s="1740"/>
      <c r="ELX1688" s="1740"/>
      <c r="ELY1688" s="1740"/>
      <c r="ELZ1688" s="1740"/>
      <c r="EMA1688" s="1740"/>
      <c r="EMB1688" s="1740"/>
      <c r="EMC1688" s="1740"/>
      <c r="EMD1688" s="1740"/>
      <c r="EME1688" s="1740"/>
      <c r="EMF1688" s="1740"/>
      <c r="EMG1688" s="1740"/>
      <c r="EMH1688" s="1740"/>
      <c r="EMI1688" s="1740"/>
      <c r="EMJ1688" s="1740"/>
      <c r="EMK1688" s="1740"/>
      <c r="EML1688" s="1740"/>
      <c r="EMM1688" s="1740"/>
      <c r="EMN1688" s="1740"/>
      <c r="EMO1688" s="1740"/>
      <c r="EMP1688" s="1740"/>
      <c r="EMQ1688" s="1740"/>
      <c r="EMR1688" s="1740"/>
      <c r="EMS1688" s="1740"/>
      <c r="EMT1688" s="1740"/>
      <c r="EMU1688" s="1740"/>
      <c r="EMV1688" s="1740"/>
      <c r="EMW1688" s="1740"/>
      <c r="EMX1688" s="1740"/>
      <c r="EMY1688" s="1740"/>
      <c r="EMZ1688" s="1740"/>
      <c r="ENA1688" s="1740"/>
      <c r="ENB1688" s="1740"/>
      <c r="ENC1688" s="1740"/>
      <c r="END1688" s="1740"/>
      <c r="ENE1688" s="1740"/>
      <c r="ENF1688" s="1740"/>
      <c r="ENG1688" s="1740"/>
      <c r="ENH1688" s="1740"/>
      <c r="ENI1688" s="1740"/>
      <c r="ENJ1688" s="1740"/>
      <c r="ENK1688" s="1740"/>
      <c r="ENL1688" s="1740"/>
      <c r="ENM1688" s="1740"/>
      <c r="ENN1688" s="1740"/>
      <c r="ENO1688" s="1740"/>
      <c r="ENP1688" s="1740"/>
      <c r="ENQ1688" s="1740"/>
      <c r="ENR1688" s="1740"/>
      <c r="ENS1688" s="1740"/>
      <c r="ENT1688" s="1740"/>
      <c r="ENU1688" s="1740"/>
      <c r="ENV1688" s="1740"/>
      <c r="ENW1688" s="1740"/>
      <c r="ENX1688" s="1740"/>
      <c r="ENY1688" s="1740"/>
      <c r="ENZ1688" s="1740"/>
      <c r="EOA1688" s="1740"/>
      <c r="EOB1688" s="1740"/>
      <c r="EOC1688" s="1740"/>
      <c r="EOD1688" s="1740"/>
      <c r="EOE1688" s="1740"/>
      <c r="EOF1688" s="1740"/>
      <c r="EOG1688" s="1740"/>
      <c r="EOH1688" s="1740"/>
      <c r="EOI1688" s="1740"/>
      <c r="EOJ1688" s="1740"/>
      <c r="EOK1688" s="1740"/>
      <c r="EOL1688" s="1740"/>
      <c r="EOM1688" s="1740"/>
      <c r="EON1688" s="1740"/>
      <c r="EOO1688" s="1740"/>
      <c r="EOP1688" s="1740"/>
      <c r="EOQ1688" s="1740"/>
      <c r="EOR1688" s="1740"/>
      <c r="EOS1688" s="1740"/>
      <c r="EOT1688" s="1740"/>
      <c r="EOU1688" s="1740"/>
      <c r="EOV1688" s="1740"/>
      <c r="EOW1688" s="1740"/>
      <c r="EOX1688" s="1740"/>
      <c r="EOY1688" s="1740"/>
      <c r="EOZ1688" s="1740"/>
      <c r="EPA1688" s="1740"/>
      <c r="EPB1688" s="1740"/>
      <c r="EPC1688" s="1740"/>
      <c r="EPD1688" s="1740"/>
      <c r="EPE1688" s="1740"/>
      <c r="EPF1688" s="1740"/>
      <c r="EPG1688" s="1740"/>
      <c r="EPH1688" s="1740"/>
      <c r="EPI1688" s="1740"/>
      <c r="EPJ1688" s="1740"/>
      <c r="EPK1688" s="1740"/>
      <c r="EPL1688" s="1740"/>
      <c r="EPM1688" s="1740"/>
      <c r="EPN1688" s="1740"/>
      <c r="EPO1688" s="1740"/>
      <c r="EPP1688" s="1740"/>
      <c r="EPQ1688" s="1740"/>
      <c r="EPR1688" s="1740"/>
      <c r="EPS1688" s="1740"/>
      <c r="EPT1688" s="1740"/>
      <c r="EPU1688" s="1740"/>
      <c r="EPV1688" s="1740"/>
      <c r="EPW1688" s="1740"/>
      <c r="EPX1688" s="1740"/>
      <c r="EPY1688" s="1740"/>
      <c r="EPZ1688" s="1740"/>
      <c r="EQA1688" s="1740"/>
      <c r="EQB1688" s="1740"/>
      <c r="EQC1688" s="1740"/>
      <c r="EQD1688" s="1740"/>
      <c r="EQE1688" s="1740"/>
      <c r="EQF1688" s="1740"/>
      <c r="EQG1688" s="1740"/>
      <c r="EQH1688" s="1740"/>
      <c r="EQI1688" s="1740"/>
      <c r="EQJ1688" s="1740"/>
      <c r="EQK1688" s="1740"/>
      <c r="EQL1688" s="1740"/>
      <c r="EQM1688" s="1740"/>
      <c r="EQN1688" s="1740"/>
      <c r="EQO1688" s="1740"/>
      <c r="EQP1688" s="1740"/>
      <c r="EQQ1688" s="1740"/>
      <c r="EQR1688" s="1740"/>
      <c r="EQS1688" s="1740"/>
      <c r="EQT1688" s="1740"/>
      <c r="EQU1688" s="1740"/>
      <c r="EQV1688" s="1740"/>
      <c r="EQW1688" s="1740"/>
      <c r="EQX1688" s="1740"/>
      <c r="EQY1688" s="1740"/>
      <c r="EQZ1688" s="1740"/>
      <c r="ERA1688" s="1740"/>
      <c r="ERB1688" s="1740"/>
      <c r="ERC1688" s="1740"/>
      <c r="ERD1688" s="1740"/>
      <c r="ERE1688" s="1740"/>
      <c r="ERF1688" s="1740"/>
      <c r="ERG1688" s="1740"/>
      <c r="ERH1688" s="1740"/>
      <c r="ERI1688" s="1740"/>
      <c r="ERJ1688" s="1740"/>
      <c r="ERK1688" s="1740"/>
      <c r="ERL1688" s="1740"/>
      <c r="ERM1688" s="1740"/>
      <c r="ERN1688" s="1740"/>
      <c r="ERO1688" s="1740"/>
      <c r="ERP1688" s="1740"/>
      <c r="ERQ1688" s="1740"/>
      <c r="ERR1688" s="1740"/>
      <c r="ERS1688" s="1740"/>
      <c r="ERT1688" s="1740"/>
      <c r="ERU1688" s="1740"/>
      <c r="ERV1688" s="1740"/>
      <c r="ERW1688" s="1740"/>
      <c r="ERX1688" s="1740"/>
      <c r="ERY1688" s="1740"/>
      <c r="ERZ1688" s="1740"/>
      <c r="ESA1688" s="1740"/>
      <c r="ESB1688" s="1740"/>
      <c r="ESC1688" s="1740"/>
      <c r="ESD1688" s="1740"/>
      <c r="ESE1688" s="1740"/>
      <c r="ESF1688" s="1740"/>
      <c r="ESG1688" s="1740"/>
      <c r="ESH1688" s="1740"/>
      <c r="ESI1688" s="1740"/>
      <c r="ESJ1688" s="1740"/>
      <c r="ESK1688" s="1740"/>
      <c r="ESL1688" s="1740"/>
      <c r="ESM1688" s="1740"/>
      <c r="ESN1688" s="1740"/>
      <c r="ESO1688" s="1740"/>
      <c r="ESP1688" s="1740"/>
      <c r="ESQ1688" s="1740"/>
      <c r="ESR1688" s="1740"/>
      <c r="ESS1688" s="1740"/>
      <c r="EST1688" s="1740"/>
      <c r="ESU1688" s="1740"/>
      <c r="ESV1688" s="1740"/>
      <c r="ESW1688" s="1740"/>
      <c r="ESX1688" s="1740"/>
      <c r="ESY1688" s="1740"/>
      <c r="ESZ1688" s="1740"/>
      <c r="ETA1688" s="1740"/>
      <c r="ETB1688" s="1740"/>
      <c r="ETC1688" s="1740"/>
      <c r="ETD1688" s="1740"/>
      <c r="ETE1688" s="1740"/>
      <c r="ETF1688" s="1740"/>
      <c r="ETG1688" s="1740"/>
      <c r="ETH1688" s="1740"/>
      <c r="ETI1688" s="1740"/>
      <c r="ETJ1688" s="1740"/>
      <c r="ETK1688" s="1740"/>
      <c r="ETL1688" s="1740"/>
      <c r="ETM1688" s="1740"/>
      <c r="ETN1688" s="1740"/>
      <c r="ETO1688" s="1740"/>
      <c r="ETP1688" s="1740"/>
      <c r="ETQ1688" s="1740"/>
      <c r="ETR1688" s="1740"/>
      <c r="ETS1688" s="1740"/>
      <c r="ETT1688" s="1740"/>
      <c r="ETU1688" s="1740"/>
      <c r="ETV1688" s="1740"/>
      <c r="ETW1688" s="1740"/>
      <c r="ETX1688" s="1740"/>
      <c r="ETY1688" s="1740"/>
      <c r="ETZ1688" s="1740"/>
      <c r="EUA1688" s="1740"/>
      <c r="EUB1688" s="1740"/>
      <c r="EUC1688" s="1740"/>
      <c r="EUD1688" s="1740"/>
      <c r="EUE1688" s="1740"/>
      <c r="EUF1688" s="1740"/>
      <c r="EUG1688" s="1740"/>
      <c r="EUH1688" s="1740"/>
      <c r="EUI1688" s="1740"/>
      <c r="EUJ1688" s="1740"/>
      <c r="EUK1688" s="1740"/>
      <c r="EUL1688" s="1740"/>
      <c r="EUM1688" s="1740"/>
      <c r="EUN1688" s="1740"/>
      <c r="EUO1688" s="1740"/>
      <c r="EUP1688" s="1740"/>
      <c r="EUQ1688" s="1740"/>
      <c r="EUR1688" s="1740"/>
      <c r="EUS1688" s="1740"/>
      <c r="EUT1688" s="1740"/>
      <c r="EUU1688" s="1740"/>
      <c r="EUV1688" s="1740"/>
      <c r="EUW1688" s="1740"/>
      <c r="EUX1688" s="1740"/>
      <c r="EUY1688" s="1740"/>
      <c r="EUZ1688" s="1740"/>
      <c r="EVA1688" s="1740"/>
      <c r="EVB1688" s="1740"/>
      <c r="EVC1688" s="1740"/>
      <c r="EVD1688" s="1740"/>
      <c r="EVE1688" s="1740"/>
      <c r="EVF1688" s="1740"/>
      <c r="EVG1688" s="1740"/>
      <c r="EVH1688" s="1740"/>
      <c r="EVI1688" s="1740"/>
      <c r="EVJ1688" s="1740"/>
      <c r="EVK1688" s="1740"/>
      <c r="EVL1688" s="1740"/>
      <c r="EVM1688" s="1740"/>
      <c r="EVN1688" s="1740"/>
      <c r="EVO1688" s="1740"/>
      <c r="EVP1688" s="1740"/>
      <c r="EVQ1688" s="1740"/>
      <c r="EVR1688" s="1740"/>
      <c r="EVS1688" s="1740"/>
      <c r="EVT1688" s="1740"/>
      <c r="EVU1688" s="1740"/>
      <c r="EVV1688" s="1740"/>
      <c r="EVW1688" s="1740"/>
      <c r="EVX1688" s="1740"/>
      <c r="EVY1688" s="1740"/>
      <c r="EVZ1688" s="1740"/>
      <c r="EWA1688" s="1740"/>
      <c r="EWB1688" s="1740"/>
      <c r="EWC1688" s="1740"/>
      <c r="EWD1688" s="1740"/>
      <c r="EWE1688" s="1740"/>
      <c r="EWF1688" s="1740"/>
      <c r="EWG1688" s="1740"/>
      <c r="EWH1688" s="1740"/>
      <c r="EWI1688" s="1740"/>
      <c r="EWJ1688" s="1740"/>
      <c r="EWK1688" s="1740"/>
      <c r="EWL1688" s="1740"/>
      <c r="EWM1688" s="1740"/>
      <c r="EWN1688" s="1740"/>
      <c r="EWO1688" s="1740"/>
      <c r="EWP1688" s="1740"/>
      <c r="EWQ1688" s="1740"/>
      <c r="EWR1688" s="1740"/>
      <c r="EWS1688" s="1740"/>
      <c r="EWT1688" s="1740"/>
      <c r="EWU1688" s="1740"/>
      <c r="EWV1688" s="1740"/>
      <c r="EWW1688" s="1740"/>
      <c r="EWX1688" s="1740"/>
      <c r="EWY1688" s="1740"/>
      <c r="EWZ1688" s="1740"/>
      <c r="EXA1688" s="1740"/>
      <c r="EXB1688" s="1740"/>
      <c r="EXC1688" s="1740"/>
      <c r="EXD1688" s="1740"/>
      <c r="EXE1688" s="1740"/>
      <c r="EXF1688" s="1740"/>
      <c r="EXG1688" s="1740"/>
      <c r="EXH1688" s="1740"/>
      <c r="EXI1688" s="1740"/>
      <c r="EXJ1688" s="1740"/>
      <c r="EXK1688" s="1740"/>
      <c r="EXL1688" s="1740"/>
      <c r="EXM1688" s="1740"/>
      <c r="EXN1688" s="1740"/>
      <c r="EXO1688" s="1740"/>
      <c r="EXP1688" s="1740"/>
      <c r="EXQ1688" s="1740"/>
      <c r="EXR1688" s="1740"/>
      <c r="EXS1688" s="1740"/>
      <c r="EXT1688" s="1740"/>
      <c r="EXU1688" s="1740"/>
      <c r="EXV1688" s="1740"/>
      <c r="EXW1688" s="1740"/>
      <c r="EXX1688" s="1740"/>
      <c r="EXY1688" s="1740"/>
      <c r="EXZ1688" s="1740"/>
      <c r="EYA1688" s="1740"/>
      <c r="EYB1688" s="1740"/>
      <c r="EYC1688" s="1740"/>
      <c r="EYD1688" s="1740"/>
      <c r="EYE1688" s="1740"/>
      <c r="EYF1688" s="1740"/>
      <c r="EYG1688" s="1740"/>
      <c r="EYH1688" s="1740"/>
      <c r="EYI1688" s="1740"/>
      <c r="EYJ1688" s="1740"/>
      <c r="EYK1688" s="1740"/>
      <c r="EYL1688" s="1740"/>
      <c r="EYM1688" s="1740"/>
      <c r="EYN1688" s="1740"/>
      <c r="EYO1688" s="1740"/>
      <c r="EYP1688" s="1740"/>
      <c r="EYQ1688" s="1740"/>
      <c r="EYR1688" s="1740"/>
      <c r="EYS1688" s="1740"/>
      <c r="EYT1688" s="1740"/>
      <c r="EYU1688" s="1740"/>
      <c r="EYV1688" s="1740"/>
      <c r="EYW1688" s="1740"/>
      <c r="EYX1688" s="1740"/>
      <c r="EYY1688" s="1740"/>
      <c r="EYZ1688" s="1740"/>
      <c r="EZA1688" s="1740"/>
      <c r="EZB1688" s="1740"/>
      <c r="EZC1688" s="1740"/>
      <c r="EZD1688" s="1740"/>
      <c r="EZE1688" s="1740"/>
      <c r="EZF1688" s="1740"/>
      <c r="EZG1688" s="1740"/>
      <c r="EZH1688" s="1740"/>
      <c r="EZI1688" s="1740"/>
      <c r="EZJ1688" s="1740"/>
      <c r="EZK1688" s="1740"/>
      <c r="EZL1688" s="1740"/>
      <c r="EZM1688" s="1740"/>
      <c r="EZN1688" s="1740"/>
      <c r="EZO1688" s="1740"/>
      <c r="EZP1688" s="1740"/>
      <c r="EZQ1688" s="1740"/>
      <c r="EZR1688" s="1740"/>
      <c r="EZS1688" s="1740"/>
      <c r="EZT1688" s="1740"/>
      <c r="EZU1688" s="1740"/>
      <c r="EZV1688" s="1740"/>
      <c r="EZW1688" s="1740"/>
      <c r="EZX1688" s="1740"/>
      <c r="EZY1688" s="1740"/>
      <c r="EZZ1688" s="1740"/>
      <c r="FAA1688" s="1740"/>
      <c r="FAB1688" s="1740"/>
      <c r="FAC1688" s="1740"/>
      <c r="FAD1688" s="1740"/>
      <c r="FAE1688" s="1740"/>
      <c r="FAF1688" s="1740"/>
      <c r="FAG1688" s="1740"/>
      <c r="FAH1688" s="1740"/>
      <c r="FAI1688" s="1740"/>
      <c r="FAJ1688" s="1740"/>
      <c r="FAK1688" s="1740"/>
      <c r="FAL1688" s="1740"/>
      <c r="FAM1688" s="1740"/>
      <c r="FAN1688" s="1740"/>
      <c r="FAO1688" s="1740"/>
      <c r="FAP1688" s="1740"/>
      <c r="FAQ1688" s="1740"/>
      <c r="FAR1688" s="1740"/>
      <c r="FAS1688" s="1740"/>
      <c r="FAT1688" s="1740"/>
      <c r="FAU1688" s="1740"/>
      <c r="FAV1688" s="1740"/>
      <c r="FAW1688" s="1740"/>
      <c r="FAX1688" s="1740"/>
      <c r="FAY1688" s="1740"/>
      <c r="FAZ1688" s="1740"/>
      <c r="FBA1688" s="1740"/>
      <c r="FBB1688" s="1740"/>
      <c r="FBC1688" s="1740"/>
      <c r="FBD1688" s="1740"/>
      <c r="FBE1688" s="1740"/>
      <c r="FBF1688" s="1740"/>
      <c r="FBG1688" s="1740"/>
      <c r="FBH1688" s="1740"/>
      <c r="FBI1688" s="1740"/>
      <c r="FBJ1688" s="1740"/>
      <c r="FBK1688" s="1740"/>
      <c r="FBL1688" s="1740"/>
      <c r="FBM1688" s="1740"/>
      <c r="FBN1688" s="1740"/>
      <c r="FBO1688" s="1740"/>
      <c r="FBP1688" s="1740"/>
      <c r="FBQ1688" s="1740"/>
      <c r="FBR1688" s="1740"/>
      <c r="FBS1688" s="1740"/>
      <c r="FBT1688" s="1740"/>
      <c r="FBU1688" s="1740"/>
      <c r="FBV1688" s="1740"/>
      <c r="FBW1688" s="1740"/>
      <c r="FBX1688" s="1740"/>
      <c r="FBY1688" s="1740"/>
      <c r="FBZ1688" s="1740"/>
      <c r="FCA1688" s="1740"/>
      <c r="FCB1688" s="1740"/>
      <c r="FCC1688" s="1740"/>
      <c r="FCD1688" s="1740"/>
      <c r="FCE1688" s="1740"/>
      <c r="FCF1688" s="1740"/>
      <c r="FCG1688" s="1740"/>
      <c r="FCH1688" s="1740"/>
      <c r="FCI1688" s="1740"/>
      <c r="FCJ1688" s="1740"/>
      <c r="FCK1688" s="1740"/>
      <c r="FCL1688" s="1740"/>
      <c r="FCM1688" s="1740"/>
      <c r="FCN1688" s="1740"/>
      <c r="FCO1688" s="1740"/>
      <c r="FCP1688" s="1740"/>
      <c r="FCQ1688" s="1740"/>
      <c r="FCR1688" s="1740"/>
      <c r="FCS1688" s="1740"/>
      <c r="FCT1688" s="1740"/>
      <c r="FCU1688" s="1740"/>
      <c r="FCV1688" s="1740"/>
      <c r="FCW1688" s="1740"/>
      <c r="FCX1688" s="1740"/>
      <c r="FCY1688" s="1740"/>
      <c r="FCZ1688" s="1740"/>
      <c r="FDA1688" s="1740"/>
      <c r="FDB1688" s="1740"/>
      <c r="FDC1688" s="1740"/>
      <c r="FDD1688" s="1740"/>
      <c r="FDE1688" s="1740"/>
      <c r="FDF1688" s="1740"/>
      <c r="FDG1688" s="1740"/>
      <c r="FDH1688" s="1740"/>
      <c r="FDI1688" s="1740"/>
      <c r="FDJ1688" s="1740"/>
      <c r="FDK1688" s="1740"/>
      <c r="FDL1688" s="1740"/>
      <c r="FDM1688" s="1740"/>
      <c r="FDN1688" s="1740"/>
      <c r="FDO1688" s="1740"/>
      <c r="FDP1688" s="1740"/>
      <c r="FDQ1688" s="1740"/>
      <c r="FDR1688" s="1740"/>
      <c r="FDS1688" s="1740"/>
      <c r="FDT1688" s="1740"/>
      <c r="FDU1688" s="1740"/>
      <c r="FDV1688" s="1740"/>
      <c r="FDW1688" s="1740"/>
      <c r="FDX1688" s="1740"/>
      <c r="FDY1688" s="1740"/>
      <c r="FDZ1688" s="1740"/>
      <c r="FEA1688" s="1740"/>
      <c r="FEB1688" s="1740"/>
      <c r="FEC1688" s="1740"/>
      <c r="FED1688" s="1740"/>
      <c r="FEE1688" s="1740"/>
      <c r="FEF1688" s="1740"/>
      <c r="FEG1688" s="1740"/>
      <c r="FEH1688" s="1740"/>
      <c r="FEI1688" s="1740"/>
      <c r="FEJ1688" s="1740"/>
      <c r="FEK1688" s="1740"/>
      <c r="FEL1688" s="1740"/>
      <c r="FEM1688" s="1740"/>
      <c r="FEN1688" s="1740"/>
      <c r="FEO1688" s="1740"/>
      <c r="FEP1688" s="1740"/>
      <c r="FEQ1688" s="1740"/>
      <c r="FER1688" s="1740"/>
      <c r="FES1688" s="1740"/>
      <c r="FET1688" s="1740"/>
      <c r="FEU1688" s="1740"/>
      <c r="FEV1688" s="1740"/>
      <c r="FEW1688" s="1740"/>
      <c r="FEX1688" s="1740"/>
      <c r="FEY1688" s="1740"/>
      <c r="FEZ1688" s="1740"/>
      <c r="FFA1688" s="1740"/>
      <c r="FFB1688" s="1740"/>
      <c r="FFC1688" s="1740"/>
      <c r="FFD1688" s="1740"/>
      <c r="FFE1688" s="1740"/>
      <c r="FFF1688" s="1740"/>
      <c r="FFG1688" s="1740"/>
      <c r="FFH1688" s="1740"/>
      <c r="FFI1688" s="1740"/>
      <c r="FFJ1688" s="1740"/>
      <c r="FFK1688" s="1740"/>
      <c r="FFL1688" s="1740"/>
      <c r="FFM1688" s="1740"/>
      <c r="FFN1688" s="1740"/>
      <c r="FFO1688" s="1740"/>
      <c r="FFP1688" s="1740"/>
      <c r="FFQ1688" s="1740"/>
      <c r="FFR1688" s="1740"/>
      <c r="FFS1688" s="1740"/>
      <c r="FFT1688" s="1740"/>
      <c r="FFU1688" s="1740"/>
      <c r="FFV1688" s="1740"/>
      <c r="FFW1688" s="1740"/>
      <c r="FFX1688" s="1740"/>
      <c r="FFY1688" s="1740"/>
      <c r="FFZ1688" s="1740"/>
      <c r="FGA1688" s="1740"/>
      <c r="FGB1688" s="1740"/>
      <c r="FGC1688" s="1740"/>
      <c r="FGD1688" s="1740"/>
      <c r="FGE1688" s="1740"/>
      <c r="FGF1688" s="1740"/>
      <c r="FGG1688" s="1740"/>
      <c r="FGH1688" s="1740"/>
      <c r="FGI1688" s="1740"/>
      <c r="FGJ1688" s="1740"/>
      <c r="FGK1688" s="1740"/>
      <c r="FGL1688" s="1740"/>
      <c r="FGM1688" s="1740"/>
      <c r="FGN1688" s="1740"/>
      <c r="FGO1688" s="1740"/>
      <c r="FGP1688" s="1740"/>
      <c r="FGQ1688" s="1740"/>
      <c r="FGR1688" s="1740"/>
      <c r="FGS1688" s="1740"/>
      <c r="FGT1688" s="1740"/>
      <c r="FGU1688" s="1740"/>
      <c r="FGV1688" s="1740"/>
      <c r="FGW1688" s="1740"/>
      <c r="FGX1688" s="1740"/>
      <c r="FGY1688" s="1740"/>
      <c r="FGZ1688" s="1740"/>
      <c r="FHA1688" s="1740"/>
      <c r="FHB1688" s="1740"/>
      <c r="FHC1688" s="1740"/>
      <c r="FHD1688" s="1740"/>
      <c r="FHE1688" s="1740"/>
      <c r="FHF1688" s="1740"/>
      <c r="FHG1688" s="1740"/>
      <c r="FHH1688" s="1740"/>
      <c r="FHI1688" s="1740"/>
      <c r="FHJ1688" s="1740"/>
      <c r="FHK1688" s="1740"/>
      <c r="FHL1688" s="1740"/>
      <c r="FHM1688" s="1740"/>
      <c r="FHN1688" s="1740"/>
      <c r="FHO1688" s="1740"/>
      <c r="FHP1688" s="1740"/>
      <c r="FHQ1688" s="1740"/>
      <c r="FHR1688" s="1740"/>
      <c r="FHS1688" s="1740"/>
      <c r="FHT1688" s="1740"/>
      <c r="FHU1688" s="1740"/>
      <c r="FHV1688" s="1740"/>
      <c r="FHW1688" s="1740"/>
      <c r="FHX1688" s="1740"/>
      <c r="FHY1688" s="1740"/>
      <c r="FHZ1688" s="1740"/>
      <c r="FIA1688" s="1740"/>
      <c r="FIB1688" s="1740"/>
      <c r="FIC1688" s="1740"/>
      <c r="FID1688" s="1740"/>
      <c r="FIE1688" s="1740"/>
      <c r="FIF1688" s="1740"/>
      <c r="FIG1688" s="1740"/>
      <c r="FIH1688" s="1740"/>
      <c r="FII1688" s="1740"/>
      <c r="FIJ1688" s="1740"/>
      <c r="FIK1688" s="1740"/>
      <c r="FIL1688" s="1740"/>
      <c r="FIM1688" s="1740"/>
      <c r="FIN1688" s="1740"/>
      <c r="FIO1688" s="1740"/>
      <c r="FIP1688" s="1740"/>
      <c r="FIQ1688" s="1740"/>
      <c r="FIR1688" s="1740"/>
      <c r="FIS1688" s="1740"/>
      <c r="FIT1688" s="1740"/>
      <c r="FIU1688" s="1740"/>
      <c r="FIV1688" s="1740"/>
      <c r="FIW1688" s="1740"/>
      <c r="FIX1688" s="1740"/>
      <c r="FIY1688" s="1740"/>
      <c r="FIZ1688" s="1740"/>
      <c r="FJA1688" s="1740"/>
      <c r="FJB1688" s="1740"/>
      <c r="FJC1688" s="1740"/>
      <c r="FJD1688" s="1740"/>
      <c r="FJE1688" s="1740"/>
      <c r="FJF1688" s="1740"/>
      <c r="FJG1688" s="1740"/>
      <c r="FJH1688" s="1740"/>
      <c r="FJI1688" s="1740"/>
      <c r="FJJ1688" s="1740"/>
      <c r="FJK1688" s="1740"/>
      <c r="FJL1688" s="1740"/>
      <c r="FJM1688" s="1740"/>
      <c r="FJN1688" s="1740"/>
      <c r="FJO1688" s="1740"/>
      <c r="FJP1688" s="1740"/>
      <c r="FJQ1688" s="1740"/>
      <c r="FJR1688" s="1740"/>
      <c r="FJS1688" s="1740"/>
      <c r="FJT1688" s="1740"/>
      <c r="FJU1688" s="1740"/>
      <c r="FJV1688" s="1740"/>
      <c r="FJW1688" s="1740"/>
      <c r="FJX1688" s="1740"/>
      <c r="FJY1688" s="1740"/>
      <c r="FJZ1688" s="1740"/>
      <c r="FKA1688" s="1740"/>
      <c r="FKB1688" s="1740"/>
      <c r="FKC1688" s="1740"/>
      <c r="FKD1688" s="1740"/>
      <c r="FKE1688" s="1740"/>
      <c r="FKF1688" s="1740"/>
      <c r="FKG1688" s="1740"/>
      <c r="FKH1688" s="1740"/>
      <c r="FKI1688" s="1740"/>
      <c r="FKJ1688" s="1740"/>
      <c r="FKK1688" s="1740"/>
      <c r="FKL1688" s="1740"/>
      <c r="FKM1688" s="1740"/>
      <c r="FKN1688" s="1740"/>
      <c r="FKO1688" s="1740"/>
      <c r="FKP1688" s="1740"/>
      <c r="FKQ1688" s="1740"/>
      <c r="FKR1688" s="1740"/>
      <c r="FKS1688" s="1740"/>
      <c r="FKT1688" s="1740"/>
      <c r="FKU1688" s="1740"/>
      <c r="FKV1688" s="1740"/>
      <c r="FKW1688" s="1740"/>
      <c r="FKX1688" s="1740"/>
      <c r="FKY1688" s="1740"/>
      <c r="FKZ1688" s="1740"/>
      <c r="FLA1688" s="1740"/>
      <c r="FLB1688" s="1740"/>
      <c r="FLC1688" s="1740"/>
      <c r="FLD1688" s="1740"/>
      <c r="FLE1688" s="1740"/>
      <c r="FLF1688" s="1740"/>
      <c r="FLG1688" s="1740"/>
      <c r="FLH1688" s="1740"/>
      <c r="FLI1688" s="1740"/>
      <c r="FLJ1688" s="1740"/>
      <c r="FLK1688" s="1740"/>
      <c r="FLL1688" s="1740"/>
      <c r="FLM1688" s="1740"/>
      <c r="FLN1688" s="1740"/>
      <c r="FLO1688" s="1740"/>
      <c r="FLP1688" s="1740"/>
      <c r="FLQ1688" s="1740"/>
      <c r="FLR1688" s="1740"/>
      <c r="FLS1688" s="1740"/>
      <c r="FLT1688" s="1740"/>
      <c r="FLU1688" s="1740"/>
      <c r="FLV1688" s="1740"/>
      <c r="FLW1688" s="1740"/>
      <c r="FLX1688" s="1740"/>
      <c r="FLY1688" s="1740"/>
      <c r="FLZ1688" s="1740"/>
      <c r="FMA1688" s="1740"/>
      <c r="FMB1688" s="1740"/>
      <c r="FMC1688" s="1740"/>
      <c r="FMD1688" s="1740"/>
      <c r="FME1688" s="1740"/>
      <c r="FMF1688" s="1740"/>
      <c r="FMG1688" s="1740"/>
      <c r="FMH1688" s="1740"/>
      <c r="FMI1688" s="1740"/>
      <c r="FMJ1688" s="1740"/>
      <c r="FMK1688" s="1740"/>
      <c r="FML1688" s="1740"/>
      <c r="FMM1688" s="1740"/>
      <c r="FMN1688" s="1740"/>
      <c r="FMO1688" s="1740"/>
      <c r="FMP1688" s="1740"/>
      <c r="FMQ1688" s="1740"/>
      <c r="FMR1688" s="1740"/>
      <c r="FMS1688" s="1740"/>
      <c r="FMT1688" s="1740"/>
      <c r="FMU1688" s="1740"/>
      <c r="FMV1688" s="1740"/>
      <c r="FMW1688" s="1740"/>
      <c r="FMX1688" s="1740"/>
      <c r="FMY1688" s="1740"/>
      <c r="FMZ1688" s="1740"/>
      <c r="FNA1688" s="1740"/>
      <c r="FNB1688" s="1740"/>
      <c r="FNC1688" s="1740"/>
      <c r="FND1688" s="1740"/>
      <c r="FNE1688" s="1740"/>
      <c r="FNF1688" s="1740"/>
      <c r="FNG1688" s="1740"/>
      <c r="FNH1688" s="1740"/>
      <c r="FNI1688" s="1740"/>
      <c r="FNJ1688" s="1740"/>
      <c r="FNK1688" s="1740"/>
      <c r="FNL1688" s="1740"/>
      <c r="FNM1688" s="1740"/>
      <c r="FNN1688" s="1740"/>
      <c r="FNO1688" s="1740"/>
      <c r="FNP1688" s="1740"/>
      <c r="FNQ1688" s="1740"/>
      <c r="FNR1688" s="1740"/>
      <c r="FNS1688" s="1740"/>
      <c r="FNT1688" s="1740"/>
      <c r="FNU1688" s="1740"/>
      <c r="FNV1688" s="1740"/>
      <c r="FNW1688" s="1740"/>
      <c r="FNX1688" s="1740"/>
      <c r="FNY1688" s="1740"/>
      <c r="FNZ1688" s="1740"/>
      <c r="FOA1688" s="1740"/>
      <c r="FOB1688" s="1740"/>
      <c r="FOC1688" s="1740"/>
      <c r="FOD1688" s="1740"/>
      <c r="FOE1688" s="1740"/>
      <c r="FOF1688" s="1740"/>
      <c r="FOG1688" s="1740"/>
      <c r="FOH1688" s="1740"/>
      <c r="FOI1688" s="1740"/>
      <c r="FOJ1688" s="1740"/>
      <c r="FOK1688" s="1740"/>
      <c r="FOL1688" s="1740"/>
      <c r="FOM1688" s="1740"/>
      <c r="FON1688" s="1740"/>
      <c r="FOO1688" s="1740"/>
      <c r="FOP1688" s="1740"/>
      <c r="FOQ1688" s="1740"/>
      <c r="FOR1688" s="1740"/>
      <c r="FOS1688" s="1740"/>
      <c r="FOT1688" s="1740"/>
      <c r="FOU1688" s="1740"/>
      <c r="FOV1688" s="1740"/>
      <c r="FOW1688" s="1740"/>
      <c r="FOX1688" s="1740"/>
      <c r="FOY1688" s="1740"/>
      <c r="FOZ1688" s="1740"/>
      <c r="FPA1688" s="1740"/>
      <c r="FPB1688" s="1740"/>
      <c r="FPC1688" s="1740"/>
      <c r="FPD1688" s="1740"/>
      <c r="FPE1688" s="1740"/>
      <c r="FPF1688" s="1740"/>
      <c r="FPG1688" s="1740"/>
      <c r="FPH1688" s="1740"/>
      <c r="FPI1688" s="1740"/>
      <c r="FPJ1688" s="1740"/>
      <c r="FPK1688" s="1740"/>
      <c r="FPL1688" s="1740"/>
      <c r="FPM1688" s="1740"/>
      <c r="FPN1688" s="1740"/>
      <c r="FPO1688" s="1740"/>
      <c r="FPP1688" s="1740"/>
      <c r="FPQ1688" s="1740"/>
      <c r="FPR1688" s="1740"/>
      <c r="FPS1688" s="1740"/>
      <c r="FPT1688" s="1740"/>
      <c r="FPU1688" s="1740"/>
      <c r="FPV1688" s="1740"/>
      <c r="FPW1688" s="1740"/>
      <c r="FPX1688" s="1740"/>
      <c r="FPY1688" s="1740"/>
      <c r="FPZ1688" s="1740"/>
      <c r="FQA1688" s="1740"/>
      <c r="FQB1688" s="1740"/>
      <c r="FQC1688" s="1740"/>
      <c r="FQD1688" s="1740"/>
      <c r="FQE1688" s="1740"/>
      <c r="FQF1688" s="1740"/>
      <c r="FQG1688" s="1740"/>
      <c r="FQH1688" s="1740"/>
      <c r="FQI1688" s="1740"/>
      <c r="FQJ1688" s="1740"/>
      <c r="FQK1688" s="1740"/>
      <c r="FQL1688" s="1740"/>
      <c r="FQM1688" s="1740"/>
      <c r="FQN1688" s="1740"/>
      <c r="FQO1688" s="1740"/>
      <c r="FQP1688" s="1740"/>
      <c r="FQQ1688" s="1740"/>
      <c r="FQR1688" s="1740"/>
      <c r="FQS1688" s="1740"/>
      <c r="FQT1688" s="1740"/>
      <c r="FQU1688" s="1740"/>
      <c r="FQV1688" s="1740"/>
      <c r="FQW1688" s="1740"/>
      <c r="FQX1688" s="1740"/>
      <c r="FQY1688" s="1740"/>
      <c r="FQZ1688" s="1740"/>
      <c r="FRA1688" s="1740"/>
      <c r="FRB1688" s="1740"/>
      <c r="FRC1688" s="1740"/>
      <c r="FRD1688" s="1740"/>
      <c r="FRE1688" s="1740"/>
      <c r="FRF1688" s="1740"/>
      <c r="FRG1688" s="1740"/>
      <c r="FRH1688" s="1740"/>
      <c r="FRI1688" s="1740"/>
      <c r="FRJ1688" s="1740"/>
      <c r="FRK1688" s="1740"/>
      <c r="FRL1688" s="1740"/>
      <c r="FRM1688" s="1740"/>
      <c r="FRN1688" s="1740"/>
      <c r="FRO1688" s="1740"/>
      <c r="FRP1688" s="1740"/>
      <c r="FRQ1688" s="1740"/>
      <c r="FRR1688" s="1740"/>
      <c r="FRS1688" s="1740"/>
      <c r="FRT1688" s="1740"/>
      <c r="FRU1688" s="1740"/>
      <c r="FRV1688" s="1740"/>
      <c r="FRW1688" s="1740"/>
      <c r="FRX1688" s="1740"/>
      <c r="FRY1688" s="1740"/>
      <c r="FRZ1688" s="1740"/>
      <c r="FSA1688" s="1740"/>
      <c r="FSB1688" s="1740"/>
      <c r="FSC1688" s="1740"/>
      <c r="FSD1688" s="1740"/>
      <c r="FSE1688" s="1740"/>
      <c r="FSF1688" s="1740"/>
      <c r="FSG1688" s="1740"/>
      <c r="FSH1688" s="1740"/>
      <c r="FSI1688" s="1740"/>
      <c r="FSJ1688" s="1740"/>
      <c r="FSK1688" s="1740"/>
      <c r="FSL1688" s="1740"/>
      <c r="FSM1688" s="1740"/>
      <c r="FSN1688" s="1740"/>
      <c r="FSO1688" s="1740"/>
      <c r="FSP1688" s="1740"/>
      <c r="FSQ1688" s="1740"/>
      <c r="FSR1688" s="1740"/>
      <c r="FSS1688" s="1740"/>
      <c r="FST1688" s="1740"/>
      <c r="FSU1688" s="1740"/>
      <c r="FSV1688" s="1740"/>
      <c r="FSW1688" s="1740"/>
      <c r="FSX1688" s="1740"/>
      <c r="FSY1688" s="1740"/>
      <c r="FSZ1688" s="1740"/>
      <c r="FTA1688" s="1740"/>
      <c r="FTB1688" s="1740"/>
      <c r="FTC1688" s="1740"/>
      <c r="FTD1688" s="1740"/>
      <c r="FTE1688" s="1740"/>
      <c r="FTF1688" s="1740"/>
      <c r="FTG1688" s="1740"/>
      <c r="FTH1688" s="1740"/>
      <c r="FTI1688" s="1740"/>
      <c r="FTJ1688" s="1740"/>
      <c r="FTK1688" s="1740"/>
      <c r="FTL1688" s="1740"/>
      <c r="FTM1688" s="1740"/>
      <c r="FTN1688" s="1740"/>
      <c r="FTO1688" s="1740"/>
      <c r="FTP1688" s="1740"/>
      <c r="FTQ1688" s="1740"/>
      <c r="FTR1688" s="1740"/>
      <c r="FTS1688" s="1740"/>
      <c r="FTT1688" s="1740"/>
      <c r="FTU1688" s="1740"/>
      <c r="FTV1688" s="1740"/>
      <c r="FTW1688" s="1740"/>
      <c r="FTX1688" s="1740"/>
      <c r="FTY1688" s="1740"/>
      <c r="FTZ1688" s="1740"/>
      <c r="FUA1688" s="1740"/>
      <c r="FUB1688" s="1740"/>
      <c r="FUC1688" s="1740"/>
      <c r="FUD1688" s="1740"/>
      <c r="FUE1688" s="1740"/>
      <c r="FUF1688" s="1740"/>
      <c r="FUG1688" s="1740"/>
      <c r="FUH1688" s="1740"/>
      <c r="FUI1688" s="1740"/>
      <c r="FUJ1688" s="1740"/>
      <c r="FUK1688" s="1740"/>
      <c r="FUL1688" s="1740"/>
      <c r="FUM1688" s="1740"/>
      <c r="FUN1688" s="1740"/>
      <c r="FUO1688" s="1740"/>
      <c r="FUP1688" s="1740"/>
      <c r="FUQ1688" s="1740"/>
      <c r="FUR1688" s="1740"/>
      <c r="FUS1688" s="1740"/>
      <c r="FUT1688" s="1740"/>
      <c r="FUU1688" s="1740"/>
      <c r="FUV1688" s="1740"/>
      <c r="FUW1688" s="1740"/>
      <c r="FUX1688" s="1740"/>
      <c r="FUY1688" s="1740"/>
      <c r="FUZ1688" s="1740"/>
      <c r="FVA1688" s="1740"/>
      <c r="FVB1688" s="1740"/>
      <c r="FVC1688" s="1740"/>
      <c r="FVD1688" s="1740"/>
      <c r="FVE1688" s="1740"/>
      <c r="FVF1688" s="1740"/>
      <c r="FVG1688" s="1740"/>
      <c r="FVH1688" s="1740"/>
      <c r="FVI1688" s="1740"/>
      <c r="FVJ1688" s="1740"/>
      <c r="FVK1688" s="1740"/>
      <c r="FVL1688" s="1740"/>
      <c r="FVM1688" s="1740"/>
      <c r="FVN1688" s="1740"/>
      <c r="FVO1688" s="1740"/>
      <c r="FVP1688" s="1740"/>
      <c r="FVQ1688" s="1740"/>
      <c r="FVR1688" s="1740"/>
      <c r="FVS1688" s="1740"/>
      <c r="FVT1688" s="1740"/>
      <c r="FVU1688" s="1740"/>
      <c r="FVV1688" s="1740"/>
      <c r="FVW1688" s="1740"/>
      <c r="FVX1688" s="1740"/>
      <c r="FVY1688" s="1740"/>
      <c r="FVZ1688" s="1740"/>
      <c r="FWA1688" s="1740"/>
      <c r="FWB1688" s="1740"/>
      <c r="FWC1688" s="1740"/>
      <c r="FWD1688" s="1740"/>
      <c r="FWE1688" s="1740"/>
      <c r="FWF1688" s="1740"/>
      <c r="FWG1688" s="1740"/>
      <c r="FWH1688" s="1740"/>
      <c r="FWI1688" s="1740"/>
      <c r="FWJ1688" s="1740"/>
      <c r="FWK1688" s="1740"/>
      <c r="FWL1688" s="1740"/>
      <c r="FWM1688" s="1740"/>
      <c r="FWN1688" s="1740"/>
      <c r="FWO1688" s="1740"/>
      <c r="FWP1688" s="1740"/>
      <c r="FWQ1688" s="1740"/>
      <c r="FWR1688" s="1740"/>
      <c r="FWS1688" s="1740"/>
      <c r="FWT1688" s="1740"/>
      <c r="FWU1688" s="1740"/>
      <c r="FWV1688" s="1740"/>
      <c r="FWW1688" s="1740"/>
      <c r="FWX1688" s="1740"/>
      <c r="FWY1688" s="1740"/>
      <c r="FWZ1688" s="1740"/>
      <c r="FXA1688" s="1740"/>
      <c r="FXB1688" s="1740"/>
      <c r="FXC1688" s="1740"/>
      <c r="FXD1688" s="1740"/>
      <c r="FXE1688" s="1740"/>
      <c r="FXF1688" s="1740"/>
      <c r="FXG1688" s="1740"/>
      <c r="FXH1688" s="1740"/>
      <c r="FXI1688" s="1740"/>
      <c r="FXJ1688" s="1740"/>
      <c r="FXK1688" s="1740"/>
      <c r="FXL1688" s="1740"/>
      <c r="FXM1688" s="1740"/>
      <c r="FXN1688" s="1740"/>
      <c r="FXO1688" s="1740"/>
      <c r="FXP1688" s="1740"/>
      <c r="FXQ1688" s="1740"/>
      <c r="FXR1688" s="1740"/>
      <c r="FXS1688" s="1740"/>
      <c r="FXT1688" s="1740"/>
      <c r="FXU1688" s="1740"/>
      <c r="FXV1688" s="1740"/>
      <c r="FXW1688" s="1740"/>
      <c r="FXX1688" s="1740"/>
      <c r="FXY1688" s="1740"/>
      <c r="FXZ1688" s="1740"/>
      <c r="FYA1688" s="1740"/>
      <c r="FYB1688" s="1740"/>
      <c r="FYC1688" s="1740"/>
      <c r="FYD1688" s="1740"/>
      <c r="FYE1688" s="1740"/>
      <c r="FYF1688" s="1740"/>
      <c r="FYG1688" s="1740"/>
      <c r="FYH1688" s="1740"/>
      <c r="FYI1688" s="1740"/>
      <c r="FYJ1688" s="1740"/>
      <c r="FYK1688" s="1740"/>
      <c r="FYL1688" s="1740"/>
      <c r="FYM1688" s="1740"/>
      <c r="FYN1688" s="1740"/>
      <c r="FYO1688" s="1740"/>
      <c r="FYP1688" s="1740"/>
      <c r="FYQ1688" s="1740"/>
      <c r="FYR1688" s="1740"/>
      <c r="FYS1688" s="1740"/>
      <c r="FYT1688" s="1740"/>
      <c r="FYU1688" s="1740"/>
      <c r="FYV1688" s="1740"/>
      <c r="FYW1688" s="1740"/>
      <c r="FYX1688" s="1740"/>
      <c r="FYY1688" s="1740"/>
      <c r="FYZ1688" s="1740"/>
      <c r="FZA1688" s="1740"/>
      <c r="FZB1688" s="1740"/>
      <c r="FZC1688" s="1740"/>
      <c r="FZD1688" s="1740"/>
      <c r="FZE1688" s="1740"/>
      <c r="FZF1688" s="1740"/>
      <c r="FZG1688" s="1740"/>
      <c r="FZH1688" s="1740"/>
      <c r="FZI1688" s="1740"/>
      <c r="FZJ1688" s="1740"/>
      <c r="FZK1688" s="1740"/>
      <c r="FZL1688" s="1740"/>
      <c r="FZM1688" s="1740"/>
      <c r="FZN1688" s="1740"/>
      <c r="FZO1688" s="1740"/>
      <c r="FZP1688" s="1740"/>
      <c r="FZQ1688" s="1740"/>
      <c r="FZR1688" s="1740"/>
      <c r="FZS1688" s="1740"/>
      <c r="FZT1688" s="1740"/>
      <c r="FZU1688" s="1740"/>
      <c r="FZV1688" s="1740"/>
      <c r="FZW1688" s="1740"/>
      <c r="FZX1688" s="1740"/>
      <c r="FZY1688" s="1740"/>
      <c r="FZZ1688" s="1740"/>
      <c r="GAA1688" s="1740"/>
      <c r="GAB1688" s="1740"/>
      <c r="GAC1688" s="1740"/>
      <c r="GAD1688" s="1740"/>
      <c r="GAE1688" s="1740"/>
      <c r="GAF1688" s="1740"/>
      <c r="GAG1688" s="1740"/>
      <c r="GAH1688" s="1740"/>
      <c r="GAI1688" s="1740"/>
      <c r="GAJ1688" s="1740"/>
      <c r="GAK1688" s="1740"/>
      <c r="GAL1688" s="1740"/>
      <c r="GAM1688" s="1740"/>
      <c r="GAN1688" s="1740"/>
      <c r="GAO1688" s="1740"/>
      <c r="GAP1688" s="1740"/>
      <c r="GAQ1688" s="1740"/>
      <c r="GAR1688" s="1740"/>
      <c r="GAS1688" s="1740"/>
      <c r="GAT1688" s="1740"/>
      <c r="GAU1688" s="1740"/>
      <c r="GAV1688" s="1740"/>
      <c r="GAW1688" s="1740"/>
      <c r="GAX1688" s="1740"/>
      <c r="GAY1688" s="1740"/>
      <c r="GAZ1688" s="1740"/>
      <c r="GBA1688" s="1740"/>
      <c r="GBB1688" s="1740"/>
      <c r="GBC1688" s="1740"/>
      <c r="GBD1688" s="1740"/>
      <c r="GBE1688" s="1740"/>
      <c r="GBF1688" s="1740"/>
      <c r="GBG1688" s="1740"/>
      <c r="GBH1688" s="1740"/>
      <c r="GBI1688" s="1740"/>
      <c r="GBJ1688" s="1740"/>
      <c r="GBK1688" s="1740"/>
      <c r="GBL1688" s="1740"/>
      <c r="GBM1688" s="1740"/>
      <c r="GBN1688" s="1740"/>
      <c r="GBO1688" s="1740"/>
      <c r="GBP1688" s="1740"/>
      <c r="GBQ1688" s="1740"/>
      <c r="GBR1688" s="1740"/>
      <c r="GBS1688" s="1740"/>
      <c r="GBT1688" s="1740"/>
      <c r="GBU1688" s="1740"/>
      <c r="GBV1688" s="1740"/>
      <c r="GBW1688" s="1740"/>
      <c r="GBX1688" s="1740"/>
      <c r="GBY1688" s="1740"/>
      <c r="GBZ1688" s="1740"/>
      <c r="GCA1688" s="1740"/>
      <c r="GCB1688" s="1740"/>
      <c r="GCC1688" s="1740"/>
      <c r="GCD1688" s="1740"/>
      <c r="GCE1688" s="1740"/>
      <c r="GCF1688" s="1740"/>
      <c r="GCG1688" s="1740"/>
      <c r="GCH1688" s="1740"/>
      <c r="GCI1688" s="1740"/>
      <c r="GCJ1688" s="1740"/>
      <c r="GCK1688" s="1740"/>
      <c r="GCL1688" s="1740"/>
      <c r="GCM1688" s="1740"/>
      <c r="GCN1688" s="1740"/>
      <c r="GCO1688" s="1740"/>
      <c r="GCP1688" s="1740"/>
      <c r="GCQ1688" s="1740"/>
      <c r="GCR1688" s="1740"/>
      <c r="GCS1688" s="1740"/>
      <c r="GCT1688" s="1740"/>
      <c r="GCU1688" s="1740"/>
      <c r="GCV1688" s="1740"/>
      <c r="GCW1688" s="1740"/>
      <c r="GCX1688" s="1740"/>
      <c r="GCY1688" s="1740"/>
      <c r="GCZ1688" s="1740"/>
      <c r="GDA1688" s="1740"/>
      <c r="GDB1688" s="1740"/>
      <c r="GDC1688" s="1740"/>
      <c r="GDD1688" s="1740"/>
      <c r="GDE1688" s="1740"/>
      <c r="GDF1688" s="1740"/>
      <c r="GDG1688" s="1740"/>
      <c r="GDH1688" s="1740"/>
      <c r="GDI1688" s="1740"/>
      <c r="GDJ1688" s="1740"/>
      <c r="GDK1688" s="1740"/>
      <c r="GDL1688" s="1740"/>
      <c r="GDM1688" s="1740"/>
      <c r="GDN1688" s="1740"/>
      <c r="GDO1688" s="1740"/>
      <c r="GDP1688" s="1740"/>
      <c r="GDQ1688" s="1740"/>
      <c r="GDR1688" s="1740"/>
      <c r="GDS1688" s="1740"/>
      <c r="GDT1688" s="1740"/>
      <c r="GDU1688" s="1740"/>
      <c r="GDV1688" s="1740"/>
      <c r="GDW1688" s="1740"/>
      <c r="GDX1688" s="1740"/>
      <c r="GDY1688" s="1740"/>
      <c r="GDZ1688" s="1740"/>
      <c r="GEA1688" s="1740"/>
      <c r="GEB1688" s="1740"/>
      <c r="GEC1688" s="1740"/>
      <c r="GED1688" s="1740"/>
      <c r="GEE1688" s="1740"/>
      <c r="GEF1688" s="1740"/>
      <c r="GEG1688" s="1740"/>
      <c r="GEH1688" s="1740"/>
      <c r="GEI1688" s="1740"/>
      <c r="GEJ1688" s="1740"/>
      <c r="GEK1688" s="1740"/>
      <c r="GEL1688" s="1740"/>
      <c r="GEM1688" s="1740"/>
      <c r="GEN1688" s="1740"/>
      <c r="GEO1688" s="1740"/>
      <c r="GEP1688" s="1740"/>
      <c r="GEQ1688" s="1740"/>
      <c r="GER1688" s="1740"/>
      <c r="GES1688" s="1740"/>
      <c r="GET1688" s="1740"/>
      <c r="GEU1688" s="1740"/>
      <c r="GEV1688" s="1740"/>
      <c r="GEW1688" s="1740"/>
      <c r="GEX1688" s="1740"/>
      <c r="GEY1688" s="1740"/>
      <c r="GEZ1688" s="1740"/>
      <c r="GFA1688" s="1740"/>
      <c r="GFB1688" s="1740"/>
      <c r="GFC1688" s="1740"/>
      <c r="GFD1688" s="1740"/>
      <c r="GFE1688" s="1740"/>
      <c r="GFF1688" s="1740"/>
      <c r="GFG1688" s="1740"/>
      <c r="GFH1688" s="1740"/>
      <c r="GFI1688" s="1740"/>
      <c r="GFJ1688" s="1740"/>
      <c r="GFK1688" s="1740"/>
      <c r="GFL1688" s="1740"/>
      <c r="GFM1688" s="1740"/>
      <c r="GFN1688" s="1740"/>
      <c r="GFO1688" s="1740"/>
      <c r="GFP1688" s="1740"/>
      <c r="GFQ1688" s="1740"/>
      <c r="GFR1688" s="1740"/>
      <c r="GFS1688" s="1740"/>
      <c r="GFT1688" s="1740"/>
      <c r="GFU1688" s="1740"/>
      <c r="GFV1688" s="1740"/>
      <c r="GFW1688" s="1740"/>
      <c r="GFX1688" s="1740"/>
      <c r="GFY1688" s="1740"/>
      <c r="GFZ1688" s="1740"/>
      <c r="GGA1688" s="1740"/>
      <c r="GGB1688" s="1740"/>
      <c r="GGC1688" s="1740"/>
      <c r="GGD1688" s="1740"/>
      <c r="GGE1688" s="1740"/>
      <c r="GGF1688" s="1740"/>
      <c r="GGG1688" s="1740"/>
      <c r="GGH1688" s="1740"/>
      <c r="GGI1688" s="1740"/>
      <c r="GGJ1688" s="1740"/>
      <c r="GGK1688" s="1740"/>
      <c r="GGL1688" s="1740"/>
      <c r="GGM1688" s="1740"/>
      <c r="GGN1688" s="1740"/>
      <c r="GGO1688" s="1740"/>
      <c r="GGP1688" s="1740"/>
      <c r="GGQ1688" s="1740"/>
      <c r="GGR1688" s="1740"/>
      <c r="GGS1688" s="1740"/>
      <c r="GGT1688" s="1740"/>
      <c r="GGU1688" s="1740"/>
      <c r="GGV1688" s="1740"/>
      <c r="GGW1688" s="1740"/>
      <c r="GGX1688" s="1740"/>
      <c r="GGY1688" s="1740"/>
      <c r="GGZ1688" s="1740"/>
      <c r="GHA1688" s="1740"/>
      <c r="GHB1688" s="1740"/>
      <c r="GHC1688" s="1740"/>
      <c r="GHD1688" s="1740"/>
      <c r="GHE1688" s="1740"/>
      <c r="GHF1688" s="1740"/>
      <c r="GHG1688" s="1740"/>
      <c r="GHH1688" s="1740"/>
      <c r="GHI1688" s="1740"/>
      <c r="GHJ1688" s="1740"/>
      <c r="GHK1688" s="1740"/>
      <c r="GHL1688" s="1740"/>
      <c r="GHM1688" s="1740"/>
      <c r="GHN1688" s="1740"/>
      <c r="GHO1688" s="1740"/>
      <c r="GHP1688" s="1740"/>
      <c r="GHQ1688" s="1740"/>
      <c r="GHR1688" s="1740"/>
      <c r="GHS1688" s="1740"/>
      <c r="GHT1688" s="1740"/>
      <c r="GHU1688" s="1740"/>
      <c r="GHV1688" s="1740"/>
      <c r="GHW1688" s="1740"/>
      <c r="GHX1688" s="1740"/>
      <c r="GHY1688" s="1740"/>
      <c r="GHZ1688" s="1740"/>
      <c r="GIA1688" s="1740"/>
      <c r="GIB1688" s="1740"/>
      <c r="GIC1688" s="1740"/>
      <c r="GID1688" s="1740"/>
      <c r="GIE1688" s="1740"/>
      <c r="GIF1688" s="1740"/>
      <c r="GIG1688" s="1740"/>
      <c r="GIH1688" s="1740"/>
      <c r="GII1688" s="1740"/>
      <c r="GIJ1688" s="1740"/>
      <c r="GIK1688" s="1740"/>
      <c r="GIL1688" s="1740"/>
      <c r="GIM1688" s="1740"/>
      <c r="GIN1688" s="1740"/>
      <c r="GIO1688" s="1740"/>
      <c r="GIP1688" s="1740"/>
      <c r="GIQ1688" s="1740"/>
      <c r="GIR1688" s="1740"/>
      <c r="GIS1688" s="1740"/>
      <c r="GIT1688" s="1740"/>
      <c r="GIU1688" s="1740"/>
      <c r="GIV1688" s="1740"/>
      <c r="GIW1688" s="1740"/>
      <c r="GIX1688" s="1740"/>
      <c r="GIY1688" s="1740"/>
      <c r="GIZ1688" s="1740"/>
      <c r="GJA1688" s="1740"/>
      <c r="GJB1688" s="1740"/>
      <c r="GJC1688" s="1740"/>
      <c r="GJD1688" s="1740"/>
      <c r="GJE1688" s="1740"/>
      <c r="GJF1688" s="1740"/>
      <c r="GJG1688" s="1740"/>
      <c r="GJH1688" s="1740"/>
      <c r="GJI1688" s="1740"/>
      <c r="GJJ1688" s="1740"/>
      <c r="GJK1688" s="1740"/>
      <c r="GJL1688" s="1740"/>
      <c r="GJM1688" s="1740"/>
      <c r="GJN1688" s="1740"/>
      <c r="GJO1688" s="1740"/>
      <c r="GJP1688" s="1740"/>
      <c r="GJQ1688" s="1740"/>
      <c r="GJR1688" s="1740"/>
      <c r="GJS1688" s="1740"/>
      <c r="GJT1688" s="1740"/>
      <c r="GJU1688" s="1740"/>
      <c r="GJV1688" s="1740"/>
      <c r="GJW1688" s="1740"/>
      <c r="GJX1688" s="1740"/>
      <c r="GJY1688" s="1740"/>
      <c r="GJZ1688" s="1740"/>
      <c r="GKA1688" s="1740"/>
      <c r="GKB1688" s="1740"/>
      <c r="GKC1688" s="1740"/>
      <c r="GKD1688" s="1740"/>
      <c r="GKE1688" s="1740"/>
      <c r="GKF1688" s="1740"/>
      <c r="GKG1688" s="1740"/>
      <c r="GKH1688" s="1740"/>
      <c r="GKI1688" s="1740"/>
      <c r="GKJ1688" s="1740"/>
      <c r="GKK1688" s="1740"/>
      <c r="GKL1688" s="1740"/>
      <c r="GKM1688" s="1740"/>
      <c r="GKN1688" s="1740"/>
      <c r="GKO1688" s="1740"/>
      <c r="GKP1688" s="1740"/>
      <c r="GKQ1688" s="1740"/>
      <c r="GKR1688" s="1740"/>
      <c r="GKS1688" s="1740"/>
      <c r="GKT1688" s="1740"/>
      <c r="GKU1688" s="1740"/>
      <c r="GKV1688" s="1740"/>
      <c r="GKW1688" s="1740"/>
      <c r="GKX1688" s="1740"/>
      <c r="GKY1688" s="1740"/>
      <c r="GKZ1688" s="1740"/>
      <c r="GLA1688" s="1740"/>
      <c r="GLB1688" s="1740"/>
      <c r="GLC1688" s="1740"/>
      <c r="GLD1688" s="1740"/>
      <c r="GLE1688" s="1740"/>
      <c r="GLF1688" s="1740"/>
      <c r="GLG1688" s="1740"/>
      <c r="GLH1688" s="1740"/>
      <c r="GLI1688" s="1740"/>
      <c r="GLJ1688" s="1740"/>
      <c r="GLK1688" s="1740"/>
      <c r="GLL1688" s="1740"/>
      <c r="GLM1688" s="1740"/>
      <c r="GLN1688" s="1740"/>
      <c r="GLO1688" s="1740"/>
      <c r="GLP1688" s="1740"/>
      <c r="GLQ1688" s="1740"/>
      <c r="GLR1688" s="1740"/>
      <c r="GLS1688" s="1740"/>
      <c r="GLT1688" s="1740"/>
      <c r="GLU1688" s="1740"/>
      <c r="GLV1688" s="1740"/>
      <c r="GLW1688" s="1740"/>
      <c r="GLX1688" s="1740"/>
      <c r="GLY1688" s="1740"/>
      <c r="GLZ1688" s="1740"/>
      <c r="GMA1688" s="1740"/>
      <c r="GMB1688" s="1740"/>
      <c r="GMC1688" s="1740"/>
      <c r="GMD1688" s="1740"/>
      <c r="GME1688" s="1740"/>
      <c r="GMF1688" s="1740"/>
      <c r="GMG1688" s="1740"/>
      <c r="GMH1688" s="1740"/>
      <c r="GMI1688" s="1740"/>
      <c r="GMJ1688" s="1740"/>
      <c r="GMK1688" s="1740"/>
      <c r="GML1688" s="1740"/>
      <c r="GMM1688" s="1740"/>
      <c r="GMN1688" s="1740"/>
      <c r="GMO1688" s="1740"/>
      <c r="GMP1688" s="1740"/>
      <c r="GMQ1688" s="1740"/>
      <c r="GMR1688" s="1740"/>
      <c r="GMS1688" s="1740"/>
      <c r="GMT1688" s="1740"/>
      <c r="GMU1688" s="1740"/>
      <c r="GMV1688" s="1740"/>
      <c r="GMW1688" s="1740"/>
      <c r="GMX1688" s="1740"/>
      <c r="GMY1688" s="1740"/>
      <c r="GMZ1688" s="1740"/>
      <c r="GNA1688" s="1740"/>
      <c r="GNB1688" s="1740"/>
      <c r="GNC1688" s="1740"/>
      <c r="GND1688" s="1740"/>
      <c r="GNE1688" s="1740"/>
      <c r="GNF1688" s="1740"/>
      <c r="GNG1688" s="1740"/>
      <c r="GNH1688" s="1740"/>
      <c r="GNI1688" s="1740"/>
      <c r="GNJ1688" s="1740"/>
      <c r="GNK1688" s="1740"/>
      <c r="GNL1688" s="1740"/>
      <c r="GNM1688" s="1740"/>
      <c r="GNN1688" s="1740"/>
      <c r="GNO1688" s="1740"/>
      <c r="GNP1688" s="1740"/>
      <c r="GNQ1688" s="1740"/>
      <c r="GNR1688" s="1740"/>
      <c r="GNS1688" s="1740"/>
      <c r="GNT1688" s="1740"/>
      <c r="GNU1688" s="1740"/>
      <c r="GNV1688" s="1740"/>
      <c r="GNW1688" s="1740"/>
      <c r="GNX1688" s="1740"/>
      <c r="GNY1688" s="1740"/>
      <c r="GNZ1688" s="1740"/>
      <c r="GOA1688" s="1740"/>
      <c r="GOB1688" s="1740"/>
      <c r="GOC1688" s="1740"/>
      <c r="GOD1688" s="1740"/>
      <c r="GOE1688" s="1740"/>
      <c r="GOF1688" s="1740"/>
      <c r="GOG1688" s="1740"/>
      <c r="GOH1688" s="1740"/>
      <c r="GOI1688" s="1740"/>
      <c r="GOJ1688" s="1740"/>
      <c r="GOK1688" s="1740"/>
      <c r="GOL1688" s="1740"/>
      <c r="GOM1688" s="1740"/>
      <c r="GON1688" s="1740"/>
      <c r="GOO1688" s="1740"/>
      <c r="GOP1688" s="1740"/>
      <c r="GOQ1688" s="1740"/>
      <c r="GOR1688" s="1740"/>
      <c r="GOS1688" s="1740"/>
      <c r="GOT1688" s="1740"/>
      <c r="GOU1688" s="1740"/>
      <c r="GOV1688" s="1740"/>
      <c r="GOW1688" s="1740"/>
      <c r="GOX1688" s="1740"/>
      <c r="GOY1688" s="1740"/>
      <c r="GOZ1688" s="1740"/>
      <c r="GPA1688" s="1740"/>
      <c r="GPB1688" s="1740"/>
      <c r="GPC1688" s="1740"/>
      <c r="GPD1688" s="1740"/>
      <c r="GPE1688" s="1740"/>
      <c r="GPF1688" s="1740"/>
      <c r="GPG1688" s="1740"/>
      <c r="GPH1688" s="1740"/>
      <c r="GPI1688" s="1740"/>
      <c r="GPJ1688" s="1740"/>
      <c r="GPK1688" s="1740"/>
      <c r="GPL1688" s="1740"/>
      <c r="GPM1688" s="1740"/>
      <c r="GPN1688" s="1740"/>
      <c r="GPO1688" s="1740"/>
      <c r="GPP1688" s="1740"/>
      <c r="GPQ1688" s="1740"/>
      <c r="GPR1688" s="1740"/>
      <c r="GPS1688" s="1740"/>
      <c r="GPT1688" s="1740"/>
      <c r="GPU1688" s="1740"/>
      <c r="GPV1688" s="1740"/>
      <c r="GPW1688" s="1740"/>
      <c r="GPX1688" s="1740"/>
      <c r="GPY1688" s="1740"/>
      <c r="GPZ1688" s="1740"/>
      <c r="GQA1688" s="1740"/>
      <c r="GQB1688" s="1740"/>
      <c r="GQC1688" s="1740"/>
      <c r="GQD1688" s="1740"/>
      <c r="GQE1688" s="1740"/>
      <c r="GQF1688" s="1740"/>
      <c r="GQG1688" s="1740"/>
      <c r="GQH1688" s="1740"/>
      <c r="GQI1688" s="1740"/>
      <c r="GQJ1688" s="1740"/>
      <c r="GQK1688" s="1740"/>
      <c r="GQL1688" s="1740"/>
      <c r="GQM1688" s="1740"/>
      <c r="GQN1688" s="1740"/>
      <c r="GQO1688" s="1740"/>
      <c r="GQP1688" s="1740"/>
      <c r="GQQ1688" s="1740"/>
      <c r="GQR1688" s="1740"/>
      <c r="GQS1688" s="1740"/>
      <c r="GQT1688" s="1740"/>
      <c r="GQU1688" s="1740"/>
      <c r="GQV1688" s="1740"/>
      <c r="GQW1688" s="1740"/>
      <c r="GQX1688" s="1740"/>
      <c r="GQY1688" s="1740"/>
      <c r="GQZ1688" s="1740"/>
      <c r="GRA1688" s="1740"/>
      <c r="GRB1688" s="1740"/>
      <c r="GRC1688" s="1740"/>
      <c r="GRD1688" s="1740"/>
      <c r="GRE1688" s="1740"/>
      <c r="GRF1688" s="1740"/>
      <c r="GRG1688" s="1740"/>
      <c r="GRH1688" s="1740"/>
      <c r="GRI1688" s="1740"/>
      <c r="GRJ1688" s="1740"/>
      <c r="GRK1688" s="1740"/>
      <c r="GRL1688" s="1740"/>
      <c r="GRM1688" s="1740"/>
      <c r="GRN1688" s="1740"/>
      <c r="GRO1688" s="1740"/>
      <c r="GRP1688" s="1740"/>
      <c r="GRQ1688" s="1740"/>
      <c r="GRR1688" s="1740"/>
      <c r="GRS1688" s="1740"/>
      <c r="GRT1688" s="1740"/>
      <c r="GRU1688" s="1740"/>
      <c r="GRV1688" s="1740"/>
      <c r="GRW1688" s="1740"/>
      <c r="GRX1688" s="1740"/>
      <c r="GRY1688" s="1740"/>
      <c r="GRZ1688" s="1740"/>
      <c r="GSA1688" s="1740"/>
      <c r="GSB1688" s="1740"/>
      <c r="GSC1688" s="1740"/>
      <c r="GSD1688" s="1740"/>
      <c r="GSE1688" s="1740"/>
      <c r="GSF1688" s="1740"/>
      <c r="GSG1688" s="1740"/>
      <c r="GSH1688" s="1740"/>
      <c r="GSI1688" s="1740"/>
      <c r="GSJ1688" s="1740"/>
      <c r="GSK1688" s="1740"/>
      <c r="GSL1688" s="1740"/>
      <c r="GSM1688" s="1740"/>
      <c r="GSN1688" s="1740"/>
      <c r="GSO1688" s="1740"/>
      <c r="GSP1688" s="1740"/>
      <c r="GSQ1688" s="1740"/>
      <c r="GSR1688" s="1740"/>
      <c r="GSS1688" s="1740"/>
      <c r="GST1688" s="1740"/>
      <c r="GSU1688" s="1740"/>
      <c r="GSV1688" s="1740"/>
      <c r="GSW1688" s="1740"/>
      <c r="GSX1688" s="1740"/>
      <c r="GSY1688" s="1740"/>
      <c r="GSZ1688" s="1740"/>
      <c r="GTA1688" s="1740"/>
      <c r="GTB1688" s="1740"/>
      <c r="GTC1688" s="1740"/>
      <c r="GTD1688" s="1740"/>
      <c r="GTE1688" s="1740"/>
      <c r="GTF1688" s="1740"/>
      <c r="GTG1688" s="1740"/>
      <c r="GTH1688" s="1740"/>
      <c r="GTI1688" s="1740"/>
      <c r="GTJ1688" s="1740"/>
      <c r="GTK1688" s="1740"/>
      <c r="GTL1688" s="1740"/>
      <c r="GTM1688" s="1740"/>
      <c r="GTN1688" s="1740"/>
      <c r="GTO1688" s="1740"/>
      <c r="GTP1688" s="1740"/>
      <c r="GTQ1688" s="1740"/>
      <c r="GTR1688" s="1740"/>
      <c r="GTS1688" s="1740"/>
      <c r="GTT1688" s="1740"/>
      <c r="GTU1688" s="1740"/>
      <c r="GTV1688" s="1740"/>
      <c r="GTW1688" s="1740"/>
      <c r="GTX1688" s="1740"/>
      <c r="GTY1688" s="1740"/>
      <c r="GTZ1688" s="1740"/>
      <c r="GUA1688" s="1740"/>
      <c r="GUB1688" s="1740"/>
      <c r="GUC1688" s="1740"/>
      <c r="GUD1688" s="1740"/>
      <c r="GUE1688" s="1740"/>
      <c r="GUF1688" s="1740"/>
      <c r="GUG1688" s="1740"/>
      <c r="GUH1688" s="1740"/>
      <c r="GUI1688" s="1740"/>
      <c r="GUJ1688" s="1740"/>
      <c r="GUK1688" s="1740"/>
      <c r="GUL1688" s="1740"/>
      <c r="GUM1688" s="1740"/>
      <c r="GUN1688" s="1740"/>
      <c r="GUO1688" s="1740"/>
      <c r="GUP1688" s="1740"/>
      <c r="GUQ1688" s="1740"/>
      <c r="GUR1688" s="1740"/>
      <c r="GUS1688" s="1740"/>
      <c r="GUT1688" s="1740"/>
      <c r="GUU1688" s="1740"/>
      <c r="GUV1688" s="1740"/>
      <c r="GUW1688" s="1740"/>
      <c r="GUX1688" s="1740"/>
      <c r="GUY1688" s="1740"/>
      <c r="GUZ1688" s="1740"/>
      <c r="GVA1688" s="1740"/>
      <c r="GVB1688" s="1740"/>
      <c r="GVC1688" s="1740"/>
      <c r="GVD1688" s="1740"/>
      <c r="GVE1688" s="1740"/>
      <c r="GVF1688" s="1740"/>
      <c r="GVG1688" s="1740"/>
      <c r="GVH1688" s="1740"/>
      <c r="GVI1688" s="1740"/>
      <c r="GVJ1688" s="1740"/>
      <c r="GVK1688" s="1740"/>
      <c r="GVL1688" s="1740"/>
      <c r="GVM1688" s="1740"/>
      <c r="GVN1688" s="1740"/>
      <c r="GVO1688" s="1740"/>
      <c r="GVP1688" s="1740"/>
      <c r="GVQ1688" s="1740"/>
      <c r="GVR1688" s="1740"/>
      <c r="GVS1688" s="1740"/>
      <c r="GVT1688" s="1740"/>
      <c r="GVU1688" s="1740"/>
      <c r="GVV1688" s="1740"/>
      <c r="GVW1688" s="1740"/>
      <c r="GVX1688" s="1740"/>
      <c r="GVY1688" s="1740"/>
      <c r="GVZ1688" s="1740"/>
      <c r="GWA1688" s="1740"/>
      <c r="GWB1688" s="1740"/>
      <c r="GWC1688" s="1740"/>
      <c r="GWD1688" s="1740"/>
      <c r="GWE1688" s="1740"/>
      <c r="GWF1688" s="1740"/>
      <c r="GWG1688" s="1740"/>
      <c r="GWH1688" s="1740"/>
      <c r="GWI1688" s="1740"/>
      <c r="GWJ1688" s="1740"/>
      <c r="GWK1688" s="1740"/>
      <c r="GWL1688" s="1740"/>
      <c r="GWM1688" s="1740"/>
      <c r="GWN1688" s="1740"/>
      <c r="GWO1688" s="1740"/>
      <c r="GWP1688" s="1740"/>
      <c r="GWQ1688" s="1740"/>
      <c r="GWR1688" s="1740"/>
      <c r="GWS1688" s="1740"/>
      <c r="GWT1688" s="1740"/>
      <c r="GWU1688" s="1740"/>
      <c r="GWV1688" s="1740"/>
      <c r="GWW1688" s="1740"/>
      <c r="GWX1688" s="1740"/>
      <c r="GWY1688" s="1740"/>
      <c r="GWZ1688" s="1740"/>
      <c r="GXA1688" s="1740"/>
      <c r="GXB1688" s="1740"/>
      <c r="GXC1688" s="1740"/>
      <c r="GXD1688" s="1740"/>
      <c r="GXE1688" s="1740"/>
      <c r="GXF1688" s="1740"/>
      <c r="GXG1688" s="1740"/>
      <c r="GXH1688" s="1740"/>
      <c r="GXI1688" s="1740"/>
      <c r="GXJ1688" s="1740"/>
      <c r="GXK1688" s="1740"/>
      <c r="GXL1688" s="1740"/>
      <c r="GXM1688" s="1740"/>
      <c r="GXN1688" s="1740"/>
      <c r="GXO1688" s="1740"/>
      <c r="GXP1688" s="1740"/>
      <c r="GXQ1688" s="1740"/>
      <c r="GXR1688" s="1740"/>
      <c r="GXS1688" s="1740"/>
      <c r="GXT1688" s="1740"/>
      <c r="GXU1688" s="1740"/>
      <c r="GXV1688" s="1740"/>
      <c r="GXW1688" s="1740"/>
      <c r="GXX1688" s="1740"/>
      <c r="GXY1688" s="1740"/>
      <c r="GXZ1688" s="1740"/>
      <c r="GYA1688" s="1740"/>
      <c r="GYB1688" s="1740"/>
      <c r="GYC1688" s="1740"/>
      <c r="GYD1688" s="1740"/>
      <c r="GYE1688" s="1740"/>
      <c r="GYF1688" s="1740"/>
      <c r="GYG1688" s="1740"/>
      <c r="GYH1688" s="1740"/>
      <c r="GYI1688" s="1740"/>
      <c r="GYJ1688" s="1740"/>
      <c r="GYK1688" s="1740"/>
      <c r="GYL1688" s="1740"/>
      <c r="GYM1688" s="1740"/>
      <c r="GYN1688" s="1740"/>
      <c r="GYO1688" s="1740"/>
      <c r="GYP1688" s="1740"/>
      <c r="GYQ1688" s="1740"/>
      <c r="GYR1688" s="1740"/>
      <c r="GYS1688" s="1740"/>
      <c r="GYT1688" s="1740"/>
      <c r="GYU1688" s="1740"/>
      <c r="GYV1688" s="1740"/>
      <c r="GYW1688" s="1740"/>
      <c r="GYX1688" s="1740"/>
      <c r="GYY1688" s="1740"/>
      <c r="GYZ1688" s="1740"/>
      <c r="GZA1688" s="1740"/>
      <c r="GZB1688" s="1740"/>
      <c r="GZC1688" s="1740"/>
      <c r="GZD1688" s="1740"/>
      <c r="GZE1688" s="1740"/>
      <c r="GZF1688" s="1740"/>
      <c r="GZG1688" s="1740"/>
      <c r="GZH1688" s="1740"/>
      <c r="GZI1688" s="1740"/>
      <c r="GZJ1688" s="1740"/>
      <c r="GZK1688" s="1740"/>
      <c r="GZL1688" s="1740"/>
      <c r="GZM1688" s="1740"/>
      <c r="GZN1688" s="1740"/>
      <c r="GZO1688" s="1740"/>
      <c r="GZP1688" s="1740"/>
      <c r="GZQ1688" s="1740"/>
      <c r="GZR1688" s="1740"/>
      <c r="GZS1688" s="1740"/>
      <c r="GZT1688" s="1740"/>
      <c r="GZU1688" s="1740"/>
      <c r="GZV1688" s="1740"/>
      <c r="GZW1688" s="1740"/>
      <c r="GZX1688" s="1740"/>
      <c r="GZY1688" s="1740"/>
      <c r="GZZ1688" s="1740"/>
      <c r="HAA1688" s="1740"/>
      <c r="HAB1688" s="1740"/>
      <c r="HAC1688" s="1740"/>
      <c r="HAD1688" s="1740"/>
      <c r="HAE1688" s="1740"/>
      <c r="HAF1688" s="1740"/>
      <c r="HAG1688" s="1740"/>
      <c r="HAH1688" s="1740"/>
      <c r="HAI1688" s="1740"/>
      <c r="HAJ1688" s="1740"/>
      <c r="HAK1688" s="1740"/>
      <c r="HAL1688" s="1740"/>
      <c r="HAM1688" s="1740"/>
      <c r="HAN1688" s="1740"/>
      <c r="HAO1688" s="1740"/>
      <c r="HAP1688" s="1740"/>
      <c r="HAQ1688" s="1740"/>
      <c r="HAR1688" s="1740"/>
      <c r="HAS1688" s="1740"/>
      <c r="HAT1688" s="1740"/>
      <c r="HAU1688" s="1740"/>
      <c r="HAV1688" s="1740"/>
      <c r="HAW1688" s="1740"/>
      <c r="HAX1688" s="1740"/>
      <c r="HAY1688" s="1740"/>
      <c r="HAZ1688" s="1740"/>
      <c r="HBA1688" s="1740"/>
      <c r="HBB1688" s="1740"/>
      <c r="HBC1688" s="1740"/>
      <c r="HBD1688" s="1740"/>
      <c r="HBE1688" s="1740"/>
      <c r="HBF1688" s="1740"/>
      <c r="HBG1688" s="1740"/>
      <c r="HBH1688" s="1740"/>
      <c r="HBI1688" s="1740"/>
      <c r="HBJ1688" s="1740"/>
      <c r="HBK1688" s="1740"/>
      <c r="HBL1688" s="1740"/>
      <c r="HBM1688" s="1740"/>
      <c r="HBN1688" s="1740"/>
      <c r="HBO1688" s="1740"/>
      <c r="HBP1688" s="1740"/>
      <c r="HBQ1688" s="1740"/>
      <c r="HBR1688" s="1740"/>
      <c r="HBS1688" s="1740"/>
      <c r="HBT1688" s="1740"/>
      <c r="HBU1688" s="1740"/>
      <c r="HBV1688" s="1740"/>
      <c r="HBW1688" s="1740"/>
      <c r="HBX1688" s="1740"/>
      <c r="HBY1688" s="1740"/>
      <c r="HBZ1688" s="1740"/>
      <c r="HCA1688" s="1740"/>
      <c r="HCB1688" s="1740"/>
      <c r="HCC1688" s="1740"/>
      <c r="HCD1688" s="1740"/>
      <c r="HCE1688" s="1740"/>
      <c r="HCF1688" s="1740"/>
      <c r="HCG1688" s="1740"/>
      <c r="HCH1688" s="1740"/>
      <c r="HCI1688" s="1740"/>
      <c r="HCJ1688" s="1740"/>
      <c r="HCK1688" s="1740"/>
      <c r="HCL1688" s="1740"/>
      <c r="HCM1688" s="1740"/>
      <c r="HCN1688" s="1740"/>
      <c r="HCO1688" s="1740"/>
      <c r="HCP1688" s="1740"/>
      <c r="HCQ1688" s="1740"/>
      <c r="HCR1688" s="1740"/>
      <c r="HCS1688" s="1740"/>
      <c r="HCT1688" s="1740"/>
      <c r="HCU1688" s="1740"/>
      <c r="HCV1688" s="1740"/>
      <c r="HCW1688" s="1740"/>
      <c r="HCX1688" s="1740"/>
      <c r="HCY1688" s="1740"/>
      <c r="HCZ1688" s="1740"/>
      <c r="HDA1688" s="1740"/>
      <c r="HDB1688" s="1740"/>
      <c r="HDC1688" s="1740"/>
      <c r="HDD1688" s="1740"/>
      <c r="HDE1688" s="1740"/>
      <c r="HDF1688" s="1740"/>
      <c r="HDG1688" s="1740"/>
      <c r="HDH1688" s="1740"/>
      <c r="HDI1688" s="1740"/>
      <c r="HDJ1688" s="1740"/>
      <c r="HDK1688" s="1740"/>
      <c r="HDL1688" s="1740"/>
      <c r="HDM1688" s="1740"/>
      <c r="HDN1688" s="1740"/>
      <c r="HDO1688" s="1740"/>
      <c r="HDP1688" s="1740"/>
      <c r="HDQ1688" s="1740"/>
      <c r="HDR1688" s="1740"/>
      <c r="HDS1688" s="1740"/>
      <c r="HDT1688" s="1740"/>
      <c r="HDU1688" s="1740"/>
      <c r="HDV1688" s="1740"/>
      <c r="HDW1688" s="1740"/>
      <c r="HDX1688" s="1740"/>
      <c r="HDY1688" s="1740"/>
      <c r="HDZ1688" s="1740"/>
      <c r="HEA1688" s="1740"/>
      <c r="HEB1688" s="1740"/>
      <c r="HEC1688" s="1740"/>
      <c r="HED1688" s="1740"/>
      <c r="HEE1688" s="1740"/>
      <c r="HEF1688" s="1740"/>
      <c r="HEG1688" s="1740"/>
      <c r="HEH1688" s="1740"/>
      <c r="HEI1688" s="1740"/>
      <c r="HEJ1688" s="1740"/>
      <c r="HEK1688" s="1740"/>
      <c r="HEL1688" s="1740"/>
      <c r="HEM1688" s="1740"/>
      <c r="HEN1688" s="1740"/>
      <c r="HEO1688" s="1740"/>
      <c r="HEP1688" s="1740"/>
      <c r="HEQ1688" s="1740"/>
      <c r="HER1688" s="1740"/>
      <c r="HES1688" s="1740"/>
      <c r="HET1688" s="1740"/>
      <c r="HEU1688" s="1740"/>
      <c r="HEV1688" s="1740"/>
      <c r="HEW1688" s="1740"/>
      <c r="HEX1688" s="1740"/>
      <c r="HEY1688" s="1740"/>
      <c r="HEZ1688" s="1740"/>
      <c r="HFA1688" s="1740"/>
      <c r="HFB1688" s="1740"/>
      <c r="HFC1688" s="1740"/>
      <c r="HFD1688" s="1740"/>
      <c r="HFE1688" s="1740"/>
      <c r="HFF1688" s="1740"/>
      <c r="HFG1688" s="1740"/>
      <c r="HFH1688" s="1740"/>
      <c r="HFI1688" s="1740"/>
      <c r="HFJ1688" s="1740"/>
      <c r="HFK1688" s="1740"/>
      <c r="HFL1688" s="1740"/>
      <c r="HFM1688" s="1740"/>
      <c r="HFN1688" s="1740"/>
      <c r="HFO1688" s="1740"/>
      <c r="HFP1688" s="1740"/>
      <c r="HFQ1688" s="1740"/>
      <c r="HFR1688" s="1740"/>
      <c r="HFS1688" s="1740"/>
      <c r="HFT1688" s="1740"/>
      <c r="HFU1688" s="1740"/>
      <c r="HFV1688" s="1740"/>
      <c r="HFW1688" s="1740"/>
      <c r="HFX1688" s="1740"/>
      <c r="HFY1688" s="1740"/>
      <c r="HFZ1688" s="1740"/>
      <c r="HGA1688" s="1740"/>
      <c r="HGB1688" s="1740"/>
      <c r="HGC1688" s="1740"/>
      <c r="HGD1688" s="1740"/>
      <c r="HGE1688" s="1740"/>
      <c r="HGF1688" s="1740"/>
      <c r="HGG1688" s="1740"/>
      <c r="HGH1688" s="1740"/>
      <c r="HGI1688" s="1740"/>
      <c r="HGJ1688" s="1740"/>
      <c r="HGK1688" s="1740"/>
      <c r="HGL1688" s="1740"/>
      <c r="HGM1688" s="1740"/>
      <c r="HGN1688" s="1740"/>
      <c r="HGO1688" s="1740"/>
      <c r="HGP1688" s="1740"/>
      <c r="HGQ1688" s="1740"/>
      <c r="HGR1688" s="1740"/>
      <c r="HGS1688" s="1740"/>
      <c r="HGT1688" s="1740"/>
      <c r="HGU1688" s="1740"/>
      <c r="HGV1688" s="1740"/>
      <c r="HGW1688" s="1740"/>
      <c r="HGX1688" s="1740"/>
      <c r="HGY1688" s="1740"/>
      <c r="HGZ1688" s="1740"/>
      <c r="HHA1688" s="1740"/>
      <c r="HHB1688" s="1740"/>
      <c r="HHC1688" s="1740"/>
      <c r="HHD1688" s="1740"/>
      <c r="HHE1688" s="1740"/>
      <c r="HHF1688" s="1740"/>
      <c r="HHG1688" s="1740"/>
      <c r="HHH1688" s="1740"/>
      <c r="HHI1688" s="1740"/>
      <c r="HHJ1688" s="1740"/>
      <c r="HHK1688" s="1740"/>
      <c r="HHL1688" s="1740"/>
      <c r="HHM1688" s="1740"/>
      <c r="HHN1688" s="1740"/>
      <c r="HHO1688" s="1740"/>
      <c r="HHP1688" s="1740"/>
      <c r="HHQ1688" s="1740"/>
      <c r="HHR1688" s="1740"/>
      <c r="HHS1688" s="1740"/>
      <c r="HHT1688" s="1740"/>
      <c r="HHU1688" s="1740"/>
      <c r="HHV1688" s="1740"/>
      <c r="HHW1688" s="1740"/>
      <c r="HHX1688" s="1740"/>
      <c r="HHY1688" s="1740"/>
      <c r="HHZ1688" s="1740"/>
      <c r="HIA1688" s="1740"/>
      <c r="HIB1688" s="1740"/>
      <c r="HIC1688" s="1740"/>
      <c r="HID1688" s="1740"/>
      <c r="HIE1688" s="1740"/>
      <c r="HIF1688" s="1740"/>
      <c r="HIG1688" s="1740"/>
      <c r="HIH1688" s="1740"/>
      <c r="HII1688" s="1740"/>
      <c r="HIJ1688" s="1740"/>
      <c r="HIK1688" s="1740"/>
      <c r="HIL1688" s="1740"/>
      <c r="HIM1688" s="1740"/>
      <c r="HIN1688" s="1740"/>
      <c r="HIO1688" s="1740"/>
      <c r="HIP1688" s="1740"/>
      <c r="HIQ1688" s="1740"/>
      <c r="HIR1688" s="1740"/>
      <c r="HIS1688" s="1740"/>
      <c r="HIT1688" s="1740"/>
      <c r="HIU1688" s="1740"/>
      <c r="HIV1688" s="1740"/>
      <c r="HIW1688" s="1740"/>
      <c r="HIX1688" s="1740"/>
      <c r="HIY1688" s="1740"/>
      <c r="HIZ1688" s="1740"/>
      <c r="HJA1688" s="1740"/>
      <c r="HJB1688" s="1740"/>
      <c r="HJC1688" s="1740"/>
      <c r="HJD1688" s="1740"/>
      <c r="HJE1688" s="1740"/>
      <c r="HJF1688" s="1740"/>
      <c r="HJG1688" s="1740"/>
      <c r="HJH1688" s="1740"/>
      <c r="HJI1688" s="1740"/>
      <c r="HJJ1688" s="1740"/>
      <c r="HJK1688" s="1740"/>
      <c r="HJL1688" s="1740"/>
      <c r="HJM1688" s="1740"/>
      <c r="HJN1688" s="1740"/>
      <c r="HJO1688" s="1740"/>
      <c r="HJP1688" s="1740"/>
      <c r="HJQ1688" s="1740"/>
      <c r="HJR1688" s="1740"/>
      <c r="HJS1688" s="1740"/>
      <c r="HJT1688" s="1740"/>
      <c r="HJU1688" s="1740"/>
      <c r="HJV1688" s="1740"/>
      <c r="HJW1688" s="1740"/>
      <c r="HJX1688" s="1740"/>
      <c r="HJY1688" s="1740"/>
      <c r="HJZ1688" s="1740"/>
      <c r="HKA1688" s="1740"/>
      <c r="HKB1688" s="1740"/>
      <c r="HKC1688" s="1740"/>
      <c r="HKD1688" s="1740"/>
      <c r="HKE1688" s="1740"/>
      <c r="HKF1688" s="1740"/>
      <c r="HKG1688" s="1740"/>
      <c r="HKH1688" s="1740"/>
      <c r="HKI1688" s="1740"/>
      <c r="HKJ1688" s="1740"/>
      <c r="HKK1688" s="1740"/>
      <c r="HKL1688" s="1740"/>
      <c r="HKM1688" s="1740"/>
      <c r="HKN1688" s="1740"/>
      <c r="HKO1688" s="1740"/>
      <c r="HKP1688" s="1740"/>
      <c r="HKQ1688" s="1740"/>
      <c r="HKR1688" s="1740"/>
      <c r="HKS1688" s="1740"/>
      <c r="HKT1688" s="1740"/>
      <c r="HKU1688" s="1740"/>
      <c r="HKV1688" s="1740"/>
      <c r="HKW1688" s="1740"/>
      <c r="HKX1688" s="1740"/>
      <c r="HKY1688" s="1740"/>
      <c r="HKZ1688" s="1740"/>
      <c r="HLA1688" s="1740"/>
      <c r="HLB1688" s="1740"/>
      <c r="HLC1688" s="1740"/>
      <c r="HLD1688" s="1740"/>
      <c r="HLE1688" s="1740"/>
      <c r="HLF1688" s="1740"/>
      <c r="HLG1688" s="1740"/>
      <c r="HLH1688" s="1740"/>
      <c r="HLI1688" s="1740"/>
      <c r="HLJ1688" s="1740"/>
      <c r="HLK1688" s="1740"/>
      <c r="HLL1688" s="1740"/>
      <c r="HLM1688" s="1740"/>
      <c r="HLN1688" s="1740"/>
      <c r="HLO1688" s="1740"/>
      <c r="HLP1688" s="1740"/>
      <c r="HLQ1688" s="1740"/>
      <c r="HLR1688" s="1740"/>
      <c r="HLS1688" s="1740"/>
      <c r="HLT1688" s="1740"/>
      <c r="HLU1688" s="1740"/>
      <c r="HLV1688" s="1740"/>
      <c r="HLW1688" s="1740"/>
      <c r="HLX1688" s="1740"/>
      <c r="HLY1688" s="1740"/>
      <c r="HLZ1688" s="1740"/>
      <c r="HMA1688" s="1740"/>
      <c r="HMB1688" s="1740"/>
      <c r="HMC1688" s="1740"/>
      <c r="HMD1688" s="1740"/>
      <c r="HME1688" s="1740"/>
      <c r="HMF1688" s="1740"/>
      <c r="HMG1688" s="1740"/>
      <c r="HMH1688" s="1740"/>
      <c r="HMI1688" s="1740"/>
      <c r="HMJ1688" s="1740"/>
      <c r="HMK1688" s="1740"/>
      <c r="HML1688" s="1740"/>
      <c r="HMM1688" s="1740"/>
      <c r="HMN1688" s="1740"/>
      <c r="HMO1688" s="1740"/>
      <c r="HMP1688" s="1740"/>
      <c r="HMQ1688" s="1740"/>
      <c r="HMR1688" s="1740"/>
      <c r="HMS1688" s="1740"/>
      <c r="HMT1688" s="1740"/>
      <c r="HMU1688" s="1740"/>
      <c r="HMV1688" s="1740"/>
      <c r="HMW1688" s="1740"/>
      <c r="HMX1688" s="1740"/>
      <c r="HMY1688" s="1740"/>
      <c r="HMZ1688" s="1740"/>
      <c r="HNA1688" s="1740"/>
      <c r="HNB1688" s="1740"/>
      <c r="HNC1688" s="1740"/>
      <c r="HND1688" s="1740"/>
      <c r="HNE1688" s="1740"/>
      <c r="HNF1688" s="1740"/>
      <c r="HNG1688" s="1740"/>
      <c r="HNH1688" s="1740"/>
      <c r="HNI1688" s="1740"/>
      <c r="HNJ1688" s="1740"/>
      <c r="HNK1688" s="1740"/>
      <c r="HNL1688" s="1740"/>
      <c r="HNM1688" s="1740"/>
      <c r="HNN1688" s="1740"/>
      <c r="HNO1688" s="1740"/>
      <c r="HNP1688" s="1740"/>
      <c r="HNQ1688" s="1740"/>
      <c r="HNR1688" s="1740"/>
      <c r="HNS1688" s="1740"/>
      <c r="HNT1688" s="1740"/>
      <c r="HNU1688" s="1740"/>
      <c r="HNV1688" s="1740"/>
      <c r="HNW1688" s="1740"/>
      <c r="HNX1688" s="1740"/>
      <c r="HNY1688" s="1740"/>
      <c r="HNZ1688" s="1740"/>
      <c r="HOA1688" s="1740"/>
      <c r="HOB1688" s="1740"/>
      <c r="HOC1688" s="1740"/>
      <c r="HOD1688" s="1740"/>
      <c r="HOE1688" s="1740"/>
      <c r="HOF1688" s="1740"/>
      <c r="HOG1688" s="1740"/>
      <c r="HOH1688" s="1740"/>
      <c r="HOI1688" s="1740"/>
      <c r="HOJ1688" s="1740"/>
      <c r="HOK1688" s="1740"/>
      <c r="HOL1688" s="1740"/>
      <c r="HOM1688" s="1740"/>
      <c r="HON1688" s="1740"/>
      <c r="HOO1688" s="1740"/>
      <c r="HOP1688" s="1740"/>
      <c r="HOQ1688" s="1740"/>
      <c r="HOR1688" s="1740"/>
      <c r="HOS1688" s="1740"/>
      <c r="HOT1688" s="1740"/>
      <c r="HOU1688" s="1740"/>
      <c r="HOV1688" s="1740"/>
      <c r="HOW1688" s="1740"/>
      <c r="HOX1688" s="1740"/>
      <c r="HOY1688" s="1740"/>
      <c r="HOZ1688" s="1740"/>
      <c r="HPA1688" s="1740"/>
      <c r="HPB1688" s="1740"/>
      <c r="HPC1688" s="1740"/>
      <c r="HPD1688" s="1740"/>
      <c r="HPE1688" s="1740"/>
      <c r="HPF1688" s="1740"/>
      <c r="HPG1688" s="1740"/>
      <c r="HPH1688" s="1740"/>
      <c r="HPI1688" s="1740"/>
      <c r="HPJ1688" s="1740"/>
      <c r="HPK1688" s="1740"/>
      <c r="HPL1688" s="1740"/>
      <c r="HPM1688" s="1740"/>
      <c r="HPN1688" s="1740"/>
      <c r="HPO1688" s="1740"/>
      <c r="HPP1688" s="1740"/>
      <c r="HPQ1688" s="1740"/>
      <c r="HPR1688" s="1740"/>
      <c r="HPS1688" s="1740"/>
      <c r="HPT1688" s="1740"/>
      <c r="HPU1688" s="1740"/>
      <c r="HPV1688" s="1740"/>
      <c r="HPW1688" s="1740"/>
      <c r="HPX1688" s="1740"/>
      <c r="HPY1688" s="1740"/>
      <c r="HPZ1688" s="1740"/>
      <c r="HQA1688" s="1740"/>
      <c r="HQB1688" s="1740"/>
      <c r="HQC1688" s="1740"/>
      <c r="HQD1688" s="1740"/>
      <c r="HQE1688" s="1740"/>
      <c r="HQF1688" s="1740"/>
      <c r="HQG1688" s="1740"/>
      <c r="HQH1688" s="1740"/>
      <c r="HQI1688" s="1740"/>
      <c r="HQJ1688" s="1740"/>
      <c r="HQK1688" s="1740"/>
      <c r="HQL1688" s="1740"/>
      <c r="HQM1688" s="1740"/>
      <c r="HQN1688" s="1740"/>
      <c r="HQO1688" s="1740"/>
      <c r="HQP1688" s="1740"/>
      <c r="HQQ1688" s="1740"/>
      <c r="HQR1688" s="1740"/>
      <c r="HQS1688" s="1740"/>
      <c r="HQT1688" s="1740"/>
      <c r="HQU1688" s="1740"/>
      <c r="HQV1688" s="1740"/>
      <c r="HQW1688" s="1740"/>
      <c r="HQX1688" s="1740"/>
      <c r="HQY1688" s="1740"/>
      <c r="HQZ1688" s="1740"/>
      <c r="HRA1688" s="1740"/>
      <c r="HRB1688" s="1740"/>
      <c r="HRC1688" s="1740"/>
      <c r="HRD1688" s="1740"/>
      <c r="HRE1688" s="1740"/>
      <c r="HRF1688" s="1740"/>
      <c r="HRG1688" s="1740"/>
      <c r="HRH1688" s="1740"/>
      <c r="HRI1688" s="1740"/>
      <c r="HRJ1688" s="1740"/>
      <c r="HRK1688" s="1740"/>
      <c r="HRL1688" s="1740"/>
      <c r="HRM1688" s="1740"/>
      <c r="HRN1688" s="1740"/>
      <c r="HRO1688" s="1740"/>
      <c r="HRP1688" s="1740"/>
      <c r="HRQ1688" s="1740"/>
      <c r="HRR1688" s="1740"/>
      <c r="HRS1688" s="1740"/>
      <c r="HRT1688" s="1740"/>
      <c r="HRU1688" s="1740"/>
      <c r="HRV1688" s="1740"/>
      <c r="HRW1688" s="1740"/>
      <c r="HRX1688" s="1740"/>
      <c r="HRY1688" s="1740"/>
      <c r="HRZ1688" s="1740"/>
      <c r="HSA1688" s="1740"/>
      <c r="HSB1688" s="1740"/>
      <c r="HSC1688" s="1740"/>
      <c r="HSD1688" s="1740"/>
      <c r="HSE1688" s="1740"/>
      <c r="HSF1688" s="1740"/>
      <c r="HSG1688" s="1740"/>
      <c r="HSH1688" s="1740"/>
      <c r="HSI1688" s="1740"/>
      <c r="HSJ1688" s="1740"/>
      <c r="HSK1688" s="1740"/>
      <c r="HSL1688" s="1740"/>
      <c r="HSM1688" s="1740"/>
      <c r="HSN1688" s="1740"/>
      <c r="HSO1688" s="1740"/>
      <c r="HSP1688" s="1740"/>
      <c r="HSQ1688" s="1740"/>
      <c r="HSR1688" s="1740"/>
      <c r="HSS1688" s="1740"/>
      <c r="HST1688" s="1740"/>
      <c r="HSU1688" s="1740"/>
      <c r="HSV1688" s="1740"/>
      <c r="HSW1688" s="1740"/>
      <c r="HSX1688" s="1740"/>
      <c r="HSY1688" s="1740"/>
      <c r="HSZ1688" s="1740"/>
      <c r="HTA1688" s="1740"/>
      <c r="HTB1688" s="1740"/>
      <c r="HTC1688" s="1740"/>
      <c r="HTD1688" s="1740"/>
      <c r="HTE1688" s="1740"/>
      <c r="HTF1688" s="1740"/>
      <c r="HTG1688" s="1740"/>
      <c r="HTH1688" s="1740"/>
      <c r="HTI1688" s="1740"/>
      <c r="HTJ1688" s="1740"/>
      <c r="HTK1688" s="1740"/>
      <c r="HTL1688" s="1740"/>
      <c r="HTM1688" s="1740"/>
      <c r="HTN1688" s="1740"/>
      <c r="HTO1688" s="1740"/>
      <c r="HTP1688" s="1740"/>
      <c r="HTQ1688" s="1740"/>
      <c r="HTR1688" s="1740"/>
      <c r="HTS1688" s="1740"/>
      <c r="HTT1688" s="1740"/>
      <c r="HTU1688" s="1740"/>
      <c r="HTV1688" s="1740"/>
      <c r="HTW1688" s="1740"/>
      <c r="HTX1688" s="1740"/>
      <c r="HTY1688" s="1740"/>
      <c r="HTZ1688" s="1740"/>
      <c r="HUA1688" s="1740"/>
      <c r="HUB1688" s="1740"/>
      <c r="HUC1688" s="1740"/>
      <c r="HUD1688" s="1740"/>
      <c r="HUE1688" s="1740"/>
      <c r="HUF1688" s="1740"/>
      <c r="HUG1688" s="1740"/>
      <c r="HUH1688" s="1740"/>
      <c r="HUI1688" s="1740"/>
      <c r="HUJ1688" s="1740"/>
      <c r="HUK1688" s="1740"/>
      <c r="HUL1688" s="1740"/>
      <c r="HUM1688" s="1740"/>
      <c r="HUN1688" s="1740"/>
      <c r="HUO1688" s="1740"/>
      <c r="HUP1688" s="1740"/>
      <c r="HUQ1688" s="1740"/>
      <c r="HUR1688" s="1740"/>
      <c r="HUS1688" s="1740"/>
      <c r="HUT1688" s="1740"/>
      <c r="HUU1688" s="1740"/>
      <c r="HUV1688" s="1740"/>
      <c r="HUW1688" s="1740"/>
      <c r="HUX1688" s="1740"/>
      <c r="HUY1688" s="1740"/>
      <c r="HUZ1688" s="1740"/>
      <c r="HVA1688" s="1740"/>
      <c r="HVB1688" s="1740"/>
      <c r="HVC1688" s="1740"/>
      <c r="HVD1688" s="1740"/>
      <c r="HVE1688" s="1740"/>
      <c r="HVF1688" s="1740"/>
      <c r="HVG1688" s="1740"/>
      <c r="HVH1688" s="1740"/>
      <c r="HVI1688" s="1740"/>
      <c r="HVJ1688" s="1740"/>
      <c r="HVK1688" s="1740"/>
      <c r="HVL1688" s="1740"/>
      <c r="HVM1688" s="1740"/>
      <c r="HVN1688" s="1740"/>
      <c r="HVO1688" s="1740"/>
      <c r="HVP1688" s="1740"/>
      <c r="HVQ1688" s="1740"/>
      <c r="HVR1688" s="1740"/>
      <c r="HVS1688" s="1740"/>
      <c r="HVT1688" s="1740"/>
      <c r="HVU1688" s="1740"/>
      <c r="HVV1688" s="1740"/>
      <c r="HVW1688" s="1740"/>
      <c r="HVX1688" s="1740"/>
      <c r="HVY1688" s="1740"/>
      <c r="HVZ1688" s="1740"/>
      <c r="HWA1688" s="1740"/>
      <c r="HWB1688" s="1740"/>
      <c r="HWC1688" s="1740"/>
      <c r="HWD1688" s="1740"/>
      <c r="HWE1688" s="1740"/>
      <c r="HWF1688" s="1740"/>
      <c r="HWG1688" s="1740"/>
      <c r="HWH1688" s="1740"/>
      <c r="HWI1688" s="1740"/>
      <c r="HWJ1688" s="1740"/>
      <c r="HWK1688" s="1740"/>
      <c r="HWL1688" s="1740"/>
      <c r="HWM1688" s="1740"/>
      <c r="HWN1688" s="1740"/>
      <c r="HWO1688" s="1740"/>
      <c r="HWP1688" s="1740"/>
      <c r="HWQ1688" s="1740"/>
      <c r="HWR1688" s="1740"/>
      <c r="HWS1688" s="1740"/>
      <c r="HWT1688" s="1740"/>
      <c r="HWU1688" s="1740"/>
      <c r="HWV1688" s="1740"/>
      <c r="HWW1688" s="1740"/>
      <c r="HWX1688" s="1740"/>
      <c r="HWY1688" s="1740"/>
      <c r="HWZ1688" s="1740"/>
      <c r="HXA1688" s="1740"/>
      <c r="HXB1688" s="1740"/>
      <c r="HXC1688" s="1740"/>
      <c r="HXD1688" s="1740"/>
      <c r="HXE1688" s="1740"/>
      <c r="HXF1688" s="1740"/>
      <c r="HXG1688" s="1740"/>
      <c r="HXH1688" s="1740"/>
      <c r="HXI1688" s="1740"/>
      <c r="HXJ1688" s="1740"/>
      <c r="HXK1688" s="1740"/>
      <c r="HXL1688" s="1740"/>
      <c r="HXM1688" s="1740"/>
      <c r="HXN1688" s="1740"/>
      <c r="HXO1688" s="1740"/>
      <c r="HXP1688" s="1740"/>
      <c r="HXQ1688" s="1740"/>
      <c r="HXR1688" s="1740"/>
      <c r="HXS1688" s="1740"/>
      <c r="HXT1688" s="1740"/>
      <c r="HXU1688" s="1740"/>
      <c r="HXV1688" s="1740"/>
      <c r="HXW1688" s="1740"/>
      <c r="HXX1688" s="1740"/>
      <c r="HXY1688" s="1740"/>
      <c r="HXZ1688" s="1740"/>
      <c r="HYA1688" s="1740"/>
      <c r="HYB1688" s="1740"/>
      <c r="HYC1688" s="1740"/>
      <c r="HYD1688" s="1740"/>
      <c r="HYE1688" s="1740"/>
      <c r="HYF1688" s="1740"/>
      <c r="HYG1688" s="1740"/>
      <c r="HYH1688" s="1740"/>
      <c r="HYI1688" s="1740"/>
      <c r="HYJ1688" s="1740"/>
      <c r="HYK1688" s="1740"/>
      <c r="HYL1688" s="1740"/>
      <c r="HYM1688" s="1740"/>
      <c r="HYN1688" s="1740"/>
      <c r="HYO1688" s="1740"/>
      <c r="HYP1688" s="1740"/>
      <c r="HYQ1688" s="1740"/>
      <c r="HYR1688" s="1740"/>
      <c r="HYS1688" s="1740"/>
      <c r="HYT1688" s="1740"/>
      <c r="HYU1688" s="1740"/>
      <c r="HYV1688" s="1740"/>
      <c r="HYW1688" s="1740"/>
      <c r="HYX1688" s="1740"/>
      <c r="HYY1688" s="1740"/>
      <c r="HYZ1688" s="1740"/>
      <c r="HZA1688" s="1740"/>
      <c r="HZB1688" s="1740"/>
      <c r="HZC1688" s="1740"/>
      <c r="HZD1688" s="1740"/>
      <c r="HZE1688" s="1740"/>
      <c r="HZF1688" s="1740"/>
      <c r="HZG1688" s="1740"/>
      <c r="HZH1688" s="1740"/>
      <c r="HZI1688" s="1740"/>
      <c r="HZJ1688" s="1740"/>
      <c r="HZK1688" s="1740"/>
      <c r="HZL1688" s="1740"/>
      <c r="HZM1688" s="1740"/>
      <c r="HZN1688" s="1740"/>
      <c r="HZO1688" s="1740"/>
      <c r="HZP1688" s="1740"/>
      <c r="HZQ1688" s="1740"/>
      <c r="HZR1688" s="1740"/>
      <c r="HZS1688" s="1740"/>
      <c r="HZT1688" s="1740"/>
      <c r="HZU1688" s="1740"/>
      <c r="HZV1688" s="1740"/>
      <c r="HZW1688" s="1740"/>
      <c r="HZX1688" s="1740"/>
      <c r="HZY1688" s="1740"/>
      <c r="HZZ1688" s="1740"/>
      <c r="IAA1688" s="1740"/>
      <c r="IAB1688" s="1740"/>
      <c r="IAC1688" s="1740"/>
      <c r="IAD1688" s="1740"/>
      <c r="IAE1688" s="1740"/>
      <c r="IAF1688" s="1740"/>
      <c r="IAG1688" s="1740"/>
      <c r="IAH1688" s="1740"/>
      <c r="IAI1688" s="1740"/>
      <c r="IAJ1688" s="1740"/>
      <c r="IAK1688" s="1740"/>
      <c r="IAL1688" s="1740"/>
      <c r="IAM1688" s="1740"/>
      <c r="IAN1688" s="1740"/>
      <c r="IAO1688" s="1740"/>
      <c r="IAP1688" s="1740"/>
      <c r="IAQ1688" s="1740"/>
      <c r="IAR1688" s="1740"/>
      <c r="IAS1688" s="1740"/>
      <c r="IAT1688" s="1740"/>
      <c r="IAU1688" s="1740"/>
      <c r="IAV1688" s="1740"/>
      <c r="IAW1688" s="1740"/>
      <c r="IAX1688" s="1740"/>
      <c r="IAY1688" s="1740"/>
      <c r="IAZ1688" s="1740"/>
      <c r="IBA1688" s="1740"/>
      <c r="IBB1688" s="1740"/>
      <c r="IBC1688" s="1740"/>
      <c r="IBD1688" s="1740"/>
      <c r="IBE1688" s="1740"/>
      <c r="IBF1688" s="1740"/>
      <c r="IBG1688" s="1740"/>
      <c r="IBH1688" s="1740"/>
      <c r="IBI1688" s="1740"/>
      <c r="IBJ1688" s="1740"/>
      <c r="IBK1688" s="1740"/>
      <c r="IBL1688" s="1740"/>
      <c r="IBM1688" s="1740"/>
      <c r="IBN1688" s="1740"/>
      <c r="IBO1688" s="1740"/>
      <c r="IBP1688" s="1740"/>
      <c r="IBQ1688" s="1740"/>
      <c r="IBR1688" s="1740"/>
      <c r="IBS1688" s="1740"/>
      <c r="IBT1688" s="1740"/>
      <c r="IBU1688" s="1740"/>
      <c r="IBV1688" s="1740"/>
      <c r="IBW1688" s="1740"/>
      <c r="IBX1688" s="1740"/>
      <c r="IBY1688" s="1740"/>
      <c r="IBZ1688" s="1740"/>
      <c r="ICA1688" s="1740"/>
      <c r="ICB1688" s="1740"/>
      <c r="ICC1688" s="1740"/>
      <c r="ICD1688" s="1740"/>
      <c r="ICE1688" s="1740"/>
      <c r="ICF1688" s="1740"/>
      <c r="ICG1688" s="1740"/>
      <c r="ICH1688" s="1740"/>
      <c r="ICI1688" s="1740"/>
      <c r="ICJ1688" s="1740"/>
      <c r="ICK1688" s="1740"/>
      <c r="ICL1688" s="1740"/>
      <c r="ICM1688" s="1740"/>
      <c r="ICN1688" s="1740"/>
      <c r="ICO1688" s="1740"/>
      <c r="ICP1688" s="1740"/>
      <c r="ICQ1688" s="1740"/>
      <c r="ICR1688" s="1740"/>
      <c r="ICS1688" s="1740"/>
      <c r="ICT1688" s="1740"/>
      <c r="ICU1688" s="1740"/>
      <c r="ICV1688" s="1740"/>
      <c r="ICW1688" s="1740"/>
      <c r="ICX1688" s="1740"/>
      <c r="ICY1688" s="1740"/>
      <c r="ICZ1688" s="1740"/>
      <c r="IDA1688" s="1740"/>
      <c r="IDB1688" s="1740"/>
      <c r="IDC1688" s="1740"/>
      <c r="IDD1688" s="1740"/>
      <c r="IDE1688" s="1740"/>
      <c r="IDF1688" s="1740"/>
      <c r="IDG1688" s="1740"/>
      <c r="IDH1688" s="1740"/>
      <c r="IDI1688" s="1740"/>
      <c r="IDJ1688" s="1740"/>
      <c r="IDK1688" s="1740"/>
      <c r="IDL1688" s="1740"/>
      <c r="IDM1688" s="1740"/>
      <c r="IDN1688" s="1740"/>
      <c r="IDO1688" s="1740"/>
      <c r="IDP1688" s="1740"/>
      <c r="IDQ1688" s="1740"/>
      <c r="IDR1688" s="1740"/>
      <c r="IDS1688" s="1740"/>
      <c r="IDT1688" s="1740"/>
      <c r="IDU1688" s="1740"/>
      <c r="IDV1688" s="1740"/>
      <c r="IDW1688" s="1740"/>
      <c r="IDX1688" s="1740"/>
      <c r="IDY1688" s="1740"/>
      <c r="IDZ1688" s="1740"/>
      <c r="IEA1688" s="1740"/>
      <c r="IEB1688" s="1740"/>
      <c r="IEC1688" s="1740"/>
      <c r="IED1688" s="1740"/>
      <c r="IEE1688" s="1740"/>
      <c r="IEF1688" s="1740"/>
      <c r="IEG1688" s="1740"/>
      <c r="IEH1688" s="1740"/>
      <c r="IEI1688" s="1740"/>
      <c r="IEJ1688" s="1740"/>
      <c r="IEK1688" s="1740"/>
      <c r="IEL1688" s="1740"/>
      <c r="IEM1688" s="1740"/>
      <c r="IEN1688" s="1740"/>
      <c r="IEO1688" s="1740"/>
      <c r="IEP1688" s="1740"/>
      <c r="IEQ1688" s="1740"/>
      <c r="IER1688" s="1740"/>
      <c r="IES1688" s="1740"/>
      <c r="IET1688" s="1740"/>
      <c r="IEU1688" s="1740"/>
      <c r="IEV1688" s="1740"/>
      <c r="IEW1688" s="1740"/>
      <c r="IEX1688" s="1740"/>
      <c r="IEY1688" s="1740"/>
      <c r="IEZ1688" s="1740"/>
      <c r="IFA1688" s="1740"/>
      <c r="IFB1688" s="1740"/>
      <c r="IFC1688" s="1740"/>
      <c r="IFD1688" s="1740"/>
      <c r="IFE1688" s="1740"/>
      <c r="IFF1688" s="1740"/>
      <c r="IFG1688" s="1740"/>
      <c r="IFH1688" s="1740"/>
      <c r="IFI1688" s="1740"/>
      <c r="IFJ1688" s="1740"/>
      <c r="IFK1688" s="1740"/>
      <c r="IFL1688" s="1740"/>
      <c r="IFM1688" s="1740"/>
      <c r="IFN1688" s="1740"/>
      <c r="IFO1688" s="1740"/>
      <c r="IFP1688" s="1740"/>
      <c r="IFQ1688" s="1740"/>
      <c r="IFR1688" s="1740"/>
      <c r="IFS1688" s="1740"/>
      <c r="IFT1688" s="1740"/>
      <c r="IFU1688" s="1740"/>
      <c r="IFV1688" s="1740"/>
      <c r="IFW1688" s="1740"/>
      <c r="IFX1688" s="1740"/>
      <c r="IFY1688" s="1740"/>
      <c r="IFZ1688" s="1740"/>
      <c r="IGA1688" s="1740"/>
      <c r="IGB1688" s="1740"/>
      <c r="IGC1688" s="1740"/>
      <c r="IGD1688" s="1740"/>
      <c r="IGE1688" s="1740"/>
      <c r="IGF1688" s="1740"/>
      <c r="IGG1688" s="1740"/>
      <c r="IGH1688" s="1740"/>
      <c r="IGI1688" s="1740"/>
      <c r="IGJ1688" s="1740"/>
      <c r="IGK1688" s="1740"/>
      <c r="IGL1688" s="1740"/>
      <c r="IGM1688" s="1740"/>
      <c r="IGN1688" s="1740"/>
      <c r="IGO1688" s="1740"/>
      <c r="IGP1688" s="1740"/>
      <c r="IGQ1688" s="1740"/>
      <c r="IGR1688" s="1740"/>
      <c r="IGS1688" s="1740"/>
      <c r="IGT1688" s="1740"/>
      <c r="IGU1688" s="1740"/>
      <c r="IGV1688" s="1740"/>
      <c r="IGW1688" s="1740"/>
      <c r="IGX1688" s="1740"/>
      <c r="IGY1688" s="1740"/>
      <c r="IGZ1688" s="1740"/>
      <c r="IHA1688" s="1740"/>
      <c r="IHB1688" s="1740"/>
      <c r="IHC1688" s="1740"/>
      <c r="IHD1688" s="1740"/>
      <c r="IHE1688" s="1740"/>
      <c r="IHF1688" s="1740"/>
      <c r="IHG1688" s="1740"/>
      <c r="IHH1688" s="1740"/>
      <c r="IHI1688" s="1740"/>
      <c r="IHJ1688" s="1740"/>
      <c r="IHK1688" s="1740"/>
      <c r="IHL1688" s="1740"/>
      <c r="IHM1688" s="1740"/>
      <c r="IHN1688" s="1740"/>
      <c r="IHO1688" s="1740"/>
      <c r="IHP1688" s="1740"/>
      <c r="IHQ1688" s="1740"/>
      <c r="IHR1688" s="1740"/>
      <c r="IHS1688" s="1740"/>
      <c r="IHT1688" s="1740"/>
      <c r="IHU1688" s="1740"/>
      <c r="IHV1688" s="1740"/>
      <c r="IHW1688" s="1740"/>
      <c r="IHX1688" s="1740"/>
      <c r="IHY1688" s="1740"/>
      <c r="IHZ1688" s="1740"/>
      <c r="IIA1688" s="1740"/>
      <c r="IIB1688" s="1740"/>
      <c r="IIC1688" s="1740"/>
      <c r="IID1688" s="1740"/>
      <c r="IIE1688" s="1740"/>
      <c r="IIF1688" s="1740"/>
      <c r="IIG1688" s="1740"/>
      <c r="IIH1688" s="1740"/>
      <c r="III1688" s="1740"/>
      <c r="IIJ1688" s="1740"/>
      <c r="IIK1688" s="1740"/>
      <c r="IIL1688" s="1740"/>
      <c r="IIM1688" s="1740"/>
      <c r="IIN1688" s="1740"/>
      <c r="IIO1688" s="1740"/>
      <c r="IIP1688" s="1740"/>
      <c r="IIQ1688" s="1740"/>
      <c r="IIR1688" s="1740"/>
      <c r="IIS1688" s="1740"/>
      <c r="IIT1688" s="1740"/>
      <c r="IIU1688" s="1740"/>
      <c r="IIV1688" s="1740"/>
      <c r="IIW1688" s="1740"/>
      <c r="IIX1688" s="1740"/>
      <c r="IIY1688" s="1740"/>
      <c r="IIZ1688" s="1740"/>
      <c r="IJA1688" s="1740"/>
      <c r="IJB1688" s="1740"/>
      <c r="IJC1688" s="1740"/>
      <c r="IJD1688" s="1740"/>
      <c r="IJE1688" s="1740"/>
      <c r="IJF1688" s="1740"/>
      <c r="IJG1688" s="1740"/>
      <c r="IJH1688" s="1740"/>
      <c r="IJI1688" s="1740"/>
      <c r="IJJ1688" s="1740"/>
      <c r="IJK1688" s="1740"/>
      <c r="IJL1688" s="1740"/>
      <c r="IJM1688" s="1740"/>
      <c r="IJN1688" s="1740"/>
      <c r="IJO1688" s="1740"/>
      <c r="IJP1688" s="1740"/>
      <c r="IJQ1688" s="1740"/>
      <c r="IJR1688" s="1740"/>
      <c r="IJS1688" s="1740"/>
      <c r="IJT1688" s="1740"/>
      <c r="IJU1688" s="1740"/>
      <c r="IJV1688" s="1740"/>
      <c r="IJW1688" s="1740"/>
      <c r="IJX1688" s="1740"/>
      <c r="IJY1688" s="1740"/>
      <c r="IJZ1688" s="1740"/>
      <c r="IKA1688" s="1740"/>
      <c r="IKB1688" s="1740"/>
      <c r="IKC1688" s="1740"/>
      <c r="IKD1688" s="1740"/>
      <c r="IKE1688" s="1740"/>
      <c r="IKF1688" s="1740"/>
      <c r="IKG1688" s="1740"/>
      <c r="IKH1688" s="1740"/>
      <c r="IKI1688" s="1740"/>
      <c r="IKJ1688" s="1740"/>
      <c r="IKK1688" s="1740"/>
      <c r="IKL1688" s="1740"/>
      <c r="IKM1688" s="1740"/>
      <c r="IKN1688" s="1740"/>
      <c r="IKO1688" s="1740"/>
      <c r="IKP1688" s="1740"/>
      <c r="IKQ1688" s="1740"/>
      <c r="IKR1688" s="1740"/>
      <c r="IKS1688" s="1740"/>
      <c r="IKT1688" s="1740"/>
      <c r="IKU1688" s="1740"/>
      <c r="IKV1688" s="1740"/>
      <c r="IKW1688" s="1740"/>
      <c r="IKX1688" s="1740"/>
      <c r="IKY1688" s="1740"/>
      <c r="IKZ1688" s="1740"/>
      <c r="ILA1688" s="1740"/>
      <c r="ILB1688" s="1740"/>
      <c r="ILC1688" s="1740"/>
      <c r="ILD1688" s="1740"/>
      <c r="ILE1688" s="1740"/>
      <c r="ILF1688" s="1740"/>
      <c r="ILG1688" s="1740"/>
      <c r="ILH1688" s="1740"/>
      <c r="ILI1688" s="1740"/>
      <c r="ILJ1688" s="1740"/>
      <c r="ILK1688" s="1740"/>
      <c r="ILL1688" s="1740"/>
      <c r="ILM1688" s="1740"/>
      <c r="ILN1688" s="1740"/>
      <c r="ILO1688" s="1740"/>
      <c r="ILP1688" s="1740"/>
      <c r="ILQ1688" s="1740"/>
      <c r="ILR1688" s="1740"/>
      <c r="ILS1688" s="1740"/>
      <c r="ILT1688" s="1740"/>
      <c r="ILU1688" s="1740"/>
      <c r="ILV1688" s="1740"/>
      <c r="ILW1688" s="1740"/>
      <c r="ILX1688" s="1740"/>
      <c r="ILY1688" s="1740"/>
      <c r="ILZ1688" s="1740"/>
      <c r="IMA1688" s="1740"/>
      <c r="IMB1688" s="1740"/>
      <c r="IMC1688" s="1740"/>
      <c r="IMD1688" s="1740"/>
      <c r="IME1688" s="1740"/>
      <c r="IMF1688" s="1740"/>
      <c r="IMG1688" s="1740"/>
      <c r="IMH1688" s="1740"/>
      <c r="IMI1688" s="1740"/>
      <c r="IMJ1688" s="1740"/>
      <c r="IMK1688" s="1740"/>
      <c r="IML1688" s="1740"/>
      <c r="IMM1688" s="1740"/>
      <c r="IMN1688" s="1740"/>
      <c r="IMO1688" s="1740"/>
      <c r="IMP1688" s="1740"/>
      <c r="IMQ1688" s="1740"/>
      <c r="IMR1688" s="1740"/>
      <c r="IMS1688" s="1740"/>
      <c r="IMT1688" s="1740"/>
      <c r="IMU1688" s="1740"/>
      <c r="IMV1688" s="1740"/>
      <c r="IMW1688" s="1740"/>
      <c r="IMX1688" s="1740"/>
      <c r="IMY1688" s="1740"/>
      <c r="IMZ1688" s="1740"/>
      <c r="INA1688" s="1740"/>
      <c r="INB1688" s="1740"/>
      <c r="INC1688" s="1740"/>
      <c r="IND1688" s="1740"/>
      <c r="INE1688" s="1740"/>
      <c r="INF1688" s="1740"/>
      <c r="ING1688" s="1740"/>
      <c r="INH1688" s="1740"/>
      <c r="INI1688" s="1740"/>
      <c r="INJ1688" s="1740"/>
      <c r="INK1688" s="1740"/>
      <c r="INL1688" s="1740"/>
      <c r="INM1688" s="1740"/>
      <c r="INN1688" s="1740"/>
      <c r="INO1688" s="1740"/>
      <c r="INP1688" s="1740"/>
      <c r="INQ1688" s="1740"/>
      <c r="INR1688" s="1740"/>
      <c r="INS1688" s="1740"/>
      <c r="INT1688" s="1740"/>
      <c r="INU1688" s="1740"/>
      <c r="INV1688" s="1740"/>
      <c r="INW1688" s="1740"/>
      <c r="INX1688" s="1740"/>
      <c r="INY1688" s="1740"/>
      <c r="INZ1688" s="1740"/>
      <c r="IOA1688" s="1740"/>
      <c r="IOB1688" s="1740"/>
      <c r="IOC1688" s="1740"/>
      <c r="IOD1688" s="1740"/>
      <c r="IOE1688" s="1740"/>
      <c r="IOF1688" s="1740"/>
      <c r="IOG1688" s="1740"/>
      <c r="IOH1688" s="1740"/>
      <c r="IOI1688" s="1740"/>
      <c r="IOJ1688" s="1740"/>
      <c r="IOK1688" s="1740"/>
      <c r="IOL1688" s="1740"/>
      <c r="IOM1688" s="1740"/>
      <c r="ION1688" s="1740"/>
      <c r="IOO1688" s="1740"/>
      <c r="IOP1688" s="1740"/>
      <c r="IOQ1688" s="1740"/>
      <c r="IOR1688" s="1740"/>
      <c r="IOS1688" s="1740"/>
      <c r="IOT1688" s="1740"/>
      <c r="IOU1688" s="1740"/>
      <c r="IOV1688" s="1740"/>
      <c r="IOW1688" s="1740"/>
      <c r="IOX1688" s="1740"/>
      <c r="IOY1688" s="1740"/>
      <c r="IOZ1688" s="1740"/>
      <c r="IPA1688" s="1740"/>
      <c r="IPB1688" s="1740"/>
      <c r="IPC1688" s="1740"/>
      <c r="IPD1688" s="1740"/>
      <c r="IPE1688" s="1740"/>
      <c r="IPF1688" s="1740"/>
      <c r="IPG1688" s="1740"/>
      <c r="IPH1688" s="1740"/>
      <c r="IPI1688" s="1740"/>
      <c r="IPJ1688" s="1740"/>
      <c r="IPK1688" s="1740"/>
      <c r="IPL1688" s="1740"/>
      <c r="IPM1688" s="1740"/>
      <c r="IPN1688" s="1740"/>
      <c r="IPO1688" s="1740"/>
      <c r="IPP1688" s="1740"/>
      <c r="IPQ1688" s="1740"/>
      <c r="IPR1688" s="1740"/>
      <c r="IPS1688" s="1740"/>
      <c r="IPT1688" s="1740"/>
      <c r="IPU1688" s="1740"/>
      <c r="IPV1688" s="1740"/>
      <c r="IPW1688" s="1740"/>
      <c r="IPX1688" s="1740"/>
      <c r="IPY1688" s="1740"/>
      <c r="IPZ1688" s="1740"/>
      <c r="IQA1688" s="1740"/>
      <c r="IQB1688" s="1740"/>
      <c r="IQC1688" s="1740"/>
      <c r="IQD1688" s="1740"/>
      <c r="IQE1688" s="1740"/>
      <c r="IQF1688" s="1740"/>
      <c r="IQG1688" s="1740"/>
      <c r="IQH1688" s="1740"/>
      <c r="IQI1688" s="1740"/>
      <c r="IQJ1688" s="1740"/>
      <c r="IQK1688" s="1740"/>
      <c r="IQL1688" s="1740"/>
      <c r="IQM1688" s="1740"/>
      <c r="IQN1688" s="1740"/>
      <c r="IQO1688" s="1740"/>
      <c r="IQP1688" s="1740"/>
      <c r="IQQ1688" s="1740"/>
      <c r="IQR1688" s="1740"/>
      <c r="IQS1688" s="1740"/>
      <c r="IQT1688" s="1740"/>
      <c r="IQU1688" s="1740"/>
      <c r="IQV1688" s="1740"/>
      <c r="IQW1688" s="1740"/>
      <c r="IQX1688" s="1740"/>
      <c r="IQY1688" s="1740"/>
      <c r="IQZ1688" s="1740"/>
      <c r="IRA1688" s="1740"/>
      <c r="IRB1688" s="1740"/>
      <c r="IRC1688" s="1740"/>
      <c r="IRD1688" s="1740"/>
      <c r="IRE1688" s="1740"/>
      <c r="IRF1688" s="1740"/>
      <c r="IRG1688" s="1740"/>
      <c r="IRH1688" s="1740"/>
      <c r="IRI1688" s="1740"/>
      <c r="IRJ1688" s="1740"/>
      <c r="IRK1688" s="1740"/>
      <c r="IRL1688" s="1740"/>
      <c r="IRM1688" s="1740"/>
      <c r="IRN1688" s="1740"/>
      <c r="IRO1688" s="1740"/>
      <c r="IRP1688" s="1740"/>
      <c r="IRQ1688" s="1740"/>
      <c r="IRR1688" s="1740"/>
      <c r="IRS1688" s="1740"/>
      <c r="IRT1688" s="1740"/>
      <c r="IRU1688" s="1740"/>
      <c r="IRV1688" s="1740"/>
      <c r="IRW1688" s="1740"/>
      <c r="IRX1688" s="1740"/>
      <c r="IRY1688" s="1740"/>
      <c r="IRZ1688" s="1740"/>
      <c r="ISA1688" s="1740"/>
      <c r="ISB1688" s="1740"/>
      <c r="ISC1688" s="1740"/>
      <c r="ISD1688" s="1740"/>
      <c r="ISE1688" s="1740"/>
      <c r="ISF1688" s="1740"/>
      <c r="ISG1688" s="1740"/>
      <c r="ISH1688" s="1740"/>
      <c r="ISI1688" s="1740"/>
      <c r="ISJ1688" s="1740"/>
      <c r="ISK1688" s="1740"/>
      <c r="ISL1688" s="1740"/>
      <c r="ISM1688" s="1740"/>
      <c r="ISN1688" s="1740"/>
      <c r="ISO1688" s="1740"/>
      <c r="ISP1688" s="1740"/>
      <c r="ISQ1688" s="1740"/>
      <c r="ISR1688" s="1740"/>
      <c r="ISS1688" s="1740"/>
      <c r="IST1688" s="1740"/>
      <c r="ISU1688" s="1740"/>
      <c r="ISV1688" s="1740"/>
      <c r="ISW1688" s="1740"/>
      <c r="ISX1688" s="1740"/>
      <c r="ISY1688" s="1740"/>
      <c r="ISZ1688" s="1740"/>
      <c r="ITA1688" s="1740"/>
      <c r="ITB1688" s="1740"/>
      <c r="ITC1688" s="1740"/>
      <c r="ITD1688" s="1740"/>
      <c r="ITE1688" s="1740"/>
      <c r="ITF1688" s="1740"/>
      <c r="ITG1688" s="1740"/>
      <c r="ITH1688" s="1740"/>
      <c r="ITI1688" s="1740"/>
      <c r="ITJ1688" s="1740"/>
      <c r="ITK1688" s="1740"/>
      <c r="ITL1688" s="1740"/>
      <c r="ITM1688" s="1740"/>
      <c r="ITN1688" s="1740"/>
      <c r="ITO1688" s="1740"/>
      <c r="ITP1688" s="1740"/>
      <c r="ITQ1688" s="1740"/>
      <c r="ITR1688" s="1740"/>
      <c r="ITS1688" s="1740"/>
      <c r="ITT1688" s="1740"/>
      <c r="ITU1688" s="1740"/>
      <c r="ITV1688" s="1740"/>
      <c r="ITW1688" s="1740"/>
      <c r="ITX1688" s="1740"/>
      <c r="ITY1688" s="1740"/>
      <c r="ITZ1688" s="1740"/>
      <c r="IUA1688" s="1740"/>
      <c r="IUB1688" s="1740"/>
      <c r="IUC1688" s="1740"/>
      <c r="IUD1688" s="1740"/>
      <c r="IUE1688" s="1740"/>
      <c r="IUF1688" s="1740"/>
      <c r="IUG1688" s="1740"/>
      <c r="IUH1688" s="1740"/>
      <c r="IUI1688" s="1740"/>
      <c r="IUJ1688" s="1740"/>
      <c r="IUK1688" s="1740"/>
      <c r="IUL1688" s="1740"/>
      <c r="IUM1688" s="1740"/>
      <c r="IUN1688" s="1740"/>
      <c r="IUO1688" s="1740"/>
      <c r="IUP1688" s="1740"/>
      <c r="IUQ1688" s="1740"/>
      <c r="IUR1688" s="1740"/>
      <c r="IUS1688" s="1740"/>
      <c r="IUT1688" s="1740"/>
      <c r="IUU1688" s="1740"/>
      <c r="IUV1688" s="1740"/>
      <c r="IUW1688" s="1740"/>
      <c r="IUX1688" s="1740"/>
      <c r="IUY1688" s="1740"/>
      <c r="IUZ1688" s="1740"/>
      <c r="IVA1688" s="1740"/>
      <c r="IVB1688" s="1740"/>
      <c r="IVC1688" s="1740"/>
      <c r="IVD1688" s="1740"/>
      <c r="IVE1688" s="1740"/>
      <c r="IVF1688" s="1740"/>
      <c r="IVG1688" s="1740"/>
      <c r="IVH1688" s="1740"/>
      <c r="IVI1688" s="1740"/>
      <c r="IVJ1688" s="1740"/>
      <c r="IVK1688" s="1740"/>
      <c r="IVL1688" s="1740"/>
      <c r="IVM1688" s="1740"/>
      <c r="IVN1688" s="1740"/>
      <c r="IVO1688" s="1740"/>
      <c r="IVP1688" s="1740"/>
      <c r="IVQ1688" s="1740"/>
      <c r="IVR1688" s="1740"/>
      <c r="IVS1688" s="1740"/>
      <c r="IVT1688" s="1740"/>
      <c r="IVU1688" s="1740"/>
      <c r="IVV1688" s="1740"/>
      <c r="IVW1688" s="1740"/>
      <c r="IVX1688" s="1740"/>
      <c r="IVY1688" s="1740"/>
      <c r="IVZ1688" s="1740"/>
      <c r="IWA1688" s="1740"/>
      <c r="IWB1688" s="1740"/>
      <c r="IWC1688" s="1740"/>
      <c r="IWD1688" s="1740"/>
      <c r="IWE1688" s="1740"/>
      <c r="IWF1688" s="1740"/>
      <c r="IWG1688" s="1740"/>
      <c r="IWH1688" s="1740"/>
      <c r="IWI1688" s="1740"/>
      <c r="IWJ1688" s="1740"/>
      <c r="IWK1688" s="1740"/>
      <c r="IWL1688" s="1740"/>
      <c r="IWM1688" s="1740"/>
      <c r="IWN1688" s="1740"/>
      <c r="IWO1688" s="1740"/>
      <c r="IWP1688" s="1740"/>
      <c r="IWQ1688" s="1740"/>
      <c r="IWR1688" s="1740"/>
      <c r="IWS1688" s="1740"/>
      <c r="IWT1688" s="1740"/>
      <c r="IWU1688" s="1740"/>
      <c r="IWV1688" s="1740"/>
      <c r="IWW1688" s="1740"/>
      <c r="IWX1688" s="1740"/>
      <c r="IWY1688" s="1740"/>
      <c r="IWZ1688" s="1740"/>
      <c r="IXA1688" s="1740"/>
      <c r="IXB1688" s="1740"/>
      <c r="IXC1688" s="1740"/>
      <c r="IXD1688" s="1740"/>
      <c r="IXE1688" s="1740"/>
      <c r="IXF1688" s="1740"/>
      <c r="IXG1688" s="1740"/>
      <c r="IXH1688" s="1740"/>
      <c r="IXI1688" s="1740"/>
      <c r="IXJ1688" s="1740"/>
      <c r="IXK1688" s="1740"/>
      <c r="IXL1688" s="1740"/>
      <c r="IXM1688" s="1740"/>
      <c r="IXN1688" s="1740"/>
      <c r="IXO1688" s="1740"/>
      <c r="IXP1688" s="1740"/>
      <c r="IXQ1688" s="1740"/>
      <c r="IXR1688" s="1740"/>
      <c r="IXS1688" s="1740"/>
      <c r="IXT1688" s="1740"/>
      <c r="IXU1688" s="1740"/>
      <c r="IXV1688" s="1740"/>
      <c r="IXW1688" s="1740"/>
      <c r="IXX1688" s="1740"/>
      <c r="IXY1688" s="1740"/>
      <c r="IXZ1688" s="1740"/>
      <c r="IYA1688" s="1740"/>
      <c r="IYB1688" s="1740"/>
      <c r="IYC1688" s="1740"/>
      <c r="IYD1688" s="1740"/>
      <c r="IYE1688" s="1740"/>
      <c r="IYF1688" s="1740"/>
      <c r="IYG1688" s="1740"/>
      <c r="IYH1688" s="1740"/>
      <c r="IYI1688" s="1740"/>
      <c r="IYJ1688" s="1740"/>
      <c r="IYK1688" s="1740"/>
      <c r="IYL1688" s="1740"/>
      <c r="IYM1688" s="1740"/>
      <c r="IYN1688" s="1740"/>
      <c r="IYO1688" s="1740"/>
      <c r="IYP1688" s="1740"/>
      <c r="IYQ1688" s="1740"/>
      <c r="IYR1688" s="1740"/>
      <c r="IYS1688" s="1740"/>
      <c r="IYT1688" s="1740"/>
      <c r="IYU1688" s="1740"/>
      <c r="IYV1688" s="1740"/>
      <c r="IYW1688" s="1740"/>
      <c r="IYX1688" s="1740"/>
      <c r="IYY1688" s="1740"/>
      <c r="IYZ1688" s="1740"/>
      <c r="IZA1688" s="1740"/>
      <c r="IZB1688" s="1740"/>
      <c r="IZC1688" s="1740"/>
      <c r="IZD1688" s="1740"/>
      <c r="IZE1688" s="1740"/>
      <c r="IZF1688" s="1740"/>
      <c r="IZG1688" s="1740"/>
      <c r="IZH1688" s="1740"/>
      <c r="IZI1688" s="1740"/>
      <c r="IZJ1688" s="1740"/>
      <c r="IZK1688" s="1740"/>
      <c r="IZL1688" s="1740"/>
      <c r="IZM1688" s="1740"/>
      <c r="IZN1688" s="1740"/>
      <c r="IZO1688" s="1740"/>
      <c r="IZP1688" s="1740"/>
      <c r="IZQ1688" s="1740"/>
      <c r="IZR1688" s="1740"/>
      <c r="IZS1688" s="1740"/>
      <c r="IZT1688" s="1740"/>
      <c r="IZU1688" s="1740"/>
      <c r="IZV1688" s="1740"/>
      <c r="IZW1688" s="1740"/>
      <c r="IZX1688" s="1740"/>
      <c r="IZY1688" s="1740"/>
      <c r="IZZ1688" s="1740"/>
      <c r="JAA1688" s="1740"/>
      <c r="JAB1688" s="1740"/>
      <c r="JAC1688" s="1740"/>
      <c r="JAD1688" s="1740"/>
      <c r="JAE1688" s="1740"/>
      <c r="JAF1688" s="1740"/>
      <c r="JAG1688" s="1740"/>
      <c r="JAH1688" s="1740"/>
      <c r="JAI1688" s="1740"/>
      <c r="JAJ1688" s="1740"/>
      <c r="JAK1688" s="1740"/>
      <c r="JAL1688" s="1740"/>
      <c r="JAM1688" s="1740"/>
      <c r="JAN1688" s="1740"/>
      <c r="JAO1688" s="1740"/>
      <c r="JAP1688" s="1740"/>
      <c r="JAQ1688" s="1740"/>
      <c r="JAR1688" s="1740"/>
      <c r="JAS1688" s="1740"/>
      <c r="JAT1688" s="1740"/>
      <c r="JAU1688" s="1740"/>
      <c r="JAV1688" s="1740"/>
      <c r="JAW1688" s="1740"/>
      <c r="JAX1688" s="1740"/>
      <c r="JAY1688" s="1740"/>
      <c r="JAZ1688" s="1740"/>
      <c r="JBA1688" s="1740"/>
      <c r="JBB1688" s="1740"/>
      <c r="JBC1688" s="1740"/>
      <c r="JBD1688" s="1740"/>
      <c r="JBE1688" s="1740"/>
      <c r="JBF1688" s="1740"/>
      <c r="JBG1688" s="1740"/>
      <c r="JBH1688" s="1740"/>
      <c r="JBI1688" s="1740"/>
      <c r="JBJ1688" s="1740"/>
      <c r="JBK1688" s="1740"/>
      <c r="JBL1688" s="1740"/>
      <c r="JBM1688" s="1740"/>
      <c r="JBN1688" s="1740"/>
      <c r="JBO1688" s="1740"/>
      <c r="JBP1688" s="1740"/>
      <c r="JBQ1688" s="1740"/>
      <c r="JBR1688" s="1740"/>
      <c r="JBS1688" s="1740"/>
      <c r="JBT1688" s="1740"/>
      <c r="JBU1688" s="1740"/>
      <c r="JBV1688" s="1740"/>
      <c r="JBW1688" s="1740"/>
      <c r="JBX1688" s="1740"/>
      <c r="JBY1688" s="1740"/>
      <c r="JBZ1688" s="1740"/>
      <c r="JCA1688" s="1740"/>
      <c r="JCB1688" s="1740"/>
      <c r="JCC1688" s="1740"/>
      <c r="JCD1688" s="1740"/>
      <c r="JCE1688" s="1740"/>
      <c r="JCF1688" s="1740"/>
      <c r="JCG1688" s="1740"/>
      <c r="JCH1688" s="1740"/>
      <c r="JCI1688" s="1740"/>
      <c r="JCJ1688" s="1740"/>
      <c r="JCK1688" s="1740"/>
      <c r="JCL1688" s="1740"/>
      <c r="JCM1688" s="1740"/>
      <c r="JCN1688" s="1740"/>
      <c r="JCO1688" s="1740"/>
      <c r="JCP1688" s="1740"/>
      <c r="JCQ1688" s="1740"/>
      <c r="JCR1688" s="1740"/>
      <c r="JCS1688" s="1740"/>
      <c r="JCT1688" s="1740"/>
      <c r="JCU1688" s="1740"/>
      <c r="JCV1688" s="1740"/>
      <c r="JCW1688" s="1740"/>
      <c r="JCX1688" s="1740"/>
      <c r="JCY1688" s="1740"/>
      <c r="JCZ1688" s="1740"/>
      <c r="JDA1688" s="1740"/>
      <c r="JDB1688" s="1740"/>
      <c r="JDC1688" s="1740"/>
      <c r="JDD1688" s="1740"/>
      <c r="JDE1688" s="1740"/>
      <c r="JDF1688" s="1740"/>
      <c r="JDG1688" s="1740"/>
      <c r="JDH1688" s="1740"/>
      <c r="JDI1688" s="1740"/>
      <c r="JDJ1688" s="1740"/>
      <c r="JDK1688" s="1740"/>
      <c r="JDL1688" s="1740"/>
      <c r="JDM1688" s="1740"/>
      <c r="JDN1688" s="1740"/>
      <c r="JDO1688" s="1740"/>
      <c r="JDP1688" s="1740"/>
      <c r="JDQ1688" s="1740"/>
      <c r="JDR1688" s="1740"/>
      <c r="JDS1688" s="1740"/>
      <c r="JDT1688" s="1740"/>
      <c r="JDU1688" s="1740"/>
      <c r="JDV1688" s="1740"/>
      <c r="JDW1688" s="1740"/>
      <c r="JDX1688" s="1740"/>
      <c r="JDY1688" s="1740"/>
      <c r="JDZ1688" s="1740"/>
      <c r="JEA1688" s="1740"/>
      <c r="JEB1688" s="1740"/>
      <c r="JEC1688" s="1740"/>
      <c r="JED1688" s="1740"/>
      <c r="JEE1688" s="1740"/>
      <c r="JEF1688" s="1740"/>
      <c r="JEG1688" s="1740"/>
      <c r="JEH1688" s="1740"/>
      <c r="JEI1688" s="1740"/>
      <c r="JEJ1688" s="1740"/>
      <c r="JEK1688" s="1740"/>
      <c r="JEL1688" s="1740"/>
      <c r="JEM1688" s="1740"/>
      <c r="JEN1688" s="1740"/>
      <c r="JEO1688" s="1740"/>
      <c r="JEP1688" s="1740"/>
      <c r="JEQ1688" s="1740"/>
      <c r="JER1688" s="1740"/>
      <c r="JES1688" s="1740"/>
      <c r="JET1688" s="1740"/>
      <c r="JEU1688" s="1740"/>
      <c r="JEV1688" s="1740"/>
      <c r="JEW1688" s="1740"/>
      <c r="JEX1688" s="1740"/>
      <c r="JEY1688" s="1740"/>
      <c r="JEZ1688" s="1740"/>
      <c r="JFA1688" s="1740"/>
      <c r="JFB1688" s="1740"/>
      <c r="JFC1688" s="1740"/>
      <c r="JFD1688" s="1740"/>
      <c r="JFE1688" s="1740"/>
      <c r="JFF1688" s="1740"/>
      <c r="JFG1688" s="1740"/>
      <c r="JFH1688" s="1740"/>
      <c r="JFI1688" s="1740"/>
      <c r="JFJ1688" s="1740"/>
      <c r="JFK1688" s="1740"/>
      <c r="JFL1688" s="1740"/>
      <c r="JFM1688" s="1740"/>
      <c r="JFN1688" s="1740"/>
      <c r="JFO1688" s="1740"/>
      <c r="JFP1688" s="1740"/>
      <c r="JFQ1688" s="1740"/>
      <c r="JFR1688" s="1740"/>
      <c r="JFS1688" s="1740"/>
      <c r="JFT1688" s="1740"/>
      <c r="JFU1688" s="1740"/>
      <c r="JFV1688" s="1740"/>
      <c r="JFW1688" s="1740"/>
      <c r="JFX1688" s="1740"/>
      <c r="JFY1688" s="1740"/>
      <c r="JFZ1688" s="1740"/>
      <c r="JGA1688" s="1740"/>
      <c r="JGB1688" s="1740"/>
      <c r="JGC1688" s="1740"/>
      <c r="JGD1688" s="1740"/>
      <c r="JGE1688" s="1740"/>
      <c r="JGF1688" s="1740"/>
      <c r="JGG1688" s="1740"/>
      <c r="JGH1688" s="1740"/>
      <c r="JGI1688" s="1740"/>
      <c r="JGJ1688" s="1740"/>
      <c r="JGK1688" s="1740"/>
      <c r="JGL1688" s="1740"/>
      <c r="JGM1688" s="1740"/>
      <c r="JGN1688" s="1740"/>
      <c r="JGO1688" s="1740"/>
      <c r="JGP1688" s="1740"/>
      <c r="JGQ1688" s="1740"/>
      <c r="JGR1688" s="1740"/>
      <c r="JGS1688" s="1740"/>
      <c r="JGT1688" s="1740"/>
      <c r="JGU1688" s="1740"/>
      <c r="JGV1688" s="1740"/>
      <c r="JGW1688" s="1740"/>
      <c r="JGX1688" s="1740"/>
      <c r="JGY1688" s="1740"/>
      <c r="JGZ1688" s="1740"/>
      <c r="JHA1688" s="1740"/>
      <c r="JHB1688" s="1740"/>
      <c r="JHC1688" s="1740"/>
      <c r="JHD1688" s="1740"/>
      <c r="JHE1688" s="1740"/>
      <c r="JHF1688" s="1740"/>
      <c r="JHG1688" s="1740"/>
      <c r="JHH1688" s="1740"/>
      <c r="JHI1688" s="1740"/>
      <c r="JHJ1688" s="1740"/>
      <c r="JHK1688" s="1740"/>
      <c r="JHL1688" s="1740"/>
      <c r="JHM1688" s="1740"/>
      <c r="JHN1688" s="1740"/>
      <c r="JHO1688" s="1740"/>
      <c r="JHP1688" s="1740"/>
      <c r="JHQ1688" s="1740"/>
      <c r="JHR1688" s="1740"/>
      <c r="JHS1688" s="1740"/>
      <c r="JHT1688" s="1740"/>
      <c r="JHU1688" s="1740"/>
      <c r="JHV1688" s="1740"/>
      <c r="JHW1688" s="1740"/>
      <c r="JHX1688" s="1740"/>
      <c r="JHY1688" s="1740"/>
      <c r="JHZ1688" s="1740"/>
      <c r="JIA1688" s="1740"/>
      <c r="JIB1688" s="1740"/>
      <c r="JIC1688" s="1740"/>
      <c r="JID1688" s="1740"/>
      <c r="JIE1688" s="1740"/>
      <c r="JIF1688" s="1740"/>
      <c r="JIG1688" s="1740"/>
      <c r="JIH1688" s="1740"/>
      <c r="JII1688" s="1740"/>
      <c r="JIJ1688" s="1740"/>
      <c r="JIK1688" s="1740"/>
      <c r="JIL1688" s="1740"/>
      <c r="JIM1688" s="1740"/>
      <c r="JIN1688" s="1740"/>
      <c r="JIO1688" s="1740"/>
      <c r="JIP1688" s="1740"/>
      <c r="JIQ1688" s="1740"/>
      <c r="JIR1688" s="1740"/>
      <c r="JIS1688" s="1740"/>
      <c r="JIT1688" s="1740"/>
      <c r="JIU1688" s="1740"/>
      <c r="JIV1688" s="1740"/>
      <c r="JIW1688" s="1740"/>
      <c r="JIX1688" s="1740"/>
      <c r="JIY1688" s="1740"/>
      <c r="JIZ1688" s="1740"/>
      <c r="JJA1688" s="1740"/>
      <c r="JJB1688" s="1740"/>
      <c r="JJC1688" s="1740"/>
      <c r="JJD1688" s="1740"/>
      <c r="JJE1688" s="1740"/>
      <c r="JJF1688" s="1740"/>
      <c r="JJG1688" s="1740"/>
      <c r="JJH1688" s="1740"/>
      <c r="JJI1688" s="1740"/>
      <c r="JJJ1688" s="1740"/>
      <c r="JJK1688" s="1740"/>
      <c r="JJL1688" s="1740"/>
      <c r="JJM1688" s="1740"/>
      <c r="JJN1688" s="1740"/>
      <c r="JJO1688" s="1740"/>
      <c r="JJP1688" s="1740"/>
      <c r="JJQ1688" s="1740"/>
      <c r="JJR1688" s="1740"/>
      <c r="JJS1688" s="1740"/>
      <c r="JJT1688" s="1740"/>
      <c r="JJU1688" s="1740"/>
      <c r="JJV1688" s="1740"/>
      <c r="JJW1688" s="1740"/>
      <c r="JJX1688" s="1740"/>
      <c r="JJY1688" s="1740"/>
      <c r="JJZ1688" s="1740"/>
      <c r="JKA1688" s="1740"/>
      <c r="JKB1688" s="1740"/>
      <c r="JKC1688" s="1740"/>
      <c r="JKD1688" s="1740"/>
      <c r="JKE1688" s="1740"/>
      <c r="JKF1688" s="1740"/>
      <c r="JKG1688" s="1740"/>
      <c r="JKH1688" s="1740"/>
      <c r="JKI1688" s="1740"/>
      <c r="JKJ1688" s="1740"/>
      <c r="JKK1688" s="1740"/>
      <c r="JKL1688" s="1740"/>
      <c r="JKM1688" s="1740"/>
      <c r="JKN1688" s="1740"/>
      <c r="JKO1688" s="1740"/>
      <c r="JKP1688" s="1740"/>
      <c r="JKQ1688" s="1740"/>
      <c r="JKR1688" s="1740"/>
      <c r="JKS1688" s="1740"/>
      <c r="JKT1688" s="1740"/>
      <c r="JKU1688" s="1740"/>
      <c r="JKV1688" s="1740"/>
      <c r="JKW1688" s="1740"/>
      <c r="JKX1688" s="1740"/>
      <c r="JKY1688" s="1740"/>
      <c r="JKZ1688" s="1740"/>
      <c r="JLA1688" s="1740"/>
      <c r="JLB1688" s="1740"/>
      <c r="JLC1688" s="1740"/>
      <c r="JLD1688" s="1740"/>
      <c r="JLE1688" s="1740"/>
      <c r="JLF1688" s="1740"/>
      <c r="JLG1688" s="1740"/>
      <c r="JLH1688" s="1740"/>
      <c r="JLI1688" s="1740"/>
      <c r="JLJ1688" s="1740"/>
      <c r="JLK1688" s="1740"/>
      <c r="JLL1688" s="1740"/>
      <c r="JLM1688" s="1740"/>
      <c r="JLN1688" s="1740"/>
      <c r="JLO1688" s="1740"/>
      <c r="JLP1688" s="1740"/>
      <c r="JLQ1688" s="1740"/>
      <c r="JLR1688" s="1740"/>
      <c r="JLS1688" s="1740"/>
      <c r="JLT1688" s="1740"/>
      <c r="JLU1688" s="1740"/>
      <c r="JLV1688" s="1740"/>
      <c r="JLW1688" s="1740"/>
      <c r="JLX1688" s="1740"/>
      <c r="JLY1688" s="1740"/>
      <c r="JLZ1688" s="1740"/>
      <c r="JMA1688" s="1740"/>
      <c r="JMB1688" s="1740"/>
      <c r="JMC1688" s="1740"/>
      <c r="JMD1688" s="1740"/>
      <c r="JME1688" s="1740"/>
      <c r="JMF1688" s="1740"/>
      <c r="JMG1688" s="1740"/>
      <c r="JMH1688" s="1740"/>
      <c r="JMI1688" s="1740"/>
      <c r="JMJ1688" s="1740"/>
      <c r="JMK1688" s="1740"/>
      <c r="JML1688" s="1740"/>
      <c r="JMM1688" s="1740"/>
      <c r="JMN1688" s="1740"/>
      <c r="JMO1688" s="1740"/>
      <c r="JMP1688" s="1740"/>
      <c r="JMQ1688" s="1740"/>
      <c r="JMR1688" s="1740"/>
      <c r="JMS1688" s="1740"/>
      <c r="JMT1688" s="1740"/>
      <c r="JMU1688" s="1740"/>
      <c r="JMV1688" s="1740"/>
      <c r="JMW1688" s="1740"/>
      <c r="JMX1688" s="1740"/>
      <c r="JMY1688" s="1740"/>
      <c r="JMZ1688" s="1740"/>
      <c r="JNA1688" s="1740"/>
      <c r="JNB1688" s="1740"/>
      <c r="JNC1688" s="1740"/>
      <c r="JND1688" s="1740"/>
      <c r="JNE1688" s="1740"/>
      <c r="JNF1688" s="1740"/>
      <c r="JNG1688" s="1740"/>
      <c r="JNH1688" s="1740"/>
      <c r="JNI1688" s="1740"/>
      <c r="JNJ1688" s="1740"/>
      <c r="JNK1688" s="1740"/>
      <c r="JNL1688" s="1740"/>
      <c r="JNM1688" s="1740"/>
      <c r="JNN1688" s="1740"/>
      <c r="JNO1688" s="1740"/>
      <c r="JNP1688" s="1740"/>
      <c r="JNQ1688" s="1740"/>
      <c r="JNR1688" s="1740"/>
      <c r="JNS1688" s="1740"/>
      <c r="JNT1688" s="1740"/>
      <c r="JNU1688" s="1740"/>
      <c r="JNV1688" s="1740"/>
      <c r="JNW1688" s="1740"/>
      <c r="JNX1688" s="1740"/>
      <c r="JNY1688" s="1740"/>
      <c r="JNZ1688" s="1740"/>
      <c r="JOA1688" s="1740"/>
      <c r="JOB1688" s="1740"/>
      <c r="JOC1688" s="1740"/>
      <c r="JOD1688" s="1740"/>
      <c r="JOE1688" s="1740"/>
      <c r="JOF1688" s="1740"/>
      <c r="JOG1688" s="1740"/>
      <c r="JOH1688" s="1740"/>
      <c r="JOI1688" s="1740"/>
      <c r="JOJ1688" s="1740"/>
      <c r="JOK1688" s="1740"/>
      <c r="JOL1688" s="1740"/>
      <c r="JOM1688" s="1740"/>
      <c r="JON1688" s="1740"/>
      <c r="JOO1688" s="1740"/>
      <c r="JOP1688" s="1740"/>
      <c r="JOQ1688" s="1740"/>
      <c r="JOR1688" s="1740"/>
      <c r="JOS1688" s="1740"/>
      <c r="JOT1688" s="1740"/>
      <c r="JOU1688" s="1740"/>
      <c r="JOV1688" s="1740"/>
      <c r="JOW1688" s="1740"/>
      <c r="JOX1688" s="1740"/>
      <c r="JOY1688" s="1740"/>
      <c r="JOZ1688" s="1740"/>
      <c r="JPA1688" s="1740"/>
      <c r="JPB1688" s="1740"/>
      <c r="JPC1688" s="1740"/>
      <c r="JPD1688" s="1740"/>
      <c r="JPE1688" s="1740"/>
      <c r="JPF1688" s="1740"/>
      <c r="JPG1688" s="1740"/>
      <c r="JPH1688" s="1740"/>
      <c r="JPI1688" s="1740"/>
      <c r="JPJ1688" s="1740"/>
      <c r="JPK1688" s="1740"/>
      <c r="JPL1688" s="1740"/>
      <c r="JPM1688" s="1740"/>
      <c r="JPN1688" s="1740"/>
      <c r="JPO1688" s="1740"/>
      <c r="JPP1688" s="1740"/>
      <c r="JPQ1688" s="1740"/>
      <c r="JPR1688" s="1740"/>
      <c r="JPS1688" s="1740"/>
      <c r="JPT1688" s="1740"/>
      <c r="JPU1688" s="1740"/>
      <c r="JPV1688" s="1740"/>
      <c r="JPW1688" s="1740"/>
      <c r="JPX1688" s="1740"/>
      <c r="JPY1688" s="1740"/>
      <c r="JPZ1688" s="1740"/>
      <c r="JQA1688" s="1740"/>
      <c r="JQB1688" s="1740"/>
      <c r="JQC1688" s="1740"/>
      <c r="JQD1688" s="1740"/>
      <c r="JQE1688" s="1740"/>
      <c r="JQF1688" s="1740"/>
      <c r="JQG1688" s="1740"/>
      <c r="JQH1688" s="1740"/>
      <c r="JQI1688" s="1740"/>
      <c r="JQJ1688" s="1740"/>
      <c r="JQK1688" s="1740"/>
      <c r="JQL1688" s="1740"/>
      <c r="JQM1688" s="1740"/>
      <c r="JQN1688" s="1740"/>
      <c r="JQO1688" s="1740"/>
      <c r="JQP1688" s="1740"/>
      <c r="JQQ1688" s="1740"/>
      <c r="JQR1688" s="1740"/>
      <c r="JQS1688" s="1740"/>
      <c r="JQT1688" s="1740"/>
      <c r="JQU1688" s="1740"/>
      <c r="JQV1688" s="1740"/>
      <c r="JQW1688" s="1740"/>
      <c r="JQX1688" s="1740"/>
      <c r="JQY1688" s="1740"/>
      <c r="JQZ1688" s="1740"/>
      <c r="JRA1688" s="1740"/>
      <c r="JRB1688" s="1740"/>
      <c r="JRC1688" s="1740"/>
      <c r="JRD1688" s="1740"/>
      <c r="JRE1688" s="1740"/>
      <c r="JRF1688" s="1740"/>
      <c r="JRG1688" s="1740"/>
      <c r="JRH1688" s="1740"/>
      <c r="JRI1688" s="1740"/>
      <c r="JRJ1688" s="1740"/>
      <c r="JRK1688" s="1740"/>
      <c r="JRL1688" s="1740"/>
      <c r="JRM1688" s="1740"/>
      <c r="JRN1688" s="1740"/>
      <c r="JRO1688" s="1740"/>
      <c r="JRP1688" s="1740"/>
      <c r="JRQ1688" s="1740"/>
      <c r="JRR1688" s="1740"/>
      <c r="JRS1688" s="1740"/>
      <c r="JRT1688" s="1740"/>
      <c r="JRU1688" s="1740"/>
      <c r="JRV1688" s="1740"/>
      <c r="JRW1688" s="1740"/>
      <c r="JRX1688" s="1740"/>
      <c r="JRY1688" s="1740"/>
      <c r="JRZ1688" s="1740"/>
      <c r="JSA1688" s="1740"/>
      <c r="JSB1688" s="1740"/>
      <c r="JSC1688" s="1740"/>
      <c r="JSD1688" s="1740"/>
      <c r="JSE1688" s="1740"/>
      <c r="JSF1688" s="1740"/>
      <c r="JSG1688" s="1740"/>
      <c r="JSH1688" s="1740"/>
      <c r="JSI1688" s="1740"/>
      <c r="JSJ1688" s="1740"/>
      <c r="JSK1688" s="1740"/>
      <c r="JSL1688" s="1740"/>
      <c r="JSM1688" s="1740"/>
      <c r="JSN1688" s="1740"/>
      <c r="JSO1688" s="1740"/>
      <c r="JSP1688" s="1740"/>
      <c r="JSQ1688" s="1740"/>
      <c r="JSR1688" s="1740"/>
      <c r="JSS1688" s="1740"/>
      <c r="JST1688" s="1740"/>
      <c r="JSU1688" s="1740"/>
      <c r="JSV1688" s="1740"/>
      <c r="JSW1688" s="1740"/>
      <c r="JSX1688" s="1740"/>
      <c r="JSY1688" s="1740"/>
      <c r="JSZ1688" s="1740"/>
      <c r="JTA1688" s="1740"/>
      <c r="JTB1688" s="1740"/>
      <c r="JTC1688" s="1740"/>
      <c r="JTD1688" s="1740"/>
      <c r="JTE1688" s="1740"/>
      <c r="JTF1688" s="1740"/>
      <c r="JTG1688" s="1740"/>
      <c r="JTH1688" s="1740"/>
      <c r="JTI1688" s="1740"/>
      <c r="JTJ1688" s="1740"/>
      <c r="JTK1688" s="1740"/>
      <c r="JTL1688" s="1740"/>
      <c r="JTM1688" s="1740"/>
      <c r="JTN1688" s="1740"/>
      <c r="JTO1688" s="1740"/>
      <c r="JTP1688" s="1740"/>
      <c r="JTQ1688" s="1740"/>
      <c r="JTR1688" s="1740"/>
      <c r="JTS1688" s="1740"/>
      <c r="JTT1688" s="1740"/>
      <c r="JTU1688" s="1740"/>
      <c r="JTV1688" s="1740"/>
      <c r="JTW1688" s="1740"/>
      <c r="JTX1688" s="1740"/>
      <c r="JTY1688" s="1740"/>
      <c r="JTZ1688" s="1740"/>
      <c r="JUA1688" s="1740"/>
      <c r="JUB1688" s="1740"/>
      <c r="JUC1688" s="1740"/>
      <c r="JUD1688" s="1740"/>
      <c r="JUE1688" s="1740"/>
      <c r="JUF1688" s="1740"/>
      <c r="JUG1688" s="1740"/>
      <c r="JUH1688" s="1740"/>
      <c r="JUI1688" s="1740"/>
      <c r="JUJ1688" s="1740"/>
      <c r="JUK1688" s="1740"/>
      <c r="JUL1688" s="1740"/>
      <c r="JUM1688" s="1740"/>
      <c r="JUN1688" s="1740"/>
      <c r="JUO1688" s="1740"/>
      <c r="JUP1688" s="1740"/>
      <c r="JUQ1688" s="1740"/>
      <c r="JUR1688" s="1740"/>
      <c r="JUS1688" s="1740"/>
      <c r="JUT1688" s="1740"/>
      <c r="JUU1688" s="1740"/>
      <c r="JUV1688" s="1740"/>
      <c r="JUW1688" s="1740"/>
      <c r="JUX1688" s="1740"/>
      <c r="JUY1688" s="1740"/>
      <c r="JUZ1688" s="1740"/>
      <c r="JVA1688" s="1740"/>
      <c r="JVB1688" s="1740"/>
      <c r="JVC1688" s="1740"/>
      <c r="JVD1688" s="1740"/>
      <c r="JVE1688" s="1740"/>
      <c r="JVF1688" s="1740"/>
      <c r="JVG1688" s="1740"/>
      <c r="JVH1688" s="1740"/>
      <c r="JVI1688" s="1740"/>
      <c r="JVJ1688" s="1740"/>
      <c r="JVK1688" s="1740"/>
      <c r="JVL1688" s="1740"/>
      <c r="JVM1688" s="1740"/>
      <c r="JVN1688" s="1740"/>
      <c r="JVO1688" s="1740"/>
      <c r="JVP1688" s="1740"/>
      <c r="JVQ1688" s="1740"/>
      <c r="JVR1688" s="1740"/>
      <c r="JVS1688" s="1740"/>
      <c r="JVT1688" s="1740"/>
      <c r="JVU1688" s="1740"/>
      <c r="JVV1688" s="1740"/>
      <c r="JVW1688" s="1740"/>
      <c r="JVX1688" s="1740"/>
      <c r="JVY1688" s="1740"/>
      <c r="JVZ1688" s="1740"/>
      <c r="JWA1688" s="1740"/>
      <c r="JWB1688" s="1740"/>
      <c r="JWC1688" s="1740"/>
      <c r="JWD1688" s="1740"/>
      <c r="JWE1688" s="1740"/>
      <c r="JWF1688" s="1740"/>
      <c r="JWG1688" s="1740"/>
      <c r="JWH1688" s="1740"/>
      <c r="JWI1688" s="1740"/>
      <c r="JWJ1688" s="1740"/>
      <c r="JWK1688" s="1740"/>
      <c r="JWL1688" s="1740"/>
      <c r="JWM1688" s="1740"/>
      <c r="JWN1688" s="1740"/>
      <c r="JWO1688" s="1740"/>
      <c r="JWP1688" s="1740"/>
      <c r="JWQ1688" s="1740"/>
      <c r="JWR1688" s="1740"/>
      <c r="JWS1688" s="1740"/>
      <c r="JWT1688" s="1740"/>
      <c r="JWU1688" s="1740"/>
      <c r="JWV1688" s="1740"/>
      <c r="JWW1688" s="1740"/>
      <c r="JWX1688" s="1740"/>
      <c r="JWY1688" s="1740"/>
      <c r="JWZ1688" s="1740"/>
      <c r="JXA1688" s="1740"/>
      <c r="JXB1688" s="1740"/>
      <c r="JXC1688" s="1740"/>
      <c r="JXD1688" s="1740"/>
      <c r="JXE1688" s="1740"/>
      <c r="JXF1688" s="1740"/>
      <c r="JXG1688" s="1740"/>
      <c r="JXH1688" s="1740"/>
      <c r="JXI1688" s="1740"/>
      <c r="JXJ1688" s="1740"/>
      <c r="JXK1688" s="1740"/>
      <c r="JXL1688" s="1740"/>
      <c r="JXM1688" s="1740"/>
      <c r="JXN1688" s="1740"/>
      <c r="JXO1688" s="1740"/>
      <c r="JXP1688" s="1740"/>
      <c r="JXQ1688" s="1740"/>
      <c r="JXR1688" s="1740"/>
      <c r="JXS1688" s="1740"/>
      <c r="JXT1688" s="1740"/>
      <c r="JXU1688" s="1740"/>
      <c r="JXV1688" s="1740"/>
      <c r="JXW1688" s="1740"/>
      <c r="JXX1688" s="1740"/>
      <c r="JXY1688" s="1740"/>
      <c r="JXZ1688" s="1740"/>
      <c r="JYA1688" s="1740"/>
      <c r="JYB1688" s="1740"/>
      <c r="JYC1688" s="1740"/>
      <c r="JYD1688" s="1740"/>
      <c r="JYE1688" s="1740"/>
      <c r="JYF1688" s="1740"/>
      <c r="JYG1688" s="1740"/>
      <c r="JYH1688" s="1740"/>
      <c r="JYI1688" s="1740"/>
      <c r="JYJ1688" s="1740"/>
      <c r="JYK1688" s="1740"/>
      <c r="JYL1688" s="1740"/>
      <c r="JYM1688" s="1740"/>
      <c r="JYN1688" s="1740"/>
      <c r="JYO1688" s="1740"/>
      <c r="JYP1688" s="1740"/>
      <c r="JYQ1688" s="1740"/>
      <c r="JYR1688" s="1740"/>
      <c r="JYS1688" s="1740"/>
      <c r="JYT1688" s="1740"/>
      <c r="JYU1688" s="1740"/>
      <c r="JYV1688" s="1740"/>
      <c r="JYW1688" s="1740"/>
      <c r="JYX1688" s="1740"/>
      <c r="JYY1688" s="1740"/>
      <c r="JYZ1688" s="1740"/>
      <c r="JZA1688" s="1740"/>
      <c r="JZB1688" s="1740"/>
      <c r="JZC1688" s="1740"/>
      <c r="JZD1688" s="1740"/>
      <c r="JZE1688" s="1740"/>
      <c r="JZF1688" s="1740"/>
      <c r="JZG1688" s="1740"/>
      <c r="JZH1688" s="1740"/>
      <c r="JZI1688" s="1740"/>
      <c r="JZJ1688" s="1740"/>
      <c r="JZK1688" s="1740"/>
      <c r="JZL1688" s="1740"/>
      <c r="JZM1688" s="1740"/>
      <c r="JZN1688" s="1740"/>
      <c r="JZO1688" s="1740"/>
      <c r="JZP1688" s="1740"/>
      <c r="JZQ1688" s="1740"/>
      <c r="JZR1688" s="1740"/>
      <c r="JZS1688" s="1740"/>
      <c r="JZT1688" s="1740"/>
      <c r="JZU1688" s="1740"/>
      <c r="JZV1688" s="1740"/>
      <c r="JZW1688" s="1740"/>
      <c r="JZX1688" s="1740"/>
      <c r="JZY1688" s="1740"/>
      <c r="JZZ1688" s="1740"/>
      <c r="KAA1688" s="1740"/>
      <c r="KAB1688" s="1740"/>
      <c r="KAC1688" s="1740"/>
      <c r="KAD1688" s="1740"/>
      <c r="KAE1688" s="1740"/>
      <c r="KAF1688" s="1740"/>
      <c r="KAG1688" s="1740"/>
      <c r="KAH1688" s="1740"/>
      <c r="KAI1688" s="1740"/>
      <c r="KAJ1688" s="1740"/>
      <c r="KAK1688" s="1740"/>
      <c r="KAL1688" s="1740"/>
      <c r="KAM1688" s="1740"/>
      <c r="KAN1688" s="1740"/>
      <c r="KAO1688" s="1740"/>
      <c r="KAP1688" s="1740"/>
      <c r="KAQ1688" s="1740"/>
      <c r="KAR1688" s="1740"/>
      <c r="KAS1688" s="1740"/>
      <c r="KAT1688" s="1740"/>
      <c r="KAU1688" s="1740"/>
      <c r="KAV1688" s="1740"/>
      <c r="KAW1688" s="1740"/>
      <c r="KAX1688" s="1740"/>
      <c r="KAY1688" s="1740"/>
      <c r="KAZ1688" s="1740"/>
      <c r="KBA1688" s="1740"/>
      <c r="KBB1688" s="1740"/>
      <c r="KBC1688" s="1740"/>
      <c r="KBD1688" s="1740"/>
      <c r="KBE1688" s="1740"/>
      <c r="KBF1688" s="1740"/>
      <c r="KBG1688" s="1740"/>
      <c r="KBH1688" s="1740"/>
      <c r="KBI1688" s="1740"/>
      <c r="KBJ1688" s="1740"/>
      <c r="KBK1688" s="1740"/>
      <c r="KBL1688" s="1740"/>
      <c r="KBM1688" s="1740"/>
      <c r="KBN1688" s="1740"/>
      <c r="KBO1688" s="1740"/>
      <c r="KBP1688" s="1740"/>
      <c r="KBQ1688" s="1740"/>
      <c r="KBR1688" s="1740"/>
      <c r="KBS1688" s="1740"/>
      <c r="KBT1688" s="1740"/>
      <c r="KBU1688" s="1740"/>
      <c r="KBV1688" s="1740"/>
      <c r="KBW1688" s="1740"/>
      <c r="KBX1688" s="1740"/>
      <c r="KBY1688" s="1740"/>
      <c r="KBZ1688" s="1740"/>
      <c r="KCA1688" s="1740"/>
      <c r="KCB1688" s="1740"/>
      <c r="KCC1688" s="1740"/>
      <c r="KCD1688" s="1740"/>
      <c r="KCE1688" s="1740"/>
      <c r="KCF1688" s="1740"/>
      <c r="KCG1688" s="1740"/>
      <c r="KCH1688" s="1740"/>
      <c r="KCI1688" s="1740"/>
      <c r="KCJ1688" s="1740"/>
      <c r="KCK1688" s="1740"/>
      <c r="KCL1688" s="1740"/>
      <c r="KCM1688" s="1740"/>
      <c r="KCN1688" s="1740"/>
      <c r="KCO1688" s="1740"/>
      <c r="KCP1688" s="1740"/>
      <c r="KCQ1688" s="1740"/>
      <c r="KCR1688" s="1740"/>
      <c r="KCS1688" s="1740"/>
      <c r="KCT1688" s="1740"/>
      <c r="KCU1688" s="1740"/>
      <c r="KCV1688" s="1740"/>
      <c r="KCW1688" s="1740"/>
      <c r="KCX1688" s="1740"/>
      <c r="KCY1688" s="1740"/>
      <c r="KCZ1688" s="1740"/>
      <c r="KDA1688" s="1740"/>
      <c r="KDB1688" s="1740"/>
      <c r="KDC1688" s="1740"/>
      <c r="KDD1688" s="1740"/>
      <c r="KDE1688" s="1740"/>
      <c r="KDF1688" s="1740"/>
      <c r="KDG1688" s="1740"/>
      <c r="KDH1688" s="1740"/>
      <c r="KDI1688" s="1740"/>
      <c r="KDJ1688" s="1740"/>
      <c r="KDK1688" s="1740"/>
      <c r="KDL1688" s="1740"/>
      <c r="KDM1688" s="1740"/>
      <c r="KDN1688" s="1740"/>
      <c r="KDO1688" s="1740"/>
      <c r="KDP1688" s="1740"/>
      <c r="KDQ1688" s="1740"/>
      <c r="KDR1688" s="1740"/>
      <c r="KDS1688" s="1740"/>
      <c r="KDT1688" s="1740"/>
      <c r="KDU1688" s="1740"/>
      <c r="KDV1688" s="1740"/>
      <c r="KDW1688" s="1740"/>
      <c r="KDX1688" s="1740"/>
      <c r="KDY1688" s="1740"/>
      <c r="KDZ1688" s="1740"/>
      <c r="KEA1688" s="1740"/>
      <c r="KEB1688" s="1740"/>
      <c r="KEC1688" s="1740"/>
      <c r="KED1688" s="1740"/>
      <c r="KEE1688" s="1740"/>
      <c r="KEF1688" s="1740"/>
      <c r="KEG1688" s="1740"/>
      <c r="KEH1688" s="1740"/>
      <c r="KEI1688" s="1740"/>
      <c r="KEJ1688" s="1740"/>
      <c r="KEK1688" s="1740"/>
      <c r="KEL1688" s="1740"/>
      <c r="KEM1688" s="1740"/>
      <c r="KEN1688" s="1740"/>
      <c r="KEO1688" s="1740"/>
      <c r="KEP1688" s="1740"/>
      <c r="KEQ1688" s="1740"/>
      <c r="KER1688" s="1740"/>
      <c r="KES1688" s="1740"/>
      <c r="KET1688" s="1740"/>
      <c r="KEU1688" s="1740"/>
      <c r="KEV1688" s="1740"/>
      <c r="KEW1688" s="1740"/>
      <c r="KEX1688" s="1740"/>
      <c r="KEY1688" s="1740"/>
      <c r="KEZ1688" s="1740"/>
      <c r="KFA1688" s="1740"/>
      <c r="KFB1688" s="1740"/>
      <c r="KFC1688" s="1740"/>
      <c r="KFD1688" s="1740"/>
      <c r="KFE1688" s="1740"/>
      <c r="KFF1688" s="1740"/>
      <c r="KFG1688" s="1740"/>
      <c r="KFH1688" s="1740"/>
      <c r="KFI1688" s="1740"/>
      <c r="KFJ1688" s="1740"/>
      <c r="KFK1688" s="1740"/>
      <c r="KFL1688" s="1740"/>
      <c r="KFM1688" s="1740"/>
      <c r="KFN1688" s="1740"/>
      <c r="KFO1688" s="1740"/>
      <c r="KFP1688" s="1740"/>
      <c r="KFQ1688" s="1740"/>
      <c r="KFR1688" s="1740"/>
      <c r="KFS1688" s="1740"/>
      <c r="KFT1688" s="1740"/>
      <c r="KFU1688" s="1740"/>
      <c r="KFV1688" s="1740"/>
      <c r="KFW1688" s="1740"/>
      <c r="KFX1688" s="1740"/>
      <c r="KFY1688" s="1740"/>
      <c r="KFZ1688" s="1740"/>
      <c r="KGA1688" s="1740"/>
      <c r="KGB1688" s="1740"/>
      <c r="KGC1688" s="1740"/>
      <c r="KGD1688" s="1740"/>
      <c r="KGE1688" s="1740"/>
      <c r="KGF1688" s="1740"/>
      <c r="KGG1688" s="1740"/>
      <c r="KGH1688" s="1740"/>
      <c r="KGI1688" s="1740"/>
      <c r="KGJ1688" s="1740"/>
      <c r="KGK1688" s="1740"/>
      <c r="KGL1688" s="1740"/>
      <c r="KGM1688" s="1740"/>
      <c r="KGN1688" s="1740"/>
      <c r="KGO1688" s="1740"/>
      <c r="KGP1688" s="1740"/>
      <c r="KGQ1688" s="1740"/>
      <c r="KGR1688" s="1740"/>
      <c r="KGS1688" s="1740"/>
      <c r="KGT1688" s="1740"/>
      <c r="KGU1688" s="1740"/>
      <c r="KGV1688" s="1740"/>
      <c r="KGW1688" s="1740"/>
      <c r="KGX1688" s="1740"/>
      <c r="KGY1688" s="1740"/>
      <c r="KGZ1688" s="1740"/>
      <c r="KHA1688" s="1740"/>
      <c r="KHB1688" s="1740"/>
      <c r="KHC1688" s="1740"/>
      <c r="KHD1688" s="1740"/>
      <c r="KHE1688" s="1740"/>
      <c r="KHF1688" s="1740"/>
      <c r="KHG1688" s="1740"/>
      <c r="KHH1688" s="1740"/>
      <c r="KHI1688" s="1740"/>
      <c r="KHJ1688" s="1740"/>
      <c r="KHK1688" s="1740"/>
      <c r="KHL1688" s="1740"/>
      <c r="KHM1688" s="1740"/>
      <c r="KHN1688" s="1740"/>
      <c r="KHO1688" s="1740"/>
      <c r="KHP1688" s="1740"/>
      <c r="KHQ1688" s="1740"/>
      <c r="KHR1688" s="1740"/>
      <c r="KHS1688" s="1740"/>
      <c r="KHT1688" s="1740"/>
      <c r="KHU1688" s="1740"/>
      <c r="KHV1688" s="1740"/>
      <c r="KHW1688" s="1740"/>
      <c r="KHX1688" s="1740"/>
      <c r="KHY1688" s="1740"/>
      <c r="KHZ1688" s="1740"/>
      <c r="KIA1688" s="1740"/>
      <c r="KIB1688" s="1740"/>
      <c r="KIC1688" s="1740"/>
      <c r="KID1688" s="1740"/>
      <c r="KIE1688" s="1740"/>
      <c r="KIF1688" s="1740"/>
      <c r="KIG1688" s="1740"/>
      <c r="KIH1688" s="1740"/>
      <c r="KII1688" s="1740"/>
      <c r="KIJ1688" s="1740"/>
      <c r="KIK1688" s="1740"/>
      <c r="KIL1688" s="1740"/>
      <c r="KIM1688" s="1740"/>
      <c r="KIN1688" s="1740"/>
      <c r="KIO1688" s="1740"/>
      <c r="KIP1688" s="1740"/>
      <c r="KIQ1688" s="1740"/>
      <c r="KIR1688" s="1740"/>
      <c r="KIS1688" s="1740"/>
      <c r="KIT1688" s="1740"/>
      <c r="KIU1688" s="1740"/>
      <c r="KIV1688" s="1740"/>
      <c r="KIW1688" s="1740"/>
      <c r="KIX1688" s="1740"/>
      <c r="KIY1688" s="1740"/>
      <c r="KIZ1688" s="1740"/>
      <c r="KJA1688" s="1740"/>
      <c r="KJB1688" s="1740"/>
      <c r="KJC1688" s="1740"/>
      <c r="KJD1688" s="1740"/>
      <c r="KJE1688" s="1740"/>
      <c r="KJF1688" s="1740"/>
      <c r="KJG1688" s="1740"/>
      <c r="KJH1688" s="1740"/>
      <c r="KJI1688" s="1740"/>
      <c r="KJJ1688" s="1740"/>
      <c r="KJK1688" s="1740"/>
      <c r="KJL1688" s="1740"/>
      <c r="KJM1688" s="1740"/>
      <c r="KJN1688" s="1740"/>
      <c r="KJO1688" s="1740"/>
      <c r="KJP1688" s="1740"/>
      <c r="KJQ1688" s="1740"/>
      <c r="KJR1688" s="1740"/>
      <c r="KJS1688" s="1740"/>
      <c r="KJT1688" s="1740"/>
      <c r="KJU1688" s="1740"/>
      <c r="KJV1688" s="1740"/>
      <c r="KJW1688" s="1740"/>
      <c r="KJX1688" s="1740"/>
      <c r="KJY1688" s="1740"/>
      <c r="KJZ1688" s="1740"/>
      <c r="KKA1688" s="1740"/>
      <c r="KKB1688" s="1740"/>
      <c r="KKC1688" s="1740"/>
      <c r="KKD1688" s="1740"/>
      <c r="KKE1688" s="1740"/>
      <c r="KKF1688" s="1740"/>
      <c r="KKG1688" s="1740"/>
      <c r="KKH1688" s="1740"/>
      <c r="KKI1688" s="1740"/>
      <c r="KKJ1688" s="1740"/>
      <c r="KKK1688" s="1740"/>
      <c r="KKL1688" s="1740"/>
      <c r="KKM1688" s="1740"/>
      <c r="KKN1688" s="1740"/>
      <c r="KKO1688" s="1740"/>
      <c r="KKP1688" s="1740"/>
      <c r="KKQ1688" s="1740"/>
      <c r="KKR1688" s="1740"/>
      <c r="KKS1688" s="1740"/>
      <c r="KKT1688" s="1740"/>
      <c r="KKU1688" s="1740"/>
      <c r="KKV1688" s="1740"/>
      <c r="KKW1688" s="1740"/>
      <c r="KKX1688" s="1740"/>
      <c r="KKY1688" s="1740"/>
      <c r="KKZ1688" s="1740"/>
      <c r="KLA1688" s="1740"/>
      <c r="KLB1688" s="1740"/>
      <c r="KLC1688" s="1740"/>
      <c r="KLD1688" s="1740"/>
      <c r="KLE1688" s="1740"/>
      <c r="KLF1688" s="1740"/>
      <c r="KLG1688" s="1740"/>
      <c r="KLH1688" s="1740"/>
      <c r="KLI1688" s="1740"/>
      <c r="KLJ1688" s="1740"/>
      <c r="KLK1688" s="1740"/>
      <c r="KLL1688" s="1740"/>
      <c r="KLM1688" s="1740"/>
      <c r="KLN1688" s="1740"/>
      <c r="KLO1688" s="1740"/>
      <c r="KLP1688" s="1740"/>
      <c r="KLQ1688" s="1740"/>
      <c r="KLR1688" s="1740"/>
      <c r="KLS1688" s="1740"/>
      <c r="KLT1688" s="1740"/>
      <c r="KLU1688" s="1740"/>
      <c r="KLV1688" s="1740"/>
      <c r="KLW1688" s="1740"/>
      <c r="KLX1688" s="1740"/>
      <c r="KLY1688" s="1740"/>
      <c r="KLZ1688" s="1740"/>
      <c r="KMA1688" s="1740"/>
      <c r="KMB1688" s="1740"/>
      <c r="KMC1688" s="1740"/>
      <c r="KMD1688" s="1740"/>
      <c r="KME1688" s="1740"/>
      <c r="KMF1688" s="1740"/>
      <c r="KMG1688" s="1740"/>
      <c r="KMH1688" s="1740"/>
      <c r="KMI1688" s="1740"/>
      <c r="KMJ1688" s="1740"/>
      <c r="KMK1688" s="1740"/>
      <c r="KML1688" s="1740"/>
      <c r="KMM1688" s="1740"/>
      <c r="KMN1688" s="1740"/>
      <c r="KMO1688" s="1740"/>
      <c r="KMP1688" s="1740"/>
      <c r="KMQ1688" s="1740"/>
      <c r="KMR1688" s="1740"/>
      <c r="KMS1688" s="1740"/>
      <c r="KMT1688" s="1740"/>
      <c r="KMU1688" s="1740"/>
      <c r="KMV1688" s="1740"/>
      <c r="KMW1688" s="1740"/>
      <c r="KMX1688" s="1740"/>
      <c r="KMY1688" s="1740"/>
      <c r="KMZ1688" s="1740"/>
      <c r="KNA1688" s="1740"/>
      <c r="KNB1688" s="1740"/>
      <c r="KNC1688" s="1740"/>
      <c r="KND1688" s="1740"/>
      <c r="KNE1688" s="1740"/>
      <c r="KNF1688" s="1740"/>
      <c r="KNG1688" s="1740"/>
      <c r="KNH1688" s="1740"/>
      <c r="KNI1688" s="1740"/>
      <c r="KNJ1688" s="1740"/>
      <c r="KNK1688" s="1740"/>
      <c r="KNL1688" s="1740"/>
      <c r="KNM1688" s="1740"/>
      <c r="KNN1688" s="1740"/>
      <c r="KNO1688" s="1740"/>
      <c r="KNP1688" s="1740"/>
      <c r="KNQ1688" s="1740"/>
      <c r="KNR1688" s="1740"/>
      <c r="KNS1688" s="1740"/>
      <c r="KNT1688" s="1740"/>
      <c r="KNU1688" s="1740"/>
      <c r="KNV1688" s="1740"/>
      <c r="KNW1688" s="1740"/>
      <c r="KNX1688" s="1740"/>
      <c r="KNY1688" s="1740"/>
      <c r="KNZ1688" s="1740"/>
      <c r="KOA1688" s="1740"/>
      <c r="KOB1688" s="1740"/>
      <c r="KOC1688" s="1740"/>
      <c r="KOD1688" s="1740"/>
      <c r="KOE1688" s="1740"/>
      <c r="KOF1688" s="1740"/>
      <c r="KOG1688" s="1740"/>
      <c r="KOH1688" s="1740"/>
      <c r="KOI1688" s="1740"/>
      <c r="KOJ1688" s="1740"/>
      <c r="KOK1688" s="1740"/>
      <c r="KOL1688" s="1740"/>
      <c r="KOM1688" s="1740"/>
      <c r="KON1688" s="1740"/>
      <c r="KOO1688" s="1740"/>
      <c r="KOP1688" s="1740"/>
      <c r="KOQ1688" s="1740"/>
      <c r="KOR1688" s="1740"/>
      <c r="KOS1688" s="1740"/>
      <c r="KOT1688" s="1740"/>
      <c r="KOU1688" s="1740"/>
      <c r="KOV1688" s="1740"/>
      <c r="KOW1688" s="1740"/>
      <c r="KOX1688" s="1740"/>
      <c r="KOY1688" s="1740"/>
      <c r="KOZ1688" s="1740"/>
      <c r="KPA1688" s="1740"/>
      <c r="KPB1688" s="1740"/>
      <c r="KPC1688" s="1740"/>
      <c r="KPD1688" s="1740"/>
      <c r="KPE1688" s="1740"/>
      <c r="KPF1688" s="1740"/>
      <c r="KPG1688" s="1740"/>
      <c r="KPH1688" s="1740"/>
      <c r="KPI1688" s="1740"/>
      <c r="KPJ1688" s="1740"/>
      <c r="KPK1688" s="1740"/>
      <c r="KPL1688" s="1740"/>
      <c r="KPM1688" s="1740"/>
      <c r="KPN1688" s="1740"/>
      <c r="KPO1688" s="1740"/>
      <c r="KPP1688" s="1740"/>
      <c r="KPQ1688" s="1740"/>
      <c r="KPR1688" s="1740"/>
      <c r="KPS1688" s="1740"/>
      <c r="KPT1688" s="1740"/>
      <c r="KPU1688" s="1740"/>
      <c r="KPV1688" s="1740"/>
      <c r="KPW1688" s="1740"/>
      <c r="KPX1688" s="1740"/>
      <c r="KPY1688" s="1740"/>
      <c r="KPZ1688" s="1740"/>
      <c r="KQA1688" s="1740"/>
      <c r="KQB1688" s="1740"/>
      <c r="KQC1688" s="1740"/>
      <c r="KQD1688" s="1740"/>
      <c r="KQE1688" s="1740"/>
      <c r="KQF1688" s="1740"/>
      <c r="KQG1688" s="1740"/>
      <c r="KQH1688" s="1740"/>
      <c r="KQI1688" s="1740"/>
      <c r="KQJ1688" s="1740"/>
      <c r="KQK1688" s="1740"/>
      <c r="KQL1688" s="1740"/>
      <c r="KQM1688" s="1740"/>
      <c r="KQN1688" s="1740"/>
      <c r="KQO1688" s="1740"/>
      <c r="KQP1688" s="1740"/>
      <c r="KQQ1688" s="1740"/>
      <c r="KQR1688" s="1740"/>
      <c r="KQS1688" s="1740"/>
      <c r="KQT1688" s="1740"/>
      <c r="KQU1688" s="1740"/>
      <c r="KQV1688" s="1740"/>
      <c r="KQW1688" s="1740"/>
      <c r="KQX1688" s="1740"/>
      <c r="KQY1688" s="1740"/>
      <c r="KQZ1688" s="1740"/>
      <c r="KRA1688" s="1740"/>
      <c r="KRB1688" s="1740"/>
      <c r="KRC1688" s="1740"/>
      <c r="KRD1688" s="1740"/>
      <c r="KRE1688" s="1740"/>
      <c r="KRF1688" s="1740"/>
      <c r="KRG1688" s="1740"/>
      <c r="KRH1688" s="1740"/>
      <c r="KRI1688" s="1740"/>
      <c r="KRJ1688" s="1740"/>
      <c r="KRK1688" s="1740"/>
      <c r="KRL1688" s="1740"/>
      <c r="KRM1688" s="1740"/>
      <c r="KRN1688" s="1740"/>
      <c r="KRO1688" s="1740"/>
      <c r="KRP1688" s="1740"/>
      <c r="KRQ1688" s="1740"/>
      <c r="KRR1688" s="1740"/>
      <c r="KRS1688" s="1740"/>
      <c r="KRT1688" s="1740"/>
      <c r="KRU1688" s="1740"/>
      <c r="KRV1688" s="1740"/>
      <c r="KRW1688" s="1740"/>
      <c r="KRX1688" s="1740"/>
      <c r="KRY1688" s="1740"/>
      <c r="KRZ1688" s="1740"/>
      <c r="KSA1688" s="1740"/>
      <c r="KSB1688" s="1740"/>
      <c r="KSC1688" s="1740"/>
      <c r="KSD1688" s="1740"/>
      <c r="KSE1688" s="1740"/>
      <c r="KSF1688" s="1740"/>
      <c r="KSG1688" s="1740"/>
      <c r="KSH1688" s="1740"/>
      <c r="KSI1688" s="1740"/>
      <c r="KSJ1688" s="1740"/>
      <c r="KSK1688" s="1740"/>
      <c r="KSL1688" s="1740"/>
      <c r="KSM1688" s="1740"/>
      <c r="KSN1688" s="1740"/>
      <c r="KSO1688" s="1740"/>
      <c r="KSP1688" s="1740"/>
      <c r="KSQ1688" s="1740"/>
      <c r="KSR1688" s="1740"/>
      <c r="KSS1688" s="1740"/>
      <c r="KST1688" s="1740"/>
      <c r="KSU1688" s="1740"/>
      <c r="KSV1688" s="1740"/>
      <c r="KSW1688" s="1740"/>
      <c r="KSX1688" s="1740"/>
      <c r="KSY1688" s="1740"/>
      <c r="KSZ1688" s="1740"/>
      <c r="KTA1688" s="1740"/>
      <c r="KTB1688" s="1740"/>
      <c r="KTC1688" s="1740"/>
      <c r="KTD1688" s="1740"/>
      <c r="KTE1688" s="1740"/>
      <c r="KTF1688" s="1740"/>
      <c r="KTG1688" s="1740"/>
      <c r="KTH1688" s="1740"/>
      <c r="KTI1688" s="1740"/>
      <c r="KTJ1688" s="1740"/>
      <c r="KTK1688" s="1740"/>
      <c r="KTL1688" s="1740"/>
      <c r="KTM1688" s="1740"/>
      <c r="KTN1688" s="1740"/>
      <c r="KTO1688" s="1740"/>
      <c r="KTP1688" s="1740"/>
      <c r="KTQ1688" s="1740"/>
      <c r="KTR1688" s="1740"/>
      <c r="KTS1688" s="1740"/>
      <c r="KTT1688" s="1740"/>
      <c r="KTU1688" s="1740"/>
      <c r="KTV1688" s="1740"/>
      <c r="KTW1688" s="1740"/>
      <c r="KTX1688" s="1740"/>
      <c r="KTY1688" s="1740"/>
      <c r="KTZ1688" s="1740"/>
      <c r="KUA1688" s="1740"/>
      <c r="KUB1688" s="1740"/>
      <c r="KUC1688" s="1740"/>
      <c r="KUD1688" s="1740"/>
      <c r="KUE1688" s="1740"/>
      <c r="KUF1688" s="1740"/>
      <c r="KUG1688" s="1740"/>
      <c r="KUH1688" s="1740"/>
      <c r="KUI1688" s="1740"/>
      <c r="KUJ1688" s="1740"/>
      <c r="KUK1688" s="1740"/>
      <c r="KUL1688" s="1740"/>
      <c r="KUM1688" s="1740"/>
      <c r="KUN1688" s="1740"/>
      <c r="KUO1688" s="1740"/>
      <c r="KUP1688" s="1740"/>
      <c r="KUQ1688" s="1740"/>
      <c r="KUR1688" s="1740"/>
      <c r="KUS1688" s="1740"/>
      <c r="KUT1688" s="1740"/>
      <c r="KUU1688" s="1740"/>
      <c r="KUV1688" s="1740"/>
      <c r="KUW1688" s="1740"/>
      <c r="KUX1688" s="1740"/>
      <c r="KUY1688" s="1740"/>
      <c r="KUZ1688" s="1740"/>
      <c r="KVA1688" s="1740"/>
      <c r="KVB1688" s="1740"/>
      <c r="KVC1688" s="1740"/>
      <c r="KVD1688" s="1740"/>
      <c r="KVE1688" s="1740"/>
      <c r="KVF1688" s="1740"/>
      <c r="KVG1688" s="1740"/>
      <c r="KVH1688" s="1740"/>
      <c r="KVI1688" s="1740"/>
      <c r="KVJ1688" s="1740"/>
      <c r="KVK1688" s="1740"/>
      <c r="KVL1688" s="1740"/>
      <c r="KVM1688" s="1740"/>
      <c r="KVN1688" s="1740"/>
      <c r="KVO1688" s="1740"/>
      <c r="KVP1688" s="1740"/>
      <c r="KVQ1688" s="1740"/>
      <c r="KVR1688" s="1740"/>
      <c r="KVS1688" s="1740"/>
      <c r="KVT1688" s="1740"/>
      <c r="KVU1688" s="1740"/>
      <c r="KVV1688" s="1740"/>
      <c r="KVW1688" s="1740"/>
      <c r="KVX1688" s="1740"/>
      <c r="KVY1688" s="1740"/>
      <c r="KVZ1688" s="1740"/>
      <c r="KWA1688" s="1740"/>
      <c r="KWB1688" s="1740"/>
      <c r="KWC1688" s="1740"/>
      <c r="KWD1688" s="1740"/>
      <c r="KWE1688" s="1740"/>
      <c r="KWF1688" s="1740"/>
      <c r="KWG1688" s="1740"/>
      <c r="KWH1688" s="1740"/>
      <c r="KWI1688" s="1740"/>
      <c r="KWJ1688" s="1740"/>
      <c r="KWK1688" s="1740"/>
      <c r="KWL1688" s="1740"/>
      <c r="KWM1688" s="1740"/>
      <c r="KWN1688" s="1740"/>
      <c r="KWO1688" s="1740"/>
      <c r="KWP1688" s="1740"/>
      <c r="KWQ1688" s="1740"/>
      <c r="KWR1688" s="1740"/>
      <c r="KWS1688" s="1740"/>
      <c r="KWT1688" s="1740"/>
      <c r="KWU1688" s="1740"/>
      <c r="KWV1688" s="1740"/>
      <c r="KWW1688" s="1740"/>
      <c r="KWX1688" s="1740"/>
      <c r="KWY1688" s="1740"/>
      <c r="KWZ1688" s="1740"/>
      <c r="KXA1688" s="1740"/>
      <c r="KXB1688" s="1740"/>
      <c r="KXC1688" s="1740"/>
      <c r="KXD1688" s="1740"/>
      <c r="KXE1688" s="1740"/>
      <c r="KXF1688" s="1740"/>
      <c r="KXG1688" s="1740"/>
      <c r="KXH1688" s="1740"/>
      <c r="KXI1688" s="1740"/>
      <c r="KXJ1688" s="1740"/>
      <c r="KXK1688" s="1740"/>
      <c r="KXL1688" s="1740"/>
      <c r="KXM1688" s="1740"/>
      <c r="KXN1688" s="1740"/>
      <c r="KXO1688" s="1740"/>
      <c r="KXP1688" s="1740"/>
      <c r="KXQ1688" s="1740"/>
      <c r="KXR1688" s="1740"/>
      <c r="KXS1688" s="1740"/>
      <c r="KXT1688" s="1740"/>
      <c r="KXU1688" s="1740"/>
      <c r="KXV1688" s="1740"/>
      <c r="KXW1688" s="1740"/>
      <c r="KXX1688" s="1740"/>
      <c r="KXY1688" s="1740"/>
      <c r="KXZ1688" s="1740"/>
      <c r="KYA1688" s="1740"/>
      <c r="KYB1688" s="1740"/>
      <c r="KYC1688" s="1740"/>
      <c r="KYD1688" s="1740"/>
      <c r="KYE1688" s="1740"/>
      <c r="KYF1688" s="1740"/>
      <c r="KYG1688" s="1740"/>
      <c r="KYH1688" s="1740"/>
      <c r="KYI1688" s="1740"/>
      <c r="KYJ1688" s="1740"/>
      <c r="KYK1688" s="1740"/>
      <c r="KYL1688" s="1740"/>
      <c r="KYM1688" s="1740"/>
      <c r="KYN1688" s="1740"/>
      <c r="KYO1688" s="1740"/>
      <c r="KYP1688" s="1740"/>
      <c r="KYQ1688" s="1740"/>
      <c r="KYR1688" s="1740"/>
      <c r="KYS1688" s="1740"/>
      <c r="KYT1688" s="1740"/>
      <c r="KYU1688" s="1740"/>
      <c r="KYV1688" s="1740"/>
      <c r="KYW1688" s="1740"/>
      <c r="KYX1688" s="1740"/>
      <c r="KYY1688" s="1740"/>
      <c r="KYZ1688" s="1740"/>
      <c r="KZA1688" s="1740"/>
      <c r="KZB1688" s="1740"/>
      <c r="KZC1688" s="1740"/>
      <c r="KZD1688" s="1740"/>
      <c r="KZE1688" s="1740"/>
      <c r="KZF1688" s="1740"/>
      <c r="KZG1688" s="1740"/>
      <c r="KZH1688" s="1740"/>
      <c r="KZI1688" s="1740"/>
      <c r="KZJ1688" s="1740"/>
      <c r="KZK1688" s="1740"/>
      <c r="KZL1688" s="1740"/>
      <c r="KZM1688" s="1740"/>
      <c r="KZN1688" s="1740"/>
      <c r="KZO1688" s="1740"/>
      <c r="KZP1688" s="1740"/>
      <c r="KZQ1688" s="1740"/>
      <c r="KZR1688" s="1740"/>
      <c r="KZS1688" s="1740"/>
      <c r="KZT1688" s="1740"/>
      <c r="KZU1688" s="1740"/>
      <c r="KZV1688" s="1740"/>
      <c r="KZW1688" s="1740"/>
      <c r="KZX1688" s="1740"/>
      <c r="KZY1688" s="1740"/>
      <c r="KZZ1688" s="1740"/>
      <c r="LAA1688" s="1740"/>
      <c r="LAB1688" s="1740"/>
      <c r="LAC1688" s="1740"/>
      <c r="LAD1688" s="1740"/>
      <c r="LAE1688" s="1740"/>
      <c r="LAF1688" s="1740"/>
      <c r="LAG1688" s="1740"/>
      <c r="LAH1688" s="1740"/>
      <c r="LAI1688" s="1740"/>
      <c r="LAJ1688" s="1740"/>
      <c r="LAK1688" s="1740"/>
      <c r="LAL1688" s="1740"/>
      <c r="LAM1688" s="1740"/>
      <c r="LAN1688" s="1740"/>
      <c r="LAO1688" s="1740"/>
      <c r="LAP1688" s="1740"/>
      <c r="LAQ1688" s="1740"/>
      <c r="LAR1688" s="1740"/>
      <c r="LAS1688" s="1740"/>
      <c r="LAT1688" s="1740"/>
      <c r="LAU1688" s="1740"/>
      <c r="LAV1688" s="1740"/>
      <c r="LAW1688" s="1740"/>
      <c r="LAX1688" s="1740"/>
      <c r="LAY1688" s="1740"/>
      <c r="LAZ1688" s="1740"/>
      <c r="LBA1688" s="1740"/>
      <c r="LBB1688" s="1740"/>
      <c r="LBC1688" s="1740"/>
      <c r="LBD1688" s="1740"/>
      <c r="LBE1688" s="1740"/>
      <c r="LBF1688" s="1740"/>
      <c r="LBG1688" s="1740"/>
      <c r="LBH1688" s="1740"/>
      <c r="LBI1688" s="1740"/>
      <c r="LBJ1688" s="1740"/>
      <c r="LBK1688" s="1740"/>
      <c r="LBL1688" s="1740"/>
      <c r="LBM1688" s="1740"/>
      <c r="LBN1688" s="1740"/>
      <c r="LBO1688" s="1740"/>
      <c r="LBP1688" s="1740"/>
      <c r="LBQ1688" s="1740"/>
      <c r="LBR1688" s="1740"/>
      <c r="LBS1688" s="1740"/>
      <c r="LBT1688" s="1740"/>
      <c r="LBU1688" s="1740"/>
      <c r="LBV1688" s="1740"/>
      <c r="LBW1688" s="1740"/>
      <c r="LBX1688" s="1740"/>
      <c r="LBY1688" s="1740"/>
      <c r="LBZ1688" s="1740"/>
      <c r="LCA1688" s="1740"/>
      <c r="LCB1688" s="1740"/>
      <c r="LCC1688" s="1740"/>
      <c r="LCD1688" s="1740"/>
      <c r="LCE1688" s="1740"/>
      <c r="LCF1688" s="1740"/>
      <c r="LCG1688" s="1740"/>
      <c r="LCH1688" s="1740"/>
      <c r="LCI1688" s="1740"/>
      <c r="LCJ1688" s="1740"/>
      <c r="LCK1688" s="1740"/>
      <c r="LCL1688" s="1740"/>
      <c r="LCM1688" s="1740"/>
      <c r="LCN1688" s="1740"/>
      <c r="LCO1688" s="1740"/>
      <c r="LCP1688" s="1740"/>
      <c r="LCQ1688" s="1740"/>
      <c r="LCR1688" s="1740"/>
      <c r="LCS1688" s="1740"/>
      <c r="LCT1688" s="1740"/>
      <c r="LCU1688" s="1740"/>
      <c r="LCV1688" s="1740"/>
      <c r="LCW1688" s="1740"/>
      <c r="LCX1688" s="1740"/>
      <c r="LCY1688" s="1740"/>
      <c r="LCZ1688" s="1740"/>
      <c r="LDA1688" s="1740"/>
      <c r="LDB1688" s="1740"/>
      <c r="LDC1688" s="1740"/>
      <c r="LDD1688" s="1740"/>
      <c r="LDE1688" s="1740"/>
      <c r="LDF1688" s="1740"/>
      <c r="LDG1688" s="1740"/>
      <c r="LDH1688" s="1740"/>
      <c r="LDI1688" s="1740"/>
      <c r="LDJ1688" s="1740"/>
      <c r="LDK1688" s="1740"/>
      <c r="LDL1688" s="1740"/>
      <c r="LDM1688" s="1740"/>
      <c r="LDN1688" s="1740"/>
      <c r="LDO1688" s="1740"/>
      <c r="LDP1688" s="1740"/>
      <c r="LDQ1688" s="1740"/>
      <c r="LDR1688" s="1740"/>
      <c r="LDS1688" s="1740"/>
      <c r="LDT1688" s="1740"/>
      <c r="LDU1688" s="1740"/>
      <c r="LDV1688" s="1740"/>
      <c r="LDW1688" s="1740"/>
      <c r="LDX1688" s="1740"/>
      <c r="LDY1688" s="1740"/>
      <c r="LDZ1688" s="1740"/>
      <c r="LEA1688" s="1740"/>
      <c r="LEB1688" s="1740"/>
      <c r="LEC1688" s="1740"/>
      <c r="LED1688" s="1740"/>
      <c r="LEE1688" s="1740"/>
      <c r="LEF1688" s="1740"/>
      <c r="LEG1688" s="1740"/>
      <c r="LEH1688" s="1740"/>
      <c r="LEI1688" s="1740"/>
      <c r="LEJ1688" s="1740"/>
      <c r="LEK1688" s="1740"/>
      <c r="LEL1688" s="1740"/>
      <c r="LEM1688" s="1740"/>
      <c r="LEN1688" s="1740"/>
      <c r="LEO1688" s="1740"/>
      <c r="LEP1688" s="1740"/>
      <c r="LEQ1688" s="1740"/>
      <c r="LER1688" s="1740"/>
      <c r="LES1688" s="1740"/>
      <c r="LET1688" s="1740"/>
      <c r="LEU1688" s="1740"/>
      <c r="LEV1688" s="1740"/>
      <c r="LEW1688" s="1740"/>
      <c r="LEX1688" s="1740"/>
      <c r="LEY1688" s="1740"/>
      <c r="LEZ1688" s="1740"/>
      <c r="LFA1688" s="1740"/>
      <c r="LFB1688" s="1740"/>
      <c r="LFC1688" s="1740"/>
      <c r="LFD1688" s="1740"/>
      <c r="LFE1688" s="1740"/>
      <c r="LFF1688" s="1740"/>
      <c r="LFG1688" s="1740"/>
      <c r="LFH1688" s="1740"/>
      <c r="LFI1688" s="1740"/>
      <c r="LFJ1688" s="1740"/>
      <c r="LFK1688" s="1740"/>
      <c r="LFL1688" s="1740"/>
      <c r="LFM1688" s="1740"/>
      <c r="LFN1688" s="1740"/>
      <c r="LFO1688" s="1740"/>
      <c r="LFP1688" s="1740"/>
      <c r="LFQ1688" s="1740"/>
      <c r="LFR1688" s="1740"/>
      <c r="LFS1688" s="1740"/>
      <c r="LFT1688" s="1740"/>
      <c r="LFU1688" s="1740"/>
      <c r="LFV1688" s="1740"/>
      <c r="LFW1688" s="1740"/>
      <c r="LFX1688" s="1740"/>
      <c r="LFY1688" s="1740"/>
      <c r="LFZ1688" s="1740"/>
      <c r="LGA1688" s="1740"/>
      <c r="LGB1688" s="1740"/>
      <c r="LGC1688" s="1740"/>
      <c r="LGD1688" s="1740"/>
      <c r="LGE1688" s="1740"/>
      <c r="LGF1688" s="1740"/>
      <c r="LGG1688" s="1740"/>
      <c r="LGH1688" s="1740"/>
      <c r="LGI1688" s="1740"/>
      <c r="LGJ1688" s="1740"/>
      <c r="LGK1688" s="1740"/>
      <c r="LGL1688" s="1740"/>
      <c r="LGM1688" s="1740"/>
      <c r="LGN1688" s="1740"/>
      <c r="LGO1688" s="1740"/>
      <c r="LGP1688" s="1740"/>
      <c r="LGQ1688" s="1740"/>
      <c r="LGR1688" s="1740"/>
      <c r="LGS1688" s="1740"/>
      <c r="LGT1688" s="1740"/>
      <c r="LGU1688" s="1740"/>
      <c r="LGV1688" s="1740"/>
      <c r="LGW1688" s="1740"/>
      <c r="LGX1688" s="1740"/>
      <c r="LGY1688" s="1740"/>
      <c r="LGZ1688" s="1740"/>
      <c r="LHA1688" s="1740"/>
      <c r="LHB1688" s="1740"/>
      <c r="LHC1688" s="1740"/>
      <c r="LHD1688" s="1740"/>
      <c r="LHE1688" s="1740"/>
      <c r="LHF1688" s="1740"/>
      <c r="LHG1688" s="1740"/>
      <c r="LHH1688" s="1740"/>
      <c r="LHI1688" s="1740"/>
      <c r="LHJ1688" s="1740"/>
      <c r="LHK1688" s="1740"/>
      <c r="LHL1688" s="1740"/>
      <c r="LHM1688" s="1740"/>
      <c r="LHN1688" s="1740"/>
      <c r="LHO1688" s="1740"/>
      <c r="LHP1688" s="1740"/>
      <c r="LHQ1688" s="1740"/>
      <c r="LHR1688" s="1740"/>
      <c r="LHS1688" s="1740"/>
      <c r="LHT1688" s="1740"/>
      <c r="LHU1688" s="1740"/>
      <c r="LHV1688" s="1740"/>
      <c r="LHW1688" s="1740"/>
      <c r="LHX1688" s="1740"/>
      <c r="LHY1688" s="1740"/>
      <c r="LHZ1688" s="1740"/>
      <c r="LIA1688" s="1740"/>
      <c r="LIB1688" s="1740"/>
      <c r="LIC1688" s="1740"/>
      <c r="LID1688" s="1740"/>
      <c r="LIE1688" s="1740"/>
      <c r="LIF1688" s="1740"/>
      <c r="LIG1688" s="1740"/>
      <c r="LIH1688" s="1740"/>
      <c r="LII1688" s="1740"/>
      <c r="LIJ1688" s="1740"/>
      <c r="LIK1688" s="1740"/>
      <c r="LIL1688" s="1740"/>
      <c r="LIM1688" s="1740"/>
      <c r="LIN1688" s="1740"/>
      <c r="LIO1688" s="1740"/>
      <c r="LIP1688" s="1740"/>
      <c r="LIQ1688" s="1740"/>
      <c r="LIR1688" s="1740"/>
      <c r="LIS1688" s="1740"/>
      <c r="LIT1688" s="1740"/>
      <c r="LIU1688" s="1740"/>
      <c r="LIV1688" s="1740"/>
      <c r="LIW1688" s="1740"/>
      <c r="LIX1688" s="1740"/>
      <c r="LIY1688" s="1740"/>
      <c r="LIZ1688" s="1740"/>
      <c r="LJA1688" s="1740"/>
      <c r="LJB1688" s="1740"/>
      <c r="LJC1688" s="1740"/>
      <c r="LJD1688" s="1740"/>
      <c r="LJE1688" s="1740"/>
      <c r="LJF1688" s="1740"/>
      <c r="LJG1688" s="1740"/>
      <c r="LJH1688" s="1740"/>
      <c r="LJI1688" s="1740"/>
      <c r="LJJ1688" s="1740"/>
      <c r="LJK1688" s="1740"/>
      <c r="LJL1688" s="1740"/>
      <c r="LJM1688" s="1740"/>
      <c r="LJN1688" s="1740"/>
      <c r="LJO1688" s="1740"/>
      <c r="LJP1688" s="1740"/>
      <c r="LJQ1688" s="1740"/>
      <c r="LJR1688" s="1740"/>
      <c r="LJS1688" s="1740"/>
      <c r="LJT1688" s="1740"/>
      <c r="LJU1688" s="1740"/>
      <c r="LJV1688" s="1740"/>
      <c r="LJW1688" s="1740"/>
      <c r="LJX1688" s="1740"/>
      <c r="LJY1688" s="1740"/>
      <c r="LJZ1688" s="1740"/>
      <c r="LKA1688" s="1740"/>
      <c r="LKB1688" s="1740"/>
      <c r="LKC1688" s="1740"/>
      <c r="LKD1688" s="1740"/>
      <c r="LKE1688" s="1740"/>
      <c r="LKF1688" s="1740"/>
      <c r="LKG1688" s="1740"/>
      <c r="LKH1688" s="1740"/>
      <c r="LKI1688" s="1740"/>
      <c r="LKJ1688" s="1740"/>
      <c r="LKK1688" s="1740"/>
      <c r="LKL1688" s="1740"/>
      <c r="LKM1688" s="1740"/>
      <c r="LKN1688" s="1740"/>
      <c r="LKO1688" s="1740"/>
      <c r="LKP1688" s="1740"/>
      <c r="LKQ1688" s="1740"/>
      <c r="LKR1688" s="1740"/>
      <c r="LKS1688" s="1740"/>
      <c r="LKT1688" s="1740"/>
      <c r="LKU1688" s="1740"/>
      <c r="LKV1688" s="1740"/>
      <c r="LKW1688" s="1740"/>
      <c r="LKX1688" s="1740"/>
      <c r="LKY1688" s="1740"/>
      <c r="LKZ1688" s="1740"/>
      <c r="LLA1688" s="1740"/>
      <c r="LLB1688" s="1740"/>
      <c r="LLC1688" s="1740"/>
      <c r="LLD1688" s="1740"/>
      <c r="LLE1688" s="1740"/>
      <c r="LLF1688" s="1740"/>
      <c r="LLG1688" s="1740"/>
      <c r="LLH1688" s="1740"/>
      <c r="LLI1688" s="1740"/>
      <c r="LLJ1688" s="1740"/>
      <c r="LLK1688" s="1740"/>
      <c r="LLL1688" s="1740"/>
      <c r="LLM1688" s="1740"/>
      <c r="LLN1688" s="1740"/>
      <c r="LLO1688" s="1740"/>
      <c r="LLP1688" s="1740"/>
      <c r="LLQ1688" s="1740"/>
      <c r="LLR1688" s="1740"/>
      <c r="LLS1688" s="1740"/>
      <c r="LLT1688" s="1740"/>
      <c r="LLU1688" s="1740"/>
      <c r="LLV1688" s="1740"/>
      <c r="LLW1688" s="1740"/>
      <c r="LLX1688" s="1740"/>
      <c r="LLY1688" s="1740"/>
      <c r="LLZ1688" s="1740"/>
      <c r="LMA1688" s="1740"/>
      <c r="LMB1688" s="1740"/>
      <c r="LMC1688" s="1740"/>
      <c r="LMD1688" s="1740"/>
      <c r="LME1688" s="1740"/>
      <c r="LMF1688" s="1740"/>
      <c r="LMG1688" s="1740"/>
      <c r="LMH1688" s="1740"/>
      <c r="LMI1688" s="1740"/>
      <c r="LMJ1688" s="1740"/>
      <c r="LMK1688" s="1740"/>
      <c r="LML1688" s="1740"/>
      <c r="LMM1688" s="1740"/>
      <c r="LMN1688" s="1740"/>
      <c r="LMO1688" s="1740"/>
      <c r="LMP1688" s="1740"/>
      <c r="LMQ1688" s="1740"/>
      <c r="LMR1688" s="1740"/>
      <c r="LMS1688" s="1740"/>
      <c r="LMT1688" s="1740"/>
      <c r="LMU1688" s="1740"/>
      <c r="LMV1688" s="1740"/>
      <c r="LMW1688" s="1740"/>
      <c r="LMX1688" s="1740"/>
      <c r="LMY1688" s="1740"/>
      <c r="LMZ1688" s="1740"/>
      <c r="LNA1688" s="1740"/>
      <c r="LNB1688" s="1740"/>
      <c r="LNC1688" s="1740"/>
      <c r="LND1688" s="1740"/>
      <c r="LNE1688" s="1740"/>
      <c r="LNF1688" s="1740"/>
      <c r="LNG1688" s="1740"/>
      <c r="LNH1688" s="1740"/>
      <c r="LNI1688" s="1740"/>
      <c r="LNJ1688" s="1740"/>
      <c r="LNK1688" s="1740"/>
      <c r="LNL1688" s="1740"/>
      <c r="LNM1688" s="1740"/>
      <c r="LNN1688" s="1740"/>
      <c r="LNO1688" s="1740"/>
      <c r="LNP1688" s="1740"/>
      <c r="LNQ1688" s="1740"/>
      <c r="LNR1688" s="1740"/>
      <c r="LNS1688" s="1740"/>
      <c r="LNT1688" s="1740"/>
      <c r="LNU1688" s="1740"/>
      <c r="LNV1688" s="1740"/>
      <c r="LNW1688" s="1740"/>
      <c r="LNX1688" s="1740"/>
      <c r="LNY1688" s="1740"/>
      <c r="LNZ1688" s="1740"/>
      <c r="LOA1688" s="1740"/>
      <c r="LOB1688" s="1740"/>
      <c r="LOC1688" s="1740"/>
      <c r="LOD1688" s="1740"/>
      <c r="LOE1688" s="1740"/>
      <c r="LOF1688" s="1740"/>
      <c r="LOG1688" s="1740"/>
      <c r="LOH1688" s="1740"/>
      <c r="LOI1688" s="1740"/>
      <c r="LOJ1688" s="1740"/>
      <c r="LOK1688" s="1740"/>
      <c r="LOL1688" s="1740"/>
      <c r="LOM1688" s="1740"/>
      <c r="LON1688" s="1740"/>
      <c r="LOO1688" s="1740"/>
      <c r="LOP1688" s="1740"/>
      <c r="LOQ1688" s="1740"/>
      <c r="LOR1688" s="1740"/>
      <c r="LOS1688" s="1740"/>
      <c r="LOT1688" s="1740"/>
      <c r="LOU1688" s="1740"/>
      <c r="LOV1688" s="1740"/>
      <c r="LOW1688" s="1740"/>
      <c r="LOX1688" s="1740"/>
      <c r="LOY1688" s="1740"/>
      <c r="LOZ1688" s="1740"/>
      <c r="LPA1688" s="1740"/>
      <c r="LPB1688" s="1740"/>
      <c r="LPC1688" s="1740"/>
      <c r="LPD1688" s="1740"/>
      <c r="LPE1688" s="1740"/>
      <c r="LPF1688" s="1740"/>
      <c r="LPG1688" s="1740"/>
      <c r="LPH1688" s="1740"/>
      <c r="LPI1688" s="1740"/>
      <c r="LPJ1688" s="1740"/>
      <c r="LPK1688" s="1740"/>
      <c r="LPL1688" s="1740"/>
      <c r="LPM1688" s="1740"/>
      <c r="LPN1688" s="1740"/>
      <c r="LPO1688" s="1740"/>
      <c r="LPP1688" s="1740"/>
      <c r="LPQ1688" s="1740"/>
      <c r="LPR1688" s="1740"/>
      <c r="LPS1688" s="1740"/>
      <c r="LPT1688" s="1740"/>
      <c r="LPU1688" s="1740"/>
      <c r="LPV1688" s="1740"/>
      <c r="LPW1688" s="1740"/>
      <c r="LPX1688" s="1740"/>
      <c r="LPY1688" s="1740"/>
      <c r="LPZ1688" s="1740"/>
      <c r="LQA1688" s="1740"/>
      <c r="LQB1688" s="1740"/>
      <c r="LQC1688" s="1740"/>
      <c r="LQD1688" s="1740"/>
      <c r="LQE1688" s="1740"/>
      <c r="LQF1688" s="1740"/>
      <c r="LQG1688" s="1740"/>
      <c r="LQH1688" s="1740"/>
      <c r="LQI1688" s="1740"/>
      <c r="LQJ1688" s="1740"/>
      <c r="LQK1688" s="1740"/>
      <c r="LQL1688" s="1740"/>
      <c r="LQM1688" s="1740"/>
      <c r="LQN1688" s="1740"/>
      <c r="LQO1688" s="1740"/>
      <c r="LQP1688" s="1740"/>
      <c r="LQQ1688" s="1740"/>
      <c r="LQR1688" s="1740"/>
      <c r="LQS1688" s="1740"/>
      <c r="LQT1688" s="1740"/>
      <c r="LQU1688" s="1740"/>
      <c r="LQV1688" s="1740"/>
      <c r="LQW1688" s="1740"/>
      <c r="LQX1688" s="1740"/>
      <c r="LQY1688" s="1740"/>
      <c r="LQZ1688" s="1740"/>
      <c r="LRA1688" s="1740"/>
      <c r="LRB1688" s="1740"/>
      <c r="LRC1688" s="1740"/>
      <c r="LRD1688" s="1740"/>
      <c r="LRE1688" s="1740"/>
      <c r="LRF1688" s="1740"/>
      <c r="LRG1688" s="1740"/>
      <c r="LRH1688" s="1740"/>
      <c r="LRI1688" s="1740"/>
      <c r="LRJ1688" s="1740"/>
      <c r="LRK1688" s="1740"/>
      <c r="LRL1688" s="1740"/>
      <c r="LRM1688" s="1740"/>
      <c r="LRN1688" s="1740"/>
      <c r="LRO1688" s="1740"/>
      <c r="LRP1688" s="1740"/>
      <c r="LRQ1688" s="1740"/>
      <c r="LRR1688" s="1740"/>
      <c r="LRS1688" s="1740"/>
      <c r="LRT1688" s="1740"/>
      <c r="LRU1688" s="1740"/>
      <c r="LRV1688" s="1740"/>
      <c r="LRW1688" s="1740"/>
      <c r="LRX1688" s="1740"/>
      <c r="LRY1688" s="1740"/>
      <c r="LRZ1688" s="1740"/>
      <c r="LSA1688" s="1740"/>
      <c r="LSB1688" s="1740"/>
      <c r="LSC1688" s="1740"/>
      <c r="LSD1688" s="1740"/>
      <c r="LSE1688" s="1740"/>
      <c r="LSF1688" s="1740"/>
      <c r="LSG1688" s="1740"/>
      <c r="LSH1688" s="1740"/>
      <c r="LSI1688" s="1740"/>
      <c r="LSJ1688" s="1740"/>
      <c r="LSK1688" s="1740"/>
      <c r="LSL1688" s="1740"/>
      <c r="LSM1688" s="1740"/>
      <c r="LSN1688" s="1740"/>
      <c r="LSO1688" s="1740"/>
      <c r="LSP1688" s="1740"/>
      <c r="LSQ1688" s="1740"/>
      <c r="LSR1688" s="1740"/>
      <c r="LSS1688" s="1740"/>
      <c r="LST1688" s="1740"/>
      <c r="LSU1688" s="1740"/>
      <c r="LSV1688" s="1740"/>
      <c r="LSW1688" s="1740"/>
      <c r="LSX1688" s="1740"/>
      <c r="LSY1688" s="1740"/>
      <c r="LSZ1688" s="1740"/>
      <c r="LTA1688" s="1740"/>
      <c r="LTB1688" s="1740"/>
      <c r="LTC1688" s="1740"/>
      <c r="LTD1688" s="1740"/>
      <c r="LTE1688" s="1740"/>
      <c r="LTF1688" s="1740"/>
      <c r="LTG1688" s="1740"/>
      <c r="LTH1688" s="1740"/>
      <c r="LTI1688" s="1740"/>
      <c r="LTJ1688" s="1740"/>
      <c r="LTK1688" s="1740"/>
      <c r="LTL1688" s="1740"/>
      <c r="LTM1688" s="1740"/>
      <c r="LTN1688" s="1740"/>
      <c r="LTO1688" s="1740"/>
      <c r="LTP1688" s="1740"/>
      <c r="LTQ1688" s="1740"/>
      <c r="LTR1688" s="1740"/>
      <c r="LTS1688" s="1740"/>
      <c r="LTT1688" s="1740"/>
      <c r="LTU1688" s="1740"/>
      <c r="LTV1688" s="1740"/>
      <c r="LTW1688" s="1740"/>
      <c r="LTX1688" s="1740"/>
      <c r="LTY1688" s="1740"/>
      <c r="LTZ1688" s="1740"/>
      <c r="LUA1688" s="1740"/>
      <c r="LUB1688" s="1740"/>
      <c r="LUC1688" s="1740"/>
      <c r="LUD1688" s="1740"/>
      <c r="LUE1688" s="1740"/>
      <c r="LUF1688" s="1740"/>
      <c r="LUG1688" s="1740"/>
      <c r="LUH1688" s="1740"/>
      <c r="LUI1688" s="1740"/>
      <c r="LUJ1688" s="1740"/>
      <c r="LUK1688" s="1740"/>
      <c r="LUL1688" s="1740"/>
      <c r="LUM1688" s="1740"/>
      <c r="LUN1688" s="1740"/>
      <c r="LUO1688" s="1740"/>
      <c r="LUP1688" s="1740"/>
      <c r="LUQ1688" s="1740"/>
      <c r="LUR1688" s="1740"/>
      <c r="LUS1688" s="1740"/>
      <c r="LUT1688" s="1740"/>
      <c r="LUU1688" s="1740"/>
      <c r="LUV1688" s="1740"/>
      <c r="LUW1688" s="1740"/>
      <c r="LUX1688" s="1740"/>
      <c r="LUY1688" s="1740"/>
      <c r="LUZ1688" s="1740"/>
      <c r="LVA1688" s="1740"/>
      <c r="LVB1688" s="1740"/>
      <c r="LVC1688" s="1740"/>
      <c r="LVD1688" s="1740"/>
      <c r="LVE1688" s="1740"/>
      <c r="LVF1688" s="1740"/>
      <c r="LVG1688" s="1740"/>
      <c r="LVH1688" s="1740"/>
      <c r="LVI1688" s="1740"/>
      <c r="LVJ1688" s="1740"/>
      <c r="LVK1688" s="1740"/>
      <c r="LVL1688" s="1740"/>
      <c r="LVM1688" s="1740"/>
      <c r="LVN1688" s="1740"/>
      <c r="LVO1688" s="1740"/>
      <c r="LVP1688" s="1740"/>
      <c r="LVQ1688" s="1740"/>
      <c r="LVR1688" s="1740"/>
      <c r="LVS1688" s="1740"/>
      <c r="LVT1688" s="1740"/>
      <c r="LVU1688" s="1740"/>
      <c r="LVV1688" s="1740"/>
      <c r="LVW1688" s="1740"/>
      <c r="LVX1688" s="1740"/>
      <c r="LVY1688" s="1740"/>
      <c r="LVZ1688" s="1740"/>
      <c r="LWA1688" s="1740"/>
      <c r="LWB1688" s="1740"/>
      <c r="LWC1688" s="1740"/>
      <c r="LWD1688" s="1740"/>
      <c r="LWE1688" s="1740"/>
      <c r="LWF1688" s="1740"/>
      <c r="LWG1688" s="1740"/>
      <c r="LWH1688" s="1740"/>
      <c r="LWI1688" s="1740"/>
      <c r="LWJ1688" s="1740"/>
      <c r="LWK1688" s="1740"/>
      <c r="LWL1688" s="1740"/>
      <c r="LWM1688" s="1740"/>
      <c r="LWN1688" s="1740"/>
      <c r="LWO1688" s="1740"/>
      <c r="LWP1688" s="1740"/>
      <c r="LWQ1688" s="1740"/>
      <c r="LWR1688" s="1740"/>
      <c r="LWS1688" s="1740"/>
      <c r="LWT1688" s="1740"/>
      <c r="LWU1688" s="1740"/>
      <c r="LWV1688" s="1740"/>
      <c r="LWW1688" s="1740"/>
      <c r="LWX1688" s="1740"/>
      <c r="LWY1688" s="1740"/>
      <c r="LWZ1688" s="1740"/>
      <c r="LXA1688" s="1740"/>
      <c r="LXB1688" s="1740"/>
      <c r="LXC1688" s="1740"/>
      <c r="LXD1688" s="1740"/>
      <c r="LXE1688" s="1740"/>
      <c r="LXF1688" s="1740"/>
      <c r="LXG1688" s="1740"/>
      <c r="LXH1688" s="1740"/>
      <c r="LXI1688" s="1740"/>
      <c r="LXJ1688" s="1740"/>
      <c r="LXK1688" s="1740"/>
      <c r="LXL1688" s="1740"/>
      <c r="LXM1688" s="1740"/>
      <c r="LXN1688" s="1740"/>
      <c r="LXO1688" s="1740"/>
      <c r="LXP1688" s="1740"/>
      <c r="LXQ1688" s="1740"/>
      <c r="LXR1688" s="1740"/>
      <c r="LXS1688" s="1740"/>
      <c r="LXT1688" s="1740"/>
      <c r="LXU1688" s="1740"/>
      <c r="LXV1688" s="1740"/>
      <c r="LXW1688" s="1740"/>
      <c r="LXX1688" s="1740"/>
      <c r="LXY1688" s="1740"/>
      <c r="LXZ1688" s="1740"/>
      <c r="LYA1688" s="1740"/>
      <c r="LYB1688" s="1740"/>
      <c r="LYC1688" s="1740"/>
      <c r="LYD1688" s="1740"/>
      <c r="LYE1688" s="1740"/>
      <c r="LYF1688" s="1740"/>
      <c r="LYG1688" s="1740"/>
      <c r="LYH1688" s="1740"/>
      <c r="LYI1688" s="1740"/>
      <c r="LYJ1688" s="1740"/>
      <c r="LYK1688" s="1740"/>
      <c r="LYL1688" s="1740"/>
      <c r="LYM1688" s="1740"/>
      <c r="LYN1688" s="1740"/>
      <c r="LYO1688" s="1740"/>
      <c r="LYP1688" s="1740"/>
      <c r="LYQ1688" s="1740"/>
      <c r="LYR1688" s="1740"/>
      <c r="LYS1688" s="1740"/>
      <c r="LYT1688" s="1740"/>
      <c r="LYU1688" s="1740"/>
      <c r="LYV1688" s="1740"/>
      <c r="LYW1688" s="1740"/>
      <c r="LYX1688" s="1740"/>
      <c r="LYY1688" s="1740"/>
      <c r="LYZ1688" s="1740"/>
      <c r="LZA1688" s="1740"/>
      <c r="LZB1688" s="1740"/>
      <c r="LZC1688" s="1740"/>
      <c r="LZD1688" s="1740"/>
      <c r="LZE1688" s="1740"/>
      <c r="LZF1688" s="1740"/>
      <c r="LZG1688" s="1740"/>
      <c r="LZH1688" s="1740"/>
      <c r="LZI1688" s="1740"/>
      <c r="LZJ1688" s="1740"/>
      <c r="LZK1688" s="1740"/>
      <c r="LZL1688" s="1740"/>
      <c r="LZM1688" s="1740"/>
      <c r="LZN1688" s="1740"/>
      <c r="LZO1688" s="1740"/>
      <c r="LZP1688" s="1740"/>
      <c r="LZQ1688" s="1740"/>
      <c r="LZR1688" s="1740"/>
      <c r="LZS1688" s="1740"/>
      <c r="LZT1688" s="1740"/>
      <c r="LZU1688" s="1740"/>
      <c r="LZV1688" s="1740"/>
      <c r="LZW1688" s="1740"/>
      <c r="LZX1688" s="1740"/>
      <c r="LZY1688" s="1740"/>
      <c r="LZZ1688" s="1740"/>
      <c r="MAA1688" s="1740"/>
      <c r="MAB1688" s="1740"/>
      <c r="MAC1688" s="1740"/>
      <c r="MAD1688" s="1740"/>
      <c r="MAE1688" s="1740"/>
      <c r="MAF1688" s="1740"/>
      <c r="MAG1688" s="1740"/>
      <c r="MAH1688" s="1740"/>
      <c r="MAI1688" s="1740"/>
      <c r="MAJ1688" s="1740"/>
      <c r="MAK1688" s="1740"/>
      <c r="MAL1688" s="1740"/>
      <c r="MAM1688" s="1740"/>
      <c r="MAN1688" s="1740"/>
      <c r="MAO1688" s="1740"/>
      <c r="MAP1688" s="1740"/>
      <c r="MAQ1688" s="1740"/>
      <c r="MAR1688" s="1740"/>
      <c r="MAS1688" s="1740"/>
      <c r="MAT1688" s="1740"/>
      <c r="MAU1688" s="1740"/>
      <c r="MAV1688" s="1740"/>
      <c r="MAW1688" s="1740"/>
      <c r="MAX1688" s="1740"/>
      <c r="MAY1688" s="1740"/>
      <c r="MAZ1688" s="1740"/>
      <c r="MBA1688" s="1740"/>
      <c r="MBB1688" s="1740"/>
      <c r="MBC1688" s="1740"/>
      <c r="MBD1688" s="1740"/>
      <c r="MBE1688" s="1740"/>
      <c r="MBF1688" s="1740"/>
      <c r="MBG1688" s="1740"/>
      <c r="MBH1688" s="1740"/>
      <c r="MBI1688" s="1740"/>
      <c r="MBJ1688" s="1740"/>
      <c r="MBK1688" s="1740"/>
      <c r="MBL1688" s="1740"/>
      <c r="MBM1688" s="1740"/>
      <c r="MBN1688" s="1740"/>
      <c r="MBO1688" s="1740"/>
      <c r="MBP1688" s="1740"/>
      <c r="MBQ1688" s="1740"/>
      <c r="MBR1688" s="1740"/>
      <c r="MBS1688" s="1740"/>
      <c r="MBT1688" s="1740"/>
      <c r="MBU1688" s="1740"/>
      <c r="MBV1688" s="1740"/>
      <c r="MBW1688" s="1740"/>
      <c r="MBX1688" s="1740"/>
      <c r="MBY1688" s="1740"/>
      <c r="MBZ1688" s="1740"/>
      <c r="MCA1688" s="1740"/>
      <c r="MCB1688" s="1740"/>
      <c r="MCC1688" s="1740"/>
      <c r="MCD1688" s="1740"/>
      <c r="MCE1688" s="1740"/>
      <c r="MCF1688" s="1740"/>
      <c r="MCG1688" s="1740"/>
      <c r="MCH1688" s="1740"/>
      <c r="MCI1688" s="1740"/>
      <c r="MCJ1688" s="1740"/>
      <c r="MCK1688" s="1740"/>
      <c r="MCL1688" s="1740"/>
      <c r="MCM1688" s="1740"/>
      <c r="MCN1688" s="1740"/>
      <c r="MCO1688" s="1740"/>
      <c r="MCP1688" s="1740"/>
      <c r="MCQ1688" s="1740"/>
      <c r="MCR1688" s="1740"/>
      <c r="MCS1688" s="1740"/>
      <c r="MCT1688" s="1740"/>
      <c r="MCU1688" s="1740"/>
      <c r="MCV1688" s="1740"/>
      <c r="MCW1688" s="1740"/>
      <c r="MCX1688" s="1740"/>
      <c r="MCY1688" s="1740"/>
      <c r="MCZ1688" s="1740"/>
      <c r="MDA1688" s="1740"/>
      <c r="MDB1688" s="1740"/>
      <c r="MDC1688" s="1740"/>
      <c r="MDD1688" s="1740"/>
      <c r="MDE1688" s="1740"/>
      <c r="MDF1688" s="1740"/>
      <c r="MDG1688" s="1740"/>
      <c r="MDH1688" s="1740"/>
      <c r="MDI1688" s="1740"/>
      <c r="MDJ1688" s="1740"/>
      <c r="MDK1688" s="1740"/>
      <c r="MDL1688" s="1740"/>
      <c r="MDM1688" s="1740"/>
      <c r="MDN1688" s="1740"/>
      <c r="MDO1688" s="1740"/>
      <c r="MDP1688" s="1740"/>
      <c r="MDQ1688" s="1740"/>
      <c r="MDR1688" s="1740"/>
      <c r="MDS1688" s="1740"/>
      <c r="MDT1688" s="1740"/>
      <c r="MDU1688" s="1740"/>
      <c r="MDV1688" s="1740"/>
      <c r="MDW1688" s="1740"/>
      <c r="MDX1688" s="1740"/>
      <c r="MDY1688" s="1740"/>
      <c r="MDZ1688" s="1740"/>
      <c r="MEA1688" s="1740"/>
      <c r="MEB1688" s="1740"/>
      <c r="MEC1688" s="1740"/>
      <c r="MED1688" s="1740"/>
      <c r="MEE1688" s="1740"/>
      <c r="MEF1688" s="1740"/>
      <c r="MEG1688" s="1740"/>
      <c r="MEH1688" s="1740"/>
      <c r="MEI1688" s="1740"/>
      <c r="MEJ1688" s="1740"/>
      <c r="MEK1688" s="1740"/>
      <c r="MEL1688" s="1740"/>
      <c r="MEM1688" s="1740"/>
      <c r="MEN1688" s="1740"/>
      <c r="MEO1688" s="1740"/>
      <c r="MEP1688" s="1740"/>
      <c r="MEQ1688" s="1740"/>
      <c r="MER1688" s="1740"/>
      <c r="MES1688" s="1740"/>
      <c r="MET1688" s="1740"/>
      <c r="MEU1688" s="1740"/>
      <c r="MEV1688" s="1740"/>
      <c r="MEW1688" s="1740"/>
      <c r="MEX1688" s="1740"/>
      <c r="MEY1688" s="1740"/>
      <c r="MEZ1688" s="1740"/>
      <c r="MFA1688" s="1740"/>
      <c r="MFB1688" s="1740"/>
      <c r="MFC1688" s="1740"/>
      <c r="MFD1688" s="1740"/>
      <c r="MFE1688" s="1740"/>
      <c r="MFF1688" s="1740"/>
      <c r="MFG1688" s="1740"/>
      <c r="MFH1688" s="1740"/>
      <c r="MFI1688" s="1740"/>
      <c r="MFJ1688" s="1740"/>
      <c r="MFK1688" s="1740"/>
      <c r="MFL1688" s="1740"/>
      <c r="MFM1688" s="1740"/>
      <c r="MFN1688" s="1740"/>
      <c r="MFO1688" s="1740"/>
      <c r="MFP1688" s="1740"/>
      <c r="MFQ1688" s="1740"/>
      <c r="MFR1688" s="1740"/>
      <c r="MFS1688" s="1740"/>
      <c r="MFT1688" s="1740"/>
      <c r="MFU1688" s="1740"/>
      <c r="MFV1688" s="1740"/>
      <c r="MFW1688" s="1740"/>
      <c r="MFX1688" s="1740"/>
      <c r="MFY1688" s="1740"/>
      <c r="MFZ1688" s="1740"/>
      <c r="MGA1688" s="1740"/>
      <c r="MGB1688" s="1740"/>
      <c r="MGC1688" s="1740"/>
      <c r="MGD1688" s="1740"/>
      <c r="MGE1688" s="1740"/>
      <c r="MGF1688" s="1740"/>
      <c r="MGG1688" s="1740"/>
      <c r="MGH1688" s="1740"/>
      <c r="MGI1688" s="1740"/>
      <c r="MGJ1688" s="1740"/>
      <c r="MGK1688" s="1740"/>
      <c r="MGL1688" s="1740"/>
      <c r="MGM1688" s="1740"/>
      <c r="MGN1688" s="1740"/>
      <c r="MGO1688" s="1740"/>
      <c r="MGP1688" s="1740"/>
      <c r="MGQ1688" s="1740"/>
      <c r="MGR1688" s="1740"/>
      <c r="MGS1688" s="1740"/>
      <c r="MGT1688" s="1740"/>
      <c r="MGU1688" s="1740"/>
      <c r="MGV1688" s="1740"/>
      <c r="MGW1688" s="1740"/>
      <c r="MGX1688" s="1740"/>
      <c r="MGY1688" s="1740"/>
      <c r="MGZ1688" s="1740"/>
      <c r="MHA1688" s="1740"/>
      <c r="MHB1688" s="1740"/>
      <c r="MHC1688" s="1740"/>
      <c r="MHD1688" s="1740"/>
      <c r="MHE1688" s="1740"/>
      <c r="MHF1688" s="1740"/>
      <c r="MHG1688" s="1740"/>
      <c r="MHH1688" s="1740"/>
      <c r="MHI1688" s="1740"/>
      <c r="MHJ1688" s="1740"/>
      <c r="MHK1688" s="1740"/>
      <c r="MHL1688" s="1740"/>
      <c r="MHM1688" s="1740"/>
      <c r="MHN1688" s="1740"/>
      <c r="MHO1688" s="1740"/>
      <c r="MHP1688" s="1740"/>
      <c r="MHQ1688" s="1740"/>
      <c r="MHR1688" s="1740"/>
      <c r="MHS1688" s="1740"/>
      <c r="MHT1688" s="1740"/>
      <c r="MHU1688" s="1740"/>
      <c r="MHV1688" s="1740"/>
      <c r="MHW1688" s="1740"/>
      <c r="MHX1688" s="1740"/>
      <c r="MHY1688" s="1740"/>
      <c r="MHZ1688" s="1740"/>
      <c r="MIA1688" s="1740"/>
      <c r="MIB1688" s="1740"/>
      <c r="MIC1688" s="1740"/>
      <c r="MID1688" s="1740"/>
      <c r="MIE1688" s="1740"/>
      <c r="MIF1688" s="1740"/>
      <c r="MIG1688" s="1740"/>
      <c r="MIH1688" s="1740"/>
      <c r="MII1688" s="1740"/>
      <c r="MIJ1688" s="1740"/>
      <c r="MIK1688" s="1740"/>
      <c r="MIL1688" s="1740"/>
      <c r="MIM1688" s="1740"/>
      <c r="MIN1688" s="1740"/>
      <c r="MIO1688" s="1740"/>
      <c r="MIP1688" s="1740"/>
      <c r="MIQ1688" s="1740"/>
      <c r="MIR1688" s="1740"/>
      <c r="MIS1688" s="1740"/>
      <c r="MIT1688" s="1740"/>
      <c r="MIU1688" s="1740"/>
      <c r="MIV1688" s="1740"/>
      <c r="MIW1688" s="1740"/>
      <c r="MIX1688" s="1740"/>
      <c r="MIY1688" s="1740"/>
      <c r="MIZ1688" s="1740"/>
      <c r="MJA1688" s="1740"/>
      <c r="MJB1688" s="1740"/>
      <c r="MJC1688" s="1740"/>
      <c r="MJD1688" s="1740"/>
      <c r="MJE1688" s="1740"/>
      <c r="MJF1688" s="1740"/>
      <c r="MJG1688" s="1740"/>
      <c r="MJH1688" s="1740"/>
      <c r="MJI1688" s="1740"/>
      <c r="MJJ1688" s="1740"/>
      <c r="MJK1688" s="1740"/>
      <c r="MJL1688" s="1740"/>
      <c r="MJM1688" s="1740"/>
      <c r="MJN1688" s="1740"/>
      <c r="MJO1688" s="1740"/>
      <c r="MJP1688" s="1740"/>
      <c r="MJQ1688" s="1740"/>
      <c r="MJR1688" s="1740"/>
      <c r="MJS1688" s="1740"/>
      <c r="MJT1688" s="1740"/>
      <c r="MJU1688" s="1740"/>
      <c r="MJV1688" s="1740"/>
      <c r="MJW1688" s="1740"/>
      <c r="MJX1688" s="1740"/>
      <c r="MJY1688" s="1740"/>
      <c r="MJZ1688" s="1740"/>
      <c r="MKA1688" s="1740"/>
      <c r="MKB1688" s="1740"/>
      <c r="MKC1688" s="1740"/>
      <c r="MKD1688" s="1740"/>
      <c r="MKE1688" s="1740"/>
      <c r="MKF1688" s="1740"/>
      <c r="MKG1688" s="1740"/>
      <c r="MKH1688" s="1740"/>
      <c r="MKI1688" s="1740"/>
      <c r="MKJ1688" s="1740"/>
      <c r="MKK1688" s="1740"/>
      <c r="MKL1688" s="1740"/>
      <c r="MKM1688" s="1740"/>
      <c r="MKN1688" s="1740"/>
      <c r="MKO1688" s="1740"/>
      <c r="MKP1688" s="1740"/>
      <c r="MKQ1688" s="1740"/>
      <c r="MKR1688" s="1740"/>
      <c r="MKS1688" s="1740"/>
      <c r="MKT1688" s="1740"/>
      <c r="MKU1688" s="1740"/>
      <c r="MKV1688" s="1740"/>
      <c r="MKW1688" s="1740"/>
      <c r="MKX1688" s="1740"/>
      <c r="MKY1688" s="1740"/>
      <c r="MKZ1688" s="1740"/>
      <c r="MLA1688" s="1740"/>
      <c r="MLB1688" s="1740"/>
      <c r="MLC1688" s="1740"/>
      <c r="MLD1688" s="1740"/>
      <c r="MLE1688" s="1740"/>
      <c r="MLF1688" s="1740"/>
      <c r="MLG1688" s="1740"/>
      <c r="MLH1688" s="1740"/>
      <c r="MLI1688" s="1740"/>
      <c r="MLJ1688" s="1740"/>
      <c r="MLK1688" s="1740"/>
      <c r="MLL1688" s="1740"/>
      <c r="MLM1688" s="1740"/>
      <c r="MLN1688" s="1740"/>
      <c r="MLO1688" s="1740"/>
      <c r="MLP1688" s="1740"/>
      <c r="MLQ1688" s="1740"/>
      <c r="MLR1688" s="1740"/>
      <c r="MLS1688" s="1740"/>
      <c r="MLT1688" s="1740"/>
      <c r="MLU1688" s="1740"/>
      <c r="MLV1688" s="1740"/>
      <c r="MLW1688" s="1740"/>
      <c r="MLX1688" s="1740"/>
      <c r="MLY1688" s="1740"/>
      <c r="MLZ1688" s="1740"/>
      <c r="MMA1688" s="1740"/>
      <c r="MMB1688" s="1740"/>
      <c r="MMC1688" s="1740"/>
      <c r="MMD1688" s="1740"/>
      <c r="MME1688" s="1740"/>
      <c r="MMF1688" s="1740"/>
      <c r="MMG1688" s="1740"/>
      <c r="MMH1688" s="1740"/>
      <c r="MMI1688" s="1740"/>
      <c r="MMJ1688" s="1740"/>
      <c r="MMK1688" s="1740"/>
      <c r="MML1688" s="1740"/>
      <c r="MMM1688" s="1740"/>
      <c r="MMN1688" s="1740"/>
      <c r="MMO1688" s="1740"/>
      <c r="MMP1688" s="1740"/>
      <c r="MMQ1688" s="1740"/>
      <c r="MMR1688" s="1740"/>
      <c r="MMS1688" s="1740"/>
      <c r="MMT1688" s="1740"/>
      <c r="MMU1688" s="1740"/>
      <c r="MMV1688" s="1740"/>
      <c r="MMW1688" s="1740"/>
      <c r="MMX1688" s="1740"/>
      <c r="MMY1688" s="1740"/>
      <c r="MMZ1688" s="1740"/>
      <c r="MNA1688" s="1740"/>
      <c r="MNB1688" s="1740"/>
      <c r="MNC1688" s="1740"/>
      <c r="MND1688" s="1740"/>
      <c r="MNE1688" s="1740"/>
      <c r="MNF1688" s="1740"/>
      <c r="MNG1688" s="1740"/>
      <c r="MNH1688" s="1740"/>
      <c r="MNI1688" s="1740"/>
      <c r="MNJ1688" s="1740"/>
      <c r="MNK1688" s="1740"/>
      <c r="MNL1688" s="1740"/>
      <c r="MNM1688" s="1740"/>
      <c r="MNN1688" s="1740"/>
      <c r="MNO1688" s="1740"/>
      <c r="MNP1688" s="1740"/>
      <c r="MNQ1688" s="1740"/>
      <c r="MNR1688" s="1740"/>
      <c r="MNS1688" s="1740"/>
      <c r="MNT1688" s="1740"/>
      <c r="MNU1688" s="1740"/>
      <c r="MNV1688" s="1740"/>
      <c r="MNW1688" s="1740"/>
      <c r="MNX1688" s="1740"/>
      <c r="MNY1688" s="1740"/>
      <c r="MNZ1688" s="1740"/>
      <c r="MOA1688" s="1740"/>
      <c r="MOB1688" s="1740"/>
      <c r="MOC1688" s="1740"/>
      <c r="MOD1688" s="1740"/>
      <c r="MOE1688" s="1740"/>
      <c r="MOF1688" s="1740"/>
      <c r="MOG1688" s="1740"/>
      <c r="MOH1688" s="1740"/>
      <c r="MOI1688" s="1740"/>
      <c r="MOJ1688" s="1740"/>
      <c r="MOK1688" s="1740"/>
      <c r="MOL1688" s="1740"/>
      <c r="MOM1688" s="1740"/>
      <c r="MON1688" s="1740"/>
      <c r="MOO1688" s="1740"/>
      <c r="MOP1688" s="1740"/>
      <c r="MOQ1688" s="1740"/>
      <c r="MOR1688" s="1740"/>
      <c r="MOS1688" s="1740"/>
      <c r="MOT1688" s="1740"/>
      <c r="MOU1688" s="1740"/>
      <c r="MOV1688" s="1740"/>
      <c r="MOW1688" s="1740"/>
      <c r="MOX1688" s="1740"/>
      <c r="MOY1688" s="1740"/>
      <c r="MOZ1688" s="1740"/>
      <c r="MPA1688" s="1740"/>
      <c r="MPB1688" s="1740"/>
      <c r="MPC1688" s="1740"/>
      <c r="MPD1688" s="1740"/>
      <c r="MPE1688" s="1740"/>
      <c r="MPF1688" s="1740"/>
      <c r="MPG1688" s="1740"/>
      <c r="MPH1688" s="1740"/>
      <c r="MPI1688" s="1740"/>
      <c r="MPJ1688" s="1740"/>
      <c r="MPK1688" s="1740"/>
      <c r="MPL1688" s="1740"/>
      <c r="MPM1688" s="1740"/>
      <c r="MPN1688" s="1740"/>
      <c r="MPO1688" s="1740"/>
      <c r="MPP1688" s="1740"/>
      <c r="MPQ1688" s="1740"/>
      <c r="MPR1688" s="1740"/>
      <c r="MPS1688" s="1740"/>
      <c r="MPT1688" s="1740"/>
      <c r="MPU1688" s="1740"/>
      <c r="MPV1688" s="1740"/>
      <c r="MPW1688" s="1740"/>
      <c r="MPX1688" s="1740"/>
      <c r="MPY1688" s="1740"/>
      <c r="MPZ1688" s="1740"/>
      <c r="MQA1688" s="1740"/>
      <c r="MQB1688" s="1740"/>
      <c r="MQC1688" s="1740"/>
      <c r="MQD1688" s="1740"/>
      <c r="MQE1688" s="1740"/>
      <c r="MQF1688" s="1740"/>
      <c r="MQG1688" s="1740"/>
      <c r="MQH1688" s="1740"/>
      <c r="MQI1688" s="1740"/>
      <c r="MQJ1688" s="1740"/>
      <c r="MQK1688" s="1740"/>
      <c r="MQL1688" s="1740"/>
      <c r="MQM1688" s="1740"/>
      <c r="MQN1688" s="1740"/>
      <c r="MQO1688" s="1740"/>
      <c r="MQP1688" s="1740"/>
      <c r="MQQ1688" s="1740"/>
      <c r="MQR1688" s="1740"/>
      <c r="MQS1688" s="1740"/>
      <c r="MQT1688" s="1740"/>
      <c r="MQU1688" s="1740"/>
      <c r="MQV1688" s="1740"/>
      <c r="MQW1688" s="1740"/>
      <c r="MQX1688" s="1740"/>
      <c r="MQY1688" s="1740"/>
      <c r="MQZ1688" s="1740"/>
      <c r="MRA1688" s="1740"/>
      <c r="MRB1688" s="1740"/>
      <c r="MRC1688" s="1740"/>
      <c r="MRD1688" s="1740"/>
      <c r="MRE1688" s="1740"/>
      <c r="MRF1688" s="1740"/>
      <c r="MRG1688" s="1740"/>
      <c r="MRH1688" s="1740"/>
      <c r="MRI1688" s="1740"/>
      <c r="MRJ1688" s="1740"/>
      <c r="MRK1688" s="1740"/>
      <c r="MRL1688" s="1740"/>
      <c r="MRM1688" s="1740"/>
      <c r="MRN1688" s="1740"/>
      <c r="MRO1688" s="1740"/>
      <c r="MRP1688" s="1740"/>
      <c r="MRQ1688" s="1740"/>
      <c r="MRR1688" s="1740"/>
      <c r="MRS1688" s="1740"/>
      <c r="MRT1688" s="1740"/>
      <c r="MRU1688" s="1740"/>
      <c r="MRV1688" s="1740"/>
      <c r="MRW1688" s="1740"/>
      <c r="MRX1688" s="1740"/>
      <c r="MRY1688" s="1740"/>
      <c r="MRZ1688" s="1740"/>
      <c r="MSA1688" s="1740"/>
      <c r="MSB1688" s="1740"/>
      <c r="MSC1688" s="1740"/>
      <c r="MSD1688" s="1740"/>
      <c r="MSE1688" s="1740"/>
      <c r="MSF1688" s="1740"/>
      <c r="MSG1688" s="1740"/>
      <c r="MSH1688" s="1740"/>
      <c r="MSI1688" s="1740"/>
      <c r="MSJ1688" s="1740"/>
      <c r="MSK1688" s="1740"/>
      <c r="MSL1688" s="1740"/>
      <c r="MSM1688" s="1740"/>
      <c r="MSN1688" s="1740"/>
      <c r="MSO1688" s="1740"/>
      <c r="MSP1688" s="1740"/>
      <c r="MSQ1688" s="1740"/>
      <c r="MSR1688" s="1740"/>
      <c r="MSS1688" s="1740"/>
      <c r="MST1688" s="1740"/>
      <c r="MSU1688" s="1740"/>
      <c r="MSV1688" s="1740"/>
      <c r="MSW1688" s="1740"/>
      <c r="MSX1688" s="1740"/>
      <c r="MSY1688" s="1740"/>
      <c r="MSZ1688" s="1740"/>
      <c r="MTA1688" s="1740"/>
      <c r="MTB1688" s="1740"/>
      <c r="MTC1688" s="1740"/>
      <c r="MTD1688" s="1740"/>
      <c r="MTE1688" s="1740"/>
      <c r="MTF1688" s="1740"/>
      <c r="MTG1688" s="1740"/>
      <c r="MTH1688" s="1740"/>
      <c r="MTI1688" s="1740"/>
      <c r="MTJ1688" s="1740"/>
      <c r="MTK1688" s="1740"/>
      <c r="MTL1688" s="1740"/>
      <c r="MTM1688" s="1740"/>
      <c r="MTN1688" s="1740"/>
      <c r="MTO1688" s="1740"/>
      <c r="MTP1688" s="1740"/>
      <c r="MTQ1688" s="1740"/>
      <c r="MTR1688" s="1740"/>
      <c r="MTS1688" s="1740"/>
      <c r="MTT1688" s="1740"/>
      <c r="MTU1688" s="1740"/>
      <c r="MTV1688" s="1740"/>
      <c r="MTW1688" s="1740"/>
      <c r="MTX1688" s="1740"/>
      <c r="MTY1688" s="1740"/>
      <c r="MTZ1688" s="1740"/>
      <c r="MUA1688" s="1740"/>
      <c r="MUB1688" s="1740"/>
      <c r="MUC1688" s="1740"/>
      <c r="MUD1688" s="1740"/>
      <c r="MUE1688" s="1740"/>
      <c r="MUF1688" s="1740"/>
      <c r="MUG1688" s="1740"/>
      <c r="MUH1688" s="1740"/>
      <c r="MUI1688" s="1740"/>
      <c r="MUJ1688" s="1740"/>
      <c r="MUK1688" s="1740"/>
      <c r="MUL1688" s="1740"/>
      <c r="MUM1688" s="1740"/>
      <c r="MUN1688" s="1740"/>
      <c r="MUO1688" s="1740"/>
      <c r="MUP1688" s="1740"/>
      <c r="MUQ1688" s="1740"/>
      <c r="MUR1688" s="1740"/>
      <c r="MUS1688" s="1740"/>
      <c r="MUT1688" s="1740"/>
      <c r="MUU1688" s="1740"/>
      <c r="MUV1688" s="1740"/>
      <c r="MUW1688" s="1740"/>
      <c r="MUX1688" s="1740"/>
      <c r="MUY1688" s="1740"/>
      <c r="MUZ1688" s="1740"/>
      <c r="MVA1688" s="1740"/>
      <c r="MVB1688" s="1740"/>
      <c r="MVC1688" s="1740"/>
      <c r="MVD1688" s="1740"/>
      <c r="MVE1688" s="1740"/>
      <c r="MVF1688" s="1740"/>
      <c r="MVG1688" s="1740"/>
      <c r="MVH1688" s="1740"/>
      <c r="MVI1688" s="1740"/>
      <c r="MVJ1688" s="1740"/>
      <c r="MVK1688" s="1740"/>
      <c r="MVL1688" s="1740"/>
      <c r="MVM1688" s="1740"/>
      <c r="MVN1688" s="1740"/>
      <c r="MVO1688" s="1740"/>
      <c r="MVP1688" s="1740"/>
      <c r="MVQ1688" s="1740"/>
      <c r="MVR1688" s="1740"/>
      <c r="MVS1688" s="1740"/>
      <c r="MVT1688" s="1740"/>
      <c r="MVU1688" s="1740"/>
      <c r="MVV1688" s="1740"/>
      <c r="MVW1688" s="1740"/>
      <c r="MVX1688" s="1740"/>
      <c r="MVY1688" s="1740"/>
      <c r="MVZ1688" s="1740"/>
      <c r="MWA1688" s="1740"/>
      <c r="MWB1688" s="1740"/>
      <c r="MWC1688" s="1740"/>
      <c r="MWD1688" s="1740"/>
      <c r="MWE1688" s="1740"/>
      <c r="MWF1688" s="1740"/>
      <c r="MWG1688" s="1740"/>
      <c r="MWH1688" s="1740"/>
      <c r="MWI1688" s="1740"/>
      <c r="MWJ1688" s="1740"/>
      <c r="MWK1688" s="1740"/>
      <c r="MWL1688" s="1740"/>
      <c r="MWM1688" s="1740"/>
      <c r="MWN1688" s="1740"/>
      <c r="MWO1688" s="1740"/>
      <c r="MWP1688" s="1740"/>
      <c r="MWQ1688" s="1740"/>
      <c r="MWR1688" s="1740"/>
      <c r="MWS1688" s="1740"/>
      <c r="MWT1688" s="1740"/>
      <c r="MWU1688" s="1740"/>
      <c r="MWV1688" s="1740"/>
      <c r="MWW1688" s="1740"/>
      <c r="MWX1688" s="1740"/>
      <c r="MWY1688" s="1740"/>
      <c r="MWZ1688" s="1740"/>
      <c r="MXA1688" s="1740"/>
      <c r="MXB1688" s="1740"/>
      <c r="MXC1688" s="1740"/>
      <c r="MXD1688" s="1740"/>
      <c r="MXE1688" s="1740"/>
      <c r="MXF1688" s="1740"/>
      <c r="MXG1688" s="1740"/>
      <c r="MXH1688" s="1740"/>
      <c r="MXI1688" s="1740"/>
      <c r="MXJ1688" s="1740"/>
      <c r="MXK1688" s="1740"/>
      <c r="MXL1688" s="1740"/>
      <c r="MXM1688" s="1740"/>
      <c r="MXN1688" s="1740"/>
      <c r="MXO1688" s="1740"/>
      <c r="MXP1688" s="1740"/>
      <c r="MXQ1688" s="1740"/>
      <c r="MXR1688" s="1740"/>
      <c r="MXS1688" s="1740"/>
      <c r="MXT1688" s="1740"/>
      <c r="MXU1688" s="1740"/>
      <c r="MXV1688" s="1740"/>
      <c r="MXW1688" s="1740"/>
      <c r="MXX1688" s="1740"/>
      <c r="MXY1688" s="1740"/>
      <c r="MXZ1688" s="1740"/>
      <c r="MYA1688" s="1740"/>
      <c r="MYB1688" s="1740"/>
      <c r="MYC1688" s="1740"/>
      <c r="MYD1688" s="1740"/>
      <c r="MYE1688" s="1740"/>
      <c r="MYF1688" s="1740"/>
      <c r="MYG1688" s="1740"/>
      <c r="MYH1688" s="1740"/>
      <c r="MYI1688" s="1740"/>
      <c r="MYJ1688" s="1740"/>
      <c r="MYK1688" s="1740"/>
      <c r="MYL1688" s="1740"/>
      <c r="MYM1688" s="1740"/>
      <c r="MYN1688" s="1740"/>
      <c r="MYO1688" s="1740"/>
      <c r="MYP1688" s="1740"/>
      <c r="MYQ1688" s="1740"/>
      <c r="MYR1688" s="1740"/>
      <c r="MYS1688" s="1740"/>
      <c r="MYT1688" s="1740"/>
      <c r="MYU1688" s="1740"/>
      <c r="MYV1688" s="1740"/>
      <c r="MYW1688" s="1740"/>
      <c r="MYX1688" s="1740"/>
      <c r="MYY1688" s="1740"/>
      <c r="MYZ1688" s="1740"/>
      <c r="MZA1688" s="1740"/>
      <c r="MZB1688" s="1740"/>
      <c r="MZC1688" s="1740"/>
      <c r="MZD1688" s="1740"/>
      <c r="MZE1688" s="1740"/>
      <c r="MZF1688" s="1740"/>
      <c r="MZG1688" s="1740"/>
      <c r="MZH1688" s="1740"/>
      <c r="MZI1688" s="1740"/>
      <c r="MZJ1688" s="1740"/>
      <c r="MZK1688" s="1740"/>
      <c r="MZL1688" s="1740"/>
      <c r="MZM1688" s="1740"/>
      <c r="MZN1688" s="1740"/>
      <c r="MZO1688" s="1740"/>
      <c r="MZP1688" s="1740"/>
      <c r="MZQ1688" s="1740"/>
      <c r="MZR1688" s="1740"/>
      <c r="MZS1688" s="1740"/>
      <c r="MZT1688" s="1740"/>
      <c r="MZU1688" s="1740"/>
      <c r="MZV1688" s="1740"/>
      <c r="MZW1688" s="1740"/>
      <c r="MZX1688" s="1740"/>
      <c r="MZY1688" s="1740"/>
      <c r="MZZ1688" s="1740"/>
      <c r="NAA1688" s="1740"/>
      <c r="NAB1688" s="1740"/>
      <c r="NAC1688" s="1740"/>
      <c r="NAD1688" s="1740"/>
      <c r="NAE1688" s="1740"/>
      <c r="NAF1688" s="1740"/>
      <c r="NAG1688" s="1740"/>
      <c r="NAH1688" s="1740"/>
      <c r="NAI1688" s="1740"/>
      <c r="NAJ1688" s="1740"/>
      <c r="NAK1688" s="1740"/>
      <c r="NAL1688" s="1740"/>
      <c r="NAM1688" s="1740"/>
      <c r="NAN1688" s="1740"/>
      <c r="NAO1688" s="1740"/>
      <c r="NAP1688" s="1740"/>
      <c r="NAQ1688" s="1740"/>
      <c r="NAR1688" s="1740"/>
      <c r="NAS1688" s="1740"/>
      <c r="NAT1688" s="1740"/>
      <c r="NAU1688" s="1740"/>
      <c r="NAV1688" s="1740"/>
      <c r="NAW1688" s="1740"/>
      <c r="NAX1688" s="1740"/>
      <c r="NAY1688" s="1740"/>
      <c r="NAZ1688" s="1740"/>
      <c r="NBA1688" s="1740"/>
      <c r="NBB1688" s="1740"/>
      <c r="NBC1688" s="1740"/>
      <c r="NBD1688" s="1740"/>
      <c r="NBE1688" s="1740"/>
      <c r="NBF1688" s="1740"/>
      <c r="NBG1688" s="1740"/>
      <c r="NBH1688" s="1740"/>
      <c r="NBI1688" s="1740"/>
      <c r="NBJ1688" s="1740"/>
      <c r="NBK1688" s="1740"/>
      <c r="NBL1688" s="1740"/>
      <c r="NBM1688" s="1740"/>
      <c r="NBN1688" s="1740"/>
      <c r="NBO1688" s="1740"/>
      <c r="NBP1688" s="1740"/>
      <c r="NBQ1688" s="1740"/>
      <c r="NBR1688" s="1740"/>
      <c r="NBS1688" s="1740"/>
      <c r="NBT1688" s="1740"/>
      <c r="NBU1688" s="1740"/>
      <c r="NBV1688" s="1740"/>
      <c r="NBW1688" s="1740"/>
      <c r="NBX1688" s="1740"/>
      <c r="NBY1688" s="1740"/>
      <c r="NBZ1688" s="1740"/>
      <c r="NCA1688" s="1740"/>
      <c r="NCB1688" s="1740"/>
      <c r="NCC1688" s="1740"/>
      <c r="NCD1688" s="1740"/>
      <c r="NCE1688" s="1740"/>
      <c r="NCF1688" s="1740"/>
      <c r="NCG1688" s="1740"/>
      <c r="NCH1688" s="1740"/>
      <c r="NCI1688" s="1740"/>
      <c r="NCJ1688" s="1740"/>
      <c r="NCK1688" s="1740"/>
      <c r="NCL1688" s="1740"/>
      <c r="NCM1688" s="1740"/>
      <c r="NCN1688" s="1740"/>
      <c r="NCO1688" s="1740"/>
      <c r="NCP1688" s="1740"/>
      <c r="NCQ1688" s="1740"/>
      <c r="NCR1688" s="1740"/>
      <c r="NCS1688" s="1740"/>
      <c r="NCT1688" s="1740"/>
      <c r="NCU1688" s="1740"/>
      <c r="NCV1688" s="1740"/>
      <c r="NCW1688" s="1740"/>
      <c r="NCX1688" s="1740"/>
      <c r="NCY1688" s="1740"/>
      <c r="NCZ1688" s="1740"/>
      <c r="NDA1688" s="1740"/>
      <c r="NDB1688" s="1740"/>
      <c r="NDC1688" s="1740"/>
      <c r="NDD1688" s="1740"/>
      <c r="NDE1688" s="1740"/>
      <c r="NDF1688" s="1740"/>
      <c r="NDG1688" s="1740"/>
      <c r="NDH1688" s="1740"/>
      <c r="NDI1688" s="1740"/>
      <c r="NDJ1688" s="1740"/>
      <c r="NDK1688" s="1740"/>
      <c r="NDL1688" s="1740"/>
      <c r="NDM1688" s="1740"/>
      <c r="NDN1688" s="1740"/>
      <c r="NDO1688" s="1740"/>
      <c r="NDP1688" s="1740"/>
      <c r="NDQ1688" s="1740"/>
      <c r="NDR1688" s="1740"/>
      <c r="NDS1688" s="1740"/>
      <c r="NDT1688" s="1740"/>
      <c r="NDU1688" s="1740"/>
      <c r="NDV1688" s="1740"/>
      <c r="NDW1688" s="1740"/>
      <c r="NDX1688" s="1740"/>
      <c r="NDY1688" s="1740"/>
      <c r="NDZ1688" s="1740"/>
      <c r="NEA1688" s="1740"/>
      <c r="NEB1688" s="1740"/>
      <c r="NEC1688" s="1740"/>
      <c r="NED1688" s="1740"/>
      <c r="NEE1688" s="1740"/>
      <c r="NEF1688" s="1740"/>
      <c r="NEG1688" s="1740"/>
      <c r="NEH1688" s="1740"/>
      <c r="NEI1688" s="1740"/>
      <c r="NEJ1688" s="1740"/>
      <c r="NEK1688" s="1740"/>
      <c r="NEL1688" s="1740"/>
      <c r="NEM1688" s="1740"/>
      <c r="NEN1688" s="1740"/>
      <c r="NEO1688" s="1740"/>
      <c r="NEP1688" s="1740"/>
      <c r="NEQ1688" s="1740"/>
      <c r="NER1688" s="1740"/>
      <c r="NES1688" s="1740"/>
      <c r="NET1688" s="1740"/>
      <c r="NEU1688" s="1740"/>
      <c r="NEV1688" s="1740"/>
      <c r="NEW1688" s="1740"/>
      <c r="NEX1688" s="1740"/>
      <c r="NEY1688" s="1740"/>
      <c r="NEZ1688" s="1740"/>
      <c r="NFA1688" s="1740"/>
      <c r="NFB1688" s="1740"/>
      <c r="NFC1688" s="1740"/>
      <c r="NFD1688" s="1740"/>
      <c r="NFE1688" s="1740"/>
      <c r="NFF1688" s="1740"/>
      <c r="NFG1688" s="1740"/>
      <c r="NFH1688" s="1740"/>
      <c r="NFI1688" s="1740"/>
      <c r="NFJ1688" s="1740"/>
      <c r="NFK1688" s="1740"/>
      <c r="NFL1688" s="1740"/>
      <c r="NFM1688" s="1740"/>
      <c r="NFN1688" s="1740"/>
      <c r="NFO1688" s="1740"/>
      <c r="NFP1688" s="1740"/>
      <c r="NFQ1688" s="1740"/>
      <c r="NFR1688" s="1740"/>
      <c r="NFS1688" s="1740"/>
      <c r="NFT1688" s="1740"/>
      <c r="NFU1688" s="1740"/>
      <c r="NFV1688" s="1740"/>
      <c r="NFW1688" s="1740"/>
      <c r="NFX1688" s="1740"/>
      <c r="NFY1688" s="1740"/>
      <c r="NFZ1688" s="1740"/>
      <c r="NGA1688" s="1740"/>
      <c r="NGB1688" s="1740"/>
      <c r="NGC1688" s="1740"/>
      <c r="NGD1688" s="1740"/>
      <c r="NGE1688" s="1740"/>
      <c r="NGF1688" s="1740"/>
      <c r="NGG1688" s="1740"/>
      <c r="NGH1688" s="1740"/>
      <c r="NGI1688" s="1740"/>
      <c r="NGJ1688" s="1740"/>
      <c r="NGK1688" s="1740"/>
      <c r="NGL1688" s="1740"/>
      <c r="NGM1688" s="1740"/>
      <c r="NGN1688" s="1740"/>
      <c r="NGO1688" s="1740"/>
      <c r="NGP1688" s="1740"/>
      <c r="NGQ1688" s="1740"/>
      <c r="NGR1688" s="1740"/>
      <c r="NGS1688" s="1740"/>
      <c r="NGT1688" s="1740"/>
      <c r="NGU1688" s="1740"/>
      <c r="NGV1688" s="1740"/>
      <c r="NGW1688" s="1740"/>
      <c r="NGX1688" s="1740"/>
      <c r="NGY1688" s="1740"/>
      <c r="NGZ1688" s="1740"/>
      <c r="NHA1688" s="1740"/>
      <c r="NHB1688" s="1740"/>
      <c r="NHC1688" s="1740"/>
      <c r="NHD1688" s="1740"/>
      <c r="NHE1688" s="1740"/>
      <c r="NHF1688" s="1740"/>
      <c r="NHG1688" s="1740"/>
      <c r="NHH1688" s="1740"/>
      <c r="NHI1688" s="1740"/>
      <c r="NHJ1688" s="1740"/>
      <c r="NHK1688" s="1740"/>
      <c r="NHL1688" s="1740"/>
      <c r="NHM1688" s="1740"/>
      <c r="NHN1688" s="1740"/>
      <c r="NHO1688" s="1740"/>
      <c r="NHP1688" s="1740"/>
      <c r="NHQ1688" s="1740"/>
      <c r="NHR1688" s="1740"/>
      <c r="NHS1688" s="1740"/>
      <c r="NHT1688" s="1740"/>
      <c r="NHU1688" s="1740"/>
      <c r="NHV1688" s="1740"/>
      <c r="NHW1688" s="1740"/>
      <c r="NHX1688" s="1740"/>
      <c r="NHY1688" s="1740"/>
      <c r="NHZ1688" s="1740"/>
      <c r="NIA1688" s="1740"/>
      <c r="NIB1688" s="1740"/>
      <c r="NIC1688" s="1740"/>
      <c r="NID1688" s="1740"/>
      <c r="NIE1688" s="1740"/>
      <c r="NIF1688" s="1740"/>
      <c r="NIG1688" s="1740"/>
      <c r="NIH1688" s="1740"/>
      <c r="NII1688" s="1740"/>
      <c r="NIJ1688" s="1740"/>
      <c r="NIK1688" s="1740"/>
      <c r="NIL1688" s="1740"/>
      <c r="NIM1688" s="1740"/>
      <c r="NIN1688" s="1740"/>
      <c r="NIO1688" s="1740"/>
      <c r="NIP1688" s="1740"/>
      <c r="NIQ1688" s="1740"/>
      <c r="NIR1688" s="1740"/>
      <c r="NIS1688" s="1740"/>
      <c r="NIT1688" s="1740"/>
      <c r="NIU1688" s="1740"/>
      <c r="NIV1688" s="1740"/>
      <c r="NIW1688" s="1740"/>
      <c r="NIX1688" s="1740"/>
      <c r="NIY1688" s="1740"/>
      <c r="NIZ1688" s="1740"/>
      <c r="NJA1688" s="1740"/>
      <c r="NJB1688" s="1740"/>
      <c r="NJC1688" s="1740"/>
      <c r="NJD1688" s="1740"/>
      <c r="NJE1688" s="1740"/>
      <c r="NJF1688" s="1740"/>
      <c r="NJG1688" s="1740"/>
      <c r="NJH1688" s="1740"/>
      <c r="NJI1688" s="1740"/>
      <c r="NJJ1688" s="1740"/>
      <c r="NJK1688" s="1740"/>
      <c r="NJL1688" s="1740"/>
      <c r="NJM1688" s="1740"/>
      <c r="NJN1688" s="1740"/>
      <c r="NJO1688" s="1740"/>
      <c r="NJP1688" s="1740"/>
      <c r="NJQ1688" s="1740"/>
      <c r="NJR1688" s="1740"/>
      <c r="NJS1688" s="1740"/>
      <c r="NJT1688" s="1740"/>
      <c r="NJU1688" s="1740"/>
      <c r="NJV1688" s="1740"/>
      <c r="NJW1688" s="1740"/>
      <c r="NJX1688" s="1740"/>
      <c r="NJY1688" s="1740"/>
      <c r="NJZ1688" s="1740"/>
      <c r="NKA1688" s="1740"/>
      <c r="NKB1688" s="1740"/>
      <c r="NKC1688" s="1740"/>
      <c r="NKD1688" s="1740"/>
      <c r="NKE1688" s="1740"/>
      <c r="NKF1688" s="1740"/>
      <c r="NKG1688" s="1740"/>
      <c r="NKH1688" s="1740"/>
      <c r="NKI1688" s="1740"/>
      <c r="NKJ1688" s="1740"/>
      <c r="NKK1688" s="1740"/>
      <c r="NKL1688" s="1740"/>
      <c r="NKM1688" s="1740"/>
      <c r="NKN1688" s="1740"/>
      <c r="NKO1688" s="1740"/>
      <c r="NKP1688" s="1740"/>
      <c r="NKQ1688" s="1740"/>
      <c r="NKR1688" s="1740"/>
      <c r="NKS1688" s="1740"/>
      <c r="NKT1688" s="1740"/>
      <c r="NKU1688" s="1740"/>
      <c r="NKV1688" s="1740"/>
      <c r="NKW1688" s="1740"/>
      <c r="NKX1688" s="1740"/>
      <c r="NKY1688" s="1740"/>
      <c r="NKZ1688" s="1740"/>
      <c r="NLA1688" s="1740"/>
      <c r="NLB1688" s="1740"/>
      <c r="NLC1688" s="1740"/>
      <c r="NLD1688" s="1740"/>
      <c r="NLE1688" s="1740"/>
      <c r="NLF1688" s="1740"/>
      <c r="NLG1688" s="1740"/>
      <c r="NLH1688" s="1740"/>
      <c r="NLI1688" s="1740"/>
      <c r="NLJ1688" s="1740"/>
      <c r="NLK1688" s="1740"/>
      <c r="NLL1688" s="1740"/>
      <c r="NLM1688" s="1740"/>
      <c r="NLN1688" s="1740"/>
      <c r="NLO1688" s="1740"/>
      <c r="NLP1688" s="1740"/>
      <c r="NLQ1688" s="1740"/>
      <c r="NLR1688" s="1740"/>
      <c r="NLS1688" s="1740"/>
      <c r="NLT1688" s="1740"/>
      <c r="NLU1688" s="1740"/>
      <c r="NLV1688" s="1740"/>
      <c r="NLW1688" s="1740"/>
      <c r="NLX1688" s="1740"/>
      <c r="NLY1688" s="1740"/>
      <c r="NLZ1688" s="1740"/>
      <c r="NMA1688" s="1740"/>
      <c r="NMB1688" s="1740"/>
      <c r="NMC1688" s="1740"/>
      <c r="NMD1688" s="1740"/>
      <c r="NME1688" s="1740"/>
      <c r="NMF1688" s="1740"/>
      <c r="NMG1688" s="1740"/>
      <c r="NMH1688" s="1740"/>
      <c r="NMI1688" s="1740"/>
      <c r="NMJ1688" s="1740"/>
      <c r="NMK1688" s="1740"/>
      <c r="NML1688" s="1740"/>
      <c r="NMM1688" s="1740"/>
      <c r="NMN1688" s="1740"/>
      <c r="NMO1688" s="1740"/>
      <c r="NMP1688" s="1740"/>
      <c r="NMQ1688" s="1740"/>
      <c r="NMR1688" s="1740"/>
      <c r="NMS1688" s="1740"/>
      <c r="NMT1688" s="1740"/>
      <c r="NMU1688" s="1740"/>
      <c r="NMV1688" s="1740"/>
      <c r="NMW1688" s="1740"/>
      <c r="NMX1688" s="1740"/>
      <c r="NMY1688" s="1740"/>
      <c r="NMZ1688" s="1740"/>
      <c r="NNA1688" s="1740"/>
      <c r="NNB1688" s="1740"/>
      <c r="NNC1688" s="1740"/>
      <c r="NND1688" s="1740"/>
      <c r="NNE1688" s="1740"/>
      <c r="NNF1688" s="1740"/>
      <c r="NNG1688" s="1740"/>
      <c r="NNH1688" s="1740"/>
      <c r="NNI1688" s="1740"/>
      <c r="NNJ1688" s="1740"/>
      <c r="NNK1688" s="1740"/>
      <c r="NNL1688" s="1740"/>
      <c r="NNM1688" s="1740"/>
      <c r="NNN1688" s="1740"/>
      <c r="NNO1688" s="1740"/>
      <c r="NNP1688" s="1740"/>
      <c r="NNQ1688" s="1740"/>
      <c r="NNR1688" s="1740"/>
      <c r="NNS1688" s="1740"/>
      <c r="NNT1688" s="1740"/>
      <c r="NNU1688" s="1740"/>
      <c r="NNV1688" s="1740"/>
      <c r="NNW1688" s="1740"/>
      <c r="NNX1688" s="1740"/>
      <c r="NNY1688" s="1740"/>
      <c r="NNZ1688" s="1740"/>
      <c r="NOA1688" s="1740"/>
      <c r="NOB1688" s="1740"/>
      <c r="NOC1688" s="1740"/>
      <c r="NOD1688" s="1740"/>
      <c r="NOE1688" s="1740"/>
      <c r="NOF1688" s="1740"/>
      <c r="NOG1688" s="1740"/>
      <c r="NOH1688" s="1740"/>
      <c r="NOI1688" s="1740"/>
      <c r="NOJ1688" s="1740"/>
      <c r="NOK1688" s="1740"/>
      <c r="NOL1688" s="1740"/>
      <c r="NOM1688" s="1740"/>
      <c r="NON1688" s="1740"/>
      <c r="NOO1688" s="1740"/>
      <c r="NOP1688" s="1740"/>
      <c r="NOQ1688" s="1740"/>
      <c r="NOR1688" s="1740"/>
      <c r="NOS1688" s="1740"/>
      <c r="NOT1688" s="1740"/>
      <c r="NOU1688" s="1740"/>
      <c r="NOV1688" s="1740"/>
      <c r="NOW1688" s="1740"/>
      <c r="NOX1688" s="1740"/>
      <c r="NOY1688" s="1740"/>
      <c r="NOZ1688" s="1740"/>
      <c r="NPA1688" s="1740"/>
      <c r="NPB1688" s="1740"/>
      <c r="NPC1688" s="1740"/>
      <c r="NPD1688" s="1740"/>
      <c r="NPE1688" s="1740"/>
      <c r="NPF1688" s="1740"/>
      <c r="NPG1688" s="1740"/>
      <c r="NPH1688" s="1740"/>
      <c r="NPI1688" s="1740"/>
      <c r="NPJ1688" s="1740"/>
      <c r="NPK1688" s="1740"/>
      <c r="NPL1688" s="1740"/>
      <c r="NPM1688" s="1740"/>
      <c r="NPN1688" s="1740"/>
      <c r="NPO1688" s="1740"/>
      <c r="NPP1688" s="1740"/>
      <c r="NPQ1688" s="1740"/>
      <c r="NPR1688" s="1740"/>
      <c r="NPS1688" s="1740"/>
      <c r="NPT1688" s="1740"/>
      <c r="NPU1688" s="1740"/>
      <c r="NPV1688" s="1740"/>
      <c r="NPW1688" s="1740"/>
      <c r="NPX1688" s="1740"/>
      <c r="NPY1688" s="1740"/>
      <c r="NPZ1688" s="1740"/>
      <c r="NQA1688" s="1740"/>
      <c r="NQB1688" s="1740"/>
      <c r="NQC1688" s="1740"/>
      <c r="NQD1688" s="1740"/>
      <c r="NQE1688" s="1740"/>
      <c r="NQF1688" s="1740"/>
      <c r="NQG1688" s="1740"/>
      <c r="NQH1688" s="1740"/>
      <c r="NQI1688" s="1740"/>
      <c r="NQJ1688" s="1740"/>
      <c r="NQK1688" s="1740"/>
      <c r="NQL1688" s="1740"/>
      <c r="NQM1688" s="1740"/>
      <c r="NQN1688" s="1740"/>
      <c r="NQO1688" s="1740"/>
      <c r="NQP1688" s="1740"/>
      <c r="NQQ1688" s="1740"/>
      <c r="NQR1688" s="1740"/>
      <c r="NQS1688" s="1740"/>
      <c r="NQT1688" s="1740"/>
      <c r="NQU1688" s="1740"/>
      <c r="NQV1688" s="1740"/>
      <c r="NQW1688" s="1740"/>
      <c r="NQX1688" s="1740"/>
      <c r="NQY1688" s="1740"/>
      <c r="NQZ1688" s="1740"/>
      <c r="NRA1688" s="1740"/>
      <c r="NRB1688" s="1740"/>
      <c r="NRC1688" s="1740"/>
      <c r="NRD1688" s="1740"/>
      <c r="NRE1688" s="1740"/>
      <c r="NRF1688" s="1740"/>
      <c r="NRG1688" s="1740"/>
      <c r="NRH1688" s="1740"/>
      <c r="NRI1688" s="1740"/>
      <c r="NRJ1688" s="1740"/>
      <c r="NRK1688" s="1740"/>
      <c r="NRL1688" s="1740"/>
      <c r="NRM1688" s="1740"/>
      <c r="NRN1688" s="1740"/>
      <c r="NRO1688" s="1740"/>
      <c r="NRP1688" s="1740"/>
      <c r="NRQ1688" s="1740"/>
      <c r="NRR1688" s="1740"/>
      <c r="NRS1688" s="1740"/>
      <c r="NRT1688" s="1740"/>
      <c r="NRU1688" s="1740"/>
      <c r="NRV1688" s="1740"/>
      <c r="NRW1688" s="1740"/>
      <c r="NRX1688" s="1740"/>
      <c r="NRY1688" s="1740"/>
      <c r="NRZ1688" s="1740"/>
      <c r="NSA1688" s="1740"/>
      <c r="NSB1688" s="1740"/>
      <c r="NSC1688" s="1740"/>
      <c r="NSD1688" s="1740"/>
      <c r="NSE1688" s="1740"/>
      <c r="NSF1688" s="1740"/>
      <c r="NSG1688" s="1740"/>
      <c r="NSH1688" s="1740"/>
      <c r="NSI1688" s="1740"/>
      <c r="NSJ1688" s="1740"/>
      <c r="NSK1688" s="1740"/>
      <c r="NSL1688" s="1740"/>
      <c r="NSM1688" s="1740"/>
      <c r="NSN1688" s="1740"/>
      <c r="NSO1688" s="1740"/>
      <c r="NSP1688" s="1740"/>
      <c r="NSQ1688" s="1740"/>
      <c r="NSR1688" s="1740"/>
      <c r="NSS1688" s="1740"/>
      <c r="NST1688" s="1740"/>
      <c r="NSU1688" s="1740"/>
      <c r="NSV1688" s="1740"/>
      <c r="NSW1688" s="1740"/>
      <c r="NSX1688" s="1740"/>
      <c r="NSY1688" s="1740"/>
      <c r="NSZ1688" s="1740"/>
      <c r="NTA1688" s="1740"/>
      <c r="NTB1688" s="1740"/>
      <c r="NTC1688" s="1740"/>
      <c r="NTD1688" s="1740"/>
      <c r="NTE1688" s="1740"/>
      <c r="NTF1688" s="1740"/>
      <c r="NTG1688" s="1740"/>
      <c r="NTH1688" s="1740"/>
      <c r="NTI1688" s="1740"/>
      <c r="NTJ1688" s="1740"/>
      <c r="NTK1688" s="1740"/>
      <c r="NTL1688" s="1740"/>
      <c r="NTM1688" s="1740"/>
      <c r="NTN1688" s="1740"/>
      <c r="NTO1688" s="1740"/>
      <c r="NTP1688" s="1740"/>
      <c r="NTQ1688" s="1740"/>
      <c r="NTR1688" s="1740"/>
      <c r="NTS1688" s="1740"/>
      <c r="NTT1688" s="1740"/>
      <c r="NTU1688" s="1740"/>
      <c r="NTV1688" s="1740"/>
      <c r="NTW1688" s="1740"/>
      <c r="NTX1688" s="1740"/>
      <c r="NTY1688" s="1740"/>
      <c r="NTZ1688" s="1740"/>
      <c r="NUA1688" s="1740"/>
      <c r="NUB1688" s="1740"/>
      <c r="NUC1688" s="1740"/>
      <c r="NUD1688" s="1740"/>
      <c r="NUE1688" s="1740"/>
      <c r="NUF1688" s="1740"/>
      <c r="NUG1688" s="1740"/>
      <c r="NUH1688" s="1740"/>
      <c r="NUI1688" s="1740"/>
      <c r="NUJ1688" s="1740"/>
      <c r="NUK1688" s="1740"/>
      <c r="NUL1688" s="1740"/>
      <c r="NUM1688" s="1740"/>
      <c r="NUN1688" s="1740"/>
      <c r="NUO1688" s="1740"/>
      <c r="NUP1688" s="1740"/>
      <c r="NUQ1688" s="1740"/>
      <c r="NUR1688" s="1740"/>
      <c r="NUS1688" s="1740"/>
      <c r="NUT1688" s="1740"/>
      <c r="NUU1688" s="1740"/>
      <c r="NUV1688" s="1740"/>
      <c r="NUW1688" s="1740"/>
      <c r="NUX1688" s="1740"/>
      <c r="NUY1688" s="1740"/>
      <c r="NUZ1688" s="1740"/>
      <c r="NVA1688" s="1740"/>
      <c r="NVB1688" s="1740"/>
      <c r="NVC1688" s="1740"/>
      <c r="NVD1688" s="1740"/>
      <c r="NVE1688" s="1740"/>
      <c r="NVF1688" s="1740"/>
      <c r="NVG1688" s="1740"/>
      <c r="NVH1688" s="1740"/>
      <c r="NVI1688" s="1740"/>
      <c r="NVJ1688" s="1740"/>
      <c r="NVK1688" s="1740"/>
      <c r="NVL1688" s="1740"/>
      <c r="NVM1688" s="1740"/>
      <c r="NVN1688" s="1740"/>
      <c r="NVO1688" s="1740"/>
      <c r="NVP1688" s="1740"/>
      <c r="NVQ1688" s="1740"/>
      <c r="NVR1688" s="1740"/>
      <c r="NVS1688" s="1740"/>
      <c r="NVT1688" s="1740"/>
      <c r="NVU1688" s="1740"/>
      <c r="NVV1688" s="1740"/>
      <c r="NVW1688" s="1740"/>
      <c r="NVX1688" s="1740"/>
      <c r="NVY1688" s="1740"/>
      <c r="NVZ1688" s="1740"/>
      <c r="NWA1688" s="1740"/>
      <c r="NWB1688" s="1740"/>
      <c r="NWC1688" s="1740"/>
      <c r="NWD1688" s="1740"/>
      <c r="NWE1688" s="1740"/>
      <c r="NWF1688" s="1740"/>
      <c r="NWG1688" s="1740"/>
      <c r="NWH1688" s="1740"/>
      <c r="NWI1688" s="1740"/>
      <c r="NWJ1688" s="1740"/>
      <c r="NWK1688" s="1740"/>
      <c r="NWL1688" s="1740"/>
      <c r="NWM1688" s="1740"/>
      <c r="NWN1688" s="1740"/>
      <c r="NWO1688" s="1740"/>
      <c r="NWP1688" s="1740"/>
      <c r="NWQ1688" s="1740"/>
      <c r="NWR1688" s="1740"/>
      <c r="NWS1688" s="1740"/>
      <c r="NWT1688" s="1740"/>
      <c r="NWU1688" s="1740"/>
      <c r="NWV1688" s="1740"/>
      <c r="NWW1688" s="1740"/>
      <c r="NWX1688" s="1740"/>
      <c r="NWY1688" s="1740"/>
      <c r="NWZ1688" s="1740"/>
      <c r="NXA1688" s="1740"/>
      <c r="NXB1688" s="1740"/>
      <c r="NXC1688" s="1740"/>
      <c r="NXD1688" s="1740"/>
      <c r="NXE1688" s="1740"/>
      <c r="NXF1688" s="1740"/>
      <c r="NXG1688" s="1740"/>
      <c r="NXH1688" s="1740"/>
      <c r="NXI1688" s="1740"/>
      <c r="NXJ1688" s="1740"/>
      <c r="NXK1688" s="1740"/>
      <c r="NXL1688" s="1740"/>
      <c r="NXM1688" s="1740"/>
      <c r="NXN1688" s="1740"/>
      <c r="NXO1688" s="1740"/>
      <c r="NXP1688" s="1740"/>
      <c r="NXQ1688" s="1740"/>
      <c r="NXR1688" s="1740"/>
      <c r="NXS1688" s="1740"/>
      <c r="NXT1688" s="1740"/>
      <c r="NXU1688" s="1740"/>
      <c r="NXV1688" s="1740"/>
      <c r="NXW1688" s="1740"/>
      <c r="NXX1688" s="1740"/>
      <c r="NXY1688" s="1740"/>
      <c r="NXZ1688" s="1740"/>
      <c r="NYA1688" s="1740"/>
      <c r="NYB1688" s="1740"/>
      <c r="NYC1688" s="1740"/>
      <c r="NYD1688" s="1740"/>
      <c r="NYE1688" s="1740"/>
      <c r="NYF1688" s="1740"/>
      <c r="NYG1688" s="1740"/>
      <c r="NYH1688" s="1740"/>
      <c r="NYI1688" s="1740"/>
      <c r="NYJ1688" s="1740"/>
      <c r="NYK1688" s="1740"/>
      <c r="NYL1688" s="1740"/>
      <c r="NYM1688" s="1740"/>
      <c r="NYN1688" s="1740"/>
      <c r="NYO1688" s="1740"/>
      <c r="NYP1688" s="1740"/>
      <c r="NYQ1688" s="1740"/>
      <c r="NYR1688" s="1740"/>
      <c r="NYS1688" s="1740"/>
      <c r="NYT1688" s="1740"/>
      <c r="NYU1688" s="1740"/>
      <c r="NYV1688" s="1740"/>
      <c r="NYW1688" s="1740"/>
      <c r="NYX1688" s="1740"/>
      <c r="NYY1688" s="1740"/>
      <c r="NYZ1688" s="1740"/>
      <c r="NZA1688" s="1740"/>
      <c r="NZB1688" s="1740"/>
      <c r="NZC1688" s="1740"/>
      <c r="NZD1688" s="1740"/>
      <c r="NZE1688" s="1740"/>
      <c r="NZF1688" s="1740"/>
      <c r="NZG1688" s="1740"/>
      <c r="NZH1688" s="1740"/>
      <c r="NZI1688" s="1740"/>
      <c r="NZJ1688" s="1740"/>
      <c r="NZK1688" s="1740"/>
      <c r="NZL1688" s="1740"/>
      <c r="NZM1688" s="1740"/>
      <c r="NZN1688" s="1740"/>
      <c r="NZO1688" s="1740"/>
      <c r="NZP1688" s="1740"/>
      <c r="NZQ1688" s="1740"/>
      <c r="NZR1688" s="1740"/>
      <c r="NZS1688" s="1740"/>
      <c r="NZT1688" s="1740"/>
      <c r="NZU1688" s="1740"/>
      <c r="NZV1688" s="1740"/>
      <c r="NZW1688" s="1740"/>
      <c r="NZX1688" s="1740"/>
      <c r="NZY1688" s="1740"/>
      <c r="NZZ1688" s="1740"/>
      <c r="OAA1688" s="1740"/>
      <c r="OAB1688" s="1740"/>
      <c r="OAC1688" s="1740"/>
      <c r="OAD1688" s="1740"/>
      <c r="OAE1688" s="1740"/>
      <c r="OAF1688" s="1740"/>
      <c r="OAG1688" s="1740"/>
      <c r="OAH1688" s="1740"/>
      <c r="OAI1688" s="1740"/>
      <c r="OAJ1688" s="1740"/>
      <c r="OAK1688" s="1740"/>
      <c r="OAL1688" s="1740"/>
      <c r="OAM1688" s="1740"/>
      <c r="OAN1688" s="1740"/>
      <c r="OAO1688" s="1740"/>
      <c r="OAP1688" s="1740"/>
      <c r="OAQ1688" s="1740"/>
      <c r="OAR1688" s="1740"/>
      <c r="OAS1688" s="1740"/>
      <c r="OAT1688" s="1740"/>
      <c r="OAU1688" s="1740"/>
      <c r="OAV1688" s="1740"/>
      <c r="OAW1688" s="1740"/>
      <c r="OAX1688" s="1740"/>
      <c r="OAY1688" s="1740"/>
      <c r="OAZ1688" s="1740"/>
      <c r="OBA1688" s="1740"/>
      <c r="OBB1688" s="1740"/>
      <c r="OBC1688" s="1740"/>
      <c r="OBD1688" s="1740"/>
      <c r="OBE1688" s="1740"/>
      <c r="OBF1688" s="1740"/>
      <c r="OBG1688" s="1740"/>
      <c r="OBH1688" s="1740"/>
      <c r="OBI1688" s="1740"/>
      <c r="OBJ1688" s="1740"/>
      <c r="OBK1688" s="1740"/>
      <c r="OBL1688" s="1740"/>
      <c r="OBM1688" s="1740"/>
      <c r="OBN1688" s="1740"/>
      <c r="OBO1688" s="1740"/>
      <c r="OBP1688" s="1740"/>
      <c r="OBQ1688" s="1740"/>
      <c r="OBR1688" s="1740"/>
      <c r="OBS1688" s="1740"/>
      <c r="OBT1688" s="1740"/>
      <c r="OBU1688" s="1740"/>
      <c r="OBV1688" s="1740"/>
      <c r="OBW1688" s="1740"/>
      <c r="OBX1688" s="1740"/>
      <c r="OBY1688" s="1740"/>
      <c r="OBZ1688" s="1740"/>
      <c r="OCA1688" s="1740"/>
      <c r="OCB1688" s="1740"/>
      <c r="OCC1688" s="1740"/>
      <c r="OCD1688" s="1740"/>
      <c r="OCE1688" s="1740"/>
      <c r="OCF1688" s="1740"/>
      <c r="OCG1688" s="1740"/>
      <c r="OCH1688" s="1740"/>
      <c r="OCI1688" s="1740"/>
      <c r="OCJ1688" s="1740"/>
      <c r="OCK1688" s="1740"/>
      <c r="OCL1688" s="1740"/>
      <c r="OCM1688" s="1740"/>
      <c r="OCN1688" s="1740"/>
      <c r="OCO1688" s="1740"/>
      <c r="OCP1688" s="1740"/>
      <c r="OCQ1688" s="1740"/>
      <c r="OCR1688" s="1740"/>
      <c r="OCS1688" s="1740"/>
      <c r="OCT1688" s="1740"/>
      <c r="OCU1688" s="1740"/>
      <c r="OCV1688" s="1740"/>
      <c r="OCW1688" s="1740"/>
      <c r="OCX1688" s="1740"/>
      <c r="OCY1688" s="1740"/>
      <c r="OCZ1688" s="1740"/>
      <c r="ODA1688" s="1740"/>
      <c r="ODB1688" s="1740"/>
      <c r="ODC1688" s="1740"/>
      <c r="ODD1688" s="1740"/>
      <c r="ODE1688" s="1740"/>
      <c r="ODF1688" s="1740"/>
      <c r="ODG1688" s="1740"/>
      <c r="ODH1688" s="1740"/>
      <c r="ODI1688" s="1740"/>
      <c r="ODJ1688" s="1740"/>
      <c r="ODK1688" s="1740"/>
      <c r="ODL1688" s="1740"/>
      <c r="ODM1688" s="1740"/>
      <c r="ODN1688" s="1740"/>
      <c r="ODO1688" s="1740"/>
      <c r="ODP1688" s="1740"/>
      <c r="ODQ1688" s="1740"/>
      <c r="ODR1688" s="1740"/>
      <c r="ODS1688" s="1740"/>
      <c r="ODT1688" s="1740"/>
      <c r="ODU1688" s="1740"/>
      <c r="ODV1688" s="1740"/>
      <c r="ODW1688" s="1740"/>
      <c r="ODX1688" s="1740"/>
      <c r="ODY1688" s="1740"/>
      <c r="ODZ1688" s="1740"/>
      <c r="OEA1688" s="1740"/>
      <c r="OEB1688" s="1740"/>
      <c r="OEC1688" s="1740"/>
      <c r="OED1688" s="1740"/>
      <c r="OEE1688" s="1740"/>
      <c r="OEF1688" s="1740"/>
      <c r="OEG1688" s="1740"/>
      <c r="OEH1688" s="1740"/>
      <c r="OEI1688" s="1740"/>
      <c r="OEJ1688" s="1740"/>
      <c r="OEK1688" s="1740"/>
      <c r="OEL1688" s="1740"/>
      <c r="OEM1688" s="1740"/>
      <c r="OEN1688" s="1740"/>
      <c r="OEO1688" s="1740"/>
      <c r="OEP1688" s="1740"/>
      <c r="OEQ1688" s="1740"/>
      <c r="OER1688" s="1740"/>
      <c r="OES1688" s="1740"/>
      <c r="OET1688" s="1740"/>
      <c r="OEU1688" s="1740"/>
      <c r="OEV1688" s="1740"/>
      <c r="OEW1688" s="1740"/>
      <c r="OEX1688" s="1740"/>
      <c r="OEY1688" s="1740"/>
      <c r="OEZ1688" s="1740"/>
      <c r="OFA1688" s="1740"/>
      <c r="OFB1688" s="1740"/>
      <c r="OFC1688" s="1740"/>
      <c r="OFD1688" s="1740"/>
      <c r="OFE1688" s="1740"/>
      <c r="OFF1688" s="1740"/>
      <c r="OFG1688" s="1740"/>
      <c r="OFH1688" s="1740"/>
      <c r="OFI1688" s="1740"/>
      <c r="OFJ1688" s="1740"/>
      <c r="OFK1688" s="1740"/>
      <c r="OFL1688" s="1740"/>
      <c r="OFM1688" s="1740"/>
      <c r="OFN1688" s="1740"/>
      <c r="OFO1688" s="1740"/>
      <c r="OFP1688" s="1740"/>
      <c r="OFQ1688" s="1740"/>
      <c r="OFR1688" s="1740"/>
      <c r="OFS1688" s="1740"/>
      <c r="OFT1688" s="1740"/>
      <c r="OFU1688" s="1740"/>
      <c r="OFV1688" s="1740"/>
      <c r="OFW1688" s="1740"/>
      <c r="OFX1688" s="1740"/>
      <c r="OFY1688" s="1740"/>
      <c r="OFZ1688" s="1740"/>
      <c r="OGA1688" s="1740"/>
      <c r="OGB1688" s="1740"/>
      <c r="OGC1688" s="1740"/>
      <c r="OGD1688" s="1740"/>
      <c r="OGE1688" s="1740"/>
      <c r="OGF1688" s="1740"/>
      <c r="OGG1688" s="1740"/>
      <c r="OGH1688" s="1740"/>
      <c r="OGI1688" s="1740"/>
      <c r="OGJ1688" s="1740"/>
      <c r="OGK1688" s="1740"/>
      <c r="OGL1688" s="1740"/>
      <c r="OGM1688" s="1740"/>
      <c r="OGN1688" s="1740"/>
      <c r="OGO1688" s="1740"/>
      <c r="OGP1688" s="1740"/>
      <c r="OGQ1688" s="1740"/>
      <c r="OGR1688" s="1740"/>
      <c r="OGS1688" s="1740"/>
      <c r="OGT1688" s="1740"/>
      <c r="OGU1688" s="1740"/>
      <c r="OGV1688" s="1740"/>
      <c r="OGW1688" s="1740"/>
      <c r="OGX1688" s="1740"/>
      <c r="OGY1688" s="1740"/>
      <c r="OGZ1688" s="1740"/>
      <c r="OHA1688" s="1740"/>
      <c r="OHB1688" s="1740"/>
      <c r="OHC1688" s="1740"/>
      <c r="OHD1688" s="1740"/>
      <c r="OHE1688" s="1740"/>
      <c r="OHF1688" s="1740"/>
      <c r="OHG1688" s="1740"/>
      <c r="OHH1688" s="1740"/>
      <c r="OHI1688" s="1740"/>
      <c r="OHJ1688" s="1740"/>
      <c r="OHK1688" s="1740"/>
      <c r="OHL1688" s="1740"/>
      <c r="OHM1688" s="1740"/>
      <c r="OHN1688" s="1740"/>
      <c r="OHO1688" s="1740"/>
      <c r="OHP1688" s="1740"/>
      <c r="OHQ1688" s="1740"/>
      <c r="OHR1688" s="1740"/>
      <c r="OHS1688" s="1740"/>
      <c r="OHT1688" s="1740"/>
      <c r="OHU1688" s="1740"/>
      <c r="OHV1688" s="1740"/>
      <c r="OHW1688" s="1740"/>
      <c r="OHX1688" s="1740"/>
      <c r="OHY1688" s="1740"/>
      <c r="OHZ1688" s="1740"/>
      <c r="OIA1688" s="1740"/>
      <c r="OIB1688" s="1740"/>
      <c r="OIC1688" s="1740"/>
      <c r="OID1688" s="1740"/>
      <c r="OIE1688" s="1740"/>
      <c r="OIF1688" s="1740"/>
      <c r="OIG1688" s="1740"/>
      <c r="OIH1688" s="1740"/>
      <c r="OII1688" s="1740"/>
      <c r="OIJ1688" s="1740"/>
      <c r="OIK1688" s="1740"/>
      <c r="OIL1688" s="1740"/>
      <c r="OIM1688" s="1740"/>
      <c r="OIN1688" s="1740"/>
      <c r="OIO1688" s="1740"/>
      <c r="OIP1688" s="1740"/>
      <c r="OIQ1688" s="1740"/>
      <c r="OIR1688" s="1740"/>
      <c r="OIS1688" s="1740"/>
      <c r="OIT1688" s="1740"/>
      <c r="OIU1688" s="1740"/>
      <c r="OIV1688" s="1740"/>
      <c r="OIW1688" s="1740"/>
      <c r="OIX1688" s="1740"/>
      <c r="OIY1688" s="1740"/>
      <c r="OIZ1688" s="1740"/>
      <c r="OJA1688" s="1740"/>
      <c r="OJB1688" s="1740"/>
      <c r="OJC1688" s="1740"/>
      <c r="OJD1688" s="1740"/>
      <c r="OJE1688" s="1740"/>
      <c r="OJF1688" s="1740"/>
      <c r="OJG1688" s="1740"/>
      <c r="OJH1688" s="1740"/>
      <c r="OJI1688" s="1740"/>
      <c r="OJJ1688" s="1740"/>
      <c r="OJK1688" s="1740"/>
      <c r="OJL1688" s="1740"/>
      <c r="OJM1688" s="1740"/>
      <c r="OJN1688" s="1740"/>
      <c r="OJO1688" s="1740"/>
      <c r="OJP1688" s="1740"/>
      <c r="OJQ1688" s="1740"/>
      <c r="OJR1688" s="1740"/>
      <c r="OJS1688" s="1740"/>
      <c r="OJT1688" s="1740"/>
      <c r="OJU1688" s="1740"/>
      <c r="OJV1688" s="1740"/>
      <c r="OJW1688" s="1740"/>
      <c r="OJX1688" s="1740"/>
      <c r="OJY1688" s="1740"/>
      <c r="OJZ1688" s="1740"/>
      <c r="OKA1688" s="1740"/>
      <c r="OKB1688" s="1740"/>
      <c r="OKC1688" s="1740"/>
      <c r="OKD1688" s="1740"/>
      <c r="OKE1688" s="1740"/>
      <c r="OKF1688" s="1740"/>
      <c r="OKG1688" s="1740"/>
      <c r="OKH1688" s="1740"/>
      <c r="OKI1688" s="1740"/>
      <c r="OKJ1688" s="1740"/>
      <c r="OKK1688" s="1740"/>
      <c r="OKL1688" s="1740"/>
      <c r="OKM1688" s="1740"/>
      <c r="OKN1688" s="1740"/>
      <c r="OKO1688" s="1740"/>
      <c r="OKP1688" s="1740"/>
      <c r="OKQ1688" s="1740"/>
      <c r="OKR1688" s="1740"/>
      <c r="OKS1688" s="1740"/>
      <c r="OKT1688" s="1740"/>
      <c r="OKU1688" s="1740"/>
      <c r="OKV1688" s="1740"/>
      <c r="OKW1688" s="1740"/>
      <c r="OKX1688" s="1740"/>
      <c r="OKY1688" s="1740"/>
      <c r="OKZ1688" s="1740"/>
      <c r="OLA1688" s="1740"/>
      <c r="OLB1688" s="1740"/>
      <c r="OLC1688" s="1740"/>
      <c r="OLD1688" s="1740"/>
      <c r="OLE1688" s="1740"/>
      <c r="OLF1688" s="1740"/>
      <c r="OLG1688" s="1740"/>
      <c r="OLH1688" s="1740"/>
      <c r="OLI1688" s="1740"/>
      <c r="OLJ1688" s="1740"/>
      <c r="OLK1688" s="1740"/>
      <c r="OLL1688" s="1740"/>
      <c r="OLM1688" s="1740"/>
      <c r="OLN1688" s="1740"/>
      <c r="OLO1688" s="1740"/>
      <c r="OLP1688" s="1740"/>
      <c r="OLQ1688" s="1740"/>
      <c r="OLR1688" s="1740"/>
      <c r="OLS1688" s="1740"/>
      <c r="OLT1688" s="1740"/>
      <c r="OLU1688" s="1740"/>
      <c r="OLV1688" s="1740"/>
      <c r="OLW1688" s="1740"/>
      <c r="OLX1688" s="1740"/>
      <c r="OLY1688" s="1740"/>
      <c r="OLZ1688" s="1740"/>
      <c r="OMA1688" s="1740"/>
      <c r="OMB1688" s="1740"/>
      <c r="OMC1688" s="1740"/>
      <c r="OMD1688" s="1740"/>
      <c r="OME1688" s="1740"/>
      <c r="OMF1688" s="1740"/>
      <c r="OMG1688" s="1740"/>
      <c r="OMH1688" s="1740"/>
      <c r="OMI1688" s="1740"/>
      <c r="OMJ1688" s="1740"/>
      <c r="OMK1688" s="1740"/>
      <c r="OML1688" s="1740"/>
      <c r="OMM1688" s="1740"/>
      <c r="OMN1688" s="1740"/>
      <c r="OMO1688" s="1740"/>
      <c r="OMP1688" s="1740"/>
      <c r="OMQ1688" s="1740"/>
      <c r="OMR1688" s="1740"/>
      <c r="OMS1688" s="1740"/>
      <c r="OMT1688" s="1740"/>
      <c r="OMU1688" s="1740"/>
      <c r="OMV1688" s="1740"/>
      <c r="OMW1688" s="1740"/>
      <c r="OMX1688" s="1740"/>
      <c r="OMY1688" s="1740"/>
      <c r="OMZ1688" s="1740"/>
      <c r="ONA1688" s="1740"/>
      <c r="ONB1688" s="1740"/>
      <c r="ONC1688" s="1740"/>
      <c r="OND1688" s="1740"/>
      <c r="ONE1688" s="1740"/>
      <c r="ONF1688" s="1740"/>
      <c r="ONG1688" s="1740"/>
      <c r="ONH1688" s="1740"/>
      <c r="ONI1688" s="1740"/>
      <c r="ONJ1688" s="1740"/>
      <c r="ONK1688" s="1740"/>
      <c r="ONL1688" s="1740"/>
      <c r="ONM1688" s="1740"/>
      <c r="ONN1688" s="1740"/>
      <c r="ONO1688" s="1740"/>
      <c r="ONP1688" s="1740"/>
      <c r="ONQ1688" s="1740"/>
      <c r="ONR1688" s="1740"/>
      <c r="ONS1688" s="1740"/>
      <c r="ONT1688" s="1740"/>
      <c r="ONU1688" s="1740"/>
      <c r="ONV1688" s="1740"/>
      <c r="ONW1688" s="1740"/>
      <c r="ONX1688" s="1740"/>
      <c r="ONY1688" s="1740"/>
      <c r="ONZ1688" s="1740"/>
      <c r="OOA1688" s="1740"/>
      <c r="OOB1688" s="1740"/>
      <c r="OOC1688" s="1740"/>
      <c r="OOD1688" s="1740"/>
      <c r="OOE1688" s="1740"/>
      <c r="OOF1688" s="1740"/>
      <c r="OOG1688" s="1740"/>
      <c r="OOH1688" s="1740"/>
      <c r="OOI1688" s="1740"/>
      <c r="OOJ1688" s="1740"/>
      <c r="OOK1688" s="1740"/>
      <c r="OOL1688" s="1740"/>
      <c r="OOM1688" s="1740"/>
      <c r="OON1688" s="1740"/>
      <c r="OOO1688" s="1740"/>
      <c r="OOP1688" s="1740"/>
      <c r="OOQ1688" s="1740"/>
      <c r="OOR1688" s="1740"/>
      <c r="OOS1688" s="1740"/>
      <c r="OOT1688" s="1740"/>
      <c r="OOU1688" s="1740"/>
      <c r="OOV1688" s="1740"/>
      <c r="OOW1688" s="1740"/>
      <c r="OOX1688" s="1740"/>
      <c r="OOY1688" s="1740"/>
      <c r="OOZ1688" s="1740"/>
      <c r="OPA1688" s="1740"/>
      <c r="OPB1688" s="1740"/>
      <c r="OPC1688" s="1740"/>
      <c r="OPD1688" s="1740"/>
      <c r="OPE1688" s="1740"/>
      <c r="OPF1688" s="1740"/>
      <c r="OPG1688" s="1740"/>
      <c r="OPH1688" s="1740"/>
      <c r="OPI1688" s="1740"/>
      <c r="OPJ1688" s="1740"/>
      <c r="OPK1688" s="1740"/>
      <c r="OPL1688" s="1740"/>
      <c r="OPM1688" s="1740"/>
      <c r="OPN1688" s="1740"/>
      <c r="OPO1688" s="1740"/>
      <c r="OPP1688" s="1740"/>
      <c r="OPQ1688" s="1740"/>
      <c r="OPR1688" s="1740"/>
      <c r="OPS1688" s="1740"/>
      <c r="OPT1688" s="1740"/>
      <c r="OPU1688" s="1740"/>
      <c r="OPV1688" s="1740"/>
      <c r="OPW1688" s="1740"/>
      <c r="OPX1688" s="1740"/>
      <c r="OPY1688" s="1740"/>
      <c r="OPZ1688" s="1740"/>
      <c r="OQA1688" s="1740"/>
      <c r="OQB1688" s="1740"/>
      <c r="OQC1688" s="1740"/>
      <c r="OQD1688" s="1740"/>
      <c r="OQE1688" s="1740"/>
      <c r="OQF1688" s="1740"/>
      <c r="OQG1688" s="1740"/>
      <c r="OQH1688" s="1740"/>
      <c r="OQI1688" s="1740"/>
      <c r="OQJ1688" s="1740"/>
      <c r="OQK1688" s="1740"/>
      <c r="OQL1688" s="1740"/>
      <c r="OQM1688" s="1740"/>
      <c r="OQN1688" s="1740"/>
      <c r="OQO1688" s="1740"/>
      <c r="OQP1688" s="1740"/>
      <c r="OQQ1688" s="1740"/>
      <c r="OQR1688" s="1740"/>
      <c r="OQS1688" s="1740"/>
      <c r="OQT1688" s="1740"/>
      <c r="OQU1688" s="1740"/>
      <c r="OQV1688" s="1740"/>
      <c r="OQW1688" s="1740"/>
      <c r="OQX1688" s="1740"/>
      <c r="OQY1688" s="1740"/>
      <c r="OQZ1688" s="1740"/>
      <c r="ORA1688" s="1740"/>
      <c r="ORB1688" s="1740"/>
      <c r="ORC1688" s="1740"/>
      <c r="ORD1688" s="1740"/>
      <c r="ORE1688" s="1740"/>
      <c r="ORF1688" s="1740"/>
      <c r="ORG1688" s="1740"/>
      <c r="ORH1688" s="1740"/>
      <c r="ORI1688" s="1740"/>
      <c r="ORJ1688" s="1740"/>
      <c r="ORK1688" s="1740"/>
      <c r="ORL1688" s="1740"/>
      <c r="ORM1688" s="1740"/>
      <c r="ORN1688" s="1740"/>
      <c r="ORO1688" s="1740"/>
      <c r="ORP1688" s="1740"/>
      <c r="ORQ1688" s="1740"/>
      <c r="ORR1688" s="1740"/>
      <c r="ORS1688" s="1740"/>
      <c r="ORT1688" s="1740"/>
      <c r="ORU1688" s="1740"/>
      <c r="ORV1688" s="1740"/>
      <c r="ORW1688" s="1740"/>
      <c r="ORX1688" s="1740"/>
      <c r="ORY1688" s="1740"/>
      <c r="ORZ1688" s="1740"/>
      <c r="OSA1688" s="1740"/>
      <c r="OSB1688" s="1740"/>
      <c r="OSC1688" s="1740"/>
      <c r="OSD1688" s="1740"/>
      <c r="OSE1688" s="1740"/>
      <c r="OSF1688" s="1740"/>
      <c r="OSG1688" s="1740"/>
      <c r="OSH1688" s="1740"/>
      <c r="OSI1688" s="1740"/>
      <c r="OSJ1688" s="1740"/>
      <c r="OSK1688" s="1740"/>
      <c r="OSL1688" s="1740"/>
      <c r="OSM1688" s="1740"/>
      <c r="OSN1688" s="1740"/>
      <c r="OSO1688" s="1740"/>
      <c r="OSP1688" s="1740"/>
      <c r="OSQ1688" s="1740"/>
      <c r="OSR1688" s="1740"/>
      <c r="OSS1688" s="1740"/>
      <c r="OST1688" s="1740"/>
      <c r="OSU1688" s="1740"/>
      <c r="OSV1688" s="1740"/>
      <c r="OSW1688" s="1740"/>
      <c r="OSX1688" s="1740"/>
      <c r="OSY1688" s="1740"/>
      <c r="OSZ1688" s="1740"/>
      <c r="OTA1688" s="1740"/>
      <c r="OTB1688" s="1740"/>
      <c r="OTC1688" s="1740"/>
      <c r="OTD1688" s="1740"/>
      <c r="OTE1688" s="1740"/>
      <c r="OTF1688" s="1740"/>
      <c r="OTG1688" s="1740"/>
      <c r="OTH1688" s="1740"/>
      <c r="OTI1688" s="1740"/>
      <c r="OTJ1688" s="1740"/>
      <c r="OTK1688" s="1740"/>
      <c r="OTL1688" s="1740"/>
      <c r="OTM1688" s="1740"/>
      <c r="OTN1688" s="1740"/>
      <c r="OTO1688" s="1740"/>
      <c r="OTP1688" s="1740"/>
      <c r="OTQ1688" s="1740"/>
      <c r="OTR1688" s="1740"/>
      <c r="OTS1688" s="1740"/>
      <c r="OTT1688" s="1740"/>
      <c r="OTU1688" s="1740"/>
      <c r="OTV1688" s="1740"/>
      <c r="OTW1688" s="1740"/>
      <c r="OTX1688" s="1740"/>
      <c r="OTY1688" s="1740"/>
      <c r="OTZ1688" s="1740"/>
      <c r="OUA1688" s="1740"/>
      <c r="OUB1688" s="1740"/>
      <c r="OUC1688" s="1740"/>
      <c r="OUD1688" s="1740"/>
      <c r="OUE1688" s="1740"/>
      <c r="OUF1688" s="1740"/>
      <c r="OUG1688" s="1740"/>
      <c r="OUH1688" s="1740"/>
      <c r="OUI1688" s="1740"/>
      <c r="OUJ1688" s="1740"/>
      <c r="OUK1688" s="1740"/>
      <c r="OUL1688" s="1740"/>
      <c r="OUM1688" s="1740"/>
      <c r="OUN1688" s="1740"/>
      <c r="OUO1688" s="1740"/>
      <c r="OUP1688" s="1740"/>
      <c r="OUQ1688" s="1740"/>
      <c r="OUR1688" s="1740"/>
      <c r="OUS1688" s="1740"/>
      <c r="OUT1688" s="1740"/>
      <c r="OUU1688" s="1740"/>
      <c r="OUV1688" s="1740"/>
      <c r="OUW1688" s="1740"/>
      <c r="OUX1688" s="1740"/>
      <c r="OUY1688" s="1740"/>
      <c r="OUZ1688" s="1740"/>
      <c r="OVA1688" s="1740"/>
      <c r="OVB1688" s="1740"/>
      <c r="OVC1688" s="1740"/>
      <c r="OVD1688" s="1740"/>
      <c r="OVE1688" s="1740"/>
      <c r="OVF1688" s="1740"/>
      <c r="OVG1688" s="1740"/>
      <c r="OVH1688" s="1740"/>
      <c r="OVI1688" s="1740"/>
      <c r="OVJ1688" s="1740"/>
      <c r="OVK1688" s="1740"/>
      <c r="OVL1688" s="1740"/>
      <c r="OVM1688" s="1740"/>
      <c r="OVN1688" s="1740"/>
      <c r="OVO1688" s="1740"/>
      <c r="OVP1688" s="1740"/>
      <c r="OVQ1688" s="1740"/>
      <c r="OVR1688" s="1740"/>
      <c r="OVS1688" s="1740"/>
      <c r="OVT1688" s="1740"/>
      <c r="OVU1688" s="1740"/>
      <c r="OVV1688" s="1740"/>
      <c r="OVW1688" s="1740"/>
      <c r="OVX1688" s="1740"/>
      <c r="OVY1688" s="1740"/>
      <c r="OVZ1688" s="1740"/>
      <c r="OWA1688" s="1740"/>
      <c r="OWB1688" s="1740"/>
      <c r="OWC1688" s="1740"/>
      <c r="OWD1688" s="1740"/>
      <c r="OWE1688" s="1740"/>
      <c r="OWF1688" s="1740"/>
      <c r="OWG1688" s="1740"/>
      <c r="OWH1688" s="1740"/>
      <c r="OWI1688" s="1740"/>
      <c r="OWJ1688" s="1740"/>
      <c r="OWK1688" s="1740"/>
      <c r="OWL1688" s="1740"/>
      <c r="OWM1688" s="1740"/>
      <c r="OWN1688" s="1740"/>
      <c r="OWO1688" s="1740"/>
      <c r="OWP1688" s="1740"/>
      <c r="OWQ1688" s="1740"/>
      <c r="OWR1688" s="1740"/>
      <c r="OWS1688" s="1740"/>
      <c r="OWT1688" s="1740"/>
      <c r="OWU1688" s="1740"/>
      <c r="OWV1688" s="1740"/>
      <c r="OWW1688" s="1740"/>
      <c r="OWX1688" s="1740"/>
      <c r="OWY1688" s="1740"/>
      <c r="OWZ1688" s="1740"/>
      <c r="OXA1688" s="1740"/>
      <c r="OXB1688" s="1740"/>
      <c r="OXC1688" s="1740"/>
      <c r="OXD1688" s="1740"/>
      <c r="OXE1688" s="1740"/>
      <c r="OXF1688" s="1740"/>
      <c r="OXG1688" s="1740"/>
      <c r="OXH1688" s="1740"/>
      <c r="OXI1688" s="1740"/>
      <c r="OXJ1688" s="1740"/>
      <c r="OXK1688" s="1740"/>
      <c r="OXL1688" s="1740"/>
      <c r="OXM1688" s="1740"/>
      <c r="OXN1688" s="1740"/>
      <c r="OXO1688" s="1740"/>
      <c r="OXP1688" s="1740"/>
      <c r="OXQ1688" s="1740"/>
      <c r="OXR1688" s="1740"/>
      <c r="OXS1688" s="1740"/>
      <c r="OXT1688" s="1740"/>
      <c r="OXU1688" s="1740"/>
      <c r="OXV1688" s="1740"/>
      <c r="OXW1688" s="1740"/>
      <c r="OXX1688" s="1740"/>
      <c r="OXY1688" s="1740"/>
      <c r="OXZ1688" s="1740"/>
      <c r="OYA1688" s="1740"/>
      <c r="OYB1688" s="1740"/>
      <c r="OYC1688" s="1740"/>
      <c r="OYD1688" s="1740"/>
      <c r="OYE1688" s="1740"/>
      <c r="OYF1688" s="1740"/>
      <c r="OYG1688" s="1740"/>
      <c r="OYH1688" s="1740"/>
      <c r="OYI1688" s="1740"/>
      <c r="OYJ1688" s="1740"/>
      <c r="OYK1688" s="1740"/>
      <c r="OYL1688" s="1740"/>
      <c r="OYM1688" s="1740"/>
      <c r="OYN1688" s="1740"/>
      <c r="OYO1688" s="1740"/>
      <c r="OYP1688" s="1740"/>
      <c r="OYQ1688" s="1740"/>
      <c r="OYR1688" s="1740"/>
      <c r="OYS1688" s="1740"/>
      <c r="OYT1688" s="1740"/>
      <c r="OYU1688" s="1740"/>
      <c r="OYV1688" s="1740"/>
      <c r="OYW1688" s="1740"/>
      <c r="OYX1688" s="1740"/>
      <c r="OYY1688" s="1740"/>
      <c r="OYZ1688" s="1740"/>
      <c r="OZA1688" s="1740"/>
      <c r="OZB1688" s="1740"/>
      <c r="OZC1688" s="1740"/>
      <c r="OZD1688" s="1740"/>
      <c r="OZE1688" s="1740"/>
      <c r="OZF1688" s="1740"/>
      <c r="OZG1688" s="1740"/>
      <c r="OZH1688" s="1740"/>
      <c r="OZI1688" s="1740"/>
      <c r="OZJ1688" s="1740"/>
      <c r="OZK1688" s="1740"/>
      <c r="OZL1688" s="1740"/>
      <c r="OZM1688" s="1740"/>
      <c r="OZN1688" s="1740"/>
      <c r="OZO1688" s="1740"/>
      <c r="OZP1688" s="1740"/>
      <c r="OZQ1688" s="1740"/>
      <c r="OZR1688" s="1740"/>
      <c r="OZS1688" s="1740"/>
      <c r="OZT1688" s="1740"/>
      <c r="OZU1688" s="1740"/>
      <c r="OZV1688" s="1740"/>
      <c r="OZW1688" s="1740"/>
      <c r="OZX1688" s="1740"/>
      <c r="OZY1688" s="1740"/>
      <c r="OZZ1688" s="1740"/>
      <c r="PAA1688" s="1740"/>
      <c r="PAB1688" s="1740"/>
      <c r="PAC1688" s="1740"/>
      <c r="PAD1688" s="1740"/>
      <c r="PAE1688" s="1740"/>
      <c r="PAF1688" s="1740"/>
      <c r="PAG1688" s="1740"/>
      <c r="PAH1688" s="1740"/>
      <c r="PAI1688" s="1740"/>
      <c r="PAJ1688" s="1740"/>
      <c r="PAK1688" s="1740"/>
      <c r="PAL1688" s="1740"/>
      <c r="PAM1688" s="1740"/>
      <c r="PAN1688" s="1740"/>
      <c r="PAO1688" s="1740"/>
      <c r="PAP1688" s="1740"/>
      <c r="PAQ1688" s="1740"/>
      <c r="PAR1688" s="1740"/>
      <c r="PAS1688" s="1740"/>
      <c r="PAT1688" s="1740"/>
      <c r="PAU1688" s="1740"/>
      <c r="PAV1688" s="1740"/>
      <c r="PAW1688" s="1740"/>
      <c r="PAX1688" s="1740"/>
      <c r="PAY1688" s="1740"/>
      <c r="PAZ1688" s="1740"/>
      <c r="PBA1688" s="1740"/>
      <c r="PBB1688" s="1740"/>
      <c r="PBC1688" s="1740"/>
      <c r="PBD1688" s="1740"/>
      <c r="PBE1688" s="1740"/>
      <c r="PBF1688" s="1740"/>
      <c r="PBG1688" s="1740"/>
      <c r="PBH1688" s="1740"/>
      <c r="PBI1688" s="1740"/>
      <c r="PBJ1688" s="1740"/>
      <c r="PBK1688" s="1740"/>
      <c r="PBL1688" s="1740"/>
      <c r="PBM1688" s="1740"/>
      <c r="PBN1688" s="1740"/>
      <c r="PBO1688" s="1740"/>
      <c r="PBP1688" s="1740"/>
      <c r="PBQ1688" s="1740"/>
      <c r="PBR1688" s="1740"/>
      <c r="PBS1688" s="1740"/>
      <c r="PBT1688" s="1740"/>
      <c r="PBU1688" s="1740"/>
      <c r="PBV1688" s="1740"/>
      <c r="PBW1688" s="1740"/>
      <c r="PBX1688" s="1740"/>
      <c r="PBY1688" s="1740"/>
      <c r="PBZ1688" s="1740"/>
      <c r="PCA1688" s="1740"/>
      <c r="PCB1688" s="1740"/>
      <c r="PCC1688" s="1740"/>
      <c r="PCD1688" s="1740"/>
      <c r="PCE1688" s="1740"/>
      <c r="PCF1688" s="1740"/>
      <c r="PCG1688" s="1740"/>
      <c r="PCH1688" s="1740"/>
      <c r="PCI1688" s="1740"/>
      <c r="PCJ1688" s="1740"/>
      <c r="PCK1688" s="1740"/>
      <c r="PCL1688" s="1740"/>
      <c r="PCM1688" s="1740"/>
      <c r="PCN1688" s="1740"/>
      <c r="PCO1688" s="1740"/>
      <c r="PCP1688" s="1740"/>
      <c r="PCQ1688" s="1740"/>
      <c r="PCR1688" s="1740"/>
      <c r="PCS1688" s="1740"/>
      <c r="PCT1688" s="1740"/>
      <c r="PCU1688" s="1740"/>
      <c r="PCV1688" s="1740"/>
      <c r="PCW1688" s="1740"/>
      <c r="PCX1688" s="1740"/>
      <c r="PCY1688" s="1740"/>
      <c r="PCZ1688" s="1740"/>
      <c r="PDA1688" s="1740"/>
      <c r="PDB1688" s="1740"/>
      <c r="PDC1688" s="1740"/>
      <c r="PDD1688" s="1740"/>
      <c r="PDE1688" s="1740"/>
      <c r="PDF1688" s="1740"/>
      <c r="PDG1688" s="1740"/>
      <c r="PDH1688" s="1740"/>
      <c r="PDI1688" s="1740"/>
      <c r="PDJ1688" s="1740"/>
      <c r="PDK1688" s="1740"/>
      <c r="PDL1688" s="1740"/>
      <c r="PDM1688" s="1740"/>
      <c r="PDN1688" s="1740"/>
      <c r="PDO1688" s="1740"/>
      <c r="PDP1688" s="1740"/>
      <c r="PDQ1688" s="1740"/>
      <c r="PDR1688" s="1740"/>
      <c r="PDS1688" s="1740"/>
      <c r="PDT1688" s="1740"/>
      <c r="PDU1688" s="1740"/>
      <c r="PDV1688" s="1740"/>
      <c r="PDW1688" s="1740"/>
      <c r="PDX1688" s="1740"/>
      <c r="PDY1688" s="1740"/>
      <c r="PDZ1688" s="1740"/>
      <c r="PEA1688" s="1740"/>
      <c r="PEB1688" s="1740"/>
      <c r="PEC1688" s="1740"/>
      <c r="PED1688" s="1740"/>
      <c r="PEE1688" s="1740"/>
      <c r="PEF1688" s="1740"/>
      <c r="PEG1688" s="1740"/>
      <c r="PEH1688" s="1740"/>
      <c r="PEI1688" s="1740"/>
      <c r="PEJ1688" s="1740"/>
      <c r="PEK1688" s="1740"/>
      <c r="PEL1688" s="1740"/>
      <c r="PEM1688" s="1740"/>
      <c r="PEN1688" s="1740"/>
      <c r="PEO1688" s="1740"/>
      <c r="PEP1688" s="1740"/>
      <c r="PEQ1688" s="1740"/>
      <c r="PER1688" s="1740"/>
      <c r="PES1688" s="1740"/>
      <c r="PET1688" s="1740"/>
      <c r="PEU1688" s="1740"/>
      <c r="PEV1688" s="1740"/>
      <c r="PEW1688" s="1740"/>
      <c r="PEX1688" s="1740"/>
      <c r="PEY1688" s="1740"/>
      <c r="PEZ1688" s="1740"/>
      <c r="PFA1688" s="1740"/>
      <c r="PFB1688" s="1740"/>
      <c r="PFC1688" s="1740"/>
      <c r="PFD1688" s="1740"/>
      <c r="PFE1688" s="1740"/>
      <c r="PFF1688" s="1740"/>
      <c r="PFG1688" s="1740"/>
      <c r="PFH1688" s="1740"/>
      <c r="PFI1688" s="1740"/>
      <c r="PFJ1688" s="1740"/>
      <c r="PFK1688" s="1740"/>
      <c r="PFL1688" s="1740"/>
      <c r="PFM1688" s="1740"/>
      <c r="PFN1688" s="1740"/>
      <c r="PFO1688" s="1740"/>
      <c r="PFP1688" s="1740"/>
      <c r="PFQ1688" s="1740"/>
      <c r="PFR1688" s="1740"/>
      <c r="PFS1688" s="1740"/>
      <c r="PFT1688" s="1740"/>
      <c r="PFU1688" s="1740"/>
      <c r="PFV1688" s="1740"/>
      <c r="PFW1688" s="1740"/>
      <c r="PFX1688" s="1740"/>
      <c r="PFY1688" s="1740"/>
      <c r="PFZ1688" s="1740"/>
      <c r="PGA1688" s="1740"/>
      <c r="PGB1688" s="1740"/>
      <c r="PGC1688" s="1740"/>
      <c r="PGD1688" s="1740"/>
      <c r="PGE1688" s="1740"/>
      <c r="PGF1688" s="1740"/>
      <c r="PGG1688" s="1740"/>
      <c r="PGH1688" s="1740"/>
      <c r="PGI1688" s="1740"/>
      <c r="PGJ1688" s="1740"/>
      <c r="PGK1688" s="1740"/>
      <c r="PGL1688" s="1740"/>
      <c r="PGM1688" s="1740"/>
      <c r="PGN1688" s="1740"/>
      <c r="PGO1688" s="1740"/>
      <c r="PGP1688" s="1740"/>
      <c r="PGQ1688" s="1740"/>
      <c r="PGR1688" s="1740"/>
      <c r="PGS1688" s="1740"/>
      <c r="PGT1688" s="1740"/>
      <c r="PGU1688" s="1740"/>
      <c r="PGV1688" s="1740"/>
      <c r="PGW1688" s="1740"/>
      <c r="PGX1688" s="1740"/>
      <c r="PGY1688" s="1740"/>
      <c r="PGZ1688" s="1740"/>
      <c r="PHA1688" s="1740"/>
      <c r="PHB1688" s="1740"/>
      <c r="PHC1688" s="1740"/>
      <c r="PHD1688" s="1740"/>
      <c r="PHE1688" s="1740"/>
      <c r="PHF1688" s="1740"/>
      <c r="PHG1688" s="1740"/>
      <c r="PHH1688" s="1740"/>
      <c r="PHI1688" s="1740"/>
      <c r="PHJ1688" s="1740"/>
      <c r="PHK1688" s="1740"/>
      <c r="PHL1688" s="1740"/>
      <c r="PHM1688" s="1740"/>
      <c r="PHN1688" s="1740"/>
      <c r="PHO1688" s="1740"/>
      <c r="PHP1688" s="1740"/>
      <c r="PHQ1688" s="1740"/>
      <c r="PHR1688" s="1740"/>
      <c r="PHS1688" s="1740"/>
      <c r="PHT1688" s="1740"/>
      <c r="PHU1688" s="1740"/>
      <c r="PHV1688" s="1740"/>
      <c r="PHW1688" s="1740"/>
      <c r="PHX1688" s="1740"/>
      <c r="PHY1688" s="1740"/>
      <c r="PHZ1688" s="1740"/>
      <c r="PIA1688" s="1740"/>
      <c r="PIB1688" s="1740"/>
      <c r="PIC1688" s="1740"/>
      <c r="PID1688" s="1740"/>
      <c r="PIE1688" s="1740"/>
      <c r="PIF1688" s="1740"/>
      <c r="PIG1688" s="1740"/>
      <c r="PIH1688" s="1740"/>
      <c r="PII1688" s="1740"/>
      <c r="PIJ1688" s="1740"/>
      <c r="PIK1688" s="1740"/>
      <c r="PIL1688" s="1740"/>
      <c r="PIM1688" s="1740"/>
      <c r="PIN1688" s="1740"/>
      <c r="PIO1688" s="1740"/>
      <c r="PIP1688" s="1740"/>
      <c r="PIQ1688" s="1740"/>
      <c r="PIR1688" s="1740"/>
      <c r="PIS1688" s="1740"/>
      <c r="PIT1688" s="1740"/>
      <c r="PIU1688" s="1740"/>
      <c r="PIV1688" s="1740"/>
      <c r="PIW1688" s="1740"/>
      <c r="PIX1688" s="1740"/>
      <c r="PIY1688" s="1740"/>
      <c r="PIZ1688" s="1740"/>
      <c r="PJA1688" s="1740"/>
      <c r="PJB1688" s="1740"/>
      <c r="PJC1688" s="1740"/>
      <c r="PJD1688" s="1740"/>
      <c r="PJE1688" s="1740"/>
      <c r="PJF1688" s="1740"/>
      <c r="PJG1688" s="1740"/>
      <c r="PJH1688" s="1740"/>
      <c r="PJI1688" s="1740"/>
      <c r="PJJ1688" s="1740"/>
      <c r="PJK1688" s="1740"/>
      <c r="PJL1688" s="1740"/>
      <c r="PJM1688" s="1740"/>
      <c r="PJN1688" s="1740"/>
      <c r="PJO1688" s="1740"/>
      <c r="PJP1688" s="1740"/>
      <c r="PJQ1688" s="1740"/>
      <c r="PJR1688" s="1740"/>
      <c r="PJS1688" s="1740"/>
      <c r="PJT1688" s="1740"/>
      <c r="PJU1688" s="1740"/>
      <c r="PJV1688" s="1740"/>
      <c r="PJW1688" s="1740"/>
      <c r="PJX1688" s="1740"/>
      <c r="PJY1688" s="1740"/>
      <c r="PJZ1688" s="1740"/>
      <c r="PKA1688" s="1740"/>
      <c r="PKB1688" s="1740"/>
      <c r="PKC1688" s="1740"/>
      <c r="PKD1688" s="1740"/>
      <c r="PKE1688" s="1740"/>
      <c r="PKF1688" s="1740"/>
      <c r="PKG1688" s="1740"/>
      <c r="PKH1688" s="1740"/>
      <c r="PKI1688" s="1740"/>
      <c r="PKJ1688" s="1740"/>
      <c r="PKK1688" s="1740"/>
      <c r="PKL1688" s="1740"/>
      <c r="PKM1688" s="1740"/>
      <c r="PKN1688" s="1740"/>
      <c r="PKO1688" s="1740"/>
      <c r="PKP1688" s="1740"/>
      <c r="PKQ1688" s="1740"/>
      <c r="PKR1688" s="1740"/>
      <c r="PKS1688" s="1740"/>
      <c r="PKT1688" s="1740"/>
      <c r="PKU1688" s="1740"/>
      <c r="PKV1688" s="1740"/>
      <c r="PKW1688" s="1740"/>
      <c r="PKX1688" s="1740"/>
      <c r="PKY1688" s="1740"/>
      <c r="PKZ1688" s="1740"/>
      <c r="PLA1688" s="1740"/>
      <c r="PLB1688" s="1740"/>
      <c r="PLC1688" s="1740"/>
      <c r="PLD1688" s="1740"/>
      <c r="PLE1688" s="1740"/>
      <c r="PLF1688" s="1740"/>
      <c r="PLG1688" s="1740"/>
      <c r="PLH1688" s="1740"/>
      <c r="PLI1688" s="1740"/>
      <c r="PLJ1688" s="1740"/>
      <c r="PLK1688" s="1740"/>
      <c r="PLL1688" s="1740"/>
      <c r="PLM1688" s="1740"/>
      <c r="PLN1688" s="1740"/>
      <c r="PLO1688" s="1740"/>
      <c r="PLP1688" s="1740"/>
      <c r="PLQ1688" s="1740"/>
      <c r="PLR1688" s="1740"/>
      <c r="PLS1688" s="1740"/>
      <c r="PLT1688" s="1740"/>
      <c r="PLU1688" s="1740"/>
      <c r="PLV1688" s="1740"/>
      <c r="PLW1688" s="1740"/>
      <c r="PLX1688" s="1740"/>
      <c r="PLY1688" s="1740"/>
      <c r="PLZ1688" s="1740"/>
      <c r="PMA1688" s="1740"/>
      <c r="PMB1688" s="1740"/>
      <c r="PMC1688" s="1740"/>
      <c r="PMD1688" s="1740"/>
      <c r="PME1688" s="1740"/>
      <c r="PMF1688" s="1740"/>
      <c r="PMG1688" s="1740"/>
      <c r="PMH1688" s="1740"/>
      <c r="PMI1688" s="1740"/>
      <c r="PMJ1688" s="1740"/>
      <c r="PMK1688" s="1740"/>
      <c r="PML1688" s="1740"/>
      <c r="PMM1688" s="1740"/>
      <c r="PMN1688" s="1740"/>
      <c r="PMO1688" s="1740"/>
      <c r="PMP1688" s="1740"/>
      <c r="PMQ1688" s="1740"/>
      <c r="PMR1688" s="1740"/>
      <c r="PMS1688" s="1740"/>
      <c r="PMT1688" s="1740"/>
      <c r="PMU1688" s="1740"/>
      <c r="PMV1688" s="1740"/>
      <c r="PMW1688" s="1740"/>
      <c r="PMX1688" s="1740"/>
      <c r="PMY1688" s="1740"/>
      <c r="PMZ1688" s="1740"/>
      <c r="PNA1688" s="1740"/>
      <c r="PNB1688" s="1740"/>
      <c r="PNC1688" s="1740"/>
      <c r="PND1688" s="1740"/>
      <c r="PNE1688" s="1740"/>
      <c r="PNF1688" s="1740"/>
      <c r="PNG1688" s="1740"/>
      <c r="PNH1688" s="1740"/>
      <c r="PNI1688" s="1740"/>
      <c r="PNJ1688" s="1740"/>
      <c r="PNK1688" s="1740"/>
      <c r="PNL1688" s="1740"/>
      <c r="PNM1688" s="1740"/>
      <c r="PNN1688" s="1740"/>
      <c r="PNO1688" s="1740"/>
      <c r="PNP1688" s="1740"/>
      <c r="PNQ1688" s="1740"/>
      <c r="PNR1688" s="1740"/>
      <c r="PNS1688" s="1740"/>
      <c r="PNT1688" s="1740"/>
      <c r="PNU1688" s="1740"/>
      <c r="PNV1688" s="1740"/>
      <c r="PNW1688" s="1740"/>
      <c r="PNX1688" s="1740"/>
      <c r="PNY1688" s="1740"/>
      <c r="PNZ1688" s="1740"/>
      <c r="POA1688" s="1740"/>
      <c r="POB1688" s="1740"/>
      <c r="POC1688" s="1740"/>
      <c r="POD1688" s="1740"/>
      <c r="POE1688" s="1740"/>
      <c r="POF1688" s="1740"/>
      <c r="POG1688" s="1740"/>
      <c r="POH1688" s="1740"/>
      <c r="POI1688" s="1740"/>
      <c r="POJ1688" s="1740"/>
      <c r="POK1688" s="1740"/>
      <c r="POL1688" s="1740"/>
      <c r="POM1688" s="1740"/>
      <c r="PON1688" s="1740"/>
      <c r="POO1688" s="1740"/>
      <c r="POP1688" s="1740"/>
      <c r="POQ1688" s="1740"/>
      <c r="POR1688" s="1740"/>
      <c r="POS1688" s="1740"/>
      <c r="POT1688" s="1740"/>
      <c r="POU1688" s="1740"/>
      <c r="POV1688" s="1740"/>
      <c r="POW1688" s="1740"/>
      <c r="POX1688" s="1740"/>
      <c r="POY1688" s="1740"/>
      <c r="POZ1688" s="1740"/>
      <c r="PPA1688" s="1740"/>
      <c r="PPB1688" s="1740"/>
      <c r="PPC1688" s="1740"/>
      <c r="PPD1688" s="1740"/>
      <c r="PPE1688" s="1740"/>
      <c r="PPF1688" s="1740"/>
      <c r="PPG1688" s="1740"/>
      <c r="PPH1688" s="1740"/>
      <c r="PPI1688" s="1740"/>
      <c r="PPJ1688" s="1740"/>
      <c r="PPK1688" s="1740"/>
      <c r="PPL1688" s="1740"/>
      <c r="PPM1688" s="1740"/>
      <c r="PPN1688" s="1740"/>
      <c r="PPO1688" s="1740"/>
      <c r="PPP1688" s="1740"/>
      <c r="PPQ1688" s="1740"/>
      <c r="PPR1688" s="1740"/>
      <c r="PPS1688" s="1740"/>
      <c r="PPT1688" s="1740"/>
      <c r="PPU1688" s="1740"/>
      <c r="PPV1688" s="1740"/>
      <c r="PPW1688" s="1740"/>
      <c r="PPX1688" s="1740"/>
      <c r="PPY1688" s="1740"/>
      <c r="PPZ1688" s="1740"/>
      <c r="PQA1688" s="1740"/>
      <c r="PQB1688" s="1740"/>
      <c r="PQC1688" s="1740"/>
      <c r="PQD1688" s="1740"/>
      <c r="PQE1688" s="1740"/>
      <c r="PQF1688" s="1740"/>
      <c r="PQG1688" s="1740"/>
      <c r="PQH1688" s="1740"/>
      <c r="PQI1688" s="1740"/>
      <c r="PQJ1688" s="1740"/>
      <c r="PQK1688" s="1740"/>
      <c r="PQL1688" s="1740"/>
      <c r="PQM1688" s="1740"/>
      <c r="PQN1688" s="1740"/>
      <c r="PQO1688" s="1740"/>
      <c r="PQP1688" s="1740"/>
      <c r="PQQ1688" s="1740"/>
      <c r="PQR1688" s="1740"/>
      <c r="PQS1688" s="1740"/>
      <c r="PQT1688" s="1740"/>
      <c r="PQU1688" s="1740"/>
      <c r="PQV1688" s="1740"/>
      <c r="PQW1688" s="1740"/>
      <c r="PQX1688" s="1740"/>
      <c r="PQY1688" s="1740"/>
      <c r="PQZ1688" s="1740"/>
      <c r="PRA1688" s="1740"/>
      <c r="PRB1688" s="1740"/>
      <c r="PRC1688" s="1740"/>
      <c r="PRD1688" s="1740"/>
      <c r="PRE1688" s="1740"/>
      <c r="PRF1688" s="1740"/>
      <c r="PRG1688" s="1740"/>
      <c r="PRH1688" s="1740"/>
      <c r="PRI1688" s="1740"/>
      <c r="PRJ1688" s="1740"/>
      <c r="PRK1688" s="1740"/>
      <c r="PRL1688" s="1740"/>
      <c r="PRM1688" s="1740"/>
      <c r="PRN1688" s="1740"/>
      <c r="PRO1688" s="1740"/>
      <c r="PRP1688" s="1740"/>
      <c r="PRQ1688" s="1740"/>
      <c r="PRR1688" s="1740"/>
      <c r="PRS1688" s="1740"/>
      <c r="PRT1688" s="1740"/>
      <c r="PRU1688" s="1740"/>
      <c r="PRV1688" s="1740"/>
      <c r="PRW1688" s="1740"/>
      <c r="PRX1688" s="1740"/>
      <c r="PRY1688" s="1740"/>
      <c r="PRZ1688" s="1740"/>
      <c r="PSA1688" s="1740"/>
      <c r="PSB1688" s="1740"/>
      <c r="PSC1688" s="1740"/>
      <c r="PSD1688" s="1740"/>
      <c r="PSE1688" s="1740"/>
      <c r="PSF1688" s="1740"/>
      <c r="PSG1688" s="1740"/>
      <c r="PSH1688" s="1740"/>
      <c r="PSI1688" s="1740"/>
      <c r="PSJ1688" s="1740"/>
      <c r="PSK1688" s="1740"/>
      <c r="PSL1688" s="1740"/>
      <c r="PSM1688" s="1740"/>
      <c r="PSN1688" s="1740"/>
      <c r="PSO1688" s="1740"/>
      <c r="PSP1688" s="1740"/>
      <c r="PSQ1688" s="1740"/>
      <c r="PSR1688" s="1740"/>
      <c r="PSS1688" s="1740"/>
      <c r="PST1688" s="1740"/>
      <c r="PSU1688" s="1740"/>
      <c r="PSV1688" s="1740"/>
      <c r="PSW1688" s="1740"/>
      <c r="PSX1688" s="1740"/>
      <c r="PSY1688" s="1740"/>
      <c r="PSZ1688" s="1740"/>
      <c r="PTA1688" s="1740"/>
      <c r="PTB1688" s="1740"/>
      <c r="PTC1688" s="1740"/>
      <c r="PTD1688" s="1740"/>
      <c r="PTE1688" s="1740"/>
      <c r="PTF1688" s="1740"/>
      <c r="PTG1688" s="1740"/>
      <c r="PTH1688" s="1740"/>
      <c r="PTI1688" s="1740"/>
      <c r="PTJ1688" s="1740"/>
      <c r="PTK1688" s="1740"/>
      <c r="PTL1688" s="1740"/>
      <c r="PTM1688" s="1740"/>
      <c r="PTN1688" s="1740"/>
      <c r="PTO1688" s="1740"/>
      <c r="PTP1688" s="1740"/>
      <c r="PTQ1688" s="1740"/>
      <c r="PTR1688" s="1740"/>
      <c r="PTS1688" s="1740"/>
      <c r="PTT1688" s="1740"/>
      <c r="PTU1688" s="1740"/>
      <c r="PTV1688" s="1740"/>
      <c r="PTW1688" s="1740"/>
      <c r="PTX1688" s="1740"/>
      <c r="PTY1688" s="1740"/>
      <c r="PTZ1688" s="1740"/>
      <c r="PUA1688" s="1740"/>
      <c r="PUB1688" s="1740"/>
      <c r="PUC1688" s="1740"/>
      <c r="PUD1688" s="1740"/>
      <c r="PUE1688" s="1740"/>
      <c r="PUF1688" s="1740"/>
      <c r="PUG1688" s="1740"/>
      <c r="PUH1688" s="1740"/>
      <c r="PUI1688" s="1740"/>
      <c r="PUJ1688" s="1740"/>
      <c r="PUK1688" s="1740"/>
      <c r="PUL1688" s="1740"/>
      <c r="PUM1688" s="1740"/>
      <c r="PUN1688" s="1740"/>
      <c r="PUO1688" s="1740"/>
      <c r="PUP1688" s="1740"/>
      <c r="PUQ1688" s="1740"/>
      <c r="PUR1688" s="1740"/>
      <c r="PUS1688" s="1740"/>
      <c r="PUT1688" s="1740"/>
      <c r="PUU1688" s="1740"/>
      <c r="PUV1688" s="1740"/>
      <c r="PUW1688" s="1740"/>
      <c r="PUX1688" s="1740"/>
      <c r="PUY1688" s="1740"/>
      <c r="PUZ1688" s="1740"/>
      <c r="PVA1688" s="1740"/>
      <c r="PVB1688" s="1740"/>
      <c r="PVC1688" s="1740"/>
      <c r="PVD1688" s="1740"/>
      <c r="PVE1688" s="1740"/>
      <c r="PVF1688" s="1740"/>
      <c r="PVG1688" s="1740"/>
      <c r="PVH1688" s="1740"/>
      <c r="PVI1688" s="1740"/>
      <c r="PVJ1688" s="1740"/>
      <c r="PVK1688" s="1740"/>
      <c r="PVL1688" s="1740"/>
      <c r="PVM1688" s="1740"/>
      <c r="PVN1688" s="1740"/>
      <c r="PVO1688" s="1740"/>
      <c r="PVP1688" s="1740"/>
      <c r="PVQ1688" s="1740"/>
      <c r="PVR1688" s="1740"/>
      <c r="PVS1688" s="1740"/>
      <c r="PVT1688" s="1740"/>
      <c r="PVU1688" s="1740"/>
      <c r="PVV1688" s="1740"/>
      <c r="PVW1688" s="1740"/>
      <c r="PVX1688" s="1740"/>
      <c r="PVY1688" s="1740"/>
      <c r="PVZ1688" s="1740"/>
      <c r="PWA1688" s="1740"/>
      <c r="PWB1688" s="1740"/>
      <c r="PWC1688" s="1740"/>
      <c r="PWD1688" s="1740"/>
      <c r="PWE1688" s="1740"/>
      <c r="PWF1688" s="1740"/>
      <c r="PWG1688" s="1740"/>
      <c r="PWH1688" s="1740"/>
      <c r="PWI1688" s="1740"/>
      <c r="PWJ1688" s="1740"/>
      <c r="PWK1688" s="1740"/>
      <c r="PWL1688" s="1740"/>
      <c r="PWM1688" s="1740"/>
      <c r="PWN1688" s="1740"/>
      <c r="PWO1688" s="1740"/>
      <c r="PWP1688" s="1740"/>
      <c r="PWQ1688" s="1740"/>
      <c r="PWR1688" s="1740"/>
      <c r="PWS1688" s="1740"/>
      <c r="PWT1688" s="1740"/>
      <c r="PWU1688" s="1740"/>
      <c r="PWV1688" s="1740"/>
      <c r="PWW1688" s="1740"/>
      <c r="PWX1688" s="1740"/>
      <c r="PWY1688" s="1740"/>
      <c r="PWZ1688" s="1740"/>
      <c r="PXA1688" s="1740"/>
      <c r="PXB1688" s="1740"/>
      <c r="PXC1688" s="1740"/>
      <c r="PXD1688" s="1740"/>
      <c r="PXE1688" s="1740"/>
      <c r="PXF1688" s="1740"/>
      <c r="PXG1688" s="1740"/>
      <c r="PXH1688" s="1740"/>
      <c r="PXI1688" s="1740"/>
      <c r="PXJ1688" s="1740"/>
      <c r="PXK1688" s="1740"/>
      <c r="PXL1688" s="1740"/>
      <c r="PXM1688" s="1740"/>
      <c r="PXN1688" s="1740"/>
      <c r="PXO1688" s="1740"/>
      <c r="PXP1688" s="1740"/>
      <c r="PXQ1688" s="1740"/>
      <c r="PXR1688" s="1740"/>
      <c r="PXS1688" s="1740"/>
      <c r="PXT1688" s="1740"/>
      <c r="PXU1688" s="1740"/>
      <c r="PXV1688" s="1740"/>
      <c r="PXW1688" s="1740"/>
      <c r="PXX1688" s="1740"/>
      <c r="PXY1688" s="1740"/>
      <c r="PXZ1688" s="1740"/>
      <c r="PYA1688" s="1740"/>
      <c r="PYB1688" s="1740"/>
      <c r="PYC1688" s="1740"/>
      <c r="PYD1688" s="1740"/>
      <c r="PYE1688" s="1740"/>
      <c r="PYF1688" s="1740"/>
      <c r="PYG1688" s="1740"/>
      <c r="PYH1688" s="1740"/>
      <c r="PYI1688" s="1740"/>
      <c r="PYJ1688" s="1740"/>
      <c r="PYK1688" s="1740"/>
      <c r="PYL1688" s="1740"/>
      <c r="PYM1688" s="1740"/>
      <c r="PYN1688" s="1740"/>
      <c r="PYO1688" s="1740"/>
      <c r="PYP1688" s="1740"/>
      <c r="PYQ1688" s="1740"/>
      <c r="PYR1688" s="1740"/>
      <c r="PYS1688" s="1740"/>
      <c r="PYT1688" s="1740"/>
      <c r="PYU1688" s="1740"/>
      <c r="PYV1688" s="1740"/>
      <c r="PYW1688" s="1740"/>
      <c r="PYX1688" s="1740"/>
      <c r="PYY1688" s="1740"/>
      <c r="PYZ1688" s="1740"/>
      <c r="PZA1688" s="1740"/>
      <c r="PZB1688" s="1740"/>
      <c r="PZC1688" s="1740"/>
      <c r="PZD1688" s="1740"/>
      <c r="PZE1688" s="1740"/>
      <c r="PZF1688" s="1740"/>
      <c r="PZG1688" s="1740"/>
      <c r="PZH1688" s="1740"/>
      <c r="PZI1688" s="1740"/>
      <c r="PZJ1688" s="1740"/>
      <c r="PZK1688" s="1740"/>
      <c r="PZL1688" s="1740"/>
      <c r="PZM1688" s="1740"/>
      <c r="PZN1688" s="1740"/>
      <c r="PZO1688" s="1740"/>
      <c r="PZP1688" s="1740"/>
      <c r="PZQ1688" s="1740"/>
      <c r="PZR1688" s="1740"/>
      <c r="PZS1688" s="1740"/>
      <c r="PZT1688" s="1740"/>
      <c r="PZU1688" s="1740"/>
      <c r="PZV1688" s="1740"/>
      <c r="PZW1688" s="1740"/>
      <c r="PZX1688" s="1740"/>
      <c r="PZY1688" s="1740"/>
      <c r="PZZ1688" s="1740"/>
      <c r="QAA1688" s="1740"/>
      <c r="QAB1688" s="1740"/>
      <c r="QAC1688" s="1740"/>
      <c r="QAD1688" s="1740"/>
      <c r="QAE1688" s="1740"/>
      <c r="QAF1688" s="1740"/>
      <c r="QAG1688" s="1740"/>
      <c r="QAH1688" s="1740"/>
      <c r="QAI1688" s="1740"/>
      <c r="QAJ1688" s="1740"/>
      <c r="QAK1688" s="1740"/>
      <c r="QAL1688" s="1740"/>
      <c r="QAM1688" s="1740"/>
      <c r="QAN1688" s="1740"/>
      <c r="QAO1688" s="1740"/>
      <c r="QAP1688" s="1740"/>
      <c r="QAQ1688" s="1740"/>
      <c r="QAR1688" s="1740"/>
      <c r="QAS1688" s="1740"/>
      <c r="QAT1688" s="1740"/>
      <c r="QAU1688" s="1740"/>
      <c r="QAV1688" s="1740"/>
      <c r="QAW1688" s="1740"/>
      <c r="QAX1688" s="1740"/>
      <c r="QAY1688" s="1740"/>
      <c r="QAZ1688" s="1740"/>
      <c r="QBA1688" s="1740"/>
      <c r="QBB1688" s="1740"/>
      <c r="QBC1688" s="1740"/>
      <c r="QBD1688" s="1740"/>
      <c r="QBE1688" s="1740"/>
      <c r="QBF1688" s="1740"/>
      <c r="QBG1688" s="1740"/>
      <c r="QBH1688" s="1740"/>
      <c r="QBI1688" s="1740"/>
      <c r="QBJ1688" s="1740"/>
      <c r="QBK1688" s="1740"/>
      <c r="QBL1688" s="1740"/>
      <c r="QBM1688" s="1740"/>
      <c r="QBN1688" s="1740"/>
      <c r="QBO1688" s="1740"/>
      <c r="QBP1688" s="1740"/>
      <c r="QBQ1688" s="1740"/>
      <c r="QBR1688" s="1740"/>
      <c r="QBS1688" s="1740"/>
      <c r="QBT1688" s="1740"/>
      <c r="QBU1688" s="1740"/>
      <c r="QBV1688" s="1740"/>
      <c r="QBW1688" s="1740"/>
      <c r="QBX1688" s="1740"/>
      <c r="QBY1688" s="1740"/>
      <c r="QBZ1688" s="1740"/>
      <c r="QCA1688" s="1740"/>
      <c r="QCB1688" s="1740"/>
      <c r="QCC1688" s="1740"/>
      <c r="QCD1688" s="1740"/>
      <c r="QCE1688" s="1740"/>
      <c r="QCF1688" s="1740"/>
      <c r="QCG1688" s="1740"/>
      <c r="QCH1688" s="1740"/>
      <c r="QCI1688" s="1740"/>
      <c r="QCJ1688" s="1740"/>
      <c r="QCK1688" s="1740"/>
      <c r="QCL1688" s="1740"/>
      <c r="QCM1688" s="1740"/>
      <c r="QCN1688" s="1740"/>
      <c r="QCO1688" s="1740"/>
      <c r="QCP1688" s="1740"/>
      <c r="QCQ1688" s="1740"/>
      <c r="QCR1688" s="1740"/>
      <c r="QCS1688" s="1740"/>
      <c r="QCT1688" s="1740"/>
      <c r="QCU1688" s="1740"/>
      <c r="QCV1688" s="1740"/>
      <c r="QCW1688" s="1740"/>
      <c r="QCX1688" s="1740"/>
      <c r="QCY1688" s="1740"/>
      <c r="QCZ1688" s="1740"/>
      <c r="QDA1688" s="1740"/>
      <c r="QDB1688" s="1740"/>
      <c r="QDC1688" s="1740"/>
      <c r="QDD1688" s="1740"/>
      <c r="QDE1688" s="1740"/>
      <c r="QDF1688" s="1740"/>
      <c r="QDG1688" s="1740"/>
      <c r="QDH1688" s="1740"/>
      <c r="QDI1688" s="1740"/>
      <c r="QDJ1688" s="1740"/>
      <c r="QDK1688" s="1740"/>
      <c r="QDL1688" s="1740"/>
      <c r="QDM1688" s="1740"/>
      <c r="QDN1688" s="1740"/>
      <c r="QDO1688" s="1740"/>
      <c r="QDP1688" s="1740"/>
      <c r="QDQ1688" s="1740"/>
      <c r="QDR1688" s="1740"/>
      <c r="QDS1688" s="1740"/>
      <c r="QDT1688" s="1740"/>
      <c r="QDU1688" s="1740"/>
      <c r="QDV1688" s="1740"/>
      <c r="QDW1688" s="1740"/>
      <c r="QDX1688" s="1740"/>
      <c r="QDY1688" s="1740"/>
      <c r="QDZ1688" s="1740"/>
      <c r="QEA1688" s="1740"/>
      <c r="QEB1688" s="1740"/>
      <c r="QEC1688" s="1740"/>
      <c r="QED1688" s="1740"/>
      <c r="QEE1688" s="1740"/>
      <c r="QEF1688" s="1740"/>
      <c r="QEG1688" s="1740"/>
      <c r="QEH1688" s="1740"/>
      <c r="QEI1688" s="1740"/>
      <c r="QEJ1688" s="1740"/>
      <c r="QEK1688" s="1740"/>
      <c r="QEL1688" s="1740"/>
      <c r="QEM1688" s="1740"/>
      <c r="QEN1688" s="1740"/>
      <c r="QEO1688" s="1740"/>
      <c r="QEP1688" s="1740"/>
      <c r="QEQ1688" s="1740"/>
      <c r="QER1688" s="1740"/>
      <c r="QES1688" s="1740"/>
      <c r="QET1688" s="1740"/>
      <c r="QEU1688" s="1740"/>
      <c r="QEV1688" s="1740"/>
      <c r="QEW1688" s="1740"/>
      <c r="QEX1688" s="1740"/>
      <c r="QEY1688" s="1740"/>
      <c r="QEZ1688" s="1740"/>
      <c r="QFA1688" s="1740"/>
      <c r="QFB1688" s="1740"/>
      <c r="QFC1688" s="1740"/>
      <c r="QFD1688" s="1740"/>
      <c r="QFE1688" s="1740"/>
      <c r="QFF1688" s="1740"/>
      <c r="QFG1688" s="1740"/>
      <c r="QFH1688" s="1740"/>
      <c r="QFI1688" s="1740"/>
      <c r="QFJ1688" s="1740"/>
      <c r="QFK1688" s="1740"/>
      <c r="QFL1688" s="1740"/>
      <c r="QFM1688" s="1740"/>
      <c r="QFN1688" s="1740"/>
      <c r="QFO1688" s="1740"/>
      <c r="QFP1688" s="1740"/>
      <c r="QFQ1688" s="1740"/>
      <c r="QFR1688" s="1740"/>
      <c r="QFS1688" s="1740"/>
      <c r="QFT1688" s="1740"/>
      <c r="QFU1688" s="1740"/>
      <c r="QFV1688" s="1740"/>
      <c r="QFW1688" s="1740"/>
      <c r="QFX1688" s="1740"/>
      <c r="QFY1688" s="1740"/>
      <c r="QFZ1688" s="1740"/>
      <c r="QGA1688" s="1740"/>
      <c r="QGB1688" s="1740"/>
      <c r="QGC1688" s="1740"/>
      <c r="QGD1688" s="1740"/>
      <c r="QGE1688" s="1740"/>
      <c r="QGF1688" s="1740"/>
      <c r="QGG1688" s="1740"/>
      <c r="QGH1688" s="1740"/>
      <c r="QGI1688" s="1740"/>
      <c r="QGJ1688" s="1740"/>
      <c r="QGK1688" s="1740"/>
      <c r="QGL1688" s="1740"/>
      <c r="QGM1688" s="1740"/>
      <c r="QGN1688" s="1740"/>
      <c r="QGO1688" s="1740"/>
      <c r="QGP1688" s="1740"/>
      <c r="QGQ1688" s="1740"/>
      <c r="QGR1688" s="1740"/>
      <c r="QGS1688" s="1740"/>
      <c r="QGT1688" s="1740"/>
      <c r="QGU1688" s="1740"/>
      <c r="QGV1688" s="1740"/>
      <c r="QGW1688" s="1740"/>
      <c r="QGX1688" s="1740"/>
      <c r="QGY1688" s="1740"/>
      <c r="QGZ1688" s="1740"/>
      <c r="QHA1688" s="1740"/>
      <c r="QHB1688" s="1740"/>
      <c r="QHC1688" s="1740"/>
      <c r="QHD1688" s="1740"/>
      <c r="QHE1688" s="1740"/>
      <c r="QHF1688" s="1740"/>
      <c r="QHG1688" s="1740"/>
      <c r="QHH1688" s="1740"/>
      <c r="QHI1688" s="1740"/>
      <c r="QHJ1688" s="1740"/>
      <c r="QHK1688" s="1740"/>
      <c r="QHL1688" s="1740"/>
      <c r="QHM1688" s="1740"/>
      <c r="QHN1688" s="1740"/>
      <c r="QHO1688" s="1740"/>
      <c r="QHP1688" s="1740"/>
      <c r="QHQ1688" s="1740"/>
      <c r="QHR1688" s="1740"/>
      <c r="QHS1688" s="1740"/>
      <c r="QHT1688" s="1740"/>
      <c r="QHU1688" s="1740"/>
      <c r="QHV1688" s="1740"/>
      <c r="QHW1688" s="1740"/>
      <c r="QHX1688" s="1740"/>
      <c r="QHY1688" s="1740"/>
      <c r="QHZ1688" s="1740"/>
      <c r="QIA1688" s="1740"/>
      <c r="QIB1688" s="1740"/>
      <c r="QIC1688" s="1740"/>
      <c r="QID1688" s="1740"/>
      <c r="QIE1688" s="1740"/>
      <c r="QIF1688" s="1740"/>
      <c r="QIG1688" s="1740"/>
      <c r="QIH1688" s="1740"/>
      <c r="QII1688" s="1740"/>
      <c r="QIJ1688" s="1740"/>
      <c r="QIK1688" s="1740"/>
      <c r="QIL1688" s="1740"/>
      <c r="QIM1688" s="1740"/>
      <c r="QIN1688" s="1740"/>
      <c r="QIO1688" s="1740"/>
      <c r="QIP1688" s="1740"/>
      <c r="QIQ1688" s="1740"/>
      <c r="QIR1688" s="1740"/>
      <c r="QIS1688" s="1740"/>
      <c r="QIT1688" s="1740"/>
      <c r="QIU1688" s="1740"/>
      <c r="QIV1688" s="1740"/>
      <c r="QIW1688" s="1740"/>
      <c r="QIX1688" s="1740"/>
      <c r="QIY1688" s="1740"/>
      <c r="QIZ1688" s="1740"/>
      <c r="QJA1688" s="1740"/>
      <c r="QJB1688" s="1740"/>
      <c r="QJC1688" s="1740"/>
      <c r="QJD1688" s="1740"/>
      <c r="QJE1688" s="1740"/>
      <c r="QJF1688" s="1740"/>
      <c r="QJG1688" s="1740"/>
      <c r="QJH1688" s="1740"/>
      <c r="QJI1688" s="1740"/>
      <c r="QJJ1688" s="1740"/>
      <c r="QJK1688" s="1740"/>
      <c r="QJL1688" s="1740"/>
      <c r="QJM1688" s="1740"/>
      <c r="QJN1688" s="1740"/>
      <c r="QJO1688" s="1740"/>
      <c r="QJP1688" s="1740"/>
      <c r="QJQ1688" s="1740"/>
      <c r="QJR1688" s="1740"/>
      <c r="QJS1688" s="1740"/>
      <c r="QJT1688" s="1740"/>
      <c r="QJU1688" s="1740"/>
      <c r="QJV1688" s="1740"/>
      <c r="QJW1688" s="1740"/>
      <c r="QJX1688" s="1740"/>
      <c r="QJY1688" s="1740"/>
      <c r="QJZ1688" s="1740"/>
      <c r="QKA1688" s="1740"/>
      <c r="QKB1688" s="1740"/>
      <c r="QKC1688" s="1740"/>
      <c r="QKD1688" s="1740"/>
      <c r="QKE1688" s="1740"/>
      <c r="QKF1688" s="1740"/>
      <c r="QKG1688" s="1740"/>
      <c r="QKH1688" s="1740"/>
      <c r="QKI1688" s="1740"/>
      <c r="QKJ1688" s="1740"/>
      <c r="QKK1688" s="1740"/>
      <c r="QKL1688" s="1740"/>
      <c r="QKM1688" s="1740"/>
      <c r="QKN1688" s="1740"/>
      <c r="QKO1688" s="1740"/>
      <c r="QKP1688" s="1740"/>
      <c r="QKQ1688" s="1740"/>
      <c r="QKR1688" s="1740"/>
      <c r="QKS1688" s="1740"/>
      <c r="QKT1688" s="1740"/>
      <c r="QKU1688" s="1740"/>
      <c r="QKV1688" s="1740"/>
      <c r="QKW1688" s="1740"/>
      <c r="QKX1688" s="1740"/>
      <c r="QKY1688" s="1740"/>
      <c r="QKZ1688" s="1740"/>
      <c r="QLA1688" s="1740"/>
      <c r="QLB1688" s="1740"/>
      <c r="QLC1688" s="1740"/>
      <c r="QLD1688" s="1740"/>
      <c r="QLE1688" s="1740"/>
      <c r="QLF1688" s="1740"/>
      <c r="QLG1688" s="1740"/>
      <c r="QLH1688" s="1740"/>
      <c r="QLI1688" s="1740"/>
      <c r="QLJ1688" s="1740"/>
      <c r="QLK1688" s="1740"/>
      <c r="QLL1688" s="1740"/>
      <c r="QLM1688" s="1740"/>
      <c r="QLN1688" s="1740"/>
      <c r="QLO1688" s="1740"/>
      <c r="QLP1688" s="1740"/>
      <c r="QLQ1688" s="1740"/>
      <c r="QLR1688" s="1740"/>
      <c r="QLS1688" s="1740"/>
      <c r="QLT1688" s="1740"/>
      <c r="QLU1688" s="1740"/>
      <c r="QLV1688" s="1740"/>
      <c r="QLW1688" s="1740"/>
      <c r="QLX1688" s="1740"/>
      <c r="QLY1688" s="1740"/>
      <c r="QLZ1688" s="1740"/>
      <c r="QMA1688" s="1740"/>
      <c r="QMB1688" s="1740"/>
      <c r="QMC1688" s="1740"/>
      <c r="QMD1688" s="1740"/>
      <c r="QME1688" s="1740"/>
      <c r="QMF1688" s="1740"/>
      <c r="QMG1688" s="1740"/>
      <c r="QMH1688" s="1740"/>
      <c r="QMI1688" s="1740"/>
      <c r="QMJ1688" s="1740"/>
      <c r="QMK1688" s="1740"/>
      <c r="QML1688" s="1740"/>
      <c r="QMM1688" s="1740"/>
      <c r="QMN1688" s="1740"/>
      <c r="QMO1688" s="1740"/>
      <c r="QMP1688" s="1740"/>
      <c r="QMQ1688" s="1740"/>
      <c r="QMR1688" s="1740"/>
      <c r="QMS1688" s="1740"/>
      <c r="QMT1688" s="1740"/>
      <c r="QMU1688" s="1740"/>
      <c r="QMV1688" s="1740"/>
      <c r="QMW1688" s="1740"/>
      <c r="QMX1688" s="1740"/>
      <c r="QMY1688" s="1740"/>
      <c r="QMZ1688" s="1740"/>
      <c r="QNA1688" s="1740"/>
      <c r="QNB1688" s="1740"/>
      <c r="QNC1688" s="1740"/>
      <c r="QND1688" s="1740"/>
      <c r="QNE1688" s="1740"/>
      <c r="QNF1688" s="1740"/>
      <c r="QNG1688" s="1740"/>
      <c r="QNH1688" s="1740"/>
      <c r="QNI1688" s="1740"/>
      <c r="QNJ1688" s="1740"/>
      <c r="QNK1688" s="1740"/>
      <c r="QNL1688" s="1740"/>
      <c r="QNM1688" s="1740"/>
      <c r="QNN1688" s="1740"/>
      <c r="QNO1688" s="1740"/>
      <c r="QNP1688" s="1740"/>
      <c r="QNQ1688" s="1740"/>
      <c r="QNR1688" s="1740"/>
      <c r="QNS1688" s="1740"/>
      <c r="QNT1688" s="1740"/>
      <c r="QNU1688" s="1740"/>
      <c r="QNV1688" s="1740"/>
      <c r="QNW1688" s="1740"/>
      <c r="QNX1688" s="1740"/>
      <c r="QNY1688" s="1740"/>
      <c r="QNZ1688" s="1740"/>
      <c r="QOA1688" s="1740"/>
      <c r="QOB1688" s="1740"/>
      <c r="QOC1688" s="1740"/>
      <c r="QOD1688" s="1740"/>
      <c r="QOE1688" s="1740"/>
      <c r="QOF1688" s="1740"/>
      <c r="QOG1688" s="1740"/>
      <c r="QOH1688" s="1740"/>
      <c r="QOI1688" s="1740"/>
      <c r="QOJ1688" s="1740"/>
      <c r="QOK1688" s="1740"/>
      <c r="QOL1688" s="1740"/>
      <c r="QOM1688" s="1740"/>
      <c r="QON1688" s="1740"/>
      <c r="QOO1688" s="1740"/>
      <c r="QOP1688" s="1740"/>
      <c r="QOQ1688" s="1740"/>
      <c r="QOR1688" s="1740"/>
      <c r="QOS1688" s="1740"/>
      <c r="QOT1688" s="1740"/>
      <c r="QOU1688" s="1740"/>
      <c r="QOV1688" s="1740"/>
      <c r="QOW1688" s="1740"/>
      <c r="QOX1688" s="1740"/>
      <c r="QOY1688" s="1740"/>
      <c r="QOZ1688" s="1740"/>
      <c r="QPA1688" s="1740"/>
      <c r="QPB1688" s="1740"/>
      <c r="QPC1688" s="1740"/>
      <c r="QPD1688" s="1740"/>
      <c r="QPE1688" s="1740"/>
      <c r="QPF1688" s="1740"/>
      <c r="QPG1688" s="1740"/>
      <c r="QPH1688" s="1740"/>
      <c r="QPI1688" s="1740"/>
      <c r="QPJ1688" s="1740"/>
      <c r="QPK1688" s="1740"/>
      <c r="QPL1688" s="1740"/>
      <c r="QPM1688" s="1740"/>
      <c r="QPN1688" s="1740"/>
      <c r="QPO1688" s="1740"/>
      <c r="QPP1688" s="1740"/>
      <c r="QPQ1688" s="1740"/>
      <c r="QPR1688" s="1740"/>
      <c r="QPS1688" s="1740"/>
      <c r="QPT1688" s="1740"/>
      <c r="QPU1688" s="1740"/>
      <c r="QPV1688" s="1740"/>
      <c r="QPW1688" s="1740"/>
      <c r="QPX1688" s="1740"/>
      <c r="QPY1688" s="1740"/>
      <c r="QPZ1688" s="1740"/>
      <c r="QQA1688" s="1740"/>
      <c r="QQB1688" s="1740"/>
      <c r="QQC1688" s="1740"/>
      <c r="QQD1688" s="1740"/>
      <c r="QQE1688" s="1740"/>
      <c r="QQF1688" s="1740"/>
      <c r="QQG1688" s="1740"/>
      <c r="QQH1688" s="1740"/>
      <c r="QQI1688" s="1740"/>
      <c r="QQJ1688" s="1740"/>
      <c r="QQK1688" s="1740"/>
      <c r="QQL1688" s="1740"/>
      <c r="QQM1688" s="1740"/>
      <c r="QQN1688" s="1740"/>
      <c r="QQO1688" s="1740"/>
      <c r="QQP1688" s="1740"/>
      <c r="QQQ1688" s="1740"/>
      <c r="QQR1688" s="1740"/>
      <c r="QQS1688" s="1740"/>
      <c r="QQT1688" s="1740"/>
      <c r="QQU1688" s="1740"/>
      <c r="QQV1688" s="1740"/>
      <c r="QQW1688" s="1740"/>
      <c r="QQX1688" s="1740"/>
      <c r="QQY1688" s="1740"/>
      <c r="QQZ1688" s="1740"/>
      <c r="QRA1688" s="1740"/>
      <c r="QRB1688" s="1740"/>
      <c r="QRC1688" s="1740"/>
      <c r="QRD1688" s="1740"/>
      <c r="QRE1688" s="1740"/>
      <c r="QRF1688" s="1740"/>
      <c r="QRG1688" s="1740"/>
      <c r="QRH1688" s="1740"/>
      <c r="QRI1688" s="1740"/>
      <c r="QRJ1688" s="1740"/>
      <c r="QRK1688" s="1740"/>
      <c r="QRL1688" s="1740"/>
      <c r="QRM1688" s="1740"/>
      <c r="QRN1688" s="1740"/>
      <c r="QRO1688" s="1740"/>
      <c r="QRP1688" s="1740"/>
      <c r="QRQ1688" s="1740"/>
      <c r="QRR1688" s="1740"/>
      <c r="QRS1688" s="1740"/>
      <c r="QRT1688" s="1740"/>
      <c r="QRU1688" s="1740"/>
      <c r="QRV1688" s="1740"/>
      <c r="QRW1688" s="1740"/>
      <c r="QRX1688" s="1740"/>
      <c r="QRY1688" s="1740"/>
      <c r="QRZ1688" s="1740"/>
      <c r="QSA1688" s="1740"/>
      <c r="QSB1688" s="1740"/>
      <c r="QSC1688" s="1740"/>
      <c r="QSD1688" s="1740"/>
      <c r="QSE1688" s="1740"/>
      <c r="QSF1688" s="1740"/>
      <c r="QSG1688" s="1740"/>
      <c r="QSH1688" s="1740"/>
      <c r="QSI1688" s="1740"/>
      <c r="QSJ1688" s="1740"/>
      <c r="QSK1688" s="1740"/>
      <c r="QSL1688" s="1740"/>
      <c r="QSM1688" s="1740"/>
      <c r="QSN1688" s="1740"/>
      <c r="QSO1688" s="1740"/>
      <c r="QSP1688" s="1740"/>
      <c r="QSQ1688" s="1740"/>
      <c r="QSR1688" s="1740"/>
      <c r="QSS1688" s="1740"/>
      <c r="QST1688" s="1740"/>
      <c r="QSU1688" s="1740"/>
      <c r="QSV1688" s="1740"/>
      <c r="QSW1688" s="1740"/>
      <c r="QSX1688" s="1740"/>
      <c r="QSY1688" s="1740"/>
      <c r="QSZ1688" s="1740"/>
      <c r="QTA1688" s="1740"/>
      <c r="QTB1688" s="1740"/>
      <c r="QTC1688" s="1740"/>
      <c r="QTD1688" s="1740"/>
      <c r="QTE1688" s="1740"/>
      <c r="QTF1688" s="1740"/>
      <c r="QTG1688" s="1740"/>
      <c r="QTH1688" s="1740"/>
      <c r="QTI1688" s="1740"/>
      <c r="QTJ1688" s="1740"/>
      <c r="QTK1688" s="1740"/>
      <c r="QTL1688" s="1740"/>
      <c r="QTM1688" s="1740"/>
      <c r="QTN1688" s="1740"/>
      <c r="QTO1688" s="1740"/>
      <c r="QTP1688" s="1740"/>
      <c r="QTQ1688" s="1740"/>
      <c r="QTR1688" s="1740"/>
      <c r="QTS1688" s="1740"/>
      <c r="QTT1688" s="1740"/>
      <c r="QTU1688" s="1740"/>
      <c r="QTV1688" s="1740"/>
      <c r="QTW1688" s="1740"/>
      <c r="QTX1688" s="1740"/>
      <c r="QTY1688" s="1740"/>
      <c r="QTZ1688" s="1740"/>
      <c r="QUA1688" s="1740"/>
      <c r="QUB1688" s="1740"/>
      <c r="QUC1688" s="1740"/>
      <c r="QUD1688" s="1740"/>
      <c r="QUE1688" s="1740"/>
      <c r="QUF1688" s="1740"/>
      <c r="QUG1688" s="1740"/>
      <c r="QUH1688" s="1740"/>
      <c r="QUI1688" s="1740"/>
      <c r="QUJ1688" s="1740"/>
      <c r="QUK1688" s="1740"/>
      <c r="QUL1688" s="1740"/>
      <c r="QUM1688" s="1740"/>
      <c r="QUN1688" s="1740"/>
      <c r="QUO1688" s="1740"/>
      <c r="QUP1688" s="1740"/>
      <c r="QUQ1688" s="1740"/>
      <c r="QUR1688" s="1740"/>
      <c r="QUS1688" s="1740"/>
      <c r="QUT1688" s="1740"/>
      <c r="QUU1688" s="1740"/>
      <c r="QUV1688" s="1740"/>
      <c r="QUW1688" s="1740"/>
      <c r="QUX1688" s="1740"/>
      <c r="QUY1688" s="1740"/>
      <c r="QUZ1688" s="1740"/>
      <c r="QVA1688" s="1740"/>
      <c r="QVB1688" s="1740"/>
      <c r="QVC1688" s="1740"/>
      <c r="QVD1688" s="1740"/>
      <c r="QVE1688" s="1740"/>
      <c r="QVF1688" s="1740"/>
      <c r="QVG1688" s="1740"/>
      <c r="QVH1688" s="1740"/>
      <c r="QVI1688" s="1740"/>
      <c r="QVJ1688" s="1740"/>
      <c r="QVK1688" s="1740"/>
      <c r="QVL1688" s="1740"/>
      <c r="QVM1688" s="1740"/>
      <c r="QVN1688" s="1740"/>
      <c r="QVO1688" s="1740"/>
      <c r="QVP1688" s="1740"/>
      <c r="QVQ1688" s="1740"/>
      <c r="QVR1688" s="1740"/>
      <c r="QVS1688" s="1740"/>
      <c r="QVT1688" s="1740"/>
      <c r="QVU1688" s="1740"/>
      <c r="QVV1688" s="1740"/>
      <c r="QVW1688" s="1740"/>
      <c r="QVX1688" s="1740"/>
      <c r="QVY1688" s="1740"/>
      <c r="QVZ1688" s="1740"/>
      <c r="QWA1688" s="1740"/>
      <c r="QWB1688" s="1740"/>
      <c r="QWC1688" s="1740"/>
      <c r="QWD1688" s="1740"/>
      <c r="QWE1688" s="1740"/>
      <c r="QWF1688" s="1740"/>
      <c r="QWG1688" s="1740"/>
      <c r="QWH1688" s="1740"/>
      <c r="QWI1688" s="1740"/>
      <c r="QWJ1688" s="1740"/>
      <c r="QWK1688" s="1740"/>
      <c r="QWL1688" s="1740"/>
      <c r="QWM1688" s="1740"/>
      <c r="QWN1688" s="1740"/>
      <c r="QWO1688" s="1740"/>
      <c r="QWP1688" s="1740"/>
      <c r="QWQ1688" s="1740"/>
      <c r="QWR1688" s="1740"/>
      <c r="QWS1688" s="1740"/>
      <c r="QWT1688" s="1740"/>
      <c r="QWU1688" s="1740"/>
      <c r="QWV1688" s="1740"/>
      <c r="QWW1688" s="1740"/>
      <c r="QWX1688" s="1740"/>
      <c r="QWY1688" s="1740"/>
      <c r="QWZ1688" s="1740"/>
      <c r="QXA1688" s="1740"/>
      <c r="QXB1688" s="1740"/>
      <c r="QXC1688" s="1740"/>
      <c r="QXD1688" s="1740"/>
      <c r="QXE1688" s="1740"/>
      <c r="QXF1688" s="1740"/>
      <c r="QXG1688" s="1740"/>
      <c r="QXH1688" s="1740"/>
      <c r="QXI1688" s="1740"/>
      <c r="QXJ1688" s="1740"/>
      <c r="QXK1688" s="1740"/>
      <c r="QXL1688" s="1740"/>
      <c r="QXM1688" s="1740"/>
      <c r="QXN1688" s="1740"/>
      <c r="QXO1688" s="1740"/>
      <c r="QXP1688" s="1740"/>
      <c r="QXQ1688" s="1740"/>
      <c r="QXR1688" s="1740"/>
      <c r="QXS1688" s="1740"/>
      <c r="QXT1688" s="1740"/>
      <c r="QXU1688" s="1740"/>
      <c r="QXV1688" s="1740"/>
      <c r="QXW1688" s="1740"/>
      <c r="QXX1688" s="1740"/>
      <c r="QXY1688" s="1740"/>
      <c r="QXZ1688" s="1740"/>
      <c r="QYA1688" s="1740"/>
      <c r="QYB1688" s="1740"/>
      <c r="QYC1688" s="1740"/>
      <c r="QYD1688" s="1740"/>
      <c r="QYE1688" s="1740"/>
      <c r="QYF1688" s="1740"/>
      <c r="QYG1688" s="1740"/>
      <c r="QYH1688" s="1740"/>
      <c r="QYI1688" s="1740"/>
      <c r="QYJ1688" s="1740"/>
      <c r="QYK1688" s="1740"/>
      <c r="QYL1688" s="1740"/>
      <c r="QYM1688" s="1740"/>
      <c r="QYN1688" s="1740"/>
      <c r="QYO1688" s="1740"/>
      <c r="QYP1688" s="1740"/>
      <c r="QYQ1688" s="1740"/>
      <c r="QYR1688" s="1740"/>
      <c r="QYS1688" s="1740"/>
      <c r="QYT1688" s="1740"/>
      <c r="QYU1688" s="1740"/>
      <c r="QYV1688" s="1740"/>
      <c r="QYW1688" s="1740"/>
      <c r="QYX1688" s="1740"/>
      <c r="QYY1688" s="1740"/>
      <c r="QYZ1688" s="1740"/>
      <c r="QZA1688" s="1740"/>
      <c r="QZB1688" s="1740"/>
      <c r="QZC1688" s="1740"/>
      <c r="QZD1688" s="1740"/>
      <c r="QZE1688" s="1740"/>
      <c r="QZF1688" s="1740"/>
      <c r="QZG1688" s="1740"/>
      <c r="QZH1688" s="1740"/>
      <c r="QZI1688" s="1740"/>
      <c r="QZJ1688" s="1740"/>
      <c r="QZK1688" s="1740"/>
      <c r="QZL1688" s="1740"/>
      <c r="QZM1688" s="1740"/>
      <c r="QZN1688" s="1740"/>
      <c r="QZO1688" s="1740"/>
      <c r="QZP1688" s="1740"/>
      <c r="QZQ1688" s="1740"/>
      <c r="QZR1688" s="1740"/>
      <c r="QZS1688" s="1740"/>
      <c r="QZT1688" s="1740"/>
      <c r="QZU1688" s="1740"/>
      <c r="QZV1688" s="1740"/>
      <c r="QZW1688" s="1740"/>
      <c r="QZX1688" s="1740"/>
      <c r="QZY1688" s="1740"/>
      <c r="QZZ1688" s="1740"/>
      <c r="RAA1688" s="1740"/>
      <c r="RAB1688" s="1740"/>
      <c r="RAC1688" s="1740"/>
      <c r="RAD1688" s="1740"/>
      <c r="RAE1688" s="1740"/>
      <c r="RAF1688" s="1740"/>
      <c r="RAG1688" s="1740"/>
      <c r="RAH1688" s="1740"/>
      <c r="RAI1688" s="1740"/>
      <c r="RAJ1688" s="1740"/>
      <c r="RAK1688" s="1740"/>
      <c r="RAL1688" s="1740"/>
      <c r="RAM1688" s="1740"/>
      <c r="RAN1688" s="1740"/>
      <c r="RAO1688" s="1740"/>
      <c r="RAP1688" s="1740"/>
      <c r="RAQ1688" s="1740"/>
      <c r="RAR1688" s="1740"/>
      <c r="RAS1688" s="1740"/>
      <c r="RAT1688" s="1740"/>
      <c r="RAU1688" s="1740"/>
      <c r="RAV1688" s="1740"/>
      <c r="RAW1688" s="1740"/>
      <c r="RAX1688" s="1740"/>
      <c r="RAY1688" s="1740"/>
      <c r="RAZ1688" s="1740"/>
      <c r="RBA1688" s="1740"/>
      <c r="RBB1688" s="1740"/>
      <c r="RBC1688" s="1740"/>
      <c r="RBD1688" s="1740"/>
      <c r="RBE1688" s="1740"/>
      <c r="RBF1688" s="1740"/>
      <c r="RBG1688" s="1740"/>
      <c r="RBH1688" s="1740"/>
      <c r="RBI1688" s="1740"/>
      <c r="RBJ1688" s="1740"/>
      <c r="RBK1688" s="1740"/>
      <c r="RBL1688" s="1740"/>
      <c r="RBM1688" s="1740"/>
      <c r="RBN1688" s="1740"/>
      <c r="RBO1688" s="1740"/>
      <c r="RBP1688" s="1740"/>
      <c r="RBQ1688" s="1740"/>
      <c r="RBR1688" s="1740"/>
      <c r="RBS1688" s="1740"/>
      <c r="RBT1688" s="1740"/>
      <c r="RBU1688" s="1740"/>
      <c r="RBV1688" s="1740"/>
      <c r="RBW1688" s="1740"/>
      <c r="RBX1688" s="1740"/>
      <c r="RBY1688" s="1740"/>
      <c r="RBZ1688" s="1740"/>
      <c r="RCA1688" s="1740"/>
      <c r="RCB1688" s="1740"/>
      <c r="RCC1688" s="1740"/>
      <c r="RCD1688" s="1740"/>
      <c r="RCE1688" s="1740"/>
      <c r="RCF1688" s="1740"/>
      <c r="RCG1688" s="1740"/>
      <c r="RCH1688" s="1740"/>
      <c r="RCI1688" s="1740"/>
      <c r="RCJ1688" s="1740"/>
      <c r="RCK1688" s="1740"/>
      <c r="RCL1688" s="1740"/>
      <c r="RCM1688" s="1740"/>
      <c r="RCN1688" s="1740"/>
      <c r="RCO1688" s="1740"/>
      <c r="RCP1688" s="1740"/>
      <c r="RCQ1688" s="1740"/>
      <c r="RCR1688" s="1740"/>
      <c r="RCS1688" s="1740"/>
      <c r="RCT1688" s="1740"/>
      <c r="RCU1688" s="1740"/>
      <c r="RCV1688" s="1740"/>
      <c r="RCW1688" s="1740"/>
      <c r="RCX1688" s="1740"/>
      <c r="RCY1688" s="1740"/>
      <c r="RCZ1688" s="1740"/>
      <c r="RDA1688" s="1740"/>
      <c r="RDB1688" s="1740"/>
      <c r="RDC1688" s="1740"/>
      <c r="RDD1688" s="1740"/>
      <c r="RDE1688" s="1740"/>
      <c r="RDF1688" s="1740"/>
      <c r="RDG1688" s="1740"/>
      <c r="RDH1688" s="1740"/>
      <c r="RDI1688" s="1740"/>
      <c r="RDJ1688" s="1740"/>
      <c r="RDK1688" s="1740"/>
      <c r="RDL1688" s="1740"/>
      <c r="RDM1688" s="1740"/>
      <c r="RDN1688" s="1740"/>
      <c r="RDO1688" s="1740"/>
      <c r="RDP1688" s="1740"/>
      <c r="RDQ1688" s="1740"/>
      <c r="RDR1688" s="1740"/>
      <c r="RDS1688" s="1740"/>
      <c r="RDT1688" s="1740"/>
      <c r="RDU1688" s="1740"/>
      <c r="RDV1688" s="1740"/>
      <c r="RDW1688" s="1740"/>
      <c r="RDX1688" s="1740"/>
      <c r="RDY1688" s="1740"/>
      <c r="RDZ1688" s="1740"/>
      <c r="REA1688" s="1740"/>
      <c r="REB1688" s="1740"/>
      <c r="REC1688" s="1740"/>
      <c r="RED1688" s="1740"/>
      <c r="REE1688" s="1740"/>
      <c r="REF1688" s="1740"/>
      <c r="REG1688" s="1740"/>
      <c r="REH1688" s="1740"/>
      <c r="REI1688" s="1740"/>
      <c r="REJ1688" s="1740"/>
      <c r="REK1688" s="1740"/>
      <c r="REL1688" s="1740"/>
      <c r="REM1688" s="1740"/>
      <c r="REN1688" s="1740"/>
      <c r="REO1688" s="1740"/>
      <c r="REP1688" s="1740"/>
      <c r="REQ1688" s="1740"/>
      <c r="RER1688" s="1740"/>
      <c r="RES1688" s="1740"/>
      <c r="RET1688" s="1740"/>
      <c r="REU1688" s="1740"/>
      <c r="REV1688" s="1740"/>
      <c r="REW1688" s="1740"/>
      <c r="REX1688" s="1740"/>
      <c r="REY1688" s="1740"/>
      <c r="REZ1688" s="1740"/>
      <c r="RFA1688" s="1740"/>
      <c r="RFB1688" s="1740"/>
      <c r="RFC1688" s="1740"/>
      <c r="RFD1688" s="1740"/>
      <c r="RFE1688" s="1740"/>
      <c r="RFF1688" s="1740"/>
      <c r="RFG1688" s="1740"/>
      <c r="RFH1688" s="1740"/>
      <c r="RFI1688" s="1740"/>
      <c r="RFJ1688" s="1740"/>
      <c r="RFK1688" s="1740"/>
      <c r="RFL1688" s="1740"/>
      <c r="RFM1688" s="1740"/>
      <c r="RFN1688" s="1740"/>
      <c r="RFO1688" s="1740"/>
      <c r="RFP1688" s="1740"/>
      <c r="RFQ1688" s="1740"/>
      <c r="RFR1688" s="1740"/>
      <c r="RFS1688" s="1740"/>
      <c r="RFT1688" s="1740"/>
      <c r="RFU1688" s="1740"/>
      <c r="RFV1688" s="1740"/>
      <c r="RFW1688" s="1740"/>
      <c r="RFX1688" s="1740"/>
      <c r="RFY1688" s="1740"/>
      <c r="RFZ1688" s="1740"/>
      <c r="RGA1688" s="1740"/>
      <c r="RGB1688" s="1740"/>
      <c r="RGC1688" s="1740"/>
      <c r="RGD1688" s="1740"/>
      <c r="RGE1688" s="1740"/>
      <c r="RGF1688" s="1740"/>
      <c r="RGG1688" s="1740"/>
      <c r="RGH1688" s="1740"/>
      <c r="RGI1688" s="1740"/>
      <c r="RGJ1688" s="1740"/>
      <c r="RGK1688" s="1740"/>
      <c r="RGL1688" s="1740"/>
      <c r="RGM1688" s="1740"/>
      <c r="RGN1688" s="1740"/>
      <c r="RGO1688" s="1740"/>
      <c r="RGP1688" s="1740"/>
      <c r="RGQ1688" s="1740"/>
      <c r="RGR1688" s="1740"/>
      <c r="RGS1688" s="1740"/>
      <c r="RGT1688" s="1740"/>
      <c r="RGU1688" s="1740"/>
      <c r="RGV1688" s="1740"/>
      <c r="RGW1688" s="1740"/>
      <c r="RGX1688" s="1740"/>
      <c r="RGY1688" s="1740"/>
      <c r="RGZ1688" s="1740"/>
      <c r="RHA1688" s="1740"/>
      <c r="RHB1688" s="1740"/>
      <c r="RHC1688" s="1740"/>
      <c r="RHD1688" s="1740"/>
      <c r="RHE1688" s="1740"/>
      <c r="RHF1688" s="1740"/>
      <c r="RHG1688" s="1740"/>
      <c r="RHH1688" s="1740"/>
      <c r="RHI1688" s="1740"/>
      <c r="RHJ1688" s="1740"/>
      <c r="RHK1688" s="1740"/>
      <c r="RHL1688" s="1740"/>
      <c r="RHM1688" s="1740"/>
      <c r="RHN1688" s="1740"/>
      <c r="RHO1688" s="1740"/>
      <c r="RHP1688" s="1740"/>
      <c r="RHQ1688" s="1740"/>
      <c r="RHR1688" s="1740"/>
      <c r="RHS1688" s="1740"/>
      <c r="RHT1688" s="1740"/>
      <c r="RHU1688" s="1740"/>
      <c r="RHV1688" s="1740"/>
      <c r="RHW1688" s="1740"/>
      <c r="RHX1688" s="1740"/>
      <c r="RHY1688" s="1740"/>
      <c r="RHZ1688" s="1740"/>
      <c r="RIA1688" s="1740"/>
      <c r="RIB1688" s="1740"/>
      <c r="RIC1688" s="1740"/>
      <c r="RID1688" s="1740"/>
      <c r="RIE1688" s="1740"/>
      <c r="RIF1688" s="1740"/>
      <c r="RIG1688" s="1740"/>
      <c r="RIH1688" s="1740"/>
      <c r="RII1688" s="1740"/>
      <c r="RIJ1688" s="1740"/>
      <c r="RIK1688" s="1740"/>
      <c r="RIL1688" s="1740"/>
      <c r="RIM1688" s="1740"/>
      <c r="RIN1688" s="1740"/>
      <c r="RIO1688" s="1740"/>
      <c r="RIP1688" s="1740"/>
      <c r="RIQ1688" s="1740"/>
      <c r="RIR1688" s="1740"/>
      <c r="RIS1688" s="1740"/>
      <c r="RIT1688" s="1740"/>
      <c r="RIU1688" s="1740"/>
      <c r="RIV1688" s="1740"/>
      <c r="RIW1688" s="1740"/>
      <c r="RIX1688" s="1740"/>
      <c r="RIY1688" s="1740"/>
      <c r="RIZ1688" s="1740"/>
      <c r="RJA1688" s="1740"/>
      <c r="RJB1688" s="1740"/>
      <c r="RJC1688" s="1740"/>
      <c r="RJD1688" s="1740"/>
      <c r="RJE1688" s="1740"/>
      <c r="RJF1688" s="1740"/>
      <c r="RJG1688" s="1740"/>
      <c r="RJH1688" s="1740"/>
      <c r="RJI1688" s="1740"/>
      <c r="RJJ1688" s="1740"/>
      <c r="RJK1688" s="1740"/>
      <c r="RJL1688" s="1740"/>
      <c r="RJM1688" s="1740"/>
      <c r="RJN1688" s="1740"/>
      <c r="RJO1688" s="1740"/>
      <c r="RJP1688" s="1740"/>
      <c r="RJQ1688" s="1740"/>
      <c r="RJR1688" s="1740"/>
      <c r="RJS1688" s="1740"/>
      <c r="RJT1688" s="1740"/>
      <c r="RJU1688" s="1740"/>
      <c r="RJV1688" s="1740"/>
      <c r="RJW1688" s="1740"/>
      <c r="RJX1688" s="1740"/>
      <c r="RJY1688" s="1740"/>
      <c r="RJZ1688" s="1740"/>
      <c r="RKA1688" s="1740"/>
      <c r="RKB1688" s="1740"/>
      <c r="RKC1688" s="1740"/>
      <c r="RKD1688" s="1740"/>
      <c r="RKE1688" s="1740"/>
      <c r="RKF1688" s="1740"/>
      <c r="RKG1688" s="1740"/>
      <c r="RKH1688" s="1740"/>
      <c r="RKI1688" s="1740"/>
      <c r="RKJ1688" s="1740"/>
      <c r="RKK1688" s="1740"/>
      <c r="RKL1688" s="1740"/>
      <c r="RKM1688" s="1740"/>
      <c r="RKN1688" s="1740"/>
      <c r="RKO1688" s="1740"/>
      <c r="RKP1688" s="1740"/>
      <c r="RKQ1688" s="1740"/>
      <c r="RKR1688" s="1740"/>
      <c r="RKS1688" s="1740"/>
      <c r="RKT1688" s="1740"/>
      <c r="RKU1688" s="1740"/>
      <c r="RKV1688" s="1740"/>
      <c r="RKW1688" s="1740"/>
      <c r="RKX1688" s="1740"/>
      <c r="RKY1688" s="1740"/>
      <c r="RKZ1688" s="1740"/>
      <c r="RLA1688" s="1740"/>
      <c r="RLB1688" s="1740"/>
      <c r="RLC1688" s="1740"/>
      <c r="RLD1688" s="1740"/>
      <c r="RLE1688" s="1740"/>
      <c r="RLF1688" s="1740"/>
      <c r="RLG1688" s="1740"/>
      <c r="RLH1688" s="1740"/>
      <c r="RLI1688" s="1740"/>
      <c r="RLJ1688" s="1740"/>
      <c r="RLK1688" s="1740"/>
      <c r="RLL1688" s="1740"/>
      <c r="RLM1688" s="1740"/>
      <c r="RLN1688" s="1740"/>
      <c r="RLO1688" s="1740"/>
      <c r="RLP1688" s="1740"/>
      <c r="RLQ1688" s="1740"/>
      <c r="RLR1688" s="1740"/>
      <c r="RLS1688" s="1740"/>
      <c r="RLT1688" s="1740"/>
      <c r="RLU1688" s="1740"/>
      <c r="RLV1688" s="1740"/>
      <c r="RLW1688" s="1740"/>
      <c r="RLX1688" s="1740"/>
      <c r="RLY1688" s="1740"/>
      <c r="RLZ1688" s="1740"/>
      <c r="RMA1688" s="1740"/>
      <c r="RMB1688" s="1740"/>
      <c r="RMC1688" s="1740"/>
      <c r="RMD1688" s="1740"/>
      <c r="RME1688" s="1740"/>
      <c r="RMF1688" s="1740"/>
      <c r="RMG1688" s="1740"/>
      <c r="RMH1688" s="1740"/>
      <c r="RMI1688" s="1740"/>
      <c r="RMJ1688" s="1740"/>
      <c r="RMK1688" s="1740"/>
      <c r="RML1688" s="1740"/>
      <c r="RMM1688" s="1740"/>
      <c r="RMN1688" s="1740"/>
      <c r="RMO1688" s="1740"/>
      <c r="RMP1688" s="1740"/>
      <c r="RMQ1688" s="1740"/>
      <c r="RMR1688" s="1740"/>
      <c r="RMS1688" s="1740"/>
      <c r="RMT1688" s="1740"/>
      <c r="RMU1688" s="1740"/>
      <c r="RMV1688" s="1740"/>
      <c r="RMW1688" s="1740"/>
      <c r="RMX1688" s="1740"/>
      <c r="RMY1688" s="1740"/>
      <c r="RMZ1688" s="1740"/>
      <c r="RNA1688" s="1740"/>
      <c r="RNB1688" s="1740"/>
      <c r="RNC1688" s="1740"/>
      <c r="RND1688" s="1740"/>
      <c r="RNE1688" s="1740"/>
      <c r="RNF1688" s="1740"/>
      <c r="RNG1688" s="1740"/>
      <c r="RNH1688" s="1740"/>
      <c r="RNI1688" s="1740"/>
      <c r="RNJ1688" s="1740"/>
      <c r="RNK1688" s="1740"/>
      <c r="RNL1688" s="1740"/>
      <c r="RNM1688" s="1740"/>
      <c r="RNN1688" s="1740"/>
      <c r="RNO1688" s="1740"/>
      <c r="RNP1688" s="1740"/>
      <c r="RNQ1688" s="1740"/>
      <c r="RNR1688" s="1740"/>
      <c r="RNS1688" s="1740"/>
      <c r="RNT1688" s="1740"/>
      <c r="RNU1688" s="1740"/>
      <c r="RNV1688" s="1740"/>
      <c r="RNW1688" s="1740"/>
      <c r="RNX1688" s="1740"/>
      <c r="RNY1688" s="1740"/>
      <c r="RNZ1688" s="1740"/>
      <c r="ROA1688" s="1740"/>
      <c r="ROB1688" s="1740"/>
      <c r="ROC1688" s="1740"/>
      <c r="ROD1688" s="1740"/>
      <c r="ROE1688" s="1740"/>
      <c r="ROF1688" s="1740"/>
      <c r="ROG1688" s="1740"/>
      <c r="ROH1688" s="1740"/>
      <c r="ROI1688" s="1740"/>
      <c r="ROJ1688" s="1740"/>
      <c r="ROK1688" s="1740"/>
      <c r="ROL1688" s="1740"/>
      <c r="ROM1688" s="1740"/>
      <c r="RON1688" s="1740"/>
      <c r="ROO1688" s="1740"/>
      <c r="ROP1688" s="1740"/>
      <c r="ROQ1688" s="1740"/>
      <c r="ROR1688" s="1740"/>
      <c r="ROS1688" s="1740"/>
      <c r="ROT1688" s="1740"/>
      <c r="ROU1688" s="1740"/>
      <c r="ROV1688" s="1740"/>
      <c r="ROW1688" s="1740"/>
      <c r="ROX1688" s="1740"/>
      <c r="ROY1688" s="1740"/>
      <c r="ROZ1688" s="1740"/>
      <c r="RPA1688" s="1740"/>
      <c r="RPB1688" s="1740"/>
      <c r="RPC1688" s="1740"/>
      <c r="RPD1688" s="1740"/>
      <c r="RPE1688" s="1740"/>
      <c r="RPF1688" s="1740"/>
      <c r="RPG1688" s="1740"/>
      <c r="RPH1688" s="1740"/>
      <c r="RPI1688" s="1740"/>
      <c r="RPJ1688" s="1740"/>
      <c r="RPK1688" s="1740"/>
      <c r="RPL1688" s="1740"/>
      <c r="RPM1688" s="1740"/>
      <c r="RPN1688" s="1740"/>
      <c r="RPO1688" s="1740"/>
      <c r="RPP1688" s="1740"/>
      <c r="RPQ1688" s="1740"/>
      <c r="RPR1688" s="1740"/>
      <c r="RPS1688" s="1740"/>
      <c r="RPT1688" s="1740"/>
      <c r="RPU1688" s="1740"/>
      <c r="RPV1688" s="1740"/>
      <c r="RPW1688" s="1740"/>
      <c r="RPX1688" s="1740"/>
      <c r="RPY1688" s="1740"/>
      <c r="RPZ1688" s="1740"/>
      <c r="RQA1688" s="1740"/>
      <c r="RQB1688" s="1740"/>
      <c r="RQC1688" s="1740"/>
      <c r="RQD1688" s="1740"/>
      <c r="RQE1688" s="1740"/>
      <c r="RQF1688" s="1740"/>
      <c r="RQG1688" s="1740"/>
      <c r="RQH1688" s="1740"/>
      <c r="RQI1688" s="1740"/>
      <c r="RQJ1688" s="1740"/>
      <c r="RQK1688" s="1740"/>
      <c r="RQL1688" s="1740"/>
      <c r="RQM1688" s="1740"/>
      <c r="RQN1688" s="1740"/>
      <c r="RQO1688" s="1740"/>
      <c r="RQP1688" s="1740"/>
      <c r="RQQ1688" s="1740"/>
      <c r="RQR1688" s="1740"/>
      <c r="RQS1688" s="1740"/>
      <c r="RQT1688" s="1740"/>
      <c r="RQU1688" s="1740"/>
      <c r="RQV1688" s="1740"/>
      <c r="RQW1688" s="1740"/>
      <c r="RQX1688" s="1740"/>
      <c r="RQY1688" s="1740"/>
      <c r="RQZ1688" s="1740"/>
      <c r="RRA1688" s="1740"/>
      <c r="RRB1688" s="1740"/>
      <c r="RRC1688" s="1740"/>
      <c r="RRD1688" s="1740"/>
      <c r="RRE1688" s="1740"/>
      <c r="RRF1688" s="1740"/>
      <c r="RRG1688" s="1740"/>
      <c r="RRH1688" s="1740"/>
      <c r="RRI1688" s="1740"/>
      <c r="RRJ1688" s="1740"/>
      <c r="RRK1688" s="1740"/>
      <c r="RRL1688" s="1740"/>
      <c r="RRM1688" s="1740"/>
      <c r="RRN1688" s="1740"/>
      <c r="RRO1688" s="1740"/>
      <c r="RRP1688" s="1740"/>
      <c r="RRQ1688" s="1740"/>
      <c r="RRR1688" s="1740"/>
      <c r="RRS1688" s="1740"/>
      <c r="RRT1688" s="1740"/>
      <c r="RRU1688" s="1740"/>
      <c r="RRV1688" s="1740"/>
      <c r="RRW1688" s="1740"/>
      <c r="RRX1688" s="1740"/>
      <c r="RRY1688" s="1740"/>
      <c r="RRZ1688" s="1740"/>
      <c r="RSA1688" s="1740"/>
      <c r="RSB1688" s="1740"/>
      <c r="RSC1688" s="1740"/>
      <c r="RSD1688" s="1740"/>
      <c r="RSE1688" s="1740"/>
      <c r="RSF1688" s="1740"/>
      <c r="RSG1688" s="1740"/>
      <c r="RSH1688" s="1740"/>
      <c r="RSI1688" s="1740"/>
      <c r="RSJ1688" s="1740"/>
      <c r="RSK1688" s="1740"/>
      <c r="RSL1688" s="1740"/>
      <c r="RSM1688" s="1740"/>
      <c r="RSN1688" s="1740"/>
      <c r="RSO1688" s="1740"/>
      <c r="RSP1688" s="1740"/>
      <c r="RSQ1688" s="1740"/>
      <c r="RSR1688" s="1740"/>
      <c r="RSS1688" s="1740"/>
      <c r="RST1688" s="1740"/>
      <c r="RSU1688" s="1740"/>
      <c r="RSV1688" s="1740"/>
      <c r="RSW1688" s="1740"/>
      <c r="RSX1688" s="1740"/>
      <c r="RSY1688" s="1740"/>
      <c r="RSZ1688" s="1740"/>
      <c r="RTA1688" s="1740"/>
      <c r="RTB1688" s="1740"/>
      <c r="RTC1688" s="1740"/>
      <c r="RTD1688" s="1740"/>
      <c r="RTE1688" s="1740"/>
      <c r="RTF1688" s="1740"/>
      <c r="RTG1688" s="1740"/>
      <c r="RTH1688" s="1740"/>
      <c r="RTI1688" s="1740"/>
      <c r="RTJ1688" s="1740"/>
      <c r="RTK1688" s="1740"/>
      <c r="RTL1688" s="1740"/>
      <c r="RTM1688" s="1740"/>
      <c r="RTN1688" s="1740"/>
      <c r="RTO1688" s="1740"/>
      <c r="RTP1688" s="1740"/>
      <c r="RTQ1688" s="1740"/>
      <c r="RTR1688" s="1740"/>
      <c r="RTS1688" s="1740"/>
      <c r="RTT1688" s="1740"/>
      <c r="RTU1688" s="1740"/>
      <c r="RTV1688" s="1740"/>
      <c r="RTW1688" s="1740"/>
      <c r="RTX1688" s="1740"/>
      <c r="RTY1688" s="1740"/>
      <c r="RTZ1688" s="1740"/>
      <c r="RUA1688" s="1740"/>
      <c r="RUB1688" s="1740"/>
      <c r="RUC1688" s="1740"/>
      <c r="RUD1688" s="1740"/>
      <c r="RUE1688" s="1740"/>
      <c r="RUF1688" s="1740"/>
      <c r="RUG1688" s="1740"/>
      <c r="RUH1688" s="1740"/>
      <c r="RUI1688" s="1740"/>
      <c r="RUJ1688" s="1740"/>
      <c r="RUK1688" s="1740"/>
      <c r="RUL1688" s="1740"/>
      <c r="RUM1688" s="1740"/>
      <c r="RUN1688" s="1740"/>
      <c r="RUO1688" s="1740"/>
      <c r="RUP1688" s="1740"/>
      <c r="RUQ1688" s="1740"/>
      <c r="RUR1688" s="1740"/>
      <c r="RUS1688" s="1740"/>
      <c r="RUT1688" s="1740"/>
      <c r="RUU1688" s="1740"/>
      <c r="RUV1688" s="1740"/>
      <c r="RUW1688" s="1740"/>
      <c r="RUX1688" s="1740"/>
      <c r="RUY1688" s="1740"/>
      <c r="RUZ1688" s="1740"/>
      <c r="RVA1688" s="1740"/>
      <c r="RVB1688" s="1740"/>
      <c r="RVC1688" s="1740"/>
      <c r="RVD1688" s="1740"/>
      <c r="RVE1688" s="1740"/>
      <c r="RVF1688" s="1740"/>
      <c r="RVG1688" s="1740"/>
      <c r="RVH1688" s="1740"/>
      <c r="RVI1688" s="1740"/>
      <c r="RVJ1688" s="1740"/>
      <c r="RVK1688" s="1740"/>
      <c r="RVL1688" s="1740"/>
      <c r="RVM1688" s="1740"/>
      <c r="RVN1688" s="1740"/>
      <c r="RVO1688" s="1740"/>
      <c r="RVP1688" s="1740"/>
      <c r="RVQ1688" s="1740"/>
      <c r="RVR1688" s="1740"/>
      <c r="RVS1688" s="1740"/>
      <c r="RVT1688" s="1740"/>
      <c r="RVU1688" s="1740"/>
      <c r="RVV1688" s="1740"/>
      <c r="RVW1688" s="1740"/>
      <c r="RVX1688" s="1740"/>
      <c r="RVY1688" s="1740"/>
      <c r="RVZ1688" s="1740"/>
      <c r="RWA1688" s="1740"/>
      <c r="RWB1688" s="1740"/>
      <c r="RWC1688" s="1740"/>
      <c r="RWD1688" s="1740"/>
      <c r="RWE1688" s="1740"/>
      <c r="RWF1688" s="1740"/>
      <c r="RWG1688" s="1740"/>
      <c r="RWH1688" s="1740"/>
      <c r="RWI1688" s="1740"/>
      <c r="RWJ1688" s="1740"/>
      <c r="RWK1688" s="1740"/>
      <c r="RWL1688" s="1740"/>
      <c r="RWM1688" s="1740"/>
      <c r="RWN1688" s="1740"/>
      <c r="RWO1688" s="1740"/>
      <c r="RWP1688" s="1740"/>
      <c r="RWQ1688" s="1740"/>
      <c r="RWR1688" s="1740"/>
      <c r="RWS1688" s="1740"/>
      <c r="RWT1688" s="1740"/>
      <c r="RWU1688" s="1740"/>
      <c r="RWV1688" s="1740"/>
      <c r="RWW1688" s="1740"/>
      <c r="RWX1688" s="1740"/>
      <c r="RWY1688" s="1740"/>
      <c r="RWZ1688" s="1740"/>
      <c r="RXA1688" s="1740"/>
      <c r="RXB1688" s="1740"/>
      <c r="RXC1688" s="1740"/>
      <c r="RXD1688" s="1740"/>
      <c r="RXE1688" s="1740"/>
      <c r="RXF1688" s="1740"/>
      <c r="RXG1688" s="1740"/>
      <c r="RXH1688" s="1740"/>
      <c r="RXI1688" s="1740"/>
      <c r="RXJ1688" s="1740"/>
      <c r="RXK1688" s="1740"/>
      <c r="RXL1688" s="1740"/>
      <c r="RXM1688" s="1740"/>
      <c r="RXN1688" s="1740"/>
      <c r="RXO1688" s="1740"/>
      <c r="RXP1688" s="1740"/>
      <c r="RXQ1688" s="1740"/>
      <c r="RXR1688" s="1740"/>
      <c r="RXS1688" s="1740"/>
      <c r="RXT1688" s="1740"/>
      <c r="RXU1688" s="1740"/>
      <c r="RXV1688" s="1740"/>
      <c r="RXW1688" s="1740"/>
      <c r="RXX1688" s="1740"/>
      <c r="RXY1688" s="1740"/>
      <c r="RXZ1688" s="1740"/>
      <c r="RYA1688" s="1740"/>
      <c r="RYB1688" s="1740"/>
      <c r="RYC1688" s="1740"/>
      <c r="RYD1688" s="1740"/>
      <c r="RYE1688" s="1740"/>
      <c r="RYF1688" s="1740"/>
      <c r="RYG1688" s="1740"/>
      <c r="RYH1688" s="1740"/>
      <c r="RYI1688" s="1740"/>
      <c r="RYJ1688" s="1740"/>
      <c r="RYK1688" s="1740"/>
      <c r="RYL1688" s="1740"/>
      <c r="RYM1688" s="1740"/>
      <c r="RYN1688" s="1740"/>
      <c r="RYO1688" s="1740"/>
      <c r="RYP1688" s="1740"/>
      <c r="RYQ1688" s="1740"/>
      <c r="RYR1688" s="1740"/>
      <c r="RYS1688" s="1740"/>
      <c r="RYT1688" s="1740"/>
      <c r="RYU1688" s="1740"/>
      <c r="RYV1688" s="1740"/>
      <c r="RYW1688" s="1740"/>
      <c r="RYX1688" s="1740"/>
      <c r="RYY1688" s="1740"/>
      <c r="RYZ1688" s="1740"/>
      <c r="RZA1688" s="1740"/>
      <c r="RZB1688" s="1740"/>
      <c r="RZC1688" s="1740"/>
      <c r="RZD1688" s="1740"/>
      <c r="RZE1688" s="1740"/>
      <c r="RZF1688" s="1740"/>
      <c r="RZG1688" s="1740"/>
      <c r="RZH1688" s="1740"/>
      <c r="RZI1688" s="1740"/>
      <c r="RZJ1688" s="1740"/>
      <c r="RZK1688" s="1740"/>
      <c r="RZL1688" s="1740"/>
      <c r="RZM1688" s="1740"/>
      <c r="RZN1688" s="1740"/>
      <c r="RZO1688" s="1740"/>
      <c r="RZP1688" s="1740"/>
      <c r="RZQ1688" s="1740"/>
      <c r="RZR1688" s="1740"/>
      <c r="RZS1688" s="1740"/>
      <c r="RZT1688" s="1740"/>
      <c r="RZU1688" s="1740"/>
      <c r="RZV1688" s="1740"/>
      <c r="RZW1688" s="1740"/>
      <c r="RZX1688" s="1740"/>
      <c r="RZY1688" s="1740"/>
      <c r="RZZ1688" s="1740"/>
      <c r="SAA1688" s="1740"/>
      <c r="SAB1688" s="1740"/>
      <c r="SAC1688" s="1740"/>
      <c r="SAD1688" s="1740"/>
      <c r="SAE1688" s="1740"/>
      <c r="SAF1688" s="1740"/>
      <c r="SAG1688" s="1740"/>
      <c r="SAH1688" s="1740"/>
      <c r="SAI1688" s="1740"/>
      <c r="SAJ1688" s="1740"/>
      <c r="SAK1688" s="1740"/>
      <c r="SAL1688" s="1740"/>
      <c r="SAM1688" s="1740"/>
      <c r="SAN1688" s="1740"/>
      <c r="SAO1688" s="1740"/>
      <c r="SAP1688" s="1740"/>
      <c r="SAQ1688" s="1740"/>
      <c r="SAR1688" s="1740"/>
      <c r="SAS1688" s="1740"/>
      <c r="SAT1688" s="1740"/>
      <c r="SAU1688" s="1740"/>
      <c r="SAV1688" s="1740"/>
      <c r="SAW1688" s="1740"/>
      <c r="SAX1688" s="1740"/>
      <c r="SAY1688" s="1740"/>
      <c r="SAZ1688" s="1740"/>
      <c r="SBA1688" s="1740"/>
      <c r="SBB1688" s="1740"/>
      <c r="SBC1688" s="1740"/>
      <c r="SBD1688" s="1740"/>
      <c r="SBE1688" s="1740"/>
      <c r="SBF1688" s="1740"/>
      <c r="SBG1688" s="1740"/>
      <c r="SBH1688" s="1740"/>
      <c r="SBI1688" s="1740"/>
      <c r="SBJ1688" s="1740"/>
      <c r="SBK1688" s="1740"/>
      <c r="SBL1688" s="1740"/>
      <c r="SBM1688" s="1740"/>
      <c r="SBN1688" s="1740"/>
      <c r="SBO1688" s="1740"/>
      <c r="SBP1688" s="1740"/>
      <c r="SBQ1688" s="1740"/>
      <c r="SBR1688" s="1740"/>
      <c r="SBS1688" s="1740"/>
      <c r="SBT1688" s="1740"/>
      <c r="SBU1688" s="1740"/>
      <c r="SBV1688" s="1740"/>
      <c r="SBW1688" s="1740"/>
      <c r="SBX1688" s="1740"/>
      <c r="SBY1688" s="1740"/>
      <c r="SBZ1688" s="1740"/>
      <c r="SCA1688" s="1740"/>
      <c r="SCB1688" s="1740"/>
      <c r="SCC1688" s="1740"/>
      <c r="SCD1688" s="1740"/>
      <c r="SCE1688" s="1740"/>
      <c r="SCF1688" s="1740"/>
      <c r="SCG1688" s="1740"/>
      <c r="SCH1688" s="1740"/>
      <c r="SCI1688" s="1740"/>
      <c r="SCJ1688" s="1740"/>
      <c r="SCK1688" s="1740"/>
      <c r="SCL1688" s="1740"/>
      <c r="SCM1688" s="1740"/>
      <c r="SCN1688" s="1740"/>
      <c r="SCO1688" s="1740"/>
      <c r="SCP1688" s="1740"/>
      <c r="SCQ1688" s="1740"/>
      <c r="SCR1688" s="1740"/>
      <c r="SCS1688" s="1740"/>
      <c r="SCT1688" s="1740"/>
      <c r="SCU1688" s="1740"/>
      <c r="SCV1688" s="1740"/>
      <c r="SCW1688" s="1740"/>
      <c r="SCX1688" s="1740"/>
      <c r="SCY1688" s="1740"/>
      <c r="SCZ1688" s="1740"/>
      <c r="SDA1688" s="1740"/>
      <c r="SDB1688" s="1740"/>
      <c r="SDC1688" s="1740"/>
      <c r="SDD1688" s="1740"/>
      <c r="SDE1688" s="1740"/>
      <c r="SDF1688" s="1740"/>
      <c r="SDG1688" s="1740"/>
      <c r="SDH1688" s="1740"/>
      <c r="SDI1688" s="1740"/>
      <c r="SDJ1688" s="1740"/>
      <c r="SDK1688" s="1740"/>
      <c r="SDL1688" s="1740"/>
      <c r="SDM1688" s="1740"/>
      <c r="SDN1688" s="1740"/>
      <c r="SDO1688" s="1740"/>
      <c r="SDP1688" s="1740"/>
      <c r="SDQ1688" s="1740"/>
      <c r="SDR1688" s="1740"/>
      <c r="SDS1688" s="1740"/>
      <c r="SDT1688" s="1740"/>
      <c r="SDU1688" s="1740"/>
      <c r="SDV1688" s="1740"/>
      <c r="SDW1688" s="1740"/>
      <c r="SDX1688" s="1740"/>
      <c r="SDY1688" s="1740"/>
      <c r="SDZ1688" s="1740"/>
      <c r="SEA1688" s="1740"/>
      <c r="SEB1688" s="1740"/>
      <c r="SEC1688" s="1740"/>
      <c r="SED1688" s="1740"/>
      <c r="SEE1688" s="1740"/>
      <c r="SEF1688" s="1740"/>
      <c r="SEG1688" s="1740"/>
      <c r="SEH1688" s="1740"/>
      <c r="SEI1688" s="1740"/>
      <c r="SEJ1688" s="1740"/>
      <c r="SEK1688" s="1740"/>
      <c r="SEL1688" s="1740"/>
      <c r="SEM1688" s="1740"/>
      <c r="SEN1688" s="1740"/>
      <c r="SEO1688" s="1740"/>
      <c r="SEP1688" s="1740"/>
      <c r="SEQ1688" s="1740"/>
      <c r="SER1688" s="1740"/>
      <c r="SES1688" s="1740"/>
      <c r="SET1688" s="1740"/>
      <c r="SEU1688" s="1740"/>
      <c r="SEV1688" s="1740"/>
      <c r="SEW1688" s="1740"/>
      <c r="SEX1688" s="1740"/>
      <c r="SEY1688" s="1740"/>
      <c r="SEZ1688" s="1740"/>
      <c r="SFA1688" s="1740"/>
      <c r="SFB1688" s="1740"/>
      <c r="SFC1688" s="1740"/>
      <c r="SFD1688" s="1740"/>
      <c r="SFE1688" s="1740"/>
      <c r="SFF1688" s="1740"/>
      <c r="SFG1688" s="1740"/>
      <c r="SFH1688" s="1740"/>
      <c r="SFI1688" s="1740"/>
      <c r="SFJ1688" s="1740"/>
      <c r="SFK1688" s="1740"/>
      <c r="SFL1688" s="1740"/>
      <c r="SFM1688" s="1740"/>
      <c r="SFN1688" s="1740"/>
      <c r="SFO1688" s="1740"/>
      <c r="SFP1688" s="1740"/>
      <c r="SFQ1688" s="1740"/>
      <c r="SFR1688" s="1740"/>
      <c r="SFS1688" s="1740"/>
      <c r="SFT1688" s="1740"/>
      <c r="SFU1688" s="1740"/>
      <c r="SFV1688" s="1740"/>
      <c r="SFW1688" s="1740"/>
      <c r="SFX1688" s="1740"/>
      <c r="SFY1688" s="1740"/>
      <c r="SFZ1688" s="1740"/>
      <c r="SGA1688" s="1740"/>
      <c r="SGB1688" s="1740"/>
      <c r="SGC1688" s="1740"/>
      <c r="SGD1688" s="1740"/>
      <c r="SGE1688" s="1740"/>
      <c r="SGF1688" s="1740"/>
      <c r="SGG1688" s="1740"/>
      <c r="SGH1688" s="1740"/>
      <c r="SGI1688" s="1740"/>
      <c r="SGJ1688" s="1740"/>
      <c r="SGK1688" s="1740"/>
      <c r="SGL1688" s="1740"/>
      <c r="SGM1688" s="1740"/>
      <c r="SGN1688" s="1740"/>
      <c r="SGO1688" s="1740"/>
      <c r="SGP1688" s="1740"/>
      <c r="SGQ1688" s="1740"/>
      <c r="SGR1688" s="1740"/>
      <c r="SGS1688" s="1740"/>
      <c r="SGT1688" s="1740"/>
      <c r="SGU1688" s="1740"/>
      <c r="SGV1688" s="1740"/>
      <c r="SGW1688" s="1740"/>
      <c r="SGX1688" s="1740"/>
      <c r="SGY1688" s="1740"/>
      <c r="SGZ1688" s="1740"/>
      <c r="SHA1688" s="1740"/>
      <c r="SHB1688" s="1740"/>
      <c r="SHC1688" s="1740"/>
      <c r="SHD1688" s="1740"/>
      <c r="SHE1688" s="1740"/>
      <c r="SHF1688" s="1740"/>
      <c r="SHG1688" s="1740"/>
      <c r="SHH1688" s="1740"/>
      <c r="SHI1688" s="1740"/>
      <c r="SHJ1688" s="1740"/>
      <c r="SHK1688" s="1740"/>
      <c r="SHL1688" s="1740"/>
      <c r="SHM1688" s="1740"/>
      <c r="SHN1688" s="1740"/>
      <c r="SHO1688" s="1740"/>
      <c r="SHP1688" s="1740"/>
      <c r="SHQ1688" s="1740"/>
      <c r="SHR1688" s="1740"/>
      <c r="SHS1688" s="1740"/>
      <c r="SHT1688" s="1740"/>
      <c r="SHU1688" s="1740"/>
      <c r="SHV1688" s="1740"/>
      <c r="SHW1688" s="1740"/>
      <c r="SHX1688" s="1740"/>
      <c r="SHY1688" s="1740"/>
      <c r="SHZ1688" s="1740"/>
      <c r="SIA1688" s="1740"/>
      <c r="SIB1688" s="1740"/>
      <c r="SIC1688" s="1740"/>
      <c r="SID1688" s="1740"/>
      <c r="SIE1688" s="1740"/>
      <c r="SIF1688" s="1740"/>
      <c r="SIG1688" s="1740"/>
      <c r="SIH1688" s="1740"/>
      <c r="SII1688" s="1740"/>
      <c r="SIJ1688" s="1740"/>
      <c r="SIK1688" s="1740"/>
      <c r="SIL1688" s="1740"/>
      <c r="SIM1688" s="1740"/>
      <c r="SIN1688" s="1740"/>
      <c r="SIO1688" s="1740"/>
      <c r="SIP1688" s="1740"/>
      <c r="SIQ1688" s="1740"/>
      <c r="SIR1688" s="1740"/>
      <c r="SIS1688" s="1740"/>
      <c r="SIT1688" s="1740"/>
      <c r="SIU1688" s="1740"/>
      <c r="SIV1688" s="1740"/>
      <c r="SIW1688" s="1740"/>
      <c r="SIX1688" s="1740"/>
      <c r="SIY1688" s="1740"/>
      <c r="SIZ1688" s="1740"/>
      <c r="SJA1688" s="1740"/>
      <c r="SJB1688" s="1740"/>
      <c r="SJC1688" s="1740"/>
      <c r="SJD1688" s="1740"/>
      <c r="SJE1688" s="1740"/>
      <c r="SJF1688" s="1740"/>
      <c r="SJG1688" s="1740"/>
      <c r="SJH1688" s="1740"/>
      <c r="SJI1688" s="1740"/>
      <c r="SJJ1688" s="1740"/>
      <c r="SJK1688" s="1740"/>
      <c r="SJL1688" s="1740"/>
      <c r="SJM1688" s="1740"/>
      <c r="SJN1688" s="1740"/>
      <c r="SJO1688" s="1740"/>
      <c r="SJP1688" s="1740"/>
      <c r="SJQ1688" s="1740"/>
      <c r="SJR1688" s="1740"/>
      <c r="SJS1688" s="1740"/>
      <c r="SJT1688" s="1740"/>
      <c r="SJU1688" s="1740"/>
      <c r="SJV1688" s="1740"/>
      <c r="SJW1688" s="1740"/>
      <c r="SJX1688" s="1740"/>
      <c r="SJY1688" s="1740"/>
      <c r="SJZ1688" s="1740"/>
      <c r="SKA1688" s="1740"/>
      <c r="SKB1688" s="1740"/>
      <c r="SKC1688" s="1740"/>
      <c r="SKD1688" s="1740"/>
      <c r="SKE1688" s="1740"/>
      <c r="SKF1688" s="1740"/>
      <c r="SKG1688" s="1740"/>
      <c r="SKH1688" s="1740"/>
      <c r="SKI1688" s="1740"/>
      <c r="SKJ1688" s="1740"/>
      <c r="SKK1688" s="1740"/>
      <c r="SKL1688" s="1740"/>
      <c r="SKM1688" s="1740"/>
      <c r="SKN1688" s="1740"/>
      <c r="SKO1688" s="1740"/>
      <c r="SKP1688" s="1740"/>
      <c r="SKQ1688" s="1740"/>
      <c r="SKR1688" s="1740"/>
      <c r="SKS1688" s="1740"/>
      <c r="SKT1688" s="1740"/>
      <c r="SKU1688" s="1740"/>
      <c r="SKV1688" s="1740"/>
      <c r="SKW1688" s="1740"/>
      <c r="SKX1688" s="1740"/>
      <c r="SKY1688" s="1740"/>
      <c r="SKZ1688" s="1740"/>
      <c r="SLA1688" s="1740"/>
      <c r="SLB1688" s="1740"/>
      <c r="SLC1688" s="1740"/>
      <c r="SLD1688" s="1740"/>
      <c r="SLE1688" s="1740"/>
      <c r="SLF1688" s="1740"/>
      <c r="SLG1688" s="1740"/>
      <c r="SLH1688" s="1740"/>
      <c r="SLI1688" s="1740"/>
      <c r="SLJ1688" s="1740"/>
      <c r="SLK1688" s="1740"/>
      <c r="SLL1688" s="1740"/>
      <c r="SLM1688" s="1740"/>
      <c r="SLN1688" s="1740"/>
      <c r="SLO1688" s="1740"/>
      <c r="SLP1688" s="1740"/>
      <c r="SLQ1688" s="1740"/>
      <c r="SLR1688" s="1740"/>
      <c r="SLS1688" s="1740"/>
      <c r="SLT1688" s="1740"/>
      <c r="SLU1688" s="1740"/>
      <c r="SLV1688" s="1740"/>
      <c r="SLW1688" s="1740"/>
      <c r="SLX1688" s="1740"/>
      <c r="SLY1688" s="1740"/>
      <c r="SLZ1688" s="1740"/>
      <c r="SMA1688" s="1740"/>
      <c r="SMB1688" s="1740"/>
      <c r="SMC1688" s="1740"/>
      <c r="SMD1688" s="1740"/>
      <c r="SME1688" s="1740"/>
      <c r="SMF1688" s="1740"/>
      <c r="SMG1688" s="1740"/>
      <c r="SMH1688" s="1740"/>
      <c r="SMI1688" s="1740"/>
      <c r="SMJ1688" s="1740"/>
      <c r="SMK1688" s="1740"/>
      <c r="SML1688" s="1740"/>
      <c r="SMM1688" s="1740"/>
      <c r="SMN1688" s="1740"/>
      <c r="SMO1688" s="1740"/>
      <c r="SMP1688" s="1740"/>
      <c r="SMQ1688" s="1740"/>
      <c r="SMR1688" s="1740"/>
      <c r="SMS1688" s="1740"/>
      <c r="SMT1688" s="1740"/>
      <c r="SMU1688" s="1740"/>
      <c r="SMV1688" s="1740"/>
      <c r="SMW1688" s="1740"/>
      <c r="SMX1688" s="1740"/>
      <c r="SMY1688" s="1740"/>
      <c r="SMZ1688" s="1740"/>
      <c r="SNA1688" s="1740"/>
      <c r="SNB1688" s="1740"/>
      <c r="SNC1688" s="1740"/>
      <c r="SND1688" s="1740"/>
      <c r="SNE1688" s="1740"/>
      <c r="SNF1688" s="1740"/>
      <c r="SNG1688" s="1740"/>
      <c r="SNH1688" s="1740"/>
      <c r="SNI1688" s="1740"/>
      <c r="SNJ1688" s="1740"/>
      <c r="SNK1688" s="1740"/>
      <c r="SNL1688" s="1740"/>
      <c r="SNM1688" s="1740"/>
      <c r="SNN1688" s="1740"/>
      <c r="SNO1688" s="1740"/>
      <c r="SNP1688" s="1740"/>
      <c r="SNQ1688" s="1740"/>
      <c r="SNR1688" s="1740"/>
      <c r="SNS1688" s="1740"/>
      <c r="SNT1688" s="1740"/>
      <c r="SNU1688" s="1740"/>
      <c r="SNV1688" s="1740"/>
      <c r="SNW1688" s="1740"/>
      <c r="SNX1688" s="1740"/>
      <c r="SNY1688" s="1740"/>
      <c r="SNZ1688" s="1740"/>
      <c r="SOA1688" s="1740"/>
      <c r="SOB1688" s="1740"/>
      <c r="SOC1688" s="1740"/>
      <c r="SOD1688" s="1740"/>
      <c r="SOE1688" s="1740"/>
      <c r="SOF1688" s="1740"/>
      <c r="SOG1688" s="1740"/>
      <c r="SOH1688" s="1740"/>
      <c r="SOI1688" s="1740"/>
      <c r="SOJ1688" s="1740"/>
      <c r="SOK1688" s="1740"/>
      <c r="SOL1688" s="1740"/>
      <c r="SOM1688" s="1740"/>
      <c r="SON1688" s="1740"/>
      <c r="SOO1688" s="1740"/>
      <c r="SOP1688" s="1740"/>
      <c r="SOQ1688" s="1740"/>
      <c r="SOR1688" s="1740"/>
      <c r="SOS1688" s="1740"/>
      <c r="SOT1688" s="1740"/>
      <c r="SOU1688" s="1740"/>
      <c r="SOV1688" s="1740"/>
      <c r="SOW1688" s="1740"/>
      <c r="SOX1688" s="1740"/>
      <c r="SOY1688" s="1740"/>
      <c r="SOZ1688" s="1740"/>
      <c r="SPA1688" s="1740"/>
      <c r="SPB1688" s="1740"/>
      <c r="SPC1688" s="1740"/>
      <c r="SPD1688" s="1740"/>
      <c r="SPE1688" s="1740"/>
      <c r="SPF1688" s="1740"/>
      <c r="SPG1688" s="1740"/>
      <c r="SPH1688" s="1740"/>
      <c r="SPI1688" s="1740"/>
      <c r="SPJ1688" s="1740"/>
      <c r="SPK1688" s="1740"/>
      <c r="SPL1688" s="1740"/>
      <c r="SPM1688" s="1740"/>
      <c r="SPN1688" s="1740"/>
      <c r="SPO1688" s="1740"/>
      <c r="SPP1688" s="1740"/>
      <c r="SPQ1688" s="1740"/>
      <c r="SPR1688" s="1740"/>
      <c r="SPS1688" s="1740"/>
      <c r="SPT1688" s="1740"/>
      <c r="SPU1688" s="1740"/>
      <c r="SPV1688" s="1740"/>
      <c r="SPW1688" s="1740"/>
      <c r="SPX1688" s="1740"/>
      <c r="SPY1688" s="1740"/>
      <c r="SPZ1688" s="1740"/>
      <c r="SQA1688" s="1740"/>
      <c r="SQB1688" s="1740"/>
      <c r="SQC1688" s="1740"/>
      <c r="SQD1688" s="1740"/>
      <c r="SQE1688" s="1740"/>
      <c r="SQF1688" s="1740"/>
      <c r="SQG1688" s="1740"/>
      <c r="SQH1688" s="1740"/>
      <c r="SQI1688" s="1740"/>
      <c r="SQJ1688" s="1740"/>
      <c r="SQK1688" s="1740"/>
      <c r="SQL1688" s="1740"/>
      <c r="SQM1688" s="1740"/>
      <c r="SQN1688" s="1740"/>
      <c r="SQO1688" s="1740"/>
      <c r="SQP1688" s="1740"/>
      <c r="SQQ1688" s="1740"/>
      <c r="SQR1688" s="1740"/>
      <c r="SQS1688" s="1740"/>
      <c r="SQT1688" s="1740"/>
      <c r="SQU1688" s="1740"/>
      <c r="SQV1688" s="1740"/>
      <c r="SQW1688" s="1740"/>
      <c r="SQX1688" s="1740"/>
      <c r="SQY1688" s="1740"/>
      <c r="SQZ1688" s="1740"/>
      <c r="SRA1688" s="1740"/>
      <c r="SRB1688" s="1740"/>
      <c r="SRC1688" s="1740"/>
      <c r="SRD1688" s="1740"/>
      <c r="SRE1688" s="1740"/>
      <c r="SRF1688" s="1740"/>
      <c r="SRG1688" s="1740"/>
      <c r="SRH1688" s="1740"/>
      <c r="SRI1688" s="1740"/>
      <c r="SRJ1688" s="1740"/>
      <c r="SRK1688" s="1740"/>
      <c r="SRL1688" s="1740"/>
      <c r="SRM1688" s="1740"/>
      <c r="SRN1688" s="1740"/>
      <c r="SRO1688" s="1740"/>
      <c r="SRP1688" s="1740"/>
      <c r="SRQ1688" s="1740"/>
      <c r="SRR1688" s="1740"/>
      <c r="SRS1688" s="1740"/>
      <c r="SRT1688" s="1740"/>
      <c r="SRU1688" s="1740"/>
      <c r="SRV1688" s="1740"/>
      <c r="SRW1688" s="1740"/>
      <c r="SRX1688" s="1740"/>
      <c r="SRY1688" s="1740"/>
      <c r="SRZ1688" s="1740"/>
      <c r="SSA1688" s="1740"/>
      <c r="SSB1688" s="1740"/>
      <c r="SSC1688" s="1740"/>
      <c r="SSD1688" s="1740"/>
      <c r="SSE1688" s="1740"/>
      <c r="SSF1688" s="1740"/>
      <c r="SSG1688" s="1740"/>
      <c r="SSH1688" s="1740"/>
      <c r="SSI1688" s="1740"/>
      <c r="SSJ1688" s="1740"/>
      <c r="SSK1688" s="1740"/>
      <c r="SSL1688" s="1740"/>
      <c r="SSM1688" s="1740"/>
      <c r="SSN1688" s="1740"/>
      <c r="SSO1688" s="1740"/>
      <c r="SSP1688" s="1740"/>
      <c r="SSQ1688" s="1740"/>
      <c r="SSR1688" s="1740"/>
      <c r="SSS1688" s="1740"/>
      <c r="SST1688" s="1740"/>
      <c r="SSU1688" s="1740"/>
      <c r="SSV1688" s="1740"/>
      <c r="SSW1688" s="1740"/>
      <c r="SSX1688" s="1740"/>
      <c r="SSY1688" s="1740"/>
      <c r="SSZ1688" s="1740"/>
      <c r="STA1688" s="1740"/>
      <c r="STB1688" s="1740"/>
      <c r="STC1688" s="1740"/>
      <c r="STD1688" s="1740"/>
      <c r="STE1688" s="1740"/>
      <c r="STF1688" s="1740"/>
      <c r="STG1688" s="1740"/>
      <c r="STH1688" s="1740"/>
      <c r="STI1688" s="1740"/>
      <c r="STJ1688" s="1740"/>
      <c r="STK1688" s="1740"/>
      <c r="STL1688" s="1740"/>
      <c r="STM1688" s="1740"/>
      <c r="STN1688" s="1740"/>
      <c r="STO1688" s="1740"/>
      <c r="STP1688" s="1740"/>
      <c r="STQ1688" s="1740"/>
      <c r="STR1688" s="1740"/>
      <c r="STS1688" s="1740"/>
      <c r="STT1688" s="1740"/>
      <c r="STU1688" s="1740"/>
      <c r="STV1688" s="1740"/>
      <c r="STW1688" s="1740"/>
      <c r="STX1688" s="1740"/>
      <c r="STY1688" s="1740"/>
      <c r="STZ1688" s="1740"/>
      <c r="SUA1688" s="1740"/>
      <c r="SUB1688" s="1740"/>
      <c r="SUC1688" s="1740"/>
      <c r="SUD1688" s="1740"/>
      <c r="SUE1688" s="1740"/>
      <c r="SUF1688" s="1740"/>
      <c r="SUG1688" s="1740"/>
      <c r="SUH1688" s="1740"/>
      <c r="SUI1688" s="1740"/>
      <c r="SUJ1688" s="1740"/>
      <c r="SUK1688" s="1740"/>
      <c r="SUL1688" s="1740"/>
      <c r="SUM1688" s="1740"/>
      <c r="SUN1688" s="1740"/>
      <c r="SUO1688" s="1740"/>
      <c r="SUP1688" s="1740"/>
      <c r="SUQ1688" s="1740"/>
      <c r="SUR1688" s="1740"/>
      <c r="SUS1688" s="1740"/>
      <c r="SUT1688" s="1740"/>
      <c r="SUU1688" s="1740"/>
      <c r="SUV1688" s="1740"/>
      <c r="SUW1688" s="1740"/>
      <c r="SUX1688" s="1740"/>
      <c r="SUY1688" s="1740"/>
      <c r="SUZ1688" s="1740"/>
      <c r="SVA1688" s="1740"/>
      <c r="SVB1688" s="1740"/>
      <c r="SVC1688" s="1740"/>
      <c r="SVD1688" s="1740"/>
      <c r="SVE1688" s="1740"/>
      <c r="SVF1688" s="1740"/>
      <c r="SVG1688" s="1740"/>
      <c r="SVH1688" s="1740"/>
      <c r="SVI1688" s="1740"/>
      <c r="SVJ1688" s="1740"/>
      <c r="SVK1688" s="1740"/>
      <c r="SVL1688" s="1740"/>
      <c r="SVM1688" s="1740"/>
      <c r="SVN1688" s="1740"/>
      <c r="SVO1688" s="1740"/>
      <c r="SVP1688" s="1740"/>
      <c r="SVQ1688" s="1740"/>
      <c r="SVR1688" s="1740"/>
      <c r="SVS1688" s="1740"/>
      <c r="SVT1688" s="1740"/>
      <c r="SVU1688" s="1740"/>
      <c r="SVV1688" s="1740"/>
      <c r="SVW1688" s="1740"/>
      <c r="SVX1688" s="1740"/>
      <c r="SVY1688" s="1740"/>
      <c r="SVZ1688" s="1740"/>
      <c r="SWA1688" s="1740"/>
      <c r="SWB1688" s="1740"/>
      <c r="SWC1688" s="1740"/>
      <c r="SWD1688" s="1740"/>
      <c r="SWE1688" s="1740"/>
      <c r="SWF1688" s="1740"/>
      <c r="SWG1688" s="1740"/>
      <c r="SWH1688" s="1740"/>
      <c r="SWI1688" s="1740"/>
      <c r="SWJ1688" s="1740"/>
      <c r="SWK1688" s="1740"/>
      <c r="SWL1688" s="1740"/>
      <c r="SWM1688" s="1740"/>
      <c r="SWN1688" s="1740"/>
      <c r="SWO1688" s="1740"/>
      <c r="SWP1688" s="1740"/>
      <c r="SWQ1688" s="1740"/>
      <c r="SWR1688" s="1740"/>
      <c r="SWS1688" s="1740"/>
      <c r="SWT1688" s="1740"/>
      <c r="SWU1688" s="1740"/>
      <c r="SWV1688" s="1740"/>
      <c r="SWW1688" s="1740"/>
      <c r="SWX1688" s="1740"/>
      <c r="SWY1688" s="1740"/>
      <c r="SWZ1688" s="1740"/>
      <c r="SXA1688" s="1740"/>
      <c r="SXB1688" s="1740"/>
      <c r="SXC1688" s="1740"/>
      <c r="SXD1688" s="1740"/>
      <c r="SXE1688" s="1740"/>
      <c r="SXF1688" s="1740"/>
      <c r="SXG1688" s="1740"/>
      <c r="SXH1688" s="1740"/>
      <c r="SXI1688" s="1740"/>
      <c r="SXJ1688" s="1740"/>
      <c r="SXK1688" s="1740"/>
      <c r="SXL1688" s="1740"/>
      <c r="SXM1688" s="1740"/>
      <c r="SXN1688" s="1740"/>
      <c r="SXO1688" s="1740"/>
      <c r="SXP1688" s="1740"/>
      <c r="SXQ1688" s="1740"/>
      <c r="SXR1688" s="1740"/>
      <c r="SXS1688" s="1740"/>
      <c r="SXT1688" s="1740"/>
      <c r="SXU1688" s="1740"/>
      <c r="SXV1688" s="1740"/>
      <c r="SXW1688" s="1740"/>
      <c r="SXX1688" s="1740"/>
      <c r="SXY1688" s="1740"/>
      <c r="SXZ1688" s="1740"/>
      <c r="SYA1688" s="1740"/>
      <c r="SYB1688" s="1740"/>
      <c r="SYC1688" s="1740"/>
      <c r="SYD1688" s="1740"/>
      <c r="SYE1688" s="1740"/>
      <c r="SYF1688" s="1740"/>
      <c r="SYG1688" s="1740"/>
      <c r="SYH1688" s="1740"/>
      <c r="SYI1688" s="1740"/>
      <c r="SYJ1688" s="1740"/>
      <c r="SYK1688" s="1740"/>
      <c r="SYL1688" s="1740"/>
      <c r="SYM1688" s="1740"/>
      <c r="SYN1688" s="1740"/>
      <c r="SYO1688" s="1740"/>
      <c r="SYP1688" s="1740"/>
      <c r="SYQ1688" s="1740"/>
      <c r="SYR1688" s="1740"/>
      <c r="SYS1688" s="1740"/>
      <c r="SYT1688" s="1740"/>
      <c r="SYU1688" s="1740"/>
      <c r="SYV1688" s="1740"/>
      <c r="SYW1688" s="1740"/>
      <c r="SYX1688" s="1740"/>
      <c r="SYY1688" s="1740"/>
      <c r="SYZ1688" s="1740"/>
      <c r="SZA1688" s="1740"/>
      <c r="SZB1688" s="1740"/>
      <c r="SZC1688" s="1740"/>
      <c r="SZD1688" s="1740"/>
      <c r="SZE1688" s="1740"/>
      <c r="SZF1688" s="1740"/>
      <c r="SZG1688" s="1740"/>
      <c r="SZH1688" s="1740"/>
      <c r="SZI1688" s="1740"/>
      <c r="SZJ1688" s="1740"/>
      <c r="SZK1688" s="1740"/>
      <c r="SZL1688" s="1740"/>
      <c r="SZM1688" s="1740"/>
      <c r="SZN1688" s="1740"/>
      <c r="SZO1688" s="1740"/>
      <c r="SZP1688" s="1740"/>
      <c r="SZQ1688" s="1740"/>
      <c r="SZR1688" s="1740"/>
      <c r="SZS1688" s="1740"/>
      <c r="SZT1688" s="1740"/>
      <c r="SZU1688" s="1740"/>
      <c r="SZV1688" s="1740"/>
      <c r="SZW1688" s="1740"/>
      <c r="SZX1688" s="1740"/>
      <c r="SZY1688" s="1740"/>
      <c r="SZZ1688" s="1740"/>
      <c r="TAA1688" s="1740"/>
      <c r="TAB1688" s="1740"/>
      <c r="TAC1688" s="1740"/>
      <c r="TAD1688" s="1740"/>
      <c r="TAE1688" s="1740"/>
      <c r="TAF1688" s="1740"/>
      <c r="TAG1688" s="1740"/>
      <c r="TAH1688" s="1740"/>
      <c r="TAI1688" s="1740"/>
      <c r="TAJ1688" s="1740"/>
      <c r="TAK1688" s="1740"/>
      <c r="TAL1688" s="1740"/>
      <c r="TAM1688" s="1740"/>
      <c r="TAN1688" s="1740"/>
      <c r="TAO1688" s="1740"/>
      <c r="TAP1688" s="1740"/>
      <c r="TAQ1688" s="1740"/>
      <c r="TAR1688" s="1740"/>
      <c r="TAS1688" s="1740"/>
      <c r="TAT1688" s="1740"/>
      <c r="TAU1688" s="1740"/>
      <c r="TAV1688" s="1740"/>
      <c r="TAW1688" s="1740"/>
      <c r="TAX1688" s="1740"/>
      <c r="TAY1688" s="1740"/>
      <c r="TAZ1688" s="1740"/>
      <c r="TBA1688" s="1740"/>
      <c r="TBB1688" s="1740"/>
      <c r="TBC1688" s="1740"/>
      <c r="TBD1688" s="1740"/>
      <c r="TBE1688" s="1740"/>
      <c r="TBF1688" s="1740"/>
      <c r="TBG1688" s="1740"/>
      <c r="TBH1688" s="1740"/>
      <c r="TBI1688" s="1740"/>
      <c r="TBJ1688" s="1740"/>
      <c r="TBK1688" s="1740"/>
      <c r="TBL1688" s="1740"/>
      <c r="TBM1688" s="1740"/>
      <c r="TBN1688" s="1740"/>
      <c r="TBO1688" s="1740"/>
      <c r="TBP1688" s="1740"/>
      <c r="TBQ1688" s="1740"/>
      <c r="TBR1688" s="1740"/>
      <c r="TBS1688" s="1740"/>
      <c r="TBT1688" s="1740"/>
      <c r="TBU1688" s="1740"/>
      <c r="TBV1688" s="1740"/>
      <c r="TBW1688" s="1740"/>
      <c r="TBX1688" s="1740"/>
      <c r="TBY1688" s="1740"/>
      <c r="TBZ1688" s="1740"/>
      <c r="TCA1688" s="1740"/>
      <c r="TCB1688" s="1740"/>
      <c r="TCC1688" s="1740"/>
      <c r="TCD1688" s="1740"/>
      <c r="TCE1688" s="1740"/>
      <c r="TCF1688" s="1740"/>
      <c r="TCG1688" s="1740"/>
      <c r="TCH1688" s="1740"/>
      <c r="TCI1688" s="1740"/>
      <c r="TCJ1688" s="1740"/>
      <c r="TCK1688" s="1740"/>
      <c r="TCL1688" s="1740"/>
      <c r="TCM1688" s="1740"/>
      <c r="TCN1688" s="1740"/>
      <c r="TCO1688" s="1740"/>
      <c r="TCP1688" s="1740"/>
      <c r="TCQ1688" s="1740"/>
      <c r="TCR1688" s="1740"/>
      <c r="TCS1688" s="1740"/>
      <c r="TCT1688" s="1740"/>
      <c r="TCU1688" s="1740"/>
      <c r="TCV1688" s="1740"/>
      <c r="TCW1688" s="1740"/>
      <c r="TCX1688" s="1740"/>
      <c r="TCY1688" s="1740"/>
      <c r="TCZ1688" s="1740"/>
      <c r="TDA1688" s="1740"/>
      <c r="TDB1688" s="1740"/>
      <c r="TDC1688" s="1740"/>
      <c r="TDD1688" s="1740"/>
      <c r="TDE1688" s="1740"/>
      <c r="TDF1688" s="1740"/>
      <c r="TDG1688" s="1740"/>
      <c r="TDH1688" s="1740"/>
      <c r="TDI1688" s="1740"/>
      <c r="TDJ1688" s="1740"/>
      <c r="TDK1688" s="1740"/>
      <c r="TDL1688" s="1740"/>
      <c r="TDM1688" s="1740"/>
      <c r="TDN1688" s="1740"/>
      <c r="TDO1688" s="1740"/>
      <c r="TDP1688" s="1740"/>
      <c r="TDQ1688" s="1740"/>
      <c r="TDR1688" s="1740"/>
      <c r="TDS1688" s="1740"/>
      <c r="TDT1688" s="1740"/>
      <c r="TDU1688" s="1740"/>
      <c r="TDV1688" s="1740"/>
      <c r="TDW1688" s="1740"/>
      <c r="TDX1688" s="1740"/>
      <c r="TDY1688" s="1740"/>
      <c r="TDZ1688" s="1740"/>
      <c r="TEA1688" s="1740"/>
      <c r="TEB1688" s="1740"/>
      <c r="TEC1688" s="1740"/>
      <c r="TED1688" s="1740"/>
      <c r="TEE1688" s="1740"/>
      <c r="TEF1688" s="1740"/>
      <c r="TEG1688" s="1740"/>
      <c r="TEH1688" s="1740"/>
      <c r="TEI1688" s="1740"/>
      <c r="TEJ1688" s="1740"/>
      <c r="TEK1688" s="1740"/>
      <c r="TEL1688" s="1740"/>
      <c r="TEM1688" s="1740"/>
      <c r="TEN1688" s="1740"/>
      <c r="TEO1688" s="1740"/>
      <c r="TEP1688" s="1740"/>
      <c r="TEQ1688" s="1740"/>
      <c r="TER1688" s="1740"/>
      <c r="TES1688" s="1740"/>
      <c r="TET1688" s="1740"/>
      <c r="TEU1688" s="1740"/>
      <c r="TEV1688" s="1740"/>
      <c r="TEW1688" s="1740"/>
      <c r="TEX1688" s="1740"/>
      <c r="TEY1688" s="1740"/>
      <c r="TEZ1688" s="1740"/>
      <c r="TFA1688" s="1740"/>
      <c r="TFB1688" s="1740"/>
      <c r="TFC1688" s="1740"/>
      <c r="TFD1688" s="1740"/>
      <c r="TFE1688" s="1740"/>
      <c r="TFF1688" s="1740"/>
      <c r="TFG1688" s="1740"/>
      <c r="TFH1688" s="1740"/>
      <c r="TFI1688" s="1740"/>
      <c r="TFJ1688" s="1740"/>
      <c r="TFK1688" s="1740"/>
      <c r="TFL1688" s="1740"/>
      <c r="TFM1688" s="1740"/>
      <c r="TFN1688" s="1740"/>
      <c r="TFO1688" s="1740"/>
      <c r="TFP1688" s="1740"/>
      <c r="TFQ1688" s="1740"/>
      <c r="TFR1688" s="1740"/>
      <c r="TFS1688" s="1740"/>
      <c r="TFT1688" s="1740"/>
      <c r="TFU1688" s="1740"/>
      <c r="TFV1688" s="1740"/>
      <c r="TFW1688" s="1740"/>
      <c r="TFX1688" s="1740"/>
      <c r="TFY1688" s="1740"/>
      <c r="TFZ1688" s="1740"/>
      <c r="TGA1688" s="1740"/>
      <c r="TGB1688" s="1740"/>
      <c r="TGC1688" s="1740"/>
      <c r="TGD1688" s="1740"/>
      <c r="TGE1688" s="1740"/>
      <c r="TGF1688" s="1740"/>
      <c r="TGG1688" s="1740"/>
      <c r="TGH1688" s="1740"/>
      <c r="TGI1688" s="1740"/>
      <c r="TGJ1688" s="1740"/>
      <c r="TGK1688" s="1740"/>
      <c r="TGL1688" s="1740"/>
      <c r="TGM1688" s="1740"/>
      <c r="TGN1688" s="1740"/>
      <c r="TGO1688" s="1740"/>
      <c r="TGP1688" s="1740"/>
      <c r="TGQ1688" s="1740"/>
      <c r="TGR1688" s="1740"/>
      <c r="TGS1688" s="1740"/>
      <c r="TGT1688" s="1740"/>
      <c r="TGU1688" s="1740"/>
      <c r="TGV1688" s="1740"/>
      <c r="TGW1688" s="1740"/>
      <c r="TGX1688" s="1740"/>
      <c r="TGY1688" s="1740"/>
      <c r="TGZ1688" s="1740"/>
      <c r="THA1688" s="1740"/>
      <c r="THB1688" s="1740"/>
      <c r="THC1688" s="1740"/>
      <c r="THD1688" s="1740"/>
      <c r="THE1688" s="1740"/>
      <c r="THF1688" s="1740"/>
      <c r="THG1688" s="1740"/>
      <c r="THH1688" s="1740"/>
      <c r="THI1688" s="1740"/>
      <c r="THJ1688" s="1740"/>
      <c r="THK1688" s="1740"/>
      <c r="THL1688" s="1740"/>
      <c r="THM1688" s="1740"/>
      <c r="THN1688" s="1740"/>
      <c r="THO1688" s="1740"/>
      <c r="THP1688" s="1740"/>
      <c r="THQ1688" s="1740"/>
      <c r="THR1688" s="1740"/>
      <c r="THS1688" s="1740"/>
      <c r="THT1688" s="1740"/>
      <c r="THU1688" s="1740"/>
      <c r="THV1688" s="1740"/>
      <c r="THW1688" s="1740"/>
      <c r="THX1688" s="1740"/>
      <c r="THY1688" s="1740"/>
      <c r="THZ1688" s="1740"/>
      <c r="TIA1688" s="1740"/>
      <c r="TIB1688" s="1740"/>
      <c r="TIC1688" s="1740"/>
      <c r="TID1688" s="1740"/>
      <c r="TIE1688" s="1740"/>
      <c r="TIF1688" s="1740"/>
      <c r="TIG1688" s="1740"/>
      <c r="TIH1688" s="1740"/>
      <c r="TII1688" s="1740"/>
      <c r="TIJ1688" s="1740"/>
      <c r="TIK1688" s="1740"/>
      <c r="TIL1688" s="1740"/>
      <c r="TIM1688" s="1740"/>
      <c r="TIN1688" s="1740"/>
      <c r="TIO1688" s="1740"/>
      <c r="TIP1688" s="1740"/>
      <c r="TIQ1688" s="1740"/>
      <c r="TIR1688" s="1740"/>
      <c r="TIS1688" s="1740"/>
      <c r="TIT1688" s="1740"/>
      <c r="TIU1688" s="1740"/>
      <c r="TIV1688" s="1740"/>
      <c r="TIW1688" s="1740"/>
      <c r="TIX1688" s="1740"/>
      <c r="TIY1688" s="1740"/>
      <c r="TIZ1688" s="1740"/>
      <c r="TJA1688" s="1740"/>
      <c r="TJB1688" s="1740"/>
      <c r="TJC1688" s="1740"/>
      <c r="TJD1688" s="1740"/>
      <c r="TJE1688" s="1740"/>
      <c r="TJF1688" s="1740"/>
      <c r="TJG1688" s="1740"/>
      <c r="TJH1688" s="1740"/>
      <c r="TJI1688" s="1740"/>
      <c r="TJJ1688" s="1740"/>
      <c r="TJK1688" s="1740"/>
      <c r="TJL1688" s="1740"/>
      <c r="TJM1688" s="1740"/>
      <c r="TJN1688" s="1740"/>
      <c r="TJO1688" s="1740"/>
      <c r="TJP1688" s="1740"/>
      <c r="TJQ1688" s="1740"/>
      <c r="TJR1688" s="1740"/>
      <c r="TJS1688" s="1740"/>
      <c r="TJT1688" s="1740"/>
      <c r="TJU1688" s="1740"/>
      <c r="TJV1688" s="1740"/>
      <c r="TJW1688" s="1740"/>
      <c r="TJX1688" s="1740"/>
      <c r="TJY1688" s="1740"/>
      <c r="TJZ1688" s="1740"/>
      <c r="TKA1688" s="1740"/>
      <c r="TKB1688" s="1740"/>
      <c r="TKC1688" s="1740"/>
      <c r="TKD1688" s="1740"/>
      <c r="TKE1688" s="1740"/>
      <c r="TKF1688" s="1740"/>
      <c r="TKG1688" s="1740"/>
      <c r="TKH1688" s="1740"/>
      <c r="TKI1688" s="1740"/>
      <c r="TKJ1688" s="1740"/>
      <c r="TKK1688" s="1740"/>
      <c r="TKL1688" s="1740"/>
      <c r="TKM1688" s="1740"/>
      <c r="TKN1688" s="1740"/>
      <c r="TKO1688" s="1740"/>
      <c r="TKP1688" s="1740"/>
      <c r="TKQ1688" s="1740"/>
      <c r="TKR1688" s="1740"/>
      <c r="TKS1688" s="1740"/>
      <c r="TKT1688" s="1740"/>
      <c r="TKU1688" s="1740"/>
      <c r="TKV1688" s="1740"/>
      <c r="TKW1688" s="1740"/>
      <c r="TKX1688" s="1740"/>
      <c r="TKY1688" s="1740"/>
      <c r="TKZ1688" s="1740"/>
      <c r="TLA1688" s="1740"/>
      <c r="TLB1688" s="1740"/>
      <c r="TLC1688" s="1740"/>
      <c r="TLD1688" s="1740"/>
      <c r="TLE1688" s="1740"/>
      <c r="TLF1688" s="1740"/>
      <c r="TLG1688" s="1740"/>
      <c r="TLH1688" s="1740"/>
      <c r="TLI1688" s="1740"/>
      <c r="TLJ1688" s="1740"/>
      <c r="TLK1688" s="1740"/>
      <c r="TLL1688" s="1740"/>
      <c r="TLM1688" s="1740"/>
      <c r="TLN1688" s="1740"/>
      <c r="TLO1688" s="1740"/>
      <c r="TLP1688" s="1740"/>
      <c r="TLQ1688" s="1740"/>
      <c r="TLR1688" s="1740"/>
      <c r="TLS1688" s="1740"/>
      <c r="TLT1688" s="1740"/>
      <c r="TLU1688" s="1740"/>
      <c r="TLV1688" s="1740"/>
      <c r="TLW1688" s="1740"/>
      <c r="TLX1688" s="1740"/>
      <c r="TLY1688" s="1740"/>
      <c r="TLZ1688" s="1740"/>
      <c r="TMA1688" s="1740"/>
      <c r="TMB1688" s="1740"/>
      <c r="TMC1688" s="1740"/>
      <c r="TMD1688" s="1740"/>
      <c r="TME1688" s="1740"/>
      <c r="TMF1688" s="1740"/>
      <c r="TMG1688" s="1740"/>
      <c r="TMH1688" s="1740"/>
      <c r="TMI1688" s="1740"/>
      <c r="TMJ1688" s="1740"/>
      <c r="TMK1688" s="1740"/>
      <c r="TML1688" s="1740"/>
      <c r="TMM1688" s="1740"/>
      <c r="TMN1688" s="1740"/>
      <c r="TMO1688" s="1740"/>
      <c r="TMP1688" s="1740"/>
      <c r="TMQ1688" s="1740"/>
      <c r="TMR1688" s="1740"/>
      <c r="TMS1688" s="1740"/>
      <c r="TMT1688" s="1740"/>
      <c r="TMU1688" s="1740"/>
      <c r="TMV1688" s="1740"/>
      <c r="TMW1688" s="1740"/>
      <c r="TMX1688" s="1740"/>
      <c r="TMY1688" s="1740"/>
      <c r="TMZ1688" s="1740"/>
      <c r="TNA1688" s="1740"/>
      <c r="TNB1688" s="1740"/>
      <c r="TNC1688" s="1740"/>
      <c r="TND1688" s="1740"/>
      <c r="TNE1688" s="1740"/>
      <c r="TNF1688" s="1740"/>
      <c r="TNG1688" s="1740"/>
      <c r="TNH1688" s="1740"/>
      <c r="TNI1688" s="1740"/>
      <c r="TNJ1688" s="1740"/>
      <c r="TNK1688" s="1740"/>
      <c r="TNL1688" s="1740"/>
      <c r="TNM1688" s="1740"/>
      <c r="TNN1688" s="1740"/>
      <c r="TNO1688" s="1740"/>
      <c r="TNP1688" s="1740"/>
      <c r="TNQ1688" s="1740"/>
      <c r="TNR1688" s="1740"/>
      <c r="TNS1688" s="1740"/>
      <c r="TNT1688" s="1740"/>
      <c r="TNU1688" s="1740"/>
      <c r="TNV1688" s="1740"/>
      <c r="TNW1688" s="1740"/>
      <c r="TNX1688" s="1740"/>
      <c r="TNY1688" s="1740"/>
      <c r="TNZ1688" s="1740"/>
      <c r="TOA1688" s="1740"/>
      <c r="TOB1688" s="1740"/>
      <c r="TOC1688" s="1740"/>
      <c r="TOD1688" s="1740"/>
      <c r="TOE1688" s="1740"/>
      <c r="TOF1688" s="1740"/>
      <c r="TOG1688" s="1740"/>
      <c r="TOH1688" s="1740"/>
      <c r="TOI1688" s="1740"/>
      <c r="TOJ1688" s="1740"/>
      <c r="TOK1688" s="1740"/>
      <c r="TOL1688" s="1740"/>
      <c r="TOM1688" s="1740"/>
      <c r="TON1688" s="1740"/>
      <c r="TOO1688" s="1740"/>
      <c r="TOP1688" s="1740"/>
      <c r="TOQ1688" s="1740"/>
      <c r="TOR1688" s="1740"/>
      <c r="TOS1688" s="1740"/>
      <c r="TOT1688" s="1740"/>
      <c r="TOU1688" s="1740"/>
      <c r="TOV1688" s="1740"/>
      <c r="TOW1688" s="1740"/>
      <c r="TOX1688" s="1740"/>
      <c r="TOY1688" s="1740"/>
      <c r="TOZ1688" s="1740"/>
      <c r="TPA1688" s="1740"/>
      <c r="TPB1688" s="1740"/>
      <c r="TPC1688" s="1740"/>
      <c r="TPD1688" s="1740"/>
      <c r="TPE1688" s="1740"/>
      <c r="TPF1688" s="1740"/>
      <c r="TPG1688" s="1740"/>
      <c r="TPH1688" s="1740"/>
      <c r="TPI1688" s="1740"/>
      <c r="TPJ1688" s="1740"/>
      <c r="TPK1688" s="1740"/>
      <c r="TPL1688" s="1740"/>
      <c r="TPM1688" s="1740"/>
      <c r="TPN1688" s="1740"/>
      <c r="TPO1688" s="1740"/>
      <c r="TPP1688" s="1740"/>
      <c r="TPQ1688" s="1740"/>
      <c r="TPR1688" s="1740"/>
      <c r="TPS1688" s="1740"/>
      <c r="TPT1688" s="1740"/>
      <c r="TPU1688" s="1740"/>
      <c r="TPV1688" s="1740"/>
      <c r="TPW1688" s="1740"/>
      <c r="TPX1688" s="1740"/>
      <c r="TPY1688" s="1740"/>
      <c r="TPZ1688" s="1740"/>
      <c r="TQA1688" s="1740"/>
      <c r="TQB1688" s="1740"/>
      <c r="TQC1688" s="1740"/>
      <c r="TQD1688" s="1740"/>
      <c r="TQE1688" s="1740"/>
      <c r="TQF1688" s="1740"/>
      <c r="TQG1688" s="1740"/>
      <c r="TQH1688" s="1740"/>
      <c r="TQI1688" s="1740"/>
      <c r="TQJ1688" s="1740"/>
      <c r="TQK1688" s="1740"/>
      <c r="TQL1688" s="1740"/>
      <c r="TQM1688" s="1740"/>
      <c r="TQN1688" s="1740"/>
      <c r="TQO1688" s="1740"/>
      <c r="TQP1688" s="1740"/>
      <c r="TQQ1688" s="1740"/>
      <c r="TQR1688" s="1740"/>
      <c r="TQS1688" s="1740"/>
      <c r="TQT1688" s="1740"/>
      <c r="TQU1688" s="1740"/>
      <c r="TQV1688" s="1740"/>
      <c r="TQW1688" s="1740"/>
      <c r="TQX1688" s="1740"/>
      <c r="TQY1688" s="1740"/>
      <c r="TQZ1688" s="1740"/>
      <c r="TRA1688" s="1740"/>
      <c r="TRB1688" s="1740"/>
      <c r="TRC1688" s="1740"/>
      <c r="TRD1688" s="1740"/>
      <c r="TRE1688" s="1740"/>
      <c r="TRF1688" s="1740"/>
      <c r="TRG1688" s="1740"/>
      <c r="TRH1688" s="1740"/>
      <c r="TRI1688" s="1740"/>
      <c r="TRJ1688" s="1740"/>
      <c r="TRK1688" s="1740"/>
      <c r="TRL1688" s="1740"/>
      <c r="TRM1688" s="1740"/>
      <c r="TRN1688" s="1740"/>
      <c r="TRO1688" s="1740"/>
      <c r="TRP1688" s="1740"/>
      <c r="TRQ1688" s="1740"/>
      <c r="TRR1688" s="1740"/>
      <c r="TRS1688" s="1740"/>
      <c r="TRT1688" s="1740"/>
      <c r="TRU1688" s="1740"/>
      <c r="TRV1688" s="1740"/>
      <c r="TRW1688" s="1740"/>
      <c r="TRX1688" s="1740"/>
      <c r="TRY1688" s="1740"/>
      <c r="TRZ1688" s="1740"/>
      <c r="TSA1688" s="1740"/>
      <c r="TSB1688" s="1740"/>
      <c r="TSC1688" s="1740"/>
      <c r="TSD1688" s="1740"/>
      <c r="TSE1688" s="1740"/>
      <c r="TSF1688" s="1740"/>
      <c r="TSG1688" s="1740"/>
      <c r="TSH1688" s="1740"/>
      <c r="TSI1688" s="1740"/>
      <c r="TSJ1688" s="1740"/>
      <c r="TSK1688" s="1740"/>
      <c r="TSL1688" s="1740"/>
      <c r="TSM1688" s="1740"/>
      <c r="TSN1688" s="1740"/>
      <c r="TSO1688" s="1740"/>
      <c r="TSP1688" s="1740"/>
      <c r="TSQ1688" s="1740"/>
      <c r="TSR1688" s="1740"/>
      <c r="TSS1688" s="1740"/>
      <c r="TST1688" s="1740"/>
      <c r="TSU1688" s="1740"/>
      <c r="TSV1688" s="1740"/>
      <c r="TSW1688" s="1740"/>
      <c r="TSX1688" s="1740"/>
      <c r="TSY1688" s="1740"/>
      <c r="TSZ1688" s="1740"/>
      <c r="TTA1688" s="1740"/>
      <c r="TTB1688" s="1740"/>
      <c r="TTC1688" s="1740"/>
      <c r="TTD1688" s="1740"/>
      <c r="TTE1688" s="1740"/>
      <c r="TTF1688" s="1740"/>
      <c r="TTG1688" s="1740"/>
      <c r="TTH1688" s="1740"/>
      <c r="TTI1688" s="1740"/>
      <c r="TTJ1688" s="1740"/>
      <c r="TTK1688" s="1740"/>
      <c r="TTL1688" s="1740"/>
      <c r="TTM1688" s="1740"/>
      <c r="TTN1688" s="1740"/>
      <c r="TTO1688" s="1740"/>
      <c r="TTP1688" s="1740"/>
      <c r="TTQ1688" s="1740"/>
      <c r="TTR1688" s="1740"/>
      <c r="TTS1688" s="1740"/>
      <c r="TTT1688" s="1740"/>
      <c r="TTU1688" s="1740"/>
      <c r="TTV1688" s="1740"/>
      <c r="TTW1688" s="1740"/>
      <c r="TTX1688" s="1740"/>
      <c r="TTY1688" s="1740"/>
      <c r="TTZ1688" s="1740"/>
      <c r="TUA1688" s="1740"/>
      <c r="TUB1688" s="1740"/>
      <c r="TUC1688" s="1740"/>
      <c r="TUD1688" s="1740"/>
      <c r="TUE1688" s="1740"/>
      <c r="TUF1688" s="1740"/>
      <c r="TUG1688" s="1740"/>
      <c r="TUH1688" s="1740"/>
      <c r="TUI1688" s="1740"/>
      <c r="TUJ1688" s="1740"/>
      <c r="TUK1688" s="1740"/>
      <c r="TUL1688" s="1740"/>
      <c r="TUM1688" s="1740"/>
      <c r="TUN1688" s="1740"/>
      <c r="TUO1688" s="1740"/>
      <c r="TUP1688" s="1740"/>
      <c r="TUQ1688" s="1740"/>
      <c r="TUR1688" s="1740"/>
      <c r="TUS1688" s="1740"/>
      <c r="TUT1688" s="1740"/>
      <c r="TUU1688" s="1740"/>
      <c r="TUV1688" s="1740"/>
      <c r="TUW1688" s="1740"/>
      <c r="TUX1688" s="1740"/>
      <c r="TUY1688" s="1740"/>
      <c r="TUZ1688" s="1740"/>
      <c r="TVA1688" s="1740"/>
      <c r="TVB1688" s="1740"/>
      <c r="TVC1688" s="1740"/>
      <c r="TVD1688" s="1740"/>
      <c r="TVE1688" s="1740"/>
      <c r="TVF1688" s="1740"/>
      <c r="TVG1688" s="1740"/>
      <c r="TVH1688" s="1740"/>
      <c r="TVI1688" s="1740"/>
      <c r="TVJ1688" s="1740"/>
      <c r="TVK1688" s="1740"/>
      <c r="TVL1688" s="1740"/>
      <c r="TVM1688" s="1740"/>
      <c r="TVN1688" s="1740"/>
      <c r="TVO1688" s="1740"/>
      <c r="TVP1688" s="1740"/>
      <c r="TVQ1688" s="1740"/>
      <c r="TVR1688" s="1740"/>
      <c r="TVS1688" s="1740"/>
      <c r="TVT1688" s="1740"/>
      <c r="TVU1688" s="1740"/>
      <c r="TVV1688" s="1740"/>
      <c r="TVW1688" s="1740"/>
      <c r="TVX1688" s="1740"/>
      <c r="TVY1688" s="1740"/>
      <c r="TVZ1688" s="1740"/>
      <c r="TWA1688" s="1740"/>
      <c r="TWB1688" s="1740"/>
      <c r="TWC1688" s="1740"/>
      <c r="TWD1688" s="1740"/>
      <c r="TWE1688" s="1740"/>
      <c r="TWF1688" s="1740"/>
      <c r="TWG1688" s="1740"/>
      <c r="TWH1688" s="1740"/>
      <c r="TWI1688" s="1740"/>
      <c r="TWJ1688" s="1740"/>
      <c r="TWK1688" s="1740"/>
      <c r="TWL1688" s="1740"/>
      <c r="TWM1688" s="1740"/>
      <c r="TWN1688" s="1740"/>
      <c r="TWO1688" s="1740"/>
      <c r="TWP1688" s="1740"/>
      <c r="TWQ1688" s="1740"/>
      <c r="TWR1688" s="1740"/>
      <c r="TWS1688" s="1740"/>
      <c r="TWT1688" s="1740"/>
      <c r="TWU1688" s="1740"/>
      <c r="TWV1688" s="1740"/>
      <c r="TWW1688" s="1740"/>
      <c r="TWX1688" s="1740"/>
      <c r="TWY1688" s="1740"/>
      <c r="TWZ1688" s="1740"/>
      <c r="TXA1688" s="1740"/>
      <c r="TXB1688" s="1740"/>
      <c r="TXC1688" s="1740"/>
      <c r="TXD1688" s="1740"/>
      <c r="TXE1688" s="1740"/>
      <c r="TXF1688" s="1740"/>
      <c r="TXG1688" s="1740"/>
      <c r="TXH1688" s="1740"/>
      <c r="TXI1688" s="1740"/>
      <c r="TXJ1688" s="1740"/>
      <c r="TXK1688" s="1740"/>
      <c r="TXL1688" s="1740"/>
      <c r="TXM1688" s="1740"/>
      <c r="TXN1688" s="1740"/>
      <c r="TXO1688" s="1740"/>
      <c r="TXP1688" s="1740"/>
      <c r="TXQ1688" s="1740"/>
      <c r="TXR1688" s="1740"/>
      <c r="TXS1688" s="1740"/>
      <c r="TXT1688" s="1740"/>
      <c r="TXU1688" s="1740"/>
      <c r="TXV1688" s="1740"/>
      <c r="TXW1688" s="1740"/>
      <c r="TXX1688" s="1740"/>
      <c r="TXY1688" s="1740"/>
      <c r="TXZ1688" s="1740"/>
      <c r="TYA1688" s="1740"/>
      <c r="TYB1688" s="1740"/>
      <c r="TYC1688" s="1740"/>
      <c r="TYD1688" s="1740"/>
      <c r="TYE1688" s="1740"/>
      <c r="TYF1688" s="1740"/>
      <c r="TYG1688" s="1740"/>
      <c r="TYH1688" s="1740"/>
      <c r="TYI1688" s="1740"/>
      <c r="TYJ1688" s="1740"/>
      <c r="TYK1688" s="1740"/>
      <c r="TYL1688" s="1740"/>
      <c r="TYM1688" s="1740"/>
      <c r="TYN1688" s="1740"/>
      <c r="TYO1688" s="1740"/>
      <c r="TYP1688" s="1740"/>
      <c r="TYQ1688" s="1740"/>
      <c r="TYR1688" s="1740"/>
      <c r="TYS1688" s="1740"/>
      <c r="TYT1688" s="1740"/>
      <c r="TYU1688" s="1740"/>
      <c r="TYV1688" s="1740"/>
      <c r="TYW1688" s="1740"/>
      <c r="TYX1688" s="1740"/>
      <c r="TYY1688" s="1740"/>
      <c r="TYZ1688" s="1740"/>
      <c r="TZA1688" s="1740"/>
      <c r="TZB1688" s="1740"/>
      <c r="TZC1688" s="1740"/>
      <c r="TZD1688" s="1740"/>
      <c r="TZE1688" s="1740"/>
      <c r="TZF1688" s="1740"/>
      <c r="TZG1688" s="1740"/>
      <c r="TZH1688" s="1740"/>
      <c r="TZI1688" s="1740"/>
      <c r="TZJ1688" s="1740"/>
      <c r="TZK1688" s="1740"/>
      <c r="TZL1688" s="1740"/>
      <c r="TZM1688" s="1740"/>
      <c r="TZN1688" s="1740"/>
      <c r="TZO1688" s="1740"/>
      <c r="TZP1688" s="1740"/>
      <c r="TZQ1688" s="1740"/>
      <c r="TZR1688" s="1740"/>
      <c r="TZS1688" s="1740"/>
      <c r="TZT1688" s="1740"/>
      <c r="TZU1688" s="1740"/>
      <c r="TZV1688" s="1740"/>
      <c r="TZW1688" s="1740"/>
      <c r="TZX1688" s="1740"/>
      <c r="TZY1688" s="1740"/>
      <c r="TZZ1688" s="1740"/>
      <c r="UAA1688" s="1740"/>
      <c r="UAB1688" s="1740"/>
      <c r="UAC1688" s="1740"/>
      <c r="UAD1688" s="1740"/>
      <c r="UAE1688" s="1740"/>
      <c r="UAF1688" s="1740"/>
      <c r="UAG1688" s="1740"/>
      <c r="UAH1688" s="1740"/>
      <c r="UAI1688" s="1740"/>
      <c r="UAJ1688" s="1740"/>
      <c r="UAK1688" s="1740"/>
      <c r="UAL1688" s="1740"/>
      <c r="UAM1688" s="1740"/>
      <c r="UAN1688" s="1740"/>
      <c r="UAO1688" s="1740"/>
      <c r="UAP1688" s="1740"/>
      <c r="UAQ1688" s="1740"/>
      <c r="UAR1688" s="1740"/>
      <c r="UAS1688" s="1740"/>
      <c r="UAT1688" s="1740"/>
      <c r="UAU1688" s="1740"/>
      <c r="UAV1688" s="1740"/>
      <c r="UAW1688" s="1740"/>
      <c r="UAX1688" s="1740"/>
      <c r="UAY1688" s="1740"/>
      <c r="UAZ1688" s="1740"/>
      <c r="UBA1688" s="1740"/>
      <c r="UBB1688" s="1740"/>
      <c r="UBC1688" s="1740"/>
      <c r="UBD1688" s="1740"/>
      <c r="UBE1688" s="1740"/>
      <c r="UBF1688" s="1740"/>
      <c r="UBG1688" s="1740"/>
      <c r="UBH1688" s="1740"/>
      <c r="UBI1688" s="1740"/>
      <c r="UBJ1688" s="1740"/>
      <c r="UBK1688" s="1740"/>
      <c r="UBL1688" s="1740"/>
      <c r="UBM1688" s="1740"/>
      <c r="UBN1688" s="1740"/>
      <c r="UBO1688" s="1740"/>
      <c r="UBP1688" s="1740"/>
      <c r="UBQ1688" s="1740"/>
      <c r="UBR1688" s="1740"/>
      <c r="UBS1688" s="1740"/>
      <c r="UBT1688" s="1740"/>
      <c r="UBU1688" s="1740"/>
      <c r="UBV1688" s="1740"/>
      <c r="UBW1688" s="1740"/>
      <c r="UBX1688" s="1740"/>
      <c r="UBY1688" s="1740"/>
      <c r="UBZ1688" s="1740"/>
      <c r="UCA1688" s="1740"/>
      <c r="UCB1688" s="1740"/>
      <c r="UCC1688" s="1740"/>
      <c r="UCD1688" s="1740"/>
      <c r="UCE1688" s="1740"/>
      <c r="UCF1688" s="1740"/>
      <c r="UCG1688" s="1740"/>
      <c r="UCH1688" s="1740"/>
      <c r="UCI1688" s="1740"/>
      <c r="UCJ1688" s="1740"/>
      <c r="UCK1688" s="1740"/>
      <c r="UCL1688" s="1740"/>
      <c r="UCM1688" s="1740"/>
      <c r="UCN1688" s="1740"/>
      <c r="UCO1688" s="1740"/>
      <c r="UCP1688" s="1740"/>
      <c r="UCQ1688" s="1740"/>
      <c r="UCR1688" s="1740"/>
      <c r="UCS1688" s="1740"/>
      <c r="UCT1688" s="1740"/>
      <c r="UCU1688" s="1740"/>
      <c r="UCV1688" s="1740"/>
      <c r="UCW1688" s="1740"/>
      <c r="UCX1688" s="1740"/>
      <c r="UCY1688" s="1740"/>
      <c r="UCZ1688" s="1740"/>
      <c r="UDA1688" s="1740"/>
      <c r="UDB1688" s="1740"/>
      <c r="UDC1688" s="1740"/>
      <c r="UDD1688" s="1740"/>
      <c r="UDE1688" s="1740"/>
      <c r="UDF1688" s="1740"/>
      <c r="UDG1688" s="1740"/>
      <c r="UDH1688" s="1740"/>
      <c r="UDI1688" s="1740"/>
      <c r="UDJ1688" s="1740"/>
      <c r="UDK1688" s="1740"/>
      <c r="UDL1688" s="1740"/>
      <c r="UDM1688" s="1740"/>
      <c r="UDN1688" s="1740"/>
      <c r="UDO1688" s="1740"/>
      <c r="UDP1688" s="1740"/>
      <c r="UDQ1688" s="1740"/>
      <c r="UDR1688" s="1740"/>
      <c r="UDS1688" s="1740"/>
      <c r="UDT1688" s="1740"/>
      <c r="UDU1688" s="1740"/>
      <c r="UDV1688" s="1740"/>
      <c r="UDW1688" s="1740"/>
      <c r="UDX1688" s="1740"/>
      <c r="UDY1688" s="1740"/>
      <c r="UDZ1688" s="1740"/>
      <c r="UEA1688" s="1740"/>
      <c r="UEB1688" s="1740"/>
      <c r="UEC1688" s="1740"/>
      <c r="UED1688" s="1740"/>
      <c r="UEE1688" s="1740"/>
      <c r="UEF1688" s="1740"/>
      <c r="UEG1688" s="1740"/>
      <c r="UEH1688" s="1740"/>
      <c r="UEI1688" s="1740"/>
      <c r="UEJ1688" s="1740"/>
      <c r="UEK1688" s="1740"/>
      <c r="UEL1688" s="1740"/>
      <c r="UEM1688" s="1740"/>
      <c r="UEN1688" s="1740"/>
      <c r="UEO1688" s="1740"/>
      <c r="UEP1688" s="1740"/>
      <c r="UEQ1688" s="1740"/>
      <c r="UER1688" s="1740"/>
      <c r="UES1688" s="1740"/>
      <c r="UET1688" s="1740"/>
      <c r="UEU1688" s="1740"/>
      <c r="UEV1688" s="1740"/>
      <c r="UEW1688" s="1740"/>
      <c r="UEX1688" s="1740"/>
      <c r="UEY1688" s="1740"/>
      <c r="UEZ1688" s="1740"/>
      <c r="UFA1688" s="1740"/>
      <c r="UFB1688" s="1740"/>
      <c r="UFC1688" s="1740"/>
      <c r="UFD1688" s="1740"/>
      <c r="UFE1688" s="1740"/>
      <c r="UFF1688" s="1740"/>
      <c r="UFG1688" s="1740"/>
      <c r="UFH1688" s="1740"/>
      <c r="UFI1688" s="1740"/>
      <c r="UFJ1688" s="1740"/>
      <c r="UFK1688" s="1740"/>
      <c r="UFL1688" s="1740"/>
      <c r="UFM1688" s="1740"/>
      <c r="UFN1688" s="1740"/>
      <c r="UFO1688" s="1740"/>
      <c r="UFP1688" s="1740"/>
      <c r="UFQ1688" s="1740"/>
      <c r="UFR1688" s="1740"/>
      <c r="UFS1688" s="1740"/>
      <c r="UFT1688" s="1740"/>
      <c r="UFU1688" s="1740"/>
      <c r="UFV1688" s="1740"/>
      <c r="UFW1688" s="1740"/>
      <c r="UFX1688" s="1740"/>
      <c r="UFY1688" s="1740"/>
      <c r="UFZ1688" s="1740"/>
      <c r="UGA1688" s="1740"/>
      <c r="UGB1688" s="1740"/>
      <c r="UGC1688" s="1740"/>
      <c r="UGD1688" s="1740"/>
      <c r="UGE1688" s="1740"/>
      <c r="UGF1688" s="1740"/>
      <c r="UGG1688" s="1740"/>
      <c r="UGH1688" s="1740"/>
      <c r="UGI1688" s="1740"/>
      <c r="UGJ1688" s="1740"/>
      <c r="UGK1688" s="1740"/>
      <c r="UGL1688" s="1740"/>
      <c r="UGM1688" s="1740"/>
      <c r="UGN1688" s="1740"/>
      <c r="UGO1688" s="1740"/>
      <c r="UGP1688" s="1740"/>
      <c r="UGQ1688" s="1740"/>
      <c r="UGR1688" s="1740"/>
      <c r="UGS1688" s="1740"/>
      <c r="UGT1688" s="1740"/>
      <c r="UGU1688" s="1740"/>
      <c r="UGV1688" s="1740"/>
      <c r="UGW1688" s="1740"/>
      <c r="UGX1688" s="1740"/>
      <c r="UGY1688" s="1740"/>
      <c r="UGZ1688" s="1740"/>
      <c r="UHA1688" s="1740"/>
      <c r="UHB1688" s="1740"/>
      <c r="UHC1688" s="1740"/>
      <c r="UHD1688" s="1740"/>
      <c r="UHE1688" s="1740"/>
      <c r="UHF1688" s="1740"/>
      <c r="UHG1688" s="1740"/>
      <c r="UHH1688" s="1740"/>
      <c r="UHI1688" s="1740"/>
      <c r="UHJ1688" s="1740"/>
      <c r="UHK1688" s="1740"/>
      <c r="UHL1688" s="1740"/>
      <c r="UHM1688" s="1740"/>
      <c r="UHN1688" s="1740"/>
      <c r="UHO1688" s="1740"/>
      <c r="UHP1688" s="1740"/>
      <c r="UHQ1688" s="1740"/>
      <c r="UHR1688" s="1740"/>
      <c r="UHS1688" s="1740"/>
      <c r="UHT1688" s="1740"/>
      <c r="UHU1688" s="1740"/>
      <c r="UHV1688" s="1740"/>
      <c r="UHW1688" s="1740"/>
      <c r="UHX1688" s="1740"/>
      <c r="UHY1688" s="1740"/>
      <c r="UHZ1688" s="1740"/>
      <c r="UIA1688" s="1740"/>
      <c r="UIB1688" s="1740"/>
      <c r="UIC1688" s="1740"/>
      <c r="UID1688" s="1740"/>
      <c r="UIE1688" s="1740"/>
      <c r="UIF1688" s="1740"/>
      <c r="UIG1688" s="1740"/>
      <c r="UIH1688" s="1740"/>
      <c r="UII1688" s="1740"/>
      <c r="UIJ1688" s="1740"/>
      <c r="UIK1688" s="1740"/>
      <c r="UIL1688" s="1740"/>
      <c r="UIM1688" s="1740"/>
      <c r="UIN1688" s="1740"/>
      <c r="UIO1688" s="1740"/>
      <c r="UIP1688" s="1740"/>
      <c r="UIQ1688" s="1740"/>
      <c r="UIR1688" s="1740"/>
      <c r="UIS1688" s="1740"/>
      <c r="UIT1688" s="1740"/>
      <c r="UIU1688" s="1740"/>
      <c r="UIV1688" s="1740"/>
      <c r="UIW1688" s="1740"/>
      <c r="UIX1688" s="1740"/>
      <c r="UIY1688" s="1740"/>
      <c r="UIZ1688" s="1740"/>
      <c r="UJA1688" s="1740"/>
      <c r="UJB1688" s="1740"/>
      <c r="UJC1688" s="1740"/>
      <c r="UJD1688" s="1740"/>
      <c r="UJE1688" s="1740"/>
      <c r="UJF1688" s="1740"/>
      <c r="UJG1688" s="1740"/>
      <c r="UJH1688" s="1740"/>
      <c r="UJI1688" s="1740"/>
      <c r="UJJ1688" s="1740"/>
      <c r="UJK1688" s="1740"/>
      <c r="UJL1688" s="1740"/>
      <c r="UJM1688" s="1740"/>
      <c r="UJN1688" s="1740"/>
      <c r="UJO1688" s="1740"/>
      <c r="UJP1688" s="1740"/>
      <c r="UJQ1688" s="1740"/>
      <c r="UJR1688" s="1740"/>
      <c r="UJS1688" s="1740"/>
      <c r="UJT1688" s="1740"/>
      <c r="UJU1688" s="1740"/>
      <c r="UJV1688" s="1740"/>
      <c r="UJW1688" s="1740"/>
      <c r="UJX1688" s="1740"/>
      <c r="UJY1688" s="1740"/>
      <c r="UJZ1688" s="1740"/>
      <c r="UKA1688" s="1740"/>
      <c r="UKB1688" s="1740"/>
      <c r="UKC1688" s="1740"/>
      <c r="UKD1688" s="1740"/>
      <c r="UKE1688" s="1740"/>
      <c r="UKF1688" s="1740"/>
      <c r="UKG1688" s="1740"/>
      <c r="UKH1688" s="1740"/>
      <c r="UKI1688" s="1740"/>
      <c r="UKJ1688" s="1740"/>
      <c r="UKK1688" s="1740"/>
      <c r="UKL1688" s="1740"/>
      <c r="UKM1688" s="1740"/>
      <c r="UKN1688" s="1740"/>
      <c r="UKO1688" s="1740"/>
      <c r="UKP1688" s="1740"/>
      <c r="UKQ1688" s="1740"/>
      <c r="UKR1688" s="1740"/>
      <c r="UKS1688" s="1740"/>
      <c r="UKT1688" s="1740"/>
      <c r="UKU1688" s="1740"/>
      <c r="UKV1688" s="1740"/>
      <c r="UKW1688" s="1740"/>
      <c r="UKX1688" s="1740"/>
      <c r="UKY1688" s="1740"/>
      <c r="UKZ1688" s="1740"/>
      <c r="ULA1688" s="1740"/>
      <c r="ULB1688" s="1740"/>
      <c r="ULC1688" s="1740"/>
      <c r="ULD1688" s="1740"/>
      <c r="ULE1688" s="1740"/>
      <c r="ULF1688" s="1740"/>
      <c r="ULG1688" s="1740"/>
      <c r="ULH1688" s="1740"/>
      <c r="ULI1688" s="1740"/>
      <c r="ULJ1688" s="1740"/>
      <c r="ULK1688" s="1740"/>
      <c r="ULL1688" s="1740"/>
      <c r="ULM1688" s="1740"/>
      <c r="ULN1688" s="1740"/>
      <c r="ULO1688" s="1740"/>
      <c r="ULP1688" s="1740"/>
      <c r="ULQ1688" s="1740"/>
      <c r="ULR1688" s="1740"/>
      <c r="ULS1688" s="1740"/>
      <c r="ULT1688" s="1740"/>
      <c r="ULU1688" s="1740"/>
      <c r="ULV1688" s="1740"/>
      <c r="ULW1688" s="1740"/>
      <c r="ULX1688" s="1740"/>
      <c r="ULY1688" s="1740"/>
      <c r="ULZ1688" s="1740"/>
      <c r="UMA1688" s="1740"/>
      <c r="UMB1688" s="1740"/>
      <c r="UMC1688" s="1740"/>
      <c r="UMD1688" s="1740"/>
      <c r="UME1688" s="1740"/>
      <c r="UMF1688" s="1740"/>
      <c r="UMG1688" s="1740"/>
      <c r="UMH1688" s="1740"/>
      <c r="UMI1688" s="1740"/>
      <c r="UMJ1688" s="1740"/>
      <c r="UMK1688" s="1740"/>
      <c r="UML1688" s="1740"/>
      <c r="UMM1688" s="1740"/>
      <c r="UMN1688" s="1740"/>
      <c r="UMO1688" s="1740"/>
      <c r="UMP1688" s="1740"/>
      <c r="UMQ1688" s="1740"/>
      <c r="UMR1688" s="1740"/>
      <c r="UMS1688" s="1740"/>
      <c r="UMT1688" s="1740"/>
      <c r="UMU1688" s="1740"/>
      <c r="UMV1688" s="1740"/>
      <c r="UMW1688" s="1740"/>
      <c r="UMX1688" s="1740"/>
      <c r="UMY1688" s="1740"/>
      <c r="UMZ1688" s="1740"/>
      <c r="UNA1688" s="1740"/>
      <c r="UNB1688" s="1740"/>
      <c r="UNC1688" s="1740"/>
      <c r="UND1688" s="1740"/>
      <c r="UNE1688" s="1740"/>
      <c r="UNF1688" s="1740"/>
      <c r="UNG1688" s="1740"/>
      <c r="UNH1688" s="1740"/>
      <c r="UNI1688" s="1740"/>
      <c r="UNJ1688" s="1740"/>
      <c r="UNK1688" s="1740"/>
      <c r="UNL1688" s="1740"/>
      <c r="UNM1688" s="1740"/>
      <c r="UNN1688" s="1740"/>
      <c r="UNO1688" s="1740"/>
      <c r="UNP1688" s="1740"/>
      <c r="UNQ1688" s="1740"/>
      <c r="UNR1688" s="1740"/>
      <c r="UNS1688" s="1740"/>
      <c r="UNT1688" s="1740"/>
      <c r="UNU1688" s="1740"/>
      <c r="UNV1688" s="1740"/>
      <c r="UNW1688" s="1740"/>
      <c r="UNX1688" s="1740"/>
      <c r="UNY1688" s="1740"/>
      <c r="UNZ1688" s="1740"/>
      <c r="UOA1688" s="1740"/>
      <c r="UOB1688" s="1740"/>
      <c r="UOC1688" s="1740"/>
      <c r="UOD1688" s="1740"/>
      <c r="UOE1688" s="1740"/>
      <c r="UOF1688" s="1740"/>
      <c r="UOG1688" s="1740"/>
      <c r="UOH1688" s="1740"/>
      <c r="UOI1688" s="1740"/>
      <c r="UOJ1688" s="1740"/>
      <c r="UOK1688" s="1740"/>
      <c r="UOL1688" s="1740"/>
      <c r="UOM1688" s="1740"/>
      <c r="UON1688" s="1740"/>
      <c r="UOO1688" s="1740"/>
      <c r="UOP1688" s="1740"/>
      <c r="UOQ1688" s="1740"/>
      <c r="UOR1688" s="1740"/>
      <c r="UOS1688" s="1740"/>
      <c r="UOT1688" s="1740"/>
      <c r="UOU1688" s="1740"/>
      <c r="UOV1688" s="1740"/>
      <c r="UOW1688" s="1740"/>
      <c r="UOX1688" s="1740"/>
      <c r="UOY1688" s="1740"/>
      <c r="UOZ1688" s="1740"/>
      <c r="UPA1688" s="1740"/>
      <c r="UPB1688" s="1740"/>
      <c r="UPC1688" s="1740"/>
      <c r="UPD1688" s="1740"/>
      <c r="UPE1688" s="1740"/>
      <c r="UPF1688" s="1740"/>
      <c r="UPG1688" s="1740"/>
      <c r="UPH1688" s="1740"/>
      <c r="UPI1688" s="1740"/>
      <c r="UPJ1688" s="1740"/>
      <c r="UPK1688" s="1740"/>
      <c r="UPL1688" s="1740"/>
      <c r="UPM1688" s="1740"/>
      <c r="UPN1688" s="1740"/>
      <c r="UPO1688" s="1740"/>
      <c r="UPP1688" s="1740"/>
      <c r="UPQ1688" s="1740"/>
      <c r="UPR1688" s="1740"/>
      <c r="UPS1688" s="1740"/>
      <c r="UPT1688" s="1740"/>
      <c r="UPU1688" s="1740"/>
      <c r="UPV1688" s="1740"/>
      <c r="UPW1688" s="1740"/>
      <c r="UPX1688" s="1740"/>
      <c r="UPY1688" s="1740"/>
      <c r="UPZ1688" s="1740"/>
      <c r="UQA1688" s="1740"/>
      <c r="UQB1688" s="1740"/>
      <c r="UQC1688" s="1740"/>
      <c r="UQD1688" s="1740"/>
      <c r="UQE1688" s="1740"/>
      <c r="UQF1688" s="1740"/>
      <c r="UQG1688" s="1740"/>
      <c r="UQH1688" s="1740"/>
      <c r="UQI1688" s="1740"/>
      <c r="UQJ1688" s="1740"/>
      <c r="UQK1688" s="1740"/>
      <c r="UQL1688" s="1740"/>
      <c r="UQM1688" s="1740"/>
      <c r="UQN1688" s="1740"/>
      <c r="UQO1688" s="1740"/>
      <c r="UQP1688" s="1740"/>
      <c r="UQQ1688" s="1740"/>
      <c r="UQR1688" s="1740"/>
      <c r="UQS1688" s="1740"/>
      <c r="UQT1688" s="1740"/>
      <c r="UQU1688" s="1740"/>
      <c r="UQV1688" s="1740"/>
      <c r="UQW1688" s="1740"/>
      <c r="UQX1688" s="1740"/>
      <c r="UQY1688" s="1740"/>
      <c r="UQZ1688" s="1740"/>
      <c r="URA1688" s="1740"/>
      <c r="URB1688" s="1740"/>
      <c r="URC1688" s="1740"/>
      <c r="URD1688" s="1740"/>
      <c r="URE1688" s="1740"/>
      <c r="URF1688" s="1740"/>
      <c r="URG1688" s="1740"/>
      <c r="URH1688" s="1740"/>
      <c r="URI1688" s="1740"/>
      <c r="URJ1688" s="1740"/>
      <c r="URK1688" s="1740"/>
      <c r="URL1688" s="1740"/>
      <c r="URM1688" s="1740"/>
      <c r="URN1688" s="1740"/>
      <c r="URO1688" s="1740"/>
      <c r="URP1688" s="1740"/>
      <c r="URQ1688" s="1740"/>
      <c r="URR1688" s="1740"/>
      <c r="URS1688" s="1740"/>
      <c r="URT1688" s="1740"/>
      <c r="URU1688" s="1740"/>
      <c r="URV1688" s="1740"/>
      <c r="URW1688" s="1740"/>
      <c r="URX1688" s="1740"/>
      <c r="URY1688" s="1740"/>
      <c r="URZ1688" s="1740"/>
      <c r="USA1688" s="1740"/>
      <c r="USB1688" s="1740"/>
      <c r="USC1688" s="1740"/>
      <c r="USD1688" s="1740"/>
      <c r="USE1688" s="1740"/>
      <c r="USF1688" s="1740"/>
      <c r="USG1688" s="1740"/>
      <c r="USH1688" s="1740"/>
      <c r="USI1688" s="1740"/>
      <c r="USJ1688" s="1740"/>
      <c r="USK1688" s="1740"/>
      <c r="USL1688" s="1740"/>
      <c r="USM1688" s="1740"/>
      <c r="USN1688" s="1740"/>
      <c r="USO1688" s="1740"/>
      <c r="USP1688" s="1740"/>
      <c r="USQ1688" s="1740"/>
      <c r="USR1688" s="1740"/>
      <c r="USS1688" s="1740"/>
      <c r="UST1688" s="1740"/>
      <c r="USU1688" s="1740"/>
      <c r="USV1688" s="1740"/>
      <c r="USW1688" s="1740"/>
      <c r="USX1688" s="1740"/>
      <c r="USY1688" s="1740"/>
      <c r="USZ1688" s="1740"/>
      <c r="UTA1688" s="1740"/>
      <c r="UTB1688" s="1740"/>
      <c r="UTC1688" s="1740"/>
      <c r="UTD1688" s="1740"/>
      <c r="UTE1688" s="1740"/>
      <c r="UTF1688" s="1740"/>
      <c r="UTG1688" s="1740"/>
      <c r="UTH1688" s="1740"/>
      <c r="UTI1688" s="1740"/>
      <c r="UTJ1688" s="1740"/>
      <c r="UTK1688" s="1740"/>
      <c r="UTL1688" s="1740"/>
      <c r="UTM1688" s="1740"/>
      <c r="UTN1688" s="1740"/>
      <c r="UTO1688" s="1740"/>
      <c r="UTP1688" s="1740"/>
      <c r="UTQ1688" s="1740"/>
      <c r="UTR1688" s="1740"/>
      <c r="UTS1688" s="1740"/>
      <c r="UTT1688" s="1740"/>
      <c r="UTU1688" s="1740"/>
      <c r="UTV1688" s="1740"/>
      <c r="UTW1688" s="1740"/>
      <c r="UTX1688" s="1740"/>
      <c r="UTY1688" s="1740"/>
      <c r="UTZ1688" s="1740"/>
      <c r="UUA1688" s="1740"/>
      <c r="UUB1688" s="1740"/>
      <c r="UUC1688" s="1740"/>
      <c r="UUD1688" s="1740"/>
      <c r="UUE1688" s="1740"/>
      <c r="UUF1688" s="1740"/>
      <c r="UUG1688" s="1740"/>
      <c r="UUH1688" s="1740"/>
      <c r="UUI1688" s="1740"/>
      <c r="UUJ1688" s="1740"/>
      <c r="UUK1688" s="1740"/>
      <c r="UUL1688" s="1740"/>
      <c r="UUM1688" s="1740"/>
      <c r="UUN1688" s="1740"/>
      <c r="UUO1688" s="1740"/>
      <c r="UUP1688" s="1740"/>
      <c r="UUQ1688" s="1740"/>
      <c r="UUR1688" s="1740"/>
      <c r="UUS1688" s="1740"/>
      <c r="UUT1688" s="1740"/>
      <c r="UUU1688" s="1740"/>
      <c r="UUV1688" s="1740"/>
      <c r="UUW1688" s="1740"/>
      <c r="UUX1688" s="1740"/>
      <c r="UUY1688" s="1740"/>
      <c r="UUZ1688" s="1740"/>
      <c r="UVA1688" s="1740"/>
      <c r="UVB1688" s="1740"/>
      <c r="UVC1688" s="1740"/>
      <c r="UVD1688" s="1740"/>
      <c r="UVE1688" s="1740"/>
      <c r="UVF1688" s="1740"/>
      <c r="UVG1688" s="1740"/>
      <c r="UVH1688" s="1740"/>
      <c r="UVI1688" s="1740"/>
      <c r="UVJ1688" s="1740"/>
      <c r="UVK1688" s="1740"/>
      <c r="UVL1688" s="1740"/>
      <c r="UVM1688" s="1740"/>
      <c r="UVN1688" s="1740"/>
      <c r="UVO1688" s="1740"/>
      <c r="UVP1688" s="1740"/>
      <c r="UVQ1688" s="1740"/>
      <c r="UVR1688" s="1740"/>
      <c r="UVS1688" s="1740"/>
      <c r="UVT1688" s="1740"/>
      <c r="UVU1688" s="1740"/>
      <c r="UVV1688" s="1740"/>
      <c r="UVW1688" s="1740"/>
      <c r="UVX1688" s="1740"/>
      <c r="UVY1688" s="1740"/>
      <c r="UVZ1688" s="1740"/>
      <c r="UWA1688" s="1740"/>
      <c r="UWB1688" s="1740"/>
      <c r="UWC1688" s="1740"/>
      <c r="UWD1688" s="1740"/>
      <c r="UWE1688" s="1740"/>
      <c r="UWF1688" s="1740"/>
      <c r="UWG1688" s="1740"/>
      <c r="UWH1688" s="1740"/>
      <c r="UWI1688" s="1740"/>
      <c r="UWJ1688" s="1740"/>
      <c r="UWK1688" s="1740"/>
      <c r="UWL1688" s="1740"/>
      <c r="UWM1688" s="1740"/>
      <c r="UWN1688" s="1740"/>
      <c r="UWO1688" s="1740"/>
      <c r="UWP1688" s="1740"/>
      <c r="UWQ1688" s="1740"/>
      <c r="UWR1688" s="1740"/>
      <c r="UWS1688" s="1740"/>
      <c r="UWT1688" s="1740"/>
      <c r="UWU1688" s="1740"/>
      <c r="UWV1688" s="1740"/>
      <c r="UWW1688" s="1740"/>
      <c r="UWX1688" s="1740"/>
      <c r="UWY1688" s="1740"/>
      <c r="UWZ1688" s="1740"/>
      <c r="UXA1688" s="1740"/>
      <c r="UXB1688" s="1740"/>
      <c r="UXC1688" s="1740"/>
      <c r="UXD1688" s="1740"/>
      <c r="UXE1688" s="1740"/>
      <c r="UXF1688" s="1740"/>
      <c r="UXG1688" s="1740"/>
      <c r="UXH1688" s="1740"/>
      <c r="UXI1688" s="1740"/>
      <c r="UXJ1688" s="1740"/>
      <c r="UXK1688" s="1740"/>
      <c r="UXL1688" s="1740"/>
      <c r="UXM1688" s="1740"/>
      <c r="UXN1688" s="1740"/>
      <c r="UXO1688" s="1740"/>
      <c r="UXP1688" s="1740"/>
      <c r="UXQ1688" s="1740"/>
      <c r="UXR1688" s="1740"/>
      <c r="UXS1688" s="1740"/>
      <c r="UXT1688" s="1740"/>
      <c r="UXU1688" s="1740"/>
      <c r="UXV1688" s="1740"/>
      <c r="UXW1688" s="1740"/>
      <c r="UXX1688" s="1740"/>
      <c r="UXY1688" s="1740"/>
      <c r="UXZ1688" s="1740"/>
      <c r="UYA1688" s="1740"/>
      <c r="UYB1688" s="1740"/>
      <c r="UYC1688" s="1740"/>
      <c r="UYD1688" s="1740"/>
      <c r="UYE1688" s="1740"/>
      <c r="UYF1688" s="1740"/>
      <c r="UYG1688" s="1740"/>
      <c r="UYH1688" s="1740"/>
      <c r="UYI1688" s="1740"/>
      <c r="UYJ1688" s="1740"/>
      <c r="UYK1688" s="1740"/>
      <c r="UYL1688" s="1740"/>
      <c r="UYM1688" s="1740"/>
      <c r="UYN1688" s="1740"/>
      <c r="UYO1688" s="1740"/>
      <c r="UYP1688" s="1740"/>
      <c r="UYQ1688" s="1740"/>
      <c r="UYR1688" s="1740"/>
      <c r="UYS1688" s="1740"/>
      <c r="UYT1688" s="1740"/>
      <c r="UYU1688" s="1740"/>
      <c r="UYV1688" s="1740"/>
      <c r="UYW1688" s="1740"/>
      <c r="UYX1688" s="1740"/>
      <c r="UYY1688" s="1740"/>
      <c r="UYZ1688" s="1740"/>
      <c r="UZA1688" s="1740"/>
      <c r="UZB1688" s="1740"/>
      <c r="UZC1688" s="1740"/>
      <c r="UZD1688" s="1740"/>
      <c r="UZE1688" s="1740"/>
      <c r="UZF1688" s="1740"/>
      <c r="UZG1688" s="1740"/>
      <c r="UZH1688" s="1740"/>
      <c r="UZI1688" s="1740"/>
      <c r="UZJ1688" s="1740"/>
      <c r="UZK1688" s="1740"/>
      <c r="UZL1688" s="1740"/>
      <c r="UZM1688" s="1740"/>
      <c r="UZN1688" s="1740"/>
      <c r="UZO1688" s="1740"/>
      <c r="UZP1688" s="1740"/>
      <c r="UZQ1688" s="1740"/>
      <c r="UZR1688" s="1740"/>
      <c r="UZS1688" s="1740"/>
      <c r="UZT1688" s="1740"/>
      <c r="UZU1688" s="1740"/>
      <c r="UZV1688" s="1740"/>
      <c r="UZW1688" s="1740"/>
      <c r="UZX1688" s="1740"/>
      <c r="UZY1688" s="1740"/>
      <c r="UZZ1688" s="1740"/>
      <c r="VAA1688" s="1740"/>
      <c r="VAB1688" s="1740"/>
      <c r="VAC1688" s="1740"/>
      <c r="VAD1688" s="1740"/>
      <c r="VAE1688" s="1740"/>
      <c r="VAF1688" s="1740"/>
      <c r="VAG1688" s="1740"/>
      <c r="VAH1688" s="1740"/>
      <c r="VAI1688" s="1740"/>
      <c r="VAJ1688" s="1740"/>
      <c r="VAK1688" s="1740"/>
      <c r="VAL1688" s="1740"/>
      <c r="VAM1688" s="1740"/>
      <c r="VAN1688" s="1740"/>
      <c r="VAO1688" s="1740"/>
      <c r="VAP1688" s="1740"/>
      <c r="VAQ1688" s="1740"/>
      <c r="VAR1688" s="1740"/>
      <c r="VAS1688" s="1740"/>
      <c r="VAT1688" s="1740"/>
      <c r="VAU1688" s="1740"/>
      <c r="VAV1688" s="1740"/>
      <c r="VAW1688" s="1740"/>
      <c r="VAX1688" s="1740"/>
      <c r="VAY1688" s="1740"/>
      <c r="VAZ1688" s="1740"/>
      <c r="VBA1688" s="1740"/>
      <c r="VBB1688" s="1740"/>
      <c r="VBC1688" s="1740"/>
      <c r="VBD1688" s="1740"/>
      <c r="VBE1688" s="1740"/>
      <c r="VBF1688" s="1740"/>
      <c r="VBG1688" s="1740"/>
      <c r="VBH1688" s="1740"/>
      <c r="VBI1688" s="1740"/>
      <c r="VBJ1688" s="1740"/>
      <c r="VBK1688" s="1740"/>
      <c r="VBL1688" s="1740"/>
      <c r="VBM1688" s="1740"/>
      <c r="VBN1688" s="1740"/>
      <c r="VBO1688" s="1740"/>
      <c r="VBP1688" s="1740"/>
      <c r="VBQ1688" s="1740"/>
      <c r="VBR1688" s="1740"/>
      <c r="VBS1688" s="1740"/>
      <c r="VBT1688" s="1740"/>
      <c r="VBU1688" s="1740"/>
      <c r="VBV1688" s="1740"/>
      <c r="VBW1688" s="1740"/>
      <c r="VBX1688" s="1740"/>
      <c r="VBY1688" s="1740"/>
      <c r="VBZ1688" s="1740"/>
      <c r="VCA1688" s="1740"/>
      <c r="VCB1688" s="1740"/>
      <c r="VCC1688" s="1740"/>
      <c r="VCD1688" s="1740"/>
      <c r="VCE1688" s="1740"/>
      <c r="VCF1688" s="1740"/>
      <c r="VCG1688" s="1740"/>
      <c r="VCH1688" s="1740"/>
      <c r="VCI1688" s="1740"/>
      <c r="VCJ1688" s="1740"/>
      <c r="VCK1688" s="1740"/>
      <c r="VCL1688" s="1740"/>
      <c r="VCM1688" s="1740"/>
      <c r="VCN1688" s="1740"/>
      <c r="VCO1688" s="1740"/>
      <c r="VCP1688" s="1740"/>
      <c r="VCQ1688" s="1740"/>
      <c r="VCR1688" s="1740"/>
      <c r="VCS1688" s="1740"/>
      <c r="VCT1688" s="1740"/>
      <c r="VCU1688" s="1740"/>
      <c r="VCV1688" s="1740"/>
      <c r="VCW1688" s="1740"/>
      <c r="VCX1688" s="1740"/>
      <c r="VCY1688" s="1740"/>
      <c r="VCZ1688" s="1740"/>
      <c r="VDA1688" s="1740"/>
      <c r="VDB1688" s="1740"/>
      <c r="VDC1688" s="1740"/>
      <c r="VDD1688" s="1740"/>
      <c r="VDE1688" s="1740"/>
      <c r="VDF1688" s="1740"/>
      <c r="VDG1688" s="1740"/>
      <c r="VDH1688" s="1740"/>
      <c r="VDI1688" s="1740"/>
      <c r="VDJ1688" s="1740"/>
      <c r="VDK1688" s="1740"/>
      <c r="VDL1688" s="1740"/>
      <c r="VDM1688" s="1740"/>
      <c r="VDN1688" s="1740"/>
      <c r="VDO1688" s="1740"/>
      <c r="VDP1688" s="1740"/>
      <c r="VDQ1688" s="1740"/>
      <c r="VDR1688" s="1740"/>
      <c r="VDS1688" s="1740"/>
      <c r="VDT1688" s="1740"/>
      <c r="VDU1688" s="1740"/>
      <c r="VDV1688" s="1740"/>
      <c r="VDW1688" s="1740"/>
      <c r="VDX1688" s="1740"/>
      <c r="VDY1688" s="1740"/>
      <c r="VDZ1688" s="1740"/>
      <c r="VEA1688" s="1740"/>
      <c r="VEB1688" s="1740"/>
      <c r="VEC1688" s="1740"/>
      <c r="VED1688" s="1740"/>
      <c r="VEE1688" s="1740"/>
      <c r="VEF1688" s="1740"/>
      <c r="VEG1688" s="1740"/>
      <c r="VEH1688" s="1740"/>
      <c r="VEI1688" s="1740"/>
      <c r="VEJ1688" s="1740"/>
      <c r="VEK1688" s="1740"/>
      <c r="VEL1688" s="1740"/>
      <c r="VEM1688" s="1740"/>
      <c r="VEN1688" s="1740"/>
      <c r="VEO1688" s="1740"/>
      <c r="VEP1688" s="1740"/>
      <c r="VEQ1688" s="1740"/>
      <c r="VER1688" s="1740"/>
      <c r="VES1688" s="1740"/>
      <c r="VET1688" s="1740"/>
      <c r="VEU1688" s="1740"/>
      <c r="VEV1688" s="1740"/>
      <c r="VEW1688" s="1740"/>
      <c r="VEX1688" s="1740"/>
      <c r="VEY1688" s="1740"/>
      <c r="VEZ1688" s="1740"/>
      <c r="VFA1688" s="1740"/>
      <c r="VFB1688" s="1740"/>
      <c r="VFC1688" s="1740"/>
      <c r="VFD1688" s="1740"/>
      <c r="VFE1688" s="1740"/>
      <c r="VFF1688" s="1740"/>
      <c r="VFG1688" s="1740"/>
      <c r="VFH1688" s="1740"/>
      <c r="VFI1688" s="1740"/>
      <c r="VFJ1688" s="1740"/>
      <c r="VFK1688" s="1740"/>
      <c r="VFL1688" s="1740"/>
      <c r="VFM1688" s="1740"/>
      <c r="VFN1688" s="1740"/>
      <c r="VFO1688" s="1740"/>
      <c r="VFP1688" s="1740"/>
      <c r="VFQ1688" s="1740"/>
      <c r="VFR1688" s="1740"/>
      <c r="VFS1688" s="1740"/>
      <c r="VFT1688" s="1740"/>
      <c r="VFU1688" s="1740"/>
      <c r="VFV1688" s="1740"/>
      <c r="VFW1688" s="1740"/>
      <c r="VFX1688" s="1740"/>
      <c r="VFY1688" s="1740"/>
      <c r="VFZ1688" s="1740"/>
      <c r="VGA1688" s="1740"/>
      <c r="VGB1688" s="1740"/>
      <c r="VGC1688" s="1740"/>
      <c r="VGD1688" s="1740"/>
      <c r="VGE1688" s="1740"/>
      <c r="VGF1688" s="1740"/>
      <c r="VGG1688" s="1740"/>
      <c r="VGH1688" s="1740"/>
      <c r="VGI1688" s="1740"/>
      <c r="VGJ1688" s="1740"/>
      <c r="VGK1688" s="1740"/>
      <c r="VGL1688" s="1740"/>
      <c r="VGM1688" s="1740"/>
      <c r="VGN1688" s="1740"/>
      <c r="VGO1688" s="1740"/>
      <c r="VGP1688" s="1740"/>
      <c r="VGQ1688" s="1740"/>
      <c r="VGR1688" s="1740"/>
      <c r="VGS1688" s="1740"/>
      <c r="VGT1688" s="1740"/>
      <c r="VGU1688" s="1740"/>
      <c r="VGV1688" s="1740"/>
      <c r="VGW1688" s="1740"/>
      <c r="VGX1688" s="1740"/>
      <c r="VGY1688" s="1740"/>
      <c r="VGZ1688" s="1740"/>
      <c r="VHA1688" s="1740"/>
      <c r="VHB1688" s="1740"/>
      <c r="VHC1688" s="1740"/>
      <c r="VHD1688" s="1740"/>
      <c r="VHE1688" s="1740"/>
      <c r="VHF1688" s="1740"/>
      <c r="VHG1688" s="1740"/>
      <c r="VHH1688" s="1740"/>
      <c r="VHI1688" s="1740"/>
      <c r="VHJ1688" s="1740"/>
      <c r="VHK1688" s="1740"/>
      <c r="VHL1688" s="1740"/>
      <c r="VHM1688" s="1740"/>
      <c r="VHN1688" s="1740"/>
      <c r="VHO1688" s="1740"/>
      <c r="VHP1688" s="1740"/>
      <c r="VHQ1688" s="1740"/>
      <c r="VHR1688" s="1740"/>
      <c r="VHS1688" s="1740"/>
      <c r="VHT1688" s="1740"/>
      <c r="VHU1688" s="1740"/>
      <c r="VHV1688" s="1740"/>
      <c r="VHW1688" s="1740"/>
      <c r="VHX1688" s="1740"/>
      <c r="VHY1688" s="1740"/>
      <c r="VHZ1688" s="1740"/>
      <c r="VIA1688" s="1740"/>
      <c r="VIB1688" s="1740"/>
      <c r="VIC1688" s="1740"/>
      <c r="VID1688" s="1740"/>
      <c r="VIE1688" s="1740"/>
      <c r="VIF1688" s="1740"/>
      <c r="VIG1688" s="1740"/>
      <c r="VIH1688" s="1740"/>
      <c r="VII1688" s="1740"/>
      <c r="VIJ1688" s="1740"/>
      <c r="VIK1688" s="1740"/>
      <c r="VIL1688" s="1740"/>
      <c r="VIM1688" s="1740"/>
      <c r="VIN1688" s="1740"/>
      <c r="VIO1688" s="1740"/>
      <c r="VIP1688" s="1740"/>
      <c r="VIQ1688" s="1740"/>
      <c r="VIR1688" s="1740"/>
      <c r="VIS1688" s="1740"/>
      <c r="VIT1688" s="1740"/>
      <c r="VIU1688" s="1740"/>
      <c r="VIV1688" s="1740"/>
      <c r="VIW1688" s="1740"/>
      <c r="VIX1688" s="1740"/>
      <c r="VIY1688" s="1740"/>
      <c r="VIZ1688" s="1740"/>
      <c r="VJA1688" s="1740"/>
      <c r="VJB1688" s="1740"/>
      <c r="VJC1688" s="1740"/>
      <c r="VJD1688" s="1740"/>
      <c r="VJE1688" s="1740"/>
      <c r="VJF1688" s="1740"/>
      <c r="VJG1688" s="1740"/>
      <c r="VJH1688" s="1740"/>
      <c r="VJI1688" s="1740"/>
      <c r="VJJ1688" s="1740"/>
      <c r="VJK1688" s="1740"/>
      <c r="VJL1688" s="1740"/>
      <c r="VJM1688" s="1740"/>
      <c r="VJN1688" s="1740"/>
      <c r="VJO1688" s="1740"/>
      <c r="VJP1688" s="1740"/>
      <c r="VJQ1688" s="1740"/>
      <c r="VJR1688" s="1740"/>
      <c r="VJS1688" s="1740"/>
      <c r="VJT1688" s="1740"/>
      <c r="VJU1688" s="1740"/>
      <c r="VJV1688" s="1740"/>
      <c r="VJW1688" s="1740"/>
      <c r="VJX1688" s="1740"/>
      <c r="VJY1688" s="1740"/>
      <c r="VJZ1688" s="1740"/>
      <c r="VKA1688" s="1740"/>
      <c r="VKB1688" s="1740"/>
      <c r="VKC1688" s="1740"/>
      <c r="VKD1688" s="1740"/>
      <c r="VKE1688" s="1740"/>
      <c r="VKF1688" s="1740"/>
      <c r="VKG1688" s="1740"/>
      <c r="VKH1688" s="1740"/>
      <c r="VKI1688" s="1740"/>
      <c r="VKJ1688" s="1740"/>
      <c r="VKK1688" s="1740"/>
      <c r="VKL1688" s="1740"/>
      <c r="VKM1688" s="1740"/>
      <c r="VKN1688" s="1740"/>
      <c r="VKO1688" s="1740"/>
      <c r="VKP1688" s="1740"/>
      <c r="VKQ1688" s="1740"/>
      <c r="VKR1688" s="1740"/>
      <c r="VKS1688" s="1740"/>
      <c r="VKT1688" s="1740"/>
      <c r="VKU1688" s="1740"/>
      <c r="VKV1688" s="1740"/>
      <c r="VKW1688" s="1740"/>
      <c r="VKX1688" s="1740"/>
      <c r="VKY1688" s="1740"/>
      <c r="VKZ1688" s="1740"/>
      <c r="VLA1688" s="1740"/>
      <c r="VLB1688" s="1740"/>
      <c r="VLC1688" s="1740"/>
      <c r="VLD1688" s="1740"/>
      <c r="VLE1688" s="1740"/>
      <c r="VLF1688" s="1740"/>
      <c r="VLG1688" s="1740"/>
      <c r="VLH1688" s="1740"/>
      <c r="VLI1688" s="1740"/>
      <c r="VLJ1688" s="1740"/>
      <c r="VLK1688" s="1740"/>
      <c r="VLL1688" s="1740"/>
      <c r="VLM1688" s="1740"/>
      <c r="VLN1688" s="1740"/>
      <c r="VLO1688" s="1740"/>
      <c r="VLP1688" s="1740"/>
      <c r="VLQ1688" s="1740"/>
      <c r="VLR1688" s="1740"/>
      <c r="VLS1688" s="1740"/>
      <c r="VLT1688" s="1740"/>
      <c r="VLU1688" s="1740"/>
      <c r="VLV1688" s="1740"/>
      <c r="VLW1688" s="1740"/>
      <c r="VLX1688" s="1740"/>
      <c r="VLY1688" s="1740"/>
      <c r="VLZ1688" s="1740"/>
      <c r="VMA1688" s="1740"/>
      <c r="VMB1688" s="1740"/>
      <c r="VMC1688" s="1740"/>
      <c r="VMD1688" s="1740"/>
      <c r="VME1688" s="1740"/>
      <c r="VMF1688" s="1740"/>
      <c r="VMG1688" s="1740"/>
      <c r="VMH1688" s="1740"/>
      <c r="VMI1688" s="1740"/>
      <c r="VMJ1688" s="1740"/>
      <c r="VMK1688" s="1740"/>
      <c r="VML1688" s="1740"/>
      <c r="VMM1688" s="1740"/>
      <c r="VMN1688" s="1740"/>
      <c r="VMO1688" s="1740"/>
      <c r="VMP1688" s="1740"/>
      <c r="VMQ1688" s="1740"/>
      <c r="VMR1688" s="1740"/>
      <c r="VMS1688" s="1740"/>
      <c r="VMT1688" s="1740"/>
      <c r="VMU1688" s="1740"/>
      <c r="VMV1688" s="1740"/>
      <c r="VMW1688" s="1740"/>
      <c r="VMX1688" s="1740"/>
      <c r="VMY1688" s="1740"/>
      <c r="VMZ1688" s="1740"/>
      <c r="VNA1688" s="1740"/>
      <c r="VNB1688" s="1740"/>
      <c r="VNC1688" s="1740"/>
      <c r="VND1688" s="1740"/>
      <c r="VNE1688" s="1740"/>
      <c r="VNF1688" s="1740"/>
      <c r="VNG1688" s="1740"/>
      <c r="VNH1688" s="1740"/>
      <c r="VNI1688" s="1740"/>
      <c r="VNJ1688" s="1740"/>
      <c r="VNK1688" s="1740"/>
      <c r="VNL1688" s="1740"/>
      <c r="VNM1688" s="1740"/>
      <c r="VNN1688" s="1740"/>
      <c r="VNO1688" s="1740"/>
      <c r="VNP1688" s="1740"/>
      <c r="VNQ1688" s="1740"/>
      <c r="VNR1688" s="1740"/>
      <c r="VNS1688" s="1740"/>
      <c r="VNT1688" s="1740"/>
      <c r="VNU1688" s="1740"/>
      <c r="VNV1688" s="1740"/>
      <c r="VNW1688" s="1740"/>
      <c r="VNX1688" s="1740"/>
      <c r="VNY1688" s="1740"/>
      <c r="VNZ1688" s="1740"/>
      <c r="VOA1688" s="1740"/>
      <c r="VOB1688" s="1740"/>
      <c r="VOC1688" s="1740"/>
      <c r="VOD1688" s="1740"/>
      <c r="VOE1688" s="1740"/>
      <c r="VOF1688" s="1740"/>
      <c r="VOG1688" s="1740"/>
      <c r="VOH1688" s="1740"/>
      <c r="VOI1688" s="1740"/>
      <c r="VOJ1688" s="1740"/>
      <c r="VOK1688" s="1740"/>
      <c r="VOL1688" s="1740"/>
      <c r="VOM1688" s="1740"/>
      <c r="VON1688" s="1740"/>
      <c r="VOO1688" s="1740"/>
      <c r="VOP1688" s="1740"/>
      <c r="VOQ1688" s="1740"/>
      <c r="VOR1688" s="1740"/>
      <c r="VOS1688" s="1740"/>
      <c r="VOT1688" s="1740"/>
      <c r="VOU1688" s="1740"/>
      <c r="VOV1688" s="1740"/>
      <c r="VOW1688" s="1740"/>
      <c r="VOX1688" s="1740"/>
      <c r="VOY1688" s="1740"/>
      <c r="VOZ1688" s="1740"/>
      <c r="VPA1688" s="1740"/>
      <c r="VPB1688" s="1740"/>
      <c r="VPC1688" s="1740"/>
      <c r="VPD1688" s="1740"/>
      <c r="VPE1688" s="1740"/>
      <c r="VPF1688" s="1740"/>
      <c r="VPG1688" s="1740"/>
      <c r="VPH1688" s="1740"/>
      <c r="VPI1688" s="1740"/>
      <c r="VPJ1688" s="1740"/>
      <c r="VPK1688" s="1740"/>
      <c r="VPL1688" s="1740"/>
      <c r="VPM1688" s="1740"/>
      <c r="VPN1688" s="1740"/>
      <c r="VPO1688" s="1740"/>
      <c r="VPP1688" s="1740"/>
      <c r="VPQ1688" s="1740"/>
      <c r="VPR1688" s="1740"/>
      <c r="VPS1688" s="1740"/>
      <c r="VPT1688" s="1740"/>
      <c r="VPU1688" s="1740"/>
      <c r="VPV1688" s="1740"/>
      <c r="VPW1688" s="1740"/>
      <c r="VPX1688" s="1740"/>
      <c r="VPY1688" s="1740"/>
      <c r="VPZ1688" s="1740"/>
      <c r="VQA1688" s="1740"/>
      <c r="VQB1688" s="1740"/>
      <c r="VQC1688" s="1740"/>
      <c r="VQD1688" s="1740"/>
      <c r="VQE1688" s="1740"/>
      <c r="VQF1688" s="1740"/>
      <c r="VQG1688" s="1740"/>
      <c r="VQH1688" s="1740"/>
      <c r="VQI1688" s="1740"/>
      <c r="VQJ1688" s="1740"/>
      <c r="VQK1688" s="1740"/>
      <c r="VQL1688" s="1740"/>
      <c r="VQM1688" s="1740"/>
      <c r="VQN1688" s="1740"/>
      <c r="VQO1688" s="1740"/>
      <c r="VQP1688" s="1740"/>
      <c r="VQQ1688" s="1740"/>
      <c r="VQR1688" s="1740"/>
      <c r="VQS1688" s="1740"/>
      <c r="VQT1688" s="1740"/>
      <c r="VQU1688" s="1740"/>
      <c r="VQV1688" s="1740"/>
      <c r="VQW1688" s="1740"/>
      <c r="VQX1688" s="1740"/>
      <c r="VQY1688" s="1740"/>
      <c r="VQZ1688" s="1740"/>
      <c r="VRA1688" s="1740"/>
      <c r="VRB1688" s="1740"/>
      <c r="VRC1688" s="1740"/>
      <c r="VRD1688" s="1740"/>
      <c r="VRE1688" s="1740"/>
      <c r="VRF1688" s="1740"/>
      <c r="VRG1688" s="1740"/>
      <c r="VRH1688" s="1740"/>
      <c r="VRI1688" s="1740"/>
      <c r="VRJ1688" s="1740"/>
      <c r="VRK1688" s="1740"/>
      <c r="VRL1688" s="1740"/>
      <c r="VRM1688" s="1740"/>
      <c r="VRN1688" s="1740"/>
      <c r="VRO1688" s="1740"/>
      <c r="VRP1688" s="1740"/>
      <c r="VRQ1688" s="1740"/>
      <c r="VRR1688" s="1740"/>
      <c r="VRS1688" s="1740"/>
      <c r="VRT1688" s="1740"/>
      <c r="VRU1688" s="1740"/>
      <c r="VRV1688" s="1740"/>
      <c r="VRW1688" s="1740"/>
      <c r="VRX1688" s="1740"/>
      <c r="VRY1688" s="1740"/>
      <c r="VRZ1688" s="1740"/>
      <c r="VSA1688" s="1740"/>
      <c r="VSB1688" s="1740"/>
      <c r="VSC1688" s="1740"/>
      <c r="VSD1688" s="1740"/>
      <c r="VSE1688" s="1740"/>
      <c r="VSF1688" s="1740"/>
      <c r="VSG1688" s="1740"/>
      <c r="VSH1688" s="1740"/>
      <c r="VSI1688" s="1740"/>
      <c r="VSJ1688" s="1740"/>
      <c r="VSK1688" s="1740"/>
      <c r="VSL1688" s="1740"/>
      <c r="VSM1688" s="1740"/>
      <c r="VSN1688" s="1740"/>
      <c r="VSO1688" s="1740"/>
      <c r="VSP1688" s="1740"/>
      <c r="VSQ1688" s="1740"/>
      <c r="VSR1688" s="1740"/>
      <c r="VSS1688" s="1740"/>
      <c r="VST1688" s="1740"/>
      <c r="VSU1688" s="1740"/>
      <c r="VSV1688" s="1740"/>
      <c r="VSW1688" s="1740"/>
      <c r="VSX1688" s="1740"/>
      <c r="VSY1688" s="1740"/>
      <c r="VSZ1688" s="1740"/>
      <c r="VTA1688" s="1740"/>
      <c r="VTB1688" s="1740"/>
      <c r="VTC1688" s="1740"/>
      <c r="VTD1688" s="1740"/>
      <c r="VTE1688" s="1740"/>
      <c r="VTF1688" s="1740"/>
      <c r="VTG1688" s="1740"/>
      <c r="VTH1688" s="1740"/>
      <c r="VTI1688" s="1740"/>
      <c r="VTJ1688" s="1740"/>
      <c r="VTK1688" s="1740"/>
      <c r="VTL1688" s="1740"/>
      <c r="VTM1688" s="1740"/>
      <c r="VTN1688" s="1740"/>
      <c r="VTO1688" s="1740"/>
      <c r="VTP1688" s="1740"/>
      <c r="VTQ1688" s="1740"/>
      <c r="VTR1688" s="1740"/>
      <c r="VTS1688" s="1740"/>
      <c r="VTT1688" s="1740"/>
      <c r="VTU1688" s="1740"/>
      <c r="VTV1688" s="1740"/>
      <c r="VTW1688" s="1740"/>
      <c r="VTX1688" s="1740"/>
      <c r="VTY1688" s="1740"/>
      <c r="VTZ1688" s="1740"/>
      <c r="VUA1688" s="1740"/>
      <c r="VUB1688" s="1740"/>
      <c r="VUC1688" s="1740"/>
      <c r="VUD1688" s="1740"/>
      <c r="VUE1688" s="1740"/>
      <c r="VUF1688" s="1740"/>
      <c r="VUG1688" s="1740"/>
      <c r="VUH1688" s="1740"/>
      <c r="VUI1688" s="1740"/>
      <c r="VUJ1688" s="1740"/>
      <c r="VUK1688" s="1740"/>
      <c r="VUL1688" s="1740"/>
      <c r="VUM1688" s="1740"/>
      <c r="VUN1688" s="1740"/>
      <c r="VUO1688" s="1740"/>
      <c r="VUP1688" s="1740"/>
      <c r="VUQ1688" s="1740"/>
      <c r="VUR1688" s="1740"/>
      <c r="VUS1688" s="1740"/>
      <c r="VUT1688" s="1740"/>
      <c r="VUU1688" s="1740"/>
      <c r="VUV1688" s="1740"/>
      <c r="VUW1688" s="1740"/>
      <c r="VUX1688" s="1740"/>
      <c r="VUY1688" s="1740"/>
      <c r="VUZ1688" s="1740"/>
      <c r="VVA1688" s="1740"/>
      <c r="VVB1688" s="1740"/>
      <c r="VVC1688" s="1740"/>
      <c r="VVD1688" s="1740"/>
      <c r="VVE1688" s="1740"/>
      <c r="VVF1688" s="1740"/>
      <c r="VVG1688" s="1740"/>
      <c r="VVH1688" s="1740"/>
      <c r="VVI1688" s="1740"/>
      <c r="VVJ1688" s="1740"/>
      <c r="VVK1688" s="1740"/>
      <c r="VVL1688" s="1740"/>
      <c r="VVM1688" s="1740"/>
      <c r="VVN1688" s="1740"/>
      <c r="VVO1688" s="1740"/>
      <c r="VVP1688" s="1740"/>
      <c r="VVQ1688" s="1740"/>
      <c r="VVR1688" s="1740"/>
      <c r="VVS1688" s="1740"/>
      <c r="VVT1688" s="1740"/>
      <c r="VVU1688" s="1740"/>
      <c r="VVV1688" s="1740"/>
      <c r="VVW1688" s="1740"/>
      <c r="VVX1688" s="1740"/>
      <c r="VVY1688" s="1740"/>
      <c r="VVZ1688" s="1740"/>
      <c r="VWA1688" s="1740"/>
      <c r="VWB1688" s="1740"/>
      <c r="VWC1688" s="1740"/>
      <c r="VWD1688" s="1740"/>
      <c r="VWE1688" s="1740"/>
      <c r="VWF1688" s="1740"/>
      <c r="VWG1688" s="1740"/>
      <c r="VWH1688" s="1740"/>
      <c r="VWI1688" s="1740"/>
      <c r="VWJ1688" s="1740"/>
      <c r="VWK1688" s="1740"/>
      <c r="VWL1688" s="1740"/>
      <c r="VWM1688" s="1740"/>
      <c r="VWN1688" s="1740"/>
      <c r="VWO1688" s="1740"/>
      <c r="VWP1688" s="1740"/>
      <c r="VWQ1688" s="1740"/>
      <c r="VWR1688" s="1740"/>
      <c r="VWS1688" s="1740"/>
      <c r="VWT1688" s="1740"/>
      <c r="VWU1688" s="1740"/>
      <c r="VWV1688" s="1740"/>
      <c r="VWW1688" s="1740"/>
      <c r="VWX1688" s="1740"/>
      <c r="VWY1688" s="1740"/>
      <c r="VWZ1688" s="1740"/>
      <c r="VXA1688" s="1740"/>
      <c r="VXB1688" s="1740"/>
      <c r="VXC1688" s="1740"/>
      <c r="VXD1688" s="1740"/>
      <c r="VXE1688" s="1740"/>
      <c r="VXF1688" s="1740"/>
      <c r="VXG1688" s="1740"/>
      <c r="VXH1688" s="1740"/>
      <c r="VXI1688" s="1740"/>
      <c r="VXJ1688" s="1740"/>
      <c r="VXK1688" s="1740"/>
      <c r="VXL1688" s="1740"/>
      <c r="VXM1688" s="1740"/>
      <c r="VXN1688" s="1740"/>
      <c r="VXO1688" s="1740"/>
      <c r="VXP1688" s="1740"/>
      <c r="VXQ1688" s="1740"/>
      <c r="VXR1688" s="1740"/>
      <c r="VXS1688" s="1740"/>
      <c r="VXT1688" s="1740"/>
      <c r="VXU1688" s="1740"/>
      <c r="VXV1688" s="1740"/>
      <c r="VXW1688" s="1740"/>
      <c r="VXX1688" s="1740"/>
      <c r="VXY1688" s="1740"/>
      <c r="VXZ1688" s="1740"/>
      <c r="VYA1688" s="1740"/>
      <c r="VYB1688" s="1740"/>
      <c r="VYC1688" s="1740"/>
      <c r="VYD1688" s="1740"/>
      <c r="VYE1688" s="1740"/>
      <c r="VYF1688" s="1740"/>
      <c r="VYG1688" s="1740"/>
      <c r="VYH1688" s="1740"/>
      <c r="VYI1688" s="1740"/>
      <c r="VYJ1688" s="1740"/>
      <c r="VYK1688" s="1740"/>
      <c r="VYL1688" s="1740"/>
      <c r="VYM1688" s="1740"/>
      <c r="VYN1688" s="1740"/>
      <c r="VYO1688" s="1740"/>
      <c r="VYP1688" s="1740"/>
      <c r="VYQ1688" s="1740"/>
      <c r="VYR1688" s="1740"/>
      <c r="VYS1688" s="1740"/>
      <c r="VYT1688" s="1740"/>
      <c r="VYU1688" s="1740"/>
      <c r="VYV1688" s="1740"/>
      <c r="VYW1688" s="1740"/>
      <c r="VYX1688" s="1740"/>
      <c r="VYY1688" s="1740"/>
      <c r="VYZ1688" s="1740"/>
      <c r="VZA1688" s="1740"/>
      <c r="VZB1688" s="1740"/>
      <c r="VZC1688" s="1740"/>
      <c r="VZD1688" s="1740"/>
      <c r="VZE1688" s="1740"/>
      <c r="VZF1688" s="1740"/>
      <c r="VZG1688" s="1740"/>
      <c r="VZH1688" s="1740"/>
      <c r="VZI1688" s="1740"/>
      <c r="VZJ1688" s="1740"/>
      <c r="VZK1688" s="1740"/>
      <c r="VZL1688" s="1740"/>
      <c r="VZM1688" s="1740"/>
      <c r="VZN1688" s="1740"/>
      <c r="VZO1688" s="1740"/>
      <c r="VZP1688" s="1740"/>
      <c r="VZQ1688" s="1740"/>
      <c r="VZR1688" s="1740"/>
      <c r="VZS1688" s="1740"/>
      <c r="VZT1688" s="1740"/>
      <c r="VZU1688" s="1740"/>
      <c r="VZV1688" s="1740"/>
      <c r="VZW1688" s="1740"/>
      <c r="VZX1688" s="1740"/>
      <c r="VZY1688" s="1740"/>
      <c r="VZZ1688" s="1740"/>
      <c r="WAA1688" s="1740"/>
      <c r="WAB1688" s="1740"/>
      <c r="WAC1688" s="1740"/>
      <c r="WAD1688" s="1740"/>
      <c r="WAE1688" s="1740"/>
      <c r="WAF1688" s="1740"/>
      <c r="WAG1688" s="1740"/>
      <c r="WAH1688" s="1740"/>
      <c r="WAI1688" s="1740"/>
      <c r="WAJ1688" s="1740"/>
      <c r="WAK1688" s="1740"/>
      <c r="WAL1688" s="1740"/>
      <c r="WAM1688" s="1740"/>
      <c r="WAN1688" s="1740"/>
      <c r="WAO1688" s="1740"/>
      <c r="WAP1688" s="1740"/>
      <c r="WAQ1688" s="1740"/>
      <c r="WAR1688" s="1740"/>
      <c r="WAS1688" s="1740"/>
      <c r="WAT1688" s="1740"/>
      <c r="WAU1688" s="1740"/>
      <c r="WAV1688" s="1740"/>
      <c r="WAW1688" s="1740"/>
      <c r="WAX1688" s="1740"/>
      <c r="WAY1688" s="1740"/>
      <c r="WAZ1688" s="1740"/>
      <c r="WBA1688" s="1740"/>
      <c r="WBB1688" s="1740"/>
      <c r="WBC1688" s="1740"/>
      <c r="WBD1688" s="1740"/>
      <c r="WBE1688" s="1740"/>
      <c r="WBF1688" s="1740"/>
      <c r="WBG1688" s="1740"/>
      <c r="WBH1688" s="1740"/>
      <c r="WBI1688" s="1740"/>
      <c r="WBJ1688" s="1740"/>
      <c r="WBK1688" s="1740"/>
      <c r="WBL1688" s="1740"/>
      <c r="WBM1688" s="1740"/>
      <c r="WBN1688" s="1740"/>
      <c r="WBO1688" s="1740"/>
      <c r="WBP1688" s="1740"/>
      <c r="WBQ1688" s="1740"/>
      <c r="WBR1688" s="1740"/>
      <c r="WBS1688" s="1740"/>
      <c r="WBT1688" s="1740"/>
      <c r="WBU1688" s="1740"/>
      <c r="WBV1688" s="1740"/>
      <c r="WBW1688" s="1740"/>
      <c r="WBX1688" s="1740"/>
      <c r="WBY1688" s="1740"/>
      <c r="WBZ1688" s="1740"/>
      <c r="WCA1688" s="1740"/>
      <c r="WCB1688" s="1740"/>
      <c r="WCC1688" s="1740"/>
      <c r="WCD1688" s="1740"/>
      <c r="WCE1688" s="1740"/>
      <c r="WCF1688" s="1740"/>
      <c r="WCG1688" s="1740"/>
      <c r="WCH1688" s="1740"/>
      <c r="WCI1688" s="1740"/>
      <c r="WCJ1688" s="1740"/>
      <c r="WCK1688" s="1740"/>
      <c r="WCL1688" s="1740"/>
      <c r="WCM1688" s="1740"/>
      <c r="WCN1688" s="1740"/>
      <c r="WCO1688" s="1740"/>
      <c r="WCP1688" s="1740"/>
      <c r="WCQ1688" s="1740"/>
      <c r="WCR1688" s="1740"/>
      <c r="WCS1688" s="1740"/>
      <c r="WCT1688" s="1740"/>
      <c r="WCU1688" s="1740"/>
      <c r="WCV1688" s="1740"/>
      <c r="WCW1688" s="1740"/>
      <c r="WCX1688" s="1740"/>
      <c r="WCY1688" s="1740"/>
      <c r="WCZ1688" s="1740"/>
      <c r="WDA1688" s="1740"/>
      <c r="WDB1688" s="1740"/>
      <c r="WDC1688" s="1740"/>
      <c r="WDD1688" s="1740"/>
      <c r="WDE1688" s="1740"/>
      <c r="WDF1688" s="1740"/>
      <c r="WDG1688" s="1740"/>
      <c r="WDH1688" s="1740"/>
      <c r="WDI1688" s="1740"/>
      <c r="WDJ1688" s="1740"/>
      <c r="WDK1688" s="1740"/>
      <c r="WDL1688" s="1740"/>
      <c r="WDM1688" s="1740"/>
      <c r="WDN1688" s="1740"/>
      <c r="WDO1688" s="1740"/>
      <c r="WDP1688" s="1740"/>
      <c r="WDQ1688" s="1740"/>
      <c r="WDR1688" s="1740"/>
      <c r="WDS1688" s="1740"/>
      <c r="WDT1688" s="1740"/>
      <c r="WDU1688" s="1740"/>
      <c r="WDV1688" s="1740"/>
      <c r="WDW1688" s="1740"/>
      <c r="WDX1688" s="1740"/>
      <c r="WDY1688" s="1740"/>
      <c r="WDZ1688" s="1740"/>
      <c r="WEA1688" s="1740"/>
      <c r="WEB1688" s="1740"/>
      <c r="WEC1688" s="1740"/>
      <c r="WED1688" s="1740"/>
      <c r="WEE1688" s="1740"/>
      <c r="WEF1688" s="1740"/>
      <c r="WEG1688" s="1740"/>
      <c r="WEH1688" s="1740"/>
      <c r="WEI1688" s="1740"/>
      <c r="WEJ1688" s="1740"/>
      <c r="WEK1688" s="1740"/>
      <c r="WEL1688" s="1740"/>
      <c r="WEM1688" s="1740"/>
      <c r="WEN1688" s="1740"/>
      <c r="WEO1688" s="1740"/>
      <c r="WEP1688" s="1740"/>
      <c r="WEQ1688" s="1740"/>
      <c r="WER1688" s="1740"/>
      <c r="WES1688" s="1740"/>
      <c r="WET1688" s="1740"/>
      <c r="WEU1688" s="1740"/>
      <c r="WEV1688" s="1740"/>
      <c r="WEW1688" s="1740"/>
      <c r="WEX1688" s="1740"/>
      <c r="WEY1688" s="1740"/>
      <c r="WEZ1688" s="1740"/>
      <c r="WFA1688" s="1740"/>
      <c r="WFB1688" s="1740"/>
      <c r="WFC1688" s="1740"/>
      <c r="WFD1688" s="1740"/>
      <c r="WFE1688" s="1740"/>
      <c r="WFF1688" s="1740"/>
      <c r="WFG1688" s="1740"/>
      <c r="WFH1688" s="1740"/>
      <c r="WFI1688" s="1740"/>
      <c r="WFJ1688" s="1740"/>
      <c r="WFK1688" s="1740"/>
      <c r="WFL1688" s="1740"/>
      <c r="WFM1688" s="1740"/>
      <c r="WFN1688" s="1740"/>
      <c r="WFO1688" s="1740"/>
      <c r="WFP1688" s="1740"/>
      <c r="WFQ1688" s="1740"/>
      <c r="WFR1688" s="1740"/>
      <c r="WFS1688" s="1740"/>
      <c r="WFT1688" s="1740"/>
      <c r="WFU1688" s="1740"/>
      <c r="WFV1688" s="1740"/>
      <c r="WFW1688" s="1740"/>
      <c r="WFX1688" s="1740"/>
      <c r="WFY1688" s="1740"/>
      <c r="WFZ1688" s="1740"/>
      <c r="WGA1688" s="1740"/>
      <c r="WGB1688" s="1740"/>
      <c r="WGC1688" s="1740"/>
      <c r="WGD1688" s="1740"/>
      <c r="WGE1688" s="1740"/>
      <c r="WGF1688" s="1740"/>
      <c r="WGG1688" s="1740"/>
      <c r="WGH1688" s="1740"/>
      <c r="WGI1688" s="1740"/>
      <c r="WGJ1688" s="1740"/>
      <c r="WGK1688" s="1740"/>
      <c r="WGL1688" s="1740"/>
      <c r="WGM1688" s="1740"/>
      <c r="WGN1688" s="1740"/>
      <c r="WGO1688" s="1740"/>
      <c r="WGP1688" s="1740"/>
      <c r="WGQ1688" s="1740"/>
      <c r="WGR1688" s="1740"/>
      <c r="WGS1688" s="1740"/>
      <c r="WGT1688" s="1740"/>
      <c r="WGU1688" s="1740"/>
      <c r="WGV1688" s="1740"/>
      <c r="WGW1688" s="1740"/>
      <c r="WGX1688" s="1740"/>
      <c r="WGY1688" s="1740"/>
      <c r="WGZ1688" s="1740"/>
      <c r="WHA1688" s="1740"/>
      <c r="WHB1688" s="1740"/>
      <c r="WHC1688" s="1740"/>
      <c r="WHD1688" s="1740"/>
      <c r="WHE1688" s="1740"/>
      <c r="WHF1688" s="1740"/>
      <c r="WHG1688" s="1740"/>
      <c r="WHH1688" s="1740"/>
      <c r="WHI1688" s="1740"/>
      <c r="WHJ1688" s="1740"/>
      <c r="WHK1688" s="1740"/>
      <c r="WHL1688" s="1740"/>
      <c r="WHM1688" s="1740"/>
      <c r="WHN1688" s="1740"/>
      <c r="WHO1688" s="1740"/>
      <c r="WHP1688" s="1740"/>
      <c r="WHQ1688" s="1740"/>
      <c r="WHR1688" s="1740"/>
      <c r="WHS1688" s="1740"/>
      <c r="WHT1688" s="1740"/>
      <c r="WHU1688" s="1740"/>
      <c r="WHV1688" s="1740"/>
      <c r="WHW1688" s="1740"/>
      <c r="WHX1688" s="1740"/>
      <c r="WHY1688" s="1740"/>
      <c r="WHZ1688" s="1740"/>
      <c r="WIA1688" s="1740"/>
      <c r="WIB1688" s="1740"/>
      <c r="WIC1688" s="1740"/>
      <c r="WID1688" s="1740"/>
      <c r="WIE1688" s="1740"/>
      <c r="WIF1688" s="1740"/>
      <c r="WIG1688" s="1740"/>
      <c r="WIH1688" s="1740"/>
      <c r="WII1688" s="1740"/>
      <c r="WIJ1688" s="1740"/>
      <c r="WIK1688" s="1740"/>
      <c r="WIL1688" s="1740"/>
      <c r="WIM1688" s="1740"/>
      <c r="WIN1688" s="1740"/>
      <c r="WIO1688" s="1740"/>
      <c r="WIP1688" s="1740"/>
      <c r="WIQ1688" s="1740"/>
      <c r="WIR1688" s="1740"/>
      <c r="WIS1688" s="1740"/>
      <c r="WIT1688" s="1740"/>
      <c r="WIU1688" s="1740"/>
      <c r="WIV1688" s="1740"/>
      <c r="WIW1688" s="1740"/>
      <c r="WIX1688" s="1740"/>
      <c r="WIY1688" s="1740"/>
      <c r="WIZ1688" s="1740"/>
      <c r="WJA1688" s="1740"/>
      <c r="WJB1688" s="1740"/>
      <c r="WJC1688" s="1740"/>
      <c r="WJD1688" s="1740"/>
      <c r="WJE1688" s="1740"/>
      <c r="WJF1688" s="1740"/>
      <c r="WJG1688" s="1740"/>
      <c r="WJH1688" s="1740"/>
      <c r="WJI1688" s="1740"/>
      <c r="WJJ1688" s="1740"/>
      <c r="WJK1688" s="1740"/>
      <c r="WJL1688" s="1740"/>
      <c r="WJM1688" s="1740"/>
      <c r="WJN1688" s="1740"/>
      <c r="WJO1688" s="1740"/>
      <c r="WJP1688" s="1740"/>
      <c r="WJQ1688" s="1740"/>
      <c r="WJR1688" s="1740"/>
      <c r="WJS1688" s="1740"/>
      <c r="WJT1688" s="1740"/>
      <c r="WJU1688" s="1740"/>
      <c r="WJV1688" s="1740"/>
      <c r="WJW1688" s="1740"/>
      <c r="WJX1688" s="1740"/>
      <c r="WJY1688" s="1740"/>
      <c r="WJZ1688" s="1740"/>
      <c r="WKA1688" s="1740"/>
      <c r="WKB1688" s="1740"/>
      <c r="WKC1688" s="1740"/>
      <c r="WKD1688" s="1740"/>
      <c r="WKE1688" s="1740"/>
      <c r="WKF1688" s="1740"/>
      <c r="WKG1688" s="1740"/>
      <c r="WKH1688" s="1740"/>
      <c r="WKI1688" s="1740"/>
      <c r="WKJ1688" s="1740"/>
      <c r="WKK1688" s="1740"/>
      <c r="WKL1688" s="1740"/>
      <c r="WKM1688" s="1740"/>
      <c r="WKN1688" s="1740"/>
      <c r="WKO1688" s="1740"/>
      <c r="WKP1688" s="1740"/>
      <c r="WKQ1688" s="1740"/>
      <c r="WKR1688" s="1740"/>
      <c r="WKS1688" s="1740"/>
      <c r="WKT1688" s="1740"/>
      <c r="WKU1688" s="1740"/>
      <c r="WKV1688" s="1740"/>
      <c r="WKW1688" s="1740"/>
      <c r="WKX1688" s="1740"/>
      <c r="WKY1688" s="1740"/>
      <c r="WKZ1688" s="1740"/>
      <c r="WLA1688" s="1740"/>
      <c r="WLB1688" s="1740"/>
      <c r="WLC1688" s="1740"/>
      <c r="WLD1688" s="1740"/>
      <c r="WLE1688" s="1740"/>
      <c r="WLF1688" s="1740"/>
      <c r="WLG1688" s="1740"/>
      <c r="WLH1688" s="1740"/>
      <c r="WLI1688" s="1740"/>
      <c r="WLJ1688" s="1740"/>
      <c r="WLK1688" s="1740"/>
      <c r="WLL1688" s="1740"/>
      <c r="WLM1688" s="1740"/>
      <c r="WLN1688" s="1740"/>
      <c r="WLO1688" s="1740"/>
      <c r="WLP1688" s="1740"/>
      <c r="WLQ1688" s="1740"/>
      <c r="WLR1688" s="1740"/>
      <c r="WLS1688" s="1740"/>
      <c r="WLT1688" s="1740"/>
      <c r="WLU1688" s="1740"/>
      <c r="WLV1688" s="1740"/>
      <c r="WLW1688" s="1740"/>
      <c r="WLX1688" s="1740"/>
      <c r="WLY1688" s="1740"/>
      <c r="WLZ1688" s="1740"/>
      <c r="WMA1688" s="1740"/>
      <c r="WMB1688" s="1740"/>
      <c r="WMC1688" s="1740"/>
      <c r="WMD1688" s="1740"/>
      <c r="WME1688" s="1740"/>
      <c r="WMF1688" s="1740"/>
      <c r="WMG1688" s="1740"/>
      <c r="WMH1688" s="1740"/>
      <c r="WMI1688" s="1740"/>
      <c r="WMJ1688" s="1740"/>
      <c r="WMK1688" s="1740"/>
      <c r="WML1688" s="1740"/>
      <c r="WMM1688" s="1740"/>
      <c r="WMN1688" s="1740"/>
      <c r="WMO1688" s="1740"/>
      <c r="WMP1688" s="1740"/>
      <c r="WMQ1688" s="1740"/>
      <c r="WMR1688" s="1740"/>
      <c r="WMS1688" s="1740"/>
      <c r="WMT1688" s="1740"/>
      <c r="WMU1688" s="1740"/>
      <c r="WMV1688" s="1740"/>
      <c r="WMW1688" s="1740"/>
      <c r="WMX1688" s="1740"/>
      <c r="WMY1688" s="1740"/>
      <c r="WMZ1688" s="1740"/>
      <c r="WNA1688" s="1740"/>
      <c r="WNB1688" s="1740"/>
      <c r="WNC1688" s="1740"/>
      <c r="WND1688" s="1740"/>
      <c r="WNE1688" s="1740"/>
      <c r="WNF1688" s="1740"/>
      <c r="WNG1688" s="1740"/>
      <c r="WNH1688" s="1740"/>
      <c r="WNI1688" s="1740"/>
      <c r="WNJ1688" s="1740"/>
      <c r="WNK1688" s="1740"/>
      <c r="WNL1688" s="1740"/>
      <c r="WNM1688" s="1740"/>
      <c r="WNN1688" s="1740"/>
      <c r="WNO1688" s="1740"/>
      <c r="WNP1688" s="1740"/>
      <c r="WNQ1688" s="1740"/>
      <c r="WNR1688" s="1740"/>
      <c r="WNS1688" s="1740"/>
      <c r="WNT1688" s="1740"/>
      <c r="WNU1688" s="1740"/>
      <c r="WNV1688" s="1740"/>
      <c r="WNW1688" s="1740"/>
      <c r="WNX1688" s="1740"/>
      <c r="WNY1688" s="1740"/>
      <c r="WNZ1688" s="1740"/>
      <c r="WOA1688" s="1740"/>
      <c r="WOB1688" s="1740"/>
      <c r="WOC1688" s="1740"/>
      <c r="WOD1688" s="1740"/>
      <c r="WOE1688" s="1740"/>
      <c r="WOF1688" s="1740"/>
      <c r="WOG1688" s="1740"/>
      <c r="WOH1688" s="1740"/>
      <c r="WOI1688" s="1740"/>
      <c r="WOJ1688" s="1740"/>
      <c r="WOK1688" s="1740"/>
      <c r="WOL1688" s="1740"/>
      <c r="WOM1688" s="1740"/>
      <c r="WON1688" s="1740"/>
      <c r="WOO1688" s="1740"/>
      <c r="WOP1688" s="1740"/>
      <c r="WOQ1688" s="1740"/>
      <c r="WOR1688" s="1740"/>
      <c r="WOS1688" s="1740"/>
      <c r="WOT1688" s="1740"/>
      <c r="WOU1688" s="1740"/>
      <c r="WOV1688" s="1740"/>
      <c r="WOW1688" s="1740"/>
      <c r="WOX1688" s="1740"/>
      <c r="WOY1688" s="1740"/>
      <c r="WOZ1688" s="1740"/>
      <c r="WPA1688" s="1740"/>
      <c r="WPB1688" s="1740"/>
      <c r="WPC1688" s="1740"/>
      <c r="WPD1688" s="1740"/>
      <c r="WPE1688" s="1740"/>
      <c r="WPF1688" s="1740"/>
      <c r="WPG1688" s="1740"/>
      <c r="WPH1688" s="1740"/>
      <c r="WPI1688" s="1740"/>
      <c r="WPJ1688" s="1740"/>
      <c r="WPK1688" s="1740"/>
      <c r="WPL1688" s="1740"/>
      <c r="WPM1688" s="1740"/>
      <c r="WPN1688" s="1740"/>
      <c r="WPO1688" s="1740"/>
      <c r="WPP1688" s="1740"/>
      <c r="WPQ1688" s="1740"/>
      <c r="WPR1688" s="1740"/>
      <c r="WPS1688" s="1740"/>
      <c r="WPT1688" s="1740"/>
      <c r="WPU1688" s="1740"/>
      <c r="WPV1688" s="1740"/>
      <c r="WPW1688" s="1740"/>
      <c r="WPX1688" s="1740"/>
      <c r="WPY1688" s="1740"/>
      <c r="WPZ1688" s="1740"/>
      <c r="WQA1688" s="1740"/>
      <c r="WQB1688" s="1740"/>
      <c r="WQC1688" s="1740"/>
      <c r="WQD1688" s="1740"/>
      <c r="WQE1688" s="1740"/>
      <c r="WQF1688" s="1740"/>
      <c r="WQG1688" s="1740"/>
      <c r="WQH1688" s="1740"/>
      <c r="WQI1688" s="1740"/>
      <c r="WQJ1688" s="1740"/>
      <c r="WQK1688" s="1740"/>
      <c r="WQL1688" s="1740"/>
      <c r="WQM1688" s="1740"/>
      <c r="WQN1688" s="1740"/>
      <c r="WQO1688" s="1740"/>
      <c r="WQP1688" s="1740"/>
      <c r="WQQ1688" s="1740"/>
      <c r="WQR1688" s="1740"/>
      <c r="WQS1688" s="1740"/>
      <c r="WQT1688" s="1740"/>
      <c r="WQU1688" s="1740"/>
      <c r="WQV1688" s="1740"/>
      <c r="WQW1688" s="1740"/>
      <c r="WQX1688" s="1740"/>
      <c r="WQY1688" s="1740"/>
      <c r="WQZ1688" s="1740"/>
      <c r="WRA1688" s="1740"/>
      <c r="WRB1688" s="1740"/>
      <c r="WRC1688" s="1740"/>
      <c r="WRD1688" s="1740"/>
      <c r="WRE1688" s="1740"/>
      <c r="WRF1688" s="1740"/>
      <c r="WRG1688" s="1740"/>
      <c r="WRH1688" s="1740"/>
      <c r="WRI1688" s="1740"/>
      <c r="WRJ1688" s="1740"/>
      <c r="WRK1688" s="1740"/>
      <c r="WRL1688" s="1740"/>
      <c r="WRM1688" s="1740"/>
      <c r="WRN1688" s="1740"/>
      <c r="WRO1688" s="1740"/>
      <c r="WRP1688" s="1740"/>
      <c r="WRQ1688" s="1740"/>
      <c r="WRR1688" s="1740"/>
      <c r="WRS1688" s="1740"/>
      <c r="WRT1688" s="1740"/>
      <c r="WRU1688" s="1740"/>
      <c r="WRV1688" s="1740"/>
      <c r="WRW1688" s="1740"/>
      <c r="WRX1688" s="1740"/>
      <c r="WRY1688" s="1740"/>
      <c r="WRZ1688" s="1740"/>
      <c r="WSA1688" s="1740"/>
      <c r="WSB1688" s="1740"/>
      <c r="WSC1688" s="1740"/>
      <c r="WSD1688" s="1740"/>
      <c r="WSE1688" s="1740"/>
      <c r="WSF1688" s="1740"/>
      <c r="WSG1688" s="1740"/>
      <c r="WSH1688" s="1740"/>
      <c r="WSI1688" s="1740"/>
      <c r="WSJ1688" s="1740"/>
      <c r="WSK1688" s="1740"/>
      <c r="WSL1688" s="1740"/>
      <c r="WSM1688" s="1740"/>
      <c r="WSN1688" s="1740"/>
      <c r="WSO1688" s="1740"/>
      <c r="WSP1688" s="1740"/>
      <c r="WSQ1688" s="1740"/>
      <c r="WSR1688" s="1740"/>
      <c r="WSS1688" s="1740"/>
      <c r="WST1688" s="1740"/>
      <c r="WSU1688" s="1740"/>
      <c r="WSV1688" s="1740"/>
      <c r="WSW1688" s="1740"/>
      <c r="WSX1688" s="1740"/>
      <c r="WSY1688" s="1740"/>
      <c r="WSZ1688" s="1740"/>
      <c r="WTA1688" s="1740"/>
      <c r="WTB1688" s="1740"/>
      <c r="WTC1688" s="1740"/>
      <c r="WTD1688" s="1740"/>
      <c r="WTE1688" s="1740"/>
      <c r="WTF1688" s="1740"/>
      <c r="WTG1688" s="1740"/>
      <c r="WTH1688" s="1740"/>
      <c r="WTI1688" s="1740"/>
      <c r="WTJ1688" s="1740"/>
      <c r="WTK1688" s="1740"/>
      <c r="WTL1688" s="1740"/>
      <c r="WTM1688" s="1740"/>
      <c r="WTN1688" s="1740"/>
      <c r="WTO1688" s="1740"/>
      <c r="WTP1688" s="1740"/>
      <c r="WTQ1688" s="1740"/>
      <c r="WTR1688" s="1740"/>
      <c r="WTS1688" s="1740"/>
      <c r="WTT1688" s="1740"/>
      <c r="WTU1688" s="1740"/>
      <c r="WTV1688" s="1740"/>
      <c r="WTW1688" s="1740"/>
      <c r="WTX1688" s="1740"/>
      <c r="WTY1688" s="1740"/>
      <c r="WTZ1688" s="1740"/>
      <c r="WUA1688" s="1740"/>
      <c r="WUB1688" s="1740"/>
      <c r="WUC1688" s="1740"/>
      <c r="WUD1688" s="1740"/>
      <c r="WUE1688" s="1740"/>
      <c r="WUF1688" s="1740"/>
      <c r="WUG1688" s="1740"/>
      <c r="WUH1688" s="1740"/>
      <c r="WUI1688" s="1740"/>
      <c r="WUJ1688" s="1740"/>
      <c r="WUK1688" s="1740"/>
      <c r="WUL1688" s="1740"/>
      <c r="WUM1688" s="1740"/>
      <c r="WUN1688" s="1740"/>
      <c r="WUO1688" s="1740"/>
      <c r="WUP1688" s="1740"/>
      <c r="WUQ1688" s="1740"/>
      <c r="WUR1688" s="1740"/>
      <c r="WUS1688" s="1740"/>
      <c r="WUT1688" s="1740"/>
      <c r="WUU1688" s="1740"/>
      <c r="WUV1688" s="1740"/>
      <c r="WUW1688" s="1740"/>
      <c r="WUX1688" s="1740"/>
      <c r="WUY1688" s="1740"/>
      <c r="WUZ1688" s="1740"/>
      <c r="WVA1688" s="1740"/>
      <c r="WVB1688" s="1740"/>
      <c r="WVC1688" s="1740"/>
      <c r="WVD1688" s="1740"/>
      <c r="WVE1688" s="1740"/>
      <c r="WVF1688" s="1740"/>
      <c r="WVG1688" s="1740"/>
      <c r="WVH1688" s="1740"/>
      <c r="WVI1688" s="1740"/>
      <c r="WVJ1688" s="1740"/>
      <c r="WVK1688" s="1740"/>
      <c r="WVL1688" s="1740"/>
      <c r="WVM1688" s="1740"/>
      <c r="WVN1688" s="1740"/>
      <c r="WVO1688" s="1740"/>
      <c r="WVP1688" s="1740"/>
      <c r="WVQ1688" s="1740"/>
      <c r="WVR1688" s="1740"/>
      <c r="WVS1688" s="1740"/>
      <c r="WVT1688" s="1740"/>
      <c r="WVU1688" s="1740"/>
      <c r="WVV1688" s="1740"/>
      <c r="WVW1688" s="1740"/>
      <c r="WVX1688" s="1740"/>
      <c r="WVY1688" s="1740"/>
      <c r="WVZ1688" s="1740"/>
      <c r="WWA1688" s="1740"/>
      <c r="WWB1688" s="1740"/>
      <c r="WWC1688" s="1740"/>
      <c r="WWD1688" s="1740"/>
      <c r="WWE1688" s="1740"/>
      <c r="WWF1688" s="1740"/>
      <c r="WWG1688" s="1740"/>
      <c r="WWH1688" s="1740"/>
      <c r="WWI1688" s="1740"/>
      <c r="WWJ1688" s="1740"/>
      <c r="WWK1688" s="1740"/>
      <c r="WWL1688" s="1740"/>
      <c r="WWM1688" s="1740"/>
      <c r="WWN1688" s="1740"/>
      <c r="WWO1688" s="1740"/>
      <c r="WWP1688" s="1740"/>
      <c r="WWQ1688" s="1740"/>
      <c r="WWR1688" s="1740"/>
      <c r="WWS1688" s="1740"/>
      <c r="WWT1688" s="1740"/>
      <c r="WWU1688" s="1740"/>
      <c r="WWV1688" s="1740"/>
      <c r="WWW1688" s="1740"/>
      <c r="WWX1688" s="1740"/>
      <c r="WWY1688" s="1740"/>
      <c r="WWZ1688" s="1740"/>
      <c r="WXA1688" s="1740"/>
      <c r="WXB1688" s="1740"/>
      <c r="WXC1688" s="1740"/>
      <c r="WXD1688" s="1740"/>
      <c r="WXE1688" s="1740"/>
      <c r="WXF1688" s="1740"/>
      <c r="WXG1688" s="1740"/>
      <c r="WXH1688" s="1740"/>
      <c r="WXI1688" s="1740"/>
      <c r="WXJ1688" s="1740"/>
      <c r="WXK1688" s="1740"/>
      <c r="WXL1688" s="1740"/>
      <c r="WXM1688" s="1740"/>
      <c r="WXN1688" s="1740"/>
      <c r="WXO1688" s="1740"/>
      <c r="WXP1688" s="1740"/>
      <c r="WXQ1688" s="1740"/>
      <c r="WXR1688" s="1740"/>
      <c r="WXS1688" s="1740"/>
      <c r="WXT1688" s="1740"/>
      <c r="WXU1688" s="1740"/>
      <c r="WXV1688" s="1740"/>
      <c r="WXW1688" s="1740"/>
      <c r="WXX1688" s="1740"/>
      <c r="WXY1688" s="1740"/>
      <c r="WXZ1688" s="1740"/>
      <c r="WYA1688" s="1740"/>
      <c r="WYB1688" s="1740"/>
      <c r="WYC1688" s="1740"/>
      <c r="WYD1688" s="1740"/>
      <c r="WYE1688" s="1740"/>
      <c r="WYF1688" s="1740"/>
      <c r="WYG1688" s="1740"/>
      <c r="WYH1688" s="1740"/>
      <c r="WYI1688" s="1740"/>
      <c r="WYJ1688" s="1740"/>
      <c r="WYK1688" s="1740"/>
      <c r="WYL1688" s="1740"/>
      <c r="WYM1688" s="1740"/>
      <c r="WYN1688" s="1740"/>
      <c r="WYO1688" s="1740"/>
      <c r="WYP1688" s="1740"/>
      <c r="WYQ1688" s="1740"/>
      <c r="WYR1688" s="1740"/>
      <c r="WYS1688" s="1740"/>
      <c r="WYT1688" s="1740"/>
      <c r="WYU1688" s="1740"/>
      <c r="WYV1688" s="1740"/>
      <c r="WYW1688" s="1740"/>
      <c r="WYX1688" s="1740"/>
      <c r="WYY1688" s="1740"/>
      <c r="WYZ1688" s="1740"/>
      <c r="WZA1688" s="1740"/>
      <c r="WZB1688" s="1740"/>
      <c r="WZC1688" s="1740"/>
      <c r="WZD1688" s="1740"/>
      <c r="WZE1688" s="1740"/>
      <c r="WZF1688" s="1740"/>
      <c r="WZG1688" s="1740"/>
      <c r="WZH1688" s="1740"/>
      <c r="WZI1688" s="1740"/>
      <c r="WZJ1688" s="1740"/>
      <c r="WZK1688" s="1740"/>
      <c r="WZL1688" s="1740"/>
      <c r="WZM1688" s="1740"/>
      <c r="WZN1688" s="1740"/>
      <c r="WZO1688" s="1740"/>
      <c r="WZP1688" s="1740"/>
      <c r="WZQ1688" s="1740"/>
      <c r="WZR1688" s="1740"/>
      <c r="WZS1688" s="1740"/>
      <c r="WZT1688" s="1740"/>
      <c r="WZU1688" s="1740"/>
      <c r="WZV1688" s="1740"/>
      <c r="WZW1688" s="1740"/>
      <c r="WZX1688" s="1740"/>
      <c r="WZY1688" s="1740"/>
      <c r="WZZ1688" s="1740"/>
      <c r="XAA1688" s="1740"/>
      <c r="XAB1688" s="1740"/>
      <c r="XAC1688" s="1740"/>
      <c r="XAD1688" s="1740"/>
      <c r="XAE1688" s="1740"/>
      <c r="XAF1688" s="1740"/>
      <c r="XAG1688" s="1740"/>
      <c r="XAH1688" s="1740"/>
      <c r="XAI1688" s="1740"/>
      <c r="XAJ1688" s="1740"/>
      <c r="XAK1688" s="1740"/>
      <c r="XAL1688" s="1740"/>
      <c r="XAM1688" s="1740"/>
      <c r="XAN1688" s="1740"/>
      <c r="XAO1688" s="1740"/>
      <c r="XAP1688" s="1740"/>
      <c r="XAQ1688" s="1740"/>
      <c r="XAR1688" s="1740"/>
      <c r="XAS1688" s="1740"/>
      <c r="XAT1688" s="1740"/>
      <c r="XAU1688" s="1740"/>
      <c r="XAV1688" s="1740"/>
      <c r="XAW1688" s="1740"/>
      <c r="XAX1688" s="1740"/>
      <c r="XAY1688" s="1740"/>
      <c r="XAZ1688" s="1740"/>
      <c r="XBA1688" s="1740"/>
      <c r="XBB1688" s="1740"/>
      <c r="XBC1688" s="1740"/>
      <c r="XBD1688" s="1740"/>
      <c r="XBE1688" s="1740"/>
      <c r="XBF1688" s="1740"/>
      <c r="XBG1688" s="1740"/>
      <c r="XBH1688" s="1740"/>
      <c r="XBI1688" s="1740"/>
      <c r="XBJ1688" s="1740"/>
      <c r="XBK1688" s="1740"/>
      <c r="XBL1688" s="1740"/>
      <c r="XBM1688" s="1740"/>
      <c r="XBN1688" s="1740"/>
      <c r="XBO1688" s="1740"/>
      <c r="XBP1688" s="1740"/>
      <c r="XBQ1688" s="1740"/>
      <c r="XBR1688" s="1740"/>
      <c r="XBS1688" s="1740"/>
      <c r="XBT1688" s="1740"/>
      <c r="XBU1688" s="1740"/>
      <c r="XBV1688" s="1740"/>
      <c r="XBW1688" s="1740"/>
      <c r="XBX1688" s="1740"/>
      <c r="XBY1688" s="1740"/>
      <c r="XBZ1688" s="1740"/>
      <c r="XCA1688" s="1740"/>
      <c r="XCB1688" s="1740"/>
      <c r="XCC1688" s="1740"/>
      <c r="XCD1688" s="1740"/>
      <c r="XCE1688" s="1740"/>
      <c r="XCF1688" s="1740"/>
      <c r="XCG1688" s="1740"/>
      <c r="XCH1688" s="1740"/>
      <c r="XCI1688" s="1740"/>
      <c r="XCJ1688" s="1740"/>
      <c r="XCK1688" s="1740"/>
      <c r="XCL1688" s="1740"/>
      <c r="XCM1688" s="1740"/>
      <c r="XCN1688" s="1740"/>
      <c r="XCO1688" s="1740"/>
      <c r="XCP1688" s="1740"/>
      <c r="XCQ1688" s="1740"/>
      <c r="XCR1688" s="1740"/>
      <c r="XCS1688" s="1740"/>
      <c r="XCT1688" s="1740"/>
      <c r="XCU1688" s="1740"/>
      <c r="XCV1688" s="1740"/>
      <c r="XCW1688" s="1740"/>
      <c r="XCX1688" s="1740"/>
      <c r="XCY1688" s="1740"/>
      <c r="XCZ1688" s="1740"/>
      <c r="XDA1688" s="1740"/>
      <c r="XDB1688" s="1740"/>
      <c r="XDC1688" s="1740"/>
      <c r="XDD1688" s="1740"/>
      <c r="XDE1688" s="1740"/>
      <c r="XDF1688" s="1740"/>
      <c r="XDG1688" s="1740"/>
      <c r="XDH1688" s="1740"/>
      <c r="XDI1688" s="1740"/>
      <c r="XDJ1688" s="1740"/>
      <c r="XDK1688" s="1740"/>
      <c r="XDL1688" s="1740"/>
      <c r="XDM1688" s="1740"/>
      <c r="XDN1688" s="1740"/>
      <c r="XDO1688" s="1740"/>
      <c r="XDP1688" s="1740"/>
      <c r="XDQ1688" s="1740"/>
      <c r="XDR1688" s="1740"/>
      <c r="XDS1688" s="1740"/>
      <c r="XDT1688" s="1740"/>
      <c r="XDU1688" s="1740"/>
      <c r="XDV1688" s="1740"/>
      <c r="XDW1688" s="1740"/>
      <c r="XDX1688" s="1740"/>
      <c r="XDY1688" s="1740"/>
      <c r="XDZ1688" s="1740"/>
      <c r="XEA1688" s="1740"/>
      <c r="XEB1688" s="1740"/>
      <c r="XEC1688" s="1740"/>
      <c r="XED1688" s="1740"/>
      <c r="XEE1688" s="1740"/>
      <c r="XEF1688" s="1740"/>
      <c r="XEG1688" s="1740"/>
      <c r="XEH1688" s="1740"/>
      <c r="XEI1688" s="1740"/>
      <c r="XEJ1688" s="1740"/>
      <c r="XEK1688" s="1740"/>
      <c r="XEL1688" s="1740"/>
      <c r="XEM1688" s="1740"/>
      <c r="XEN1688" s="1740"/>
      <c r="XEO1688" s="1740"/>
      <c r="XEP1688" s="1740"/>
      <c r="XEQ1688" s="1740"/>
      <c r="XER1688" s="1740"/>
      <c r="XES1688" s="1740"/>
      <c r="XET1688" s="1740"/>
      <c r="XEU1688" s="1740"/>
      <c r="XEV1688" s="1740"/>
      <c r="XEW1688" s="1740"/>
      <c r="XEX1688" s="1740"/>
      <c r="XEY1688" s="1740"/>
      <c r="XEZ1688" s="1740"/>
      <c r="XFA1688" s="1740"/>
      <c r="XFB1688" s="1740"/>
    </row>
    <row r="1689" spans="1:16382" s="1081" customFormat="1" ht="14.4" hidden="1" outlineLevel="1">
      <c r="A1689" s="1072" t="str">
        <f>A1688</f>
        <v/>
      </c>
      <c r="B1689" s="1295"/>
      <c r="C1689" s="1291"/>
      <c r="D1689" s="1292"/>
      <c r="E1689" s="1301" t="s">
        <v>3399</v>
      </c>
      <c r="F1689" s="1302"/>
      <c r="G1689" s="1303"/>
      <c r="H1689" s="1298"/>
      <c r="I1689" s="1298"/>
      <c r="J1689" s="1399"/>
      <c r="K1689" s="1298"/>
      <c r="L1689" s="1298">
        <f t="shared" si="390"/>
        <v>0</v>
      </c>
      <c r="M1689" s="1298">
        <f>I1689*G1689</f>
        <v>0</v>
      </c>
      <c r="N1689" s="1399">
        <f t="shared" si="395"/>
        <v>0</v>
      </c>
      <c r="O1689" s="1298">
        <f>K1689*G1689</f>
        <v>0</v>
      </c>
      <c r="P1689" s="1437"/>
      <c r="Q1689" s="1300"/>
      <c r="R1689" s="1300"/>
      <c r="S1689" s="1300"/>
    </row>
    <row r="1690" spans="1:16382" s="1081" customFormat="1" hidden="1" outlineLevel="1">
      <c r="A1690" s="1072" t="str">
        <f t="shared" ref="A1690:A1696" si="396">IF(G1690&lt;&gt;0,1,"")</f>
        <v/>
      </c>
      <c r="B1690" s="1295" t="s">
        <v>5700</v>
      </c>
      <c r="C1690" s="1291"/>
      <c r="D1690" s="1198">
        <f>VLOOKUP($B1690,dongia1,DG!$B$5,)</f>
        <v>0</v>
      </c>
      <c r="E1690" s="1243" t="str">
        <f>VLOOKUP($B1690,dongia1,DG!$C$5,)</f>
        <v>Sắt góc L75 x75 x8x2400 (4 ốp)</v>
      </c>
      <c r="F1690" s="1198" t="str">
        <f>VLOOKUP($B1690,dongia1,DG!$D$5,)</f>
        <v xml:space="preserve">thanh </v>
      </c>
      <c r="G1690" s="1508">
        <f>G1688</f>
        <v>0</v>
      </c>
      <c r="H1690" s="1298">
        <f>VLOOKUP($B1690,dongia1,DG!$F$5,)</f>
        <v>680540.50480000011</v>
      </c>
      <c r="I1690" s="1298"/>
      <c r="J1690" s="1399">
        <f>VLOOKUP($B1690,dongia1,DG!$G$5,)</f>
        <v>0</v>
      </c>
      <c r="K1690" s="1298"/>
      <c r="L1690" s="1298">
        <f t="shared" si="390"/>
        <v>0</v>
      </c>
      <c r="M1690" s="1298"/>
      <c r="N1690" s="1399">
        <f t="shared" si="395"/>
        <v>0</v>
      </c>
      <c r="O1690" s="1298"/>
      <c r="P1690" s="1437"/>
      <c r="Q1690" s="1300"/>
      <c r="R1690" s="1300"/>
      <c r="S1690" s="1300"/>
    </row>
    <row r="1691" spans="1:16382" s="1081" customFormat="1" hidden="1" outlineLevel="1">
      <c r="A1691" s="1072" t="str">
        <f t="shared" si="396"/>
        <v/>
      </c>
      <c r="B1691" s="696" t="s">
        <v>4930</v>
      </c>
      <c r="C1691" s="1291"/>
      <c r="D1691" s="1198">
        <f>VLOOKUP($B1691,dongia1,DG!$B$5,)</f>
        <v>0</v>
      </c>
      <c r="E1691" s="1243" t="str">
        <f>VLOOKUP($B1691,dongia1,DG!$C$5,)&amp;" (Thanh choáng 810)"</f>
        <v>Sắt góc L50 x50 x5x810 (Thanh choáng 810)</v>
      </c>
      <c r="F1691" s="1198" t="str">
        <f>VLOOKUP($B1691,dongia1,DG!$D$5,)</f>
        <v xml:space="preserve">thanh </v>
      </c>
      <c r="G1691" s="1508">
        <f>G1690</f>
        <v>0</v>
      </c>
      <c r="H1691" s="1298">
        <f>VLOOKUP($B1691,dongia1,DG!$F$5,)</f>
        <v>86065.309080000006</v>
      </c>
      <c r="I1691" s="1298"/>
      <c r="J1691" s="1399">
        <f>VLOOKUP($B1691,dongia1,DG!$G$5,)</f>
        <v>0</v>
      </c>
      <c r="K1691" s="1298"/>
      <c r="L1691" s="1298">
        <f t="shared" si="390"/>
        <v>0</v>
      </c>
      <c r="M1691" s="1298"/>
      <c r="N1691" s="1399">
        <f t="shared" si="395"/>
        <v>0</v>
      </c>
      <c r="O1691" s="1298"/>
      <c r="P1691" s="1437"/>
      <c r="Q1691" s="1300"/>
      <c r="R1691" s="1300"/>
      <c r="S1691" s="1300"/>
    </row>
    <row r="1692" spans="1:16382" s="1081" customFormat="1" hidden="1" outlineLevel="1">
      <c r="A1692" s="1072" t="str">
        <f t="shared" si="396"/>
        <v/>
      </c>
      <c r="B1692" s="1295" t="s">
        <v>733</v>
      </c>
      <c r="C1692" s="1291"/>
      <c r="D1692" s="1198">
        <f>VLOOKUP($B1692,dongia1,DG!$B$5,)</f>
        <v>0</v>
      </c>
      <c r="E1692" s="1243" t="str">
        <f>VLOOKUP($B1692,dongia1,DG!$C$5,)</f>
        <v>Boulon 16x350+ 2 long đền vuông D18-50x50x3/Zn</v>
      </c>
      <c r="F1692" s="1198" t="str">
        <f>VLOOKUP($B1692,dongia1,DG!$D$5,)</f>
        <v>bộ</v>
      </c>
      <c r="G1692" s="1508">
        <f>G1688*2</f>
        <v>0</v>
      </c>
      <c r="H1692" s="1298">
        <f>VLOOKUP($B1692,dongia1,DG!$F$5,)</f>
        <v>27900</v>
      </c>
      <c r="I1692" s="1298">
        <v>0</v>
      </c>
      <c r="J1692" s="1399">
        <f>VLOOKUP($B1692,dongia1,DG!$G$5,)</f>
        <v>0</v>
      </c>
      <c r="K1692" s="1298"/>
      <c r="L1692" s="1298">
        <f t="shared" si="390"/>
        <v>0</v>
      </c>
      <c r="M1692" s="1298"/>
      <c r="N1692" s="1399">
        <f t="shared" si="395"/>
        <v>0</v>
      </c>
      <c r="O1692" s="1298"/>
      <c r="P1692" s="1437"/>
      <c r="Q1692" s="1300"/>
      <c r="R1692" s="1300"/>
      <c r="S1692" s="1300"/>
    </row>
    <row r="1693" spans="1:16382" s="1081" customFormat="1" hidden="1" outlineLevel="1">
      <c r="A1693" s="1072" t="str">
        <f t="shared" si="396"/>
        <v/>
      </c>
      <c r="B1693" s="1295" t="s">
        <v>1044</v>
      </c>
      <c r="C1693" s="1291"/>
      <c r="D1693" s="1198">
        <f>VLOOKUP($B1693,dongia1,DG!$B$5,)</f>
        <v>0</v>
      </c>
      <c r="E1693" s="1243" t="str">
        <f>VLOOKUP($B1693,dongia1,DG!$C$5,)</f>
        <v>Boulon 16x50+ 2 long đền vuông D18-50x50x3/Zn</v>
      </c>
      <c r="F1693" s="1198" t="str">
        <f>VLOOKUP($B1693,dongia1,DG!$D$5,)</f>
        <v>bộ</v>
      </c>
      <c r="G1693" s="1508">
        <f>G1688*2</f>
        <v>0</v>
      </c>
      <c r="H1693" s="1298">
        <f>VLOOKUP($B1693,dongia1,DG!$F$5,)</f>
        <v>12400</v>
      </c>
      <c r="I1693" s="1298">
        <v>0</v>
      </c>
      <c r="J1693" s="1399">
        <f>VLOOKUP($B1693,dongia1,DG!$G$5,)</f>
        <v>0</v>
      </c>
      <c r="K1693" s="1298"/>
      <c r="L1693" s="1298">
        <f t="shared" si="390"/>
        <v>0</v>
      </c>
      <c r="M1693" s="1298"/>
      <c r="N1693" s="1399">
        <f t="shared" si="395"/>
        <v>0</v>
      </c>
      <c r="O1693" s="1298"/>
      <c r="P1693" s="1437"/>
      <c r="Q1693" s="1300"/>
      <c r="R1693" s="1300"/>
      <c r="S1693" s="1300"/>
    </row>
    <row r="1694" spans="1:16382" s="1081" customFormat="1" hidden="1" outlineLevel="1">
      <c r="A1694" s="1072" t="str">
        <f t="shared" si="396"/>
        <v/>
      </c>
      <c r="B1694" s="1295" t="s">
        <v>1933</v>
      </c>
      <c r="C1694" s="1291"/>
      <c r="D1694" s="1198">
        <f>VLOOKUP($B1694,dongia1,DG!$B$5,)</f>
        <v>0</v>
      </c>
      <c r="E1694" s="1243" t="str">
        <f>VLOOKUP($B1694,dongia1,DG!$C$5,)</f>
        <v>Bass LI bắt FCO</v>
      </c>
      <c r="F1694" s="1198" t="str">
        <f>VLOOKUP($B1694,dongia1,DG!$D$5,)</f>
        <v>Bộ</v>
      </c>
      <c r="G1694" s="1508"/>
      <c r="H1694" s="1298">
        <f>VLOOKUP($B1694,dongia1,DG!$F$5,)</f>
        <v>34000</v>
      </c>
      <c r="I1694" s="1298">
        <v>0</v>
      </c>
      <c r="J1694" s="1399">
        <f>VLOOKUP($B1694,dongia1,DG!$G$5,)</f>
        <v>0</v>
      </c>
      <c r="K1694" s="1298"/>
      <c r="L1694" s="1298">
        <f t="shared" si="390"/>
        <v>0</v>
      </c>
      <c r="M1694" s="1298"/>
      <c r="N1694" s="1399">
        <f t="shared" si="395"/>
        <v>0</v>
      </c>
      <c r="O1694" s="1298"/>
      <c r="P1694" s="1437"/>
      <c r="Q1694" s="1300"/>
      <c r="R1694" s="1300"/>
      <c r="S1694" s="1300"/>
    </row>
    <row r="1695" spans="1:16382" s="1081" customFormat="1" hidden="1" outlineLevel="1">
      <c r="A1695" s="1072" t="str">
        <f t="shared" si="396"/>
        <v/>
      </c>
      <c r="B1695" s="1295" t="s">
        <v>1761</v>
      </c>
      <c r="C1695" s="1291"/>
      <c r="D1695" s="1198">
        <f>VLOOKUP($B1695,dongia1,DG!$B$5,)</f>
        <v>0</v>
      </c>
      <c r="E1695" s="1243" t="str">
        <f>VLOOKUP($B1695,dongia1,DG!$C$5,)</f>
        <v>Cổ dê bắt xà 80x6</v>
      </c>
      <c r="F1695" s="1198" t="str">
        <f>VLOOKUP($B1695,dongia1,DG!$D$5,)</f>
        <v>bộ</v>
      </c>
      <c r="G1695" s="1508"/>
      <c r="H1695" s="1298">
        <f>VLOOKUP($B1695,dongia1,DG!$F$5,)</f>
        <v>178900</v>
      </c>
      <c r="I1695" s="1298">
        <v>0</v>
      </c>
      <c r="J1695" s="1399">
        <f>VLOOKUP($B1695,dongia1,DG!$G$5,)</f>
        <v>0</v>
      </c>
      <c r="K1695" s="1298"/>
      <c r="L1695" s="1298">
        <f t="shared" si="390"/>
        <v>0</v>
      </c>
      <c r="M1695" s="1298"/>
      <c r="N1695" s="1399">
        <f t="shared" si="395"/>
        <v>0</v>
      </c>
      <c r="O1695" s="1298"/>
      <c r="P1695" s="1437"/>
      <c r="Q1695" s="1300"/>
      <c r="R1695" s="1300"/>
      <c r="S1695" s="1300"/>
    </row>
    <row r="1696" spans="1:16382" s="1081" customFormat="1" hidden="1" outlineLevel="1">
      <c r="A1696" s="1072" t="str">
        <f t="shared" si="396"/>
        <v/>
      </c>
      <c r="B1696" s="1295" t="s">
        <v>1156</v>
      </c>
      <c r="C1696" s="1291"/>
      <c r="D1696" s="1198" t="str">
        <f>VLOOKUP($B1696,dongia1,DG!$B$5,)</f>
        <v>D2.6031</v>
      </c>
      <c r="E1696" s="1243" t="str">
        <f>VLOOKUP($B1696,dongia1,DG!$C$5,)</f>
        <v>Lắp xà đỡ 50kg</v>
      </c>
      <c r="F1696" s="1198" t="str">
        <f>VLOOKUP($B1696,dongia1,DG!$D$5,)</f>
        <v>bộ</v>
      </c>
      <c r="G1696" s="1508">
        <f>G1688</f>
        <v>0</v>
      </c>
      <c r="H1696" s="1298">
        <v>0</v>
      </c>
      <c r="I1696" s="1298"/>
      <c r="J1696" s="1399">
        <f>VLOOKUP($B1696,dongia1,DG!$G$5,)</f>
        <v>296544.75</v>
      </c>
      <c r="K1696" s="1298"/>
      <c r="L1696" s="1298">
        <f t="shared" si="390"/>
        <v>0</v>
      </c>
      <c r="M1696" s="1298"/>
      <c r="N1696" s="1399">
        <f t="shared" si="395"/>
        <v>0</v>
      </c>
      <c r="O1696" s="1298"/>
      <c r="P1696" s="1437"/>
      <c r="Q1696" s="1300"/>
      <c r="R1696" s="1300"/>
      <c r="S1696" s="1300"/>
    </row>
    <row r="1697" spans="1:19" s="1081" customFormat="1" hidden="1" outlineLevel="1">
      <c r="A1697" s="1072" t="str">
        <f>IF(G1697&lt;&gt;0,1,"")</f>
        <v/>
      </c>
      <c r="B1697" s="1295"/>
      <c r="C1697" s="166">
        <f>IF(G1697&gt;0,C1688+1,C1688)</f>
        <v>0</v>
      </c>
      <c r="D1697" s="1733"/>
      <c r="E1697" s="168" t="s">
        <v>5690</v>
      </c>
      <c r="F1697" s="169" t="s">
        <v>2113</v>
      </c>
      <c r="G1697" s="1734"/>
      <c r="H1697" s="193"/>
      <c r="I1697" s="170"/>
      <c r="J1697" s="1736"/>
      <c r="K1697" s="1736"/>
      <c r="L1697" s="1737">
        <f t="shared" si="390"/>
        <v>0</v>
      </c>
      <c r="M1697" s="64">
        <f t="shared" ref="M1697:M1709" si="397">I1697*G1697</f>
        <v>0</v>
      </c>
      <c r="N1697" s="1737">
        <f t="shared" ref="N1697:N1709" si="398">J1697*G1697</f>
        <v>0</v>
      </c>
      <c r="O1697" s="166">
        <f t="shared" ref="O1697:O1709" si="399">K1697*G1697</f>
        <v>0</v>
      </c>
      <c r="P1697" s="1733"/>
      <c r="Q1697" s="1300"/>
      <c r="R1697" s="1300"/>
      <c r="S1697" s="1300"/>
    </row>
    <row r="1698" spans="1:19" s="1081" customFormat="1" ht="14.4" hidden="1" outlineLevel="1">
      <c r="A1698" s="1072" t="str">
        <f>A1697</f>
        <v/>
      </c>
      <c r="B1698" s="1295"/>
      <c r="C1698" s="1291"/>
      <c r="D1698" s="1292"/>
      <c r="E1698" s="1301" t="s">
        <v>3399</v>
      </c>
      <c r="F1698" s="1302"/>
      <c r="G1698" s="1508"/>
      <c r="H1698" s="1467"/>
      <c r="I1698" s="1467"/>
      <c r="J1698" s="1467"/>
      <c r="K1698" s="1467"/>
      <c r="L1698" s="1400">
        <f t="shared" si="390"/>
        <v>0</v>
      </c>
      <c r="M1698" s="1400">
        <f t="shared" si="397"/>
        <v>0</v>
      </c>
      <c r="N1698" s="1400">
        <f t="shared" si="398"/>
        <v>0</v>
      </c>
      <c r="O1698" s="1400">
        <f t="shared" si="399"/>
        <v>0</v>
      </c>
      <c r="P1698" s="1507"/>
      <c r="Q1698" s="1300"/>
      <c r="R1698" s="1300"/>
      <c r="S1698" s="1300"/>
    </row>
    <row r="1699" spans="1:19" s="1081" customFormat="1" hidden="1" outlineLevel="1">
      <c r="A1699" s="1072" t="str">
        <f t="shared" ref="A1699:A1705" si="400">IF(G1699&lt;&gt;0,1,"")</f>
        <v/>
      </c>
      <c r="B1699" s="696" t="s">
        <v>4938</v>
      </c>
      <c r="C1699" s="1291"/>
      <c r="D1699" s="1198">
        <f>VLOOKUP($B1699,dongia1,DG!$B$5,)</f>
        <v>0</v>
      </c>
      <c r="E1699" s="1243" t="str">
        <f>VLOOKUP($B1699,dongia1,DG!$C$5,)</f>
        <v>Sắt góc L75 x75 x8x2200 (4 ốp)</v>
      </c>
      <c r="F1699" s="1198" t="str">
        <f>VLOOKUP($B1699,dongia1,DG!$D$5,)</f>
        <v xml:space="preserve">thanh </v>
      </c>
      <c r="G1699" s="1508">
        <f>G1697</f>
        <v>0</v>
      </c>
      <c r="H1699" s="1298">
        <f>VLOOKUP($B1699,dongia1,DG!$F$5,)</f>
        <v>630129.26240000001</v>
      </c>
      <c r="I1699" s="1399"/>
      <c r="J1699" s="1399">
        <f>VLOOKUP($B1699,dongia1,DG!$G$5,)</f>
        <v>0</v>
      </c>
      <c r="K1699" s="1399">
        <v>0</v>
      </c>
      <c r="L1699" s="1400">
        <f t="shared" si="390"/>
        <v>0</v>
      </c>
      <c r="M1699" s="1400">
        <f t="shared" si="397"/>
        <v>0</v>
      </c>
      <c r="N1699" s="1400">
        <f t="shared" si="398"/>
        <v>0</v>
      </c>
      <c r="O1699" s="1400">
        <f t="shared" si="399"/>
        <v>0</v>
      </c>
      <c r="P1699" s="1507"/>
      <c r="Q1699" s="1300"/>
      <c r="R1699" s="1300"/>
      <c r="S1699" s="1300"/>
    </row>
    <row r="1700" spans="1:19" s="1081" customFormat="1" hidden="1" outlineLevel="1">
      <c r="A1700" s="1072" t="str">
        <f t="shared" si="400"/>
        <v/>
      </c>
      <c r="B1700" s="696" t="s">
        <v>4930</v>
      </c>
      <c r="C1700" s="1291"/>
      <c r="D1700" s="1198">
        <f>VLOOKUP($B1700,dongia1,DG!$B$5,)</f>
        <v>0</v>
      </c>
      <c r="E1700" s="1243" t="str">
        <f>VLOOKUP($B1700,dongia1,DG!$C$5,)</f>
        <v>Sắt góc L50 x50 x5x810</v>
      </c>
      <c r="F1700" s="1198" t="str">
        <f>VLOOKUP($B1700,dongia1,DG!$D$5,)</f>
        <v xml:space="preserve">thanh </v>
      </c>
      <c r="G1700" s="1508">
        <f>G1697*2</f>
        <v>0</v>
      </c>
      <c r="H1700" s="1298">
        <f>VLOOKUP($B1700,dongia1,DG!$F$5,)</f>
        <v>86065.309080000006</v>
      </c>
      <c r="I1700" s="1399"/>
      <c r="J1700" s="1399">
        <f>VLOOKUP($B1700,dongia1,DG!$G$5,)</f>
        <v>0</v>
      </c>
      <c r="K1700" s="1399">
        <v>0</v>
      </c>
      <c r="L1700" s="1400">
        <f t="shared" ref="L1700:L1710" si="401">H1700*G1700</f>
        <v>0</v>
      </c>
      <c r="M1700" s="1400">
        <f t="shared" si="397"/>
        <v>0</v>
      </c>
      <c r="N1700" s="1400">
        <f t="shared" si="398"/>
        <v>0</v>
      </c>
      <c r="O1700" s="1400">
        <f t="shared" si="399"/>
        <v>0</v>
      </c>
      <c r="P1700" s="1507"/>
      <c r="Q1700" s="1300"/>
      <c r="R1700" s="1300"/>
      <c r="S1700" s="1300"/>
    </row>
    <row r="1701" spans="1:19" s="1081" customFormat="1" hidden="1" outlineLevel="1">
      <c r="A1701" s="1072" t="str">
        <f t="shared" si="400"/>
        <v/>
      </c>
      <c r="B1701" s="696" t="s">
        <v>1262</v>
      </c>
      <c r="C1701" s="1291"/>
      <c r="D1701" s="1198">
        <f>VLOOKUP($B1701,dongia1,DG!$B$5,)</f>
        <v>0</v>
      </c>
      <c r="E1701" s="1243" t="str">
        <f>VLOOKUP($B1701,dongia1,DG!$C$5,)</f>
        <v>Boulon 16x300+ 2 long đền vuông D18-50x50x3/Zn</v>
      </c>
      <c r="F1701" s="1198" t="str">
        <f>VLOOKUP($B1701,dongia1,DG!$D$5,)</f>
        <v>bộ</v>
      </c>
      <c r="G1701" s="1508">
        <f>G1697*2</f>
        <v>0</v>
      </c>
      <c r="H1701" s="1298">
        <f>VLOOKUP($B1701,dongia1,DG!$F$5,)</f>
        <v>25400</v>
      </c>
      <c r="I1701" s="1399"/>
      <c r="J1701" s="1399">
        <f>VLOOKUP($B1701,dongia1,DG!$G$5,)</f>
        <v>0</v>
      </c>
      <c r="K1701" s="1399">
        <v>0</v>
      </c>
      <c r="L1701" s="1400">
        <f t="shared" si="401"/>
        <v>0</v>
      </c>
      <c r="M1701" s="1400">
        <f t="shared" si="397"/>
        <v>0</v>
      </c>
      <c r="N1701" s="1400">
        <f t="shared" si="398"/>
        <v>0</v>
      </c>
      <c r="O1701" s="1400">
        <f t="shared" si="399"/>
        <v>0</v>
      </c>
      <c r="P1701" s="1507"/>
      <c r="Q1701" s="1300"/>
      <c r="R1701" s="1300"/>
      <c r="S1701" s="1300"/>
    </row>
    <row r="1702" spans="1:19" s="1081" customFormat="1" hidden="1" outlineLevel="1">
      <c r="A1702" s="1072" t="str">
        <f t="shared" si="400"/>
        <v/>
      </c>
      <c r="B1702" s="696" t="s">
        <v>921</v>
      </c>
      <c r="C1702" s="1291"/>
      <c r="D1702" s="1198">
        <f>VLOOKUP($B1702,dongia1,DG!$B$5,)</f>
        <v>0</v>
      </c>
      <c r="E1702" s="1243" t="str">
        <f>VLOOKUP($B1702,dongia1,DG!$C$5,)</f>
        <v>Boulon 16x250VRS+ 4 long đền vuông D18-50x50x3/Zn</v>
      </c>
      <c r="F1702" s="1198" t="str">
        <f>VLOOKUP($B1702,dongia1,DG!$D$5,)</f>
        <v>bộ</v>
      </c>
      <c r="G1702" s="1508"/>
      <c r="H1702" s="1298">
        <f>VLOOKUP($B1702,dongia1,DG!$F$5,)</f>
        <v>29800</v>
      </c>
      <c r="I1702" s="1399"/>
      <c r="J1702" s="1399">
        <f>VLOOKUP($B1702,dongia1,DG!$G$5,)</f>
        <v>0</v>
      </c>
      <c r="K1702" s="1399">
        <v>0</v>
      </c>
      <c r="L1702" s="1400">
        <f t="shared" si="401"/>
        <v>0</v>
      </c>
      <c r="M1702" s="1400">
        <f t="shared" si="397"/>
        <v>0</v>
      </c>
      <c r="N1702" s="1400">
        <f t="shared" si="398"/>
        <v>0</v>
      </c>
      <c r="O1702" s="1400">
        <f t="shared" si="399"/>
        <v>0</v>
      </c>
      <c r="P1702" s="1507"/>
      <c r="Q1702" s="1300"/>
      <c r="R1702" s="1300"/>
      <c r="S1702" s="1300"/>
    </row>
    <row r="1703" spans="1:19" s="1081" customFormat="1" hidden="1" outlineLevel="1">
      <c r="A1703" s="1072" t="str">
        <f t="shared" si="400"/>
        <v/>
      </c>
      <c r="B1703" s="696" t="s">
        <v>1044</v>
      </c>
      <c r="C1703" s="1291"/>
      <c r="D1703" s="1198">
        <f>VLOOKUP($B1703,dongia1,DG!$B$5,)</f>
        <v>0</v>
      </c>
      <c r="E1703" s="1243" t="str">
        <f>VLOOKUP($B1703,dongia1,DG!$C$5,)</f>
        <v>Boulon 16x50+ 2 long đền vuông D18-50x50x3/Zn</v>
      </c>
      <c r="F1703" s="1198" t="str">
        <f>VLOOKUP($B1703,dongia1,DG!$D$5,)</f>
        <v>bộ</v>
      </c>
      <c r="G1703" s="1508">
        <f>G1697*2</f>
        <v>0</v>
      </c>
      <c r="H1703" s="1298">
        <f>VLOOKUP($B1703,dongia1,DG!$F$5,)</f>
        <v>12400</v>
      </c>
      <c r="I1703" s="1399"/>
      <c r="J1703" s="1399">
        <f>VLOOKUP($B1703,dongia1,DG!$G$5,)</f>
        <v>0</v>
      </c>
      <c r="K1703" s="1399">
        <v>0</v>
      </c>
      <c r="L1703" s="1400">
        <f t="shared" si="401"/>
        <v>0</v>
      </c>
      <c r="M1703" s="1400">
        <f t="shared" si="397"/>
        <v>0</v>
      </c>
      <c r="N1703" s="1400">
        <f t="shared" si="398"/>
        <v>0</v>
      </c>
      <c r="O1703" s="1400">
        <f t="shared" si="399"/>
        <v>0</v>
      </c>
      <c r="P1703" s="1507"/>
      <c r="Q1703" s="1300"/>
      <c r="R1703" s="1300"/>
      <c r="S1703" s="1300"/>
    </row>
    <row r="1704" spans="1:19" s="1081" customFormat="1" hidden="1" outlineLevel="1">
      <c r="A1704" s="1072" t="str">
        <f t="shared" si="400"/>
        <v/>
      </c>
      <c r="B1704" s="696" t="s">
        <v>1436</v>
      </c>
      <c r="C1704" s="1291"/>
      <c r="D1704" s="1198" t="str">
        <f>VLOOKUP($B1704,dongia1,DG!$B$5,)</f>
        <v>D2.6021e</v>
      </c>
      <c r="E1704" s="1243" t="str">
        <f>VLOOKUP($B1704,dongia1,DG!$C$5,)</f>
        <v>Lắp xà đỡ 2,2m đơn (29,759kg)</v>
      </c>
      <c r="F1704" s="1198" t="str">
        <f>VLOOKUP($B1704,dongia1,DG!$D$5,)</f>
        <v>bộ</v>
      </c>
      <c r="G1704" s="1508">
        <f>G1697</f>
        <v>0</v>
      </c>
      <c r="H1704" s="1298">
        <f>VLOOKUP($B1704,dongia1,DG!$F$5,)</f>
        <v>0</v>
      </c>
      <c r="I1704" s="1399"/>
      <c r="J1704" s="1399">
        <f>VLOOKUP($B1704,dongia1,DG!$G$5,)</f>
        <v>184878</v>
      </c>
      <c r="K1704" s="1399">
        <v>0</v>
      </c>
      <c r="L1704" s="1400">
        <f t="shared" si="401"/>
        <v>0</v>
      </c>
      <c r="M1704" s="1400">
        <f t="shared" si="397"/>
        <v>0</v>
      </c>
      <c r="N1704" s="1400">
        <f t="shared" si="398"/>
        <v>0</v>
      </c>
      <c r="O1704" s="1400">
        <f t="shared" si="399"/>
        <v>0</v>
      </c>
      <c r="P1704" s="1507"/>
      <c r="Q1704" s="1300"/>
      <c r="R1704" s="1300"/>
      <c r="S1704" s="1300"/>
    </row>
    <row r="1705" spans="1:19" s="1081" customFormat="1" hidden="1" outlineLevel="1">
      <c r="A1705" s="1072" t="str">
        <f t="shared" si="400"/>
        <v/>
      </c>
      <c r="B1705" s="1295"/>
      <c r="C1705" s="1291">
        <f>IF(G1705&gt;0,C1697+1,C1697)</f>
        <v>0</v>
      </c>
      <c r="D1705" s="1292"/>
      <c r="E1705" s="1468" t="s">
        <v>3435</v>
      </c>
      <c r="F1705" s="1291" t="s">
        <v>2113</v>
      </c>
      <c r="G1705" s="1509"/>
      <c r="H1705" s="1467"/>
      <c r="I1705" s="1467"/>
      <c r="J1705" s="1467"/>
      <c r="K1705" s="1467"/>
      <c r="L1705" s="1400">
        <f t="shared" si="401"/>
        <v>0</v>
      </c>
      <c r="M1705" s="1400">
        <f t="shared" si="397"/>
        <v>0</v>
      </c>
      <c r="N1705" s="1400">
        <f t="shared" si="398"/>
        <v>0</v>
      </c>
      <c r="O1705" s="1400">
        <f t="shared" si="399"/>
        <v>0</v>
      </c>
      <c r="P1705" s="1507"/>
      <c r="Q1705" s="1300"/>
      <c r="R1705" s="1300"/>
      <c r="S1705" s="1300"/>
    </row>
    <row r="1706" spans="1:19" s="1081" customFormat="1" ht="14.4" hidden="1" outlineLevel="1">
      <c r="A1706" s="1072" t="str">
        <f>A1705</f>
        <v/>
      </c>
      <c r="B1706" s="1295"/>
      <c r="C1706" s="1291"/>
      <c r="D1706" s="1292"/>
      <c r="E1706" s="1301" t="s">
        <v>3399</v>
      </c>
      <c r="F1706" s="1302"/>
      <c r="G1706" s="1508"/>
      <c r="H1706" s="1467"/>
      <c r="I1706" s="1467"/>
      <c r="J1706" s="1467"/>
      <c r="K1706" s="1467"/>
      <c r="L1706" s="1400">
        <f t="shared" si="401"/>
        <v>0</v>
      </c>
      <c r="M1706" s="1400">
        <f t="shared" si="397"/>
        <v>0</v>
      </c>
      <c r="N1706" s="1400">
        <f t="shared" si="398"/>
        <v>0</v>
      </c>
      <c r="O1706" s="1400">
        <f t="shared" si="399"/>
        <v>0</v>
      </c>
      <c r="P1706" s="1507"/>
      <c r="Q1706" s="1300"/>
      <c r="R1706" s="1300"/>
      <c r="S1706" s="1300"/>
    </row>
    <row r="1707" spans="1:19" s="1081" customFormat="1" hidden="1" outlineLevel="1">
      <c r="A1707" s="1072" t="str">
        <f>IF(G1707&lt;&gt;0,1,"")</f>
        <v/>
      </c>
      <c r="B1707" s="1067" t="s">
        <v>2167</v>
      </c>
      <c r="C1707" s="1291"/>
      <c r="D1707" s="1198">
        <f>VLOOKUP($B1707,dongia1,DG!$B$5,)</f>
        <v>0</v>
      </c>
      <c r="E1707" s="1243" t="str">
        <f>VLOOKUP($B1707,dongia1,DG!$C$5,)</f>
        <v>Đà Composite 110x80x5x2600</v>
      </c>
      <c r="F1707" s="1198" t="str">
        <f>VLOOKUP($B1707,dongia1,DG!$D$5,)</f>
        <v>cây</v>
      </c>
      <c r="G1707" s="1508">
        <f>+G1705*1</f>
        <v>0</v>
      </c>
      <c r="H1707" s="1399">
        <f>VLOOKUP($B1707,dongia1,DG!$F$5,)</f>
        <v>878000</v>
      </c>
      <c r="I1707" s="1399"/>
      <c r="J1707" s="1399">
        <v>0</v>
      </c>
      <c r="K1707" s="1399">
        <v>0</v>
      </c>
      <c r="L1707" s="1400">
        <f t="shared" si="401"/>
        <v>0</v>
      </c>
      <c r="M1707" s="1400">
        <f t="shared" si="397"/>
        <v>0</v>
      </c>
      <c r="N1707" s="1400">
        <f t="shared" si="398"/>
        <v>0</v>
      </c>
      <c r="O1707" s="1400">
        <f t="shared" si="399"/>
        <v>0</v>
      </c>
      <c r="P1707" s="1507"/>
      <c r="Q1707" s="1300"/>
      <c r="R1707" s="1300"/>
      <c r="S1707" s="1300"/>
    </row>
    <row r="1708" spans="1:19" s="1081" customFormat="1" hidden="1" outlineLevel="1">
      <c r="A1708" s="1072" t="str">
        <f>IF(G1708&lt;&gt;0,1,"")</f>
        <v/>
      </c>
      <c r="B1708" s="1073" t="s">
        <v>428</v>
      </c>
      <c r="C1708" s="1291"/>
      <c r="D1708" s="1198">
        <f>VLOOKUP($B1708,dongia1,DG!$B$5,)</f>
        <v>0</v>
      </c>
      <c r="E1708" s="1243" t="str">
        <f>VLOOKUP($B1708,dongia1,DG!$C$5,)</f>
        <v>Bass LL bắt FCO và LA</v>
      </c>
      <c r="F1708" s="1198" t="str">
        <f>VLOOKUP($B1708,dongia1,DG!$D$5,)</f>
        <v>bộ</v>
      </c>
      <c r="G1708" s="1508">
        <f>+G1705*3</f>
        <v>0</v>
      </c>
      <c r="H1708" s="1399">
        <f>VLOOKUP($B1708,dongia1,DG!$F$5,)</f>
        <v>65000</v>
      </c>
      <c r="I1708" s="1399">
        <v>0</v>
      </c>
      <c r="J1708" s="1399">
        <v>0</v>
      </c>
      <c r="K1708" s="1399">
        <v>0</v>
      </c>
      <c r="L1708" s="1400">
        <f t="shared" si="401"/>
        <v>0</v>
      </c>
      <c r="M1708" s="1400">
        <f t="shared" si="397"/>
        <v>0</v>
      </c>
      <c r="N1708" s="1400">
        <f t="shared" si="398"/>
        <v>0</v>
      </c>
      <c r="O1708" s="1400">
        <f t="shared" si="399"/>
        <v>0</v>
      </c>
      <c r="P1708" s="1507"/>
      <c r="Q1708" s="1300"/>
      <c r="R1708" s="1300"/>
      <c r="S1708" s="1300"/>
    </row>
    <row r="1709" spans="1:19" s="1081" customFormat="1" hidden="1" outlineLevel="1">
      <c r="A1709" s="1072" t="str">
        <f>IF(G1709&lt;&gt;0,1,"")</f>
        <v/>
      </c>
      <c r="B1709" s="1295" t="s">
        <v>733</v>
      </c>
      <c r="C1709" s="1291"/>
      <c r="D1709" s="1198">
        <f>VLOOKUP($B1709,dongia1,DG!$B$5,)</f>
        <v>0</v>
      </c>
      <c r="E1709" s="1243" t="str">
        <f>VLOOKUP($B1709,dongia1,DG!$C$5,)</f>
        <v>Boulon 16x350+ 2 long đền vuông D18-50x50x3/Zn</v>
      </c>
      <c r="F1709" s="1198" t="str">
        <f>VLOOKUP($B1709,dongia1,DG!$D$5,)</f>
        <v>bộ</v>
      </c>
      <c r="G1709" s="1508">
        <f>+G1705*2</f>
        <v>0</v>
      </c>
      <c r="H1709" s="1399">
        <f>VLOOKUP($B1709,dongia1,DG!$F$5,)</f>
        <v>27900</v>
      </c>
      <c r="I1709" s="1467"/>
      <c r="J1709" s="1399">
        <f>VLOOKUP($B1709,dongia1,DG!$G$5,)</f>
        <v>0</v>
      </c>
      <c r="K1709" s="1399">
        <f>VLOOKUP($B1709,dongia1,DG!$H$5,)</f>
        <v>0</v>
      </c>
      <c r="L1709" s="1400">
        <f t="shared" si="401"/>
        <v>0</v>
      </c>
      <c r="M1709" s="1400">
        <f t="shared" si="397"/>
        <v>0</v>
      </c>
      <c r="N1709" s="1400">
        <f t="shared" si="398"/>
        <v>0</v>
      </c>
      <c r="O1709" s="1400">
        <f t="shared" si="399"/>
        <v>0</v>
      </c>
      <c r="P1709" s="1507"/>
      <c r="Q1709" s="1300"/>
      <c r="R1709" s="1300"/>
      <c r="S1709" s="1300"/>
    </row>
    <row r="1710" spans="1:19" s="1081" customFormat="1" hidden="1" outlineLevel="1">
      <c r="A1710" s="1072" t="str">
        <f>IF(G1710&lt;&gt;0,1,"")</f>
        <v/>
      </c>
      <c r="B1710" s="1066" t="s">
        <v>4554</v>
      </c>
      <c r="C1710" s="1291"/>
      <c r="D1710" s="1198" t="str">
        <f>VLOOKUP($B1710,dongia1,DG!$B$5,)</f>
        <v>D2.6011</v>
      </c>
      <c r="E1710" s="1243" t="str">
        <f>VLOOKUP($B1710,dongia1,DG!$C$5,)</f>
        <v>Lắp xà đỡ 15kg</v>
      </c>
      <c r="F1710" s="1198" t="str">
        <f>VLOOKUP($B1710,dongia1,DG!$D$5,)</f>
        <v>bộ</v>
      </c>
      <c r="G1710" s="1508">
        <f>+G1705</f>
        <v>0</v>
      </c>
      <c r="H1710" s="1298">
        <f>VLOOKUP($B1710,dongia1,DG!$F$5,)</f>
        <v>0</v>
      </c>
      <c r="I1710" s="1399"/>
      <c r="J1710" s="1399">
        <f>VLOOKUP($B1710,dongia1,DG!$G$5,)</f>
        <v>131511.15</v>
      </c>
      <c r="K1710" s="1399"/>
      <c r="L1710" s="1400">
        <f t="shared" si="401"/>
        <v>0</v>
      </c>
      <c r="M1710" s="1400"/>
      <c r="N1710" s="1399">
        <f>VLOOKUP($B1710,dongia1,DG!$G$5,)*G1710</f>
        <v>0</v>
      </c>
      <c r="O1710" s="1400"/>
      <c r="P1710" s="1507"/>
      <c r="Q1710" s="1300"/>
      <c r="R1710" s="1300"/>
      <c r="S1710" s="1300"/>
    </row>
    <row r="1711" spans="1:19" s="1081" customFormat="1" hidden="1" outlineLevel="1">
      <c r="A1711" s="1072" t="str">
        <f>IF(G1711&lt;&gt;0,1,"")</f>
        <v/>
      </c>
      <c r="B1711" s="1295"/>
      <c r="C1711" s="1291">
        <f>IF(G1711&gt;0,C1705+1,C1705)</f>
        <v>0</v>
      </c>
      <c r="D1711" s="1292"/>
      <c r="E1711" s="1468" t="s">
        <v>3437</v>
      </c>
      <c r="F1711" s="1291" t="s">
        <v>2113</v>
      </c>
      <c r="G1711" s="1509"/>
      <c r="H1711" s="1467"/>
      <c r="I1711" s="1467"/>
      <c r="J1711" s="1467"/>
      <c r="K1711" s="1467"/>
      <c r="L1711" s="1400">
        <f t="shared" ref="L1711:L1721" si="402">H1711*G1711</f>
        <v>0</v>
      </c>
      <c r="M1711" s="1400">
        <f>I1711*G1711</f>
        <v>0</v>
      </c>
      <c r="N1711" s="1400">
        <f>J1711*G1711</f>
        <v>0</v>
      </c>
      <c r="O1711" s="1400">
        <f>K1711*G1711</f>
        <v>0</v>
      </c>
      <c r="P1711" s="1507"/>
      <c r="Q1711" s="1300"/>
      <c r="R1711" s="1300"/>
      <c r="S1711" s="1300"/>
    </row>
    <row r="1712" spans="1:19" s="1081" customFormat="1" ht="14.4" hidden="1" outlineLevel="1">
      <c r="A1712" s="1072" t="str">
        <f>A1711</f>
        <v/>
      </c>
      <c r="B1712" s="1295"/>
      <c r="C1712" s="1291"/>
      <c r="D1712" s="1292"/>
      <c r="E1712" s="1301" t="s">
        <v>3399</v>
      </c>
      <c r="F1712" s="1302"/>
      <c r="G1712" s="1508"/>
      <c r="H1712" s="1467"/>
      <c r="I1712" s="1467"/>
      <c r="J1712" s="1467"/>
      <c r="K1712" s="1467"/>
      <c r="L1712" s="1400">
        <f t="shared" si="402"/>
        <v>0</v>
      </c>
      <c r="M1712" s="1400">
        <f>I1712*G1712</f>
        <v>0</v>
      </c>
      <c r="N1712" s="1400">
        <f>J1712*G1712</f>
        <v>0</v>
      </c>
      <c r="O1712" s="1400">
        <f>K1712*G1712</f>
        <v>0</v>
      </c>
      <c r="P1712" s="1507"/>
      <c r="Q1712" s="1300"/>
      <c r="R1712" s="1300"/>
      <c r="S1712" s="1300"/>
    </row>
    <row r="1713" spans="1:19" s="1081" customFormat="1" hidden="1" outlineLevel="1">
      <c r="A1713" s="1072" t="str">
        <f>IF(G1713&lt;&gt;0,1,"")</f>
        <v/>
      </c>
      <c r="B1713" s="1068" t="s">
        <v>1626</v>
      </c>
      <c r="C1713" s="1291"/>
      <c r="D1713" s="1198">
        <f>VLOOKUP($B1713,dongia1,DG!$B$5,)</f>
        <v>0</v>
      </c>
      <c r="E1713" s="1243" t="str">
        <f>VLOOKUP($B1713,dongia1,DG!$C$5,)</f>
        <v>Sắt góc L75 x75 x8</v>
      </c>
      <c r="F1713" s="1198" t="str">
        <f>VLOOKUP($B1713,dongia1,DG!$D$5,)</f>
        <v>kg</v>
      </c>
      <c r="G1713" s="1508">
        <f>G1711*9.02*(2.6+3*0.07)</f>
        <v>0</v>
      </c>
      <c r="H1713" s="1298">
        <f>VLOOKUP($B1713,dongia1,DG!$F$5,)</f>
        <v>31625</v>
      </c>
      <c r="I1713" s="1399"/>
      <c r="J1713" s="1399">
        <v>0</v>
      </c>
      <c r="K1713" s="1399">
        <v>0</v>
      </c>
      <c r="L1713" s="1400">
        <f t="shared" si="402"/>
        <v>0</v>
      </c>
      <c r="M1713" s="1400">
        <f>I1713*G1713</f>
        <v>0</v>
      </c>
      <c r="N1713" s="1400">
        <f>J1713*G1713</f>
        <v>0</v>
      </c>
      <c r="O1713" s="1400">
        <f>K1713*G1713</f>
        <v>0</v>
      </c>
      <c r="P1713" s="1507"/>
      <c r="Q1713" s="1300"/>
      <c r="R1713" s="1300"/>
      <c r="S1713" s="1300"/>
    </row>
    <row r="1714" spans="1:19" s="1081" customFormat="1" hidden="1" outlineLevel="1">
      <c r="A1714" s="1072" t="str">
        <f>IF(G1714&lt;&gt;0,1,"")</f>
        <v/>
      </c>
      <c r="B1714" s="1295" t="s">
        <v>1262</v>
      </c>
      <c r="C1714" s="1291"/>
      <c r="D1714" s="1198">
        <f>VLOOKUP($B1714,dongia1,DG!$B$5,)</f>
        <v>0</v>
      </c>
      <c r="E1714" s="1243" t="str">
        <f>VLOOKUP($B1714,dongia1,DG!$C$5,)</f>
        <v>Boulon 16x300+ 2 long đền vuông D18-50x50x3/Zn</v>
      </c>
      <c r="F1714" s="1198" t="str">
        <f>VLOOKUP($B1714,dongia1,DG!$D$5,)</f>
        <v>bộ</v>
      </c>
      <c r="G1714" s="1508">
        <f>G1711*2</f>
        <v>0</v>
      </c>
      <c r="H1714" s="1298">
        <f>VLOOKUP($B1714,dongia1,DG!$F$5,)</f>
        <v>25400</v>
      </c>
      <c r="I1714" s="1399">
        <v>0</v>
      </c>
      <c r="J1714" s="1399">
        <v>0</v>
      </c>
      <c r="K1714" s="1399">
        <v>0</v>
      </c>
      <c r="L1714" s="1400">
        <f t="shared" si="402"/>
        <v>0</v>
      </c>
      <c r="M1714" s="1400">
        <f>I1714*G1714</f>
        <v>0</v>
      </c>
      <c r="N1714" s="1400">
        <f>J1714*G1714</f>
        <v>0</v>
      </c>
      <c r="O1714" s="1400">
        <f>K1714*G1714</f>
        <v>0</v>
      </c>
      <c r="P1714" s="1507"/>
      <c r="Q1714" s="1300"/>
      <c r="R1714" s="1300"/>
      <c r="S1714" s="1300"/>
    </row>
    <row r="1715" spans="1:19" s="1081" customFormat="1" hidden="1" outlineLevel="1">
      <c r="A1715" s="1072" t="str">
        <f>IF(G1715&lt;&gt;0,1,"")</f>
        <v/>
      </c>
      <c r="B1715" s="1066" t="s">
        <v>4552</v>
      </c>
      <c r="C1715" s="1291"/>
      <c r="D1715" s="1198" t="str">
        <f>VLOOKUP($B1715,dongia1,DG!$B$5,)</f>
        <v>T4.9302</v>
      </c>
      <c r="E1715" s="1243" t="str">
        <f>VLOOKUP($B1715,dongia1,DG!$C$5,)</f>
        <v>Lắp xà thép trong phạm vi trạm</v>
      </c>
      <c r="F1715" s="1198" t="str">
        <f>VLOOKUP($B1715,dongia1,DG!$D$5,)</f>
        <v>kg</v>
      </c>
      <c r="G1715" s="1508">
        <f>SUM(G1713)</f>
        <v>0</v>
      </c>
      <c r="H1715" s="1298">
        <f>VLOOKUP($B1715,dongia1,DG!$F$5,)</f>
        <v>0</v>
      </c>
      <c r="I1715" s="1399"/>
      <c r="J1715" s="1399">
        <f>VLOOKUP($B1715,dongia1,DG!$G$5,)</f>
        <v>2025</v>
      </c>
      <c r="K1715" s="1399"/>
      <c r="L1715" s="1400">
        <f t="shared" si="402"/>
        <v>0</v>
      </c>
      <c r="M1715" s="1400"/>
      <c r="N1715" s="1399">
        <f>VLOOKUP($B1715,dongia1,DG!$G$5,)*G1715</f>
        <v>0</v>
      </c>
      <c r="O1715" s="1400"/>
      <c r="P1715" s="1507"/>
      <c r="Q1715" s="1300"/>
      <c r="R1715" s="1300"/>
      <c r="S1715" s="1300"/>
    </row>
    <row r="1716" spans="1:19" s="1081" customFormat="1" hidden="1" outlineLevel="1">
      <c r="A1716" s="1072" t="str">
        <f>IF(G1716&lt;&gt;0,1,"")</f>
        <v/>
      </c>
      <c r="B1716" s="1295"/>
      <c r="C1716" s="1291">
        <f>IF(G1716&gt;0,C1711+1,C1711)</f>
        <v>0</v>
      </c>
      <c r="D1716" s="1292"/>
      <c r="E1716" s="1468" t="s">
        <v>3439</v>
      </c>
      <c r="F1716" s="1291" t="s">
        <v>2113</v>
      </c>
      <c r="G1716" s="1509">
        <f>G1632*2*0</f>
        <v>0</v>
      </c>
      <c r="H1716" s="1467"/>
      <c r="I1716" s="1467"/>
      <c r="J1716" s="1467"/>
      <c r="K1716" s="1467"/>
      <c r="L1716" s="1400">
        <f t="shared" si="402"/>
        <v>0</v>
      </c>
      <c r="M1716" s="1400">
        <f>I1716*G1716</f>
        <v>0</v>
      </c>
      <c r="N1716" s="1400">
        <f>J1716*G1716</f>
        <v>0</v>
      </c>
      <c r="O1716" s="1400">
        <f>K1716*G1716</f>
        <v>0</v>
      </c>
      <c r="P1716" s="1299"/>
      <c r="Q1716" s="1300"/>
      <c r="R1716" s="1300"/>
      <c r="S1716" s="1300"/>
    </row>
    <row r="1717" spans="1:19" s="1081" customFormat="1" ht="14.4" hidden="1" outlineLevel="1">
      <c r="A1717" s="1072" t="str">
        <f>A1716</f>
        <v/>
      </c>
      <c r="B1717" s="1295"/>
      <c r="C1717" s="1291"/>
      <c r="D1717" s="1292"/>
      <c r="E1717" s="1301" t="s">
        <v>3399</v>
      </c>
      <c r="F1717" s="1302"/>
      <c r="G1717" s="1508"/>
      <c r="H1717" s="1467"/>
      <c r="I1717" s="1467"/>
      <c r="J1717" s="1467"/>
      <c r="K1717" s="1467"/>
      <c r="L1717" s="1400">
        <f t="shared" si="402"/>
        <v>0</v>
      </c>
      <c r="M1717" s="1400">
        <f>I1717*G1717</f>
        <v>0</v>
      </c>
      <c r="N1717" s="1400">
        <f>J1717*G1717</f>
        <v>0</v>
      </c>
      <c r="O1717" s="1400">
        <f>K1717*G1717</f>
        <v>0</v>
      </c>
      <c r="P1717" s="1299"/>
      <c r="Q1717" s="1300"/>
      <c r="R1717" s="1300"/>
      <c r="S1717" s="1300"/>
    </row>
    <row r="1718" spans="1:19" s="1081" customFormat="1" hidden="1" outlineLevel="1">
      <c r="A1718" s="1072" t="str">
        <f>IF(G1718&lt;&gt;0,1,"")</f>
        <v/>
      </c>
      <c r="B1718" s="1295" t="s">
        <v>1626</v>
      </c>
      <c r="C1718" s="1291"/>
      <c r="D1718" s="1198">
        <f>VLOOKUP($B1718,dongia1,DG!$B$5,)</f>
        <v>0</v>
      </c>
      <c r="E1718" s="1243" t="str">
        <f>VLOOKUP($B1718,dongia1,DG!$C$5,)</f>
        <v>Sắt góc L75 x75 x8</v>
      </c>
      <c r="F1718" s="1198" t="str">
        <f>VLOOKUP($B1718,dongia1,DG!$D$5,)</f>
        <v>kg</v>
      </c>
      <c r="G1718" s="1508">
        <f>G1716*9.02*2.6</f>
        <v>0</v>
      </c>
      <c r="H1718" s="1298">
        <f>VLOOKUP($B1718,dongia1,DG!$F$5,)</f>
        <v>31625</v>
      </c>
      <c r="I1718" s="1399"/>
      <c r="J1718" s="1399">
        <v>0</v>
      </c>
      <c r="K1718" s="1399"/>
      <c r="L1718" s="1400">
        <f t="shared" si="402"/>
        <v>0</v>
      </c>
      <c r="M1718" s="1400"/>
      <c r="N1718" s="1400"/>
      <c r="O1718" s="1400"/>
      <c r="P1718" s="1299"/>
      <c r="Q1718" s="1300"/>
      <c r="R1718" s="1300"/>
      <c r="S1718" s="1300"/>
    </row>
    <row r="1719" spans="1:19" s="1081" customFormat="1" hidden="1" outlineLevel="1">
      <c r="A1719" s="1072" t="str">
        <f>IF(G1719&lt;&gt;0,1,"")</f>
        <v/>
      </c>
      <c r="B1719" s="1295" t="s">
        <v>82</v>
      </c>
      <c r="C1719" s="1291"/>
      <c r="D1719" s="1198">
        <f>VLOOKUP($B1719,dongia1,DG!$B$5,)</f>
        <v>0</v>
      </c>
      <c r="E1719" s="1243" t="str">
        <f>VLOOKUP($B1719,dongia1,DG!$C$5,)</f>
        <v>Boulon 16x400+ 2 long đền vuông D18-50x50x3/Zn</v>
      </c>
      <c r="F1719" s="1198" t="str">
        <f>VLOOKUP($B1719,dongia1,DG!$D$5,)</f>
        <v>bộ</v>
      </c>
      <c r="G1719" s="1508">
        <f>G1716*2</f>
        <v>0</v>
      </c>
      <c r="H1719" s="1298">
        <f>VLOOKUP($B1719,dongia1,DG!$F$5,)</f>
        <v>29900</v>
      </c>
      <c r="I1719" s="1399">
        <v>0</v>
      </c>
      <c r="J1719" s="1399">
        <v>0</v>
      </c>
      <c r="K1719" s="1399"/>
      <c r="L1719" s="1400">
        <f t="shared" si="402"/>
        <v>0</v>
      </c>
      <c r="M1719" s="1400"/>
      <c r="N1719" s="1400"/>
      <c r="O1719" s="1400"/>
      <c r="P1719" s="1299"/>
      <c r="Q1719" s="1300"/>
      <c r="R1719" s="1300"/>
      <c r="S1719" s="1300"/>
    </row>
    <row r="1720" spans="1:19" s="1081" customFormat="1" hidden="1" outlineLevel="1">
      <c r="A1720" s="1072" t="str">
        <f>IF(G1720&lt;&gt;0,1,"")</f>
        <v/>
      </c>
      <c r="B1720" s="1295" t="s">
        <v>1998</v>
      </c>
      <c r="C1720" s="1291"/>
      <c r="D1720" s="1198">
        <f>VLOOKUP($B1720,dongia1,DG!$B$5,)</f>
        <v>0</v>
      </c>
      <c r="E1720" s="1243" t="str">
        <f>VLOOKUP($B1720,dongia1,DG!$C$5,)</f>
        <v>Boulon 12x40+ 2 long đền vuông D14-50x50x3/Zn</v>
      </c>
      <c r="F1720" s="1198" t="str">
        <f>VLOOKUP($B1720,dongia1,DG!$D$5,)</f>
        <v>bộ</v>
      </c>
      <c r="G1720" s="1508">
        <f>G1716*2</f>
        <v>0</v>
      </c>
      <c r="H1720" s="1298">
        <f>VLOOKUP($B1720,dongia1,DG!$F$5,)</f>
        <v>8500</v>
      </c>
      <c r="I1720" s="1399">
        <v>0</v>
      </c>
      <c r="J1720" s="1399">
        <v>0</v>
      </c>
      <c r="K1720" s="1399"/>
      <c r="L1720" s="1400">
        <f t="shared" si="402"/>
        <v>0</v>
      </c>
      <c r="M1720" s="1400"/>
      <c r="N1720" s="1400"/>
      <c r="O1720" s="1400"/>
      <c r="P1720" s="1299"/>
      <c r="Q1720" s="1300"/>
      <c r="R1720" s="1300"/>
      <c r="S1720" s="1300"/>
    </row>
    <row r="1721" spans="1:19" s="1081" customFormat="1" hidden="1" outlineLevel="1">
      <c r="A1721" s="1072" t="str">
        <f>IF(G1721&lt;&gt;0,1,"")</f>
        <v/>
      </c>
      <c r="B1721" s="1066" t="s">
        <v>4552</v>
      </c>
      <c r="C1721" s="1291"/>
      <c r="D1721" s="1198" t="str">
        <f>VLOOKUP($B1721,dongia1,DG!$B$5,)</f>
        <v>T4.9302</v>
      </c>
      <c r="E1721" s="1243" t="str">
        <f>VLOOKUP($B1721,dongia1,DG!$C$5,)</f>
        <v>Lắp xà thép trong phạm vi trạm</v>
      </c>
      <c r="F1721" s="1198" t="str">
        <f>VLOOKUP($B1721,dongia1,DG!$D$5,)</f>
        <v>kg</v>
      </c>
      <c r="G1721" s="1508">
        <f>SUM(G1718)</f>
        <v>0</v>
      </c>
      <c r="H1721" s="1298">
        <f>VLOOKUP($B1721,dongia1,DG!$F$5,)</f>
        <v>0</v>
      </c>
      <c r="I1721" s="1399"/>
      <c r="J1721" s="1399">
        <f>VLOOKUP($B1721,dongia1,DG!$G$5,)</f>
        <v>2025</v>
      </c>
      <c r="K1721" s="1399"/>
      <c r="L1721" s="1400">
        <f t="shared" si="402"/>
        <v>0</v>
      </c>
      <c r="M1721" s="1400"/>
      <c r="N1721" s="1399">
        <f>VLOOKUP($B1721,dongia1,DG!$G$5,)*hslxh*G1721</f>
        <v>0</v>
      </c>
      <c r="O1721" s="1400"/>
      <c r="P1721" s="1299"/>
      <c r="Q1721" s="1300"/>
      <c r="R1721" s="1300"/>
      <c r="S1721" s="1300"/>
    </row>
    <row r="1722" spans="1:19" s="1740" customFormat="1" hidden="1">
      <c r="A1722" s="1731" t="str">
        <f>IF(G1722&lt;&gt;0,1,"")</f>
        <v/>
      </c>
      <c r="B1722" s="1732"/>
      <c r="C1722" s="166">
        <f>IF(G1722&gt;0,C1716+1,C1716)</f>
        <v>0</v>
      </c>
      <c r="D1722" s="1733"/>
      <c r="E1722" s="168" t="s">
        <v>3440</v>
      </c>
      <c r="F1722" s="169" t="s">
        <v>2113</v>
      </c>
      <c r="G1722" s="1734">
        <f>G1632</f>
        <v>0</v>
      </c>
      <c r="H1722" s="193"/>
      <c r="I1722" s="170"/>
      <c r="J1722" s="1736"/>
      <c r="K1722" s="1736"/>
      <c r="L1722" s="1737">
        <f t="shared" ref="L1722:L1729" si="403">H1722*G1722</f>
        <v>0</v>
      </c>
      <c r="M1722" s="64">
        <f>I1722*G1722</f>
        <v>0</v>
      </c>
      <c r="N1722" s="1737">
        <f t="shared" ref="N1722:N1729" si="404">J1722*G1722</f>
        <v>0</v>
      </c>
      <c r="O1722" s="1737">
        <f>K1722*G1722</f>
        <v>0</v>
      </c>
      <c r="P1722" s="1739"/>
      <c r="R1722" s="61"/>
    </row>
    <row r="1723" spans="1:19" s="1081" customFormat="1" ht="14.4" hidden="1" outlineLevel="1">
      <c r="A1723" s="1072" t="str">
        <f>+A1722</f>
        <v/>
      </c>
      <c r="B1723" s="1469"/>
      <c r="C1723" s="1291"/>
      <c r="D1723" s="1292"/>
      <c r="E1723" s="1301" t="s">
        <v>3399</v>
      </c>
      <c r="F1723" s="1302"/>
      <c r="G1723" s="1508"/>
      <c r="H1723" s="1298"/>
      <c r="I1723" s="1298"/>
      <c r="J1723" s="1298"/>
      <c r="K1723" s="1298"/>
      <c r="L1723" s="1298">
        <f t="shared" si="403"/>
        <v>0</v>
      </c>
      <c r="M1723" s="1298">
        <f>I1723*G1723</f>
        <v>0</v>
      </c>
      <c r="N1723" s="1298">
        <f t="shared" si="404"/>
        <v>0</v>
      </c>
      <c r="O1723" s="1298">
        <f>K1723*G1723</f>
        <v>0</v>
      </c>
      <c r="P1723" s="1499"/>
      <c r="Q1723" s="1300"/>
      <c r="R1723" s="1300"/>
      <c r="S1723" s="1300"/>
    </row>
    <row r="1724" spans="1:19" s="1081" customFormat="1" hidden="1" outlineLevel="1">
      <c r="A1724" s="1072" t="str">
        <f t="shared" ref="A1724:A1729" si="405">IF(G1724&lt;&gt;0,1,"")</f>
        <v/>
      </c>
      <c r="B1724" s="1295" t="s">
        <v>1200</v>
      </c>
      <c r="C1724" s="1291"/>
      <c r="D1724" s="1198">
        <f>VLOOKUP($B1724,dongia1,DG!$B$5,)</f>
        <v>0</v>
      </c>
      <c r="E1724" s="1243" t="str">
        <f>VLOOKUP($B1724,dongia1,DG!$C$5,)</f>
        <v>Cáp đồng trần M25mm2</v>
      </c>
      <c r="F1724" s="1198" t="str">
        <f>VLOOKUP($B1724,dongia1,DG!$D$5,)</f>
        <v>kg</v>
      </c>
      <c r="G1724" s="1508">
        <f>($H$3+20)*0.224*G1722</f>
        <v>0</v>
      </c>
      <c r="H1724" s="1298">
        <f>VLOOKUP($B1724,dongia1,DG!$F$5,)</f>
        <v>255500</v>
      </c>
      <c r="I1724" s="1298"/>
      <c r="J1724" s="1298">
        <f>VLOOKUP($B1724,dongia1,DG!$G$5,)</f>
        <v>0</v>
      </c>
      <c r="K1724" s="1298">
        <f>VLOOKUP($B1724,dongia1,DG!$H$5,)</f>
        <v>0</v>
      </c>
      <c r="L1724" s="1298">
        <f t="shared" si="403"/>
        <v>0</v>
      </c>
      <c r="M1724" s="1298">
        <f>I1724*G1724</f>
        <v>0</v>
      </c>
      <c r="N1724" s="1298">
        <f t="shared" si="404"/>
        <v>0</v>
      </c>
      <c r="O1724" s="1298">
        <f>K1724*G1724</f>
        <v>0</v>
      </c>
      <c r="P1724" s="1499"/>
      <c r="Q1724" s="1300"/>
      <c r="R1724" s="1300"/>
      <c r="S1724" s="1300"/>
    </row>
    <row r="1725" spans="1:19" s="1081" customFormat="1" hidden="1" outlineLevel="1">
      <c r="A1725" s="1072" t="str">
        <f t="shared" si="405"/>
        <v/>
      </c>
      <c r="B1725" s="1068" t="s">
        <v>1098</v>
      </c>
      <c r="C1725" s="1291"/>
      <c r="D1725" s="1198">
        <f>VLOOKUP($B1725,dongia1,DG!$B$5,)</f>
        <v>0</v>
      </c>
      <c r="E1725" s="1243" t="str">
        <f>VLOOKUP($B1725,dongia1,DG!$C$5,)</f>
        <v>Cọc tiếp đất Þ 16- 2,4m + kẹp cọc</v>
      </c>
      <c r="F1725" s="1198" t="str">
        <f>VLOOKUP($B1725,dongia1,DG!$D$5,)</f>
        <v>bộ</v>
      </c>
      <c r="G1725" s="1508">
        <f>$H$2*G1722</f>
        <v>0</v>
      </c>
      <c r="H1725" s="1298">
        <f>VLOOKUP($B1725,dongia1,DG!$F$5,)</f>
        <v>160000</v>
      </c>
      <c r="I1725" s="1298"/>
      <c r="J1725" s="1298">
        <f>VLOOKUP($B1725,dongia1,DG!$G$5,)</f>
        <v>0</v>
      </c>
      <c r="K1725" s="1298">
        <f>VLOOKUP($B1725,dongia1,DG!$H$5,)</f>
        <v>0</v>
      </c>
      <c r="L1725" s="1298">
        <f t="shared" si="403"/>
        <v>0</v>
      </c>
      <c r="M1725" s="1298">
        <f>I1725*G1725</f>
        <v>0</v>
      </c>
      <c r="N1725" s="1298">
        <f t="shared" si="404"/>
        <v>0</v>
      </c>
      <c r="O1725" s="1298">
        <f>K1725*G1725</f>
        <v>0</v>
      </c>
      <c r="P1725" s="1499"/>
      <c r="Q1725" s="1300"/>
      <c r="R1725" s="1300"/>
      <c r="S1725" s="1300"/>
    </row>
    <row r="1726" spans="1:19" s="1081" customFormat="1" hidden="1" outlineLevel="1">
      <c r="A1726" s="1072" t="str">
        <f t="shared" si="405"/>
        <v/>
      </c>
      <c r="B1726" s="1068" t="s">
        <v>2040</v>
      </c>
      <c r="C1726" s="1291"/>
      <c r="D1726" s="1198">
        <f>VLOOKUP($B1726,dongia1,DG!$B$5,)</f>
        <v>0</v>
      </c>
      <c r="E1726" s="1243" t="str">
        <f>VLOOKUP($B1726,dongia1,DG!$C$5,)</f>
        <v xml:space="preserve">Ống PVC D21x1,6mm </v>
      </c>
      <c r="F1726" s="1198" t="str">
        <f>VLOOKUP($B1726,dongia1,DG!$D$5,)</f>
        <v>m</v>
      </c>
      <c r="G1726" s="1508">
        <f>G1722*8*0</f>
        <v>0</v>
      </c>
      <c r="H1726" s="1298">
        <f>VLOOKUP($B1726,dongia1,DG!$F$5,)</f>
        <v>6200</v>
      </c>
      <c r="I1726" s="1298"/>
      <c r="J1726" s="1298">
        <f>VLOOKUP($B1726,dongia1,DG!$G$5,)</f>
        <v>0</v>
      </c>
      <c r="K1726" s="1298">
        <f>VLOOKUP($B1726,dongia1,DG!$H$5,)</f>
        <v>0</v>
      </c>
      <c r="L1726" s="1298">
        <f t="shared" si="403"/>
        <v>0</v>
      </c>
      <c r="M1726" s="1298">
        <f>I1726*G1726</f>
        <v>0</v>
      </c>
      <c r="N1726" s="1298">
        <f t="shared" si="404"/>
        <v>0</v>
      </c>
      <c r="O1726" s="1298">
        <f>K1726*G1726</f>
        <v>0</v>
      </c>
      <c r="P1726" s="1507"/>
      <c r="Q1726" s="1300"/>
      <c r="R1726" s="1300"/>
      <c r="S1726" s="1300"/>
    </row>
    <row r="1727" spans="1:19" s="1081" customFormat="1" hidden="1" outlineLevel="1">
      <c r="A1727" s="1072" t="str">
        <f t="shared" si="405"/>
        <v/>
      </c>
      <c r="B1727" s="1470" t="s">
        <v>205</v>
      </c>
      <c r="C1727" s="1291"/>
      <c r="D1727" s="1198">
        <f>VLOOKUP($B1727,dongia1,DG!$B$5,)</f>
        <v>0</v>
      </c>
      <c r="E1727" s="1243" t="str">
        <f>VLOOKUP($B1727,dongia1,DG!$C$5,)</f>
        <v>Kẹp ép WR cỡ dây 50mm2</v>
      </c>
      <c r="F1727" s="1198" t="str">
        <f>VLOOKUP($B1727,dongia1,DG!$D$5,)</f>
        <v>cái</v>
      </c>
      <c r="G1727" s="1508">
        <f>2*G1722*0</f>
        <v>0</v>
      </c>
      <c r="H1727" s="1298">
        <f>VLOOKUP($B1727,dongia1,DG!$F$5,)</f>
        <v>8000</v>
      </c>
      <c r="I1727" s="1298"/>
      <c r="J1727" s="1298">
        <f>VLOOKUP($B1727,dongia1,DG!$G$5,)</f>
        <v>0</v>
      </c>
      <c r="K1727" s="1298"/>
      <c r="L1727" s="1298">
        <f t="shared" si="403"/>
        <v>0</v>
      </c>
      <c r="M1727" s="1298"/>
      <c r="N1727" s="1298">
        <f t="shared" si="404"/>
        <v>0</v>
      </c>
      <c r="O1727" s="1298"/>
      <c r="P1727" s="1499"/>
      <c r="Q1727" s="1300"/>
      <c r="R1727" s="1300"/>
      <c r="S1727" s="1300"/>
    </row>
    <row r="1728" spans="1:19" s="1081" customFormat="1" hidden="1" outlineLevel="1">
      <c r="A1728" s="1072" t="str">
        <f t="shared" si="405"/>
        <v/>
      </c>
      <c r="B1728" s="1470" t="s">
        <v>42</v>
      </c>
      <c r="C1728" s="1291"/>
      <c r="D1728" s="1198" t="str">
        <f>VLOOKUP($B1728,dongia1,DG!$B$5,)</f>
        <v>D4.5002</v>
      </c>
      <c r="E1728" s="1243" t="str">
        <f>VLOOKUP($B1728,dongia1,DG!$C$5,)</f>
        <v>Đầu cosse ép Cu 50mm2</v>
      </c>
      <c r="F1728" s="1198" t="str">
        <f>VLOOKUP($B1728,dongia1,DG!$D$5,)</f>
        <v>cái</v>
      </c>
      <c r="G1728" s="1508">
        <f>G1722*14</f>
        <v>0</v>
      </c>
      <c r="H1728" s="1298">
        <f>VLOOKUP($B1728,dongia1,DG!$F$5,)</f>
        <v>9100</v>
      </c>
      <c r="I1728" s="1298"/>
      <c r="J1728" s="1298">
        <f>VLOOKUP($B1728,dongia1,DG!$G$5,)</f>
        <v>10608.955000000002</v>
      </c>
      <c r="K1728" s="1298"/>
      <c r="L1728" s="1298">
        <f>H1728*G1728</f>
        <v>0</v>
      </c>
      <c r="M1728" s="1298"/>
      <c r="N1728" s="1298">
        <f>J1728*G1728</f>
        <v>0</v>
      </c>
      <c r="O1728" s="1298"/>
      <c r="P1728" s="1499"/>
      <c r="Q1728" s="1300"/>
      <c r="R1728" s="1300"/>
      <c r="S1728" s="1300"/>
    </row>
    <row r="1729" spans="1:19" s="1081" customFormat="1" hidden="1" outlineLevel="1">
      <c r="A1729" s="1072" t="str">
        <f t="shared" si="405"/>
        <v/>
      </c>
      <c r="B1729" s="1470" t="s">
        <v>903</v>
      </c>
      <c r="C1729" s="1471"/>
      <c r="D1729" s="1198">
        <f>VLOOKUP($B1729,dongia1,DG!$B$5,)</f>
        <v>0</v>
      </c>
      <c r="E1729" s="1243" t="str">
        <f>VLOOKUP($B1729,dongia1,DG!$C$5,)</f>
        <v>Ốc xiết cáp cỡ 25mm2</v>
      </c>
      <c r="F1729" s="1198" t="str">
        <f>VLOOKUP($B1729,dongia1,DG!$D$5,)</f>
        <v>cái</v>
      </c>
      <c r="G1729" s="1508">
        <f>IF(G1726&lt;=12,15,21)*G1722</f>
        <v>0</v>
      </c>
      <c r="H1729" s="1298">
        <f>VLOOKUP($B1729,dongia1,DG!$F$5,)</f>
        <v>17600</v>
      </c>
      <c r="I1729" s="1298"/>
      <c r="J1729" s="1298">
        <f>VLOOKUP($B1729,dongia1,DG!$G$5,)</f>
        <v>0</v>
      </c>
      <c r="K1729" s="1298"/>
      <c r="L1729" s="1298">
        <f t="shared" si="403"/>
        <v>0</v>
      </c>
      <c r="M1729" s="1298">
        <f>I1729*G1729</f>
        <v>0</v>
      </c>
      <c r="N1729" s="1298">
        <f t="shared" si="404"/>
        <v>0</v>
      </c>
      <c r="O1729" s="1298">
        <f>K1729*G1729</f>
        <v>0</v>
      </c>
      <c r="P1729" s="1499"/>
      <c r="Q1729" s="1300"/>
      <c r="R1729" s="1300"/>
      <c r="S1729" s="1300"/>
    </row>
    <row r="1730" spans="1:19" s="1081" customFormat="1" hidden="1" outlineLevel="1">
      <c r="A1730" s="1072" t="str">
        <f t="shared" ref="A1730:A1740" si="406">IF(G1730&lt;&gt;0,1,"")</f>
        <v/>
      </c>
      <c r="B1730" s="1068" t="s">
        <v>1490</v>
      </c>
      <c r="C1730" s="1471"/>
      <c r="D1730" s="1198">
        <f>VLOOKUP($B1730,dongia1,DG!$B$5,)</f>
        <v>0</v>
      </c>
      <c r="E1730" s="1243" t="str">
        <f>VLOOKUP($B1730,dongia1,DG!$C$5,)</f>
        <v>Cổ dê kẹp ống PVC (STK) Þ 21</v>
      </c>
      <c r="F1730" s="1198" t="str">
        <f>VLOOKUP($B1730,dongia1,DG!$D$5,)</f>
        <v>bộ</v>
      </c>
      <c r="G1730" s="1508">
        <f>+G1722*4*0</f>
        <v>0</v>
      </c>
      <c r="H1730" s="1298">
        <f>VLOOKUP($B1730,dongia1,DG!$F$5,)</f>
        <v>43000</v>
      </c>
      <c r="I1730" s="1298"/>
      <c r="J1730" s="1298">
        <f>VLOOKUP($B1730,dongia1,DG!$G$5,)</f>
        <v>0</v>
      </c>
      <c r="K1730" s="1298"/>
      <c r="L1730" s="1298">
        <f t="shared" ref="L1730:L1740" si="407">H1730*G1730</f>
        <v>0</v>
      </c>
      <c r="M1730" s="1298">
        <f t="shared" ref="M1730:M1740" si="408">I1730*G1730</f>
        <v>0</v>
      </c>
      <c r="N1730" s="1298">
        <f t="shared" ref="N1730:N1739" si="409">J1730*G1730</f>
        <v>0</v>
      </c>
      <c r="O1730" s="1298">
        <f t="shared" ref="O1730:O1740" si="410">K1730*G1730</f>
        <v>0</v>
      </c>
      <c r="P1730" s="1499"/>
      <c r="Q1730" s="1300"/>
      <c r="R1730" s="1300"/>
      <c r="S1730" s="1300"/>
    </row>
    <row r="1731" spans="1:19" s="1081" customFormat="1" hidden="1" outlineLevel="1">
      <c r="A1731" s="1072" t="str">
        <f t="shared" si="406"/>
        <v/>
      </c>
      <c r="B1731" s="1068" t="s">
        <v>211</v>
      </c>
      <c r="C1731" s="1471"/>
      <c r="D1731" s="1198">
        <f>VLOOKUP($B1731,dongia1,DG!$B$5,)</f>
        <v>0</v>
      </c>
      <c r="E1731" s="1243" t="str">
        <f>VLOOKUP($B1731,dongia1,DG!$C$5,)</f>
        <v>Khoan giếng tiếp địa</v>
      </c>
      <c r="F1731" s="1198" t="str">
        <f>VLOOKUP($B1731,dongia1,DG!$D$5,)</f>
        <v>Cái</v>
      </c>
      <c r="G1731" s="1508">
        <f>G1722*2*0</f>
        <v>0</v>
      </c>
      <c r="H1731" s="1298">
        <f>VLOOKUP($B1731,dongia1,DG!$F$5,)</f>
        <v>0</v>
      </c>
      <c r="I1731" s="1298"/>
      <c r="J1731" s="1298">
        <f>VLOOKUP($B1731,dongia1,DG!$G$5,)</f>
        <v>1500000</v>
      </c>
      <c r="K1731" s="1298"/>
      <c r="L1731" s="1298">
        <f t="shared" si="407"/>
        <v>0</v>
      </c>
      <c r="M1731" s="1298">
        <f t="shared" si="408"/>
        <v>0</v>
      </c>
      <c r="N1731" s="1298">
        <f t="shared" si="409"/>
        <v>0</v>
      </c>
      <c r="O1731" s="1298">
        <f t="shared" si="410"/>
        <v>0</v>
      </c>
      <c r="P1731" s="1499"/>
      <c r="Q1731" s="1300"/>
      <c r="R1731" s="1300"/>
      <c r="S1731" s="1300"/>
    </row>
    <row r="1732" spans="1:19" s="1081" customFormat="1" hidden="1" outlineLevel="1">
      <c r="A1732" s="1072" t="str">
        <f t="shared" si="406"/>
        <v/>
      </c>
      <c r="B1732" s="1068" t="s">
        <v>4483</v>
      </c>
      <c r="C1732" s="1471"/>
      <c r="D1732" s="1198">
        <f>VLOOKUP($B1732,dongia1,DG!$B$5,)</f>
        <v>0</v>
      </c>
      <c r="E1732" s="1243" t="str">
        <f>VLOOKUP($B1732,dongia1,DG!$C$5,)</f>
        <v>Thanh sắt V50x50x5-4000 - 16kg/thanh</v>
      </c>
      <c r="F1732" s="1198" t="str">
        <f>VLOOKUP($B1732,dongia1,DG!$D$5,)</f>
        <v>kg</v>
      </c>
      <c r="G1732" s="1508">
        <f>5*16*G1731</f>
        <v>0</v>
      </c>
      <c r="H1732" s="1298">
        <f>VLOOKUP($B1732,dongia1,DG!$F$5,)</f>
        <v>31625</v>
      </c>
      <c r="I1732" s="1298"/>
      <c r="J1732" s="1298">
        <f>VLOOKUP($B1732,dongia1,DG!$G$5,)</f>
        <v>0</v>
      </c>
      <c r="K1732" s="1298"/>
      <c r="L1732" s="1298">
        <f t="shared" si="407"/>
        <v>0</v>
      </c>
      <c r="M1732" s="1298">
        <f t="shared" si="408"/>
        <v>0</v>
      </c>
      <c r="N1732" s="1298">
        <f t="shared" si="409"/>
        <v>0</v>
      </c>
      <c r="O1732" s="1298">
        <f t="shared" si="410"/>
        <v>0</v>
      </c>
      <c r="P1732" s="1499"/>
      <c r="Q1732" s="1300"/>
      <c r="R1732" s="1300"/>
      <c r="S1732" s="1300"/>
    </row>
    <row r="1733" spans="1:19" s="1081" customFormat="1" hidden="1" outlineLevel="1">
      <c r="A1733" s="1072" t="str">
        <f t="shared" si="406"/>
        <v/>
      </c>
      <c r="B1733" s="1068" t="s">
        <v>4484</v>
      </c>
      <c r="C1733" s="1471"/>
      <c r="D1733" s="1198" t="str">
        <f>VLOOKUP($B1733,dongia1,DG!$B$5,)</f>
        <v>07.1201</v>
      </c>
      <c r="E1733" s="1243" t="str">
        <f>VLOOKUP($B1733,dongia1,DG!$C$5,)</f>
        <v>Hàn thanh sắt V50x50x5-4000/Zn thành cọc dài 20 mét</v>
      </c>
      <c r="F1733" s="1198" t="str">
        <f>VLOOKUP($B1733,dongia1,DG!$D$5,)</f>
        <v>mối hàn</v>
      </c>
      <c r="G1733" s="1508">
        <f>G1722*4*G1731</f>
        <v>0</v>
      </c>
      <c r="H1733" s="1298">
        <f>VLOOKUP($B1733,dongia1,DG!$F$5,)</f>
        <v>0</v>
      </c>
      <c r="I1733" s="1298"/>
      <c r="J1733" s="1298">
        <f>VLOOKUP($B1733,dongia1,DG!$G$5,)</f>
        <v>55638</v>
      </c>
      <c r="K1733" s="1298"/>
      <c r="L1733" s="1298">
        <f t="shared" si="407"/>
        <v>0</v>
      </c>
      <c r="M1733" s="1298">
        <f t="shared" si="408"/>
        <v>0</v>
      </c>
      <c r="N1733" s="1298">
        <f t="shared" si="409"/>
        <v>0</v>
      </c>
      <c r="O1733" s="1298">
        <f t="shared" si="410"/>
        <v>0</v>
      </c>
      <c r="P1733" s="1499"/>
      <c r="Q1733" s="1300"/>
      <c r="R1733" s="1300"/>
      <c r="S1733" s="1300"/>
    </row>
    <row r="1734" spans="1:19" s="1081" customFormat="1" hidden="1" outlineLevel="1">
      <c r="A1734" s="1072" t="str">
        <f t="shared" si="406"/>
        <v/>
      </c>
      <c r="B1734" s="1068" t="s">
        <v>4491</v>
      </c>
      <c r="C1734" s="1471"/>
      <c r="D1734" s="1198">
        <f>VLOOKUP($B1734,dongia1,DG!$B$5,)</f>
        <v>0</v>
      </c>
      <c r="E1734" s="1243" t="str">
        <f>VLOOKUP($B1734,dongia1,DG!$C$5,)</f>
        <v>Sắt tròn Þ8 thanh dài 2m (hàn bass 2 đầu, mạ kẽm)</v>
      </c>
      <c r="F1734" s="1198" t="str">
        <f>VLOOKUP($B1734,dongia1,DG!$D$5,)</f>
        <v xml:space="preserve">thanh </v>
      </c>
      <c r="G1734" s="1508">
        <f>G1722*6*0</f>
        <v>0</v>
      </c>
      <c r="H1734" s="1298">
        <f>VLOOKUP($B1734,dongia1,DG!$F$5,)</f>
        <v>38105</v>
      </c>
      <c r="I1734" s="1298"/>
      <c r="J1734" s="1298">
        <f>VLOOKUP($B1734,dongia1,DG!$G$5,)</f>
        <v>0</v>
      </c>
      <c r="K1734" s="1298"/>
      <c r="L1734" s="1298">
        <f t="shared" si="407"/>
        <v>0</v>
      </c>
      <c r="M1734" s="1298">
        <f t="shared" si="408"/>
        <v>0</v>
      </c>
      <c r="N1734" s="1298">
        <f t="shared" si="409"/>
        <v>0</v>
      </c>
      <c r="O1734" s="1298">
        <f t="shared" si="410"/>
        <v>0</v>
      </c>
      <c r="P1734" s="1499"/>
      <c r="Q1734" s="1300"/>
      <c r="R1734" s="1300"/>
      <c r="S1734" s="1300"/>
    </row>
    <row r="1735" spans="1:19" s="1081" customFormat="1" hidden="1" outlineLevel="1">
      <c r="A1735" s="1072" t="str">
        <f t="shared" si="406"/>
        <v/>
      </c>
      <c r="B1735" s="1068" t="s">
        <v>4495</v>
      </c>
      <c r="C1735" s="1471"/>
      <c r="D1735" s="1198">
        <f>VLOOKUP($B1735,dongia1,DG!$B$5,)</f>
        <v>0</v>
      </c>
      <c r="E1735" s="1243" t="str">
        <f>VLOOKUP($B1735,dongia1,DG!$C$5,)</f>
        <v>Sắt tròn Þ8 thanh dài 3m (hàn bass 2 đầu, mạ kẽm)</v>
      </c>
      <c r="F1735" s="1198" t="str">
        <f>VLOOKUP($B1735,dongia1,DG!$D$5,)</f>
        <v xml:space="preserve">thanh </v>
      </c>
      <c r="G1735" s="1508">
        <f>G1722*2*0</f>
        <v>0</v>
      </c>
      <c r="H1735" s="1298">
        <f>VLOOKUP($B1735,dongia1,DG!$F$5,)</f>
        <v>53008</v>
      </c>
      <c r="I1735" s="1298"/>
      <c r="J1735" s="1298">
        <f>VLOOKUP($B1735,dongia1,DG!$G$5,)</f>
        <v>0</v>
      </c>
      <c r="K1735" s="1298"/>
      <c r="L1735" s="1298">
        <f t="shared" si="407"/>
        <v>0</v>
      </c>
      <c r="M1735" s="1298">
        <f t="shared" si="408"/>
        <v>0</v>
      </c>
      <c r="N1735" s="1298">
        <f t="shared" si="409"/>
        <v>0</v>
      </c>
      <c r="O1735" s="1298">
        <f t="shared" si="410"/>
        <v>0</v>
      </c>
      <c r="P1735" s="1499"/>
      <c r="Q1735" s="1300"/>
      <c r="R1735" s="1300"/>
      <c r="S1735" s="1300"/>
    </row>
    <row r="1736" spans="1:19" s="1081" customFormat="1" hidden="1" outlineLevel="1">
      <c r="A1736" s="1072" t="str">
        <f t="shared" si="406"/>
        <v/>
      </c>
      <c r="B1736" s="1068" t="s">
        <v>4608</v>
      </c>
      <c r="C1736" s="1471"/>
      <c r="D1736" s="1198">
        <f>VLOOKUP($B1736,dongia1,DG!$B$5,)</f>
        <v>0</v>
      </c>
      <c r="E1736" s="1243" t="str">
        <f>VLOOKUP($B1736,dongia1,DG!$C$5,)</f>
        <v>Boulon 8x50+ 2 long đền vuông</v>
      </c>
      <c r="F1736" s="1198" t="str">
        <f>VLOOKUP($B1736,dongia1,DG!$D$5,)</f>
        <v>bộ</v>
      </c>
      <c r="G1736" s="1508">
        <f>G1722*20</f>
        <v>0</v>
      </c>
      <c r="H1736" s="1298">
        <f>VLOOKUP($B1736,dongia1,DG!$F$5,)</f>
        <v>8400</v>
      </c>
      <c r="I1736" s="1298"/>
      <c r="J1736" s="1298">
        <f>VLOOKUP($B1736,dongia1,DG!$G$5,)</f>
        <v>0</v>
      </c>
      <c r="K1736" s="1298"/>
      <c r="L1736" s="1298">
        <f>H1736*G1736</f>
        <v>0</v>
      </c>
      <c r="M1736" s="1298">
        <f>I1736*G1736</f>
        <v>0</v>
      </c>
      <c r="N1736" s="1298">
        <f>J1736*G1736</f>
        <v>0</v>
      </c>
      <c r="O1736" s="1298">
        <f>K1736*G1736</f>
        <v>0</v>
      </c>
      <c r="P1736" s="1499"/>
      <c r="Q1736" s="1300"/>
      <c r="R1736" s="1300"/>
      <c r="S1736" s="1300"/>
    </row>
    <row r="1737" spans="1:19" s="1081" customFormat="1" hidden="1" outlineLevel="1">
      <c r="A1737" s="1072" t="str">
        <f t="shared" si="406"/>
        <v/>
      </c>
      <c r="B1737" s="1068" t="s">
        <v>4497</v>
      </c>
      <c r="C1737" s="1471"/>
      <c r="D1737" s="1198">
        <f>VLOOKUP($B1737,dongia1,DG!$B$5,)</f>
        <v>0</v>
      </c>
      <c r="E1737" s="1243" t="str">
        <f>VLOOKUP($B1737,dongia1,DG!$C$5,)</f>
        <v>Đai thép Inox</v>
      </c>
      <c r="F1737" s="1198" t="str">
        <f>VLOOKUP($B1737,dongia1,DG!$D$5,)</f>
        <v>mét</v>
      </c>
      <c r="G1737" s="1508">
        <f>G1734+G1735</f>
        <v>0</v>
      </c>
      <c r="H1737" s="1298">
        <f>VLOOKUP($B1737,dongia1,DG!$F$5,)</f>
        <v>11000</v>
      </c>
      <c r="I1737" s="1298"/>
      <c r="J1737" s="1298">
        <f>VLOOKUP($B1737,dongia1,DG!$G$5,)</f>
        <v>0</v>
      </c>
      <c r="K1737" s="1298"/>
      <c r="L1737" s="1298">
        <f t="shared" si="407"/>
        <v>0</v>
      </c>
      <c r="M1737" s="1298">
        <f t="shared" si="408"/>
        <v>0</v>
      </c>
      <c r="N1737" s="1298">
        <f t="shared" si="409"/>
        <v>0</v>
      </c>
      <c r="O1737" s="1298">
        <f t="shared" si="410"/>
        <v>0</v>
      </c>
      <c r="P1737" s="1499"/>
      <c r="Q1737" s="1300"/>
      <c r="R1737" s="1300"/>
      <c r="S1737" s="1300"/>
    </row>
    <row r="1738" spans="1:19" s="1081" customFormat="1" hidden="1" outlineLevel="1">
      <c r="A1738" s="1072" t="str">
        <f t="shared" si="406"/>
        <v/>
      </c>
      <c r="B1738" s="1068" t="s">
        <v>4499</v>
      </c>
      <c r="C1738" s="1471"/>
      <c r="D1738" s="1198">
        <f>VLOOKUP($B1738,dongia1,DG!$B$5,)</f>
        <v>0</v>
      </c>
      <c r="E1738" s="1243" t="str">
        <f>VLOOKUP($B1738,dongia1,DG!$C$5,)</f>
        <v>Khóa đai Inox</v>
      </c>
      <c r="F1738" s="1198" t="str">
        <f>VLOOKUP($B1738,dongia1,DG!$D$5,)</f>
        <v>cái</v>
      </c>
      <c r="G1738" s="1508">
        <f>G1737</f>
        <v>0</v>
      </c>
      <c r="H1738" s="1298">
        <f>VLOOKUP($B1738,dongia1,DG!$F$5,)</f>
        <v>4000</v>
      </c>
      <c r="I1738" s="1298"/>
      <c r="J1738" s="1298">
        <f>VLOOKUP($B1738,dongia1,DG!$G$5,)</f>
        <v>0</v>
      </c>
      <c r="K1738" s="1298"/>
      <c r="L1738" s="1298">
        <f t="shared" si="407"/>
        <v>0</v>
      </c>
      <c r="M1738" s="1298">
        <f t="shared" si="408"/>
        <v>0</v>
      </c>
      <c r="N1738" s="1298">
        <f t="shared" si="409"/>
        <v>0</v>
      </c>
      <c r="O1738" s="1298">
        <f t="shared" si="410"/>
        <v>0</v>
      </c>
      <c r="P1738" s="1499"/>
      <c r="Q1738" s="1300"/>
      <c r="R1738" s="1300"/>
      <c r="S1738" s="1300"/>
    </row>
    <row r="1739" spans="1:19" s="1081" customFormat="1" hidden="1" outlineLevel="1">
      <c r="A1739" s="1072" t="str">
        <f t="shared" si="406"/>
        <v/>
      </c>
      <c r="B1739" s="1068" t="s">
        <v>665</v>
      </c>
      <c r="C1739" s="1471"/>
      <c r="D1739" s="1198" t="str">
        <f>VLOOKUP($B1739,dongia1,DG!$B$5,)</f>
        <v>AB.11513</v>
      </c>
      <c r="E1739" s="1243" t="str">
        <f>VLOOKUP($B1739,dongia1,DG!$C$5,)</f>
        <v>Đào rãnh tiếp địa đất cấp 3</v>
      </c>
      <c r="F1739" s="1198" t="str">
        <f>VLOOKUP($B1739,dongia1,DG!$D$5,)</f>
        <v>m3</v>
      </c>
      <c r="G1739" s="1508">
        <f>G1722*(52+20)*0.3*0.5</f>
        <v>0</v>
      </c>
      <c r="H1739" s="1298">
        <f>VLOOKUP($B1739,dongia1,DG!$F$5,)</f>
        <v>0</v>
      </c>
      <c r="I1739" s="1298"/>
      <c r="J1739" s="1298">
        <f>VLOOKUP($B1739,dongia1,DG!$G$5,)</f>
        <v>283749.75</v>
      </c>
      <c r="K1739" s="1298"/>
      <c r="L1739" s="1298">
        <f t="shared" si="407"/>
        <v>0</v>
      </c>
      <c r="M1739" s="1298">
        <f t="shared" si="408"/>
        <v>0</v>
      </c>
      <c r="N1739" s="1298">
        <f t="shared" si="409"/>
        <v>0</v>
      </c>
      <c r="O1739" s="1298">
        <f t="shared" si="410"/>
        <v>0</v>
      </c>
      <c r="P1739" s="1499"/>
      <c r="Q1739" s="1300"/>
      <c r="R1739" s="1300"/>
      <c r="S1739" s="1300"/>
    </row>
    <row r="1740" spans="1:19" s="1081" customFormat="1" hidden="1" outlineLevel="1">
      <c r="A1740" s="1072" t="str">
        <f t="shared" si="406"/>
        <v/>
      </c>
      <c r="B1740" s="1068" t="s">
        <v>1985</v>
      </c>
      <c r="C1740" s="1471"/>
      <c r="D1740" s="1198" t="str">
        <f>VLOOKUP($B1740,dongia1,DG!$B$5,)</f>
        <v>AB.13111</v>
      </c>
      <c r="E1740" s="1243" t="str">
        <f>VLOOKUP($B1740,dongia1,DG!$C$5,)</f>
        <v>Đắp đất rãnh tiếp địa cấp 3 (độ chặt k = 0.85)</v>
      </c>
      <c r="F1740" s="1198" t="str">
        <f>VLOOKUP($B1740,dongia1,DG!$D$5,)</f>
        <v>m3</v>
      </c>
      <c r="G1740" s="1508">
        <f>G1739</f>
        <v>0</v>
      </c>
      <c r="H1740" s="1298">
        <f>VLOOKUP($B1740,dongia1,DG!$F$5,)</f>
        <v>0</v>
      </c>
      <c r="I1740" s="1298"/>
      <c r="J1740" s="1298">
        <f>VLOOKUP($B1740,dongia1,DG!$G$5,)</f>
        <v>117703.6</v>
      </c>
      <c r="K1740" s="1298"/>
      <c r="L1740" s="1298">
        <f t="shared" si="407"/>
        <v>0</v>
      </c>
      <c r="M1740" s="1298">
        <f t="shared" si="408"/>
        <v>0</v>
      </c>
      <c r="N1740" s="1298">
        <f>J1740*G1740</f>
        <v>0</v>
      </c>
      <c r="O1740" s="1298">
        <f t="shared" si="410"/>
        <v>0</v>
      </c>
      <c r="P1740" s="1499"/>
      <c r="Q1740" s="1300"/>
      <c r="R1740" s="1300"/>
      <c r="S1740" s="1300"/>
    </row>
    <row r="1741" spans="1:19" s="1081" customFormat="1" hidden="1" outlineLevel="1">
      <c r="A1741" s="1072" t="str">
        <f>IF(G1741&lt;&gt;0,1,"")</f>
        <v/>
      </c>
      <c r="B1741" s="1068" t="s">
        <v>985</v>
      </c>
      <c r="C1741" s="1291"/>
      <c r="D1741" s="1198" t="str">
        <f>VLOOKUP($B1741,dongia1,DG!$B$5,)</f>
        <v>D2.8103</v>
      </c>
      <c r="E1741" s="1243" t="str">
        <f>VLOOKUP($B1741,dongia1,DG!$C$5,)</f>
        <v>Đóng cọc tiếp địa đất cấp 3 dài 2,5m</v>
      </c>
      <c r="F1741" s="1198" t="s">
        <v>2113</v>
      </c>
      <c r="G1741" s="1512">
        <f>G1725</f>
        <v>0</v>
      </c>
      <c r="H1741" s="1298">
        <f>VLOOKUP($B1741,dongia1,DG!$F$5,)</f>
        <v>0</v>
      </c>
      <c r="I1741" s="1298"/>
      <c r="J1741" s="1298">
        <f>VLOOKUP($B1741,dongia1,DG!$G$5,)</f>
        <v>90355.896000000008</v>
      </c>
      <c r="K1741" s="1298">
        <f>VLOOKUP($B1741,dongia1,DG!$H$5,)</f>
        <v>1573.075</v>
      </c>
      <c r="L1741" s="1298">
        <f>H1741*G1741</f>
        <v>0</v>
      </c>
      <c r="M1741" s="1298">
        <f>I1741*G1741</f>
        <v>0</v>
      </c>
      <c r="N1741" s="1298">
        <f>J1741*G1741</f>
        <v>0</v>
      </c>
      <c r="O1741" s="1298">
        <f>K1741*G1741</f>
        <v>0</v>
      </c>
      <c r="P1741" s="1507"/>
      <c r="Q1741" s="1300"/>
      <c r="R1741" s="1300"/>
      <c r="S1741" s="1300"/>
    </row>
    <row r="1742" spans="1:19" s="1081" customFormat="1" hidden="1" outlineLevel="1">
      <c r="A1742" s="1072" t="str">
        <f>IF(G1742&lt;&gt;0,1,"")</f>
        <v/>
      </c>
      <c r="B1742" s="1068" t="s">
        <v>983</v>
      </c>
      <c r="C1742" s="1291"/>
      <c r="D1742" s="1198" t="str">
        <f>VLOOKUP($B1742,dongia1,DG!$B$5,)</f>
        <v>T4.7001</v>
      </c>
      <c r="E1742" s="1243" t="str">
        <f>VLOOKUP($B1742,dongia1,DG!$C$5,)</f>
        <v>Kéo dây tiếp địa TBA</v>
      </c>
      <c r="F1742" s="1198" t="str">
        <f>VLOOKUP($B1742,dongia1,DG!$D$5,)</f>
        <v>mét</v>
      </c>
      <c r="G1742" s="1512">
        <f>G1724/0.224</f>
        <v>0</v>
      </c>
      <c r="H1742" s="1298">
        <f>VLOOKUP($B1742,dongia1,DG!$F$5,)</f>
        <v>0</v>
      </c>
      <c r="I1742" s="1298"/>
      <c r="J1742" s="1298">
        <f>VLOOKUP($B1742,dongia1,DG!$G$5,)</f>
        <v>8070.7000000000007</v>
      </c>
      <c r="K1742" s="1298">
        <f>VLOOKUP($B1742,dongia1,DG!$H$5,)</f>
        <v>2044.9974999999999</v>
      </c>
      <c r="L1742" s="1298">
        <f>H1742*G1742</f>
        <v>0</v>
      </c>
      <c r="M1742" s="1298">
        <f>I1742*G1742</f>
        <v>0</v>
      </c>
      <c r="N1742" s="1298">
        <f>J1742*G1742</f>
        <v>0</v>
      </c>
      <c r="O1742" s="1298">
        <f>K1742*G1742</f>
        <v>0</v>
      </c>
      <c r="P1742" s="1499"/>
      <c r="Q1742" s="1300"/>
      <c r="R1742" s="1300"/>
      <c r="S1742" s="1300"/>
    </row>
    <row r="1743" spans="1:19" s="61" customFormat="1" hidden="1">
      <c r="A1743" s="137" t="str">
        <f>IF(G1743&lt;&gt;0,1,"")</f>
        <v/>
      </c>
      <c r="B1743" s="181"/>
      <c r="C1743" s="166">
        <f>IF(G1743&gt;0,C1722+1,C1722)</f>
        <v>0</v>
      </c>
      <c r="D1743" s="167"/>
      <c r="E1743" s="168" t="s">
        <v>3441</v>
      </c>
      <c r="F1743" s="169" t="s">
        <v>2113</v>
      </c>
      <c r="G1743" s="1734">
        <f>G1722</f>
        <v>0</v>
      </c>
      <c r="H1743" s="170"/>
      <c r="I1743" s="170"/>
      <c r="J1743" s="172"/>
      <c r="K1743" s="172"/>
      <c r="L1743" s="64">
        <f t="shared" ref="L1743:L1757" si="411">H1743*G1743</f>
        <v>0</v>
      </c>
      <c r="M1743" s="64">
        <f t="shared" ref="M1743:M1757" si="412">I1743*G1743</f>
        <v>0</v>
      </c>
      <c r="N1743" s="64">
        <f t="shared" ref="N1743:N1757" si="413">J1743*G1743</f>
        <v>0</v>
      </c>
      <c r="O1743" s="64">
        <f t="shared" ref="O1743:O1757" si="414">K1743*G1743</f>
        <v>0</v>
      </c>
      <c r="P1743" s="173"/>
    </row>
    <row r="1744" spans="1:19" s="1081" customFormat="1" ht="14.4" hidden="1" outlineLevel="1">
      <c r="A1744" s="1072" t="str">
        <f>A1743</f>
        <v/>
      </c>
      <c r="B1744" s="1295"/>
      <c r="C1744" s="1291"/>
      <c r="D1744" s="1292"/>
      <c r="E1744" s="1301" t="s">
        <v>3399</v>
      </c>
      <c r="F1744" s="1302"/>
      <c r="G1744" s="1304"/>
      <c r="H1744" s="1298"/>
      <c r="I1744" s="1298"/>
      <c r="J1744" s="1298"/>
      <c r="K1744" s="1298"/>
      <c r="L1744" s="1298">
        <f t="shared" si="411"/>
        <v>0</v>
      </c>
      <c r="M1744" s="1298">
        <f t="shared" si="412"/>
        <v>0</v>
      </c>
      <c r="N1744" s="1298">
        <f t="shared" si="413"/>
        <v>0</v>
      </c>
      <c r="O1744" s="1298">
        <f t="shared" si="414"/>
        <v>0</v>
      </c>
      <c r="P1744" s="1299"/>
      <c r="Q1744" s="1300"/>
      <c r="R1744" s="1300"/>
      <c r="S1744" s="1300"/>
    </row>
    <row r="1745" spans="1:20" s="1081" customFormat="1" hidden="1" outlineLevel="1">
      <c r="A1745" s="1072" t="str">
        <f>IF(G1745&lt;&gt;0,1,"")</f>
        <v/>
      </c>
      <c r="B1745" s="1295" t="s">
        <v>1472</v>
      </c>
      <c r="C1745" s="1302"/>
      <c r="D1745" s="1198">
        <f>VLOOKUP($B1745,dongia1,DG!$B$5,)</f>
        <v>0</v>
      </c>
      <c r="E1745" s="1243" t="str">
        <f>VLOOKUP($B1745,dongia1,DG!$C$5,)</f>
        <v>Ximăng</v>
      </c>
      <c r="F1745" s="1198" t="str">
        <f>VLOOKUP($B1745,dongia1,DG!$D$5,)</f>
        <v>kg</v>
      </c>
      <c r="G1745" s="1508">
        <f>+G1748*296</f>
        <v>0</v>
      </c>
      <c r="H1745" s="1298">
        <f>VLOOKUP($B1745,dongia1,DG!$F$5,)</f>
        <v>1740</v>
      </c>
      <c r="I1745" s="1298"/>
      <c r="J1745" s="1298">
        <f>VLOOKUP($B1745,dongia1,DG!$G$5,)</f>
        <v>0</v>
      </c>
      <c r="K1745" s="1298">
        <f>VLOOKUP($B1745,dongia1,DG!$H$5,)</f>
        <v>0</v>
      </c>
      <c r="L1745" s="1298">
        <f t="shared" si="411"/>
        <v>0</v>
      </c>
      <c r="M1745" s="1298">
        <f t="shared" si="412"/>
        <v>0</v>
      </c>
      <c r="N1745" s="1298">
        <f t="shared" si="413"/>
        <v>0</v>
      </c>
      <c r="O1745" s="1298">
        <f t="shared" si="414"/>
        <v>0</v>
      </c>
      <c r="P1745" s="1299"/>
      <c r="Q1745" s="1300"/>
      <c r="R1745" s="1300"/>
      <c r="S1745" s="1300"/>
    </row>
    <row r="1746" spans="1:20" s="1081" customFormat="1" hidden="1" outlineLevel="1">
      <c r="A1746" s="1072" t="str">
        <f>IF(G1746&lt;&gt;0,1,"")</f>
        <v/>
      </c>
      <c r="B1746" s="1295" t="s">
        <v>1729</v>
      </c>
      <c r="C1746" s="1291"/>
      <c r="D1746" s="1198">
        <f>VLOOKUP($B1746,dongia1,DG!$B$5,)</f>
        <v>0</v>
      </c>
      <c r="E1746" s="1243" t="str">
        <f>VLOOKUP($B1746,dongia1,DG!$C$5,)</f>
        <v>Cát vàng</v>
      </c>
      <c r="F1746" s="1198" t="str">
        <f>VLOOKUP($B1746,dongia1,DG!$D$5,)</f>
        <v>m3</v>
      </c>
      <c r="G1746" s="1508">
        <f>G1748*0.475</f>
        <v>0</v>
      </c>
      <c r="H1746" s="1298">
        <f>VLOOKUP($B1746,dongia1,DG!$F$5,)</f>
        <v>512000</v>
      </c>
      <c r="I1746" s="1298"/>
      <c r="J1746" s="1298">
        <f>VLOOKUP($B1746,dongia1,DG!$G$5,)</f>
        <v>0</v>
      </c>
      <c r="K1746" s="1298">
        <f>VLOOKUP($B1746,dongia1,DG!$H$5,)</f>
        <v>0</v>
      </c>
      <c r="L1746" s="1298">
        <f t="shared" si="411"/>
        <v>0</v>
      </c>
      <c r="M1746" s="1298">
        <f t="shared" si="412"/>
        <v>0</v>
      </c>
      <c r="N1746" s="1298">
        <f t="shared" si="413"/>
        <v>0</v>
      </c>
      <c r="O1746" s="1298">
        <f t="shared" si="414"/>
        <v>0</v>
      </c>
      <c r="P1746" s="1299"/>
      <c r="Q1746" s="1300"/>
      <c r="R1746" s="1300"/>
      <c r="S1746" s="1300"/>
    </row>
    <row r="1747" spans="1:20" s="1081" customFormat="1" hidden="1" outlineLevel="1">
      <c r="A1747" s="1072" t="str">
        <f>IF(G1747&lt;&gt;0,1,"")</f>
        <v/>
      </c>
      <c r="B1747" s="1295" t="s">
        <v>599</v>
      </c>
      <c r="C1747" s="1291"/>
      <c r="D1747" s="1198">
        <f>VLOOKUP($B1747,dongia1,DG!$B$5,)</f>
        <v>0</v>
      </c>
      <c r="E1747" s="1243" t="str">
        <f>VLOOKUP($B1747,dongia1,DG!$C$5,)</f>
        <v>Đá 1x2</v>
      </c>
      <c r="F1747" s="1198" t="str">
        <f>VLOOKUP($B1747,dongia1,DG!$D$5,)</f>
        <v>m3</v>
      </c>
      <c r="G1747" s="1508">
        <f>G1748*0.881</f>
        <v>0</v>
      </c>
      <c r="H1747" s="1298">
        <f>VLOOKUP($B1747,dongia1,DG!$F$5,)</f>
        <v>335000</v>
      </c>
      <c r="I1747" s="1298"/>
      <c r="J1747" s="1298">
        <f>VLOOKUP($B1747,dongia1,DG!$G$5,)</f>
        <v>0</v>
      </c>
      <c r="K1747" s="1298">
        <f>VLOOKUP($B1747,dongia1,DG!$H$5,)</f>
        <v>0</v>
      </c>
      <c r="L1747" s="1298">
        <f t="shared" si="411"/>
        <v>0</v>
      </c>
      <c r="M1747" s="1298">
        <f t="shared" si="412"/>
        <v>0</v>
      </c>
      <c r="N1747" s="1298">
        <f t="shared" si="413"/>
        <v>0</v>
      </c>
      <c r="O1747" s="1298">
        <f t="shared" si="414"/>
        <v>0</v>
      </c>
      <c r="P1747" s="1299"/>
      <c r="Q1747" s="1300"/>
      <c r="R1747" s="1300"/>
      <c r="S1747" s="1300"/>
    </row>
    <row r="1748" spans="1:20" s="1081" customFormat="1" hidden="1" outlineLevel="1">
      <c r="A1748" s="1072" t="str">
        <f>IF(G1748&lt;&gt;0,1,"")</f>
        <v/>
      </c>
      <c r="B1748" s="1295" t="s">
        <v>1473</v>
      </c>
      <c r="C1748" s="1302"/>
      <c r="D1748" s="1198" t="str">
        <f>VLOOKUP($B1748,dongia1,DG!$B$5,)</f>
        <v>AF.11220</v>
      </c>
      <c r="E1748" s="1243" t="str">
        <f>VLOOKUP($B1748,dongia1,DG!$C$5,)</f>
        <v>Đổ bê tông mác M200 đá 1x 2rộng &gt;250cm</v>
      </c>
      <c r="F1748" s="1198" t="str">
        <f>VLOOKUP($B1748,dongia1,DG!$D$5,)</f>
        <v>m3</v>
      </c>
      <c r="G1748" s="1508">
        <f>G1743*(0.4*3*1-2*3.14*0.15^2*0.4)</f>
        <v>0</v>
      </c>
      <c r="H1748" s="1298"/>
      <c r="I1748" s="1298"/>
      <c r="J1748" s="1298">
        <f>VLOOKUP($B1748,dongia1,DG!$G$5,)</f>
        <v>466397.5</v>
      </c>
      <c r="K1748" s="1298">
        <f>VLOOKUP($B1748,dongia1,DG!$H$5,)</f>
        <v>0</v>
      </c>
      <c r="L1748" s="1298">
        <f t="shared" si="411"/>
        <v>0</v>
      </c>
      <c r="M1748" s="1298">
        <f t="shared" si="412"/>
        <v>0</v>
      </c>
      <c r="N1748" s="1298">
        <f t="shared" si="413"/>
        <v>0</v>
      </c>
      <c r="O1748" s="1298">
        <f t="shared" si="414"/>
        <v>0</v>
      </c>
      <c r="P1748" s="1299"/>
      <c r="Q1748" s="1306">
        <f>1.025*361</f>
        <v>370.02499999999998</v>
      </c>
      <c r="R1748" s="1306">
        <f>1.025*0.45</f>
        <v>0.46124999999999999</v>
      </c>
      <c r="S1748" s="1306">
        <f>1.025*0.866</f>
        <v>0.88764999999999994</v>
      </c>
      <c r="T1748" s="1307"/>
    </row>
    <row r="1749" spans="1:20" s="1740" customFormat="1" hidden="1">
      <c r="A1749" s="1731" t="str">
        <f>IF(G1749&lt;&gt;0,1,"")</f>
        <v/>
      </c>
      <c r="B1749" s="1732"/>
      <c r="C1749" s="166">
        <f>IF(G1749&gt;0,C1743+1,C1743)</f>
        <v>0</v>
      </c>
      <c r="D1749" s="1733"/>
      <c r="E1749" s="168" t="s">
        <v>5640</v>
      </c>
      <c r="F1749" s="169" t="s">
        <v>2113</v>
      </c>
      <c r="G1749" s="1734">
        <f>+G1632</f>
        <v>0</v>
      </c>
      <c r="H1749" s="193"/>
      <c r="I1749" s="193"/>
      <c r="J1749" s="1736"/>
      <c r="K1749" s="1736"/>
      <c r="L1749" s="1737">
        <f t="shared" si="411"/>
        <v>0</v>
      </c>
      <c r="M1749" s="1737">
        <f t="shared" si="412"/>
        <v>0</v>
      </c>
      <c r="N1749" s="1737">
        <f t="shared" si="413"/>
        <v>0</v>
      </c>
      <c r="O1749" s="1737">
        <f t="shared" si="414"/>
        <v>0</v>
      </c>
      <c r="P1749" s="1739"/>
    </row>
    <row r="1750" spans="1:20" s="1081" customFormat="1" ht="14.4" hidden="1" outlineLevel="1">
      <c r="A1750" s="1072" t="str">
        <f>A1749</f>
        <v/>
      </c>
      <c r="B1750" s="1295"/>
      <c r="C1750" s="1291"/>
      <c r="D1750" s="1292"/>
      <c r="E1750" s="1301" t="s">
        <v>3399</v>
      </c>
      <c r="F1750" s="1302"/>
      <c r="G1750" s="1304"/>
      <c r="H1750" s="1298"/>
      <c r="I1750" s="1298"/>
      <c r="J1750" s="1298"/>
      <c r="K1750" s="1298"/>
      <c r="L1750" s="1298">
        <f t="shared" si="411"/>
        <v>0</v>
      </c>
      <c r="M1750" s="1298">
        <f t="shared" si="412"/>
        <v>0</v>
      </c>
      <c r="N1750" s="1298">
        <f t="shared" si="413"/>
        <v>0</v>
      </c>
      <c r="O1750" s="1298">
        <f t="shared" si="414"/>
        <v>0</v>
      </c>
      <c r="P1750" s="1299"/>
      <c r="Q1750" s="1300"/>
      <c r="R1750" s="1300"/>
      <c r="S1750" s="1300"/>
    </row>
    <row r="1751" spans="1:20" s="1081" customFormat="1" hidden="1" outlineLevel="1">
      <c r="A1751" s="1072" t="str">
        <f t="shared" ref="A1751:A1759" si="415">IF(G1751&lt;&gt;0,1,"")</f>
        <v/>
      </c>
      <c r="B1751" s="1758" t="s">
        <v>59</v>
      </c>
      <c r="C1751" s="1302"/>
      <c r="D1751" s="1198">
        <f>VLOOKUP($B1751,dongia1,DG!$B$5,)</f>
        <v>0</v>
      </c>
      <c r="E1751" s="1243" t="str">
        <f>VLOOKUP($B1751,dongia1,DG!$C$5,)</f>
        <v>Sắt   Þ8</v>
      </c>
      <c r="F1751" s="1198" t="str">
        <f>VLOOKUP($B1751,dongia1,DG!$D$5,)</f>
        <v>kg</v>
      </c>
      <c r="G1751" s="1508"/>
      <c r="H1751" s="1298">
        <f>VLOOKUP($B1751,dongia1,DG!$F$5,)</f>
        <v>13200</v>
      </c>
      <c r="I1751" s="1298"/>
      <c r="J1751" s="1298">
        <f>VLOOKUP($B1751,dongia1,DG!$G$5,)</f>
        <v>0</v>
      </c>
      <c r="K1751" s="1298">
        <f>VLOOKUP($B1751,dongia1,DG!$H$5,)</f>
        <v>0</v>
      </c>
      <c r="L1751" s="1298">
        <f>H1751*G1751</f>
        <v>0</v>
      </c>
      <c r="M1751" s="1298">
        <f>I1751*G1751</f>
        <v>0</v>
      </c>
      <c r="N1751" s="1298">
        <f>J1751*G1751</f>
        <v>0</v>
      </c>
      <c r="O1751" s="1298">
        <f>K1751*G1751</f>
        <v>0</v>
      </c>
      <c r="P1751" s="1299"/>
      <c r="Q1751" s="1300"/>
      <c r="R1751" s="1300"/>
      <c r="S1751" s="1300"/>
    </row>
    <row r="1752" spans="1:20" s="1081" customFormat="1" hidden="1" outlineLevel="1">
      <c r="A1752" s="1072" t="str">
        <f t="shared" si="415"/>
        <v/>
      </c>
      <c r="B1752" s="1758" t="s">
        <v>62</v>
      </c>
      <c r="C1752" s="1302"/>
      <c r="D1752" s="1198">
        <f>VLOOKUP($B1752,dongia1,DG!$B$5,)</f>
        <v>0</v>
      </c>
      <c r="E1752" s="1243" t="str">
        <f>VLOOKUP($B1752,dongia1,DG!$C$5,)</f>
        <v>Sắt   Þ10</v>
      </c>
      <c r="F1752" s="1198" t="str">
        <f>VLOOKUP($B1752,dongia1,DG!$D$5,)</f>
        <v>kg</v>
      </c>
      <c r="G1752" s="1508">
        <f>G1749*0.617*30.6</f>
        <v>0</v>
      </c>
      <c r="H1752" s="1298">
        <f>VLOOKUP($B1752,dongia1,DG!$F$5,)</f>
        <v>13300</v>
      </c>
      <c r="I1752" s="1298"/>
      <c r="J1752" s="1298">
        <f>VLOOKUP($B1752,dongia1,DG!$G$5,)</f>
        <v>0</v>
      </c>
      <c r="K1752" s="1298">
        <f>VLOOKUP($B1752,dongia1,DG!$H$5,)</f>
        <v>0</v>
      </c>
      <c r="L1752" s="1298">
        <f>H1752*G1752</f>
        <v>0</v>
      </c>
      <c r="M1752" s="1298">
        <f>I1752*G1752</f>
        <v>0</v>
      </c>
      <c r="N1752" s="1298">
        <f>J1752*G1752</f>
        <v>0</v>
      </c>
      <c r="O1752" s="1298">
        <f>K1752*G1752</f>
        <v>0</v>
      </c>
      <c r="P1752" s="1299"/>
      <c r="Q1752" s="1300"/>
      <c r="R1752" s="1300"/>
      <c r="S1752" s="1300"/>
    </row>
    <row r="1753" spans="1:20" s="1081" customFormat="1" hidden="1" outlineLevel="1">
      <c r="A1753" s="1072" t="str">
        <f t="shared" si="415"/>
        <v/>
      </c>
      <c r="B1753" s="159" t="s">
        <v>5610</v>
      </c>
      <c r="C1753" s="1302"/>
      <c r="D1753" s="1198">
        <f>VLOOKUP($B1753,dongia1,DG!$B$5,)</f>
        <v>0</v>
      </c>
      <c r="E1753" s="1243" t="str">
        <f>VLOOKUP($B1753,dongia1,DG!$C$5,)</f>
        <v>Bêtông đá 1x2 mac 200</v>
      </c>
      <c r="F1753" s="1198" t="str">
        <f>VLOOKUP($B1753,dongia1,DG!$D$5,)</f>
        <v>m3</v>
      </c>
      <c r="G1753" s="1508">
        <f>G1749*1.08</f>
        <v>0</v>
      </c>
      <c r="H1753" s="1298">
        <f>VLOOKUP($B1753,dongia1,DG!$F$5,)</f>
        <v>920580</v>
      </c>
      <c r="I1753" s="1298"/>
      <c r="J1753" s="1298">
        <f>VLOOKUP($B1753,dongia1,DG!$G$5,)</f>
        <v>0</v>
      </c>
      <c r="K1753" s="1298">
        <f>VLOOKUP($B1753,dongia1,DG!$H$5,)</f>
        <v>0</v>
      </c>
      <c r="L1753" s="1298">
        <f t="shared" si="411"/>
        <v>0</v>
      </c>
      <c r="M1753" s="1298">
        <f t="shared" si="412"/>
        <v>0</v>
      </c>
      <c r="N1753" s="1298">
        <f t="shared" si="413"/>
        <v>0</v>
      </c>
      <c r="O1753" s="1298">
        <f t="shared" si="414"/>
        <v>0</v>
      </c>
      <c r="P1753" s="1299"/>
      <c r="Q1753" s="1824">
        <f>0.9*1*1.2</f>
        <v>1.08</v>
      </c>
      <c r="R1753" s="1300"/>
      <c r="S1753" s="1300"/>
    </row>
    <row r="1754" spans="1:20" s="1081" customFormat="1" hidden="1" outlineLevel="1">
      <c r="A1754" s="1072" t="str">
        <f t="shared" si="415"/>
        <v/>
      </c>
      <c r="B1754" s="1697" t="s">
        <v>5613</v>
      </c>
      <c r="C1754" s="1291"/>
      <c r="D1754" s="1198">
        <f>VLOOKUP($B1754,dongia1,DG!$B$5,)</f>
        <v>0</v>
      </c>
      <c r="E1754" s="1243" t="str">
        <f>VLOOKUP($B1754,dongia1,DG!$C$5,)</f>
        <v>Bêtông đá 4x6 mac 100</v>
      </c>
      <c r="F1754" s="1198" t="str">
        <f>VLOOKUP($B1754,dongia1,DG!$D$5,)</f>
        <v>m3</v>
      </c>
      <c r="G1754" s="1508">
        <f>G1749*0.1*1.4*1.2</f>
        <v>0</v>
      </c>
      <c r="H1754" s="1298">
        <f>VLOOKUP($B1754,dongia1,DG!$F$5,)</f>
        <v>371262</v>
      </c>
      <c r="I1754" s="1298"/>
      <c r="J1754" s="1298">
        <f>VLOOKUP($B1754,dongia1,DG!$G$5,)</f>
        <v>0</v>
      </c>
      <c r="K1754" s="1298">
        <f>VLOOKUP($B1754,dongia1,DG!$H$5,)</f>
        <v>0</v>
      </c>
      <c r="L1754" s="1298">
        <f t="shared" si="411"/>
        <v>0</v>
      </c>
      <c r="M1754" s="1298">
        <f t="shared" si="412"/>
        <v>0</v>
      </c>
      <c r="N1754" s="1298">
        <f t="shared" si="413"/>
        <v>0</v>
      </c>
      <c r="O1754" s="1298">
        <f t="shared" si="414"/>
        <v>0</v>
      </c>
      <c r="P1754" s="1299"/>
      <c r="Q1754" s="1300"/>
      <c r="R1754" s="1300"/>
      <c r="S1754" s="1300"/>
    </row>
    <row r="1755" spans="1:20" s="1081" customFormat="1" hidden="1" outlineLevel="1">
      <c r="A1755" s="1072" t="str">
        <f t="shared" si="415"/>
        <v/>
      </c>
      <c r="B1755" s="1690" t="s">
        <v>1694</v>
      </c>
      <c r="C1755" s="1291"/>
      <c r="D1755" s="1198" t="str">
        <f>VLOOKUP($B1755,dongia1,DG!$B$5,)</f>
        <v>AF.61210</v>
      </c>
      <c r="E1755" s="1243" t="str">
        <f>VLOOKUP($B1755,dongia1,DG!$C$5,)</f>
        <v>Gia công và lắp dựng cốt thép D&lt;=10</v>
      </c>
      <c r="F1755" s="1198" t="str">
        <f>VLOOKUP($B1755,dongia1,DG!$D$5,)</f>
        <v>kg</v>
      </c>
      <c r="G1755" s="1508">
        <f>G1751</f>
        <v>0</v>
      </c>
      <c r="H1755" s="1298">
        <f>VLOOKUP($B1755,dongia1,DG!$F$5,)</f>
        <v>9814</v>
      </c>
      <c r="I1755" s="1298"/>
      <c r="J1755" s="1298">
        <f>VLOOKUP($B1755,dongia1,DG!$G$5,)</f>
        <v>2965.3303999999998</v>
      </c>
      <c r="K1755" s="1298">
        <f>VLOOKUP($B1755,dongia1,DG!$H$5,)</f>
        <v>0</v>
      </c>
      <c r="L1755" s="1298">
        <f t="shared" si="411"/>
        <v>0</v>
      </c>
      <c r="M1755" s="1298">
        <f t="shared" si="412"/>
        <v>0</v>
      </c>
      <c r="N1755" s="1298">
        <f t="shared" si="413"/>
        <v>0</v>
      </c>
      <c r="O1755" s="1298">
        <f t="shared" si="414"/>
        <v>0</v>
      </c>
      <c r="P1755" s="1299"/>
      <c r="Q1755" s="1300"/>
      <c r="R1755" s="1300"/>
      <c r="S1755" s="1300"/>
    </row>
    <row r="1756" spans="1:20" s="1081" customFormat="1" hidden="1" outlineLevel="1">
      <c r="A1756" s="1072" t="str">
        <f t="shared" si="415"/>
        <v/>
      </c>
      <c r="B1756" s="1690" t="s">
        <v>1553</v>
      </c>
      <c r="C1756" s="1291"/>
      <c r="D1756" s="1198" t="str">
        <f>VLOOKUP($B1756,dongia1,DG!$B$5,)</f>
        <v>AF.61220</v>
      </c>
      <c r="E1756" s="1243" t="str">
        <f>VLOOKUP($B1756,dongia1,DG!$C$5,)</f>
        <v>Gia công và lắp dựng cốt thép D&lt;=18</v>
      </c>
      <c r="F1756" s="1198" t="str">
        <f>VLOOKUP($B1756,dongia1,DG!$D$5,)</f>
        <v>kg</v>
      </c>
      <c r="G1756" s="1508">
        <f>G1752</f>
        <v>0</v>
      </c>
      <c r="H1756" s="1298">
        <f>VLOOKUP($B1756,dongia1,DG!$F$5,)</f>
        <v>9970</v>
      </c>
      <c r="I1756" s="1298"/>
      <c r="J1756" s="1298">
        <f>VLOOKUP($B1756,dongia1,DG!$G$5,)</f>
        <v>2309.9327999999996</v>
      </c>
      <c r="K1756" s="1298">
        <f>VLOOKUP($B1756,dongia1,DG!$H$5,)</f>
        <v>0</v>
      </c>
      <c r="L1756" s="1298">
        <f>H1756*G1756</f>
        <v>0</v>
      </c>
      <c r="M1756" s="1298">
        <f>I1756*G1756</f>
        <v>0</v>
      </c>
      <c r="N1756" s="1298">
        <f>J1756*G1756</f>
        <v>0</v>
      </c>
      <c r="O1756" s="1298">
        <f>K1756*G1756</f>
        <v>0</v>
      </c>
      <c r="P1756" s="1299"/>
      <c r="Q1756" s="1300"/>
      <c r="R1756" s="1300"/>
      <c r="S1756" s="1300"/>
    </row>
    <row r="1757" spans="1:20" s="1081" customFormat="1" hidden="1" outlineLevel="1">
      <c r="A1757" s="1072" t="str">
        <f t="shared" si="415"/>
        <v/>
      </c>
      <c r="B1757" s="1295" t="s">
        <v>1473</v>
      </c>
      <c r="C1757" s="1302"/>
      <c r="D1757" s="1198" t="str">
        <f>VLOOKUP($B1757,dongia1,DG!$B$5,)</f>
        <v>AF.11220</v>
      </c>
      <c r="E1757" s="1243" t="str">
        <f>VLOOKUP($B1757,dongia1,DG!$C$5,)</f>
        <v>Đổ bê tông mác M200 đá 1x 2rộng &gt;250cm</v>
      </c>
      <c r="F1757" s="1198" t="str">
        <f>VLOOKUP($B1757,dongia1,DG!$D$5,)</f>
        <v>m3</v>
      </c>
      <c r="G1757" s="1508">
        <f>G1753</f>
        <v>0</v>
      </c>
      <c r="H1757" s="1298"/>
      <c r="I1757" s="1298"/>
      <c r="J1757" s="1298">
        <f>VLOOKUP($B1757,dongia1,DG!$G$5,)</f>
        <v>466397.5</v>
      </c>
      <c r="K1757" s="1298">
        <f>VLOOKUP($B1757,dongia1,DG!$H$5,)</f>
        <v>0</v>
      </c>
      <c r="L1757" s="1298">
        <f t="shared" si="411"/>
        <v>0</v>
      </c>
      <c r="M1757" s="1298">
        <f t="shared" si="412"/>
        <v>0</v>
      </c>
      <c r="N1757" s="1298">
        <f t="shared" si="413"/>
        <v>0</v>
      </c>
      <c r="O1757" s="1298">
        <f t="shared" si="414"/>
        <v>0</v>
      </c>
      <c r="P1757" s="1299"/>
      <c r="Q1757" s="1306">
        <f>1.025*361</f>
        <v>370.02499999999998</v>
      </c>
      <c r="R1757" s="1306">
        <f>1.025*0.45</f>
        <v>0.46124999999999999</v>
      </c>
      <c r="S1757" s="1306">
        <f>1.025*0.866</f>
        <v>0.88764999999999994</v>
      </c>
      <c r="T1757" s="1307"/>
    </row>
    <row r="1758" spans="1:20" s="1081" customFormat="1" hidden="1" outlineLevel="1">
      <c r="A1758" s="1072" t="str">
        <f t="shared" si="415"/>
        <v/>
      </c>
      <c r="B1758" s="1741" t="s">
        <v>70</v>
      </c>
      <c r="C1758" s="1302"/>
      <c r="D1758" s="1198" t="str">
        <f>VLOOKUP($B1758,dongia1,DG!$B$5,)</f>
        <v>AF.11220</v>
      </c>
      <c r="E1758" s="1243" t="str">
        <f>VLOOKUP($B1758,dongia1,DG!$C$5,)</f>
        <v>Đổ bê tông mác M100 đá 4x6 rộng &gt;250cm</v>
      </c>
      <c r="F1758" s="1198" t="str">
        <f>VLOOKUP($B1758,dongia1,DG!$D$5,)</f>
        <v>m3</v>
      </c>
      <c r="G1758" s="1508">
        <f>G1754</f>
        <v>0</v>
      </c>
      <c r="H1758" s="1298"/>
      <c r="I1758" s="1298"/>
      <c r="J1758" s="1298">
        <f>VLOOKUP($B1758,dongia1,DG!$G$5,)</f>
        <v>414064.45</v>
      </c>
      <c r="K1758" s="1298">
        <f>VLOOKUP($B1758,dongia1,DG!$H$5,)</f>
        <v>0</v>
      </c>
      <c r="L1758" s="1298">
        <f t="shared" ref="L1758:L1773" si="416">H1758*G1758</f>
        <v>0</v>
      </c>
      <c r="M1758" s="1298">
        <f t="shared" ref="M1758:M1773" si="417">I1758*G1758</f>
        <v>0</v>
      </c>
      <c r="N1758" s="1298">
        <f t="shared" ref="N1758:N1773" si="418">J1758*G1758</f>
        <v>0</v>
      </c>
      <c r="O1758" s="1298">
        <f t="shared" ref="O1758:O1773" si="419">K1758*G1758</f>
        <v>0</v>
      </c>
      <c r="P1758" s="1299"/>
      <c r="Q1758" s="1306">
        <f>1.025*361</f>
        <v>370.02499999999998</v>
      </c>
      <c r="R1758" s="1306">
        <f>1.025*0.45</f>
        <v>0.46124999999999999</v>
      </c>
      <c r="S1758" s="1306">
        <f>1.025*0.866</f>
        <v>0.88764999999999994</v>
      </c>
      <c r="T1758" s="1307"/>
    </row>
    <row r="1759" spans="1:20" s="1740" customFormat="1" hidden="1">
      <c r="A1759" s="1731" t="str">
        <f t="shared" si="415"/>
        <v/>
      </c>
      <c r="B1759" s="1732"/>
      <c r="C1759" s="166">
        <f>IF(G1759&gt;0,C1749+1,C1749)</f>
        <v>0</v>
      </c>
      <c r="D1759" s="1733"/>
      <c r="E1759" s="168" t="s">
        <v>5625</v>
      </c>
      <c r="F1759" s="169" t="s">
        <v>2113</v>
      </c>
      <c r="G1759" s="1734">
        <f>+G1640</f>
        <v>0</v>
      </c>
      <c r="H1759" s="193"/>
      <c r="I1759" s="193"/>
      <c r="J1759" s="1736"/>
      <c r="K1759" s="1736"/>
      <c r="L1759" s="1737">
        <f t="shared" si="416"/>
        <v>0</v>
      </c>
      <c r="M1759" s="1737">
        <f t="shared" si="417"/>
        <v>0</v>
      </c>
      <c r="N1759" s="1737">
        <f t="shared" si="418"/>
        <v>0</v>
      </c>
      <c r="O1759" s="1737">
        <f t="shared" si="419"/>
        <v>0</v>
      </c>
      <c r="P1759" s="1739"/>
    </row>
    <row r="1760" spans="1:20" s="1081" customFormat="1" ht="14.4" hidden="1" outlineLevel="1">
      <c r="A1760" s="1072" t="str">
        <f>A1759</f>
        <v/>
      </c>
      <c r="B1760" s="1295"/>
      <c r="C1760" s="1291"/>
      <c r="D1760" s="1292"/>
      <c r="E1760" s="1301" t="s">
        <v>3399</v>
      </c>
      <c r="F1760" s="1302"/>
      <c r="G1760" s="1304"/>
      <c r="H1760" s="1298"/>
      <c r="I1760" s="1298"/>
      <c r="J1760" s="1298"/>
      <c r="K1760" s="1298"/>
      <c r="L1760" s="1298">
        <f t="shared" si="416"/>
        <v>0</v>
      </c>
      <c r="M1760" s="1298">
        <f t="shared" si="417"/>
        <v>0</v>
      </c>
      <c r="N1760" s="1298">
        <f t="shared" si="418"/>
        <v>0</v>
      </c>
      <c r="O1760" s="1298">
        <f t="shared" si="419"/>
        <v>0</v>
      </c>
      <c r="P1760" s="1299"/>
      <c r="Q1760" s="1300"/>
      <c r="R1760" s="1300"/>
      <c r="S1760" s="1300"/>
    </row>
    <row r="1761" spans="1:21" s="1081" customFormat="1" hidden="1" outlineLevel="1">
      <c r="A1761" s="1072" t="str">
        <f>IF(G1761&lt;&gt;0,1,"")</f>
        <v/>
      </c>
      <c r="B1761" s="1295" t="s">
        <v>5631</v>
      </c>
      <c r="C1761" s="1302"/>
      <c r="D1761" s="1198" t="str">
        <f>VLOOKUP($B1761,dongia1,DG!$B$5,)</f>
        <v>D4.1204</v>
      </c>
      <c r="E1761" s="1243" t="str">
        <f>VLOOKUP($B1761,dongia1,DG!$C$5,)</f>
        <v>Ông sắt tráng kẽm D76</v>
      </c>
      <c r="F1761" s="1198" t="str">
        <f>VLOOKUP($B1761,dongia1,DG!$D$5,)</f>
        <v>mét</v>
      </c>
      <c r="G1761" s="1508">
        <f>G1759*10*2</f>
        <v>0</v>
      </c>
      <c r="H1761" s="1298">
        <f>VLOOKUP($B1761,dongia1,DG!$F$5,)</f>
        <v>250000</v>
      </c>
      <c r="I1761" s="1298"/>
      <c r="J1761" s="1298">
        <f>VLOOKUP($B1761,dongia1,DG!$G$5,)</f>
        <v>109566.8385</v>
      </c>
      <c r="K1761" s="1298">
        <f>VLOOKUP($B1761,dongia1,DG!$H$5,)</f>
        <v>0</v>
      </c>
      <c r="L1761" s="1298">
        <f t="shared" si="416"/>
        <v>0</v>
      </c>
      <c r="M1761" s="1298">
        <f t="shared" si="417"/>
        <v>0</v>
      </c>
      <c r="N1761" s="1298">
        <f t="shared" si="418"/>
        <v>0</v>
      </c>
      <c r="O1761" s="1298">
        <f t="shared" si="419"/>
        <v>0</v>
      </c>
      <c r="P1761" s="1299"/>
      <c r="Q1761" s="1300">
        <f>3*4+(4-1.6)</f>
        <v>14.4</v>
      </c>
      <c r="R1761" s="1300"/>
      <c r="S1761" s="1300"/>
    </row>
    <row r="1762" spans="1:21" s="1081" customFormat="1" hidden="1" outlineLevel="1">
      <c r="A1762" s="1072" t="str">
        <f>IF(G1762&lt;&gt;0,1,"")</f>
        <v/>
      </c>
      <c r="B1762" s="1295" t="s">
        <v>855</v>
      </c>
      <c r="C1762" s="1302"/>
      <c r="D1762" s="1198" t="str">
        <f>VLOOKUP($B1762,dongia1,DG!$B$5,)</f>
        <v>AI.53111</v>
      </c>
      <c r="E1762" s="1243" t="str">
        <f>VLOOKUP($B1762,dongia1,DG!$C$5,)</f>
        <v>Mặt bích nối cột bêt tông loại 200x200x5, 04 lỗ D16</v>
      </c>
      <c r="F1762" s="1198" t="str">
        <f>VLOOKUP($B1762,dongia1,DG!$D$5,)</f>
        <v>mối</v>
      </c>
      <c r="G1762" s="1508">
        <f>G1759*G1761</f>
        <v>0</v>
      </c>
      <c r="H1762" s="1298">
        <f>VLOOKUP($B1762,dongia1,DG!$F$5,)</f>
        <v>40000</v>
      </c>
      <c r="I1762" s="1298"/>
      <c r="J1762" s="1298">
        <f>VLOOKUP($B1762,dongia1,DG!$G$5,)</f>
        <v>13525.75</v>
      </c>
      <c r="K1762" s="1298">
        <f>VLOOKUP($B1762,dongia1,DG!$H$5,)</f>
        <v>0</v>
      </c>
      <c r="L1762" s="1298">
        <f t="shared" si="416"/>
        <v>0</v>
      </c>
      <c r="M1762" s="1298">
        <f t="shared" si="417"/>
        <v>0</v>
      </c>
      <c r="N1762" s="1298">
        <f t="shared" si="418"/>
        <v>0</v>
      </c>
      <c r="O1762" s="1298">
        <f t="shared" si="419"/>
        <v>0</v>
      </c>
      <c r="P1762" s="1299"/>
      <c r="Q1762" s="1300"/>
      <c r="R1762" s="1300"/>
      <c r="S1762" s="1300"/>
      <c r="U1762" s="1081">
        <v>0.61699999999999999</v>
      </c>
    </row>
    <row r="1763" spans="1:21" s="1081" customFormat="1" hidden="1" outlineLevel="1">
      <c r="A1763" s="1072" t="str">
        <f>IF(G1763&lt;&gt;0,1,"")</f>
        <v/>
      </c>
      <c r="B1763" s="1295" t="s">
        <v>4483</v>
      </c>
      <c r="C1763" s="1291"/>
      <c r="D1763" s="1198">
        <f>VLOOKUP($B1763,dongia1,DG!$B$5,)</f>
        <v>0</v>
      </c>
      <c r="E1763" s="1243" t="str">
        <f>VLOOKUP($B1763,dongia1,DG!$C$5,)</f>
        <v>Thanh sắt V50x50x5-4000 - 16kg/thanh</v>
      </c>
      <c r="F1763" s="1198" t="str">
        <f>VLOOKUP($B1763,dongia1,DG!$D$5,)</f>
        <v>kg</v>
      </c>
      <c r="G1763" s="1508">
        <f>G1759*Q1763*16/4</f>
        <v>0</v>
      </c>
      <c r="H1763" s="1298">
        <f>VLOOKUP($B1763,dongia1,DG!$F$5,)</f>
        <v>31625</v>
      </c>
      <c r="I1763" s="1298"/>
      <c r="J1763" s="1298">
        <f>VLOOKUP($B1763,dongia1,DG!$G$5,)</f>
        <v>0</v>
      </c>
      <c r="K1763" s="1298">
        <f>VLOOKUP($B1763,dongia1,DG!$H$5,)</f>
        <v>0</v>
      </c>
      <c r="L1763" s="1298">
        <f t="shared" si="416"/>
        <v>0</v>
      </c>
      <c r="M1763" s="1298">
        <f t="shared" si="417"/>
        <v>0</v>
      </c>
      <c r="N1763" s="1298">
        <f t="shared" si="418"/>
        <v>0</v>
      </c>
      <c r="O1763" s="1298">
        <f t="shared" si="419"/>
        <v>0</v>
      </c>
      <c r="P1763" s="1299"/>
      <c r="Q1763" s="1300">
        <f>14*2+16*2</f>
        <v>60</v>
      </c>
      <c r="R1763" s="1300"/>
      <c r="S1763" s="1300"/>
    </row>
    <row r="1764" spans="1:21" s="1081" customFormat="1" hidden="1" outlineLevel="1">
      <c r="A1764" s="1072" t="str">
        <f>IF(G1764&lt;&gt;0,1,"")</f>
        <v/>
      </c>
      <c r="B1764" s="1295" t="s">
        <v>5636</v>
      </c>
      <c r="C1764" s="1291"/>
      <c r="D1764" s="1198">
        <f>VLOOKUP($B1764,dongia1,DG!$B$5,)</f>
        <v>0</v>
      </c>
      <c r="E1764" s="1243" t="str">
        <f>VLOOKUP($B1764,dongia1,DG!$C$5,)</f>
        <v>Thanh sắt V40x40x3-6000 - 17,7kg/thanh</v>
      </c>
      <c r="F1764" s="1198" t="str">
        <f>VLOOKUP($B1764,dongia1,DG!$D$5,)</f>
        <v>kg</v>
      </c>
      <c r="G1764" s="1508">
        <f>G1759*17.7*14/6</f>
        <v>0</v>
      </c>
      <c r="H1764" s="1298">
        <f>VLOOKUP($B1764,dongia1,DG!$F$5,)</f>
        <v>31625</v>
      </c>
      <c r="I1764" s="1298"/>
      <c r="J1764" s="1298">
        <f>VLOOKUP($B1764,dongia1,DG!$G$5,)</f>
        <v>0</v>
      </c>
      <c r="K1764" s="1298">
        <f>VLOOKUP($B1764,dongia1,DG!$H$5,)</f>
        <v>0</v>
      </c>
      <c r="L1764" s="1298">
        <f t="shared" ref="L1764:L1771" si="420">H1764*G1764</f>
        <v>0</v>
      </c>
      <c r="M1764" s="1298">
        <f t="shared" ref="M1764:M1769" si="421">I1764*G1764</f>
        <v>0</v>
      </c>
      <c r="N1764" s="1298">
        <f t="shared" ref="N1764:N1771" si="422">J1764*G1764</f>
        <v>0</v>
      </c>
      <c r="O1764" s="1298">
        <f t="shared" ref="O1764:O1771" si="423">K1764*G1764</f>
        <v>0</v>
      </c>
      <c r="P1764" s="1299"/>
      <c r="Q1764" s="1300"/>
      <c r="R1764" s="1300"/>
      <c r="S1764" s="1300"/>
    </row>
    <row r="1765" spans="1:21" s="1081" customFormat="1" hidden="1" outlineLevel="1">
      <c r="A1765" s="1072" t="str">
        <f t="shared" ref="A1765:A1775" si="424">IF(G1765&lt;&gt;0,1,"")</f>
        <v/>
      </c>
      <c r="B1765" s="1295" t="s">
        <v>593</v>
      </c>
      <c r="C1765" s="1291"/>
      <c r="D1765" s="1198">
        <f>VLOOKUP($B1765,dongia1,DG!$B$5,)</f>
        <v>0</v>
      </c>
      <c r="E1765" s="1243" t="str">
        <f>VLOOKUP($B1765,dongia1,DG!$C$5,)&amp;" cạnh mặt bích, 0,467kg/m"</f>
        <v>Sắt dẹt 60 x 6 cạnh mặt bích, 0,467kg/m</v>
      </c>
      <c r="F1765" s="1198" t="str">
        <f>VLOOKUP($B1765,dongia1,DG!$D$5,)</f>
        <v>kg</v>
      </c>
      <c r="G1765" s="1508">
        <f>G1762*0.2*0.467</f>
        <v>0</v>
      </c>
      <c r="H1765" s="1298">
        <f>VLOOKUP($B1765,dongia1,DG!$F$5,)</f>
        <v>31625</v>
      </c>
      <c r="I1765" s="1298"/>
      <c r="J1765" s="1298">
        <f>VLOOKUP($B1765,dongia1,DG!$G$5,)</f>
        <v>0</v>
      </c>
      <c r="K1765" s="1298">
        <f>VLOOKUP($B1765,dongia1,DG!$H$5,)</f>
        <v>0</v>
      </c>
      <c r="L1765" s="1298">
        <f t="shared" si="420"/>
        <v>0</v>
      </c>
      <c r="M1765" s="1298">
        <f t="shared" si="421"/>
        <v>0</v>
      </c>
      <c r="N1765" s="1298">
        <f t="shared" si="422"/>
        <v>0</v>
      </c>
      <c r="O1765" s="1298">
        <f t="shared" si="423"/>
        <v>0</v>
      </c>
      <c r="P1765" s="1299"/>
      <c r="Q1765" s="1300"/>
      <c r="R1765" s="1300"/>
      <c r="S1765" s="1300"/>
    </row>
    <row r="1766" spans="1:21" s="1081" customFormat="1" hidden="1" outlineLevel="1">
      <c r="A1766" s="1072" t="str">
        <f t="shared" si="424"/>
        <v/>
      </c>
      <c r="B1766" s="1295" t="s">
        <v>5643</v>
      </c>
      <c r="C1766" s="1291"/>
      <c r="D1766" s="1198">
        <f>VLOOKUP($B1766,dongia1,DG!$B$5,)</f>
        <v>0</v>
      </c>
      <c r="E1766" s="1243" t="str">
        <f>VLOOKUP($B1766,dongia1,DG!$C$5,)&amp;" cạnh mặt bích, 0,467kg/m"</f>
        <v>Lưới B40 - 1800-3/Zn cạnh mặt bích, 0,467kg/m</v>
      </c>
      <c r="F1766" s="1198" t="str">
        <f>VLOOKUP($B1766,dongia1,DG!$D$5,)</f>
        <v>mét</v>
      </c>
      <c r="G1766" s="1508"/>
      <c r="H1766" s="1298">
        <f>VLOOKUP($B1766,dongia1,DG!$F$5,)</f>
        <v>70000</v>
      </c>
      <c r="I1766" s="1298"/>
      <c r="J1766" s="1298">
        <f>VLOOKUP($B1766,dongia1,DG!$G$5,)</f>
        <v>0</v>
      </c>
      <c r="K1766" s="1298">
        <f>VLOOKUP($B1766,dongia1,DG!$H$5,)</f>
        <v>0</v>
      </c>
      <c r="L1766" s="1298">
        <f t="shared" si="420"/>
        <v>0</v>
      </c>
      <c r="M1766" s="1298">
        <f t="shared" si="421"/>
        <v>0</v>
      </c>
      <c r="N1766" s="1298">
        <f t="shared" si="422"/>
        <v>0</v>
      </c>
      <c r="O1766" s="1298">
        <f t="shared" si="423"/>
        <v>0</v>
      </c>
      <c r="P1766" s="1299"/>
      <c r="Q1766" s="1300"/>
      <c r="R1766" s="1300"/>
      <c r="S1766" s="1300"/>
    </row>
    <row r="1767" spans="1:21" s="1081" customFormat="1" hidden="1" outlineLevel="1">
      <c r="A1767" s="1072" t="str">
        <f t="shared" si="424"/>
        <v/>
      </c>
      <c r="B1767" s="1295" t="s">
        <v>1849</v>
      </c>
      <c r="C1767" s="1291"/>
      <c r="D1767" s="1198">
        <f>VLOOKUP($B1767,dongia1,DG!$B$5,)</f>
        <v>0</v>
      </c>
      <c r="E1767" s="1243" t="str">
        <f>VLOOKUP($B1767,dongia1,DG!$C$5,)&amp;" - Móng mặt bích "</f>
        <v xml:space="preserve">Sắt   Þ8 - Móng mặt bích </v>
      </c>
      <c r="F1767" s="1198" t="str">
        <f>VLOOKUP($B1767,dongia1,DG!$D$5,)</f>
        <v>kg</v>
      </c>
      <c r="G1767" s="1508">
        <f>G1759*36*0.395</f>
        <v>0</v>
      </c>
      <c r="H1767" s="1298">
        <f>VLOOKUP($B1767,dongia1,DG!$F$5,)</f>
        <v>13200</v>
      </c>
      <c r="I1767" s="1298"/>
      <c r="J1767" s="1298">
        <f>VLOOKUP($B1767,dongia1,DG!$G$5,)</f>
        <v>0</v>
      </c>
      <c r="K1767" s="1298">
        <f>VLOOKUP($B1767,dongia1,DG!$H$5,)</f>
        <v>0</v>
      </c>
      <c r="L1767" s="1298">
        <f t="shared" si="420"/>
        <v>0</v>
      </c>
      <c r="M1767" s="1298">
        <f t="shared" si="421"/>
        <v>0</v>
      </c>
      <c r="N1767" s="1298">
        <f t="shared" si="422"/>
        <v>0</v>
      </c>
      <c r="O1767" s="1298">
        <f t="shared" si="423"/>
        <v>0</v>
      </c>
      <c r="P1767" s="1299"/>
      <c r="Q1767" s="1300"/>
      <c r="R1767" s="1300"/>
      <c r="S1767" s="1300"/>
    </row>
    <row r="1768" spans="1:21" s="1081" customFormat="1" ht="27.6" hidden="1" outlineLevel="1">
      <c r="A1768" s="1072" t="str">
        <f t="shared" si="424"/>
        <v/>
      </c>
      <c r="B1768" s="1295" t="s">
        <v>5638</v>
      </c>
      <c r="C1768" s="1291"/>
      <c r="D1768" s="1198">
        <f>VLOOKUP($B1768,dongia1,DG!$B$5,)</f>
        <v>0</v>
      </c>
      <c r="E1768" s="1312" t="str">
        <f>VLOOKUP($B1768,dongia1,DG!$C$5,)&amp;" - Móng mặt bích "</f>
        <v xml:space="preserve">Boulon 14x350+ 2 long đền vuông D16-50x50x3/Zn - Móng mặt bích </v>
      </c>
      <c r="F1768" s="1198" t="str">
        <f>VLOOKUP($B1768,dongia1,DG!$D$5,)</f>
        <v>bộ</v>
      </c>
      <c r="G1768" s="1508">
        <f>G1762*4</f>
        <v>0</v>
      </c>
      <c r="H1768" s="1298">
        <f>VLOOKUP($B1768,dongia1,DG!$F$5,)</f>
        <v>35600</v>
      </c>
      <c r="I1768" s="1298"/>
      <c r="J1768" s="1298">
        <f>VLOOKUP($B1768,dongia1,DG!$G$5,)</f>
        <v>0</v>
      </c>
      <c r="K1768" s="1298">
        <f>VLOOKUP($B1768,dongia1,DG!$H$5,)</f>
        <v>0</v>
      </c>
      <c r="L1768" s="1298">
        <f t="shared" si="420"/>
        <v>0</v>
      </c>
      <c r="M1768" s="1298">
        <f t="shared" si="421"/>
        <v>0</v>
      </c>
      <c r="N1768" s="1298">
        <f t="shared" si="422"/>
        <v>0</v>
      </c>
      <c r="O1768" s="1298">
        <f t="shared" si="423"/>
        <v>0</v>
      </c>
      <c r="P1768" s="1299"/>
      <c r="Q1768" s="1300"/>
      <c r="R1768" s="1300"/>
      <c r="S1768" s="1300"/>
    </row>
    <row r="1769" spans="1:21" s="1081" customFormat="1" hidden="1" outlineLevel="1">
      <c r="A1769" s="1072" t="str">
        <f t="shared" si="424"/>
        <v/>
      </c>
      <c r="B1769" s="1295" t="s">
        <v>5610</v>
      </c>
      <c r="C1769" s="1291"/>
      <c r="D1769" s="1198">
        <f>VLOOKUP($B1769,dongia1,DG!$B$5,)</f>
        <v>0</v>
      </c>
      <c r="E1769" s="1243" t="str">
        <f>VLOOKUP($B1769,dongia1,DG!$C$5,)&amp;" - Móng cột"</f>
        <v>Bêtông đá 1x2 mac 200 - Móng cột</v>
      </c>
      <c r="F1769" s="1198" t="str">
        <f>VLOOKUP($B1769,dongia1,DG!$D$5,)</f>
        <v>m3</v>
      </c>
      <c r="G1769" s="1508">
        <f>G1759*0.12</f>
        <v>0</v>
      </c>
      <c r="H1769" s="1298">
        <f>VLOOKUP($B1769,dongia1,DG!$F$5,)</f>
        <v>920580</v>
      </c>
      <c r="I1769" s="1298"/>
      <c r="J1769" s="1298">
        <f>VLOOKUP($B1769,dongia1,DG!$G$5,)</f>
        <v>0</v>
      </c>
      <c r="K1769" s="1298">
        <f>VLOOKUP($B1769,dongia1,DG!$H$5,)</f>
        <v>0</v>
      </c>
      <c r="L1769" s="1298">
        <f t="shared" si="420"/>
        <v>0</v>
      </c>
      <c r="M1769" s="1298">
        <f t="shared" si="421"/>
        <v>0</v>
      </c>
      <c r="N1769" s="1298">
        <f t="shared" si="422"/>
        <v>0</v>
      </c>
      <c r="O1769" s="1298">
        <f t="shared" si="423"/>
        <v>0</v>
      </c>
      <c r="P1769" s="1299"/>
      <c r="Q1769" s="1300"/>
      <c r="R1769" s="1300"/>
      <c r="S1769" s="1300"/>
    </row>
    <row r="1770" spans="1:21" s="1081" customFormat="1" hidden="1" outlineLevel="1">
      <c r="A1770" s="1072" t="str">
        <f t="shared" si="424"/>
        <v/>
      </c>
      <c r="B1770" s="1295" t="s">
        <v>708</v>
      </c>
      <c r="C1770" s="1291"/>
      <c r="D1770" s="1198">
        <f>VLOOKUP($B1770,dongia1,DG!$B$5,)</f>
        <v>0</v>
      </c>
      <c r="E1770" s="1243" t="str">
        <f>VLOOKUP($B1770,dongia1,DG!$C$5,)&amp;""</f>
        <v>Gạch ống</v>
      </c>
      <c r="F1770" s="1198" t="str">
        <f>VLOOKUP($B1770,dongia1,DG!$D$5,)</f>
        <v>viên</v>
      </c>
      <c r="G1770" s="1508">
        <f>G1759*140*3</f>
        <v>0</v>
      </c>
      <c r="H1770" s="1298">
        <f>VLOOKUP($B1770,dongia1,DG!$F$5,)</f>
        <v>1900</v>
      </c>
      <c r="I1770" s="1298"/>
      <c r="J1770" s="1298">
        <f>VLOOKUP($B1770,dongia1,DG!$G$5,)</f>
        <v>0</v>
      </c>
      <c r="K1770" s="1298">
        <f>VLOOKUP($B1770,dongia1,DG!$H$5,)</f>
        <v>0</v>
      </c>
      <c r="L1770" s="1298">
        <f t="shared" si="420"/>
        <v>0</v>
      </c>
      <c r="M1770" s="1298"/>
      <c r="N1770" s="1298">
        <f t="shared" si="422"/>
        <v>0</v>
      </c>
      <c r="O1770" s="1298">
        <f t="shared" si="423"/>
        <v>0</v>
      </c>
      <c r="P1770" s="1299"/>
      <c r="Q1770" s="1300"/>
      <c r="R1770" s="1300"/>
      <c r="S1770" s="1300"/>
    </row>
    <row r="1771" spans="1:21" s="1081" customFormat="1" hidden="1" outlineLevel="1">
      <c r="A1771" s="1072" t="str">
        <f t="shared" si="424"/>
        <v/>
      </c>
      <c r="B1771" s="1295" t="s">
        <v>5662</v>
      </c>
      <c r="C1771" s="1291"/>
      <c r="D1771" s="1198" t="str">
        <f>VLOOKUP($B1771,dongia1,DG!$B$5,)</f>
        <v>AE.61210</v>
      </c>
      <c r="E1771" s="1243" t="str">
        <f>VLOOKUP($B1771,dongia1,DG!$C$5,)&amp;""</f>
        <v>Xây tường gạch ống bề dày &lt;30cm</v>
      </c>
      <c r="F1771" s="1198" t="str">
        <f>VLOOKUP($B1771,dongia1,DG!$D$5,)</f>
        <v>m3</v>
      </c>
      <c r="G1771" s="1508">
        <f>G1759*14*0.2*0.5</f>
        <v>0</v>
      </c>
      <c r="H1771" s="1298">
        <f>VLOOKUP($B1771,dongia1,DG!$F$5,)</f>
        <v>0</v>
      </c>
      <c r="I1771" s="1298"/>
      <c r="J1771" s="1298">
        <f>VLOOKUP($B1771,dongia1,DG!$G$5,)</f>
        <v>316240.8</v>
      </c>
      <c r="K1771" s="1298">
        <f>VLOOKUP($B1771,dongia1,DG!$H$5,)</f>
        <v>0</v>
      </c>
      <c r="L1771" s="1298">
        <f t="shared" si="420"/>
        <v>0</v>
      </c>
      <c r="M1771" s="1298"/>
      <c r="N1771" s="1298">
        <f t="shared" si="422"/>
        <v>0</v>
      </c>
      <c r="O1771" s="1298">
        <f t="shared" si="423"/>
        <v>0</v>
      </c>
      <c r="P1771" s="1299"/>
      <c r="Q1771" s="1300"/>
      <c r="R1771" s="1300"/>
      <c r="S1771" s="1300"/>
    </row>
    <row r="1772" spans="1:21" s="1081" customFormat="1" hidden="1" outlineLevel="1">
      <c r="A1772" s="1072" t="str">
        <f t="shared" si="424"/>
        <v/>
      </c>
      <c r="B1772" s="1295" t="s">
        <v>1694</v>
      </c>
      <c r="C1772" s="1291"/>
      <c r="D1772" s="1198" t="str">
        <f>VLOOKUP($B1772,dongia1,DG!$B$5,)</f>
        <v>AF.61210</v>
      </c>
      <c r="E1772" s="1243" t="str">
        <f>VLOOKUP($B1772,dongia1,DG!$C$5,)</f>
        <v>Gia công và lắp dựng cốt thép D&lt;=10</v>
      </c>
      <c r="F1772" s="1198" t="str">
        <f>VLOOKUP($B1772,dongia1,DG!$D$5,)</f>
        <v>kg</v>
      </c>
      <c r="G1772" s="1508">
        <f>G1767</f>
        <v>0</v>
      </c>
      <c r="H1772" s="1298">
        <f>VLOOKUP($B1772,dongia1,DG!$F$5,)</f>
        <v>9814</v>
      </c>
      <c r="I1772" s="1298"/>
      <c r="J1772" s="1298">
        <f>VLOOKUP($B1772,dongia1,DG!$G$5,)</f>
        <v>2965.3303999999998</v>
      </c>
      <c r="K1772" s="1298">
        <f>VLOOKUP($B1772,dongia1,DG!$H$5,)</f>
        <v>0</v>
      </c>
      <c r="L1772" s="1298">
        <f t="shared" si="416"/>
        <v>0</v>
      </c>
      <c r="M1772" s="1298">
        <f t="shared" si="417"/>
        <v>0</v>
      </c>
      <c r="N1772" s="1298">
        <f t="shared" si="418"/>
        <v>0</v>
      </c>
      <c r="O1772" s="1298">
        <f t="shared" si="419"/>
        <v>0</v>
      </c>
      <c r="P1772" s="1299"/>
      <c r="Q1772" s="1300"/>
      <c r="R1772" s="1300"/>
      <c r="S1772" s="1300"/>
    </row>
    <row r="1773" spans="1:21" s="1081" customFormat="1" hidden="1" outlineLevel="1">
      <c r="A1773" s="1072" t="str">
        <f t="shared" si="424"/>
        <v/>
      </c>
      <c r="B1773" s="1295" t="s">
        <v>1473</v>
      </c>
      <c r="C1773" s="1302"/>
      <c r="D1773" s="1198" t="str">
        <f>VLOOKUP($B1773,dongia1,DG!$B$5,)</f>
        <v>AF.11220</v>
      </c>
      <c r="E1773" s="1243" t="str">
        <f>VLOOKUP($B1773,dongia1,DG!$C$5,)</f>
        <v>Đổ bê tông mác M200 đá 1x 2rộng &gt;250cm</v>
      </c>
      <c r="F1773" s="1198" t="str">
        <f>VLOOKUP($B1773,dongia1,DG!$D$5,)</f>
        <v>m3</v>
      </c>
      <c r="G1773" s="1508">
        <f>G1769</f>
        <v>0</v>
      </c>
      <c r="H1773" s="1298"/>
      <c r="I1773" s="1298"/>
      <c r="J1773" s="1298">
        <f>VLOOKUP($B1773,dongia1,DG!$G$5,)</f>
        <v>466397.5</v>
      </c>
      <c r="K1773" s="1298">
        <f>VLOOKUP($B1773,dongia1,DG!$H$5,)</f>
        <v>0</v>
      </c>
      <c r="L1773" s="1298">
        <f t="shared" si="416"/>
        <v>0</v>
      </c>
      <c r="M1773" s="1298">
        <f t="shared" si="417"/>
        <v>0</v>
      </c>
      <c r="N1773" s="1298">
        <f t="shared" si="418"/>
        <v>0</v>
      </c>
      <c r="O1773" s="1298">
        <f t="shared" si="419"/>
        <v>0</v>
      </c>
      <c r="P1773" s="1299"/>
      <c r="Q1773" s="1306">
        <f>1.025*361</f>
        <v>370.02499999999998</v>
      </c>
      <c r="R1773" s="1306">
        <f>1.025*0.45</f>
        <v>0.46124999999999999</v>
      </c>
      <c r="S1773" s="1306">
        <f>1.025*0.866</f>
        <v>0.88764999999999994</v>
      </c>
      <c r="T1773" s="1307"/>
    </row>
    <row r="1774" spans="1:21" s="1081" customFormat="1" hidden="1" outlineLevel="1">
      <c r="A1774" s="1072" t="str">
        <f t="shared" si="424"/>
        <v/>
      </c>
      <c r="B1774" s="1295" t="s">
        <v>70</v>
      </c>
      <c r="C1774" s="1302"/>
      <c r="D1774" s="1198" t="str">
        <f>VLOOKUP($B1774,dongia1,DG!$B$5,)</f>
        <v>AF.11220</v>
      </c>
      <c r="E1774" s="1243" t="str">
        <f>VLOOKUP($B1774,dongia1,DG!$C$5,)</f>
        <v>Đổ bê tông mác M100 đá 4x6 rộng &gt;250cm</v>
      </c>
      <c r="F1774" s="1198" t="str">
        <f>VLOOKUP($B1774,dongia1,DG!$D$5,)</f>
        <v>m3</v>
      </c>
      <c r="G1774" s="1508"/>
      <c r="H1774" s="1298"/>
      <c r="I1774" s="1298"/>
      <c r="J1774" s="1298">
        <f>VLOOKUP($B1774,dongia1,DG!$G$5,)</f>
        <v>414064.45</v>
      </c>
      <c r="K1774" s="1298">
        <f>VLOOKUP($B1774,dongia1,DG!$H$5,)</f>
        <v>0</v>
      </c>
      <c r="L1774" s="1298">
        <f t="shared" ref="L1774:L1780" si="425">H1774*G1774</f>
        <v>0</v>
      </c>
      <c r="M1774" s="1298">
        <f t="shared" ref="M1774:M1780" si="426">I1774*G1774</f>
        <v>0</v>
      </c>
      <c r="N1774" s="1298">
        <f t="shared" ref="N1774:N1780" si="427">J1774*G1774</f>
        <v>0</v>
      </c>
      <c r="O1774" s="1298">
        <f t="shared" ref="O1774:O1780" si="428">K1774*G1774</f>
        <v>0</v>
      </c>
      <c r="P1774" s="1299"/>
      <c r="Q1774" s="1306">
        <f>1.025*361</f>
        <v>370.02499999999998</v>
      </c>
      <c r="R1774" s="1306">
        <f>1.025*0.45</f>
        <v>0.46124999999999999</v>
      </c>
      <c r="S1774" s="1306">
        <f>1.025*0.866</f>
        <v>0.88764999999999994</v>
      </c>
      <c r="T1774" s="1307"/>
    </row>
    <row r="1775" spans="1:21" s="1081" customFormat="1" hidden="1" outlineLevel="1">
      <c r="A1775" s="1072" t="str">
        <f t="shared" si="424"/>
        <v/>
      </c>
      <c r="B1775" s="1295" t="s">
        <v>5644</v>
      </c>
      <c r="C1775" s="1302"/>
      <c r="D1775" s="1198" t="str">
        <f>VLOOKUP($B1775,dongia1,DG!$B$5,)</f>
        <v>AI.63121</v>
      </c>
      <c r="E1775" s="1243" t="str">
        <f>VLOOKUP($B1775,dongia1,DG!$C$5,)</f>
        <v>Gia công và lắp dựng khung cửa sắt</v>
      </c>
      <c r="F1775" s="1198" t="str">
        <f>VLOOKUP($B1775,dongia1,DG!$D$5,)</f>
        <v>m2</v>
      </c>
      <c r="G1775" s="1508">
        <f>G1759*(2*5.5+0.2*2.8)</f>
        <v>0</v>
      </c>
      <c r="H1775" s="1298"/>
      <c r="I1775" s="1298"/>
      <c r="J1775" s="1298">
        <f>VLOOKUP($B1775,dongia1,DG!$G$5,)</f>
        <v>74440.5</v>
      </c>
      <c r="K1775" s="1298">
        <f>VLOOKUP($B1775,dongia1,DG!$H$5,)</f>
        <v>0</v>
      </c>
      <c r="L1775" s="1298">
        <f t="shared" si="425"/>
        <v>0</v>
      </c>
      <c r="M1775" s="1298">
        <f t="shared" si="426"/>
        <v>0</v>
      </c>
      <c r="N1775" s="1298">
        <f t="shared" si="427"/>
        <v>0</v>
      </c>
      <c r="O1775" s="1298">
        <f t="shared" si="428"/>
        <v>0</v>
      </c>
      <c r="P1775" s="1299"/>
      <c r="Q1775" s="1306"/>
      <c r="R1775" s="1306"/>
      <c r="S1775" s="1306"/>
      <c r="T1775" s="1307"/>
    </row>
    <row r="1776" spans="1:21" s="1740" customFormat="1" hidden="1">
      <c r="A1776" s="1731" t="str">
        <f>IF(G1776&lt;&gt;0,1,"")</f>
        <v/>
      </c>
      <c r="B1776" s="1295"/>
      <c r="C1776" s="166">
        <f>IF(G1776&gt;0,C1759+1,C1759)</f>
        <v>0</v>
      </c>
      <c r="D1776" s="1733"/>
      <c r="E1776" s="168" t="s">
        <v>3442</v>
      </c>
      <c r="F1776" s="169" t="s">
        <v>2113</v>
      </c>
      <c r="G1776" s="1734">
        <f>G1722</f>
        <v>0</v>
      </c>
      <c r="H1776" s="193"/>
      <c r="I1776" s="193"/>
      <c r="J1776" s="1736"/>
      <c r="K1776" s="1736"/>
      <c r="L1776" s="1737">
        <f t="shared" si="425"/>
        <v>0</v>
      </c>
      <c r="M1776" s="1737">
        <f t="shared" si="426"/>
        <v>0</v>
      </c>
      <c r="N1776" s="1737">
        <f t="shared" si="427"/>
        <v>0</v>
      </c>
      <c r="O1776" s="1737">
        <f t="shared" si="428"/>
        <v>0</v>
      </c>
      <c r="P1776" s="1739"/>
    </row>
    <row r="1777" spans="1:19" s="1081" customFormat="1" ht="14.4" hidden="1" outlineLevel="1">
      <c r="A1777" s="1072" t="str">
        <f>A1776</f>
        <v/>
      </c>
      <c r="B1777" s="1295"/>
      <c r="C1777" s="1291"/>
      <c r="D1777" s="1292"/>
      <c r="E1777" s="1301" t="s">
        <v>3399</v>
      </c>
      <c r="F1777" s="1302"/>
      <c r="G1777" s="1508"/>
      <c r="H1777" s="1298"/>
      <c r="I1777" s="1298"/>
      <c r="J1777" s="1298"/>
      <c r="K1777" s="1298"/>
      <c r="L1777" s="1298">
        <f t="shared" si="425"/>
        <v>0</v>
      </c>
      <c r="M1777" s="1298">
        <f t="shared" si="426"/>
        <v>0</v>
      </c>
      <c r="N1777" s="1298">
        <f t="shared" si="427"/>
        <v>0</v>
      </c>
      <c r="O1777" s="1298">
        <f t="shared" si="428"/>
        <v>0</v>
      </c>
      <c r="P1777" s="1499"/>
      <c r="Q1777" s="1300"/>
      <c r="R1777" s="1300"/>
      <c r="S1777" s="1300"/>
    </row>
    <row r="1778" spans="1:19" s="1081" customFormat="1" hidden="1" outlineLevel="1">
      <c r="A1778" s="1072" t="str">
        <f>IF(G1778&lt;&gt;0,1,"")</f>
        <v/>
      </c>
      <c r="B1778" s="1295" t="s">
        <v>5688</v>
      </c>
      <c r="C1778" s="1302"/>
      <c r="D1778" s="1198" t="str">
        <f>VLOOKUP($B1778,dongia1,DG!$B$5,)</f>
        <v>T5.1002</v>
      </c>
      <c r="E1778" s="1243" t="str">
        <f>VLOOKUP($B1778,dongia1,DG!$C$5,)</f>
        <v>Tủ ACB + thanh cái 5000A</v>
      </c>
      <c r="F1778" s="1198" t="str">
        <f>VLOOKUP($B1778,dongia1,DG!$D$5,)</f>
        <v>cái</v>
      </c>
      <c r="G1778" s="1508">
        <f>G1776</f>
        <v>0</v>
      </c>
      <c r="H1778" s="1298">
        <f>VLOOKUP($B1778,dongia1,DG!$F$5,)</f>
        <v>90000000</v>
      </c>
      <c r="I1778" s="1298"/>
      <c r="J1778" s="1298">
        <f>VLOOKUP($B1778,dongia1,DG!$G$5,)</f>
        <v>872965.44</v>
      </c>
      <c r="K1778" s="1298">
        <f>VLOOKUP($B1778,dongia1,DG!$H$5,)</f>
        <v>55839</v>
      </c>
      <c r="L1778" s="1298">
        <f t="shared" si="425"/>
        <v>0</v>
      </c>
      <c r="M1778" s="1298">
        <f t="shared" si="426"/>
        <v>0</v>
      </c>
      <c r="N1778" s="1298">
        <f t="shared" si="427"/>
        <v>0</v>
      </c>
      <c r="O1778" s="1298">
        <f t="shared" si="428"/>
        <v>0</v>
      </c>
      <c r="P1778" s="1499"/>
      <c r="Q1778" s="1300"/>
      <c r="R1778" s="1300"/>
      <c r="S1778" s="1300"/>
    </row>
    <row r="1779" spans="1:19" s="1081" customFormat="1" hidden="1" outlineLevel="1">
      <c r="A1779" s="1072" t="str">
        <f>IF(G1779&lt;&gt;0,1,"")</f>
        <v/>
      </c>
      <c r="B1779" s="1295" t="s">
        <v>1560</v>
      </c>
      <c r="C1779" s="1291"/>
      <c r="D1779" s="1198">
        <f>VLOOKUP($B1779,dongia1,DG!$B$5,)</f>
        <v>0</v>
      </c>
      <c r="E1779" s="1243" t="str">
        <f>VLOOKUP($B1779,dongia1,DG!$C$5,)</f>
        <v xml:space="preserve">Bakelit 500x300 dầy 10mm </v>
      </c>
      <c r="F1779" s="1198" t="str">
        <f>VLOOKUP($B1779,dongia1,DG!$D$5,)</f>
        <v>cái</v>
      </c>
      <c r="G1779" s="1508">
        <f>G1776</f>
        <v>0</v>
      </c>
      <c r="H1779" s="1298">
        <f>VLOOKUP($B1779,dongia1,DG!$F$5,)</f>
        <v>284000</v>
      </c>
      <c r="I1779" s="1298"/>
      <c r="J1779" s="1298"/>
      <c r="K1779" s="1298">
        <f>VLOOKUP($B1779,dongia1,DG!$H$5,)</f>
        <v>0</v>
      </c>
      <c r="L1779" s="1298">
        <f t="shared" si="425"/>
        <v>0</v>
      </c>
      <c r="M1779" s="1298">
        <f t="shared" si="426"/>
        <v>0</v>
      </c>
      <c r="N1779" s="1298">
        <f t="shared" si="427"/>
        <v>0</v>
      </c>
      <c r="O1779" s="1298">
        <f t="shared" si="428"/>
        <v>0</v>
      </c>
      <c r="P1779" s="1499"/>
      <c r="Q1779" s="1300"/>
      <c r="R1779" s="1300"/>
      <c r="S1779" s="1300"/>
    </row>
    <row r="1780" spans="1:19" s="1081" customFormat="1" hidden="1" outlineLevel="1">
      <c r="A1780" s="1072" t="str">
        <f>IF(G1780&lt;&gt;0,1,"")</f>
        <v/>
      </c>
      <c r="B1780" s="1295" t="s">
        <v>888</v>
      </c>
      <c r="C1780" s="1302"/>
      <c r="D1780" s="1198">
        <f>VLOOKUP($B1780,dongia1,DG!$B$5,)</f>
        <v>0</v>
      </c>
      <c r="E1780" s="1243" t="str">
        <f>VLOOKUP($B1780,dongia1,DG!$C$5,)</f>
        <v>Bảng tên trạm + bảng báo nguy hiểm</v>
      </c>
      <c r="F1780" s="1198" t="str">
        <f>VLOOKUP($B1780,dongia1,DG!$D$5,)</f>
        <v>cái</v>
      </c>
      <c r="G1780" s="1508">
        <f>G1776</f>
        <v>0</v>
      </c>
      <c r="H1780" s="1298">
        <f>VLOOKUP($B1780,dongia1,DG!$F$5,)</f>
        <v>300000</v>
      </c>
      <c r="I1780" s="1298"/>
      <c r="J1780" s="1298">
        <f>VLOOKUP($B1780,dongia1,DG!$G$5,)</f>
        <v>0</v>
      </c>
      <c r="K1780" s="1298">
        <f>VLOOKUP($B1780,dongia1,DG!$H$5,)</f>
        <v>0</v>
      </c>
      <c r="L1780" s="1298">
        <f t="shared" si="425"/>
        <v>0</v>
      </c>
      <c r="M1780" s="1298">
        <f t="shared" si="426"/>
        <v>0</v>
      </c>
      <c r="N1780" s="1298">
        <f t="shared" si="427"/>
        <v>0</v>
      </c>
      <c r="O1780" s="1298">
        <f t="shared" si="428"/>
        <v>0</v>
      </c>
      <c r="P1780" s="1437"/>
      <c r="Q1780" s="1300"/>
      <c r="R1780" s="1300"/>
      <c r="S1780" s="1300"/>
    </row>
    <row r="1781" spans="1:19" s="1081" customFormat="1" hidden="1" outlineLevel="1">
      <c r="A1781" s="1072" t="str">
        <f t="shared" ref="A1781:A1789" si="429">IF(G1781&lt;&gt;0,1,"")</f>
        <v/>
      </c>
      <c r="B1781" s="1295" t="s">
        <v>1542</v>
      </c>
      <c r="C1781" s="1302"/>
      <c r="D1781" s="1198">
        <f>VLOOKUP($B1781,dongia1,DG!$B$5,)</f>
        <v>0</v>
      </c>
      <c r="E1781" s="1243" t="str">
        <f>VLOOKUP($B1781,dongia1,DG!$C$5,)</f>
        <v>Cổ dê bắt tủ</v>
      </c>
      <c r="F1781" s="1198" t="str">
        <f>VLOOKUP($B1781,dongia1,DG!$D$5,)</f>
        <v>bộ</v>
      </c>
      <c r="G1781" s="1508"/>
      <c r="H1781" s="1298">
        <f>VLOOKUP($B1781,dongia1,DG!$F$5,)</f>
        <v>168000</v>
      </c>
      <c r="I1781" s="1298"/>
      <c r="J1781" s="1298">
        <f>VLOOKUP($B1781,dongia1,DG!$G$5,)</f>
        <v>0</v>
      </c>
      <c r="K1781" s="1298">
        <f>VLOOKUP($B1781,dongia1,DG!$H$5,)</f>
        <v>0</v>
      </c>
      <c r="L1781" s="1298">
        <f t="shared" ref="L1781:L1789" si="430">H1781*G1781</f>
        <v>0</v>
      </c>
      <c r="M1781" s="1298">
        <f t="shared" ref="M1781:M1789" si="431">I1781*G1781</f>
        <v>0</v>
      </c>
      <c r="N1781" s="1298">
        <f t="shared" ref="N1781:N1789" si="432">J1781*G1781</f>
        <v>0</v>
      </c>
      <c r="O1781" s="1298">
        <f t="shared" ref="O1781:O1789" si="433">K1781*G1781</f>
        <v>0</v>
      </c>
      <c r="P1781" s="1499"/>
      <c r="Q1781" s="1300"/>
      <c r="R1781" s="1300"/>
      <c r="S1781" s="1300"/>
    </row>
    <row r="1782" spans="1:19" s="1081" customFormat="1" hidden="1" outlineLevel="1">
      <c r="A1782" s="1072" t="str">
        <f t="shared" si="429"/>
        <v/>
      </c>
      <c r="B1782" s="1295" t="s">
        <v>4804</v>
      </c>
      <c r="C1782" s="1302"/>
      <c r="D1782" s="1198">
        <f>VLOOKUP($B1782,dongia1,DG!$B$5,)</f>
        <v>0</v>
      </c>
      <c r="E1782" s="1243" t="str">
        <f>VLOOKUP($B1782,dongia1,DG!$C$5,)</f>
        <v xml:space="preserve">Cáp CVV 4x4mm2  </v>
      </c>
      <c r="F1782" s="1198" t="str">
        <f>VLOOKUP($B1782,dongia1,DG!$D$5,)</f>
        <v>mét</v>
      </c>
      <c r="G1782" s="1508">
        <f>G1776*6*0</f>
        <v>0</v>
      </c>
      <c r="H1782" s="1298">
        <f>VLOOKUP($B1782,dongia1,DG!$F$5,)</f>
        <v>63200</v>
      </c>
      <c r="I1782" s="1298"/>
      <c r="J1782" s="1298">
        <f>VLOOKUP($B1782,dongia1,DG!$G$5,)</f>
        <v>0</v>
      </c>
      <c r="K1782" s="1298">
        <f>VLOOKUP($B1782,dongia1,DG!$H$5,)</f>
        <v>0</v>
      </c>
      <c r="L1782" s="1298">
        <f t="shared" si="430"/>
        <v>0</v>
      </c>
      <c r="M1782" s="1298">
        <f t="shared" si="431"/>
        <v>0</v>
      </c>
      <c r="N1782" s="1298">
        <f t="shared" si="432"/>
        <v>0</v>
      </c>
      <c r="O1782" s="1298">
        <f t="shared" si="433"/>
        <v>0</v>
      </c>
      <c r="P1782" s="1499"/>
      <c r="Q1782" s="1300"/>
      <c r="R1782" s="1300"/>
      <c r="S1782" s="1300"/>
    </row>
    <row r="1783" spans="1:19" s="1081" customFormat="1" hidden="1" outlineLevel="1">
      <c r="A1783" s="1072" t="str">
        <f t="shared" si="429"/>
        <v/>
      </c>
      <c r="B1783" s="1295" t="s">
        <v>5577</v>
      </c>
      <c r="C1783" s="1302"/>
      <c r="D1783" s="1198" t="str">
        <f>VLOOKUP($B1783,dongia1,DG!$B$5,)</f>
        <v>D4.5001</v>
      </c>
      <c r="E1783" s="1243" t="str">
        <f>VLOOKUP($B1783,dongia1,DG!$C$5,)</f>
        <v xml:space="preserve">Đầu cosse ép Cu 4mm2 + bao PVC </v>
      </c>
      <c r="F1783" s="1198" t="str">
        <f>VLOOKUP($B1783,dongia1,DG!$D$5,)</f>
        <v>cái</v>
      </c>
      <c r="G1783" s="1508">
        <f>G1776*4*2*0</f>
        <v>0</v>
      </c>
      <c r="H1783" s="1298">
        <f>VLOOKUP($B1783,dongia1,DG!$F$5,)</f>
        <v>1700</v>
      </c>
      <c r="I1783" s="1298"/>
      <c r="J1783" s="1298">
        <f>VLOOKUP($B1783,dongia1,DG!$G$5,)</f>
        <v>3637.3560000000002</v>
      </c>
      <c r="K1783" s="1298">
        <f>VLOOKUP($B1783,dongia1,DG!$H$5,)</f>
        <v>1666.2139485</v>
      </c>
      <c r="L1783" s="1298">
        <f t="shared" si="430"/>
        <v>0</v>
      </c>
      <c r="M1783" s="1298">
        <f t="shared" si="431"/>
        <v>0</v>
      </c>
      <c r="N1783" s="1298">
        <f t="shared" si="432"/>
        <v>0</v>
      </c>
      <c r="O1783" s="1298">
        <f t="shared" si="433"/>
        <v>0</v>
      </c>
      <c r="P1783" s="1499"/>
      <c r="Q1783" s="1300"/>
      <c r="R1783" s="1300"/>
      <c r="S1783" s="1300"/>
    </row>
    <row r="1784" spans="1:19" s="61" customFormat="1" hidden="1">
      <c r="A1784" s="137" t="str">
        <f>IF(G1784&lt;&gt;0,1,"")</f>
        <v/>
      </c>
      <c r="B1784" s="1295"/>
      <c r="C1784" s="166">
        <f>IF(G1784&gt;0,C1776+1,C1776)</f>
        <v>0</v>
      </c>
      <c r="D1784" s="167"/>
      <c r="E1784" s="168" t="s">
        <v>4709</v>
      </c>
      <c r="F1784" s="169" t="s">
        <v>2113</v>
      </c>
      <c r="G1784" s="63"/>
      <c r="H1784" s="170"/>
      <c r="I1784" s="170"/>
      <c r="J1784" s="172"/>
      <c r="K1784" s="172"/>
      <c r="L1784" s="64"/>
      <c r="M1784" s="64"/>
      <c r="N1784" s="64"/>
      <c r="O1784" s="64"/>
      <c r="P1784" s="173"/>
    </row>
    <row r="1785" spans="1:19" s="1527" customFormat="1" ht="14.4" hidden="1" outlineLevel="1">
      <c r="A1785" s="1519" t="str">
        <f>A1784</f>
        <v/>
      </c>
      <c r="B1785" s="1295"/>
      <c r="C1785" s="1520"/>
      <c r="D1785" s="1521"/>
      <c r="E1785" s="1522" t="s">
        <v>3399</v>
      </c>
      <c r="F1785" s="1521"/>
      <c r="G1785" s="1523"/>
      <c r="H1785" s="1524"/>
      <c r="I1785" s="1524"/>
      <c r="J1785" s="1524"/>
      <c r="K1785" s="1524"/>
      <c r="L1785" s="1524"/>
      <c r="M1785" s="1524"/>
      <c r="N1785" s="1524"/>
      <c r="O1785" s="1524"/>
      <c r="P1785" s="1525"/>
      <c r="Q1785" s="1526"/>
      <c r="R1785" s="1300"/>
      <c r="S1785" s="1526"/>
    </row>
    <row r="1786" spans="1:19" s="1081" customFormat="1" hidden="1" outlineLevel="1">
      <c r="A1786" s="1072" t="str">
        <f t="shared" si="429"/>
        <v/>
      </c>
      <c r="B1786" s="1295" t="s">
        <v>4569</v>
      </c>
      <c r="C1786" s="1302"/>
      <c r="D1786" s="1198" t="str">
        <f>VLOOKUP($B1786,dongia1,DG!$B$5,)</f>
        <v>T5.1001</v>
      </c>
      <c r="E1786" s="1243" t="str">
        <f>VLOOKUP($B1786,dongia1,DG!$C$5,)</f>
        <v>Tủ điện kế</v>
      </c>
      <c r="F1786" s="1198" t="str">
        <f>VLOOKUP($B1786,dongia1,DG!$D$5,)</f>
        <v>cái</v>
      </c>
      <c r="G1786" s="1508">
        <f>G1784</f>
        <v>0</v>
      </c>
      <c r="H1786" s="1298">
        <f>VLOOKUP($B1786,dongia1,DG!$F$5,)</f>
        <v>783952</v>
      </c>
      <c r="I1786" s="1298"/>
      <c r="J1786" s="1298">
        <f>VLOOKUP($B1786,dongia1,DG!$G$5,)</f>
        <v>599038</v>
      </c>
      <c r="K1786" s="1298">
        <f>VLOOKUP($B1786,dongia1,DG!$H$5,)</f>
        <v>97369</v>
      </c>
      <c r="L1786" s="1298">
        <f t="shared" si="430"/>
        <v>0</v>
      </c>
      <c r="M1786" s="1298">
        <f t="shared" si="431"/>
        <v>0</v>
      </c>
      <c r="N1786" s="1298">
        <f t="shared" si="432"/>
        <v>0</v>
      </c>
      <c r="O1786" s="1298">
        <f t="shared" si="433"/>
        <v>0</v>
      </c>
      <c r="P1786" s="1499"/>
      <c r="Q1786" s="1300"/>
      <c r="R1786" s="1300"/>
      <c r="S1786" s="1300"/>
    </row>
    <row r="1787" spans="1:19" s="1081" customFormat="1" hidden="1" outlineLevel="1">
      <c r="A1787" s="1072" t="str">
        <f t="shared" si="429"/>
        <v/>
      </c>
      <c r="B1787" s="1295" t="s">
        <v>1560</v>
      </c>
      <c r="C1787" s="1302"/>
      <c r="D1787" s="1198">
        <f>VLOOKUP($B1787,dongia1,DG!$B$5,)</f>
        <v>0</v>
      </c>
      <c r="E1787" s="1243" t="str">
        <f>VLOOKUP($B1787,dongia1,DG!$C$5,)</f>
        <v xml:space="preserve">Bakelit 500x300 dầy 10mm </v>
      </c>
      <c r="F1787" s="1198" t="str">
        <f>VLOOKUP($B1787,dongia1,DG!$D$5,)</f>
        <v>cái</v>
      </c>
      <c r="G1787" s="1508">
        <f>G1786</f>
        <v>0</v>
      </c>
      <c r="H1787" s="1298">
        <f>VLOOKUP($B1787,dongia1,DG!$F$5,)</f>
        <v>284000</v>
      </c>
      <c r="I1787" s="1298"/>
      <c r="J1787" s="1298">
        <f>VLOOKUP($B1787,dongia1,DG!$G$5,)</f>
        <v>5404</v>
      </c>
      <c r="K1787" s="1298">
        <f>VLOOKUP($B1787,dongia1,DG!$H$5,)</f>
        <v>0</v>
      </c>
      <c r="L1787" s="1298">
        <f t="shared" si="430"/>
        <v>0</v>
      </c>
      <c r="M1787" s="1298">
        <f t="shared" si="431"/>
        <v>0</v>
      </c>
      <c r="N1787" s="1298">
        <f t="shared" si="432"/>
        <v>0</v>
      </c>
      <c r="O1787" s="1298">
        <f t="shared" si="433"/>
        <v>0</v>
      </c>
      <c r="P1787" s="1499"/>
      <c r="Q1787" s="1300"/>
      <c r="R1787" s="1300"/>
      <c r="S1787" s="1300"/>
    </row>
    <row r="1788" spans="1:19" s="1081" customFormat="1" hidden="1" outlineLevel="1">
      <c r="A1788" s="1072" t="str">
        <f>IF(G1788&lt;&gt;0,1,"")</f>
        <v/>
      </c>
      <c r="B1788" s="1295" t="s">
        <v>888</v>
      </c>
      <c r="C1788" s="1302"/>
      <c r="D1788" s="1198">
        <f>VLOOKUP($B1788,dongia1,DG!$B$5,)</f>
        <v>0</v>
      </c>
      <c r="E1788" s="1243" t="str">
        <f>VLOOKUP($B1788,dongia1,DG!$C$5,)</f>
        <v>Bảng tên trạm + bảng báo nguy hiểm</v>
      </c>
      <c r="F1788" s="1198" t="str">
        <f>VLOOKUP($B1788,dongia1,DG!$D$5,)</f>
        <v>cái</v>
      </c>
      <c r="G1788" s="1508">
        <f>G1784</f>
        <v>0</v>
      </c>
      <c r="H1788" s="1298">
        <f>VLOOKUP($B1788,dongia1,DG!$F$5,)</f>
        <v>300000</v>
      </c>
      <c r="I1788" s="1298"/>
      <c r="J1788" s="1298">
        <f>VLOOKUP($B1788,dongia1,DG!$G$5,)</f>
        <v>0</v>
      </c>
      <c r="K1788" s="1298">
        <f>VLOOKUP($B1788,dongia1,DG!$H$5,)</f>
        <v>0</v>
      </c>
      <c r="L1788" s="1298">
        <f>H1788*G1788</f>
        <v>0</v>
      </c>
      <c r="M1788" s="1298">
        <f>I1788*G1788</f>
        <v>0</v>
      </c>
      <c r="N1788" s="1298">
        <f>J1788*G1788</f>
        <v>0</v>
      </c>
      <c r="O1788" s="1298">
        <f>K1788*G1788</f>
        <v>0</v>
      </c>
      <c r="P1788" s="1499"/>
      <c r="Q1788" s="1300"/>
      <c r="R1788" s="1300"/>
      <c r="S1788" s="1300"/>
    </row>
    <row r="1789" spans="1:19" s="1081" customFormat="1" hidden="1" outlineLevel="1">
      <c r="A1789" s="1072" t="str">
        <f t="shared" si="429"/>
        <v/>
      </c>
      <c r="B1789" s="1295" t="s">
        <v>1542</v>
      </c>
      <c r="C1789" s="1302"/>
      <c r="D1789" s="1198">
        <f>VLOOKUP($B1789,dongia1,DG!$B$5,)</f>
        <v>0</v>
      </c>
      <c r="E1789" s="1243" t="str">
        <f>VLOOKUP($B1789,dongia1,DG!$C$5,)</f>
        <v>Cổ dê bắt tủ</v>
      </c>
      <c r="F1789" s="1198" t="str">
        <f>VLOOKUP($B1789,dongia1,DG!$D$5,)</f>
        <v>bộ</v>
      </c>
      <c r="G1789" s="1508">
        <f>G1786*2</f>
        <v>0</v>
      </c>
      <c r="H1789" s="1298">
        <f>VLOOKUP($B1789,dongia1,DG!$F$5,)</f>
        <v>168000</v>
      </c>
      <c r="I1789" s="1298"/>
      <c r="J1789" s="1298">
        <f>VLOOKUP($B1789,dongia1,DG!$G$5,)</f>
        <v>0</v>
      </c>
      <c r="K1789" s="1298">
        <f>VLOOKUP($B1789,dongia1,DG!$H$5,)</f>
        <v>0</v>
      </c>
      <c r="L1789" s="1298">
        <f t="shared" si="430"/>
        <v>0</v>
      </c>
      <c r="M1789" s="1298">
        <f t="shared" si="431"/>
        <v>0</v>
      </c>
      <c r="N1789" s="1298">
        <f t="shared" si="432"/>
        <v>0</v>
      </c>
      <c r="O1789" s="1298">
        <f t="shared" si="433"/>
        <v>0</v>
      </c>
      <c r="P1789" s="1499"/>
      <c r="Q1789" s="1300"/>
      <c r="R1789" s="1300"/>
      <c r="S1789" s="1300"/>
    </row>
    <row r="1790" spans="1:19" s="1081" customFormat="1" hidden="1" outlineLevel="1">
      <c r="A1790" s="1072" t="str">
        <f t="shared" ref="A1790:A1801" si="434">IF(G1790&lt;&gt;0,1,"")</f>
        <v/>
      </c>
      <c r="B1790" s="1295" t="s">
        <v>865</v>
      </c>
      <c r="C1790" s="1302"/>
      <c r="D1790" s="1198" t="str">
        <f>VLOOKUP($B1790,dongia1,DG!$B$5,)</f>
        <v>03.1401</v>
      </c>
      <c r="E1790" s="1243" t="str">
        <f>VLOOKUP($B1790,dongia1,DG!$C$5,)</f>
        <v xml:space="preserve">Cáp CVV 4x2,5mm2  </v>
      </c>
      <c r="F1790" s="1198" t="str">
        <f>VLOOKUP($B1790,dongia1,DG!$D$5,)</f>
        <v>mét</v>
      </c>
      <c r="G1790" s="1508">
        <f>G1784*6</f>
        <v>0</v>
      </c>
      <c r="H1790" s="1298">
        <f>VLOOKUP($B1790,dongia1,DG!$F$5,)</f>
        <v>28200</v>
      </c>
      <c r="I1790" s="1298"/>
      <c r="J1790" s="1298">
        <f>VLOOKUP($B1790,dongia1,DG!$G$5,)</f>
        <v>0</v>
      </c>
      <c r="K1790" s="1298">
        <f>VLOOKUP($B1790,dongia1,DG!$H$5,)</f>
        <v>0</v>
      </c>
      <c r="L1790" s="1298">
        <f t="shared" ref="L1790:L1801" si="435">H1790*G1790</f>
        <v>0</v>
      </c>
      <c r="M1790" s="1298">
        <f t="shared" ref="M1790:M1801" si="436">I1790*G1790</f>
        <v>0</v>
      </c>
      <c r="N1790" s="1298">
        <f t="shared" ref="N1790:N1801" si="437">J1790*G1790</f>
        <v>0</v>
      </c>
      <c r="O1790" s="1298">
        <f t="shared" ref="O1790:O1801" si="438">K1790*G1790</f>
        <v>0</v>
      </c>
      <c r="P1790" s="1499"/>
      <c r="Q1790" s="1300"/>
      <c r="R1790" s="1300"/>
      <c r="S1790" s="1300"/>
    </row>
    <row r="1791" spans="1:19" s="1081" customFormat="1" hidden="1" outlineLevel="1">
      <c r="A1791" s="1072" t="str">
        <f t="shared" si="434"/>
        <v/>
      </c>
      <c r="B1791" s="1295" t="s">
        <v>829</v>
      </c>
      <c r="C1791" s="1302"/>
      <c r="D1791" s="1198">
        <f>VLOOKUP($B1791,dongia1,DG!$B$5,)</f>
        <v>0</v>
      </c>
      <c r="E1791" s="1243" t="str">
        <f>VLOOKUP($B1791,dongia1,DG!$C$5,)</f>
        <v xml:space="preserve">Đầu cosse ép Cu 2,5mm2 + bao PVC </v>
      </c>
      <c r="F1791" s="1198" t="str">
        <f>VLOOKUP($B1791,dongia1,DG!$D$5,)</f>
        <v>cái</v>
      </c>
      <c r="G1791" s="1508">
        <f>G1784*4*2</f>
        <v>0</v>
      </c>
      <c r="H1791" s="1298">
        <f>VLOOKUP($B1791,dongia1,DG!$F$5,)</f>
        <v>1700</v>
      </c>
      <c r="I1791" s="1298"/>
      <c r="J1791" s="1298">
        <f>VLOOKUP($B1791,dongia1,DG!$G$5,)</f>
        <v>0</v>
      </c>
      <c r="K1791" s="1298">
        <f>VLOOKUP($B1791,dongia1,DG!$H$5,)</f>
        <v>0</v>
      </c>
      <c r="L1791" s="1298">
        <f t="shared" si="435"/>
        <v>0</v>
      </c>
      <c r="M1791" s="1298">
        <f t="shared" si="436"/>
        <v>0</v>
      </c>
      <c r="N1791" s="1298">
        <f t="shared" si="437"/>
        <v>0</v>
      </c>
      <c r="O1791" s="1298">
        <f t="shared" si="438"/>
        <v>0</v>
      </c>
      <c r="P1791" s="1499"/>
      <c r="Q1791" s="1300"/>
      <c r="R1791" s="1300"/>
      <c r="S1791" s="1300"/>
    </row>
    <row r="1792" spans="1:19" s="1081" customFormat="1" hidden="1" outlineLevel="1">
      <c r="A1792" s="1072" t="str">
        <f t="shared" si="434"/>
        <v/>
      </c>
      <c r="B1792" s="1295" t="s">
        <v>1736</v>
      </c>
      <c r="C1792" s="1302"/>
      <c r="D1792" s="1198">
        <f>VLOOKUP($B1792,dongia1,DG!$B$5,)</f>
        <v>0</v>
      </c>
      <c r="E1792" s="1243" t="str">
        <f>VLOOKUP($B1792,dongia1,DG!$C$5,)</f>
        <v>Ống PVC D42x2,1mm</v>
      </c>
      <c r="F1792" s="1198" t="str">
        <f>VLOOKUP($B1792,dongia1,DG!$D$5,)</f>
        <v>m</v>
      </c>
      <c r="G1792" s="1508">
        <f>G1787*4</f>
        <v>0</v>
      </c>
      <c r="H1792" s="1298">
        <f>VLOOKUP($B1792,dongia1,DG!$F$5,)</f>
        <v>16100</v>
      </c>
      <c r="I1792" s="1298"/>
      <c r="J1792" s="1298">
        <f>VLOOKUP($B1792,dongia1,DG!$G$5,)</f>
        <v>0</v>
      </c>
      <c r="K1792" s="1298">
        <f>VLOOKUP($B1792,dongia1,DG!$H$5,)</f>
        <v>0</v>
      </c>
      <c r="L1792" s="1298">
        <f t="shared" si="435"/>
        <v>0</v>
      </c>
      <c r="M1792" s="1298">
        <f t="shared" si="436"/>
        <v>0</v>
      </c>
      <c r="N1792" s="1298">
        <f t="shared" si="437"/>
        <v>0</v>
      </c>
      <c r="O1792" s="1298">
        <f t="shared" si="438"/>
        <v>0</v>
      </c>
      <c r="P1792" s="1499"/>
      <c r="Q1792" s="1300"/>
      <c r="R1792" s="1300"/>
      <c r="S1792" s="1300"/>
    </row>
    <row r="1793" spans="1:19" s="1081" customFormat="1" hidden="1" outlineLevel="1">
      <c r="A1793" s="1072" t="str">
        <f t="shared" si="434"/>
        <v/>
      </c>
      <c r="B1793" s="1295" t="s">
        <v>4704</v>
      </c>
      <c r="C1793" s="1302"/>
      <c r="D1793" s="1198">
        <f>VLOOKUP($B1793,dongia1,DG!$B$5,)</f>
        <v>0</v>
      </c>
      <c r="E1793" s="1243" t="str">
        <f>VLOOKUP($B1793,dongia1,DG!$C$5,)</f>
        <v>Co 90 độ PVC 42</v>
      </c>
      <c r="F1793" s="1198" t="str">
        <f>VLOOKUP($B1793,dongia1,DG!$D$5,)</f>
        <v>cái</v>
      </c>
      <c r="G1793" s="1508">
        <f>G1784</f>
        <v>0</v>
      </c>
      <c r="H1793" s="1298">
        <f>VLOOKUP($B1793,dongia1,DG!$F$5,)</f>
        <v>11400</v>
      </c>
      <c r="I1793" s="1298"/>
      <c r="J1793" s="1298">
        <f>VLOOKUP($B1793,dongia1,DG!$G$5,)</f>
        <v>0</v>
      </c>
      <c r="K1793" s="1298">
        <f>VLOOKUP($B1793,dongia1,DG!$H$5,)</f>
        <v>0</v>
      </c>
      <c r="L1793" s="1298">
        <f t="shared" si="435"/>
        <v>0</v>
      </c>
      <c r="M1793" s="1298">
        <f t="shared" si="436"/>
        <v>0</v>
      </c>
      <c r="N1793" s="1298">
        <f t="shared" si="437"/>
        <v>0</v>
      </c>
      <c r="O1793" s="1298">
        <f t="shared" si="438"/>
        <v>0</v>
      </c>
      <c r="P1793" s="1499"/>
      <c r="Q1793" s="1300"/>
      <c r="R1793" s="1300"/>
      <c r="S1793" s="1300"/>
    </row>
    <row r="1794" spans="1:19" s="1081" customFormat="1" hidden="1" outlineLevel="1">
      <c r="A1794" s="1072" t="str">
        <f>IF(G1794&lt;&gt;0,1,"")</f>
        <v/>
      </c>
      <c r="B1794" s="1295" t="s">
        <v>1524</v>
      </c>
      <c r="C1794" s="1302"/>
      <c r="D1794" s="1198">
        <f>VLOOKUP($B1794,dongia1,DG!$B$5,)</f>
        <v>0</v>
      </c>
      <c r="E1794" s="1243" t="str">
        <f>VLOOKUP($B1794,dongia1,DG!$C$5,)</f>
        <v>Cổ dê giữ ống PVC D42</v>
      </c>
      <c r="F1794" s="1198" t="str">
        <f>VLOOKUP($B1794,dongia1,DG!$D$5,)</f>
        <v>bộ</v>
      </c>
      <c r="G1794" s="1508">
        <f>G1784*2</f>
        <v>0</v>
      </c>
      <c r="H1794" s="1298">
        <f>VLOOKUP($B1794,dongia1,DG!$F$5,)</f>
        <v>34000</v>
      </c>
      <c r="I1794" s="1298"/>
      <c r="J1794" s="1298">
        <f>VLOOKUP($B1794,dongia1,DG!$G$5,)</f>
        <v>0</v>
      </c>
      <c r="K1794" s="1298">
        <f>VLOOKUP($B1794,dongia1,DG!$H$5,)</f>
        <v>0</v>
      </c>
      <c r="L1794" s="1298">
        <f>H1794*G1794</f>
        <v>0</v>
      </c>
      <c r="M1794" s="1298">
        <f>I1794*G1794</f>
        <v>0</v>
      </c>
      <c r="N1794" s="1298">
        <f>J1794*G1794</f>
        <v>0</v>
      </c>
      <c r="O1794" s="1298">
        <f>K1794*G1794</f>
        <v>0</v>
      </c>
      <c r="P1794" s="1499"/>
      <c r="Q1794" s="1300"/>
      <c r="R1794" s="1300"/>
      <c r="S1794" s="1300"/>
    </row>
    <row r="1795" spans="1:19" s="1081" customFormat="1" hidden="1" outlineLevel="1">
      <c r="A1795" s="1072" t="str">
        <f>IF(G1795&lt;&gt;0,1,"")</f>
        <v/>
      </c>
      <c r="B1795" s="1295" t="s">
        <v>4705</v>
      </c>
      <c r="C1795" s="1302"/>
      <c r="D1795" s="1198">
        <f>VLOOKUP($B1795,dongia1,DG!$B$5,)</f>
        <v>0</v>
      </c>
      <c r="E1795" s="1243" t="str">
        <f>VLOOKUP($B1795,dongia1,DG!$C$5,)</f>
        <v>Khâu ven răng trong D42</v>
      </c>
      <c r="F1795" s="1198" t="str">
        <f>VLOOKUP($B1795,dongia1,DG!$D$5,)</f>
        <v>cái</v>
      </c>
      <c r="G1795" s="1508">
        <f>G1784*2</f>
        <v>0</v>
      </c>
      <c r="H1795" s="1298">
        <f>VLOOKUP($B1795,dongia1,DG!$F$5,)</f>
        <v>5000</v>
      </c>
      <c r="I1795" s="1298"/>
      <c r="J1795" s="1298">
        <f>VLOOKUP($B1795,dongia1,DG!$G$5,)</f>
        <v>0</v>
      </c>
      <c r="K1795" s="1298">
        <f>VLOOKUP($B1795,dongia1,DG!$H$5,)</f>
        <v>0</v>
      </c>
      <c r="L1795" s="1298">
        <f>H1795*G1795</f>
        <v>0</v>
      </c>
      <c r="M1795" s="1298">
        <f>I1795*G1795</f>
        <v>0</v>
      </c>
      <c r="N1795" s="1298">
        <f>J1795*G1795</f>
        <v>0</v>
      </c>
      <c r="O1795" s="1298">
        <f>K1795*G1795</f>
        <v>0</v>
      </c>
      <c r="P1795" s="1499"/>
      <c r="Q1795" s="1300"/>
      <c r="R1795" s="1300"/>
      <c r="S1795" s="1300"/>
    </row>
    <row r="1796" spans="1:19" s="1081" customFormat="1" hidden="1" outlineLevel="1">
      <c r="A1796" s="1072" t="str">
        <f>IF(G1796&lt;&gt;0,1,"")</f>
        <v/>
      </c>
      <c r="B1796" s="1295" t="s">
        <v>4706</v>
      </c>
      <c r="C1796" s="1302"/>
      <c r="D1796" s="1198">
        <f>VLOOKUP($B1796,dongia1,DG!$B$5,)</f>
        <v>0</v>
      </c>
      <c r="E1796" s="1243" t="str">
        <f>VLOOKUP($B1796,dongia1,DG!$C$5,)</f>
        <v>Khâu ven răng ngoài D42</v>
      </c>
      <c r="F1796" s="1198" t="str">
        <f>VLOOKUP($B1796,dongia1,DG!$D$5,)</f>
        <v>cái</v>
      </c>
      <c r="G1796" s="1508">
        <f>G1795</f>
        <v>0</v>
      </c>
      <c r="H1796" s="1298">
        <f>VLOOKUP($B1796,dongia1,DG!$F$5,)</f>
        <v>5200</v>
      </c>
      <c r="I1796" s="1298"/>
      <c r="J1796" s="1298">
        <f>VLOOKUP($B1796,dongia1,DG!$G$5,)</f>
        <v>0</v>
      </c>
      <c r="K1796" s="1298">
        <f>VLOOKUP($B1796,dongia1,DG!$H$5,)</f>
        <v>0</v>
      </c>
      <c r="L1796" s="1298">
        <f>H1796*G1796</f>
        <v>0</v>
      </c>
      <c r="M1796" s="1298">
        <f>I1796*G1796</f>
        <v>0</v>
      </c>
      <c r="N1796" s="1298">
        <f>J1796*G1796</f>
        <v>0</v>
      </c>
      <c r="O1796" s="1298">
        <f>K1796*G1796</f>
        <v>0</v>
      </c>
      <c r="P1796" s="1499"/>
      <c r="Q1796" s="1300"/>
      <c r="R1796" s="1300"/>
      <c r="S1796" s="1300"/>
    </row>
    <row r="1797" spans="1:19" s="1081" customFormat="1" hidden="1" outlineLevel="1">
      <c r="A1797" s="1072" t="str">
        <f>IF(G1797&lt;&gt;0,1,"")</f>
        <v/>
      </c>
      <c r="B1797" s="1295" t="s">
        <v>822</v>
      </c>
      <c r="C1797" s="1302"/>
      <c r="D1797" s="1198">
        <f>VLOOKUP($B1797,dongia1,DG!$B$5,)</f>
        <v>0</v>
      </c>
      <c r="E1797" s="1243" t="str">
        <f>VLOOKUP($B1797,dongia1,DG!$C$5,)</f>
        <v>Ống đàn hồi 42</v>
      </c>
      <c r="F1797" s="1198" t="str">
        <f>VLOOKUP($B1797,dongia1,DG!$D$5,)</f>
        <v>m</v>
      </c>
      <c r="G1797" s="1508">
        <f>G1784*1.5</f>
        <v>0</v>
      </c>
      <c r="H1797" s="1298">
        <f>VLOOKUP($B1797,dongia1,DG!$F$5,)</f>
        <v>3100</v>
      </c>
      <c r="I1797" s="1298"/>
      <c r="J1797" s="1298">
        <f>VLOOKUP($B1797,dongia1,DG!$G$5,)</f>
        <v>0</v>
      </c>
      <c r="K1797" s="1298">
        <f>VLOOKUP($B1797,dongia1,DG!$H$5,)</f>
        <v>0</v>
      </c>
      <c r="L1797" s="1298">
        <f>H1797*G1797</f>
        <v>0</v>
      </c>
      <c r="M1797" s="1298">
        <f>I1797*G1797</f>
        <v>0</v>
      </c>
      <c r="N1797" s="1298">
        <f>J1797*G1797</f>
        <v>0</v>
      </c>
      <c r="O1797" s="1298">
        <f>K1797*G1797</f>
        <v>0</v>
      </c>
      <c r="P1797" s="1499"/>
      <c r="Q1797" s="1300"/>
      <c r="R1797" s="1300"/>
      <c r="S1797" s="1300"/>
    </row>
    <row r="1798" spans="1:19" s="1081" customFormat="1" hidden="1" outlineLevel="1">
      <c r="A1798" s="1072" t="str">
        <f>IF(G1798&lt;&gt;0,1,"")</f>
        <v/>
      </c>
      <c r="B1798" s="1295" t="s">
        <v>887</v>
      </c>
      <c r="C1798" s="1302"/>
      <c r="D1798" s="1198">
        <f>VLOOKUP($B1798,dongia1,DG!$B$5,)</f>
        <v>0</v>
      </c>
      <c r="E1798" s="1243" t="str">
        <f>VLOOKUP($B1798,dongia1,DG!$C$5,)</f>
        <v>Keo dán ống PVC (100gr)</v>
      </c>
      <c r="F1798" s="1198" t="str">
        <f>VLOOKUP($B1798,dongia1,DG!$D$5,)</f>
        <v>tuýp</v>
      </c>
      <c r="G1798" s="1508">
        <f>G1784*1</f>
        <v>0</v>
      </c>
      <c r="H1798" s="1298">
        <f>VLOOKUP($B1798,dongia1,DG!$F$5,)</f>
        <v>11500</v>
      </c>
      <c r="I1798" s="1298"/>
      <c r="J1798" s="1298">
        <f>VLOOKUP($B1798,dongia1,DG!$G$5,)</f>
        <v>0</v>
      </c>
      <c r="K1798" s="1298">
        <f>VLOOKUP($B1798,dongia1,DG!$H$5,)</f>
        <v>0</v>
      </c>
      <c r="L1798" s="1298">
        <f>H1798*G1798</f>
        <v>0</v>
      </c>
      <c r="M1798" s="1298">
        <f>I1798*G1798</f>
        <v>0</v>
      </c>
      <c r="N1798" s="1298">
        <f>J1798*G1798</f>
        <v>0</v>
      </c>
      <c r="O1798" s="1298">
        <f>K1798*G1798</f>
        <v>0</v>
      </c>
      <c r="P1798" s="1499"/>
      <c r="Q1798" s="1300"/>
      <c r="R1798" s="1300"/>
      <c r="S1798" s="1300"/>
    </row>
    <row r="1799" spans="1:19" s="1081" customFormat="1" hidden="1" outlineLevel="1">
      <c r="A1799" s="1072" t="str">
        <f t="shared" si="434"/>
        <v/>
      </c>
      <c r="B1799" s="1295" t="s">
        <v>1690</v>
      </c>
      <c r="C1799" s="1302"/>
      <c r="D1799" s="1198">
        <f>VLOOKUP($B1799,dongia1,DG!$B$5,)</f>
        <v>0</v>
      </c>
      <c r="E1799" s="1243" t="str">
        <f>VLOOKUP($B1799,dongia1,DG!$C$5,)</f>
        <v>Keo silicon bít miệng ống</v>
      </c>
      <c r="F1799" s="1198" t="str">
        <f>VLOOKUP($B1799,dongia1,DG!$D$5,)</f>
        <v>chai</v>
      </c>
      <c r="G1799" s="1508">
        <f>G1784*1</f>
        <v>0</v>
      </c>
      <c r="H1799" s="1298">
        <f>VLOOKUP($B1799,dongia1,DG!$F$5,)</f>
        <v>45000</v>
      </c>
      <c r="I1799" s="1298"/>
      <c r="J1799" s="1298">
        <f>VLOOKUP($B1799,dongia1,DG!$G$5,)</f>
        <v>0</v>
      </c>
      <c r="K1799" s="1298">
        <f>VLOOKUP($B1799,dongia1,DG!$H$5,)</f>
        <v>0</v>
      </c>
      <c r="L1799" s="1298">
        <f t="shared" si="435"/>
        <v>0</v>
      </c>
      <c r="M1799" s="1298">
        <f t="shared" si="436"/>
        <v>0</v>
      </c>
      <c r="N1799" s="1298">
        <f t="shared" si="437"/>
        <v>0</v>
      </c>
      <c r="O1799" s="1298">
        <f t="shared" si="438"/>
        <v>0</v>
      </c>
      <c r="P1799" s="1499"/>
      <c r="Q1799" s="1300"/>
      <c r="R1799" s="1300"/>
      <c r="S1799" s="1300"/>
    </row>
    <row r="1800" spans="1:19" s="1081" customFormat="1" hidden="1" outlineLevel="1">
      <c r="A1800" s="1072" t="str">
        <f t="shared" si="434"/>
        <v/>
      </c>
      <c r="B1800" s="1295" t="s">
        <v>236</v>
      </c>
      <c r="C1800" s="1302"/>
      <c r="D1800" s="1198">
        <f>VLOOKUP($B1800,dongia1,DG!$B$5,)</f>
        <v>0</v>
      </c>
      <c r="E1800" s="1243" t="str">
        <f>VLOOKUP($B1800,dongia1,DG!$C$5,)</f>
        <v>Băng keo cách điện hạ thế</v>
      </c>
      <c r="F1800" s="1198" t="str">
        <f>VLOOKUP($B1800,dongia1,DG!$D$5,)</f>
        <v>cuộn</v>
      </c>
      <c r="G1800" s="1508">
        <f>G1784*2</f>
        <v>0</v>
      </c>
      <c r="H1800" s="1298">
        <f>VLOOKUP($B1800,dongia1,DG!$F$5,)</f>
        <v>6500</v>
      </c>
      <c r="I1800" s="1298"/>
      <c r="J1800" s="1298">
        <f>VLOOKUP($B1800,dongia1,DG!$G$5,)</f>
        <v>0</v>
      </c>
      <c r="K1800" s="1298">
        <f>VLOOKUP($B1800,dongia1,DG!$H$5,)</f>
        <v>0</v>
      </c>
      <c r="L1800" s="1298">
        <f t="shared" si="435"/>
        <v>0</v>
      </c>
      <c r="M1800" s="1298">
        <f t="shared" si="436"/>
        <v>0</v>
      </c>
      <c r="N1800" s="1298">
        <f t="shared" si="437"/>
        <v>0</v>
      </c>
      <c r="O1800" s="1298">
        <f t="shared" si="438"/>
        <v>0</v>
      </c>
      <c r="P1800" s="1499"/>
      <c r="Q1800" s="1300"/>
      <c r="R1800" s="1300"/>
      <c r="S1800" s="1300"/>
    </row>
    <row r="1801" spans="1:19" s="1081" customFormat="1" hidden="1" outlineLevel="1">
      <c r="A1801" s="1072" t="str">
        <f t="shared" si="434"/>
        <v/>
      </c>
      <c r="B1801" s="1295" t="s">
        <v>224</v>
      </c>
      <c r="C1801" s="1302"/>
      <c r="D1801" s="1198" t="str">
        <f>VLOOKUP($B1801,dongia1,DG!$B$5,)</f>
        <v>T4.4201</v>
      </c>
      <c r="E1801" s="1243" t="str">
        <f>VLOOKUP($B1801,dongia1,DG!$C$5,)</f>
        <v>Lắp cáp đồng xuống thiết bị D ≤ 95mm2</v>
      </c>
      <c r="F1801" s="1198" t="str">
        <f>VLOOKUP($B1801,dongia1,DG!$D$5,)</f>
        <v>m</v>
      </c>
      <c r="G1801" s="1508">
        <f>G1792*2</f>
        <v>0</v>
      </c>
      <c r="H1801" s="1298">
        <f>VLOOKUP($B1801,dongia1,DG!$F$5,)</f>
        <v>0</v>
      </c>
      <c r="I1801" s="1298"/>
      <c r="J1801" s="1298">
        <f>VLOOKUP($B1801,dongia1,DG!$G$5,)</f>
        <v>13915</v>
      </c>
      <c r="K1801" s="1298">
        <f>VLOOKUP($B1801,dongia1,DG!$H$5,)</f>
        <v>0</v>
      </c>
      <c r="L1801" s="1298">
        <f t="shared" si="435"/>
        <v>0</v>
      </c>
      <c r="M1801" s="1298">
        <f t="shared" si="436"/>
        <v>0</v>
      </c>
      <c r="N1801" s="1298">
        <f t="shared" si="437"/>
        <v>0</v>
      </c>
      <c r="O1801" s="1298">
        <f t="shared" si="438"/>
        <v>0</v>
      </c>
      <c r="P1801" s="1499"/>
      <c r="Q1801" s="1300"/>
      <c r="R1801" s="1300"/>
      <c r="S1801" s="1300"/>
    </row>
    <row r="1802" spans="1:19" s="1740" customFormat="1" hidden="1">
      <c r="A1802" s="1731" t="str">
        <f>IF(G1802&lt;&gt;0,1,"")</f>
        <v/>
      </c>
      <c r="B1802" s="1295"/>
      <c r="C1802" s="166">
        <f>IF(G1802&gt;0,C1784+1,C1784)</f>
        <v>0</v>
      </c>
      <c r="D1802" s="1733"/>
      <c r="E1802" s="168" t="s">
        <v>5579</v>
      </c>
      <c r="F1802" s="169" t="s">
        <v>2113</v>
      </c>
      <c r="G1802" s="1734">
        <f>G1632</f>
        <v>0</v>
      </c>
      <c r="H1802" s="193"/>
      <c r="I1802" s="193"/>
      <c r="J1802" s="1736"/>
      <c r="K1802" s="1736"/>
      <c r="L1802" s="1737"/>
      <c r="M1802" s="1737"/>
      <c r="N1802" s="1737"/>
      <c r="O1802" s="1737"/>
      <c r="P1802" s="1739"/>
    </row>
    <row r="1803" spans="1:19" s="1081" customFormat="1" ht="14.4" hidden="1" outlineLevel="1">
      <c r="A1803" s="1072" t="str">
        <f>A1802</f>
        <v/>
      </c>
      <c r="B1803" s="1295"/>
      <c r="C1803" s="1291"/>
      <c r="D1803" s="1292"/>
      <c r="E1803" s="1308" t="s">
        <v>3399</v>
      </c>
      <c r="F1803" s="1291"/>
      <c r="G1803" s="1509"/>
      <c r="H1803" s="1298"/>
      <c r="I1803" s="1298"/>
      <c r="J1803" s="1298"/>
      <c r="K1803" s="1298"/>
      <c r="L1803" s="1298"/>
      <c r="M1803" s="1298"/>
      <c r="N1803" s="1298"/>
      <c r="O1803" s="1298"/>
      <c r="P1803" s="1499"/>
      <c r="Q1803" s="1300"/>
      <c r="R1803" s="1300"/>
      <c r="S1803" s="1300"/>
    </row>
    <row r="1804" spans="1:19" s="1081" customFormat="1" hidden="1" outlineLevel="1">
      <c r="A1804" s="1072" t="str">
        <f t="shared" ref="A1804:A1816" si="439">IF(G1804&lt;&gt;0,1,"")</f>
        <v/>
      </c>
      <c r="B1804" s="1295" t="s">
        <v>4907</v>
      </c>
      <c r="C1804" s="1302"/>
      <c r="D1804" s="1198">
        <f>VLOOKUP($B1804,dongia1,DG!$B$5,)</f>
        <v>0</v>
      </c>
      <c r="E1804" s="1243" t="str">
        <f>VLOOKUP($B1804,dongia1,DG!$C$5,)</f>
        <v>Cáp 24KV C/XLPE- 25mm2</v>
      </c>
      <c r="F1804" s="1198" t="str">
        <f>VLOOKUP($B1804,dongia1,DG!$D$5,)</f>
        <v>mét</v>
      </c>
      <c r="G1804" s="1508"/>
      <c r="H1804" s="1298">
        <f>VLOOKUP($B1804,dongia1,DG!$F$5,)</f>
        <v>99600</v>
      </c>
      <c r="I1804" s="1298"/>
      <c r="J1804" s="1298">
        <f>VLOOKUP($B1804,dongia1,DG!$G$5,)</f>
        <v>0</v>
      </c>
      <c r="K1804" s="1298">
        <f>VLOOKUP($B1804,dongia1,DG!$H$5,)</f>
        <v>0</v>
      </c>
      <c r="L1804" s="1298">
        <f t="shared" ref="L1804:L1809" si="440">H1804*G1804</f>
        <v>0</v>
      </c>
      <c r="M1804" s="1298">
        <f t="shared" ref="M1804:M1809" si="441">I1804*G1804</f>
        <v>0</v>
      </c>
      <c r="N1804" s="1298">
        <f t="shared" ref="N1804:N1809" si="442">J1804*G1804</f>
        <v>0</v>
      </c>
      <c r="O1804" s="1298">
        <f t="shared" ref="O1804:O1809" si="443">K1804*G1804</f>
        <v>0</v>
      </c>
      <c r="P1804" s="1499"/>
      <c r="Q1804" s="1300"/>
      <c r="R1804" s="1300"/>
      <c r="S1804" s="1300"/>
    </row>
    <row r="1805" spans="1:19" s="1081" customFormat="1" hidden="1" outlineLevel="1">
      <c r="A1805" s="1072" t="str">
        <f t="shared" si="439"/>
        <v/>
      </c>
      <c r="B1805" s="1295" t="s">
        <v>5691</v>
      </c>
      <c r="C1805" s="1302"/>
      <c r="D1805" s="1198">
        <f>VLOOKUP($B1805,dongia1,DG!$B$5,)</f>
        <v>0</v>
      </c>
      <c r="E1805" s="1243" t="str">
        <f>VLOOKUP($B1805,dongia1,DG!$C$5,)</f>
        <v xml:space="preserve">Sứ đứng 24KV </v>
      </c>
      <c r="F1805" s="1198" t="str">
        <f>VLOOKUP($B1805,dongia1,DG!$D$5,)</f>
        <v>cái</v>
      </c>
      <c r="G1805" s="1508"/>
      <c r="H1805" s="1298">
        <f>VLOOKUP($B1805,dongia1,DG!$F$5,)</f>
        <v>205000</v>
      </c>
      <c r="I1805" s="1298"/>
      <c r="J1805" s="1298">
        <f>VLOOKUP($B1805,dongia1,DG!$G$5,)</f>
        <v>0</v>
      </c>
      <c r="K1805" s="1298">
        <f>VLOOKUP($B1805,dongia1,DG!$H$5,)</f>
        <v>0</v>
      </c>
      <c r="L1805" s="1298">
        <f t="shared" si="440"/>
        <v>0</v>
      </c>
      <c r="M1805" s="1298">
        <f t="shared" si="441"/>
        <v>0</v>
      </c>
      <c r="N1805" s="1298">
        <f t="shared" si="442"/>
        <v>0</v>
      </c>
      <c r="O1805" s="1298">
        <f t="shared" si="443"/>
        <v>0</v>
      </c>
      <c r="P1805" s="1499"/>
      <c r="Q1805" s="1300"/>
      <c r="R1805" s="1300"/>
      <c r="S1805" s="1300"/>
    </row>
    <row r="1806" spans="1:19" s="1081" customFormat="1" hidden="1" outlineLevel="1">
      <c r="A1806" s="1072" t="str">
        <f t="shared" si="439"/>
        <v/>
      </c>
      <c r="B1806" s="1295" t="s">
        <v>1006</v>
      </c>
      <c r="C1806" s="1302"/>
      <c r="D1806" s="1198">
        <f>VLOOKUP($B1806,dongia1,DG!$B$5,)</f>
        <v>0</v>
      </c>
      <c r="E1806" s="1243" t="str">
        <f>VLOOKUP($B1806,dongia1,DG!$C$5,)</f>
        <v>Chân sứ đứng D20</v>
      </c>
      <c r="F1806" s="1198" t="str">
        <f>VLOOKUP($B1806,dongia1,DG!$D$5,)</f>
        <v>cái</v>
      </c>
      <c r="G1806" s="1508"/>
      <c r="H1806" s="1298">
        <f>VLOOKUP($B1806,dongia1,DG!$F$5,)</f>
        <v>65000</v>
      </c>
      <c r="I1806" s="1298"/>
      <c r="J1806" s="1298">
        <f>VLOOKUP($B1806,dongia1,DG!$G$5,)</f>
        <v>0</v>
      </c>
      <c r="K1806" s="1298">
        <f>VLOOKUP($B1806,dongia1,DG!$H$5,)</f>
        <v>0</v>
      </c>
      <c r="L1806" s="1298">
        <f>H1806*G1806</f>
        <v>0</v>
      </c>
      <c r="M1806" s="1298">
        <f>I1806*G1806</f>
        <v>0</v>
      </c>
      <c r="N1806" s="1298">
        <f>J1806*G1806</f>
        <v>0</v>
      </c>
      <c r="O1806" s="1298">
        <f>K1806*G1806</f>
        <v>0</v>
      </c>
      <c r="P1806" s="1499"/>
      <c r="Q1806" s="1300"/>
      <c r="R1806" s="1300"/>
      <c r="S1806" s="1300"/>
    </row>
    <row r="1807" spans="1:19" s="1081" customFormat="1" hidden="1" outlineLevel="1">
      <c r="A1807" s="1072" t="str">
        <f t="shared" si="439"/>
        <v/>
      </c>
      <c r="B1807" s="1295" t="s">
        <v>1080</v>
      </c>
      <c r="C1807" s="1302"/>
      <c r="D1807" s="1198">
        <f>VLOOKUP($B1807,dongia1,DG!$B$5,)</f>
        <v>0</v>
      </c>
      <c r="E1807" s="1243" t="str">
        <f>VLOOKUP($B1807,dongia1,DG!$C$5,)</f>
        <v>Bass LI bắt FCO</v>
      </c>
      <c r="F1807" s="1198" t="str">
        <f>VLOOKUP($B1807,dongia1,DG!$D$5,)</f>
        <v>Bộ</v>
      </c>
      <c r="G1807" s="1508"/>
      <c r="H1807" s="1298">
        <f>VLOOKUP($B1807,dongia1,DG!$F$5,)</f>
        <v>34000</v>
      </c>
      <c r="I1807" s="1298"/>
      <c r="J1807" s="1298">
        <f>VLOOKUP($B1807,dongia1,DG!$G$5,)</f>
        <v>0</v>
      </c>
      <c r="K1807" s="1298">
        <f>VLOOKUP($B1807,dongia1,DG!$H$5,)</f>
        <v>0</v>
      </c>
      <c r="L1807" s="1298">
        <f t="shared" si="440"/>
        <v>0</v>
      </c>
      <c r="M1807" s="1298">
        <f t="shared" si="441"/>
        <v>0</v>
      </c>
      <c r="N1807" s="1298">
        <f t="shared" si="442"/>
        <v>0</v>
      </c>
      <c r="O1807" s="1298">
        <f t="shared" si="443"/>
        <v>0</v>
      </c>
      <c r="P1807" s="1499"/>
      <c r="Q1807" s="1300"/>
      <c r="R1807" s="1300"/>
      <c r="S1807" s="1300"/>
    </row>
    <row r="1808" spans="1:19" s="1081" customFormat="1" hidden="1" outlineLevel="1">
      <c r="A1808" s="1072" t="str">
        <f t="shared" si="439"/>
        <v/>
      </c>
      <c r="B1808" s="1421" t="s">
        <v>2144</v>
      </c>
      <c r="C1808" s="1302"/>
      <c r="D1808" s="1198">
        <f>VLOOKUP($B1808,dongia1,DG!$B$5,)</f>
        <v>0</v>
      </c>
      <c r="E1808" s="1243" t="str">
        <f>VLOOKUP($B1808,dongia1,DG!$C$5,)</f>
        <v>Nắp che đầu cực FCO</v>
      </c>
      <c r="F1808" s="1198" t="str">
        <f>VLOOKUP($B1808,dongia1,DG!$D$5,)</f>
        <v>cái</v>
      </c>
      <c r="G1808" s="1508"/>
      <c r="H1808" s="1298">
        <f>VLOOKUP($B1808,dongia1,DG!$F$5,)</f>
        <v>218200</v>
      </c>
      <c r="I1808" s="1298"/>
      <c r="J1808" s="1298">
        <f>VLOOKUP($B1808,dongia1,DG!$G$5,)</f>
        <v>0</v>
      </c>
      <c r="K1808" s="1298">
        <f>VLOOKUP($B1808,dongia1,DG!$H$5,)</f>
        <v>0</v>
      </c>
      <c r="L1808" s="1298">
        <f t="shared" si="440"/>
        <v>0</v>
      </c>
      <c r="M1808" s="1298">
        <f t="shared" si="441"/>
        <v>0</v>
      </c>
      <c r="N1808" s="1298">
        <f t="shared" si="442"/>
        <v>0</v>
      </c>
      <c r="O1808" s="1298">
        <f t="shared" si="443"/>
        <v>0</v>
      </c>
      <c r="P1808" s="1499"/>
      <c r="Q1808" s="1300"/>
      <c r="R1808" s="1300"/>
      <c r="S1808" s="1300"/>
    </row>
    <row r="1809" spans="1:19" s="1081" customFormat="1" hidden="1" outlineLevel="1">
      <c r="A1809" s="1072" t="str">
        <f t="shared" si="439"/>
        <v/>
      </c>
      <c r="B1809" s="1421" t="s">
        <v>2121</v>
      </c>
      <c r="C1809" s="1302"/>
      <c r="D1809" s="1198">
        <f>VLOOKUP($B1809,dongia1,DG!$B$5,)</f>
        <v>0</v>
      </c>
      <c r="E1809" s="1243" t="str">
        <f>VLOOKUP($B1809,dongia1,DG!$C$5,)</f>
        <v>Nắp che đầu cực LA</v>
      </c>
      <c r="F1809" s="1198" t="str">
        <f>VLOOKUP($B1809,dongia1,DG!$D$5,)</f>
        <v>cái</v>
      </c>
      <c r="G1809" s="1508"/>
      <c r="H1809" s="1298">
        <f>VLOOKUP($B1809,dongia1,DG!$F$5,)</f>
        <v>39100</v>
      </c>
      <c r="I1809" s="1298"/>
      <c r="J1809" s="1298">
        <f>VLOOKUP($B1809,dongia1,DG!$G$5,)</f>
        <v>0</v>
      </c>
      <c r="K1809" s="1298">
        <f>VLOOKUP($B1809,dongia1,DG!$H$5,)</f>
        <v>0</v>
      </c>
      <c r="L1809" s="1298">
        <f t="shared" si="440"/>
        <v>0</v>
      </c>
      <c r="M1809" s="1298">
        <f t="shared" si="441"/>
        <v>0</v>
      </c>
      <c r="N1809" s="1298">
        <f t="shared" si="442"/>
        <v>0</v>
      </c>
      <c r="O1809" s="1298">
        <f t="shared" si="443"/>
        <v>0</v>
      </c>
      <c r="P1809" s="1499"/>
      <c r="Q1809" s="1300"/>
      <c r="R1809" s="1300"/>
      <c r="S1809" s="1300"/>
    </row>
    <row r="1810" spans="1:19" s="1081" customFormat="1" hidden="1" outlineLevel="1">
      <c r="A1810" s="1072" t="str">
        <f t="shared" si="439"/>
        <v/>
      </c>
      <c r="B1810" s="1421" t="s">
        <v>2123</v>
      </c>
      <c r="C1810" s="1302"/>
      <c r="D1810" s="1198">
        <f>VLOOKUP($B1810,dongia1,DG!$B$5,)</f>
        <v>0</v>
      </c>
      <c r="E1810" s="1243" t="str">
        <f>VLOOKUP($B1810,dongia1,DG!$C$5,)</f>
        <v>Nắp che đầu sứ MBA</v>
      </c>
      <c r="F1810" s="1198" t="str">
        <f>VLOOKUP($B1810,dongia1,DG!$D$5,)</f>
        <v>cái</v>
      </c>
      <c r="G1810" s="1508">
        <f>G1802*3</f>
        <v>0</v>
      </c>
      <c r="H1810" s="1298">
        <f>VLOOKUP($B1810,dongia1,DG!$F$5,)</f>
        <v>56700</v>
      </c>
      <c r="I1810" s="1298"/>
      <c r="J1810" s="1298">
        <f>VLOOKUP($B1810,dongia1,DG!$G$5,)</f>
        <v>0</v>
      </c>
      <c r="K1810" s="1298">
        <f>VLOOKUP($B1810,dongia1,DG!$H$5,)</f>
        <v>0</v>
      </c>
      <c r="L1810" s="1298">
        <f t="shared" ref="L1810:L1818" si="444">H1810*G1810</f>
        <v>0</v>
      </c>
      <c r="M1810" s="1298">
        <f t="shared" ref="M1810:M1818" si="445">I1810*G1810</f>
        <v>0</v>
      </c>
      <c r="N1810" s="1298">
        <f t="shared" ref="N1810:N1818" si="446">J1810*G1810</f>
        <v>0</v>
      </c>
      <c r="O1810" s="1298">
        <f t="shared" ref="O1810:O1818" si="447">K1810*G1810</f>
        <v>0</v>
      </c>
      <c r="P1810" s="1499"/>
      <c r="Q1810" s="1300"/>
      <c r="R1810" s="1300"/>
      <c r="S1810" s="1300"/>
    </row>
    <row r="1811" spans="1:19" s="1081" customFormat="1" hidden="1" outlineLevel="1">
      <c r="A1811" s="1072" t="str">
        <f t="shared" si="439"/>
        <v/>
      </c>
      <c r="B1811" s="1421" t="s">
        <v>2123</v>
      </c>
      <c r="C1811" s="1302"/>
      <c r="D1811" s="1198">
        <f>VLOOKUP($B1811,dongia1,DG!$B$5,)</f>
        <v>0</v>
      </c>
      <c r="E1811" s="1243" t="str">
        <f>VLOOKUP($B1811,dongia1,DG!$C$5,)</f>
        <v>Nắp che đầu sứ MBA</v>
      </c>
      <c r="F1811" s="1198" t="str">
        <f>VLOOKUP($B1811,dongia1,DG!$D$5,)</f>
        <v>cái</v>
      </c>
      <c r="G1811" s="1508">
        <f>G1803*3</f>
        <v>0</v>
      </c>
      <c r="H1811" s="1298">
        <f>VLOOKUP($B1811,dongia1,DG!$F$5,)</f>
        <v>56700</v>
      </c>
      <c r="I1811" s="1298"/>
      <c r="J1811" s="1298">
        <f>VLOOKUP($B1811,dongia1,DG!$G$5,)</f>
        <v>0</v>
      </c>
      <c r="K1811" s="1298">
        <f>VLOOKUP($B1811,dongia1,DG!$H$5,)</f>
        <v>0</v>
      </c>
      <c r="L1811" s="1298">
        <f t="shared" si="444"/>
        <v>0</v>
      </c>
      <c r="M1811" s="1298">
        <f t="shared" si="445"/>
        <v>0</v>
      </c>
      <c r="N1811" s="1298">
        <f t="shared" si="446"/>
        <v>0</v>
      </c>
      <c r="O1811" s="1298">
        <f t="shared" si="447"/>
        <v>0</v>
      </c>
      <c r="P1811" s="1499"/>
      <c r="Q1811" s="1300"/>
      <c r="R1811" s="1300"/>
      <c r="S1811" s="1300"/>
    </row>
    <row r="1812" spans="1:19" s="1081" customFormat="1" hidden="1" outlineLevel="1">
      <c r="A1812" s="1072" t="str">
        <f t="shared" si="439"/>
        <v/>
      </c>
      <c r="B1812" s="1421" t="s">
        <v>224</v>
      </c>
      <c r="C1812" s="1302"/>
      <c r="D1812" s="1198" t="str">
        <f>VLOOKUP($B1812,dongia1,DG!$B$5,)</f>
        <v>T4.4201</v>
      </c>
      <c r="E1812" s="1243" t="str">
        <f>VLOOKUP($B1812,dongia1,DG!$C$5,)</f>
        <v>Lắp cáp đồng xuống thiết bị D ≤ 95mm2</v>
      </c>
      <c r="F1812" s="1198" t="str">
        <f>VLOOKUP($B1812,dongia1,DG!$D$5,)</f>
        <v>m</v>
      </c>
      <c r="G1812" s="1508">
        <f>G1804</f>
        <v>0</v>
      </c>
      <c r="H1812" s="1298">
        <f>VLOOKUP($B1812,dongia1,DG!$F$5,)</f>
        <v>0</v>
      </c>
      <c r="I1812" s="1298"/>
      <c r="J1812" s="1298">
        <f>VLOOKUP($B1812,dongia1,DG!$G$5,)</f>
        <v>13915</v>
      </c>
      <c r="K1812" s="1298">
        <f>VLOOKUP($B1812,dongia1,DG!$H$5,)</f>
        <v>0</v>
      </c>
      <c r="L1812" s="1298">
        <f t="shared" si="444"/>
        <v>0</v>
      </c>
      <c r="M1812" s="1298">
        <f t="shared" si="445"/>
        <v>0</v>
      </c>
      <c r="N1812" s="1298">
        <f t="shared" si="446"/>
        <v>0</v>
      </c>
      <c r="O1812" s="1298">
        <f t="shared" si="447"/>
        <v>0</v>
      </c>
      <c r="P1812" s="1499"/>
      <c r="Q1812" s="1300"/>
      <c r="R1812" s="1300"/>
      <c r="S1812" s="1300"/>
    </row>
    <row r="1813" spans="1:19" s="1081" customFormat="1" hidden="1" outlineLevel="1">
      <c r="A1813" s="1072" t="str">
        <f t="shared" si="439"/>
        <v/>
      </c>
      <c r="B1813" s="1421" t="s">
        <v>1116</v>
      </c>
      <c r="C1813" s="1302"/>
      <c r="D1813" s="1198" t="str">
        <f>VLOOKUP($B1813,dongia1,DG!$B$5,)</f>
        <v>D3.1115</v>
      </c>
      <c r="E1813" s="1243" t="str">
        <f>VLOOKUP($B1813,dongia1,DG!$C$5,)</f>
        <v>Lắp sứ đứng 24KV</v>
      </c>
      <c r="F1813" s="1198" t="str">
        <f>VLOOKUP($B1813,dongia1,DG!$D$5,)</f>
        <v>bộ</v>
      </c>
      <c r="G1813" s="1508">
        <f>G1805</f>
        <v>0</v>
      </c>
      <c r="H1813" s="1298">
        <f>VLOOKUP($B1813,dongia1,DG!$F$5,)</f>
        <v>510</v>
      </c>
      <c r="I1813" s="1298"/>
      <c r="J1813" s="1298">
        <f>VLOOKUP($B1813,dongia1,DG!$G$5,)</f>
        <v>58277.49</v>
      </c>
      <c r="K1813" s="1298">
        <f>VLOOKUP($B1813,dongia1,DG!$H$5,)</f>
        <v>0</v>
      </c>
      <c r="L1813" s="1298">
        <f t="shared" si="444"/>
        <v>0</v>
      </c>
      <c r="M1813" s="1298">
        <f t="shared" si="445"/>
        <v>0</v>
      </c>
      <c r="N1813" s="1298">
        <f t="shared" si="446"/>
        <v>0</v>
      </c>
      <c r="O1813" s="1298">
        <f t="shared" si="447"/>
        <v>0</v>
      </c>
      <c r="P1813" s="1499"/>
      <c r="Q1813" s="1300"/>
      <c r="R1813" s="1300"/>
      <c r="S1813" s="1300"/>
    </row>
    <row r="1814" spans="1:19" s="1081" customFormat="1" hidden="1" outlineLevel="1">
      <c r="A1814" s="1072" t="str">
        <f t="shared" si="439"/>
        <v/>
      </c>
      <c r="B1814" s="1421" t="s">
        <v>22</v>
      </c>
      <c r="C1814" s="1302"/>
      <c r="D1814" s="1198">
        <f>VLOOKUP($B1814,dongia1,DG!$B$5,)</f>
        <v>0</v>
      </c>
      <c r="E1814" s="1243" t="str">
        <f>VLOOKUP($B1814,dongia1,DG!$C$5,)</f>
        <v>Cáp 24kV C/XLPE/DSTA/PVC3x50</v>
      </c>
      <c r="F1814" s="1198" t="str">
        <f>VLOOKUP($B1814,dongia1,DG!$D$5,)</f>
        <v>mét</v>
      </c>
      <c r="G1814" s="1508">
        <f>G1802*5</f>
        <v>0</v>
      </c>
      <c r="H1814" s="1298">
        <f>VLOOKUP($B1814,dongia1,DG!$F$5,)</f>
        <v>763500</v>
      </c>
      <c r="I1814" s="1298"/>
      <c r="J1814" s="1298">
        <f>VLOOKUP($B1814,dongia1,DG!$G$5,)</f>
        <v>0</v>
      </c>
      <c r="K1814" s="1298">
        <f>VLOOKUP($B1814,dongia1,DG!$H$5,)</f>
        <v>0</v>
      </c>
      <c r="L1814" s="1298">
        <f t="shared" si="444"/>
        <v>0</v>
      </c>
      <c r="M1814" s="1298">
        <f t="shared" si="445"/>
        <v>0</v>
      </c>
      <c r="N1814" s="1298">
        <f t="shared" si="446"/>
        <v>0</v>
      </c>
      <c r="O1814" s="1298">
        <f t="shared" si="447"/>
        <v>0</v>
      </c>
      <c r="P1814" s="1499"/>
      <c r="Q1814" s="1300"/>
      <c r="R1814" s="1300"/>
      <c r="S1814" s="1300"/>
    </row>
    <row r="1815" spans="1:19" s="1081" customFormat="1" hidden="1" outlineLevel="1">
      <c r="A1815" s="1072" t="str">
        <f t="shared" si="439"/>
        <v/>
      </c>
      <c r="B1815" s="1421" t="s">
        <v>5580</v>
      </c>
      <c r="C1815" s="1302"/>
      <c r="D1815" s="1198">
        <f>VLOOKUP($B1815,dongia1,DG!$B$5,)</f>
        <v>0</v>
      </c>
      <c r="E1815" s="1243" t="str">
        <f>VLOOKUP($B1815,dongia1,DG!$C$5,)</f>
        <v>Đầu cáp ngầm 24KV 3x50mm2 Tplug</v>
      </c>
      <c r="F1815" s="1198" t="str">
        <f>VLOOKUP($B1815,dongia1,DG!$D$5,)</f>
        <v>cái</v>
      </c>
      <c r="G1815" s="1508">
        <f>G1802*3*0</f>
        <v>0</v>
      </c>
      <c r="H1815" s="1298">
        <f>VLOOKUP($B1815,dongia1,DG!$F$5,)</f>
        <v>10510000</v>
      </c>
      <c r="I1815" s="1298"/>
      <c r="J1815" s="1298">
        <f>VLOOKUP($B1815,dongia1,DG!$G$5,)</f>
        <v>0</v>
      </c>
      <c r="K1815" s="1298">
        <f>VLOOKUP($B1815,dongia1,DG!$H$5,)</f>
        <v>0</v>
      </c>
      <c r="L1815" s="1298">
        <f t="shared" si="444"/>
        <v>0</v>
      </c>
      <c r="M1815" s="1298">
        <f t="shared" si="445"/>
        <v>0</v>
      </c>
      <c r="N1815" s="1298">
        <f t="shared" si="446"/>
        <v>0</v>
      </c>
      <c r="O1815" s="1298">
        <f t="shared" si="447"/>
        <v>0</v>
      </c>
      <c r="P1815" s="1499"/>
      <c r="Q1815" s="1300"/>
      <c r="R1815" s="1300"/>
      <c r="S1815" s="1300"/>
    </row>
    <row r="1816" spans="1:19" s="1081" customFormat="1" hidden="1" outlineLevel="1">
      <c r="A1816" s="1072" t="str">
        <f t="shared" si="439"/>
        <v/>
      </c>
      <c r="B1816" s="1421" t="s">
        <v>5581</v>
      </c>
      <c r="C1816" s="1302"/>
      <c r="D1816" s="1198">
        <f>VLOOKUP($B1816,dongia1,DG!$B$5,)</f>
        <v>0</v>
      </c>
      <c r="E1816" s="1243" t="str">
        <f>VLOOKUP($B1816,dongia1,DG!$C$5,)&amp;": "</f>
        <v xml:space="preserve">Đầu cáp ngầm 24KV 3x50mm2 Elbow: </v>
      </c>
      <c r="F1816" s="1198" t="str">
        <f>VLOOKUP($B1816,dongia1,DG!$D$5,)</f>
        <v>cái</v>
      </c>
      <c r="G1816" s="1508">
        <f>G1802</f>
        <v>0</v>
      </c>
      <c r="H1816" s="1298">
        <f>VLOOKUP($B1816,dongia1,DG!$F$5,)</f>
        <v>10304000</v>
      </c>
      <c r="I1816" s="1298"/>
      <c r="J1816" s="1298">
        <f>VLOOKUP($B1816,dongia1,DG!$G$5,)</f>
        <v>0</v>
      </c>
      <c r="K1816" s="1298">
        <f>VLOOKUP($B1816,dongia1,DG!$H$5,)</f>
        <v>0</v>
      </c>
      <c r="L1816" s="1298">
        <f t="shared" si="444"/>
        <v>0</v>
      </c>
      <c r="M1816" s="1298">
        <f t="shared" si="445"/>
        <v>0</v>
      </c>
      <c r="N1816" s="1298">
        <f t="shared" si="446"/>
        <v>0</v>
      </c>
      <c r="O1816" s="1298">
        <f t="shared" si="447"/>
        <v>0</v>
      </c>
      <c r="P1816" s="1499"/>
      <c r="Q1816" s="1300"/>
      <c r="R1816" s="1300"/>
      <c r="S1816" s="1300"/>
    </row>
    <row r="1817" spans="1:19" s="1081" customFormat="1" hidden="1" outlineLevel="1">
      <c r="A1817" s="1072" t="str">
        <f>IF(G1817&lt;&gt;0,1,"")</f>
        <v/>
      </c>
      <c r="B1817" s="1421" t="s">
        <v>1536</v>
      </c>
      <c r="C1817" s="1302"/>
      <c r="D1817" s="1198" t="str">
        <f>VLOOKUP($B1817,dongia1,DG!$B$5,)</f>
        <v>D4.24.05</v>
      </c>
      <c r="E1817" s="1243" t="str">
        <f>VLOOKUP($B1817,dongia1,DG!$C$5,)</f>
        <v>Lắp cáp trong ống bảo vệ loại &lt;=6kg</v>
      </c>
      <c r="F1817" s="1198" t="str">
        <f>VLOOKUP($B1817,dongia1,DG!$D$5,)</f>
        <v>mét</v>
      </c>
      <c r="G1817" s="1508">
        <f>G1814</f>
        <v>0</v>
      </c>
      <c r="H1817" s="1298">
        <f>VLOOKUP($B1817,dongia1,DG!$F$5,)</f>
        <v>546.91999999999996</v>
      </c>
      <c r="I1817" s="1298"/>
      <c r="J1817" s="1298">
        <f>VLOOKUP($B1817,dongia1,DG!$G$5,)</f>
        <v>21459.713</v>
      </c>
      <c r="K1817" s="1298">
        <f>VLOOKUP($B1817,dongia1,DG!$H$5,)</f>
        <v>0</v>
      </c>
      <c r="L1817" s="1298">
        <f t="shared" si="444"/>
        <v>0</v>
      </c>
      <c r="M1817" s="1298">
        <f t="shared" si="445"/>
        <v>0</v>
      </c>
      <c r="N1817" s="1298">
        <f t="shared" si="446"/>
        <v>0</v>
      </c>
      <c r="O1817" s="1298">
        <f t="shared" si="447"/>
        <v>0</v>
      </c>
      <c r="P1817" s="1507"/>
      <c r="Q1817" s="1300"/>
      <c r="R1817" s="1300"/>
      <c r="S1817" s="1300"/>
    </row>
    <row r="1818" spans="1:19" s="1081" customFormat="1" hidden="1" outlineLevel="1">
      <c r="A1818" s="1072" t="str">
        <f>IF(G1818&lt;&gt;0,1,"")</f>
        <v/>
      </c>
      <c r="B1818" s="1421" t="s">
        <v>1130</v>
      </c>
      <c r="C1818" s="1302"/>
      <c r="D1818" s="1198" t="str">
        <f>VLOOKUP($B1818,dongia1,DG!$B$5,)</f>
        <v>D4.3312</v>
      </c>
      <c r="E1818" s="1243" t="str">
        <f>VLOOKUP($B1818,dongia1,DG!$C$5,)</f>
        <v>Lắp đầu cáp trung thế 3x50mm2, 70mm2</v>
      </c>
      <c r="F1818" s="1198" t="str">
        <f>VLOOKUP($B1818,dongia1,DG!$D$5,)</f>
        <v>cái</v>
      </c>
      <c r="G1818" s="1508">
        <f>G1816</f>
        <v>0</v>
      </c>
      <c r="H1818" s="1298">
        <f>VLOOKUP($B1818,dongia1,DG!$F$5,)</f>
        <v>11340</v>
      </c>
      <c r="I1818" s="1298"/>
      <c r="J1818" s="1298">
        <f>VLOOKUP($B1818,dongia1,DG!$G$5,)</f>
        <v>621381.64999999991</v>
      </c>
      <c r="K1818" s="1298">
        <f>VLOOKUP($B1818,dongia1,DG!$H$5,)</f>
        <v>0</v>
      </c>
      <c r="L1818" s="1298">
        <f t="shared" si="444"/>
        <v>0</v>
      </c>
      <c r="M1818" s="1298">
        <f t="shared" si="445"/>
        <v>0</v>
      </c>
      <c r="N1818" s="1298">
        <f t="shared" si="446"/>
        <v>0</v>
      </c>
      <c r="O1818" s="1298">
        <f t="shared" si="447"/>
        <v>0</v>
      </c>
      <c r="P1818" s="1507"/>
      <c r="Q1818" s="1300"/>
      <c r="R1818" s="1300"/>
      <c r="S1818" s="1300"/>
    </row>
    <row r="1819" spans="1:19" s="1740" customFormat="1" hidden="1">
      <c r="A1819" s="1731" t="str">
        <f>IF(G1819&lt;&gt;0,1,"")</f>
        <v/>
      </c>
      <c r="B1819" s="1732"/>
      <c r="C1819" s="166">
        <f>IF(G1819&gt;0,C1802+1,C1802)</f>
        <v>0</v>
      </c>
      <c r="D1819" s="1733"/>
      <c r="E1819" s="168" t="s">
        <v>3463</v>
      </c>
      <c r="F1819" s="169" t="s">
        <v>2113</v>
      </c>
      <c r="G1819" s="1734"/>
      <c r="H1819" s="193"/>
      <c r="I1819" s="193"/>
      <c r="J1819" s="1736"/>
      <c r="K1819" s="1736"/>
      <c r="L1819" s="1737"/>
      <c r="M1819" s="1737"/>
      <c r="N1819" s="1737"/>
      <c r="O1819" s="1737"/>
      <c r="P1819" s="1739"/>
    </row>
    <row r="1820" spans="1:19" s="1284" customFormat="1" ht="14.4" hidden="1" outlineLevel="1">
      <c r="A1820" s="1072" t="str">
        <f>A1819</f>
        <v/>
      </c>
      <c r="B1820" s="1570"/>
      <c r="C1820" s="1291"/>
      <c r="D1820" s="1292"/>
      <c r="E1820" s="1308" t="s">
        <v>3399</v>
      </c>
      <c r="F1820" s="1291" t="s">
        <v>2113</v>
      </c>
      <c r="G1820" s="1297"/>
      <c r="H1820" s="1298"/>
      <c r="I1820" s="1298"/>
      <c r="J1820" s="1298"/>
      <c r="K1820" s="1298"/>
      <c r="L1820" s="1298">
        <f>SUBTOTAL(9,L1821:L1842)*0</f>
        <v>0</v>
      </c>
      <c r="M1820" s="1298">
        <f>SUBTOTAL(9,M1821:M1842)</f>
        <v>0</v>
      </c>
      <c r="N1820" s="1298">
        <f>SUBTOTAL(9,N1821:N1842)*0</f>
        <v>0</v>
      </c>
      <c r="O1820" s="1298">
        <f>SUBTOTAL(9,O1821:O1842)*0</f>
        <v>0</v>
      </c>
      <c r="P1820" s="1299"/>
      <c r="Q1820" s="1487"/>
      <c r="R1820" s="1487"/>
      <c r="S1820" s="1487"/>
    </row>
    <row r="1821" spans="1:19" s="1081" customFormat="1" hidden="1" outlineLevel="1">
      <c r="A1821" s="1072">
        <f>IF(G1821=0,0,1)</f>
        <v>0</v>
      </c>
      <c r="B1821" s="1295" t="s">
        <v>4804</v>
      </c>
      <c r="C1821" s="1437"/>
      <c r="D1821" s="1198">
        <f>VLOOKUP($B1821,dongia1,DG!$B$5,)</f>
        <v>0</v>
      </c>
      <c r="E1821" s="1399" t="str">
        <f>VLOOKUP($B1821,dongia1,DG!$C$5,)</f>
        <v xml:space="preserve">Cáp CVV 4x4mm2  </v>
      </c>
      <c r="F1821" s="1555" t="str">
        <f>VLOOKUP($B1821,dongia1,DG!$D$5,)</f>
        <v>mét</v>
      </c>
      <c r="G1821" s="1508">
        <f>G1819*26</f>
        <v>0</v>
      </c>
      <c r="H1821" s="1298">
        <f>VLOOKUP($B1821,dongia1,DG!$F$5,)</f>
        <v>63200</v>
      </c>
      <c r="I1821" s="1298"/>
      <c r="J1821" s="1298">
        <f>VLOOKUP($B1821,dongia1,DG!$G$5,)</f>
        <v>0</v>
      </c>
      <c r="K1821" s="1298">
        <f>VLOOKUP($B1821,dongia1,DG!$H$5,)</f>
        <v>0</v>
      </c>
      <c r="L1821" s="1298">
        <f t="shared" ref="L1821:L1842" si="448">H1821*$G1821</f>
        <v>0</v>
      </c>
      <c r="M1821" s="1298">
        <f t="shared" ref="M1821:M1842" si="449">I1821*$G1821</f>
        <v>0</v>
      </c>
      <c r="N1821" s="1298">
        <f t="shared" ref="N1821:N1842" si="450">J1821*$G1821</f>
        <v>0</v>
      </c>
      <c r="O1821" s="1298">
        <f t="shared" ref="O1821:O1842" si="451">K1821*$G1821</f>
        <v>0</v>
      </c>
      <c r="P1821" s="1299"/>
      <c r="Q1821" s="1300"/>
      <c r="R1821" s="1300"/>
      <c r="S1821" s="1300"/>
    </row>
    <row r="1822" spans="1:19" s="1081" customFormat="1" hidden="1" outlineLevel="1">
      <c r="A1822" s="1072">
        <f>IF(G1822=0,0,1)</f>
        <v>0</v>
      </c>
      <c r="B1822" s="1068" t="s">
        <v>507</v>
      </c>
      <c r="C1822" s="1302"/>
      <c r="D1822" s="1198">
        <v>0</v>
      </c>
      <c r="E1822" s="1399" t="str">
        <f>VLOOKUP($B1822,dongia1,DG!$C$5,)</f>
        <v>Boulon 10x150+ 2 long đền vuông D14-50x50x3/Zn</v>
      </c>
      <c r="F1822" s="1555" t="str">
        <f>VLOOKUP($B1822,dongia1,DG!$D$5,)</f>
        <v>bộ</v>
      </c>
      <c r="G1822" s="1508">
        <f>G1819*24*0</f>
        <v>0</v>
      </c>
      <c r="H1822" s="1298">
        <f>VLOOKUP($B1822,dongia1,DG!$F$5,)</f>
        <v>7900</v>
      </c>
      <c r="I1822" s="1298"/>
      <c r="J1822" s="1298">
        <f>VLOOKUP($B1822,dongia1,DG!$G$5,)</f>
        <v>0</v>
      </c>
      <c r="K1822" s="1298">
        <f>VLOOKUP($B1822,dongia1,DG!$H$5,)</f>
        <v>0</v>
      </c>
      <c r="L1822" s="1298">
        <f t="shared" si="448"/>
        <v>0</v>
      </c>
      <c r="M1822" s="1298">
        <f t="shared" si="449"/>
        <v>0</v>
      </c>
      <c r="N1822" s="1298">
        <f t="shared" si="450"/>
        <v>0</v>
      </c>
      <c r="O1822" s="1298">
        <f t="shared" si="451"/>
        <v>0</v>
      </c>
      <c r="P1822" s="1299"/>
      <c r="Q1822" s="1300"/>
      <c r="R1822" s="1300"/>
      <c r="S1822" s="1300"/>
    </row>
    <row r="1823" spans="1:19" s="1081" customFormat="1" hidden="1" outlineLevel="1">
      <c r="A1823" s="1072">
        <f>IF(G1823=0,0,1)</f>
        <v>0</v>
      </c>
      <c r="B1823" s="1068" t="s">
        <v>509</v>
      </c>
      <c r="C1823" s="1302"/>
      <c r="D1823" s="1198">
        <v>0</v>
      </c>
      <c r="E1823" s="1399" t="str">
        <f>VLOOKUP($B1823,dongia1,DG!$C$5,)</f>
        <v>Boulon 10x50+ 2 long đền vuông D12-50x50x3/Zn</v>
      </c>
      <c r="F1823" s="1555" t="str">
        <f>VLOOKUP($B1823,dongia1,DG!$D$5,)</f>
        <v>bộ</v>
      </c>
      <c r="G1823" s="1508">
        <f>G1822</f>
        <v>0</v>
      </c>
      <c r="H1823" s="1298">
        <f>VLOOKUP($B1823,dongia1,DG!$F$5,)</f>
        <v>1500</v>
      </c>
      <c r="I1823" s="1298"/>
      <c r="J1823" s="1298">
        <f>VLOOKUP($B1823,dongia1,DG!$G$5,)</f>
        <v>0</v>
      </c>
      <c r="K1823" s="1298">
        <f>VLOOKUP($B1823,dongia1,DG!$H$5,)</f>
        <v>0</v>
      </c>
      <c r="L1823" s="1298">
        <f t="shared" si="448"/>
        <v>0</v>
      </c>
      <c r="M1823" s="1298">
        <f t="shared" si="449"/>
        <v>0</v>
      </c>
      <c r="N1823" s="1298">
        <f t="shared" si="450"/>
        <v>0</v>
      </c>
      <c r="O1823" s="1298">
        <f t="shared" si="451"/>
        <v>0</v>
      </c>
      <c r="P1823" s="1299"/>
      <c r="Q1823" s="1300"/>
      <c r="R1823" s="1300"/>
      <c r="S1823" s="1300"/>
    </row>
    <row r="1824" spans="1:19" s="1081" customFormat="1" hidden="1" outlineLevel="1">
      <c r="A1824" s="1072">
        <f t="shared" ref="A1824:A1842" si="452">IF(G1824=0,0,1)</f>
        <v>0</v>
      </c>
      <c r="B1824" s="1295" t="s">
        <v>748</v>
      </c>
      <c r="C1824" s="1437"/>
      <c r="D1824" s="1198">
        <f>VLOOKUP($B1824,dongia1,DG!$B$5,)</f>
        <v>0</v>
      </c>
      <c r="E1824" s="1399" t="str">
        <f>VLOOKUP($B1824,dongia1,DG!$C$5,)</f>
        <v>Xà kẹp TU, TI U40x22x3x425</v>
      </c>
      <c r="F1824" s="1555" t="str">
        <f>VLOOKUP($B1824,dongia1,DG!$D$5,)</f>
        <v>cái</v>
      </c>
      <c r="G1824" s="1508"/>
      <c r="H1824" s="1298">
        <f>VLOOKUP($B1824,dongia1,DG!$F$5,)</f>
        <v>40500</v>
      </c>
      <c r="I1824" s="1298"/>
      <c r="J1824" s="1298">
        <f>VLOOKUP($B1824,dongia1,DG!$G$5,)</f>
        <v>39758</v>
      </c>
      <c r="K1824" s="1298">
        <f>VLOOKUP($B1824,dongia1,DG!$H$5,)</f>
        <v>0</v>
      </c>
      <c r="L1824" s="1298">
        <f t="shared" si="448"/>
        <v>0</v>
      </c>
      <c r="M1824" s="1298">
        <f t="shared" si="449"/>
        <v>0</v>
      </c>
      <c r="N1824" s="1298">
        <f t="shared" si="450"/>
        <v>0</v>
      </c>
      <c r="O1824" s="1298">
        <f t="shared" si="451"/>
        <v>0</v>
      </c>
      <c r="P1824" s="1299"/>
      <c r="Q1824" s="1300"/>
      <c r="R1824" s="1300"/>
      <c r="S1824" s="1300"/>
    </row>
    <row r="1825" spans="1:19" s="1081" customFormat="1" hidden="1" outlineLevel="1">
      <c r="A1825" s="1072">
        <f t="shared" si="452"/>
        <v>0</v>
      </c>
      <c r="B1825" s="1295" t="s">
        <v>5577</v>
      </c>
      <c r="C1825" s="1302"/>
      <c r="D1825" s="1198" t="str">
        <f>VLOOKUP($B1825,dongia1,DG!$B$5,)</f>
        <v>D4.5001</v>
      </c>
      <c r="E1825" s="1399" t="str">
        <f>VLOOKUP($B1825,dongia1,DG!$C$5,)</f>
        <v xml:space="preserve">Đầu cosse ép Cu 4mm2 + bao PVC </v>
      </c>
      <c r="F1825" s="1555" t="str">
        <f>VLOOKUP($B1825,dongia1,DG!$D$5,)</f>
        <v>cái</v>
      </c>
      <c r="G1825" s="1508">
        <f>G1819*16</f>
        <v>0</v>
      </c>
      <c r="H1825" s="1298">
        <f>VLOOKUP($B1825,dongia1,DG!$F$5,)</f>
        <v>1700</v>
      </c>
      <c r="I1825" s="1298"/>
      <c r="J1825" s="1298">
        <f>VLOOKUP($B1825,dongia1,DG!$G$5,)</f>
        <v>3637.3560000000002</v>
      </c>
      <c r="K1825" s="1298">
        <f>VLOOKUP($B1825,dongia1,DG!$H$5,)</f>
        <v>1666.2139485</v>
      </c>
      <c r="L1825" s="1298">
        <f t="shared" si="448"/>
        <v>0</v>
      </c>
      <c r="M1825" s="1298">
        <f t="shared" si="449"/>
        <v>0</v>
      </c>
      <c r="N1825" s="1298">
        <f t="shared" si="450"/>
        <v>0</v>
      </c>
      <c r="O1825" s="1298">
        <f t="shared" si="451"/>
        <v>0</v>
      </c>
      <c r="P1825" s="1299"/>
      <c r="Q1825" s="1300"/>
      <c r="R1825" s="1300"/>
      <c r="S1825" s="1300"/>
    </row>
    <row r="1826" spans="1:19" s="1081" customFormat="1" hidden="1" outlineLevel="1">
      <c r="A1826" s="1072">
        <f t="shared" si="452"/>
        <v>0</v>
      </c>
      <c r="B1826" s="1295" t="s">
        <v>57</v>
      </c>
      <c r="C1826" s="1302"/>
      <c r="D1826" s="1198">
        <f>VLOOKUP($B1826,dongia1,DG!$B$5,)</f>
        <v>0</v>
      </c>
      <c r="E1826" s="1399" t="str">
        <f>VLOOKUP($B1826,dongia1,DG!$C$5,)</f>
        <v>Dây điện đôi 16/10</v>
      </c>
      <c r="F1826" s="1555" t="str">
        <f>VLOOKUP($B1826,dongia1,DG!$D$5,)</f>
        <v>mét</v>
      </c>
      <c r="G1826" s="1508"/>
      <c r="H1826" s="1298">
        <f>VLOOKUP($B1826,dongia1,DG!$F$5,)</f>
        <v>860</v>
      </c>
      <c r="I1826" s="1298"/>
      <c r="J1826" s="1298">
        <f>VLOOKUP($B1826,dongia1,DG!$G$5,)</f>
        <v>0</v>
      </c>
      <c r="K1826" s="1298">
        <f>VLOOKUP($B1826,dongia1,DG!$H$5,)</f>
        <v>0</v>
      </c>
      <c r="L1826" s="1298">
        <f t="shared" si="448"/>
        <v>0</v>
      </c>
      <c r="M1826" s="1298">
        <f t="shared" si="449"/>
        <v>0</v>
      </c>
      <c r="N1826" s="1298">
        <f t="shared" si="450"/>
        <v>0</v>
      </c>
      <c r="O1826" s="1298">
        <f t="shared" si="451"/>
        <v>0</v>
      </c>
      <c r="P1826" s="1299"/>
      <c r="Q1826" s="1300"/>
      <c r="R1826" s="1300"/>
      <c r="S1826" s="1300"/>
    </row>
    <row r="1827" spans="1:19" s="1081" customFormat="1" hidden="1" outlineLevel="1">
      <c r="A1827" s="1072">
        <f t="shared" si="452"/>
        <v>0</v>
      </c>
      <c r="B1827" s="1295" t="s">
        <v>903</v>
      </c>
      <c r="C1827" s="1302"/>
      <c r="D1827" s="1198">
        <f>VLOOKUP($B1827,dongia1,DG!$B$5,)</f>
        <v>0</v>
      </c>
      <c r="E1827" s="1399" t="str">
        <f>VLOOKUP($B1827,dongia1,DG!$C$5,)</f>
        <v>Ốc xiết cáp cỡ 25mm2</v>
      </c>
      <c r="F1827" s="1555" t="str">
        <f>VLOOKUP($B1827,dongia1,DG!$D$5,)</f>
        <v>cái</v>
      </c>
      <c r="G1827" s="1508">
        <f>+G1819*3</f>
        <v>0</v>
      </c>
      <c r="H1827" s="1298">
        <f>VLOOKUP($B1827,dongia1,DG!$F$5,)</f>
        <v>17600</v>
      </c>
      <c r="I1827" s="1298"/>
      <c r="J1827" s="1298">
        <f>VLOOKUP($B1827,dongia1,DG!$G$5,)</f>
        <v>0</v>
      </c>
      <c r="K1827" s="1298">
        <f>VLOOKUP($B1827,dongia1,DG!$H$5,)</f>
        <v>0</v>
      </c>
      <c r="L1827" s="1298">
        <f t="shared" si="448"/>
        <v>0</v>
      </c>
      <c r="M1827" s="1298">
        <f t="shared" si="449"/>
        <v>0</v>
      </c>
      <c r="N1827" s="1298">
        <f t="shared" si="450"/>
        <v>0</v>
      </c>
      <c r="O1827" s="1298">
        <f t="shared" si="451"/>
        <v>0</v>
      </c>
      <c r="P1827" s="1299"/>
      <c r="Q1827" s="1300"/>
      <c r="R1827" s="1300"/>
      <c r="S1827" s="1300"/>
    </row>
    <row r="1828" spans="1:19" s="1081" customFormat="1" hidden="1" outlineLevel="1">
      <c r="A1828" s="1072">
        <f t="shared" si="452"/>
        <v>0</v>
      </c>
      <c r="B1828" s="1295" t="s">
        <v>1736</v>
      </c>
      <c r="C1828" s="1302"/>
      <c r="D1828" s="1198">
        <f>VLOOKUP($B1828,dongia1,DG!$B$5,)</f>
        <v>0</v>
      </c>
      <c r="E1828" s="1399" t="str">
        <f>VLOOKUP($B1828,dongia1,DG!$C$5,)</f>
        <v>Ống PVC D42x2,1mm</v>
      </c>
      <c r="F1828" s="1555" t="str">
        <f>VLOOKUP($B1828,dongia1,DG!$D$5,)</f>
        <v>m</v>
      </c>
      <c r="G1828" s="1508">
        <f>G1838*12</f>
        <v>0</v>
      </c>
      <c r="H1828" s="1298">
        <f>VLOOKUP($B1828,dongia1,DG!$F$5,)</f>
        <v>16100</v>
      </c>
      <c r="I1828" s="1298"/>
      <c r="J1828" s="1298">
        <f>VLOOKUP($B1828,dongia1,DG!$G$5,)</f>
        <v>0</v>
      </c>
      <c r="K1828" s="1298">
        <f>VLOOKUP($B1828,dongia1,DG!$H$5,)</f>
        <v>0</v>
      </c>
      <c r="L1828" s="1298">
        <f t="shared" si="448"/>
        <v>0</v>
      </c>
      <c r="M1828" s="1298">
        <f t="shared" si="449"/>
        <v>0</v>
      </c>
      <c r="N1828" s="1298">
        <f t="shared" si="450"/>
        <v>0</v>
      </c>
      <c r="O1828" s="1298">
        <f t="shared" si="451"/>
        <v>0</v>
      </c>
      <c r="P1828" s="1299"/>
      <c r="Q1828" s="1300"/>
      <c r="R1828" s="1300"/>
      <c r="S1828" s="1300"/>
    </row>
    <row r="1829" spans="1:19" s="1081" customFormat="1" hidden="1" outlineLevel="1">
      <c r="A1829" s="1072">
        <f t="shared" si="452"/>
        <v>0</v>
      </c>
      <c r="B1829" s="1707" t="s">
        <v>64</v>
      </c>
      <c r="C1829" s="1302"/>
      <c r="D1829" s="1198" t="str">
        <f>VLOOKUP($B1829,dongia1,DG!$B$5,)</f>
        <v>D4.1406</v>
      </c>
      <c r="E1829" s="1399" t="str">
        <f>VLOOKUP($B1829,dongia1,DG!$C$5,)</f>
        <v>Lắp ống nhựa PVC D42</v>
      </c>
      <c r="F1829" s="1555" t="str">
        <f>VLOOKUP($B1829,dongia1,DG!$D$5,)</f>
        <v>mét</v>
      </c>
      <c r="G1829" s="1508">
        <f>G1828</f>
        <v>0</v>
      </c>
      <c r="H1829" s="1298">
        <f>VLOOKUP($B1829,dongia1,DG!$F$5,)</f>
        <v>0</v>
      </c>
      <c r="I1829" s="1298"/>
      <c r="J1829" s="1298">
        <f>VLOOKUP($B1829,dongia1,DG!$G$5,)</f>
        <v>38962</v>
      </c>
      <c r="K1829" s="1298">
        <f>VLOOKUP($B1829,dongia1,DG!$H$5,)</f>
        <v>0</v>
      </c>
      <c r="L1829" s="1298">
        <f>H1829*$G1829</f>
        <v>0</v>
      </c>
      <c r="M1829" s="1298">
        <f>I1829*$G1829</f>
        <v>0</v>
      </c>
      <c r="N1829" s="1298">
        <f>J1829*$G1829</f>
        <v>0</v>
      </c>
      <c r="O1829" s="1298">
        <f>K1829*$G1829</f>
        <v>0</v>
      </c>
      <c r="P1829" s="1299"/>
      <c r="Q1829" s="1300"/>
      <c r="R1829" s="1300"/>
      <c r="S1829" s="1300"/>
    </row>
    <row r="1830" spans="1:19" s="1081" customFormat="1" hidden="1" outlineLevel="1">
      <c r="A1830" s="1072">
        <f t="shared" si="452"/>
        <v>0</v>
      </c>
      <c r="B1830" s="1068" t="s">
        <v>1525</v>
      </c>
      <c r="C1830" s="1302"/>
      <c r="D1830" s="1198">
        <f>VLOOKUP($B1830,dongia1,DG!$B$5,)</f>
        <v>0</v>
      </c>
      <c r="E1830" s="1399" t="str">
        <f>VLOOKUP($B1830,dongia1,DG!$C$5,)</f>
        <v>Cổ dê giữ ống PVC D42</v>
      </c>
      <c r="F1830" s="1555" t="str">
        <f>VLOOKUP($B1830,dongia1,DG!$D$5,)</f>
        <v>bộ</v>
      </c>
      <c r="G1830" s="1508">
        <f>G1819*4</f>
        <v>0</v>
      </c>
      <c r="H1830" s="1298">
        <f>VLOOKUP($B1830,dongia1,DG!$F$5,)</f>
        <v>34000</v>
      </c>
      <c r="I1830" s="1298"/>
      <c r="J1830" s="1298">
        <f>VLOOKUP($B1830,dongia1,DG!$G$5,)</f>
        <v>0</v>
      </c>
      <c r="K1830" s="1298">
        <f>VLOOKUP($B1830,dongia1,DG!$H$5,)</f>
        <v>0</v>
      </c>
      <c r="L1830" s="1298">
        <f t="shared" si="448"/>
        <v>0</v>
      </c>
      <c r="M1830" s="1298">
        <f t="shared" si="449"/>
        <v>0</v>
      </c>
      <c r="N1830" s="1298">
        <f t="shared" si="450"/>
        <v>0</v>
      </c>
      <c r="O1830" s="1298">
        <f t="shared" si="451"/>
        <v>0</v>
      </c>
      <c r="P1830" s="1299"/>
      <c r="Q1830" s="1300"/>
      <c r="R1830" s="1300"/>
      <c r="S1830" s="1300"/>
    </row>
    <row r="1831" spans="1:19" s="1081" customFormat="1" hidden="1" outlineLevel="1">
      <c r="A1831" s="1072">
        <f t="shared" si="452"/>
        <v>0</v>
      </c>
      <c r="B1831" s="1295" t="s">
        <v>1576</v>
      </c>
      <c r="C1831" s="1302"/>
      <c r="D1831" s="1198">
        <f>VLOOKUP($B1831,dongia1,DG!$B$5,)</f>
        <v>0</v>
      </c>
      <c r="E1831" s="1399" t="str">
        <f>VLOOKUP($B1831,dongia1,DG!$C$5,)</f>
        <v>Co 90 độ PVC 42</v>
      </c>
      <c r="F1831" s="1555" t="str">
        <f>VLOOKUP($B1831,dongia1,DG!$D$5,)</f>
        <v>cái</v>
      </c>
      <c r="G1831" s="1508">
        <f>G1819*6</f>
        <v>0</v>
      </c>
      <c r="H1831" s="1298">
        <f>VLOOKUP($B1831,dongia1,DG!$F$5,)</f>
        <v>11400</v>
      </c>
      <c r="I1831" s="1298"/>
      <c r="J1831" s="1298">
        <f>VLOOKUP($B1831,dongia1,DG!$G$5,)</f>
        <v>0</v>
      </c>
      <c r="K1831" s="1298">
        <f>VLOOKUP($B1831,dongia1,DG!$H$5,)</f>
        <v>0</v>
      </c>
      <c r="L1831" s="1298">
        <f t="shared" si="448"/>
        <v>0</v>
      </c>
      <c r="M1831" s="1298">
        <f t="shared" si="449"/>
        <v>0</v>
      </c>
      <c r="N1831" s="1298">
        <f t="shared" si="450"/>
        <v>0</v>
      </c>
      <c r="O1831" s="1298">
        <f t="shared" si="451"/>
        <v>0</v>
      </c>
      <c r="P1831" s="1299"/>
      <c r="Q1831" s="1300"/>
      <c r="R1831" s="1300"/>
      <c r="S1831" s="1300"/>
    </row>
    <row r="1832" spans="1:19" s="1081" customFormat="1" hidden="1" outlineLevel="1">
      <c r="A1832" s="1072">
        <f t="shared" si="452"/>
        <v>0</v>
      </c>
      <c r="B1832" s="1295" t="s">
        <v>969</v>
      </c>
      <c r="C1832" s="1302"/>
      <c r="D1832" s="1198">
        <f>VLOOKUP($B1832,dongia1,DG!$B$5,)</f>
        <v>0</v>
      </c>
      <c r="E1832" s="1399" t="str">
        <f>VLOOKUP($B1832,dongia1,DG!$C$5,)</f>
        <v>Co chữ T ống PVC 42</v>
      </c>
      <c r="F1832" s="1555" t="str">
        <f>VLOOKUP($B1832,dongia1,DG!$D$5,)</f>
        <v>cái</v>
      </c>
      <c r="G1832" s="1508">
        <f>G1819*5</f>
        <v>0</v>
      </c>
      <c r="H1832" s="1298">
        <f>VLOOKUP($B1832,dongia1,DG!$F$5,)</f>
        <v>21000</v>
      </c>
      <c r="I1832" s="1298"/>
      <c r="J1832" s="1298">
        <f>VLOOKUP($B1832,dongia1,DG!$G$5,)</f>
        <v>0</v>
      </c>
      <c r="K1832" s="1298">
        <f>VLOOKUP($B1832,dongia1,DG!$H$5,)</f>
        <v>0</v>
      </c>
      <c r="L1832" s="1298">
        <f t="shared" si="448"/>
        <v>0</v>
      </c>
      <c r="M1832" s="1298">
        <f t="shared" si="449"/>
        <v>0</v>
      </c>
      <c r="N1832" s="1298">
        <f t="shared" si="450"/>
        <v>0</v>
      </c>
      <c r="O1832" s="1298">
        <f t="shared" si="451"/>
        <v>0</v>
      </c>
      <c r="P1832" s="1299"/>
      <c r="Q1832" s="1300"/>
      <c r="R1832" s="1300"/>
      <c r="S1832" s="1300"/>
    </row>
    <row r="1833" spans="1:19" s="1081" customFormat="1" hidden="1" outlineLevel="1">
      <c r="A1833" s="1072">
        <f t="shared" si="452"/>
        <v>0</v>
      </c>
      <c r="B1833" s="1295" t="s">
        <v>1973</v>
      </c>
      <c r="C1833" s="1302"/>
      <c r="D1833" s="1198">
        <f>VLOOKUP($B1833,dongia1,DG!$B$5,)</f>
        <v>0</v>
      </c>
      <c r="E1833" s="1399" t="str">
        <f>VLOOKUP($B1833,dongia1,DG!$C$5,)</f>
        <v>Keo dán ống PVC (500gr)</v>
      </c>
      <c r="F1833" s="1555" t="str">
        <f>VLOOKUP($B1833,dongia1,DG!$D$5,)</f>
        <v>lon</v>
      </c>
      <c r="G1833" s="1508">
        <f>G1819</f>
        <v>0</v>
      </c>
      <c r="H1833" s="1298">
        <f>VLOOKUP($B1833,dongia1,DG!$F$5,)</f>
        <v>54100</v>
      </c>
      <c r="I1833" s="1298"/>
      <c r="J1833" s="1298">
        <f>VLOOKUP($B1833,dongia1,DG!$G$5,)</f>
        <v>0</v>
      </c>
      <c r="K1833" s="1298">
        <f>VLOOKUP($B1833,dongia1,DG!$H$5,)</f>
        <v>0</v>
      </c>
      <c r="L1833" s="1298">
        <f t="shared" si="448"/>
        <v>0</v>
      </c>
      <c r="M1833" s="1298">
        <f t="shared" si="449"/>
        <v>0</v>
      </c>
      <c r="N1833" s="1298">
        <f t="shared" si="450"/>
        <v>0</v>
      </c>
      <c r="O1833" s="1298">
        <f t="shared" si="451"/>
        <v>0</v>
      </c>
      <c r="P1833" s="1299"/>
      <c r="Q1833" s="1300"/>
      <c r="R1833" s="1300"/>
      <c r="S1833" s="1300"/>
    </row>
    <row r="1834" spans="1:19" s="1081" customFormat="1" hidden="1" outlineLevel="1">
      <c r="A1834" s="1072">
        <f t="shared" si="452"/>
        <v>0</v>
      </c>
      <c r="B1834" s="1068" t="s">
        <v>236</v>
      </c>
      <c r="C1834" s="1302"/>
      <c r="D1834" s="1198">
        <f>VLOOKUP($B1834,dongia1,DG!$B$5,)</f>
        <v>0</v>
      </c>
      <c r="E1834" s="1399" t="str">
        <f>VLOOKUP($B1834,dongia1,DG!$C$5,)</f>
        <v>Băng keo cách điện hạ thế</v>
      </c>
      <c r="F1834" s="1555" t="str">
        <f>VLOOKUP($B1834,dongia1,DG!$D$5,)</f>
        <v>cuộn</v>
      </c>
      <c r="G1834" s="1508">
        <f>G1819</f>
        <v>0</v>
      </c>
      <c r="H1834" s="1298">
        <f>VLOOKUP($B1834,dongia1,DG!$F$5,)</f>
        <v>6500</v>
      </c>
      <c r="I1834" s="1298"/>
      <c r="J1834" s="1298">
        <f>VLOOKUP($B1834,dongia1,DG!$G$5,)</f>
        <v>0</v>
      </c>
      <c r="K1834" s="1298">
        <f>VLOOKUP($B1834,dongia1,DG!$H$5,)</f>
        <v>0</v>
      </c>
      <c r="L1834" s="1298">
        <f t="shared" si="448"/>
        <v>0</v>
      </c>
      <c r="M1834" s="1298">
        <f t="shared" si="449"/>
        <v>0</v>
      </c>
      <c r="N1834" s="1298">
        <f t="shared" si="450"/>
        <v>0</v>
      </c>
      <c r="O1834" s="1298">
        <f t="shared" si="451"/>
        <v>0</v>
      </c>
      <c r="P1834" s="1299"/>
      <c r="Q1834" s="1300"/>
      <c r="R1834" s="1300"/>
      <c r="S1834" s="1300"/>
    </row>
    <row r="1835" spans="1:19" s="1081" customFormat="1" hidden="1" outlineLevel="1">
      <c r="A1835" s="1072">
        <f t="shared" si="452"/>
        <v>0</v>
      </c>
      <c r="B1835" s="1295" t="s">
        <v>1464</v>
      </c>
      <c r="C1835" s="1302"/>
      <c r="D1835" s="1198">
        <f>VLOOKUP($B1835,dongia1,DG!$B$5,)</f>
        <v>0</v>
      </c>
      <c r="E1835" s="1399" t="str">
        <f>VLOOKUP($B1835,dongia1,DG!$C$5,)</f>
        <v>Khâu ven răng trong D42</v>
      </c>
      <c r="F1835" s="1555" t="str">
        <f>VLOOKUP($B1835,dongia1,DG!$D$5,)</f>
        <v>cái</v>
      </c>
      <c r="G1835" s="1508">
        <f>G1819</f>
        <v>0</v>
      </c>
      <c r="H1835" s="1298">
        <f>VLOOKUP($B1835,dongia1,DG!$F$5,)</f>
        <v>5000</v>
      </c>
      <c r="I1835" s="1298"/>
      <c r="J1835" s="1298">
        <f>VLOOKUP($B1835,dongia1,DG!$G$5,)</f>
        <v>0</v>
      </c>
      <c r="K1835" s="1298">
        <f>VLOOKUP($B1835,dongia1,DG!$H$5,)</f>
        <v>0</v>
      </c>
      <c r="L1835" s="1298">
        <f t="shared" si="448"/>
        <v>0</v>
      </c>
      <c r="M1835" s="1298">
        <f t="shared" si="449"/>
        <v>0</v>
      </c>
      <c r="N1835" s="1298">
        <f t="shared" si="450"/>
        <v>0</v>
      </c>
      <c r="O1835" s="1298">
        <f t="shared" si="451"/>
        <v>0</v>
      </c>
      <c r="P1835" s="1299"/>
      <c r="Q1835" s="1300"/>
      <c r="R1835" s="1300"/>
      <c r="S1835" s="1300"/>
    </row>
    <row r="1836" spans="1:19" s="1081" customFormat="1" hidden="1" outlineLevel="1">
      <c r="A1836" s="1072">
        <f t="shared" si="452"/>
        <v>0</v>
      </c>
      <c r="B1836" s="1068" t="s">
        <v>1214</v>
      </c>
      <c r="C1836" s="1302"/>
      <c r="D1836" s="1198">
        <f>VLOOKUP($B1836,dongia1,DG!$B$5,)</f>
        <v>0</v>
      </c>
      <c r="E1836" s="1399" t="str">
        <f>VLOOKUP($B1836,dongia1,DG!$C$5,)</f>
        <v>Khâu ven răng ngoài D42</v>
      </c>
      <c r="F1836" s="1555" t="str">
        <f>VLOOKUP($B1836,dongia1,DG!$D$5,)</f>
        <v>cái</v>
      </c>
      <c r="G1836" s="1508">
        <f>G1819</f>
        <v>0</v>
      </c>
      <c r="H1836" s="1298">
        <f>VLOOKUP($B1836,dongia1,DG!$F$5,)</f>
        <v>5200</v>
      </c>
      <c r="I1836" s="1298"/>
      <c r="J1836" s="1298">
        <f>VLOOKUP($B1836,dongia1,DG!$G$5,)</f>
        <v>0</v>
      </c>
      <c r="K1836" s="1298">
        <f>VLOOKUP($B1836,dongia1,DG!$H$5,)</f>
        <v>0</v>
      </c>
      <c r="L1836" s="1298">
        <f t="shared" si="448"/>
        <v>0</v>
      </c>
      <c r="M1836" s="1298">
        <f t="shared" si="449"/>
        <v>0</v>
      </c>
      <c r="N1836" s="1298">
        <f t="shared" si="450"/>
        <v>0</v>
      </c>
      <c r="O1836" s="1298">
        <f t="shared" si="451"/>
        <v>0</v>
      </c>
      <c r="P1836" s="1299"/>
      <c r="Q1836" s="1300"/>
      <c r="R1836" s="1300"/>
      <c r="S1836" s="1300"/>
    </row>
    <row r="1837" spans="1:19" s="1081" customFormat="1" hidden="1" outlineLevel="1">
      <c r="A1837" s="1072">
        <f t="shared" si="452"/>
        <v>0</v>
      </c>
      <c r="B1837" s="1068" t="s">
        <v>1439</v>
      </c>
      <c r="C1837" s="1302"/>
      <c r="D1837" s="1198">
        <f>VLOOKUP($B1837,dongia1,DG!$B$5,)</f>
        <v>0</v>
      </c>
      <c r="E1837" s="1399" t="str">
        <f>VLOOKUP($B1837,dongia1,DG!$C$5,)</f>
        <v>Cổ dê CDĐKĐT D320/6x60( bắt thùng)</v>
      </c>
      <c r="F1837" s="1555" t="str">
        <f>VLOOKUP($B1837,dongia1,DG!$D$5,)</f>
        <v>bộ</v>
      </c>
      <c r="G1837" s="1508">
        <f>G1819*2</f>
        <v>0</v>
      </c>
      <c r="H1837" s="1298">
        <f>VLOOKUP($B1837,dongia1,DG!$F$5,)</f>
        <v>168000</v>
      </c>
      <c r="I1837" s="1298"/>
      <c r="J1837" s="1298">
        <f>VLOOKUP($B1837,dongia1,DG!$G$5,)</f>
        <v>0</v>
      </c>
      <c r="K1837" s="1298">
        <f>VLOOKUP($B1837,dongia1,DG!$H$5,)</f>
        <v>0</v>
      </c>
      <c r="L1837" s="1298">
        <f t="shared" si="448"/>
        <v>0</v>
      </c>
      <c r="M1837" s="1298">
        <f t="shared" si="449"/>
        <v>0</v>
      </c>
      <c r="N1837" s="1298">
        <f t="shared" si="450"/>
        <v>0</v>
      </c>
      <c r="O1837" s="1298">
        <f t="shared" si="451"/>
        <v>0</v>
      </c>
      <c r="P1837" s="1299"/>
      <c r="Q1837" s="1300"/>
      <c r="R1837" s="1300"/>
      <c r="S1837" s="1300"/>
    </row>
    <row r="1838" spans="1:19" s="1081" customFormat="1" hidden="1" outlineLevel="1">
      <c r="A1838" s="1072">
        <f t="shared" si="452"/>
        <v>0</v>
      </c>
      <c r="B1838" s="1068" t="s">
        <v>1825</v>
      </c>
      <c r="C1838" s="1302"/>
      <c r="D1838" s="1198" t="str">
        <f>VLOOKUP($B1838,dongia1,DG!$B$5,)</f>
        <v>T5.1001</v>
      </c>
      <c r="E1838" s="1399" t="str">
        <f>VLOOKUP($B1838,dongia1,DG!$C$5,)</f>
        <v>Thùng điện kế 450x300x200mm đo đếm trung thế</v>
      </c>
      <c r="F1838" s="1555" t="str">
        <f>VLOOKUP($B1838,dongia1,DG!$D$5,)</f>
        <v>cái</v>
      </c>
      <c r="G1838" s="1508">
        <f>G1819</f>
        <v>0</v>
      </c>
      <c r="H1838" s="1298">
        <f>VLOOKUP($B1838,dongia1,DG!$F$5,)</f>
        <v>845331</v>
      </c>
      <c r="I1838" s="1298"/>
      <c r="J1838" s="1298">
        <f>VLOOKUP($B1838,dongia1,DG!$G$5,)</f>
        <v>599038</v>
      </c>
      <c r="K1838" s="1298">
        <f>VLOOKUP($B1838,dongia1,DG!$H$5,)</f>
        <v>97369</v>
      </c>
      <c r="L1838" s="1298">
        <f t="shared" si="448"/>
        <v>0</v>
      </c>
      <c r="M1838" s="1298">
        <f t="shared" si="449"/>
        <v>0</v>
      </c>
      <c r="N1838" s="1298">
        <f t="shared" si="450"/>
        <v>0</v>
      </c>
      <c r="O1838" s="1298">
        <f t="shared" si="451"/>
        <v>0</v>
      </c>
      <c r="P1838" s="1299"/>
      <c r="Q1838" s="1300"/>
      <c r="R1838" s="1300"/>
      <c r="S1838" s="1300"/>
    </row>
    <row r="1839" spans="1:19" s="1081" customFormat="1" hidden="1" outlineLevel="1">
      <c r="A1839" s="1072">
        <f t="shared" si="452"/>
        <v>0</v>
      </c>
      <c r="B1839" s="1068" t="s">
        <v>1690</v>
      </c>
      <c r="C1839" s="1302"/>
      <c r="D1839" s="1198">
        <f>VLOOKUP($B1839,dongia1,DG!$B$5,)</f>
        <v>0</v>
      </c>
      <c r="E1839" s="1399" t="str">
        <f>VLOOKUP($B1839,dongia1,DG!$C$5,)</f>
        <v>Keo silicon bít miệng ống</v>
      </c>
      <c r="F1839" s="1555" t="str">
        <f>VLOOKUP($B1839,dongia1,DG!$D$5,)</f>
        <v>chai</v>
      </c>
      <c r="G1839" s="1508">
        <f>G1819*2</f>
        <v>0</v>
      </c>
      <c r="H1839" s="1298">
        <f>VLOOKUP($B1839,dongia1,DG!$F$5,)</f>
        <v>45000</v>
      </c>
      <c r="I1839" s="1298"/>
      <c r="J1839" s="1298">
        <f>VLOOKUP($B1839,dongia1,DG!$G$5,)</f>
        <v>0</v>
      </c>
      <c r="K1839" s="1298">
        <f>VLOOKUP($B1839,dongia1,DG!$H$5,)</f>
        <v>0</v>
      </c>
      <c r="L1839" s="1298">
        <f t="shared" si="448"/>
        <v>0</v>
      </c>
      <c r="M1839" s="1298">
        <f t="shared" si="449"/>
        <v>0</v>
      </c>
      <c r="N1839" s="1298">
        <f t="shared" si="450"/>
        <v>0</v>
      </c>
      <c r="O1839" s="1298">
        <f t="shared" si="451"/>
        <v>0</v>
      </c>
      <c r="P1839" s="1299"/>
      <c r="Q1839" s="1300"/>
      <c r="R1839" s="1300"/>
      <c r="S1839" s="1300"/>
    </row>
    <row r="1840" spans="1:19" s="1081" customFormat="1" hidden="1" outlineLevel="1">
      <c r="A1840" s="1072">
        <f t="shared" si="452"/>
        <v>0</v>
      </c>
      <c r="B1840" s="1068" t="s">
        <v>1735</v>
      </c>
      <c r="C1840" s="1302"/>
      <c r="D1840" s="1198">
        <f>VLOOKUP($B1840,dongia1,DG!$B$5,)</f>
        <v>0</v>
      </c>
      <c r="E1840" s="1399" t="str">
        <f>VLOOKUP($B1840,dongia1,DG!$C$5,)</f>
        <v>Dây đồng trần mềm dẹt</v>
      </c>
      <c r="F1840" s="1555" t="str">
        <f>VLOOKUP($B1840,dongia1,DG!$D$5,)</f>
        <v>mét</v>
      </c>
      <c r="G1840" s="1508"/>
      <c r="H1840" s="1298">
        <f>VLOOKUP($B1840,dongia1,DG!$F$5,)</f>
        <v>5000</v>
      </c>
      <c r="I1840" s="1298"/>
      <c r="J1840" s="1298">
        <f>VLOOKUP($B1840,dongia1,DG!$G$5,)</f>
        <v>0</v>
      </c>
      <c r="K1840" s="1298">
        <f>VLOOKUP($B1840,dongia1,DG!$H$5,)</f>
        <v>0</v>
      </c>
      <c r="L1840" s="1298">
        <f t="shared" si="448"/>
        <v>0</v>
      </c>
      <c r="M1840" s="1298">
        <f t="shared" si="449"/>
        <v>0</v>
      </c>
      <c r="N1840" s="1298">
        <f t="shared" si="450"/>
        <v>0</v>
      </c>
      <c r="O1840" s="1298">
        <f t="shared" si="451"/>
        <v>0</v>
      </c>
      <c r="P1840" s="1299"/>
      <c r="Q1840" s="1300"/>
      <c r="R1840" s="1300"/>
      <c r="S1840" s="1300"/>
    </row>
    <row r="1841" spans="1:19" s="1081" customFormat="1" hidden="1" outlineLevel="1">
      <c r="A1841" s="1072">
        <f t="shared" si="452"/>
        <v>0</v>
      </c>
      <c r="B1841" s="1068" t="s">
        <v>518</v>
      </c>
      <c r="C1841" s="1302"/>
      <c r="D1841" s="1198">
        <v>0</v>
      </c>
      <c r="E1841" s="1399" t="str">
        <f>VLOOKUP($B1841,dongia1,DG!$C$5,)</f>
        <v>Sắt góc L50 x50 x5</v>
      </c>
      <c r="F1841" s="1555" t="str">
        <f>VLOOKUP($B1841,dongia1,DG!$D$5,)</f>
        <v>kg</v>
      </c>
      <c r="G1841" s="1508"/>
      <c r="H1841" s="1298">
        <f>VLOOKUP($B1841,dongia1,DG!$F$5,)</f>
        <v>31625</v>
      </c>
      <c r="I1841" s="1298"/>
      <c r="J1841" s="1298">
        <f>VLOOKUP($B1841,dongia1,DG!$G$5,)</f>
        <v>0</v>
      </c>
      <c r="K1841" s="1298">
        <f>VLOOKUP($B1841,dongia1,DG!$H$5,)</f>
        <v>0</v>
      </c>
      <c r="L1841" s="1298">
        <f t="shared" si="448"/>
        <v>0</v>
      </c>
      <c r="M1841" s="1298">
        <f t="shared" si="449"/>
        <v>0</v>
      </c>
      <c r="N1841" s="1298">
        <f t="shared" si="450"/>
        <v>0</v>
      </c>
      <c r="O1841" s="1298">
        <f t="shared" si="451"/>
        <v>0</v>
      </c>
      <c r="P1841" s="1299"/>
      <c r="Q1841" s="1300"/>
      <c r="R1841" s="1300"/>
      <c r="S1841" s="1300"/>
    </row>
    <row r="1842" spans="1:19" s="1081" customFormat="1" hidden="1" outlineLevel="1">
      <c r="A1842" s="1072">
        <f t="shared" si="452"/>
        <v>0</v>
      </c>
      <c r="B1842" s="1068" t="s">
        <v>509</v>
      </c>
      <c r="C1842" s="1302"/>
      <c r="D1842" s="1198">
        <v>0</v>
      </c>
      <c r="E1842" s="1399" t="str">
        <f>VLOOKUP($B1842,dongia1,DG!$C$5,)</f>
        <v>Boulon 10x50+ 2 long đền vuông D12-50x50x3/Zn</v>
      </c>
      <c r="F1842" s="1555" t="str">
        <f>VLOOKUP($B1842,dongia1,DG!$D$5,)</f>
        <v>bộ</v>
      </c>
      <c r="G1842" s="1508"/>
      <c r="H1842" s="1298">
        <f>VLOOKUP($B1842,dongia1,DG!$F$5,)</f>
        <v>1500</v>
      </c>
      <c r="I1842" s="1298"/>
      <c r="J1842" s="1298">
        <f>VLOOKUP($B1842,dongia1,DG!$G$5,)</f>
        <v>0</v>
      </c>
      <c r="K1842" s="1298">
        <f>VLOOKUP($B1842,dongia1,DG!$H$5,)</f>
        <v>0</v>
      </c>
      <c r="L1842" s="1298">
        <f t="shared" si="448"/>
        <v>0</v>
      </c>
      <c r="M1842" s="1298">
        <f t="shared" si="449"/>
        <v>0</v>
      </c>
      <c r="N1842" s="1298">
        <f t="shared" si="450"/>
        <v>0</v>
      </c>
      <c r="O1842" s="1298">
        <f t="shared" si="451"/>
        <v>0</v>
      </c>
      <c r="P1842" s="1299"/>
      <c r="Q1842" s="1300"/>
      <c r="R1842" s="1300"/>
      <c r="S1842" s="1300"/>
    </row>
    <row r="1843" spans="1:19" s="1740" customFormat="1" hidden="1">
      <c r="A1843" s="1731" t="str">
        <f>IF(G1843=0,"",1)</f>
        <v/>
      </c>
      <c r="B1843" s="1732"/>
      <c r="C1843" s="166">
        <f>IF(G1843&gt;0,C1819+1,C1819)</f>
        <v>0</v>
      </c>
      <c r="D1843" s="1733"/>
      <c r="E1843" s="168" t="s">
        <v>5647</v>
      </c>
      <c r="F1843" s="169" t="s">
        <v>2307</v>
      </c>
      <c r="G1843" s="1734"/>
      <c r="H1843" s="193"/>
      <c r="I1843" s="1735"/>
      <c r="J1843" s="1736"/>
      <c r="K1843" s="1736"/>
      <c r="L1843" s="1737">
        <f>H1843*$G1843</f>
        <v>0</v>
      </c>
      <c r="M1843" s="1738">
        <f>I1843*$G1843</f>
        <v>0</v>
      </c>
      <c r="N1843" s="1737">
        <f>J1843*$G1843</f>
        <v>0</v>
      </c>
      <c r="O1843" s="1737">
        <f>K1843*$G1843</f>
        <v>0</v>
      </c>
      <c r="P1843" s="1739"/>
    </row>
    <row r="1844" spans="1:19" s="34" customFormat="1" ht="14.4" hidden="1">
      <c r="A1844" s="29" t="str">
        <f>A1843</f>
        <v/>
      </c>
      <c r="B1844" s="109"/>
      <c r="C1844" s="112"/>
      <c r="D1844" s="120"/>
      <c r="E1844" s="196" t="s">
        <v>3378</v>
      </c>
      <c r="F1844" s="126"/>
      <c r="G1844" s="73"/>
      <c r="H1844" s="175"/>
      <c r="I1844" s="176"/>
      <c r="J1844" s="177"/>
      <c r="K1844" s="175"/>
      <c r="L1844" s="39"/>
      <c r="M1844" s="62"/>
      <c r="N1844" s="39"/>
      <c r="O1844" s="39"/>
      <c r="P1844" s="178"/>
    </row>
    <row r="1845" spans="1:19" s="34" customFormat="1" hidden="1">
      <c r="A1845" s="29" t="str">
        <f t="shared" ref="A1845:A1856" si="453">IF(G1845=0,"",1)</f>
        <v/>
      </c>
      <c r="B1845" s="125" t="s">
        <v>5599</v>
      </c>
      <c r="C1845" s="119"/>
      <c r="D1845" s="120"/>
      <c r="E1845" s="151" t="str">
        <f>VLOOKUP($B1845,dongia1,DG!$C$5,)&amp;": 0,31m3/m"</f>
        <v>Cát vàng: 0,31m3/m</v>
      </c>
      <c r="F1845" s="120" t="str">
        <f>VLOOKUP($B1845,dongia1,DG!$D$5,)</f>
        <v>m3</v>
      </c>
      <c r="G1845" s="74">
        <f>G1843*0.31</f>
        <v>0</v>
      </c>
      <c r="H1845" s="121">
        <f>VLOOKUP($B1845,dongia1,DG!$F$5,)</f>
        <v>512000</v>
      </c>
      <c r="I1845" s="179"/>
      <c r="J1845" s="121">
        <f>VLOOKUP($B1845,dongia1,DG!$G$5,)</f>
        <v>0</v>
      </c>
      <c r="K1845" s="121">
        <f>VLOOKUP($B1845,dongia1,DG!$H$5,)</f>
        <v>0</v>
      </c>
      <c r="L1845" s="39">
        <f t="shared" ref="L1845:O1856" si="454">H1845*$G1845</f>
        <v>0</v>
      </c>
      <c r="M1845" s="62">
        <f t="shared" si="454"/>
        <v>0</v>
      </c>
      <c r="N1845" s="39">
        <f t="shared" si="454"/>
        <v>0</v>
      </c>
      <c r="O1845" s="39">
        <f t="shared" si="454"/>
        <v>0</v>
      </c>
      <c r="P1845" s="161"/>
    </row>
    <row r="1846" spans="1:19" s="34" customFormat="1" hidden="1">
      <c r="A1846" s="29" t="str">
        <f t="shared" si="453"/>
        <v/>
      </c>
      <c r="B1846" s="159" t="s">
        <v>853</v>
      </c>
      <c r="C1846" s="119"/>
      <c r="D1846" s="120"/>
      <c r="E1846" s="151" t="str">
        <f>VLOOKUP($B1846,dongia1,DG!$C$5,)&amp;": 0,02m3/m"</f>
        <v>Đá 1x2: 0,02m3/m</v>
      </c>
      <c r="F1846" s="120" t="str">
        <f>VLOOKUP($B1846,dongia1,DG!$D$5,)</f>
        <v>m3</v>
      </c>
      <c r="G1846" s="74"/>
      <c r="H1846" s="121">
        <f>VLOOKUP($B1846,dongia1,DG!$F$5,)</f>
        <v>335000</v>
      </c>
      <c r="I1846" s="179"/>
      <c r="J1846" s="121">
        <f>VLOOKUP($B1846,dongia1,DG!$G$5,)</f>
        <v>0</v>
      </c>
      <c r="K1846" s="121">
        <f>VLOOKUP($B1846,dongia1,DG!$H$5,)</f>
        <v>0</v>
      </c>
      <c r="L1846" s="39">
        <f t="shared" si="454"/>
        <v>0</v>
      </c>
      <c r="M1846" s="62">
        <f t="shared" si="454"/>
        <v>0</v>
      </c>
      <c r="N1846" s="39">
        <f t="shared" si="454"/>
        <v>0</v>
      </c>
      <c r="O1846" s="39">
        <f t="shared" si="454"/>
        <v>0</v>
      </c>
      <c r="P1846" s="161"/>
    </row>
    <row r="1847" spans="1:19" s="34" customFormat="1" hidden="1">
      <c r="A1847" s="29" t="str">
        <f>IF(G1847=0,"",1)</f>
        <v/>
      </c>
      <c r="B1847" s="159" t="s">
        <v>817</v>
      </c>
      <c r="C1847" s="119"/>
      <c r="D1847" s="120"/>
      <c r="E1847" s="151" t="str">
        <f>VLOOKUP($B1847,dongia1,DG!$C$5,)&amp;": 0,1m3/m"</f>
        <v>Đá 2x4: 0,1m3/m</v>
      </c>
      <c r="F1847" s="120" t="str">
        <f>VLOOKUP($B1847,dongia1,DG!$D$5,)</f>
        <v>m3</v>
      </c>
      <c r="G1847" s="74">
        <f>G1843*0.1</f>
        <v>0</v>
      </c>
      <c r="H1847" s="121">
        <f>VLOOKUP($B1847,dongia1,DG!$F$5,)</f>
        <v>295000</v>
      </c>
      <c r="I1847" s="179"/>
      <c r="J1847" s="121">
        <f>VLOOKUP($B1847,dongia1,DG!$G$5,)</f>
        <v>0</v>
      </c>
      <c r="K1847" s="121">
        <f>VLOOKUP($B1847,dongia1,DG!$H$5,)</f>
        <v>0</v>
      </c>
      <c r="L1847" s="39">
        <f>H1847*$G1847</f>
        <v>0</v>
      </c>
      <c r="M1847" s="62">
        <f>I1847*$G1847</f>
        <v>0</v>
      </c>
      <c r="N1847" s="39">
        <f>J1847*$G1847</f>
        <v>0</v>
      </c>
      <c r="O1847" s="39">
        <f>K1847*$G1847</f>
        <v>0</v>
      </c>
      <c r="P1847" s="161"/>
    </row>
    <row r="1848" spans="1:19" s="34" customFormat="1" hidden="1">
      <c r="A1848" s="29" t="str">
        <f t="shared" si="453"/>
        <v/>
      </c>
      <c r="B1848" s="159" t="s">
        <v>5610</v>
      </c>
      <c r="C1848" s="119"/>
      <c r="D1848" s="120"/>
      <c r="E1848" s="151" t="str">
        <f>VLOOKUP($B1848,dongia1,DG!$C$5,)&amp;": 0,05m3/m"</f>
        <v>Bêtông đá 1x2 mac 200: 0,05m3/m</v>
      </c>
      <c r="F1848" s="120" t="str">
        <f>VLOOKUP($B1848,dongia1,DG!$D$5,)</f>
        <v>m3</v>
      </c>
      <c r="G1848" s="74">
        <f>G1843*0.05</f>
        <v>0</v>
      </c>
      <c r="H1848" s="121">
        <f>VLOOKUP($B1848,dongia1,DG!$F$5,)</f>
        <v>920580</v>
      </c>
      <c r="I1848" s="179"/>
      <c r="J1848" s="121">
        <f>VLOOKUP($B1848,dongia1,DG!$G$5,)</f>
        <v>0</v>
      </c>
      <c r="K1848" s="121">
        <f>VLOOKUP($B1848,dongia1,DG!$H$5,)</f>
        <v>0</v>
      </c>
      <c r="L1848" s="39">
        <f t="shared" si="454"/>
        <v>0</v>
      </c>
      <c r="M1848" s="62">
        <f t="shared" si="454"/>
        <v>0</v>
      </c>
      <c r="N1848" s="39">
        <f t="shared" si="454"/>
        <v>0</v>
      </c>
      <c r="O1848" s="39">
        <f t="shared" si="454"/>
        <v>0</v>
      </c>
      <c r="P1848" s="161"/>
    </row>
    <row r="1849" spans="1:19" s="34" customFormat="1" hidden="1">
      <c r="A1849" s="29" t="str">
        <f t="shared" si="453"/>
        <v/>
      </c>
      <c r="B1849" s="159" t="s">
        <v>1495</v>
      </c>
      <c r="C1849" s="119"/>
      <c r="D1849" s="120"/>
      <c r="E1849" s="151" t="str">
        <f>VLOOKUP($B1849,dongia1,DG!$C$5,)</f>
        <v>Gạch tàu</v>
      </c>
      <c r="F1849" s="120" t="str">
        <f>VLOOKUP($B1849,dongia1,DG!$D$5,)</f>
        <v>viên</v>
      </c>
      <c r="G1849" s="74">
        <f>3.3*G1843</f>
        <v>0</v>
      </c>
      <c r="H1849" s="121">
        <f>VLOOKUP($B1849,dongia1,DG!$F$5,)</f>
        <v>7000</v>
      </c>
      <c r="I1849" s="179"/>
      <c r="J1849" s="121">
        <f>VLOOKUP($B1849,dongia1,DG!$G$5,)</f>
        <v>0</v>
      </c>
      <c r="K1849" s="121">
        <f>VLOOKUP($B1849,dongia1,DG!$H$5,)</f>
        <v>0</v>
      </c>
      <c r="L1849" s="39">
        <f t="shared" si="454"/>
        <v>0</v>
      </c>
      <c r="M1849" s="62">
        <f t="shared" si="454"/>
        <v>0</v>
      </c>
      <c r="N1849" s="39">
        <f t="shared" si="454"/>
        <v>0</v>
      </c>
      <c r="O1849" s="39">
        <f t="shared" si="454"/>
        <v>0</v>
      </c>
      <c r="P1849" s="161"/>
    </row>
    <row r="1850" spans="1:19" s="34" customFormat="1" hidden="1">
      <c r="A1850" s="29" t="str">
        <f t="shared" si="453"/>
        <v/>
      </c>
      <c r="B1850" s="159" t="s">
        <v>1496</v>
      </c>
      <c r="C1850" s="119"/>
      <c r="D1850" s="120"/>
      <c r="E1850" s="151" t="str">
        <f>VLOOKUP($B1850,dongia1,DG!$C$5,)</f>
        <v>Tấm nilông màu cảnh báo</v>
      </c>
      <c r="F1850" s="120" t="str">
        <f>VLOOKUP($B1850,dongia1,DG!$D$5,)</f>
        <v>m2</v>
      </c>
      <c r="G1850" s="74">
        <f>0.3*G1843</f>
        <v>0</v>
      </c>
      <c r="H1850" s="121">
        <f>VLOOKUP($B1850,dongia1,DG!$F$5,)</f>
        <v>10000</v>
      </c>
      <c r="I1850" s="179"/>
      <c r="J1850" s="121">
        <f>VLOOKUP($B1850,dongia1,DG!$G$5,)</f>
        <v>1187.155</v>
      </c>
      <c r="K1850" s="121">
        <f>VLOOKUP($B1850,dongia1,DG!$H$5,)</f>
        <v>0</v>
      </c>
      <c r="L1850" s="39">
        <f t="shared" si="454"/>
        <v>0</v>
      </c>
      <c r="M1850" s="62">
        <f t="shared" si="454"/>
        <v>0</v>
      </c>
      <c r="N1850" s="39">
        <f t="shared" si="454"/>
        <v>0</v>
      </c>
      <c r="O1850" s="39">
        <f t="shared" si="454"/>
        <v>0</v>
      </c>
      <c r="P1850" s="161"/>
    </row>
    <row r="1851" spans="1:19" s="34" customFormat="1" hidden="1">
      <c r="A1851" s="29" t="str">
        <f t="shared" si="453"/>
        <v/>
      </c>
      <c r="B1851" s="16" t="s">
        <v>961</v>
      </c>
      <c r="C1851" s="119"/>
      <c r="D1851" s="120">
        <f>VLOOKUP($B1851,dongia1,DG!$B$5,)</f>
        <v>0</v>
      </c>
      <c r="E1851" s="151" t="str">
        <f>VLOOKUP($B1851,dongia1,DG!$C$5,)</f>
        <v xml:space="preserve">Ống PVC D114x4,9mm </v>
      </c>
      <c r="F1851" s="120" t="str">
        <f>VLOOKUP($B1851,dongia1,DG!$D$5,)</f>
        <v>m</v>
      </c>
      <c r="G1851" s="74">
        <f>1*G1843</f>
        <v>0</v>
      </c>
      <c r="H1851" s="121">
        <f>VLOOKUP($B1851,dongia1,DG!$F$5,)</f>
        <v>103700</v>
      </c>
      <c r="I1851" s="179"/>
      <c r="J1851" s="121">
        <f>VLOOKUP($B1851,dongia1,DG!$G$5,)</f>
        <v>0</v>
      </c>
      <c r="K1851" s="121">
        <f>VLOOKUP($B1851,dongia1,DG!$H$5,)</f>
        <v>0</v>
      </c>
      <c r="L1851" s="39">
        <f t="shared" si="454"/>
        <v>0</v>
      </c>
      <c r="M1851" s="62">
        <f t="shared" si="454"/>
        <v>0</v>
      </c>
      <c r="N1851" s="39">
        <f t="shared" si="454"/>
        <v>0</v>
      </c>
      <c r="O1851" s="39">
        <f t="shared" si="454"/>
        <v>0</v>
      </c>
      <c r="P1851" s="161"/>
    </row>
    <row r="1852" spans="1:19" s="34" customFormat="1" hidden="1">
      <c r="A1852" s="29" t="str">
        <f t="shared" si="453"/>
        <v/>
      </c>
      <c r="B1852" s="159" t="s">
        <v>101</v>
      </c>
      <c r="C1852" s="119"/>
      <c r="D1852" s="120" t="str">
        <f>VLOOKUP($B1852,dongia1,DG!$B$5,)</f>
        <v>D4.1104</v>
      </c>
      <c r="E1852" s="151" t="str">
        <f>VLOOKUP($B1852,dongia1,DG!$C$5,)</f>
        <v>Lắp gạch làm dấu</v>
      </c>
      <c r="F1852" s="120" t="str">
        <f>VLOOKUP($B1852,dongia1,DG!$D$5,)</f>
        <v>viên</v>
      </c>
      <c r="G1852" s="74">
        <f>G1849</f>
        <v>0</v>
      </c>
      <c r="H1852" s="121">
        <f>VLOOKUP($B1852,dongia1,DG!$F$5,)</f>
        <v>0</v>
      </c>
      <c r="I1852" s="179"/>
      <c r="J1852" s="121">
        <f>VLOOKUP($B1852,dongia1,DG!$G$5,)</f>
        <v>916.64</v>
      </c>
      <c r="K1852" s="121">
        <f>VLOOKUP($B1852,dongia1,DG!$H$5,)</f>
        <v>0</v>
      </c>
      <c r="L1852" s="39">
        <f t="shared" si="454"/>
        <v>0</v>
      </c>
      <c r="M1852" s="62">
        <f t="shared" si="454"/>
        <v>0</v>
      </c>
      <c r="N1852" s="39">
        <f t="shared" si="454"/>
        <v>0</v>
      </c>
      <c r="O1852" s="39">
        <f t="shared" si="454"/>
        <v>0</v>
      </c>
      <c r="P1852" s="161"/>
    </row>
    <row r="1853" spans="1:19" s="34" customFormat="1" hidden="1">
      <c r="A1853" s="29" t="str">
        <f t="shared" si="453"/>
        <v/>
      </c>
      <c r="B1853" s="159" t="s">
        <v>1498</v>
      </c>
      <c r="C1853" s="119"/>
      <c r="D1853" s="120" t="str">
        <f>VLOOKUP($B1853,dongia1,DG!$B$5,)</f>
        <v>AB.66112</v>
      </c>
      <c r="E1853" s="151" t="str">
        <f>VLOOKUP($B1853,dongia1,DG!$C$5,)</f>
        <v>Rải cát đệm (độ chặt K=0,9)</v>
      </c>
      <c r="F1853" s="120" t="str">
        <f>VLOOKUP($B1853,dongia1,DG!$D$5,)</f>
        <v>m3</v>
      </c>
      <c r="G1853" s="74">
        <f>G1845+G1846+G1847</f>
        <v>0</v>
      </c>
      <c r="H1853" s="121"/>
      <c r="I1853" s="179"/>
      <c r="J1853" s="121">
        <f>VLOOKUP($B1853,dongia1,DG!$G$5,)</f>
        <v>315277.5</v>
      </c>
      <c r="K1853" s="121">
        <f>VLOOKUP($B1853,dongia1,DG!$H$5,)</f>
        <v>0</v>
      </c>
      <c r="L1853" s="39">
        <f t="shared" si="454"/>
        <v>0</v>
      </c>
      <c r="M1853" s="62">
        <f t="shared" si="454"/>
        <v>0</v>
      </c>
      <c r="N1853" s="39">
        <f t="shared" si="454"/>
        <v>0</v>
      </c>
      <c r="O1853" s="39">
        <f t="shared" si="454"/>
        <v>0</v>
      </c>
      <c r="P1853" s="161"/>
    </row>
    <row r="1854" spans="1:19" s="34" customFormat="1" hidden="1">
      <c r="A1854" s="29" t="str">
        <f t="shared" si="453"/>
        <v/>
      </c>
      <c r="B1854" s="159" t="s">
        <v>291</v>
      </c>
      <c r="C1854" s="119"/>
      <c r="D1854" s="120" t="str">
        <f>VLOOKUP($B1854,dongia1,DG!$B$5,)</f>
        <v>AB.11613</v>
      </c>
      <c r="E1854" s="151" t="str">
        <f>VLOOKUP($B1854,dongia1,DG!$C$5,)</f>
        <v>Đào mương cáp ngầm đất cấp 3 có mở ta luy</v>
      </c>
      <c r="F1854" s="120" t="str">
        <f>VLOOKUP($B1854,dongia1,DG!$D$5,)</f>
        <v>m3</v>
      </c>
      <c r="G1854" s="74">
        <f>0.34*G1843</f>
        <v>0</v>
      </c>
      <c r="H1854" s="121"/>
      <c r="I1854" s="179"/>
      <c r="J1854" s="121">
        <f>VLOOKUP($B1854,dongia1,DG!$G$5,)</f>
        <v>640731.36</v>
      </c>
      <c r="K1854" s="121">
        <f>VLOOKUP($B1854,dongia1,DG!$H$5,)</f>
        <v>0</v>
      </c>
      <c r="L1854" s="39">
        <f t="shared" si="454"/>
        <v>0</v>
      </c>
      <c r="M1854" s="62">
        <f t="shared" si="454"/>
        <v>0</v>
      </c>
      <c r="N1854" s="39">
        <f t="shared" si="454"/>
        <v>0</v>
      </c>
      <c r="O1854" s="39">
        <f t="shared" si="454"/>
        <v>0</v>
      </c>
      <c r="P1854" s="161"/>
    </row>
    <row r="1855" spans="1:19" s="34" customFormat="1" hidden="1">
      <c r="A1855" s="29" t="str">
        <f t="shared" si="453"/>
        <v/>
      </c>
      <c r="B1855" s="159" t="s">
        <v>2066</v>
      </c>
      <c r="C1855" s="119"/>
      <c r="D1855" s="120" t="str">
        <f>VLOOKUP($B1855,dongia1,DG!$B$5,)</f>
        <v>AF.11220</v>
      </c>
      <c r="E1855" s="151" t="str">
        <f>VLOOKUP($B1855,dongia1,DG!$C$5,)&amp;": 0,022m3/m"</f>
        <v>Đổ bê tông mác M200 đá 1x 2rộng &gt;250cm: 0,022m3/m</v>
      </c>
      <c r="F1855" s="120" t="str">
        <f>VLOOKUP($B1855,dongia1,DG!$D$5,)</f>
        <v>m3</v>
      </c>
      <c r="G1855" s="74">
        <f>G1848</f>
        <v>0</v>
      </c>
      <c r="H1855" s="121"/>
      <c r="I1855" s="160"/>
      <c r="J1855" s="121">
        <f>VLOOKUP($B1855,dongia1,DG!$G$5,)</f>
        <v>466397.5</v>
      </c>
      <c r="K1855" s="121">
        <f>VLOOKUP($B1855,dongia1,DG!$H$5,)</f>
        <v>0</v>
      </c>
      <c r="L1855" s="39">
        <f t="shared" si="454"/>
        <v>0</v>
      </c>
      <c r="M1855" s="39">
        <f t="shared" si="454"/>
        <v>0</v>
      </c>
      <c r="N1855" s="39">
        <f t="shared" si="454"/>
        <v>0</v>
      </c>
      <c r="O1855" s="39">
        <f t="shared" si="454"/>
        <v>0</v>
      </c>
      <c r="P1855" s="161"/>
    </row>
    <row r="1856" spans="1:19" s="61" customFormat="1" hidden="1">
      <c r="A1856" s="137" t="str">
        <f t="shared" si="453"/>
        <v/>
      </c>
      <c r="B1856" s="181"/>
      <c r="C1856" s="166">
        <f>IF(G1856&gt;0,C1843+1,C1843)</f>
        <v>0</v>
      </c>
      <c r="D1856" s="167"/>
      <c r="E1856" s="168" t="s">
        <v>3837</v>
      </c>
      <c r="F1856" s="169" t="s">
        <v>2307</v>
      </c>
      <c r="G1856" s="63"/>
      <c r="H1856" s="170"/>
      <c r="I1856" s="170"/>
      <c r="J1856" s="172"/>
      <c r="K1856" s="172"/>
      <c r="L1856" s="64">
        <f t="shared" si="454"/>
        <v>0</v>
      </c>
      <c r="M1856" s="64">
        <f t="shared" si="454"/>
        <v>0</v>
      </c>
      <c r="N1856" s="64">
        <f t="shared" si="454"/>
        <v>0</v>
      </c>
      <c r="O1856" s="64">
        <f t="shared" si="454"/>
        <v>0</v>
      </c>
      <c r="P1856" s="173"/>
    </row>
    <row r="1857" spans="1:19" s="34" customFormat="1" ht="14.4" hidden="1">
      <c r="A1857" s="29" t="str">
        <f>A1856</f>
        <v/>
      </c>
      <c r="B1857" s="109"/>
      <c r="C1857" s="215"/>
      <c r="D1857" s="120"/>
      <c r="E1857" s="196" t="s">
        <v>3378</v>
      </c>
      <c r="F1857" s="146"/>
      <c r="G1857" s="65"/>
      <c r="H1857" s="147"/>
      <c r="I1857" s="147"/>
      <c r="J1857" s="149"/>
      <c r="K1857" s="147"/>
      <c r="L1857" s="58"/>
      <c r="M1857" s="58"/>
      <c r="N1857" s="58"/>
      <c r="O1857" s="58"/>
      <c r="P1857" s="150"/>
    </row>
    <row r="1858" spans="1:19" s="34" customFormat="1" hidden="1">
      <c r="A1858" s="29" t="str">
        <f t="shared" ref="A1858:A1869" si="455">IF(G1858=0,"",1)</f>
        <v/>
      </c>
      <c r="B1858" s="125" t="s">
        <v>1092</v>
      </c>
      <c r="C1858" s="119"/>
      <c r="D1858" s="120"/>
      <c r="E1858" s="151" t="str">
        <f>VLOOKUP($B1858,dongia1,DG!$C$5,)</f>
        <v>Cát san lắp</v>
      </c>
      <c r="F1858" s="120" t="str">
        <f>VLOOKUP($B1858,dongia1,DG!$D$5,)</f>
        <v>m3</v>
      </c>
      <c r="G1858" s="74">
        <f>0.275*G1856</f>
        <v>0</v>
      </c>
      <c r="H1858" s="121">
        <f>VLOOKUP($B1858,dongia1,DG!$F$5,)</f>
        <v>100000</v>
      </c>
      <c r="I1858" s="160"/>
      <c r="J1858" s="121">
        <f>VLOOKUP($B1858,dongia1,DG!$G$5,)</f>
        <v>0</v>
      </c>
      <c r="K1858" s="121">
        <f>VLOOKUP($B1858,dongia1,DG!$H$5,)</f>
        <v>0</v>
      </c>
      <c r="L1858" s="39">
        <f t="shared" ref="L1858:O1869" si="456">H1858*$G1858</f>
        <v>0</v>
      </c>
      <c r="M1858" s="39">
        <f t="shared" si="456"/>
        <v>0</v>
      </c>
      <c r="N1858" s="39">
        <f t="shared" si="456"/>
        <v>0</v>
      </c>
      <c r="O1858" s="39">
        <f t="shared" si="456"/>
        <v>0</v>
      </c>
      <c r="P1858" s="161"/>
    </row>
    <row r="1859" spans="1:19" s="34" customFormat="1" hidden="1">
      <c r="A1859" s="29" t="str">
        <f t="shared" si="455"/>
        <v/>
      </c>
      <c r="B1859" s="159" t="s">
        <v>817</v>
      </c>
      <c r="C1859" s="119"/>
      <c r="D1859" s="120"/>
      <c r="E1859" s="151" t="str">
        <f>VLOOKUP($B1859,dongia1,DG!$C$5,)</f>
        <v>Đá 2x4</v>
      </c>
      <c r="F1859" s="120" t="str">
        <f>VLOOKUP($B1859,dongia1,DG!$D$5,)</f>
        <v>m3</v>
      </c>
      <c r="G1859" s="74"/>
      <c r="H1859" s="121">
        <f>VLOOKUP($B1859,dongia1,DG!$F$5,)</f>
        <v>295000</v>
      </c>
      <c r="I1859" s="160"/>
      <c r="J1859" s="121">
        <f>VLOOKUP($B1859,dongia1,DG!$G$5,)</f>
        <v>0</v>
      </c>
      <c r="K1859" s="121">
        <f>VLOOKUP($B1859,dongia1,DG!$H$5,)</f>
        <v>0</v>
      </c>
      <c r="L1859" s="39">
        <f t="shared" si="456"/>
        <v>0</v>
      </c>
      <c r="M1859" s="39">
        <f t="shared" si="456"/>
        <v>0</v>
      </c>
      <c r="N1859" s="39">
        <f t="shared" si="456"/>
        <v>0</v>
      </c>
      <c r="O1859" s="39">
        <f t="shared" si="456"/>
        <v>0</v>
      </c>
      <c r="P1859" s="161"/>
    </row>
    <row r="1860" spans="1:19" s="34" customFormat="1" hidden="1">
      <c r="A1860" s="29" t="str">
        <f>IF(G1860=0,"",1)</f>
        <v/>
      </c>
      <c r="B1860" s="159" t="s">
        <v>1731</v>
      </c>
      <c r="C1860" s="119"/>
      <c r="D1860" s="120"/>
      <c r="E1860" s="151" t="str">
        <f>VLOOKUP($B1860,dongia1,DG!$C$5,)</f>
        <v>Đá 4x6</v>
      </c>
      <c r="F1860" s="120" t="str">
        <f>VLOOKUP($B1860,dongia1,DG!$D$5,)</f>
        <v>m3</v>
      </c>
      <c r="G1860" s="74"/>
      <c r="H1860" s="121">
        <f>VLOOKUP($B1860,dongia1,DG!$F$5,)</f>
        <v>265000</v>
      </c>
      <c r="I1860" s="160"/>
      <c r="J1860" s="121">
        <f>VLOOKUP($B1860,dongia1,DG!$G$5,)</f>
        <v>0</v>
      </c>
      <c r="K1860" s="121">
        <f>VLOOKUP($B1860,dongia1,DG!$H$5,)</f>
        <v>0</v>
      </c>
      <c r="L1860" s="39">
        <f>H1860*$G1860</f>
        <v>0</v>
      </c>
      <c r="M1860" s="39">
        <f>I1860*$G1860</f>
        <v>0</v>
      </c>
      <c r="N1860" s="39">
        <f>J1860*$G1860</f>
        <v>0</v>
      </c>
      <c r="O1860" s="39">
        <f>K1860*$G1860</f>
        <v>0</v>
      </c>
      <c r="P1860" s="161"/>
    </row>
    <row r="1861" spans="1:19" s="34" customFormat="1" hidden="1">
      <c r="A1861" s="29" t="str">
        <f t="shared" si="455"/>
        <v/>
      </c>
      <c r="B1861" s="159" t="s">
        <v>1875</v>
      </c>
      <c r="C1861" s="119"/>
      <c r="D1861" s="120"/>
      <c r="E1861" s="151" t="str">
        <f>VLOOKUP($B1861,dongia1,DG!$C$5,)</f>
        <v>Bêtông nhựa nóng hạt thô</v>
      </c>
      <c r="F1861" s="120" t="str">
        <f>VLOOKUP($B1861,dongia1,DG!$D$5,)</f>
        <v>m3</v>
      </c>
      <c r="G1861" s="74"/>
      <c r="H1861" s="121">
        <f>VLOOKUP($B1861,dongia1,DG!$F$5,)</f>
        <v>732002</v>
      </c>
      <c r="I1861" s="160"/>
      <c r="J1861" s="121">
        <f>VLOOKUP($B1861,dongia1,DG!$G$5,)</f>
        <v>0</v>
      </c>
      <c r="K1861" s="121">
        <f>VLOOKUP($B1861,dongia1,DG!$H$5,)</f>
        <v>0</v>
      </c>
      <c r="L1861" s="39">
        <f t="shared" si="456"/>
        <v>0</v>
      </c>
      <c r="M1861" s="39">
        <f t="shared" si="456"/>
        <v>0</v>
      </c>
      <c r="N1861" s="39">
        <f t="shared" si="456"/>
        <v>0</v>
      </c>
      <c r="O1861" s="39">
        <f t="shared" si="456"/>
        <v>0</v>
      </c>
      <c r="P1861" s="161"/>
    </row>
    <row r="1862" spans="1:19" s="34" customFormat="1" hidden="1">
      <c r="A1862" s="29" t="str">
        <f t="shared" si="455"/>
        <v/>
      </c>
      <c r="B1862" s="159" t="s">
        <v>1495</v>
      </c>
      <c r="C1862" s="119"/>
      <c r="D1862" s="120"/>
      <c r="E1862" s="151" t="str">
        <f>VLOOKUP($B1862,dongia1,DG!$C$5,)</f>
        <v>Gạch tàu</v>
      </c>
      <c r="F1862" s="120" t="str">
        <f>VLOOKUP($B1862,dongia1,DG!$D$5,)</f>
        <v>viên</v>
      </c>
      <c r="G1862" s="74">
        <f>3.3*G1856</f>
        <v>0</v>
      </c>
      <c r="H1862" s="121">
        <f>VLOOKUP($B1862,dongia1,DG!$F$5,)</f>
        <v>7000</v>
      </c>
      <c r="I1862" s="160"/>
      <c r="J1862" s="121">
        <f>VLOOKUP($B1862,dongia1,DG!$G$5,)</f>
        <v>0</v>
      </c>
      <c r="K1862" s="121">
        <f>VLOOKUP($B1862,dongia1,DG!$H$5,)</f>
        <v>0</v>
      </c>
      <c r="L1862" s="39">
        <f t="shared" si="456"/>
        <v>0</v>
      </c>
      <c r="M1862" s="39">
        <f t="shared" si="456"/>
        <v>0</v>
      </c>
      <c r="N1862" s="39">
        <f t="shared" si="456"/>
        <v>0</v>
      </c>
      <c r="O1862" s="39">
        <f t="shared" si="456"/>
        <v>0</v>
      </c>
      <c r="P1862" s="161"/>
    </row>
    <row r="1863" spans="1:19" s="34" customFormat="1" hidden="1">
      <c r="A1863" s="29" t="str">
        <f t="shared" si="455"/>
        <v/>
      </c>
      <c r="B1863" s="159" t="s">
        <v>1496</v>
      </c>
      <c r="C1863" s="119"/>
      <c r="D1863" s="120"/>
      <c r="E1863" s="151" t="str">
        <f>VLOOKUP($B1863,dongia1,DG!$C$5,)</f>
        <v>Tấm nilông màu cảnh báo</v>
      </c>
      <c r="F1863" s="120" t="str">
        <f>VLOOKUP($B1863,dongia1,DG!$D$5,)</f>
        <v>m2</v>
      </c>
      <c r="G1863" s="74">
        <f>0.3*G1856</f>
        <v>0</v>
      </c>
      <c r="H1863" s="121">
        <f>VLOOKUP($B1863,dongia1,DG!$F$5,)</f>
        <v>10000</v>
      </c>
      <c r="I1863" s="160"/>
      <c r="J1863" s="121">
        <f>VLOOKUP($B1863,dongia1,DG!$G$5,)</f>
        <v>1187.155</v>
      </c>
      <c r="K1863" s="121">
        <f>VLOOKUP($B1863,dongia1,DG!$H$5,)</f>
        <v>0</v>
      </c>
      <c r="L1863" s="39">
        <f t="shared" si="456"/>
        <v>0</v>
      </c>
      <c r="M1863" s="39">
        <f t="shared" si="456"/>
        <v>0</v>
      </c>
      <c r="N1863" s="39">
        <f t="shared" si="456"/>
        <v>0</v>
      </c>
      <c r="O1863" s="39">
        <f t="shared" si="456"/>
        <v>0</v>
      </c>
      <c r="P1863" s="161"/>
    </row>
    <row r="1864" spans="1:19" s="34" customFormat="1" hidden="1">
      <c r="A1864" s="29" t="str">
        <f t="shared" si="455"/>
        <v/>
      </c>
      <c r="B1864" s="159" t="s">
        <v>961</v>
      </c>
      <c r="C1864" s="119"/>
      <c r="D1864" s="120">
        <f>VLOOKUP($B1864,dongia1,DG!$B$5,)</f>
        <v>0</v>
      </c>
      <c r="E1864" s="151" t="str">
        <f>VLOOKUP($B1864,dongia1,DG!$C$5,)</f>
        <v xml:space="preserve">Ống PVC D114x4,9mm </v>
      </c>
      <c r="F1864" s="120" t="str">
        <f>VLOOKUP($B1864,dongia1,DG!$D$5,)</f>
        <v>m</v>
      </c>
      <c r="G1864" s="74">
        <f>1*G1856</f>
        <v>0</v>
      </c>
      <c r="H1864" s="121">
        <f>VLOOKUP($B1864,dongia1,DG!$F$5,)</f>
        <v>103700</v>
      </c>
      <c r="I1864" s="160"/>
      <c r="J1864" s="121">
        <f>VLOOKUP($B1864,dongia1,DG!$G$5,)</f>
        <v>0</v>
      </c>
      <c r="K1864" s="121">
        <f>VLOOKUP($B1864,dongia1,DG!$H$5,)</f>
        <v>0</v>
      </c>
      <c r="L1864" s="39">
        <f t="shared" si="456"/>
        <v>0</v>
      </c>
      <c r="M1864" s="39">
        <f t="shared" si="456"/>
        <v>0</v>
      </c>
      <c r="N1864" s="39">
        <f t="shared" si="456"/>
        <v>0</v>
      </c>
      <c r="O1864" s="39">
        <f t="shared" si="456"/>
        <v>0</v>
      </c>
      <c r="P1864" s="161"/>
    </row>
    <row r="1865" spans="1:19" s="34" customFormat="1" hidden="1">
      <c r="A1865" s="29" t="str">
        <f t="shared" si="455"/>
        <v/>
      </c>
      <c r="B1865" s="159" t="s">
        <v>101</v>
      </c>
      <c r="C1865" s="119"/>
      <c r="D1865" s="120" t="str">
        <f>VLOOKUP($B1865,dongia1,DG!$B$5,)</f>
        <v>D4.1104</v>
      </c>
      <c r="E1865" s="151" t="str">
        <f>VLOOKUP($B1865,dongia1,DG!$C$5,)</f>
        <v>Lắp gạch làm dấu</v>
      </c>
      <c r="F1865" s="120" t="str">
        <f>VLOOKUP($B1865,dongia1,DG!$D$5,)</f>
        <v>viên</v>
      </c>
      <c r="G1865" s="74">
        <f>G1862</f>
        <v>0</v>
      </c>
      <c r="H1865" s="121">
        <f>VLOOKUP($B1865,dongia1,DG!$F$5,)</f>
        <v>0</v>
      </c>
      <c r="I1865" s="179"/>
      <c r="J1865" s="121">
        <f>VLOOKUP($B1865,dongia1,DG!$G$5,)</f>
        <v>916.64</v>
      </c>
      <c r="K1865" s="121">
        <f>VLOOKUP($B1865,dongia1,DG!$H$5,)</f>
        <v>0</v>
      </c>
      <c r="L1865" s="39">
        <f t="shared" si="456"/>
        <v>0</v>
      </c>
      <c r="M1865" s="62">
        <f t="shared" si="456"/>
        <v>0</v>
      </c>
      <c r="N1865" s="39">
        <f t="shared" si="456"/>
        <v>0</v>
      </c>
      <c r="O1865" s="39">
        <f t="shared" si="456"/>
        <v>0</v>
      </c>
      <c r="P1865" s="161"/>
    </row>
    <row r="1866" spans="1:19" s="34" customFormat="1" hidden="1">
      <c r="A1866" s="29" t="str">
        <f>IF(G1866=0,"",1)</f>
        <v/>
      </c>
      <c r="B1866" s="159" t="s">
        <v>569</v>
      </c>
      <c r="C1866" s="119"/>
      <c r="D1866" s="120" t="str">
        <f>VLOOKUP($B1866,dongia1,DG!$B$5,)</f>
        <v>AA.21431</v>
      </c>
      <c r="E1866" s="151" t="str">
        <f>VLOOKUP($B1866,dongia1,DG!$C$5,)</f>
        <v>Pha mặt đường đá dăm, nhựa, bê tông</v>
      </c>
      <c r="F1866" s="120" t="str">
        <f>VLOOKUP($B1866,dongia1,DG!$D$5,)</f>
        <v>m3</v>
      </c>
      <c r="G1866" s="74"/>
      <c r="H1866" s="121"/>
      <c r="I1866" s="160"/>
      <c r="J1866" s="121">
        <f>VLOOKUP($B1866,dongia1,DG!$G$5,)</f>
        <v>0</v>
      </c>
      <c r="K1866" s="121">
        <f>VLOOKUP($B1866,dongia1,DG!$H$5,)</f>
        <v>0</v>
      </c>
      <c r="L1866" s="39">
        <f>H1866*$G1866</f>
        <v>0</v>
      </c>
      <c r="M1866" s="39">
        <f>I1866*$G1866</f>
        <v>0</v>
      </c>
      <c r="N1866" s="39">
        <f>J1866*$G1866</f>
        <v>0</v>
      </c>
      <c r="O1866" s="39">
        <f>K1866*$G1866</f>
        <v>0</v>
      </c>
      <c r="P1866" s="161"/>
    </row>
    <row r="1867" spans="1:19" s="34" customFormat="1" hidden="1">
      <c r="A1867" s="29" t="str">
        <f t="shared" si="455"/>
        <v/>
      </c>
      <c r="B1867" s="159" t="s">
        <v>1498</v>
      </c>
      <c r="C1867" s="119"/>
      <c r="D1867" s="120" t="str">
        <f>VLOOKUP($B1867,dongia1,DG!$B$5,)</f>
        <v>AB.66112</v>
      </c>
      <c r="E1867" s="151" t="str">
        <f>VLOOKUP($B1867,dongia1,DG!$C$5,)&amp;" + ñaép ñaát"</f>
        <v>Rải cát đệm (độ chặt K=0,9) + ñaép ñaát</v>
      </c>
      <c r="F1867" s="120" t="str">
        <f>VLOOKUP($B1867,dongia1,DG!$D$5,)</f>
        <v>m3</v>
      </c>
      <c r="G1867" s="74">
        <f>G1858+G1859+G1860</f>
        <v>0</v>
      </c>
      <c r="H1867" s="121"/>
      <c r="I1867" s="160"/>
      <c r="J1867" s="121">
        <f>VLOOKUP($B1867,dongia1,DG!$G$5,)</f>
        <v>315277.5</v>
      </c>
      <c r="K1867" s="121">
        <f>VLOOKUP($B1867,dongia1,DG!$H$5,)</f>
        <v>0</v>
      </c>
      <c r="L1867" s="39">
        <f t="shared" si="456"/>
        <v>0</v>
      </c>
      <c r="M1867" s="39">
        <f t="shared" si="456"/>
        <v>0</v>
      </c>
      <c r="N1867" s="39">
        <f t="shared" si="456"/>
        <v>0</v>
      </c>
      <c r="O1867" s="39">
        <f t="shared" si="456"/>
        <v>0</v>
      </c>
      <c r="P1867" s="161"/>
    </row>
    <row r="1868" spans="1:19" s="34" customFormat="1" hidden="1">
      <c r="A1868" s="29" t="str">
        <f t="shared" si="455"/>
        <v/>
      </c>
      <c r="B1868" s="159" t="s">
        <v>291</v>
      </c>
      <c r="C1868" s="119"/>
      <c r="D1868" s="120" t="str">
        <f>VLOOKUP($B1868,dongia1,DG!$B$5,)</f>
        <v>AB.11613</v>
      </c>
      <c r="E1868" s="151" t="str">
        <f>VLOOKUP($B1868,dongia1,DG!$C$5,)</f>
        <v>Đào mương cáp ngầm đất cấp 3 có mở ta luy</v>
      </c>
      <c r="F1868" s="120" t="str">
        <f>VLOOKUP($B1868,dongia1,DG!$D$5,)</f>
        <v>m3</v>
      </c>
      <c r="G1868" s="74">
        <f>0.496*G1856</f>
        <v>0</v>
      </c>
      <c r="H1868" s="121"/>
      <c r="I1868" s="160"/>
      <c r="J1868" s="121">
        <f>VLOOKUP($B1868,dongia1,DG!$G$5,)</f>
        <v>640731.36</v>
      </c>
      <c r="K1868" s="121">
        <f>VLOOKUP($B1868,dongia1,DG!$H$5,)</f>
        <v>0</v>
      </c>
      <c r="L1868" s="39">
        <f t="shared" si="456"/>
        <v>0</v>
      </c>
      <c r="M1868" s="39">
        <f t="shared" si="456"/>
        <v>0</v>
      </c>
      <c r="N1868" s="39">
        <f t="shared" si="456"/>
        <v>0</v>
      </c>
      <c r="O1868" s="39">
        <f t="shared" si="456"/>
        <v>0</v>
      </c>
      <c r="P1868" s="161"/>
    </row>
    <row r="1869" spans="1:19" s="34" customFormat="1" hidden="1">
      <c r="A1869" s="29" t="str">
        <f t="shared" si="455"/>
        <v/>
      </c>
      <c r="B1869" s="159" t="s">
        <v>568</v>
      </c>
      <c r="C1869" s="119"/>
      <c r="D1869" s="120" t="str">
        <f>VLOOKUP($B1869,dongia1,DG!$B$5,)</f>
        <v>ED.2005</v>
      </c>
      <c r="E1869" s="151" t="str">
        <f>VLOOKUP($B1869,dongia1,DG!$C$5,)</f>
        <v>Tái lập bêtông nhựa nóng hạt thô 7mm</v>
      </c>
      <c r="F1869" s="120" t="str">
        <f>VLOOKUP($B1869,dongia1,DG!$D$5,)</f>
        <v>m2</v>
      </c>
      <c r="G1869" s="74"/>
      <c r="H1869" s="121"/>
      <c r="I1869" s="160"/>
      <c r="J1869" s="121">
        <f>VLOOKUP($B1869,dongia1,DG!$G$5,)</f>
        <v>338</v>
      </c>
      <c r="K1869" s="121">
        <f>VLOOKUP($B1869,dongia1,DG!$H$5,)</f>
        <v>1269</v>
      </c>
      <c r="L1869" s="39">
        <f t="shared" si="456"/>
        <v>0</v>
      </c>
      <c r="M1869" s="39">
        <f t="shared" si="456"/>
        <v>0</v>
      </c>
      <c r="N1869" s="39">
        <f t="shared" si="456"/>
        <v>0</v>
      </c>
      <c r="O1869" s="39">
        <f t="shared" si="456"/>
        <v>0</v>
      </c>
      <c r="P1869" s="161"/>
    </row>
    <row r="1870" spans="1:19" s="1081" customFormat="1" hidden="1" outlineLevel="1">
      <c r="A1870" s="1072" t="str">
        <f>IF(G1870&lt;&gt;0,1,"")</f>
        <v/>
      </c>
      <c r="B1870" s="1295"/>
      <c r="C1870" s="1291">
        <f>IF(G1870&gt;0,C1856+1,C1856)</f>
        <v>0</v>
      </c>
      <c r="D1870" s="1292"/>
      <c r="E1870" s="1293" t="s">
        <v>3434</v>
      </c>
      <c r="F1870" s="1291" t="s">
        <v>2113</v>
      </c>
      <c r="G1870" s="1509">
        <f>G1664*0</f>
        <v>0</v>
      </c>
      <c r="H1870" s="1298"/>
      <c r="I1870" s="1298"/>
      <c r="J1870" s="1298"/>
      <c r="K1870" s="1298"/>
      <c r="L1870" s="1298"/>
      <c r="M1870" s="1298"/>
      <c r="N1870" s="1298"/>
      <c r="O1870" s="1298"/>
      <c r="P1870" s="1299"/>
      <c r="Q1870" s="1300"/>
      <c r="R1870" s="1300"/>
      <c r="S1870" s="1300"/>
    </row>
    <row r="1871" spans="1:19" s="1081" customFormat="1" ht="14.4" hidden="1" outlineLevel="1">
      <c r="A1871" s="1072" t="str">
        <f>A1870</f>
        <v/>
      </c>
      <c r="B1871" s="1295"/>
      <c r="C1871" s="1291"/>
      <c r="D1871" s="1292"/>
      <c r="E1871" s="1308" t="s">
        <v>3399</v>
      </c>
      <c r="F1871" s="1291"/>
      <c r="G1871" s="1509"/>
      <c r="H1871" s="1298"/>
      <c r="I1871" s="1298"/>
      <c r="J1871" s="1298"/>
      <c r="K1871" s="1298"/>
      <c r="L1871" s="1298"/>
      <c r="M1871" s="1298"/>
      <c r="N1871" s="1298"/>
      <c r="O1871" s="1298"/>
      <c r="P1871" s="1299"/>
      <c r="Q1871" s="1300"/>
      <c r="R1871" s="1300"/>
      <c r="S1871" s="1300"/>
    </row>
    <row r="1872" spans="1:19" s="1081" customFormat="1" hidden="1" outlineLevel="1">
      <c r="A1872" s="1072" t="str">
        <f>IF(G1872&lt;&gt;0,1,"")</f>
        <v/>
      </c>
      <c r="B1872" s="1295" t="s">
        <v>2039</v>
      </c>
      <c r="C1872" s="1302"/>
      <c r="D1872" s="1198">
        <f>VLOOKUP($B1872,dongia1,DG!$B$5,)</f>
        <v>0</v>
      </c>
      <c r="E1872" s="1243" t="str">
        <f>VLOOKUP($B1872,dongia1,DG!$C$5,)</f>
        <v xml:space="preserve">Ống PVC D90x3,8mm </v>
      </c>
      <c r="F1872" s="1198" t="str">
        <f>VLOOKUP($B1872,dongia1,DG!$D$5,)</f>
        <v>m</v>
      </c>
      <c r="G1872" s="1508">
        <f>G1870*2</f>
        <v>0</v>
      </c>
      <c r="H1872" s="1298">
        <f>VLOOKUP($B1872,dongia1,DG!$F$5,)</f>
        <v>63200</v>
      </c>
      <c r="I1872" s="1298"/>
      <c r="J1872" s="1298">
        <f>VLOOKUP($B1872,dongia1,DG!$G$5,)</f>
        <v>0</v>
      </c>
      <c r="K1872" s="1298">
        <f>VLOOKUP($B1872,dongia1,DG!$H$5,)</f>
        <v>0</v>
      </c>
      <c r="L1872" s="1298">
        <f>H1872*G1872</f>
        <v>0</v>
      </c>
      <c r="M1872" s="1298">
        <f>I1872*G1872</f>
        <v>0</v>
      </c>
      <c r="N1872" s="1298">
        <f>J1872*G1872</f>
        <v>0</v>
      </c>
      <c r="O1872" s="1298">
        <f>K1872*G1872</f>
        <v>0</v>
      </c>
      <c r="P1872" s="1299"/>
      <c r="Q1872" s="1300"/>
      <c r="R1872" s="1300"/>
      <c r="S1872" s="1300"/>
    </row>
    <row r="1873" spans="1:16381" s="1081" customFormat="1" hidden="1" outlineLevel="1">
      <c r="A1873" s="1072" t="str">
        <f>IF(G1873&lt;&gt;0,1,"")</f>
        <v/>
      </c>
      <c r="B1873" s="1295" t="s">
        <v>561</v>
      </c>
      <c r="C1873" s="1302"/>
      <c r="D1873" s="1198">
        <f>VLOOKUP($B1873,dongia1,DG!$B$5,)</f>
        <v>0</v>
      </c>
      <c r="E1873" s="1243" t="str">
        <f>VLOOKUP($B1873,dongia1,DG!$C$5,)</f>
        <v>Co  90 độ PVC 90 (loại dày)</v>
      </c>
      <c r="F1873" s="1198" t="str">
        <f>VLOOKUP($B1873,dongia1,DG!$D$5,)</f>
        <v>cái</v>
      </c>
      <c r="G1873" s="1508">
        <f>G1870</f>
        <v>0</v>
      </c>
      <c r="H1873" s="1298">
        <f>VLOOKUP($B1873,dongia1,DG!$F$5,)</f>
        <v>45400</v>
      </c>
      <c r="I1873" s="1298"/>
      <c r="J1873" s="1298">
        <f>VLOOKUP($B1873,dongia1,DG!$G$5,)</f>
        <v>0</v>
      </c>
      <c r="K1873" s="1298">
        <f>VLOOKUP($B1873,dongia1,DG!$H$5,)</f>
        <v>0</v>
      </c>
      <c r="L1873" s="1298">
        <f>H1873*G1873</f>
        <v>0</v>
      </c>
      <c r="M1873" s="1298">
        <f>I1873*G1873</f>
        <v>0</v>
      </c>
      <c r="N1873" s="1298">
        <f>J1873*G1873</f>
        <v>0</v>
      </c>
      <c r="O1873" s="1298">
        <f>K1873*G1873</f>
        <v>0</v>
      </c>
      <c r="P1873" s="1299"/>
      <c r="Q1873" s="1300"/>
      <c r="R1873" s="1300"/>
      <c r="S1873" s="1300"/>
    </row>
    <row r="1874" spans="1:16381" s="1081" customFormat="1" hidden="1" outlineLevel="1">
      <c r="A1874" s="1072" t="str">
        <f>IF(G1874&lt;&gt;0,1,"")</f>
        <v/>
      </c>
      <c r="B1874" s="1295" t="s">
        <v>705</v>
      </c>
      <c r="C1874" s="1302"/>
      <c r="D1874" s="1198">
        <f>VLOOKUP($B1874,dongia1,DG!$B$5,)</f>
        <v>0</v>
      </c>
      <c r="E1874" s="1243" t="str">
        <f>VLOOKUP($B1874,dongia1,DG!$C$5,)</f>
        <v>Khâu ven răng trong D90</v>
      </c>
      <c r="F1874" s="1198" t="str">
        <f>VLOOKUP($B1874,dongia1,DG!$D$5,)</f>
        <v>cái</v>
      </c>
      <c r="G1874" s="1508">
        <f>G1870*2</f>
        <v>0</v>
      </c>
      <c r="H1874" s="1298">
        <f>VLOOKUP($B1874,dongia1,DG!$F$5,)</f>
        <v>25800</v>
      </c>
      <c r="I1874" s="1298"/>
      <c r="J1874" s="1298">
        <f>VLOOKUP($B1874,dongia1,DG!$G$5,)</f>
        <v>0</v>
      </c>
      <c r="K1874" s="1298">
        <f>VLOOKUP($B1874,dongia1,DG!$H$5,)</f>
        <v>0</v>
      </c>
      <c r="L1874" s="1298">
        <f>H1874*G1874</f>
        <v>0</v>
      </c>
      <c r="M1874" s="1298">
        <f>I1874*G1874</f>
        <v>0</v>
      </c>
      <c r="N1874" s="1298">
        <f>J1874*G1874</f>
        <v>0</v>
      </c>
      <c r="O1874" s="1298">
        <f>K1874*G1874</f>
        <v>0</v>
      </c>
      <c r="P1874" s="1299"/>
      <c r="Q1874" s="1300"/>
      <c r="R1874" s="1300"/>
      <c r="S1874" s="1300"/>
    </row>
    <row r="1875" spans="1:16381" s="1081" customFormat="1" hidden="1" outlineLevel="1">
      <c r="A1875" s="1072" t="str">
        <f>IF(G1875&lt;&gt;0,1,"")</f>
        <v/>
      </c>
      <c r="B1875" s="1295" t="s">
        <v>704</v>
      </c>
      <c r="C1875" s="1302"/>
      <c r="D1875" s="1198">
        <f>VLOOKUP($B1875,dongia1,DG!$B$5,)</f>
        <v>0</v>
      </c>
      <c r="E1875" s="1243" t="str">
        <f>VLOOKUP($B1875,dongia1,DG!$C$5,)</f>
        <v>Khâu ven răng ngoài D90</v>
      </c>
      <c r="F1875" s="1198" t="str">
        <f>VLOOKUP($B1875,dongia1,DG!$D$5,)</f>
        <v>cái</v>
      </c>
      <c r="G1875" s="1508">
        <f>G1874</f>
        <v>0</v>
      </c>
      <c r="H1875" s="1298">
        <f>VLOOKUP($B1875,dongia1,DG!$F$5,)</f>
        <v>21500</v>
      </c>
      <c r="I1875" s="1298"/>
      <c r="J1875" s="1298">
        <f>VLOOKUP($B1875,dongia1,DG!$G$5,)</f>
        <v>0</v>
      </c>
      <c r="K1875" s="1298">
        <f>VLOOKUP($B1875,dongia1,DG!$H$5,)</f>
        <v>0</v>
      </c>
      <c r="L1875" s="1298">
        <f>H1875*G1875</f>
        <v>0</v>
      </c>
      <c r="M1875" s="1298">
        <f>I1875*G1875</f>
        <v>0</v>
      </c>
      <c r="N1875" s="1298">
        <f>J1875*G1875</f>
        <v>0</v>
      </c>
      <c r="O1875" s="1298">
        <f>K1875*G1875</f>
        <v>0</v>
      </c>
      <c r="P1875" s="1299"/>
      <c r="Q1875" s="1300"/>
      <c r="R1875" s="1300"/>
      <c r="S1875" s="1300"/>
    </row>
    <row r="1876" spans="1:16381" s="1081" customFormat="1" hidden="1" outlineLevel="1">
      <c r="A1876" s="1731" t="str">
        <f>IF(G1876&lt;&gt;0,1,"")</f>
        <v/>
      </c>
      <c r="B1876" s="1732"/>
      <c r="C1876" s="166">
        <f>IF(G1876&gt;0,C1870+1,C1870)</f>
        <v>0</v>
      </c>
      <c r="D1876" s="1733"/>
      <c r="E1876" s="168" t="s">
        <v>5615</v>
      </c>
      <c r="F1876" s="169" t="s">
        <v>2113</v>
      </c>
      <c r="G1876" s="1734">
        <f>G1776</f>
        <v>0</v>
      </c>
      <c r="H1876" s="193"/>
      <c r="I1876" s="1736"/>
      <c r="J1876" s="1736"/>
      <c r="K1876" s="1737"/>
      <c r="L1876" s="1737"/>
      <c r="M1876" s="1737"/>
      <c r="N1876" s="1739"/>
      <c r="O1876" s="64"/>
      <c r="P1876" s="173"/>
      <c r="Q1876" s="1740"/>
      <c r="R1876" s="1740"/>
      <c r="S1876" s="1740"/>
      <c r="T1876" s="1740"/>
      <c r="U1876" s="1740"/>
      <c r="V1876" s="1740"/>
      <c r="W1876" s="1740"/>
      <c r="X1876" s="1740"/>
      <c r="Y1876" s="1740"/>
      <c r="Z1876" s="1740"/>
      <c r="AA1876" s="1740"/>
      <c r="AB1876" s="1740"/>
      <c r="AC1876" s="1740"/>
      <c r="AD1876" s="1740"/>
      <c r="AE1876" s="1740"/>
      <c r="AF1876" s="1740"/>
      <c r="AG1876" s="1740"/>
      <c r="AH1876" s="1740"/>
      <c r="AI1876" s="1740"/>
      <c r="AJ1876" s="1740"/>
      <c r="AK1876" s="1740"/>
      <c r="AL1876" s="1740"/>
      <c r="AM1876" s="1740"/>
      <c r="AN1876" s="1740"/>
      <c r="AO1876" s="1740"/>
      <c r="AP1876" s="1740"/>
      <c r="AQ1876" s="1740"/>
      <c r="AR1876" s="1740"/>
      <c r="AS1876" s="1740"/>
      <c r="AT1876" s="1740"/>
      <c r="AU1876" s="1740"/>
      <c r="AV1876" s="1740"/>
      <c r="AW1876" s="1740"/>
      <c r="AX1876" s="1740"/>
      <c r="AY1876" s="1740"/>
      <c r="AZ1876" s="1740"/>
      <c r="BA1876" s="1740"/>
      <c r="BB1876" s="1740"/>
      <c r="BC1876" s="1740"/>
      <c r="BD1876" s="1740"/>
      <c r="BE1876" s="1740"/>
      <c r="BF1876" s="1740"/>
      <c r="BG1876" s="1740"/>
      <c r="BH1876" s="1740"/>
      <c r="BI1876" s="1740"/>
      <c r="BJ1876" s="1740"/>
      <c r="BK1876" s="1740"/>
      <c r="BL1876" s="1740"/>
      <c r="BM1876" s="1740"/>
      <c r="BN1876" s="1740"/>
      <c r="BO1876" s="1740"/>
      <c r="BP1876" s="1740"/>
      <c r="BQ1876" s="1740"/>
      <c r="BR1876" s="1740"/>
      <c r="BS1876" s="1740"/>
      <c r="BT1876" s="1740"/>
      <c r="BU1876" s="1740"/>
      <c r="BV1876" s="1740"/>
      <c r="BW1876" s="1740"/>
      <c r="BX1876" s="1740"/>
      <c r="BY1876" s="1740"/>
      <c r="BZ1876" s="1740"/>
      <c r="CA1876" s="1740"/>
      <c r="CB1876" s="1740"/>
      <c r="CC1876" s="1740"/>
      <c r="CD1876" s="1740"/>
      <c r="CE1876" s="1740"/>
      <c r="CF1876" s="1740"/>
      <c r="CG1876" s="1740"/>
      <c r="CH1876" s="1740"/>
      <c r="CI1876" s="1740"/>
      <c r="CJ1876" s="1740"/>
      <c r="CK1876" s="1740"/>
      <c r="CL1876" s="1740"/>
      <c r="CM1876" s="1740"/>
      <c r="CN1876" s="1740"/>
      <c r="CO1876" s="1740"/>
      <c r="CP1876" s="1740"/>
      <c r="CQ1876" s="1740"/>
      <c r="CR1876" s="1740"/>
      <c r="CS1876" s="1740"/>
      <c r="CT1876" s="1740"/>
      <c r="CU1876" s="1740"/>
      <c r="CV1876" s="1740"/>
      <c r="CW1876" s="1740"/>
      <c r="CX1876" s="1740"/>
      <c r="CY1876" s="1740"/>
      <c r="CZ1876" s="1740"/>
      <c r="DA1876" s="1740"/>
      <c r="DB1876" s="1740"/>
      <c r="DC1876" s="1740"/>
      <c r="DD1876" s="1740"/>
      <c r="DE1876" s="1740"/>
      <c r="DF1876" s="1740"/>
      <c r="DG1876" s="1740"/>
      <c r="DH1876" s="1740"/>
      <c r="DI1876" s="1740"/>
      <c r="DJ1876" s="1740"/>
      <c r="DK1876" s="1740"/>
      <c r="DL1876" s="1740"/>
      <c r="DM1876" s="1740"/>
      <c r="DN1876" s="1740"/>
      <c r="DO1876" s="1740"/>
      <c r="DP1876" s="1740"/>
      <c r="DQ1876" s="1740"/>
      <c r="DR1876" s="1740"/>
      <c r="DS1876" s="1740"/>
      <c r="DT1876" s="1740"/>
      <c r="DU1876" s="1740"/>
      <c r="DV1876" s="1740"/>
      <c r="DW1876" s="1740"/>
      <c r="DX1876" s="1740"/>
      <c r="DY1876" s="1740"/>
      <c r="DZ1876" s="1740"/>
      <c r="EA1876" s="1740"/>
      <c r="EB1876" s="1740"/>
      <c r="EC1876" s="1740"/>
      <c r="ED1876" s="1740"/>
      <c r="EE1876" s="1740"/>
      <c r="EF1876" s="1740"/>
      <c r="EG1876" s="1740"/>
      <c r="EH1876" s="1740"/>
      <c r="EI1876" s="1740"/>
      <c r="EJ1876" s="1740"/>
      <c r="EK1876" s="1740"/>
      <c r="EL1876" s="1740"/>
      <c r="EM1876" s="1740"/>
      <c r="EN1876" s="1740"/>
      <c r="EO1876" s="1740"/>
      <c r="EP1876" s="1740"/>
      <c r="EQ1876" s="1740"/>
      <c r="ER1876" s="1740"/>
      <c r="ES1876" s="1740"/>
      <c r="ET1876" s="1740"/>
      <c r="EU1876" s="1740"/>
      <c r="EV1876" s="1740"/>
      <c r="EW1876" s="1740"/>
      <c r="EX1876" s="1740"/>
      <c r="EY1876" s="1740"/>
      <c r="EZ1876" s="1740"/>
      <c r="FA1876" s="1740"/>
      <c r="FB1876" s="1740"/>
      <c r="FC1876" s="1740"/>
      <c r="FD1876" s="1740"/>
      <c r="FE1876" s="1740"/>
      <c r="FF1876" s="1740"/>
      <c r="FG1876" s="1740"/>
      <c r="FH1876" s="1740"/>
      <c r="FI1876" s="1740"/>
      <c r="FJ1876" s="1740"/>
      <c r="FK1876" s="1740"/>
      <c r="FL1876" s="1740"/>
      <c r="FM1876" s="1740"/>
      <c r="FN1876" s="1740"/>
      <c r="FO1876" s="1740"/>
      <c r="FP1876" s="1740"/>
      <c r="FQ1876" s="1740"/>
      <c r="FR1876" s="1740"/>
      <c r="FS1876" s="1740"/>
      <c r="FT1876" s="1740"/>
      <c r="FU1876" s="1740"/>
      <c r="FV1876" s="1740"/>
      <c r="FW1876" s="1740"/>
      <c r="FX1876" s="1740"/>
      <c r="FY1876" s="1740"/>
      <c r="FZ1876" s="1740"/>
      <c r="GA1876" s="1740"/>
      <c r="GB1876" s="1740"/>
      <c r="GC1876" s="1740"/>
      <c r="GD1876" s="1740"/>
      <c r="GE1876" s="1740"/>
      <c r="GF1876" s="1740"/>
      <c r="GG1876" s="1740"/>
      <c r="GH1876" s="1740"/>
      <c r="GI1876" s="1740"/>
      <c r="GJ1876" s="1740"/>
      <c r="GK1876" s="1740"/>
      <c r="GL1876" s="1740"/>
      <c r="GM1876" s="1740"/>
      <c r="GN1876" s="1740"/>
      <c r="GO1876" s="1740"/>
      <c r="GP1876" s="1740"/>
      <c r="GQ1876" s="1740"/>
      <c r="GR1876" s="1740"/>
      <c r="GS1876" s="1740"/>
      <c r="GT1876" s="1740"/>
      <c r="GU1876" s="1740"/>
      <c r="GV1876" s="1740"/>
      <c r="GW1876" s="1740"/>
      <c r="GX1876" s="1740"/>
      <c r="GY1876" s="1740"/>
      <c r="GZ1876" s="1740"/>
      <c r="HA1876" s="1740"/>
      <c r="HB1876" s="1740"/>
      <c r="HC1876" s="1740"/>
      <c r="HD1876" s="1740"/>
      <c r="HE1876" s="1740"/>
      <c r="HF1876" s="1740"/>
      <c r="HG1876" s="1740"/>
      <c r="HH1876" s="1740"/>
      <c r="HI1876" s="1740"/>
      <c r="HJ1876" s="1740"/>
      <c r="HK1876" s="1740"/>
      <c r="HL1876" s="1740"/>
      <c r="HM1876" s="1740"/>
      <c r="HN1876" s="1740"/>
      <c r="HO1876" s="1740"/>
      <c r="HP1876" s="1740"/>
      <c r="HQ1876" s="1740"/>
      <c r="HR1876" s="1740"/>
      <c r="HS1876" s="1740"/>
      <c r="HT1876" s="1740"/>
      <c r="HU1876" s="1740"/>
      <c r="HV1876" s="1740"/>
      <c r="HW1876" s="1740"/>
      <c r="HX1876" s="1740"/>
      <c r="HY1876" s="1740"/>
      <c r="HZ1876" s="1740"/>
      <c r="IA1876" s="1740"/>
      <c r="IB1876" s="1740"/>
      <c r="IC1876" s="1740"/>
      <c r="ID1876" s="1740"/>
      <c r="IE1876" s="1740"/>
      <c r="IF1876" s="1740"/>
      <c r="IG1876" s="1740"/>
      <c r="IH1876" s="1740"/>
      <c r="II1876" s="1740"/>
      <c r="IJ1876" s="1740"/>
      <c r="IK1876" s="1740"/>
      <c r="IL1876" s="1740"/>
      <c r="IM1876" s="1740"/>
      <c r="IN1876" s="1740"/>
      <c r="IO1876" s="1740"/>
      <c r="IP1876" s="1740"/>
      <c r="IQ1876" s="1740"/>
      <c r="IR1876" s="1740"/>
      <c r="IS1876" s="1740"/>
      <c r="IT1876" s="1740"/>
      <c r="IU1876" s="1740"/>
      <c r="IV1876" s="1740"/>
      <c r="IW1876" s="1740"/>
      <c r="IX1876" s="1740"/>
      <c r="IY1876" s="1740"/>
      <c r="IZ1876" s="1740"/>
      <c r="JA1876" s="1740"/>
      <c r="JB1876" s="1740"/>
      <c r="JC1876" s="1740"/>
      <c r="JD1876" s="1740"/>
      <c r="JE1876" s="1740"/>
      <c r="JF1876" s="1740"/>
      <c r="JG1876" s="1740"/>
      <c r="JH1876" s="1740"/>
      <c r="JI1876" s="1740"/>
      <c r="JJ1876" s="1740"/>
      <c r="JK1876" s="1740"/>
      <c r="JL1876" s="1740"/>
      <c r="JM1876" s="1740"/>
      <c r="JN1876" s="1740"/>
      <c r="JO1876" s="1740"/>
      <c r="JP1876" s="1740"/>
      <c r="JQ1876" s="1740"/>
      <c r="JR1876" s="1740"/>
      <c r="JS1876" s="1740"/>
      <c r="JT1876" s="1740"/>
      <c r="JU1876" s="1740"/>
      <c r="JV1876" s="1740"/>
      <c r="JW1876" s="1740"/>
      <c r="JX1876" s="1740"/>
      <c r="JY1876" s="1740"/>
      <c r="JZ1876" s="1740"/>
      <c r="KA1876" s="1740"/>
      <c r="KB1876" s="1740"/>
      <c r="KC1876" s="1740"/>
      <c r="KD1876" s="1740"/>
      <c r="KE1876" s="1740"/>
      <c r="KF1876" s="1740"/>
      <c r="KG1876" s="1740"/>
      <c r="KH1876" s="1740"/>
      <c r="KI1876" s="1740"/>
      <c r="KJ1876" s="1740"/>
      <c r="KK1876" s="1740"/>
      <c r="KL1876" s="1740"/>
      <c r="KM1876" s="1740"/>
      <c r="KN1876" s="1740"/>
      <c r="KO1876" s="1740"/>
      <c r="KP1876" s="1740"/>
      <c r="KQ1876" s="1740"/>
      <c r="KR1876" s="1740"/>
      <c r="KS1876" s="1740"/>
      <c r="KT1876" s="1740"/>
      <c r="KU1876" s="1740"/>
      <c r="KV1876" s="1740"/>
      <c r="KW1876" s="1740"/>
      <c r="KX1876" s="1740"/>
      <c r="KY1876" s="1740"/>
      <c r="KZ1876" s="1740"/>
      <c r="LA1876" s="1740"/>
      <c r="LB1876" s="1740"/>
      <c r="LC1876" s="1740"/>
      <c r="LD1876" s="1740"/>
      <c r="LE1876" s="1740"/>
      <c r="LF1876" s="1740"/>
      <c r="LG1876" s="1740"/>
      <c r="LH1876" s="1740"/>
      <c r="LI1876" s="1740"/>
      <c r="LJ1876" s="1740"/>
      <c r="LK1876" s="1740"/>
      <c r="LL1876" s="1740"/>
      <c r="LM1876" s="1740"/>
      <c r="LN1876" s="1740"/>
      <c r="LO1876" s="1740"/>
      <c r="LP1876" s="1740"/>
      <c r="LQ1876" s="1740"/>
      <c r="LR1876" s="1740"/>
      <c r="LS1876" s="1740"/>
      <c r="LT1876" s="1740"/>
      <c r="LU1876" s="1740"/>
      <c r="LV1876" s="1740"/>
      <c r="LW1876" s="1740"/>
      <c r="LX1876" s="1740"/>
      <c r="LY1876" s="1740"/>
      <c r="LZ1876" s="1740"/>
      <c r="MA1876" s="1740"/>
      <c r="MB1876" s="1740"/>
      <c r="MC1876" s="1740"/>
      <c r="MD1876" s="1740"/>
      <c r="ME1876" s="1740"/>
      <c r="MF1876" s="1740"/>
      <c r="MG1876" s="1740"/>
      <c r="MH1876" s="1740"/>
      <c r="MI1876" s="1740"/>
      <c r="MJ1876" s="1740"/>
      <c r="MK1876" s="1740"/>
      <c r="ML1876" s="1740"/>
      <c r="MM1876" s="1740"/>
      <c r="MN1876" s="1740"/>
      <c r="MO1876" s="1740"/>
      <c r="MP1876" s="1740"/>
      <c r="MQ1876" s="1740"/>
      <c r="MR1876" s="1740"/>
      <c r="MS1876" s="1740"/>
      <c r="MT1876" s="1740"/>
      <c r="MU1876" s="1740"/>
      <c r="MV1876" s="1740"/>
      <c r="MW1876" s="1740"/>
      <c r="MX1876" s="1740"/>
      <c r="MY1876" s="1740"/>
      <c r="MZ1876" s="1740"/>
      <c r="NA1876" s="1740"/>
      <c r="NB1876" s="1740"/>
      <c r="NC1876" s="1740"/>
      <c r="ND1876" s="1740"/>
      <c r="NE1876" s="1740"/>
      <c r="NF1876" s="1740"/>
      <c r="NG1876" s="1740"/>
      <c r="NH1876" s="1740"/>
      <c r="NI1876" s="1740"/>
      <c r="NJ1876" s="1740"/>
      <c r="NK1876" s="1740"/>
      <c r="NL1876" s="1740"/>
      <c r="NM1876" s="1740"/>
      <c r="NN1876" s="1740"/>
      <c r="NO1876" s="1740"/>
      <c r="NP1876" s="1740"/>
      <c r="NQ1876" s="1740"/>
      <c r="NR1876" s="1740"/>
      <c r="NS1876" s="1740"/>
      <c r="NT1876" s="1740"/>
      <c r="NU1876" s="1740"/>
      <c r="NV1876" s="1740"/>
      <c r="NW1876" s="1740"/>
      <c r="NX1876" s="1740"/>
      <c r="NY1876" s="1740"/>
      <c r="NZ1876" s="1740"/>
      <c r="OA1876" s="1740"/>
      <c r="OB1876" s="1740"/>
      <c r="OC1876" s="1740"/>
      <c r="OD1876" s="1740"/>
      <c r="OE1876" s="1740"/>
      <c r="OF1876" s="1740"/>
      <c r="OG1876" s="1740"/>
      <c r="OH1876" s="1740"/>
      <c r="OI1876" s="1740"/>
      <c r="OJ1876" s="1740"/>
      <c r="OK1876" s="1740"/>
      <c r="OL1876" s="1740"/>
      <c r="OM1876" s="1740"/>
      <c r="ON1876" s="1740"/>
      <c r="OO1876" s="1740"/>
      <c r="OP1876" s="1740"/>
      <c r="OQ1876" s="1740"/>
      <c r="OR1876" s="1740"/>
      <c r="OS1876" s="1740"/>
      <c r="OT1876" s="1740"/>
      <c r="OU1876" s="1740"/>
      <c r="OV1876" s="1740"/>
      <c r="OW1876" s="1740"/>
      <c r="OX1876" s="1740"/>
      <c r="OY1876" s="1740"/>
      <c r="OZ1876" s="1740"/>
      <c r="PA1876" s="1740"/>
      <c r="PB1876" s="1740"/>
      <c r="PC1876" s="1740"/>
      <c r="PD1876" s="1740"/>
      <c r="PE1876" s="1740"/>
      <c r="PF1876" s="1740"/>
      <c r="PG1876" s="1740"/>
      <c r="PH1876" s="1740"/>
      <c r="PI1876" s="1740"/>
      <c r="PJ1876" s="1740"/>
      <c r="PK1876" s="1740"/>
      <c r="PL1876" s="1740"/>
      <c r="PM1876" s="1740"/>
      <c r="PN1876" s="1740"/>
      <c r="PO1876" s="1740"/>
      <c r="PP1876" s="1740"/>
      <c r="PQ1876" s="1740"/>
      <c r="PR1876" s="1740"/>
      <c r="PS1876" s="1740"/>
      <c r="PT1876" s="1740"/>
      <c r="PU1876" s="1740"/>
      <c r="PV1876" s="1740"/>
      <c r="PW1876" s="1740"/>
      <c r="PX1876" s="1740"/>
      <c r="PY1876" s="1740"/>
      <c r="PZ1876" s="1740"/>
      <c r="QA1876" s="1740"/>
      <c r="QB1876" s="1740"/>
      <c r="QC1876" s="1740"/>
      <c r="QD1876" s="1740"/>
      <c r="QE1876" s="1740"/>
      <c r="QF1876" s="1740"/>
      <c r="QG1876" s="1740"/>
      <c r="QH1876" s="1740"/>
      <c r="QI1876" s="1740"/>
      <c r="QJ1876" s="1740"/>
      <c r="QK1876" s="1740"/>
      <c r="QL1876" s="1740"/>
      <c r="QM1876" s="1740"/>
      <c r="QN1876" s="1740"/>
      <c r="QO1876" s="1740"/>
      <c r="QP1876" s="1740"/>
      <c r="QQ1876" s="1740"/>
      <c r="QR1876" s="1740"/>
      <c r="QS1876" s="1740"/>
      <c r="QT1876" s="1740"/>
      <c r="QU1876" s="1740"/>
      <c r="QV1876" s="1740"/>
      <c r="QW1876" s="1740"/>
      <c r="QX1876" s="1740"/>
      <c r="QY1876" s="1740"/>
      <c r="QZ1876" s="1740"/>
      <c r="RA1876" s="1740"/>
      <c r="RB1876" s="1740"/>
      <c r="RC1876" s="1740"/>
      <c r="RD1876" s="1740"/>
      <c r="RE1876" s="1740"/>
      <c r="RF1876" s="1740"/>
      <c r="RG1876" s="1740"/>
      <c r="RH1876" s="1740"/>
      <c r="RI1876" s="1740"/>
      <c r="RJ1876" s="1740"/>
      <c r="RK1876" s="1740"/>
      <c r="RL1876" s="1740"/>
      <c r="RM1876" s="1740"/>
      <c r="RN1876" s="1740"/>
      <c r="RO1876" s="1740"/>
      <c r="RP1876" s="1740"/>
      <c r="RQ1876" s="1740"/>
      <c r="RR1876" s="1740"/>
      <c r="RS1876" s="1740"/>
      <c r="RT1876" s="1740"/>
      <c r="RU1876" s="1740"/>
      <c r="RV1876" s="1740"/>
      <c r="RW1876" s="1740"/>
      <c r="RX1876" s="1740"/>
      <c r="RY1876" s="1740"/>
      <c r="RZ1876" s="1740"/>
      <c r="SA1876" s="1740"/>
      <c r="SB1876" s="1740"/>
      <c r="SC1876" s="1740"/>
      <c r="SD1876" s="1740"/>
      <c r="SE1876" s="1740"/>
      <c r="SF1876" s="1740"/>
      <c r="SG1876" s="1740"/>
      <c r="SH1876" s="1740"/>
      <c r="SI1876" s="1740"/>
      <c r="SJ1876" s="1740"/>
      <c r="SK1876" s="1740"/>
      <c r="SL1876" s="1740"/>
      <c r="SM1876" s="1740"/>
      <c r="SN1876" s="1740"/>
      <c r="SO1876" s="1740"/>
      <c r="SP1876" s="1740"/>
      <c r="SQ1876" s="1740"/>
      <c r="SR1876" s="1740"/>
      <c r="SS1876" s="1740"/>
      <c r="ST1876" s="1740"/>
      <c r="SU1876" s="1740"/>
      <c r="SV1876" s="1740"/>
      <c r="SW1876" s="1740"/>
      <c r="SX1876" s="1740"/>
      <c r="SY1876" s="1740"/>
      <c r="SZ1876" s="1740"/>
      <c r="TA1876" s="1740"/>
      <c r="TB1876" s="1740"/>
      <c r="TC1876" s="1740"/>
      <c r="TD1876" s="1740"/>
      <c r="TE1876" s="1740"/>
      <c r="TF1876" s="1740"/>
      <c r="TG1876" s="1740"/>
      <c r="TH1876" s="1740"/>
      <c r="TI1876" s="1740"/>
      <c r="TJ1876" s="1740"/>
      <c r="TK1876" s="1740"/>
      <c r="TL1876" s="1740"/>
      <c r="TM1876" s="1740"/>
      <c r="TN1876" s="1740"/>
      <c r="TO1876" s="1740"/>
      <c r="TP1876" s="1740"/>
      <c r="TQ1876" s="1740"/>
      <c r="TR1876" s="1740"/>
      <c r="TS1876" s="1740"/>
      <c r="TT1876" s="1740"/>
      <c r="TU1876" s="1740"/>
      <c r="TV1876" s="1740"/>
      <c r="TW1876" s="1740"/>
      <c r="TX1876" s="1740"/>
      <c r="TY1876" s="1740"/>
      <c r="TZ1876" s="1740"/>
      <c r="UA1876" s="1740"/>
      <c r="UB1876" s="1740"/>
      <c r="UC1876" s="1740"/>
      <c r="UD1876" s="1740"/>
      <c r="UE1876" s="1740"/>
      <c r="UF1876" s="1740"/>
      <c r="UG1876" s="1740"/>
      <c r="UH1876" s="1740"/>
      <c r="UI1876" s="1740"/>
      <c r="UJ1876" s="1740"/>
      <c r="UK1876" s="1740"/>
      <c r="UL1876" s="1740"/>
      <c r="UM1876" s="1740"/>
      <c r="UN1876" s="1740"/>
      <c r="UO1876" s="1740"/>
      <c r="UP1876" s="1740"/>
      <c r="UQ1876" s="1740"/>
      <c r="UR1876" s="1740"/>
      <c r="US1876" s="1740"/>
      <c r="UT1876" s="1740"/>
      <c r="UU1876" s="1740"/>
      <c r="UV1876" s="1740"/>
      <c r="UW1876" s="1740"/>
      <c r="UX1876" s="1740"/>
      <c r="UY1876" s="1740"/>
      <c r="UZ1876" s="1740"/>
      <c r="VA1876" s="1740"/>
      <c r="VB1876" s="1740"/>
      <c r="VC1876" s="1740"/>
      <c r="VD1876" s="1740"/>
      <c r="VE1876" s="1740"/>
      <c r="VF1876" s="1740"/>
      <c r="VG1876" s="1740"/>
      <c r="VH1876" s="1740"/>
      <c r="VI1876" s="1740"/>
      <c r="VJ1876" s="1740"/>
      <c r="VK1876" s="1740"/>
      <c r="VL1876" s="1740"/>
      <c r="VM1876" s="1740"/>
      <c r="VN1876" s="1740"/>
      <c r="VO1876" s="1740"/>
      <c r="VP1876" s="1740"/>
      <c r="VQ1876" s="1740"/>
      <c r="VR1876" s="1740"/>
      <c r="VS1876" s="1740"/>
      <c r="VT1876" s="1740"/>
      <c r="VU1876" s="1740"/>
      <c r="VV1876" s="1740"/>
      <c r="VW1876" s="1740"/>
      <c r="VX1876" s="1740"/>
      <c r="VY1876" s="1740"/>
      <c r="VZ1876" s="1740"/>
      <c r="WA1876" s="1740"/>
      <c r="WB1876" s="1740"/>
      <c r="WC1876" s="1740"/>
      <c r="WD1876" s="1740"/>
      <c r="WE1876" s="1740"/>
      <c r="WF1876" s="1740"/>
      <c r="WG1876" s="1740"/>
      <c r="WH1876" s="1740"/>
      <c r="WI1876" s="1740"/>
      <c r="WJ1876" s="1740"/>
      <c r="WK1876" s="1740"/>
      <c r="WL1876" s="1740"/>
      <c r="WM1876" s="1740"/>
      <c r="WN1876" s="1740"/>
      <c r="WO1876" s="1740"/>
      <c r="WP1876" s="1740"/>
      <c r="WQ1876" s="1740"/>
      <c r="WR1876" s="1740"/>
      <c r="WS1876" s="1740"/>
      <c r="WT1876" s="1740"/>
      <c r="WU1876" s="1740"/>
      <c r="WV1876" s="1740"/>
      <c r="WW1876" s="1740"/>
      <c r="WX1876" s="1740"/>
      <c r="WY1876" s="1740"/>
      <c r="WZ1876" s="1740"/>
      <c r="XA1876" s="1740"/>
      <c r="XB1876" s="1740"/>
      <c r="XC1876" s="1740"/>
      <c r="XD1876" s="1740"/>
      <c r="XE1876" s="1740"/>
      <c r="XF1876" s="1740"/>
      <c r="XG1876" s="1740"/>
      <c r="XH1876" s="1740"/>
      <c r="XI1876" s="1740"/>
      <c r="XJ1876" s="1740"/>
      <c r="XK1876" s="1740"/>
      <c r="XL1876" s="1740"/>
      <c r="XM1876" s="1740"/>
      <c r="XN1876" s="1740"/>
      <c r="XO1876" s="1740"/>
      <c r="XP1876" s="1740"/>
      <c r="XQ1876" s="1740"/>
      <c r="XR1876" s="1740"/>
      <c r="XS1876" s="1740"/>
      <c r="XT1876" s="1740"/>
      <c r="XU1876" s="1740"/>
      <c r="XV1876" s="1740"/>
      <c r="XW1876" s="1740"/>
      <c r="XX1876" s="1740"/>
      <c r="XY1876" s="1740"/>
      <c r="XZ1876" s="1740"/>
      <c r="YA1876" s="1740"/>
      <c r="YB1876" s="1740"/>
      <c r="YC1876" s="1740"/>
      <c r="YD1876" s="1740"/>
      <c r="YE1876" s="1740"/>
      <c r="YF1876" s="1740"/>
      <c r="YG1876" s="1740"/>
      <c r="YH1876" s="1740"/>
      <c r="YI1876" s="1740"/>
      <c r="YJ1876" s="1740"/>
      <c r="YK1876" s="1740"/>
      <c r="YL1876" s="1740"/>
      <c r="YM1876" s="1740"/>
      <c r="YN1876" s="1740"/>
      <c r="YO1876" s="1740"/>
      <c r="YP1876" s="1740"/>
      <c r="YQ1876" s="1740"/>
      <c r="YR1876" s="1740"/>
      <c r="YS1876" s="1740"/>
      <c r="YT1876" s="1740"/>
      <c r="YU1876" s="1740"/>
      <c r="YV1876" s="1740"/>
      <c r="YW1876" s="1740"/>
      <c r="YX1876" s="1740"/>
      <c r="YY1876" s="1740"/>
      <c r="YZ1876" s="1740"/>
      <c r="ZA1876" s="1740"/>
      <c r="ZB1876" s="1740"/>
      <c r="ZC1876" s="1740"/>
      <c r="ZD1876" s="1740"/>
      <c r="ZE1876" s="1740"/>
      <c r="ZF1876" s="1740"/>
      <c r="ZG1876" s="1740"/>
      <c r="ZH1876" s="1740"/>
      <c r="ZI1876" s="1740"/>
      <c r="ZJ1876" s="1740"/>
      <c r="ZK1876" s="1740"/>
      <c r="ZL1876" s="1740"/>
      <c r="ZM1876" s="1740"/>
      <c r="ZN1876" s="1740"/>
      <c r="ZO1876" s="1740"/>
      <c r="ZP1876" s="1740"/>
      <c r="ZQ1876" s="1740"/>
      <c r="ZR1876" s="1740"/>
      <c r="ZS1876" s="1740"/>
      <c r="ZT1876" s="1740"/>
      <c r="ZU1876" s="1740"/>
      <c r="ZV1876" s="1740"/>
      <c r="ZW1876" s="1740"/>
      <c r="ZX1876" s="1740"/>
      <c r="ZY1876" s="1740"/>
      <c r="ZZ1876" s="1740"/>
      <c r="AAA1876" s="1740"/>
      <c r="AAB1876" s="1740"/>
      <c r="AAC1876" s="1740"/>
      <c r="AAD1876" s="1740"/>
      <c r="AAE1876" s="1740"/>
      <c r="AAF1876" s="1740"/>
      <c r="AAG1876" s="1740"/>
      <c r="AAH1876" s="1740"/>
      <c r="AAI1876" s="1740"/>
      <c r="AAJ1876" s="1740"/>
      <c r="AAK1876" s="1740"/>
      <c r="AAL1876" s="1740"/>
      <c r="AAM1876" s="1740"/>
      <c r="AAN1876" s="1740"/>
      <c r="AAO1876" s="1740"/>
      <c r="AAP1876" s="1740"/>
      <c r="AAQ1876" s="1740"/>
      <c r="AAR1876" s="1740"/>
      <c r="AAS1876" s="1740"/>
      <c r="AAT1876" s="1740"/>
      <c r="AAU1876" s="1740"/>
      <c r="AAV1876" s="1740"/>
      <c r="AAW1876" s="1740"/>
      <c r="AAX1876" s="1740"/>
      <c r="AAY1876" s="1740"/>
      <c r="AAZ1876" s="1740"/>
      <c r="ABA1876" s="1740"/>
      <c r="ABB1876" s="1740"/>
      <c r="ABC1876" s="1740"/>
      <c r="ABD1876" s="1740"/>
      <c r="ABE1876" s="1740"/>
      <c r="ABF1876" s="1740"/>
      <c r="ABG1876" s="1740"/>
      <c r="ABH1876" s="1740"/>
      <c r="ABI1876" s="1740"/>
      <c r="ABJ1876" s="1740"/>
      <c r="ABK1876" s="1740"/>
      <c r="ABL1876" s="1740"/>
      <c r="ABM1876" s="1740"/>
      <c r="ABN1876" s="1740"/>
      <c r="ABO1876" s="1740"/>
      <c r="ABP1876" s="1740"/>
      <c r="ABQ1876" s="1740"/>
      <c r="ABR1876" s="1740"/>
      <c r="ABS1876" s="1740"/>
      <c r="ABT1876" s="1740"/>
      <c r="ABU1876" s="1740"/>
      <c r="ABV1876" s="1740"/>
      <c r="ABW1876" s="1740"/>
      <c r="ABX1876" s="1740"/>
      <c r="ABY1876" s="1740"/>
      <c r="ABZ1876" s="1740"/>
      <c r="ACA1876" s="1740"/>
      <c r="ACB1876" s="1740"/>
      <c r="ACC1876" s="1740"/>
      <c r="ACD1876" s="1740"/>
      <c r="ACE1876" s="1740"/>
      <c r="ACF1876" s="1740"/>
      <c r="ACG1876" s="1740"/>
      <c r="ACH1876" s="1740"/>
      <c r="ACI1876" s="1740"/>
      <c r="ACJ1876" s="1740"/>
      <c r="ACK1876" s="1740"/>
      <c r="ACL1876" s="1740"/>
      <c r="ACM1876" s="1740"/>
      <c r="ACN1876" s="1740"/>
      <c r="ACO1876" s="1740"/>
      <c r="ACP1876" s="1740"/>
      <c r="ACQ1876" s="1740"/>
      <c r="ACR1876" s="1740"/>
      <c r="ACS1876" s="1740"/>
      <c r="ACT1876" s="1740"/>
      <c r="ACU1876" s="1740"/>
      <c r="ACV1876" s="1740"/>
      <c r="ACW1876" s="1740"/>
      <c r="ACX1876" s="1740"/>
      <c r="ACY1876" s="1740"/>
      <c r="ACZ1876" s="1740"/>
      <c r="ADA1876" s="1740"/>
      <c r="ADB1876" s="1740"/>
      <c r="ADC1876" s="1740"/>
      <c r="ADD1876" s="1740"/>
      <c r="ADE1876" s="1740"/>
      <c r="ADF1876" s="1740"/>
      <c r="ADG1876" s="1740"/>
      <c r="ADH1876" s="1740"/>
      <c r="ADI1876" s="1740"/>
      <c r="ADJ1876" s="1740"/>
      <c r="ADK1876" s="1740"/>
      <c r="ADL1876" s="1740"/>
      <c r="ADM1876" s="1740"/>
      <c r="ADN1876" s="1740"/>
      <c r="ADO1876" s="1740"/>
      <c r="ADP1876" s="1740"/>
      <c r="ADQ1876" s="1740"/>
      <c r="ADR1876" s="1740"/>
      <c r="ADS1876" s="1740"/>
      <c r="ADT1876" s="1740"/>
      <c r="ADU1876" s="1740"/>
      <c r="ADV1876" s="1740"/>
      <c r="ADW1876" s="1740"/>
      <c r="ADX1876" s="1740"/>
      <c r="ADY1876" s="1740"/>
      <c r="ADZ1876" s="1740"/>
      <c r="AEA1876" s="1740"/>
      <c r="AEB1876" s="1740"/>
      <c r="AEC1876" s="1740"/>
      <c r="AED1876" s="1740"/>
      <c r="AEE1876" s="1740"/>
      <c r="AEF1876" s="1740"/>
      <c r="AEG1876" s="1740"/>
      <c r="AEH1876" s="1740"/>
      <c r="AEI1876" s="1740"/>
      <c r="AEJ1876" s="1740"/>
      <c r="AEK1876" s="1740"/>
      <c r="AEL1876" s="1740"/>
      <c r="AEM1876" s="1740"/>
      <c r="AEN1876" s="1740"/>
      <c r="AEO1876" s="1740"/>
      <c r="AEP1876" s="1740"/>
      <c r="AEQ1876" s="1740"/>
      <c r="AER1876" s="1740"/>
      <c r="AES1876" s="1740"/>
      <c r="AET1876" s="1740"/>
      <c r="AEU1876" s="1740"/>
      <c r="AEV1876" s="1740"/>
      <c r="AEW1876" s="1740"/>
      <c r="AEX1876" s="1740"/>
      <c r="AEY1876" s="1740"/>
      <c r="AEZ1876" s="1740"/>
      <c r="AFA1876" s="1740"/>
      <c r="AFB1876" s="1740"/>
      <c r="AFC1876" s="1740"/>
      <c r="AFD1876" s="1740"/>
      <c r="AFE1876" s="1740"/>
      <c r="AFF1876" s="1740"/>
      <c r="AFG1876" s="1740"/>
      <c r="AFH1876" s="1740"/>
      <c r="AFI1876" s="1740"/>
      <c r="AFJ1876" s="1740"/>
      <c r="AFK1876" s="1740"/>
      <c r="AFL1876" s="1740"/>
      <c r="AFM1876" s="1740"/>
      <c r="AFN1876" s="1740"/>
      <c r="AFO1876" s="1740"/>
      <c r="AFP1876" s="1740"/>
      <c r="AFQ1876" s="1740"/>
      <c r="AFR1876" s="1740"/>
      <c r="AFS1876" s="1740"/>
      <c r="AFT1876" s="1740"/>
      <c r="AFU1876" s="1740"/>
      <c r="AFV1876" s="1740"/>
      <c r="AFW1876" s="1740"/>
      <c r="AFX1876" s="1740"/>
      <c r="AFY1876" s="1740"/>
      <c r="AFZ1876" s="1740"/>
      <c r="AGA1876" s="1740"/>
      <c r="AGB1876" s="1740"/>
      <c r="AGC1876" s="1740"/>
      <c r="AGD1876" s="1740"/>
      <c r="AGE1876" s="1740"/>
      <c r="AGF1876" s="1740"/>
      <c r="AGG1876" s="1740"/>
      <c r="AGH1876" s="1740"/>
      <c r="AGI1876" s="1740"/>
      <c r="AGJ1876" s="1740"/>
      <c r="AGK1876" s="1740"/>
      <c r="AGL1876" s="1740"/>
      <c r="AGM1876" s="1740"/>
      <c r="AGN1876" s="1740"/>
      <c r="AGO1876" s="1740"/>
      <c r="AGP1876" s="1740"/>
      <c r="AGQ1876" s="1740"/>
      <c r="AGR1876" s="1740"/>
      <c r="AGS1876" s="1740"/>
      <c r="AGT1876" s="1740"/>
      <c r="AGU1876" s="1740"/>
      <c r="AGV1876" s="1740"/>
      <c r="AGW1876" s="1740"/>
      <c r="AGX1876" s="1740"/>
      <c r="AGY1876" s="1740"/>
      <c r="AGZ1876" s="1740"/>
      <c r="AHA1876" s="1740"/>
      <c r="AHB1876" s="1740"/>
      <c r="AHC1876" s="1740"/>
      <c r="AHD1876" s="1740"/>
      <c r="AHE1876" s="1740"/>
      <c r="AHF1876" s="1740"/>
      <c r="AHG1876" s="1740"/>
      <c r="AHH1876" s="1740"/>
      <c r="AHI1876" s="1740"/>
      <c r="AHJ1876" s="1740"/>
      <c r="AHK1876" s="1740"/>
      <c r="AHL1876" s="1740"/>
      <c r="AHM1876" s="1740"/>
      <c r="AHN1876" s="1740"/>
      <c r="AHO1876" s="1740"/>
      <c r="AHP1876" s="1740"/>
      <c r="AHQ1876" s="1740"/>
      <c r="AHR1876" s="1740"/>
      <c r="AHS1876" s="1740"/>
      <c r="AHT1876" s="1740"/>
      <c r="AHU1876" s="1740"/>
      <c r="AHV1876" s="1740"/>
      <c r="AHW1876" s="1740"/>
      <c r="AHX1876" s="1740"/>
      <c r="AHY1876" s="1740"/>
      <c r="AHZ1876" s="1740"/>
      <c r="AIA1876" s="1740"/>
      <c r="AIB1876" s="1740"/>
      <c r="AIC1876" s="1740"/>
      <c r="AID1876" s="1740"/>
      <c r="AIE1876" s="1740"/>
      <c r="AIF1876" s="1740"/>
      <c r="AIG1876" s="1740"/>
      <c r="AIH1876" s="1740"/>
      <c r="AII1876" s="1740"/>
      <c r="AIJ1876" s="1740"/>
      <c r="AIK1876" s="1740"/>
      <c r="AIL1876" s="1740"/>
      <c r="AIM1876" s="1740"/>
      <c r="AIN1876" s="1740"/>
      <c r="AIO1876" s="1740"/>
      <c r="AIP1876" s="1740"/>
      <c r="AIQ1876" s="1740"/>
      <c r="AIR1876" s="1740"/>
      <c r="AIS1876" s="1740"/>
      <c r="AIT1876" s="1740"/>
      <c r="AIU1876" s="1740"/>
      <c r="AIV1876" s="1740"/>
      <c r="AIW1876" s="1740"/>
      <c r="AIX1876" s="1740"/>
      <c r="AIY1876" s="1740"/>
      <c r="AIZ1876" s="1740"/>
      <c r="AJA1876" s="1740"/>
      <c r="AJB1876" s="1740"/>
      <c r="AJC1876" s="1740"/>
      <c r="AJD1876" s="1740"/>
      <c r="AJE1876" s="1740"/>
      <c r="AJF1876" s="1740"/>
      <c r="AJG1876" s="1740"/>
      <c r="AJH1876" s="1740"/>
      <c r="AJI1876" s="1740"/>
      <c r="AJJ1876" s="1740"/>
      <c r="AJK1876" s="1740"/>
      <c r="AJL1876" s="1740"/>
      <c r="AJM1876" s="1740"/>
      <c r="AJN1876" s="1740"/>
      <c r="AJO1876" s="1740"/>
      <c r="AJP1876" s="1740"/>
      <c r="AJQ1876" s="1740"/>
      <c r="AJR1876" s="1740"/>
      <c r="AJS1876" s="1740"/>
      <c r="AJT1876" s="1740"/>
      <c r="AJU1876" s="1740"/>
      <c r="AJV1876" s="1740"/>
      <c r="AJW1876" s="1740"/>
      <c r="AJX1876" s="1740"/>
      <c r="AJY1876" s="1740"/>
      <c r="AJZ1876" s="1740"/>
      <c r="AKA1876" s="1740"/>
      <c r="AKB1876" s="1740"/>
      <c r="AKC1876" s="1740"/>
      <c r="AKD1876" s="1740"/>
      <c r="AKE1876" s="1740"/>
      <c r="AKF1876" s="1740"/>
      <c r="AKG1876" s="1740"/>
      <c r="AKH1876" s="1740"/>
      <c r="AKI1876" s="1740"/>
      <c r="AKJ1876" s="1740"/>
      <c r="AKK1876" s="1740"/>
      <c r="AKL1876" s="1740"/>
      <c r="AKM1876" s="1740"/>
      <c r="AKN1876" s="1740"/>
      <c r="AKO1876" s="1740"/>
      <c r="AKP1876" s="1740"/>
      <c r="AKQ1876" s="1740"/>
      <c r="AKR1876" s="1740"/>
      <c r="AKS1876" s="1740"/>
      <c r="AKT1876" s="1740"/>
      <c r="AKU1876" s="1740"/>
      <c r="AKV1876" s="1740"/>
      <c r="AKW1876" s="1740"/>
      <c r="AKX1876" s="1740"/>
      <c r="AKY1876" s="1740"/>
      <c r="AKZ1876" s="1740"/>
      <c r="ALA1876" s="1740"/>
      <c r="ALB1876" s="1740"/>
      <c r="ALC1876" s="1740"/>
      <c r="ALD1876" s="1740"/>
      <c r="ALE1876" s="1740"/>
      <c r="ALF1876" s="1740"/>
      <c r="ALG1876" s="1740"/>
      <c r="ALH1876" s="1740"/>
      <c r="ALI1876" s="1740"/>
      <c r="ALJ1876" s="1740"/>
      <c r="ALK1876" s="1740"/>
      <c r="ALL1876" s="1740"/>
      <c r="ALM1876" s="1740"/>
      <c r="ALN1876" s="1740"/>
      <c r="ALO1876" s="1740"/>
      <c r="ALP1876" s="1740"/>
      <c r="ALQ1876" s="1740"/>
      <c r="ALR1876" s="1740"/>
      <c r="ALS1876" s="1740"/>
      <c r="ALT1876" s="1740"/>
      <c r="ALU1876" s="1740"/>
      <c r="ALV1876" s="1740"/>
      <c r="ALW1876" s="1740"/>
      <c r="ALX1876" s="1740"/>
      <c r="ALY1876" s="1740"/>
      <c r="ALZ1876" s="1740"/>
      <c r="AMA1876" s="1740"/>
      <c r="AMB1876" s="1740"/>
      <c r="AMC1876" s="1740"/>
      <c r="AMD1876" s="1740"/>
      <c r="AME1876" s="1740"/>
      <c r="AMF1876" s="1740"/>
      <c r="AMG1876" s="1740"/>
      <c r="AMH1876" s="1740"/>
      <c r="AMI1876" s="1740"/>
      <c r="AMJ1876" s="1740"/>
      <c r="AMK1876" s="1740"/>
      <c r="AML1876" s="1740"/>
      <c r="AMM1876" s="1740"/>
      <c r="AMN1876" s="1740"/>
      <c r="AMO1876" s="1740"/>
      <c r="AMP1876" s="1740"/>
      <c r="AMQ1876" s="1740"/>
      <c r="AMR1876" s="1740"/>
      <c r="AMS1876" s="1740"/>
      <c r="AMT1876" s="1740"/>
      <c r="AMU1876" s="1740"/>
      <c r="AMV1876" s="1740"/>
      <c r="AMW1876" s="1740"/>
      <c r="AMX1876" s="1740"/>
      <c r="AMY1876" s="1740"/>
      <c r="AMZ1876" s="1740"/>
      <c r="ANA1876" s="1740"/>
      <c r="ANB1876" s="1740"/>
      <c r="ANC1876" s="1740"/>
      <c r="AND1876" s="1740"/>
      <c r="ANE1876" s="1740"/>
      <c r="ANF1876" s="1740"/>
      <c r="ANG1876" s="1740"/>
      <c r="ANH1876" s="1740"/>
      <c r="ANI1876" s="1740"/>
      <c r="ANJ1876" s="1740"/>
      <c r="ANK1876" s="1740"/>
      <c r="ANL1876" s="1740"/>
      <c r="ANM1876" s="1740"/>
      <c r="ANN1876" s="1740"/>
      <c r="ANO1876" s="1740"/>
      <c r="ANP1876" s="1740"/>
      <c r="ANQ1876" s="1740"/>
      <c r="ANR1876" s="1740"/>
      <c r="ANS1876" s="1740"/>
      <c r="ANT1876" s="1740"/>
      <c r="ANU1876" s="1740"/>
      <c r="ANV1876" s="1740"/>
      <c r="ANW1876" s="1740"/>
      <c r="ANX1876" s="1740"/>
      <c r="ANY1876" s="1740"/>
      <c r="ANZ1876" s="1740"/>
      <c r="AOA1876" s="1740"/>
      <c r="AOB1876" s="1740"/>
      <c r="AOC1876" s="1740"/>
      <c r="AOD1876" s="1740"/>
      <c r="AOE1876" s="1740"/>
      <c r="AOF1876" s="1740"/>
      <c r="AOG1876" s="1740"/>
      <c r="AOH1876" s="1740"/>
      <c r="AOI1876" s="1740"/>
      <c r="AOJ1876" s="1740"/>
      <c r="AOK1876" s="1740"/>
      <c r="AOL1876" s="1740"/>
      <c r="AOM1876" s="1740"/>
      <c r="AON1876" s="1740"/>
      <c r="AOO1876" s="1740"/>
      <c r="AOP1876" s="1740"/>
      <c r="AOQ1876" s="1740"/>
      <c r="AOR1876" s="1740"/>
      <c r="AOS1876" s="1740"/>
      <c r="AOT1876" s="1740"/>
      <c r="AOU1876" s="1740"/>
      <c r="AOV1876" s="1740"/>
      <c r="AOW1876" s="1740"/>
      <c r="AOX1876" s="1740"/>
      <c r="AOY1876" s="1740"/>
      <c r="AOZ1876" s="1740"/>
      <c r="APA1876" s="1740"/>
      <c r="APB1876" s="1740"/>
      <c r="APC1876" s="1740"/>
      <c r="APD1876" s="1740"/>
      <c r="APE1876" s="1740"/>
      <c r="APF1876" s="1740"/>
      <c r="APG1876" s="1740"/>
      <c r="APH1876" s="1740"/>
      <c r="API1876" s="1740"/>
      <c r="APJ1876" s="1740"/>
      <c r="APK1876" s="1740"/>
      <c r="APL1876" s="1740"/>
      <c r="APM1876" s="1740"/>
      <c r="APN1876" s="1740"/>
      <c r="APO1876" s="1740"/>
      <c r="APP1876" s="1740"/>
      <c r="APQ1876" s="1740"/>
      <c r="APR1876" s="1740"/>
      <c r="APS1876" s="1740"/>
      <c r="APT1876" s="1740"/>
      <c r="APU1876" s="1740"/>
      <c r="APV1876" s="1740"/>
      <c r="APW1876" s="1740"/>
      <c r="APX1876" s="1740"/>
      <c r="APY1876" s="1740"/>
      <c r="APZ1876" s="1740"/>
      <c r="AQA1876" s="1740"/>
      <c r="AQB1876" s="1740"/>
      <c r="AQC1876" s="1740"/>
      <c r="AQD1876" s="1740"/>
      <c r="AQE1876" s="1740"/>
      <c r="AQF1876" s="1740"/>
      <c r="AQG1876" s="1740"/>
      <c r="AQH1876" s="1740"/>
      <c r="AQI1876" s="1740"/>
      <c r="AQJ1876" s="1740"/>
      <c r="AQK1876" s="1740"/>
      <c r="AQL1876" s="1740"/>
      <c r="AQM1876" s="1740"/>
      <c r="AQN1876" s="1740"/>
      <c r="AQO1876" s="1740"/>
      <c r="AQP1876" s="1740"/>
      <c r="AQQ1876" s="1740"/>
      <c r="AQR1876" s="1740"/>
      <c r="AQS1876" s="1740"/>
      <c r="AQT1876" s="1740"/>
      <c r="AQU1876" s="1740"/>
      <c r="AQV1876" s="1740"/>
      <c r="AQW1876" s="1740"/>
      <c r="AQX1876" s="1740"/>
      <c r="AQY1876" s="1740"/>
      <c r="AQZ1876" s="1740"/>
      <c r="ARA1876" s="1740"/>
      <c r="ARB1876" s="1740"/>
      <c r="ARC1876" s="1740"/>
      <c r="ARD1876" s="1740"/>
      <c r="ARE1876" s="1740"/>
      <c r="ARF1876" s="1740"/>
      <c r="ARG1876" s="1740"/>
      <c r="ARH1876" s="1740"/>
      <c r="ARI1876" s="1740"/>
      <c r="ARJ1876" s="1740"/>
      <c r="ARK1876" s="1740"/>
      <c r="ARL1876" s="1740"/>
      <c r="ARM1876" s="1740"/>
      <c r="ARN1876" s="1740"/>
      <c r="ARO1876" s="1740"/>
      <c r="ARP1876" s="1740"/>
      <c r="ARQ1876" s="1740"/>
      <c r="ARR1876" s="1740"/>
      <c r="ARS1876" s="1740"/>
      <c r="ART1876" s="1740"/>
      <c r="ARU1876" s="1740"/>
      <c r="ARV1876" s="1740"/>
      <c r="ARW1876" s="1740"/>
      <c r="ARX1876" s="1740"/>
      <c r="ARY1876" s="1740"/>
      <c r="ARZ1876" s="1740"/>
      <c r="ASA1876" s="1740"/>
      <c r="ASB1876" s="1740"/>
      <c r="ASC1876" s="1740"/>
      <c r="ASD1876" s="1740"/>
      <c r="ASE1876" s="1740"/>
      <c r="ASF1876" s="1740"/>
      <c r="ASG1876" s="1740"/>
      <c r="ASH1876" s="1740"/>
      <c r="ASI1876" s="1740"/>
      <c r="ASJ1876" s="1740"/>
      <c r="ASK1876" s="1740"/>
      <c r="ASL1876" s="1740"/>
      <c r="ASM1876" s="1740"/>
      <c r="ASN1876" s="1740"/>
      <c r="ASO1876" s="1740"/>
      <c r="ASP1876" s="1740"/>
      <c r="ASQ1876" s="1740"/>
      <c r="ASR1876" s="1740"/>
      <c r="ASS1876" s="1740"/>
      <c r="AST1876" s="1740"/>
      <c r="ASU1876" s="1740"/>
      <c r="ASV1876" s="1740"/>
      <c r="ASW1876" s="1740"/>
      <c r="ASX1876" s="1740"/>
      <c r="ASY1876" s="1740"/>
      <c r="ASZ1876" s="1740"/>
      <c r="ATA1876" s="1740"/>
      <c r="ATB1876" s="1740"/>
      <c r="ATC1876" s="1740"/>
      <c r="ATD1876" s="1740"/>
      <c r="ATE1876" s="1740"/>
      <c r="ATF1876" s="1740"/>
      <c r="ATG1876" s="1740"/>
      <c r="ATH1876" s="1740"/>
      <c r="ATI1876" s="1740"/>
      <c r="ATJ1876" s="1740"/>
      <c r="ATK1876" s="1740"/>
      <c r="ATL1876" s="1740"/>
      <c r="ATM1876" s="1740"/>
      <c r="ATN1876" s="1740"/>
      <c r="ATO1876" s="1740"/>
      <c r="ATP1876" s="1740"/>
      <c r="ATQ1876" s="1740"/>
      <c r="ATR1876" s="1740"/>
      <c r="ATS1876" s="1740"/>
      <c r="ATT1876" s="1740"/>
      <c r="ATU1876" s="1740"/>
      <c r="ATV1876" s="1740"/>
      <c r="ATW1876" s="1740"/>
      <c r="ATX1876" s="1740"/>
      <c r="ATY1876" s="1740"/>
      <c r="ATZ1876" s="1740"/>
      <c r="AUA1876" s="1740"/>
      <c r="AUB1876" s="1740"/>
      <c r="AUC1876" s="1740"/>
      <c r="AUD1876" s="1740"/>
      <c r="AUE1876" s="1740"/>
      <c r="AUF1876" s="1740"/>
      <c r="AUG1876" s="1740"/>
      <c r="AUH1876" s="1740"/>
      <c r="AUI1876" s="1740"/>
      <c r="AUJ1876" s="1740"/>
      <c r="AUK1876" s="1740"/>
      <c r="AUL1876" s="1740"/>
      <c r="AUM1876" s="1740"/>
      <c r="AUN1876" s="1740"/>
      <c r="AUO1876" s="1740"/>
      <c r="AUP1876" s="1740"/>
      <c r="AUQ1876" s="1740"/>
      <c r="AUR1876" s="1740"/>
      <c r="AUS1876" s="1740"/>
      <c r="AUT1876" s="1740"/>
      <c r="AUU1876" s="1740"/>
      <c r="AUV1876" s="1740"/>
      <c r="AUW1876" s="1740"/>
      <c r="AUX1876" s="1740"/>
      <c r="AUY1876" s="1740"/>
      <c r="AUZ1876" s="1740"/>
      <c r="AVA1876" s="1740"/>
      <c r="AVB1876" s="1740"/>
      <c r="AVC1876" s="1740"/>
      <c r="AVD1876" s="1740"/>
      <c r="AVE1876" s="1740"/>
      <c r="AVF1876" s="1740"/>
      <c r="AVG1876" s="1740"/>
      <c r="AVH1876" s="1740"/>
      <c r="AVI1876" s="1740"/>
      <c r="AVJ1876" s="1740"/>
      <c r="AVK1876" s="1740"/>
      <c r="AVL1876" s="1740"/>
      <c r="AVM1876" s="1740"/>
      <c r="AVN1876" s="1740"/>
      <c r="AVO1876" s="1740"/>
      <c r="AVP1876" s="1740"/>
      <c r="AVQ1876" s="1740"/>
      <c r="AVR1876" s="1740"/>
      <c r="AVS1876" s="1740"/>
      <c r="AVT1876" s="1740"/>
      <c r="AVU1876" s="1740"/>
      <c r="AVV1876" s="1740"/>
      <c r="AVW1876" s="1740"/>
      <c r="AVX1876" s="1740"/>
      <c r="AVY1876" s="1740"/>
      <c r="AVZ1876" s="1740"/>
      <c r="AWA1876" s="1740"/>
      <c r="AWB1876" s="1740"/>
      <c r="AWC1876" s="1740"/>
      <c r="AWD1876" s="1740"/>
      <c r="AWE1876" s="1740"/>
      <c r="AWF1876" s="1740"/>
      <c r="AWG1876" s="1740"/>
      <c r="AWH1876" s="1740"/>
      <c r="AWI1876" s="1740"/>
      <c r="AWJ1876" s="1740"/>
      <c r="AWK1876" s="1740"/>
      <c r="AWL1876" s="1740"/>
      <c r="AWM1876" s="1740"/>
      <c r="AWN1876" s="1740"/>
      <c r="AWO1876" s="1740"/>
      <c r="AWP1876" s="1740"/>
      <c r="AWQ1876" s="1740"/>
      <c r="AWR1876" s="1740"/>
      <c r="AWS1876" s="1740"/>
      <c r="AWT1876" s="1740"/>
      <c r="AWU1876" s="1740"/>
      <c r="AWV1876" s="1740"/>
      <c r="AWW1876" s="1740"/>
      <c r="AWX1876" s="1740"/>
      <c r="AWY1876" s="1740"/>
      <c r="AWZ1876" s="1740"/>
      <c r="AXA1876" s="1740"/>
      <c r="AXB1876" s="1740"/>
      <c r="AXC1876" s="1740"/>
      <c r="AXD1876" s="1740"/>
      <c r="AXE1876" s="1740"/>
      <c r="AXF1876" s="1740"/>
      <c r="AXG1876" s="1740"/>
      <c r="AXH1876" s="1740"/>
      <c r="AXI1876" s="1740"/>
      <c r="AXJ1876" s="1740"/>
      <c r="AXK1876" s="1740"/>
      <c r="AXL1876" s="1740"/>
      <c r="AXM1876" s="1740"/>
      <c r="AXN1876" s="1740"/>
      <c r="AXO1876" s="1740"/>
      <c r="AXP1876" s="1740"/>
      <c r="AXQ1876" s="1740"/>
      <c r="AXR1876" s="1740"/>
      <c r="AXS1876" s="1740"/>
      <c r="AXT1876" s="1740"/>
      <c r="AXU1876" s="1740"/>
      <c r="AXV1876" s="1740"/>
      <c r="AXW1876" s="1740"/>
      <c r="AXX1876" s="1740"/>
      <c r="AXY1876" s="1740"/>
      <c r="AXZ1876" s="1740"/>
      <c r="AYA1876" s="1740"/>
      <c r="AYB1876" s="1740"/>
      <c r="AYC1876" s="1740"/>
      <c r="AYD1876" s="1740"/>
      <c r="AYE1876" s="1740"/>
      <c r="AYF1876" s="1740"/>
      <c r="AYG1876" s="1740"/>
      <c r="AYH1876" s="1740"/>
      <c r="AYI1876" s="1740"/>
      <c r="AYJ1876" s="1740"/>
      <c r="AYK1876" s="1740"/>
      <c r="AYL1876" s="1740"/>
      <c r="AYM1876" s="1740"/>
      <c r="AYN1876" s="1740"/>
      <c r="AYO1876" s="1740"/>
      <c r="AYP1876" s="1740"/>
      <c r="AYQ1876" s="1740"/>
      <c r="AYR1876" s="1740"/>
      <c r="AYS1876" s="1740"/>
      <c r="AYT1876" s="1740"/>
      <c r="AYU1876" s="1740"/>
      <c r="AYV1876" s="1740"/>
      <c r="AYW1876" s="1740"/>
      <c r="AYX1876" s="1740"/>
      <c r="AYY1876" s="1740"/>
      <c r="AYZ1876" s="1740"/>
      <c r="AZA1876" s="1740"/>
      <c r="AZB1876" s="1740"/>
      <c r="AZC1876" s="1740"/>
      <c r="AZD1876" s="1740"/>
      <c r="AZE1876" s="1740"/>
      <c r="AZF1876" s="1740"/>
      <c r="AZG1876" s="1740"/>
      <c r="AZH1876" s="1740"/>
      <c r="AZI1876" s="1740"/>
      <c r="AZJ1876" s="1740"/>
      <c r="AZK1876" s="1740"/>
      <c r="AZL1876" s="1740"/>
      <c r="AZM1876" s="1740"/>
      <c r="AZN1876" s="1740"/>
      <c r="AZO1876" s="1740"/>
      <c r="AZP1876" s="1740"/>
      <c r="AZQ1876" s="1740"/>
      <c r="AZR1876" s="1740"/>
      <c r="AZS1876" s="1740"/>
      <c r="AZT1876" s="1740"/>
      <c r="AZU1876" s="1740"/>
      <c r="AZV1876" s="1740"/>
      <c r="AZW1876" s="1740"/>
      <c r="AZX1876" s="1740"/>
      <c r="AZY1876" s="1740"/>
      <c r="AZZ1876" s="1740"/>
      <c r="BAA1876" s="1740"/>
      <c r="BAB1876" s="1740"/>
      <c r="BAC1876" s="1740"/>
      <c r="BAD1876" s="1740"/>
      <c r="BAE1876" s="1740"/>
      <c r="BAF1876" s="1740"/>
      <c r="BAG1876" s="1740"/>
      <c r="BAH1876" s="1740"/>
      <c r="BAI1876" s="1740"/>
      <c r="BAJ1876" s="1740"/>
      <c r="BAK1876" s="1740"/>
      <c r="BAL1876" s="1740"/>
      <c r="BAM1876" s="1740"/>
      <c r="BAN1876" s="1740"/>
      <c r="BAO1876" s="1740"/>
      <c r="BAP1876" s="1740"/>
      <c r="BAQ1876" s="1740"/>
      <c r="BAR1876" s="1740"/>
      <c r="BAS1876" s="1740"/>
      <c r="BAT1876" s="1740"/>
      <c r="BAU1876" s="1740"/>
      <c r="BAV1876" s="1740"/>
      <c r="BAW1876" s="1740"/>
      <c r="BAX1876" s="1740"/>
      <c r="BAY1876" s="1740"/>
      <c r="BAZ1876" s="1740"/>
      <c r="BBA1876" s="1740"/>
      <c r="BBB1876" s="1740"/>
      <c r="BBC1876" s="1740"/>
      <c r="BBD1876" s="1740"/>
      <c r="BBE1876" s="1740"/>
      <c r="BBF1876" s="1740"/>
      <c r="BBG1876" s="1740"/>
      <c r="BBH1876" s="1740"/>
      <c r="BBI1876" s="1740"/>
      <c r="BBJ1876" s="1740"/>
      <c r="BBK1876" s="1740"/>
      <c r="BBL1876" s="1740"/>
      <c r="BBM1876" s="1740"/>
      <c r="BBN1876" s="1740"/>
      <c r="BBO1876" s="1740"/>
      <c r="BBP1876" s="1740"/>
      <c r="BBQ1876" s="1740"/>
      <c r="BBR1876" s="1740"/>
      <c r="BBS1876" s="1740"/>
      <c r="BBT1876" s="1740"/>
      <c r="BBU1876" s="1740"/>
      <c r="BBV1876" s="1740"/>
      <c r="BBW1876" s="1740"/>
      <c r="BBX1876" s="1740"/>
      <c r="BBY1876" s="1740"/>
      <c r="BBZ1876" s="1740"/>
      <c r="BCA1876" s="1740"/>
      <c r="BCB1876" s="1740"/>
      <c r="BCC1876" s="1740"/>
      <c r="BCD1876" s="1740"/>
      <c r="BCE1876" s="1740"/>
      <c r="BCF1876" s="1740"/>
      <c r="BCG1876" s="1740"/>
      <c r="BCH1876" s="1740"/>
      <c r="BCI1876" s="1740"/>
      <c r="BCJ1876" s="1740"/>
      <c r="BCK1876" s="1740"/>
      <c r="BCL1876" s="1740"/>
      <c r="BCM1876" s="1740"/>
      <c r="BCN1876" s="1740"/>
      <c r="BCO1876" s="1740"/>
      <c r="BCP1876" s="1740"/>
      <c r="BCQ1876" s="1740"/>
      <c r="BCR1876" s="1740"/>
      <c r="BCS1876" s="1740"/>
      <c r="BCT1876" s="1740"/>
      <c r="BCU1876" s="1740"/>
      <c r="BCV1876" s="1740"/>
      <c r="BCW1876" s="1740"/>
      <c r="BCX1876" s="1740"/>
      <c r="BCY1876" s="1740"/>
      <c r="BCZ1876" s="1740"/>
      <c r="BDA1876" s="1740"/>
      <c r="BDB1876" s="1740"/>
      <c r="BDC1876" s="1740"/>
      <c r="BDD1876" s="1740"/>
      <c r="BDE1876" s="1740"/>
      <c r="BDF1876" s="1740"/>
      <c r="BDG1876" s="1740"/>
      <c r="BDH1876" s="1740"/>
      <c r="BDI1876" s="1740"/>
      <c r="BDJ1876" s="1740"/>
      <c r="BDK1876" s="1740"/>
      <c r="BDL1876" s="1740"/>
      <c r="BDM1876" s="1740"/>
      <c r="BDN1876" s="1740"/>
      <c r="BDO1876" s="1740"/>
      <c r="BDP1876" s="1740"/>
      <c r="BDQ1876" s="1740"/>
      <c r="BDR1876" s="1740"/>
      <c r="BDS1876" s="1740"/>
      <c r="BDT1876" s="1740"/>
      <c r="BDU1876" s="1740"/>
      <c r="BDV1876" s="1740"/>
      <c r="BDW1876" s="1740"/>
      <c r="BDX1876" s="1740"/>
      <c r="BDY1876" s="1740"/>
      <c r="BDZ1876" s="1740"/>
      <c r="BEA1876" s="1740"/>
      <c r="BEB1876" s="1740"/>
      <c r="BEC1876" s="1740"/>
      <c r="BED1876" s="1740"/>
      <c r="BEE1876" s="1740"/>
      <c r="BEF1876" s="1740"/>
      <c r="BEG1876" s="1740"/>
      <c r="BEH1876" s="1740"/>
      <c r="BEI1876" s="1740"/>
      <c r="BEJ1876" s="1740"/>
      <c r="BEK1876" s="1740"/>
      <c r="BEL1876" s="1740"/>
      <c r="BEM1876" s="1740"/>
      <c r="BEN1876" s="1740"/>
      <c r="BEO1876" s="1740"/>
      <c r="BEP1876" s="1740"/>
      <c r="BEQ1876" s="1740"/>
      <c r="BER1876" s="1740"/>
      <c r="BES1876" s="1740"/>
      <c r="BET1876" s="1740"/>
      <c r="BEU1876" s="1740"/>
      <c r="BEV1876" s="1740"/>
      <c r="BEW1876" s="1740"/>
      <c r="BEX1876" s="1740"/>
      <c r="BEY1876" s="1740"/>
      <c r="BEZ1876" s="1740"/>
      <c r="BFA1876" s="1740"/>
      <c r="BFB1876" s="1740"/>
      <c r="BFC1876" s="1740"/>
      <c r="BFD1876" s="1740"/>
      <c r="BFE1876" s="1740"/>
      <c r="BFF1876" s="1740"/>
      <c r="BFG1876" s="1740"/>
      <c r="BFH1876" s="1740"/>
      <c r="BFI1876" s="1740"/>
      <c r="BFJ1876" s="1740"/>
      <c r="BFK1876" s="1740"/>
      <c r="BFL1876" s="1740"/>
      <c r="BFM1876" s="1740"/>
      <c r="BFN1876" s="1740"/>
      <c r="BFO1876" s="1740"/>
      <c r="BFP1876" s="1740"/>
      <c r="BFQ1876" s="1740"/>
      <c r="BFR1876" s="1740"/>
      <c r="BFS1876" s="1740"/>
      <c r="BFT1876" s="1740"/>
      <c r="BFU1876" s="1740"/>
      <c r="BFV1876" s="1740"/>
      <c r="BFW1876" s="1740"/>
      <c r="BFX1876" s="1740"/>
      <c r="BFY1876" s="1740"/>
      <c r="BFZ1876" s="1740"/>
      <c r="BGA1876" s="1740"/>
      <c r="BGB1876" s="1740"/>
      <c r="BGC1876" s="1740"/>
      <c r="BGD1876" s="1740"/>
      <c r="BGE1876" s="1740"/>
      <c r="BGF1876" s="1740"/>
      <c r="BGG1876" s="1740"/>
      <c r="BGH1876" s="1740"/>
      <c r="BGI1876" s="1740"/>
      <c r="BGJ1876" s="1740"/>
      <c r="BGK1876" s="1740"/>
      <c r="BGL1876" s="1740"/>
      <c r="BGM1876" s="1740"/>
      <c r="BGN1876" s="1740"/>
      <c r="BGO1876" s="1740"/>
      <c r="BGP1876" s="1740"/>
      <c r="BGQ1876" s="1740"/>
      <c r="BGR1876" s="1740"/>
      <c r="BGS1876" s="1740"/>
      <c r="BGT1876" s="1740"/>
      <c r="BGU1876" s="1740"/>
      <c r="BGV1876" s="1740"/>
      <c r="BGW1876" s="1740"/>
      <c r="BGX1876" s="1740"/>
      <c r="BGY1876" s="1740"/>
      <c r="BGZ1876" s="1740"/>
      <c r="BHA1876" s="1740"/>
      <c r="BHB1876" s="1740"/>
      <c r="BHC1876" s="1740"/>
      <c r="BHD1876" s="1740"/>
      <c r="BHE1876" s="1740"/>
      <c r="BHF1876" s="1740"/>
      <c r="BHG1876" s="1740"/>
      <c r="BHH1876" s="1740"/>
      <c r="BHI1876" s="1740"/>
      <c r="BHJ1876" s="1740"/>
      <c r="BHK1876" s="1740"/>
      <c r="BHL1876" s="1740"/>
      <c r="BHM1876" s="1740"/>
      <c r="BHN1876" s="1740"/>
      <c r="BHO1876" s="1740"/>
      <c r="BHP1876" s="1740"/>
      <c r="BHQ1876" s="1740"/>
      <c r="BHR1876" s="1740"/>
      <c r="BHS1876" s="1740"/>
      <c r="BHT1876" s="1740"/>
      <c r="BHU1876" s="1740"/>
      <c r="BHV1876" s="1740"/>
      <c r="BHW1876" s="1740"/>
      <c r="BHX1876" s="1740"/>
      <c r="BHY1876" s="1740"/>
      <c r="BHZ1876" s="1740"/>
      <c r="BIA1876" s="1740"/>
      <c r="BIB1876" s="1740"/>
      <c r="BIC1876" s="1740"/>
      <c r="BID1876" s="1740"/>
      <c r="BIE1876" s="1740"/>
      <c r="BIF1876" s="1740"/>
      <c r="BIG1876" s="1740"/>
      <c r="BIH1876" s="1740"/>
      <c r="BII1876" s="1740"/>
      <c r="BIJ1876" s="1740"/>
      <c r="BIK1876" s="1740"/>
      <c r="BIL1876" s="1740"/>
      <c r="BIM1876" s="1740"/>
      <c r="BIN1876" s="1740"/>
      <c r="BIO1876" s="1740"/>
      <c r="BIP1876" s="1740"/>
      <c r="BIQ1876" s="1740"/>
      <c r="BIR1876" s="1740"/>
      <c r="BIS1876" s="1740"/>
      <c r="BIT1876" s="1740"/>
      <c r="BIU1876" s="1740"/>
      <c r="BIV1876" s="1740"/>
      <c r="BIW1876" s="1740"/>
      <c r="BIX1876" s="1740"/>
      <c r="BIY1876" s="1740"/>
      <c r="BIZ1876" s="1740"/>
      <c r="BJA1876" s="1740"/>
      <c r="BJB1876" s="1740"/>
      <c r="BJC1876" s="1740"/>
      <c r="BJD1876" s="1740"/>
      <c r="BJE1876" s="1740"/>
      <c r="BJF1876" s="1740"/>
      <c r="BJG1876" s="1740"/>
      <c r="BJH1876" s="1740"/>
      <c r="BJI1876" s="1740"/>
      <c r="BJJ1876" s="1740"/>
      <c r="BJK1876" s="1740"/>
      <c r="BJL1876" s="1740"/>
      <c r="BJM1876" s="1740"/>
      <c r="BJN1876" s="1740"/>
      <c r="BJO1876" s="1740"/>
      <c r="BJP1876" s="1740"/>
      <c r="BJQ1876" s="1740"/>
      <c r="BJR1876" s="1740"/>
      <c r="BJS1876" s="1740"/>
      <c r="BJT1876" s="1740"/>
      <c r="BJU1876" s="1740"/>
      <c r="BJV1876" s="1740"/>
      <c r="BJW1876" s="1740"/>
      <c r="BJX1876" s="1740"/>
      <c r="BJY1876" s="1740"/>
      <c r="BJZ1876" s="1740"/>
      <c r="BKA1876" s="1740"/>
      <c r="BKB1876" s="1740"/>
      <c r="BKC1876" s="1740"/>
      <c r="BKD1876" s="1740"/>
      <c r="BKE1876" s="1740"/>
      <c r="BKF1876" s="1740"/>
      <c r="BKG1876" s="1740"/>
      <c r="BKH1876" s="1740"/>
      <c r="BKI1876" s="1740"/>
      <c r="BKJ1876" s="1740"/>
      <c r="BKK1876" s="1740"/>
      <c r="BKL1876" s="1740"/>
      <c r="BKM1876" s="1740"/>
      <c r="BKN1876" s="1740"/>
      <c r="BKO1876" s="1740"/>
      <c r="BKP1876" s="1740"/>
      <c r="BKQ1876" s="1740"/>
      <c r="BKR1876" s="1740"/>
      <c r="BKS1876" s="1740"/>
      <c r="BKT1876" s="1740"/>
      <c r="BKU1876" s="1740"/>
      <c r="BKV1876" s="1740"/>
      <c r="BKW1876" s="1740"/>
      <c r="BKX1876" s="1740"/>
      <c r="BKY1876" s="1740"/>
      <c r="BKZ1876" s="1740"/>
      <c r="BLA1876" s="1740"/>
      <c r="BLB1876" s="1740"/>
      <c r="BLC1876" s="1740"/>
      <c r="BLD1876" s="1740"/>
      <c r="BLE1876" s="1740"/>
      <c r="BLF1876" s="1740"/>
      <c r="BLG1876" s="1740"/>
      <c r="BLH1876" s="1740"/>
      <c r="BLI1876" s="1740"/>
      <c r="BLJ1876" s="1740"/>
      <c r="BLK1876" s="1740"/>
      <c r="BLL1876" s="1740"/>
      <c r="BLM1876" s="1740"/>
      <c r="BLN1876" s="1740"/>
      <c r="BLO1876" s="1740"/>
      <c r="BLP1876" s="1740"/>
      <c r="BLQ1876" s="1740"/>
      <c r="BLR1876" s="1740"/>
      <c r="BLS1876" s="1740"/>
      <c r="BLT1876" s="1740"/>
      <c r="BLU1876" s="1740"/>
      <c r="BLV1876" s="1740"/>
      <c r="BLW1876" s="1740"/>
      <c r="BLX1876" s="1740"/>
      <c r="BLY1876" s="1740"/>
      <c r="BLZ1876" s="1740"/>
      <c r="BMA1876" s="1740"/>
      <c r="BMB1876" s="1740"/>
      <c r="BMC1876" s="1740"/>
      <c r="BMD1876" s="1740"/>
      <c r="BME1876" s="1740"/>
      <c r="BMF1876" s="1740"/>
      <c r="BMG1876" s="1740"/>
      <c r="BMH1876" s="1740"/>
      <c r="BMI1876" s="1740"/>
      <c r="BMJ1876" s="1740"/>
      <c r="BMK1876" s="1740"/>
      <c r="BML1876" s="1740"/>
      <c r="BMM1876" s="1740"/>
      <c r="BMN1876" s="1740"/>
      <c r="BMO1876" s="1740"/>
      <c r="BMP1876" s="1740"/>
      <c r="BMQ1876" s="1740"/>
      <c r="BMR1876" s="1740"/>
      <c r="BMS1876" s="1740"/>
      <c r="BMT1876" s="1740"/>
      <c r="BMU1876" s="1740"/>
      <c r="BMV1876" s="1740"/>
      <c r="BMW1876" s="1740"/>
      <c r="BMX1876" s="1740"/>
      <c r="BMY1876" s="1740"/>
      <c r="BMZ1876" s="1740"/>
      <c r="BNA1876" s="1740"/>
      <c r="BNB1876" s="1740"/>
      <c r="BNC1876" s="1740"/>
      <c r="BND1876" s="1740"/>
      <c r="BNE1876" s="1740"/>
      <c r="BNF1876" s="1740"/>
      <c r="BNG1876" s="1740"/>
      <c r="BNH1876" s="1740"/>
      <c r="BNI1876" s="1740"/>
      <c r="BNJ1876" s="1740"/>
      <c r="BNK1876" s="1740"/>
      <c r="BNL1876" s="1740"/>
      <c r="BNM1876" s="1740"/>
      <c r="BNN1876" s="1740"/>
      <c r="BNO1876" s="1740"/>
      <c r="BNP1876" s="1740"/>
      <c r="BNQ1876" s="1740"/>
      <c r="BNR1876" s="1740"/>
      <c r="BNS1876" s="1740"/>
      <c r="BNT1876" s="1740"/>
      <c r="BNU1876" s="1740"/>
      <c r="BNV1876" s="1740"/>
      <c r="BNW1876" s="1740"/>
      <c r="BNX1876" s="1740"/>
      <c r="BNY1876" s="1740"/>
      <c r="BNZ1876" s="1740"/>
      <c r="BOA1876" s="1740"/>
      <c r="BOB1876" s="1740"/>
      <c r="BOC1876" s="1740"/>
      <c r="BOD1876" s="1740"/>
      <c r="BOE1876" s="1740"/>
      <c r="BOF1876" s="1740"/>
      <c r="BOG1876" s="1740"/>
      <c r="BOH1876" s="1740"/>
      <c r="BOI1876" s="1740"/>
      <c r="BOJ1876" s="1740"/>
      <c r="BOK1876" s="1740"/>
      <c r="BOL1876" s="1740"/>
      <c r="BOM1876" s="1740"/>
      <c r="BON1876" s="1740"/>
      <c r="BOO1876" s="1740"/>
      <c r="BOP1876" s="1740"/>
      <c r="BOQ1876" s="1740"/>
      <c r="BOR1876" s="1740"/>
      <c r="BOS1876" s="1740"/>
      <c r="BOT1876" s="1740"/>
      <c r="BOU1876" s="1740"/>
      <c r="BOV1876" s="1740"/>
      <c r="BOW1876" s="1740"/>
      <c r="BOX1876" s="1740"/>
      <c r="BOY1876" s="1740"/>
      <c r="BOZ1876" s="1740"/>
      <c r="BPA1876" s="1740"/>
      <c r="BPB1876" s="1740"/>
      <c r="BPC1876" s="1740"/>
      <c r="BPD1876" s="1740"/>
      <c r="BPE1876" s="1740"/>
      <c r="BPF1876" s="1740"/>
      <c r="BPG1876" s="1740"/>
      <c r="BPH1876" s="1740"/>
      <c r="BPI1876" s="1740"/>
      <c r="BPJ1876" s="1740"/>
      <c r="BPK1876" s="1740"/>
      <c r="BPL1876" s="1740"/>
      <c r="BPM1876" s="1740"/>
      <c r="BPN1876" s="1740"/>
      <c r="BPO1876" s="1740"/>
      <c r="BPP1876" s="1740"/>
      <c r="BPQ1876" s="1740"/>
      <c r="BPR1876" s="1740"/>
      <c r="BPS1876" s="1740"/>
      <c r="BPT1876" s="1740"/>
      <c r="BPU1876" s="1740"/>
      <c r="BPV1876" s="1740"/>
      <c r="BPW1876" s="1740"/>
      <c r="BPX1876" s="1740"/>
      <c r="BPY1876" s="1740"/>
      <c r="BPZ1876" s="1740"/>
      <c r="BQA1876" s="1740"/>
      <c r="BQB1876" s="1740"/>
      <c r="BQC1876" s="1740"/>
      <c r="BQD1876" s="1740"/>
      <c r="BQE1876" s="1740"/>
      <c r="BQF1876" s="1740"/>
      <c r="BQG1876" s="1740"/>
      <c r="BQH1876" s="1740"/>
      <c r="BQI1876" s="1740"/>
      <c r="BQJ1876" s="1740"/>
      <c r="BQK1876" s="1740"/>
      <c r="BQL1876" s="1740"/>
      <c r="BQM1876" s="1740"/>
      <c r="BQN1876" s="1740"/>
      <c r="BQO1876" s="1740"/>
      <c r="BQP1876" s="1740"/>
      <c r="BQQ1876" s="1740"/>
      <c r="BQR1876" s="1740"/>
      <c r="BQS1876" s="1740"/>
      <c r="BQT1876" s="1740"/>
      <c r="BQU1876" s="1740"/>
      <c r="BQV1876" s="1740"/>
      <c r="BQW1876" s="1740"/>
      <c r="BQX1876" s="1740"/>
      <c r="BQY1876" s="1740"/>
      <c r="BQZ1876" s="1740"/>
      <c r="BRA1876" s="1740"/>
      <c r="BRB1876" s="1740"/>
      <c r="BRC1876" s="1740"/>
      <c r="BRD1876" s="1740"/>
      <c r="BRE1876" s="1740"/>
      <c r="BRF1876" s="1740"/>
      <c r="BRG1876" s="1740"/>
      <c r="BRH1876" s="1740"/>
      <c r="BRI1876" s="1740"/>
      <c r="BRJ1876" s="1740"/>
      <c r="BRK1876" s="1740"/>
      <c r="BRL1876" s="1740"/>
      <c r="BRM1876" s="1740"/>
      <c r="BRN1876" s="1740"/>
      <c r="BRO1876" s="1740"/>
      <c r="BRP1876" s="1740"/>
      <c r="BRQ1876" s="1740"/>
      <c r="BRR1876" s="1740"/>
      <c r="BRS1876" s="1740"/>
      <c r="BRT1876" s="1740"/>
      <c r="BRU1876" s="1740"/>
      <c r="BRV1876" s="1740"/>
      <c r="BRW1876" s="1740"/>
      <c r="BRX1876" s="1740"/>
      <c r="BRY1876" s="1740"/>
      <c r="BRZ1876" s="1740"/>
      <c r="BSA1876" s="1740"/>
      <c r="BSB1876" s="1740"/>
      <c r="BSC1876" s="1740"/>
      <c r="BSD1876" s="1740"/>
      <c r="BSE1876" s="1740"/>
      <c r="BSF1876" s="1740"/>
      <c r="BSG1876" s="1740"/>
      <c r="BSH1876" s="1740"/>
      <c r="BSI1876" s="1740"/>
      <c r="BSJ1876" s="1740"/>
      <c r="BSK1876" s="1740"/>
      <c r="BSL1876" s="1740"/>
      <c r="BSM1876" s="1740"/>
      <c r="BSN1876" s="1740"/>
      <c r="BSO1876" s="1740"/>
      <c r="BSP1876" s="1740"/>
      <c r="BSQ1876" s="1740"/>
      <c r="BSR1876" s="1740"/>
      <c r="BSS1876" s="1740"/>
      <c r="BST1876" s="1740"/>
      <c r="BSU1876" s="1740"/>
      <c r="BSV1876" s="1740"/>
      <c r="BSW1876" s="1740"/>
      <c r="BSX1876" s="1740"/>
      <c r="BSY1876" s="1740"/>
      <c r="BSZ1876" s="1740"/>
      <c r="BTA1876" s="1740"/>
      <c r="BTB1876" s="1740"/>
      <c r="BTC1876" s="1740"/>
      <c r="BTD1876" s="1740"/>
      <c r="BTE1876" s="1740"/>
      <c r="BTF1876" s="1740"/>
      <c r="BTG1876" s="1740"/>
      <c r="BTH1876" s="1740"/>
      <c r="BTI1876" s="1740"/>
      <c r="BTJ1876" s="1740"/>
      <c r="BTK1876" s="1740"/>
      <c r="BTL1876" s="1740"/>
      <c r="BTM1876" s="1740"/>
      <c r="BTN1876" s="1740"/>
      <c r="BTO1876" s="1740"/>
      <c r="BTP1876" s="1740"/>
      <c r="BTQ1876" s="1740"/>
      <c r="BTR1876" s="1740"/>
      <c r="BTS1876" s="1740"/>
      <c r="BTT1876" s="1740"/>
      <c r="BTU1876" s="1740"/>
      <c r="BTV1876" s="1740"/>
      <c r="BTW1876" s="1740"/>
      <c r="BTX1876" s="1740"/>
      <c r="BTY1876" s="1740"/>
      <c r="BTZ1876" s="1740"/>
      <c r="BUA1876" s="1740"/>
      <c r="BUB1876" s="1740"/>
      <c r="BUC1876" s="1740"/>
      <c r="BUD1876" s="1740"/>
      <c r="BUE1876" s="1740"/>
      <c r="BUF1876" s="1740"/>
      <c r="BUG1876" s="1740"/>
      <c r="BUH1876" s="1740"/>
      <c r="BUI1876" s="1740"/>
      <c r="BUJ1876" s="1740"/>
      <c r="BUK1876" s="1740"/>
      <c r="BUL1876" s="1740"/>
      <c r="BUM1876" s="1740"/>
      <c r="BUN1876" s="1740"/>
      <c r="BUO1876" s="1740"/>
      <c r="BUP1876" s="1740"/>
      <c r="BUQ1876" s="1740"/>
      <c r="BUR1876" s="1740"/>
      <c r="BUS1876" s="1740"/>
      <c r="BUT1876" s="1740"/>
      <c r="BUU1876" s="1740"/>
      <c r="BUV1876" s="1740"/>
      <c r="BUW1876" s="1740"/>
      <c r="BUX1876" s="1740"/>
      <c r="BUY1876" s="1740"/>
      <c r="BUZ1876" s="1740"/>
      <c r="BVA1876" s="1740"/>
      <c r="BVB1876" s="1740"/>
      <c r="BVC1876" s="1740"/>
      <c r="BVD1876" s="1740"/>
      <c r="BVE1876" s="1740"/>
      <c r="BVF1876" s="1740"/>
      <c r="BVG1876" s="1740"/>
      <c r="BVH1876" s="1740"/>
      <c r="BVI1876" s="1740"/>
      <c r="BVJ1876" s="1740"/>
      <c r="BVK1876" s="1740"/>
      <c r="BVL1876" s="1740"/>
      <c r="BVM1876" s="1740"/>
      <c r="BVN1876" s="1740"/>
      <c r="BVO1876" s="1740"/>
      <c r="BVP1876" s="1740"/>
      <c r="BVQ1876" s="1740"/>
      <c r="BVR1876" s="1740"/>
      <c r="BVS1876" s="1740"/>
      <c r="BVT1876" s="1740"/>
      <c r="BVU1876" s="1740"/>
      <c r="BVV1876" s="1740"/>
      <c r="BVW1876" s="1740"/>
      <c r="BVX1876" s="1740"/>
      <c r="BVY1876" s="1740"/>
      <c r="BVZ1876" s="1740"/>
      <c r="BWA1876" s="1740"/>
      <c r="BWB1876" s="1740"/>
      <c r="BWC1876" s="1740"/>
      <c r="BWD1876" s="1740"/>
      <c r="BWE1876" s="1740"/>
      <c r="BWF1876" s="1740"/>
      <c r="BWG1876" s="1740"/>
      <c r="BWH1876" s="1740"/>
      <c r="BWI1876" s="1740"/>
      <c r="BWJ1876" s="1740"/>
      <c r="BWK1876" s="1740"/>
      <c r="BWL1876" s="1740"/>
      <c r="BWM1876" s="1740"/>
      <c r="BWN1876" s="1740"/>
      <c r="BWO1876" s="1740"/>
      <c r="BWP1876" s="1740"/>
      <c r="BWQ1876" s="1740"/>
      <c r="BWR1876" s="1740"/>
      <c r="BWS1876" s="1740"/>
      <c r="BWT1876" s="1740"/>
      <c r="BWU1876" s="1740"/>
      <c r="BWV1876" s="1740"/>
      <c r="BWW1876" s="1740"/>
      <c r="BWX1876" s="1740"/>
      <c r="BWY1876" s="1740"/>
      <c r="BWZ1876" s="1740"/>
      <c r="BXA1876" s="1740"/>
      <c r="BXB1876" s="1740"/>
      <c r="BXC1876" s="1740"/>
      <c r="BXD1876" s="1740"/>
      <c r="BXE1876" s="1740"/>
      <c r="BXF1876" s="1740"/>
      <c r="BXG1876" s="1740"/>
      <c r="BXH1876" s="1740"/>
      <c r="BXI1876" s="1740"/>
      <c r="BXJ1876" s="1740"/>
      <c r="BXK1876" s="1740"/>
      <c r="BXL1876" s="1740"/>
      <c r="BXM1876" s="1740"/>
      <c r="BXN1876" s="1740"/>
      <c r="BXO1876" s="1740"/>
      <c r="BXP1876" s="1740"/>
      <c r="BXQ1876" s="1740"/>
      <c r="BXR1876" s="1740"/>
      <c r="BXS1876" s="1740"/>
      <c r="BXT1876" s="1740"/>
      <c r="BXU1876" s="1740"/>
      <c r="BXV1876" s="1740"/>
      <c r="BXW1876" s="1740"/>
      <c r="BXX1876" s="1740"/>
      <c r="BXY1876" s="1740"/>
      <c r="BXZ1876" s="1740"/>
      <c r="BYA1876" s="1740"/>
      <c r="BYB1876" s="1740"/>
      <c r="BYC1876" s="1740"/>
      <c r="BYD1876" s="1740"/>
      <c r="BYE1876" s="1740"/>
      <c r="BYF1876" s="1740"/>
      <c r="BYG1876" s="1740"/>
      <c r="BYH1876" s="1740"/>
      <c r="BYI1876" s="1740"/>
      <c r="BYJ1876" s="1740"/>
      <c r="BYK1876" s="1740"/>
      <c r="BYL1876" s="1740"/>
      <c r="BYM1876" s="1740"/>
      <c r="BYN1876" s="1740"/>
      <c r="BYO1876" s="1740"/>
      <c r="BYP1876" s="1740"/>
      <c r="BYQ1876" s="1740"/>
      <c r="BYR1876" s="1740"/>
      <c r="BYS1876" s="1740"/>
      <c r="BYT1876" s="1740"/>
      <c r="BYU1876" s="1740"/>
      <c r="BYV1876" s="1740"/>
      <c r="BYW1876" s="1740"/>
      <c r="BYX1876" s="1740"/>
      <c r="BYY1876" s="1740"/>
      <c r="BYZ1876" s="1740"/>
      <c r="BZA1876" s="1740"/>
      <c r="BZB1876" s="1740"/>
      <c r="BZC1876" s="1740"/>
      <c r="BZD1876" s="1740"/>
      <c r="BZE1876" s="1740"/>
      <c r="BZF1876" s="1740"/>
      <c r="BZG1876" s="1740"/>
      <c r="BZH1876" s="1740"/>
      <c r="BZI1876" s="1740"/>
      <c r="BZJ1876" s="1740"/>
      <c r="BZK1876" s="1740"/>
      <c r="BZL1876" s="1740"/>
      <c r="BZM1876" s="1740"/>
      <c r="BZN1876" s="1740"/>
      <c r="BZO1876" s="1740"/>
      <c r="BZP1876" s="1740"/>
      <c r="BZQ1876" s="1740"/>
      <c r="BZR1876" s="1740"/>
      <c r="BZS1876" s="1740"/>
      <c r="BZT1876" s="1740"/>
      <c r="BZU1876" s="1740"/>
      <c r="BZV1876" s="1740"/>
      <c r="BZW1876" s="1740"/>
      <c r="BZX1876" s="1740"/>
      <c r="BZY1876" s="1740"/>
      <c r="BZZ1876" s="1740"/>
      <c r="CAA1876" s="1740"/>
      <c r="CAB1876" s="1740"/>
      <c r="CAC1876" s="1740"/>
      <c r="CAD1876" s="1740"/>
      <c r="CAE1876" s="1740"/>
      <c r="CAF1876" s="1740"/>
      <c r="CAG1876" s="1740"/>
      <c r="CAH1876" s="1740"/>
      <c r="CAI1876" s="1740"/>
      <c r="CAJ1876" s="1740"/>
      <c r="CAK1876" s="1740"/>
      <c r="CAL1876" s="1740"/>
      <c r="CAM1876" s="1740"/>
      <c r="CAN1876" s="1740"/>
      <c r="CAO1876" s="1740"/>
      <c r="CAP1876" s="1740"/>
      <c r="CAQ1876" s="1740"/>
      <c r="CAR1876" s="1740"/>
      <c r="CAS1876" s="1740"/>
      <c r="CAT1876" s="1740"/>
      <c r="CAU1876" s="1740"/>
      <c r="CAV1876" s="1740"/>
      <c r="CAW1876" s="1740"/>
      <c r="CAX1876" s="1740"/>
      <c r="CAY1876" s="1740"/>
      <c r="CAZ1876" s="1740"/>
      <c r="CBA1876" s="1740"/>
      <c r="CBB1876" s="1740"/>
      <c r="CBC1876" s="1740"/>
      <c r="CBD1876" s="1740"/>
      <c r="CBE1876" s="1740"/>
      <c r="CBF1876" s="1740"/>
      <c r="CBG1876" s="1740"/>
      <c r="CBH1876" s="1740"/>
      <c r="CBI1876" s="1740"/>
      <c r="CBJ1876" s="1740"/>
      <c r="CBK1876" s="1740"/>
      <c r="CBL1876" s="1740"/>
      <c r="CBM1876" s="1740"/>
      <c r="CBN1876" s="1740"/>
      <c r="CBO1876" s="1740"/>
      <c r="CBP1876" s="1740"/>
      <c r="CBQ1876" s="1740"/>
      <c r="CBR1876" s="1740"/>
      <c r="CBS1876" s="1740"/>
      <c r="CBT1876" s="1740"/>
      <c r="CBU1876" s="1740"/>
      <c r="CBV1876" s="1740"/>
      <c r="CBW1876" s="1740"/>
      <c r="CBX1876" s="1740"/>
      <c r="CBY1876" s="1740"/>
      <c r="CBZ1876" s="1740"/>
      <c r="CCA1876" s="1740"/>
      <c r="CCB1876" s="1740"/>
      <c r="CCC1876" s="1740"/>
      <c r="CCD1876" s="1740"/>
      <c r="CCE1876" s="1740"/>
      <c r="CCF1876" s="1740"/>
      <c r="CCG1876" s="1740"/>
      <c r="CCH1876" s="1740"/>
      <c r="CCI1876" s="1740"/>
      <c r="CCJ1876" s="1740"/>
      <c r="CCK1876" s="1740"/>
      <c r="CCL1876" s="1740"/>
      <c r="CCM1876" s="1740"/>
      <c r="CCN1876" s="1740"/>
      <c r="CCO1876" s="1740"/>
      <c r="CCP1876" s="1740"/>
      <c r="CCQ1876" s="1740"/>
      <c r="CCR1876" s="1740"/>
      <c r="CCS1876" s="1740"/>
      <c r="CCT1876" s="1740"/>
      <c r="CCU1876" s="1740"/>
      <c r="CCV1876" s="1740"/>
      <c r="CCW1876" s="1740"/>
      <c r="CCX1876" s="1740"/>
      <c r="CCY1876" s="1740"/>
      <c r="CCZ1876" s="1740"/>
      <c r="CDA1876" s="1740"/>
      <c r="CDB1876" s="1740"/>
      <c r="CDC1876" s="1740"/>
      <c r="CDD1876" s="1740"/>
      <c r="CDE1876" s="1740"/>
      <c r="CDF1876" s="1740"/>
      <c r="CDG1876" s="1740"/>
      <c r="CDH1876" s="1740"/>
      <c r="CDI1876" s="1740"/>
      <c r="CDJ1876" s="1740"/>
      <c r="CDK1876" s="1740"/>
      <c r="CDL1876" s="1740"/>
      <c r="CDM1876" s="1740"/>
      <c r="CDN1876" s="1740"/>
      <c r="CDO1876" s="1740"/>
      <c r="CDP1876" s="1740"/>
      <c r="CDQ1876" s="1740"/>
      <c r="CDR1876" s="1740"/>
      <c r="CDS1876" s="1740"/>
      <c r="CDT1876" s="1740"/>
      <c r="CDU1876" s="1740"/>
      <c r="CDV1876" s="1740"/>
      <c r="CDW1876" s="1740"/>
      <c r="CDX1876" s="1740"/>
      <c r="CDY1876" s="1740"/>
      <c r="CDZ1876" s="1740"/>
      <c r="CEA1876" s="1740"/>
      <c r="CEB1876" s="1740"/>
      <c r="CEC1876" s="1740"/>
      <c r="CED1876" s="1740"/>
      <c r="CEE1876" s="1740"/>
      <c r="CEF1876" s="1740"/>
      <c r="CEG1876" s="1740"/>
      <c r="CEH1876" s="1740"/>
      <c r="CEI1876" s="1740"/>
      <c r="CEJ1876" s="1740"/>
      <c r="CEK1876" s="1740"/>
      <c r="CEL1876" s="1740"/>
      <c r="CEM1876" s="1740"/>
      <c r="CEN1876" s="1740"/>
      <c r="CEO1876" s="1740"/>
      <c r="CEP1876" s="1740"/>
      <c r="CEQ1876" s="1740"/>
      <c r="CER1876" s="1740"/>
      <c r="CES1876" s="1740"/>
      <c r="CET1876" s="1740"/>
      <c r="CEU1876" s="1740"/>
      <c r="CEV1876" s="1740"/>
      <c r="CEW1876" s="1740"/>
      <c r="CEX1876" s="1740"/>
      <c r="CEY1876" s="1740"/>
      <c r="CEZ1876" s="1740"/>
      <c r="CFA1876" s="1740"/>
      <c r="CFB1876" s="1740"/>
      <c r="CFC1876" s="1740"/>
      <c r="CFD1876" s="1740"/>
      <c r="CFE1876" s="1740"/>
      <c r="CFF1876" s="1740"/>
      <c r="CFG1876" s="1740"/>
      <c r="CFH1876" s="1740"/>
      <c r="CFI1876" s="1740"/>
      <c r="CFJ1876" s="1740"/>
      <c r="CFK1876" s="1740"/>
      <c r="CFL1876" s="1740"/>
      <c r="CFM1876" s="1740"/>
      <c r="CFN1876" s="1740"/>
      <c r="CFO1876" s="1740"/>
      <c r="CFP1876" s="1740"/>
      <c r="CFQ1876" s="1740"/>
      <c r="CFR1876" s="1740"/>
      <c r="CFS1876" s="1740"/>
      <c r="CFT1876" s="1740"/>
      <c r="CFU1876" s="1740"/>
      <c r="CFV1876" s="1740"/>
      <c r="CFW1876" s="1740"/>
      <c r="CFX1876" s="1740"/>
      <c r="CFY1876" s="1740"/>
      <c r="CFZ1876" s="1740"/>
      <c r="CGA1876" s="1740"/>
      <c r="CGB1876" s="1740"/>
      <c r="CGC1876" s="1740"/>
      <c r="CGD1876" s="1740"/>
      <c r="CGE1876" s="1740"/>
      <c r="CGF1876" s="1740"/>
      <c r="CGG1876" s="1740"/>
      <c r="CGH1876" s="1740"/>
      <c r="CGI1876" s="1740"/>
      <c r="CGJ1876" s="1740"/>
      <c r="CGK1876" s="1740"/>
      <c r="CGL1876" s="1740"/>
      <c r="CGM1876" s="1740"/>
      <c r="CGN1876" s="1740"/>
      <c r="CGO1876" s="1740"/>
      <c r="CGP1876" s="1740"/>
      <c r="CGQ1876" s="1740"/>
      <c r="CGR1876" s="1740"/>
      <c r="CGS1876" s="1740"/>
      <c r="CGT1876" s="1740"/>
      <c r="CGU1876" s="1740"/>
      <c r="CGV1876" s="1740"/>
      <c r="CGW1876" s="1740"/>
      <c r="CGX1876" s="1740"/>
      <c r="CGY1876" s="1740"/>
      <c r="CGZ1876" s="1740"/>
      <c r="CHA1876" s="1740"/>
      <c r="CHB1876" s="1740"/>
      <c r="CHC1876" s="1740"/>
      <c r="CHD1876" s="1740"/>
      <c r="CHE1876" s="1740"/>
      <c r="CHF1876" s="1740"/>
      <c r="CHG1876" s="1740"/>
      <c r="CHH1876" s="1740"/>
      <c r="CHI1876" s="1740"/>
      <c r="CHJ1876" s="1740"/>
      <c r="CHK1876" s="1740"/>
      <c r="CHL1876" s="1740"/>
      <c r="CHM1876" s="1740"/>
      <c r="CHN1876" s="1740"/>
      <c r="CHO1876" s="1740"/>
      <c r="CHP1876" s="1740"/>
      <c r="CHQ1876" s="1740"/>
      <c r="CHR1876" s="1740"/>
      <c r="CHS1876" s="1740"/>
      <c r="CHT1876" s="1740"/>
      <c r="CHU1876" s="1740"/>
      <c r="CHV1876" s="1740"/>
      <c r="CHW1876" s="1740"/>
      <c r="CHX1876" s="1740"/>
      <c r="CHY1876" s="1740"/>
      <c r="CHZ1876" s="1740"/>
      <c r="CIA1876" s="1740"/>
      <c r="CIB1876" s="1740"/>
      <c r="CIC1876" s="1740"/>
      <c r="CID1876" s="1740"/>
      <c r="CIE1876" s="1740"/>
      <c r="CIF1876" s="1740"/>
      <c r="CIG1876" s="1740"/>
      <c r="CIH1876" s="1740"/>
      <c r="CII1876" s="1740"/>
      <c r="CIJ1876" s="1740"/>
      <c r="CIK1876" s="1740"/>
      <c r="CIL1876" s="1740"/>
      <c r="CIM1876" s="1740"/>
      <c r="CIN1876" s="1740"/>
      <c r="CIO1876" s="1740"/>
      <c r="CIP1876" s="1740"/>
      <c r="CIQ1876" s="1740"/>
      <c r="CIR1876" s="1740"/>
      <c r="CIS1876" s="1740"/>
      <c r="CIT1876" s="1740"/>
      <c r="CIU1876" s="1740"/>
      <c r="CIV1876" s="1740"/>
      <c r="CIW1876" s="1740"/>
      <c r="CIX1876" s="1740"/>
      <c r="CIY1876" s="1740"/>
      <c r="CIZ1876" s="1740"/>
      <c r="CJA1876" s="1740"/>
      <c r="CJB1876" s="1740"/>
      <c r="CJC1876" s="1740"/>
      <c r="CJD1876" s="1740"/>
      <c r="CJE1876" s="1740"/>
      <c r="CJF1876" s="1740"/>
      <c r="CJG1876" s="1740"/>
      <c r="CJH1876" s="1740"/>
      <c r="CJI1876" s="1740"/>
      <c r="CJJ1876" s="1740"/>
      <c r="CJK1876" s="1740"/>
      <c r="CJL1876" s="1740"/>
      <c r="CJM1876" s="1740"/>
      <c r="CJN1876" s="1740"/>
      <c r="CJO1876" s="1740"/>
      <c r="CJP1876" s="1740"/>
      <c r="CJQ1876" s="1740"/>
      <c r="CJR1876" s="1740"/>
      <c r="CJS1876" s="1740"/>
      <c r="CJT1876" s="1740"/>
      <c r="CJU1876" s="1740"/>
      <c r="CJV1876" s="1740"/>
      <c r="CJW1876" s="1740"/>
      <c r="CJX1876" s="1740"/>
      <c r="CJY1876" s="1740"/>
      <c r="CJZ1876" s="1740"/>
      <c r="CKA1876" s="1740"/>
      <c r="CKB1876" s="1740"/>
      <c r="CKC1876" s="1740"/>
      <c r="CKD1876" s="1740"/>
      <c r="CKE1876" s="1740"/>
      <c r="CKF1876" s="1740"/>
      <c r="CKG1876" s="1740"/>
      <c r="CKH1876" s="1740"/>
      <c r="CKI1876" s="1740"/>
      <c r="CKJ1876" s="1740"/>
      <c r="CKK1876" s="1740"/>
      <c r="CKL1876" s="1740"/>
      <c r="CKM1876" s="1740"/>
      <c r="CKN1876" s="1740"/>
      <c r="CKO1876" s="1740"/>
      <c r="CKP1876" s="1740"/>
      <c r="CKQ1876" s="1740"/>
      <c r="CKR1876" s="1740"/>
      <c r="CKS1876" s="1740"/>
      <c r="CKT1876" s="1740"/>
      <c r="CKU1876" s="1740"/>
      <c r="CKV1876" s="1740"/>
      <c r="CKW1876" s="1740"/>
      <c r="CKX1876" s="1740"/>
      <c r="CKY1876" s="1740"/>
      <c r="CKZ1876" s="1740"/>
      <c r="CLA1876" s="1740"/>
      <c r="CLB1876" s="1740"/>
      <c r="CLC1876" s="1740"/>
      <c r="CLD1876" s="1740"/>
      <c r="CLE1876" s="1740"/>
      <c r="CLF1876" s="1740"/>
      <c r="CLG1876" s="1740"/>
      <c r="CLH1876" s="1740"/>
      <c r="CLI1876" s="1740"/>
      <c r="CLJ1876" s="1740"/>
      <c r="CLK1876" s="1740"/>
      <c r="CLL1876" s="1740"/>
      <c r="CLM1876" s="1740"/>
      <c r="CLN1876" s="1740"/>
      <c r="CLO1876" s="1740"/>
      <c r="CLP1876" s="1740"/>
      <c r="CLQ1876" s="1740"/>
      <c r="CLR1876" s="1740"/>
      <c r="CLS1876" s="1740"/>
      <c r="CLT1876" s="1740"/>
      <c r="CLU1876" s="1740"/>
      <c r="CLV1876" s="1740"/>
      <c r="CLW1876" s="1740"/>
      <c r="CLX1876" s="1740"/>
      <c r="CLY1876" s="1740"/>
      <c r="CLZ1876" s="1740"/>
      <c r="CMA1876" s="1740"/>
      <c r="CMB1876" s="1740"/>
      <c r="CMC1876" s="1740"/>
      <c r="CMD1876" s="1740"/>
      <c r="CME1876" s="1740"/>
      <c r="CMF1876" s="1740"/>
      <c r="CMG1876" s="1740"/>
      <c r="CMH1876" s="1740"/>
      <c r="CMI1876" s="1740"/>
      <c r="CMJ1876" s="1740"/>
      <c r="CMK1876" s="1740"/>
      <c r="CML1876" s="1740"/>
      <c r="CMM1876" s="1740"/>
      <c r="CMN1876" s="1740"/>
      <c r="CMO1876" s="1740"/>
      <c r="CMP1876" s="1740"/>
      <c r="CMQ1876" s="1740"/>
      <c r="CMR1876" s="1740"/>
      <c r="CMS1876" s="1740"/>
      <c r="CMT1876" s="1740"/>
      <c r="CMU1876" s="1740"/>
      <c r="CMV1876" s="1740"/>
      <c r="CMW1876" s="1740"/>
      <c r="CMX1876" s="1740"/>
      <c r="CMY1876" s="1740"/>
      <c r="CMZ1876" s="1740"/>
      <c r="CNA1876" s="1740"/>
      <c r="CNB1876" s="1740"/>
      <c r="CNC1876" s="1740"/>
      <c r="CND1876" s="1740"/>
      <c r="CNE1876" s="1740"/>
      <c r="CNF1876" s="1740"/>
      <c r="CNG1876" s="1740"/>
      <c r="CNH1876" s="1740"/>
      <c r="CNI1876" s="1740"/>
      <c r="CNJ1876" s="1740"/>
      <c r="CNK1876" s="1740"/>
      <c r="CNL1876" s="1740"/>
      <c r="CNM1876" s="1740"/>
      <c r="CNN1876" s="1740"/>
      <c r="CNO1876" s="1740"/>
      <c r="CNP1876" s="1740"/>
      <c r="CNQ1876" s="1740"/>
      <c r="CNR1876" s="1740"/>
      <c r="CNS1876" s="1740"/>
      <c r="CNT1876" s="1740"/>
      <c r="CNU1876" s="1740"/>
      <c r="CNV1876" s="1740"/>
      <c r="CNW1876" s="1740"/>
      <c r="CNX1876" s="1740"/>
      <c r="CNY1876" s="1740"/>
      <c r="CNZ1876" s="1740"/>
      <c r="COA1876" s="1740"/>
      <c r="COB1876" s="1740"/>
      <c r="COC1876" s="1740"/>
      <c r="COD1876" s="1740"/>
      <c r="COE1876" s="1740"/>
      <c r="COF1876" s="1740"/>
      <c r="COG1876" s="1740"/>
      <c r="COH1876" s="1740"/>
      <c r="COI1876" s="1740"/>
      <c r="COJ1876" s="1740"/>
      <c r="COK1876" s="1740"/>
      <c r="COL1876" s="1740"/>
      <c r="COM1876" s="1740"/>
      <c r="CON1876" s="1740"/>
      <c r="COO1876" s="1740"/>
      <c r="COP1876" s="1740"/>
      <c r="COQ1876" s="1740"/>
      <c r="COR1876" s="1740"/>
      <c r="COS1876" s="1740"/>
      <c r="COT1876" s="1740"/>
      <c r="COU1876" s="1740"/>
      <c r="COV1876" s="1740"/>
      <c r="COW1876" s="1740"/>
      <c r="COX1876" s="1740"/>
      <c r="COY1876" s="1740"/>
      <c r="COZ1876" s="1740"/>
      <c r="CPA1876" s="1740"/>
      <c r="CPB1876" s="1740"/>
      <c r="CPC1876" s="1740"/>
      <c r="CPD1876" s="1740"/>
      <c r="CPE1876" s="1740"/>
      <c r="CPF1876" s="1740"/>
      <c r="CPG1876" s="1740"/>
      <c r="CPH1876" s="1740"/>
      <c r="CPI1876" s="1740"/>
      <c r="CPJ1876" s="1740"/>
      <c r="CPK1876" s="1740"/>
      <c r="CPL1876" s="1740"/>
      <c r="CPM1876" s="1740"/>
      <c r="CPN1876" s="1740"/>
      <c r="CPO1876" s="1740"/>
      <c r="CPP1876" s="1740"/>
      <c r="CPQ1876" s="1740"/>
      <c r="CPR1876" s="1740"/>
      <c r="CPS1876" s="1740"/>
      <c r="CPT1876" s="1740"/>
      <c r="CPU1876" s="1740"/>
      <c r="CPV1876" s="1740"/>
      <c r="CPW1876" s="1740"/>
      <c r="CPX1876" s="1740"/>
      <c r="CPY1876" s="1740"/>
      <c r="CPZ1876" s="1740"/>
      <c r="CQA1876" s="1740"/>
      <c r="CQB1876" s="1740"/>
      <c r="CQC1876" s="1740"/>
      <c r="CQD1876" s="1740"/>
      <c r="CQE1876" s="1740"/>
      <c r="CQF1876" s="1740"/>
      <c r="CQG1876" s="1740"/>
      <c r="CQH1876" s="1740"/>
      <c r="CQI1876" s="1740"/>
      <c r="CQJ1876" s="1740"/>
      <c r="CQK1876" s="1740"/>
      <c r="CQL1876" s="1740"/>
      <c r="CQM1876" s="1740"/>
      <c r="CQN1876" s="1740"/>
      <c r="CQO1876" s="1740"/>
      <c r="CQP1876" s="1740"/>
      <c r="CQQ1876" s="1740"/>
      <c r="CQR1876" s="1740"/>
      <c r="CQS1876" s="1740"/>
      <c r="CQT1876" s="1740"/>
      <c r="CQU1876" s="1740"/>
      <c r="CQV1876" s="1740"/>
      <c r="CQW1876" s="1740"/>
      <c r="CQX1876" s="1740"/>
      <c r="CQY1876" s="1740"/>
      <c r="CQZ1876" s="1740"/>
      <c r="CRA1876" s="1740"/>
      <c r="CRB1876" s="1740"/>
      <c r="CRC1876" s="1740"/>
      <c r="CRD1876" s="1740"/>
      <c r="CRE1876" s="1740"/>
      <c r="CRF1876" s="1740"/>
      <c r="CRG1876" s="1740"/>
      <c r="CRH1876" s="1740"/>
      <c r="CRI1876" s="1740"/>
      <c r="CRJ1876" s="1740"/>
      <c r="CRK1876" s="1740"/>
      <c r="CRL1876" s="1740"/>
      <c r="CRM1876" s="1740"/>
      <c r="CRN1876" s="1740"/>
      <c r="CRO1876" s="1740"/>
      <c r="CRP1876" s="1740"/>
      <c r="CRQ1876" s="1740"/>
      <c r="CRR1876" s="1740"/>
      <c r="CRS1876" s="1740"/>
      <c r="CRT1876" s="1740"/>
      <c r="CRU1876" s="1740"/>
      <c r="CRV1876" s="1740"/>
      <c r="CRW1876" s="1740"/>
      <c r="CRX1876" s="1740"/>
      <c r="CRY1876" s="1740"/>
      <c r="CRZ1876" s="1740"/>
      <c r="CSA1876" s="1740"/>
      <c r="CSB1876" s="1740"/>
      <c r="CSC1876" s="1740"/>
      <c r="CSD1876" s="1740"/>
      <c r="CSE1876" s="1740"/>
      <c r="CSF1876" s="1740"/>
      <c r="CSG1876" s="1740"/>
      <c r="CSH1876" s="1740"/>
      <c r="CSI1876" s="1740"/>
      <c r="CSJ1876" s="1740"/>
      <c r="CSK1876" s="1740"/>
      <c r="CSL1876" s="1740"/>
      <c r="CSM1876" s="1740"/>
      <c r="CSN1876" s="1740"/>
      <c r="CSO1876" s="1740"/>
      <c r="CSP1876" s="1740"/>
      <c r="CSQ1876" s="1740"/>
      <c r="CSR1876" s="1740"/>
      <c r="CSS1876" s="1740"/>
      <c r="CST1876" s="1740"/>
      <c r="CSU1876" s="1740"/>
      <c r="CSV1876" s="1740"/>
      <c r="CSW1876" s="1740"/>
      <c r="CSX1876" s="1740"/>
      <c r="CSY1876" s="1740"/>
      <c r="CSZ1876" s="1740"/>
      <c r="CTA1876" s="1740"/>
      <c r="CTB1876" s="1740"/>
      <c r="CTC1876" s="1740"/>
      <c r="CTD1876" s="1740"/>
      <c r="CTE1876" s="1740"/>
      <c r="CTF1876" s="1740"/>
      <c r="CTG1876" s="1740"/>
      <c r="CTH1876" s="1740"/>
      <c r="CTI1876" s="1740"/>
      <c r="CTJ1876" s="1740"/>
      <c r="CTK1876" s="1740"/>
      <c r="CTL1876" s="1740"/>
      <c r="CTM1876" s="1740"/>
      <c r="CTN1876" s="1740"/>
      <c r="CTO1876" s="1740"/>
      <c r="CTP1876" s="1740"/>
      <c r="CTQ1876" s="1740"/>
      <c r="CTR1876" s="1740"/>
      <c r="CTS1876" s="1740"/>
      <c r="CTT1876" s="1740"/>
      <c r="CTU1876" s="1740"/>
      <c r="CTV1876" s="1740"/>
      <c r="CTW1876" s="1740"/>
      <c r="CTX1876" s="1740"/>
      <c r="CTY1876" s="1740"/>
      <c r="CTZ1876" s="1740"/>
      <c r="CUA1876" s="1740"/>
      <c r="CUB1876" s="1740"/>
      <c r="CUC1876" s="1740"/>
      <c r="CUD1876" s="1740"/>
      <c r="CUE1876" s="1740"/>
      <c r="CUF1876" s="1740"/>
      <c r="CUG1876" s="1740"/>
      <c r="CUH1876" s="1740"/>
      <c r="CUI1876" s="1740"/>
      <c r="CUJ1876" s="1740"/>
      <c r="CUK1876" s="1740"/>
      <c r="CUL1876" s="1740"/>
      <c r="CUM1876" s="1740"/>
      <c r="CUN1876" s="1740"/>
      <c r="CUO1876" s="1740"/>
      <c r="CUP1876" s="1740"/>
      <c r="CUQ1876" s="1740"/>
      <c r="CUR1876" s="1740"/>
      <c r="CUS1876" s="1740"/>
      <c r="CUT1876" s="1740"/>
      <c r="CUU1876" s="1740"/>
      <c r="CUV1876" s="1740"/>
      <c r="CUW1876" s="1740"/>
      <c r="CUX1876" s="1740"/>
      <c r="CUY1876" s="1740"/>
      <c r="CUZ1876" s="1740"/>
      <c r="CVA1876" s="1740"/>
      <c r="CVB1876" s="1740"/>
      <c r="CVC1876" s="1740"/>
      <c r="CVD1876" s="1740"/>
      <c r="CVE1876" s="1740"/>
      <c r="CVF1876" s="1740"/>
      <c r="CVG1876" s="1740"/>
      <c r="CVH1876" s="1740"/>
      <c r="CVI1876" s="1740"/>
      <c r="CVJ1876" s="1740"/>
      <c r="CVK1876" s="1740"/>
      <c r="CVL1876" s="1740"/>
      <c r="CVM1876" s="1740"/>
      <c r="CVN1876" s="1740"/>
      <c r="CVO1876" s="1740"/>
      <c r="CVP1876" s="1740"/>
      <c r="CVQ1876" s="1740"/>
      <c r="CVR1876" s="1740"/>
      <c r="CVS1876" s="1740"/>
      <c r="CVT1876" s="1740"/>
      <c r="CVU1876" s="1740"/>
      <c r="CVV1876" s="1740"/>
      <c r="CVW1876" s="1740"/>
      <c r="CVX1876" s="1740"/>
      <c r="CVY1876" s="1740"/>
      <c r="CVZ1876" s="1740"/>
      <c r="CWA1876" s="1740"/>
      <c r="CWB1876" s="1740"/>
      <c r="CWC1876" s="1740"/>
      <c r="CWD1876" s="1740"/>
      <c r="CWE1876" s="1740"/>
      <c r="CWF1876" s="1740"/>
      <c r="CWG1876" s="1740"/>
      <c r="CWH1876" s="1740"/>
      <c r="CWI1876" s="1740"/>
      <c r="CWJ1876" s="1740"/>
      <c r="CWK1876" s="1740"/>
      <c r="CWL1876" s="1740"/>
      <c r="CWM1876" s="1740"/>
      <c r="CWN1876" s="1740"/>
      <c r="CWO1876" s="1740"/>
      <c r="CWP1876" s="1740"/>
      <c r="CWQ1876" s="1740"/>
      <c r="CWR1876" s="1740"/>
      <c r="CWS1876" s="1740"/>
      <c r="CWT1876" s="1740"/>
      <c r="CWU1876" s="1740"/>
      <c r="CWV1876" s="1740"/>
      <c r="CWW1876" s="1740"/>
      <c r="CWX1876" s="1740"/>
      <c r="CWY1876" s="1740"/>
      <c r="CWZ1876" s="1740"/>
      <c r="CXA1876" s="1740"/>
      <c r="CXB1876" s="1740"/>
      <c r="CXC1876" s="1740"/>
      <c r="CXD1876" s="1740"/>
      <c r="CXE1876" s="1740"/>
      <c r="CXF1876" s="1740"/>
      <c r="CXG1876" s="1740"/>
      <c r="CXH1876" s="1740"/>
      <c r="CXI1876" s="1740"/>
      <c r="CXJ1876" s="1740"/>
      <c r="CXK1876" s="1740"/>
      <c r="CXL1876" s="1740"/>
      <c r="CXM1876" s="1740"/>
      <c r="CXN1876" s="1740"/>
      <c r="CXO1876" s="1740"/>
      <c r="CXP1876" s="1740"/>
      <c r="CXQ1876" s="1740"/>
      <c r="CXR1876" s="1740"/>
      <c r="CXS1876" s="1740"/>
      <c r="CXT1876" s="1740"/>
      <c r="CXU1876" s="1740"/>
      <c r="CXV1876" s="1740"/>
      <c r="CXW1876" s="1740"/>
      <c r="CXX1876" s="1740"/>
      <c r="CXY1876" s="1740"/>
      <c r="CXZ1876" s="1740"/>
      <c r="CYA1876" s="1740"/>
      <c r="CYB1876" s="1740"/>
      <c r="CYC1876" s="1740"/>
      <c r="CYD1876" s="1740"/>
      <c r="CYE1876" s="1740"/>
      <c r="CYF1876" s="1740"/>
      <c r="CYG1876" s="1740"/>
      <c r="CYH1876" s="1740"/>
      <c r="CYI1876" s="1740"/>
      <c r="CYJ1876" s="1740"/>
      <c r="CYK1876" s="1740"/>
      <c r="CYL1876" s="1740"/>
      <c r="CYM1876" s="1740"/>
      <c r="CYN1876" s="1740"/>
      <c r="CYO1876" s="1740"/>
      <c r="CYP1876" s="1740"/>
      <c r="CYQ1876" s="1740"/>
      <c r="CYR1876" s="1740"/>
      <c r="CYS1876" s="1740"/>
      <c r="CYT1876" s="1740"/>
      <c r="CYU1876" s="1740"/>
      <c r="CYV1876" s="1740"/>
      <c r="CYW1876" s="1740"/>
      <c r="CYX1876" s="1740"/>
      <c r="CYY1876" s="1740"/>
      <c r="CYZ1876" s="1740"/>
      <c r="CZA1876" s="1740"/>
      <c r="CZB1876" s="1740"/>
      <c r="CZC1876" s="1740"/>
      <c r="CZD1876" s="1740"/>
      <c r="CZE1876" s="1740"/>
      <c r="CZF1876" s="1740"/>
      <c r="CZG1876" s="1740"/>
      <c r="CZH1876" s="1740"/>
      <c r="CZI1876" s="1740"/>
      <c r="CZJ1876" s="1740"/>
      <c r="CZK1876" s="1740"/>
      <c r="CZL1876" s="1740"/>
      <c r="CZM1876" s="1740"/>
      <c r="CZN1876" s="1740"/>
      <c r="CZO1876" s="1740"/>
      <c r="CZP1876" s="1740"/>
      <c r="CZQ1876" s="1740"/>
      <c r="CZR1876" s="1740"/>
      <c r="CZS1876" s="1740"/>
      <c r="CZT1876" s="1740"/>
      <c r="CZU1876" s="1740"/>
      <c r="CZV1876" s="1740"/>
      <c r="CZW1876" s="1740"/>
      <c r="CZX1876" s="1740"/>
      <c r="CZY1876" s="1740"/>
      <c r="CZZ1876" s="1740"/>
      <c r="DAA1876" s="1740"/>
      <c r="DAB1876" s="1740"/>
      <c r="DAC1876" s="1740"/>
      <c r="DAD1876" s="1740"/>
      <c r="DAE1876" s="1740"/>
      <c r="DAF1876" s="1740"/>
      <c r="DAG1876" s="1740"/>
      <c r="DAH1876" s="1740"/>
      <c r="DAI1876" s="1740"/>
      <c r="DAJ1876" s="1740"/>
      <c r="DAK1876" s="1740"/>
      <c r="DAL1876" s="1740"/>
      <c r="DAM1876" s="1740"/>
      <c r="DAN1876" s="1740"/>
      <c r="DAO1876" s="1740"/>
      <c r="DAP1876" s="1740"/>
      <c r="DAQ1876" s="1740"/>
      <c r="DAR1876" s="1740"/>
      <c r="DAS1876" s="1740"/>
      <c r="DAT1876" s="1740"/>
      <c r="DAU1876" s="1740"/>
      <c r="DAV1876" s="1740"/>
      <c r="DAW1876" s="1740"/>
      <c r="DAX1876" s="1740"/>
      <c r="DAY1876" s="1740"/>
      <c r="DAZ1876" s="1740"/>
      <c r="DBA1876" s="1740"/>
      <c r="DBB1876" s="1740"/>
      <c r="DBC1876" s="1740"/>
      <c r="DBD1876" s="1740"/>
      <c r="DBE1876" s="1740"/>
      <c r="DBF1876" s="1740"/>
      <c r="DBG1876" s="1740"/>
      <c r="DBH1876" s="1740"/>
      <c r="DBI1876" s="1740"/>
      <c r="DBJ1876" s="1740"/>
      <c r="DBK1876" s="1740"/>
      <c r="DBL1876" s="1740"/>
      <c r="DBM1876" s="1740"/>
      <c r="DBN1876" s="1740"/>
      <c r="DBO1876" s="1740"/>
      <c r="DBP1876" s="1740"/>
      <c r="DBQ1876" s="1740"/>
      <c r="DBR1876" s="1740"/>
      <c r="DBS1876" s="1740"/>
      <c r="DBT1876" s="1740"/>
      <c r="DBU1876" s="1740"/>
      <c r="DBV1876" s="1740"/>
      <c r="DBW1876" s="1740"/>
      <c r="DBX1876" s="1740"/>
      <c r="DBY1876" s="1740"/>
      <c r="DBZ1876" s="1740"/>
      <c r="DCA1876" s="1740"/>
      <c r="DCB1876" s="1740"/>
      <c r="DCC1876" s="1740"/>
      <c r="DCD1876" s="1740"/>
      <c r="DCE1876" s="1740"/>
      <c r="DCF1876" s="1740"/>
      <c r="DCG1876" s="1740"/>
      <c r="DCH1876" s="1740"/>
      <c r="DCI1876" s="1740"/>
      <c r="DCJ1876" s="1740"/>
      <c r="DCK1876" s="1740"/>
      <c r="DCL1876" s="1740"/>
      <c r="DCM1876" s="1740"/>
      <c r="DCN1876" s="1740"/>
      <c r="DCO1876" s="1740"/>
      <c r="DCP1876" s="1740"/>
      <c r="DCQ1876" s="1740"/>
      <c r="DCR1876" s="1740"/>
      <c r="DCS1876" s="1740"/>
      <c r="DCT1876" s="1740"/>
      <c r="DCU1876" s="1740"/>
      <c r="DCV1876" s="1740"/>
      <c r="DCW1876" s="1740"/>
      <c r="DCX1876" s="1740"/>
      <c r="DCY1876" s="1740"/>
      <c r="DCZ1876" s="1740"/>
      <c r="DDA1876" s="1740"/>
      <c r="DDB1876" s="1740"/>
      <c r="DDC1876" s="1740"/>
      <c r="DDD1876" s="1740"/>
      <c r="DDE1876" s="1740"/>
      <c r="DDF1876" s="1740"/>
      <c r="DDG1876" s="1740"/>
      <c r="DDH1876" s="1740"/>
      <c r="DDI1876" s="1740"/>
      <c r="DDJ1876" s="1740"/>
      <c r="DDK1876" s="1740"/>
      <c r="DDL1876" s="1740"/>
      <c r="DDM1876" s="1740"/>
      <c r="DDN1876" s="1740"/>
      <c r="DDO1876" s="1740"/>
      <c r="DDP1876" s="1740"/>
      <c r="DDQ1876" s="1740"/>
      <c r="DDR1876" s="1740"/>
      <c r="DDS1876" s="1740"/>
      <c r="DDT1876" s="1740"/>
      <c r="DDU1876" s="1740"/>
      <c r="DDV1876" s="1740"/>
      <c r="DDW1876" s="1740"/>
      <c r="DDX1876" s="1740"/>
      <c r="DDY1876" s="1740"/>
      <c r="DDZ1876" s="1740"/>
      <c r="DEA1876" s="1740"/>
      <c r="DEB1876" s="1740"/>
      <c r="DEC1876" s="1740"/>
      <c r="DED1876" s="1740"/>
      <c r="DEE1876" s="1740"/>
      <c r="DEF1876" s="1740"/>
      <c r="DEG1876" s="1740"/>
      <c r="DEH1876" s="1740"/>
      <c r="DEI1876" s="1740"/>
      <c r="DEJ1876" s="1740"/>
      <c r="DEK1876" s="1740"/>
      <c r="DEL1876" s="1740"/>
      <c r="DEM1876" s="1740"/>
      <c r="DEN1876" s="1740"/>
      <c r="DEO1876" s="1740"/>
      <c r="DEP1876" s="1740"/>
      <c r="DEQ1876" s="1740"/>
      <c r="DER1876" s="1740"/>
      <c r="DES1876" s="1740"/>
      <c r="DET1876" s="1740"/>
      <c r="DEU1876" s="1740"/>
      <c r="DEV1876" s="1740"/>
      <c r="DEW1876" s="1740"/>
      <c r="DEX1876" s="1740"/>
      <c r="DEY1876" s="1740"/>
      <c r="DEZ1876" s="1740"/>
      <c r="DFA1876" s="1740"/>
      <c r="DFB1876" s="1740"/>
      <c r="DFC1876" s="1740"/>
      <c r="DFD1876" s="1740"/>
      <c r="DFE1876" s="1740"/>
      <c r="DFF1876" s="1740"/>
      <c r="DFG1876" s="1740"/>
      <c r="DFH1876" s="1740"/>
      <c r="DFI1876" s="1740"/>
      <c r="DFJ1876" s="1740"/>
      <c r="DFK1876" s="1740"/>
      <c r="DFL1876" s="1740"/>
      <c r="DFM1876" s="1740"/>
      <c r="DFN1876" s="1740"/>
      <c r="DFO1876" s="1740"/>
      <c r="DFP1876" s="1740"/>
      <c r="DFQ1876" s="1740"/>
      <c r="DFR1876" s="1740"/>
      <c r="DFS1876" s="1740"/>
      <c r="DFT1876" s="1740"/>
      <c r="DFU1876" s="1740"/>
      <c r="DFV1876" s="1740"/>
      <c r="DFW1876" s="1740"/>
      <c r="DFX1876" s="1740"/>
      <c r="DFY1876" s="1740"/>
      <c r="DFZ1876" s="1740"/>
      <c r="DGA1876" s="1740"/>
      <c r="DGB1876" s="1740"/>
      <c r="DGC1876" s="1740"/>
      <c r="DGD1876" s="1740"/>
      <c r="DGE1876" s="1740"/>
      <c r="DGF1876" s="1740"/>
      <c r="DGG1876" s="1740"/>
      <c r="DGH1876" s="1740"/>
      <c r="DGI1876" s="1740"/>
      <c r="DGJ1876" s="1740"/>
      <c r="DGK1876" s="1740"/>
      <c r="DGL1876" s="1740"/>
      <c r="DGM1876" s="1740"/>
      <c r="DGN1876" s="1740"/>
      <c r="DGO1876" s="1740"/>
      <c r="DGP1876" s="1740"/>
      <c r="DGQ1876" s="1740"/>
      <c r="DGR1876" s="1740"/>
      <c r="DGS1876" s="1740"/>
      <c r="DGT1876" s="1740"/>
      <c r="DGU1876" s="1740"/>
      <c r="DGV1876" s="1740"/>
      <c r="DGW1876" s="1740"/>
      <c r="DGX1876" s="1740"/>
      <c r="DGY1876" s="1740"/>
      <c r="DGZ1876" s="1740"/>
      <c r="DHA1876" s="1740"/>
      <c r="DHB1876" s="1740"/>
      <c r="DHC1876" s="1740"/>
      <c r="DHD1876" s="1740"/>
      <c r="DHE1876" s="1740"/>
      <c r="DHF1876" s="1740"/>
      <c r="DHG1876" s="1740"/>
      <c r="DHH1876" s="1740"/>
      <c r="DHI1876" s="1740"/>
      <c r="DHJ1876" s="1740"/>
      <c r="DHK1876" s="1740"/>
      <c r="DHL1876" s="1740"/>
      <c r="DHM1876" s="1740"/>
      <c r="DHN1876" s="1740"/>
      <c r="DHO1876" s="1740"/>
      <c r="DHP1876" s="1740"/>
      <c r="DHQ1876" s="1740"/>
      <c r="DHR1876" s="1740"/>
      <c r="DHS1876" s="1740"/>
      <c r="DHT1876" s="1740"/>
      <c r="DHU1876" s="1740"/>
      <c r="DHV1876" s="1740"/>
      <c r="DHW1876" s="1740"/>
      <c r="DHX1876" s="1740"/>
      <c r="DHY1876" s="1740"/>
      <c r="DHZ1876" s="1740"/>
      <c r="DIA1876" s="1740"/>
      <c r="DIB1876" s="1740"/>
      <c r="DIC1876" s="1740"/>
      <c r="DID1876" s="1740"/>
      <c r="DIE1876" s="1740"/>
      <c r="DIF1876" s="1740"/>
      <c r="DIG1876" s="1740"/>
      <c r="DIH1876" s="1740"/>
      <c r="DII1876" s="1740"/>
      <c r="DIJ1876" s="1740"/>
      <c r="DIK1876" s="1740"/>
      <c r="DIL1876" s="1740"/>
      <c r="DIM1876" s="1740"/>
      <c r="DIN1876" s="1740"/>
      <c r="DIO1876" s="1740"/>
      <c r="DIP1876" s="1740"/>
      <c r="DIQ1876" s="1740"/>
      <c r="DIR1876" s="1740"/>
      <c r="DIS1876" s="1740"/>
      <c r="DIT1876" s="1740"/>
      <c r="DIU1876" s="1740"/>
      <c r="DIV1876" s="1740"/>
      <c r="DIW1876" s="1740"/>
      <c r="DIX1876" s="1740"/>
      <c r="DIY1876" s="1740"/>
      <c r="DIZ1876" s="1740"/>
      <c r="DJA1876" s="1740"/>
      <c r="DJB1876" s="1740"/>
      <c r="DJC1876" s="1740"/>
      <c r="DJD1876" s="1740"/>
      <c r="DJE1876" s="1740"/>
      <c r="DJF1876" s="1740"/>
      <c r="DJG1876" s="1740"/>
      <c r="DJH1876" s="1740"/>
      <c r="DJI1876" s="1740"/>
      <c r="DJJ1876" s="1740"/>
      <c r="DJK1876" s="1740"/>
      <c r="DJL1876" s="1740"/>
      <c r="DJM1876" s="1740"/>
      <c r="DJN1876" s="1740"/>
      <c r="DJO1876" s="1740"/>
      <c r="DJP1876" s="1740"/>
      <c r="DJQ1876" s="1740"/>
      <c r="DJR1876" s="1740"/>
      <c r="DJS1876" s="1740"/>
      <c r="DJT1876" s="1740"/>
      <c r="DJU1876" s="1740"/>
      <c r="DJV1876" s="1740"/>
      <c r="DJW1876" s="1740"/>
      <c r="DJX1876" s="1740"/>
      <c r="DJY1876" s="1740"/>
      <c r="DJZ1876" s="1740"/>
      <c r="DKA1876" s="1740"/>
      <c r="DKB1876" s="1740"/>
      <c r="DKC1876" s="1740"/>
      <c r="DKD1876" s="1740"/>
      <c r="DKE1876" s="1740"/>
      <c r="DKF1876" s="1740"/>
      <c r="DKG1876" s="1740"/>
      <c r="DKH1876" s="1740"/>
      <c r="DKI1876" s="1740"/>
      <c r="DKJ1876" s="1740"/>
      <c r="DKK1876" s="1740"/>
      <c r="DKL1876" s="1740"/>
      <c r="DKM1876" s="1740"/>
      <c r="DKN1876" s="1740"/>
      <c r="DKO1876" s="1740"/>
      <c r="DKP1876" s="1740"/>
      <c r="DKQ1876" s="1740"/>
      <c r="DKR1876" s="1740"/>
      <c r="DKS1876" s="1740"/>
      <c r="DKT1876" s="1740"/>
      <c r="DKU1876" s="1740"/>
      <c r="DKV1876" s="1740"/>
      <c r="DKW1876" s="1740"/>
      <c r="DKX1876" s="1740"/>
      <c r="DKY1876" s="1740"/>
      <c r="DKZ1876" s="1740"/>
      <c r="DLA1876" s="1740"/>
      <c r="DLB1876" s="1740"/>
      <c r="DLC1876" s="1740"/>
      <c r="DLD1876" s="1740"/>
      <c r="DLE1876" s="1740"/>
      <c r="DLF1876" s="1740"/>
      <c r="DLG1876" s="1740"/>
      <c r="DLH1876" s="1740"/>
      <c r="DLI1876" s="1740"/>
      <c r="DLJ1876" s="1740"/>
      <c r="DLK1876" s="1740"/>
      <c r="DLL1876" s="1740"/>
      <c r="DLM1876" s="1740"/>
      <c r="DLN1876" s="1740"/>
      <c r="DLO1876" s="1740"/>
      <c r="DLP1876" s="1740"/>
      <c r="DLQ1876" s="1740"/>
      <c r="DLR1876" s="1740"/>
      <c r="DLS1876" s="1740"/>
      <c r="DLT1876" s="1740"/>
      <c r="DLU1876" s="1740"/>
      <c r="DLV1876" s="1740"/>
      <c r="DLW1876" s="1740"/>
      <c r="DLX1876" s="1740"/>
      <c r="DLY1876" s="1740"/>
      <c r="DLZ1876" s="1740"/>
      <c r="DMA1876" s="1740"/>
      <c r="DMB1876" s="1740"/>
      <c r="DMC1876" s="1740"/>
      <c r="DMD1876" s="1740"/>
      <c r="DME1876" s="1740"/>
      <c r="DMF1876" s="1740"/>
      <c r="DMG1876" s="1740"/>
      <c r="DMH1876" s="1740"/>
      <c r="DMI1876" s="1740"/>
      <c r="DMJ1876" s="1740"/>
      <c r="DMK1876" s="1740"/>
      <c r="DML1876" s="1740"/>
      <c r="DMM1876" s="1740"/>
      <c r="DMN1876" s="1740"/>
      <c r="DMO1876" s="1740"/>
      <c r="DMP1876" s="1740"/>
      <c r="DMQ1876" s="1740"/>
      <c r="DMR1876" s="1740"/>
      <c r="DMS1876" s="1740"/>
      <c r="DMT1876" s="1740"/>
      <c r="DMU1876" s="1740"/>
      <c r="DMV1876" s="1740"/>
      <c r="DMW1876" s="1740"/>
      <c r="DMX1876" s="1740"/>
      <c r="DMY1876" s="1740"/>
      <c r="DMZ1876" s="1740"/>
      <c r="DNA1876" s="1740"/>
      <c r="DNB1876" s="1740"/>
      <c r="DNC1876" s="1740"/>
      <c r="DND1876" s="1740"/>
      <c r="DNE1876" s="1740"/>
      <c r="DNF1876" s="1740"/>
      <c r="DNG1876" s="1740"/>
      <c r="DNH1876" s="1740"/>
      <c r="DNI1876" s="1740"/>
      <c r="DNJ1876" s="1740"/>
      <c r="DNK1876" s="1740"/>
      <c r="DNL1876" s="1740"/>
      <c r="DNM1876" s="1740"/>
      <c r="DNN1876" s="1740"/>
      <c r="DNO1876" s="1740"/>
      <c r="DNP1876" s="1740"/>
      <c r="DNQ1876" s="1740"/>
      <c r="DNR1876" s="1740"/>
      <c r="DNS1876" s="1740"/>
      <c r="DNT1876" s="1740"/>
      <c r="DNU1876" s="1740"/>
      <c r="DNV1876" s="1740"/>
      <c r="DNW1876" s="1740"/>
      <c r="DNX1876" s="1740"/>
      <c r="DNY1876" s="1740"/>
      <c r="DNZ1876" s="1740"/>
      <c r="DOA1876" s="1740"/>
      <c r="DOB1876" s="1740"/>
      <c r="DOC1876" s="1740"/>
      <c r="DOD1876" s="1740"/>
      <c r="DOE1876" s="1740"/>
      <c r="DOF1876" s="1740"/>
      <c r="DOG1876" s="1740"/>
      <c r="DOH1876" s="1740"/>
      <c r="DOI1876" s="1740"/>
      <c r="DOJ1876" s="1740"/>
      <c r="DOK1876" s="1740"/>
      <c r="DOL1876" s="1740"/>
      <c r="DOM1876" s="1740"/>
      <c r="DON1876" s="1740"/>
      <c r="DOO1876" s="1740"/>
      <c r="DOP1876" s="1740"/>
      <c r="DOQ1876" s="1740"/>
      <c r="DOR1876" s="1740"/>
      <c r="DOS1876" s="1740"/>
      <c r="DOT1876" s="1740"/>
      <c r="DOU1876" s="1740"/>
      <c r="DOV1876" s="1740"/>
      <c r="DOW1876" s="1740"/>
      <c r="DOX1876" s="1740"/>
      <c r="DOY1876" s="1740"/>
      <c r="DOZ1876" s="1740"/>
      <c r="DPA1876" s="1740"/>
      <c r="DPB1876" s="1740"/>
      <c r="DPC1876" s="1740"/>
      <c r="DPD1876" s="1740"/>
      <c r="DPE1876" s="1740"/>
      <c r="DPF1876" s="1740"/>
      <c r="DPG1876" s="1740"/>
      <c r="DPH1876" s="1740"/>
      <c r="DPI1876" s="1740"/>
      <c r="DPJ1876" s="1740"/>
      <c r="DPK1876" s="1740"/>
      <c r="DPL1876" s="1740"/>
      <c r="DPM1876" s="1740"/>
      <c r="DPN1876" s="1740"/>
      <c r="DPO1876" s="1740"/>
      <c r="DPP1876" s="1740"/>
      <c r="DPQ1876" s="1740"/>
      <c r="DPR1876" s="1740"/>
      <c r="DPS1876" s="1740"/>
      <c r="DPT1876" s="1740"/>
      <c r="DPU1876" s="1740"/>
      <c r="DPV1876" s="1740"/>
      <c r="DPW1876" s="1740"/>
      <c r="DPX1876" s="1740"/>
      <c r="DPY1876" s="1740"/>
      <c r="DPZ1876" s="1740"/>
      <c r="DQA1876" s="1740"/>
      <c r="DQB1876" s="1740"/>
      <c r="DQC1876" s="1740"/>
      <c r="DQD1876" s="1740"/>
      <c r="DQE1876" s="1740"/>
      <c r="DQF1876" s="1740"/>
      <c r="DQG1876" s="1740"/>
      <c r="DQH1876" s="1740"/>
      <c r="DQI1876" s="1740"/>
      <c r="DQJ1876" s="1740"/>
      <c r="DQK1876" s="1740"/>
      <c r="DQL1876" s="1740"/>
      <c r="DQM1876" s="1740"/>
      <c r="DQN1876" s="1740"/>
      <c r="DQO1876" s="1740"/>
      <c r="DQP1876" s="1740"/>
      <c r="DQQ1876" s="1740"/>
      <c r="DQR1876" s="1740"/>
      <c r="DQS1876" s="1740"/>
      <c r="DQT1876" s="1740"/>
      <c r="DQU1876" s="1740"/>
      <c r="DQV1876" s="1740"/>
      <c r="DQW1876" s="1740"/>
      <c r="DQX1876" s="1740"/>
      <c r="DQY1876" s="1740"/>
      <c r="DQZ1876" s="1740"/>
      <c r="DRA1876" s="1740"/>
      <c r="DRB1876" s="1740"/>
      <c r="DRC1876" s="1740"/>
      <c r="DRD1876" s="1740"/>
      <c r="DRE1876" s="1740"/>
      <c r="DRF1876" s="1740"/>
      <c r="DRG1876" s="1740"/>
      <c r="DRH1876" s="1740"/>
      <c r="DRI1876" s="1740"/>
      <c r="DRJ1876" s="1740"/>
      <c r="DRK1876" s="1740"/>
      <c r="DRL1876" s="1740"/>
      <c r="DRM1876" s="1740"/>
      <c r="DRN1876" s="1740"/>
      <c r="DRO1876" s="1740"/>
      <c r="DRP1876" s="1740"/>
      <c r="DRQ1876" s="1740"/>
      <c r="DRR1876" s="1740"/>
      <c r="DRS1876" s="1740"/>
      <c r="DRT1876" s="1740"/>
      <c r="DRU1876" s="1740"/>
      <c r="DRV1876" s="1740"/>
      <c r="DRW1876" s="1740"/>
      <c r="DRX1876" s="1740"/>
      <c r="DRY1876" s="1740"/>
      <c r="DRZ1876" s="1740"/>
      <c r="DSA1876" s="1740"/>
      <c r="DSB1876" s="1740"/>
      <c r="DSC1876" s="1740"/>
      <c r="DSD1876" s="1740"/>
      <c r="DSE1876" s="1740"/>
      <c r="DSF1876" s="1740"/>
      <c r="DSG1876" s="1740"/>
      <c r="DSH1876" s="1740"/>
      <c r="DSI1876" s="1740"/>
      <c r="DSJ1876" s="1740"/>
      <c r="DSK1876" s="1740"/>
      <c r="DSL1876" s="1740"/>
      <c r="DSM1876" s="1740"/>
      <c r="DSN1876" s="1740"/>
      <c r="DSO1876" s="1740"/>
      <c r="DSP1876" s="1740"/>
      <c r="DSQ1876" s="1740"/>
      <c r="DSR1876" s="1740"/>
      <c r="DSS1876" s="1740"/>
      <c r="DST1876" s="1740"/>
      <c r="DSU1876" s="1740"/>
      <c r="DSV1876" s="1740"/>
      <c r="DSW1876" s="1740"/>
      <c r="DSX1876" s="1740"/>
      <c r="DSY1876" s="1740"/>
      <c r="DSZ1876" s="1740"/>
      <c r="DTA1876" s="1740"/>
      <c r="DTB1876" s="1740"/>
      <c r="DTC1876" s="1740"/>
      <c r="DTD1876" s="1740"/>
      <c r="DTE1876" s="1740"/>
      <c r="DTF1876" s="1740"/>
      <c r="DTG1876" s="1740"/>
      <c r="DTH1876" s="1740"/>
      <c r="DTI1876" s="1740"/>
      <c r="DTJ1876" s="1740"/>
      <c r="DTK1876" s="1740"/>
      <c r="DTL1876" s="1740"/>
      <c r="DTM1876" s="1740"/>
      <c r="DTN1876" s="1740"/>
      <c r="DTO1876" s="1740"/>
      <c r="DTP1876" s="1740"/>
      <c r="DTQ1876" s="1740"/>
      <c r="DTR1876" s="1740"/>
      <c r="DTS1876" s="1740"/>
      <c r="DTT1876" s="1740"/>
      <c r="DTU1876" s="1740"/>
      <c r="DTV1876" s="1740"/>
      <c r="DTW1876" s="1740"/>
      <c r="DTX1876" s="1740"/>
      <c r="DTY1876" s="1740"/>
      <c r="DTZ1876" s="1740"/>
      <c r="DUA1876" s="1740"/>
      <c r="DUB1876" s="1740"/>
      <c r="DUC1876" s="1740"/>
      <c r="DUD1876" s="1740"/>
      <c r="DUE1876" s="1740"/>
      <c r="DUF1876" s="1740"/>
      <c r="DUG1876" s="1740"/>
      <c r="DUH1876" s="1740"/>
      <c r="DUI1876" s="1740"/>
      <c r="DUJ1876" s="1740"/>
      <c r="DUK1876" s="1740"/>
      <c r="DUL1876" s="1740"/>
      <c r="DUM1876" s="1740"/>
      <c r="DUN1876" s="1740"/>
      <c r="DUO1876" s="1740"/>
      <c r="DUP1876" s="1740"/>
      <c r="DUQ1876" s="1740"/>
      <c r="DUR1876" s="1740"/>
      <c r="DUS1876" s="1740"/>
      <c r="DUT1876" s="1740"/>
      <c r="DUU1876" s="1740"/>
      <c r="DUV1876" s="1740"/>
      <c r="DUW1876" s="1740"/>
      <c r="DUX1876" s="1740"/>
      <c r="DUY1876" s="1740"/>
      <c r="DUZ1876" s="1740"/>
      <c r="DVA1876" s="1740"/>
      <c r="DVB1876" s="1740"/>
      <c r="DVC1876" s="1740"/>
      <c r="DVD1876" s="1740"/>
      <c r="DVE1876" s="1740"/>
      <c r="DVF1876" s="1740"/>
      <c r="DVG1876" s="1740"/>
      <c r="DVH1876" s="1740"/>
      <c r="DVI1876" s="1740"/>
      <c r="DVJ1876" s="1740"/>
      <c r="DVK1876" s="1740"/>
      <c r="DVL1876" s="1740"/>
      <c r="DVM1876" s="1740"/>
      <c r="DVN1876" s="1740"/>
      <c r="DVO1876" s="1740"/>
      <c r="DVP1876" s="1740"/>
      <c r="DVQ1876" s="1740"/>
      <c r="DVR1876" s="1740"/>
      <c r="DVS1876" s="1740"/>
      <c r="DVT1876" s="1740"/>
      <c r="DVU1876" s="1740"/>
      <c r="DVV1876" s="1740"/>
      <c r="DVW1876" s="1740"/>
      <c r="DVX1876" s="1740"/>
      <c r="DVY1876" s="1740"/>
      <c r="DVZ1876" s="1740"/>
      <c r="DWA1876" s="1740"/>
      <c r="DWB1876" s="1740"/>
      <c r="DWC1876" s="1740"/>
      <c r="DWD1876" s="1740"/>
      <c r="DWE1876" s="1740"/>
      <c r="DWF1876" s="1740"/>
      <c r="DWG1876" s="1740"/>
      <c r="DWH1876" s="1740"/>
      <c r="DWI1876" s="1740"/>
      <c r="DWJ1876" s="1740"/>
      <c r="DWK1876" s="1740"/>
      <c r="DWL1876" s="1740"/>
      <c r="DWM1876" s="1740"/>
      <c r="DWN1876" s="1740"/>
      <c r="DWO1876" s="1740"/>
      <c r="DWP1876" s="1740"/>
      <c r="DWQ1876" s="1740"/>
      <c r="DWR1876" s="1740"/>
      <c r="DWS1876" s="1740"/>
      <c r="DWT1876" s="1740"/>
      <c r="DWU1876" s="1740"/>
      <c r="DWV1876" s="1740"/>
      <c r="DWW1876" s="1740"/>
      <c r="DWX1876" s="1740"/>
      <c r="DWY1876" s="1740"/>
      <c r="DWZ1876" s="1740"/>
      <c r="DXA1876" s="1740"/>
      <c r="DXB1876" s="1740"/>
      <c r="DXC1876" s="1740"/>
      <c r="DXD1876" s="1740"/>
      <c r="DXE1876" s="1740"/>
      <c r="DXF1876" s="1740"/>
      <c r="DXG1876" s="1740"/>
      <c r="DXH1876" s="1740"/>
      <c r="DXI1876" s="1740"/>
      <c r="DXJ1876" s="1740"/>
      <c r="DXK1876" s="1740"/>
      <c r="DXL1876" s="1740"/>
      <c r="DXM1876" s="1740"/>
      <c r="DXN1876" s="1740"/>
      <c r="DXO1876" s="1740"/>
      <c r="DXP1876" s="1740"/>
      <c r="DXQ1876" s="1740"/>
      <c r="DXR1876" s="1740"/>
      <c r="DXS1876" s="1740"/>
      <c r="DXT1876" s="1740"/>
      <c r="DXU1876" s="1740"/>
      <c r="DXV1876" s="1740"/>
      <c r="DXW1876" s="1740"/>
      <c r="DXX1876" s="1740"/>
      <c r="DXY1876" s="1740"/>
      <c r="DXZ1876" s="1740"/>
      <c r="DYA1876" s="1740"/>
      <c r="DYB1876" s="1740"/>
      <c r="DYC1876" s="1740"/>
      <c r="DYD1876" s="1740"/>
      <c r="DYE1876" s="1740"/>
      <c r="DYF1876" s="1740"/>
      <c r="DYG1876" s="1740"/>
      <c r="DYH1876" s="1740"/>
      <c r="DYI1876" s="1740"/>
      <c r="DYJ1876" s="1740"/>
      <c r="DYK1876" s="1740"/>
      <c r="DYL1876" s="1740"/>
      <c r="DYM1876" s="1740"/>
      <c r="DYN1876" s="1740"/>
      <c r="DYO1876" s="1740"/>
      <c r="DYP1876" s="1740"/>
      <c r="DYQ1876" s="1740"/>
      <c r="DYR1876" s="1740"/>
      <c r="DYS1876" s="1740"/>
      <c r="DYT1876" s="1740"/>
      <c r="DYU1876" s="1740"/>
      <c r="DYV1876" s="1740"/>
      <c r="DYW1876" s="1740"/>
      <c r="DYX1876" s="1740"/>
      <c r="DYY1876" s="1740"/>
      <c r="DYZ1876" s="1740"/>
      <c r="DZA1876" s="1740"/>
      <c r="DZB1876" s="1740"/>
      <c r="DZC1876" s="1740"/>
      <c r="DZD1876" s="1740"/>
      <c r="DZE1876" s="1740"/>
      <c r="DZF1876" s="1740"/>
      <c r="DZG1876" s="1740"/>
      <c r="DZH1876" s="1740"/>
      <c r="DZI1876" s="1740"/>
      <c r="DZJ1876" s="1740"/>
      <c r="DZK1876" s="1740"/>
      <c r="DZL1876" s="1740"/>
      <c r="DZM1876" s="1740"/>
      <c r="DZN1876" s="1740"/>
      <c r="DZO1876" s="1740"/>
      <c r="DZP1876" s="1740"/>
      <c r="DZQ1876" s="1740"/>
      <c r="DZR1876" s="1740"/>
      <c r="DZS1876" s="1740"/>
      <c r="DZT1876" s="1740"/>
      <c r="DZU1876" s="1740"/>
      <c r="DZV1876" s="1740"/>
      <c r="DZW1876" s="1740"/>
      <c r="DZX1876" s="1740"/>
      <c r="DZY1876" s="1740"/>
      <c r="DZZ1876" s="1740"/>
      <c r="EAA1876" s="1740"/>
      <c r="EAB1876" s="1740"/>
      <c r="EAC1876" s="1740"/>
      <c r="EAD1876" s="1740"/>
      <c r="EAE1876" s="1740"/>
      <c r="EAF1876" s="1740"/>
      <c r="EAG1876" s="1740"/>
      <c r="EAH1876" s="1740"/>
      <c r="EAI1876" s="1740"/>
      <c r="EAJ1876" s="1740"/>
      <c r="EAK1876" s="1740"/>
      <c r="EAL1876" s="1740"/>
      <c r="EAM1876" s="1740"/>
      <c r="EAN1876" s="1740"/>
      <c r="EAO1876" s="1740"/>
      <c r="EAP1876" s="1740"/>
      <c r="EAQ1876" s="1740"/>
      <c r="EAR1876" s="1740"/>
      <c r="EAS1876" s="1740"/>
      <c r="EAT1876" s="1740"/>
      <c r="EAU1876" s="1740"/>
      <c r="EAV1876" s="1740"/>
      <c r="EAW1876" s="1740"/>
      <c r="EAX1876" s="1740"/>
      <c r="EAY1876" s="1740"/>
      <c r="EAZ1876" s="1740"/>
      <c r="EBA1876" s="1740"/>
      <c r="EBB1876" s="1740"/>
      <c r="EBC1876" s="1740"/>
      <c r="EBD1876" s="1740"/>
      <c r="EBE1876" s="1740"/>
      <c r="EBF1876" s="1740"/>
      <c r="EBG1876" s="1740"/>
      <c r="EBH1876" s="1740"/>
      <c r="EBI1876" s="1740"/>
      <c r="EBJ1876" s="1740"/>
      <c r="EBK1876" s="1740"/>
      <c r="EBL1876" s="1740"/>
      <c r="EBM1876" s="1740"/>
      <c r="EBN1876" s="1740"/>
      <c r="EBO1876" s="1740"/>
      <c r="EBP1876" s="1740"/>
      <c r="EBQ1876" s="1740"/>
      <c r="EBR1876" s="1740"/>
      <c r="EBS1876" s="1740"/>
      <c r="EBT1876" s="1740"/>
      <c r="EBU1876" s="1740"/>
      <c r="EBV1876" s="1740"/>
      <c r="EBW1876" s="1740"/>
      <c r="EBX1876" s="1740"/>
      <c r="EBY1876" s="1740"/>
      <c r="EBZ1876" s="1740"/>
      <c r="ECA1876" s="1740"/>
      <c r="ECB1876" s="1740"/>
      <c r="ECC1876" s="1740"/>
      <c r="ECD1876" s="1740"/>
      <c r="ECE1876" s="1740"/>
      <c r="ECF1876" s="1740"/>
      <c r="ECG1876" s="1740"/>
      <c r="ECH1876" s="1740"/>
      <c r="ECI1876" s="1740"/>
      <c r="ECJ1876" s="1740"/>
      <c r="ECK1876" s="1740"/>
      <c r="ECL1876" s="1740"/>
      <c r="ECM1876" s="1740"/>
      <c r="ECN1876" s="1740"/>
      <c r="ECO1876" s="1740"/>
      <c r="ECP1876" s="1740"/>
      <c r="ECQ1876" s="1740"/>
      <c r="ECR1876" s="1740"/>
      <c r="ECS1876" s="1740"/>
      <c r="ECT1876" s="1740"/>
      <c r="ECU1876" s="1740"/>
      <c r="ECV1876" s="1740"/>
      <c r="ECW1876" s="1740"/>
      <c r="ECX1876" s="1740"/>
      <c r="ECY1876" s="1740"/>
      <c r="ECZ1876" s="1740"/>
      <c r="EDA1876" s="1740"/>
      <c r="EDB1876" s="1740"/>
      <c r="EDC1876" s="1740"/>
      <c r="EDD1876" s="1740"/>
      <c r="EDE1876" s="1740"/>
      <c r="EDF1876" s="1740"/>
      <c r="EDG1876" s="1740"/>
      <c r="EDH1876" s="1740"/>
      <c r="EDI1876" s="1740"/>
      <c r="EDJ1876" s="1740"/>
      <c r="EDK1876" s="1740"/>
      <c r="EDL1876" s="1740"/>
      <c r="EDM1876" s="1740"/>
      <c r="EDN1876" s="1740"/>
      <c r="EDO1876" s="1740"/>
      <c r="EDP1876" s="1740"/>
      <c r="EDQ1876" s="1740"/>
      <c r="EDR1876" s="1740"/>
      <c r="EDS1876" s="1740"/>
      <c r="EDT1876" s="1740"/>
      <c r="EDU1876" s="1740"/>
      <c r="EDV1876" s="1740"/>
      <c r="EDW1876" s="1740"/>
      <c r="EDX1876" s="1740"/>
      <c r="EDY1876" s="1740"/>
      <c r="EDZ1876" s="1740"/>
      <c r="EEA1876" s="1740"/>
      <c r="EEB1876" s="1740"/>
      <c r="EEC1876" s="1740"/>
      <c r="EED1876" s="1740"/>
      <c r="EEE1876" s="1740"/>
      <c r="EEF1876" s="1740"/>
      <c r="EEG1876" s="1740"/>
      <c r="EEH1876" s="1740"/>
      <c r="EEI1876" s="1740"/>
      <c r="EEJ1876" s="1740"/>
      <c r="EEK1876" s="1740"/>
      <c r="EEL1876" s="1740"/>
      <c r="EEM1876" s="1740"/>
      <c r="EEN1876" s="1740"/>
      <c r="EEO1876" s="1740"/>
      <c r="EEP1876" s="1740"/>
      <c r="EEQ1876" s="1740"/>
      <c r="EER1876" s="1740"/>
      <c r="EES1876" s="1740"/>
      <c r="EET1876" s="1740"/>
      <c r="EEU1876" s="1740"/>
      <c r="EEV1876" s="1740"/>
      <c r="EEW1876" s="1740"/>
      <c r="EEX1876" s="1740"/>
      <c r="EEY1876" s="1740"/>
      <c r="EEZ1876" s="1740"/>
      <c r="EFA1876" s="1740"/>
      <c r="EFB1876" s="1740"/>
      <c r="EFC1876" s="1740"/>
      <c r="EFD1876" s="1740"/>
      <c r="EFE1876" s="1740"/>
      <c r="EFF1876" s="1740"/>
      <c r="EFG1876" s="1740"/>
      <c r="EFH1876" s="1740"/>
      <c r="EFI1876" s="1740"/>
      <c r="EFJ1876" s="1740"/>
      <c r="EFK1876" s="1740"/>
      <c r="EFL1876" s="1740"/>
      <c r="EFM1876" s="1740"/>
      <c r="EFN1876" s="1740"/>
      <c r="EFO1876" s="1740"/>
      <c r="EFP1876" s="1740"/>
      <c r="EFQ1876" s="1740"/>
      <c r="EFR1876" s="1740"/>
      <c r="EFS1876" s="1740"/>
      <c r="EFT1876" s="1740"/>
      <c r="EFU1876" s="1740"/>
      <c r="EFV1876" s="1740"/>
      <c r="EFW1876" s="1740"/>
      <c r="EFX1876" s="1740"/>
      <c r="EFY1876" s="1740"/>
      <c r="EFZ1876" s="1740"/>
      <c r="EGA1876" s="1740"/>
      <c r="EGB1876" s="1740"/>
      <c r="EGC1876" s="1740"/>
      <c r="EGD1876" s="1740"/>
      <c r="EGE1876" s="1740"/>
      <c r="EGF1876" s="1740"/>
      <c r="EGG1876" s="1740"/>
      <c r="EGH1876" s="1740"/>
      <c r="EGI1876" s="1740"/>
      <c r="EGJ1876" s="1740"/>
      <c r="EGK1876" s="1740"/>
      <c r="EGL1876" s="1740"/>
      <c r="EGM1876" s="1740"/>
      <c r="EGN1876" s="1740"/>
      <c r="EGO1876" s="1740"/>
      <c r="EGP1876" s="1740"/>
      <c r="EGQ1876" s="1740"/>
      <c r="EGR1876" s="1740"/>
      <c r="EGS1876" s="1740"/>
      <c r="EGT1876" s="1740"/>
      <c r="EGU1876" s="1740"/>
      <c r="EGV1876" s="1740"/>
      <c r="EGW1876" s="1740"/>
      <c r="EGX1876" s="1740"/>
      <c r="EGY1876" s="1740"/>
      <c r="EGZ1876" s="1740"/>
      <c r="EHA1876" s="1740"/>
      <c r="EHB1876" s="1740"/>
      <c r="EHC1876" s="1740"/>
      <c r="EHD1876" s="1740"/>
      <c r="EHE1876" s="1740"/>
      <c r="EHF1876" s="1740"/>
      <c r="EHG1876" s="1740"/>
      <c r="EHH1876" s="1740"/>
      <c r="EHI1876" s="1740"/>
      <c r="EHJ1876" s="1740"/>
      <c r="EHK1876" s="1740"/>
      <c r="EHL1876" s="1740"/>
      <c r="EHM1876" s="1740"/>
      <c r="EHN1876" s="1740"/>
      <c r="EHO1876" s="1740"/>
      <c r="EHP1876" s="1740"/>
      <c r="EHQ1876" s="1740"/>
      <c r="EHR1876" s="1740"/>
      <c r="EHS1876" s="1740"/>
      <c r="EHT1876" s="1740"/>
      <c r="EHU1876" s="1740"/>
      <c r="EHV1876" s="1740"/>
      <c r="EHW1876" s="1740"/>
      <c r="EHX1876" s="1740"/>
      <c r="EHY1876" s="1740"/>
      <c r="EHZ1876" s="1740"/>
      <c r="EIA1876" s="1740"/>
      <c r="EIB1876" s="1740"/>
      <c r="EIC1876" s="1740"/>
      <c r="EID1876" s="1740"/>
      <c r="EIE1876" s="1740"/>
      <c r="EIF1876" s="1740"/>
      <c r="EIG1876" s="1740"/>
      <c r="EIH1876" s="1740"/>
      <c r="EII1876" s="1740"/>
      <c r="EIJ1876" s="1740"/>
      <c r="EIK1876" s="1740"/>
      <c r="EIL1876" s="1740"/>
      <c r="EIM1876" s="1740"/>
      <c r="EIN1876" s="1740"/>
      <c r="EIO1876" s="1740"/>
      <c r="EIP1876" s="1740"/>
      <c r="EIQ1876" s="1740"/>
      <c r="EIR1876" s="1740"/>
      <c r="EIS1876" s="1740"/>
      <c r="EIT1876" s="1740"/>
      <c r="EIU1876" s="1740"/>
      <c r="EIV1876" s="1740"/>
      <c r="EIW1876" s="1740"/>
      <c r="EIX1876" s="1740"/>
      <c r="EIY1876" s="1740"/>
      <c r="EIZ1876" s="1740"/>
      <c r="EJA1876" s="1740"/>
      <c r="EJB1876" s="1740"/>
      <c r="EJC1876" s="1740"/>
      <c r="EJD1876" s="1740"/>
      <c r="EJE1876" s="1740"/>
      <c r="EJF1876" s="1740"/>
      <c r="EJG1876" s="1740"/>
      <c r="EJH1876" s="1740"/>
      <c r="EJI1876" s="1740"/>
      <c r="EJJ1876" s="1740"/>
      <c r="EJK1876" s="1740"/>
      <c r="EJL1876" s="1740"/>
      <c r="EJM1876" s="1740"/>
      <c r="EJN1876" s="1740"/>
      <c r="EJO1876" s="1740"/>
      <c r="EJP1876" s="1740"/>
      <c r="EJQ1876" s="1740"/>
      <c r="EJR1876" s="1740"/>
      <c r="EJS1876" s="1740"/>
      <c r="EJT1876" s="1740"/>
      <c r="EJU1876" s="1740"/>
      <c r="EJV1876" s="1740"/>
      <c r="EJW1876" s="1740"/>
      <c r="EJX1876" s="1740"/>
      <c r="EJY1876" s="1740"/>
      <c r="EJZ1876" s="1740"/>
      <c r="EKA1876" s="1740"/>
      <c r="EKB1876" s="1740"/>
      <c r="EKC1876" s="1740"/>
      <c r="EKD1876" s="1740"/>
      <c r="EKE1876" s="1740"/>
      <c r="EKF1876" s="1740"/>
      <c r="EKG1876" s="1740"/>
      <c r="EKH1876" s="1740"/>
      <c r="EKI1876" s="1740"/>
      <c r="EKJ1876" s="1740"/>
      <c r="EKK1876" s="1740"/>
      <c r="EKL1876" s="1740"/>
      <c r="EKM1876" s="1740"/>
      <c r="EKN1876" s="1740"/>
      <c r="EKO1876" s="1740"/>
      <c r="EKP1876" s="1740"/>
      <c r="EKQ1876" s="1740"/>
      <c r="EKR1876" s="1740"/>
      <c r="EKS1876" s="1740"/>
      <c r="EKT1876" s="1740"/>
      <c r="EKU1876" s="1740"/>
      <c r="EKV1876" s="1740"/>
      <c r="EKW1876" s="1740"/>
      <c r="EKX1876" s="1740"/>
      <c r="EKY1876" s="1740"/>
      <c r="EKZ1876" s="1740"/>
      <c r="ELA1876" s="1740"/>
      <c r="ELB1876" s="1740"/>
      <c r="ELC1876" s="1740"/>
      <c r="ELD1876" s="1740"/>
      <c r="ELE1876" s="1740"/>
      <c r="ELF1876" s="1740"/>
      <c r="ELG1876" s="1740"/>
      <c r="ELH1876" s="1740"/>
      <c r="ELI1876" s="1740"/>
      <c r="ELJ1876" s="1740"/>
      <c r="ELK1876" s="1740"/>
      <c r="ELL1876" s="1740"/>
      <c r="ELM1876" s="1740"/>
      <c r="ELN1876" s="1740"/>
      <c r="ELO1876" s="1740"/>
      <c r="ELP1876" s="1740"/>
      <c r="ELQ1876" s="1740"/>
      <c r="ELR1876" s="1740"/>
      <c r="ELS1876" s="1740"/>
      <c r="ELT1876" s="1740"/>
      <c r="ELU1876" s="1740"/>
      <c r="ELV1876" s="1740"/>
      <c r="ELW1876" s="1740"/>
      <c r="ELX1876" s="1740"/>
      <c r="ELY1876" s="1740"/>
      <c r="ELZ1876" s="1740"/>
      <c r="EMA1876" s="1740"/>
      <c r="EMB1876" s="1740"/>
      <c r="EMC1876" s="1740"/>
      <c r="EMD1876" s="1740"/>
      <c r="EME1876" s="1740"/>
      <c r="EMF1876" s="1740"/>
      <c r="EMG1876" s="1740"/>
      <c r="EMH1876" s="1740"/>
      <c r="EMI1876" s="1740"/>
      <c r="EMJ1876" s="1740"/>
      <c r="EMK1876" s="1740"/>
      <c r="EML1876" s="1740"/>
      <c r="EMM1876" s="1740"/>
      <c r="EMN1876" s="1740"/>
      <c r="EMO1876" s="1740"/>
      <c r="EMP1876" s="1740"/>
      <c r="EMQ1876" s="1740"/>
      <c r="EMR1876" s="1740"/>
      <c r="EMS1876" s="1740"/>
      <c r="EMT1876" s="1740"/>
      <c r="EMU1876" s="1740"/>
      <c r="EMV1876" s="1740"/>
      <c r="EMW1876" s="1740"/>
      <c r="EMX1876" s="1740"/>
      <c r="EMY1876" s="1740"/>
      <c r="EMZ1876" s="1740"/>
      <c r="ENA1876" s="1740"/>
      <c r="ENB1876" s="1740"/>
      <c r="ENC1876" s="1740"/>
      <c r="END1876" s="1740"/>
      <c r="ENE1876" s="1740"/>
      <c r="ENF1876" s="1740"/>
      <c r="ENG1876" s="1740"/>
      <c r="ENH1876" s="1740"/>
      <c r="ENI1876" s="1740"/>
      <c r="ENJ1876" s="1740"/>
      <c r="ENK1876" s="1740"/>
      <c r="ENL1876" s="1740"/>
      <c r="ENM1876" s="1740"/>
      <c r="ENN1876" s="1740"/>
      <c r="ENO1876" s="1740"/>
      <c r="ENP1876" s="1740"/>
      <c r="ENQ1876" s="1740"/>
      <c r="ENR1876" s="1740"/>
      <c r="ENS1876" s="1740"/>
      <c r="ENT1876" s="1740"/>
      <c r="ENU1876" s="1740"/>
      <c r="ENV1876" s="1740"/>
      <c r="ENW1876" s="1740"/>
      <c r="ENX1876" s="1740"/>
      <c r="ENY1876" s="1740"/>
      <c r="ENZ1876" s="1740"/>
      <c r="EOA1876" s="1740"/>
      <c r="EOB1876" s="1740"/>
      <c r="EOC1876" s="1740"/>
      <c r="EOD1876" s="1740"/>
      <c r="EOE1876" s="1740"/>
      <c r="EOF1876" s="1740"/>
      <c r="EOG1876" s="1740"/>
      <c r="EOH1876" s="1740"/>
      <c r="EOI1876" s="1740"/>
      <c r="EOJ1876" s="1740"/>
      <c r="EOK1876" s="1740"/>
      <c r="EOL1876" s="1740"/>
      <c r="EOM1876" s="1740"/>
      <c r="EON1876" s="1740"/>
      <c r="EOO1876" s="1740"/>
      <c r="EOP1876" s="1740"/>
      <c r="EOQ1876" s="1740"/>
      <c r="EOR1876" s="1740"/>
      <c r="EOS1876" s="1740"/>
      <c r="EOT1876" s="1740"/>
      <c r="EOU1876" s="1740"/>
      <c r="EOV1876" s="1740"/>
      <c r="EOW1876" s="1740"/>
      <c r="EOX1876" s="1740"/>
      <c r="EOY1876" s="1740"/>
      <c r="EOZ1876" s="1740"/>
      <c r="EPA1876" s="1740"/>
      <c r="EPB1876" s="1740"/>
      <c r="EPC1876" s="1740"/>
      <c r="EPD1876" s="1740"/>
      <c r="EPE1876" s="1740"/>
      <c r="EPF1876" s="1740"/>
      <c r="EPG1876" s="1740"/>
      <c r="EPH1876" s="1740"/>
      <c r="EPI1876" s="1740"/>
      <c r="EPJ1876" s="1740"/>
      <c r="EPK1876" s="1740"/>
      <c r="EPL1876" s="1740"/>
      <c r="EPM1876" s="1740"/>
      <c r="EPN1876" s="1740"/>
      <c r="EPO1876" s="1740"/>
      <c r="EPP1876" s="1740"/>
      <c r="EPQ1876" s="1740"/>
      <c r="EPR1876" s="1740"/>
      <c r="EPS1876" s="1740"/>
      <c r="EPT1876" s="1740"/>
      <c r="EPU1876" s="1740"/>
      <c r="EPV1876" s="1740"/>
      <c r="EPW1876" s="1740"/>
      <c r="EPX1876" s="1740"/>
      <c r="EPY1876" s="1740"/>
      <c r="EPZ1876" s="1740"/>
      <c r="EQA1876" s="1740"/>
      <c r="EQB1876" s="1740"/>
      <c r="EQC1876" s="1740"/>
      <c r="EQD1876" s="1740"/>
      <c r="EQE1876" s="1740"/>
      <c r="EQF1876" s="1740"/>
      <c r="EQG1876" s="1740"/>
      <c r="EQH1876" s="1740"/>
      <c r="EQI1876" s="1740"/>
      <c r="EQJ1876" s="1740"/>
      <c r="EQK1876" s="1740"/>
      <c r="EQL1876" s="1740"/>
      <c r="EQM1876" s="1740"/>
      <c r="EQN1876" s="1740"/>
      <c r="EQO1876" s="1740"/>
      <c r="EQP1876" s="1740"/>
      <c r="EQQ1876" s="1740"/>
      <c r="EQR1876" s="1740"/>
      <c r="EQS1876" s="1740"/>
      <c r="EQT1876" s="1740"/>
      <c r="EQU1876" s="1740"/>
      <c r="EQV1876" s="1740"/>
      <c r="EQW1876" s="1740"/>
      <c r="EQX1876" s="1740"/>
      <c r="EQY1876" s="1740"/>
      <c r="EQZ1876" s="1740"/>
      <c r="ERA1876" s="1740"/>
      <c r="ERB1876" s="1740"/>
      <c r="ERC1876" s="1740"/>
      <c r="ERD1876" s="1740"/>
      <c r="ERE1876" s="1740"/>
      <c r="ERF1876" s="1740"/>
      <c r="ERG1876" s="1740"/>
      <c r="ERH1876" s="1740"/>
      <c r="ERI1876" s="1740"/>
      <c r="ERJ1876" s="1740"/>
      <c r="ERK1876" s="1740"/>
      <c r="ERL1876" s="1740"/>
      <c r="ERM1876" s="1740"/>
      <c r="ERN1876" s="1740"/>
      <c r="ERO1876" s="1740"/>
      <c r="ERP1876" s="1740"/>
      <c r="ERQ1876" s="1740"/>
      <c r="ERR1876" s="1740"/>
      <c r="ERS1876" s="1740"/>
      <c r="ERT1876" s="1740"/>
      <c r="ERU1876" s="1740"/>
      <c r="ERV1876" s="1740"/>
      <c r="ERW1876" s="1740"/>
      <c r="ERX1876" s="1740"/>
      <c r="ERY1876" s="1740"/>
      <c r="ERZ1876" s="1740"/>
      <c r="ESA1876" s="1740"/>
      <c r="ESB1876" s="1740"/>
      <c r="ESC1876" s="1740"/>
      <c r="ESD1876" s="1740"/>
      <c r="ESE1876" s="1740"/>
      <c r="ESF1876" s="1740"/>
      <c r="ESG1876" s="1740"/>
      <c r="ESH1876" s="1740"/>
      <c r="ESI1876" s="1740"/>
      <c r="ESJ1876" s="1740"/>
      <c r="ESK1876" s="1740"/>
      <c r="ESL1876" s="1740"/>
      <c r="ESM1876" s="1740"/>
      <c r="ESN1876" s="1740"/>
      <c r="ESO1876" s="1740"/>
      <c r="ESP1876" s="1740"/>
      <c r="ESQ1876" s="1740"/>
      <c r="ESR1876" s="1740"/>
      <c r="ESS1876" s="1740"/>
      <c r="EST1876" s="1740"/>
      <c r="ESU1876" s="1740"/>
      <c r="ESV1876" s="1740"/>
      <c r="ESW1876" s="1740"/>
      <c r="ESX1876" s="1740"/>
      <c r="ESY1876" s="1740"/>
      <c r="ESZ1876" s="1740"/>
      <c r="ETA1876" s="1740"/>
      <c r="ETB1876" s="1740"/>
      <c r="ETC1876" s="1740"/>
      <c r="ETD1876" s="1740"/>
      <c r="ETE1876" s="1740"/>
      <c r="ETF1876" s="1740"/>
      <c r="ETG1876" s="1740"/>
      <c r="ETH1876" s="1740"/>
      <c r="ETI1876" s="1740"/>
      <c r="ETJ1876" s="1740"/>
      <c r="ETK1876" s="1740"/>
      <c r="ETL1876" s="1740"/>
      <c r="ETM1876" s="1740"/>
      <c r="ETN1876" s="1740"/>
      <c r="ETO1876" s="1740"/>
      <c r="ETP1876" s="1740"/>
      <c r="ETQ1876" s="1740"/>
      <c r="ETR1876" s="1740"/>
      <c r="ETS1876" s="1740"/>
      <c r="ETT1876" s="1740"/>
      <c r="ETU1876" s="1740"/>
      <c r="ETV1876" s="1740"/>
      <c r="ETW1876" s="1740"/>
      <c r="ETX1876" s="1740"/>
      <c r="ETY1876" s="1740"/>
      <c r="ETZ1876" s="1740"/>
      <c r="EUA1876" s="1740"/>
      <c r="EUB1876" s="1740"/>
      <c r="EUC1876" s="1740"/>
      <c r="EUD1876" s="1740"/>
      <c r="EUE1876" s="1740"/>
      <c r="EUF1876" s="1740"/>
      <c r="EUG1876" s="1740"/>
      <c r="EUH1876" s="1740"/>
      <c r="EUI1876" s="1740"/>
      <c r="EUJ1876" s="1740"/>
      <c r="EUK1876" s="1740"/>
      <c r="EUL1876" s="1740"/>
      <c r="EUM1876" s="1740"/>
      <c r="EUN1876" s="1740"/>
      <c r="EUO1876" s="1740"/>
      <c r="EUP1876" s="1740"/>
      <c r="EUQ1876" s="1740"/>
      <c r="EUR1876" s="1740"/>
      <c r="EUS1876" s="1740"/>
      <c r="EUT1876" s="1740"/>
      <c r="EUU1876" s="1740"/>
      <c r="EUV1876" s="1740"/>
      <c r="EUW1876" s="1740"/>
      <c r="EUX1876" s="1740"/>
      <c r="EUY1876" s="1740"/>
      <c r="EUZ1876" s="1740"/>
      <c r="EVA1876" s="1740"/>
      <c r="EVB1876" s="1740"/>
      <c r="EVC1876" s="1740"/>
      <c r="EVD1876" s="1740"/>
      <c r="EVE1876" s="1740"/>
      <c r="EVF1876" s="1740"/>
      <c r="EVG1876" s="1740"/>
      <c r="EVH1876" s="1740"/>
      <c r="EVI1876" s="1740"/>
      <c r="EVJ1876" s="1740"/>
      <c r="EVK1876" s="1740"/>
      <c r="EVL1876" s="1740"/>
      <c r="EVM1876" s="1740"/>
      <c r="EVN1876" s="1740"/>
      <c r="EVO1876" s="1740"/>
      <c r="EVP1876" s="1740"/>
      <c r="EVQ1876" s="1740"/>
      <c r="EVR1876" s="1740"/>
      <c r="EVS1876" s="1740"/>
      <c r="EVT1876" s="1740"/>
      <c r="EVU1876" s="1740"/>
      <c r="EVV1876" s="1740"/>
      <c r="EVW1876" s="1740"/>
      <c r="EVX1876" s="1740"/>
      <c r="EVY1876" s="1740"/>
      <c r="EVZ1876" s="1740"/>
      <c r="EWA1876" s="1740"/>
      <c r="EWB1876" s="1740"/>
      <c r="EWC1876" s="1740"/>
      <c r="EWD1876" s="1740"/>
      <c r="EWE1876" s="1740"/>
      <c r="EWF1876" s="1740"/>
      <c r="EWG1876" s="1740"/>
      <c r="EWH1876" s="1740"/>
      <c r="EWI1876" s="1740"/>
      <c r="EWJ1876" s="1740"/>
      <c r="EWK1876" s="1740"/>
      <c r="EWL1876" s="1740"/>
      <c r="EWM1876" s="1740"/>
      <c r="EWN1876" s="1740"/>
      <c r="EWO1876" s="1740"/>
      <c r="EWP1876" s="1740"/>
      <c r="EWQ1876" s="1740"/>
      <c r="EWR1876" s="1740"/>
      <c r="EWS1876" s="1740"/>
      <c r="EWT1876" s="1740"/>
      <c r="EWU1876" s="1740"/>
      <c r="EWV1876" s="1740"/>
      <c r="EWW1876" s="1740"/>
      <c r="EWX1876" s="1740"/>
      <c r="EWY1876" s="1740"/>
      <c r="EWZ1876" s="1740"/>
      <c r="EXA1876" s="1740"/>
      <c r="EXB1876" s="1740"/>
      <c r="EXC1876" s="1740"/>
      <c r="EXD1876" s="1740"/>
      <c r="EXE1876" s="1740"/>
      <c r="EXF1876" s="1740"/>
      <c r="EXG1876" s="1740"/>
      <c r="EXH1876" s="1740"/>
      <c r="EXI1876" s="1740"/>
      <c r="EXJ1876" s="1740"/>
      <c r="EXK1876" s="1740"/>
      <c r="EXL1876" s="1740"/>
      <c r="EXM1876" s="1740"/>
      <c r="EXN1876" s="1740"/>
      <c r="EXO1876" s="1740"/>
      <c r="EXP1876" s="1740"/>
      <c r="EXQ1876" s="1740"/>
      <c r="EXR1876" s="1740"/>
      <c r="EXS1876" s="1740"/>
      <c r="EXT1876" s="1740"/>
      <c r="EXU1876" s="1740"/>
      <c r="EXV1876" s="1740"/>
      <c r="EXW1876" s="1740"/>
      <c r="EXX1876" s="1740"/>
      <c r="EXY1876" s="1740"/>
      <c r="EXZ1876" s="1740"/>
      <c r="EYA1876" s="1740"/>
      <c r="EYB1876" s="1740"/>
      <c r="EYC1876" s="1740"/>
      <c r="EYD1876" s="1740"/>
      <c r="EYE1876" s="1740"/>
      <c r="EYF1876" s="1740"/>
      <c r="EYG1876" s="1740"/>
      <c r="EYH1876" s="1740"/>
      <c r="EYI1876" s="1740"/>
      <c r="EYJ1876" s="1740"/>
      <c r="EYK1876" s="1740"/>
      <c r="EYL1876" s="1740"/>
      <c r="EYM1876" s="1740"/>
      <c r="EYN1876" s="1740"/>
      <c r="EYO1876" s="1740"/>
      <c r="EYP1876" s="1740"/>
      <c r="EYQ1876" s="1740"/>
      <c r="EYR1876" s="1740"/>
      <c r="EYS1876" s="1740"/>
      <c r="EYT1876" s="1740"/>
      <c r="EYU1876" s="1740"/>
      <c r="EYV1876" s="1740"/>
      <c r="EYW1876" s="1740"/>
      <c r="EYX1876" s="1740"/>
      <c r="EYY1876" s="1740"/>
      <c r="EYZ1876" s="1740"/>
      <c r="EZA1876" s="1740"/>
      <c r="EZB1876" s="1740"/>
      <c r="EZC1876" s="1740"/>
      <c r="EZD1876" s="1740"/>
      <c r="EZE1876" s="1740"/>
      <c r="EZF1876" s="1740"/>
      <c r="EZG1876" s="1740"/>
      <c r="EZH1876" s="1740"/>
      <c r="EZI1876" s="1740"/>
      <c r="EZJ1876" s="1740"/>
      <c r="EZK1876" s="1740"/>
      <c r="EZL1876" s="1740"/>
      <c r="EZM1876" s="1740"/>
      <c r="EZN1876" s="1740"/>
      <c r="EZO1876" s="1740"/>
      <c r="EZP1876" s="1740"/>
      <c r="EZQ1876" s="1740"/>
      <c r="EZR1876" s="1740"/>
      <c r="EZS1876" s="1740"/>
      <c r="EZT1876" s="1740"/>
      <c r="EZU1876" s="1740"/>
      <c r="EZV1876" s="1740"/>
      <c r="EZW1876" s="1740"/>
      <c r="EZX1876" s="1740"/>
      <c r="EZY1876" s="1740"/>
      <c r="EZZ1876" s="1740"/>
      <c r="FAA1876" s="1740"/>
      <c r="FAB1876" s="1740"/>
      <c r="FAC1876" s="1740"/>
      <c r="FAD1876" s="1740"/>
      <c r="FAE1876" s="1740"/>
      <c r="FAF1876" s="1740"/>
      <c r="FAG1876" s="1740"/>
      <c r="FAH1876" s="1740"/>
      <c r="FAI1876" s="1740"/>
      <c r="FAJ1876" s="1740"/>
      <c r="FAK1876" s="1740"/>
      <c r="FAL1876" s="1740"/>
      <c r="FAM1876" s="1740"/>
      <c r="FAN1876" s="1740"/>
      <c r="FAO1876" s="1740"/>
      <c r="FAP1876" s="1740"/>
      <c r="FAQ1876" s="1740"/>
      <c r="FAR1876" s="1740"/>
      <c r="FAS1876" s="1740"/>
      <c r="FAT1876" s="1740"/>
      <c r="FAU1876" s="1740"/>
      <c r="FAV1876" s="1740"/>
      <c r="FAW1876" s="1740"/>
      <c r="FAX1876" s="1740"/>
      <c r="FAY1876" s="1740"/>
      <c r="FAZ1876" s="1740"/>
      <c r="FBA1876" s="1740"/>
      <c r="FBB1876" s="1740"/>
      <c r="FBC1876" s="1740"/>
      <c r="FBD1876" s="1740"/>
      <c r="FBE1876" s="1740"/>
      <c r="FBF1876" s="1740"/>
      <c r="FBG1876" s="1740"/>
      <c r="FBH1876" s="1740"/>
      <c r="FBI1876" s="1740"/>
      <c r="FBJ1876" s="1740"/>
      <c r="FBK1876" s="1740"/>
      <c r="FBL1876" s="1740"/>
      <c r="FBM1876" s="1740"/>
      <c r="FBN1876" s="1740"/>
      <c r="FBO1876" s="1740"/>
      <c r="FBP1876" s="1740"/>
      <c r="FBQ1876" s="1740"/>
      <c r="FBR1876" s="1740"/>
      <c r="FBS1876" s="1740"/>
      <c r="FBT1876" s="1740"/>
      <c r="FBU1876" s="1740"/>
      <c r="FBV1876" s="1740"/>
      <c r="FBW1876" s="1740"/>
      <c r="FBX1876" s="1740"/>
      <c r="FBY1876" s="1740"/>
      <c r="FBZ1876" s="1740"/>
      <c r="FCA1876" s="1740"/>
      <c r="FCB1876" s="1740"/>
      <c r="FCC1876" s="1740"/>
      <c r="FCD1876" s="1740"/>
      <c r="FCE1876" s="1740"/>
      <c r="FCF1876" s="1740"/>
      <c r="FCG1876" s="1740"/>
      <c r="FCH1876" s="1740"/>
      <c r="FCI1876" s="1740"/>
      <c r="FCJ1876" s="1740"/>
      <c r="FCK1876" s="1740"/>
      <c r="FCL1876" s="1740"/>
      <c r="FCM1876" s="1740"/>
      <c r="FCN1876" s="1740"/>
      <c r="FCO1876" s="1740"/>
      <c r="FCP1876" s="1740"/>
      <c r="FCQ1876" s="1740"/>
      <c r="FCR1876" s="1740"/>
      <c r="FCS1876" s="1740"/>
      <c r="FCT1876" s="1740"/>
      <c r="FCU1876" s="1740"/>
      <c r="FCV1876" s="1740"/>
      <c r="FCW1876" s="1740"/>
      <c r="FCX1876" s="1740"/>
      <c r="FCY1876" s="1740"/>
      <c r="FCZ1876" s="1740"/>
      <c r="FDA1876" s="1740"/>
      <c r="FDB1876" s="1740"/>
      <c r="FDC1876" s="1740"/>
      <c r="FDD1876" s="1740"/>
      <c r="FDE1876" s="1740"/>
      <c r="FDF1876" s="1740"/>
      <c r="FDG1876" s="1740"/>
      <c r="FDH1876" s="1740"/>
      <c r="FDI1876" s="1740"/>
      <c r="FDJ1876" s="1740"/>
      <c r="FDK1876" s="1740"/>
      <c r="FDL1876" s="1740"/>
      <c r="FDM1876" s="1740"/>
      <c r="FDN1876" s="1740"/>
      <c r="FDO1876" s="1740"/>
      <c r="FDP1876" s="1740"/>
      <c r="FDQ1876" s="1740"/>
      <c r="FDR1876" s="1740"/>
      <c r="FDS1876" s="1740"/>
      <c r="FDT1876" s="1740"/>
      <c r="FDU1876" s="1740"/>
      <c r="FDV1876" s="1740"/>
      <c r="FDW1876" s="1740"/>
      <c r="FDX1876" s="1740"/>
      <c r="FDY1876" s="1740"/>
      <c r="FDZ1876" s="1740"/>
      <c r="FEA1876" s="1740"/>
      <c r="FEB1876" s="1740"/>
      <c r="FEC1876" s="1740"/>
      <c r="FED1876" s="1740"/>
      <c r="FEE1876" s="1740"/>
      <c r="FEF1876" s="1740"/>
      <c r="FEG1876" s="1740"/>
      <c r="FEH1876" s="1740"/>
      <c r="FEI1876" s="1740"/>
      <c r="FEJ1876" s="1740"/>
      <c r="FEK1876" s="1740"/>
      <c r="FEL1876" s="1740"/>
      <c r="FEM1876" s="1740"/>
      <c r="FEN1876" s="1740"/>
      <c r="FEO1876" s="1740"/>
      <c r="FEP1876" s="1740"/>
      <c r="FEQ1876" s="1740"/>
      <c r="FER1876" s="1740"/>
      <c r="FES1876" s="1740"/>
      <c r="FET1876" s="1740"/>
      <c r="FEU1876" s="1740"/>
      <c r="FEV1876" s="1740"/>
      <c r="FEW1876" s="1740"/>
      <c r="FEX1876" s="1740"/>
      <c r="FEY1876" s="1740"/>
      <c r="FEZ1876" s="1740"/>
      <c r="FFA1876" s="1740"/>
      <c r="FFB1876" s="1740"/>
      <c r="FFC1876" s="1740"/>
      <c r="FFD1876" s="1740"/>
      <c r="FFE1876" s="1740"/>
      <c r="FFF1876" s="1740"/>
      <c r="FFG1876" s="1740"/>
      <c r="FFH1876" s="1740"/>
      <c r="FFI1876" s="1740"/>
      <c r="FFJ1876" s="1740"/>
      <c r="FFK1876" s="1740"/>
      <c r="FFL1876" s="1740"/>
      <c r="FFM1876" s="1740"/>
      <c r="FFN1876" s="1740"/>
      <c r="FFO1876" s="1740"/>
      <c r="FFP1876" s="1740"/>
      <c r="FFQ1876" s="1740"/>
      <c r="FFR1876" s="1740"/>
      <c r="FFS1876" s="1740"/>
      <c r="FFT1876" s="1740"/>
      <c r="FFU1876" s="1740"/>
      <c r="FFV1876" s="1740"/>
      <c r="FFW1876" s="1740"/>
      <c r="FFX1876" s="1740"/>
      <c r="FFY1876" s="1740"/>
      <c r="FFZ1876" s="1740"/>
      <c r="FGA1876" s="1740"/>
      <c r="FGB1876" s="1740"/>
      <c r="FGC1876" s="1740"/>
      <c r="FGD1876" s="1740"/>
      <c r="FGE1876" s="1740"/>
      <c r="FGF1876" s="1740"/>
      <c r="FGG1876" s="1740"/>
      <c r="FGH1876" s="1740"/>
      <c r="FGI1876" s="1740"/>
      <c r="FGJ1876" s="1740"/>
      <c r="FGK1876" s="1740"/>
      <c r="FGL1876" s="1740"/>
      <c r="FGM1876" s="1740"/>
      <c r="FGN1876" s="1740"/>
      <c r="FGO1876" s="1740"/>
      <c r="FGP1876" s="1740"/>
      <c r="FGQ1876" s="1740"/>
      <c r="FGR1876" s="1740"/>
      <c r="FGS1876" s="1740"/>
      <c r="FGT1876" s="1740"/>
      <c r="FGU1876" s="1740"/>
      <c r="FGV1876" s="1740"/>
      <c r="FGW1876" s="1740"/>
      <c r="FGX1876" s="1740"/>
      <c r="FGY1876" s="1740"/>
      <c r="FGZ1876" s="1740"/>
      <c r="FHA1876" s="1740"/>
      <c r="FHB1876" s="1740"/>
      <c r="FHC1876" s="1740"/>
      <c r="FHD1876" s="1740"/>
      <c r="FHE1876" s="1740"/>
      <c r="FHF1876" s="1740"/>
      <c r="FHG1876" s="1740"/>
      <c r="FHH1876" s="1740"/>
      <c r="FHI1876" s="1740"/>
      <c r="FHJ1876" s="1740"/>
      <c r="FHK1876" s="1740"/>
      <c r="FHL1876" s="1740"/>
      <c r="FHM1876" s="1740"/>
      <c r="FHN1876" s="1740"/>
      <c r="FHO1876" s="1740"/>
      <c r="FHP1876" s="1740"/>
      <c r="FHQ1876" s="1740"/>
      <c r="FHR1876" s="1740"/>
      <c r="FHS1876" s="1740"/>
      <c r="FHT1876" s="1740"/>
      <c r="FHU1876" s="1740"/>
      <c r="FHV1876" s="1740"/>
      <c r="FHW1876" s="1740"/>
      <c r="FHX1876" s="1740"/>
      <c r="FHY1876" s="1740"/>
      <c r="FHZ1876" s="1740"/>
      <c r="FIA1876" s="1740"/>
      <c r="FIB1876" s="1740"/>
      <c r="FIC1876" s="1740"/>
      <c r="FID1876" s="1740"/>
      <c r="FIE1876" s="1740"/>
      <c r="FIF1876" s="1740"/>
      <c r="FIG1876" s="1740"/>
      <c r="FIH1876" s="1740"/>
      <c r="FII1876" s="1740"/>
      <c r="FIJ1876" s="1740"/>
      <c r="FIK1876" s="1740"/>
      <c r="FIL1876" s="1740"/>
      <c r="FIM1876" s="1740"/>
      <c r="FIN1876" s="1740"/>
      <c r="FIO1876" s="1740"/>
      <c r="FIP1876" s="1740"/>
      <c r="FIQ1876" s="1740"/>
      <c r="FIR1876" s="1740"/>
      <c r="FIS1876" s="1740"/>
      <c r="FIT1876" s="1740"/>
      <c r="FIU1876" s="1740"/>
      <c r="FIV1876" s="1740"/>
      <c r="FIW1876" s="1740"/>
      <c r="FIX1876" s="1740"/>
      <c r="FIY1876" s="1740"/>
      <c r="FIZ1876" s="1740"/>
      <c r="FJA1876" s="1740"/>
      <c r="FJB1876" s="1740"/>
      <c r="FJC1876" s="1740"/>
      <c r="FJD1876" s="1740"/>
      <c r="FJE1876" s="1740"/>
      <c r="FJF1876" s="1740"/>
      <c r="FJG1876" s="1740"/>
      <c r="FJH1876" s="1740"/>
      <c r="FJI1876" s="1740"/>
      <c r="FJJ1876" s="1740"/>
      <c r="FJK1876" s="1740"/>
      <c r="FJL1876" s="1740"/>
      <c r="FJM1876" s="1740"/>
      <c r="FJN1876" s="1740"/>
      <c r="FJO1876" s="1740"/>
      <c r="FJP1876" s="1740"/>
      <c r="FJQ1876" s="1740"/>
      <c r="FJR1876" s="1740"/>
      <c r="FJS1876" s="1740"/>
      <c r="FJT1876" s="1740"/>
      <c r="FJU1876" s="1740"/>
      <c r="FJV1876" s="1740"/>
      <c r="FJW1876" s="1740"/>
      <c r="FJX1876" s="1740"/>
      <c r="FJY1876" s="1740"/>
      <c r="FJZ1876" s="1740"/>
      <c r="FKA1876" s="1740"/>
      <c r="FKB1876" s="1740"/>
      <c r="FKC1876" s="1740"/>
      <c r="FKD1876" s="1740"/>
      <c r="FKE1876" s="1740"/>
      <c r="FKF1876" s="1740"/>
      <c r="FKG1876" s="1740"/>
      <c r="FKH1876" s="1740"/>
      <c r="FKI1876" s="1740"/>
      <c r="FKJ1876" s="1740"/>
      <c r="FKK1876" s="1740"/>
      <c r="FKL1876" s="1740"/>
      <c r="FKM1876" s="1740"/>
      <c r="FKN1876" s="1740"/>
      <c r="FKO1876" s="1740"/>
      <c r="FKP1876" s="1740"/>
      <c r="FKQ1876" s="1740"/>
      <c r="FKR1876" s="1740"/>
      <c r="FKS1876" s="1740"/>
      <c r="FKT1876" s="1740"/>
      <c r="FKU1876" s="1740"/>
      <c r="FKV1876" s="1740"/>
      <c r="FKW1876" s="1740"/>
      <c r="FKX1876" s="1740"/>
      <c r="FKY1876" s="1740"/>
      <c r="FKZ1876" s="1740"/>
      <c r="FLA1876" s="1740"/>
      <c r="FLB1876" s="1740"/>
      <c r="FLC1876" s="1740"/>
      <c r="FLD1876" s="1740"/>
      <c r="FLE1876" s="1740"/>
      <c r="FLF1876" s="1740"/>
      <c r="FLG1876" s="1740"/>
      <c r="FLH1876" s="1740"/>
      <c r="FLI1876" s="1740"/>
      <c r="FLJ1876" s="1740"/>
      <c r="FLK1876" s="1740"/>
      <c r="FLL1876" s="1740"/>
      <c r="FLM1876" s="1740"/>
      <c r="FLN1876" s="1740"/>
      <c r="FLO1876" s="1740"/>
      <c r="FLP1876" s="1740"/>
      <c r="FLQ1876" s="1740"/>
      <c r="FLR1876" s="1740"/>
      <c r="FLS1876" s="1740"/>
      <c r="FLT1876" s="1740"/>
      <c r="FLU1876" s="1740"/>
      <c r="FLV1876" s="1740"/>
      <c r="FLW1876" s="1740"/>
      <c r="FLX1876" s="1740"/>
      <c r="FLY1876" s="1740"/>
      <c r="FLZ1876" s="1740"/>
      <c r="FMA1876" s="1740"/>
      <c r="FMB1876" s="1740"/>
      <c r="FMC1876" s="1740"/>
      <c r="FMD1876" s="1740"/>
      <c r="FME1876" s="1740"/>
      <c r="FMF1876" s="1740"/>
      <c r="FMG1876" s="1740"/>
      <c r="FMH1876" s="1740"/>
      <c r="FMI1876" s="1740"/>
      <c r="FMJ1876" s="1740"/>
      <c r="FMK1876" s="1740"/>
      <c r="FML1876" s="1740"/>
      <c r="FMM1876" s="1740"/>
      <c r="FMN1876" s="1740"/>
      <c r="FMO1876" s="1740"/>
      <c r="FMP1876" s="1740"/>
      <c r="FMQ1876" s="1740"/>
      <c r="FMR1876" s="1740"/>
      <c r="FMS1876" s="1740"/>
      <c r="FMT1876" s="1740"/>
      <c r="FMU1876" s="1740"/>
      <c r="FMV1876" s="1740"/>
      <c r="FMW1876" s="1740"/>
      <c r="FMX1876" s="1740"/>
      <c r="FMY1876" s="1740"/>
      <c r="FMZ1876" s="1740"/>
      <c r="FNA1876" s="1740"/>
      <c r="FNB1876" s="1740"/>
      <c r="FNC1876" s="1740"/>
      <c r="FND1876" s="1740"/>
      <c r="FNE1876" s="1740"/>
      <c r="FNF1876" s="1740"/>
      <c r="FNG1876" s="1740"/>
      <c r="FNH1876" s="1740"/>
      <c r="FNI1876" s="1740"/>
      <c r="FNJ1876" s="1740"/>
      <c r="FNK1876" s="1740"/>
      <c r="FNL1876" s="1740"/>
      <c r="FNM1876" s="1740"/>
      <c r="FNN1876" s="1740"/>
      <c r="FNO1876" s="1740"/>
      <c r="FNP1876" s="1740"/>
      <c r="FNQ1876" s="1740"/>
      <c r="FNR1876" s="1740"/>
      <c r="FNS1876" s="1740"/>
      <c r="FNT1876" s="1740"/>
      <c r="FNU1876" s="1740"/>
      <c r="FNV1876" s="1740"/>
      <c r="FNW1876" s="1740"/>
      <c r="FNX1876" s="1740"/>
      <c r="FNY1876" s="1740"/>
      <c r="FNZ1876" s="1740"/>
      <c r="FOA1876" s="1740"/>
      <c r="FOB1876" s="1740"/>
      <c r="FOC1876" s="1740"/>
      <c r="FOD1876" s="1740"/>
      <c r="FOE1876" s="1740"/>
      <c r="FOF1876" s="1740"/>
      <c r="FOG1876" s="1740"/>
      <c r="FOH1876" s="1740"/>
      <c r="FOI1876" s="1740"/>
      <c r="FOJ1876" s="1740"/>
      <c r="FOK1876" s="1740"/>
      <c r="FOL1876" s="1740"/>
      <c r="FOM1876" s="1740"/>
      <c r="FON1876" s="1740"/>
      <c r="FOO1876" s="1740"/>
      <c r="FOP1876" s="1740"/>
      <c r="FOQ1876" s="1740"/>
      <c r="FOR1876" s="1740"/>
      <c r="FOS1876" s="1740"/>
      <c r="FOT1876" s="1740"/>
      <c r="FOU1876" s="1740"/>
      <c r="FOV1876" s="1740"/>
      <c r="FOW1876" s="1740"/>
      <c r="FOX1876" s="1740"/>
      <c r="FOY1876" s="1740"/>
      <c r="FOZ1876" s="1740"/>
      <c r="FPA1876" s="1740"/>
      <c r="FPB1876" s="1740"/>
      <c r="FPC1876" s="1740"/>
      <c r="FPD1876" s="1740"/>
      <c r="FPE1876" s="1740"/>
      <c r="FPF1876" s="1740"/>
      <c r="FPG1876" s="1740"/>
      <c r="FPH1876" s="1740"/>
      <c r="FPI1876" s="1740"/>
      <c r="FPJ1876" s="1740"/>
      <c r="FPK1876" s="1740"/>
      <c r="FPL1876" s="1740"/>
      <c r="FPM1876" s="1740"/>
      <c r="FPN1876" s="1740"/>
      <c r="FPO1876" s="1740"/>
      <c r="FPP1876" s="1740"/>
      <c r="FPQ1876" s="1740"/>
      <c r="FPR1876" s="1740"/>
      <c r="FPS1876" s="1740"/>
      <c r="FPT1876" s="1740"/>
      <c r="FPU1876" s="1740"/>
      <c r="FPV1876" s="1740"/>
      <c r="FPW1876" s="1740"/>
      <c r="FPX1876" s="1740"/>
      <c r="FPY1876" s="1740"/>
      <c r="FPZ1876" s="1740"/>
      <c r="FQA1876" s="1740"/>
      <c r="FQB1876" s="1740"/>
      <c r="FQC1876" s="1740"/>
      <c r="FQD1876" s="1740"/>
      <c r="FQE1876" s="1740"/>
      <c r="FQF1876" s="1740"/>
      <c r="FQG1876" s="1740"/>
      <c r="FQH1876" s="1740"/>
      <c r="FQI1876" s="1740"/>
      <c r="FQJ1876" s="1740"/>
      <c r="FQK1876" s="1740"/>
      <c r="FQL1876" s="1740"/>
      <c r="FQM1876" s="1740"/>
      <c r="FQN1876" s="1740"/>
      <c r="FQO1876" s="1740"/>
      <c r="FQP1876" s="1740"/>
      <c r="FQQ1876" s="1740"/>
      <c r="FQR1876" s="1740"/>
      <c r="FQS1876" s="1740"/>
      <c r="FQT1876" s="1740"/>
      <c r="FQU1876" s="1740"/>
      <c r="FQV1876" s="1740"/>
      <c r="FQW1876" s="1740"/>
      <c r="FQX1876" s="1740"/>
      <c r="FQY1876" s="1740"/>
      <c r="FQZ1876" s="1740"/>
      <c r="FRA1876" s="1740"/>
      <c r="FRB1876" s="1740"/>
      <c r="FRC1876" s="1740"/>
      <c r="FRD1876" s="1740"/>
      <c r="FRE1876" s="1740"/>
      <c r="FRF1876" s="1740"/>
      <c r="FRG1876" s="1740"/>
      <c r="FRH1876" s="1740"/>
      <c r="FRI1876" s="1740"/>
      <c r="FRJ1876" s="1740"/>
      <c r="FRK1876" s="1740"/>
      <c r="FRL1876" s="1740"/>
      <c r="FRM1876" s="1740"/>
      <c r="FRN1876" s="1740"/>
      <c r="FRO1876" s="1740"/>
      <c r="FRP1876" s="1740"/>
      <c r="FRQ1876" s="1740"/>
      <c r="FRR1876" s="1740"/>
      <c r="FRS1876" s="1740"/>
      <c r="FRT1876" s="1740"/>
      <c r="FRU1876" s="1740"/>
      <c r="FRV1876" s="1740"/>
      <c r="FRW1876" s="1740"/>
      <c r="FRX1876" s="1740"/>
      <c r="FRY1876" s="1740"/>
      <c r="FRZ1876" s="1740"/>
      <c r="FSA1876" s="1740"/>
      <c r="FSB1876" s="1740"/>
      <c r="FSC1876" s="1740"/>
      <c r="FSD1876" s="1740"/>
      <c r="FSE1876" s="1740"/>
      <c r="FSF1876" s="1740"/>
      <c r="FSG1876" s="1740"/>
      <c r="FSH1876" s="1740"/>
      <c r="FSI1876" s="1740"/>
      <c r="FSJ1876" s="1740"/>
      <c r="FSK1876" s="1740"/>
      <c r="FSL1876" s="1740"/>
      <c r="FSM1876" s="1740"/>
      <c r="FSN1876" s="1740"/>
      <c r="FSO1876" s="1740"/>
      <c r="FSP1876" s="1740"/>
      <c r="FSQ1876" s="1740"/>
      <c r="FSR1876" s="1740"/>
      <c r="FSS1876" s="1740"/>
      <c r="FST1876" s="1740"/>
      <c r="FSU1876" s="1740"/>
      <c r="FSV1876" s="1740"/>
      <c r="FSW1876" s="1740"/>
      <c r="FSX1876" s="1740"/>
      <c r="FSY1876" s="1740"/>
      <c r="FSZ1876" s="1740"/>
      <c r="FTA1876" s="1740"/>
      <c r="FTB1876" s="1740"/>
      <c r="FTC1876" s="1740"/>
      <c r="FTD1876" s="1740"/>
      <c r="FTE1876" s="1740"/>
      <c r="FTF1876" s="1740"/>
      <c r="FTG1876" s="1740"/>
      <c r="FTH1876" s="1740"/>
      <c r="FTI1876" s="1740"/>
      <c r="FTJ1876" s="1740"/>
      <c r="FTK1876" s="1740"/>
      <c r="FTL1876" s="1740"/>
      <c r="FTM1876" s="1740"/>
      <c r="FTN1876" s="1740"/>
      <c r="FTO1876" s="1740"/>
      <c r="FTP1876" s="1740"/>
      <c r="FTQ1876" s="1740"/>
      <c r="FTR1876" s="1740"/>
      <c r="FTS1876" s="1740"/>
      <c r="FTT1876" s="1740"/>
      <c r="FTU1876" s="1740"/>
      <c r="FTV1876" s="1740"/>
      <c r="FTW1876" s="1740"/>
      <c r="FTX1876" s="1740"/>
      <c r="FTY1876" s="1740"/>
      <c r="FTZ1876" s="1740"/>
      <c r="FUA1876" s="1740"/>
      <c r="FUB1876" s="1740"/>
      <c r="FUC1876" s="1740"/>
      <c r="FUD1876" s="1740"/>
      <c r="FUE1876" s="1740"/>
      <c r="FUF1876" s="1740"/>
      <c r="FUG1876" s="1740"/>
      <c r="FUH1876" s="1740"/>
      <c r="FUI1876" s="1740"/>
      <c r="FUJ1876" s="1740"/>
      <c r="FUK1876" s="1740"/>
      <c r="FUL1876" s="1740"/>
      <c r="FUM1876" s="1740"/>
      <c r="FUN1876" s="1740"/>
      <c r="FUO1876" s="1740"/>
      <c r="FUP1876" s="1740"/>
      <c r="FUQ1876" s="1740"/>
      <c r="FUR1876" s="1740"/>
      <c r="FUS1876" s="1740"/>
      <c r="FUT1876" s="1740"/>
      <c r="FUU1876" s="1740"/>
      <c r="FUV1876" s="1740"/>
      <c r="FUW1876" s="1740"/>
      <c r="FUX1876" s="1740"/>
      <c r="FUY1876" s="1740"/>
      <c r="FUZ1876" s="1740"/>
      <c r="FVA1876" s="1740"/>
      <c r="FVB1876" s="1740"/>
      <c r="FVC1876" s="1740"/>
      <c r="FVD1876" s="1740"/>
      <c r="FVE1876" s="1740"/>
      <c r="FVF1876" s="1740"/>
      <c r="FVG1876" s="1740"/>
      <c r="FVH1876" s="1740"/>
      <c r="FVI1876" s="1740"/>
      <c r="FVJ1876" s="1740"/>
      <c r="FVK1876" s="1740"/>
      <c r="FVL1876" s="1740"/>
      <c r="FVM1876" s="1740"/>
      <c r="FVN1876" s="1740"/>
      <c r="FVO1876" s="1740"/>
      <c r="FVP1876" s="1740"/>
      <c r="FVQ1876" s="1740"/>
      <c r="FVR1876" s="1740"/>
      <c r="FVS1876" s="1740"/>
      <c r="FVT1876" s="1740"/>
      <c r="FVU1876" s="1740"/>
      <c r="FVV1876" s="1740"/>
      <c r="FVW1876" s="1740"/>
      <c r="FVX1876" s="1740"/>
      <c r="FVY1876" s="1740"/>
      <c r="FVZ1876" s="1740"/>
      <c r="FWA1876" s="1740"/>
      <c r="FWB1876" s="1740"/>
      <c r="FWC1876" s="1740"/>
      <c r="FWD1876" s="1740"/>
      <c r="FWE1876" s="1740"/>
      <c r="FWF1876" s="1740"/>
      <c r="FWG1876" s="1740"/>
      <c r="FWH1876" s="1740"/>
      <c r="FWI1876" s="1740"/>
      <c r="FWJ1876" s="1740"/>
      <c r="FWK1876" s="1740"/>
      <c r="FWL1876" s="1740"/>
      <c r="FWM1876" s="1740"/>
      <c r="FWN1876" s="1740"/>
      <c r="FWO1876" s="1740"/>
      <c r="FWP1876" s="1740"/>
      <c r="FWQ1876" s="1740"/>
      <c r="FWR1876" s="1740"/>
      <c r="FWS1876" s="1740"/>
      <c r="FWT1876" s="1740"/>
      <c r="FWU1876" s="1740"/>
      <c r="FWV1876" s="1740"/>
      <c r="FWW1876" s="1740"/>
      <c r="FWX1876" s="1740"/>
      <c r="FWY1876" s="1740"/>
      <c r="FWZ1876" s="1740"/>
      <c r="FXA1876" s="1740"/>
      <c r="FXB1876" s="1740"/>
      <c r="FXC1876" s="1740"/>
      <c r="FXD1876" s="1740"/>
      <c r="FXE1876" s="1740"/>
      <c r="FXF1876" s="1740"/>
      <c r="FXG1876" s="1740"/>
      <c r="FXH1876" s="1740"/>
      <c r="FXI1876" s="1740"/>
      <c r="FXJ1876" s="1740"/>
      <c r="FXK1876" s="1740"/>
      <c r="FXL1876" s="1740"/>
      <c r="FXM1876" s="1740"/>
      <c r="FXN1876" s="1740"/>
      <c r="FXO1876" s="1740"/>
      <c r="FXP1876" s="1740"/>
      <c r="FXQ1876" s="1740"/>
      <c r="FXR1876" s="1740"/>
      <c r="FXS1876" s="1740"/>
      <c r="FXT1876" s="1740"/>
      <c r="FXU1876" s="1740"/>
      <c r="FXV1876" s="1740"/>
      <c r="FXW1876" s="1740"/>
      <c r="FXX1876" s="1740"/>
      <c r="FXY1876" s="1740"/>
      <c r="FXZ1876" s="1740"/>
      <c r="FYA1876" s="1740"/>
      <c r="FYB1876" s="1740"/>
      <c r="FYC1876" s="1740"/>
      <c r="FYD1876" s="1740"/>
      <c r="FYE1876" s="1740"/>
      <c r="FYF1876" s="1740"/>
      <c r="FYG1876" s="1740"/>
      <c r="FYH1876" s="1740"/>
      <c r="FYI1876" s="1740"/>
      <c r="FYJ1876" s="1740"/>
      <c r="FYK1876" s="1740"/>
      <c r="FYL1876" s="1740"/>
      <c r="FYM1876" s="1740"/>
      <c r="FYN1876" s="1740"/>
      <c r="FYO1876" s="1740"/>
      <c r="FYP1876" s="1740"/>
      <c r="FYQ1876" s="1740"/>
      <c r="FYR1876" s="1740"/>
      <c r="FYS1876" s="1740"/>
      <c r="FYT1876" s="1740"/>
      <c r="FYU1876" s="1740"/>
      <c r="FYV1876" s="1740"/>
      <c r="FYW1876" s="1740"/>
      <c r="FYX1876" s="1740"/>
      <c r="FYY1876" s="1740"/>
      <c r="FYZ1876" s="1740"/>
      <c r="FZA1876" s="1740"/>
      <c r="FZB1876" s="1740"/>
      <c r="FZC1876" s="1740"/>
      <c r="FZD1876" s="1740"/>
      <c r="FZE1876" s="1740"/>
      <c r="FZF1876" s="1740"/>
      <c r="FZG1876" s="1740"/>
      <c r="FZH1876" s="1740"/>
      <c r="FZI1876" s="1740"/>
      <c r="FZJ1876" s="1740"/>
      <c r="FZK1876" s="1740"/>
      <c r="FZL1876" s="1740"/>
      <c r="FZM1876" s="1740"/>
      <c r="FZN1876" s="1740"/>
      <c r="FZO1876" s="1740"/>
      <c r="FZP1876" s="1740"/>
      <c r="FZQ1876" s="1740"/>
      <c r="FZR1876" s="1740"/>
      <c r="FZS1876" s="1740"/>
      <c r="FZT1876" s="1740"/>
      <c r="FZU1876" s="1740"/>
      <c r="FZV1876" s="1740"/>
      <c r="FZW1876" s="1740"/>
      <c r="FZX1876" s="1740"/>
      <c r="FZY1876" s="1740"/>
      <c r="FZZ1876" s="1740"/>
      <c r="GAA1876" s="1740"/>
      <c r="GAB1876" s="1740"/>
      <c r="GAC1876" s="1740"/>
      <c r="GAD1876" s="1740"/>
      <c r="GAE1876" s="1740"/>
      <c r="GAF1876" s="1740"/>
      <c r="GAG1876" s="1740"/>
      <c r="GAH1876" s="1740"/>
      <c r="GAI1876" s="1740"/>
      <c r="GAJ1876" s="1740"/>
      <c r="GAK1876" s="1740"/>
      <c r="GAL1876" s="1740"/>
      <c r="GAM1876" s="1740"/>
      <c r="GAN1876" s="1740"/>
      <c r="GAO1876" s="1740"/>
      <c r="GAP1876" s="1740"/>
      <c r="GAQ1876" s="1740"/>
      <c r="GAR1876" s="1740"/>
      <c r="GAS1876" s="1740"/>
      <c r="GAT1876" s="1740"/>
      <c r="GAU1876" s="1740"/>
      <c r="GAV1876" s="1740"/>
      <c r="GAW1876" s="1740"/>
      <c r="GAX1876" s="1740"/>
      <c r="GAY1876" s="1740"/>
      <c r="GAZ1876" s="1740"/>
      <c r="GBA1876" s="1740"/>
      <c r="GBB1876" s="1740"/>
      <c r="GBC1876" s="1740"/>
      <c r="GBD1876" s="1740"/>
      <c r="GBE1876" s="1740"/>
      <c r="GBF1876" s="1740"/>
      <c r="GBG1876" s="1740"/>
      <c r="GBH1876" s="1740"/>
      <c r="GBI1876" s="1740"/>
      <c r="GBJ1876" s="1740"/>
      <c r="GBK1876" s="1740"/>
      <c r="GBL1876" s="1740"/>
      <c r="GBM1876" s="1740"/>
      <c r="GBN1876" s="1740"/>
      <c r="GBO1876" s="1740"/>
      <c r="GBP1876" s="1740"/>
      <c r="GBQ1876" s="1740"/>
      <c r="GBR1876" s="1740"/>
      <c r="GBS1876" s="1740"/>
      <c r="GBT1876" s="1740"/>
      <c r="GBU1876" s="1740"/>
      <c r="GBV1876" s="1740"/>
      <c r="GBW1876" s="1740"/>
      <c r="GBX1876" s="1740"/>
      <c r="GBY1876" s="1740"/>
      <c r="GBZ1876" s="1740"/>
      <c r="GCA1876" s="1740"/>
      <c r="GCB1876" s="1740"/>
      <c r="GCC1876" s="1740"/>
      <c r="GCD1876" s="1740"/>
      <c r="GCE1876" s="1740"/>
      <c r="GCF1876" s="1740"/>
      <c r="GCG1876" s="1740"/>
      <c r="GCH1876" s="1740"/>
      <c r="GCI1876" s="1740"/>
      <c r="GCJ1876" s="1740"/>
      <c r="GCK1876" s="1740"/>
      <c r="GCL1876" s="1740"/>
      <c r="GCM1876" s="1740"/>
      <c r="GCN1876" s="1740"/>
      <c r="GCO1876" s="1740"/>
      <c r="GCP1876" s="1740"/>
      <c r="GCQ1876" s="1740"/>
      <c r="GCR1876" s="1740"/>
      <c r="GCS1876" s="1740"/>
      <c r="GCT1876" s="1740"/>
      <c r="GCU1876" s="1740"/>
      <c r="GCV1876" s="1740"/>
      <c r="GCW1876" s="1740"/>
      <c r="GCX1876" s="1740"/>
      <c r="GCY1876" s="1740"/>
      <c r="GCZ1876" s="1740"/>
      <c r="GDA1876" s="1740"/>
      <c r="GDB1876" s="1740"/>
      <c r="GDC1876" s="1740"/>
      <c r="GDD1876" s="1740"/>
      <c r="GDE1876" s="1740"/>
      <c r="GDF1876" s="1740"/>
      <c r="GDG1876" s="1740"/>
      <c r="GDH1876" s="1740"/>
      <c r="GDI1876" s="1740"/>
      <c r="GDJ1876" s="1740"/>
      <c r="GDK1876" s="1740"/>
      <c r="GDL1876" s="1740"/>
      <c r="GDM1876" s="1740"/>
      <c r="GDN1876" s="1740"/>
      <c r="GDO1876" s="1740"/>
      <c r="GDP1876" s="1740"/>
      <c r="GDQ1876" s="1740"/>
      <c r="GDR1876" s="1740"/>
      <c r="GDS1876" s="1740"/>
      <c r="GDT1876" s="1740"/>
      <c r="GDU1876" s="1740"/>
      <c r="GDV1876" s="1740"/>
      <c r="GDW1876" s="1740"/>
      <c r="GDX1876" s="1740"/>
      <c r="GDY1876" s="1740"/>
      <c r="GDZ1876" s="1740"/>
      <c r="GEA1876" s="1740"/>
      <c r="GEB1876" s="1740"/>
      <c r="GEC1876" s="1740"/>
      <c r="GED1876" s="1740"/>
      <c r="GEE1876" s="1740"/>
      <c r="GEF1876" s="1740"/>
      <c r="GEG1876" s="1740"/>
      <c r="GEH1876" s="1740"/>
      <c r="GEI1876" s="1740"/>
      <c r="GEJ1876" s="1740"/>
      <c r="GEK1876" s="1740"/>
      <c r="GEL1876" s="1740"/>
      <c r="GEM1876" s="1740"/>
      <c r="GEN1876" s="1740"/>
      <c r="GEO1876" s="1740"/>
      <c r="GEP1876" s="1740"/>
      <c r="GEQ1876" s="1740"/>
      <c r="GER1876" s="1740"/>
      <c r="GES1876" s="1740"/>
      <c r="GET1876" s="1740"/>
      <c r="GEU1876" s="1740"/>
      <c r="GEV1876" s="1740"/>
      <c r="GEW1876" s="1740"/>
      <c r="GEX1876" s="1740"/>
      <c r="GEY1876" s="1740"/>
      <c r="GEZ1876" s="1740"/>
      <c r="GFA1876" s="1740"/>
      <c r="GFB1876" s="1740"/>
      <c r="GFC1876" s="1740"/>
      <c r="GFD1876" s="1740"/>
      <c r="GFE1876" s="1740"/>
      <c r="GFF1876" s="1740"/>
      <c r="GFG1876" s="1740"/>
      <c r="GFH1876" s="1740"/>
      <c r="GFI1876" s="1740"/>
      <c r="GFJ1876" s="1740"/>
      <c r="GFK1876" s="1740"/>
      <c r="GFL1876" s="1740"/>
      <c r="GFM1876" s="1740"/>
      <c r="GFN1876" s="1740"/>
      <c r="GFO1876" s="1740"/>
      <c r="GFP1876" s="1740"/>
      <c r="GFQ1876" s="1740"/>
      <c r="GFR1876" s="1740"/>
      <c r="GFS1876" s="1740"/>
      <c r="GFT1876" s="1740"/>
      <c r="GFU1876" s="1740"/>
      <c r="GFV1876" s="1740"/>
      <c r="GFW1876" s="1740"/>
      <c r="GFX1876" s="1740"/>
      <c r="GFY1876" s="1740"/>
      <c r="GFZ1876" s="1740"/>
      <c r="GGA1876" s="1740"/>
      <c r="GGB1876" s="1740"/>
      <c r="GGC1876" s="1740"/>
      <c r="GGD1876" s="1740"/>
      <c r="GGE1876" s="1740"/>
      <c r="GGF1876" s="1740"/>
      <c r="GGG1876" s="1740"/>
      <c r="GGH1876" s="1740"/>
      <c r="GGI1876" s="1740"/>
      <c r="GGJ1876" s="1740"/>
      <c r="GGK1876" s="1740"/>
      <c r="GGL1876" s="1740"/>
      <c r="GGM1876" s="1740"/>
      <c r="GGN1876" s="1740"/>
      <c r="GGO1876" s="1740"/>
      <c r="GGP1876" s="1740"/>
      <c r="GGQ1876" s="1740"/>
      <c r="GGR1876" s="1740"/>
      <c r="GGS1876" s="1740"/>
      <c r="GGT1876" s="1740"/>
      <c r="GGU1876" s="1740"/>
      <c r="GGV1876" s="1740"/>
      <c r="GGW1876" s="1740"/>
      <c r="GGX1876" s="1740"/>
      <c r="GGY1876" s="1740"/>
      <c r="GGZ1876" s="1740"/>
      <c r="GHA1876" s="1740"/>
      <c r="GHB1876" s="1740"/>
      <c r="GHC1876" s="1740"/>
      <c r="GHD1876" s="1740"/>
      <c r="GHE1876" s="1740"/>
      <c r="GHF1876" s="1740"/>
      <c r="GHG1876" s="1740"/>
      <c r="GHH1876" s="1740"/>
      <c r="GHI1876" s="1740"/>
      <c r="GHJ1876" s="1740"/>
      <c r="GHK1876" s="1740"/>
      <c r="GHL1876" s="1740"/>
      <c r="GHM1876" s="1740"/>
      <c r="GHN1876" s="1740"/>
      <c r="GHO1876" s="1740"/>
      <c r="GHP1876" s="1740"/>
      <c r="GHQ1876" s="1740"/>
      <c r="GHR1876" s="1740"/>
      <c r="GHS1876" s="1740"/>
      <c r="GHT1876" s="1740"/>
      <c r="GHU1876" s="1740"/>
      <c r="GHV1876" s="1740"/>
      <c r="GHW1876" s="1740"/>
      <c r="GHX1876" s="1740"/>
      <c r="GHY1876" s="1740"/>
      <c r="GHZ1876" s="1740"/>
      <c r="GIA1876" s="1740"/>
      <c r="GIB1876" s="1740"/>
      <c r="GIC1876" s="1740"/>
      <c r="GID1876" s="1740"/>
      <c r="GIE1876" s="1740"/>
      <c r="GIF1876" s="1740"/>
      <c r="GIG1876" s="1740"/>
      <c r="GIH1876" s="1740"/>
      <c r="GII1876" s="1740"/>
      <c r="GIJ1876" s="1740"/>
      <c r="GIK1876" s="1740"/>
      <c r="GIL1876" s="1740"/>
      <c r="GIM1876" s="1740"/>
      <c r="GIN1876" s="1740"/>
      <c r="GIO1876" s="1740"/>
      <c r="GIP1876" s="1740"/>
      <c r="GIQ1876" s="1740"/>
      <c r="GIR1876" s="1740"/>
      <c r="GIS1876" s="1740"/>
      <c r="GIT1876" s="1740"/>
      <c r="GIU1876" s="1740"/>
      <c r="GIV1876" s="1740"/>
      <c r="GIW1876" s="1740"/>
      <c r="GIX1876" s="1740"/>
      <c r="GIY1876" s="1740"/>
      <c r="GIZ1876" s="1740"/>
      <c r="GJA1876" s="1740"/>
      <c r="GJB1876" s="1740"/>
      <c r="GJC1876" s="1740"/>
      <c r="GJD1876" s="1740"/>
      <c r="GJE1876" s="1740"/>
      <c r="GJF1876" s="1740"/>
      <c r="GJG1876" s="1740"/>
      <c r="GJH1876" s="1740"/>
      <c r="GJI1876" s="1740"/>
      <c r="GJJ1876" s="1740"/>
      <c r="GJK1876" s="1740"/>
      <c r="GJL1876" s="1740"/>
      <c r="GJM1876" s="1740"/>
      <c r="GJN1876" s="1740"/>
      <c r="GJO1876" s="1740"/>
      <c r="GJP1876" s="1740"/>
      <c r="GJQ1876" s="1740"/>
      <c r="GJR1876" s="1740"/>
      <c r="GJS1876" s="1740"/>
      <c r="GJT1876" s="1740"/>
      <c r="GJU1876" s="1740"/>
      <c r="GJV1876" s="1740"/>
      <c r="GJW1876" s="1740"/>
      <c r="GJX1876" s="1740"/>
      <c r="GJY1876" s="1740"/>
      <c r="GJZ1876" s="1740"/>
      <c r="GKA1876" s="1740"/>
      <c r="GKB1876" s="1740"/>
      <c r="GKC1876" s="1740"/>
      <c r="GKD1876" s="1740"/>
      <c r="GKE1876" s="1740"/>
      <c r="GKF1876" s="1740"/>
      <c r="GKG1876" s="1740"/>
      <c r="GKH1876" s="1740"/>
      <c r="GKI1876" s="1740"/>
      <c r="GKJ1876" s="1740"/>
      <c r="GKK1876" s="1740"/>
      <c r="GKL1876" s="1740"/>
      <c r="GKM1876" s="1740"/>
      <c r="GKN1876" s="1740"/>
      <c r="GKO1876" s="1740"/>
      <c r="GKP1876" s="1740"/>
      <c r="GKQ1876" s="1740"/>
      <c r="GKR1876" s="1740"/>
      <c r="GKS1876" s="1740"/>
      <c r="GKT1876" s="1740"/>
      <c r="GKU1876" s="1740"/>
      <c r="GKV1876" s="1740"/>
      <c r="GKW1876" s="1740"/>
      <c r="GKX1876" s="1740"/>
      <c r="GKY1876" s="1740"/>
      <c r="GKZ1876" s="1740"/>
      <c r="GLA1876" s="1740"/>
      <c r="GLB1876" s="1740"/>
      <c r="GLC1876" s="1740"/>
      <c r="GLD1876" s="1740"/>
      <c r="GLE1876" s="1740"/>
      <c r="GLF1876" s="1740"/>
      <c r="GLG1876" s="1740"/>
      <c r="GLH1876" s="1740"/>
      <c r="GLI1876" s="1740"/>
      <c r="GLJ1876" s="1740"/>
      <c r="GLK1876" s="1740"/>
      <c r="GLL1876" s="1740"/>
      <c r="GLM1876" s="1740"/>
      <c r="GLN1876" s="1740"/>
      <c r="GLO1876" s="1740"/>
      <c r="GLP1876" s="1740"/>
      <c r="GLQ1876" s="1740"/>
      <c r="GLR1876" s="1740"/>
      <c r="GLS1876" s="1740"/>
      <c r="GLT1876" s="1740"/>
      <c r="GLU1876" s="1740"/>
      <c r="GLV1876" s="1740"/>
      <c r="GLW1876" s="1740"/>
      <c r="GLX1876" s="1740"/>
      <c r="GLY1876" s="1740"/>
      <c r="GLZ1876" s="1740"/>
      <c r="GMA1876" s="1740"/>
      <c r="GMB1876" s="1740"/>
      <c r="GMC1876" s="1740"/>
      <c r="GMD1876" s="1740"/>
      <c r="GME1876" s="1740"/>
      <c r="GMF1876" s="1740"/>
      <c r="GMG1876" s="1740"/>
      <c r="GMH1876" s="1740"/>
      <c r="GMI1876" s="1740"/>
      <c r="GMJ1876" s="1740"/>
      <c r="GMK1876" s="1740"/>
      <c r="GML1876" s="1740"/>
      <c r="GMM1876" s="1740"/>
      <c r="GMN1876" s="1740"/>
      <c r="GMO1876" s="1740"/>
      <c r="GMP1876" s="1740"/>
      <c r="GMQ1876" s="1740"/>
      <c r="GMR1876" s="1740"/>
      <c r="GMS1876" s="1740"/>
      <c r="GMT1876" s="1740"/>
      <c r="GMU1876" s="1740"/>
      <c r="GMV1876" s="1740"/>
      <c r="GMW1876" s="1740"/>
      <c r="GMX1876" s="1740"/>
      <c r="GMY1876" s="1740"/>
      <c r="GMZ1876" s="1740"/>
      <c r="GNA1876" s="1740"/>
      <c r="GNB1876" s="1740"/>
      <c r="GNC1876" s="1740"/>
      <c r="GND1876" s="1740"/>
      <c r="GNE1876" s="1740"/>
      <c r="GNF1876" s="1740"/>
      <c r="GNG1876" s="1740"/>
      <c r="GNH1876" s="1740"/>
      <c r="GNI1876" s="1740"/>
      <c r="GNJ1876" s="1740"/>
      <c r="GNK1876" s="1740"/>
      <c r="GNL1876" s="1740"/>
      <c r="GNM1876" s="1740"/>
      <c r="GNN1876" s="1740"/>
      <c r="GNO1876" s="1740"/>
      <c r="GNP1876" s="1740"/>
      <c r="GNQ1876" s="1740"/>
      <c r="GNR1876" s="1740"/>
      <c r="GNS1876" s="1740"/>
      <c r="GNT1876" s="1740"/>
      <c r="GNU1876" s="1740"/>
      <c r="GNV1876" s="1740"/>
      <c r="GNW1876" s="1740"/>
      <c r="GNX1876" s="1740"/>
      <c r="GNY1876" s="1740"/>
      <c r="GNZ1876" s="1740"/>
      <c r="GOA1876" s="1740"/>
      <c r="GOB1876" s="1740"/>
      <c r="GOC1876" s="1740"/>
      <c r="GOD1876" s="1740"/>
      <c r="GOE1876" s="1740"/>
      <c r="GOF1876" s="1740"/>
      <c r="GOG1876" s="1740"/>
      <c r="GOH1876" s="1740"/>
      <c r="GOI1876" s="1740"/>
      <c r="GOJ1876" s="1740"/>
      <c r="GOK1876" s="1740"/>
      <c r="GOL1876" s="1740"/>
      <c r="GOM1876" s="1740"/>
      <c r="GON1876" s="1740"/>
      <c r="GOO1876" s="1740"/>
      <c r="GOP1876" s="1740"/>
      <c r="GOQ1876" s="1740"/>
      <c r="GOR1876" s="1740"/>
      <c r="GOS1876" s="1740"/>
      <c r="GOT1876" s="1740"/>
      <c r="GOU1876" s="1740"/>
      <c r="GOV1876" s="1740"/>
      <c r="GOW1876" s="1740"/>
      <c r="GOX1876" s="1740"/>
      <c r="GOY1876" s="1740"/>
      <c r="GOZ1876" s="1740"/>
      <c r="GPA1876" s="1740"/>
      <c r="GPB1876" s="1740"/>
      <c r="GPC1876" s="1740"/>
      <c r="GPD1876" s="1740"/>
      <c r="GPE1876" s="1740"/>
      <c r="GPF1876" s="1740"/>
      <c r="GPG1876" s="1740"/>
      <c r="GPH1876" s="1740"/>
      <c r="GPI1876" s="1740"/>
      <c r="GPJ1876" s="1740"/>
      <c r="GPK1876" s="1740"/>
      <c r="GPL1876" s="1740"/>
      <c r="GPM1876" s="1740"/>
      <c r="GPN1876" s="1740"/>
      <c r="GPO1876" s="1740"/>
      <c r="GPP1876" s="1740"/>
      <c r="GPQ1876" s="1740"/>
      <c r="GPR1876" s="1740"/>
      <c r="GPS1876" s="1740"/>
      <c r="GPT1876" s="1740"/>
      <c r="GPU1876" s="1740"/>
      <c r="GPV1876" s="1740"/>
      <c r="GPW1876" s="1740"/>
      <c r="GPX1876" s="1740"/>
      <c r="GPY1876" s="1740"/>
      <c r="GPZ1876" s="1740"/>
      <c r="GQA1876" s="1740"/>
      <c r="GQB1876" s="1740"/>
      <c r="GQC1876" s="1740"/>
      <c r="GQD1876" s="1740"/>
      <c r="GQE1876" s="1740"/>
      <c r="GQF1876" s="1740"/>
      <c r="GQG1876" s="1740"/>
      <c r="GQH1876" s="1740"/>
      <c r="GQI1876" s="1740"/>
      <c r="GQJ1876" s="1740"/>
      <c r="GQK1876" s="1740"/>
      <c r="GQL1876" s="1740"/>
      <c r="GQM1876" s="1740"/>
      <c r="GQN1876" s="1740"/>
      <c r="GQO1876" s="1740"/>
      <c r="GQP1876" s="1740"/>
      <c r="GQQ1876" s="1740"/>
      <c r="GQR1876" s="1740"/>
      <c r="GQS1876" s="1740"/>
      <c r="GQT1876" s="1740"/>
      <c r="GQU1876" s="1740"/>
      <c r="GQV1876" s="1740"/>
      <c r="GQW1876" s="1740"/>
      <c r="GQX1876" s="1740"/>
      <c r="GQY1876" s="1740"/>
      <c r="GQZ1876" s="1740"/>
      <c r="GRA1876" s="1740"/>
      <c r="GRB1876" s="1740"/>
      <c r="GRC1876" s="1740"/>
      <c r="GRD1876" s="1740"/>
      <c r="GRE1876" s="1740"/>
      <c r="GRF1876" s="1740"/>
      <c r="GRG1876" s="1740"/>
      <c r="GRH1876" s="1740"/>
      <c r="GRI1876" s="1740"/>
      <c r="GRJ1876" s="1740"/>
      <c r="GRK1876" s="1740"/>
      <c r="GRL1876" s="1740"/>
      <c r="GRM1876" s="1740"/>
      <c r="GRN1876" s="1740"/>
      <c r="GRO1876" s="1740"/>
      <c r="GRP1876" s="1740"/>
      <c r="GRQ1876" s="1740"/>
      <c r="GRR1876" s="1740"/>
      <c r="GRS1876" s="1740"/>
      <c r="GRT1876" s="1740"/>
      <c r="GRU1876" s="1740"/>
      <c r="GRV1876" s="1740"/>
      <c r="GRW1876" s="1740"/>
      <c r="GRX1876" s="1740"/>
      <c r="GRY1876" s="1740"/>
      <c r="GRZ1876" s="1740"/>
      <c r="GSA1876" s="1740"/>
      <c r="GSB1876" s="1740"/>
      <c r="GSC1876" s="1740"/>
      <c r="GSD1876" s="1740"/>
      <c r="GSE1876" s="1740"/>
      <c r="GSF1876" s="1740"/>
      <c r="GSG1876" s="1740"/>
      <c r="GSH1876" s="1740"/>
      <c r="GSI1876" s="1740"/>
      <c r="GSJ1876" s="1740"/>
      <c r="GSK1876" s="1740"/>
      <c r="GSL1876" s="1740"/>
      <c r="GSM1876" s="1740"/>
      <c r="GSN1876" s="1740"/>
      <c r="GSO1876" s="1740"/>
      <c r="GSP1876" s="1740"/>
      <c r="GSQ1876" s="1740"/>
      <c r="GSR1876" s="1740"/>
      <c r="GSS1876" s="1740"/>
      <c r="GST1876" s="1740"/>
      <c r="GSU1876" s="1740"/>
      <c r="GSV1876" s="1740"/>
      <c r="GSW1876" s="1740"/>
      <c r="GSX1876" s="1740"/>
      <c r="GSY1876" s="1740"/>
      <c r="GSZ1876" s="1740"/>
      <c r="GTA1876" s="1740"/>
      <c r="GTB1876" s="1740"/>
      <c r="GTC1876" s="1740"/>
      <c r="GTD1876" s="1740"/>
      <c r="GTE1876" s="1740"/>
      <c r="GTF1876" s="1740"/>
      <c r="GTG1876" s="1740"/>
      <c r="GTH1876" s="1740"/>
      <c r="GTI1876" s="1740"/>
      <c r="GTJ1876" s="1740"/>
      <c r="GTK1876" s="1740"/>
      <c r="GTL1876" s="1740"/>
      <c r="GTM1876" s="1740"/>
      <c r="GTN1876" s="1740"/>
      <c r="GTO1876" s="1740"/>
      <c r="GTP1876" s="1740"/>
      <c r="GTQ1876" s="1740"/>
      <c r="GTR1876" s="1740"/>
      <c r="GTS1876" s="1740"/>
      <c r="GTT1876" s="1740"/>
      <c r="GTU1876" s="1740"/>
      <c r="GTV1876" s="1740"/>
      <c r="GTW1876" s="1740"/>
      <c r="GTX1876" s="1740"/>
      <c r="GTY1876" s="1740"/>
      <c r="GTZ1876" s="1740"/>
      <c r="GUA1876" s="1740"/>
      <c r="GUB1876" s="1740"/>
      <c r="GUC1876" s="1740"/>
      <c r="GUD1876" s="1740"/>
      <c r="GUE1876" s="1740"/>
      <c r="GUF1876" s="1740"/>
      <c r="GUG1876" s="1740"/>
      <c r="GUH1876" s="1740"/>
      <c r="GUI1876" s="1740"/>
      <c r="GUJ1876" s="1740"/>
      <c r="GUK1876" s="1740"/>
      <c r="GUL1876" s="1740"/>
      <c r="GUM1876" s="1740"/>
      <c r="GUN1876" s="1740"/>
      <c r="GUO1876" s="1740"/>
      <c r="GUP1876" s="1740"/>
      <c r="GUQ1876" s="1740"/>
      <c r="GUR1876" s="1740"/>
      <c r="GUS1876" s="1740"/>
      <c r="GUT1876" s="1740"/>
      <c r="GUU1876" s="1740"/>
      <c r="GUV1876" s="1740"/>
      <c r="GUW1876" s="1740"/>
      <c r="GUX1876" s="1740"/>
      <c r="GUY1876" s="1740"/>
      <c r="GUZ1876" s="1740"/>
      <c r="GVA1876" s="1740"/>
      <c r="GVB1876" s="1740"/>
      <c r="GVC1876" s="1740"/>
      <c r="GVD1876" s="1740"/>
      <c r="GVE1876" s="1740"/>
      <c r="GVF1876" s="1740"/>
      <c r="GVG1876" s="1740"/>
      <c r="GVH1876" s="1740"/>
      <c r="GVI1876" s="1740"/>
      <c r="GVJ1876" s="1740"/>
      <c r="GVK1876" s="1740"/>
      <c r="GVL1876" s="1740"/>
      <c r="GVM1876" s="1740"/>
      <c r="GVN1876" s="1740"/>
      <c r="GVO1876" s="1740"/>
      <c r="GVP1876" s="1740"/>
      <c r="GVQ1876" s="1740"/>
      <c r="GVR1876" s="1740"/>
      <c r="GVS1876" s="1740"/>
      <c r="GVT1876" s="1740"/>
      <c r="GVU1876" s="1740"/>
      <c r="GVV1876" s="1740"/>
      <c r="GVW1876" s="1740"/>
      <c r="GVX1876" s="1740"/>
      <c r="GVY1876" s="1740"/>
      <c r="GVZ1876" s="1740"/>
      <c r="GWA1876" s="1740"/>
      <c r="GWB1876" s="1740"/>
      <c r="GWC1876" s="1740"/>
      <c r="GWD1876" s="1740"/>
      <c r="GWE1876" s="1740"/>
      <c r="GWF1876" s="1740"/>
      <c r="GWG1876" s="1740"/>
      <c r="GWH1876" s="1740"/>
      <c r="GWI1876" s="1740"/>
      <c r="GWJ1876" s="1740"/>
      <c r="GWK1876" s="1740"/>
      <c r="GWL1876" s="1740"/>
      <c r="GWM1876" s="1740"/>
      <c r="GWN1876" s="1740"/>
      <c r="GWO1876" s="1740"/>
      <c r="GWP1876" s="1740"/>
      <c r="GWQ1876" s="1740"/>
      <c r="GWR1876" s="1740"/>
      <c r="GWS1876" s="1740"/>
      <c r="GWT1876" s="1740"/>
      <c r="GWU1876" s="1740"/>
      <c r="GWV1876" s="1740"/>
      <c r="GWW1876" s="1740"/>
      <c r="GWX1876" s="1740"/>
      <c r="GWY1876" s="1740"/>
      <c r="GWZ1876" s="1740"/>
      <c r="GXA1876" s="1740"/>
      <c r="GXB1876" s="1740"/>
      <c r="GXC1876" s="1740"/>
      <c r="GXD1876" s="1740"/>
      <c r="GXE1876" s="1740"/>
      <c r="GXF1876" s="1740"/>
      <c r="GXG1876" s="1740"/>
      <c r="GXH1876" s="1740"/>
      <c r="GXI1876" s="1740"/>
      <c r="GXJ1876" s="1740"/>
      <c r="GXK1876" s="1740"/>
      <c r="GXL1876" s="1740"/>
      <c r="GXM1876" s="1740"/>
      <c r="GXN1876" s="1740"/>
      <c r="GXO1876" s="1740"/>
      <c r="GXP1876" s="1740"/>
      <c r="GXQ1876" s="1740"/>
      <c r="GXR1876" s="1740"/>
      <c r="GXS1876" s="1740"/>
      <c r="GXT1876" s="1740"/>
      <c r="GXU1876" s="1740"/>
      <c r="GXV1876" s="1740"/>
      <c r="GXW1876" s="1740"/>
      <c r="GXX1876" s="1740"/>
      <c r="GXY1876" s="1740"/>
      <c r="GXZ1876" s="1740"/>
      <c r="GYA1876" s="1740"/>
      <c r="GYB1876" s="1740"/>
      <c r="GYC1876" s="1740"/>
      <c r="GYD1876" s="1740"/>
      <c r="GYE1876" s="1740"/>
      <c r="GYF1876" s="1740"/>
      <c r="GYG1876" s="1740"/>
      <c r="GYH1876" s="1740"/>
      <c r="GYI1876" s="1740"/>
      <c r="GYJ1876" s="1740"/>
      <c r="GYK1876" s="1740"/>
      <c r="GYL1876" s="1740"/>
      <c r="GYM1876" s="1740"/>
      <c r="GYN1876" s="1740"/>
      <c r="GYO1876" s="1740"/>
      <c r="GYP1876" s="1740"/>
      <c r="GYQ1876" s="1740"/>
      <c r="GYR1876" s="1740"/>
      <c r="GYS1876" s="1740"/>
      <c r="GYT1876" s="1740"/>
      <c r="GYU1876" s="1740"/>
      <c r="GYV1876" s="1740"/>
      <c r="GYW1876" s="1740"/>
      <c r="GYX1876" s="1740"/>
      <c r="GYY1876" s="1740"/>
      <c r="GYZ1876" s="1740"/>
      <c r="GZA1876" s="1740"/>
      <c r="GZB1876" s="1740"/>
      <c r="GZC1876" s="1740"/>
      <c r="GZD1876" s="1740"/>
      <c r="GZE1876" s="1740"/>
      <c r="GZF1876" s="1740"/>
      <c r="GZG1876" s="1740"/>
      <c r="GZH1876" s="1740"/>
      <c r="GZI1876" s="1740"/>
      <c r="GZJ1876" s="1740"/>
      <c r="GZK1876" s="1740"/>
      <c r="GZL1876" s="1740"/>
      <c r="GZM1876" s="1740"/>
      <c r="GZN1876" s="1740"/>
      <c r="GZO1876" s="1740"/>
      <c r="GZP1876" s="1740"/>
      <c r="GZQ1876" s="1740"/>
      <c r="GZR1876" s="1740"/>
      <c r="GZS1876" s="1740"/>
      <c r="GZT1876" s="1740"/>
      <c r="GZU1876" s="1740"/>
      <c r="GZV1876" s="1740"/>
      <c r="GZW1876" s="1740"/>
      <c r="GZX1876" s="1740"/>
      <c r="GZY1876" s="1740"/>
      <c r="GZZ1876" s="1740"/>
      <c r="HAA1876" s="1740"/>
      <c r="HAB1876" s="1740"/>
      <c r="HAC1876" s="1740"/>
      <c r="HAD1876" s="1740"/>
      <c r="HAE1876" s="1740"/>
      <c r="HAF1876" s="1740"/>
      <c r="HAG1876" s="1740"/>
      <c r="HAH1876" s="1740"/>
      <c r="HAI1876" s="1740"/>
      <c r="HAJ1876" s="1740"/>
      <c r="HAK1876" s="1740"/>
      <c r="HAL1876" s="1740"/>
      <c r="HAM1876" s="1740"/>
      <c r="HAN1876" s="1740"/>
      <c r="HAO1876" s="1740"/>
      <c r="HAP1876" s="1740"/>
      <c r="HAQ1876" s="1740"/>
      <c r="HAR1876" s="1740"/>
      <c r="HAS1876" s="1740"/>
      <c r="HAT1876" s="1740"/>
      <c r="HAU1876" s="1740"/>
      <c r="HAV1876" s="1740"/>
      <c r="HAW1876" s="1740"/>
      <c r="HAX1876" s="1740"/>
      <c r="HAY1876" s="1740"/>
      <c r="HAZ1876" s="1740"/>
      <c r="HBA1876" s="1740"/>
      <c r="HBB1876" s="1740"/>
      <c r="HBC1876" s="1740"/>
      <c r="HBD1876" s="1740"/>
      <c r="HBE1876" s="1740"/>
      <c r="HBF1876" s="1740"/>
      <c r="HBG1876" s="1740"/>
      <c r="HBH1876" s="1740"/>
      <c r="HBI1876" s="1740"/>
      <c r="HBJ1876" s="1740"/>
      <c r="HBK1876" s="1740"/>
      <c r="HBL1876" s="1740"/>
      <c r="HBM1876" s="1740"/>
      <c r="HBN1876" s="1740"/>
      <c r="HBO1876" s="1740"/>
      <c r="HBP1876" s="1740"/>
      <c r="HBQ1876" s="1740"/>
      <c r="HBR1876" s="1740"/>
      <c r="HBS1876" s="1740"/>
      <c r="HBT1876" s="1740"/>
      <c r="HBU1876" s="1740"/>
      <c r="HBV1876" s="1740"/>
      <c r="HBW1876" s="1740"/>
      <c r="HBX1876" s="1740"/>
      <c r="HBY1876" s="1740"/>
      <c r="HBZ1876" s="1740"/>
      <c r="HCA1876" s="1740"/>
      <c r="HCB1876" s="1740"/>
      <c r="HCC1876" s="1740"/>
      <c r="HCD1876" s="1740"/>
      <c r="HCE1876" s="1740"/>
      <c r="HCF1876" s="1740"/>
      <c r="HCG1876" s="1740"/>
      <c r="HCH1876" s="1740"/>
      <c r="HCI1876" s="1740"/>
      <c r="HCJ1876" s="1740"/>
      <c r="HCK1876" s="1740"/>
      <c r="HCL1876" s="1740"/>
      <c r="HCM1876" s="1740"/>
      <c r="HCN1876" s="1740"/>
      <c r="HCO1876" s="1740"/>
      <c r="HCP1876" s="1740"/>
      <c r="HCQ1876" s="1740"/>
      <c r="HCR1876" s="1740"/>
      <c r="HCS1876" s="1740"/>
      <c r="HCT1876" s="1740"/>
      <c r="HCU1876" s="1740"/>
      <c r="HCV1876" s="1740"/>
      <c r="HCW1876" s="1740"/>
      <c r="HCX1876" s="1740"/>
      <c r="HCY1876" s="1740"/>
      <c r="HCZ1876" s="1740"/>
      <c r="HDA1876" s="1740"/>
      <c r="HDB1876" s="1740"/>
      <c r="HDC1876" s="1740"/>
      <c r="HDD1876" s="1740"/>
      <c r="HDE1876" s="1740"/>
      <c r="HDF1876" s="1740"/>
      <c r="HDG1876" s="1740"/>
      <c r="HDH1876" s="1740"/>
      <c r="HDI1876" s="1740"/>
      <c r="HDJ1876" s="1740"/>
      <c r="HDK1876" s="1740"/>
      <c r="HDL1876" s="1740"/>
      <c r="HDM1876" s="1740"/>
      <c r="HDN1876" s="1740"/>
      <c r="HDO1876" s="1740"/>
      <c r="HDP1876" s="1740"/>
      <c r="HDQ1876" s="1740"/>
      <c r="HDR1876" s="1740"/>
      <c r="HDS1876" s="1740"/>
      <c r="HDT1876" s="1740"/>
      <c r="HDU1876" s="1740"/>
      <c r="HDV1876" s="1740"/>
      <c r="HDW1876" s="1740"/>
      <c r="HDX1876" s="1740"/>
      <c r="HDY1876" s="1740"/>
      <c r="HDZ1876" s="1740"/>
      <c r="HEA1876" s="1740"/>
      <c r="HEB1876" s="1740"/>
      <c r="HEC1876" s="1740"/>
      <c r="HED1876" s="1740"/>
      <c r="HEE1876" s="1740"/>
      <c r="HEF1876" s="1740"/>
      <c r="HEG1876" s="1740"/>
      <c r="HEH1876" s="1740"/>
      <c r="HEI1876" s="1740"/>
      <c r="HEJ1876" s="1740"/>
      <c r="HEK1876" s="1740"/>
      <c r="HEL1876" s="1740"/>
      <c r="HEM1876" s="1740"/>
      <c r="HEN1876" s="1740"/>
      <c r="HEO1876" s="1740"/>
      <c r="HEP1876" s="1740"/>
      <c r="HEQ1876" s="1740"/>
      <c r="HER1876" s="1740"/>
      <c r="HES1876" s="1740"/>
      <c r="HET1876" s="1740"/>
      <c r="HEU1876" s="1740"/>
      <c r="HEV1876" s="1740"/>
      <c r="HEW1876" s="1740"/>
      <c r="HEX1876" s="1740"/>
      <c r="HEY1876" s="1740"/>
      <c r="HEZ1876" s="1740"/>
      <c r="HFA1876" s="1740"/>
      <c r="HFB1876" s="1740"/>
      <c r="HFC1876" s="1740"/>
      <c r="HFD1876" s="1740"/>
      <c r="HFE1876" s="1740"/>
      <c r="HFF1876" s="1740"/>
      <c r="HFG1876" s="1740"/>
      <c r="HFH1876" s="1740"/>
      <c r="HFI1876" s="1740"/>
      <c r="HFJ1876" s="1740"/>
      <c r="HFK1876" s="1740"/>
      <c r="HFL1876" s="1740"/>
      <c r="HFM1876" s="1740"/>
      <c r="HFN1876" s="1740"/>
      <c r="HFO1876" s="1740"/>
      <c r="HFP1876" s="1740"/>
      <c r="HFQ1876" s="1740"/>
      <c r="HFR1876" s="1740"/>
      <c r="HFS1876" s="1740"/>
      <c r="HFT1876" s="1740"/>
      <c r="HFU1876" s="1740"/>
      <c r="HFV1876" s="1740"/>
      <c r="HFW1876" s="1740"/>
      <c r="HFX1876" s="1740"/>
      <c r="HFY1876" s="1740"/>
      <c r="HFZ1876" s="1740"/>
      <c r="HGA1876" s="1740"/>
      <c r="HGB1876" s="1740"/>
      <c r="HGC1876" s="1740"/>
      <c r="HGD1876" s="1740"/>
      <c r="HGE1876" s="1740"/>
      <c r="HGF1876" s="1740"/>
      <c r="HGG1876" s="1740"/>
      <c r="HGH1876" s="1740"/>
      <c r="HGI1876" s="1740"/>
      <c r="HGJ1876" s="1740"/>
      <c r="HGK1876" s="1740"/>
      <c r="HGL1876" s="1740"/>
      <c r="HGM1876" s="1740"/>
      <c r="HGN1876" s="1740"/>
      <c r="HGO1876" s="1740"/>
      <c r="HGP1876" s="1740"/>
      <c r="HGQ1876" s="1740"/>
      <c r="HGR1876" s="1740"/>
      <c r="HGS1876" s="1740"/>
      <c r="HGT1876" s="1740"/>
      <c r="HGU1876" s="1740"/>
      <c r="HGV1876" s="1740"/>
      <c r="HGW1876" s="1740"/>
      <c r="HGX1876" s="1740"/>
      <c r="HGY1876" s="1740"/>
      <c r="HGZ1876" s="1740"/>
      <c r="HHA1876" s="1740"/>
      <c r="HHB1876" s="1740"/>
      <c r="HHC1876" s="1740"/>
      <c r="HHD1876" s="1740"/>
      <c r="HHE1876" s="1740"/>
      <c r="HHF1876" s="1740"/>
      <c r="HHG1876" s="1740"/>
      <c r="HHH1876" s="1740"/>
      <c r="HHI1876" s="1740"/>
      <c r="HHJ1876" s="1740"/>
      <c r="HHK1876" s="1740"/>
      <c r="HHL1876" s="1740"/>
      <c r="HHM1876" s="1740"/>
      <c r="HHN1876" s="1740"/>
      <c r="HHO1876" s="1740"/>
      <c r="HHP1876" s="1740"/>
      <c r="HHQ1876" s="1740"/>
      <c r="HHR1876" s="1740"/>
      <c r="HHS1876" s="1740"/>
      <c r="HHT1876" s="1740"/>
      <c r="HHU1876" s="1740"/>
      <c r="HHV1876" s="1740"/>
      <c r="HHW1876" s="1740"/>
      <c r="HHX1876" s="1740"/>
      <c r="HHY1876" s="1740"/>
      <c r="HHZ1876" s="1740"/>
      <c r="HIA1876" s="1740"/>
      <c r="HIB1876" s="1740"/>
      <c r="HIC1876" s="1740"/>
      <c r="HID1876" s="1740"/>
      <c r="HIE1876" s="1740"/>
      <c r="HIF1876" s="1740"/>
      <c r="HIG1876" s="1740"/>
      <c r="HIH1876" s="1740"/>
      <c r="HII1876" s="1740"/>
      <c r="HIJ1876" s="1740"/>
      <c r="HIK1876" s="1740"/>
      <c r="HIL1876" s="1740"/>
      <c r="HIM1876" s="1740"/>
      <c r="HIN1876" s="1740"/>
      <c r="HIO1876" s="1740"/>
      <c r="HIP1876" s="1740"/>
      <c r="HIQ1876" s="1740"/>
      <c r="HIR1876" s="1740"/>
      <c r="HIS1876" s="1740"/>
      <c r="HIT1876" s="1740"/>
      <c r="HIU1876" s="1740"/>
      <c r="HIV1876" s="1740"/>
      <c r="HIW1876" s="1740"/>
      <c r="HIX1876" s="1740"/>
      <c r="HIY1876" s="1740"/>
      <c r="HIZ1876" s="1740"/>
      <c r="HJA1876" s="1740"/>
      <c r="HJB1876" s="1740"/>
      <c r="HJC1876" s="1740"/>
      <c r="HJD1876" s="1740"/>
      <c r="HJE1876" s="1740"/>
      <c r="HJF1876" s="1740"/>
      <c r="HJG1876" s="1740"/>
      <c r="HJH1876" s="1740"/>
      <c r="HJI1876" s="1740"/>
      <c r="HJJ1876" s="1740"/>
      <c r="HJK1876" s="1740"/>
      <c r="HJL1876" s="1740"/>
      <c r="HJM1876" s="1740"/>
      <c r="HJN1876" s="1740"/>
      <c r="HJO1876" s="1740"/>
      <c r="HJP1876" s="1740"/>
      <c r="HJQ1876" s="1740"/>
      <c r="HJR1876" s="1740"/>
      <c r="HJS1876" s="1740"/>
      <c r="HJT1876" s="1740"/>
      <c r="HJU1876" s="1740"/>
      <c r="HJV1876" s="1740"/>
      <c r="HJW1876" s="1740"/>
      <c r="HJX1876" s="1740"/>
      <c r="HJY1876" s="1740"/>
      <c r="HJZ1876" s="1740"/>
      <c r="HKA1876" s="1740"/>
      <c r="HKB1876" s="1740"/>
      <c r="HKC1876" s="1740"/>
      <c r="HKD1876" s="1740"/>
      <c r="HKE1876" s="1740"/>
      <c r="HKF1876" s="1740"/>
      <c r="HKG1876" s="1740"/>
      <c r="HKH1876" s="1740"/>
      <c r="HKI1876" s="1740"/>
      <c r="HKJ1876" s="1740"/>
      <c r="HKK1876" s="1740"/>
      <c r="HKL1876" s="1740"/>
      <c r="HKM1876" s="1740"/>
      <c r="HKN1876" s="1740"/>
      <c r="HKO1876" s="1740"/>
      <c r="HKP1876" s="1740"/>
      <c r="HKQ1876" s="1740"/>
      <c r="HKR1876" s="1740"/>
      <c r="HKS1876" s="1740"/>
      <c r="HKT1876" s="1740"/>
      <c r="HKU1876" s="1740"/>
      <c r="HKV1876" s="1740"/>
      <c r="HKW1876" s="1740"/>
      <c r="HKX1876" s="1740"/>
      <c r="HKY1876" s="1740"/>
      <c r="HKZ1876" s="1740"/>
      <c r="HLA1876" s="1740"/>
      <c r="HLB1876" s="1740"/>
      <c r="HLC1876" s="1740"/>
      <c r="HLD1876" s="1740"/>
      <c r="HLE1876" s="1740"/>
      <c r="HLF1876" s="1740"/>
      <c r="HLG1876" s="1740"/>
      <c r="HLH1876" s="1740"/>
      <c r="HLI1876" s="1740"/>
      <c r="HLJ1876" s="1740"/>
      <c r="HLK1876" s="1740"/>
      <c r="HLL1876" s="1740"/>
      <c r="HLM1876" s="1740"/>
      <c r="HLN1876" s="1740"/>
      <c r="HLO1876" s="1740"/>
      <c r="HLP1876" s="1740"/>
      <c r="HLQ1876" s="1740"/>
      <c r="HLR1876" s="1740"/>
      <c r="HLS1876" s="1740"/>
      <c r="HLT1876" s="1740"/>
      <c r="HLU1876" s="1740"/>
      <c r="HLV1876" s="1740"/>
      <c r="HLW1876" s="1740"/>
      <c r="HLX1876" s="1740"/>
      <c r="HLY1876" s="1740"/>
      <c r="HLZ1876" s="1740"/>
      <c r="HMA1876" s="1740"/>
      <c r="HMB1876" s="1740"/>
      <c r="HMC1876" s="1740"/>
      <c r="HMD1876" s="1740"/>
      <c r="HME1876" s="1740"/>
      <c r="HMF1876" s="1740"/>
      <c r="HMG1876" s="1740"/>
      <c r="HMH1876" s="1740"/>
      <c r="HMI1876" s="1740"/>
      <c r="HMJ1876" s="1740"/>
      <c r="HMK1876" s="1740"/>
      <c r="HML1876" s="1740"/>
      <c r="HMM1876" s="1740"/>
      <c r="HMN1876" s="1740"/>
      <c r="HMO1876" s="1740"/>
      <c r="HMP1876" s="1740"/>
      <c r="HMQ1876" s="1740"/>
      <c r="HMR1876" s="1740"/>
      <c r="HMS1876" s="1740"/>
      <c r="HMT1876" s="1740"/>
      <c r="HMU1876" s="1740"/>
      <c r="HMV1876" s="1740"/>
      <c r="HMW1876" s="1740"/>
      <c r="HMX1876" s="1740"/>
      <c r="HMY1876" s="1740"/>
      <c r="HMZ1876" s="1740"/>
      <c r="HNA1876" s="1740"/>
      <c r="HNB1876" s="1740"/>
      <c r="HNC1876" s="1740"/>
      <c r="HND1876" s="1740"/>
      <c r="HNE1876" s="1740"/>
      <c r="HNF1876" s="1740"/>
      <c r="HNG1876" s="1740"/>
      <c r="HNH1876" s="1740"/>
      <c r="HNI1876" s="1740"/>
      <c r="HNJ1876" s="1740"/>
      <c r="HNK1876" s="1740"/>
      <c r="HNL1876" s="1740"/>
      <c r="HNM1876" s="1740"/>
      <c r="HNN1876" s="1740"/>
      <c r="HNO1876" s="1740"/>
      <c r="HNP1876" s="1740"/>
      <c r="HNQ1876" s="1740"/>
      <c r="HNR1876" s="1740"/>
      <c r="HNS1876" s="1740"/>
      <c r="HNT1876" s="1740"/>
      <c r="HNU1876" s="1740"/>
      <c r="HNV1876" s="1740"/>
      <c r="HNW1876" s="1740"/>
      <c r="HNX1876" s="1740"/>
      <c r="HNY1876" s="1740"/>
      <c r="HNZ1876" s="1740"/>
      <c r="HOA1876" s="1740"/>
      <c r="HOB1876" s="1740"/>
      <c r="HOC1876" s="1740"/>
      <c r="HOD1876" s="1740"/>
      <c r="HOE1876" s="1740"/>
      <c r="HOF1876" s="1740"/>
      <c r="HOG1876" s="1740"/>
      <c r="HOH1876" s="1740"/>
      <c r="HOI1876" s="1740"/>
      <c r="HOJ1876" s="1740"/>
      <c r="HOK1876" s="1740"/>
      <c r="HOL1876" s="1740"/>
      <c r="HOM1876" s="1740"/>
      <c r="HON1876" s="1740"/>
      <c r="HOO1876" s="1740"/>
      <c r="HOP1876" s="1740"/>
      <c r="HOQ1876" s="1740"/>
      <c r="HOR1876" s="1740"/>
      <c r="HOS1876" s="1740"/>
      <c r="HOT1876" s="1740"/>
      <c r="HOU1876" s="1740"/>
      <c r="HOV1876" s="1740"/>
      <c r="HOW1876" s="1740"/>
      <c r="HOX1876" s="1740"/>
      <c r="HOY1876" s="1740"/>
      <c r="HOZ1876" s="1740"/>
      <c r="HPA1876" s="1740"/>
      <c r="HPB1876" s="1740"/>
      <c r="HPC1876" s="1740"/>
      <c r="HPD1876" s="1740"/>
      <c r="HPE1876" s="1740"/>
      <c r="HPF1876" s="1740"/>
      <c r="HPG1876" s="1740"/>
      <c r="HPH1876" s="1740"/>
      <c r="HPI1876" s="1740"/>
      <c r="HPJ1876" s="1740"/>
      <c r="HPK1876" s="1740"/>
      <c r="HPL1876" s="1740"/>
      <c r="HPM1876" s="1740"/>
      <c r="HPN1876" s="1740"/>
      <c r="HPO1876" s="1740"/>
      <c r="HPP1876" s="1740"/>
      <c r="HPQ1876" s="1740"/>
      <c r="HPR1876" s="1740"/>
      <c r="HPS1876" s="1740"/>
      <c r="HPT1876" s="1740"/>
      <c r="HPU1876" s="1740"/>
      <c r="HPV1876" s="1740"/>
      <c r="HPW1876" s="1740"/>
      <c r="HPX1876" s="1740"/>
      <c r="HPY1876" s="1740"/>
      <c r="HPZ1876" s="1740"/>
      <c r="HQA1876" s="1740"/>
      <c r="HQB1876" s="1740"/>
      <c r="HQC1876" s="1740"/>
      <c r="HQD1876" s="1740"/>
      <c r="HQE1876" s="1740"/>
      <c r="HQF1876" s="1740"/>
      <c r="HQG1876" s="1740"/>
      <c r="HQH1876" s="1740"/>
      <c r="HQI1876" s="1740"/>
      <c r="HQJ1876" s="1740"/>
      <c r="HQK1876" s="1740"/>
      <c r="HQL1876" s="1740"/>
      <c r="HQM1876" s="1740"/>
      <c r="HQN1876" s="1740"/>
      <c r="HQO1876" s="1740"/>
      <c r="HQP1876" s="1740"/>
      <c r="HQQ1876" s="1740"/>
      <c r="HQR1876" s="1740"/>
      <c r="HQS1876" s="1740"/>
      <c r="HQT1876" s="1740"/>
      <c r="HQU1876" s="1740"/>
      <c r="HQV1876" s="1740"/>
      <c r="HQW1876" s="1740"/>
      <c r="HQX1876" s="1740"/>
      <c r="HQY1876" s="1740"/>
      <c r="HQZ1876" s="1740"/>
      <c r="HRA1876" s="1740"/>
      <c r="HRB1876" s="1740"/>
      <c r="HRC1876" s="1740"/>
      <c r="HRD1876" s="1740"/>
      <c r="HRE1876" s="1740"/>
      <c r="HRF1876" s="1740"/>
      <c r="HRG1876" s="1740"/>
      <c r="HRH1876" s="1740"/>
      <c r="HRI1876" s="1740"/>
      <c r="HRJ1876" s="1740"/>
      <c r="HRK1876" s="1740"/>
      <c r="HRL1876" s="1740"/>
      <c r="HRM1876" s="1740"/>
      <c r="HRN1876" s="1740"/>
      <c r="HRO1876" s="1740"/>
      <c r="HRP1876" s="1740"/>
      <c r="HRQ1876" s="1740"/>
      <c r="HRR1876" s="1740"/>
      <c r="HRS1876" s="1740"/>
      <c r="HRT1876" s="1740"/>
      <c r="HRU1876" s="1740"/>
      <c r="HRV1876" s="1740"/>
      <c r="HRW1876" s="1740"/>
      <c r="HRX1876" s="1740"/>
      <c r="HRY1876" s="1740"/>
      <c r="HRZ1876" s="1740"/>
      <c r="HSA1876" s="1740"/>
      <c r="HSB1876" s="1740"/>
      <c r="HSC1876" s="1740"/>
      <c r="HSD1876" s="1740"/>
      <c r="HSE1876" s="1740"/>
      <c r="HSF1876" s="1740"/>
      <c r="HSG1876" s="1740"/>
      <c r="HSH1876" s="1740"/>
      <c r="HSI1876" s="1740"/>
      <c r="HSJ1876" s="1740"/>
      <c r="HSK1876" s="1740"/>
      <c r="HSL1876" s="1740"/>
      <c r="HSM1876" s="1740"/>
      <c r="HSN1876" s="1740"/>
      <c r="HSO1876" s="1740"/>
      <c r="HSP1876" s="1740"/>
      <c r="HSQ1876" s="1740"/>
      <c r="HSR1876" s="1740"/>
      <c r="HSS1876" s="1740"/>
      <c r="HST1876" s="1740"/>
      <c r="HSU1876" s="1740"/>
      <c r="HSV1876" s="1740"/>
      <c r="HSW1876" s="1740"/>
      <c r="HSX1876" s="1740"/>
      <c r="HSY1876" s="1740"/>
      <c r="HSZ1876" s="1740"/>
      <c r="HTA1876" s="1740"/>
      <c r="HTB1876" s="1740"/>
      <c r="HTC1876" s="1740"/>
      <c r="HTD1876" s="1740"/>
      <c r="HTE1876" s="1740"/>
      <c r="HTF1876" s="1740"/>
      <c r="HTG1876" s="1740"/>
      <c r="HTH1876" s="1740"/>
      <c r="HTI1876" s="1740"/>
      <c r="HTJ1876" s="1740"/>
      <c r="HTK1876" s="1740"/>
      <c r="HTL1876" s="1740"/>
      <c r="HTM1876" s="1740"/>
      <c r="HTN1876" s="1740"/>
      <c r="HTO1876" s="1740"/>
      <c r="HTP1876" s="1740"/>
      <c r="HTQ1876" s="1740"/>
      <c r="HTR1876" s="1740"/>
      <c r="HTS1876" s="1740"/>
      <c r="HTT1876" s="1740"/>
      <c r="HTU1876" s="1740"/>
      <c r="HTV1876" s="1740"/>
      <c r="HTW1876" s="1740"/>
      <c r="HTX1876" s="1740"/>
      <c r="HTY1876" s="1740"/>
      <c r="HTZ1876" s="1740"/>
      <c r="HUA1876" s="1740"/>
      <c r="HUB1876" s="1740"/>
      <c r="HUC1876" s="1740"/>
      <c r="HUD1876" s="1740"/>
      <c r="HUE1876" s="1740"/>
      <c r="HUF1876" s="1740"/>
      <c r="HUG1876" s="1740"/>
      <c r="HUH1876" s="1740"/>
      <c r="HUI1876" s="1740"/>
      <c r="HUJ1876" s="1740"/>
      <c r="HUK1876" s="1740"/>
      <c r="HUL1876" s="1740"/>
      <c r="HUM1876" s="1740"/>
      <c r="HUN1876" s="1740"/>
      <c r="HUO1876" s="1740"/>
      <c r="HUP1876" s="1740"/>
      <c r="HUQ1876" s="1740"/>
      <c r="HUR1876" s="1740"/>
      <c r="HUS1876" s="1740"/>
      <c r="HUT1876" s="1740"/>
      <c r="HUU1876" s="1740"/>
      <c r="HUV1876" s="1740"/>
      <c r="HUW1876" s="1740"/>
      <c r="HUX1876" s="1740"/>
      <c r="HUY1876" s="1740"/>
      <c r="HUZ1876" s="1740"/>
      <c r="HVA1876" s="1740"/>
      <c r="HVB1876" s="1740"/>
      <c r="HVC1876" s="1740"/>
      <c r="HVD1876" s="1740"/>
      <c r="HVE1876" s="1740"/>
      <c r="HVF1876" s="1740"/>
      <c r="HVG1876" s="1740"/>
      <c r="HVH1876" s="1740"/>
      <c r="HVI1876" s="1740"/>
      <c r="HVJ1876" s="1740"/>
      <c r="HVK1876" s="1740"/>
      <c r="HVL1876" s="1740"/>
      <c r="HVM1876" s="1740"/>
      <c r="HVN1876" s="1740"/>
      <c r="HVO1876" s="1740"/>
      <c r="HVP1876" s="1740"/>
      <c r="HVQ1876" s="1740"/>
      <c r="HVR1876" s="1740"/>
      <c r="HVS1876" s="1740"/>
      <c r="HVT1876" s="1740"/>
      <c r="HVU1876" s="1740"/>
      <c r="HVV1876" s="1740"/>
      <c r="HVW1876" s="1740"/>
      <c r="HVX1876" s="1740"/>
      <c r="HVY1876" s="1740"/>
      <c r="HVZ1876" s="1740"/>
      <c r="HWA1876" s="1740"/>
      <c r="HWB1876" s="1740"/>
      <c r="HWC1876" s="1740"/>
      <c r="HWD1876" s="1740"/>
      <c r="HWE1876" s="1740"/>
      <c r="HWF1876" s="1740"/>
      <c r="HWG1876" s="1740"/>
      <c r="HWH1876" s="1740"/>
      <c r="HWI1876" s="1740"/>
      <c r="HWJ1876" s="1740"/>
      <c r="HWK1876" s="1740"/>
      <c r="HWL1876" s="1740"/>
      <c r="HWM1876" s="1740"/>
      <c r="HWN1876" s="1740"/>
      <c r="HWO1876" s="1740"/>
      <c r="HWP1876" s="1740"/>
      <c r="HWQ1876" s="1740"/>
      <c r="HWR1876" s="1740"/>
      <c r="HWS1876" s="1740"/>
      <c r="HWT1876" s="1740"/>
      <c r="HWU1876" s="1740"/>
      <c r="HWV1876" s="1740"/>
      <c r="HWW1876" s="1740"/>
      <c r="HWX1876" s="1740"/>
      <c r="HWY1876" s="1740"/>
      <c r="HWZ1876" s="1740"/>
      <c r="HXA1876" s="1740"/>
      <c r="HXB1876" s="1740"/>
      <c r="HXC1876" s="1740"/>
      <c r="HXD1876" s="1740"/>
      <c r="HXE1876" s="1740"/>
      <c r="HXF1876" s="1740"/>
      <c r="HXG1876" s="1740"/>
      <c r="HXH1876" s="1740"/>
      <c r="HXI1876" s="1740"/>
      <c r="HXJ1876" s="1740"/>
      <c r="HXK1876" s="1740"/>
      <c r="HXL1876" s="1740"/>
      <c r="HXM1876" s="1740"/>
      <c r="HXN1876" s="1740"/>
      <c r="HXO1876" s="1740"/>
      <c r="HXP1876" s="1740"/>
      <c r="HXQ1876" s="1740"/>
      <c r="HXR1876" s="1740"/>
      <c r="HXS1876" s="1740"/>
      <c r="HXT1876" s="1740"/>
      <c r="HXU1876" s="1740"/>
      <c r="HXV1876" s="1740"/>
      <c r="HXW1876" s="1740"/>
      <c r="HXX1876" s="1740"/>
      <c r="HXY1876" s="1740"/>
      <c r="HXZ1876" s="1740"/>
      <c r="HYA1876" s="1740"/>
      <c r="HYB1876" s="1740"/>
      <c r="HYC1876" s="1740"/>
      <c r="HYD1876" s="1740"/>
      <c r="HYE1876" s="1740"/>
      <c r="HYF1876" s="1740"/>
      <c r="HYG1876" s="1740"/>
      <c r="HYH1876" s="1740"/>
      <c r="HYI1876" s="1740"/>
      <c r="HYJ1876" s="1740"/>
      <c r="HYK1876" s="1740"/>
      <c r="HYL1876" s="1740"/>
      <c r="HYM1876" s="1740"/>
      <c r="HYN1876" s="1740"/>
      <c r="HYO1876" s="1740"/>
      <c r="HYP1876" s="1740"/>
      <c r="HYQ1876" s="1740"/>
      <c r="HYR1876" s="1740"/>
      <c r="HYS1876" s="1740"/>
      <c r="HYT1876" s="1740"/>
      <c r="HYU1876" s="1740"/>
      <c r="HYV1876" s="1740"/>
      <c r="HYW1876" s="1740"/>
      <c r="HYX1876" s="1740"/>
      <c r="HYY1876" s="1740"/>
      <c r="HYZ1876" s="1740"/>
      <c r="HZA1876" s="1740"/>
      <c r="HZB1876" s="1740"/>
      <c r="HZC1876" s="1740"/>
      <c r="HZD1876" s="1740"/>
      <c r="HZE1876" s="1740"/>
      <c r="HZF1876" s="1740"/>
      <c r="HZG1876" s="1740"/>
      <c r="HZH1876" s="1740"/>
      <c r="HZI1876" s="1740"/>
      <c r="HZJ1876" s="1740"/>
      <c r="HZK1876" s="1740"/>
      <c r="HZL1876" s="1740"/>
      <c r="HZM1876" s="1740"/>
      <c r="HZN1876" s="1740"/>
      <c r="HZO1876" s="1740"/>
      <c r="HZP1876" s="1740"/>
      <c r="HZQ1876" s="1740"/>
      <c r="HZR1876" s="1740"/>
      <c r="HZS1876" s="1740"/>
      <c r="HZT1876" s="1740"/>
      <c r="HZU1876" s="1740"/>
      <c r="HZV1876" s="1740"/>
      <c r="HZW1876" s="1740"/>
      <c r="HZX1876" s="1740"/>
      <c r="HZY1876" s="1740"/>
      <c r="HZZ1876" s="1740"/>
      <c r="IAA1876" s="1740"/>
      <c r="IAB1876" s="1740"/>
      <c r="IAC1876" s="1740"/>
      <c r="IAD1876" s="1740"/>
      <c r="IAE1876" s="1740"/>
      <c r="IAF1876" s="1740"/>
      <c r="IAG1876" s="1740"/>
      <c r="IAH1876" s="1740"/>
      <c r="IAI1876" s="1740"/>
      <c r="IAJ1876" s="1740"/>
      <c r="IAK1876" s="1740"/>
      <c r="IAL1876" s="1740"/>
      <c r="IAM1876" s="1740"/>
      <c r="IAN1876" s="1740"/>
      <c r="IAO1876" s="1740"/>
      <c r="IAP1876" s="1740"/>
      <c r="IAQ1876" s="1740"/>
      <c r="IAR1876" s="1740"/>
      <c r="IAS1876" s="1740"/>
      <c r="IAT1876" s="1740"/>
      <c r="IAU1876" s="1740"/>
      <c r="IAV1876" s="1740"/>
      <c r="IAW1876" s="1740"/>
      <c r="IAX1876" s="1740"/>
      <c r="IAY1876" s="1740"/>
      <c r="IAZ1876" s="1740"/>
      <c r="IBA1876" s="1740"/>
      <c r="IBB1876" s="1740"/>
      <c r="IBC1876" s="1740"/>
      <c r="IBD1876" s="1740"/>
      <c r="IBE1876" s="1740"/>
      <c r="IBF1876" s="1740"/>
      <c r="IBG1876" s="1740"/>
      <c r="IBH1876" s="1740"/>
      <c r="IBI1876" s="1740"/>
      <c r="IBJ1876" s="1740"/>
      <c r="IBK1876" s="1740"/>
      <c r="IBL1876" s="1740"/>
      <c r="IBM1876" s="1740"/>
      <c r="IBN1876" s="1740"/>
      <c r="IBO1876" s="1740"/>
      <c r="IBP1876" s="1740"/>
      <c r="IBQ1876" s="1740"/>
      <c r="IBR1876" s="1740"/>
      <c r="IBS1876" s="1740"/>
      <c r="IBT1876" s="1740"/>
      <c r="IBU1876" s="1740"/>
      <c r="IBV1876" s="1740"/>
      <c r="IBW1876" s="1740"/>
      <c r="IBX1876" s="1740"/>
      <c r="IBY1876" s="1740"/>
      <c r="IBZ1876" s="1740"/>
      <c r="ICA1876" s="1740"/>
      <c r="ICB1876" s="1740"/>
      <c r="ICC1876" s="1740"/>
      <c r="ICD1876" s="1740"/>
      <c r="ICE1876" s="1740"/>
      <c r="ICF1876" s="1740"/>
      <c r="ICG1876" s="1740"/>
      <c r="ICH1876" s="1740"/>
      <c r="ICI1876" s="1740"/>
      <c r="ICJ1876" s="1740"/>
      <c r="ICK1876" s="1740"/>
      <c r="ICL1876" s="1740"/>
      <c r="ICM1876" s="1740"/>
      <c r="ICN1876" s="1740"/>
      <c r="ICO1876" s="1740"/>
      <c r="ICP1876" s="1740"/>
      <c r="ICQ1876" s="1740"/>
      <c r="ICR1876" s="1740"/>
      <c r="ICS1876" s="1740"/>
      <c r="ICT1876" s="1740"/>
      <c r="ICU1876" s="1740"/>
      <c r="ICV1876" s="1740"/>
      <c r="ICW1876" s="1740"/>
      <c r="ICX1876" s="1740"/>
      <c r="ICY1876" s="1740"/>
      <c r="ICZ1876" s="1740"/>
      <c r="IDA1876" s="1740"/>
      <c r="IDB1876" s="1740"/>
      <c r="IDC1876" s="1740"/>
      <c r="IDD1876" s="1740"/>
      <c r="IDE1876" s="1740"/>
      <c r="IDF1876" s="1740"/>
      <c r="IDG1876" s="1740"/>
      <c r="IDH1876" s="1740"/>
      <c r="IDI1876" s="1740"/>
      <c r="IDJ1876" s="1740"/>
      <c r="IDK1876" s="1740"/>
      <c r="IDL1876" s="1740"/>
      <c r="IDM1876" s="1740"/>
      <c r="IDN1876" s="1740"/>
      <c r="IDO1876" s="1740"/>
      <c r="IDP1876" s="1740"/>
      <c r="IDQ1876" s="1740"/>
      <c r="IDR1876" s="1740"/>
      <c r="IDS1876" s="1740"/>
      <c r="IDT1876" s="1740"/>
      <c r="IDU1876" s="1740"/>
      <c r="IDV1876" s="1740"/>
      <c r="IDW1876" s="1740"/>
      <c r="IDX1876" s="1740"/>
      <c r="IDY1876" s="1740"/>
      <c r="IDZ1876" s="1740"/>
      <c r="IEA1876" s="1740"/>
      <c r="IEB1876" s="1740"/>
      <c r="IEC1876" s="1740"/>
      <c r="IED1876" s="1740"/>
      <c r="IEE1876" s="1740"/>
      <c r="IEF1876" s="1740"/>
      <c r="IEG1876" s="1740"/>
      <c r="IEH1876" s="1740"/>
      <c r="IEI1876" s="1740"/>
      <c r="IEJ1876" s="1740"/>
      <c r="IEK1876" s="1740"/>
      <c r="IEL1876" s="1740"/>
      <c r="IEM1876" s="1740"/>
      <c r="IEN1876" s="1740"/>
      <c r="IEO1876" s="1740"/>
      <c r="IEP1876" s="1740"/>
      <c r="IEQ1876" s="1740"/>
      <c r="IER1876" s="1740"/>
      <c r="IES1876" s="1740"/>
      <c r="IET1876" s="1740"/>
      <c r="IEU1876" s="1740"/>
      <c r="IEV1876" s="1740"/>
      <c r="IEW1876" s="1740"/>
      <c r="IEX1876" s="1740"/>
      <c r="IEY1876" s="1740"/>
      <c r="IEZ1876" s="1740"/>
      <c r="IFA1876" s="1740"/>
      <c r="IFB1876" s="1740"/>
      <c r="IFC1876" s="1740"/>
      <c r="IFD1876" s="1740"/>
      <c r="IFE1876" s="1740"/>
      <c r="IFF1876" s="1740"/>
      <c r="IFG1876" s="1740"/>
      <c r="IFH1876" s="1740"/>
      <c r="IFI1876" s="1740"/>
      <c r="IFJ1876" s="1740"/>
      <c r="IFK1876" s="1740"/>
      <c r="IFL1876" s="1740"/>
      <c r="IFM1876" s="1740"/>
      <c r="IFN1876" s="1740"/>
      <c r="IFO1876" s="1740"/>
      <c r="IFP1876" s="1740"/>
      <c r="IFQ1876" s="1740"/>
      <c r="IFR1876" s="1740"/>
      <c r="IFS1876" s="1740"/>
      <c r="IFT1876" s="1740"/>
      <c r="IFU1876" s="1740"/>
      <c r="IFV1876" s="1740"/>
      <c r="IFW1876" s="1740"/>
      <c r="IFX1876" s="1740"/>
      <c r="IFY1876" s="1740"/>
      <c r="IFZ1876" s="1740"/>
      <c r="IGA1876" s="1740"/>
      <c r="IGB1876" s="1740"/>
      <c r="IGC1876" s="1740"/>
      <c r="IGD1876" s="1740"/>
      <c r="IGE1876" s="1740"/>
      <c r="IGF1876" s="1740"/>
      <c r="IGG1876" s="1740"/>
      <c r="IGH1876" s="1740"/>
      <c r="IGI1876" s="1740"/>
      <c r="IGJ1876" s="1740"/>
      <c r="IGK1876" s="1740"/>
      <c r="IGL1876" s="1740"/>
      <c r="IGM1876" s="1740"/>
      <c r="IGN1876" s="1740"/>
      <c r="IGO1876" s="1740"/>
      <c r="IGP1876" s="1740"/>
      <c r="IGQ1876" s="1740"/>
      <c r="IGR1876" s="1740"/>
      <c r="IGS1876" s="1740"/>
      <c r="IGT1876" s="1740"/>
      <c r="IGU1876" s="1740"/>
      <c r="IGV1876" s="1740"/>
      <c r="IGW1876" s="1740"/>
      <c r="IGX1876" s="1740"/>
      <c r="IGY1876" s="1740"/>
      <c r="IGZ1876" s="1740"/>
      <c r="IHA1876" s="1740"/>
      <c r="IHB1876" s="1740"/>
      <c r="IHC1876" s="1740"/>
      <c r="IHD1876" s="1740"/>
      <c r="IHE1876" s="1740"/>
      <c r="IHF1876" s="1740"/>
      <c r="IHG1876" s="1740"/>
      <c r="IHH1876" s="1740"/>
      <c r="IHI1876" s="1740"/>
      <c r="IHJ1876" s="1740"/>
      <c r="IHK1876" s="1740"/>
      <c r="IHL1876" s="1740"/>
      <c r="IHM1876" s="1740"/>
      <c r="IHN1876" s="1740"/>
      <c r="IHO1876" s="1740"/>
      <c r="IHP1876" s="1740"/>
      <c r="IHQ1876" s="1740"/>
      <c r="IHR1876" s="1740"/>
      <c r="IHS1876" s="1740"/>
      <c r="IHT1876" s="1740"/>
      <c r="IHU1876" s="1740"/>
      <c r="IHV1876" s="1740"/>
      <c r="IHW1876" s="1740"/>
      <c r="IHX1876" s="1740"/>
      <c r="IHY1876" s="1740"/>
      <c r="IHZ1876" s="1740"/>
      <c r="IIA1876" s="1740"/>
      <c r="IIB1876" s="1740"/>
      <c r="IIC1876" s="1740"/>
      <c r="IID1876" s="1740"/>
      <c r="IIE1876" s="1740"/>
      <c r="IIF1876" s="1740"/>
      <c r="IIG1876" s="1740"/>
      <c r="IIH1876" s="1740"/>
      <c r="III1876" s="1740"/>
      <c r="IIJ1876" s="1740"/>
      <c r="IIK1876" s="1740"/>
      <c r="IIL1876" s="1740"/>
      <c r="IIM1876" s="1740"/>
      <c r="IIN1876" s="1740"/>
      <c r="IIO1876" s="1740"/>
      <c r="IIP1876" s="1740"/>
      <c r="IIQ1876" s="1740"/>
      <c r="IIR1876" s="1740"/>
      <c r="IIS1876" s="1740"/>
      <c r="IIT1876" s="1740"/>
      <c r="IIU1876" s="1740"/>
      <c r="IIV1876" s="1740"/>
      <c r="IIW1876" s="1740"/>
      <c r="IIX1876" s="1740"/>
      <c r="IIY1876" s="1740"/>
      <c r="IIZ1876" s="1740"/>
      <c r="IJA1876" s="1740"/>
      <c r="IJB1876" s="1740"/>
      <c r="IJC1876" s="1740"/>
      <c r="IJD1876" s="1740"/>
      <c r="IJE1876" s="1740"/>
      <c r="IJF1876" s="1740"/>
      <c r="IJG1876" s="1740"/>
      <c r="IJH1876" s="1740"/>
      <c r="IJI1876" s="1740"/>
      <c r="IJJ1876" s="1740"/>
      <c r="IJK1876" s="1740"/>
      <c r="IJL1876" s="1740"/>
      <c r="IJM1876" s="1740"/>
      <c r="IJN1876" s="1740"/>
      <c r="IJO1876" s="1740"/>
      <c r="IJP1876" s="1740"/>
      <c r="IJQ1876" s="1740"/>
      <c r="IJR1876" s="1740"/>
      <c r="IJS1876" s="1740"/>
      <c r="IJT1876" s="1740"/>
      <c r="IJU1876" s="1740"/>
      <c r="IJV1876" s="1740"/>
      <c r="IJW1876" s="1740"/>
      <c r="IJX1876" s="1740"/>
      <c r="IJY1876" s="1740"/>
      <c r="IJZ1876" s="1740"/>
      <c r="IKA1876" s="1740"/>
      <c r="IKB1876" s="1740"/>
      <c r="IKC1876" s="1740"/>
      <c r="IKD1876" s="1740"/>
      <c r="IKE1876" s="1740"/>
      <c r="IKF1876" s="1740"/>
      <c r="IKG1876" s="1740"/>
      <c r="IKH1876" s="1740"/>
      <c r="IKI1876" s="1740"/>
      <c r="IKJ1876" s="1740"/>
      <c r="IKK1876" s="1740"/>
      <c r="IKL1876" s="1740"/>
      <c r="IKM1876" s="1740"/>
      <c r="IKN1876" s="1740"/>
      <c r="IKO1876" s="1740"/>
      <c r="IKP1876" s="1740"/>
      <c r="IKQ1876" s="1740"/>
      <c r="IKR1876" s="1740"/>
      <c r="IKS1876" s="1740"/>
      <c r="IKT1876" s="1740"/>
      <c r="IKU1876" s="1740"/>
      <c r="IKV1876" s="1740"/>
      <c r="IKW1876" s="1740"/>
      <c r="IKX1876" s="1740"/>
      <c r="IKY1876" s="1740"/>
      <c r="IKZ1876" s="1740"/>
      <c r="ILA1876" s="1740"/>
      <c r="ILB1876" s="1740"/>
      <c r="ILC1876" s="1740"/>
      <c r="ILD1876" s="1740"/>
      <c r="ILE1876" s="1740"/>
      <c r="ILF1876" s="1740"/>
      <c r="ILG1876" s="1740"/>
      <c r="ILH1876" s="1740"/>
      <c r="ILI1876" s="1740"/>
      <c r="ILJ1876" s="1740"/>
      <c r="ILK1876" s="1740"/>
      <c r="ILL1876" s="1740"/>
      <c r="ILM1876" s="1740"/>
      <c r="ILN1876" s="1740"/>
      <c r="ILO1876" s="1740"/>
      <c r="ILP1876" s="1740"/>
      <c r="ILQ1876" s="1740"/>
      <c r="ILR1876" s="1740"/>
      <c r="ILS1876" s="1740"/>
      <c r="ILT1876" s="1740"/>
      <c r="ILU1876" s="1740"/>
      <c r="ILV1876" s="1740"/>
      <c r="ILW1876" s="1740"/>
      <c r="ILX1876" s="1740"/>
      <c r="ILY1876" s="1740"/>
      <c r="ILZ1876" s="1740"/>
      <c r="IMA1876" s="1740"/>
      <c r="IMB1876" s="1740"/>
      <c r="IMC1876" s="1740"/>
      <c r="IMD1876" s="1740"/>
      <c r="IME1876" s="1740"/>
      <c r="IMF1876" s="1740"/>
      <c r="IMG1876" s="1740"/>
      <c r="IMH1876" s="1740"/>
      <c r="IMI1876" s="1740"/>
      <c r="IMJ1876" s="1740"/>
      <c r="IMK1876" s="1740"/>
      <c r="IML1876" s="1740"/>
      <c r="IMM1876" s="1740"/>
      <c r="IMN1876" s="1740"/>
      <c r="IMO1876" s="1740"/>
      <c r="IMP1876" s="1740"/>
      <c r="IMQ1876" s="1740"/>
      <c r="IMR1876" s="1740"/>
      <c r="IMS1876" s="1740"/>
      <c r="IMT1876" s="1740"/>
      <c r="IMU1876" s="1740"/>
      <c r="IMV1876" s="1740"/>
      <c r="IMW1876" s="1740"/>
      <c r="IMX1876" s="1740"/>
      <c r="IMY1876" s="1740"/>
      <c r="IMZ1876" s="1740"/>
      <c r="INA1876" s="1740"/>
      <c r="INB1876" s="1740"/>
      <c r="INC1876" s="1740"/>
      <c r="IND1876" s="1740"/>
      <c r="INE1876" s="1740"/>
      <c r="INF1876" s="1740"/>
      <c r="ING1876" s="1740"/>
      <c r="INH1876" s="1740"/>
      <c r="INI1876" s="1740"/>
      <c r="INJ1876" s="1740"/>
      <c r="INK1876" s="1740"/>
      <c r="INL1876" s="1740"/>
      <c r="INM1876" s="1740"/>
      <c r="INN1876" s="1740"/>
      <c r="INO1876" s="1740"/>
      <c r="INP1876" s="1740"/>
      <c r="INQ1876" s="1740"/>
      <c r="INR1876" s="1740"/>
      <c r="INS1876" s="1740"/>
      <c r="INT1876" s="1740"/>
      <c r="INU1876" s="1740"/>
      <c r="INV1876" s="1740"/>
      <c r="INW1876" s="1740"/>
      <c r="INX1876" s="1740"/>
      <c r="INY1876" s="1740"/>
      <c r="INZ1876" s="1740"/>
      <c r="IOA1876" s="1740"/>
      <c r="IOB1876" s="1740"/>
      <c r="IOC1876" s="1740"/>
      <c r="IOD1876" s="1740"/>
      <c r="IOE1876" s="1740"/>
      <c r="IOF1876" s="1740"/>
      <c r="IOG1876" s="1740"/>
      <c r="IOH1876" s="1740"/>
      <c r="IOI1876" s="1740"/>
      <c r="IOJ1876" s="1740"/>
      <c r="IOK1876" s="1740"/>
      <c r="IOL1876" s="1740"/>
      <c r="IOM1876" s="1740"/>
      <c r="ION1876" s="1740"/>
      <c r="IOO1876" s="1740"/>
      <c r="IOP1876" s="1740"/>
      <c r="IOQ1876" s="1740"/>
      <c r="IOR1876" s="1740"/>
      <c r="IOS1876" s="1740"/>
      <c r="IOT1876" s="1740"/>
      <c r="IOU1876" s="1740"/>
      <c r="IOV1876" s="1740"/>
      <c r="IOW1876" s="1740"/>
      <c r="IOX1876" s="1740"/>
      <c r="IOY1876" s="1740"/>
      <c r="IOZ1876" s="1740"/>
      <c r="IPA1876" s="1740"/>
      <c r="IPB1876" s="1740"/>
      <c r="IPC1876" s="1740"/>
      <c r="IPD1876" s="1740"/>
      <c r="IPE1876" s="1740"/>
      <c r="IPF1876" s="1740"/>
      <c r="IPG1876" s="1740"/>
      <c r="IPH1876" s="1740"/>
      <c r="IPI1876" s="1740"/>
      <c r="IPJ1876" s="1740"/>
      <c r="IPK1876" s="1740"/>
      <c r="IPL1876" s="1740"/>
      <c r="IPM1876" s="1740"/>
      <c r="IPN1876" s="1740"/>
      <c r="IPO1876" s="1740"/>
      <c r="IPP1876" s="1740"/>
      <c r="IPQ1876" s="1740"/>
      <c r="IPR1876" s="1740"/>
      <c r="IPS1876" s="1740"/>
      <c r="IPT1876" s="1740"/>
      <c r="IPU1876" s="1740"/>
      <c r="IPV1876" s="1740"/>
      <c r="IPW1876" s="1740"/>
      <c r="IPX1876" s="1740"/>
      <c r="IPY1876" s="1740"/>
      <c r="IPZ1876" s="1740"/>
      <c r="IQA1876" s="1740"/>
      <c r="IQB1876" s="1740"/>
      <c r="IQC1876" s="1740"/>
      <c r="IQD1876" s="1740"/>
      <c r="IQE1876" s="1740"/>
      <c r="IQF1876" s="1740"/>
      <c r="IQG1876" s="1740"/>
      <c r="IQH1876" s="1740"/>
      <c r="IQI1876" s="1740"/>
      <c r="IQJ1876" s="1740"/>
      <c r="IQK1876" s="1740"/>
      <c r="IQL1876" s="1740"/>
      <c r="IQM1876" s="1740"/>
      <c r="IQN1876" s="1740"/>
      <c r="IQO1876" s="1740"/>
      <c r="IQP1876" s="1740"/>
      <c r="IQQ1876" s="1740"/>
      <c r="IQR1876" s="1740"/>
      <c r="IQS1876" s="1740"/>
      <c r="IQT1876" s="1740"/>
      <c r="IQU1876" s="1740"/>
      <c r="IQV1876" s="1740"/>
      <c r="IQW1876" s="1740"/>
      <c r="IQX1876" s="1740"/>
      <c r="IQY1876" s="1740"/>
      <c r="IQZ1876" s="1740"/>
      <c r="IRA1876" s="1740"/>
      <c r="IRB1876" s="1740"/>
      <c r="IRC1876" s="1740"/>
      <c r="IRD1876" s="1740"/>
      <c r="IRE1876" s="1740"/>
      <c r="IRF1876" s="1740"/>
      <c r="IRG1876" s="1740"/>
      <c r="IRH1876" s="1740"/>
      <c r="IRI1876" s="1740"/>
      <c r="IRJ1876" s="1740"/>
      <c r="IRK1876" s="1740"/>
      <c r="IRL1876" s="1740"/>
      <c r="IRM1876" s="1740"/>
      <c r="IRN1876" s="1740"/>
      <c r="IRO1876" s="1740"/>
      <c r="IRP1876" s="1740"/>
      <c r="IRQ1876" s="1740"/>
      <c r="IRR1876" s="1740"/>
      <c r="IRS1876" s="1740"/>
      <c r="IRT1876" s="1740"/>
      <c r="IRU1876" s="1740"/>
      <c r="IRV1876" s="1740"/>
      <c r="IRW1876" s="1740"/>
      <c r="IRX1876" s="1740"/>
      <c r="IRY1876" s="1740"/>
      <c r="IRZ1876" s="1740"/>
      <c r="ISA1876" s="1740"/>
      <c r="ISB1876" s="1740"/>
      <c r="ISC1876" s="1740"/>
      <c r="ISD1876" s="1740"/>
      <c r="ISE1876" s="1740"/>
      <c r="ISF1876" s="1740"/>
      <c r="ISG1876" s="1740"/>
      <c r="ISH1876" s="1740"/>
      <c r="ISI1876" s="1740"/>
      <c r="ISJ1876" s="1740"/>
      <c r="ISK1876" s="1740"/>
      <c r="ISL1876" s="1740"/>
      <c r="ISM1876" s="1740"/>
      <c r="ISN1876" s="1740"/>
      <c r="ISO1876" s="1740"/>
      <c r="ISP1876" s="1740"/>
      <c r="ISQ1876" s="1740"/>
      <c r="ISR1876" s="1740"/>
      <c r="ISS1876" s="1740"/>
      <c r="IST1876" s="1740"/>
      <c r="ISU1876" s="1740"/>
      <c r="ISV1876" s="1740"/>
      <c r="ISW1876" s="1740"/>
      <c r="ISX1876" s="1740"/>
      <c r="ISY1876" s="1740"/>
      <c r="ISZ1876" s="1740"/>
      <c r="ITA1876" s="1740"/>
      <c r="ITB1876" s="1740"/>
      <c r="ITC1876" s="1740"/>
      <c r="ITD1876" s="1740"/>
      <c r="ITE1876" s="1740"/>
      <c r="ITF1876" s="1740"/>
      <c r="ITG1876" s="1740"/>
      <c r="ITH1876" s="1740"/>
      <c r="ITI1876" s="1740"/>
      <c r="ITJ1876" s="1740"/>
      <c r="ITK1876" s="1740"/>
      <c r="ITL1876" s="1740"/>
      <c r="ITM1876" s="1740"/>
      <c r="ITN1876" s="1740"/>
      <c r="ITO1876" s="1740"/>
      <c r="ITP1876" s="1740"/>
      <c r="ITQ1876" s="1740"/>
      <c r="ITR1876" s="1740"/>
      <c r="ITS1876" s="1740"/>
      <c r="ITT1876" s="1740"/>
      <c r="ITU1876" s="1740"/>
      <c r="ITV1876" s="1740"/>
      <c r="ITW1876" s="1740"/>
      <c r="ITX1876" s="1740"/>
      <c r="ITY1876" s="1740"/>
      <c r="ITZ1876" s="1740"/>
      <c r="IUA1876" s="1740"/>
      <c r="IUB1876" s="1740"/>
      <c r="IUC1876" s="1740"/>
      <c r="IUD1876" s="1740"/>
      <c r="IUE1876" s="1740"/>
      <c r="IUF1876" s="1740"/>
      <c r="IUG1876" s="1740"/>
      <c r="IUH1876" s="1740"/>
      <c r="IUI1876" s="1740"/>
      <c r="IUJ1876" s="1740"/>
      <c r="IUK1876" s="1740"/>
      <c r="IUL1876" s="1740"/>
      <c r="IUM1876" s="1740"/>
      <c r="IUN1876" s="1740"/>
      <c r="IUO1876" s="1740"/>
      <c r="IUP1876" s="1740"/>
      <c r="IUQ1876" s="1740"/>
      <c r="IUR1876" s="1740"/>
      <c r="IUS1876" s="1740"/>
      <c r="IUT1876" s="1740"/>
      <c r="IUU1876" s="1740"/>
      <c r="IUV1876" s="1740"/>
      <c r="IUW1876" s="1740"/>
      <c r="IUX1876" s="1740"/>
      <c r="IUY1876" s="1740"/>
      <c r="IUZ1876" s="1740"/>
      <c r="IVA1876" s="1740"/>
      <c r="IVB1876" s="1740"/>
      <c r="IVC1876" s="1740"/>
      <c r="IVD1876" s="1740"/>
      <c r="IVE1876" s="1740"/>
      <c r="IVF1876" s="1740"/>
      <c r="IVG1876" s="1740"/>
      <c r="IVH1876" s="1740"/>
      <c r="IVI1876" s="1740"/>
      <c r="IVJ1876" s="1740"/>
      <c r="IVK1876" s="1740"/>
      <c r="IVL1876" s="1740"/>
      <c r="IVM1876" s="1740"/>
      <c r="IVN1876" s="1740"/>
      <c r="IVO1876" s="1740"/>
      <c r="IVP1876" s="1740"/>
      <c r="IVQ1876" s="1740"/>
      <c r="IVR1876" s="1740"/>
      <c r="IVS1876" s="1740"/>
      <c r="IVT1876" s="1740"/>
      <c r="IVU1876" s="1740"/>
      <c r="IVV1876" s="1740"/>
      <c r="IVW1876" s="1740"/>
      <c r="IVX1876" s="1740"/>
      <c r="IVY1876" s="1740"/>
      <c r="IVZ1876" s="1740"/>
      <c r="IWA1876" s="1740"/>
      <c r="IWB1876" s="1740"/>
      <c r="IWC1876" s="1740"/>
      <c r="IWD1876" s="1740"/>
      <c r="IWE1876" s="1740"/>
      <c r="IWF1876" s="1740"/>
      <c r="IWG1876" s="1740"/>
      <c r="IWH1876" s="1740"/>
      <c r="IWI1876" s="1740"/>
      <c r="IWJ1876" s="1740"/>
      <c r="IWK1876" s="1740"/>
      <c r="IWL1876" s="1740"/>
      <c r="IWM1876" s="1740"/>
      <c r="IWN1876" s="1740"/>
      <c r="IWO1876" s="1740"/>
      <c r="IWP1876" s="1740"/>
      <c r="IWQ1876" s="1740"/>
      <c r="IWR1876" s="1740"/>
      <c r="IWS1876" s="1740"/>
      <c r="IWT1876" s="1740"/>
      <c r="IWU1876" s="1740"/>
      <c r="IWV1876" s="1740"/>
      <c r="IWW1876" s="1740"/>
      <c r="IWX1876" s="1740"/>
      <c r="IWY1876" s="1740"/>
      <c r="IWZ1876" s="1740"/>
      <c r="IXA1876" s="1740"/>
      <c r="IXB1876" s="1740"/>
      <c r="IXC1876" s="1740"/>
      <c r="IXD1876" s="1740"/>
      <c r="IXE1876" s="1740"/>
      <c r="IXF1876" s="1740"/>
      <c r="IXG1876" s="1740"/>
      <c r="IXH1876" s="1740"/>
      <c r="IXI1876" s="1740"/>
      <c r="IXJ1876" s="1740"/>
      <c r="IXK1876" s="1740"/>
      <c r="IXL1876" s="1740"/>
      <c r="IXM1876" s="1740"/>
      <c r="IXN1876" s="1740"/>
      <c r="IXO1876" s="1740"/>
      <c r="IXP1876" s="1740"/>
      <c r="IXQ1876" s="1740"/>
      <c r="IXR1876" s="1740"/>
      <c r="IXS1876" s="1740"/>
      <c r="IXT1876" s="1740"/>
      <c r="IXU1876" s="1740"/>
      <c r="IXV1876" s="1740"/>
      <c r="IXW1876" s="1740"/>
      <c r="IXX1876" s="1740"/>
      <c r="IXY1876" s="1740"/>
      <c r="IXZ1876" s="1740"/>
      <c r="IYA1876" s="1740"/>
      <c r="IYB1876" s="1740"/>
      <c r="IYC1876" s="1740"/>
      <c r="IYD1876" s="1740"/>
      <c r="IYE1876" s="1740"/>
      <c r="IYF1876" s="1740"/>
      <c r="IYG1876" s="1740"/>
      <c r="IYH1876" s="1740"/>
      <c r="IYI1876" s="1740"/>
      <c r="IYJ1876" s="1740"/>
      <c r="IYK1876" s="1740"/>
      <c r="IYL1876" s="1740"/>
      <c r="IYM1876" s="1740"/>
      <c r="IYN1876" s="1740"/>
      <c r="IYO1876" s="1740"/>
      <c r="IYP1876" s="1740"/>
      <c r="IYQ1876" s="1740"/>
      <c r="IYR1876" s="1740"/>
      <c r="IYS1876" s="1740"/>
      <c r="IYT1876" s="1740"/>
      <c r="IYU1876" s="1740"/>
      <c r="IYV1876" s="1740"/>
      <c r="IYW1876" s="1740"/>
      <c r="IYX1876" s="1740"/>
      <c r="IYY1876" s="1740"/>
      <c r="IYZ1876" s="1740"/>
      <c r="IZA1876" s="1740"/>
      <c r="IZB1876" s="1740"/>
      <c r="IZC1876" s="1740"/>
      <c r="IZD1876" s="1740"/>
      <c r="IZE1876" s="1740"/>
      <c r="IZF1876" s="1740"/>
      <c r="IZG1876" s="1740"/>
      <c r="IZH1876" s="1740"/>
      <c r="IZI1876" s="1740"/>
      <c r="IZJ1876" s="1740"/>
      <c r="IZK1876" s="1740"/>
      <c r="IZL1876" s="1740"/>
      <c r="IZM1876" s="1740"/>
      <c r="IZN1876" s="1740"/>
      <c r="IZO1876" s="1740"/>
      <c r="IZP1876" s="1740"/>
      <c r="IZQ1876" s="1740"/>
      <c r="IZR1876" s="1740"/>
      <c r="IZS1876" s="1740"/>
      <c r="IZT1876" s="1740"/>
      <c r="IZU1876" s="1740"/>
      <c r="IZV1876" s="1740"/>
      <c r="IZW1876" s="1740"/>
      <c r="IZX1876" s="1740"/>
      <c r="IZY1876" s="1740"/>
      <c r="IZZ1876" s="1740"/>
      <c r="JAA1876" s="1740"/>
      <c r="JAB1876" s="1740"/>
      <c r="JAC1876" s="1740"/>
      <c r="JAD1876" s="1740"/>
      <c r="JAE1876" s="1740"/>
      <c r="JAF1876" s="1740"/>
      <c r="JAG1876" s="1740"/>
      <c r="JAH1876" s="1740"/>
      <c r="JAI1876" s="1740"/>
      <c r="JAJ1876" s="1740"/>
      <c r="JAK1876" s="1740"/>
      <c r="JAL1876" s="1740"/>
      <c r="JAM1876" s="1740"/>
      <c r="JAN1876" s="1740"/>
      <c r="JAO1876" s="1740"/>
      <c r="JAP1876" s="1740"/>
      <c r="JAQ1876" s="1740"/>
      <c r="JAR1876" s="1740"/>
      <c r="JAS1876" s="1740"/>
      <c r="JAT1876" s="1740"/>
      <c r="JAU1876" s="1740"/>
      <c r="JAV1876" s="1740"/>
      <c r="JAW1876" s="1740"/>
      <c r="JAX1876" s="1740"/>
      <c r="JAY1876" s="1740"/>
      <c r="JAZ1876" s="1740"/>
      <c r="JBA1876" s="1740"/>
      <c r="JBB1876" s="1740"/>
      <c r="JBC1876" s="1740"/>
      <c r="JBD1876" s="1740"/>
      <c r="JBE1876" s="1740"/>
      <c r="JBF1876" s="1740"/>
      <c r="JBG1876" s="1740"/>
      <c r="JBH1876" s="1740"/>
      <c r="JBI1876" s="1740"/>
      <c r="JBJ1876" s="1740"/>
      <c r="JBK1876" s="1740"/>
      <c r="JBL1876" s="1740"/>
      <c r="JBM1876" s="1740"/>
      <c r="JBN1876" s="1740"/>
      <c r="JBO1876" s="1740"/>
      <c r="JBP1876" s="1740"/>
      <c r="JBQ1876" s="1740"/>
      <c r="JBR1876" s="1740"/>
      <c r="JBS1876" s="1740"/>
      <c r="JBT1876" s="1740"/>
      <c r="JBU1876" s="1740"/>
      <c r="JBV1876" s="1740"/>
      <c r="JBW1876" s="1740"/>
      <c r="JBX1876" s="1740"/>
      <c r="JBY1876" s="1740"/>
      <c r="JBZ1876" s="1740"/>
      <c r="JCA1876" s="1740"/>
      <c r="JCB1876" s="1740"/>
      <c r="JCC1876" s="1740"/>
      <c r="JCD1876" s="1740"/>
      <c r="JCE1876" s="1740"/>
      <c r="JCF1876" s="1740"/>
      <c r="JCG1876" s="1740"/>
      <c r="JCH1876" s="1740"/>
      <c r="JCI1876" s="1740"/>
      <c r="JCJ1876" s="1740"/>
      <c r="JCK1876" s="1740"/>
      <c r="JCL1876" s="1740"/>
      <c r="JCM1876" s="1740"/>
      <c r="JCN1876" s="1740"/>
      <c r="JCO1876" s="1740"/>
      <c r="JCP1876" s="1740"/>
      <c r="JCQ1876" s="1740"/>
      <c r="JCR1876" s="1740"/>
      <c r="JCS1876" s="1740"/>
      <c r="JCT1876" s="1740"/>
      <c r="JCU1876" s="1740"/>
      <c r="JCV1876" s="1740"/>
      <c r="JCW1876" s="1740"/>
      <c r="JCX1876" s="1740"/>
      <c r="JCY1876" s="1740"/>
      <c r="JCZ1876" s="1740"/>
      <c r="JDA1876" s="1740"/>
      <c r="JDB1876" s="1740"/>
      <c r="JDC1876" s="1740"/>
      <c r="JDD1876" s="1740"/>
      <c r="JDE1876" s="1740"/>
      <c r="JDF1876" s="1740"/>
      <c r="JDG1876" s="1740"/>
      <c r="JDH1876" s="1740"/>
      <c r="JDI1876" s="1740"/>
      <c r="JDJ1876" s="1740"/>
      <c r="JDK1876" s="1740"/>
      <c r="JDL1876" s="1740"/>
      <c r="JDM1876" s="1740"/>
      <c r="JDN1876" s="1740"/>
      <c r="JDO1876" s="1740"/>
      <c r="JDP1876" s="1740"/>
      <c r="JDQ1876" s="1740"/>
      <c r="JDR1876" s="1740"/>
      <c r="JDS1876" s="1740"/>
      <c r="JDT1876" s="1740"/>
      <c r="JDU1876" s="1740"/>
      <c r="JDV1876" s="1740"/>
      <c r="JDW1876" s="1740"/>
      <c r="JDX1876" s="1740"/>
      <c r="JDY1876" s="1740"/>
      <c r="JDZ1876" s="1740"/>
      <c r="JEA1876" s="1740"/>
      <c r="JEB1876" s="1740"/>
      <c r="JEC1876" s="1740"/>
      <c r="JED1876" s="1740"/>
      <c r="JEE1876" s="1740"/>
      <c r="JEF1876" s="1740"/>
      <c r="JEG1876" s="1740"/>
      <c r="JEH1876" s="1740"/>
      <c r="JEI1876" s="1740"/>
      <c r="JEJ1876" s="1740"/>
      <c r="JEK1876" s="1740"/>
      <c r="JEL1876" s="1740"/>
      <c r="JEM1876" s="1740"/>
      <c r="JEN1876" s="1740"/>
      <c r="JEO1876" s="1740"/>
      <c r="JEP1876" s="1740"/>
      <c r="JEQ1876" s="1740"/>
      <c r="JER1876" s="1740"/>
      <c r="JES1876" s="1740"/>
      <c r="JET1876" s="1740"/>
      <c r="JEU1876" s="1740"/>
      <c r="JEV1876" s="1740"/>
      <c r="JEW1876" s="1740"/>
      <c r="JEX1876" s="1740"/>
      <c r="JEY1876" s="1740"/>
      <c r="JEZ1876" s="1740"/>
      <c r="JFA1876" s="1740"/>
      <c r="JFB1876" s="1740"/>
      <c r="JFC1876" s="1740"/>
      <c r="JFD1876" s="1740"/>
      <c r="JFE1876" s="1740"/>
      <c r="JFF1876" s="1740"/>
      <c r="JFG1876" s="1740"/>
      <c r="JFH1876" s="1740"/>
      <c r="JFI1876" s="1740"/>
      <c r="JFJ1876" s="1740"/>
      <c r="JFK1876" s="1740"/>
      <c r="JFL1876" s="1740"/>
      <c r="JFM1876" s="1740"/>
      <c r="JFN1876" s="1740"/>
      <c r="JFO1876" s="1740"/>
      <c r="JFP1876" s="1740"/>
      <c r="JFQ1876" s="1740"/>
      <c r="JFR1876" s="1740"/>
      <c r="JFS1876" s="1740"/>
      <c r="JFT1876" s="1740"/>
      <c r="JFU1876" s="1740"/>
      <c r="JFV1876" s="1740"/>
      <c r="JFW1876" s="1740"/>
      <c r="JFX1876" s="1740"/>
      <c r="JFY1876" s="1740"/>
      <c r="JFZ1876" s="1740"/>
      <c r="JGA1876" s="1740"/>
      <c r="JGB1876" s="1740"/>
      <c r="JGC1876" s="1740"/>
      <c r="JGD1876" s="1740"/>
      <c r="JGE1876" s="1740"/>
      <c r="JGF1876" s="1740"/>
      <c r="JGG1876" s="1740"/>
      <c r="JGH1876" s="1740"/>
      <c r="JGI1876" s="1740"/>
      <c r="JGJ1876" s="1740"/>
      <c r="JGK1876" s="1740"/>
      <c r="JGL1876" s="1740"/>
      <c r="JGM1876" s="1740"/>
      <c r="JGN1876" s="1740"/>
      <c r="JGO1876" s="1740"/>
      <c r="JGP1876" s="1740"/>
      <c r="JGQ1876" s="1740"/>
      <c r="JGR1876" s="1740"/>
      <c r="JGS1876" s="1740"/>
      <c r="JGT1876" s="1740"/>
      <c r="JGU1876" s="1740"/>
      <c r="JGV1876" s="1740"/>
      <c r="JGW1876" s="1740"/>
      <c r="JGX1876" s="1740"/>
      <c r="JGY1876" s="1740"/>
      <c r="JGZ1876" s="1740"/>
      <c r="JHA1876" s="1740"/>
      <c r="JHB1876" s="1740"/>
      <c r="JHC1876" s="1740"/>
      <c r="JHD1876" s="1740"/>
      <c r="JHE1876" s="1740"/>
      <c r="JHF1876" s="1740"/>
      <c r="JHG1876" s="1740"/>
      <c r="JHH1876" s="1740"/>
      <c r="JHI1876" s="1740"/>
      <c r="JHJ1876" s="1740"/>
      <c r="JHK1876" s="1740"/>
      <c r="JHL1876" s="1740"/>
      <c r="JHM1876" s="1740"/>
      <c r="JHN1876" s="1740"/>
      <c r="JHO1876" s="1740"/>
      <c r="JHP1876" s="1740"/>
      <c r="JHQ1876" s="1740"/>
      <c r="JHR1876" s="1740"/>
      <c r="JHS1876" s="1740"/>
      <c r="JHT1876" s="1740"/>
      <c r="JHU1876" s="1740"/>
      <c r="JHV1876" s="1740"/>
      <c r="JHW1876" s="1740"/>
      <c r="JHX1876" s="1740"/>
      <c r="JHY1876" s="1740"/>
      <c r="JHZ1876" s="1740"/>
      <c r="JIA1876" s="1740"/>
      <c r="JIB1876" s="1740"/>
      <c r="JIC1876" s="1740"/>
      <c r="JID1876" s="1740"/>
      <c r="JIE1876" s="1740"/>
      <c r="JIF1876" s="1740"/>
      <c r="JIG1876" s="1740"/>
      <c r="JIH1876" s="1740"/>
      <c r="JII1876" s="1740"/>
      <c r="JIJ1876" s="1740"/>
      <c r="JIK1876" s="1740"/>
      <c r="JIL1876" s="1740"/>
      <c r="JIM1876" s="1740"/>
      <c r="JIN1876" s="1740"/>
      <c r="JIO1876" s="1740"/>
      <c r="JIP1876" s="1740"/>
      <c r="JIQ1876" s="1740"/>
      <c r="JIR1876" s="1740"/>
      <c r="JIS1876" s="1740"/>
      <c r="JIT1876" s="1740"/>
      <c r="JIU1876" s="1740"/>
      <c r="JIV1876" s="1740"/>
      <c r="JIW1876" s="1740"/>
      <c r="JIX1876" s="1740"/>
      <c r="JIY1876" s="1740"/>
      <c r="JIZ1876" s="1740"/>
      <c r="JJA1876" s="1740"/>
      <c r="JJB1876" s="1740"/>
      <c r="JJC1876" s="1740"/>
      <c r="JJD1876" s="1740"/>
      <c r="JJE1876" s="1740"/>
      <c r="JJF1876" s="1740"/>
      <c r="JJG1876" s="1740"/>
      <c r="JJH1876" s="1740"/>
      <c r="JJI1876" s="1740"/>
      <c r="JJJ1876" s="1740"/>
      <c r="JJK1876" s="1740"/>
      <c r="JJL1876" s="1740"/>
      <c r="JJM1876" s="1740"/>
      <c r="JJN1876" s="1740"/>
      <c r="JJO1876" s="1740"/>
      <c r="JJP1876" s="1740"/>
      <c r="JJQ1876" s="1740"/>
      <c r="JJR1876" s="1740"/>
      <c r="JJS1876" s="1740"/>
      <c r="JJT1876" s="1740"/>
      <c r="JJU1876" s="1740"/>
      <c r="JJV1876" s="1740"/>
      <c r="JJW1876" s="1740"/>
      <c r="JJX1876" s="1740"/>
      <c r="JJY1876" s="1740"/>
      <c r="JJZ1876" s="1740"/>
      <c r="JKA1876" s="1740"/>
      <c r="JKB1876" s="1740"/>
      <c r="JKC1876" s="1740"/>
      <c r="JKD1876" s="1740"/>
      <c r="JKE1876" s="1740"/>
      <c r="JKF1876" s="1740"/>
      <c r="JKG1876" s="1740"/>
      <c r="JKH1876" s="1740"/>
      <c r="JKI1876" s="1740"/>
      <c r="JKJ1876" s="1740"/>
      <c r="JKK1876" s="1740"/>
      <c r="JKL1876" s="1740"/>
      <c r="JKM1876" s="1740"/>
      <c r="JKN1876" s="1740"/>
      <c r="JKO1876" s="1740"/>
      <c r="JKP1876" s="1740"/>
      <c r="JKQ1876" s="1740"/>
      <c r="JKR1876" s="1740"/>
      <c r="JKS1876" s="1740"/>
      <c r="JKT1876" s="1740"/>
      <c r="JKU1876" s="1740"/>
      <c r="JKV1876" s="1740"/>
      <c r="JKW1876" s="1740"/>
      <c r="JKX1876" s="1740"/>
      <c r="JKY1876" s="1740"/>
      <c r="JKZ1876" s="1740"/>
      <c r="JLA1876" s="1740"/>
      <c r="JLB1876" s="1740"/>
      <c r="JLC1876" s="1740"/>
      <c r="JLD1876" s="1740"/>
      <c r="JLE1876" s="1740"/>
      <c r="JLF1876" s="1740"/>
      <c r="JLG1876" s="1740"/>
      <c r="JLH1876" s="1740"/>
      <c r="JLI1876" s="1740"/>
      <c r="JLJ1876" s="1740"/>
      <c r="JLK1876" s="1740"/>
      <c r="JLL1876" s="1740"/>
      <c r="JLM1876" s="1740"/>
      <c r="JLN1876" s="1740"/>
      <c r="JLO1876" s="1740"/>
      <c r="JLP1876" s="1740"/>
      <c r="JLQ1876" s="1740"/>
      <c r="JLR1876" s="1740"/>
      <c r="JLS1876" s="1740"/>
      <c r="JLT1876" s="1740"/>
      <c r="JLU1876" s="1740"/>
      <c r="JLV1876" s="1740"/>
      <c r="JLW1876" s="1740"/>
      <c r="JLX1876" s="1740"/>
      <c r="JLY1876" s="1740"/>
      <c r="JLZ1876" s="1740"/>
      <c r="JMA1876" s="1740"/>
      <c r="JMB1876" s="1740"/>
      <c r="JMC1876" s="1740"/>
      <c r="JMD1876" s="1740"/>
      <c r="JME1876" s="1740"/>
      <c r="JMF1876" s="1740"/>
      <c r="JMG1876" s="1740"/>
      <c r="JMH1876" s="1740"/>
      <c r="JMI1876" s="1740"/>
      <c r="JMJ1876" s="1740"/>
      <c r="JMK1876" s="1740"/>
      <c r="JML1876" s="1740"/>
      <c r="JMM1876" s="1740"/>
      <c r="JMN1876" s="1740"/>
      <c r="JMO1876" s="1740"/>
      <c r="JMP1876" s="1740"/>
      <c r="JMQ1876" s="1740"/>
      <c r="JMR1876" s="1740"/>
      <c r="JMS1876" s="1740"/>
      <c r="JMT1876" s="1740"/>
      <c r="JMU1876" s="1740"/>
      <c r="JMV1876" s="1740"/>
      <c r="JMW1876" s="1740"/>
      <c r="JMX1876" s="1740"/>
      <c r="JMY1876" s="1740"/>
      <c r="JMZ1876" s="1740"/>
      <c r="JNA1876" s="1740"/>
      <c r="JNB1876" s="1740"/>
      <c r="JNC1876" s="1740"/>
      <c r="JND1876" s="1740"/>
      <c r="JNE1876" s="1740"/>
      <c r="JNF1876" s="1740"/>
      <c r="JNG1876" s="1740"/>
      <c r="JNH1876" s="1740"/>
      <c r="JNI1876" s="1740"/>
      <c r="JNJ1876" s="1740"/>
      <c r="JNK1876" s="1740"/>
      <c r="JNL1876" s="1740"/>
      <c r="JNM1876" s="1740"/>
      <c r="JNN1876" s="1740"/>
      <c r="JNO1876" s="1740"/>
      <c r="JNP1876" s="1740"/>
      <c r="JNQ1876" s="1740"/>
      <c r="JNR1876" s="1740"/>
      <c r="JNS1876" s="1740"/>
      <c r="JNT1876" s="1740"/>
      <c r="JNU1876" s="1740"/>
      <c r="JNV1876" s="1740"/>
      <c r="JNW1876" s="1740"/>
      <c r="JNX1876" s="1740"/>
      <c r="JNY1876" s="1740"/>
      <c r="JNZ1876" s="1740"/>
      <c r="JOA1876" s="1740"/>
      <c r="JOB1876" s="1740"/>
      <c r="JOC1876" s="1740"/>
      <c r="JOD1876" s="1740"/>
      <c r="JOE1876" s="1740"/>
      <c r="JOF1876" s="1740"/>
      <c r="JOG1876" s="1740"/>
      <c r="JOH1876" s="1740"/>
      <c r="JOI1876" s="1740"/>
      <c r="JOJ1876" s="1740"/>
      <c r="JOK1876" s="1740"/>
      <c r="JOL1876" s="1740"/>
      <c r="JOM1876" s="1740"/>
      <c r="JON1876" s="1740"/>
      <c r="JOO1876" s="1740"/>
      <c r="JOP1876" s="1740"/>
      <c r="JOQ1876" s="1740"/>
      <c r="JOR1876" s="1740"/>
      <c r="JOS1876" s="1740"/>
      <c r="JOT1876" s="1740"/>
      <c r="JOU1876" s="1740"/>
      <c r="JOV1876" s="1740"/>
      <c r="JOW1876" s="1740"/>
      <c r="JOX1876" s="1740"/>
      <c r="JOY1876" s="1740"/>
      <c r="JOZ1876" s="1740"/>
      <c r="JPA1876" s="1740"/>
      <c r="JPB1876" s="1740"/>
      <c r="JPC1876" s="1740"/>
      <c r="JPD1876" s="1740"/>
      <c r="JPE1876" s="1740"/>
      <c r="JPF1876" s="1740"/>
      <c r="JPG1876" s="1740"/>
      <c r="JPH1876" s="1740"/>
      <c r="JPI1876" s="1740"/>
      <c r="JPJ1876" s="1740"/>
      <c r="JPK1876" s="1740"/>
      <c r="JPL1876" s="1740"/>
      <c r="JPM1876" s="1740"/>
      <c r="JPN1876" s="1740"/>
      <c r="JPO1876" s="1740"/>
      <c r="JPP1876" s="1740"/>
      <c r="JPQ1876" s="1740"/>
      <c r="JPR1876" s="1740"/>
      <c r="JPS1876" s="1740"/>
      <c r="JPT1876" s="1740"/>
      <c r="JPU1876" s="1740"/>
      <c r="JPV1876" s="1740"/>
      <c r="JPW1876" s="1740"/>
      <c r="JPX1876" s="1740"/>
      <c r="JPY1876" s="1740"/>
      <c r="JPZ1876" s="1740"/>
      <c r="JQA1876" s="1740"/>
      <c r="JQB1876" s="1740"/>
      <c r="JQC1876" s="1740"/>
      <c r="JQD1876" s="1740"/>
      <c r="JQE1876" s="1740"/>
      <c r="JQF1876" s="1740"/>
      <c r="JQG1876" s="1740"/>
      <c r="JQH1876" s="1740"/>
      <c r="JQI1876" s="1740"/>
      <c r="JQJ1876" s="1740"/>
      <c r="JQK1876" s="1740"/>
      <c r="JQL1876" s="1740"/>
      <c r="JQM1876" s="1740"/>
      <c r="JQN1876" s="1740"/>
      <c r="JQO1876" s="1740"/>
      <c r="JQP1876" s="1740"/>
      <c r="JQQ1876" s="1740"/>
      <c r="JQR1876" s="1740"/>
      <c r="JQS1876" s="1740"/>
      <c r="JQT1876" s="1740"/>
      <c r="JQU1876" s="1740"/>
      <c r="JQV1876" s="1740"/>
      <c r="JQW1876" s="1740"/>
      <c r="JQX1876" s="1740"/>
      <c r="JQY1876" s="1740"/>
      <c r="JQZ1876" s="1740"/>
      <c r="JRA1876" s="1740"/>
      <c r="JRB1876" s="1740"/>
      <c r="JRC1876" s="1740"/>
      <c r="JRD1876" s="1740"/>
      <c r="JRE1876" s="1740"/>
      <c r="JRF1876" s="1740"/>
      <c r="JRG1876" s="1740"/>
      <c r="JRH1876" s="1740"/>
      <c r="JRI1876" s="1740"/>
      <c r="JRJ1876" s="1740"/>
      <c r="JRK1876" s="1740"/>
      <c r="JRL1876" s="1740"/>
      <c r="JRM1876" s="1740"/>
      <c r="JRN1876" s="1740"/>
      <c r="JRO1876" s="1740"/>
      <c r="JRP1876" s="1740"/>
      <c r="JRQ1876" s="1740"/>
      <c r="JRR1876" s="1740"/>
      <c r="JRS1876" s="1740"/>
      <c r="JRT1876" s="1740"/>
      <c r="JRU1876" s="1740"/>
      <c r="JRV1876" s="1740"/>
      <c r="JRW1876" s="1740"/>
      <c r="JRX1876" s="1740"/>
      <c r="JRY1876" s="1740"/>
      <c r="JRZ1876" s="1740"/>
      <c r="JSA1876" s="1740"/>
      <c r="JSB1876" s="1740"/>
      <c r="JSC1876" s="1740"/>
      <c r="JSD1876" s="1740"/>
      <c r="JSE1876" s="1740"/>
      <c r="JSF1876" s="1740"/>
      <c r="JSG1876" s="1740"/>
      <c r="JSH1876" s="1740"/>
      <c r="JSI1876" s="1740"/>
      <c r="JSJ1876" s="1740"/>
      <c r="JSK1876" s="1740"/>
      <c r="JSL1876" s="1740"/>
      <c r="JSM1876" s="1740"/>
      <c r="JSN1876" s="1740"/>
      <c r="JSO1876" s="1740"/>
      <c r="JSP1876" s="1740"/>
      <c r="JSQ1876" s="1740"/>
      <c r="JSR1876" s="1740"/>
      <c r="JSS1876" s="1740"/>
      <c r="JST1876" s="1740"/>
      <c r="JSU1876" s="1740"/>
      <c r="JSV1876" s="1740"/>
      <c r="JSW1876" s="1740"/>
      <c r="JSX1876" s="1740"/>
      <c r="JSY1876" s="1740"/>
      <c r="JSZ1876" s="1740"/>
      <c r="JTA1876" s="1740"/>
      <c r="JTB1876" s="1740"/>
      <c r="JTC1876" s="1740"/>
      <c r="JTD1876" s="1740"/>
      <c r="JTE1876" s="1740"/>
      <c r="JTF1876" s="1740"/>
      <c r="JTG1876" s="1740"/>
      <c r="JTH1876" s="1740"/>
      <c r="JTI1876" s="1740"/>
      <c r="JTJ1876" s="1740"/>
      <c r="JTK1876" s="1740"/>
      <c r="JTL1876" s="1740"/>
      <c r="JTM1876" s="1740"/>
      <c r="JTN1876" s="1740"/>
      <c r="JTO1876" s="1740"/>
      <c r="JTP1876" s="1740"/>
      <c r="JTQ1876" s="1740"/>
      <c r="JTR1876" s="1740"/>
      <c r="JTS1876" s="1740"/>
      <c r="JTT1876" s="1740"/>
      <c r="JTU1876" s="1740"/>
      <c r="JTV1876" s="1740"/>
      <c r="JTW1876" s="1740"/>
      <c r="JTX1876" s="1740"/>
      <c r="JTY1876" s="1740"/>
      <c r="JTZ1876" s="1740"/>
      <c r="JUA1876" s="1740"/>
      <c r="JUB1876" s="1740"/>
      <c r="JUC1876" s="1740"/>
      <c r="JUD1876" s="1740"/>
      <c r="JUE1876" s="1740"/>
      <c r="JUF1876" s="1740"/>
      <c r="JUG1876" s="1740"/>
      <c r="JUH1876" s="1740"/>
      <c r="JUI1876" s="1740"/>
      <c r="JUJ1876" s="1740"/>
      <c r="JUK1876" s="1740"/>
      <c r="JUL1876" s="1740"/>
      <c r="JUM1876" s="1740"/>
      <c r="JUN1876" s="1740"/>
      <c r="JUO1876" s="1740"/>
      <c r="JUP1876" s="1740"/>
      <c r="JUQ1876" s="1740"/>
      <c r="JUR1876" s="1740"/>
      <c r="JUS1876" s="1740"/>
      <c r="JUT1876" s="1740"/>
      <c r="JUU1876" s="1740"/>
      <c r="JUV1876" s="1740"/>
      <c r="JUW1876" s="1740"/>
      <c r="JUX1876" s="1740"/>
      <c r="JUY1876" s="1740"/>
      <c r="JUZ1876" s="1740"/>
      <c r="JVA1876" s="1740"/>
      <c r="JVB1876" s="1740"/>
      <c r="JVC1876" s="1740"/>
      <c r="JVD1876" s="1740"/>
      <c r="JVE1876" s="1740"/>
      <c r="JVF1876" s="1740"/>
      <c r="JVG1876" s="1740"/>
      <c r="JVH1876" s="1740"/>
      <c r="JVI1876" s="1740"/>
      <c r="JVJ1876" s="1740"/>
      <c r="JVK1876" s="1740"/>
      <c r="JVL1876" s="1740"/>
      <c r="JVM1876" s="1740"/>
      <c r="JVN1876" s="1740"/>
      <c r="JVO1876" s="1740"/>
      <c r="JVP1876" s="1740"/>
      <c r="JVQ1876" s="1740"/>
      <c r="JVR1876" s="1740"/>
      <c r="JVS1876" s="1740"/>
      <c r="JVT1876" s="1740"/>
      <c r="JVU1876" s="1740"/>
      <c r="JVV1876" s="1740"/>
      <c r="JVW1876" s="1740"/>
      <c r="JVX1876" s="1740"/>
      <c r="JVY1876" s="1740"/>
      <c r="JVZ1876" s="1740"/>
      <c r="JWA1876" s="1740"/>
      <c r="JWB1876" s="1740"/>
      <c r="JWC1876" s="1740"/>
      <c r="JWD1876" s="1740"/>
      <c r="JWE1876" s="1740"/>
      <c r="JWF1876" s="1740"/>
      <c r="JWG1876" s="1740"/>
      <c r="JWH1876" s="1740"/>
      <c r="JWI1876" s="1740"/>
      <c r="JWJ1876" s="1740"/>
      <c r="JWK1876" s="1740"/>
      <c r="JWL1876" s="1740"/>
      <c r="JWM1876" s="1740"/>
      <c r="JWN1876" s="1740"/>
      <c r="JWO1876" s="1740"/>
      <c r="JWP1876" s="1740"/>
      <c r="JWQ1876" s="1740"/>
      <c r="JWR1876" s="1740"/>
      <c r="JWS1876" s="1740"/>
      <c r="JWT1876" s="1740"/>
      <c r="JWU1876" s="1740"/>
      <c r="JWV1876" s="1740"/>
      <c r="JWW1876" s="1740"/>
      <c r="JWX1876" s="1740"/>
      <c r="JWY1876" s="1740"/>
      <c r="JWZ1876" s="1740"/>
      <c r="JXA1876" s="1740"/>
      <c r="JXB1876" s="1740"/>
      <c r="JXC1876" s="1740"/>
      <c r="JXD1876" s="1740"/>
      <c r="JXE1876" s="1740"/>
      <c r="JXF1876" s="1740"/>
      <c r="JXG1876" s="1740"/>
      <c r="JXH1876" s="1740"/>
      <c r="JXI1876" s="1740"/>
      <c r="JXJ1876" s="1740"/>
      <c r="JXK1876" s="1740"/>
      <c r="JXL1876" s="1740"/>
      <c r="JXM1876" s="1740"/>
      <c r="JXN1876" s="1740"/>
      <c r="JXO1876" s="1740"/>
      <c r="JXP1876" s="1740"/>
      <c r="JXQ1876" s="1740"/>
      <c r="JXR1876" s="1740"/>
      <c r="JXS1876" s="1740"/>
      <c r="JXT1876" s="1740"/>
      <c r="JXU1876" s="1740"/>
      <c r="JXV1876" s="1740"/>
      <c r="JXW1876" s="1740"/>
      <c r="JXX1876" s="1740"/>
      <c r="JXY1876" s="1740"/>
      <c r="JXZ1876" s="1740"/>
      <c r="JYA1876" s="1740"/>
      <c r="JYB1876" s="1740"/>
      <c r="JYC1876" s="1740"/>
      <c r="JYD1876" s="1740"/>
      <c r="JYE1876" s="1740"/>
      <c r="JYF1876" s="1740"/>
      <c r="JYG1876" s="1740"/>
      <c r="JYH1876" s="1740"/>
      <c r="JYI1876" s="1740"/>
      <c r="JYJ1876" s="1740"/>
      <c r="JYK1876" s="1740"/>
      <c r="JYL1876" s="1740"/>
      <c r="JYM1876" s="1740"/>
      <c r="JYN1876" s="1740"/>
      <c r="JYO1876" s="1740"/>
      <c r="JYP1876" s="1740"/>
      <c r="JYQ1876" s="1740"/>
      <c r="JYR1876" s="1740"/>
      <c r="JYS1876" s="1740"/>
      <c r="JYT1876" s="1740"/>
      <c r="JYU1876" s="1740"/>
      <c r="JYV1876" s="1740"/>
      <c r="JYW1876" s="1740"/>
      <c r="JYX1876" s="1740"/>
      <c r="JYY1876" s="1740"/>
      <c r="JYZ1876" s="1740"/>
      <c r="JZA1876" s="1740"/>
      <c r="JZB1876" s="1740"/>
      <c r="JZC1876" s="1740"/>
      <c r="JZD1876" s="1740"/>
      <c r="JZE1876" s="1740"/>
      <c r="JZF1876" s="1740"/>
      <c r="JZG1876" s="1740"/>
      <c r="JZH1876" s="1740"/>
      <c r="JZI1876" s="1740"/>
      <c r="JZJ1876" s="1740"/>
      <c r="JZK1876" s="1740"/>
      <c r="JZL1876" s="1740"/>
      <c r="JZM1876" s="1740"/>
      <c r="JZN1876" s="1740"/>
      <c r="JZO1876" s="1740"/>
      <c r="JZP1876" s="1740"/>
      <c r="JZQ1876" s="1740"/>
      <c r="JZR1876" s="1740"/>
      <c r="JZS1876" s="1740"/>
      <c r="JZT1876" s="1740"/>
      <c r="JZU1876" s="1740"/>
      <c r="JZV1876" s="1740"/>
      <c r="JZW1876" s="1740"/>
      <c r="JZX1876" s="1740"/>
      <c r="JZY1876" s="1740"/>
      <c r="JZZ1876" s="1740"/>
      <c r="KAA1876" s="1740"/>
      <c r="KAB1876" s="1740"/>
      <c r="KAC1876" s="1740"/>
      <c r="KAD1876" s="1740"/>
      <c r="KAE1876" s="1740"/>
      <c r="KAF1876" s="1740"/>
      <c r="KAG1876" s="1740"/>
      <c r="KAH1876" s="1740"/>
      <c r="KAI1876" s="1740"/>
      <c r="KAJ1876" s="1740"/>
      <c r="KAK1876" s="1740"/>
      <c r="KAL1876" s="1740"/>
      <c r="KAM1876" s="1740"/>
      <c r="KAN1876" s="1740"/>
      <c r="KAO1876" s="1740"/>
      <c r="KAP1876" s="1740"/>
      <c r="KAQ1876" s="1740"/>
      <c r="KAR1876" s="1740"/>
      <c r="KAS1876" s="1740"/>
      <c r="KAT1876" s="1740"/>
      <c r="KAU1876" s="1740"/>
      <c r="KAV1876" s="1740"/>
      <c r="KAW1876" s="1740"/>
      <c r="KAX1876" s="1740"/>
      <c r="KAY1876" s="1740"/>
      <c r="KAZ1876" s="1740"/>
      <c r="KBA1876" s="1740"/>
      <c r="KBB1876" s="1740"/>
      <c r="KBC1876" s="1740"/>
      <c r="KBD1876" s="1740"/>
      <c r="KBE1876" s="1740"/>
      <c r="KBF1876" s="1740"/>
      <c r="KBG1876" s="1740"/>
      <c r="KBH1876" s="1740"/>
      <c r="KBI1876" s="1740"/>
      <c r="KBJ1876" s="1740"/>
      <c r="KBK1876" s="1740"/>
      <c r="KBL1876" s="1740"/>
      <c r="KBM1876" s="1740"/>
      <c r="KBN1876" s="1740"/>
      <c r="KBO1876" s="1740"/>
      <c r="KBP1876" s="1740"/>
      <c r="KBQ1876" s="1740"/>
      <c r="KBR1876" s="1740"/>
      <c r="KBS1876" s="1740"/>
      <c r="KBT1876" s="1740"/>
      <c r="KBU1876" s="1740"/>
      <c r="KBV1876" s="1740"/>
      <c r="KBW1876" s="1740"/>
      <c r="KBX1876" s="1740"/>
      <c r="KBY1876" s="1740"/>
      <c r="KBZ1876" s="1740"/>
      <c r="KCA1876" s="1740"/>
      <c r="KCB1876" s="1740"/>
      <c r="KCC1876" s="1740"/>
      <c r="KCD1876" s="1740"/>
      <c r="KCE1876" s="1740"/>
      <c r="KCF1876" s="1740"/>
      <c r="KCG1876" s="1740"/>
      <c r="KCH1876" s="1740"/>
      <c r="KCI1876" s="1740"/>
      <c r="KCJ1876" s="1740"/>
      <c r="KCK1876" s="1740"/>
      <c r="KCL1876" s="1740"/>
      <c r="KCM1876" s="1740"/>
      <c r="KCN1876" s="1740"/>
      <c r="KCO1876" s="1740"/>
      <c r="KCP1876" s="1740"/>
      <c r="KCQ1876" s="1740"/>
      <c r="KCR1876" s="1740"/>
      <c r="KCS1876" s="1740"/>
      <c r="KCT1876" s="1740"/>
      <c r="KCU1876" s="1740"/>
      <c r="KCV1876" s="1740"/>
      <c r="KCW1876" s="1740"/>
      <c r="KCX1876" s="1740"/>
      <c r="KCY1876" s="1740"/>
      <c r="KCZ1876" s="1740"/>
      <c r="KDA1876" s="1740"/>
      <c r="KDB1876" s="1740"/>
      <c r="KDC1876" s="1740"/>
      <c r="KDD1876" s="1740"/>
      <c r="KDE1876" s="1740"/>
      <c r="KDF1876" s="1740"/>
      <c r="KDG1876" s="1740"/>
      <c r="KDH1876" s="1740"/>
      <c r="KDI1876" s="1740"/>
      <c r="KDJ1876" s="1740"/>
      <c r="KDK1876" s="1740"/>
      <c r="KDL1876" s="1740"/>
      <c r="KDM1876" s="1740"/>
      <c r="KDN1876" s="1740"/>
      <c r="KDO1876" s="1740"/>
      <c r="KDP1876" s="1740"/>
      <c r="KDQ1876" s="1740"/>
      <c r="KDR1876" s="1740"/>
      <c r="KDS1876" s="1740"/>
      <c r="KDT1876" s="1740"/>
      <c r="KDU1876" s="1740"/>
      <c r="KDV1876" s="1740"/>
      <c r="KDW1876" s="1740"/>
      <c r="KDX1876" s="1740"/>
      <c r="KDY1876" s="1740"/>
      <c r="KDZ1876" s="1740"/>
      <c r="KEA1876" s="1740"/>
      <c r="KEB1876" s="1740"/>
      <c r="KEC1876" s="1740"/>
      <c r="KED1876" s="1740"/>
      <c r="KEE1876" s="1740"/>
      <c r="KEF1876" s="1740"/>
      <c r="KEG1876" s="1740"/>
      <c r="KEH1876" s="1740"/>
      <c r="KEI1876" s="1740"/>
      <c r="KEJ1876" s="1740"/>
      <c r="KEK1876" s="1740"/>
      <c r="KEL1876" s="1740"/>
      <c r="KEM1876" s="1740"/>
      <c r="KEN1876" s="1740"/>
      <c r="KEO1876" s="1740"/>
      <c r="KEP1876" s="1740"/>
      <c r="KEQ1876" s="1740"/>
      <c r="KER1876" s="1740"/>
      <c r="KES1876" s="1740"/>
      <c r="KET1876" s="1740"/>
      <c r="KEU1876" s="1740"/>
      <c r="KEV1876" s="1740"/>
      <c r="KEW1876" s="1740"/>
      <c r="KEX1876" s="1740"/>
      <c r="KEY1876" s="1740"/>
      <c r="KEZ1876" s="1740"/>
      <c r="KFA1876" s="1740"/>
      <c r="KFB1876" s="1740"/>
      <c r="KFC1876" s="1740"/>
      <c r="KFD1876" s="1740"/>
      <c r="KFE1876" s="1740"/>
      <c r="KFF1876" s="1740"/>
      <c r="KFG1876" s="1740"/>
      <c r="KFH1876" s="1740"/>
      <c r="KFI1876" s="1740"/>
      <c r="KFJ1876" s="1740"/>
      <c r="KFK1876" s="1740"/>
      <c r="KFL1876" s="1740"/>
      <c r="KFM1876" s="1740"/>
      <c r="KFN1876" s="1740"/>
      <c r="KFO1876" s="1740"/>
      <c r="KFP1876" s="1740"/>
      <c r="KFQ1876" s="1740"/>
      <c r="KFR1876" s="1740"/>
      <c r="KFS1876" s="1740"/>
      <c r="KFT1876" s="1740"/>
      <c r="KFU1876" s="1740"/>
      <c r="KFV1876" s="1740"/>
      <c r="KFW1876" s="1740"/>
      <c r="KFX1876" s="1740"/>
      <c r="KFY1876" s="1740"/>
      <c r="KFZ1876" s="1740"/>
      <c r="KGA1876" s="1740"/>
      <c r="KGB1876" s="1740"/>
      <c r="KGC1876" s="1740"/>
      <c r="KGD1876" s="1740"/>
      <c r="KGE1876" s="1740"/>
      <c r="KGF1876" s="1740"/>
      <c r="KGG1876" s="1740"/>
      <c r="KGH1876" s="1740"/>
      <c r="KGI1876" s="1740"/>
      <c r="KGJ1876" s="1740"/>
      <c r="KGK1876" s="1740"/>
      <c r="KGL1876" s="1740"/>
      <c r="KGM1876" s="1740"/>
      <c r="KGN1876" s="1740"/>
      <c r="KGO1876" s="1740"/>
      <c r="KGP1876" s="1740"/>
      <c r="KGQ1876" s="1740"/>
      <c r="KGR1876" s="1740"/>
      <c r="KGS1876" s="1740"/>
      <c r="KGT1876" s="1740"/>
      <c r="KGU1876" s="1740"/>
      <c r="KGV1876" s="1740"/>
      <c r="KGW1876" s="1740"/>
      <c r="KGX1876" s="1740"/>
      <c r="KGY1876" s="1740"/>
      <c r="KGZ1876" s="1740"/>
      <c r="KHA1876" s="1740"/>
      <c r="KHB1876" s="1740"/>
      <c r="KHC1876" s="1740"/>
      <c r="KHD1876" s="1740"/>
      <c r="KHE1876" s="1740"/>
      <c r="KHF1876" s="1740"/>
      <c r="KHG1876" s="1740"/>
      <c r="KHH1876" s="1740"/>
      <c r="KHI1876" s="1740"/>
      <c r="KHJ1876" s="1740"/>
      <c r="KHK1876" s="1740"/>
      <c r="KHL1876" s="1740"/>
      <c r="KHM1876" s="1740"/>
      <c r="KHN1876" s="1740"/>
      <c r="KHO1876" s="1740"/>
      <c r="KHP1876" s="1740"/>
      <c r="KHQ1876" s="1740"/>
      <c r="KHR1876" s="1740"/>
      <c r="KHS1876" s="1740"/>
      <c r="KHT1876" s="1740"/>
      <c r="KHU1876" s="1740"/>
      <c r="KHV1876" s="1740"/>
      <c r="KHW1876" s="1740"/>
      <c r="KHX1876" s="1740"/>
      <c r="KHY1876" s="1740"/>
      <c r="KHZ1876" s="1740"/>
      <c r="KIA1876" s="1740"/>
      <c r="KIB1876" s="1740"/>
      <c r="KIC1876" s="1740"/>
      <c r="KID1876" s="1740"/>
      <c r="KIE1876" s="1740"/>
      <c r="KIF1876" s="1740"/>
      <c r="KIG1876" s="1740"/>
      <c r="KIH1876" s="1740"/>
      <c r="KII1876" s="1740"/>
      <c r="KIJ1876" s="1740"/>
      <c r="KIK1876" s="1740"/>
      <c r="KIL1876" s="1740"/>
      <c r="KIM1876" s="1740"/>
      <c r="KIN1876" s="1740"/>
      <c r="KIO1876" s="1740"/>
      <c r="KIP1876" s="1740"/>
      <c r="KIQ1876" s="1740"/>
      <c r="KIR1876" s="1740"/>
      <c r="KIS1876" s="1740"/>
      <c r="KIT1876" s="1740"/>
      <c r="KIU1876" s="1740"/>
      <c r="KIV1876" s="1740"/>
      <c r="KIW1876" s="1740"/>
      <c r="KIX1876" s="1740"/>
      <c r="KIY1876" s="1740"/>
      <c r="KIZ1876" s="1740"/>
      <c r="KJA1876" s="1740"/>
      <c r="KJB1876" s="1740"/>
      <c r="KJC1876" s="1740"/>
      <c r="KJD1876" s="1740"/>
      <c r="KJE1876" s="1740"/>
      <c r="KJF1876" s="1740"/>
      <c r="KJG1876" s="1740"/>
      <c r="KJH1876" s="1740"/>
      <c r="KJI1876" s="1740"/>
      <c r="KJJ1876" s="1740"/>
      <c r="KJK1876" s="1740"/>
      <c r="KJL1876" s="1740"/>
      <c r="KJM1876" s="1740"/>
      <c r="KJN1876" s="1740"/>
      <c r="KJO1876" s="1740"/>
      <c r="KJP1876" s="1740"/>
      <c r="KJQ1876" s="1740"/>
      <c r="KJR1876" s="1740"/>
      <c r="KJS1876" s="1740"/>
      <c r="KJT1876" s="1740"/>
      <c r="KJU1876" s="1740"/>
      <c r="KJV1876" s="1740"/>
      <c r="KJW1876" s="1740"/>
      <c r="KJX1876" s="1740"/>
      <c r="KJY1876" s="1740"/>
      <c r="KJZ1876" s="1740"/>
      <c r="KKA1876" s="1740"/>
      <c r="KKB1876" s="1740"/>
      <c r="KKC1876" s="1740"/>
      <c r="KKD1876" s="1740"/>
      <c r="KKE1876" s="1740"/>
      <c r="KKF1876" s="1740"/>
      <c r="KKG1876" s="1740"/>
      <c r="KKH1876" s="1740"/>
      <c r="KKI1876" s="1740"/>
      <c r="KKJ1876" s="1740"/>
      <c r="KKK1876" s="1740"/>
      <c r="KKL1876" s="1740"/>
      <c r="KKM1876" s="1740"/>
      <c r="KKN1876" s="1740"/>
      <c r="KKO1876" s="1740"/>
      <c r="KKP1876" s="1740"/>
      <c r="KKQ1876" s="1740"/>
      <c r="KKR1876" s="1740"/>
      <c r="KKS1876" s="1740"/>
      <c r="KKT1876" s="1740"/>
      <c r="KKU1876" s="1740"/>
      <c r="KKV1876" s="1740"/>
      <c r="KKW1876" s="1740"/>
      <c r="KKX1876" s="1740"/>
      <c r="KKY1876" s="1740"/>
      <c r="KKZ1876" s="1740"/>
      <c r="KLA1876" s="1740"/>
      <c r="KLB1876" s="1740"/>
      <c r="KLC1876" s="1740"/>
      <c r="KLD1876" s="1740"/>
      <c r="KLE1876" s="1740"/>
      <c r="KLF1876" s="1740"/>
      <c r="KLG1876" s="1740"/>
      <c r="KLH1876" s="1740"/>
      <c r="KLI1876" s="1740"/>
      <c r="KLJ1876" s="1740"/>
      <c r="KLK1876" s="1740"/>
      <c r="KLL1876" s="1740"/>
      <c r="KLM1876" s="1740"/>
      <c r="KLN1876" s="1740"/>
      <c r="KLO1876" s="1740"/>
      <c r="KLP1876" s="1740"/>
      <c r="KLQ1876" s="1740"/>
      <c r="KLR1876" s="1740"/>
      <c r="KLS1876" s="1740"/>
      <c r="KLT1876" s="1740"/>
      <c r="KLU1876" s="1740"/>
      <c r="KLV1876" s="1740"/>
      <c r="KLW1876" s="1740"/>
      <c r="KLX1876" s="1740"/>
      <c r="KLY1876" s="1740"/>
      <c r="KLZ1876" s="1740"/>
      <c r="KMA1876" s="1740"/>
      <c r="KMB1876" s="1740"/>
      <c r="KMC1876" s="1740"/>
      <c r="KMD1876" s="1740"/>
      <c r="KME1876" s="1740"/>
      <c r="KMF1876" s="1740"/>
      <c r="KMG1876" s="1740"/>
      <c r="KMH1876" s="1740"/>
      <c r="KMI1876" s="1740"/>
      <c r="KMJ1876" s="1740"/>
      <c r="KMK1876" s="1740"/>
      <c r="KML1876" s="1740"/>
      <c r="KMM1876" s="1740"/>
      <c r="KMN1876" s="1740"/>
      <c r="KMO1876" s="1740"/>
      <c r="KMP1876" s="1740"/>
      <c r="KMQ1876" s="1740"/>
      <c r="KMR1876" s="1740"/>
      <c r="KMS1876" s="1740"/>
      <c r="KMT1876" s="1740"/>
      <c r="KMU1876" s="1740"/>
      <c r="KMV1876" s="1740"/>
      <c r="KMW1876" s="1740"/>
      <c r="KMX1876" s="1740"/>
      <c r="KMY1876" s="1740"/>
      <c r="KMZ1876" s="1740"/>
      <c r="KNA1876" s="1740"/>
      <c r="KNB1876" s="1740"/>
      <c r="KNC1876" s="1740"/>
      <c r="KND1876" s="1740"/>
      <c r="KNE1876" s="1740"/>
      <c r="KNF1876" s="1740"/>
      <c r="KNG1876" s="1740"/>
      <c r="KNH1876" s="1740"/>
      <c r="KNI1876" s="1740"/>
      <c r="KNJ1876" s="1740"/>
      <c r="KNK1876" s="1740"/>
      <c r="KNL1876" s="1740"/>
      <c r="KNM1876" s="1740"/>
      <c r="KNN1876" s="1740"/>
      <c r="KNO1876" s="1740"/>
      <c r="KNP1876" s="1740"/>
      <c r="KNQ1876" s="1740"/>
      <c r="KNR1876" s="1740"/>
      <c r="KNS1876" s="1740"/>
      <c r="KNT1876" s="1740"/>
      <c r="KNU1876" s="1740"/>
      <c r="KNV1876" s="1740"/>
      <c r="KNW1876" s="1740"/>
      <c r="KNX1876" s="1740"/>
      <c r="KNY1876" s="1740"/>
      <c r="KNZ1876" s="1740"/>
      <c r="KOA1876" s="1740"/>
      <c r="KOB1876" s="1740"/>
      <c r="KOC1876" s="1740"/>
      <c r="KOD1876" s="1740"/>
      <c r="KOE1876" s="1740"/>
      <c r="KOF1876" s="1740"/>
      <c r="KOG1876" s="1740"/>
      <c r="KOH1876" s="1740"/>
      <c r="KOI1876" s="1740"/>
      <c r="KOJ1876" s="1740"/>
      <c r="KOK1876" s="1740"/>
      <c r="KOL1876" s="1740"/>
      <c r="KOM1876" s="1740"/>
      <c r="KON1876" s="1740"/>
      <c r="KOO1876" s="1740"/>
      <c r="KOP1876" s="1740"/>
      <c r="KOQ1876" s="1740"/>
      <c r="KOR1876" s="1740"/>
      <c r="KOS1876" s="1740"/>
      <c r="KOT1876" s="1740"/>
      <c r="KOU1876" s="1740"/>
      <c r="KOV1876" s="1740"/>
      <c r="KOW1876" s="1740"/>
      <c r="KOX1876" s="1740"/>
      <c r="KOY1876" s="1740"/>
      <c r="KOZ1876" s="1740"/>
      <c r="KPA1876" s="1740"/>
      <c r="KPB1876" s="1740"/>
      <c r="KPC1876" s="1740"/>
      <c r="KPD1876" s="1740"/>
      <c r="KPE1876" s="1740"/>
      <c r="KPF1876" s="1740"/>
      <c r="KPG1876" s="1740"/>
      <c r="KPH1876" s="1740"/>
      <c r="KPI1876" s="1740"/>
      <c r="KPJ1876" s="1740"/>
      <c r="KPK1876" s="1740"/>
      <c r="KPL1876" s="1740"/>
      <c r="KPM1876" s="1740"/>
      <c r="KPN1876" s="1740"/>
      <c r="KPO1876" s="1740"/>
      <c r="KPP1876" s="1740"/>
      <c r="KPQ1876" s="1740"/>
      <c r="KPR1876" s="1740"/>
      <c r="KPS1876" s="1740"/>
      <c r="KPT1876" s="1740"/>
      <c r="KPU1876" s="1740"/>
      <c r="KPV1876" s="1740"/>
      <c r="KPW1876" s="1740"/>
      <c r="KPX1876" s="1740"/>
      <c r="KPY1876" s="1740"/>
      <c r="KPZ1876" s="1740"/>
      <c r="KQA1876" s="1740"/>
      <c r="KQB1876" s="1740"/>
      <c r="KQC1876" s="1740"/>
      <c r="KQD1876" s="1740"/>
      <c r="KQE1876" s="1740"/>
      <c r="KQF1876" s="1740"/>
      <c r="KQG1876" s="1740"/>
      <c r="KQH1876" s="1740"/>
      <c r="KQI1876" s="1740"/>
      <c r="KQJ1876" s="1740"/>
      <c r="KQK1876" s="1740"/>
      <c r="KQL1876" s="1740"/>
      <c r="KQM1876" s="1740"/>
      <c r="KQN1876" s="1740"/>
      <c r="KQO1876" s="1740"/>
      <c r="KQP1876" s="1740"/>
      <c r="KQQ1876" s="1740"/>
      <c r="KQR1876" s="1740"/>
      <c r="KQS1876" s="1740"/>
      <c r="KQT1876" s="1740"/>
      <c r="KQU1876" s="1740"/>
      <c r="KQV1876" s="1740"/>
      <c r="KQW1876" s="1740"/>
      <c r="KQX1876" s="1740"/>
      <c r="KQY1876" s="1740"/>
      <c r="KQZ1876" s="1740"/>
      <c r="KRA1876" s="1740"/>
      <c r="KRB1876" s="1740"/>
      <c r="KRC1876" s="1740"/>
      <c r="KRD1876" s="1740"/>
      <c r="KRE1876" s="1740"/>
      <c r="KRF1876" s="1740"/>
      <c r="KRG1876" s="1740"/>
      <c r="KRH1876" s="1740"/>
      <c r="KRI1876" s="1740"/>
      <c r="KRJ1876" s="1740"/>
      <c r="KRK1876" s="1740"/>
      <c r="KRL1876" s="1740"/>
      <c r="KRM1876" s="1740"/>
      <c r="KRN1876" s="1740"/>
      <c r="KRO1876" s="1740"/>
      <c r="KRP1876" s="1740"/>
      <c r="KRQ1876" s="1740"/>
      <c r="KRR1876" s="1740"/>
      <c r="KRS1876" s="1740"/>
      <c r="KRT1876" s="1740"/>
      <c r="KRU1876" s="1740"/>
      <c r="KRV1876" s="1740"/>
      <c r="KRW1876" s="1740"/>
      <c r="KRX1876" s="1740"/>
      <c r="KRY1876" s="1740"/>
      <c r="KRZ1876" s="1740"/>
      <c r="KSA1876" s="1740"/>
      <c r="KSB1876" s="1740"/>
      <c r="KSC1876" s="1740"/>
      <c r="KSD1876" s="1740"/>
      <c r="KSE1876" s="1740"/>
      <c r="KSF1876" s="1740"/>
      <c r="KSG1876" s="1740"/>
      <c r="KSH1876" s="1740"/>
      <c r="KSI1876" s="1740"/>
      <c r="KSJ1876" s="1740"/>
      <c r="KSK1876" s="1740"/>
      <c r="KSL1876" s="1740"/>
      <c r="KSM1876" s="1740"/>
      <c r="KSN1876" s="1740"/>
      <c r="KSO1876" s="1740"/>
      <c r="KSP1876" s="1740"/>
      <c r="KSQ1876" s="1740"/>
      <c r="KSR1876" s="1740"/>
      <c r="KSS1876" s="1740"/>
      <c r="KST1876" s="1740"/>
      <c r="KSU1876" s="1740"/>
      <c r="KSV1876" s="1740"/>
      <c r="KSW1876" s="1740"/>
      <c r="KSX1876" s="1740"/>
      <c r="KSY1876" s="1740"/>
      <c r="KSZ1876" s="1740"/>
      <c r="KTA1876" s="1740"/>
      <c r="KTB1876" s="1740"/>
      <c r="KTC1876" s="1740"/>
      <c r="KTD1876" s="1740"/>
      <c r="KTE1876" s="1740"/>
      <c r="KTF1876" s="1740"/>
      <c r="KTG1876" s="1740"/>
      <c r="KTH1876" s="1740"/>
      <c r="KTI1876" s="1740"/>
      <c r="KTJ1876" s="1740"/>
      <c r="KTK1876" s="1740"/>
      <c r="KTL1876" s="1740"/>
      <c r="KTM1876" s="1740"/>
      <c r="KTN1876" s="1740"/>
      <c r="KTO1876" s="1740"/>
      <c r="KTP1876" s="1740"/>
      <c r="KTQ1876" s="1740"/>
      <c r="KTR1876" s="1740"/>
      <c r="KTS1876" s="1740"/>
      <c r="KTT1876" s="1740"/>
      <c r="KTU1876" s="1740"/>
      <c r="KTV1876" s="1740"/>
      <c r="KTW1876" s="1740"/>
      <c r="KTX1876" s="1740"/>
      <c r="KTY1876" s="1740"/>
      <c r="KTZ1876" s="1740"/>
      <c r="KUA1876" s="1740"/>
      <c r="KUB1876" s="1740"/>
      <c r="KUC1876" s="1740"/>
      <c r="KUD1876" s="1740"/>
      <c r="KUE1876" s="1740"/>
      <c r="KUF1876" s="1740"/>
      <c r="KUG1876" s="1740"/>
      <c r="KUH1876" s="1740"/>
      <c r="KUI1876" s="1740"/>
      <c r="KUJ1876" s="1740"/>
      <c r="KUK1876" s="1740"/>
      <c r="KUL1876" s="1740"/>
      <c r="KUM1876" s="1740"/>
      <c r="KUN1876" s="1740"/>
      <c r="KUO1876" s="1740"/>
      <c r="KUP1876" s="1740"/>
      <c r="KUQ1876" s="1740"/>
      <c r="KUR1876" s="1740"/>
      <c r="KUS1876" s="1740"/>
      <c r="KUT1876" s="1740"/>
      <c r="KUU1876" s="1740"/>
      <c r="KUV1876" s="1740"/>
      <c r="KUW1876" s="1740"/>
      <c r="KUX1876" s="1740"/>
      <c r="KUY1876" s="1740"/>
      <c r="KUZ1876" s="1740"/>
      <c r="KVA1876" s="1740"/>
      <c r="KVB1876" s="1740"/>
      <c r="KVC1876" s="1740"/>
      <c r="KVD1876" s="1740"/>
      <c r="KVE1876" s="1740"/>
      <c r="KVF1876" s="1740"/>
      <c r="KVG1876" s="1740"/>
      <c r="KVH1876" s="1740"/>
      <c r="KVI1876" s="1740"/>
      <c r="KVJ1876" s="1740"/>
      <c r="KVK1876" s="1740"/>
      <c r="KVL1876" s="1740"/>
      <c r="KVM1876" s="1740"/>
      <c r="KVN1876" s="1740"/>
      <c r="KVO1876" s="1740"/>
      <c r="KVP1876" s="1740"/>
      <c r="KVQ1876" s="1740"/>
      <c r="KVR1876" s="1740"/>
      <c r="KVS1876" s="1740"/>
      <c r="KVT1876" s="1740"/>
      <c r="KVU1876" s="1740"/>
      <c r="KVV1876" s="1740"/>
      <c r="KVW1876" s="1740"/>
      <c r="KVX1876" s="1740"/>
      <c r="KVY1876" s="1740"/>
      <c r="KVZ1876" s="1740"/>
      <c r="KWA1876" s="1740"/>
      <c r="KWB1876" s="1740"/>
      <c r="KWC1876" s="1740"/>
      <c r="KWD1876" s="1740"/>
      <c r="KWE1876" s="1740"/>
      <c r="KWF1876" s="1740"/>
      <c r="KWG1876" s="1740"/>
      <c r="KWH1876" s="1740"/>
      <c r="KWI1876" s="1740"/>
      <c r="KWJ1876" s="1740"/>
      <c r="KWK1876" s="1740"/>
      <c r="KWL1876" s="1740"/>
      <c r="KWM1876" s="1740"/>
      <c r="KWN1876" s="1740"/>
      <c r="KWO1876" s="1740"/>
      <c r="KWP1876" s="1740"/>
      <c r="KWQ1876" s="1740"/>
      <c r="KWR1876" s="1740"/>
      <c r="KWS1876" s="1740"/>
      <c r="KWT1876" s="1740"/>
      <c r="KWU1876" s="1740"/>
      <c r="KWV1876" s="1740"/>
      <c r="KWW1876" s="1740"/>
      <c r="KWX1876" s="1740"/>
      <c r="KWY1876" s="1740"/>
      <c r="KWZ1876" s="1740"/>
      <c r="KXA1876" s="1740"/>
      <c r="KXB1876" s="1740"/>
      <c r="KXC1876" s="1740"/>
      <c r="KXD1876" s="1740"/>
      <c r="KXE1876" s="1740"/>
      <c r="KXF1876" s="1740"/>
      <c r="KXG1876" s="1740"/>
      <c r="KXH1876" s="1740"/>
      <c r="KXI1876" s="1740"/>
      <c r="KXJ1876" s="1740"/>
      <c r="KXK1876" s="1740"/>
      <c r="KXL1876" s="1740"/>
      <c r="KXM1876" s="1740"/>
      <c r="KXN1876" s="1740"/>
      <c r="KXO1876" s="1740"/>
      <c r="KXP1876" s="1740"/>
      <c r="KXQ1876" s="1740"/>
      <c r="KXR1876" s="1740"/>
      <c r="KXS1876" s="1740"/>
      <c r="KXT1876" s="1740"/>
      <c r="KXU1876" s="1740"/>
      <c r="KXV1876" s="1740"/>
      <c r="KXW1876" s="1740"/>
      <c r="KXX1876" s="1740"/>
      <c r="KXY1876" s="1740"/>
      <c r="KXZ1876" s="1740"/>
      <c r="KYA1876" s="1740"/>
      <c r="KYB1876" s="1740"/>
      <c r="KYC1876" s="1740"/>
      <c r="KYD1876" s="1740"/>
      <c r="KYE1876" s="1740"/>
      <c r="KYF1876" s="1740"/>
      <c r="KYG1876" s="1740"/>
      <c r="KYH1876" s="1740"/>
      <c r="KYI1876" s="1740"/>
      <c r="KYJ1876" s="1740"/>
      <c r="KYK1876" s="1740"/>
      <c r="KYL1876" s="1740"/>
      <c r="KYM1876" s="1740"/>
      <c r="KYN1876" s="1740"/>
      <c r="KYO1876" s="1740"/>
      <c r="KYP1876" s="1740"/>
      <c r="KYQ1876" s="1740"/>
      <c r="KYR1876" s="1740"/>
      <c r="KYS1876" s="1740"/>
      <c r="KYT1876" s="1740"/>
      <c r="KYU1876" s="1740"/>
      <c r="KYV1876" s="1740"/>
      <c r="KYW1876" s="1740"/>
      <c r="KYX1876" s="1740"/>
      <c r="KYY1876" s="1740"/>
      <c r="KYZ1876" s="1740"/>
      <c r="KZA1876" s="1740"/>
      <c r="KZB1876" s="1740"/>
      <c r="KZC1876" s="1740"/>
      <c r="KZD1876" s="1740"/>
      <c r="KZE1876" s="1740"/>
      <c r="KZF1876" s="1740"/>
      <c r="KZG1876" s="1740"/>
      <c r="KZH1876" s="1740"/>
      <c r="KZI1876" s="1740"/>
      <c r="KZJ1876" s="1740"/>
      <c r="KZK1876" s="1740"/>
      <c r="KZL1876" s="1740"/>
      <c r="KZM1876" s="1740"/>
      <c r="KZN1876" s="1740"/>
      <c r="KZO1876" s="1740"/>
      <c r="KZP1876" s="1740"/>
      <c r="KZQ1876" s="1740"/>
      <c r="KZR1876" s="1740"/>
      <c r="KZS1876" s="1740"/>
      <c r="KZT1876" s="1740"/>
      <c r="KZU1876" s="1740"/>
      <c r="KZV1876" s="1740"/>
      <c r="KZW1876" s="1740"/>
      <c r="KZX1876" s="1740"/>
      <c r="KZY1876" s="1740"/>
      <c r="KZZ1876" s="1740"/>
      <c r="LAA1876" s="1740"/>
      <c r="LAB1876" s="1740"/>
      <c r="LAC1876" s="1740"/>
      <c r="LAD1876" s="1740"/>
      <c r="LAE1876" s="1740"/>
      <c r="LAF1876" s="1740"/>
      <c r="LAG1876" s="1740"/>
      <c r="LAH1876" s="1740"/>
      <c r="LAI1876" s="1740"/>
      <c r="LAJ1876" s="1740"/>
      <c r="LAK1876" s="1740"/>
      <c r="LAL1876" s="1740"/>
      <c r="LAM1876" s="1740"/>
      <c r="LAN1876" s="1740"/>
      <c r="LAO1876" s="1740"/>
      <c r="LAP1876" s="1740"/>
      <c r="LAQ1876" s="1740"/>
      <c r="LAR1876" s="1740"/>
      <c r="LAS1876" s="1740"/>
      <c r="LAT1876" s="1740"/>
      <c r="LAU1876" s="1740"/>
      <c r="LAV1876" s="1740"/>
      <c r="LAW1876" s="1740"/>
      <c r="LAX1876" s="1740"/>
      <c r="LAY1876" s="1740"/>
      <c r="LAZ1876" s="1740"/>
      <c r="LBA1876" s="1740"/>
      <c r="LBB1876" s="1740"/>
      <c r="LBC1876" s="1740"/>
      <c r="LBD1876" s="1740"/>
      <c r="LBE1876" s="1740"/>
      <c r="LBF1876" s="1740"/>
      <c r="LBG1876" s="1740"/>
      <c r="LBH1876" s="1740"/>
      <c r="LBI1876" s="1740"/>
      <c r="LBJ1876" s="1740"/>
      <c r="LBK1876" s="1740"/>
      <c r="LBL1876" s="1740"/>
      <c r="LBM1876" s="1740"/>
      <c r="LBN1876" s="1740"/>
      <c r="LBO1876" s="1740"/>
      <c r="LBP1876" s="1740"/>
      <c r="LBQ1876" s="1740"/>
      <c r="LBR1876" s="1740"/>
      <c r="LBS1876" s="1740"/>
      <c r="LBT1876" s="1740"/>
      <c r="LBU1876" s="1740"/>
      <c r="LBV1876" s="1740"/>
      <c r="LBW1876" s="1740"/>
      <c r="LBX1876" s="1740"/>
      <c r="LBY1876" s="1740"/>
      <c r="LBZ1876" s="1740"/>
      <c r="LCA1876" s="1740"/>
      <c r="LCB1876" s="1740"/>
      <c r="LCC1876" s="1740"/>
      <c r="LCD1876" s="1740"/>
      <c r="LCE1876" s="1740"/>
      <c r="LCF1876" s="1740"/>
      <c r="LCG1876" s="1740"/>
      <c r="LCH1876" s="1740"/>
      <c r="LCI1876" s="1740"/>
      <c r="LCJ1876" s="1740"/>
      <c r="LCK1876" s="1740"/>
      <c r="LCL1876" s="1740"/>
      <c r="LCM1876" s="1740"/>
      <c r="LCN1876" s="1740"/>
      <c r="LCO1876" s="1740"/>
      <c r="LCP1876" s="1740"/>
      <c r="LCQ1876" s="1740"/>
      <c r="LCR1876" s="1740"/>
      <c r="LCS1876" s="1740"/>
      <c r="LCT1876" s="1740"/>
      <c r="LCU1876" s="1740"/>
      <c r="LCV1876" s="1740"/>
      <c r="LCW1876" s="1740"/>
      <c r="LCX1876" s="1740"/>
      <c r="LCY1876" s="1740"/>
      <c r="LCZ1876" s="1740"/>
      <c r="LDA1876" s="1740"/>
      <c r="LDB1876" s="1740"/>
      <c r="LDC1876" s="1740"/>
      <c r="LDD1876" s="1740"/>
      <c r="LDE1876" s="1740"/>
      <c r="LDF1876" s="1740"/>
      <c r="LDG1876" s="1740"/>
      <c r="LDH1876" s="1740"/>
      <c r="LDI1876" s="1740"/>
      <c r="LDJ1876" s="1740"/>
      <c r="LDK1876" s="1740"/>
      <c r="LDL1876" s="1740"/>
      <c r="LDM1876" s="1740"/>
      <c r="LDN1876" s="1740"/>
      <c r="LDO1876" s="1740"/>
      <c r="LDP1876" s="1740"/>
      <c r="LDQ1876" s="1740"/>
      <c r="LDR1876" s="1740"/>
      <c r="LDS1876" s="1740"/>
      <c r="LDT1876" s="1740"/>
      <c r="LDU1876" s="1740"/>
      <c r="LDV1876" s="1740"/>
      <c r="LDW1876" s="1740"/>
      <c r="LDX1876" s="1740"/>
      <c r="LDY1876" s="1740"/>
      <c r="LDZ1876" s="1740"/>
      <c r="LEA1876" s="1740"/>
      <c r="LEB1876" s="1740"/>
      <c r="LEC1876" s="1740"/>
      <c r="LED1876" s="1740"/>
      <c r="LEE1876" s="1740"/>
      <c r="LEF1876" s="1740"/>
      <c r="LEG1876" s="1740"/>
      <c r="LEH1876" s="1740"/>
      <c r="LEI1876" s="1740"/>
      <c r="LEJ1876" s="1740"/>
      <c r="LEK1876" s="1740"/>
      <c r="LEL1876" s="1740"/>
      <c r="LEM1876" s="1740"/>
      <c r="LEN1876" s="1740"/>
      <c r="LEO1876" s="1740"/>
      <c r="LEP1876" s="1740"/>
      <c r="LEQ1876" s="1740"/>
      <c r="LER1876" s="1740"/>
      <c r="LES1876" s="1740"/>
      <c r="LET1876" s="1740"/>
      <c r="LEU1876" s="1740"/>
      <c r="LEV1876" s="1740"/>
      <c r="LEW1876" s="1740"/>
      <c r="LEX1876" s="1740"/>
      <c r="LEY1876" s="1740"/>
      <c r="LEZ1876" s="1740"/>
      <c r="LFA1876" s="1740"/>
      <c r="LFB1876" s="1740"/>
      <c r="LFC1876" s="1740"/>
      <c r="LFD1876" s="1740"/>
      <c r="LFE1876" s="1740"/>
      <c r="LFF1876" s="1740"/>
      <c r="LFG1876" s="1740"/>
      <c r="LFH1876" s="1740"/>
      <c r="LFI1876" s="1740"/>
      <c r="LFJ1876" s="1740"/>
      <c r="LFK1876" s="1740"/>
      <c r="LFL1876" s="1740"/>
      <c r="LFM1876" s="1740"/>
      <c r="LFN1876" s="1740"/>
      <c r="LFO1876" s="1740"/>
      <c r="LFP1876" s="1740"/>
      <c r="LFQ1876" s="1740"/>
      <c r="LFR1876" s="1740"/>
      <c r="LFS1876" s="1740"/>
      <c r="LFT1876" s="1740"/>
      <c r="LFU1876" s="1740"/>
      <c r="LFV1876" s="1740"/>
      <c r="LFW1876" s="1740"/>
      <c r="LFX1876" s="1740"/>
      <c r="LFY1876" s="1740"/>
      <c r="LFZ1876" s="1740"/>
      <c r="LGA1876" s="1740"/>
      <c r="LGB1876" s="1740"/>
      <c r="LGC1876" s="1740"/>
      <c r="LGD1876" s="1740"/>
      <c r="LGE1876" s="1740"/>
      <c r="LGF1876" s="1740"/>
      <c r="LGG1876" s="1740"/>
      <c r="LGH1876" s="1740"/>
      <c r="LGI1876" s="1740"/>
      <c r="LGJ1876" s="1740"/>
      <c r="LGK1876" s="1740"/>
      <c r="LGL1876" s="1740"/>
      <c r="LGM1876" s="1740"/>
      <c r="LGN1876" s="1740"/>
      <c r="LGO1876" s="1740"/>
      <c r="LGP1876" s="1740"/>
      <c r="LGQ1876" s="1740"/>
      <c r="LGR1876" s="1740"/>
      <c r="LGS1876" s="1740"/>
      <c r="LGT1876" s="1740"/>
      <c r="LGU1876" s="1740"/>
      <c r="LGV1876" s="1740"/>
      <c r="LGW1876" s="1740"/>
      <c r="LGX1876" s="1740"/>
      <c r="LGY1876" s="1740"/>
      <c r="LGZ1876" s="1740"/>
      <c r="LHA1876" s="1740"/>
      <c r="LHB1876" s="1740"/>
      <c r="LHC1876" s="1740"/>
      <c r="LHD1876" s="1740"/>
      <c r="LHE1876" s="1740"/>
      <c r="LHF1876" s="1740"/>
      <c r="LHG1876" s="1740"/>
      <c r="LHH1876" s="1740"/>
      <c r="LHI1876" s="1740"/>
      <c r="LHJ1876" s="1740"/>
      <c r="LHK1876" s="1740"/>
      <c r="LHL1876" s="1740"/>
      <c r="LHM1876" s="1740"/>
      <c r="LHN1876" s="1740"/>
      <c r="LHO1876" s="1740"/>
      <c r="LHP1876" s="1740"/>
      <c r="LHQ1876" s="1740"/>
      <c r="LHR1876" s="1740"/>
      <c r="LHS1876" s="1740"/>
      <c r="LHT1876" s="1740"/>
      <c r="LHU1876" s="1740"/>
      <c r="LHV1876" s="1740"/>
      <c r="LHW1876" s="1740"/>
      <c r="LHX1876" s="1740"/>
      <c r="LHY1876" s="1740"/>
      <c r="LHZ1876" s="1740"/>
      <c r="LIA1876" s="1740"/>
      <c r="LIB1876" s="1740"/>
      <c r="LIC1876" s="1740"/>
      <c r="LID1876" s="1740"/>
      <c r="LIE1876" s="1740"/>
      <c r="LIF1876" s="1740"/>
      <c r="LIG1876" s="1740"/>
      <c r="LIH1876" s="1740"/>
      <c r="LII1876" s="1740"/>
      <c r="LIJ1876" s="1740"/>
      <c r="LIK1876" s="1740"/>
      <c r="LIL1876" s="1740"/>
      <c r="LIM1876" s="1740"/>
      <c r="LIN1876" s="1740"/>
      <c r="LIO1876" s="1740"/>
      <c r="LIP1876" s="1740"/>
      <c r="LIQ1876" s="1740"/>
      <c r="LIR1876" s="1740"/>
      <c r="LIS1876" s="1740"/>
      <c r="LIT1876" s="1740"/>
      <c r="LIU1876" s="1740"/>
      <c r="LIV1876" s="1740"/>
      <c r="LIW1876" s="1740"/>
      <c r="LIX1876" s="1740"/>
      <c r="LIY1876" s="1740"/>
      <c r="LIZ1876" s="1740"/>
      <c r="LJA1876" s="1740"/>
      <c r="LJB1876" s="1740"/>
      <c r="LJC1876" s="1740"/>
      <c r="LJD1876" s="1740"/>
      <c r="LJE1876" s="1740"/>
      <c r="LJF1876" s="1740"/>
      <c r="LJG1876" s="1740"/>
      <c r="LJH1876" s="1740"/>
      <c r="LJI1876" s="1740"/>
      <c r="LJJ1876" s="1740"/>
      <c r="LJK1876" s="1740"/>
      <c r="LJL1876" s="1740"/>
      <c r="LJM1876" s="1740"/>
      <c r="LJN1876" s="1740"/>
      <c r="LJO1876" s="1740"/>
      <c r="LJP1876" s="1740"/>
      <c r="LJQ1876" s="1740"/>
      <c r="LJR1876" s="1740"/>
      <c r="LJS1876" s="1740"/>
      <c r="LJT1876" s="1740"/>
      <c r="LJU1876" s="1740"/>
      <c r="LJV1876" s="1740"/>
      <c r="LJW1876" s="1740"/>
      <c r="LJX1876" s="1740"/>
      <c r="LJY1876" s="1740"/>
      <c r="LJZ1876" s="1740"/>
      <c r="LKA1876" s="1740"/>
      <c r="LKB1876" s="1740"/>
      <c r="LKC1876" s="1740"/>
      <c r="LKD1876" s="1740"/>
      <c r="LKE1876" s="1740"/>
      <c r="LKF1876" s="1740"/>
      <c r="LKG1876" s="1740"/>
      <c r="LKH1876" s="1740"/>
      <c r="LKI1876" s="1740"/>
      <c r="LKJ1876" s="1740"/>
      <c r="LKK1876" s="1740"/>
      <c r="LKL1876" s="1740"/>
      <c r="LKM1876" s="1740"/>
      <c r="LKN1876" s="1740"/>
      <c r="LKO1876" s="1740"/>
      <c r="LKP1876" s="1740"/>
      <c r="LKQ1876" s="1740"/>
      <c r="LKR1876" s="1740"/>
      <c r="LKS1876" s="1740"/>
      <c r="LKT1876" s="1740"/>
      <c r="LKU1876" s="1740"/>
      <c r="LKV1876" s="1740"/>
      <c r="LKW1876" s="1740"/>
      <c r="LKX1876" s="1740"/>
      <c r="LKY1876" s="1740"/>
      <c r="LKZ1876" s="1740"/>
      <c r="LLA1876" s="1740"/>
      <c r="LLB1876" s="1740"/>
      <c r="LLC1876" s="1740"/>
      <c r="LLD1876" s="1740"/>
      <c r="LLE1876" s="1740"/>
      <c r="LLF1876" s="1740"/>
      <c r="LLG1876" s="1740"/>
      <c r="LLH1876" s="1740"/>
      <c r="LLI1876" s="1740"/>
      <c r="LLJ1876" s="1740"/>
      <c r="LLK1876" s="1740"/>
      <c r="LLL1876" s="1740"/>
      <c r="LLM1876" s="1740"/>
      <c r="LLN1876" s="1740"/>
      <c r="LLO1876" s="1740"/>
      <c r="LLP1876" s="1740"/>
      <c r="LLQ1876" s="1740"/>
      <c r="LLR1876" s="1740"/>
      <c r="LLS1876" s="1740"/>
      <c r="LLT1876" s="1740"/>
      <c r="LLU1876" s="1740"/>
      <c r="LLV1876" s="1740"/>
      <c r="LLW1876" s="1740"/>
      <c r="LLX1876" s="1740"/>
      <c r="LLY1876" s="1740"/>
      <c r="LLZ1876" s="1740"/>
      <c r="LMA1876" s="1740"/>
      <c r="LMB1876" s="1740"/>
      <c r="LMC1876" s="1740"/>
      <c r="LMD1876" s="1740"/>
      <c r="LME1876" s="1740"/>
      <c r="LMF1876" s="1740"/>
      <c r="LMG1876" s="1740"/>
      <c r="LMH1876" s="1740"/>
      <c r="LMI1876" s="1740"/>
      <c r="LMJ1876" s="1740"/>
      <c r="LMK1876" s="1740"/>
      <c r="LML1876" s="1740"/>
      <c r="LMM1876" s="1740"/>
      <c r="LMN1876" s="1740"/>
      <c r="LMO1876" s="1740"/>
      <c r="LMP1876" s="1740"/>
      <c r="LMQ1876" s="1740"/>
      <c r="LMR1876" s="1740"/>
      <c r="LMS1876" s="1740"/>
      <c r="LMT1876" s="1740"/>
      <c r="LMU1876" s="1740"/>
      <c r="LMV1876" s="1740"/>
      <c r="LMW1876" s="1740"/>
      <c r="LMX1876" s="1740"/>
      <c r="LMY1876" s="1740"/>
      <c r="LMZ1876" s="1740"/>
      <c r="LNA1876" s="1740"/>
      <c r="LNB1876" s="1740"/>
      <c r="LNC1876" s="1740"/>
      <c r="LND1876" s="1740"/>
      <c r="LNE1876" s="1740"/>
      <c r="LNF1876" s="1740"/>
      <c r="LNG1876" s="1740"/>
      <c r="LNH1876" s="1740"/>
      <c r="LNI1876" s="1740"/>
      <c r="LNJ1876" s="1740"/>
      <c r="LNK1876" s="1740"/>
      <c r="LNL1876" s="1740"/>
      <c r="LNM1876" s="1740"/>
      <c r="LNN1876" s="1740"/>
      <c r="LNO1876" s="1740"/>
      <c r="LNP1876" s="1740"/>
      <c r="LNQ1876" s="1740"/>
      <c r="LNR1876" s="1740"/>
      <c r="LNS1876" s="1740"/>
      <c r="LNT1876" s="1740"/>
      <c r="LNU1876" s="1740"/>
      <c r="LNV1876" s="1740"/>
      <c r="LNW1876" s="1740"/>
      <c r="LNX1876" s="1740"/>
      <c r="LNY1876" s="1740"/>
      <c r="LNZ1876" s="1740"/>
      <c r="LOA1876" s="1740"/>
      <c r="LOB1876" s="1740"/>
      <c r="LOC1876" s="1740"/>
      <c r="LOD1876" s="1740"/>
      <c r="LOE1876" s="1740"/>
      <c r="LOF1876" s="1740"/>
      <c r="LOG1876" s="1740"/>
      <c r="LOH1876" s="1740"/>
      <c r="LOI1876" s="1740"/>
      <c r="LOJ1876" s="1740"/>
      <c r="LOK1876" s="1740"/>
      <c r="LOL1876" s="1740"/>
      <c r="LOM1876" s="1740"/>
      <c r="LON1876" s="1740"/>
      <c r="LOO1876" s="1740"/>
      <c r="LOP1876" s="1740"/>
      <c r="LOQ1876" s="1740"/>
      <c r="LOR1876" s="1740"/>
      <c r="LOS1876" s="1740"/>
      <c r="LOT1876" s="1740"/>
      <c r="LOU1876" s="1740"/>
      <c r="LOV1876" s="1740"/>
      <c r="LOW1876" s="1740"/>
      <c r="LOX1876" s="1740"/>
      <c r="LOY1876" s="1740"/>
      <c r="LOZ1876" s="1740"/>
      <c r="LPA1876" s="1740"/>
      <c r="LPB1876" s="1740"/>
      <c r="LPC1876" s="1740"/>
      <c r="LPD1876" s="1740"/>
      <c r="LPE1876" s="1740"/>
      <c r="LPF1876" s="1740"/>
      <c r="LPG1876" s="1740"/>
      <c r="LPH1876" s="1740"/>
      <c r="LPI1876" s="1740"/>
      <c r="LPJ1876" s="1740"/>
      <c r="LPK1876" s="1740"/>
      <c r="LPL1876" s="1740"/>
      <c r="LPM1876" s="1740"/>
      <c r="LPN1876" s="1740"/>
      <c r="LPO1876" s="1740"/>
      <c r="LPP1876" s="1740"/>
      <c r="LPQ1876" s="1740"/>
      <c r="LPR1876" s="1740"/>
      <c r="LPS1876" s="1740"/>
      <c r="LPT1876" s="1740"/>
      <c r="LPU1876" s="1740"/>
      <c r="LPV1876" s="1740"/>
      <c r="LPW1876" s="1740"/>
      <c r="LPX1876" s="1740"/>
      <c r="LPY1876" s="1740"/>
      <c r="LPZ1876" s="1740"/>
      <c r="LQA1876" s="1740"/>
      <c r="LQB1876" s="1740"/>
      <c r="LQC1876" s="1740"/>
      <c r="LQD1876" s="1740"/>
      <c r="LQE1876" s="1740"/>
      <c r="LQF1876" s="1740"/>
      <c r="LQG1876" s="1740"/>
      <c r="LQH1876" s="1740"/>
      <c r="LQI1876" s="1740"/>
      <c r="LQJ1876" s="1740"/>
      <c r="LQK1876" s="1740"/>
      <c r="LQL1876" s="1740"/>
      <c r="LQM1876" s="1740"/>
      <c r="LQN1876" s="1740"/>
      <c r="LQO1876" s="1740"/>
      <c r="LQP1876" s="1740"/>
      <c r="LQQ1876" s="1740"/>
      <c r="LQR1876" s="1740"/>
      <c r="LQS1876" s="1740"/>
      <c r="LQT1876" s="1740"/>
      <c r="LQU1876" s="1740"/>
      <c r="LQV1876" s="1740"/>
      <c r="LQW1876" s="1740"/>
      <c r="LQX1876" s="1740"/>
      <c r="LQY1876" s="1740"/>
      <c r="LQZ1876" s="1740"/>
      <c r="LRA1876" s="1740"/>
      <c r="LRB1876" s="1740"/>
      <c r="LRC1876" s="1740"/>
      <c r="LRD1876" s="1740"/>
      <c r="LRE1876" s="1740"/>
      <c r="LRF1876" s="1740"/>
      <c r="LRG1876" s="1740"/>
      <c r="LRH1876" s="1740"/>
      <c r="LRI1876" s="1740"/>
      <c r="LRJ1876" s="1740"/>
      <c r="LRK1876" s="1740"/>
      <c r="LRL1876" s="1740"/>
      <c r="LRM1876" s="1740"/>
      <c r="LRN1876" s="1740"/>
      <c r="LRO1876" s="1740"/>
      <c r="LRP1876" s="1740"/>
      <c r="LRQ1876" s="1740"/>
      <c r="LRR1876" s="1740"/>
      <c r="LRS1876" s="1740"/>
      <c r="LRT1876" s="1740"/>
      <c r="LRU1876" s="1740"/>
      <c r="LRV1876" s="1740"/>
      <c r="LRW1876" s="1740"/>
      <c r="LRX1876" s="1740"/>
      <c r="LRY1876" s="1740"/>
      <c r="LRZ1876" s="1740"/>
      <c r="LSA1876" s="1740"/>
      <c r="LSB1876" s="1740"/>
      <c r="LSC1876" s="1740"/>
      <c r="LSD1876" s="1740"/>
      <c r="LSE1876" s="1740"/>
      <c r="LSF1876" s="1740"/>
      <c r="LSG1876" s="1740"/>
      <c r="LSH1876" s="1740"/>
      <c r="LSI1876" s="1740"/>
      <c r="LSJ1876" s="1740"/>
      <c r="LSK1876" s="1740"/>
      <c r="LSL1876" s="1740"/>
      <c r="LSM1876" s="1740"/>
      <c r="LSN1876" s="1740"/>
      <c r="LSO1876" s="1740"/>
      <c r="LSP1876" s="1740"/>
      <c r="LSQ1876" s="1740"/>
      <c r="LSR1876" s="1740"/>
      <c r="LSS1876" s="1740"/>
      <c r="LST1876" s="1740"/>
      <c r="LSU1876" s="1740"/>
      <c r="LSV1876" s="1740"/>
      <c r="LSW1876" s="1740"/>
      <c r="LSX1876" s="1740"/>
      <c r="LSY1876" s="1740"/>
      <c r="LSZ1876" s="1740"/>
      <c r="LTA1876" s="1740"/>
      <c r="LTB1876" s="1740"/>
      <c r="LTC1876" s="1740"/>
      <c r="LTD1876" s="1740"/>
      <c r="LTE1876" s="1740"/>
      <c r="LTF1876" s="1740"/>
      <c r="LTG1876" s="1740"/>
      <c r="LTH1876" s="1740"/>
      <c r="LTI1876" s="1740"/>
      <c r="LTJ1876" s="1740"/>
      <c r="LTK1876" s="1740"/>
      <c r="LTL1876" s="1740"/>
      <c r="LTM1876" s="1740"/>
      <c r="LTN1876" s="1740"/>
      <c r="LTO1876" s="1740"/>
      <c r="LTP1876" s="1740"/>
      <c r="LTQ1876" s="1740"/>
      <c r="LTR1876" s="1740"/>
      <c r="LTS1876" s="1740"/>
      <c r="LTT1876" s="1740"/>
      <c r="LTU1876" s="1740"/>
      <c r="LTV1876" s="1740"/>
      <c r="LTW1876" s="1740"/>
      <c r="LTX1876" s="1740"/>
      <c r="LTY1876" s="1740"/>
      <c r="LTZ1876" s="1740"/>
      <c r="LUA1876" s="1740"/>
      <c r="LUB1876" s="1740"/>
      <c r="LUC1876" s="1740"/>
      <c r="LUD1876" s="1740"/>
      <c r="LUE1876" s="1740"/>
      <c r="LUF1876" s="1740"/>
      <c r="LUG1876" s="1740"/>
      <c r="LUH1876" s="1740"/>
      <c r="LUI1876" s="1740"/>
      <c r="LUJ1876" s="1740"/>
      <c r="LUK1876" s="1740"/>
      <c r="LUL1876" s="1740"/>
      <c r="LUM1876" s="1740"/>
      <c r="LUN1876" s="1740"/>
      <c r="LUO1876" s="1740"/>
      <c r="LUP1876" s="1740"/>
      <c r="LUQ1876" s="1740"/>
      <c r="LUR1876" s="1740"/>
      <c r="LUS1876" s="1740"/>
      <c r="LUT1876" s="1740"/>
      <c r="LUU1876" s="1740"/>
      <c r="LUV1876" s="1740"/>
      <c r="LUW1876" s="1740"/>
      <c r="LUX1876" s="1740"/>
      <c r="LUY1876" s="1740"/>
      <c r="LUZ1876" s="1740"/>
      <c r="LVA1876" s="1740"/>
      <c r="LVB1876" s="1740"/>
      <c r="LVC1876" s="1740"/>
      <c r="LVD1876" s="1740"/>
      <c r="LVE1876" s="1740"/>
      <c r="LVF1876" s="1740"/>
      <c r="LVG1876" s="1740"/>
      <c r="LVH1876" s="1740"/>
      <c r="LVI1876" s="1740"/>
      <c r="LVJ1876" s="1740"/>
      <c r="LVK1876" s="1740"/>
      <c r="LVL1876" s="1740"/>
      <c r="LVM1876" s="1740"/>
      <c r="LVN1876" s="1740"/>
      <c r="LVO1876" s="1740"/>
      <c r="LVP1876" s="1740"/>
      <c r="LVQ1876" s="1740"/>
      <c r="LVR1876" s="1740"/>
      <c r="LVS1876" s="1740"/>
      <c r="LVT1876" s="1740"/>
      <c r="LVU1876" s="1740"/>
      <c r="LVV1876" s="1740"/>
      <c r="LVW1876" s="1740"/>
      <c r="LVX1876" s="1740"/>
      <c r="LVY1876" s="1740"/>
      <c r="LVZ1876" s="1740"/>
      <c r="LWA1876" s="1740"/>
      <c r="LWB1876" s="1740"/>
      <c r="LWC1876" s="1740"/>
      <c r="LWD1876" s="1740"/>
      <c r="LWE1876" s="1740"/>
      <c r="LWF1876" s="1740"/>
      <c r="LWG1876" s="1740"/>
      <c r="LWH1876" s="1740"/>
      <c r="LWI1876" s="1740"/>
      <c r="LWJ1876" s="1740"/>
      <c r="LWK1876" s="1740"/>
      <c r="LWL1876" s="1740"/>
      <c r="LWM1876" s="1740"/>
      <c r="LWN1876" s="1740"/>
      <c r="LWO1876" s="1740"/>
      <c r="LWP1876" s="1740"/>
      <c r="LWQ1876" s="1740"/>
      <c r="LWR1876" s="1740"/>
      <c r="LWS1876" s="1740"/>
      <c r="LWT1876" s="1740"/>
      <c r="LWU1876" s="1740"/>
      <c r="LWV1876" s="1740"/>
      <c r="LWW1876" s="1740"/>
      <c r="LWX1876" s="1740"/>
      <c r="LWY1876" s="1740"/>
      <c r="LWZ1876" s="1740"/>
      <c r="LXA1876" s="1740"/>
      <c r="LXB1876" s="1740"/>
      <c r="LXC1876" s="1740"/>
      <c r="LXD1876" s="1740"/>
      <c r="LXE1876" s="1740"/>
      <c r="LXF1876" s="1740"/>
      <c r="LXG1876" s="1740"/>
      <c r="LXH1876" s="1740"/>
      <c r="LXI1876" s="1740"/>
      <c r="LXJ1876" s="1740"/>
      <c r="LXK1876" s="1740"/>
      <c r="LXL1876" s="1740"/>
      <c r="LXM1876" s="1740"/>
      <c r="LXN1876" s="1740"/>
      <c r="LXO1876" s="1740"/>
      <c r="LXP1876" s="1740"/>
      <c r="LXQ1876" s="1740"/>
      <c r="LXR1876" s="1740"/>
      <c r="LXS1876" s="1740"/>
      <c r="LXT1876" s="1740"/>
      <c r="LXU1876" s="1740"/>
      <c r="LXV1876" s="1740"/>
      <c r="LXW1876" s="1740"/>
      <c r="LXX1876" s="1740"/>
      <c r="LXY1876" s="1740"/>
      <c r="LXZ1876" s="1740"/>
      <c r="LYA1876" s="1740"/>
      <c r="LYB1876" s="1740"/>
      <c r="LYC1876" s="1740"/>
      <c r="LYD1876" s="1740"/>
      <c r="LYE1876" s="1740"/>
      <c r="LYF1876" s="1740"/>
      <c r="LYG1876" s="1740"/>
      <c r="LYH1876" s="1740"/>
      <c r="LYI1876" s="1740"/>
      <c r="LYJ1876" s="1740"/>
      <c r="LYK1876" s="1740"/>
      <c r="LYL1876" s="1740"/>
      <c r="LYM1876" s="1740"/>
      <c r="LYN1876" s="1740"/>
      <c r="LYO1876" s="1740"/>
      <c r="LYP1876" s="1740"/>
      <c r="LYQ1876" s="1740"/>
      <c r="LYR1876" s="1740"/>
      <c r="LYS1876" s="1740"/>
      <c r="LYT1876" s="1740"/>
      <c r="LYU1876" s="1740"/>
      <c r="LYV1876" s="1740"/>
      <c r="LYW1876" s="1740"/>
      <c r="LYX1876" s="1740"/>
      <c r="LYY1876" s="1740"/>
      <c r="LYZ1876" s="1740"/>
      <c r="LZA1876" s="1740"/>
      <c r="LZB1876" s="1740"/>
      <c r="LZC1876" s="1740"/>
      <c r="LZD1876" s="1740"/>
      <c r="LZE1876" s="1740"/>
      <c r="LZF1876" s="1740"/>
      <c r="LZG1876" s="1740"/>
      <c r="LZH1876" s="1740"/>
      <c r="LZI1876" s="1740"/>
      <c r="LZJ1876" s="1740"/>
      <c r="LZK1876" s="1740"/>
      <c r="LZL1876" s="1740"/>
      <c r="LZM1876" s="1740"/>
      <c r="LZN1876" s="1740"/>
      <c r="LZO1876" s="1740"/>
      <c r="LZP1876" s="1740"/>
      <c r="LZQ1876" s="1740"/>
      <c r="LZR1876" s="1740"/>
      <c r="LZS1876" s="1740"/>
      <c r="LZT1876" s="1740"/>
      <c r="LZU1876" s="1740"/>
      <c r="LZV1876" s="1740"/>
      <c r="LZW1876" s="1740"/>
      <c r="LZX1876" s="1740"/>
      <c r="LZY1876" s="1740"/>
      <c r="LZZ1876" s="1740"/>
      <c r="MAA1876" s="1740"/>
      <c r="MAB1876" s="1740"/>
      <c r="MAC1876" s="1740"/>
      <c r="MAD1876" s="1740"/>
      <c r="MAE1876" s="1740"/>
      <c r="MAF1876" s="1740"/>
      <c r="MAG1876" s="1740"/>
      <c r="MAH1876" s="1740"/>
      <c r="MAI1876" s="1740"/>
      <c r="MAJ1876" s="1740"/>
      <c r="MAK1876" s="1740"/>
      <c r="MAL1876" s="1740"/>
      <c r="MAM1876" s="1740"/>
      <c r="MAN1876" s="1740"/>
      <c r="MAO1876" s="1740"/>
      <c r="MAP1876" s="1740"/>
      <c r="MAQ1876" s="1740"/>
      <c r="MAR1876" s="1740"/>
      <c r="MAS1876" s="1740"/>
      <c r="MAT1876" s="1740"/>
      <c r="MAU1876" s="1740"/>
      <c r="MAV1876" s="1740"/>
      <c r="MAW1876" s="1740"/>
      <c r="MAX1876" s="1740"/>
      <c r="MAY1876" s="1740"/>
      <c r="MAZ1876" s="1740"/>
      <c r="MBA1876" s="1740"/>
      <c r="MBB1876" s="1740"/>
      <c r="MBC1876" s="1740"/>
      <c r="MBD1876" s="1740"/>
      <c r="MBE1876" s="1740"/>
      <c r="MBF1876" s="1740"/>
      <c r="MBG1876" s="1740"/>
      <c r="MBH1876" s="1740"/>
      <c r="MBI1876" s="1740"/>
      <c r="MBJ1876" s="1740"/>
      <c r="MBK1876" s="1740"/>
      <c r="MBL1876" s="1740"/>
      <c r="MBM1876" s="1740"/>
      <c r="MBN1876" s="1740"/>
      <c r="MBO1876" s="1740"/>
      <c r="MBP1876" s="1740"/>
      <c r="MBQ1876" s="1740"/>
      <c r="MBR1876" s="1740"/>
      <c r="MBS1876" s="1740"/>
      <c r="MBT1876" s="1740"/>
      <c r="MBU1876" s="1740"/>
      <c r="MBV1876" s="1740"/>
      <c r="MBW1876" s="1740"/>
      <c r="MBX1876" s="1740"/>
      <c r="MBY1876" s="1740"/>
      <c r="MBZ1876" s="1740"/>
      <c r="MCA1876" s="1740"/>
      <c r="MCB1876" s="1740"/>
      <c r="MCC1876" s="1740"/>
      <c r="MCD1876" s="1740"/>
      <c r="MCE1876" s="1740"/>
      <c r="MCF1876" s="1740"/>
      <c r="MCG1876" s="1740"/>
      <c r="MCH1876" s="1740"/>
      <c r="MCI1876" s="1740"/>
      <c r="MCJ1876" s="1740"/>
      <c r="MCK1876" s="1740"/>
      <c r="MCL1876" s="1740"/>
      <c r="MCM1876" s="1740"/>
      <c r="MCN1876" s="1740"/>
      <c r="MCO1876" s="1740"/>
      <c r="MCP1876" s="1740"/>
      <c r="MCQ1876" s="1740"/>
      <c r="MCR1876" s="1740"/>
      <c r="MCS1876" s="1740"/>
      <c r="MCT1876" s="1740"/>
      <c r="MCU1876" s="1740"/>
      <c r="MCV1876" s="1740"/>
      <c r="MCW1876" s="1740"/>
      <c r="MCX1876" s="1740"/>
      <c r="MCY1876" s="1740"/>
      <c r="MCZ1876" s="1740"/>
      <c r="MDA1876" s="1740"/>
      <c r="MDB1876" s="1740"/>
      <c r="MDC1876" s="1740"/>
      <c r="MDD1876" s="1740"/>
      <c r="MDE1876" s="1740"/>
      <c r="MDF1876" s="1740"/>
      <c r="MDG1876" s="1740"/>
      <c r="MDH1876" s="1740"/>
      <c r="MDI1876" s="1740"/>
      <c r="MDJ1876" s="1740"/>
      <c r="MDK1876" s="1740"/>
      <c r="MDL1876" s="1740"/>
      <c r="MDM1876" s="1740"/>
      <c r="MDN1876" s="1740"/>
      <c r="MDO1876" s="1740"/>
      <c r="MDP1876" s="1740"/>
      <c r="MDQ1876" s="1740"/>
      <c r="MDR1876" s="1740"/>
      <c r="MDS1876" s="1740"/>
      <c r="MDT1876" s="1740"/>
      <c r="MDU1876" s="1740"/>
      <c r="MDV1876" s="1740"/>
      <c r="MDW1876" s="1740"/>
      <c r="MDX1876" s="1740"/>
      <c r="MDY1876" s="1740"/>
      <c r="MDZ1876" s="1740"/>
      <c r="MEA1876" s="1740"/>
      <c r="MEB1876" s="1740"/>
      <c r="MEC1876" s="1740"/>
      <c r="MED1876" s="1740"/>
      <c r="MEE1876" s="1740"/>
      <c r="MEF1876" s="1740"/>
      <c r="MEG1876" s="1740"/>
      <c r="MEH1876" s="1740"/>
      <c r="MEI1876" s="1740"/>
      <c r="MEJ1876" s="1740"/>
      <c r="MEK1876" s="1740"/>
      <c r="MEL1876" s="1740"/>
      <c r="MEM1876" s="1740"/>
      <c r="MEN1876" s="1740"/>
      <c r="MEO1876" s="1740"/>
      <c r="MEP1876" s="1740"/>
      <c r="MEQ1876" s="1740"/>
      <c r="MER1876" s="1740"/>
      <c r="MES1876" s="1740"/>
      <c r="MET1876" s="1740"/>
      <c r="MEU1876" s="1740"/>
      <c r="MEV1876" s="1740"/>
      <c r="MEW1876" s="1740"/>
      <c r="MEX1876" s="1740"/>
      <c r="MEY1876" s="1740"/>
      <c r="MEZ1876" s="1740"/>
      <c r="MFA1876" s="1740"/>
      <c r="MFB1876" s="1740"/>
      <c r="MFC1876" s="1740"/>
      <c r="MFD1876" s="1740"/>
      <c r="MFE1876" s="1740"/>
      <c r="MFF1876" s="1740"/>
      <c r="MFG1876" s="1740"/>
      <c r="MFH1876" s="1740"/>
      <c r="MFI1876" s="1740"/>
      <c r="MFJ1876" s="1740"/>
      <c r="MFK1876" s="1740"/>
      <c r="MFL1876" s="1740"/>
      <c r="MFM1876" s="1740"/>
      <c r="MFN1876" s="1740"/>
      <c r="MFO1876" s="1740"/>
      <c r="MFP1876" s="1740"/>
      <c r="MFQ1876" s="1740"/>
      <c r="MFR1876" s="1740"/>
      <c r="MFS1876" s="1740"/>
      <c r="MFT1876" s="1740"/>
      <c r="MFU1876" s="1740"/>
      <c r="MFV1876" s="1740"/>
      <c r="MFW1876" s="1740"/>
      <c r="MFX1876" s="1740"/>
      <c r="MFY1876" s="1740"/>
      <c r="MFZ1876" s="1740"/>
      <c r="MGA1876" s="1740"/>
      <c r="MGB1876" s="1740"/>
      <c r="MGC1876" s="1740"/>
      <c r="MGD1876" s="1740"/>
      <c r="MGE1876" s="1740"/>
      <c r="MGF1876" s="1740"/>
      <c r="MGG1876" s="1740"/>
      <c r="MGH1876" s="1740"/>
      <c r="MGI1876" s="1740"/>
      <c r="MGJ1876" s="1740"/>
      <c r="MGK1876" s="1740"/>
      <c r="MGL1876" s="1740"/>
      <c r="MGM1876" s="1740"/>
      <c r="MGN1876" s="1740"/>
      <c r="MGO1876" s="1740"/>
      <c r="MGP1876" s="1740"/>
      <c r="MGQ1876" s="1740"/>
      <c r="MGR1876" s="1740"/>
      <c r="MGS1876" s="1740"/>
      <c r="MGT1876" s="1740"/>
      <c r="MGU1876" s="1740"/>
      <c r="MGV1876" s="1740"/>
      <c r="MGW1876" s="1740"/>
      <c r="MGX1876" s="1740"/>
      <c r="MGY1876" s="1740"/>
      <c r="MGZ1876" s="1740"/>
      <c r="MHA1876" s="1740"/>
      <c r="MHB1876" s="1740"/>
      <c r="MHC1876" s="1740"/>
      <c r="MHD1876" s="1740"/>
      <c r="MHE1876" s="1740"/>
      <c r="MHF1876" s="1740"/>
      <c r="MHG1876" s="1740"/>
      <c r="MHH1876" s="1740"/>
      <c r="MHI1876" s="1740"/>
      <c r="MHJ1876" s="1740"/>
      <c r="MHK1876" s="1740"/>
      <c r="MHL1876" s="1740"/>
      <c r="MHM1876" s="1740"/>
      <c r="MHN1876" s="1740"/>
      <c r="MHO1876" s="1740"/>
      <c r="MHP1876" s="1740"/>
      <c r="MHQ1876" s="1740"/>
      <c r="MHR1876" s="1740"/>
      <c r="MHS1876" s="1740"/>
      <c r="MHT1876" s="1740"/>
      <c r="MHU1876" s="1740"/>
      <c r="MHV1876" s="1740"/>
      <c r="MHW1876" s="1740"/>
      <c r="MHX1876" s="1740"/>
      <c r="MHY1876" s="1740"/>
      <c r="MHZ1876" s="1740"/>
      <c r="MIA1876" s="1740"/>
      <c r="MIB1876" s="1740"/>
      <c r="MIC1876" s="1740"/>
      <c r="MID1876" s="1740"/>
      <c r="MIE1876" s="1740"/>
      <c r="MIF1876" s="1740"/>
      <c r="MIG1876" s="1740"/>
      <c r="MIH1876" s="1740"/>
      <c r="MII1876" s="1740"/>
      <c r="MIJ1876" s="1740"/>
      <c r="MIK1876" s="1740"/>
      <c r="MIL1876" s="1740"/>
      <c r="MIM1876" s="1740"/>
      <c r="MIN1876" s="1740"/>
      <c r="MIO1876" s="1740"/>
      <c r="MIP1876" s="1740"/>
      <c r="MIQ1876" s="1740"/>
      <c r="MIR1876" s="1740"/>
      <c r="MIS1876" s="1740"/>
      <c r="MIT1876" s="1740"/>
      <c r="MIU1876" s="1740"/>
      <c r="MIV1876" s="1740"/>
      <c r="MIW1876" s="1740"/>
      <c r="MIX1876" s="1740"/>
      <c r="MIY1876" s="1740"/>
      <c r="MIZ1876" s="1740"/>
      <c r="MJA1876" s="1740"/>
      <c r="MJB1876" s="1740"/>
      <c r="MJC1876" s="1740"/>
      <c r="MJD1876" s="1740"/>
      <c r="MJE1876" s="1740"/>
      <c r="MJF1876" s="1740"/>
      <c r="MJG1876" s="1740"/>
      <c r="MJH1876" s="1740"/>
      <c r="MJI1876" s="1740"/>
      <c r="MJJ1876" s="1740"/>
      <c r="MJK1876" s="1740"/>
      <c r="MJL1876" s="1740"/>
      <c r="MJM1876" s="1740"/>
      <c r="MJN1876" s="1740"/>
      <c r="MJO1876" s="1740"/>
      <c r="MJP1876" s="1740"/>
      <c r="MJQ1876" s="1740"/>
      <c r="MJR1876" s="1740"/>
      <c r="MJS1876" s="1740"/>
      <c r="MJT1876" s="1740"/>
      <c r="MJU1876" s="1740"/>
      <c r="MJV1876" s="1740"/>
      <c r="MJW1876" s="1740"/>
      <c r="MJX1876" s="1740"/>
      <c r="MJY1876" s="1740"/>
      <c r="MJZ1876" s="1740"/>
      <c r="MKA1876" s="1740"/>
      <c r="MKB1876" s="1740"/>
      <c r="MKC1876" s="1740"/>
      <c r="MKD1876" s="1740"/>
      <c r="MKE1876" s="1740"/>
      <c r="MKF1876" s="1740"/>
      <c r="MKG1876" s="1740"/>
      <c r="MKH1876" s="1740"/>
      <c r="MKI1876" s="1740"/>
      <c r="MKJ1876" s="1740"/>
      <c r="MKK1876" s="1740"/>
      <c r="MKL1876" s="1740"/>
      <c r="MKM1876" s="1740"/>
      <c r="MKN1876" s="1740"/>
      <c r="MKO1876" s="1740"/>
      <c r="MKP1876" s="1740"/>
      <c r="MKQ1876" s="1740"/>
      <c r="MKR1876" s="1740"/>
      <c r="MKS1876" s="1740"/>
      <c r="MKT1876" s="1740"/>
      <c r="MKU1876" s="1740"/>
      <c r="MKV1876" s="1740"/>
      <c r="MKW1876" s="1740"/>
      <c r="MKX1876" s="1740"/>
      <c r="MKY1876" s="1740"/>
      <c r="MKZ1876" s="1740"/>
      <c r="MLA1876" s="1740"/>
      <c r="MLB1876" s="1740"/>
      <c r="MLC1876" s="1740"/>
      <c r="MLD1876" s="1740"/>
      <c r="MLE1876" s="1740"/>
      <c r="MLF1876" s="1740"/>
      <c r="MLG1876" s="1740"/>
      <c r="MLH1876" s="1740"/>
      <c r="MLI1876" s="1740"/>
      <c r="MLJ1876" s="1740"/>
      <c r="MLK1876" s="1740"/>
      <c r="MLL1876" s="1740"/>
      <c r="MLM1876" s="1740"/>
      <c r="MLN1876" s="1740"/>
      <c r="MLO1876" s="1740"/>
      <c r="MLP1876" s="1740"/>
      <c r="MLQ1876" s="1740"/>
      <c r="MLR1876" s="1740"/>
      <c r="MLS1876" s="1740"/>
      <c r="MLT1876" s="1740"/>
      <c r="MLU1876" s="1740"/>
      <c r="MLV1876" s="1740"/>
      <c r="MLW1876" s="1740"/>
      <c r="MLX1876" s="1740"/>
      <c r="MLY1876" s="1740"/>
      <c r="MLZ1876" s="1740"/>
      <c r="MMA1876" s="1740"/>
      <c r="MMB1876" s="1740"/>
      <c r="MMC1876" s="1740"/>
      <c r="MMD1876" s="1740"/>
      <c r="MME1876" s="1740"/>
      <c r="MMF1876" s="1740"/>
      <c r="MMG1876" s="1740"/>
      <c r="MMH1876" s="1740"/>
      <c r="MMI1876" s="1740"/>
      <c r="MMJ1876" s="1740"/>
      <c r="MMK1876" s="1740"/>
      <c r="MML1876" s="1740"/>
      <c r="MMM1876" s="1740"/>
      <c r="MMN1876" s="1740"/>
      <c r="MMO1876" s="1740"/>
      <c r="MMP1876" s="1740"/>
      <c r="MMQ1876" s="1740"/>
      <c r="MMR1876" s="1740"/>
      <c r="MMS1876" s="1740"/>
      <c r="MMT1876" s="1740"/>
      <c r="MMU1876" s="1740"/>
      <c r="MMV1876" s="1740"/>
      <c r="MMW1876" s="1740"/>
      <c r="MMX1876" s="1740"/>
      <c r="MMY1876" s="1740"/>
      <c r="MMZ1876" s="1740"/>
      <c r="MNA1876" s="1740"/>
      <c r="MNB1876" s="1740"/>
      <c r="MNC1876" s="1740"/>
      <c r="MND1876" s="1740"/>
      <c r="MNE1876" s="1740"/>
      <c r="MNF1876" s="1740"/>
      <c r="MNG1876" s="1740"/>
      <c r="MNH1876" s="1740"/>
      <c r="MNI1876" s="1740"/>
      <c r="MNJ1876" s="1740"/>
      <c r="MNK1876" s="1740"/>
      <c r="MNL1876" s="1740"/>
      <c r="MNM1876" s="1740"/>
      <c r="MNN1876" s="1740"/>
      <c r="MNO1876" s="1740"/>
      <c r="MNP1876" s="1740"/>
      <c r="MNQ1876" s="1740"/>
      <c r="MNR1876" s="1740"/>
      <c r="MNS1876" s="1740"/>
      <c r="MNT1876" s="1740"/>
      <c r="MNU1876" s="1740"/>
      <c r="MNV1876" s="1740"/>
      <c r="MNW1876" s="1740"/>
      <c r="MNX1876" s="1740"/>
      <c r="MNY1876" s="1740"/>
      <c r="MNZ1876" s="1740"/>
      <c r="MOA1876" s="1740"/>
      <c r="MOB1876" s="1740"/>
      <c r="MOC1876" s="1740"/>
      <c r="MOD1876" s="1740"/>
      <c r="MOE1876" s="1740"/>
      <c r="MOF1876" s="1740"/>
      <c r="MOG1876" s="1740"/>
      <c r="MOH1876" s="1740"/>
      <c r="MOI1876" s="1740"/>
      <c r="MOJ1876" s="1740"/>
      <c r="MOK1876" s="1740"/>
      <c r="MOL1876" s="1740"/>
      <c r="MOM1876" s="1740"/>
      <c r="MON1876" s="1740"/>
      <c r="MOO1876" s="1740"/>
      <c r="MOP1876" s="1740"/>
      <c r="MOQ1876" s="1740"/>
      <c r="MOR1876" s="1740"/>
      <c r="MOS1876" s="1740"/>
      <c r="MOT1876" s="1740"/>
      <c r="MOU1876" s="1740"/>
      <c r="MOV1876" s="1740"/>
      <c r="MOW1876" s="1740"/>
      <c r="MOX1876" s="1740"/>
      <c r="MOY1876" s="1740"/>
      <c r="MOZ1876" s="1740"/>
      <c r="MPA1876" s="1740"/>
      <c r="MPB1876" s="1740"/>
      <c r="MPC1876" s="1740"/>
      <c r="MPD1876" s="1740"/>
      <c r="MPE1876" s="1740"/>
      <c r="MPF1876" s="1740"/>
      <c r="MPG1876" s="1740"/>
      <c r="MPH1876" s="1740"/>
      <c r="MPI1876" s="1740"/>
      <c r="MPJ1876" s="1740"/>
      <c r="MPK1876" s="1740"/>
      <c r="MPL1876" s="1740"/>
      <c r="MPM1876" s="1740"/>
      <c r="MPN1876" s="1740"/>
      <c r="MPO1876" s="1740"/>
      <c r="MPP1876" s="1740"/>
      <c r="MPQ1876" s="1740"/>
      <c r="MPR1876" s="1740"/>
      <c r="MPS1876" s="1740"/>
      <c r="MPT1876" s="1740"/>
      <c r="MPU1876" s="1740"/>
      <c r="MPV1876" s="1740"/>
      <c r="MPW1876" s="1740"/>
      <c r="MPX1876" s="1740"/>
      <c r="MPY1876" s="1740"/>
      <c r="MPZ1876" s="1740"/>
      <c r="MQA1876" s="1740"/>
      <c r="MQB1876" s="1740"/>
      <c r="MQC1876" s="1740"/>
      <c r="MQD1876" s="1740"/>
      <c r="MQE1876" s="1740"/>
      <c r="MQF1876" s="1740"/>
      <c r="MQG1876" s="1740"/>
      <c r="MQH1876" s="1740"/>
      <c r="MQI1876" s="1740"/>
      <c r="MQJ1876" s="1740"/>
      <c r="MQK1876" s="1740"/>
      <c r="MQL1876" s="1740"/>
      <c r="MQM1876" s="1740"/>
      <c r="MQN1876" s="1740"/>
      <c r="MQO1876" s="1740"/>
      <c r="MQP1876" s="1740"/>
      <c r="MQQ1876" s="1740"/>
      <c r="MQR1876" s="1740"/>
      <c r="MQS1876" s="1740"/>
      <c r="MQT1876" s="1740"/>
      <c r="MQU1876" s="1740"/>
      <c r="MQV1876" s="1740"/>
      <c r="MQW1876" s="1740"/>
      <c r="MQX1876" s="1740"/>
      <c r="MQY1876" s="1740"/>
      <c r="MQZ1876" s="1740"/>
      <c r="MRA1876" s="1740"/>
      <c r="MRB1876" s="1740"/>
      <c r="MRC1876" s="1740"/>
      <c r="MRD1876" s="1740"/>
      <c r="MRE1876" s="1740"/>
      <c r="MRF1876" s="1740"/>
      <c r="MRG1876" s="1740"/>
      <c r="MRH1876" s="1740"/>
      <c r="MRI1876" s="1740"/>
      <c r="MRJ1876" s="1740"/>
      <c r="MRK1876" s="1740"/>
      <c r="MRL1876" s="1740"/>
      <c r="MRM1876" s="1740"/>
      <c r="MRN1876" s="1740"/>
      <c r="MRO1876" s="1740"/>
      <c r="MRP1876" s="1740"/>
      <c r="MRQ1876" s="1740"/>
      <c r="MRR1876" s="1740"/>
      <c r="MRS1876" s="1740"/>
      <c r="MRT1876" s="1740"/>
      <c r="MRU1876" s="1740"/>
      <c r="MRV1876" s="1740"/>
      <c r="MRW1876" s="1740"/>
      <c r="MRX1876" s="1740"/>
      <c r="MRY1876" s="1740"/>
      <c r="MRZ1876" s="1740"/>
      <c r="MSA1876" s="1740"/>
      <c r="MSB1876" s="1740"/>
      <c r="MSC1876" s="1740"/>
      <c r="MSD1876" s="1740"/>
      <c r="MSE1876" s="1740"/>
      <c r="MSF1876" s="1740"/>
      <c r="MSG1876" s="1740"/>
      <c r="MSH1876" s="1740"/>
      <c r="MSI1876" s="1740"/>
      <c r="MSJ1876" s="1740"/>
      <c r="MSK1876" s="1740"/>
      <c r="MSL1876" s="1740"/>
      <c r="MSM1876" s="1740"/>
      <c r="MSN1876" s="1740"/>
      <c r="MSO1876" s="1740"/>
      <c r="MSP1876" s="1740"/>
      <c r="MSQ1876" s="1740"/>
      <c r="MSR1876" s="1740"/>
      <c r="MSS1876" s="1740"/>
      <c r="MST1876" s="1740"/>
      <c r="MSU1876" s="1740"/>
      <c r="MSV1876" s="1740"/>
      <c r="MSW1876" s="1740"/>
      <c r="MSX1876" s="1740"/>
      <c r="MSY1876" s="1740"/>
      <c r="MSZ1876" s="1740"/>
      <c r="MTA1876" s="1740"/>
      <c r="MTB1876" s="1740"/>
      <c r="MTC1876" s="1740"/>
      <c r="MTD1876" s="1740"/>
      <c r="MTE1876" s="1740"/>
      <c r="MTF1876" s="1740"/>
      <c r="MTG1876" s="1740"/>
      <c r="MTH1876" s="1740"/>
      <c r="MTI1876" s="1740"/>
      <c r="MTJ1876" s="1740"/>
      <c r="MTK1876" s="1740"/>
      <c r="MTL1876" s="1740"/>
      <c r="MTM1876" s="1740"/>
      <c r="MTN1876" s="1740"/>
      <c r="MTO1876" s="1740"/>
      <c r="MTP1876" s="1740"/>
      <c r="MTQ1876" s="1740"/>
      <c r="MTR1876" s="1740"/>
      <c r="MTS1876" s="1740"/>
      <c r="MTT1876" s="1740"/>
      <c r="MTU1876" s="1740"/>
      <c r="MTV1876" s="1740"/>
      <c r="MTW1876" s="1740"/>
      <c r="MTX1876" s="1740"/>
      <c r="MTY1876" s="1740"/>
      <c r="MTZ1876" s="1740"/>
      <c r="MUA1876" s="1740"/>
      <c r="MUB1876" s="1740"/>
      <c r="MUC1876" s="1740"/>
      <c r="MUD1876" s="1740"/>
      <c r="MUE1876" s="1740"/>
      <c r="MUF1876" s="1740"/>
      <c r="MUG1876" s="1740"/>
      <c r="MUH1876" s="1740"/>
      <c r="MUI1876" s="1740"/>
      <c r="MUJ1876" s="1740"/>
      <c r="MUK1876" s="1740"/>
      <c r="MUL1876" s="1740"/>
      <c r="MUM1876" s="1740"/>
      <c r="MUN1876" s="1740"/>
      <c r="MUO1876" s="1740"/>
      <c r="MUP1876" s="1740"/>
      <c r="MUQ1876" s="1740"/>
      <c r="MUR1876" s="1740"/>
      <c r="MUS1876" s="1740"/>
      <c r="MUT1876" s="1740"/>
      <c r="MUU1876" s="1740"/>
      <c r="MUV1876" s="1740"/>
      <c r="MUW1876" s="1740"/>
      <c r="MUX1876" s="1740"/>
      <c r="MUY1876" s="1740"/>
      <c r="MUZ1876" s="1740"/>
      <c r="MVA1876" s="1740"/>
      <c r="MVB1876" s="1740"/>
      <c r="MVC1876" s="1740"/>
      <c r="MVD1876" s="1740"/>
      <c r="MVE1876" s="1740"/>
      <c r="MVF1876" s="1740"/>
      <c r="MVG1876" s="1740"/>
      <c r="MVH1876" s="1740"/>
      <c r="MVI1876" s="1740"/>
      <c r="MVJ1876" s="1740"/>
      <c r="MVK1876" s="1740"/>
      <c r="MVL1876" s="1740"/>
      <c r="MVM1876" s="1740"/>
      <c r="MVN1876" s="1740"/>
      <c r="MVO1876" s="1740"/>
      <c r="MVP1876" s="1740"/>
      <c r="MVQ1876" s="1740"/>
      <c r="MVR1876" s="1740"/>
      <c r="MVS1876" s="1740"/>
      <c r="MVT1876" s="1740"/>
      <c r="MVU1876" s="1740"/>
      <c r="MVV1876" s="1740"/>
      <c r="MVW1876" s="1740"/>
      <c r="MVX1876" s="1740"/>
      <c r="MVY1876" s="1740"/>
      <c r="MVZ1876" s="1740"/>
      <c r="MWA1876" s="1740"/>
      <c r="MWB1876" s="1740"/>
      <c r="MWC1876" s="1740"/>
      <c r="MWD1876" s="1740"/>
      <c r="MWE1876" s="1740"/>
      <c r="MWF1876" s="1740"/>
      <c r="MWG1876" s="1740"/>
      <c r="MWH1876" s="1740"/>
      <c r="MWI1876" s="1740"/>
      <c r="MWJ1876" s="1740"/>
      <c r="MWK1876" s="1740"/>
      <c r="MWL1876" s="1740"/>
      <c r="MWM1876" s="1740"/>
      <c r="MWN1876" s="1740"/>
      <c r="MWO1876" s="1740"/>
      <c r="MWP1876" s="1740"/>
      <c r="MWQ1876" s="1740"/>
      <c r="MWR1876" s="1740"/>
      <c r="MWS1876" s="1740"/>
      <c r="MWT1876" s="1740"/>
      <c r="MWU1876" s="1740"/>
      <c r="MWV1876" s="1740"/>
      <c r="MWW1876" s="1740"/>
      <c r="MWX1876" s="1740"/>
      <c r="MWY1876" s="1740"/>
      <c r="MWZ1876" s="1740"/>
      <c r="MXA1876" s="1740"/>
      <c r="MXB1876" s="1740"/>
      <c r="MXC1876" s="1740"/>
      <c r="MXD1876" s="1740"/>
      <c r="MXE1876" s="1740"/>
      <c r="MXF1876" s="1740"/>
      <c r="MXG1876" s="1740"/>
      <c r="MXH1876" s="1740"/>
      <c r="MXI1876" s="1740"/>
      <c r="MXJ1876" s="1740"/>
      <c r="MXK1876" s="1740"/>
      <c r="MXL1876" s="1740"/>
      <c r="MXM1876" s="1740"/>
      <c r="MXN1876" s="1740"/>
      <c r="MXO1876" s="1740"/>
      <c r="MXP1876" s="1740"/>
      <c r="MXQ1876" s="1740"/>
      <c r="MXR1876" s="1740"/>
      <c r="MXS1876" s="1740"/>
      <c r="MXT1876" s="1740"/>
      <c r="MXU1876" s="1740"/>
      <c r="MXV1876" s="1740"/>
      <c r="MXW1876" s="1740"/>
      <c r="MXX1876" s="1740"/>
      <c r="MXY1876" s="1740"/>
      <c r="MXZ1876" s="1740"/>
      <c r="MYA1876" s="1740"/>
      <c r="MYB1876" s="1740"/>
      <c r="MYC1876" s="1740"/>
      <c r="MYD1876" s="1740"/>
      <c r="MYE1876" s="1740"/>
      <c r="MYF1876" s="1740"/>
      <c r="MYG1876" s="1740"/>
      <c r="MYH1876" s="1740"/>
      <c r="MYI1876" s="1740"/>
      <c r="MYJ1876" s="1740"/>
      <c r="MYK1876" s="1740"/>
      <c r="MYL1876" s="1740"/>
      <c r="MYM1876" s="1740"/>
      <c r="MYN1876" s="1740"/>
      <c r="MYO1876" s="1740"/>
      <c r="MYP1876" s="1740"/>
      <c r="MYQ1876" s="1740"/>
      <c r="MYR1876" s="1740"/>
      <c r="MYS1876" s="1740"/>
      <c r="MYT1876" s="1740"/>
      <c r="MYU1876" s="1740"/>
      <c r="MYV1876" s="1740"/>
      <c r="MYW1876" s="1740"/>
      <c r="MYX1876" s="1740"/>
      <c r="MYY1876" s="1740"/>
      <c r="MYZ1876" s="1740"/>
      <c r="MZA1876" s="1740"/>
      <c r="MZB1876" s="1740"/>
      <c r="MZC1876" s="1740"/>
      <c r="MZD1876" s="1740"/>
      <c r="MZE1876" s="1740"/>
      <c r="MZF1876" s="1740"/>
      <c r="MZG1876" s="1740"/>
      <c r="MZH1876" s="1740"/>
      <c r="MZI1876" s="1740"/>
      <c r="MZJ1876" s="1740"/>
      <c r="MZK1876" s="1740"/>
      <c r="MZL1876" s="1740"/>
      <c r="MZM1876" s="1740"/>
      <c r="MZN1876" s="1740"/>
      <c r="MZO1876" s="1740"/>
      <c r="MZP1876" s="1740"/>
      <c r="MZQ1876" s="1740"/>
      <c r="MZR1876" s="1740"/>
      <c r="MZS1876" s="1740"/>
      <c r="MZT1876" s="1740"/>
      <c r="MZU1876" s="1740"/>
      <c r="MZV1876" s="1740"/>
      <c r="MZW1876" s="1740"/>
      <c r="MZX1876" s="1740"/>
      <c r="MZY1876" s="1740"/>
      <c r="MZZ1876" s="1740"/>
      <c r="NAA1876" s="1740"/>
      <c r="NAB1876" s="1740"/>
      <c r="NAC1876" s="1740"/>
      <c r="NAD1876" s="1740"/>
      <c r="NAE1876" s="1740"/>
      <c r="NAF1876" s="1740"/>
      <c r="NAG1876" s="1740"/>
      <c r="NAH1876" s="1740"/>
      <c r="NAI1876" s="1740"/>
      <c r="NAJ1876" s="1740"/>
      <c r="NAK1876" s="1740"/>
      <c r="NAL1876" s="1740"/>
      <c r="NAM1876" s="1740"/>
      <c r="NAN1876" s="1740"/>
      <c r="NAO1876" s="1740"/>
      <c r="NAP1876" s="1740"/>
      <c r="NAQ1876" s="1740"/>
      <c r="NAR1876" s="1740"/>
      <c r="NAS1876" s="1740"/>
      <c r="NAT1876" s="1740"/>
      <c r="NAU1876" s="1740"/>
      <c r="NAV1876" s="1740"/>
      <c r="NAW1876" s="1740"/>
      <c r="NAX1876" s="1740"/>
      <c r="NAY1876" s="1740"/>
      <c r="NAZ1876" s="1740"/>
      <c r="NBA1876" s="1740"/>
      <c r="NBB1876" s="1740"/>
      <c r="NBC1876" s="1740"/>
      <c r="NBD1876" s="1740"/>
      <c r="NBE1876" s="1740"/>
      <c r="NBF1876" s="1740"/>
      <c r="NBG1876" s="1740"/>
      <c r="NBH1876" s="1740"/>
      <c r="NBI1876" s="1740"/>
      <c r="NBJ1876" s="1740"/>
      <c r="NBK1876" s="1740"/>
      <c r="NBL1876" s="1740"/>
      <c r="NBM1876" s="1740"/>
      <c r="NBN1876" s="1740"/>
      <c r="NBO1876" s="1740"/>
      <c r="NBP1876" s="1740"/>
      <c r="NBQ1876" s="1740"/>
      <c r="NBR1876" s="1740"/>
      <c r="NBS1876" s="1740"/>
      <c r="NBT1876" s="1740"/>
      <c r="NBU1876" s="1740"/>
      <c r="NBV1876" s="1740"/>
      <c r="NBW1876" s="1740"/>
      <c r="NBX1876" s="1740"/>
      <c r="NBY1876" s="1740"/>
      <c r="NBZ1876" s="1740"/>
      <c r="NCA1876" s="1740"/>
      <c r="NCB1876" s="1740"/>
      <c r="NCC1876" s="1740"/>
      <c r="NCD1876" s="1740"/>
      <c r="NCE1876" s="1740"/>
      <c r="NCF1876" s="1740"/>
      <c r="NCG1876" s="1740"/>
      <c r="NCH1876" s="1740"/>
      <c r="NCI1876" s="1740"/>
      <c r="NCJ1876" s="1740"/>
      <c r="NCK1876" s="1740"/>
      <c r="NCL1876" s="1740"/>
      <c r="NCM1876" s="1740"/>
      <c r="NCN1876" s="1740"/>
      <c r="NCO1876" s="1740"/>
      <c r="NCP1876" s="1740"/>
      <c r="NCQ1876" s="1740"/>
      <c r="NCR1876" s="1740"/>
      <c r="NCS1876" s="1740"/>
      <c r="NCT1876" s="1740"/>
      <c r="NCU1876" s="1740"/>
      <c r="NCV1876" s="1740"/>
      <c r="NCW1876" s="1740"/>
      <c r="NCX1876" s="1740"/>
      <c r="NCY1876" s="1740"/>
      <c r="NCZ1876" s="1740"/>
      <c r="NDA1876" s="1740"/>
      <c r="NDB1876" s="1740"/>
      <c r="NDC1876" s="1740"/>
      <c r="NDD1876" s="1740"/>
      <c r="NDE1876" s="1740"/>
      <c r="NDF1876" s="1740"/>
      <c r="NDG1876" s="1740"/>
      <c r="NDH1876" s="1740"/>
      <c r="NDI1876" s="1740"/>
      <c r="NDJ1876" s="1740"/>
      <c r="NDK1876" s="1740"/>
      <c r="NDL1876" s="1740"/>
      <c r="NDM1876" s="1740"/>
      <c r="NDN1876" s="1740"/>
      <c r="NDO1876" s="1740"/>
      <c r="NDP1876" s="1740"/>
      <c r="NDQ1876" s="1740"/>
      <c r="NDR1876" s="1740"/>
      <c r="NDS1876" s="1740"/>
      <c r="NDT1876" s="1740"/>
      <c r="NDU1876" s="1740"/>
      <c r="NDV1876" s="1740"/>
      <c r="NDW1876" s="1740"/>
      <c r="NDX1876" s="1740"/>
      <c r="NDY1876" s="1740"/>
      <c r="NDZ1876" s="1740"/>
      <c r="NEA1876" s="1740"/>
      <c r="NEB1876" s="1740"/>
      <c r="NEC1876" s="1740"/>
      <c r="NED1876" s="1740"/>
      <c r="NEE1876" s="1740"/>
      <c r="NEF1876" s="1740"/>
      <c r="NEG1876" s="1740"/>
      <c r="NEH1876" s="1740"/>
      <c r="NEI1876" s="1740"/>
      <c r="NEJ1876" s="1740"/>
      <c r="NEK1876" s="1740"/>
      <c r="NEL1876" s="1740"/>
      <c r="NEM1876" s="1740"/>
      <c r="NEN1876" s="1740"/>
      <c r="NEO1876" s="1740"/>
      <c r="NEP1876" s="1740"/>
      <c r="NEQ1876" s="1740"/>
      <c r="NER1876" s="1740"/>
      <c r="NES1876" s="1740"/>
      <c r="NET1876" s="1740"/>
      <c r="NEU1876" s="1740"/>
      <c r="NEV1876" s="1740"/>
      <c r="NEW1876" s="1740"/>
      <c r="NEX1876" s="1740"/>
      <c r="NEY1876" s="1740"/>
      <c r="NEZ1876" s="1740"/>
      <c r="NFA1876" s="1740"/>
      <c r="NFB1876" s="1740"/>
      <c r="NFC1876" s="1740"/>
      <c r="NFD1876" s="1740"/>
      <c r="NFE1876" s="1740"/>
      <c r="NFF1876" s="1740"/>
      <c r="NFG1876" s="1740"/>
      <c r="NFH1876" s="1740"/>
      <c r="NFI1876" s="1740"/>
      <c r="NFJ1876" s="1740"/>
      <c r="NFK1876" s="1740"/>
      <c r="NFL1876" s="1740"/>
      <c r="NFM1876" s="1740"/>
      <c r="NFN1876" s="1740"/>
      <c r="NFO1876" s="1740"/>
      <c r="NFP1876" s="1740"/>
      <c r="NFQ1876" s="1740"/>
      <c r="NFR1876" s="1740"/>
      <c r="NFS1876" s="1740"/>
      <c r="NFT1876" s="1740"/>
      <c r="NFU1876" s="1740"/>
      <c r="NFV1876" s="1740"/>
      <c r="NFW1876" s="1740"/>
      <c r="NFX1876" s="1740"/>
      <c r="NFY1876" s="1740"/>
      <c r="NFZ1876" s="1740"/>
      <c r="NGA1876" s="1740"/>
      <c r="NGB1876" s="1740"/>
      <c r="NGC1876" s="1740"/>
      <c r="NGD1876" s="1740"/>
      <c r="NGE1876" s="1740"/>
      <c r="NGF1876" s="1740"/>
      <c r="NGG1876" s="1740"/>
      <c r="NGH1876" s="1740"/>
      <c r="NGI1876" s="1740"/>
      <c r="NGJ1876" s="1740"/>
      <c r="NGK1876" s="1740"/>
      <c r="NGL1876" s="1740"/>
      <c r="NGM1876" s="1740"/>
      <c r="NGN1876" s="1740"/>
      <c r="NGO1876" s="1740"/>
      <c r="NGP1876" s="1740"/>
      <c r="NGQ1876" s="1740"/>
      <c r="NGR1876" s="1740"/>
      <c r="NGS1876" s="1740"/>
      <c r="NGT1876" s="1740"/>
      <c r="NGU1876" s="1740"/>
      <c r="NGV1876" s="1740"/>
      <c r="NGW1876" s="1740"/>
      <c r="NGX1876" s="1740"/>
      <c r="NGY1876" s="1740"/>
      <c r="NGZ1876" s="1740"/>
      <c r="NHA1876" s="1740"/>
      <c r="NHB1876" s="1740"/>
      <c r="NHC1876" s="1740"/>
      <c r="NHD1876" s="1740"/>
      <c r="NHE1876" s="1740"/>
      <c r="NHF1876" s="1740"/>
      <c r="NHG1876" s="1740"/>
      <c r="NHH1876" s="1740"/>
      <c r="NHI1876" s="1740"/>
      <c r="NHJ1876" s="1740"/>
      <c r="NHK1876" s="1740"/>
      <c r="NHL1876" s="1740"/>
      <c r="NHM1876" s="1740"/>
      <c r="NHN1876" s="1740"/>
      <c r="NHO1876" s="1740"/>
      <c r="NHP1876" s="1740"/>
      <c r="NHQ1876" s="1740"/>
      <c r="NHR1876" s="1740"/>
      <c r="NHS1876" s="1740"/>
      <c r="NHT1876" s="1740"/>
      <c r="NHU1876" s="1740"/>
      <c r="NHV1876" s="1740"/>
      <c r="NHW1876" s="1740"/>
      <c r="NHX1876" s="1740"/>
      <c r="NHY1876" s="1740"/>
      <c r="NHZ1876" s="1740"/>
      <c r="NIA1876" s="1740"/>
      <c r="NIB1876" s="1740"/>
      <c r="NIC1876" s="1740"/>
      <c r="NID1876" s="1740"/>
      <c r="NIE1876" s="1740"/>
      <c r="NIF1876" s="1740"/>
      <c r="NIG1876" s="1740"/>
      <c r="NIH1876" s="1740"/>
      <c r="NII1876" s="1740"/>
      <c r="NIJ1876" s="1740"/>
      <c r="NIK1876" s="1740"/>
      <c r="NIL1876" s="1740"/>
      <c r="NIM1876" s="1740"/>
      <c r="NIN1876" s="1740"/>
      <c r="NIO1876" s="1740"/>
      <c r="NIP1876" s="1740"/>
      <c r="NIQ1876" s="1740"/>
      <c r="NIR1876" s="1740"/>
      <c r="NIS1876" s="1740"/>
      <c r="NIT1876" s="1740"/>
      <c r="NIU1876" s="1740"/>
      <c r="NIV1876" s="1740"/>
      <c r="NIW1876" s="1740"/>
      <c r="NIX1876" s="1740"/>
      <c r="NIY1876" s="1740"/>
      <c r="NIZ1876" s="1740"/>
      <c r="NJA1876" s="1740"/>
      <c r="NJB1876" s="1740"/>
      <c r="NJC1876" s="1740"/>
      <c r="NJD1876" s="1740"/>
      <c r="NJE1876" s="1740"/>
      <c r="NJF1876" s="1740"/>
      <c r="NJG1876" s="1740"/>
      <c r="NJH1876" s="1740"/>
      <c r="NJI1876" s="1740"/>
      <c r="NJJ1876" s="1740"/>
      <c r="NJK1876" s="1740"/>
      <c r="NJL1876" s="1740"/>
      <c r="NJM1876" s="1740"/>
      <c r="NJN1876" s="1740"/>
      <c r="NJO1876" s="1740"/>
      <c r="NJP1876" s="1740"/>
      <c r="NJQ1876" s="1740"/>
      <c r="NJR1876" s="1740"/>
      <c r="NJS1876" s="1740"/>
      <c r="NJT1876" s="1740"/>
      <c r="NJU1876" s="1740"/>
      <c r="NJV1876" s="1740"/>
      <c r="NJW1876" s="1740"/>
      <c r="NJX1876" s="1740"/>
      <c r="NJY1876" s="1740"/>
      <c r="NJZ1876" s="1740"/>
      <c r="NKA1876" s="1740"/>
      <c r="NKB1876" s="1740"/>
      <c r="NKC1876" s="1740"/>
      <c r="NKD1876" s="1740"/>
      <c r="NKE1876" s="1740"/>
      <c r="NKF1876" s="1740"/>
      <c r="NKG1876" s="1740"/>
      <c r="NKH1876" s="1740"/>
      <c r="NKI1876" s="1740"/>
      <c r="NKJ1876" s="1740"/>
      <c r="NKK1876" s="1740"/>
      <c r="NKL1876" s="1740"/>
      <c r="NKM1876" s="1740"/>
      <c r="NKN1876" s="1740"/>
      <c r="NKO1876" s="1740"/>
      <c r="NKP1876" s="1740"/>
      <c r="NKQ1876" s="1740"/>
      <c r="NKR1876" s="1740"/>
      <c r="NKS1876" s="1740"/>
      <c r="NKT1876" s="1740"/>
      <c r="NKU1876" s="1740"/>
      <c r="NKV1876" s="1740"/>
      <c r="NKW1876" s="1740"/>
      <c r="NKX1876" s="1740"/>
      <c r="NKY1876" s="1740"/>
      <c r="NKZ1876" s="1740"/>
      <c r="NLA1876" s="1740"/>
      <c r="NLB1876" s="1740"/>
      <c r="NLC1876" s="1740"/>
      <c r="NLD1876" s="1740"/>
      <c r="NLE1876" s="1740"/>
      <c r="NLF1876" s="1740"/>
      <c r="NLG1876" s="1740"/>
      <c r="NLH1876" s="1740"/>
      <c r="NLI1876" s="1740"/>
      <c r="NLJ1876" s="1740"/>
      <c r="NLK1876" s="1740"/>
      <c r="NLL1876" s="1740"/>
      <c r="NLM1876" s="1740"/>
      <c r="NLN1876" s="1740"/>
      <c r="NLO1876" s="1740"/>
      <c r="NLP1876" s="1740"/>
      <c r="NLQ1876" s="1740"/>
      <c r="NLR1876" s="1740"/>
      <c r="NLS1876" s="1740"/>
      <c r="NLT1876" s="1740"/>
      <c r="NLU1876" s="1740"/>
      <c r="NLV1876" s="1740"/>
      <c r="NLW1876" s="1740"/>
      <c r="NLX1876" s="1740"/>
      <c r="NLY1876" s="1740"/>
      <c r="NLZ1876" s="1740"/>
      <c r="NMA1876" s="1740"/>
      <c r="NMB1876" s="1740"/>
      <c r="NMC1876" s="1740"/>
      <c r="NMD1876" s="1740"/>
      <c r="NME1876" s="1740"/>
      <c r="NMF1876" s="1740"/>
      <c r="NMG1876" s="1740"/>
      <c r="NMH1876" s="1740"/>
      <c r="NMI1876" s="1740"/>
      <c r="NMJ1876" s="1740"/>
      <c r="NMK1876" s="1740"/>
      <c r="NML1876" s="1740"/>
      <c r="NMM1876" s="1740"/>
      <c r="NMN1876" s="1740"/>
      <c r="NMO1876" s="1740"/>
      <c r="NMP1876" s="1740"/>
      <c r="NMQ1876" s="1740"/>
      <c r="NMR1876" s="1740"/>
      <c r="NMS1876" s="1740"/>
      <c r="NMT1876" s="1740"/>
      <c r="NMU1876" s="1740"/>
      <c r="NMV1876" s="1740"/>
      <c r="NMW1876" s="1740"/>
      <c r="NMX1876" s="1740"/>
      <c r="NMY1876" s="1740"/>
      <c r="NMZ1876" s="1740"/>
      <c r="NNA1876" s="1740"/>
      <c r="NNB1876" s="1740"/>
      <c r="NNC1876" s="1740"/>
      <c r="NND1876" s="1740"/>
      <c r="NNE1876" s="1740"/>
      <c r="NNF1876" s="1740"/>
      <c r="NNG1876" s="1740"/>
      <c r="NNH1876" s="1740"/>
      <c r="NNI1876" s="1740"/>
      <c r="NNJ1876" s="1740"/>
      <c r="NNK1876" s="1740"/>
      <c r="NNL1876" s="1740"/>
      <c r="NNM1876" s="1740"/>
      <c r="NNN1876" s="1740"/>
      <c r="NNO1876" s="1740"/>
      <c r="NNP1876" s="1740"/>
      <c r="NNQ1876" s="1740"/>
      <c r="NNR1876" s="1740"/>
      <c r="NNS1876" s="1740"/>
      <c r="NNT1876" s="1740"/>
      <c r="NNU1876" s="1740"/>
      <c r="NNV1876" s="1740"/>
      <c r="NNW1876" s="1740"/>
      <c r="NNX1876" s="1740"/>
      <c r="NNY1876" s="1740"/>
      <c r="NNZ1876" s="1740"/>
      <c r="NOA1876" s="1740"/>
      <c r="NOB1876" s="1740"/>
      <c r="NOC1876" s="1740"/>
      <c r="NOD1876" s="1740"/>
      <c r="NOE1876" s="1740"/>
      <c r="NOF1876" s="1740"/>
      <c r="NOG1876" s="1740"/>
      <c r="NOH1876" s="1740"/>
      <c r="NOI1876" s="1740"/>
      <c r="NOJ1876" s="1740"/>
      <c r="NOK1876" s="1740"/>
      <c r="NOL1876" s="1740"/>
      <c r="NOM1876" s="1740"/>
      <c r="NON1876" s="1740"/>
      <c r="NOO1876" s="1740"/>
      <c r="NOP1876" s="1740"/>
      <c r="NOQ1876" s="1740"/>
      <c r="NOR1876" s="1740"/>
      <c r="NOS1876" s="1740"/>
      <c r="NOT1876" s="1740"/>
      <c r="NOU1876" s="1740"/>
      <c r="NOV1876" s="1740"/>
      <c r="NOW1876" s="1740"/>
      <c r="NOX1876" s="1740"/>
      <c r="NOY1876" s="1740"/>
      <c r="NOZ1876" s="1740"/>
      <c r="NPA1876" s="1740"/>
      <c r="NPB1876" s="1740"/>
      <c r="NPC1876" s="1740"/>
      <c r="NPD1876" s="1740"/>
      <c r="NPE1876" s="1740"/>
      <c r="NPF1876" s="1740"/>
      <c r="NPG1876" s="1740"/>
      <c r="NPH1876" s="1740"/>
      <c r="NPI1876" s="1740"/>
      <c r="NPJ1876" s="1740"/>
      <c r="NPK1876" s="1740"/>
      <c r="NPL1876" s="1740"/>
      <c r="NPM1876" s="1740"/>
      <c r="NPN1876" s="1740"/>
      <c r="NPO1876" s="1740"/>
      <c r="NPP1876" s="1740"/>
      <c r="NPQ1876" s="1740"/>
      <c r="NPR1876" s="1740"/>
      <c r="NPS1876" s="1740"/>
      <c r="NPT1876" s="1740"/>
      <c r="NPU1876" s="1740"/>
      <c r="NPV1876" s="1740"/>
      <c r="NPW1876" s="1740"/>
      <c r="NPX1876" s="1740"/>
      <c r="NPY1876" s="1740"/>
      <c r="NPZ1876" s="1740"/>
      <c r="NQA1876" s="1740"/>
      <c r="NQB1876" s="1740"/>
      <c r="NQC1876" s="1740"/>
      <c r="NQD1876" s="1740"/>
      <c r="NQE1876" s="1740"/>
      <c r="NQF1876" s="1740"/>
      <c r="NQG1876" s="1740"/>
      <c r="NQH1876" s="1740"/>
      <c r="NQI1876" s="1740"/>
      <c r="NQJ1876" s="1740"/>
      <c r="NQK1876" s="1740"/>
      <c r="NQL1876" s="1740"/>
      <c r="NQM1876" s="1740"/>
      <c r="NQN1876" s="1740"/>
      <c r="NQO1876" s="1740"/>
      <c r="NQP1876" s="1740"/>
      <c r="NQQ1876" s="1740"/>
      <c r="NQR1876" s="1740"/>
      <c r="NQS1876" s="1740"/>
      <c r="NQT1876" s="1740"/>
      <c r="NQU1876" s="1740"/>
      <c r="NQV1876" s="1740"/>
      <c r="NQW1876" s="1740"/>
      <c r="NQX1876" s="1740"/>
      <c r="NQY1876" s="1740"/>
      <c r="NQZ1876" s="1740"/>
      <c r="NRA1876" s="1740"/>
      <c r="NRB1876" s="1740"/>
      <c r="NRC1876" s="1740"/>
      <c r="NRD1876" s="1740"/>
      <c r="NRE1876" s="1740"/>
      <c r="NRF1876" s="1740"/>
      <c r="NRG1876" s="1740"/>
      <c r="NRH1876" s="1740"/>
      <c r="NRI1876" s="1740"/>
      <c r="NRJ1876" s="1740"/>
      <c r="NRK1876" s="1740"/>
      <c r="NRL1876" s="1740"/>
      <c r="NRM1876" s="1740"/>
      <c r="NRN1876" s="1740"/>
      <c r="NRO1876" s="1740"/>
      <c r="NRP1876" s="1740"/>
      <c r="NRQ1876" s="1740"/>
      <c r="NRR1876" s="1740"/>
      <c r="NRS1876" s="1740"/>
      <c r="NRT1876" s="1740"/>
      <c r="NRU1876" s="1740"/>
      <c r="NRV1876" s="1740"/>
      <c r="NRW1876" s="1740"/>
      <c r="NRX1876" s="1740"/>
      <c r="NRY1876" s="1740"/>
      <c r="NRZ1876" s="1740"/>
      <c r="NSA1876" s="1740"/>
      <c r="NSB1876" s="1740"/>
      <c r="NSC1876" s="1740"/>
      <c r="NSD1876" s="1740"/>
      <c r="NSE1876" s="1740"/>
      <c r="NSF1876" s="1740"/>
      <c r="NSG1876" s="1740"/>
      <c r="NSH1876" s="1740"/>
      <c r="NSI1876" s="1740"/>
      <c r="NSJ1876" s="1740"/>
      <c r="NSK1876" s="1740"/>
      <c r="NSL1876" s="1740"/>
      <c r="NSM1876" s="1740"/>
      <c r="NSN1876" s="1740"/>
      <c r="NSO1876" s="1740"/>
      <c r="NSP1876" s="1740"/>
      <c r="NSQ1876" s="1740"/>
      <c r="NSR1876" s="1740"/>
      <c r="NSS1876" s="1740"/>
      <c r="NST1876" s="1740"/>
      <c r="NSU1876" s="1740"/>
      <c r="NSV1876" s="1740"/>
      <c r="NSW1876" s="1740"/>
      <c r="NSX1876" s="1740"/>
      <c r="NSY1876" s="1740"/>
      <c r="NSZ1876" s="1740"/>
      <c r="NTA1876" s="1740"/>
      <c r="NTB1876" s="1740"/>
      <c r="NTC1876" s="1740"/>
      <c r="NTD1876" s="1740"/>
      <c r="NTE1876" s="1740"/>
      <c r="NTF1876" s="1740"/>
      <c r="NTG1876" s="1740"/>
      <c r="NTH1876" s="1740"/>
      <c r="NTI1876" s="1740"/>
      <c r="NTJ1876" s="1740"/>
      <c r="NTK1876" s="1740"/>
      <c r="NTL1876" s="1740"/>
      <c r="NTM1876" s="1740"/>
      <c r="NTN1876" s="1740"/>
      <c r="NTO1876" s="1740"/>
      <c r="NTP1876" s="1740"/>
      <c r="NTQ1876" s="1740"/>
      <c r="NTR1876" s="1740"/>
      <c r="NTS1876" s="1740"/>
      <c r="NTT1876" s="1740"/>
      <c r="NTU1876" s="1740"/>
      <c r="NTV1876" s="1740"/>
      <c r="NTW1876" s="1740"/>
      <c r="NTX1876" s="1740"/>
      <c r="NTY1876" s="1740"/>
      <c r="NTZ1876" s="1740"/>
      <c r="NUA1876" s="1740"/>
      <c r="NUB1876" s="1740"/>
      <c r="NUC1876" s="1740"/>
      <c r="NUD1876" s="1740"/>
      <c r="NUE1876" s="1740"/>
      <c r="NUF1876" s="1740"/>
      <c r="NUG1876" s="1740"/>
      <c r="NUH1876" s="1740"/>
      <c r="NUI1876" s="1740"/>
      <c r="NUJ1876" s="1740"/>
      <c r="NUK1876" s="1740"/>
      <c r="NUL1876" s="1740"/>
      <c r="NUM1876" s="1740"/>
      <c r="NUN1876" s="1740"/>
      <c r="NUO1876" s="1740"/>
      <c r="NUP1876" s="1740"/>
      <c r="NUQ1876" s="1740"/>
      <c r="NUR1876" s="1740"/>
      <c r="NUS1876" s="1740"/>
      <c r="NUT1876" s="1740"/>
      <c r="NUU1876" s="1740"/>
      <c r="NUV1876" s="1740"/>
      <c r="NUW1876" s="1740"/>
      <c r="NUX1876" s="1740"/>
      <c r="NUY1876" s="1740"/>
      <c r="NUZ1876" s="1740"/>
      <c r="NVA1876" s="1740"/>
      <c r="NVB1876" s="1740"/>
      <c r="NVC1876" s="1740"/>
      <c r="NVD1876" s="1740"/>
      <c r="NVE1876" s="1740"/>
      <c r="NVF1876" s="1740"/>
      <c r="NVG1876" s="1740"/>
      <c r="NVH1876" s="1740"/>
      <c r="NVI1876" s="1740"/>
      <c r="NVJ1876" s="1740"/>
      <c r="NVK1876" s="1740"/>
      <c r="NVL1876" s="1740"/>
      <c r="NVM1876" s="1740"/>
      <c r="NVN1876" s="1740"/>
      <c r="NVO1876" s="1740"/>
      <c r="NVP1876" s="1740"/>
      <c r="NVQ1876" s="1740"/>
      <c r="NVR1876" s="1740"/>
      <c r="NVS1876" s="1740"/>
      <c r="NVT1876" s="1740"/>
      <c r="NVU1876" s="1740"/>
      <c r="NVV1876" s="1740"/>
      <c r="NVW1876" s="1740"/>
      <c r="NVX1876" s="1740"/>
      <c r="NVY1876" s="1740"/>
      <c r="NVZ1876" s="1740"/>
      <c r="NWA1876" s="1740"/>
      <c r="NWB1876" s="1740"/>
      <c r="NWC1876" s="1740"/>
      <c r="NWD1876" s="1740"/>
      <c r="NWE1876" s="1740"/>
      <c r="NWF1876" s="1740"/>
      <c r="NWG1876" s="1740"/>
      <c r="NWH1876" s="1740"/>
      <c r="NWI1876" s="1740"/>
      <c r="NWJ1876" s="1740"/>
      <c r="NWK1876" s="1740"/>
      <c r="NWL1876" s="1740"/>
      <c r="NWM1876" s="1740"/>
      <c r="NWN1876" s="1740"/>
      <c r="NWO1876" s="1740"/>
      <c r="NWP1876" s="1740"/>
      <c r="NWQ1876" s="1740"/>
      <c r="NWR1876" s="1740"/>
      <c r="NWS1876" s="1740"/>
      <c r="NWT1876" s="1740"/>
      <c r="NWU1876" s="1740"/>
      <c r="NWV1876" s="1740"/>
      <c r="NWW1876" s="1740"/>
      <c r="NWX1876" s="1740"/>
      <c r="NWY1876" s="1740"/>
      <c r="NWZ1876" s="1740"/>
      <c r="NXA1876" s="1740"/>
      <c r="NXB1876" s="1740"/>
      <c r="NXC1876" s="1740"/>
      <c r="NXD1876" s="1740"/>
      <c r="NXE1876" s="1740"/>
      <c r="NXF1876" s="1740"/>
      <c r="NXG1876" s="1740"/>
      <c r="NXH1876" s="1740"/>
      <c r="NXI1876" s="1740"/>
      <c r="NXJ1876" s="1740"/>
      <c r="NXK1876" s="1740"/>
      <c r="NXL1876" s="1740"/>
      <c r="NXM1876" s="1740"/>
      <c r="NXN1876" s="1740"/>
      <c r="NXO1876" s="1740"/>
      <c r="NXP1876" s="1740"/>
      <c r="NXQ1876" s="1740"/>
      <c r="NXR1876" s="1740"/>
      <c r="NXS1876" s="1740"/>
      <c r="NXT1876" s="1740"/>
      <c r="NXU1876" s="1740"/>
      <c r="NXV1876" s="1740"/>
      <c r="NXW1876" s="1740"/>
      <c r="NXX1876" s="1740"/>
      <c r="NXY1876" s="1740"/>
      <c r="NXZ1876" s="1740"/>
      <c r="NYA1876" s="1740"/>
      <c r="NYB1876" s="1740"/>
      <c r="NYC1876" s="1740"/>
      <c r="NYD1876" s="1740"/>
      <c r="NYE1876" s="1740"/>
      <c r="NYF1876" s="1740"/>
      <c r="NYG1876" s="1740"/>
      <c r="NYH1876" s="1740"/>
      <c r="NYI1876" s="1740"/>
      <c r="NYJ1876" s="1740"/>
      <c r="NYK1876" s="1740"/>
      <c r="NYL1876" s="1740"/>
      <c r="NYM1876" s="1740"/>
      <c r="NYN1876" s="1740"/>
      <c r="NYO1876" s="1740"/>
      <c r="NYP1876" s="1740"/>
      <c r="NYQ1876" s="1740"/>
      <c r="NYR1876" s="1740"/>
      <c r="NYS1876" s="1740"/>
      <c r="NYT1876" s="1740"/>
      <c r="NYU1876" s="1740"/>
      <c r="NYV1876" s="1740"/>
      <c r="NYW1876" s="1740"/>
      <c r="NYX1876" s="1740"/>
      <c r="NYY1876" s="1740"/>
      <c r="NYZ1876" s="1740"/>
      <c r="NZA1876" s="1740"/>
      <c r="NZB1876" s="1740"/>
      <c r="NZC1876" s="1740"/>
      <c r="NZD1876" s="1740"/>
      <c r="NZE1876" s="1740"/>
      <c r="NZF1876" s="1740"/>
      <c r="NZG1876" s="1740"/>
      <c r="NZH1876" s="1740"/>
      <c r="NZI1876" s="1740"/>
      <c r="NZJ1876" s="1740"/>
      <c r="NZK1876" s="1740"/>
      <c r="NZL1876" s="1740"/>
      <c r="NZM1876" s="1740"/>
      <c r="NZN1876" s="1740"/>
      <c r="NZO1876" s="1740"/>
      <c r="NZP1876" s="1740"/>
      <c r="NZQ1876" s="1740"/>
      <c r="NZR1876" s="1740"/>
      <c r="NZS1876" s="1740"/>
      <c r="NZT1876" s="1740"/>
      <c r="NZU1876" s="1740"/>
      <c r="NZV1876" s="1740"/>
      <c r="NZW1876" s="1740"/>
      <c r="NZX1876" s="1740"/>
      <c r="NZY1876" s="1740"/>
      <c r="NZZ1876" s="1740"/>
      <c r="OAA1876" s="1740"/>
      <c r="OAB1876" s="1740"/>
      <c r="OAC1876" s="1740"/>
      <c r="OAD1876" s="1740"/>
      <c r="OAE1876" s="1740"/>
      <c r="OAF1876" s="1740"/>
      <c r="OAG1876" s="1740"/>
      <c r="OAH1876" s="1740"/>
      <c r="OAI1876" s="1740"/>
      <c r="OAJ1876" s="1740"/>
      <c r="OAK1876" s="1740"/>
      <c r="OAL1876" s="1740"/>
      <c r="OAM1876" s="1740"/>
      <c r="OAN1876" s="1740"/>
      <c r="OAO1876" s="1740"/>
      <c r="OAP1876" s="1740"/>
      <c r="OAQ1876" s="1740"/>
      <c r="OAR1876" s="1740"/>
      <c r="OAS1876" s="1740"/>
      <c r="OAT1876" s="1740"/>
      <c r="OAU1876" s="1740"/>
      <c r="OAV1876" s="1740"/>
      <c r="OAW1876" s="1740"/>
      <c r="OAX1876" s="1740"/>
      <c r="OAY1876" s="1740"/>
      <c r="OAZ1876" s="1740"/>
      <c r="OBA1876" s="1740"/>
      <c r="OBB1876" s="1740"/>
      <c r="OBC1876" s="1740"/>
      <c r="OBD1876" s="1740"/>
      <c r="OBE1876" s="1740"/>
      <c r="OBF1876" s="1740"/>
      <c r="OBG1876" s="1740"/>
      <c r="OBH1876" s="1740"/>
      <c r="OBI1876" s="1740"/>
      <c r="OBJ1876" s="1740"/>
      <c r="OBK1876" s="1740"/>
      <c r="OBL1876" s="1740"/>
      <c r="OBM1876" s="1740"/>
      <c r="OBN1876" s="1740"/>
      <c r="OBO1876" s="1740"/>
      <c r="OBP1876" s="1740"/>
      <c r="OBQ1876" s="1740"/>
      <c r="OBR1876" s="1740"/>
      <c r="OBS1876" s="1740"/>
      <c r="OBT1876" s="1740"/>
      <c r="OBU1876" s="1740"/>
      <c r="OBV1876" s="1740"/>
      <c r="OBW1876" s="1740"/>
      <c r="OBX1876" s="1740"/>
      <c r="OBY1876" s="1740"/>
      <c r="OBZ1876" s="1740"/>
      <c r="OCA1876" s="1740"/>
      <c r="OCB1876" s="1740"/>
      <c r="OCC1876" s="1740"/>
      <c r="OCD1876" s="1740"/>
      <c r="OCE1876" s="1740"/>
      <c r="OCF1876" s="1740"/>
      <c r="OCG1876" s="1740"/>
      <c r="OCH1876" s="1740"/>
      <c r="OCI1876" s="1740"/>
      <c r="OCJ1876" s="1740"/>
      <c r="OCK1876" s="1740"/>
      <c r="OCL1876" s="1740"/>
      <c r="OCM1876" s="1740"/>
      <c r="OCN1876" s="1740"/>
      <c r="OCO1876" s="1740"/>
      <c r="OCP1876" s="1740"/>
      <c r="OCQ1876" s="1740"/>
      <c r="OCR1876" s="1740"/>
      <c r="OCS1876" s="1740"/>
      <c r="OCT1876" s="1740"/>
      <c r="OCU1876" s="1740"/>
      <c r="OCV1876" s="1740"/>
      <c r="OCW1876" s="1740"/>
      <c r="OCX1876" s="1740"/>
      <c r="OCY1876" s="1740"/>
      <c r="OCZ1876" s="1740"/>
      <c r="ODA1876" s="1740"/>
      <c r="ODB1876" s="1740"/>
      <c r="ODC1876" s="1740"/>
      <c r="ODD1876" s="1740"/>
      <c r="ODE1876" s="1740"/>
      <c r="ODF1876" s="1740"/>
      <c r="ODG1876" s="1740"/>
      <c r="ODH1876" s="1740"/>
      <c r="ODI1876" s="1740"/>
      <c r="ODJ1876" s="1740"/>
      <c r="ODK1876" s="1740"/>
      <c r="ODL1876" s="1740"/>
      <c r="ODM1876" s="1740"/>
      <c r="ODN1876" s="1740"/>
      <c r="ODO1876" s="1740"/>
      <c r="ODP1876" s="1740"/>
      <c r="ODQ1876" s="1740"/>
      <c r="ODR1876" s="1740"/>
      <c r="ODS1876" s="1740"/>
      <c r="ODT1876" s="1740"/>
      <c r="ODU1876" s="1740"/>
      <c r="ODV1876" s="1740"/>
      <c r="ODW1876" s="1740"/>
      <c r="ODX1876" s="1740"/>
      <c r="ODY1876" s="1740"/>
      <c r="ODZ1876" s="1740"/>
      <c r="OEA1876" s="1740"/>
      <c r="OEB1876" s="1740"/>
      <c r="OEC1876" s="1740"/>
      <c r="OED1876" s="1740"/>
      <c r="OEE1876" s="1740"/>
      <c r="OEF1876" s="1740"/>
      <c r="OEG1876" s="1740"/>
      <c r="OEH1876" s="1740"/>
      <c r="OEI1876" s="1740"/>
      <c r="OEJ1876" s="1740"/>
      <c r="OEK1876" s="1740"/>
      <c r="OEL1876" s="1740"/>
      <c r="OEM1876" s="1740"/>
      <c r="OEN1876" s="1740"/>
      <c r="OEO1876" s="1740"/>
      <c r="OEP1876" s="1740"/>
      <c r="OEQ1876" s="1740"/>
      <c r="OER1876" s="1740"/>
      <c r="OES1876" s="1740"/>
      <c r="OET1876" s="1740"/>
      <c r="OEU1876" s="1740"/>
      <c r="OEV1876" s="1740"/>
      <c r="OEW1876" s="1740"/>
      <c r="OEX1876" s="1740"/>
      <c r="OEY1876" s="1740"/>
      <c r="OEZ1876" s="1740"/>
      <c r="OFA1876" s="1740"/>
      <c r="OFB1876" s="1740"/>
      <c r="OFC1876" s="1740"/>
      <c r="OFD1876" s="1740"/>
      <c r="OFE1876" s="1740"/>
      <c r="OFF1876" s="1740"/>
      <c r="OFG1876" s="1740"/>
      <c r="OFH1876" s="1740"/>
      <c r="OFI1876" s="1740"/>
      <c r="OFJ1876" s="1740"/>
      <c r="OFK1876" s="1740"/>
      <c r="OFL1876" s="1740"/>
      <c r="OFM1876" s="1740"/>
      <c r="OFN1876" s="1740"/>
      <c r="OFO1876" s="1740"/>
      <c r="OFP1876" s="1740"/>
      <c r="OFQ1876" s="1740"/>
      <c r="OFR1876" s="1740"/>
      <c r="OFS1876" s="1740"/>
      <c r="OFT1876" s="1740"/>
      <c r="OFU1876" s="1740"/>
      <c r="OFV1876" s="1740"/>
      <c r="OFW1876" s="1740"/>
      <c r="OFX1876" s="1740"/>
      <c r="OFY1876" s="1740"/>
      <c r="OFZ1876" s="1740"/>
      <c r="OGA1876" s="1740"/>
      <c r="OGB1876" s="1740"/>
      <c r="OGC1876" s="1740"/>
      <c r="OGD1876" s="1740"/>
      <c r="OGE1876" s="1740"/>
      <c r="OGF1876" s="1740"/>
      <c r="OGG1876" s="1740"/>
      <c r="OGH1876" s="1740"/>
      <c r="OGI1876" s="1740"/>
      <c r="OGJ1876" s="1740"/>
      <c r="OGK1876" s="1740"/>
      <c r="OGL1876" s="1740"/>
      <c r="OGM1876" s="1740"/>
      <c r="OGN1876" s="1740"/>
      <c r="OGO1876" s="1740"/>
      <c r="OGP1876" s="1740"/>
      <c r="OGQ1876" s="1740"/>
      <c r="OGR1876" s="1740"/>
      <c r="OGS1876" s="1740"/>
      <c r="OGT1876" s="1740"/>
      <c r="OGU1876" s="1740"/>
      <c r="OGV1876" s="1740"/>
      <c r="OGW1876" s="1740"/>
      <c r="OGX1876" s="1740"/>
      <c r="OGY1876" s="1740"/>
      <c r="OGZ1876" s="1740"/>
      <c r="OHA1876" s="1740"/>
      <c r="OHB1876" s="1740"/>
      <c r="OHC1876" s="1740"/>
      <c r="OHD1876" s="1740"/>
      <c r="OHE1876" s="1740"/>
      <c r="OHF1876" s="1740"/>
      <c r="OHG1876" s="1740"/>
      <c r="OHH1876" s="1740"/>
      <c r="OHI1876" s="1740"/>
      <c r="OHJ1876" s="1740"/>
      <c r="OHK1876" s="1740"/>
      <c r="OHL1876" s="1740"/>
      <c r="OHM1876" s="1740"/>
      <c r="OHN1876" s="1740"/>
      <c r="OHO1876" s="1740"/>
      <c r="OHP1876" s="1740"/>
      <c r="OHQ1876" s="1740"/>
      <c r="OHR1876" s="1740"/>
      <c r="OHS1876" s="1740"/>
      <c r="OHT1876" s="1740"/>
      <c r="OHU1876" s="1740"/>
      <c r="OHV1876" s="1740"/>
      <c r="OHW1876" s="1740"/>
      <c r="OHX1876" s="1740"/>
      <c r="OHY1876" s="1740"/>
      <c r="OHZ1876" s="1740"/>
      <c r="OIA1876" s="1740"/>
      <c r="OIB1876" s="1740"/>
      <c r="OIC1876" s="1740"/>
      <c r="OID1876" s="1740"/>
      <c r="OIE1876" s="1740"/>
      <c r="OIF1876" s="1740"/>
      <c r="OIG1876" s="1740"/>
      <c r="OIH1876" s="1740"/>
      <c r="OII1876" s="1740"/>
      <c r="OIJ1876" s="1740"/>
      <c r="OIK1876" s="1740"/>
      <c r="OIL1876" s="1740"/>
      <c r="OIM1876" s="1740"/>
      <c r="OIN1876" s="1740"/>
      <c r="OIO1876" s="1740"/>
      <c r="OIP1876" s="1740"/>
      <c r="OIQ1876" s="1740"/>
      <c r="OIR1876" s="1740"/>
      <c r="OIS1876" s="1740"/>
      <c r="OIT1876" s="1740"/>
      <c r="OIU1876" s="1740"/>
      <c r="OIV1876" s="1740"/>
      <c r="OIW1876" s="1740"/>
      <c r="OIX1876" s="1740"/>
      <c r="OIY1876" s="1740"/>
      <c r="OIZ1876" s="1740"/>
      <c r="OJA1876" s="1740"/>
      <c r="OJB1876" s="1740"/>
      <c r="OJC1876" s="1740"/>
      <c r="OJD1876" s="1740"/>
      <c r="OJE1876" s="1740"/>
      <c r="OJF1876" s="1740"/>
      <c r="OJG1876" s="1740"/>
      <c r="OJH1876" s="1740"/>
      <c r="OJI1876" s="1740"/>
      <c r="OJJ1876" s="1740"/>
      <c r="OJK1876" s="1740"/>
      <c r="OJL1876" s="1740"/>
      <c r="OJM1876" s="1740"/>
      <c r="OJN1876" s="1740"/>
      <c r="OJO1876" s="1740"/>
      <c r="OJP1876" s="1740"/>
      <c r="OJQ1876" s="1740"/>
      <c r="OJR1876" s="1740"/>
      <c r="OJS1876" s="1740"/>
      <c r="OJT1876" s="1740"/>
      <c r="OJU1876" s="1740"/>
      <c r="OJV1876" s="1740"/>
      <c r="OJW1876" s="1740"/>
      <c r="OJX1876" s="1740"/>
      <c r="OJY1876" s="1740"/>
      <c r="OJZ1876" s="1740"/>
      <c r="OKA1876" s="1740"/>
      <c r="OKB1876" s="1740"/>
      <c r="OKC1876" s="1740"/>
      <c r="OKD1876" s="1740"/>
      <c r="OKE1876" s="1740"/>
      <c r="OKF1876" s="1740"/>
      <c r="OKG1876" s="1740"/>
      <c r="OKH1876" s="1740"/>
      <c r="OKI1876" s="1740"/>
      <c r="OKJ1876" s="1740"/>
      <c r="OKK1876" s="1740"/>
      <c r="OKL1876" s="1740"/>
      <c r="OKM1876" s="1740"/>
      <c r="OKN1876" s="1740"/>
      <c r="OKO1876" s="1740"/>
      <c r="OKP1876" s="1740"/>
      <c r="OKQ1876" s="1740"/>
      <c r="OKR1876" s="1740"/>
      <c r="OKS1876" s="1740"/>
      <c r="OKT1876" s="1740"/>
      <c r="OKU1876" s="1740"/>
      <c r="OKV1876" s="1740"/>
      <c r="OKW1876" s="1740"/>
      <c r="OKX1876" s="1740"/>
      <c r="OKY1876" s="1740"/>
      <c r="OKZ1876" s="1740"/>
      <c r="OLA1876" s="1740"/>
      <c r="OLB1876" s="1740"/>
      <c r="OLC1876" s="1740"/>
      <c r="OLD1876" s="1740"/>
      <c r="OLE1876" s="1740"/>
      <c r="OLF1876" s="1740"/>
      <c r="OLG1876" s="1740"/>
      <c r="OLH1876" s="1740"/>
      <c r="OLI1876" s="1740"/>
      <c r="OLJ1876" s="1740"/>
      <c r="OLK1876" s="1740"/>
      <c r="OLL1876" s="1740"/>
      <c r="OLM1876" s="1740"/>
      <c r="OLN1876" s="1740"/>
      <c r="OLO1876" s="1740"/>
      <c r="OLP1876" s="1740"/>
      <c r="OLQ1876" s="1740"/>
      <c r="OLR1876" s="1740"/>
      <c r="OLS1876" s="1740"/>
      <c r="OLT1876" s="1740"/>
      <c r="OLU1876" s="1740"/>
      <c r="OLV1876" s="1740"/>
      <c r="OLW1876" s="1740"/>
      <c r="OLX1876" s="1740"/>
      <c r="OLY1876" s="1740"/>
      <c r="OLZ1876" s="1740"/>
      <c r="OMA1876" s="1740"/>
      <c r="OMB1876" s="1740"/>
      <c r="OMC1876" s="1740"/>
      <c r="OMD1876" s="1740"/>
      <c r="OME1876" s="1740"/>
      <c r="OMF1876" s="1740"/>
      <c r="OMG1876" s="1740"/>
      <c r="OMH1876" s="1740"/>
      <c r="OMI1876" s="1740"/>
      <c r="OMJ1876" s="1740"/>
      <c r="OMK1876" s="1740"/>
      <c r="OML1876" s="1740"/>
      <c r="OMM1876" s="1740"/>
      <c r="OMN1876" s="1740"/>
      <c r="OMO1876" s="1740"/>
      <c r="OMP1876" s="1740"/>
      <c r="OMQ1876" s="1740"/>
      <c r="OMR1876" s="1740"/>
      <c r="OMS1876" s="1740"/>
      <c r="OMT1876" s="1740"/>
      <c r="OMU1876" s="1740"/>
      <c r="OMV1876" s="1740"/>
      <c r="OMW1876" s="1740"/>
      <c r="OMX1876" s="1740"/>
      <c r="OMY1876" s="1740"/>
      <c r="OMZ1876" s="1740"/>
      <c r="ONA1876" s="1740"/>
      <c r="ONB1876" s="1740"/>
      <c r="ONC1876" s="1740"/>
      <c r="OND1876" s="1740"/>
      <c r="ONE1876" s="1740"/>
      <c r="ONF1876" s="1740"/>
      <c r="ONG1876" s="1740"/>
      <c r="ONH1876" s="1740"/>
      <c r="ONI1876" s="1740"/>
      <c r="ONJ1876" s="1740"/>
      <c r="ONK1876" s="1740"/>
      <c r="ONL1876" s="1740"/>
      <c r="ONM1876" s="1740"/>
      <c r="ONN1876" s="1740"/>
      <c r="ONO1876" s="1740"/>
      <c r="ONP1876" s="1740"/>
      <c r="ONQ1876" s="1740"/>
      <c r="ONR1876" s="1740"/>
      <c r="ONS1876" s="1740"/>
      <c r="ONT1876" s="1740"/>
      <c r="ONU1876" s="1740"/>
      <c r="ONV1876" s="1740"/>
      <c r="ONW1876" s="1740"/>
      <c r="ONX1876" s="1740"/>
      <c r="ONY1876" s="1740"/>
      <c r="ONZ1876" s="1740"/>
      <c r="OOA1876" s="1740"/>
      <c r="OOB1876" s="1740"/>
      <c r="OOC1876" s="1740"/>
      <c r="OOD1876" s="1740"/>
      <c r="OOE1876" s="1740"/>
      <c r="OOF1876" s="1740"/>
      <c r="OOG1876" s="1740"/>
      <c r="OOH1876" s="1740"/>
      <c r="OOI1876" s="1740"/>
      <c r="OOJ1876" s="1740"/>
      <c r="OOK1876" s="1740"/>
      <c r="OOL1876" s="1740"/>
      <c r="OOM1876" s="1740"/>
      <c r="OON1876" s="1740"/>
      <c r="OOO1876" s="1740"/>
      <c r="OOP1876" s="1740"/>
      <c r="OOQ1876" s="1740"/>
      <c r="OOR1876" s="1740"/>
      <c r="OOS1876" s="1740"/>
      <c r="OOT1876" s="1740"/>
      <c r="OOU1876" s="1740"/>
      <c r="OOV1876" s="1740"/>
      <c r="OOW1876" s="1740"/>
      <c r="OOX1876" s="1740"/>
      <c r="OOY1876" s="1740"/>
      <c r="OOZ1876" s="1740"/>
      <c r="OPA1876" s="1740"/>
      <c r="OPB1876" s="1740"/>
      <c r="OPC1876" s="1740"/>
      <c r="OPD1876" s="1740"/>
      <c r="OPE1876" s="1740"/>
      <c r="OPF1876" s="1740"/>
      <c r="OPG1876" s="1740"/>
      <c r="OPH1876" s="1740"/>
      <c r="OPI1876" s="1740"/>
      <c r="OPJ1876" s="1740"/>
      <c r="OPK1876" s="1740"/>
      <c r="OPL1876" s="1740"/>
      <c r="OPM1876" s="1740"/>
      <c r="OPN1876" s="1740"/>
      <c r="OPO1876" s="1740"/>
      <c r="OPP1876" s="1740"/>
      <c r="OPQ1876" s="1740"/>
      <c r="OPR1876" s="1740"/>
      <c r="OPS1876" s="1740"/>
      <c r="OPT1876" s="1740"/>
      <c r="OPU1876" s="1740"/>
      <c r="OPV1876" s="1740"/>
      <c r="OPW1876" s="1740"/>
      <c r="OPX1876" s="1740"/>
      <c r="OPY1876" s="1740"/>
      <c r="OPZ1876" s="1740"/>
      <c r="OQA1876" s="1740"/>
      <c r="OQB1876" s="1740"/>
      <c r="OQC1876" s="1740"/>
      <c r="OQD1876" s="1740"/>
      <c r="OQE1876" s="1740"/>
      <c r="OQF1876" s="1740"/>
      <c r="OQG1876" s="1740"/>
      <c r="OQH1876" s="1740"/>
      <c r="OQI1876" s="1740"/>
      <c r="OQJ1876" s="1740"/>
      <c r="OQK1876" s="1740"/>
      <c r="OQL1876" s="1740"/>
      <c r="OQM1876" s="1740"/>
      <c r="OQN1876" s="1740"/>
      <c r="OQO1876" s="1740"/>
      <c r="OQP1876" s="1740"/>
      <c r="OQQ1876" s="1740"/>
      <c r="OQR1876" s="1740"/>
      <c r="OQS1876" s="1740"/>
      <c r="OQT1876" s="1740"/>
      <c r="OQU1876" s="1740"/>
      <c r="OQV1876" s="1740"/>
      <c r="OQW1876" s="1740"/>
      <c r="OQX1876" s="1740"/>
      <c r="OQY1876" s="1740"/>
      <c r="OQZ1876" s="1740"/>
      <c r="ORA1876" s="1740"/>
      <c r="ORB1876" s="1740"/>
      <c r="ORC1876" s="1740"/>
      <c r="ORD1876" s="1740"/>
      <c r="ORE1876" s="1740"/>
      <c r="ORF1876" s="1740"/>
      <c r="ORG1876" s="1740"/>
      <c r="ORH1876" s="1740"/>
      <c r="ORI1876" s="1740"/>
      <c r="ORJ1876" s="1740"/>
      <c r="ORK1876" s="1740"/>
      <c r="ORL1876" s="1740"/>
      <c r="ORM1876" s="1740"/>
      <c r="ORN1876" s="1740"/>
      <c r="ORO1876" s="1740"/>
      <c r="ORP1876" s="1740"/>
      <c r="ORQ1876" s="1740"/>
      <c r="ORR1876" s="1740"/>
      <c r="ORS1876" s="1740"/>
      <c r="ORT1876" s="1740"/>
      <c r="ORU1876" s="1740"/>
      <c r="ORV1876" s="1740"/>
      <c r="ORW1876" s="1740"/>
      <c r="ORX1876" s="1740"/>
      <c r="ORY1876" s="1740"/>
      <c r="ORZ1876" s="1740"/>
      <c r="OSA1876" s="1740"/>
      <c r="OSB1876" s="1740"/>
      <c r="OSC1876" s="1740"/>
      <c r="OSD1876" s="1740"/>
      <c r="OSE1876" s="1740"/>
      <c r="OSF1876" s="1740"/>
      <c r="OSG1876" s="1740"/>
      <c r="OSH1876" s="1740"/>
      <c r="OSI1876" s="1740"/>
      <c r="OSJ1876" s="1740"/>
      <c r="OSK1876" s="1740"/>
      <c r="OSL1876" s="1740"/>
      <c r="OSM1876" s="1740"/>
      <c r="OSN1876" s="1740"/>
      <c r="OSO1876" s="1740"/>
      <c r="OSP1876" s="1740"/>
      <c r="OSQ1876" s="1740"/>
      <c r="OSR1876" s="1740"/>
      <c r="OSS1876" s="1740"/>
      <c r="OST1876" s="1740"/>
      <c r="OSU1876" s="1740"/>
      <c r="OSV1876" s="1740"/>
      <c r="OSW1876" s="1740"/>
      <c r="OSX1876" s="1740"/>
      <c r="OSY1876" s="1740"/>
      <c r="OSZ1876" s="1740"/>
      <c r="OTA1876" s="1740"/>
      <c r="OTB1876" s="1740"/>
      <c r="OTC1876" s="1740"/>
      <c r="OTD1876" s="1740"/>
      <c r="OTE1876" s="1740"/>
      <c r="OTF1876" s="1740"/>
      <c r="OTG1876" s="1740"/>
      <c r="OTH1876" s="1740"/>
      <c r="OTI1876" s="1740"/>
      <c r="OTJ1876" s="1740"/>
      <c r="OTK1876" s="1740"/>
      <c r="OTL1876" s="1740"/>
      <c r="OTM1876" s="1740"/>
      <c r="OTN1876" s="1740"/>
      <c r="OTO1876" s="1740"/>
      <c r="OTP1876" s="1740"/>
      <c r="OTQ1876" s="1740"/>
      <c r="OTR1876" s="1740"/>
      <c r="OTS1876" s="1740"/>
      <c r="OTT1876" s="1740"/>
      <c r="OTU1876" s="1740"/>
      <c r="OTV1876" s="1740"/>
      <c r="OTW1876" s="1740"/>
      <c r="OTX1876" s="1740"/>
      <c r="OTY1876" s="1740"/>
      <c r="OTZ1876" s="1740"/>
      <c r="OUA1876" s="1740"/>
      <c r="OUB1876" s="1740"/>
      <c r="OUC1876" s="1740"/>
      <c r="OUD1876" s="1740"/>
      <c r="OUE1876" s="1740"/>
      <c r="OUF1876" s="1740"/>
      <c r="OUG1876" s="1740"/>
      <c r="OUH1876" s="1740"/>
      <c r="OUI1876" s="1740"/>
      <c r="OUJ1876" s="1740"/>
      <c r="OUK1876" s="1740"/>
      <c r="OUL1876" s="1740"/>
      <c r="OUM1876" s="1740"/>
      <c r="OUN1876" s="1740"/>
      <c r="OUO1876" s="1740"/>
      <c r="OUP1876" s="1740"/>
      <c r="OUQ1876" s="1740"/>
      <c r="OUR1876" s="1740"/>
      <c r="OUS1876" s="1740"/>
      <c r="OUT1876" s="1740"/>
      <c r="OUU1876" s="1740"/>
      <c r="OUV1876" s="1740"/>
      <c r="OUW1876" s="1740"/>
      <c r="OUX1876" s="1740"/>
      <c r="OUY1876" s="1740"/>
      <c r="OUZ1876" s="1740"/>
      <c r="OVA1876" s="1740"/>
      <c r="OVB1876" s="1740"/>
      <c r="OVC1876" s="1740"/>
      <c r="OVD1876" s="1740"/>
      <c r="OVE1876" s="1740"/>
      <c r="OVF1876" s="1740"/>
      <c r="OVG1876" s="1740"/>
      <c r="OVH1876" s="1740"/>
      <c r="OVI1876" s="1740"/>
      <c r="OVJ1876" s="1740"/>
      <c r="OVK1876" s="1740"/>
      <c r="OVL1876" s="1740"/>
      <c r="OVM1876" s="1740"/>
      <c r="OVN1876" s="1740"/>
      <c r="OVO1876" s="1740"/>
      <c r="OVP1876" s="1740"/>
      <c r="OVQ1876" s="1740"/>
      <c r="OVR1876" s="1740"/>
      <c r="OVS1876" s="1740"/>
      <c r="OVT1876" s="1740"/>
      <c r="OVU1876" s="1740"/>
      <c r="OVV1876" s="1740"/>
      <c r="OVW1876" s="1740"/>
      <c r="OVX1876" s="1740"/>
      <c r="OVY1876" s="1740"/>
      <c r="OVZ1876" s="1740"/>
      <c r="OWA1876" s="1740"/>
      <c r="OWB1876" s="1740"/>
      <c r="OWC1876" s="1740"/>
      <c r="OWD1876" s="1740"/>
      <c r="OWE1876" s="1740"/>
      <c r="OWF1876" s="1740"/>
      <c r="OWG1876" s="1740"/>
      <c r="OWH1876" s="1740"/>
      <c r="OWI1876" s="1740"/>
      <c r="OWJ1876" s="1740"/>
      <c r="OWK1876" s="1740"/>
      <c r="OWL1876" s="1740"/>
      <c r="OWM1876" s="1740"/>
      <c r="OWN1876" s="1740"/>
      <c r="OWO1876" s="1740"/>
      <c r="OWP1876" s="1740"/>
      <c r="OWQ1876" s="1740"/>
      <c r="OWR1876" s="1740"/>
      <c r="OWS1876" s="1740"/>
      <c r="OWT1876" s="1740"/>
      <c r="OWU1876" s="1740"/>
      <c r="OWV1876" s="1740"/>
      <c r="OWW1876" s="1740"/>
      <c r="OWX1876" s="1740"/>
      <c r="OWY1876" s="1740"/>
      <c r="OWZ1876" s="1740"/>
      <c r="OXA1876" s="1740"/>
      <c r="OXB1876" s="1740"/>
      <c r="OXC1876" s="1740"/>
      <c r="OXD1876" s="1740"/>
      <c r="OXE1876" s="1740"/>
      <c r="OXF1876" s="1740"/>
      <c r="OXG1876" s="1740"/>
      <c r="OXH1876" s="1740"/>
      <c r="OXI1876" s="1740"/>
      <c r="OXJ1876" s="1740"/>
      <c r="OXK1876" s="1740"/>
      <c r="OXL1876" s="1740"/>
      <c r="OXM1876" s="1740"/>
      <c r="OXN1876" s="1740"/>
      <c r="OXO1876" s="1740"/>
      <c r="OXP1876" s="1740"/>
      <c r="OXQ1876" s="1740"/>
      <c r="OXR1876" s="1740"/>
      <c r="OXS1876" s="1740"/>
      <c r="OXT1876" s="1740"/>
      <c r="OXU1876" s="1740"/>
      <c r="OXV1876" s="1740"/>
      <c r="OXW1876" s="1740"/>
      <c r="OXX1876" s="1740"/>
      <c r="OXY1876" s="1740"/>
      <c r="OXZ1876" s="1740"/>
      <c r="OYA1876" s="1740"/>
      <c r="OYB1876" s="1740"/>
      <c r="OYC1876" s="1740"/>
      <c r="OYD1876" s="1740"/>
      <c r="OYE1876" s="1740"/>
      <c r="OYF1876" s="1740"/>
      <c r="OYG1876" s="1740"/>
      <c r="OYH1876" s="1740"/>
      <c r="OYI1876" s="1740"/>
      <c r="OYJ1876" s="1740"/>
      <c r="OYK1876" s="1740"/>
      <c r="OYL1876" s="1740"/>
      <c r="OYM1876" s="1740"/>
      <c r="OYN1876" s="1740"/>
      <c r="OYO1876" s="1740"/>
      <c r="OYP1876" s="1740"/>
      <c r="OYQ1876" s="1740"/>
      <c r="OYR1876" s="1740"/>
      <c r="OYS1876" s="1740"/>
      <c r="OYT1876" s="1740"/>
      <c r="OYU1876" s="1740"/>
      <c r="OYV1876" s="1740"/>
      <c r="OYW1876" s="1740"/>
      <c r="OYX1876" s="1740"/>
      <c r="OYY1876" s="1740"/>
      <c r="OYZ1876" s="1740"/>
      <c r="OZA1876" s="1740"/>
      <c r="OZB1876" s="1740"/>
      <c r="OZC1876" s="1740"/>
      <c r="OZD1876" s="1740"/>
      <c r="OZE1876" s="1740"/>
      <c r="OZF1876" s="1740"/>
      <c r="OZG1876" s="1740"/>
      <c r="OZH1876" s="1740"/>
      <c r="OZI1876" s="1740"/>
      <c r="OZJ1876" s="1740"/>
      <c r="OZK1876" s="1740"/>
      <c r="OZL1876" s="1740"/>
      <c r="OZM1876" s="1740"/>
      <c r="OZN1876" s="1740"/>
      <c r="OZO1876" s="1740"/>
      <c r="OZP1876" s="1740"/>
      <c r="OZQ1876" s="1740"/>
      <c r="OZR1876" s="1740"/>
      <c r="OZS1876" s="1740"/>
      <c r="OZT1876" s="1740"/>
      <c r="OZU1876" s="1740"/>
      <c r="OZV1876" s="1740"/>
      <c r="OZW1876" s="1740"/>
      <c r="OZX1876" s="1740"/>
      <c r="OZY1876" s="1740"/>
      <c r="OZZ1876" s="1740"/>
      <c r="PAA1876" s="1740"/>
      <c r="PAB1876" s="1740"/>
      <c r="PAC1876" s="1740"/>
      <c r="PAD1876" s="1740"/>
      <c r="PAE1876" s="1740"/>
      <c r="PAF1876" s="1740"/>
      <c r="PAG1876" s="1740"/>
      <c r="PAH1876" s="1740"/>
      <c r="PAI1876" s="1740"/>
      <c r="PAJ1876" s="1740"/>
      <c r="PAK1876" s="1740"/>
      <c r="PAL1876" s="1740"/>
      <c r="PAM1876" s="1740"/>
      <c r="PAN1876" s="1740"/>
      <c r="PAO1876" s="1740"/>
      <c r="PAP1876" s="1740"/>
      <c r="PAQ1876" s="1740"/>
      <c r="PAR1876" s="1740"/>
      <c r="PAS1876" s="1740"/>
      <c r="PAT1876" s="1740"/>
      <c r="PAU1876" s="1740"/>
      <c r="PAV1876" s="1740"/>
      <c r="PAW1876" s="1740"/>
      <c r="PAX1876" s="1740"/>
      <c r="PAY1876" s="1740"/>
      <c r="PAZ1876" s="1740"/>
      <c r="PBA1876" s="1740"/>
      <c r="PBB1876" s="1740"/>
      <c r="PBC1876" s="1740"/>
      <c r="PBD1876" s="1740"/>
      <c r="PBE1876" s="1740"/>
      <c r="PBF1876" s="1740"/>
      <c r="PBG1876" s="1740"/>
      <c r="PBH1876" s="1740"/>
      <c r="PBI1876" s="1740"/>
      <c r="PBJ1876" s="1740"/>
      <c r="PBK1876" s="1740"/>
      <c r="PBL1876" s="1740"/>
      <c r="PBM1876" s="1740"/>
      <c r="PBN1876" s="1740"/>
      <c r="PBO1876" s="1740"/>
      <c r="PBP1876" s="1740"/>
      <c r="PBQ1876" s="1740"/>
      <c r="PBR1876" s="1740"/>
      <c r="PBS1876" s="1740"/>
      <c r="PBT1876" s="1740"/>
      <c r="PBU1876" s="1740"/>
      <c r="PBV1876" s="1740"/>
      <c r="PBW1876" s="1740"/>
      <c r="PBX1876" s="1740"/>
      <c r="PBY1876" s="1740"/>
      <c r="PBZ1876" s="1740"/>
      <c r="PCA1876" s="1740"/>
      <c r="PCB1876" s="1740"/>
      <c r="PCC1876" s="1740"/>
      <c r="PCD1876" s="1740"/>
      <c r="PCE1876" s="1740"/>
      <c r="PCF1876" s="1740"/>
      <c r="PCG1876" s="1740"/>
      <c r="PCH1876" s="1740"/>
      <c r="PCI1876" s="1740"/>
      <c r="PCJ1876" s="1740"/>
      <c r="PCK1876" s="1740"/>
      <c r="PCL1876" s="1740"/>
      <c r="PCM1876" s="1740"/>
      <c r="PCN1876" s="1740"/>
      <c r="PCO1876" s="1740"/>
      <c r="PCP1876" s="1740"/>
      <c r="PCQ1876" s="1740"/>
      <c r="PCR1876" s="1740"/>
      <c r="PCS1876" s="1740"/>
      <c r="PCT1876" s="1740"/>
      <c r="PCU1876" s="1740"/>
      <c r="PCV1876" s="1740"/>
      <c r="PCW1876" s="1740"/>
      <c r="PCX1876" s="1740"/>
      <c r="PCY1876" s="1740"/>
      <c r="PCZ1876" s="1740"/>
      <c r="PDA1876" s="1740"/>
      <c r="PDB1876" s="1740"/>
      <c r="PDC1876" s="1740"/>
      <c r="PDD1876" s="1740"/>
      <c r="PDE1876" s="1740"/>
      <c r="PDF1876" s="1740"/>
      <c r="PDG1876" s="1740"/>
      <c r="PDH1876" s="1740"/>
      <c r="PDI1876" s="1740"/>
      <c r="PDJ1876" s="1740"/>
      <c r="PDK1876" s="1740"/>
      <c r="PDL1876" s="1740"/>
      <c r="PDM1876" s="1740"/>
      <c r="PDN1876" s="1740"/>
      <c r="PDO1876" s="1740"/>
      <c r="PDP1876" s="1740"/>
      <c r="PDQ1876" s="1740"/>
      <c r="PDR1876" s="1740"/>
      <c r="PDS1876" s="1740"/>
      <c r="PDT1876" s="1740"/>
      <c r="PDU1876" s="1740"/>
      <c r="PDV1876" s="1740"/>
      <c r="PDW1876" s="1740"/>
      <c r="PDX1876" s="1740"/>
      <c r="PDY1876" s="1740"/>
      <c r="PDZ1876" s="1740"/>
      <c r="PEA1876" s="1740"/>
      <c r="PEB1876" s="1740"/>
      <c r="PEC1876" s="1740"/>
      <c r="PED1876" s="1740"/>
      <c r="PEE1876" s="1740"/>
      <c r="PEF1876" s="1740"/>
      <c r="PEG1876" s="1740"/>
      <c r="PEH1876" s="1740"/>
      <c r="PEI1876" s="1740"/>
      <c r="PEJ1876" s="1740"/>
      <c r="PEK1876" s="1740"/>
      <c r="PEL1876" s="1740"/>
      <c r="PEM1876" s="1740"/>
      <c r="PEN1876" s="1740"/>
      <c r="PEO1876" s="1740"/>
      <c r="PEP1876" s="1740"/>
      <c r="PEQ1876" s="1740"/>
      <c r="PER1876" s="1740"/>
      <c r="PES1876" s="1740"/>
      <c r="PET1876" s="1740"/>
      <c r="PEU1876" s="1740"/>
      <c r="PEV1876" s="1740"/>
      <c r="PEW1876" s="1740"/>
      <c r="PEX1876" s="1740"/>
      <c r="PEY1876" s="1740"/>
      <c r="PEZ1876" s="1740"/>
      <c r="PFA1876" s="1740"/>
      <c r="PFB1876" s="1740"/>
      <c r="PFC1876" s="1740"/>
      <c r="PFD1876" s="1740"/>
      <c r="PFE1876" s="1740"/>
      <c r="PFF1876" s="1740"/>
      <c r="PFG1876" s="1740"/>
      <c r="PFH1876" s="1740"/>
      <c r="PFI1876" s="1740"/>
      <c r="PFJ1876" s="1740"/>
      <c r="PFK1876" s="1740"/>
      <c r="PFL1876" s="1740"/>
      <c r="PFM1876" s="1740"/>
      <c r="PFN1876" s="1740"/>
      <c r="PFO1876" s="1740"/>
      <c r="PFP1876" s="1740"/>
      <c r="PFQ1876" s="1740"/>
      <c r="PFR1876" s="1740"/>
      <c r="PFS1876" s="1740"/>
      <c r="PFT1876" s="1740"/>
      <c r="PFU1876" s="1740"/>
      <c r="PFV1876" s="1740"/>
      <c r="PFW1876" s="1740"/>
      <c r="PFX1876" s="1740"/>
      <c r="PFY1876" s="1740"/>
      <c r="PFZ1876" s="1740"/>
      <c r="PGA1876" s="1740"/>
      <c r="PGB1876" s="1740"/>
      <c r="PGC1876" s="1740"/>
      <c r="PGD1876" s="1740"/>
      <c r="PGE1876" s="1740"/>
      <c r="PGF1876" s="1740"/>
      <c r="PGG1876" s="1740"/>
      <c r="PGH1876" s="1740"/>
      <c r="PGI1876" s="1740"/>
      <c r="PGJ1876" s="1740"/>
      <c r="PGK1876" s="1740"/>
      <c r="PGL1876" s="1740"/>
      <c r="PGM1876" s="1740"/>
      <c r="PGN1876" s="1740"/>
      <c r="PGO1876" s="1740"/>
      <c r="PGP1876" s="1740"/>
      <c r="PGQ1876" s="1740"/>
      <c r="PGR1876" s="1740"/>
      <c r="PGS1876" s="1740"/>
      <c r="PGT1876" s="1740"/>
      <c r="PGU1876" s="1740"/>
      <c r="PGV1876" s="1740"/>
      <c r="PGW1876" s="1740"/>
      <c r="PGX1876" s="1740"/>
      <c r="PGY1876" s="1740"/>
      <c r="PGZ1876" s="1740"/>
      <c r="PHA1876" s="1740"/>
      <c r="PHB1876" s="1740"/>
      <c r="PHC1876" s="1740"/>
      <c r="PHD1876" s="1740"/>
      <c r="PHE1876" s="1740"/>
      <c r="PHF1876" s="1740"/>
      <c r="PHG1876" s="1740"/>
      <c r="PHH1876" s="1740"/>
      <c r="PHI1876" s="1740"/>
      <c r="PHJ1876" s="1740"/>
      <c r="PHK1876" s="1740"/>
      <c r="PHL1876" s="1740"/>
      <c r="PHM1876" s="1740"/>
      <c r="PHN1876" s="1740"/>
      <c r="PHO1876" s="1740"/>
      <c r="PHP1876" s="1740"/>
      <c r="PHQ1876" s="1740"/>
      <c r="PHR1876" s="1740"/>
      <c r="PHS1876" s="1740"/>
      <c r="PHT1876" s="1740"/>
      <c r="PHU1876" s="1740"/>
      <c r="PHV1876" s="1740"/>
      <c r="PHW1876" s="1740"/>
      <c r="PHX1876" s="1740"/>
      <c r="PHY1876" s="1740"/>
      <c r="PHZ1876" s="1740"/>
      <c r="PIA1876" s="1740"/>
      <c r="PIB1876" s="1740"/>
      <c r="PIC1876" s="1740"/>
      <c r="PID1876" s="1740"/>
      <c r="PIE1876" s="1740"/>
      <c r="PIF1876" s="1740"/>
      <c r="PIG1876" s="1740"/>
      <c r="PIH1876" s="1740"/>
      <c r="PII1876" s="1740"/>
      <c r="PIJ1876" s="1740"/>
      <c r="PIK1876" s="1740"/>
      <c r="PIL1876" s="1740"/>
      <c r="PIM1876" s="1740"/>
      <c r="PIN1876" s="1740"/>
      <c r="PIO1876" s="1740"/>
      <c r="PIP1876" s="1740"/>
      <c r="PIQ1876" s="1740"/>
      <c r="PIR1876" s="1740"/>
      <c r="PIS1876" s="1740"/>
      <c r="PIT1876" s="1740"/>
      <c r="PIU1876" s="1740"/>
      <c r="PIV1876" s="1740"/>
      <c r="PIW1876" s="1740"/>
      <c r="PIX1876" s="1740"/>
      <c r="PIY1876" s="1740"/>
      <c r="PIZ1876" s="1740"/>
      <c r="PJA1876" s="1740"/>
      <c r="PJB1876" s="1740"/>
      <c r="PJC1876" s="1740"/>
      <c r="PJD1876" s="1740"/>
      <c r="PJE1876" s="1740"/>
      <c r="PJF1876" s="1740"/>
      <c r="PJG1876" s="1740"/>
      <c r="PJH1876" s="1740"/>
      <c r="PJI1876" s="1740"/>
      <c r="PJJ1876" s="1740"/>
      <c r="PJK1876" s="1740"/>
      <c r="PJL1876" s="1740"/>
      <c r="PJM1876" s="1740"/>
      <c r="PJN1876" s="1740"/>
      <c r="PJO1876" s="1740"/>
      <c r="PJP1876" s="1740"/>
      <c r="PJQ1876" s="1740"/>
      <c r="PJR1876" s="1740"/>
      <c r="PJS1876" s="1740"/>
      <c r="PJT1876" s="1740"/>
      <c r="PJU1876" s="1740"/>
      <c r="PJV1876" s="1740"/>
      <c r="PJW1876" s="1740"/>
      <c r="PJX1876" s="1740"/>
      <c r="PJY1876" s="1740"/>
      <c r="PJZ1876" s="1740"/>
      <c r="PKA1876" s="1740"/>
      <c r="PKB1876" s="1740"/>
      <c r="PKC1876" s="1740"/>
      <c r="PKD1876" s="1740"/>
      <c r="PKE1876" s="1740"/>
      <c r="PKF1876" s="1740"/>
      <c r="PKG1876" s="1740"/>
      <c r="PKH1876" s="1740"/>
      <c r="PKI1876" s="1740"/>
      <c r="PKJ1876" s="1740"/>
      <c r="PKK1876" s="1740"/>
      <c r="PKL1876" s="1740"/>
      <c r="PKM1876" s="1740"/>
      <c r="PKN1876" s="1740"/>
      <c r="PKO1876" s="1740"/>
      <c r="PKP1876" s="1740"/>
      <c r="PKQ1876" s="1740"/>
      <c r="PKR1876" s="1740"/>
      <c r="PKS1876" s="1740"/>
      <c r="PKT1876" s="1740"/>
      <c r="PKU1876" s="1740"/>
      <c r="PKV1876" s="1740"/>
      <c r="PKW1876" s="1740"/>
      <c r="PKX1876" s="1740"/>
      <c r="PKY1876" s="1740"/>
      <c r="PKZ1876" s="1740"/>
      <c r="PLA1876" s="1740"/>
      <c r="PLB1876" s="1740"/>
      <c r="PLC1876" s="1740"/>
      <c r="PLD1876" s="1740"/>
      <c r="PLE1876" s="1740"/>
      <c r="PLF1876" s="1740"/>
      <c r="PLG1876" s="1740"/>
      <c r="PLH1876" s="1740"/>
      <c r="PLI1876" s="1740"/>
      <c r="PLJ1876" s="1740"/>
      <c r="PLK1876" s="1740"/>
      <c r="PLL1876" s="1740"/>
      <c r="PLM1876" s="1740"/>
      <c r="PLN1876" s="1740"/>
      <c r="PLO1876" s="1740"/>
      <c r="PLP1876" s="1740"/>
      <c r="PLQ1876" s="1740"/>
      <c r="PLR1876" s="1740"/>
      <c r="PLS1876" s="1740"/>
      <c r="PLT1876" s="1740"/>
      <c r="PLU1876" s="1740"/>
      <c r="PLV1876" s="1740"/>
      <c r="PLW1876" s="1740"/>
      <c r="PLX1876" s="1740"/>
      <c r="PLY1876" s="1740"/>
      <c r="PLZ1876" s="1740"/>
      <c r="PMA1876" s="1740"/>
      <c r="PMB1876" s="1740"/>
      <c r="PMC1876" s="1740"/>
      <c r="PMD1876" s="1740"/>
      <c r="PME1876" s="1740"/>
      <c r="PMF1876" s="1740"/>
      <c r="PMG1876" s="1740"/>
      <c r="PMH1876" s="1740"/>
      <c r="PMI1876" s="1740"/>
      <c r="PMJ1876" s="1740"/>
      <c r="PMK1876" s="1740"/>
      <c r="PML1876" s="1740"/>
      <c r="PMM1876" s="1740"/>
      <c r="PMN1876" s="1740"/>
      <c r="PMO1876" s="1740"/>
      <c r="PMP1876" s="1740"/>
      <c r="PMQ1876" s="1740"/>
      <c r="PMR1876" s="1740"/>
      <c r="PMS1876" s="1740"/>
      <c r="PMT1876" s="1740"/>
      <c r="PMU1876" s="1740"/>
      <c r="PMV1876" s="1740"/>
      <c r="PMW1876" s="1740"/>
      <c r="PMX1876" s="1740"/>
      <c r="PMY1876" s="1740"/>
      <c r="PMZ1876" s="1740"/>
      <c r="PNA1876" s="1740"/>
      <c r="PNB1876" s="1740"/>
      <c r="PNC1876" s="1740"/>
      <c r="PND1876" s="1740"/>
      <c r="PNE1876" s="1740"/>
      <c r="PNF1876" s="1740"/>
      <c r="PNG1876" s="1740"/>
      <c r="PNH1876" s="1740"/>
      <c r="PNI1876" s="1740"/>
      <c r="PNJ1876" s="1740"/>
      <c r="PNK1876" s="1740"/>
      <c r="PNL1876" s="1740"/>
      <c r="PNM1876" s="1740"/>
      <c r="PNN1876" s="1740"/>
      <c r="PNO1876" s="1740"/>
      <c r="PNP1876" s="1740"/>
      <c r="PNQ1876" s="1740"/>
      <c r="PNR1876" s="1740"/>
      <c r="PNS1876" s="1740"/>
      <c r="PNT1876" s="1740"/>
      <c r="PNU1876" s="1740"/>
      <c r="PNV1876" s="1740"/>
      <c r="PNW1876" s="1740"/>
      <c r="PNX1876" s="1740"/>
      <c r="PNY1876" s="1740"/>
      <c r="PNZ1876" s="1740"/>
      <c r="POA1876" s="1740"/>
      <c r="POB1876" s="1740"/>
      <c r="POC1876" s="1740"/>
      <c r="POD1876" s="1740"/>
      <c r="POE1876" s="1740"/>
      <c r="POF1876" s="1740"/>
      <c r="POG1876" s="1740"/>
      <c r="POH1876" s="1740"/>
      <c r="POI1876" s="1740"/>
      <c r="POJ1876" s="1740"/>
      <c r="POK1876" s="1740"/>
      <c r="POL1876" s="1740"/>
      <c r="POM1876" s="1740"/>
      <c r="PON1876" s="1740"/>
      <c r="POO1876" s="1740"/>
      <c r="POP1876" s="1740"/>
      <c r="POQ1876" s="1740"/>
      <c r="POR1876" s="1740"/>
      <c r="POS1876" s="1740"/>
      <c r="POT1876" s="1740"/>
      <c r="POU1876" s="1740"/>
      <c r="POV1876" s="1740"/>
      <c r="POW1876" s="1740"/>
      <c r="POX1876" s="1740"/>
      <c r="POY1876" s="1740"/>
      <c r="POZ1876" s="1740"/>
      <c r="PPA1876" s="1740"/>
      <c r="PPB1876" s="1740"/>
      <c r="PPC1876" s="1740"/>
      <c r="PPD1876" s="1740"/>
      <c r="PPE1876" s="1740"/>
      <c r="PPF1876" s="1740"/>
      <c r="PPG1876" s="1740"/>
      <c r="PPH1876" s="1740"/>
      <c r="PPI1876" s="1740"/>
      <c r="PPJ1876" s="1740"/>
      <c r="PPK1876" s="1740"/>
      <c r="PPL1876" s="1740"/>
      <c r="PPM1876" s="1740"/>
      <c r="PPN1876" s="1740"/>
      <c r="PPO1876" s="1740"/>
      <c r="PPP1876" s="1740"/>
      <c r="PPQ1876" s="1740"/>
      <c r="PPR1876" s="1740"/>
      <c r="PPS1876" s="1740"/>
      <c r="PPT1876" s="1740"/>
      <c r="PPU1876" s="1740"/>
      <c r="PPV1876" s="1740"/>
      <c r="PPW1876" s="1740"/>
      <c r="PPX1876" s="1740"/>
      <c r="PPY1876" s="1740"/>
      <c r="PPZ1876" s="1740"/>
      <c r="PQA1876" s="1740"/>
      <c r="PQB1876" s="1740"/>
      <c r="PQC1876" s="1740"/>
      <c r="PQD1876" s="1740"/>
      <c r="PQE1876" s="1740"/>
      <c r="PQF1876" s="1740"/>
      <c r="PQG1876" s="1740"/>
      <c r="PQH1876" s="1740"/>
      <c r="PQI1876" s="1740"/>
      <c r="PQJ1876" s="1740"/>
      <c r="PQK1876" s="1740"/>
      <c r="PQL1876" s="1740"/>
      <c r="PQM1876" s="1740"/>
      <c r="PQN1876" s="1740"/>
      <c r="PQO1876" s="1740"/>
      <c r="PQP1876" s="1740"/>
      <c r="PQQ1876" s="1740"/>
      <c r="PQR1876" s="1740"/>
      <c r="PQS1876" s="1740"/>
      <c r="PQT1876" s="1740"/>
      <c r="PQU1876" s="1740"/>
      <c r="PQV1876" s="1740"/>
      <c r="PQW1876" s="1740"/>
      <c r="PQX1876" s="1740"/>
      <c r="PQY1876" s="1740"/>
      <c r="PQZ1876" s="1740"/>
      <c r="PRA1876" s="1740"/>
      <c r="PRB1876" s="1740"/>
      <c r="PRC1876" s="1740"/>
      <c r="PRD1876" s="1740"/>
      <c r="PRE1876" s="1740"/>
      <c r="PRF1876" s="1740"/>
      <c r="PRG1876" s="1740"/>
      <c r="PRH1876" s="1740"/>
      <c r="PRI1876" s="1740"/>
      <c r="PRJ1876" s="1740"/>
      <c r="PRK1876" s="1740"/>
      <c r="PRL1876" s="1740"/>
      <c r="PRM1876" s="1740"/>
      <c r="PRN1876" s="1740"/>
      <c r="PRO1876" s="1740"/>
      <c r="PRP1876" s="1740"/>
      <c r="PRQ1876" s="1740"/>
      <c r="PRR1876" s="1740"/>
      <c r="PRS1876" s="1740"/>
      <c r="PRT1876" s="1740"/>
      <c r="PRU1876" s="1740"/>
      <c r="PRV1876" s="1740"/>
      <c r="PRW1876" s="1740"/>
      <c r="PRX1876" s="1740"/>
      <c r="PRY1876" s="1740"/>
      <c r="PRZ1876" s="1740"/>
      <c r="PSA1876" s="1740"/>
      <c r="PSB1876" s="1740"/>
      <c r="PSC1876" s="1740"/>
      <c r="PSD1876" s="1740"/>
      <c r="PSE1876" s="1740"/>
      <c r="PSF1876" s="1740"/>
      <c r="PSG1876" s="1740"/>
      <c r="PSH1876" s="1740"/>
      <c r="PSI1876" s="1740"/>
      <c r="PSJ1876" s="1740"/>
      <c r="PSK1876" s="1740"/>
      <c r="PSL1876" s="1740"/>
      <c r="PSM1876" s="1740"/>
      <c r="PSN1876" s="1740"/>
      <c r="PSO1876" s="1740"/>
      <c r="PSP1876" s="1740"/>
      <c r="PSQ1876" s="1740"/>
      <c r="PSR1876" s="1740"/>
      <c r="PSS1876" s="1740"/>
      <c r="PST1876" s="1740"/>
      <c r="PSU1876" s="1740"/>
      <c r="PSV1876" s="1740"/>
      <c r="PSW1876" s="1740"/>
      <c r="PSX1876" s="1740"/>
      <c r="PSY1876" s="1740"/>
      <c r="PSZ1876" s="1740"/>
      <c r="PTA1876" s="1740"/>
      <c r="PTB1876" s="1740"/>
      <c r="PTC1876" s="1740"/>
      <c r="PTD1876" s="1740"/>
      <c r="PTE1876" s="1740"/>
      <c r="PTF1876" s="1740"/>
      <c r="PTG1876" s="1740"/>
      <c r="PTH1876" s="1740"/>
      <c r="PTI1876" s="1740"/>
      <c r="PTJ1876" s="1740"/>
      <c r="PTK1876" s="1740"/>
      <c r="PTL1876" s="1740"/>
      <c r="PTM1876" s="1740"/>
      <c r="PTN1876" s="1740"/>
      <c r="PTO1876" s="1740"/>
      <c r="PTP1876" s="1740"/>
      <c r="PTQ1876" s="1740"/>
      <c r="PTR1876" s="1740"/>
      <c r="PTS1876" s="1740"/>
      <c r="PTT1876" s="1740"/>
      <c r="PTU1876" s="1740"/>
      <c r="PTV1876" s="1740"/>
      <c r="PTW1876" s="1740"/>
      <c r="PTX1876" s="1740"/>
      <c r="PTY1876" s="1740"/>
      <c r="PTZ1876" s="1740"/>
      <c r="PUA1876" s="1740"/>
      <c r="PUB1876" s="1740"/>
      <c r="PUC1876" s="1740"/>
      <c r="PUD1876" s="1740"/>
      <c r="PUE1876" s="1740"/>
      <c r="PUF1876" s="1740"/>
      <c r="PUG1876" s="1740"/>
      <c r="PUH1876" s="1740"/>
      <c r="PUI1876" s="1740"/>
      <c r="PUJ1876" s="1740"/>
      <c r="PUK1876" s="1740"/>
      <c r="PUL1876" s="1740"/>
      <c r="PUM1876" s="1740"/>
      <c r="PUN1876" s="1740"/>
      <c r="PUO1876" s="1740"/>
      <c r="PUP1876" s="1740"/>
      <c r="PUQ1876" s="1740"/>
      <c r="PUR1876" s="1740"/>
      <c r="PUS1876" s="1740"/>
      <c r="PUT1876" s="1740"/>
      <c r="PUU1876" s="1740"/>
      <c r="PUV1876" s="1740"/>
      <c r="PUW1876" s="1740"/>
      <c r="PUX1876" s="1740"/>
      <c r="PUY1876" s="1740"/>
      <c r="PUZ1876" s="1740"/>
      <c r="PVA1876" s="1740"/>
      <c r="PVB1876" s="1740"/>
      <c r="PVC1876" s="1740"/>
      <c r="PVD1876" s="1740"/>
      <c r="PVE1876" s="1740"/>
      <c r="PVF1876" s="1740"/>
      <c r="PVG1876" s="1740"/>
      <c r="PVH1876" s="1740"/>
      <c r="PVI1876" s="1740"/>
      <c r="PVJ1876" s="1740"/>
      <c r="PVK1876" s="1740"/>
      <c r="PVL1876" s="1740"/>
      <c r="PVM1876" s="1740"/>
      <c r="PVN1876" s="1740"/>
      <c r="PVO1876" s="1740"/>
      <c r="PVP1876" s="1740"/>
      <c r="PVQ1876" s="1740"/>
      <c r="PVR1876" s="1740"/>
      <c r="PVS1876" s="1740"/>
      <c r="PVT1876" s="1740"/>
      <c r="PVU1876" s="1740"/>
      <c r="PVV1876" s="1740"/>
      <c r="PVW1876" s="1740"/>
      <c r="PVX1876" s="1740"/>
      <c r="PVY1876" s="1740"/>
      <c r="PVZ1876" s="1740"/>
      <c r="PWA1876" s="1740"/>
      <c r="PWB1876" s="1740"/>
      <c r="PWC1876" s="1740"/>
      <c r="PWD1876" s="1740"/>
      <c r="PWE1876" s="1740"/>
      <c r="PWF1876" s="1740"/>
      <c r="PWG1876" s="1740"/>
      <c r="PWH1876" s="1740"/>
      <c r="PWI1876" s="1740"/>
      <c r="PWJ1876" s="1740"/>
      <c r="PWK1876" s="1740"/>
      <c r="PWL1876" s="1740"/>
      <c r="PWM1876" s="1740"/>
      <c r="PWN1876" s="1740"/>
      <c r="PWO1876" s="1740"/>
      <c r="PWP1876" s="1740"/>
      <c r="PWQ1876" s="1740"/>
      <c r="PWR1876" s="1740"/>
      <c r="PWS1876" s="1740"/>
      <c r="PWT1876" s="1740"/>
      <c r="PWU1876" s="1740"/>
      <c r="PWV1876" s="1740"/>
      <c r="PWW1876" s="1740"/>
      <c r="PWX1876" s="1740"/>
      <c r="PWY1876" s="1740"/>
      <c r="PWZ1876" s="1740"/>
      <c r="PXA1876" s="1740"/>
      <c r="PXB1876" s="1740"/>
      <c r="PXC1876" s="1740"/>
      <c r="PXD1876" s="1740"/>
      <c r="PXE1876" s="1740"/>
      <c r="PXF1876" s="1740"/>
      <c r="PXG1876" s="1740"/>
      <c r="PXH1876" s="1740"/>
      <c r="PXI1876" s="1740"/>
      <c r="PXJ1876" s="1740"/>
      <c r="PXK1876" s="1740"/>
      <c r="PXL1876" s="1740"/>
      <c r="PXM1876" s="1740"/>
      <c r="PXN1876" s="1740"/>
      <c r="PXO1876" s="1740"/>
      <c r="PXP1876" s="1740"/>
      <c r="PXQ1876" s="1740"/>
      <c r="PXR1876" s="1740"/>
      <c r="PXS1876" s="1740"/>
      <c r="PXT1876" s="1740"/>
      <c r="PXU1876" s="1740"/>
      <c r="PXV1876" s="1740"/>
      <c r="PXW1876" s="1740"/>
      <c r="PXX1876" s="1740"/>
      <c r="PXY1876" s="1740"/>
      <c r="PXZ1876" s="1740"/>
      <c r="PYA1876" s="1740"/>
      <c r="PYB1876" s="1740"/>
      <c r="PYC1876" s="1740"/>
      <c r="PYD1876" s="1740"/>
      <c r="PYE1876" s="1740"/>
      <c r="PYF1876" s="1740"/>
      <c r="PYG1876" s="1740"/>
      <c r="PYH1876" s="1740"/>
      <c r="PYI1876" s="1740"/>
      <c r="PYJ1876" s="1740"/>
      <c r="PYK1876" s="1740"/>
      <c r="PYL1876" s="1740"/>
      <c r="PYM1876" s="1740"/>
      <c r="PYN1876" s="1740"/>
      <c r="PYO1876" s="1740"/>
      <c r="PYP1876" s="1740"/>
      <c r="PYQ1876" s="1740"/>
      <c r="PYR1876" s="1740"/>
      <c r="PYS1876" s="1740"/>
      <c r="PYT1876" s="1740"/>
      <c r="PYU1876" s="1740"/>
      <c r="PYV1876" s="1740"/>
      <c r="PYW1876" s="1740"/>
      <c r="PYX1876" s="1740"/>
      <c r="PYY1876" s="1740"/>
      <c r="PYZ1876" s="1740"/>
      <c r="PZA1876" s="1740"/>
      <c r="PZB1876" s="1740"/>
      <c r="PZC1876" s="1740"/>
      <c r="PZD1876" s="1740"/>
      <c r="PZE1876" s="1740"/>
      <c r="PZF1876" s="1740"/>
      <c r="PZG1876" s="1740"/>
      <c r="PZH1876" s="1740"/>
      <c r="PZI1876" s="1740"/>
      <c r="PZJ1876" s="1740"/>
      <c r="PZK1876" s="1740"/>
      <c r="PZL1876" s="1740"/>
      <c r="PZM1876" s="1740"/>
      <c r="PZN1876" s="1740"/>
      <c r="PZO1876" s="1740"/>
      <c r="PZP1876" s="1740"/>
      <c r="PZQ1876" s="1740"/>
      <c r="PZR1876" s="1740"/>
      <c r="PZS1876" s="1740"/>
      <c r="PZT1876" s="1740"/>
      <c r="PZU1876" s="1740"/>
      <c r="PZV1876" s="1740"/>
      <c r="PZW1876" s="1740"/>
      <c r="PZX1876" s="1740"/>
      <c r="PZY1876" s="1740"/>
      <c r="PZZ1876" s="1740"/>
      <c r="QAA1876" s="1740"/>
      <c r="QAB1876" s="1740"/>
      <c r="QAC1876" s="1740"/>
      <c r="QAD1876" s="1740"/>
      <c r="QAE1876" s="1740"/>
      <c r="QAF1876" s="1740"/>
      <c r="QAG1876" s="1740"/>
      <c r="QAH1876" s="1740"/>
      <c r="QAI1876" s="1740"/>
      <c r="QAJ1876" s="1740"/>
      <c r="QAK1876" s="1740"/>
      <c r="QAL1876" s="1740"/>
      <c r="QAM1876" s="1740"/>
      <c r="QAN1876" s="1740"/>
      <c r="QAO1876" s="1740"/>
      <c r="QAP1876" s="1740"/>
      <c r="QAQ1876" s="1740"/>
      <c r="QAR1876" s="1740"/>
      <c r="QAS1876" s="1740"/>
      <c r="QAT1876" s="1740"/>
      <c r="QAU1876" s="1740"/>
      <c r="QAV1876" s="1740"/>
      <c r="QAW1876" s="1740"/>
      <c r="QAX1876" s="1740"/>
      <c r="QAY1876" s="1740"/>
      <c r="QAZ1876" s="1740"/>
      <c r="QBA1876" s="1740"/>
      <c r="QBB1876" s="1740"/>
      <c r="QBC1876" s="1740"/>
      <c r="QBD1876" s="1740"/>
      <c r="QBE1876" s="1740"/>
      <c r="QBF1876" s="1740"/>
      <c r="QBG1876" s="1740"/>
      <c r="QBH1876" s="1740"/>
      <c r="QBI1876" s="1740"/>
      <c r="QBJ1876" s="1740"/>
      <c r="QBK1876" s="1740"/>
      <c r="QBL1876" s="1740"/>
      <c r="QBM1876" s="1740"/>
      <c r="QBN1876" s="1740"/>
      <c r="QBO1876" s="1740"/>
      <c r="QBP1876" s="1740"/>
      <c r="QBQ1876" s="1740"/>
      <c r="QBR1876" s="1740"/>
      <c r="QBS1876" s="1740"/>
      <c r="QBT1876" s="1740"/>
      <c r="QBU1876" s="1740"/>
      <c r="QBV1876" s="1740"/>
      <c r="QBW1876" s="1740"/>
      <c r="QBX1876" s="1740"/>
      <c r="QBY1876" s="1740"/>
      <c r="QBZ1876" s="1740"/>
      <c r="QCA1876" s="1740"/>
      <c r="QCB1876" s="1740"/>
      <c r="QCC1876" s="1740"/>
      <c r="QCD1876" s="1740"/>
      <c r="QCE1876" s="1740"/>
      <c r="QCF1876" s="1740"/>
      <c r="QCG1876" s="1740"/>
      <c r="QCH1876" s="1740"/>
      <c r="QCI1876" s="1740"/>
      <c r="QCJ1876" s="1740"/>
      <c r="QCK1876" s="1740"/>
      <c r="QCL1876" s="1740"/>
      <c r="QCM1876" s="1740"/>
      <c r="QCN1876" s="1740"/>
      <c r="QCO1876" s="1740"/>
      <c r="QCP1876" s="1740"/>
      <c r="QCQ1876" s="1740"/>
      <c r="QCR1876" s="1740"/>
      <c r="QCS1876" s="1740"/>
      <c r="QCT1876" s="1740"/>
      <c r="QCU1876" s="1740"/>
      <c r="QCV1876" s="1740"/>
      <c r="QCW1876" s="1740"/>
      <c r="QCX1876" s="1740"/>
      <c r="QCY1876" s="1740"/>
      <c r="QCZ1876" s="1740"/>
      <c r="QDA1876" s="1740"/>
      <c r="QDB1876" s="1740"/>
      <c r="QDC1876" s="1740"/>
      <c r="QDD1876" s="1740"/>
      <c r="QDE1876" s="1740"/>
      <c r="QDF1876" s="1740"/>
      <c r="QDG1876" s="1740"/>
      <c r="QDH1876" s="1740"/>
      <c r="QDI1876" s="1740"/>
      <c r="QDJ1876" s="1740"/>
      <c r="QDK1876" s="1740"/>
      <c r="QDL1876" s="1740"/>
      <c r="QDM1876" s="1740"/>
      <c r="QDN1876" s="1740"/>
      <c r="QDO1876" s="1740"/>
      <c r="QDP1876" s="1740"/>
      <c r="QDQ1876" s="1740"/>
      <c r="QDR1876" s="1740"/>
      <c r="QDS1876" s="1740"/>
      <c r="QDT1876" s="1740"/>
      <c r="QDU1876" s="1740"/>
      <c r="QDV1876" s="1740"/>
      <c r="QDW1876" s="1740"/>
      <c r="QDX1876" s="1740"/>
      <c r="QDY1876" s="1740"/>
      <c r="QDZ1876" s="1740"/>
      <c r="QEA1876" s="1740"/>
      <c r="QEB1876" s="1740"/>
      <c r="QEC1876" s="1740"/>
      <c r="QED1876" s="1740"/>
      <c r="QEE1876" s="1740"/>
      <c r="QEF1876" s="1740"/>
      <c r="QEG1876" s="1740"/>
      <c r="QEH1876" s="1740"/>
      <c r="QEI1876" s="1740"/>
      <c r="QEJ1876" s="1740"/>
      <c r="QEK1876" s="1740"/>
      <c r="QEL1876" s="1740"/>
      <c r="QEM1876" s="1740"/>
      <c r="QEN1876" s="1740"/>
      <c r="QEO1876" s="1740"/>
      <c r="QEP1876" s="1740"/>
      <c r="QEQ1876" s="1740"/>
      <c r="QER1876" s="1740"/>
      <c r="QES1876" s="1740"/>
      <c r="QET1876" s="1740"/>
      <c r="QEU1876" s="1740"/>
      <c r="QEV1876" s="1740"/>
      <c r="QEW1876" s="1740"/>
      <c r="QEX1876" s="1740"/>
      <c r="QEY1876" s="1740"/>
      <c r="QEZ1876" s="1740"/>
      <c r="QFA1876" s="1740"/>
      <c r="QFB1876" s="1740"/>
      <c r="QFC1876" s="1740"/>
      <c r="QFD1876" s="1740"/>
      <c r="QFE1876" s="1740"/>
      <c r="QFF1876" s="1740"/>
      <c r="QFG1876" s="1740"/>
      <c r="QFH1876" s="1740"/>
      <c r="QFI1876" s="1740"/>
      <c r="QFJ1876" s="1740"/>
      <c r="QFK1876" s="1740"/>
      <c r="QFL1876" s="1740"/>
      <c r="QFM1876" s="1740"/>
      <c r="QFN1876" s="1740"/>
      <c r="QFO1876" s="1740"/>
      <c r="QFP1876" s="1740"/>
      <c r="QFQ1876" s="1740"/>
      <c r="QFR1876" s="1740"/>
      <c r="QFS1876" s="1740"/>
      <c r="QFT1876" s="1740"/>
      <c r="QFU1876" s="1740"/>
      <c r="QFV1876" s="1740"/>
      <c r="QFW1876" s="1740"/>
      <c r="QFX1876" s="1740"/>
      <c r="QFY1876" s="1740"/>
      <c r="QFZ1876" s="1740"/>
      <c r="QGA1876" s="1740"/>
      <c r="QGB1876" s="1740"/>
      <c r="QGC1876" s="1740"/>
      <c r="QGD1876" s="1740"/>
      <c r="QGE1876" s="1740"/>
      <c r="QGF1876" s="1740"/>
      <c r="QGG1876" s="1740"/>
      <c r="QGH1876" s="1740"/>
      <c r="QGI1876" s="1740"/>
      <c r="QGJ1876" s="1740"/>
      <c r="QGK1876" s="1740"/>
      <c r="QGL1876" s="1740"/>
      <c r="QGM1876" s="1740"/>
      <c r="QGN1876" s="1740"/>
      <c r="QGO1876" s="1740"/>
      <c r="QGP1876" s="1740"/>
      <c r="QGQ1876" s="1740"/>
      <c r="QGR1876" s="1740"/>
      <c r="QGS1876" s="1740"/>
      <c r="QGT1876" s="1740"/>
      <c r="QGU1876" s="1740"/>
      <c r="QGV1876" s="1740"/>
      <c r="QGW1876" s="1740"/>
      <c r="QGX1876" s="1740"/>
      <c r="QGY1876" s="1740"/>
      <c r="QGZ1876" s="1740"/>
      <c r="QHA1876" s="1740"/>
      <c r="QHB1876" s="1740"/>
      <c r="QHC1876" s="1740"/>
      <c r="QHD1876" s="1740"/>
      <c r="QHE1876" s="1740"/>
      <c r="QHF1876" s="1740"/>
      <c r="QHG1876" s="1740"/>
      <c r="QHH1876" s="1740"/>
      <c r="QHI1876" s="1740"/>
      <c r="QHJ1876" s="1740"/>
      <c r="QHK1876" s="1740"/>
      <c r="QHL1876" s="1740"/>
      <c r="QHM1876" s="1740"/>
      <c r="QHN1876" s="1740"/>
      <c r="QHO1876" s="1740"/>
      <c r="QHP1876" s="1740"/>
      <c r="QHQ1876" s="1740"/>
      <c r="QHR1876" s="1740"/>
      <c r="QHS1876" s="1740"/>
      <c r="QHT1876" s="1740"/>
      <c r="QHU1876" s="1740"/>
      <c r="QHV1876" s="1740"/>
      <c r="QHW1876" s="1740"/>
      <c r="QHX1876" s="1740"/>
      <c r="QHY1876" s="1740"/>
      <c r="QHZ1876" s="1740"/>
      <c r="QIA1876" s="1740"/>
      <c r="QIB1876" s="1740"/>
      <c r="QIC1876" s="1740"/>
      <c r="QID1876" s="1740"/>
      <c r="QIE1876" s="1740"/>
      <c r="QIF1876" s="1740"/>
      <c r="QIG1876" s="1740"/>
      <c r="QIH1876" s="1740"/>
      <c r="QII1876" s="1740"/>
      <c r="QIJ1876" s="1740"/>
      <c r="QIK1876" s="1740"/>
      <c r="QIL1876" s="1740"/>
      <c r="QIM1876" s="1740"/>
      <c r="QIN1876" s="1740"/>
      <c r="QIO1876" s="1740"/>
      <c r="QIP1876" s="1740"/>
      <c r="QIQ1876" s="1740"/>
      <c r="QIR1876" s="1740"/>
      <c r="QIS1876" s="1740"/>
      <c r="QIT1876" s="1740"/>
      <c r="QIU1876" s="1740"/>
      <c r="QIV1876" s="1740"/>
      <c r="QIW1876" s="1740"/>
      <c r="QIX1876" s="1740"/>
      <c r="QIY1876" s="1740"/>
      <c r="QIZ1876" s="1740"/>
      <c r="QJA1876" s="1740"/>
      <c r="QJB1876" s="1740"/>
      <c r="QJC1876" s="1740"/>
      <c r="QJD1876" s="1740"/>
      <c r="QJE1876" s="1740"/>
      <c r="QJF1876" s="1740"/>
      <c r="QJG1876" s="1740"/>
      <c r="QJH1876" s="1740"/>
      <c r="QJI1876" s="1740"/>
      <c r="QJJ1876" s="1740"/>
      <c r="QJK1876" s="1740"/>
      <c r="QJL1876" s="1740"/>
      <c r="QJM1876" s="1740"/>
      <c r="QJN1876" s="1740"/>
      <c r="QJO1876" s="1740"/>
      <c r="QJP1876" s="1740"/>
      <c r="QJQ1876" s="1740"/>
      <c r="QJR1876" s="1740"/>
      <c r="QJS1876" s="1740"/>
      <c r="QJT1876" s="1740"/>
      <c r="QJU1876" s="1740"/>
      <c r="QJV1876" s="1740"/>
      <c r="QJW1876" s="1740"/>
      <c r="QJX1876" s="1740"/>
      <c r="QJY1876" s="1740"/>
      <c r="QJZ1876" s="1740"/>
      <c r="QKA1876" s="1740"/>
      <c r="QKB1876" s="1740"/>
      <c r="QKC1876" s="1740"/>
      <c r="QKD1876" s="1740"/>
      <c r="QKE1876" s="1740"/>
      <c r="QKF1876" s="1740"/>
      <c r="QKG1876" s="1740"/>
      <c r="QKH1876" s="1740"/>
      <c r="QKI1876" s="1740"/>
      <c r="QKJ1876" s="1740"/>
      <c r="QKK1876" s="1740"/>
      <c r="QKL1876" s="1740"/>
      <c r="QKM1876" s="1740"/>
      <c r="QKN1876" s="1740"/>
      <c r="QKO1876" s="1740"/>
      <c r="QKP1876" s="1740"/>
      <c r="QKQ1876" s="1740"/>
      <c r="QKR1876" s="1740"/>
      <c r="QKS1876" s="1740"/>
      <c r="QKT1876" s="1740"/>
      <c r="QKU1876" s="1740"/>
      <c r="QKV1876" s="1740"/>
      <c r="QKW1876" s="1740"/>
      <c r="QKX1876" s="1740"/>
      <c r="QKY1876" s="1740"/>
      <c r="QKZ1876" s="1740"/>
      <c r="QLA1876" s="1740"/>
      <c r="QLB1876" s="1740"/>
      <c r="QLC1876" s="1740"/>
      <c r="QLD1876" s="1740"/>
      <c r="QLE1876" s="1740"/>
      <c r="QLF1876" s="1740"/>
      <c r="QLG1876" s="1740"/>
      <c r="QLH1876" s="1740"/>
      <c r="QLI1876" s="1740"/>
      <c r="QLJ1876" s="1740"/>
      <c r="QLK1876" s="1740"/>
      <c r="QLL1876" s="1740"/>
      <c r="QLM1876" s="1740"/>
      <c r="QLN1876" s="1740"/>
      <c r="QLO1876" s="1740"/>
      <c r="QLP1876" s="1740"/>
      <c r="QLQ1876" s="1740"/>
      <c r="QLR1876" s="1740"/>
      <c r="QLS1876" s="1740"/>
      <c r="QLT1876" s="1740"/>
      <c r="QLU1876" s="1740"/>
      <c r="QLV1876" s="1740"/>
      <c r="QLW1876" s="1740"/>
      <c r="QLX1876" s="1740"/>
      <c r="QLY1876" s="1740"/>
      <c r="QLZ1876" s="1740"/>
      <c r="QMA1876" s="1740"/>
      <c r="QMB1876" s="1740"/>
      <c r="QMC1876" s="1740"/>
      <c r="QMD1876" s="1740"/>
      <c r="QME1876" s="1740"/>
      <c r="QMF1876" s="1740"/>
      <c r="QMG1876" s="1740"/>
      <c r="QMH1876" s="1740"/>
      <c r="QMI1876" s="1740"/>
      <c r="QMJ1876" s="1740"/>
      <c r="QMK1876" s="1740"/>
      <c r="QML1876" s="1740"/>
      <c r="QMM1876" s="1740"/>
      <c r="QMN1876" s="1740"/>
      <c r="QMO1876" s="1740"/>
      <c r="QMP1876" s="1740"/>
      <c r="QMQ1876" s="1740"/>
      <c r="QMR1876" s="1740"/>
      <c r="QMS1876" s="1740"/>
      <c r="QMT1876" s="1740"/>
      <c r="QMU1876" s="1740"/>
      <c r="QMV1876" s="1740"/>
      <c r="QMW1876" s="1740"/>
      <c r="QMX1876" s="1740"/>
      <c r="QMY1876" s="1740"/>
      <c r="QMZ1876" s="1740"/>
      <c r="QNA1876" s="1740"/>
      <c r="QNB1876" s="1740"/>
      <c r="QNC1876" s="1740"/>
      <c r="QND1876" s="1740"/>
      <c r="QNE1876" s="1740"/>
      <c r="QNF1876" s="1740"/>
      <c r="QNG1876" s="1740"/>
      <c r="QNH1876" s="1740"/>
      <c r="QNI1876" s="1740"/>
      <c r="QNJ1876" s="1740"/>
      <c r="QNK1876" s="1740"/>
      <c r="QNL1876" s="1740"/>
      <c r="QNM1876" s="1740"/>
      <c r="QNN1876" s="1740"/>
      <c r="QNO1876" s="1740"/>
      <c r="QNP1876" s="1740"/>
      <c r="QNQ1876" s="1740"/>
      <c r="QNR1876" s="1740"/>
      <c r="QNS1876" s="1740"/>
      <c r="QNT1876" s="1740"/>
      <c r="QNU1876" s="1740"/>
      <c r="QNV1876" s="1740"/>
      <c r="QNW1876" s="1740"/>
      <c r="QNX1876" s="1740"/>
      <c r="QNY1876" s="1740"/>
      <c r="QNZ1876" s="1740"/>
      <c r="QOA1876" s="1740"/>
      <c r="QOB1876" s="1740"/>
      <c r="QOC1876" s="1740"/>
      <c r="QOD1876" s="1740"/>
      <c r="QOE1876" s="1740"/>
      <c r="QOF1876" s="1740"/>
      <c r="QOG1876" s="1740"/>
      <c r="QOH1876" s="1740"/>
      <c r="QOI1876" s="1740"/>
      <c r="QOJ1876" s="1740"/>
      <c r="QOK1876" s="1740"/>
      <c r="QOL1876" s="1740"/>
      <c r="QOM1876" s="1740"/>
      <c r="QON1876" s="1740"/>
      <c r="QOO1876" s="1740"/>
      <c r="QOP1876" s="1740"/>
      <c r="QOQ1876" s="1740"/>
      <c r="QOR1876" s="1740"/>
      <c r="QOS1876" s="1740"/>
      <c r="QOT1876" s="1740"/>
      <c r="QOU1876" s="1740"/>
      <c r="QOV1876" s="1740"/>
      <c r="QOW1876" s="1740"/>
      <c r="QOX1876" s="1740"/>
      <c r="QOY1876" s="1740"/>
      <c r="QOZ1876" s="1740"/>
      <c r="QPA1876" s="1740"/>
      <c r="QPB1876" s="1740"/>
      <c r="QPC1876" s="1740"/>
      <c r="QPD1876" s="1740"/>
      <c r="QPE1876" s="1740"/>
      <c r="QPF1876" s="1740"/>
      <c r="QPG1876" s="1740"/>
      <c r="QPH1876" s="1740"/>
      <c r="QPI1876" s="1740"/>
      <c r="QPJ1876" s="1740"/>
      <c r="QPK1876" s="1740"/>
      <c r="QPL1876" s="1740"/>
      <c r="QPM1876" s="1740"/>
      <c r="QPN1876" s="1740"/>
      <c r="QPO1876" s="1740"/>
      <c r="QPP1876" s="1740"/>
      <c r="QPQ1876" s="1740"/>
      <c r="QPR1876" s="1740"/>
      <c r="QPS1876" s="1740"/>
      <c r="QPT1876" s="1740"/>
      <c r="QPU1876" s="1740"/>
      <c r="QPV1876" s="1740"/>
      <c r="QPW1876" s="1740"/>
      <c r="QPX1876" s="1740"/>
      <c r="QPY1876" s="1740"/>
      <c r="QPZ1876" s="1740"/>
      <c r="QQA1876" s="1740"/>
      <c r="QQB1876" s="1740"/>
      <c r="QQC1876" s="1740"/>
      <c r="QQD1876" s="1740"/>
      <c r="QQE1876" s="1740"/>
      <c r="QQF1876" s="1740"/>
      <c r="QQG1876" s="1740"/>
      <c r="QQH1876" s="1740"/>
      <c r="QQI1876" s="1740"/>
      <c r="QQJ1876" s="1740"/>
      <c r="QQK1876" s="1740"/>
      <c r="QQL1876" s="1740"/>
      <c r="QQM1876" s="1740"/>
      <c r="QQN1876" s="1740"/>
      <c r="QQO1876" s="1740"/>
      <c r="QQP1876" s="1740"/>
      <c r="QQQ1876" s="1740"/>
      <c r="QQR1876" s="1740"/>
      <c r="QQS1876" s="1740"/>
      <c r="QQT1876" s="1740"/>
      <c r="QQU1876" s="1740"/>
      <c r="QQV1876" s="1740"/>
      <c r="QQW1876" s="1740"/>
      <c r="QQX1876" s="1740"/>
      <c r="QQY1876" s="1740"/>
      <c r="QQZ1876" s="1740"/>
      <c r="QRA1876" s="1740"/>
      <c r="QRB1876" s="1740"/>
      <c r="QRC1876" s="1740"/>
      <c r="QRD1876" s="1740"/>
      <c r="QRE1876" s="1740"/>
      <c r="QRF1876" s="1740"/>
      <c r="QRG1876" s="1740"/>
      <c r="QRH1876" s="1740"/>
      <c r="QRI1876" s="1740"/>
      <c r="QRJ1876" s="1740"/>
      <c r="QRK1876" s="1740"/>
      <c r="QRL1876" s="1740"/>
      <c r="QRM1876" s="1740"/>
      <c r="QRN1876" s="1740"/>
      <c r="QRO1876" s="1740"/>
      <c r="QRP1876" s="1740"/>
      <c r="QRQ1876" s="1740"/>
      <c r="QRR1876" s="1740"/>
      <c r="QRS1876" s="1740"/>
      <c r="QRT1876" s="1740"/>
      <c r="QRU1876" s="1740"/>
      <c r="QRV1876" s="1740"/>
      <c r="QRW1876" s="1740"/>
      <c r="QRX1876" s="1740"/>
      <c r="QRY1876" s="1740"/>
      <c r="QRZ1876" s="1740"/>
      <c r="QSA1876" s="1740"/>
      <c r="QSB1876" s="1740"/>
      <c r="QSC1876" s="1740"/>
      <c r="QSD1876" s="1740"/>
      <c r="QSE1876" s="1740"/>
      <c r="QSF1876" s="1740"/>
      <c r="QSG1876" s="1740"/>
      <c r="QSH1876" s="1740"/>
      <c r="QSI1876" s="1740"/>
      <c r="QSJ1876" s="1740"/>
      <c r="QSK1876" s="1740"/>
      <c r="QSL1876" s="1740"/>
      <c r="QSM1876" s="1740"/>
      <c r="QSN1876" s="1740"/>
      <c r="QSO1876" s="1740"/>
      <c r="QSP1876" s="1740"/>
      <c r="QSQ1876" s="1740"/>
      <c r="QSR1876" s="1740"/>
      <c r="QSS1876" s="1740"/>
      <c r="QST1876" s="1740"/>
      <c r="QSU1876" s="1740"/>
      <c r="QSV1876" s="1740"/>
      <c r="QSW1876" s="1740"/>
      <c r="QSX1876" s="1740"/>
      <c r="QSY1876" s="1740"/>
      <c r="QSZ1876" s="1740"/>
      <c r="QTA1876" s="1740"/>
      <c r="QTB1876" s="1740"/>
      <c r="QTC1876" s="1740"/>
      <c r="QTD1876" s="1740"/>
      <c r="QTE1876" s="1740"/>
      <c r="QTF1876" s="1740"/>
      <c r="QTG1876" s="1740"/>
      <c r="QTH1876" s="1740"/>
      <c r="QTI1876" s="1740"/>
      <c r="QTJ1876" s="1740"/>
      <c r="QTK1876" s="1740"/>
      <c r="QTL1876" s="1740"/>
      <c r="QTM1876" s="1740"/>
      <c r="QTN1876" s="1740"/>
      <c r="QTO1876" s="1740"/>
      <c r="QTP1876" s="1740"/>
      <c r="QTQ1876" s="1740"/>
      <c r="QTR1876" s="1740"/>
      <c r="QTS1876" s="1740"/>
      <c r="QTT1876" s="1740"/>
      <c r="QTU1876" s="1740"/>
      <c r="QTV1876" s="1740"/>
      <c r="QTW1876" s="1740"/>
      <c r="QTX1876" s="1740"/>
      <c r="QTY1876" s="1740"/>
      <c r="QTZ1876" s="1740"/>
      <c r="QUA1876" s="1740"/>
      <c r="QUB1876" s="1740"/>
      <c r="QUC1876" s="1740"/>
      <c r="QUD1876" s="1740"/>
      <c r="QUE1876" s="1740"/>
      <c r="QUF1876" s="1740"/>
      <c r="QUG1876" s="1740"/>
      <c r="QUH1876" s="1740"/>
      <c r="QUI1876" s="1740"/>
      <c r="QUJ1876" s="1740"/>
      <c r="QUK1876" s="1740"/>
      <c r="QUL1876" s="1740"/>
      <c r="QUM1876" s="1740"/>
      <c r="QUN1876" s="1740"/>
      <c r="QUO1876" s="1740"/>
      <c r="QUP1876" s="1740"/>
      <c r="QUQ1876" s="1740"/>
      <c r="QUR1876" s="1740"/>
      <c r="QUS1876" s="1740"/>
      <c r="QUT1876" s="1740"/>
      <c r="QUU1876" s="1740"/>
      <c r="QUV1876" s="1740"/>
      <c r="QUW1876" s="1740"/>
      <c r="QUX1876" s="1740"/>
      <c r="QUY1876" s="1740"/>
      <c r="QUZ1876" s="1740"/>
      <c r="QVA1876" s="1740"/>
      <c r="QVB1876" s="1740"/>
      <c r="QVC1876" s="1740"/>
      <c r="QVD1876" s="1740"/>
      <c r="QVE1876" s="1740"/>
      <c r="QVF1876" s="1740"/>
      <c r="QVG1876" s="1740"/>
      <c r="QVH1876" s="1740"/>
      <c r="QVI1876" s="1740"/>
      <c r="QVJ1876" s="1740"/>
      <c r="QVK1876" s="1740"/>
      <c r="QVL1876" s="1740"/>
      <c r="QVM1876" s="1740"/>
      <c r="QVN1876" s="1740"/>
      <c r="QVO1876" s="1740"/>
      <c r="QVP1876" s="1740"/>
      <c r="QVQ1876" s="1740"/>
      <c r="QVR1876" s="1740"/>
      <c r="QVS1876" s="1740"/>
      <c r="QVT1876" s="1740"/>
      <c r="QVU1876" s="1740"/>
      <c r="QVV1876" s="1740"/>
      <c r="QVW1876" s="1740"/>
      <c r="QVX1876" s="1740"/>
      <c r="QVY1876" s="1740"/>
      <c r="QVZ1876" s="1740"/>
      <c r="QWA1876" s="1740"/>
      <c r="QWB1876" s="1740"/>
      <c r="QWC1876" s="1740"/>
      <c r="QWD1876" s="1740"/>
      <c r="QWE1876" s="1740"/>
      <c r="QWF1876" s="1740"/>
      <c r="QWG1876" s="1740"/>
      <c r="QWH1876" s="1740"/>
      <c r="QWI1876" s="1740"/>
      <c r="QWJ1876" s="1740"/>
      <c r="QWK1876" s="1740"/>
      <c r="QWL1876" s="1740"/>
      <c r="QWM1876" s="1740"/>
      <c r="QWN1876" s="1740"/>
      <c r="QWO1876" s="1740"/>
      <c r="QWP1876" s="1740"/>
      <c r="QWQ1876" s="1740"/>
      <c r="QWR1876" s="1740"/>
      <c r="QWS1876" s="1740"/>
      <c r="QWT1876" s="1740"/>
      <c r="QWU1876" s="1740"/>
      <c r="QWV1876" s="1740"/>
      <c r="QWW1876" s="1740"/>
      <c r="QWX1876" s="1740"/>
      <c r="QWY1876" s="1740"/>
      <c r="QWZ1876" s="1740"/>
      <c r="QXA1876" s="1740"/>
      <c r="QXB1876" s="1740"/>
      <c r="QXC1876" s="1740"/>
      <c r="QXD1876" s="1740"/>
      <c r="QXE1876" s="1740"/>
      <c r="QXF1876" s="1740"/>
      <c r="QXG1876" s="1740"/>
      <c r="QXH1876" s="1740"/>
      <c r="QXI1876" s="1740"/>
      <c r="QXJ1876" s="1740"/>
      <c r="QXK1876" s="1740"/>
      <c r="QXL1876" s="1740"/>
      <c r="QXM1876" s="1740"/>
      <c r="QXN1876" s="1740"/>
      <c r="QXO1876" s="1740"/>
      <c r="QXP1876" s="1740"/>
      <c r="QXQ1876" s="1740"/>
      <c r="QXR1876" s="1740"/>
      <c r="QXS1876" s="1740"/>
      <c r="QXT1876" s="1740"/>
      <c r="QXU1876" s="1740"/>
      <c r="QXV1876" s="1740"/>
      <c r="QXW1876" s="1740"/>
      <c r="QXX1876" s="1740"/>
      <c r="QXY1876" s="1740"/>
      <c r="QXZ1876" s="1740"/>
      <c r="QYA1876" s="1740"/>
      <c r="QYB1876" s="1740"/>
      <c r="QYC1876" s="1740"/>
      <c r="QYD1876" s="1740"/>
      <c r="QYE1876" s="1740"/>
      <c r="QYF1876" s="1740"/>
      <c r="QYG1876" s="1740"/>
      <c r="QYH1876" s="1740"/>
      <c r="QYI1876" s="1740"/>
      <c r="QYJ1876" s="1740"/>
      <c r="QYK1876" s="1740"/>
      <c r="QYL1876" s="1740"/>
      <c r="QYM1876" s="1740"/>
      <c r="QYN1876" s="1740"/>
      <c r="QYO1876" s="1740"/>
      <c r="QYP1876" s="1740"/>
      <c r="QYQ1876" s="1740"/>
      <c r="QYR1876" s="1740"/>
      <c r="QYS1876" s="1740"/>
      <c r="QYT1876" s="1740"/>
      <c r="QYU1876" s="1740"/>
      <c r="QYV1876" s="1740"/>
      <c r="QYW1876" s="1740"/>
      <c r="QYX1876" s="1740"/>
      <c r="QYY1876" s="1740"/>
      <c r="QYZ1876" s="1740"/>
      <c r="QZA1876" s="1740"/>
      <c r="QZB1876" s="1740"/>
      <c r="QZC1876" s="1740"/>
      <c r="QZD1876" s="1740"/>
      <c r="QZE1876" s="1740"/>
      <c r="QZF1876" s="1740"/>
      <c r="QZG1876" s="1740"/>
      <c r="QZH1876" s="1740"/>
      <c r="QZI1876" s="1740"/>
      <c r="QZJ1876" s="1740"/>
      <c r="QZK1876" s="1740"/>
      <c r="QZL1876" s="1740"/>
      <c r="QZM1876" s="1740"/>
      <c r="QZN1876" s="1740"/>
      <c r="QZO1876" s="1740"/>
      <c r="QZP1876" s="1740"/>
      <c r="QZQ1876" s="1740"/>
      <c r="QZR1876" s="1740"/>
      <c r="QZS1876" s="1740"/>
      <c r="QZT1876" s="1740"/>
      <c r="QZU1876" s="1740"/>
      <c r="QZV1876" s="1740"/>
      <c r="QZW1876" s="1740"/>
      <c r="QZX1876" s="1740"/>
      <c r="QZY1876" s="1740"/>
      <c r="QZZ1876" s="1740"/>
      <c r="RAA1876" s="1740"/>
      <c r="RAB1876" s="1740"/>
      <c r="RAC1876" s="1740"/>
      <c r="RAD1876" s="1740"/>
      <c r="RAE1876" s="1740"/>
      <c r="RAF1876" s="1740"/>
      <c r="RAG1876" s="1740"/>
      <c r="RAH1876" s="1740"/>
      <c r="RAI1876" s="1740"/>
      <c r="RAJ1876" s="1740"/>
      <c r="RAK1876" s="1740"/>
      <c r="RAL1876" s="1740"/>
      <c r="RAM1876" s="1740"/>
      <c r="RAN1876" s="1740"/>
      <c r="RAO1876" s="1740"/>
      <c r="RAP1876" s="1740"/>
      <c r="RAQ1876" s="1740"/>
      <c r="RAR1876" s="1740"/>
      <c r="RAS1876" s="1740"/>
      <c r="RAT1876" s="1740"/>
      <c r="RAU1876" s="1740"/>
      <c r="RAV1876" s="1740"/>
      <c r="RAW1876" s="1740"/>
      <c r="RAX1876" s="1740"/>
      <c r="RAY1876" s="1740"/>
      <c r="RAZ1876" s="1740"/>
      <c r="RBA1876" s="1740"/>
      <c r="RBB1876" s="1740"/>
      <c r="RBC1876" s="1740"/>
      <c r="RBD1876" s="1740"/>
      <c r="RBE1876" s="1740"/>
      <c r="RBF1876" s="1740"/>
      <c r="RBG1876" s="1740"/>
      <c r="RBH1876" s="1740"/>
      <c r="RBI1876" s="1740"/>
      <c r="RBJ1876" s="1740"/>
      <c r="RBK1876" s="1740"/>
      <c r="RBL1876" s="1740"/>
      <c r="RBM1876" s="1740"/>
      <c r="RBN1876" s="1740"/>
      <c r="RBO1876" s="1740"/>
      <c r="RBP1876" s="1740"/>
      <c r="RBQ1876" s="1740"/>
      <c r="RBR1876" s="1740"/>
      <c r="RBS1876" s="1740"/>
      <c r="RBT1876" s="1740"/>
      <c r="RBU1876" s="1740"/>
      <c r="RBV1876" s="1740"/>
      <c r="RBW1876" s="1740"/>
      <c r="RBX1876" s="1740"/>
      <c r="RBY1876" s="1740"/>
      <c r="RBZ1876" s="1740"/>
      <c r="RCA1876" s="1740"/>
      <c r="RCB1876" s="1740"/>
      <c r="RCC1876" s="1740"/>
      <c r="RCD1876" s="1740"/>
      <c r="RCE1876" s="1740"/>
      <c r="RCF1876" s="1740"/>
      <c r="RCG1876" s="1740"/>
      <c r="RCH1876" s="1740"/>
      <c r="RCI1876" s="1740"/>
      <c r="RCJ1876" s="1740"/>
      <c r="RCK1876" s="1740"/>
      <c r="RCL1876" s="1740"/>
      <c r="RCM1876" s="1740"/>
      <c r="RCN1876" s="1740"/>
      <c r="RCO1876" s="1740"/>
      <c r="RCP1876" s="1740"/>
      <c r="RCQ1876" s="1740"/>
      <c r="RCR1876" s="1740"/>
      <c r="RCS1876" s="1740"/>
      <c r="RCT1876" s="1740"/>
      <c r="RCU1876" s="1740"/>
      <c r="RCV1876" s="1740"/>
      <c r="RCW1876" s="1740"/>
      <c r="RCX1876" s="1740"/>
      <c r="RCY1876" s="1740"/>
      <c r="RCZ1876" s="1740"/>
      <c r="RDA1876" s="1740"/>
      <c r="RDB1876" s="1740"/>
      <c r="RDC1876" s="1740"/>
      <c r="RDD1876" s="1740"/>
      <c r="RDE1876" s="1740"/>
      <c r="RDF1876" s="1740"/>
      <c r="RDG1876" s="1740"/>
      <c r="RDH1876" s="1740"/>
      <c r="RDI1876" s="1740"/>
      <c r="RDJ1876" s="1740"/>
      <c r="RDK1876" s="1740"/>
      <c r="RDL1876" s="1740"/>
      <c r="RDM1876" s="1740"/>
      <c r="RDN1876" s="1740"/>
      <c r="RDO1876" s="1740"/>
      <c r="RDP1876" s="1740"/>
      <c r="RDQ1876" s="1740"/>
      <c r="RDR1876" s="1740"/>
      <c r="RDS1876" s="1740"/>
      <c r="RDT1876" s="1740"/>
      <c r="RDU1876" s="1740"/>
      <c r="RDV1876" s="1740"/>
      <c r="RDW1876" s="1740"/>
      <c r="RDX1876" s="1740"/>
      <c r="RDY1876" s="1740"/>
      <c r="RDZ1876" s="1740"/>
      <c r="REA1876" s="1740"/>
      <c r="REB1876" s="1740"/>
      <c r="REC1876" s="1740"/>
      <c r="RED1876" s="1740"/>
      <c r="REE1876" s="1740"/>
      <c r="REF1876" s="1740"/>
      <c r="REG1876" s="1740"/>
      <c r="REH1876" s="1740"/>
      <c r="REI1876" s="1740"/>
      <c r="REJ1876" s="1740"/>
      <c r="REK1876" s="1740"/>
      <c r="REL1876" s="1740"/>
      <c r="REM1876" s="1740"/>
      <c r="REN1876" s="1740"/>
      <c r="REO1876" s="1740"/>
      <c r="REP1876" s="1740"/>
      <c r="REQ1876" s="1740"/>
      <c r="RER1876" s="1740"/>
      <c r="RES1876" s="1740"/>
      <c r="RET1876" s="1740"/>
      <c r="REU1876" s="1740"/>
      <c r="REV1876" s="1740"/>
      <c r="REW1876" s="1740"/>
      <c r="REX1876" s="1740"/>
      <c r="REY1876" s="1740"/>
      <c r="REZ1876" s="1740"/>
      <c r="RFA1876" s="1740"/>
      <c r="RFB1876" s="1740"/>
      <c r="RFC1876" s="1740"/>
      <c r="RFD1876" s="1740"/>
      <c r="RFE1876" s="1740"/>
      <c r="RFF1876" s="1740"/>
      <c r="RFG1876" s="1740"/>
      <c r="RFH1876" s="1740"/>
      <c r="RFI1876" s="1740"/>
      <c r="RFJ1876" s="1740"/>
      <c r="RFK1876" s="1740"/>
      <c r="RFL1876" s="1740"/>
      <c r="RFM1876" s="1740"/>
      <c r="RFN1876" s="1740"/>
      <c r="RFO1876" s="1740"/>
      <c r="RFP1876" s="1740"/>
      <c r="RFQ1876" s="1740"/>
      <c r="RFR1876" s="1740"/>
      <c r="RFS1876" s="1740"/>
      <c r="RFT1876" s="1740"/>
      <c r="RFU1876" s="1740"/>
      <c r="RFV1876" s="1740"/>
      <c r="RFW1876" s="1740"/>
      <c r="RFX1876" s="1740"/>
      <c r="RFY1876" s="1740"/>
      <c r="RFZ1876" s="1740"/>
      <c r="RGA1876" s="1740"/>
      <c r="RGB1876" s="1740"/>
      <c r="RGC1876" s="1740"/>
      <c r="RGD1876" s="1740"/>
      <c r="RGE1876" s="1740"/>
      <c r="RGF1876" s="1740"/>
      <c r="RGG1876" s="1740"/>
      <c r="RGH1876" s="1740"/>
      <c r="RGI1876" s="1740"/>
      <c r="RGJ1876" s="1740"/>
      <c r="RGK1876" s="1740"/>
      <c r="RGL1876" s="1740"/>
      <c r="RGM1876" s="1740"/>
      <c r="RGN1876" s="1740"/>
      <c r="RGO1876" s="1740"/>
      <c r="RGP1876" s="1740"/>
      <c r="RGQ1876" s="1740"/>
      <c r="RGR1876" s="1740"/>
      <c r="RGS1876" s="1740"/>
      <c r="RGT1876" s="1740"/>
      <c r="RGU1876" s="1740"/>
      <c r="RGV1876" s="1740"/>
      <c r="RGW1876" s="1740"/>
      <c r="RGX1876" s="1740"/>
      <c r="RGY1876" s="1740"/>
      <c r="RGZ1876" s="1740"/>
      <c r="RHA1876" s="1740"/>
      <c r="RHB1876" s="1740"/>
      <c r="RHC1876" s="1740"/>
      <c r="RHD1876" s="1740"/>
      <c r="RHE1876" s="1740"/>
      <c r="RHF1876" s="1740"/>
      <c r="RHG1876" s="1740"/>
      <c r="RHH1876" s="1740"/>
      <c r="RHI1876" s="1740"/>
      <c r="RHJ1876" s="1740"/>
      <c r="RHK1876" s="1740"/>
      <c r="RHL1876" s="1740"/>
      <c r="RHM1876" s="1740"/>
      <c r="RHN1876" s="1740"/>
      <c r="RHO1876" s="1740"/>
      <c r="RHP1876" s="1740"/>
      <c r="RHQ1876" s="1740"/>
      <c r="RHR1876" s="1740"/>
      <c r="RHS1876" s="1740"/>
      <c r="RHT1876" s="1740"/>
      <c r="RHU1876" s="1740"/>
      <c r="RHV1876" s="1740"/>
      <c r="RHW1876" s="1740"/>
      <c r="RHX1876" s="1740"/>
      <c r="RHY1876" s="1740"/>
      <c r="RHZ1876" s="1740"/>
      <c r="RIA1876" s="1740"/>
      <c r="RIB1876" s="1740"/>
      <c r="RIC1876" s="1740"/>
      <c r="RID1876" s="1740"/>
      <c r="RIE1876" s="1740"/>
      <c r="RIF1876" s="1740"/>
      <c r="RIG1876" s="1740"/>
      <c r="RIH1876" s="1740"/>
      <c r="RII1876" s="1740"/>
      <c r="RIJ1876" s="1740"/>
      <c r="RIK1876" s="1740"/>
      <c r="RIL1876" s="1740"/>
      <c r="RIM1876" s="1740"/>
      <c r="RIN1876" s="1740"/>
      <c r="RIO1876" s="1740"/>
      <c r="RIP1876" s="1740"/>
      <c r="RIQ1876" s="1740"/>
      <c r="RIR1876" s="1740"/>
      <c r="RIS1876" s="1740"/>
      <c r="RIT1876" s="1740"/>
      <c r="RIU1876" s="1740"/>
      <c r="RIV1876" s="1740"/>
      <c r="RIW1876" s="1740"/>
      <c r="RIX1876" s="1740"/>
      <c r="RIY1876" s="1740"/>
      <c r="RIZ1876" s="1740"/>
      <c r="RJA1876" s="1740"/>
      <c r="RJB1876" s="1740"/>
      <c r="RJC1876" s="1740"/>
      <c r="RJD1876" s="1740"/>
      <c r="RJE1876" s="1740"/>
      <c r="RJF1876" s="1740"/>
      <c r="RJG1876" s="1740"/>
      <c r="RJH1876" s="1740"/>
      <c r="RJI1876" s="1740"/>
      <c r="RJJ1876" s="1740"/>
      <c r="RJK1876" s="1740"/>
      <c r="RJL1876" s="1740"/>
      <c r="RJM1876" s="1740"/>
      <c r="RJN1876" s="1740"/>
      <c r="RJO1876" s="1740"/>
      <c r="RJP1876" s="1740"/>
      <c r="RJQ1876" s="1740"/>
      <c r="RJR1876" s="1740"/>
      <c r="RJS1876" s="1740"/>
      <c r="RJT1876" s="1740"/>
      <c r="RJU1876" s="1740"/>
      <c r="RJV1876" s="1740"/>
      <c r="RJW1876" s="1740"/>
      <c r="RJX1876" s="1740"/>
      <c r="RJY1876" s="1740"/>
      <c r="RJZ1876" s="1740"/>
      <c r="RKA1876" s="1740"/>
      <c r="RKB1876" s="1740"/>
      <c r="RKC1876" s="1740"/>
      <c r="RKD1876" s="1740"/>
      <c r="RKE1876" s="1740"/>
      <c r="RKF1876" s="1740"/>
      <c r="RKG1876" s="1740"/>
      <c r="RKH1876" s="1740"/>
      <c r="RKI1876" s="1740"/>
      <c r="RKJ1876" s="1740"/>
      <c r="RKK1876" s="1740"/>
      <c r="RKL1876" s="1740"/>
      <c r="RKM1876" s="1740"/>
      <c r="RKN1876" s="1740"/>
      <c r="RKO1876" s="1740"/>
      <c r="RKP1876" s="1740"/>
      <c r="RKQ1876" s="1740"/>
      <c r="RKR1876" s="1740"/>
      <c r="RKS1876" s="1740"/>
      <c r="RKT1876" s="1740"/>
      <c r="RKU1876" s="1740"/>
      <c r="RKV1876" s="1740"/>
      <c r="RKW1876" s="1740"/>
      <c r="RKX1876" s="1740"/>
      <c r="RKY1876" s="1740"/>
      <c r="RKZ1876" s="1740"/>
      <c r="RLA1876" s="1740"/>
      <c r="RLB1876" s="1740"/>
      <c r="RLC1876" s="1740"/>
      <c r="RLD1876" s="1740"/>
      <c r="RLE1876" s="1740"/>
      <c r="RLF1876" s="1740"/>
      <c r="RLG1876" s="1740"/>
      <c r="RLH1876" s="1740"/>
      <c r="RLI1876" s="1740"/>
      <c r="RLJ1876" s="1740"/>
      <c r="RLK1876" s="1740"/>
      <c r="RLL1876" s="1740"/>
      <c r="RLM1876" s="1740"/>
      <c r="RLN1876" s="1740"/>
      <c r="RLO1876" s="1740"/>
      <c r="RLP1876" s="1740"/>
      <c r="RLQ1876" s="1740"/>
      <c r="RLR1876" s="1740"/>
      <c r="RLS1876" s="1740"/>
      <c r="RLT1876" s="1740"/>
      <c r="RLU1876" s="1740"/>
      <c r="RLV1876" s="1740"/>
      <c r="RLW1876" s="1740"/>
      <c r="RLX1876" s="1740"/>
      <c r="RLY1876" s="1740"/>
      <c r="RLZ1876" s="1740"/>
      <c r="RMA1876" s="1740"/>
      <c r="RMB1876" s="1740"/>
      <c r="RMC1876" s="1740"/>
      <c r="RMD1876" s="1740"/>
      <c r="RME1876" s="1740"/>
      <c r="RMF1876" s="1740"/>
      <c r="RMG1876" s="1740"/>
      <c r="RMH1876" s="1740"/>
      <c r="RMI1876" s="1740"/>
      <c r="RMJ1876" s="1740"/>
      <c r="RMK1876" s="1740"/>
      <c r="RML1876" s="1740"/>
      <c r="RMM1876" s="1740"/>
      <c r="RMN1876" s="1740"/>
      <c r="RMO1876" s="1740"/>
      <c r="RMP1876" s="1740"/>
      <c r="RMQ1876" s="1740"/>
      <c r="RMR1876" s="1740"/>
      <c r="RMS1876" s="1740"/>
      <c r="RMT1876" s="1740"/>
      <c r="RMU1876" s="1740"/>
      <c r="RMV1876" s="1740"/>
      <c r="RMW1876" s="1740"/>
      <c r="RMX1876" s="1740"/>
      <c r="RMY1876" s="1740"/>
      <c r="RMZ1876" s="1740"/>
      <c r="RNA1876" s="1740"/>
      <c r="RNB1876" s="1740"/>
      <c r="RNC1876" s="1740"/>
      <c r="RND1876" s="1740"/>
      <c r="RNE1876" s="1740"/>
      <c r="RNF1876" s="1740"/>
      <c r="RNG1876" s="1740"/>
      <c r="RNH1876" s="1740"/>
      <c r="RNI1876" s="1740"/>
      <c r="RNJ1876" s="1740"/>
      <c r="RNK1876" s="1740"/>
      <c r="RNL1876" s="1740"/>
      <c r="RNM1876" s="1740"/>
      <c r="RNN1876" s="1740"/>
      <c r="RNO1876" s="1740"/>
      <c r="RNP1876" s="1740"/>
      <c r="RNQ1876" s="1740"/>
      <c r="RNR1876" s="1740"/>
      <c r="RNS1876" s="1740"/>
      <c r="RNT1876" s="1740"/>
      <c r="RNU1876" s="1740"/>
      <c r="RNV1876" s="1740"/>
      <c r="RNW1876" s="1740"/>
      <c r="RNX1876" s="1740"/>
      <c r="RNY1876" s="1740"/>
      <c r="RNZ1876" s="1740"/>
      <c r="ROA1876" s="1740"/>
      <c r="ROB1876" s="1740"/>
      <c r="ROC1876" s="1740"/>
      <c r="ROD1876" s="1740"/>
      <c r="ROE1876" s="1740"/>
      <c r="ROF1876" s="1740"/>
      <c r="ROG1876" s="1740"/>
      <c r="ROH1876" s="1740"/>
      <c r="ROI1876" s="1740"/>
      <c r="ROJ1876" s="1740"/>
      <c r="ROK1876" s="1740"/>
      <c r="ROL1876" s="1740"/>
      <c r="ROM1876" s="1740"/>
      <c r="RON1876" s="1740"/>
      <c r="ROO1876" s="1740"/>
      <c r="ROP1876" s="1740"/>
      <c r="ROQ1876" s="1740"/>
      <c r="ROR1876" s="1740"/>
      <c r="ROS1876" s="1740"/>
      <c r="ROT1876" s="1740"/>
      <c r="ROU1876" s="1740"/>
      <c r="ROV1876" s="1740"/>
      <c r="ROW1876" s="1740"/>
      <c r="ROX1876" s="1740"/>
      <c r="ROY1876" s="1740"/>
      <c r="ROZ1876" s="1740"/>
      <c r="RPA1876" s="1740"/>
      <c r="RPB1876" s="1740"/>
      <c r="RPC1876" s="1740"/>
      <c r="RPD1876" s="1740"/>
      <c r="RPE1876" s="1740"/>
      <c r="RPF1876" s="1740"/>
      <c r="RPG1876" s="1740"/>
      <c r="RPH1876" s="1740"/>
      <c r="RPI1876" s="1740"/>
      <c r="RPJ1876" s="1740"/>
      <c r="RPK1876" s="1740"/>
      <c r="RPL1876" s="1740"/>
      <c r="RPM1876" s="1740"/>
      <c r="RPN1876" s="1740"/>
      <c r="RPO1876" s="1740"/>
      <c r="RPP1876" s="1740"/>
      <c r="RPQ1876" s="1740"/>
      <c r="RPR1876" s="1740"/>
      <c r="RPS1876" s="1740"/>
      <c r="RPT1876" s="1740"/>
      <c r="RPU1876" s="1740"/>
      <c r="RPV1876" s="1740"/>
      <c r="RPW1876" s="1740"/>
      <c r="RPX1876" s="1740"/>
      <c r="RPY1876" s="1740"/>
      <c r="RPZ1876" s="1740"/>
      <c r="RQA1876" s="1740"/>
      <c r="RQB1876" s="1740"/>
      <c r="RQC1876" s="1740"/>
      <c r="RQD1876" s="1740"/>
      <c r="RQE1876" s="1740"/>
      <c r="RQF1876" s="1740"/>
      <c r="RQG1876" s="1740"/>
      <c r="RQH1876" s="1740"/>
      <c r="RQI1876" s="1740"/>
      <c r="RQJ1876" s="1740"/>
      <c r="RQK1876" s="1740"/>
      <c r="RQL1876" s="1740"/>
      <c r="RQM1876" s="1740"/>
      <c r="RQN1876" s="1740"/>
      <c r="RQO1876" s="1740"/>
      <c r="RQP1876" s="1740"/>
      <c r="RQQ1876" s="1740"/>
      <c r="RQR1876" s="1740"/>
      <c r="RQS1876" s="1740"/>
      <c r="RQT1876" s="1740"/>
      <c r="RQU1876" s="1740"/>
      <c r="RQV1876" s="1740"/>
      <c r="RQW1876" s="1740"/>
      <c r="RQX1876" s="1740"/>
      <c r="RQY1876" s="1740"/>
      <c r="RQZ1876" s="1740"/>
      <c r="RRA1876" s="1740"/>
      <c r="RRB1876" s="1740"/>
      <c r="RRC1876" s="1740"/>
      <c r="RRD1876" s="1740"/>
      <c r="RRE1876" s="1740"/>
      <c r="RRF1876" s="1740"/>
      <c r="RRG1876" s="1740"/>
      <c r="RRH1876" s="1740"/>
      <c r="RRI1876" s="1740"/>
      <c r="RRJ1876" s="1740"/>
      <c r="RRK1876" s="1740"/>
      <c r="RRL1876" s="1740"/>
      <c r="RRM1876" s="1740"/>
      <c r="RRN1876" s="1740"/>
      <c r="RRO1876" s="1740"/>
      <c r="RRP1876" s="1740"/>
      <c r="RRQ1876" s="1740"/>
      <c r="RRR1876" s="1740"/>
      <c r="RRS1876" s="1740"/>
      <c r="RRT1876" s="1740"/>
      <c r="RRU1876" s="1740"/>
      <c r="RRV1876" s="1740"/>
      <c r="RRW1876" s="1740"/>
      <c r="RRX1876" s="1740"/>
      <c r="RRY1876" s="1740"/>
      <c r="RRZ1876" s="1740"/>
      <c r="RSA1876" s="1740"/>
      <c r="RSB1876" s="1740"/>
      <c r="RSC1876" s="1740"/>
      <c r="RSD1876" s="1740"/>
      <c r="RSE1876" s="1740"/>
      <c r="RSF1876" s="1740"/>
      <c r="RSG1876" s="1740"/>
      <c r="RSH1876" s="1740"/>
      <c r="RSI1876" s="1740"/>
      <c r="RSJ1876" s="1740"/>
      <c r="RSK1876" s="1740"/>
      <c r="RSL1876" s="1740"/>
      <c r="RSM1876" s="1740"/>
      <c r="RSN1876" s="1740"/>
      <c r="RSO1876" s="1740"/>
      <c r="RSP1876" s="1740"/>
      <c r="RSQ1876" s="1740"/>
      <c r="RSR1876" s="1740"/>
      <c r="RSS1876" s="1740"/>
      <c r="RST1876" s="1740"/>
      <c r="RSU1876" s="1740"/>
      <c r="RSV1876" s="1740"/>
      <c r="RSW1876" s="1740"/>
      <c r="RSX1876" s="1740"/>
      <c r="RSY1876" s="1740"/>
      <c r="RSZ1876" s="1740"/>
      <c r="RTA1876" s="1740"/>
      <c r="RTB1876" s="1740"/>
      <c r="RTC1876" s="1740"/>
      <c r="RTD1876" s="1740"/>
      <c r="RTE1876" s="1740"/>
      <c r="RTF1876" s="1740"/>
      <c r="RTG1876" s="1740"/>
      <c r="RTH1876" s="1740"/>
      <c r="RTI1876" s="1740"/>
      <c r="RTJ1876" s="1740"/>
      <c r="RTK1876" s="1740"/>
      <c r="RTL1876" s="1740"/>
      <c r="RTM1876" s="1740"/>
      <c r="RTN1876" s="1740"/>
      <c r="RTO1876" s="1740"/>
      <c r="RTP1876" s="1740"/>
      <c r="RTQ1876" s="1740"/>
      <c r="RTR1876" s="1740"/>
      <c r="RTS1876" s="1740"/>
      <c r="RTT1876" s="1740"/>
      <c r="RTU1876" s="1740"/>
      <c r="RTV1876" s="1740"/>
      <c r="RTW1876" s="1740"/>
      <c r="RTX1876" s="1740"/>
      <c r="RTY1876" s="1740"/>
      <c r="RTZ1876" s="1740"/>
      <c r="RUA1876" s="1740"/>
      <c r="RUB1876" s="1740"/>
      <c r="RUC1876" s="1740"/>
      <c r="RUD1876" s="1740"/>
      <c r="RUE1876" s="1740"/>
      <c r="RUF1876" s="1740"/>
      <c r="RUG1876" s="1740"/>
      <c r="RUH1876" s="1740"/>
      <c r="RUI1876" s="1740"/>
      <c r="RUJ1876" s="1740"/>
      <c r="RUK1876" s="1740"/>
      <c r="RUL1876" s="1740"/>
      <c r="RUM1876" s="1740"/>
      <c r="RUN1876" s="1740"/>
      <c r="RUO1876" s="1740"/>
      <c r="RUP1876" s="1740"/>
      <c r="RUQ1876" s="1740"/>
      <c r="RUR1876" s="1740"/>
      <c r="RUS1876" s="1740"/>
      <c r="RUT1876" s="1740"/>
      <c r="RUU1876" s="1740"/>
      <c r="RUV1876" s="1740"/>
      <c r="RUW1876" s="1740"/>
      <c r="RUX1876" s="1740"/>
      <c r="RUY1876" s="1740"/>
      <c r="RUZ1876" s="1740"/>
      <c r="RVA1876" s="1740"/>
      <c r="RVB1876" s="1740"/>
      <c r="RVC1876" s="1740"/>
      <c r="RVD1876" s="1740"/>
      <c r="RVE1876" s="1740"/>
      <c r="RVF1876" s="1740"/>
      <c r="RVG1876" s="1740"/>
      <c r="RVH1876" s="1740"/>
      <c r="RVI1876" s="1740"/>
      <c r="RVJ1876" s="1740"/>
      <c r="RVK1876" s="1740"/>
      <c r="RVL1876" s="1740"/>
      <c r="RVM1876" s="1740"/>
      <c r="RVN1876" s="1740"/>
      <c r="RVO1876" s="1740"/>
      <c r="RVP1876" s="1740"/>
      <c r="RVQ1876" s="1740"/>
      <c r="RVR1876" s="1740"/>
      <c r="RVS1876" s="1740"/>
      <c r="RVT1876" s="1740"/>
      <c r="RVU1876" s="1740"/>
      <c r="RVV1876" s="1740"/>
      <c r="RVW1876" s="1740"/>
      <c r="RVX1876" s="1740"/>
      <c r="RVY1876" s="1740"/>
      <c r="RVZ1876" s="1740"/>
      <c r="RWA1876" s="1740"/>
      <c r="RWB1876" s="1740"/>
      <c r="RWC1876" s="1740"/>
      <c r="RWD1876" s="1740"/>
      <c r="RWE1876" s="1740"/>
      <c r="RWF1876" s="1740"/>
      <c r="RWG1876" s="1740"/>
      <c r="RWH1876" s="1740"/>
      <c r="RWI1876" s="1740"/>
      <c r="RWJ1876" s="1740"/>
      <c r="RWK1876" s="1740"/>
      <c r="RWL1876" s="1740"/>
      <c r="RWM1876" s="1740"/>
      <c r="RWN1876" s="1740"/>
      <c r="RWO1876" s="1740"/>
      <c r="RWP1876" s="1740"/>
      <c r="RWQ1876" s="1740"/>
      <c r="RWR1876" s="1740"/>
      <c r="RWS1876" s="1740"/>
      <c r="RWT1876" s="1740"/>
      <c r="RWU1876" s="1740"/>
      <c r="RWV1876" s="1740"/>
      <c r="RWW1876" s="1740"/>
      <c r="RWX1876" s="1740"/>
      <c r="RWY1876" s="1740"/>
      <c r="RWZ1876" s="1740"/>
      <c r="RXA1876" s="1740"/>
      <c r="RXB1876" s="1740"/>
      <c r="RXC1876" s="1740"/>
      <c r="RXD1876" s="1740"/>
      <c r="RXE1876" s="1740"/>
      <c r="RXF1876" s="1740"/>
      <c r="RXG1876" s="1740"/>
      <c r="RXH1876" s="1740"/>
      <c r="RXI1876" s="1740"/>
      <c r="RXJ1876" s="1740"/>
      <c r="RXK1876" s="1740"/>
      <c r="RXL1876" s="1740"/>
      <c r="RXM1876" s="1740"/>
      <c r="RXN1876" s="1740"/>
      <c r="RXO1876" s="1740"/>
      <c r="RXP1876" s="1740"/>
      <c r="RXQ1876" s="1740"/>
      <c r="RXR1876" s="1740"/>
      <c r="RXS1876" s="1740"/>
      <c r="RXT1876" s="1740"/>
      <c r="RXU1876" s="1740"/>
      <c r="RXV1876" s="1740"/>
      <c r="RXW1876" s="1740"/>
      <c r="RXX1876" s="1740"/>
      <c r="RXY1876" s="1740"/>
      <c r="RXZ1876" s="1740"/>
      <c r="RYA1876" s="1740"/>
      <c r="RYB1876" s="1740"/>
      <c r="RYC1876" s="1740"/>
      <c r="RYD1876" s="1740"/>
      <c r="RYE1876" s="1740"/>
      <c r="RYF1876" s="1740"/>
      <c r="RYG1876" s="1740"/>
      <c r="RYH1876" s="1740"/>
      <c r="RYI1876" s="1740"/>
      <c r="RYJ1876" s="1740"/>
      <c r="RYK1876" s="1740"/>
      <c r="RYL1876" s="1740"/>
      <c r="RYM1876" s="1740"/>
      <c r="RYN1876" s="1740"/>
      <c r="RYO1876" s="1740"/>
      <c r="RYP1876" s="1740"/>
      <c r="RYQ1876" s="1740"/>
      <c r="RYR1876" s="1740"/>
      <c r="RYS1876" s="1740"/>
      <c r="RYT1876" s="1740"/>
      <c r="RYU1876" s="1740"/>
      <c r="RYV1876" s="1740"/>
      <c r="RYW1876" s="1740"/>
      <c r="RYX1876" s="1740"/>
      <c r="RYY1876" s="1740"/>
      <c r="RYZ1876" s="1740"/>
      <c r="RZA1876" s="1740"/>
      <c r="RZB1876" s="1740"/>
      <c r="RZC1876" s="1740"/>
      <c r="RZD1876" s="1740"/>
      <c r="RZE1876" s="1740"/>
      <c r="RZF1876" s="1740"/>
      <c r="RZG1876" s="1740"/>
      <c r="RZH1876" s="1740"/>
      <c r="RZI1876" s="1740"/>
      <c r="RZJ1876" s="1740"/>
      <c r="RZK1876" s="1740"/>
      <c r="RZL1876" s="1740"/>
      <c r="RZM1876" s="1740"/>
      <c r="RZN1876" s="1740"/>
      <c r="RZO1876" s="1740"/>
      <c r="RZP1876" s="1740"/>
      <c r="RZQ1876" s="1740"/>
      <c r="RZR1876" s="1740"/>
      <c r="RZS1876" s="1740"/>
      <c r="RZT1876" s="1740"/>
      <c r="RZU1876" s="1740"/>
      <c r="RZV1876" s="1740"/>
      <c r="RZW1876" s="1740"/>
      <c r="RZX1876" s="1740"/>
      <c r="RZY1876" s="1740"/>
      <c r="RZZ1876" s="1740"/>
      <c r="SAA1876" s="1740"/>
      <c r="SAB1876" s="1740"/>
      <c r="SAC1876" s="1740"/>
      <c r="SAD1876" s="1740"/>
      <c r="SAE1876" s="1740"/>
      <c r="SAF1876" s="1740"/>
      <c r="SAG1876" s="1740"/>
      <c r="SAH1876" s="1740"/>
      <c r="SAI1876" s="1740"/>
      <c r="SAJ1876" s="1740"/>
      <c r="SAK1876" s="1740"/>
      <c r="SAL1876" s="1740"/>
      <c r="SAM1876" s="1740"/>
      <c r="SAN1876" s="1740"/>
      <c r="SAO1876" s="1740"/>
      <c r="SAP1876" s="1740"/>
      <c r="SAQ1876" s="1740"/>
      <c r="SAR1876" s="1740"/>
      <c r="SAS1876" s="1740"/>
      <c r="SAT1876" s="1740"/>
      <c r="SAU1876" s="1740"/>
      <c r="SAV1876" s="1740"/>
      <c r="SAW1876" s="1740"/>
      <c r="SAX1876" s="1740"/>
      <c r="SAY1876" s="1740"/>
      <c r="SAZ1876" s="1740"/>
      <c r="SBA1876" s="1740"/>
      <c r="SBB1876" s="1740"/>
      <c r="SBC1876" s="1740"/>
      <c r="SBD1876" s="1740"/>
      <c r="SBE1876" s="1740"/>
      <c r="SBF1876" s="1740"/>
      <c r="SBG1876" s="1740"/>
      <c r="SBH1876" s="1740"/>
      <c r="SBI1876" s="1740"/>
      <c r="SBJ1876" s="1740"/>
      <c r="SBK1876" s="1740"/>
      <c r="SBL1876" s="1740"/>
      <c r="SBM1876" s="1740"/>
      <c r="SBN1876" s="1740"/>
      <c r="SBO1876" s="1740"/>
      <c r="SBP1876" s="1740"/>
      <c r="SBQ1876" s="1740"/>
      <c r="SBR1876" s="1740"/>
      <c r="SBS1876" s="1740"/>
      <c r="SBT1876" s="1740"/>
      <c r="SBU1876" s="1740"/>
      <c r="SBV1876" s="1740"/>
      <c r="SBW1876" s="1740"/>
      <c r="SBX1876" s="1740"/>
      <c r="SBY1876" s="1740"/>
      <c r="SBZ1876" s="1740"/>
      <c r="SCA1876" s="1740"/>
      <c r="SCB1876" s="1740"/>
      <c r="SCC1876" s="1740"/>
      <c r="SCD1876" s="1740"/>
      <c r="SCE1876" s="1740"/>
      <c r="SCF1876" s="1740"/>
      <c r="SCG1876" s="1740"/>
      <c r="SCH1876" s="1740"/>
      <c r="SCI1876" s="1740"/>
      <c r="SCJ1876" s="1740"/>
      <c r="SCK1876" s="1740"/>
      <c r="SCL1876" s="1740"/>
      <c r="SCM1876" s="1740"/>
      <c r="SCN1876" s="1740"/>
      <c r="SCO1876" s="1740"/>
      <c r="SCP1876" s="1740"/>
      <c r="SCQ1876" s="1740"/>
      <c r="SCR1876" s="1740"/>
      <c r="SCS1876" s="1740"/>
      <c r="SCT1876" s="1740"/>
      <c r="SCU1876" s="1740"/>
      <c r="SCV1876" s="1740"/>
      <c r="SCW1876" s="1740"/>
      <c r="SCX1876" s="1740"/>
      <c r="SCY1876" s="1740"/>
      <c r="SCZ1876" s="1740"/>
      <c r="SDA1876" s="1740"/>
      <c r="SDB1876" s="1740"/>
      <c r="SDC1876" s="1740"/>
      <c r="SDD1876" s="1740"/>
      <c r="SDE1876" s="1740"/>
      <c r="SDF1876" s="1740"/>
      <c r="SDG1876" s="1740"/>
      <c r="SDH1876" s="1740"/>
      <c r="SDI1876" s="1740"/>
      <c r="SDJ1876" s="1740"/>
      <c r="SDK1876" s="1740"/>
      <c r="SDL1876" s="1740"/>
      <c r="SDM1876" s="1740"/>
      <c r="SDN1876" s="1740"/>
      <c r="SDO1876" s="1740"/>
      <c r="SDP1876" s="1740"/>
      <c r="SDQ1876" s="1740"/>
      <c r="SDR1876" s="1740"/>
      <c r="SDS1876" s="1740"/>
      <c r="SDT1876" s="1740"/>
      <c r="SDU1876" s="1740"/>
      <c r="SDV1876" s="1740"/>
      <c r="SDW1876" s="1740"/>
      <c r="SDX1876" s="1740"/>
      <c r="SDY1876" s="1740"/>
      <c r="SDZ1876" s="1740"/>
      <c r="SEA1876" s="1740"/>
      <c r="SEB1876" s="1740"/>
      <c r="SEC1876" s="1740"/>
      <c r="SED1876" s="1740"/>
      <c r="SEE1876" s="1740"/>
      <c r="SEF1876" s="1740"/>
      <c r="SEG1876" s="1740"/>
      <c r="SEH1876" s="1740"/>
      <c r="SEI1876" s="1740"/>
      <c r="SEJ1876" s="1740"/>
      <c r="SEK1876" s="1740"/>
      <c r="SEL1876" s="1740"/>
      <c r="SEM1876" s="1740"/>
      <c r="SEN1876" s="1740"/>
      <c r="SEO1876" s="1740"/>
      <c r="SEP1876" s="1740"/>
      <c r="SEQ1876" s="1740"/>
      <c r="SER1876" s="1740"/>
      <c r="SES1876" s="1740"/>
      <c r="SET1876" s="1740"/>
      <c r="SEU1876" s="1740"/>
      <c r="SEV1876" s="1740"/>
      <c r="SEW1876" s="1740"/>
      <c r="SEX1876" s="1740"/>
      <c r="SEY1876" s="1740"/>
      <c r="SEZ1876" s="1740"/>
      <c r="SFA1876" s="1740"/>
      <c r="SFB1876" s="1740"/>
      <c r="SFC1876" s="1740"/>
      <c r="SFD1876" s="1740"/>
      <c r="SFE1876" s="1740"/>
      <c r="SFF1876" s="1740"/>
      <c r="SFG1876" s="1740"/>
      <c r="SFH1876" s="1740"/>
      <c r="SFI1876" s="1740"/>
      <c r="SFJ1876" s="1740"/>
      <c r="SFK1876" s="1740"/>
      <c r="SFL1876" s="1740"/>
      <c r="SFM1876" s="1740"/>
      <c r="SFN1876" s="1740"/>
      <c r="SFO1876" s="1740"/>
      <c r="SFP1876" s="1740"/>
      <c r="SFQ1876" s="1740"/>
      <c r="SFR1876" s="1740"/>
      <c r="SFS1876" s="1740"/>
      <c r="SFT1876" s="1740"/>
      <c r="SFU1876" s="1740"/>
      <c r="SFV1876" s="1740"/>
      <c r="SFW1876" s="1740"/>
      <c r="SFX1876" s="1740"/>
      <c r="SFY1876" s="1740"/>
      <c r="SFZ1876" s="1740"/>
      <c r="SGA1876" s="1740"/>
      <c r="SGB1876" s="1740"/>
      <c r="SGC1876" s="1740"/>
      <c r="SGD1876" s="1740"/>
      <c r="SGE1876" s="1740"/>
      <c r="SGF1876" s="1740"/>
      <c r="SGG1876" s="1740"/>
      <c r="SGH1876" s="1740"/>
      <c r="SGI1876" s="1740"/>
      <c r="SGJ1876" s="1740"/>
      <c r="SGK1876" s="1740"/>
      <c r="SGL1876" s="1740"/>
      <c r="SGM1876" s="1740"/>
      <c r="SGN1876" s="1740"/>
      <c r="SGO1876" s="1740"/>
      <c r="SGP1876" s="1740"/>
      <c r="SGQ1876" s="1740"/>
      <c r="SGR1876" s="1740"/>
      <c r="SGS1876" s="1740"/>
      <c r="SGT1876" s="1740"/>
      <c r="SGU1876" s="1740"/>
      <c r="SGV1876" s="1740"/>
      <c r="SGW1876" s="1740"/>
      <c r="SGX1876" s="1740"/>
      <c r="SGY1876" s="1740"/>
      <c r="SGZ1876" s="1740"/>
      <c r="SHA1876" s="1740"/>
      <c r="SHB1876" s="1740"/>
      <c r="SHC1876" s="1740"/>
      <c r="SHD1876" s="1740"/>
      <c r="SHE1876" s="1740"/>
      <c r="SHF1876" s="1740"/>
      <c r="SHG1876" s="1740"/>
      <c r="SHH1876" s="1740"/>
      <c r="SHI1876" s="1740"/>
      <c r="SHJ1876" s="1740"/>
      <c r="SHK1876" s="1740"/>
      <c r="SHL1876" s="1740"/>
      <c r="SHM1876" s="1740"/>
      <c r="SHN1876" s="1740"/>
      <c r="SHO1876" s="1740"/>
      <c r="SHP1876" s="1740"/>
      <c r="SHQ1876" s="1740"/>
      <c r="SHR1876" s="1740"/>
      <c r="SHS1876" s="1740"/>
      <c r="SHT1876" s="1740"/>
      <c r="SHU1876" s="1740"/>
      <c r="SHV1876" s="1740"/>
      <c r="SHW1876" s="1740"/>
      <c r="SHX1876" s="1740"/>
      <c r="SHY1876" s="1740"/>
      <c r="SHZ1876" s="1740"/>
      <c r="SIA1876" s="1740"/>
      <c r="SIB1876" s="1740"/>
      <c r="SIC1876" s="1740"/>
      <c r="SID1876" s="1740"/>
      <c r="SIE1876" s="1740"/>
      <c r="SIF1876" s="1740"/>
      <c r="SIG1876" s="1740"/>
      <c r="SIH1876" s="1740"/>
      <c r="SII1876" s="1740"/>
      <c r="SIJ1876" s="1740"/>
      <c r="SIK1876" s="1740"/>
      <c r="SIL1876" s="1740"/>
      <c r="SIM1876" s="1740"/>
      <c r="SIN1876" s="1740"/>
      <c r="SIO1876" s="1740"/>
      <c r="SIP1876" s="1740"/>
      <c r="SIQ1876" s="1740"/>
      <c r="SIR1876" s="1740"/>
      <c r="SIS1876" s="1740"/>
      <c r="SIT1876" s="1740"/>
      <c r="SIU1876" s="1740"/>
      <c r="SIV1876" s="1740"/>
      <c r="SIW1876" s="1740"/>
      <c r="SIX1876" s="1740"/>
      <c r="SIY1876" s="1740"/>
      <c r="SIZ1876" s="1740"/>
      <c r="SJA1876" s="1740"/>
      <c r="SJB1876" s="1740"/>
      <c r="SJC1876" s="1740"/>
      <c r="SJD1876" s="1740"/>
      <c r="SJE1876" s="1740"/>
      <c r="SJF1876" s="1740"/>
      <c r="SJG1876" s="1740"/>
      <c r="SJH1876" s="1740"/>
      <c r="SJI1876" s="1740"/>
      <c r="SJJ1876" s="1740"/>
      <c r="SJK1876" s="1740"/>
      <c r="SJL1876" s="1740"/>
      <c r="SJM1876" s="1740"/>
      <c r="SJN1876" s="1740"/>
      <c r="SJO1876" s="1740"/>
      <c r="SJP1876" s="1740"/>
      <c r="SJQ1876" s="1740"/>
      <c r="SJR1876" s="1740"/>
      <c r="SJS1876" s="1740"/>
      <c r="SJT1876" s="1740"/>
      <c r="SJU1876" s="1740"/>
      <c r="SJV1876" s="1740"/>
      <c r="SJW1876" s="1740"/>
      <c r="SJX1876" s="1740"/>
      <c r="SJY1876" s="1740"/>
      <c r="SJZ1876" s="1740"/>
      <c r="SKA1876" s="1740"/>
      <c r="SKB1876" s="1740"/>
      <c r="SKC1876" s="1740"/>
      <c r="SKD1876" s="1740"/>
      <c r="SKE1876" s="1740"/>
      <c r="SKF1876" s="1740"/>
      <c r="SKG1876" s="1740"/>
      <c r="SKH1876" s="1740"/>
      <c r="SKI1876" s="1740"/>
      <c r="SKJ1876" s="1740"/>
      <c r="SKK1876" s="1740"/>
      <c r="SKL1876" s="1740"/>
      <c r="SKM1876" s="1740"/>
      <c r="SKN1876" s="1740"/>
      <c r="SKO1876" s="1740"/>
      <c r="SKP1876" s="1740"/>
      <c r="SKQ1876" s="1740"/>
      <c r="SKR1876" s="1740"/>
      <c r="SKS1876" s="1740"/>
      <c r="SKT1876" s="1740"/>
      <c r="SKU1876" s="1740"/>
      <c r="SKV1876" s="1740"/>
      <c r="SKW1876" s="1740"/>
      <c r="SKX1876" s="1740"/>
      <c r="SKY1876" s="1740"/>
      <c r="SKZ1876" s="1740"/>
      <c r="SLA1876" s="1740"/>
      <c r="SLB1876" s="1740"/>
      <c r="SLC1876" s="1740"/>
      <c r="SLD1876" s="1740"/>
      <c r="SLE1876" s="1740"/>
      <c r="SLF1876" s="1740"/>
      <c r="SLG1876" s="1740"/>
      <c r="SLH1876" s="1740"/>
      <c r="SLI1876" s="1740"/>
      <c r="SLJ1876" s="1740"/>
      <c r="SLK1876" s="1740"/>
      <c r="SLL1876" s="1740"/>
      <c r="SLM1876" s="1740"/>
      <c r="SLN1876" s="1740"/>
      <c r="SLO1876" s="1740"/>
      <c r="SLP1876" s="1740"/>
      <c r="SLQ1876" s="1740"/>
      <c r="SLR1876" s="1740"/>
      <c r="SLS1876" s="1740"/>
      <c r="SLT1876" s="1740"/>
      <c r="SLU1876" s="1740"/>
      <c r="SLV1876" s="1740"/>
      <c r="SLW1876" s="1740"/>
      <c r="SLX1876" s="1740"/>
      <c r="SLY1876" s="1740"/>
      <c r="SLZ1876" s="1740"/>
      <c r="SMA1876" s="1740"/>
      <c r="SMB1876" s="1740"/>
      <c r="SMC1876" s="1740"/>
      <c r="SMD1876" s="1740"/>
      <c r="SME1876" s="1740"/>
      <c r="SMF1876" s="1740"/>
      <c r="SMG1876" s="1740"/>
      <c r="SMH1876" s="1740"/>
      <c r="SMI1876" s="1740"/>
      <c r="SMJ1876" s="1740"/>
      <c r="SMK1876" s="1740"/>
      <c r="SML1876" s="1740"/>
      <c r="SMM1876" s="1740"/>
      <c r="SMN1876" s="1740"/>
      <c r="SMO1876" s="1740"/>
      <c r="SMP1876" s="1740"/>
      <c r="SMQ1876" s="1740"/>
      <c r="SMR1876" s="1740"/>
      <c r="SMS1876" s="1740"/>
      <c r="SMT1876" s="1740"/>
      <c r="SMU1876" s="1740"/>
      <c r="SMV1876" s="1740"/>
      <c r="SMW1876" s="1740"/>
      <c r="SMX1876" s="1740"/>
      <c r="SMY1876" s="1740"/>
      <c r="SMZ1876" s="1740"/>
      <c r="SNA1876" s="1740"/>
      <c r="SNB1876" s="1740"/>
      <c r="SNC1876" s="1740"/>
      <c r="SND1876" s="1740"/>
      <c r="SNE1876" s="1740"/>
      <c r="SNF1876" s="1740"/>
      <c r="SNG1876" s="1740"/>
      <c r="SNH1876" s="1740"/>
      <c r="SNI1876" s="1740"/>
      <c r="SNJ1876" s="1740"/>
      <c r="SNK1876" s="1740"/>
      <c r="SNL1876" s="1740"/>
      <c r="SNM1876" s="1740"/>
      <c r="SNN1876" s="1740"/>
      <c r="SNO1876" s="1740"/>
      <c r="SNP1876" s="1740"/>
      <c r="SNQ1876" s="1740"/>
      <c r="SNR1876" s="1740"/>
      <c r="SNS1876" s="1740"/>
      <c r="SNT1876" s="1740"/>
      <c r="SNU1876" s="1740"/>
      <c r="SNV1876" s="1740"/>
      <c r="SNW1876" s="1740"/>
      <c r="SNX1876" s="1740"/>
      <c r="SNY1876" s="1740"/>
      <c r="SNZ1876" s="1740"/>
      <c r="SOA1876" s="1740"/>
      <c r="SOB1876" s="1740"/>
      <c r="SOC1876" s="1740"/>
      <c r="SOD1876" s="1740"/>
      <c r="SOE1876" s="1740"/>
      <c r="SOF1876" s="1740"/>
      <c r="SOG1876" s="1740"/>
      <c r="SOH1876" s="1740"/>
      <c r="SOI1876" s="1740"/>
      <c r="SOJ1876" s="1740"/>
      <c r="SOK1876" s="1740"/>
      <c r="SOL1876" s="1740"/>
      <c r="SOM1876" s="1740"/>
      <c r="SON1876" s="1740"/>
      <c r="SOO1876" s="1740"/>
      <c r="SOP1876" s="1740"/>
      <c r="SOQ1876" s="1740"/>
      <c r="SOR1876" s="1740"/>
      <c r="SOS1876" s="1740"/>
      <c r="SOT1876" s="1740"/>
      <c r="SOU1876" s="1740"/>
      <c r="SOV1876" s="1740"/>
      <c r="SOW1876" s="1740"/>
      <c r="SOX1876" s="1740"/>
      <c r="SOY1876" s="1740"/>
      <c r="SOZ1876" s="1740"/>
      <c r="SPA1876" s="1740"/>
      <c r="SPB1876" s="1740"/>
      <c r="SPC1876" s="1740"/>
      <c r="SPD1876" s="1740"/>
      <c r="SPE1876" s="1740"/>
      <c r="SPF1876" s="1740"/>
      <c r="SPG1876" s="1740"/>
      <c r="SPH1876" s="1740"/>
      <c r="SPI1876" s="1740"/>
      <c r="SPJ1876" s="1740"/>
      <c r="SPK1876" s="1740"/>
      <c r="SPL1876" s="1740"/>
      <c r="SPM1876" s="1740"/>
      <c r="SPN1876" s="1740"/>
      <c r="SPO1876" s="1740"/>
      <c r="SPP1876" s="1740"/>
      <c r="SPQ1876" s="1740"/>
      <c r="SPR1876" s="1740"/>
      <c r="SPS1876" s="1740"/>
      <c r="SPT1876" s="1740"/>
      <c r="SPU1876" s="1740"/>
      <c r="SPV1876" s="1740"/>
      <c r="SPW1876" s="1740"/>
      <c r="SPX1876" s="1740"/>
      <c r="SPY1876" s="1740"/>
      <c r="SPZ1876" s="1740"/>
      <c r="SQA1876" s="1740"/>
      <c r="SQB1876" s="1740"/>
      <c r="SQC1876" s="1740"/>
      <c r="SQD1876" s="1740"/>
      <c r="SQE1876" s="1740"/>
      <c r="SQF1876" s="1740"/>
      <c r="SQG1876" s="1740"/>
      <c r="SQH1876" s="1740"/>
      <c r="SQI1876" s="1740"/>
      <c r="SQJ1876" s="1740"/>
      <c r="SQK1876" s="1740"/>
      <c r="SQL1876" s="1740"/>
      <c r="SQM1876" s="1740"/>
      <c r="SQN1876" s="1740"/>
      <c r="SQO1876" s="1740"/>
      <c r="SQP1876" s="1740"/>
      <c r="SQQ1876" s="1740"/>
      <c r="SQR1876" s="1740"/>
      <c r="SQS1876" s="1740"/>
      <c r="SQT1876" s="1740"/>
      <c r="SQU1876" s="1740"/>
      <c r="SQV1876" s="1740"/>
      <c r="SQW1876" s="1740"/>
      <c r="SQX1876" s="1740"/>
      <c r="SQY1876" s="1740"/>
      <c r="SQZ1876" s="1740"/>
      <c r="SRA1876" s="1740"/>
      <c r="SRB1876" s="1740"/>
      <c r="SRC1876" s="1740"/>
      <c r="SRD1876" s="1740"/>
      <c r="SRE1876" s="1740"/>
      <c r="SRF1876" s="1740"/>
      <c r="SRG1876" s="1740"/>
      <c r="SRH1876" s="1740"/>
      <c r="SRI1876" s="1740"/>
      <c r="SRJ1876" s="1740"/>
      <c r="SRK1876" s="1740"/>
      <c r="SRL1876" s="1740"/>
      <c r="SRM1876" s="1740"/>
      <c r="SRN1876" s="1740"/>
      <c r="SRO1876" s="1740"/>
      <c r="SRP1876" s="1740"/>
      <c r="SRQ1876" s="1740"/>
      <c r="SRR1876" s="1740"/>
      <c r="SRS1876" s="1740"/>
      <c r="SRT1876" s="1740"/>
      <c r="SRU1876" s="1740"/>
      <c r="SRV1876" s="1740"/>
      <c r="SRW1876" s="1740"/>
      <c r="SRX1876" s="1740"/>
      <c r="SRY1876" s="1740"/>
      <c r="SRZ1876" s="1740"/>
      <c r="SSA1876" s="1740"/>
      <c r="SSB1876" s="1740"/>
      <c r="SSC1876" s="1740"/>
      <c r="SSD1876" s="1740"/>
      <c r="SSE1876" s="1740"/>
      <c r="SSF1876" s="1740"/>
      <c r="SSG1876" s="1740"/>
      <c r="SSH1876" s="1740"/>
      <c r="SSI1876" s="1740"/>
      <c r="SSJ1876" s="1740"/>
      <c r="SSK1876" s="1740"/>
      <c r="SSL1876" s="1740"/>
      <c r="SSM1876" s="1740"/>
      <c r="SSN1876" s="1740"/>
      <c r="SSO1876" s="1740"/>
      <c r="SSP1876" s="1740"/>
      <c r="SSQ1876" s="1740"/>
      <c r="SSR1876" s="1740"/>
      <c r="SSS1876" s="1740"/>
      <c r="SST1876" s="1740"/>
      <c r="SSU1876" s="1740"/>
      <c r="SSV1876" s="1740"/>
      <c r="SSW1876" s="1740"/>
      <c r="SSX1876" s="1740"/>
      <c r="SSY1876" s="1740"/>
      <c r="SSZ1876" s="1740"/>
      <c r="STA1876" s="1740"/>
      <c r="STB1876" s="1740"/>
      <c r="STC1876" s="1740"/>
      <c r="STD1876" s="1740"/>
      <c r="STE1876" s="1740"/>
      <c r="STF1876" s="1740"/>
      <c r="STG1876" s="1740"/>
      <c r="STH1876" s="1740"/>
      <c r="STI1876" s="1740"/>
      <c r="STJ1876" s="1740"/>
      <c r="STK1876" s="1740"/>
      <c r="STL1876" s="1740"/>
      <c r="STM1876" s="1740"/>
      <c r="STN1876" s="1740"/>
      <c r="STO1876" s="1740"/>
      <c r="STP1876" s="1740"/>
      <c r="STQ1876" s="1740"/>
      <c r="STR1876" s="1740"/>
      <c r="STS1876" s="1740"/>
      <c r="STT1876" s="1740"/>
      <c r="STU1876" s="1740"/>
      <c r="STV1876" s="1740"/>
      <c r="STW1876" s="1740"/>
      <c r="STX1876" s="1740"/>
      <c r="STY1876" s="1740"/>
      <c r="STZ1876" s="1740"/>
      <c r="SUA1876" s="1740"/>
      <c r="SUB1876" s="1740"/>
      <c r="SUC1876" s="1740"/>
      <c r="SUD1876" s="1740"/>
      <c r="SUE1876" s="1740"/>
      <c r="SUF1876" s="1740"/>
      <c r="SUG1876" s="1740"/>
      <c r="SUH1876" s="1740"/>
      <c r="SUI1876" s="1740"/>
      <c r="SUJ1876" s="1740"/>
      <c r="SUK1876" s="1740"/>
      <c r="SUL1876" s="1740"/>
      <c r="SUM1876" s="1740"/>
      <c r="SUN1876" s="1740"/>
      <c r="SUO1876" s="1740"/>
      <c r="SUP1876" s="1740"/>
      <c r="SUQ1876" s="1740"/>
      <c r="SUR1876" s="1740"/>
      <c r="SUS1876" s="1740"/>
      <c r="SUT1876" s="1740"/>
      <c r="SUU1876" s="1740"/>
      <c r="SUV1876" s="1740"/>
      <c r="SUW1876" s="1740"/>
      <c r="SUX1876" s="1740"/>
      <c r="SUY1876" s="1740"/>
      <c r="SUZ1876" s="1740"/>
      <c r="SVA1876" s="1740"/>
      <c r="SVB1876" s="1740"/>
      <c r="SVC1876" s="1740"/>
      <c r="SVD1876" s="1740"/>
      <c r="SVE1876" s="1740"/>
      <c r="SVF1876" s="1740"/>
      <c r="SVG1876" s="1740"/>
      <c r="SVH1876" s="1740"/>
      <c r="SVI1876" s="1740"/>
      <c r="SVJ1876" s="1740"/>
      <c r="SVK1876" s="1740"/>
      <c r="SVL1876" s="1740"/>
      <c r="SVM1876" s="1740"/>
      <c r="SVN1876" s="1740"/>
      <c r="SVO1876" s="1740"/>
      <c r="SVP1876" s="1740"/>
      <c r="SVQ1876" s="1740"/>
      <c r="SVR1876" s="1740"/>
      <c r="SVS1876" s="1740"/>
      <c r="SVT1876" s="1740"/>
      <c r="SVU1876" s="1740"/>
      <c r="SVV1876" s="1740"/>
      <c r="SVW1876" s="1740"/>
      <c r="SVX1876" s="1740"/>
      <c r="SVY1876" s="1740"/>
      <c r="SVZ1876" s="1740"/>
      <c r="SWA1876" s="1740"/>
      <c r="SWB1876" s="1740"/>
      <c r="SWC1876" s="1740"/>
      <c r="SWD1876" s="1740"/>
      <c r="SWE1876" s="1740"/>
      <c r="SWF1876" s="1740"/>
      <c r="SWG1876" s="1740"/>
      <c r="SWH1876" s="1740"/>
      <c r="SWI1876" s="1740"/>
      <c r="SWJ1876" s="1740"/>
      <c r="SWK1876" s="1740"/>
      <c r="SWL1876" s="1740"/>
      <c r="SWM1876" s="1740"/>
      <c r="SWN1876" s="1740"/>
      <c r="SWO1876" s="1740"/>
      <c r="SWP1876" s="1740"/>
      <c r="SWQ1876" s="1740"/>
      <c r="SWR1876" s="1740"/>
      <c r="SWS1876" s="1740"/>
      <c r="SWT1876" s="1740"/>
      <c r="SWU1876" s="1740"/>
      <c r="SWV1876" s="1740"/>
      <c r="SWW1876" s="1740"/>
      <c r="SWX1876" s="1740"/>
      <c r="SWY1876" s="1740"/>
      <c r="SWZ1876" s="1740"/>
      <c r="SXA1876" s="1740"/>
      <c r="SXB1876" s="1740"/>
      <c r="SXC1876" s="1740"/>
      <c r="SXD1876" s="1740"/>
      <c r="SXE1876" s="1740"/>
      <c r="SXF1876" s="1740"/>
      <c r="SXG1876" s="1740"/>
      <c r="SXH1876" s="1740"/>
      <c r="SXI1876" s="1740"/>
      <c r="SXJ1876" s="1740"/>
      <c r="SXK1876" s="1740"/>
      <c r="SXL1876" s="1740"/>
      <c r="SXM1876" s="1740"/>
      <c r="SXN1876" s="1740"/>
      <c r="SXO1876" s="1740"/>
      <c r="SXP1876" s="1740"/>
      <c r="SXQ1876" s="1740"/>
      <c r="SXR1876" s="1740"/>
      <c r="SXS1876" s="1740"/>
      <c r="SXT1876" s="1740"/>
      <c r="SXU1876" s="1740"/>
      <c r="SXV1876" s="1740"/>
      <c r="SXW1876" s="1740"/>
      <c r="SXX1876" s="1740"/>
      <c r="SXY1876" s="1740"/>
      <c r="SXZ1876" s="1740"/>
      <c r="SYA1876" s="1740"/>
      <c r="SYB1876" s="1740"/>
      <c r="SYC1876" s="1740"/>
      <c r="SYD1876" s="1740"/>
      <c r="SYE1876" s="1740"/>
      <c r="SYF1876" s="1740"/>
      <c r="SYG1876" s="1740"/>
      <c r="SYH1876" s="1740"/>
      <c r="SYI1876" s="1740"/>
      <c r="SYJ1876" s="1740"/>
      <c r="SYK1876" s="1740"/>
      <c r="SYL1876" s="1740"/>
      <c r="SYM1876" s="1740"/>
      <c r="SYN1876" s="1740"/>
      <c r="SYO1876" s="1740"/>
      <c r="SYP1876" s="1740"/>
      <c r="SYQ1876" s="1740"/>
      <c r="SYR1876" s="1740"/>
      <c r="SYS1876" s="1740"/>
      <c r="SYT1876" s="1740"/>
      <c r="SYU1876" s="1740"/>
      <c r="SYV1876" s="1740"/>
      <c r="SYW1876" s="1740"/>
      <c r="SYX1876" s="1740"/>
      <c r="SYY1876" s="1740"/>
      <c r="SYZ1876" s="1740"/>
      <c r="SZA1876" s="1740"/>
      <c r="SZB1876" s="1740"/>
      <c r="SZC1876" s="1740"/>
      <c r="SZD1876" s="1740"/>
      <c r="SZE1876" s="1740"/>
      <c r="SZF1876" s="1740"/>
      <c r="SZG1876" s="1740"/>
      <c r="SZH1876" s="1740"/>
      <c r="SZI1876" s="1740"/>
      <c r="SZJ1876" s="1740"/>
      <c r="SZK1876" s="1740"/>
      <c r="SZL1876" s="1740"/>
      <c r="SZM1876" s="1740"/>
      <c r="SZN1876" s="1740"/>
      <c r="SZO1876" s="1740"/>
      <c r="SZP1876" s="1740"/>
      <c r="SZQ1876" s="1740"/>
      <c r="SZR1876" s="1740"/>
      <c r="SZS1876" s="1740"/>
      <c r="SZT1876" s="1740"/>
      <c r="SZU1876" s="1740"/>
      <c r="SZV1876" s="1740"/>
      <c r="SZW1876" s="1740"/>
      <c r="SZX1876" s="1740"/>
      <c r="SZY1876" s="1740"/>
      <c r="SZZ1876" s="1740"/>
      <c r="TAA1876" s="1740"/>
      <c r="TAB1876" s="1740"/>
      <c r="TAC1876" s="1740"/>
      <c r="TAD1876" s="1740"/>
      <c r="TAE1876" s="1740"/>
      <c r="TAF1876" s="1740"/>
      <c r="TAG1876" s="1740"/>
      <c r="TAH1876" s="1740"/>
      <c r="TAI1876" s="1740"/>
      <c r="TAJ1876" s="1740"/>
      <c r="TAK1876" s="1740"/>
      <c r="TAL1876" s="1740"/>
      <c r="TAM1876" s="1740"/>
      <c r="TAN1876" s="1740"/>
      <c r="TAO1876" s="1740"/>
      <c r="TAP1876" s="1740"/>
      <c r="TAQ1876" s="1740"/>
      <c r="TAR1876" s="1740"/>
      <c r="TAS1876" s="1740"/>
      <c r="TAT1876" s="1740"/>
      <c r="TAU1876" s="1740"/>
      <c r="TAV1876" s="1740"/>
      <c r="TAW1876" s="1740"/>
      <c r="TAX1876" s="1740"/>
      <c r="TAY1876" s="1740"/>
      <c r="TAZ1876" s="1740"/>
      <c r="TBA1876" s="1740"/>
      <c r="TBB1876" s="1740"/>
      <c r="TBC1876" s="1740"/>
      <c r="TBD1876" s="1740"/>
      <c r="TBE1876" s="1740"/>
      <c r="TBF1876" s="1740"/>
      <c r="TBG1876" s="1740"/>
      <c r="TBH1876" s="1740"/>
      <c r="TBI1876" s="1740"/>
      <c r="TBJ1876" s="1740"/>
      <c r="TBK1876" s="1740"/>
      <c r="TBL1876" s="1740"/>
      <c r="TBM1876" s="1740"/>
      <c r="TBN1876" s="1740"/>
      <c r="TBO1876" s="1740"/>
      <c r="TBP1876" s="1740"/>
      <c r="TBQ1876" s="1740"/>
      <c r="TBR1876" s="1740"/>
      <c r="TBS1876" s="1740"/>
      <c r="TBT1876" s="1740"/>
      <c r="TBU1876" s="1740"/>
      <c r="TBV1876" s="1740"/>
      <c r="TBW1876" s="1740"/>
      <c r="TBX1876" s="1740"/>
      <c r="TBY1876" s="1740"/>
      <c r="TBZ1876" s="1740"/>
      <c r="TCA1876" s="1740"/>
      <c r="TCB1876" s="1740"/>
      <c r="TCC1876" s="1740"/>
      <c r="TCD1876" s="1740"/>
      <c r="TCE1876" s="1740"/>
      <c r="TCF1876" s="1740"/>
      <c r="TCG1876" s="1740"/>
      <c r="TCH1876" s="1740"/>
      <c r="TCI1876" s="1740"/>
      <c r="TCJ1876" s="1740"/>
      <c r="TCK1876" s="1740"/>
      <c r="TCL1876" s="1740"/>
      <c r="TCM1876" s="1740"/>
      <c r="TCN1876" s="1740"/>
      <c r="TCO1876" s="1740"/>
      <c r="TCP1876" s="1740"/>
      <c r="TCQ1876" s="1740"/>
      <c r="TCR1876" s="1740"/>
      <c r="TCS1876" s="1740"/>
      <c r="TCT1876" s="1740"/>
      <c r="TCU1876" s="1740"/>
      <c r="TCV1876" s="1740"/>
      <c r="TCW1876" s="1740"/>
      <c r="TCX1876" s="1740"/>
      <c r="TCY1876" s="1740"/>
      <c r="TCZ1876" s="1740"/>
      <c r="TDA1876" s="1740"/>
      <c r="TDB1876" s="1740"/>
      <c r="TDC1876" s="1740"/>
      <c r="TDD1876" s="1740"/>
      <c r="TDE1876" s="1740"/>
      <c r="TDF1876" s="1740"/>
      <c r="TDG1876" s="1740"/>
      <c r="TDH1876" s="1740"/>
      <c r="TDI1876" s="1740"/>
      <c r="TDJ1876" s="1740"/>
      <c r="TDK1876" s="1740"/>
      <c r="TDL1876" s="1740"/>
      <c r="TDM1876" s="1740"/>
      <c r="TDN1876" s="1740"/>
      <c r="TDO1876" s="1740"/>
      <c r="TDP1876" s="1740"/>
      <c r="TDQ1876" s="1740"/>
      <c r="TDR1876" s="1740"/>
      <c r="TDS1876" s="1740"/>
      <c r="TDT1876" s="1740"/>
      <c r="TDU1876" s="1740"/>
      <c r="TDV1876" s="1740"/>
      <c r="TDW1876" s="1740"/>
      <c r="TDX1876" s="1740"/>
      <c r="TDY1876" s="1740"/>
      <c r="TDZ1876" s="1740"/>
      <c r="TEA1876" s="1740"/>
      <c r="TEB1876" s="1740"/>
      <c r="TEC1876" s="1740"/>
      <c r="TED1876" s="1740"/>
      <c r="TEE1876" s="1740"/>
      <c r="TEF1876" s="1740"/>
      <c r="TEG1876" s="1740"/>
      <c r="TEH1876" s="1740"/>
      <c r="TEI1876" s="1740"/>
      <c r="TEJ1876" s="1740"/>
      <c r="TEK1876" s="1740"/>
      <c r="TEL1876" s="1740"/>
      <c r="TEM1876" s="1740"/>
      <c r="TEN1876" s="1740"/>
      <c r="TEO1876" s="1740"/>
      <c r="TEP1876" s="1740"/>
      <c r="TEQ1876" s="1740"/>
      <c r="TER1876" s="1740"/>
      <c r="TES1876" s="1740"/>
      <c r="TET1876" s="1740"/>
      <c r="TEU1876" s="1740"/>
      <c r="TEV1876" s="1740"/>
      <c r="TEW1876" s="1740"/>
      <c r="TEX1876" s="1740"/>
      <c r="TEY1876" s="1740"/>
      <c r="TEZ1876" s="1740"/>
      <c r="TFA1876" s="1740"/>
      <c r="TFB1876" s="1740"/>
      <c r="TFC1876" s="1740"/>
      <c r="TFD1876" s="1740"/>
      <c r="TFE1876" s="1740"/>
      <c r="TFF1876" s="1740"/>
      <c r="TFG1876" s="1740"/>
      <c r="TFH1876" s="1740"/>
      <c r="TFI1876" s="1740"/>
      <c r="TFJ1876" s="1740"/>
      <c r="TFK1876" s="1740"/>
      <c r="TFL1876" s="1740"/>
      <c r="TFM1876" s="1740"/>
      <c r="TFN1876" s="1740"/>
      <c r="TFO1876" s="1740"/>
      <c r="TFP1876" s="1740"/>
      <c r="TFQ1876" s="1740"/>
      <c r="TFR1876" s="1740"/>
      <c r="TFS1876" s="1740"/>
      <c r="TFT1876" s="1740"/>
      <c r="TFU1876" s="1740"/>
      <c r="TFV1876" s="1740"/>
      <c r="TFW1876" s="1740"/>
      <c r="TFX1876" s="1740"/>
      <c r="TFY1876" s="1740"/>
      <c r="TFZ1876" s="1740"/>
      <c r="TGA1876" s="1740"/>
      <c r="TGB1876" s="1740"/>
      <c r="TGC1876" s="1740"/>
      <c r="TGD1876" s="1740"/>
      <c r="TGE1876" s="1740"/>
      <c r="TGF1876" s="1740"/>
      <c r="TGG1876" s="1740"/>
      <c r="TGH1876" s="1740"/>
      <c r="TGI1876" s="1740"/>
      <c r="TGJ1876" s="1740"/>
      <c r="TGK1876" s="1740"/>
      <c r="TGL1876" s="1740"/>
      <c r="TGM1876" s="1740"/>
      <c r="TGN1876" s="1740"/>
      <c r="TGO1876" s="1740"/>
      <c r="TGP1876" s="1740"/>
      <c r="TGQ1876" s="1740"/>
      <c r="TGR1876" s="1740"/>
      <c r="TGS1876" s="1740"/>
      <c r="TGT1876" s="1740"/>
      <c r="TGU1876" s="1740"/>
      <c r="TGV1876" s="1740"/>
      <c r="TGW1876" s="1740"/>
      <c r="TGX1876" s="1740"/>
      <c r="TGY1876" s="1740"/>
      <c r="TGZ1876" s="1740"/>
      <c r="THA1876" s="1740"/>
      <c r="THB1876" s="1740"/>
      <c r="THC1876" s="1740"/>
      <c r="THD1876" s="1740"/>
      <c r="THE1876" s="1740"/>
      <c r="THF1876" s="1740"/>
      <c r="THG1876" s="1740"/>
      <c r="THH1876" s="1740"/>
      <c r="THI1876" s="1740"/>
      <c r="THJ1876" s="1740"/>
      <c r="THK1876" s="1740"/>
      <c r="THL1876" s="1740"/>
      <c r="THM1876" s="1740"/>
      <c r="THN1876" s="1740"/>
      <c r="THO1876" s="1740"/>
      <c r="THP1876" s="1740"/>
      <c r="THQ1876" s="1740"/>
      <c r="THR1876" s="1740"/>
      <c r="THS1876" s="1740"/>
      <c r="THT1876" s="1740"/>
      <c r="THU1876" s="1740"/>
      <c r="THV1876" s="1740"/>
      <c r="THW1876" s="1740"/>
      <c r="THX1876" s="1740"/>
      <c r="THY1876" s="1740"/>
      <c r="THZ1876" s="1740"/>
      <c r="TIA1876" s="1740"/>
      <c r="TIB1876" s="1740"/>
      <c r="TIC1876" s="1740"/>
      <c r="TID1876" s="1740"/>
      <c r="TIE1876" s="1740"/>
      <c r="TIF1876" s="1740"/>
      <c r="TIG1876" s="1740"/>
      <c r="TIH1876" s="1740"/>
      <c r="TII1876" s="1740"/>
      <c r="TIJ1876" s="1740"/>
      <c r="TIK1876" s="1740"/>
      <c r="TIL1876" s="1740"/>
      <c r="TIM1876" s="1740"/>
      <c r="TIN1876" s="1740"/>
      <c r="TIO1876" s="1740"/>
      <c r="TIP1876" s="1740"/>
      <c r="TIQ1876" s="1740"/>
      <c r="TIR1876" s="1740"/>
      <c r="TIS1876" s="1740"/>
      <c r="TIT1876" s="1740"/>
      <c r="TIU1876" s="1740"/>
      <c r="TIV1876" s="1740"/>
      <c r="TIW1876" s="1740"/>
      <c r="TIX1876" s="1740"/>
      <c r="TIY1876" s="1740"/>
      <c r="TIZ1876" s="1740"/>
      <c r="TJA1876" s="1740"/>
      <c r="TJB1876" s="1740"/>
      <c r="TJC1876" s="1740"/>
      <c r="TJD1876" s="1740"/>
      <c r="TJE1876" s="1740"/>
      <c r="TJF1876" s="1740"/>
      <c r="TJG1876" s="1740"/>
      <c r="TJH1876" s="1740"/>
      <c r="TJI1876" s="1740"/>
      <c r="TJJ1876" s="1740"/>
      <c r="TJK1876" s="1740"/>
      <c r="TJL1876" s="1740"/>
      <c r="TJM1876" s="1740"/>
      <c r="TJN1876" s="1740"/>
      <c r="TJO1876" s="1740"/>
      <c r="TJP1876" s="1740"/>
      <c r="TJQ1876" s="1740"/>
      <c r="TJR1876" s="1740"/>
      <c r="TJS1876" s="1740"/>
      <c r="TJT1876" s="1740"/>
      <c r="TJU1876" s="1740"/>
      <c r="TJV1876" s="1740"/>
      <c r="TJW1876" s="1740"/>
      <c r="TJX1876" s="1740"/>
      <c r="TJY1876" s="1740"/>
      <c r="TJZ1876" s="1740"/>
      <c r="TKA1876" s="1740"/>
      <c r="TKB1876" s="1740"/>
      <c r="TKC1876" s="1740"/>
      <c r="TKD1876" s="1740"/>
      <c r="TKE1876" s="1740"/>
      <c r="TKF1876" s="1740"/>
      <c r="TKG1876" s="1740"/>
      <c r="TKH1876" s="1740"/>
      <c r="TKI1876" s="1740"/>
      <c r="TKJ1876" s="1740"/>
      <c r="TKK1876" s="1740"/>
      <c r="TKL1876" s="1740"/>
      <c r="TKM1876" s="1740"/>
      <c r="TKN1876" s="1740"/>
      <c r="TKO1876" s="1740"/>
      <c r="TKP1876" s="1740"/>
      <c r="TKQ1876" s="1740"/>
      <c r="TKR1876" s="1740"/>
      <c r="TKS1876" s="1740"/>
      <c r="TKT1876" s="1740"/>
      <c r="TKU1876" s="1740"/>
      <c r="TKV1876" s="1740"/>
      <c r="TKW1876" s="1740"/>
      <c r="TKX1876" s="1740"/>
      <c r="TKY1876" s="1740"/>
      <c r="TKZ1876" s="1740"/>
      <c r="TLA1876" s="1740"/>
      <c r="TLB1876" s="1740"/>
      <c r="TLC1876" s="1740"/>
      <c r="TLD1876" s="1740"/>
      <c r="TLE1876" s="1740"/>
      <c r="TLF1876" s="1740"/>
      <c r="TLG1876" s="1740"/>
      <c r="TLH1876" s="1740"/>
      <c r="TLI1876" s="1740"/>
      <c r="TLJ1876" s="1740"/>
      <c r="TLK1876" s="1740"/>
      <c r="TLL1876" s="1740"/>
      <c r="TLM1876" s="1740"/>
      <c r="TLN1876" s="1740"/>
      <c r="TLO1876" s="1740"/>
      <c r="TLP1876" s="1740"/>
      <c r="TLQ1876" s="1740"/>
      <c r="TLR1876" s="1740"/>
      <c r="TLS1876" s="1740"/>
      <c r="TLT1876" s="1740"/>
      <c r="TLU1876" s="1740"/>
      <c r="TLV1876" s="1740"/>
      <c r="TLW1876" s="1740"/>
      <c r="TLX1876" s="1740"/>
      <c r="TLY1876" s="1740"/>
      <c r="TLZ1876" s="1740"/>
      <c r="TMA1876" s="1740"/>
      <c r="TMB1876" s="1740"/>
      <c r="TMC1876" s="1740"/>
      <c r="TMD1876" s="1740"/>
      <c r="TME1876" s="1740"/>
      <c r="TMF1876" s="1740"/>
      <c r="TMG1876" s="1740"/>
      <c r="TMH1876" s="1740"/>
      <c r="TMI1876" s="1740"/>
      <c r="TMJ1876" s="1740"/>
      <c r="TMK1876" s="1740"/>
      <c r="TML1876" s="1740"/>
      <c r="TMM1876" s="1740"/>
      <c r="TMN1876" s="1740"/>
      <c r="TMO1876" s="1740"/>
      <c r="TMP1876" s="1740"/>
      <c r="TMQ1876" s="1740"/>
      <c r="TMR1876" s="1740"/>
      <c r="TMS1876" s="1740"/>
      <c r="TMT1876" s="1740"/>
      <c r="TMU1876" s="1740"/>
      <c r="TMV1876" s="1740"/>
      <c r="TMW1876" s="1740"/>
      <c r="TMX1876" s="1740"/>
      <c r="TMY1876" s="1740"/>
      <c r="TMZ1876" s="1740"/>
      <c r="TNA1876" s="1740"/>
      <c r="TNB1876" s="1740"/>
      <c r="TNC1876" s="1740"/>
      <c r="TND1876" s="1740"/>
      <c r="TNE1876" s="1740"/>
      <c r="TNF1876" s="1740"/>
      <c r="TNG1876" s="1740"/>
      <c r="TNH1876" s="1740"/>
      <c r="TNI1876" s="1740"/>
      <c r="TNJ1876" s="1740"/>
      <c r="TNK1876" s="1740"/>
      <c r="TNL1876" s="1740"/>
      <c r="TNM1876" s="1740"/>
      <c r="TNN1876" s="1740"/>
      <c r="TNO1876" s="1740"/>
      <c r="TNP1876" s="1740"/>
      <c r="TNQ1876" s="1740"/>
      <c r="TNR1876" s="1740"/>
      <c r="TNS1876" s="1740"/>
      <c r="TNT1876" s="1740"/>
      <c r="TNU1876" s="1740"/>
      <c r="TNV1876" s="1740"/>
      <c r="TNW1876" s="1740"/>
      <c r="TNX1876" s="1740"/>
      <c r="TNY1876" s="1740"/>
      <c r="TNZ1876" s="1740"/>
      <c r="TOA1876" s="1740"/>
      <c r="TOB1876" s="1740"/>
      <c r="TOC1876" s="1740"/>
      <c r="TOD1876" s="1740"/>
      <c r="TOE1876" s="1740"/>
      <c r="TOF1876" s="1740"/>
      <c r="TOG1876" s="1740"/>
      <c r="TOH1876" s="1740"/>
      <c r="TOI1876" s="1740"/>
      <c r="TOJ1876" s="1740"/>
      <c r="TOK1876" s="1740"/>
      <c r="TOL1876" s="1740"/>
      <c r="TOM1876" s="1740"/>
      <c r="TON1876" s="1740"/>
      <c r="TOO1876" s="1740"/>
      <c r="TOP1876" s="1740"/>
      <c r="TOQ1876" s="1740"/>
      <c r="TOR1876" s="1740"/>
      <c r="TOS1876" s="1740"/>
      <c r="TOT1876" s="1740"/>
      <c r="TOU1876" s="1740"/>
      <c r="TOV1876" s="1740"/>
      <c r="TOW1876" s="1740"/>
      <c r="TOX1876" s="1740"/>
      <c r="TOY1876" s="1740"/>
      <c r="TOZ1876" s="1740"/>
      <c r="TPA1876" s="1740"/>
      <c r="TPB1876" s="1740"/>
      <c r="TPC1876" s="1740"/>
      <c r="TPD1876" s="1740"/>
      <c r="TPE1876" s="1740"/>
      <c r="TPF1876" s="1740"/>
      <c r="TPG1876" s="1740"/>
      <c r="TPH1876" s="1740"/>
      <c r="TPI1876" s="1740"/>
      <c r="TPJ1876" s="1740"/>
      <c r="TPK1876" s="1740"/>
      <c r="TPL1876" s="1740"/>
      <c r="TPM1876" s="1740"/>
      <c r="TPN1876" s="1740"/>
      <c r="TPO1876" s="1740"/>
      <c r="TPP1876" s="1740"/>
      <c r="TPQ1876" s="1740"/>
      <c r="TPR1876" s="1740"/>
      <c r="TPS1876" s="1740"/>
      <c r="TPT1876" s="1740"/>
      <c r="TPU1876" s="1740"/>
      <c r="TPV1876" s="1740"/>
      <c r="TPW1876" s="1740"/>
      <c r="TPX1876" s="1740"/>
      <c r="TPY1876" s="1740"/>
      <c r="TPZ1876" s="1740"/>
      <c r="TQA1876" s="1740"/>
      <c r="TQB1876" s="1740"/>
      <c r="TQC1876" s="1740"/>
      <c r="TQD1876" s="1740"/>
      <c r="TQE1876" s="1740"/>
      <c r="TQF1876" s="1740"/>
      <c r="TQG1876" s="1740"/>
      <c r="TQH1876" s="1740"/>
      <c r="TQI1876" s="1740"/>
      <c r="TQJ1876" s="1740"/>
      <c r="TQK1876" s="1740"/>
      <c r="TQL1876" s="1740"/>
      <c r="TQM1876" s="1740"/>
      <c r="TQN1876" s="1740"/>
      <c r="TQO1876" s="1740"/>
      <c r="TQP1876" s="1740"/>
      <c r="TQQ1876" s="1740"/>
      <c r="TQR1876" s="1740"/>
      <c r="TQS1876" s="1740"/>
      <c r="TQT1876" s="1740"/>
      <c r="TQU1876" s="1740"/>
      <c r="TQV1876" s="1740"/>
      <c r="TQW1876" s="1740"/>
      <c r="TQX1876" s="1740"/>
      <c r="TQY1876" s="1740"/>
      <c r="TQZ1876" s="1740"/>
      <c r="TRA1876" s="1740"/>
      <c r="TRB1876" s="1740"/>
      <c r="TRC1876" s="1740"/>
      <c r="TRD1876" s="1740"/>
      <c r="TRE1876" s="1740"/>
      <c r="TRF1876" s="1740"/>
      <c r="TRG1876" s="1740"/>
      <c r="TRH1876" s="1740"/>
      <c r="TRI1876" s="1740"/>
      <c r="TRJ1876" s="1740"/>
      <c r="TRK1876" s="1740"/>
      <c r="TRL1876" s="1740"/>
      <c r="TRM1876" s="1740"/>
      <c r="TRN1876" s="1740"/>
      <c r="TRO1876" s="1740"/>
      <c r="TRP1876" s="1740"/>
      <c r="TRQ1876" s="1740"/>
      <c r="TRR1876" s="1740"/>
      <c r="TRS1876" s="1740"/>
      <c r="TRT1876" s="1740"/>
      <c r="TRU1876" s="1740"/>
      <c r="TRV1876" s="1740"/>
      <c r="TRW1876" s="1740"/>
      <c r="TRX1876" s="1740"/>
      <c r="TRY1876" s="1740"/>
      <c r="TRZ1876" s="1740"/>
      <c r="TSA1876" s="1740"/>
      <c r="TSB1876" s="1740"/>
      <c r="TSC1876" s="1740"/>
      <c r="TSD1876" s="1740"/>
      <c r="TSE1876" s="1740"/>
      <c r="TSF1876" s="1740"/>
      <c r="TSG1876" s="1740"/>
      <c r="TSH1876" s="1740"/>
      <c r="TSI1876" s="1740"/>
      <c r="TSJ1876" s="1740"/>
      <c r="TSK1876" s="1740"/>
      <c r="TSL1876" s="1740"/>
      <c r="TSM1876" s="1740"/>
      <c r="TSN1876" s="1740"/>
      <c r="TSO1876" s="1740"/>
      <c r="TSP1876" s="1740"/>
      <c r="TSQ1876" s="1740"/>
      <c r="TSR1876" s="1740"/>
      <c r="TSS1876" s="1740"/>
      <c r="TST1876" s="1740"/>
      <c r="TSU1876" s="1740"/>
      <c r="TSV1876" s="1740"/>
      <c r="TSW1876" s="1740"/>
      <c r="TSX1876" s="1740"/>
      <c r="TSY1876" s="1740"/>
      <c r="TSZ1876" s="1740"/>
      <c r="TTA1876" s="1740"/>
      <c r="TTB1876" s="1740"/>
      <c r="TTC1876" s="1740"/>
      <c r="TTD1876" s="1740"/>
      <c r="TTE1876" s="1740"/>
      <c r="TTF1876" s="1740"/>
      <c r="TTG1876" s="1740"/>
      <c r="TTH1876" s="1740"/>
      <c r="TTI1876" s="1740"/>
      <c r="TTJ1876" s="1740"/>
      <c r="TTK1876" s="1740"/>
      <c r="TTL1876" s="1740"/>
      <c r="TTM1876" s="1740"/>
      <c r="TTN1876" s="1740"/>
      <c r="TTO1876" s="1740"/>
      <c r="TTP1876" s="1740"/>
      <c r="TTQ1876" s="1740"/>
      <c r="TTR1876" s="1740"/>
      <c r="TTS1876" s="1740"/>
      <c r="TTT1876" s="1740"/>
      <c r="TTU1876" s="1740"/>
      <c r="TTV1876" s="1740"/>
      <c r="TTW1876" s="1740"/>
      <c r="TTX1876" s="1740"/>
      <c r="TTY1876" s="1740"/>
      <c r="TTZ1876" s="1740"/>
      <c r="TUA1876" s="1740"/>
      <c r="TUB1876" s="1740"/>
      <c r="TUC1876" s="1740"/>
      <c r="TUD1876" s="1740"/>
      <c r="TUE1876" s="1740"/>
      <c r="TUF1876" s="1740"/>
      <c r="TUG1876" s="1740"/>
      <c r="TUH1876" s="1740"/>
      <c r="TUI1876" s="1740"/>
      <c r="TUJ1876" s="1740"/>
      <c r="TUK1876" s="1740"/>
      <c r="TUL1876" s="1740"/>
      <c r="TUM1876" s="1740"/>
      <c r="TUN1876" s="1740"/>
      <c r="TUO1876" s="1740"/>
      <c r="TUP1876" s="1740"/>
      <c r="TUQ1876" s="1740"/>
      <c r="TUR1876" s="1740"/>
      <c r="TUS1876" s="1740"/>
      <c r="TUT1876" s="1740"/>
      <c r="TUU1876" s="1740"/>
      <c r="TUV1876" s="1740"/>
      <c r="TUW1876" s="1740"/>
      <c r="TUX1876" s="1740"/>
      <c r="TUY1876" s="1740"/>
      <c r="TUZ1876" s="1740"/>
      <c r="TVA1876" s="1740"/>
      <c r="TVB1876" s="1740"/>
      <c r="TVC1876" s="1740"/>
      <c r="TVD1876" s="1740"/>
      <c r="TVE1876" s="1740"/>
      <c r="TVF1876" s="1740"/>
      <c r="TVG1876" s="1740"/>
      <c r="TVH1876" s="1740"/>
      <c r="TVI1876" s="1740"/>
      <c r="TVJ1876" s="1740"/>
      <c r="TVK1876" s="1740"/>
      <c r="TVL1876" s="1740"/>
      <c r="TVM1876" s="1740"/>
      <c r="TVN1876" s="1740"/>
      <c r="TVO1876" s="1740"/>
      <c r="TVP1876" s="1740"/>
      <c r="TVQ1876" s="1740"/>
      <c r="TVR1876" s="1740"/>
      <c r="TVS1876" s="1740"/>
      <c r="TVT1876" s="1740"/>
      <c r="TVU1876" s="1740"/>
      <c r="TVV1876" s="1740"/>
      <c r="TVW1876" s="1740"/>
      <c r="TVX1876" s="1740"/>
      <c r="TVY1876" s="1740"/>
      <c r="TVZ1876" s="1740"/>
      <c r="TWA1876" s="1740"/>
      <c r="TWB1876" s="1740"/>
      <c r="TWC1876" s="1740"/>
      <c r="TWD1876" s="1740"/>
      <c r="TWE1876" s="1740"/>
      <c r="TWF1876" s="1740"/>
      <c r="TWG1876" s="1740"/>
      <c r="TWH1876" s="1740"/>
      <c r="TWI1876" s="1740"/>
      <c r="TWJ1876" s="1740"/>
      <c r="TWK1876" s="1740"/>
      <c r="TWL1876" s="1740"/>
      <c r="TWM1876" s="1740"/>
      <c r="TWN1876" s="1740"/>
      <c r="TWO1876" s="1740"/>
      <c r="TWP1876" s="1740"/>
      <c r="TWQ1876" s="1740"/>
      <c r="TWR1876" s="1740"/>
      <c r="TWS1876" s="1740"/>
      <c r="TWT1876" s="1740"/>
      <c r="TWU1876" s="1740"/>
      <c r="TWV1876" s="1740"/>
      <c r="TWW1876" s="1740"/>
      <c r="TWX1876" s="1740"/>
      <c r="TWY1876" s="1740"/>
      <c r="TWZ1876" s="1740"/>
      <c r="TXA1876" s="1740"/>
      <c r="TXB1876" s="1740"/>
      <c r="TXC1876" s="1740"/>
      <c r="TXD1876" s="1740"/>
      <c r="TXE1876" s="1740"/>
      <c r="TXF1876" s="1740"/>
      <c r="TXG1876" s="1740"/>
      <c r="TXH1876" s="1740"/>
      <c r="TXI1876" s="1740"/>
      <c r="TXJ1876" s="1740"/>
      <c r="TXK1876" s="1740"/>
      <c r="TXL1876" s="1740"/>
      <c r="TXM1876" s="1740"/>
      <c r="TXN1876" s="1740"/>
      <c r="TXO1876" s="1740"/>
      <c r="TXP1876" s="1740"/>
      <c r="TXQ1876" s="1740"/>
      <c r="TXR1876" s="1740"/>
      <c r="TXS1876" s="1740"/>
      <c r="TXT1876" s="1740"/>
      <c r="TXU1876" s="1740"/>
      <c r="TXV1876" s="1740"/>
      <c r="TXW1876" s="1740"/>
      <c r="TXX1876" s="1740"/>
      <c r="TXY1876" s="1740"/>
      <c r="TXZ1876" s="1740"/>
      <c r="TYA1876" s="1740"/>
      <c r="TYB1876" s="1740"/>
      <c r="TYC1876" s="1740"/>
      <c r="TYD1876" s="1740"/>
      <c r="TYE1876" s="1740"/>
      <c r="TYF1876" s="1740"/>
      <c r="TYG1876" s="1740"/>
      <c r="TYH1876" s="1740"/>
      <c r="TYI1876" s="1740"/>
      <c r="TYJ1876" s="1740"/>
      <c r="TYK1876" s="1740"/>
      <c r="TYL1876" s="1740"/>
      <c r="TYM1876" s="1740"/>
      <c r="TYN1876" s="1740"/>
      <c r="TYO1876" s="1740"/>
      <c r="TYP1876" s="1740"/>
      <c r="TYQ1876" s="1740"/>
      <c r="TYR1876" s="1740"/>
      <c r="TYS1876" s="1740"/>
      <c r="TYT1876" s="1740"/>
      <c r="TYU1876" s="1740"/>
      <c r="TYV1876" s="1740"/>
      <c r="TYW1876" s="1740"/>
      <c r="TYX1876" s="1740"/>
      <c r="TYY1876" s="1740"/>
      <c r="TYZ1876" s="1740"/>
      <c r="TZA1876" s="1740"/>
      <c r="TZB1876" s="1740"/>
      <c r="TZC1876" s="1740"/>
      <c r="TZD1876" s="1740"/>
      <c r="TZE1876" s="1740"/>
      <c r="TZF1876" s="1740"/>
      <c r="TZG1876" s="1740"/>
      <c r="TZH1876" s="1740"/>
      <c r="TZI1876" s="1740"/>
      <c r="TZJ1876" s="1740"/>
      <c r="TZK1876" s="1740"/>
      <c r="TZL1876" s="1740"/>
      <c r="TZM1876" s="1740"/>
      <c r="TZN1876" s="1740"/>
      <c r="TZO1876" s="1740"/>
      <c r="TZP1876" s="1740"/>
      <c r="TZQ1876" s="1740"/>
      <c r="TZR1876" s="1740"/>
      <c r="TZS1876" s="1740"/>
      <c r="TZT1876" s="1740"/>
      <c r="TZU1876" s="1740"/>
      <c r="TZV1876" s="1740"/>
      <c r="TZW1876" s="1740"/>
      <c r="TZX1876" s="1740"/>
      <c r="TZY1876" s="1740"/>
      <c r="TZZ1876" s="1740"/>
      <c r="UAA1876" s="1740"/>
      <c r="UAB1876" s="1740"/>
      <c r="UAC1876" s="1740"/>
      <c r="UAD1876" s="1740"/>
      <c r="UAE1876" s="1740"/>
      <c r="UAF1876" s="1740"/>
      <c r="UAG1876" s="1740"/>
      <c r="UAH1876" s="1740"/>
      <c r="UAI1876" s="1740"/>
      <c r="UAJ1876" s="1740"/>
      <c r="UAK1876" s="1740"/>
      <c r="UAL1876" s="1740"/>
      <c r="UAM1876" s="1740"/>
      <c r="UAN1876" s="1740"/>
      <c r="UAO1876" s="1740"/>
      <c r="UAP1876" s="1740"/>
      <c r="UAQ1876" s="1740"/>
      <c r="UAR1876" s="1740"/>
      <c r="UAS1876" s="1740"/>
      <c r="UAT1876" s="1740"/>
      <c r="UAU1876" s="1740"/>
      <c r="UAV1876" s="1740"/>
      <c r="UAW1876" s="1740"/>
      <c r="UAX1876" s="1740"/>
      <c r="UAY1876" s="1740"/>
      <c r="UAZ1876" s="1740"/>
      <c r="UBA1876" s="1740"/>
      <c r="UBB1876" s="1740"/>
      <c r="UBC1876" s="1740"/>
      <c r="UBD1876" s="1740"/>
      <c r="UBE1876" s="1740"/>
      <c r="UBF1876" s="1740"/>
      <c r="UBG1876" s="1740"/>
      <c r="UBH1876" s="1740"/>
      <c r="UBI1876" s="1740"/>
      <c r="UBJ1876" s="1740"/>
      <c r="UBK1876" s="1740"/>
      <c r="UBL1876" s="1740"/>
      <c r="UBM1876" s="1740"/>
      <c r="UBN1876" s="1740"/>
      <c r="UBO1876" s="1740"/>
      <c r="UBP1876" s="1740"/>
      <c r="UBQ1876" s="1740"/>
      <c r="UBR1876" s="1740"/>
      <c r="UBS1876" s="1740"/>
      <c r="UBT1876" s="1740"/>
      <c r="UBU1876" s="1740"/>
      <c r="UBV1876" s="1740"/>
      <c r="UBW1876" s="1740"/>
      <c r="UBX1876" s="1740"/>
      <c r="UBY1876" s="1740"/>
      <c r="UBZ1876" s="1740"/>
      <c r="UCA1876" s="1740"/>
      <c r="UCB1876" s="1740"/>
      <c r="UCC1876" s="1740"/>
      <c r="UCD1876" s="1740"/>
      <c r="UCE1876" s="1740"/>
      <c r="UCF1876" s="1740"/>
      <c r="UCG1876" s="1740"/>
      <c r="UCH1876" s="1740"/>
      <c r="UCI1876" s="1740"/>
      <c r="UCJ1876" s="1740"/>
      <c r="UCK1876" s="1740"/>
      <c r="UCL1876" s="1740"/>
      <c r="UCM1876" s="1740"/>
      <c r="UCN1876" s="1740"/>
      <c r="UCO1876" s="1740"/>
      <c r="UCP1876" s="1740"/>
      <c r="UCQ1876" s="1740"/>
      <c r="UCR1876" s="1740"/>
      <c r="UCS1876" s="1740"/>
      <c r="UCT1876" s="1740"/>
      <c r="UCU1876" s="1740"/>
      <c r="UCV1876" s="1740"/>
      <c r="UCW1876" s="1740"/>
      <c r="UCX1876" s="1740"/>
      <c r="UCY1876" s="1740"/>
      <c r="UCZ1876" s="1740"/>
      <c r="UDA1876" s="1740"/>
      <c r="UDB1876" s="1740"/>
      <c r="UDC1876" s="1740"/>
      <c r="UDD1876" s="1740"/>
      <c r="UDE1876" s="1740"/>
      <c r="UDF1876" s="1740"/>
      <c r="UDG1876" s="1740"/>
      <c r="UDH1876" s="1740"/>
      <c r="UDI1876" s="1740"/>
      <c r="UDJ1876" s="1740"/>
      <c r="UDK1876" s="1740"/>
      <c r="UDL1876" s="1740"/>
      <c r="UDM1876" s="1740"/>
      <c r="UDN1876" s="1740"/>
      <c r="UDO1876" s="1740"/>
      <c r="UDP1876" s="1740"/>
      <c r="UDQ1876" s="1740"/>
      <c r="UDR1876" s="1740"/>
      <c r="UDS1876" s="1740"/>
      <c r="UDT1876" s="1740"/>
      <c r="UDU1876" s="1740"/>
      <c r="UDV1876" s="1740"/>
      <c r="UDW1876" s="1740"/>
      <c r="UDX1876" s="1740"/>
      <c r="UDY1876" s="1740"/>
      <c r="UDZ1876" s="1740"/>
      <c r="UEA1876" s="1740"/>
      <c r="UEB1876" s="1740"/>
      <c r="UEC1876" s="1740"/>
      <c r="UED1876" s="1740"/>
      <c r="UEE1876" s="1740"/>
      <c r="UEF1876" s="1740"/>
      <c r="UEG1876" s="1740"/>
      <c r="UEH1876" s="1740"/>
      <c r="UEI1876" s="1740"/>
      <c r="UEJ1876" s="1740"/>
      <c r="UEK1876" s="1740"/>
      <c r="UEL1876" s="1740"/>
      <c r="UEM1876" s="1740"/>
      <c r="UEN1876" s="1740"/>
      <c r="UEO1876" s="1740"/>
      <c r="UEP1876" s="1740"/>
      <c r="UEQ1876" s="1740"/>
      <c r="UER1876" s="1740"/>
      <c r="UES1876" s="1740"/>
      <c r="UET1876" s="1740"/>
      <c r="UEU1876" s="1740"/>
      <c r="UEV1876" s="1740"/>
      <c r="UEW1876" s="1740"/>
      <c r="UEX1876" s="1740"/>
      <c r="UEY1876" s="1740"/>
      <c r="UEZ1876" s="1740"/>
      <c r="UFA1876" s="1740"/>
      <c r="UFB1876" s="1740"/>
      <c r="UFC1876" s="1740"/>
      <c r="UFD1876" s="1740"/>
      <c r="UFE1876" s="1740"/>
      <c r="UFF1876" s="1740"/>
      <c r="UFG1876" s="1740"/>
      <c r="UFH1876" s="1740"/>
      <c r="UFI1876" s="1740"/>
      <c r="UFJ1876" s="1740"/>
      <c r="UFK1876" s="1740"/>
      <c r="UFL1876" s="1740"/>
      <c r="UFM1876" s="1740"/>
      <c r="UFN1876" s="1740"/>
      <c r="UFO1876" s="1740"/>
      <c r="UFP1876" s="1740"/>
      <c r="UFQ1876" s="1740"/>
      <c r="UFR1876" s="1740"/>
      <c r="UFS1876" s="1740"/>
      <c r="UFT1876" s="1740"/>
      <c r="UFU1876" s="1740"/>
      <c r="UFV1876" s="1740"/>
      <c r="UFW1876" s="1740"/>
      <c r="UFX1876" s="1740"/>
      <c r="UFY1876" s="1740"/>
      <c r="UFZ1876" s="1740"/>
      <c r="UGA1876" s="1740"/>
      <c r="UGB1876" s="1740"/>
      <c r="UGC1876" s="1740"/>
      <c r="UGD1876" s="1740"/>
      <c r="UGE1876" s="1740"/>
      <c r="UGF1876" s="1740"/>
      <c r="UGG1876" s="1740"/>
      <c r="UGH1876" s="1740"/>
      <c r="UGI1876" s="1740"/>
      <c r="UGJ1876" s="1740"/>
      <c r="UGK1876" s="1740"/>
      <c r="UGL1876" s="1740"/>
      <c r="UGM1876" s="1740"/>
      <c r="UGN1876" s="1740"/>
      <c r="UGO1876" s="1740"/>
      <c r="UGP1876" s="1740"/>
      <c r="UGQ1876" s="1740"/>
      <c r="UGR1876" s="1740"/>
      <c r="UGS1876" s="1740"/>
      <c r="UGT1876" s="1740"/>
      <c r="UGU1876" s="1740"/>
      <c r="UGV1876" s="1740"/>
      <c r="UGW1876" s="1740"/>
      <c r="UGX1876" s="1740"/>
      <c r="UGY1876" s="1740"/>
      <c r="UGZ1876" s="1740"/>
      <c r="UHA1876" s="1740"/>
      <c r="UHB1876" s="1740"/>
      <c r="UHC1876" s="1740"/>
      <c r="UHD1876" s="1740"/>
      <c r="UHE1876" s="1740"/>
      <c r="UHF1876" s="1740"/>
      <c r="UHG1876" s="1740"/>
      <c r="UHH1876" s="1740"/>
      <c r="UHI1876" s="1740"/>
      <c r="UHJ1876" s="1740"/>
      <c r="UHK1876" s="1740"/>
      <c r="UHL1876" s="1740"/>
      <c r="UHM1876" s="1740"/>
      <c r="UHN1876" s="1740"/>
      <c r="UHO1876" s="1740"/>
      <c r="UHP1876" s="1740"/>
      <c r="UHQ1876" s="1740"/>
      <c r="UHR1876" s="1740"/>
      <c r="UHS1876" s="1740"/>
      <c r="UHT1876" s="1740"/>
      <c r="UHU1876" s="1740"/>
      <c r="UHV1876" s="1740"/>
      <c r="UHW1876" s="1740"/>
      <c r="UHX1876" s="1740"/>
      <c r="UHY1876" s="1740"/>
      <c r="UHZ1876" s="1740"/>
      <c r="UIA1876" s="1740"/>
      <c r="UIB1876" s="1740"/>
      <c r="UIC1876" s="1740"/>
      <c r="UID1876" s="1740"/>
      <c r="UIE1876" s="1740"/>
      <c r="UIF1876" s="1740"/>
      <c r="UIG1876" s="1740"/>
      <c r="UIH1876" s="1740"/>
      <c r="UII1876" s="1740"/>
      <c r="UIJ1876" s="1740"/>
      <c r="UIK1876" s="1740"/>
      <c r="UIL1876" s="1740"/>
      <c r="UIM1876" s="1740"/>
      <c r="UIN1876" s="1740"/>
      <c r="UIO1876" s="1740"/>
      <c r="UIP1876" s="1740"/>
      <c r="UIQ1876" s="1740"/>
      <c r="UIR1876" s="1740"/>
      <c r="UIS1876" s="1740"/>
      <c r="UIT1876" s="1740"/>
      <c r="UIU1876" s="1740"/>
      <c r="UIV1876" s="1740"/>
      <c r="UIW1876" s="1740"/>
      <c r="UIX1876" s="1740"/>
      <c r="UIY1876" s="1740"/>
      <c r="UIZ1876" s="1740"/>
      <c r="UJA1876" s="1740"/>
      <c r="UJB1876" s="1740"/>
      <c r="UJC1876" s="1740"/>
      <c r="UJD1876" s="1740"/>
      <c r="UJE1876" s="1740"/>
      <c r="UJF1876" s="1740"/>
      <c r="UJG1876" s="1740"/>
      <c r="UJH1876" s="1740"/>
      <c r="UJI1876" s="1740"/>
      <c r="UJJ1876" s="1740"/>
      <c r="UJK1876" s="1740"/>
      <c r="UJL1876" s="1740"/>
      <c r="UJM1876" s="1740"/>
      <c r="UJN1876" s="1740"/>
      <c r="UJO1876" s="1740"/>
      <c r="UJP1876" s="1740"/>
      <c r="UJQ1876" s="1740"/>
      <c r="UJR1876" s="1740"/>
      <c r="UJS1876" s="1740"/>
      <c r="UJT1876" s="1740"/>
      <c r="UJU1876" s="1740"/>
      <c r="UJV1876" s="1740"/>
      <c r="UJW1876" s="1740"/>
      <c r="UJX1876" s="1740"/>
      <c r="UJY1876" s="1740"/>
      <c r="UJZ1876" s="1740"/>
      <c r="UKA1876" s="1740"/>
      <c r="UKB1876" s="1740"/>
      <c r="UKC1876" s="1740"/>
      <c r="UKD1876" s="1740"/>
      <c r="UKE1876" s="1740"/>
      <c r="UKF1876" s="1740"/>
      <c r="UKG1876" s="1740"/>
      <c r="UKH1876" s="1740"/>
      <c r="UKI1876" s="1740"/>
      <c r="UKJ1876" s="1740"/>
      <c r="UKK1876" s="1740"/>
      <c r="UKL1876" s="1740"/>
      <c r="UKM1876" s="1740"/>
      <c r="UKN1876" s="1740"/>
      <c r="UKO1876" s="1740"/>
      <c r="UKP1876" s="1740"/>
      <c r="UKQ1876" s="1740"/>
      <c r="UKR1876" s="1740"/>
      <c r="UKS1876" s="1740"/>
      <c r="UKT1876" s="1740"/>
      <c r="UKU1876" s="1740"/>
      <c r="UKV1876" s="1740"/>
      <c r="UKW1876" s="1740"/>
      <c r="UKX1876" s="1740"/>
      <c r="UKY1876" s="1740"/>
      <c r="UKZ1876" s="1740"/>
      <c r="ULA1876" s="1740"/>
      <c r="ULB1876" s="1740"/>
      <c r="ULC1876" s="1740"/>
      <c r="ULD1876" s="1740"/>
      <c r="ULE1876" s="1740"/>
      <c r="ULF1876" s="1740"/>
      <c r="ULG1876" s="1740"/>
      <c r="ULH1876" s="1740"/>
      <c r="ULI1876" s="1740"/>
      <c r="ULJ1876" s="1740"/>
      <c r="ULK1876" s="1740"/>
      <c r="ULL1876" s="1740"/>
      <c r="ULM1876" s="1740"/>
      <c r="ULN1876" s="1740"/>
      <c r="ULO1876" s="1740"/>
      <c r="ULP1876" s="1740"/>
      <c r="ULQ1876" s="1740"/>
      <c r="ULR1876" s="1740"/>
      <c r="ULS1876" s="1740"/>
      <c r="ULT1876" s="1740"/>
      <c r="ULU1876" s="1740"/>
      <c r="ULV1876" s="1740"/>
      <c r="ULW1876" s="1740"/>
      <c r="ULX1876" s="1740"/>
      <c r="ULY1876" s="1740"/>
      <c r="ULZ1876" s="1740"/>
      <c r="UMA1876" s="1740"/>
      <c r="UMB1876" s="1740"/>
      <c r="UMC1876" s="1740"/>
      <c r="UMD1876" s="1740"/>
      <c r="UME1876" s="1740"/>
      <c r="UMF1876" s="1740"/>
      <c r="UMG1876" s="1740"/>
      <c r="UMH1876" s="1740"/>
      <c r="UMI1876" s="1740"/>
      <c r="UMJ1876" s="1740"/>
      <c r="UMK1876" s="1740"/>
      <c r="UML1876" s="1740"/>
      <c r="UMM1876" s="1740"/>
      <c r="UMN1876" s="1740"/>
      <c r="UMO1876" s="1740"/>
      <c r="UMP1876" s="1740"/>
      <c r="UMQ1876" s="1740"/>
      <c r="UMR1876" s="1740"/>
      <c r="UMS1876" s="1740"/>
      <c r="UMT1876" s="1740"/>
      <c r="UMU1876" s="1740"/>
      <c r="UMV1876" s="1740"/>
      <c r="UMW1876" s="1740"/>
      <c r="UMX1876" s="1740"/>
      <c r="UMY1876" s="1740"/>
      <c r="UMZ1876" s="1740"/>
      <c r="UNA1876" s="1740"/>
      <c r="UNB1876" s="1740"/>
      <c r="UNC1876" s="1740"/>
      <c r="UND1876" s="1740"/>
      <c r="UNE1876" s="1740"/>
      <c r="UNF1876" s="1740"/>
      <c r="UNG1876" s="1740"/>
      <c r="UNH1876" s="1740"/>
      <c r="UNI1876" s="1740"/>
      <c r="UNJ1876" s="1740"/>
      <c r="UNK1876" s="1740"/>
      <c r="UNL1876" s="1740"/>
      <c r="UNM1876" s="1740"/>
      <c r="UNN1876" s="1740"/>
      <c r="UNO1876" s="1740"/>
      <c r="UNP1876" s="1740"/>
      <c r="UNQ1876" s="1740"/>
      <c r="UNR1876" s="1740"/>
      <c r="UNS1876" s="1740"/>
      <c r="UNT1876" s="1740"/>
      <c r="UNU1876" s="1740"/>
      <c r="UNV1876" s="1740"/>
      <c r="UNW1876" s="1740"/>
      <c r="UNX1876" s="1740"/>
      <c r="UNY1876" s="1740"/>
      <c r="UNZ1876" s="1740"/>
      <c r="UOA1876" s="1740"/>
      <c r="UOB1876" s="1740"/>
      <c r="UOC1876" s="1740"/>
      <c r="UOD1876" s="1740"/>
      <c r="UOE1876" s="1740"/>
      <c r="UOF1876" s="1740"/>
      <c r="UOG1876" s="1740"/>
      <c r="UOH1876" s="1740"/>
      <c r="UOI1876" s="1740"/>
      <c r="UOJ1876" s="1740"/>
      <c r="UOK1876" s="1740"/>
      <c r="UOL1876" s="1740"/>
      <c r="UOM1876" s="1740"/>
      <c r="UON1876" s="1740"/>
      <c r="UOO1876" s="1740"/>
      <c r="UOP1876" s="1740"/>
      <c r="UOQ1876" s="1740"/>
      <c r="UOR1876" s="1740"/>
      <c r="UOS1876" s="1740"/>
      <c r="UOT1876" s="1740"/>
      <c r="UOU1876" s="1740"/>
      <c r="UOV1876" s="1740"/>
      <c r="UOW1876" s="1740"/>
      <c r="UOX1876" s="1740"/>
      <c r="UOY1876" s="1740"/>
      <c r="UOZ1876" s="1740"/>
      <c r="UPA1876" s="1740"/>
      <c r="UPB1876" s="1740"/>
      <c r="UPC1876" s="1740"/>
      <c r="UPD1876" s="1740"/>
      <c r="UPE1876" s="1740"/>
      <c r="UPF1876" s="1740"/>
      <c r="UPG1876" s="1740"/>
      <c r="UPH1876" s="1740"/>
      <c r="UPI1876" s="1740"/>
      <c r="UPJ1876" s="1740"/>
      <c r="UPK1876" s="1740"/>
      <c r="UPL1876" s="1740"/>
      <c r="UPM1876" s="1740"/>
      <c r="UPN1876" s="1740"/>
      <c r="UPO1876" s="1740"/>
      <c r="UPP1876" s="1740"/>
      <c r="UPQ1876" s="1740"/>
      <c r="UPR1876" s="1740"/>
      <c r="UPS1876" s="1740"/>
      <c r="UPT1876" s="1740"/>
      <c r="UPU1876" s="1740"/>
      <c r="UPV1876" s="1740"/>
      <c r="UPW1876" s="1740"/>
      <c r="UPX1876" s="1740"/>
      <c r="UPY1876" s="1740"/>
      <c r="UPZ1876" s="1740"/>
      <c r="UQA1876" s="1740"/>
      <c r="UQB1876" s="1740"/>
      <c r="UQC1876" s="1740"/>
      <c r="UQD1876" s="1740"/>
      <c r="UQE1876" s="1740"/>
      <c r="UQF1876" s="1740"/>
      <c r="UQG1876" s="1740"/>
      <c r="UQH1876" s="1740"/>
      <c r="UQI1876" s="1740"/>
      <c r="UQJ1876" s="1740"/>
      <c r="UQK1876" s="1740"/>
      <c r="UQL1876" s="1740"/>
      <c r="UQM1876" s="1740"/>
      <c r="UQN1876" s="1740"/>
      <c r="UQO1876" s="1740"/>
      <c r="UQP1876" s="1740"/>
      <c r="UQQ1876" s="1740"/>
      <c r="UQR1876" s="1740"/>
      <c r="UQS1876" s="1740"/>
      <c r="UQT1876" s="1740"/>
      <c r="UQU1876" s="1740"/>
      <c r="UQV1876" s="1740"/>
      <c r="UQW1876" s="1740"/>
      <c r="UQX1876" s="1740"/>
      <c r="UQY1876" s="1740"/>
      <c r="UQZ1876" s="1740"/>
      <c r="URA1876" s="1740"/>
      <c r="URB1876" s="1740"/>
      <c r="URC1876" s="1740"/>
      <c r="URD1876" s="1740"/>
      <c r="URE1876" s="1740"/>
      <c r="URF1876" s="1740"/>
      <c r="URG1876" s="1740"/>
      <c r="URH1876" s="1740"/>
      <c r="URI1876" s="1740"/>
      <c r="URJ1876" s="1740"/>
      <c r="URK1876" s="1740"/>
      <c r="URL1876" s="1740"/>
      <c r="URM1876" s="1740"/>
      <c r="URN1876" s="1740"/>
      <c r="URO1876" s="1740"/>
      <c r="URP1876" s="1740"/>
      <c r="URQ1876" s="1740"/>
      <c r="URR1876" s="1740"/>
      <c r="URS1876" s="1740"/>
      <c r="URT1876" s="1740"/>
      <c r="URU1876" s="1740"/>
      <c r="URV1876" s="1740"/>
      <c r="URW1876" s="1740"/>
      <c r="URX1876" s="1740"/>
      <c r="URY1876" s="1740"/>
      <c r="URZ1876" s="1740"/>
      <c r="USA1876" s="1740"/>
      <c r="USB1876" s="1740"/>
      <c r="USC1876" s="1740"/>
      <c r="USD1876" s="1740"/>
      <c r="USE1876" s="1740"/>
      <c r="USF1876" s="1740"/>
      <c r="USG1876" s="1740"/>
      <c r="USH1876" s="1740"/>
      <c r="USI1876" s="1740"/>
      <c r="USJ1876" s="1740"/>
      <c r="USK1876" s="1740"/>
      <c r="USL1876" s="1740"/>
      <c r="USM1876" s="1740"/>
      <c r="USN1876" s="1740"/>
      <c r="USO1876" s="1740"/>
      <c r="USP1876" s="1740"/>
      <c r="USQ1876" s="1740"/>
      <c r="USR1876" s="1740"/>
      <c r="USS1876" s="1740"/>
      <c r="UST1876" s="1740"/>
      <c r="USU1876" s="1740"/>
      <c r="USV1876" s="1740"/>
      <c r="USW1876" s="1740"/>
      <c r="USX1876" s="1740"/>
      <c r="USY1876" s="1740"/>
      <c r="USZ1876" s="1740"/>
      <c r="UTA1876" s="1740"/>
      <c r="UTB1876" s="1740"/>
      <c r="UTC1876" s="1740"/>
      <c r="UTD1876" s="1740"/>
      <c r="UTE1876" s="1740"/>
      <c r="UTF1876" s="1740"/>
      <c r="UTG1876" s="1740"/>
      <c r="UTH1876" s="1740"/>
      <c r="UTI1876" s="1740"/>
      <c r="UTJ1876" s="1740"/>
      <c r="UTK1876" s="1740"/>
      <c r="UTL1876" s="1740"/>
      <c r="UTM1876" s="1740"/>
      <c r="UTN1876" s="1740"/>
      <c r="UTO1876" s="1740"/>
      <c r="UTP1876" s="1740"/>
      <c r="UTQ1876" s="1740"/>
      <c r="UTR1876" s="1740"/>
      <c r="UTS1876" s="1740"/>
      <c r="UTT1876" s="1740"/>
      <c r="UTU1876" s="1740"/>
      <c r="UTV1876" s="1740"/>
      <c r="UTW1876" s="1740"/>
      <c r="UTX1876" s="1740"/>
      <c r="UTY1876" s="1740"/>
      <c r="UTZ1876" s="1740"/>
      <c r="UUA1876" s="1740"/>
      <c r="UUB1876" s="1740"/>
      <c r="UUC1876" s="1740"/>
      <c r="UUD1876" s="1740"/>
      <c r="UUE1876" s="1740"/>
      <c r="UUF1876" s="1740"/>
      <c r="UUG1876" s="1740"/>
      <c r="UUH1876" s="1740"/>
      <c r="UUI1876" s="1740"/>
      <c r="UUJ1876" s="1740"/>
      <c r="UUK1876" s="1740"/>
      <c r="UUL1876" s="1740"/>
      <c r="UUM1876" s="1740"/>
      <c r="UUN1876" s="1740"/>
      <c r="UUO1876" s="1740"/>
      <c r="UUP1876" s="1740"/>
      <c r="UUQ1876" s="1740"/>
      <c r="UUR1876" s="1740"/>
      <c r="UUS1876" s="1740"/>
      <c r="UUT1876" s="1740"/>
      <c r="UUU1876" s="1740"/>
      <c r="UUV1876" s="1740"/>
      <c r="UUW1876" s="1740"/>
      <c r="UUX1876" s="1740"/>
      <c r="UUY1876" s="1740"/>
      <c r="UUZ1876" s="1740"/>
      <c r="UVA1876" s="1740"/>
      <c r="UVB1876" s="1740"/>
      <c r="UVC1876" s="1740"/>
      <c r="UVD1876" s="1740"/>
      <c r="UVE1876" s="1740"/>
      <c r="UVF1876" s="1740"/>
      <c r="UVG1876" s="1740"/>
      <c r="UVH1876" s="1740"/>
      <c r="UVI1876" s="1740"/>
      <c r="UVJ1876" s="1740"/>
      <c r="UVK1876" s="1740"/>
      <c r="UVL1876" s="1740"/>
      <c r="UVM1876" s="1740"/>
      <c r="UVN1876" s="1740"/>
      <c r="UVO1876" s="1740"/>
      <c r="UVP1876" s="1740"/>
      <c r="UVQ1876" s="1740"/>
      <c r="UVR1876" s="1740"/>
      <c r="UVS1876" s="1740"/>
      <c r="UVT1876" s="1740"/>
      <c r="UVU1876" s="1740"/>
      <c r="UVV1876" s="1740"/>
      <c r="UVW1876" s="1740"/>
      <c r="UVX1876" s="1740"/>
      <c r="UVY1876" s="1740"/>
      <c r="UVZ1876" s="1740"/>
      <c r="UWA1876" s="1740"/>
      <c r="UWB1876" s="1740"/>
      <c r="UWC1876" s="1740"/>
      <c r="UWD1876" s="1740"/>
      <c r="UWE1876" s="1740"/>
      <c r="UWF1876" s="1740"/>
      <c r="UWG1876" s="1740"/>
      <c r="UWH1876" s="1740"/>
      <c r="UWI1876" s="1740"/>
      <c r="UWJ1876" s="1740"/>
      <c r="UWK1876" s="1740"/>
      <c r="UWL1876" s="1740"/>
      <c r="UWM1876" s="1740"/>
      <c r="UWN1876" s="1740"/>
      <c r="UWO1876" s="1740"/>
      <c r="UWP1876" s="1740"/>
      <c r="UWQ1876" s="1740"/>
      <c r="UWR1876" s="1740"/>
      <c r="UWS1876" s="1740"/>
      <c r="UWT1876" s="1740"/>
      <c r="UWU1876" s="1740"/>
      <c r="UWV1876" s="1740"/>
      <c r="UWW1876" s="1740"/>
      <c r="UWX1876" s="1740"/>
      <c r="UWY1876" s="1740"/>
      <c r="UWZ1876" s="1740"/>
      <c r="UXA1876" s="1740"/>
      <c r="UXB1876" s="1740"/>
      <c r="UXC1876" s="1740"/>
      <c r="UXD1876" s="1740"/>
      <c r="UXE1876" s="1740"/>
      <c r="UXF1876" s="1740"/>
      <c r="UXG1876" s="1740"/>
      <c r="UXH1876" s="1740"/>
      <c r="UXI1876" s="1740"/>
      <c r="UXJ1876" s="1740"/>
      <c r="UXK1876" s="1740"/>
      <c r="UXL1876" s="1740"/>
      <c r="UXM1876" s="1740"/>
      <c r="UXN1876" s="1740"/>
      <c r="UXO1876" s="1740"/>
      <c r="UXP1876" s="1740"/>
      <c r="UXQ1876" s="1740"/>
      <c r="UXR1876" s="1740"/>
      <c r="UXS1876" s="1740"/>
      <c r="UXT1876" s="1740"/>
      <c r="UXU1876" s="1740"/>
      <c r="UXV1876" s="1740"/>
      <c r="UXW1876" s="1740"/>
      <c r="UXX1876" s="1740"/>
      <c r="UXY1876" s="1740"/>
      <c r="UXZ1876" s="1740"/>
      <c r="UYA1876" s="1740"/>
      <c r="UYB1876" s="1740"/>
      <c r="UYC1876" s="1740"/>
      <c r="UYD1876" s="1740"/>
      <c r="UYE1876" s="1740"/>
      <c r="UYF1876" s="1740"/>
      <c r="UYG1876" s="1740"/>
      <c r="UYH1876" s="1740"/>
      <c r="UYI1876" s="1740"/>
      <c r="UYJ1876" s="1740"/>
      <c r="UYK1876" s="1740"/>
      <c r="UYL1876" s="1740"/>
      <c r="UYM1876" s="1740"/>
      <c r="UYN1876" s="1740"/>
      <c r="UYO1876" s="1740"/>
      <c r="UYP1876" s="1740"/>
      <c r="UYQ1876" s="1740"/>
      <c r="UYR1876" s="1740"/>
      <c r="UYS1876" s="1740"/>
      <c r="UYT1876" s="1740"/>
      <c r="UYU1876" s="1740"/>
      <c r="UYV1876" s="1740"/>
      <c r="UYW1876" s="1740"/>
      <c r="UYX1876" s="1740"/>
      <c r="UYY1876" s="1740"/>
      <c r="UYZ1876" s="1740"/>
      <c r="UZA1876" s="1740"/>
      <c r="UZB1876" s="1740"/>
      <c r="UZC1876" s="1740"/>
      <c r="UZD1876" s="1740"/>
      <c r="UZE1876" s="1740"/>
      <c r="UZF1876" s="1740"/>
      <c r="UZG1876" s="1740"/>
      <c r="UZH1876" s="1740"/>
      <c r="UZI1876" s="1740"/>
      <c r="UZJ1876" s="1740"/>
      <c r="UZK1876" s="1740"/>
      <c r="UZL1876" s="1740"/>
      <c r="UZM1876" s="1740"/>
      <c r="UZN1876" s="1740"/>
      <c r="UZO1876" s="1740"/>
      <c r="UZP1876" s="1740"/>
      <c r="UZQ1876" s="1740"/>
      <c r="UZR1876" s="1740"/>
      <c r="UZS1876" s="1740"/>
      <c r="UZT1876" s="1740"/>
      <c r="UZU1876" s="1740"/>
      <c r="UZV1876" s="1740"/>
      <c r="UZW1876" s="1740"/>
      <c r="UZX1876" s="1740"/>
      <c r="UZY1876" s="1740"/>
      <c r="UZZ1876" s="1740"/>
      <c r="VAA1876" s="1740"/>
      <c r="VAB1876" s="1740"/>
      <c r="VAC1876" s="1740"/>
      <c r="VAD1876" s="1740"/>
      <c r="VAE1876" s="1740"/>
      <c r="VAF1876" s="1740"/>
      <c r="VAG1876" s="1740"/>
      <c r="VAH1876" s="1740"/>
      <c r="VAI1876" s="1740"/>
      <c r="VAJ1876" s="1740"/>
      <c r="VAK1876" s="1740"/>
      <c r="VAL1876" s="1740"/>
      <c r="VAM1876" s="1740"/>
      <c r="VAN1876" s="1740"/>
      <c r="VAO1876" s="1740"/>
      <c r="VAP1876" s="1740"/>
      <c r="VAQ1876" s="1740"/>
      <c r="VAR1876" s="1740"/>
      <c r="VAS1876" s="1740"/>
      <c r="VAT1876" s="1740"/>
      <c r="VAU1876" s="1740"/>
      <c r="VAV1876" s="1740"/>
      <c r="VAW1876" s="1740"/>
      <c r="VAX1876" s="1740"/>
      <c r="VAY1876" s="1740"/>
      <c r="VAZ1876" s="1740"/>
      <c r="VBA1876" s="1740"/>
      <c r="VBB1876" s="1740"/>
      <c r="VBC1876" s="1740"/>
      <c r="VBD1876" s="1740"/>
      <c r="VBE1876" s="1740"/>
      <c r="VBF1876" s="1740"/>
      <c r="VBG1876" s="1740"/>
      <c r="VBH1876" s="1740"/>
      <c r="VBI1876" s="1740"/>
      <c r="VBJ1876" s="1740"/>
      <c r="VBK1876" s="1740"/>
      <c r="VBL1876" s="1740"/>
      <c r="VBM1876" s="1740"/>
      <c r="VBN1876" s="1740"/>
      <c r="VBO1876" s="1740"/>
      <c r="VBP1876" s="1740"/>
      <c r="VBQ1876" s="1740"/>
      <c r="VBR1876" s="1740"/>
      <c r="VBS1876" s="1740"/>
      <c r="VBT1876" s="1740"/>
      <c r="VBU1876" s="1740"/>
      <c r="VBV1876" s="1740"/>
      <c r="VBW1876" s="1740"/>
      <c r="VBX1876" s="1740"/>
      <c r="VBY1876" s="1740"/>
      <c r="VBZ1876" s="1740"/>
      <c r="VCA1876" s="1740"/>
      <c r="VCB1876" s="1740"/>
      <c r="VCC1876" s="1740"/>
      <c r="VCD1876" s="1740"/>
      <c r="VCE1876" s="1740"/>
      <c r="VCF1876" s="1740"/>
      <c r="VCG1876" s="1740"/>
      <c r="VCH1876" s="1740"/>
      <c r="VCI1876" s="1740"/>
      <c r="VCJ1876" s="1740"/>
      <c r="VCK1876" s="1740"/>
      <c r="VCL1876" s="1740"/>
      <c r="VCM1876" s="1740"/>
      <c r="VCN1876" s="1740"/>
      <c r="VCO1876" s="1740"/>
      <c r="VCP1876" s="1740"/>
      <c r="VCQ1876" s="1740"/>
      <c r="VCR1876" s="1740"/>
      <c r="VCS1876" s="1740"/>
      <c r="VCT1876" s="1740"/>
      <c r="VCU1876" s="1740"/>
      <c r="VCV1876" s="1740"/>
      <c r="VCW1876" s="1740"/>
      <c r="VCX1876" s="1740"/>
      <c r="VCY1876" s="1740"/>
      <c r="VCZ1876" s="1740"/>
      <c r="VDA1876" s="1740"/>
      <c r="VDB1876" s="1740"/>
      <c r="VDC1876" s="1740"/>
      <c r="VDD1876" s="1740"/>
      <c r="VDE1876" s="1740"/>
      <c r="VDF1876" s="1740"/>
      <c r="VDG1876" s="1740"/>
      <c r="VDH1876" s="1740"/>
      <c r="VDI1876" s="1740"/>
      <c r="VDJ1876" s="1740"/>
      <c r="VDK1876" s="1740"/>
      <c r="VDL1876" s="1740"/>
      <c r="VDM1876" s="1740"/>
      <c r="VDN1876" s="1740"/>
      <c r="VDO1876" s="1740"/>
      <c r="VDP1876" s="1740"/>
      <c r="VDQ1876" s="1740"/>
      <c r="VDR1876" s="1740"/>
      <c r="VDS1876" s="1740"/>
      <c r="VDT1876" s="1740"/>
      <c r="VDU1876" s="1740"/>
      <c r="VDV1876" s="1740"/>
      <c r="VDW1876" s="1740"/>
      <c r="VDX1876" s="1740"/>
      <c r="VDY1876" s="1740"/>
      <c r="VDZ1876" s="1740"/>
      <c r="VEA1876" s="1740"/>
      <c r="VEB1876" s="1740"/>
      <c r="VEC1876" s="1740"/>
      <c r="VED1876" s="1740"/>
      <c r="VEE1876" s="1740"/>
      <c r="VEF1876" s="1740"/>
      <c r="VEG1876" s="1740"/>
      <c r="VEH1876" s="1740"/>
      <c r="VEI1876" s="1740"/>
      <c r="VEJ1876" s="1740"/>
      <c r="VEK1876" s="1740"/>
      <c r="VEL1876" s="1740"/>
      <c r="VEM1876" s="1740"/>
      <c r="VEN1876" s="1740"/>
      <c r="VEO1876" s="1740"/>
      <c r="VEP1876" s="1740"/>
      <c r="VEQ1876" s="1740"/>
      <c r="VER1876" s="1740"/>
      <c r="VES1876" s="1740"/>
      <c r="VET1876" s="1740"/>
      <c r="VEU1876" s="1740"/>
      <c r="VEV1876" s="1740"/>
      <c r="VEW1876" s="1740"/>
      <c r="VEX1876" s="1740"/>
      <c r="VEY1876" s="1740"/>
      <c r="VEZ1876" s="1740"/>
      <c r="VFA1876" s="1740"/>
      <c r="VFB1876" s="1740"/>
      <c r="VFC1876" s="1740"/>
      <c r="VFD1876" s="1740"/>
      <c r="VFE1876" s="1740"/>
      <c r="VFF1876" s="1740"/>
      <c r="VFG1876" s="1740"/>
      <c r="VFH1876" s="1740"/>
      <c r="VFI1876" s="1740"/>
      <c r="VFJ1876" s="1740"/>
      <c r="VFK1876" s="1740"/>
      <c r="VFL1876" s="1740"/>
      <c r="VFM1876" s="1740"/>
      <c r="VFN1876" s="1740"/>
      <c r="VFO1876" s="1740"/>
      <c r="VFP1876" s="1740"/>
      <c r="VFQ1876" s="1740"/>
      <c r="VFR1876" s="1740"/>
      <c r="VFS1876" s="1740"/>
      <c r="VFT1876" s="1740"/>
      <c r="VFU1876" s="1740"/>
      <c r="VFV1876" s="1740"/>
      <c r="VFW1876" s="1740"/>
      <c r="VFX1876" s="1740"/>
      <c r="VFY1876" s="1740"/>
      <c r="VFZ1876" s="1740"/>
      <c r="VGA1876" s="1740"/>
      <c r="VGB1876" s="1740"/>
      <c r="VGC1876" s="1740"/>
      <c r="VGD1876" s="1740"/>
      <c r="VGE1876" s="1740"/>
      <c r="VGF1876" s="1740"/>
      <c r="VGG1876" s="1740"/>
      <c r="VGH1876" s="1740"/>
      <c r="VGI1876" s="1740"/>
      <c r="VGJ1876" s="1740"/>
      <c r="VGK1876" s="1740"/>
      <c r="VGL1876" s="1740"/>
      <c r="VGM1876" s="1740"/>
      <c r="VGN1876" s="1740"/>
      <c r="VGO1876" s="1740"/>
      <c r="VGP1876" s="1740"/>
      <c r="VGQ1876" s="1740"/>
      <c r="VGR1876" s="1740"/>
      <c r="VGS1876" s="1740"/>
      <c r="VGT1876" s="1740"/>
      <c r="VGU1876" s="1740"/>
      <c r="VGV1876" s="1740"/>
      <c r="VGW1876" s="1740"/>
      <c r="VGX1876" s="1740"/>
      <c r="VGY1876" s="1740"/>
      <c r="VGZ1876" s="1740"/>
      <c r="VHA1876" s="1740"/>
      <c r="VHB1876" s="1740"/>
      <c r="VHC1876" s="1740"/>
      <c r="VHD1876" s="1740"/>
      <c r="VHE1876" s="1740"/>
      <c r="VHF1876" s="1740"/>
      <c r="VHG1876" s="1740"/>
      <c r="VHH1876" s="1740"/>
      <c r="VHI1876" s="1740"/>
      <c r="VHJ1876" s="1740"/>
      <c r="VHK1876" s="1740"/>
      <c r="VHL1876" s="1740"/>
      <c r="VHM1876" s="1740"/>
      <c r="VHN1876" s="1740"/>
      <c r="VHO1876" s="1740"/>
      <c r="VHP1876" s="1740"/>
      <c r="VHQ1876" s="1740"/>
      <c r="VHR1876" s="1740"/>
      <c r="VHS1876" s="1740"/>
      <c r="VHT1876" s="1740"/>
      <c r="VHU1876" s="1740"/>
      <c r="VHV1876" s="1740"/>
      <c r="VHW1876" s="1740"/>
      <c r="VHX1876" s="1740"/>
      <c r="VHY1876" s="1740"/>
      <c r="VHZ1876" s="1740"/>
      <c r="VIA1876" s="1740"/>
      <c r="VIB1876" s="1740"/>
      <c r="VIC1876" s="1740"/>
      <c r="VID1876" s="1740"/>
      <c r="VIE1876" s="1740"/>
      <c r="VIF1876" s="1740"/>
      <c r="VIG1876" s="1740"/>
      <c r="VIH1876" s="1740"/>
      <c r="VII1876" s="1740"/>
      <c r="VIJ1876" s="1740"/>
      <c r="VIK1876" s="1740"/>
      <c r="VIL1876" s="1740"/>
      <c r="VIM1876" s="1740"/>
      <c r="VIN1876" s="1740"/>
      <c r="VIO1876" s="1740"/>
      <c r="VIP1876" s="1740"/>
      <c r="VIQ1876" s="1740"/>
      <c r="VIR1876" s="1740"/>
      <c r="VIS1876" s="1740"/>
      <c r="VIT1876" s="1740"/>
      <c r="VIU1876" s="1740"/>
      <c r="VIV1876" s="1740"/>
      <c r="VIW1876" s="1740"/>
      <c r="VIX1876" s="1740"/>
      <c r="VIY1876" s="1740"/>
      <c r="VIZ1876" s="1740"/>
      <c r="VJA1876" s="1740"/>
      <c r="VJB1876" s="1740"/>
      <c r="VJC1876" s="1740"/>
      <c r="VJD1876" s="1740"/>
      <c r="VJE1876" s="1740"/>
      <c r="VJF1876" s="1740"/>
      <c r="VJG1876" s="1740"/>
      <c r="VJH1876" s="1740"/>
      <c r="VJI1876" s="1740"/>
      <c r="VJJ1876" s="1740"/>
      <c r="VJK1876" s="1740"/>
      <c r="VJL1876" s="1740"/>
      <c r="VJM1876" s="1740"/>
      <c r="VJN1876" s="1740"/>
      <c r="VJO1876" s="1740"/>
      <c r="VJP1876" s="1740"/>
      <c r="VJQ1876" s="1740"/>
      <c r="VJR1876" s="1740"/>
      <c r="VJS1876" s="1740"/>
      <c r="VJT1876" s="1740"/>
      <c r="VJU1876" s="1740"/>
      <c r="VJV1876" s="1740"/>
      <c r="VJW1876" s="1740"/>
      <c r="VJX1876" s="1740"/>
      <c r="VJY1876" s="1740"/>
      <c r="VJZ1876" s="1740"/>
      <c r="VKA1876" s="1740"/>
      <c r="VKB1876" s="1740"/>
      <c r="VKC1876" s="1740"/>
      <c r="VKD1876" s="1740"/>
      <c r="VKE1876" s="1740"/>
      <c r="VKF1876" s="1740"/>
      <c r="VKG1876" s="1740"/>
      <c r="VKH1876" s="1740"/>
      <c r="VKI1876" s="1740"/>
      <c r="VKJ1876" s="1740"/>
      <c r="VKK1876" s="1740"/>
      <c r="VKL1876" s="1740"/>
      <c r="VKM1876" s="1740"/>
      <c r="VKN1876" s="1740"/>
      <c r="VKO1876" s="1740"/>
      <c r="VKP1876" s="1740"/>
      <c r="VKQ1876" s="1740"/>
      <c r="VKR1876" s="1740"/>
      <c r="VKS1876" s="1740"/>
      <c r="VKT1876" s="1740"/>
      <c r="VKU1876" s="1740"/>
      <c r="VKV1876" s="1740"/>
      <c r="VKW1876" s="1740"/>
      <c r="VKX1876" s="1740"/>
      <c r="VKY1876" s="1740"/>
      <c r="VKZ1876" s="1740"/>
      <c r="VLA1876" s="1740"/>
      <c r="VLB1876" s="1740"/>
      <c r="VLC1876" s="1740"/>
      <c r="VLD1876" s="1740"/>
      <c r="VLE1876" s="1740"/>
      <c r="VLF1876" s="1740"/>
      <c r="VLG1876" s="1740"/>
      <c r="VLH1876" s="1740"/>
      <c r="VLI1876" s="1740"/>
      <c r="VLJ1876" s="1740"/>
      <c r="VLK1876" s="1740"/>
      <c r="VLL1876" s="1740"/>
      <c r="VLM1876" s="1740"/>
      <c r="VLN1876" s="1740"/>
      <c r="VLO1876" s="1740"/>
      <c r="VLP1876" s="1740"/>
      <c r="VLQ1876" s="1740"/>
      <c r="VLR1876" s="1740"/>
      <c r="VLS1876" s="1740"/>
      <c r="VLT1876" s="1740"/>
      <c r="VLU1876" s="1740"/>
      <c r="VLV1876" s="1740"/>
      <c r="VLW1876" s="1740"/>
      <c r="VLX1876" s="1740"/>
      <c r="VLY1876" s="1740"/>
      <c r="VLZ1876" s="1740"/>
      <c r="VMA1876" s="1740"/>
      <c r="VMB1876" s="1740"/>
      <c r="VMC1876" s="1740"/>
      <c r="VMD1876" s="1740"/>
      <c r="VME1876" s="1740"/>
      <c r="VMF1876" s="1740"/>
      <c r="VMG1876" s="1740"/>
      <c r="VMH1876" s="1740"/>
      <c r="VMI1876" s="1740"/>
      <c r="VMJ1876" s="1740"/>
      <c r="VMK1876" s="1740"/>
      <c r="VML1876" s="1740"/>
      <c r="VMM1876" s="1740"/>
      <c r="VMN1876" s="1740"/>
      <c r="VMO1876" s="1740"/>
      <c r="VMP1876" s="1740"/>
      <c r="VMQ1876" s="1740"/>
      <c r="VMR1876" s="1740"/>
      <c r="VMS1876" s="1740"/>
      <c r="VMT1876" s="1740"/>
      <c r="VMU1876" s="1740"/>
      <c r="VMV1876" s="1740"/>
      <c r="VMW1876" s="1740"/>
      <c r="VMX1876" s="1740"/>
      <c r="VMY1876" s="1740"/>
      <c r="VMZ1876" s="1740"/>
      <c r="VNA1876" s="1740"/>
      <c r="VNB1876" s="1740"/>
      <c r="VNC1876" s="1740"/>
      <c r="VND1876" s="1740"/>
      <c r="VNE1876" s="1740"/>
      <c r="VNF1876" s="1740"/>
      <c r="VNG1876" s="1740"/>
      <c r="VNH1876" s="1740"/>
      <c r="VNI1876" s="1740"/>
      <c r="VNJ1876" s="1740"/>
      <c r="VNK1876" s="1740"/>
      <c r="VNL1876" s="1740"/>
      <c r="VNM1876" s="1740"/>
      <c r="VNN1876" s="1740"/>
      <c r="VNO1876" s="1740"/>
      <c r="VNP1876" s="1740"/>
      <c r="VNQ1876" s="1740"/>
      <c r="VNR1876" s="1740"/>
      <c r="VNS1876" s="1740"/>
      <c r="VNT1876" s="1740"/>
      <c r="VNU1876" s="1740"/>
      <c r="VNV1876" s="1740"/>
      <c r="VNW1876" s="1740"/>
      <c r="VNX1876" s="1740"/>
      <c r="VNY1876" s="1740"/>
      <c r="VNZ1876" s="1740"/>
      <c r="VOA1876" s="1740"/>
      <c r="VOB1876" s="1740"/>
      <c r="VOC1876" s="1740"/>
      <c r="VOD1876" s="1740"/>
      <c r="VOE1876" s="1740"/>
      <c r="VOF1876" s="1740"/>
      <c r="VOG1876" s="1740"/>
      <c r="VOH1876" s="1740"/>
      <c r="VOI1876" s="1740"/>
      <c r="VOJ1876" s="1740"/>
      <c r="VOK1876" s="1740"/>
      <c r="VOL1876" s="1740"/>
      <c r="VOM1876" s="1740"/>
      <c r="VON1876" s="1740"/>
      <c r="VOO1876" s="1740"/>
      <c r="VOP1876" s="1740"/>
      <c r="VOQ1876" s="1740"/>
      <c r="VOR1876" s="1740"/>
      <c r="VOS1876" s="1740"/>
      <c r="VOT1876" s="1740"/>
      <c r="VOU1876" s="1740"/>
      <c r="VOV1876" s="1740"/>
      <c r="VOW1876" s="1740"/>
      <c r="VOX1876" s="1740"/>
      <c r="VOY1876" s="1740"/>
      <c r="VOZ1876" s="1740"/>
      <c r="VPA1876" s="1740"/>
      <c r="VPB1876" s="1740"/>
      <c r="VPC1876" s="1740"/>
      <c r="VPD1876" s="1740"/>
      <c r="VPE1876" s="1740"/>
      <c r="VPF1876" s="1740"/>
      <c r="VPG1876" s="1740"/>
      <c r="VPH1876" s="1740"/>
      <c r="VPI1876" s="1740"/>
      <c r="VPJ1876" s="1740"/>
      <c r="VPK1876" s="1740"/>
      <c r="VPL1876" s="1740"/>
      <c r="VPM1876" s="1740"/>
      <c r="VPN1876" s="1740"/>
      <c r="VPO1876" s="1740"/>
      <c r="VPP1876" s="1740"/>
      <c r="VPQ1876" s="1740"/>
      <c r="VPR1876" s="1740"/>
      <c r="VPS1876" s="1740"/>
      <c r="VPT1876" s="1740"/>
      <c r="VPU1876" s="1740"/>
      <c r="VPV1876" s="1740"/>
      <c r="VPW1876" s="1740"/>
      <c r="VPX1876" s="1740"/>
      <c r="VPY1876" s="1740"/>
      <c r="VPZ1876" s="1740"/>
      <c r="VQA1876" s="1740"/>
      <c r="VQB1876" s="1740"/>
      <c r="VQC1876" s="1740"/>
      <c r="VQD1876" s="1740"/>
      <c r="VQE1876" s="1740"/>
      <c r="VQF1876" s="1740"/>
      <c r="VQG1876" s="1740"/>
      <c r="VQH1876" s="1740"/>
      <c r="VQI1876" s="1740"/>
      <c r="VQJ1876" s="1740"/>
      <c r="VQK1876" s="1740"/>
      <c r="VQL1876" s="1740"/>
      <c r="VQM1876" s="1740"/>
      <c r="VQN1876" s="1740"/>
      <c r="VQO1876" s="1740"/>
      <c r="VQP1876" s="1740"/>
      <c r="VQQ1876" s="1740"/>
      <c r="VQR1876" s="1740"/>
      <c r="VQS1876" s="1740"/>
      <c r="VQT1876" s="1740"/>
      <c r="VQU1876" s="1740"/>
      <c r="VQV1876" s="1740"/>
      <c r="VQW1876" s="1740"/>
      <c r="VQX1876" s="1740"/>
      <c r="VQY1876" s="1740"/>
      <c r="VQZ1876" s="1740"/>
      <c r="VRA1876" s="1740"/>
      <c r="VRB1876" s="1740"/>
      <c r="VRC1876" s="1740"/>
      <c r="VRD1876" s="1740"/>
      <c r="VRE1876" s="1740"/>
      <c r="VRF1876" s="1740"/>
      <c r="VRG1876" s="1740"/>
      <c r="VRH1876" s="1740"/>
      <c r="VRI1876" s="1740"/>
      <c r="VRJ1876" s="1740"/>
      <c r="VRK1876" s="1740"/>
      <c r="VRL1876" s="1740"/>
      <c r="VRM1876" s="1740"/>
      <c r="VRN1876" s="1740"/>
      <c r="VRO1876" s="1740"/>
      <c r="VRP1876" s="1740"/>
      <c r="VRQ1876" s="1740"/>
      <c r="VRR1876" s="1740"/>
      <c r="VRS1876" s="1740"/>
      <c r="VRT1876" s="1740"/>
      <c r="VRU1876" s="1740"/>
      <c r="VRV1876" s="1740"/>
      <c r="VRW1876" s="1740"/>
      <c r="VRX1876" s="1740"/>
      <c r="VRY1876" s="1740"/>
      <c r="VRZ1876" s="1740"/>
      <c r="VSA1876" s="1740"/>
      <c r="VSB1876" s="1740"/>
      <c r="VSC1876" s="1740"/>
      <c r="VSD1876" s="1740"/>
      <c r="VSE1876" s="1740"/>
      <c r="VSF1876" s="1740"/>
      <c r="VSG1876" s="1740"/>
      <c r="VSH1876" s="1740"/>
      <c r="VSI1876" s="1740"/>
      <c r="VSJ1876" s="1740"/>
      <c r="VSK1876" s="1740"/>
      <c r="VSL1876" s="1740"/>
      <c r="VSM1876" s="1740"/>
      <c r="VSN1876" s="1740"/>
      <c r="VSO1876" s="1740"/>
      <c r="VSP1876" s="1740"/>
      <c r="VSQ1876" s="1740"/>
      <c r="VSR1876" s="1740"/>
      <c r="VSS1876" s="1740"/>
      <c r="VST1876" s="1740"/>
      <c r="VSU1876" s="1740"/>
      <c r="VSV1876" s="1740"/>
      <c r="VSW1876" s="1740"/>
      <c r="VSX1876" s="1740"/>
      <c r="VSY1876" s="1740"/>
      <c r="VSZ1876" s="1740"/>
      <c r="VTA1876" s="1740"/>
      <c r="VTB1876" s="1740"/>
      <c r="VTC1876" s="1740"/>
      <c r="VTD1876" s="1740"/>
      <c r="VTE1876" s="1740"/>
      <c r="VTF1876" s="1740"/>
      <c r="VTG1876" s="1740"/>
      <c r="VTH1876" s="1740"/>
      <c r="VTI1876" s="1740"/>
      <c r="VTJ1876" s="1740"/>
      <c r="VTK1876" s="1740"/>
      <c r="VTL1876" s="1740"/>
      <c r="VTM1876" s="1740"/>
      <c r="VTN1876" s="1740"/>
      <c r="VTO1876" s="1740"/>
      <c r="VTP1876" s="1740"/>
      <c r="VTQ1876" s="1740"/>
      <c r="VTR1876" s="1740"/>
      <c r="VTS1876" s="1740"/>
      <c r="VTT1876" s="1740"/>
      <c r="VTU1876" s="1740"/>
      <c r="VTV1876" s="1740"/>
      <c r="VTW1876" s="1740"/>
      <c r="VTX1876" s="1740"/>
      <c r="VTY1876" s="1740"/>
      <c r="VTZ1876" s="1740"/>
      <c r="VUA1876" s="1740"/>
      <c r="VUB1876" s="1740"/>
      <c r="VUC1876" s="1740"/>
      <c r="VUD1876" s="1740"/>
      <c r="VUE1876" s="1740"/>
      <c r="VUF1876" s="1740"/>
      <c r="VUG1876" s="1740"/>
      <c r="VUH1876" s="1740"/>
      <c r="VUI1876" s="1740"/>
      <c r="VUJ1876" s="1740"/>
      <c r="VUK1876" s="1740"/>
      <c r="VUL1876" s="1740"/>
      <c r="VUM1876" s="1740"/>
      <c r="VUN1876" s="1740"/>
      <c r="VUO1876" s="1740"/>
      <c r="VUP1876" s="1740"/>
      <c r="VUQ1876" s="1740"/>
      <c r="VUR1876" s="1740"/>
      <c r="VUS1876" s="1740"/>
      <c r="VUT1876" s="1740"/>
      <c r="VUU1876" s="1740"/>
      <c r="VUV1876" s="1740"/>
      <c r="VUW1876" s="1740"/>
      <c r="VUX1876" s="1740"/>
      <c r="VUY1876" s="1740"/>
      <c r="VUZ1876" s="1740"/>
      <c r="VVA1876" s="1740"/>
      <c r="VVB1876" s="1740"/>
      <c r="VVC1876" s="1740"/>
      <c r="VVD1876" s="1740"/>
      <c r="VVE1876" s="1740"/>
      <c r="VVF1876" s="1740"/>
      <c r="VVG1876" s="1740"/>
      <c r="VVH1876" s="1740"/>
      <c r="VVI1876" s="1740"/>
      <c r="VVJ1876" s="1740"/>
      <c r="VVK1876" s="1740"/>
      <c r="VVL1876" s="1740"/>
      <c r="VVM1876" s="1740"/>
      <c r="VVN1876" s="1740"/>
      <c r="VVO1876" s="1740"/>
      <c r="VVP1876" s="1740"/>
      <c r="VVQ1876" s="1740"/>
      <c r="VVR1876" s="1740"/>
      <c r="VVS1876" s="1740"/>
      <c r="VVT1876" s="1740"/>
      <c r="VVU1876" s="1740"/>
      <c r="VVV1876" s="1740"/>
      <c r="VVW1876" s="1740"/>
      <c r="VVX1876" s="1740"/>
      <c r="VVY1876" s="1740"/>
      <c r="VVZ1876" s="1740"/>
      <c r="VWA1876" s="1740"/>
      <c r="VWB1876" s="1740"/>
      <c r="VWC1876" s="1740"/>
      <c r="VWD1876" s="1740"/>
      <c r="VWE1876" s="1740"/>
      <c r="VWF1876" s="1740"/>
      <c r="VWG1876" s="1740"/>
      <c r="VWH1876" s="1740"/>
      <c r="VWI1876" s="1740"/>
      <c r="VWJ1876" s="1740"/>
      <c r="VWK1876" s="1740"/>
      <c r="VWL1876" s="1740"/>
      <c r="VWM1876" s="1740"/>
      <c r="VWN1876" s="1740"/>
      <c r="VWO1876" s="1740"/>
      <c r="VWP1876" s="1740"/>
      <c r="VWQ1876" s="1740"/>
      <c r="VWR1876" s="1740"/>
      <c r="VWS1876" s="1740"/>
      <c r="VWT1876" s="1740"/>
      <c r="VWU1876" s="1740"/>
      <c r="VWV1876" s="1740"/>
      <c r="VWW1876" s="1740"/>
      <c r="VWX1876" s="1740"/>
      <c r="VWY1876" s="1740"/>
      <c r="VWZ1876" s="1740"/>
      <c r="VXA1876" s="1740"/>
      <c r="VXB1876" s="1740"/>
      <c r="VXC1876" s="1740"/>
      <c r="VXD1876" s="1740"/>
      <c r="VXE1876" s="1740"/>
      <c r="VXF1876" s="1740"/>
      <c r="VXG1876" s="1740"/>
      <c r="VXH1876" s="1740"/>
      <c r="VXI1876" s="1740"/>
      <c r="VXJ1876" s="1740"/>
      <c r="VXK1876" s="1740"/>
      <c r="VXL1876" s="1740"/>
      <c r="VXM1876" s="1740"/>
      <c r="VXN1876" s="1740"/>
      <c r="VXO1876" s="1740"/>
      <c r="VXP1876" s="1740"/>
      <c r="VXQ1876" s="1740"/>
      <c r="VXR1876" s="1740"/>
      <c r="VXS1876" s="1740"/>
      <c r="VXT1876" s="1740"/>
      <c r="VXU1876" s="1740"/>
      <c r="VXV1876" s="1740"/>
      <c r="VXW1876" s="1740"/>
      <c r="VXX1876" s="1740"/>
      <c r="VXY1876" s="1740"/>
      <c r="VXZ1876" s="1740"/>
      <c r="VYA1876" s="1740"/>
      <c r="VYB1876" s="1740"/>
      <c r="VYC1876" s="1740"/>
      <c r="VYD1876" s="1740"/>
      <c r="VYE1876" s="1740"/>
      <c r="VYF1876" s="1740"/>
      <c r="VYG1876" s="1740"/>
      <c r="VYH1876" s="1740"/>
      <c r="VYI1876" s="1740"/>
      <c r="VYJ1876" s="1740"/>
      <c r="VYK1876" s="1740"/>
      <c r="VYL1876" s="1740"/>
      <c r="VYM1876" s="1740"/>
      <c r="VYN1876" s="1740"/>
      <c r="VYO1876" s="1740"/>
      <c r="VYP1876" s="1740"/>
      <c r="VYQ1876" s="1740"/>
      <c r="VYR1876" s="1740"/>
      <c r="VYS1876" s="1740"/>
      <c r="VYT1876" s="1740"/>
      <c r="VYU1876" s="1740"/>
      <c r="VYV1876" s="1740"/>
      <c r="VYW1876" s="1740"/>
      <c r="VYX1876" s="1740"/>
      <c r="VYY1876" s="1740"/>
      <c r="VYZ1876" s="1740"/>
      <c r="VZA1876" s="1740"/>
      <c r="VZB1876" s="1740"/>
      <c r="VZC1876" s="1740"/>
      <c r="VZD1876" s="1740"/>
      <c r="VZE1876" s="1740"/>
      <c r="VZF1876" s="1740"/>
      <c r="VZG1876" s="1740"/>
      <c r="VZH1876" s="1740"/>
      <c r="VZI1876" s="1740"/>
      <c r="VZJ1876" s="1740"/>
      <c r="VZK1876" s="1740"/>
      <c r="VZL1876" s="1740"/>
      <c r="VZM1876" s="1740"/>
      <c r="VZN1876" s="1740"/>
      <c r="VZO1876" s="1740"/>
      <c r="VZP1876" s="1740"/>
      <c r="VZQ1876" s="1740"/>
      <c r="VZR1876" s="1740"/>
      <c r="VZS1876" s="1740"/>
      <c r="VZT1876" s="1740"/>
      <c r="VZU1876" s="1740"/>
      <c r="VZV1876" s="1740"/>
      <c r="VZW1876" s="1740"/>
      <c r="VZX1876" s="1740"/>
      <c r="VZY1876" s="1740"/>
      <c r="VZZ1876" s="1740"/>
      <c r="WAA1876" s="1740"/>
      <c r="WAB1876" s="1740"/>
      <c r="WAC1876" s="1740"/>
      <c r="WAD1876" s="1740"/>
      <c r="WAE1876" s="1740"/>
      <c r="WAF1876" s="1740"/>
      <c r="WAG1876" s="1740"/>
      <c r="WAH1876" s="1740"/>
      <c r="WAI1876" s="1740"/>
      <c r="WAJ1876" s="1740"/>
      <c r="WAK1876" s="1740"/>
      <c r="WAL1876" s="1740"/>
      <c r="WAM1876" s="1740"/>
      <c r="WAN1876" s="1740"/>
      <c r="WAO1876" s="1740"/>
      <c r="WAP1876" s="1740"/>
      <c r="WAQ1876" s="1740"/>
      <c r="WAR1876" s="1740"/>
      <c r="WAS1876" s="1740"/>
      <c r="WAT1876" s="1740"/>
      <c r="WAU1876" s="1740"/>
      <c r="WAV1876" s="1740"/>
      <c r="WAW1876" s="1740"/>
      <c r="WAX1876" s="1740"/>
      <c r="WAY1876" s="1740"/>
      <c r="WAZ1876" s="1740"/>
      <c r="WBA1876" s="1740"/>
      <c r="WBB1876" s="1740"/>
      <c r="WBC1876" s="1740"/>
      <c r="WBD1876" s="1740"/>
      <c r="WBE1876" s="1740"/>
      <c r="WBF1876" s="1740"/>
      <c r="WBG1876" s="1740"/>
      <c r="WBH1876" s="1740"/>
      <c r="WBI1876" s="1740"/>
      <c r="WBJ1876" s="1740"/>
      <c r="WBK1876" s="1740"/>
      <c r="WBL1876" s="1740"/>
      <c r="WBM1876" s="1740"/>
      <c r="WBN1876" s="1740"/>
      <c r="WBO1876" s="1740"/>
      <c r="WBP1876" s="1740"/>
      <c r="WBQ1876" s="1740"/>
      <c r="WBR1876" s="1740"/>
      <c r="WBS1876" s="1740"/>
      <c r="WBT1876" s="1740"/>
      <c r="WBU1876" s="1740"/>
      <c r="WBV1876" s="1740"/>
      <c r="WBW1876" s="1740"/>
      <c r="WBX1876" s="1740"/>
      <c r="WBY1876" s="1740"/>
      <c r="WBZ1876" s="1740"/>
      <c r="WCA1876" s="1740"/>
      <c r="WCB1876" s="1740"/>
      <c r="WCC1876" s="1740"/>
      <c r="WCD1876" s="1740"/>
      <c r="WCE1876" s="1740"/>
      <c r="WCF1876" s="1740"/>
      <c r="WCG1876" s="1740"/>
      <c r="WCH1876" s="1740"/>
      <c r="WCI1876" s="1740"/>
      <c r="WCJ1876" s="1740"/>
      <c r="WCK1876" s="1740"/>
      <c r="WCL1876" s="1740"/>
      <c r="WCM1876" s="1740"/>
      <c r="WCN1876" s="1740"/>
      <c r="WCO1876" s="1740"/>
      <c r="WCP1876" s="1740"/>
      <c r="WCQ1876" s="1740"/>
      <c r="WCR1876" s="1740"/>
      <c r="WCS1876" s="1740"/>
      <c r="WCT1876" s="1740"/>
      <c r="WCU1876" s="1740"/>
      <c r="WCV1876" s="1740"/>
      <c r="WCW1876" s="1740"/>
      <c r="WCX1876" s="1740"/>
      <c r="WCY1876" s="1740"/>
      <c r="WCZ1876" s="1740"/>
      <c r="WDA1876" s="1740"/>
      <c r="WDB1876" s="1740"/>
      <c r="WDC1876" s="1740"/>
      <c r="WDD1876" s="1740"/>
      <c r="WDE1876" s="1740"/>
      <c r="WDF1876" s="1740"/>
      <c r="WDG1876" s="1740"/>
      <c r="WDH1876" s="1740"/>
      <c r="WDI1876" s="1740"/>
      <c r="WDJ1876" s="1740"/>
      <c r="WDK1876" s="1740"/>
      <c r="WDL1876" s="1740"/>
      <c r="WDM1876" s="1740"/>
      <c r="WDN1876" s="1740"/>
      <c r="WDO1876" s="1740"/>
      <c r="WDP1876" s="1740"/>
      <c r="WDQ1876" s="1740"/>
      <c r="WDR1876" s="1740"/>
      <c r="WDS1876" s="1740"/>
      <c r="WDT1876" s="1740"/>
      <c r="WDU1876" s="1740"/>
      <c r="WDV1876" s="1740"/>
      <c r="WDW1876" s="1740"/>
      <c r="WDX1876" s="1740"/>
      <c r="WDY1876" s="1740"/>
      <c r="WDZ1876" s="1740"/>
      <c r="WEA1876" s="1740"/>
      <c r="WEB1876" s="1740"/>
      <c r="WEC1876" s="1740"/>
      <c r="WED1876" s="1740"/>
      <c r="WEE1876" s="1740"/>
      <c r="WEF1876" s="1740"/>
      <c r="WEG1876" s="1740"/>
      <c r="WEH1876" s="1740"/>
      <c r="WEI1876" s="1740"/>
      <c r="WEJ1876" s="1740"/>
      <c r="WEK1876" s="1740"/>
      <c r="WEL1876" s="1740"/>
      <c r="WEM1876" s="1740"/>
      <c r="WEN1876" s="1740"/>
      <c r="WEO1876" s="1740"/>
      <c r="WEP1876" s="1740"/>
      <c r="WEQ1876" s="1740"/>
      <c r="WER1876" s="1740"/>
      <c r="WES1876" s="1740"/>
      <c r="WET1876" s="1740"/>
      <c r="WEU1876" s="1740"/>
      <c r="WEV1876" s="1740"/>
      <c r="WEW1876" s="1740"/>
      <c r="WEX1876" s="1740"/>
      <c r="WEY1876" s="1740"/>
      <c r="WEZ1876" s="1740"/>
      <c r="WFA1876" s="1740"/>
      <c r="WFB1876" s="1740"/>
      <c r="WFC1876" s="1740"/>
      <c r="WFD1876" s="1740"/>
      <c r="WFE1876" s="1740"/>
      <c r="WFF1876" s="1740"/>
      <c r="WFG1876" s="1740"/>
      <c r="WFH1876" s="1740"/>
      <c r="WFI1876" s="1740"/>
      <c r="WFJ1876" s="1740"/>
      <c r="WFK1876" s="1740"/>
      <c r="WFL1876" s="1740"/>
      <c r="WFM1876" s="1740"/>
      <c r="WFN1876" s="1740"/>
      <c r="WFO1876" s="1740"/>
      <c r="WFP1876" s="1740"/>
      <c r="WFQ1876" s="1740"/>
      <c r="WFR1876" s="1740"/>
      <c r="WFS1876" s="1740"/>
      <c r="WFT1876" s="1740"/>
      <c r="WFU1876" s="1740"/>
      <c r="WFV1876" s="1740"/>
      <c r="WFW1876" s="1740"/>
      <c r="WFX1876" s="1740"/>
      <c r="WFY1876" s="1740"/>
      <c r="WFZ1876" s="1740"/>
      <c r="WGA1876" s="1740"/>
      <c r="WGB1876" s="1740"/>
      <c r="WGC1876" s="1740"/>
      <c r="WGD1876" s="1740"/>
      <c r="WGE1876" s="1740"/>
      <c r="WGF1876" s="1740"/>
      <c r="WGG1876" s="1740"/>
      <c r="WGH1876" s="1740"/>
      <c r="WGI1876" s="1740"/>
      <c r="WGJ1876" s="1740"/>
      <c r="WGK1876" s="1740"/>
      <c r="WGL1876" s="1740"/>
      <c r="WGM1876" s="1740"/>
      <c r="WGN1876" s="1740"/>
      <c r="WGO1876" s="1740"/>
      <c r="WGP1876" s="1740"/>
      <c r="WGQ1876" s="1740"/>
      <c r="WGR1876" s="1740"/>
      <c r="WGS1876" s="1740"/>
      <c r="WGT1876" s="1740"/>
      <c r="WGU1876" s="1740"/>
      <c r="WGV1876" s="1740"/>
      <c r="WGW1876" s="1740"/>
      <c r="WGX1876" s="1740"/>
      <c r="WGY1876" s="1740"/>
      <c r="WGZ1876" s="1740"/>
      <c r="WHA1876" s="1740"/>
      <c r="WHB1876" s="1740"/>
      <c r="WHC1876" s="1740"/>
      <c r="WHD1876" s="1740"/>
      <c r="WHE1876" s="1740"/>
      <c r="WHF1876" s="1740"/>
      <c r="WHG1876" s="1740"/>
      <c r="WHH1876" s="1740"/>
      <c r="WHI1876" s="1740"/>
      <c r="WHJ1876" s="1740"/>
      <c r="WHK1876" s="1740"/>
      <c r="WHL1876" s="1740"/>
      <c r="WHM1876" s="1740"/>
      <c r="WHN1876" s="1740"/>
      <c r="WHO1876" s="1740"/>
      <c r="WHP1876" s="1740"/>
      <c r="WHQ1876" s="1740"/>
      <c r="WHR1876" s="1740"/>
      <c r="WHS1876" s="1740"/>
      <c r="WHT1876" s="1740"/>
      <c r="WHU1876" s="1740"/>
      <c r="WHV1876" s="1740"/>
      <c r="WHW1876" s="1740"/>
      <c r="WHX1876" s="1740"/>
      <c r="WHY1876" s="1740"/>
      <c r="WHZ1876" s="1740"/>
      <c r="WIA1876" s="1740"/>
      <c r="WIB1876" s="1740"/>
      <c r="WIC1876" s="1740"/>
      <c r="WID1876" s="1740"/>
      <c r="WIE1876" s="1740"/>
      <c r="WIF1876" s="1740"/>
      <c r="WIG1876" s="1740"/>
      <c r="WIH1876" s="1740"/>
      <c r="WII1876" s="1740"/>
      <c r="WIJ1876" s="1740"/>
      <c r="WIK1876" s="1740"/>
      <c r="WIL1876" s="1740"/>
      <c r="WIM1876" s="1740"/>
      <c r="WIN1876" s="1740"/>
      <c r="WIO1876" s="1740"/>
      <c r="WIP1876" s="1740"/>
      <c r="WIQ1876" s="1740"/>
      <c r="WIR1876" s="1740"/>
      <c r="WIS1876" s="1740"/>
      <c r="WIT1876" s="1740"/>
      <c r="WIU1876" s="1740"/>
      <c r="WIV1876" s="1740"/>
      <c r="WIW1876" s="1740"/>
      <c r="WIX1876" s="1740"/>
      <c r="WIY1876" s="1740"/>
      <c r="WIZ1876" s="1740"/>
      <c r="WJA1876" s="1740"/>
      <c r="WJB1876" s="1740"/>
      <c r="WJC1876" s="1740"/>
      <c r="WJD1876" s="1740"/>
      <c r="WJE1876" s="1740"/>
      <c r="WJF1876" s="1740"/>
      <c r="WJG1876" s="1740"/>
      <c r="WJH1876" s="1740"/>
      <c r="WJI1876" s="1740"/>
      <c r="WJJ1876" s="1740"/>
      <c r="WJK1876" s="1740"/>
      <c r="WJL1876" s="1740"/>
      <c r="WJM1876" s="1740"/>
      <c r="WJN1876" s="1740"/>
      <c r="WJO1876" s="1740"/>
      <c r="WJP1876" s="1740"/>
      <c r="WJQ1876" s="1740"/>
      <c r="WJR1876" s="1740"/>
      <c r="WJS1876" s="1740"/>
      <c r="WJT1876" s="1740"/>
      <c r="WJU1876" s="1740"/>
      <c r="WJV1876" s="1740"/>
      <c r="WJW1876" s="1740"/>
      <c r="WJX1876" s="1740"/>
      <c r="WJY1876" s="1740"/>
      <c r="WJZ1876" s="1740"/>
      <c r="WKA1876" s="1740"/>
      <c r="WKB1876" s="1740"/>
      <c r="WKC1876" s="1740"/>
      <c r="WKD1876" s="1740"/>
      <c r="WKE1876" s="1740"/>
      <c r="WKF1876" s="1740"/>
      <c r="WKG1876" s="1740"/>
      <c r="WKH1876" s="1740"/>
      <c r="WKI1876" s="1740"/>
      <c r="WKJ1876" s="1740"/>
      <c r="WKK1876" s="1740"/>
      <c r="WKL1876" s="1740"/>
      <c r="WKM1876" s="1740"/>
      <c r="WKN1876" s="1740"/>
      <c r="WKO1876" s="1740"/>
      <c r="WKP1876" s="1740"/>
      <c r="WKQ1876" s="1740"/>
      <c r="WKR1876" s="1740"/>
      <c r="WKS1876" s="1740"/>
      <c r="WKT1876" s="1740"/>
      <c r="WKU1876" s="1740"/>
      <c r="WKV1876" s="1740"/>
      <c r="WKW1876" s="1740"/>
      <c r="WKX1876" s="1740"/>
      <c r="WKY1876" s="1740"/>
      <c r="WKZ1876" s="1740"/>
      <c r="WLA1876" s="1740"/>
      <c r="WLB1876" s="1740"/>
      <c r="WLC1876" s="1740"/>
      <c r="WLD1876" s="1740"/>
      <c r="WLE1876" s="1740"/>
      <c r="WLF1876" s="1740"/>
      <c r="WLG1876" s="1740"/>
      <c r="WLH1876" s="1740"/>
      <c r="WLI1876" s="1740"/>
      <c r="WLJ1876" s="1740"/>
      <c r="WLK1876" s="1740"/>
      <c r="WLL1876" s="1740"/>
      <c r="WLM1876" s="1740"/>
      <c r="WLN1876" s="1740"/>
      <c r="WLO1876" s="1740"/>
      <c r="WLP1876" s="1740"/>
      <c r="WLQ1876" s="1740"/>
      <c r="WLR1876" s="1740"/>
      <c r="WLS1876" s="1740"/>
      <c r="WLT1876" s="1740"/>
      <c r="WLU1876" s="1740"/>
      <c r="WLV1876" s="1740"/>
      <c r="WLW1876" s="1740"/>
      <c r="WLX1876" s="1740"/>
      <c r="WLY1876" s="1740"/>
      <c r="WLZ1876" s="1740"/>
      <c r="WMA1876" s="1740"/>
      <c r="WMB1876" s="1740"/>
      <c r="WMC1876" s="1740"/>
      <c r="WMD1876" s="1740"/>
      <c r="WME1876" s="1740"/>
      <c r="WMF1876" s="1740"/>
      <c r="WMG1876" s="1740"/>
      <c r="WMH1876" s="1740"/>
      <c r="WMI1876" s="1740"/>
      <c r="WMJ1876" s="1740"/>
      <c r="WMK1876" s="1740"/>
      <c r="WML1876" s="1740"/>
      <c r="WMM1876" s="1740"/>
      <c r="WMN1876" s="1740"/>
      <c r="WMO1876" s="1740"/>
      <c r="WMP1876" s="1740"/>
      <c r="WMQ1876" s="1740"/>
      <c r="WMR1876" s="1740"/>
      <c r="WMS1876" s="1740"/>
      <c r="WMT1876" s="1740"/>
      <c r="WMU1876" s="1740"/>
      <c r="WMV1876" s="1740"/>
      <c r="WMW1876" s="1740"/>
      <c r="WMX1876" s="1740"/>
      <c r="WMY1876" s="1740"/>
      <c r="WMZ1876" s="1740"/>
      <c r="WNA1876" s="1740"/>
      <c r="WNB1876" s="1740"/>
      <c r="WNC1876" s="1740"/>
      <c r="WND1876" s="1740"/>
      <c r="WNE1876" s="1740"/>
      <c r="WNF1876" s="1740"/>
      <c r="WNG1876" s="1740"/>
      <c r="WNH1876" s="1740"/>
      <c r="WNI1876" s="1740"/>
      <c r="WNJ1876" s="1740"/>
      <c r="WNK1876" s="1740"/>
      <c r="WNL1876" s="1740"/>
      <c r="WNM1876" s="1740"/>
      <c r="WNN1876" s="1740"/>
      <c r="WNO1876" s="1740"/>
      <c r="WNP1876" s="1740"/>
      <c r="WNQ1876" s="1740"/>
      <c r="WNR1876" s="1740"/>
      <c r="WNS1876" s="1740"/>
      <c r="WNT1876" s="1740"/>
      <c r="WNU1876" s="1740"/>
      <c r="WNV1876" s="1740"/>
      <c r="WNW1876" s="1740"/>
      <c r="WNX1876" s="1740"/>
      <c r="WNY1876" s="1740"/>
      <c r="WNZ1876" s="1740"/>
      <c r="WOA1876" s="1740"/>
      <c r="WOB1876" s="1740"/>
      <c r="WOC1876" s="1740"/>
      <c r="WOD1876" s="1740"/>
      <c r="WOE1876" s="1740"/>
      <c r="WOF1876" s="1740"/>
      <c r="WOG1876" s="1740"/>
      <c r="WOH1876" s="1740"/>
      <c r="WOI1876" s="1740"/>
      <c r="WOJ1876" s="1740"/>
      <c r="WOK1876" s="1740"/>
      <c r="WOL1876" s="1740"/>
      <c r="WOM1876" s="1740"/>
      <c r="WON1876" s="1740"/>
      <c r="WOO1876" s="1740"/>
      <c r="WOP1876" s="1740"/>
      <c r="WOQ1876" s="1740"/>
      <c r="WOR1876" s="1740"/>
      <c r="WOS1876" s="1740"/>
      <c r="WOT1876" s="1740"/>
      <c r="WOU1876" s="1740"/>
      <c r="WOV1876" s="1740"/>
      <c r="WOW1876" s="1740"/>
      <c r="WOX1876" s="1740"/>
      <c r="WOY1876" s="1740"/>
      <c r="WOZ1876" s="1740"/>
      <c r="WPA1876" s="1740"/>
      <c r="WPB1876" s="1740"/>
      <c r="WPC1876" s="1740"/>
      <c r="WPD1876" s="1740"/>
      <c r="WPE1876" s="1740"/>
      <c r="WPF1876" s="1740"/>
      <c r="WPG1876" s="1740"/>
      <c r="WPH1876" s="1740"/>
      <c r="WPI1876" s="1740"/>
      <c r="WPJ1876" s="1740"/>
      <c r="WPK1876" s="1740"/>
      <c r="WPL1876" s="1740"/>
      <c r="WPM1876" s="1740"/>
      <c r="WPN1876" s="1740"/>
      <c r="WPO1876" s="1740"/>
      <c r="WPP1876" s="1740"/>
      <c r="WPQ1876" s="1740"/>
      <c r="WPR1876" s="1740"/>
      <c r="WPS1876" s="1740"/>
      <c r="WPT1876" s="1740"/>
      <c r="WPU1876" s="1740"/>
      <c r="WPV1876" s="1740"/>
      <c r="WPW1876" s="1740"/>
      <c r="WPX1876" s="1740"/>
      <c r="WPY1876" s="1740"/>
      <c r="WPZ1876" s="1740"/>
      <c r="WQA1876" s="1740"/>
      <c r="WQB1876" s="1740"/>
      <c r="WQC1876" s="1740"/>
      <c r="WQD1876" s="1740"/>
      <c r="WQE1876" s="1740"/>
      <c r="WQF1876" s="1740"/>
      <c r="WQG1876" s="1740"/>
      <c r="WQH1876" s="1740"/>
      <c r="WQI1876" s="1740"/>
      <c r="WQJ1876" s="1740"/>
      <c r="WQK1876" s="1740"/>
      <c r="WQL1876" s="1740"/>
      <c r="WQM1876" s="1740"/>
      <c r="WQN1876" s="1740"/>
      <c r="WQO1876" s="1740"/>
      <c r="WQP1876" s="1740"/>
      <c r="WQQ1876" s="1740"/>
      <c r="WQR1876" s="1740"/>
      <c r="WQS1876" s="1740"/>
      <c r="WQT1876" s="1740"/>
      <c r="WQU1876" s="1740"/>
      <c r="WQV1876" s="1740"/>
      <c r="WQW1876" s="1740"/>
      <c r="WQX1876" s="1740"/>
      <c r="WQY1876" s="1740"/>
      <c r="WQZ1876" s="1740"/>
      <c r="WRA1876" s="1740"/>
      <c r="WRB1876" s="1740"/>
      <c r="WRC1876" s="1740"/>
      <c r="WRD1876" s="1740"/>
      <c r="WRE1876" s="1740"/>
      <c r="WRF1876" s="1740"/>
      <c r="WRG1876" s="1740"/>
      <c r="WRH1876" s="1740"/>
      <c r="WRI1876" s="1740"/>
      <c r="WRJ1876" s="1740"/>
      <c r="WRK1876" s="1740"/>
      <c r="WRL1876" s="1740"/>
      <c r="WRM1876" s="1740"/>
      <c r="WRN1876" s="1740"/>
      <c r="WRO1876" s="1740"/>
      <c r="WRP1876" s="1740"/>
      <c r="WRQ1876" s="1740"/>
      <c r="WRR1876" s="1740"/>
      <c r="WRS1876" s="1740"/>
      <c r="WRT1876" s="1740"/>
      <c r="WRU1876" s="1740"/>
      <c r="WRV1876" s="1740"/>
      <c r="WRW1876" s="1740"/>
      <c r="WRX1876" s="1740"/>
      <c r="WRY1876" s="1740"/>
      <c r="WRZ1876" s="1740"/>
      <c r="WSA1876" s="1740"/>
      <c r="WSB1876" s="1740"/>
      <c r="WSC1876" s="1740"/>
      <c r="WSD1876" s="1740"/>
      <c r="WSE1876" s="1740"/>
      <c r="WSF1876" s="1740"/>
      <c r="WSG1876" s="1740"/>
      <c r="WSH1876" s="1740"/>
      <c r="WSI1876" s="1740"/>
      <c r="WSJ1876" s="1740"/>
      <c r="WSK1876" s="1740"/>
      <c r="WSL1876" s="1740"/>
      <c r="WSM1876" s="1740"/>
      <c r="WSN1876" s="1740"/>
      <c r="WSO1876" s="1740"/>
      <c r="WSP1876" s="1740"/>
      <c r="WSQ1876" s="1740"/>
      <c r="WSR1876" s="1740"/>
      <c r="WSS1876" s="1740"/>
      <c r="WST1876" s="1740"/>
      <c r="WSU1876" s="1740"/>
      <c r="WSV1876" s="1740"/>
      <c r="WSW1876" s="1740"/>
      <c r="WSX1876" s="1740"/>
      <c r="WSY1876" s="1740"/>
      <c r="WSZ1876" s="1740"/>
      <c r="WTA1876" s="1740"/>
      <c r="WTB1876" s="1740"/>
      <c r="WTC1876" s="1740"/>
      <c r="WTD1876" s="1740"/>
      <c r="WTE1876" s="1740"/>
      <c r="WTF1876" s="1740"/>
      <c r="WTG1876" s="1740"/>
      <c r="WTH1876" s="1740"/>
      <c r="WTI1876" s="1740"/>
      <c r="WTJ1876" s="1740"/>
      <c r="WTK1876" s="1740"/>
      <c r="WTL1876" s="1740"/>
      <c r="WTM1876" s="1740"/>
      <c r="WTN1876" s="1740"/>
      <c r="WTO1876" s="1740"/>
      <c r="WTP1876" s="1740"/>
      <c r="WTQ1876" s="1740"/>
      <c r="WTR1876" s="1740"/>
      <c r="WTS1876" s="1740"/>
      <c r="WTT1876" s="1740"/>
      <c r="WTU1876" s="1740"/>
      <c r="WTV1876" s="1740"/>
      <c r="WTW1876" s="1740"/>
      <c r="WTX1876" s="1740"/>
      <c r="WTY1876" s="1740"/>
      <c r="WTZ1876" s="1740"/>
      <c r="WUA1876" s="1740"/>
      <c r="WUB1876" s="1740"/>
      <c r="WUC1876" s="1740"/>
      <c r="WUD1876" s="1740"/>
      <c r="WUE1876" s="1740"/>
      <c r="WUF1876" s="1740"/>
      <c r="WUG1876" s="1740"/>
      <c r="WUH1876" s="1740"/>
      <c r="WUI1876" s="1740"/>
      <c r="WUJ1876" s="1740"/>
      <c r="WUK1876" s="1740"/>
      <c r="WUL1876" s="1740"/>
      <c r="WUM1876" s="1740"/>
      <c r="WUN1876" s="1740"/>
      <c r="WUO1876" s="1740"/>
      <c r="WUP1876" s="1740"/>
      <c r="WUQ1876" s="1740"/>
      <c r="WUR1876" s="1740"/>
      <c r="WUS1876" s="1740"/>
      <c r="WUT1876" s="1740"/>
      <c r="WUU1876" s="1740"/>
      <c r="WUV1876" s="1740"/>
      <c r="WUW1876" s="1740"/>
      <c r="WUX1876" s="1740"/>
      <c r="WUY1876" s="1740"/>
      <c r="WUZ1876" s="1740"/>
      <c r="WVA1876" s="1740"/>
      <c r="WVB1876" s="1740"/>
      <c r="WVC1876" s="1740"/>
      <c r="WVD1876" s="1740"/>
      <c r="WVE1876" s="1740"/>
      <c r="WVF1876" s="1740"/>
      <c r="WVG1876" s="1740"/>
      <c r="WVH1876" s="1740"/>
      <c r="WVI1876" s="1740"/>
      <c r="WVJ1876" s="1740"/>
      <c r="WVK1876" s="1740"/>
      <c r="WVL1876" s="1740"/>
      <c r="WVM1876" s="1740"/>
      <c r="WVN1876" s="1740"/>
      <c r="WVO1876" s="1740"/>
      <c r="WVP1876" s="1740"/>
      <c r="WVQ1876" s="1740"/>
      <c r="WVR1876" s="1740"/>
      <c r="WVS1876" s="1740"/>
      <c r="WVT1876" s="1740"/>
      <c r="WVU1876" s="1740"/>
      <c r="WVV1876" s="1740"/>
      <c r="WVW1876" s="1740"/>
      <c r="WVX1876" s="1740"/>
      <c r="WVY1876" s="1740"/>
      <c r="WVZ1876" s="1740"/>
      <c r="WWA1876" s="1740"/>
      <c r="WWB1876" s="1740"/>
      <c r="WWC1876" s="1740"/>
      <c r="WWD1876" s="1740"/>
      <c r="WWE1876" s="1740"/>
      <c r="WWF1876" s="1740"/>
      <c r="WWG1876" s="1740"/>
      <c r="WWH1876" s="1740"/>
      <c r="WWI1876" s="1740"/>
      <c r="WWJ1876" s="1740"/>
      <c r="WWK1876" s="1740"/>
      <c r="WWL1876" s="1740"/>
      <c r="WWM1876" s="1740"/>
      <c r="WWN1876" s="1740"/>
      <c r="WWO1876" s="1740"/>
      <c r="WWP1876" s="1740"/>
      <c r="WWQ1876" s="1740"/>
      <c r="WWR1876" s="1740"/>
      <c r="WWS1876" s="1740"/>
      <c r="WWT1876" s="1740"/>
      <c r="WWU1876" s="1740"/>
      <c r="WWV1876" s="1740"/>
      <c r="WWW1876" s="1740"/>
      <c r="WWX1876" s="1740"/>
      <c r="WWY1876" s="1740"/>
      <c r="WWZ1876" s="1740"/>
      <c r="WXA1876" s="1740"/>
      <c r="WXB1876" s="1740"/>
      <c r="WXC1876" s="1740"/>
      <c r="WXD1876" s="1740"/>
      <c r="WXE1876" s="1740"/>
      <c r="WXF1876" s="1740"/>
      <c r="WXG1876" s="1740"/>
      <c r="WXH1876" s="1740"/>
      <c r="WXI1876" s="1740"/>
      <c r="WXJ1876" s="1740"/>
      <c r="WXK1876" s="1740"/>
      <c r="WXL1876" s="1740"/>
      <c r="WXM1876" s="1740"/>
      <c r="WXN1876" s="1740"/>
      <c r="WXO1876" s="1740"/>
      <c r="WXP1876" s="1740"/>
      <c r="WXQ1876" s="1740"/>
      <c r="WXR1876" s="1740"/>
      <c r="WXS1876" s="1740"/>
      <c r="WXT1876" s="1740"/>
      <c r="WXU1876" s="1740"/>
      <c r="WXV1876" s="1740"/>
      <c r="WXW1876" s="1740"/>
      <c r="WXX1876" s="1740"/>
      <c r="WXY1876" s="1740"/>
      <c r="WXZ1876" s="1740"/>
      <c r="WYA1876" s="1740"/>
      <c r="WYB1876" s="1740"/>
      <c r="WYC1876" s="1740"/>
      <c r="WYD1876" s="1740"/>
      <c r="WYE1876" s="1740"/>
      <c r="WYF1876" s="1740"/>
      <c r="WYG1876" s="1740"/>
      <c r="WYH1876" s="1740"/>
      <c r="WYI1876" s="1740"/>
      <c r="WYJ1876" s="1740"/>
      <c r="WYK1876" s="1740"/>
      <c r="WYL1876" s="1740"/>
      <c r="WYM1876" s="1740"/>
      <c r="WYN1876" s="1740"/>
      <c r="WYO1876" s="1740"/>
      <c r="WYP1876" s="1740"/>
      <c r="WYQ1876" s="1740"/>
      <c r="WYR1876" s="1740"/>
      <c r="WYS1876" s="1740"/>
      <c r="WYT1876" s="1740"/>
      <c r="WYU1876" s="1740"/>
      <c r="WYV1876" s="1740"/>
      <c r="WYW1876" s="1740"/>
      <c r="WYX1876" s="1740"/>
      <c r="WYY1876" s="1740"/>
      <c r="WYZ1876" s="1740"/>
      <c r="WZA1876" s="1740"/>
      <c r="WZB1876" s="1740"/>
      <c r="WZC1876" s="1740"/>
      <c r="WZD1876" s="1740"/>
      <c r="WZE1876" s="1740"/>
      <c r="WZF1876" s="1740"/>
      <c r="WZG1876" s="1740"/>
      <c r="WZH1876" s="1740"/>
      <c r="WZI1876" s="1740"/>
      <c r="WZJ1876" s="1740"/>
      <c r="WZK1876" s="1740"/>
      <c r="WZL1876" s="1740"/>
      <c r="WZM1876" s="1740"/>
      <c r="WZN1876" s="1740"/>
      <c r="WZO1876" s="1740"/>
      <c r="WZP1876" s="1740"/>
      <c r="WZQ1876" s="1740"/>
      <c r="WZR1876" s="1740"/>
      <c r="WZS1876" s="1740"/>
      <c r="WZT1876" s="1740"/>
      <c r="WZU1876" s="1740"/>
      <c r="WZV1876" s="1740"/>
      <c r="WZW1876" s="1740"/>
      <c r="WZX1876" s="1740"/>
      <c r="WZY1876" s="1740"/>
      <c r="WZZ1876" s="1740"/>
      <c r="XAA1876" s="1740"/>
      <c r="XAB1876" s="1740"/>
      <c r="XAC1876" s="1740"/>
      <c r="XAD1876" s="1740"/>
      <c r="XAE1876" s="1740"/>
      <c r="XAF1876" s="1740"/>
      <c r="XAG1876" s="1740"/>
      <c r="XAH1876" s="1740"/>
      <c r="XAI1876" s="1740"/>
      <c r="XAJ1876" s="1740"/>
      <c r="XAK1876" s="1740"/>
      <c r="XAL1876" s="1740"/>
      <c r="XAM1876" s="1740"/>
      <c r="XAN1876" s="1740"/>
      <c r="XAO1876" s="1740"/>
      <c r="XAP1876" s="1740"/>
      <c r="XAQ1876" s="1740"/>
      <c r="XAR1876" s="1740"/>
      <c r="XAS1876" s="1740"/>
      <c r="XAT1876" s="1740"/>
      <c r="XAU1876" s="1740"/>
      <c r="XAV1876" s="1740"/>
      <c r="XAW1876" s="1740"/>
      <c r="XAX1876" s="1740"/>
      <c r="XAY1876" s="1740"/>
      <c r="XAZ1876" s="1740"/>
      <c r="XBA1876" s="1740"/>
      <c r="XBB1876" s="1740"/>
      <c r="XBC1876" s="1740"/>
      <c r="XBD1876" s="1740"/>
      <c r="XBE1876" s="1740"/>
      <c r="XBF1876" s="1740"/>
      <c r="XBG1876" s="1740"/>
      <c r="XBH1876" s="1740"/>
      <c r="XBI1876" s="1740"/>
      <c r="XBJ1876" s="1740"/>
      <c r="XBK1876" s="1740"/>
      <c r="XBL1876" s="1740"/>
      <c r="XBM1876" s="1740"/>
      <c r="XBN1876" s="1740"/>
      <c r="XBO1876" s="1740"/>
      <c r="XBP1876" s="1740"/>
      <c r="XBQ1876" s="1740"/>
      <c r="XBR1876" s="1740"/>
      <c r="XBS1876" s="1740"/>
      <c r="XBT1876" s="1740"/>
      <c r="XBU1876" s="1740"/>
      <c r="XBV1876" s="1740"/>
      <c r="XBW1876" s="1740"/>
      <c r="XBX1876" s="1740"/>
      <c r="XBY1876" s="1740"/>
      <c r="XBZ1876" s="1740"/>
      <c r="XCA1876" s="1740"/>
      <c r="XCB1876" s="1740"/>
      <c r="XCC1876" s="1740"/>
      <c r="XCD1876" s="1740"/>
      <c r="XCE1876" s="1740"/>
      <c r="XCF1876" s="1740"/>
      <c r="XCG1876" s="1740"/>
      <c r="XCH1876" s="1740"/>
      <c r="XCI1876" s="1740"/>
      <c r="XCJ1876" s="1740"/>
      <c r="XCK1876" s="1740"/>
      <c r="XCL1876" s="1740"/>
      <c r="XCM1876" s="1740"/>
      <c r="XCN1876" s="1740"/>
      <c r="XCO1876" s="1740"/>
      <c r="XCP1876" s="1740"/>
      <c r="XCQ1876" s="1740"/>
      <c r="XCR1876" s="1740"/>
      <c r="XCS1876" s="1740"/>
      <c r="XCT1876" s="1740"/>
      <c r="XCU1876" s="1740"/>
      <c r="XCV1876" s="1740"/>
      <c r="XCW1876" s="1740"/>
      <c r="XCX1876" s="1740"/>
      <c r="XCY1876" s="1740"/>
      <c r="XCZ1876" s="1740"/>
      <c r="XDA1876" s="1740"/>
      <c r="XDB1876" s="1740"/>
      <c r="XDC1876" s="1740"/>
      <c r="XDD1876" s="1740"/>
      <c r="XDE1876" s="1740"/>
      <c r="XDF1876" s="1740"/>
      <c r="XDG1876" s="1740"/>
      <c r="XDH1876" s="1740"/>
      <c r="XDI1876" s="1740"/>
      <c r="XDJ1876" s="1740"/>
      <c r="XDK1876" s="1740"/>
      <c r="XDL1876" s="1740"/>
      <c r="XDM1876" s="1740"/>
      <c r="XDN1876" s="1740"/>
      <c r="XDO1876" s="1740"/>
      <c r="XDP1876" s="1740"/>
      <c r="XDQ1876" s="1740"/>
      <c r="XDR1876" s="1740"/>
      <c r="XDS1876" s="1740"/>
      <c r="XDT1876" s="1740"/>
      <c r="XDU1876" s="1740"/>
      <c r="XDV1876" s="1740"/>
      <c r="XDW1876" s="1740"/>
      <c r="XDX1876" s="1740"/>
      <c r="XDY1876" s="1740"/>
      <c r="XDZ1876" s="1740"/>
      <c r="XEA1876" s="1740"/>
      <c r="XEB1876" s="1740"/>
      <c r="XEC1876" s="1740"/>
      <c r="XED1876" s="1740"/>
      <c r="XEE1876" s="1740"/>
      <c r="XEF1876" s="1740"/>
      <c r="XEG1876" s="1740"/>
      <c r="XEH1876" s="1740"/>
      <c r="XEI1876" s="1740"/>
      <c r="XEJ1876" s="1740"/>
      <c r="XEK1876" s="1740"/>
      <c r="XEL1876" s="1740"/>
      <c r="XEM1876" s="1740"/>
      <c r="XEN1876" s="1740"/>
      <c r="XEO1876" s="1740"/>
      <c r="XEP1876" s="1740"/>
      <c r="XEQ1876" s="1740"/>
      <c r="XER1876" s="1740"/>
      <c r="XES1876" s="1740"/>
      <c r="XET1876" s="1740"/>
      <c r="XEU1876" s="1740"/>
      <c r="XEV1876" s="1740"/>
      <c r="XEW1876" s="1740"/>
      <c r="XEX1876" s="1740"/>
      <c r="XEY1876" s="1740"/>
      <c r="XEZ1876" s="1740"/>
      <c r="XFA1876" s="1740"/>
    </row>
    <row r="1877" spans="1:16381" s="1081" customFormat="1" ht="14.4" hidden="1" outlineLevel="1">
      <c r="A1877" s="1072" t="str">
        <f>A1876</f>
        <v/>
      </c>
      <c r="B1877" s="1068"/>
      <c r="C1877" s="1291"/>
      <c r="D1877" s="1292"/>
      <c r="E1877" s="1308" t="s">
        <v>3399</v>
      </c>
      <c r="F1877" s="1291"/>
      <c r="G1877" s="1508"/>
      <c r="H1877" s="1298"/>
      <c r="I1877" s="1298"/>
      <c r="J1877" s="1298"/>
      <c r="K1877" s="1298"/>
      <c r="L1877" s="1298"/>
      <c r="M1877" s="1298"/>
      <c r="N1877" s="1298"/>
      <c r="O1877" s="1298"/>
      <c r="P1877" s="1499"/>
      <c r="Q1877" s="1821">
        <f>4500/570</f>
        <v>7.8947368421052628</v>
      </c>
      <c r="R1877" s="1300"/>
      <c r="S1877" s="1300"/>
    </row>
    <row r="1878" spans="1:16381" s="1081" customFormat="1" hidden="1" outlineLevel="1">
      <c r="A1878" s="1072" t="str">
        <f t="shared" ref="A1878:A1894" si="457">IF(G1878&lt;&gt;0,1,"")</f>
        <v/>
      </c>
      <c r="B1878" s="1295" t="s">
        <v>1357</v>
      </c>
      <c r="C1878" s="1302"/>
      <c r="D1878" s="1198">
        <f>VLOOKUP($B1878,dongia1,DG!$B$5,)</f>
        <v>0</v>
      </c>
      <c r="E1878" s="1243" t="str">
        <f>VLOOKUP($B1878,dongia1,DG!$C$5,)&amp;" - 7x6m/pha + 4x7m/trung tính"</f>
        <v>Cáp đồng bọc CV400 - 7x6m/pha + 4x7m/trung tính</v>
      </c>
      <c r="F1878" s="1198" t="str">
        <f>VLOOKUP($B1878,dongia1,DG!$D$5,)</f>
        <v>mét</v>
      </c>
      <c r="G1878" s="1508">
        <f>G1876*(3*7*7+4*7)</f>
        <v>0</v>
      </c>
      <c r="H1878" s="1298">
        <f>VLOOKUP($B1878,dongia1,DG!$F$5,)</f>
        <v>928400</v>
      </c>
      <c r="I1878" s="1298"/>
      <c r="J1878" s="1298">
        <f>VLOOKUP($B1878,dongia1,DG!$G$5,)</f>
        <v>0</v>
      </c>
      <c r="K1878" s="1298">
        <f>VLOOKUP($B1878,dongia1,DG!$H$5,)</f>
        <v>0</v>
      </c>
      <c r="L1878" s="1298">
        <f t="shared" ref="L1878:L1892" si="458">H1878*G1878</f>
        <v>0</v>
      </c>
      <c r="M1878" s="1298">
        <f t="shared" ref="M1878:M1892" si="459">I1878*G1878</f>
        <v>0</v>
      </c>
      <c r="N1878" s="1298">
        <f t="shared" ref="N1878:N1892" si="460">J1878*G1878</f>
        <v>0</v>
      </c>
      <c r="O1878" s="1298">
        <f t="shared" ref="O1878:O1892" si="461">K1878*G1878</f>
        <v>0</v>
      </c>
      <c r="P1878" s="1437"/>
      <c r="Q1878" s="1300"/>
      <c r="R1878" s="1300"/>
      <c r="S1878" s="1300"/>
    </row>
    <row r="1879" spans="1:16381" s="1081" customFormat="1" hidden="1" outlineLevel="1">
      <c r="A1879" s="1072" t="str">
        <f t="shared" si="457"/>
        <v/>
      </c>
      <c r="B1879" s="1295" t="s">
        <v>1279</v>
      </c>
      <c r="C1879" s="1302"/>
      <c r="D1879" s="1198">
        <f>VLOOKUP($B1879,dongia1,DG!$B$5,)</f>
        <v>0</v>
      </c>
      <c r="E1879" s="1243" t="str">
        <f>VLOOKUP($B1879,dongia1,DG!$C$5,)</f>
        <v>Cáp đồng bọc CV240</v>
      </c>
      <c r="F1879" s="1198" t="str">
        <f>VLOOKUP($B1879,dongia1,DG!$D$5,)</f>
        <v>mét</v>
      </c>
      <c r="G1879" s="1508"/>
      <c r="H1879" s="1298">
        <f>VLOOKUP($B1879,dongia1,DG!$F$5,)</f>
        <v>567100</v>
      </c>
      <c r="I1879" s="1298"/>
      <c r="J1879" s="1298">
        <f>VLOOKUP($B1879,dongia1,DG!$G$5,)</f>
        <v>0</v>
      </c>
      <c r="K1879" s="1298">
        <f>VLOOKUP($B1879,dongia1,DG!$H$5,)</f>
        <v>0</v>
      </c>
      <c r="L1879" s="1298">
        <f t="shared" si="458"/>
        <v>0</v>
      </c>
      <c r="M1879" s="1298">
        <f t="shared" si="459"/>
        <v>0</v>
      </c>
      <c r="N1879" s="1298">
        <f t="shared" si="460"/>
        <v>0</v>
      </c>
      <c r="O1879" s="1298">
        <f t="shared" si="461"/>
        <v>0</v>
      </c>
      <c r="P1879" s="1499"/>
      <c r="Q1879" s="1300"/>
      <c r="R1879" s="1300"/>
      <c r="S1879" s="1300"/>
    </row>
    <row r="1880" spans="1:16381" s="1081" customFormat="1" hidden="1" outlineLevel="1">
      <c r="A1880" s="1072" t="str">
        <f>IF(G1880&lt;&gt;0,1,"")</f>
        <v/>
      </c>
      <c r="B1880" s="1295" t="s">
        <v>5732</v>
      </c>
      <c r="C1880" s="1302"/>
      <c r="D1880" s="1198" t="str">
        <f>VLOOKUP($B1880,dongia1,DG!$B$5,)</f>
        <v>D4.5009</v>
      </c>
      <c r="E1880" s="1243" t="str">
        <f>VLOOKUP($B1880,dongia1,DG!$C$5,)</f>
        <v>Đầu cosse ép Cu 400mm2</v>
      </c>
      <c r="F1880" s="1198" t="str">
        <f>VLOOKUP($B1880,dongia1,DG!$D$5,)</f>
        <v>cái</v>
      </c>
      <c r="G1880" s="1508">
        <f>G1876*2*(7*3+4)</f>
        <v>0</v>
      </c>
      <c r="H1880" s="1298">
        <f>VLOOKUP($B1880,dongia1,DG!$F$5,)</f>
        <v>380000</v>
      </c>
      <c r="I1880" s="1298"/>
      <c r="J1880" s="1298">
        <f>VLOOKUP($B1880,dongia1,DG!$G$5,)</f>
        <v>59410.148000000001</v>
      </c>
      <c r="K1880" s="1298">
        <f>VLOOKUP($B1880,dongia1,DG!$H$5,)</f>
        <v>7775.6650930000005</v>
      </c>
      <c r="L1880" s="1298">
        <f>H1880*G1880</f>
        <v>0</v>
      </c>
      <c r="M1880" s="1298">
        <f>I1880*G1880</f>
        <v>0</v>
      </c>
      <c r="N1880" s="1298">
        <f>J1880*G1880</f>
        <v>0</v>
      </c>
      <c r="O1880" s="1298">
        <f>K1880*G1880</f>
        <v>0</v>
      </c>
      <c r="P1880" s="1499"/>
      <c r="Q1880" s="1300"/>
      <c r="R1880" s="1300"/>
      <c r="S1880" s="1300"/>
    </row>
    <row r="1881" spans="1:16381" s="1081" customFormat="1" hidden="1" outlineLevel="1">
      <c r="A1881" s="1072" t="str">
        <f t="shared" si="457"/>
        <v/>
      </c>
      <c r="B1881" s="1295" t="s">
        <v>435</v>
      </c>
      <c r="C1881" s="1302"/>
      <c r="D1881" s="1198" t="str">
        <f>VLOOKUP($B1881,dongia1,DG!$B$5,)</f>
        <v>D4.5008</v>
      </c>
      <c r="E1881" s="1243" t="str">
        <f>VLOOKUP($B1881,dongia1,DG!$C$5,)</f>
        <v>Đầu cosse ép Cu 200mm2</v>
      </c>
      <c r="F1881" s="1198" t="str">
        <f>VLOOKUP($B1881,dongia1,DG!$D$5,)</f>
        <v>cái</v>
      </c>
      <c r="G1881" s="1508"/>
      <c r="H1881" s="1298">
        <f>VLOOKUP($B1881,dongia1,DG!$F$5,)</f>
        <v>51000</v>
      </c>
      <c r="I1881" s="1298"/>
      <c r="J1881" s="1298">
        <f>VLOOKUP($B1881,dongia1,DG!$G$5,)</f>
        <v>50013.645000000004</v>
      </c>
      <c r="K1881" s="1298">
        <f>VLOOKUP($B1881,dongia1,DG!$H$5,)</f>
        <v>5554.0464950000005</v>
      </c>
      <c r="L1881" s="1298">
        <f t="shared" si="458"/>
        <v>0</v>
      </c>
      <c r="M1881" s="1298">
        <f t="shared" si="459"/>
        <v>0</v>
      </c>
      <c r="N1881" s="1298">
        <f t="shared" si="460"/>
        <v>0</v>
      </c>
      <c r="O1881" s="1298">
        <f t="shared" si="461"/>
        <v>0</v>
      </c>
      <c r="P1881" s="1499"/>
      <c r="Q1881" s="1300"/>
      <c r="R1881" s="1300"/>
      <c r="S1881" s="1300"/>
    </row>
    <row r="1882" spans="1:16381" s="1081" customFormat="1" hidden="1" outlineLevel="1">
      <c r="A1882" s="1072" t="str">
        <f>IF(G1882&lt;&gt;0,1,"")</f>
        <v/>
      </c>
      <c r="B1882" s="1295" t="s">
        <v>726</v>
      </c>
      <c r="C1882" s="1302"/>
      <c r="D1882" s="1198">
        <f>VLOOKUP($B1882,dongia1,DG!$B$5,)</f>
        <v>0</v>
      </c>
      <c r="E1882" s="1243" t="str">
        <f>VLOOKUP($B1882,dongia1,DG!$C$5,)</f>
        <v>Chụp đầu cosse  300mm2</v>
      </c>
      <c r="F1882" s="1198" t="str">
        <f>VLOOKUP($B1882,dongia1,DG!$D$5,)</f>
        <v>cái</v>
      </c>
      <c r="G1882" s="1508">
        <f>G1880</f>
        <v>0</v>
      </c>
      <c r="H1882" s="1298">
        <f>VLOOKUP($B1882,dongia1,DG!$F$5,)</f>
        <v>8000</v>
      </c>
      <c r="I1882" s="1298"/>
      <c r="J1882" s="1298">
        <f>VLOOKUP($B1882,dongia1,DG!$G$5,)</f>
        <v>0</v>
      </c>
      <c r="K1882" s="1298">
        <f>VLOOKUP($B1882,dongia1,DG!$H$5,)</f>
        <v>0</v>
      </c>
      <c r="L1882" s="1298">
        <f>H1882*G1882</f>
        <v>0</v>
      </c>
      <c r="M1882" s="1298">
        <f>I1882*G1882</f>
        <v>0</v>
      </c>
      <c r="N1882" s="1298">
        <f>J1882*G1882</f>
        <v>0</v>
      </c>
      <c r="O1882" s="1298">
        <f>K1882*G1882</f>
        <v>0</v>
      </c>
      <c r="P1882" s="1499"/>
      <c r="Q1882" s="1300"/>
      <c r="R1882" s="1300"/>
      <c r="S1882" s="1300"/>
    </row>
    <row r="1883" spans="1:16381" s="1081" customFormat="1" hidden="1" outlineLevel="1">
      <c r="A1883" s="1072" t="str">
        <f t="shared" si="457"/>
        <v/>
      </c>
      <c r="B1883" s="1295" t="s">
        <v>474</v>
      </c>
      <c r="C1883" s="1302"/>
      <c r="D1883" s="1198">
        <f>VLOOKUP($B1883,dongia1,DG!$B$5,)</f>
        <v>0</v>
      </c>
      <c r="E1883" s="1243" t="str">
        <f>VLOOKUP($B1883,dongia1,DG!$C$5,)</f>
        <v>Chụp đầu cosse  240mm2</v>
      </c>
      <c r="F1883" s="1198" t="str">
        <f>VLOOKUP($B1883,dongia1,DG!$D$5,)</f>
        <v>cái</v>
      </c>
      <c r="G1883" s="1508"/>
      <c r="H1883" s="1298">
        <f>VLOOKUP($B1883,dongia1,DG!$F$5,)</f>
        <v>6000</v>
      </c>
      <c r="I1883" s="1298"/>
      <c r="J1883" s="1298">
        <f>VLOOKUP($B1883,dongia1,DG!$G$5,)</f>
        <v>0</v>
      </c>
      <c r="K1883" s="1298">
        <f>VLOOKUP($B1883,dongia1,DG!$H$5,)</f>
        <v>0</v>
      </c>
      <c r="L1883" s="1298">
        <f t="shared" si="458"/>
        <v>0</v>
      </c>
      <c r="M1883" s="1298">
        <f t="shared" si="459"/>
        <v>0</v>
      </c>
      <c r="N1883" s="1298">
        <f t="shared" si="460"/>
        <v>0</v>
      </c>
      <c r="O1883" s="1298">
        <f t="shared" si="461"/>
        <v>0</v>
      </c>
      <c r="P1883" s="1499"/>
      <c r="Q1883" s="1300"/>
      <c r="R1883" s="1300"/>
      <c r="S1883" s="1300"/>
    </row>
    <row r="1884" spans="1:16381" s="1081" customFormat="1" hidden="1" outlineLevel="1">
      <c r="A1884" s="1072" t="str">
        <f t="shared" si="457"/>
        <v/>
      </c>
      <c r="B1884" s="16" t="s">
        <v>380</v>
      </c>
      <c r="C1884" s="1302"/>
      <c r="D1884" s="1198">
        <f>VLOOKUP($B1884,dongia1,DG!$B$5,)</f>
        <v>0</v>
      </c>
      <c r="E1884" s="1243" t="str">
        <f>VLOOKUP($B1884,dongia1,DG!$C$5,)</f>
        <v xml:space="preserve">Giá đỡ cáp hạ thế </v>
      </c>
      <c r="F1884" s="1198" t="str">
        <f>VLOOKUP($B1884,dongia1,DG!$D$5,)</f>
        <v>bộ</v>
      </c>
      <c r="G1884" s="1508">
        <f>+G1876*1</f>
        <v>0</v>
      </c>
      <c r="H1884" s="1298">
        <f>VLOOKUP($B1884,dongia1,DG!$F$5,)</f>
        <v>3297534</v>
      </c>
      <c r="I1884" s="1298"/>
      <c r="J1884" s="1298">
        <f>VLOOKUP($B1884,dongia1,DG!$G$5,)</f>
        <v>0</v>
      </c>
      <c r="K1884" s="1298">
        <f>VLOOKUP($B1884,dongia1,DG!$H$5,)</f>
        <v>0</v>
      </c>
      <c r="L1884" s="1298">
        <f t="shared" si="458"/>
        <v>0</v>
      </c>
      <c r="M1884" s="1298">
        <f t="shared" si="459"/>
        <v>0</v>
      </c>
      <c r="N1884" s="1298">
        <f t="shared" si="460"/>
        <v>0</v>
      </c>
      <c r="O1884" s="1298">
        <f t="shared" si="461"/>
        <v>0</v>
      </c>
      <c r="P1884" s="1499"/>
      <c r="Q1884" s="1300"/>
      <c r="R1884" s="1300"/>
      <c r="S1884" s="1300"/>
    </row>
    <row r="1885" spans="1:16381" s="1081" customFormat="1" hidden="1" outlineLevel="1">
      <c r="A1885" s="1072" t="str">
        <f>IF(G1885&lt;&gt;0,1,"")</f>
        <v/>
      </c>
      <c r="B1885" s="1295" t="s">
        <v>561</v>
      </c>
      <c r="C1885" s="1302"/>
      <c r="D1885" s="1198">
        <f>VLOOKUP($B1885,dongia1,DG!$B$5,)</f>
        <v>0</v>
      </c>
      <c r="E1885" s="1243" t="str">
        <f>VLOOKUP($B1885,dongia1,DG!$C$5,)</f>
        <v>Co  90 độ PVC 90 (loại dày)</v>
      </c>
      <c r="F1885" s="1198" t="str">
        <f>VLOOKUP($B1885,dongia1,DG!$D$5,)</f>
        <v>cái</v>
      </c>
      <c r="G1885" s="1508"/>
      <c r="H1885" s="1298">
        <f>VLOOKUP($B1885,dongia1,DG!$F$5,)</f>
        <v>45400</v>
      </c>
      <c r="I1885" s="1298"/>
      <c r="J1885" s="1298">
        <f>VLOOKUP($B1885,dongia1,DG!$G$5,)</f>
        <v>0</v>
      </c>
      <c r="K1885" s="1298">
        <f>VLOOKUP($B1885,dongia1,DG!$H$5,)</f>
        <v>0</v>
      </c>
      <c r="L1885" s="1298">
        <f>H1885*G1885</f>
        <v>0</v>
      </c>
      <c r="M1885" s="1298">
        <f>I1885*G1885</f>
        <v>0</v>
      </c>
      <c r="N1885" s="1298">
        <f>J1885*G1885</f>
        <v>0</v>
      </c>
      <c r="O1885" s="1298">
        <f>K1885*G1885</f>
        <v>0</v>
      </c>
      <c r="P1885" s="1499"/>
      <c r="Q1885" s="1300"/>
      <c r="R1885" s="1300"/>
      <c r="S1885" s="1300"/>
    </row>
    <row r="1886" spans="1:16381" s="1081" customFormat="1" hidden="1" outlineLevel="1">
      <c r="A1886" s="1072" t="str">
        <f>IF(G1886&lt;&gt;0,1,"")</f>
        <v/>
      </c>
      <c r="B1886" s="1295" t="s">
        <v>561</v>
      </c>
      <c r="C1886" s="1302"/>
      <c r="D1886" s="1198">
        <f>VLOOKUP($B1886,dongia1,DG!$B$5,)</f>
        <v>0</v>
      </c>
      <c r="E1886" s="1243" t="str">
        <f>VLOOKUP($B1886,dongia1,DG!$C$5,)</f>
        <v>Co  90 độ PVC 90 (loại dày)</v>
      </c>
      <c r="F1886" s="1198" t="str">
        <f>VLOOKUP($B1886,dongia1,DG!$D$5,)</f>
        <v>cái</v>
      </c>
      <c r="G1886" s="1508"/>
      <c r="H1886" s="1298">
        <f>VLOOKUP($B1886,dongia1,DG!$F$5,)</f>
        <v>45400</v>
      </c>
      <c r="I1886" s="1298"/>
      <c r="J1886" s="1298">
        <f>VLOOKUP($B1886,dongia1,DG!$G$5,)</f>
        <v>0</v>
      </c>
      <c r="K1886" s="1298">
        <f>VLOOKUP($B1886,dongia1,DG!$H$5,)</f>
        <v>0</v>
      </c>
      <c r="L1886" s="1298">
        <f>H1886*G1886</f>
        <v>0</v>
      </c>
      <c r="M1886" s="1298">
        <f>I1886*G1886</f>
        <v>0</v>
      </c>
      <c r="N1886" s="1298">
        <f>J1886*G1886</f>
        <v>0</v>
      </c>
      <c r="O1886" s="1298">
        <f>K1886*G1886</f>
        <v>0</v>
      </c>
      <c r="P1886" s="1499"/>
      <c r="Q1886" s="1300"/>
      <c r="R1886" s="1300"/>
      <c r="S1886" s="1300"/>
    </row>
    <row r="1887" spans="1:16381" s="1081" customFormat="1" hidden="1" outlineLevel="1">
      <c r="A1887" s="1072" t="str">
        <f t="shared" si="457"/>
        <v/>
      </c>
      <c r="B1887" s="1068" t="s">
        <v>2089</v>
      </c>
      <c r="C1887" s="1302"/>
      <c r="D1887" s="1198">
        <f>VLOOKUP($B1887,dongia1,DG!$B$5,)</f>
        <v>0</v>
      </c>
      <c r="E1887" s="1243" t="str">
        <f>VLOOKUP($B1887,dongia1,DG!$C$5,)</f>
        <v>Cổ dê kẹp ống PVC Þ 90</v>
      </c>
      <c r="F1887" s="1198" t="s">
        <v>2113</v>
      </c>
      <c r="G1887" s="1508"/>
      <c r="H1887" s="1298">
        <f>VLOOKUP($B1887,dongia1,DG!$F$5,)</f>
        <v>49000</v>
      </c>
      <c r="I1887" s="1298"/>
      <c r="J1887" s="1298">
        <f>VLOOKUP($B1887,dongia1,DG!$G$5,)</f>
        <v>0</v>
      </c>
      <c r="K1887" s="1298">
        <f>VLOOKUP($B1887,dongia1,DG!$H$5,)</f>
        <v>0</v>
      </c>
      <c r="L1887" s="1298">
        <f t="shared" si="458"/>
        <v>0</v>
      </c>
      <c r="M1887" s="1298">
        <f t="shared" si="459"/>
        <v>0</v>
      </c>
      <c r="N1887" s="1298">
        <f t="shared" si="460"/>
        <v>0</v>
      </c>
      <c r="O1887" s="1298">
        <f t="shared" si="461"/>
        <v>0</v>
      </c>
      <c r="P1887" s="1499"/>
      <c r="Q1887" s="1474"/>
      <c r="R1887" s="1300"/>
      <c r="S1887" s="1300"/>
    </row>
    <row r="1888" spans="1:16381" s="1081" customFormat="1" hidden="1" outlineLevel="1">
      <c r="A1888" s="1072" t="str">
        <f t="shared" si="457"/>
        <v/>
      </c>
      <c r="B1888" s="1295" t="s">
        <v>1259</v>
      </c>
      <c r="C1888" s="1302"/>
      <c r="D1888" s="1198">
        <f>VLOOKUP($B1888,dongia1,DG!$B$5,)</f>
        <v>0</v>
      </c>
      <c r="E1888" s="1243" t="str">
        <f>VLOOKUP($B1888,dongia1,DG!$C$5,)</f>
        <v>Khâu ven răng trong D90</v>
      </c>
      <c r="F1888" s="1198" t="str">
        <f>VLOOKUP($B1888,dongia1,DG!$D$5,)</f>
        <v>cái</v>
      </c>
      <c r="G1888" s="1508"/>
      <c r="H1888" s="1298">
        <f>VLOOKUP($B1888,dongia1,DG!$F$5,)</f>
        <v>25800</v>
      </c>
      <c r="I1888" s="1298"/>
      <c r="J1888" s="1298">
        <f>VLOOKUP($B1888,dongia1,DG!$G$5,)</f>
        <v>0</v>
      </c>
      <c r="K1888" s="1298">
        <f>VLOOKUP($B1888,dongia1,DG!$H$5,)</f>
        <v>0</v>
      </c>
      <c r="L1888" s="1298">
        <f t="shared" si="458"/>
        <v>0</v>
      </c>
      <c r="M1888" s="1298">
        <f t="shared" si="459"/>
        <v>0</v>
      </c>
      <c r="N1888" s="1298">
        <f t="shared" si="460"/>
        <v>0</v>
      </c>
      <c r="O1888" s="1298">
        <f t="shared" si="461"/>
        <v>0</v>
      </c>
      <c r="P1888" s="1499"/>
      <c r="Q1888" s="1300"/>
      <c r="R1888" s="1300"/>
      <c r="S1888" s="1300"/>
    </row>
    <row r="1889" spans="1:19" s="1081" customFormat="1" hidden="1" outlineLevel="1">
      <c r="A1889" s="1072" t="str">
        <f>IF(G1889&lt;&gt;0,1,"")</f>
        <v/>
      </c>
      <c r="B1889" s="1295" t="s">
        <v>4708</v>
      </c>
      <c r="C1889" s="1302"/>
      <c r="D1889" s="1198">
        <f>VLOOKUP($B1889,dongia1,DG!$B$5,)</f>
        <v>0</v>
      </c>
      <c r="E1889" s="1243" t="str">
        <f>VLOOKUP($B1889,dongia1,DG!$C$5,)</f>
        <v>Ống đàn hồi 90 (Ruột gà)</v>
      </c>
      <c r="F1889" s="1198" t="str">
        <f>VLOOKUP($B1889,dongia1,DG!$D$5,)</f>
        <v>m</v>
      </c>
      <c r="G1889" s="1508"/>
      <c r="H1889" s="1298">
        <f>VLOOKUP($B1889,dongia1,DG!$F$5,)</f>
        <v>50000</v>
      </c>
      <c r="I1889" s="1298"/>
      <c r="J1889" s="1298">
        <f>VLOOKUP($B1889,dongia1,DG!$G$5,)</f>
        <v>0</v>
      </c>
      <c r="K1889" s="1298">
        <f>VLOOKUP($B1889,dongia1,DG!$H$5,)</f>
        <v>0</v>
      </c>
      <c r="L1889" s="1298">
        <f>H1889*G1889</f>
        <v>0</v>
      </c>
      <c r="M1889" s="1298">
        <f>I1889*G1889</f>
        <v>0</v>
      </c>
      <c r="N1889" s="1298">
        <f>J1889*G1889</f>
        <v>0</v>
      </c>
      <c r="O1889" s="1298">
        <f>K1889*G1889</f>
        <v>0</v>
      </c>
      <c r="P1889" s="1499"/>
      <c r="Q1889" s="1300"/>
      <c r="R1889" s="1300"/>
      <c r="S1889" s="1300"/>
    </row>
    <row r="1890" spans="1:19" s="1081" customFormat="1" hidden="1" outlineLevel="1">
      <c r="A1890" s="1072" t="str">
        <f t="shared" si="457"/>
        <v/>
      </c>
      <c r="B1890" s="1295" t="s">
        <v>887</v>
      </c>
      <c r="C1890" s="1302"/>
      <c r="D1890" s="1198">
        <f>VLOOKUP($B1890,dongia1,DG!$B$5,)</f>
        <v>0</v>
      </c>
      <c r="E1890" s="1243" t="str">
        <f>VLOOKUP($B1890,dongia1,DG!$C$5,)</f>
        <v>Keo dán ống PVC (100gr)</v>
      </c>
      <c r="F1890" s="1198" t="str">
        <f>VLOOKUP($B1890,dongia1,DG!$D$5,)</f>
        <v>tuýp</v>
      </c>
      <c r="G1890" s="1508"/>
      <c r="H1890" s="1298">
        <f>VLOOKUP($B1890,dongia1,DG!$F$5,)</f>
        <v>11500</v>
      </c>
      <c r="I1890" s="1298"/>
      <c r="J1890" s="1298">
        <f>VLOOKUP($B1890,dongia1,DG!$G$5,)</f>
        <v>0</v>
      </c>
      <c r="K1890" s="1298">
        <f>VLOOKUP($B1890,dongia1,DG!$H$5,)</f>
        <v>0</v>
      </c>
      <c r="L1890" s="1298">
        <f t="shared" si="458"/>
        <v>0</v>
      </c>
      <c r="M1890" s="1298">
        <f t="shared" si="459"/>
        <v>0</v>
      </c>
      <c r="N1890" s="1298">
        <f t="shared" si="460"/>
        <v>0</v>
      </c>
      <c r="O1890" s="1298">
        <f t="shared" si="461"/>
        <v>0</v>
      </c>
      <c r="P1890" s="1499"/>
      <c r="Q1890" s="1300"/>
      <c r="R1890" s="1300"/>
      <c r="S1890" s="1300"/>
    </row>
    <row r="1891" spans="1:19" s="1081" customFormat="1" hidden="1" outlineLevel="1">
      <c r="A1891" s="1072" t="str">
        <f t="shared" si="457"/>
        <v/>
      </c>
      <c r="B1891" s="1068" t="s">
        <v>1690</v>
      </c>
      <c r="C1891" s="1302"/>
      <c r="D1891" s="1198"/>
      <c r="E1891" s="1243" t="str">
        <f>VLOOKUP($B1891,dongia1,DG!$C$5,)</f>
        <v>Keo silicon bít miệng ống</v>
      </c>
      <c r="F1891" s="1198" t="str">
        <f>VLOOKUP($B1891,dongia1,DG!$D$5,)</f>
        <v>chai</v>
      </c>
      <c r="G1891" s="1508"/>
      <c r="H1891" s="1298">
        <f>VLOOKUP($B1891,dongia1,DG!$F$5,)</f>
        <v>45000</v>
      </c>
      <c r="I1891" s="1298"/>
      <c r="J1891" s="1298"/>
      <c r="K1891" s="1298"/>
      <c r="L1891" s="1298">
        <f t="shared" si="458"/>
        <v>0</v>
      </c>
      <c r="M1891" s="1298">
        <f t="shared" si="459"/>
        <v>0</v>
      </c>
      <c r="N1891" s="1298">
        <f t="shared" si="460"/>
        <v>0</v>
      </c>
      <c r="O1891" s="1298">
        <f t="shared" si="461"/>
        <v>0</v>
      </c>
      <c r="P1891" s="1507"/>
      <c r="Q1891" s="1300"/>
      <c r="R1891" s="1300"/>
      <c r="S1891" s="1300"/>
    </row>
    <row r="1892" spans="1:19" s="1081" customFormat="1" hidden="1" outlineLevel="1">
      <c r="A1892" s="1072" t="str">
        <f t="shared" si="457"/>
        <v/>
      </c>
      <c r="B1892" s="1068" t="s">
        <v>442</v>
      </c>
      <c r="C1892" s="1302"/>
      <c r="D1892" s="1198" t="str">
        <f>VLOOKUP($B1892,dongia1,DG!$B$5,)</f>
        <v>T4.8002</v>
      </c>
      <c r="E1892" s="1243" t="str">
        <f>VLOOKUP($B1892,dongia1,DG!$C$5,)</f>
        <v>Lắp gía đỡ cáp</v>
      </c>
      <c r="F1892" s="1198" t="str">
        <f>VLOOKUP($B1892,dongia1,DG!$D$5,)</f>
        <v>bộ</v>
      </c>
      <c r="G1892" s="1508">
        <f>G1884</f>
        <v>0</v>
      </c>
      <c r="H1892" s="1298">
        <f>VLOOKUP($B1892,dongia1,DG!$F$5,)</f>
        <v>0</v>
      </c>
      <c r="I1892" s="1298"/>
      <c r="J1892" s="1298">
        <f>VLOOKUP($B1892,dongia1,DG!$G$5,)</f>
        <v>28219.62</v>
      </c>
      <c r="K1892" s="1298">
        <f>VLOOKUP($B1892,dongia1,DG!$H$5,)</f>
        <v>0</v>
      </c>
      <c r="L1892" s="1298">
        <f t="shared" si="458"/>
        <v>0</v>
      </c>
      <c r="M1892" s="1298">
        <f t="shared" si="459"/>
        <v>0</v>
      </c>
      <c r="N1892" s="1298">
        <f t="shared" si="460"/>
        <v>0</v>
      </c>
      <c r="O1892" s="1298">
        <f t="shared" si="461"/>
        <v>0</v>
      </c>
      <c r="P1892" s="1499"/>
      <c r="Q1892" s="1300"/>
      <c r="R1892" s="1300"/>
      <c r="S1892" s="1300"/>
    </row>
    <row r="1893" spans="1:19" s="1081" customFormat="1" hidden="1" outlineLevel="1">
      <c r="A1893" s="1072" t="str">
        <f>IF(G1893&lt;&gt;0,1,"")</f>
        <v/>
      </c>
      <c r="B1893" s="1068" t="s">
        <v>1346</v>
      </c>
      <c r="C1893" s="1302"/>
      <c r="D1893" s="1198" t="str">
        <f>VLOOKUP($B1893,dongia1,DG!$B$5,)</f>
        <v>T4.4202</v>
      </c>
      <c r="E1893" s="1243" t="str">
        <f>VLOOKUP($B1893,dongia1,DG!$C$5,)</f>
        <v>Lắp cáp đồng xuống thiết bị D ≤ 150mm2</v>
      </c>
      <c r="F1893" s="1198" t="str">
        <f>VLOOKUP($B1893,dongia1,DG!$D$5,)</f>
        <v>m</v>
      </c>
      <c r="G1893" s="1508"/>
      <c r="H1893" s="1298">
        <f>VLOOKUP($B1893,dongia1,DG!$F$5,)</f>
        <v>0</v>
      </c>
      <c r="I1893" s="1298"/>
      <c r="J1893" s="1298">
        <f>VLOOKUP($B1893,dongia1,DG!$G$5,)</f>
        <v>33396</v>
      </c>
      <c r="K1893" s="1298">
        <f>VLOOKUP($B1893,dongia1,DG!$H$5,)</f>
        <v>0</v>
      </c>
      <c r="L1893" s="1298">
        <f>H1893*G1893</f>
        <v>0</v>
      </c>
      <c r="M1893" s="1298">
        <f>I1893*G1893</f>
        <v>0</v>
      </c>
      <c r="N1893" s="1298">
        <f>J1893*G1893</f>
        <v>0</v>
      </c>
      <c r="O1893" s="1298">
        <f>K1893*G1893</f>
        <v>0</v>
      </c>
      <c r="P1893" s="1499"/>
      <c r="Q1893" s="1300"/>
      <c r="R1893" s="1300"/>
      <c r="S1893" s="1300"/>
    </row>
    <row r="1894" spans="1:19" s="1081" customFormat="1" hidden="1" outlineLevel="1">
      <c r="A1894" s="1072" t="str">
        <f t="shared" si="457"/>
        <v/>
      </c>
      <c r="B1894" s="1068" t="s">
        <v>5174</v>
      </c>
      <c r="C1894" s="1302"/>
      <c r="D1894" s="1198" t="str">
        <f>VLOOKUP($B1894,dongia1,DG!$B$5,)</f>
        <v>T4.4204</v>
      </c>
      <c r="E1894" s="1243" t="str">
        <f>VLOOKUP($B1894,dongia1,DG!$C$5,)</f>
        <v>Lắp cáp đồng xuống thiết bị tiết diện ≤ 400mm2</v>
      </c>
      <c r="F1894" s="1198" t="str">
        <f>VLOOKUP($B1894,dongia1,DG!$D$5,)</f>
        <v>m</v>
      </c>
      <c r="G1894" s="1508">
        <f>G1878</f>
        <v>0</v>
      </c>
      <c r="H1894" s="1298">
        <f>VLOOKUP($B1894,dongia1,DG!$F$5,)</f>
        <v>0</v>
      </c>
      <c r="I1894" s="1298"/>
      <c r="J1894" s="1298">
        <f>VLOOKUP($B1894,dongia1,DG!$G$5,)</f>
        <v>66000</v>
      </c>
      <c r="K1894" s="1298">
        <f>VLOOKUP($B1894,dongia1,DG!$H$5,)</f>
        <v>0</v>
      </c>
      <c r="L1894" s="1298">
        <f>H1894*G1894</f>
        <v>0</v>
      </c>
      <c r="M1894" s="1298">
        <f>I1894*G1894</f>
        <v>0</v>
      </c>
      <c r="N1894" s="1298">
        <f>J1894*G1894</f>
        <v>0</v>
      </c>
      <c r="O1894" s="1298">
        <f>K1894*G1894</f>
        <v>0</v>
      </c>
      <c r="P1894" s="1499"/>
      <c r="Q1894" s="1300"/>
      <c r="R1894" s="1300"/>
      <c r="S1894" s="1300"/>
    </row>
    <row r="1895" spans="1:19" s="1081" customFormat="1" hidden="1" outlineLevel="1">
      <c r="A1895" s="1072">
        <f>A1630</f>
        <v>0</v>
      </c>
      <c r="B1895" s="1421"/>
      <c r="C1895" s="1475"/>
      <c r="D1895" s="1476"/>
      <c r="E1895" s="1479"/>
      <c r="F1895" s="1478"/>
      <c r="G1895" s="1478"/>
      <c r="H1895" s="1478"/>
      <c r="I1895" s="1478"/>
      <c r="J1895" s="2469" t="s">
        <v>3388</v>
      </c>
      <c r="K1895" s="2469"/>
      <c r="L1895" s="1480">
        <f>SUM(L1646:L1894)</f>
        <v>0</v>
      </c>
      <c r="M1895" s="1480">
        <f>SUM(M1646:M1894)</f>
        <v>0</v>
      </c>
      <c r="N1895" s="1480">
        <f>SUM(N1646:N1894)</f>
        <v>0</v>
      </c>
      <c r="O1895" s="1480">
        <f>SUM(O1646:O1894)</f>
        <v>0</v>
      </c>
      <c r="P1895" s="1504"/>
      <c r="Q1895" s="1300"/>
      <c r="R1895" s="1300"/>
      <c r="S1895" s="1300"/>
    </row>
    <row r="1896" spans="1:19" s="1081" customFormat="1" hidden="1" outlineLevel="1">
      <c r="A1896" s="1072">
        <f>A1897</f>
        <v>0</v>
      </c>
      <c r="B1896" s="1421"/>
      <c r="C1896" s="1528"/>
      <c r="D1896" s="1528"/>
      <c r="E1896" s="1529"/>
      <c r="F1896" s="1530"/>
      <c r="G1896" s="1530"/>
      <c r="H1896" s="1530"/>
      <c r="I1896" s="1530"/>
      <c r="J1896" s="1531"/>
      <c r="K1896" s="1531"/>
      <c r="L1896" s="1532"/>
      <c r="M1896" s="1532"/>
      <c r="N1896" s="1532"/>
      <c r="O1896" s="1532"/>
      <c r="P1896" s="1533"/>
      <c r="Q1896" s="1300"/>
      <c r="R1896" s="1300"/>
      <c r="S1896" s="1300"/>
    </row>
    <row r="1897" spans="1:19" s="1081" customFormat="1" hidden="1" outlineLevel="1">
      <c r="A1897" s="1072">
        <f>A1911</f>
        <v>0</v>
      </c>
      <c r="B1897" s="1432"/>
      <c r="C1897" s="1336" t="str">
        <f>"BẢNG TỔNG HỢP VẬT LIỆU, NHÂN CÔNG, MÁY THI CÔNG: "&amp;Solieu!$J$42&amp;" TRẠM 3P_400KVA -TRẠM NGỒI"</f>
        <v>BẢNG TỔNG HỢP VẬT LIỆU, NHÂN CÔNG, MÁY THI CÔNG:  TRẠM 3P_400KVA -TRẠM NGỒI</v>
      </c>
      <c r="D1897" s="1494"/>
      <c r="E1897" s="1494"/>
      <c r="F1897" s="1494"/>
      <c r="G1897" s="1494"/>
      <c r="H1897" s="1495"/>
      <c r="I1897" s="1495"/>
      <c r="J1897" s="1495"/>
      <c r="K1897" s="1495"/>
      <c r="L1897" s="1495"/>
      <c r="M1897" s="1495"/>
      <c r="N1897" s="1495"/>
      <c r="O1897" s="1495"/>
      <c r="P1897" s="1496"/>
      <c r="Q1897" s="1300"/>
      <c r="R1897" s="1300"/>
      <c r="S1897" s="1300"/>
    </row>
    <row r="1898" spans="1:19" s="1081" customFormat="1" hidden="1" outlineLevel="1">
      <c r="A1898" s="1072">
        <f>A1897</f>
        <v>0</v>
      </c>
      <c r="B1898" s="1295" t="s">
        <v>308</v>
      </c>
      <c r="C1898" s="2459" t="s">
        <v>1014</v>
      </c>
      <c r="D1898" s="2467" t="s">
        <v>3363</v>
      </c>
      <c r="E1898" s="2457" t="s">
        <v>3364</v>
      </c>
      <c r="F1898" s="2459" t="s">
        <v>3365</v>
      </c>
      <c r="G1898" s="1155" t="s">
        <v>3367</v>
      </c>
      <c r="H1898" s="1156" t="s">
        <v>3368</v>
      </c>
      <c r="I1898" s="1157"/>
      <c r="J1898" s="1157"/>
      <c r="K1898" s="1158"/>
      <c r="L1898" s="1156" t="s">
        <v>3372</v>
      </c>
      <c r="M1898" s="1157"/>
      <c r="N1898" s="1157"/>
      <c r="O1898" s="1158"/>
      <c r="P1898" s="2471" t="s">
        <v>3373</v>
      </c>
      <c r="Q1898" s="1300"/>
      <c r="R1898" s="1300"/>
      <c r="S1898" s="1300"/>
    </row>
    <row r="1899" spans="1:19" s="1081" customFormat="1" hidden="1" outlineLevel="1">
      <c r="A1899" s="1072">
        <f>A1898</f>
        <v>0</v>
      </c>
      <c r="B1899" s="1295"/>
      <c r="C1899" s="2459"/>
      <c r="D1899" s="2468"/>
      <c r="E1899" s="2458"/>
      <c r="F1899" s="2459"/>
      <c r="G1899" s="1160" t="s">
        <v>3366</v>
      </c>
      <c r="H1899" s="1161" t="s">
        <v>393</v>
      </c>
      <c r="I1899" s="1161" t="s">
        <v>3369</v>
      </c>
      <c r="J1899" s="1161" t="s">
        <v>3370</v>
      </c>
      <c r="K1899" s="1161" t="s">
        <v>3371</v>
      </c>
      <c r="L1899" s="1161" t="s">
        <v>393</v>
      </c>
      <c r="M1899" s="1161" t="s">
        <v>3369</v>
      </c>
      <c r="N1899" s="1161" t="s">
        <v>3370</v>
      </c>
      <c r="O1899" s="1161" t="s">
        <v>3371</v>
      </c>
      <c r="P1899" s="2471"/>
      <c r="Q1899" s="1300"/>
      <c r="R1899" s="1300"/>
      <c r="S1899" s="1300"/>
    </row>
    <row r="1900" spans="1:19" s="1081" customFormat="1" hidden="1" outlineLevel="1">
      <c r="A1900" s="1072">
        <f>A1911</f>
        <v>0</v>
      </c>
      <c r="B1900" s="1295"/>
      <c r="C1900" s="1162"/>
      <c r="D1900" s="1163"/>
      <c r="E1900" s="1164" t="s">
        <v>3375</v>
      </c>
      <c r="F1900" s="1165"/>
      <c r="G1900" s="1165"/>
      <c r="H1900" s="1165"/>
      <c r="I1900" s="1165"/>
      <c r="J1900" s="1165"/>
      <c r="K1900" s="1165"/>
      <c r="L1900" s="1165"/>
      <c r="M1900" s="1165"/>
      <c r="N1900" s="1165"/>
      <c r="O1900" s="1163"/>
      <c r="P1900" s="1394"/>
      <c r="Q1900" s="1300"/>
      <c r="R1900" s="1300"/>
      <c r="S1900" s="1300"/>
    </row>
    <row r="1901" spans="1:19" s="1081" customFormat="1" hidden="1" outlineLevel="1">
      <c r="A1901" s="1072" t="str">
        <f>IF(G1901&lt;&gt;0,1,"")</f>
        <v/>
      </c>
      <c r="B1901" s="1435" t="str">
        <f>IF($F$8=15,"tr400","tr4001")</f>
        <v>tr4001</v>
      </c>
      <c r="C1901" s="1302">
        <f>IF(G1901&gt;0,1,0)</f>
        <v>0</v>
      </c>
      <c r="D1901" s="1198" t="str">
        <f>VLOOKUP($B1901,dongia1,DG!$B$5,)</f>
        <v>T1.1416</v>
      </c>
      <c r="E1901" s="1243" t="str">
        <f>VLOOKUP($B1901,dongia1,DG!$C$5,)</f>
        <v>Máy biến áp 22/0,4kV- 400kVA</v>
      </c>
      <c r="F1901" s="1198" t="str">
        <f>VLOOKUP($B1901,dongia1,DG!$D$5,)</f>
        <v>máy</v>
      </c>
      <c r="G1901" s="1514">
        <f>Solieu!$J$42</f>
        <v>0</v>
      </c>
      <c r="H1901" s="1399">
        <f>VLOOKUP($B1901,dongia1,DG!$E$5,)</f>
        <v>388431450</v>
      </c>
      <c r="I1901" s="1399"/>
      <c r="J1901" s="1399">
        <f>VLOOKUP($B1901,dongia1,DG!$G$5,)</f>
        <v>1660532</v>
      </c>
      <c r="K1901" s="1399">
        <f>VLOOKUP($B1901,dongia1,DG!$H$5,)</f>
        <v>361106</v>
      </c>
      <c r="L1901" s="1400">
        <f t="shared" ref="L1901:L1910" si="462">H1901*G1901</f>
        <v>0</v>
      </c>
      <c r="M1901" s="1400">
        <f t="shared" ref="M1901:M1910" si="463">I1901*G1901</f>
        <v>0</v>
      </c>
      <c r="N1901" s="1400">
        <f t="shared" ref="N1901:N1910" si="464">J1901*G1901</f>
        <v>0</v>
      </c>
      <c r="O1901" s="1401">
        <f t="shared" ref="O1901:O1910" si="465">K1901*G1901</f>
        <v>0</v>
      </c>
      <c r="P1901" s="1498"/>
      <c r="Q1901" s="1300"/>
      <c r="R1901" s="1300"/>
      <c r="S1901" s="1300"/>
    </row>
    <row r="1902" spans="1:19" s="1081" customFormat="1" hidden="1" outlineLevel="1">
      <c r="A1902" s="1072" t="str">
        <f>IF(G1902&lt;&gt;0,1,"")</f>
        <v/>
      </c>
      <c r="B1902" s="1167" t="str">
        <f>"FCO100-"&amp;$F$8</f>
        <v>FCO100-22</v>
      </c>
      <c r="C1902" s="1302">
        <f>IF(G1902&gt;0,C1901+1,C1901)</f>
        <v>0</v>
      </c>
      <c r="D1902" s="1198" t="str">
        <f>VLOOKUP($B1902,dongia1,DG!$B$5,)</f>
        <v>T2.3501</v>
      </c>
      <c r="E1902" s="1243" t="str">
        <f>VLOOKUP($B1902,dongia1,DG!$C$5,)</f>
        <v>FCO 24kV - 100A</v>
      </c>
      <c r="F1902" s="1198" t="str">
        <f>VLOOKUP($B1902,dongia1,DG!$D$5,)</f>
        <v>cái</v>
      </c>
      <c r="G1902" s="1508">
        <f>G1901*3</f>
        <v>0</v>
      </c>
      <c r="H1902" s="1298">
        <f>VLOOKUP($B1902,dongia1,DG!$E$5,)</f>
        <v>2244280</v>
      </c>
      <c r="I1902" s="1298">
        <f>VLOOKUP($B1902,dongia1,DG!$F$5,)*0</f>
        <v>0</v>
      </c>
      <c r="J1902" s="1298">
        <f>VLOOKUP($B1902,dongia1,DG!$G$5,)</f>
        <v>222639.99999999997</v>
      </c>
      <c r="K1902" s="1298">
        <f>VLOOKUP($B1902,dongia1,DG!$H$5,)</f>
        <v>0</v>
      </c>
      <c r="L1902" s="1298">
        <f t="shared" si="462"/>
        <v>0</v>
      </c>
      <c r="M1902" s="1298">
        <f t="shared" si="463"/>
        <v>0</v>
      </c>
      <c r="N1902" s="1298">
        <f t="shared" si="464"/>
        <v>0</v>
      </c>
      <c r="O1902" s="1298">
        <f t="shared" si="465"/>
        <v>0</v>
      </c>
      <c r="P1902" s="1499"/>
      <c r="Q1902" s="1300"/>
      <c r="R1902" s="1300"/>
      <c r="S1902" s="1300"/>
    </row>
    <row r="1903" spans="1:19" s="1081" customFormat="1" hidden="1" outlineLevel="1">
      <c r="A1903" s="1072" t="str">
        <f t="shared" ref="A1903:A1909" si="466">IF(G1903&lt;&gt;0,1,"")</f>
        <v/>
      </c>
      <c r="B1903" s="1435" t="str">
        <f>IF($F$8=15,"chi25k","chi15k")</f>
        <v>chi15k</v>
      </c>
      <c r="C1903" s="1302">
        <f>IF(G1903&gt;0,C1902+1,C1902)</f>
        <v>0</v>
      </c>
      <c r="D1903" s="1198">
        <f>VLOOKUP($B1903,dongia1,DG!$B$5,)</f>
        <v>0</v>
      </c>
      <c r="E1903" s="1243" t="str">
        <f>VLOOKUP($B1903,dongia1,DG!$C$5,)</f>
        <v>Dây chảy 15K</v>
      </c>
      <c r="F1903" s="1198" t="str">
        <f>VLOOKUP($B1903,dongia1,DG!$D$5,)</f>
        <v>Sợi</v>
      </c>
      <c r="G1903" s="1508">
        <f>G1901*3</f>
        <v>0</v>
      </c>
      <c r="H1903" s="1298">
        <f>VLOOKUP($B1903,dongia1,DG!$F$5,)</f>
        <v>103000</v>
      </c>
      <c r="I1903" s="1298">
        <f>VLOOKUP($B1903,dongia1,DG!$F$5,)*0</f>
        <v>0</v>
      </c>
      <c r="J1903" s="1298">
        <f>VLOOKUP($B1903,dongia1,DG!$G$5,)</f>
        <v>0</v>
      </c>
      <c r="K1903" s="1298">
        <f>VLOOKUP($B1903,dongia1,DG!$H$5,)</f>
        <v>0</v>
      </c>
      <c r="L1903" s="1298">
        <f t="shared" si="462"/>
        <v>0</v>
      </c>
      <c r="M1903" s="1298">
        <f t="shared" si="463"/>
        <v>0</v>
      </c>
      <c r="N1903" s="1298">
        <f t="shared" si="464"/>
        <v>0</v>
      </c>
      <c r="O1903" s="1298">
        <f t="shared" si="465"/>
        <v>0</v>
      </c>
      <c r="P1903" s="1499"/>
      <c r="Q1903" s="1300"/>
      <c r="R1903" s="1300"/>
      <c r="S1903" s="1300"/>
    </row>
    <row r="1904" spans="1:19" s="1081" customFormat="1" hidden="1" outlineLevel="1">
      <c r="A1904" s="1072" t="str">
        <f t="shared" si="466"/>
        <v/>
      </c>
      <c r="B1904" s="1295" t="str">
        <f>"LA"&amp;$F$6</f>
        <v>LA18</v>
      </c>
      <c r="C1904" s="1302">
        <f t="shared" ref="C1904:C1910" si="467">IF(G1904&gt;0,C1903+1,C1903)</f>
        <v>0</v>
      </c>
      <c r="D1904" s="1198" t="str">
        <f>VLOOKUP($B1904,dongia1,DG!$B$5,)</f>
        <v>T2.5004</v>
      </c>
      <c r="E1904" s="1243" t="str">
        <f>VLOOKUP($B1904,dongia1,DG!$C$5,)</f>
        <v>LA 18kV 10kA</v>
      </c>
      <c r="F1904" s="1198" t="str">
        <f>VLOOKUP($B1904,dongia1,DG!$D$5,)</f>
        <v>cái</v>
      </c>
      <c r="G1904" s="1508">
        <f>G1901*3</f>
        <v>0</v>
      </c>
      <c r="H1904" s="1298">
        <f>VLOOKUP($B1904,dongia1,DG!$E$5,)</f>
        <v>1106000</v>
      </c>
      <c r="I1904" s="1298">
        <f>VLOOKUP($B1904,dongia1,DG!$F$5,)*0</f>
        <v>0</v>
      </c>
      <c r="J1904" s="1298">
        <f>VLOOKUP($B1904,dongia1,DG!$G$5,)</f>
        <v>83490</v>
      </c>
      <c r="K1904" s="1298">
        <f>VLOOKUP($B1904,dongia1,DG!$H$5,)</f>
        <v>0</v>
      </c>
      <c r="L1904" s="1298">
        <f t="shared" si="462"/>
        <v>0</v>
      </c>
      <c r="M1904" s="1298">
        <f t="shared" si="463"/>
        <v>0</v>
      </c>
      <c r="N1904" s="1298">
        <f t="shared" si="464"/>
        <v>0</v>
      </c>
      <c r="O1904" s="1298">
        <f t="shared" si="465"/>
        <v>0</v>
      </c>
      <c r="P1904" s="1499"/>
      <c r="Q1904" s="1300"/>
      <c r="R1904" s="1300"/>
      <c r="S1904" s="1300"/>
    </row>
    <row r="1905" spans="1:19" s="1081" customFormat="1" hidden="1" outlineLevel="1">
      <c r="A1905" s="1072" t="str">
        <f t="shared" si="466"/>
        <v/>
      </c>
      <c r="B1905" s="1397" t="s">
        <v>841</v>
      </c>
      <c r="C1905" s="1302">
        <f t="shared" si="467"/>
        <v>0</v>
      </c>
      <c r="D1905" s="1198" t="str">
        <f>VLOOKUP($B1905,dongia1,DG!$B$5,)</f>
        <v>T2.8407</v>
      </c>
      <c r="E1905" s="1243" t="str">
        <f>VLOOKUP($B1905,dongia1,DG!$C$5,)</f>
        <v>MCCB 3 cực 400V -630A - 50KA (chỉnh định dòng)</v>
      </c>
      <c r="F1905" s="1198" t="str">
        <f>VLOOKUP($B1905,dongia1,DG!$D$5,)</f>
        <v>cái</v>
      </c>
      <c r="G1905" s="1304">
        <f>G1901*0</f>
        <v>0</v>
      </c>
      <c r="H1905" s="1298">
        <f>VLOOKUP($B1905,dongia1,DG!$E$5,)</f>
        <v>25594000</v>
      </c>
      <c r="I1905" s="1298">
        <f>VLOOKUP($B1905,dongia1,DG!$F$5,)*0</f>
        <v>0</v>
      </c>
      <c r="J1905" s="1298">
        <f>VLOOKUP($B1905,dongia1,DG!$G$5,)</f>
        <v>1391500</v>
      </c>
      <c r="K1905" s="1298">
        <f>VLOOKUP($B1905,dongia1,DG!$H$5,)</f>
        <v>0</v>
      </c>
      <c r="L1905" s="1298">
        <f t="shared" si="462"/>
        <v>0</v>
      </c>
      <c r="M1905" s="1298">
        <f t="shared" si="463"/>
        <v>0</v>
      </c>
      <c r="N1905" s="1298">
        <f t="shared" si="464"/>
        <v>0</v>
      </c>
      <c r="O1905" s="1298">
        <f t="shared" si="465"/>
        <v>0</v>
      </c>
      <c r="P1905" s="1437"/>
      <c r="Q1905" s="1300"/>
      <c r="R1905" s="1300"/>
      <c r="S1905" s="1300"/>
    </row>
    <row r="1906" spans="1:19" s="1081" customFormat="1" hidden="1" outlineLevel="1">
      <c r="A1906" s="1072" t="str">
        <f t="shared" si="466"/>
        <v/>
      </c>
      <c r="B1906" s="1397" t="s">
        <v>215</v>
      </c>
      <c r="C1906" s="1302">
        <f t="shared" si="467"/>
        <v>0</v>
      </c>
      <c r="D1906" s="1198" t="str">
        <f>VLOOKUP($B1906,dongia1,DG!$B$5,)</f>
        <v>T2.8405</v>
      </c>
      <c r="E1906" s="1243" t="str">
        <f>VLOOKUP($B1906,dongia1,DG!$C$5,)</f>
        <v>MCCB 3 cực 400V -400A - 50KA (chỉnh định dòng)</v>
      </c>
      <c r="F1906" s="1198" t="str">
        <f>VLOOKUP($B1906,dongia1,DG!$D$5,)</f>
        <v>cái</v>
      </c>
      <c r="G1906" s="1508">
        <f>G1901*2</f>
        <v>0</v>
      </c>
      <c r="H1906" s="1298">
        <f>VLOOKUP($B1906,dongia1,DG!$E$5,)</f>
        <v>7180000</v>
      </c>
      <c r="I1906" s="1298">
        <f>VLOOKUP($B1906,dongia1,DG!$F$5,)*0</f>
        <v>0</v>
      </c>
      <c r="J1906" s="1298">
        <f>VLOOKUP($B1906,dongia1,DG!$G$5,)</f>
        <v>974050</v>
      </c>
      <c r="K1906" s="1298">
        <f>VLOOKUP($B1906,dongia1,DG!$H$5,)</f>
        <v>0</v>
      </c>
      <c r="L1906" s="1298">
        <f t="shared" si="462"/>
        <v>0</v>
      </c>
      <c r="M1906" s="1298">
        <f t="shared" si="463"/>
        <v>0</v>
      </c>
      <c r="N1906" s="1298">
        <f t="shared" si="464"/>
        <v>0</v>
      </c>
      <c r="O1906" s="1298">
        <f t="shared" si="465"/>
        <v>0</v>
      </c>
      <c r="P1906" s="1499"/>
      <c r="Q1906" s="1300"/>
      <c r="R1906" s="1300"/>
      <c r="S1906" s="1300"/>
    </row>
    <row r="1907" spans="1:19" s="1081" customFormat="1" hidden="1" outlineLevel="1">
      <c r="A1907" s="1072" t="str">
        <f t="shared" si="466"/>
        <v/>
      </c>
      <c r="B1907" s="1397" t="s">
        <v>840</v>
      </c>
      <c r="C1907" s="1302">
        <f t="shared" si="467"/>
        <v>0</v>
      </c>
      <c r="D1907" s="1198" t="str">
        <f>VLOOKUP($B1907,dongia1,DG!$B$5,)</f>
        <v>02.8505c</v>
      </c>
      <c r="E1907" s="1243" t="str">
        <f>VLOOKUP($B1907,dongia1,DG!$C$5,)</f>
        <v>Tủ tụ bù hạ thế 160kVAr</v>
      </c>
      <c r="F1907" s="1198" t="str">
        <f>VLOOKUP($B1907,dongia1,DG!$D$5,)</f>
        <v>tủ</v>
      </c>
      <c r="G1907" s="1304">
        <f>G1901*0</f>
        <v>0</v>
      </c>
      <c r="H1907" s="1298">
        <f>VLOOKUP($B1907,dongia1,DG!$E$5,)</f>
        <v>20800000</v>
      </c>
      <c r="I1907" s="1298">
        <f>VLOOKUP($B1907,dongia1,DG!$F$5,)</f>
        <v>310.8</v>
      </c>
      <c r="J1907" s="1298">
        <f>VLOOKUP($B1907,dongia1,DG!$G$5,)</f>
        <v>20659.099999999999</v>
      </c>
      <c r="K1907" s="1298">
        <f>VLOOKUP($B1907,dongia1,DG!$H$5,)</f>
        <v>5769.4</v>
      </c>
      <c r="L1907" s="1298">
        <f t="shared" si="462"/>
        <v>0</v>
      </c>
      <c r="M1907" s="1298">
        <f t="shared" si="463"/>
        <v>0</v>
      </c>
      <c r="N1907" s="1298">
        <f t="shared" si="464"/>
        <v>0</v>
      </c>
      <c r="O1907" s="1298">
        <f t="shared" si="465"/>
        <v>0</v>
      </c>
      <c r="P1907" s="1437"/>
      <c r="Q1907" s="1300"/>
      <c r="R1907" s="1300"/>
      <c r="S1907" s="1300"/>
    </row>
    <row r="1908" spans="1:19" s="1081" customFormat="1" hidden="1" outlineLevel="1">
      <c r="A1908" s="1072" t="str">
        <f t="shared" si="466"/>
        <v/>
      </c>
      <c r="B1908" s="1435" t="s">
        <v>106</v>
      </c>
      <c r="C1908" s="1302">
        <f t="shared" si="467"/>
        <v>0</v>
      </c>
      <c r="D1908" s="1198">
        <f>VLOOKUP($B1908,dongia1,DG!$B$5,)</f>
        <v>0</v>
      </c>
      <c r="E1908" s="1243" t="str">
        <f>VLOOKUP($B1908,dongia1,DG!$C$5,)</f>
        <v>Biến dòng 600V - 600/5A</v>
      </c>
      <c r="F1908" s="1198" t="str">
        <f>VLOOKUP($B1908,dongia1,DG!$D$5,)</f>
        <v>cái</v>
      </c>
      <c r="G1908" s="1515">
        <f>G1901*3*0</f>
        <v>0</v>
      </c>
      <c r="H1908" s="1298">
        <f>VLOOKUP($B1908,dongia1,DG!$E$5,)*0</f>
        <v>0</v>
      </c>
      <c r="I1908" s="1298">
        <f>VLOOKUP($B1908,dongia1,DG!$F$5,)*0</f>
        <v>0</v>
      </c>
      <c r="J1908" s="1298">
        <f>VLOOKUP($B1908,dongia1,DG!$G$5,)</f>
        <v>0</v>
      </c>
      <c r="K1908" s="1298">
        <f>VLOOKUP($B1908,dongia1,DG!$H$5,)</f>
        <v>0</v>
      </c>
      <c r="L1908" s="1298">
        <f t="shared" si="462"/>
        <v>0</v>
      </c>
      <c r="M1908" s="1298">
        <f t="shared" si="463"/>
        <v>0</v>
      </c>
      <c r="N1908" s="1298">
        <f t="shared" si="464"/>
        <v>0</v>
      </c>
      <c r="O1908" s="1298">
        <f t="shared" si="465"/>
        <v>0</v>
      </c>
      <c r="P1908" s="1439" t="s">
        <v>3471</v>
      </c>
      <c r="Q1908" s="1300"/>
      <c r="R1908" s="1300"/>
      <c r="S1908" s="1300"/>
    </row>
    <row r="1909" spans="1:19" s="1081" customFormat="1" hidden="1" outlineLevel="1">
      <c r="A1909" s="1072" t="str">
        <f t="shared" si="466"/>
        <v/>
      </c>
      <c r="B1909" s="1435" t="s">
        <v>106</v>
      </c>
      <c r="C1909" s="1302">
        <f t="shared" si="467"/>
        <v>0</v>
      </c>
      <c r="D1909" s="1198">
        <f>VLOOKUP($B1909,dongia1,DG!$B$5,)</f>
        <v>0</v>
      </c>
      <c r="E1909" s="1243" t="str">
        <f>VLOOKUP($B1909,dongia1,DG!$C$5,)</f>
        <v>Biến dòng 600V - 600/5A</v>
      </c>
      <c r="F1909" s="1198" t="str">
        <f>VLOOKUP($B1909,dongia1,DG!$D$5,)</f>
        <v>cái</v>
      </c>
      <c r="G1909" s="1516">
        <f>G1901*3</f>
        <v>0</v>
      </c>
      <c r="H1909" s="1298">
        <f>VLOOKUP($B1909,dongia1,DG!$E$5,)*0</f>
        <v>0</v>
      </c>
      <c r="I1909" s="1298">
        <f>VLOOKUP($B1909,dongia1,DG!$F$5,)*0</f>
        <v>0</v>
      </c>
      <c r="J1909" s="1298">
        <f>VLOOKUP($B1909,dongia1,DG!$G$5,)</f>
        <v>0</v>
      </c>
      <c r="K1909" s="1298">
        <f>VLOOKUP($B1909,dongia1,DG!$H$5,)</f>
        <v>0</v>
      </c>
      <c r="L1909" s="1298">
        <f t="shared" si="462"/>
        <v>0</v>
      </c>
      <c r="M1909" s="1298">
        <f t="shared" si="463"/>
        <v>0</v>
      </c>
      <c r="N1909" s="1298">
        <f t="shared" si="464"/>
        <v>0</v>
      </c>
      <c r="O1909" s="1298">
        <f t="shared" si="465"/>
        <v>0</v>
      </c>
      <c r="P1909" s="1501" t="s">
        <v>3471</v>
      </c>
      <c r="Q1909" s="1300"/>
      <c r="R1909" s="1300"/>
      <c r="S1909" s="1300"/>
    </row>
    <row r="1910" spans="1:19" s="1081" customFormat="1" hidden="1" outlineLevel="1">
      <c r="A1910" s="1072" t="str">
        <f>IF(G1910&lt;&gt;0,1,"")</f>
        <v/>
      </c>
      <c r="B1910" s="1068" t="s">
        <v>839</v>
      </c>
      <c r="C1910" s="1302">
        <f t="shared" si="467"/>
        <v>0</v>
      </c>
      <c r="D1910" s="1198">
        <f>VLOOKUP($B1910,dongia1,DG!$B$5,)</f>
        <v>0</v>
      </c>
      <c r="E1910" s="1243" t="str">
        <f>VLOOKUP($B1910,dongia1,DG!$C$5,)</f>
        <v>Điện kế 3 pha 4 dây 220/380V-5A</v>
      </c>
      <c r="F1910" s="1198" t="str">
        <f>VLOOKUP($B1910,dongia1,DG!$D$5,)</f>
        <v>cái</v>
      </c>
      <c r="G1910" s="1516">
        <f>G1901</f>
        <v>0</v>
      </c>
      <c r="H1910" s="1298">
        <f>VLOOKUP($B1910,dongia1,DG!$E$5,)*0</f>
        <v>0</v>
      </c>
      <c r="I1910" s="1298">
        <f>VLOOKUP($B1910,dongia1,DG!$F$5,)*0</f>
        <v>0</v>
      </c>
      <c r="J1910" s="1298">
        <f>VLOOKUP($B1910,dongia1,DG!$G$5,)*0</f>
        <v>0</v>
      </c>
      <c r="K1910" s="1298">
        <f>VLOOKUP($B1910,dongia1,DG!$H$5,)</f>
        <v>0</v>
      </c>
      <c r="L1910" s="1298">
        <f t="shared" si="462"/>
        <v>0</v>
      </c>
      <c r="M1910" s="1400">
        <f t="shared" si="463"/>
        <v>0</v>
      </c>
      <c r="N1910" s="1400">
        <f t="shared" si="464"/>
        <v>0</v>
      </c>
      <c r="O1910" s="1401">
        <f t="shared" si="465"/>
        <v>0</v>
      </c>
      <c r="P1910" s="1502" t="s">
        <v>3471</v>
      </c>
      <c r="Q1910" s="1300"/>
      <c r="R1910" s="1300"/>
      <c r="S1910" s="1300"/>
    </row>
    <row r="1911" spans="1:19" s="1081" customFormat="1" hidden="1" outlineLevel="1">
      <c r="A1911" s="1072">
        <f>IF(SUM(L1911:O1911)&gt;0,1,)</f>
        <v>0</v>
      </c>
      <c r="B1911" s="1295"/>
      <c r="C1911" s="1441"/>
      <c r="D1911" s="1442"/>
      <c r="E1911" s="1443"/>
      <c r="F1911" s="1444"/>
      <c r="G1911" s="1503"/>
      <c r="H1911" s="1444"/>
      <c r="I1911" s="1444"/>
      <c r="J1911" s="1183" t="s">
        <v>3387</v>
      </c>
      <c r="K1911" s="1444"/>
      <c r="L1911" s="1446">
        <f>SUM(L1901:L1910)</f>
        <v>0</v>
      </c>
      <c r="M1911" s="1446">
        <f>SUM(M1901:M1910)</f>
        <v>0</v>
      </c>
      <c r="N1911" s="1446">
        <f>SUM(N1901:N1910)</f>
        <v>0</v>
      </c>
      <c r="O1911" s="1446">
        <f>SUM(O1901:O1910)</f>
        <v>0</v>
      </c>
      <c r="P1911" s="1504"/>
      <c r="Q1911" s="1300"/>
      <c r="R1911" s="1300"/>
      <c r="S1911" s="1300"/>
    </row>
    <row r="1912" spans="1:19" s="1081" customFormat="1" hidden="1" outlineLevel="1">
      <c r="A1912" s="1072"/>
      <c r="B1912" s="1295"/>
      <c r="C1912" s="1448"/>
      <c r="D1912" s="1449"/>
      <c r="E1912" s="1450" t="s">
        <v>3376</v>
      </c>
      <c r="F1912" s="1450"/>
      <c r="G1912" s="1505"/>
      <c r="H1912" s="1450"/>
      <c r="I1912" s="1450"/>
      <c r="J1912" s="1450"/>
      <c r="K1912" s="1450"/>
      <c r="L1912" s="1450"/>
      <c r="M1912" s="1450"/>
      <c r="N1912" s="1450"/>
      <c r="O1912" s="1449"/>
      <c r="P1912" s="1504"/>
      <c r="Q1912" s="1300"/>
      <c r="R1912" s="1300"/>
      <c r="S1912" s="1300"/>
    </row>
    <row r="1913" spans="1:19" s="1081" customFormat="1" hidden="1" outlineLevel="1">
      <c r="A1913" s="1072" t="str">
        <f t="shared" ref="A1913:A1931" si="468">IF(G1913&lt;&gt;0,1,"")</f>
        <v/>
      </c>
      <c r="B1913" s="1452"/>
      <c r="C1913" s="1453">
        <f>IF(G1913&gt;0,1,0)</f>
        <v>0</v>
      </c>
      <c r="D1913" s="1198"/>
      <c r="E1913" s="1454" t="s">
        <v>3377</v>
      </c>
      <c r="F1913" s="1455" t="s">
        <v>1133</v>
      </c>
      <c r="G1913" s="1517"/>
      <c r="H1913" s="1455"/>
      <c r="I1913" s="1455"/>
      <c r="J1913" s="1455"/>
      <c r="K1913" s="1455"/>
      <c r="L1913" s="1456"/>
      <c r="M1913" s="1456"/>
      <c r="N1913" s="1456"/>
      <c r="O1913" s="1457"/>
      <c r="P1913" s="1437"/>
      <c r="Q1913" s="1300"/>
      <c r="R1913" s="1300"/>
      <c r="S1913" s="1300"/>
    </row>
    <row r="1914" spans="1:19" s="1081" customFormat="1" hidden="1" outlineLevel="1">
      <c r="A1914" s="1072" t="str">
        <f t="shared" si="468"/>
        <v/>
      </c>
      <c r="B1914" s="1421" t="s">
        <v>1012</v>
      </c>
      <c r="C1914" s="1458"/>
      <c r="D1914" s="1198"/>
      <c r="E1914" s="1459" t="str">
        <f>VLOOKUP($B1914,dongia1,DG!$C$5,)</f>
        <v>Trụ BTLT 12m F350 dự ứng lực</v>
      </c>
      <c r="F1914" s="1198" t="str">
        <f>VLOOKUP($B1914,dongia1,DG!$D$5,)</f>
        <v>trụ</v>
      </c>
      <c r="G1914" s="1518">
        <f>G1913</f>
        <v>0</v>
      </c>
      <c r="H1914" s="1399">
        <f>VLOOKUP($B1914,dongia1,DG!$F$5,)</f>
        <v>4400000</v>
      </c>
      <c r="I1914" s="1291"/>
      <c r="J1914" s="1399"/>
      <c r="K1914" s="1291"/>
      <c r="L1914" s="1400">
        <f>H1914*G1914</f>
        <v>0</v>
      </c>
      <c r="M1914" s="1400">
        <f>I1914*G1914</f>
        <v>0</v>
      </c>
      <c r="N1914" s="1400">
        <f>J1914*G1914</f>
        <v>0</v>
      </c>
      <c r="O1914" s="1400">
        <f>K1914*G1914</f>
        <v>0</v>
      </c>
      <c r="P1914" s="1437"/>
      <c r="Q1914" s="1300"/>
      <c r="R1914" s="1300"/>
      <c r="S1914" s="1300"/>
    </row>
    <row r="1915" spans="1:19" s="1081" customFormat="1" hidden="1" outlineLevel="1">
      <c r="A1915" s="1072" t="str">
        <f t="shared" si="468"/>
        <v/>
      </c>
      <c r="B1915" s="1421" t="s">
        <v>1457</v>
      </c>
      <c r="C1915" s="1458"/>
      <c r="D1915" s="1198"/>
      <c r="E1915" s="1459" t="str">
        <f>VLOOKUP($B1915,dongia1,DG!$C$5,)</f>
        <v>Vật liệu dựng trụ</v>
      </c>
      <c r="F1915" s="1198" t="str">
        <f>VLOOKUP($B1915,dongia1,DG!$D$5,)</f>
        <v>trụ</v>
      </c>
      <c r="G1915" s="1518">
        <f>G1914</f>
        <v>0</v>
      </c>
      <c r="H1915" s="1399">
        <f>VLOOKUP($B1915,dongia1,DG!$F$5,)</f>
        <v>17400</v>
      </c>
      <c r="I1915" s="1399"/>
      <c r="J1915" s="1291"/>
      <c r="K1915" s="1291"/>
      <c r="L1915" s="1400">
        <f>H1915*G1915</f>
        <v>0</v>
      </c>
      <c r="M1915" s="1400">
        <f>I1915*G1915</f>
        <v>0</v>
      </c>
      <c r="N1915" s="1400">
        <f>J1915*G1915</f>
        <v>0</v>
      </c>
      <c r="O1915" s="1400">
        <f>K1915*G1915</f>
        <v>0</v>
      </c>
      <c r="P1915" s="1437"/>
      <c r="Q1915" s="1300"/>
      <c r="R1915" s="1300"/>
      <c r="S1915" s="1300"/>
    </row>
    <row r="1916" spans="1:19" s="1081" customFormat="1" hidden="1" outlineLevel="1">
      <c r="A1916" s="1072" t="str">
        <f t="shared" si="468"/>
        <v/>
      </c>
      <c r="B1916" s="1421" t="s">
        <v>1701</v>
      </c>
      <c r="C1916" s="1458"/>
      <c r="D1916" s="1198" t="str">
        <f>VLOOKUP($B1916,dongia1,DG!$B$5,)</f>
        <v>04.9203</v>
      </c>
      <c r="E1916" s="1459" t="str">
        <f>VLOOKUP($B1916,dongia1,DG!$C$5,)</f>
        <v>Dựng trụ BTLT 12m trong TBA bằng thủ công + cơ giới</v>
      </c>
      <c r="F1916" s="1198" t="str">
        <f>VLOOKUP($B1916,dongia1,DG!$D$5,)</f>
        <v>trụ</v>
      </c>
      <c r="G1916" s="1518">
        <f>G1914</f>
        <v>0</v>
      </c>
      <c r="H1916" s="1459"/>
      <c r="I1916" s="1399"/>
      <c r="J1916" s="1399">
        <f>VLOOKUP($B1916,dongia1,DG!$G$5,)</f>
        <v>112286</v>
      </c>
      <c r="K1916" s="1399">
        <f>VLOOKUP($B1916,dongia1,DG!$H$5,)</f>
        <v>105970</v>
      </c>
      <c r="L1916" s="1400">
        <f>H1916*G1916</f>
        <v>0</v>
      </c>
      <c r="M1916" s="1400">
        <f>I1916*G1916</f>
        <v>0</v>
      </c>
      <c r="N1916" s="1400">
        <f>J1916*G1916</f>
        <v>0</v>
      </c>
      <c r="O1916" s="1400">
        <f>K1916*G1916</f>
        <v>0</v>
      </c>
      <c r="P1916" s="1437"/>
      <c r="Q1916" s="1300"/>
      <c r="R1916" s="1300"/>
      <c r="S1916" s="1300"/>
    </row>
    <row r="1917" spans="1:19" s="1081" customFormat="1" hidden="1" outlineLevel="1">
      <c r="A1917" s="1072" t="str">
        <f t="shared" si="468"/>
        <v/>
      </c>
      <c r="B1917" s="1452"/>
      <c r="C1917" s="1453">
        <f>IF(G1917&gt;0,1,0)</f>
        <v>0</v>
      </c>
      <c r="D1917" s="1198"/>
      <c r="E1917" s="1454" t="s">
        <v>3389</v>
      </c>
      <c r="F1917" s="1455" t="s">
        <v>1133</v>
      </c>
      <c r="G1917" s="1517">
        <f>G1901*1*0</f>
        <v>0</v>
      </c>
      <c r="H1917" s="1455"/>
      <c r="I1917" s="1455"/>
      <c r="J1917" s="1455"/>
      <c r="K1917" s="1455"/>
      <c r="L1917" s="1456"/>
      <c r="M1917" s="1456"/>
      <c r="N1917" s="1456"/>
      <c r="O1917" s="1457"/>
      <c r="P1917" s="1299"/>
      <c r="Q1917" s="1300"/>
      <c r="R1917" s="1300"/>
      <c r="S1917" s="1300"/>
    </row>
    <row r="1918" spans="1:19" s="1081" customFormat="1" hidden="1" outlineLevel="1">
      <c r="A1918" s="1072" t="str">
        <f t="shared" si="468"/>
        <v/>
      </c>
      <c r="B1918" s="1421" t="s">
        <v>1011</v>
      </c>
      <c r="C1918" s="1458"/>
      <c r="D1918" s="1198"/>
      <c r="E1918" s="1459" t="str">
        <f>VLOOKUP($B1918,dongia1,DG!$C$5,)</f>
        <v>Trụ BTLT 10,5m F350 dự ứng lực</v>
      </c>
      <c r="F1918" s="1198" t="str">
        <f>VLOOKUP($B1918,dongia1,DG!$D$5,)</f>
        <v>trụ</v>
      </c>
      <c r="G1918" s="1518">
        <f>G1917</f>
        <v>0</v>
      </c>
      <c r="H1918" s="1399">
        <f>VLOOKUP($B1918,dongia1,DG!$F$5,)</f>
        <v>4200000</v>
      </c>
      <c r="I1918" s="1291"/>
      <c r="J1918" s="1399"/>
      <c r="K1918" s="1291"/>
      <c r="L1918" s="1400">
        <f>H1918*G1918</f>
        <v>0</v>
      </c>
      <c r="M1918" s="1400">
        <f>I1918*G1918</f>
        <v>0</v>
      </c>
      <c r="N1918" s="1400">
        <f>J1918*G1918</f>
        <v>0</v>
      </c>
      <c r="O1918" s="1400">
        <f>K1918*G1918</f>
        <v>0</v>
      </c>
      <c r="P1918" s="1299"/>
      <c r="Q1918" s="1300"/>
      <c r="R1918" s="1300"/>
      <c r="S1918" s="1300"/>
    </row>
    <row r="1919" spans="1:19" s="1081" customFormat="1" hidden="1" outlineLevel="1">
      <c r="A1919" s="1072" t="str">
        <f t="shared" si="468"/>
        <v/>
      </c>
      <c r="B1919" s="1421" t="s">
        <v>1457</v>
      </c>
      <c r="C1919" s="1458"/>
      <c r="D1919" s="1198"/>
      <c r="E1919" s="1459" t="str">
        <f>VLOOKUP($B1919,dongia1,DG!$C$5,)</f>
        <v>Vật liệu dựng trụ</v>
      </c>
      <c r="F1919" s="1198" t="str">
        <f>VLOOKUP($B1919,dongia1,DG!$D$5,)</f>
        <v>trụ</v>
      </c>
      <c r="G1919" s="1518">
        <f>G1918</f>
        <v>0</v>
      </c>
      <c r="H1919" s="1399">
        <f>VLOOKUP($B1919,dongia1,DG!$F$5,)</f>
        <v>17400</v>
      </c>
      <c r="I1919" s="1399"/>
      <c r="J1919" s="1291"/>
      <c r="K1919" s="1291"/>
      <c r="L1919" s="1400">
        <f>H1919*G1919</f>
        <v>0</v>
      </c>
      <c r="M1919" s="1400">
        <f>I1919*G1919</f>
        <v>0</v>
      </c>
      <c r="N1919" s="1400">
        <f>J1919*G1919</f>
        <v>0</v>
      </c>
      <c r="O1919" s="1400">
        <f>K1919*G1919</f>
        <v>0</v>
      </c>
      <c r="P1919" s="1299"/>
      <c r="Q1919" s="1300"/>
      <c r="R1919" s="1300"/>
      <c r="S1919" s="1300"/>
    </row>
    <row r="1920" spans="1:19" s="1081" customFormat="1" hidden="1" outlineLevel="1">
      <c r="A1920" s="1072" t="str">
        <f t="shared" si="468"/>
        <v/>
      </c>
      <c r="B1920" s="1421" t="s">
        <v>1702</v>
      </c>
      <c r="C1920" s="1458"/>
      <c r="D1920" s="1198" t="str">
        <f>VLOOKUP($B1920,dongia1,DG!$B$5,)</f>
        <v>04.9203</v>
      </c>
      <c r="E1920" s="1459" t="str">
        <f>VLOOKUP($B1920,dongia1,DG!$C$5,)</f>
        <v>Dựng trụ BTLT 10,5m trong TBA bằng thủ công + cơ giới</v>
      </c>
      <c r="F1920" s="1198" t="str">
        <f>VLOOKUP($B1920,dongia1,DG!$D$5,)</f>
        <v>trụ</v>
      </c>
      <c r="G1920" s="1518">
        <f>G1918</f>
        <v>0</v>
      </c>
      <c r="H1920" s="1459"/>
      <c r="I1920" s="1399"/>
      <c r="J1920" s="1399">
        <f>VLOOKUP($B1920,dongia1,DG!$G$5,)</f>
        <v>112286</v>
      </c>
      <c r="K1920" s="1399">
        <f>VLOOKUP($B1920,dongia1,DG!$H$5,)</f>
        <v>105970</v>
      </c>
      <c r="L1920" s="1400">
        <f>H1920*G1920</f>
        <v>0</v>
      </c>
      <c r="M1920" s="1400">
        <f>I1920*G1920</f>
        <v>0</v>
      </c>
      <c r="N1920" s="1400">
        <f>J1920*G1920</f>
        <v>0</v>
      </c>
      <c r="O1920" s="1400">
        <f>K1920*G1920</f>
        <v>0</v>
      </c>
      <c r="P1920" s="1299"/>
      <c r="Q1920" s="1300"/>
      <c r="R1920" s="1300"/>
      <c r="S1920" s="1300"/>
    </row>
    <row r="1921" spans="1:19" s="1081" customFormat="1" hidden="1" outlineLevel="1">
      <c r="A1921" s="1072" t="str">
        <f t="shared" si="468"/>
        <v/>
      </c>
      <c r="B1921" s="1421"/>
      <c r="C1921" s="1291">
        <f>IF(G1921&gt;0,C1913+1,C1913)</f>
        <v>0</v>
      </c>
      <c r="D1921" s="1198"/>
      <c r="E1921" s="1454" t="s">
        <v>3390</v>
      </c>
      <c r="F1921" s="1455" t="s">
        <v>3391</v>
      </c>
      <c r="G1921" s="1517">
        <f>G1913</f>
        <v>0</v>
      </c>
      <c r="H1921" s="1291"/>
      <c r="I1921" s="1291"/>
      <c r="J1921" s="1291"/>
      <c r="K1921" s="1291"/>
      <c r="L1921" s="1291"/>
      <c r="M1921" s="1291"/>
      <c r="N1921" s="1291"/>
      <c r="O1921" s="1461"/>
      <c r="P1921" s="1437"/>
      <c r="Q1921" s="1300"/>
      <c r="R1921" s="1300"/>
      <c r="S1921" s="1300"/>
    </row>
    <row r="1922" spans="1:19" s="1081" customFormat="1" hidden="1" outlineLevel="1">
      <c r="A1922" s="1072" t="str">
        <f t="shared" si="468"/>
        <v/>
      </c>
      <c r="B1922" s="1421" t="s">
        <v>580</v>
      </c>
      <c r="C1922" s="1458"/>
      <c r="D1922" s="1198" t="str">
        <f>VLOOKUP($B1922,dongia1,DG!$B$5,)</f>
        <v>AG.42111</v>
      </c>
      <c r="E1922" s="1459" t="str">
        <f>VLOOKUP($B1922,dongia1,DG!$C$5,)</f>
        <v>Đà cản BTCT 1,2m</v>
      </c>
      <c r="F1922" s="1198" t="str">
        <f>VLOOKUP($B1922,dongia1,DG!$D$5,)</f>
        <v>cái</v>
      </c>
      <c r="G1922" s="1518">
        <f>G1921</f>
        <v>0</v>
      </c>
      <c r="H1922" s="1399">
        <f>VLOOKUP($B1922,dongia1,DG!$F$5,)</f>
        <v>354545</v>
      </c>
      <c r="I1922" s="1399"/>
      <c r="J1922" s="1399">
        <f>VLOOKUP($B1922,dongia1,DG!$G$5,)</f>
        <v>37220.25</v>
      </c>
      <c r="K1922" s="1291"/>
      <c r="L1922" s="1400">
        <f>H1922*G1922</f>
        <v>0</v>
      </c>
      <c r="M1922" s="1400">
        <f>I1922*G1922</f>
        <v>0</v>
      </c>
      <c r="N1922" s="1400">
        <f>J1922*G1922</f>
        <v>0</v>
      </c>
      <c r="O1922" s="1400">
        <f>K1922*G1922</f>
        <v>0</v>
      </c>
      <c r="P1922" s="1437"/>
      <c r="Q1922" s="1300"/>
      <c r="R1922" s="1300"/>
      <c r="S1922" s="1300"/>
    </row>
    <row r="1923" spans="1:19" s="1081" customFormat="1" hidden="1" outlineLevel="1">
      <c r="A1923" s="1072" t="str">
        <f t="shared" si="468"/>
        <v/>
      </c>
      <c r="B1923" s="1421" t="s">
        <v>952</v>
      </c>
      <c r="C1923" s="1458"/>
      <c r="D1923" s="1198"/>
      <c r="E1923" s="1459" t="str">
        <f>VLOOKUP($B1923,dongia1,DG!$C$5,)</f>
        <v>Boulon 22x650+ 2 long đền vuông D24-60x60x3/Zn</v>
      </c>
      <c r="F1923" s="1198" t="str">
        <f>VLOOKUP($B1923,dongia1,DG!$D$5,)</f>
        <v>bộ</v>
      </c>
      <c r="G1923" s="1304">
        <f>G1922</f>
        <v>0</v>
      </c>
      <c r="H1923" s="1399">
        <f>VLOOKUP($B1923,dongia1,DG!$F$5,)</f>
        <v>92200</v>
      </c>
      <c r="I1923" s="1459"/>
      <c r="J1923" s="1459"/>
      <c r="K1923" s="1291"/>
      <c r="L1923" s="1400">
        <f>H1923*G1923</f>
        <v>0</v>
      </c>
      <c r="M1923" s="1400">
        <f>I1923*G1923</f>
        <v>0</v>
      </c>
      <c r="N1923" s="1400">
        <f>J1923*G1923</f>
        <v>0</v>
      </c>
      <c r="O1923" s="1400">
        <f>K1923*G1923</f>
        <v>0</v>
      </c>
      <c r="P1923" s="1437"/>
      <c r="Q1923" s="1300"/>
      <c r="R1923" s="1300"/>
      <c r="S1923" s="1300"/>
    </row>
    <row r="1924" spans="1:19" s="1081" customFormat="1" hidden="1" outlineLevel="1">
      <c r="A1924" s="1072" t="str">
        <f t="shared" si="468"/>
        <v/>
      </c>
      <c r="B1924" s="1421" t="str">
        <f>IF(capdat=1,"MDD1",IF(capdat=2,"MDD2",IF(capdat=3,"MDD3",IF(capdat=4,"MDD4"))))</f>
        <v>MDD3</v>
      </c>
      <c r="C1924" s="1458"/>
      <c r="D1924" s="1198" t="str">
        <f>VLOOKUP($B1924,dongia1,DG!$B$5,)</f>
        <v>03.1013</v>
      </c>
      <c r="E1924" s="1459" t="str">
        <f>VLOOKUP($B1924,dongia1,DG!$C$5,)</f>
        <v>Đào hố móng đất cấp 3 sâu &gt;1m DT&lt;5m2</v>
      </c>
      <c r="F1924" s="1198" t="str">
        <f>VLOOKUP($B1924,dongia1,DG!$D$5,)</f>
        <v>m3</v>
      </c>
      <c r="G1924" s="1304">
        <f>1.45*G1922</f>
        <v>0</v>
      </c>
      <c r="H1924" s="1399">
        <f>VLOOKUP($B1924,dongia1,DG!$F$5,)</f>
        <v>0</v>
      </c>
      <c r="I1924" s="1399"/>
      <c r="J1924" s="1399">
        <f>VLOOKUP($B1924,dongia1,DG!$G$5,)</f>
        <v>296500.89999999997</v>
      </c>
      <c r="K1924" s="1291"/>
      <c r="L1924" s="1400">
        <f>H1924*G1924</f>
        <v>0</v>
      </c>
      <c r="M1924" s="1400">
        <f>I1924*G1924</f>
        <v>0</v>
      </c>
      <c r="N1924" s="1400">
        <f>J1924*G1924</f>
        <v>0</v>
      </c>
      <c r="O1924" s="1400">
        <f>K1924*G1924</f>
        <v>0</v>
      </c>
      <c r="P1924" s="1437"/>
      <c r="Q1924" s="1300"/>
      <c r="R1924" s="1300"/>
      <c r="S1924" s="1300"/>
    </row>
    <row r="1925" spans="1:19" s="1081" customFormat="1" hidden="1" outlineLevel="1">
      <c r="A1925" s="1072" t="str">
        <f t="shared" si="468"/>
        <v/>
      </c>
      <c r="B1925" s="1421" t="str">
        <f>IF(capdat=1,"MDAP1",IF(capdat=2,"MDAP2",IF(capdat=3,"MDAP3",IF(capdat=4,"MDAP4"))))</f>
        <v>MDAP3</v>
      </c>
      <c r="C1925" s="1458"/>
      <c r="D1925" s="1198" t="str">
        <f>VLOOKUP($B1925,dongia1,DG!$B$5,)</f>
        <v>AB.13111</v>
      </c>
      <c r="E1925" s="1459" t="str">
        <f>VLOOKUP($B1925,dongia1,DG!$C$5,)</f>
        <v>Đắp đất hố móng, đất cấp 3 (độ chặt k = 0.85)</v>
      </c>
      <c r="F1925" s="1198" t="str">
        <f>VLOOKUP($B1925,dongia1,DG!$D$5,)</f>
        <v>m3</v>
      </c>
      <c r="G1925" s="1304">
        <f>1.37*G1921</f>
        <v>0</v>
      </c>
      <c r="H1925" s="1399">
        <f>VLOOKUP($B1925,dongia1,DG!$F$5,)</f>
        <v>0</v>
      </c>
      <c r="I1925" s="1399"/>
      <c r="J1925" s="1399">
        <f>VLOOKUP($B1925,dongia1,DG!$G$5,)</f>
        <v>117703.6</v>
      </c>
      <c r="K1925" s="1291"/>
      <c r="L1925" s="1400">
        <f>H1925*G1925</f>
        <v>0</v>
      </c>
      <c r="M1925" s="1400">
        <f>I1925*G1925</f>
        <v>0</v>
      </c>
      <c r="N1925" s="1400">
        <f>J1925*G1925</f>
        <v>0</v>
      </c>
      <c r="O1925" s="1400">
        <f>K1925*G1925</f>
        <v>0</v>
      </c>
      <c r="P1925" s="1437"/>
      <c r="Q1925" s="1300"/>
      <c r="R1925" s="1300"/>
      <c r="S1925" s="1300"/>
    </row>
    <row r="1926" spans="1:19" s="1081" customFormat="1" hidden="1" outlineLevel="1">
      <c r="A1926" s="1072" t="str">
        <f t="shared" si="468"/>
        <v/>
      </c>
      <c r="B1926" s="1421"/>
      <c r="C1926" s="1291">
        <f>IF(G1926&gt;0,C1918+1,C1918)</f>
        <v>0</v>
      </c>
      <c r="D1926" s="1198"/>
      <c r="E1926" s="1454" t="s">
        <v>3392</v>
      </c>
      <c r="F1926" s="1455" t="s">
        <v>3391</v>
      </c>
      <c r="G1926" s="1517">
        <f>G1917</f>
        <v>0</v>
      </c>
      <c r="H1926" s="1291"/>
      <c r="I1926" s="1291"/>
      <c r="J1926" s="1291"/>
      <c r="K1926" s="1291"/>
      <c r="L1926" s="1291"/>
      <c r="M1926" s="1291"/>
      <c r="N1926" s="1291"/>
      <c r="O1926" s="1461"/>
      <c r="P1926" s="1299"/>
      <c r="Q1926" s="1300"/>
      <c r="R1926" s="1300"/>
      <c r="S1926" s="1300"/>
    </row>
    <row r="1927" spans="1:19" s="1081" customFormat="1" hidden="1" outlineLevel="1">
      <c r="A1927" s="1072" t="str">
        <f t="shared" si="468"/>
        <v/>
      </c>
      <c r="B1927" s="1421" t="s">
        <v>580</v>
      </c>
      <c r="C1927" s="1458"/>
      <c r="D1927" s="1198" t="str">
        <f>VLOOKUP($B1927,dongia1,DG!$B$5,)</f>
        <v>AG.42111</v>
      </c>
      <c r="E1927" s="1459" t="str">
        <f>VLOOKUP($B1927,dongia1,DG!$C$5,)</f>
        <v>Đà cản BTCT 1,2m</v>
      </c>
      <c r="F1927" s="1198" t="str">
        <f>VLOOKUP($B1927,dongia1,DG!$D$5,)</f>
        <v>cái</v>
      </c>
      <c r="G1927" s="1518">
        <f>G1926</f>
        <v>0</v>
      </c>
      <c r="H1927" s="1399">
        <f>VLOOKUP($B1927,dongia1,DG!$F$5,)</f>
        <v>354545</v>
      </c>
      <c r="I1927" s="1399"/>
      <c r="J1927" s="1399">
        <f>VLOOKUP($B1927,dongia1,DG!$G$5,)</f>
        <v>37220.25</v>
      </c>
      <c r="K1927" s="1291"/>
      <c r="L1927" s="1400">
        <f>H1927*G1927</f>
        <v>0</v>
      </c>
      <c r="M1927" s="1400">
        <f>I1927*G1927</f>
        <v>0</v>
      </c>
      <c r="N1927" s="1400">
        <f>J1927*G1927</f>
        <v>0</v>
      </c>
      <c r="O1927" s="1400">
        <f>K1927*G1927</f>
        <v>0</v>
      </c>
      <c r="P1927" s="1299"/>
      <c r="Q1927" s="1300"/>
      <c r="R1927" s="1300"/>
      <c r="S1927" s="1300"/>
    </row>
    <row r="1928" spans="1:19" s="1081" customFormat="1" hidden="1" outlineLevel="1">
      <c r="A1928" s="1072" t="str">
        <f t="shared" si="468"/>
        <v/>
      </c>
      <c r="B1928" s="1421" t="s">
        <v>952</v>
      </c>
      <c r="C1928" s="1458"/>
      <c r="D1928" s="1198"/>
      <c r="E1928" s="1459" t="str">
        <f>VLOOKUP($B1928,dongia1,DG!$C$5,)</f>
        <v>Boulon 22x650+ 2 long đền vuông D24-60x60x3/Zn</v>
      </c>
      <c r="F1928" s="1198" t="str">
        <f>VLOOKUP($B1928,dongia1,DG!$D$5,)</f>
        <v>bộ</v>
      </c>
      <c r="G1928" s="1518">
        <f>G1927</f>
        <v>0</v>
      </c>
      <c r="H1928" s="1399">
        <f>VLOOKUP($B1928,dongia1,DG!$F$5,)</f>
        <v>92200</v>
      </c>
      <c r="I1928" s="1459"/>
      <c r="J1928" s="1459"/>
      <c r="K1928" s="1291"/>
      <c r="L1928" s="1400">
        <f>H1928*G1928</f>
        <v>0</v>
      </c>
      <c r="M1928" s="1400">
        <f>I1928*G1928</f>
        <v>0</v>
      </c>
      <c r="N1928" s="1400">
        <f>J1928*G1928</f>
        <v>0</v>
      </c>
      <c r="O1928" s="1400">
        <f>K1928*G1928</f>
        <v>0</v>
      </c>
      <c r="P1928" s="1299"/>
      <c r="Q1928" s="1300"/>
      <c r="R1928" s="1300"/>
      <c r="S1928" s="1300"/>
    </row>
    <row r="1929" spans="1:19" s="1081" customFormat="1" hidden="1" outlineLevel="1">
      <c r="A1929" s="1072" t="str">
        <f t="shared" si="468"/>
        <v/>
      </c>
      <c r="B1929" s="1421" t="str">
        <f>IF(capdat=1,"MDD1",IF(capdat=2,"MDD2",IF(capdat=3,"MDD3",IF(capdat=4,"MDD4"))))</f>
        <v>MDD3</v>
      </c>
      <c r="C1929" s="1458"/>
      <c r="D1929" s="1198" t="str">
        <f>VLOOKUP($B1929,dongia1,DG!$B$5,)</f>
        <v>03.1013</v>
      </c>
      <c r="E1929" s="1459" t="str">
        <f>VLOOKUP($B1929,dongia1,DG!$C$5,)</f>
        <v>Đào hố móng đất cấp 3 sâu &gt;1m DT&lt;5m2</v>
      </c>
      <c r="F1929" s="1198" t="str">
        <f>VLOOKUP($B1929,dongia1,DG!$D$5,)</f>
        <v>m3</v>
      </c>
      <c r="G1929" s="1304">
        <f>1.48*G1927</f>
        <v>0</v>
      </c>
      <c r="H1929" s="1399">
        <f>VLOOKUP($B1929,dongia1,DG!$F$5,)</f>
        <v>0</v>
      </c>
      <c r="I1929" s="1399"/>
      <c r="J1929" s="1399">
        <f>VLOOKUP($B1929,dongia1,DG!$G$5,)</f>
        <v>296500.89999999997</v>
      </c>
      <c r="K1929" s="1291"/>
      <c r="L1929" s="1400">
        <f>H1929*G1929</f>
        <v>0</v>
      </c>
      <c r="M1929" s="1400">
        <f>I1929*G1929</f>
        <v>0</v>
      </c>
      <c r="N1929" s="1400">
        <f>J1929*G1929</f>
        <v>0</v>
      </c>
      <c r="O1929" s="1400">
        <f>K1929*G1929</f>
        <v>0</v>
      </c>
      <c r="P1929" s="1299"/>
      <c r="Q1929" s="1300"/>
      <c r="R1929" s="1300"/>
      <c r="S1929" s="1300"/>
    </row>
    <row r="1930" spans="1:19" s="1081" customFormat="1" hidden="1" outlineLevel="1">
      <c r="A1930" s="1072" t="str">
        <f t="shared" si="468"/>
        <v/>
      </c>
      <c r="B1930" s="1421" t="str">
        <f>IF(capdat=1,"MDAP1",IF(capdat=2,"MDAP2",IF(capdat=3,"MDAP3",IF(capdat=4,"MDAP4"))))</f>
        <v>MDAP3</v>
      </c>
      <c r="C1930" s="1458"/>
      <c r="D1930" s="1198" t="str">
        <f>VLOOKUP($B1930,dongia1,DG!$B$5,)</f>
        <v>AB.13111</v>
      </c>
      <c r="E1930" s="1459" t="str">
        <f>VLOOKUP($B1930,dongia1,DG!$C$5,)</f>
        <v>Đắp đất hố móng, đất cấp 3 (độ chặt k = 0.85)</v>
      </c>
      <c r="F1930" s="1198" t="str">
        <f>VLOOKUP($B1930,dongia1,DG!$D$5,)</f>
        <v>m3</v>
      </c>
      <c r="G1930" s="1304">
        <f>1.39*G1926</f>
        <v>0</v>
      </c>
      <c r="H1930" s="1399">
        <f>VLOOKUP($B1930,dongia1,DG!$F$5,)</f>
        <v>0</v>
      </c>
      <c r="I1930" s="1399"/>
      <c r="J1930" s="1399">
        <f>VLOOKUP($B1930,dongia1,DG!$G$5,)</f>
        <v>117703.6</v>
      </c>
      <c r="K1930" s="1291"/>
      <c r="L1930" s="1400">
        <f>H1930*G1930</f>
        <v>0</v>
      </c>
      <c r="M1930" s="1400">
        <f>I1930*G1930</f>
        <v>0</v>
      </c>
      <c r="N1930" s="1400">
        <f>J1930*G1930</f>
        <v>0</v>
      </c>
      <c r="O1930" s="1400">
        <f>K1930*G1930</f>
        <v>0</v>
      </c>
      <c r="P1930" s="1299"/>
      <c r="Q1930" s="1300"/>
      <c r="R1930" s="1300"/>
      <c r="S1930" s="1300"/>
    </row>
    <row r="1931" spans="1:19" s="1081" customFormat="1" hidden="1" outlineLevel="1">
      <c r="A1931" s="1072" t="str">
        <f t="shared" si="468"/>
        <v/>
      </c>
      <c r="B1931" s="1295"/>
      <c r="C1931" s="1291">
        <f>IF(G1931&gt;0,C1921+1,C1921)</f>
        <v>0</v>
      </c>
      <c r="D1931" s="1462"/>
      <c r="E1931" s="1454" t="s">
        <v>3396</v>
      </c>
      <c r="F1931" s="1453" t="s">
        <v>2113</v>
      </c>
      <c r="G1931" s="1506">
        <f>G1901*1</f>
        <v>0</v>
      </c>
      <c r="H1931" s="1464"/>
      <c r="I1931" s="1464"/>
      <c r="J1931" s="1464"/>
      <c r="K1931" s="1464"/>
      <c r="L1931" s="1464"/>
      <c r="M1931" s="1464"/>
      <c r="N1931" s="1464"/>
      <c r="O1931" s="1464"/>
      <c r="P1931" s="1507"/>
      <c r="Q1931" s="1300"/>
      <c r="R1931" s="1300"/>
      <c r="S1931" s="1300"/>
    </row>
    <row r="1932" spans="1:19" s="1081" customFormat="1" ht="14.4" hidden="1" outlineLevel="1">
      <c r="A1932" s="1072" t="str">
        <f>A1931</f>
        <v/>
      </c>
      <c r="B1932" s="1295"/>
      <c r="C1932" s="1291"/>
      <c r="D1932" s="1465"/>
      <c r="E1932" s="1301" t="s">
        <v>3399</v>
      </c>
      <c r="F1932" s="1302"/>
      <c r="G1932" s="1508"/>
      <c r="H1932" s="1466"/>
      <c r="I1932" s="1466"/>
      <c r="J1932" s="1466"/>
      <c r="K1932" s="1466"/>
      <c r="L1932" s="1466"/>
      <c r="M1932" s="1466"/>
      <c r="N1932" s="1466"/>
      <c r="O1932" s="1466"/>
      <c r="P1932" s="1507"/>
      <c r="Q1932" s="1300"/>
      <c r="R1932" s="1300"/>
      <c r="S1932" s="1300"/>
    </row>
    <row r="1933" spans="1:19" s="1081" customFormat="1" hidden="1" outlineLevel="1">
      <c r="A1933" s="1072" t="str">
        <f>IF(G1933&lt;&gt;0,1,"")</f>
        <v/>
      </c>
      <c r="B1933" s="1068" t="s">
        <v>4636</v>
      </c>
      <c r="C1933" s="1291"/>
      <c r="D1933" s="1198">
        <f>VLOOKUP($B1933,dongia1,DG!$B$5,)</f>
        <v>0</v>
      </c>
      <c r="E1933" s="1243" t="str">
        <f>VLOOKUP($B1933,dongia1,DG!$C$5,)</f>
        <v>Đà U200x76x5,2x2033 chống MBA : 2 thanh</v>
      </c>
      <c r="F1933" s="1198" t="str">
        <f>VLOOKUP($B1933,dongia1,DG!$D$5,)</f>
        <v>kg</v>
      </c>
      <c r="G1933" s="1508">
        <f>+G1931*2.033*2*18.4</f>
        <v>0</v>
      </c>
      <c r="H1933" s="1399">
        <f>VLOOKUP($B1933,dongia1,DG!$F$5,)</f>
        <v>31625</v>
      </c>
      <c r="I1933" s="1467"/>
      <c r="J1933" s="1399"/>
      <c r="K1933" s="1399">
        <f>VLOOKUP($B1933,dongia1,DG!$H$5,)</f>
        <v>0</v>
      </c>
      <c r="L1933" s="1400">
        <f>H1933*G1933</f>
        <v>0</v>
      </c>
      <c r="M1933" s="1400">
        <f>I1933*G1933</f>
        <v>0</v>
      </c>
      <c r="N1933" s="1399"/>
      <c r="O1933" s="1400">
        <f>K1933*G1933</f>
        <v>0</v>
      </c>
      <c r="P1933" s="1507"/>
      <c r="Q1933" s="1300">
        <f>L1933/2</f>
        <v>0</v>
      </c>
      <c r="R1933" s="1300"/>
      <c r="S1933" s="1300"/>
    </row>
    <row r="1934" spans="1:19" s="1081" customFormat="1" hidden="1" outlineLevel="1">
      <c r="A1934" s="1072" t="str">
        <f t="shared" ref="A1934:A1947" si="469">IF(G1934&lt;&gt;0,1,"")</f>
        <v/>
      </c>
      <c r="B1934" s="1068" t="s">
        <v>4637</v>
      </c>
      <c r="C1934" s="1291"/>
      <c r="D1934" s="1198">
        <f>VLOOKUP($B1934,dongia1,DG!$B$5,)</f>
        <v>0</v>
      </c>
      <c r="E1934" s="1243" t="str">
        <f>VLOOKUP($B1934,dongia1,DG!$C$5,)</f>
        <v>Đà U100x46x4,5x400 ốp đà chống : 2 thanh</v>
      </c>
      <c r="F1934" s="1198" t="str">
        <f>VLOOKUP($B1934,dongia1,DG!$D$5,)</f>
        <v>kg</v>
      </c>
      <c r="G1934" s="1508">
        <f>+G1931*0.4*2*8.59</f>
        <v>0</v>
      </c>
      <c r="H1934" s="1399">
        <f>VLOOKUP($B1934,dongia1,DG!$F$5,)</f>
        <v>31625</v>
      </c>
      <c r="I1934" s="1467"/>
      <c r="J1934" s="1399"/>
      <c r="K1934" s="1399">
        <f>VLOOKUP($B1934,dongia1,DG!$H$5,)</f>
        <v>0</v>
      </c>
      <c r="L1934" s="1400">
        <f t="shared" ref="L1934:L1947" si="470">H1934*G1934</f>
        <v>0</v>
      </c>
      <c r="M1934" s="1400">
        <f t="shared" ref="M1934:M1947" si="471">I1934*G1934</f>
        <v>0</v>
      </c>
      <c r="N1934" s="1399"/>
      <c r="O1934" s="1400">
        <f t="shared" ref="O1934:O1947" si="472">K1934*G1934</f>
        <v>0</v>
      </c>
      <c r="P1934" s="1507"/>
      <c r="Q1934" s="1300">
        <f t="shared" ref="Q1934:Q1947" si="473">L1934/2</f>
        <v>0</v>
      </c>
      <c r="R1934" s="1300"/>
      <c r="S1934" s="1300"/>
    </row>
    <row r="1935" spans="1:19" s="1081" customFormat="1" hidden="1" outlineLevel="1">
      <c r="A1935" s="1072" t="str">
        <f t="shared" si="469"/>
        <v/>
      </c>
      <c r="B1935" s="1068" t="s">
        <v>4638</v>
      </c>
      <c r="C1935" s="1291"/>
      <c r="D1935" s="1198">
        <f>VLOOKUP($B1935,dongia1,DG!$B$5,)</f>
        <v>0</v>
      </c>
      <c r="E1935" s="1243" t="str">
        <f>VLOOKUP($B1935,dongia1,DG!$C$5,)</f>
        <v>Đà U200x76x5,2x1428 Chống ngoài bắt MBA : 1 thanh</v>
      </c>
      <c r="F1935" s="1198" t="str">
        <f>VLOOKUP($B1935,dongia1,DG!$D$5,)</f>
        <v>kg</v>
      </c>
      <c r="G1935" s="1508">
        <f>+G1931*1.428*1*18.4</f>
        <v>0</v>
      </c>
      <c r="H1935" s="1399">
        <f>VLOOKUP($B1935,dongia1,DG!$F$5,)</f>
        <v>31625</v>
      </c>
      <c r="I1935" s="1467"/>
      <c r="J1935" s="1399"/>
      <c r="K1935" s="1399">
        <f>VLOOKUP($B1935,dongia1,DG!$H$5,)</f>
        <v>0</v>
      </c>
      <c r="L1935" s="1400">
        <f t="shared" si="470"/>
        <v>0</v>
      </c>
      <c r="M1935" s="1400">
        <f t="shared" si="471"/>
        <v>0</v>
      </c>
      <c r="N1935" s="1399"/>
      <c r="O1935" s="1400">
        <f t="shared" si="472"/>
        <v>0</v>
      </c>
      <c r="P1935" s="1507"/>
      <c r="Q1935" s="1300">
        <f t="shared" si="473"/>
        <v>0</v>
      </c>
      <c r="R1935" s="1300"/>
      <c r="S1935" s="1300"/>
    </row>
    <row r="1936" spans="1:19" s="1081" customFormat="1" hidden="1" outlineLevel="1">
      <c r="A1936" s="1072" t="str">
        <f t="shared" si="469"/>
        <v/>
      </c>
      <c r="B1936" s="1068" t="s">
        <v>4639</v>
      </c>
      <c r="C1936" s="1291"/>
      <c r="D1936" s="1198">
        <f>VLOOKUP($B1936,dongia1,DG!$B$5,)</f>
        <v>0</v>
      </c>
      <c r="E1936" s="1243" t="str">
        <f>VLOOKUP($B1936,dongia1,DG!$C$5,)</f>
        <v>Đà U100x46x4,5x750 ốp Chống ngoài bắt MBA : 1 thanh</v>
      </c>
      <c r="F1936" s="1198" t="str">
        <f>VLOOKUP($B1936,dongia1,DG!$D$5,)</f>
        <v>kg</v>
      </c>
      <c r="G1936" s="1508">
        <f>+G1931*0.75*1*8.59</f>
        <v>0</v>
      </c>
      <c r="H1936" s="1399">
        <f>VLOOKUP($B1936,dongia1,DG!$F$5,)</f>
        <v>31625</v>
      </c>
      <c r="I1936" s="1467"/>
      <c r="J1936" s="1399"/>
      <c r="K1936" s="1399">
        <f>VLOOKUP($B1936,dongia1,DG!$H$5,)</f>
        <v>0</v>
      </c>
      <c r="L1936" s="1400">
        <f t="shared" si="470"/>
        <v>0</v>
      </c>
      <c r="M1936" s="1400">
        <f t="shared" si="471"/>
        <v>0</v>
      </c>
      <c r="N1936" s="1399"/>
      <c r="O1936" s="1400">
        <f t="shared" si="472"/>
        <v>0</v>
      </c>
      <c r="P1936" s="1507"/>
      <c r="Q1936" s="1300">
        <f t="shared" si="473"/>
        <v>0</v>
      </c>
      <c r="R1936" s="1300"/>
      <c r="S1936" s="1300"/>
    </row>
    <row r="1937" spans="1:19" s="1081" customFormat="1" hidden="1" outlineLevel="1">
      <c r="A1937" s="1072" t="str">
        <f t="shared" si="469"/>
        <v/>
      </c>
      <c r="B1937" s="1068" t="s">
        <v>4640</v>
      </c>
      <c r="C1937" s="1291"/>
      <c r="D1937" s="1198">
        <f>VLOOKUP($B1937,dongia1,DG!$B$5,)</f>
        <v>0</v>
      </c>
      <c r="E1937" s="1243" t="str">
        <f>VLOOKUP($B1937,dongia1,DG!$C$5,)</f>
        <v>Đà U100x46x4,5x750 Chống ngoài đỡ MBA : 1 thanh</v>
      </c>
      <c r="F1937" s="1198" t="str">
        <f>VLOOKUP($B1937,dongia1,DG!$D$5,)</f>
        <v>kg</v>
      </c>
      <c r="G1937" s="1508">
        <f>+G1931*0.75*1*8.59</f>
        <v>0</v>
      </c>
      <c r="H1937" s="1399">
        <f>VLOOKUP($B1937,dongia1,DG!$F$5,)</f>
        <v>31625</v>
      </c>
      <c r="I1937" s="1467"/>
      <c r="J1937" s="1399"/>
      <c r="K1937" s="1399">
        <f>VLOOKUP($B1937,dongia1,DG!$H$5,)</f>
        <v>0</v>
      </c>
      <c r="L1937" s="1400">
        <f t="shared" si="470"/>
        <v>0</v>
      </c>
      <c r="M1937" s="1400">
        <f t="shared" si="471"/>
        <v>0</v>
      </c>
      <c r="N1937" s="1399"/>
      <c r="O1937" s="1400">
        <f t="shared" si="472"/>
        <v>0</v>
      </c>
      <c r="P1937" s="1507"/>
      <c r="Q1937" s="1300">
        <f t="shared" si="473"/>
        <v>0</v>
      </c>
      <c r="R1937" s="1300"/>
      <c r="S1937" s="1300"/>
    </row>
    <row r="1938" spans="1:19" s="1081" customFormat="1" hidden="1" outlineLevel="1">
      <c r="A1938" s="1072" t="str">
        <f t="shared" si="469"/>
        <v/>
      </c>
      <c r="B1938" s="1068" t="s">
        <v>4641</v>
      </c>
      <c r="C1938" s="1291"/>
      <c r="D1938" s="1198">
        <f>VLOOKUP($B1938,dongia1,DG!$B$5,)</f>
        <v>0</v>
      </c>
      <c r="E1938" s="1243" t="str">
        <f>VLOOKUP($B1938,dongia1,DG!$C$5,)</f>
        <v>Đà U200x76x5,2x1500 đỡ MBA : 2 thanh</v>
      </c>
      <c r="F1938" s="1198" t="str">
        <f>VLOOKUP($B1938,dongia1,DG!$D$5,)</f>
        <v>kg</v>
      </c>
      <c r="G1938" s="1508">
        <f>+G1931*1.5*2*18.4</f>
        <v>0</v>
      </c>
      <c r="H1938" s="1399">
        <f>VLOOKUP($B1938,dongia1,DG!$F$5,)</f>
        <v>31625</v>
      </c>
      <c r="I1938" s="1467"/>
      <c r="J1938" s="1399"/>
      <c r="K1938" s="1399">
        <f>VLOOKUP($B1938,dongia1,DG!$H$5,)</f>
        <v>0</v>
      </c>
      <c r="L1938" s="1400">
        <f t="shared" si="470"/>
        <v>0</v>
      </c>
      <c r="M1938" s="1400">
        <f t="shared" si="471"/>
        <v>0</v>
      </c>
      <c r="N1938" s="1399"/>
      <c r="O1938" s="1400">
        <f t="shared" si="472"/>
        <v>0</v>
      </c>
      <c r="P1938" s="1507"/>
      <c r="Q1938" s="1300">
        <f t="shared" si="473"/>
        <v>0</v>
      </c>
      <c r="R1938" s="1300"/>
      <c r="S1938" s="1300"/>
    </row>
    <row r="1939" spans="1:19" s="1081" customFormat="1" hidden="1" outlineLevel="1">
      <c r="A1939" s="1072" t="str">
        <f t="shared" si="469"/>
        <v/>
      </c>
      <c r="B1939" s="1068" t="s">
        <v>4642</v>
      </c>
      <c r="C1939" s="1291"/>
      <c r="D1939" s="1198">
        <f>VLOOKUP($B1939,dongia1,DG!$B$5,)</f>
        <v>0</v>
      </c>
      <c r="E1939" s="1243" t="str">
        <f>VLOOKUP($B1939,dongia1,DG!$C$5,)</f>
        <v>Đà U100x46x4,5x700 ốp đà  đỡ MBA : 2 thanh</v>
      </c>
      <c r="F1939" s="1198" t="str">
        <f>VLOOKUP($B1939,dongia1,DG!$D$5,)</f>
        <v>kg</v>
      </c>
      <c r="G1939" s="1508">
        <f>+G1931*0.7*2*8.59</f>
        <v>0</v>
      </c>
      <c r="H1939" s="1399">
        <f>VLOOKUP($B1939,dongia1,DG!$F$5,)</f>
        <v>31625</v>
      </c>
      <c r="I1939" s="1467"/>
      <c r="J1939" s="1399"/>
      <c r="K1939" s="1399">
        <f>VLOOKUP($B1939,dongia1,DG!$H$5,)</f>
        <v>0</v>
      </c>
      <c r="L1939" s="1400">
        <f t="shared" si="470"/>
        <v>0</v>
      </c>
      <c r="M1939" s="1400">
        <f t="shared" si="471"/>
        <v>0</v>
      </c>
      <c r="N1939" s="1399"/>
      <c r="O1939" s="1400">
        <f t="shared" si="472"/>
        <v>0</v>
      </c>
      <c r="P1939" s="1507"/>
      <c r="Q1939" s="1300">
        <f t="shared" si="473"/>
        <v>0</v>
      </c>
      <c r="R1939" s="1300"/>
      <c r="S1939" s="1300"/>
    </row>
    <row r="1940" spans="1:19" s="1081" customFormat="1" hidden="1" outlineLevel="1">
      <c r="A1940" s="1072" t="str">
        <f t="shared" si="469"/>
        <v/>
      </c>
      <c r="B1940" s="1068" t="s">
        <v>4643</v>
      </c>
      <c r="C1940" s="1291"/>
      <c r="D1940" s="1198">
        <f>VLOOKUP($B1940,dongia1,DG!$B$5,)</f>
        <v>0</v>
      </c>
      <c r="E1940" s="1243" t="str">
        <f>VLOOKUP($B1940,dongia1,DG!$C$5,)</f>
        <v>Đà U200x76x5,2x800 trong bắt MBA : 1 thanh</v>
      </c>
      <c r="F1940" s="1198" t="str">
        <f>VLOOKUP($B1940,dongia1,DG!$D$5,)</f>
        <v>kg</v>
      </c>
      <c r="G1940" s="1508">
        <f>+G1931*0.8*1*18.4</f>
        <v>0</v>
      </c>
      <c r="H1940" s="1399">
        <f>VLOOKUP($B1940,dongia1,DG!$F$5,)</f>
        <v>31625</v>
      </c>
      <c r="I1940" s="1467"/>
      <c r="J1940" s="1399"/>
      <c r="K1940" s="1399">
        <f>VLOOKUP($B1940,dongia1,DG!$H$5,)</f>
        <v>0</v>
      </c>
      <c r="L1940" s="1400">
        <f t="shared" si="470"/>
        <v>0</v>
      </c>
      <c r="M1940" s="1400">
        <f t="shared" si="471"/>
        <v>0</v>
      </c>
      <c r="N1940" s="1399"/>
      <c r="O1940" s="1400">
        <f t="shared" si="472"/>
        <v>0</v>
      </c>
      <c r="P1940" s="1507"/>
      <c r="Q1940" s="1300">
        <f t="shared" si="473"/>
        <v>0</v>
      </c>
      <c r="R1940" s="1300"/>
      <c r="S1940" s="1300"/>
    </row>
    <row r="1941" spans="1:19" s="1081" customFormat="1" hidden="1" outlineLevel="1">
      <c r="A1941" s="1072" t="str">
        <f t="shared" si="469"/>
        <v/>
      </c>
      <c r="B1941" s="1068" t="s">
        <v>4644</v>
      </c>
      <c r="C1941" s="1291"/>
      <c r="D1941" s="1198">
        <f>VLOOKUP($B1941,dongia1,DG!$B$5,)</f>
        <v>0</v>
      </c>
      <c r="E1941" s="1243" t="str">
        <f>VLOOKUP($B1941,dongia1,DG!$C$5,)</f>
        <v>Đà U100x46x4,5x700 kẹp bắt MBA : 1 thanh</v>
      </c>
      <c r="F1941" s="1198" t="str">
        <f>VLOOKUP($B1941,dongia1,DG!$D$5,)</f>
        <v>kg</v>
      </c>
      <c r="G1941" s="1508">
        <f>+G1931*0.7*1*8.59</f>
        <v>0</v>
      </c>
      <c r="H1941" s="1399">
        <f>VLOOKUP($B1941,dongia1,DG!$F$5,)</f>
        <v>31625</v>
      </c>
      <c r="I1941" s="1467"/>
      <c r="J1941" s="1399"/>
      <c r="K1941" s="1399">
        <f>VLOOKUP($B1941,dongia1,DG!$H$5,)</f>
        <v>0</v>
      </c>
      <c r="L1941" s="1400">
        <f t="shared" si="470"/>
        <v>0</v>
      </c>
      <c r="M1941" s="1400">
        <f t="shared" si="471"/>
        <v>0</v>
      </c>
      <c r="N1941" s="1399"/>
      <c r="O1941" s="1400">
        <f t="shared" si="472"/>
        <v>0</v>
      </c>
      <c r="P1941" s="1507"/>
      <c r="Q1941" s="1300">
        <f t="shared" si="473"/>
        <v>0</v>
      </c>
      <c r="R1941" s="1300"/>
      <c r="S1941" s="1300"/>
    </row>
    <row r="1942" spans="1:19" s="1081" customFormat="1" hidden="1" outlineLevel="1">
      <c r="A1942" s="1072" t="str">
        <f t="shared" si="469"/>
        <v/>
      </c>
      <c r="B1942" s="1068" t="s">
        <v>4645</v>
      </c>
      <c r="C1942" s="1291"/>
      <c r="D1942" s="1198">
        <f>VLOOKUP($B1942,dongia1,DG!$B$5,)</f>
        <v>0</v>
      </c>
      <c r="E1942" s="1243" t="str">
        <f>VLOOKUP($B1942,dongia1,DG!$C$5,)</f>
        <v>Đà U200x76x5,2x800 ngoài bắt MBA : 1 thanh</v>
      </c>
      <c r="F1942" s="1198" t="str">
        <f>VLOOKUP($B1942,dongia1,DG!$D$5,)</f>
        <v>kg</v>
      </c>
      <c r="G1942" s="1508">
        <f>G1931*0.8*1*18.4</f>
        <v>0</v>
      </c>
      <c r="H1942" s="1399">
        <f>VLOOKUP($B1942,dongia1,DG!$F$5,)</f>
        <v>31625</v>
      </c>
      <c r="I1942" s="1467"/>
      <c r="J1942" s="1399"/>
      <c r="K1942" s="1399">
        <f>VLOOKUP($B1942,dongia1,DG!$H$5,)</f>
        <v>0</v>
      </c>
      <c r="L1942" s="1400">
        <f t="shared" si="470"/>
        <v>0</v>
      </c>
      <c r="M1942" s="1400">
        <f t="shared" si="471"/>
        <v>0</v>
      </c>
      <c r="N1942" s="1399"/>
      <c r="O1942" s="1400">
        <f t="shared" si="472"/>
        <v>0</v>
      </c>
      <c r="P1942" s="1507"/>
      <c r="Q1942" s="1300">
        <f t="shared" si="473"/>
        <v>0</v>
      </c>
      <c r="R1942" s="1300"/>
      <c r="S1942" s="1300"/>
    </row>
    <row r="1943" spans="1:19" s="1081" customFormat="1" hidden="1" outlineLevel="1">
      <c r="A1943" s="1072" t="str">
        <f t="shared" si="469"/>
        <v/>
      </c>
      <c r="B1943" s="1068" t="s">
        <v>4646</v>
      </c>
      <c r="C1943" s="1291"/>
      <c r="D1943" s="1198">
        <f>VLOOKUP($B1943,dongia1,DG!$B$5,)</f>
        <v>0</v>
      </c>
      <c r="E1943" s="1243" t="str">
        <f>VLOOKUP($B1943,dongia1,DG!$C$5,)</f>
        <v>Boulon 22x550VRS+ 4 long đền vuông D24-50x50x3/Zn</v>
      </c>
      <c r="F1943" s="1198" t="str">
        <f>VLOOKUP($B1943,dongia1,DG!$D$5,)</f>
        <v>bộ</v>
      </c>
      <c r="G1943" s="1508">
        <f>+G1931*9</f>
        <v>0</v>
      </c>
      <c r="H1943" s="1399">
        <f>VLOOKUP($B1943,dongia1,DG!$F$5,)</f>
        <v>109000</v>
      </c>
      <c r="I1943" s="1467"/>
      <c r="J1943" s="1399"/>
      <c r="K1943" s="1399">
        <f>VLOOKUP($B1943,dongia1,DG!$H$5,)</f>
        <v>0</v>
      </c>
      <c r="L1943" s="1400">
        <f t="shared" si="470"/>
        <v>0</v>
      </c>
      <c r="M1943" s="1400">
        <f t="shared" si="471"/>
        <v>0</v>
      </c>
      <c r="N1943" s="1399"/>
      <c r="O1943" s="1400">
        <f t="shared" si="472"/>
        <v>0</v>
      </c>
      <c r="P1943" s="1507"/>
      <c r="Q1943" s="1300">
        <f t="shared" si="473"/>
        <v>0</v>
      </c>
      <c r="R1943" s="1300"/>
      <c r="S1943" s="1300"/>
    </row>
    <row r="1944" spans="1:19" s="1081" customFormat="1" hidden="1" outlineLevel="1">
      <c r="A1944" s="1072" t="str">
        <f t="shared" si="469"/>
        <v/>
      </c>
      <c r="B1944" s="1068" t="s">
        <v>4647</v>
      </c>
      <c r="C1944" s="1291"/>
      <c r="D1944" s="1198">
        <f>VLOOKUP($B1944,dongia1,DG!$B$5,)</f>
        <v>0</v>
      </c>
      <c r="E1944" s="1243" t="str">
        <f>VLOOKUP($B1944,dongia1,DG!$C$5,)</f>
        <v>Boulon 16x750+ 2 long đền vuông D18-50x50x3/Zn</v>
      </c>
      <c r="F1944" s="1198" t="str">
        <f>VLOOKUP($B1944,dongia1,DG!$D$5,)</f>
        <v>bộ</v>
      </c>
      <c r="G1944" s="1508">
        <f>+G1931*2</f>
        <v>0</v>
      </c>
      <c r="H1944" s="1399">
        <f>VLOOKUP($B1944,dongia1,DG!$F$5,)</f>
        <v>42400</v>
      </c>
      <c r="I1944" s="1467"/>
      <c r="J1944" s="1399"/>
      <c r="K1944" s="1399">
        <f>VLOOKUP($B1944,dongia1,DG!$H$5,)</f>
        <v>0</v>
      </c>
      <c r="L1944" s="1400">
        <f t="shared" si="470"/>
        <v>0</v>
      </c>
      <c r="M1944" s="1400">
        <f t="shared" si="471"/>
        <v>0</v>
      </c>
      <c r="N1944" s="1399"/>
      <c r="O1944" s="1400">
        <f t="shared" si="472"/>
        <v>0</v>
      </c>
      <c r="P1944" s="1507"/>
      <c r="Q1944" s="1300">
        <f t="shared" si="473"/>
        <v>0</v>
      </c>
      <c r="R1944" s="1300"/>
      <c r="S1944" s="1300"/>
    </row>
    <row r="1945" spans="1:19" s="1081" customFormat="1" hidden="1" outlineLevel="1">
      <c r="A1945" s="1072" t="str">
        <f t="shared" si="469"/>
        <v/>
      </c>
      <c r="B1945" s="1068" t="s">
        <v>1039</v>
      </c>
      <c r="C1945" s="1291"/>
      <c r="D1945" s="1198">
        <f>VLOOKUP($B1945,dongia1,DG!$B$5,)</f>
        <v>0</v>
      </c>
      <c r="E1945" s="1243" t="str">
        <f>VLOOKUP($B1945,dongia1,DG!$C$5,)</f>
        <v>Boulon 16x400VRS+ 4 long đền vuông D18-50x50x3/Zn</v>
      </c>
      <c r="F1945" s="1198" t="str">
        <f>VLOOKUP($B1945,dongia1,DG!$D$5,)</f>
        <v>bộ</v>
      </c>
      <c r="G1945" s="1508">
        <f>+G1931*4</f>
        <v>0</v>
      </c>
      <c r="H1945" s="1399">
        <f>VLOOKUP($B1945,dongia1,DG!$F$5,)</f>
        <v>34800</v>
      </c>
      <c r="I1945" s="1467"/>
      <c r="J1945" s="1399"/>
      <c r="K1945" s="1399">
        <f>VLOOKUP($B1945,dongia1,DG!$H$5,)</f>
        <v>0</v>
      </c>
      <c r="L1945" s="1400">
        <f t="shared" si="470"/>
        <v>0</v>
      </c>
      <c r="M1945" s="1400">
        <f t="shared" si="471"/>
        <v>0</v>
      </c>
      <c r="N1945" s="1399"/>
      <c r="O1945" s="1400">
        <f t="shared" si="472"/>
        <v>0</v>
      </c>
      <c r="P1945" s="1507"/>
      <c r="Q1945" s="1300">
        <f t="shared" si="473"/>
        <v>0</v>
      </c>
      <c r="R1945" s="1300"/>
      <c r="S1945" s="1300"/>
    </row>
    <row r="1946" spans="1:19" s="1081" customFormat="1" hidden="1" outlineLevel="1">
      <c r="A1946" s="1072" t="str">
        <f t="shared" si="469"/>
        <v/>
      </c>
      <c r="B1946" s="1068" t="s">
        <v>1261</v>
      </c>
      <c r="C1946" s="1291"/>
      <c r="D1946" s="1198">
        <f>VLOOKUP($B1946,dongia1,DG!$B$5,)</f>
        <v>0</v>
      </c>
      <c r="E1946" s="1243" t="str">
        <f>VLOOKUP($B1946,dongia1,DG!$C$5,)</f>
        <v>Boulon 16x250+ 2 long đền vuông D18-50x50x3/Zn</v>
      </c>
      <c r="F1946" s="1198" t="str">
        <f>VLOOKUP($B1946,dongia1,DG!$D$5,)</f>
        <v>bộ</v>
      </c>
      <c r="G1946" s="1508">
        <f>+G1931*6</f>
        <v>0</v>
      </c>
      <c r="H1946" s="1399">
        <f>VLOOKUP($B1946,dongia1,DG!$F$5,)</f>
        <v>13400</v>
      </c>
      <c r="I1946" s="1467"/>
      <c r="J1946" s="1399"/>
      <c r="K1946" s="1399">
        <f>VLOOKUP($B1946,dongia1,DG!$H$5,)</f>
        <v>0</v>
      </c>
      <c r="L1946" s="1400">
        <f t="shared" si="470"/>
        <v>0</v>
      </c>
      <c r="M1946" s="1400">
        <f t="shared" si="471"/>
        <v>0</v>
      </c>
      <c r="N1946" s="1399"/>
      <c r="O1946" s="1400">
        <f t="shared" si="472"/>
        <v>0</v>
      </c>
      <c r="P1946" s="1507"/>
      <c r="Q1946" s="1300">
        <f t="shared" si="473"/>
        <v>0</v>
      </c>
      <c r="R1946" s="1300"/>
      <c r="S1946" s="1300"/>
    </row>
    <row r="1947" spans="1:19" s="1081" customFormat="1" hidden="1" outlineLevel="1">
      <c r="A1947" s="1072" t="str">
        <f t="shared" si="469"/>
        <v/>
      </c>
      <c r="B1947" s="1068" t="s">
        <v>1044</v>
      </c>
      <c r="C1947" s="1291"/>
      <c r="D1947" s="1198">
        <f>VLOOKUP($B1947,dongia1,DG!$B$5,)</f>
        <v>0</v>
      </c>
      <c r="E1947" s="1243" t="str">
        <f>VLOOKUP($B1947,dongia1,DG!$C$5,)</f>
        <v>Boulon 16x50+ 2 long đền vuông D18-50x50x3/Zn</v>
      </c>
      <c r="F1947" s="1198" t="str">
        <f>VLOOKUP($B1947,dongia1,DG!$D$5,)</f>
        <v>bộ</v>
      </c>
      <c r="G1947" s="1508">
        <f>+G1931*12</f>
        <v>0</v>
      </c>
      <c r="H1947" s="1399">
        <f>VLOOKUP($B1947,dongia1,DG!$F$5,)</f>
        <v>12400</v>
      </c>
      <c r="I1947" s="1467"/>
      <c r="J1947" s="1399"/>
      <c r="K1947" s="1399">
        <f>VLOOKUP($B1947,dongia1,DG!$H$5,)</f>
        <v>0</v>
      </c>
      <c r="L1947" s="1400">
        <f t="shared" si="470"/>
        <v>0</v>
      </c>
      <c r="M1947" s="1400">
        <f t="shared" si="471"/>
        <v>0</v>
      </c>
      <c r="N1947" s="1399"/>
      <c r="O1947" s="1400">
        <f t="shared" si="472"/>
        <v>0</v>
      </c>
      <c r="P1947" s="1507"/>
      <c r="Q1947" s="1300">
        <f t="shared" si="473"/>
        <v>0</v>
      </c>
      <c r="R1947" s="1300"/>
      <c r="S1947" s="1300"/>
    </row>
    <row r="1948" spans="1:19" s="1081" customFormat="1" hidden="1" outlineLevel="1">
      <c r="A1948" s="1072" t="str">
        <f>IF(G1948&lt;&gt;0,1,"")</f>
        <v/>
      </c>
      <c r="B1948" s="1068" t="s">
        <v>82</v>
      </c>
      <c r="C1948" s="1291"/>
      <c r="D1948" s="1198">
        <f>VLOOKUP($B1948,dongia1,DG!$B$5,)</f>
        <v>0</v>
      </c>
      <c r="E1948" s="1243" t="str">
        <f>VLOOKUP($B1948,dongia1,DG!$C$5,)</f>
        <v>Boulon 16x400+ 2 long đền vuông D18-50x50x3/Zn</v>
      </c>
      <c r="F1948" s="1198" t="str">
        <f>VLOOKUP($B1948,dongia1,DG!$D$5,)</f>
        <v>bộ</v>
      </c>
      <c r="G1948" s="1508"/>
      <c r="H1948" s="1399">
        <f>VLOOKUP($B1948,dongia1,DG!$F$5,)</f>
        <v>29900</v>
      </c>
      <c r="I1948" s="1467"/>
      <c r="J1948" s="1399"/>
      <c r="K1948" s="1399">
        <f>VLOOKUP($B1948,dongia1,DG!$H$5,)</f>
        <v>0</v>
      </c>
      <c r="L1948" s="1400">
        <f>H1948*G1948</f>
        <v>0</v>
      </c>
      <c r="M1948" s="1400">
        <f>I1948*G1948</f>
        <v>0</v>
      </c>
      <c r="N1948" s="1399"/>
      <c r="O1948" s="1400">
        <f>K1948*G1948</f>
        <v>0</v>
      </c>
      <c r="P1948" s="1507"/>
      <c r="Q1948" s="1300">
        <f>L1948/4</f>
        <v>0</v>
      </c>
      <c r="R1948" s="1300"/>
      <c r="S1948" s="1300"/>
    </row>
    <row r="1949" spans="1:19" s="1081" customFormat="1" hidden="1" outlineLevel="1">
      <c r="A1949" s="1072" t="str">
        <f>IF(G1949&lt;&gt;0,1,"")</f>
        <v/>
      </c>
      <c r="B1949" s="1068" t="s">
        <v>733</v>
      </c>
      <c r="C1949" s="1291"/>
      <c r="D1949" s="1198">
        <f>VLOOKUP($B1949,dongia1,DG!$B$5,)</f>
        <v>0</v>
      </c>
      <c r="E1949" s="1243" t="str">
        <f>VLOOKUP($B1949,dongia1,DG!$C$5,)</f>
        <v>Boulon 16x350+ 2 long đền vuông D18-50x50x3/Zn</v>
      </c>
      <c r="F1949" s="1198" t="str">
        <f>VLOOKUP($B1949,dongia1,DG!$D$5,)</f>
        <v>bộ</v>
      </c>
      <c r="G1949" s="1508"/>
      <c r="H1949" s="1399">
        <f>VLOOKUP($B1949,dongia1,DG!$F$5,)</f>
        <v>27900</v>
      </c>
      <c r="I1949" s="1467"/>
      <c r="J1949" s="1399"/>
      <c r="K1949" s="1399">
        <f>VLOOKUP($B1949,dongia1,DG!$H$5,)</f>
        <v>0</v>
      </c>
      <c r="L1949" s="1400">
        <f>H1949*G1949</f>
        <v>0</v>
      </c>
      <c r="M1949" s="1400">
        <f>I1949*G1949</f>
        <v>0</v>
      </c>
      <c r="N1949" s="1399"/>
      <c r="O1949" s="1400">
        <f>K1949*G1949</f>
        <v>0</v>
      </c>
      <c r="P1949" s="1507"/>
      <c r="Q1949" s="1300"/>
      <c r="R1949" s="1300"/>
      <c r="S1949" s="1300"/>
    </row>
    <row r="1950" spans="1:19" s="1081" customFormat="1" hidden="1" outlineLevel="1">
      <c r="A1950" s="1072" t="str">
        <f>IF(G1950&lt;&gt;0,1,"")</f>
        <v/>
      </c>
      <c r="B1950" s="1066" t="s">
        <v>4552</v>
      </c>
      <c r="C1950" s="1291"/>
      <c r="D1950" s="1198" t="str">
        <f>VLOOKUP($B1950,dongia1,DG!$B$5,)</f>
        <v>T4.9302</v>
      </c>
      <c r="E1950" s="1243" t="str">
        <f>VLOOKUP($B1950,dongia1,DG!$C$5,)</f>
        <v>Lắp xà thép trong phạm vi trạm</v>
      </c>
      <c r="F1950" s="1198" t="str">
        <f>VLOOKUP($B1950,dongia1,DG!$D$5,)</f>
        <v>kg</v>
      </c>
      <c r="G1950" s="1508">
        <f>SUM(G1933:G1942)</f>
        <v>0</v>
      </c>
      <c r="H1950" s="1399">
        <f>VLOOKUP($B1950,dongia1,DG!$F$5,)</f>
        <v>0</v>
      </c>
      <c r="I1950" s="1467"/>
      <c r="J1950" s="1399">
        <f>VLOOKUP($B1950,dongia1,DG!$G$5,)</f>
        <v>2025</v>
      </c>
      <c r="K1950" s="1399">
        <f>VLOOKUP($B1950,dongia1,DG!$H$5,)</f>
        <v>0</v>
      </c>
      <c r="L1950" s="1400">
        <f>H1950*G1950</f>
        <v>0</v>
      </c>
      <c r="M1950" s="1400">
        <f>I1950*G1950</f>
        <v>0</v>
      </c>
      <c r="N1950" s="1298">
        <f>J1950*G1950</f>
        <v>0</v>
      </c>
      <c r="O1950" s="1400">
        <f>K1950*G1950</f>
        <v>0</v>
      </c>
      <c r="P1950" s="1507"/>
      <c r="Q1950" s="1300"/>
      <c r="R1950" s="1300"/>
      <c r="S1950" s="1300"/>
    </row>
    <row r="1951" spans="1:19" s="1081" customFormat="1" hidden="1" outlineLevel="1">
      <c r="A1951" s="1072" t="str">
        <f>IF(G1951&lt;&gt;0,1,"")</f>
        <v/>
      </c>
      <c r="B1951" s="1295"/>
      <c r="C1951" s="1291">
        <f>IF(G1951&gt;0,C1931+1,C1927)</f>
        <v>0</v>
      </c>
      <c r="D1951" s="1292"/>
      <c r="E1951" s="1468" t="s">
        <v>4672</v>
      </c>
      <c r="F1951" s="1291" t="s">
        <v>2113</v>
      </c>
      <c r="G1951" s="1509">
        <f>+G1901*1</f>
        <v>0</v>
      </c>
      <c r="H1951" s="1467"/>
      <c r="I1951" s="1467"/>
      <c r="J1951" s="1467"/>
      <c r="K1951" s="1467"/>
      <c r="L1951" s="1400">
        <f t="shared" ref="L1951:L1977" si="474">H1951*G1951</f>
        <v>0</v>
      </c>
      <c r="M1951" s="1400">
        <f t="shared" ref="M1951:M1956" si="475">I1951*G1951</f>
        <v>0</v>
      </c>
      <c r="N1951" s="1400">
        <f t="shared" ref="N1951:N1956" si="476">J1951*G1951</f>
        <v>0</v>
      </c>
      <c r="O1951" s="1400">
        <f t="shared" ref="O1951:O1956" si="477">K1951*G1951</f>
        <v>0</v>
      </c>
      <c r="P1951" s="1507"/>
      <c r="Q1951" s="1300"/>
      <c r="R1951" s="1300"/>
      <c r="S1951" s="1300"/>
    </row>
    <row r="1952" spans="1:19" s="1081" customFormat="1" ht="14.4" hidden="1" outlineLevel="1">
      <c r="A1952" s="1072" t="str">
        <f>A1951</f>
        <v/>
      </c>
      <c r="B1952" s="1295"/>
      <c r="C1952" s="1291"/>
      <c r="D1952" s="1292"/>
      <c r="E1952" s="1301" t="s">
        <v>3399</v>
      </c>
      <c r="F1952" s="1302"/>
      <c r="G1952" s="1508"/>
      <c r="H1952" s="1467"/>
      <c r="I1952" s="1467"/>
      <c r="J1952" s="1467"/>
      <c r="K1952" s="1467"/>
      <c r="L1952" s="1400">
        <f t="shared" si="474"/>
        <v>0</v>
      </c>
      <c r="M1952" s="1400">
        <f t="shared" si="475"/>
        <v>0</v>
      </c>
      <c r="N1952" s="1400">
        <f t="shared" si="476"/>
        <v>0</v>
      </c>
      <c r="O1952" s="1400">
        <f t="shared" si="477"/>
        <v>0</v>
      </c>
      <c r="P1952" s="1507"/>
      <c r="Q1952" s="1300"/>
      <c r="R1952" s="1300"/>
      <c r="S1952" s="1300"/>
    </row>
    <row r="1953" spans="1:19" s="1081" customFormat="1" hidden="1" outlineLevel="1">
      <c r="A1953" s="1072" t="str">
        <f t="shared" ref="A1953:A1959" si="478">IF(G1953&lt;&gt;0,1,"")</f>
        <v/>
      </c>
      <c r="B1953" s="1067" t="s">
        <v>2115</v>
      </c>
      <c r="C1953" s="1291"/>
      <c r="D1953" s="1198">
        <f>VLOOKUP($B1953,dongia1,DG!$B$5,)</f>
        <v>0</v>
      </c>
      <c r="E1953" s="1243" t="str">
        <f>VLOOKUP($B1953,dongia1,DG!$C$5,)</f>
        <v>Đà Composite 110x80x5x2400</v>
      </c>
      <c r="F1953" s="1198" t="str">
        <f>VLOOKUP($B1953,dongia1,DG!$D$5,)</f>
        <v>cây</v>
      </c>
      <c r="G1953" s="1508">
        <f>+G1951*1</f>
        <v>0</v>
      </c>
      <c r="H1953" s="1399">
        <f>VLOOKUP($B1953,dongia1,DG!$F$5,)</f>
        <v>960000</v>
      </c>
      <c r="I1953" s="1399"/>
      <c r="J1953" s="1399">
        <v>0</v>
      </c>
      <c r="K1953" s="1399">
        <v>0</v>
      </c>
      <c r="L1953" s="1400">
        <f t="shared" si="474"/>
        <v>0</v>
      </c>
      <c r="M1953" s="1400">
        <f t="shared" si="475"/>
        <v>0</v>
      </c>
      <c r="N1953" s="1400">
        <f t="shared" si="476"/>
        <v>0</v>
      </c>
      <c r="O1953" s="1400">
        <f t="shared" si="477"/>
        <v>0</v>
      </c>
      <c r="P1953" s="1507"/>
      <c r="Q1953" s="1300"/>
      <c r="R1953" s="1300"/>
      <c r="S1953" s="1300"/>
    </row>
    <row r="1954" spans="1:19" s="1081" customFormat="1" hidden="1" outlineLevel="1">
      <c r="A1954" s="1072" t="str">
        <f t="shared" si="478"/>
        <v/>
      </c>
      <c r="B1954" s="1067" t="s">
        <v>2106</v>
      </c>
      <c r="C1954" s="1291"/>
      <c r="D1954" s="1198">
        <f>VLOOKUP($B1954,dongia1,DG!$B$5,)</f>
        <v>0</v>
      </c>
      <c r="E1954" s="1243" t="str">
        <f>VLOOKUP($B1954,dongia1,DG!$C$5,)</f>
        <v>Chống Composite 40x10x920</v>
      </c>
      <c r="F1954" s="1198" t="str">
        <f>VLOOKUP($B1954,dongia1,DG!$D$5,)</f>
        <v>Thanh</v>
      </c>
      <c r="G1954" s="1508">
        <f>+G1951*2</f>
        <v>0</v>
      </c>
      <c r="H1954" s="1399">
        <f>VLOOKUP($B1954,dongia1,DG!$F$5,)</f>
        <v>140000</v>
      </c>
      <c r="I1954" s="1399"/>
      <c r="J1954" s="1399">
        <v>0</v>
      </c>
      <c r="K1954" s="1399">
        <v>0</v>
      </c>
      <c r="L1954" s="1400">
        <f>H1954*G1954</f>
        <v>0</v>
      </c>
      <c r="M1954" s="1400">
        <f t="shared" si="475"/>
        <v>0</v>
      </c>
      <c r="N1954" s="1400">
        <f>J1954*G1954</f>
        <v>0</v>
      </c>
      <c r="O1954" s="1400">
        <f t="shared" si="477"/>
        <v>0</v>
      </c>
      <c r="P1954" s="1507"/>
      <c r="Q1954" s="1300"/>
      <c r="R1954" s="1300"/>
      <c r="S1954" s="1300"/>
    </row>
    <row r="1955" spans="1:19" s="1081" customFormat="1" hidden="1" outlineLevel="1">
      <c r="A1955" s="1072" t="str">
        <f t="shared" si="478"/>
        <v/>
      </c>
      <c r="B1955" s="1073" t="s">
        <v>428</v>
      </c>
      <c r="C1955" s="1291"/>
      <c r="D1955" s="1198">
        <f>VLOOKUP($B1955,dongia1,DG!$B$5,)</f>
        <v>0</v>
      </c>
      <c r="E1955" s="1243" t="str">
        <f>VLOOKUP($B1955,dongia1,DG!$C$5,)</f>
        <v>Bass LL bắt FCO và LA</v>
      </c>
      <c r="F1955" s="1198" t="str">
        <f>VLOOKUP($B1955,dongia1,DG!$D$5,)</f>
        <v>bộ</v>
      </c>
      <c r="G1955" s="1508">
        <f>+G1951*3</f>
        <v>0</v>
      </c>
      <c r="H1955" s="1399">
        <f>VLOOKUP($B1955,dongia1,DG!$F$5,)</f>
        <v>65000</v>
      </c>
      <c r="I1955" s="1399">
        <v>0</v>
      </c>
      <c r="J1955" s="1399">
        <v>0</v>
      </c>
      <c r="K1955" s="1399">
        <v>0</v>
      </c>
      <c r="L1955" s="1400">
        <f t="shared" si="474"/>
        <v>0</v>
      </c>
      <c r="M1955" s="1400">
        <f t="shared" si="475"/>
        <v>0</v>
      </c>
      <c r="N1955" s="1400">
        <f t="shared" si="476"/>
        <v>0</v>
      </c>
      <c r="O1955" s="1400">
        <f t="shared" si="477"/>
        <v>0</v>
      </c>
      <c r="P1955" s="1507"/>
      <c r="Q1955" s="1300"/>
      <c r="R1955" s="1300"/>
      <c r="S1955" s="1300"/>
    </row>
    <row r="1956" spans="1:19" s="1081" customFormat="1" hidden="1" outlineLevel="1">
      <c r="A1956" s="1072" t="str">
        <f t="shared" si="478"/>
        <v/>
      </c>
      <c r="B1956" s="1295" t="s">
        <v>4673</v>
      </c>
      <c r="C1956" s="1291"/>
      <c r="D1956" s="1198">
        <f>VLOOKUP($B1956,dongia1,DG!$B$5,)</f>
        <v>0</v>
      </c>
      <c r="E1956" s="1243" t="str">
        <f>VLOOKUP($B1956,dongia1,DG!$C$5,)</f>
        <v>Boulon 16x400+ 2 long đền vuông D18-50x50x3/Zn</v>
      </c>
      <c r="F1956" s="1198" t="str">
        <f>VLOOKUP($B1956,dongia1,DG!$D$5,)</f>
        <v>bộ</v>
      </c>
      <c r="G1956" s="1508">
        <f>+G1951*2</f>
        <v>0</v>
      </c>
      <c r="H1956" s="1399">
        <f>VLOOKUP($B1956,dongia1,DG!$F$5,)</f>
        <v>29900</v>
      </c>
      <c r="I1956" s="1467"/>
      <c r="J1956" s="1399">
        <v>0</v>
      </c>
      <c r="K1956" s="1399">
        <v>0</v>
      </c>
      <c r="L1956" s="1400">
        <f t="shared" si="474"/>
        <v>0</v>
      </c>
      <c r="M1956" s="1400">
        <f t="shared" si="475"/>
        <v>0</v>
      </c>
      <c r="N1956" s="1400">
        <f t="shared" si="476"/>
        <v>0</v>
      </c>
      <c r="O1956" s="1400">
        <f t="shared" si="477"/>
        <v>0</v>
      </c>
      <c r="P1956" s="1507"/>
      <c r="Q1956" s="1300"/>
      <c r="R1956" s="1300"/>
      <c r="S1956" s="1300"/>
    </row>
    <row r="1957" spans="1:19" s="1081" customFormat="1" hidden="1" outlineLevel="1">
      <c r="A1957" s="1072" t="str">
        <f t="shared" si="478"/>
        <v/>
      </c>
      <c r="B1957" s="1295" t="s">
        <v>4674</v>
      </c>
      <c r="C1957" s="1291"/>
      <c r="D1957" s="1198">
        <f>VLOOKUP($B1957,dongia1,DG!$B$5,)</f>
        <v>0</v>
      </c>
      <c r="E1957" s="1243" t="str">
        <f>VLOOKUP($B1957,dongia1,DG!$C$5,)</f>
        <v>Boulon 16x100+ 2 long đền vuông D18-50x50x3/Zn</v>
      </c>
      <c r="F1957" s="1198" t="str">
        <f>VLOOKUP($B1957,dongia1,DG!$D$5,)</f>
        <v>bộ</v>
      </c>
      <c r="G1957" s="1508">
        <f>+G1951*2</f>
        <v>0</v>
      </c>
      <c r="H1957" s="1399">
        <f>VLOOKUP($B1957,dongia1,DG!$F$5,)</f>
        <v>17400</v>
      </c>
      <c r="I1957" s="1467"/>
      <c r="J1957" s="1399">
        <v>0</v>
      </c>
      <c r="K1957" s="1399">
        <v>0</v>
      </c>
      <c r="L1957" s="1400">
        <f>H1957*G1957</f>
        <v>0</v>
      </c>
      <c r="M1957" s="1400">
        <f>I1957*G1957</f>
        <v>0</v>
      </c>
      <c r="N1957" s="1400">
        <f t="shared" ref="N1957:N1965" si="479">J1957*G1957</f>
        <v>0</v>
      </c>
      <c r="O1957" s="1400">
        <f>K1957*G1957</f>
        <v>0</v>
      </c>
      <c r="P1957" s="1507"/>
      <c r="Q1957" s="1300"/>
      <c r="R1957" s="1300"/>
      <c r="S1957" s="1300"/>
    </row>
    <row r="1958" spans="1:19" s="1081" customFormat="1" hidden="1" outlineLevel="1">
      <c r="A1958" s="1072" t="str">
        <f t="shared" si="478"/>
        <v/>
      </c>
      <c r="B1958" s="1066" t="s">
        <v>4554</v>
      </c>
      <c r="C1958" s="1291"/>
      <c r="D1958" s="1198" t="str">
        <f>VLOOKUP($B1958,dongia1,DG!$B$5,)</f>
        <v>D2.6011</v>
      </c>
      <c r="E1958" s="1243" t="str">
        <f>VLOOKUP($B1958,dongia1,DG!$C$5,)</f>
        <v>Lắp xà đỡ 15kg</v>
      </c>
      <c r="F1958" s="1198" t="str">
        <f>VLOOKUP($B1958,dongia1,DG!$D$5,)</f>
        <v>bộ</v>
      </c>
      <c r="G1958" s="1508">
        <f>+G1951</f>
        <v>0</v>
      </c>
      <c r="H1958" s="1298">
        <f>VLOOKUP($B1958,dongia1,DG!$F$5,)</f>
        <v>0</v>
      </c>
      <c r="I1958" s="1399"/>
      <c r="J1958" s="1399">
        <f>VLOOKUP($B1958,dongia1,DG!$G$5,)</f>
        <v>131511.15</v>
      </c>
      <c r="K1958" s="1399"/>
      <c r="L1958" s="1400">
        <f t="shared" si="474"/>
        <v>0</v>
      </c>
      <c r="M1958" s="1400"/>
      <c r="N1958" s="1298">
        <f t="shared" si="479"/>
        <v>0</v>
      </c>
      <c r="O1958" s="1400"/>
      <c r="P1958" s="1507"/>
      <c r="Q1958" s="1300"/>
      <c r="R1958" s="1300"/>
      <c r="S1958" s="1300"/>
    </row>
    <row r="1959" spans="1:19" s="1081" customFormat="1" hidden="1" outlineLevel="1">
      <c r="A1959" s="1072" t="str">
        <f t="shared" si="478"/>
        <v/>
      </c>
      <c r="B1959" s="1295"/>
      <c r="C1959" s="1291">
        <f>IF(G1959&gt;0,C1931+2,C1931)</f>
        <v>0</v>
      </c>
      <c r="D1959" s="1292"/>
      <c r="E1959" s="1468" t="s">
        <v>4675</v>
      </c>
      <c r="F1959" s="1291" t="s">
        <v>2113</v>
      </c>
      <c r="G1959" s="1509">
        <f>G1901*1</f>
        <v>0</v>
      </c>
      <c r="H1959" s="1467"/>
      <c r="I1959" s="1467"/>
      <c r="J1959" s="1467"/>
      <c r="K1959" s="1467"/>
      <c r="L1959" s="1400">
        <f t="shared" si="474"/>
        <v>0</v>
      </c>
      <c r="M1959" s="1400">
        <f t="shared" ref="M1959:M1964" si="480">I1959*G1959</f>
        <v>0</v>
      </c>
      <c r="N1959" s="1400">
        <f t="shared" si="479"/>
        <v>0</v>
      </c>
      <c r="O1959" s="1400">
        <f t="shared" ref="O1959:O1964" si="481">K1959*G1959</f>
        <v>0</v>
      </c>
      <c r="P1959" s="1507"/>
      <c r="Q1959" s="1300"/>
      <c r="R1959" s="1300"/>
      <c r="S1959" s="1300"/>
    </row>
    <row r="1960" spans="1:19" s="1081" customFormat="1" ht="14.4" hidden="1" outlineLevel="1">
      <c r="A1960" s="1072" t="str">
        <f>A1959</f>
        <v/>
      </c>
      <c r="B1960" s="1295"/>
      <c r="C1960" s="1291"/>
      <c r="D1960" s="1292"/>
      <c r="E1960" s="1301" t="s">
        <v>3399</v>
      </c>
      <c r="F1960" s="1302"/>
      <c r="G1960" s="1508"/>
      <c r="H1960" s="1467"/>
      <c r="I1960" s="1467"/>
      <c r="J1960" s="1467"/>
      <c r="K1960" s="1467"/>
      <c r="L1960" s="1400">
        <f t="shared" si="474"/>
        <v>0</v>
      </c>
      <c r="M1960" s="1400">
        <f t="shared" si="480"/>
        <v>0</v>
      </c>
      <c r="N1960" s="1400">
        <f t="shared" si="479"/>
        <v>0</v>
      </c>
      <c r="O1960" s="1400">
        <f t="shared" si="481"/>
        <v>0</v>
      </c>
      <c r="P1960" s="1507"/>
      <c r="Q1960" s="1300"/>
      <c r="R1960" s="1300"/>
      <c r="S1960" s="1300"/>
    </row>
    <row r="1961" spans="1:19" s="1081" customFormat="1" hidden="1" outlineLevel="1">
      <c r="A1961" s="1072" t="str">
        <f t="shared" ref="A1961:A1966" si="482">IF(G1961&lt;&gt;0,1,"")</f>
        <v/>
      </c>
      <c r="B1961" s="1068" t="s">
        <v>1626</v>
      </c>
      <c r="C1961" s="1291"/>
      <c r="D1961" s="1198">
        <f>VLOOKUP($B1961,dongia1,DG!$B$5,)</f>
        <v>0</v>
      </c>
      <c r="E1961" s="1243" t="str">
        <f>VLOOKUP($B1961,dongia1,DG!$C$5,)</f>
        <v>Sắt góc L75 x75 x8</v>
      </c>
      <c r="F1961" s="1198" t="str">
        <f>VLOOKUP($B1961,dongia1,DG!$D$5,)</f>
        <v>kg</v>
      </c>
      <c r="G1961" s="1508">
        <f>G1959*9.02*(2.2+4*0.07)</f>
        <v>0</v>
      </c>
      <c r="H1961" s="1298">
        <f>VLOOKUP($B1961,dongia1,DG!$F$5,)</f>
        <v>31625</v>
      </c>
      <c r="I1961" s="1399"/>
      <c r="J1961" s="1399">
        <v>0</v>
      </c>
      <c r="K1961" s="1399">
        <v>0</v>
      </c>
      <c r="L1961" s="1400">
        <f t="shared" si="474"/>
        <v>0</v>
      </c>
      <c r="M1961" s="1400">
        <f t="shared" si="480"/>
        <v>0</v>
      </c>
      <c r="N1961" s="1400">
        <f t="shared" si="479"/>
        <v>0</v>
      </c>
      <c r="O1961" s="1400">
        <f t="shared" si="481"/>
        <v>0</v>
      </c>
      <c r="P1961" s="1507"/>
      <c r="Q1961" s="1300"/>
      <c r="R1961" s="1300"/>
      <c r="S1961" s="1300"/>
    </row>
    <row r="1962" spans="1:19" s="1081" customFormat="1" hidden="1" outlineLevel="1">
      <c r="A1962" s="1072" t="str">
        <f t="shared" si="482"/>
        <v/>
      </c>
      <c r="B1962" s="1068" t="s">
        <v>518</v>
      </c>
      <c r="C1962" s="1291"/>
      <c r="D1962" s="1198">
        <f>VLOOKUP($B1962,dongia1,DG!$B$5,)</f>
        <v>0</v>
      </c>
      <c r="E1962" s="1243" t="str">
        <f>VLOOKUP($B1962,dongia1,DG!$C$5,)</f>
        <v>Sắt góc L50 x50 x5</v>
      </c>
      <c r="F1962" s="1198" t="str">
        <f>VLOOKUP($B1962,dongia1,DG!$D$5,)</f>
        <v>kg</v>
      </c>
      <c r="G1962" s="1508">
        <f>G1959*3.77*0.92*2</f>
        <v>0</v>
      </c>
      <c r="H1962" s="1298">
        <f>VLOOKUP($B1962,dongia1,DG!$F$5,)</f>
        <v>31625</v>
      </c>
      <c r="I1962" s="1399"/>
      <c r="J1962" s="1399">
        <v>0</v>
      </c>
      <c r="K1962" s="1399">
        <v>0</v>
      </c>
      <c r="L1962" s="1400">
        <f>H1962*G1962</f>
        <v>0</v>
      </c>
      <c r="M1962" s="1400">
        <f t="shared" si="480"/>
        <v>0</v>
      </c>
      <c r="N1962" s="1400">
        <f t="shared" si="479"/>
        <v>0</v>
      </c>
      <c r="O1962" s="1400">
        <f t="shared" si="481"/>
        <v>0</v>
      </c>
      <c r="P1962" s="1507"/>
      <c r="Q1962" s="1300"/>
      <c r="R1962" s="1300"/>
      <c r="S1962" s="1300"/>
    </row>
    <row r="1963" spans="1:19" s="1081" customFormat="1" hidden="1" outlineLevel="1">
      <c r="A1963" s="1072" t="str">
        <f t="shared" si="482"/>
        <v/>
      </c>
      <c r="B1963" s="1068" t="s">
        <v>1262</v>
      </c>
      <c r="C1963" s="1291"/>
      <c r="D1963" s="1198">
        <f>VLOOKUP($B1963,dongia1,DG!$B$5,)</f>
        <v>0</v>
      </c>
      <c r="E1963" s="1243" t="str">
        <f>VLOOKUP($B1963,dongia1,DG!$C$5,)</f>
        <v>Boulon 16x300+ 2 long đền vuông D18-50x50x3/Zn</v>
      </c>
      <c r="F1963" s="1198" t="str">
        <f>VLOOKUP($B1963,dongia1,DG!$D$5,)</f>
        <v>bộ</v>
      </c>
      <c r="G1963" s="1508">
        <f>+G1959*2</f>
        <v>0</v>
      </c>
      <c r="H1963" s="1298">
        <f>VLOOKUP($B1963,dongia1,DG!$F$5,)</f>
        <v>25400</v>
      </c>
      <c r="I1963" s="1399"/>
      <c r="J1963" s="1399">
        <v>0</v>
      </c>
      <c r="K1963" s="1399">
        <v>0</v>
      </c>
      <c r="L1963" s="1400">
        <f>H1963*G1963</f>
        <v>0</v>
      </c>
      <c r="M1963" s="1400">
        <f t="shared" si="480"/>
        <v>0</v>
      </c>
      <c r="N1963" s="1400">
        <f t="shared" si="479"/>
        <v>0</v>
      </c>
      <c r="O1963" s="1400">
        <f t="shared" si="481"/>
        <v>0</v>
      </c>
      <c r="P1963" s="1507"/>
      <c r="Q1963" s="1300"/>
      <c r="R1963" s="1300"/>
      <c r="S1963" s="1300"/>
    </row>
    <row r="1964" spans="1:19" s="1081" customFormat="1" hidden="1" outlineLevel="1">
      <c r="A1964" s="1072" t="str">
        <f t="shared" si="482"/>
        <v/>
      </c>
      <c r="B1964" s="1068" t="s">
        <v>1044</v>
      </c>
      <c r="C1964" s="1291"/>
      <c r="D1964" s="1198">
        <f>VLOOKUP($B1964,dongia1,DG!$B$5,)</f>
        <v>0</v>
      </c>
      <c r="E1964" s="1243" t="str">
        <f>VLOOKUP($B1964,dongia1,DG!$C$5,)</f>
        <v>Boulon 16x50+ 2 long đền vuông D18-50x50x3/Zn</v>
      </c>
      <c r="F1964" s="1198" t="str">
        <f>VLOOKUP($B1964,dongia1,DG!$D$5,)</f>
        <v>bộ</v>
      </c>
      <c r="G1964" s="1508">
        <f>G1959*2</f>
        <v>0</v>
      </c>
      <c r="H1964" s="1298">
        <f>VLOOKUP($B1964,dongia1,DG!$F$5,)</f>
        <v>12400</v>
      </c>
      <c r="I1964" s="1399"/>
      <c r="J1964" s="1399">
        <v>0</v>
      </c>
      <c r="K1964" s="1399">
        <v>0</v>
      </c>
      <c r="L1964" s="1400">
        <f>H1964*G1964</f>
        <v>0</v>
      </c>
      <c r="M1964" s="1400">
        <f t="shared" si="480"/>
        <v>0</v>
      </c>
      <c r="N1964" s="1400">
        <f t="shared" si="479"/>
        <v>0</v>
      </c>
      <c r="O1964" s="1400">
        <f t="shared" si="481"/>
        <v>0</v>
      </c>
      <c r="P1964" s="1507"/>
      <c r="Q1964" s="1300"/>
      <c r="R1964" s="1300"/>
      <c r="S1964" s="1300"/>
    </row>
    <row r="1965" spans="1:19" s="1081" customFormat="1" hidden="1" outlineLevel="1">
      <c r="A1965" s="1072" t="str">
        <f t="shared" si="482"/>
        <v/>
      </c>
      <c r="B1965" s="1066" t="s">
        <v>4552</v>
      </c>
      <c r="C1965" s="1291"/>
      <c r="D1965" s="1198" t="str">
        <f>VLOOKUP($B1965,dongia1,DG!$B$5,)</f>
        <v>T4.9302</v>
      </c>
      <c r="E1965" s="1243" t="str">
        <f>VLOOKUP($B1965,dongia1,DG!$C$5,)</f>
        <v>Lắp xà thép trong phạm vi trạm</v>
      </c>
      <c r="F1965" s="1198" t="str">
        <f>VLOOKUP($B1965,dongia1,DG!$D$5,)</f>
        <v>kg</v>
      </c>
      <c r="G1965" s="1508">
        <f>SUM(G1961:G1962)</f>
        <v>0</v>
      </c>
      <c r="H1965" s="1298">
        <f>VLOOKUP($B1965,dongia1,DG!$F$5,)</f>
        <v>0</v>
      </c>
      <c r="I1965" s="1399"/>
      <c r="J1965" s="1399">
        <f>VLOOKUP($B1965,dongia1,DG!$G$5,)</f>
        <v>2025</v>
      </c>
      <c r="K1965" s="1399"/>
      <c r="L1965" s="1400">
        <f t="shared" si="474"/>
        <v>0</v>
      </c>
      <c r="M1965" s="1400"/>
      <c r="N1965" s="1298">
        <f t="shared" si="479"/>
        <v>0</v>
      </c>
      <c r="O1965" s="1400"/>
      <c r="P1965" s="1507"/>
      <c r="Q1965" s="1300"/>
      <c r="R1965" s="1300"/>
      <c r="S1965" s="1300"/>
    </row>
    <row r="1966" spans="1:19" s="1081" customFormat="1" hidden="1" outlineLevel="1">
      <c r="A1966" s="1072" t="str">
        <f t="shared" si="482"/>
        <v/>
      </c>
      <c r="B1966" s="1295"/>
      <c r="C1966" s="1291">
        <f>IF(G1966&gt;0,C1959+1,C1959)</f>
        <v>0</v>
      </c>
      <c r="D1966" s="1292"/>
      <c r="E1966" s="1468" t="s">
        <v>3440</v>
      </c>
      <c r="F1966" s="1291" t="s">
        <v>2113</v>
      </c>
      <c r="G1966" s="1509">
        <f>G1901</f>
        <v>0</v>
      </c>
      <c r="H1966" s="1298"/>
      <c r="I1966" s="1298"/>
      <c r="J1966" s="1298"/>
      <c r="K1966" s="1298"/>
      <c r="L1966" s="1298">
        <f t="shared" si="474"/>
        <v>0</v>
      </c>
      <c r="M1966" s="1298">
        <f>I1966*G1966</f>
        <v>0</v>
      </c>
      <c r="N1966" s="1298">
        <f t="shared" ref="N1966:N1977" si="483">J1966*G1966</f>
        <v>0</v>
      </c>
      <c r="O1966" s="1298">
        <f>K1966*G1966</f>
        <v>0</v>
      </c>
      <c r="P1966" s="1499"/>
      <c r="Q1966" s="1300"/>
      <c r="R1966" s="1300"/>
      <c r="S1966" s="1300"/>
    </row>
    <row r="1967" spans="1:19" s="1081" customFormat="1" ht="14.4" hidden="1" outlineLevel="1">
      <c r="A1967" s="1072" t="str">
        <f>+A1966</f>
        <v/>
      </c>
      <c r="B1967" s="1469"/>
      <c r="C1967" s="1291"/>
      <c r="D1967" s="1292"/>
      <c r="E1967" s="1301" t="s">
        <v>3399</v>
      </c>
      <c r="F1967" s="1302"/>
      <c r="G1967" s="1508"/>
      <c r="H1967" s="1298"/>
      <c r="I1967" s="1298"/>
      <c r="J1967" s="1298"/>
      <c r="K1967" s="1298"/>
      <c r="L1967" s="1298">
        <f t="shared" si="474"/>
        <v>0</v>
      </c>
      <c r="M1967" s="1298">
        <f>I1967*G1967</f>
        <v>0</v>
      </c>
      <c r="N1967" s="1298">
        <f t="shared" si="483"/>
        <v>0</v>
      </c>
      <c r="O1967" s="1298">
        <f>K1967*G1967</f>
        <v>0</v>
      </c>
      <c r="P1967" s="1499"/>
      <c r="Q1967" s="1300"/>
      <c r="R1967" s="1300"/>
      <c r="S1967" s="1300"/>
    </row>
    <row r="1968" spans="1:19" s="1081" customFormat="1" hidden="1" outlineLevel="1">
      <c r="A1968" s="1072" t="str">
        <f t="shared" ref="A1968:A1977" si="484">IF(G1968&lt;&gt;0,1,"")</f>
        <v/>
      </c>
      <c r="B1968" s="1295" t="s">
        <v>1200</v>
      </c>
      <c r="C1968" s="1291"/>
      <c r="D1968" s="1198">
        <f>VLOOKUP($B1968,dongia1,DG!$B$5,)</f>
        <v>0</v>
      </c>
      <c r="E1968" s="1243" t="str">
        <f>VLOOKUP($B1968,dongia1,DG!$C$5,)</f>
        <v>Cáp đồng trần M25mm2</v>
      </c>
      <c r="F1968" s="1198" t="str">
        <f>VLOOKUP($B1968,dongia1,DG!$D$5,)</f>
        <v>kg</v>
      </c>
      <c r="G1968" s="1508">
        <f>($H$3+20)*0.224*G1966</f>
        <v>0</v>
      </c>
      <c r="H1968" s="1298">
        <f>VLOOKUP($B1968,dongia1,DG!$F$5,)</f>
        <v>255500</v>
      </c>
      <c r="I1968" s="1298"/>
      <c r="J1968" s="1298">
        <f>VLOOKUP($B1968,dongia1,DG!$G$5,)</f>
        <v>0</v>
      </c>
      <c r="K1968" s="1298">
        <f>VLOOKUP($B1968,dongia1,DG!$H$5,)</f>
        <v>0</v>
      </c>
      <c r="L1968" s="1298">
        <f t="shared" si="474"/>
        <v>0</v>
      </c>
      <c r="M1968" s="1298">
        <f>I1968*G1968</f>
        <v>0</v>
      </c>
      <c r="N1968" s="1298">
        <f t="shared" si="483"/>
        <v>0</v>
      </c>
      <c r="O1968" s="1298">
        <f>K1968*G1968</f>
        <v>0</v>
      </c>
      <c r="P1968" s="1499"/>
      <c r="Q1968" s="1300"/>
      <c r="R1968" s="1300"/>
      <c r="S1968" s="1300"/>
    </row>
    <row r="1969" spans="1:19" s="1081" customFormat="1" hidden="1" outlineLevel="1">
      <c r="A1969" s="1072" t="str">
        <f t="shared" si="484"/>
        <v/>
      </c>
      <c r="B1969" s="1068" t="s">
        <v>1098</v>
      </c>
      <c r="C1969" s="1291"/>
      <c r="D1969" s="1198">
        <f>VLOOKUP($B1969,dongia1,DG!$B$5,)</f>
        <v>0</v>
      </c>
      <c r="E1969" s="1243" t="str">
        <f>VLOOKUP($B1969,dongia1,DG!$C$5,)</f>
        <v>Cọc tiếp đất Þ 16- 2,4m + kẹp cọc</v>
      </c>
      <c r="F1969" s="1198" t="str">
        <f>VLOOKUP($B1969,dongia1,DG!$D$5,)</f>
        <v>bộ</v>
      </c>
      <c r="G1969" s="1508">
        <f>$H$2*G1966</f>
        <v>0</v>
      </c>
      <c r="H1969" s="1298">
        <f>VLOOKUP($B1969,dongia1,DG!$F$5,)</f>
        <v>160000</v>
      </c>
      <c r="I1969" s="1298"/>
      <c r="J1969" s="1298">
        <f>VLOOKUP($B1969,dongia1,DG!$G$5,)</f>
        <v>0</v>
      </c>
      <c r="K1969" s="1298">
        <f>VLOOKUP($B1969,dongia1,DG!$H$5,)</f>
        <v>0</v>
      </c>
      <c r="L1969" s="1298">
        <f t="shared" si="474"/>
        <v>0</v>
      </c>
      <c r="M1969" s="1298">
        <f>I1969*G1969</f>
        <v>0</v>
      </c>
      <c r="N1969" s="1298">
        <f t="shared" si="483"/>
        <v>0</v>
      </c>
      <c r="O1969" s="1298">
        <f>K1969*G1969</f>
        <v>0</v>
      </c>
      <c r="P1969" s="1499"/>
      <c r="Q1969" s="1300"/>
      <c r="R1969" s="1300"/>
      <c r="S1969" s="1300"/>
    </row>
    <row r="1970" spans="1:19" s="1081" customFormat="1" hidden="1" outlineLevel="1">
      <c r="A1970" s="1072" t="str">
        <f t="shared" si="484"/>
        <v/>
      </c>
      <c r="B1970" s="1068" t="s">
        <v>2040</v>
      </c>
      <c r="C1970" s="1291"/>
      <c r="D1970" s="1198">
        <f>VLOOKUP($B1970,dongia1,DG!$B$5,)</f>
        <v>0</v>
      </c>
      <c r="E1970" s="1243" t="str">
        <f>VLOOKUP($B1970,dongia1,DG!$C$5,)</f>
        <v xml:space="preserve">Ống PVC D21x1,6mm </v>
      </c>
      <c r="F1970" s="1198" t="str">
        <f>VLOOKUP($B1970,dongia1,DG!$D$5,)</f>
        <v>m</v>
      </c>
      <c r="G1970" s="1508">
        <f>G1966*8*0</f>
        <v>0</v>
      </c>
      <c r="H1970" s="1298">
        <f>VLOOKUP($B1970,dongia1,DG!$F$5,)</f>
        <v>6200</v>
      </c>
      <c r="I1970" s="1298"/>
      <c r="J1970" s="1298">
        <f>VLOOKUP($B1970,dongia1,DG!$G$5,)</f>
        <v>0</v>
      </c>
      <c r="K1970" s="1298">
        <f>VLOOKUP($B1970,dongia1,DG!$H$5,)</f>
        <v>0</v>
      </c>
      <c r="L1970" s="1298">
        <f t="shared" si="474"/>
        <v>0</v>
      </c>
      <c r="M1970" s="1298">
        <f>I1970*G1970</f>
        <v>0</v>
      </c>
      <c r="N1970" s="1298">
        <f t="shared" si="483"/>
        <v>0</v>
      </c>
      <c r="O1970" s="1298">
        <f>K1970*G1970</f>
        <v>0</v>
      </c>
      <c r="P1970" s="1507"/>
      <c r="Q1970" s="1300"/>
      <c r="R1970" s="1300"/>
      <c r="S1970" s="1300"/>
    </row>
    <row r="1971" spans="1:19" s="1081" customFormat="1" hidden="1" outlineLevel="1">
      <c r="A1971" s="1072" t="str">
        <f t="shared" si="484"/>
        <v/>
      </c>
      <c r="B1971" s="1470" t="s">
        <v>205</v>
      </c>
      <c r="C1971" s="1291"/>
      <c r="D1971" s="1198">
        <f>VLOOKUP($B1971,dongia1,DG!$B$5,)</f>
        <v>0</v>
      </c>
      <c r="E1971" s="1243" t="str">
        <f>VLOOKUP($B1971,dongia1,DG!$C$5,)</f>
        <v>Kẹp ép WR cỡ dây 50mm2</v>
      </c>
      <c r="F1971" s="1198" t="str">
        <f>VLOOKUP($B1971,dongia1,DG!$D$5,)</f>
        <v>cái</v>
      </c>
      <c r="G1971" s="1508">
        <f>2*G1966</f>
        <v>0</v>
      </c>
      <c r="H1971" s="1298">
        <f>VLOOKUP($B1971,dongia1,DG!$F$5,)</f>
        <v>8000</v>
      </c>
      <c r="I1971" s="1298"/>
      <c r="J1971" s="1298">
        <f>VLOOKUP($B1971,dongia1,DG!$G$5,)</f>
        <v>0</v>
      </c>
      <c r="K1971" s="1298"/>
      <c r="L1971" s="1298">
        <f t="shared" si="474"/>
        <v>0</v>
      </c>
      <c r="M1971" s="1298"/>
      <c r="N1971" s="1298">
        <f t="shared" si="483"/>
        <v>0</v>
      </c>
      <c r="O1971" s="1298"/>
      <c r="P1971" s="1499"/>
      <c r="Q1971" s="1300"/>
      <c r="R1971" s="1300"/>
      <c r="S1971" s="1300"/>
    </row>
    <row r="1972" spans="1:19" s="1081" customFormat="1" hidden="1" outlineLevel="1">
      <c r="A1972" s="1072" t="str">
        <f t="shared" si="484"/>
        <v/>
      </c>
      <c r="B1972" s="1470" t="s">
        <v>42</v>
      </c>
      <c r="C1972" s="1291"/>
      <c r="D1972" s="1198" t="str">
        <f>VLOOKUP($B1972,dongia1,DG!$B$5,)</f>
        <v>D4.5002</v>
      </c>
      <c r="E1972" s="1243" t="str">
        <f>VLOOKUP($B1972,dongia1,DG!$C$5,)</f>
        <v>Đầu cosse ép Cu 50mm2</v>
      </c>
      <c r="F1972" s="1198" t="str">
        <f>VLOOKUP($B1972,dongia1,DG!$D$5,)</f>
        <v>cái</v>
      </c>
      <c r="G1972" s="1508">
        <f>G1966*14</f>
        <v>0</v>
      </c>
      <c r="H1972" s="1298">
        <f>VLOOKUP($B1972,dongia1,DG!$F$5,)</f>
        <v>9100</v>
      </c>
      <c r="I1972" s="1298"/>
      <c r="J1972" s="1298">
        <f>VLOOKUP($B1972,dongia1,DG!$G$5,)</f>
        <v>10608.955000000002</v>
      </c>
      <c r="K1972" s="1298"/>
      <c r="L1972" s="1298">
        <f t="shared" si="474"/>
        <v>0</v>
      </c>
      <c r="M1972" s="1298"/>
      <c r="N1972" s="1298">
        <f t="shared" si="483"/>
        <v>0</v>
      </c>
      <c r="O1972" s="1298"/>
      <c r="P1972" s="1499"/>
      <c r="Q1972" s="1300"/>
      <c r="R1972" s="1300"/>
      <c r="S1972" s="1300"/>
    </row>
    <row r="1973" spans="1:19" s="1081" customFormat="1" hidden="1" outlineLevel="1">
      <c r="A1973" s="1072" t="str">
        <f t="shared" si="484"/>
        <v/>
      </c>
      <c r="B1973" s="1470" t="s">
        <v>903</v>
      </c>
      <c r="C1973" s="1471"/>
      <c r="D1973" s="1198">
        <f>VLOOKUP($B1973,dongia1,DG!$B$5,)</f>
        <v>0</v>
      </c>
      <c r="E1973" s="1243" t="str">
        <f>VLOOKUP($B1973,dongia1,DG!$C$5,)</f>
        <v>Ốc xiết cáp cỡ 25mm2</v>
      </c>
      <c r="F1973" s="1198" t="str">
        <f>VLOOKUP($B1973,dongia1,DG!$D$5,)</f>
        <v>cái</v>
      </c>
      <c r="G1973" s="1508">
        <f>IF(G1970&lt;=12,15,21)*G1966</f>
        <v>0</v>
      </c>
      <c r="H1973" s="1298">
        <f>VLOOKUP($B1973,dongia1,DG!$F$5,)</f>
        <v>17600</v>
      </c>
      <c r="I1973" s="1298"/>
      <c r="J1973" s="1298">
        <f>VLOOKUP($B1973,dongia1,DG!$G$5,)</f>
        <v>0</v>
      </c>
      <c r="K1973" s="1298"/>
      <c r="L1973" s="1298">
        <f t="shared" si="474"/>
        <v>0</v>
      </c>
      <c r="M1973" s="1298">
        <f>I1973*G1973</f>
        <v>0</v>
      </c>
      <c r="N1973" s="1298">
        <f t="shared" si="483"/>
        <v>0</v>
      </c>
      <c r="O1973" s="1298">
        <f>K1973*G1973</f>
        <v>0</v>
      </c>
      <c r="P1973" s="1499"/>
      <c r="Q1973" s="1300"/>
      <c r="R1973" s="1300"/>
      <c r="S1973" s="1300"/>
    </row>
    <row r="1974" spans="1:19" s="1081" customFormat="1" hidden="1" outlineLevel="1">
      <c r="A1974" s="1072" t="str">
        <f t="shared" si="484"/>
        <v/>
      </c>
      <c r="B1974" s="1068" t="s">
        <v>1490</v>
      </c>
      <c r="C1974" s="1471"/>
      <c r="D1974" s="1198">
        <f>VLOOKUP($B1974,dongia1,DG!$B$5,)</f>
        <v>0</v>
      </c>
      <c r="E1974" s="1243" t="str">
        <f>VLOOKUP($B1974,dongia1,DG!$C$5,)</f>
        <v>Cổ dê kẹp ống PVC (STK) Þ 21</v>
      </c>
      <c r="F1974" s="1198" t="str">
        <f>VLOOKUP($B1974,dongia1,DG!$D$5,)</f>
        <v>bộ</v>
      </c>
      <c r="G1974" s="1508">
        <f>+G1966*4*0</f>
        <v>0</v>
      </c>
      <c r="H1974" s="1298">
        <f>VLOOKUP($B1974,dongia1,DG!$F$5,)</f>
        <v>43000</v>
      </c>
      <c r="I1974" s="1298"/>
      <c r="J1974" s="1298">
        <f>VLOOKUP($B1974,dongia1,DG!$G$5,)</f>
        <v>0</v>
      </c>
      <c r="K1974" s="1298"/>
      <c r="L1974" s="1298">
        <f t="shared" si="474"/>
        <v>0</v>
      </c>
      <c r="M1974" s="1298">
        <f>I1974*G1974</f>
        <v>0</v>
      </c>
      <c r="N1974" s="1298">
        <f t="shared" si="483"/>
        <v>0</v>
      </c>
      <c r="O1974" s="1298">
        <f>K1974*G1974</f>
        <v>0</v>
      </c>
      <c r="P1974" s="1499"/>
      <c r="Q1974" s="1300"/>
      <c r="R1974" s="1300"/>
      <c r="S1974" s="1300"/>
    </row>
    <row r="1975" spans="1:19" s="1081" customFormat="1" hidden="1" outlineLevel="1">
      <c r="A1975" s="1072" t="str">
        <f t="shared" si="484"/>
        <v/>
      </c>
      <c r="B1975" s="1068" t="s">
        <v>211</v>
      </c>
      <c r="C1975" s="1471"/>
      <c r="D1975" s="1198">
        <f>VLOOKUP($B1975,dongia1,DG!$B$5,)</f>
        <v>0</v>
      </c>
      <c r="E1975" s="1243" t="str">
        <f>VLOOKUP($B1975,dongia1,DG!$C$5,)</f>
        <v>Khoan giếng tiếp địa</v>
      </c>
      <c r="F1975" s="1198" t="str">
        <f>VLOOKUP($B1975,dongia1,DG!$D$5,)</f>
        <v>Cái</v>
      </c>
      <c r="G1975" s="1508">
        <f>G1966*2</f>
        <v>0</v>
      </c>
      <c r="H1975" s="1298">
        <f>VLOOKUP($B1975,dongia1,DG!$F$5,)</f>
        <v>0</v>
      </c>
      <c r="I1975" s="1298"/>
      <c r="J1975" s="1298">
        <f>VLOOKUP($B1975,dongia1,DG!$G$5,)</f>
        <v>1500000</v>
      </c>
      <c r="K1975" s="1298"/>
      <c r="L1975" s="1298">
        <f t="shared" si="474"/>
        <v>0</v>
      </c>
      <c r="M1975" s="1298">
        <f>I1975*G1975</f>
        <v>0</v>
      </c>
      <c r="N1975" s="1298">
        <f t="shared" si="483"/>
        <v>0</v>
      </c>
      <c r="O1975" s="1298">
        <f>K1975*G1975</f>
        <v>0</v>
      </c>
      <c r="P1975" s="1499"/>
      <c r="Q1975" s="1300"/>
      <c r="R1975" s="1300"/>
      <c r="S1975" s="1300"/>
    </row>
    <row r="1976" spans="1:19" s="1081" customFormat="1" hidden="1" outlineLevel="1">
      <c r="A1976" s="1072" t="str">
        <f t="shared" si="484"/>
        <v/>
      </c>
      <c r="B1976" s="1068" t="s">
        <v>4483</v>
      </c>
      <c r="C1976" s="1471"/>
      <c r="D1976" s="1198">
        <f>VLOOKUP($B1976,dongia1,DG!$B$5,)</f>
        <v>0</v>
      </c>
      <c r="E1976" s="1243" t="str">
        <f>VLOOKUP($B1976,dongia1,DG!$C$5,)</f>
        <v>Thanh sắt V50x50x5-4000 - 16kg/thanh</v>
      </c>
      <c r="F1976" s="1198" t="str">
        <f>VLOOKUP($B1976,dongia1,DG!$D$5,)</f>
        <v>kg</v>
      </c>
      <c r="G1976" s="1508">
        <f>5*16*G1975</f>
        <v>0</v>
      </c>
      <c r="H1976" s="1298">
        <f>VLOOKUP($B1976,dongia1,DG!$F$5,)</f>
        <v>31625</v>
      </c>
      <c r="I1976" s="1298"/>
      <c r="J1976" s="1298">
        <f>VLOOKUP($B1976,dongia1,DG!$G$5,)</f>
        <v>0</v>
      </c>
      <c r="K1976" s="1298"/>
      <c r="L1976" s="1298">
        <f t="shared" si="474"/>
        <v>0</v>
      </c>
      <c r="M1976" s="1298">
        <f>I1976*G1976</f>
        <v>0</v>
      </c>
      <c r="N1976" s="1298">
        <f t="shared" si="483"/>
        <v>0</v>
      </c>
      <c r="O1976" s="1298">
        <f>K1976*G1976</f>
        <v>0</v>
      </c>
      <c r="P1976" s="1499"/>
      <c r="Q1976" s="1300"/>
      <c r="R1976" s="1300"/>
      <c r="S1976" s="1300"/>
    </row>
    <row r="1977" spans="1:19" s="1081" customFormat="1" hidden="1" outlineLevel="1">
      <c r="A1977" s="1072" t="str">
        <f t="shared" si="484"/>
        <v/>
      </c>
      <c r="B1977" s="1068" t="s">
        <v>4484</v>
      </c>
      <c r="C1977" s="1471"/>
      <c r="D1977" s="1198" t="str">
        <f>VLOOKUP($B1977,dongia1,DG!$B$5,)</f>
        <v>07.1201</v>
      </c>
      <c r="E1977" s="1243" t="str">
        <f>VLOOKUP($B1977,dongia1,DG!$C$5,)</f>
        <v>Hàn thanh sắt V50x50x5-4000/Zn thành cọc dài 20 mét</v>
      </c>
      <c r="F1977" s="1198" t="str">
        <f>VLOOKUP($B1977,dongia1,DG!$D$5,)</f>
        <v>mối hàn</v>
      </c>
      <c r="G1977" s="1508">
        <f>G1966*4*G1975</f>
        <v>0</v>
      </c>
      <c r="H1977" s="1298">
        <f>VLOOKUP($B1977,dongia1,DG!$F$5,)</f>
        <v>0</v>
      </c>
      <c r="I1977" s="1298"/>
      <c r="J1977" s="1298">
        <f>VLOOKUP($B1977,dongia1,DG!$G$5,)</f>
        <v>55638</v>
      </c>
      <c r="K1977" s="1298"/>
      <c r="L1977" s="1298">
        <f t="shared" si="474"/>
        <v>0</v>
      </c>
      <c r="M1977" s="1298">
        <f>I1977*G1977</f>
        <v>0</v>
      </c>
      <c r="N1977" s="1298">
        <f t="shared" si="483"/>
        <v>0</v>
      </c>
      <c r="O1977" s="1298">
        <f>K1977*G1977</f>
        <v>0</v>
      </c>
      <c r="P1977" s="1499"/>
      <c r="Q1977" s="1300"/>
      <c r="R1977" s="1300"/>
      <c r="S1977" s="1300"/>
    </row>
    <row r="1978" spans="1:19" s="1081" customFormat="1" hidden="1" outlineLevel="1">
      <c r="A1978" s="1072"/>
      <c r="B1978" s="1068"/>
      <c r="C1978" s="1471"/>
      <c r="D1978" s="1198"/>
      <c r="E1978" s="1243"/>
      <c r="F1978" s="1198"/>
      <c r="G1978" s="1508"/>
      <c r="H1978" s="1298"/>
      <c r="I1978" s="1298"/>
      <c r="J1978" s="1298"/>
      <c r="K1978" s="1298"/>
      <c r="L1978" s="1298"/>
      <c r="M1978" s="1298"/>
      <c r="N1978" s="1298"/>
      <c r="O1978" s="1298"/>
      <c r="P1978" s="1437"/>
      <c r="Q1978" s="1300"/>
      <c r="R1978" s="1300"/>
      <c r="S1978" s="1300"/>
    </row>
    <row r="1979" spans="1:19" s="1081" customFormat="1" hidden="1" outlineLevel="1">
      <c r="A1979" s="1072" t="str">
        <f>IF(G1979&lt;&gt;0,1,"")</f>
        <v/>
      </c>
      <c r="B1979" s="1068" t="s">
        <v>4491</v>
      </c>
      <c r="C1979" s="1471"/>
      <c r="D1979" s="1198">
        <f>VLOOKUP($B1979,dongia1,DG!$B$5,)</f>
        <v>0</v>
      </c>
      <c r="E1979" s="1243" t="str">
        <f>VLOOKUP($B1979,dongia1,DG!$C$5,)</f>
        <v>Sắt tròn Þ8 thanh dài 2m (hàn bass 2 đầu, mạ kẽm)</v>
      </c>
      <c r="F1979" s="1198" t="str">
        <f>VLOOKUP($B1979,dongia1,DG!$D$5,)</f>
        <v xml:space="preserve">thanh </v>
      </c>
      <c r="G1979" s="1508">
        <f>G1966*6</f>
        <v>0</v>
      </c>
      <c r="H1979" s="1298">
        <f>VLOOKUP($B1979,dongia1,DG!$F$5,)</f>
        <v>38105</v>
      </c>
      <c r="I1979" s="1298"/>
      <c r="J1979" s="1298">
        <f>VLOOKUP($B1979,dongia1,DG!$G$5,)</f>
        <v>0</v>
      </c>
      <c r="K1979" s="1298"/>
      <c r="L1979" s="1298">
        <f>H1979*G1979</f>
        <v>0</v>
      </c>
      <c r="M1979" s="1298">
        <f>I1979*G1979</f>
        <v>0</v>
      </c>
      <c r="N1979" s="1298">
        <f>J1979*G1979</f>
        <v>0</v>
      </c>
      <c r="O1979" s="1298">
        <f>K1979*G1979</f>
        <v>0</v>
      </c>
      <c r="P1979" s="1499"/>
      <c r="Q1979" s="1300"/>
      <c r="R1979" s="1300"/>
      <c r="S1979" s="1300"/>
    </row>
    <row r="1980" spans="1:19" s="1081" customFormat="1" hidden="1" outlineLevel="1">
      <c r="A1980" s="1072"/>
      <c r="B1980" s="1068"/>
      <c r="C1980" s="1471"/>
      <c r="D1980" s="1198"/>
      <c r="E1980" s="1243"/>
      <c r="F1980" s="1198"/>
      <c r="G1980" s="1508"/>
      <c r="H1980" s="1298"/>
      <c r="I1980" s="1298"/>
      <c r="J1980" s="1298"/>
      <c r="K1980" s="1298"/>
      <c r="L1980" s="1298"/>
      <c r="M1980" s="1298"/>
      <c r="N1980" s="1298"/>
      <c r="O1980" s="1298"/>
      <c r="P1980" s="1437"/>
      <c r="Q1980" s="1300"/>
      <c r="R1980" s="1300"/>
      <c r="S1980" s="1300"/>
    </row>
    <row r="1981" spans="1:19" s="1081" customFormat="1" hidden="1" outlineLevel="1">
      <c r="A1981" s="1072" t="str">
        <f t="shared" ref="A1981:A1986" si="485">IF(G1981&lt;&gt;0,1,"")</f>
        <v/>
      </c>
      <c r="B1981" s="1068" t="s">
        <v>4495</v>
      </c>
      <c r="C1981" s="1471"/>
      <c r="D1981" s="1198">
        <f>VLOOKUP($B1981,dongia1,DG!$B$5,)</f>
        <v>0</v>
      </c>
      <c r="E1981" s="1243" t="str">
        <f>VLOOKUP($B1981,dongia1,DG!$C$5,)</f>
        <v>Sắt tròn Þ8 thanh dài 3m (hàn bass 2 đầu, mạ kẽm)</v>
      </c>
      <c r="F1981" s="1198" t="str">
        <f>VLOOKUP($B1981,dongia1,DG!$D$5,)</f>
        <v xml:space="preserve">thanh </v>
      </c>
      <c r="G1981" s="1508">
        <f>G1966*2</f>
        <v>0</v>
      </c>
      <c r="H1981" s="1298">
        <f>VLOOKUP($B1981,dongia1,DG!$F$5,)</f>
        <v>53008</v>
      </c>
      <c r="I1981" s="1298"/>
      <c r="J1981" s="1298">
        <f>VLOOKUP($B1981,dongia1,DG!$G$5,)</f>
        <v>0</v>
      </c>
      <c r="K1981" s="1298"/>
      <c r="L1981" s="1298">
        <f t="shared" ref="L1981:L1986" si="486">H1981*G1981</f>
        <v>0</v>
      </c>
      <c r="M1981" s="1298">
        <f t="shared" ref="M1981:M1986" si="487">I1981*G1981</f>
        <v>0</v>
      </c>
      <c r="N1981" s="1298">
        <f>J1981*G1981</f>
        <v>0</v>
      </c>
      <c r="O1981" s="1298">
        <f t="shared" ref="O1981:O1986" si="488">K1981*G1981</f>
        <v>0</v>
      </c>
      <c r="P1981" s="1499"/>
      <c r="Q1981" s="1300"/>
      <c r="R1981" s="1300"/>
      <c r="S1981" s="1300"/>
    </row>
    <row r="1982" spans="1:19" s="1081" customFormat="1" hidden="1" outlineLevel="1">
      <c r="A1982" s="1072" t="str">
        <f t="shared" si="485"/>
        <v/>
      </c>
      <c r="B1982" s="1068" t="s">
        <v>4608</v>
      </c>
      <c r="C1982" s="1471"/>
      <c r="D1982" s="1198">
        <f>VLOOKUP($B1982,dongia1,DG!$B$5,)</f>
        <v>0</v>
      </c>
      <c r="E1982" s="1243" t="str">
        <f>VLOOKUP($B1982,dongia1,DG!$C$5,)</f>
        <v>Boulon 8x50+ 2 long đền vuông</v>
      </c>
      <c r="F1982" s="1198" t="str">
        <f>VLOOKUP($B1982,dongia1,DG!$D$5,)</f>
        <v>bộ</v>
      </c>
      <c r="G1982" s="1508">
        <f>G1966*20</f>
        <v>0</v>
      </c>
      <c r="H1982" s="1298">
        <f>VLOOKUP($B1982,dongia1,DG!$F$5,)</f>
        <v>8400</v>
      </c>
      <c r="I1982" s="1298"/>
      <c r="J1982" s="1298">
        <f>VLOOKUP($B1982,dongia1,DG!$G$5,)</f>
        <v>0</v>
      </c>
      <c r="K1982" s="1298"/>
      <c r="L1982" s="1298">
        <f t="shared" si="486"/>
        <v>0</v>
      </c>
      <c r="M1982" s="1298">
        <f t="shared" si="487"/>
        <v>0</v>
      </c>
      <c r="N1982" s="1298">
        <f>J1982*G1982</f>
        <v>0</v>
      </c>
      <c r="O1982" s="1298">
        <f t="shared" si="488"/>
        <v>0</v>
      </c>
      <c r="P1982" s="1499"/>
      <c r="Q1982" s="1300"/>
      <c r="R1982" s="1300"/>
      <c r="S1982" s="1300"/>
    </row>
    <row r="1983" spans="1:19" s="1081" customFormat="1" hidden="1" outlineLevel="1">
      <c r="A1983" s="1072" t="str">
        <f t="shared" si="485"/>
        <v/>
      </c>
      <c r="B1983" s="1068" t="s">
        <v>4497</v>
      </c>
      <c r="C1983" s="1471"/>
      <c r="D1983" s="1198">
        <f>VLOOKUP($B1983,dongia1,DG!$B$5,)</f>
        <v>0</v>
      </c>
      <c r="E1983" s="1243" t="str">
        <f>VLOOKUP($B1983,dongia1,DG!$C$5,)</f>
        <v>Đai thép Inox</v>
      </c>
      <c r="F1983" s="1198" t="str">
        <f>VLOOKUP($B1983,dongia1,DG!$D$5,)</f>
        <v>mét</v>
      </c>
      <c r="G1983" s="1508">
        <f>G1979+G1981</f>
        <v>0</v>
      </c>
      <c r="H1983" s="1298">
        <f>VLOOKUP($B1983,dongia1,DG!$F$5,)</f>
        <v>11000</v>
      </c>
      <c r="I1983" s="1298"/>
      <c r="J1983" s="1298">
        <f>VLOOKUP($B1983,dongia1,DG!$G$5,)</f>
        <v>0</v>
      </c>
      <c r="K1983" s="1298"/>
      <c r="L1983" s="1298">
        <f t="shared" si="486"/>
        <v>0</v>
      </c>
      <c r="M1983" s="1298">
        <f t="shared" si="487"/>
        <v>0</v>
      </c>
      <c r="N1983" s="1298">
        <f>J1983*G1983</f>
        <v>0</v>
      </c>
      <c r="O1983" s="1298">
        <f t="shared" si="488"/>
        <v>0</v>
      </c>
      <c r="P1983" s="1499"/>
      <c r="Q1983" s="1300"/>
      <c r="R1983" s="1300"/>
      <c r="S1983" s="1300"/>
    </row>
    <row r="1984" spans="1:19" s="1081" customFormat="1" hidden="1" outlineLevel="1">
      <c r="A1984" s="1072" t="str">
        <f t="shared" si="485"/>
        <v/>
      </c>
      <c r="B1984" s="1068" t="s">
        <v>4499</v>
      </c>
      <c r="C1984" s="1471"/>
      <c r="D1984" s="1198">
        <f>VLOOKUP($B1984,dongia1,DG!$B$5,)</f>
        <v>0</v>
      </c>
      <c r="E1984" s="1243" t="str">
        <f>VLOOKUP($B1984,dongia1,DG!$C$5,)</f>
        <v>Khóa đai Inox</v>
      </c>
      <c r="F1984" s="1198" t="str">
        <f>VLOOKUP($B1984,dongia1,DG!$D$5,)</f>
        <v>cái</v>
      </c>
      <c r="G1984" s="1508">
        <f>G1983</f>
        <v>0</v>
      </c>
      <c r="H1984" s="1298">
        <f>VLOOKUP($B1984,dongia1,DG!$F$5,)</f>
        <v>4000</v>
      </c>
      <c r="I1984" s="1298"/>
      <c r="J1984" s="1298">
        <f>VLOOKUP($B1984,dongia1,DG!$G$5,)</f>
        <v>0</v>
      </c>
      <c r="K1984" s="1298"/>
      <c r="L1984" s="1298">
        <f t="shared" si="486"/>
        <v>0</v>
      </c>
      <c r="M1984" s="1298">
        <f t="shared" si="487"/>
        <v>0</v>
      </c>
      <c r="N1984" s="1298">
        <f>J1984*G1984</f>
        <v>0</v>
      </c>
      <c r="O1984" s="1298">
        <f t="shared" si="488"/>
        <v>0</v>
      </c>
      <c r="P1984" s="1499"/>
      <c r="Q1984" s="1300"/>
      <c r="R1984" s="1300"/>
      <c r="S1984" s="1300"/>
    </row>
    <row r="1985" spans="1:255" s="1081" customFormat="1" hidden="1" outlineLevel="1">
      <c r="A1985" s="1072" t="str">
        <f t="shared" si="485"/>
        <v/>
      </c>
      <c r="B1985" s="1068" t="s">
        <v>665</v>
      </c>
      <c r="C1985" s="1471"/>
      <c r="D1985" s="1198" t="str">
        <f>VLOOKUP($B1985,dongia1,DG!$B$5,)</f>
        <v>AB.11513</v>
      </c>
      <c r="E1985" s="1243" t="str">
        <f>VLOOKUP($B1985,dongia1,DG!$C$5,)</f>
        <v>Đào rãnh tiếp địa đất cấp 3</v>
      </c>
      <c r="F1985" s="1198" t="str">
        <f>VLOOKUP($B1985,dongia1,DG!$D$5,)</f>
        <v>m3</v>
      </c>
      <c r="G1985" s="1508">
        <f>G1966*(52+20)*0.3*0.5</f>
        <v>0</v>
      </c>
      <c r="H1985" s="1298">
        <f>VLOOKUP($B1985,dongia1,DG!$F$5,)</f>
        <v>0</v>
      </c>
      <c r="I1985" s="1298"/>
      <c r="J1985" s="1298">
        <f>VLOOKUP($B1985,dongia1,DG!$G$5,)</f>
        <v>283749.75</v>
      </c>
      <c r="K1985" s="1298"/>
      <c r="L1985" s="1298">
        <f t="shared" si="486"/>
        <v>0</v>
      </c>
      <c r="M1985" s="1298">
        <f t="shared" si="487"/>
        <v>0</v>
      </c>
      <c r="N1985" s="1298">
        <f>J1985*G1985</f>
        <v>0</v>
      </c>
      <c r="O1985" s="1298">
        <f t="shared" si="488"/>
        <v>0</v>
      </c>
      <c r="P1985" s="1499"/>
      <c r="Q1985" s="1300"/>
      <c r="R1985" s="1300"/>
      <c r="S1985" s="1300"/>
    </row>
    <row r="1986" spans="1:255" s="1081" customFormat="1" hidden="1" outlineLevel="1">
      <c r="A1986" s="1072" t="str">
        <f t="shared" si="485"/>
        <v/>
      </c>
      <c r="B1986" s="1068" t="s">
        <v>1985</v>
      </c>
      <c r="C1986" s="1471"/>
      <c r="D1986" s="1198" t="str">
        <f>VLOOKUP($B1986,dongia1,DG!$B$5,)</f>
        <v>AB.13111</v>
      </c>
      <c r="E1986" s="1243" t="str">
        <f>VLOOKUP($B1986,dongia1,DG!$C$5,)</f>
        <v>Đắp đất rãnh tiếp địa cấp 3 (độ chặt k = 0.85)</v>
      </c>
      <c r="F1986" s="1198" t="str">
        <f>VLOOKUP($B1986,dongia1,DG!$D$5,)</f>
        <v>m3</v>
      </c>
      <c r="G1986" s="1508">
        <f>G1985</f>
        <v>0</v>
      </c>
      <c r="H1986" s="1298">
        <f>VLOOKUP($B1986,dongia1,DG!$F$5,)</f>
        <v>0</v>
      </c>
      <c r="I1986" s="1298"/>
      <c r="J1986" s="1298">
        <f>VLOOKUP($B1986,dongia1,DG!$G$5,)</f>
        <v>117703.6</v>
      </c>
      <c r="K1986" s="1298"/>
      <c r="L1986" s="1298">
        <f t="shared" si="486"/>
        <v>0</v>
      </c>
      <c r="M1986" s="1298">
        <f t="shared" si="487"/>
        <v>0</v>
      </c>
      <c r="N1986" s="1298">
        <f t="shared" ref="N1986:N1993" si="489">J1986*G1986</f>
        <v>0</v>
      </c>
      <c r="O1986" s="1298">
        <f t="shared" si="488"/>
        <v>0</v>
      </c>
      <c r="P1986" s="1499"/>
      <c r="Q1986" s="1300"/>
      <c r="R1986" s="1300"/>
      <c r="S1986" s="1300"/>
    </row>
    <row r="1987" spans="1:255" s="1081" customFormat="1" hidden="1" outlineLevel="1">
      <c r="A1987" s="1072" t="str">
        <f>IF(G1987&lt;&gt;0,1,"")</f>
        <v/>
      </c>
      <c r="B1987" s="1068" t="s">
        <v>985</v>
      </c>
      <c r="C1987" s="1291"/>
      <c r="D1987" s="1198" t="str">
        <f>VLOOKUP($B1987,dongia1,DG!$B$5,)</f>
        <v>D2.8103</v>
      </c>
      <c r="E1987" s="1243" t="str">
        <f>VLOOKUP($B1987,dongia1,DG!$C$5,)</f>
        <v>Đóng cọc tiếp địa đất cấp 3 dài 2,5m</v>
      </c>
      <c r="F1987" s="1198" t="s">
        <v>2113</v>
      </c>
      <c r="G1987" s="1512">
        <f>G1969</f>
        <v>0</v>
      </c>
      <c r="H1987" s="1298">
        <f>VLOOKUP($B1987,dongia1,DG!$F$5,)</f>
        <v>0</v>
      </c>
      <c r="I1987" s="1298"/>
      <c r="J1987" s="1298">
        <f>VLOOKUP($B1987,dongia1,DG!$G$5,)</f>
        <v>90355.896000000008</v>
      </c>
      <c r="K1987" s="1298">
        <f>VLOOKUP($B1987,dongia1,DG!$H$5,)</f>
        <v>1573.075</v>
      </c>
      <c r="L1987" s="1298">
        <f t="shared" ref="L1987:L1993" si="490">H1987*G1987</f>
        <v>0</v>
      </c>
      <c r="M1987" s="1298">
        <f t="shared" ref="M1987:M1993" si="491">I1987*G1987</f>
        <v>0</v>
      </c>
      <c r="N1987" s="1298">
        <f t="shared" si="489"/>
        <v>0</v>
      </c>
      <c r="O1987" s="1298">
        <f t="shared" ref="O1987:O1993" si="492">K1987*G1987</f>
        <v>0</v>
      </c>
      <c r="P1987" s="1507"/>
      <c r="Q1987" s="1300"/>
      <c r="R1987" s="1300"/>
      <c r="S1987" s="1300"/>
    </row>
    <row r="1988" spans="1:255" s="1081" customFormat="1" hidden="1" outlineLevel="1">
      <c r="A1988" s="1072" t="str">
        <f>IF(G1988&lt;&gt;0,1,"")</f>
        <v/>
      </c>
      <c r="B1988" s="1068" t="s">
        <v>983</v>
      </c>
      <c r="C1988" s="1291"/>
      <c r="D1988" s="1198" t="str">
        <f>VLOOKUP($B1988,dongia1,DG!$B$5,)</f>
        <v>T4.7001</v>
      </c>
      <c r="E1988" s="1243" t="str">
        <f>VLOOKUP($B1988,dongia1,DG!$C$5,)</f>
        <v>Kéo dây tiếp địa TBA</v>
      </c>
      <c r="F1988" s="1198" t="str">
        <f>VLOOKUP($B1988,dongia1,DG!$D$5,)</f>
        <v>mét</v>
      </c>
      <c r="G1988" s="1512">
        <f>G1968/0.224</f>
        <v>0</v>
      </c>
      <c r="H1988" s="1298">
        <f>VLOOKUP($B1988,dongia1,DG!$F$5,)</f>
        <v>0</v>
      </c>
      <c r="I1988" s="1298"/>
      <c r="J1988" s="1298">
        <f>VLOOKUP($B1988,dongia1,DG!$G$5,)</f>
        <v>8070.7000000000007</v>
      </c>
      <c r="K1988" s="1298">
        <f>VLOOKUP($B1988,dongia1,DG!$H$5,)</f>
        <v>2044.9974999999999</v>
      </c>
      <c r="L1988" s="1298">
        <f t="shared" si="490"/>
        <v>0</v>
      </c>
      <c r="M1988" s="1298">
        <f t="shared" si="491"/>
        <v>0</v>
      </c>
      <c r="N1988" s="1298">
        <f t="shared" si="489"/>
        <v>0</v>
      </c>
      <c r="O1988" s="1298">
        <f t="shared" si="492"/>
        <v>0</v>
      </c>
      <c r="P1988" s="1499"/>
      <c r="Q1988" s="1300"/>
      <c r="R1988" s="1300"/>
      <c r="S1988" s="1300"/>
    </row>
    <row r="1989" spans="1:255" s="1081" customFormat="1" hidden="1" outlineLevel="1">
      <c r="A1989" s="1072" t="str">
        <f>IF(G1989&lt;&gt;0,1,"")</f>
        <v/>
      </c>
      <c r="B1989" s="1068"/>
      <c r="C1989" s="1291">
        <f>IF(G1989&gt;0,C1966+1,C1966)</f>
        <v>0</v>
      </c>
      <c r="D1989" s="1292"/>
      <c r="E1989" s="1416" t="s">
        <v>3442</v>
      </c>
      <c r="F1989" s="1291" t="s">
        <v>2113</v>
      </c>
      <c r="G1989" s="1509">
        <f>G1901*2</f>
        <v>0</v>
      </c>
      <c r="H1989" s="1298"/>
      <c r="I1989" s="1298"/>
      <c r="J1989" s="1298"/>
      <c r="K1989" s="1298"/>
      <c r="L1989" s="1298">
        <f t="shared" si="490"/>
        <v>0</v>
      </c>
      <c r="M1989" s="1298">
        <f t="shared" si="491"/>
        <v>0</v>
      </c>
      <c r="N1989" s="1298">
        <f t="shared" si="489"/>
        <v>0</v>
      </c>
      <c r="O1989" s="1298">
        <f t="shared" si="492"/>
        <v>0</v>
      </c>
      <c r="P1989" s="1499"/>
      <c r="Q1989" s="1300"/>
      <c r="R1989" s="1300"/>
      <c r="S1989" s="1300"/>
    </row>
    <row r="1990" spans="1:255" s="1081" customFormat="1" ht="14.4" hidden="1" outlineLevel="1">
      <c r="A1990" s="1072" t="str">
        <f>A1989</f>
        <v/>
      </c>
      <c r="B1990" s="1068"/>
      <c r="C1990" s="1291"/>
      <c r="D1990" s="1292"/>
      <c r="E1990" s="1301" t="s">
        <v>3399</v>
      </c>
      <c r="F1990" s="1302"/>
      <c r="G1990" s="1508"/>
      <c r="H1990" s="1298"/>
      <c r="I1990" s="1298"/>
      <c r="J1990" s="1298"/>
      <c r="K1990" s="1298"/>
      <c r="L1990" s="1298">
        <f t="shared" si="490"/>
        <v>0</v>
      </c>
      <c r="M1990" s="1298">
        <f t="shared" si="491"/>
        <v>0</v>
      </c>
      <c r="N1990" s="1298">
        <f t="shared" si="489"/>
        <v>0</v>
      </c>
      <c r="O1990" s="1298">
        <f t="shared" si="492"/>
        <v>0</v>
      </c>
      <c r="P1990" s="1499"/>
      <c r="Q1990" s="1300"/>
      <c r="R1990" s="1300"/>
      <c r="S1990" s="1300"/>
    </row>
    <row r="1991" spans="1:255" s="1081" customFormat="1" hidden="1" outlineLevel="1">
      <c r="A1991" s="1072" t="str">
        <f>IF(G1991&lt;&gt;0,1,"")</f>
        <v/>
      </c>
      <c r="B1991" s="1068" t="s">
        <v>333</v>
      </c>
      <c r="C1991" s="1302"/>
      <c r="D1991" s="1198" t="str">
        <f>VLOOKUP($B1991,dongia1,DG!$B$5,)</f>
        <v>T5.1002</v>
      </c>
      <c r="E1991" s="1243" t="str">
        <f>VLOOKUP($B1991,dongia1,DG!$C$5,)</f>
        <v>Tủ MCCB trạm giàn 1 ngăn</v>
      </c>
      <c r="F1991" s="1198" t="str">
        <f>VLOOKUP($B1991,dongia1,DG!$D$5,)</f>
        <v>cái</v>
      </c>
      <c r="G1991" s="1508">
        <f>G1989</f>
        <v>0</v>
      </c>
      <c r="H1991" s="1298">
        <f>VLOOKUP($B1991,dongia1,DG!$F$5,)</f>
        <v>2112489</v>
      </c>
      <c r="I1991" s="1298"/>
      <c r="J1991" s="1298">
        <f>VLOOKUP($B1991,dongia1,DG!$G$5,)</f>
        <v>690091</v>
      </c>
      <c r="K1991" s="1298">
        <f>VLOOKUP($B1991,dongia1,DG!$H$5,)</f>
        <v>97369</v>
      </c>
      <c r="L1991" s="1298">
        <f t="shared" si="490"/>
        <v>0</v>
      </c>
      <c r="M1991" s="1298">
        <f t="shared" si="491"/>
        <v>0</v>
      </c>
      <c r="N1991" s="1298">
        <f t="shared" si="489"/>
        <v>0</v>
      </c>
      <c r="O1991" s="1298">
        <f t="shared" si="492"/>
        <v>0</v>
      </c>
      <c r="P1991" s="1499"/>
      <c r="Q1991" s="1300"/>
      <c r="R1991" s="1300"/>
      <c r="S1991" s="1300"/>
    </row>
    <row r="1992" spans="1:255" s="1081" customFormat="1" hidden="1" outlineLevel="1">
      <c r="A1992" s="1072" t="str">
        <f>IF(G1992&lt;&gt;0,1,"")</f>
        <v/>
      </c>
      <c r="B1992" s="1068" t="s">
        <v>1560</v>
      </c>
      <c r="C1992" s="1291"/>
      <c r="D1992" s="1198">
        <f>VLOOKUP($B1992,dongia1,DG!$B$5,)</f>
        <v>0</v>
      </c>
      <c r="E1992" s="1243" t="str">
        <f>VLOOKUP($B1992,dongia1,DG!$C$5,)</f>
        <v xml:space="preserve">Bakelit 500x300 dầy 10mm </v>
      </c>
      <c r="F1992" s="1198" t="str">
        <f>VLOOKUP($B1992,dongia1,DG!$D$5,)</f>
        <v>cái</v>
      </c>
      <c r="G1992" s="1508">
        <f>G1989</f>
        <v>0</v>
      </c>
      <c r="H1992" s="1298">
        <f>VLOOKUP($B1992,dongia1,DG!$F$5,)</f>
        <v>284000</v>
      </c>
      <c r="I1992" s="1298"/>
      <c r="J1992" s="1298">
        <f>VLOOKUP($B1992,dongia1,DG!$G$5,)</f>
        <v>5404</v>
      </c>
      <c r="K1992" s="1298">
        <f>VLOOKUP($B1992,dongia1,DG!$H$5,)</f>
        <v>0</v>
      </c>
      <c r="L1992" s="1298">
        <f t="shared" si="490"/>
        <v>0</v>
      </c>
      <c r="M1992" s="1298">
        <f t="shared" si="491"/>
        <v>0</v>
      </c>
      <c r="N1992" s="1298">
        <f t="shared" si="489"/>
        <v>0</v>
      </c>
      <c r="O1992" s="1298">
        <f t="shared" si="492"/>
        <v>0</v>
      </c>
      <c r="P1992" s="1499"/>
      <c r="Q1992" s="1300"/>
      <c r="R1992" s="1300"/>
      <c r="S1992" s="1300"/>
    </row>
    <row r="1993" spans="1:255" s="1081" customFormat="1" hidden="1" outlineLevel="1">
      <c r="A1993" s="1072" t="str">
        <f>IF(G1993&lt;&gt;0,1,"")</f>
        <v/>
      </c>
      <c r="B1993" s="1068" t="s">
        <v>888</v>
      </c>
      <c r="C1993" s="1302"/>
      <c r="D1993" s="1198">
        <f>VLOOKUP($B1993,dongia1,DG!$B$5,)</f>
        <v>0</v>
      </c>
      <c r="E1993" s="1243" t="str">
        <f>VLOOKUP($B1993,dongia1,DG!$C$5,)</f>
        <v>Bảng tên trạm + bảng báo nguy hiểm</v>
      </c>
      <c r="F1993" s="1198" t="str">
        <f>VLOOKUP($B1993,dongia1,DG!$D$5,)</f>
        <v>cái</v>
      </c>
      <c r="G1993" s="1508">
        <f>G1989*1/2</f>
        <v>0</v>
      </c>
      <c r="H1993" s="1298">
        <f>VLOOKUP($B1993,dongia1,DG!$F$5,)</f>
        <v>300000</v>
      </c>
      <c r="I1993" s="1298"/>
      <c r="J1993" s="1298">
        <f>VLOOKUP($B1993,dongia1,DG!$G$5,)</f>
        <v>0</v>
      </c>
      <c r="K1993" s="1298">
        <f>VLOOKUP($B1993,dongia1,DG!$H$5,)</f>
        <v>0</v>
      </c>
      <c r="L1993" s="1298">
        <f t="shared" si="490"/>
        <v>0</v>
      </c>
      <c r="M1993" s="1298">
        <f t="shared" si="491"/>
        <v>0</v>
      </c>
      <c r="N1993" s="1298">
        <f t="shared" si="489"/>
        <v>0</v>
      </c>
      <c r="O1993" s="1298">
        <f t="shared" si="492"/>
        <v>0</v>
      </c>
      <c r="P1993" s="1437"/>
      <c r="Q1993" s="1300"/>
      <c r="R1993" s="1300"/>
      <c r="S1993" s="1300"/>
    </row>
    <row r="1994" spans="1:255" s="1081" customFormat="1" hidden="1" outlineLevel="1">
      <c r="A1994" s="1072" t="str">
        <f>IF(G1994&lt;&gt;0,1,"")</f>
        <v/>
      </c>
      <c r="B1994" s="1068" t="s">
        <v>1542</v>
      </c>
      <c r="C1994" s="1302"/>
      <c r="D1994" s="1198">
        <f>VLOOKUP($B1994,dongia1,DG!$B$5,)</f>
        <v>0</v>
      </c>
      <c r="E1994" s="1243" t="str">
        <f>VLOOKUP($B1994,dongia1,DG!$C$5,)</f>
        <v>Cổ dê bắt tủ</v>
      </c>
      <c r="F1994" s="1198" t="str">
        <f>VLOOKUP($B1994,dongia1,DG!$D$5,)</f>
        <v>bộ</v>
      </c>
      <c r="G1994" s="1508">
        <f>G1989*2</f>
        <v>0</v>
      </c>
      <c r="H1994" s="1298">
        <f>VLOOKUP($B1994,dongia1,DG!$F$5,)</f>
        <v>168000</v>
      </c>
      <c r="I1994" s="1298"/>
      <c r="J1994" s="1298">
        <f>VLOOKUP($B1994,dongia1,DG!$G$5,)</f>
        <v>0</v>
      </c>
      <c r="K1994" s="1298">
        <f>VLOOKUP($B1994,dongia1,DG!$H$5,)</f>
        <v>0</v>
      </c>
      <c r="L1994" s="1298">
        <f>H1994*G1994</f>
        <v>0</v>
      </c>
      <c r="M1994" s="1298">
        <f>I1994*G1994</f>
        <v>0</v>
      </c>
      <c r="N1994" s="1298">
        <f>J1994*G1994</f>
        <v>0</v>
      </c>
      <c r="O1994" s="1298">
        <f>K1994*G1994</f>
        <v>0</v>
      </c>
      <c r="P1994" s="1499"/>
      <c r="Q1994" s="1300"/>
      <c r="R1994" s="1300"/>
      <c r="S1994" s="1300"/>
    </row>
    <row r="1995" spans="1:255" s="1284" customFormat="1" hidden="1" outlineLevel="1">
      <c r="A1995" s="1072" t="str">
        <f>IF(G1995&lt;&gt;0,1,"")</f>
        <v/>
      </c>
      <c r="B1995" s="1068"/>
      <c r="C1995" s="1291">
        <f>IF(G1995&gt;0,C1989+1,C1989)</f>
        <v>0</v>
      </c>
      <c r="D1995" s="1292"/>
      <c r="E1995" s="1416" t="s">
        <v>4709</v>
      </c>
      <c r="F1995" s="1291" t="s">
        <v>2113</v>
      </c>
      <c r="G1995" s="1509">
        <f>G1901</f>
        <v>0</v>
      </c>
      <c r="H1995" s="1298"/>
      <c r="I1995" s="1298"/>
      <c r="J1995" s="1298"/>
      <c r="K1995" s="1298"/>
      <c r="L1995" s="1298"/>
      <c r="M1995" s="1298"/>
      <c r="N1995" s="1298"/>
      <c r="O1995" s="1298"/>
      <c r="P1995" s="1499"/>
      <c r="Q1995" s="1300"/>
      <c r="R1995" s="1300"/>
      <c r="S1995" s="1081"/>
      <c r="T1995" s="1081"/>
      <c r="U1995" s="1081"/>
      <c r="V1995" s="1081"/>
      <c r="W1995" s="1081"/>
      <c r="X1995" s="1081"/>
      <c r="Y1995" s="1081"/>
      <c r="Z1995" s="1081"/>
      <c r="AA1995" s="1081"/>
      <c r="AB1995" s="1081"/>
      <c r="AC1995" s="1081"/>
      <c r="AD1995" s="1081"/>
      <c r="AE1995" s="1081"/>
      <c r="AF1995" s="1081"/>
      <c r="AG1995" s="1081"/>
      <c r="AH1995" s="1081"/>
      <c r="AI1995" s="1081"/>
      <c r="AJ1995" s="1081"/>
      <c r="AK1995" s="1081"/>
      <c r="AL1995" s="1081"/>
      <c r="AM1995" s="1081"/>
      <c r="AN1995" s="1081"/>
      <c r="AO1995" s="1081"/>
      <c r="AP1995" s="1081"/>
      <c r="AQ1995" s="1081"/>
      <c r="AR1995" s="1081"/>
      <c r="AS1995" s="1081"/>
      <c r="AT1995" s="1081"/>
      <c r="AU1995" s="1081"/>
      <c r="AV1995" s="1081"/>
      <c r="AW1995" s="1081"/>
      <c r="AX1995" s="1081"/>
      <c r="AY1995" s="1081"/>
      <c r="AZ1995" s="1081"/>
      <c r="BA1995" s="1081"/>
      <c r="BB1995" s="1081"/>
      <c r="BC1995" s="1081"/>
      <c r="BD1995" s="1081"/>
      <c r="BE1995" s="1081"/>
      <c r="BF1995" s="1081"/>
      <c r="BG1995" s="1081"/>
      <c r="BH1995" s="1081"/>
      <c r="BI1995" s="1081"/>
      <c r="BJ1995" s="1081"/>
      <c r="BK1995" s="1081"/>
      <c r="BL1995" s="1081"/>
      <c r="BM1995" s="1081"/>
      <c r="BN1995" s="1081"/>
      <c r="BO1995" s="1081"/>
      <c r="BP1995" s="1081"/>
      <c r="BQ1995" s="1081"/>
      <c r="BR1995" s="1081"/>
      <c r="BS1995" s="1081"/>
      <c r="BT1995" s="1081"/>
      <c r="BU1995" s="1081"/>
      <c r="BV1995" s="1081"/>
      <c r="BW1995" s="1081"/>
      <c r="BX1995" s="1081"/>
      <c r="BY1995" s="1081"/>
      <c r="BZ1995" s="1081"/>
      <c r="CA1995" s="1081"/>
      <c r="CB1995" s="1081"/>
      <c r="CC1995" s="1081"/>
      <c r="CD1995" s="1081"/>
      <c r="CE1995" s="1081"/>
      <c r="CF1995" s="1081"/>
      <c r="CG1995" s="1081"/>
      <c r="CH1995" s="1081"/>
      <c r="CI1995" s="1081"/>
      <c r="CJ1995" s="1081"/>
      <c r="CK1995" s="1081"/>
      <c r="CL1995" s="1081"/>
      <c r="CM1995" s="1081"/>
      <c r="CN1995" s="1081"/>
      <c r="CO1995" s="1081"/>
      <c r="CP1995" s="1081"/>
      <c r="CQ1995" s="1081"/>
      <c r="CR1995" s="1081"/>
      <c r="CS1995" s="1081"/>
      <c r="CT1995" s="1081"/>
      <c r="CU1995" s="1081"/>
      <c r="CV1995" s="1081"/>
      <c r="CW1995" s="1081"/>
      <c r="CX1995" s="1081"/>
      <c r="CY1995" s="1081"/>
      <c r="CZ1995" s="1081"/>
      <c r="DA1995" s="1081"/>
      <c r="DB1995" s="1081"/>
      <c r="DC1995" s="1081"/>
      <c r="DD1995" s="1081"/>
      <c r="DE1995" s="1081"/>
      <c r="DF1995" s="1081"/>
      <c r="DG1995" s="1081"/>
      <c r="DH1995" s="1081"/>
      <c r="DI1995" s="1081"/>
      <c r="DJ1995" s="1081"/>
      <c r="DK1995" s="1081"/>
      <c r="DL1995" s="1081"/>
      <c r="DM1995" s="1081"/>
      <c r="DN1995" s="1081"/>
      <c r="DO1995" s="1081"/>
      <c r="DP1995" s="1081"/>
      <c r="DQ1995" s="1081"/>
      <c r="DR1995" s="1081"/>
      <c r="DS1995" s="1081"/>
      <c r="DT1995" s="1081"/>
      <c r="DU1995" s="1081"/>
      <c r="DV1995" s="1081"/>
      <c r="DW1995" s="1081"/>
      <c r="DX1995" s="1081"/>
      <c r="DY1995" s="1081"/>
      <c r="DZ1995" s="1081"/>
      <c r="EA1995" s="1081"/>
      <c r="EB1995" s="1081"/>
      <c r="EC1995" s="1081"/>
      <c r="ED1995" s="1081"/>
      <c r="EE1995" s="1081"/>
      <c r="EF1995" s="1081"/>
      <c r="EG1995" s="1081"/>
      <c r="EH1995" s="1081"/>
      <c r="EI1995" s="1081"/>
      <c r="EJ1995" s="1081"/>
      <c r="EK1995" s="1081"/>
      <c r="EL1995" s="1081"/>
      <c r="EM1995" s="1081"/>
      <c r="EN1995" s="1081"/>
      <c r="EO1995" s="1081"/>
      <c r="EP1995" s="1081"/>
      <c r="EQ1995" s="1081"/>
      <c r="ER1995" s="1081"/>
      <c r="ES1995" s="1081"/>
      <c r="ET1995" s="1081"/>
      <c r="EU1995" s="1081"/>
      <c r="EV1995" s="1081"/>
      <c r="EW1995" s="1081"/>
      <c r="EX1995" s="1081"/>
      <c r="EY1995" s="1081"/>
      <c r="EZ1995" s="1081"/>
      <c r="FA1995" s="1081"/>
      <c r="FB1995" s="1081"/>
      <c r="FC1995" s="1081"/>
      <c r="FD1995" s="1081"/>
      <c r="FE1995" s="1081"/>
      <c r="FF1995" s="1081"/>
      <c r="FG1995" s="1081"/>
      <c r="FH1995" s="1081"/>
      <c r="FI1995" s="1081"/>
      <c r="FJ1995" s="1081"/>
      <c r="FK1995" s="1081"/>
      <c r="FL1995" s="1081"/>
      <c r="FM1995" s="1081"/>
      <c r="FN1995" s="1081"/>
      <c r="FO1995" s="1081"/>
      <c r="FP1995" s="1081"/>
      <c r="FQ1995" s="1081"/>
      <c r="FR1995" s="1081"/>
      <c r="FS1995" s="1081"/>
      <c r="FT1995" s="1081"/>
      <c r="FU1995" s="1081"/>
      <c r="FV1995" s="1081"/>
      <c r="FW1995" s="1081"/>
      <c r="FX1995" s="1081"/>
      <c r="FY1995" s="1081"/>
      <c r="FZ1995" s="1081"/>
      <c r="GA1995" s="1081"/>
      <c r="GB1995" s="1081"/>
      <c r="GC1995" s="1081"/>
      <c r="GD1995" s="1081"/>
      <c r="GE1995" s="1081"/>
      <c r="GF1995" s="1081"/>
      <c r="GG1995" s="1081"/>
      <c r="GH1995" s="1081"/>
      <c r="GI1995" s="1081"/>
      <c r="GJ1995" s="1081"/>
      <c r="GK1995" s="1081"/>
      <c r="GL1995" s="1081"/>
      <c r="GM1995" s="1081"/>
      <c r="GN1995" s="1081"/>
      <c r="GO1995" s="1081"/>
      <c r="GP1995" s="1081"/>
      <c r="GQ1995" s="1081"/>
      <c r="GR1995" s="1081"/>
      <c r="GS1995" s="1081"/>
      <c r="GT1995" s="1081"/>
      <c r="GU1995" s="1081"/>
      <c r="GV1995" s="1081"/>
      <c r="GW1995" s="1081"/>
      <c r="GX1995" s="1081"/>
      <c r="GY1995" s="1081"/>
      <c r="GZ1995" s="1081"/>
      <c r="HA1995" s="1081"/>
      <c r="HB1995" s="1081"/>
      <c r="HC1995" s="1081"/>
      <c r="HD1995" s="1081"/>
      <c r="HE1995" s="1081"/>
      <c r="HF1995" s="1081"/>
      <c r="HG1995" s="1081"/>
      <c r="HH1995" s="1081"/>
      <c r="HI1995" s="1081"/>
      <c r="HJ1995" s="1081"/>
      <c r="HK1995" s="1081"/>
      <c r="HL1995" s="1081"/>
      <c r="HM1995" s="1081"/>
      <c r="HN1995" s="1081"/>
      <c r="HO1995" s="1081"/>
      <c r="HP1995" s="1081"/>
      <c r="HQ1995" s="1081"/>
      <c r="HR1995" s="1081"/>
      <c r="HS1995" s="1081"/>
      <c r="HT1995" s="1081"/>
      <c r="HU1995" s="1081"/>
      <c r="HV1995" s="1081"/>
      <c r="HW1995" s="1081"/>
      <c r="HX1995" s="1081"/>
      <c r="HY1995" s="1081"/>
      <c r="HZ1995" s="1081"/>
      <c r="IA1995" s="1081"/>
      <c r="IB1995" s="1081"/>
      <c r="IC1995" s="1081"/>
      <c r="ID1995" s="1081"/>
      <c r="IE1995" s="1081"/>
      <c r="IF1995" s="1081"/>
      <c r="IG1995" s="1081"/>
      <c r="IH1995" s="1081"/>
      <c r="II1995" s="1081"/>
      <c r="IJ1995" s="1081"/>
      <c r="IK1995" s="1081"/>
      <c r="IL1995" s="1081"/>
      <c r="IM1995" s="1081"/>
      <c r="IN1995" s="1081"/>
      <c r="IO1995" s="1081"/>
      <c r="IP1995" s="1081"/>
      <c r="IQ1995" s="1081"/>
      <c r="IR1995" s="1081"/>
      <c r="IS1995" s="1081"/>
      <c r="IT1995" s="1081"/>
      <c r="IU1995" s="1081"/>
    </row>
    <row r="1996" spans="1:255" s="1527" customFormat="1" ht="14.4" hidden="1" outlineLevel="1">
      <c r="A1996" s="1519" t="str">
        <f>A1995</f>
        <v/>
      </c>
      <c r="B1996" s="1068"/>
      <c r="C1996" s="1520"/>
      <c r="D1996" s="1521"/>
      <c r="E1996" s="1522" t="s">
        <v>3399</v>
      </c>
      <c r="F1996" s="1521"/>
      <c r="G1996" s="1523"/>
      <c r="H1996" s="1524"/>
      <c r="I1996" s="1524"/>
      <c r="J1996" s="1524"/>
      <c r="K1996" s="1524"/>
      <c r="L1996" s="1524"/>
      <c r="M1996" s="1524"/>
      <c r="N1996" s="1524"/>
      <c r="O1996" s="1524"/>
      <c r="P1996" s="1525"/>
      <c r="Q1996" s="1526"/>
      <c r="R1996" s="1300"/>
      <c r="S1996" s="1526"/>
    </row>
    <row r="1997" spans="1:255" s="1081" customFormat="1" hidden="1" outlineLevel="1">
      <c r="A1997" s="1072" t="str">
        <f>IF(G1997&lt;&gt;0,1,"")</f>
        <v/>
      </c>
      <c r="B1997" s="1068" t="s">
        <v>4569</v>
      </c>
      <c r="C1997" s="1302"/>
      <c r="D1997" s="1198" t="str">
        <f>VLOOKUP($B1997,dongia1,DG!$B$5,)</f>
        <v>T5.1001</v>
      </c>
      <c r="E1997" s="1243" t="str">
        <f>VLOOKUP($B1997,dongia1,DG!$C$5,)</f>
        <v>Tủ điện kế</v>
      </c>
      <c r="F1997" s="1198" t="str">
        <f>VLOOKUP($B1997,dongia1,DG!$D$5,)</f>
        <v>cái</v>
      </c>
      <c r="G1997" s="1508">
        <f>G1995</f>
        <v>0</v>
      </c>
      <c r="H1997" s="1298">
        <f>VLOOKUP($B1997,dongia1,DG!$F$5,)</f>
        <v>783952</v>
      </c>
      <c r="I1997" s="1298"/>
      <c r="J1997" s="1298">
        <f>VLOOKUP($B1997,dongia1,DG!$G$5,)</f>
        <v>599038</v>
      </c>
      <c r="K1997" s="1298">
        <f>VLOOKUP($B1997,dongia1,DG!$H$5,)</f>
        <v>97369</v>
      </c>
      <c r="L1997" s="1298">
        <f>H1997*G1997</f>
        <v>0</v>
      </c>
      <c r="M1997" s="1298">
        <f>I1997*G1997</f>
        <v>0</v>
      </c>
      <c r="N1997" s="1298">
        <f>J1997*G1997</f>
        <v>0</v>
      </c>
      <c r="O1997" s="1298">
        <f>K1997*G1997</f>
        <v>0</v>
      </c>
      <c r="P1997" s="1499"/>
      <c r="Q1997" s="1300"/>
      <c r="R1997" s="1300"/>
      <c r="S1997" s="1300"/>
    </row>
    <row r="1998" spans="1:255" s="1081" customFormat="1" hidden="1" outlineLevel="1">
      <c r="A1998" s="1072" t="str">
        <f t="shared" ref="A1998:A2012" si="493">IF(G1998&lt;&gt;0,1,"")</f>
        <v/>
      </c>
      <c r="B1998" s="1068" t="s">
        <v>1560</v>
      </c>
      <c r="C1998" s="1302"/>
      <c r="D1998" s="1198">
        <f>VLOOKUP($B1998,dongia1,DG!$B$5,)</f>
        <v>0</v>
      </c>
      <c r="E1998" s="1243" t="str">
        <f>VLOOKUP($B1998,dongia1,DG!$C$5,)</f>
        <v xml:space="preserve">Bakelit 500x300 dầy 10mm </v>
      </c>
      <c r="F1998" s="1198" t="str">
        <f>VLOOKUP($B1998,dongia1,DG!$D$5,)</f>
        <v>cái</v>
      </c>
      <c r="G1998" s="1508">
        <f>G1997</f>
        <v>0</v>
      </c>
      <c r="H1998" s="1298">
        <f>VLOOKUP($B1998,dongia1,DG!$F$5,)</f>
        <v>284000</v>
      </c>
      <c r="I1998" s="1298"/>
      <c r="J1998" s="1298">
        <f>VLOOKUP($B1998,dongia1,DG!$G$5,)</f>
        <v>5404</v>
      </c>
      <c r="K1998" s="1298">
        <f>VLOOKUP($B1998,dongia1,DG!$H$5,)</f>
        <v>0</v>
      </c>
      <c r="L1998" s="1298">
        <f t="shared" ref="L1998:L2012" si="494">H1998*G1998</f>
        <v>0</v>
      </c>
      <c r="M1998" s="1298">
        <f t="shared" ref="M1998:M2012" si="495">I1998*G1998</f>
        <v>0</v>
      </c>
      <c r="N1998" s="1298">
        <f t="shared" ref="N1998:N2012" si="496">J1998*G1998</f>
        <v>0</v>
      </c>
      <c r="O1998" s="1298">
        <f t="shared" ref="O1998:O2012" si="497">K1998*G1998</f>
        <v>0</v>
      </c>
      <c r="P1998" s="1499"/>
      <c r="Q1998" s="1300"/>
      <c r="R1998" s="1300"/>
      <c r="S1998" s="1300"/>
    </row>
    <row r="1999" spans="1:255" s="1081" customFormat="1" hidden="1" outlineLevel="1">
      <c r="A1999" s="1072" t="str">
        <f t="shared" si="493"/>
        <v/>
      </c>
      <c r="B1999" s="1068" t="s">
        <v>888</v>
      </c>
      <c r="C1999" s="1302"/>
      <c r="D1999" s="1198">
        <f>VLOOKUP($B1999,dongia1,DG!$B$5,)</f>
        <v>0</v>
      </c>
      <c r="E1999" s="1243" t="str">
        <f>VLOOKUP($B1999,dongia1,DG!$C$5,)</f>
        <v>Bảng tên trạm + bảng báo nguy hiểm</v>
      </c>
      <c r="F1999" s="1198" t="str">
        <f>VLOOKUP($B1999,dongia1,DG!$D$5,)</f>
        <v>cái</v>
      </c>
      <c r="G1999" s="1508">
        <f>G1995</f>
        <v>0</v>
      </c>
      <c r="H1999" s="1298">
        <f>VLOOKUP($B1999,dongia1,DG!$F$5,)</f>
        <v>300000</v>
      </c>
      <c r="I1999" s="1298"/>
      <c r="J1999" s="1298">
        <f>VLOOKUP($B1999,dongia1,DG!$G$5,)</f>
        <v>0</v>
      </c>
      <c r="K1999" s="1298">
        <f>VLOOKUP($B1999,dongia1,DG!$H$5,)</f>
        <v>0</v>
      </c>
      <c r="L1999" s="1298">
        <f t="shared" si="494"/>
        <v>0</v>
      </c>
      <c r="M1999" s="1298">
        <f t="shared" si="495"/>
        <v>0</v>
      </c>
      <c r="N1999" s="1298">
        <f t="shared" si="496"/>
        <v>0</v>
      </c>
      <c r="O1999" s="1298">
        <f t="shared" si="497"/>
        <v>0</v>
      </c>
      <c r="P1999" s="1499"/>
      <c r="Q1999" s="1300"/>
      <c r="R1999" s="1300"/>
      <c r="S1999" s="1300"/>
    </row>
    <row r="2000" spans="1:255" s="1081" customFormat="1" hidden="1" outlineLevel="1">
      <c r="A2000" s="1072" t="str">
        <f t="shared" si="493"/>
        <v/>
      </c>
      <c r="B2000" s="1068" t="s">
        <v>1542</v>
      </c>
      <c r="C2000" s="1302"/>
      <c r="D2000" s="1198">
        <f>VLOOKUP($B2000,dongia1,DG!$B$5,)</f>
        <v>0</v>
      </c>
      <c r="E2000" s="1243" t="str">
        <f>VLOOKUP($B2000,dongia1,DG!$C$5,)</f>
        <v>Cổ dê bắt tủ</v>
      </c>
      <c r="F2000" s="1198" t="str">
        <f>VLOOKUP($B2000,dongia1,DG!$D$5,)</f>
        <v>bộ</v>
      </c>
      <c r="G2000" s="1508">
        <f>G1997*2</f>
        <v>0</v>
      </c>
      <c r="H2000" s="1298">
        <f>VLOOKUP($B2000,dongia1,DG!$F$5,)</f>
        <v>168000</v>
      </c>
      <c r="I2000" s="1298"/>
      <c r="J2000" s="1298">
        <f>VLOOKUP($B2000,dongia1,DG!$G$5,)</f>
        <v>0</v>
      </c>
      <c r="K2000" s="1298">
        <f>VLOOKUP($B2000,dongia1,DG!$H$5,)</f>
        <v>0</v>
      </c>
      <c r="L2000" s="1298">
        <f t="shared" si="494"/>
        <v>0</v>
      </c>
      <c r="M2000" s="1298">
        <f t="shared" si="495"/>
        <v>0</v>
      </c>
      <c r="N2000" s="1298">
        <f t="shared" si="496"/>
        <v>0</v>
      </c>
      <c r="O2000" s="1298">
        <f t="shared" si="497"/>
        <v>0</v>
      </c>
      <c r="P2000" s="1499"/>
      <c r="Q2000" s="1300"/>
      <c r="R2000" s="1300"/>
      <c r="S2000" s="1300"/>
    </row>
    <row r="2001" spans="1:19" s="1081" customFormat="1" hidden="1" outlineLevel="1">
      <c r="A2001" s="1072" t="str">
        <f t="shared" si="493"/>
        <v/>
      </c>
      <c r="B2001" s="1295" t="s">
        <v>865</v>
      </c>
      <c r="C2001" s="1302"/>
      <c r="D2001" s="1198" t="str">
        <f>VLOOKUP($B2001,dongia1,DG!$B$5,)</f>
        <v>03.1401</v>
      </c>
      <c r="E2001" s="1243" t="str">
        <f>VLOOKUP($B2001,dongia1,DG!$C$5,)</f>
        <v xml:space="preserve">Cáp CVV 4x2,5mm2  </v>
      </c>
      <c r="F2001" s="1198" t="str">
        <f>VLOOKUP($B2001,dongia1,DG!$D$5,)</f>
        <v>mét</v>
      </c>
      <c r="G2001" s="1508">
        <f>G1995*6</f>
        <v>0</v>
      </c>
      <c r="H2001" s="1298">
        <f>VLOOKUP($B2001,dongia1,DG!$F$5,)</f>
        <v>28200</v>
      </c>
      <c r="I2001" s="1298"/>
      <c r="J2001" s="1298">
        <f>VLOOKUP($B2001,dongia1,DG!$G$5,)</f>
        <v>0</v>
      </c>
      <c r="K2001" s="1298">
        <f>VLOOKUP($B2001,dongia1,DG!$H$5,)</f>
        <v>0</v>
      </c>
      <c r="L2001" s="1298">
        <f t="shared" si="494"/>
        <v>0</v>
      </c>
      <c r="M2001" s="1298">
        <f t="shared" si="495"/>
        <v>0</v>
      </c>
      <c r="N2001" s="1298">
        <f t="shared" si="496"/>
        <v>0</v>
      </c>
      <c r="O2001" s="1298">
        <f t="shared" si="497"/>
        <v>0</v>
      </c>
      <c r="P2001" s="1499"/>
      <c r="Q2001" s="1300"/>
      <c r="R2001" s="1300"/>
      <c r="S2001" s="1300"/>
    </row>
    <row r="2002" spans="1:19" s="1081" customFormat="1" hidden="1" outlineLevel="1">
      <c r="A2002" s="1072" t="str">
        <f t="shared" si="493"/>
        <v/>
      </c>
      <c r="B2002" s="1295" t="s">
        <v>829</v>
      </c>
      <c r="C2002" s="1302"/>
      <c r="D2002" s="1198">
        <f>VLOOKUP($B2002,dongia1,DG!$B$5,)</f>
        <v>0</v>
      </c>
      <c r="E2002" s="1243" t="str">
        <f>VLOOKUP($B2002,dongia1,DG!$C$5,)</f>
        <v xml:space="preserve">Đầu cosse ép Cu 2,5mm2 + bao PVC </v>
      </c>
      <c r="F2002" s="1198" t="str">
        <f>VLOOKUP($B2002,dongia1,DG!$D$5,)</f>
        <v>cái</v>
      </c>
      <c r="G2002" s="1508">
        <f>G1995*4*2</f>
        <v>0</v>
      </c>
      <c r="H2002" s="1298">
        <f>VLOOKUP($B2002,dongia1,DG!$F$5,)</f>
        <v>1700</v>
      </c>
      <c r="I2002" s="1298"/>
      <c r="J2002" s="1298">
        <f>VLOOKUP($B2002,dongia1,DG!$G$5,)</f>
        <v>0</v>
      </c>
      <c r="K2002" s="1298">
        <f>VLOOKUP($B2002,dongia1,DG!$H$5,)</f>
        <v>0</v>
      </c>
      <c r="L2002" s="1298">
        <f t="shared" si="494"/>
        <v>0</v>
      </c>
      <c r="M2002" s="1298">
        <f t="shared" si="495"/>
        <v>0</v>
      </c>
      <c r="N2002" s="1298">
        <f t="shared" si="496"/>
        <v>0</v>
      </c>
      <c r="O2002" s="1298">
        <f t="shared" si="497"/>
        <v>0</v>
      </c>
      <c r="P2002" s="1499"/>
      <c r="Q2002" s="1300"/>
      <c r="R2002" s="1300"/>
      <c r="S2002" s="1300"/>
    </row>
    <row r="2003" spans="1:19" s="1081" customFormat="1" hidden="1" outlineLevel="1">
      <c r="A2003" s="1072" t="str">
        <f t="shared" si="493"/>
        <v/>
      </c>
      <c r="B2003" s="1295" t="s">
        <v>1736</v>
      </c>
      <c r="C2003" s="1302"/>
      <c r="D2003" s="1198">
        <f>VLOOKUP($B2003,dongia1,DG!$B$5,)</f>
        <v>0</v>
      </c>
      <c r="E2003" s="1243" t="str">
        <f>VLOOKUP($B2003,dongia1,DG!$C$5,)</f>
        <v>Ống PVC D42x2,1mm</v>
      </c>
      <c r="F2003" s="1198" t="str">
        <f>VLOOKUP($B2003,dongia1,DG!$D$5,)</f>
        <v>m</v>
      </c>
      <c r="G2003" s="1508">
        <f>G1998*4</f>
        <v>0</v>
      </c>
      <c r="H2003" s="1298">
        <f>VLOOKUP($B2003,dongia1,DG!$F$5,)</f>
        <v>16100</v>
      </c>
      <c r="I2003" s="1298"/>
      <c r="J2003" s="1298">
        <f>VLOOKUP($B2003,dongia1,DG!$G$5,)</f>
        <v>0</v>
      </c>
      <c r="K2003" s="1298">
        <f>VLOOKUP($B2003,dongia1,DG!$H$5,)</f>
        <v>0</v>
      </c>
      <c r="L2003" s="1298">
        <f t="shared" si="494"/>
        <v>0</v>
      </c>
      <c r="M2003" s="1298">
        <f t="shared" si="495"/>
        <v>0</v>
      </c>
      <c r="N2003" s="1298">
        <f t="shared" si="496"/>
        <v>0</v>
      </c>
      <c r="O2003" s="1298">
        <f t="shared" si="497"/>
        <v>0</v>
      </c>
      <c r="P2003" s="1499"/>
      <c r="Q2003" s="1300"/>
      <c r="R2003" s="1300"/>
      <c r="S2003" s="1300"/>
    </row>
    <row r="2004" spans="1:19" s="1081" customFormat="1" hidden="1" outlineLevel="1">
      <c r="A2004" s="1072" t="str">
        <f t="shared" si="493"/>
        <v/>
      </c>
      <c r="B2004" s="1295" t="s">
        <v>4704</v>
      </c>
      <c r="C2004" s="1302"/>
      <c r="D2004" s="1198">
        <f>VLOOKUP($B2004,dongia1,DG!$B$5,)</f>
        <v>0</v>
      </c>
      <c r="E2004" s="1243" t="str">
        <f>VLOOKUP($B2004,dongia1,DG!$C$5,)</f>
        <v>Co 90 độ PVC 42</v>
      </c>
      <c r="F2004" s="1198" t="str">
        <f>VLOOKUP($B2004,dongia1,DG!$D$5,)</f>
        <v>cái</v>
      </c>
      <c r="G2004" s="1508">
        <f>G1995</f>
        <v>0</v>
      </c>
      <c r="H2004" s="1298">
        <f>VLOOKUP($B2004,dongia1,DG!$F$5,)</f>
        <v>11400</v>
      </c>
      <c r="I2004" s="1298"/>
      <c r="J2004" s="1298">
        <f>VLOOKUP($B2004,dongia1,DG!$G$5,)</f>
        <v>0</v>
      </c>
      <c r="K2004" s="1298">
        <f>VLOOKUP($B2004,dongia1,DG!$H$5,)</f>
        <v>0</v>
      </c>
      <c r="L2004" s="1298">
        <f t="shared" si="494"/>
        <v>0</v>
      </c>
      <c r="M2004" s="1298">
        <f t="shared" si="495"/>
        <v>0</v>
      </c>
      <c r="N2004" s="1298">
        <f t="shared" si="496"/>
        <v>0</v>
      </c>
      <c r="O2004" s="1298">
        <f t="shared" si="497"/>
        <v>0</v>
      </c>
      <c r="P2004" s="1499"/>
      <c r="Q2004" s="1300"/>
      <c r="R2004" s="1300"/>
      <c r="S2004" s="1300"/>
    </row>
    <row r="2005" spans="1:19" s="1081" customFormat="1" hidden="1" outlineLevel="1">
      <c r="A2005" s="1072" t="str">
        <f t="shared" si="493"/>
        <v/>
      </c>
      <c r="B2005" s="1295" t="s">
        <v>1524</v>
      </c>
      <c r="C2005" s="1302"/>
      <c r="D2005" s="1198">
        <f>VLOOKUP($B2005,dongia1,DG!$B$5,)</f>
        <v>0</v>
      </c>
      <c r="E2005" s="1243" t="str">
        <f>VLOOKUP($B2005,dongia1,DG!$C$5,)</f>
        <v>Cổ dê giữ ống PVC D42</v>
      </c>
      <c r="F2005" s="1198" t="str">
        <f>VLOOKUP($B2005,dongia1,DG!$D$5,)</f>
        <v>bộ</v>
      </c>
      <c r="G2005" s="1508">
        <f>G1995*2</f>
        <v>0</v>
      </c>
      <c r="H2005" s="1298">
        <f>VLOOKUP($B2005,dongia1,DG!$F$5,)</f>
        <v>34000</v>
      </c>
      <c r="I2005" s="1298"/>
      <c r="J2005" s="1298">
        <f>VLOOKUP($B2005,dongia1,DG!$G$5,)</f>
        <v>0</v>
      </c>
      <c r="K2005" s="1298">
        <f>VLOOKUP($B2005,dongia1,DG!$H$5,)</f>
        <v>0</v>
      </c>
      <c r="L2005" s="1298">
        <f t="shared" si="494"/>
        <v>0</v>
      </c>
      <c r="M2005" s="1298">
        <f t="shared" si="495"/>
        <v>0</v>
      </c>
      <c r="N2005" s="1298">
        <f t="shared" si="496"/>
        <v>0</v>
      </c>
      <c r="O2005" s="1298">
        <f t="shared" si="497"/>
        <v>0</v>
      </c>
      <c r="P2005" s="1499"/>
      <c r="Q2005" s="1300"/>
      <c r="R2005" s="1300"/>
      <c r="S2005" s="1300"/>
    </row>
    <row r="2006" spans="1:19" s="1081" customFormat="1" hidden="1" outlineLevel="1">
      <c r="A2006" s="1072" t="str">
        <f t="shared" si="493"/>
        <v/>
      </c>
      <c r="B2006" s="1295" t="s">
        <v>4705</v>
      </c>
      <c r="C2006" s="1302"/>
      <c r="D2006" s="1198">
        <f>VLOOKUP($B2006,dongia1,DG!$B$5,)</f>
        <v>0</v>
      </c>
      <c r="E2006" s="1243" t="str">
        <f>VLOOKUP($B2006,dongia1,DG!$C$5,)</f>
        <v>Khâu ven răng trong D42</v>
      </c>
      <c r="F2006" s="1198" t="str">
        <f>VLOOKUP($B2006,dongia1,DG!$D$5,)</f>
        <v>cái</v>
      </c>
      <c r="G2006" s="1508">
        <f>G1995*2</f>
        <v>0</v>
      </c>
      <c r="H2006" s="1298">
        <f>VLOOKUP($B2006,dongia1,DG!$F$5,)</f>
        <v>5000</v>
      </c>
      <c r="I2006" s="1298"/>
      <c r="J2006" s="1298">
        <f>VLOOKUP($B2006,dongia1,DG!$G$5,)</f>
        <v>0</v>
      </c>
      <c r="K2006" s="1298">
        <f>VLOOKUP($B2006,dongia1,DG!$H$5,)</f>
        <v>0</v>
      </c>
      <c r="L2006" s="1298">
        <f t="shared" si="494"/>
        <v>0</v>
      </c>
      <c r="M2006" s="1298">
        <f t="shared" si="495"/>
        <v>0</v>
      </c>
      <c r="N2006" s="1298">
        <f t="shared" si="496"/>
        <v>0</v>
      </c>
      <c r="O2006" s="1298">
        <f t="shared" si="497"/>
        <v>0</v>
      </c>
      <c r="P2006" s="1499"/>
      <c r="Q2006" s="1300"/>
      <c r="R2006" s="1300"/>
      <c r="S2006" s="1300"/>
    </row>
    <row r="2007" spans="1:19" s="1081" customFormat="1" hidden="1" outlineLevel="1">
      <c r="A2007" s="1072" t="str">
        <f t="shared" si="493"/>
        <v/>
      </c>
      <c r="B2007" s="1295" t="s">
        <v>4706</v>
      </c>
      <c r="C2007" s="1302"/>
      <c r="D2007" s="1198">
        <f>VLOOKUP($B2007,dongia1,DG!$B$5,)</f>
        <v>0</v>
      </c>
      <c r="E2007" s="1243" t="str">
        <f>VLOOKUP($B2007,dongia1,DG!$C$5,)</f>
        <v>Khâu ven răng ngoài D42</v>
      </c>
      <c r="F2007" s="1198" t="str">
        <f>VLOOKUP($B2007,dongia1,DG!$D$5,)</f>
        <v>cái</v>
      </c>
      <c r="G2007" s="1508">
        <f>G2006</f>
        <v>0</v>
      </c>
      <c r="H2007" s="1298">
        <f>VLOOKUP($B2007,dongia1,DG!$F$5,)</f>
        <v>5200</v>
      </c>
      <c r="I2007" s="1298"/>
      <c r="J2007" s="1298">
        <f>VLOOKUP($B2007,dongia1,DG!$G$5,)</f>
        <v>0</v>
      </c>
      <c r="K2007" s="1298">
        <f>VLOOKUP($B2007,dongia1,DG!$H$5,)</f>
        <v>0</v>
      </c>
      <c r="L2007" s="1298">
        <f t="shared" si="494"/>
        <v>0</v>
      </c>
      <c r="M2007" s="1298">
        <f t="shared" si="495"/>
        <v>0</v>
      </c>
      <c r="N2007" s="1298">
        <f t="shared" si="496"/>
        <v>0</v>
      </c>
      <c r="O2007" s="1298">
        <f t="shared" si="497"/>
        <v>0</v>
      </c>
      <c r="P2007" s="1499"/>
      <c r="Q2007" s="1300"/>
      <c r="R2007" s="1300"/>
      <c r="S2007" s="1300"/>
    </row>
    <row r="2008" spans="1:19" s="1081" customFormat="1" hidden="1" outlineLevel="1">
      <c r="A2008" s="1072" t="str">
        <f t="shared" si="493"/>
        <v/>
      </c>
      <c r="B2008" s="1295" t="s">
        <v>822</v>
      </c>
      <c r="C2008" s="1302"/>
      <c r="D2008" s="1198">
        <f>VLOOKUP($B2008,dongia1,DG!$B$5,)</f>
        <v>0</v>
      </c>
      <c r="E2008" s="1243" t="str">
        <f>VLOOKUP($B2008,dongia1,DG!$C$5,)</f>
        <v>Ống đàn hồi 42</v>
      </c>
      <c r="F2008" s="1198" t="str">
        <f>VLOOKUP($B2008,dongia1,DG!$D$5,)</f>
        <v>m</v>
      </c>
      <c r="G2008" s="1508">
        <f>G1995*1.5</f>
        <v>0</v>
      </c>
      <c r="H2008" s="1298">
        <f>VLOOKUP($B2008,dongia1,DG!$F$5,)</f>
        <v>3100</v>
      </c>
      <c r="I2008" s="1298"/>
      <c r="J2008" s="1298">
        <f>VLOOKUP($B2008,dongia1,DG!$G$5,)</f>
        <v>0</v>
      </c>
      <c r="K2008" s="1298">
        <f>VLOOKUP($B2008,dongia1,DG!$H$5,)</f>
        <v>0</v>
      </c>
      <c r="L2008" s="1298">
        <f t="shared" si="494"/>
        <v>0</v>
      </c>
      <c r="M2008" s="1298">
        <f t="shared" si="495"/>
        <v>0</v>
      </c>
      <c r="N2008" s="1298">
        <f t="shared" si="496"/>
        <v>0</v>
      </c>
      <c r="O2008" s="1298">
        <f t="shared" si="497"/>
        <v>0</v>
      </c>
      <c r="P2008" s="1499"/>
      <c r="Q2008" s="1300"/>
      <c r="R2008" s="1300"/>
      <c r="S2008" s="1300"/>
    </row>
    <row r="2009" spans="1:19" s="1081" customFormat="1" hidden="1" outlineLevel="1">
      <c r="A2009" s="1072" t="str">
        <f t="shared" si="493"/>
        <v/>
      </c>
      <c r="B2009" s="1295" t="s">
        <v>887</v>
      </c>
      <c r="C2009" s="1302"/>
      <c r="D2009" s="1198">
        <f>VLOOKUP($B2009,dongia1,DG!$B$5,)</f>
        <v>0</v>
      </c>
      <c r="E2009" s="1243" t="str">
        <f>VLOOKUP($B2009,dongia1,DG!$C$5,)</f>
        <v>Keo dán ống PVC (100gr)</v>
      </c>
      <c r="F2009" s="1198" t="str">
        <f>VLOOKUP($B2009,dongia1,DG!$D$5,)</f>
        <v>tuýp</v>
      </c>
      <c r="G2009" s="1508">
        <f>G1995*1</f>
        <v>0</v>
      </c>
      <c r="H2009" s="1298">
        <f>VLOOKUP($B2009,dongia1,DG!$F$5,)</f>
        <v>11500</v>
      </c>
      <c r="I2009" s="1298"/>
      <c r="J2009" s="1298">
        <f>VLOOKUP($B2009,dongia1,DG!$G$5,)</f>
        <v>0</v>
      </c>
      <c r="K2009" s="1298">
        <f>VLOOKUP($B2009,dongia1,DG!$H$5,)</f>
        <v>0</v>
      </c>
      <c r="L2009" s="1298">
        <f t="shared" si="494"/>
        <v>0</v>
      </c>
      <c r="M2009" s="1298">
        <f t="shared" si="495"/>
        <v>0</v>
      </c>
      <c r="N2009" s="1298">
        <f t="shared" si="496"/>
        <v>0</v>
      </c>
      <c r="O2009" s="1298">
        <f t="shared" si="497"/>
        <v>0</v>
      </c>
      <c r="P2009" s="1499"/>
      <c r="Q2009" s="1300"/>
      <c r="R2009" s="1300"/>
      <c r="S2009" s="1300"/>
    </row>
    <row r="2010" spans="1:19" s="1081" customFormat="1" hidden="1" outlineLevel="1">
      <c r="A2010" s="1072" t="str">
        <f t="shared" si="493"/>
        <v/>
      </c>
      <c r="B2010" s="1295" t="s">
        <v>1690</v>
      </c>
      <c r="C2010" s="1302"/>
      <c r="D2010" s="1198">
        <f>VLOOKUP($B2010,dongia1,DG!$B$5,)</f>
        <v>0</v>
      </c>
      <c r="E2010" s="1243" t="str">
        <f>VLOOKUP($B2010,dongia1,DG!$C$5,)</f>
        <v>Keo silicon bít miệng ống</v>
      </c>
      <c r="F2010" s="1198" t="str">
        <f>VLOOKUP($B2010,dongia1,DG!$D$5,)</f>
        <v>chai</v>
      </c>
      <c r="G2010" s="1508">
        <f>G1995*1</f>
        <v>0</v>
      </c>
      <c r="H2010" s="1298">
        <f>VLOOKUP($B2010,dongia1,DG!$F$5,)</f>
        <v>45000</v>
      </c>
      <c r="I2010" s="1298"/>
      <c r="J2010" s="1298">
        <f>VLOOKUP($B2010,dongia1,DG!$G$5,)</f>
        <v>0</v>
      </c>
      <c r="K2010" s="1298">
        <f>VLOOKUP($B2010,dongia1,DG!$H$5,)</f>
        <v>0</v>
      </c>
      <c r="L2010" s="1298">
        <f t="shared" si="494"/>
        <v>0</v>
      </c>
      <c r="M2010" s="1298">
        <f t="shared" si="495"/>
        <v>0</v>
      </c>
      <c r="N2010" s="1298">
        <f t="shared" si="496"/>
        <v>0</v>
      </c>
      <c r="O2010" s="1298">
        <f t="shared" si="497"/>
        <v>0</v>
      </c>
      <c r="P2010" s="1499"/>
      <c r="Q2010" s="1300"/>
      <c r="R2010" s="1300"/>
      <c r="S2010" s="1300"/>
    </row>
    <row r="2011" spans="1:19" s="1081" customFormat="1" hidden="1" outlineLevel="1">
      <c r="A2011" s="1072" t="str">
        <f t="shared" si="493"/>
        <v/>
      </c>
      <c r="B2011" s="1295" t="s">
        <v>236</v>
      </c>
      <c r="C2011" s="1302"/>
      <c r="D2011" s="1198">
        <f>VLOOKUP($B2011,dongia1,DG!$B$5,)</f>
        <v>0</v>
      </c>
      <c r="E2011" s="1243" t="str">
        <f>VLOOKUP($B2011,dongia1,DG!$C$5,)</f>
        <v>Băng keo cách điện hạ thế</v>
      </c>
      <c r="F2011" s="1198" t="str">
        <f>VLOOKUP($B2011,dongia1,DG!$D$5,)</f>
        <v>cuộn</v>
      </c>
      <c r="G2011" s="1508">
        <f>G1995*2</f>
        <v>0</v>
      </c>
      <c r="H2011" s="1298">
        <f>VLOOKUP($B2011,dongia1,DG!$F$5,)</f>
        <v>6500</v>
      </c>
      <c r="I2011" s="1298"/>
      <c r="J2011" s="1298">
        <f>VLOOKUP($B2011,dongia1,DG!$G$5,)</f>
        <v>0</v>
      </c>
      <c r="K2011" s="1298">
        <f>VLOOKUP($B2011,dongia1,DG!$H$5,)</f>
        <v>0</v>
      </c>
      <c r="L2011" s="1298">
        <f t="shared" si="494"/>
        <v>0</v>
      </c>
      <c r="M2011" s="1298">
        <f t="shared" si="495"/>
        <v>0</v>
      </c>
      <c r="N2011" s="1298">
        <f t="shared" si="496"/>
        <v>0</v>
      </c>
      <c r="O2011" s="1298">
        <f t="shared" si="497"/>
        <v>0</v>
      </c>
      <c r="P2011" s="1499"/>
      <c r="Q2011" s="1300"/>
      <c r="R2011" s="1300"/>
      <c r="S2011" s="1300"/>
    </row>
    <row r="2012" spans="1:19" s="1081" customFormat="1" hidden="1" outlineLevel="1">
      <c r="A2012" s="1072" t="str">
        <f t="shared" si="493"/>
        <v/>
      </c>
      <c r="B2012" s="1295" t="s">
        <v>224</v>
      </c>
      <c r="C2012" s="1302"/>
      <c r="D2012" s="1198" t="str">
        <f>VLOOKUP($B2012,dongia1,DG!$B$5,)</f>
        <v>T4.4201</v>
      </c>
      <c r="E2012" s="1243" t="str">
        <f>VLOOKUP($B2012,dongia1,DG!$C$5,)</f>
        <v>Lắp cáp đồng xuống thiết bị D ≤ 95mm2</v>
      </c>
      <c r="F2012" s="1198" t="str">
        <f>VLOOKUP($B2012,dongia1,DG!$D$5,)</f>
        <v>m</v>
      </c>
      <c r="G2012" s="1508">
        <f>G2003*2</f>
        <v>0</v>
      </c>
      <c r="H2012" s="1298">
        <f>VLOOKUP($B2012,dongia1,DG!$F$5,)</f>
        <v>0</v>
      </c>
      <c r="I2012" s="1298"/>
      <c r="J2012" s="1298">
        <f>VLOOKUP($B2012,dongia1,DG!$G$5,)</f>
        <v>13915</v>
      </c>
      <c r="K2012" s="1298">
        <f>VLOOKUP($B2012,dongia1,DG!$H$5,)</f>
        <v>0</v>
      </c>
      <c r="L2012" s="1298">
        <f t="shared" si="494"/>
        <v>0</v>
      </c>
      <c r="M2012" s="1298">
        <f t="shared" si="495"/>
        <v>0</v>
      </c>
      <c r="N2012" s="1298">
        <f t="shared" si="496"/>
        <v>0</v>
      </c>
      <c r="O2012" s="1298">
        <f t="shared" si="497"/>
        <v>0</v>
      </c>
      <c r="P2012" s="1499"/>
      <c r="Q2012" s="1300"/>
      <c r="R2012" s="1300"/>
      <c r="S2012" s="1300"/>
    </row>
    <row r="2013" spans="1:19" s="1081" customFormat="1" hidden="1" outlineLevel="1">
      <c r="A2013" s="1072" t="str">
        <f>IF(G2013&lt;&gt;0,1,"")</f>
        <v/>
      </c>
      <c r="B2013" s="1295"/>
      <c r="C2013" s="1291">
        <f>IF(G2013&gt;0,C1995+1,C1995)</f>
        <v>0</v>
      </c>
      <c r="D2013" s="1292"/>
      <c r="E2013" s="1293" t="s">
        <v>3449</v>
      </c>
      <c r="F2013" s="1291" t="s">
        <v>2113</v>
      </c>
      <c r="G2013" s="1509">
        <f>G1901</f>
        <v>0</v>
      </c>
      <c r="H2013" s="1298"/>
      <c r="I2013" s="1298"/>
      <c r="J2013" s="1298"/>
      <c r="K2013" s="1298"/>
      <c r="L2013" s="1298"/>
      <c r="M2013" s="1298"/>
      <c r="N2013" s="1298"/>
      <c r="O2013" s="1298"/>
      <c r="P2013" s="1499"/>
      <c r="Q2013" s="1300"/>
      <c r="R2013" s="1300"/>
      <c r="S2013" s="1300"/>
    </row>
    <row r="2014" spans="1:19" s="1081" customFormat="1" ht="14.4" hidden="1" outlineLevel="1">
      <c r="A2014" s="1072" t="str">
        <f>A2013</f>
        <v/>
      </c>
      <c r="B2014" s="1295"/>
      <c r="C2014" s="1291"/>
      <c r="D2014" s="1292"/>
      <c r="E2014" s="1308" t="s">
        <v>3399</v>
      </c>
      <c r="F2014" s="1291"/>
      <c r="G2014" s="1509"/>
      <c r="H2014" s="1298"/>
      <c r="I2014" s="1298"/>
      <c r="J2014" s="1298"/>
      <c r="K2014" s="1298"/>
      <c r="L2014" s="1298"/>
      <c r="M2014" s="1298"/>
      <c r="N2014" s="1298"/>
      <c r="O2014" s="1298"/>
      <c r="P2014" s="1499"/>
      <c r="Q2014" s="1300"/>
      <c r="R2014" s="1300"/>
      <c r="S2014" s="1300"/>
    </row>
    <row r="2015" spans="1:19" s="1081" customFormat="1" hidden="1" outlineLevel="1">
      <c r="A2015" s="1072" t="str">
        <f t="shared" ref="A2015:A2026" si="498">IF(G2015&lt;&gt;0,1,"")</f>
        <v/>
      </c>
      <c r="B2015" s="1068" t="s">
        <v>648</v>
      </c>
      <c r="C2015" s="1302"/>
      <c r="D2015" s="1198">
        <f>VLOOKUP($B2015,dongia1,DG!$B$5,)</f>
        <v>0</v>
      </c>
      <c r="E2015" s="1243" t="str">
        <f>VLOOKUP($B2015,dongia1,DG!$C$5,)</f>
        <v>Cáp 24KV C/XLPE/PVC- 25mm2</v>
      </c>
      <c r="F2015" s="1198" t="str">
        <f>VLOOKUP($B2015,dongia1,DG!$D$5,)</f>
        <v>mét</v>
      </c>
      <c r="G2015" s="1508">
        <f>G2013*(7)*3</f>
        <v>0</v>
      </c>
      <c r="H2015" s="1298">
        <f>VLOOKUP($B2015,dongia1,DG!$F$5,)</f>
        <v>50996</v>
      </c>
      <c r="I2015" s="1298"/>
      <c r="J2015" s="1298">
        <f>VLOOKUP($B2015,dongia1,DG!$G$5,)</f>
        <v>0</v>
      </c>
      <c r="K2015" s="1298">
        <f>VLOOKUP($B2015,dongia1,DG!$H$5,)</f>
        <v>0</v>
      </c>
      <c r="L2015" s="1298">
        <f t="shared" ref="L2015:L2025" si="499">H2015*G2015</f>
        <v>0</v>
      </c>
      <c r="M2015" s="1298">
        <f>I2015*G2015</f>
        <v>0</v>
      </c>
      <c r="N2015" s="1298">
        <f t="shared" ref="N2015:N2025" si="500">J2015*G2015</f>
        <v>0</v>
      </c>
      <c r="O2015" s="1298">
        <f t="shared" ref="O2015:O2025" si="501">K2015*G2015</f>
        <v>0</v>
      </c>
      <c r="P2015" s="1499"/>
      <c r="Q2015" s="1300"/>
      <c r="R2015" s="1300"/>
      <c r="S2015" s="1300"/>
    </row>
    <row r="2016" spans="1:19" s="1081" customFormat="1" hidden="1" outlineLevel="1">
      <c r="A2016" s="1072" t="str">
        <f t="shared" si="498"/>
        <v/>
      </c>
      <c r="B2016" s="1421" t="s">
        <v>2028</v>
      </c>
      <c r="C2016" s="1302"/>
      <c r="D2016" s="1198">
        <f>VLOOKUP($B2016,dongia1,DG!$B$5,)</f>
        <v>0</v>
      </c>
      <c r="E2016" s="1243" t="str">
        <f>VLOOKUP($B2016,dongia1,DG!$C$5,)</f>
        <v>Kẹp quai 2/0</v>
      </c>
      <c r="F2016" s="1198" t="str">
        <f>VLOOKUP($B2016,dongia1,DG!$D$5,)</f>
        <v>cái</v>
      </c>
      <c r="G2016" s="1508">
        <f>G2013*3</f>
        <v>0</v>
      </c>
      <c r="H2016" s="1298">
        <f>VLOOKUP($B2016,dongia1,DG!$F$5,)</f>
        <v>46000</v>
      </c>
      <c r="I2016" s="1298"/>
      <c r="J2016" s="1298">
        <f>VLOOKUP($B2016,dongia1,DG!$G$5,)</f>
        <v>0</v>
      </c>
      <c r="K2016" s="1298">
        <f>VLOOKUP($B2016,dongia1,DG!$H$5,)</f>
        <v>0</v>
      </c>
      <c r="L2016" s="1298">
        <f t="shared" si="499"/>
        <v>0</v>
      </c>
      <c r="M2016" s="1298">
        <f t="shared" ref="M2016:M2025" si="502">I2016*G2016</f>
        <v>0</v>
      </c>
      <c r="N2016" s="1298">
        <f t="shared" si="500"/>
        <v>0</v>
      </c>
      <c r="O2016" s="1298">
        <f t="shared" si="501"/>
        <v>0</v>
      </c>
      <c r="P2016" s="1499"/>
      <c r="Q2016" s="1300"/>
      <c r="R2016" s="1300"/>
      <c r="S2016" s="1300"/>
    </row>
    <row r="2017" spans="1:19" s="1081" customFormat="1" hidden="1" outlineLevel="1">
      <c r="A2017" s="1072" t="str">
        <f t="shared" si="498"/>
        <v/>
      </c>
      <c r="B2017" s="1421" t="s">
        <v>2026</v>
      </c>
      <c r="C2017" s="1302"/>
      <c r="D2017" s="1198">
        <f>VLOOKUP($B2017,dongia1,DG!$B$5,)</f>
        <v>0</v>
      </c>
      <c r="E2017" s="1243" t="str">
        <f>VLOOKUP($B2017,dongia1,DG!$C$5,)&amp;": "</f>
        <v xml:space="preserve">Kẹp hotline 2/0: </v>
      </c>
      <c r="F2017" s="1198" t="str">
        <f>VLOOKUP($B2017,dongia1,DG!$D$5,)</f>
        <v>cái</v>
      </c>
      <c r="G2017" s="1508">
        <f>G2016</f>
        <v>0</v>
      </c>
      <c r="H2017" s="1298">
        <f>VLOOKUP($B2017,dongia1,DG!$F$5,)</f>
        <v>77000</v>
      </c>
      <c r="I2017" s="1298"/>
      <c r="J2017" s="1298">
        <f>VLOOKUP($B2017,dongia1,DG!$G$5,)</f>
        <v>0</v>
      </c>
      <c r="K2017" s="1298">
        <f>VLOOKUP($B2017,dongia1,DG!$H$5,)</f>
        <v>0</v>
      </c>
      <c r="L2017" s="1298">
        <f t="shared" si="499"/>
        <v>0</v>
      </c>
      <c r="M2017" s="1298">
        <f t="shared" si="502"/>
        <v>0</v>
      </c>
      <c r="N2017" s="1298">
        <f t="shared" si="500"/>
        <v>0</v>
      </c>
      <c r="O2017" s="1298">
        <f t="shared" si="501"/>
        <v>0</v>
      </c>
      <c r="P2017" s="1499"/>
      <c r="Q2017" s="1300"/>
      <c r="R2017" s="1300"/>
      <c r="S2017" s="1300"/>
    </row>
    <row r="2018" spans="1:19" s="1081" customFormat="1" hidden="1" outlineLevel="1">
      <c r="A2018" s="1072" t="str">
        <f t="shared" si="498"/>
        <v/>
      </c>
      <c r="B2018" s="1421" t="s">
        <v>2144</v>
      </c>
      <c r="C2018" s="1302"/>
      <c r="D2018" s="1198">
        <f>VLOOKUP($B2018,dongia1,DG!$B$5,)</f>
        <v>0</v>
      </c>
      <c r="E2018" s="1243" t="str">
        <f>VLOOKUP($B2018,dongia1,DG!$C$5,)</f>
        <v>Nắp che đầu cực FCO</v>
      </c>
      <c r="F2018" s="1198" t="str">
        <f>VLOOKUP($B2018,dongia1,DG!$D$5,)</f>
        <v>cái</v>
      </c>
      <c r="G2018" s="1508">
        <f>+G2013*3</f>
        <v>0</v>
      </c>
      <c r="H2018" s="1298">
        <f>VLOOKUP($B2018,dongia1,DG!$F$5,)</f>
        <v>218200</v>
      </c>
      <c r="I2018" s="1298"/>
      <c r="J2018" s="1298">
        <f>VLOOKUP($B2018,dongia1,DG!$G$5,)</f>
        <v>0</v>
      </c>
      <c r="K2018" s="1298">
        <f>VLOOKUP($B2018,dongia1,DG!$H$5,)</f>
        <v>0</v>
      </c>
      <c r="L2018" s="1298">
        <f t="shared" si="499"/>
        <v>0</v>
      </c>
      <c r="M2018" s="1298">
        <f t="shared" si="502"/>
        <v>0</v>
      </c>
      <c r="N2018" s="1298">
        <f t="shared" si="500"/>
        <v>0</v>
      </c>
      <c r="O2018" s="1298">
        <f t="shared" si="501"/>
        <v>0</v>
      </c>
      <c r="P2018" s="1507"/>
      <c r="Q2018" s="1300"/>
      <c r="R2018" s="1300"/>
      <c r="S2018" s="1300"/>
    </row>
    <row r="2019" spans="1:19" s="1081" customFormat="1" hidden="1" outlineLevel="1">
      <c r="A2019" s="1072" t="str">
        <f t="shared" si="498"/>
        <v/>
      </c>
      <c r="B2019" s="1421" t="s">
        <v>2121</v>
      </c>
      <c r="C2019" s="1302"/>
      <c r="D2019" s="1198">
        <f>VLOOKUP($B2019,dongia1,DG!$B$5,)</f>
        <v>0</v>
      </c>
      <c r="E2019" s="1243" t="str">
        <f>VLOOKUP($B2019,dongia1,DG!$C$5,)</f>
        <v>Nắp che đầu cực LA</v>
      </c>
      <c r="F2019" s="1198" t="str">
        <f>VLOOKUP($B2019,dongia1,DG!$D$5,)</f>
        <v>cái</v>
      </c>
      <c r="G2019" s="1508">
        <f>+G2013*3</f>
        <v>0</v>
      </c>
      <c r="H2019" s="1298">
        <f>VLOOKUP($B2019,dongia1,DG!$F$5,)</f>
        <v>39100</v>
      </c>
      <c r="I2019" s="1298"/>
      <c r="J2019" s="1298">
        <f>VLOOKUP($B2019,dongia1,DG!$G$5,)</f>
        <v>0</v>
      </c>
      <c r="K2019" s="1298">
        <f>VLOOKUP($B2019,dongia1,DG!$H$5,)</f>
        <v>0</v>
      </c>
      <c r="L2019" s="1298">
        <f t="shared" si="499"/>
        <v>0</v>
      </c>
      <c r="M2019" s="1298">
        <f t="shared" si="502"/>
        <v>0</v>
      </c>
      <c r="N2019" s="1298">
        <f t="shared" si="500"/>
        <v>0</v>
      </c>
      <c r="O2019" s="1298">
        <f t="shared" si="501"/>
        <v>0</v>
      </c>
      <c r="P2019" s="1507"/>
      <c r="Q2019" s="1300"/>
      <c r="R2019" s="1300"/>
      <c r="S2019" s="1300"/>
    </row>
    <row r="2020" spans="1:19" s="1081" customFormat="1" hidden="1" outlineLevel="1">
      <c r="A2020" s="1072" t="str">
        <f t="shared" si="498"/>
        <v/>
      </c>
      <c r="B2020" s="1421" t="s">
        <v>2123</v>
      </c>
      <c r="C2020" s="1302"/>
      <c r="D2020" s="1198">
        <f>VLOOKUP($B2020,dongia1,DG!$B$5,)</f>
        <v>0</v>
      </c>
      <c r="E2020" s="1243" t="str">
        <f>VLOOKUP($B2020,dongia1,DG!$C$5,)</f>
        <v>Nắp che đầu sứ MBA</v>
      </c>
      <c r="F2020" s="1198" t="str">
        <f>VLOOKUP($B2020,dongia1,DG!$D$5,)</f>
        <v>cái</v>
      </c>
      <c r="G2020" s="1508">
        <f>+G2013*3</f>
        <v>0</v>
      </c>
      <c r="H2020" s="1298">
        <f>VLOOKUP($B2020,dongia1,DG!$F$5,)</f>
        <v>56700</v>
      </c>
      <c r="I2020" s="1298"/>
      <c r="J2020" s="1298">
        <f>VLOOKUP($B2020,dongia1,DG!$G$5,)</f>
        <v>0</v>
      </c>
      <c r="K2020" s="1298">
        <f>VLOOKUP($B2020,dongia1,DG!$H$5,)</f>
        <v>0</v>
      </c>
      <c r="L2020" s="1298">
        <f t="shared" si="499"/>
        <v>0</v>
      </c>
      <c r="M2020" s="1298">
        <f t="shared" si="502"/>
        <v>0</v>
      </c>
      <c r="N2020" s="1298">
        <f t="shared" si="500"/>
        <v>0</v>
      </c>
      <c r="O2020" s="1298">
        <f t="shared" si="501"/>
        <v>0</v>
      </c>
      <c r="P2020" s="1507"/>
      <c r="Q2020" s="1300"/>
      <c r="R2020" s="1300"/>
      <c r="S2020" s="1300"/>
    </row>
    <row r="2021" spans="1:19" s="1081" customFormat="1" hidden="1" outlineLevel="1">
      <c r="A2021" s="1072" t="str">
        <f t="shared" si="498"/>
        <v/>
      </c>
      <c r="B2021" s="1421" t="s">
        <v>4610</v>
      </c>
      <c r="C2021" s="1302"/>
      <c r="D2021" s="1198"/>
      <c r="E2021" s="1243" t="str">
        <f>VLOOKUP($B2021,dongia1,DG!$C$5,)</f>
        <v>Chụp đầu cực TI, TU</v>
      </c>
      <c r="F2021" s="1198" t="str">
        <f>VLOOKUP($B2021,dongia1,DG!$D$5,)</f>
        <v>Cái</v>
      </c>
      <c r="G2021" s="1508">
        <f>G2013*3*3</f>
        <v>0</v>
      </c>
      <c r="H2021" s="1298">
        <f>VLOOKUP($B2021,dongia1,DG!$F$5,)</f>
        <v>25000</v>
      </c>
      <c r="I2021" s="1298"/>
      <c r="J2021" s="1298">
        <f>VLOOKUP($B2021,dongia1,DG!$G$5,)</f>
        <v>0</v>
      </c>
      <c r="K2021" s="1298">
        <f>VLOOKUP($B2021,dongia1,DG!$H$5,)</f>
        <v>0</v>
      </c>
      <c r="L2021" s="1298">
        <f t="shared" si="499"/>
        <v>0</v>
      </c>
      <c r="M2021" s="1298">
        <f t="shared" si="502"/>
        <v>0</v>
      </c>
      <c r="N2021" s="1298">
        <f t="shared" si="500"/>
        <v>0</v>
      </c>
      <c r="O2021" s="1298">
        <f t="shared" si="501"/>
        <v>0</v>
      </c>
      <c r="P2021" s="1507"/>
      <c r="Q2021" s="1300"/>
      <c r="R2021" s="1300"/>
      <c r="S2021" s="1300"/>
    </row>
    <row r="2022" spans="1:19" s="1081" customFormat="1" hidden="1" outlineLevel="1">
      <c r="A2022" s="1072" t="str">
        <f t="shared" si="498"/>
        <v/>
      </c>
      <c r="B2022" s="1068" t="s">
        <v>647</v>
      </c>
      <c r="C2022" s="1437"/>
      <c r="D2022" s="1198">
        <f>VLOOKUP($B2022,dongia1,DG!$B$5,)</f>
        <v>0</v>
      </c>
      <c r="E2022" s="1243" t="str">
        <f>VLOOKUP($B2022,dongia1,DG!$C$5,)</f>
        <v xml:space="preserve">Sứ đứng 24KV </v>
      </c>
      <c r="F2022" s="1198" t="str">
        <f>VLOOKUP($B2022,dongia1,DG!$D$5,)</f>
        <v>cái</v>
      </c>
      <c r="G2022" s="1508">
        <f>G2013*3</f>
        <v>0</v>
      </c>
      <c r="H2022" s="1298">
        <f>VLOOKUP($B2022,dongia1,DG!$F$5,)</f>
        <v>205000</v>
      </c>
      <c r="I2022" s="1298"/>
      <c r="J2022" s="1298">
        <f>VLOOKUP($B2022,dongia1,DG!$G$5,)</f>
        <v>0</v>
      </c>
      <c r="K2022" s="1298">
        <f>VLOOKUP($B2022,dongia1,DG!$H$5,)</f>
        <v>0</v>
      </c>
      <c r="L2022" s="1298">
        <f t="shared" si="499"/>
        <v>0</v>
      </c>
      <c r="M2022" s="1298">
        <f t="shared" si="502"/>
        <v>0</v>
      </c>
      <c r="N2022" s="1298">
        <f t="shared" si="500"/>
        <v>0</v>
      </c>
      <c r="O2022" s="1298">
        <f t="shared" si="501"/>
        <v>0</v>
      </c>
      <c r="P2022" s="1499"/>
      <c r="Q2022" s="1300"/>
      <c r="R2022" s="1300"/>
      <c r="S2022" s="1300"/>
    </row>
    <row r="2023" spans="1:19" s="1081" customFormat="1" hidden="1" outlineLevel="1">
      <c r="A2023" s="1072" t="str">
        <f t="shared" si="498"/>
        <v/>
      </c>
      <c r="B2023" s="1068" t="s">
        <v>414</v>
      </c>
      <c r="C2023" s="1302"/>
      <c r="D2023" s="1198">
        <f>VLOOKUP($B2023,dongia1,DG!$B$5,)</f>
        <v>0</v>
      </c>
      <c r="E2023" s="1243" t="str">
        <f>VLOOKUP($B2023,dongia1,DG!$C$5,)</f>
        <v>Chân sứ đứng D20</v>
      </c>
      <c r="F2023" s="1198" t="str">
        <f>VLOOKUP($B2023,dongia1,DG!$D$5,)</f>
        <v>cái</v>
      </c>
      <c r="G2023" s="1508">
        <f>G2022</f>
        <v>0</v>
      </c>
      <c r="H2023" s="1298">
        <f>VLOOKUP($B2023,dongia1,DG!$F$5,)</f>
        <v>65000</v>
      </c>
      <c r="I2023" s="1298"/>
      <c r="J2023" s="1298">
        <f>VLOOKUP($B2023,dongia1,DG!$G$5,)</f>
        <v>0</v>
      </c>
      <c r="K2023" s="1298">
        <f>VLOOKUP($B2023,dongia1,DG!$H$5,)</f>
        <v>0</v>
      </c>
      <c r="L2023" s="1298">
        <f t="shared" si="499"/>
        <v>0</v>
      </c>
      <c r="M2023" s="1298">
        <f t="shared" si="502"/>
        <v>0</v>
      </c>
      <c r="N2023" s="1298">
        <f t="shared" si="500"/>
        <v>0</v>
      </c>
      <c r="O2023" s="1298">
        <f t="shared" si="501"/>
        <v>0</v>
      </c>
      <c r="P2023" s="1499"/>
      <c r="Q2023" s="1300"/>
      <c r="R2023" s="1300"/>
      <c r="S2023" s="1300"/>
    </row>
    <row r="2024" spans="1:19" s="1081" customFormat="1" hidden="1" outlineLevel="1">
      <c r="A2024" s="1072" t="str">
        <f t="shared" si="498"/>
        <v/>
      </c>
      <c r="B2024" s="1068" t="s">
        <v>742</v>
      </c>
      <c r="C2024" s="1302"/>
      <c r="D2024" s="1198" t="str">
        <f>VLOOKUP($B2024,dongia1,DG!$B$5,)</f>
        <v>D3.1115</v>
      </c>
      <c r="E2024" s="1243" t="str">
        <f>VLOOKUP($B2024,dongia1,DG!$C$5,)</f>
        <v>Lắp sứ đứng 24KV</v>
      </c>
      <c r="F2024" s="1198" t="str">
        <f>VLOOKUP($B2024,dongia1,DG!$D$5,)</f>
        <v>bộ</v>
      </c>
      <c r="G2024" s="1508">
        <f>G2023</f>
        <v>0</v>
      </c>
      <c r="H2024" s="1298"/>
      <c r="I2024" s="1298"/>
      <c r="J2024" s="1298">
        <f>VLOOKUP($B2024,dongia1,DG!$G$5,)</f>
        <v>58277.49</v>
      </c>
      <c r="K2024" s="1298"/>
      <c r="L2024" s="1298">
        <f t="shared" si="499"/>
        <v>0</v>
      </c>
      <c r="M2024" s="1298">
        <f t="shared" si="502"/>
        <v>0</v>
      </c>
      <c r="N2024" s="1298">
        <f t="shared" si="500"/>
        <v>0</v>
      </c>
      <c r="O2024" s="1298">
        <f t="shared" si="501"/>
        <v>0</v>
      </c>
      <c r="P2024" s="1499"/>
      <c r="Q2024" s="1300"/>
      <c r="R2024" s="1300"/>
      <c r="S2024" s="1300"/>
    </row>
    <row r="2025" spans="1:19" s="1081" customFormat="1" hidden="1" outlineLevel="1">
      <c r="A2025" s="1072" t="str">
        <f t="shared" si="498"/>
        <v/>
      </c>
      <c r="B2025" s="1068" t="s">
        <v>224</v>
      </c>
      <c r="C2025" s="1302"/>
      <c r="D2025" s="1198" t="str">
        <f>VLOOKUP($B2025,dongia1,DG!$B$5,)</f>
        <v>T4.4201</v>
      </c>
      <c r="E2025" s="1243" t="str">
        <f>VLOOKUP($B2025,dongia1,DG!$C$5,)</f>
        <v>Lắp cáp đồng xuống thiết bị D ≤ 95mm2</v>
      </c>
      <c r="F2025" s="1198" t="str">
        <f>VLOOKUP($B2025,dongia1,DG!$D$5,)</f>
        <v>m</v>
      </c>
      <c r="G2025" s="1508">
        <f>G2015</f>
        <v>0</v>
      </c>
      <c r="H2025" s="1298"/>
      <c r="I2025" s="1298"/>
      <c r="J2025" s="1298">
        <f>VLOOKUP($B2025,dongia1,DG!$G$5,)</f>
        <v>13915</v>
      </c>
      <c r="K2025" s="1298"/>
      <c r="L2025" s="1298">
        <f t="shared" si="499"/>
        <v>0</v>
      </c>
      <c r="M2025" s="1298">
        <f t="shared" si="502"/>
        <v>0</v>
      </c>
      <c r="N2025" s="1298">
        <f t="shared" si="500"/>
        <v>0</v>
      </c>
      <c r="O2025" s="1298">
        <f t="shared" si="501"/>
        <v>0</v>
      </c>
      <c r="P2025" s="1499"/>
      <c r="Q2025" s="1300"/>
      <c r="R2025" s="1300"/>
      <c r="S2025" s="1300"/>
    </row>
    <row r="2026" spans="1:19" s="1081" customFormat="1" hidden="1" outlineLevel="1">
      <c r="A2026" s="1072" t="str">
        <f t="shared" si="498"/>
        <v/>
      </c>
      <c r="B2026" s="1295"/>
      <c r="C2026" s="1291">
        <f>IF(G2026&gt;0,C2013+1,C2013)</f>
        <v>0</v>
      </c>
      <c r="D2026" s="1292"/>
      <c r="E2026" s="1293" t="s">
        <v>3434</v>
      </c>
      <c r="F2026" s="1291" t="s">
        <v>2113</v>
      </c>
      <c r="G2026" s="1509">
        <f>G1931*0</f>
        <v>0</v>
      </c>
      <c r="H2026" s="1298"/>
      <c r="I2026" s="1298"/>
      <c r="J2026" s="1298"/>
      <c r="K2026" s="1298"/>
      <c r="L2026" s="1298"/>
      <c r="M2026" s="1298"/>
      <c r="N2026" s="1298"/>
      <c r="O2026" s="1298"/>
      <c r="P2026" s="1299"/>
      <c r="Q2026" s="1300"/>
      <c r="R2026" s="1300"/>
      <c r="S2026" s="1300"/>
    </row>
    <row r="2027" spans="1:19" s="1081" customFormat="1" ht="14.4" hidden="1" outlineLevel="1">
      <c r="A2027" s="1072" t="str">
        <f>A2026</f>
        <v/>
      </c>
      <c r="B2027" s="1295"/>
      <c r="C2027" s="1291"/>
      <c r="D2027" s="1292"/>
      <c r="E2027" s="1308" t="s">
        <v>3399</v>
      </c>
      <c r="F2027" s="1291"/>
      <c r="G2027" s="1509"/>
      <c r="H2027" s="1298"/>
      <c r="I2027" s="1298"/>
      <c r="J2027" s="1298"/>
      <c r="K2027" s="1298"/>
      <c r="L2027" s="1298"/>
      <c r="M2027" s="1298"/>
      <c r="N2027" s="1298"/>
      <c r="O2027" s="1298"/>
      <c r="P2027" s="1299"/>
      <c r="Q2027" s="1300"/>
      <c r="R2027" s="1300"/>
      <c r="S2027" s="1300"/>
    </row>
    <row r="2028" spans="1:19" s="1081" customFormat="1" hidden="1" outlineLevel="1">
      <c r="A2028" s="1072" t="str">
        <f>IF(G2028&lt;&gt;0,1,"")</f>
        <v/>
      </c>
      <c r="B2028" s="1295" t="s">
        <v>2039</v>
      </c>
      <c r="C2028" s="1302"/>
      <c r="D2028" s="1198">
        <f>VLOOKUP($B2028,dongia1,DG!$B$5,)</f>
        <v>0</v>
      </c>
      <c r="E2028" s="1243" t="str">
        <f>VLOOKUP($B2028,dongia1,DG!$C$5,)</f>
        <v xml:space="preserve">Ống PVC D90x3,8mm </v>
      </c>
      <c r="F2028" s="1198" t="str">
        <f>VLOOKUP($B2028,dongia1,DG!$D$5,)</f>
        <v>m</v>
      </c>
      <c r="G2028" s="1508">
        <f>G2026*2</f>
        <v>0</v>
      </c>
      <c r="H2028" s="1298">
        <f>VLOOKUP($B2028,dongia1,DG!$F$5,)</f>
        <v>63200</v>
      </c>
      <c r="I2028" s="1298"/>
      <c r="J2028" s="1298">
        <f>VLOOKUP($B2028,dongia1,DG!$G$5,)</f>
        <v>0</v>
      </c>
      <c r="K2028" s="1298">
        <f>VLOOKUP($B2028,dongia1,DG!$H$5,)</f>
        <v>0</v>
      </c>
      <c r="L2028" s="1298">
        <f>H2028*G2028</f>
        <v>0</v>
      </c>
      <c r="M2028" s="1298">
        <f>I2028*G2028</f>
        <v>0</v>
      </c>
      <c r="N2028" s="1298">
        <f>J2028*G2028</f>
        <v>0</v>
      </c>
      <c r="O2028" s="1298">
        <f>K2028*G2028</f>
        <v>0</v>
      </c>
      <c r="P2028" s="1299"/>
      <c r="Q2028" s="1300"/>
      <c r="R2028" s="1300"/>
      <c r="S2028" s="1300"/>
    </row>
    <row r="2029" spans="1:19" s="1081" customFormat="1" hidden="1" outlineLevel="1">
      <c r="A2029" s="1072" t="str">
        <f>IF(G2029&lt;&gt;0,1,"")</f>
        <v/>
      </c>
      <c r="B2029" s="1295" t="s">
        <v>561</v>
      </c>
      <c r="C2029" s="1302"/>
      <c r="D2029" s="1198">
        <f>VLOOKUP($B2029,dongia1,DG!$B$5,)</f>
        <v>0</v>
      </c>
      <c r="E2029" s="1243" t="str">
        <f>VLOOKUP($B2029,dongia1,DG!$C$5,)</f>
        <v>Co  90 độ PVC 90 (loại dày)</v>
      </c>
      <c r="F2029" s="1198" t="str">
        <f>VLOOKUP($B2029,dongia1,DG!$D$5,)</f>
        <v>cái</v>
      </c>
      <c r="G2029" s="1508">
        <f>G2026</f>
        <v>0</v>
      </c>
      <c r="H2029" s="1298">
        <f>VLOOKUP($B2029,dongia1,DG!$F$5,)</f>
        <v>45400</v>
      </c>
      <c r="I2029" s="1298"/>
      <c r="J2029" s="1298">
        <f>VLOOKUP($B2029,dongia1,DG!$G$5,)</f>
        <v>0</v>
      </c>
      <c r="K2029" s="1298">
        <f>VLOOKUP($B2029,dongia1,DG!$H$5,)</f>
        <v>0</v>
      </c>
      <c r="L2029" s="1298">
        <f>H2029*G2029</f>
        <v>0</v>
      </c>
      <c r="M2029" s="1298">
        <f>I2029*G2029</f>
        <v>0</v>
      </c>
      <c r="N2029" s="1298">
        <f>J2029*G2029</f>
        <v>0</v>
      </c>
      <c r="O2029" s="1298">
        <f>K2029*G2029</f>
        <v>0</v>
      </c>
      <c r="P2029" s="1299"/>
      <c r="Q2029" s="1300"/>
      <c r="R2029" s="1300"/>
      <c r="S2029" s="1300"/>
    </row>
    <row r="2030" spans="1:19" s="1081" customFormat="1" hidden="1" outlineLevel="1">
      <c r="A2030" s="1072" t="str">
        <f>IF(G2030&lt;&gt;0,1,"")</f>
        <v/>
      </c>
      <c r="B2030" s="1295" t="s">
        <v>705</v>
      </c>
      <c r="C2030" s="1302"/>
      <c r="D2030" s="1198">
        <f>VLOOKUP($B2030,dongia1,DG!$B$5,)</f>
        <v>0</v>
      </c>
      <c r="E2030" s="1243" t="str">
        <f>VLOOKUP($B2030,dongia1,DG!$C$5,)</f>
        <v>Khâu ven răng trong D90</v>
      </c>
      <c r="F2030" s="1198" t="str">
        <f>VLOOKUP($B2030,dongia1,DG!$D$5,)</f>
        <v>cái</v>
      </c>
      <c r="G2030" s="1508">
        <f>G2026*2</f>
        <v>0</v>
      </c>
      <c r="H2030" s="1298">
        <f>VLOOKUP($B2030,dongia1,DG!$F$5,)</f>
        <v>25800</v>
      </c>
      <c r="I2030" s="1298"/>
      <c r="J2030" s="1298">
        <f>VLOOKUP($B2030,dongia1,DG!$G$5,)</f>
        <v>0</v>
      </c>
      <c r="K2030" s="1298">
        <f>VLOOKUP($B2030,dongia1,DG!$H$5,)</f>
        <v>0</v>
      </c>
      <c r="L2030" s="1298">
        <f>H2030*G2030</f>
        <v>0</v>
      </c>
      <c r="M2030" s="1298">
        <f>I2030*G2030</f>
        <v>0</v>
      </c>
      <c r="N2030" s="1298">
        <f>J2030*G2030</f>
        <v>0</v>
      </c>
      <c r="O2030" s="1298">
        <f>K2030*G2030</f>
        <v>0</v>
      </c>
      <c r="P2030" s="1299"/>
      <c r="Q2030" s="1300"/>
      <c r="R2030" s="1300"/>
      <c r="S2030" s="1300"/>
    </row>
    <row r="2031" spans="1:19" s="1081" customFormat="1" hidden="1" outlineLevel="1">
      <c r="A2031" s="1072" t="str">
        <f>IF(G2031&lt;&gt;0,1,"")</f>
        <v/>
      </c>
      <c r="B2031" s="1295" t="s">
        <v>704</v>
      </c>
      <c r="C2031" s="1302"/>
      <c r="D2031" s="1198">
        <f>VLOOKUP($B2031,dongia1,DG!$B$5,)</f>
        <v>0</v>
      </c>
      <c r="E2031" s="1243" t="str">
        <f>VLOOKUP($B2031,dongia1,DG!$C$5,)</f>
        <v>Khâu ven răng ngoài D90</v>
      </c>
      <c r="F2031" s="1198" t="str">
        <f>VLOOKUP($B2031,dongia1,DG!$D$5,)</f>
        <v>cái</v>
      </c>
      <c r="G2031" s="1508">
        <f>G2030</f>
        <v>0</v>
      </c>
      <c r="H2031" s="1298">
        <f>VLOOKUP($B2031,dongia1,DG!$F$5,)</f>
        <v>21500</v>
      </c>
      <c r="I2031" s="1298"/>
      <c r="J2031" s="1298">
        <f>VLOOKUP($B2031,dongia1,DG!$G$5,)</f>
        <v>0</v>
      </c>
      <c r="K2031" s="1298">
        <f>VLOOKUP($B2031,dongia1,DG!$H$5,)</f>
        <v>0</v>
      </c>
      <c r="L2031" s="1298">
        <f>H2031*G2031</f>
        <v>0</v>
      </c>
      <c r="M2031" s="1298">
        <f>I2031*G2031</f>
        <v>0</v>
      </c>
      <c r="N2031" s="1298">
        <f>J2031*G2031</f>
        <v>0</v>
      </c>
      <c r="O2031" s="1298">
        <f>K2031*G2031</f>
        <v>0</v>
      </c>
      <c r="P2031" s="1299"/>
      <c r="Q2031" s="1300"/>
      <c r="R2031" s="1300"/>
      <c r="S2031" s="1300"/>
    </row>
    <row r="2032" spans="1:19" s="1081" customFormat="1" hidden="1" outlineLevel="1">
      <c r="A2032" s="1072" t="str">
        <f>IF(G2032&lt;&gt;0,1,"")</f>
        <v/>
      </c>
      <c r="B2032" s="1068"/>
      <c r="C2032" s="1291">
        <f>IF(G2032&gt;0,C2026+1,C2026)</f>
        <v>0</v>
      </c>
      <c r="D2032" s="1292"/>
      <c r="E2032" s="1293" t="s">
        <v>4571</v>
      </c>
      <c r="F2032" s="1291" t="s">
        <v>2113</v>
      </c>
      <c r="G2032" s="1508">
        <f>G1989</f>
        <v>0</v>
      </c>
      <c r="H2032" s="1298"/>
      <c r="I2032" s="1298"/>
      <c r="J2032" s="1298"/>
      <c r="K2032" s="1298"/>
      <c r="L2032" s="1298"/>
      <c r="M2032" s="1298"/>
      <c r="N2032" s="1298"/>
      <c r="O2032" s="1298"/>
      <c r="P2032" s="1499"/>
      <c r="Q2032" s="1300"/>
      <c r="R2032" s="1300"/>
      <c r="S2032" s="1300"/>
    </row>
    <row r="2033" spans="1:19" s="1081" customFormat="1" ht="14.4" hidden="1" outlineLevel="1">
      <c r="A2033" s="1072" t="str">
        <f>A2032</f>
        <v/>
      </c>
      <c r="B2033" s="1068"/>
      <c r="C2033" s="1291"/>
      <c r="D2033" s="1292"/>
      <c r="E2033" s="1308" t="s">
        <v>3399</v>
      </c>
      <c r="F2033" s="1291"/>
      <c r="G2033" s="1508"/>
      <c r="H2033" s="1298"/>
      <c r="I2033" s="1298"/>
      <c r="J2033" s="1298"/>
      <c r="K2033" s="1298"/>
      <c r="L2033" s="1298"/>
      <c r="M2033" s="1298"/>
      <c r="N2033" s="1298"/>
      <c r="O2033" s="1298"/>
      <c r="P2033" s="1499"/>
      <c r="Q2033" s="1300"/>
      <c r="R2033" s="1300"/>
      <c r="S2033" s="1300"/>
    </row>
    <row r="2034" spans="1:19" s="1081" customFormat="1" hidden="1" outlineLevel="1">
      <c r="A2034" s="1072" t="str">
        <f>IF(G2034&lt;&gt;0,1,"")</f>
        <v/>
      </c>
      <c r="B2034" s="1295" t="s">
        <v>1312</v>
      </c>
      <c r="C2034" s="1302"/>
      <c r="D2034" s="1198">
        <f>VLOOKUP($B2034,dongia1,DG!$B$5,)</f>
        <v>0</v>
      </c>
      <c r="E2034" s="1243" t="str">
        <f>VLOOKUP($B2034,dongia1,DG!$C$5,)</f>
        <v>Cáp đồng bọc CV120</v>
      </c>
      <c r="F2034" s="1198" t="str">
        <f>VLOOKUP($B2034,dongia1,DG!$D$5,)</f>
        <v>mét</v>
      </c>
      <c r="G2034" s="1508">
        <f>G2032*7</f>
        <v>0</v>
      </c>
      <c r="H2034" s="1298">
        <f>VLOOKUP($B2034,dongia1,DG!$F$5,)</f>
        <v>236300</v>
      </c>
      <c r="I2034" s="1298"/>
      <c r="J2034" s="1298">
        <f>VLOOKUP($B2034,dongia1,DG!$G$5,)</f>
        <v>0</v>
      </c>
      <c r="K2034" s="1298">
        <f>VLOOKUP($B2034,dongia1,DG!$H$5,)</f>
        <v>0</v>
      </c>
      <c r="L2034" s="1298">
        <f>H2034*G2034</f>
        <v>0</v>
      </c>
      <c r="M2034" s="1298">
        <f>I2034*G2034</f>
        <v>0</v>
      </c>
      <c r="N2034" s="1298">
        <f>J2034*G2034</f>
        <v>0</v>
      </c>
      <c r="O2034" s="1298">
        <f>K2034*G2034</f>
        <v>0</v>
      </c>
      <c r="P2034" s="1499"/>
      <c r="Q2034" s="1300"/>
      <c r="R2034" s="1300"/>
      <c r="S2034" s="1300"/>
    </row>
    <row r="2035" spans="1:19" s="1081" customFormat="1" hidden="1" outlineLevel="1">
      <c r="A2035" s="1072" t="str">
        <f>IF(G2035&lt;&gt;0,1,"")</f>
        <v/>
      </c>
      <c r="B2035" s="1295" t="s">
        <v>1279</v>
      </c>
      <c r="C2035" s="1302"/>
      <c r="D2035" s="1198">
        <f>VLOOKUP($B2035,dongia1,DG!$B$5,)</f>
        <v>0</v>
      </c>
      <c r="E2035" s="1243" t="str">
        <f>VLOOKUP($B2035,dongia1,DG!$C$5,)</f>
        <v>Cáp đồng bọc CV240</v>
      </c>
      <c r="F2035" s="1198" t="str">
        <f>VLOOKUP($B2035,dongia1,DG!$D$5,)</f>
        <v>mét</v>
      </c>
      <c r="G2035" s="1508">
        <f>(7*3)*G2032</f>
        <v>0</v>
      </c>
      <c r="H2035" s="1298">
        <f>VLOOKUP($B2035,dongia1,DG!$F$5,)</f>
        <v>567100</v>
      </c>
      <c r="I2035" s="1298"/>
      <c r="J2035" s="1298">
        <f>VLOOKUP($B2035,dongia1,DG!$G$5,)</f>
        <v>0</v>
      </c>
      <c r="K2035" s="1298">
        <f>VLOOKUP($B2035,dongia1,DG!$H$5,)</f>
        <v>0</v>
      </c>
      <c r="L2035" s="1298">
        <f>H2035*G2035</f>
        <v>0</v>
      </c>
      <c r="M2035" s="1298">
        <f>I2035*G2035</f>
        <v>0</v>
      </c>
      <c r="N2035" s="1298">
        <f>J2035*G2035</f>
        <v>0</v>
      </c>
      <c r="O2035" s="1298">
        <f>K2035*G2035</f>
        <v>0</v>
      </c>
      <c r="P2035" s="1499"/>
      <c r="Q2035" s="1300"/>
      <c r="R2035" s="1300"/>
      <c r="S2035" s="1300"/>
    </row>
    <row r="2036" spans="1:19" s="1081" customFormat="1" hidden="1" outlineLevel="1">
      <c r="A2036" s="1072" t="str">
        <f>IF(G2036&lt;&gt;0,1,"")</f>
        <v/>
      </c>
      <c r="B2036" s="1295" t="s">
        <v>2062</v>
      </c>
      <c r="C2036" s="1302"/>
      <c r="D2036" s="1198" t="str">
        <f>VLOOKUP($B2036,dongia1,DG!$B$5,)</f>
        <v>D4.5005</v>
      </c>
      <c r="E2036" s="1243" t="str">
        <f>VLOOKUP($B2036,dongia1,DG!$C$5,)</f>
        <v>Đầu cosse ép Cu 120mm2</v>
      </c>
      <c r="F2036" s="1198" t="str">
        <f>VLOOKUP($B2036,dongia1,DG!$D$5,)</f>
        <v>cái</v>
      </c>
      <c r="G2036" s="1508">
        <f>G2032</f>
        <v>0</v>
      </c>
      <c r="H2036" s="1298">
        <f>VLOOKUP($B2036,dongia1,DG!$F$5,)</f>
        <v>27000</v>
      </c>
      <c r="I2036" s="1298"/>
      <c r="J2036" s="1298">
        <f>VLOOKUP($B2036,dongia1,DG!$G$5,)</f>
        <v>27280.17</v>
      </c>
      <c r="K2036" s="1298">
        <f>VLOOKUP($B2036,dongia1,DG!$H$5,)</f>
        <v>3887.8325465000003</v>
      </c>
      <c r="L2036" s="1298">
        <f>H2036*G2036</f>
        <v>0</v>
      </c>
      <c r="M2036" s="1298">
        <f>I2036*G2036</f>
        <v>0</v>
      </c>
      <c r="N2036" s="1298">
        <f>J2036*G2036</f>
        <v>0</v>
      </c>
      <c r="O2036" s="1298">
        <f>K2036*G2036</f>
        <v>0</v>
      </c>
      <c r="P2036" s="1499"/>
      <c r="Q2036" s="1300"/>
      <c r="R2036" s="1300"/>
      <c r="S2036" s="1300"/>
    </row>
    <row r="2037" spans="1:19" s="1081" customFormat="1" hidden="1" outlineLevel="1">
      <c r="A2037" s="1072" t="str">
        <f>IF(G2037&lt;&gt;0,1,"")</f>
        <v/>
      </c>
      <c r="B2037" s="1295" t="s">
        <v>683</v>
      </c>
      <c r="C2037" s="1302"/>
      <c r="D2037" s="1198" t="str">
        <f>VLOOKUP($B2037,dongia1,DG!$B$5,)</f>
        <v>D4.5008</v>
      </c>
      <c r="E2037" s="1243" t="str">
        <f>VLOOKUP($B2037,dongia1,DG!$C$5,)</f>
        <v>Đầu cosse ép Cu 240mm2</v>
      </c>
      <c r="F2037" s="1198" t="str">
        <f>VLOOKUP($B2037,dongia1,DG!$D$5,)</f>
        <v>cái</v>
      </c>
      <c r="G2037" s="1508">
        <f>G2032*3</f>
        <v>0</v>
      </c>
      <c r="H2037" s="1298">
        <f>VLOOKUP($B2037,dongia1,DG!$F$5,)</f>
        <v>70000</v>
      </c>
      <c r="I2037" s="1298"/>
      <c r="J2037" s="1298">
        <f>VLOOKUP($B2037,dongia1,DG!$G$5,)</f>
        <v>50013.645000000004</v>
      </c>
      <c r="K2037" s="1298">
        <f>VLOOKUP($B2037,dongia1,DG!$H$5,)</f>
        <v>5554.0464950000005</v>
      </c>
      <c r="L2037" s="1298">
        <f>H2037*G2037</f>
        <v>0</v>
      </c>
      <c r="M2037" s="1298">
        <f>I2037*G2037</f>
        <v>0</v>
      </c>
      <c r="N2037" s="1298">
        <f>J2037*G2037</f>
        <v>0</v>
      </c>
      <c r="O2037" s="1298">
        <f>K2037*G2037</f>
        <v>0</v>
      </c>
      <c r="P2037" s="1499"/>
      <c r="Q2037" s="1300"/>
      <c r="R2037" s="1300"/>
      <c r="S2037" s="1300"/>
    </row>
    <row r="2038" spans="1:19" s="1081" customFormat="1" hidden="1" outlineLevel="1">
      <c r="A2038" s="1072" t="str">
        <f t="shared" ref="A2038:A2050" si="503">IF(G2038&lt;&gt;0,1,"")</f>
        <v/>
      </c>
      <c r="B2038" s="1295" t="s">
        <v>476</v>
      </c>
      <c r="C2038" s="1302"/>
      <c r="D2038" s="1198">
        <f>VLOOKUP($B2038,dongia1,DG!$B$5,)</f>
        <v>0</v>
      </c>
      <c r="E2038" s="1243" t="str">
        <f>VLOOKUP($B2038,dongia1,DG!$C$5,)</f>
        <v>Chụp đầu cosse  120mm2</v>
      </c>
      <c r="F2038" s="1198" t="str">
        <f>VLOOKUP($B2038,dongia1,DG!$D$5,)</f>
        <v>cái</v>
      </c>
      <c r="G2038" s="1508">
        <f>G2036</f>
        <v>0</v>
      </c>
      <c r="H2038" s="1298">
        <f>VLOOKUP($B2038,dongia1,DG!$F$5,)</f>
        <v>4000</v>
      </c>
      <c r="I2038" s="1298"/>
      <c r="J2038" s="1298">
        <f>VLOOKUP($B2038,dongia1,DG!$G$5,)</f>
        <v>0</v>
      </c>
      <c r="K2038" s="1298">
        <f>VLOOKUP($B2038,dongia1,DG!$H$5,)</f>
        <v>0</v>
      </c>
      <c r="L2038" s="1298">
        <f t="shared" ref="L2038:L2050" si="504">H2038*G2038</f>
        <v>0</v>
      </c>
      <c r="M2038" s="1298">
        <f t="shared" ref="M2038:M2050" si="505">I2038*G2038</f>
        <v>0</v>
      </c>
      <c r="N2038" s="1298">
        <f t="shared" ref="N2038:N2050" si="506">J2038*G2038</f>
        <v>0</v>
      </c>
      <c r="O2038" s="1298">
        <f t="shared" ref="O2038:O2050" si="507">K2038*G2038</f>
        <v>0</v>
      </c>
      <c r="P2038" s="1499"/>
      <c r="Q2038" s="1300"/>
      <c r="R2038" s="1300"/>
      <c r="S2038" s="1300"/>
    </row>
    <row r="2039" spans="1:19" s="1081" customFormat="1" hidden="1" outlineLevel="1">
      <c r="A2039" s="1072" t="str">
        <f t="shared" si="503"/>
        <v/>
      </c>
      <c r="B2039" s="1295" t="s">
        <v>474</v>
      </c>
      <c r="C2039" s="1302"/>
      <c r="D2039" s="1198">
        <f>VLOOKUP($B2039,dongia1,DG!$B$5,)</f>
        <v>0</v>
      </c>
      <c r="E2039" s="1243" t="str">
        <f>VLOOKUP($B2039,dongia1,DG!$C$5,)</f>
        <v>Chụp đầu cosse  240mm2</v>
      </c>
      <c r="F2039" s="1198" t="str">
        <f>VLOOKUP($B2039,dongia1,DG!$D$5,)</f>
        <v>cái</v>
      </c>
      <c r="G2039" s="1508">
        <f>G2037</f>
        <v>0</v>
      </c>
      <c r="H2039" s="1298">
        <f>VLOOKUP($B2039,dongia1,DG!$F$5,)</f>
        <v>6000</v>
      </c>
      <c r="I2039" s="1298"/>
      <c r="J2039" s="1298">
        <f>VLOOKUP($B2039,dongia1,DG!$G$5,)</f>
        <v>0</v>
      </c>
      <c r="K2039" s="1298">
        <f>VLOOKUP($B2039,dongia1,DG!$H$5,)</f>
        <v>0</v>
      </c>
      <c r="L2039" s="1298">
        <f t="shared" si="504"/>
        <v>0</v>
      </c>
      <c r="M2039" s="1298">
        <f t="shared" si="505"/>
        <v>0</v>
      </c>
      <c r="N2039" s="1298">
        <f t="shared" si="506"/>
        <v>0</v>
      </c>
      <c r="O2039" s="1298">
        <f t="shared" si="507"/>
        <v>0</v>
      </c>
      <c r="P2039" s="1499"/>
      <c r="Q2039" s="1300"/>
      <c r="R2039" s="1300"/>
      <c r="S2039" s="1300"/>
    </row>
    <row r="2040" spans="1:19" s="1081" customFormat="1" hidden="1" outlineLevel="1">
      <c r="A2040" s="1072" t="str">
        <f t="shared" si="503"/>
        <v/>
      </c>
      <c r="B2040" s="1295" t="s">
        <v>595</v>
      </c>
      <c r="C2040" s="1302"/>
      <c r="D2040" s="1198">
        <f>VLOOKUP($B2040,dongia1,DG!$B$5,)</f>
        <v>0</v>
      </c>
      <c r="E2040" s="1243" t="str">
        <f>VLOOKUP($B2040,dongia1,DG!$C$5,)</f>
        <v xml:space="preserve">Ống PVC D90x3,8mm </v>
      </c>
      <c r="F2040" s="1198" t="str">
        <f>VLOOKUP($B2040,dongia1,DG!$D$5,)</f>
        <v>m</v>
      </c>
      <c r="G2040" s="1508">
        <f>+G2032*5</f>
        <v>0</v>
      </c>
      <c r="H2040" s="1298">
        <f>VLOOKUP($B2040,dongia1,DG!$F$5,)</f>
        <v>63200</v>
      </c>
      <c r="I2040" s="1298"/>
      <c r="J2040" s="1298">
        <f>VLOOKUP($B2040,dongia1,DG!$G$5,)</f>
        <v>0</v>
      </c>
      <c r="K2040" s="1298">
        <f>VLOOKUP($B2040,dongia1,DG!$H$5,)</f>
        <v>0</v>
      </c>
      <c r="L2040" s="1298">
        <f t="shared" si="504"/>
        <v>0</v>
      </c>
      <c r="M2040" s="1298">
        <f t="shared" si="505"/>
        <v>0</v>
      </c>
      <c r="N2040" s="1298">
        <f t="shared" si="506"/>
        <v>0</v>
      </c>
      <c r="O2040" s="1298">
        <f t="shared" si="507"/>
        <v>0</v>
      </c>
      <c r="P2040" s="1499"/>
      <c r="Q2040" s="1300"/>
      <c r="R2040" s="1300"/>
      <c r="S2040" s="1300"/>
    </row>
    <row r="2041" spans="1:19" s="1081" customFormat="1" hidden="1" outlineLevel="1">
      <c r="A2041" s="1072" t="str">
        <f t="shared" si="503"/>
        <v/>
      </c>
      <c r="B2041" s="1295" t="s">
        <v>561</v>
      </c>
      <c r="C2041" s="1302"/>
      <c r="D2041" s="1198">
        <f>VLOOKUP($B2041,dongia1,DG!$B$5,)</f>
        <v>0</v>
      </c>
      <c r="E2041" s="1243" t="str">
        <f>VLOOKUP($B2041,dongia1,DG!$C$5,)</f>
        <v>Co  90 độ PVC 90 (loại dày)</v>
      </c>
      <c r="F2041" s="1198" t="str">
        <f>VLOOKUP($B2041,dongia1,DG!$D$5,)</f>
        <v>cái</v>
      </c>
      <c r="G2041" s="1508">
        <f>G2032</f>
        <v>0</v>
      </c>
      <c r="H2041" s="1298">
        <f>VLOOKUP($B2041,dongia1,DG!$F$5,)</f>
        <v>45400</v>
      </c>
      <c r="I2041" s="1298"/>
      <c r="J2041" s="1298">
        <f>VLOOKUP($B2041,dongia1,DG!$G$5,)</f>
        <v>0</v>
      </c>
      <c r="K2041" s="1298">
        <f>VLOOKUP($B2041,dongia1,DG!$H$5,)</f>
        <v>0</v>
      </c>
      <c r="L2041" s="1298">
        <f t="shared" si="504"/>
        <v>0</v>
      </c>
      <c r="M2041" s="1298">
        <f t="shared" si="505"/>
        <v>0</v>
      </c>
      <c r="N2041" s="1298">
        <f t="shared" si="506"/>
        <v>0</v>
      </c>
      <c r="O2041" s="1298">
        <f t="shared" si="507"/>
        <v>0</v>
      </c>
      <c r="P2041" s="1499"/>
      <c r="Q2041" s="1300"/>
      <c r="R2041" s="1300"/>
      <c r="S2041" s="1300"/>
    </row>
    <row r="2042" spans="1:19" s="1081" customFormat="1" hidden="1" outlineLevel="1">
      <c r="A2042" s="1072" t="str">
        <f t="shared" si="503"/>
        <v/>
      </c>
      <c r="B2042" s="1295" t="s">
        <v>2089</v>
      </c>
      <c r="C2042" s="1302"/>
      <c r="D2042" s="1198">
        <f>VLOOKUP($B2042,dongia1,DG!$B$5,)</f>
        <v>0</v>
      </c>
      <c r="E2042" s="1243" t="str">
        <f>VLOOKUP($B2042,dongia1,DG!$C$5,)</f>
        <v>Cổ dê kẹp ống PVC Þ 90</v>
      </c>
      <c r="F2042" s="1198" t="str">
        <f>VLOOKUP($B2042,dongia1,DG!$D$5,)</f>
        <v>bộ</v>
      </c>
      <c r="G2042" s="1508">
        <f>G2032*2</f>
        <v>0</v>
      </c>
      <c r="H2042" s="1298">
        <f>VLOOKUP($B2042,dongia1,DG!$F$5,)</f>
        <v>49000</v>
      </c>
      <c r="I2042" s="1298"/>
      <c r="J2042" s="1298">
        <f>VLOOKUP($B2042,dongia1,DG!$G$5,)</f>
        <v>0</v>
      </c>
      <c r="K2042" s="1298">
        <f>VLOOKUP($B2042,dongia1,DG!$H$5,)</f>
        <v>0</v>
      </c>
      <c r="L2042" s="1298">
        <f t="shared" si="504"/>
        <v>0</v>
      </c>
      <c r="M2042" s="1298">
        <f t="shared" si="505"/>
        <v>0</v>
      </c>
      <c r="N2042" s="1298">
        <f t="shared" si="506"/>
        <v>0</v>
      </c>
      <c r="O2042" s="1298">
        <f t="shared" si="507"/>
        <v>0</v>
      </c>
      <c r="P2042" s="1499"/>
      <c r="Q2042" s="1300"/>
      <c r="R2042" s="1300"/>
      <c r="S2042" s="1300"/>
    </row>
    <row r="2043" spans="1:19" s="1081" customFormat="1" hidden="1" outlineLevel="1">
      <c r="A2043" s="1072" t="str">
        <f t="shared" si="503"/>
        <v/>
      </c>
      <c r="B2043" s="1295" t="s">
        <v>1259</v>
      </c>
      <c r="C2043" s="1302"/>
      <c r="D2043" s="1198">
        <f>VLOOKUP($B2043,dongia1,DG!$B$5,)</f>
        <v>0</v>
      </c>
      <c r="E2043" s="1243" t="str">
        <f>VLOOKUP($B2043,dongia1,DG!$C$5,)</f>
        <v>Khâu ven răng trong D90</v>
      </c>
      <c r="F2043" s="1198" t="str">
        <f>VLOOKUP($B2043,dongia1,DG!$D$5,)</f>
        <v>cái</v>
      </c>
      <c r="G2043" s="1508">
        <f>G2032*2</f>
        <v>0</v>
      </c>
      <c r="H2043" s="1298">
        <f>VLOOKUP($B2043,dongia1,DG!$F$5,)</f>
        <v>25800</v>
      </c>
      <c r="I2043" s="1298"/>
      <c r="J2043" s="1298">
        <f>VLOOKUP($B2043,dongia1,DG!$G$5,)</f>
        <v>0</v>
      </c>
      <c r="K2043" s="1298">
        <f>VLOOKUP($B2043,dongia1,DG!$H$5,)</f>
        <v>0</v>
      </c>
      <c r="L2043" s="1298">
        <f t="shared" si="504"/>
        <v>0</v>
      </c>
      <c r="M2043" s="1298">
        <f t="shared" si="505"/>
        <v>0</v>
      </c>
      <c r="N2043" s="1298">
        <f t="shared" si="506"/>
        <v>0</v>
      </c>
      <c r="O2043" s="1298">
        <f t="shared" si="507"/>
        <v>0</v>
      </c>
      <c r="P2043" s="1499"/>
      <c r="Q2043" s="1300"/>
      <c r="R2043" s="1300"/>
      <c r="S2043" s="1300"/>
    </row>
    <row r="2044" spans="1:19" s="1081" customFormat="1" hidden="1" outlineLevel="1">
      <c r="A2044" s="1072" t="str">
        <f t="shared" si="503"/>
        <v/>
      </c>
      <c r="B2044" s="1295" t="s">
        <v>1260</v>
      </c>
      <c r="C2044" s="1302"/>
      <c r="D2044" s="1198">
        <f>VLOOKUP($B2044,dongia1,DG!$B$5,)</f>
        <v>0</v>
      </c>
      <c r="E2044" s="1243" t="str">
        <f>VLOOKUP($B2044,dongia1,DG!$C$5,)</f>
        <v>Khâu ven răng ngoài D90</v>
      </c>
      <c r="F2044" s="1198" t="str">
        <f>VLOOKUP($B2044,dongia1,DG!$D$5,)</f>
        <v>cái</v>
      </c>
      <c r="G2044" s="1508">
        <f>G2043</f>
        <v>0</v>
      </c>
      <c r="H2044" s="1298">
        <f>VLOOKUP($B2044,dongia1,DG!$F$5,)</f>
        <v>21500</v>
      </c>
      <c r="I2044" s="1298"/>
      <c r="J2044" s="1298">
        <f>VLOOKUP($B2044,dongia1,DG!$G$5,)</f>
        <v>0</v>
      </c>
      <c r="K2044" s="1298">
        <f>VLOOKUP($B2044,dongia1,DG!$H$5,)</f>
        <v>0</v>
      </c>
      <c r="L2044" s="1298">
        <f t="shared" si="504"/>
        <v>0</v>
      </c>
      <c r="M2044" s="1298">
        <f t="shared" si="505"/>
        <v>0</v>
      </c>
      <c r="N2044" s="1298">
        <f t="shared" si="506"/>
        <v>0</v>
      </c>
      <c r="O2044" s="1298">
        <f t="shared" si="507"/>
        <v>0</v>
      </c>
      <c r="P2044" s="1499"/>
      <c r="Q2044" s="1300"/>
      <c r="R2044" s="1300"/>
      <c r="S2044" s="1300"/>
    </row>
    <row r="2045" spans="1:19" s="1081" customFormat="1" hidden="1" outlineLevel="1">
      <c r="A2045" s="1072" t="str">
        <f t="shared" si="503"/>
        <v/>
      </c>
      <c r="B2045" s="1295" t="s">
        <v>4708</v>
      </c>
      <c r="C2045" s="1302"/>
      <c r="D2045" s="1198">
        <f>VLOOKUP($B2045,dongia1,DG!$B$5,)</f>
        <v>0</v>
      </c>
      <c r="E2045" s="1243" t="str">
        <f>VLOOKUP($B2045,dongia1,DG!$C$5,)</f>
        <v>Ống đàn hồi 90 (Ruột gà)</v>
      </c>
      <c r="F2045" s="1198" t="str">
        <f>VLOOKUP($B2045,dongia1,DG!$D$5,)</f>
        <v>m</v>
      </c>
      <c r="G2045" s="1508">
        <f>G2032*1.5</f>
        <v>0</v>
      </c>
      <c r="H2045" s="1298">
        <f>VLOOKUP($B2045,dongia1,DG!$F$5,)</f>
        <v>50000</v>
      </c>
      <c r="I2045" s="1298"/>
      <c r="J2045" s="1298">
        <f>VLOOKUP($B2045,dongia1,DG!$G$5,)</f>
        <v>0</v>
      </c>
      <c r="K2045" s="1298">
        <f>VLOOKUP($B2045,dongia1,DG!$H$5,)</f>
        <v>0</v>
      </c>
      <c r="L2045" s="1298">
        <f t="shared" si="504"/>
        <v>0</v>
      </c>
      <c r="M2045" s="1298">
        <f t="shared" si="505"/>
        <v>0</v>
      </c>
      <c r="N2045" s="1298">
        <f t="shared" si="506"/>
        <v>0</v>
      </c>
      <c r="O2045" s="1298">
        <f t="shared" si="507"/>
        <v>0</v>
      </c>
      <c r="P2045" s="1499"/>
      <c r="Q2045" s="1300"/>
      <c r="R2045" s="1300"/>
      <c r="S2045" s="1300"/>
    </row>
    <row r="2046" spans="1:19" s="1081" customFormat="1" hidden="1" outlineLevel="1">
      <c r="A2046" s="1072" t="str">
        <f t="shared" si="503"/>
        <v/>
      </c>
      <c r="B2046" s="1295" t="s">
        <v>887</v>
      </c>
      <c r="C2046" s="1302"/>
      <c r="D2046" s="1198">
        <f>VLOOKUP($B2046,dongia1,DG!$B$5,)</f>
        <v>0</v>
      </c>
      <c r="E2046" s="1243" t="str">
        <f>VLOOKUP($B2046,dongia1,DG!$C$5,)</f>
        <v>Keo dán ống PVC (100gr)</v>
      </c>
      <c r="F2046" s="1198" t="str">
        <f>VLOOKUP($B2046,dongia1,DG!$D$5,)</f>
        <v>tuýp</v>
      </c>
      <c r="G2046" s="1508">
        <f>G2032</f>
        <v>0</v>
      </c>
      <c r="H2046" s="1298">
        <f>VLOOKUP($B2046,dongia1,DG!$F$5,)</f>
        <v>11500</v>
      </c>
      <c r="I2046" s="1298"/>
      <c r="J2046" s="1298">
        <f>VLOOKUP($B2046,dongia1,DG!$G$5,)</f>
        <v>0</v>
      </c>
      <c r="K2046" s="1298">
        <f>VLOOKUP($B2046,dongia1,DG!$H$5,)</f>
        <v>0</v>
      </c>
      <c r="L2046" s="1298">
        <f t="shared" si="504"/>
        <v>0</v>
      </c>
      <c r="M2046" s="1298">
        <f t="shared" si="505"/>
        <v>0</v>
      </c>
      <c r="N2046" s="1298">
        <f t="shared" si="506"/>
        <v>0</v>
      </c>
      <c r="O2046" s="1298">
        <f t="shared" si="507"/>
        <v>0</v>
      </c>
      <c r="P2046" s="1499"/>
      <c r="Q2046" s="1300"/>
      <c r="R2046" s="1300"/>
      <c r="S2046" s="1300"/>
    </row>
    <row r="2047" spans="1:19" s="1081" customFormat="1" hidden="1" outlineLevel="1">
      <c r="A2047" s="1072" t="str">
        <f t="shared" si="503"/>
        <v/>
      </c>
      <c r="B2047" s="1295" t="s">
        <v>1690</v>
      </c>
      <c r="C2047" s="1302"/>
      <c r="D2047" s="1198">
        <f>VLOOKUP($B2047,dongia1,DG!$B$5,)</f>
        <v>0</v>
      </c>
      <c r="E2047" s="1243" t="str">
        <f>VLOOKUP($B2047,dongia1,DG!$C$5,)</f>
        <v>Keo silicon bít miệng ống</v>
      </c>
      <c r="F2047" s="1198" t="str">
        <f>VLOOKUP($B2047,dongia1,DG!$D$5,)</f>
        <v>chai</v>
      </c>
      <c r="G2047" s="1508">
        <f>G2046</f>
        <v>0</v>
      </c>
      <c r="H2047" s="1298">
        <f>VLOOKUP($B2047,dongia1,DG!$F$5,)</f>
        <v>45000</v>
      </c>
      <c r="I2047" s="1298"/>
      <c r="J2047" s="1298">
        <f>VLOOKUP($B2047,dongia1,DG!$G$5,)</f>
        <v>0</v>
      </c>
      <c r="K2047" s="1298">
        <f>VLOOKUP($B2047,dongia1,DG!$H$5,)</f>
        <v>0</v>
      </c>
      <c r="L2047" s="1298">
        <f t="shared" si="504"/>
        <v>0</v>
      </c>
      <c r="M2047" s="1298">
        <f t="shared" si="505"/>
        <v>0</v>
      </c>
      <c r="N2047" s="1298">
        <f t="shared" si="506"/>
        <v>0</v>
      </c>
      <c r="O2047" s="1298">
        <f t="shared" si="507"/>
        <v>0</v>
      </c>
      <c r="P2047" s="1499"/>
      <c r="Q2047" s="1300"/>
      <c r="R2047" s="1300"/>
      <c r="S2047" s="1300"/>
    </row>
    <row r="2048" spans="1:19" s="1081" customFormat="1" hidden="1" outlineLevel="1">
      <c r="A2048" s="1072" t="str">
        <f t="shared" si="503"/>
        <v/>
      </c>
      <c r="B2048" s="1295" t="s">
        <v>236</v>
      </c>
      <c r="C2048" s="1302"/>
      <c r="D2048" s="1198">
        <f>VLOOKUP($B2048,dongia1,DG!$B$5,)</f>
        <v>0</v>
      </c>
      <c r="E2048" s="1243" t="str">
        <f>VLOOKUP($B2048,dongia1,DG!$C$5,)</f>
        <v>Băng keo cách điện hạ thế</v>
      </c>
      <c r="F2048" s="1198" t="str">
        <f>VLOOKUP($B2048,dongia1,DG!$D$5,)</f>
        <v>cuộn</v>
      </c>
      <c r="G2048" s="1508">
        <f>G2047*2</f>
        <v>0</v>
      </c>
      <c r="H2048" s="1298">
        <f>VLOOKUP($B2048,dongia1,DG!$F$5,)</f>
        <v>6500</v>
      </c>
      <c r="I2048" s="1298"/>
      <c r="J2048" s="1298">
        <f>VLOOKUP($B2048,dongia1,DG!$G$5,)</f>
        <v>0</v>
      </c>
      <c r="K2048" s="1298">
        <f>VLOOKUP($B2048,dongia1,DG!$H$5,)</f>
        <v>0</v>
      </c>
      <c r="L2048" s="1298">
        <f t="shared" si="504"/>
        <v>0</v>
      </c>
      <c r="M2048" s="1298">
        <f t="shared" si="505"/>
        <v>0</v>
      </c>
      <c r="N2048" s="1298">
        <f t="shared" si="506"/>
        <v>0</v>
      </c>
      <c r="O2048" s="1298">
        <f t="shared" si="507"/>
        <v>0</v>
      </c>
      <c r="P2048" s="1499"/>
      <c r="Q2048" s="1300"/>
      <c r="R2048" s="1300"/>
      <c r="S2048" s="1300"/>
    </row>
    <row r="2049" spans="1:19" s="1081" customFormat="1" hidden="1" outlineLevel="1">
      <c r="A2049" s="1072" t="str">
        <f>IF(G2049&lt;&gt;0,1,"")</f>
        <v/>
      </c>
      <c r="B2049" s="1295" t="s">
        <v>1346</v>
      </c>
      <c r="C2049" s="1302"/>
      <c r="D2049" s="1198" t="str">
        <f>VLOOKUP($B2049,dongia1,DG!$B$5,)</f>
        <v>T4.4202</v>
      </c>
      <c r="E2049" s="1243" t="str">
        <f>VLOOKUP($B2049,dongia1,DG!$C$5,)</f>
        <v>Lắp cáp đồng xuống thiết bị D ≤ 150mm2</v>
      </c>
      <c r="F2049" s="1198" t="str">
        <f>VLOOKUP($B2049,dongia1,DG!$D$5,)</f>
        <v>m</v>
      </c>
      <c r="G2049" s="1508">
        <f>G2034</f>
        <v>0</v>
      </c>
      <c r="H2049" s="1298">
        <f>VLOOKUP($B2049,dongia1,DG!$F$5,)</f>
        <v>0</v>
      </c>
      <c r="I2049" s="1298"/>
      <c r="J2049" s="1298">
        <f>VLOOKUP($B2049,dongia1,DG!$G$5,)</f>
        <v>33396</v>
      </c>
      <c r="K2049" s="1298">
        <f>VLOOKUP($B2049,dongia1,DG!$H$5,)</f>
        <v>0</v>
      </c>
      <c r="L2049" s="1298">
        <f>H2049*G2049</f>
        <v>0</v>
      </c>
      <c r="M2049" s="1298">
        <f>I2049*G2049</f>
        <v>0</v>
      </c>
      <c r="N2049" s="1298">
        <f>J2049*G2049</f>
        <v>0</v>
      </c>
      <c r="O2049" s="1298">
        <f>K2049*G2049</f>
        <v>0</v>
      </c>
      <c r="P2049" s="1499"/>
      <c r="Q2049" s="1300"/>
      <c r="R2049" s="1300"/>
      <c r="S2049" s="1300"/>
    </row>
    <row r="2050" spans="1:19" s="1081" customFormat="1" hidden="1" outlineLevel="1">
      <c r="A2050" s="1072" t="str">
        <f t="shared" si="503"/>
        <v/>
      </c>
      <c r="B2050" s="1295" t="s">
        <v>379</v>
      </c>
      <c r="C2050" s="1302"/>
      <c r="D2050" s="1198" t="str">
        <f>VLOOKUP($B2050,dongia1,DG!$B$5,)</f>
        <v>T4.4203</v>
      </c>
      <c r="E2050" s="1243" t="str">
        <f>VLOOKUP($B2050,dongia1,DG!$C$5,)</f>
        <v>Lắp cáp đồng xuống thiết bị D ≤ 240mm2</v>
      </c>
      <c r="F2050" s="1198" t="str">
        <f>VLOOKUP($B2050,dongia1,DG!$D$5,)</f>
        <v>m</v>
      </c>
      <c r="G2050" s="1508">
        <f>G2035</f>
        <v>0</v>
      </c>
      <c r="H2050" s="1298">
        <f>VLOOKUP($B2050,dongia1,DG!$F$5,)</f>
        <v>0</v>
      </c>
      <c r="I2050" s="1298"/>
      <c r="J2050" s="1298">
        <f>VLOOKUP($B2050,dongia1,DG!$G$5,)</f>
        <v>47311</v>
      </c>
      <c r="K2050" s="1298">
        <f>VLOOKUP($B2050,dongia1,DG!$H$5,)</f>
        <v>0</v>
      </c>
      <c r="L2050" s="1298">
        <f t="shared" si="504"/>
        <v>0</v>
      </c>
      <c r="M2050" s="1298">
        <f t="shared" si="505"/>
        <v>0</v>
      </c>
      <c r="N2050" s="1298">
        <f t="shared" si="506"/>
        <v>0</v>
      </c>
      <c r="O2050" s="1298">
        <f t="shared" si="507"/>
        <v>0</v>
      </c>
      <c r="P2050" s="1499"/>
      <c r="Q2050" s="1300"/>
      <c r="R2050" s="1300"/>
      <c r="S2050" s="1300"/>
    </row>
    <row r="2051" spans="1:19" s="1081" customFormat="1" hidden="1" outlineLevel="1">
      <c r="A2051" s="1072">
        <f>A1899</f>
        <v>0</v>
      </c>
      <c r="B2051" s="1421"/>
      <c r="C2051" s="1534" t="s">
        <v>3388</v>
      </c>
      <c r="D2051" s="1534"/>
      <c r="E2051" s="1534"/>
      <c r="F2051" s="1534"/>
      <c r="G2051" s="1534"/>
      <c r="H2051" s="1534"/>
      <c r="I2051" s="1534"/>
      <c r="J2051" s="1534"/>
      <c r="K2051" s="1534"/>
      <c r="L2051" s="1480">
        <f>SUM(L1913:L2050)</f>
        <v>0</v>
      </c>
      <c r="M2051" s="1480">
        <f>SUM(M1913:M2050)</f>
        <v>0</v>
      </c>
      <c r="N2051" s="1480">
        <f>SUM(N1913:N2050)</f>
        <v>0</v>
      </c>
      <c r="O2051" s="1480">
        <f>SUM(O1913:O2050)</f>
        <v>0</v>
      </c>
      <c r="P2051" s="1535"/>
      <c r="Q2051" s="1300"/>
      <c r="R2051" s="1300"/>
      <c r="S2051" s="1300"/>
    </row>
    <row r="2052" spans="1:19" s="1081" customFormat="1" hidden="1" outlineLevel="1">
      <c r="A2052" s="1072">
        <f>A2053</f>
        <v>0</v>
      </c>
      <c r="B2052" s="1421"/>
      <c r="C2052" s="1536"/>
      <c r="D2052" s="1536"/>
      <c r="E2052" s="1537"/>
      <c r="F2052" s="1536"/>
      <c r="G2052" s="1530"/>
      <c r="H2052" s="1530"/>
      <c r="I2052" s="1530"/>
      <c r="J2052" s="1531"/>
      <c r="K2052" s="1531"/>
      <c r="L2052" s="1532"/>
      <c r="M2052" s="1532"/>
      <c r="N2052" s="1532"/>
      <c r="O2052" s="1532"/>
      <c r="P2052" s="1538"/>
      <c r="Q2052" s="1300"/>
      <c r="R2052" s="1300"/>
      <c r="S2052" s="1300"/>
    </row>
    <row r="2053" spans="1:19" s="1081" customFormat="1" hidden="1" outlineLevel="1">
      <c r="A2053" s="1072">
        <f>A2069</f>
        <v>0</v>
      </c>
      <c r="B2053" s="1432"/>
      <c r="C2053" s="1336" t="str">
        <f>"BẢNG TỔNG HỢP VẬT LIỆU, NHÂN CÔNG, MÁY THI CÔNG: "&amp;G2057&amp;" TRẠM NGỒI 3P_400KVA -TỔ 6-3 KP9 TÂN BIÊN"</f>
        <v>BẢNG TỔNG HỢP VẬT LIỆU, NHÂN CÔNG, MÁY THI CÔNG:  TRẠM NGỒI 3P_400KVA -TỔ 6-3 KP9 TÂN BIÊN</v>
      </c>
      <c r="D2053" s="1494"/>
      <c r="E2053" s="1494"/>
      <c r="F2053" s="1494"/>
      <c r="G2053" s="1494"/>
      <c r="H2053" s="1495"/>
      <c r="I2053" s="1495"/>
      <c r="J2053" s="1495"/>
      <c r="K2053" s="1495"/>
      <c r="L2053" s="1495"/>
      <c r="M2053" s="1495"/>
      <c r="N2053" s="1495"/>
      <c r="O2053" s="1495"/>
      <c r="P2053" s="1496"/>
      <c r="Q2053" s="1300"/>
      <c r="R2053" s="1300"/>
      <c r="S2053" s="1300"/>
    </row>
    <row r="2054" spans="1:19" s="1081" customFormat="1" hidden="1" outlineLevel="1">
      <c r="A2054" s="1072">
        <f>A2053</f>
        <v>0</v>
      </c>
      <c r="B2054" s="1295" t="s">
        <v>308</v>
      </c>
      <c r="C2054" s="2459" t="s">
        <v>1014</v>
      </c>
      <c r="D2054" s="2467" t="s">
        <v>3363</v>
      </c>
      <c r="E2054" s="2457" t="s">
        <v>3364</v>
      </c>
      <c r="F2054" s="2459" t="s">
        <v>3365</v>
      </c>
      <c r="G2054" s="1155" t="s">
        <v>3367</v>
      </c>
      <c r="H2054" s="1156" t="s">
        <v>3368</v>
      </c>
      <c r="I2054" s="1157"/>
      <c r="J2054" s="1157"/>
      <c r="K2054" s="1158"/>
      <c r="L2054" s="1156" t="s">
        <v>3372</v>
      </c>
      <c r="M2054" s="1157"/>
      <c r="N2054" s="1157"/>
      <c r="O2054" s="1158"/>
      <c r="P2054" s="2471" t="s">
        <v>3373</v>
      </c>
      <c r="Q2054" s="1300"/>
      <c r="R2054" s="1300"/>
      <c r="S2054" s="1300"/>
    </row>
    <row r="2055" spans="1:19" s="1081" customFormat="1" hidden="1" outlineLevel="1">
      <c r="A2055" s="1072">
        <f>A2054</f>
        <v>0</v>
      </c>
      <c r="B2055" s="1295"/>
      <c r="C2055" s="2459"/>
      <c r="D2055" s="2468"/>
      <c r="E2055" s="2458"/>
      <c r="F2055" s="2459"/>
      <c r="G2055" s="1160" t="s">
        <v>3366</v>
      </c>
      <c r="H2055" s="1161" t="s">
        <v>393</v>
      </c>
      <c r="I2055" s="1161" t="s">
        <v>3369</v>
      </c>
      <c r="J2055" s="1161" t="s">
        <v>3370</v>
      </c>
      <c r="K2055" s="1161" t="s">
        <v>3371</v>
      </c>
      <c r="L2055" s="1161" t="s">
        <v>393</v>
      </c>
      <c r="M2055" s="1161" t="s">
        <v>3369</v>
      </c>
      <c r="N2055" s="1161" t="s">
        <v>3370</v>
      </c>
      <c r="O2055" s="1161" t="s">
        <v>3371</v>
      </c>
      <c r="P2055" s="2471"/>
      <c r="Q2055" s="1300"/>
      <c r="R2055" s="1300"/>
      <c r="S2055" s="1300"/>
    </row>
    <row r="2056" spans="1:19" s="1081" customFormat="1" hidden="1" outlineLevel="1">
      <c r="A2056" s="1072">
        <f>A2069</f>
        <v>0</v>
      </c>
      <c r="B2056" s="1295"/>
      <c r="C2056" s="1162"/>
      <c r="D2056" s="1163"/>
      <c r="E2056" s="1164" t="s">
        <v>3375</v>
      </c>
      <c r="F2056" s="1165"/>
      <c r="G2056" s="1165"/>
      <c r="H2056" s="1165"/>
      <c r="I2056" s="1165"/>
      <c r="J2056" s="1165"/>
      <c r="K2056" s="1165"/>
      <c r="L2056" s="1165"/>
      <c r="M2056" s="1165"/>
      <c r="N2056" s="1165"/>
      <c r="O2056" s="1163"/>
      <c r="P2056" s="1394"/>
      <c r="Q2056" s="1300"/>
      <c r="R2056" s="1300"/>
      <c r="S2056" s="1300"/>
    </row>
    <row r="2057" spans="1:19" s="1081" customFormat="1" hidden="1" outlineLevel="1">
      <c r="A2057" s="1072" t="str">
        <f>IF(G2057&lt;&gt;0,1,"")</f>
        <v/>
      </c>
      <c r="B2057" s="1435" t="str">
        <f>IF($F$8=15,"tr400","tr4001")</f>
        <v>tr4001</v>
      </c>
      <c r="C2057" s="1302">
        <f>IF(G2057&gt;0,1,0)</f>
        <v>0</v>
      </c>
      <c r="D2057" s="1198" t="str">
        <f>VLOOKUP($B2057,dongia1,DG!$B$5,)</f>
        <v>T1.1416</v>
      </c>
      <c r="E2057" s="1243" t="str">
        <f>VLOOKUP($B2057,dongia1,DG!$C$5,)</f>
        <v>Máy biến áp 22/0,4kV- 400kVA</v>
      </c>
      <c r="F2057" s="1198" t="str">
        <f>VLOOKUP($B2057,dongia1,DG!$D$5,)</f>
        <v>máy</v>
      </c>
      <c r="G2057" s="1514"/>
      <c r="H2057" s="1399">
        <f>VLOOKUP($B2057,dongia1,DG!$E$5,)</f>
        <v>388431450</v>
      </c>
      <c r="I2057" s="1399"/>
      <c r="J2057" s="1399">
        <f>VLOOKUP($B2057,dongia1,DG!$G$5,)</f>
        <v>1660532</v>
      </c>
      <c r="K2057" s="1399">
        <f>VLOOKUP($B2057,dongia1,DG!$H$5,)</f>
        <v>361106</v>
      </c>
      <c r="L2057" s="1400">
        <f t="shared" ref="L2057:L2063" si="508">H2057*G2057</f>
        <v>0</v>
      </c>
      <c r="M2057" s="1400">
        <f t="shared" ref="M2057:M2063" si="509">I2057*G2057</f>
        <v>0</v>
      </c>
      <c r="N2057" s="1400">
        <f t="shared" ref="N2057:N2063" si="510">J2057*G2057</f>
        <v>0</v>
      </c>
      <c r="O2057" s="1401">
        <f t="shared" ref="O2057:O2063" si="511">K2057*G2057</f>
        <v>0</v>
      </c>
      <c r="P2057" s="1498"/>
      <c r="Q2057" s="1300"/>
      <c r="R2057" s="1300"/>
      <c r="S2057" s="1300"/>
    </row>
    <row r="2058" spans="1:19" s="1081" customFormat="1" hidden="1" outlineLevel="1">
      <c r="A2058" s="1072" t="str">
        <f>IF(G2058&lt;&gt;0,1,"")</f>
        <v/>
      </c>
      <c r="B2058" s="1167" t="str">
        <f>"FCO100-"&amp;$F$8</f>
        <v>FCO100-22</v>
      </c>
      <c r="C2058" s="1302">
        <f>IF(G2058&gt;0,C2057+1,C2057)</f>
        <v>0</v>
      </c>
      <c r="D2058" s="1198" t="str">
        <f>VLOOKUP($B2058,dongia1,DG!$B$5,)</f>
        <v>T2.3501</v>
      </c>
      <c r="E2058" s="1243" t="str">
        <f>VLOOKUP($B2058,dongia1,DG!$C$5,)</f>
        <v>FCO 24kV - 100A</v>
      </c>
      <c r="F2058" s="1198" t="str">
        <f>VLOOKUP($B2058,dongia1,DG!$D$5,)</f>
        <v>cái</v>
      </c>
      <c r="G2058" s="1508">
        <f>G2057*1</f>
        <v>0</v>
      </c>
      <c r="H2058" s="1298">
        <f>VLOOKUP($B2058,dongia1,DG!$E$5,)</f>
        <v>2244280</v>
      </c>
      <c r="I2058" s="1298">
        <f>VLOOKUP($B2058,dongia1,DG!$F$5,)*0</f>
        <v>0</v>
      </c>
      <c r="J2058" s="1298">
        <f>VLOOKUP($B2058,dongia1,DG!$G$5,)</f>
        <v>222639.99999999997</v>
      </c>
      <c r="K2058" s="1298">
        <f>VLOOKUP($B2058,dongia1,DG!$H$5,)</f>
        <v>0</v>
      </c>
      <c r="L2058" s="1298">
        <f t="shared" si="508"/>
        <v>0</v>
      </c>
      <c r="M2058" s="1298">
        <f t="shared" si="509"/>
        <v>0</v>
      </c>
      <c r="N2058" s="1298">
        <f t="shared" si="510"/>
        <v>0</v>
      </c>
      <c r="O2058" s="1298">
        <f t="shared" si="511"/>
        <v>0</v>
      </c>
      <c r="P2058" s="1499"/>
      <c r="Q2058" s="1300"/>
      <c r="R2058" s="1300"/>
      <c r="S2058" s="1300"/>
    </row>
    <row r="2059" spans="1:19" s="1393" customFormat="1" hidden="1" outlineLevel="1">
      <c r="A2059" s="1539" t="str">
        <f>IF(G2059&lt;&gt;0,1,"")</f>
        <v/>
      </c>
      <c r="B2059" s="1540" t="str">
        <f>"FCO100-"&amp;$F$8</f>
        <v>FCO100-22</v>
      </c>
      <c r="C2059" s="1541">
        <f>IF(G2059&gt;0,C2058+1,C2058)</f>
        <v>0</v>
      </c>
      <c r="D2059" s="1542" t="str">
        <f>VLOOKUP($B2059,dongia1,DG!$B$5,)</f>
        <v>T2.3501</v>
      </c>
      <c r="E2059" s="1543" t="str">
        <f>VLOOKUP($B2059,dongia1,DG!$C$5,)</f>
        <v>FCO 24kV - 100A</v>
      </c>
      <c r="F2059" s="1542" t="str">
        <f>VLOOKUP($B2059,dongia1,DG!$D$5,)</f>
        <v>cái</v>
      </c>
      <c r="G2059" s="1544">
        <f>G2057*2</f>
        <v>0</v>
      </c>
      <c r="H2059" s="1545"/>
      <c r="I2059" s="1545">
        <f>VLOOKUP($B2059,dongia1,DG!$F$5,)*0</f>
        <v>0</v>
      </c>
      <c r="J2059" s="1545">
        <f>VLOOKUP($B2059,dongia1,DG!$G$5,)</f>
        <v>222639.99999999997</v>
      </c>
      <c r="K2059" s="1545">
        <f>VLOOKUP($B2059,dongia1,DG!$H$5,)</f>
        <v>0</v>
      </c>
      <c r="L2059" s="1545">
        <f>H2059*G2059</f>
        <v>0</v>
      </c>
      <c r="M2059" s="1545">
        <f>I2059*G2059</f>
        <v>0</v>
      </c>
      <c r="N2059" s="1545">
        <f>J2059*G2059</f>
        <v>0</v>
      </c>
      <c r="O2059" s="1545">
        <f>K2059*G2059</f>
        <v>0</v>
      </c>
      <c r="P2059" s="1499" t="s">
        <v>4623</v>
      </c>
      <c r="Q2059" s="1493"/>
      <c r="R2059" s="1493"/>
      <c r="S2059" s="1493"/>
    </row>
    <row r="2060" spans="1:19" s="1081" customFormat="1" hidden="1" outlineLevel="1">
      <c r="A2060" s="1072" t="str">
        <f t="shared" ref="A2060:A2068" si="512">IF(G2060&lt;&gt;0,1,"")</f>
        <v/>
      </c>
      <c r="B2060" s="1435" t="str">
        <f>IF($F$8=15,"chi25k","chi15k")</f>
        <v>chi15k</v>
      </c>
      <c r="C2060" s="1302">
        <f>IF(G2060&gt;0,C2058+1,C2058)</f>
        <v>0</v>
      </c>
      <c r="D2060" s="1198">
        <f>VLOOKUP($B2060,dongia1,DG!$B$5,)</f>
        <v>0</v>
      </c>
      <c r="E2060" s="1243" t="str">
        <f>VLOOKUP($B2060,dongia1,DG!$C$5,)</f>
        <v>Dây chảy 15K</v>
      </c>
      <c r="F2060" s="1198" t="str">
        <f>VLOOKUP($B2060,dongia1,DG!$D$5,)</f>
        <v>Sợi</v>
      </c>
      <c r="G2060" s="1508">
        <f>G2057*3</f>
        <v>0</v>
      </c>
      <c r="H2060" s="1298">
        <f>VLOOKUP($B2060,dongia1,DG!$F$5,)</f>
        <v>103000</v>
      </c>
      <c r="I2060" s="1298">
        <f>VLOOKUP($B2060,dongia1,DG!$F$5,)*0</f>
        <v>0</v>
      </c>
      <c r="J2060" s="1298">
        <f>VLOOKUP($B2060,dongia1,DG!$G$5,)</f>
        <v>0</v>
      </c>
      <c r="K2060" s="1298">
        <f>VLOOKUP($B2060,dongia1,DG!$H$5,)</f>
        <v>0</v>
      </c>
      <c r="L2060" s="1298">
        <f t="shared" si="508"/>
        <v>0</v>
      </c>
      <c r="M2060" s="1298">
        <f t="shared" si="509"/>
        <v>0</v>
      </c>
      <c r="N2060" s="1298">
        <f t="shared" si="510"/>
        <v>0</v>
      </c>
      <c r="O2060" s="1298">
        <f t="shared" si="511"/>
        <v>0</v>
      </c>
      <c r="P2060" s="1499"/>
      <c r="Q2060" s="1300"/>
      <c r="R2060" s="1300"/>
      <c r="S2060" s="1300"/>
    </row>
    <row r="2061" spans="1:19" s="1081" customFormat="1" hidden="1" outlineLevel="1">
      <c r="A2061" s="1072" t="str">
        <f t="shared" si="512"/>
        <v/>
      </c>
      <c r="B2061" s="1295" t="str">
        <f>"LA"&amp;$F$6</f>
        <v>LA18</v>
      </c>
      <c r="C2061" s="1302">
        <f t="shared" ref="C2061:C2068" si="513">IF(G2061&gt;0,C2060+1,C2060)</f>
        <v>0</v>
      </c>
      <c r="D2061" s="1198" t="str">
        <f>VLOOKUP($B2061,dongia1,DG!$B$5,)</f>
        <v>T2.5004</v>
      </c>
      <c r="E2061" s="1243" t="str">
        <f>VLOOKUP($B2061,dongia1,DG!$C$5,)</f>
        <v>LA 18kV 10kA</v>
      </c>
      <c r="F2061" s="1198" t="str">
        <f>VLOOKUP($B2061,dongia1,DG!$D$5,)</f>
        <v>cái</v>
      </c>
      <c r="G2061" s="1508">
        <f>G2057*1</f>
        <v>0</v>
      </c>
      <c r="H2061" s="1298">
        <f>VLOOKUP($B2061,dongia1,DG!$E$5,)</f>
        <v>1106000</v>
      </c>
      <c r="I2061" s="1298">
        <f>VLOOKUP($B2061,dongia1,DG!$F$5,)*0</f>
        <v>0</v>
      </c>
      <c r="J2061" s="1298">
        <f>VLOOKUP($B2061,dongia1,DG!$G$5,)</f>
        <v>83490</v>
      </c>
      <c r="K2061" s="1298">
        <f>VLOOKUP($B2061,dongia1,DG!$H$5,)</f>
        <v>0</v>
      </c>
      <c r="L2061" s="1298">
        <f t="shared" si="508"/>
        <v>0</v>
      </c>
      <c r="M2061" s="1298">
        <f t="shared" si="509"/>
        <v>0</v>
      </c>
      <c r="N2061" s="1298">
        <f t="shared" si="510"/>
        <v>0</v>
      </c>
      <c r="O2061" s="1298">
        <f t="shared" si="511"/>
        <v>0</v>
      </c>
      <c r="P2061" s="1499"/>
      <c r="Q2061" s="1300"/>
      <c r="R2061" s="1300"/>
      <c r="S2061" s="1300"/>
    </row>
    <row r="2062" spans="1:19" s="1393" customFormat="1" hidden="1" outlineLevel="1">
      <c r="A2062" s="1539" t="str">
        <f>IF(G2062&lt;&gt;0,1,"")</f>
        <v/>
      </c>
      <c r="B2062" s="1546" t="str">
        <f>"LA"&amp;$F$6</f>
        <v>LA18</v>
      </c>
      <c r="C2062" s="1541">
        <f>IF(G2062&gt;0,C2061+1,C2061)</f>
        <v>0</v>
      </c>
      <c r="D2062" s="1542" t="str">
        <f>VLOOKUP($B2062,dongia1,DG!$B$5,)</f>
        <v>T2.5004</v>
      </c>
      <c r="E2062" s="1543" t="str">
        <f>VLOOKUP($B2062,dongia1,DG!$C$5,)</f>
        <v>LA 18kV 10kA</v>
      </c>
      <c r="F2062" s="1542" t="str">
        <f>VLOOKUP($B2062,dongia1,DG!$D$5,)</f>
        <v>cái</v>
      </c>
      <c r="G2062" s="1544">
        <f>G2058*2</f>
        <v>0</v>
      </c>
      <c r="H2062" s="1545"/>
      <c r="I2062" s="1545">
        <f>VLOOKUP($B2062,dongia1,DG!$F$5,)*0</f>
        <v>0</v>
      </c>
      <c r="J2062" s="1545">
        <f>VLOOKUP($B2062,dongia1,DG!$G$5,)</f>
        <v>83490</v>
      </c>
      <c r="K2062" s="1545">
        <f>VLOOKUP($B2062,dongia1,DG!$H$5,)</f>
        <v>0</v>
      </c>
      <c r="L2062" s="1545">
        <f>H2062*G2062</f>
        <v>0</v>
      </c>
      <c r="M2062" s="1545">
        <f>I2062*G2062</f>
        <v>0</v>
      </c>
      <c r="N2062" s="1545">
        <f>J2062*G2062</f>
        <v>0</v>
      </c>
      <c r="O2062" s="1545">
        <f>K2062*G2062</f>
        <v>0</v>
      </c>
      <c r="P2062" s="1499" t="s">
        <v>4623</v>
      </c>
      <c r="Q2062" s="1493"/>
      <c r="R2062" s="1493"/>
      <c r="S2062" s="1493"/>
    </row>
    <row r="2063" spans="1:19" s="1081" customFormat="1" hidden="1" outlineLevel="1">
      <c r="A2063" s="1072" t="str">
        <f t="shared" si="512"/>
        <v/>
      </c>
      <c r="B2063" s="1397" t="s">
        <v>841</v>
      </c>
      <c r="C2063" s="1302">
        <f>IF(G2063&gt;0,C2061+1,C2061)</f>
        <v>0</v>
      </c>
      <c r="D2063" s="1198" t="str">
        <f>VLOOKUP($B2063,dongia1,DG!$B$5,)</f>
        <v>T2.8407</v>
      </c>
      <c r="E2063" s="1243" t="str">
        <f>VLOOKUP($B2063,dongia1,DG!$C$5,)</f>
        <v>MCCB 3 cực 400V -630A - 50KA (chỉnh định dòng)</v>
      </c>
      <c r="F2063" s="1198" t="str">
        <f>VLOOKUP($B2063,dongia1,DG!$D$5,)</f>
        <v>cái</v>
      </c>
      <c r="G2063" s="1304">
        <f>G2057*0</f>
        <v>0</v>
      </c>
      <c r="H2063" s="1298">
        <f>VLOOKUP($B2063,dongia1,DG!$E$5,)</f>
        <v>25594000</v>
      </c>
      <c r="I2063" s="1298">
        <f>VLOOKUP($B2063,dongia1,DG!$F$5,)*0</f>
        <v>0</v>
      </c>
      <c r="J2063" s="1298">
        <f>VLOOKUP($B2063,dongia1,DG!$G$5,)</f>
        <v>1391500</v>
      </c>
      <c r="K2063" s="1298">
        <f>VLOOKUP($B2063,dongia1,DG!$H$5,)</f>
        <v>0</v>
      </c>
      <c r="L2063" s="1298">
        <f t="shared" si="508"/>
        <v>0</v>
      </c>
      <c r="M2063" s="1298">
        <f t="shared" si="509"/>
        <v>0</v>
      </c>
      <c r="N2063" s="1298">
        <f t="shared" si="510"/>
        <v>0</v>
      </c>
      <c r="O2063" s="1298">
        <f t="shared" si="511"/>
        <v>0</v>
      </c>
      <c r="P2063" s="1437"/>
      <c r="Q2063" s="1300"/>
      <c r="R2063" s="1300"/>
      <c r="S2063" s="1300"/>
    </row>
    <row r="2064" spans="1:19" s="1081" customFormat="1" hidden="1" outlineLevel="1">
      <c r="A2064" s="1072" t="str">
        <f t="shared" si="512"/>
        <v/>
      </c>
      <c r="B2064" s="1397" t="s">
        <v>215</v>
      </c>
      <c r="C2064" s="1302">
        <f t="shared" si="513"/>
        <v>0</v>
      </c>
      <c r="D2064" s="1198" t="str">
        <f>VLOOKUP($B2064,dongia1,DG!$B$5,)</f>
        <v>T2.8405</v>
      </c>
      <c r="E2064" s="1243" t="str">
        <f>VLOOKUP($B2064,dongia1,DG!$C$5,)</f>
        <v>MCCB 3 cực 400V -400A - 50KA (chỉnh định dòng)</v>
      </c>
      <c r="F2064" s="1198" t="str">
        <f>VLOOKUP($B2064,dongia1,DG!$D$5,)</f>
        <v>cái</v>
      </c>
      <c r="G2064" s="1508">
        <f>G2057*2</f>
        <v>0</v>
      </c>
      <c r="H2064" s="1298">
        <f>VLOOKUP($B2064,dongia1,DG!$E$5,)</f>
        <v>7180000</v>
      </c>
      <c r="I2064" s="1298">
        <f>VLOOKUP($B2064,dongia1,DG!$F$5,)*0</f>
        <v>0</v>
      </c>
      <c r="J2064" s="1298">
        <f>VLOOKUP($B2064,dongia1,DG!$G$5,)</f>
        <v>974050</v>
      </c>
      <c r="K2064" s="1298">
        <f>VLOOKUP($B2064,dongia1,DG!$H$5,)</f>
        <v>0</v>
      </c>
      <c r="L2064" s="1298">
        <f>H2064*G2064</f>
        <v>0</v>
      </c>
      <c r="M2064" s="1298">
        <f>I2064*G2064</f>
        <v>0</v>
      </c>
      <c r="N2064" s="1298">
        <f>J2064*G2064</f>
        <v>0</v>
      </c>
      <c r="O2064" s="1298">
        <f>K2064*G2064</f>
        <v>0</v>
      </c>
      <c r="P2064" s="1499"/>
      <c r="Q2064" s="1300"/>
      <c r="R2064" s="1300"/>
      <c r="S2064" s="1300"/>
    </row>
    <row r="2065" spans="1:19" s="1081" customFormat="1" hidden="1" outlineLevel="1">
      <c r="A2065" s="1072" t="str">
        <f t="shared" si="512"/>
        <v/>
      </c>
      <c r="B2065" s="1397" t="s">
        <v>840</v>
      </c>
      <c r="C2065" s="1302">
        <f t="shared" si="513"/>
        <v>0</v>
      </c>
      <c r="D2065" s="1198" t="str">
        <f>VLOOKUP($B2065,dongia1,DG!$B$5,)</f>
        <v>02.8505c</v>
      </c>
      <c r="E2065" s="1243" t="str">
        <f>VLOOKUP($B2065,dongia1,DG!$C$5,)</f>
        <v>Tủ tụ bù hạ thế 160kVAr</v>
      </c>
      <c r="F2065" s="1198" t="str">
        <f>VLOOKUP($B2065,dongia1,DG!$D$5,)</f>
        <v>tủ</v>
      </c>
      <c r="G2065" s="1304">
        <f>G2057*0</f>
        <v>0</v>
      </c>
      <c r="H2065" s="1298">
        <f>VLOOKUP($B2065,dongia1,DG!$E$5,)</f>
        <v>20800000</v>
      </c>
      <c r="I2065" s="1298">
        <f>VLOOKUP($B2065,dongia1,DG!$F$5,)</f>
        <v>310.8</v>
      </c>
      <c r="J2065" s="1298">
        <f>VLOOKUP($B2065,dongia1,DG!$G$5,)</f>
        <v>20659.099999999999</v>
      </c>
      <c r="K2065" s="1298">
        <f>VLOOKUP($B2065,dongia1,DG!$H$5,)</f>
        <v>5769.4</v>
      </c>
      <c r="L2065" s="1298">
        <f>H2065*G2065</f>
        <v>0</v>
      </c>
      <c r="M2065" s="1298">
        <f>I2065*G2065</f>
        <v>0</v>
      </c>
      <c r="N2065" s="1298">
        <f>J2065*G2065</f>
        <v>0</v>
      </c>
      <c r="O2065" s="1298">
        <f>K2065*G2065</f>
        <v>0</v>
      </c>
      <c r="P2065" s="1437"/>
      <c r="Q2065" s="1300"/>
      <c r="R2065" s="1300"/>
      <c r="S2065" s="1300"/>
    </row>
    <row r="2066" spans="1:19" s="1081" customFormat="1" hidden="1" outlineLevel="1">
      <c r="A2066" s="1072" t="str">
        <f t="shared" si="512"/>
        <v/>
      </c>
      <c r="B2066" s="1435" t="s">
        <v>106</v>
      </c>
      <c r="C2066" s="1302">
        <f t="shared" si="513"/>
        <v>0</v>
      </c>
      <c r="D2066" s="1198">
        <f>VLOOKUP($B2066,dongia1,DG!$B$5,)</f>
        <v>0</v>
      </c>
      <c r="E2066" s="1243" t="str">
        <f>VLOOKUP($B2066,dongia1,DG!$C$5,)</f>
        <v>Biến dòng 600V - 600/5A</v>
      </c>
      <c r="F2066" s="1198" t="str">
        <f>VLOOKUP($B2066,dongia1,DG!$D$5,)</f>
        <v>cái</v>
      </c>
      <c r="G2066" s="1515">
        <f>G2057*3*0</f>
        <v>0</v>
      </c>
      <c r="H2066" s="1298">
        <f>VLOOKUP($B2066,dongia1,DG!$E$5,)*0</f>
        <v>0</v>
      </c>
      <c r="I2066" s="1298">
        <f>VLOOKUP($B2066,dongia1,DG!$F$5,)*0</f>
        <v>0</v>
      </c>
      <c r="J2066" s="1298">
        <f>VLOOKUP($B2066,dongia1,DG!$G$5,)</f>
        <v>0</v>
      </c>
      <c r="K2066" s="1298">
        <f>VLOOKUP($B2066,dongia1,DG!$H$5,)</f>
        <v>0</v>
      </c>
      <c r="L2066" s="1298">
        <f>H2066*G2066</f>
        <v>0</v>
      </c>
      <c r="M2066" s="1298">
        <f>I2066*G2066</f>
        <v>0</v>
      </c>
      <c r="N2066" s="1298">
        <f>J2066*G2066</f>
        <v>0</v>
      </c>
      <c r="O2066" s="1298">
        <f>K2066*G2066</f>
        <v>0</v>
      </c>
      <c r="P2066" s="1439" t="s">
        <v>3471</v>
      </c>
      <c r="Q2066" s="1300"/>
      <c r="R2066" s="1300"/>
      <c r="S2066" s="1300"/>
    </row>
    <row r="2067" spans="1:19" s="1081" customFormat="1" hidden="1" outlineLevel="1">
      <c r="A2067" s="1072" t="str">
        <f t="shared" si="512"/>
        <v/>
      </c>
      <c r="B2067" s="1435" t="s">
        <v>106</v>
      </c>
      <c r="C2067" s="1302">
        <f t="shared" si="513"/>
        <v>0</v>
      </c>
      <c r="D2067" s="1198">
        <f>VLOOKUP($B2067,dongia1,DG!$B$5,)</f>
        <v>0</v>
      </c>
      <c r="E2067" s="1243" t="str">
        <f>VLOOKUP($B2067,dongia1,DG!$C$5,)</f>
        <v>Biến dòng 600V - 600/5A</v>
      </c>
      <c r="F2067" s="1198" t="str">
        <f>VLOOKUP($B2067,dongia1,DG!$D$5,)</f>
        <v>cái</v>
      </c>
      <c r="G2067" s="1516">
        <f>G2057*3</f>
        <v>0</v>
      </c>
      <c r="H2067" s="1298">
        <f>VLOOKUP($B2067,dongia1,DG!$E$5,)*0</f>
        <v>0</v>
      </c>
      <c r="I2067" s="1298">
        <f>VLOOKUP($B2067,dongia1,DG!$F$5,)*0</f>
        <v>0</v>
      </c>
      <c r="J2067" s="1298">
        <f>VLOOKUP($B2067,dongia1,DG!$G$5,)</f>
        <v>0</v>
      </c>
      <c r="K2067" s="1298">
        <f>VLOOKUP($B2067,dongia1,DG!$H$5,)</f>
        <v>0</v>
      </c>
      <c r="L2067" s="1298">
        <f>H2067*G2067</f>
        <v>0</v>
      </c>
      <c r="M2067" s="1298">
        <f>I2067*G2067</f>
        <v>0</v>
      </c>
      <c r="N2067" s="1298">
        <f>J2067*G2067</f>
        <v>0</v>
      </c>
      <c r="O2067" s="1298">
        <f>K2067*G2067</f>
        <v>0</v>
      </c>
      <c r="P2067" s="1501" t="s">
        <v>3471</v>
      </c>
      <c r="Q2067" s="1300"/>
      <c r="R2067" s="1300"/>
      <c r="S2067" s="1300"/>
    </row>
    <row r="2068" spans="1:19" s="1081" customFormat="1" hidden="1" outlineLevel="1">
      <c r="A2068" s="1072" t="str">
        <f t="shared" si="512"/>
        <v/>
      </c>
      <c r="B2068" s="1068" t="s">
        <v>839</v>
      </c>
      <c r="C2068" s="1302">
        <f t="shared" si="513"/>
        <v>0</v>
      </c>
      <c r="D2068" s="1198">
        <f>VLOOKUP($B2068,dongia1,DG!$B$5,)</f>
        <v>0</v>
      </c>
      <c r="E2068" s="1243" t="str">
        <f>VLOOKUP($B2068,dongia1,DG!$C$5,)</f>
        <v>Điện kế 3 pha 4 dây 220/380V-5A</v>
      </c>
      <c r="F2068" s="1198" t="str">
        <f>VLOOKUP($B2068,dongia1,DG!$D$5,)</f>
        <v>cái</v>
      </c>
      <c r="G2068" s="1516">
        <f>G2057</f>
        <v>0</v>
      </c>
      <c r="H2068" s="1298">
        <f>VLOOKUP($B2068,dongia1,DG!$E$5,)*0</f>
        <v>0</v>
      </c>
      <c r="I2068" s="1298">
        <f>VLOOKUP($B2068,dongia1,DG!$F$5,)*0</f>
        <v>0</v>
      </c>
      <c r="J2068" s="1298">
        <f>VLOOKUP($B2068,dongia1,DG!$G$5,)*0</f>
        <v>0</v>
      </c>
      <c r="K2068" s="1298">
        <f>VLOOKUP($B2068,dongia1,DG!$H$5,)</f>
        <v>0</v>
      </c>
      <c r="L2068" s="1298">
        <f>H2068*G2068</f>
        <v>0</v>
      </c>
      <c r="M2068" s="1400">
        <f>I2068*G2068</f>
        <v>0</v>
      </c>
      <c r="N2068" s="1400">
        <f>J2068*G2068</f>
        <v>0</v>
      </c>
      <c r="O2068" s="1401">
        <f>K2068*G2068</f>
        <v>0</v>
      </c>
      <c r="P2068" s="1502" t="s">
        <v>3471</v>
      </c>
      <c r="Q2068" s="1300"/>
      <c r="R2068" s="1300"/>
      <c r="S2068" s="1300"/>
    </row>
    <row r="2069" spans="1:19" s="1081" customFormat="1" hidden="1" outlineLevel="1">
      <c r="A2069" s="1072">
        <f>IF(SUM(L2069:O2069)&gt;0,1,)</f>
        <v>0</v>
      </c>
      <c r="B2069" s="1295"/>
      <c r="C2069" s="1441"/>
      <c r="D2069" s="1442"/>
      <c r="E2069" s="1443"/>
      <c r="F2069" s="1444"/>
      <c r="G2069" s="1503"/>
      <c r="H2069" s="1444"/>
      <c r="I2069" s="1444"/>
      <c r="J2069" s="1183" t="s">
        <v>3387</v>
      </c>
      <c r="K2069" s="1444"/>
      <c r="L2069" s="1446">
        <f>SUM(L2057:L2068)</f>
        <v>0</v>
      </c>
      <c r="M2069" s="1446">
        <f>SUM(M2057:M2068)</f>
        <v>0</v>
      </c>
      <c r="N2069" s="1446">
        <f>SUM(N2057:N2068)</f>
        <v>0</v>
      </c>
      <c r="O2069" s="1446">
        <f>SUM(O2057:O2068)</f>
        <v>0</v>
      </c>
      <c r="P2069" s="1504"/>
      <c r="Q2069" s="1300"/>
      <c r="R2069" s="1300"/>
      <c r="S2069" s="1300"/>
    </row>
    <row r="2070" spans="1:19" s="1081" customFormat="1" hidden="1" outlineLevel="1">
      <c r="A2070" s="1072">
        <f>A2051</f>
        <v>0</v>
      </c>
      <c r="B2070" s="1295"/>
      <c r="C2070" s="1448"/>
      <c r="D2070" s="1449"/>
      <c r="E2070" s="1450" t="s">
        <v>3376</v>
      </c>
      <c r="F2070" s="1450"/>
      <c r="G2070" s="1505"/>
      <c r="H2070" s="1450"/>
      <c r="I2070" s="1450"/>
      <c r="J2070" s="1450"/>
      <c r="K2070" s="1450"/>
      <c r="L2070" s="1450"/>
      <c r="M2070" s="1450"/>
      <c r="N2070" s="1450"/>
      <c r="O2070" s="1449"/>
      <c r="P2070" s="1504"/>
      <c r="Q2070" s="1300"/>
      <c r="R2070" s="1300"/>
      <c r="S2070" s="1300"/>
    </row>
    <row r="2071" spans="1:19" s="1081" customFormat="1" hidden="1" outlineLevel="1">
      <c r="A2071" s="1072" t="str">
        <f t="shared" ref="A2071:A2089" si="514">IF(G2071&lt;&gt;0,1,"")</f>
        <v/>
      </c>
      <c r="B2071" s="1452"/>
      <c r="C2071" s="1453">
        <f>IF(G2071&gt;0,1,0)</f>
        <v>0</v>
      </c>
      <c r="D2071" s="1198"/>
      <c r="E2071" s="1454" t="s">
        <v>3377</v>
      </c>
      <c r="F2071" s="1455" t="s">
        <v>1133</v>
      </c>
      <c r="G2071" s="1517"/>
      <c r="H2071" s="1455"/>
      <c r="I2071" s="1455"/>
      <c r="J2071" s="1455"/>
      <c r="K2071" s="1455"/>
      <c r="L2071" s="1456"/>
      <c r="M2071" s="1456"/>
      <c r="N2071" s="1456"/>
      <c r="O2071" s="1457"/>
      <c r="P2071" s="1437"/>
      <c r="Q2071" s="1300"/>
      <c r="R2071" s="1300"/>
      <c r="S2071" s="1300"/>
    </row>
    <row r="2072" spans="1:19" s="1081" customFormat="1" hidden="1" outlineLevel="1">
      <c r="A2072" s="1072" t="str">
        <f t="shared" si="514"/>
        <v/>
      </c>
      <c r="B2072" s="1421" t="s">
        <v>1012</v>
      </c>
      <c r="C2072" s="1458"/>
      <c r="D2072" s="1198"/>
      <c r="E2072" s="1459" t="str">
        <f>VLOOKUP($B2072,dongia1,DG!$C$5,)</f>
        <v>Trụ BTLT 12m F350 dự ứng lực</v>
      </c>
      <c r="F2072" s="1198" t="str">
        <f>VLOOKUP($B2072,dongia1,DG!$D$5,)</f>
        <v>trụ</v>
      </c>
      <c r="G2072" s="1518">
        <f>G2071</f>
        <v>0</v>
      </c>
      <c r="H2072" s="1399">
        <f>VLOOKUP($B2072,dongia1,DG!$F$5,)</f>
        <v>4400000</v>
      </c>
      <c r="I2072" s="1291"/>
      <c r="J2072" s="1399"/>
      <c r="K2072" s="1291"/>
      <c r="L2072" s="1400">
        <f>H2072*G2072</f>
        <v>0</v>
      </c>
      <c r="M2072" s="1400">
        <f>I2072*G2072</f>
        <v>0</v>
      </c>
      <c r="N2072" s="1400">
        <f>J2072*G2072</f>
        <v>0</v>
      </c>
      <c r="O2072" s="1400">
        <f>K2072*G2072</f>
        <v>0</v>
      </c>
      <c r="P2072" s="1437"/>
      <c r="Q2072" s="1300"/>
      <c r="R2072" s="1300"/>
      <c r="S2072" s="1300"/>
    </row>
    <row r="2073" spans="1:19" s="1081" customFormat="1" hidden="1" outlineLevel="1">
      <c r="A2073" s="1072" t="str">
        <f t="shared" si="514"/>
        <v/>
      </c>
      <c r="B2073" s="1421" t="s">
        <v>1457</v>
      </c>
      <c r="C2073" s="1458"/>
      <c r="D2073" s="1198"/>
      <c r="E2073" s="1459" t="str">
        <f>VLOOKUP($B2073,dongia1,DG!$C$5,)</f>
        <v>Vật liệu dựng trụ</v>
      </c>
      <c r="F2073" s="1198" t="str">
        <f>VLOOKUP($B2073,dongia1,DG!$D$5,)</f>
        <v>trụ</v>
      </c>
      <c r="G2073" s="1518">
        <f>G2072</f>
        <v>0</v>
      </c>
      <c r="H2073" s="1399">
        <f>VLOOKUP($B2073,dongia1,DG!$F$5,)</f>
        <v>17400</v>
      </c>
      <c r="I2073" s="1399"/>
      <c r="J2073" s="1291"/>
      <c r="K2073" s="1291"/>
      <c r="L2073" s="1400">
        <f>H2073*G2073</f>
        <v>0</v>
      </c>
      <c r="M2073" s="1400">
        <f>I2073*G2073</f>
        <v>0</v>
      </c>
      <c r="N2073" s="1400">
        <f>J2073*G2073</f>
        <v>0</v>
      </c>
      <c r="O2073" s="1400">
        <f>K2073*G2073</f>
        <v>0</v>
      </c>
      <c r="P2073" s="1437"/>
      <c r="Q2073" s="1300"/>
      <c r="R2073" s="1300"/>
      <c r="S2073" s="1300"/>
    </row>
    <row r="2074" spans="1:19" s="1081" customFormat="1" hidden="1" outlineLevel="1">
      <c r="A2074" s="1072" t="str">
        <f t="shared" si="514"/>
        <v/>
      </c>
      <c r="B2074" s="1421" t="s">
        <v>1701</v>
      </c>
      <c r="C2074" s="1458"/>
      <c r="D2074" s="1198" t="str">
        <f>VLOOKUP($B2074,dongia1,DG!$B$5,)</f>
        <v>04.9203</v>
      </c>
      <c r="E2074" s="1459" t="str">
        <f>VLOOKUP($B2074,dongia1,DG!$C$5,)</f>
        <v>Dựng trụ BTLT 12m trong TBA bằng thủ công + cơ giới</v>
      </c>
      <c r="F2074" s="1198" t="str">
        <f>VLOOKUP($B2074,dongia1,DG!$D$5,)</f>
        <v>trụ</v>
      </c>
      <c r="G2074" s="1518">
        <f>G2072</f>
        <v>0</v>
      </c>
      <c r="H2074" s="1459"/>
      <c r="I2074" s="1399"/>
      <c r="J2074" s="1399">
        <f>VLOOKUP($B2074,dongia1,DG!$G$5,)</f>
        <v>112286</v>
      </c>
      <c r="K2074" s="1399">
        <f>VLOOKUP($B2074,dongia1,DG!$H$5,)</f>
        <v>105970</v>
      </c>
      <c r="L2074" s="1400">
        <f>H2074*G2074</f>
        <v>0</v>
      </c>
      <c r="M2074" s="1400">
        <f>I2074*G2074</f>
        <v>0</v>
      </c>
      <c r="N2074" s="1400">
        <f>J2074*G2074</f>
        <v>0</v>
      </c>
      <c r="O2074" s="1400">
        <f>K2074*G2074</f>
        <v>0</v>
      </c>
      <c r="P2074" s="1437"/>
      <c r="Q2074" s="1300"/>
      <c r="R2074" s="1300"/>
      <c r="S2074" s="1300"/>
    </row>
    <row r="2075" spans="1:19" s="1081" customFormat="1" hidden="1" outlineLevel="1">
      <c r="A2075" s="1072" t="str">
        <f t="shared" si="514"/>
        <v/>
      </c>
      <c r="B2075" s="1452"/>
      <c r="C2075" s="1453">
        <f>IF(G2075&gt;0,1,0)</f>
        <v>0</v>
      </c>
      <c r="D2075" s="1198"/>
      <c r="E2075" s="1454" t="s">
        <v>3389</v>
      </c>
      <c r="F2075" s="1455" t="s">
        <v>1133</v>
      </c>
      <c r="G2075" s="1517">
        <f>G2057*1*0</f>
        <v>0</v>
      </c>
      <c r="H2075" s="1455"/>
      <c r="I2075" s="1455"/>
      <c r="J2075" s="1455"/>
      <c r="K2075" s="1455"/>
      <c r="L2075" s="1456"/>
      <c r="M2075" s="1456"/>
      <c r="N2075" s="1456"/>
      <c r="O2075" s="1457"/>
      <c r="P2075" s="1299"/>
      <c r="Q2075" s="1300"/>
      <c r="R2075" s="1300"/>
      <c r="S2075" s="1300"/>
    </row>
    <row r="2076" spans="1:19" s="1081" customFormat="1" hidden="1" outlineLevel="1">
      <c r="A2076" s="1072" t="str">
        <f t="shared" si="514"/>
        <v/>
      </c>
      <c r="B2076" s="1421" t="s">
        <v>1011</v>
      </c>
      <c r="C2076" s="1458"/>
      <c r="D2076" s="1198"/>
      <c r="E2076" s="1459" t="str">
        <f>VLOOKUP($B2076,dongia1,DG!$C$5,)</f>
        <v>Trụ BTLT 10,5m F350 dự ứng lực</v>
      </c>
      <c r="F2076" s="1198" t="str">
        <f>VLOOKUP($B2076,dongia1,DG!$D$5,)</f>
        <v>trụ</v>
      </c>
      <c r="G2076" s="1518">
        <f>G2075</f>
        <v>0</v>
      </c>
      <c r="H2076" s="1399">
        <f>VLOOKUP($B2076,dongia1,DG!$F$5,)</f>
        <v>4200000</v>
      </c>
      <c r="I2076" s="1291"/>
      <c r="J2076" s="1399"/>
      <c r="K2076" s="1291"/>
      <c r="L2076" s="1400">
        <f>H2076*G2076</f>
        <v>0</v>
      </c>
      <c r="M2076" s="1400">
        <f>I2076*G2076</f>
        <v>0</v>
      </c>
      <c r="N2076" s="1400">
        <f>J2076*G2076</f>
        <v>0</v>
      </c>
      <c r="O2076" s="1400">
        <f>K2076*G2076</f>
        <v>0</v>
      </c>
      <c r="P2076" s="1299"/>
      <c r="Q2076" s="1300"/>
      <c r="R2076" s="1300"/>
      <c r="S2076" s="1300"/>
    </row>
    <row r="2077" spans="1:19" s="1081" customFormat="1" hidden="1" outlineLevel="1">
      <c r="A2077" s="1072" t="str">
        <f t="shared" si="514"/>
        <v/>
      </c>
      <c r="B2077" s="1421" t="s">
        <v>1457</v>
      </c>
      <c r="C2077" s="1458"/>
      <c r="D2077" s="1198"/>
      <c r="E2077" s="1459" t="str">
        <f>VLOOKUP($B2077,dongia1,DG!$C$5,)</f>
        <v>Vật liệu dựng trụ</v>
      </c>
      <c r="F2077" s="1198" t="str">
        <f>VLOOKUP($B2077,dongia1,DG!$D$5,)</f>
        <v>trụ</v>
      </c>
      <c r="G2077" s="1518">
        <f>G2076</f>
        <v>0</v>
      </c>
      <c r="H2077" s="1399">
        <f>VLOOKUP($B2077,dongia1,DG!$F$5,)</f>
        <v>17400</v>
      </c>
      <c r="I2077" s="1399"/>
      <c r="J2077" s="1291"/>
      <c r="K2077" s="1291"/>
      <c r="L2077" s="1400">
        <f>H2077*G2077</f>
        <v>0</v>
      </c>
      <c r="M2077" s="1400">
        <f>I2077*G2077</f>
        <v>0</v>
      </c>
      <c r="N2077" s="1400">
        <f>J2077*G2077</f>
        <v>0</v>
      </c>
      <c r="O2077" s="1400">
        <f>K2077*G2077</f>
        <v>0</v>
      </c>
      <c r="P2077" s="1299"/>
      <c r="Q2077" s="1300"/>
      <c r="R2077" s="1300"/>
      <c r="S2077" s="1300"/>
    </row>
    <row r="2078" spans="1:19" s="1081" customFormat="1" hidden="1" outlineLevel="1">
      <c r="A2078" s="1072" t="str">
        <f t="shared" si="514"/>
        <v/>
      </c>
      <c r="B2078" s="1421" t="s">
        <v>1702</v>
      </c>
      <c r="C2078" s="1458"/>
      <c r="D2078" s="1198" t="str">
        <f>VLOOKUP($B2078,dongia1,DG!$B$5,)</f>
        <v>04.9203</v>
      </c>
      <c r="E2078" s="1459" t="str">
        <f>VLOOKUP($B2078,dongia1,DG!$C$5,)</f>
        <v>Dựng trụ BTLT 10,5m trong TBA bằng thủ công + cơ giới</v>
      </c>
      <c r="F2078" s="1198" t="str">
        <f>VLOOKUP($B2078,dongia1,DG!$D$5,)</f>
        <v>trụ</v>
      </c>
      <c r="G2078" s="1518">
        <f>G2076</f>
        <v>0</v>
      </c>
      <c r="H2078" s="1459"/>
      <c r="I2078" s="1399"/>
      <c r="J2078" s="1399">
        <f>VLOOKUP($B2078,dongia1,DG!$G$5,)</f>
        <v>112286</v>
      </c>
      <c r="K2078" s="1399">
        <f>VLOOKUP($B2078,dongia1,DG!$H$5,)</f>
        <v>105970</v>
      </c>
      <c r="L2078" s="1400">
        <f>H2078*G2078</f>
        <v>0</v>
      </c>
      <c r="M2078" s="1400">
        <f>I2078*G2078</f>
        <v>0</v>
      </c>
      <c r="N2078" s="1400">
        <f>J2078*G2078</f>
        <v>0</v>
      </c>
      <c r="O2078" s="1400">
        <f>K2078*G2078</f>
        <v>0</v>
      </c>
      <c r="P2078" s="1299"/>
      <c r="Q2078" s="1300"/>
      <c r="R2078" s="1300"/>
      <c r="S2078" s="1300"/>
    </row>
    <row r="2079" spans="1:19" s="1081" customFormat="1" hidden="1" outlineLevel="1">
      <c r="A2079" s="1072" t="str">
        <f t="shared" si="514"/>
        <v/>
      </c>
      <c r="B2079" s="1421"/>
      <c r="C2079" s="1291">
        <f>IF(G2079&gt;0,C2071+1,C2071)</f>
        <v>0</v>
      </c>
      <c r="D2079" s="1198"/>
      <c r="E2079" s="1454" t="s">
        <v>3390</v>
      </c>
      <c r="F2079" s="1455" t="s">
        <v>3391</v>
      </c>
      <c r="G2079" s="1517">
        <f>G2071</f>
        <v>0</v>
      </c>
      <c r="H2079" s="1291"/>
      <c r="I2079" s="1291"/>
      <c r="J2079" s="1291"/>
      <c r="K2079" s="1291"/>
      <c r="L2079" s="1291"/>
      <c r="M2079" s="1291"/>
      <c r="N2079" s="1291"/>
      <c r="O2079" s="1461"/>
      <c r="P2079" s="1437"/>
      <c r="Q2079" s="1300"/>
      <c r="R2079" s="1300"/>
      <c r="S2079" s="1300"/>
    </row>
    <row r="2080" spans="1:19" s="1081" customFormat="1" hidden="1" outlineLevel="1">
      <c r="A2080" s="1072" t="str">
        <f t="shared" si="514"/>
        <v/>
      </c>
      <c r="B2080" s="1421" t="s">
        <v>580</v>
      </c>
      <c r="C2080" s="1458"/>
      <c r="D2080" s="1198" t="str">
        <f>VLOOKUP($B2080,dongia1,DG!$B$5,)</f>
        <v>AG.42111</v>
      </c>
      <c r="E2080" s="1459" t="str">
        <f>VLOOKUP($B2080,dongia1,DG!$C$5,)</f>
        <v>Đà cản BTCT 1,2m</v>
      </c>
      <c r="F2080" s="1198" t="str">
        <f>VLOOKUP($B2080,dongia1,DG!$D$5,)</f>
        <v>cái</v>
      </c>
      <c r="G2080" s="1518">
        <f>G2079</f>
        <v>0</v>
      </c>
      <c r="H2080" s="1399">
        <f>VLOOKUP($B2080,dongia1,DG!$F$5,)</f>
        <v>354545</v>
      </c>
      <c r="I2080" s="1399"/>
      <c r="J2080" s="1399">
        <f>VLOOKUP($B2080,dongia1,DG!$G$5,)</f>
        <v>37220.25</v>
      </c>
      <c r="K2080" s="1291"/>
      <c r="L2080" s="1400">
        <f>H2080*G2080</f>
        <v>0</v>
      </c>
      <c r="M2080" s="1400">
        <f>I2080*G2080</f>
        <v>0</v>
      </c>
      <c r="N2080" s="1400">
        <f>J2080*G2080</f>
        <v>0</v>
      </c>
      <c r="O2080" s="1400">
        <f>K2080*G2080</f>
        <v>0</v>
      </c>
      <c r="P2080" s="1437"/>
      <c r="Q2080" s="1300"/>
      <c r="R2080" s="1300"/>
      <c r="S2080" s="1300"/>
    </row>
    <row r="2081" spans="1:19" s="1081" customFormat="1" hidden="1" outlineLevel="1">
      <c r="A2081" s="1072" t="str">
        <f t="shared" si="514"/>
        <v/>
      </c>
      <c r="B2081" s="1421" t="s">
        <v>952</v>
      </c>
      <c r="C2081" s="1458"/>
      <c r="D2081" s="1198"/>
      <c r="E2081" s="1459" t="str">
        <f>VLOOKUP($B2081,dongia1,DG!$C$5,)</f>
        <v>Boulon 22x650+ 2 long đền vuông D24-60x60x3/Zn</v>
      </c>
      <c r="F2081" s="1198" t="str">
        <f>VLOOKUP($B2081,dongia1,DG!$D$5,)</f>
        <v>bộ</v>
      </c>
      <c r="G2081" s="1304">
        <f>G2080</f>
        <v>0</v>
      </c>
      <c r="H2081" s="1399">
        <f>VLOOKUP($B2081,dongia1,DG!$F$5,)</f>
        <v>92200</v>
      </c>
      <c r="I2081" s="1459"/>
      <c r="J2081" s="1459"/>
      <c r="K2081" s="1291"/>
      <c r="L2081" s="1400">
        <f>H2081*G2081</f>
        <v>0</v>
      </c>
      <c r="M2081" s="1400">
        <f>I2081*G2081</f>
        <v>0</v>
      </c>
      <c r="N2081" s="1400">
        <f>J2081*G2081</f>
        <v>0</v>
      </c>
      <c r="O2081" s="1400">
        <f>K2081*G2081</f>
        <v>0</v>
      </c>
      <c r="P2081" s="1437"/>
      <c r="Q2081" s="1300"/>
      <c r="R2081" s="1300"/>
      <c r="S2081" s="1300"/>
    </row>
    <row r="2082" spans="1:19" s="1081" customFormat="1" hidden="1" outlineLevel="1">
      <c r="A2082" s="1072" t="str">
        <f t="shared" si="514"/>
        <v/>
      </c>
      <c r="B2082" s="1421" t="str">
        <f>IF(capdat=1,"MDD1",IF(capdat=2,"MDD2",IF(capdat=3,"MDD3",IF(capdat=4,"MDD4"))))</f>
        <v>MDD3</v>
      </c>
      <c r="C2082" s="1458"/>
      <c r="D2082" s="1198" t="str">
        <f>VLOOKUP($B2082,dongia1,DG!$B$5,)</f>
        <v>03.1013</v>
      </c>
      <c r="E2082" s="1459" t="str">
        <f>VLOOKUP($B2082,dongia1,DG!$C$5,)</f>
        <v>Đào hố móng đất cấp 3 sâu &gt;1m DT&lt;5m2</v>
      </c>
      <c r="F2082" s="1198" t="str">
        <f>VLOOKUP($B2082,dongia1,DG!$D$5,)</f>
        <v>m3</v>
      </c>
      <c r="G2082" s="1304">
        <f>1.45*G2080</f>
        <v>0</v>
      </c>
      <c r="H2082" s="1399">
        <f>VLOOKUP($B2082,dongia1,DG!$F$5,)</f>
        <v>0</v>
      </c>
      <c r="I2082" s="1399"/>
      <c r="J2082" s="1399">
        <f>VLOOKUP($B2082,dongia1,DG!$G$5,)</f>
        <v>296500.89999999997</v>
      </c>
      <c r="K2082" s="1291"/>
      <c r="L2082" s="1400">
        <f>H2082*G2082</f>
        <v>0</v>
      </c>
      <c r="M2082" s="1400">
        <f>I2082*G2082</f>
        <v>0</v>
      </c>
      <c r="N2082" s="1400">
        <f>J2082*G2082</f>
        <v>0</v>
      </c>
      <c r="O2082" s="1400">
        <f>K2082*G2082</f>
        <v>0</v>
      </c>
      <c r="P2082" s="1437"/>
      <c r="Q2082" s="1300"/>
      <c r="R2082" s="1300"/>
      <c r="S2082" s="1300"/>
    </row>
    <row r="2083" spans="1:19" s="1081" customFormat="1" hidden="1" outlineLevel="1">
      <c r="A2083" s="1072" t="str">
        <f t="shared" si="514"/>
        <v/>
      </c>
      <c r="B2083" s="1421" t="str">
        <f>IF(capdat=1,"MDAP1",IF(capdat=2,"MDAP2",IF(capdat=3,"MDAP3",IF(capdat=4,"MDAP4"))))</f>
        <v>MDAP3</v>
      </c>
      <c r="C2083" s="1458"/>
      <c r="D2083" s="1198" t="str">
        <f>VLOOKUP($B2083,dongia1,DG!$B$5,)</f>
        <v>AB.13111</v>
      </c>
      <c r="E2083" s="1459" t="str">
        <f>VLOOKUP($B2083,dongia1,DG!$C$5,)</f>
        <v>Đắp đất hố móng, đất cấp 3 (độ chặt k = 0.85)</v>
      </c>
      <c r="F2083" s="1198" t="str">
        <f>VLOOKUP($B2083,dongia1,DG!$D$5,)</f>
        <v>m3</v>
      </c>
      <c r="G2083" s="1304">
        <f>1.37*G2079</f>
        <v>0</v>
      </c>
      <c r="H2083" s="1399">
        <f>VLOOKUP($B2083,dongia1,DG!$F$5,)</f>
        <v>0</v>
      </c>
      <c r="I2083" s="1399"/>
      <c r="J2083" s="1399">
        <f>VLOOKUP($B2083,dongia1,DG!$G$5,)</f>
        <v>117703.6</v>
      </c>
      <c r="K2083" s="1291"/>
      <c r="L2083" s="1400">
        <f>H2083*G2083</f>
        <v>0</v>
      </c>
      <c r="M2083" s="1400">
        <f>I2083*G2083</f>
        <v>0</v>
      </c>
      <c r="N2083" s="1400">
        <f>J2083*G2083</f>
        <v>0</v>
      </c>
      <c r="O2083" s="1400">
        <f>K2083*G2083</f>
        <v>0</v>
      </c>
      <c r="P2083" s="1437"/>
      <c r="Q2083" s="1300"/>
      <c r="R2083" s="1300"/>
      <c r="S2083" s="1300"/>
    </row>
    <row r="2084" spans="1:19" s="1081" customFormat="1" hidden="1" outlineLevel="1">
      <c r="A2084" s="1072" t="str">
        <f t="shared" si="514"/>
        <v/>
      </c>
      <c r="B2084" s="1421"/>
      <c r="C2084" s="1291">
        <f>IF(G2084&gt;0,C2076+1,C2076)</f>
        <v>0</v>
      </c>
      <c r="D2084" s="1198"/>
      <c r="E2084" s="1454" t="s">
        <v>3392</v>
      </c>
      <c r="F2084" s="1455" t="s">
        <v>3391</v>
      </c>
      <c r="G2084" s="1517">
        <f>G2075</f>
        <v>0</v>
      </c>
      <c r="H2084" s="1291"/>
      <c r="I2084" s="1291"/>
      <c r="J2084" s="1291"/>
      <c r="K2084" s="1291"/>
      <c r="L2084" s="1291"/>
      <c r="M2084" s="1291"/>
      <c r="N2084" s="1291"/>
      <c r="O2084" s="1461"/>
      <c r="P2084" s="1299"/>
      <c r="Q2084" s="1300"/>
      <c r="R2084" s="1300"/>
      <c r="S2084" s="1300"/>
    </row>
    <row r="2085" spans="1:19" s="1081" customFormat="1" hidden="1" outlineLevel="1">
      <c r="A2085" s="1072" t="str">
        <f t="shared" si="514"/>
        <v/>
      </c>
      <c r="B2085" s="1421" t="s">
        <v>580</v>
      </c>
      <c r="C2085" s="1458"/>
      <c r="D2085" s="1198" t="str">
        <f>VLOOKUP($B2085,dongia1,DG!$B$5,)</f>
        <v>AG.42111</v>
      </c>
      <c r="E2085" s="1459" t="str">
        <f>VLOOKUP($B2085,dongia1,DG!$C$5,)</f>
        <v>Đà cản BTCT 1,2m</v>
      </c>
      <c r="F2085" s="1198" t="str">
        <f>VLOOKUP($B2085,dongia1,DG!$D$5,)</f>
        <v>cái</v>
      </c>
      <c r="G2085" s="1518">
        <f>G2084</f>
        <v>0</v>
      </c>
      <c r="H2085" s="1399">
        <f>VLOOKUP($B2085,dongia1,DG!$F$5,)</f>
        <v>354545</v>
      </c>
      <c r="I2085" s="1399"/>
      <c r="J2085" s="1399">
        <f>VLOOKUP($B2085,dongia1,DG!$G$5,)</f>
        <v>37220.25</v>
      </c>
      <c r="K2085" s="1291"/>
      <c r="L2085" s="1400">
        <f>H2085*G2085</f>
        <v>0</v>
      </c>
      <c r="M2085" s="1400">
        <f>I2085*G2085</f>
        <v>0</v>
      </c>
      <c r="N2085" s="1400">
        <f>J2085*G2085</f>
        <v>0</v>
      </c>
      <c r="O2085" s="1400">
        <f>K2085*G2085</f>
        <v>0</v>
      </c>
      <c r="P2085" s="1299"/>
      <c r="Q2085" s="1300"/>
      <c r="R2085" s="1300"/>
      <c r="S2085" s="1300"/>
    </row>
    <row r="2086" spans="1:19" s="1081" customFormat="1" hidden="1" outlineLevel="1">
      <c r="A2086" s="1072" t="str">
        <f t="shared" si="514"/>
        <v/>
      </c>
      <c r="B2086" s="1421" t="s">
        <v>952</v>
      </c>
      <c r="C2086" s="1458"/>
      <c r="D2086" s="1198"/>
      <c r="E2086" s="1459" t="str">
        <f>VLOOKUP($B2086,dongia1,DG!$C$5,)</f>
        <v>Boulon 22x650+ 2 long đền vuông D24-60x60x3/Zn</v>
      </c>
      <c r="F2086" s="1198" t="str">
        <f>VLOOKUP($B2086,dongia1,DG!$D$5,)</f>
        <v>bộ</v>
      </c>
      <c r="G2086" s="1518">
        <f>G2085</f>
        <v>0</v>
      </c>
      <c r="H2086" s="1399">
        <f>VLOOKUP($B2086,dongia1,DG!$F$5,)</f>
        <v>92200</v>
      </c>
      <c r="I2086" s="1459"/>
      <c r="J2086" s="1459"/>
      <c r="K2086" s="1291"/>
      <c r="L2086" s="1400">
        <f>H2086*G2086</f>
        <v>0</v>
      </c>
      <c r="M2086" s="1400">
        <f>I2086*G2086</f>
        <v>0</v>
      </c>
      <c r="N2086" s="1400">
        <f>J2086*G2086</f>
        <v>0</v>
      </c>
      <c r="O2086" s="1400">
        <f>K2086*G2086</f>
        <v>0</v>
      </c>
      <c r="P2086" s="1299"/>
      <c r="Q2086" s="1300"/>
      <c r="R2086" s="1300"/>
      <c r="S2086" s="1300"/>
    </row>
    <row r="2087" spans="1:19" s="1081" customFormat="1" hidden="1" outlineLevel="1">
      <c r="A2087" s="1072" t="str">
        <f t="shared" si="514"/>
        <v/>
      </c>
      <c r="B2087" s="1421" t="str">
        <f>IF(capdat=1,"MDD1",IF(capdat=2,"MDD2",IF(capdat=3,"MDD3",IF(capdat=4,"MDD4"))))</f>
        <v>MDD3</v>
      </c>
      <c r="C2087" s="1458"/>
      <c r="D2087" s="1198" t="str">
        <f>VLOOKUP($B2087,dongia1,DG!$B$5,)</f>
        <v>03.1013</v>
      </c>
      <c r="E2087" s="1459" t="str">
        <f>VLOOKUP($B2087,dongia1,DG!$C$5,)</f>
        <v>Đào hố móng đất cấp 3 sâu &gt;1m DT&lt;5m2</v>
      </c>
      <c r="F2087" s="1198" t="str">
        <f>VLOOKUP($B2087,dongia1,DG!$D$5,)</f>
        <v>m3</v>
      </c>
      <c r="G2087" s="1304">
        <f>1.48*G2085</f>
        <v>0</v>
      </c>
      <c r="H2087" s="1399">
        <f>VLOOKUP($B2087,dongia1,DG!$F$5,)</f>
        <v>0</v>
      </c>
      <c r="I2087" s="1399"/>
      <c r="J2087" s="1399">
        <f>VLOOKUP($B2087,dongia1,DG!$G$5,)</f>
        <v>296500.89999999997</v>
      </c>
      <c r="K2087" s="1291"/>
      <c r="L2087" s="1400">
        <f>H2087*G2087</f>
        <v>0</v>
      </c>
      <c r="M2087" s="1400">
        <f>I2087*G2087</f>
        <v>0</v>
      </c>
      <c r="N2087" s="1400">
        <f>J2087*G2087</f>
        <v>0</v>
      </c>
      <c r="O2087" s="1400">
        <f>K2087*G2087</f>
        <v>0</v>
      </c>
      <c r="P2087" s="1299"/>
      <c r="Q2087" s="1300"/>
      <c r="R2087" s="1300"/>
      <c r="S2087" s="1300"/>
    </row>
    <row r="2088" spans="1:19" s="1081" customFormat="1" hidden="1" outlineLevel="1">
      <c r="A2088" s="1072" t="str">
        <f t="shared" si="514"/>
        <v/>
      </c>
      <c r="B2088" s="1421" t="str">
        <f>IF(capdat=1,"MDAP1",IF(capdat=2,"MDAP2",IF(capdat=3,"MDAP3",IF(capdat=4,"MDAP4"))))</f>
        <v>MDAP3</v>
      </c>
      <c r="C2088" s="1458"/>
      <c r="D2088" s="1198" t="str">
        <f>VLOOKUP($B2088,dongia1,DG!$B$5,)</f>
        <v>AB.13111</v>
      </c>
      <c r="E2088" s="1459" t="str">
        <f>VLOOKUP($B2088,dongia1,DG!$C$5,)</f>
        <v>Đắp đất hố móng, đất cấp 3 (độ chặt k = 0.85)</v>
      </c>
      <c r="F2088" s="1198" t="str">
        <f>VLOOKUP($B2088,dongia1,DG!$D$5,)</f>
        <v>m3</v>
      </c>
      <c r="G2088" s="1304">
        <f>1.39*G2084</f>
        <v>0</v>
      </c>
      <c r="H2088" s="1399">
        <f>VLOOKUP($B2088,dongia1,DG!$F$5,)</f>
        <v>0</v>
      </c>
      <c r="I2088" s="1399"/>
      <c r="J2088" s="1399">
        <f>VLOOKUP($B2088,dongia1,DG!$G$5,)</f>
        <v>117703.6</v>
      </c>
      <c r="K2088" s="1291"/>
      <c r="L2088" s="1400">
        <f>H2088*G2088</f>
        <v>0</v>
      </c>
      <c r="M2088" s="1400">
        <f>I2088*G2088</f>
        <v>0</v>
      </c>
      <c r="N2088" s="1400">
        <f>J2088*G2088</f>
        <v>0</v>
      </c>
      <c r="O2088" s="1400">
        <f>K2088*G2088</f>
        <v>0</v>
      </c>
      <c r="P2088" s="1299"/>
      <c r="Q2088" s="1300"/>
      <c r="R2088" s="1300"/>
      <c r="S2088" s="1300"/>
    </row>
    <row r="2089" spans="1:19" s="1081" customFormat="1" hidden="1" outlineLevel="1">
      <c r="A2089" s="1072" t="str">
        <f t="shared" si="514"/>
        <v/>
      </c>
      <c r="B2089" s="1295"/>
      <c r="C2089" s="1291">
        <f>IF(G2089&gt;0,C2079+1,C2079)</f>
        <v>0</v>
      </c>
      <c r="D2089" s="1462"/>
      <c r="E2089" s="1454" t="s">
        <v>3396</v>
      </c>
      <c r="F2089" s="1453" t="s">
        <v>2113</v>
      </c>
      <c r="G2089" s="1506">
        <f>G2057*1</f>
        <v>0</v>
      </c>
      <c r="H2089" s="1464"/>
      <c r="I2089" s="1464"/>
      <c r="J2089" s="1464"/>
      <c r="K2089" s="1464"/>
      <c r="L2089" s="1464"/>
      <c r="M2089" s="1464"/>
      <c r="N2089" s="1464"/>
      <c r="O2089" s="1464"/>
      <c r="P2089" s="1507"/>
      <c r="Q2089" s="1300"/>
      <c r="R2089" s="1300"/>
      <c r="S2089" s="1300"/>
    </row>
    <row r="2090" spans="1:19" s="1081" customFormat="1" ht="14.4" hidden="1" outlineLevel="1">
      <c r="A2090" s="1072" t="str">
        <f>A2089</f>
        <v/>
      </c>
      <c r="B2090" s="1295"/>
      <c r="C2090" s="1291"/>
      <c r="D2090" s="1465"/>
      <c r="E2090" s="1301" t="s">
        <v>3399</v>
      </c>
      <c r="F2090" s="1302"/>
      <c r="G2090" s="1508"/>
      <c r="H2090" s="1466"/>
      <c r="I2090" s="1466"/>
      <c r="J2090" s="1466"/>
      <c r="K2090" s="1466"/>
      <c r="L2090" s="1466"/>
      <c r="M2090" s="1466"/>
      <c r="N2090" s="1466"/>
      <c r="O2090" s="1466"/>
      <c r="P2090" s="1507"/>
      <c r="Q2090" s="1300"/>
      <c r="R2090" s="1300"/>
      <c r="S2090" s="1300"/>
    </row>
    <row r="2091" spans="1:19" s="1081" customFormat="1" hidden="1" outlineLevel="1">
      <c r="A2091" s="1072" t="str">
        <f t="shared" ref="A2091:A2107" si="515">IF(G2091&lt;&gt;0,1,"")</f>
        <v/>
      </c>
      <c r="B2091" s="1068" t="s">
        <v>4636</v>
      </c>
      <c r="C2091" s="1291"/>
      <c r="D2091" s="1198">
        <f>VLOOKUP($B2091,dongia1,DG!$B$5,)</f>
        <v>0</v>
      </c>
      <c r="E2091" s="1243" t="str">
        <f>VLOOKUP($B2091,dongia1,DG!$C$5,)</f>
        <v>Đà U200x76x5,2x2033 chống MBA : 2 thanh</v>
      </c>
      <c r="F2091" s="1198" t="str">
        <f>VLOOKUP($B2091,dongia1,DG!$D$5,)</f>
        <v>kg</v>
      </c>
      <c r="G2091" s="1508">
        <f>+G2089*2.033*2*18.4</f>
        <v>0</v>
      </c>
      <c r="H2091" s="1399">
        <f>VLOOKUP($B2091,dongia1,DG!$F$5,)</f>
        <v>31625</v>
      </c>
      <c r="I2091" s="1467"/>
      <c r="J2091" s="1399"/>
      <c r="K2091" s="1399">
        <f>VLOOKUP($B2091,dongia1,DG!$H$5,)</f>
        <v>0</v>
      </c>
      <c r="L2091" s="1400">
        <f t="shared" ref="L2091:L2106" si="516">H2091*G2091</f>
        <v>0</v>
      </c>
      <c r="M2091" s="1400">
        <f t="shared" ref="M2091:M2115" si="517">I2091*G2091</f>
        <v>0</v>
      </c>
      <c r="N2091" s="1399"/>
      <c r="O2091" s="1400">
        <f t="shared" ref="O2091:O2115" si="518">K2091*G2091</f>
        <v>0</v>
      </c>
      <c r="P2091" s="1507"/>
      <c r="Q2091" s="1300">
        <f>L2091/2</f>
        <v>0</v>
      </c>
      <c r="R2091" s="1300"/>
      <c r="S2091" s="1300"/>
    </row>
    <row r="2092" spans="1:19" s="1081" customFormat="1" hidden="1" outlineLevel="1">
      <c r="A2092" s="1072" t="str">
        <f t="shared" si="515"/>
        <v/>
      </c>
      <c r="B2092" s="1068" t="s">
        <v>4637</v>
      </c>
      <c r="C2092" s="1291"/>
      <c r="D2092" s="1198">
        <f>VLOOKUP($B2092,dongia1,DG!$B$5,)</f>
        <v>0</v>
      </c>
      <c r="E2092" s="1243" t="str">
        <f>VLOOKUP($B2092,dongia1,DG!$C$5,)</f>
        <v>Đà U100x46x4,5x400 ốp đà chống : 2 thanh</v>
      </c>
      <c r="F2092" s="1198" t="str">
        <f>VLOOKUP($B2092,dongia1,DG!$D$5,)</f>
        <v>kg</v>
      </c>
      <c r="G2092" s="1508">
        <f>+G2089*0.4*2*8.59</f>
        <v>0</v>
      </c>
      <c r="H2092" s="1399">
        <f>VLOOKUP($B2092,dongia1,DG!$F$5,)</f>
        <v>31625</v>
      </c>
      <c r="I2092" s="1467"/>
      <c r="J2092" s="1399"/>
      <c r="K2092" s="1399">
        <f>VLOOKUP($B2092,dongia1,DG!$H$5,)</f>
        <v>0</v>
      </c>
      <c r="L2092" s="1400">
        <f t="shared" si="516"/>
        <v>0</v>
      </c>
      <c r="M2092" s="1400">
        <f t="shared" si="517"/>
        <v>0</v>
      </c>
      <c r="N2092" s="1399"/>
      <c r="O2092" s="1400">
        <f t="shared" si="518"/>
        <v>0</v>
      </c>
      <c r="P2092" s="1507"/>
      <c r="Q2092" s="1300">
        <f t="shared" ref="Q2092:Q2105" si="519">L2092/2</f>
        <v>0</v>
      </c>
      <c r="R2092" s="1300"/>
      <c r="S2092" s="1300"/>
    </row>
    <row r="2093" spans="1:19" s="1081" customFormat="1" hidden="1" outlineLevel="1">
      <c r="A2093" s="1072" t="str">
        <f t="shared" si="515"/>
        <v/>
      </c>
      <c r="B2093" s="1068" t="s">
        <v>4638</v>
      </c>
      <c r="C2093" s="1291"/>
      <c r="D2093" s="1198">
        <f>VLOOKUP($B2093,dongia1,DG!$B$5,)</f>
        <v>0</v>
      </c>
      <c r="E2093" s="1243" t="str">
        <f>VLOOKUP($B2093,dongia1,DG!$C$5,)</f>
        <v>Đà U200x76x5,2x1428 Chống ngoài bắt MBA : 1 thanh</v>
      </c>
      <c r="F2093" s="1198" t="str">
        <f>VLOOKUP($B2093,dongia1,DG!$D$5,)</f>
        <v>kg</v>
      </c>
      <c r="G2093" s="1508">
        <f>+G2089*1.428*1*18.4</f>
        <v>0</v>
      </c>
      <c r="H2093" s="1399">
        <f>VLOOKUP($B2093,dongia1,DG!$F$5,)</f>
        <v>31625</v>
      </c>
      <c r="I2093" s="1467"/>
      <c r="J2093" s="1399"/>
      <c r="K2093" s="1399">
        <f>VLOOKUP($B2093,dongia1,DG!$H$5,)</f>
        <v>0</v>
      </c>
      <c r="L2093" s="1400">
        <f t="shared" si="516"/>
        <v>0</v>
      </c>
      <c r="M2093" s="1400">
        <f t="shared" si="517"/>
        <v>0</v>
      </c>
      <c r="N2093" s="1399"/>
      <c r="O2093" s="1400">
        <f t="shared" si="518"/>
        <v>0</v>
      </c>
      <c r="P2093" s="1507"/>
      <c r="Q2093" s="1300">
        <f t="shared" si="519"/>
        <v>0</v>
      </c>
      <c r="R2093" s="1300"/>
      <c r="S2093" s="1300"/>
    </row>
    <row r="2094" spans="1:19" s="1081" customFormat="1" hidden="1" outlineLevel="1">
      <c r="A2094" s="1072" t="str">
        <f t="shared" si="515"/>
        <v/>
      </c>
      <c r="B2094" s="1068" t="s">
        <v>4639</v>
      </c>
      <c r="C2094" s="1291"/>
      <c r="D2094" s="1198">
        <f>VLOOKUP($B2094,dongia1,DG!$B$5,)</f>
        <v>0</v>
      </c>
      <c r="E2094" s="1243" t="str">
        <f>VLOOKUP($B2094,dongia1,DG!$C$5,)</f>
        <v>Đà U100x46x4,5x750 ốp Chống ngoài bắt MBA : 1 thanh</v>
      </c>
      <c r="F2094" s="1198" t="str">
        <f>VLOOKUP($B2094,dongia1,DG!$D$5,)</f>
        <v>kg</v>
      </c>
      <c r="G2094" s="1508">
        <f>+G2089*0.75*1*8.59</f>
        <v>0</v>
      </c>
      <c r="H2094" s="1399">
        <f>VLOOKUP($B2094,dongia1,DG!$F$5,)</f>
        <v>31625</v>
      </c>
      <c r="I2094" s="1467"/>
      <c r="J2094" s="1399"/>
      <c r="K2094" s="1399">
        <f>VLOOKUP($B2094,dongia1,DG!$H$5,)</f>
        <v>0</v>
      </c>
      <c r="L2094" s="1400">
        <f t="shared" si="516"/>
        <v>0</v>
      </c>
      <c r="M2094" s="1400">
        <f t="shared" si="517"/>
        <v>0</v>
      </c>
      <c r="N2094" s="1399"/>
      <c r="O2094" s="1400">
        <f t="shared" si="518"/>
        <v>0</v>
      </c>
      <c r="P2094" s="1507"/>
      <c r="Q2094" s="1300">
        <f t="shared" si="519"/>
        <v>0</v>
      </c>
      <c r="R2094" s="1300"/>
      <c r="S2094" s="1300"/>
    </row>
    <row r="2095" spans="1:19" s="1081" customFormat="1" hidden="1" outlineLevel="1">
      <c r="A2095" s="1072" t="str">
        <f t="shared" si="515"/>
        <v/>
      </c>
      <c r="B2095" s="1068" t="s">
        <v>4640</v>
      </c>
      <c r="C2095" s="1291"/>
      <c r="D2095" s="1198">
        <f>VLOOKUP($B2095,dongia1,DG!$B$5,)</f>
        <v>0</v>
      </c>
      <c r="E2095" s="1243" t="str">
        <f>VLOOKUP($B2095,dongia1,DG!$C$5,)</f>
        <v>Đà U100x46x4,5x750 Chống ngoài đỡ MBA : 1 thanh</v>
      </c>
      <c r="F2095" s="1198" t="str">
        <f>VLOOKUP($B2095,dongia1,DG!$D$5,)</f>
        <v>kg</v>
      </c>
      <c r="G2095" s="1508">
        <f>+G2089*0.75*1*8.59</f>
        <v>0</v>
      </c>
      <c r="H2095" s="1399">
        <f>VLOOKUP($B2095,dongia1,DG!$F$5,)</f>
        <v>31625</v>
      </c>
      <c r="I2095" s="1467"/>
      <c r="J2095" s="1399"/>
      <c r="K2095" s="1399">
        <f>VLOOKUP($B2095,dongia1,DG!$H$5,)</f>
        <v>0</v>
      </c>
      <c r="L2095" s="1400">
        <f t="shared" si="516"/>
        <v>0</v>
      </c>
      <c r="M2095" s="1400">
        <f t="shared" si="517"/>
        <v>0</v>
      </c>
      <c r="N2095" s="1399"/>
      <c r="O2095" s="1400">
        <f t="shared" si="518"/>
        <v>0</v>
      </c>
      <c r="P2095" s="1507"/>
      <c r="Q2095" s="1300">
        <f t="shared" si="519"/>
        <v>0</v>
      </c>
      <c r="R2095" s="1300"/>
      <c r="S2095" s="1300"/>
    </row>
    <row r="2096" spans="1:19" s="1081" customFormat="1" hidden="1" outlineLevel="1">
      <c r="A2096" s="1072" t="str">
        <f t="shared" si="515"/>
        <v/>
      </c>
      <c r="B2096" s="1068" t="s">
        <v>4641</v>
      </c>
      <c r="C2096" s="1291"/>
      <c r="D2096" s="1198">
        <f>VLOOKUP($B2096,dongia1,DG!$B$5,)</f>
        <v>0</v>
      </c>
      <c r="E2096" s="1243" t="str">
        <f>VLOOKUP($B2096,dongia1,DG!$C$5,)</f>
        <v>Đà U200x76x5,2x1500 đỡ MBA : 2 thanh</v>
      </c>
      <c r="F2096" s="1198" t="str">
        <f>VLOOKUP($B2096,dongia1,DG!$D$5,)</f>
        <v>kg</v>
      </c>
      <c r="G2096" s="1508">
        <f>+G2089*1.5*2*18.4</f>
        <v>0</v>
      </c>
      <c r="H2096" s="1399">
        <f>VLOOKUP($B2096,dongia1,DG!$F$5,)</f>
        <v>31625</v>
      </c>
      <c r="I2096" s="1467"/>
      <c r="J2096" s="1399"/>
      <c r="K2096" s="1399">
        <f>VLOOKUP($B2096,dongia1,DG!$H$5,)</f>
        <v>0</v>
      </c>
      <c r="L2096" s="1400">
        <f t="shared" si="516"/>
        <v>0</v>
      </c>
      <c r="M2096" s="1400">
        <f t="shared" si="517"/>
        <v>0</v>
      </c>
      <c r="N2096" s="1399"/>
      <c r="O2096" s="1400">
        <f t="shared" si="518"/>
        <v>0</v>
      </c>
      <c r="P2096" s="1507"/>
      <c r="Q2096" s="1300">
        <f t="shared" si="519"/>
        <v>0</v>
      </c>
      <c r="R2096" s="1300"/>
      <c r="S2096" s="1300"/>
    </row>
    <row r="2097" spans="1:19" s="1081" customFormat="1" hidden="1" outlineLevel="1">
      <c r="A2097" s="1072" t="str">
        <f t="shared" si="515"/>
        <v/>
      </c>
      <c r="B2097" s="1068" t="s">
        <v>4642</v>
      </c>
      <c r="C2097" s="1291"/>
      <c r="D2097" s="1198">
        <f>VLOOKUP($B2097,dongia1,DG!$B$5,)</f>
        <v>0</v>
      </c>
      <c r="E2097" s="1243" t="str">
        <f>VLOOKUP($B2097,dongia1,DG!$C$5,)</f>
        <v>Đà U100x46x4,5x700 ốp đà  đỡ MBA : 2 thanh</v>
      </c>
      <c r="F2097" s="1198" t="str">
        <f>VLOOKUP($B2097,dongia1,DG!$D$5,)</f>
        <v>kg</v>
      </c>
      <c r="G2097" s="1508">
        <f>+G2089*0.7*2*8.59</f>
        <v>0</v>
      </c>
      <c r="H2097" s="1399">
        <f>VLOOKUP($B2097,dongia1,DG!$F$5,)</f>
        <v>31625</v>
      </c>
      <c r="I2097" s="1467"/>
      <c r="J2097" s="1399"/>
      <c r="K2097" s="1399">
        <f>VLOOKUP($B2097,dongia1,DG!$H$5,)</f>
        <v>0</v>
      </c>
      <c r="L2097" s="1400">
        <f t="shared" si="516"/>
        <v>0</v>
      </c>
      <c r="M2097" s="1400">
        <f t="shared" si="517"/>
        <v>0</v>
      </c>
      <c r="N2097" s="1399"/>
      <c r="O2097" s="1400">
        <f t="shared" si="518"/>
        <v>0</v>
      </c>
      <c r="P2097" s="1507"/>
      <c r="Q2097" s="1300">
        <f t="shared" si="519"/>
        <v>0</v>
      </c>
      <c r="R2097" s="1300"/>
      <c r="S2097" s="1300"/>
    </row>
    <row r="2098" spans="1:19" s="1081" customFormat="1" hidden="1" outlineLevel="1">
      <c r="A2098" s="1072" t="str">
        <f t="shared" si="515"/>
        <v/>
      </c>
      <c r="B2098" s="1068" t="s">
        <v>4643</v>
      </c>
      <c r="C2098" s="1291"/>
      <c r="D2098" s="1198">
        <f>VLOOKUP($B2098,dongia1,DG!$B$5,)</f>
        <v>0</v>
      </c>
      <c r="E2098" s="1243" t="str">
        <f>VLOOKUP($B2098,dongia1,DG!$C$5,)</f>
        <v>Đà U200x76x5,2x800 trong bắt MBA : 1 thanh</v>
      </c>
      <c r="F2098" s="1198" t="str">
        <f>VLOOKUP($B2098,dongia1,DG!$D$5,)</f>
        <v>kg</v>
      </c>
      <c r="G2098" s="1508">
        <f>+G2089*0.8*1*18.4</f>
        <v>0</v>
      </c>
      <c r="H2098" s="1399">
        <f>VLOOKUP($B2098,dongia1,DG!$F$5,)</f>
        <v>31625</v>
      </c>
      <c r="I2098" s="1467"/>
      <c r="J2098" s="1399"/>
      <c r="K2098" s="1399">
        <f>VLOOKUP($B2098,dongia1,DG!$H$5,)</f>
        <v>0</v>
      </c>
      <c r="L2098" s="1400">
        <f t="shared" si="516"/>
        <v>0</v>
      </c>
      <c r="M2098" s="1400">
        <f t="shared" si="517"/>
        <v>0</v>
      </c>
      <c r="N2098" s="1399"/>
      <c r="O2098" s="1400">
        <f t="shared" si="518"/>
        <v>0</v>
      </c>
      <c r="P2098" s="1507"/>
      <c r="Q2098" s="1300">
        <f t="shared" si="519"/>
        <v>0</v>
      </c>
      <c r="R2098" s="1300"/>
      <c r="S2098" s="1300"/>
    </row>
    <row r="2099" spans="1:19" s="1081" customFormat="1" hidden="1" outlineLevel="1">
      <c r="A2099" s="1072" t="str">
        <f t="shared" si="515"/>
        <v/>
      </c>
      <c r="B2099" s="1068" t="s">
        <v>4644</v>
      </c>
      <c r="C2099" s="1291"/>
      <c r="D2099" s="1198">
        <f>VLOOKUP($B2099,dongia1,DG!$B$5,)</f>
        <v>0</v>
      </c>
      <c r="E2099" s="1243" t="str">
        <f>VLOOKUP($B2099,dongia1,DG!$C$5,)</f>
        <v>Đà U100x46x4,5x700 kẹp bắt MBA : 1 thanh</v>
      </c>
      <c r="F2099" s="1198" t="str">
        <f>VLOOKUP($B2099,dongia1,DG!$D$5,)</f>
        <v>kg</v>
      </c>
      <c r="G2099" s="1508">
        <f>+G2089*0.7*1*8.59</f>
        <v>0</v>
      </c>
      <c r="H2099" s="1399">
        <f>VLOOKUP($B2099,dongia1,DG!$F$5,)</f>
        <v>31625</v>
      </c>
      <c r="I2099" s="1467"/>
      <c r="J2099" s="1399"/>
      <c r="K2099" s="1399">
        <f>VLOOKUP($B2099,dongia1,DG!$H$5,)</f>
        <v>0</v>
      </c>
      <c r="L2099" s="1400">
        <f t="shared" si="516"/>
        <v>0</v>
      </c>
      <c r="M2099" s="1400">
        <f t="shared" si="517"/>
        <v>0</v>
      </c>
      <c r="N2099" s="1399"/>
      <c r="O2099" s="1400">
        <f t="shared" si="518"/>
        <v>0</v>
      </c>
      <c r="P2099" s="1507"/>
      <c r="Q2099" s="1300">
        <f t="shared" si="519"/>
        <v>0</v>
      </c>
      <c r="R2099" s="1300"/>
      <c r="S2099" s="1300"/>
    </row>
    <row r="2100" spans="1:19" s="1081" customFormat="1" hidden="1" outlineLevel="1">
      <c r="A2100" s="1072" t="str">
        <f t="shared" si="515"/>
        <v/>
      </c>
      <c r="B2100" s="1068" t="s">
        <v>4645</v>
      </c>
      <c r="C2100" s="1291"/>
      <c r="D2100" s="1198">
        <f>VLOOKUP($B2100,dongia1,DG!$B$5,)</f>
        <v>0</v>
      </c>
      <c r="E2100" s="1243" t="str">
        <f>VLOOKUP($B2100,dongia1,DG!$C$5,)</f>
        <v>Đà U200x76x5,2x800 ngoài bắt MBA : 1 thanh</v>
      </c>
      <c r="F2100" s="1198" t="str">
        <f>VLOOKUP($B2100,dongia1,DG!$D$5,)</f>
        <v>kg</v>
      </c>
      <c r="G2100" s="1508">
        <f>G2089*0.8*1*18.4</f>
        <v>0</v>
      </c>
      <c r="H2100" s="1399">
        <f>VLOOKUP($B2100,dongia1,DG!$F$5,)</f>
        <v>31625</v>
      </c>
      <c r="I2100" s="1467"/>
      <c r="J2100" s="1399"/>
      <c r="K2100" s="1399">
        <f>VLOOKUP($B2100,dongia1,DG!$H$5,)</f>
        <v>0</v>
      </c>
      <c r="L2100" s="1400">
        <f t="shared" si="516"/>
        <v>0</v>
      </c>
      <c r="M2100" s="1400">
        <f t="shared" si="517"/>
        <v>0</v>
      </c>
      <c r="N2100" s="1399"/>
      <c r="O2100" s="1400">
        <f t="shared" si="518"/>
        <v>0</v>
      </c>
      <c r="P2100" s="1507"/>
      <c r="Q2100" s="1300">
        <f t="shared" si="519"/>
        <v>0</v>
      </c>
      <c r="R2100" s="1300"/>
      <c r="S2100" s="1300"/>
    </row>
    <row r="2101" spans="1:19" s="1081" customFormat="1" hidden="1" outlineLevel="1">
      <c r="A2101" s="1072" t="str">
        <f t="shared" si="515"/>
        <v/>
      </c>
      <c r="B2101" s="1068" t="s">
        <v>4646</v>
      </c>
      <c r="C2101" s="1291"/>
      <c r="D2101" s="1198">
        <f>VLOOKUP($B2101,dongia1,DG!$B$5,)</f>
        <v>0</v>
      </c>
      <c r="E2101" s="1243" t="str">
        <f>VLOOKUP($B2101,dongia1,DG!$C$5,)</f>
        <v>Boulon 22x550VRS+ 4 long đền vuông D24-50x50x3/Zn</v>
      </c>
      <c r="F2101" s="1198" t="str">
        <f>VLOOKUP($B2101,dongia1,DG!$D$5,)</f>
        <v>bộ</v>
      </c>
      <c r="G2101" s="1508">
        <f>+G2089*9</f>
        <v>0</v>
      </c>
      <c r="H2101" s="1399">
        <f>VLOOKUP($B2101,dongia1,DG!$F$5,)</f>
        <v>109000</v>
      </c>
      <c r="I2101" s="1467"/>
      <c r="J2101" s="1399"/>
      <c r="K2101" s="1399">
        <f>VLOOKUP($B2101,dongia1,DG!$H$5,)</f>
        <v>0</v>
      </c>
      <c r="L2101" s="1400">
        <f t="shared" si="516"/>
        <v>0</v>
      </c>
      <c r="M2101" s="1400">
        <f t="shared" si="517"/>
        <v>0</v>
      </c>
      <c r="N2101" s="1399"/>
      <c r="O2101" s="1400">
        <f t="shared" si="518"/>
        <v>0</v>
      </c>
      <c r="P2101" s="1507"/>
      <c r="Q2101" s="1300">
        <f t="shared" si="519"/>
        <v>0</v>
      </c>
      <c r="R2101" s="1300"/>
      <c r="S2101" s="1300"/>
    </row>
    <row r="2102" spans="1:19" s="1081" customFormat="1" hidden="1" outlineLevel="1">
      <c r="A2102" s="1072" t="str">
        <f t="shared" si="515"/>
        <v/>
      </c>
      <c r="B2102" s="1068" t="s">
        <v>4647</v>
      </c>
      <c r="C2102" s="1291"/>
      <c r="D2102" s="1198">
        <f>VLOOKUP($B2102,dongia1,DG!$B$5,)</f>
        <v>0</v>
      </c>
      <c r="E2102" s="1243" t="str">
        <f>VLOOKUP($B2102,dongia1,DG!$C$5,)</f>
        <v>Boulon 16x750+ 2 long đền vuông D18-50x50x3/Zn</v>
      </c>
      <c r="F2102" s="1198" t="str">
        <f>VLOOKUP($B2102,dongia1,DG!$D$5,)</f>
        <v>bộ</v>
      </c>
      <c r="G2102" s="1508">
        <f>+G2089*2</f>
        <v>0</v>
      </c>
      <c r="H2102" s="1399">
        <f>VLOOKUP($B2102,dongia1,DG!$F$5,)</f>
        <v>42400</v>
      </c>
      <c r="I2102" s="1467"/>
      <c r="J2102" s="1399"/>
      <c r="K2102" s="1399">
        <f>VLOOKUP($B2102,dongia1,DG!$H$5,)</f>
        <v>0</v>
      </c>
      <c r="L2102" s="1400">
        <f t="shared" si="516"/>
        <v>0</v>
      </c>
      <c r="M2102" s="1400">
        <f t="shared" si="517"/>
        <v>0</v>
      </c>
      <c r="N2102" s="1399"/>
      <c r="O2102" s="1400">
        <f t="shared" si="518"/>
        <v>0</v>
      </c>
      <c r="P2102" s="1507"/>
      <c r="Q2102" s="1300">
        <f t="shared" si="519"/>
        <v>0</v>
      </c>
      <c r="R2102" s="1300"/>
      <c r="S2102" s="1300"/>
    </row>
    <row r="2103" spans="1:19" s="1081" customFormat="1" hidden="1" outlineLevel="1">
      <c r="A2103" s="1072" t="str">
        <f t="shared" si="515"/>
        <v/>
      </c>
      <c r="B2103" s="1068" t="s">
        <v>1039</v>
      </c>
      <c r="C2103" s="1291"/>
      <c r="D2103" s="1198">
        <f>VLOOKUP($B2103,dongia1,DG!$B$5,)</f>
        <v>0</v>
      </c>
      <c r="E2103" s="1243" t="str">
        <f>VLOOKUP($B2103,dongia1,DG!$C$5,)</f>
        <v>Boulon 16x400VRS+ 4 long đền vuông D18-50x50x3/Zn</v>
      </c>
      <c r="F2103" s="1198" t="str">
        <f>VLOOKUP($B2103,dongia1,DG!$D$5,)</f>
        <v>bộ</v>
      </c>
      <c r="G2103" s="1508">
        <f>+G2089*4</f>
        <v>0</v>
      </c>
      <c r="H2103" s="1399">
        <f>VLOOKUP($B2103,dongia1,DG!$F$5,)</f>
        <v>34800</v>
      </c>
      <c r="I2103" s="1467"/>
      <c r="J2103" s="1399"/>
      <c r="K2103" s="1399">
        <f>VLOOKUP($B2103,dongia1,DG!$H$5,)</f>
        <v>0</v>
      </c>
      <c r="L2103" s="1400">
        <f t="shared" si="516"/>
        <v>0</v>
      </c>
      <c r="M2103" s="1400">
        <f t="shared" si="517"/>
        <v>0</v>
      </c>
      <c r="N2103" s="1399"/>
      <c r="O2103" s="1400">
        <f t="shared" si="518"/>
        <v>0</v>
      </c>
      <c r="P2103" s="1507"/>
      <c r="Q2103" s="1300">
        <f t="shared" si="519"/>
        <v>0</v>
      </c>
      <c r="R2103" s="1300"/>
      <c r="S2103" s="1300"/>
    </row>
    <row r="2104" spans="1:19" s="1081" customFormat="1" hidden="1" outlineLevel="1">
      <c r="A2104" s="1072" t="str">
        <f t="shared" si="515"/>
        <v/>
      </c>
      <c r="B2104" s="1068" t="s">
        <v>1261</v>
      </c>
      <c r="C2104" s="1291"/>
      <c r="D2104" s="1198">
        <f>VLOOKUP($B2104,dongia1,DG!$B$5,)</f>
        <v>0</v>
      </c>
      <c r="E2104" s="1243" t="str">
        <f>VLOOKUP($B2104,dongia1,DG!$C$5,)</f>
        <v>Boulon 16x250+ 2 long đền vuông D18-50x50x3/Zn</v>
      </c>
      <c r="F2104" s="1198" t="str">
        <f>VLOOKUP($B2104,dongia1,DG!$D$5,)</f>
        <v>bộ</v>
      </c>
      <c r="G2104" s="1508">
        <f>+G2089*6</f>
        <v>0</v>
      </c>
      <c r="H2104" s="1399">
        <f>VLOOKUP($B2104,dongia1,DG!$F$5,)</f>
        <v>13400</v>
      </c>
      <c r="I2104" s="1467"/>
      <c r="J2104" s="1399"/>
      <c r="K2104" s="1399">
        <f>VLOOKUP($B2104,dongia1,DG!$H$5,)</f>
        <v>0</v>
      </c>
      <c r="L2104" s="1400">
        <f t="shared" si="516"/>
        <v>0</v>
      </c>
      <c r="M2104" s="1400">
        <f t="shared" si="517"/>
        <v>0</v>
      </c>
      <c r="N2104" s="1399"/>
      <c r="O2104" s="1400">
        <f t="shared" si="518"/>
        <v>0</v>
      </c>
      <c r="P2104" s="1507"/>
      <c r="Q2104" s="1300">
        <f t="shared" si="519"/>
        <v>0</v>
      </c>
      <c r="R2104" s="1300"/>
      <c r="S2104" s="1300"/>
    </row>
    <row r="2105" spans="1:19" s="1081" customFormat="1" hidden="1" outlineLevel="1">
      <c r="A2105" s="1072" t="str">
        <f t="shared" si="515"/>
        <v/>
      </c>
      <c r="B2105" s="1068" t="s">
        <v>1044</v>
      </c>
      <c r="C2105" s="1291"/>
      <c r="D2105" s="1198">
        <f>VLOOKUP($B2105,dongia1,DG!$B$5,)</f>
        <v>0</v>
      </c>
      <c r="E2105" s="1243" t="str">
        <f>VLOOKUP($B2105,dongia1,DG!$C$5,)</f>
        <v>Boulon 16x50+ 2 long đền vuông D18-50x50x3/Zn</v>
      </c>
      <c r="F2105" s="1198" t="str">
        <f>VLOOKUP($B2105,dongia1,DG!$D$5,)</f>
        <v>bộ</v>
      </c>
      <c r="G2105" s="1508">
        <f>+G2089*12</f>
        <v>0</v>
      </c>
      <c r="H2105" s="1399">
        <f>VLOOKUP($B2105,dongia1,DG!$F$5,)</f>
        <v>12400</v>
      </c>
      <c r="I2105" s="1467"/>
      <c r="J2105" s="1399"/>
      <c r="K2105" s="1399">
        <f>VLOOKUP($B2105,dongia1,DG!$H$5,)</f>
        <v>0</v>
      </c>
      <c r="L2105" s="1400">
        <f t="shared" si="516"/>
        <v>0</v>
      </c>
      <c r="M2105" s="1400">
        <f t="shared" si="517"/>
        <v>0</v>
      </c>
      <c r="N2105" s="1399"/>
      <c r="O2105" s="1400">
        <f t="shared" si="518"/>
        <v>0</v>
      </c>
      <c r="P2105" s="1507"/>
      <c r="Q2105" s="1300">
        <f t="shared" si="519"/>
        <v>0</v>
      </c>
      <c r="R2105" s="1300"/>
      <c r="S2105" s="1300"/>
    </row>
    <row r="2106" spans="1:19" s="1081" customFormat="1" hidden="1" outlineLevel="1">
      <c r="A2106" s="1072" t="str">
        <f t="shared" si="515"/>
        <v/>
      </c>
      <c r="B2106" s="1068" t="s">
        <v>82</v>
      </c>
      <c r="C2106" s="1291"/>
      <c r="D2106" s="1198">
        <f>VLOOKUP($B2106,dongia1,DG!$B$5,)</f>
        <v>0</v>
      </c>
      <c r="E2106" s="1243" t="str">
        <f>VLOOKUP($B2106,dongia1,DG!$C$5,)</f>
        <v>Boulon 16x400+ 2 long đền vuông D18-50x50x3/Zn</v>
      </c>
      <c r="F2106" s="1198" t="str">
        <f>VLOOKUP($B2106,dongia1,DG!$D$5,)</f>
        <v>bộ</v>
      </c>
      <c r="G2106" s="1508"/>
      <c r="H2106" s="1399">
        <f>VLOOKUP($B2106,dongia1,DG!$F$5,)</f>
        <v>29900</v>
      </c>
      <c r="I2106" s="1467"/>
      <c r="J2106" s="1399"/>
      <c r="K2106" s="1399">
        <f>VLOOKUP($B2106,dongia1,DG!$H$5,)</f>
        <v>0</v>
      </c>
      <c r="L2106" s="1400">
        <f t="shared" si="516"/>
        <v>0</v>
      </c>
      <c r="M2106" s="1400">
        <f t="shared" si="517"/>
        <v>0</v>
      </c>
      <c r="N2106" s="1399"/>
      <c r="O2106" s="1400">
        <f t="shared" si="518"/>
        <v>0</v>
      </c>
      <c r="P2106" s="1507"/>
      <c r="Q2106" s="1300">
        <f>L2106/4</f>
        <v>0</v>
      </c>
      <c r="R2106" s="1300"/>
      <c r="S2106" s="1300"/>
    </row>
    <row r="2107" spans="1:19" s="1081" customFormat="1" hidden="1" outlineLevel="1">
      <c r="A2107" s="1072" t="str">
        <f t="shared" si="515"/>
        <v/>
      </c>
      <c r="B2107" s="1068" t="s">
        <v>733</v>
      </c>
      <c r="C2107" s="1291"/>
      <c r="D2107" s="1198">
        <f>VLOOKUP($B2107,dongia1,DG!$B$5,)</f>
        <v>0</v>
      </c>
      <c r="E2107" s="1243" t="str">
        <f>VLOOKUP($B2107,dongia1,DG!$C$5,)</f>
        <v>Boulon 16x350+ 2 long đền vuông D18-50x50x3/Zn</v>
      </c>
      <c r="F2107" s="1198" t="str">
        <f>VLOOKUP($B2107,dongia1,DG!$D$5,)</f>
        <v>bộ</v>
      </c>
      <c r="G2107" s="1508"/>
      <c r="H2107" s="1399">
        <f>VLOOKUP($B2107,dongia1,DG!$F$5,)</f>
        <v>27900</v>
      </c>
      <c r="I2107" s="1467"/>
      <c r="J2107" s="1399"/>
      <c r="K2107" s="1399">
        <f>VLOOKUP($B2107,dongia1,DG!$H$5,)</f>
        <v>0</v>
      </c>
      <c r="L2107" s="1400">
        <f>H2107*G2107</f>
        <v>0</v>
      </c>
      <c r="M2107" s="1400">
        <f t="shared" si="517"/>
        <v>0</v>
      </c>
      <c r="N2107" s="1399"/>
      <c r="O2107" s="1400">
        <f t="shared" si="518"/>
        <v>0</v>
      </c>
      <c r="P2107" s="1507"/>
      <c r="Q2107" s="1300"/>
      <c r="R2107" s="1300"/>
      <c r="S2107" s="1300"/>
    </row>
    <row r="2108" spans="1:19" s="1081" customFormat="1" hidden="1" outlineLevel="1">
      <c r="A2108" s="1072" t="str">
        <f>IF(G2108&lt;&gt;0,1,"")</f>
        <v/>
      </c>
      <c r="B2108" s="1066" t="s">
        <v>4552</v>
      </c>
      <c r="C2108" s="1291"/>
      <c r="D2108" s="1198" t="str">
        <f>VLOOKUP($B2108,dongia1,DG!$B$5,)</f>
        <v>T4.9302</v>
      </c>
      <c r="E2108" s="1243" t="str">
        <f>VLOOKUP($B2108,dongia1,DG!$C$5,)</f>
        <v>Lắp xà thép trong phạm vi trạm</v>
      </c>
      <c r="F2108" s="1198" t="str">
        <f>VLOOKUP($B2108,dongia1,DG!$D$5,)</f>
        <v>kg</v>
      </c>
      <c r="G2108" s="1508">
        <f>SUM(G2091:G2100)</f>
        <v>0</v>
      </c>
      <c r="H2108" s="1399">
        <f>VLOOKUP($B2108,dongia1,DG!$F$5,)</f>
        <v>0</v>
      </c>
      <c r="I2108" s="1467"/>
      <c r="J2108" s="1399">
        <f>VLOOKUP($B2108,dongia1,DG!$G$5,)</f>
        <v>2025</v>
      </c>
      <c r="K2108" s="1399">
        <f>VLOOKUP($B2108,dongia1,DG!$H$5,)</f>
        <v>0</v>
      </c>
      <c r="L2108" s="1400">
        <f>H2108*G2108</f>
        <v>0</v>
      </c>
      <c r="M2108" s="1400">
        <f t="shared" si="517"/>
        <v>0</v>
      </c>
      <c r="N2108" s="1298">
        <f>J2108*G2108</f>
        <v>0</v>
      </c>
      <c r="O2108" s="1400">
        <f t="shared" si="518"/>
        <v>0</v>
      </c>
      <c r="P2108" s="1507"/>
      <c r="Q2108" s="1300"/>
      <c r="R2108" s="1300"/>
      <c r="S2108" s="1300"/>
    </row>
    <row r="2109" spans="1:19" s="1081" customFormat="1" hidden="1" outlineLevel="1">
      <c r="A2109" s="1072" t="str">
        <f>IF(G2109&lt;&gt;0,1,"")</f>
        <v/>
      </c>
      <c r="B2109" s="1295"/>
      <c r="C2109" s="1291">
        <f>IF(G2109&gt;0,C2089+1,C2085)</f>
        <v>0</v>
      </c>
      <c r="D2109" s="1292"/>
      <c r="E2109" s="1468" t="s">
        <v>4672</v>
      </c>
      <c r="F2109" s="1291" t="s">
        <v>2113</v>
      </c>
      <c r="G2109" s="1509">
        <f>+G2057*1</f>
        <v>0</v>
      </c>
      <c r="H2109" s="1467"/>
      <c r="I2109" s="1467"/>
      <c r="J2109" s="1467"/>
      <c r="K2109" s="1467"/>
      <c r="L2109" s="1400">
        <f t="shared" ref="L2109:L2135" si="520">H2109*G2109</f>
        <v>0</v>
      </c>
      <c r="M2109" s="1400">
        <f t="shared" si="517"/>
        <v>0</v>
      </c>
      <c r="N2109" s="1400">
        <f t="shared" ref="N2109:N2115" si="521">J2109*G2109</f>
        <v>0</v>
      </c>
      <c r="O2109" s="1400">
        <f t="shared" si="518"/>
        <v>0</v>
      </c>
      <c r="P2109" s="1507"/>
      <c r="Q2109" s="1300"/>
      <c r="R2109" s="1300"/>
      <c r="S2109" s="1300"/>
    </row>
    <row r="2110" spans="1:19" s="1081" customFormat="1" ht="14.4" hidden="1" outlineLevel="1">
      <c r="A2110" s="1072" t="str">
        <f>A2109</f>
        <v/>
      </c>
      <c r="B2110" s="1295"/>
      <c r="C2110" s="1291"/>
      <c r="D2110" s="1292"/>
      <c r="E2110" s="1301" t="s">
        <v>3399</v>
      </c>
      <c r="F2110" s="1302"/>
      <c r="G2110" s="1508"/>
      <c r="H2110" s="1467"/>
      <c r="I2110" s="1467"/>
      <c r="J2110" s="1467"/>
      <c r="K2110" s="1467"/>
      <c r="L2110" s="1400">
        <f t="shared" si="520"/>
        <v>0</v>
      </c>
      <c r="M2110" s="1400">
        <f t="shared" si="517"/>
        <v>0</v>
      </c>
      <c r="N2110" s="1400">
        <f t="shared" si="521"/>
        <v>0</v>
      </c>
      <c r="O2110" s="1400">
        <f t="shared" si="518"/>
        <v>0</v>
      </c>
      <c r="P2110" s="1507"/>
      <c r="Q2110" s="1300"/>
      <c r="R2110" s="1300"/>
      <c r="S2110" s="1300"/>
    </row>
    <row r="2111" spans="1:19" s="1081" customFormat="1" hidden="1" outlineLevel="1">
      <c r="A2111" s="1072" t="str">
        <f t="shared" ref="A2111:A2117" si="522">IF(G2111&lt;&gt;0,1,"")</f>
        <v/>
      </c>
      <c r="B2111" s="1067" t="s">
        <v>2115</v>
      </c>
      <c r="C2111" s="1291"/>
      <c r="D2111" s="1198">
        <f>VLOOKUP($B2111,dongia1,DG!$B$5,)</f>
        <v>0</v>
      </c>
      <c r="E2111" s="1243" t="str">
        <f>VLOOKUP($B2111,dongia1,DG!$C$5,)</f>
        <v>Đà Composite 110x80x5x2400</v>
      </c>
      <c r="F2111" s="1198" t="str">
        <f>VLOOKUP($B2111,dongia1,DG!$D$5,)</f>
        <v>cây</v>
      </c>
      <c r="G2111" s="1508">
        <f>+G2109*1</f>
        <v>0</v>
      </c>
      <c r="H2111" s="1399">
        <f>VLOOKUP($B2111,dongia1,DG!$F$5,)</f>
        <v>960000</v>
      </c>
      <c r="I2111" s="1399"/>
      <c r="J2111" s="1399">
        <v>0</v>
      </c>
      <c r="K2111" s="1399">
        <v>0</v>
      </c>
      <c r="L2111" s="1400">
        <f t="shared" si="520"/>
        <v>0</v>
      </c>
      <c r="M2111" s="1400">
        <f t="shared" si="517"/>
        <v>0</v>
      </c>
      <c r="N2111" s="1400">
        <f t="shared" si="521"/>
        <v>0</v>
      </c>
      <c r="O2111" s="1400">
        <f t="shared" si="518"/>
        <v>0</v>
      </c>
      <c r="P2111" s="1507"/>
      <c r="Q2111" s="1300"/>
      <c r="R2111" s="1300"/>
      <c r="S2111" s="1300"/>
    </row>
    <row r="2112" spans="1:19" s="1081" customFormat="1" hidden="1" outlineLevel="1">
      <c r="A2112" s="1072" t="str">
        <f t="shared" si="522"/>
        <v/>
      </c>
      <c r="B2112" s="1067" t="s">
        <v>2106</v>
      </c>
      <c r="C2112" s="1291"/>
      <c r="D2112" s="1198">
        <f>VLOOKUP($B2112,dongia1,DG!$B$5,)</f>
        <v>0</v>
      </c>
      <c r="E2112" s="1243" t="str">
        <f>VLOOKUP($B2112,dongia1,DG!$C$5,)</f>
        <v>Chống Composite 40x10x920</v>
      </c>
      <c r="F2112" s="1198" t="str">
        <f>VLOOKUP($B2112,dongia1,DG!$D$5,)</f>
        <v>Thanh</v>
      </c>
      <c r="G2112" s="1508">
        <f>+G2109*2</f>
        <v>0</v>
      </c>
      <c r="H2112" s="1399">
        <f>VLOOKUP($B2112,dongia1,DG!$F$5,)</f>
        <v>140000</v>
      </c>
      <c r="I2112" s="1399"/>
      <c r="J2112" s="1399">
        <v>0</v>
      </c>
      <c r="K2112" s="1399">
        <v>0</v>
      </c>
      <c r="L2112" s="1400">
        <f t="shared" si="520"/>
        <v>0</v>
      </c>
      <c r="M2112" s="1400">
        <f t="shared" si="517"/>
        <v>0</v>
      </c>
      <c r="N2112" s="1400">
        <f t="shared" si="521"/>
        <v>0</v>
      </c>
      <c r="O2112" s="1400">
        <f t="shared" si="518"/>
        <v>0</v>
      </c>
      <c r="P2112" s="1507"/>
      <c r="Q2112" s="1300"/>
      <c r="R2112" s="1300"/>
      <c r="S2112" s="1300"/>
    </row>
    <row r="2113" spans="1:19" s="1081" customFormat="1" hidden="1" outlineLevel="1">
      <c r="A2113" s="1072" t="str">
        <f t="shared" si="522"/>
        <v/>
      </c>
      <c r="B2113" s="1073" t="s">
        <v>428</v>
      </c>
      <c r="C2113" s="1291"/>
      <c r="D2113" s="1198">
        <f>VLOOKUP($B2113,dongia1,DG!$B$5,)</f>
        <v>0</v>
      </c>
      <c r="E2113" s="1243" t="str">
        <f>VLOOKUP($B2113,dongia1,DG!$C$5,)</f>
        <v>Bass LL bắt FCO và LA</v>
      </c>
      <c r="F2113" s="1198" t="str">
        <f>VLOOKUP($B2113,dongia1,DG!$D$5,)</f>
        <v>bộ</v>
      </c>
      <c r="G2113" s="1508">
        <f>+G2109*3</f>
        <v>0</v>
      </c>
      <c r="H2113" s="1399">
        <f>VLOOKUP($B2113,dongia1,DG!$F$5,)</f>
        <v>65000</v>
      </c>
      <c r="I2113" s="1399">
        <v>0</v>
      </c>
      <c r="J2113" s="1399">
        <v>0</v>
      </c>
      <c r="K2113" s="1399">
        <v>0</v>
      </c>
      <c r="L2113" s="1400">
        <f t="shared" si="520"/>
        <v>0</v>
      </c>
      <c r="M2113" s="1400">
        <f t="shared" si="517"/>
        <v>0</v>
      </c>
      <c r="N2113" s="1400">
        <f t="shared" si="521"/>
        <v>0</v>
      </c>
      <c r="O2113" s="1400">
        <f t="shared" si="518"/>
        <v>0</v>
      </c>
      <c r="P2113" s="1507"/>
      <c r="Q2113" s="1300"/>
      <c r="R2113" s="1300"/>
      <c r="S2113" s="1300"/>
    </row>
    <row r="2114" spans="1:19" s="1081" customFormat="1" hidden="1" outlineLevel="1">
      <c r="A2114" s="1072" t="str">
        <f t="shared" si="522"/>
        <v/>
      </c>
      <c r="B2114" s="1295" t="s">
        <v>4673</v>
      </c>
      <c r="C2114" s="1291"/>
      <c r="D2114" s="1198">
        <f>VLOOKUP($B2114,dongia1,DG!$B$5,)</f>
        <v>0</v>
      </c>
      <c r="E2114" s="1243" t="str">
        <f>VLOOKUP($B2114,dongia1,DG!$C$5,)</f>
        <v>Boulon 16x400+ 2 long đền vuông D18-50x50x3/Zn</v>
      </c>
      <c r="F2114" s="1198" t="str">
        <f>VLOOKUP($B2114,dongia1,DG!$D$5,)</f>
        <v>bộ</v>
      </c>
      <c r="G2114" s="1508">
        <f>+G2109*2</f>
        <v>0</v>
      </c>
      <c r="H2114" s="1399">
        <f>VLOOKUP($B2114,dongia1,DG!$F$5,)</f>
        <v>29900</v>
      </c>
      <c r="I2114" s="1467"/>
      <c r="J2114" s="1399">
        <v>0</v>
      </c>
      <c r="K2114" s="1399">
        <v>0</v>
      </c>
      <c r="L2114" s="1400">
        <f t="shared" si="520"/>
        <v>0</v>
      </c>
      <c r="M2114" s="1400">
        <f t="shared" si="517"/>
        <v>0</v>
      </c>
      <c r="N2114" s="1400">
        <f t="shared" si="521"/>
        <v>0</v>
      </c>
      <c r="O2114" s="1400">
        <f t="shared" si="518"/>
        <v>0</v>
      </c>
      <c r="P2114" s="1507"/>
      <c r="Q2114" s="1300"/>
      <c r="R2114" s="1300"/>
      <c r="S2114" s="1300"/>
    </row>
    <row r="2115" spans="1:19" s="1081" customFormat="1" hidden="1" outlineLevel="1">
      <c r="A2115" s="1072" t="str">
        <f t="shared" si="522"/>
        <v/>
      </c>
      <c r="B2115" s="1295" t="s">
        <v>4674</v>
      </c>
      <c r="C2115" s="1291"/>
      <c r="D2115" s="1198">
        <f>VLOOKUP($B2115,dongia1,DG!$B$5,)</f>
        <v>0</v>
      </c>
      <c r="E2115" s="1243" t="str">
        <f>VLOOKUP($B2115,dongia1,DG!$C$5,)</f>
        <v>Boulon 16x100+ 2 long đền vuông D18-50x50x3/Zn</v>
      </c>
      <c r="F2115" s="1198" t="str">
        <f>VLOOKUP($B2115,dongia1,DG!$D$5,)</f>
        <v>bộ</v>
      </c>
      <c r="G2115" s="1508">
        <f>+G2109*2</f>
        <v>0</v>
      </c>
      <c r="H2115" s="1399">
        <f>VLOOKUP($B2115,dongia1,DG!$F$5,)</f>
        <v>17400</v>
      </c>
      <c r="I2115" s="1467"/>
      <c r="J2115" s="1399">
        <v>0</v>
      </c>
      <c r="K2115" s="1399">
        <v>0</v>
      </c>
      <c r="L2115" s="1400">
        <f t="shared" si="520"/>
        <v>0</v>
      </c>
      <c r="M2115" s="1400">
        <f t="shared" si="517"/>
        <v>0</v>
      </c>
      <c r="N2115" s="1400">
        <f t="shared" si="521"/>
        <v>0</v>
      </c>
      <c r="O2115" s="1400">
        <f t="shared" si="518"/>
        <v>0</v>
      </c>
      <c r="P2115" s="1507"/>
      <c r="Q2115" s="1300"/>
      <c r="R2115" s="1300"/>
      <c r="S2115" s="1300"/>
    </row>
    <row r="2116" spans="1:19" s="1081" customFormat="1" hidden="1" outlineLevel="1">
      <c r="A2116" s="1072" t="str">
        <f t="shared" si="522"/>
        <v/>
      </c>
      <c r="B2116" s="1066" t="s">
        <v>4554</v>
      </c>
      <c r="C2116" s="1291"/>
      <c r="D2116" s="1198" t="str">
        <f>VLOOKUP($B2116,dongia1,DG!$B$5,)</f>
        <v>D2.6011</v>
      </c>
      <c r="E2116" s="1243" t="str">
        <f>VLOOKUP($B2116,dongia1,DG!$C$5,)</f>
        <v>Lắp xà đỡ 15kg</v>
      </c>
      <c r="F2116" s="1198" t="str">
        <f>VLOOKUP($B2116,dongia1,DG!$D$5,)</f>
        <v>bộ</v>
      </c>
      <c r="G2116" s="1508">
        <f>+G2109</f>
        <v>0</v>
      </c>
      <c r="H2116" s="1298">
        <f>VLOOKUP($B2116,dongia1,DG!$F$5,)</f>
        <v>0</v>
      </c>
      <c r="I2116" s="1399"/>
      <c r="J2116" s="1399">
        <f>VLOOKUP($B2116,dongia1,DG!$G$5,)</f>
        <v>131511.15</v>
      </c>
      <c r="K2116" s="1399"/>
      <c r="L2116" s="1400">
        <f t="shared" si="520"/>
        <v>0</v>
      </c>
      <c r="M2116" s="1400"/>
      <c r="N2116" s="1298">
        <f t="shared" ref="N2116:N2123" si="523">J2116*G2116</f>
        <v>0</v>
      </c>
      <c r="O2116" s="1400"/>
      <c r="P2116" s="1507"/>
      <c r="Q2116" s="1300"/>
      <c r="R2116" s="1300"/>
      <c r="S2116" s="1300"/>
    </row>
    <row r="2117" spans="1:19" s="1081" customFormat="1" hidden="1" outlineLevel="1">
      <c r="A2117" s="1072" t="str">
        <f t="shared" si="522"/>
        <v/>
      </c>
      <c r="B2117" s="1295"/>
      <c r="C2117" s="1291">
        <f>IF(G2117&gt;0,C2089+2,C2089)</f>
        <v>0</v>
      </c>
      <c r="D2117" s="1292"/>
      <c r="E2117" s="1468" t="s">
        <v>4675</v>
      </c>
      <c r="F2117" s="1291" t="s">
        <v>2113</v>
      </c>
      <c r="G2117" s="1509">
        <f>G2057*1</f>
        <v>0</v>
      </c>
      <c r="H2117" s="1467"/>
      <c r="I2117" s="1467"/>
      <c r="J2117" s="1467"/>
      <c r="K2117" s="1467"/>
      <c r="L2117" s="1400">
        <f t="shared" si="520"/>
        <v>0</v>
      </c>
      <c r="M2117" s="1400">
        <f t="shared" ref="M2117:M2122" si="524">I2117*G2117</f>
        <v>0</v>
      </c>
      <c r="N2117" s="1400">
        <f t="shared" si="523"/>
        <v>0</v>
      </c>
      <c r="O2117" s="1400">
        <f t="shared" ref="O2117:O2122" si="525">K2117*G2117</f>
        <v>0</v>
      </c>
      <c r="P2117" s="1507"/>
      <c r="Q2117" s="1300"/>
      <c r="R2117" s="1300"/>
      <c r="S2117" s="1300"/>
    </row>
    <row r="2118" spans="1:19" s="1081" customFormat="1" ht="14.4" hidden="1" outlineLevel="1">
      <c r="A2118" s="1072" t="str">
        <f>A2117</f>
        <v/>
      </c>
      <c r="B2118" s="1295"/>
      <c r="C2118" s="1291"/>
      <c r="D2118" s="1292"/>
      <c r="E2118" s="1301" t="s">
        <v>3399</v>
      </c>
      <c r="F2118" s="1302"/>
      <c r="G2118" s="1508"/>
      <c r="H2118" s="1467"/>
      <c r="I2118" s="1467"/>
      <c r="J2118" s="1467"/>
      <c r="K2118" s="1467"/>
      <c r="L2118" s="1400">
        <f t="shared" si="520"/>
        <v>0</v>
      </c>
      <c r="M2118" s="1400">
        <f t="shared" si="524"/>
        <v>0</v>
      </c>
      <c r="N2118" s="1400">
        <f t="shared" si="523"/>
        <v>0</v>
      </c>
      <c r="O2118" s="1400">
        <f t="shared" si="525"/>
        <v>0</v>
      </c>
      <c r="P2118" s="1507"/>
      <c r="Q2118" s="1300"/>
      <c r="R2118" s="1300"/>
      <c r="S2118" s="1300"/>
    </row>
    <row r="2119" spans="1:19" s="1081" customFormat="1" hidden="1" outlineLevel="1">
      <c r="A2119" s="1072" t="str">
        <f t="shared" ref="A2119:A2124" si="526">IF(G2119&lt;&gt;0,1,"")</f>
        <v/>
      </c>
      <c r="B2119" s="1068" t="s">
        <v>1626</v>
      </c>
      <c r="C2119" s="1291"/>
      <c r="D2119" s="1198">
        <f>VLOOKUP($B2119,dongia1,DG!$B$5,)</f>
        <v>0</v>
      </c>
      <c r="E2119" s="1243" t="str">
        <f>VLOOKUP($B2119,dongia1,DG!$C$5,)</f>
        <v>Sắt góc L75 x75 x8</v>
      </c>
      <c r="F2119" s="1198" t="str">
        <f>VLOOKUP($B2119,dongia1,DG!$D$5,)</f>
        <v>kg</v>
      </c>
      <c r="G2119" s="1508">
        <f>G2117*9.02*(2.2+4*0.07)</f>
        <v>0</v>
      </c>
      <c r="H2119" s="1298">
        <f>VLOOKUP($B2119,dongia1,DG!$F$5,)</f>
        <v>31625</v>
      </c>
      <c r="I2119" s="1399"/>
      <c r="J2119" s="1399">
        <v>0</v>
      </c>
      <c r="K2119" s="1399">
        <v>0</v>
      </c>
      <c r="L2119" s="1400">
        <f t="shared" si="520"/>
        <v>0</v>
      </c>
      <c r="M2119" s="1400">
        <f t="shared" si="524"/>
        <v>0</v>
      </c>
      <c r="N2119" s="1400">
        <f t="shared" si="523"/>
        <v>0</v>
      </c>
      <c r="O2119" s="1400">
        <f t="shared" si="525"/>
        <v>0</v>
      </c>
      <c r="P2119" s="1507"/>
      <c r="Q2119" s="1300"/>
      <c r="R2119" s="1300"/>
      <c r="S2119" s="1300"/>
    </row>
    <row r="2120" spans="1:19" s="1081" customFormat="1" hidden="1" outlineLevel="1">
      <c r="A2120" s="1072" t="str">
        <f t="shared" si="526"/>
        <v/>
      </c>
      <c r="B2120" s="1068" t="s">
        <v>518</v>
      </c>
      <c r="C2120" s="1291"/>
      <c r="D2120" s="1198">
        <f>VLOOKUP($B2120,dongia1,DG!$B$5,)</f>
        <v>0</v>
      </c>
      <c r="E2120" s="1243" t="str">
        <f>VLOOKUP($B2120,dongia1,DG!$C$5,)</f>
        <v>Sắt góc L50 x50 x5</v>
      </c>
      <c r="F2120" s="1198" t="str">
        <f>VLOOKUP($B2120,dongia1,DG!$D$5,)</f>
        <v>kg</v>
      </c>
      <c r="G2120" s="1508">
        <f>G2117*3.77*0.92*2</f>
        <v>0</v>
      </c>
      <c r="H2120" s="1298">
        <f>VLOOKUP($B2120,dongia1,DG!$F$5,)</f>
        <v>31625</v>
      </c>
      <c r="I2120" s="1399"/>
      <c r="J2120" s="1399">
        <v>0</v>
      </c>
      <c r="K2120" s="1399">
        <v>0</v>
      </c>
      <c r="L2120" s="1400">
        <f t="shared" si="520"/>
        <v>0</v>
      </c>
      <c r="M2120" s="1400">
        <f t="shared" si="524"/>
        <v>0</v>
      </c>
      <c r="N2120" s="1400">
        <f t="shared" si="523"/>
        <v>0</v>
      </c>
      <c r="O2120" s="1400">
        <f t="shared" si="525"/>
        <v>0</v>
      </c>
      <c r="P2120" s="1507"/>
      <c r="Q2120" s="1300"/>
      <c r="R2120" s="1300"/>
      <c r="S2120" s="1300"/>
    </row>
    <row r="2121" spans="1:19" s="1081" customFormat="1" hidden="1" outlineLevel="1">
      <c r="A2121" s="1072" t="str">
        <f t="shared" si="526"/>
        <v/>
      </c>
      <c r="B2121" s="1068" t="s">
        <v>1262</v>
      </c>
      <c r="C2121" s="1291"/>
      <c r="D2121" s="1198">
        <f>VLOOKUP($B2121,dongia1,DG!$B$5,)</f>
        <v>0</v>
      </c>
      <c r="E2121" s="1243" t="str">
        <f>VLOOKUP($B2121,dongia1,DG!$C$5,)</f>
        <v>Boulon 16x300+ 2 long đền vuông D18-50x50x3/Zn</v>
      </c>
      <c r="F2121" s="1198" t="str">
        <f>VLOOKUP($B2121,dongia1,DG!$D$5,)</f>
        <v>bộ</v>
      </c>
      <c r="G2121" s="1508">
        <f>+G2117*2</f>
        <v>0</v>
      </c>
      <c r="H2121" s="1298">
        <f>VLOOKUP($B2121,dongia1,DG!$F$5,)</f>
        <v>25400</v>
      </c>
      <c r="I2121" s="1399"/>
      <c r="J2121" s="1399">
        <v>0</v>
      </c>
      <c r="K2121" s="1399">
        <v>0</v>
      </c>
      <c r="L2121" s="1400">
        <f t="shared" si="520"/>
        <v>0</v>
      </c>
      <c r="M2121" s="1400">
        <f t="shared" si="524"/>
        <v>0</v>
      </c>
      <c r="N2121" s="1400">
        <f t="shared" si="523"/>
        <v>0</v>
      </c>
      <c r="O2121" s="1400">
        <f t="shared" si="525"/>
        <v>0</v>
      </c>
      <c r="P2121" s="1507"/>
      <c r="Q2121" s="1300"/>
      <c r="R2121" s="1300"/>
      <c r="S2121" s="1300"/>
    </row>
    <row r="2122" spans="1:19" s="1081" customFormat="1" hidden="1" outlineLevel="1">
      <c r="A2122" s="1072" t="str">
        <f t="shared" si="526"/>
        <v/>
      </c>
      <c r="B2122" s="1068" t="s">
        <v>1044</v>
      </c>
      <c r="C2122" s="1291"/>
      <c r="D2122" s="1198">
        <f>VLOOKUP($B2122,dongia1,DG!$B$5,)</f>
        <v>0</v>
      </c>
      <c r="E2122" s="1243" t="str">
        <f>VLOOKUP($B2122,dongia1,DG!$C$5,)</f>
        <v>Boulon 16x50+ 2 long đền vuông D18-50x50x3/Zn</v>
      </c>
      <c r="F2122" s="1198" t="str">
        <f>VLOOKUP($B2122,dongia1,DG!$D$5,)</f>
        <v>bộ</v>
      </c>
      <c r="G2122" s="1508">
        <f>G2117*2</f>
        <v>0</v>
      </c>
      <c r="H2122" s="1298">
        <f>VLOOKUP($B2122,dongia1,DG!$F$5,)</f>
        <v>12400</v>
      </c>
      <c r="I2122" s="1399"/>
      <c r="J2122" s="1399">
        <v>0</v>
      </c>
      <c r="K2122" s="1399">
        <v>0</v>
      </c>
      <c r="L2122" s="1400">
        <f t="shared" si="520"/>
        <v>0</v>
      </c>
      <c r="M2122" s="1400">
        <f t="shared" si="524"/>
        <v>0</v>
      </c>
      <c r="N2122" s="1400">
        <f t="shared" si="523"/>
        <v>0</v>
      </c>
      <c r="O2122" s="1400">
        <f t="shared" si="525"/>
        <v>0</v>
      </c>
      <c r="P2122" s="1507"/>
      <c r="Q2122" s="1300"/>
      <c r="R2122" s="1300"/>
      <c r="S2122" s="1300"/>
    </row>
    <row r="2123" spans="1:19" s="1081" customFormat="1" hidden="1" outlineLevel="1">
      <c r="A2123" s="1072" t="str">
        <f t="shared" si="526"/>
        <v/>
      </c>
      <c r="B2123" s="1066" t="s">
        <v>4552</v>
      </c>
      <c r="C2123" s="1291"/>
      <c r="D2123" s="1198" t="str">
        <f>VLOOKUP($B2123,dongia1,DG!$B$5,)</f>
        <v>T4.9302</v>
      </c>
      <c r="E2123" s="1243" t="str">
        <f>VLOOKUP($B2123,dongia1,DG!$C$5,)</f>
        <v>Lắp xà thép trong phạm vi trạm</v>
      </c>
      <c r="F2123" s="1198" t="str">
        <f>VLOOKUP($B2123,dongia1,DG!$D$5,)</f>
        <v>kg</v>
      </c>
      <c r="G2123" s="1508">
        <f>SUM(G2119:G2120)</f>
        <v>0</v>
      </c>
      <c r="H2123" s="1298">
        <f>VLOOKUP($B2123,dongia1,DG!$F$5,)</f>
        <v>0</v>
      </c>
      <c r="I2123" s="1399"/>
      <c r="J2123" s="1399">
        <f>VLOOKUP($B2123,dongia1,DG!$G$5,)</f>
        <v>2025</v>
      </c>
      <c r="K2123" s="1399"/>
      <c r="L2123" s="1400">
        <f t="shared" si="520"/>
        <v>0</v>
      </c>
      <c r="M2123" s="1400"/>
      <c r="N2123" s="1298">
        <f t="shared" si="523"/>
        <v>0</v>
      </c>
      <c r="O2123" s="1400"/>
      <c r="P2123" s="1507"/>
      <c r="Q2123" s="1300"/>
      <c r="R2123" s="1300"/>
      <c r="S2123" s="1300"/>
    </row>
    <row r="2124" spans="1:19" s="1081" customFormat="1" hidden="1" outlineLevel="1">
      <c r="A2124" s="1072" t="str">
        <f t="shared" si="526"/>
        <v/>
      </c>
      <c r="B2124" s="1295"/>
      <c r="C2124" s="1291">
        <f>IF(G2124&gt;0,C2117+1,C2117)</f>
        <v>0</v>
      </c>
      <c r="D2124" s="1292"/>
      <c r="E2124" s="1468" t="s">
        <v>3440</v>
      </c>
      <c r="F2124" s="1291" t="s">
        <v>2113</v>
      </c>
      <c r="G2124" s="1509">
        <f>G2057</f>
        <v>0</v>
      </c>
      <c r="H2124" s="1298"/>
      <c r="I2124" s="1298"/>
      <c r="J2124" s="1298"/>
      <c r="K2124" s="1298"/>
      <c r="L2124" s="1298">
        <f t="shared" si="520"/>
        <v>0</v>
      </c>
      <c r="M2124" s="1298">
        <f>I2124*G2124</f>
        <v>0</v>
      </c>
      <c r="N2124" s="1298">
        <f t="shared" ref="N2124:N2135" si="527">J2124*G2124</f>
        <v>0</v>
      </c>
      <c r="O2124" s="1298">
        <f>K2124*G2124</f>
        <v>0</v>
      </c>
      <c r="P2124" s="1499"/>
      <c r="Q2124" s="1300"/>
      <c r="R2124" s="1300"/>
      <c r="S2124" s="1300"/>
    </row>
    <row r="2125" spans="1:19" s="1081" customFormat="1" ht="14.4" hidden="1" outlineLevel="1">
      <c r="A2125" s="1072" t="str">
        <f>+A2124</f>
        <v/>
      </c>
      <c r="B2125" s="1469"/>
      <c r="C2125" s="1291"/>
      <c r="D2125" s="1292"/>
      <c r="E2125" s="1301" t="s">
        <v>3399</v>
      </c>
      <c r="F2125" s="1302"/>
      <c r="G2125" s="1508"/>
      <c r="H2125" s="1298"/>
      <c r="I2125" s="1298"/>
      <c r="J2125" s="1298"/>
      <c r="K2125" s="1298"/>
      <c r="L2125" s="1298">
        <f t="shared" si="520"/>
        <v>0</v>
      </c>
      <c r="M2125" s="1298">
        <f>I2125*G2125</f>
        <v>0</v>
      </c>
      <c r="N2125" s="1298">
        <f t="shared" si="527"/>
        <v>0</v>
      </c>
      <c r="O2125" s="1298">
        <f>K2125*G2125</f>
        <v>0</v>
      </c>
      <c r="P2125" s="1499"/>
      <c r="Q2125" s="1300"/>
      <c r="R2125" s="1300"/>
      <c r="S2125" s="1300"/>
    </row>
    <row r="2126" spans="1:19" s="1081" customFormat="1" hidden="1" outlineLevel="1">
      <c r="A2126" s="1072" t="str">
        <f t="shared" ref="A2126:A2135" si="528">IF(G2126&lt;&gt;0,1,"")</f>
        <v/>
      </c>
      <c r="B2126" s="1295" t="s">
        <v>1200</v>
      </c>
      <c r="C2126" s="1291"/>
      <c r="D2126" s="1198">
        <f>VLOOKUP($B2126,dongia1,DG!$B$5,)</f>
        <v>0</v>
      </c>
      <c r="E2126" s="1243" t="str">
        <f>VLOOKUP($B2126,dongia1,DG!$C$5,)</f>
        <v>Cáp đồng trần M25mm2</v>
      </c>
      <c r="F2126" s="1198" t="str">
        <f>VLOOKUP($B2126,dongia1,DG!$D$5,)</f>
        <v>kg</v>
      </c>
      <c r="G2126" s="1508">
        <f>($H$3+20)*0.224*G2124</f>
        <v>0</v>
      </c>
      <c r="H2126" s="1298">
        <f>VLOOKUP($B2126,dongia1,DG!$F$5,)</f>
        <v>255500</v>
      </c>
      <c r="I2126" s="1298"/>
      <c r="J2126" s="1298">
        <f>VLOOKUP($B2126,dongia1,DG!$G$5,)</f>
        <v>0</v>
      </c>
      <c r="K2126" s="1298">
        <f>VLOOKUP($B2126,dongia1,DG!$H$5,)</f>
        <v>0</v>
      </c>
      <c r="L2126" s="1298">
        <f t="shared" si="520"/>
        <v>0</v>
      </c>
      <c r="M2126" s="1298">
        <f>I2126*G2126</f>
        <v>0</v>
      </c>
      <c r="N2126" s="1298">
        <f t="shared" si="527"/>
        <v>0</v>
      </c>
      <c r="O2126" s="1298">
        <f>K2126*G2126</f>
        <v>0</v>
      </c>
      <c r="P2126" s="1499"/>
      <c r="Q2126" s="1300"/>
      <c r="R2126" s="1300"/>
      <c r="S2126" s="1300"/>
    </row>
    <row r="2127" spans="1:19" s="1081" customFormat="1" hidden="1" outlineLevel="1">
      <c r="A2127" s="1072" t="str">
        <f t="shared" si="528"/>
        <v/>
      </c>
      <c r="B2127" s="1068" t="s">
        <v>1098</v>
      </c>
      <c r="C2127" s="1291"/>
      <c r="D2127" s="1198">
        <f>VLOOKUP($B2127,dongia1,DG!$B$5,)</f>
        <v>0</v>
      </c>
      <c r="E2127" s="1243" t="str">
        <f>VLOOKUP($B2127,dongia1,DG!$C$5,)</f>
        <v>Cọc tiếp đất Þ 16- 2,4m + kẹp cọc</v>
      </c>
      <c r="F2127" s="1198" t="str">
        <f>VLOOKUP($B2127,dongia1,DG!$D$5,)</f>
        <v>bộ</v>
      </c>
      <c r="G2127" s="1508">
        <f>$H$2*G2124</f>
        <v>0</v>
      </c>
      <c r="H2127" s="1298">
        <f>VLOOKUP($B2127,dongia1,DG!$F$5,)</f>
        <v>160000</v>
      </c>
      <c r="I2127" s="1298"/>
      <c r="J2127" s="1298">
        <f>VLOOKUP($B2127,dongia1,DG!$G$5,)</f>
        <v>0</v>
      </c>
      <c r="K2127" s="1298">
        <f>VLOOKUP($B2127,dongia1,DG!$H$5,)</f>
        <v>0</v>
      </c>
      <c r="L2127" s="1298">
        <f t="shared" si="520"/>
        <v>0</v>
      </c>
      <c r="M2127" s="1298">
        <f>I2127*G2127</f>
        <v>0</v>
      </c>
      <c r="N2127" s="1298">
        <f t="shared" si="527"/>
        <v>0</v>
      </c>
      <c r="O2127" s="1298">
        <f>K2127*G2127</f>
        <v>0</v>
      </c>
      <c r="P2127" s="1499"/>
      <c r="Q2127" s="1300"/>
      <c r="R2127" s="1300"/>
      <c r="S2127" s="1300"/>
    </row>
    <row r="2128" spans="1:19" s="1081" customFormat="1" hidden="1" outlineLevel="1">
      <c r="A2128" s="1072" t="str">
        <f t="shared" si="528"/>
        <v/>
      </c>
      <c r="B2128" s="1068" t="s">
        <v>2040</v>
      </c>
      <c r="C2128" s="1291"/>
      <c r="D2128" s="1198">
        <f>VLOOKUP($B2128,dongia1,DG!$B$5,)</f>
        <v>0</v>
      </c>
      <c r="E2128" s="1243" t="str">
        <f>VLOOKUP($B2128,dongia1,DG!$C$5,)</f>
        <v xml:space="preserve">Ống PVC D21x1,6mm </v>
      </c>
      <c r="F2128" s="1198" t="str">
        <f>VLOOKUP($B2128,dongia1,DG!$D$5,)</f>
        <v>m</v>
      </c>
      <c r="G2128" s="1508">
        <f>G2124*8*0</f>
        <v>0</v>
      </c>
      <c r="H2128" s="1298">
        <f>VLOOKUP($B2128,dongia1,DG!$F$5,)</f>
        <v>6200</v>
      </c>
      <c r="I2128" s="1298"/>
      <c r="J2128" s="1298">
        <f>VLOOKUP($B2128,dongia1,DG!$G$5,)</f>
        <v>0</v>
      </c>
      <c r="K2128" s="1298">
        <f>VLOOKUP($B2128,dongia1,DG!$H$5,)</f>
        <v>0</v>
      </c>
      <c r="L2128" s="1298">
        <f t="shared" si="520"/>
        <v>0</v>
      </c>
      <c r="M2128" s="1298">
        <f>I2128*G2128</f>
        <v>0</v>
      </c>
      <c r="N2128" s="1298">
        <f t="shared" si="527"/>
        <v>0</v>
      </c>
      <c r="O2128" s="1298">
        <f>K2128*G2128</f>
        <v>0</v>
      </c>
      <c r="P2128" s="1507"/>
      <c r="Q2128" s="1300"/>
      <c r="R2128" s="1300"/>
      <c r="S2128" s="1300"/>
    </row>
    <row r="2129" spans="1:19" s="1081" customFormat="1" hidden="1" outlineLevel="1">
      <c r="A2129" s="1072" t="str">
        <f t="shared" si="528"/>
        <v/>
      </c>
      <c r="B2129" s="1470" t="s">
        <v>205</v>
      </c>
      <c r="C2129" s="1291"/>
      <c r="D2129" s="1198">
        <f>VLOOKUP($B2129,dongia1,DG!$B$5,)</f>
        <v>0</v>
      </c>
      <c r="E2129" s="1243" t="str">
        <f>VLOOKUP($B2129,dongia1,DG!$C$5,)</f>
        <v>Kẹp ép WR cỡ dây 50mm2</v>
      </c>
      <c r="F2129" s="1198" t="str">
        <f>VLOOKUP($B2129,dongia1,DG!$D$5,)</f>
        <v>cái</v>
      </c>
      <c r="G2129" s="1508">
        <f>2*G2124</f>
        <v>0</v>
      </c>
      <c r="H2129" s="1298">
        <f>VLOOKUP($B2129,dongia1,DG!$F$5,)</f>
        <v>8000</v>
      </c>
      <c r="I2129" s="1298"/>
      <c r="J2129" s="1298">
        <f>VLOOKUP($B2129,dongia1,DG!$G$5,)</f>
        <v>0</v>
      </c>
      <c r="K2129" s="1298"/>
      <c r="L2129" s="1298">
        <f t="shared" si="520"/>
        <v>0</v>
      </c>
      <c r="M2129" s="1298"/>
      <c r="N2129" s="1298">
        <f t="shared" si="527"/>
        <v>0</v>
      </c>
      <c r="O2129" s="1298"/>
      <c r="P2129" s="1499"/>
      <c r="Q2129" s="1300"/>
      <c r="R2129" s="1300"/>
      <c r="S2129" s="1300"/>
    </row>
    <row r="2130" spans="1:19" s="1081" customFormat="1" hidden="1" outlineLevel="1">
      <c r="A2130" s="1072" t="str">
        <f t="shared" si="528"/>
        <v/>
      </c>
      <c r="B2130" s="1470" t="s">
        <v>42</v>
      </c>
      <c r="C2130" s="1291"/>
      <c r="D2130" s="1198" t="str">
        <f>VLOOKUP($B2130,dongia1,DG!$B$5,)</f>
        <v>D4.5002</v>
      </c>
      <c r="E2130" s="1243" t="str">
        <f>VLOOKUP($B2130,dongia1,DG!$C$5,)</f>
        <v>Đầu cosse ép Cu 50mm2</v>
      </c>
      <c r="F2130" s="1198" t="str">
        <f>VLOOKUP($B2130,dongia1,DG!$D$5,)</f>
        <v>cái</v>
      </c>
      <c r="G2130" s="1508">
        <f>G2124*14</f>
        <v>0</v>
      </c>
      <c r="H2130" s="1298">
        <f>VLOOKUP($B2130,dongia1,DG!$F$5,)</f>
        <v>9100</v>
      </c>
      <c r="I2130" s="1298"/>
      <c r="J2130" s="1298">
        <f>VLOOKUP($B2130,dongia1,DG!$G$5,)</f>
        <v>10608.955000000002</v>
      </c>
      <c r="K2130" s="1298"/>
      <c r="L2130" s="1298">
        <f t="shared" si="520"/>
        <v>0</v>
      </c>
      <c r="M2130" s="1298"/>
      <c r="N2130" s="1298">
        <f t="shared" si="527"/>
        <v>0</v>
      </c>
      <c r="O2130" s="1298"/>
      <c r="P2130" s="1499"/>
      <c r="Q2130" s="1300"/>
      <c r="R2130" s="1300"/>
      <c r="S2130" s="1300"/>
    </row>
    <row r="2131" spans="1:19" s="1081" customFormat="1" hidden="1" outlineLevel="1">
      <c r="A2131" s="1072" t="str">
        <f t="shared" si="528"/>
        <v/>
      </c>
      <c r="B2131" s="1470" t="s">
        <v>903</v>
      </c>
      <c r="C2131" s="1471"/>
      <c r="D2131" s="1198">
        <f>VLOOKUP($B2131,dongia1,DG!$B$5,)</f>
        <v>0</v>
      </c>
      <c r="E2131" s="1243" t="str">
        <f>VLOOKUP($B2131,dongia1,DG!$C$5,)</f>
        <v>Ốc xiết cáp cỡ 25mm2</v>
      </c>
      <c r="F2131" s="1198" t="str">
        <f>VLOOKUP($B2131,dongia1,DG!$D$5,)</f>
        <v>cái</v>
      </c>
      <c r="G2131" s="1508">
        <f>IF(G2128&lt;=12,15,21)*G2124</f>
        <v>0</v>
      </c>
      <c r="H2131" s="1298">
        <f>VLOOKUP($B2131,dongia1,DG!$F$5,)</f>
        <v>17600</v>
      </c>
      <c r="I2131" s="1298"/>
      <c r="J2131" s="1298">
        <f>VLOOKUP($B2131,dongia1,DG!$G$5,)</f>
        <v>0</v>
      </c>
      <c r="K2131" s="1298"/>
      <c r="L2131" s="1298">
        <f t="shared" si="520"/>
        <v>0</v>
      </c>
      <c r="M2131" s="1298">
        <f>I2131*G2131</f>
        <v>0</v>
      </c>
      <c r="N2131" s="1298">
        <f t="shared" si="527"/>
        <v>0</v>
      </c>
      <c r="O2131" s="1298">
        <f>K2131*G2131</f>
        <v>0</v>
      </c>
      <c r="P2131" s="1499"/>
      <c r="Q2131" s="1300"/>
      <c r="R2131" s="1300"/>
      <c r="S2131" s="1300"/>
    </row>
    <row r="2132" spans="1:19" s="1081" customFormat="1" hidden="1" outlineLevel="1">
      <c r="A2132" s="1072" t="str">
        <f t="shared" si="528"/>
        <v/>
      </c>
      <c r="B2132" s="1068" t="s">
        <v>1490</v>
      </c>
      <c r="C2132" s="1471"/>
      <c r="D2132" s="1198">
        <f>VLOOKUP($B2132,dongia1,DG!$B$5,)</f>
        <v>0</v>
      </c>
      <c r="E2132" s="1243" t="str">
        <f>VLOOKUP($B2132,dongia1,DG!$C$5,)</f>
        <v>Cổ dê kẹp ống PVC (STK) Þ 21</v>
      </c>
      <c r="F2132" s="1198" t="str">
        <f>VLOOKUP($B2132,dongia1,DG!$D$5,)</f>
        <v>bộ</v>
      </c>
      <c r="G2132" s="1508">
        <f>+G2124*4*0</f>
        <v>0</v>
      </c>
      <c r="H2132" s="1298">
        <f>VLOOKUP($B2132,dongia1,DG!$F$5,)</f>
        <v>43000</v>
      </c>
      <c r="I2132" s="1298"/>
      <c r="J2132" s="1298">
        <f>VLOOKUP($B2132,dongia1,DG!$G$5,)</f>
        <v>0</v>
      </c>
      <c r="K2132" s="1298"/>
      <c r="L2132" s="1298">
        <f t="shared" si="520"/>
        <v>0</v>
      </c>
      <c r="M2132" s="1298">
        <f>I2132*G2132</f>
        <v>0</v>
      </c>
      <c r="N2132" s="1298">
        <f t="shared" si="527"/>
        <v>0</v>
      </c>
      <c r="O2132" s="1298">
        <f>K2132*G2132</f>
        <v>0</v>
      </c>
      <c r="P2132" s="1499"/>
      <c r="Q2132" s="1300"/>
      <c r="R2132" s="1300"/>
      <c r="S2132" s="1300"/>
    </row>
    <row r="2133" spans="1:19" s="1081" customFormat="1" hidden="1" outlineLevel="1">
      <c r="A2133" s="1072" t="str">
        <f t="shared" si="528"/>
        <v/>
      </c>
      <c r="B2133" s="1068" t="s">
        <v>211</v>
      </c>
      <c r="C2133" s="1471"/>
      <c r="D2133" s="1198">
        <f>VLOOKUP($B2133,dongia1,DG!$B$5,)</f>
        <v>0</v>
      </c>
      <c r="E2133" s="1243" t="str">
        <f>VLOOKUP($B2133,dongia1,DG!$C$5,)</f>
        <v>Khoan giếng tiếp địa</v>
      </c>
      <c r="F2133" s="1198" t="str">
        <f>VLOOKUP($B2133,dongia1,DG!$D$5,)</f>
        <v>Cái</v>
      </c>
      <c r="G2133" s="1508">
        <f>G2124*2</f>
        <v>0</v>
      </c>
      <c r="H2133" s="1298">
        <f>VLOOKUP($B2133,dongia1,DG!$F$5,)</f>
        <v>0</v>
      </c>
      <c r="I2133" s="1298"/>
      <c r="J2133" s="1298">
        <f>VLOOKUP($B2133,dongia1,DG!$G$5,)</f>
        <v>1500000</v>
      </c>
      <c r="K2133" s="1298"/>
      <c r="L2133" s="1298">
        <f t="shared" si="520"/>
        <v>0</v>
      </c>
      <c r="M2133" s="1298">
        <f>I2133*G2133</f>
        <v>0</v>
      </c>
      <c r="N2133" s="1298">
        <f t="shared" si="527"/>
        <v>0</v>
      </c>
      <c r="O2133" s="1298">
        <f>K2133*G2133</f>
        <v>0</v>
      </c>
      <c r="P2133" s="1499"/>
      <c r="Q2133" s="1300"/>
      <c r="R2133" s="1300"/>
      <c r="S2133" s="1300"/>
    </row>
    <row r="2134" spans="1:19" s="1081" customFormat="1" hidden="1" outlineLevel="1">
      <c r="A2134" s="1072" t="str">
        <f t="shared" si="528"/>
        <v/>
      </c>
      <c r="B2134" s="1068" t="s">
        <v>4483</v>
      </c>
      <c r="C2134" s="1471"/>
      <c r="D2134" s="1198">
        <f>VLOOKUP($B2134,dongia1,DG!$B$5,)</f>
        <v>0</v>
      </c>
      <c r="E2134" s="1243" t="str">
        <f>VLOOKUP($B2134,dongia1,DG!$C$5,)</f>
        <v>Thanh sắt V50x50x5-4000 - 16kg/thanh</v>
      </c>
      <c r="F2134" s="1198" t="str">
        <f>VLOOKUP($B2134,dongia1,DG!$D$5,)</f>
        <v>kg</v>
      </c>
      <c r="G2134" s="1508">
        <f>5*16*G2133</f>
        <v>0</v>
      </c>
      <c r="H2134" s="1298">
        <f>VLOOKUP($B2134,dongia1,DG!$F$5,)</f>
        <v>31625</v>
      </c>
      <c r="I2134" s="1298"/>
      <c r="J2134" s="1298">
        <f>VLOOKUP($B2134,dongia1,DG!$G$5,)</f>
        <v>0</v>
      </c>
      <c r="K2134" s="1298"/>
      <c r="L2134" s="1298">
        <f t="shared" si="520"/>
        <v>0</v>
      </c>
      <c r="M2134" s="1298">
        <f>I2134*G2134</f>
        <v>0</v>
      </c>
      <c r="N2134" s="1298">
        <f t="shared" si="527"/>
        <v>0</v>
      </c>
      <c r="O2134" s="1298">
        <f>K2134*G2134</f>
        <v>0</v>
      </c>
      <c r="P2134" s="1499"/>
      <c r="Q2134" s="1300"/>
      <c r="R2134" s="1300"/>
      <c r="S2134" s="1300"/>
    </row>
    <row r="2135" spans="1:19" s="1081" customFormat="1" hidden="1" outlineLevel="1">
      <c r="A2135" s="1072" t="str">
        <f t="shared" si="528"/>
        <v/>
      </c>
      <c r="B2135" s="1068" t="s">
        <v>4484</v>
      </c>
      <c r="C2135" s="1471"/>
      <c r="D2135" s="1198" t="str">
        <f>VLOOKUP($B2135,dongia1,DG!$B$5,)</f>
        <v>07.1201</v>
      </c>
      <c r="E2135" s="1243" t="str">
        <f>VLOOKUP($B2135,dongia1,DG!$C$5,)</f>
        <v>Hàn thanh sắt V50x50x5-4000/Zn thành cọc dài 20 mét</v>
      </c>
      <c r="F2135" s="1198" t="str">
        <f>VLOOKUP($B2135,dongia1,DG!$D$5,)</f>
        <v>mối hàn</v>
      </c>
      <c r="G2135" s="1508">
        <f>G2124*4*G2133</f>
        <v>0</v>
      </c>
      <c r="H2135" s="1298">
        <f>VLOOKUP($B2135,dongia1,DG!$F$5,)</f>
        <v>0</v>
      </c>
      <c r="I2135" s="1298"/>
      <c r="J2135" s="1298">
        <f>VLOOKUP($B2135,dongia1,DG!$G$5,)</f>
        <v>55638</v>
      </c>
      <c r="K2135" s="1298"/>
      <c r="L2135" s="1298">
        <f t="shared" si="520"/>
        <v>0</v>
      </c>
      <c r="M2135" s="1298">
        <f>I2135*G2135</f>
        <v>0</v>
      </c>
      <c r="N2135" s="1298">
        <f t="shared" si="527"/>
        <v>0</v>
      </c>
      <c r="O2135" s="1298">
        <f>K2135*G2135</f>
        <v>0</v>
      </c>
      <c r="P2135" s="1499"/>
      <c r="Q2135" s="1300"/>
      <c r="R2135" s="1300"/>
      <c r="S2135" s="1300"/>
    </row>
    <row r="2136" spans="1:19" s="1081" customFormat="1" hidden="1" outlineLevel="1">
      <c r="A2136" s="1072"/>
      <c r="B2136" s="1068"/>
      <c r="C2136" s="1471"/>
      <c r="D2136" s="1198"/>
      <c r="E2136" s="1243"/>
      <c r="F2136" s="1198"/>
      <c r="G2136" s="1508"/>
      <c r="H2136" s="1298"/>
      <c r="I2136" s="1298"/>
      <c r="J2136" s="1298"/>
      <c r="K2136" s="1298"/>
      <c r="L2136" s="1298"/>
      <c r="M2136" s="1298"/>
      <c r="N2136" s="1298"/>
      <c r="O2136" s="1298"/>
      <c r="P2136" s="1437"/>
      <c r="Q2136" s="1300"/>
      <c r="R2136" s="1300"/>
      <c r="S2136" s="1300"/>
    </row>
    <row r="2137" spans="1:19" s="1081" customFormat="1" hidden="1" outlineLevel="1">
      <c r="A2137" s="1072" t="str">
        <f>IF(G2137&lt;&gt;0,1,"")</f>
        <v/>
      </c>
      <c r="B2137" s="1068" t="s">
        <v>4491</v>
      </c>
      <c r="C2137" s="1471"/>
      <c r="D2137" s="1198">
        <f>VLOOKUP($B2137,dongia1,DG!$B$5,)</f>
        <v>0</v>
      </c>
      <c r="E2137" s="1243" t="str">
        <f>VLOOKUP($B2137,dongia1,DG!$C$5,)</f>
        <v>Sắt tròn Þ8 thanh dài 2m (hàn bass 2 đầu, mạ kẽm)</v>
      </c>
      <c r="F2137" s="1198" t="str">
        <f>VLOOKUP($B2137,dongia1,DG!$D$5,)</f>
        <v xml:space="preserve">thanh </v>
      </c>
      <c r="G2137" s="1508">
        <f>G2124*6</f>
        <v>0</v>
      </c>
      <c r="H2137" s="1298">
        <f>VLOOKUP($B2137,dongia1,DG!$F$5,)</f>
        <v>38105</v>
      </c>
      <c r="I2137" s="1298"/>
      <c r="J2137" s="1298">
        <f>VLOOKUP($B2137,dongia1,DG!$G$5,)</f>
        <v>0</v>
      </c>
      <c r="K2137" s="1298"/>
      <c r="L2137" s="1298">
        <f>H2137*G2137</f>
        <v>0</v>
      </c>
      <c r="M2137" s="1298">
        <f>I2137*G2137</f>
        <v>0</v>
      </c>
      <c r="N2137" s="1298">
        <f>J2137*G2137</f>
        <v>0</v>
      </c>
      <c r="O2137" s="1298">
        <f>K2137*G2137</f>
        <v>0</v>
      </c>
      <c r="P2137" s="1499"/>
      <c r="Q2137" s="1300"/>
      <c r="R2137" s="1300"/>
      <c r="S2137" s="1300"/>
    </row>
    <row r="2138" spans="1:19" s="1081" customFormat="1" hidden="1" outlineLevel="1">
      <c r="A2138" s="1072"/>
      <c r="B2138" s="1068"/>
      <c r="C2138" s="1471"/>
      <c r="D2138" s="1198"/>
      <c r="E2138" s="1243"/>
      <c r="F2138" s="1198"/>
      <c r="G2138" s="1508"/>
      <c r="H2138" s="1298"/>
      <c r="I2138" s="1298"/>
      <c r="J2138" s="1298"/>
      <c r="K2138" s="1298"/>
      <c r="L2138" s="1298"/>
      <c r="M2138" s="1298"/>
      <c r="N2138" s="1298"/>
      <c r="O2138" s="1298"/>
      <c r="P2138" s="1437"/>
      <c r="Q2138" s="1300"/>
      <c r="R2138" s="1300"/>
      <c r="S2138" s="1300"/>
    </row>
    <row r="2139" spans="1:19" s="1081" customFormat="1" hidden="1" outlineLevel="1">
      <c r="A2139" s="1072" t="str">
        <f t="shared" ref="A2139:A2144" si="529">IF(G2139&lt;&gt;0,1,"")</f>
        <v/>
      </c>
      <c r="B2139" s="1068" t="s">
        <v>4495</v>
      </c>
      <c r="C2139" s="1471"/>
      <c r="D2139" s="1198">
        <f>VLOOKUP($B2139,dongia1,DG!$B$5,)</f>
        <v>0</v>
      </c>
      <c r="E2139" s="1243" t="str">
        <f>VLOOKUP($B2139,dongia1,DG!$C$5,)</f>
        <v>Sắt tròn Þ8 thanh dài 3m (hàn bass 2 đầu, mạ kẽm)</v>
      </c>
      <c r="F2139" s="1198" t="str">
        <f>VLOOKUP($B2139,dongia1,DG!$D$5,)</f>
        <v xml:space="preserve">thanh </v>
      </c>
      <c r="G2139" s="1508">
        <f>G2124*2</f>
        <v>0</v>
      </c>
      <c r="H2139" s="1298">
        <f>VLOOKUP($B2139,dongia1,DG!$F$5,)</f>
        <v>53008</v>
      </c>
      <c r="I2139" s="1298"/>
      <c r="J2139" s="1298">
        <f>VLOOKUP($B2139,dongia1,DG!$G$5,)</f>
        <v>0</v>
      </c>
      <c r="K2139" s="1298"/>
      <c r="L2139" s="1298">
        <f t="shared" ref="L2139:L2152" si="530">H2139*G2139</f>
        <v>0</v>
      </c>
      <c r="M2139" s="1298">
        <f t="shared" ref="M2139:M2152" si="531">I2139*G2139</f>
        <v>0</v>
      </c>
      <c r="N2139" s="1298">
        <f t="shared" ref="N2139:N2152" si="532">J2139*G2139</f>
        <v>0</v>
      </c>
      <c r="O2139" s="1298">
        <f t="shared" ref="O2139:O2152" si="533">K2139*G2139</f>
        <v>0</v>
      </c>
      <c r="P2139" s="1499"/>
      <c r="Q2139" s="1300"/>
      <c r="R2139" s="1300"/>
      <c r="S2139" s="1300"/>
    </row>
    <row r="2140" spans="1:19" s="1081" customFormat="1" hidden="1" outlineLevel="1">
      <c r="A2140" s="1072" t="str">
        <f t="shared" si="529"/>
        <v/>
      </c>
      <c r="B2140" s="1068" t="s">
        <v>4608</v>
      </c>
      <c r="C2140" s="1471"/>
      <c r="D2140" s="1198">
        <f>VLOOKUP($B2140,dongia1,DG!$B$5,)</f>
        <v>0</v>
      </c>
      <c r="E2140" s="1243" t="str">
        <f>VLOOKUP($B2140,dongia1,DG!$C$5,)</f>
        <v>Boulon 8x50+ 2 long đền vuông</v>
      </c>
      <c r="F2140" s="1198" t="str">
        <f>VLOOKUP($B2140,dongia1,DG!$D$5,)</f>
        <v>bộ</v>
      </c>
      <c r="G2140" s="1508">
        <f>G2124*20</f>
        <v>0</v>
      </c>
      <c r="H2140" s="1298">
        <f>VLOOKUP($B2140,dongia1,DG!$F$5,)</f>
        <v>8400</v>
      </c>
      <c r="I2140" s="1298"/>
      <c r="J2140" s="1298">
        <f>VLOOKUP($B2140,dongia1,DG!$G$5,)</f>
        <v>0</v>
      </c>
      <c r="K2140" s="1298"/>
      <c r="L2140" s="1298">
        <f t="shared" si="530"/>
        <v>0</v>
      </c>
      <c r="M2140" s="1298">
        <f t="shared" si="531"/>
        <v>0</v>
      </c>
      <c r="N2140" s="1298">
        <f t="shared" si="532"/>
        <v>0</v>
      </c>
      <c r="O2140" s="1298">
        <f t="shared" si="533"/>
        <v>0</v>
      </c>
      <c r="P2140" s="1499"/>
      <c r="Q2140" s="1300"/>
      <c r="R2140" s="1300"/>
      <c r="S2140" s="1300"/>
    </row>
    <row r="2141" spans="1:19" s="1081" customFormat="1" hidden="1" outlineLevel="1">
      <c r="A2141" s="1072" t="str">
        <f t="shared" si="529"/>
        <v/>
      </c>
      <c r="B2141" s="1068" t="s">
        <v>4497</v>
      </c>
      <c r="C2141" s="1471"/>
      <c r="D2141" s="1198">
        <f>VLOOKUP($B2141,dongia1,DG!$B$5,)</f>
        <v>0</v>
      </c>
      <c r="E2141" s="1243" t="str">
        <f>VLOOKUP($B2141,dongia1,DG!$C$5,)</f>
        <v>Đai thép Inox</v>
      </c>
      <c r="F2141" s="1198" t="str">
        <f>VLOOKUP($B2141,dongia1,DG!$D$5,)</f>
        <v>mét</v>
      </c>
      <c r="G2141" s="1508">
        <f>G2137+G2139</f>
        <v>0</v>
      </c>
      <c r="H2141" s="1298">
        <f>VLOOKUP($B2141,dongia1,DG!$F$5,)</f>
        <v>11000</v>
      </c>
      <c r="I2141" s="1298"/>
      <c r="J2141" s="1298">
        <f>VLOOKUP($B2141,dongia1,DG!$G$5,)</f>
        <v>0</v>
      </c>
      <c r="K2141" s="1298"/>
      <c r="L2141" s="1298">
        <f t="shared" si="530"/>
        <v>0</v>
      </c>
      <c r="M2141" s="1298">
        <f t="shared" si="531"/>
        <v>0</v>
      </c>
      <c r="N2141" s="1298">
        <f t="shared" si="532"/>
        <v>0</v>
      </c>
      <c r="O2141" s="1298">
        <f t="shared" si="533"/>
        <v>0</v>
      </c>
      <c r="P2141" s="1499"/>
      <c r="Q2141" s="1300"/>
      <c r="R2141" s="1300"/>
      <c r="S2141" s="1300"/>
    </row>
    <row r="2142" spans="1:19" s="1081" customFormat="1" hidden="1" outlineLevel="1">
      <c r="A2142" s="1072" t="str">
        <f t="shared" si="529"/>
        <v/>
      </c>
      <c r="B2142" s="1068" t="s">
        <v>4499</v>
      </c>
      <c r="C2142" s="1471"/>
      <c r="D2142" s="1198">
        <f>VLOOKUP($B2142,dongia1,DG!$B$5,)</f>
        <v>0</v>
      </c>
      <c r="E2142" s="1243" t="str">
        <f>VLOOKUP($B2142,dongia1,DG!$C$5,)</f>
        <v>Khóa đai Inox</v>
      </c>
      <c r="F2142" s="1198" t="str">
        <f>VLOOKUP($B2142,dongia1,DG!$D$5,)</f>
        <v>cái</v>
      </c>
      <c r="G2142" s="1508">
        <f>G2141</f>
        <v>0</v>
      </c>
      <c r="H2142" s="1298">
        <f>VLOOKUP($B2142,dongia1,DG!$F$5,)</f>
        <v>4000</v>
      </c>
      <c r="I2142" s="1298"/>
      <c r="J2142" s="1298">
        <f>VLOOKUP($B2142,dongia1,DG!$G$5,)</f>
        <v>0</v>
      </c>
      <c r="K2142" s="1298"/>
      <c r="L2142" s="1298">
        <f t="shared" si="530"/>
        <v>0</v>
      </c>
      <c r="M2142" s="1298">
        <f t="shared" si="531"/>
        <v>0</v>
      </c>
      <c r="N2142" s="1298">
        <f t="shared" si="532"/>
        <v>0</v>
      </c>
      <c r="O2142" s="1298">
        <f t="shared" si="533"/>
        <v>0</v>
      </c>
      <c r="P2142" s="1499"/>
      <c r="Q2142" s="1300"/>
      <c r="R2142" s="1300"/>
      <c r="S2142" s="1300"/>
    </row>
    <row r="2143" spans="1:19" s="1081" customFormat="1" hidden="1" outlineLevel="1">
      <c r="A2143" s="1072" t="str">
        <f t="shared" si="529"/>
        <v/>
      </c>
      <c r="B2143" s="1068" t="s">
        <v>665</v>
      </c>
      <c r="C2143" s="1471"/>
      <c r="D2143" s="1198" t="str">
        <f>VLOOKUP($B2143,dongia1,DG!$B$5,)</f>
        <v>AB.11513</v>
      </c>
      <c r="E2143" s="1243" t="str">
        <f>VLOOKUP($B2143,dongia1,DG!$C$5,)</f>
        <v>Đào rãnh tiếp địa đất cấp 3</v>
      </c>
      <c r="F2143" s="1198" t="str">
        <f>VLOOKUP($B2143,dongia1,DG!$D$5,)</f>
        <v>m3</v>
      </c>
      <c r="G2143" s="1508">
        <f>G2124*(52+20)*0.3*0.5</f>
        <v>0</v>
      </c>
      <c r="H2143" s="1298">
        <f>VLOOKUP($B2143,dongia1,DG!$F$5,)</f>
        <v>0</v>
      </c>
      <c r="I2143" s="1298"/>
      <c r="J2143" s="1298">
        <f>VLOOKUP($B2143,dongia1,DG!$G$5,)</f>
        <v>283749.75</v>
      </c>
      <c r="K2143" s="1298"/>
      <c r="L2143" s="1298">
        <f t="shared" si="530"/>
        <v>0</v>
      </c>
      <c r="M2143" s="1298">
        <f t="shared" si="531"/>
        <v>0</v>
      </c>
      <c r="N2143" s="1298">
        <f t="shared" si="532"/>
        <v>0</v>
      </c>
      <c r="O2143" s="1298">
        <f t="shared" si="533"/>
        <v>0</v>
      </c>
      <c r="P2143" s="1499"/>
      <c r="Q2143" s="1300"/>
      <c r="R2143" s="1300"/>
      <c r="S2143" s="1300"/>
    </row>
    <row r="2144" spans="1:19" s="1081" customFormat="1" hidden="1" outlineLevel="1">
      <c r="A2144" s="1072" t="str">
        <f t="shared" si="529"/>
        <v/>
      </c>
      <c r="B2144" s="1068" t="s">
        <v>1985</v>
      </c>
      <c r="C2144" s="1471"/>
      <c r="D2144" s="1198" t="str">
        <f>VLOOKUP($B2144,dongia1,DG!$B$5,)</f>
        <v>AB.13111</v>
      </c>
      <c r="E2144" s="1243" t="str">
        <f>VLOOKUP($B2144,dongia1,DG!$C$5,)</f>
        <v>Đắp đất rãnh tiếp địa cấp 3 (độ chặt k = 0.85)</v>
      </c>
      <c r="F2144" s="1198" t="str">
        <f>VLOOKUP($B2144,dongia1,DG!$D$5,)</f>
        <v>m3</v>
      </c>
      <c r="G2144" s="1508">
        <f>G2143</f>
        <v>0</v>
      </c>
      <c r="H2144" s="1298">
        <f>VLOOKUP($B2144,dongia1,DG!$F$5,)</f>
        <v>0</v>
      </c>
      <c r="I2144" s="1298"/>
      <c r="J2144" s="1298">
        <f>VLOOKUP($B2144,dongia1,DG!$G$5,)</f>
        <v>117703.6</v>
      </c>
      <c r="K2144" s="1298"/>
      <c r="L2144" s="1298">
        <f t="shared" si="530"/>
        <v>0</v>
      </c>
      <c r="M2144" s="1298">
        <f t="shared" si="531"/>
        <v>0</v>
      </c>
      <c r="N2144" s="1298">
        <f t="shared" si="532"/>
        <v>0</v>
      </c>
      <c r="O2144" s="1298">
        <f t="shared" si="533"/>
        <v>0</v>
      </c>
      <c r="P2144" s="1499"/>
      <c r="Q2144" s="1300"/>
      <c r="R2144" s="1300"/>
      <c r="S2144" s="1300"/>
    </row>
    <row r="2145" spans="1:255" s="1081" customFormat="1" hidden="1" outlineLevel="1">
      <c r="A2145" s="1072" t="str">
        <f>IF(G2145&lt;&gt;0,1,"")</f>
        <v/>
      </c>
      <c r="B2145" s="1068" t="s">
        <v>985</v>
      </c>
      <c r="C2145" s="1291"/>
      <c r="D2145" s="1198" t="str">
        <f>VLOOKUP($B2145,dongia1,DG!$B$5,)</f>
        <v>D2.8103</v>
      </c>
      <c r="E2145" s="1243" t="str">
        <f>VLOOKUP($B2145,dongia1,DG!$C$5,)</f>
        <v>Đóng cọc tiếp địa đất cấp 3 dài 2,5m</v>
      </c>
      <c r="F2145" s="1198" t="s">
        <v>2113</v>
      </c>
      <c r="G2145" s="1512">
        <f>G2127</f>
        <v>0</v>
      </c>
      <c r="H2145" s="1298">
        <f>VLOOKUP($B2145,dongia1,DG!$F$5,)</f>
        <v>0</v>
      </c>
      <c r="I2145" s="1298"/>
      <c r="J2145" s="1298">
        <f>VLOOKUP($B2145,dongia1,DG!$G$5,)</f>
        <v>90355.896000000008</v>
      </c>
      <c r="K2145" s="1298">
        <f>VLOOKUP($B2145,dongia1,DG!$H$5,)</f>
        <v>1573.075</v>
      </c>
      <c r="L2145" s="1298">
        <f t="shared" si="530"/>
        <v>0</v>
      </c>
      <c r="M2145" s="1298">
        <f t="shared" si="531"/>
        <v>0</v>
      </c>
      <c r="N2145" s="1298">
        <f t="shared" si="532"/>
        <v>0</v>
      </c>
      <c r="O2145" s="1298">
        <f t="shared" si="533"/>
        <v>0</v>
      </c>
      <c r="P2145" s="1507"/>
      <c r="Q2145" s="1300"/>
      <c r="R2145" s="1300"/>
      <c r="S2145" s="1300"/>
    </row>
    <row r="2146" spans="1:255" s="1081" customFormat="1" hidden="1" outlineLevel="1">
      <c r="A2146" s="1072" t="str">
        <f>IF(G2146&lt;&gt;0,1,"")</f>
        <v/>
      </c>
      <c r="B2146" s="1068" t="s">
        <v>983</v>
      </c>
      <c r="C2146" s="1291"/>
      <c r="D2146" s="1198" t="str">
        <f>VLOOKUP($B2146,dongia1,DG!$B$5,)</f>
        <v>T4.7001</v>
      </c>
      <c r="E2146" s="1243" t="str">
        <f>VLOOKUP($B2146,dongia1,DG!$C$5,)</f>
        <v>Kéo dây tiếp địa TBA</v>
      </c>
      <c r="F2146" s="1198" t="str">
        <f>VLOOKUP($B2146,dongia1,DG!$D$5,)</f>
        <v>mét</v>
      </c>
      <c r="G2146" s="1512">
        <f>G2126/0.224</f>
        <v>0</v>
      </c>
      <c r="H2146" s="1298">
        <f>VLOOKUP($B2146,dongia1,DG!$F$5,)</f>
        <v>0</v>
      </c>
      <c r="I2146" s="1298"/>
      <c r="J2146" s="1298">
        <f>VLOOKUP($B2146,dongia1,DG!$G$5,)</f>
        <v>8070.7000000000007</v>
      </c>
      <c r="K2146" s="1298">
        <f>VLOOKUP($B2146,dongia1,DG!$H$5,)</f>
        <v>2044.9974999999999</v>
      </c>
      <c r="L2146" s="1298">
        <f t="shared" si="530"/>
        <v>0</v>
      </c>
      <c r="M2146" s="1298">
        <f t="shared" si="531"/>
        <v>0</v>
      </c>
      <c r="N2146" s="1298">
        <f t="shared" si="532"/>
        <v>0</v>
      </c>
      <c r="O2146" s="1298">
        <f t="shared" si="533"/>
        <v>0</v>
      </c>
      <c r="P2146" s="1499"/>
      <c r="Q2146" s="1300"/>
      <c r="R2146" s="1300"/>
      <c r="S2146" s="1300"/>
    </row>
    <row r="2147" spans="1:255" s="1081" customFormat="1" hidden="1" outlineLevel="1">
      <c r="A2147" s="1072" t="str">
        <f>IF(G2147&lt;&gt;0,1,"")</f>
        <v/>
      </c>
      <c r="B2147" s="1068"/>
      <c r="C2147" s="1291">
        <f>IF(G2147&gt;0,C2124+1,C2124)</f>
        <v>0</v>
      </c>
      <c r="D2147" s="1292"/>
      <c r="E2147" s="1416" t="s">
        <v>3442</v>
      </c>
      <c r="F2147" s="1291" t="s">
        <v>2113</v>
      </c>
      <c r="G2147" s="1509">
        <f>G2057*2</f>
        <v>0</v>
      </c>
      <c r="H2147" s="1298"/>
      <c r="I2147" s="1298"/>
      <c r="J2147" s="1298"/>
      <c r="K2147" s="1298"/>
      <c r="L2147" s="1298">
        <f t="shared" si="530"/>
        <v>0</v>
      </c>
      <c r="M2147" s="1298">
        <f t="shared" si="531"/>
        <v>0</v>
      </c>
      <c r="N2147" s="1298">
        <f t="shared" si="532"/>
        <v>0</v>
      </c>
      <c r="O2147" s="1298">
        <f t="shared" si="533"/>
        <v>0</v>
      </c>
      <c r="P2147" s="1499"/>
      <c r="Q2147" s="1300"/>
      <c r="R2147" s="1300"/>
      <c r="S2147" s="1300"/>
    </row>
    <row r="2148" spans="1:255" s="1081" customFormat="1" ht="14.4" hidden="1" outlineLevel="1">
      <c r="A2148" s="1072" t="str">
        <f>A2147</f>
        <v/>
      </c>
      <c r="B2148" s="1068"/>
      <c r="C2148" s="1291"/>
      <c r="D2148" s="1292"/>
      <c r="E2148" s="1301" t="s">
        <v>3399</v>
      </c>
      <c r="F2148" s="1302"/>
      <c r="G2148" s="1508"/>
      <c r="H2148" s="1298"/>
      <c r="I2148" s="1298"/>
      <c r="J2148" s="1298"/>
      <c r="K2148" s="1298"/>
      <c r="L2148" s="1298">
        <f t="shared" si="530"/>
        <v>0</v>
      </c>
      <c r="M2148" s="1298">
        <f t="shared" si="531"/>
        <v>0</v>
      </c>
      <c r="N2148" s="1298">
        <f t="shared" si="532"/>
        <v>0</v>
      </c>
      <c r="O2148" s="1298">
        <f t="shared" si="533"/>
        <v>0</v>
      </c>
      <c r="P2148" s="1499"/>
      <c r="Q2148" s="1300"/>
      <c r="R2148" s="1300"/>
      <c r="S2148" s="1300"/>
    </row>
    <row r="2149" spans="1:255" s="1081" customFormat="1" hidden="1" outlineLevel="1">
      <c r="A2149" s="1072" t="str">
        <f>IF(G2149&lt;&gt;0,1,"")</f>
        <v/>
      </c>
      <c r="B2149" s="1068" t="s">
        <v>333</v>
      </c>
      <c r="C2149" s="1302"/>
      <c r="D2149" s="1198" t="str">
        <f>VLOOKUP($B2149,dongia1,DG!$B$5,)</f>
        <v>T5.1002</v>
      </c>
      <c r="E2149" s="1243" t="str">
        <f>VLOOKUP($B2149,dongia1,DG!$C$5,)</f>
        <v>Tủ MCCB trạm giàn 1 ngăn</v>
      </c>
      <c r="F2149" s="1198" t="str">
        <f>VLOOKUP($B2149,dongia1,DG!$D$5,)</f>
        <v>cái</v>
      </c>
      <c r="G2149" s="1508">
        <f>G2147</f>
        <v>0</v>
      </c>
      <c r="H2149" s="1298">
        <f>VLOOKUP($B2149,dongia1,DG!$F$5,)</f>
        <v>2112489</v>
      </c>
      <c r="I2149" s="1298"/>
      <c r="J2149" s="1298">
        <f>VLOOKUP($B2149,dongia1,DG!$G$5,)</f>
        <v>690091</v>
      </c>
      <c r="K2149" s="1298">
        <f>VLOOKUP($B2149,dongia1,DG!$H$5,)</f>
        <v>97369</v>
      </c>
      <c r="L2149" s="1298">
        <f t="shared" si="530"/>
        <v>0</v>
      </c>
      <c r="M2149" s="1298">
        <f t="shared" si="531"/>
        <v>0</v>
      </c>
      <c r="N2149" s="1298">
        <f t="shared" si="532"/>
        <v>0</v>
      </c>
      <c r="O2149" s="1298">
        <f t="shared" si="533"/>
        <v>0</v>
      </c>
      <c r="P2149" s="1499"/>
      <c r="Q2149" s="1300"/>
      <c r="R2149" s="1300"/>
      <c r="S2149" s="1300"/>
    </row>
    <row r="2150" spans="1:255" s="1081" customFormat="1" hidden="1" outlineLevel="1">
      <c r="A2150" s="1072" t="str">
        <f>IF(G2150&lt;&gt;0,1,"")</f>
        <v/>
      </c>
      <c r="B2150" s="1068" t="s">
        <v>1560</v>
      </c>
      <c r="C2150" s="1291"/>
      <c r="D2150" s="1198">
        <f>VLOOKUP($B2150,dongia1,DG!$B$5,)</f>
        <v>0</v>
      </c>
      <c r="E2150" s="1243" t="str">
        <f>VLOOKUP($B2150,dongia1,DG!$C$5,)</f>
        <v xml:space="preserve">Bakelit 500x300 dầy 10mm </v>
      </c>
      <c r="F2150" s="1198" t="str">
        <f>VLOOKUP($B2150,dongia1,DG!$D$5,)</f>
        <v>cái</v>
      </c>
      <c r="G2150" s="1508">
        <f>G2147</f>
        <v>0</v>
      </c>
      <c r="H2150" s="1298">
        <f>VLOOKUP($B2150,dongia1,DG!$F$5,)</f>
        <v>284000</v>
      </c>
      <c r="I2150" s="1298"/>
      <c r="J2150" s="1298">
        <f>VLOOKUP($B2150,dongia1,DG!$G$5,)</f>
        <v>5404</v>
      </c>
      <c r="K2150" s="1298">
        <f>VLOOKUP($B2150,dongia1,DG!$H$5,)</f>
        <v>0</v>
      </c>
      <c r="L2150" s="1298">
        <f t="shared" si="530"/>
        <v>0</v>
      </c>
      <c r="M2150" s="1298">
        <f t="shared" si="531"/>
        <v>0</v>
      </c>
      <c r="N2150" s="1298">
        <f t="shared" si="532"/>
        <v>0</v>
      </c>
      <c r="O2150" s="1298">
        <f t="shared" si="533"/>
        <v>0</v>
      </c>
      <c r="P2150" s="1499"/>
      <c r="Q2150" s="1300"/>
      <c r="R2150" s="1300"/>
      <c r="S2150" s="1300"/>
    </row>
    <row r="2151" spans="1:255" s="1081" customFormat="1" hidden="1" outlineLevel="1">
      <c r="A2151" s="1072" t="str">
        <f>IF(G2151&lt;&gt;0,1,"")</f>
        <v/>
      </c>
      <c r="B2151" s="1068" t="s">
        <v>888</v>
      </c>
      <c r="C2151" s="1302"/>
      <c r="D2151" s="1198">
        <f>VLOOKUP($B2151,dongia1,DG!$B$5,)</f>
        <v>0</v>
      </c>
      <c r="E2151" s="1243" t="str">
        <f>VLOOKUP($B2151,dongia1,DG!$C$5,)</f>
        <v>Bảng tên trạm + bảng báo nguy hiểm</v>
      </c>
      <c r="F2151" s="1198" t="str">
        <f>VLOOKUP($B2151,dongia1,DG!$D$5,)</f>
        <v>cái</v>
      </c>
      <c r="G2151" s="1508">
        <f>G2147*1/2</f>
        <v>0</v>
      </c>
      <c r="H2151" s="1298">
        <f>VLOOKUP($B2151,dongia1,DG!$F$5,)</f>
        <v>300000</v>
      </c>
      <c r="I2151" s="1298"/>
      <c r="J2151" s="1298">
        <f>VLOOKUP($B2151,dongia1,DG!$G$5,)</f>
        <v>0</v>
      </c>
      <c r="K2151" s="1298">
        <f>VLOOKUP($B2151,dongia1,DG!$H$5,)</f>
        <v>0</v>
      </c>
      <c r="L2151" s="1298">
        <f t="shared" si="530"/>
        <v>0</v>
      </c>
      <c r="M2151" s="1298">
        <f t="shared" si="531"/>
        <v>0</v>
      </c>
      <c r="N2151" s="1298">
        <f t="shared" si="532"/>
        <v>0</v>
      </c>
      <c r="O2151" s="1298">
        <f t="shared" si="533"/>
        <v>0</v>
      </c>
      <c r="P2151" s="1437"/>
      <c r="Q2151" s="1300"/>
      <c r="R2151" s="1300"/>
      <c r="S2151" s="1300"/>
    </row>
    <row r="2152" spans="1:255" s="1081" customFormat="1" hidden="1" outlineLevel="1">
      <c r="A2152" s="1072" t="str">
        <f>IF(G2152&lt;&gt;0,1,"")</f>
        <v/>
      </c>
      <c r="B2152" s="1068" t="s">
        <v>1542</v>
      </c>
      <c r="C2152" s="1302"/>
      <c r="D2152" s="1198">
        <f>VLOOKUP($B2152,dongia1,DG!$B$5,)</f>
        <v>0</v>
      </c>
      <c r="E2152" s="1243" t="str">
        <f>VLOOKUP($B2152,dongia1,DG!$C$5,)</f>
        <v>Cổ dê bắt tủ</v>
      </c>
      <c r="F2152" s="1198" t="str">
        <f>VLOOKUP($B2152,dongia1,DG!$D$5,)</f>
        <v>bộ</v>
      </c>
      <c r="G2152" s="1508">
        <f>G2147*2</f>
        <v>0</v>
      </c>
      <c r="H2152" s="1298">
        <f>VLOOKUP($B2152,dongia1,DG!$F$5,)</f>
        <v>168000</v>
      </c>
      <c r="I2152" s="1298"/>
      <c r="J2152" s="1298">
        <f>VLOOKUP($B2152,dongia1,DG!$G$5,)</f>
        <v>0</v>
      </c>
      <c r="K2152" s="1298">
        <f>VLOOKUP($B2152,dongia1,DG!$H$5,)</f>
        <v>0</v>
      </c>
      <c r="L2152" s="1298">
        <f t="shared" si="530"/>
        <v>0</v>
      </c>
      <c r="M2152" s="1298">
        <f t="shared" si="531"/>
        <v>0</v>
      </c>
      <c r="N2152" s="1298">
        <f t="shared" si="532"/>
        <v>0</v>
      </c>
      <c r="O2152" s="1298">
        <f t="shared" si="533"/>
        <v>0</v>
      </c>
      <c r="P2152" s="1499"/>
      <c r="Q2152" s="1300"/>
      <c r="R2152" s="1300"/>
      <c r="S2152" s="1300"/>
    </row>
    <row r="2153" spans="1:255" s="1284" customFormat="1" hidden="1" outlineLevel="1">
      <c r="A2153" s="1072" t="str">
        <f>IF(G2153&lt;&gt;0,1,"")</f>
        <v/>
      </c>
      <c r="B2153" s="1068"/>
      <c r="C2153" s="1291">
        <f>IF(G2153&gt;0,C2147+1,C2147)</f>
        <v>0</v>
      </c>
      <c r="D2153" s="1292"/>
      <c r="E2153" s="1416" t="s">
        <v>4709</v>
      </c>
      <c r="F2153" s="1291" t="s">
        <v>2113</v>
      </c>
      <c r="G2153" s="1509">
        <f>G2057</f>
        <v>0</v>
      </c>
      <c r="H2153" s="1298"/>
      <c r="I2153" s="1298"/>
      <c r="J2153" s="1298"/>
      <c r="K2153" s="1298"/>
      <c r="L2153" s="1298"/>
      <c r="M2153" s="1298"/>
      <c r="N2153" s="1298"/>
      <c r="O2153" s="1298"/>
      <c r="P2153" s="1499"/>
      <c r="Q2153" s="1300"/>
      <c r="R2153" s="1300"/>
      <c r="S2153" s="1081"/>
      <c r="T2153" s="1081"/>
      <c r="U2153" s="1081"/>
      <c r="V2153" s="1081"/>
      <c r="W2153" s="1081"/>
      <c r="X2153" s="1081"/>
      <c r="Y2153" s="1081"/>
      <c r="Z2153" s="1081"/>
      <c r="AA2153" s="1081"/>
      <c r="AB2153" s="1081"/>
      <c r="AC2153" s="1081"/>
      <c r="AD2153" s="1081"/>
      <c r="AE2153" s="1081"/>
      <c r="AF2153" s="1081"/>
      <c r="AG2153" s="1081"/>
      <c r="AH2153" s="1081"/>
      <c r="AI2153" s="1081"/>
      <c r="AJ2153" s="1081"/>
      <c r="AK2153" s="1081"/>
      <c r="AL2153" s="1081"/>
      <c r="AM2153" s="1081"/>
      <c r="AN2153" s="1081"/>
      <c r="AO2153" s="1081"/>
      <c r="AP2153" s="1081"/>
      <c r="AQ2153" s="1081"/>
      <c r="AR2153" s="1081"/>
      <c r="AS2153" s="1081"/>
      <c r="AT2153" s="1081"/>
      <c r="AU2153" s="1081"/>
      <c r="AV2153" s="1081"/>
      <c r="AW2153" s="1081"/>
      <c r="AX2153" s="1081"/>
      <c r="AY2153" s="1081"/>
      <c r="AZ2153" s="1081"/>
      <c r="BA2153" s="1081"/>
      <c r="BB2153" s="1081"/>
      <c r="BC2153" s="1081"/>
      <c r="BD2153" s="1081"/>
      <c r="BE2153" s="1081"/>
      <c r="BF2153" s="1081"/>
      <c r="BG2153" s="1081"/>
      <c r="BH2153" s="1081"/>
      <c r="BI2153" s="1081"/>
      <c r="BJ2153" s="1081"/>
      <c r="BK2153" s="1081"/>
      <c r="BL2153" s="1081"/>
      <c r="BM2153" s="1081"/>
      <c r="BN2153" s="1081"/>
      <c r="BO2153" s="1081"/>
      <c r="BP2153" s="1081"/>
      <c r="BQ2153" s="1081"/>
      <c r="BR2153" s="1081"/>
      <c r="BS2153" s="1081"/>
      <c r="BT2153" s="1081"/>
      <c r="BU2153" s="1081"/>
      <c r="BV2153" s="1081"/>
      <c r="BW2153" s="1081"/>
      <c r="BX2153" s="1081"/>
      <c r="BY2153" s="1081"/>
      <c r="BZ2153" s="1081"/>
      <c r="CA2153" s="1081"/>
      <c r="CB2153" s="1081"/>
      <c r="CC2153" s="1081"/>
      <c r="CD2153" s="1081"/>
      <c r="CE2153" s="1081"/>
      <c r="CF2153" s="1081"/>
      <c r="CG2153" s="1081"/>
      <c r="CH2153" s="1081"/>
      <c r="CI2153" s="1081"/>
      <c r="CJ2153" s="1081"/>
      <c r="CK2153" s="1081"/>
      <c r="CL2153" s="1081"/>
      <c r="CM2153" s="1081"/>
      <c r="CN2153" s="1081"/>
      <c r="CO2153" s="1081"/>
      <c r="CP2153" s="1081"/>
      <c r="CQ2153" s="1081"/>
      <c r="CR2153" s="1081"/>
      <c r="CS2153" s="1081"/>
      <c r="CT2153" s="1081"/>
      <c r="CU2153" s="1081"/>
      <c r="CV2153" s="1081"/>
      <c r="CW2153" s="1081"/>
      <c r="CX2153" s="1081"/>
      <c r="CY2153" s="1081"/>
      <c r="CZ2153" s="1081"/>
      <c r="DA2153" s="1081"/>
      <c r="DB2153" s="1081"/>
      <c r="DC2153" s="1081"/>
      <c r="DD2153" s="1081"/>
      <c r="DE2153" s="1081"/>
      <c r="DF2153" s="1081"/>
      <c r="DG2153" s="1081"/>
      <c r="DH2153" s="1081"/>
      <c r="DI2153" s="1081"/>
      <c r="DJ2153" s="1081"/>
      <c r="DK2153" s="1081"/>
      <c r="DL2153" s="1081"/>
      <c r="DM2153" s="1081"/>
      <c r="DN2153" s="1081"/>
      <c r="DO2153" s="1081"/>
      <c r="DP2153" s="1081"/>
      <c r="DQ2153" s="1081"/>
      <c r="DR2153" s="1081"/>
      <c r="DS2153" s="1081"/>
      <c r="DT2153" s="1081"/>
      <c r="DU2153" s="1081"/>
      <c r="DV2153" s="1081"/>
      <c r="DW2153" s="1081"/>
      <c r="DX2153" s="1081"/>
      <c r="DY2153" s="1081"/>
      <c r="DZ2153" s="1081"/>
      <c r="EA2153" s="1081"/>
      <c r="EB2153" s="1081"/>
      <c r="EC2153" s="1081"/>
      <c r="ED2153" s="1081"/>
      <c r="EE2153" s="1081"/>
      <c r="EF2153" s="1081"/>
      <c r="EG2153" s="1081"/>
      <c r="EH2153" s="1081"/>
      <c r="EI2153" s="1081"/>
      <c r="EJ2153" s="1081"/>
      <c r="EK2153" s="1081"/>
      <c r="EL2153" s="1081"/>
      <c r="EM2153" s="1081"/>
      <c r="EN2153" s="1081"/>
      <c r="EO2153" s="1081"/>
      <c r="EP2153" s="1081"/>
      <c r="EQ2153" s="1081"/>
      <c r="ER2153" s="1081"/>
      <c r="ES2153" s="1081"/>
      <c r="ET2153" s="1081"/>
      <c r="EU2153" s="1081"/>
      <c r="EV2153" s="1081"/>
      <c r="EW2153" s="1081"/>
      <c r="EX2153" s="1081"/>
      <c r="EY2153" s="1081"/>
      <c r="EZ2153" s="1081"/>
      <c r="FA2153" s="1081"/>
      <c r="FB2153" s="1081"/>
      <c r="FC2153" s="1081"/>
      <c r="FD2153" s="1081"/>
      <c r="FE2153" s="1081"/>
      <c r="FF2153" s="1081"/>
      <c r="FG2153" s="1081"/>
      <c r="FH2153" s="1081"/>
      <c r="FI2153" s="1081"/>
      <c r="FJ2153" s="1081"/>
      <c r="FK2153" s="1081"/>
      <c r="FL2153" s="1081"/>
      <c r="FM2153" s="1081"/>
      <c r="FN2153" s="1081"/>
      <c r="FO2153" s="1081"/>
      <c r="FP2153" s="1081"/>
      <c r="FQ2153" s="1081"/>
      <c r="FR2153" s="1081"/>
      <c r="FS2153" s="1081"/>
      <c r="FT2153" s="1081"/>
      <c r="FU2153" s="1081"/>
      <c r="FV2153" s="1081"/>
      <c r="FW2153" s="1081"/>
      <c r="FX2153" s="1081"/>
      <c r="FY2153" s="1081"/>
      <c r="FZ2153" s="1081"/>
      <c r="GA2153" s="1081"/>
      <c r="GB2153" s="1081"/>
      <c r="GC2153" s="1081"/>
      <c r="GD2153" s="1081"/>
      <c r="GE2153" s="1081"/>
      <c r="GF2153" s="1081"/>
      <c r="GG2153" s="1081"/>
      <c r="GH2153" s="1081"/>
      <c r="GI2153" s="1081"/>
      <c r="GJ2153" s="1081"/>
      <c r="GK2153" s="1081"/>
      <c r="GL2153" s="1081"/>
      <c r="GM2153" s="1081"/>
      <c r="GN2153" s="1081"/>
      <c r="GO2153" s="1081"/>
      <c r="GP2153" s="1081"/>
      <c r="GQ2153" s="1081"/>
      <c r="GR2153" s="1081"/>
      <c r="GS2153" s="1081"/>
      <c r="GT2153" s="1081"/>
      <c r="GU2153" s="1081"/>
      <c r="GV2153" s="1081"/>
      <c r="GW2153" s="1081"/>
      <c r="GX2153" s="1081"/>
      <c r="GY2153" s="1081"/>
      <c r="GZ2153" s="1081"/>
      <c r="HA2153" s="1081"/>
      <c r="HB2153" s="1081"/>
      <c r="HC2153" s="1081"/>
      <c r="HD2153" s="1081"/>
      <c r="HE2153" s="1081"/>
      <c r="HF2153" s="1081"/>
      <c r="HG2153" s="1081"/>
      <c r="HH2153" s="1081"/>
      <c r="HI2153" s="1081"/>
      <c r="HJ2153" s="1081"/>
      <c r="HK2153" s="1081"/>
      <c r="HL2153" s="1081"/>
      <c r="HM2153" s="1081"/>
      <c r="HN2153" s="1081"/>
      <c r="HO2153" s="1081"/>
      <c r="HP2153" s="1081"/>
      <c r="HQ2153" s="1081"/>
      <c r="HR2153" s="1081"/>
      <c r="HS2153" s="1081"/>
      <c r="HT2153" s="1081"/>
      <c r="HU2153" s="1081"/>
      <c r="HV2153" s="1081"/>
      <c r="HW2153" s="1081"/>
      <c r="HX2153" s="1081"/>
      <c r="HY2153" s="1081"/>
      <c r="HZ2153" s="1081"/>
      <c r="IA2153" s="1081"/>
      <c r="IB2153" s="1081"/>
      <c r="IC2153" s="1081"/>
      <c r="ID2153" s="1081"/>
      <c r="IE2153" s="1081"/>
      <c r="IF2153" s="1081"/>
      <c r="IG2153" s="1081"/>
      <c r="IH2153" s="1081"/>
      <c r="II2153" s="1081"/>
      <c r="IJ2153" s="1081"/>
      <c r="IK2153" s="1081"/>
      <c r="IL2153" s="1081"/>
      <c r="IM2153" s="1081"/>
      <c r="IN2153" s="1081"/>
      <c r="IO2153" s="1081"/>
      <c r="IP2153" s="1081"/>
      <c r="IQ2153" s="1081"/>
      <c r="IR2153" s="1081"/>
      <c r="IS2153" s="1081"/>
      <c r="IT2153" s="1081"/>
      <c r="IU2153" s="1081"/>
    </row>
    <row r="2154" spans="1:255" s="1527" customFormat="1" ht="14.4" hidden="1" outlineLevel="1">
      <c r="A2154" s="1519" t="str">
        <f>A2153</f>
        <v/>
      </c>
      <c r="B2154" s="1068"/>
      <c r="C2154" s="1520"/>
      <c r="D2154" s="1521"/>
      <c r="E2154" s="1522" t="s">
        <v>3399</v>
      </c>
      <c r="F2154" s="1521"/>
      <c r="G2154" s="1523"/>
      <c r="H2154" s="1524"/>
      <c r="I2154" s="1524"/>
      <c r="J2154" s="1524"/>
      <c r="K2154" s="1524"/>
      <c r="L2154" s="1524"/>
      <c r="M2154" s="1524"/>
      <c r="N2154" s="1524"/>
      <c r="O2154" s="1524"/>
      <c r="P2154" s="1525"/>
      <c r="Q2154" s="1526"/>
      <c r="R2154" s="1300"/>
      <c r="S2154" s="1526"/>
    </row>
    <row r="2155" spans="1:255" s="1081" customFormat="1" hidden="1" outlineLevel="1">
      <c r="A2155" s="1072" t="str">
        <f t="shared" ref="A2155:A2170" si="534">IF(G2155&lt;&gt;0,1,"")</f>
        <v/>
      </c>
      <c r="B2155" s="1068" t="s">
        <v>4569</v>
      </c>
      <c r="C2155" s="1302"/>
      <c r="D2155" s="1198" t="str">
        <f>VLOOKUP($B2155,dongia1,DG!$B$5,)</f>
        <v>T5.1001</v>
      </c>
      <c r="E2155" s="1243" t="str">
        <f>VLOOKUP($B2155,dongia1,DG!$C$5,)</f>
        <v>Tủ điện kế</v>
      </c>
      <c r="F2155" s="1198" t="str">
        <f>VLOOKUP($B2155,dongia1,DG!$D$5,)</f>
        <v>cái</v>
      </c>
      <c r="G2155" s="1508">
        <f>G2153</f>
        <v>0</v>
      </c>
      <c r="H2155" s="1298">
        <f>VLOOKUP($B2155,dongia1,DG!$F$5,)</f>
        <v>783952</v>
      </c>
      <c r="I2155" s="1298"/>
      <c r="J2155" s="1298">
        <f>VLOOKUP($B2155,dongia1,DG!$G$5,)</f>
        <v>599038</v>
      </c>
      <c r="K2155" s="1298">
        <f>VLOOKUP($B2155,dongia1,DG!$H$5,)</f>
        <v>97369</v>
      </c>
      <c r="L2155" s="1298">
        <f t="shared" ref="L2155:L2170" si="535">H2155*G2155</f>
        <v>0</v>
      </c>
      <c r="M2155" s="1298">
        <f t="shared" ref="M2155:M2170" si="536">I2155*G2155</f>
        <v>0</v>
      </c>
      <c r="N2155" s="1298">
        <f t="shared" ref="N2155:N2170" si="537">J2155*G2155</f>
        <v>0</v>
      </c>
      <c r="O2155" s="1298">
        <f t="shared" ref="O2155:O2170" si="538">K2155*G2155</f>
        <v>0</v>
      </c>
      <c r="P2155" s="1499"/>
      <c r="Q2155" s="1300"/>
      <c r="R2155" s="1300"/>
      <c r="S2155" s="1300"/>
    </row>
    <row r="2156" spans="1:255" s="1081" customFormat="1" hidden="1" outlineLevel="1">
      <c r="A2156" s="1072" t="str">
        <f t="shared" si="534"/>
        <v/>
      </c>
      <c r="B2156" s="1068" t="s">
        <v>1560</v>
      </c>
      <c r="C2156" s="1302"/>
      <c r="D2156" s="1198">
        <f>VLOOKUP($B2156,dongia1,DG!$B$5,)</f>
        <v>0</v>
      </c>
      <c r="E2156" s="1243" t="str">
        <f>VLOOKUP($B2156,dongia1,DG!$C$5,)</f>
        <v xml:space="preserve">Bakelit 500x300 dầy 10mm </v>
      </c>
      <c r="F2156" s="1198" t="str">
        <f>VLOOKUP($B2156,dongia1,DG!$D$5,)</f>
        <v>cái</v>
      </c>
      <c r="G2156" s="1508">
        <f>G2155</f>
        <v>0</v>
      </c>
      <c r="H2156" s="1298">
        <f>VLOOKUP($B2156,dongia1,DG!$F$5,)</f>
        <v>284000</v>
      </c>
      <c r="I2156" s="1298"/>
      <c r="J2156" s="1298">
        <f>VLOOKUP($B2156,dongia1,DG!$G$5,)</f>
        <v>5404</v>
      </c>
      <c r="K2156" s="1298">
        <f>VLOOKUP($B2156,dongia1,DG!$H$5,)</f>
        <v>0</v>
      </c>
      <c r="L2156" s="1298">
        <f t="shared" si="535"/>
        <v>0</v>
      </c>
      <c r="M2156" s="1298">
        <f t="shared" si="536"/>
        <v>0</v>
      </c>
      <c r="N2156" s="1298">
        <f t="shared" si="537"/>
        <v>0</v>
      </c>
      <c r="O2156" s="1298">
        <f t="shared" si="538"/>
        <v>0</v>
      </c>
      <c r="P2156" s="1499"/>
      <c r="Q2156" s="1300"/>
      <c r="R2156" s="1300"/>
      <c r="S2156" s="1300"/>
    </row>
    <row r="2157" spans="1:255" s="1081" customFormat="1" hidden="1" outlineLevel="1">
      <c r="A2157" s="1072" t="str">
        <f t="shared" si="534"/>
        <v/>
      </c>
      <c r="B2157" s="1068" t="s">
        <v>888</v>
      </c>
      <c r="C2157" s="1302"/>
      <c r="D2157" s="1198">
        <f>VLOOKUP($B2157,dongia1,DG!$B$5,)</f>
        <v>0</v>
      </c>
      <c r="E2157" s="1243" t="str">
        <f>VLOOKUP($B2157,dongia1,DG!$C$5,)</f>
        <v>Bảng tên trạm + bảng báo nguy hiểm</v>
      </c>
      <c r="F2157" s="1198" t="str">
        <f>VLOOKUP($B2157,dongia1,DG!$D$5,)</f>
        <v>cái</v>
      </c>
      <c r="G2157" s="1508">
        <f>G2153</f>
        <v>0</v>
      </c>
      <c r="H2157" s="1298">
        <f>VLOOKUP($B2157,dongia1,DG!$F$5,)</f>
        <v>300000</v>
      </c>
      <c r="I2157" s="1298"/>
      <c r="J2157" s="1298">
        <f>VLOOKUP($B2157,dongia1,DG!$G$5,)</f>
        <v>0</v>
      </c>
      <c r="K2157" s="1298">
        <f>VLOOKUP($B2157,dongia1,DG!$H$5,)</f>
        <v>0</v>
      </c>
      <c r="L2157" s="1298">
        <f t="shared" si="535"/>
        <v>0</v>
      </c>
      <c r="M2157" s="1298">
        <f t="shared" si="536"/>
        <v>0</v>
      </c>
      <c r="N2157" s="1298">
        <f t="shared" si="537"/>
        <v>0</v>
      </c>
      <c r="O2157" s="1298">
        <f t="shared" si="538"/>
        <v>0</v>
      </c>
      <c r="P2157" s="1499"/>
      <c r="Q2157" s="1300"/>
      <c r="R2157" s="1300"/>
      <c r="S2157" s="1300"/>
    </row>
    <row r="2158" spans="1:255" s="1081" customFormat="1" hidden="1" outlineLevel="1">
      <c r="A2158" s="1072" t="str">
        <f t="shared" si="534"/>
        <v/>
      </c>
      <c r="B2158" s="1068" t="s">
        <v>1542</v>
      </c>
      <c r="C2158" s="1302"/>
      <c r="D2158" s="1198">
        <f>VLOOKUP($B2158,dongia1,DG!$B$5,)</f>
        <v>0</v>
      </c>
      <c r="E2158" s="1243" t="str">
        <f>VLOOKUP($B2158,dongia1,DG!$C$5,)</f>
        <v>Cổ dê bắt tủ</v>
      </c>
      <c r="F2158" s="1198" t="str">
        <f>VLOOKUP($B2158,dongia1,DG!$D$5,)</f>
        <v>bộ</v>
      </c>
      <c r="G2158" s="1508">
        <f>G2155*2</f>
        <v>0</v>
      </c>
      <c r="H2158" s="1298">
        <f>VLOOKUP($B2158,dongia1,DG!$F$5,)</f>
        <v>168000</v>
      </c>
      <c r="I2158" s="1298"/>
      <c r="J2158" s="1298">
        <f>VLOOKUP($B2158,dongia1,DG!$G$5,)</f>
        <v>0</v>
      </c>
      <c r="K2158" s="1298">
        <f>VLOOKUP($B2158,dongia1,DG!$H$5,)</f>
        <v>0</v>
      </c>
      <c r="L2158" s="1298">
        <f t="shared" si="535"/>
        <v>0</v>
      </c>
      <c r="M2158" s="1298">
        <f t="shared" si="536"/>
        <v>0</v>
      </c>
      <c r="N2158" s="1298">
        <f t="shared" si="537"/>
        <v>0</v>
      </c>
      <c r="O2158" s="1298">
        <f t="shared" si="538"/>
        <v>0</v>
      </c>
      <c r="P2158" s="1499"/>
      <c r="Q2158" s="1300"/>
      <c r="R2158" s="1300"/>
      <c r="S2158" s="1300"/>
    </row>
    <row r="2159" spans="1:255" s="1081" customFormat="1" hidden="1" outlineLevel="1">
      <c r="A2159" s="1072" t="str">
        <f t="shared" si="534"/>
        <v/>
      </c>
      <c r="B2159" s="1295" t="s">
        <v>865</v>
      </c>
      <c r="C2159" s="1302"/>
      <c r="D2159" s="1198" t="str">
        <f>VLOOKUP($B2159,dongia1,DG!$B$5,)</f>
        <v>03.1401</v>
      </c>
      <c r="E2159" s="1243" t="str">
        <f>VLOOKUP($B2159,dongia1,DG!$C$5,)</f>
        <v xml:space="preserve">Cáp CVV 4x2,5mm2  </v>
      </c>
      <c r="F2159" s="1198" t="str">
        <f>VLOOKUP($B2159,dongia1,DG!$D$5,)</f>
        <v>mét</v>
      </c>
      <c r="G2159" s="1508">
        <f>G2153*6</f>
        <v>0</v>
      </c>
      <c r="H2159" s="1298">
        <f>VLOOKUP($B2159,dongia1,DG!$F$5,)</f>
        <v>28200</v>
      </c>
      <c r="I2159" s="1298"/>
      <c r="J2159" s="1298">
        <f>VLOOKUP($B2159,dongia1,DG!$G$5,)</f>
        <v>0</v>
      </c>
      <c r="K2159" s="1298">
        <f>VLOOKUP($B2159,dongia1,DG!$H$5,)</f>
        <v>0</v>
      </c>
      <c r="L2159" s="1298">
        <f t="shared" si="535"/>
        <v>0</v>
      </c>
      <c r="M2159" s="1298">
        <f t="shared" si="536"/>
        <v>0</v>
      </c>
      <c r="N2159" s="1298">
        <f t="shared" si="537"/>
        <v>0</v>
      </c>
      <c r="O2159" s="1298">
        <f t="shared" si="538"/>
        <v>0</v>
      </c>
      <c r="P2159" s="1499"/>
      <c r="Q2159" s="1300"/>
      <c r="R2159" s="1300"/>
      <c r="S2159" s="1300"/>
    </row>
    <row r="2160" spans="1:255" s="1081" customFormat="1" hidden="1" outlineLevel="1">
      <c r="A2160" s="1072" t="str">
        <f t="shared" si="534"/>
        <v/>
      </c>
      <c r="B2160" s="1295" t="s">
        <v>829</v>
      </c>
      <c r="C2160" s="1302"/>
      <c r="D2160" s="1198">
        <f>VLOOKUP($B2160,dongia1,DG!$B$5,)</f>
        <v>0</v>
      </c>
      <c r="E2160" s="1243" t="str">
        <f>VLOOKUP($B2160,dongia1,DG!$C$5,)</f>
        <v xml:space="preserve">Đầu cosse ép Cu 2,5mm2 + bao PVC </v>
      </c>
      <c r="F2160" s="1198" t="str">
        <f>VLOOKUP($B2160,dongia1,DG!$D$5,)</f>
        <v>cái</v>
      </c>
      <c r="G2160" s="1508">
        <f>G2153*4*2</f>
        <v>0</v>
      </c>
      <c r="H2160" s="1298">
        <f>VLOOKUP($B2160,dongia1,DG!$F$5,)</f>
        <v>1700</v>
      </c>
      <c r="I2160" s="1298"/>
      <c r="J2160" s="1298">
        <f>VLOOKUP($B2160,dongia1,DG!$G$5,)</f>
        <v>0</v>
      </c>
      <c r="K2160" s="1298">
        <f>VLOOKUP($B2160,dongia1,DG!$H$5,)</f>
        <v>0</v>
      </c>
      <c r="L2160" s="1298">
        <f t="shared" si="535"/>
        <v>0</v>
      </c>
      <c r="M2160" s="1298">
        <f t="shared" si="536"/>
        <v>0</v>
      </c>
      <c r="N2160" s="1298">
        <f t="shared" si="537"/>
        <v>0</v>
      </c>
      <c r="O2160" s="1298">
        <f t="shared" si="538"/>
        <v>0</v>
      </c>
      <c r="P2160" s="1499"/>
      <c r="Q2160" s="1300"/>
      <c r="R2160" s="1300"/>
      <c r="S2160" s="1300"/>
    </row>
    <row r="2161" spans="1:19" s="1081" customFormat="1" hidden="1" outlineLevel="1">
      <c r="A2161" s="1072" t="str">
        <f t="shared" si="534"/>
        <v/>
      </c>
      <c r="B2161" s="1295" t="s">
        <v>1736</v>
      </c>
      <c r="C2161" s="1302"/>
      <c r="D2161" s="1198">
        <f>VLOOKUP($B2161,dongia1,DG!$B$5,)</f>
        <v>0</v>
      </c>
      <c r="E2161" s="1243" t="str">
        <f>VLOOKUP($B2161,dongia1,DG!$C$5,)</f>
        <v>Ống PVC D42x2,1mm</v>
      </c>
      <c r="F2161" s="1198" t="str">
        <f>VLOOKUP($B2161,dongia1,DG!$D$5,)</f>
        <v>m</v>
      </c>
      <c r="G2161" s="1508">
        <f>G2156*4</f>
        <v>0</v>
      </c>
      <c r="H2161" s="1298">
        <f>VLOOKUP($B2161,dongia1,DG!$F$5,)</f>
        <v>16100</v>
      </c>
      <c r="I2161" s="1298"/>
      <c r="J2161" s="1298">
        <f>VLOOKUP($B2161,dongia1,DG!$G$5,)</f>
        <v>0</v>
      </c>
      <c r="K2161" s="1298">
        <f>VLOOKUP($B2161,dongia1,DG!$H$5,)</f>
        <v>0</v>
      </c>
      <c r="L2161" s="1298">
        <f t="shared" si="535"/>
        <v>0</v>
      </c>
      <c r="M2161" s="1298">
        <f t="shared" si="536"/>
        <v>0</v>
      </c>
      <c r="N2161" s="1298">
        <f t="shared" si="537"/>
        <v>0</v>
      </c>
      <c r="O2161" s="1298">
        <f t="shared" si="538"/>
        <v>0</v>
      </c>
      <c r="P2161" s="1499"/>
      <c r="Q2161" s="1300"/>
      <c r="R2161" s="1300"/>
      <c r="S2161" s="1300"/>
    </row>
    <row r="2162" spans="1:19" s="1081" customFormat="1" hidden="1" outlineLevel="1">
      <c r="A2162" s="1072" t="str">
        <f t="shared" si="534"/>
        <v/>
      </c>
      <c r="B2162" s="1295" t="s">
        <v>4704</v>
      </c>
      <c r="C2162" s="1302"/>
      <c r="D2162" s="1198">
        <f>VLOOKUP($B2162,dongia1,DG!$B$5,)</f>
        <v>0</v>
      </c>
      <c r="E2162" s="1243" t="str">
        <f>VLOOKUP($B2162,dongia1,DG!$C$5,)</f>
        <v>Co 90 độ PVC 42</v>
      </c>
      <c r="F2162" s="1198" t="str">
        <f>VLOOKUP($B2162,dongia1,DG!$D$5,)</f>
        <v>cái</v>
      </c>
      <c r="G2162" s="1508">
        <f>G2153</f>
        <v>0</v>
      </c>
      <c r="H2162" s="1298">
        <f>VLOOKUP($B2162,dongia1,DG!$F$5,)</f>
        <v>11400</v>
      </c>
      <c r="I2162" s="1298"/>
      <c r="J2162" s="1298">
        <f>VLOOKUP($B2162,dongia1,DG!$G$5,)</f>
        <v>0</v>
      </c>
      <c r="K2162" s="1298">
        <f>VLOOKUP($B2162,dongia1,DG!$H$5,)</f>
        <v>0</v>
      </c>
      <c r="L2162" s="1298">
        <f t="shared" si="535"/>
        <v>0</v>
      </c>
      <c r="M2162" s="1298">
        <f t="shared" si="536"/>
        <v>0</v>
      </c>
      <c r="N2162" s="1298">
        <f t="shared" si="537"/>
        <v>0</v>
      </c>
      <c r="O2162" s="1298">
        <f t="shared" si="538"/>
        <v>0</v>
      </c>
      <c r="P2162" s="1499"/>
      <c r="Q2162" s="1300"/>
      <c r="R2162" s="1300"/>
      <c r="S2162" s="1300"/>
    </row>
    <row r="2163" spans="1:19" s="1081" customFormat="1" hidden="1" outlineLevel="1">
      <c r="A2163" s="1072" t="str">
        <f t="shared" si="534"/>
        <v/>
      </c>
      <c r="B2163" s="1295" t="s">
        <v>1524</v>
      </c>
      <c r="C2163" s="1302"/>
      <c r="D2163" s="1198">
        <f>VLOOKUP($B2163,dongia1,DG!$B$5,)</f>
        <v>0</v>
      </c>
      <c r="E2163" s="1243" t="str">
        <f>VLOOKUP($B2163,dongia1,DG!$C$5,)</f>
        <v>Cổ dê giữ ống PVC D42</v>
      </c>
      <c r="F2163" s="1198" t="str">
        <f>VLOOKUP($B2163,dongia1,DG!$D$5,)</f>
        <v>bộ</v>
      </c>
      <c r="G2163" s="1508">
        <f>G2153*2</f>
        <v>0</v>
      </c>
      <c r="H2163" s="1298">
        <f>VLOOKUP($B2163,dongia1,DG!$F$5,)</f>
        <v>34000</v>
      </c>
      <c r="I2163" s="1298"/>
      <c r="J2163" s="1298">
        <f>VLOOKUP($B2163,dongia1,DG!$G$5,)</f>
        <v>0</v>
      </c>
      <c r="K2163" s="1298">
        <f>VLOOKUP($B2163,dongia1,DG!$H$5,)</f>
        <v>0</v>
      </c>
      <c r="L2163" s="1298">
        <f t="shared" si="535"/>
        <v>0</v>
      </c>
      <c r="M2163" s="1298">
        <f t="shared" si="536"/>
        <v>0</v>
      </c>
      <c r="N2163" s="1298">
        <f t="shared" si="537"/>
        <v>0</v>
      </c>
      <c r="O2163" s="1298">
        <f t="shared" si="538"/>
        <v>0</v>
      </c>
      <c r="P2163" s="1499"/>
      <c r="Q2163" s="1300"/>
      <c r="R2163" s="1300"/>
      <c r="S2163" s="1300"/>
    </row>
    <row r="2164" spans="1:19" s="1081" customFormat="1" hidden="1" outlineLevel="1">
      <c r="A2164" s="1072" t="str">
        <f t="shared" si="534"/>
        <v/>
      </c>
      <c r="B2164" s="1295" t="s">
        <v>4705</v>
      </c>
      <c r="C2164" s="1302"/>
      <c r="D2164" s="1198">
        <f>VLOOKUP($B2164,dongia1,DG!$B$5,)</f>
        <v>0</v>
      </c>
      <c r="E2164" s="1243" t="str">
        <f>VLOOKUP($B2164,dongia1,DG!$C$5,)</f>
        <v>Khâu ven răng trong D42</v>
      </c>
      <c r="F2164" s="1198" t="str">
        <f>VLOOKUP($B2164,dongia1,DG!$D$5,)</f>
        <v>cái</v>
      </c>
      <c r="G2164" s="1508">
        <f>G2153*2</f>
        <v>0</v>
      </c>
      <c r="H2164" s="1298">
        <f>VLOOKUP($B2164,dongia1,DG!$F$5,)</f>
        <v>5000</v>
      </c>
      <c r="I2164" s="1298"/>
      <c r="J2164" s="1298">
        <f>VLOOKUP($B2164,dongia1,DG!$G$5,)</f>
        <v>0</v>
      </c>
      <c r="K2164" s="1298">
        <f>VLOOKUP($B2164,dongia1,DG!$H$5,)</f>
        <v>0</v>
      </c>
      <c r="L2164" s="1298">
        <f t="shared" si="535"/>
        <v>0</v>
      </c>
      <c r="M2164" s="1298">
        <f t="shared" si="536"/>
        <v>0</v>
      </c>
      <c r="N2164" s="1298">
        <f t="shared" si="537"/>
        <v>0</v>
      </c>
      <c r="O2164" s="1298">
        <f t="shared" si="538"/>
        <v>0</v>
      </c>
      <c r="P2164" s="1499"/>
      <c r="Q2164" s="1300"/>
      <c r="R2164" s="1300"/>
      <c r="S2164" s="1300"/>
    </row>
    <row r="2165" spans="1:19" s="1081" customFormat="1" hidden="1" outlineLevel="1">
      <c r="A2165" s="1072" t="str">
        <f t="shared" si="534"/>
        <v/>
      </c>
      <c r="B2165" s="1295" t="s">
        <v>4706</v>
      </c>
      <c r="C2165" s="1302"/>
      <c r="D2165" s="1198">
        <f>VLOOKUP($B2165,dongia1,DG!$B$5,)</f>
        <v>0</v>
      </c>
      <c r="E2165" s="1243" t="str">
        <f>VLOOKUP($B2165,dongia1,DG!$C$5,)</f>
        <v>Khâu ven răng ngoài D42</v>
      </c>
      <c r="F2165" s="1198" t="str">
        <f>VLOOKUP($B2165,dongia1,DG!$D$5,)</f>
        <v>cái</v>
      </c>
      <c r="G2165" s="1508">
        <f>G2164</f>
        <v>0</v>
      </c>
      <c r="H2165" s="1298">
        <f>VLOOKUP($B2165,dongia1,DG!$F$5,)</f>
        <v>5200</v>
      </c>
      <c r="I2165" s="1298"/>
      <c r="J2165" s="1298">
        <f>VLOOKUP($B2165,dongia1,DG!$G$5,)</f>
        <v>0</v>
      </c>
      <c r="K2165" s="1298">
        <f>VLOOKUP($B2165,dongia1,DG!$H$5,)</f>
        <v>0</v>
      </c>
      <c r="L2165" s="1298">
        <f t="shared" si="535"/>
        <v>0</v>
      </c>
      <c r="M2165" s="1298">
        <f t="shared" si="536"/>
        <v>0</v>
      </c>
      <c r="N2165" s="1298">
        <f t="shared" si="537"/>
        <v>0</v>
      </c>
      <c r="O2165" s="1298">
        <f t="shared" si="538"/>
        <v>0</v>
      </c>
      <c r="P2165" s="1499"/>
      <c r="Q2165" s="1300"/>
      <c r="R2165" s="1300"/>
      <c r="S2165" s="1300"/>
    </row>
    <row r="2166" spans="1:19" s="1081" customFormat="1" hidden="1" outlineLevel="1">
      <c r="A2166" s="1072" t="str">
        <f t="shared" si="534"/>
        <v/>
      </c>
      <c r="B2166" s="1295" t="s">
        <v>822</v>
      </c>
      <c r="C2166" s="1302"/>
      <c r="D2166" s="1198">
        <f>VLOOKUP($B2166,dongia1,DG!$B$5,)</f>
        <v>0</v>
      </c>
      <c r="E2166" s="1243" t="str">
        <f>VLOOKUP($B2166,dongia1,DG!$C$5,)</f>
        <v>Ống đàn hồi 42</v>
      </c>
      <c r="F2166" s="1198" t="str">
        <f>VLOOKUP($B2166,dongia1,DG!$D$5,)</f>
        <v>m</v>
      </c>
      <c r="G2166" s="1508">
        <f>G2153*1.5</f>
        <v>0</v>
      </c>
      <c r="H2166" s="1298">
        <f>VLOOKUP($B2166,dongia1,DG!$F$5,)</f>
        <v>3100</v>
      </c>
      <c r="I2166" s="1298"/>
      <c r="J2166" s="1298">
        <f>VLOOKUP($B2166,dongia1,DG!$G$5,)</f>
        <v>0</v>
      </c>
      <c r="K2166" s="1298">
        <f>VLOOKUP($B2166,dongia1,DG!$H$5,)</f>
        <v>0</v>
      </c>
      <c r="L2166" s="1298">
        <f t="shared" si="535"/>
        <v>0</v>
      </c>
      <c r="M2166" s="1298">
        <f t="shared" si="536"/>
        <v>0</v>
      </c>
      <c r="N2166" s="1298">
        <f t="shared" si="537"/>
        <v>0</v>
      </c>
      <c r="O2166" s="1298">
        <f t="shared" si="538"/>
        <v>0</v>
      </c>
      <c r="P2166" s="1499"/>
      <c r="Q2166" s="1300"/>
      <c r="R2166" s="1300"/>
      <c r="S2166" s="1300"/>
    </row>
    <row r="2167" spans="1:19" s="1081" customFormat="1" hidden="1" outlineLevel="1">
      <c r="A2167" s="1072" t="str">
        <f t="shared" si="534"/>
        <v/>
      </c>
      <c r="B2167" s="1295" t="s">
        <v>887</v>
      </c>
      <c r="C2167" s="1302"/>
      <c r="D2167" s="1198">
        <f>VLOOKUP($B2167,dongia1,DG!$B$5,)</f>
        <v>0</v>
      </c>
      <c r="E2167" s="1243" t="str">
        <f>VLOOKUP($B2167,dongia1,DG!$C$5,)</f>
        <v>Keo dán ống PVC (100gr)</v>
      </c>
      <c r="F2167" s="1198" t="str">
        <f>VLOOKUP($B2167,dongia1,DG!$D$5,)</f>
        <v>tuýp</v>
      </c>
      <c r="G2167" s="1508">
        <f>G2153*1</f>
        <v>0</v>
      </c>
      <c r="H2167" s="1298">
        <f>VLOOKUP($B2167,dongia1,DG!$F$5,)</f>
        <v>11500</v>
      </c>
      <c r="I2167" s="1298"/>
      <c r="J2167" s="1298">
        <f>VLOOKUP($B2167,dongia1,DG!$G$5,)</f>
        <v>0</v>
      </c>
      <c r="K2167" s="1298">
        <f>VLOOKUP($B2167,dongia1,DG!$H$5,)</f>
        <v>0</v>
      </c>
      <c r="L2167" s="1298">
        <f t="shared" si="535"/>
        <v>0</v>
      </c>
      <c r="M2167" s="1298">
        <f t="shared" si="536"/>
        <v>0</v>
      </c>
      <c r="N2167" s="1298">
        <f t="shared" si="537"/>
        <v>0</v>
      </c>
      <c r="O2167" s="1298">
        <f t="shared" si="538"/>
        <v>0</v>
      </c>
      <c r="P2167" s="1499"/>
      <c r="Q2167" s="1300"/>
      <c r="R2167" s="1300"/>
      <c r="S2167" s="1300"/>
    </row>
    <row r="2168" spans="1:19" s="1081" customFormat="1" hidden="1" outlineLevel="1">
      <c r="A2168" s="1072" t="str">
        <f t="shared" si="534"/>
        <v/>
      </c>
      <c r="B2168" s="1295" t="s">
        <v>1690</v>
      </c>
      <c r="C2168" s="1302"/>
      <c r="D2168" s="1198">
        <f>VLOOKUP($B2168,dongia1,DG!$B$5,)</f>
        <v>0</v>
      </c>
      <c r="E2168" s="1243" t="str">
        <f>VLOOKUP($B2168,dongia1,DG!$C$5,)</f>
        <v>Keo silicon bít miệng ống</v>
      </c>
      <c r="F2168" s="1198" t="str">
        <f>VLOOKUP($B2168,dongia1,DG!$D$5,)</f>
        <v>chai</v>
      </c>
      <c r="G2168" s="1508">
        <f>G2153*1</f>
        <v>0</v>
      </c>
      <c r="H2168" s="1298">
        <f>VLOOKUP($B2168,dongia1,DG!$F$5,)</f>
        <v>45000</v>
      </c>
      <c r="I2168" s="1298"/>
      <c r="J2168" s="1298">
        <f>VLOOKUP($B2168,dongia1,DG!$G$5,)</f>
        <v>0</v>
      </c>
      <c r="K2168" s="1298">
        <f>VLOOKUP($B2168,dongia1,DG!$H$5,)</f>
        <v>0</v>
      </c>
      <c r="L2168" s="1298">
        <f t="shared" si="535"/>
        <v>0</v>
      </c>
      <c r="M2168" s="1298">
        <f t="shared" si="536"/>
        <v>0</v>
      </c>
      <c r="N2168" s="1298">
        <f t="shared" si="537"/>
        <v>0</v>
      </c>
      <c r="O2168" s="1298">
        <f t="shared" si="538"/>
        <v>0</v>
      </c>
      <c r="P2168" s="1499"/>
      <c r="Q2168" s="1300"/>
      <c r="R2168" s="1300"/>
      <c r="S2168" s="1300"/>
    </row>
    <row r="2169" spans="1:19" s="1081" customFormat="1" hidden="1" outlineLevel="1">
      <c r="A2169" s="1072" t="str">
        <f t="shared" si="534"/>
        <v/>
      </c>
      <c r="B2169" s="1295" t="s">
        <v>236</v>
      </c>
      <c r="C2169" s="1302"/>
      <c r="D2169" s="1198">
        <f>VLOOKUP($B2169,dongia1,DG!$B$5,)</f>
        <v>0</v>
      </c>
      <c r="E2169" s="1243" t="str">
        <f>VLOOKUP($B2169,dongia1,DG!$C$5,)</f>
        <v>Băng keo cách điện hạ thế</v>
      </c>
      <c r="F2169" s="1198" t="str">
        <f>VLOOKUP($B2169,dongia1,DG!$D$5,)</f>
        <v>cuộn</v>
      </c>
      <c r="G2169" s="1508">
        <f>G2153*2</f>
        <v>0</v>
      </c>
      <c r="H2169" s="1298">
        <f>VLOOKUP($B2169,dongia1,DG!$F$5,)</f>
        <v>6500</v>
      </c>
      <c r="I2169" s="1298"/>
      <c r="J2169" s="1298">
        <f>VLOOKUP($B2169,dongia1,DG!$G$5,)</f>
        <v>0</v>
      </c>
      <c r="K2169" s="1298">
        <f>VLOOKUP($B2169,dongia1,DG!$H$5,)</f>
        <v>0</v>
      </c>
      <c r="L2169" s="1298">
        <f t="shared" si="535"/>
        <v>0</v>
      </c>
      <c r="M2169" s="1298">
        <f t="shared" si="536"/>
        <v>0</v>
      </c>
      <c r="N2169" s="1298">
        <f t="shared" si="537"/>
        <v>0</v>
      </c>
      <c r="O2169" s="1298">
        <f t="shared" si="538"/>
        <v>0</v>
      </c>
      <c r="P2169" s="1499"/>
      <c r="Q2169" s="1300"/>
      <c r="R2169" s="1300"/>
      <c r="S2169" s="1300"/>
    </row>
    <row r="2170" spans="1:19" s="1081" customFormat="1" hidden="1" outlineLevel="1">
      <c r="A2170" s="1072" t="str">
        <f t="shared" si="534"/>
        <v/>
      </c>
      <c r="B2170" s="1295" t="s">
        <v>224</v>
      </c>
      <c r="C2170" s="1302"/>
      <c r="D2170" s="1198" t="str">
        <f>VLOOKUP($B2170,dongia1,DG!$B$5,)</f>
        <v>T4.4201</v>
      </c>
      <c r="E2170" s="1243" t="str">
        <f>VLOOKUP($B2170,dongia1,DG!$C$5,)</f>
        <v>Lắp cáp đồng xuống thiết bị D ≤ 95mm2</v>
      </c>
      <c r="F2170" s="1198" t="str">
        <f>VLOOKUP($B2170,dongia1,DG!$D$5,)</f>
        <v>m</v>
      </c>
      <c r="G2170" s="1508">
        <f>G2161*2</f>
        <v>0</v>
      </c>
      <c r="H2170" s="1298">
        <f>VLOOKUP($B2170,dongia1,DG!$F$5,)</f>
        <v>0</v>
      </c>
      <c r="I2170" s="1298"/>
      <c r="J2170" s="1298">
        <f>VLOOKUP($B2170,dongia1,DG!$G$5,)</f>
        <v>13915</v>
      </c>
      <c r="K2170" s="1298">
        <f>VLOOKUP($B2170,dongia1,DG!$H$5,)</f>
        <v>0</v>
      </c>
      <c r="L2170" s="1298">
        <f t="shared" si="535"/>
        <v>0</v>
      </c>
      <c r="M2170" s="1298">
        <f t="shared" si="536"/>
        <v>0</v>
      </c>
      <c r="N2170" s="1298">
        <f t="shared" si="537"/>
        <v>0</v>
      </c>
      <c r="O2170" s="1298">
        <f t="shared" si="538"/>
        <v>0</v>
      </c>
      <c r="P2170" s="1499"/>
      <c r="Q2170" s="1300"/>
      <c r="R2170" s="1300"/>
      <c r="S2170" s="1300"/>
    </row>
    <row r="2171" spans="1:19" s="1081" customFormat="1" hidden="1" outlineLevel="1">
      <c r="A2171" s="1072" t="str">
        <f>IF(G2171&lt;&gt;0,1,"")</f>
        <v/>
      </c>
      <c r="B2171" s="1295"/>
      <c r="C2171" s="1291">
        <f>IF(G2171&gt;0,C2153+1,C2153)</f>
        <v>0</v>
      </c>
      <c r="D2171" s="1292"/>
      <c r="E2171" s="1293" t="s">
        <v>3449</v>
      </c>
      <c r="F2171" s="1291" t="s">
        <v>2113</v>
      </c>
      <c r="G2171" s="1509">
        <f>G2057</f>
        <v>0</v>
      </c>
      <c r="H2171" s="1298"/>
      <c r="I2171" s="1298"/>
      <c r="J2171" s="1298"/>
      <c r="K2171" s="1298"/>
      <c r="L2171" s="1298"/>
      <c r="M2171" s="1298"/>
      <c r="N2171" s="1298"/>
      <c r="O2171" s="1298"/>
      <c r="P2171" s="1499"/>
      <c r="Q2171" s="1300"/>
      <c r="R2171" s="1300"/>
      <c r="S2171" s="1300"/>
    </row>
    <row r="2172" spans="1:19" s="1081" customFormat="1" ht="14.4" hidden="1" outlineLevel="1">
      <c r="A2172" s="1072" t="str">
        <f>A2171</f>
        <v/>
      </c>
      <c r="B2172" s="1295"/>
      <c r="C2172" s="1291"/>
      <c r="D2172" s="1292"/>
      <c r="E2172" s="1308" t="s">
        <v>3399</v>
      </c>
      <c r="F2172" s="1291"/>
      <c r="G2172" s="1509"/>
      <c r="H2172" s="1298"/>
      <c r="I2172" s="1298"/>
      <c r="J2172" s="1298"/>
      <c r="K2172" s="1298"/>
      <c r="L2172" s="1298"/>
      <c r="M2172" s="1298"/>
      <c r="N2172" s="1298"/>
      <c r="O2172" s="1298"/>
      <c r="P2172" s="1499"/>
      <c r="Q2172" s="1300"/>
      <c r="R2172" s="1300"/>
      <c r="S2172" s="1300"/>
    </row>
    <row r="2173" spans="1:19" s="1081" customFormat="1" hidden="1" outlineLevel="1">
      <c r="A2173" s="1072" t="str">
        <f t="shared" ref="A2173:A2184" si="539">IF(G2173&lt;&gt;0,1,"")</f>
        <v/>
      </c>
      <c r="B2173" s="1068" t="s">
        <v>648</v>
      </c>
      <c r="C2173" s="1302"/>
      <c r="D2173" s="1198">
        <f>VLOOKUP($B2173,dongia1,DG!$B$5,)</f>
        <v>0</v>
      </c>
      <c r="E2173" s="1243" t="str">
        <f>VLOOKUP($B2173,dongia1,DG!$C$5,)</f>
        <v>Cáp 24KV C/XLPE/PVC- 25mm2</v>
      </c>
      <c r="F2173" s="1198" t="str">
        <f>VLOOKUP($B2173,dongia1,DG!$D$5,)</f>
        <v>mét</v>
      </c>
      <c r="G2173" s="1508">
        <f>G2171*(7)*3</f>
        <v>0</v>
      </c>
      <c r="H2173" s="1298">
        <f>VLOOKUP($B2173,dongia1,DG!$F$5,)</f>
        <v>50996</v>
      </c>
      <c r="I2173" s="1298"/>
      <c r="J2173" s="1298">
        <f>VLOOKUP($B2173,dongia1,DG!$G$5,)</f>
        <v>0</v>
      </c>
      <c r="K2173" s="1298">
        <f>VLOOKUP($B2173,dongia1,DG!$H$5,)</f>
        <v>0</v>
      </c>
      <c r="L2173" s="1298">
        <f t="shared" ref="L2173:L2183" si="540">H2173*G2173</f>
        <v>0</v>
      </c>
      <c r="M2173" s="1298">
        <f>I2173*G2173</f>
        <v>0</v>
      </c>
      <c r="N2173" s="1298">
        <f t="shared" ref="N2173:N2183" si="541">J2173*G2173</f>
        <v>0</v>
      </c>
      <c r="O2173" s="1298">
        <f t="shared" ref="O2173:O2183" si="542">K2173*G2173</f>
        <v>0</v>
      </c>
      <c r="P2173" s="1499"/>
      <c r="Q2173" s="1300"/>
      <c r="R2173" s="1300"/>
      <c r="S2173" s="1300"/>
    </row>
    <row r="2174" spans="1:19" s="1081" customFormat="1" hidden="1" outlineLevel="1">
      <c r="A2174" s="1072" t="str">
        <f t="shared" si="539"/>
        <v/>
      </c>
      <c r="B2174" s="1421" t="s">
        <v>2028</v>
      </c>
      <c r="C2174" s="1302"/>
      <c r="D2174" s="1198">
        <f>VLOOKUP($B2174,dongia1,DG!$B$5,)</f>
        <v>0</v>
      </c>
      <c r="E2174" s="1243" t="str">
        <f>VLOOKUP($B2174,dongia1,DG!$C$5,)</f>
        <v>Kẹp quai 2/0</v>
      </c>
      <c r="F2174" s="1198" t="str">
        <f>VLOOKUP($B2174,dongia1,DG!$D$5,)</f>
        <v>cái</v>
      </c>
      <c r="G2174" s="1508">
        <f>G2171*3</f>
        <v>0</v>
      </c>
      <c r="H2174" s="1298">
        <f>VLOOKUP($B2174,dongia1,DG!$F$5,)</f>
        <v>46000</v>
      </c>
      <c r="I2174" s="1298"/>
      <c r="J2174" s="1298">
        <f>VLOOKUP($B2174,dongia1,DG!$G$5,)</f>
        <v>0</v>
      </c>
      <c r="K2174" s="1298">
        <f>VLOOKUP($B2174,dongia1,DG!$H$5,)</f>
        <v>0</v>
      </c>
      <c r="L2174" s="1298">
        <f t="shared" si="540"/>
        <v>0</v>
      </c>
      <c r="M2174" s="1298">
        <f t="shared" ref="M2174:M2183" si="543">I2174*G2174</f>
        <v>0</v>
      </c>
      <c r="N2174" s="1298">
        <f t="shared" si="541"/>
        <v>0</v>
      </c>
      <c r="O2174" s="1298">
        <f t="shared" si="542"/>
        <v>0</v>
      </c>
      <c r="P2174" s="1499"/>
      <c r="Q2174" s="1300"/>
      <c r="R2174" s="1300"/>
      <c r="S2174" s="1300"/>
    </row>
    <row r="2175" spans="1:19" s="1081" customFormat="1" hidden="1" outlineLevel="1">
      <c r="A2175" s="1072" t="str">
        <f t="shared" si="539"/>
        <v/>
      </c>
      <c r="B2175" s="1421" t="s">
        <v>2026</v>
      </c>
      <c r="C2175" s="1302"/>
      <c r="D2175" s="1198">
        <f>VLOOKUP($B2175,dongia1,DG!$B$5,)</f>
        <v>0</v>
      </c>
      <c r="E2175" s="1243" t="str">
        <f>VLOOKUP($B2175,dongia1,DG!$C$5,)&amp;": "</f>
        <v xml:space="preserve">Kẹp hotline 2/0: </v>
      </c>
      <c r="F2175" s="1198" t="str">
        <f>VLOOKUP($B2175,dongia1,DG!$D$5,)</f>
        <v>cái</v>
      </c>
      <c r="G2175" s="1508">
        <f>G2174</f>
        <v>0</v>
      </c>
      <c r="H2175" s="1298">
        <f>VLOOKUP($B2175,dongia1,DG!$F$5,)</f>
        <v>77000</v>
      </c>
      <c r="I2175" s="1298"/>
      <c r="J2175" s="1298">
        <f>VLOOKUP($B2175,dongia1,DG!$G$5,)</f>
        <v>0</v>
      </c>
      <c r="K2175" s="1298">
        <f>VLOOKUP($B2175,dongia1,DG!$H$5,)</f>
        <v>0</v>
      </c>
      <c r="L2175" s="1298">
        <f t="shared" si="540"/>
        <v>0</v>
      </c>
      <c r="M2175" s="1298">
        <f t="shared" si="543"/>
        <v>0</v>
      </c>
      <c r="N2175" s="1298">
        <f t="shared" si="541"/>
        <v>0</v>
      </c>
      <c r="O2175" s="1298">
        <f t="shared" si="542"/>
        <v>0</v>
      </c>
      <c r="P2175" s="1499"/>
      <c r="Q2175" s="1300"/>
      <c r="R2175" s="1300"/>
      <c r="S2175" s="1300"/>
    </row>
    <row r="2176" spans="1:19" s="1081" customFormat="1" hidden="1" outlineLevel="1">
      <c r="A2176" s="1072" t="str">
        <f t="shared" si="539"/>
        <v/>
      </c>
      <c r="B2176" s="1421" t="s">
        <v>2144</v>
      </c>
      <c r="C2176" s="1302"/>
      <c r="D2176" s="1198">
        <f>VLOOKUP($B2176,dongia1,DG!$B$5,)</f>
        <v>0</v>
      </c>
      <c r="E2176" s="1243" t="str">
        <f>VLOOKUP($B2176,dongia1,DG!$C$5,)</f>
        <v>Nắp che đầu cực FCO</v>
      </c>
      <c r="F2176" s="1198" t="str">
        <f>VLOOKUP($B2176,dongia1,DG!$D$5,)</f>
        <v>cái</v>
      </c>
      <c r="G2176" s="1508">
        <f>+G2171*3</f>
        <v>0</v>
      </c>
      <c r="H2176" s="1298">
        <f>VLOOKUP($B2176,dongia1,DG!$F$5,)</f>
        <v>218200</v>
      </c>
      <c r="I2176" s="1298"/>
      <c r="J2176" s="1298">
        <f>VLOOKUP($B2176,dongia1,DG!$G$5,)</f>
        <v>0</v>
      </c>
      <c r="K2176" s="1298">
        <f>VLOOKUP($B2176,dongia1,DG!$H$5,)</f>
        <v>0</v>
      </c>
      <c r="L2176" s="1298">
        <f t="shared" si="540"/>
        <v>0</v>
      </c>
      <c r="M2176" s="1298">
        <f t="shared" si="543"/>
        <v>0</v>
      </c>
      <c r="N2176" s="1298">
        <f t="shared" si="541"/>
        <v>0</v>
      </c>
      <c r="O2176" s="1298">
        <f t="shared" si="542"/>
        <v>0</v>
      </c>
      <c r="P2176" s="1507"/>
      <c r="Q2176" s="1300"/>
      <c r="R2176" s="1300"/>
      <c r="S2176" s="1300"/>
    </row>
    <row r="2177" spans="1:19" s="1081" customFormat="1" hidden="1" outlineLevel="1">
      <c r="A2177" s="1072" t="str">
        <f t="shared" si="539"/>
        <v/>
      </c>
      <c r="B2177" s="1421" t="s">
        <v>2121</v>
      </c>
      <c r="C2177" s="1302"/>
      <c r="D2177" s="1198">
        <f>VLOOKUP($B2177,dongia1,DG!$B$5,)</f>
        <v>0</v>
      </c>
      <c r="E2177" s="1243" t="str">
        <f>VLOOKUP($B2177,dongia1,DG!$C$5,)</f>
        <v>Nắp che đầu cực LA</v>
      </c>
      <c r="F2177" s="1198" t="str">
        <f>VLOOKUP($B2177,dongia1,DG!$D$5,)</f>
        <v>cái</v>
      </c>
      <c r="G2177" s="1508">
        <f>+G2171*3</f>
        <v>0</v>
      </c>
      <c r="H2177" s="1298">
        <f>VLOOKUP($B2177,dongia1,DG!$F$5,)</f>
        <v>39100</v>
      </c>
      <c r="I2177" s="1298"/>
      <c r="J2177" s="1298">
        <f>VLOOKUP($B2177,dongia1,DG!$G$5,)</f>
        <v>0</v>
      </c>
      <c r="K2177" s="1298">
        <f>VLOOKUP($B2177,dongia1,DG!$H$5,)</f>
        <v>0</v>
      </c>
      <c r="L2177" s="1298">
        <f t="shared" si="540"/>
        <v>0</v>
      </c>
      <c r="M2177" s="1298">
        <f t="shared" si="543"/>
        <v>0</v>
      </c>
      <c r="N2177" s="1298">
        <f t="shared" si="541"/>
        <v>0</v>
      </c>
      <c r="O2177" s="1298">
        <f t="shared" si="542"/>
        <v>0</v>
      </c>
      <c r="P2177" s="1507"/>
      <c r="Q2177" s="1300"/>
      <c r="R2177" s="1300"/>
      <c r="S2177" s="1300"/>
    </row>
    <row r="2178" spans="1:19" s="1081" customFormat="1" hidden="1" outlineLevel="1">
      <c r="A2178" s="1072" t="str">
        <f t="shared" si="539"/>
        <v/>
      </c>
      <c r="B2178" s="1421" t="s">
        <v>2123</v>
      </c>
      <c r="C2178" s="1302"/>
      <c r="D2178" s="1198">
        <f>VLOOKUP($B2178,dongia1,DG!$B$5,)</f>
        <v>0</v>
      </c>
      <c r="E2178" s="1243" t="str">
        <f>VLOOKUP($B2178,dongia1,DG!$C$5,)</f>
        <v>Nắp che đầu sứ MBA</v>
      </c>
      <c r="F2178" s="1198" t="str">
        <f>VLOOKUP($B2178,dongia1,DG!$D$5,)</f>
        <v>cái</v>
      </c>
      <c r="G2178" s="1508">
        <f>+G2171*3</f>
        <v>0</v>
      </c>
      <c r="H2178" s="1298">
        <f>VLOOKUP($B2178,dongia1,DG!$F$5,)</f>
        <v>56700</v>
      </c>
      <c r="I2178" s="1298"/>
      <c r="J2178" s="1298">
        <f>VLOOKUP($B2178,dongia1,DG!$G$5,)</f>
        <v>0</v>
      </c>
      <c r="K2178" s="1298">
        <f>VLOOKUP($B2178,dongia1,DG!$H$5,)</f>
        <v>0</v>
      </c>
      <c r="L2178" s="1298">
        <f t="shared" si="540"/>
        <v>0</v>
      </c>
      <c r="M2178" s="1298">
        <f t="shared" si="543"/>
        <v>0</v>
      </c>
      <c r="N2178" s="1298">
        <f t="shared" si="541"/>
        <v>0</v>
      </c>
      <c r="O2178" s="1298">
        <f t="shared" si="542"/>
        <v>0</v>
      </c>
      <c r="P2178" s="1507"/>
      <c r="Q2178" s="1300"/>
      <c r="R2178" s="1300"/>
      <c r="S2178" s="1300"/>
    </row>
    <row r="2179" spans="1:19" s="1081" customFormat="1" hidden="1" outlineLevel="1">
      <c r="A2179" s="1072" t="str">
        <f t="shared" si="539"/>
        <v/>
      </c>
      <c r="B2179" s="1421" t="s">
        <v>4610</v>
      </c>
      <c r="C2179" s="1302"/>
      <c r="D2179" s="1198"/>
      <c r="E2179" s="1243" t="str">
        <f>VLOOKUP($B2179,dongia1,DG!$C$5,)</f>
        <v>Chụp đầu cực TI, TU</v>
      </c>
      <c r="F2179" s="1198" t="str">
        <f>VLOOKUP($B2179,dongia1,DG!$D$5,)</f>
        <v>Cái</v>
      </c>
      <c r="G2179" s="1508">
        <f>G2171*3*3</f>
        <v>0</v>
      </c>
      <c r="H2179" s="1298">
        <f>VLOOKUP($B2179,dongia1,DG!$F$5,)</f>
        <v>25000</v>
      </c>
      <c r="I2179" s="1298"/>
      <c r="J2179" s="1298">
        <f>VLOOKUP($B2179,dongia1,DG!$G$5,)</f>
        <v>0</v>
      </c>
      <c r="K2179" s="1298">
        <f>VLOOKUP($B2179,dongia1,DG!$H$5,)</f>
        <v>0</v>
      </c>
      <c r="L2179" s="1298">
        <f t="shared" si="540"/>
        <v>0</v>
      </c>
      <c r="M2179" s="1298">
        <f t="shared" si="543"/>
        <v>0</v>
      </c>
      <c r="N2179" s="1298">
        <f t="shared" si="541"/>
        <v>0</v>
      </c>
      <c r="O2179" s="1298">
        <f t="shared" si="542"/>
        <v>0</v>
      </c>
      <c r="P2179" s="1507"/>
      <c r="Q2179" s="1300"/>
      <c r="R2179" s="1300"/>
      <c r="S2179" s="1300"/>
    </row>
    <row r="2180" spans="1:19" s="1081" customFormat="1" hidden="1" outlineLevel="1">
      <c r="A2180" s="1072" t="str">
        <f t="shared" si="539"/>
        <v/>
      </c>
      <c r="B2180" s="1068" t="s">
        <v>647</v>
      </c>
      <c r="C2180" s="1437"/>
      <c r="D2180" s="1198">
        <f>VLOOKUP($B2180,dongia1,DG!$B$5,)</f>
        <v>0</v>
      </c>
      <c r="E2180" s="1243" t="str">
        <f>VLOOKUP($B2180,dongia1,DG!$C$5,)</f>
        <v xml:space="preserve">Sứ đứng 24KV </v>
      </c>
      <c r="F2180" s="1198" t="str">
        <f>VLOOKUP($B2180,dongia1,DG!$D$5,)</f>
        <v>cái</v>
      </c>
      <c r="G2180" s="1508">
        <f>G2171*3</f>
        <v>0</v>
      </c>
      <c r="H2180" s="1298">
        <f>VLOOKUP($B2180,dongia1,DG!$F$5,)</f>
        <v>205000</v>
      </c>
      <c r="I2180" s="1298"/>
      <c r="J2180" s="1298">
        <f>VLOOKUP($B2180,dongia1,DG!$G$5,)</f>
        <v>0</v>
      </c>
      <c r="K2180" s="1298">
        <f>VLOOKUP($B2180,dongia1,DG!$H$5,)</f>
        <v>0</v>
      </c>
      <c r="L2180" s="1298">
        <f t="shared" si="540"/>
        <v>0</v>
      </c>
      <c r="M2180" s="1298">
        <f t="shared" si="543"/>
        <v>0</v>
      </c>
      <c r="N2180" s="1298">
        <f t="shared" si="541"/>
        <v>0</v>
      </c>
      <c r="O2180" s="1298">
        <f t="shared" si="542"/>
        <v>0</v>
      </c>
      <c r="P2180" s="1499"/>
      <c r="Q2180" s="1300"/>
      <c r="R2180" s="1300"/>
      <c r="S2180" s="1300"/>
    </row>
    <row r="2181" spans="1:19" s="1081" customFormat="1" hidden="1" outlineLevel="1">
      <c r="A2181" s="1072" t="str">
        <f t="shared" si="539"/>
        <v/>
      </c>
      <c r="B2181" s="1068" t="s">
        <v>414</v>
      </c>
      <c r="C2181" s="1302"/>
      <c r="D2181" s="1198">
        <f>VLOOKUP($B2181,dongia1,DG!$B$5,)</f>
        <v>0</v>
      </c>
      <c r="E2181" s="1243" t="str">
        <f>VLOOKUP($B2181,dongia1,DG!$C$5,)</f>
        <v>Chân sứ đứng D20</v>
      </c>
      <c r="F2181" s="1198" t="str">
        <f>VLOOKUP($B2181,dongia1,DG!$D$5,)</f>
        <v>cái</v>
      </c>
      <c r="G2181" s="1508">
        <f>G2180</f>
        <v>0</v>
      </c>
      <c r="H2181" s="1298">
        <f>VLOOKUP($B2181,dongia1,DG!$F$5,)</f>
        <v>65000</v>
      </c>
      <c r="I2181" s="1298"/>
      <c r="J2181" s="1298">
        <f>VLOOKUP($B2181,dongia1,DG!$G$5,)</f>
        <v>0</v>
      </c>
      <c r="K2181" s="1298">
        <f>VLOOKUP($B2181,dongia1,DG!$H$5,)</f>
        <v>0</v>
      </c>
      <c r="L2181" s="1298">
        <f t="shared" si="540"/>
        <v>0</v>
      </c>
      <c r="M2181" s="1298">
        <f t="shared" si="543"/>
        <v>0</v>
      </c>
      <c r="N2181" s="1298">
        <f t="shared" si="541"/>
        <v>0</v>
      </c>
      <c r="O2181" s="1298">
        <f t="shared" si="542"/>
        <v>0</v>
      </c>
      <c r="P2181" s="1499"/>
      <c r="Q2181" s="1300"/>
      <c r="R2181" s="1300"/>
      <c r="S2181" s="1300"/>
    </row>
    <row r="2182" spans="1:19" s="1081" customFormat="1" hidden="1" outlineLevel="1">
      <c r="A2182" s="1072" t="str">
        <f t="shared" si="539"/>
        <v/>
      </c>
      <c r="B2182" s="1068" t="s">
        <v>742</v>
      </c>
      <c r="C2182" s="1302"/>
      <c r="D2182" s="1198" t="str">
        <f>VLOOKUP($B2182,dongia1,DG!$B$5,)</f>
        <v>D3.1115</v>
      </c>
      <c r="E2182" s="1243" t="str">
        <f>VLOOKUP($B2182,dongia1,DG!$C$5,)</f>
        <v>Lắp sứ đứng 24KV</v>
      </c>
      <c r="F2182" s="1198" t="str">
        <f>VLOOKUP($B2182,dongia1,DG!$D$5,)</f>
        <v>bộ</v>
      </c>
      <c r="G2182" s="1508">
        <f>G2181</f>
        <v>0</v>
      </c>
      <c r="H2182" s="1298"/>
      <c r="I2182" s="1298"/>
      <c r="J2182" s="1298">
        <f>VLOOKUP($B2182,dongia1,DG!$G$5,)</f>
        <v>58277.49</v>
      </c>
      <c r="K2182" s="1298"/>
      <c r="L2182" s="1298">
        <f t="shared" si="540"/>
        <v>0</v>
      </c>
      <c r="M2182" s="1298">
        <f t="shared" si="543"/>
        <v>0</v>
      </c>
      <c r="N2182" s="1298">
        <f t="shared" si="541"/>
        <v>0</v>
      </c>
      <c r="O2182" s="1298">
        <f t="shared" si="542"/>
        <v>0</v>
      </c>
      <c r="P2182" s="1499"/>
      <c r="Q2182" s="1300"/>
      <c r="R2182" s="1300"/>
      <c r="S2182" s="1300"/>
    </row>
    <row r="2183" spans="1:19" s="1081" customFormat="1" hidden="1" outlineLevel="1">
      <c r="A2183" s="1072" t="str">
        <f t="shared" si="539"/>
        <v/>
      </c>
      <c r="B2183" s="1068" t="s">
        <v>224</v>
      </c>
      <c r="C2183" s="1302"/>
      <c r="D2183" s="1198" t="str">
        <f>VLOOKUP($B2183,dongia1,DG!$B$5,)</f>
        <v>T4.4201</v>
      </c>
      <c r="E2183" s="1243" t="str">
        <f>VLOOKUP($B2183,dongia1,DG!$C$5,)</f>
        <v>Lắp cáp đồng xuống thiết bị D ≤ 95mm2</v>
      </c>
      <c r="F2183" s="1198" t="str">
        <f>VLOOKUP($B2183,dongia1,DG!$D$5,)</f>
        <v>m</v>
      </c>
      <c r="G2183" s="1508">
        <f>G2173</f>
        <v>0</v>
      </c>
      <c r="H2183" s="1298"/>
      <c r="I2183" s="1298"/>
      <c r="J2183" s="1298">
        <f>VLOOKUP($B2183,dongia1,DG!$G$5,)</f>
        <v>13915</v>
      </c>
      <c r="K2183" s="1298"/>
      <c r="L2183" s="1298">
        <f t="shared" si="540"/>
        <v>0</v>
      </c>
      <c r="M2183" s="1298">
        <f t="shared" si="543"/>
        <v>0</v>
      </c>
      <c r="N2183" s="1298">
        <f t="shared" si="541"/>
        <v>0</v>
      </c>
      <c r="O2183" s="1298">
        <f t="shared" si="542"/>
        <v>0</v>
      </c>
      <c r="P2183" s="1499"/>
      <c r="Q2183" s="1300"/>
      <c r="R2183" s="1300"/>
      <c r="S2183" s="1300"/>
    </row>
    <row r="2184" spans="1:19" s="1081" customFormat="1" hidden="1" outlineLevel="1">
      <c r="A2184" s="1072" t="str">
        <f t="shared" si="539"/>
        <v/>
      </c>
      <c r="B2184" s="1295"/>
      <c r="C2184" s="1291">
        <f>IF(G2184&gt;0,C2171+1,C2171)</f>
        <v>0</v>
      </c>
      <c r="D2184" s="1292"/>
      <c r="E2184" s="1293" t="s">
        <v>3434</v>
      </c>
      <c r="F2184" s="1291" t="s">
        <v>2113</v>
      </c>
      <c r="G2184" s="1509">
        <f>G2089*0</f>
        <v>0</v>
      </c>
      <c r="H2184" s="1298"/>
      <c r="I2184" s="1298"/>
      <c r="J2184" s="1298"/>
      <c r="K2184" s="1298"/>
      <c r="L2184" s="1298"/>
      <c r="M2184" s="1298"/>
      <c r="N2184" s="1298"/>
      <c r="O2184" s="1298"/>
      <c r="P2184" s="1299"/>
      <c r="Q2184" s="1300"/>
      <c r="R2184" s="1300"/>
      <c r="S2184" s="1300"/>
    </row>
    <row r="2185" spans="1:19" s="1081" customFormat="1" ht="14.4" hidden="1" outlineLevel="1">
      <c r="A2185" s="1072" t="str">
        <f>A2184</f>
        <v/>
      </c>
      <c r="B2185" s="1295"/>
      <c r="C2185" s="1291"/>
      <c r="D2185" s="1292"/>
      <c r="E2185" s="1308" t="s">
        <v>3399</v>
      </c>
      <c r="F2185" s="1291"/>
      <c r="G2185" s="1509"/>
      <c r="H2185" s="1298"/>
      <c r="I2185" s="1298"/>
      <c r="J2185" s="1298"/>
      <c r="K2185" s="1298"/>
      <c r="L2185" s="1298"/>
      <c r="M2185" s="1298"/>
      <c r="N2185" s="1298"/>
      <c r="O2185" s="1298"/>
      <c r="P2185" s="1299"/>
      <c r="Q2185" s="1300"/>
      <c r="R2185" s="1300"/>
      <c r="S2185" s="1300"/>
    </row>
    <row r="2186" spans="1:19" s="1081" customFormat="1" hidden="1" outlineLevel="1">
      <c r="A2186" s="1072" t="str">
        <f>IF(G2186&lt;&gt;0,1,"")</f>
        <v/>
      </c>
      <c r="B2186" s="1295" t="s">
        <v>2039</v>
      </c>
      <c r="C2186" s="1302"/>
      <c r="D2186" s="1198">
        <f>VLOOKUP($B2186,dongia1,DG!$B$5,)</f>
        <v>0</v>
      </c>
      <c r="E2186" s="1243" t="str">
        <f>VLOOKUP($B2186,dongia1,DG!$C$5,)</f>
        <v xml:space="preserve">Ống PVC D90x3,8mm </v>
      </c>
      <c r="F2186" s="1198" t="str">
        <f>VLOOKUP($B2186,dongia1,DG!$D$5,)</f>
        <v>m</v>
      </c>
      <c r="G2186" s="1508">
        <f>G2184*2</f>
        <v>0</v>
      </c>
      <c r="H2186" s="1298">
        <f>VLOOKUP($B2186,dongia1,DG!$F$5,)</f>
        <v>63200</v>
      </c>
      <c r="I2186" s="1298"/>
      <c r="J2186" s="1298">
        <f>VLOOKUP($B2186,dongia1,DG!$G$5,)</f>
        <v>0</v>
      </c>
      <c r="K2186" s="1298">
        <f>VLOOKUP($B2186,dongia1,DG!$H$5,)</f>
        <v>0</v>
      </c>
      <c r="L2186" s="1298">
        <f>H2186*G2186</f>
        <v>0</v>
      </c>
      <c r="M2186" s="1298">
        <f>I2186*G2186</f>
        <v>0</v>
      </c>
      <c r="N2186" s="1298">
        <f>J2186*G2186</f>
        <v>0</v>
      </c>
      <c r="O2186" s="1298">
        <f>K2186*G2186</f>
        <v>0</v>
      </c>
      <c r="P2186" s="1299"/>
      <c r="Q2186" s="1300"/>
      <c r="R2186" s="1300"/>
      <c r="S2186" s="1300"/>
    </row>
    <row r="2187" spans="1:19" s="1081" customFormat="1" hidden="1" outlineLevel="1">
      <c r="A2187" s="1072" t="str">
        <f>IF(G2187&lt;&gt;0,1,"")</f>
        <v/>
      </c>
      <c r="B2187" s="1295" t="s">
        <v>561</v>
      </c>
      <c r="C2187" s="1302"/>
      <c r="D2187" s="1198">
        <f>VLOOKUP($B2187,dongia1,DG!$B$5,)</f>
        <v>0</v>
      </c>
      <c r="E2187" s="1243" t="str">
        <f>VLOOKUP($B2187,dongia1,DG!$C$5,)</f>
        <v>Co  90 độ PVC 90 (loại dày)</v>
      </c>
      <c r="F2187" s="1198" t="str">
        <f>VLOOKUP($B2187,dongia1,DG!$D$5,)</f>
        <v>cái</v>
      </c>
      <c r="G2187" s="1508">
        <f>G2184</f>
        <v>0</v>
      </c>
      <c r="H2187" s="1298">
        <f>VLOOKUP($B2187,dongia1,DG!$F$5,)</f>
        <v>45400</v>
      </c>
      <c r="I2187" s="1298"/>
      <c r="J2187" s="1298">
        <f>VLOOKUP($B2187,dongia1,DG!$G$5,)</f>
        <v>0</v>
      </c>
      <c r="K2187" s="1298">
        <f>VLOOKUP($B2187,dongia1,DG!$H$5,)</f>
        <v>0</v>
      </c>
      <c r="L2187" s="1298">
        <f>H2187*G2187</f>
        <v>0</v>
      </c>
      <c r="M2187" s="1298">
        <f>I2187*G2187</f>
        <v>0</v>
      </c>
      <c r="N2187" s="1298">
        <f>J2187*G2187</f>
        <v>0</v>
      </c>
      <c r="O2187" s="1298">
        <f>K2187*G2187</f>
        <v>0</v>
      </c>
      <c r="P2187" s="1299"/>
      <c r="Q2187" s="1300"/>
      <c r="R2187" s="1300"/>
      <c r="S2187" s="1300"/>
    </row>
    <row r="2188" spans="1:19" s="1081" customFormat="1" hidden="1" outlineLevel="1">
      <c r="A2188" s="1072" t="str">
        <f>IF(G2188&lt;&gt;0,1,"")</f>
        <v/>
      </c>
      <c r="B2188" s="1295" t="s">
        <v>705</v>
      </c>
      <c r="C2188" s="1302"/>
      <c r="D2188" s="1198">
        <f>VLOOKUP($B2188,dongia1,DG!$B$5,)</f>
        <v>0</v>
      </c>
      <c r="E2188" s="1243" t="str">
        <f>VLOOKUP($B2188,dongia1,DG!$C$5,)</f>
        <v>Khâu ven răng trong D90</v>
      </c>
      <c r="F2188" s="1198" t="str">
        <f>VLOOKUP($B2188,dongia1,DG!$D$5,)</f>
        <v>cái</v>
      </c>
      <c r="G2188" s="1508">
        <f>G2184*2</f>
        <v>0</v>
      </c>
      <c r="H2188" s="1298">
        <f>VLOOKUP($B2188,dongia1,DG!$F$5,)</f>
        <v>25800</v>
      </c>
      <c r="I2188" s="1298"/>
      <c r="J2188" s="1298">
        <f>VLOOKUP($B2188,dongia1,DG!$G$5,)</f>
        <v>0</v>
      </c>
      <c r="K2188" s="1298">
        <f>VLOOKUP($B2188,dongia1,DG!$H$5,)</f>
        <v>0</v>
      </c>
      <c r="L2188" s="1298">
        <f>H2188*G2188</f>
        <v>0</v>
      </c>
      <c r="M2188" s="1298">
        <f>I2188*G2188</f>
        <v>0</v>
      </c>
      <c r="N2188" s="1298">
        <f>J2188*G2188</f>
        <v>0</v>
      </c>
      <c r="O2188" s="1298">
        <f>K2188*G2188</f>
        <v>0</v>
      </c>
      <c r="P2188" s="1299"/>
      <c r="Q2188" s="1300"/>
      <c r="R2188" s="1300"/>
      <c r="S2188" s="1300"/>
    </row>
    <row r="2189" spans="1:19" s="1081" customFormat="1" hidden="1" outlineLevel="1">
      <c r="A2189" s="1072" t="str">
        <f>IF(G2189&lt;&gt;0,1,"")</f>
        <v/>
      </c>
      <c r="B2189" s="1295" t="s">
        <v>704</v>
      </c>
      <c r="C2189" s="1302"/>
      <c r="D2189" s="1198">
        <f>VLOOKUP($B2189,dongia1,DG!$B$5,)</f>
        <v>0</v>
      </c>
      <c r="E2189" s="1243" t="str">
        <f>VLOOKUP($B2189,dongia1,DG!$C$5,)</f>
        <v>Khâu ven răng ngoài D90</v>
      </c>
      <c r="F2189" s="1198" t="str">
        <f>VLOOKUP($B2189,dongia1,DG!$D$5,)</f>
        <v>cái</v>
      </c>
      <c r="G2189" s="1508">
        <f>G2188</f>
        <v>0</v>
      </c>
      <c r="H2189" s="1298">
        <f>VLOOKUP($B2189,dongia1,DG!$F$5,)</f>
        <v>21500</v>
      </c>
      <c r="I2189" s="1298"/>
      <c r="J2189" s="1298">
        <f>VLOOKUP($B2189,dongia1,DG!$G$5,)</f>
        <v>0</v>
      </c>
      <c r="K2189" s="1298">
        <f>VLOOKUP($B2189,dongia1,DG!$H$5,)</f>
        <v>0</v>
      </c>
      <c r="L2189" s="1298">
        <f>H2189*G2189</f>
        <v>0</v>
      </c>
      <c r="M2189" s="1298">
        <f>I2189*G2189</f>
        <v>0</v>
      </c>
      <c r="N2189" s="1298">
        <f>J2189*G2189</f>
        <v>0</v>
      </c>
      <c r="O2189" s="1298">
        <f>K2189*G2189</f>
        <v>0</v>
      </c>
      <c r="P2189" s="1299"/>
      <c r="Q2189" s="1300"/>
      <c r="R2189" s="1300"/>
      <c r="S2189" s="1300"/>
    </row>
    <row r="2190" spans="1:19" s="1081" customFormat="1" hidden="1" outlineLevel="1">
      <c r="A2190" s="1072" t="str">
        <f>IF(G2190&lt;&gt;0,1,"")</f>
        <v/>
      </c>
      <c r="B2190" s="1068"/>
      <c r="C2190" s="1291">
        <f>IF(G2190&gt;0,C2184+1,C2184)</f>
        <v>0</v>
      </c>
      <c r="D2190" s="1292"/>
      <c r="E2190" s="1293" t="s">
        <v>4571</v>
      </c>
      <c r="F2190" s="1291" t="s">
        <v>2113</v>
      </c>
      <c r="G2190" s="1508">
        <f>G2147</f>
        <v>0</v>
      </c>
      <c r="H2190" s="1298"/>
      <c r="I2190" s="1298"/>
      <c r="J2190" s="1298"/>
      <c r="K2190" s="1298"/>
      <c r="L2190" s="1298"/>
      <c r="M2190" s="1298"/>
      <c r="N2190" s="1298"/>
      <c r="O2190" s="1298"/>
      <c r="P2190" s="1499"/>
      <c r="Q2190" s="1300"/>
      <c r="R2190" s="1300"/>
      <c r="S2190" s="1300"/>
    </row>
    <row r="2191" spans="1:19" s="1081" customFormat="1" ht="14.4" hidden="1" outlineLevel="1">
      <c r="A2191" s="1072" t="str">
        <f>A2190</f>
        <v/>
      </c>
      <c r="B2191" s="1068"/>
      <c r="C2191" s="1291"/>
      <c r="D2191" s="1292"/>
      <c r="E2191" s="1308" t="s">
        <v>3399</v>
      </c>
      <c r="F2191" s="1291"/>
      <c r="G2191" s="1508"/>
      <c r="H2191" s="1298"/>
      <c r="I2191" s="1298"/>
      <c r="J2191" s="1298"/>
      <c r="K2191" s="1298"/>
      <c r="L2191" s="1298"/>
      <c r="M2191" s="1298"/>
      <c r="N2191" s="1298"/>
      <c r="O2191" s="1298"/>
      <c r="P2191" s="1499"/>
      <c r="Q2191" s="1300"/>
      <c r="R2191" s="1300"/>
      <c r="S2191" s="1300"/>
    </row>
    <row r="2192" spans="1:19" s="1081" customFormat="1" hidden="1" outlineLevel="1">
      <c r="A2192" s="1072" t="str">
        <f>IF(G2192&lt;&gt;0,1,"")</f>
        <v/>
      </c>
      <c r="B2192" s="1295" t="s">
        <v>1312</v>
      </c>
      <c r="C2192" s="1302"/>
      <c r="D2192" s="1198">
        <f>VLOOKUP($B2192,dongia1,DG!$B$5,)</f>
        <v>0</v>
      </c>
      <c r="E2192" s="1243" t="str">
        <f>VLOOKUP($B2192,dongia1,DG!$C$5,)</f>
        <v>Cáp đồng bọc CV120</v>
      </c>
      <c r="F2192" s="1198" t="str">
        <f>VLOOKUP($B2192,dongia1,DG!$D$5,)</f>
        <v>mét</v>
      </c>
      <c r="G2192" s="1508">
        <f>G2190*7</f>
        <v>0</v>
      </c>
      <c r="H2192" s="1298">
        <f>VLOOKUP($B2192,dongia1,DG!$F$5,)</f>
        <v>236300</v>
      </c>
      <c r="I2192" s="1298"/>
      <c r="J2192" s="1298">
        <f>VLOOKUP($B2192,dongia1,DG!$G$5,)</f>
        <v>0</v>
      </c>
      <c r="K2192" s="1298">
        <f>VLOOKUP($B2192,dongia1,DG!$H$5,)</f>
        <v>0</v>
      </c>
      <c r="L2192" s="1298">
        <f>H2192*G2192</f>
        <v>0</v>
      </c>
      <c r="M2192" s="1298">
        <f>I2192*G2192</f>
        <v>0</v>
      </c>
      <c r="N2192" s="1298">
        <f>J2192*G2192</f>
        <v>0</v>
      </c>
      <c r="O2192" s="1298">
        <f>K2192*G2192</f>
        <v>0</v>
      </c>
      <c r="P2192" s="1499"/>
      <c r="Q2192" s="1300"/>
      <c r="R2192" s="1300"/>
      <c r="S2192" s="1300"/>
    </row>
    <row r="2193" spans="1:19" s="1081" customFormat="1" hidden="1" outlineLevel="1">
      <c r="A2193" s="1072" t="str">
        <f>IF(G2193&lt;&gt;0,1,"")</f>
        <v/>
      </c>
      <c r="B2193" s="1295" t="s">
        <v>1279</v>
      </c>
      <c r="C2193" s="1302"/>
      <c r="D2193" s="1198">
        <f>VLOOKUP($B2193,dongia1,DG!$B$5,)</f>
        <v>0</v>
      </c>
      <c r="E2193" s="1243" t="str">
        <f>VLOOKUP($B2193,dongia1,DG!$C$5,)</f>
        <v>Cáp đồng bọc CV240</v>
      </c>
      <c r="F2193" s="1198" t="str">
        <f>VLOOKUP($B2193,dongia1,DG!$D$5,)</f>
        <v>mét</v>
      </c>
      <c r="G2193" s="1508">
        <f>(7*3)*G2190</f>
        <v>0</v>
      </c>
      <c r="H2193" s="1298">
        <f>VLOOKUP($B2193,dongia1,DG!$F$5,)</f>
        <v>567100</v>
      </c>
      <c r="I2193" s="1298"/>
      <c r="J2193" s="1298">
        <f>VLOOKUP($B2193,dongia1,DG!$G$5,)</f>
        <v>0</v>
      </c>
      <c r="K2193" s="1298">
        <f>VLOOKUP($B2193,dongia1,DG!$H$5,)</f>
        <v>0</v>
      </c>
      <c r="L2193" s="1298">
        <f>H2193*G2193</f>
        <v>0</v>
      </c>
      <c r="M2193" s="1298">
        <f>I2193*G2193</f>
        <v>0</v>
      </c>
      <c r="N2193" s="1298">
        <f>J2193*G2193</f>
        <v>0</v>
      </c>
      <c r="O2193" s="1298">
        <f>K2193*G2193</f>
        <v>0</v>
      </c>
      <c r="P2193" s="1499"/>
      <c r="Q2193" s="1300"/>
      <c r="R2193" s="1300"/>
      <c r="S2193" s="1300"/>
    </row>
    <row r="2194" spans="1:19" s="1081" customFormat="1" hidden="1" outlineLevel="1">
      <c r="A2194" s="1072" t="str">
        <f>IF(G2194&lt;&gt;0,1,"")</f>
        <v/>
      </c>
      <c r="B2194" s="1295" t="s">
        <v>2062</v>
      </c>
      <c r="C2194" s="1302"/>
      <c r="D2194" s="1198" t="str">
        <f>VLOOKUP($B2194,dongia1,DG!$B$5,)</f>
        <v>D4.5005</v>
      </c>
      <c r="E2194" s="1243" t="str">
        <f>VLOOKUP($B2194,dongia1,DG!$C$5,)</f>
        <v>Đầu cosse ép Cu 120mm2</v>
      </c>
      <c r="F2194" s="1198" t="str">
        <f>VLOOKUP($B2194,dongia1,DG!$D$5,)</f>
        <v>cái</v>
      </c>
      <c r="G2194" s="1508">
        <f>G2190</f>
        <v>0</v>
      </c>
      <c r="H2194" s="1298">
        <f>VLOOKUP($B2194,dongia1,DG!$F$5,)</f>
        <v>27000</v>
      </c>
      <c r="I2194" s="1298"/>
      <c r="J2194" s="1298">
        <f>VLOOKUP($B2194,dongia1,DG!$G$5,)</f>
        <v>27280.17</v>
      </c>
      <c r="K2194" s="1298">
        <f>VLOOKUP($B2194,dongia1,DG!$H$5,)</f>
        <v>3887.8325465000003</v>
      </c>
      <c r="L2194" s="1298">
        <f>H2194*G2194</f>
        <v>0</v>
      </c>
      <c r="M2194" s="1298">
        <f>I2194*G2194</f>
        <v>0</v>
      </c>
      <c r="N2194" s="1298">
        <f>J2194*G2194</f>
        <v>0</v>
      </c>
      <c r="O2194" s="1298">
        <f>K2194*G2194</f>
        <v>0</v>
      </c>
      <c r="P2194" s="1499"/>
      <c r="Q2194" s="1300"/>
      <c r="R2194" s="1300"/>
      <c r="S2194" s="1300"/>
    </row>
    <row r="2195" spans="1:19" s="1081" customFormat="1" hidden="1" outlineLevel="1">
      <c r="A2195" s="1072" t="str">
        <f>IF(G2195&lt;&gt;0,1,"")</f>
        <v/>
      </c>
      <c r="B2195" s="1295" t="s">
        <v>683</v>
      </c>
      <c r="C2195" s="1302"/>
      <c r="D2195" s="1198" t="str">
        <f>VLOOKUP($B2195,dongia1,DG!$B$5,)</f>
        <v>D4.5008</v>
      </c>
      <c r="E2195" s="1243" t="str">
        <f>VLOOKUP($B2195,dongia1,DG!$C$5,)</f>
        <v>Đầu cosse ép Cu 240mm2</v>
      </c>
      <c r="F2195" s="1198" t="str">
        <f>VLOOKUP($B2195,dongia1,DG!$D$5,)</f>
        <v>cái</v>
      </c>
      <c r="G2195" s="1508">
        <f>G2190*3</f>
        <v>0</v>
      </c>
      <c r="H2195" s="1298">
        <f>VLOOKUP($B2195,dongia1,DG!$F$5,)</f>
        <v>70000</v>
      </c>
      <c r="I2195" s="1298"/>
      <c r="J2195" s="1298">
        <f>VLOOKUP($B2195,dongia1,DG!$G$5,)</f>
        <v>50013.645000000004</v>
      </c>
      <c r="K2195" s="1298">
        <f>VLOOKUP($B2195,dongia1,DG!$H$5,)</f>
        <v>5554.0464950000005</v>
      </c>
      <c r="L2195" s="1298">
        <f>H2195*G2195</f>
        <v>0</v>
      </c>
      <c r="M2195" s="1298">
        <f>I2195*G2195</f>
        <v>0</v>
      </c>
      <c r="N2195" s="1298">
        <f>J2195*G2195</f>
        <v>0</v>
      </c>
      <c r="O2195" s="1298">
        <f>K2195*G2195</f>
        <v>0</v>
      </c>
      <c r="P2195" s="1499"/>
      <c r="Q2195" s="1300"/>
      <c r="R2195" s="1300"/>
      <c r="S2195" s="1300"/>
    </row>
    <row r="2196" spans="1:19" s="1081" customFormat="1" hidden="1" outlineLevel="1">
      <c r="A2196" s="1072" t="str">
        <f t="shared" ref="A2196:A2208" si="544">IF(G2196&lt;&gt;0,1,"")</f>
        <v/>
      </c>
      <c r="B2196" s="1295" t="s">
        <v>476</v>
      </c>
      <c r="C2196" s="1302"/>
      <c r="D2196" s="1198">
        <f>VLOOKUP($B2196,dongia1,DG!$B$5,)</f>
        <v>0</v>
      </c>
      <c r="E2196" s="1243" t="str">
        <f>VLOOKUP($B2196,dongia1,DG!$C$5,)</f>
        <v>Chụp đầu cosse  120mm2</v>
      </c>
      <c r="F2196" s="1198" t="str">
        <f>VLOOKUP($B2196,dongia1,DG!$D$5,)</f>
        <v>cái</v>
      </c>
      <c r="G2196" s="1508">
        <f>G2194</f>
        <v>0</v>
      </c>
      <c r="H2196" s="1298">
        <f>VLOOKUP($B2196,dongia1,DG!$F$5,)</f>
        <v>4000</v>
      </c>
      <c r="I2196" s="1298"/>
      <c r="J2196" s="1298">
        <f>VLOOKUP($B2196,dongia1,DG!$G$5,)</f>
        <v>0</v>
      </c>
      <c r="K2196" s="1298">
        <f>VLOOKUP($B2196,dongia1,DG!$H$5,)</f>
        <v>0</v>
      </c>
      <c r="L2196" s="1298">
        <f t="shared" ref="L2196:L2208" si="545">H2196*G2196</f>
        <v>0</v>
      </c>
      <c r="M2196" s="1298">
        <f t="shared" ref="M2196:M2208" si="546">I2196*G2196</f>
        <v>0</v>
      </c>
      <c r="N2196" s="1298">
        <f t="shared" ref="N2196:N2208" si="547">J2196*G2196</f>
        <v>0</v>
      </c>
      <c r="O2196" s="1298">
        <f t="shared" ref="O2196:O2208" si="548">K2196*G2196</f>
        <v>0</v>
      </c>
      <c r="P2196" s="1499"/>
      <c r="Q2196" s="1300"/>
      <c r="R2196" s="1300"/>
      <c r="S2196" s="1300"/>
    </row>
    <row r="2197" spans="1:19" s="1081" customFormat="1" hidden="1" outlineLevel="1">
      <c r="A2197" s="1072" t="str">
        <f t="shared" si="544"/>
        <v/>
      </c>
      <c r="B2197" s="1295" t="s">
        <v>474</v>
      </c>
      <c r="C2197" s="1302"/>
      <c r="D2197" s="1198">
        <f>VLOOKUP($B2197,dongia1,DG!$B$5,)</f>
        <v>0</v>
      </c>
      <c r="E2197" s="1243" t="str">
        <f>VLOOKUP($B2197,dongia1,DG!$C$5,)</f>
        <v>Chụp đầu cosse  240mm2</v>
      </c>
      <c r="F2197" s="1198" t="str">
        <f>VLOOKUP($B2197,dongia1,DG!$D$5,)</f>
        <v>cái</v>
      </c>
      <c r="G2197" s="1508">
        <f>G2195</f>
        <v>0</v>
      </c>
      <c r="H2197" s="1298">
        <f>VLOOKUP($B2197,dongia1,DG!$F$5,)</f>
        <v>6000</v>
      </c>
      <c r="I2197" s="1298"/>
      <c r="J2197" s="1298">
        <f>VLOOKUP($B2197,dongia1,DG!$G$5,)</f>
        <v>0</v>
      </c>
      <c r="K2197" s="1298">
        <f>VLOOKUP($B2197,dongia1,DG!$H$5,)</f>
        <v>0</v>
      </c>
      <c r="L2197" s="1298">
        <f t="shared" si="545"/>
        <v>0</v>
      </c>
      <c r="M2197" s="1298">
        <f t="shared" si="546"/>
        <v>0</v>
      </c>
      <c r="N2197" s="1298">
        <f t="shared" si="547"/>
        <v>0</v>
      </c>
      <c r="O2197" s="1298">
        <f t="shared" si="548"/>
        <v>0</v>
      </c>
      <c r="P2197" s="1499"/>
      <c r="Q2197" s="1300"/>
      <c r="R2197" s="1300"/>
      <c r="S2197" s="1300"/>
    </row>
    <row r="2198" spans="1:19" s="1081" customFormat="1" hidden="1" outlineLevel="1">
      <c r="A2198" s="1072" t="str">
        <f t="shared" si="544"/>
        <v/>
      </c>
      <c r="B2198" s="1295" t="s">
        <v>595</v>
      </c>
      <c r="C2198" s="1302"/>
      <c r="D2198" s="1198">
        <f>VLOOKUP($B2198,dongia1,DG!$B$5,)</f>
        <v>0</v>
      </c>
      <c r="E2198" s="1243" t="str">
        <f>VLOOKUP($B2198,dongia1,DG!$C$5,)</f>
        <v xml:space="preserve">Ống PVC D90x3,8mm </v>
      </c>
      <c r="F2198" s="1198" t="str">
        <f>VLOOKUP($B2198,dongia1,DG!$D$5,)</f>
        <v>m</v>
      </c>
      <c r="G2198" s="1508">
        <f>+G2190*5</f>
        <v>0</v>
      </c>
      <c r="H2198" s="1298">
        <f>VLOOKUP($B2198,dongia1,DG!$F$5,)</f>
        <v>63200</v>
      </c>
      <c r="I2198" s="1298"/>
      <c r="J2198" s="1298">
        <f>VLOOKUP($B2198,dongia1,DG!$G$5,)</f>
        <v>0</v>
      </c>
      <c r="K2198" s="1298">
        <f>VLOOKUP($B2198,dongia1,DG!$H$5,)</f>
        <v>0</v>
      </c>
      <c r="L2198" s="1298">
        <f t="shared" si="545"/>
        <v>0</v>
      </c>
      <c r="M2198" s="1298">
        <f t="shared" si="546"/>
        <v>0</v>
      </c>
      <c r="N2198" s="1298">
        <f t="shared" si="547"/>
        <v>0</v>
      </c>
      <c r="O2198" s="1298">
        <f t="shared" si="548"/>
        <v>0</v>
      </c>
      <c r="P2198" s="1499"/>
      <c r="Q2198" s="1300"/>
      <c r="R2198" s="1300"/>
      <c r="S2198" s="1300"/>
    </row>
    <row r="2199" spans="1:19" s="1081" customFormat="1" hidden="1" outlineLevel="1">
      <c r="A2199" s="1072" t="str">
        <f t="shared" si="544"/>
        <v/>
      </c>
      <c r="B2199" s="1295" t="s">
        <v>561</v>
      </c>
      <c r="C2199" s="1302"/>
      <c r="D2199" s="1198">
        <f>VLOOKUP($B2199,dongia1,DG!$B$5,)</f>
        <v>0</v>
      </c>
      <c r="E2199" s="1243" t="str">
        <f>VLOOKUP($B2199,dongia1,DG!$C$5,)</f>
        <v>Co  90 độ PVC 90 (loại dày)</v>
      </c>
      <c r="F2199" s="1198" t="str">
        <f>VLOOKUP($B2199,dongia1,DG!$D$5,)</f>
        <v>cái</v>
      </c>
      <c r="G2199" s="1508">
        <f>G2190</f>
        <v>0</v>
      </c>
      <c r="H2199" s="1298">
        <f>VLOOKUP($B2199,dongia1,DG!$F$5,)</f>
        <v>45400</v>
      </c>
      <c r="I2199" s="1298"/>
      <c r="J2199" s="1298">
        <f>VLOOKUP($B2199,dongia1,DG!$G$5,)</f>
        <v>0</v>
      </c>
      <c r="K2199" s="1298">
        <f>VLOOKUP($B2199,dongia1,DG!$H$5,)</f>
        <v>0</v>
      </c>
      <c r="L2199" s="1298">
        <f t="shared" si="545"/>
        <v>0</v>
      </c>
      <c r="M2199" s="1298">
        <f t="shared" si="546"/>
        <v>0</v>
      </c>
      <c r="N2199" s="1298">
        <f t="shared" si="547"/>
        <v>0</v>
      </c>
      <c r="O2199" s="1298">
        <f t="shared" si="548"/>
        <v>0</v>
      </c>
      <c r="P2199" s="1499"/>
      <c r="Q2199" s="1300"/>
      <c r="R2199" s="1300"/>
      <c r="S2199" s="1300"/>
    </row>
    <row r="2200" spans="1:19" s="1081" customFormat="1" hidden="1" outlineLevel="1">
      <c r="A2200" s="1072" t="str">
        <f t="shared" si="544"/>
        <v/>
      </c>
      <c r="B2200" s="1295" t="s">
        <v>2089</v>
      </c>
      <c r="C2200" s="1302"/>
      <c r="D2200" s="1198">
        <f>VLOOKUP($B2200,dongia1,DG!$B$5,)</f>
        <v>0</v>
      </c>
      <c r="E2200" s="1243" t="str">
        <f>VLOOKUP($B2200,dongia1,DG!$C$5,)</f>
        <v>Cổ dê kẹp ống PVC Þ 90</v>
      </c>
      <c r="F2200" s="1198" t="str">
        <f>VLOOKUP($B2200,dongia1,DG!$D$5,)</f>
        <v>bộ</v>
      </c>
      <c r="G2200" s="1508">
        <f>G2190*2</f>
        <v>0</v>
      </c>
      <c r="H2200" s="1298">
        <f>VLOOKUP($B2200,dongia1,DG!$F$5,)</f>
        <v>49000</v>
      </c>
      <c r="I2200" s="1298"/>
      <c r="J2200" s="1298">
        <f>VLOOKUP($B2200,dongia1,DG!$G$5,)</f>
        <v>0</v>
      </c>
      <c r="K2200" s="1298">
        <f>VLOOKUP($B2200,dongia1,DG!$H$5,)</f>
        <v>0</v>
      </c>
      <c r="L2200" s="1298">
        <f t="shared" si="545"/>
        <v>0</v>
      </c>
      <c r="M2200" s="1298">
        <f t="shared" si="546"/>
        <v>0</v>
      </c>
      <c r="N2200" s="1298">
        <f t="shared" si="547"/>
        <v>0</v>
      </c>
      <c r="O2200" s="1298">
        <f t="shared" si="548"/>
        <v>0</v>
      </c>
      <c r="P2200" s="1499"/>
      <c r="Q2200" s="1300"/>
      <c r="R2200" s="1300"/>
      <c r="S2200" s="1300"/>
    </row>
    <row r="2201" spans="1:19" s="1081" customFormat="1" hidden="1" outlineLevel="1">
      <c r="A2201" s="1072" t="str">
        <f t="shared" si="544"/>
        <v/>
      </c>
      <c r="B2201" s="1295" t="s">
        <v>1259</v>
      </c>
      <c r="C2201" s="1302"/>
      <c r="D2201" s="1198">
        <f>VLOOKUP($B2201,dongia1,DG!$B$5,)</f>
        <v>0</v>
      </c>
      <c r="E2201" s="1243" t="str">
        <f>VLOOKUP($B2201,dongia1,DG!$C$5,)</f>
        <v>Khâu ven răng trong D90</v>
      </c>
      <c r="F2201" s="1198" t="str">
        <f>VLOOKUP($B2201,dongia1,DG!$D$5,)</f>
        <v>cái</v>
      </c>
      <c r="G2201" s="1508">
        <f>G2190*2</f>
        <v>0</v>
      </c>
      <c r="H2201" s="1298">
        <f>VLOOKUP($B2201,dongia1,DG!$F$5,)</f>
        <v>25800</v>
      </c>
      <c r="I2201" s="1298"/>
      <c r="J2201" s="1298">
        <f>VLOOKUP($B2201,dongia1,DG!$G$5,)</f>
        <v>0</v>
      </c>
      <c r="K2201" s="1298">
        <f>VLOOKUP($B2201,dongia1,DG!$H$5,)</f>
        <v>0</v>
      </c>
      <c r="L2201" s="1298">
        <f t="shared" si="545"/>
        <v>0</v>
      </c>
      <c r="M2201" s="1298">
        <f t="shared" si="546"/>
        <v>0</v>
      </c>
      <c r="N2201" s="1298">
        <f t="shared" si="547"/>
        <v>0</v>
      </c>
      <c r="O2201" s="1298">
        <f t="shared" si="548"/>
        <v>0</v>
      </c>
      <c r="P2201" s="1499"/>
      <c r="Q2201" s="1300"/>
      <c r="R2201" s="1300"/>
      <c r="S2201" s="1300"/>
    </row>
    <row r="2202" spans="1:19" s="1081" customFormat="1" hidden="1" outlineLevel="1">
      <c r="A2202" s="1072" t="str">
        <f t="shared" si="544"/>
        <v/>
      </c>
      <c r="B2202" s="1295" t="s">
        <v>1260</v>
      </c>
      <c r="C2202" s="1302"/>
      <c r="D2202" s="1198">
        <f>VLOOKUP($B2202,dongia1,DG!$B$5,)</f>
        <v>0</v>
      </c>
      <c r="E2202" s="1243" t="str">
        <f>VLOOKUP($B2202,dongia1,DG!$C$5,)</f>
        <v>Khâu ven răng ngoài D90</v>
      </c>
      <c r="F2202" s="1198" t="str">
        <f>VLOOKUP($B2202,dongia1,DG!$D$5,)</f>
        <v>cái</v>
      </c>
      <c r="G2202" s="1508">
        <f>G2201</f>
        <v>0</v>
      </c>
      <c r="H2202" s="1298">
        <f>VLOOKUP($B2202,dongia1,DG!$F$5,)</f>
        <v>21500</v>
      </c>
      <c r="I2202" s="1298"/>
      <c r="J2202" s="1298">
        <f>VLOOKUP($B2202,dongia1,DG!$G$5,)</f>
        <v>0</v>
      </c>
      <c r="K2202" s="1298">
        <f>VLOOKUP($B2202,dongia1,DG!$H$5,)</f>
        <v>0</v>
      </c>
      <c r="L2202" s="1298">
        <f t="shared" si="545"/>
        <v>0</v>
      </c>
      <c r="M2202" s="1298">
        <f t="shared" si="546"/>
        <v>0</v>
      </c>
      <c r="N2202" s="1298">
        <f t="shared" si="547"/>
        <v>0</v>
      </c>
      <c r="O2202" s="1298">
        <f t="shared" si="548"/>
        <v>0</v>
      </c>
      <c r="P2202" s="1499"/>
      <c r="Q2202" s="1300"/>
      <c r="R2202" s="1300"/>
      <c r="S2202" s="1300"/>
    </row>
    <row r="2203" spans="1:19" s="1081" customFormat="1" hidden="1" outlineLevel="1">
      <c r="A2203" s="1072" t="str">
        <f t="shared" si="544"/>
        <v/>
      </c>
      <c r="B2203" s="1295" t="s">
        <v>4708</v>
      </c>
      <c r="C2203" s="1302"/>
      <c r="D2203" s="1198">
        <f>VLOOKUP($B2203,dongia1,DG!$B$5,)</f>
        <v>0</v>
      </c>
      <c r="E2203" s="1243" t="str">
        <f>VLOOKUP($B2203,dongia1,DG!$C$5,)</f>
        <v>Ống đàn hồi 90 (Ruột gà)</v>
      </c>
      <c r="F2203" s="1198" t="str">
        <f>VLOOKUP($B2203,dongia1,DG!$D$5,)</f>
        <v>m</v>
      </c>
      <c r="G2203" s="1508">
        <f>G2190*1.5</f>
        <v>0</v>
      </c>
      <c r="H2203" s="1298">
        <f>VLOOKUP($B2203,dongia1,DG!$F$5,)</f>
        <v>50000</v>
      </c>
      <c r="I2203" s="1298"/>
      <c r="J2203" s="1298">
        <f>VLOOKUP($B2203,dongia1,DG!$G$5,)</f>
        <v>0</v>
      </c>
      <c r="K2203" s="1298">
        <f>VLOOKUP($B2203,dongia1,DG!$H$5,)</f>
        <v>0</v>
      </c>
      <c r="L2203" s="1298">
        <f t="shared" si="545"/>
        <v>0</v>
      </c>
      <c r="M2203" s="1298">
        <f t="shared" si="546"/>
        <v>0</v>
      </c>
      <c r="N2203" s="1298">
        <f t="shared" si="547"/>
        <v>0</v>
      </c>
      <c r="O2203" s="1298">
        <f t="shared" si="548"/>
        <v>0</v>
      </c>
      <c r="P2203" s="1499"/>
      <c r="Q2203" s="1300"/>
      <c r="R2203" s="1300"/>
      <c r="S2203" s="1300"/>
    </row>
    <row r="2204" spans="1:19" s="1081" customFormat="1" hidden="1" outlineLevel="1">
      <c r="A2204" s="1072" t="str">
        <f t="shared" si="544"/>
        <v/>
      </c>
      <c r="B2204" s="1295" t="s">
        <v>887</v>
      </c>
      <c r="C2204" s="1302"/>
      <c r="D2204" s="1198">
        <f>VLOOKUP($B2204,dongia1,DG!$B$5,)</f>
        <v>0</v>
      </c>
      <c r="E2204" s="1243" t="str">
        <f>VLOOKUP($B2204,dongia1,DG!$C$5,)</f>
        <v>Keo dán ống PVC (100gr)</v>
      </c>
      <c r="F2204" s="1198" t="str">
        <f>VLOOKUP($B2204,dongia1,DG!$D$5,)</f>
        <v>tuýp</v>
      </c>
      <c r="G2204" s="1508">
        <f>G2190</f>
        <v>0</v>
      </c>
      <c r="H2204" s="1298">
        <f>VLOOKUP($B2204,dongia1,DG!$F$5,)</f>
        <v>11500</v>
      </c>
      <c r="I2204" s="1298"/>
      <c r="J2204" s="1298">
        <f>VLOOKUP($B2204,dongia1,DG!$G$5,)</f>
        <v>0</v>
      </c>
      <c r="K2204" s="1298">
        <f>VLOOKUP($B2204,dongia1,DG!$H$5,)</f>
        <v>0</v>
      </c>
      <c r="L2204" s="1298">
        <f t="shared" si="545"/>
        <v>0</v>
      </c>
      <c r="M2204" s="1298">
        <f t="shared" si="546"/>
        <v>0</v>
      </c>
      <c r="N2204" s="1298">
        <f t="shared" si="547"/>
        <v>0</v>
      </c>
      <c r="O2204" s="1298">
        <f t="shared" si="548"/>
        <v>0</v>
      </c>
      <c r="P2204" s="1499"/>
      <c r="Q2204" s="1300"/>
      <c r="R2204" s="1300"/>
      <c r="S2204" s="1300"/>
    </row>
    <row r="2205" spans="1:19" s="1081" customFormat="1" hidden="1" outlineLevel="1">
      <c r="A2205" s="1072" t="str">
        <f t="shared" si="544"/>
        <v/>
      </c>
      <c r="B2205" s="1295" t="s">
        <v>1690</v>
      </c>
      <c r="C2205" s="1302"/>
      <c r="D2205" s="1198">
        <f>VLOOKUP($B2205,dongia1,DG!$B$5,)</f>
        <v>0</v>
      </c>
      <c r="E2205" s="1243" t="str">
        <f>VLOOKUP($B2205,dongia1,DG!$C$5,)</f>
        <v>Keo silicon bít miệng ống</v>
      </c>
      <c r="F2205" s="1198" t="str">
        <f>VLOOKUP($B2205,dongia1,DG!$D$5,)</f>
        <v>chai</v>
      </c>
      <c r="G2205" s="1508">
        <f>G2204</f>
        <v>0</v>
      </c>
      <c r="H2205" s="1298">
        <f>VLOOKUP($B2205,dongia1,DG!$F$5,)</f>
        <v>45000</v>
      </c>
      <c r="I2205" s="1298"/>
      <c r="J2205" s="1298">
        <f>VLOOKUP($B2205,dongia1,DG!$G$5,)</f>
        <v>0</v>
      </c>
      <c r="K2205" s="1298">
        <f>VLOOKUP($B2205,dongia1,DG!$H$5,)</f>
        <v>0</v>
      </c>
      <c r="L2205" s="1298">
        <f t="shared" si="545"/>
        <v>0</v>
      </c>
      <c r="M2205" s="1298">
        <f t="shared" si="546"/>
        <v>0</v>
      </c>
      <c r="N2205" s="1298">
        <f t="shared" si="547"/>
        <v>0</v>
      </c>
      <c r="O2205" s="1298">
        <f t="shared" si="548"/>
        <v>0</v>
      </c>
      <c r="P2205" s="1499"/>
      <c r="Q2205" s="1300"/>
      <c r="R2205" s="1300"/>
      <c r="S2205" s="1300"/>
    </row>
    <row r="2206" spans="1:19" s="1081" customFormat="1" hidden="1" outlineLevel="1">
      <c r="A2206" s="1072" t="str">
        <f t="shared" si="544"/>
        <v/>
      </c>
      <c r="B2206" s="1295" t="s">
        <v>236</v>
      </c>
      <c r="C2206" s="1302"/>
      <c r="D2206" s="1198">
        <f>VLOOKUP($B2206,dongia1,DG!$B$5,)</f>
        <v>0</v>
      </c>
      <c r="E2206" s="1243" t="str">
        <f>VLOOKUP($B2206,dongia1,DG!$C$5,)</f>
        <v>Băng keo cách điện hạ thế</v>
      </c>
      <c r="F2206" s="1198" t="str">
        <f>VLOOKUP($B2206,dongia1,DG!$D$5,)</f>
        <v>cuộn</v>
      </c>
      <c r="G2206" s="1508">
        <f>G2205*2</f>
        <v>0</v>
      </c>
      <c r="H2206" s="1298">
        <f>VLOOKUP($B2206,dongia1,DG!$F$5,)</f>
        <v>6500</v>
      </c>
      <c r="I2206" s="1298"/>
      <c r="J2206" s="1298">
        <f>VLOOKUP($B2206,dongia1,DG!$G$5,)</f>
        <v>0</v>
      </c>
      <c r="K2206" s="1298">
        <f>VLOOKUP($B2206,dongia1,DG!$H$5,)</f>
        <v>0</v>
      </c>
      <c r="L2206" s="1298">
        <f t="shared" si="545"/>
        <v>0</v>
      </c>
      <c r="M2206" s="1298">
        <f t="shared" si="546"/>
        <v>0</v>
      </c>
      <c r="N2206" s="1298">
        <f t="shared" si="547"/>
        <v>0</v>
      </c>
      <c r="O2206" s="1298">
        <f t="shared" si="548"/>
        <v>0</v>
      </c>
      <c r="P2206" s="1499"/>
      <c r="Q2206" s="1300"/>
      <c r="R2206" s="1300"/>
      <c r="S2206" s="1300"/>
    </row>
    <row r="2207" spans="1:19" s="1081" customFormat="1" hidden="1" outlineLevel="1">
      <c r="A2207" s="1072" t="str">
        <f t="shared" si="544"/>
        <v/>
      </c>
      <c r="B2207" s="1295" t="s">
        <v>1346</v>
      </c>
      <c r="C2207" s="1302"/>
      <c r="D2207" s="1198" t="str">
        <f>VLOOKUP($B2207,dongia1,DG!$B$5,)</f>
        <v>T4.4202</v>
      </c>
      <c r="E2207" s="1243" t="str">
        <f>VLOOKUP($B2207,dongia1,DG!$C$5,)</f>
        <v>Lắp cáp đồng xuống thiết bị D ≤ 150mm2</v>
      </c>
      <c r="F2207" s="1198" t="str">
        <f>VLOOKUP($B2207,dongia1,DG!$D$5,)</f>
        <v>m</v>
      </c>
      <c r="G2207" s="1508">
        <f>G2192</f>
        <v>0</v>
      </c>
      <c r="H2207" s="1298">
        <f>VLOOKUP($B2207,dongia1,DG!$F$5,)</f>
        <v>0</v>
      </c>
      <c r="I2207" s="1298"/>
      <c r="J2207" s="1298">
        <f>VLOOKUP($B2207,dongia1,DG!$G$5,)</f>
        <v>33396</v>
      </c>
      <c r="K2207" s="1298">
        <f>VLOOKUP($B2207,dongia1,DG!$H$5,)</f>
        <v>0</v>
      </c>
      <c r="L2207" s="1298">
        <f t="shared" si="545"/>
        <v>0</v>
      </c>
      <c r="M2207" s="1298">
        <f t="shared" si="546"/>
        <v>0</v>
      </c>
      <c r="N2207" s="1298">
        <f t="shared" si="547"/>
        <v>0</v>
      </c>
      <c r="O2207" s="1298">
        <f t="shared" si="548"/>
        <v>0</v>
      </c>
      <c r="P2207" s="1499"/>
      <c r="Q2207" s="1300"/>
      <c r="R2207" s="1300"/>
      <c r="S2207" s="1300"/>
    </row>
    <row r="2208" spans="1:19" s="1081" customFormat="1" hidden="1" outlineLevel="1">
      <c r="A2208" s="1072" t="str">
        <f t="shared" si="544"/>
        <v/>
      </c>
      <c r="B2208" s="1295" t="s">
        <v>379</v>
      </c>
      <c r="C2208" s="1302"/>
      <c r="D2208" s="1198" t="str">
        <f>VLOOKUP($B2208,dongia1,DG!$B$5,)</f>
        <v>T4.4203</v>
      </c>
      <c r="E2208" s="1243" t="str">
        <f>VLOOKUP($B2208,dongia1,DG!$C$5,)</f>
        <v>Lắp cáp đồng xuống thiết bị D ≤ 240mm2</v>
      </c>
      <c r="F2208" s="1198" t="str">
        <f>VLOOKUP($B2208,dongia1,DG!$D$5,)</f>
        <v>m</v>
      </c>
      <c r="G2208" s="1508">
        <f>G2193</f>
        <v>0</v>
      </c>
      <c r="H2208" s="1298">
        <f>VLOOKUP($B2208,dongia1,DG!$F$5,)</f>
        <v>0</v>
      </c>
      <c r="I2208" s="1298"/>
      <c r="J2208" s="1298">
        <f>VLOOKUP($B2208,dongia1,DG!$G$5,)</f>
        <v>47311</v>
      </c>
      <c r="K2208" s="1298">
        <f>VLOOKUP($B2208,dongia1,DG!$H$5,)</f>
        <v>0</v>
      </c>
      <c r="L2208" s="1298">
        <f t="shared" si="545"/>
        <v>0</v>
      </c>
      <c r="M2208" s="1298">
        <f t="shared" si="546"/>
        <v>0</v>
      </c>
      <c r="N2208" s="1298">
        <f t="shared" si="547"/>
        <v>0</v>
      </c>
      <c r="O2208" s="1298">
        <f t="shared" si="548"/>
        <v>0</v>
      </c>
      <c r="P2208" s="1499"/>
      <c r="Q2208" s="1300"/>
      <c r="R2208" s="1300"/>
      <c r="S2208" s="1300"/>
    </row>
    <row r="2209" spans="1:19" s="1081" customFormat="1" hidden="1" outlineLevel="1">
      <c r="A2209" s="1072">
        <f>A2055</f>
        <v>0</v>
      </c>
      <c r="B2209" s="1421"/>
      <c r="C2209" s="1534" t="s">
        <v>3388</v>
      </c>
      <c r="D2209" s="1534"/>
      <c r="E2209" s="1534"/>
      <c r="F2209" s="1534"/>
      <c r="G2209" s="1534"/>
      <c r="H2209" s="1534"/>
      <c r="I2209" s="1534"/>
      <c r="J2209" s="1534"/>
      <c r="K2209" s="1534"/>
      <c r="L2209" s="1480">
        <f>SUM(L2071:L2208)</f>
        <v>0</v>
      </c>
      <c r="M2209" s="1480">
        <f>SUM(M2071:M2208)</f>
        <v>0</v>
      </c>
      <c r="N2209" s="1480">
        <f>SUM(N2071:N2208)</f>
        <v>0</v>
      </c>
      <c r="O2209" s="1480">
        <f>SUM(O2071:O2208)</f>
        <v>0</v>
      </c>
      <c r="P2209" s="1535"/>
      <c r="Q2209" s="1300"/>
      <c r="R2209" s="1300"/>
      <c r="S2209" s="1300"/>
    </row>
    <row r="2210" spans="1:19" s="1081" customFormat="1" hidden="1" outlineLevel="1">
      <c r="A2210" s="1072"/>
      <c r="B2210" s="1421"/>
      <c r="C2210" s="1536"/>
      <c r="D2210" s="1536"/>
      <c r="E2210" s="1537"/>
      <c r="F2210" s="1536"/>
      <c r="G2210" s="1530"/>
      <c r="H2210" s="1530"/>
      <c r="I2210" s="1530"/>
      <c r="J2210" s="1531"/>
      <c r="K2210" s="1531"/>
      <c r="L2210" s="1532"/>
      <c r="M2210" s="1532"/>
      <c r="N2210" s="1532"/>
      <c r="O2210" s="1532"/>
      <c r="P2210" s="1538"/>
      <c r="Q2210" s="1300"/>
      <c r="R2210" s="1300"/>
      <c r="S2210" s="1300"/>
    </row>
    <row r="2211" spans="1:19" s="1081" customFormat="1" hidden="1" outlineLevel="1">
      <c r="A2211" s="1072"/>
      <c r="B2211" s="1421"/>
      <c r="C2211" s="1536"/>
      <c r="D2211" s="1536"/>
      <c r="E2211" s="1537"/>
      <c r="F2211" s="1536"/>
      <c r="G2211" s="1530"/>
      <c r="H2211" s="1530"/>
      <c r="I2211" s="1530"/>
      <c r="J2211" s="1531"/>
      <c r="K2211" s="1531"/>
      <c r="L2211" s="1532"/>
      <c r="M2211" s="1532"/>
      <c r="N2211" s="1532"/>
      <c r="O2211" s="1532"/>
      <c r="P2211" s="1538"/>
      <c r="Q2211" s="1300"/>
      <c r="R2211" s="1300"/>
      <c r="S2211" s="1300"/>
    </row>
    <row r="2212" spans="1:19" s="1081" customFormat="1" hidden="1" outlineLevel="1">
      <c r="A2212" s="1072"/>
      <c r="B2212" s="1421"/>
      <c r="C2212" s="1536"/>
      <c r="D2212" s="1536"/>
      <c r="E2212" s="1537"/>
      <c r="F2212" s="1536"/>
      <c r="G2212" s="1530"/>
      <c r="H2212" s="1530"/>
      <c r="I2212" s="1530"/>
      <c r="J2212" s="1531"/>
      <c r="K2212" s="1531"/>
      <c r="L2212" s="1532"/>
      <c r="M2212" s="1532"/>
      <c r="N2212" s="1532"/>
      <c r="O2212" s="1532"/>
      <c r="P2212" s="1538"/>
      <c r="Q2212" s="1300"/>
      <c r="R2212" s="1300"/>
      <c r="S2212" s="1300"/>
    </row>
    <row r="2213" spans="1:19" s="1081" customFormat="1" hidden="1" outlineLevel="1">
      <c r="A2213" s="1072"/>
      <c r="B2213" s="1421"/>
      <c r="C2213" s="1536"/>
      <c r="D2213" s="1536"/>
      <c r="E2213" s="1537"/>
      <c r="F2213" s="1536"/>
      <c r="G2213" s="1530"/>
      <c r="H2213" s="1530"/>
      <c r="I2213" s="1530"/>
      <c r="J2213" s="1531"/>
      <c r="K2213" s="1531"/>
      <c r="L2213" s="1532"/>
      <c r="M2213" s="1532"/>
      <c r="N2213" s="1532"/>
      <c r="O2213" s="1532"/>
      <c r="P2213" s="1538"/>
      <c r="Q2213" s="1300"/>
      <c r="R2213" s="1300"/>
      <c r="S2213" s="1300"/>
    </row>
    <row r="2214" spans="1:19" s="1081" customFormat="1" hidden="1" outlineLevel="1">
      <c r="A2214" s="1072"/>
      <c r="B2214" s="1421"/>
      <c r="C2214" s="1536"/>
      <c r="D2214" s="1536"/>
      <c r="E2214" s="1537"/>
      <c r="F2214" s="1536"/>
      <c r="G2214" s="1530"/>
      <c r="H2214" s="1530"/>
      <c r="I2214" s="1530"/>
      <c r="J2214" s="1531"/>
      <c r="K2214" s="1531"/>
      <c r="L2214" s="1532"/>
      <c r="M2214" s="1532"/>
      <c r="N2214" s="1532"/>
      <c r="O2214" s="1532"/>
      <c r="P2214" s="1538"/>
      <c r="Q2214" s="1300"/>
      <c r="R2214" s="1300"/>
      <c r="S2214" s="1300"/>
    </row>
    <row r="2215" spans="1:19" s="1081" customFormat="1" hidden="1" outlineLevel="1">
      <c r="A2215" s="1072"/>
      <c r="B2215" s="1421"/>
      <c r="C2215" s="1536"/>
      <c r="D2215" s="1536"/>
      <c r="E2215" s="1537"/>
      <c r="F2215" s="1536"/>
      <c r="G2215" s="1530"/>
      <c r="H2215" s="1530"/>
      <c r="I2215" s="1530"/>
      <c r="J2215" s="1531"/>
      <c r="K2215" s="1531"/>
      <c r="L2215" s="1532"/>
      <c r="M2215" s="1532"/>
      <c r="N2215" s="1532"/>
      <c r="O2215" s="1532"/>
      <c r="P2215" s="1538"/>
      <c r="Q2215" s="1300"/>
      <c r="R2215" s="1300"/>
      <c r="S2215" s="1300"/>
    </row>
    <row r="2216" spans="1:19" s="1081" customFormat="1" hidden="1" outlineLevel="1">
      <c r="A2216" s="1072"/>
      <c r="B2216" s="1421"/>
      <c r="C2216" s="1536"/>
      <c r="D2216" s="1536"/>
      <c r="E2216" s="1537"/>
      <c r="F2216" s="1536"/>
      <c r="G2216" s="1530"/>
      <c r="H2216" s="1530"/>
      <c r="I2216" s="1530"/>
      <c r="J2216" s="1531"/>
      <c r="K2216" s="1531"/>
      <c r="L2216" s="1532"/>
      <c r="M2216" s="1532"/>
      <c r="N2216" s="1532"/>
      <c r="O2216" s="1532"/>
      <c r="P2216" s="1538"/>
      <c r="Q2216" s="1300"/>
      <c r="R2216" s="1300"/>
      <c r="S2216" s="1300"/>
    </row>
    <row r="2217" spans="1:19" s="1081" customFormat="1" hidden="1" outlineLevel="1">
      <c r="A2217" s="1072"/>
      <c r="B2217" s="1421"/>
      <c r="C2217" s="1536"/>
      <c r="D2217" s="1536"/>
      <c r="E2217" s="1537"/>
      <c r="F2217" s="1536"/>
      <c r="G2217" s="1530"/>
      <c r="H2217" s="1530"/>
      <c r="I2217" s="1530"/>
      <c r="J2217" s="1531"/>
      <c r="K2217" s="1531"/>
      <c r="L2217" s="1532"/>
      <c r="M2217" s="1532"/>
      <c r="N2217" s="1532"/>
      <c r="O2217" s="1532"/>
      <c r="P2217" s="1538"/>
      <c r="Q2217" s="1300"/>
      <c r="R2217" s="1300"/>
      <c r="S2217" s="1300"/>
    </row>
    <row r="2218" spans="1:19" s="1081" customFormat="1" hidden="1" outlineLevel="1">
      <c r="A2218" s="1072"/>
      <c r="B2218" s="1421"/>
      <c r="C2218" s="1536"/>
      <c r="D2218" s="1536"/>
      <c r="E2218" s="1537"/>
      <c r="F2218" s="1536"/>
      <c r="G2218" s="1530"/>
      <c r="H2218" s="1530"/>
      <c r="I2218" s="1530"/>
      <c r="J2218" s="1531"/>
      <c r="K2218" s="1531"/>
      <c r="L2218" s="1532"/>
      <c r="M2218" s="1532"/>
      <c r="N2218" s="1532"/>
      <c r="O2218" s="1532"/>
      <c r="P2218" s="1538"/>
      <c r="Q2218" s="1300"/>
      <c r="R2218" s="1300"/>
      <c r="S2218" s="1300"/>
    </row>
    <row r="2219" spans="1:19" s="1081" customFormat="1" hidden="1" outlineLevel="1">
      <c r="A2219" s="1072"/>
      <c r="B2219" s="1421"/>
      <c r="C2219" s="1536"/>
      <c r="D2219" s="1536"/>
      <c r="E2219" s="1537"/>
      <c r="F2219" s="1536"/>
      <c r="G2219" s="1530"/>
      <c r="H2219" s="1530"/>
      <c r="I2219" s="1530"/>
      <c r="J2219" s="1531"/>
      <c r="K2219" s="1531"/>
      <c r="L2219" s="1532"/>
      <c r="M2219" s="1532"/>
      <c r="N2219" s="1532"/>
      <c r="O2219" s="1532"/>
      <c r="P2219" s="1538"/>
      <c r="Q2219" s="1300"/>
      <c r="R2219" s="1300"/>
      <c r="S2219" s="1300"/>
    </row>
    <row r="2220" spans="1:19" s="1081" customFormat="1" hidden="1" outlineLevel="1">
      <c r="A2220" s="1072"/>
      <c r="B2220" s="1421"/>
      <c r="C2220" s="1536"/>
      <c r="D2220" s="1536"/>
      <c r="E2220" s="1537"/>
      <c r="F2220" s="1536"/>
      <c r="G2220" s="1530"/>
      <c r="H2220" s="1530"/>
      <c r="I2220" s="1530"/>
      <c r="J2220" s="1531"/>
      <c r="K2220" s="1531"/>
      <c r="L2220" s="1532"/>
      <c r="M2220" s="1532"/>
      <c r="N2220" s="1532"/>
      <c r="O2220" s="1532"/>
      <c r="P2220" s="1538"/>
      <c r="Q2220" s="1300"/>
      <c r="R2220" s="1300"/>
      <c r="S2220" s="1300"/>
    </row>
    <row r="2221" spans="1:19" s="1081" customFormat="1" hidden="1" outlineLevel="1">
      <c r="A2221" s="1072"/>
      <c r="B2221" s="1421"/>
      <c r="C2221" s="1536"/>
      <c r="D2221" s="1536"/>
      <c r="E2221" s="1537"/>
      <c r="F2221" s="1536"/>
      <c r="G2221" s="1530"/>
      <c r="H2221" s="1530"/>
      <c r="I2221" s="1530"/>
      <c r="J2221" s="1531"/>
      <c r="K2221" s="1531"/>
      <c r="L2221" s="1532"/>
      <c r="M2221" s="1532"/>
      <c r="N2221" s="1532"/>
      <c r="O2221" s="1532"/>
      <c r="P2221" s="1538"/>
      <c r="Q2221" s="1300"/>
      <c r="R2221" s="1300"/>
      <c r="S2221" s="1300"/>
    </row>
    <row r="2222" spans="1:19" s="1081" customFormat="1" hidden="1" outlineLevel="1">
      <c r="A2222" s="1072"/>
      <c r="B2222" s="1421"/>
      <c r="C2222" s="1536"/>
      <c r="D2222" s="1536"/>
      <c r="E2222" s="1537"/>
      <c r="F2222" s="1536"/>
      <c r="G2222" s="1530"/>
      <c r="H2222" s="1530"/>
      <c r="I2222" s="1530"/>
      <c r="J2222" s="1531"/>
      <c r="K2222" s="1531"/>
      <c r="L2222" s="1532"/>
      <c r="M2222" s="1532"/>
      <c r="N2222" s="1532"/>
      <c r="O2222" s="1532"/>
      <c r="P2222" s="1538"/>
      <c r="Q2222" s="1300"/>
      <c r="R2222" s="1300"/>
      <c r="S2222" s="1300"/>
    </row>
    <row r="2223" spans="1:19" s="1081" customFormat="1" hidden="1" outlineLevel="1">
      <c r="A2223" s="1072"/>
      <c r="B2223" s="1421"/>
      <c r="C2223" s="1536"/>
      <c r="D2223" s="1536"/>
      <c r="E2223" s="1537"/>
      <c r="F2223" s="1536"/>
      <c r="G2223" s="1530"/>
      <c r="H2223" s="1530"/>
      <c r="I2223" s="1530"/>
      <c r="J2223" s="1531"/>
      <c r="K2223" s="1531"/>
      <c r="L2223" s="1532"/>
      <c r="M2223" s="1532"/>
      <c r="N2223" s="1532"/>
      <c r="O2223" s="1532"/>
      <c r="P2223" s="1538"/>
      <c r="Q2223" s="1300"/>
      <c r="R2223" s="1300"/>
      <c r="S2223" s="1300"/>
    </row>
    <row r="2224" spans="1:19" s="1081" customFormat="1" hidden="1" outlineLevel="1">
      <c r="A2224" s="1072"/>
      <c r="B2224" s="1421"/>
      <c r="C2224" s="1536"/>
      <c r="D2224" s="1536"/>
      <c r="E2224" s="1537"/>
      <c r="F2224" s="1536"/>
      <c r="G2224" s="1530"/>
      <c r="H2224" s="1530"/>
      <c r="I2224" s="1530"/>
      <c r="J2224" s="1531"/>
      <c r="K2224" s="1531"/>
      <c r="L2224" s="1532"/>
      <c r="M2224" s="1532"/>
      <c r="N2224" s="1532"/>
      <c r="O2224" s="1532"/>
      <c r="P2224" s="1538"/>
      <c r="Q2224" s="1300"/>
      <c r="R2224" s="1300"/>
      <c r="S2224" s="1300"/>
    </row>
    <row r="2225" spans="1:19" s="1081" customFormat="1" hidden="1" outlineLevel="1">
      <c r="A2225" s="1072"/>
      <c r="B2225" s="1421"/>
      <c r="C2225" s="1536"/>
      <c r="D2225" s="1536"/>
      <c r="E2225" s="1537"/>
      <c r="F2225" s="1536"/>
      <c r="G2225" s="1530"/>
      <c r="H2225" s="1530"/>
      <c r="I2225" s="1530"/>
      <c r="J2225" s="1531"/>
      <c r="K2225" s="1531"/>
      <c r="L2225" s="1532"/>
      <c r="M2225" s="1532"/>
      <c r="N2225" s="1532"/>
      <c r="O2225" s="1532"/>
      <c r="P2225" s="1538"/>
      <c r="Q2225" s="1300"/>
      <c r="R2225" s="1300"/>
      <c r="S2225" s="1300"/>
    </row>
    <row r="2226" spans="1:19" s="1081" customFormat="1" hidden="1" outlineLevel="1">
      <c r="A2226" s="1072"/>
      <c r="B2226" s="1421"/>
      <c r="C2226" s="1536"/>
      <c r="D2226" s="1536"/>
      <c r="E2226" s="1537"/>
      <c r="F2226" s="1536"/>
      <c r="G2226" s="1530"/>
      <c r="H2226" s="1530"/>
      <c r="I2226" s="1530"/>
      <c r="J2226" s="1531"/>
      <c r="K2226" s="1531"/>
      <c r="L2226" s="1532"/>
      <c r="M2226" s="1532"/>
      <c r="N2226" s="1532"/>
      <c r="O2226" s="1532"/>
      <c r="P2226" s="1538"/>
      <c r="Q2226" s="1300"/>
      <c r="R2226" s="1300"/>
      <c r="S2226" s="1300"/>
    </row>
    <row r="2227" spans="1:19" s="1081" customFormat="1" hidden="1" outlineLevel="1">
      <c r="A2227" s="1072"/>
      <c r="B2227" s="1421"/>
      <c r="C2227" s="1536"/>
      <c r="D2227" s="1536"/>
      <c r="E2227" s="1537"/>
      <c r="F2227" s="1536"/>
      <c r="G2227" s="1530"/>
      <c r="H2227" s="1530"/>
      <c r="I2227" s="1530"/>
      <c r="J2227" s="1531"/>
      <c r="K2227" s="1531"/>
      <c r="L2227" s="1532"/>
      <c r="M2227" s="1532"/>
      <c r="N2227" s="1532"/>
      <c r="O2227" s="1532"/>
      <c r="P2227" s="1538"/>
      <c r="Q2227" s="1300"/>
      <c r="R2227" s="1300"/>
      <c r="S2227" s="1300"/>
    </row>
    <row r="2228" spans="1:19" s="1081" customFormat="1" hidden="1" outlineLevel="1">
      <c r="A2228" s="1072"/>
      <c r="B2228" s="1421"/>
      <c r="C2228" s="1536"/>
      <c r="D2228" s="1536"/>
      <c r="E2228" s="1537"/>
      <c r="F2228" s="1536"/>
      <c r="G2228" s="1530"/>
      <c r="H2228" s="1530"/>
      <c r="I2228" s="1530"/>
      <c r="J2228" s="1531"/>
      <c r="K2228" s="1531"/>
      <c r="L2228" s="1532"/>
      <c r="M2228" s="1532"/>
      <c r="N2228" s="1532"/>
      <c r="O2228" s="1532"/>
      <c r="P2228" s="1538"/>
      <c r="Q2228" s="1300"/>
      <c r="R2228" s="1300"/>
      <c r="S2228" s="1300"/>
    </row>
    <row r="2229" spans="1:19" s="1081" customFormat="1" hidden="1" outlineLevel="1">
      <c r="A2229" s="1072"/>
      <c r="B2229" s="1421"/>
      <c r="C2229" s="1536"/>
      <c r="D2229" s="1536"/>
      <c r="E2229" s="1537"/>
      <c r="F2229" s="1536"/>
      <c r="G2229" s="1530"/>
      <c r="H2229" s="1530"/>
      <c r="I2229" s="1530"/>
      <c r="J2229" s="1531"/>
      <c r="K2229" s="1531"/>
      <c r="L2229" s="1532"/>
      <c r="M2229" s="1532"/>
      <c r="N2229" s="1532"/>
      <c r="O2229" s="1532"/>
      <c r="P2229" s="1538"/>
      <c r="Q2229" s="1300"/>
      <c r="R2229" s="1300"/>
      <c r="S2229" s="1300"/>
    </row>
    <row r="2230" spans="1:19" s="1081" customFormat="1" hidden="1" outlineLevel="1">
      <c r="A2230" s="1072"/>
      <c r="B2230" s="1421"/>
      <c r="C2230" s="1536"/>
      <c r="D2230" s="1536"/>
      <c r="E2230" s="1537"/>
      <c r="F2230" s="1536"/>
      <c r="G2230" s="1530"/>
      <c r="H2230" s="1530"/>
      <c r="I2230" s="1530"/>
      <c r="J2230" s="1531"/>
      <c r="K2230" s="1531"/>
      <c r="L2230" s="1532"/>
      <c r="M2230" s="1532"/>
      <c r="N2230" s="1532"/>
      <c r="O2230" s="1532"/>
      <c r="P2230" s="1538"/>
      <c r="Q2230" s="1300"/>
      <c r="R2230" s="1300"/>
      <c r="S2230" s="1300"/>
    </row>
    <row r="2231" spans="1:19" s="1081" customFormat="1" hidden="1" outlineLevel="1">
      <c r="A2231" s="1072"/>
      <c r="B2231" s="1421"/>
      <c r="C2231" s="1536"/>
      <c r="D2231" s="1536"/>
      <c r="E2231" s="1537"/>
      <c r="F2231" s="1536"/>
      <c r="G2231" s="1530"/>
      <c r="H2231" s="1530"/>
      <c r="I2231" s="1530"/>
      <c r="J2231" s="1531"/>
      <c r="K2231" s="1531"/>
      <c r="L2231" s="1532"/>
      <c r="M2231" s="1532"/>
      <c r="N2231" s="1532"/>
      <c r="O2231" s="1532"/>
      <c r="P2231" s="1538"/>
      <c r="Q2231" s="1300"/>
      <c r="R2231" s="1300"/>
      <c r="S2231" s="1300"/>
    </row>
    <row r="2232" spans="1:19" s="1081" customFormat="1" hidden="1" outlineLevel="1">
      <c r="A2232" s="1072"/>
      <c r="B2232" s="1421"/>
      <c r="C2232" s="1536"/>
      <c r="D2232" s="1536"/>
      <c r="E2232" s="1537"/>
      <c r="F2232" s="1536"/>
      <c r="G2232" s="1530"/>
      <c r="H2232" s="1530"/>
      <c r="I2232" s="1530"/>
      <c r="J2232" s="1531"/>
      <c r="K2232" s="1531"/>
      <c r="L2232" s="1532"/>
      <c r="M2232" s="1532"/>
      <c r="N2232" s="1532"/>
      <c r="O2232" s="1532"/>
      <c r="P2232" s="1538"/>
      <c r="Q2232" s="1300"/>
      <c r="R2232" s="1300"/>
      <c r="S2232" s="1300"/>
    </row>
    <row r="2233" spans="1:19" s="1081" customFormat="1" hidden="1" outlineLevel="1">
      <c r="A2233" s="1072"/>
      <c r="B2233" s="1421"/>
      <c r="C2233" s="1536"/>
      <c r="D2233" s="1536"/>
      <c r="E2233" s="1537"/>
      <c r="F2233" s="1536"/>
      <c r="G2233" s="1530"/>
      <c r="H2233" s="1530"/>
      <c r="I2233" s="1530"/>
      <c r="J2233" s="1531"/>
      <c r="K2233" s="1531"/>
      <c r="L2233" s="1532"/>
      <c r="M2233" s="1532"/>
      <c r="N2233" s="1532"/>
      <c r="O2233" s="1532"/>
      <c r="P2233" s="1538"/>
      <c r="Q2233" s="1300"/>
      <c r="R2233" s="1300"/>
      <c r="S2233" s="1300"/>
    </row>
    <row r="2234" spans="1:19" s="1081" customFormat="1" hidden="1" outlineLevel="1">
      <c r="A2234" s="1072"/>
      <c r="B2234" s="1421"/>
      <c r="C2234" s="1536"/>
      <c r="D2234" s="1536"/>
      <c r="E2234" s="1537"/>
      <c r="F2234" s="1536"/>
      <c r="G2234" s="1530"/>
      <c r="H2234" s="1530"/>
      <c r="I2234" s="1530"/>
      <c r="J2234" s="1531"/>
      <c r="K2234" s="1531"/>
      <c r="L2234" s="1532"/>
      <c r="M2234" s="1532"/>
      <c r="N2234" s="1532"/>
      <c r="O2234" s="1532"/>
      <c r="P2234" s="1538"/>
      <c r="Q2234" s="1300"/>
      <c r="R2234" s="1300"/>
      <c r="S2234" s="1300"/>
    </row>
    <row r="2235" spans="1:19" s="1081" customFormat="1" hidden="1" outlineLevel="1">
      <c r="A2235" s="1072"/>
      <c r="B2235" s="1421"/>
      <c r="C2235" s="1536"/>
      <c r="D2235" s="1536"/>
      <c r="E2235" s="1537"/>
      <c r="F2235" s="1536"/>
      <c r="G2235" s="1530"/>
      <c r="H2235" s="1530"/>
      <c r="I2235" s="1530"/>
      <c r="J2235" s="1531"/>
      <c r="K2235" s="1531"/>
      <c r="L2235" s="1532"/>
      <c r="M2235" s="1532"/>
      <c r="N2235" s="1532"/>
      <c r="O2235" s="1532"/>
      <c r="P2235" s="1538"/>
      <c r="Q2235" s="1300"/>
      <c r="R2235" s="1300"/>
      <c r="S2235" s="1300"/>
    </row>
    <row r="2236" spans="1:19" s="1081" customFormat="1" hidden="1" outlineLevel="1">
      <c r="A2236" s="1072"/>
      <c r="B2236" s="1421"/>
      <c r="C2236" s="1536"/>
      <c r="D2236" s="1536"/>
      <c r="E2236" s="1537"/>
      <c r="F2236" s="1536"/>
      <c r="G2236" s="1530"/>
      <c r="H2236" s="1530"/>
      <c r="I2236" s="1530"/>
      <c r="J2236" s="1531"/>
      <c r="K2236" s="1531"/>
      <c r="L2236" s="1532"/>
      <c r="M2236" s="1532"/>
      <c r="N2236" s="1532"/>
      <c r="O2236" s="1532"/>
      <c r="P2236" s="1538"/>
      <c r="Q2236" s="1300"/>
      <c r="R2236" s="1300"/>
      <c r="S2236" s="1300"/>
    </row>
    <row r="2237" spans="1:19" s="1081" customFormat="1" hidden="1" outlineLevel="1">
      <c r="A2237" s="1072"/>
      <c r="B2237" s="1421"/>
      <c r="C2237" s="1536"/>
      <c r="D2237" s="1536"/>
      <c r="E2237" s="1537"/>
      <c r="F2237" s="1536"/>
      <c r="G2237" s="1530"/>
      <c r="H2237" s="1530"/>
      <c r="I2237" s="1530"/>
      <c r="J2237" s="1531"/>
      <c r="K2237" s="1531"/>
      <c r="L2237" s="1532"/>
      <c r="M2237" s="1532"/>
      <c r="N2237" s="1532"/>
      <c r="O2237" s="1532"/>
      <c r="P2237" s="1538"/>
      <c r="Q2237" s="1300"/>
      <c r="R2237" s="1300"/>
      <c r="S2237" s="1300"/>
    </row>
    <row r="2238" spans="1:19" s="1081" customFormat="1" ht="3" hidden="1" customHeight="1" outlineLevel="1">
      <c r="A2238" s="1072"/>
      <c r="B2238" s="1421"/>
      <c r="C2238" s="1536"/>
      <c r="D2238" s="1536"/>
      <c r="E2238" s="1537"/>
      <c r="F2238" s="1536"/>
      <c r="G2238" s="1530"/>
      <c r="H2238" s="1530"/>
      <c r="I2238" s="1530"/>
      <c r="J2238" s="1531"/>
      <c r="K2238" s="1531"/>
      <c r="L2238" s="1532"/>
      <c r="M2238" s="1532"/>
      <c r="N2238" s="1532"/>
      <c r="O2238" s="1532"/>
      <c r="P2238" s="1538"/>
      <c r="Q2238" s="1300"/>
      <c r="R2238" s="1300"/>
      <c r="S2238" s="1300"/>
    </row>
    <row r="2239" spans="1:19" s="1081" customFormat="1" ht="24" hidden="1" customHeight="1" outlineLevel="1">
      <c r="A2239" s="1072">
        <f>A2257</f>
        <v>0</v>
      </c>
      <c r="B2239" s="1432"/>
      <c r="C2239" s="2474" t="str">
        <f>"BẢNG TỔNG HỢP VẬT LIỆU, NHÂN CÔNG, MÁY THI CÔNG: "&amp;K14&amp;" TRẠM 3P_560KVA"</f>
        <v>BẢNG TỔNG HỢP VẬT LIỆU, NHÂN CÔNG, MÁY THI CÔNG: 0 TRẠM 3P_560KVA</v>
      </c>
      <c r="D2239" s="2474"/>
      <c r="E2239" s="2474"/>
      <c r="F2239" s="2474"/>
      <c r="G2239" s="2474"/>
      <c r="H2239" s="2474"/>
      <c r="I2239" s="2474"/>
      <c r="J2239" s="2474"/>
      <c r="K2239" s="2474"/>
      <c r="L2239" s="2474"/>
      <c r="M2239" s="2474"/>
      <c r="N2239" s="2474"/>
      <c r="O2239" s="2474"/>
      <c r="P2239" s="2474"/>
      <c r="Q2239" s="1300"/>
      <c r="R2239" s="1300"/>
      <c r="S2239" s="1300"/>
    </row>
    <row r="2240" spans="1:19" s="1081" customFormat="1" hidden="1" outlineLevel="1">
      <c r="A2240" s="1072">
        <f>A2257</f>
        <v>0</v>
      </c>
      <c r="B2240" s="1295" t="s">
        <v>308</v>
      </c>
      <c r="C2240" s="2459" t="s">
        <v>1014</v>
      </c>
      <c r="D2240" s="2467" t="s">
        <v>3363</v>
      </c>
      <c r="E2240" s="2457" t="s">
        <v>3364</v>
      </c>
      <c r="F2240" s="2459" t="s">
        <v>3365</v>
      </c>
      <c r="G2240" s="1155" t="s">
        <v>3367</v>
      </c>
      <c r="H2240" s="1156" t="s">
        <v>3368</v>
      </c>
      <c r="I2240" s="1157"/>
      <c r="J2240" s="1157"/>
      <c r="K2240" s="1158"/>
      <c r="L2240" s="1156" t="s">
        <v>3372</v>
      </c>
      <c r="M2240" s="1157"/>
      <c r="N2240" s="1157"/>
      <c r="O2240" s="1158"/>
      <c r="P2240" s="2472" t="s">
        <v>3373</v>
      </c>
      <c r="Q2240" s="1300"/>
      <c r="R2240" s="1300"/>
      <c r="S2240" s="1300"/>
    </row>
    <row r="2241" spans="1:19" s="1081" customFormat="1" hidden="1" outlineLevel="1">
      <c r="A2241" s="1072">
        <f>A2257</f>
        <v>0</v>
      </c>
      <c r="B2241" s="1295"/>
      <c r="C2241" s="2459"/>
      <c r="D2241" s="2468"/>
      <c r="E2241" s="2458"/>
      <c r="F2241" s="2459"/>
      <c r="G2241" s="1160" t="s">
        <v>3366</v>
      </c>
      <c r="H2241" s="1161" t="s">
        <v>393</v>
      </c>
      <c r="I2241" s="1161" t="s">
        <v>3369</v>
      </c>
      <c r="J2241" s="1161" t="s">
        <v>3370</v>
      </c>
      <c r="K2241" s="1161" t="s">
        <v>3371</v>
      </c>
      <c r="L2241" s="1161" t="s">
        <v>393</v>
      </c>
      <c r="M2241" s="1161" t="s">
        <v>3369</v>
      </c>
      <c r="N2241" s="1161" t="s">
        <v>3370</v>
      </c>
      <c r="O2241" s="1161" t="s">
        <v>3371</v>
      </c>
      <c r="P2241" s="2473"/>
      <c r="Q2241" s="1300"/>
      <c r="R2241" s="1300"/>
      <c r="S2241" s="1300"/>
    </row>
    <row r="2242" spans="1:19" s="1081" customFormat="1" hidden="1" outlineLevel="1">
      <c r="A2242" s="1072">
        <f>A2257</f>
        <v>0</v>
      </c>
      <c r="B2242" s="1295"/>
      <c r="C2242" s="1162"/>
      <c r="D2242" s="1163"/>
      <c r="E2242" s="1164" t="s">
        <v>3375</v>
      </c>
      <c r="F2242" s="1165"/>
      <c r="G2242" s="1165"/>
      <c r="H2242" s="1165"/>
      <c r="I2242" s="1165"/>
      <c r="J2242" s="1165"/>
      <c r="K2242" s="1165"/>
      <c r="L2242" s="1165"/>
      <c r="M2242" s="1165"/>
      <c r="N2242" s="1165"/>
      <c r="O2242" s="1163"/>
      <c r="P2242" s="1394"/>
      <c r="Q2242" s="1300"/>
      <c r="R2242" s="1300"/>
      <c r="S2242" s="1300"/>
    </row>
    <row r="2243" spans="1:19" s="1081" customFormat="1" hidden="1" outlineLevel="1">
      <c r="A2243" s="1072" t="str">
        <f t="shared" ref="A2243:A2256" si="549">IF(G2243&lt;&gt;0,1,"")</f>
        <v/>
      </c>
      <c r="B2243" s="1435" t="str">
        <f>IF($F$8=15,"tr560","tr5601")</f>
        <v>tr5601</v>
      </c>
      <c r="C2243" s="1302">
        <f>IF(G2243&gt;0,1,0)</f>
        <v>0</v>
      </c>
      <c r="D2243" s="1198" t="str">
        <f>VLOOKUP($B2243,dongia1,DG!$B$5,)</f>
        <v>T1.1416</v>
      </c>
      <c r="E2243" s="1243" t="str">
        <f>VLOOKUP($B2243,dongia1,DG!$C$5,)</f>
        <v>Máy biến áp 22/0,4kV- 560kVA</v>
      </c>
      <c r="F2243" s="1198" t="str">
        <f>VLOOKUP($B2243,dongia1,DG!$D$5,)</f>
        <v>máy</v>
      </c>
      <c r="G2243" s="1547">
        <f>$K$14</f>
        <v>0</v>
      </c>
      <c r="H2243" s="1399">
        <f>VLOOKUP($B2243,dongia1,DG!$E$5,)</f>
        <v>372166000</v>
      </c>
      <c r="I2243" s="1399"/>
      <c r="J2243" s="1399">
        <f>VLOOKUP($B2243,dongia1,DG!$G$5,)</f>
        <v>1660532</v>
      </c>
      <c r="K2243" s="1399">
        <f>VLOOKUP($B2243,dongia1,DG!$H$5,)</f>
        <v>361106</v>
      </c>
      <c r="L2243" s="1400">
        <f t="shared" ref="L2243:L2256" si="550">H2243*G2243</f>
        <v>0</v>
      </c>
      <c r="M2243" s="1400">
        <f t="shared" ref="M2243:M2256" si="551">I2243*G2243</f>
        <v>0</v>
      </c>
      <c r="N2243" s="1400">
        <f t="shared" ref="N2243:N2256" si="552">J2243*G2243</f>
        <v>0</v>
      </c>
      <c r="O2243" s="1401">
        <f t="shared" ref="O2243:O2256" si="553">K2243*G2243</f>
        <v>0</v>
      </c>
      <c r="P2243" s="1498"/>
      <c r="Q2243" s="1300"/>
      <c r="R2243" s="1300"/>
      <c r="S2243" s="1300"/>
    </row>
    <row r="2244" spans="1:19" s="1081" customFormat="1" hidden="1" outlineLevel="1">
      <c r="A2244" s="1072" t="str">
        <f t="shared" si="549"/>
        <v/>
      </c>
      <c r="B2244" s="1167" t="str">
        <f>"FCO100-"&amp;$F$8</f>
        <v>FCO100-22</v>
      </c>
      <c r="C2244" s="1302">
        <f t="shared" ref="C2244:C2252" si="554">IF(G2244&gt;0,C2243+1,C2243)</f>
        <v>0</v>
      </c>
      <c r="D2244" s="1198" t="str">
        <f>VLOOKUP($B2244,dongia1,DG!$B$5,)</f>
        <v>T2.3501</v>
      </c>
      <c r="E2244" s="1243" t="str">
        <f>VLOOKUP($B2244,dongia1,DG!$C$5,)</f>
        <v>FCO 24kV - 100A</v>
      </c>
      <c r="F2244" s="1198" t="str">
        <f>VLOOKUP($B2244,dongia1,DG!$D$5,)</f>
        <v>cái</v>
      </c>
      <c r="G2244" s="1398">
        <f>G2243*3</f>
        <v>0</v>
      </c>
      <c r="H2244" s="1298">
        <f>VLOOKUP($B2244,dongia1,DG!$E$5,)</f>
        <v>2244280</v>
      </c>
      <c r="I2244" s="1298">
        <f>VLOOKUP($B2244,dongia1,DG!$F$5,)*0</f>
        <v>0</v>
      </c>
      <c r="J2244" s="1298">
        <f>VLOOKUP($B2244,dongia1,DG!$G$5,)</f>
        <v>222639.99999999997</v>
      </c>
      <c r="K2244" s="1298">
        <f>VLOOKUP($B2244,dongia1,DG!$H$5,)</f>
        <v>0</v>
      </c>
      <c r="L2244" s="1298">
        <f t="shared" si="550"/>
        <v>0</v>
      </c>
      <c r="M2244" s="1298">
        <f t="shared" si="551"/>
        <v>0</v>
      </c>
      <c r="N2244" s="1298">
        <f t="shared" si="552"/>
        <v>0</v>
      </c>
      <c r="O2244" s="1298">
        <f t="shared" si="553"/>
        <v>0</v>
      </c>
      <c r="P2244" s="1499"/>
      <c r="Q2244" s="1300"/>
      <c r="R2244" s="1300"/>
      <c r="S2244" s="1300"/>
    </row>
    <row r="2245" spans="1:19" s="1081" customFormat="1" hidden="1" outlineLevel="1">
      <c r="A2245" s="1072" t="str">
        <f t="shared" si="549"/>
        <v/>
      </c>
      <c r="B2245" s="1435" t="str">
        <f>IF($F$8=15,"chi30k","chi25k")</f>
        <v>chi25k</v>
      </c>
      <c r="C2245" s="1302">
        <f t="shared" si="554"/>
        <v>0</v>
      </c>
      <c r="D2245" s="1198">
        <f>VLOOKUP($B2245,dongia1,DG!$B$5,)</f>
        <v>0</v>
      </c>
      <c r="E2245" s="1243" t="str">
        <f>VLOOKUP($B2245,dongia1,DG!$C$5,)</f>
        <v>Dây chảy 25K</v>
      </c>
      <c r="F2245" s="1198" t="str">
        <f>VLOOKUP($B2245,dongia1,DG!$D$5,)</f>
        <v>Sợi</v>
      </c>
      <c r="G2245" s="1398">
        <f>G2244</f>
        <v>0</v>
      </c>
      <c r="H2245" s="1298">
        <f>VLOOKUP($B2245,dongia1,DG!$F$5,)</f>
        <v>116000</v>
      </c>
      <c r="I2245" s="1298">
        <f>VLOOKUP($B2245,dongia1,DG!$F$5,)*0</f>
        <v>0</v>
      </c>
      <c r="J2245" s="1298">
        <f>VLOOKUP($B2245,dongia1,DG!$G$5,)</f>
        <v>0</v>
      </c>
      <c r="K2245" s="1298">
        <f>VLOOKUP($B2245,dongia1,DG!$H$5,)</f>
        <v>0</v>
      </c>
      <c r="L2245" s="1298">
        <f t="shared" si="550"/>
        <v>0</v>
      </c>
      <c r="M2245" s="1298">
        <f t="shared" si="551"/>
        <v>0</v>
      </c>
      <c r="N2245" s="1298">
        <f t="shared" si="552"/>
        <v>0</v>
      </c>
      <c r="O2245" s="1298">
        <f t="shared" si="553"/>
        <v>0</v>
      </c>
      <c r="P2245" s="1499"/>
      <c r="Q2245" s="1300"/>
      <c r="R2245" s="1300"/>
      <c r="S2245" s="1300"/>
    </row>
    <row r="2246" spans="1:19" s="1081" customFormat="1" hidden="1" outlineLevel="1">
      <c r="A2246" s="1072" t="str">
        <f t="shared" si="549"/>
        <v/>
      </c>
      <c r="B2246" s="1295" t="str">
        <f>"LA"&amp;$F$6</f>
        <v>LA18</v>
      </c>
      <c r="C2246" s="1302">
        <f t="shared" si="554"/>
        <v>0</v>
      </c>
      <c r="D2246" s="1198" t="str">
        <f>VLOOKUP($B2246,dongia1,DG!$B$5,)</f>
        <v>T2.5004</v>
      </c>
      <c r="E2246" s="1243" t="str">
        <f>VLOOKUP($B2246,dongia1,DG!$C$5,)</f>
        <v>LA 18kV 10kA</v>
      </c>
      <c r="F2246" s="1198" t="str">
        <f>VLOOKUP($B2246,dongia1,DG!$D$5,)</f>
        <v>cái</v>
      </c>
      <c r="G2246" s="1398">
        <f>G2244</f>
        <v>0</v>
      </c>
      <c r="H2246" s="1298">
        <f>VLOOKUP($B2246,dongia1,DG!$E$5,)</f>
        <v>1106000</v>
      </c>
      <c r="I2246" s="1298">
        <f>VLOOKUP($B2246,dongia1,DG!$F$5,)*0</f>
        <v>0</v>
      </c>
      <c r="J2246" s="1298">
        <f>VLOOKUP($B2246,dongia1,DG!$G$5,)</f>
        <v>83490</v>
      </c>
      <c r="K2246" s="1298">
        <f>VLOOKUP($B2246,dongia1,DG!$H$5,)</f>
        <v>0</v>
      </c>
      <c r="L2246" s="1298">
        <f t="shared" si="550"/>
        <v>0</v>
      </c>
      <c r="M2246" s="1298">
        <f t="shared" si="551"/>
        <v>0</v>
      </c>
      <c r="N2246" s="1298">
        <f t="shared" si="552"/>
        <v>0</v>
      </c>
      <c r="O2246" s="1298">
        <f t="shared" si="553"/>
        <v>0</v>
      </c>
      <c r="P2246" s="1499"/>
      <c r="Q2246" s="1300"/>
      <c r="R2246" s="1300"/>
      <c r="S2246" s="1300"/>
    </row>
    <row r="2247" spans="1:19" s="1081" customFormat="1" hidden="1" outlineLevel="1">
      <c r="A2247" s="1072" t="str">
        <f t="shared" si="549"/>
        <v/>
      </c>
      <c r="B2247" s="1397" t="s">
        <v>1562</v>
      </c>
      <c r="C2247" s="1302">
        <f t="shared" si="554"/>
        <v>0</v>
      </c>
      <c r="D2247" s="1198">
        <f>VLOOKUP($B2247,dongia1,DG!$B$5,)</f>
        <v>0</v>
      </c>
      <c r="E2247" s="1243" t="str">
        <f>VLOOKUP($B2247,dongia1,DG!$C$5,)</f>
        <v>MCCB 3 cực 400V -1000A - 50KA</v>
      </c>
      <c r="F2247" s="1198" t="str">
        <f>VLOOKUP($B2247,dongia1,DG!$D$5,)</f>
        <v>cái</v>
      </c>
      <c r="G2247" s="1303">
        <f>G2243*0</f>
        <v>0</v>
      </c>
      <c r="H2247" s="1298">
        <f>VLOOKUP($B2247,dongia1,DG!$E$5,)</f>
        <v>64843000</v>
      </c>
      <c r="I2247" s="1298">
        <f>VLOOKUP($B2247,dongia1,DG!$F$5,)*0</f>
        <v>0</v>
      </c>
      <c r="J2247" s="1298">
        <f>VLOOKUP($B2247,dongia1,DG!$G$5,)</f>
        <v>0</v>
      </c>
      <c r="K2247" s="1298">
        <f>VLOOKUP($B2247,dongia1,DG!$H$5,)</f>
        <v>0</v>
      </c>
      <c r="L2247" s="1298">
        <f t="shared" si="550"/>
        <v>0</v>
      </c>
      <c r="M2247" s="1298">
        <f t="shared" si="551"/>
        <v>0</v>
      </c>
      <c r="N2247" s="1298">
        <f t="shared" si="552"/>
        <v>0</v>
      </c>
      <c r="O2247" s="1298">
        <f t="shared" si="553"/>
        <v>0</v>
      </c>
      <c r="P2247" s="1437"/>
      <c r="Q2247" s="1300"/>
      <c r="R2247" s="1300"/>
      <c r="S2247" s="1300"/>
    </row>
    <row r="2248" spans="1:19" s="1081" customFormat="1" hidden="1" outlineLevel="1">
      <c r="A2248" s="1072" t="str">
        <f>IF(G2248&lt;&gt;0,1,"")</f>
        <v/>
      </c>
      <c r="B2248" s="1397" t="s">
        <v>841</v>
      </c>
      <c r="C2248" s="1302">
        <f>IF(G2248&gt;0,C2247+1,C2247)</f>
        <v>0</v>
      </c>
      <c r="D2248" s="1198" t="str">
        <f>VLOOKUP($B2248,dongia1,DG!$B$5,)</f>
        <v>T2.8407</v>
      </c>
      <c r="E2248" s="1243" t="str">
        <f>VLOOKUP($B2248,dongia1,DG!$C$5,)</f>
        <v>MCCB 3 cực 400V -630A - 50KA (chỉnh định dòng)</v>
      </c>
      <c r="F2248" s="1198" t="str">
        <f>VLOOKUP($B2248,dongia1,DG!$D$5,)</f>
        <v>cái</v>
      </c>
      <c r="G2248" s="1398">
        <f>G2243*2</f>
        <v>0</v>
      </c>
      <c r="H2248" s="1298">
        <f>VLOOKUP($B2248,dongia1,DG!$E$5,)</f>
        <v>25594000</v>
      </c>
      <c r="I2248" s="1298">
        <f>VLOOKUP($B2248,dongia1,DG!$F$5,)*0</f>
        <v>0</v>
      </c>
      <c r="J2248" s="1298">
        <f>VLOOKUP($B2248,dongia1,DG!$G$5,)</f>
        <v>1391500</v>
      </c>
      <c r="K2248" s="1298">
        <f>VLOOKUP($B2248,dongia1,DG!$H$5,)</f>
        <v>0</v>
      </c>
      <c r="L2248" s="1298">
        <f>H2248*G2248</f>
        <v>0</v>
      </c>
      <c r="M2248" s="1298">
        <f>I2248*G2248</f>
        <v>0</v>
      </c>
      <c r="N2248" s="1298">
        <f>J2248*G2248</f>
        <v>0</v>
      </c>
      <c r="O2248" s="1298">
        <f>K2248*G2248</f>
        <v>0</v>
      </c>
      <c r="P2248" s="1499"/>
      <c r="Q2248" s="1300"/>
      <c r="R2248" s="1300"/>
      <c r="S2248" s="1300"/>
    </row>
    <row r="2249" spans="1:19" s="1081" customFormat="1" hidden="1" outlineLevel="1">
      <c r="A2249" s="1072" t="str">
        <f>IF(G2249&lt;&gt;0,1,"")</f>
        <v/>
      </c>
      <c r="B2249" s="1397" t="s">
        <v>406</v>
      </c>
      <c r="C2249" s="1302">
        <f>IF(G2249&gt;0,C2247+1,C2247)</f>
        <v>0</v>
      </c>
      <c r="D2249" s="1198">
        <f>VLOOKUP($B2249,dongia1,DG!$B$5,)</f>
        <v>0</v>
      </c>
      <c r="E2249" s="1243" t="str">
        <f>VLOOKUP($B2249,dongia1,DG!$C$5,)</f>
        <v>MCCB 3 cực 400V -800A - 50KA</v>
      </c>
      <c r="F2249" s="1198" t="str">
        <f>VLOOKUP($B2249,dongia1,DG!$D$5,)</f>
        <v>cái</v>
      </c>
      <c r="G2249" s="1303"/>
      <c r="H2249" s="1298">
        <f>VLOOKUP($B2249,dongia1,DG!$E$5,)</f>
        <v>28075000</v>
      </c>
      <c r="I2249" s="1298">
        <f>VLOOKUP($B2249,dongia1,DG!$F$5,)*0</f>
        <v>0</v>
      </c>
      <c r="J2249" s="1298">
        <f>VLOOKUP($B2249,dongia1,DG!$G$5,)</f>
        <v>0</v>
      </c>
      <c r="K2249" s="1298">
        <f>VLOOKUP($B2249,dongia1,DG!$H$5,)</f>
        <v>0</v>
      </c>
      <c r="L2249" s="1298">
        <f>H2249*G2249</f>
        <v>0</v>
      </c>
      <c r="M2249" s="1298">
        <f>I2249*G2249</f>
        <v>0</v>
      </c>
      <c r="N2249" s="1298">
        <f>J2249*G2249</f>
        <v>0</v>
      </c>
      <c r="O2249" s="1298">
        <f>K2249*G2249</f>
        <v>0</v>
      </c>
      <c r="P2249" s="1437"/>
      <c r="Q2249" s="1300"/>
      <c r="R2249" s="1300"/>
      <c r="S2249" s="1300"/>
    </row>
    <row r="2250" spans="1:19" s="1081" customFormat="1" hidden="1" outlineLevel="1">
      <c r="A2250" s="1072" t="str">
        <f>IF(G2250&lt;&gt;0,1,"")</f>
        <v/>
      </c>
      <c r="B2250" s="1397" t="s">
        <v>1522</v>
      </c>
      <c r="C2250" s="1302">
        <f t="shared" si="554"/>
        <v>0</v>
      </c>
      <c r="D2250" s="1198">
        <f>VLOOKUP($B2250,dongia1,DG!$B$5,)</f>
        <v>0</v>
      </c>
      <c r="E2250" s="1243" t="str">
        <f>VLOOKUP($B2250,dongia1,DG!$C$5,)</f>
        <v>MCCB 3 cực 400V-100A - 30KA</v>
      </c>
      <c r="F2250" s="1198" t="str">
        <f>VLOOKUP($B2250,dongia1,DG!$D$5,)</f>
        <v>cái</v>
      </c>
      <c r="G2250" s="1303"/>
      <c r="H2250" s="1298">
        <f>VLOOKUP($B2250,dongia1,DG!$E$5,)</f>
        <v>1750000</v>
      </c>
      <c r="I2250" s="1298">
        <f>VLOOKUP($B2250,dongia1,DG!$F$5,)*0</f>
        <v>0</v>
      </c>
      <c r="J2250" s="1298">
        <f>VLOOKUP($B2250,dongia1,DG!$G$5,)</f>
        <v>0</v>
      </c>
      <c r="K2250" s="1298">
        <f>VLOOKUP($B2250,dongia1,DG!$H$5,)</f>
        <v>0</v>
      </c>
      <c r="L2250" s="1298">
        <f>H2250*G2250</f>
        <v>0</v>
      </c>
      <c r="M2250" s="1298">
        <f>I2250*G2250</f>
        <v>0</v>
      </c>
      <c r="N2250" s="1298">
        <f>J2250*G2250</f>
        <v>0</v>
      </c>
      <c r="O2250" s="1298">
        <f>K2250*G2250</f>
        <v>0</v>
      </c>
      <c r="P2250" s="1437"/>
      <c r="Q2250" s="1300"/>
      <c r="R2250" s="1300"/>
      <c r="S2250" s="1300"/>
    </row>
    <row r="2251" spans="1:19" s="1081" customFormat="1" hidden="1" outlineLevel="1">
      <c r="A2251" s="1072" t="str">
        <f>IF(G2251&lt;&gt;0,1,"")</f>
        <v/>
      </c>
      <c r="B2251" s="1397" t="s">
        <v>711</v>
      </c>
      <c r="C2251" s="1302">
        <f t="shared" si="554"/>
        <v>0</v>
      </c>
      <c r="D2251" s="1198">
        <f>VLOOKUP($B2251,dongia1,DG!$B$5,)</f>
        <v>0</v>
      </c>
      <c r="E2251" s="1243" t="str">
        <f>VLOOKUP($B2251,dongia1,DG!$C$5,)</f>
        <v>MCCB 3 cực 400V-75A - 30KA</v>
      </c>
      <c r="F2251" s="1198" t="str">
        <f>VLOOKUP($B2251,dongia1,DG!$D$5,)</f>
        <v>cái</v>
      </c>
      <c r="G2251" s="1303"/>
      <c r="H2251" s="1298">
        <f>VLOOKUP($B2251,dongia1,DG!$E$5,)</f>
        <v>2616000</v>
      </c>
      <c r="I2251" s="1298">
        <f>VLOOKUP($B2251,dongia1,DG!$F$5,)*0</f>
        <v>0</v>
      </c>
      <c r="J2251" s="1298">
        <f>VLOOKUP($B2251,dongia1,DG!$G$5,)</f>
        <v>0</v>
      </c>
      <c r="K2251" s="1298">
        <f>VLOOKUP($B2251,dongia1,DG!$H$5,)</f>
        <v>0</v>
      </c>
      <c r="L2251" s="1298">
        <f>H2251*G2251</f>
        <v>0</v>
      </c>
      <c r="M2251" s="1298">
        <f>I2251*G2251</f>
        <v>0</v>
      </c>
      <c r="N2251" s="1298">
        <f>J2251*G2251</f>
        <v>0</v>
      </c>
      <c r="O2251" s="1298">
        <f>K2251*G2251</f>
        <v>0</v>
      </c>
      <c r="P2251" s="1437"/>
      <c r="Q2251" s="1300"/>
      <c r="R2251" s="1300"/>
      <c r="S2251" s="1300"/>
    </row>
    <row r="2252" spans="1:19" s="1081" customFormat="1" hidden="1" outlineLevel="1">
      <c r="A2252" s="1072" t="str">
        <f>IF(G2252&lt;&gt;0,1,"")</f>
        <v/>
      </c>
      <c r="B2252" s="1397" t="s">
        <v>407</v>
      </c>
      <c r="C2252" s="1302">
        <f t="shared" si="554"/>
        <v>0</v>
      </c>
      <c r="D2252" s="1198">
        <f>VLOOKUP($B2252,dongia1,DG!$B$5,)</f>
        <v>0</v>
      </c>
      <c r="E2252" s="1243" t="str">
        <f>VLOOKUP($B2252,dongia1,DG!$C$5,)</f>
        <v>MCCB 3 cực 400V-50A - 7,5KA</v>
      </c>
      <c r="F2252" s="1198" t="str">
        <f>VLOOKUP($B2252,dongia1,DG!$D$5,)</f>
        <v>cái</v>
      </c>
      <c r="G2252" s="1303"/>
      <c r="H2252" s="1298">
        <f>VLOOKUP($B2252,dongia1,DG!$E$5,)</f>
        <v>2616000</v>
      </c>
      <c r="I2252" s="1298">
        <f>VLOOKUP($B2252,dongia1,DG!$F$5,)*0</f>
        <v>0</v>
      </c>
      <c r="J2252" s="1298">
        <f>VLOOKUP($B2252,dongia1,DG!$G$5,)</f>
        <v>0</v>
      </c>
      <c r="K2252" s="1298">
        <f>VLOOKUP($B2252,dongia1,DG!$H$5,)</f>
        <v>0</v>
      </c>
      <c r="L2252" s="1298">
        <f>H2252*G2252</f>
        <v>0</v>
      </c>
      <c r="M2252" s="1298">
        <f>I2252*G2252</f>
        <v>0</v>
      </c>
      <c r="N2252" s="1298">
        <f>J2252*G2252</f>
        <v>0</v>
      </c>
      <c r="O2252" s="1298">
        <f>K2252*G2252</f>
        <v>0</v>
      </c>
      <c r="P2252" s="1437"/>
      <c r="Q2252" s="1300"/>
      <c r="R2252" s="1300"/>
      <c r="S2252" s="1300"/>
    </row>
    <row r="2253" spans="1:19" s="1081" customFormat="1" hidden="1" outlineLevel="1">
      <c r="A2253" s="1072" t="str">
        <f t="shared" si="549"/>
        <v/>
      </c>
      <c r="B2253" s="1397" t="s">
        <v>1563</v>
      </c>
      <c r="C2253" s="1302">
        <f>IF(G2253&gt;0,C2247+1,C2247)</f>
        <v>0</v>
      </c>
      <c r="D2253" s="1198" t="str">
        <f>VLOOKUP($B2253,dongia1,DG!$B$5,)</f>
        <v>05.1102</v>
      </c>
      <c r="E2253" s="1243" t="str">
        <f>VLOOKUP($B2253,dongia1,DG!$C$5,)</f>
        <v>Tủ tụ bù hạ thế 220kVAr</v>
      </c>
      <c r="F2253" s="1198" t="str">
        <f>VLOOKUP($B2253,dongia1,DG!$D$5,)</f>
        <v>tủ</v>
      </c>
      <c r="G2253" s="1303">
        <f>G2243*0</f>
        <v>0</v>
      </c>
      <c r="H2253" s="1298">
        <f>VLOOKUP($B2253,dongia1,DG!$E$5,)</f>
        <v>25700880</v>
      </c>
      <c r="I2253" s="1298">
        <f>VLOOKUP($B2253,dongia1,DG!$F$5,)</f>
        <v>0</v>
      </c>
      <c r="J2253" s="1298">
        <f>VLOOKUP($B2253,dongia1,DG!$G$5,)</f>
        <v>98101</v>
      </c>
      <c r="K2253" s="1298">
        <f>VLOOKUP($B2253,dongia1,DG!$H$5,)</f>
        <v>59254</v>
      </c>
      <c r="L2253" s="1298">
        <f t="shared" si="550"/>
        <v>0</v>
      </c>
      <c r="M2253" s="1298">
        <f t="shared" si="551"/>
        <v>0</v>
      </c>
      <c r="N2253" s="1298">
        <f t="shared" si="552"/>
        <v>0</v>
      </c>
      <c r="O2253" s="1298">
        <f t="shared" si="553"/>
        <v>0</v>
      </c>
      <c r="P2253" s="1437"/>
      <c r="Q2253" s="1300"/>
      <c r="R2253" s="1300"/>
      <c r="S2253" s="1300"/>
    </row>
    <row r="2254" spans="1:19" s="1081" customFormat="1" hidden="1" outlineLevel="1">
      <c r="A2254" s="1072" t="str">
        <f t="shared" si="549"/>
        <v/>
      </c>
      <c r="B2254" s="1435" t="s">
        <v>1373</v>
      </c>
      <c r="C2254" s="1302">
        <f>IF(G2254&gt;0,C2253+1,C2253)</f>
        <v>0</v>
      </c>
      <c r="D2254" s="1198">
        <f>VLOOKUP($B2254,dongia1,DG!$B$5,)</f>
        <v>0</v>
      </c>
      <c r="E2254" s="1243" t="str">
        <f>VLOOKUP($B2254,dongia1,DG!$C$5,)</f>
        <v>Biến dòng 600V - 800/5A</v>
      </c>
      <c r="F2254" s="1198" t="str">
        <f>VLOOKUP($B2254,dongia1,DG!$D$5,)</f>
        <v>cái</v>
      </c>
      <c r="G2254" s="1438">
        <f>G2243*3*0</f>
        <v>0</v>
      </c>
      <c r="H2254" s="1298">
        <f>VLOOKUP($B2254,dongia1,DG!$E$5,)*0</f>
        <v>0</v>
      </c>
      <c r="I2254" s="1298">
        <f>VLOOKUP($B2254,dongia1,DG!$F$5,)*0</f>
        <v>0</v>
      </c>
      <c r="J2254" s="1298">
        <f>VLOOKUP($B2254,dongia1,DG!$G$5,)</f>
        <v>0</v>
      </c>
      <c r="K2254" s="1298">
        <f>VLOOKUP($B2254,dongia1,DG!$H$5,)</f>
        <v>0</v>
      </c>
      <c r="L2254" s="1298">
        <f t="shared" si="550"/>
        <v>0</v>
      </c>
      <c r="M2254" s="1298">
        <f t="shared" si="551"/>
        <v>0</v>
      </c>
      <c r="N2254" s="1298">
        <f t="shared" si="552"/>
        <v>0</v>
      </c>
      <c r="O2254" s="1298">
        <f t="shared" si="553"/>
        <v>0</v>
      </c>
      <c r="P2254" s="1439" t="s">
        <v>3471</v>
      </c>
      <c r="Q2254" s="1300"/>
      <c r="R2254" s="1300"/>
      <c r="S2254" s="1300"/>
    </row>
    <row r="2255" spans="1:19" s="1081" customFormat="1" hidden="1" outlineLevel="1">
      <c r="A2255" s="1072" t="str">
        <f>IF(G2255&lt;&gt;0,1,"")</f>
        <v/>
      </c>
      <c r="B2255" s="1435" t="s">
        <v>1373</v>
      </c>
      <c r="C2255" s="1302">
        <f>IF(G2255&gt;0,C2254+1,C2254)</f>
        <v>0</v>
      </c>
      <c r="D2255" s="1198">
        <f>VLOOKUP($B2255,dongia1,DG!$B$5,)</f>
        <v>0</v>
      </c>
      <c r="E2255" s="1243" t="str">
        <f>VLOOKUP($B2255,dongia1,DG!$C$5,)</f>
        <v>Biến dòng 600V - 800/5A</v>
      </c>
      <c r="F2255" s="1198" t="str">
        <f>VLOOKUP($B2255,dongia1,DG!$D$5,)</f>
        <v>cái</v>
      </c>
      <c r="G2255" s="1548">
        <f>G2243*3</f>
        <v>0</v>
      </c>
      <c r="H2255" s="1298">
        <f>VLOOKUP($B2255,dongia1,DG!$E$5,)*0</f>
        <v>0</v>
      </c>
      <c r="I2255" s="1298">
        <f>VLOOKUP($B2255,dongia1,DG!$F$5,)*0</f>
        <v>0</v>
      </c>
      <c r="J2255" s="1298">
        <f>VLOOKUP($B2255,dongia1,DG!$G$5,)</f>
        <v>0</v>
      </c>
      <c r="K2255" s="1298">
        <f>VLOOKUP($B2255,dongia1,DG!$H$5,)</f>
        <v>0</v>
      </c>
      <c r="L2255" s="1298">
        <f>H2255*G2255</f>
        <v>0</v>
      </c>
      <c r="M2255" s="1298">
        <f>I2255*G2255</f>
        <v>0</v>
      </c>
      <c r="N2255" s="1298">
        <f>J2255*G2255</f>
        <v>0</v>
      </c>
      <c r="O2255" s="1298">
        <f>K2255*G2255</f>
        <v>0</v>
      </c>
      <c r="P2255" s="1501" t="s">
        <v>3471</v>
      </c>
      <c r="Q2255" s="1300"/>
      <c r="R2255" s="1300"/>
      <c r="S2255" s="1300"/>
    </row>
    <row r="2256" spans="1:19" s="1081" customFormat="1" hidden="1" outlineLevel="1">
      <c r="A2256" s="1072" t="str">
        <f t="shared" si="549"/>
        <v/>
      </c>
      <c r="B2256" s="1068" t="s">
        <v>839</v>
      </c>
      <c r="C2256" s="1302">
        <f>IF(G2256&gt;0,C2254+1,C2254)</f>
        <v>0</v>
      </c>
      <c r="D2256" s="1198">
        <f>VLOOKUP($B2256,dongia1,DG!$B$5,)</f>
        <v>0</v>
      </c>
      <c r="E2256" s="1243" t="str">
        <f>VLOOKUP($B2256,dongia1,DG!$C$5,)</f>
        <v>Điện kế 3 pha 4 dây 220/380V-5A</v>
      </c>
      <c r="F2256" s="1198" t="str">
        <f>VLOOKUP($B2256,dongia1,DG!$D$5,)</f>
        <v>cái</v>
      </c>
      <c r="G2256" s="1548">
        <f>G2243</f>
        <v>0</v>
      </c>
      <c r="H2256" s="1298">
        <f>VLOOKUP($B2256,dongia1,DG!$E$5,)*0</f>
        <v>0</v>
      </c>
      <c r="I2256" s="1298">
        <f>VLOOKUP($B2256,dongia1,DG!$F$5,)*0</f>
        <v>0</v>
      </c>
      <c r="J2256" s="1298">
        <f>VLOOKUP($B2256,dongia1,DG!$G$5,)*0</f>
        <v>0</v>
      </c>
      <c r="K2256" s="1298">
        <f>VLOOKUP($B2256,dongia1,DG!$H$5,)</f>
        <v>0</v>
      </c>
      <c r="L2256" s="1298">
        <f t="shared" si="550"/>
        <v>0</v>
      </c>
      <c r="M2256" s="1400">
        <f t="shared" si="551"/>
        <v>0</v>
      </c>
      <c r="N2256" s="1400">
        <f t="shared" si="552"/>
        <v>0</v>
      </c>
      <c r="O2256" s="1401">
        <f t="shared" si="553"/>
        <v>0</v>
      </c>
      <c r="P2256" s="1502" t="s">
        <v>3471</v>
      </c>
      <c r="Q2256" s="1300"/>
      <c r="R2256" s="1300"/>
      <c r="S2256" s="1300"/>
    </row>
    <row r="2257" spans="1:20" s="1081" customFormat="1" hidden="1" outlineLevel="1">
      <c r="A2257" s="1072">
        <f>IF(SUM(L2257:O2257)&lt;&gt;0,1,)</f>
        <v>0</v>
      </c>
      <c r="B2257" s="1295"/>
      <c r="C2257" s="1441"/>
      <c r="D2257" s="1442"/>
      <c r="E2257" s="1443"/>
      <c r="F2257" s="1444"/>
      <c r="G2257" s="1503"/>
      <c r="H2257" s="1444"/>
      <c r="I2257" s="1444"/>
      <c r="J2257" s="1183" t="s">
        <v>3387</v>
      </c>
      <c r="K2257" s="1444"/>
      <c r="L2257" s="1446">
        <f>SUM(L2243:L2256)</f>
        <v>0</v>
      </c>
      <c r="M2257" s="1446">
        <f>SUM(M2243:M2256)</f>
        <v>0</v>
      </c>
      <c r="N2257" s="1446">
        <f>SUM(N2243:N2256)</f>
        <v>0</v>
      </c>
      <c r="O2257" s="1446">
        <f>SUM(O2243:O2256)</f>
        <v>0</v>
      </c>
      <c r="P2257" s="1504"/>
      <c r="Q2257" s="1300">
        <f>L2257+L1644+L1369</f>
        <v>0</v>
      </c>
      <c r="R2257" s="1300">
        <f>M2257+M1644+M1369</f>
        <v>0</v>
      </c>
      <c r="S2257" s="1300">
        <f>N2257+N1644+N1369</f>
        <v>0</v>
      </c>
      <c r="T2257" s="1300">
        <f>O2257+O1644+O1369</f>
        <v>0</v>
      </c>
    </row>
    <row r="2258" spans="1:20" s="1081" customFormat="1" hidden="1" outlineLevel="1">
      <c r="A2258" s="1072"/>
      <c r="B2258" s="1295"/>
      <c r="C2258" s="1448"/>
      <c r="D2258" s="1449"/>
      <c r="E2258" s="1450" t="s">
        <v>3376</v>
      </c>
      <c r="F2258" s="1450"/>
      <c r="G2258" s="1505"/>
      <c r="H2258" s="1450"/>
      <c r="I2258" s="1450"/>
      <c r="J2258" s="1450"/>
      <c r="K2258" s="1450"/>
      <c r="L2258" s="1450"/>
      <c r="M2258" s="1450"/>
      <c r="N2258" s="1450"/>
      <c r="O2258" s="1449"/>
      <c r="P2258" s="1504"/>
      <c r="Q2258" s="1300"/>
      <c r="R2258" s="1300"/>
      <c r="S2258" s="1300"/>
    </row>
    <row r="2259" spans="1:20" s="1081" customFormat="1" hidden="1" outlineLevel="1">
      <c r="A2259" s="1072" t="str">
        <f t="shared" ref="A2259:A2277" si="555">IF(G2259&lt;&gt;0,1,"")</f>
        <v/>
      </c>
      <c r="B2259" s="1452"/>
      <c r="C2259" s="1453">
        <f>IF(G2259&gt;0,1,0)</f>
        <v>0</v>
      </c>
      <c r="D2259" s="1198"/>
      <c r="E2259" s="1454" t="s">
        <v>3377</v>
      </c>
      <c r="F2259" s="1455" t="s">
        <v>1133</v>
      </c>
      <c r="G2259" s="1456">
        <f>G2243*2*0</f>
        <v>0</v>
      </c>
      <c r="H2259" s="1455"/>
      <c r="I2259" s="1455"/>
      <c r="J2259" s="1455"/>
      <c r="K2259" s="1455"/>
      <c r="L2259" s="1456"/>
      <c r="M2259" s="1456"/>
      <c r="N2259" s="1456"/>
      <c r="O2259" s="1457"/>
      <c r="P2259" s="1437"/>
      <c r="Q2259" s="1300"/>
      <c r="R2259" s="1300"/>
      <c r="S2259" s="1300"/>
    </row>
    <row r="2260" spans="1:20" s="1081" customFormat="1" hidden="1" outlineLevel="1">
      <c r="A2260" s="1072" t="str">
        <f t="shared" si="555"/>
        <v/>
      </c>
      <c r="B2260" s="1421" t="s">
        <v>1012</v>
      </c>
      <c r="C2260" s="1458"/>
      <c r="D2260" s="1198"/>
      <c r="E2260" s="1459" t="str">
        <f>VLOOKUP($B2260,dongia1,DG!$C$5,)</f>
        <v>Trụ BTLT 12m F350 dự ứng lực</v>
      </c>
      <c r="F2260" s="1198" t="str">
        <f>VLOOKUP($B2260,dongia1,DG!$D$5,)</f>
        <v>trụ</v>
      </c>
      <c r="G2260" s="1198">
        <f>G2259</f>
        <v>0</v>
      </c>
      <c r="H2260" s="1399">
        <f>VLOOKUP($B2260,dongia1,DG!$F$5,)</f>
        <v>4400000</v>
      </c>
      <c r="I2260" s="1291"/>
      <c r="J2260" s="1399"/>
      <c r="K2260" s="1291"/>
      <c r="L2260" s="1400">
        <f>H2260*G2260</f>
        <v>0</v>
      </c>
      <c r="M2260" s="1400">
        <f>I2260*G2260</f>
        <v>0</v>
      </c>
      <c r="N2260" s="1400">
        <f>J2260*G2260</f>
        <v>0</v>
      </c>
      <c r="O2260" s="1400">
        <f>K2260*G2260</f>
        <v>0</v>
      </c>
      <c r="P2260" s="1437"/>
      <c r="Q2260" s="1300"/>
      <c r="R2260" s="1300"/>
      <c r="S2260" s="1300"/>
    </row>
    <row r="2261" spans="1:20" s="1081" customFormat="1" hidden="1" outlineLevel="1">
      <c r="A2261" s="1072" t="str">
        <f t="shared" si="555"/>
        <v/>
      </c>
      <c r="B2261" s="1421" t="s">
        <v>1457</v>
      </c>
      <c r="C2261" s="1458"/>
      <c r="D2261" s="1198"/>
      <c r="E2261" s="1459" t="str">
        <f>VLOOKUP($B2261,dongia1,DG!$C$5,)</f>
        <v>Vật liệu dựng trụ</v>
      </c>
      <c r="F2261" s="1198" t="str">
        <f>VLOOKUP($B2261,dongia1,DG!$D$5,)</f>
        <v>trụ</v>
      </c>
      <c r="G2261" s="1198">
        <f>G2260</f>
        <v>0</v>
      </c>
      <c r="H2261" s="1399">
        <f>VLOOKUP($B2261,dongia1,DG!$F$5,)</f>
        <v>17400</v>
      </c>
      <c r="I2261" s="1399"/>
      <c r="J2261" s="1291"/>
      <c r="K2261" s="1291"/>
      <c r="L2261" s="1400">
        <f>H2261*G2261</f>
        <v>0</v>
      </c>
      <c r="M2261" s="1400">
        <f>I2261*G2261</f>
        <v>0</v>
      </c>
      <c r="N2261" s="1400">
        <f>J2261*G2261</f>
        <v>0</v>
      </c>
      <c r="O2261" s="1400">
        <f>K2261*G2261</f>
        <v>0</v>
      </c>
      <c r="P2261" s="1437"/>
      <c r="Q2261" s="1300"/>
      <c r="R2261" s="1300"/>
      <c r="S2261" s="1300"/>
    </row>
    <row r="2262" spans="1:20" s="1081" customFormat="1" hidden="1" outlineLevel="1">
      <c r="A2262" s="1072" t="str">
        <f t="shared" si="555"/>
        <v/>
      </c>
      <c r="B2262" s="1421" t="s">
        <v>1701</v>
      </c>
      <c r="C2262" s="1458"/>
      <c r="D2262" s="1198" t="str">
        <f>VLOOKUP($B2262,dongia1,DG!$B$5,)</f>
        <v>04.9203</v>
      </c>
      <c r="E2262" s="1459" t="str">
        <f>VLOOKUP($B2262,dongia1,DG!$C$5,)</f>
        <v>Dựng trụ BTLT 12m trong TBA bằng thủ công + cơ giới</v>
      </c>
      <c r="F2262" s="1198" t="str">
        <f>VLOOKUP($B2262,dongia1,DG!$D$5,)</f>
        <v>trụ</v>
      </c>
      <c r="G2262" s="1198">
        <f>G2260</f>
        <v>0</v>
      </c>
      <c r="H2262" s="1459"/>
      <c r="I2262" s="1399"/>
      <c r="J2262" s="1399">
        <f>VLOOKUP($B2262,dongia1,DG!$G$5,)</f>
        <v>112286</v>
      </c>
      <c r="K2262" s="1399">
        <f>VLOOKUP($B2262,dongia1,DG!$H$5,)</f>
        <v>105970</v>
      </c>
      <c r="L2262" s="1400">
        <f>H2262*G2262</f>
        <v>0</v>
      </c>
      <c r="M2262" s="1400">
        <f>I2262*G2262</f>
        <v>0</v>
      </c>
      <c r="N2262" s="1400">
        <f>J2262*G2262</f>
        <v>0</v>
      </c>
      <c r="O2262" s="1400">
        <f>K2262*G2262</f>
        <v>0</v>
      </c>
      <c r="P2262" s="1437"/>
      <c r="Q2262" s="1300"/>
      <c r="R2262" s="1300"/>
      <c r="S2262" s="1300"/>
    </row>
    <row r="2263" spans="1:20" s="1081" customFormat="1" hidden="1" outlineLevel="1">
      <c r="A2263" s="1072" t="str">
        <f t="shared" si="555"/>
        <v/>
      </c>
      <c r="B2263" s="1452"/>
      <c r="C2263" s="1453">
        <f>IF(G2263&gt;0,1,0)</f>
        <v>0</v>
      </c>
      <c r="D2263" s="1198"/>
      <c r="E2263" s="1454" t="s">
        <v>3389</v>
      </c>
      <c r="F2263" s="1455" t="s">
        <v>1133</v>
      </c>
      <c r="G2263" s="1456">
        <f>G2243*2*0</f>
        <v>0</v>
      </c>
      <c r="H2263" s="1455"/>
      <c r="I2263" s="1455"/>
      <c r="J2263" s="1455"/>
      <c r="K2263" s="1455"/>
      <c r="L2263" s="1456"/>
      <c r="M2263" s="1456"/>
      <c r="N2263" s="1456"/>
      <c r="O2263" s="1457"/>
      <c r="P2263" s="1299"/>
      <c r="Q2263" s="1300"/>
      <c r="R2263" s="1300"/>
      <c r="S2263" s="1300"/>
    </row>
    <row r="2264" spans="1:20" s="1081" customFormat="1" hidden="1" outlineLevel="1">
      <c r="A2264" s="1072" t="str">
        <f t="shared" si="555"/>
        <v/>
      </c>
      <c r="B2264" s="1421" t="s">
        <v>1011</v>
      </c>
      <c r="C2264" s="1458"/>
      <c r="D2264" s="1198"/>
      <c r="E2264" s="1459" t="str">
        <f>VLOOKUP($B2264,dongia1,DG!$C$5,)</f>
        <v>Trụ BTLT 10,5m F350 dự ứng lực</v>
      </c>
      <c r="F2264" s="1198" t="str">
        <f>VLOOKUP($B2264,dongia1,DG!$D$5,)</f>
        <v>trụ</v>
      </c>
      <c r="G2264" s="1198">
        <f>G2263</f>
        <v>0</v>
      </c>
      <c r="H2264" s="1399">
        <f>VLOOKUP($B2264,dongia1,DG!$F$5,)</f>
        <v>4200000</v>
      </c>
      <c r="I2264" s="1291"/>
      <c r="J2264" s="1399"/>
      <c r="K2264" s="1291"/>
      <c r="L2264" s="1400">
        <f>H2264*G2264</f>
        <v>0</v>
      </c>
      <c r="M2264" s="1400">
        <f>I2264*G2264</f>
        <v>0</v>
      </c>
      <c r="N2264" s="1400">
        <f>J2264*G2264</f>
        <v>0</v>
      </c>
      <c r="O2264" s="1400">
        <f>K2264*G2264</f>
        <v>0</v>
      </c>
      <c r="P2264" s="1299"/>
      <c r="Q2264" s="1300"/>
      <c r="R2264" s="1300"/>
      <c r="S2264" s="1300"/>
    </row>
    <row r="2265" spans="1:20" s="1081" customFormat="1" hidden="1" outlineLevel="1">
      <c r="A2265" s="1072" t="str">
        <f t="shared" si="555"/>
        <v/>
      </c>
      <c r="B2265" s="1421" t="s">
        <v>1457</v>
      </c>
      <c r="C2265" s="1458"/>
      <c r="D2265" s="1198"/>
      <c r="E2265" s="1459" t="str">
        <f>VLOOKUP($B2265,dongia1,DG!$C$5,)</f>
        <v>Vật liệu dựng trụ</v>
      </c>
      <c r="F2265" s="1198" t="str">
        <f>VLOOKUP($B2265,dongia1,DG!$D$5,)</f>
        <v>trụ</v>
      </c>
      <c r="G2265" s="1198">
        <f>G2264</f>
        <v>0</v>
      </c>
      <c r="H2265" s="1399">
        <f>VLOOKUP($B2265,dongia1,DG!$F$5,)</f>
        <v>17400</v>
      </c>
      <c r="I2265" s="1399"/>
      <c r="J2265" s="1291"/>
      <c r="K2265" s="1291"/>
      <c r="L2265" s="1400">
        <f>H2265*G2265</f>
        <v>0</v>
      </c>
      <c r="M2265" s="1400">
        <f>I2265*G2265</f>
        <v>0</v>
      </c>
      <c r="N2265" s="1400">
        <f>J2265*G2265</f>
        <v>0</v>
      </c>
      <c r="O2265" s="1400">
        <f>K2265*G2265</f>
        <v>0</v>
      </c>
      <c r="P2265" s="1299"/>
      <c r="Q2265" s="1300"/>
      <c r="R2265" s="1300"/>
      <c r="S2265" s="1300"/>
    </row>
    <row r="2266" spans="1:20" s="1081" customFormat="1" hidden="1" outlineLevel="1">
      <c r="A2266" s="1072" t="str">
        <f t="shared" si="555"/>
        <v/>
      </c>
      <c r="B2266" s="1421" t="s">
        <v>1702</v>
      </c>
      <c r="C2266" s="1458"/>
      <c r="D2266" s="1198" t="str">
        <f>VLOOKUP($B2266,dongia1,DG!$B$5,)</f>
        <v>04.9203</v>
      </c>
      <c r="E2266" s="1459" t="str">
        <f>VLOOKUP($B2266,dongia1,DG!$C$5,)</f>
        <v>Dựng trụ BTLT 10,5m trong TBA bằng thủ công + cơ giới</v>
      </c>
      <c r="F2266" s="1198" t="str">
        <f>VLOOKUP($B2266,dongia1,DG!$D$5,)</f>
        <v>trụ</v>
      </c>
      <c r="G2266" s="1198">
        <f>G2264</f>
        <v>0</v>
      </c>
      <c r="H2266" s="1459"/>
      <c r="I2266" s="1399"/>
      <c r="J2266" s="1399">
        <f>VLOOKUP($B2266,dongia1,DG!$G$5,)</f>
        <v>112286</v>
      </c>
      <c r="K2266" s="1399">
        <f>VLOOKUP($B2266,dongia1,DG!$H$5,)</f>
        <v>105970</v>
      </c>
      <c r="L2266" s="1400">
        <f>H2266*G2266</f>
        <v>0</v>
      </c>
      <c r="M2266" s="1400">
        <f>I2266*G2266</f>
        <v>0</v>
      </c>
      <c r="N2266" s="1400">
        <f>J2266*G2266</f>
        <v>0</v>
      </c>
      <c r="O2266" s="1400">
        <f>K2266*G2266</f>
        <v>0</v>
      </c>
      <c r="P2266" s="1299"/>
      <c r="Q2266" s="1300"/>
      <c r="R2266" s="1300"/>
      <c r="S2266" s="1300"/>
    </row>
    <row r="2267" spans="1:20" s="1081" customFormat="1" hidden="1" outlineLevel="1">
      <c r="A2267" s="1072" t="str">
        <f t="shared" si="555"/>
        <v/>
      </c>
      <c r="B2267" s="1421"/>
      <c r="C2267" s="1291">
        <f>IF(G2267&gt;0,C2259+1,C2259)</f>
        <v>0</v>
      </c>
      <c r="D2267" s="1198"/>
      <c r="E2267" s="1454" t="s">
        <v>3393</v>
      </c>
      <c r="F2267" s="1455" t="s">
        <v>3391</v>
      </c>
      <c r="G2267" s="1460">
        <f>G2259</f>
        <v>0</v>
      </c>
      <c r="H2267" s="1291"/>
      <c r="I2267" s="1291"/>
      <c r="J2267" s="1291"/>
      <c r="K2267" s="1291"/>
      <c r="L2267" s="1291"/>
      <c r="M2267" s="1291"/>
      <c r="N2267" s="1291"/>
      <c r="O2267" s="1461"/>
      <c r="P2267" s="1437"/>
      <c r="Q2267" s="1300"/>
      <c r="R2267" s="1300"/>
      <c r="S2267" s="1300"/>
    </row>
    <row r="2268" spans="1:20" s="1081" customFormat="1" hidden="1" outlineLevel="1">
      <c r="A2268" s="1072" t="str">
        <f t="shared" si="555"/>
        <v/>
      </c>
      <c r="B2268" s="1421" t="s">
        <v>580</v>
      </c>
      <c r="C2268" s="1458"/>
      <c r="D2268" s="1198" t="str">
        <f>VLOOKUP($B2268,dongia1,DG!$B$5,)</f>
        <v>AG.42111</v>
      </c>
      <c r="E2268" s="1459" t="str">
        <f>VLOOKUP($B2268,dongia1,DG!$C$5,)</f>
        <v>Đà cản BTCT 1,2m</v>
      </c>
      <c r="F2268" s="1198" t="str">
        <f>VLOOKUP($B2268,dongia1,DG!$D$5,)</f>
        <v>cái</v>
      </c>
      <c r="G2268" s="1549">
        <f>G2267*2</f>
        <v>0</v>
      </c>
      <c r="H2268" s="1399">
        <f>VLOOKUP($B2268,dongia1,DG!$F$5,)</f>
        <v>354545</v>
      </c>
      <c r="I2268" s="1399"/>
      <c r="J2268" s="1399">
        <f>VLOOKUP($B2268,dongia1,DG!$G$5,)</f>
        <v>37220.25</v>
      </c>
      <c r="K2268" s="1291"/>
      <c r="L2268" s="1400">
        <f>H2268*G2268</f>
        <v>0</v>
      </c>
      <c r="M2268" s="1400">
        <f>I2268*G2268</f>
        <v>0</v>
      </c>
      <c r="N2268" s="1400">
        <f>J2268*G2268</f>
        <v>0</v>
      </c>
      <c r="O2268" s="1400">
        <f>K2268*G2268</f>
        <v>0</v>
      </c>
      <c r="P2268" s="1437"/>
      <c r="Q2268" s="1300"/>
      <c r="R2268" s="1300"/>
      <c r="S2268" s="1300"/>
    </row>
    <row r="2269" spans="1:20" s="1081" customFormat="1" hidden="1" outlineLevel="1">
      <c r="A2269" s="1072" t="str">
        <f t="shared" si="555"/>
        <v/>
      </c>
      <c r="B2269" s="1421" t="s">
        <v>952</v>
      </c>
      <c r="C2269" s="1458"/>
      <c r="D2269" s="1198"/>
      <c r="E2269" s="1459" t="str">
        <f>VLOOKUP($B2269,dongia1,DG!$C$5,)</f>
        <v>Boulon 22x650+ 2 long đền vuông D24-60x60x3/Zn</v>
      </c>
      <c r="F2269" s="1198" t="str">
        <f>VLOOKUP($B2269,dongia1,DG!$D$5,)</f>
        <v>bộ</v>
      </c>
      <c r="G2269" s="1549">
        <f>G2268</f>
        <v>0</v>
      </c>
      <c r="H2269" s="1399">
        <f>VLOOKUP($B2269,dongia1,DG!$F$5,)</f>
        <v>92200</v>
      </c>
      <c r="I2269" s="1459"/>
      <c r="J2269" s="1459"/>
      <c r="K2269" s="1291"/>
      <c r="L2269" s="1400">
        <f>H2269*G2269</f>
        <v>0</v>
      </c>
      <c r="M2269" s="1400">
        <f>I2269*G2269</f>
        <v>0</v>
      </c>
      <c r="N2269" s="1400">
        <f>J2269*G2269</f>
        <v>0</v>
      </c>
      <c r="O2269" s="1400">
        <f>K2269*G2269</f>
        <v>0</v>
      </c>
      <c r="P2269" s="1437"/>
      <c r="Q2269" s="1300"/>
      <c r="R2269" s="1300"/>
      <c r="S2269" s="1300"/>
    </row>
    <row r="2270" spans="1:20" s="1081" customFormat="1" hidden="1" outlineLevel="1">
      <c r="A2270" s="1072" t="str">
        <f t="shared" si="555"/>
        <v/>
      </c>
      <c r="B2270" s="1421" t="str">
        <f>IF(capdat=1,"MDD1",IF(capdat=2,"MDD2",IF(capdat=3,"MDD3",IF(capdat=4,"MDD4"))))</f>
        <v>MDD3</v>
      </c>
      <c r="C2270" s="1458"/>
      <c r="D2270" s="1198" t="str">
        <f>VLOOKUP($B2270,dongia1,DG!$B$5,)</f>
        <v>03.1013</v>
      </c>
      <c r="E2270" s="1459" t="str">
        <f>VLOOKUP($B2270,dongia1,DG!$C$5,)</f>
        <v>Đào hố móng đất cấp 3 sâu &gt;1m DT&lt;5m2</v>
      </c>
      <c r="F2270" s="1198" t="str">
        <f>VLOOKUP($B2270,dongia1,DG!$D$5,)</f>
        <v>m3</v>
      </c>
      <c r="G2270" s="1304">
        <f>1.45*G2267</f>
        <v>0</v>
      </c>
      <c r="H2270" s="1399">
        <f>VLOOKUP($B2270,dongia1,DG!$F$5,)</f>
        <v>0</v>
      </c>
      <c r="I2270" s="1399"/>
      <c r="J2270" s="1399">
        <f>VLOOKUP($B2270,dongia1,DG!$G$5,)</f>
        <v>296500.89999999997</v>
      </c>
      <c r="K2270" s="1291"/>
      <c r="L2270" s="1400">
        <f>H2270*G2270</f>
        <v>0</v>
      </c>
      <c r="M2270" s="1400">
        <f>I2270*G2270</f>
        <v>0</v>
      </c>
      <c r="N2270" s="1400">
        <f>J2270*G2270</f>
        <v>0</v>
      </c>
      <c r="O2270" s="1400">
        <f>K2270*G2270</f>
        <v>0</v>
      </c>
      <c r="P2270" s="1437"/>
      <c r="Q2270" s="1300"/>
      <c r="R2270" s="1300"/>
      <c r="S2270" s="1300"/>
    </row>
    <row r="2271" spans="1:20" s="1081" customFormat="1" hidden="1" outlineLevel="1">
      <c r="A2271" s="1072" t="str">
        <f t="shared" si="555"/>
        <v/>
      </c>
      <c r="B2271" s="1421" t="str">
        <f>IF(capdat=1,"MDAP1",IF(capdat=2,"MDAP2",IF(capdat=3,"MDAP3",IF(capdat=4,"MDAP4"))))</f>
        <v>MDAP3</v>
      </c>
      <c r="C2271" s="1458"/>
      <c r="D2271" s="1198" t="str">
        <f>VLOOKUP($B2271,dongia1,DG!$B$5,)</f>
        <v>AB.13111</v>
      </c>
      <c r="E2271" s="1459" t="str">
        <f>VLOOKUP($B2271,dongia1,DG!$C$5,)</f>
        <v>Đắp đất hố móng, đất cấp 3 (độ chặt k = 0.85)</v>
      </c>
      <c r="F2271" s="1198" t="str">
        <f>VLOOKUP($B2271,dongia1,DG!$D$5,)</f>
        <v>m3</v>
      </c>
      <c r="G2271" s="1304">
        <f>1.37*G2267</f>
        <v>0</v>
      </c>
      <c r="H2271" s="1399">
        <f>VLOOKUP($B2271,dongia1,DG!$F$5,)</f>
        <v>0</v>
      </c>
      <c r="I2271" s="1399"/>
      <c r="J2271" s="1399">
        <f>VLOOKUP($B2271,dongia1,DG!$G$5,)</f>
        <v>117703.6</v>
      </c>
      <c r="K2271" s="1291"/>
      <c r="L2271" s="1400">
        <f>H2271*G2271</f>
        <v>0</v>
      </c>
      <c r="M2271" s="1400">
        <f>I2271*G2271</f>
        <v>0</v>
      </c>
      <c r="N2271" s="1400">
        <f>J2271*G2271</f>
        <v>0</v>
      </c>
      <c r="O2271" s="1400">
        <f>K2271*G2271</f>
        <v>0</v>
      </c>
      <c r="P2271" s="1437"/>
      <c r="Q2271" s="1300"/>
      <c r="R2271" s="1300"/>
      <c r="S2271" s="1300"/>
    </row>
    <row r="2272" spans="1:20" s="1081" customFormat="1" hidden="1" outlineLevel="1">
      <c r="A2272" s="1072" t="str">
        <f t="shared" si="555"/>
        <v/>
      </c>
      <c r="B2272" s="1421"/>
      <c r="C2272" s="1291">
        <f>IF(G2272&gt;0,C2264+1,C2264)</f>
        <v>0</v>
      </c>
      <c r="D2272" s="1198"/>
      <c r="E2272" s="1454" t="s">
        <v>3392</v>
      </c>
      <c r="F2272" s="1455" t="s">
        <v>3391</v>
      </c>
      <c r="G2272" s="1460">
        <f>G2263</f>
        <v>0</v>
      </c>
      <c r="H2272" s="1291"/>
      <c r="I2272" s="1291"/>
      <c r="J2272" s="1291"/>
      <c r="K2272" s="1291"/>
      <c r="L2272" s="1291"/>
      <c r="M2272" s="1291"/>
      <c r="N2272" s="1291"/>
      <c r="O2272" s="1461"/>
      <c r="P2272" s="1299"/>
      <c r="Q2272" s="1300"/>
      <c r="R2272" s="1300"/>
      <c r="S2272" s="1300"/>
    </row>
    <row r="2273" spans="1:19" s="1081" customFormat="1" hidden="1" outlineLevel="1">
      <c r="A2273" s="1072" t="str">
        <f t="shared" si="555"/>
        <v/>
      </c>
      <c r="B2273" s="1421" t="s">
        <v>580</v>
      </c>
      <c r="C2273" s="1458"/>
      <c r="D2273" s="1198" t="str">
        <f>VLOOKUP($B2273,dongia1,DG!$B$5,)</f>
        <v>AG.42111</v>
      </c>
      <c r="E2273" s="1459" t="str">
        <f>VLOOKUP($B2273,dongia1,DG!$C$5,)</f>
        <v>Đà cản BTCT 1,2m</v>
      </c>
      <c r="F2273" s="1198" t="str">
        <f>VLOOKUP($B2273,dongia1,DG!$D$5,)</f>
        <v>cái</v>
      </c>
      <c r="G2273" s="1198">
        <f>G2272</f>
        <v>0</v>
      </c>
      <c r="H2273" s="1399">
        <f>VLOOKUP($B2273,dongia1,DG!$F$5,)</f>
        <v>354545</v>
      </c>
      <c r="I2273" s="1399"/>
      <c r="J2273" s="1399">
        <f>VLOOKUP($B2273,dongia1,DG!$G$5,)</f>
        <v>37220.25</v>
      </c>
      <c r="K2273" s="1291"/>
      <c r="L2273" s="1400">
        <f>H2273*G2273</f>
        <v>0</v>
      </c>
      <c r="M2273" s="1400">
        <f>I2273*G2273</f>
        <v>0</v>
      </c>
      <c r="N2273" s="1400">
        <f>J2273*G2273</f>
        <v>0</v>
      </c>
      <c r="O2273" s="1400">
        <f>K2273*G2273</f>
        <v>0</v>
      </c>
      <c r="P2273" s="1299"/>
      <c r="Q2273" s="1300"/>
      <c r="R2273" s="1300"/>
      <c r="S2273" s="1300"/>
    </row>
    <row r="2274" spans="1:19" s="1081" customFormat="1" hidden="1" outlineLevel="1">
      <c r="A2274" s="1072" t="str">
        <f t="shared" si="555"/>
        <v/>
      </c>
      <c r="B2274" s="1421" t="s">
        <v>952</v>
      </c>
      <c r="C2274" s="1458"/>
      <c r="D2274" s="1198"/>
      <c r="E2274" s="1459" t="str">
        <f>VLOOKUP($B2274,dongia1,DG!$C$5,)</f>
        <v>Boulon 22x650+ 2 long đền vuông D24-60x60x3/Zn</v>
      </c>
      <c r="F2274" s="1198" t="str">
        <f>VLOOKUP($B2274,dongia1,DG!$D$5,)</f>
        <v>bộ</v>
      </c>
      <c r="G2274" s="1198">
        <f>G2273</f>
        <v>0</v>
      </c>
      <c r="H2274" s="1399">
        <f>VLOOKUP($B2274,dongia1,DG!$F$5,)</f>
        <v>92200</v>
      </c>
      <c r="I2274" s="1459"/>
      <c r="J2274" s="1459"/>
      <c r="K2274" s="1291"/>
      <c r="L2274" s="1400">
        <f>H2274*G2274</f>
        <v>0</v>
      </c>
      <c r="M2274" s="1400">
        <f>I2274*G2274</f>
        <v>0</v>
      </c>
      <c r="N2274" s="1400">
        <f>J2274*G2274</f>
        <v>0</v>
      </c>
      <c r="O2274" s="1400">
        <f>K2274*G2274</f>
        <v>0</v>
      </c>
      <c r="P2274" s="1299"/>
      <c r="Q2274" s="1300"/>
      <c r="R2274" s="1300"/>
      <c r="S2274" s="1300"/>
    </row>
    <row r="2275" spans="1:19" s="1081" customFormat="1" hidden="1" outlineLevel="1">
      <c r="A2275" s="1072" t="str">
        <f t="shared" si="555"/>
        <v/>
      </c>
      <c r="B2275" s="1421" t="str">
        <f>IF(capdat=1,"MDD1",IF(capdat=2,"MDD2",IF(capdat=3,"MDD3",IF(capdat=4,"MDD4"))))</f>
        <v>MDD3</v>
      </c>
      <c r="C2275" s="1458"/>
      <c r="D2275" s="1198" t="str">
        <f>VLOOKUP($B2275,dongia1,DG!$B$5,)</f>
        <v>03.1013</v>
      </c>
      <c r="E2275" s="1459" t="str">
        <f>VLOOKUP($B2275,dongia1,DG!$C$5,)</f>
        <v>Đào hố móng đất cấp 3 sâu &gt;1m DT&lt;5m2</v>
      </c>
      <c r="F2275" s="1198" t="str">
        <f>VLOOKUP($B2275,dongia1,DG!$D$5,)</f>
        <v>m3</v>
      </c>
      <c r="G2275" s="1304">
        <f>1.48*G2273</f>
        <v>0</v>
      </c>
      <c r="H2275" s="1399">
        <f>VLOOKUP($B2275,dongia1,DG!$F$5,)</f>
        <v>0</v>
      </c>
      <c r="I2275" s="1399"/>
      <c r="J2275" s="1399">
        <f>VLOOKUP($B2275,dongia1,DG!$G$5,)</f>
        <v>296500.89999999997</v>
      </c>
      <c r="K2275" s="1291"/>
      <c r="L2275" s="1400">
        <f>H2275*G2275</f>
        <v>0</v>
      </c>
      <c r="M2275" s="1400">
        <f>I2275*G2275</f>
        <v>0</v>
      </c>
      <c r="N2275" s="1400">
        <f>J2275*G2275</f>
        <v>0</v>
      </c>
      <c r="O2275" s="1400">
        <f>K2275*G2275</f>
        <v>0</v>
      </c>
      <c r="P2275" s="1299"/>
      <c r="Q2275" s="1300"/>
      <c r="R2275" s="1300"/>
      <c r="S2275" s="1300"/>
    </row>
    <row r="2276" spans="1:19" s="1081" customFormat="1" hidden="1" outlineLevel="1">
      <c r="A2276" s="1072" t="str">
        <f t="shared" si="555"/>
        <v/>
      </c>
      <c r="B2276" s="1421" t="str">
        <f>IF(capdat=1,"MDAP1",IF(capdat=2,"MDAP2",IF(capdat=3,"MDAP3",IF(capdat=4,"MDAP4"))))</f>
        <v>MDAP3</v>
      </c>
      <c r="C2276" s="1458"/>
      <c r="D2276" s="1198" t="str">
        <f>VLOOKUP($B2276,dongia1,DG!$B$5,)</f>
        <v>AB.13111</v>
      </c>
      <c r="E2276" s="1459" t="str">
        <f>VLOOKUP($B2276,dongia1,DG!$C$5,)</f>
        <v>Đắp đất hố móng, đất cấp 3 (độ chặt k = 0.85)</v>
      </c>
      <c r="F2276" s="1198" t="str">
        <f>VLOOKUP($B2276,dongia1,DG!$D$5,)</f>
        <v>m3</v>
      </c>
      <c r="G2276" s="1304">
        <f>1.39*G2272</f>
        <v>0</v>
      </c>
      <c r="H2276" s="1399">
        <f>VLOOKUP($B2276,dongia1,DG!$F$5,)</f>
        <v>0</v>
      </c>
      <c r="I2276" s="1399"/>
      <c r="J2276" s="1399">
        <f>VLOOKUP($B2276,dongia1,DG!$G$5,)</f>
        <v>117703.6</v>
      </c>
      <c r="K2276" s="1291"/>
      <c r="L2276" s="1400">
        <f>H2276*G2276</f>
        <v>0</v>
      </c>
      <c r="M2276" s="1400">
        <f>I2276*G2276</f>
        <v>0</v>
      </c>
      <c r="N2276" s="1400">
        <f>J2276*G2276</f>
        <v>0</v>
      </c>
      <c r="O2276" s="1400">
        <f>K2276*G2276</f>
        <v>0</v>
      </c>
      <c r="P2276" s="1299"/>
      <c r="Q2276" s="1300"/>
      <c r="R2276" s="1300"/>
      <c r="S2276" s="1300"/>
    </row>
    <row r="2277" spans="1:19" s="1081" customFormat="1" hidden="1" outlineLevel="1">
      <c r="A2277" s="1072" t="str">
        <f t="shared" si="555"/>
        <v/>
      </c>
      <c r="B2277" s="1295"/>
      <c r="C2277" s="1291">
        <f>IF(G2277&gt;0,C2267+1,C2267)</f>
        <v>0</v>
      </c>
      <c r="D2277" s="1462"/>
      <c r="E2277" s="1454" t="s">
        <v>3396</v>
      </c>
      <c r="F2277" s="1453" t="s">
        <v>2113</v>
      </c>
      <c r="G2277" s="1550">
        <f>G2243*1</f>
        <v>0</v>
      </c>
      <c r="H2277" s="1464"/>
      <c r="I2277" s="1464"/>
      <c r="J2277" s="1464"/>
      <c r="K2277" s="1464"/>
      <c r="L2277" s="1464"/>
      <c r="M2277" s="1464"/>
      <c r="N2277" s="1464"/>
      <c r="O2277" s="1464"/>
      <c r="P2277" s="1507"/>
      <c r="Q2277" s="1300"/>
      <c r="R2277" s="1300"/>
      <c r="S2277" s="1300"/>
    </row>
    <row r="2278" spans="1:19" s="1081" customFormat="1" ht="14.4" hidden="1" outlineLevel="1">
      <c r="A2278" s="1072" t="str">
        <f>A2277</f>
        <v/>
      </c>
      <c r="B2278" s="1295"/>
      <c r="C2278" s="1291"/>
      <c r="D2278" s="1465"/>
      <c r="E2278" s="1301" t="s">
        <v>3399</v>
      </c>
      <c r="F2278" s="1302"/>
      <c r="G2278" s="1418"/>
      <c r="H2278" s="1466"/>
      <c r="I2278" s="1466"/>
      <c r="J2278" s="1466"/>
      <c r="K2278" s="1466"/>
      <c r="L2278" s="1466"/>
      <c r="M2278" s="1466"/>
      <c r="N2278" s="1466"/>
      <c r="O2278" s="1466"/>
      <c r="P2278" s="1507"/>
      <c r="Q2278" s="1300"/>
      <c r="R2278" s="1300"/>
      <c r="S2278" s="1300"/>
    </row>
    <row r="2279" spans="1:19" s="1081" customFormat="1" hidden="1" outlineLevel="1">
      <c r="A2279" s="1072" t="str">
        <f t="shared" ref="A2279:A2284" si="556">IF(G2279&lt;&gt;0,1,"")</f>
        <v/>
      </c>
      <c r="B2279" s="1068" t="s">
        <v>440</v>
      </c>
      <c r="C2279" s="1291"/>
      <c r="D2279" s="1198">
        <f>VLOOKUP($B2279,dongia1,DG!$B$5,)</f>
        <v>0</v>
      </c>
      <c r="E2279" s="1243" t="str">
        <f>VLOOKUP($B2279,dongia1,DG!$C$5,)&amp;": 2 cái"</f>
        <v>Đà U200x80x5x2800 đỡ MBA: 2 cái</v>
      </c>
      <c r="F2279" s="1198" t="str">
        <f>VLOOKUP($B2279,dongia1,DG!$D$5,)</f>
        <v>kg</v>
      </c>
      <c r="G2279" s="1418">
        <f>19.8*2.8*2*G2277</f>
        <v>0</v>
      </c>
      <c r="H2279" s="1399">
        <f>VLOOKUP($B2279,dongia1,DG!$F$5,)</f>
        <v>31625</v>
      </c>
      <c r="I2279" s="1467"/>
      <c r="J2279" s="1399"/>
      <c r="K2279" s="1399">
        <f>VLOOKUP($B2279,dongia1,DG!$H$5,)</f>
        <v>0</v>
      </c>
      <c r="L2279" s="1400">
        <f t="shared" ref="L2279:L2292" si="557">H2279*G2279</f>
        <v>0</v>
      </c>
      <c r="M2279" s="1400">
        <f t="shared" ref="M2279:M2286" si="558">I2279*G2279</f>
        <v>0</v>
      </c>
      <c r="N2279" s="1399"/>
      <c r="O2279" s="1400">
        <f t="shared" ref="O2279:O2286" si="559">K2279*G2279</f>
        <v>0</v>
      </c>
      <c r="P2279" s="1507"/>
      <c r="Q2279" s="1300"/>
      <c r="R2279" s="1300"/>
      <c r="S2279" s="1300"/>
    </row>
    <row r="2280" spans="1:19" s="1081" customFormat="1" hidden="1" outlineLevel="1">
      <c r="A2280" s="1072" t="str">
        <f t="shared" si="556"/>
        <v/>
      </c>
      <c r="B2280" s="1068" t="s">
        <v>1308</v>
      </c>
      <c r="C2280" s="1291"/>
      <c r="D2280" s="1198">
        <f>VLOOKUP($B2280,dongia1,DG!$B$5,)</f>
        <v>0</v>
      </c>
      <c r="E2280" s="1243" t="str">
        <f>VLOOKUP($B2280,dongia1,DG!$C$5,)&amp;": 4 cái"</f>
        <v>Đà U100x46x4,5x400 : 4 cái</v>
      </c>
      <c r="F2280" s="1198" t="str">
        <f>VLOOKUP($B2280,dongia1,DG!$D$5,)</f>
        <v>kg</v>
      </c>
      <c r="G2280" s="1418">
        <f>8.59*0.4*4*G2277</f>
        <v>0</v>
      </c>
      <c r="H2280" s="1399">
        <f>VLOOKUP($B2280,dongia1,DG!$F$5,)</f>
        <v>31625</v>
      </c>
      <c r="I2280" s="1467"/>
      <c r="J2280" s="1399"/>
      <c r="K2280" s="1399">
        <f>VLOOKUP($B2280,dongia1,DG!$H$5,)</f>
        <v>0</v>
      </c>
      <c r="L2280" s="1400">
        <f t="shared" si="557"/>
        <v>0</v>
      </c>
      <c r="M2280" s="1400">
        <f t="shared" si="558"/>
        <v>0</v>
      </c>
      <c r="N2280" s="1399"/>
      <c r="O2280" s="1400">
        <f t="shared" si="559"/>
        <v>0</v>
      </c>
      <c r="P2280" s="1507"/>
      <c r="Q2280" s="1300"/>
      <c r="R2280" s="1300"/>
      <c r="S2280" s="1300"/>
    </row>
    <row r="2281" spans="1:19" s="1081" customFormat="1" hidden="1" outlineLevel="1">
      <c r="A2281" s="1072" t="str">
        <f t="shared" si="556"/>
        <v/>
      </c>
      <c r="B2281" s="1068" t="s">
        <v>1309</v>
      </c>
      <c r="C2281" s="1291"/>
      <c r="D2281" s="1198">
        <f>VLOOKUP($B2281,dongia1,DG!$B$5,)</f>
        <v>0</v>
      </c>
      <c r="E2281" s="1243" t="str">
        <f>VLOOKUP($B2281,dongia1,DG!$C$5,)&amp;": 2 cái"</f>
        <v>Đà U100x46x4,5x800 : 2 cái</v>
      </c>
      <c r="F2281" s="1198" t="str">
        <f>VLOOKUP($B2281,dongia1,DG!$D$5,)</f>
        <v>kg</v>
      </c>
      <c r="G2281" s="1418">
        <f>8.59*0.8*2*G2277</f>
        <v>0</v>
      </c>
      <c r="H2281" s="1399">
        <f>VLOOKUP($B2281,dongia1,DG!$F$5,)</f>
        <v>31625</v>
      </c>
      <c r="I2281" s="1467"/>
      <c r="J2281" s="1399"/>
      <c r="K2281" s="1399">
        <f>VLOOKUP($B2281,dongia1,DG!$H$5,)</f>
        <v>0</v>
      </c>
      <c r="L2281" s="1400">
        <f t="shared" si="557"/>
        <v>0</v>
      </c>
      <c r="M2281" s="1400">
        <f t="shared" si="558"/>
        <v>0</v>
      </c>
      <c r="N2281" s="1399"/>
      <c r="O2281" s="1400">
        <f t="shared" si="559"/>
        <v>0</v>
      </c>
      <c r="P2281" s="1507"/>
      <c r="Q2281" s="1300"/>
      <c r="R2281" s="1300"/>
      <c r="S2281" s="1300"/>
    </row>
    <row r="2282" spans="1:19" s="1081" customFormat="1" hidden="1" outlineLevel="1">
      <c r="A2282" s="1072" t="str">
        <f t="shared" si="556"/>
        <v/>
      </c>
      <c r="B2282" s="1295" t="s">
        <v>1039</v>
      </c>
      <c r="C2282" s="1291"/>
      <c r="D2282" s="1198">
        <f>VLOOKUP($B2282,dongia1,DG!$B$5,)</f>
        <v>0</v>
      </c>
      <c r="E2282" s="1243" t="str">
        <f>VLOOKUP($B2282,dongia1,DG!$C$5,)</f>
        <v>Boulon 16x400VRS+ 4 long đền vuông D18-50x50x3/Zn</v>
      </c>
      <c r="F2282" s="1198" t="str">
        <f>VLOOKUP($B2282,dongia1,DG!$D$5,)</f>
        <v>bộ</v>
      </c>
      <c r="G2282" s="1398">
        <f>G2277*10</f>
        <v>0</v>
      </c>
      <c r="H2282" s="1399">
        <f>VLOOKUP($B2282,dongia1,DG!$F$5,)</f>
        <v>34800</v>
      </c>
      <c r="I2282" s="1467"/>
      <c r="J2282" s="1399">
        <f>VLOOKUP($B2282,dongia1,DG!$G$5,)</f>
        <v>0</v>
      </c>
      <c r="K2282" s="1399">
        <f>VLOOKUP($B2282,dongia1,DG!$H$5,)</f>
        <v>0</v>
      </c>
      <c r="L2282" s="1400">
        <f t="shared" si="557"/>
        <v>0</v>
      </c>
      <c r="M2282" s="1400">
        <f t="shared" si="558"/>
        <v>0</v>
      </c>
      <c r="N2282" s="1400">
        <f>J2282*G2282</f>
        <v>0</v>
      </c>
      <c r="O2282" s="1400">
        <f t="shared" si="559"/>
        <v>0</v>
      </c>
      <c r="P2282" s="1507"/>
      <c r="Q2282" s="1300"/>
      <c r="R2282" s="1300"/>
      <c r="S2282" s="1300"/>
    </row>
    <row r="2283" spans="1:19" s="1081" customFormat="1" hidden="1" outlineLevel="1">
      <c r="A2283" s="1072" t="str">
        <f t="shared" si="556"/>
        <v/>
      </c>
      <c r="B2283" s="1295" t="s">
        <v>82</v>
      </c>
      <c r="C2283" s="1291"/>
      <c r="D2283" s="1198">
        <f>VLOOKUP($B2283,dongia1,DG!$B$5,)</f>
        <v>0</v>
      </c>
      <c r="E2283" s="1243" t="str">
        <f>VLOOKUP($B2283,dongia1,DG!$C$5,)</f>
        <v>Boulon 16x400+ 2 long đền vuông D18-50x50x3/Zn</v>
      </c>
      <c r="F2283" s="1198" t="str">
        <f>VLOOKUP($B2283,dongia1,DG!$D$5,)</f>
        <v>bộ</v>
      </c>
      <c r="G2283" s="1398">
        <f>G2277*2</f>
        <v>0</v>
      </c>
      <c r="H2283" s="1399">
        <f>VLOOKUP($B2283,dongia1,DG!$F$5,)</f>
        <v>29900</v>
      </c>
      <c r="I2283" s="1467"/>
      <c r="J2283" s="1399">
        <f>VLOOKUP($B2283,dongia1,DG!$G$5,)</f>
        <v>0</v>
      </c>
      <c r="K2283" s="1399">
        <f>VLOOKUP($B2283,dongia1,DG!$H$5,)</f>
        <v>0</v>
      </c>
      <c r="L2283" s="1400">
        <f t="shared" si="557"/>
        <v>0</v>
      </c>
      <c r="M2283" s="1400">
        <f t="shared" si="558"/>
        <v>0</v>
      </c>
      <c r="N2283" s="1400">
        <f>J2283*G2283</f>
        <v>0</v>
      </c>
      <c r="O2283" s="1400">
        <f t="shared" si="559"/>
        <v>0</v>
      </c>
      <c r="P2283" s="1507"/>
      <c r="Q2283" s="1300"/>
      <c r="R2283" s="1300"/>
      <c r="S2283" s="1300"/>
    </row>
    <row r="2284" spans="1:19" s="1081" customFormat="1" hidden="1" outlineLevel="1">
      <c r="A2284" s="1072" t="str">
        <f t="shared" si="556"/>
        <v/>
      </c>
      <c r="B2284" s="1295" t="s">
        <v>733</v>
      </c>
      <c r="C2284" s="1291"/>
      <c r="D2284" s="1198">
        <f>VLOOKUP($B2284,dongia1,DG!$B$5,)</f>
        <v>0</v>
      </c>
      <c r="E2284" s="1243" t="str">
        <f>VLOOKUP($B2284,dongia1,DG!$C$5,)</f>
        <v>Boulon 16x350+ 2 long đền vuông D18-50x50x3/Zn</v>
      </c>
      <c r="F2284" s="1198" t="str">
        <f>VLOOKUP($B2284,dongia1,DG!$D$5,)</f>
        <v>bộ</v>
      </c>
      <c r="G2284" s="1398">
        <f>G2277*12</f>
        <v>0</v>
      </c>
      <c r="H2284" s="1399">
        <f>VLOOKUP($B2284,dongia1,DG!$F$5,)</f>
        <v>27900</v>
      </c>
      <c r="I2284" s="1467"/>
      <c r="J2284" s="1399">
        <f>VLOOKUP($B2284,dongia1,DG!$G$5,)</f>
        <v>0</v>
      </c>
      <c r="K2284" s="1399">
        <f>VLOOKUP($B2284,dongia1,DG!$H$5,)</f>
        <v>0</v>
      </c>
      <c r="L2284" s="1400">
        <f t="shared" si="557"/>
        <v>0</v>
      </c>
      <c r="M2284" s="1400">
        <f t="shared" si="558"/>
        <v>0</v>
      </c>
      <c r="N2284" s="1400">
        <f>J2284*G2284</f>
        <v>0</v>
      </c>
      <c r="O2284" s="1400">
        <f t="shared" si="559"/>
        <v>0</v>
      </c>
      <c r="P2284" s="1507"/>
      <c r="Q2284" s="1300"/>
      <c r="R2284" s="1300"/>
      <c r="S2284" s="1300"/>
    </row>
    <row r="2285" spans="1:19" s="1081" customFormat="1" hidden="1" outlineLevel="1">
      <c r="A2285" s="1072" t="str">
        <f>IF(G2285&lt;&gt;0,1,"")</f>
        <v/>
      </c>
      <c r="B2285" s="1066" t="s">
        <v>4552</v>
      </c>
      <c r="C2285" s="1291"/>
      <c r="D2285" s="1198" t="str">
        <f>VLOOKUP($B2285,dongia1,DG!$B$5,)</f>
        <v>T4.9302</v>
      </c>
      <c r="E2285" s="1243" t="str">
        <f>VLOOKUP($B2285,dongia1,DG!$C$5,)</f>
        <v>Lắp xà thép trong phạm vi trạm</v>
      </c>
      <c r="F2285" s="1198" t="str">
        <f>VLOOKUP($B2285,dongia1,DG!$D$5,)</f>
        <v>kg</v>
      </c>
      <c r="G2285" s="1418">
        <f>SUM(G2279:G2281)</f>
        <v>0</v>
      </c>
      <c r="H2285" s="1399">
        <f>VLOOKUP($B2285,dongia1,DG!$F$5,)</f>
        <v>0</v>
      </c>
      <c r="I2285" s="1467"/>
      <c r="J2285" s="1399">
        <f>VLOOKUP($B2285,dongia1,DG!$G$5,)</f>
        <v>2025</v>
      </c>
      <c r="K2285" s="1399">
        <f>VLOOKUP($B2285,dongia1,DG!$H$5,)</f>
        <v>0</v>
      </c>
      <c r="L2285" s="1400">
        <f>H2285*G2285</f>
        <v>0</v>
      </c>
      <c r="M2285" s="1400">
        <f t="shared" si="558"/>
        <v>0</v>
      </c>
      <c r="N2285" s="1399">
        <f>VLOOKUP($B2285,dongia1,DG!$G$5,)*G2285</f>
        <v>0</v>
      </c>
      <c r="O2285" s="1400">
        <f t="shared" si="559"/>
        <v>0</v>
      </c>
      <c r="P2285" s="1507"/>
      <c r="Q2285" s="1300"/>
      <c r="R2285" s="1300"/>
      <c r="S2285" s="1300"/>
    </row>
    <row r="2286" spans="1:19" s="1081" customFormat="1" hidden="1" outlineLevel="1">
      <c r="A2286" s="1072" t="str">
        <f>IF(G2286&lt;&gt;0,1,"")</f>
        <v/>
      </c>
      <c r="B2286" s="1068" t="s">
        <v>2191</v>
      </c>
      <c r="C2286" s="1291"/>
      <c r="D2286" s="1198" t="str">
        <f>VLOOKUP($B2286,dongia1,DG!$B$5,)</f>
        <v>D2.6021</v>
      </c>
      <c r="E2286" s="1243" t="str">
        <f>VLOOKUP($B2286,dongia1,DG!$C$5,)</f>
        <v>Lắp xà đỡ 25kg</v>
      </c>
      <c r="F2286" s="1198" t="str">
        <f>VLOOKUP($B2286,dongia1,DG!$D$5,)</f>
        <v>bộ</v>
      </c>
      <c r="G2286" s="1303"/>
      <c r="H2286" s="1399">
        <f>VLOOKUP($B2286,dongia1,DG!$F$5,)</f>
        <v>0</v>
      </c>
      <c r="I2286" s="1467"/>
      <c r="J2286" s="1399" t="str">
        <f>VLOOKUP($B2286,dongia1,DG!$G$5,)&amp;"x"&amp;hslx</f>
        <v>219185,25x1,5</v>
      </c>
      <c r="K2286" s="1399">
        <f>VLOOKUP($B2286,dongia1,DG!$H$5,)</f>
        <v>0</v>
      </c>
      <c r="L2286" s="1400">
        <f>H2286*G2286</f>
        <v>0</v>
      </c>
      <c r="M2286" s="1400">
        <f t="shared" si="558"/>
        <v>0</v>
      </c>
      <c r="N2286" s="1399">
        <f>VLOOKUP($B2286,dongia1,DG!$G$5,)*hslx*G2286</f>
        <v>0</v>
      </c>
      <c r="O2286" s="1400">
        <f t="shared" si="559"/>
        <v>0</v>
      </c>
      <c r="P2286" s="1299"/>
      <c r="Q2286" s="1300"/>
      <c r="R2286" s="1300"/>
      <c r="S2286" s="1300"/>
    </row>
    <row r="2287" spans="1:19" s="1081" customFormat="1" hidden="1" outlineLevel="1">
      <c r="A2287" s="1072" t="str">
        <f>IF(G2287&lt;&gt;0,1,"")</f>
        <v/>
      </c>
      <c r="B2287" s="1295"/>
      <c r="C2287" s="1291">
        <f>IF(G2287&gt;0,C2277+1,C2273)</f>
        <v>0</v>
      </c>
      <c r="D2287" s="1292"/>
      <c r="E2287" s="1468" t="s">
        <v>3435</v>
      </c>
      <c r="F2287" s="1291" t="s">
        <v>2113</v>
      </c>
      <c r="G2287" s="1417">
        <f>+G2243*1</f>
        <v>0</v>
      </c>
      <c r="H2287" s="1467"/>
      <c r="I2287" s="1467"/>
      <c r="J2287" s="1467"/>
      <c r="K2287" s="1467"/>
      <c r="L2287" s="1400">
        <f t="shared" si="557"/>
        <v>0</v>
      </c>
      <c r="M2287" s="1400">
        <f>I2287*G2287</f>
        <v>0</v>
      </c>
      <c r="N2287" s="1400">
        <f>J2287*G2287</f>
        <v>0</v>
      </c>
      <c r="O2287" s="1400">
        <f>K2287*G2287</f>
        <v>0</v>
      </c>
      <c r="P2287" s="1507"/>
      <c r="Q2287" s="1300"/>
      <c r="R2287" s="1300"/>
      <c r="S2287" s="1300"/>
    </row>
    <row r="2288" spans="1:19" s="1081" customFormat="1" ht="14.4" hidden="1" outlineLevel="1">
      <c r="A2288" s="1072" t="str">
        <f>A2287</f>
        <v/>
      </c>
      <c r="B2288" s="1295"/>
      <c r="C2288" s="1291"/>
      <c r="D2288" s="1292"/>
      <c r="E2288" s="1301" t="s">
        <v>3399</v>
      </c>
      <c r="F2288" s="1302"/>
      <c r="G2288" s="1418"/>
      <c r="H2288" s="1467"/>
      <c r="I2288" s="1467"/>
      <c r="J2288" s="1467"/>
      <c r="K2288" s="1467"/>
      <c r="L2288" s="1400">
        <f t="shared" si="557"/>
        <v>0</v>
      </c>
      <c r="M2288" s="1400">
        <f>I2288*G2288</f>
        <v>0</v>
      </c>
      <c r="N2288" s="1400">
        <f>J2288*G2288</f>
        <v>0</v>
      </c>
      <c r="O2288" s="1400">
        <f>K2288*G2288</f>
        <v>0</v>
      </c>
      <c r="P2288" s="1507"/>
      <c r="Q2288" s="1300"/>
      <c r="R2288" s="1300"/>
      <c r="S2288" s="1300"/>
    </row>
    <row r="2289" spans="1:19" s="1081" customFormat="1" hidden="1" outlineLevel="1">
      <c r="A2289" s="1072" t="str">
        <f>IF(G2289&lt;&gt;0,1,"")</f>
        <v/>
      </c>
      <c r="B2289" s="1067" t="s">
        <v>2167</v>
      </c>
      <c r="C2289" s="1291"/>
      <c r="D2289" s="1198">
        <f>VLOOKUP($B2289,dongia1,DG!$B$5,)</f>
        <v>0</v>
      </c>
      <c r="E2289" s="1243" t="str">
        <f>VLOOKUP($B2289,dongia1,DG!$C$5,)</f>
        <v>Đà Composite 110x80x5x2600</v>
      </c>
      <c r="F2289" s="1198" t="str">
        <f>VLOOKUP($B2289,dongia1,DG!$D$5,)</f>
        <v>cây</v>
      </c>
      <c r="G2289" s="1398">
        <f>+G2287*1</f>
        <v>0</v>
      </c>
      <c r="H2289" s="1399">
        <f>VLOOKUP($B2289,dongia1,DG!$F$5,)</f>
        <v>878000</v>
      </c>
      <c r="I2289" s="1399"/>
      <c r="J2289" s="1399">
        <v>0</v>
      </c>
      <c r="K2289" s="1399">
        <v>0</v>
      </c>
      <c r="L2289" s="1400">
        <f t="shared" si="557"/>
        <v>0</v>
      </c>
      <c r="M2289" s="1400">
        <f>I2289*G2289</f>
        <v>0</v>
      </c>
      <c r="N2289" s="1400">
        <f>J2289*G2289</f>
        <v>0</v>
      </c>
      <c r="O2289" s="1400">
        <f>K2289*G2289</f>
        <v>0</v>
      </c>
      <c r="P2289" s="1507"/>
      <c r="Q2289" s="1300"/>
      <c r="R2289" s="1300"/>
      <c r="S2289" s="1300"/>
    </row>
    <row r="2290" spans="1:19" s="1081" customFormat="1" hidden="1" outlineLevel="1">
      <c r="A2290" s="1072" t="str">
        <f>IF(G2290&lt;&gt;0,1,"")</f>
        <v/>
      </c>
      <c r="B2290" s="1073" t="s">
        <v>428</v>
      </c>
      <c r="C2290" s="1291"/>
      <c r="D2290" s="1198">
        <f>VLOOKUP($B2290,dongia1,DG!$B$5,)</f>
        <v>0</v>
      </c>
      <c r="E2290" s="1243" t="str">
        <f>VLOOKUP($B2290,dongia1,DG!$C$5,)</f>
        <v>Bass LL bắt FCO và LA</v>
      </c>
      <c r="F2290" s="1198" t="str">
        <f>VLOOKUP($B2290,dongia1,DG!$D$5,)</f>
        <v>bộ</v>
      </c>
      <c r="G2290" s="1398">
        <f>+G2287*3</f>
        <v>0</v>
      </c>
      <c r="H2290" s="1399">
        <f>VLOOKUP($B2290,dongia1,DG!$F$5,)</f>
        <v>65000</v>
      </c>
      <c r="I2290" s="1399">
        <v>0</v>
      </c>
      <c r="J2290" s="1399">
        <v>0</v>
      </c>
      <c r="K2290" s="1399">
        <v>0</v>
      </c>
      <c r="L2290" s="1400">
        <f t="shared" si="557"/>
        <v>0</v>
      </c>
      <c r="M2290" s="1400">
        <f>I2290*G2290</f>
        <v>0</v>
      </c>
      <c r="N2290" s="1400">
        <f>J2290*G2290</f>
        <v>0</v>
      </c>
      <c r="O2290" s="1400">
        <f>K2290*G2290</f>
        <v>0</v>
      </c>
      <c r="P2290" s="1507"/>
      <c r="Q2290" s="1300"/>
      <c r="R2290" s="1300"/>
      <c r="S2290" s="1300"/>
    </row>
    <row r="2291" spans="1:19" s="1081" customFormat="1" hidden="1" outlineLevel="1">
      <c r="A2291" s="1072" t="str">
        <f>IF(G2291&lt;&gt;0,1,"")</f>
        <v/>
      </c>
      <c r="B2291" s="1295" t="s">
        <v>733</v>
      </c>
      <c r="C2291" s="1291"/>
      <c r="D2291" s="1198">
        <f>VLOOKUP($B2291,dongia1,DG!$B$5,)</f>
        <v>0</v>
      </c>
      <c r="E2291" s="1243" t="str">
        <f>VLOOKUP($B2291,dongia1,DG!$C$5,)</f>
        <v>Boulon 16x350+ 2 long đền vuông D18-50x50x3/Zn</v>
      </c>
      <c r="F2291" s="1198" t="str">
        <f>VLOOKUP($B2291,dongia1,DG!$D$5,)</f>
        <v>bộ</v>
      </c>
      <c r="G2291" s="1398">
        <f>+G2287*2</f>
        <v>0</v>
      </c>
      <c r="H2291" s="1399">
        <f>VLOOKUP($B2291,dongia1,DG!$F$5,)</f>
        <v>27900</v>
      </c>
      <c r="I2291" s="1467"/>
      <c r="J2291" s="1399">
        <f>VLOOKUP($B2291,dongia1,DG!$G$5,)</f>
        <v>0</v>
      </c>
      <c r="K2291" s="1399">
        <f>VLOOKUP($B2291,dongia1,DG!$H$5,)</f>
        <v>0</v>
      </c>
      <c r="L2291" s="1400">
        <f t="shared" si="557"/>
        <v>0</v>
      </c>
      <c r="M2291" s="1400">
        <f>I2291*G2291</f>
        <v>0</v>
      </c>
      <c r="N2291" s="1400">
        <f>J2291*G2291</f>
        <v>0</v>
      </c>
      <c r="O2291" s="1400">
        <f>K2291*G2291</f>
        <v>0</v>
      </c>
      <c r="P2291" s="1507"/>
      <c r="Q2291" s="1300"/>
      <c r="R2291" s="1300"/>
      <c r="S2291" s="1300"/>
    </row>
    <row r="2292" spans="1:19" s="1081" customFormat="1" hidden="1" outlineLevel="1">
      <c r="A2292" s="1072" t="str">
        <f>IF(G2292&lt;&gt;0,1,"")</f>
        <v/>
      </c>
      <c r="B2292" s="1068" t="s">
        <v>4555</v>
      </c>
      <c r="C2292" s="1291"/>
      <c r="D2292" s="1198" t="str">
        <f>VLOOKUP($B2292,dongia1,DG!$B$5,)</f>
        <v>D2.6011</v>
      </c>
      <c r="E2292" s="1243" t="str">
        <f>VLOOKUP($B2292,dongia1,DG!$C$5,)</f>
        <v>Lắp xà đỡ 15kg</v>
      </c>
      <c r="F2292" s="1198" t="str">
        <f>VLOOKUP($B2292,dongia1,DG!$D$5,)</f>
        <v>bộ</v>
      </c>
      <c r="G2292" s="1398">
        <f>+G2287</f>
        <v>0</v>
      </c>
      <c r="H2292" s="1298">
        <f>VLOOKUP($B2292,dongia1,DG!$F$5,)</f>
        <v>0</v>
      </c>
      <c r="I2292" s="1399"/>
      <c r="J2292" s="1399" t="str">
        <f>TEXT(VLOOKUP($B2292,dongia1,DG!$G$5,),"#,###")&amp;"x"&amp;hslxh</f>
        <v>131511,15x1,7</v>
      </c>
      <c r="K2292" s="1399"/>
      <c r="L2292" s="1400">
        <f t="shared" si="557"/>
        <v>0</v>
      </c>
      <c r="M2292" s="1400"/>
      <c r="N2292" s="1399">
        <f>VLOOKUP($B2292,dongia1,DG!$G$5,)*G2292*hslxh</f>
        <v>0</v>
      </c>
      <c r="O2292" s="1400"/>
      <c r="P2292" s="1507"/>
      <c r="Q2292" s="1300"/>
      <c r="R2292" s="1300"/>
      <c r="S2292" s="1300"/>
    </row>
    <row r="2293" spans="1:19" s="1081" customFormat="1" hidden="1" outlineLevel="1">
      <c r="A2293" s="1072" t="str">
        <f>IF(G2293&lt;&gt;0,1,"")</f>
        <v/>
      </c>
      <c r="B2293" s="1295"/>
      <c r="C2293" s="1291">
        <f>IF(G2293&gt;0,C2277+2,C2277)</f>
        <v>0</v>
      </c>
      <c r="D2293" s="1292"/>
      <c r="E2293" s="1468" t="s">
        <v>3437</v>
      </c>
      <c r="F2293" s="1291" t="s">
        <v>2113</v>
      </c>
      <c r="G2293" s="1417">
        <f>G2243*1</f>
        <v>0</v>
      </c>
      <c r="H2293" s="1467"/>
      <c r="I2293" s="1467"/>
      <c r="J2293" s="1467"/>
      <c r="K2293" s="1467"/>
      <c r="L2293" s="1400">
        <f t="shared" ref="L2293:L2303" si="560">H2293*G2293</f>
        <v>0</v>
      </c>
      <c r="M2293" s="1400">
        <f>I2293*G2293</f>
        <v>0</v>
      </c>
      <c r="N2293" s="1400">
        <f>J2293*G2293</f>
        <v>0</v>
      </c>
      <c r="O2293" s="1400">
        <f>K2293*G2293</f>
        <v>0</v>
      </c>
      <c r="P2293" s="1507"/>
      <c r="Q2293" s="1300"/>
      <c r="R2293" s="1300"/>
      <c r="S2293" s="1300"/>
    </row>
    <row r="2294" spans="1:19" s="1081" customFormat="1" ht="14.4" hidden="1" outlineLevel="1">
      <c r="A2294" s="1072" t="str">
        <f>A2293</f>
        <v/>
      </c>
      <c r="B2294" s="1295"/>
      <c r="C2294" s="1291"/>
      <c r="D2294" s="1292"/>
      <c r="E2294" s="1301" t="s">
        <v>3399</v>
      </c>
      <c r="F2294" s="1302"/>
      <c r="G2294" s="1418"/>
      <c r="H2294" s="1467"/>
      <c r="I2294" s="1467"/>
      <c r="J2294" s="1467"/>
      <c r="K2294" s="1467"/>
      <c r="L2294" s="1400">
        <f t="shared" si="560"/>
        <v>0</v>
      </c>
      <c r="M2294" s="1400">
        <f>I2294*G2294</f>
        <v>0</v>
      </c>
      <c r="N2294" s="1400">
        <f>J2294*G2294</f>
        <v>0</v>
      </c>
      <c r="O2294" s="1400">
        <f>K2294*G2294</f>
        <v>0</v>
      </c>
      <c r="P2294" s="1507"/>
      <c r="Q2294" s="1300"/>
      <c r="R2294" s="1300"/>
      <c r="S2294" s="1300"/>
    </row>
    <row r="2295" spans="1:19" s="1081" customFormat="1" hidden="1" outlineLevel="1">
      <c r="A2295" s="1072" t="str">
        <f>IF(G2295&lt;&gt;0,1,"")</f>
        <v/>
      </c>
      <c r="B2295" s="1068" t="s">
        <v>1626</v>
      </c>
      <c r="C2295" s="1291"/>
      <c r="D2295" s="1198">
        <f>VLOOKUP($B2295,dongia1,DG!$B$5,)</f>
        <v>0</v>
      </c>
      <c r="E2295" s="1243" t="str">
        <f>VLOOKUP($B2295,dongia1,DG!$C$5,)</f>
        <v>Sắt góc L75 x75 x8</v>
      </c>
      <c r="F2295" s="1198" t="str">
        <f>VLOOKUP($B2295,dongia1,DG!$D$5,)</f>
        <v>kg</v>
      </c>
      <c r="G2295" s="1418">
        <f>G2293*9.02*(2.6+3*0.07)</f>
        <v>0</v>
      </c>
      <c r="H2295" s="1298">
        <f>VLOOKUP($B2295,dongia1,DG!$F$5,)</f>
        <v>31625</v>
      </c>
      <c r="I2295" s="1399"/>
      <c r="J2295" s="1399">
        <v>0</v>
      </c>
      <c r="K2295" s="1399">
        <v>0</v>
      </c>
      <c r="L2295" s="1400">
        <f t="shared" si="560"/>
        <v>0</v>
      </c>
      <c r="M2295" s="1400">
        <f>I2295*G2295</f>
        <v>0</v>
      </c>
      <c r="N2295" s="1400">
        <f>J2295*G2295</f>
        <v>0</v>
      </c>
      <c r="O2295" s="1400">
        <f>K2295*G2295</f>
        <v>0</v>
      </c>
      <c r="P2295" s="1507"/>
      <c r="Q2295" s="1300"/>
      <c r="R2295" s="1300"/>
      <c r="S2295" s="1300"/>
    </row>
    <row r="2296" spans="1:19" s="1081" customFormat="1" hidden="1" outlineLevel="1">
      <c r="A2296" s="1072" t="str">
        <f>IF(G2296&lt;&gt;0,1,"")</f>
        <v/>
      </c>
      <c r="B2296" s="1295" t="s">
        <v>1262</v>
      </c>
      <c r="C2296" s="1291"/>
      <c r="D2296" s="1198">
        <f>VLOOKUP($B2296,dongia1,DG!$B$5,)</f>
        <v>0</v>
      </c>
      <c r="E2296" s="1243" t="str">
        <f>VLOOKUP($B2296,dongia1,DG!$C$5,)</f>
        <v>Boulon 16x300+ 2 long đền vuông D18-50x50x3/Zn</v>
      </c>
      <c r="F2296" s="1198" t="str">
        <f>VLOOKUP($B2296,dongia1,DG!$D$5,)</f>
        <v>bộ</v>
      </c>
      <c r="G2296" s="1398">
        <f>G2293*2</f>
        <v>0</v>
      </c>
      <c r="H2296" s="1298">
        <f>VLOOKUP($B2296,dongia1,DG!$F$5,)</f>
        <v>25400</v>
      </c>
      <c r="I2296" s="1399">
        <v>0</v>
      </c>
      <c r="J2296" s="1399">
        <v>0</v>
      </c>
      <c r="K2296" s="1399">
        <v>0</v>
      </c>
      <c r="L2296" s="1400">
        <f t="shared" si="560"/>
        <v>0</v>
      </c>
      <c r="M2296" s="1400">
        <f>I2296*G2296</f>
        <v>0</v>
      </c>
      <c r="N2296" s="1400">
        <f>J2296*G2296</f>
        <v>0</v>
      </c>
      <c r="O2296" s="1400">
        <f>K2296*G2296</f>
        <v>0</v>
      </c>
      <c r="P2296" s="1507"/>
      <c r="Q2296" s="1300"/>
      <c r="R2296" s="1300"/>
      <c r="S2296" s="1300"/>
    </row>
    <row r="2297" spans="1:19" s="1081" customFormat="1" hidden="1" outlineLevel="1">
      <c r="A2297" s="1072" t="str">
        <f>IF(G2297&lt;&gt;0,1,"")</f>
        <v/>
      </c>
      <c r="B2297" s="1066" t="s">
        <v>4552</v>
      </c>
      <c r="C2297" s="1291"/>
      <c r="D2297" s="1198" t="str">
        <f>VLOOKUP($B2297,dongia1,DG!$B$5,)</f>
        <v>T4.9302</v>
      </c>
      <c r="E2297" s="1243" t="str">
        <f>VLOOKUP($B2297,dongia1,DG!$C$5,)</f>
        <v>Lắp xà thép trong phạm vi trạm</v>
      </c>
      <c r="F2297" s="1198" t="str">
        <f>VLOOKUP($B2297,dongia1,DG!$D$5,)</f>
        <v>kg</v>
      </c>
      <c r="G2297" s="1418">
        <f>G2295</f>
        <v>0</v>
      </c>
      <c r="H2297" s="1298"/>
      <c r="I2297" s="1399"/>
      <c r="J2297" s="1399">
        <f>VLOOKUP($B2297,dongia1,DG!$G$5,)</f>
        <v>2025</v>
      </c>
      <c r="K2297" s="1399"/>
      <c r="L2297" s="1400">
        <f t="shared" si="560"/>
        <v>0</v>
      </c>
      <c r="M2297" s="1400"/>
      <c r="N2297" s="1399">
        <f>VLOOKUP($B2297,dongia1,DG!$G$5,)*G2297</f>
        <v>0</v>
      </c>
      <c r="O2297" s="1400"/>
      <c r="P2297" s="1507"/>
      <c r="Q2297" s="1300"/>
      <c r="R2297" s="1300"/>
      <c r="S2297" s="1300"/>
    </row>
    <row r="2298" spans="1:19" s="1081" customFormat="1" hidden="1" outlineLevel="1">
      <c r="A2298" s="1072" t="str">
        <f>IF(G2298&lt;&gt;0,1,"")</f>
        <v/>
      </c>
      <c r="B2298" s="1295"/>
      <c r="C2298" s="1291">
        <f>IF(G2298&gt;0,C2293+1,C2293)</f>
        <v>0</v>
      </c>
      <c r="D2298" s="1292"/>
      <c r="E2298" s="1468" t="s">
        <v>3439</v>
      </c>
      <c r="F2298" s="1291" t="s">
        <v>2113</v>
      </c>
      <c r="G2298" s="1297">
        <f>G2243*2*0</f>
        <v>0</v>
      </c>
      <c r="H2298" s="1467"/>
      <c r="I2298" s="1467"/>
      <c r="J2298" s="1467"/>
      <c r="K2298" s="1467"/>
      <c r="L2298" s="1400">
        <f t="shared" si="560"/>
        <v>0</v>
      </c>
      <c r="M2298" s="1400">
        <f>I2298*G2298</f>
        <v>0</v>
      </c>
      <c r="N2298" s="1400">
        <f>J2298*G2298</f>
        <v>0</v>
      </c>
      <c r="O2298" s="1400">
        <f>K2298*G2298</f>
        <v>0</v>
      </c>
      <c r="P2298" s="1299"/>
      <c r="Q2298" s="1300"/>
      <c r="R2298" s="1300"/>
      <c r="S2298" s="1300"/>
    </row>
    <row r="2299" spans="1:19" s="1081" customFormat="1" ht="14.4" hidden="1" outlineLevel="1">
      <c r="A2299" s="1072" t="str">
        <f>A2298</f>
        <v/>
      </c>
      <c r="B2299" s="1295"/>
      <c r="C2299" s="1291"/>
      <c r="D2299" s="1292"/>
      <c r="E2299" s="1301" t="s">
        <v>3399</v>
      </c>
      <c r="F2299" s="1302"/>
      <c r="G2299" s="1303"/>
      <c r="H2299" s="1467"/>
      <c r="I2299" s="1467"/>
      <c r="J2299" s="1467"/>
      <c r="K2299" s="1467"/>
      <c r="L2299" s="1400">
        <f t="shared" si="560"/>
        <v>0</v>
      </c>
      <c r="M2299" s="1400">
        <f>I2299*G2299</f>
        <v>0</v>
      </c>
      <c r="N2299" s="1400">
        <f>J2299*G2299</f>
        <v>0</v>
      </c>
      <c r="O2299" s="1400">
        <f>K2299*G2299</f>
        <v>0</v>
      </c>
      <c r="P2299" s="1299"/>
      <c r="Q2299" s="1300"/>
      <c r="R2299" s="1300"/>
      <c r="S2299" s="1300"/>
    </row>
    <row r="2300" spans="1:19" s="1081" customFormat="1" hidden="1" outlineLevel="1">
      <c r="A2300" s="1072" t="str">
        <f>IF(G2300&lt;&gt;0,1,"")</f>
        <v/>
      </c>
      <c r="B2300" s="1295" t="s">
        <v>1626</v>
      </c>
      <c r="C2300" s="1291"/>
      <c r="D2300" s="1198">
        <f>VLOOKUP($B2300,dongia1,DG!$B$5,)</f>
        <v>0</v>
      </c>
      <c r="E2300" s="1243" t="str">
        <f>VLOOKUP($B2300,dongia1,DG!$C$5,)</f>
        <v>Sắt góc L75 x75 x8</v>
      </c>
      <c r="F2300" s="1198" t="str">
        <f>VLOOKUP($B2300,dongia1,DG!$D$5,)</f>
        <v>kg</v>
      </c>
      <c r="G2300" s="1304">
        <f>G2298*9.02*2.6</f>
        <v>0</v>
      </c>
      <c r="H2300" s="1298">
        <f>VLOOKUP($B2300,dongia1,DG!$F$5,)</f>
        <v>31625</v>
      </c>
      <c r="I2300" s="1399"/>
      <c r="J2300" s="1399">
        <v>0</v>
      </c>
      <c r="K2300" s="1399"/>
      <c r="L2300" s="1400">
        <f t="shared" si="560"/>
        <v>0</v>
      </c>
      <c r="M2300" s="1400"/>
      <c r="N2300" s="1400"/>
      <c r="O2300" s="1400"/>
      <c r="P2300" s="1299"/>
      <c r="Q2300" s="1300"/>
      <c r="R2300" s="1300"/>
      <c r="S2300" s="1300"/>
    </row>
    <row r="2301" spans="1:19" s="1081" customFormat="1" hidden="1" outlineLevel="1">
      <c r="A2301" s="1072" t="str">
        <f>IF(G2301&lt;&gt;0,1,"")</f>
        <v/>
      </c>
      <c r="B2301" s="1295" t="s">
        <v>82</v>
      </c>
      <c r="C2301" s="1291"/>
      <c r="D2301" s="1198">
        <f>VLOOKUP($B2301,dongia1,DG!$B$5,)</f>
        <v>0</v>
      </c>
      <c r="E2301" s="1243" t="str">
        <f>VLOOKUP($B2301,dongia1,DG!$C$5,)</f>
        <v>Boulon 16x400+ 2 long đền vuông D18-50x50x3/Zn</v>
      </c>
      <c r="F2301" s="1198" t="str">
        <f>VLOOKUP($B2301,dongia1,DG!$D$5,)</f>
        <v>bộ</v>
      </c>
      <c r="G2301" s="1303">
        <f>G2298*2</f>
        <v>0</v>
      </c>
      <c r="H2301" s="1298">
        <f>VLOOKUP($B2301,dongia1,DG!$F$5,)</f>
        <v>29900</v>
      </c>
      <c r="I2301" s="1399">
        <v>0</v>
      </c>
      <c r="J2301" s="1399">
        <v>0</v>
      </c>
      <c r="K2301" s="1399"/>
      <c r="L2301" s="1400">
        <f t="shared" si="560"/>
        <v>0</v>
      </c>
      <c r="M2301" s="1400"/>
      <c r="N2301" s="1400"/>
      <c r="O2301" s="1400"/>
      <c r="P2301" s="1299"/>
      <c r="Q2301" s="1300"/>
      <c r="R2301" s="1300"/>
      <c r="S2301" s="1300"/>
    </row>
    <row r="2302" spans="1:19" s="1081" customFormat="1" hidden="1" outlineLevel="1">
      <c r="A2302" s="1072" t="str">
        <f>IF(G2302&lt;&gt;0,1,"")</f>
        <v/>
      </c>
      <c r="B2302" s="1295" t="s">
        <v>1998</v>
      </c>
      <c r="C2302" s="1291"/>
      <c r="D2302" s="1198">
        <f>VLOOKUP($B2302,dongia1,DG!$B$5,)</f>
        <v>0</v>
      </c>
      <c r="E2302" s="1243" t="str">
        <f>VLOOKUP($B2302,dongia1,DG!$C$5,)</f>
        <v>Boulon 12x40+ 2 long đền vuông D14-50x50x3/Zn</v>
      </c>
      <c r="F2302" s="1198" t="str">
        <f>VLOOKUP($B2302,dongia1,DG!$D$5,)</f>
        <v>bộ</v>
      </c>
      <c r="G2302" s="1303">
        <f>G2298*2</f>
        <v>0</v>
      </c>
      <c r="H2302" s="1298">
        <f>VLOOKUP($B2302,dongia1,DG!$F$5,)</f>
        <v>8500</v>
      </c>
      <c r="I2302" s="1399">
        <v>0</v>
      </c>
      <c r="J2302" s="1399">
        <v>0</v>
      </c>
      <c r="K2302" s="1399"/>
      <c r="L2302" s="1400">
        <f t="shared" si="560"/>
        <v>0</v>
      </c>
      <c r="M2302" s="1400"/>
      <c r="N2302" s="1400"/>
      <c r="O2302" s="1400"/>
      <c r="P2302" s="1299"/>
      <c r="Q2302" s="1300"/>
      <c r="R2302" s="1300"/>
      <c r="S2302" s="1300"/>
    </row>
    <row r="2303" spans="1:19" s="1081" customFormat="1" hidden="1" outlineLevel="1">
      <c r="A2303" s="1072" t="str">
        <f>IF(G2303&lt;&gt;0,1,"")</f>
        <v/>
      </c>
      <c r="B2303" s="1066" t="s">
        <v>4552</v>
      </c>
      <c r="C2303" s="1291"/>
      <c r="D2303" s="1198" t="str">
        <f>VLOOKUP($B2303,dongia1,DG!$B$5,)</f>
        <v>T4.9302</v>
      </c>
      <c r="E2303" s="1243" t="str">
        <f>VLOOKUP($B2303,dongia1,DG!$C$5,)</f>
        <v>Lắp xà thép trong phạm vi trạm</v>
      </c>
      <c r="F2303" s="1198" t="str">
        <f>VLOOKUP($B2303,dongia1,DG!$D$5,)</f>
        <v>kg</v>
      </c>
      <c r="G2303" s="1303">
        <f>G2300</f>
        <v>0</v>
      </c>
      <c r="H2303" s="1298"/>
      <c r="I2303" s="1399"/>
      <c r="J2303" s="1399">
        <f>VLOOKUP($B2303,dongia1,DG!$G$5,)</f>
        <v>2025</v>
      </c>
      <c r="K2303" s="1399"/>
      <c r="L2303" s="1400">
        <f t="shared" si="560"/>
        <v>0</v>
      </c>
      <c r="M2303" s="1400"/>
      <c r="N2303" s="1399">
        <f>VLOOKUP($B2303,dongia1,DG!$G$5,)*G2303</f>
        <v>0</v>
      </c>
      <c r="O2303" s="1400"/>
      <c r="P2303" s="1299"/>
      <c r="Q2303" s="1300"/>
      <c r="R2303" s="1300"/>
      <c r="S2303" s="1300"/>
    </row>
    <row r="2304" spans="1:19" s="1081" customFormat="1" hidden="1" outlineLevel="1">
      <c r="A2304" s="1072" t="str">
        <f>IF(G2304&lt;&gt;0,1,"")</f>
        <v/>
      </c>
      <c r="B2304" s="1295"/>
      <c r="C2304" s="1291">
        <f>IF(G2304&gt;0,C2298+1,C2298)</f>
        <v>0</v>
      </c>
      <c r="D2304" s="1292"/>
      <c r="E2304" s="1468" t="s">
        <v>3440</v>
      </c>
      <c r="F2304" s="1291" t="s">
        <v>2113</v>
      </c>
      <c r="G2304" s="1417">
        <f>G2243</f>
        <v>0</v>
      </c>
      <c r="H2304" s="1298"/>
      <c r="I2304" s="1298"/>
      <c r="J2304" s="1298"/>
      <c r="K2304" s="1298"/>
      <c r="L2304" s="1298">
        <f>H2304*G2304</f>
        <v>0</v>
      </c>
      <c r="M2304" s="1298">
        <f>I2304*G2304</f>
        <v>0</v>
      </c>
      <c r="N2304" s="1298">
        <f>J2304*G2304</f>
        <v>0</v>
      </c>
      <c r="O2304" s="1298">
        <f>K2304*G2304</f>
        <v>0</v>
      </c>
      <c r="P2304" s="1499"/>
      <c r="Q2304" s="1300"/>
      <c r="R2304" s="1300"/>
      <c r="S2304" s="1300"/>
    </row>
    <row r="2305" spans="1:19" s="1081" customFormat="1" ht="14.4" hidden="1" outlineLevel="1">
      <c r="A2305" s="1072" t="str">
        <f>+A2304</f>
        <v/>
      </c>
      <c r="B2305" s="1469"/>
      <c r="C2305" s="1291"/>
      <c r="D2305" s="1292"/>
      <c r="E2305" s="1301" t="s">
        <v>3399</v>
      </c>
      <c r="F2305" s="1302"/>
      <c r="G2305" s="1418"/>
      <c r="H2305" s="1298"/>
      <c r="I2305" s="1298"/>
      <c r="J2305" s="1298"/>
      <c r="K2305" s="1298"/>
      <c r="L2305" s="1298">
        <f>H2305*G2305</f>
        <v>0</v>
      </c>
      <c r="M2305" s="1298">
        <f>I2305*G2305</f>
        <v>0</v>
      </c>
      <c r="N2305" s="1298">
        <f>J2305*G2305</f>
        <v>0</v>
      </c>
      <c r="O2305" s="1298">
        <f>K2305*G2305</f>
        <v>0</v>
      </c>
      <c r="P2305" s="1499"/>
      <c r="Q2305" s="1300"/>
      <c r="R2305" s="1300"/>
      <c r="S2305" s="1300"/>
    </row>
    <row r="2306" spans="1:19" s="1081" customFormat="1" hidden="1" outlineLevel="1">
      <c r="A2306" s="1072" t="str">
        <f t="shared" ref="A2306:A2314" si="561">IF(G2306&lt;&gt;0,1,"")</f>
        <v/>
      </c>
      <c r="B2306" s="1295" t="s">
        <v>1200</v>
      </c>
      <c r="C2306" s="1291"/>
      <c r="D2306" s="1198">
        <f>VLOOKUP($B2306,dongia1,DG!$B$5,)</f>
        <v>0</v>
      </c>
      <c r="E2306" s="1243" t="str">
        <f>VLOOKUP($B2306,dongia1,DG!$C$5,)</f>
        <v>Cáp đồng trần M25mm2</v>
      </c>
      <c r="F2306" s="1198" t="str">
        <f>VLOOKUP($B2306,dongia1,DG!$D$5,)</f>
        <v>kg</v>
      </c>
      <c r="G2306" s="1418">
        <f>($H$3+20)*0.224*G2304</f>
        <v>0</v>
      </c>
      <c r="H2306" s="1298">
        <f>VLOOKUP($B2306,dongia1,DG!$F$5,)</f>
        <v>255500</v>
      </c>
      <c r="I2306" s="1298"/>
      <c r="J2306" s="1298">
        <f>VLOOKUP($B2306,dongia1,DG!$G$5,)</f>
        <v>0</v>
      </c>
      <c r="K2306" s="1298">
        <f>VLOOKUP($B2306,dongia1,DG!$H$5,)</f>
        <v>0</v>
      </c>
      <c r="L2306" s="1298">
        <f t="shared" ref="L2306:L2314" si="562">H2306*G2306</f>
        <v>0</v>
      </c>
      <c r="M2306" s="1298">
        <f t="shared" ref="M2306:M2314" si="563">I2306*G2306</f>
        <v>0</v>
      </c>
      <c r="N2306" s="1298">
        <f t="shared" ref="N2306:N2314" si="564">J2306*G2306</f>
        <v>0</v>
      </c>
      <c r="O2306" s="1298">
        <f t="shared" ref="O2306:O2314" si="565">K2306*G2306</f>
        <v>0</v>
      </c>
      <c r="P2306" s="1499"/>
      <c r="Q2306" s="1300"/>
      <c r="R2306" s="1300"/>
      <c r="S2306" s="1300"/>
    </row>
    <row r="2307" spans="1:19" s="1081" customFormat="1" hidden="1" outlineLevel="1">
      <c r="A2307" s="1072" t="str">
        <f t="shared" si="561"/>
        <v/>
      </c>
      <c r="B2307" s="1295" t="s">
        <v>1098</v>
      </c>
      <c r="C2307" s="1291"/>
      <c r="D2307" s="1198">
        <f>VLOOKUP($B2307,dongia1,DG!$B$5,)</f>
        <v>0</v>
      </c>
      <c r="E2307" s="1243" t="str">
        <f>VLOOKUP($B2307,dongia1,DG!$C$5,)</f>
        <v>Cọc tiếp đất Þ 16- 2,4m + kẹp cọc</v>
      </c>
      <c r="F2307" s="1198" t="str">
        <f>VLOOKUP($B2307,dongia1,DG!$D$5,)</f>
        <v>bộ</v>
      </c>
      <c r="G2307" s="1398">
        <f>$H$2*G2304</f>
        <v>0</v>
      </c>
      <c r="H2307" s="1298">
        <f>VLOOKUP($B2307,dongia1,DG!$F$5,)</f>
        <v>160000</v>
      </c>
      <c r="I2307" s="1298"/>
      <c r="J2307" s="1298">
        <f>VLOOKUP($B2307,dongia1,DG!$G$5,)</f>
        <v>0</v>
      </c>
      <c r="K2307" s="1298">
        <f>VLOOKUP($B2307,dongia1,DG!$H$5,)</f>
        <v>0</v>
      </c>
      <c r="L2307" s="1298">
        <f t="shared" si="562"/>
        <v>0</v>
      </c>
      <c r="M2307" s="1298">
        <f t="shared" si="563"/>
        <v>0</v>
      </c>
      <c r="N2307" s="1298">
        <f t="shared" si="564"/>
        <v>0</v>
      </c>
      <c r="O2307" s="1298">
        <f t="shared" si="565"/>
        <v>0</v>
      </c>
      <c r="P2307" s="1499"/>
      <c r="Q2307" s="1300"/>
      <c r="R2307" s="1300"/>
      <c r="S2307" s="1300"/>
    </row>
    <row r="2308" spans="1:19" s="1081" customFormat="1" hidden="1" outlineLevel="1">
      <c r="A2308" s="1072" t="str">
        <f t="shared" si="561"/>
        <v/>
      </c>
      <c r="B2308" s="1295" t="s">
        <v>2040</v>
      </c>
      <c r="C2308" s="1291"/>
      <c r="D2308" s="1198">
        <f>VLOOKUP($B2308,dongia1,DG!$B$5,)</f>
        <v>0</v>
      </c>
      <c r="E2308" s="1243" t="str">
        <f>VLOOKUP($B2308,dongia1,DG!$C$5,)</f>
        <v xml:space="preserve">Ống PVC D21x1,6mm </v>
      </c>
      <c r="F2308" s="1198" t="str">
        <f>VLOOKUP($B2308,dongia1,DG!$D$5,)</f>
        <v>m</v>
      </c>
      <c r="G2308" s="1418">
        <f>G2304*8*0</f>
        <v>0</v>
      </c>
      <c r="H2308" s="1298">
        <f>VLOOKUP($B2308,dongia1,DG!$F$5,)</f>
        <v>6200</v>
      </c>
      <c r="I2308" s="1298"/>
      <c r="J2308" s="1298">
        <f>VLOOKUP($B2308,dongia1,DG!$G$5,)</f>
        <v>0</v>
      </c>
      <c r="K2308" s="1298">
        <f>VLOOKUP($B2308,dongia1,DG!$H$5,)</f>
        <v>0</v>
      </c>
      <c r="L2308" s="1298">
        <f t="shared" si="562"/>
        <v>0</v>
      </c>
      <c r="M2308" s="1298">
        <f t="shared" si="563"/>
        <v>0</v>
      </c>
      <c r="N2308" s="1298">
        <f t="shared" si="564"/>
        <v>0</v>
      </c>
      <c r="O2308" s="1298">
        <f t="shared" si="565"/>
        <v>0</v>
      </c>
      <c r="P2308" s="1499"/>
      <c r="Q2308" s="1300"/>
      <c r="R2308" s="1300"/>
      <c r="S2308" s="1300"/>
    </row>
    <row r="2309" spans="1:19" s="1081" customFormat="1" hidden="1" outlineLevel="1">
      <c r="A2309" s="1072" t="str">
        <f t="shared" si="561"/>
        <v/>
      </c>
      <c r="B2309" s="1295" t="s">
        <v>205</v>
      </c>
      <c r="C2309" s="1291"/>
      <c r="D2309" s="1198">
        <f>VLOOKUP($B2309,dongia1,DG!$B$5,)</f>
        <v>0</v>
      </c>
      <c r="E2309" s="1243" t="str">
        <f>VLOOKUP($B2309,dongia1,DG!$C$5,)</f>
        <v>Kẹp ép WR cỡ dây 50mm2</v>
      </c>
      <c r="F2309" s="1198" t="str">
        <f>VLOOKUP($B2309,dongia1,DG!$D$5,)</f>
        <v>cái</v>
      </c>
      <c r="G2309" s="1398">
        <f>2*G2304</f>
        <v>0</v>
      </c>
      <c r="H2309" s="1298">
        <f>VLOOKUP($B2309,dongia1,DG!$F$5,)</f>
        <v>8000</v>
      </c>
      <c r="I2309" s="1298"/>
      <c r="J2309" s="1298">
        <f>VLOOKUP($B2309,dongia1,DG!$G$5,)</f>
        <v>0</v>
      </c>
      <c r="K2309" s="1298">
        <f>VLOOKUP($B2309,dongia1,DG!$H$5,)</f>
        <v>0</v>
      </c>
      <c r="L2309" s="1298">
        <f t="shared" si="562"/>
        <v>0</v>
      </c>
      <c r="M2309" s="1298">
        <f t="shared" si="563"/>
        <v>0</v>
      </c>
      <c r="N2309" s="1298">
        <f t="shared" si="564"/>
        <v>0</v>
      </c>
      <c r="O2309" s="1298">
        <f t="shared" si="565"/>
        <v>0</v>
      </c>
      <c r="P2309" s="1499"/>
      <c r="Q2309" s="1300"/>
      <c r="R2309" s="1300"/>
      <c r="S2309" s="1300"/>
    </row>
    <row r="2310" spans="1:19" s="1081" customFormat="1" hidden="1" outlineLevel="1">
      <c r="A2310" s="1072" t="str">
        <f>IF(G2310&lt;&gt;0,1,"")</f>
        <v/>
      </c>
      <c r="B2310" s="1295" t="s">
        <v>42</v>
      </c>
      <c r="C2310" s="1291"/>
      <c r="D2310" s="1198" t="str">
        <f>VLOOKUP($B2310,dongia1,DG!$B$5,)</f>
        <v>D4.5002</v>
      </c>
      <c r="E2310" s="1243" t="str">
        <f>VLOOKUP($B2310,dongia1,DG!$C$5,)</f>
        <v>Đầu cosse ép Cu 50mm2</v>
      </c>
      <c r="F2310" s="1198" t="str">
        <f>VLOOKUP($B2310,dongia1,DG!$D$5,)</f>
        <v>cái</v>
      </c>
      <c r="G2310" s="1398">
        <f>G2304*14</f>
        <v>0</v>
      </c>
      <c r="H2310" s="1298">
        <f>VLOOKUP($B2310,dongia1,DG!$F$5,)</f>
        <v>9100</v>
      </c>
      <c r="I2310" s="1298"/>
      <c r="J2310" s="1298">
        <f>VLOOKUP($B2310,dongia1,DG!$G$5,)</f>
        <v>10608.955000000002</v>
      </c>
      <c r="K2310" s="1298">
        <f>VLOOKUP($B2310,dongia1,DG!$H$5,)</f>
        <v>2777.0232475000003</v>
      </c>
      <c r="L2310" s="1298">
        <f>H2310*G2310</f>
        <v>0</v>
      </c>
      <c r="M2310" s="1298">
        <f>I2310*G2310</f>
        <v>0</v>
      </c>
      <c r="N2310" s="1298">
        <f>J2310*G2310</f>
        <v>0</v>
      </c>
      <c r="O2310" s="1298">
        <f>K2310*G2310</f>
        <v>0</v>
      </c>
      <c r="P2310" s="1499"/>
      <c r="Q2310" s="1300"/>
      <c r="R2310" s="1300"/>
      <c r="S2310" s="1300"/>
    </row>
    <row r="2311" spans="1:19" s="1081" customFormat="1" hidden="1" outlineLevel="1">
      <c r="A2311" s="1072" t="str">
        <f t="shared" si="561"/>
        <v/>
      </c>
      <c r="B2311" s="1295" t="s">
        <v>903</v>
      </c>
      <c r="C2311" s="1291"/>
      <c r="D2311" s="1198">
        <f>VLOOKUP($B2311,dongia1,DG!$B$5,)</f>
        <v>0</v>
      </c>
      <c r="E2311" s="1243" t="str">
        <f>VLOOKUP($B2311,dongia1,DG!$C$5,)</f>
        <v>Ốc xiết cáp cỡ 25mm2</v>
      </c>
      <c r="F2311" s="1198" t="str">
        <f>VLOOKUP($B2311,dongia1,DG!$D$5,)</f>
        <v>cái</v>
      </c>
      <c r="G2311" s="1398">
        <f>IF(G2308&lt;=12,15,21)*G2304</f>
        <v>0</v>
      </c>
      <c r="H2311" s="1298">
        <f>VLOOKUP($B2311,dongia1,DG!$F$5,)</f>
        <v>17600</v>
      </c>
      <c r="I2311" s="1298"/>
      <c r="J2311" s="1298">
        <f>VLOOKUP($B2311,dongia1,DG!$G$5,)</f>
        <v>0</v>
      </c>
      <c r="K2311" s="1298">
        <f>VLOOKUP($B2311,dongia1,DG!$H$5,)</f>
        <v>0</v>
      </c>
      <c r="L2311" s="1298">
        <f t="shared" si="562"/>
        <v>0</v>
      </c>
      <c r="M2311" s="1298">
        <f t="shared" si="563"/>
        <v>0</v>
      </c>
      <c r="N2311" s="1298">
        <f t="shared" si="564"/>
        <v>0</v>
      </c>
      <c r="O2311" s="1298">
        <f t="shared" si="565"/>
        <v>0</v>
      </c>
      <c r="P2311" s="1499"/>
      <c r="Q2311" s="1300"/>
      <c r="R2311" s="1300"/>
      <c r="S2311" s="1300"/>
    </row>
    <row r="2312" spans="1:19" s="1081" customFormat="1" hidden="1" outlineLevel="1">
      <c r="A2312" s="1072" t="str">
        <f t="shared" si="561"/>
        <v/>
      </c>
      <c r="B2312" s="1295" t="s">
        <v>1490</v>
      </c>
      <c r="C2312" s="1291"/>
      <c r="D2312" s="1198">
        <f>VLOOKUP($B2312,dongia1,DG!$B$5,)</f>
        <v>0</v>
      </c>
      <c r="E2312" s="1243" t="str">
        <f>VLOOKUP($B2312,dongia1,DG!$C$5,)</f>
        <v>Cổ dê kẹp ống PVC (STK) Þ 21</v>
      </c>
      <c r="F2312" s="1198" t="str">
        <f>VLOOKUP($B2312,dongia1,DG!$D$5,)</f>
        <v>bộ</v>
      </c>
      <c r="G2312" s="1418">
        <f>+G2304*4*0</f>
        <v>0</v>
      </c>
      <c r="H2312" s="1298">
        <f>VLOOKUP($B2312,dongia1,DG!$F$5,)</f>
        <v>43000</v>
      </c>
      <c r="I2312" s="1298"/>
      <c r="J2312" s="1298">
        <f>VLOOKUP($B2312,dongia1,DG!$G$5,)</f>
        <v>0</v>
      </c>
      <c r="K2312" s="1298">
        <f>VLOOKUP($B2312,dongia1,DG!$H$5,)</f>
        <v>0</v>
      </c>
      <c r="L2312" s="1298">
        <f t="shared" si="562"/>
        <v>0</v>
      </c>
      <c r="M2312" s="1298">
        <f t="shared" si="563"/>
        <v>0</v>
      </c>
      <c r="N2312" s="1298">
        <f t="shared" si="564"/>
        <v>0</v>
      </c>
      <c r="O2312" s="1298">
        <f t="shared" si="565"/>
        <v>0</v>
      </c>
      <c r="P2312" s="1499"/>
      <c r="Q2312" s="1300"/>
      <c r="R2312" s="1300"/>
      <c r="S2312" s="1300"/>
    </row>
    <row r="2313" spans="1:19" s="1081" customFormat="1" hidden="1" outlineLevel="1">
      <c r="A2313" s="1072" t="str">
        <f t="shared" si="561"/>
        <v/>
      </c>
      <c r="B2313" s="1295" t="s">
        <v>211</v>
      </c>
      <c r="C2313" s="1291"/>
      <c r="D2313" s="1198">
        <f>VLOOKUP($B2313,dongia1,DG!$B$5,)</f>
        <v>0</v>
      </c>
      <c r="E2313" s="1243" t="str">
        <f>VLOOKUP($B2313,dongia1,DG!$C$5,)</f>
        <v>Khoan giếng tiếp địa</v>
      </c>
      <c r="F2313" s="1198" t="str">
        <f>VLOOKUP($B2313,dongia1,DG!$D$5,)</f>
        <v>Cái</v>
      </c>
      <c r="G2313" s="1398">
        <f>G2304*2</f>
        <v>0</v>
      </c>
      <c r="H2313" s="1298">
        <f>VLOOKUP($B2313,dongia1,DG!$F$5,)</f>
        <v>0</v>
      </c>
      <c r="I2313" s="1298"/>
      <c r="J2313" s="1298">
        <f>VLOOKUP($B2313,dongia1,DG!$G$5,)</f>
        <v>1500000</v>
      </c>
      <c r="K2313" s="1298">
        <f>VLOOKUP($B2313,dongia1,DG!$H$5,)</f>
        <v>0</v>
      </c>
      <c r="L2313" s="1298">
        <f t="shared" si="562"/>
        <v>0</v>
      </c>
      <c r="M2313" s="1298">
        <f t="shared" si="563"/>
        <v>0</v>
      </c>
      <c r="N2313" s="1298">
        <f t="shared" si="564"/>
        <v>0</v>
      </c>
      <c r="O2313" s="1298">
        <f t="shared" si="565"/>
        <v>0</v>
      </c>
      <c r="P2313" s="1499"/>
      <c r="Q2313" s="1300"/>
      <c r="R2313" s="1300"/>
      <c r="S2313" s="1300"/>
    </row>
    <row r="2314" spans="1:19" s="1081" customFormat="1" hidden="1" outlineLevel="1">
      <c r="A2314" s="1072" t="str">
        <f t="shared" si="561"/>
        <v/>
      </c>
      <c r="B2314" s="1295" t="s">
        <v>4483</v>
      </c>
      <c r="C2314" s="1291"/>
      <c r="D2314" s="1198">
        <f>VLOOKUP($B2314,dongia1,DG!$B$5,)</f>
        <v>0</v>
      </c>
      <c r="E2314" s="1243" t="str">
        <f>VLOOKUP($B2314,dongia1,DG!$C$5,)</f>
        <v>Thanh sắt V50x50x5-4000 - 16kg/thanh</v>
      </c>
      <c r="F2314" s="1198" t="str">
        <f>VLOOKUP($B2314,dongia1,DG!$D$5,)</f>
        <v>kg</v>
      </c>
      <c r="G2314" s="1398">
        <f>5*16*G2313</f>
        <v>0</v>
      </c>
      <c r="H2314" s="1298">
        <f>VLOOKUP($B2314,dongia1,DG!$F$5,)</f>
        <v>31625</v>
      </c>
      <c r="I2314" s="1298"/>
      <c r="J2314" s="1298">
        <f>VLOOKUP($B2314,dongia1,DG!$G$5,)</f>
        <v>0</v>
      </c>
      <c r="K2314" s="1298">
        <f>VLOOKUP($B2314,dongia1,DG!$H$5,)</f>
        <v>0</v>
      </c>
      <c r="L2314" s="1298">
        <f t="shared" si="562"/>
        <v>0</v>
      </c>
      <c r="M2314" s="1298">
        <f t="shared" si="563"/>
        <v>0</v>
      </c>
      <c r="N2314" s="1298">
        <f t="shared" si="564"/>
        <v>0</v>
      </c>
      <c r="O2314" s="1298">
        <f t="shared" si="565"/>
        <v>0</v>
      </c>
      <c r="P2314" s="1499"/>
      <c r="Q2314" s="1300"/>
      <c r="R2314" s="1300"/>
      <c r="S2314" s="1300"/>
    </row>
    <row r="2315" spans="1:19" s="1081" customFormat="1" hidden="1" outlineLevel="1">
      <c r="A2315" s="1072" t="str">
        <f t="shared" ref="A2315:A2322" si="566">IF(G2315&lt;&gt;0,1,"")</f>
        <v/>
      </c>
      <c r="B2315" s="1295" t="s">
        <v>4484</v>
      </c>
      <c r="C2315" s="1291"/>
      <c r="D2315" s="1198" t="str">
        <f>VLOOKUP($B2315,dongia1,DG!$B$5,)</f>
        <v>07.1201</v>
      </c>
      <c r="E2315" s="1243" t="str">
        <f>VLOOKUP($B2315,dongia1,DG!$C$5,)</f>
        <v>Hàn thanh sắt V50x50x5-4000/Zn thành cọc dài 20 mét</v>
      </c>
      <c r="F2315" s="1198" t="str">
        <f>VLOOKUP($B2315,dongia1,DG!$D$5,)</f>
        <v>mối hàn</v>
      </c>
      <c r="G2315" s="1398">
        <f>G2304*4*G2313</f>
        <v>0</v>
      </c>
      <c r="H2315" s="1298">
        <f>VLOOKUP($B2315,dongia1,DG!$F$5,)</f>
        <v>0</v>
      </c>
      <c r="I2315" s="1298"/>
      <c r="J2315" s="1298">
        <f>VLOOKUP($B2315,dongia1,DG!$G$5,)</f>
        <v>55638</v>
      </c>
      <c r="K2315" s="1298">
        <f>VLOOKUP($B2315,dongia1,DG!$H$5,)</f>
        <v>134918</v>
      </c>
      <c r="L2315" s="1298">
        <f>H2315*G2315</f>
        <v>0</v>
      </c>
      <c r="M2315" s="1298">
        <f>I2315*G2315</f>
        <v>0</v>
      </c>
      <c r="N2315" s="1298">
        <f>J2315*G2315</f>
        <v>0</v>
      </c>
      <c r="O2315" s="1298">
        <f>K2315*G2315</f>
        <v>0</v>
      </c>
      <c r="P2315" s="1499"/>
      <c r="Q2315" s="1300"/>
      <c r="R2315" s="1300"/>
      <c r="S2315" s="1300"/>
    </row>
    <row r="2316" spans="1:19" s="1081" customFormat="1" hidden="1" outlineLevel="1">
      <c r="A2316" s="1072"/>
      <c r="B2316" s="1068"/>
      <c r="C2316" s="1291"/>
      <c r="D2316" s="1198"/>
      <c r="E2316" s="1243"/>
      <c r="F2316" s="1198"/>
      <c r="G2316" s="1418"/>
      <c r="H2316" s="1298"/>
      <c r="I2316" s="1298"/>
      <c r="J2316" s="1298"/>
      <c r="K2316" s="1298"/>
      <c r="L2316" s="1298"/>
      <c r="M2316" s="1298"/>
      <c r="N2316" s="1298"/>
      <c r="O2316" s="1298"/>
      <c r="P2316" s="1437"/>
      <c r="Q2316" s="1300"/>
      <c r="R2316" s="1300"/>
      <c r="S2316" s="1300"/>
    </row>
    <row r="2317" spans="1:19" s="1081" customFormat="1" hidden="1" outlineLevel="1">
      <c r="A2317" s="1072" t="str">
        <f t="shared" si="566"/>
        <v/>
      </c>
      <c r="B2317" s="1068" t="s">
        <v>4491</v>
      </c>
      <c r="C2317" s="1291"/>
      <c r="D2317" s="1198">
        <f>VLOOKUP($B2317,dongia1,DG!$B$5,)</f>
        <v>0</v>
      </c>
      <c r="E2317" s="1243" t="str">
        <f>VLOOKUP($B2317,dongia1,DG!$C$5,)</f>
        <v>Sắt tròn Þ8 thanh dài 2m (hàn bass 2 đầu, mạ kẽm)</v>
      </c>
      <c r="F2317" s="1198" t="str">
        <f>VLOOKUP($B2317,dongia1,DG!$D$5,)</f>
        <v xml:space="preserve">thanh </v>
      </c>
      <c r="G2317" s="1398">
        <f>G2304*6</f>
        <v>0</v>
      </c>
      <c r="H2317" s="1298">
        <f>VLOOKUP($B2317,dongia1,DG!$F$5,)</f>
        <v>38105</v>
      </c>
      <c r="I2317" s="1298"/>
      <c r="J2317" s="1298">
        <f>VLOOKUP($B2317,dongia1,DG!$G$5,)</f>
        <v>0</v>
      </c>
      <c r="K2317" s="1298">
        <f>VLOOKUP($B2317,dongia1,DG!$H$5,)</f>
        <v>0</v>
      </c>
      <c r="L2317" s="1298">
        <f>H2317*G2317</f>
        <v>0</v>
      </c>
      <c r="M2317" s="1298">
        <f>I2317*G2317</f>
        <v>0</v>
      </c>
      <c r="N2317" s="1298">
        <f>J2317*G2317</f>
        <v>0</v>
      </c>
      <c r="O2317" s="1298">
        <f>K2317*G2317</f>
        <v>0</v>
      </c>
      <c r="P2317" s="1507"/>
      <c r="Q2317" s="1300"/>
      <c r="R2317" s="1300"/>
      <c r="S2317" s="1300"/>
    </row>
    <row r="2318" spans="1:19" s="1081" customFormat="1" hidden="1" outlineLevel="1">
      <c r="A2318" s="1072"/>
      <c r="B2318" s="1470"/>
      <c r="C2318" s="1291"/>
      <c r="D2318" s="1198"/>
      <c r="E2318" s="1243"/>
      <c r="F2318" s="1198"/>
      <c r="G2318" s="1418"/>
      <c r="H2318" s="1298"/>
      <c r="I2318" s="1298"/>
      <c r="J2318" s="1298"/>
      <c r="K2318" s="1298"/>
      <c r="L2318" s="1298"/>
      <c r="M2318" s="1298"/>
      <c r="N2318" s="1298"/>
      <c r="O2318" s="1298"/>
      <c r="P2318" s="1437"/>
      <c r="Q2318" s="1300"/>
      <c r="R2318" s="1300"/>
      <c r="S2318" s="1300"/>
    </row>
    <row r="2319" spans="1:19" s="1081" customFormat="1" hidden="1" outlineLevel="1">
      <c r="A2319" s="1072" t="str">
        <f t="shared" si="566"/>
        <v/>
      </c>
      <c r="B2319" s="1470" t="s">
        <v>4495</v>
      </c>
      <c r="C2319" s="1471"/>
      <c r="D2319" s="1198">
        <f>VLOOKUP($B2319,dongia1,DG!$B$5,)</f>
        <v>0</v>
      </c>
      <c r="E2319" s="1243" t="str">
        <f>VLOOKUP($B2319,dongia1,DG!$C$5,)</f>
        <v>Sắt tròn Þ8 thanh dài 3m (hàn bass 2 đầu, mạ kẽm)</v>
      </c>
      <c r="F2319" s="1198" t="str">
        <f>VLOOKUP($B2319,dongia1,DG!$D$5,)</f>
        <v xml:space="preserve">thanh </v>
      </c>
      <c r="G2319" s="1398">
        <f>G2304*2</f>
        <v>0</v>
      </c>
      <c r="H2319" s="1298">
        <f>VLOOKUP($B2319,dongia1,DG!$F$5,)</f>
        <v>53008</v>
      </c>
      <c r="I2319" s="1298"/>
      <c r="J2319" s="1298">
        <f>VLOOKUP($B2319,dongia1,DG!$G$5,)</f>
        <v>0</v>
      </c>
      <c r="K2319" s="1298"/>
      <c r="L2319" s="1298">
        <f>H2319*G2319</f>
        <v>0</v>
      </c>
      <c r="M2319" s="1298">
        <f>I2319*G2319</f>
        <v>0</v>
      </c>
      <c r="N2319" s="1298">
        <f>J2319*G2319</f>
        <v>0</v>
      </c>
      <c r="O2319" s="1298">
        <f>K2319*G2319</f>
        <v>0</v>
      </c>
      <c r="P2319" s="1499"/>
      <c r="Q2319" s="1300"/>
      <c r="R2319" s="1300"/>
      <c r="S2319" s="1300"/>
    </row>
    <row r="2320" spans="1:19" s="1081" customFormat="1" hidden="1" outlineLevel="1">
      <c r="A2320" s="1072" t="str">
        <f>IF(G2320&lt;&gt;0,1,"")</f>
        <v/>
      </c>
      <c r="B2320" s="1470" t="s">
        <v>4608</v>
      </c>
      <c r="C2320" s="1471"/>
      <c r="D2320" s="1198">
        <f>VLOOKUP($B2320,dongia1,DG!$B$5,)</f>
        <v>0</v>
      </c>
      <c r="E2320" s="1243" t="str">
        <f>VLOOKUP($B2320,dongia1,DG!$C$5,)</f>
        <v>Boulon 8x50+ 2 long đền vuông</v>
      </c>
      <c r="F2320" s="1198" t="str">
        <f>VLOOKUP($B2320,dongia1,DG!$D$5,)</f>
        <v>bộ</v>
      </c>
      <c r="G2320" s="1398">
        <f>G2304*20</f>
        <v>0</v>
      </c>
      <c r="H2320" s="1298">
        <f>VLOOKUP($B2320,dongia1,DG!$F$5,)</f>
        <v>8400</v>
      </c>
      <c r="I2320" s="1298"/>
      <c r="J2320" s="1298">
        <f>VLOOKUP($B2320,dongia1,DG!$G$5,)</f>
        <v>0</v>
      </c>
      <c r="K2320" s="1298"/>
      <c r="L2320" s="1298">
        <f>H2320*G2320</f>
        <v>0</v>
      </c>
      <c r="M2320" s="1298">
        <f>I2320*G2320</f>
        <v>0</v>
      </c>
      <c r="N2320" s="1298">
        <f>J2320*G2320</f>
        <v>0</v>
      </c>
      <c r="O2320" s="1298">
        <f>K2320*G2320</f>
        <v>0</v>
      </c>
      <c r="P2320" s="1499"/>
      <c r="Q2320" s="1300"/>
      <c r="R2320" s="1300"/>
      <c r="S2320" s="1300"/>
    </row>
    <row r="2321" spans="1:20" s="1081" customFormat="1" hidden="1" outlineLevel="1">
      <c r="A2321" s="1072" t="str">
        <f t="shared" si="566"/>
        <v/>
      </c>
      <c r="B2321" s="1068" t="s">
        <v>4497</v>
      </c>
      <c r="C2321" s="1291"/>
      <c r="D2321" s="1198">
        <f>VLOOKUP($B2321,dongia1,DG!$B$5,)</f>
        <v>0</v>
      </c>
      <c r="E2321" s="1243" t="str">
        <f>VLOOKUP($B2321,dongia1,DG!$C$5,)</f>
        <v>Đai thép Inox</v>
      </c>
      <c r="F2321" s="1198" t="str">
        <f>VLOOKUP($B2321,dongia1,DG!$D$5,)</f>
        <v>mét</v>
      </c>
      <c r="G2321" s="1398">
        <f>G2317+G2319</f>
        <v>0</v>
      </c>
      <c r="H2321" s="1298">
        <f>VLOOKUP($B2321,dongia1,DG!$F$5,)</f>
        <v>11000</v>
      </c>
      <c r="I2321" s="1298"/>
      <c r="J2321" s="1298">
        <f>VLOOKUP($B2321,dongia1,DG!$G$5,)</f>
        <v>0</v>
      </c>
      <c r="K2321" s="1298">
        <f>VLOOKUP($B2321,dongia1,DG!$H$5,)</f>
        <v>0</v>
      </c>
      <c r="L2321" s="1298">
        <f>H2321*G2321</f>
        <v>0</v>
      </c>
      <c r="M2321" s="1298">
        <f>I2321*G2321</f>
        <v>0</v>
      </c>
      <c r="N2321" s="1298">
        <f>J2321*G2321</f>
        <v>0</v>
      </c>
      <c r="O2321" s="1298">
        <f>K2321*G2321</f>
        <v>0</v>
      </c>
      <c r="P2321" s="1507"/>
      <c r="Q2321" s="1300"/>
      <c r="R2321" s="1300"/>
      <c r="S2321" s="1300"/>
    </row>
    <row r="2322" spans="1:20" s="1081" customFormat="1" hidden="1" outlineLevel="1">
      <c r="A2322" s="1072" t="str">
        <f t="shared" si="566"/>
        <v/>
      </c>
      <c r="B2322" s="1068" t="s">
        <v>4499</v>
      </c>
      <c r="C2322" s="1291"/>
      <c r="D2322" s="1198">
        <f>VLOOKUP($B2322,dongia1,DG!$B$5,)</f>
        <v>0</v>
      </c>
      <c r="E2322" s="1243" t="str">
        <f>VLOOKUP($B2322,dongia1,DG!$C$5,)</f>
        <v>Khóa đai Inox</v>
      </c>
      <c r="F2322" s="1198" t="str">
        <f>VLOOKUP($B2322,dongia1,DG!$D$5,)</f>
        <v>cái</v>
      </c>
      <c r="G2322" s="1398">
        <f>G2321</f>
        <v>0</v>
      </c>
      <c r="H2322" s="1298">
        <f>VLOOKUP($B2322,dongia1,DG!$F$5,)</f>
        <v>4000</v>
      </c>
      <c r="I2322" s="1298"/>
      <c r="J2322" s="1298">
        <f>VLOOKUP($B2322,dongia1,DG!$G$5,)</f>
        <v>0</v>
      </c>
      <c r="K2322" s="1298">
        <f>VLOOKUP($B2322,dongia1,DG!$H$5,)</f>
        <v>0</v>
      </c>
      <c r="L2322" s="1298">
        <f>H2322*G2322</f>
        <v>0</v>
      </c>
      <c r="M2322" s="1298">
        <f>I2322*G2322</f>
        <v>0</v>
      </c>
      <c r="N2322" s="1298">
        <f>J2322*G2322</f>
        <v>0</v>
      </c>
      <c r="O2322" s="1298">
        <f>K2322*G2322</f>
        <v>0</v>
      </c>
      <c r="P2322" s="1499"/>
      <c r="Q2322" s="1300"/>
      <c r="R2322" s="1300"/>
      <c r="S2322" s="1300"/>
    </row>
    <row r="2323" spans="1:20" s="1081" customFormat="1" hidden="1" outlineLevel="1">
      <c r="A2323" s="1072">
        <f>IF(G2323=0,0,1)</f>
        <v>0</v>
      </c>
      <c r="B2323" s="1068" t="s">
        <v>665</v>
      </c>
      <c r="C2323" s="1302"/>
      <c r="D2323" s="1198" t="str">
        <f>VLOOKUP($B2323,dongia1,DG!$B$5,)</f>
        <v>AB.11513</v>
      </c>
      <c r="E2323" s="1243" t="str">
        <f>VLOOKUP($B2323,dongia1,DG!$C$5,)</f>
        <v>Đào rãnh tiếp địa đất cấp 3</v>
      </c>
      <c r="F2323" s="1198" t="str">
        <f>VLOOKUP($B2323,dongia1,DG!$D$5,)</f>
        <v>m3</v>
      </c>
      <c r="G2323" s="1551">
        <f>(52+20)*G2304*0.3*0.5</f>
        <v>0</v>
      </c>
      <c r="H2323" s="1298">
        <f>VLOOKUP($B2323,dongia1,DG!$F$5,)</f>
        <v>0</v>
      </c>
      <c r="I2323" s="1298"/>
      <c r="J2323" s="1298">
        <f>VLOOKUP($B2323,dongia1,DG!$G$5,)</f>
        <v>283749.75</v>
      </c>
      <c r="K2323" s="1298">
        <v>0</v>
      </c>
      <c r="L2323" s="1298">
        <f t="shared" ref="L2323:O2324" si="567">H2323*$G2323</f>
        <v>0</v>
      </c>
      <c r="M2323" s="1298">
        <f t="shared" si="567"/>
        <v>0</v>
      </c>
      <c r="N2323" s="1298">
        <f t="shared" si="567"/>
        <v>0</v>
      </c>
      <c r="O2323" s="1298">
        <f t="shared" si="567"/>
        <v>0</v>
      </c>
      <c r="P2323" s="1499"/>
      <c r="Q2323" s="1300"/>
      <c r="R2323" s="1300"/>
      <c r="S2323" s="1300"/>
    </row>
    <row r="2324" spans="1:20" s="1081" customFormat="1" hidden="1" outlineLevel="1">
      <c r="A2324" s="1072">
        <f>IF(G2324=0,0,1)</f>
        <v>0</v>
      </c>
      <c r="B2324" s="1068" t="s">
        <v>1985</v>
      </c>
      <c r="C2324" s="1302"/>
      <c r="D2324" s="1198" t="str">
        <f>VLOOKUP($B2324,dongia1,DG!$B$5,)</f>
        <v>AB.13111</v>
      </c>
      <c r="E2324" s="1243" t="str">
        <f>VLOOKUP($B2324,dongia1,DG!$C$5,)</f>
        <v>Đắp đất rãnh tiếp địa cấp 3 (độ chặt k = 0.85)</v>
      </c>
      <c r="F2324" s="1198" t="str">
        <f>VLOOKUP($B2324,dongia1,DG!$D$5,)</f>
        <v>m3</v>
      </c>
      <c r="G2324" s="1551">
        <f>G2323</f>
        <v>0</v>
      </c>
      <c r="H2324" s="1298">
        <f>VLOOKUP($B2324,dongia1,DG!$F$5,)</f>
        <v>0</v>
      </c>
      <c r="I2324" s="1298"/>
      <c r="J2324" s="1298">
        <f>VLOOKUP($B2324,dongia1,DG!$G$5,)</f>
        <v>117703.6</v>
      </c>
      <c r="K2324" s="1298">
        <v>0</v>
      </c>
      <c r="L2324" s="1298">
        <f t="shared" si="567"/>
        <v>0</v>
      </c>
      <c r="M2324" s="1298">
        <f t="shared" si="567"/>
        <v>0</v>
      </c>
      <c r="N2324" s="1298">
        <f t="shared" si="567"/>
        <v>0</v>
      </c>
      <c r="O2324" s="1298">
        <f t="shared" si="567"/>
        <v>0</v>
      </c>
      <c r="P2324" s="1499"/>
      <c r="Q2324" s="1300"/>
      <c r="R2324" s="1300"/>
      <c r="S2324" s="1300"/>
    </row>
    <row r="2325" spans="1:20" s="1081" customFormat="1" hidden="1" outlineLevel="1">
      <c r="A2325" s="1072">
        <f>IF(G2325=0,0,1)</f>
        <v>0</v>
      </c>
      <c r="B2325" s="1068" t="s">
        <v>985</v>
      </c>
      <c r="C2325" s="1302"/>
      <c r="D2325" s="1198" t="str">
        <f>VLOOKUP($B2325,dongia1,DG!$B$5,)</f>
        <v>D2.8103</v>
      </c>
      <c r="E2325" s="1243" t="str">
        <f>VLOOKUP($B2325,dongia1,DG!$C$5,)</f>
        <v>Đóng cọc tiếp địa đất cấp 3 dài 2,5m</v>
      </c>
      <c r="F2325" s="1198" t="s">
        <v>2113</v>
      </c>
      <c r="G2325" s="1552">
        <f>G2307</f>
        <v>0</v>
      </c>
      <c r="H2325" s="1298">
        <f>VLOOKUP($B2325,dongia1,DG!$F$5,)</f>
        <v>0</v>
      </c>
      <c r="I2325" s="1298"/>
      <c r="J2325" s="1298" t="str">
        <f>VLOOKUP($B2325,dongia1,DG!$G$5,)&amp;" x 1,7"</f>
        <v>90355,896 x 1,7</v>
      </c>
      <c r="K2325" s="1298">
        <v>0</v>
      </c>
      <c r="L2325" s="1298">
        <f>H2325*$G2325</f>
        <v>0</v>
      </c>
      <c r="M2325" s="1298">
        <f>I2325*$G2325</f>
        <v>0</v>
      </c>
      <c r="N2325" s="1298">
        <f>VLOOKUP($B2325,dongia1,DG!$G$5,)*1.7*G2325</f>
        <v>0</v>
      </c>
      <c r="O2325" s="1298">
        <f>K2325*$G2325</f>
        <v>0</v>
      </c>
      <c r="P2325" s="1499"/>
      <c r="Q2325" s="1300"/>
      <c r="R2325" s="1300"/>
      <c r="S2325" s="1300"/>
    </row>
    <row r="2326" spans="1:20" s="1081" customFormat="1" hidden="1" outlineLevel="1">
      <c r="A2326" s="1072" t="str">
        <f>IF(G2326&lt;&gt;0,1,"")</f>
        <v/>
      </c>
      <c r="B2326" s="1068" t="s">
        <v>983</v>
      </c>
      <c r="C2326" s="1291"/>
      <c r="D2326" s="1198" t="str">
        <f>VLOOKUP($B2326,dongia1,DG!$B$5,)</f>
        <v>T4.7001</v>
      </c>
      <c r="E2326" s="1243" t="str">
        <f>VLOOKUP($B2326,dongia1,DG!$C$5,)</f>
        <v>Kéo dây tiếp địa TBA</v>
      </c>
      <c r="F2326" s="1198" t="str">
        <f>VLOOKUP($B2326,dongia1,DG!$D$5,)</f>
        <v>mét</v>
      </c>
      <c r="G2326" s="1398">
        <f>G2306/0.224</f>
        <v>0</v>
      </c>
      <c r="H2326" s="1298">
        <f>VLOOKUP($B2326,dongia1,DG!$E$5,)</f>
        <v>0</v>
      </c>
      <c r="I2326" s="1298"/>
      <c r="J2326" s="1298">
        <f>VLOOKUP($B2326,dongia1,DG!$G$5,)</f>
        <v>8070.7000000000007</v>
      </c>
      <c r="K2326" s="1298">
        <f>VLOOKUP($B2326,dongia1,DG!$H$5,)</f>
        <v>2044.9974999999999</v>
      </c>
      <c r="L2326" s="1298">
        <f>H2326*G2326</f>
        <v>0</v>
      </c>
      <c r="M2326" s="1298">
        <f>I2326*G2326</f>
        <v>0</v>
      </c>
      <c r="N2326" s="1298">
        <f>J2326*G2326</f>
        <v>0</v>
      </c>
      <c r="O2326" s="1298">
        <f>K2326*G2326</f>
        <v>0</v>
      </c>
      <c r="P2326" s="1499"/>
      <c r="Q2326" s="1300"/>
      <c r="R2326" s="1300"/>
      <c r="S2326" s="1300"/>
    </row>
    <row r="2327" spans="1:20" s="1081" customFormat="1" hidden="1" outlineLevel="1">
      <c r="A2327" s="1072" t="str">
        <f>IF(G2327&lt;&gt;0,1,"")</f>
        <v/>
      </c>
      <c r="B2327" s="1295"/>
      <c r="C2327" s="1291">
        <f>IF(G2327&gt;0,C2304+1,C2304)</f>
        <v>0</v>
      </c>
      <c r="D2327" s="1292"/>
      <c r="E2327" s="1296" t="s">
        <v>3450</v>
      </c>
      <c r="F2327" s="1291" t="s">
        <v>2113</v>
      </c>
      <c r="G2327" s="1297">
        <f>G2253</f>
        <v>0</v>
      </c>
      <c r="H2327" s="1298"/>
      <c r="I2327" s="1298"/>
      <c r="J2327" s="1298"/>
      <c r="K2327" s="1298"/>
      <c r="L2327" s="1298">
        <f t="shared" ref="L2327:L2332" si="568">H2327*G2327</f>
        <v>0</v>
      </c>
      <c r="M2327" s="1298">
        <f t="shared" ref="M2327:M2332" si="569">I2327*G2327</f>
        <v>0</v>
      </c>
      <c r="N2327" s="1298">
        <f t="shared" ref="N2327:N2332" si="570">J2327*G2327</f>
        <v>0</v>
      </c>
      <c r="O2327" s="1298">
        <f t="shared" ref="O2327:O2332" si="571">K2327*G2327</f>
        <v>0</v>
      </c>
      <c r="P2327" s="1299"/>
      <c r="Q2327" s="1300"/>
      <c r="R2327" s="1300"/>
      <c r="S2327" s="1300"/>
    </row>
    <row r="2328" spans="1:20" s="1081" customFormat="1" ht="14.4" hidden="1" outlineLevel="1">
      <c r="A2328" s="1072" t="str">
        <f>A2327</f>
        <v/>
      </c>
      <c r="B2328" s="1295"/>
      <c r="C2328" s="1291"/>
      <c r="D2328" s="1292"/>
      <c r="E2328" s="1301" t="s">
        <v>3399</v>
      </c>
      <c r="F2328" s="1302"/>
      <c r="G2328" s="1303"/>
      <c r="H2328" s="1298"/>
      <c r="I2328" s="1298"/>
      <c r="J2328" s="1298"/>
      <c r="K2328" s="1298"/>
      <c r="L2328" s="1298">
        <f t="shared" si="568"/>
        <v>0</v>
      </c>
      <c r="M2328" s="1298">
        <f t="shared" si="569"/>
        <v>0</v>
      </c>
      <c r="N2328" s="1298">
        <f t="shared" si="570"/>
        <v>0</v>
      </c>
      <c r="O2328" s="1298">
        <f t="shared" si="571"/>
        <v>0</v>
      </c>
      <c r="P2328" s="1299"/>
      <c r="Q2328" s="1300"/>
      <c r="R2328" s="1300"/>
      <c r="S2328" s="1300"/>
    </row>
    <row r="2329" spans="1:20" s="1081" customFormat="1" hidden="1" outlineLevel="1">
      <c r="A2329" s="1072" t="str">
        <f>IF(G2329&lt;&gt;0,1,"")</f>
        <v/>
      </c>
      <c r="B2329" s="1295" t="s">
        <v>1472</v>
      </c>
      <c r="C2329" s="1302"/>
      <c r="D2329" s="1198">
        <f>VLOOKUP($B2329,dongia1,DG!$B$5,)</f>
        <v>0</v>
      </c>
      <c r="E2329" s="1243" t="str">
        <f>VLOOKUP($B2329,dongia1,DG!$C$5,)</f>
        <v>Ximăng</v>
      </c>
      <c r="F2329" s="1198" t="str">
        <f>VLOOKUP($B2329,dongia1,DG!$D$5,)</f>
        <v>kg</v>
      </c>
      <c r="G2329" s="1304">
        <f>+G2332*296</f>
        <v>0</v>
      </c>
      <c r="H2329" s="1298">
        <f>VLOOKUP($B2329,dongia1,DG!$F$5,)</f>
        <v>1740</v>
      </c>
      <c r="I2329" s="1298"/>
      <c r="J2329" s="1298">
        <f>VLOOKUP($B2329,dongia1,DG!$G$5,)</f>
        <v>0</v>
      </c>
      <c r="K2329" s="1298">
        <f>VLOOKUP($B2329,dongia1,DG!$H$5,)</f>
        <v>0</v>
      </c>
      <c r="L2329" s="1298">
        <f t="shared" si="568"/>
        <v>0</v>
      </c>
      <c r="M2329" s="1298">
        <f t="shared" si="569"/>
        <v>0</v>
      </c>
      <c r="N2329" s="1298">
        <f t="shared" si="570"/>
        <v>0</v>
      </c>
      <c r="O2329" s="1298">
        <f t="shared" si="571"/>
        <v>0</v>
      </c>
      <c r="P2329" s="1299"/>
      <c r="Q2329" s="1300"/>
      <c r="R2329" s="1300"/>
      <c r="S2329" s="1300"/>
    </row>
    <row r="2330" spans="1:20" s="1081" customFormat="1" hidden="1" outlineLevel="1">
      <c r="A2330" s="1072" t="str">
        <f>IF(G2330&lt;&gt;0,1,"")</f>
        <v/>
      </c>
      <c r="B2330" s="1295" t="s">
        <v>1729</v>
      </c>
      <c r="C2330" s="1291"/>
      <c r="D2330" s="1198">
        <f>VLOOKUP($B2330,dongia1,DG!$B$5,)</f>
        <v>0</v>
      </c>
      <c r="E2330" s="1243" t="str">
        <f>VLOOKUP($B2330,dongia1,DG!$C$5,)</f>
        <v>Cát vàng</v>
      </c>
      <c r="F2330" s="1198" t="str">
        <f>VLOOKUP($B2330,dongia1,DG!$D$5,)</f>
        <v>m3</v>
      </c>
      <c r="G2330" s="1304">
        <f>G2332*0.475</f>
        <v>0</v>
      </c>
      <c r="H2330" s="1298">
        <f>VLOOKUP($B2330,dongia1,DG!$F$5,)</f>
        <v>512000</v>
      </c>
      <c r="I2330" s="1298"/>
      <c r="J2330" s="1298">
        <f>VLOOKUP($B2330,dongia1,DG!$G$5,)</f>
        <v>0</v>
      </c>
      <c r="K2330" s="1298">
        <f>VLOOKUP($B2330,dongia1,DG!$H$5,)</f>
        <v>0</v>
      </c>
      <c r="L2330" s="1298">
        <f t="shared" si="568"/>
        <v>0</v>
      </c>
      <c r="M2330" s="1298">
        <f t="shared" si="569"/>
        <v>0</v>
      </c>
      <c r="N2330" s="1298">
        <f t="shared" si="570"/>
        <v>0</v>
      </c>
      <c r="O2330" s="1298">
        <f t="shared" si="571"/>
        <v>0</v>
      </c>
      <c r="P2330" s="1299"/>
      <c r="Q2330" s="1300"/>
      <c r="R2330" s="1300"/>
      <c r="S2330" s="1300"/>
    </row>
    <row r="2331" spans="1:20" s="1081" customFormat="1" hidden="1" outlineLevel="1">
      <c r="A2331" s="1072" t="str">
        <f>IF(G2331&lt;&gt;0,1,"")</f>
        <v/>
      </c>
      <c r="B2331" s="1295" t="s">
        <v>599</v>
      </c>
      <c r="C2331" s="1291"/>
      <c r="D2331" s="1198">
        <f>VLOOKUP($B2331,dongia1,DG!$B$5,)</f>
        <v>0</v>
      </c>
      <c r="E2331" s="1243" t="str">
        <f>VLOOKUP($B2331,dongia1,DG!$C$5,)</f>
        <v>Đá 1x2</v>
      </c>
      <c r="F2331" s="1198" t="str">
        <f>VLOOKUP($B2331,dongia1,DG!$D$5,)</f>
        <v>m3</v>
      </c>
      <c r="G2331" s="1304">
        <f>G2332*0.881</f>
        <v>0</v>
      </c>
      <c r="H2331" s="1298">
        <f>VLOOKUP($B2331,dongia1,DG!$F$5,)</f>
        <v>335000</v>
      </c>
      <c r="I2331" s="1298"/>
      <c r="J2331" s="1298">
        <f>VLOOKUP($B2331,dongia1,DG!$G$5,)</f>
        <v>0</v>
      </c>
      <c r="K2331" s="1298">
        <f>VLOOKUP($B2331,dongia1,DG!$H$5,)</f>
        <v>0</v>
      </c>
      <c r="L2331" s="1298">
        <f t="shared" si="568"/>
        <v>0</v>
      </c>
      <c r="M2331" s="1298">
        <f t="shared" si="569"/>
        <v>0</v>
      </c>
      <c r="N2331" s="1298">
        <f t="shared" si="570"/>
        <v>0</v>
      </c>
      <c r="O2331" s="1298">
        <f t="shared" si="571"/>
        <v>0</v>
      </c>
      <c r="P2331" s="1299"/>
      <c r="Q2331" s="1300"/>
      <c r="R2331" s="1300"/>
      <c r="S2331" s="1300"/>
    </row>
    <row r="2332" spans="1:20" s="1081" customFormat="1" hidden="1" outlineLevel="1">
      <c r="A2332" s="1072" t="str">
        <f>IF(G2332&lt;&gt;0,1,"")</f>
        <v/>
      </c>
      <c r="B2332" s="1295" t="s">
        <v>1473</v>
      </c>
      <c r="C2332" s="1302"/>
      <c r="D2332" s="1198" t="str">
        <f>VLOOKUP($B2332,dongia1,DG!$B$5,)</f>
        <v>AF.11220</v>
      </c>
      <c r="E2332" s="1243" t="str">
        <f>VLOOKUP($B2332,dongia1,DG!$C$5,)</f>
        <v>Đổ bê tông mác M200 đá 1x 2rộng &gt;250cm</v>
      </c>
      <c r="F2332" s="1198" t="str">
        <f>VLOOKUP($B2332,dongia1,DG!$D$5,)</f>
        <v>m3</v>
      </c>
      <c r="G2332" s="1304">
        <f>G2327*(0.4*3*1-2*3.14*0.15^2*0.4)</f>
        <v>0</v>
      </c>
      <c r="H2332" s="1298"/>
      <c r="I2332" s="1298"/>
      <c r="J2332" s="1298">
        <f>VLOOKUP($B2332,dongia1,DG!$G$5,)</f>
        <v>466397.5</v>
      </c>
      <c r="K2332" s="1298">
        <f>VLOOKUP($B2332,dongia1,DG!$H$5,)</f>
        <v>0</v>
      </c>
      <c r="L2332" s="1298">
        <f t="shared" si="568"/>
        <v>0</v>
      </c>
      <c r="M2332" s="1298">
        <f t="shared" si="569"/>
        <v>0</v>
      </c>
      <c r="N2332" s="1298">
        <f t="shared" si="570"/>
        <v>0</v>
      </c>
      <c r="O2332" s="1298">
        <f t="shared" si="571"/>
        <v>0</v>
      </c>
      <c r="P2332" s="1299"/>
      <c r="Q2332" s="1306">
        <f>1.025*361</f>
        <v>370.02499999999998</v>
      </c>
      <c r="R2332" s="1306">
        <f>1.025*0.45</f>
        <v>0.46124999999999999</v>
      </c>
      <c r="S2332" s="1306">
        <f>1.025*0.866</f>
        <v>0.88764999999999994</v>
      </c>
      <c r="T2332" s="1307"/>
    </row>
    <row r="2333" spans="1:20" s="1081" customFormat="1" hidden="1" outlineLevel="1">
      <c r="A2333" s="1072" t="str">
        <f>IF(G2333&lt;&gt;0,1,"")</f>
        <v/>
      </c>
      <c r="B2333" s="1295"/>
      <c r="C2333" s="1291">
        <f>IF(G2333&gt;0,C2327+1,C2327)</f>
        <v>0</v>
      </c>
      <c r="D2333" s="1292"/>
      <c r="E2333" s="1416" t="s">
        <v>3442</v>
      </c>
      <c r="F2333" s="1291" t="s">
        <v>2113</v>
      </c>
      <c r="G2333" s="1417">
        <f>G2243*2</f>
        <v>0</v>
      </c>
      <c r="H2333" s="1298"/>
      <c r="I2333" s="1298"/>
      <c r="J2333" s="1298"/>
      <c r="K2333" s="1298"/>
      <c r="L2333" s="1298">
        <f>H2333*G2333</f>
        <v>0</v>
      </c>
      <c r="M2333" s="1298">
        <f>I2333*G2333</f>
        <v>0</v>
      </c>
      <c r="N2333" s="1298">
        <f>J2333*G2333</f>
        <v>0</v>
      </c>
      <c r="O2333" s="1298">
        <f>K2333*G2333</f>
        <v>0</v>
      </c>
      <c r="P2333" s="1499"/>
      <c r="Q2333" s="1300"/>
      <c r="R2333" s="1300"/>
      <c r="S2333" s="1300"/>
    </row>
    <row r="2334" spans="1:20" s="1081" customFormat="1" ht="14.4" hidden="1" outlineLevel="1">
      <c r="A2334" s="1072" t="str">
        <f>A2333</f>
        <v/>
      </c>
      <c r="B2334" s="1295"/>
      <c r="C2334" s="1291"/>
      <c r="D2334" s="1292"/>
      <c r="E2334" s="1301" t="s">
        <v>3399</v>
      </c>
      <c r="F2334" s="1302"/>
      <c r="G2334" s="1398"/>
      <c r="H2334" s="1298"/>
      <c r="I2334" s="1298"/>
      <c r="J2334" s="1298"/>
      <c r="K2334" s="1298"/>
      <c r="L2334" s="1298">
        <f>H2334*G2334</f>
        <v>0</v>
      </c>
      <c r="M2334" s="1298">
        <f>I2334*G2334</f>
        <v>0</v>
      </c>
      <c r="N2334" s="1298">
        <f>J2334*G2334</f>
        <v>0</v>
      </c>
      <c r="O2334" s="1298">
        <f>K2334*G2334</f>
        <v>0</v>
      </c>
      <c r="P2334" s="1499"/>
      <c r="Q2334" s="1300"/>
      <c r="R2334" s="1300"/>
      <c r="S2334" s="1300"/>
    </row>
    <row r="2335" spans="1:20" s="1081" customFormat="1" hidden="1" outlineLevel="1">
      <c r="A2335" s="1072" t="str">
        <f>IF(G2335&lt;&gt;0,1,"")</f>
        <v/>
      </c>
      <c r="B2335" s="1066" t="s">
        <v>333</v>
      </c>
      <c r="C2335" s="1302"/>
      <c r="D2335" s="1198" t="str">
        <f>VLOOKUP($B2335,dongia1,DG!$B$5,)</f>
        <v>T5.1002</v>
      </c>
      <c r="E2335" s="1243" t="str">
        <f>VLOOKUP($B2335,dongia1,DG!$C$5,)</f>
        <v>Tủ MCCB trạm giàn 1 ngăn</v>
      </c>
      <c r="F2335" s="1198" t="str">
        <f>VLOOKUP($B2335,dongia1,DG!$D$5,)</f>
        <v>cái</v>
      </c>
      <c r="G2335" s="1398">
        <f>G2333</f>
        <v>0</v>
      </c>
      <c r="H2335" s="1298">
        <f>VLOOKUP($B2335,dongia1,DG!$F$5,)</f>
        <v>2112489</v>
      </c>
      <c r="I2335" s="1298"/>
      <c r="J2335" s="1298">
        <f>VLOOKUP($B2335,dongia1,DG!$G$5,)</f>
        <v>690091</v>
      </c>
      <c r="K2335" s="1298">
        <f>VLOOKUP($B2335,dongia1,DG!$H$5,)</f>
        <v>97369</v>
      </c>
      <c r="L2335" s="1298">
        <f>H2335*G2335</f>
        <v>0</v>
      </c>
      <c r="M2335" s="1298">
        <f>I2335*G2335</f>
        <v>0</v>
      </c>
      <c r="N2335" s="1298">
        <f>J2335*G2335</f>
        <v>0</v>
      </c>
      <c r="O2335" s="1298">
        <f>K2335*G2335</f>
        <v>0</v>
      </c>
      <c r="P2335" s="1499"/>
      <c r="Q2335" s="1300"/>
      <c r="R2335" s="1300"/>
      <c r="S2335" s="1300"/>
    </row>
    <row r="2336" spans="1:20" s="1081" customFormat="1" hidden="1" outlineLevel="1">
      <c r="A2336" s="1072" t="str">
        <f>IF(G2336&lt;&gt;0,1,"")</f>
        <v/>
      </c>
      <c r="B2336" s="1295" t="s">
        <v>1560</v>
      </c>
      <c r="C2336" s="1291"/>
      <c r="D2336" s="1198">
        <f>VLOOKUP($B2336,dongia1,DG!$B$5,)</f>
        <v>0</v>
      </c>
      <c r="E2336" s="1243" t="str">
        <f>VLOOKUP($B2336,dongia1,DG!$C$5,)</f>
        <v xml:space="preserve">Bakelit 500x300 dầy 10mm </v>
      </c>
      <c r="F2336" s="1198" t="str">
        <f>VLOOKUP($B2336,dongia1,DG!$D$5,)</f>
        <v>cái</v>
      </c>
      <c r="G2336" s="1398">
        <f>G2333*1*0</f>
        <v>0</v>
      </c>
      <c r="H2336" s="1298">
        <f>VLOOKUP($B2336,dongia1,DG!$F$5,)</f>
        <v>284000</v>
      </c>
      <c r="I2336" s="1298"/>
      <c r="J2336" s="1298">
        <f>VLOOKUP($B2336,dongia1,DG!$G$5,)</f>
        <v>5404</v>
      </c>
      <c r="K2336" s="1298">
        <f>VLOOKUP($B2336,dongia1,DG!$H$5,)</f>
        <v>0</v>
      </c>
      <c r="L2336" s="1298">
        <f>H2336*G2336</f>
        <v>0</v>
      </c>
      <c r="M2336" s="1298">
        <f>I2336*G2336</f>
        <v>0</v>
      </c>
      <c r="N2336" s="1298">
        <f>J2336*G2336</f>
        <v>0</v>
      </c>
      <c r="O2336" s="1298">
        <f>K2336*G2336</f>
        <v>0</v>
      </c>
      <c r="P2336" s="1499"/>
      <c r="Q2336" s="1300"/>
      <c r="R2336" s="1300"/>
      <c r="S2336" s="1300"/>
    </row>
    <row r="2337" spans="1:19" s="1081" customFormat="1" hidden="1" outlineLevel="1">
      <c r="A2337" s="1072" t="str">
        <f>IF(G2337&lt;&gt;0,1,"")</f>
        <v/>
      </c>
      <c r="B2337" s="1295" t="s">
        <v>888</v>
      </c>
      <c r="C2337" s="1302"/>
      <c r="D2337" s="1198">
        <f>VLOOKUP($B2337,dongia1,DG!$B$5,)</f>
        <v>0</v>
      </c>
      <c r="E2337" s="1243" t="str">
        <f>VLOOKUP($B2337,dongia1,DG!$C$5,)</f>
        <v>Bảng tên trạm + bảng báo nguy hiểm</v>
      </c>
      <c r="F2337" s="1198" t="str">
        <f>VLOOKUP($B2337,dongia1,DG!$D$5,)</f>
        <v>cái</v>
      </c>
      <c r="G2337" s="1418"/>
      <c r="H2337" s="1298">
        <f>VLOOKUP($B2337,dongia1,DG!$F$5,)</f>
        <v>300000</v>
      </c>
      <c r="I2337" s="1298"/>
      <c r="J2337" s="1298">
        <f>VLOOKUP($B2337,dongia1,DG!$G$5,)</f>
        <v>0</v>
      </c>
      <c r="K2337" s="1298">
        <f>VLOOKUP($B2337,dongia1,DG!$H$5,)</f>
        <v>0</v>
      </c>
      <c r="L2337" s="1298">
        <f>H2337*G2337</f>
        <v>0</v>
      </c>
      <c r="M2337" s="1298">
        <f>I2337*G2337</f>
        <v>0</v>
      </c>
      <c r="N2337" s="1298">
        <f>J2337*G2337</f>
        <v>0</v>
      </c>
      <c r="O2337" s="1298">
        <f>K2337*G2337</f>
        <v>0</v>
      </c>
      <c r="P2337" s="1437"/>
      <c r="Q2337" s="1300"/>
      <c r="R2337" s="1300"/>
      <c r="S2337" s="1300"/>
    </row>
    <row r="2338" spans="1:19" s="1081" customFormat="1" hidden="1" outlineLevel="1">
      <c r="A2338" s="1072" t="str">
        <f t="shared" ref="A2338:A2344" si="572">IF(G2338&lt;&gt;0,1,"")</f>
        <v/>
      </c>
      <c r="B2338" s="1066" t="s">
        <v>1542</v>
      </c>
      <c r="C2338" s="1302"/>
      <c r="D2338" s="1198">
        <f>VLOOKUP($B2338,dongia1,DG!$B$5,)</f>
        <v>0</v>
      </c>
      <c r="E2338" s="1243" t="str">
        <f>VLOOKUP($B2338,dongia1,DG!$C$5,)</f>
        <v>Cổ dê bắt tủ</v>
      </c>
      <c r="F2338" s="1198" t="str">
        <f>VLOOKUP($B2338,dongia1,DG!$D$5,)</f>
        <v>bộ</v>
      </c>
      <c r="G2338" s="1398">
        <f>G2335*2*0</f>
        <v>0</v>
      </c>
      <c r="H2338" s="1298">
        <f>VLOOKUP($B2338,dongia1,DG!$F$5,)</f>
        <v>168000</v>
      </c>
      <c r="I2338" s="1298"/>
      <c r="J2338" s="1298">
        <f>VLOOKUP($B2338,dongia1,DG!$G$5,)</f>
        <v>0</v>
      </c>
      <c r="K2338" s="1298">
        <f>VLOOKUP($B2338,dongia1,DG!$H$5,)</f>
        <v>0</v>
      </c>
      <c r="L2338" s="1298">
        <f t="shared" ref="L2338:L2344" si="573">H2338*G2338</f>
        <v>0</v>
      </c>
      <c r="M2338" s="1298">
        <f t="shared" ref="M2338:M2344" si="574">I2338*G2338</f>
        <v>0</v>
      </c>
      <c r="N2338" s="1298">
        <f t="shared" ref="N2338:N2344" si="575">J2338*G2338</f>
        <v>0</v>
      </c>
      <c r="O2338" s="1298">
        <f t="shared" ref="O2338:O2344" si="576">K2338*G2338</f>
        <v>0</v>
      </c>
      <c r="P2338" s="1499"/>
      <c r="Q2338" s="1300"/>
      <c r="R2338" s="1300"/>
      <c r="S2338" s="1300"/>
    </row>
    <row r="2339" spans="1:19" s="1081" customFormat="1" hidden="1" outlineLevel="1">
      <c r="A2339" s="1072" t="str">
        <f t="shared" si="572"/>
        <v/>
      </c>
      <c r="B2339" s="1295"/>
      <c r="C2339" s="1291"/>
      <c r="D2339" s="1292"/>
      <c r="E2339" s="1416" t="s">
        <v>4570</v>
      </c>
      <c r="F2339" s="1291" t="s">
        <v>2113</v>
      </c>
      <c r="G2339" s="1417">
        <f>G2243</f>
        <v>0</v>
      </c>
      <c r="H2339" s="1298"/>
      <c r="I2339" s="1298"/>
      <c r="J2339" s="1298"/>
      <c r="K2339" s="1298"/>
      <c r="L2339" s="1298"/>
      <c r="M2339" s="1298"/>
      <c r="N2339" s="1298"/>
      <c r="O2339" s="1298"/>
      <c r="P2339" s="1499"/>
      <c r="Q2339" s="1300"/>
      <c r="R2339" s="1300"/>
      <c r="S2339" s="1300"/>
    </row>
    <row r="2340" spans="1:19" s="1081" customFormat="1" ht="14.4" hidden="1" outlineLevel="1">
      <c r="A2340" s="1072" t="str">
        <f>A2339</f>
        <v/>
      </c>
      <c r="B2340" s="1553"/>
      <c r="C2340" s="1520"/>
      <c r="D2340" s="1521"/>
      <c r="E2340" s="1522" t="s">
        <v>3399</v>
      </c>
      <c r="F2340" s="1521"/>
      <c r="G2340" s="1554"/>
      <c r="H2340" s="1298"/>
      <c r="I2340" s="1298"/>
      <c r="J2340" s="1298"/>
      <c r="K2340" s="1298"/>
      <c r="L2340" s="1298"/>
      <c r="M2340" s="1298"/>
      <c r="N2340" s="1298"/>
      <c r="O2340" s="1298"/>
      <c r="P2340" s="1499"/>
      <c r="Q2340" s="1300"/>
      <c r="R2340" s="1300"/>
      <c r="S2340" s="1300"/>
    </row>
    <row r="2341" spans="1:19" s="1081" customFormat="1" hidden="1" outlineLevel="1">
      <c r="A2341" s="1072" t="str">
        <f t="shared" si="572"/>
        <v/>
      </c>
      <c r="B2341" s="1295" t="s">
        <v>4569</v>
      </c>
      <c r="C2341" s="1302"/>
      <c r="D2341" s="1198" t="str">
        <f>VLOOKUP($B2341,dongia1,DG!$B$5,)</f>
        <v>T5.1001</v>
      </c>
      <c r="E2341" s="1243" t="str">
        <f>VLOOKUP($B2341,dongia1,DG!$C$5,)</f>
        <v>Tủ điện kế</v>
      </c>
      <c r="F2341" s="1198" t="str">
        <f>VLOOKUP($B2341,dongia1,DG!$D$5,)</f>
        <v>cái</v>
      </c>
      <c r="G2341" s="1398">
        <f>G2339</f>
        <v>0</v>
      </c>
      <c r="H2341" s="1298">
        <f>VLOOKUP($B2341,dongia1,DG!$F$5,)</f>
        <v>783952</v>
      </c>
      <c r="I2341" s="1298"/>
      <c r="J2341" s="1298">
        <f>VLOOKUP($B2341,dongia1,DG!$G$5,)</f>
        <v>599038</v>
      </c>
      <c r="K2341" s="1298">
        <f>VLOOKUP($B2341,dongia1,DG!$H$5,)</f>
        <v>97369</v>
      </c>
      <c r="L2341" s="1298">
        <f t="shared" si="573"/>
        <v>0</v>
      </c>
      <c r="M2341" s="1298">
        <f t="shared" si="574"/>
        <v>0</v>
      </c>
      <c r="N2341" s="1298">
        <f t="shared" si="575"/>
        <v>0</v>
      </c>
      <c r="O2341" s="1298">
        <f t="shared" si="576"/>
        <v>0</v>
      </c>
      <c r="P2341" s="1499"/>
      <c r="Q2341" s="1300"/>
      <c r="R2341" s="1300"/>
      <c r="S2341" s="1300"/>
    </row>
    <row r="2342" spans="1:19" s="1081" customFormat="1" hidden="1" outlineLevel="1">
      <c r="A2342" s="1072" t="str">
        <f t="shared" si="572"/>
        <v/>
      </c>
      <c r="B2342" s="1295" t="s">
        <v>1560</v>
      </c>
      <c r="C2342" s="1302"/>
      <c r="D2342" s="1198">
        <f>VLOOKUP($B2342,dongia1,DG!$B$5,)</f>
        <v>0</v>
      </c>
      <c r="E2342" s="1243" t="str">
        <f>VLOOKUP($B2342,dongia1,DG!$C$5,)</f>
        <v xml:space="preserve">Bakelit 500x300 dầy 10mm </v>
      </c>
      <c r="F2342" s="1198" t="str">
        <f>VLOOKUP($B2342,dongia1,DG!$D$5,)</f>
        <v>cái</v>
      </c>
      <c r="G2342" s="1398">
        <f>G2341</f>
        <v>0</v>
      </c>
      <c r="H2342" s="1298">
        <f>VLOOKUP($B2342,dongia1,DG!$F$5,)</f>
        <v>284000</v>
      </c>
      <c r="I2342" s="1298"/>
      <c r="J2342" s="1298">
        <f>VLOOKUP($B2342,dongia1,DG!$G$5,)</f>
        <v>5404</v>
      </c>
      <c r="K2342" s="1298">
        <f>VLOOKUP($B2342,dongia1,DG!$H$5,)</f>
        <v>0</v>
      </c>
      <c r="L2342" s="1298">
        <f t="shared" si="573"/>
        <v>0</v>
      </c>
      <c r="M2342" s="1298">
        <f t="shared" si="574"/>
        <v>0</v>
      </c>
      <c r="N2342" s="1298">
        <f t="shared" si="575"/>
        <v>0</v>
      </c>
      <c r="O2342" s="1298">
        <f t="shared" si="576"/>
        <v>0</v>
      </c>
      <c r="P2342" s="1499"/>
      <c r="Q2342" s="1300"/>
      <c r="R2342" s="1300"/>
      <c r="S2342" s="1300"/>
    </row>
    <row r="2343" spans="1:19" s="1081" customFormat="1" hidden="1" outlineLevel="1">
      <c r="A2343" s="1072" t="str">
        <f t="shared" si="572"/>
        <v/>
      </c>
      <c r="B2343" s="1295" t="s">
        <v>888</v>
      </c>
      <c r="C2343" s="1302"/>
      <c r="D2343" s="1198">
        <f>VLOOKUP($B2343,dongia1,DG!$B$5,)</f>
        <v>0</v>
      </c>
      <c r="E2343" s="1243" t="str">
        <f>VLOOKUP($B2343,dongia1,DG!$C$5,)</f>
        <v>Bảng tên trạm + bảng báo nguy hiểm</v>
      </c>
      <c r="F2343" s="1198" t="str">
        <f>VLOOKUP($B2343,dongia1,DG!$D$5,)</f>
        <v>cái</v>
      </c>
      <c r="G2343" s="1398">
        <f>G2339</f>
        <v>0</v>
      </c>
      <c r="H2343" s="1298">
        <f>VLOOKUP($B2343,dongia1,DG!$F$5,)</f>
        <v>300000</v>
      </c>
      <c r="I2343" s="1298"/>
      <c r="J2343" s="1298">
        <f>VLOOKUP($B2343,dongia1,DG!$G$5,)</f>
        <v>0</v>
      </c>
      <c r="K2343" s="1298">
        <f>VLOOKUP($B2343,dongia1,DG!$H$5,)</f>
        <v>0</v>
      </c>
      <c r="L2343" s="1298">
        <f t="shared" si="573"/>
        <v>0</v>
      </c>
      <c r="M2343" s="1298">
        <f t="shared" si="574"/>
        <v>0</v>
      </c>
      <c r="N2343" s="1298">
        <f t="shared" si="575"/>
        <v>0</v>
      </c>
      <c r="O2343" s="1298">
        <f t="shared" si="576"/>
        <v>0</v>
      </c>
      <c r="P2343" s="1499"/>
      <c r="Q2343" s="1300"/>
      <c r="R2343" s="1300"/>
      <c r="S2343" s="1300"/>
    </row>
    <row r="2344" spans="1:19" s="1081" customFormat="1" hidden="1" outlineLevel="1">
      <c r="A2344" s="1072" t="str">
        <f t="shared" si="572"/>
        <v/>
      </c>
      <c r="B2344" s="1066" t="s">
        <v>1542</v>
      </c>
      <c r="C2344" s="1302"/>
      <c r="D2344" s="1198">
        <f>VLOOKUP($B2344,dongia1,DG!$B$5,)</f>
        <v>0</v>
      </c>
      <c r="E2344" s="1243" t="str">
        <f>VLOOKUP($B2344,dongia1,DG!$C$5,)</f>
        <v>Cổ dê bắt tủ</v>
      </c>
      <c r="F2344" s="1198" t="str">
        <f>VLOOKUP($B2344,dongia1,DG!$D$5,)</f>
        <v>bộ</v>
      </c>
      <c r="G2344" s="1398">
        <f>G2341*0</f>
        <v>0</v>
      </c>
      <c r="H2344" s="1298">
        <f>VLOOKUP($B2344,dongia1,DG!$F$5,)</f>
        <v>168000</v>
      </c>
      <c r="I2344" s="1298"/>
      <c r="J2344" s="1298">
        <f>VLOOKUP($B2344,dongia1,DG!$G$5,)</f>
        <v>0</v>
      </c>
      <c r="K2344" s="1298">
        <f>VLOOKUP($B2344,dongia1,DG!$H$5,)</f>
        <v>0</v>
      </c>
      <c r="L2344" s="1298">
        <f t="shared" si="573"/>
        <v>0</v>
      </c>
      <c r="M2344" s="1298">
        <f t="shared" si="574"/>
        <v>0</v>
      </c>
      <c r="N2344" s="1298">
        <f t="shared" si="575"/>
        <v>0</v>
      </c>
      <c r="O2344" s="1298">
        <f t="shared" si="576"/>
        <v>0</v>
      </c>
      <c r="P2344" s="1499"/>
      <c r="Q2344" s="1300"/>
      <c r="R2344" s="1300"/>
      <c r="S2344" s="1300"/>
    </row>
    <row r="2345" spans="1:19" s="1081" customFormat="1" hidden="1" outlineLevel="1">
      <c r="A2345" s="1072" t="str">
        <f>IF(G2345&lt;&gt;0,1,"")</f>
        <v/>
      </c>
      <c r="B2345" s="1295"/>
      <c r="C2345" s="1291">
        <f>IF(G2345&gt;0,C2333+1,C2333)</f>
        <v>0</v>
      </c>
      <c r="D2345" s="1292"/>
      <c r="E2345" s="1293" t="s">
        <v>3449</v>
      </c>
      <c r="F2345" s="1291" t="s">
        <v>2113</v>
      </c>
      <c r="G2345" s="1417">
        <f>G2243</f>
        <v>0</v>
      </c>
      <c r="H2345" s="1298"/>
      <c r="I2345" s="1298"/>
      <c r="J2345" s="1298"/>
      <c r="K2345" s="1298"/>
      <c r="L2345" s="1298"/>
      <c r="M2345" s="1298"/>
      <c r="N2345" s="1298"/>
      <c r="O2345" s="1298"/>
      <c r="P2345" s="1499"/>
      <c r="Q2345" s="1300"/>
      <c r="R2345" s="1300"/>
      <c r="S2345" s="1300"/>
    </row>
    <row r="2346" spans="1:19" s="1081" customFormat="1" ht="14.4" hidden="1" outlineLevel="1">
      <c r="A2346" s="1072" t="str">
        <f>A2345</f>
        <v/>
      </c>
      <c r="B2346" s="1295"/>
      <c r="C2346" s="1291"/>
      <c r="D2346" s="1292"/>
      <c r="E2346" s="1308" t="s">
        <v>3399</v>
      </c>
      <c r="F2346" s="1291"/>
      <c r="G2346" s="1417"/>
      <c r="H2346" s="1298"/>
      <c r="I2346" s="1298"/>
      <c r="J2346" s="1298"/>
      <c r="K2346" s="1298"/>
      <c r="L2346" s="1298"/>
      <c r="M2346" s="1298"/>
      <c r="N2346" s="1298"/>
      <c r="O2346" s="1298"/>
      <c r="P2346" s="1499"/>
      <c r="Q2346" s="1300"/>
      <c r="R2346" s="1300"/>
      <c r="S2346" s="1300"/>
    </row>
    <row r="2347" spans="1:19" s="1081" customFormat="1" hidden="1" outlineLevel="1">
      <c r="A2347" s="1072" t="str">
        <f>IF(G2347&lt;&gt;0,1,"")</f>
        <v/>
      </c>
      <c r="B2347" s="1068" t="s">
        <v>648</v>
      </c>
      <c r="C2347" s="1302"/>
      <c r="D2347" s="1198">
        <f>VLOOKUP($B2347,dongia1,DG!$B$5,)</f>
        <v>0</v>
      </c>
      <c r="E2347" s="1243" t="str">
        <f>VLOOKUP($B2347,dongia1,DG!$C$5,)</f>
        <v>Cáp 24KV C/XLPE/PVC- 25mm2</v>
      </c>
      <c r="F2347" s="1198" t="str">
        <f>VLOOKUP($B2347,dongia1,DG!$D$5,)</f>
        <v>mét</v>
      </c>
      <c r="G2347" s="1398">
        <f>G2345*(7)*3</f>
        <v>0</v>
      </c>
      <c r="H2347" s="1298">
        <f>VLOOKUP($B2347,dongia1,DG!$F$5,)</f>
        <v>50996</v>
      </c>
      <c r="I2347" s="1298"/>
      <c r="J2347" s="1298">
        <f>VLOOKUP($B2347,dongia1,DG!$G$5,)</f>
        <v>0</v>
      </c>
      <c r="K2347" s="1298">
        <f>VLOOKUP($B2347,dongia1,DG!$H$5,)</f>
        <v>0</v>
      </c>
      <c r="L2347" s="1298">
        <f t="shared" ref="L2347:L2357" si="577">H2347*G2347</f>
        <v>0</v>
      </c>
      <c r="M2347" s="1298">
        <f>I2347*G2347</f>
        <v>0</v>
      </c>
      <c r="N2347" s="1298">
        <f t="shared" ref="N2347:N2357" si="578">J2347*G2347</f>
        <v>0</v>
      </c>
      <c r="O2347" s="1298">
        <f t="shared" ref="O2347:O2357" si="579">K2347*G2347</f>
        <v>0</v>
      </c>
      <c r="P2347" s="1499"/>
      <c r="Q2347" s="1300"/>
      <c r="R2347" s="1300"/>
      <c r="S2347" s="1300"/>
    </row>
    <row r="2348" spans="1:19" s="1081" customFormat="1" hidden="1" outlineLevel="1">
      <c r="A2348" s="1072" t="str">
        <f>IF(G2348&lt;&gt;0,1,"")</f>
        <v/>
      </c>
      <c r="B2348" s="1421" t="s">
        <v>2144</v>
      </c>
      <c r="C2348" s="1302"/>
      <c r="D2348" s="1198">
        <f>VLOOKUP($B2348,dongia1,DG!$B$5,)</f>
        <v>0</v>
      </c>
      <c r="E2348" s="1243" t="str">
        <f>VLOOKUP($B2348,dongia1,DG!$C$5,)</f>
        <v>Nắp che đầu cực FCO</v>
      </c>
      <c r="F2348" s="1198" t="str">
        <f>VLOOKUP($B2348,dongia1,DG!$D$5,)</f>
        <v>cái</v>
      </c>
      <c r="G2348" s="1398">
        <f>+G2345*3</f>
        <v>0</v>
      </c>
      <c r="H2348" s="1298">
        <f>VLOOKUP($B2348,dongia1,DG!$F$5,)</f>
        <v>218200</v>
      </c>
      <c r="I2348" s="1298"/>
      <c r="J2348" s="1298">
        <f>VLOOKUP($B2348,dongia1,DG!$G$5,)</f>
        <v>0</v>
      </c>
      <c r="K2348" s="1298">
        <f>VLOOKUP($B2348,dongia1,DG!$H$5,)</f>
        <v>0</v>
      </c>
      <c r="L2348" s="1298">
        <f>H2348*G2348</f>
        <v>0</v>
      </c>
      <c r="M2348" s="1298">
        <f>I2348*G2348</f>
        <v>0</v>
      </c>
      <c r="N2348" s="1298">
        <f>J2348*G2348</f>
        <v>0</v>
      </c>
      <c r="O2348" s="1298">
        <f>K2348*G2348</f>
        <v>0</v>
      </c>
      <c r="P2348" s="1507"/>
      <c r="Q2348" s="1300"/>
      <c r="R2348" s="1300"/>
      <c r="S2348" s="1300"/>
    </row>
    <row r="2349" spans="1:19" s="1081" customFormat="1" hidden="1" outlineLevel="1">
      <c r="A2349" s="1072" t="str">
        <f>IF(G2349&lt;&gt;0,1,"")</f>
        <v/>
      </c>
      <c r="B2349" s="1421" t="s">
        <v>2121</v>
      </c>
      <c r="C2349" s="1302"/>
      <c r="D2349" s="1198">
        <f>VLOOKUP($B2349,dongia1,DG!$B$5,)</f>
        <v>0</v>
      </c>
      <c r="E2349" s="1243" t="str">
        <f>VLOOKUP($B2349,dongia1,DG!$C$5,)</f>
        <v>Nắp che đầu cực LA</v>
      </c>
      <c r="F2349" s="1198" t="str">
        <f>VLOOKUP($B2349,dongia1,DG!$D$5,)</f>
        <v>cái</v>
      </c>
      <c r="G2349" s="1398">
        <f>+G2345*3</f>
        <v>0</v>
      </c>
      <c r="H2349" s="1298">
        <f>VLOOKUP($B2349,dongia1,DG!$F$5,)</f>
        <v>39100</v>
      </c>
      <c r="I2349" s="1298"/>
      <c r="J2349" s="1298">
        <f>VLOOKUP($B2349,dongia1,DG!$G$5,)</f>
        <v>0</v>
      </c>
      <c r="K2349" s="1298">
        <f>VLOOKUP($B2349,dongia1,DG!$H$5,)</f>
        <v>0</v>
      </c>
      <c r="L2349" s="1298">
        <f>H2349*G2349</f>
        <v>0</v>
      </c>
      <c r="M2349" s="1298">
        <f>I2349*G2349</f>
        <v>0</v>
      </c>
      <c r="N2349" s="1298">
        <f>J2349*G2349</f>
        <v>0</v>
      </c>
      <c r="O2349" s="1298">
        <f>K2349*G2349</f>
        <v>0</v>
      </c>
      <c r="P2349" s="1507"/>
      <c r="Q2349" s="1300"/>
      <c r="R2349" s="1300"/>
      <c r="S2349" s="1300"/>
    </row>
    <row r="2350" spans="1:19" s="1081" customFormat="1" hidden="1" outlineLevel="1">
      <c r="A2350" s="1072" t="str">
        <f>IF(G2350&lt;&gt;0,1,"")</f>
        <v/>
      </c>
      <c r="B2350" s="1421" t="s">
        <v>2123</v>
      </c>
      <c r="C2350" s="1302"/>
      <c r="D2350" s="1198">
        <f>VLOOKUP($B2350,dongia1,DG!$B$5,)</f>
        <v>0</v>
      </c>
      <c r="E2350" s="1243" t="str">
        <f>VLOOKUP($B2350,dongia1,DG!$C$5,)</f>
        <v>Nắp che đầu sứ MBA</v>
      </c>
      <c r="F2350" s="1198" t="str">
        <f>VLOOKUP($B2350,dongia1,DG!$D$5,)</f>
        <v>cái</v>
      </c>
      <c r="G2350" s="1398">
        <f>+G2345*3</f>
        <v>0</v>
      </c>
      <c r="H2350" s="1298">
        <f>VLOOKUP($B2350,dongia1,DG!$F$5,)</f>
        <v>56700</v>
      </c>
      <c r="I2350" s="1298"/>
      <c r="J2350" s="1298">
        <f>VLOOKUP($B2350,dongia1,DG!$G$5,)</f>
        <v>0</v>
      </c>
      <c r="K2350" s="1298">
        <f>VLOOKUP($B2350,dongia1,DG!$H$5,)</f>
        <v>0</v>
      </c>
      <c r="L2350" s="1298">
        <f>H2350*G2350</f>
        <v>0</v>
      </c>
      <c r="M2350" s="1298">
        <f>I2350*G2350</f>
        <v>0</v>
      </c>
      <c r="N2350" s="1298">
        <f>J2350*G2350</f>
        <v>0</v>
      </c>
      <c r="O2350" s="1298">
        <f>K2350*G2350</f>
        <v>0</v>
      </c>
      <c r="P2350" s="1507"/>
      <c r="Q2350" s="1300"/>
      <c r="R2350" s="1300"/>
      <c r="S2350" s="1300"/>
    </row>
    <row r="2351" spans="1:19" s="1081" customFormat="1" hidden="1" outlineLevel="1">
      <c r="A2351" s="1072" t="str">
        <f>IF(G2351&lt;&gt;0,1,"")</f>
        <v/>
      </c>
      <c r="B2351" s="1421" t="s">
        <v>4610</v>
      </c>
      <c r="C2351" s="1302"/>
      <c r="D2351" s="1198"/>
      <c r="E2351" s="1243" t="str">
        <f>VLOOKUP($B2351,dongia1,DG!$C$5,)</f>
        <v>Chụp đầu cực TI, TU</v>
      </c>
      <c r="F2351" s="1198" t="str">
        <f>VLOOKUP($B2351,dongia1,DG!$D$5,)</f>
        <v>Cái</v>
      </c>
      <c r="G2351" s="1398"/>
      <c r="H2351" s="1298">
        <f>VLOOKUP($B2351,dongia1,DG!$F$5,)</f>
        <v>25000</v>
      </c>
      <c r="I2351" s="1298"/>
      <c r="J2351" s="1298">
        <f>VLOOKUP($B2351,dongia1,DG!$G$5,)</f>
        <v>0</v>
      </c>
      <c r="K2351" s="1298">
        <f>VLOOKUP($B2351,dongia1,DG!$H$5,)</f>
        <v>0</v>
      </c>
      <c r="L2351" s="1298">
        <f>H2351*G2351</f>
        <v>0</v>
      </c>
      <c r="M2351" s="1298">
        <f>I2351*G2351</f>
        <v>0</v>
      </c>
      <c r="N2351" s="1298">
        <f>J2351*G2351</f>
        <v>0</v>
      </c>
      <c r="O2351" s="1298">
        <f>K2351*G2351</f>
        <v>0</v>
      </c>
      <c r="P2351" s="1507"/>
      <c r="Q2351" s="1300"/>
      <c r="R2351" s="1300"/>
      <c r="S2351" s="1300"/>
    </row>
    <row r="2352" spans="1:19" s="1081" customFormat="1" hidden="1" outlineLevel="1">
      <c r="A2352" s="1072" t="str">
        <f t="shared" ref="A2352:A2358" si="580">IF(G2352&lt;&gt;0,1,"")</f>
        <v/>
      </c>
      <c r="B2352" s="1421" t="s">
        <v>2028</v>
      </c>
      <c r="C2352" s="1302"/>
      <c r="D2352" s="1198">
        <f>VLOOKUP($B2352,dongia1,DG!$B$5,)</f>
        <v>0</v>
      </c>
      <c r="E2352" s="1243" t="str">
        <f>VLOOKUP($B2352,dongia1,DG!$C$5,)</f>
        <v>Kẹp quai 2/0</v>
      </c>
      <c r="F2352" s="1198" t="str">
        <f>VLOOKUP($B2352,dongia1,DG!$D$5,)</f>
        <v>cái</v>
      </c>
      <c r="G2352" s="1398">
        <f>G2345*3</f>
        <v>0</v>
      </c>
      <c r="H2352" s="1298">
        <f>VLOOKUP($B2352,dongia1,DG!$F$5,)</f>
        <v>46000</v>
      </c>
      <c r="I2352" s="1298"/>
      <c r="J2352" s="1298">
        <f>VLOOKUP($B2352,dongia1,DG!$G$5,)</f>
        <v>0</v>
      </c>
      <c r="K2352" s="1298">
        <f>VLOOKUP($B2352,dongia1,DG!$H$5,)</f>
        <v>0</v>
      </c>
      <c r="L2352" s="1298">
        <f t="shared" si="577"/>
        <v>0</v>
      </c>
      <c r="M2352" s="1298">
        <f t="shared" ref="M2352:M2357" si="581">I2352*G2352</f>
        <v>0</v>
      </c>
      <c r="N2352" s="1298">
        <f t="shared" si="578"/>
        <v>0</v>
      </c>
      <c r="O2352" s="1298">
        <f t="shared" si="579"/>
        <v>0</v>
      </c>
      <c r="P2352" s="1499"/>
      <c r="Q2352" s="1300"/>
      <c r="R2352" s="1300"/>
      <c r="S2352" s="1300"/>
    </row>
    <row r="2353" spans="1:19" s="1081" customFormat="1" hidden="1" outlineLevel="1">
      <c r="A2353" s="1072" t="str">
        <f t="shared" si="580"/>
        <v/>
      </c>
      <c r="B2353" s="1421" t="s">
        <v>2026</v>
      </c>
      <c r="C2353" s="1302"/>
      <c r="D2353" s="1198">
        <f>VLOOKUP($B2353,dongia1,DG!$B$5,)</f>
        <v>0</v>
      </c>
      <c r="E2353" s="1243" t="str">
        <f>VLOOKUP($B2353,dongia1,DG!$C$5,)&amp;": "</f>
        <v xml:space="preserve">Kẹp hotline 2/0: </v>
      </c>
      <c r="F2353" s="1198" t="str">
        <f>VLOOKUP($B2353,dongia1,DG!$D$5,)</f>
        <v>cái</v>
      </c>
      <c r="G2353" s="1398">
        <f>G2352</f>
        <v>0</v>
      </c>
      <c r="H2353" s="1298">
        <f>VLOOKUP($B2353,dongia1,DG!$F$5,)</f>
        <v>77000</v>
      </c>
      <c r="I2353" s="1298"/>
      <c r="J2353" s="1298">
        <f>VLOOKUP($B2353,dongia1,DG!$G$5,)</f>
        <v>0</v>
      </c>
      <c r="K2353" s="1298">
        <f>VLOOKUP($B2353,dongia1,DG!$H$5,)</f>
        <v>0</v>
      </c>
      <c r="L2353" s="1298">
        <f t="shared" si="577"/>
        <v>0</v>
      </c>
      <c r="M2353" s="1298">
        <f t="shared" si="581"/>
        <v>0</v>
      </c>
      <c r="N2353" s="1298">
        <f t="shared" si="578"/>
        <v>0</v>
      </c>
      <c r="O2353" s="1298">
        <f t="shared" si="579"/>
        <v>0</v>
      </c>
      <c r="P2353" s="1499"/>
      <c r="Q2353" s="1300"/>
      <c r="R2353" s="1300"/>
      <c r="S2353" s="1300"/>
    </row>
    <row r="2354" spans="1:19" s="1081" customFormat="1" hidden="1" outlineLevel="1">
      <c r="A2354" s="1072" t="str">
        <f t="shared" si="580"/>
        <v/>
      </c>
      <c r="B2354" s="1068" t="s">
        <v>647</v>
      </c>
      <c r="C2354" s="1437"/>
      <c r="D2354" s="1198">
        <f>VLOOKUP($B2354,dongia1,DG!$B$5,)</f>
        <v>0</v>
      </c>
      <c r="E2354" s="1243" t="str">
        <f>VLOOKUP($B2354,dongia1,DG!$C$5,)</f>
        <v xml:space="preserve">Sứ đứng 24KV </v>
      </c>
      <c r="F2354" s="1198" t="str">
        <f>VLOOKUP($B2354,dongia1,DG!$D$5,)</f>
        <v>cái</v>
      </c>
      <c r="G2354" s="1398">
        <f>G2345*3</f>
        <v>0</v>
      </c>
      <c r="H2354" s="1298">
        <f>VLOOKUP($B2354,dongia1,DG!$F$5,)</f>
        <v>205000</v>
      </c>
      <c r="I2354" s="1298"/>
      <c r="J2354" s="1298">
        <f>VLOOKUP($B2354,dongia1,DG!$G$5,)</f>
        <v>0</v>
      </c>
      <c r="K2354" s="1298">
        <f>VLOOKUP($B2354,dongia1,DG!$H$5,)</f>
        <v>0</v>
      </c>
      <c r="L2354" s="1298">
        <f t="shared" si="577"/>
        <v>0</v>
      </c>
      <c r="M2354" s="1298">
        <f t="shared" si="581"/>
        <v>0</v>
      </c>
      <c r="N2354" s="1298">
        <f t="shared" si="578"/>
        <v>0</v>
      </c>
      <c r="O2354" s="1298">
        <f t="shared" si="579"/>
        <v>0</v>
      </c>
      <c r="P2354" s="1499"/>
      <c r="Q2354" s="1300"/>
      <c r="R2354" s="1300"/>
      <c r="S2354" s="1300"/>
    </row>
    <row r="2355" spans="1:19" s="1081" customFormat="1" hidden="1" outlineLevel="1">
      <c r="A2355" s="1072" t="str">
        <f t="shared" si="580"/>
        <v/>
      </c>
      <c r="B2355" s="1068" t="s">
        <v>414</v>
      </c>
      <c r="C2355" s="1302"/>
      <c r="D2355" s="1198">
        <f>VLOOKUP($B2355,dongia1,DG!$B$5,)</f>
        <v>0</v>
      </c>
      <c r="E2355" s="1243" t="str">
        <f>VLOOKUP($B2355,dongia1,DG!$C$5,)</f>
        <v>Chân sứ đứng D20</v>
      </c>
      <c r="F2355" s="1198" t="str">
        <f>VLOOKUP($B2355,dongia1,DG!$D$5,)</f>
        <v>cái</v>
      </c>
      <c r="G2355" s="1398">
        <f>G2354</f>
        <v>0</v>
      </c>
      <c r="H2355" s="1298">
        <f>VLOOKUP($B2355,dongia1,DG!$F$5,)</f>
        <v>65000</v>
      </c>
      <c r="I2355" s="1298"/>
      <c r="J2355" s="1298">
        <f>VLOOKUP($B2355,dongia1,DG!$G$5,)</f>
        <v>0</v>
      </c>
      <c r="K2355" s="1298">
        <f>VLOOKUP($B2355,dongia1,DG!$H$5,)</f>
        <v>0</v>
      </c>
      <c r="L2355" s="1298">
        <f t="shared" si="577"/>
        <v>0</v>
      </c>
      <c r="M2355" s="1298">
        <f t="shared" si="581"/>
        <v>0</v>
      </c>
      <c r="N2355" s="1298">
        <f t="shared" si="578"/>
        <v>0</v>
      </c>
      <c r="O2355" s="1298">
        <f t="shared" si="579"/>
        <v>0</v>
      </c>
      <c r="P2355" s="1499"/>
      <c r="Q2355" s="1300"/>
      <c r="R2355" s="1300"/>
      <c r="S2355" s="1300"/>
    </row>
    <row r="2356" spans="1:19" s="1081" customFormat="1" hidden="1" outlineLevel="1">
      <c r="A2356" s="1072" t="str">
        <f t="shared" si="580"/>
        <v/>
      </c>
      <c r="B2356" s="1068" t="s">
        <v>742</v>
      </c>
      <c r="C2356" s="1302"/>
      <c r="D2356" s="1198" t="str">
        <f>VLOOKUP($B2356,dongia1,DG!$B$5,)</f>
        <v>D3.1115</v>
      </c>
      <c r="E2356" s="1243" t="str">
        <f>VLOOKUP($B2356,dongia1,DG!$C$5,)</f>
        <v>Lắp sứ đứng 24KV</v>
      </c>
      <c r="F2356" s="1198" t="str">
        <f>VLOOKUP($B2356,dongia1,DG!$D$5,)</f>
        <v>bộ</v>
      </c>
      <c r="G2356" s="1398">
        <f>G2355</f>
        <v>0</v>
      </c>
      <c r="H2356" s="1298"/>
      <c r="I2356" s="1298"/>
      <c r="J2356" s="1298">
        <f>VLOOKUP($B2356,dongia1,DG!$G$5,)</f>
        <v>58277.49</v>
      </c>
      <c r="K2356" s="1298"/>
      <c r="L2356" s="1298">
        <f t="shared" si="577"/>
        <v>0</v>
      </c>
      <c r="M2356" s="1298">
        <f t="shared" si="581"/>
        <v>0</v>
      </c>
      <c r="N2356" s="1298">
        <f t="shared" si="578"/>
        <v>0</v>
      </c>
      <c r="O2356" s="1298">
        <f t="shared" si="579"/>
        <v>0</v>
      </c>
      <c r="P2356" s="1499"/>
      <c r="Q2356" s="1300"/>
      <c r="R2356" s="1300"/>
      <c r="S2356" s="1300"/>
    </row>
    <row r="2357" spans="1:19" s="1081" customFormat="1" hidden="1" outlineLevel="1">
      <c r="A2357" s="1072" t="str">
        <f t="shared" si="580"/>
        <v/>
      </c>
      <c r="B2357" s="1068" t="s">
        <v>224</v>
      </c>
      <c r="C2357" s="1302"/>
      <c r="D2357" s="1198" t="str">
        <f>VLOOKUP($B2357,dongia1,DG!$B$5,)</f>
        <v>T4.4201</v>
      </c>
      <c r="E2357" s="1243" t="str">
        <f>VLOOKUP($B2357,dongia1,DG!$C$5,)</f>
        <v>Lắp cáp đồng xuống thiết bị D ≤ 95mm2</v>
      </c>
      <c r="F2357" s="1198" t="str">
        <f>VLOOKUP($B2357,dongia1,DG!$D$5,)</f>
        <v>m</v>
      </c>
      <c r="G2357" s="1398">
        <f>G2347</f>
        <v>0</v>
      </c>
      <c r="H2357" s="1298"/>
      <c r="I2357" s="1298"/>
      <c r="J2357" s="1298">
        <f>VLOOKUP($B2357,dongia1,DG!$G$5,)</f>
        <v>13915</v>
      </c>
      <c r="K2357" s="1298"/>
      <c r="L2357" s="1298">
        <f t="shared" si="577"/>
        <v>0</v>
      </c>
      <c r="M2357" s="1298">
        <f t="shared" si="581"/>
        <v>0</v>
      </c>
      <c r="N2357" s="1298">
        <f t="shared" si="578"/>
        <v>0</v>
      </c>
      <c r="O2357" s="1298">
        <f t="shared" si="579"/>
        <v>0</v>
      </c>
      <c r="P2357" s="1499"/>
      <c r="Q2357" s="1300"/>
      <c r="R2357" s="1300"/>
      <c r="S2357" s="1300"/>
    </row>
    <row r="2358" spans="1:19" s="1081" customFormat="1" hidden="1" outlineLevel="1">
      <c r="A2358" s="1072" t="str">
        <f t="shared" si="580"/>
        <v/>
      </c>
      <c r="B2358" s="1295"/>
      <c r="C2358" s="1291">
        <f>IF(G2358&gt;0,C2345+1,C2345)</f>
        <v>0</v>
      </c>
      <c r="D2358" s="1292"/>
      <c r="E2358" s="1293" t="s">
        <v>3434</v>
      </c>
      <c r="F2358" s="1291" t="s">
        <v>2113</v>
      </c>
      <c r="G2358" s="1297">
        <f>G2277*0</f>
        <v>0</v>
      </c>
      <c r="H2358" s="1298"/>
      <c r="I2358" s="1298"/>
      <c r="J2358" s="1298"/>
      <c r="K2358" s="1298"/>
      <c r="L2358" s="1298"/>
      <c r="M2358" s="1298"/>
      <c r="N2358" s="1298"/>
      <c r="O2358" s="1298"/>
      <c r="P2358" s="1299"/>
      <c r="Q2358" s="1300"/>
      <c r="R2358" s="1300"/>
      <c r="S2358" s="1300"/>
    </row>
    <row r="2359" spans="1:19" s="1081" customFormat="1" ht="14.4" hidden="1" outlineLevel="1">
      <c r="A2359" s="1072" t="str">
        <f>A2358</f>
        <v/>
      </c>
      <c r="B2359" s="1295"/>
      <c r="C2359" s="1291"/>
      <c r="D2359" s="1292"/>
      <c r="E2359" s="1308" t="s">
        <v>3399</v>
      </c>
      <c r="F2359" s="1291"/>
      <c r="G2359" s="1297"/>
      <c r="H2359" s="1298"/>
      <c r="I2359" s="1298"/>
      <c r="J2359" s="1298"/>
      <c r="K2359" s="1298"/>
      <c r="L2359" s="1298"/>
      <c r="M2359" s="1298"/>
      <c r="N2359" s="1298"/>
      <c r="O2359" s="1298"/>
      <c r="P2359" s="1299"/>
      <c r="Q2359" s="1300"/>
      <c r="R2359" s="1300"/>
      <c r="S2359" s="1300"/>
    </row>
    <row r="2360" spans="1:19" s="1081" customFormat="1" hidden="1" outlineLevel="1">
      <c r="A2360" s="1072" t="str">
        <f>IF(G2360&lt;&gt;0,1,"")</f>
        <v/>
      </c>
      <c r="B2360" s="1295" t="s">
        <v>2039</v>
      </c>
      <c r="C2360" s="1302"/>
      <c r="D2360" s="1198">
        <f>VLOOKUP($B2360,dongia1,DG!$B$5,)</f>
        <v>0</v>
      </c>
      <c r="E2360" s="1243" t="str">
        <f>VLOOKUP($B2360,dongia1,DG!$C$5,)</f>
        <v xml:space="preserve">Ống PVC D90x3,8mm </v>
      </c>
      <c r="F2360" s="1198" t="str">
        <f>VLOOKUP($B2360,dongia1,DG!$D$5,)</f>
        <v>m</v>
      </c>
      <c r="G2360" s="1303">
        <f>G2358*2</f>
        <v>0</v>
      </c>
      <c r="H2360" s="1298">
        <f>VLOOKUP($B2360,dongia1,DG!$F$5,)</f>
        <v>63200</v>
      </c>
      <c r="I2360" s="1298"/>
      <c r="J2360" s="1298">
        <f>VLOOKUP($B2360,dongia1,DG!$G$5,)</f>
        <v>0</v>
      </c>
      <c r="K2360" s="1298">
        <f>VLOOKUP($B2360,dongia1,DG!$H$5,)</f>
        <v>0</v>
      </c>
      <c r="L2360" s="1298">
        <f>H2360*G2360</f>
        <v>0</v>
      </c>
      <c r="M2360" s="1298">
        <f>I2360*G2360</f>
        <v>0</v>
      </c>
      <c r="N2360" s="1298">
        <f>J2360*G2360</f>
        <v>0</v>
      </c>
      <c r="O2360" s="1298">
        <f>K2360*G2360</f>
        <v>0</v>
      </c>
      <c r="P2360" s="1299"/>
      <c r="Q2360" s="1300"/>
      <c r="R2360" s="1300"/>
      <c r="S2360" s="1300"/>
    </row>
    <row r="2361" spans="1:19" s="1081" customFormat="1" hidden="1" outlineLevel="1">
      <c r="A2361" s="1072" t="str">
        <f>IF(G2361&lt;&gt;0,1,"")</f>
        <v/>
      </c>
      <c r="B2361" s="1295" t="s">
        <v>561</v>
      </c>
      <c r="C2361" s="1302"/>
      <c r="D2361" s="1198">
        <f>VLOOKUP($B2361,dongia1,DG!$B$5,)</f>
        <v>0</v>
      </c>
      <c r="E2361" s="1243" t="str">
        <f>VLOOKUP($B2361,dongia1,DG!$C$5,)</f>
        <v>Co  90 độ PVC 90 (loại dày)</v>
      </c>
      <c r="F2361" s="1198" t="str">
        <f>VLOOKUP($B2361,dongia1,DG!$D$5,)</f>
        <v>cái</v>
      </c>
      <c r="G2361" s="1303">
        <f>G2358*2</f>
        <v>0</v>
      </c>
      <c r="H2361" s="1298">
        <f>VLOOKUP($B2361,dongia1,DG!$F$5,)</f>
        <v>45400</v>
      </c>
      <c r="I2361" s="1298"/>
      <c r="J2361" s="1298">
        <f>VLOOKUP($B2361,dongia1,DG!$G$5,)</f>
        <v>0</v>
      </c>
      <c r="K2361" s="1298">
        <f>VLOOKUP($B2361,dongia1,DG!$H$5,)</f>
        <v>0</v>
      </c>
      <c r="L2361" s="1298">
        <f>H2361*G2361</f>
        <v>0</v>
      </c>
      <c r="M2361" s="1298">
        <f>I2361*G2361</f>
        <v>0</v>
      </c>
      <c r="N2361" s="1298">
        <f>J2361*G2361</f>
        <v>0</v>
      </c>
      <c r="O2361" s="1298">
        <f>K2361*G2361</f>
        <v>0</v>
      </c>
      <c r="P2361" s="1299"/>
      <c r="Q2361" s="1300"/>
      <c r="R2361" s="1300"/>
      <c r="S2361" s="1300"/>
    </row>
    <row r="2362" spans="1:19" s="1081" customFormat="1" hidden="1" outlineLevel="1">
      <c r="A2362" s="1072" t="str">
        <f>IF(G2362&lt;&gt;0,1,"")</f>
        <v/>
      </c>
      <c r="B2362" s="1295" t="s">
        <v>705</v>
      </c>
      <c r="C2362" s="1302"/>
      <c r="D2362" s="1198">
        <f>VLOOKUP($B2362,dongia1,DG!$B$5,)</f>
        <v>0</v>
      </c>
      <c r="E2362" s="1243" t="str">
        <f>VLOOKUP($B2362,dongia1,DG!$C$5,)</f>
        <v>Khâu ven răng trong D90</v>
      </c>
      <c r="F2362" s="1198" t="str">
        <f>VLOOKUP($B2362,dongia1,DG!$D$5,)</f>
        <v>cái</v>
      </c>
      <c r="G2362" s="1303">
        <f>G2358*1*0</f>
        <v>0</v>
      </c>
      <c r="H2362" s="1298">
        <f>VLOOKUP($B2362,dongia1,DG!$F$5,)</f>
        <v>25800</v>
      </c>
      <c r="I2362" s="1298"/>
      <c r="J2362" s="1298">
        <f>VLOOKUP($B2362,dongia1,DG!$G$5,)</f>
        <v>0</v>
      </c>
      <c r="K2362" s="1298">
        <f>VLOOKUP($B2362,dongia1,DG!$H$5,)</f>
        <v>0</v>
      </c>
      <c r="L2362" s="1298">
        <f>H2362*G2362</f>
        <v>0</v>
      </c>
      <c r="M2362" s="1298">
        <f>I2362*G2362</f>
        <v>0</v>
      </c>
      <c r="N2362" s="1298">
        <f>J2362*G2362</f>
        <v>0</v>
      </c>
      <c r="O2362" s="1298">
        <f>K2362*G2362</f>
        <v>0</v>
      </c>
      <c r="P2362" s="1299"/>
      <c r="Q2362" s="1300"/>
      <c r="R2362" s="1300"/>
      <c r="S2362" s="1300"/>
    </row>
    <row r="2363" spans="1:19" s="1081" customFormat="1" hidden="1" outlineLevel="1">
      <c r="A2363" s="1072" t="str">
        <f>IF(G2363&lt;&gt;0,1,"")</f>
        <v/>
      </c>
      <c r="B2363" s="1295" t="s">
        <v>704</v>
      </c>
      <c r="C2363" s="1302"/>
      <c r="D2363" s="1198">
        <f>VLOOKUP($B2363,dongia1,DG!$B$5,)</f>
        <v>0</v>
      </c>
      <c r="E2363" s="1243" t="str">
        <f>VLOOKUP($B2363,dongia1,DG!$C$5,)</f>
        <v>Khâu ven răng ngoài D90</v>
      </c>
      <c r="F2363" s="1198" t="str">
        <f>VLOOKUP($B2363,dongia1,DG!$D$5,)</f>
        <v>cái</v>
      </c>
      <c r="G2363" s="1303">
        <f>G2362</f>
        <v>0</v>
      </c>
      <c r="H2363" s="1298">
        <f>VLOOKUP($B2363,dongia1,DG!$F$5,)</f>
        <v>21500</v>
      </c>
      <c r="I2363" s="1298"/>
      <c r="J2363" s="1298">
        <f>VLOOKUP($B2363,dongia1,DG!$G$5,)</f>
        <v>0</v>
      </c>
      <c r="K2363" s="1298">
        <f>VLOOKUP($B2363,dongia1,DG!$H$5,)</f>
        <v>0</v>
      </c>
      <c r="L2363" s="1298">
        <f>H2363*G2363</f>
        <v>0</v>
      </c>
      <c r="M2363" s="1298">
        <f>I2363*G2363</f>
        <v>0</v>
      </c>
      <c r="N2363" s="1298">
        <f>J2363*G2363</f>
        <v>0</v>
      </c>
      <c r="O2363" s="1298">
        <f>K2363*G2363</f>
        <v>0</v>
      </c>
      <c r="P2363" s="1299"/>
      <c r="Q2363" s="1300"/>
      <c r="R2363" s="1300"/>
      <c r="S2363" s="1300"/>
    </row>
    <row r="2364" spans="1:19" s="1081" customFormat="1" hidden="1" outlineLevel="1">
      <c r="A2364" s="1072" t="str">
        <f>IF(G2364&lt;&gt;0,1,"")</f>
        <v/>
      </c>
      <c r="B2364" s="1068"/>
      <c r="C2364" s="1291">
        <f>IF(G2364&gt;0,C2358+1,C2358)</f>
        <v>0</v>
      </c>
      <c r="D2364" s="1292"/>
      <c r="E2364" s="1293" t="s">
        <v>4571</v>
      </c>
      <c r="F2364" s="1291" t="s">
        <v>2113</v>
      </c>
      <c r="G2364" s="1398">
        <f>G2333</f>
        <v>0</v>
      </c>
      <c r="H2364" s="1298"/>
      <c r="I2364" s="1298"/>
      <c r="J2364" s="1298"/>
      <c r="K2364" s="1298"/>
      <c r="L2364" s="1298"/>
      <c r="M2364" s="1298"/>
      <c r="N2364" s="1298"/>
      <c r="O2364" s="1298"/>
      <c r="P2364" s="1499"/>
      <c r="Q2364" s="1300"/>
      <c r="R2364" s="1300"/>
      <c r="S2364" s="1300"/>
    </row>
    <row r="2365" spans="1:19" s="1081" customFormat="1" ht="14.4" hidden="1" outlineLevel="1">
      <c r="A2365" s="1072" t="str">
        <f>A2364</f>
        <v/>
      </c>
      <c r="B2365" s="1068"/>
      <c r="C2365" s="1291"/>
      <c r="D2365" s="1292"/>
      <c r="E2365" s="1308" t="s">
        <v>3399</v>
      </c>
      <c r="F2365" s="1291"/>
      <c r="G2365" s="1418"/>
      <c r="H2365" s="1298"/>
      <c r="I2365" s="1298"/>
      <c r="J2365" s="1298"/>
      <c r="K2365" s="1298"/>
      <c r="L2365" s="1298"/>
      <c r="M2365" s="1298"/>
      <c r="N2365" s="1298"/>
      <c r="O2365" s="1298"/>
      <c r="P2365" s="1499"/>
      <c r="Q2365" s="1300"/>
      <c r="R2365" s="1300"/>
      <c r="S2365" s="1300"/>
    </row>
    <row r="2366" spans="1:19" s="1081" customFormat="1" hidden="1" outlineLevel="1">
      <c r="A2366" s="1072" t="str">
        <f>IF(G2366&lt;&gt;0,1,"")</f>
        <v/>
      </c>
      <c r="B2366" s="1295" t="s">
        <v>188</v>
      </c>
      <c r="C2366" s="1302"/>
      <c r="D2366" s="1198">
        <f>VLOOKUP($B2366,dongia1,DG!$B$5,)</f>
        <v>0</v>
      </c>
      <c r="E2366" s="1243" t="str">
        <f>VLOOKUP($B2366,dongia1,DG!$C$5,)</f>
        <v>Cáp đồng bọc CV150</v>
      </c>
      <c r="F2366" s="1198" t="str">
        <f>VLOOKUP($B2366,dongia1,DG!$D$5,)</f>
        <v>mét</v>
      </c>
      <c r="G2366" s="1398">
        <f>G2364*7</f>
        <v>0</v>
      </c>
      <c r="H2366" s="1298">
        <f>VLOOKUP($B2366,dongia1,DG!$F$5,)</f>
        <v>194893</v>
      </c>
      <c r="I2366" s="1298"/>
      <c r="J2366" s="1298">
        <f>VLOOKUP($B2366,dongia1,DG!$G$5,)</f>
        <v>0</v>
      </c>
      <c r="K2366" s="1298">
        <f>VLOOKUP($B2366,dongia1,DG!$H$5,)</f>
        <v>0</v>
      </c>
      <c r="L2366" s="1298">
        <f t="shared" ref="L2366:L2371" si="582">H2366*G2366</f>
        <v>0</v>
      </c>
      <c r="M2366" s="1298">
        <f>I2366*G2366</f>
        <v>0</v>
      </c>
      <c r="N2366" s="1298">
        <f>J2366*G2366</f>
        <v>0</v>
      </c>
      <c r="O2366" s="1298">
        <f>K2366*G2366</f>
        <v>0</v>
      </c>
      <c r="P2366" s="1499"/>
      <c r="Q2366" s="1300"/>
      <c r="R2366" s="1300"/>
      <c r="S2366" s="1300"/>
    </row>
    <row r="2367" spans="1:19" s="1081" customFormat="1" hidden="1" outlineLevel="1">
      <c r="A2367" s="1072" t="str">
        <f t="shared" ref="A2367:A2384" si="583">IF(G2367&lt;&gt;0,1,"")</f>
        <v/>
      </c>
      <c r="B2367" s="1295" t="s">
        <v>3923</v>
      </c>
      <c r="C2367" s="1302"/>
      <c r="D2367" s="1198">
        <f>VLOOKUP($B2367,dongia1,DG!$B$5,)</f>
        <v>0</v>
      </c>
      <c r="E2367" s="1243" t="str">
        <f>VLOOKUP($B2367,dongia1,DG!$C$5,)</f>
        <v>Cáp đồng bọc CV300</v>
      </c>
      <c r="F2367" s="1198" t="str">
        <f>VLOOKUP($B2367,dongia1,DG!$D$5,)</f>
        <v>mét</v>
      </c>
      <c r="G2367" s="1398">
        <f>+G2364*(7*3)</f>
        <v>0</v>
      </c>
      <c r="H2367" s="1298">
        <f>VLOOKUP($B2367,dongia1,DG!$F$5,)</f>
        <v>684900</v>
      </c>
      <c r="I2367" s="1298"/>
      <c r="J2367" s="1298">
        <f>VLOOKUP($B2367,dongia1,DG!$G$5,)</f>
        <v>0</v>
      </c>
      <c r="K2367" s="1298">
        <f>VLOOKUP($B2367,dongia1,DG!$H$5,)</f>
        <v>0</v>
      </c>
      <c r="L2367" s="1298">
        <f t="shared" si="582"/>
        <v>0</v>
      </c>
      <c r="M2367" s="1298">
        <f t="shared" ref="M2367:M2383" si="584">I2367*G2367</f>
        <v>0</v>
      </c>
      <c r="N2367" s="1298">
        <f t="shared" ref="N2367:N2383" si="585">J2367*G2367</f>
        <v>0</v>
      </c>
      <c r="O2367" s="1298">
        <f t="shared" ref="O2367:O2383" si="586">K2367*G2367</f>
        <v>0</v>
      </c>
      <c r="P2367" s="1499"/>
      <c r="Q2367" s="1300"/>
      <c r="R2367" s="1300"/>
      <c r="S2367" s="1300"/>
    </row>
    <row r="2368" spans="1:19" s="1081" customFormat="1" hidden="1" outlineLevel="1">
      <c r="A2368" s="1072" t="str">
        <f>IF(G2368&lt;&gt;0,1,"")</f>
        <v/>
      </c>
      <c r="B2368" s="1295" t="s">
        <v>1869</v>
      </c>
      <c r="C2368" s="1302"/>
      <c r="D2368" s="1198" t="str">
        <f>VLOOKUP($B2368,dongia1,DG!$B$5,)</f>
        <v>D4.5006</v>
      </c>
      <c r="E2368" s="1243" t="str">
        <f>VLOOKUP($B2368,dongia1,DG!$C$5,)</f>
        <v>Đầu cosse ép Cu 150mm2</v>
      </c>
      <c r="F2368" s="1198" t="str">
        <f>VLOOKUP($B2368,dongia1,DG!$D$5,)</f>
        <v>cái</v>
      </c>
      <c r="G2368" s="1398">
        <f>G2364*2</f>
        <v>0</v>
      </c>
      <c r="H2368" s="1298">
        <f>VLOOKUP($B2368,dongia1,DG!$F$5,)</f>
        <v>36000</v>
      </c>
      <c r="I2368" s="1298"/>
      <c r="J2368" s="1298">
        <f>VLOOKUP($B2368,dongia1,DG!$G$5,)</f>
        <v>33342.43</v>
      </c>
      <c r="K2368" s="1298">
        <f>VLOOKUP($B2368,dongia1,DG!$H$5,)</f>
        <v>4443.237196</v>
      </c>
      <c r="L2368" s="1298">
        <f t="shared" si="582"/>
        <v>0</v>
      </c>
      <c r="M2368" s="1298">
        <f>I2368*G2368</f>
        <v>0</v>
      </c>
      <c r="N2368" s="1298">
        <f>J2368*G2368</f>
        <v>0</v>
      </c>
      <c r="O2368" s="1298">
        <f>K2368*G2368</f>
        <v>0</v>
      </c>
      <c r="P2368" s="1499"/>
      <c r="Q2368" s="1300"/>
      <c r="R2368" s="1300"/>
      <c r="S2368" s="1300"/>
    </row>
    <row r="2369" spans="1:19" s="1081" customFormat="1" hidden="1" outlineLevel="1">
      <c r="A2369" s="1072" t="str">
        <f>IF(G2369&lt;&gt;0,1,"")</f>
        <v/>
      </c>
      <c r="B2369" s="1295" t="s">
        <v>4583</v>
      </c>
      <c r="C2369" s="1302"/>
      <c r="D2369" s="1198" t="str">
        <f>VLOOKUP($B2369,dongia1,DG!$B$5,)</f>
        <v>D4.5009</v>
      </c>
      <c r="E2369" s="1243" t="str">
        <f>VLOOKUP($B2369,dongia1,DG!$C$5,)</f>
        <v>Đầu cosse ép Cu 300mm2</v>
      </c>
      <c r="F2369" s="1198" t="str">
        <f>VLOOKUP($B2369,dongia1,DG!$D$5,)</f>
        <v>cái</v>
      </c>
      <c r="G2369" s="1398">
        <f>G2364*8</f>
        <v>0</v>
      </c>
      <c r="H2369" s="1298">
        <f>VLOOKUP($B2369,dongia1,DG!$F$5,)</f>
        <v>108000</v>
      </c>
      <c r="I2369" s="1298"/>
      <c r="J2369" s="1298">
        <f>VLOOKUP($B2369,dongia1,DG!$G$5,)</f>
        <v>59410.148000000001</v>
      </c>
      <c r="K2369" s="1298">
        <f>VLOOKUP($B2369,dongia1,DG!$H$5,)</f>
        <v>7775.6650930000005</v>
      </c>
      <c r="L2369" s="1298">
        <f t="shared" si="582"/>
        <v>0</v>
      </c>
      <c r="M2369" s="1298">
        <f>I2369*G2369</f>
        <v>0</v>
      </c>
      <c r="N2369" s="1298">
        <f>J2369*G2369</f>
        <v>0</v>
      </c>
      <c r="O2369" s="1298">
        <f>K2369*G2369</f>
        <v>0</v>
      </c>
      <c r="P2369" s="1499"/>
      <c r="Q2369" s="1300"/>
      <c r="R2369" s="1300"/>
      <c r="S2369" s="1300"/>
    </row>
    <row r="2370" spans="1:19" s="1081" customFormat="1" hidden="1" outlineLevel="1">
      <c r="A2370" s="1072" t="str">
        <f>IF(G2370&lt;&gt;0,1,"")</f>
        <v/>
      </c>
      <c r="B2370" s="1295" t="s">
        <v>475</v>
      </c>
      <c r="C2370" s="1302"/>
      <c r="D2370" s="1198">
        <f>VLOOKUP($B2370,dongia1,DG!$B$5,)</f>
        <v>0</v>
      </c>
      <c r="E2370" s="1243" t="str">
        <f>VLOOKUP($B2370,dongia1,DG!$C$5,)</f>
        <v>Chụp đầu cosse  150mm2</v>
      </c>
      <c r="F2370" s="1198" t="str">
        <f>VLOOKUP($B2370,dongia1,DG!$D$5,)</f>
        <v>cái</v>
      </c>
      <c r="G2370" s="1398">
        <f>G2368</f>
        <v>0</v>
      </c>
      <c r="H2370" s="1298">
        <f>VLOOKUP($B2370,dongia1,DG!$F$5,)</f>
        <v>5000</v>
      </c>
      <c r="I2370" s="1298"/>
      <c r="J2370" s="1298">
        <f>VLOOKUP($B2370,dongia1,DG!$G$5,)</f>
        <v>0</v>
      </c>
      <c r="K2370" s="1298">
        <f>VLOOKUP($B2370,dongia1,DG!$H$5,)</f>
        <v>0</v>
      </c>
      <c r="L2370" s="1298">
        <f t="shared" si="582"/>
        <v>0</v>
      </c>
      <c r="M2370" s="1298">
        <f>I2370*G2370</f>
        <v>0</v>
      </c>
      <c r="N2370" s="1298">
        <f>J2370*G2370</f>
        <v>0</v>
      </c>
      <c r="O2370" s="1298">
        <f>K2370*G2370</f>
        <v>0</v>
      </c>
      <c r="P2370" s="1499"/>
      <c r="Q2370" s="1300"/>
      <c r="R2370" s="1300"/>
      <c r="S2370" s="1300"/>
    </row>
    <row r="2371" spans="1:19" s="1081" customFormat="1" hidden="1" outlineLevel="1">
      <c r="A2371" s="1072" t="str">
        <f>IF(G2371&lt;&gt;0,1,"")</f>
        <v/>
      </c>
      <c r="B2371" s="1295" t="s">
        <v>726</v>
      </c>
      <c r="C2371" s="1302"/>
      <c r="D2371" s="1198">
        <f>VLOOKUP($B2371,dongia1,DG!$B$5,)</f>
        <v>0</v>
      </c>
      <c r="E2371" s="1243" t="str">
        <f>VLOOKUP($B2371,dongia1,DG!$C$5,)</f>
        <v>Chụp đầu cosse  300mm2</v>
      </c>
      <c r="F2371" s="1198" t="str">
        <f>VLOOKUP($B2371,dongia1,DG!$D$5,)</f>
        <v>cái</v>
      </c>
      <c r="G2371" s="1398">
        <f>G2369</f>
        <v>0</v>
      </c>
      <c r="H2371" s="1298">
        <f>VLOOKUP($B2371,dongia1,DG!$F$5,)</f>
        <v>8000</v>
      </c>
      <c r="I2371" s="1298"/>
      <c r="J2371" s="1298">
        <f>VLOOKUP($B2371,dongia1,DG!$G$5,)</f>
        <v>0</v>
      </c>
      <c r="K2371" s="1298">
        <f>VLOOKUP($B2371,dongia1,DG!$H$5,)</f>
        <v>0</v>
      </c>
      <c r="L2371" s="1298">
        <f t="shared" si="582"/>
        <v>0</v>
      </c>
      <c r="M2371" s="1298">
        <f>I2371*G2371</f>
        <v>0</v>
      </c>
      <c r="N2371" s="1298">
        <f>J2371*G2371</f>
        <v>0</v>
      </c>
      <c r="O2371" s="1298">
        <f>K2371*G2371</f>
        <v>0</v>
      </c>
      <c r="P2371" s="1499"/>
      <c r="Q2371" s="1300"/>
      <c r="R2371" s="1300"/>
      <c r="S2371" s="1300"/>
    </row>
    <row r="2372" spans="1:19" s="1081" customFormat="1" hidden="1" outlineLevel="1">
      <c r="A2372" s="1072">
        <f>IF(G2372=0,0,1)</f>
        <v>0</v>
      </c>
      <c r="B2372" s="1295" t="s">
        <v>865</v>
      </c>
      <c r="C2372" s="1437"/>
      <c r="D2372" s="1198" t="str">
        <f>VLOOKUP($B2372,dongia1,DG!$B$5,)</f>
        <v>03.1401</v>
      </c>
      <c r="E2372" s="1243" t="str">
        <f>VLOOKUP($B2372,dongia1,DG!$C$5,)</f>
        <v xml:space="preserve">Cáp CVV 4x2,5mm2  </v>
      </c>
      <c r="F2372" s="1555" t="str">
        <f>VLOOKUP($B2372,dongia1,DG!$D$5,)</f>
        <v>mét</v>
      </c>
      <c r="G2372" s="1398">
        <f>G2364*10/2</f>
        <v>0</v>
      </c>
      <c r="H2372" s="1467">
        <f>VLOOKUP($B2372,dongia1,DG!$F$5,)</f>
        <v>28200</v>
      </c>
      <c r="I2372" s="1298"/>
      <c r="J2372" s="1467">
        <f>VLOOKUP($B2372,dongia1,DG!$G$5,)</f>
        <v>0</v>
      </c>
      <c r="K2372" s="1467">
        <f>VLOOKUP($B2372,dongia1,DG!$H$5,)</f>
        <v>0</v>
      </c>
      <c r="L2372" s="1467">
        <f t="shared" ref="L2372:O2373" si="587">H2372*$G2372</f>
        <v>0</v>
      </c>
      <c r="M2372" s="1298">
        <f t="shared" si="587"/>
        <v>0</v>
      </c>
      <c r="N2372" s="1467">
        <f t="shared" si="587"/>
        <v>0</v>
      </c>
      <c r="O2372" s="1467">
        <f t="shared" si="587"/>
        <v>0</v>
      </c>
      <c r="P2372" s="1499"/>
      <c r="Q2372" s="1300"/>
      <c r="R2372" s="1300"/>
      <c r="S2372" s="1300"/>
    </row>
    <row r="2373" spans="1:19" s="1081" customFormat="1" hidden="1" outlineLevel="1">
      <c r="A2373" s="1072">
        <f>IF(G2373=0,0,1)</f>
        <v>0</v>
      </c>
      <c r="B2373" s="1295" t="s">
        <v>4591</v>
      </c>
      <c r="C2373" s="1437"/>
      <c r="D2373" s="1198">
        <f>VLOOKUP($B2373,dongia1,DG!$B$5,)</f>
        <v>0</v>
      </c>
      <c r="E2373" s="1243" t="str">
        <f>VLOOKUP($B2373,dongia1,DG!$C$5,)</f>
        <v xml:space="preserve">Đầu cosse ép Cu 2,5mm2 + bao PVC </v>
      </c>
      <c r="F2373" s="1555" t="str">
        <f>VLOOKUP($B2373,dongia1,DG!$D$5,)</f>
        <v>cái</v>
      </c>
      <c r="G2373" s="1398">
        <f>G2364*8/2</f>
        <v>0</v>
      </c>
      <c r="H2373" s="1467">
        <f>VLOOKUP($B2373,dongia1,DG!$F$5,)</f>
        <v>1700</v>
      </c>
      <c r="I2373" s="1298"/>
      <c r="J2373" s="1467">
        <f>VLOOKUP($B2373,dongia1,DG!$G$5,)</f>
        <v>0</v>
      </c>
      <c r="K2373" s="1467">
        <f>VLOOKUP($B2373,dongia1,DG!$H$5,)</f>
        <v>0</v>
      </c>
      <c r="L2373" s="1467">
        <f t="shared" si="587"/>
        <v>0</v>
      </c>
      <c r="M2373" s="1298">
        <f t="shared" si="587"/>
        <v>0</v>
      </c>
      <c r="N2373" s="1467">
        <f t="shared" si="587"/>
        <v>0</v>
      </c>
      <c r="O2373" s="1467">
        <f t="shared" si="587"/>
        <v>0</v>
      </c>
      <c r="P2373" s="1499"/>
      <c r="Q2373" s="1300"/>
      <c r="R2373" s="1300"/>
      <c r="S2373" s="1300"/>
    </row>
    <row r="2374" spans="1:19" s="1081" customFormat="1" hidden="1" outlineLevel="1">
      <c r="A2374" s="1072" t="str">
        <f t="shared" si="583"/>
        <v/>
      </c>
      <c r="B2374" s="1295" t="s">
        <v>961</v>
      </c>
      <c r="C2374" s="1302"/>
      <c r="D2374" s="1198">
        <f>VLOOKUP($B2374,dongia1,DG!$B$5,)</f>
        <v>0</v>
      </c>
      <c r="E2374" s="1243" t="str">
        <f>VLOOKUP($B2374,dongia1,DG!$C$5,)</f>
        <v xml:space="preserve">Ống PVC D114x4,9mm </v>
      </c>
      <c r="F2374" s="1198" t="str">
        <f>VLOOKUP($B2374,dongia1,DG!$D$5,)</f>
        <v>m</v>
      </c>
      <c r="G2374" s="1398">
        <f>+G2364*4</f>
        <v>0</v>
      </c>
      <c r="H2374" s="1298">
        <f>VLOOKUP($B2374,dongia1,DG!$F$5,)</f>
        <v>103700</v>
      </c>
      <c r="I2374" s="1298"/>
      <c r="J2374" s="1298">
        <f>VLOOKUP($B2374,dongia1,DG!$G$5,)</f>
        <v>0</v>
      </c>
      <c r="K2374" s="1298">
        <f>VLOOKUP($B2374,dongia1,DG!$H$5,)</f>
        <v>0</v>
      </c>
      <c r="L2374" s="1298">
        <f t="shared" ref="L2374:L2383" si="588">H2374*G2374</f>
        <v>0</v>
      </c>
      <c r="M2374" s="1298">
        <f t="shared" si="584"/>
        <v>0</v>
      </c>
      <c r="N2374" s="1298">
        <f t="shared" si="585"/>
        <v>0</v>
      </c>
      <c r="O2374" s="1298">
        <f t="shared" si="586"/>
        <v>0</v>
      </c>
      <c r="P2374" s="1499"/>
      <c r="Q2374" s="1300"/>
      <c r="R2374" s="1300"/>
      <c r="S2374" s="1300"/>
    </row>
    <row r="2375" spans="1:19" s="1081" customFormat="1" hidden="1" outlineLevel="1">
      <c r="A2375" s="1072" t="str">
        <f t="shared" si="583"/>
        <v/>
      </c>
      <c r="B2375" s="1295" t="s">
        <v>738</v>
      </c>
      <c r="C2375" s="1302"/>
      <c r="D2375" s="1198">
        <f>VLOOKUP($B2375,dongia1,DG!$B$5,)</f>
        <v>0</v>
      </c>
      <c r="E2375" s="1243" t="str">
        <f>VLOOKUP($B2375,dongia1,DG!$C$5,)</f>
        <v>Co  sừng 90 độ PVC 114</v>
      </c>
      <c r="F2375" s="1198" t="str">
        <f>VLOOKUP($B2375,dongia1,DG!$D$5,)</f>
        <v>cái</v>
      </c>
      <c r="G2375" s="1398"/>
      <c r="H2375" s="1298">
        <f>VLOOKUP($B2375,dongia1,DG!$F$5,)</f>
        <v>104800</v>
      </c>
      <c r="I2375" s="1298"/>
      <c r="J2375" s="1298">
        <f>VLOOKUP($B2375,dongia1,DG!$G$5,)</f>
        <v>0</v>
      </c>
      <c r="K2375" s="1298">
        <f>VLOOKUP($B2375,dongia1,DG!$H$5,)</f>
        <v>0</v>
      </c>
      <c r="L2375" s="1298">
        <f t="shared" si="588"/>
        <v>0</v>
      </c>
      <c r="M2375" s="1298">
        <f t="shared" si="584"/>
        <v>0</v>
      </c>
      <c r="N2375" s="1298">
        <f t="shared" si="585"/>
        <v>0</v>
      </c>
      <c r="O2375" s="1298">
        <f t="shared" si="586"/>
        <v>0</v>
      </c>
      <c r="P2375" s="1499"/>
      <c r="Q2375" s="1300"/>
      <c r="R2375" s="1300"/>
      <c r="S2375" s="1300"/>
    </row>
    <row r="2376" spans="1:19" s="1081" customFormat="1" hidden="1" outlineLevel="1">
      <c r="A2376" s="1072" t="str">
        <f t="shared" si="583"/>
        <v/>
      </c>
      <c r="B2376" s="1295" t="s">
        <v>4620</v>
      </c>
      <c r="C2376" s="1302"/>
      <c r="D2376" s="1198">
        <f>VLOOKUP($B2376,dongia1,DG!$B$5,)</f>
        <v>0</v>
      </c>
      <c r="E2376" s="1243" t="str">
        <f>VLOOKUP($B2376,dongia1,DG!$C$5,)</f>
        <v>Co  90 độ PVC 114</v>
      </c>
      <c r="F2376" s="1198" t="str">
        <f>VLOOKUP($B2376,dongia1,DG!$D$5,)</f>
        <v>cái</v>
      </c>
      <c r="G2376" s="1398"/>
      <c r="H2376" s="1298">
        <f>VLOOKUP($B2376,dongia1,DG!$F$5,)</f>
        <v>104800</v>
      </c>
      <c r="I2376" s="1298"/>
      <c r="J2376" s="1298">
        <f>VLOOKUP($B2376,dongia1,DG!$G$5,)</f>
        <v>0</v>
      </c>
      <c r="K2376" s="1298">
        <f>VLOOKUP($B2376,dongia1,DG!$H$5,)</f>
        <v>0</v>
      </c>
      <c r="L2376" s="1298">
        <f t="shared" si="588"/>
        <v>0</v>
      </c>
      <c r="M2376" s="1298">
        <f t="shared" si="584"/>
        <v>0</v>
      </c>
      <c r="N2376" s="1298">
        <f t="shared" si="585"/>
        <v>0</v>
      </c>
      <c r="O2376" s="1298">
        <f t="shared" si="586"/>
        <v>0</v>
      </c>
      <c r="P2376" s="1499"/>
      <c r="Q2376" s="1300"/>
      <c r="R2376" s="1300"/>
      <c r="S2376" s="1300"/>
    </row>
    <row r="2377" spans="1:19" s="1081" customFormat="1" hidden="1" outlineLevel="1">
      <c r="A2377" s="1072" t="str">
        <f t="shared" si="583"/>
        <v/>
      </c>
      <c r="B2377" s="1068" t="s">
        <v>4621</v>
      </c>
      <c r="C2377" s="1302"/>
      <c r="D2377" s="1198">
        <f>VLOOKUP($B2377,dongia1,DG!$B$5,)</f>
        <v>0</v>
      </c>
      <c r="E2377" s="1243" t="str">
        <f>VLOOKUP($B2377,dongia1,DG!$C$5,)</f>
        <v>Cổ dê kẹp ống PVC Þ 114</v>
      </c>
      <c r="F2377" s="1198" t="str">
        <f>VLOOKUP($B2377,dongia1,DG!$D$5,)</f>
        <v>bộ</v>
      </c>
      <c r="G2377" s="1398">
        <f>G2364*2</f>
        <v>0</v>
      </c>
      <c r="H2377" s="1298">
        <f>VLOOKUP($B2377,dongia1,DG!$F$5,)</f>
        <v>50000</v>
      </c>
      <c r="I2377" s="1298"/>
      <c r="J2377" s="1298">
        <f>VLOOKUP($B2377,dongia1,DG!$G$5,)</f>
        <v>0</v>
      </c>
      <c r="K2377" s="1298">
        <f>VLOOKUP($B2377,dongia1,DG!$H$5,)</f>
        <v>0</v>
      </c>
      <c r="L2377" s="1298">
        <f t="shared" si="588"/>
        <v>0</v>
      </c>
      <c r="M2377" s="1298">
        <f t="shared" si="584"/>
        <v>0</v>
      </c>
      <c r="N2377" s="1298">
        <f t="shared" si="585"/>
        <v>0</v>
      </c>
      <c r="O2377" s="1298">
        <f t="shared" si="586"/>
        <v>0</v>
      </c>
      <c r="P2377" s="1499"/>
      <c r="Q2377" s="1474"/>
      <c r="R2377" s="1300"/>
      <c r="S2377" s="1300"/>
    </row>
    <row r="2378" spans="1:19" s="1081" customFormat="1" hidden="1" outlineLevel="1">
      <c r="A2378" s="1072" t="str">
        <f t="shared" si="583"/>
        <v/>
      </c>
      <c r="B2378" s="1295" t="s">
        <v>693</v>
      </c>
      <c r="C2378" s="1302"/>
      <c r="D2378" s="1198">
        <f>VLOOKUP($B2378,dongia1,DG!$B$5,)</f>
        <v>0</v>
      </c>
      <c r="E2378" s="1243" t="str">
        <f>VLOOKUP($B2378,dongia1,DG!$C$5,)</f>
        <v>Khâu ven răng trong D114</v>
      </c>
      <c r="F2378" s="1198" t="str">
        <f>VLOOKUP($B2378,dongia1,DG!$D$5,)</f>
        <v>cái</v>
      </c>
      <c r="G2378" s="1398">
        <f>G2364</f>
        <v>0</v>
      </c>
      <c r="H2378" s="1298">
        <f>VLOOKUP($B2378,dongia1,DG!$F$5,)</f>
        <v>41900</v>
      </c>
      <c r="I2378" s="1298"/>
      <c r="J2378" s="1298">
        <f>VLOOKUP($B2378,dongia1,DG!$G$5,)</f>
        <v>0</v>
      </c>
      <c r="K2378" s="1298">
        <f>VLOOKUP($B2378,dongia1,DG!$H$5,)</f>
        <v>0</v>
      </c>
      <c r="L2378" s="1298">
        <f t="shared" si="588"/>
        <v>0</v>
      </c>
      <c r="M2378" s="1298">
        <f t="shared" si="584"/>
        <v>0</v>
      </c>
      <c r="N2378" s="1298">
        <f t="shared" si="585"/>
        <v>0</v>
      </c>
      <c r="O2378" s="1298">
        <f t="shared" si="586"/>
        <v>0</v>
      </c>
      <c r="P2378" s="1499"/>
      <c r="Q2378" s="1300"/>
      <c r="R2378" s="1300"/>
      <c r="S2378" s="1300"/>
    </row>
    <row r="2379" spans="1:19" s="1081" customFormat="1" hidden="1" outlineLevel="1">
      <c r="A2379" s="1072" t="str">
        <f t="shared" si="583"/>
        <v/>
      </c>
      <c r="B2379" s="1295" t="s">
        <v>694</v>
      </c>
      <c r="C2379" s="1302"/>
      <c r="D2379" s="1198">
        <f>VLOOKUP($B2379,dongia1,DG!$B$5,)</f>
        <v>0</v>
      </c>
      <c r="E2379" s="1243" t="str">
        <f>VLOOKUP($B2379,dongia1,DG!$C$5,)</f>
        <v>Khâu ven răng ngoài D114</v>
      </c>
      <c r="F2379" s="1198" t="str">
        <f>VLOOKUP($B2379,dongia1,DG!$D$5,)</f>
        <v>cái</v>
      </c>
      <c r="G2379" s="1398">
        <f>G2378</f>
        <v>0</v>
      </c>
      <c r="H2379" s="1298">
        <f>VLOOKUP($B2379,dongia1,DG!$F$5,)</f>
        <v>41900</v>
      </c>
      <c r="I2379" s="1298"/>
      <c r="J2379" s="1298">
        <f>VLOOKUP($B2379,dongia1,DG!$G$5,)</f>
        <v>0</v>
      </c>
      <c r="K2379" s="1298">
        <f>VLOOKUP($B2379,dongia1,DG!$H$5,)</f>
        <v>0</v>
      </c>
      <c r="L2379" s="1298">
        <f t="shared" si="588"/>
        <v>0</v>
      </c>
      <c r="M2379" s="1298">
        <f t="shared" si="584"/>
        <v>0</v>
      </c>
      <c r="N2379" s="1298">
        <f t="shared" si="585"/>
        <v>0</v>
      </c>
      <c r="O2379" s="1298">
        <f t="shared" si="586"/>
        <v>0</v>
      </c>
      <c r="P2379" s="1499"/>
      <c r="Q2379" s="1300"/>
      <c r="R2379" s="1300"/>
      <c r="S2379" s="1300"/>
    </row>
    <row r="2380" spans="1:19" s="1081" customFormat="1" hidden="1" outlineLevel="1">
      <c r="A2380" s="1072" t="str">
        <f>IF(G2380&lt;&gt;0,1,"")</f>
        <v/>
      </c>
      <c r="B2380" s="1066" t="s">
        <v>1283</v>
      </c>
      <c r="C2380" s="1302"/>
      <c r="D2380" s="1198">
        <f>VLOOKUP($B2380,dongia1,DG!$B$5,)</f>
        <v>0</v>
      </c>
      <c r="E2380" s="1243" t="str">
        <f>VLOOKUP($B2380,dongia1,DG!$C$5,)</f>
        <v>Ống đàn hồi 114 (Ruột gà)</v>
      </c>
      <c r="F2380" s="1198" t="str">
        <f>VLOOKUP($B2380,dongia1,DG!$D$5,)</f>
        <v>m</v>
      </c>
      <c r="G2380" s="1418">
        <f>G2364*1.2</f>
        <v>0</v>
      </c>
      <c r="H2380" s="1298">
        <f>VLOOKUP($B2380,dongia1,DG!$F$5,)</f>
        <v>58700</v>
      </c>
      <c r="I2380" s="1298"/>
      <c r="J2380" s="1298">
        <f>VLOOKUP($B2380,dongia1,DG!$G$5,)</f>
        <v>0</v>
      </c>
      <c r="K2380" s="1298">
        <f>VLOOKUP($B2380,dongia1,DG!$H$5,)</f>
        <v>0</v>
      </c>
      <c r="L2380" s="1298">
        <f>H2380*G2380</f>
        <v>0</v>
      </c>
      <c r="M2380" s="1298">
        <f>I2380*G2380</f>
        <v>0</v>
      </c>
      <c r="N2380" s="1298">
        <f>J2380*G2380</f>
        <v>0</v>
      </c>
      <c r="O2380" s="1298">
        <f>K2380*G2380</f>
        <v>0</v>
      </c>
      <c r="P2380" s="1499"/>
      <c r="Q2380" s="1300"/>
      <c r="R2380" s="1300"/>
      <c r="S2380" s="1300"/>
    </row>
    <row r="2381" spans="1:19" s="1081" customFormat="1" hidden="1" outlineLevel="1">
      <c r="A2381" s="1072" t="str">
        <f t="shared" si="583"/>
        <v/>
      </c>
      <c r="B2381" s="1295" t="s">
        <v>887</v>
      </c>
      <c r="C2381" s="1302"/>
      <c r="D2381" s="1198">
        <f>VLOOKUP($B2381,dongia1,DG!$B$5,)</f>
        <v>0</v>
      </c>
      <c r="E2381" s="1243" t="str">
        <f>VLOOKUP($B2381,dongia1,DG!$C$5,)</f>
        <v>Keo dán ống PVC (100gr)</v>
      </c>
      <c r="F2381" s="1198" t="str">
        <f>VLOOKUP($B2381,dongia1,DG!$D$5,)</f>
        <v>tuýp</v>
      </c>
      <c r="G2381" s="1398">
        <f>G2364</f>
        <v>0</v>
      </c>
      <c r="H2381" s="1298">
        <f>VLOOKUP($B2381,dongia1,DG!$F$5,)</f>
        <v>11500</v>
      </c>
      <c r="I2381" s="1298"/>
      <c r="J2381" s="1298">
        <f>VLOOKUP($B2381,dongia1,DG!$G$5,)</f>
        <v>0</v>
      </c>
      <c r="K2381" s="1298">
        <f>VLOOKUP($B2381,dongia1,DG!$H$5,)</f>
        <v>0</v>
      </c>
      <c r="L2381" s="1298">
        <f t="shared" si="588"/>
        <v>0</v>
      </c>
      <c r="M2381" s="1298">
        <f t="shared" si="584"/>
        <v>0</v>
      </c>
      <c r="N2381" s="1298">
        <f t="shared" si="585"/>
        <v>0</v>
      </c>
      <c r="O2381" s="1298">
        <f t="shared" si="586"/>
        <v>0</v>
      </c>
      <c r="P2381" s="1499"/>
      <c r="Q2381" s="1300"/>
      <c r="R2381" s="1300"/>
      <c r="S2381" s="1300"/>
    </row>
    <row r="2382" spans="1:19" s="1081" customFormat="1" hidden="1" outlineLevel="1">
      <c r="A2382" s="1072" t="str">
        <f t="shared" si="583"/>
        <v/>
      </c>
      <c r="B2382" s="1068" t="s">
        <v>1690</v>
      </c>
      <c r="C2382" s="1302"/>
      <c r="D2382" s="1198"/>
      <c r="E2382" s="1243" t="str">
        <f>VLOOKUP($B2382,dongia1,DG!$C$5,)</f>
        <v>Keo silicon bít miệng ống</v>
      </c>
      <c r="F2382" s="1198" t="str">
        <f>VLOOKUP($B2382,dongia1,DG!$D$5,)</f>
        <v>chai</v>
      </c>
      <c r="G2382" s="1398">
        <f>G2364</f>
        <v>0</v>
      </c>
      <c r="H2382" s="1298">
        <f>VLOOKUP($B2382,dongia1,DG!$F$5,)</f>
        <v>45000</v>
      </c>
      <c r="I2382" s="1298"/>
      <c r="J2382" s="1298"/>
      <c r="K2382" s="1298"/>
      <c r="L2382" s="1298">
        <f t="shared" si="588"/>
        <v>0</v>
      </c>
      <c r="M2382" s="1298">
        <f t="shared" si="584"/>
        <v>0</v>
      </c>
      <c r="N2382" s="1298">
        <f t="shared" si="585"/>
        <v>0</v>
      </c>
      <c r="O2382" s="1298">
        <f t="shared" si="586"/>
        <v>0</v>
      </c>
      <c r="P2382" s="1507"/>
      <c r="Q2382" s="1300"/>
      <c r="R2382" s="1300"/>
      <c r="S2382" s="1300"/>
    </row>
    <row r="2383" spans="1:19" s="1081" customFormat="1" hidden="1" outlineLevel="1">
      <c r="A2383" s="1072" t="str">
        <f t="shared" si="583"/>
        <v/>
      </c>
      <c r="B2383" s="1068" t="s">
        <v>236</v>
      </c>
      <c r="C2383" s="1302"/>
      <c r="D2383" s="1198">
        <f>VLOOKUP($B2383,dongia1,DG!$B$5,)</f>
        <v>0</v>
      </c>
      <c r="E2383" s="1243" t="str">
        <f>VLOOKUP($B2383,dongia1,DG!$C$5,)</f>
        <v>Băng keo cách điện hạ thế</v>
      </c>
      <c r="F2383" s="1198" t="str">
        <f>VLOOKUP($B2383,dongia1,DG!$D$5,)</f>
        <v>cuộn</v>
      </c>
      <c r="G2383" s="1398">
        <f>G2364*2</f>
        <v>0</v>
      </c>
      <c r="H2383" s="1298">
        <f>VLOOKUP($B2383,dongia1,DG!$F$5,)</f>
        <v>6500</v>
      </c>
      <c r="I2383" s="1298"/>
      <c r="J2383" s="1298">
        <f>VLOOKUP($B2383,dongia1,DG!$G$5,)</f>
        <v>0</v>
      </c>
      <c r="K2383" s="1298">
        <f>VLOOKUP($B2383,dongia1,DG!$H$5,)</f>
        <v>0</v>
      </c>
      <c r="L2383" s="1298">
        <f t="shared" si="588"/>
        <v>0</v>
      </c>
      <c r="M2383" s="1298">
        <f t="shared" si="584"/>
        <v>0</v>
      </c>
      <c r="N2383" s="1298">
        <f t="shared" si="585"/>
        <v>0</v>
      </c>
      <c r="O2383" s="1298">
        <f t="shared" si="586"/>
        <v>0</v>
      </c>
      <c r="P2383" s="1499"/>
      <c r="Q2383" s="1300"/>
      <c r="R2383" s="1300"/>
      <c r="S2383" s="1300"/>
    </row>
    <row r="2384" spans="1:19" s="1081" customFormat="1" hidden="1" outlineLevel="1">
      <c r="A2384" s="1072" t="str">
        <f t="shared" si="583"/>
        <v/>
      </c>
      <c r="B2384" s="1068" t="s">
        <v>379</v>
      </c>
      <c r="C2384" s="1302"/>
      <c r="D2384" s="1198" t="str">
        <f>VLOOKUP($B2384,dongia1,DG!$B$5,)</f>
        <v>T4.4203</v>
      </c>
      <c r="E2384" s="1243" t="str">
        <f>VLOOKUP($B2384,dongia1,DG!$C$5,)</f>
        <v>Lắp cáp đồng xuống thiết bị D ≤ 240mm2</v>
      </c>
      <c r="F2384" s="1198" t="str">
        <f>VLOOKUP($B2384,dongia1,DG!$D$5,)</f>
        <v>m</v>
      </c>
      <c r="G2384" s="1398">
        <f>G2367</f>
        <v>0</v>
      </c>
      <c r="H2384" s="1298">
        <f>VLOOKUP($B2384,dongia1,DG!$F$5,)</f>
        <v>0</v>
      </c>
      <c r="I2384" s="1298"/>
      <c r="J2384" s="1298">
        <f>VLOOKUP($B2384,dongia1,DG!$G$5,)</f>
        <v>47311</v>
      </c>
      <c r="K2384" s="1298">
        <f>VLOOKUP($B2384,dongia1,DG!$H$5,)</f>
        <v>0</v>
      </c>
      <c r="L2384" s="1298">
        <f>H2384*G2384</f>
        <v>0</v>
      </c>
      <c r="M2384" s="1298">
        <f>I2384*G2384</f>
        <v>0</v>
      </c>
      <c r="N2384" s="1298">
        <f>J2384*G2384</f>
        <v>0</v>
      </c>
      <c r="O2384" s="1298">
        <f>K2384*G2384</f>
        <v>0</v>
      </c>
      <c r="P2384" s="1499"/>
      <c r="Q2384" s="1300"/>
      <c r="R2384" s="1300"/>
      <c r="S2384" s="1300"/>
    </row>
    <row r="2385" spans="1:19" s="1081" customFormat="1" hidden="1" outlineLevel="1">
      <c r="A2385" s="1072"/>
      <c r="B2385" s="1421"/>
      <c r="C2385" s="1475"/>
      <c r="D2385" s="1476"/>
      <c r="E2385" s="1477"/>
      <c r="F2385" s="1478"/>
      <c r="G2385" s="1479"/>
      <c r="H2385" s="1478"/>
      <c r="I2385" s="1478"/>
      <c r="J2385" s="2469" t="s">
        <v>3388</v>
      </c>
      <c r="K2385" s="2469"/>
      <c r="L2385" s="1480">
        <f>SUM(L2260:L2384)</f>
        <v>0</v>
      </c>
      <c r="M2385" s="1480">
        <f>SUM(M2260:M2384)</f>
        <v>0</v>
      </c>
      <c r="N2385" s="1480">
        <f>SUM(N2260:N2384)</f>
        <v>0</v>
      </c>
      <c r="O2385" s="1480">
        <f>SUM(O2260:O2384)</f>
        <v>0</v>
      </c>
      <c r="P2385" s="1504"/>
      <c r="Q2385" s="1300"/>
      <c r="R2385" s="1300"/>
      <c r="S2385" s="1300"/>
    </row>
    <row r="2386" spans="1:19" s="1081" customFormat="1" ht="9.75" hidden="1" customHeight="1">
      <c r="A2386" s="1431">
        <f>IF(G2391&gt;0,1,)</f>
        <v>0</v>
      </c>
      <c r="B2386" s="1068"/>
      <c r="C2386" s="1490"/>
      <c r="D2386" s="1300"/>
      <c r="E2386" s="1491"/>
      <c r="F2386" s="1300"/>
      <c r="G2386" s="1492"/>
      <c r="H2386" s="1300"/>
      <c r="I2386" s="1300"/>
      <c r="J2386" s="1300"/>
      <c r="K2386" s="1300"/>
      <c r="L2386" s="1300"/>
      <c r="M2386" s="1300"/>
      <c r="N2386" s="1300"/>
      <c r="O2386" s="1300"/>
      <c r="P2386" s="1300"/>
      <c r="Q2386" s="1300"/>
      <c r="R2386" s="1300"/>
      <c r="S2386" s="1300"/>
    </row>
    <row r="2387" spans="1:19" s="1836" customFormat="1" ht="21" hidden="1" customHeight="1" outlineLevel="1">
      <c r="A2387" s="1834">
        <f>A2386</f>
        <v>0</v>
      </c>
      <c r="B2387" s="1835"/>
      <c r="C2387" s="2474" t="str">
        <f>"BẢNG TỔNG HỢP VẬT LIỆU, NHÂN CÔNG, MÁY THI CÔNG: "&amp;K15&amp;" TRẠM 3P_630KVA"</f>
        <v>BẢNG TỔNG HỢP VẬT LIỆU, NHÂN CÔNG, MÁY THI CÔNG: 0 TRẠM 3P_630KVA</v>
      </c>
      <c r="D2387" s="2474"/>
      <c r="E2387" s="2474"/>
      <c r="F2387" s="2474"/>
      <c r="G2387" s="2474"/>
      <c r="H2387" s="2474"/>
      <c r="I2387" s="2474"/>
      <c r="J2387" s="2474"/>
      <c r="K2387" s="2474"/>
      <c r="L2387" s="2474"/>
      <c r="M2387" s="2474"/>
      <c r="N2387" s="2474"/>
      <c r="O2387" s="2474"/>
      <c r="P2387" s="2474"/>
      <c r="R2387" s="1300"/>
    </row>
    <row r="2388" spans="1:19" s="1081" customFormat="1" hidden="1" outlineLevel="1">
      <c r="A2388" s="1072">
        <f>A2386</f>
        <v>0</v>
      </c>
      <c r="B2388" s="1295" t="s">
        <v>308</v>
      </c>
      <c r="C2388" s="2459" t="s">
        <v>1014</v>
      </c>
      <c r="D2388" s="2467" t="s">
        <v>3363</v>
      </c>
      <c r="E2388" s="2457" t="s">
        <v>3364</v>
      </c>
      <c r="F2388" s="2459" t="s">
        <v>3365</v>
      </c>
      <c r="G2388" s="1155" t="s">
        <v>3367</v>
      </c>
      <c r="H2388" s="1156" t="s">
        <v>3368</v>
      </c>
      <c r="I2388" s="1157"/>
      <c r="J2388" s="1157"/>
      <c r="K2388" s="1158"/>
      <c r="L2388" s="1156" t="s">
        <v>3372</v>
      </c>
      <c r="M2388" s="1157"/>
      <c r="N2388" s="1157"/>
      <c r="O2388" s="1158"/>
      <c r="P2388" s="2459" t="s">
        <v>3373</v>
      </c>
      <c r="Q2388" s="1300"/>
      <c r="R2388" s="1300"/>
      <c r="S2388" s="1300"/>
    </row>
    <row r="2389" spans="1:19" s="1081" customFormat="1" hidden="1" outlineLevel="1">
      <c r="A2389" s="1072">
        <f>A2388</f>
        <v>0</v>
      </c>
      <c r="B2389" s="1295"/>
      <c r="C2389" s="2459"/>
      <c r="D2389" s="2468"/>
      <c r="E2389" s="2458"/>
      <c r="F2389" s="2459"/>
      <c r="G2389" s="1160" t="s">
        <v>3366</v>
      </c>
      <c r="H2389" s="1161" t="s">
        <v>393</v>
      </c>
      <c r="I2389" s="1161" t="s">
        <v>3369</v>
      </c>
      <c r="J2389" s="1161" t="s">
        <v>3370</v>
      </c>
      <c r="K2389" s="1161" t="s">
        <v>3371</v>
      </c>
      <c r="L2389" s="1161" t="s">
        <v>393</v>
      </c>
      <c r="M2389" s="1161" t="s">
        <v>3369</v>
      </c>
      <c r="N2389" s="1161" t="s">
        <v>3370</v>
      </c>
      <c r="O2389" s="1161" t="s">
        <v>3371</v>
      </c>
      <c r="P2389" s="2459"/>
      <c r="Q2389" s="1300"/>
      <c r="R2389" s="1300"/>
      <c r="S2389" s="1300"/>
    </row>
    <row r="2390" spans="1:19" s="1081" customFormat="1" hidden="1" outlineLevel="1">
      <c r="A2390" s="1072">
        <f>A2389</f>
        <v>0</v>
      </c>
      <c r="B2390" s="1295"/>
      <c r="C2390" s="1162"/>
      <c r="D2390" s="1163"/>
      <c r="E2390" s="1164" t="s">
        <v>3375</v>
      </c>
      <c r="F2390" s="1165"/>
      <c r="G2390" s="1165"/>
      <c r="H2390" s="1165"/>
      <c r="I2390" s="1165"/>
      <c r="J2390" s="1165"/>
      <c r="K2390" s="1165"/>
      <c r="L2390" s="1165"/>
      <c r="M2390" s="1165"/>
      <c r="N2390" s="1165"/>
      <c r="O2390" s="1163"/>
      <c r="P2390" s="1166"/>
      <c r="Q2390" s="1300"/>
      <c r="R2390" s="1300"/>
      <c r="S2390" s="1300"/>
    </row>
    <row r="2391" spans="1:19" s="1081" customFormat="1" hidden="1" outlineLevel="1">
      <c r="A2391" s="1072" t="str">
        <f t="shared" ref="A2391:A2402" si="589">IF(G2391&lt;&gt;0,1,"")</f>
        <v/>
      </c>
      <c r="B2391" s="1435" t="str">
        <f>IF($F$8=15,"tr630","tr6301")</f>
        <v>tr6301</v>
      </c>
      <c r="C2391" s="1302">
        <f>IF(G2391&gt;0,1,0)</f>
        <v>0</v>
      </c>
      <c r="D2391" s="1198" t="str">
        <f>VLOOKUP($B2391,dongia1,DG!$B$5,)</f>
        <v>T1.1417</v>
      </c>
      <c r="E2391" s="1243" t="str">
        <f>VLOOKUP($B2391,dongia1,DG!$C$5,)&amp;" - amorphous"</f>
        <v>Máy biến áp 22/0,4kV- 630kVA - amorphous</v>
      </c>
      <c r="F2391" s="1198" t="str">
        <f>VLOOKUP($B2391,dongia1,DG!$D$5,)</f>
        <v>máy</v>
      </c>
      <c r="G2391" s="1304">
        <f>$K$15</f>
        <v>0</v>
      </c>
      <c r="H2391" s="1399">
        <f>VLOOKUP($B2391,dongia1,DG!$E$5,)</f>
        <v>384573000</v>
      </c>
      <c r="I2391" s="1399"/>
      <c r="J2391" s="1399">
        <f>VLOOKUP($B2391,dongia1,DG!$G$5,)</f>
        <v>1797113</v>
      </c>
      <c r="K2391" s="1399">
        <f>VLOOKUP($B2391,dongia1,DG!$H$5,)</f>
        <v>393934</v>
      </c>
      <c r="L2391" s="1400">
        <f t="shared" ref="L2391:L2402" si="590">H2391*G2391</f>
        <v>0</v>
      </c>
      <c r="M2391" s="1400">
        <f t="shared" ref="M2391:M2402" si="591">I2391*G2391</f>
        <v>0</v>
      </c>
      <c r="N2391" s="1400">
        <f t="shared" ref="N2391:N2402" si="592">J2391*G2391</f>
        <v>0</v>
      </c>
      <c r="O2391" s="1401">
        <f t="shared" ref="O2391:O2402" si="593">K2391*G2391</f>
        <v>0</v>
      </c>
      <c r="P2391" s="1436"/>
      <c r="Q2391" s="1300"/>
      <c r="R2391" s="1300"/>
      <c r="S2391" s="1300"/>
    </row>
    <row r="2392" spans="1:19" s="1081" customFormat="1" hidden="1" outlineLevel="1">
      <c r="A2392" s="1072" t="str">
        <f t="shared" si="589"/>
        <v/>
      </c>
      <c r="B2392" s="1167" t="str">
        <f>"FCO100-"&amp;$F$8</f>
        <v>FCO100-22</v>
      </c>
      <c r="C2392" s="1302">
        <f t="shared" ref="C2392:C2397" si="594">IF(G2392&gt;0,C2391+1,C2391)</f>
        <v>0</v>
      </c>
      <c r="D2392" s="1198" t="str">
        <f>VLOOKUP($B2392,dongia1,DG!$B$5,)</f>
        <v>T2.3501</v>
      </c>
      <c r="E2392" s="1243" t="str">
        <f>VLOOKUP($B2392,dongia1,DG!$C$5,)</f>
        <v>FCO 24kV - 100A</v>
      </c>
      <c r="F2392" s="1198" t="str">
        <f>VLOOKUP($B2392,dongia1,DG!$D$5,)</f>
        <v>cái</v>
      </c>
      <c r="G2392" s="1304">
        <f>G2391*3</f>
        <v>0</v>
      </c>
      <c r="H2392" s="1298">
        <f>VLOOKUP($B2392,dongia1,DG!$E$5,)</f>
        <v>2244280</v>
      </c>
      <c r="I2392" s="1298">
        <f>VLOOKUP($B2392,dongia1,DG!$F$5,)*0</f>
        <v>0</v>
      </c>
      <c r="J2392" s="1298">
        <f>VLOOKUP($B2392,dongia1,DG!$G$5,)</f>
        <v>222639.99999999997</v>
      </c>
      <c r="K2392" s="1298">
        <f>VLOOKUP($B2392,dongia1,DG!$H$5,)</f>
        <v>0</v>
      </c>
      <c r="L2392" s="1298">
        <f t="shared" si="590"/>
        <v>0</v>
      </c>
      <c r="M2392" s="1298">
        <f t="shared" si="591"/>
        <v>0</v>
      </c>
      <c r="N2392" s="1298">
        <f t="shared" si="592"/>
        <v>0</v>
      </c>
      <c r="O2392" s="1298">
        <f t="shared" si="593"/>
        <v>0</v>
      </c>
      <c r="P2392" s="1437"/>
      <c r="Q2392" s="1300"/>
      <c r="R2392" s="1300"/>
      <c r="S2392" s="1300"/>
    </row>
    <row r="2393" spans="1:19" s="1081" customFormat="1" hidden="1" outlineLevel="1">
      <c r="A2393" s="1072" t="str">
        <f t="shared" si="589"/>
        <v/>
      </c>
      <c r="B2393" s="1435" t="s">
        <v>5750</v>
      </c>
      <c r="C2393" s="1302">
        <f t="shared" si="594"/>
        <v>0</v>
      </c>
      <c r="D2393" s="1198">
        <f>VLOOKUP($B2393,dongia1,DG!$B$5,)</f>
        <v>0</v>
      </c>
      <c r="E2393" s="1243" t="str">
        <f>VLOOKUP($B2393,dongia1,DG!$C$5,)</f>
        <v>Dây chảy 25K</v>
      </c>
      <c r="F2393" s="1198" t="str">
        <f>VLOOKUP($B2393,dongia1,DG!$D$5,)</f>
        <v>Sợi</v>
      </c>
      <c r="G2393" s="1304">
        <f>G2392</f>
        <v>0</v>
      </c>
      <c r="H2393" s="1298">
        <f>VLOOKUP($B2393,dongia1,DG!$F$5,)</f>
        <v>116000</v>
      </c>
      <c r="I2393" s="1298">
        <f>VLOOKUP($B2393,dongia1,DG!$F$5,)*0</f>
        <v>0</v>
      </c>
      <c r="J2393" s="1298">
        <f>VLOOKUP($B2393,dongia1,DG!$G$5,)</f>
        <v>0</v>
      </c>
      <c r="K2393" s="1298">
        <f>VLOOKUP($B2393,dongia1,DG!$H$5,)</f>
        <v>0</v>
      </c>
      <c r="L2393" s="1298">
        <f t="shared" si="590"/>
        <v>0</v>
      </c>
      <c r="M2393" s="1298">
        <f t="shared" si="591"/>
        <v>0</v>
      </c>
      <c r="N2393" s="1298">
        <f t="shared" si="592"/>
        <v>0</v>
      </c>
      <c r="O2393" s="1298">
        <f t="shared" si="593"/>
        <v>0</v>
      </c>
      <c r="P2393" s="1437"/>
      <c r="Q2393" s="1300"/>
      <c r="R2393" s="1300"/>
      <c r="S2393" s="1300"/>
    </row>
    <row r="2394" spans="1:19" s="1081" customFormat="1" hidden="1" outlineLevel="1">
      <c r="A2394" s="1072" t="str">
        <f t="shared" si="589"/>
        <v/>
      </c>
      <c r="B2394" s="1295" t="str">
        <f>"LA"&amp;$F$6</f>
        <v>LA18</v>
      </c>
      <c r="C2394" s="1302">
        <f t="shared" si="594"/>
        <v>0</v>
      </c>
      <c r="D2394" s="1198" t="str">
        <f>VLOOKUP($B2394,dongia1,DG!$B$5,)</f>
        <v>T2.5004</v>
      </c>
      <c r="E2394" s="1243" t="str">
        <f>VLOOKUP($B2394,dongia1,DG!$C$5,)</f>
        <v>LA 18kV 10kA</v>
      </c>
      <c r="F2394" s="1198" t="str">
        <f>VLOOKUP($B2394,dongia1,DG!$D$5,)</f>
        <v>cái</v>
      </c>
      <c r="G2394" s="1304">
        <f>G2392</f>
        <v>0</v>
      </c>
      <c r="H2394" s="1298">
        <f>VLOOKUP($B2394,dongia1,DG!$E$5,)</f>
        <v>1106000</v>
      </c>
      <c r="I2394" s="1298">
        <f>VLOOKUP($B2394,dongia1,DG!$F$5,)*0</f>
        <v>0</v>
      </c>
      <c r="J2394" s="1298">
        <f>VLOOKUP($B2394,dongia1,DG!$G$5,)</f>
        <v>83490</v>
      </c>
      <c r="K2394" s="1298">
        <f>VLOOKUP($B2394,dongia1,DG!$H$5,)</f>
        <v>0</v>
      </c>
      <c r="L2394" s="1298">
        <f t="shared" si="590"/>
        <v>0</v>
      </c>
      <c r="M2394" s="1298">
        <f t="shared" si="591"/>
        <v>0</v>
      </c>
      <c r="N2394" s="1298">
        <f t="shared" si="592"/>
        <v>0</v>
      </c>
      <c r="O2394" s="1298">
        <f t="shared" si="593"/>
        <v>0</v>
      </c>
      <c r="P2394" s="1437"/>
      <c r="Q2394" s="1300"/>
      <c r="R2394" s="1300"/>
      <c r="S2394" s="1300"/>
    </row>
    <row r="2395" spans="1:19" s="1081" customFormat="1" hidden="1" outlineLevel="1">
      <c r="A2395" s="1072" t="str">
        <f t="shared" si="589"/>
        <v/>
      </c>
      <c r="B2395" s="1397" t="s">
        <v>1562</v>
      </c>
      <c r="C2395" s="1302">
        <f t="shared" si="594"/>
        <v>0</v>
      </c>
      <c r="D2395" s="1198">
        <f>VLOOKUP($B2395,dongia1,DG!$B$5,)</f>
        <v>0</v>
      </c>
      <c r="E2395" s="1243" t="str">
        <f>VLOOKUP($B2395,dongia1,DG!$C$5,)</f>
        <v>MCCB 3 cực 400V -1000A - 50KA</v>
      </c>
      <c r="F2395" s="1198" t="str">
        <f>VLOOKUP($B2395,dongia1,DG!$D$5,)</f>
        <v>cái</v>
      </c>
      <c r="G2395" s="1304">
        <f>G2391</f>
        <v>0</v>
      </c>
      <c r="H2395" s="1298">
        <f>VLOOKUP($B2395,dongia1,DG!$E$5,)</f>
        <v>64843000</v>
      </c>
      <c r="I2395" s="1298">
        <f>VLOOKUP($B2395,dongia1,DG!$F$5,)*0</f>
        <v>0</v>
      </c>
      <c r="J2395" s="1298">
        <f>VLOOKUP($B2395,dongia1,DG!$G$5,)</f>
        <v>0</v>
      </c>
      <c r="K2395" s="1298">
        <f>VLOOKUP($B2395,dongia1,DG!$H$5,)</f>
        <v>0</v>
      </c>
      <c r="L2395" s="1298">
        <f t="shared" si="590"/>
        <v>0</v>
      </c>
      <c r="M2395" s="1298">
        <f t="shared" si="591"/>
        <v>0</v>
      </c>
      <c r="N2395" s="1298">
        <f t="shared" si="592"/>
        <v>0</v>
      </c>
      <c r="O2395" s="1298">
        <f t="shared" si="593"/>
        <v>0</v>
      </c>
      <c r="P2395" s="1437"/>
      <c r="Q2395" s="1300"/>
      <c r="R2395" s="1300"/>
      <c r="S2395" s="1300"/>
    </row>
    <row r="2396" spans="1:19" s="1081" customFormat="1" hidden="1" outlineLevel="1">
      <c r="A2396" s="1072" t="str">
        <f>IF(G2396&lt;&gt;0,1,"")</f>
        <v/>
      </c>
      <c r="B2396" s="1397" t="s">
        <v>589</v>
      </c>
      <c r="C2396" s="1302">
        <f t="shared" si="594"/>
        <v>0</v>
      </c>
      <c r="D2396" s="1198">
        <f>VLOOKUP($B2396,dongia1,DG!$B$5,)</f>
        <v>0</v>
      </c>
      <c r="E2396" s="1243" t="str">
        <f>VLOOKUP($B2396,dongia1,DG!$C$5,)</f>
        <v>MCCB 3 cực 400V -300A - 36KA</v>
      </c>
      <c r="F2396" s="1198" t="str">
        <f>VLOOKUP($B2396,dongia1,DG!$D$5,)</f>
        <v>cái</v>
      </c>
      <c r="G2396" s="1304"/>
      <c r="H2396" s="1298">
        <f>VLOOKUP($B2396,dongia1,DG!$E$5,)</f>
        <v>6780000</v>
      </c>
      <c r="I2396" s="1298">
        <f>VLOOKUP($B2396,dongia1,DG!$F$5,)*0</f>
        <v>0</v>
      </c>
      <c r="J2396" s="1298">
        <f>VLOOKUP($B2396,dongia1,DG!$G$5,)</f>
        <v>0</v>
      </c>
      <c r="K2396" s="1298">
        <f>VLOOKUP($B2396,dongia1,DG!$H$5,)</f>
        <v>0</v>
      </c>
      <c r="L2396" s="1298">
        <f>H2396*G2396</f>
        <v>0</v>
      </c>
      <c r="M2396" s="1298">
        <f>I2396*G2396</f>
        <v>0</v>
      </c>
      <c r="N2396" s="1298">
        <f>J2396*G2396</f>
        <v>0</v>
      </c>
      <c r="O2396" s="1298">
        <f>K2396*G2396</f>
        <v>0</v>
      </c>
      <c r="P2396" s="1437"/>
      <c r="Q2396" s="1300"/>
      <c r="R2396" s="1300"/>
      <c r="S2396" s="1300"/>
    </row>
    <row r="2397" spans="1:19" s="1081" customFormat="1" hidden="1" outlineLevel="1">
      <c r="A2397" s="1072" t="str">
        <f>IF(G2397&lt;&gt;0,1,"")</f>
        <v/>
      </c>
      <c r="B2397" s="1397" t="s">
        <v>660</v>
      </c>
      <c r="C2397" s="1302">
        <f t="shared" si="594"/>
        <v>0</v>
      </c>
      <c r="D2397" s="1198">
        <f>VLOOKUP($B2397,dongia1,DG!$B$5,)</f>
        <v>0</v>
      </c>
      <c r="E2397" s="1243" t="str">
        <f>VLOOKUP($B2397,dongia1,DG!$C$5,)</f>
        <v xml:space="preserve">MCCB 3 cực 400V -250A - 35KA </v>
      </c>
      <c r="F2397" s="1198" t="str">
        <f>VLOOKUP($B2397,dongia1,DG!$D$5,)</f>
        <v>cái</v>
      </c>
      <c r="G2397" s="1304"/>
      <c r="H2397" s="1298">
        <f>VLOOKUP($B2397,dongia1,DG!$E$5,)</f>
        <v>4990000</v>
      </c>
      <c r="I2397" s="1298">
        <f>VLOOKUP($B2397,dongia1,DG!$F$5,)*0</f>
        <v>0</v>
      </c>
      <c r="J2397" s="1298">
        <f>VLOOKUP($B2397,dongia1,DG!$G$5,)</f>
        <v>0</v>
      </c>
      <c r="K2397" s="1298">
        <f>VLOOKUP($B2397,dongia1,DG!$H$5,)</f>
        <v>0</v>
      </c>
      <c r="L2397" s="1298">
        <f>H2397*G2397</f>
        <v>0</v>
      </c>
      <c r="M2397" s="1298">
        <f>I2397*G2397</f>
        <v>0</v>
      </c>
      <c r="N2397" s="1298">
        <f>J2397*G2397</f>
        <v>0</v>
      </c>
      <c r="O2397" s="1298">
        <f>K2397*G2397</f>
        <v>0</v>
      </c>
      <c r="P2397" s="1437"/>
      <c r="Q2397" s="1300"/>
      <c r="R2397" s="1300"/>
      <c r="S2397" s="1300"/>
    </row>
    <row r="2398" spans="1:19" s="1081" customFormat="1" hidden="1" outlineLevel="1">
      <c r="A2398" s="1072" t="str">
        <f>IF(G2398&lt;&gt;0,1,"")</f>
        <v/>
      </c>
      <c r="B2398" s="1397" t="s">
        <v>1522</v>
      </c>
      <c r="C2398" s="1302">
        <f>IF(G2398&gt;0,C2396+1,C2396)</f>
        <v>0</v>
      </c>
      <c r="D2398" s="1198">
        <f>VLOOKUP($B2398,dongia1,DG!$B$5,)</f>
        <v>0</v>
      </c>
      <c r="E2398" s="1243" t="str">
        <f>VLOOKUP($B2398,dongia1,DG!$C$5,)</f>
        <v>MCCB 3 cực 400V-100A - 30KA</v>
      </c>
      <c r="F2398" s="1198" t="str">
        <f>VLOOKUP($B2398,dongia1,DG!$D$5,)</f>
        <v>cái</v>
      </c>
      <c r="G2398" s="1304"/>
      <c r="H2398" s="1298">
        <f>VLOOKUP($B2398,dongia1,DG!$E$5,)</f>
        <v>1750000</v>
      </c>
      <c r="I2398" s="1298">
        <f>VLOOKUP($B2398,dongia1,DG!$F$5,)*0</f>
        <v>0</v>
      </c>
      <c r="J2398" s="1298">
        <f>VLOOKUP($B2398,dongia1,DG!$G$5,)</f>
        <v>0</v>
      </c>
      <c r="K2398" s="1298">
        <f>VLOOKUP($B2398,dongia1,DG!$H$5,)</f>
        <v>0</v>
      </c>
      <c r="L2398" s="1298">
        <f>H2398*G2398</f>
        <v>0</v>
      </c>
      <c r="M2398" s="1298">
        <f>I2398*G2398</f>
        <v>0</v>
      </c>
      <c r="N2398" s="1298">
        <f>J2398*G2398</f>
        <v>0</v>
      </c>
      <c r="O2398" s="1298">
        <f>K2398*G2398</f>
        <v>0</v>
      </c>
      <c r="P2398" s="1437"/>
      <c r="Q2398" s="1300"/>
      <c r="R2398" s="1300"/>
      <c r="S2398" s="1300"/>
    </row>
    <row r="2399" spans="1:19" s="1081" customFormat="1" hidden="1" outlineLevel="1">
      <c r="A2399" s="1072" t="str">
        <f t="shared" si="589"/>
        <v/>
      </c>
      <c r="B2399" s="1397" t="s">
        <v>842</v>
      </c>
      <c r="C2399" s="1302">
        <f>IF(G2399&gt;0,C2395+1,C2395)</f>
        <v>0</v>
      </c>
      <c r="D2399" s="1198" t="str">
        <f>VLOOKUP($B2399,dongia1,DG!$B$5,)</f>
        <v>05.1102</v>
      </c>
      <c r="E2399" s="1243" t="str">
        <f>VLOOKUP($B2399,dongia1,DG!$C$5,)</f>
        <v>Tủ tụ bù hạ thế 240kVAr</v>
      </c>
      <c r="F2399" s="1198" t="str">
        <f>VLOOKUP($B2399,dongia1,DG!$D$5,)</f>
        <v>tủ</v>
      </c>
      <c r="G2399" s="1304">
        <f>G2391</f>
        <v>0</v>
      </c>
      <c r="H2399" s="1298">
        <f>VLOOKUP($B2399,dongia1,DG!$E$5,)</f>
        <v>36000000</v>
      </c>
      <c r="I2399" s="1298">
        <f>VLOOKUP($B2399,dongia1,DG!$F$5,)</f>
        <v>0</v>
      </c>
      <c r="J2399" s="1298">
        <f>VLOOKUP($B2399,dongia1,DG!$G$5,)</f>
        <v>98101</v>
      </c>
      <c r="K2399" s="1298">
        <f>VLOOKUP($B2399,dongia1,DG!$H$5,)</f>
        <v>59254</v>
      </c>
      <c r="L2399" s="1298">
        <f t="shared" si="590"/>
        <v>0</v>
      </c>
      <c r="M2399" s="1298">
        <f t="shared" si="591"/>
        <v>0</v>
      </c>
      <c r="N2399" s="1298">
        <f t="shared" si="592"/>
        <v>0</v>
      </c>
      <c r="O2399" s="1298">
        <f t="shared" si="593"/>
        <v>0</v>
      </c>
      <c r="P2399" s="1437"/>
      <c r="Q2399" s="1300"/>
      <c r="R2399" s="1300"/>
      <c r="S2399" s="1300"/>
    </row>
    <row r="2400" spans="1:19" s="1081" customFormat="1" hidden="1" outlineLevel="1">
      <c r="A2400" s="1072" t="str">
        <f>IF(G2400&lt;&gt;0,1,"")</f>
        <v/>
      </c>
      <c r="B2400" s="16" t="s">
        <v>1927</v>
      </c>
      <c r="C2400" s="1302">
        <f>IF(G2400&gt;0,C2398+1,C2398)</f>
        <v>0</v>
      </c>
      <c r="D2400" s="1198">
        <f>VLOOKUP($B2400,dongia1,DG!$B$5,)</f>
        <v>0</v>
      </c>
      <c r="E2400" s="1243" t="str">
        <f>VLOOKUP($B2400,dongia1,DG!$C$5,)</f>
        <v>Biến dòng 24kV  20/5A</v>
      </c>
      <c r="F2400" s="1198" t="str">
        <f>VLOOKUP($B2400,dongia1,DG!$D$5,)</f>
        <v>cái</v>
      </c>
      <c r="G2400" s="1304">
        <f>G2391*3</f>
        <v>0</v>
      </c>
      <c r="H2400" s="1298">
        <f>VLOOKUP($B2400,dongia1,DG!$E$5,)*0</f>
        <v>0</v>
      </c>
      <c r="I2400" s="1298">
        <f>VLOOKUP($B2400,dongia1,DG!$F$5,)*0</f>
        <v>0</v>
      </c>
      <c r="J2400" s="1298">
        <f>VLOOKUP($B2400,dongia1,DG!$G$5,)</f>
        <v>0</v>
      </c>
      <c r="K2400" s="1298">
        <f>VLOOKUP($B2400,dongia1,DG!$H$5,)</f>
        <v>0</v>
      </c>
      <c r="L2400" s="1298">
        <f>H2400*G2400</f>
        <v>0</v>
      </c>
      <c r="M2400" s="1298">
        <f>I2400*G2400</f>
        <v>0</v>
      </c>
      <c r="N2400" s="1298">
        <f>J2400*G2400</f>
        <v>0</v>
      </c>
      <c r="O2400" s="1298">
        <f>K2400*G2400</f>
        <v>0</v>
      </c>
      <c r="P2400" s="1439" t="s">
        <v>3471</v>
      </c>
      <c r="Q2400" s="1300"/>
      <c r="R2400" s="1300"/>
      <c r="S2400" s="1300"/>
    </row>
    <row r="2401" spans="1:19" s="1081" customFormat="1" hidden="1" outlineLevel="1">
      <c r="A2401" s="1072" t="str">
        <f t="shared" si="589"/>
        <v/>
      </c>
      <c r="B2401" s="16" t="s">
        <v>1915</v>
      </c>
      <c r="C2401" s="1302">
        <f>IF(G2401&gt;0,C2399+1,C2399)</f>
        <v>0</v>
      </c>
      <c r="D2401" s="1198">
        <f>VLOOKUP($B2401,dongia1,DG!$B$5,)</f>
        <v>0</v>
      </c>
      <c r="E2401" s="1243" t="str">
        <f>VLOOKUP($B2401,dongia1,DG!$C$5,)</f>
        <v>Biến điện áp 22000/√3/100/√3 V</v>
      </c>
      <c r="F2401" s="1198" t="str">
        <f>VLOOKUP($B2401,dongia1,DG!$D$5,)</f>
        <v>cái</v>
      </c>
      <c r="G2401" s="1304">
        <f>G2391*3</f>
        <v>0</v>
      </c>
      <c r="H2401" s="1298">
        <f>VLOOKUP($B2401,dongia1,DG!$E$5,)*0</f>
        <v>0</v>
      </c>
      <c r="I2401" s="1298">
        <f>VLOOKUP($B2401,dongia1,DG!$F$5,)*0</f>
        <v>0</v>
      </c>
      <c r="J2401" s="1298"/>
      <c r="K2401" s="1298"/>
      <c r="L2401" s="1298">
        <f t="shared" si="590"/>
        <v>0</v>
      </c>
      <c r="M2401" s="1298">
        <f t="shared" si="591"/>
        <v>0</v>
      </c>
      <c r="N2401" s="1298">
        <f t="shared" si="592"/>
        <v>0</v>
      </c>
      <c r="O2401" s="1298">
        <f t="shared" si="593"/>
        <v>0</v>
      </c>
      <c r="P2401" s="1439" t="s">
        <v>3471</v>
      </c>
      <c r="Q2401" s="1300"/>
      <c r="R2401" s="1300"/>
      <c r="S2401" s="1300"/>
    </row>
    <row r="2402" spans="1:19" s="1081" customFormat="1" hidden="1" outlineLevel="1">
      <c r="A2402" s="1072" t="str">
        <f t="shared" si="589"/>
        <v/>
      </c>
      <c r="B2402" s="1068" t="s">
        <v>307</v>
      </c>
      <c r="C2402" s="1302">
        <f>IF(G2402&gt;0,C2401+1,C2401)</f>
        <v>0</v>
      </c>
      <c r="D2402" s="1198">
        <f>VLOOKUP($B2402,dongia1,DG!$B$5,)</f>
        <v>0</v>
      </c>
      <c r="E2402" s="1243" t="str">
        <f>VLOOKUP($B2402,dongia1,DG!$C$5,)</f>
        <v>Điện kế 3 pha 4 dây 220/380V-5A</v>
      </c>
      <c r="F2402" s="1198" t="str">
        <f>VLOOKUP($B2402,dongia1,DG!$D$5,)</f>
        <v>cái</v>
      </c>
      <c r="G2402" s="1304">
        <f>G2391</f>
        <v>0</v>
      </c>
      <c r="H2402" s="1298">
        <f>VLOOKUP($B2402,dongia1,DG!$E$5,)*0</f>
        <v>0</v>
      </c>
      <c r="I2402" s="1298">
        <f>VLOOKUP($B2402,dongia1,DG!$F$5,)*0</f>
        <v>0</v>
      </c>
      <c r="J2402" s="1298">
        <f>VLOOKUP($B2402,dongia1,DG!$G$5,)*0</f>
        <v>0</v>
      </c>
      <c r="K2402" s="1298">
        <f>VLOOKUP($B2402,dongia1,DG!$H$5,)</f>
        <v>0</v>
      </c>
      <c r="L2402" s="1298">
        <f t="shared" si="590"/>
        <v>0</v>
      </c>
      <c r="M2402" s="1400">
        <f t="shared" si="591"/>
        <v>0</v>
      </c>
      <c r="N2402" s="1400">
        <f t="shared" si="592"/>
        <v>0</v>
      </c>
      <c r="O2402" s="1401">
        <f t="shared" si="593"/>
        <v>0</v>
      </c>
      <c r="P2402" s="1440" t="s">
        <v>3471</v>
      </c>
      <c r="Q2402" s="1300"/>
      <c r="R2402" s="1300"/>
      <c r="S2402" s="1300"/>
    </row>
    <row r="2403" spans="1:19" s="1081" customFormat="1" hidden="1" outlineLevel="1">
      <c r="A2403" s="1072">
        <f>A2386</f>
        <v>0</v>
      </c>
      <c r="B2403" s="1295"/>
      <c r="C2403" s="1441"/>
      <c r="D2403" s="1442"/>
      <c r="E2403" s="1443"/>
      <c r="F2403" s="1444"/>
      <c r="G2403" s="1445"/>
      <c r="H2403" s="1444"/>
      <c r="I2403" s="1444"/>
      <c r="J2403" s="1183" t="s">
        <v>3387</v>
      </c>
      <c r="K2403" s="1444"/>
      <c r="L2403" s="1446">
        <f>SUM(L2391:L2402)</f>
        <v>0</v>
      </c>
      <c r="M2403" s="1446">
        <f>SUM(M2391:M2402)</f>
        <v>0</v>
      </c>
      <c r="N2403" s="1446">
        <f>SUM(N2391:N2402)</f>
        <v>0</v>
      </c>
      <c r="O2403" s="1446">
        <f>SUM(O2391:O2402)</f>
        <v>0</v>
      </c>
      <c r="P2403" s="1447"/>
      <c r="Q2403" s="1300"/>
      <c r="R2403" s="1300"/>
      <c r="S2403" s="1300"/>
    </row>
    <row r="2404" spans="1:19" s="1081" customFormat="1" hidden="1" outlineLevel="1">
      <c r="A2404" s="1072">
        <f>A2386</f>
        <v>0</v>
      </c>
      <c r="B2404" s="1295"/>
      <c r="C2404" s="1448"/>
      <c r="D2404" s="1449"/>
      <c r="E2404" s="1450" t="s">
        <v>3376</v>
      </c>
      <c r="F2404" s="1450"/>
      <c r="G2404" s="1451"/>
      <c r="H2404" s="1450"/>
      <c r="I2404" s="1450"/>
      <c r="J2404" s="1450"/>
      <c r="K2404" s="1450"/>
      <c r="L2404" s="1450"/>
      <c r="M2404" s="1450"/>
      <c r="N2404" s="1450"/>
      <c r="O2404" s="1449"/>
      <c r="P2404" s="1447"/>
      <c r="Q2404" s="1300"/>
      <c r="R2404" s="1300"/>
      <c r="S2404" s="1300"/>
    </row>
    <row r="2405" spans="1:19" s="1081" customFormat="1" hidden="1" outlineLevel="1">
      <c r="A2405" s="1072" t="str">
        <f t="shared" ref="A2405:A2423" si="595">IF(G2405&lt;&gt;0,1,"")</f>
        <v/>
      </c>
      <c r="B2405" s="1452"/>
      <c r="C2405" s="1453">
        <f>IF(G2405&gt;0,1,0)</f>
        <v>0</v>
      </c>
      <c r="D2405" s="1198"/>
      <c r="E2405" s="1454" t="s">
        <v>3377</v>
      </c>
      <c r="F2405" s="1455" t="s">
        <v>1133</v>
      </c>
      <c r="G2405" s="1456">
        <f>G2391*2*0</f>
        <v>0</v>
      </c>
      <c r="H2405" s="1455"/>
      <c r="I2405" s="1455"/>
      <c r="J2405" s="1455"/>
      <c r="K2405" s="1455"/>
      <c r="L2405" s="1456"/>
      <c r="M2405" s="1456"/>
      <c r="N2405" s="1456"/>
      <c r="O2405" s="1457"/>
      <c r="P2405" s="1437"/>
      <c r="Q2405" s="1300"/>
      <c r="R2405" s="1300"/>
      <c r="S2405" s="1300"/>
    </row>
    <row r="2406" spans="1:19" s="1081" customFormat="1" hidden="1" outlineLevel="1">
      <c r="A2406" s="1072" t="str">
        <f t="shared" si="595"/>
        <v/>
      </c>
      <c r="B2406" s="1421" t="s">
        <v>1012</v>
      </c>
      <c r="C2406" s="1458"/>
      <c r="D2406" s="1198"/>
      <c r="E2406" s="1459" t="str">
        <f>VLOOKUP($B2406,dongia1,DG!$C$5,)</f>
        <v>Trụ BTLT 12m F350 dự ứng lực</v>
      </c>
      <c r="F2406" s="1198" t="str">
        <f>VLOOKUP($B2406,dongia1,DG!$D$5,)</f>
        <v>trụ</v>
      </c>
      <c r="G2406" s="1198">
        <f>G2405</f>
        <v>0</v>
      </c>
      <c r="H2406" s="1399">
        <f>VLOOKUP($B2406,dongia1,DG!$F$5,)</f>
        <v>4400000</v>
      </c>
      <c r="I2406" s="1291"/>
      <c r="J2406" s="1399"/>
      <c r="K2406" s="1291"/>
      <c r="L2406" s="1400">
        <f>H2406*G2406</f>
        <v>0</v>
      </c>
      <c r="M2406" s="1400">
        <f>I2406*G2406</f>
        <v>0</v>
      </c>
      <c r="N2406" s="1400">
        <f>J2406*G2406</f>
        <v>0</v>
      </c>
      <c r="O2406" s="1400">
        <f>K2406*G2406</f>
        <v>0</v>
      </c>
      <c r="P2406" s="1437"/>
      <c r="Q2406" s="1300"/>
      <c r="R2406" s="1300"/>
      <c r="S2406" s="1300"/>
    </row>
    <row r="2407" spans="1:19" s="1081" customFormat="1" hidden="1" outlineLevel="1">
      <c r="A2407" s="1072" t="str">
        <f t="shared" si="595"/>
        <v/>
      </c>
      <c r="B2407" s="1421" t="s">
        <v>1457</v>
      </c>
      <c r="C2407" s="1458"/>
      <c r="D2407" s="1198"/>
      <c r="E2407" s="1459" t="str">
        <f>VLOOKUP($B2407,dongia1,DG!$C$5,)</f>
        <v>Vật liệu dựng trụ</v>
      </c>
      <c r="F2407" s="1198" t="str">
        <f>VLOOKUP($B2407,dongia1,DG!$D$5,)</f>
        <v>trụ</v>
      </c>
      <c r="G2407" s="1198">
        <f>G2406</f>
        <v>0</v>
      </c>
      <c r="H2407" s="1399">
        <f>VLOOKUP($B2407,dongia1,DG!$F$5,)</f>
        <v>17400</v>
      </c>
      <c r="I2407" s="1399"/>
      <c r="J2407" s="1291"/>
      <c r="K2407" s="1291"/>
      <c r="L2407" s="1400">
        <f>H2407*G2407</f>
        <v>0</v>
      </c>
      <c r="M2407" s="1400">
        <f>I2407*G2407</f>
        <v>0</v>
      </c>
      <c r="N2407" s="1400">
        <f>J2407*G2407</f>
        <v>0</v>
      </c>
      <c r="O2407" s="1400">
        <f>K2407*G2407</f>
        <v>0</v>
      </c>
      <c r="P2407" s="1437"/>
      <c r="Q2407" s="1300"/>
      <c r="R2407" s="1300"/>
      <c r="S2407" s="1300"/>
    </row>
    <row r="2408" spans="1:19" s="1081" customFormat="1" hidden="1" outlineLevel="1">
      <c r="A2408" s="1072" t="str">
        <f t="shared" si="595"/>
        <v/>
      </c>
      <c r="B2408" s="1421" t="s">
        <v>1701</v>
      </c>
      <c r="C2408" s="1458"/>
      <c r="D2408" s="1198" t="str">
        <f>VLOOKUP($B2408,dongia1,DG!$B$5,)</f>
        <v>04.9203</v>
      </c>
      <c r="E2408" s="1459" t="str">
        <f>VLOOKUP($B2408,dongia1,DG!$C$5,)</f>
        <v>Dựng trụ BTLT 12m trong TBA bằng thủ công + cơ giới</v>
      </c>
      <c r="F2408" s="1198" t="str">
        <f>VLOOKUP($B2408,dongia1,DG!$D$5,)</f>
        <v>trụ</v>
      </c>
      <c r="G2408" s="1198">
        <f>G2406</f>
        <v>0</v>
      </c>
      <c r="H2408" s="1459"/>
      <c r="I2408" s="1399"/>
      <c r="J2408" s="1399">
        <f>VLOOKUP($B2408,dongia1,DG!$G$5,)</f>
        <v>112286</v>
      </c>
      <c r="K2408" s="1399">
        <f>VLOOKUP($B2408,dongia1,DG!$H$5,)</f>
        <v>105970</v>
      </c>
      <c r="L2408" s="1400">
        <f>H2408*G2408</f>
        <v>0</v>
      </c>
      <c r="M2408" s="1400">
        <f>I2408*G2408</f>
        <v>0</v>
      </c>
      <c r="N2408" s="1400">
        <f>J2408*G2408</f>
        <v>0</v>
      </c>
      <c r="O2408" s="1400">
        <f>K2408*G2408</f>
        <v>0</v>
      </c>
      <c r="P2408" s="1437"/>
      <c r="Q2408" s="1300"/>
      <c r="R2408" s="1300"/>
      <c r="S2408" s="1300"/>
    </row>
    <row r="2409" spans="1:19" s="1081" customFormat="1" hidden="1" outlineLevel="1">
      <c r="A2409" s="1072" t="str">
        <f t="shared" si="595"/>
        <v/>
      </c>
      <c r="B2409" s="1452"/>
      <c r="C2409" s="1453">
        <f>IF(G2409&gt;0,1,0)</f>
        <v>0</v>
      </c>
      <c r="D2409" s="1198"/>
      <c r="E2409" s="1454" t="s">
        <v>3389</v>
      </c>
      <c r="F2409" s="1455" t="s">
        <v>1133</v>
      </c>
      <c r="G2409" s="1456"/>
      <c r="H2409" s="1455"/>
      <c r="I2409" s="1455"/>
      <c r="J2409" s="1455"/>
      <c r="K2409" s="1455"/>
      <c r="L2409" s="1456"/>
      <c r="M2409" s="1456"/>
      <c r="N2409" s="1456"/>
      <c r="O2409" s="1457"/>
      <c r="P2409" s="1299"/>
      <c r="Q2409" s="1300"/>
      <c r="R2409" s="1300"/>
      <c r="S2409" s="1300"/>
    </row>
    <row r="2410" spans="1:19" s="1081" customFormat="1" hidden="1" outlineLevel="1">
      <c r="A2410" s="1072" t="str">
        <f t="shared" si="595"/>
        <v/>
      </c>
      <c r="B2410" s="1421" t="s">
        <v>1011</v>
      </c>
      <c r="C2410" s="1458"/>
      <c r="D2410" s="1198"/>
      <c r="E2410" s="1459" t="str">
        <f>VLOOKUP($B2410,dongia1,DG!$C$5,)</f>
        <v>Trụ BTLT 10,5m F350 dự ứng lực</v>
      </c>
      <c r="F2410" s="1198" t="str">
        <f>VLOOKUP($B2410,dongia1,DG!$D$5,)</f>
        <v>trụ</v>
      </c>
      <c r="G2410" s="1198">
        <f>G2409</f>
        <v>0</v>
      </c>
      <c r="H2410" s="1399">
        <f>VLOOKUP($B2410,dongia1,DG!$F$5,)</f>
        <v>4200000</v>
      </c>
      <c r="I2410" s="1291"/>
      <c r="J2410" s="1399"/>
      <c r="K2410" s="1291"/>
      <c r="L2410" s="1400">
        <f>H2410*G2410</f>
        <v>0</v>
      </c>
      <c r="M2410" s="1400">
        <f>I2410*G2410</f>
        <v>0</v>
      </c>
      <c r="N2410" s="1400">
        <f>J2410*G2410</f>
        <v>0</v>
      </c>
      <c r="O2410" s="1400">
        <f>K2410*G2410</f>
        <v>0</v>
      </c>
      <c r="P2410" s="1299"/>
      <c r="Q2410" s="1300"/>
      <c r="R2410" s="1300"/>
      <c r="S2410" s="1300"/>
    </row>
    <row r="2411" spans="1:19" s="1081" customFormat="1" hidden="1" outlineLevel="1">
      <c r="A2411" s="1072" t="str">
        <f t="shared" si="595"/>
        <v/>
      </c>
      <c r="B2411" s="1421" t="s">
        <v>1457</v>
      </c>
      <c r="C2411" s="1458"/>
      <c r="D2411" s="1198"/>
      <c r="E2411" s="1459" t="str">
        <f>VLOOKUP($B2411,dongia1,DG!$C$5,)</f>
        <v>Vật liệu dựng trụ</v>
      </c>
      <c r="F2411" s="1198" t="str">
        <f>VLOOKUP($B2411,dongia1,DG!$D$5,)</f>
        <v>trụ</v>
      </c>
      <c r="G2411" s="1198">
        <f>G2410</f>
        <v>0</v>
      </c>
      <c r="H2411" s="1399">
        <f>VLOOKUP($B2411,dongia1,DG!$F$5,)</f>
        <v>17400</v>
      </c>
      <c r="I2411" s="1399"/>
      <c r="J2411" s="1291"/>
      <c r="K2411" s="1291"/>
      <c r="L2411" s="1400">
        <f>H2411*G2411</f>
        <v>0</v>
      </c>
      <c r="M2411" s="1400">
        <f>I2411*G2411</f>
        <v>0</v>
      </c>
      <c r="N2411" s="1400">
        <f>J2411*G2411</f>
        <v>0</v>
      </c>
      <c r="O2411" s="1400">
        <f>K2411*G2411</f>
        <v>0</v>
      </c>
      <c r="P2411" s="1299"/>
      <c r="Q2411" s="1300"/>
      <c r="R2411" s="1300"/>
      <c r="S2411" s="1300"/>
    </row>
    <row r="2412" spans="1:19" s="1081" customFormat="1" hidden="1" outlineLevel="1">
      <c r="A2412" s="1072" t="str">
        <f t="shared" si="595"/>
        <v/>
      </c>
      <c r="B2412" s="1421" t="s">
        <v>1702</v>
      </c>
      <c r="C2412" s="1458"/>
      <c r="D2412" s="1198" t="str">
        <f>VLOOKUP($B2412,dongia1,DG!$B$5,)</f>
        <v>04.9203</v>
      </c>
      <c r="E2412" s="1459" t="str">
        <f>VLOOKUP($B2412,dongia1,DG!$C$5,)</f>
        <v>Dựng trụ BTLT 10,5m trong TBA bằng thủ công + cơ giới</v>
      </c>
      <c r="F2412" s="1198" t="str">
        <f>VLOOKUP($B2412,dongia1,DG!$D$5,)</f>
        <v>trụ</v>
      </c>
      <c r="G2412" s="1198">
        <f>G2410</f>
        <v>0</v>
      </c>
      <c r="H2412" s="1459"/>
      <c r="I2412" s="1399"/>
      <c r="J2412" s="1399">
        <f>VLOOKUP($B2412,dongia1,DG!$G$5,)</f>
        <v>112286</v>
      </c>
      <c r="K2412" s="1399">
        <f>VLOOKUP($B2412,dongia1,DG!$H$5,)</f>
        <v>105970</v>
      </c>
      <c r="L2412" s="1400">
        <f>H2412*G2412</f>
        <v>0</v>
      </c>
      <c r="M2412" s="1400">
        <f>I2412*G2412</f>
        <v>0</v>
      </c>
      <c r="N2412" s="1400">
        <f>J2412*G2412</f>
        <v>0</v>
      </c>
      <c r="O2412" s="1400">
        <f>K2412*G2412</f>
        <v>0</v>
      </c>
      <c r="P2412" s="1299"/>
      <c r="Q2412" s="1300"/>
      <c r="R2412" s="1300"/>
      <c r="S2412" s="1300"/>
    </row>
    <row r="2413" spans="1:19" s="1081" customFormat="1" hidden="1" outlineLevel="1">
      <c r="A2413" s="1072" t="str">
        <f t="shared" si="595"/>
        <v/>
      </c>
      <c r="B2413" s="1421"/>
      <c r="C2413" s="1291">
        <f>IF(G2413&gt;0,C2405+1,C2405)</f>
        <v>0</v>
      </c>
      <c r="D2413" s="1198"/>
      <c r="E2413" s="1454" t="s">
        <v>3390</v>
      </c>
      <c r="F2413" s="1455" t="s">
        <v>3391</v>
      </c>
      <c r="G2413" s="1460"/>
      <c r="H2413" s="1291"/>
      <c r="I2413" s="1291"/>
      <c r="J2413" s="1291"/>
      <c r="K2413" s="1291"/>
      <c r="L2413" s="1291"/>
      <c r="M2413" s="1291"/>
      <c r="N2413" s="1291"/>
      <c r="O2413" s="1461"/>
      <c r="P2413" s="1437"/>
      <c r="Q2413" s="1300"/>
      <c r="R2413" s="1300"/>
      <c r="S2413" s="1300"/>
    </row>
    <row r="2414" spans="1:19" s="1081" customFormat="1" hidden="1" outlineLevel="1">
      <c r="A2414" s="1072" t="str">
        <f t="shared" si="595"/>
        <v/>
      </c>
      <c r="B2414" s="1421" t="s">
        <v>580</v>
      </c>
      <c r="C2414" s="1458"/>
      <c r="D2414" s="1198" t="str">
        <f>VLOOKUP($B2414,dongia1,DG!$B$5,)</f>
        <v>AG.42111</v>
      </c>
      <c r="E2414" s="1459" t="str">
        <f>VLOOKUP($B2414,dongia1,DG!$C$5,)</f>
        <v>Đà cản BTCT 1,2m</v>
      </c>
      <c r="F2414" s="1198" t="str">
        <f>VLOOKUP($B2414,dongia1,DG!$D$5,)</f>
        <v>cái</v>
      </c>
      <c r="G2414" s="1198">
        <f>G2413</f>
        <v>0</v>
      </c>
      <c r="H2414" s="1399">
        <f>VLOOKUP($B2414,dongia1,DG!$F$5,)</f>
        <v>354545</v>
      </c>
      <c r="I2414" s="1399"/>
      <c r="J2414" s="1399">
        <f>VLOOKUP($B2414,dongia1,DG!$G$5,)</f>
        <v>37220.25</v>
      </c>
      <c r="K2414" s="1291"/>
      <c r="L2414" s="1400">
        <f>H2414*G2414</f>
        <v>0</v>
      </c>
      <c r="M2414" s="1400">
        <f>I2414*G2414</f>
        <v>0</v>
      </c>
      <c r="N2414" s="1400">
        <f>J2414*G2414</f>
        <v>0</v>
      </c>
      <c r="O2414" s="1400">
        <f>K2414*G2414</f>
        <v>0</v>
      </c>
      <c r="P2414" s="1437"/>
      <c r="Q2414" s="1300"/>
      <c r="R2414" s="1300"/>
      <c r="S2414" s="1300"/>
    </row>
    <row r="2415" spans="1:19" s="1081" customFormat="1" hidden="1" outlineLevel="1">
      <c r="A2415" s="1072" t="str">
        <f t="shared" si="595"/>
        <v/>
      </c>
      <c r="B2415" s="1421" t="s">
        <v>952</v>
      </c>
      <c r="C2415" s="1458"/>
      <c r="D2415" s="1198"/>
      <c r="E2415" s="1459" t="str">
        <f>VLOOKUP($B2415,dongia1,DG!$C$5,)</f>
        <v>Boulon 22x650+ 2 long đền vuông D24-60x60x3/Zn</v>
      </c>
      <c r="F2415" s="1198" t="str">
        <f>VLOOKUP($B2415,dongia1,DG!$D$5,)</f>
        <v>bộ</v>
      </c>
      <c r="G2415" s="1198">
        <f>G2414</f>
        <v>0</v>
      </c>
      <c r="H2415" s="1399">
        <f>VLOOKUP($B2415,dongia1,DG!$F$5,)</f>
        <v>92200</v>
      </c>
      <c r="I2415" s="1459"/>
      <c r="J2415" s="1459"/>
      <c r="K2415" s="1291"/>
      <c r="L2415" s="1400">
        <f>H2415*G2415</f>
        <v>0</v>
      </c>
      <c r="M2415" s="1400">
        <f>I2415*G2415</f>
        <v>0</v>
      </c>
      <c r="N2415" s="1400">
        <f>J2415*G2415</f>
        <v>0</v>
      </c>
      <c r="O2415" s="1400">
        <f>K2415*G2415</f>
        <v>0</v>
      </c>
      <c r="P2415" s="1437"/>
      <c r="Q2415" s="1300"/>
      <c r="R2415" s="1300"/>
      <c r="S2415" s="1300"/>
    </row>
    <row r="2416" spans="1:19" s="1081" customFormat="1" hidden="1" outlineLevel="1">
      <c r="A2416" s="1072" t="str">
        <f t="shared" si="595"/>
        <v/>
      </c>
      <c r="B2416" s="1421" t="str">
        <f>IF(capdat=1,"MDD1",IF(capdat=2,"MDD2",IF(capdat=3,"MDD3",IF(capdat=4,"MDD4"))))</f>
        <v>MDD3</v>
      </c>
      <c r="C2416" s="1458"/>
      <c r="D2416" s="1198" t="str">
        <f>VLOOKUP($B2416,dongia1,DG!$B$5,)</f>
        <v>03.1013</v>
      </c>
      <c r="E2416" s="1459" t="str">
        <f>VLOOKUP($B2416,dongia1,DG!$C$5,)</f>
        <v>Đào hố móng đất cấp 3 sâu &gt;1m DT&lt;5m2</v>
      </c>
      <c r="F2416" s="1198" t="str">
        <f>VLOOKUP($B2416,dongia1,DG!$D$5,)</f>
        <v>m3</v>
      </c>
      <c r="G2416" s="1304">
        <f>1.45*G2414</f>
        <v>0</v>
      </c>
      <c r="H2416" s="1399">
        <f>VLOOKUP($B2416,dongia1,DG!$F$5,)</f>
        <v>0</v>
      </c>
      <c r="I2416" s="1399"/>
      <c r="J2416" s="1399">
        <f>VLOOKUP($B2416,dongia1,DG!$G$5,)</f>
        <v>296500.89999999997</v>
      </c>
      <c r="K2416" s="1291"/>
      <c r="L2416" s="1400">
        <f>H2416*G2416</f>
        <v>0</v>
      </c>
      <c r="M2416" s="1400">
        <f>I2416*G2416</f>
        <v>0</v>
      </c>
      <c r="N2416" s="1400">
        <f>J2416*G2416</f>
        <v>0</v>
      </c>
      <c r="O2416" s="1400">
        <f>K2416*G2416</f>
        <v>0</v>
      </c>
      <c r="P2416" s="1437"/>
      <c r="Q2416" s="1300"/>
      <c r="R2416" s="1300"/>
      <c r="S2416" s="1300"/>
    </row>
    <row r="2417" spans="1:19" s="1081" customFormat="1" hidden="1" outlineLevel="1">
      <c r="A2417" s="1072" t="str">
        <f t="shared" si="595"/>
        <v/>
      </c>
      <c r="B2417" s="1421" t="str">
        <f>IF(capdat=1,"MDAP1",IF(capdat=2,"MDAP2",IF(capdat=3,"MDAP3",IF(capdat=4,"MDAP4"))))</f>
        <v>MDAP3</v>
      </c>
      <c r="C2417" s="1458"/>
      <c r="D2417" s="1198" t="str">
        <f>VLOOKUP($B2417,dongia1,DG!$B$5,)</f>
        <v>AB.13111</v>
      </c>
      <c r="E2417" s="1459" t="str">
        <f>VLOOKUP($B2417,dongia1,DG!$C$5,)</f>
        <v>Đắp đất hố móng, đất cấp 3 (độ chặt k = 0.85)</v>
      </c>
      <c r="F2417" s="1198" t="str">
        <f>VLOOKUP($B2417,dongia1,DG!$D$5,)</f>
        <v>m3</v>
      </c>
      <c r="G2417" s="1304">
        <f>1.37*G2413</f>
        <v>0</v>
      </c>
      <c r="H2417" s="1399">
        <f>VLOOKUP($B2417,dongia1,DG!$F$5,)</f>
        <v>0</v>
      </c>
      <c r="I2417" s="1399"/>
      <c r="J2417" s="1399">
        <f>VLOOKUP($B2417,dongia1,DG!$G$5,)</f>
        <v>117703.6</v>
      </c>
      <c r="K2417" s="1291"/>
      <c r="L2417" s="1400">
        <f>H2417*G2417</f>
        <v>0</v>
      </c>
      <c r="M2417" s="1400">
        <f>I2417*G2417</f>
        <v>0</v>
      </c>
      <c r="N2417" s="1400">
        <f>J2417*G2417</f>
        <v>0</v>
      </c>
      <c r="O2417" s="1400">
        <f>K2417*G2417</f>
        <v>0</v>
      </c>
      <c r="P2417" s="1437"/>
      <c r="Q2417" s="1300"/>
      <c r="R2417" s="1300"/>
      <c r="S2417" s="1300"/>
    </row>
    <row r="2418" spans="1:19" s="1081" customFormat="1" hidden="1" outlineLevel="1">
      <c r="A2418" s="1072" t="str">
        <f t="shared" si="595"/>
        <v/>
      </c>
      <c r="B2418" s="1421"/>
      <c r="C2418" s="1291">
        <f>IF(G2418&gt;0,C2410+1,C2410)</f>
        <v>0</v>
      </c>
      <c r="D2418" s="1198"/>
      <c r="E2418" s="1454" t="s">
        <v>3392</v>
      </c>
      <c r="F2418" s="1455" t="s">
        <v>3391</v>
      </c>
      <c r="G2418" s="1460"/>
      <c r="H2418" s="1291"/>
      <c r="I2418" s="1291"/>
      <c r="J2418" s="1291"/>
      <c r="K2418" s="1291"/>
      <c r="L2418" s="1291"/>
      <c r="M2418" s="1291"/>
      <c r="N2418" s="1291"/>
      <c r="O2418" s="1461"/>
      <c r="P2418" s="1299"/>
      <c r="Q2418" s="1300"/>
      <c r="R2418" s="1300"/>
      <c r="S2418" s="1300"/>
    </row>
    <row r="2419" spans="1:19" s="1081" customFormat="1" hidden="1" outlineLevel="1">
      <c r="A2419" s="1072" t="str">
        <f t="shared" si="595"/>
        <v/>
      </c>
      <c r="B2419" s="1421" t="s">
        <v>580</v>
      </c>
      <c r="C2419" s="1458"/>
      <c r="D2419" s="1198" t="str">
        <f>VLOOKUP($B2419,dongia1,DG!$B$5,)</f>
        <v>AG.42111</v>
      </c>
      <c r="E2419" s="1459" t="str">
        <f>VLOOKUP($B2419,dongia1,DG!$C$5,)</f>
        <v>Đà cản BTCT 1,2m</v>
      </c>
      <c r="F2419" s="1198" t="str">
        <f>VLOOKUP($B2419,dongia1,DG!$D$5,)</f>
        <v>cái</v>
      </c>
      <c r="G2419" s="1198">
        <f>G2418</f>
        <v>0</v>
      </c>
      <c r="H2419" s="1399">
        <f>VLOOKUP($B2419,dongia1,DG!$F$5,)</f>
        <v>354545</v>
      </c>
      <c r="I2419" s="1399"/>
      <c r="J2419" s="1399">
        <f>VLOOKUP($B2419,dongia1,DG!$G$5,)</f>
        <v>37220.25</v>
      </c>
      <c r="K2419" s="1291"/>
      <c r="L2419" s="1400">
        <f>H2419*G2419</f>
        <v>0</v>
      </c>
      <c r="M2419" s="1400">
        <f>I2419*G2419</f>
        <v>0</v>
      </c>
      <c r="N2419" s="1400">
        <f>J2419*G2419</f>
        <v>0</v>
      </c>
      <c r="O2419" s="1400">
        <f>K2419*G2419</f>
        <v>0</v>
      </c>
      <c r="P2419" s="1299"/>
      <c r="Q2419" s="1300"/>
      <c r="R2419" s="1300"/>
      <c r="S2419" s="1300"/>
    </row>
    <row r="2420" spans="1:19" s="1081" customFormat="1" hidden="1" outlineLevel="1">
      <c r="A2420" s="1072" t="str">
        <f t="shared" si="595"/>
        <v/>
      </c>
      <c r="B2420" s="1421" t="s">
        <v>952</v>
      </c>
      <c r="C2420" s="1458"/>
      <c r="D2420" s="1198"/>
      <c r="E2420" s="1459" t="str">
        <f>VLOOKUP($B2420,dongia1,DG!$C$5,)</f>
        <v>Boulon 22x650+ 2 long đền vuông D24-60x60x3/Zn</v>
      </c>
      <c r="F2420" s="1198" t="str">
        <f>VLOOKUP($B2420,dongia1,DG!$D$5,)</f>
        <v>bộ</v>
      </c>
      <c r="G2420" s="1198">
        <f>G2419</f>
        <v>0</v>
      </c>
      <c r="H2420" s="1399">
        <f>VLOOKUP($B2420,dongia1,DG!$F$5,)</f>
        <v>92200</v>
      </c>
      <c r="I2420" s="1459"/>
      <c r="J2420" s="1459"/>
      <c r="K2420" s="1291"/>
      <c r="L2420" s="1400">
        <f>H2420*G2420</f>
        <v>0</v>
      </c>
      <c r="M2420" s="1400">
        <f>I2420*G2420</f>
        <v>0</v>
      </c>
      <c r="N2420" s="1400">
        <f>J2420*G2420</f>
        <v>0</v>
      </c>
      <c r="O2420" s="1400">
        <f>K2420*G2420</f>
        <v>0</v>
      </c>
      <c r="P2420" s="1299"/>
      <c r="Q2420" s="1300"/>
      <c r="R2420" s="1300"/>
      <c r="S2420" s="1300"/>
    </row>
    <row r="2421" spans="1:19" s="1081" customFormat="1" hidden="1" outlineLevel="1">
      <c r="A2421" s="1072" t="str">
        <f t="shared" si="595"/>
        <v/>
      </c>
      <c r="B2421" s="1421" t="str">
        <f>IF(capdat=1,"MDD1",IF(capdat=2,"MDD2",IF(capdat=3,"MDD3",IF(capdat=4,"MDD4"))))</f>
        <v>MDD3</v>
      </c>
      <c r="C2421" s="1458"/>
      <c r="D2421" s="1198" t="str">
        <f>VLOOKUP($B2421,dongia1,DG!$B$5,)</f>
        <v>03.1013</v>
      </c>
      <c r="E2421" s="1459" t="str">
        <f>VLOOKUP($B2421,dongia1,DG!$C$5,)</f>
        <v>Đào hố móng đất cấp 3 sâu &gt;1m DT&lt;5m2</v>
      </c>
      <c r="F2421" s="1198" t="str">
        <f>VLOOKUP($B2421,dongia1,DG!$D$5,)</f>
        <v>m3</v>
      </c>
      <c r="G2421" s="1304">
        <f>1.48*G2419</f>
        <v>0</v>
      </c>
      <c r="H2421" s="1399">
        <f>VLOOKUP($B2421,dongia1,DG!$F$5,)</f>
        <v>0</v>
      </c>
      <c r="I2421" s="1399"/>
      <c r="J2421" s="1399">
        <f>VLOOKUP($B2421,dongia1,DG!$G$5,)</f>
        <v>296500.89999999997</v>
      </c>
      <c r="K2421" s="1291"/>
      <c r="L2421" s="1400">
        <f>H2421*G2421</f>
        <v>0</v>
      </c>
      <c r="M2421" s="1400">
        <f>I2421*G2421</f>
        <v>0</v>
      </c>
      <c r="N2421" s="1400">
        <f>J2421*G2421</f>
        <v>0</v>
      </c>
      <c r="O2421" s="1400">
        <f>K2421*G2421</f>
        <v>0</v>
      </c>
      <c r="P2421" s="1299"/>
      <c r="Q2421" s="1300"/>
      <c r="R2421" s="1300"/>
      <c r="S2421" s="1300"/>
    </row>
    <row r="2422" spans="1:19" s="1081" customFormat="1" hidden="1" outlineLevel="1">
      <c r="A2422" s="1072" t="str">
        <f t="shared" si="595"/>
        <v/>
      </c>
      <c r="B2422" s="1421" t="str">
        <f>IF(capdat=1,"MDAP1",IF(capdat=2,"MDAP2",IF(capdat=3,"MDAP3",IF(capdat=4,"MDAP4"))))</f>
        <v>MDAP3</v>
      </c>
      <c r="C2422" s="1458"/>
      <c r="D2422" s="1198" t="str">
        <f>VLOOKUP($B2422,dongia1,DG!$B$5,)</f>
        <v>AB.13111</v>
      </c>
      <c r="E2422" s="1459" t="str">
        <f>VLOOKUP($B2422,dongia1,DG!$C$5,)</f>
        <v>Đắp đất hố móng, đất cấp 3 (độ chặt k = 0.85)</v>
      </c>
      <c r="F2422" s="1198" t="str">
        <f>VLOOKUP($B2422,dongia1,DG!$D$5,)</f>
        <v>m3</v>
      </c>
      <c r="G2422" s="1304">
        <f>1.39*G2418</f>
        <v>0</v>
      </c>
      <c r="H2422" s="1399">
        <f>VLOOKUP($B2422,dongia1,DG!$F$5,)</f>
        <v>0</v>
      </c>
      <c r="I2422" s="1399"/>
      <c r="J2422" s="1399">
        <f>VLOOKUP($B2422,dongia1,DG!$G$5,)</f>
        <v>117703.6</v>
      </c>
      <c r="K2422" s="1291"/>
      <c r="L2422" s="1400">
        <f>H2422*G2422</f>
        <v>0</v>
      </c>
      <c r="M2422" s="1400">
        <f>I2422*G2422</f>
        <v>0</v>
      </c>
      <c r="N2422" s="1400">
        <f>J2422*G2422</f>
        <v>0</v>
      </c>
      <c r="O2422" s="1400">
        <f>K2422*G2422</f>
        <v>0</v>
      </c>
      <c r="P2422" s="1299"/>
      <c r="Q2422" s="1300"/>
      <c r="R2422" s="1300"/>
      <c r="S2422" s="1300"/>
    </row>
    <row r="2423" spans="1:19" s="1081" customFormat="1" hidden="1" outlineLevel="1">
      <c r="A2423" s="1072" t="str">
        <f t="shared" si="595"/>
        <v/>
      </c>
      <c r="B2423" s="1295"/>
      <c r="C2423" s="1291">
        <f>IF(G2423&gt;0,C2413+1,C2413)</f>
        <v>0</v>
      </c>
      <c r="D2423" s="1462"/>
      <c r="E2423" s="1454" t="s">
        <v>3396</v>
      </c>
      <c r="F2423" s="1453" t="s">
        <v>2113</v>
      </c>
      <c r="G2423" s="1463">
        <f>G2391*1</f>
        <v>0</v>
      </c>
      <c r="H2423" s="1464"/>
      <c r="I2423" s="1464"/>
      <c r="J2423" s="1464"/>
      <c r="K2423" s="1464"/>
      <c r="L2423" s="1464"/>
      <c r="M2423" s="1464"/>
      <c r="N2423" s="1464"/>
      <c r="O2423" s="1464"/>
      <c r="P2423" s="1299"/>
      <c r="Q2423" s="1300"/>
      <c r="R2423" s="1300"/>
      <c r="S2423" s="1300"/>
    </row>
    <row r="2424" spans="1:19" s="1081" customFormat="1" ht="14.4" hidden="1" outlineLevel="1">
      <c r="A2424" s="1072" t="str">
        <f>A2423</f>
        <v/>
      </c>
      <c r="B2424" s="1295"/>
      <c r="C2424" s="1291"/>
      <c r="D2424" s="1465"/>
      <c r="E2424" s="1301" t="s">
        <v>3399</v>
      </c>
      <c r="F2424" s="1302"/>
      <c r="G2424" s="1303"/>
      <c r="H2424" s="1466"/>
      <c r="I2424" s="1466"/>
      <c r="J2424" s="1466"/>
      <c r="K2424" s="1466"/>
      <c r="L2424" s="1466"/>
      <c r="M2424" s="1466"/>
      <c r="N2424" s="1466"/>
      <c r="O2424" s="1466"/>
      <c r="P2424" s="1299"/>
      <c r="Q2424" s="1300"/>
      <c r="R2424" s="1300"/>
      <c r="S2424" s="1300"/>
    </row>
    <row r="2425" spans="1:19" s="1081" customFormat="1" hidden="1" outlineLevel="1">
      <c r="A2425" s="1072" t="str">
        <f t="shared" ref="A2425:A2433" si="596">IF(G2425&lt;&gt;0,1,"")</f>
        <v/>
      </c>
      <c r="B2425" s="1068" t="s">
        <v>440</v>
      </c>
      <c r="C2425" s="1291"/>
      <c r="D2425" s="1198">
        <f>VLOOKUP($B2425,dongia1,DG!$B$5,)</f>
        <v>0</v>
      </c>
      <c r="E2425" s="1243" t="str">
        <f>VLOOKUP($B2425,dongia1,DG!$C$5,)&amp;": 2 cái"</f>
        <v>Đà U200x80x5x2800 đỡ MBA: 2 cái</v>
      </c>
      <c r="F2425" s="1198" t="str">
        <f>VLOOKUP($B2425,dongia1,DG!$D$5,)</f>
        <v>kg</v>
      </c>
      <c r="G2425" s="1304">
        <f>18.4*2.8*2*G2423</f>
        <v>0</v>
      </c>
      <c r="H2425" s="1399">
        <f>VLOOKUP($B2425,dongia1,DG!$F$5,)</f>
        <v>31625</v>
      </c>
      <c r="I2425" s="1467"/>
      <c r="J2425" s="1399"/>
      <c r="K2425" s="1399">
        <f>VLOOKUP($B2425,dongia1,DG!$H$5,)</f>
        <v>0</v>
      </c>
      <c r="L2425" s="1400">
        <f t="shared" ref="L2425:L2435" si="597">H2425*G2425</f>
        <v>0</v>
      </c>
      <c r="M2425" s="1400">
        <f t="shared" ref="M2425:M2435" si="598">I2425*G2425</f>
        <v>0</v>
      </c>
      <c r="N2425" s="1298">
        <f t="shared" ref="N2425:N2432" si="599">J2425*G2425</f>
        <v>0</v>
      </c>
      <c r="O2425" s="1400">
        <f t="shared" ref="O2425:O2435" si="600">K2425*G2425</f>
        <v>0</v>
      </c>
      <c r="P2425" s="1299"/>
      <c r="Q2425" s="1300"/>
      <c r="R2425" s="1300"/>
      <c r="S2425" s="1300"/>
    </row>
    <row r="2426" spans="1:19" s="1081" customFormat="1" hidden="1" outlineLevel="1">
      <c r="A2426" s="1072" t="str">
        <f t="shared" si="596"/>
        <v/>
      </c>
      <c r="B2426" s="1068" t="s">
        <v>1308</v>
      </c>
      <c r="C2426" s="1291"/>
      <c r="D2426" s="1198">
        <f>VLOOKUP($B2426,dongia1,DG!$B$5,)</f>
        <v>0</v>
      </c>
      <c r="E2426" s="1243" t="str">
        <f>VLOOKUP($B2426,dongia1,DG!$C$5,)&amp;": 4 cái"</f>
        <v>Đà U100x46x4,5x400 : 4 cái</v>
      </c>
      <c r="F2426" s="1198" t="str">
        <f>VLOOKUP($B2426,dongia1,DG!$D$5,)</f>
        <v>kg</v>
      </c>
      <c r="G2426" s="1304">
        <f>8.59*0.4*4*G2423</f>
        <v>0</v>
      </c>
      <c r="H2426" s="1399">
        <f>VLOOKUP($B2426,dongia1,DG!$F$5,)</f>
        <v>31625</v>
      </c>
      <c r="I2426" s="1467"/>
      <c r="J2426" s="1399"/>
      <c r="K2426" s="1399">
        <f>VLOOKUP($B2426,dongia1,DG!$H$5,)</f>
        <v>0</v>
      </c>
      <c r="L2426" s="1400">
        <f t="shared" si="597"/>
        <v>0</v>
      </c>
      <c r="M2426" s="1400">
        <f t="shared" si="598"/>
        <v>0</v>
      </c>
      <c r="N2426" s="1298">
        <f t="shared" si="599"/>
        <v>0</v>
      </c>
      <c r="O2426" s="1400">
        <f t="shared" si="600"/>
        <v>0</v>
      </c>
      <c r="P2426" s="1299"/>
      <c r="Q2426" s="1300"/>
      <c r="R2426" s="1300"/>
      <c r="S2426" s="1300"/>
    </row>
    <row r="2427" spans="1:19" s="1081" customFormat="1" hidden="1" outlineLevel="1">
      <c r="A2427" s="1072" t="str">
        <f t="shared" si="596"/>
        <v/>
      </c>
      <c r="B2427" s="1068" t="s">
        <v>1309</v>
      </c>
      <c r="C2427" s="1291"/>
      <c r="D2427" s="1198">
        <f>VLOOKUP($B2427,dongia1,DG!$B$5,)</f>
        <v>0</v>
      </c>
      <c r="E2427" s="1243" t="str">
        <f>VLOOKUP($B2427,dongia1,DG!$C$5,)&amp;": 2 cái"</f>
        <v>Đà U100x46x4,5x800 : 2 cái</v>
      </c>
      <c r="F2427" s="1198" t="str">
        <f>VLOOKUP($B2427,dongia1,DG!$D$5,)</f>
        <v>kg</v>
      </c>
      <c r="G2427" s="1304">
        <f>8.59*0.8*2*G2423</f>
        <v>0</v>
      </c>
      <c r="H2427" s="1399">
        <f>VLOOKUP($B2427,dongia1,DG!$F$5,)</f>
        <v>31625</v>
      </c>
      <c r="I2427" s="1467"/>
      <c r="J2427" s="1399"/>
      <c r="K2427" s="1399">
        <f>VLOOKUP($B2427,dongia1,DG!$H$5,)</f>
        <v>0</v>
      </c>
      <c r="L2427" s="1400">
        <f t="shared" si="597"/>
        <v>0</v>
      </c>
      <c r="M2427" s="1400">
        <f t="shared" si="598"/>
        <v>0</v>
      </c>
      <c r="N2427" s="1298">
        <f t="shared" si="599"/>
        <v>0</v>
      </c>
      <c r="O2427" s="1400">
        <f t="shared" si="600"/>
        <v>0</v>
      </c>
      <c r="P2427" s="1299"/>
      <c r="Q2427" s="1300"/>
      <c r="R2427" s="1300"/>
      <c r="S2427" s="1300"/>
    </row>
    <row r="2428" spans="1:19" s="1081" customFormat="1" hidden="1" outlineLevel="1">
      <c r="A2428" s="1072" t="str">
        <f t="shared" si="596"/>
        <v/>
      </c>
      <c r="B2428" s="1295" t="s">
        <v>1039</v>
      </c>
      <c r="C2428" s="1291"/>
      <c r="D2428" s="1198">
        <f>VLOOKUP($B2428,dongia1,DG!$B$5,)</f>
        <v>0</v>
      </c>
      <c r="E2428" s="1243" t="str">
        <f>VLOOKUP($B2428,dongia1,DG!$C$5,)</f>
        <v>Boulon 16x400VRS+ 4 long đền vuông D18-50x50x3/Zn</v>
      </c>
      <c r="F2428" s="1198" t="str">
        <f>VLOOKUP($B2428,dongia1,DG!$D$5,)</f>
        <v>bộ</v>
      </c>
      <c r="G2428" s="1304">
        <f>G2423*10</f>
        <v>0</v>
      </c>
      <c r="H2428" s="1399">
        <f>VLOOKUP($B2428,dongia1,DG!$F$5,)</f>
        <v>34800</v>
      </c>
      <c r="I2428" s="1467"/>
      <c r="J2428" s="1399">
        <f>VLOOKUP($B2428,dongia1,DG!$G$5,)</f>
        <v>0</v>
      </c>
      <c r="K2428" s="1399">
        <f>VLOOKUP($B2428,dongia1,DG!$H$5,)</f>
        <v>0</v>
      </c>
      <c r="L2428" s="1400">
        <f t="shared" si="597"/>
        <v>0</v>
      </c>
      <c r="M2428" s="1400">
        <f t="shared" si="598"/>
        <v>0</v>
      </c>
      <c r="N2428" s="1298">
        <f t="shared" si="599"/>
        <v>0</v>
      </c>
      <c r="O2428" s="1400">
        <f t="shared" si="600"/>
        <v>0</v>
      </c>
      <c r="P2428" s="1299"/>
      <c r="Q2428" s="1300"/>
      <c r="R2428" s="1300"/>
      <c r="S2428" s="1300"/>
    </row>
    <row r="2429" spans="1:19" s="1081" customFormat="1" hidden="1" outlineLevel="1">
      <c r="A2429" s="1072" t="str">
        <f t="shared" si="596"/>
        <v/>
      </c>
      <c r="B2429" s="1295" t="s">
        <v>82</v>
      </c>
      <c r="C2429" s="1291"/>
      <c r="D2429" s="1198">
        <f>VLOOKUP($B2429,dongia1,DG!$B$5,)</f>
        <v>0</v>
      </c>
      <c r="E2429" s="1243" t="str">
        <f>VLOOKUP($B2429,dongia1,DG!$C$5,)</f>
        <v>Boulon 16x400+ 2 long đền vuông D18-50x50x3/Zn</v>
      </c>
      <c r="F2429" s="1198" t="str">
        <f>VLOOKUP($B2429,dongia1,DG!$D$5,)</f>
        <v>bộ</v>
      </c>
      <c r="G2429" s="1304">
        <f>G2423*2</f>
        <v>0</v>
      </c>
      <c r="H2429" s="1399">
        <f>VLOOKUP($B2429,dongia1,DG!$F$5,)</f>
        <v>29900</v>
      </c>
      <c r="I2429" s="1467"/>
      <c r="J2429" s="1399">
        <f>VLOOKUP($B2429,dongia1,DG!$G$5,)</f>
        <v>0</v>
      </c>
      <c r="K2429" s="1399">
        <f>VLOOKUP($B2429,dongia1,DG!$H$5,)</f>
        <v>0</v>
      </c>
      <c r="L2429" s="1400">
        <f t="shared" si="597"/>
        <v>0</v>
      </c>
      <c r="M2429" s="1400">
        <f t="shared" si="598"/>
        <v>0</v>
      </c>
      <c r="N2429" s="1298">
        <f t="shared" si="599"/>
        <v>0</v>
      </c>
      <c r="O2429" s="1400">
        <f t="shared" si="600"/>
        <v>0</v>
      </c>
      <c r="P2429" s="1299"/>
      <c r="Q2429" s="1300"/>
      <c r="R2429" s="1300"/>
      <c r="S2429" s="1300"/>
    </row>
    <row r="2430" spans="1:19" s="1081" customFormat="1" hidden="1" outlineLevel="1">
      <c r="A2430" s="1072" t="str">
        <f t="shared" si="596"/>
        <v/>
      </c>
      <c r="B2430" s="1295" t="s">
        <v>733</v>
      </c>
      <c r="C2430" s="1291"/>
      <c r="D2430" s="1198">
        <f>VLOOKUP($B2430,dongia1,DG!$B$5,)</f>
        <v>0</v>
      </c>
      <c r="E2430" s="1243" t="str">
        <f>VLOOKUP($B2430,dongia1,DG!$C$5,)</f>
        <v>Boulon 16x350+ 2 long đền vuông D18-50x50x3/Zn</v>
      </c>
      <c r="F2430" s="1198" t="str">
        <f>VLOOKUP($B2430,dongia1,DG!$D$5,)</f>
        <v>bộ</v>
      </c>
      <c r="G2430" s="1304">
        <f>G2423*12</f>
        <v>0</v>
      </c>
      <c r="H2430" s="1399">
        <f>VLOOKUP($B2430,dongia1,DG!$F$5,)</f>
        <v>27900</v>
      </c>
      <c r="I2430" s="1467"/>
      <c r="J2430" s="1399">
        <f>VLOOKUP($B2430,dongia1,DG!$G$5,)</f>
        <v>0</v>
      </c>
      <c r="K2430" s="1399">
        <f>VLOOKUP($B2430,dongia1,DG!$H$5,)</f>
        <v>0</v>
      </c>
      <c r="L2430" s="1400">
        <f t="shared" si="597"/>
        <v>0</v>
      </c>
      <c r="M2430" s="1400">
        <f t="shared" si="598"/>
        <v>0</v>
      </c>
      <c r="N2430" s="1298">
        <f t="shared" si="599"/>
        <v>0</v>
      </c>
      <c r="O2430" s="1400">
        <f t="shared" si="600"/>
        <v>0</v>
      </c>
      <c r="P2430" s="1299"/>
      <c r="Q2430" s="1300"/>
      <c r="R2430" s="1300"/>
      <c r="S2430" s="1300"/>
    </row>
    <row r="2431" spans="1:19" s="1081" customFormat="1" hidden="1" outlineLevel="1">
      <c r="A2431" s="1072" t="str">
        <f>IF(G2431&lt;&gt;0,1,"")</f>
        <v/>
      </c>
      <c r="B2431" s="1068" t="s">
        <v>728</v>
      </c>
      <c r="C2431" s="1291"/>
      <c r="D2431" s="1198" t="str">
        <f>VLOOKUP($B2431,dongia1,DG!$B$5,)</f>
        <v>D2.6054</v>
      </c>
      <c r="E2431" s="1243" t="str">
        <f>VLOOKUP($B2431,dongia1,DG!$C$5,)&amp;": 1 Bộ 2 cái"</f>
        <v>Lắp xà cột Pi loại ≤140kg/xà: 1 Bộ 2 cái</v>
      </c>
      <c r="F2431" s="1198" t="str">
        <f>VLOOKUP($B2431,dongia1,DG!$D$5,)</f>
        <v>bộ</v>
      </c>
      <c r="G2431" s="1304">
        <f>+G2423*1</f>
        <v>0</v>
      </c>
      <c r="H2431" s="1399">
        <f>VLOOKUP($B2431,dongia1,DG!$F$5,)</f>
        <v>0</v>
      </c>
      <c r="I2431" s="1467"/>
      <c r="J2431" s="1399">
        <f>VLOOKUP($B2431,dongia1,DG!$G$5,)</f>
        <v>474961</v>
      </c>
      <c r="K2431" s="1399">
        <f>VLOOKUP($B2431,dongia1,DG!$H$5,)</f>
        <v>0</v>
      </c>
      <c r="L2431" s="1400">
        <f>H2431*G2431</f>
        <v>0</v>
      </c>
      <c r="M2431" s="1400">
        <f t="shared" si="598"/>
        <v>0</v>
      </c>
      <c r="N2431" s="1298">
        <f t="shared" si="599"/>
        <v>0</v>
      </c>
      <c r="O2431" s="1400">
        <f t="shared" si="600"/>
        <v>0</v>
      </c>
      <c r="P2431" s="1299"/>
      <c r="Q2431" s="1300"/>
      <c r="R2431" s="1300"/>
      <c r="S2431" s="1300"/>
    </row>
    <row r="2432" spans="1:19" s="1081" customFormat="1" hidden="1" outlineLevel="1">
      <c r="A2432" s="1072" t="str">
        <f>IF(G2432&lt;&gt;0,1,"")</f>
        <v/>
      </c>
      <c r="B2432" s="1068" t="s">
        <v>2191</v>
      </c>
      <c r="C2432" s="1291"/>
      <c r="D2432" s="1198" t="str">
        <f>VLOOKUP($B2432,dongia1,DG!$B$5,)</f>
        <v>D2.6021</v>
      </c>
      <c r="E2432" s="1243" t="str">
        <f>VLOOKUP($B2432,dongia1,DG!$C$5,)&amp;": 1 Bộ 2 cái"</f>
        <v>Lắp xà đỡ 25kg: 1 Bộ 2 cái</v>
      </c>
      <c r="F2432" s="1198" t="str">
        <f>VLOOKUP($B2432,dongia1,DG!$D$5,)</f>
        <v>bộ</v>
      </c>
      <c r="G2432" s="1303"/>
      <c r="H2432" s="1399">
        <f>VLOOKUP($B2432,dongia1,DG!$F$5,)</f>
        <v>0</v>
      </c>
      <c r="I2432" s="1467"/>
      <c r="J2432" s="1399">
        <f>VLOOKUP($B2432,dongia1,DG!$G$5,)</f>
        <v>219185.25</v>
      </c>
      <c r="K2432" s="1399">
        <f>VLOOKUP($B2432,dongia1,DG!$H$5,)</f>
        <v>0</v>
      </c>
      <c r="L2432" s="1400">
        <f>H2432*G2432</f>
        <v>0</v>
      </c>
      <c r="M2432" s="1400">
        <f t="shared" si="598"/>
        <v>0</v>
      </c>
      <c r="N2432" s="1298">
        <f t="shared" si="599"/>
        <v>0</v>
      </c>
      <c r="O2432" s="1400">
        <f t="shared" si="600"/>
        <v>0</v>
      </c>
      <c r="P2432" s="1299"/>
      <c r="Q2432" s="1300"/>
      <c r="R2432" s="1300"/>
      <c r="S2432" s="1300"/>
    </row>
    <row r="2433" spans="1:19" s="1081" customFormat="1" hidden="1" outlineLevel="1">
      <c r="A2433" s="1072" t="str">
        <f t="shared" si="596"/>
        <v/>
      </c>
      <c r="B2433" s="1295"/>
      <c r="C2433" s="1291">
        <f>IF(G2433&gt;0,C2423+1,C2423)</f>
        <v>0</v>
      </c>
      <c r="D2433" s="1292"/>
      <c r="E2433" s="1468" t="s">
        <v>3452</v>
      </c>
      <c r="F2433" s="1291" t="s">
        <v>2113</v>
      </c>
      <c r="G2433" s="1297">
        <f>+G2391*2</f>
        <v>0</v>
      </c>
      <c r="H2433" s="1467"/>
      <c r="I2433" s="1467"/>
      <c r="J2433" s="1467"/>
      <c r="K2433" s="1467"/>
      <c r="L2433" s="1400">
        <f t="shared" si="597"/>
        <v>0</v>
      </c>
      <c r="M2433" s="1400">
        <f t="shared" si="598"/>
        <v>0</v>
      </c>
      <c r="N2433" s="1400">
        <f t="shared" ref="N2433:N2439" si="601">J2433*G2433</f>
        <v>0</v>
      </c>
      <c r="O2433" s="1400">
        <f t="shared" si="600"/>
        <v>0</v>
      </c>
      <c r="P2433" s="1299"/>
      <c r="Q2433" s="1300"/>
      <c r="R2433" s="1300"/>
      <c r="S2433" s="1300"/>
    </row>
    <row r="2434" spans="1:19" s="1081" customFormat="1" ht="14.4" hidden="1" outlineLevel="1">
      <c r="A2434" s="1072" t="str">
        <f>A2433</f>
        <v/>
      </c>
      <c r="B2434" s="1295"/>
      <c r="C2434" s="1291"/>
      <c r="D2434" s="1198"/>
      <c r="E2434" s="1301" t="s">
        <v>3399</v>
      </c>
      <c r="F2434" s="1302"/>
      <c r="G2434" s="1303"/>
      <c r="H2434" s="1467"/>
      <c r="I2434" s="1467"/>
      <c r="J2434" s="1467"/>
      <c r="K2434" s="1467"/>
      <c r="L2434" s="1400">
        <f t="shared" si="597"/>
        <v>0</v>
      </c>
      <c r="M2434" s="1400">
        <f t="shared" si="598"/>
        <v>0</v>
      </c>
      <c r="N2434" s="1400">
        <f t="shared" si="601"/>
        <v>0</v>
      </c>
      <c r="O2434" s="1400">
        <f t="shared" si="600"/>
        <v>0</v>
      </c>
      <c r="P2434" s="1299"/>
      <c r="Q2434" s="1300"/>
      <c r="R2434" s="1300"/>
      <c r="S2434" s="1300"/>
    </row>
    <row r="2435" spans="1:19" s="1081" customFormat="1" hidden="1" outlineLevel="1">
      <c r="A2435" s="1072" t="str">
        <f t="shared" ref="A2435:A2446" si="602">IF(G2435&lt;&gt;0,1,"")</f>
        <v/>
      </c>
      <c r="B2435" s="1068" t="s">
        <v>1626</v>
      </c>
      <c r="C2435" s="1291"/>
      <c r="D2435" s="1198">
        <f>VLOOKUP($B2435,dongia1,DG!$B$5,)</f>
        <v>0</v>
      </c>
      <c r="E2435" s="1243" t="str">
        <f>VLOOKUP($B2435,dongia1,DG!$C$5,)</f>
        <v>Sắt góc L75 x75 x8</v>
      </c>
      <c r="F2435" s="1198" t="str">
        <f>VLOOKUP($B2435,dongia1,DG!$D$5,)</f>
        <v>kg</v>
      </c>
      <c r="G2435" s="1304">
        <f>G2433*9.02*(2.6+3*0.07)*2</f>
        <v>0</v>
      </c>
      <c r="H2435" s="1399">
        <f>VLOOKUP($B2435,dongia1,DG!$F$5,)</f>
        <v>31625</v>
      </c>
      <c r="I2435" s="1399"/>
      <c r="J2435" s="1399">
        <f>VLOOKUP($B2435,dongia1,DG!$G$5,)</f>
        <v>0</v>
      </c>
      <c r="K2435" s="1399">
        <v>0</v>
      </c>
      <c r="L2435" s="1400">
        <f t="shared" si="597"/>
        <v>0</v>
      </c>
      <c r="M2435" s="1400">
        <f t="shared" si="598"/>
        <v>0</v>
      </c>
      <c r="N2435" s="1298">
        <f t="shared" si="601"/>
        <v>0</v>
      </c>
      <c r="O2435" s="1400">
        <f t="shared" si="600"/>
        <v>0</v>
      </c>
      <c r="P2435" s="1299"/>
      <c r="Q2435" s="1300"/>
      <c r="R2435" s="1300"/>
      <c r="S2435" s="1300"/>
    </row>
    <row r="2436" spans="1:19" s="1081" customFormat="1" hidden="1" outlineLevel="1">
      <c r="A2436" s="1072" t="str">
        <f t="shared" si="602"/>
        <v/>
      </c>
      <c r="B2436" s="1295" t="s">
        <v>1042</v>
      </c>
      <c r="C2436" s="1291"/>
      <c r="D2436" s="1198">
        <f>VLOOKUP($B2436,dongia1,DG!$B$5,)</f>
        <v>0</v>
      </c>
      <c r="E2436" s="1243" t="str">
        <f>VLOOKUP($B2436,dongia1,DG!$C$5,)</f>
        <v>Boulon 16x300VRS+ 4 long đền vuông D18-50x50x3/Zn</v>
      </c>
      <c r="F2436" s="1198" t="str">
        <f>VLOOKUP($B2436,dongia1,DG!$D$5,)</f>
        <v>bộ</v>
      </c>
      <c r="G2436" s="1304">
        <f>G2433*2</f>
        <v>0</v>
      </c>
      <c r="H2436" s="1399">
        <f>VLOOKUP($B2436,dongia1,DG!$F$5,)</f>
        <v>31800</v>
      </c>
      <c r="I2436" s="1399">
        <v>0</v>
      </c>
      <c r="J2436" s="1399">
        <f>VLOOKUP($B2436,dongia1,DG!$G$5,)</f>
        <v>0</v>
      </c>
      <c r="K2436" s="1399">
        <v>0</v>
      </c>
      <c r="L2436" s="1400">
        <f t="shared" ref="L2436:L2463" si="603">H2436*G2436</f>
        <v>0</v>
      </c>
      <c r="M2436" s="1400">
        <f>I2436*G2436</f>
        <v>0</v>
      </c>
      <c r="N2436" s="1298">
        <f t="shared" si="601"/>
        <v>0</v>
      </c>
      <c r="O2436" s="1400">
        <f>K2436*G2436</f>
        <v>0</v>
      </c>
      <c r="P2436" s="1299"/>
      <c r="Q2436" s="1300"/>
      <c r="R2436" s="1300"/>
      <c r="S2436" s="1300"/>
    </row>
    <row r="2437" spans="1:19" s="1081" customFormat="1" hidden="1" outlineLevel="1">
      <c r="A2437" s="1072" t="str">
        <f t="shared" si="602"/>
        <v/>
      </c>
      <c r="B2437" s="1295" t="s">
        <v>1262</v>
      </c>
      <c r="C2437" s="1291"/>
      <c r="D2437" s="1198">
        <f>VLOOKUP($B2437,dongia1,DG!$B$5,)</f>
        <v>0</v>
      </c>
      <c r="E2437" s="1243" t="str">
        <f>VLOOKUP($B2437,dongia1,DG!$C$5,)</f>
        <v>Boulon 16x300+ 2 long đền vuông D18-50x50x3/Zn</v>
      </c>
      <c r="F2437" s="1198" t="str">
        <f>VLOOKUP($B2437,dongia1,DG!$D$5,)</f>
        <v>bộ</v>
      </c>
      <c r="G2437" s="1304">
        <f>G2433*2</f>
        <v>0</v>
      </c>
      <c r="H2437" s="1399">
        <f>VLOOKUP($B2437,dongia1,DG!$F$5,)</f>
        <v>25400</v>
      </c>
      <c r="I2437" s="1399">
        <v>0</v>
      </c>
      <c r="J2437" s="1399">
        <f>VLOOKUP($B2437,dongia1,DG!$G$5,)</f>
        <v>0</v>
      </c>
      <c r="K2437" s="1399">
        <v>0</v>
      </c>
      <c r="L2437" s="1400">
        <f t="shared" si="603"/>
        <v>0</v>
      </c>
      <c r="M2437" s="1400">
        <f>I2437*G2437</f>
        <v>0</v>
      </c>
      <c r="N2437" s="1298">
        <f t="shared" si="601"/>
        <v>0</v>
      </c>
      <c r="O2437" s="1400">
        <f>K2437*G2437</f>
        <v>0</v>
      </c>
      <c r="P2437" s="1299"/>
      <c r="Q2437" s="1300"/>
      <c r="R2437" s="1300"/>
      <c r="S2437" s="1300"/>
    </row>
    <row r="2438" spans="1:19" s="1081" customFormat="1" hidden="1" outlineLevel="1">
      <c r="A2438" s="1072" t="str">
        <f t="shared" si="602"/>
        <v/>
      </c>
      <c r="B2438" s="1295" t="s">
        <v>1261</v>
      </c>
      <c r="C2438" s="1291"/>
      <c r="D2438" s="1198">
        <f>VLOOKUP($B2438,dongia1,DG!$B$5,)</f>
        <v>0</v>
      </c>
      <c r="E2438" s="1243" t="str">
        <f>VLOOKUP($B2438,dongia1,DG!$C$5,)</f>
        <v>Boulon 16x250+ 2 long đền vuông D18-50x50x3/Zn</v>
      </c>
      <c r="F2438" s="1198" t="str">
        <f>VLOOKUP($B2438,dongia1,DG!$D$5,)</f>
        <v>bộ</v>
      </c>
      <c r="G2438" s="1304">
        <f>G2437</f>
        <v>0</v>
      </c>
      <c r="H2438" s="1399">
        <f>VLOOKUP($B2438,dongia1,DG!$F$5,)</f>
        <v>13400</v>
      </c>
      <c r="I2438" s="1399">
        <v>0</v>
      </c>
      <c r="J2438" s="1399">
        <f>VLOOKUP($B2438,dongia1,DG!$G$5,)</f>
        <v>0</v>
      </c>
      <c r="K2438" s="1399">
        <v>0</v>
      </c>
      <c r="L2438" s="1400">
        <f t="shared" si="603"/>
        <v>0</v>
      </c>
      <c r="M2438" s="1400">
        <f>I2438*G2438</f>
        <v>0</v>
      </c>
      <c r="N2438" s="1298">
        <f t="shared" si="601"/>
        <v>0</v>
      </c>
      <c r="O2438" s="1400">
        <f>K2438*G2438</f>
        <v>0</v>
      </c>
      <c r="P2438" s="1299"/>
      <c r="Q2438" s="1300"/>
      <c r="R2438" s="1300"/>
      <c r="S2438" s="1300"/>
    </row>
    <row r="2439" spans="1:19" s="1081" customFormat="1" hidden="1" outlineLevel="1">
      <c r="A2439" s="1072" t="str">
        <f t="shared" si="602"/>
        <v/>
      </c>
      <c r="B2439" s="1295" t="s">
        <v>728</v>
      </c>
      <c r="C2439" s="1291"/>
      <c r="D2439" s="1198" t="str">
        <f>VLOOKUP($B2439,dongia1,DG!$B$5,)</f>
        <v>D2.6054</v>
      </c>
      <c r="E2439" s="1243" t="str">
        <f>VLOOKUP($B2439,dongia1,DG!$C$5,)</f>
        <v>Lắp xà cột Pi loại ≤140kg/xà</v>
      </c>
      <c r="F2439" s="1198" t="str">
        <f>VLOOKUP($B2439,dongia1,DG!$D$5,)</f>
        <v>bộ</v>
      </c>
      <c r="G2439" s="1304">
        <f>G2433</f>
        <v>0</v>
      </c>
      <c r="H2439" s="1399">
        <v>0</v>
      </c>
      <c r="I2439" s="1399"/>
      <c r="J2439" s="1399">
        <f>VLOOKUP($B2439,dongia1,DG!$G$5,)</f>
        <v>474961</v>
      </c>
      <c r="K2439" s="1399"/>
      <c r="L2439" s="1400">
        <f t="shared" si="603"/>
        <v>0</v>
      </c>
      <c r="M2439" s="1400"/>
      <c r="N2439" s="1298">
        <f t="shared" si="601"/>
        <v>0</v>
      </c>
      <c r="O2439" s="1400"/>
      <c r="P2439" s="1299"/>
      <c r="Q2439" s="1300"/>
      <c r="R2439" s="1300"/>
      <c r="S2439" s="1300"/>
    </row>
    <row r="2440" spans="1:19" s="1081" customFormat="1" hidden="1" outlineLevel="1">
      <c r="A2440" s="1072" t="str">
        <f>IF(G2440&lt;&gt;0,1,"")</f>
        <v/>
      </c>
      <c r="B2440" s="1295"/>
      <c r="C2440" s="1291">
        <f>IF(G2440&gt;0,C2433+1,C2433)</f>
        <v>0</v>
      </c>
      <c r="D2440" s="1292"/>
      <c r="E2440" s="1468" t="s">
        <v>3435</v>
      </c>
      <c r="F2440" s="1291" t="s">
        <v>2113</v>
      </c>
      <c r="G2440" s="1297">
        <f>+G2391*1</f>
        <v>0</v>
      </c>
      <c r="H2440" s="1467"/>
      <c r="I2440" s="1467"/>
      <c r="J2440" s="1467"/>
      <c r="K2440" s="1467"/>
      <c r="L2440" s="1400">
        <f t="shared" si="603"/>
        <v>0</v>
      </c>
      <c r="M2440" s="1400">
        <f>I2440*G2440</f>
        <v>0</v>
      </c>
      <c r="N2440" s="1400">
        <f>J2440*G2440</f>
        <v>0</v>
      </c>
      <c r="O2440" s="1400">
        <f>K2440*G2440</f>
        <v>0</v>
      </c>
      <c r="P2440" s="1299"/>
      <c r="Q2440" s="1300"/>
      <c r="R2440" s="1300"/>
      <c r="S2440" s="1300"/>
    </row>
    <row r="2441" spans="1:19" s="1081" customFormat="1" ht="14.4" hidden="1" outlineLevel="1">
      <c r="A2441" s="1072" t="str">
        <f>A2440</f>
        <v/>
      </c>
      <c r="B2441" s="1295"/>
      <c r="C2441" s="1291"/>
      <c r="D2441" s="1292"/>
      <c r="E2441" s="1301" t="s">
        <v>3399</v>
      </c>
      <c r="F2441" s="1302"/>
      <c r="G2441" s="1303"/>
      <c r="H2441" s="1467"/>
      <c r="I2441" s="1467"/>
      <c r="J2441" s="1467"/>
      <c r="K2441" s="1467"/>
      <c r="L2441" s="1400">
        <f t="shared" si="603"/>
        <v>0</v>
      </c>
      <c r="M2441" s="1400">
        <f>I2441*G2441</f>
        <v>0</v>
      </c>
      <c r="N2441" s="1400">
        <f>J2441*G2441</f>
        <v>0</v>
      </c>
      <c r="O2441" s="1400">
        <f>K2441*G2441</f>
        <v>0</v>
      </c>
      <c r="P2441" s="1299"/>
      <c r="Q2441" s="1300"/>
      <c r="R2441" s="1300"/>
      <c r="S2441" s="1300"/>
    </row>
    <row r="2442" spans="1:19" s="1081" customFormat="1" hidden="1" outlineLevel="1">
      <c r="A2442" s="1072" t="str">
        <f>IF(G2442&lt;&gt;0,1,"")</f>
        <v/>
      </c>
      <c r="B2442" s="1067" t="s">
        <v>2167</v>
      </c>
      <c r="C2442" s="1291"/>
      <c r="D2442" s="1198">
        <f>VLOOKUP($B2442,dongia1,DG!$B$5,)</f>
        <v>0</v>
      </c>
      <c r="E2442" s="1243" t="str">
        <f>VLOOKUP($B2442,dongia1,DG!$C$5,)</f>
        <v>Đà Composite 110x80x5x2600</v>
      </c>
      <c r="F2442" s="1198" t="str">
        <f>VLOOKUP($B2442,dongia1,DG!$D$5,)</f>
        <v>cây</v>
      </c>
      <c r="G2442" s="1304">
        <f>+G2440*1</f>
        <v>0</v>
      </c>
      <c r="H2442" s="1399">
        <f>VLOOKUP($B2442,dongia1,DG!$F$5,)</f>
        <v>878000</v>
      </c>
      <c r="I2442" s="1399"/>
      <c r="J2442" s="1399">
        <f>VLOOKUP($B2442,dongia1,DG!$G$5,)</f>
        <v>0</v>
      </c>
      <c r="K2442" s="1399">
        <v>0</v>
      </c>
      <c r="L2442" s="1400">
        <f t="shared" si="603"/>
        <v>0</v>
      </c>
      <c r="M2442" s="1400">
        <f>I2442*G2442</f>
        <v>0</v>
      </c>
      <c r="N2442" s="1298">
        <f t="shared" ref="N2442:N2502" si="604">J2442*G2442</f>
        <v>0</v>
      </c>
      <c r="O2442" s="1400">
        <f>K2442*G2442</f>
        <v>0</v>
      </c>
      <c r="P2442" s="1437"/>
      <c r="Q2442" s="1300"/>
      <c r="R2442" s="1300"/>
      <c r="S2442" s="1300"/>
    </row>
    <row r="2443" spans="1:19" s="1081" customFormat="1" hidden="1" outlineLevel="1">
      <c r="A2443" s="1072" t="str">
        <f>IF(G2443&lt;&gt;0,1,"")</f>
        <v/>
      </c>
      <c r="B2443" s="1073" t="s">
        <v>428</v>
      </c>
      <c r="C2443" s="1291"/>
      <c r="D2443" s="1198">
        <f>VLOOKUP($B2443,dongia1,DG!$B$5,)</f>
        <v>0</v>
      </c>
      <c r="E2443" s="1243" t="str">
        <f>VLOOKUP($B2443,dongia1,DG!$C$5,)</f>
        <v>Bass LL bắt FCO và LA</v>
      </c>
      <c r="F2443" s="1198" t="str">
        <f>VLOOKUP($B2443,dongia1,DG!$D$5,)</f>
        <v>bộ</v>
      </c>
      <c r="G2443" s="1304">
        <f>+G2440*3</f>
        <v>0</v>
      </c>
      <c r="H2443" s="1399">
        <f>VLOOKUP($B2443,dongia1,DG!$F$5,)</f>
        <v>65000</v>
      </c>
      <c r="I2443" s="1399">
        <v>0</v>
      </c>
      <c r="J2443" s="1399">
        <f>VLOOKUP($B2443,dongia1,DG!$G$5,)</f>
        <v>0</v>
      </c>
      <c r="K2443" s="1399">
        <v>0</v>
      </c>
      <c r="L2443" s="1400">
        <f t="shared" si="603"/>
        <v>0</v>
      </c>
      <c r="M2443" s="1400">
        <f>I2443*G2443</f>
        <v>0</v>
      </c>
      <c r="N2443" s="1298">
        <f t="shared" si="604"/>
        <v>0</v>
      </c>
      <c r="O2443" s="1400">
        <f>K2443*G2443</f>
        <v>0</v>
      </c>
      <c r="P2443" s="1299"/>
      <c r="Q2443" s="1300"/>
      <c r="R2443" s="1300"/>
      <c r="S2443" s="1300"/>
    </row>
    <row r="2444" spans="1:19" s="1081" customFormat="1" hidden="1" outlineLevel="1">
      <c r="A2444" s="1072" t="str">
        <f>IF(G2444&lt;&gt;0,1,"")</f>
        <v/>
      </c>
      <c r="B2444" s="1295" t="s">
        <v>733</v>
      </c>
      <c r="C2444" s="1291"/>
      <c r="D2444" s="1198">
        <f>VLOOKUP($B2444,dongia1,DG!$B$5,)</f>
        <v>0</v>
      </c>
      <c r="E2444" s="1243" t="str">
        <f>VLOOKUP($B2444,dongia1,DG!$C$5,)</f>
        <v>Boulon 16x350+ 2 long đền vuông D18-50x50x3/Zn</v>
      </c>
      <c r="F2444" s="1198" t="str">
        <f>VLOOKUP($B2444,dongia1,DG!$D$5,)</f>
        <v>bộ</v>
      </c>
      <c r="G2444" s="1304">
        <f>+G2440*2</f>
        <v>0</v>
      </c>
      <c r="H2444" s="1399">
        <f>VLOOKUP($B2444,dongia1,DG!$F$5,)</f>
        <v>27900</v>
      </c>
      <c r="I2444" s="1467"/>
      <c r="J2444" s="1399">
        <f>VLOOKUP($B2444,dongia1,DG!$G$5,)</f>
        <v>0</v>
      </c>
      <c r="K2444" s="1399">
        <f>VLOOKUP($B2444,dongia1,DG!$H$5,)</f>
        <v>0</v>
      </c>
      <c r="L2444" s="1400">
        <f t="shared" si="603"/>
        <v>0</v>
      </c>
      <c r="M2444" s="1400">
        <f>I2444*G2444</f>
        <v>0</v>
      </c>
      <c r="N2444" s="1298">
        <f t="shared" si="604"/>
        <v>0</v>
      </c>
      <c r="O2444" s="1400">
        <f>K2444*G2444</f>
        <v>0</v>
      </c>
      <c r="P2444" s="1299"/>
      <c r="Q2444" s="1300"/>
      <c r="R2444" s="1300"/>
      <c r="S2444" s="1300"/>
    </row>
    <row r="2445" spans="1:19" s="1081" customFormat="1" hidden="1" outlineLevel="1">
      <c r="A2445" s="1072" t="str">
        <f>IF(G2445&lt;&gt;0,1,"")</f>
        <v/>
      </c>
      <c r="B2445" s="1068" t="s">
        <v>728</v>
      </c>
      <c r="C2445" s="1291"/>
      <c r="D2445" s="1198" t="str">
        <f>VLOOKUP($B2445,dongia1,DG!$B$5,)</f>
        <v>D2.6054</v>
      </c>
      <c r="E2445" s="1243" t="str">
        <f>VLOOKUP($B2445,dongia1,DG!$C$5,)</f>
        <v>Lắp xà cột Pi loại ≤140kg/xà</v>
      </c>
      <c r="F2445" s="1198" t="str">
        <f>VLOOKUP($B2445,dongia1,DG!$D$5,)</f>
        <v>bộ</v>
      </c>
      <c r="G2445" s="1304">
        <f>+G2440</f>
        <v>0</v>
      </c>
      <c r="H2445" s="1298">
        <f>VLOOKUP($B2445,dongia1,DG!$F$5,)</f>
        <v>0</v>
      </c>
      <c r="I2445" s="1399"/>
      <c r="J2445" s="1399">
        <f>VLOOKUP($B2445,dongia1,DG!$G$5,)</f>
        <v>474961</v>
      </c>
      <c r="K2445" s="1399"/>
      <c r="L2445" s="1400">
        <f t="shared" si="603"/>
        <v>0</v>
      </c>
      <c r="M2445" s="1400"/>
      <c r="N2445" s="1298">
        <f t="shared" si="604"/>
        <v>0</v>
      </c>
      <c r="O2445" s="1400"/>
      <c r="P2445" s="1299"/>
      <c r="Q2445" s="1300"/>
      <c r="R2445" s="1300"/>
      <c r="S2445" s="1300"/>
    </row>
    <row r="2446" spans="1:19" s="1081" customFormat="1" hidden="1" outlineLevel="1">
      <c r="A2446" s="1072" t="str">
        <f t="shared" si="602"/>
        <v/>
      </c>
      <c r="B2446" s="1295"/>
      <c r="C2446" s="1291">
        <f>IF(G2446&gt;0,C2440+1,C2440)</f>
        <v>0</v>
      </c>
      <c r="D2446" s="1292"/>
      <c r="E2446" s="1468" t="s">
        <v>3436</v>
      </c>
      <c r="F2446" s="1291" t="s">
        <v>2113</v>
      </c>
      <c r="G2446" s="1297"/>
      <c r="H2446" s="1467"/>
      <c r="I2446" s="1467"/>
      <c r="J2446" s="1399"/>
      <c r="K2446" s="1467"/>
      <c r="L2446" s="1400">
        <f t="shared" si="603"/>
        <v>0</v>
      </c>
      <c r="M2446" s="1400">
        <f>I2446*G2446</f>
        <v>0</v>
      </c>
      <c r="N2446" s="1298">
        <f t="shared" si="604"/>
        <v>0</v>
      </c>
      <c r="O2446" s="1400">
        <f>K2446*G2446</f>
        <v>0</v>
      </c>
      <c r="P2446" s="1299"/>
      <c r="Q2446" s="1300"/>
      <c r="R2446" s="1300"/>
      <c r="S2446" s="1300"/>
    </row>
    <row r="2447" spans="1:19" s="1081" customFormat="1" ht="14.4" hidden="1" outlineLevel="1">
      <c r="A2447" s="1072" t="str">
        <f>A2446</f>
        <v/>
      </c>
      <c r="B2447" s="1295"/>
      <c r="C2447" s="1291"/>
      <c r="D2447" s="1292"/>
      <c r="E2447" s="1301" t="s">
        <v>3399</v>
      </c>
      <c r="F2447" s="1302"/>
      <c r="G2447" s="1303"/>
      <c r="H2447" s="1467"/>
      <c r="I2447" s="1467"/>
      <c r="J2447" s="1399"/>
      <c r="K2447" s="1467"/>
      <c r="L2447" s="1400">
        <f t="shared" si="603"/>
        <v>0</v>
      </c>
      <c r="M2447" s="1400">
        <f>I2447*G2447</f>
        <v>0</v>
      </c>
      <c r="N2447" s="1298">
        <f t="shared" si="604"/>
        <v>0</v>
      </c>
      <c r="O2447" s="1400">
        <f>K2447*G2447</f>
        <v>0</v>
      </c>
      <c r="P2447" s="1299"/>
      <c r="Q2447" s="1300"/>
      <c r="R2447" s="1300"/>
      <c r="S2447" s="1300"/>
    </row>
    <row r="2448" spans="1:19" s="1081" customFormat="1" hidden="1" outlineLevel="1">
      <c r="A2448" s="1072" t="str">
        <f>IF(G2448&lt;&gt;0,1,"")</f>
        <v/>
      </c>
      <c r="B2448" s="1068" t="s">
        <v>1626</v>
      </c>
      <c r="C2448" s="1291"/>
      <c r="D2448" s="1198">
        <f>VLOOKUP($B2448,dongia1,DG!$B$5,)</f>
        <v>0</v>
      </c>
      <c r="E2448" s="1243" t="str">
        <f>VLOOKUP($B2448,dongia1,DG!$C$5,)</f>
        <v>Sắt góc L75 x75 x8</v>
      </c>
      <c r="F2448" s="1198" t="str">
        <f>VLOOKUP($B2448,dongia1,DG!$D$5,)</f>
        <v>kg</v>
      </c>
      <c r="G2448" s="1304">
        <f>G2446*9.02*(2.6+3*0.07)</f>
        <v>0</v>
      </c>
      <c r="H2448" s="1298">
        <f>VLOOKUP($B2448,dongia1,DG!$F$5,)+449</f>
        <v>32074</v>
      </c>
      <c r="I2448" s="1399"/>
      <c r="J2448" s="1399">
        <f>VLOOKUP($B2448,dongia1,DG!$G$5,)</f>
        <v>0</v>
      </c>
      <c r="K2448" s="1399">
        <v>0</v>
      </c>
      <c r="L2448" s="1400">
        <f t="shared" si="603"/>
        <v>0</v>
      </c>
      <c r="M2448" s="1400">
        <f>I2448*G2448</f>
        <v>0</v>
      </c>
      <c r="N2448" s="1298">
        <f t="shared" si="604"/>
        <v>0</v>
      </c>
      <c r="O2448" s="1400">
        <f>K2448*G2448</f>
        <v>0</v>
      </c>
      <c r="P2448" s="1299"/>
      <c r="Q2448" s="1300"/>
      <c r="R2448" s="1300"/>
      <c r="S2448" s="1300"/>
    </row>
    <row r="2449" spans="1:19" s="1081" customFormat="1" hidden="1" outlineLevel="1">
      <c r="A2449" s="1072" t="str">
        <f>IF(G2449&lt;&gt;0,1,"")</f>
        <v/>
      </c>
      <c r="B2449" s="1295" t="s">
        <v>1262</v>
      </c>
      <c r="C2449" s="1291"/>
      <c r="D2449" s="1198">
        <f>VLOOKUP($B2449,dongia1,DG!$B$5,)</f>
        <v>0</v>
      </c>
      <c r="E2449" s="1243" t="str">
        <f>VLOOKUP($B2449,dongia1,DG!$C$5,)</f>
        <v>Boulon 16x300+ 2 long đền vuông D18-50x50x3/Zn</v>
      </c>
      <c r="F2449" s="1198" t="str">
        <f>VLOOKUP($B2449,dongia1,DG!$D$5,)</f>
        <v>bộ</v>
      </c>
      <c r="G2449" s="1303">
        <f>G2446*2</f>
        <v>0</v>
      </c>
      <c r="H2449" s="1298">
        <f>VLOOKUP($B2449,dongia1,DG!$F$5,)</f>
        <v>25400</v>
      </c>
      <c r="I2449" s="1399">
        <v>0</v>
      </c>
      <c r="J2449" s="1399">
        <f>VLOOKUP($B2449,dongia1,DG!$G$5,)</f>
        <v>0</v>
      </c>
      <c r="K2449" s="1399">
        <v>0</v>
      </c>
      <c r="L2449" s="1400">
        <f t="shared" si="603"/>
        <v>0</v>
      </c>
      <c r="M2449" s="1400">
        <f>I2449*G2449</f>
        <v>0</v>
      </c>
      <c r="N2449" s="1298">
        <f t="shared" si="604"/>
        <v>0</v>
      </c>
      <c r="O2449" s="1400">
        <f>K2449*G2449</f>
        <v>0</v>
      </c>
      <c r="P2449" s="1299"/>
      <c r="Q2449" s="1300"/>
      <c r="R2449" s="1300"/>
      <c r="S2449" s="1300"/>
    </row>
    <row r="2450" spans="1:19" s="1081" customFormat="1" hidden="1" outlineLevel="1">
      <c r="A2450" s="1072" t="str">
        <f>IF(G2450&lt;&gt;0,1,"")</f>
        <v/>
      </c>
      <c r="B2450" s="1295" t="s">
        <v>728</v>
      </c>
      <c r="C2450" s="1291"/>
      <c r="D2450" s="1198" t="str">
        <f>VLOOKUP($B2450,dongia1,DG!$B$5,)</f>
        <v>D2.6054</v>
      </c>
      <c r="E2450" s="1243" t="str">
        <f>VLOOKUP($B2450,dongia1,DG!$C$5,)</f>
        <v>Lắp xà cột Pi loại ≤140kg/xà</v>
      </c>
      <c r="F2450" s="1198" t="str">
        <f>VLOOKUP($B2450,dongia1,DG!$D$5,)</f>
        <v>bộ</v>
      </c>
      <c r="G2450" s="1303">
        <f>+G2446</f>
        <v>0</v>
      </c>
      <c r="H2450" s="1298">
        <f>VLOOKUP($B2450,dongia1,DG!$F$5,)</f>
        <v>0</v>
      </c>
      <c r="I2450" s="1399"/>
      <c r="J2450" s="1399">
        <f>VLOOKUP($B2450,dongia1,DG!$G$5,)</f>
        <v>474961</v>
      </c>
      <c r="K2450" s="1399"/>
      <c r="L2450" s="1400">
        <f t="shared" si="603"/>
        <v>0</v>
      </c>
      <c r="M2450" s="1400"/>
      <c r="N2450" s="1298">
        <f t="shared" si="604"/>
        <v>0</v>
      </c>
      <c r="O2450" s="1400"/>
      <c r="P2450" s="1299"/>
      <c r="Q2450" s="1300"/>
      <c r="R2450" s="1300"/>
      <c r="S2450" s="1300"/>
    </row>
    <row r="2451" spans="1:19" s="1081" customFormat="1" hidden="1" outlineLevel="1">
      <c r="A2451" s="1072" t="str">
        <f>IF(G2451&lt;&gt;0,1,"")</f>
        <v/>
      </c>
      <c r="B2451" s="1295"/>
      <c r="C2451" s="1291">
        <f>IF(G2451&gt;0,C2446+1,C2446)</f>
        <v>0</v>
      </c>
      <c r="D2451" s="1292"/>
      <c r="E2451" s="1468" t="s">
        <v>3439</v>
      </c>
      <c r="F2451" s="1291" t="s">
        <v>2113</v>
      </c>
      <c r="G2451" s="1297">
        <f>G2391*2*G2423</f>
        <v>0</v>
      </c>
      <c r="H2451" s="1467"/>
      <c r="I2451" s="1467"/>
      <c r="J2451" s="1399"/>
      <c r="K2451" s="1467"/>
      <c r="L2451" s="1400">
        <f t="shared" si="603"/>
        <v>0</v>
      </c>
      <c r="M2451" s="1400">
        <f>I2451*G2451</f>
        <v>0</v>
      </c>
      <c r="N2451" s="1298">
        <f t="shared" si="604"/>
        <v>0</v>
      </c>
      <c r="O2451" s="1400">
        <f>K2451*G2451</f>
        <v>0</v>
      </c>
      <c r="P2451" s="1299"/>
      <c r="Q2451" s="1300"/>
      <c r="R2451" s="1300"/>
      <c r="S2451" s="1300"/>
    </row>
    <row r="2452" spans="1:19" s="1081" customFormat="1" ht="14.4" hidden="1" outlineLevel="1">
      <c r="A2452" s="1072" t="str">
        <f>A2451</f>
        <v/>
      </c>
      <c r="B2452" s="1295"/>
      <c r="C2452" s="1291"/>
      <c r="D2452" s="1292"/>
      <c r="E2452" s="1301" t="s">
        <v>3399</v>
      </c>
      <c r="F2452" s="1302"/>
      <c r="G2452" s="1303"/>
      <c r="H2452" s="1467"/>
      <c r="I2452" s="1467"/>
      <c r="J2452" s="1399"/>
      <c r="K2452" s="1467"/>
      <c r="L2452" s="1400">
        <f t="shared" si="603"/>
        <v>0</v>
      </c>
      <c r="M2452" s="1400">
        <f>I2452*G2452</f>
        <v>0</v>
      </c>
      <c r="N2452" s="1298">
        <f t="shared" si="604"/>
        <v>0</v>
      </c>
      <c r="O2452" s="1400">
        <f>K2452*G2452</f>
        <v>0</v>
      </c>
      <c r="P2452" s="1299"/>
      <c r="Q2452" s="1300"/>
      <c r="R2452" s="1300"/>
      <c r="S2452" s="1300"/>
    </row>
    <row r="2453" spans="1:19" s="1081" customFormat="1" hidden="1" outlineLevel="1">
      <c r="A2453" s="1072" t="str">
        <f>IF(G2453&lt;&gt;0,1,"")</f>
        <v/>
      </c>
      <c r="B2453" s="1295" t="s">
        <v>1626</v>
      </c>
      <c r="C2453" s="1291"/>
      <c r="D2453" s="1198">
        <f>VLOOKUP($B2453,dongia1,DG!$B$5,)</f>
        <v>0</v>
      </c>
      <c r="E2453" s="1243" t="str">
        <f>VLOOKUP($B2453,dongia1,DG!$C$5,)</f>
        <v>Sắt góc L75 x75 x8</v>
      </c>
      <c r="F2453" s="1198" t="str">
        <f>VLOOKUP($B2453,dongia1,DG!$D$5,)</f>
        <v>kg</v>
      </c>
      <c r="G2453" s="1304">
        <f>G2451*9.02*2.6</f>
        <v>0</v>
      </c>
      <c r="H2453" s="1298">
        <f>VLOOKUP($B2453,dongia1,DG!$F$5,)</f>
        <v>31625</v>
      </c>
      <c r="I2453" s="1399"/>
      <c r="J2453" s="1399">
        <f>VLOOKUP($B2453,dongia1,DG!$G$5,)</f>
        <v>0</v>
      </c>
      <c r="K2453" s="1399"/>
      <c r="L2453" s="1400">
        <f t="shared" si="603"/>
        <v>0</v>
      </c>
      <c r="M2453" s="1400"/>
      <c r="N2453" s="1298">
        <f t="shared" si="604"/>
        <v>0</v>
      </c>
      <c r="O2453" s="1400"/>
      <c r="P2453" s="1437"/>
      <c r="Q2453" s="1300"/>
      <c r="R2453" s="1300"/>
      <c r="S2453" s="1300"/>
    </row>
    <row r="2454" spans="1:19" s="1081" customFormat="1" hidden="1" outlineLevel="1">
      <c r="A2454" s="1072" t="str">
        <f>IF(G2454&lt;&gt;0,1,"")</f>
        <v/>
      </c>
      <c r="B2454" s="1295" t="s">
        <v>82</v>
      </c>
      <c r="C2454" s="1291"/>
      <c r="D2454" s="1198">
        <f>VLOOKUP($B2454,dongia1,DG!$B$5,)</f>
        <v>0</v>
      </c>
      <c r="E2454" s="1243" t="str">
        <f>VLOOKUP($B2454,dongia1,DG!$C$5,)</f>
        <v>Boulon 16x400+ 2 long đền vuông D18-50x50x3/Zn</v>
      </c>
      <c r="F2454" s="1198" t="str">
        <f>VLOOKUP($B2454,dongia1,DG!$D$5,)</f>
        <v>bộ</v>
      </c>
      <c r="G2454" s="1304">
        <f>G2451*2</f>
        <v>0</v>
      </c>
      <c r="H2454" s="1298">
        <f>VLOOKUP($B2454,dongia1,DG!$F$5,)</f>
        <v>29900</v>
      </c>
      <c r="I2454" s="1399">
        <v>0</v>
      </c>
      <c r="J2454" s="1399">
        <f>VLOOKUP($B2454,dongia1,DG!$G$5,)</f>
        <v>0</v>
      </c>
      <c r="K2454" s="1399"/>
      <c r="L2454" s="1400">
        <f t="shared" si="603"/>
        <v>0</v>
      </c>
      <c r="M2454" s="1400"/>
      <c r="N2454" s="1298">
        <f t="shared" si="604"/>
        <v>0</v>
      </c>
      <c r="O2454" s="1400"/>
      <c r="P2454" s="1299"/>
      <c r="Q2454" s="1300"/>
      <c r="R2454" s="1300"/>
      <c r="S2454" s="1300"/>
    </row>
    <row r="2455" spans="1:19" s="1081" customFormat="1" hidden="1" outlineLevel="1">
      <c r="A2455" s="1072" t="str">
        <f>IF(G2455&lt;&gt;0,1,"")</f>
        <v/>
      </c>
      <c r="B2455" s="1295" t="s">
        <v>728</v>
      </c>
      <c r="C2455" s="1291"/>
      <c r="D2455" s="1198" t="str">
        <f>VLOOKUP($B2455,dongia1,DG!$B$5,)</f>
        <v>D2.6054</v>
      </c>
      <c r="E2455" s="1243" t="str">
        <f>VLOOKUP($B2455,dongia1,DG!$C$5,)</f>
        <v>Lắp xà cột Pi loại ≤140kg/xà</v>
      </c>
      <c r="F2455" s="1198" t="str">
        <f>VLOOKUP($B2455,dongia1,DG!$D$5,)</f>
        <v>bộ</v>
      </c>
      <c r="G2455" s="1304">
        <f>G2451/2</f>
        <v>0</v>
      </c>
      <c r="H2455" s="1298">
        <f>VLOOKUP($B2455,dongia1,DG!$F$5,)</f>
        <v>0</v>
      </c>
      <c r="I2455" s="1399"/>
      <c r="J2455" s="1399">
        <f>VLOOKUP($B2455,dongia1,DG!$G$5,)</f>
        <v>474961</v>
      </c>
      <c r="K2455" s="1399"/>
      <c r="L2455" s="1400">
        <f t="shared" si="603"/>
        <v>0</v>
      </c>
      <c r="M2455" s="1400"/>
      <c r="N2455" s="1298">
        <f t="shared" si="604"/>
        <v>0</v>
      </c>
      <c r="O2455" s="1400"/>
      <c r="P2455" s="1299"/>
      <c r="Q2455" s="1300"/>
      <c r="R2455" s="1300"/>
      <c r="S2455" s="1300"/>
    </row>
    <row r="2456" spans="1:19" s="1081" customFormat="1" hidden="1" outlineLevel="1">
      <c r="A2456" s="1072" t="str">
        <f>IF(G2456&lt;&gt;0,1,"")</f>
        <v/>
      </c>
      <c r="B2456" s="1295" t="s">
        <v>600</v>
      </c>
      <c r="C2456" s="1291"/>
      <c r="D2456" s="1198" t="str">
        <f>VLOOKUP($B2456,dongia1,DG!$B$5,)</f>
        <v>02.1151</v>
      </c>
      <c r="E2456" s="1243" t="str">
        <f>VLOOKUP($B2456,dongia1,DG!$C$5,)</f>
        <v>Bốc dỡ xà, thép thanh</v>
      </c>
      <c r="F2456" s="1198" t="str">
        <f>VLOOKUP($B2456,dongia1,DG!$D$5,)</f>
        <v>tấn</v>
      </c>
      <c r="G2456" s="1304">
        <f>0.05*0</f>
        <v>0</v>
      </c>
      <c r="H2456" s="1298">
        <f>VLOOKUP($B2456,dongia1,DG!$F$5,)</f>
        <v>0</v>
      </c>
      <c r="I2456" s="1399"/>
      <c r="J2456" s="1399">
        <f>VLOOKUP($B2456,dongia1,DG!$G$5,)</f>
        <v>32543</v>
      </c>
      <c r="K2456" s="1399"/>
      <c r="L2456" s="1400">
        <f t="shared" si="603"/>
        <v>0</v>
      </c>
      <c r="M2456" s="1400"/>
      <c r="N2456" s="1298">
        <f t="shared" si="604"/>
        <v>0</v>
      </c>
      <c r="O2456" s="1400"/>
      <c r="P2456" s="1299"/>
      <c r="Q2456" s="1300"/>
      <c r="R2456" s="1300"/>
      <c r="S2456" s="1300"/>
    </row>
    <row r="2457" spans="1:19" s="1081" customFormat="1" hidden="1" outlineLevel="1" collapsed="1">
      <c r="A2457" s="1072" t="str">
        <f>IF(G2457&lt;&gt;0,1,"")</f>
        <v/>
      </c>
      <c r="B2457" s="1295"/>
      <c r="C2457" s="1291">
        <f>IF(G2457&gt;0,C2451+1,C2451)</f>
        <v>0</v>
      </c>
      <c r="D2457" s="1292"/>
      <c r="E2457" s="1468" t="s">
        <v>3453</v>
      </c>
      <c r="F2457" s="1291" t="s">
        <v>2113</v>
      </c>
      <c r="G2457" s="1297"/>
      <c r="H2457" s="1298"/>
      <c r="I2457" s="1298"/>
      <c r="J2457" s="1298"/>
      <c r="K2457" s="1298"/>
      <c r="L2457" s="1298">
        <f t="shared" si="603"/>
        <v>0</v>
      </c>
      <c r="M2457" s="1298">
        <f>I2457*G2457</f>
        <v>0</v>
      </c>
      <c r="N2457" s="1298">
        <f t="shared" si="604"/>
        <v>0</v>
      </c>
      <c r="O2457" s="1298">
        <f>K2457*G2457</f>
        <v>0</v>
      </c>
      <c r="P2457" s="1437"/>
      <c r="Q2457" s="1300"/>
      <c r="R2457" s="1300"/>
      <c r="S2457" s="1300"/>
    </row>
    <row r="2458" spans="1:19" s="1081" customFormat="1" ht="14.4" hidden="1" outlineLevel="1">
      <c r="A2458" s="1072" t="str">
        <f>A2457</f>
        <v/>
      </c>
      <c r="B2458" s="1295"/>
      <c r="C2458" s="1291"/>
      <c r="D2458" s="1292"/>
      <c r="E2458" s="1301" t="s">
        <v>3399</v>
      </c>
      <c r="F2458" s="1302"/>
      <c r="G2458" s="1303"/>
      <c r="H2458" s="1298"/>
      <c r="I2458" s="1298"/>
      <c r="J2458" s="1298"/>
      <c r="K2458" s="1298"/>
      <c r="L2458" s="1298">
        <f t="shared" si="603"/>
        <v>0</v>
      </c>
      <c r="M2458" s="1298">
        <f>I2458*G2458</f>
        <v>0</v>
      </c>
      <c r="N2458" s="1298">
        <f t="shared" si="604"/>
        <v>0</v>
      </c>
      <c r="O2458" s="1298">
        <f>K2458*G2458</f>
        <v>0</v>
      </c>
      <c r="P2458" s="1437"/>
      <c r="Q2458" s="1300"/>
      <c r="R2458" s="1300"/>
      <c r="S2458" s="1300"/>
    </row>
    <row r="2459" spans="1:19" s="1081" customFormat="1" hidden="1" outlineLevel="1">
      <c r="A2459" s="1072" t="str">
        <f t="shared" ref="A2459:A2465" si="605">IF(G2459&lt;&gt;0,1,"")</f>
        <v/>
      </c>
      <c r="B2459" s="1295" t="s">
        <v>1626</v>
      </c>
      <c r="C2459" s="1291"/>
      <c r="D2459" s="1198">
        <f>VLOOKUP($B2459,dongia1,DG!$B$5,)</f>
        <v>0</v>
      </c>
      <c r="E2459" s="1243" t="str">
        <f>VLOOKUP($B2459,dongia1,DG!$C$5,)</f>
        <v>Sắt góc L75 x75 x8</v>
      </c>
      <c r="F2459" s="1198" t="s">
        <v>1557</v>
      </c>
      <c r="G2459" s="1304">
        <f>G2457*9.02*(2.4+4*0.07)*2</f>
        <v>0</v>
      </c>
      <c r="H2459" s="1298">
        <f>VLOOKUP($B2459,dongia1,DG!$F$5,)</f>
        <v>31625</v>
      </c>
      <c r="I2459" s="1298"/>
      <c r="J2459" s="1298">
        <v>0</v>
      </c>
      <c r="K2459" s="1298"/>
      <c r="L2459" s="1298">
        <f t="shared" si="603"/>
        <v>0</v>
      </c>
      <c r="M2459" s="1298"/>
      <c r="N2459" s="1298">
        <f t="shared" si="604"/>
        <v>0</v>
      </c>
      <c r="O2459" s="1298"/>
      <c r="P2459" s="1437"/>
      <c r="Q2459" s="1300"/>
      <c r="R2459" s="1300"/>
      <c r="S2459" s="1300"/>
    </row>
    <row r="2460" spans="1:19" s="1081" customFormat="1" hidden="1" outlineLevel="1">
      <c r="A2460" s="1072" t="str">
        <f t="shared" si="605"/>
        <v/>
      </c>
      <c r="B2460" s="1295" t="s">
        <v>518</v>
      </c>
      <c r="C2460" s="1291"/>
      <c r="D2460" s="1198">
        <f>VLOOKUP($B2460,dongia1,DG!$B$5,)</f>
        <v>0</v>
      </c>
      <c r="E2460" s="1243" t="str">
        <f>VLOOKUP($B2460,dongia1,DG!$C$5,)&amp;" (Thanh choáng 810)"</f>
        <v>Sắt góc L50 x50 x5 (Thanh choáng 810)</v>
      </c>
      <c r="F2460" s="1198" t="s">
        <v>1557</v>
      </c>
      <c r="G2460" s="1304">
        <f>G2457*3.77*0.81*4</f>
        <v>0</v>
      </c>
      <c r="H2460" s="1298">
        <f>VLOOKUP($B2460,dongia1,DG!$F$5,)</f>
        <v>31625</v>
      </c>
      <c r="I2460" s="1298"/>
      <c r="J2460" s="1298">
        <v>0</v>
      </c>
      <c r="K2460" s="1298"/>
      <c r="L2460" s="1298">
        <f t="shared" si="603"/>
        <v>0</v>
      </c>
      <c r="M2460" s="1298"/>
      <c r="N2460" s="1298">
        <f t="shared" si="604"/>
        <v>0</v>
      </c>
      <c r="O2460" s="1298"/>
      <c r="P2460" s="1437"/>
      <c r="Q2460" s="1300"/>
      <c r="R2460" s="1300"/>
      <c r="S2460" s="1300"/>
    </row>
    <row r="2461" spans="1:19" s="1081" customFormat="1" hidden="1" outlineLevel="1">
      <c r="A2461" s="1072" t="str">
        <f t="shared" si="605"/>
        <v/>
      </c>
      <c r="B2461" s="1295" t="s">
        <v>1262</v>
      </c>
      <c r="C2461" s="1291"/>
      <c r="D2461" s="1198">
        <f>VLOOKUP($B2461,dongia1,DG!$B$5,)</f>
        <v>0</v>
      </c>
      <c r="E2461" s="1243" t="str">
        <f>VLOOKUP($B2461,dongia1,DG!$C$5,)</f>
        <v>Boulon 16x300+ 2 long đền vuông D18-50x50x3/Zn</v>
      </c>
      <c r="F2461" s="1198" t="s">
        <v>2113</v>
      </c>
      <c r="G2461" s="1303">
        <f>G2457*2</f>
        <v>0</v>
      </c>
      <c r="H2461" s="1298">
        <f>VLOOKUP($B2461,dongia1,DG!$F$5,)</f>
        <v>25400</v>
      </c>
      <c r="I2461" s="1298">
        <v>0</v>
      </c>
      <c r="J2461" s="1298">
        <v>0</v>
      </c>
      <c r="K2461" s="1298"/>
      <c r="L2461" s="1298">
        <f t="shared" si="603"/>
        <v>0</v>
      </c>
      <c r="M2461" s="1298"/>
      <c r="N2461" s="1298">
        <f t="shared" si="604"/>
        <v>0</v>
      </c>
      <c r="O2461" s="1298"/>
      <c r="P2461" s="1437"/>
      <c r="Q2461" s="1300"/>
      <c r="R2461" s="1300"/>
      <c r="S2461" s="1300"/>
    </row>
    <row r="2462" spans="1:19" s="1081" customFormat="1" hidden="1" outlineLevel="1">
      <c r="A2462" s="1072" t="str">
        <f t="shared" si="605"/>
        <v/>
      </c>
      <c r="B2462" s="1295" t="s">
        <v>1044</v>
      </c>
      <c r="C2462" s="1291"/>
      <c r="D2462" s="1198">
        <f>VLOOKUP($B2462,dongia1,DG!$B$5,)</f>
        <v>0</v>
      </c>
      <c r="E2462" s="1243" t="str">
        <f>VLOOKUP($B2462,dongia1,DG!$C$5,)</f>
        <v>Boulon 16x50+ 2 long đền vuông D18-50x50x3/Zn</v>
      </c>
      <c r="F2462" s="1198" t="s">
        <v>2113</v>
      </c>
      <c r="G2462" s="1303">
        <f>G2457*4</f>
        <v>0</v>
      </c>
      <c r="H2462" s="1298">
        <f>VLOOKUP($B2462,dongia1,DG!$F$5,)</f>
        <v>12400</v>
      </c>
      <c r="I2462" s="1298">
        <v>0</v>
      </c>
      <c r="J2462" s="1298">
        <v>0</v>
      </c>
      <c r="K2462" s="1298"/>
      <c r="L2462" s="1298">
        <f t="shared" si="603"/>
        <v>0</v>
      </c>
      <c r="M2462" s="1298"/>
      <c r="N2462" s="1298">
        <f t="shared" si="604"/>
        <v>0</v>
      </c>
      <c r="O2462" s="1298"/>
      <c r="P2462" s="1437"/>
      <c r="Q2462" s="1300"/>
      <c r="R2462" s="1300"/>
      <c r="S2462" s="1300"/>
    </row>
    <row r="2463" spans="1:19" s="1081" customFormat="1" hidden="1" outlineLevel="1">
      <c r="A2463" s="1072" t="str">
        <f t="shared" si="605"/>
        <v/>
      </c>
      <c r="B2463" s="1295" t="s">
        <v>1042</v>
      </c>
      <c r="C2463" s="1291"/>
      <c r="D2463" s="1198">
        <f>VLOOKUP($B2463,dongia1,DG!$B$5,)</f>
        <v>0</v>
      </c>
      <c r="E2463" s="1243" t="str">
        <f>VLOOKUP($B2463,dongia1,DG!$C$5,)</f>
        <v>Boulon 16x300VRS+ 4 long đền vuông D18-50x50x3/Zn</v>
      </c>
      <c r="F2463" s="1198" t="s">
        <v>2113</v>
      </c>
      <c r="G2463" s="1303">
        <f>G2457*4</f>
        <v>0</v>
      </c>
      <c r="H2463" s="1298">
        <f>VLOOKUP($B2463,dongia1,DG!$F$5,)</f>
        <v>31800</v>
      </c>
      <c r="I2463" s="1298">
        <v>0</v>
      </c>
      <c r="J2463" s="1298">
        <v>0</v>
      </c>
      <c r="K2463" s="1298">
        <v>0</v>
      </c>
      <c r="L2463" s="1298">
        <f t="shared" si="603"/>
        <v>0</v>
      </c>
      <c r="M2463" s="1298">
        <f>I2463*G2463</f>
        <v>0</v>
      </c>
      <c r="N2463" s="1298">
        <f t="shared" si="604"/>
        <v>0</v>
      </c>
      <c r="O2463" s="1298">
        <f>K2463*G2463</f>
        <v>0</v>
      </c>
      <c r="P2463" s="1437"/>
      <c r="Q2463" s="1300"/>
      <c r="R2463" s="1300"/>
      <c r="S2463" s="1300"/>
    </row>
    <row r="2464" spans="1:19" s="1081" customFormat="1" hidden="1" outlineLevel="1">
      <c r="A2464" s="1072" t="str">
        <f t="shared" si="605"/>
        <v/>
      </c>
      <c r="B2464" s="1295" t="s">
        <v>814</v>
      </c>
      <c r="C2464" s="1291"/>
      <c r="D2464" s="1198" t="str">
        <f>VLOOKUP($B2464,dongia1,DG!$B$5,)</f>
        <v>D2.6042</v>
      </c>
      <c r="E2464" s="1243" t="str">
        <f>VLOOKUP($B2464,dongia1,DG!$C$5,)</f>
        <v>Lắp xà néo ≤ 100kg</v>
      </c>
      <c r="F2464" s="1198" t="s">
        <v>2113</v>
      </c>
      <c r="G2464" s="1303">
        <f>G2457</f>
        <v>0</v>
      </c>
      <c r="H2464" s="1298">
        <v>0</v>
      </c>
      <c r="I2464" s="1298"/>
      <c r="J2464" s="1399">
        <f>VLOOKUP($B2464,dongia1,DG!$G$5,)</f>
        <v>296544.75</v>
      </c>
      <c r="K2464" s="1298"/>
      <c r="L2464" s="1298">
        <f t="shared" ref="L2464:L2470" si="606">H2464*G2464</f>
        <v>0</v>
      </c>
      <c r="M2464" s="1298"/>
      <c r="N2464" s="1298">
        <f t="shared" si="604"/>
        <v>0</v>
      </c>
      <c r="O2464" s="1298"/>
      <c r="P2464" s="1437"/>
      <c r="Q2464" s="1300"/>
      <c r="R2464" s="1300"/>
      <c r="S2464" s="1300"/>
    </row>
    <row r="2465" spans="1:19" s="1081" customFormat="1" hidden="1" outlineLevel="1">
      <c r="A2465" s="1072" t="str">
        <f t="shared" si="605"/>
        <v/>
      </c>
      <c r="B2465" s="1295"/>
      <c r="C2465" s="1291">
        <f>IF(G2465&gt;0,C2457+1,C2457)</f>
        <v>0</v>
      </c>
      <c r="D2465" s="1292"/>
      <c r="E2465" s="1468" t="s">
        <v>3454</v>
      </c>
      <c r="F2465" s="1291" t="s">
        <v>2113</v>
      </c>
      <c r="G2465" s="1297"/>
      <c r="H2465" s="1298"/>
      <c r="I2465" s="1298"/>
      <c r="J2465" s="1298"/>
      <c r="K2465" s="1298"/>
      <c r="L2465" s="1298">
        <f t="shared" si="606"/>
        <v>0</v>
      </c>
      <c r="M2465" s="1298">
        <f>I2465*G2465</f>
        <v>0</v>
      </c>
      <c r="N2465" s="1298">
        <f t="shared" si="604"/>
        <v>0</v>
      </c>
      <c r="O2465" s="1298">
        <f>K2465*G2465</f>
        <v>0</v>
      </c>
      <c r="P2465" s="1437"/>
      <c r="Q2465" s="1300"/>
      <c r="R2465" s="1300"/>
      <c r="S2465" s="1300"/>
    </row>
    <row r="2466" spans="1:19" s="1081" customFormat="1" ht="14.4" hidden="1" outlineLevel="1">
      <c r="A2466" s="1072" t="str">
        <f>A2465</f>
        <v/>
      </c>
      <c r="B2466" s="1295"/>
      <c r="C2466" s="1291"/>
      <c r="D2466" s="1292"/>
      <c r="E2466" s="1301" t="s">
        <v>3399</v>
      </c>
      <c r="F2466" s="1302"/>
      <c r="G2466" s="1303"/>
      <c r="H2466" s="1298"/>
      <c r="I2466" s="1298"/>
      <c r="J2466" s="1298"/>
      <c r="K2466" s="1298"/>
      <c r="L2466" s="1298">
        <f t="shared" si="606"/>
        <v>0</v>
      </c>
      <c r="M2466" s="1298">
        <f>I2466*G2466</f>
        <v>0</v>
      </c>
      <c r="N2466" s="1298">
        <f t="shared" si="604"/>
        <v>0</v>
      </c>
      <c r="O2466" s="1298">
        <f>K2466*G2466</f>
        <v>0</v>
      </c>
      <c r="P2466" s="1437"/>
      <c r="Q2466" s="1300"/>
      <c r="R2466" s="1300"/>
      <c r="S2466" s="1300"/>
    </row>
    <row r="2467" spans="1:19" s="1081" customFormat="1" hidden="1" outlineLevel="1">
      <c r="A2467" s="1072" t="str">
        <f t="shared" ref="A2467:A2474" si="607">IF(G2467&lt;&gt;0,1,"")</f>
        <v/>
      </c>
      <c r="B2467" s="1295" t="s">
        <v>1626</v>
      </c>
      <c r="C2467" s="1291"/>
      <c r="D2467" s="1198">
        <f>VLOOKUP($B2467,dongia1,DG!$B$5,)</f>
        <v>0</v>
      </c>
      <c r="E2467" s="1243" t="str">
        <f>VLOOKUP($B2467,dongia1,DG!$C$5,)</f>
        <v>Sắt góc L75 x75 x8</v>
      </c>
      <c r="F2467" s="1198" t="s">
        <v>1557</v>
      </c>
      <c r="G2467" s="1304">
        <f>G2465*9.02*(2.4+4*0.07)</f>
        <v>0</v>
      </c>
      <c r="H2467" s="1298">
        <f>VLOOKUP($B2467,dongia1,DG!$F$5,)</f>
        <v>31625</v>
      </c>
      <c r="I2467" s="1298"/>
      <c r="J2467" s="1298">
        <v>0</v>
      </c>
      <c r="K2467" s="1298"/>
      <c r="L2467" s="1298">
        <f t="shared" si="606"/>
        <v>0</v>
      </c>
      <c r="M2467" s="1298"/>
      <c r="N2467" s="1298">
        <f t="shared" si="604"/>
        <v>0</v>
      </c>
      <c r="O2467" s="1298"/>
      <c r="P2467" s="1437"/>
      <c r="Q2467" s="1300"/>
      <c r="R2467" s="1300"/>
      <c r="S2467" s="1300"/>
    </row>
    <row r="2468" spans="1:19" s="1081" customFormat="1" hidden="1" outlineLevel="1">
      <c r="A2468" s="1072" t="str">
        <f t="shared" si="607"/>
        <v/>
      </c>
      <c r="B2468" s="1295" t="s">
        <v>518</v>
      </c>
      <c r="C2468" s="1291"/>
      <c r="D2468" s="1198">
        <f>VLOOKUP($B2468,dongia1,DG!$B$5,)</f>
        <v>0</v>
      </c>
      <c r="E2468" s="1243" t="str">
        <f>VLOOKUP($B2468,dongia1,DG!$C$5,)&amp;" (Thanh choáng 810)"</f>
        <v>Sắt góc L50 x50 x5 (Thanh choáng 810)</v>
      </c>
      <c r="F2468" s="1198" t="s">
        <v>1557</v>
      </c>
      <c r="G2468" s="1304">
        <f>G2465*3.77*0.81*2</f>
        <v>0</v>
      </c>
      <c r="H2468" s="1298">
        <f>VLOOKUP($B2468,dongia1,DG!$F$5,)</f>
        <v>31625</v>
      </c>
      <c r="I2468" s="1298"/>
      <c r="J2468" s="1298">
        <v>0</v>
      </c>
      <c r="K2468" s="1298"/>
      <c r="L2468" s="1298">
        <f t="shared" si="606"/>
        <v>0</v>
      </c>
      <c r="M2468" s="1298"/>
      <c r="N2468" s="1298">
        <f t="shared" si="604"/>
        <v>0</v>
      </c>
      <c r="O2468" s="1298"/>
      <c r="P2468" s="1437"/>
      <c r="Q2468" s="1300"/>
      <c r="R2468" s="1300"/>
      <c r="S2468" s="1300"/>
    </row>
    <row r="2469" spans="1:19" s="1081" customFormat="1" hidden="1" outlineLevel="1">
      <c r="A2469" s="1072" t="str">
        <f t="shared" si="607"/>
        <v/>
      </c>
      <c r="B2469" s="1295" t="s">
        <v>733</v>
      </c>
      <c r="C2469" s="1291"/>
      <c r="D2469" s="1198">
        <f>VLOOKUP($B2469,dongia1,DG!$B$5,)</f>
        <v>0</v>
      </c>
      <c r="E2469" s="1243" t="str">
        <f>VLOOKUP($B2469,dongia1,DG!$C$5,)</f>
        <v>Boulon 16x350+ 2 long đền vuông D18-50x50x3/Zn</v>
      </c>
      <c r="F2469" s="1198" t="s">
        <v>2113</v>
      </c>
      <c r="G2469" s="1303">
        <f>G2465*2</f>
        <v>0</v>
      </c>
      <c r="H2469" s="1298">
        <f>VLOOKUP($B2469,dongia1,DG!$F$5,)</f>
        <v>27900</v>
      </c>
      <c r="I2469" s="1298">
        <v>0</v>
      </c>
      <c r="J2469" s="1298">
        <v>0</v>
      </c>
      <c r="K2469" s="1298"/>
      <c r="L2469" s="1298">
        <f t="shared" si="606"/>
        <v>0</v>
      </c>
      <c r="M2469" s="1298"/>
      <c r="N2469" s="1298">
        <f t="shared" si="604"/>
        <v>0</v>
      </c>
      <c r="O2469" s="1298"/>
      <c r="P2469" s="1437"/>
      <c r="Q2469" s="1300"/>
      <c r="R2469" s="1300"/>
      <c r="S2469" s="1300"/>
    </row>
    <row r="2470" spans="1:19" s="1081" customFormat="1" hidden="1" outlineLevel="1">
      <c r="A2470" s="1072" t="str">
        <f t="shared" si="607"/>
        <v/>
      </c>
      <c r="B2470" s="1295" t="s">
        <v>1044</v>
      </c>
      <c r="C2470" s="1291"/>
      <c r="D2470" s="1198">
        <f>VLOOKUP($B2470,dongia1,DG!$B$5,)</f>
        <v>0</v>
      </c>
      <c r="E2470" s="1243" t="str">
        <f>VLOOKUP($B2470,dongia1,DG!$C$5,)</f>
        <v>Boulon 16x50+ 2 long đền vuông D18-50x50x3/Zn</v>
      </c>
      <c r="F2470" s="1198" t="s">
        <v>2113</v>
      </c>
      <c r="G2470" s="1303">
        <f>G2465*2</f>
        <v>0</v>
      </c>
      <c r="H2470" s="1298">
        <f>VLOOKUP($B2470,dongia1,DG!$F$5,)</f>
        <v>12400</v>
      </c>
      <c r="I2470" s="1298">
        <v>0</v>
      </c>
      <c r="J2470" s="1298">
        <v>0</v>
      </c>
      <c r="K2470" s="1298"/>
      <c r="L2470" s="1298">
        <f t="shared" si="606"/>
        <v>0</v>
      </c>
      <c r="M2470" s="1298"/>
      <c r="N2470" s="1298">
        <f t="shared" si="604"/>
        <v>0</v>
      </c>
      <c r="O2470" s="1298"/>
      <c r="P2470" s="1437"/>
      <c r="Q2470" s="1300"/>
      <c r="R2470" s="1300"/>
      <c r="S2470" s="1300"/>
    </row>
    <row r="2471" spans="1:19" s="1081" customFormat="1" hidden="1" outlineLevel="1">
      <c r="A2471" s="1072" t="str">
        <f t="shared" si="607"/>
        <v/>
      </c>
      <c r="B2471" s="1295" t="s">
        <v>1933</v>
      </c>
      <c r="C2471" s="1291"/>
      <c r="D2471" s="1198">
        <f>VLOOKUP($B2471,dongia1,DG!$B$5,)</f>
        <v>0</v>
      </c>
      <c r="E2471" s="1243" t="str">
        <f>VLOOKUP($B2471,dongia1,DG!$C$5,)</f>
        <v>Bass LI bắt FCO</v>
      </c>
      <c r="F2471" s="1198" t="s">
        <v>2113</v>
      </c>
      <c r="G2471" s="1303">
        <f>IF(G2465&gt;0,3,)</f>
        <v>0</v>
      </c>
      <c r="H2471" s="1298">
        <f>VLOOKUP($B2471,dongia1,DG!$F$5,)</f>
        <v>34000</v>
      </c>
      <c r="I2471" s="1298">
        <v>0</v>
      </c>
      <c r="J2471" s="1298">
        <v>0</v>
      </c>
      <c r="K2471" s="1298"/>
      <c r="L2471" s="1298">
        <f t="shared" ref="L2471:L2476" si="608">H2471*G2471</f>
        <v>0</v>
      </c>
      <c r="M2471" s="1298"/>
      <c r="N2471" s="1298">
        <f t="shared" si="604"/>
        <v>0</v>
      </c>
      <c r="O2471" s="1298"/>
      <c r="P2471" s="1437"/>
      <c r="Q2471" s="1300"/>
      <c r="R2471" s="1300"/>
      <c r="S2471" s="1300"/>
    </row>
    <row r="2472" spans="1:19" s="1081" customFormat="1" hidden="1" outlineLevel="1">
      <c r="A2472" s="1072" t="str">
        <f t="shared" si="607"/>
        <v/>
      </c>
      <c r="B2472" s="1295" t="s">
        <v>1761</v>
      </c>
      <c r="C2472" s="1291"/>
      <c r="D2472" s="1198">
        <f>VLOOKUP($B2472,dongia1,DG!$B$5,)</f>
        <v>0</v>
      </c>
      <c r="E2472" s="1243" t="str">
        <f>VLOOKUP($B2472,dongia1,DG!$C$5,)</f>
        <v>Cổ dê bắt xà 80x6</v>
      </c>
      <c r="F2472" s="1198" t="s">
        <v>2113</v>
      </c>
      <c r="G2472" s="1303">
        <f>G2465</f>
        <v>0</v>
      </c>
      <c r="H2472" s="1298">
        <f>VLOOKUP($B2472,dongia1,DG!$F$5,)</f>
        <v>178900</v>
      </c>
      <c r="I2472" s="1298">
        <v>0</v>
      </c>
      <c r="J2472" s="1298">
        <v>0</v>
      </c>
      <c r="K2472" s="1298"/>
      <c r="L2472" s="1298">
        <f t="shared" si="608"/>
        <v>0</v>
      </c>
      <c r="M2472" s="1298"/>
      <c r="N2472" s="1298">
        <f t="shared" si="604"/>
        <v>0</v>
      </c>
      <c r="O2472" s="1298"/>
      <c r="P2472" s="1437"/>
      <c r="Q2472" s="1300"/>
      <c r="R2472" s="1300"/>
      <c r="S2472" s="1300"/>
    </row>
    <row r="2473" spans="1:19" s="1081" customFormat="1" hidden="1" outlineLevel="1">
      <c r="A2473" s="1072" t="str">
        <f t="shared" si="607"/>
        <v/>
      </c>
      <c r="B2473" s="1295" t="s">
        <v>1156</v>
      </c>
      <c r="C2473" s="1291"/>
      <c r="D2473" s="1198" t="str">
        <f>VLOOKUP($B2473,dongia1,DG!$B$5,)</f>
        <v>D2.6031</v>
      </c>
      <c r="E2473" s="1243" t="str">
        <f>VLOOKUP($B2473,dongia1,DG!$C$5,)</f>
        <v>Lắp xà đỡ 50kg</v>
      </c>
      <c r="F2473" s="1198" t="s">
        <v>2113</v>
      </c>
      <c r="G2473" s="1303">
        <f>G2465</f>
        <v>0</v>
      </c>
      <c r="H2473" s="1298">
        <v>0</v>
      </c>
      <c r="I2473" s="1298"/>
      <c r="J2473" s="1399">
        <f>VLOOKUP($B2473,dongia1,DG!$G$5,)</f>
        <v>296544.75</v>
      </c>
      <c r="K2473" s="1298"/>
      <c r="L2473" s="1298">
        <f t="shared" si="608"/>
        <v>0</v>
      </c>
      <c r="M2473" s="1298"/>
      <c r="N2473" s="1298">
        <f t="shared" si="604"/>
        <v>0</v>
      </c>
      <c r="O2473" s="1298"/>
      <c r="P2473" s="1437"/>
      <c r="Q2473" s="1300"/>
      <c r="R2473" s="1300"/>
      <c r="S2473" s="1300"/>
    </row>
    <row r="2474" spans="1:19" s="1081" customFormat="1" hidden="1" outlineLevel="1">
      <c r="A2474" s="1072" t="str">
        <f t="shared" si="607"/>
        <v/>
      </c>
      <c r="B2474" s="1295"/>
      <c r="C2474" s="1291">
        <f>IF(G2474&gt;0,C2465+1,C2465)</f>
        <v>0</v>
      </c>
      <c r="D2474" s="1292"/>
      <c r="E2474" s="1468" t="s">
        <v>3440</v>
      </c>
      <c r="F2474" s="1291" t="s">
        <v>2113</v>
      </c>
      <c r="G2474" s="1297">
        <f>G2391</f>
        <v>0</v>
      </c>
      <c r="H2474" s="1298"/>
      <c r="I2474" s="1298"/>
      <c r="J2474" s="1298"/>
      <c r="K2474" s="1298"/>
      <c r="L2474" s="1298">
        <f t="shared" si="608"/>
        <v>0</v>
      </c>
      <c r="M2474" s="1298">
        <f>I2474*G2474</f>
        <v>0</v>
      </c>
      <c r="N2474" s="1298">
        <f t="shared" si="604"/>
        <v>0</v>
      </c>
      <c r="O2474" s="1298">
        <f>K2474*G2474</f>
        <v>0</v>
      </c>
      <c r="P2474" s="1437"/>
      <c r="Q2474" s="1300"/>
      <c r="R2474" s="1300"/>
      <c r="S2474" s="1300"/>
    </row>
    <row r="2475" spans="1:19" s="1081" customFormat="1" ht="14.4" hidden="1" outlineLevel="1">
      <c r="A2475" s="1072" t="str">
        <f>+A2474</f>
        <v/>
      </c>
      <c r="B2475" s="1469"/>
      <c r="C2475" s="1291"/>
      <c r="D2475" s="1292"/>
      <c r="E2475" s="1301" t="s">
        <v>3399</v>
      </c>
      <c r="F2475" s="1302"/>
      <c r="G2475" s="1303"/>
      <c r="H2475" s="1298"/>
      <c r="I2475" s="1298"/>
      <c r="J2475" s="1298"/>
      <c r="K2475" s="1298"/>
      <c r="L2475" s="1298">
        <f t="shared" si="608"/>
        <v>0</v>
      </c>
      <c r="M2475" s="1298">
        <f>I2475*G2475</f>
        <v>0</v>
      </c>
      <c r="N2475" s="1298">
        <f t="shared" si="604"/>
        <v>0</v>
      </c>
      <c r="O2475" s="1298">
        <f>K2475*G2475</f>
        <v>0</v>
      </c>
      <c r="P2475" s="1437"/>
      <c r="Q2475" s="1300"/>
      <c r="R2475" s="1300"/>
      <c r="S2475" s="1300"/>
    </row>
    <row r="2476" spans="1:19" s="1081" customFormat="1" hidden="1" outlineLevel="1">
      <c r="A2476" s="1072" t="str">
        <f t="shared" ref="A2476:A2482" si="609">IF(G2476&lt;&gt;0,1,"")</f>
        <v/>
      </c>
      <c r="B2476" s="1295" t="s">
        <v>1200</v>
      </c>
      <c r="C2476" s="1291"/>
      <c r="D2476" s="1198">
        <f>VLOOKUP($B2476,dongia1,DG!$B$5,)</f>
        <v>0</v>
      </c>
      <c r="E2476" s="1243" t="str">
        <f>VLOOKUP($B2476,dongia1,DG!$C$5,)</f>
        <v>Cáp đồng trần M25mm2</v>
      </c>
      <c r="F2476" s="1198" t="str">
        <f>VLOOKUP($B2476,dongia1,DG!$D$5,)</f>
        <v>kg</v>
      </c>
      <c r="G2476" s="1304">
        <f>$H$3*0.224*G2474</f>
        <v>0</v>
      </c>
      <c r="H2476" s="1298">
        <f>VLOOKUP($B2476,dongia1,DG!$F$5,)</f>
        <v>255500</v>
      </c>
      <c r="I2476" s="1298"/>
      <c r="J2476" s="1298">
        <f>VLOOKUP($B2476,dongia1,DG!$G$5,)</f>
        <v>0</v>
      </c>
      <c r="K2476" s="1298">
        <f>VLOOKUP($B2476,dongia1,DG!$H$5,)</f>
        <v>0</v>
      </c>
      <c r="L2476" s="1298">
        <f t="shared" si="608"/>
        <v>0</v>
      </c>
      <c r="M2476" s="1298">
        <f>I2476*G2476</f>
        <v>0</v>
      </c>
      <c r="N2476" s="1298">
        <f t="shared" si="604"/>
        <v>0</v>
      </c>
      <c r="O2476" s="1298">
        <f>K2476*G2476</f>
        <v>0</v>
      </c>
      <c r="P2476" s="1437"/>
      <c r="Q2476" s="1300"/>
      <c r="R2476" s="1300"/>
      <c r="S2476" s="1300"/>
    </row>
    <row r="2477" spans="1:19" s="1081" customFormat="1" hidden="1" outlineLevel="1">
      <c r="A2477" s="1072" t="str">
        <f t="shared" si="609"/>
        <v/>
      </c>
      <c r="B2477" s="1068" t="s">
        <v>1098</v>
      </c>
      <c r="C2477" s="1291"/>
      <c r="D2477" s="1198">
        <f>VLOOKUP($B2477,dongia1,DG!$B$5,)</f>
        <v>0</v>
      </c>
      <c r="E2477" s="1243" t="str">
        <f>VLOOKUP($B2477,dongia1,DG!$C$5,)</f>
        <v>Cọc tiếp đất Þ 16- 2,4m + kẹp cọc</v>
      </c>
      <c r="F2477" s="1198" t="str">
        <f>VLOOKUP($B2477,dongia1,DG!$D$5,)</f>
        <v>bộ</v>
      </c>
      <c r="G2477" s="1304">
        <f>G2474*12</f>
        <v>0</v>
      </c>
      <c r="H2477" s="1298">
        <f>VLOOKUP($B2477,dongia1,DG!$F$5,)</f>
        <v>160000</v>
      </c>
      <c r="I2477" s="1298"/>
      <c r="J2477" s="1298">
        <f>VLOOKUP($B2477,dongia1,DG!$G$5,)</f>
        <v>0</v>
      </c>
      <c r="K2477" s="1298">
        <f>VLOOKUP($B2477,dongia1,DG!$H$5,)</f>
        <v>0</v>
      </c>
      <c r="L2477" s="1298">
        <f t="shared" ref="L2477:L2482" si="610">H2477*G2477</f>
        <v>0</v>
      </c>
      <c r="M2477" s="1298">
        <f>I2477*G2477</f>
        <v>0</v>
      </c>
      <c r="N2477" s="1298">
        <f t="shared" si="604"/>
        <v>0</v>
      </c>
      <c r="O2477" s="1298">
        <f>K2477*G2477</f>
        <v>0</v>
      </c>
      <c r="P2477" s="1437"/>
      <c r="Q2477" s="1300"/>
      <c r="R2477" s="1300"/>
      <c r="S2477" s="1300"/>
    </row>
    <row r="2478" spans="1:19" s="1081" customFormat="1" hidden="1" outlineLevel="1">
      <c r="A2478" s="1072" t="str">
        <f t="shared" si="609"/>
        <v/>
      </c>
      <c r="B2478" s="1068" t="s">
        <v>2040</v>
      </c>
      <c r="C2478" s="1291"/>
      <c r="D2478" s="1198">
        <f>VLOOKUP($B2478,dongia1,DG!$B$5,)</f>
        <v>0</v>
      </c>
      <c r="E2478" s="1243" t="str">
        <f>VLOOKUP($B2478,dongia1,DG!$C$5,)</f>
        <v xml:space="preserve">Ống PVC D21x1,6mm </v>
      </c>
      <c r="F2478" s="1198" t="str">
        <f>VLOOKUP($B2478,dongia1,DG!$D$5,)</f>
        <v>m</v>
      </c>
      <c r="G2478" s="1304">
        <f>G2474*4</f>
        <v>0</v>
      </c>
      <c r="H2478" s="1298">
        <f>VLOOKUP($B2478,dongia1,DG!$F$5,)</f>
        <v>6200</v>
      </c>
      <c r="I2478" s="1298"/>
      <c r="J2478" s="1298">
        <f>VLOOKUP($B2478,dongia1,DG!$G$5,)</f>
        <v>0</v>
      </c>
      <c r="K2478" s="1298">
        <f>VLOOKUP($B2478,dongia1,DG!$H$5,)</f>
        <v>0</v>
      </c>
      <c r="L2478" s="1298">
        <f t="shared" si="610"/>
        <v>0</v>
      </c>
      <c r="M2478" s="1298">
        <f>I2478*G2478</f>
        <v>0</v>
      </c>
      <c r="N2478" s="1298">
        <f t="shared" si="604"/>
        <v>0</v>
      </c>
      <c r="O2478" s="1298">
        <f>K2478*G2478</f>
        <v>0</v>
      </c>
      <c r="P2478" s="1299"/>
      <c r="Q2478" s="1300"/>
      <c r="R2478" s="1300"/>
      <c r="S2478" s="1300"/>
    </row>
    <row r="2479" spans="1:19" s="1081" customFormat="1" hidden="1" outlineLevel="1">
      <c r="A2479" s="1072" t="str">
        <f t="shared" si="609"/>
        <v/>
      </c>
      <c r="B2479" s="1470" t="s">
        <v>205</v>
      </c>
      <c r="C2479" s="1291"/>
      <c r="D2479" s="1198">
        <f>VLOOKUP($B2479,dongia1,DG!$B$5,)</f>
        <v>0</v>
      </c>
      <c r="E2479" s="1243" t="str">
        <f>VLOOKUP($B2479,dongia1,DG!$C$5,)</f>
        <v>Kẹp ép WR cỡ dây 50mm2</v>
      </c>
      <c r="F2479" s="1198" t="str">
        <f>VLOOKUP($B2479,dongia1,DG!$D$5,)</f>
        <v>cái</v>
      </c>
      <c r="G2479" s="1304">
        <f>2*G2474</f>
        <v>0</v>
      </c>
      <c r="H2479" s="1298">
        <f>VLOOKUP($B2479,dongia1,DG!$F$5,)</f>
        <v>8000</v>
      </c>
      <c r="I2479" s="1298"/>
      <c r="J2479" s="1298">
        <f>VLOOKUP($B2479,dongia1,DG!$G$5,)</f>
        <v>0</v>
      </c>
      <c r="K2479" s="1298"/>
      <c r="L2479" s="1298">
        <f t="shared" si="610"/>
        <v>0</v>
      </c>
      <c r="M2479" s="1298"/>
      <c r="N2479" s="1298">
        <f t="shared" si="604"/>
        <v>0</v>
      </c>
      <c r="O2479" s="1298"/>
      <c r="P2479" s="1437"/>
      <c r="Q2479" s="1300"/>
      <c r="R2479" s="1300"/>
      <c r="S2479" s="1300"/>
    </row>
    <row r="2480" spans="1:19" s="1081" customFormat="1" hidden="1" outlineLevel="1">
      <c r="A2480" s="1072" t="str">
        <f t="shared" si="609"/>
        <v/>
      </c>
      <c r="B2480" s="1470" t="s">
        <v>903</v>
      </c>
      <c r="C2480" s="1471"/>
      <c r="D2480" s="1198">
        <f>VLOOKUP($B2480,dongia1,DG!$B$5,)</f>
        <v>0</v>
      </c>
      <c r="E2480" s="1243" t="str">
        <f>VLOOKUP($B2480,dongia1,DG!$C$5,)</f>
        <v>Ốc xiết cáp cỡ 25mm2</v>
      </c>
      <c r="F2480" s="1198" t="str">
        <f>VLOOKUP($B2480,dongia1,DG!$D$5,)</f>
        <v>cái</v>
      </c>
      <c r="G2480" s="1304">
        <f>IF(G2477&lt;=12,15,21)*G2474</f>
        <v>0</v>
      </c>
      <c r="H2480" s="1298">
        <f>VLOOKUP($B2480,dongia1,DG!$F$5,)</f>
        <v>17600</v>
      </c>
      <c r="I2480" s="1298"/>
      <c r="J2480" s="1298">
        <f>VLOOKUP($B2480,dongia1,DG!$G$5,)</f>
        <v>0</v>
      </c>
      <c r="K2480" s="1298"/>
      <c r="L2480" s="1298">
        <f t="shared" si="610"/>
        <v>0</v>
      </c>
      <c r="M2480" s="1298">
        <f>I2480*G2480</f>
        <v>0</v>
      </c>
      <c r="N2480" s="1298">
        <f t="shared" si="604"/>
        <v>0</v>
      </c>
      <c r="O2480" s="1298">
        <f>K2480*G2480</f>
        <v>0</v>
      </c>
      <c r="P2480" s="1437"/>
      <c r="Q2480" s="1300"/>
      <c r="R2480" s="1300"/>
      <c r="S2480" s="1300"/>
    </row>
    <row r="2481" spans="1:20" s="1081" customFormat="1" hidden="1" outlineLevel="1">
      <c r="A2481" s="1072" t="str">
        <f t="shared" si="609"/>
        <v/>
      </c>
      <c r="B2481" s="1068" t="s">
        <v>1490</v>
      </c>
      <c r="C2481" s="1291"/>
      <c r="D2481" s="1198">
        <f>VLOOKUP($B2481,dongia1,DG!$B$5,)</f>
        <v>0</v>
      </c>
      <c r="E2481" s="1243" t="str">
        <f>VLOOKUP($B2481,dongia1,DG!$C$5,)</f>
        <v>Cổ dê kẹp ống PVC (STK) Þ 21</v>
      </c>
      <c r="F2481" s="1198" t="str">
        <f>VLOOKUP($B2481,dongia1,DG!$D$5,)</f>
        <v>bộ</v>
      </c>
      <c r="G2481" s="1304">
        <f>+G2474*2</f>
        <v>0</v>
      </c>
      <c r="H2481" s="1298">
        <f>VLOOKUP($B2481,dongia1,DG!$F$5,)</f>
        <v>43000</v>
      </c>
      <c r="I2481" s="1298"/>
      <c r="J2481" s="1298">
        <f>VLOOKUP($B2481,dongia1,DG!$G$5,)</f>
        <v>0</v>
      </c>
      <c r="K2481" s="1298">
        <f>VLOOKUP($B2481,dongia1,DG!$H$5,)</f>
        <v>0</v>
      </c>
      <c r="L2481" s="1298">
        <f t="shared" si="610"/>
        <v>0</v>
      </c>
      <c r="M2481" s="1298">
        <f>I2481*G2481</f>
        <v>0</v>
      </c>
      <c r="N2481" s="1298">
        <f t="shared" si="604"/>
        <v>0</v>
      </c>
      <c r="O2481" s="1298">
        <f>K2481*G2481</f>
        <v>0</v>
      </c>
      <c r="P2481" s="1299"/>
      <c r="Q2481" s="1300"/>
      <c r="R2481" s="1300"/>
      <c r="S2481" s="1300"/>
    </row>
    <row r="2482" spans="1:20" s="1081" customFormat="1" hidden="1" outlineLevel="1">
      <c r="A2482" s="1072" t="str">
        <f t="shared" si="609"/>
        <v/>
      </c>
      <c r="B2482" s="1068" t="s">
        <v>211</v>
      </c>
      <c r="C2482" s="1291"/>
      <c r="D2482" s="1198">
        <f>VLOOKUP($B2482,dongia1,DG!$B$5,)</f>
        <v>0</v>
      </c>
      <c r="E2482" s="1243" t="str">
        <f>VLOOKUP($B2482,dongia1,DG!$C$5,)</f>
        <v>Khoan giếng tiếp địa</v>
      </c>
      <c r="F2482" s="1198" t="str">
        <f>VLOOKUP($B2482,dongia1,DG!$D$5,)</f>
        <v>Cái</v>
      </c>
      <c r="G2482" s="1304">
        <f>$L$3*G2474</f>
        <v>0</v>
      </c>
      <c r="H2482" s="1298">
        <f>VLOOKUP($B2482,dongia1,DG!$F$5,)</f>
        <v>0</v>
      </c>
      <c r="I2482" s="1298"/>
      <c r="J2482" s="1298">
        <f>VLOOKUP($B2482,dongia1,DG!$G$5,)</f>
        <v>1500000</v>
      </c>
      <c r="K2482" s="1298">
        <f>VLOOKUP($B2482,dongia1,DG!$H$5,)</f>
        <v>0</v>
      </c>
      <c r="L2482" s="1298">
        <f t="shared" si="610"/>
        <v>0</v>
      </c>
      <c r="M2482" s="1298">
        <f>I2482*G2482</f>
        <v>0</v>
      </c>
      <c r="N2482" s="1298">
        <f t="shared" si="604"/>
        <v>0</v>
      </c>
      <c r="O2482" s="1298">
        <f>K2482*G2482</f>
        <v>0</v>
      </c>
      <c r="P2482" s="1437"/>
      <c r="Q2482" s="1300"/>
      <c r="R2482" s="1300"/>
      <c r="S2482" s="1300"/>
    </row>
    <row r="2483" spans="1:20" s="1081" customFormat="1" hidden="1" outlineLevel="1">
      <c r="A2483" s="1072">
        <f>IF(G2483=0,0,1)</f>
        <v>0</v>
      </c>
      <c r="B2483" s="1068" t="str">
        <f>"DTD"&amp;capdat</f>
        <v>DTD3</v>
      </c>
      <c r="C2483" s="1302"/>
      <c r="D2483" s="1198" t="str">
        <f>VLOOKUP($B2483,dongia1,DG!$B$5,)</f>
        <v>AB.11513</v>
      </c>
      <c r="E2483" s="1243" t="str">
        <f>VLOOKUP($B2483,dongia1,DG!$C$5,)</f>
        <v>Đào rãnh tiếp địa đất cấp 3</v>
      </c>
      <c r="F2483" s="1198" t="str">
        <f>VLOOKUP($B2483,dongia1,DG!$D$5,)</f>
        <v>m3</v>
      </c>
      <c r="G2483" s="1304">
        <f>+G2474*H4</f>
        <v>0</v>
      </c>
      <c r="H2483" s="1298">
        <f>VLOOKUP($B2483,dongia1,DG!$F$5,)</f>
        <v>0</v>
      </c>
      <c r="I2483" s="1298"/>
      <c r="J2483" s="1298">
        <f>VLOOKUP($B2483,dongia1,DG!$G$5,)</f>
        <v>283749.75</v>
      </c>
      <c r="K2483" s="1298">
        <v>0</v>
      </c>
      <c r="L2483" s="1298">
        <f t="shared" ref="L2483:O2484" si="611">H2483*$G2483</f>
        <v>0</v>
      </c>
      <c r="M2483" s="1298">
        <f t="shared" si="611"/>
        <v>0</v>
      </c>
      <c r="N2483" s="1298">
        <f t="shared" si="604"/>
        <v>0</v>
      </c>
      <c r="O2483" s="1298">
        <f t="shared" si="611"/>
        <v>0</v>
      </c>
      <c r="P2483" s="1437"/>
      <c r="Q2483" s="1300"/>
      <c r="R2483" s="1300"/>
      <c r="S2483" s="1300"/>
    </row>
    <row r="2484" spans="1:20" s="1081" customFormat="1" hidden="1" outlineLevel="1">
      <c r="A2484" s="1072">
        <f>IF(G2484=0,0,1)</f>
        <v>0</v>
      </c>
      <c r="B2484" s="1068" t="str">
        <f>"DATD"&amp;capdat</f>
        <v>DATD3</v>
      </c>
      <c r="C2484" s="1302"/>
      <c r="D2484" s="1198" t="str">
        <f>VLOOKUP($B2484,dongia1,DG!$B$5,)</f>
        <v>AB.13111</v>
      </c>
      <c r="E2484" s="1243" t="str">
        <f>VLOOKUP($B2484,dongia1,DG!$C$5,)</f>
        <v>Đắp đất rãnh tiếp địa cấp 3 (độ chặt k = 0.85)</v>
      </c>
      <c r="F2484" s="1198" t="str">
        <f>VLOOKUP($B2484,dongia1,DG!$D$5,)</f>
        <v>m3</v>
      </c>
      <c r="G2484" s="1304">
        <f>G2483</f>
        <v>0</v>
      </c>
      <c r="H2484" s="1298">
        <f>VLOOKUP($B2484,dongia1,DG!$F$5,)</f>
        <v>0</v>
      </c>
      <c r="I2484" s="1298"/>
      <c r="J2484" s="1298">
        <f>VLOOKUP($B2484,dongia1,DG!$G$5,)</f>
        <v>117703.6</v>
      </c>
      <c r="K2484" s="1298">
        <v>0</v>
      </c>
      <c r="L2484" s="1298">
        <f t="shared" si="611"/>
        <v>0</v>
      </c>
      <c r="M2484" s="1298">
        <f t="shared" si="611"/>
        <v>0</v>
      </c>
      <c r="N2484" s="1298">
        <f t="shared" si="604"/>
        <v>0</v>
      </c>
      <c r="O2484" s="1298">
        <f t="shared" si="611"/>
        <v>0</v>
      </c>
      <c r="P2484" s="1437"/>
      <c r="Q2484" s="1300"/>
      <c r="R2484" s="1300"/>
      <c r="S2484" s="1300"/>
    </row>
    <row r="2485" spans="1:20" s="1081" customFormat="1" hidden="1" outlineLevel="1">
      <c r="A2485" s="1072">
        <f>IF(G2485=0,0,1)</f>
        <v>0</v>
      </c>
      <c r="B2485" s="1068" t="s">
        <v>985</v>
      </c>
      <c r="C2485" s="1302"/>
      <c r="D2485" s="1198" t="str">
        <f>VLOOKUP($B2485,dongia1,DG!$B$5,)</f>
        <v>D2.8103</v>
      </c>
      <c r="E2485" s="1243" t="str">
        <f>VLOOKUP($B2485,dongia1,DG!$C$5,)</f>
        <v>Đóng cọc tiếp địa đất cấp 3 dài 2,5m</v>
      </c>
      <c r="F2485" s="1198" t="str">
        <f>VLOOKUP($B2485,dongia1,DG!$D$5,)</f>
        <v>cọc</v>
      </c>
      <c r="G2485" s="1304">
        <f>G2477</f>
        <v>0</v>
      </c>
      <c r="H2485" s="1298">
        <f>VLOOKUP($B2485,dongia1,DG!$F$5,)</f>
        <v>0</v>
      </c>
      <c r="I2485" s="1298"/>
      <c r="J2485" s="1298">
        <f>VLOOKUP($B2485,dongia1,DG!$G$5,)</f>
        <v>90355.896000000008</v>
      </c>
      <c r="K2485" s="1298">
        <v>0</v>
      </c>
      <c r="L2485" s="1298">
        <f>H2485*$G2485</f>
        <v>0</v>
      </c>
      <c r="M2485" s="1298">
        <f>I2485*$G2485</f>
        <v>0</v>
      </c>
      <c r="N2485" s="1298">
        <f t="shared" si="604"/>
        <v>0</v>
      </c>
      <c r="O2485" s="1298">
        <f>K2485*$G2485</f>
        <v>0</v>
      </c>
      <c r="P2485" s="1437"/>
      <c r="Q2485" s="1300"/>
      <c r="R2485" s="1300"/>
      <c r="S2485" s="1300"/>
    </row>
    <row r="2486" spans="1:20" s="1081" customFormat="1" hidden="1" outlineLevel="1">
      <c r="A2486" s="1072" t="str">
        <f>IF(G2486&lt;&gt;0,1,"")</f>
        <v/>
      </c>
      <c r="B2486" s="1068" t="s">
        <v>983</v>
      </c>
      <c r="C2486" s="1291"/>
      <c r="D2486" s="1198" t="str">
        <f>VLOOKUP($B2486,dongia1,DG!$B$5,)</f>
        <v>T4.7001</v>
      </c>
      <c r="E2486" s="1243" t="str">
        <f>VLOOKUP($B2486,dongia1,DG!$C$5,)</f>
        <v>Kéo dây tiếp địa TBA</v>
      </c>
      <c r="F2486" s="1198" t="str">
        <f>VLOOKUP($B2486,dongia1,DG!$D$5,)</f>
        <v>mét</v>
      </c>
      <c r="G2486" s="1304">
        <f>G2474*$H$3</f>
        <v>0</v>
      </c>
      <c r="H2486" s="1298">
        <f>VLOOKUP($B2486,dongia1,DG!$E$5,)</f>
        <v>0</v>
      </c>
      <c r="I2486" s="1298"/>
      <c r="J2486" s="1298">
        <f>VLOOKUP($B2486,dongia1,DG!$G$5,)</f>
        <v>8070.7000000000007</v>
      </c>
      <c r="K2486" s="1298">
        <f>VLOOKUP($B2486,dongia1,DG!$H$5,)</f>
        <v>2044.9974999999999</v>
      </c>
      <c r="L2486" s="1298">
        <f>H2486*G2486</f>
        <v>0</v>
      </c>
      <c r="M2486" s="1298">
        <f>I2486*G2486</f>
        <v>0</v>
      </c>
      <c r="N2486" s="1298">
        <f t="shared" si="604"/>
        <v>0</v>
      </c>
      <c r="O2486" s="1298">
        <f>K2486*G2486</f>
        <v>0</v>
      </c>
      <c r="P2486" s="1437"/>
      <c r="Q2486" s="1300"/>
      <c r="R2486" s="1300"/>
      <c r="S2486" s="1300"/>
    </row>
    <row r="2487" spans="1:20" s="1081" customFormat="1" hidden="1" outlineLevel="1">
      <c r="A2487" s="1072" t="str">
        <f>IF(G2487&lt;&gt;0,1,"")</f>
        <v/>
      </c>
      <c r="B2487" s="1295"/>
      <c r="C2487" s="1291">
        <f>IF(G2487&gt;0,C2474+1,C2474)</f>
        <v>0</v>
      </c>
      <c r="D2487" s="1292"/>
      <c r="E2487" s="1296" t="s">
        <v>3441</v>
      </c>
      <c r="F2487" s="1291" t="s">
        <v>2113</v>
      </c>
      <c r="G2487" s="1297"/>
      <c r="H2487" s="1298"/>
      <c r="I2487" s="1298"/>
      <c r="J2487" s="1298"/>
      <c r="K2487" s="1298"/>
      <c r="L2487" s="1298">
        <f t="shared" ref="L2487:L2492" si="612">H2487*G2487</f>
        <v>0</v>
      </c>
      <c r="M2487" s="1298">
        <f t="shared" ref="M2487:M2492" si="613">I2487*G2487</f>
        <v>0</v>
      </c>
      <c r="N2487" s="1298">
        <f t="shared" si="604"/>
        <v>0</v>
      </c>
      <c r="O2487" s="1298">
        <f t="shared" ref="O2487:O2492" si="614">K2487*G2487</f>
        <v>0</v>
      </c>
      <c r="P2487" s="1299"/>
      <c r="Q2487" s="1300"/>
      <c r="R2487" s="1300"/>
      <c r="S2487" s="1300"/>
    </row>
    <row r="2488" spans="1:20" s="1081" customFormat="1" ht="14.4" hidden="1" outlineLevel="1">
      <c r="A2488" s="1072" t="str">
        <f>A2487</f>
        <v/>
      </c>
      <c r="B2488" s="1295"/>
      <c r="C2488" s="1291"/>
      <c r="D2488" s="1292"/>
      <c r="E2488" s="1301" t="s">
        <v>3399</v>
      </c>
      <c r="F2488" s="1302"/>
      <c r="G2488" s="1303"/>
      <c r="H2488" s="1298"/>
      <c r="I2488" s="1298"/>
      <c r="J2488" s="1298"/>
      <c r="K2488" s="1298"/>
      <c r="L2488" s="1298">
        <f t="shared" si="612"/>
        <v>0</v>
      </c>
      <c r="M2488" s="1298">
        <f t="shared" si="613"/>
        <v>0</v>
      </c>
      <c r="N2488" s="1298">
        <f t="shared" si="604"/>
        <v>0</v>
      </c>
      <c r="O2488" s="1298">
        <f t="shared" si="614"/>
        <v>0</v>
      </c>
      <c r="P2488" s="1299"/>
      <c r="Q2488" s="1300"/>
      <c r="R2488" s="1300"/>
      <c r="S2488" s="1300"/>
    </row>
    <row r="2489" spans="1:20" s="1081" customFormat="1" hidden="1" outlineLevel="1">
      <c r="A2489" s="1072" t="str">
        <f>IF(G2489&lt;&gt;0,1,"")</f>
        <v/>
      </c>
      <c r="B2489" s="1295" t="s">
        <v>1472</v>
      </c>
      <c r="C2489" s="1302"/>
      <c r="D2489" s="1198">
        <f>VLOOKUP($B2489,dongia1,DG!$B$5,)</f>
        <v>0</v>
      </c>
      <c r="E2489" s="1243" t="str">
        <f>VLOOKUP($B2489,dongia1,DG!$C$5,)</f>
        <v>Ximăng</v>
      </c>
      <c r="F2489" s="1198" t="str">
        <f>VLOOKUP($B2489,dongia1,DG!$D$5,)</f>
        <v>kg</v>
      </c>
      <c r="G2489" s="1304">
        <f>+G2492*296</f>
        <v>0</v>
      </c>
      <c r="H2489" s="1298">
        <f>VLOOKUP($B2489,dongia1,DG!$F$5,)</f>
        <v>1740</v>
      </c>
      <c r="I2489" s="1298"/>
      <c r="J2489" s="1298">
        <f>VLOOKUP($B2489,dongia1,DG!$G$5,)</f>
        <v>0</v>
      </c>
      <c r="K2489" s="1298">
        <f>VLOOKUP($B2489,dongia1,DG!$H$5,)</f>
        <v>0</v>
      </c>
      <c r="L2489" s="1298">
        <f t="shared" si="612"/>
        <v>0</v>
      </c>
      <c r="M2489" s="1298">
        <f t="shared" si="613"/>
        <v>0</v>
      </c>
      <c r="N2489" s="1298">
        <f t="shared" si="604"/>
        <v>0</v>
      </c>
      <c r="O2489" s="1298">
        <f t="shared" si="614"/>
        <v>0</v>
      </c>
      <c r="P2489" s="1299"/>
      <c r="Q2489" s="1300"/>
      <c r="R2489" s="1300"/>
      <c r="S2489" s="1300"/>
    </row>
    <row r="2490" spans="1:20" s="1081" customFormat="1" hidden="1" outlineLevel="1">
      <c r="A2490" s="1072" t="str">
        <f>IF(G2490&lt;&gt;0,1,"")</f>
        <v/>
      </c>
      <c r="B2490" s="1295" t="s">
        <v>1729</v>
      </c>
      <c r="C2490" s="1291"/>
      <c r="D2490" s="1198">
        <f>VLOOKUP($B2490,dongia1,DG!$B$5,)</f>
        <v>0</v>
      </c>
      <c r="E2490" s="1243" t="str">
        <f>VLOOKUP($B2490,dongia1,DG!$C$5,)</f>
        <v>Cát vàng</v>
      </c>
      <c r="F2490" s="1198" t="str">
        <f>VLOOKUP($B2490,dongia1,DG!$D$5,)</f>
        <v>m3</v>
      </c>
      <c r="G2490" s="1304">
        <f>G2492*0.475</f>
        <v>0</v>
      </c>
      <c r="H2490" s="1298">
        <f>VLOOKUP($B2490,dongia1,DG!$F$5,)</f>
        <v>512000</v>
      </c>
      <c r="I2490" s="1298"/>
      <c r="J2490" s="1298">
        <f>VLOOKUP($B2490,dongia1,DG!$G$5,)</f>
        <v>0</v>
      </c>
      <c r="K2490" s="1298">
        <f>VLOOKUP($B2490,dongia1,DG!$H$5,)</f>
        <v>0</v>
      </c>
      <c r="L2490" s="1298">
        <f t="shared" si="612"/>
        <v>0</v>
      </c>
      <c r="M2490" s="1298">
        <f t="shared" si="613"/>
        <v>0</v>
      </c>
      <c r="N2490" s="1298">
        <f t="shared" si="604"/>
        <v>0</v>
      </c>
      <c r="O2490" s="1298">
        <f t="shared" si="614"/>
        <v>0</v>
      </c>
      <c r="P2490" s="1299"/>
      <c r="Q2490" s="1300"/>
      <c r="R2490" s="1300"/>
      <c r="S2490" s="1300"/>
    </row>
    <row r="2491" spans="1:20" s="1081" customFormat="1" hidden="1" outlineLevel="1">
      <c r="A2491" s="1072" t="str">
        <f>IF(G2491&lt;&gt;0,1,"")</f>
        <v/>
      </c>
      <c r="B2491" s="1295" t="s">
        <v>599</v>
      </c>
      <c r="C2491" s="1291"/>
      <c r="D2491" s="1198">
        <f>VLOOKUP($B2491,dongia1,DG!$B$5,)</f>
        <v>0</v>
      </c>
      <c r="E2491" s="1243" t="str">
        <f>VLOOKUP($B2491,dongia1,DG!$C$5,)</f>
        <v>Đá 1x2</v>
      </c>
      <c r="F2491" s="1198" t="str">
        <f>VLOOKUP($B2491,dongia1,DG!$D$5,)</f>
        <v>m3</v>
      </c>
      <c r="G2491" s="1304">
        <f>G2492*0.881</f>
        <v>0</v>
      </c>
      <c r="H2491" s="1298">
        <f>VLOOKUP($B2491,dongia1,DG!$F$5,)</f>
        <v>335000</v>
      </c>
      <c r="I2491" s="1298"/>
      <c r="J2491" s="1298">
        <f>VLOOKUP($B2491,dongia1,DG!$G$5,)</f>
        <v>0</v>
      </c>
      <c r="K2491" s="1298">
        <f>VLOOKUP($B2491,dongia1,DG!$H$5,)</f>
        <v>0</v>
      </c>
      <c r="L2491" s="1298">
        <f t="shared" si="612"/>
        <v>0</v>
      </c>
      <c r="M2491" s="1298">
        <f t="shared" si="613"/>
        <v>0</v>
      </c>
      <c r="N2491" s="1298">
        <f t="shared" si="604"/>
        <v>0</v>
      </c>
      <c r="O2491" s="1298">
        <f t="shared" si="614"/>
        <v>0</v>
      </c>
      <c r="P2491" s="1299"/>
      <c r="Q2491" s="1300"/>
      <c r="R2491" s="1300"/>
      <c r="S2491" s="1300"/>
    </row>
    <row r="2492" spans="1:20" s="1081" customFormat="1" hidden="1" outlineLevel="1">
      <c r="A2492" s="1072" t="str">
        <f>IF(G2492&lt;&gt;0,1,"")</f>
        <v/>
      </c>
      <c r="B2492" s="1295" t="s">
        <v>1473</v>
      </c>
      <c r="C2492" s="1302"/>
      <c r="D2492" s="1198" t="str">
        <f>VLOOKUP($B2492,dongia1,DG!$B$5,)</f>
        <v>AF.11220</v>
      </c>
      <c r="E2492" s="1243" t="str">
        <f>VLOOKUP($B2492,dongia1,DG!$C$5,)</f>
        <v>Đổ bê tông mác M200 đá 1x 2rộng &gt;250cm</v>
      </c>
      <c r="F2492" s="1198" t="str">
        <f>VLOOKUP($B2492,dongia1,DG!$D$5,)</f>
        <v>m3</v>
      </c>
      <c r="G2492" s="1304">
        <f>G2487*(0.4*3*1-2*3.14*0.15^2*0.4)</f>
        <v>0</v>
      </c>
      <c r="H2492" s="1298"/>
      <c r="I2492" s="1298"/>
      <c r="J2492" s="1298">
        <f>VLOOKUP($B2492,dongia1,DG!$G$5,)</f>
        <v>466397.5</v>
      </c>
      <c r="K2492" s="1298">
        <f>VLOOKUP($B2492,dongia1,DG!$H$5,)</f>
        <v>0</v>
      </c>
      <c r="L2492" s="1298">
        <f t="shared" si="612"/>
        <v>0</v>
      </c>
      <c r="M2492" s="1298">
        <f t="shared" si="613"/>
        <v>0</v>
      </c>
      <c r="N2492" s="1298">
        <f t="shared" si="604"/>
        <v>0</v>
      </c>
      <c r="O2492" s="1298">
        <f t="shared" si="614"/>
        <v>0</v>
      </c>
      <c r="P2492" s="1299"/>
      <c r="Q2492" s="1306">
        <f>1.025*361</f>
        <v>370.02499999999998</v>
      </c>
      <c r="R2492" s="1306">
        <f>1.025*0.45</f>
        <v>0.46124999999999999</v>
      </c>
      <c r="S2492" s="1306">
        <f>1.025*0.866</f>
        <v>0.88764999999999994</v>
      </c>
      <c r="T2492" s="1307"/>
    </row>
    <row r="2493" spans="1:20" s="1081" customFormat="1" hidden="1" outlineLevel="1">
      <c r="A2493" s="1072" t="str">
        <f>IF(G2493&lt;&gt;0,1,"")</f>
        <v/>
      </c>
      <c r="B2493" s="1295"/>
      <c r="C2493" s="1291">
        <f>IF(G2493&gt;0,C2487+1,C2487)</f>
        <v>0</v>
      </c>
      <c r="D2493" s="1292"/>
      <c r="E2493" s="1416" t="s">
        <v>3442</v>
      </c>
      <c r="F2493" s="1291" t="s">
        <v>2113</v>
      </c>
      <c r="G2493" s="1297">
        <f>G2391</f>
        <v>0</v>
      </c>
      <c r="H2493" s="1298"/>
      <c r="I2493" s="1298"/>
      <c r="J2493" s="1298"/>
      <c r="K2493" s="1298"/>
      <c r="L2493" s="1298">
        <f>H2493*G2493</f>
        <v>0</v>
      </c>
      <c r="M2493" s="1298">
        <f>I2493*G2493</f>
        <v>0</v>
      </c>
      <c r="N2493" s="1298">
        <f t="shared" si="604"/>
        <v>0</v>
      </c>
      <c r="O2493" s="1298">
        <f>K2493*G2493</f>
        <v>0</v>
      </c>
      <c r="P2493" s="1437"/>
      <c r="Q2493" s="1300"/>
      <c r="R2493" s="1300"/>
      <c r="S2493" s="1300"/>
    </row>
    <row r="2494" spans="1:20" s="1081" customFormat="1" ht="14.4" hidden="1" outlineLevel="1">
      <c r="A2494" s="1072" t="str">
        <f>A2493</f>
        <v/>
      </c>
      <c r="B2494" s="1295"/>
      <c r="C2494" s="1291"/>
      <c r="D2494" s="1292"/>
      <c r="E2494" s="1301" t="s">
        <v>3399</v>
      </c>
      <c r="F2494" s="1302"/>
      <c r="G2494" s="1303"/>
      <c r="H2494" s="1298"/>
      <c r="I2494" s="1298"/>
      <c r="J2494" s="1298"/>
      <c r="K2494" s="1298"/>
      <c r="L2494" s="1298">
        <f>H2494*G2494</f>
        <v>0</v>
      </c>
      <c r="M2494" s="1298">
        <f>I2494*G2494</f>
        <v>0</v>
      </c>
      <c r="N2494" s="1298">
        <f t="shared" si="604"/>
        <v>0</v>
      </c>
      <c r="O2494" s="1298">
        <f>K2494*G2494</f>
        <v>0</v>
      </c>
      <c r="P2494" s="1437"/>
      <c r="Q2494" s="1300"/>
      <c r="R2494" s="1300"/>
      <c r="S2494" s="1300"/>
    </row>
    <row r="2495" spans="1:20" s="1081" customFormat="1" hidden="1" outlineLevel="1">
      <c r="A2495" s="1072" t="str">
        <f>IF(G2495&lt;&gt;0,1,"")</f>
        <v/>
      </c>
      <c r="B2495" s="1295" t="s">
        <v>333</v>
      </c>
      <c r="C2495" s="1302"/>
      <c r="D2495" s="1198" t="str">
        <f>VLOOKUP($B2495,dongia1,DG!$B$5,)</f>
        <v>T5.1002</v>
      </c>
      <c r="E2495" s="1243" t="str">
        <f>VLOOKUP($B2495,dongia1,DG!$C$5,)</f>
        <v>Tủ MCCB trạm giàn 1 ngăn</v>
      </c>
      <c r="F2495" s="1198" t="str">
        <f>VLOOKUP($B2495,dongia1,DG!$D$5,)</f>
        <v>cái</v>
      </c>
      <c r="G2495" s="1304">
        <f>G2493</f>
        <v>0</v>
      </c>
      <c r="H2495" s="1298">
        <f>VLOOKUP($B2495,dongia1,DG!$F$5,)</f>
        <v>2112489</v>
      </c>
      <c r="I2495" s="1298"/>
      <c r="J2495" s="1298">
        <f>VLOOKUP($B2495,dongia1,DG!$G$5,)</f>
        <v>690091</v>
      </c>
      <c r="K2495" s="1298">
        <f>VLOOKUP($B2495,dongia1,DG!$H$5,)</f>
        <v>97369</v>
      </c>
      <c r="L2495" s="1298">
        <f>H2495*G2495</f>
        <v>0</v>
      </c>
      <c r="M2495" s="1298">
        <f>I2495*G2495</f>
        <v>0</v>
      </c>
      <c r="N2495" s="1298">
        <f t="shared" si="604"/>
        <v>0</v>
      </c>
      <c r="O2495" s="1298">
        <f>K2495*G2495</f>
        <v>0</v>
      </c>
      <c r="P2495" s="1437"/>
      <c r="Q2495" s="1300"/>
      <c r="R2495" s="1300"/>
      <c r="S2495" s="1300"/>
    </row>
    <row r="2496" spans="1:20" s="1081" customFormat="1" hidden="1" outlineLevel="1">
      <c r="A2496" s="1072" t="str">
        <f>IF(G2496&lt;&gt;0,1,"")</f>
        <v/>
      </c>
      <c r="B2496" s="1295" t="s">
        <v>1560</v>
      </c>
      <c r="C2496" s="1291"/>
      <c r="D2496" s="1198">
        <f>VLOOKUP($B2496,dongia1,DG!$B$5,)</f>
        <v>0</v>
      </c>
      <c r="E2496" s="1243" t="str">
        <f>VLOOKUP($B2496,dongia1,DG!$C$5,)</f>
        <v xml:space="preserve">Bakelit 500x300 dầy 10mm </v>
      </c>
      <c r="F2496" s="1198" t="str">
        <f>VLOOKUP($B2496,dongia1,DG!$D$5,)</f>
        <v>cái</v>
      </c>
      <c r="G2496" s="1304">
        <f>G2493*1</f>
        <v>0</v>
      </c>
      <c r="H2496" s="1298">
        <f>VLOOKUP($B2496,dongia1,DG!$F$5,)</f>
        <v>284000</v>
      </c>
      <c r="I2496" s="1298"/>
      <c r="J2496" s="1298">
        <f>VLOOKUP($B2496,dongia1,DG!$G$5,)</f>
        <v>5404</v>
      </c>
      <c r="K2496" s="1298">
        <f>VLOOKUP($B2496,dongia1,DG!$H$5,)</f>
        <v>0</v>
      </c>
      <c r="L2496" s="1298">
        <f t="shared" ref="L2496:L2516" si="615">H2496*G2496</f>
        <v>0</v>
      </c>
      <c r="M2496" s="1298">
        <f t="shared" ref="M2496:M2516" si="616">I2496*G2496</f>
        <v>0</v>
      </c>
      <c r="N2496" s="1298">
        <f t="shared" si="604"/>
        <v>0</v>
      </c>
      <c r="O2496" s="1298">
        <f t="shared" ref="O2496:O2516" si="617">K2496*G2496</f>
        <v>0</v>
      </c>
      <c r="P2496" s="1437"/>
      <c r="Q2496" s="1300"/>
      <c r="R2496" s="1300"/>
      <c r="S2496" s="1300"/>
    </row>
    <row r="2497" spans="1:19" s="1081" customFormat="1" hidden="1" outlineLevel="1">
      <c r="A2497" s="1072" t="str">
        <f>IF(G2497&lt;&gt;0,1,"")</f>
        <v/>
      </c>
      <c r="B2497" s="1295" t="s">
        <v>888</v>
      </c>
      <c r="C2497" s="1302"/>
      <c r="D2497" s="1198">
        <f>VLOOKUP($B2497,dongia1,DG!$B$5,)</f>
        <v>0</v>
      </c>
      <c r="E2497" s="1243" t="str">
        <f>VLOOKUP($B2497,dongia1,DG!$C$5,)</f>
        <v>Bảng tên trạm + bảng báo nguy hiểm</v>
      </c>
      <c r="F2497" s="1198" t="str">
        <f>VLOOKUP($B2497,dongia1,DG!$D$5,)</f>
        <v>cái</v>
      </c>
      <c r="G2497" s="1304">
        <f>G2493</f>
        <v>0</v>
      </c>
      <c r="H2497" s="1298">
        <f>VLOOKUP($B2497,dongia1,DG!$F$5,)</f>
        <v>300000</v>
      </c>
      <c r="I2497" s="1298"/>
      <c r="J2497" s="1298">
        <f>VLOOKUP($B2497,dongia1,DG!$G$5,)</f>
        <v>0</v>
      </c>
      <c r="K2497" s="1298">
        <f>VLOOKUP($B2497,dongia1,DG!$H$5,)</f>
        <v>0</v>
      </c>
      <c r="L2497" s="1298">
        <f t="shared" si="615"/>
        <v>0</v>
      </c>
      <c r="M2497" s="1298">
        <f t="shared" si="616"/>
        <v>0</v>
      </c>
      <c r="N2497" s="1298">
        <f t="shared" si="604"/>
        <v>0</v>
      </c>
      <c r="O2497" s="1298">
        <f t="shared" si="617"/>
        <v>0</v>
      </c>
      <c r="P2497" s="1437"/>
      <c r="Q2497" s="1300"/>
      <c r="R2497" s="1300"/>
      <c r="S2497" s="1300"/>
    </row>
    <row r="2498" spans="1:19" s="1081" customFormat="1" hidden="1" outlineLevel="1">
      <c r="A2498" s="1072" t="str">
        <f>IF(G2498&lt;&gt;0,1,"")</f>
        <v/>
      </c>
      <c r="B2498" s="1295"/>
      <c r="C2498" s="1291">
        <f>IF(G2498&gt;0,C2493+1,C2493)</f>
        <v>0</v>
      </c>
      <c r="D2498" s="1292"/>
      <c r="E2498" s="1296" t="s">
        <v>3455</v>
      </c>
      <c r="F2498" s="1291" t="s">
        <v>2307</v>
      </c>
      <c r="G2498" s="1304"/>
      <c r="H2498" s="1298"/>
      <c r="I2498" s="1298"/>
      <c r="J2498" s="1298"/>
      <c r="K2498" s="1298"/>
      <c r="L2498" s="1298">
        <f t="shared" si="615"/>
        <v>0</v>
      </c>
      <c r="M2498" s="1298">
        <f t="shared" si="616"/>
        <v>0</v>
      </c>
      <c r="N2498" s="1298">
        <f t="shared" si="604"/>
        <v>0</v>
      </c>
      <c r="O2498" s="1298">
        <f t="shared" si="617"/>
        <v>0</v>
      </c>
      <c r="P2498" s="1299"/>
      <c r="Q2498" s="1300"/>
      <c r="R2498" s="1300"/>
      <c r="S2498" s="1300"/>
    </row>
    <row r="2499" spans="1:19" s="1081" customFormat="1" ht="14.4" hidden="1" outlineLevel="1">
      <c r="A2499" s="1072" t="str">
        <f>A2498</f>
        <v/>
      </c>
      <c r="B2499" s="1295"/>
      <c r="C2499" s="1291"/>
      <c r="D2499" s="1292"/>
      <c r="E2499" s="1301" t="s">
        <v>3399</v>
      </c>
      <c r="F2499" s="1302"/>
      <c r="G2499" s="1304"/>
      <c r="H2499" s="1298"/>
      <c r="I2499" s="1298"/>
      <c r="J2499" s="1298"/>
      <c r="K2499" s="1298"/>
      <c r="L2499" s="1298">
        <f t="shared" si="615"/>
        <v>0</v>
      </c>
      <c r="M2499" s="1298">
        <f t="shared" si="616"/>
        <v>0</v>
      </c>
      <c r="N2499" s="1298">
        <f t="shared" si="604"/>
        <v>0</v>
      </c>
      <c r="O2499" s="1298">
        <f t="shared" si="617"/>
        <v>0</v>
      </c>
      <c r="P2499" s="1299"/>
      <c r="Q2499" s="1300"/>
      <c r="R2499" s="1300"/>
      <c r="S2499" s="1300"/>
    </row>
    <row r="2500" spans="1:19" s="1081" customFormat="1" hidden="1" outlineLevel="1">
      <c r="A2500" s="1072" t="str">
        <f t="shared" ref="A2500:A2508" si="618">IF(G2500&lt;&gt;0,1,"")</f>
        <v/>
      </c>
      <c r="B2500" s="1557" t="s">
        <v>1729</v>
      </c>
      <c r="C2500" s="1302"/>
      <c r="D2500" s="1198">
        <f>VLOOKUP($B2500,dongia1,DG!$B$5,)</f>
        <v>0</v>
      </c>
      <c r="E2500" s="1399" t="str">
        <f>VLOOKUP($B2500,dongia1,DG!$C$5,)&amp;": 0,315m3/m"</f>
        <v>Cát vàng: 0,315m3/m</v>
      </c>
      <c r="F2500" s="1198" t="str">
        <f>VLOOKUP($B2500,dongia1,DG!$D$5,)</f>
        <v>m3</v>
      </c>
      <c r="G2500" s="1304">
        <f>G2498*0.315</f>
        <v>0</v>
      </c>
      <c r="H2500" s="1298">
        <f>VLOOKUP($B2500,dongia1,DG!$F$5,)</f>
        <v>512000</v>
      </c>
      <c r="I2500" s="1298"/>
      <c r="J2500" s="1298">
        <f>VLOOKUP($B2500,dongia1,DG!$G$5,)</f>
        <v>0</v>
      </c>
      <c r="K2500" s="1298">
        <f>VLOOKUP($B2500,dongia1,DG!$H$5,)</f>
        <v>0</v>
      </c>
      <c r="L2500" s="1298">
        <f t="shared" si="615"/>
        <v>0</v>
      </c>
      <c r="M2500" s="1298">
        <f t="shared" si="616"/>
        <v>0</v>
      </c>
      <c r="N2500" s="1298">
        <f t="shared" si="604"/>
        <v>0</v>
      </c>
      <c r="O2500" s="1298">
        <f t="shared" si="617"/>
        <v>0</v>
      </c>
      <c r="P2500" s="1299"/>
      <c r="Q2500" s="1300"/>
      <c r="R2500" s="1300"/>
      <c r="S2500" s="1300"/>
    </row>
    <row r="2501" spans="1:19" s="1081" customFormat="1" hidden="1" outlineLevel="1">
      <c r="A2501" s="1072" t="str">
        <f t="shared" si="618"/>
        <v/>
      </c>
      <c r="B2501" s="1557" t="s">
        <v>817</v>
      </c>
      <c r="C2501" s="1302"/>
      <c r="D2501" s="1198">
        <f>VLOOKUP($B2501,dongia1,DG!$B$5,)</f>
        <v>0</v>
      </c>
      <c r="E2501" s="1399" t="str">
        <f>VLOOKUP($B2501,dongia1,DG!$C$5,)&amp;": 0,092m3/m"</f>
        <v>Đá 2x4: 0,092m3/m</v>
      </c>
      <c r="F2501" s="1198" t="str">
        <f>VLOOKUP($B2501,dongia1,DG!$D$5,)</f>
        <v>m3</v>
      </c>
      <c r="G2501" s="1304">
        <f>0.092*G2498</f>
        <v>0</v>
      </c>
      <c r="H2501" s="1298">
        <f>VLOOKUP($B2501,dongia1,DG!$F$5,)</f>
        <v>295000</v>
      </c>
      <c r="I2501" s="1298"/>
      <c r="J2501" s="1298">
        <f>VLOOKUP($B2501,dongia1,DG!$G$5,)</f>
        <v>0</v>
      </c>
      <c r="K2501" s="1298">
        <f>VLOOKUP($B2501,dongia1,DG!$H$5,)</f>
        <v>0</v>
      </c>
      <c r="L2501" s="1298">
        <f t="shared" si="615"/>
        <v>0</v>
      </c>
      <c r="M2501" s="1298">
        <f t="shared" si="616"/>
        <v>0</v>
      </c>
      <c r="N2501" s="1298">
        <f t="shared" si="604"/>
        <v>0</v>
      </c>
      <c r="O2501" s="1298">
        <f t="shared" si="617"/>
        <v>0</v>
      </c>
      <c r="P2501" s="1299"/>
      <c r="Q2501" s="1300"/>
      <c r="R2501" s="1300"/>
      <c r="S2501" s="1300"/>
    </row>
    <row r="2502" spans="1:19" s="1081" customFormat="1" hidden="1" outlineLevel="1">
      <c r="A2502" s="1072" t="str">
        <f t="shared" si="618"/>
        <v/>
      </c>
      <c r="B2502" s="1557" t="s">
        <v>1495</v>
      </c>
      <c r="C2502" s="1302"/>
      <c r="D2502" s="1198">
        <f>VLOOKUP($B2502,dongia1,DG!$B$5,)</f>
        <v>0</v>
      </c>
      <c r="E2502" s="1399" t="str">
        <f>VLOOKUP($B2502,dongia1,DG!$C$5,)&amp;": 3,3vieân/m"</f>
        <v>Gạch tàu: 3,3vieân/m</v>
      </c>
      <c r="F2502" s="1198" t="str">
        <f>VLOOKUP($B2502,dongia1,DG!$D$5,)</f>
        <v>viên</v>
      </c>
      <c r="G2502" s="1304">
        <f>3.3*G2498</f>
        <v>0</v>
      </c>
      <c r="H2502" s="1298">
        <f>VLOOKUP($B2502,dongia1,DG!$F$5,)</f>
        <v>7000</v>
      </c>
      <c r="I2502" s="1298"/>
      <c r="J2502" s="1298">
        <f>VLOOKUP($B2502,dongia1,DG!$G$5,)</f>
        <v>0</v>
      </c>
      <c r="K2502" s="1298">
        <f>VLOOKUP($B2502,dongia1,DG!$H$5,)</f>
        <v>0</v>
      </c>
      <c r="L2502" s="1298">
        <f t="shared" si="615"/>
        <v>0</v>
      </c>
      <c r="M2502" s="1298">
        <f t="shared" si="616"/>
        <v>0</v>
      </c>
      <c r="N2502" s="1298">
        <f t="shared" si="604"/>
        <v>0</v>
      </c>
      <c r="O2502" s="1298">
        <f t="shared" si="617"/>
        <v>0</v>
      </c>
      <c r="P2502" s="1299"/>
      <c r="Q2502" s="1300"/>
      <c r="R2502" s="1300"/>
      <c r="S2502" s="1300"/>
    </row>
    <row r="2503" spans="1:19" s="1081" customFormat="1" hidden="1" outlineLevel="1">
      <c r="A2503" s="1072" t="str">
        <f t="shared" si="618"/>
        <v/>
      </c>
      <c r="B2503" s="1557" t="s">
        <v>1496</v>
      </c>
      <c r="C2503" s="1302"/>
      <c r="D2503" s="1198" t="str">
        <f>VLOOKUP($B2503,dongia1,DG!$B$5,)</f>
        <v>D4.1102</v>
      </c>
      <c r="E2503" s="1399" t="str">
        <f>VLOOKUP($B2503,dongia1,DG!$C$5,)&amp;": 0,4m2/m"</f>
        <v>Tấm nilông màu cảnh báo: 0,4m2/m</v>
      </c>
      <c r="F2503" s="1198" t="str">
        <f>VLOOKUP($B2503,dongia1,DG!$D$5,)</f>
        <v>m2</v>
      </c>
      <c r="G2503" s="1304">
        <f>0.4*G2498</f>
        <v>0</v>
      </c>
      <c r="H2503" s="1298">
        <f>VLOOKUP($B2503,dongia1,DG!$F$5,)</f>
        <v>10000</v>
      </c>
      <c r="I2503" s="1298"/>
      <c r="J2503" s="1298">
        <f>VLOOKUP($B2503,dongia1,DG!$G$5,)</f>
        <v>1187.155</v>
      </c>
      <c r="K2503" s="1298">
        <f>VLOOKUP($B2503,dongia1,DG!$H$5,)</f>
        <v>0</v>
      </c>
      <c r="L2503" s="1298">
        <f t="shared" si="615"/>
        <v>0</v>
      </c>
      <c r="M2503" s="1298">
        <f t="shared" si="616"/>
        <v>0</v>
      </c>
      <c r="N2503" s="1298">
        <f t="shared" ref="N2503:N2566" si="619">J2503*G2503</f>
        <v>0</v>
      </c>
      <c r="O2503" s="1298">
        <f t="shared" si="617"/>
        <v>0</v>
      </c>
      <c r="P2503" s="1299"/>
      <c r="Q2503" s="1300"/>
      <c r="R2503" s="1300"/>
      <c r="S2503" s="1300"/>
    </row>
    <row r="2504" spans="1:19" s="1081" customFormat="1" hidden="1" outlineLevel="1">
      <c r="A2504" s="1072" t="str">
        <f t="shared" si="618"/>
        <v/>
      </c>
      <c r="B2504" s="1557" t="s">
        <v>1861</v>
      </c>
      <c r="C2504" s="1291"/>
      <c r="D2504" s="1198">
        <f>VLOOKUP($B2504,dongia1,DG!$B$5,)</f>
        <v>0</v>
      </c>
      <c r="E2504" s="1399" t="str">
        <f>VLOOKUP($B2504,dongia1,DG!$C$5,)</f>
        <v>Ống PVC D140x6,7mm</v>
      </c>
      <c r="F2504" s="1198" t="str">
        <f>VLOOKUP($B2504,dongia1,DG!$D$5,)</f>
        <v>m</v>
      </c>
      <c r="G2504" s="1304">
        <f>1*G2498</f>
        <v>0</v>
      </c>
      <c r="H2504" s="1298">
        <f>VLOOKUP($B2504,dongia1,DG!$F$5,)</f>
        <v>165250</v>
      </c>
      <c r="I2504" s="1298"/>
      <c r="J2504" s="1298">
        <f>VLOOKUP($B2504,dongia1,DG!$G$5,)</f>
        <v>0</v>
      </c>
      <c r="K2504" s="1298">
        <f>VLOOKUP($B2504,dongia1,DG!$H$5,)</f>
        <v>0</v>
      </c>
      <c r="L2504" s="1298">
        <f t="shared" si="615"/>
        <v>0</v>
      </c>
      <c r="M2504" s="1298">
        <f t="shared" si="616"/>
        <v>0</v>
      </c>
      <c r="N2504" s="1298">
        <f t="shared" si="619"/>
        <v>0</v>
      </c>
      <c r="O2504" s="1298">
        <f t="shared" si="617"/>
        <v>0</v>
      </c>
      <c r="P2504" s="1299"/>
      <c r="Q2504" s="1300"/>
      <c r="R2504" s="1300"/>
      <c r="S2504" s="1300"/>
    </row>
    <row r="2505" spans="1:19" s="1081" customFormat="1" hidden="1" outlineLevel="1">
      <c r="A2505" s="1072" t="str">
        <f t="shared" si="618"/>
        <v/>
      </c>
      <c r="B2505" s="1557" t="s">
        <v>1498</v>
      </c>
      <c r="C2505" s="1302"/>
      <c r="D2505" s="1198" t="str">
        <f>VLOOKUP($B2505,dongia1,DG!$B$5,)</f>
        <v>AB.66112</v>
      </c>
      <c r="E2505" s="1399" t="str">
        <f>VLOOKUP($B2505,dongia1,DG!$C$5,)&amp;" + ñaép ñaù"</f>
        <v>Rải cát đệm (độ chặt K=0,9) + ñaép ñaù</v>
      </c>
      <c r="F2505" s="1198" t="str">
        <f>VLOOKUP($B2505,dongia1,DG!$D$5,)</f>
        <v>m3</v>
      </c>
      <c r="G2505" s="1304">
        <f>G2500+G2501</f>
        <v>0</v>
      </c>
      <c r="H2505" s="1298">
        <f>VLOOKUP($B2505,dongia1,DG!$F$5,)</f>
        <v>0</v>
      </c>
      <c r="I2505" s="1298"/>
      <c r="J2505" s="1298">
        <f>VLOOKUP($B2505,dongia1,DG!$G$5,)</f>
        <v>315277.5</v>
      </c>
      <c r="K2505" s="1298">
        <f>VLOOKUP($B2505,dongia1,DG!$H$5,)</f>
        <v>0</v>
      </c>
      <c r="L2505" s="1298">
        <f t="shared" si="615"/>
        <v>0</v>
      </c>
      <c r="M2505" s="1298">
        <f t="shared" si="616"/>
        <v>0</v>
      </c>
      <c r="N2505" s="1298">
        <f t="shared" si="619"/>
        <v>0</v>
      </c>
      <c r="O2505" s="1298">
        <f t="shared" si="617"/>
        <v>0</v>
      </c>
      <c r="P2505" s="1299"/>
      <c r="Q2505" s="1300"/>
      <c r="R2505" s="1300"/>
      <c r="S2505" s="1300"/>
    </row>
    <row r="2506" spans="1:19" s="1081" customFormat="1" hidden="1" outlineLevel="1">
      <c r="A2506" s="1072" t="str">
        <f t="shared" si="618"/>
        <v/>
      </c>
      <c r="B2506" s="1557" t="s">
        <v>291</v>
      </c>
      <c r="C2506" s="1302"/>
      <c r="D2506" s="1198" t="str">
        <f>VLOOKUP($B2506,dongia1,DG!$B$5,)</f>
        <v>AB.11613</v>
      </c>
      <c r="E2506" s="1399" t="str">
        <f>VLOOKUP($B2506,dongia1,DG!$C$5,)&amp;" : 0,48m3/m"</f>
        <v>Đào mương cáp ngầm đất cấp 3 có mở ta luy : 0,48m3/m</v>
      </c>
      <c r="F2506" s="1198" t="str">
        <f>VLOOKUP($B2506,dongia1,DG!$D$5,)</f>
        <v>m3</v>
      </c>
      <c r="G2506" s="1304">
        <f>G2498*0.48</f>
        <v>0</v>
      </c>
      <c r="H2506" s="1298">
        <f>VLOOKUP($B2506,dongia1,DG!$F$5,)</f>
        <v>0</v>
      </c>
      <c r="I2506" s="1298"/>
      <c r="J2506" s="1298">
        <f>VLOOKUP($B2506,dongia1,DG!$G$5,)</f>
        <v>640731.36</v>
      </c>
      <c r="K2506" s="1298">
        <f>VLOOKUP($B2506,dongia1,DG!$H$5,)</f>
        <v>0</v>
      </c>
      <c r="L2506" s="1298">
        <f t="shared" si="615"/>
        <v>0</v>
      </c>
      <c r="M2506" s="1298">
        <f t="shared" si="616"/>
        <v>0</v>
      </c>
      <c r="N2506" s="1298">
        <f t="shared" si="619"/>
        <v>0</v>
      </c>
      <c r="O2506" s="1298">
        <f t="shared" si="617"/>
        <v>0</v>
      </c>
      <c r="P2506" s="1299"/>
      <c r="Q2506" s="1300"/>
      <c r="R2506" s="1300"/>
      <c r="S2506" s="1300"/>
    </row>
    <row r="2507" spans="1:19" s="1081" customFormat="1" hidden="1" outlineLevel="1">
      <c r="A2507" s="1072" t="str">
        <f t="shared" si="618"/>
        <v/>
      </c>
      <c r="B2507" s="1557" t="s">
        <v>1906</v>
      </c>
      <c r="C2507" s="1302"/>
      <c r="D2507" s="1198" t="str">
        <f>VLOOKUP($B2507,dongia1,DG!$B$5,)</f>
        <v>AB.65110</v>
      </c>
      <c r="E2507" s="1399" t="str">
        <f>VLOOKUP($B2507,dongia1,DG!$C$5,)&amp;" : 0,073m3/m"</f>
        <v>Đắp đất mương cáp K=0,9 : 0,073m3/m</v>
      </c>
      <c r="F2507" s="1198" t="str">
        <f>VLOOKUP($B2507,dongia1,DG!$D$5,)</f>
        <v>m3</v>
      </c>
      <c r="G2507" s="1304">
        <f>G2498*0.073</f>
        <v>0</v>
      </c>
      <c r="H2507" s="1298">
        <f>VLOOKUP($B2507,dongia1,DG!$F$5,)</f>
        <v>0</v>
      </c>
      <c r="I2507" s="1298"/>
      <c r="J2507" s="1298">
        <f>VLOOKUP($B2507,dongia1,DG!$G$5,)</f>
        <v>21935.133999999998</v>
      </c>
      <c r="K2507" s="1298">
        <f>VLOOKUP($B2507,dongia1,DG!$H$5,)</f>
        <v>0</v>
      </c>
      <c r="L2507" s="1298">
        <f t="shared" si="615"/>
        <v>0</v>
      </c>
      <c r="M2507" s="1298">
        <f t="shared" si="616"/>
        <v>0</v>
      </c>
      <c r="N2507" s="1298">
        <f t="shared" si="619"/>
        <v>0</v>
      </c>
      <c r="O2507" s="1298">
        <f t="shared" si="617"/>
        <v>0</v>
      </c>
      <c r="P2507" s="1299"/>
      <c r="Q2507" s="1300"/>
      <c r="R2507" s="1474">
        <v>0.47499999999999998</v>
      </c>
      <c r="S2507" s="1300"/>
    </row>
    <row r="2508" spans="1:19" s="1081" customFormat="1" hidden="1" outlineLevel="1">
      <c r="A2508" s="1072" t="str">
        <f t="shared" si="618"/>
        <v/>
      </c>
      <c r="B2508" s="1295"/>
      <c r="C2508" s="1291">
        <f>IF(G2508&gt;0,C2498+1,C2498)</f>
        <v>0</v>
      </c>
      <c r="D2508" s="1292"/>
      <c r="E2508" s="1296" t="s">
        <v>3456</v>
      </c>
      <c r="F2508" s="1291" t="s">
        <v>2113</v>
      </c>
      <c r="G2508" s="1297"/>
      <c r="H2508" s="1298"/>
      <c r="I2508" s="1298"/>
      <c r="J2508" s="1298"/>
      <c r="K2508" s="1298"/>
      <c r="L2508" s="1298">
        <f t="shared" si="615"/>
        <v>0</v>
      </c>
      <c r="M2508" s="1298">
        <f t="shared" si="616"/>
        <v>0</v>
      </c>
      <c r="N2508" s="1298">
        <f t="shared" si="619"/>
        <v>0</v>
      </c>
      <c r="O2508" s="1298">
        <f t="shared" si="617"/>
        <v>0</v>
      </c>
      <c r="P2508" s="1299"/>
      <c r="Q2508" s="1300"/>
      <c r="R2508" s="1474">
        <v>0.88100000000000001</v>
      </c>
      <c r="S2508" s="1300"/>
    </row>
    <row r="2509" spans="1:19" s="1081" customFormat="1" ht="14.4" hidden="1" outlineLevel="1">
      <c r="A2509" s="1072" t="str">
        <f>A2508</f>
        <v/>
      </c>
      <c r="B2509" s="1295"/>
      <c r="C2509" s="1291"/>
      <c r="D2509" s="1292"/>
      <c r="E2509" s="1301" t="s">
        <v>3399</v>
      </c>
      <c r="F2509" s="1302"/>
      <c r="G2509" s="1473"/>
      <c r="H2509" s="1298"/>
      <c r="I2509" s="1298"/>
      <c r="J2509" s="1298"/>
      <c r="K2509" s="1298"/>
      <c r="L2509" s="1298">
        <f t="shared" si="615"/>
        <v>0</v>
      </c>
      <c r="M2509" s="1298">
        <f t="shared" si="616"/>
        <v>0</v>
      </c>
      <c r="N2509" s="1298">
        <f t="shared" si="619"/>
        <v>0</v>
      </c>
      <c r="O2509" s="1298">
        <f t="shared" si="617"/>
        <v>0</v>
      </c>
      <c r="P2509" s="1299"/>
      <c r="Q2509" s="1300"/>
      <c r="R2509" s="1300"/>
      <c r="S2509" s="1300"/>
    </row>
    <row r="2510" spans="1:19" s="1081" customFormat="1" hidden="1" outlineLevel="1">
      <c r="A2510" s="1072" t="str">
        <f t="shared" ref="A2510:A2517" si="620">IF(G2510&lt;&gt;0,1,"")</f>
        <v/>
      </c>
      <c r="B2510" s="1295" t="s">
        <v>1568</v>
      </c>
      <c r="C2510" s="1302"/>
      <c r="D2510" s="1198" t="str">
        <f>VLOOKUP($B2510,dongia1,DG!$B$5,)</f>
        <v>D4.1205</v>
      </c>
      <c r="E2510" s="1243" t="str">
        <f>VLOOKUP($B2510,dongia1,DG!$C$5,)</f>
        <v>Ông sắt tráng kẽm D140</v>
      </c>
      <c r="F2510" s="1198" t="str">
        <f>VLOOKUP($B2510,dongia1,DG!$D$5,)</f>
        <v>mét</v>
      </c>
      <c r="G2510" s="1303">
        <f>G2508*5</f>
        <v>0</v>
      </c>
      <c r="H2510" s="1298">
        <f>VLOOKUP($B2510,dongia1,DG!$F$5,)</f>
        <v>278000</v>
      </c>
      <c r="I2510" s="1298"/>
      <c r="J2510" s="1298">
        <f>VLOOKUP($B2510,dongia1,DG!$G$5,)</f>
        <v>127101.65849999999</v>
      </c>
      <c r="K2510" s="1298">
        <f>VLOOKUP($B2510,dongia1,DG!$H$5,)</f>
        <v>0</v>
      </c>
      <c r="L2510" s="1298">
        <f t="shared" si="615"/>
        <v>0</v>
      </c>
      <c r="M2510" s="1298">
        <f t="shared" si="616"/>
        <v>0</v>
      </c>
      <c r="N2510" s="1298">
        <f t="shared" si="619"/>
        <v>0</v>
      </c>
      <c r="O2510" s="1298">
        <f t="shared" si="617"/>
        <v>0</v>
      </c>
      <c r="P2510" s="1299"/>
      <c r="Q2510" s="1300"/>
      <c r="R2510" s="1300"/>
      <c r="S2510" s="1300"/>
    </row>
    <row r="2511" spans="1:19" s="1081" customFormat="1" hidden="1" outlineLevel="1">
      <c r="A2511" s="1072" t="str">
        <f t="shared" si="620"/>
        <v/>
      </c>
      <c r="B2511" s="1557" t="s">
        <v>25</v>
      </c>
      <c r="C2511" s="1291"/>
      <c r="D2511" s="1198">
        <f>VLOOKUP($B2511,dongia1,DG!$B$5,)</f>
        <v>0</v>
      </c>
      <c r="E2511" s="1243" t="str">
        <f>VLOOKUP($B2511,dongia1,DG!$C$5,)</f>
        <v>Co sừng 90 độ PVC 140</v>
      </c>
      <c r="F2511" s="1198" t="str">
        <f>VLOOKUP($B2511,dongia1,DG!$D$5,)</f>
        <v>cái</v>
      </c>
      <c r="G2511" s="1303">
        <f>G2508</f>
        <v>0</v>
      </c>
      <c r="H2511" s="1298">
        <f>VLOOKUP($B2511,dongia1,DG!$F$5,)</f>
        <v>138000</v>
      </c>
      <c r="I2511" s="1298"/>
      <c r="J2511" s="1298">
        <f>VLOOKUP($B2511,dongia1,DG!$G$5,)</f>
        <v>0</v>
      </c>
      <c r="K2511" s="1298">
        <f>VLOOKUP($B2511,dongia1,DG!$H$5,)</f>
        <v>0</v>
      </c>
      <c r="L2511" s="1298">
        <f t="shared" si="615"/>
        <v>0</v>
      </c>
      <c r="M2511" s="1298">
        <f t="shared" si="616"/>
        <v>0</v>
      </c>
      <c r="N2511" s="1298">
        <f t="shared" si="619"/>
        <v>0</v>
      </c>
      <c r="O2511" s="1298">
        <f t="shared" si="617"/>
        <v>0</v>
      </c>
      <c r="P2511" s="1299"/>
      <c r="Q2511" s="1300"/>
      <c r="R2511" s="1300"/>
      <c r="S2511" s="1300"/>
    </row>
    <row r="2512" spans="1:19" s="1081" customFormat="1" hidden="1" outlineLevel="1">
      <c r="A2512" s="1072" t="str">
        <f t="shared" si="620"/>
        <v/>
      </c>
      <c r="B2512" s="1295" t="s">
        <v>1424</v>
      </c>
      <c r="C2512" s="1302"/>
      <c r="D2512" s="1198">
        <f>VLOOKUP($B2512,dongia1,DG!$B$5,)</f>
        <v>0</v>
      </c>
      <c r="E2512" s="1243" t="str">
        <f>VLOOKUP($B2512,dongia1,DG!$C$5,)</f>
        <v>Cổ dê giữ ống STK D140 vào tường+Boulon+long đền+tắc ke sắt</v>
      </c>
      <c r="F2512" s="1198" t="str">
        <f>VLOOKUP($B2512,dongia1,DG!$D$5,)</f>
        <v>bộ</v>
      </c>
      <c r="G2512" s="1303">
        <f>G2508*2</f>
        <v>0</v>
      </c>
      <c r="H2512" s="1298">
        <f>VLOOKUP($B2512,dongia1,DG!$F$5,)</f>
        <v>40000</v>
      </c>
      <c r="I2512" s="1298"/>
      <c r="J2512" s="1298">
        <f>VLOOKUP($B2512,dongia1,DG!$G$5,)</f>
        <v>0</v>
      </c>
      <c r="K2512" s="1298">
        <f>VLOOKUP($B2512,dongia1,DG!$H$5,)</f>
        <v>0</v>
      </c>
      <c r="L2512" s="1298">
        <f t="shared" si="615"/>
        <v>0</v>
      </c>
      <c r="M2512" s="1298">
        <f t="shared" si="616"/>
        <v>0</v>
      </c>
      <c r="N2512" s="1298">
        <f t="shared" si="619"/>
        <v>0</v>
      </c>
      <c r="O2512" s="1298">
        <f t="shared" si="617"/>
        <v>0</v>
      </c>
      <c r="P2512" s="1299"/>
      <c r="Q2512" s="1300"/>
      <c r="R2512" s="1300"/>
      <c r="S2512" s="1300"/>
    </row>
    <row r="2513" spans="1:19" s="1081" customFormat="1" hidden="1" outlineLevel="1">
      <c r="A2513" s="1072" t="str">
        <f t="shared" si="620"/>
        <v/>
      </c>
      <c r="B2513" s="1068" t="s">
        <v>441</v>
      </c>
      <c r="C2513" s="1302"/>
      <c r="D2513" s="1198">
        <f>VLOOKUP($B2513,dongia1,DG!$B$5,)</f>
        <v>0</v>
      </c>
      <c r="E2513" s="1243" t="str">
        <f>VLOOKUP($B2513,dongia1,DG!$C$5,)</f>
        <v>Giá đỡ cáp ngầm (V63x6)</v>
      </c>
      <c r="F2513" s="1198" t="str">
        <f>VLOOKUP($B2513,dongia1,DG!$D$5,)</f>
        <v>bộ</v>
      </c>
      <c r="G2513" s="1303">
        <f>G2508</f>
        <v>0</v>
      </c>
      <c r="H2513" s="1298">
        <f>VLOOKUP($B2513,dongia1,DG!$F$5,)</f>
        <v>150000</v>
      </c>
      <c r="I2513" s="1298"/>
      <c r="J2513" s="1298">
        <f>VLOOKUP($B2513,dongia1,DG!$G$5,)</f>
        <v>0</v>
      </c>
      <c r="K2513" s="1298">
        <f>VLOOKUP($B2513,dongia1,DG!$H$5,)</f>
        <v>0</v>
      </c>
      <c r="L2513" s="1298">
        <f t="shared" si="615"/>
        <v>0</v>
      </c>
      <c r="M2513" s="1298">
        <f t="shared" si="616"/>
        <v>0</v>
      </c>
      <c r="N2513" s="1298">
        <f t="shared" si="619"/>
        <v>0</v>
      </c>
      <c r="O2513" s="1298">
        <f t="shared" si="617"/>
        <v>0</v>
      </c>
      <c r="P2513" s="1299"/>
      <c r="Q2513" s="1300"/>
      <c r="R2513" s="1300"/>
      <c r="S2513" s="1300"/>
    </row>
    <row r="2514" spans="1:19" s="1081" customFormat="1" hidden="1" outlineLevel="1">
      <c r="A2514" s="1072" t="str">
        <f t="shared" si="620"/>
        <v/>
      </c>
      <c r="B2514" s="1068" t="s">
        <v>764</v>
      </c>
      <c r="C2514" s="1302"/>
      <c r="D2514" s="1198">
        <f>VLOOKUP($B2514,dongia1,DG!$B$5,)</f>
        <v>0</v>
      </c>
      <c r="E2514" s="1243" t="str">
        <f>VLOOKUP($B2514,dongia1,DG!$C$5,)</f>
        <v>Giá đỡ cáp trung hạ thế</v>
      </c>
      <c r="F2514" s="1198" t="str">
        <f>VLOOKUP($B2514,dongia1,DG!$D$5,)</f>
        <v>bộ</v>
      </c>
      <c r="G2514" s="1303">
        <f>G2508</f>
        <v>0</v>
      </c>
      <c r="H2514" s="1298">
        <f>VLOOKUP($B2514,dongia1,DG!$F$5,)</f>
        <v>2739748</v>
      </c>
      <c r="I2514" s="1298"/>
      <c r="J2514" s="1298">
        <f>VLOOKUP($B2514,dongia1,DG!$G$5,)</f>
        <v>51183</v>
      </c>
      <c r="K2514" s="1298">
        <f>VLOOKUP($B2514,dongia1,DG!$H$5,)</f>
        <v>89000</v>
      </c>
      <c r="L2514" s="1298">
        <f t="shared" si="615"/>
        <v>0</v>
      </c>
      <c r="M2514" s="1298">
        <f t="shared" si="616"/>
        <v>0</v>
      </c>
      <c r="N2514" s="1298">
        <f t="shared" si="619"/>
        <v>0</v>
      </c>
      <c r="O2514" s="1298">
        <f t="shared" si="617"/>
        <v>0</v>
      </c>
      <c r="P2514" s="1299"/>
      <c r="Q2514" s="1300"/>
      <c r="R2514" s="1300"/>
      <c r="S2514" s="1300"/>
    </row>
    <row r="2515" spans="1:19" s="1081" customFormat="1" hidden="1" outlineLevel="1">
      <c r="A2515" s="1072" t="str">
        <f t="shared" si="620"/>
        <v/>
      </c>
      <c r="B2515" s="1295" t="s">
        <v>442</v>
      </c>
      <c r="C2515" s="1291"/>
      <c r="D2515" s="1198" t="str">
        <f>VLOOKUP($B2515,dongia1,DG!$B$5,)</f>
        <v>T4.8002</v>
      </c>
      <c r="E2515" s="1243" t="str">
        <f>VLOOKUP($B2515,dongia1,DG!$C$5,)</f>
        <v>Lắp gía đỡ cáp</v>
      </c>
      <c r="F2515" s="1198" t="str">
        <f>VLOOKUP($B2515,dongia1,DG!$D$5,)</f>
        <v>bộ</v>
      </c>
      <c r="G2515" s="1303">
        <f>G2513+G2514</f>
        <v>0</v>
      </c>
      <c r="H2515" s="1298">
        <f>VLOOKUP($B2515,dongia1,DG!$F$5,)</f>
        <v>0</v>
      </c>
      <c r="I2515" s="1298"/>
      <c r="J2515" s="1298">
        <f>VLOOKUP($B2515,dongia1,DG!$G$5,)</f>
        <v>28219.62</v>
      </c>
      <c r="K2515" s="1298">
        <f>VLOOKUP($B2515,dongia1,DG!$H$5,)</f>
        <v>0</v>
      </c>
      <c r="L2515" s="1298">
        <f t="shared" si="615"/>
        <v>0</v>
      </c>
      <c r="M2515" s="1298">
        <f t="shared" si="616"/>
        <v>0</v>
      </c>
      <c r="N2515" s="1298">
        <f t="shared" si="619"/>
        <v>0</v>
      </c>
      <c r="O2515" s="1298">
        <f t="shared" si="617"/>
        <v>0</v>
      </c>
      <c r="P2515" s="1299"/>
      <c r="Q2515" s="1300"/>
      <c r="R2515" s="1300"/>
      <c r="S2515" s="1300"/>
    </row>
    <row r="2516" spans="1:19" s="1081" customFormat="1" hidden="1" outlineLevel="1">
      <c r="A2516" s="1072" t="str">
        <f t="shared" si="620"/>
        <v/>
      </c>
      <c r="B2516" s="1295" t="s">
        <v>888</v>
      </c>
      <c r="C2516" s="1302"/>
      <c r="D2516" s="1198">
        <f>VLOOKUP($B2516,dongia1,DG!$B$5,)</f>
        <v>0</v>
      </c>
      <c r="E2516" s="1243" t="str">
        <f>VLOOKUP($B2516,dongia1,DG!$C$5,)</f>
        <v>Bảng tên trạm + bảng báo nguy hiểm</v>
      </c>
      <c r="F2516" s="1198" t="str">
        <f>VLOOKUP($B2516,dongia1,DG!$D$5,)</f>
        <v>cái</v>
      </c>
      <c r="G2516" s="1303">
        <f>G2508</f>
        <v>0</v>
      </c>
      <c r="H2516" s="1298">
        <f>VLOOKUP($B2516,dongia1,DG!$F$5,)</f>
        <v>300000</v>
      </c>
      <c r="I2516" s="1298"/>
      <c r="J2516" s="1298">
        <f>VLOOKUP($B2516,dongia1,DG!$G$5,)</f>
        <v>0</v>
      </c>
      <c r="K2516" s="1298">
        <f>VLOOKUP($B2516,dongia1,DG!$H$5,)</f>
        <v>0</v>
      </c>
      <c r="L2516" s="1298">
        <f t="shared" si="615"/>
        <v>0</v>
      </c>
      <c r="M2516" s="1298">
        <f t="shared" si="616"/>
        <v>0</v>
      </c>
      <c r="N2516" s="1298">
        <f t="shared" si="619"/>
        <v>0</v>
      </c>
      <c r="O2516" s="1298">
        <f t="shared" si="617"/>
        <v>0</v>
      </c>
      <c r="P2516" s="1299"/>
      <c r="Q2516" s="1300"/>
      <c r="R2516" s="1300"/>
      <c r="S2516" s="1300"/>
    </row>
    <row r="2517" spans="1:19" s="1081" customFormat="1" hidden="1" outlineLevel="1">
      <c r="A2517" s="1072" t="str">
        <f t="shared" si="620"/>
        <v/>
      </c>
      <c r="B2517" s="1295"/>
      <c r="C2517" s="1291">
        <f>IF(G2517&gt;0,C2508+1,C2508)</f>
        <v>0</v>
      </c>
      <c r="D2517" s="1292"/>
      <c r="E2517" s="1293" t="s">
        <v>3457</v>
      </c>
      <c r="F2517" s="1291" t="s">
        <v>2113</v>
      </c>
      <c r="G2517" s="1297"/>
      <c r="H2517" s="1298"/>
      <c r="I2517" s="1298"/>
      <c r="J2517" s="1298"/>
      <c r="K2517" s="1298"/>
      <c r="L2517" s="1298"/>
      <c r="M2517" s="1298"/>
      <c r="N2517" s="1298">
        <f t="shared" si="619"/>
        <v>0</v>
      </c>
      <c r="O2517" s="1298"/>
      <c r="P2517" s="1299"/>
      <c r="Q2517" s="1300"/>
      <c r="R2517" s="1300"/>
      <c r="S2517" s="1300"/>
    </row>
    <row r="2518" spans="1:19" s="1081" customFormat="1" ht="14.4" hidden="1" outlineLevel="1">
      <c r="A2518" s="1072" t="str">
        <f>A2517</f>
        <v/>
      </c>
      <c r="B2518" s="1295"/>
      <c r="C2518" s="1291"/>
      <c r="D2518" s="1292"/>
      <c r="E2518" s="1308" t="s">
        <v>3399</v>
      </c>
      <c r="F2518" s="1291"/>
      <c r="G2518" s="1297"/>
      <c r="H2518" s="1298"/>
      <c r="I2518" s="1298"/>
      <c r="J2518" s="1298"/>
      <c r="K2518" s="1298"/>
      <c r="L2518" s="1298"/>
      <c r="M2518" s="1298"/>
      <c r="N2518" s="1298">
        <f t="shared" si="619"/>
        <v>0</v>
      </c>
      <c r="O2518" s="1298"/>
      <c r="P2518" s="1299"/>
      <c r="Q2518" s="1300"/>
      <c r="R2518" s="1300"/>
      <c r="S2518" s="1300"/>
    </row>
    <row r="2519" spans="1:19" s="1081" customFormat="1" hidden="1" outlineLevel="1">
      <c r="A2519" s="1072" t="str">
        <f>IF(G2519&lt;&gt;0,1,"")</f>
        <v/>
      </c>
      <c r="B2519" s="1068" t="s">
        <v>22</v>
      </c>
      <c r="C2519" s="1302"/>
      <c r="D2519" s="1198">
        <f>VLOOKUP($B2519,dongia1,DG!$B$5,)</f>
        <v>0</v>
      </c>
      <c r="E2519" s="1243" t="str">
        <f>VLOOKUP($B2519,dongia1,DG!$C$5,)&amp;": trong möông vaø leân MBA"</f>
        <v>Cáp 24kV C/XLPE/DSTA/PVC3x50: trong möông vaø leân MBA</v>
      </c>
      <c r="F2519" s="1198" t="str">
        <f>VLOOKUP($B2519,dongia1,DG!$D$5,)</f>
        <v>mét</v>
      </c>
      <c r="G2519" s="1303">
        <f>G2498+G2517*8</f>
        <v>0</v>
      </c>
      <c r="H2519" s="1298">
        <f>VLOOKUP($B2519,dongia1,DG!$F$5,)</f>
        <v>763500</v>
      </c>
      <c r="I2519" s="1298"/>
      <c r="J2519" s="1298">
        <f>VLOOKUP($B2519,dongia1,DG!$G$5,)</f>
        <v>0</v>
      </c>
      <c r="K2519" s="1298">
        <f>VLOOKUP($B2519,dongia1,DG!$H$5,)</f>
        <v>0</v>
      </c>
      <c r="L2519" s="1298">
        <f>H2519*G2519</f>
        <v>0</v>
      </c>
      <c r="M2519" s="1298">
        <f>I2519*G2519</f>
        <v>0</v>
      </c>
      <c r="N2519" s="1298">
        <f t="shared" si="619"/>
        <v>0</v>
      </c>
      <c r="O2519" s="1298">
        <f>K2519*G2519</f>
        <v>0</v>
      </c>
      <c r="P2519" s="1299"/>
      <c r="Q2519" s="1300"/>
      <c r="R2519" s="1300"/>
      <c r="S2519" s="1300"/>
    </row>
    <row r="2520" spans="1:19" s="1081" customFormat="1" hidden="1" outlineLevel="1">
      <c r="A2520" s="1072" t="str">
        <f>IF(G2520&lt;&gt;0,1,"")</f>
        <v/>
      </c>
      <c r="B2520" s="1068" t="s">
        <v>2071</v>
      </c>
      <c r="C2520" s="1302"/>
      <c r="D2520" s="1198">
        <f>VLOOKUP($B2520,dongia1,DG!$B$5,)</f>
        <v>0</v>
      </c>
      <c r="E2520" s="1243" t="str">
        <f>VLOOKUP($B2520,dongia1,DG!$C$5,)&amp;": trung tính"</f>
        <v>Cáp 24KV C/XLPE/PVC 50mm2: trung tính</v>
      </c>
      <c r="F2520" s="1198" t="str">
        <f>VLOOKUP($B2520,dongia1,DG!$D$5,)</f>
        <v>mét</v>
      </c>
      <c r="G2520" s="1303">
        <f>G2519</f>
        <v>0</v>
      </c>
      <c r="H2520" s="1298">
        <f>VLOOKUP($B2520,dongia1,DG!$F$5,)</f>
        <v>204900</v>
      </c>
      <c r="I2520" s="1298"/>
      <c r="J2520" s="1298">
        <f>VLOOKUP($B2520,dongia1,DG!$G$5,)</f>
        <v>0</v>
      </c>
      <c r="K2520" s="1298">
        <f>VLOOKUP($B2520,dongia1,DG!$H$5,)</f>
        <v>0</v>
      </c>
      <c r="L2520" s="1298">
        <f>H2520*G2520</f>
        <v>0</v>
      </c>
      <c r="M2520" s="1298">
        <f>I2520*G2520</f>
        <v>0</v>
      </c>
      <c r="N2520" s="1298">
        <f t="shared" si="619"/>
        <v>0</v>
      </c>
      <c r="O2520" s="1298">
        <f>K2520*G2520</f>
        <v>0</v>
      </c>
      <c r="P2520" s="1299"/>
      <c r="Q2520" s="1300"/>
      <c r="R2520" s="1300"/>
      <c r="S2520" s="1300"/>
    </row>
    <row r="2521" spans="1:19" s="1081" customFormat="1" hidden="1" outlineLevel="1">
      <c r="A2521" s="1072" t="str">
        <f t="shared" ref="A2521:A2527" si="621">IF(G2521&lt;&gt;0,1,"")</f>
        <v/>
      </c>
      <c r="B2521" s="1068" t="s">
        <v>2071</v>
      </c>
      <c r="C2521" s="1302"/>
      <c r="D2521" s="1198">
        <f>VLOOKUP($B2521,dongia1,DG!$B$5,)</f>
        <v>0</v>
      </c>
      <c r="E2521" s="1243" t="str">
        <f>VLOOKUP($B2521,dongia1,DG!$C$5,)&amp;": 0,5m/pha töø FCO xuoáng MBA"</f>
        <v>Cáp 24KV C/XLPE/PVC 50mm2: 0,5m/pha töø FCO xuoáng MBA</v>
      </c>
      <c r="F2521" s="1198" t="str">
        <f>VLOOKUP($B2521,dongia1,DG!$D$5,)</f>
        <v>mét</v>
      </c>
      <c r="G2521" s="1473">
        <f>G2517*0.5*3</f>
        <v>0</v>
      </c>
      <c r="H2521" s="1298">
        <f>VLOOKUP($B2521,dongia1,DG!$F$5,)</f>
        <v>204900</v>
      </c>
      <c r="I2521" s="1298"/>
      <c r="J2521" s="1298">
        <f>VLOOKUP($B2521,dongia1,DG!$G$5,)</f>
        <v>0</v>
      </c>
      <c r="K2521" s="1298">
        <f>VLOOKUP($B2521,dongia1,DG!$H$5,)</f>
        <v>0</v>
      </c>
      <c r="L2521" s="1298">
        <f>H2521*G2521</f>
        <v>0</v>
      </c>
      <c r="M2521" s="1298">
        <f>I2521*G2521</f>
        <v>0</v>
      </c>
      <c r="N2521" s="1298">
        <f t="shared" si="619"/>
        <v>0</v>
      </c>
      <c r="O2521" s="1298">
        <f>K2521*G2521</f>
        <v>0</v>
      </c>
      <c r="P2521" s="1299"/>
      <c r="Q2521" s="1300"/>
      <c r="R2521" s="1300"/>
      <c r="S2521" s="1300"/>
    </row>
    <row r="2522" spans="1:19" s="1081" customFormat="1" hidden="1" outlineLevel="1">
      <c r="A2522" s="1072" t="str">
        <f t="shared" si="621"/>
        <v/>
      </c>
      <c r="B2522" s="1068" t="s">
        <v>631</v>
      </c>
      <c r="C2522" s="1302"/>
      <c r="D2522" s="1198">
        <f>VLOOKUP($B2522,dongia1,DG!$B$5,)</f>
        <v>0</v>
      </c>
      <c r="E2522" s="1243" t="str">
        <f>VLOOKUP($B2522,dongia1,DG!$C$5,)</f>
        <v>Đầu cáp ngầm 24KV 3x50mm2 outdoor</v>
      </c>
      <c r="F2522" s="1198" t="str">
        <f>VLOOKUP($B2522,dongia1,DG!$D$5,)</f>
        <v>cái</v>
      </c>
      <c r="G2522" s="1303">
        <f>G2517</f>
        <v>0</v>
      </c>
      <c r="H2522" s="1298">
        <f>VLOOKUP($B2522,dongia1,DG!$F$5,)</f>
        <v>4022000</v>
      </c>
      <c r="I2522" s="1298"/>
      <c r="J2522" s="1298">
        <f>VLOOKUP($B2522,dongia1,DG!$G$5,)</f>
        <v>0</v>
      </c>
      <c r="K2522" s="1298">
        <f>VLOOKUP($B2522,dongia1,DG!$H$5,)</f>
        <v>0</v>
      </c>
      <c r="L2522" s="1298">
        <f t="shared" ref="L2522:L2527" si="622">H2522*G2522</f>
        <v>0</v>
      </c>
      <c r="M2522" s="1298">
        <f t="shared" ref="M2522:M2527" si="623">I2522*G2522</f>
        <v>0</v>
      </c>
      <c r="N2522" s="1298">
        <f t="shared" si="619"/>
        <v>0</v>
      </c>
      <c r="O2522" s="1298">
        <f t="shared" ref="O2522:O2527" si="624">K2522*G2522</f>
        <v>0</v>
      </c>
      <c r="P2522" s="1299"/>
      <c r="Q2522" s="1300"/>
      <c r="R2522" s="1300"/>
      <c r="S2522" s="1300"/>
    </row>
    <row r="2523" spans="1:19" s="1081" customFormat="1" hidden="1" outlineLevel="1">
      <c r="A2523" s="1072" t="str">
        <f t="shared" si="621"/>
        <v/>
      </c>
      <c r="B2523" s="1068" t="s">
        <v>22</v>
      </c>
      <c r="C2523" s="1302"/>
      <c r="D2523" s="1198">
        <f>VLOOKUP($B2523,dongia1,DG!$B$5,)</f>
        <v>0</v>
      </c>
      <c r="E2523" s="1243" t="str">
        <f>VLOOKUP($B2523,dongia1,DG!$C$5,)&amp;": töø tuû LBS ñeán MBA"</f>
        <v>Cáp 24kV C/XLPE/DSTA/PVC3x50: töø tuû LBS ñeán MBA</v>
      </c>
      <c r="F2523" s="1198" t="str">
        <f>VLOOKUP($B2523,dongia1,DG!$D$5,)</f>
        <v>mét</v>
      </c>
      <c r="G2523" s="1473">
        <f>(1.2+2.4)*G2517</f>
        <v>0</v>
      </c>
      <c r="H2523" s="1298">
        <f>VLOOKUP($B2523,dongia1,DG!$F$5,)</f>
        <v>763500</v>
      </c>
      <c r="I2523" s="1298"/>
      <c r="J2523" s="1298">
        <f>VLOOKUP($B2523,dongia1,DG!$G$5,)</f>
        <v>0</v>
      </c>
      <c r="K2523" s="1298">
        <f>VLOOKUP($B2523,dongia1,DG!$H$5,)</f>
        <v>0</v>
      </c>
      <c r="L2523" s="1298">
        <f t="shared" si="622"/>
        <v>0</v>
      </c>
      <c r="M2523" s="1298">
        <f t="shared" si="623"/>
        <v>0</v>
      </c>
      <c r="N2523" s="1298">
        <f t="shared" si="619"/>
        <v>0</v>
      </c>
      <c r="O2523" s="1298">
        <f t="shared" si="624"/>
        <v>0</v>
      </c>
      <c r="P2523" s="1299"/>
      <c r="Q2523" s="1300"/>
      <c r="R2523" s="1300"/>
      <c r="S2523" s="1300"/>
    </row>
    <row r="2524" spans="1:19" s="1081" customFormat="1" hidden="1" outlineLevel="1">
      <c r="A2524" s="1072" t="str">
        <f t="shared" si="621"/>
        <v/>
      </c>
      <c r="B2524" s="1068" t="s">
        <v>2071</v>
      </c>
      <c r="C2524" s="1302"/>
      <c r="D2524" s="1198">
        <f>VLOOKUP($B2524,dongia1,DG!$B$5,)</f>
        <v>0</v>
      </c>
      <c r="E2524" s="1243" t="str">
        <f>VLOOKUP($B2524,dongia1,DG!$C$5,)&amp;": töø tuû LBS ñeán MBA"</f>
        <v>Cáp 24KV C/XLPE/PVC 50mm2: töø tuû LBS ñeán MBA</v>
      </c>
      <c r="F2524" s="1198" t="str">
        <f>VLOOKUP($B2524,dongia1,DG!$D$5,)</f>
        <v>mét</v>
      </c>
      <c r="G2524" s="1473">
        <f>G2517*1.2</f>
        <v>0</v>
      </c>
      <c r="H2524" s="1298">
        <f>VLOOKUP($B2524,dongia1,DG!$F$5,)</f>
        <v>204900</v>
      </c>
      <c r="I2524" s="1298"/>
      <c r="J2524" s="1298">
        <f>VLOOKUP($B2524,dongia1,DG!$G$5,)</f>
        <v>0</v>
      </c>
      <c r="K2524" s="1298">
        <f>VLOOKUP($B2524,dongia1,DG!$H$5,)</f>
        <v>0</v>
      </c>
      <c r="L2524" s="1298">
        <f t="shared" si="622"/>
        <v>0</v>
      </c>
      <c r="M2524" s="1298">
        <f t="shared" si="623"/>
        <v>0</v>
      </c>
      <c r="N2524" s="1298">
        <f t="shared" si="619"/>
        <v>0</v>
      </c>
      <c r="O2524" s="1298">
        <f t="shared" si="624"/>
        <v>0</v>
      </c>
      <c r="P2524" s="1299"/>
      <c r="Q2524" s="1300"/>
      <c r="R2524" s="1300"/>
      <c r="S2524" s="1300"/>
    </row>
    <row r="2525" spans="1:19" s="1081" customFormat="1" hidden="1" outlineLevel="1">
      <c r="A2525" s="1072" t="str">
        <f t="shared" si="621"/>
        <v/>
      </c>
      <c r="B2525" s="1068" t="s">
        <v>632</v>
      </c>
      <c r="C2525" s="1302"/>
      <c r="D2525" s="1198">
        <f>VLOOKUP($B2525,dongia1,DG!$B$5,)</f>
        <v>0</v>
      </c>
      <c r="E2525" s="1243" t="str">
        <f>VLOOKUP($B2525,dongia1,DG!$C$5,)</f>
        <v>Đầu cáp ngầm 24KV 3x50mm2 indoor</v>
      </c>
      <c r="F2525" s="1198" t="str">
        <f>VLOOKUP($B2525,dongia1,DG!$D$5,)</f>
        <v>cái</v>
      </c>
      <c r="G2525" s="1303">
        <f>G2517</f>
        <v>0</v>
      </c>
      <c r="H2525" s="1298">
        <f>VLOOKUP($B2525,dongia1,DG!$F$5,)</f>
        <v>5242230</v>
      </c>
      <c r="I2525" s="1298"/>
      <c r="J2525" s="1298">
        <f>VLOOKUP($B2525,dongia1,DG!$G$5,)</f>
        <v>0</v>
      </c>
      <c r="K2525" s="1298">
        <f>VLOOKUP($B2525,dongia1,DG!$H$5,)</f>
        <v>0</v>
      </c>
      <c r="L2525" s="1298">
        <f t="shared" si="622"/>
        <v>0</v>
      </c>
      <c r="M2525" s="1298">
        <f t="shared" si="623"/>
        <v>0</v>
      </c>
      <c r="N2525" s="1298">
        <f t="shared" si="619"/>
        <v>0</v>
      </c>
      <c r="O2525" s="1298">
        <f t="shared" si="624"/>
        <v>0</v>
      </c>
      <c r="P2525" s="1299"/>
      <c r="Q2525" s="1300"/>
      <c r="R2525" s="1300"/>
      <c r="S2525" s="1300"/>
    </row>
    <row r="2526" spans="1:19" s="1081" customFormat="1" hidden="1" outlineLevel="1">
      <c r="A2526" s="1072" t="str">
        <f t="shared" si="621"/>
        <v/>
      </c>
      <c r="B2526" s="1068" t="s">
        <v>1494</v>
      </c>
      <c r="C2526" s="1302"/>
      <c r="D2526" s="1198" t="str">
        <f>VLOOKUP($B2526,dongia1,DG!$B$5,)</f>
        <v>D4.3312</v>
      </c>
      <c r="E2526" s="1243" t="str">
        <f>VLOOKUP($B2526,dongia1,DG!$C$5,)</f>
        <v>Lắp đầu cáp trung thế 3x50mm2, 70mm2</v>
      </c>
      <c r="F2526" s="1198" t="str">
        <f>VLOOKUP($B2526,dongia1,DG!$D$5,)</f>
        <v>cái</v>
      </c>
      <c r="G2526" s="1303">
        <f>G2522+G2525</f>
        <v>0</v>
      </c>
      <c r="H2526" s="1298">
        <f>VLOOKUP($B2526,dongia1,DG!$F$5,)</f>
        <v>11340</v>
      </c>
      <c r="I2526" s="1298"/>
      <c r="J2526" s="1298">
        <f>VLOOKUP($B2526,dongia1,DG!$G$5,)</f>
        <v>621381.64999999991</v>
      </c>
      <c r="K2526" s="1298">
        <f>VLOOKUP($B2526,dongia1,DG!$H$5,)</f>
        <v>0</v>
      </c>
      <c r="L2526" s="1298">
        <f t="shared" si="622"/>
        <v>0</v>
      </c>
      <c r="M2526" s="1298">
        <f t="shared" si="623"/>
        <v>0</v>
      </c>
      <c r="N2526" s="1298">
        <f t="shared" si="619"/>
        <v>0</v>
      </c>
      <c r="O2526" s="1298">
        <f t="shared" si="624"/>
        <v>0</v>
      </c>
      <c r="P2526" s="1299"/>
      <c r="Q2526" s="1300"/>
      <c r="R2526" s="1300"/>
      <c r="S2526" s="1300"/>
    </row>
    <row r="2527" spans="1:19" s="1081" customFormat="1" hidden="1" outlineLevel="1">
      <c r="A2527" s="1072" t="str">
        <f t="shared" si="621"/>
        <v/>
      </c>
      <c r="B2527" s="1068" t="s">
        <v>1842</v>
      </c>
      <c r="C2527" s="1302"/>
      <c r="D2527" s="1198" t="str">
        <f>VLOOKUP($B2527,dongia1,DG!$B$5,)</f>
        <v>03.1405</v>
      </c>
      <c r="E2527" s="1243" t="str">
        <f>VLOOKUP($B2527,dongia1,DG!$C$5,)</f>
        <v>Lắp cáp trong ống bảo vệ trong TBA loại &lt;=6kg</v>
      </c>
      <c r="F2527" s="1198" t="str">
        <f>VLOOKUP($B2527,dongia1,DG!$D$5,)</f>
        <v>mét</v>
      </c>
      <c r="G2527" s="1303">
        <f>G2519+G2523</f>
        <v>0</v>
      </c>
      <c r="H2527" s="1298">
        <f>VLOOKUP($B2527,dongia1,DG!$F$5,)</f>
        <v>546.34</v>
      </c>
      <c r="I2527" s="1298"/>
      <c r="J2527" s="1298">
        <f>VLOOKUP($B2527,dongia1,DG!$G$5,)</f>
        <v>2166</v>
      </c>
      <c r="K2527" s="1298">
        <f>VLOOKUP($B2527,dongia1,DG!$H$5,)</f>
        <v>0</v>
      </c>
      <c r="L2527" s="1298">
        <f t="shared" si="622"/>
        <v>0</v>
      </c>
      <c r="M2527" s="1298">
        <f t="shared" si="623"/>
        <v>0</v>
      </c>
      <c r="N2527" s="1298">
        <f t="shared" si="619"/>
        <v>0</v>
      </c>
      <c r="O2527" s="1298">
        <f t="shared" si="624"/>
        <v>0</v>
      </c>
      <c r="P2527" s="1299"/>
      <c r="Q2527" s="1300"/>
      <c r="R2527" s="1300"/>
      <c r="S2527" s="1300"/>
    </row>
    <row r="2528" spans="1:19" s="1081" customFormat="1" hidden="1" outlineLevel="1">
      <c r="A2528" s="1072" t="str">
        <f>IF(G2528&lt;&gt;0,1,"")</f>
        <v/>
      </c>
      <c r="B2528" s="1068" t="s">
        <v>1839</v>
      </c>
      <c r="C2528" s="1302"/>
      <c r="D2528" s="1198" t="str">
        <f>VLOOKUP($B2528,dongia1,DG!$B$5,)</f>
        <v>03.1402</v>
      </c>
      <c r="E2528" s="1243" t="str">
        <f>VLOOKUP($B2528,dongia1,DG!$C$5,)</f>
        <v>Lắp cáp trong ống bảo vệ trong TBA loại &lt;=2kg</v>
      </c>
      <c r="F2528" s="1198" t="str">
        <f>VLOOKUP($B2528,dongia1,DG!$D$5,)</f>
        <v>mét</v>
      </c>
      <c r="G2528" s="1303">
        <f>G2520+G2524</f>
        <v>0</v>
      </c>
      <c r="H2528" s="1298">
        <f>VLOOKUP($B2528,dongia1,DG!$F$5,)</f>
        <v>460.75</v>
      </c>
      <c r="I2528" s="1298"/>
      <c r="J2528" s="1298">
        <f>VLOOKUP($B2528,dongia1,DG!$G$5,)</f>
        <v>1020</v>
      </c>
      <c r="K2528" s="1298">
        <f>VLOOKUP($B2528,dongia1,DG!$H$5,)</f>
        <v>0</v>
      </c>
      <c r="L2528" s="1298">
        <f>H2528*G2528</f>
        <v>0</v>
      </c>
      <c r="M2528" s="1298">
        <f>I2528*G2528</f>
        <v>0</v>
      </c>
      <c r="N2528" s="1298">
        <f t="shared" si="619"/>
        <v>0</v>
      </c>
      <c r="O2528" s="1298">
        <f>K2528*G2528</f>
        <v>0</v>
      </c>
      <c r="P2528" s="1299"/>
      <c r="Q2528" s="1300"/>
      <c r="R2528" s="1300"/>
      <c r="S2528" s="1300"/>
    </row>
    <row r="2529" spans="1:19" s="1081" customFormat="1" hidden="1" outlineLevel="1">
      <c r="A2529" s="1072" t="str">
        <f>IF(G2529&lt;&gt;0,1,"")</f>
        <v/>
      </c>
      <c r="B2529" s="1068" t="s">
        <v>224</v>
      </c>
      <c r="C2529" s="1302"/>
      <c r="D2529" s="1198" t="str">
        <f>VLOOKUP($B2529,dongia1,DG!$B$5,)</f>
        <v>T4.4201</v>
      </c>
      <c r="E2529" s="1243" t="str">
        <f>VLOOKUP($B2529,dongia1,DG!$C$5,)</f>
        <v>Lắp cáp đồng xuống thiết bị D ≤ 95mm2</v>
      </c>
      <c r="F2529" s="1198" t="str">
        <f>VLOOKUP($B2529,dongia1,DG!$D$5,)</f>
        <v>m</v>
      </c>
      <c r="G2529" s="1473">
        <f>G2521</f>
        <v>0</v>
      </c>
      <c r="H2529" s="1298">
        <f>VLOOKUP($B2529,dongia1,DG!$F$5,)</f>
        <v>0</v>
      </c>
      <c r="I2529" s="1298"/>
      <c r="J2529" s="1298">
        <f>VLOOKUP($B2529,dongia1,DG!$G$5,)</f>
        <v>13915</v>
      </c>
      <c r="K2529" s="1298">
        <f>VLOOKUP($B2529,dongia1,DG!$H$5,)</f>
        <v>0</v>
      </c>
      <c r="L2529" s="1298">
        <f>H2529*G2529</f>
        <v>0</v>
      </c>
      <c r="M2529" s="1298">
        <f>I2529*G2529</f>
        <v>0</v>
      </c>
      <c r="N2529" s="1298">
        <f t="shared" si="619"/>
        <v>0</v>
      </c>
      <c r="O2529" s="1298">
        <f>K2529*G2529</f>
        <v>0</v>
      </c>
      <c r="P2529" s="1299"/>
      <c r="Q2529" s="1300"/>
      <c r="R2529" s="1300"/>
      <c r="S2529" s="1300"/>
    </row>
    <row r="2530" spans="1:19" s="1081" customFormat="1" hidden="1" outlineLevel="1">
      <c r="A2530" s="1072" t="str">
        <f>IF(G2530&lt;&gt;0,1,"")</f>
        <v/>
      </c>
      <c r="B2530" s="1068" t="s">
        <v>627</v>
      </c>
      <c r="C2530" s="1302"/>
      <c r="D2530" s="1198">
        <f>VLOOKUP($B2530,dongia1,DG!$B$5,)</f>
        <v>0</v>
      </c>
      <c r="E2530" s="1243" t="str">
        <f>VLOOKUP($B2530,dongia1,DG!$C$5,)</f>
        <v>Dây rút cáp</v>
      </c>
      <c r="F2530" s="1198" t="str">
        <f>VLOOKUP($B2530,dongia1,DG!$D$5,)</f>
        <v>bọc</v>
      </c>
      <c r="G2530" s="1303">
        <f>G2517*2</f>
        <v>0</v>
      </c>
      <c r="H2530" s="1298">
        <f>VLOOKUP($B2530,dongia1,DG!$F$5,)</f>
        <v>15000</v>
      </c>
      <c r="I2530" s="1298"/>
      <c r="J2530" s="1298">
        <f>VLOOKUP($B2530,dongia1,DG!$G$5,)</f>
        <v>0</v>
      </c>
      <c r="K2530" s="1298">
        <f>VLOOKUP($B2530,dongia1,DG!$H$5,)</f>
        <v>0</v>
      </c>
      <c r="L2530" s="1298">
        <f>H2530*G2530</f>
        <v>0</v>
      </c>
      <c r="M2530" s="1298">
        <f>I2530*G2530</f>
        <v>0</v>
      </c>
      <c r="N2530" s="1298">
        <f t="shared" si="619"/>
        <v>0</v>
      </c>
      <c r="O2530" s="1298">
        <f>K2530*G2530</f>
        <v>0</v>
      </c>
      <c r="P2530" s="1299"/>
      <c r="Q2530" s="1300"/>
      <c r="R2530" s="1300"/>
      <c r="S2530" s="1300"/>
    </row>
    <row r="2531" spans="1:19" s="1081" customFormat="1" hidden="1" outlineLevel="1">
      <c r="A2531" s="1072" t="str">
        <f>IF(G2531&lt;&gt;0,1,"")</f>
        <v/>
      </c>
      <c r="B2531" s="1295"/>
      <c r="C2531" s="1291">
        <f>IF(G2531&gt;0,C2517+1,C2517)</f>
        <v>0</v>
      </c>
      <c r="D2531" s="1292"/>
      <c r="E2531" s="1293" t="s">
        <v>3449</v>
      </c>
      <c r="F2531" s="1291" t="s">
        <v>2113</v>
      </c>
      <c r="G2531" s="1297">
        <f>G2391</f>
        <v>0</v>
      </c>
      <c r="H2531" s="1298"/>
      <c r="I2531" s="1298"/>
      <c r="J2531" s="1298"/>
      <c r="K2531" s="1298"/>
      <c r="L2531" s="1298"/>
      <c r="M2531" s="1298"/>
      <c r="N2531" s="1298">
        <f t="shared" si="619"/>
        <v>0</v>
      </c>
      <c r="O2531" s="1298"/>
      <c r="P2531" s="1437"/>
      <c r="Q2531" s="1300"/>
      <c r="R2531" s="1300"/>
      <c r="S2531" s="1300"/>
    </row>
    <row r="2532" spans="1:19" s="1081" customFormat="1" ht="14.4" hidden="1" outlineLevel="1">
      <c r="A2532" s="1072" t="str">
        <f>A2531</f>
        <v/>
      </c>
      <c r="B2532" s="1295"/>
      <c r="C2532" s="1291"/>
      <c r="D2532" s="1292"/>
      <c r="E2532" s="1308" t="s">
        <v>3399</v>
      </c>
      <c r="F2532" s="1291"/>
      <c r="G2532" s="1297"/>
      <c r="H2532" s="1298"/>
      <c r="I2532" s="1298"/>
      <c r="J2532" s="1298"/>
      <c r="K2532" s="1298"/>
      <c r="L2532" s="1298"/>
      <c r="M2532" s="1298"/>
      <c r="N2532" s="1298">
        <f t="shared" si="619"/>
        <v>0</v>
      </c>
      <c r="O2532" s="1298"/>
      <c r="P2532" s="1437"/>
      <c r="Q2532" s="1300"/>
      <c r="R2532" s="1300"/>
      <c r="S2532" s="1300"/>
    </row>
    <row r="2533" spans="1:19" s="1081" customFormat="1" hidden="1" outlineLevel="1">
      <c r="A2533" s="1072" t="str">
        <f>IF(G2533&lt;&gt;0,1,"")</f>
        <v/>
      </c>
      <c r="B2533" s="1068" t="s">
        <v>5669</v>
      </c>
      <c r="C2533" s="1302"/>
      <c r="D2533" s="1198">
        <f>VLOOKUP($B2533,dongia1,DG!$B$5,)</f>
        <v>0</v>
      </c>
      <c r="E2533" s="1243" t="str">
        <f>VLOOKUP($B2533,dongia1,DG!$C$5,)</f>
        <v>Cáp 24KV C/XLPE- 25mm2</v>
      </c>
      <c r="F2533" s="1198" t="str">
        <f>VLOOKUP($B2533,dongia1,DG!$D$5,)</f>
        <v>mét</v>
      </c>
      <c r="G2533" s="1304">
        <f>G2531*(13*3)</f>
        <v>0</v>
      </c>
      <c r="H2533" s="1298">
        <f>VLOOKUP($B2533,dongia1,DG!$F$5,)</f>
        <v>99600</v>
      </c>
      <c r="I2533" s="1298"/>
      <c r="J2533" s="1298">
        <f>VLOOKUP($B2533,dongia1,DG!$G$5,)</f>
        <v>0</v>
      </c>
      <c r="K2533" s="1298">
        <f>VLOOKUP($B2533,dongia1,DG!$H$5,)</f>
        <v>0</v>
      </c>
      <c r="L2533" s="1298">
        <f t="shared" ref="L2533:L2542" si="625">H2533*G2533</f>
        <v>0</v>
      </c>
      <c r="M2533" s="1298">
        <f>I2533*G2533</f>
        <v>0</v>
      </c>
      <c r="N2533" s="1298">
        <f t="shared" si="619"/>
        <v>0</v>
      </c>
      <c r="O2533" s="1298">
        <f t="shared" ref="O2533:O2542" si="626">K2533*G2533</f>
        <v>0</v>
      </c>
      <c r="P2533" s="1437"/>
      <c r="Q2533" s="1300"/>
      <c r="R2533" s="1300"/>
      <c r="S2533" s="1300"/>
    </row>
    <row r="2534" spans="1:19" s="1081" customFormat="1" hidden="1" outlineLevel="1">
      <c r="A2534" s="1072" t="str">
        <f>IF(G2534&lt;&gt;0,1,"")</f>
        <v/>
      </c>
      <c r="B2534" s="1421" t="s">
        <v>2144</v>
      </c>
      <c r="C2534" s="1302"/>
      <c r="D2534" s="1198">
        <f>VLOOKUP($B2534,dongia1,DG!$B$5,)</f>
        <v>0</v>
      </c>
      <c r="E2534" s="1243" t="str">
        <f>VLOOKUP($B2534,dongia1,DG!$C$5,)</f>
        <v>Nắp che đầu cực FCO</v>
      </c>
      <c r="F2534" s="1198" t="str">
        <f>VLOOKUP($B2534,dongia1,DG!$D$5,)</f>
        <v>cái</v>
      </c>
      <c r="G2534" s="1304">
        <f>+G2531*3</f>
        <v>0</v>
      </c>
      <c r="H2534" s="1298">
        <f>VLOOKUP($B2534,dongia1,DG!$F$5,)</f>
        <v>218200</v>
      </c>
      <c r="I2534" s="1298"/>
      <c r="J2534" s="1298">
        <f>VLOOKUP($B2534,dongia1,DG!$G$5,)</f>
        <v>0</v>
      </c>
      <c r="K2534" s="1298">
        <f>VLOOKUP($B2534,dongia1,DG!$H$5,)</f>
        <v>0</v>
      </c>
      <c r="L2534" s="1298">
        <f>H2534*G2534</f>
        <v>0</v>
      </c>
      <c r="M2534" s="1298">
        <f>I2534*G2534</f>
        <v>0</v>
      </c>
      <c r="N2534" s="1298">
        <f t="shared" si="619"/>
        <v>0</v>
      </c>
      <c r="O2534" s="1298">
        <f>K2534*G2534</f>
        <v>0</v>
      </c>
      <c r="P2534" s="1299"/>
      <c r="Q2534" s="1300"/>
      <c r="R2534" s="1300"/>
      <c r="S2534" s="1300"/>
    </row>
    <row r="2535" spans="1:19" s="1081" customFormat="1" hidden="1" outlineLevel="1">
      <c r="A2535" s="1072" t="str">
        <f>IF(G2535&lt;&gt;0,1,"")</f>
        <v/>
      </c>
      <c r="B2535" s="1421" t="s">
        <v>2121</v>
      </c>
      <c r="C2535" s="1302"/>
      <c r="D2535" s="1198">
        <f>VLOOKUP($B2535,dongia1,DG!$B$5,)</f>
        <v>0</v>
      </c>
      <c r="E2535" s="1243" t="str">
        <f>VLOOKUP($B2535,dongia1,DG!$C$5,)</f>
        <v>Nắp che đầu cực LA</v>
      </c>
      <c r="F2535" s="1198" t="str">
        <f>VLOOKUP($B2535,dongia1,DG!$D$5,)</f>
        <v>cái</v>
      </c>
      <c r="G2535" s="1304">
        <f>+G2531*3</f>
        <v>0</v>
      </c>
      <c r="H2535" s="1298">
        <f>VLOOKUP($B2535,dongia1,DG!$F$5,)</f>
        <v>39100</v>
      </c>
      <c r="I2535" s="1298"/>
      <c r="J2535" s="1298">
        <f>VLOOKUP($B2535,dongia1,DG!$G$5,)</f>
        <v>0</v>
      </c>
      <c r="K2535" s="1298">
        <f>VLOOKUP($B2535,dongia1,DG!$H$5,)</f>
        <v>0</v>
      </c>
      <c r="L2535" s="1298">
        <f>H2535*G2535</f>
        <v>0</v>
      </c>
      <c r="M2535" s="1298">
        <f>I2535*G2535</f>
        <v>0</v>
      </c>
      <c r="N2535" s="1298">
        <f t="shared" si="619"/>
        <v>0</v>
      </c>
      <c r="O2535" s="1298">
        <f>K2535*G2535</f>
        <v>0</v>
      </c>
      <c r="P2535" s="1299"/>
      <c r="Q2535" s="1300"/>
      <c r="R2535" s="1300"/>
      <c r="S2535" s="1300"/>
    </row>
    <row r="2536" spans="1:19" s="1081" customFormat="1" hidden="1" outlineLevel="1">
      <c r="A2536" s="1072" t="str">
        <f>IF(G2536&lt;&gt;0,1,"")</f>
        <v/>
      </c>
      <c r="B2536" s="1421" t="s">
        <v>2123</v>
      </c>
      <c r="C2536" s="1302"/>
      <c r="D2536" s="1198">
        <f>VLOOKUP($B2536,dongia1,DG!$B$5,)</f>
        <v>0</v>
      </c>
      <c r="E2536" s="1243" t="str">
        <f>VLOOKUP($B2536,dongia1,DG!$C$5,)</f>
        <v>Nắp che đầu sứ MBA</v>
      </c>
      <c r="F2536" s="1198" t="str">
        <f>VLOOKUP($B2536,dongia1,DG!$D$5,)</f>
        <v>cái</v>
      </c>
      <c r="G2536" s="1304">
        <f>+G2531*3</f>
        <v>0</v>
      </c>
      <c r="H2536" s="1298">
        <f>VLOOKUP($B2536,dongia1,DG!$F$5,)</f>
        <v>56700</v>
      </c>
      <c r="I2536" s="1298"/>
      <c r="J2536" s="1298">
        <f>VLOOKUP($B2536,dongia1,DG!$G$5,)</f>
        <v>0</v>
      </c>
      <c r="K2536" s="1298">
        <f>VLOOKUP($B2536,dongia1,DG!$H$5,)</f>
        <v>0</v>
      </c>
      <c r="L2536" s="1298">
        <f>H2536*G2536</f>
        <v>0</v>
      </c>
      <c r="M2536" s="1298">
        <f>I2536*G2536</f>
        <v>0</v>
      </c>
      <c r="N2536" s="1298">
        <f t="shared" si="619"/>
        <v>0</v>
      </c>
      <c r="O2536" s="1298">
        <f>K2536*G2536</f>
        <v>0</v>
      </c>
      <c r="P2536" s="1299"/>
      <c r="Q2536" s="1300"/>
      <c r="R2536" s="1300"/>
      <c r="S2536" s="1300"/>
    </row>
    <row r="2537" spans="1:19" s="1081" customFormat="1" hidden="1" outlineLevel="1">
      <c r="A2537" s="1072" t="str">
        <f t="shared" ref="A2537:A2543" si="627">IF(G2537&lt;&gt;0,1,"")</f>
        <v/>
      </c>
      <c r="B2537" s="1421" t="s">
        <v>2028</v>
      </c>
      <c r="C2537" s="1302"/>
      <c r="D2537" s="1198">
        <f>VLOOKUP($B2537,dongia1,DG!$B$5,)</f>
        <v>0</v>
      </c>
      <c r="E2537" s="1243" t="str">
        <f>VLOOKUP($B2537,dongia1,DG!$C$5,)</f>
        <v>Kẹp quai 2/0</v>
      </c>
      <c r="F2537" s="1198" t="str">
        <f>VLOOKUP($B2537,dongia1,DG!$D$5,)</f>
        <v>cái</v>
      </c>
      <c r="G2537" s="1304"/>
      <c r="H2537" s="1298">
        <f>VLOOKUP($B2537,dongia1,DG!$F$5,)</f>
        <v>46000</v>
      </c>
      <c r="I2537" s="1298"/>
      <c r="J2537" s="1298">
        <f>VLOOKUP($B2537,dongia1,DG!$G$5,)</f>
        <v>0</v>
      </c>
      <c r="K2537" s="1298">
        <f>VLOOKUP($B2537,dongia1,DG!$H$5,)</f>
        <v>0</v>
      </c>
      <c r="L2537" s="1298">
        <f t="shared" si="625"/>
        <v>0</v>
      </c>
      <c r="M2537" s="1298">
        <f t="shared" ref="M2537:M2542" si="628">I2537*G2537</f>
        <v>0</v>
      </c>
      <c r="N2537" s="1298">
        <f t="shared" si="619"/>
        <v>0</v>
      </c>
      <c r="O2537" s="1298">
        <f t="shared" si="626"/>
        <v>0</v>
      </c>
      <c r="P2537" s="1437"/>
      <c r="Q2537" s="1300"/>
      <c r="R2537" s="1300"/>
      <c r="S2537" s="1300"/>
    </row>
    <row r="2538" spans="1:19" s="1081" customFormat="1" hidden="1" outlineLevel="1">
      <c r="A2538" s="1072" t="str">
        <f t="shared" si="627"/>
        <v/>
      </c>
      <c r="B2538" s="1421" t="s">
        <v>2026</v>
      </c>
      <c r="C2538" s="1302"/>
      <c r="D2538" s="1198">
        <f>VLOOKUP($B2538,dongia1,DG!$B$5,)</f>
        <v>0</v>
      </c>
      <c r="E2538" s="1243" t="str">
        <f>VLOOKUP($B2538,dongia1,DG!$C$5,)&amp;": "</f>
        <v xml:space="preserve">Kẹp hotline 2/0: </v>
      </c>
      <c r="F2538" s="1198" t="str">
        <f>VLOOKUP($B2538,dongia1,DG!$D$5,)</f>
        <v>cái</v>
      </c>
      <c r="G2538" s="1304"/>
      <c r="H2538" s="1298">
        <f>VLOOKUP($B2538,dongia1,DG!$F$5,)</f>
        <v>77000</v>
      </c>
      <c r="I2538" s="1298"/>
      <c r="J2538" s="1298">
        <f>VLOOKUP($B2538,dongia1,DG!$G$5,)</f>
        <v>0</v>
      </c>
      <c r="K2538" s="1298">
        <f>VLOOKUP($B2538,dongia1,DG!$H$5,)</f>
        <v>0</v>
      </c>
      <c r="L2538" s="1298">
        <f t="shared" si="625"/>
        <v>0</v>
      </c>
      <c r="M2538" s="1298">
        <f t="shared" si="628"/>
        <v>0</v>
      </c>
      <c r="N2538" s="1298">
        <f t="shared" si="619"/>
        <v>0</v>
      </c>
      <c r="O2538" s="1298">
        <f t="shared" si="626"/>
        <v>0</v>
      </c>
      <c r="P2538" s="1437"/>
      <c r="Q2538" s="1300"/>
      <c r="R2538" s="1300"/>
      <c r="S2538" s="1300"/>
    </row>
    <row r="2539" spans="1:19" s="1081" customFormat="1" hidden="1" outlineLevel="1">
      <c r="A2539" s="1072" t="str">
        <f t="shared" si="627"/>
        <v/>
      </c>
      <c r="B2539" s="1068" t="s">
        <v>647</v>
      </c>
      <c r="C2539" s="1437"/>
      <c r="D2539" s="1198">
        <f>VLOOKUP($B2539,dongia1,DG!$B$5,)</f>
        <v>0</v>
      </c>
      <c r="E2539" s="1243" t="str">
        <f>VLOOKUP($B2539,dongia1,DG!$C$5,)</f>
        <v xml:space="preserve">Sứ đứng 24KV </v>
      </c>
      <c r="F2539" s="1198" t="str">
        <f>VLOOKUP($B2539,dongia1,DG!$D$5,)</f>
        <v>cái</v>
      </c>
      <c r="G2539" s="1304">
        <f>G2531*6</f>
        <v>0</v>
      </c>
      <c r="H2539" s="1298">
        <f>VLOOKUP($B2539,dongia1,DG!$F$5,)</f>
        <v>205000</v>
      </c>
      <c r="I2539" s="1298"/>
      <c r="J2539" s="1298">
        <f>VLOOKUP($B2539,dongia1,DG!$G$5,)</f>
        <v>0</v>
      </c>
      <c r="K2539" s="1298">
        <f>VLOOKUP($B2539,dongia1,DG!$H$5,)</f>
        <v>0</v>
      </c>
      <c r="L2539" s="1298">
        <f t="shared" si="625"/>
        <v>0</v>
      </c>
      <c r="M2539" s="1298">
        <f t="shared" si="628"/>
        <v>0</v>
      </c>
      <c r="N2539" s="1298">
        <f t="shared" si="619"/>
        <v>0</v>
      </c>
      <c r="O2539" s="1298">
        <f t="shared" si="626"/>
        <v>0</v>
      </c>
      <c r="P2539" s="1437"/>
      <c r="Q2539" s="1300"/>
      <c r="R2539" s="1300"/>
      <c r="S2539" s="1300"/>
    </row>
    <row r="2540" spans="1:19" s="1081" customFormat="1" hidden="1" outlineLevel="1">
      <c r="A2540" s="1072" t="str">
        <f t="shared" si="627"/>
        <v/>
      </c>
      <c r="B2540" s="1068" t="s">
        <v>414</v>
      </c>
      <c r="C2540" s="1302"/>
      <c r="D2540" s="1198">
        <f>VLOOKUP($B2540,dongia1,DG!$B$5,)</f>
        <v>0</v>
      </c>
      <c r="E2540" s="1243" t="str">
        <f>VLOOKUP($B2540,dongia1,DG!$C$5,)</f>
        <v>Chân sứ đứng D20</v>
      </c>
      <c r="F2540" s="1198" t="str">
        <f>VLOOKUP($B2540,dongia1,DG!$D$5,)</f>
        <v>cái</v>
      </c>
      <c r="G2540" s="1304">
        <f>G2539</f>
        <v>0</v>
      </c>
      <c r="H2540" s="1298">
        <f>VLOOKUP($B2540,dongia1,DG!$F$5,)</f>
        <v>65000</v>
      </c>
      <c r="I2540" s="1298"/>
      <c r="J2540" s="1298">
        <f>VLOOKUP($B2540,dongia1,DG!$G$5,)</f>
        <v>0</v>
      </c>
      <c r="K2540" s="1298">
        <f>VLOOKUP($B2540,dongia1,DG!$H$5,)</f>
        <v>0</v>
      </c>
      <c r="L2540" s="1298">
        <f t="shared" si="625"/>
        <v>0</v>
      </c>
      <c r="M2540" s="1298">
        <f t="shared" si="628"/>
        <v>0</v>
      </c>
      <c r="N2540" s="1298">
        <f t="shared" si="619"/>
        <v>0</v>
      </c>
      <c r="O2540" s="1298">
        <f t="shared" si="626"/>
        <v>0</v>
      </c>
      <c r="P2540" s="1437"/>
      <c r="Q2540" s="1300"/>
      <c r="R2540" s="1300"/>
      <c r="S2540" s="1300"/>
    </row>
    <row r="2541" spans="1:19" s="1081" customFormat="1" hidden="1" outlineLevel="1">
      <c r="A2541" s="1072" t="str">
        <f t="shared" si="627"/>
        <v/>
      </c>
      <c r="B2541" s="1068" t="s">
        <v>742</v>
      </c>
      <c r="C2541" s="1302"/>
      <c r="D2541" s="1198" t="str">
        <f>VLOOKUP($B2541,dongia1,DG!$B$5,)</f>
        <v>D3.1115</v>
      </c>
      <c r="E2541" s="1243" t="str">
        <f>VLOOKUP($B2541,dongia1,DG!$C$5,)</f>
        <v>Lắp sứ đứng 24KV</v>
      </c>
      <c r="F2541" s="1198" t="str">
        <f>VLOOKUP($B2541,dongia1,DG!$D$5,)</f>
        <v>bộ</v>
      </c>
      <c r="G2541" s="1304">
        <f>G2540</f>
        <v>0</v>
      </c>
      <c r="H2541" s="1298"/>
      <c r="I2541" s="1298"/>
      <c r="J2541" s="1298">
        <f>VLOOKUP($B2541,dongia1,DG!$G$5,)</f>
        <v>58277.49</v>
      </c>
      <c r="K2541" s="1298"/>
      <c r="L2541" s="1298">
        <f t="shared" si="625"/>
        <v>0</v>
      </c>
      <c r="M2541" s="1298">
        <f t="shared" si="628"/>
        <v>0</v>
      </c>
      <c r="N2541" s="1298">
        <f t="shared" si="619"/>
        <v>0</v>
      </c>
      <c r="O2541" s="1298">
        <f t="shared" si="626"/>
        <v>0</v>
      </c>
      <c r="P2541" s="1437"/>
      <c r="Q2541" s="1300"/>
      <c r="R2541" s="1300"/>
      <c r="S2541" s="1300"/>
    </row>
    <row r="2542" spans="1:19" s="1081" customFormat="1" hidden="1" outlineLevel="1">
      <c r="A2542" s="1072" t="str">
        <f t="shared" si="627"/>
        <v/>
      </c>
      <c r="B2542" s="1068" t="s">
        <v>224</v>
      </c>
      <c r="C2542" s="1302"/>
      <c r="D2542" s="1198" t="str">
        <f>VLOOKUP($B2542,dongia1,DG!$B$5,)</f>
        <v>T4.4201</v>
      </c>
      <c r="E2542" s="1243" t="str">
        <f>VLOOKUP($B2542,dongia1,DG!$C$5,)</f>
        <v>Lắp cáp đồng xuống thiết bị D ≤ 95mm2</v>
      </c>
      <c r="F2542" s="1198" t="str">
        <f>VLOOKUP($B2542,dongia1,DG!$D$5,)</f>
        <v>m</v>
      </c>
      <c r="G2542" s="1304">
        <f>G2533</f>
        <v>0</v>
      </c>
      <c r="H2542" s="1298"/>
      <c r="I2542" s="1298"/>
      <c r="J2542" s="1298">
        <f>VLOOKUP($B2542,dongia1,DG!$G$5,)</f>
        <v>13915</v>
      </c>
      <c r="K2542" s="1298"/>
      <c r="L2542" s="1298">
        <f t="shared" si="625"/>
        <v>0</v>
      </c>
      <c r="M2542" s="1298">
        <f t="shared" si="628"/>
        <v>0</v>
      </c>
      <c r="N2542" s="1298">
        <f t="shared" si="619"/>
        <v>0</v>
      </c>
      <c r="O2542" s="1298">
        <f t="shared" si="626"/>
        <v>0</v>
      </c>
      <c r="P2542" s="1437"/>
      <c r="Q2542" s="1300"/>
      <c r="R2542" s="1300"/>
      <c r="S2542" s="1300"/>
    </row>
    <row r="2543" spans="1:19" s="1081" customFormat="1" hidden="1" outlineLevel="1">
      <c r="A2543" s="1072" t="str">
        <f t="shared" si="627"/>
        <v/>
      </c>
      <c r="B2543" s="1295"/>
      <c r="C2543" s="1291">
        <f>IF(G2543&gt;0,C2531+1,C2531)</f>
        <v>0</v>
      </c>
      <c r="D2543" s="1292"/>
      <c r="E2543" s="1293" t="s">
        <v>3434</v>
      </c>
      <c r="F2543" s="1291" t="s">
        <v>2113</v>
      </c>
      <c r="G2543" s="1297"/>
      <c r="H2543" s="1298"/>
      <c r="I2543" s="1298"/>
      <c r="J2543" s="1298"/>
      <c r="K2543" s="1298"/>
      <c r="L2543" s="1298"/>
      <c r="M2543" s="1298"/>
      <c r="N2543" s="1298">
        <f t="shared" si="619"/>
        <v>0</v>
      </c>
      <c r="O2543" s="1298"/>
      <c r="P2543" s="1299"/>
      <c r="Q2543" s="1300"/>
      <c r="R2543" s="1300"/>
      <c r="S2543" s="1300"/>
    </row>
    <row r="2544" spans="1:19" s="1081" customFormat="1" ht="14.4" hidden="1" outlineLevel="1">
      <c r="A2544" s="1072" t="str">
        <f>A2543</f>
        <v/>
      </c>
      <c r="B2544" s="1295"/>
      <c r="C2544" s="1291"/>
      <c r="D2544" s="1292"/>
      <c r="E2544" s="1308" t="s">
        <v>3399</v>
      </c>
      <c r="F2544" s="1291"/>
      <c r="G2544" s="1297"/>
      <c r="H2544" s="1298"/>
      <c r="I2544" s="1298"/>
      <c r="J2544" s="1298"/>
      <c r="K2544" s="1298"/>
      <c r="L2544" s="1298"/>
      <c r="M2544" s="1298"/>
      <c r="N2544" s="1298">
        <f t="shared" si="619"/>
        <v>0</v>
      </c>
      <c r="O2544" s="1298"/>
      <c r="P2544" s="1299"/>
      <c r="Q2544" s="1300"/>
      <c r="R2544" s="1300"/>
      <c r="S2544" s="1300"/>
    </row>
    <row r="2545" spans="1:19" s="1081" customFormat="1" hidden="1" outlineLevel="1">
      <c r="A2545" s="1072" t="str">
        <f>IF(G2545&lt;&gt;0,1,"")</f>
        <v/>
      </c>
      <c r="B2545" s="1295" t="s">
        <v>2039</v>
      </c>
      <c r="C2545" s="1302"/>
      <c r="D2545" s="1198">
        <f>VLOOKUP($B2545,dongia1,DG!$B$5,)</f>
        <v>0</v>
      </c>
      <c r="E2545" s="1243" t="str">
        <f>VLOOKUP($B2545,dongia1,DG!$C$5,)</f>
        <v xml:space="preserve">Ống PVC D90x3,8mm </v>
      </c>
      <c r="F2545" s="1198" t="str">
        <f>VLOOKUP($B2545,dongia1,DG!$D$5,)</f>
        <v>m</v>
      </c>
      <c r="G2545" s="1303">
        <f>G2543*2</f>
        <v>0</v>
      </c>
      <c r="H2545" s="1298">
        <f>VLOOKUP($B2545,dongia1,DG!$F$5,)</f>
        <v>63200</v>
      </c>
      <c r="I2545" s="1298"/>
      <c r="J2545" s="1298">
        <f>VLOOKUP($B2545,dongia1,DG!$G$5,)</f>
        <v>0</v>
      </c>
      <c r="K2545" s="1298">
        <f>VLOOKUP($B2545,dongia1,DG!$H$5,)</f>
        <v>0</v>
      </c>
      <c r="L2545" s="1298">
        <f>H2545*G2545</f>
        <v>0</v>
      </c>
      <c r="M2545" s="1298">
        <f>I2545*G2545</f>
        <v>0</v>
      </c>
      <c r="N2545" s="1298">
        <f t="shared" si="619"/>
        <v>0</v>
      </c>
      <c r="O2545" s="1298">
        <f>K2545*G2545</f>
        <v>0</v>
      </c>
      <c r="P2545" s="1299"/>
      <c r="Q2545" s="1300"/>
      <c r="R2545" s="1300"/>
      <c r="S2545" s="1300"/>
    </row>
    <row r="2546" spans="1:19" s="1081" customFormat="1" hidden="1" outlineLevel="1">
      <c r="A2546" s="1072" t="str">
        <f>IF(G2546&lt;&gt;0,1,"")</f>
        <v/>
      </c>
      <c r="B2546" s="1295" t="s">
        <v>561</v>
      </c>
      <c r="C2546" s="1302"/>
      <c r="D2546" s="1198">
        <f>VLOOKUP($B2546,dongia1,DG!$B$5,)</f>
        <v>0</v>
      </c>
      <c r="E2546" s="1243" t="str">
        <f>VLOOKUP($B2546,dongia1,DG!$C$5,)</f>
        <v>Co  90 độ PVC 90 (loại dày)</v>
      </c>
      <c r="F2546" s="1198" t="str">
        <f>VLOOKUP($B2546,dongia1,DG!$D$5,)</f>
        <v>cái</v>
      </c>
      <c r="G2546" s="1303">
        <f>G2543</f>
        <v>0</v>
      </c>
      <c r="H2546" s="1298">
        <f>VLOOKUP($B2546,dongia1,DG!$F$5,)</f>
        <v>45400</v>
      </c>
      <c r="I2546" s="1298"/>
      <c r="J2546" s="1298">
        <f>VLOOKUP($B2546,dongia1,DG!$G$5,)</f>
        <v>0</v>
      </c>
      <c r="K2546" s="1298">
        <f>VLOOKUP($B2546,dongia1,DG!$H$5,)</f>
        <v>0</v>
      </c>
      <c r="L2546" s="1298">
        <f>H2546*G2546</f>
        <v>0</v>
      </c>
      <c r="M2546" s="1298">
        <f>I2546*G2546</f>
        <v>0</v>
      </c>
      <c r="N2546" s="1298">
        <f t="shared" si="619"/>
        <v>0</v>
      </c>
      <c r="O2546" s="1298">
        <f>K2546*G2546</f>
        <v>0</v>
      </c>
      <c r="P2546" s="1299"/>
      <c r="Q2546" s="1300"/>
      <c r="R2546" s="1300"/>
      <c r="S2546" s="1300"/>
    </row>
    <row r="2547" spans="1:19" s="1081" customFormat="1" hidden="1" outlineLevel="1">
      <c r="A2547" s="1072" t="str">
        <f>IF(G2547&lt;&gt;0,1,"")</f>
        <v/>
      </c>
      <c r="B2547" s="1295" t="s">
        <v>705</v>
      </c>
      <c r="C2547" s="1302"/>
      <c r="D2547" s="1198">
        <f>VLOOKUP($B2547,dongia1,DG!$B$5,)</f>
        <v>0</v>
      </c>
      <c r="E2547" s="1243" t="str">
        <f>VLOOKUP($B2547,dongia1,DG!$C$5,)</f>
        <v>Khâu ven răng trong D90</v>
      </c>
      <c r="F2547" s="1198" t="str">
        <f>VLOOKUP($B2547,dongia1,DG!$D$5,)</f>
        <v>cái</v>
      </c>
      <c r="G2547" s="1303">
        <f>G2543*2</f>
        <v>0</v>
      </c>
      <c r="H2547" s="1298">
        <f>VLOOKUP($B2547,dongia1,DG!$F$5,)</f>
        <v>25800</v>
      </c>
      <c r="I2547" s="1298"/>
      <c r="J2547" s="1298">
        <f>VLOOKUP($B2547,dongia1,DG!$G$5,)</f>
        <v>0</v>
      </c>
      <c r="K2547" s="1298">
        <f>VLOOKUP($B2547,dongia1,DG!$H$5,)</f>
        <v>0</v>
      </c>
      <c r="L2547" s="1298">
        <f>H2547*G2547</f>
        <v>0</v>
      </c>
      <c r="M2547" s="1298">
        <f>I2547*G2547</f>
        <v>0</v>
      </c>
      <c r="N2547" s="1298">
        <f t="shared" si="619"/>
        <v>0</v>
      </c>
      <c r="O2547" s="1298">
        <f>K2547*G2547</f>
        <v>0</v>
      </c>
      <c r="P2547" s="1299"/>
      <c r="Q2547" s="1300"/>
      <c r="R2547" s="1300"/>
      <c r="S2547" s="1300"/>
    </row>
    <row r="2548" spans="1:19" s="1081" customFormat="1" hidden="1" outlineLevel="1">
      <c r="A2548" s="1072" t="str">
        <f>IF(G2548&lt;&gt;0,1,"")</f>
        <v/>
      </c>
      <c r="B2548" s="1295" t="s">
        <v>704</v>
      </c>
      <c r="C2548" s="1302"/>
      <c r="D2548" s="1198">
        <f>VLOOKUP($B2548,dongia1,DG!$B$5,)</f>
        <v>0</v>
      </c>
      <c r="E2548" s="1243" t="str">
        <f>VLOOKUP($B2548,dongia1,DG!$C$5,)</f>
        <v>Khâu ven răng ngoài D90</v>
      </c>
      <c r="F2548" s="1198" t="str">
        <f>VLOOKUP($B2548,dongia1,DG!$D$5,)</f>
        <v>cái</v>
      </c>
      <c r="G2548" s="1303">
        <f>G2547</f>
        <v>0</v>
      </c>
      <c r="H2548" s="1298">
        <f>VLOOKUP($B2548,dongia1,DG!$F$5,)</f>
        <v>21500</v>
      </c>
      <c r="I2548" s="1298"/>
      <c r="J2548" s="1298">
        <f>VLOOKUP($B2548,dongia1,DG!$G$5,)</f>
        <v>0</v>
      </c>
      <c r="K2548" s="1298">
        <f>VLOOKUP($B2548,dongia1,DG!$H$5,)</f>
        <v>0</v>
      </c>
      <c r="L2548" s="1298">
        <f>H2548*G2548</f>
        <v>0</v>
      </c>
      <c r="M2548" s="1298">
        <f>I2548*G2548</f>
        <v>0</v>
      </c>
      <c r="N2548" s="1298">
        <f t="shared" si="619"/>
        <v>0</v>
      </c>
      <c r="O2548" s="1298">
        <f>K2548*G2548</f>
        <v>0</v>
      </c>
      <c r="P2548" s="1299"/>
      <c r="Q2548" s="1300"/>
      <c r="R2548" s="1300"/>
      <c r="S2548" s="1300"/>
    </row>
    <row r="2549" spans="1:19" s="1284" customFormat="1" hidden="1" outlineLevel="1">
      <c r="A2549" s="1313" t="str">
        <f>IF(G2549&lt;&gt;0,1,"")</f>
        <v/>
      </c>
      <c r="B2549" s="1484"/>
      <c r="C2549" s="1291">
        <f>IF(G2549&gt;0,C2543+1,C2543)</f>
        <v>0</v>
      </c>
      <c r="D2549" s="1292"/>
      <c r="E2549" s="1293" t="s">
        <v>3448</v>
      </c>
      <c r="F2549" s="1291" t="s">
        <v>2113</v>
      </c>
      <c r="G2549" s="1297">
        <f>G2493</f>
        <v>0</v>
      </c>
      <c r="H2549" s="1485"/>
      <c r="I2549" s="1298"/>
      <c r="J2549" s="1485"/>
      <c r="K2549" s="1485"/>
      <c r="L2549" s="1485"/>
      <c r="M2549" s="1298"/>
      <c r="N2549" s="1485">
        <f t="shared" si="619"/>
        <v>0</v>
      </c>
      <c r="O2549" s="1485"/>
      <c r="P2549" s="1486"/>
      <c r="Q2549" s="1487"/>
      <c r="R2549" s="1300"/>
      <c r="S2549" s="1487"/>
    </row>
    <row r="2550" spans="1:19" s="1081" customFormat="1" ht="14.4" hidden="1" outlineLevel="1">
      <c r="A2550" s="1072" t="str">
        <f>A2549</f>
        <v/>
      </c>
      <c r="B2550" s="1068"/>
      <c r="C2550" s="1291"/>
      <c r="D2550" s="1292"/>
      <c r="E2550" s="1308" t="s">
        <v>3399</v>
      </c>
      <c r="F2550" s="1291"/>
      <c r="G2550" s="1303"/>
      <c r="H2550" s="1298"/>
      <c r="I2550" s="1298"/>
      <c r="J2550" s="1298"/>
      <c r="K2550" s="1298"/>
      <c r="L2550" s="1298"/>
      <c r="M2550" s="1298"/>
      <c r="N2550" s="1298">
        <f t="shared" si="619"/>
        <v>0</v>
      </c>
      <c r="O2550" s="1298"/>
      <c r="P2550" s="1437"/>
      <c r="Q2550" s="1300"/>
      <c r="R2550" s="1300"/>
      <c r="S2550" s="1300"/>
    </row>
    <row r="2551" spans="1:19" s="1081" customFormat="1" hidden="1" outlineLevel="1">
      <c r="A2551" s="1072" t="str">
        <f t="shared" ref="A2551:A2563" si="629">IF(G2551&lt;&gt;0,1,"")</f>
        <v/>
      </c>
      <c r="B2551" s="1295" t="s">
        <v>797</v>
      </c>
      <c r="C2551" s="1302"/>
      <c r="D2551" s="1198">
        <f>VLOOKUP($B2551,dongia1,DG!$B$5,)</f>
        <v>0</v>
      </c>
      <c r="E2551" s="1243" t="str">
        <f>VLOOKUP($B2551,dongia1,DG!$C$5,)</f>
        <v>Cáp đồng bọc CV240</v>
      </c>
      <c r="F2551" s="1198" t="str">
        <f>VLOOKUP($B2551,dongia1,DG!$D$5,)</f>
        <v>mét</v>
      </c>
      <c r="G2551" s="1304">
        <f>+G2549*(7*3*2+7)</f>
        <v>0</v>
      </c>
      <c r="H2551" s="1298">
        <f>VLOOKUP($B2551,dongia1,DG!$F$5,)</f>
        <v>567100</v>
      </c>
      <c r="I2551" s="1298"/>
      <c r="J2551" s="1298">
        <f>VLOOKUP($B2551,dongia1,DG!$G$5,)</f>
        <v>0</v>
      </c>
      <c r="K2551" s="1298">
        <f>VLOOKUP($B2551,dongia1,DG!$H$5,)</f>
        <v>0</v>
      </c>
      <c r="L2551" s="1298">
        <f t="shared" ref="L2551:L2562" si="630">H2551*G2551</f>
        <v>0</v>
      </c>
      <c r="M2551" s="1298">
        <f t="shared" ref="M2551:M2562" si="631">I2551*G2551</f>
        <v>0</v>
      </c>
      <c r="N2551" s="1298">
        <f t="shared" si="619"/>
        <v>0</v>
      </c>
      <c r="O2551" s="1298">
        <f t="shared" ref="O2551:O2562" si="632">K2551*G2551</f>
        <v>0</v>
      </c>
      <c r="P2551" s="1437"/>
      <c r="Q2551" s="1300"/>
      <c r="R2551" s="1300"/>
      <c r="S2551" s="1300"/>
    </row>
    <row r="2552" spans="1:19" s="1081" customFormat="1" hidden="1" outlineLevel="1">
      <c r="A2552" s="1072" t="str">
        <f>IF(G2552&lt;&gt;0,1,"")</f>
        <v/>
      </c>
      <c r="B2552" s="1295" t="s">
        <v>865</v>
      </c>
      <c r="C2552" s="1302"/>
      <c r="D2552" s="1198" t="str">
        <f>VLOOKUP($B2552,dongia1,DG!$B$5,)</f>
        <v>03.1401</v>
      </c>
      <c r="E2552" s="1243" t="str">
        <f>VLOOKUP($B2552,dongia1,DG!$C$5,)</f>
        <v xml:space="preserve">Cáp CVV 4x2,5mm2  </v>
      </c>
      <c r="F2552" s="1198" t="str">
        <f>VLOOKUP($B2552,dongia1,DG!$D$5,)</f>
        <v>mét</v>
      </c>
      <c r="G2552" s="1304"/>
      <c r="H2552" s="1298">
        <f>VLOOKUP($B2552,dongia1,DG!$F$5,)</f>
        <v>28200</v>
      </c>
      <c r="I2552" s="1298"/>
      <c r="J2552" s="1298">
        <f>VLOOKUP($B2552,dongia1,DG!$G$5,)</f>
        <v>0</v>
      </c>
      <c r="K2552" s="1298">
        <f>VLOOKUP($B2552,dongia1,DG!$H$5,)</f>
        <v>0</v>
      </c>
      <c r="L2552" s="1298">
        <f>H2552*G2552</f>
        <v>0</v>
      </c>
      <c r="M2552" s="1298">
        <f>I2552*G2552</f>
        <v>0</v>
      </c>
      <c r="N2552" s="1298">
        <f t="shared" si="619"/>
        <v>0</v>
      </c>
      <c r="O2552" s="1298">
        <f>K2552*G2552</f>
        <v>0</v>
      </c>
      <c r="P2552" s="1299"/>
      <c r="Q2552" s="1300"/>
      <c r="R2552" s="1300"/>
      <c r="S2552" s="1300"/>
    </row>
    <row r="2553" spans="1:19" s="1081" customFormat="1" hidden="1" outlineLevel="1">
      <c r="A2553" s="1072" t="str">
        <f t="shared" si="629"/>
        <v/>
      </c>
      <c r="B2553" s="1295" t="s">
        <v>683</v>
      </c>
      <c r="C2553" s="1302"/>
      <c r="D2553" s="1198" t="str">
        <f>VLOOKUP($B2553,dongia1,DG!$B$5,)</f>
        <v>D4.5008</v>
      </c>
      <c r="E2553" s="1243" t="str">
        <f>VLOOKUP($B2553,dongia1,DG!$C$5,)</f>
        <v>Đầu cosse ép Cu 240mm2</v>
      </c>
      <c r="F2553" s="1198" t="str">
        <f>VLOOKUP($B2553,dongia1,DG!$D$5,)</f>
        <v>cái</v>
      </c>
      <c r="G2553" s="1304">
        <f>+G2549*2*7</f>
        <v>0</v>
      </c>
      <c r="H2553" s="1298">
        <f>VLOOKUP($B2553,dongia1,DG!$F$5,)</f>
        <v>70000</v>
      </c>
      <c r="I2553" s="1298"/>
      <c r="J2553" s="1298">
        <f>VLOOKUP($B2553,dongia1,DG!$G$5,)</f>
        <v>50013.645000000004</v>
      </c>
      <c r="K2553" s="1298">
        <f>VLOOKUP($B2553,dongia1,DG!$H$5,)</f>
        <v>5554.0464950000005</v>
      </c>
      <c r="L2553" s="1298">
        <f t="shared" si="630"/>
        <v>0</v>
      </c>
      <c r="M2553" s="1298">
        <f t="shared" si="631"/>
        <v>0</v>
      </c>
      <c r="N2553" s="1298">
        <f t="shared" si="619"/>
        <v>0</v>
      </c>
      <c r="O2553" s="1298">
        <f t="shared" si="632"/>
        <v>0</v>
      </c>
      <c r="P2553" s="1437"/>
      <c r="Q2553" s="1300"/>
      <c r="R2553" s="1300"/>
      <c r="S2553" s="1300"/>
    </row>
    <row r="2554" spans="1:19" s="1081" customFormat="1" hidden="1" outlineLevel="1">
      <c r="A2554" s="1072" t="str">
        <f t="shared" si="629"/>
        <v/>
      </c>
      <c r="B2554" s="1295" t="s">
        <v>474</v>
      </c>
      <c r="C2554" s="1302"/>
      <c r="D2554" s="1198">
        <f>VLOOKUP($B2554,dongia1,DG!$B$5,)</f>
        <v>0</v>
      </c>
      <c r="E2554" s="1243" t="str">
        <f>VLOOKUP($B2554,dongia1,DG!$C$5,)</f>
        <v>Chụp đầu cosse  240mm2</v>
      </c>
      <c r="F2554" s="1198" t="str">
        <f>VLOOKUP($B2554,dongia1,DG!$D$5,)</f>
        <v>cái</v>
      </c>
      <c r="G2554" s="1304">
        <f>G2553</f>
        <v>0</v>
      </c>
      <c r="H2554" s="1298">
        <f>VLOOKUP($B2554,dongia1,DG!$F$5,)</f>
        <v>6000</v>
      </c>
      <c r="I2554" s="1298"/>
      <c r="J2554" s="1298">
        <f>VLOOKUP($B2554,dongia1,DG!$G$5,)</f>
        <v>0</v>
      </c>
      <c r="K2554" s="1298">
        <f>VLOOKUP($B2554,dongia1,DG!$H$5,)</f>
        <v>0</v>
      </c>
      <c r="L2554" s="1298">
        <f t="shared" si="630"/>
        <v>0</v>
      </c>
      <c r="M2554" s="1298">
        <f t="shared" si="631"/>
        <v>0</v>
      </c>
      <c r="N2554" s="1298">
        <f t="shared" si="619"/>
        <v>0</v>
      </c>
      <c r="O2554" s="1298">
        <f t="shared" si="632"/>
        <v>0</v>
      </c>
      <c r="P2554" s="1437"/>
      <c r="Q2554" s="1300"/>
      <c r="R2554" s="1300"/>
      <c r="S2554" s="1300"/>
    </row>
    <row r="2555" spans="1:19" s="1081" customFormat="1" hidden="1" outlineLevel="1">
      <c r="A2555" s="1072" t="str">
        <f t="shared" si="629"/>
        <v/>
      </c>
      <c r="B2555" s="1295" t="s">
        <v>961</v>
      </c>
      <c r="C2555" s="1302"/>
      <c r="D2555" s="1198">
        <f>VLOOKUP($B2555,dongia1,DG!$B$5,)</f>
        <v>0</v>
      </c>
      <c r="E2555" s="1243" t="str">
        <f>VLOOKUP($B2555,dongia1,DG!$C$5,)</f>
        <v xml:space="preserve">Ống PVC D114x4,9mm </v>
      </c>
      <c r="F2555" s="1198" t="str">
        <f>VLOOKUP($B2555,dongia1,DG!$D$5,)</f>
        <v>m</v>
      </c>
      <c r="G2555" s="1304">
        <f>+G2549*2*4</f>
        <v>0</v>
      </c>
      <c r="H2555" s="1298">
        <f>VLOOKUP($B2555,dongia1,DG!$F$5,)</f>
        <v>103700</v>
      </c>
      <c r="I2555" s="1298"/>
      <c r="J2555" s="1298">
        <f>VLOOKUP($B2555,dongia1,DG!$G$5,)</f>
        <v>0</v>
      </c>
      <c r="K2555" s="1298">
        <f>VLOOKUP($B2555,dongia1,DG!$H$5,)</f>
        <v>0</v>
      </c>
      <c r="L2555" s="1298">
        <f t="shared" si="630"/>
        <v>0</v>
      </c>
      <c r="M2555" s="1298">
        <f t="shared" si="631"/>
        <v>0</v>
      </c>
      <c r="N2555" s="1298">
        <f t="shared" si="619"/>
        <v>0</v>
      </c>
      <c r="O2555" s="1298">
        <f t="shared" si="632"/>
        <v>0</v>
      </c>
      <c r="P2555" s="1437"/>
      <c r="Q2555" s="1300"/>
      <c r="R2555" s="1300"/>
      <c r="S2555" s="1300"/>
    </row>
    <row r="2556" spans="1:19" s="1081" customFormat="1" hidden="1" outlineLevel="1">
      <c r="A2556" s="1072" t="str">
        <f t="shared" si="629"/>
        <v/>
      </c>
      <c r="B2556" s="1068" t="s">
        <v>193</v>
      </c>
      <c r="C2556" s="1302"/>
      <c r="D2556" s="1198">
        <f>VLOOKUP($B2556,dongia1,DG!$B$5,)</f>
        <v>0</v>
      </c>
      <c r="E2556" s="1243" t="str">
        <f>VLOOKUP($B2556,dongia1,DG!$C$5,)</f>
        <v>Cổ dê kẹp ống PVC Þ 114</v>
      </c>
      <c r="F2556" s="1198" t="str">
        <f>VLOOKUP($B2556,dongia1,DG!$D$5,)</f>
        <v>bộ</v>
      </c>
      <c r="G2556" s="1304">
        <f>+G2549*4</f>
        <v>0</v>
      </c>
      <c r="H2556" s="1298">
        <f>VLOOKUP($B2556,dongia1,DG!$F$5,)</f>
        <v>50000</v>
      </c>
      <c r="I2556" s="1298"/>
      <c r="J2556" s="1298">
        <f>VLOOKUP($B2556,dongia1,DG!$G$5,)</f>
        <v>0</v>
      </c>
      <c r="K2556" s="1298">
        <f>VLOOKUP($B2556,dongia1,DG!$H$5,)</f>
        <v>0</v>
      </c>
      <c r="L2556" s="1298">
        <f t="shared" si="630"/>
        <v>0</v>
      </c>
      <c r="M2556" s="1298">
        <f t="shared" si="631"/>
        <v>0</v>
      </c>
      <c r="N2556" s="1298">
        <f t="shared" si="619"/>
        <v>0</v>
      </c>
      <c r="O2556" s="1298">
        <f t="shared" si="632"/>
        <v>0</v>
      </c>
      <c r="P2556" s="1437"/>
      <c r="Q2556" s="1474"/>
      <c r="R2556" s="1300"/>
      <c r="S2556" s="1300"/>
    </row>
    <row r="2557" spans="1:19" s="1081" customFormat="1" hidden="1" outlineLevel="1">
      <c r="A2557" s="1072" t="str">
        <f t="shared" si="629"/>
        <v/>
      </c>
      <c r="B2557" s="1295" t="s">
        <v>693</v>
      </c>
      <c r="C2557" s="1302"/>
      <c r="D2557" s="1198">
        <f>VLOOKUP($B2557,dongia1,DG!$B$5,)</f>
        <v>0</v>
      </c>
      <c r="E2557" s="1243" t="str">
        <f>VLOOKUP($B2557,dongia1,DG!$C$5,)</f>
        <v>Khâu ven răng trong D114</v>
      </c>
      <c r="F2557" s="1198" t="str">
        <f>VLOOKUP($B2557,dongia1,DG!$D$5,)</f>
        <v>cái</v>
      </c>
      <c r="G2557" s="1304">
        <f>+G2549*2</f>
        <v>0</v>
      </c>
      <c r="H2557" s="1298">
        <f>VLOOKUP($B2557,dongia1,DG!$F$5,)</f>
        <v>41900</v>
      </c>
      <c r="I2557" s="1298"/>
      <c r="J2557" s="1298">
        <f>VLOOKUP($B2557,dongia1,DG!$G$5,)</f>
        <v>0</v>
      </c>
      <c r="K2557" s="1298">
        <f>VLOOKUP($B2557,dongia1,DG!$H$5,)</f>
        <v>0</v>
      </c>
      <c r="L2557" s="1298">
        <f t="shared" si="630"/>
        <v>0</v>
      </c>
      <c r="M2557" s="1298">
        <f t="shared" si="631"/>
        <v>0</v>
      </c>
      <c r="N2557" s="1298">
        <f t="shared" si="619"/>
        <v>0</v>
      </c>
      <c r="O2557" s="1298">
        <f t="shared" si="632"/>
        <v>0</v>
      </c>
      <c r="P2557" s="1437"/>
      <c r="Q2557" s="1300"/>
      <c r="R2557" s="1300"/>
      <c r="S2557" s="1300"/>
    </row>
    <row r="2558" spans="1:19" s="1081" customFormat="1" hidden="1" outlineLevel="1">
      <c r="A2558" s="1072" t="str">
        <f t="shared" si="629"/>
        <v/>
      </c>
      <c r="B2558" s="1295" t="s">
        <v>694</v>
      </c>
      <c r="C2558" s="1302"/>
      <c r="D2558" s="1198">
        <f>VLOOKUP($B2558,dongia1,DG!$B$5,)</f>
        <v>0</v>
      </c>
      <c r="E2558" s="1243" t="str">
        <f>VLOOKUP($B2558,dongia1,DG!$C$5,)</f>
        <v>Khâu ven răng ngoài D114</v>
      </c>
      <c r="F2558" s="1198" t="str">
        <f>VLOOKUP($B2558,dongia1,DG!$D$5,)</f>
        <v>cái</v>
      </c>
      <c r="G2558" s="1304">
        <f>G2557</f>
        <v>0</v>
      </c>
      <c r="H2558" s="1298">
        <f>VLOOKUP($B2558,dongia1,DG!$F$5,)</f>
        <v>41900</v>
      </c>
      <c r="I2558" s="1298"/>
      <c r="J2558" s="1298">
        <f>VLOOKUP($B2558,dongia1,DG!$G$5,)</f>
        <v>0</v>
      </c>
      <c r="K2558" s="1298">
        <f>VLOOKUP($B2558,dongia1,DG!$H$5,)</f>
        <v>0</v>
      </c>
      <c r="L2558" s="1298">
        <f t="shared" si="630"/>
        <v>0</v>
      </c>
      <c r="M2558" s="1298">
        <f t="shared" si="631"/>
        <v>0</v>
      </c>
      <c r="N2558" s="1298">
        <f t="shared" si="619"/>
        <v>0</v>
      </c>
      <c r="O2558" s="1298">
        <f t="shared" si="632"/>
        <v>0</v>
      </c>
      <c r="P2558" s="1437"/>
      <c r="Q2558" s="1300"/>
      <c r="R2558" s="1300"/>
      <c r="S2558" s="1300"/>
    </row>
    <row r="2559" spans="1:19" s="1081" customFormat="1" hidden="1" outlineLevel="1">
      <c r="A2559" s="1072" t="str">
        <f t="shared" si="629"/>
        <v/>
      </c>
      <c r="B2559" s="1295" t="s">
        <v>887</v>
      </c>
      <c r="C2559" s="1302"/>
      <c r="D2559" s="1198">
        <f>VLOOKUP($B2559,dongia1,DG!$B$5,)</f>
        <v>0</v>
      </c>
      <c r="E2559" s="1243" t="str">
        <f>VLOOKUP($B2559,dongia1,DG!$C$5,)</f>
        <v>Keo dán ống PVC (100gr)</v>
      </c>
      <c r="F2559" s="1198" t="str">
        <f>VLOOKUP($B2559,dongia1,DG!$D$5,)</f>
        <v>tuýp</v>
      </c>
      <c r="G2559" s="1304">
        <f>+G2558</f>
        <v>0</v>
      </c>
      <c r="H2559" s="1298">
        <f>VLOOKUP($B2559,dongia1,DG!$F$5,)</f>
        <v>11500</v>
      </c>
      <c r="I2559" s="1298"/>
      <c r="J2559" s="1298">
        <f>VLOOKUP($B2559,dongia1,DG!$G$5,)</f>
        <v>0</v>
      </c>
      <c r="K2559" s="1298">
        <f>VLOOKUP($B2559,dongia1,DG!$H$5,)</f>
        <v>0</v>
      </c>
      <c r="L2559" s="1298">
        <f t="shared" si="630"/>
        <v>0</v>
      </c>
      <c r="M2559" s="1298">
        <f t="shared" si="631"/>
        <v>0</v>
      </c>
      <c r="N2559" s="1298">
        <f t="shared" si="619"/>
        <v>0</v>
      </c>
      <c r="O2559" s="1298">
        <f t="shared" si="632"/>
        <v>0</v>
      </c>
      <c r="P2559" s="1437"/>
      <c r="Q2559" s="1300"/>
      <c r="R2559" s="1300"/>
      <c r="S2559" s="1300"/>
    </row>
    <row r="2560" spans="1:19" s="1081" customFormat="1" hidden="1" outlineLevel="1">
      <c r="A2560" s="1072" t="str">
        <f t="shared" si="629"/>
        <v/>
      </c>
      <c r="B2560" s="1068" t="s">
        <v>1690</v>
      </c>
      <c r="C2560" s="1302"/>
      <c r="D2560" s="1198"/>
      <c r="E2560" s="1243" t="str">
        <f>VLOOKUP($B2560,dongia1,DG!$C$5,)</f>
        <v>Keo silicon bít miệng ống</v>
      </c>
      <c r="F2560" s="1198" t="str">
        <f>VLOOKUP($B2560,dongia1,DG!$D$5,)</f>
        <v>chai</v>
      </c>
      <c r="G2560" s="1304">
        <f>+G2559</f>
        <v>0</v>
      </c>
      <c r="H2560" s="1298">
        <f>VLOOKUP($B2560,dongia1,DG!$F$5,)</f>
        <v>45000</v>
      </c>
      <c r="I2560" s="1298"/>
      <c r="J2560" s="1298"/>
      <c r="K2560" s="1298"/>
      <c r="L2560" s="1298">
        <f t="shared" si="630"/>
        <v>0</v>
      </c>
      <c r="M2560" s="1298">
        <f t="shared" si="631"/>
        <v>0</v>
      </c>
      <c r="N2560" s="1298">
        <f t="shared" si="619"/>
        <v>0</v>
      </c>
      <c r="O2560" s="1298">
        <f t="shared" si="632"/>
        <v>0</v>
      </c>
      <c r="P2560" s="1299"/>
      <c r="Q2560" s="1300"/>
      <c r="R2560" s="1300"/>
      <c r="S2560" s="1300"/>
    </row>
    <row r="2561" spans="1:19" s="1081" customFormat="1" hidden="1" outlineLevel="1">
      <c r="A2561" s="1072" t="str">
        <f t="shared" si="629"/>
        <v/>
      </c>
      <c r="B2561" s="1295" t="s">
        <v>53</v>
      </c>
      <c r="C2561" s="1302"/>
      <c r="D2561" s="1198">
        <f>VLOOKUP($B2561,dongia1,DG!$B$5,)</f>
        <v>0</v>
      </c>
      <c r="E2561" s="1243" t="str">
        <f>VLOOKUP($B2561,dongia1,DG!$C$5,)</f>
        <v>Dây rút cáp</v>
      </c>
      <c r="F2561" s="1198" t="str">
        <f>VLOOKUP($B2561,dongia1,DG!$D$5,)</f>
        <v>bọc</v>
      </c>
      <c r="G2561" s="1304">
        <f>+G2560</f>
        <v>0</v>
      </c>
      <c r="H2561" s="1298">
        <f>VLOOKUP($B2561,dongia1,DG!$F$5,)</f>
        <v>15000</v>
      </c>
      <c r="I2561" s="1298"/>
      <c r="J2561" s="1298">
        <f>VLOOKUP($B2561,dongia1,DG!$G$5,)</f>
        <v>0</v>
      </c>
      <c r="K2561" s="1298">
        <f>VLOOKUP($B2561,dongia1,DG!$H$5,)</f>
        <v>0</v>
      </c>
      <c r="L2561" s="1298">
        <f t="shared" si="630"/>
        <v>0</v>
      </c>
      <c r="M2561" s="1298">
        <f t="shared" si="631"/>
        <v>0</v>
      </c>
      <c r="N2561" s="1298">
        <f t="shared" si="619"/>
        <v>0</v>
      </c>
      <c r="O2561" s="1298">
        <f t="shared" si="632"/>
        <v>0</v>
      </c>
      <c r="P2561" s="1299"/>
      <c r="Q2561" s="1300"/>
      <c r="R2561" s="1300"/>
      <c r="S2561" s="1300"/>
    </row>
    <row r="2562" spans="1:19" s="1081" customFormat="1" hidden="1" outlineLevel="1">
      <c r="A2562" s="1072" t="str">
        <f t="shared" si="629"/>
        <v/>
      </c>
      <c r="B2562" s="1068" t="s">
        <v>236</v>
      </c>
      <c r="C2562" s="1302"/>
      <c r="D2562" s="1198">
        <f>VLOOKUP($B2562,dongia1,DG!$B$5,)</f>
        <v>0</v>
      </c>
      <c r="E2562" s="1243" t="str">
        <f>VLOOKUP($B2562,dongia1,DG!$C$5,)</f>
        <v>Băng keo cách điện hạ thế</v>
      </c>
      <c r="F2562" s="1198" t="str">
        <f>VLOOKUP($B2562,dongia1,DG!$D$5,)</f>
        <v>cuộn</v>
      </c>
      <c r="G2562" s="1304">
        <f>+G2549*5</f>
        <v>0</v>
      </c>
      <c r="H2562" s="1298">
        <f>VLOOKUP($B2562,dongia1,DG!$F$5,)</f>
        <v>6500</v>
      </c>
      <c r="I2562" s="1298"/>
      <c r="J2562" s="1298">
        <f>VLOOKUP($B2562,dongia1,DG!$G$5,)</f>
        <v>0</v>
      </c>
      <c r="K2562" s="1298">
        <f>VLOOKUP($B2562,dongia1,DG!$H$5,)</f>
        <v>0</v>
      </c>
      <c r="L2562" s="1298">
        <f t="shared" si="630"/>
        <v>0</v>
      </c>
      <c r="M2562" s="1298">
        <f t="shared" si="631"/>
        <v>0</v>
      </c>
      <c r="N2562" s="1298">
        <f t="shared" si="619"/>
        <v>0</v>
      </c>
      <c r="O2562" s="1298">
        <f t="shared" si="632"/>
        <v>0</v>
      </c>
      <c r="P2562" s="1437"/>
      <c r="Q2562" s="1300"/>
      <c r="R2562" s="1300"/>
      <c r="S2562" s="1300"/>
    </row>
    <row r="2563" spans="1:19" s="1081" customFormat="1" hidden="1" outlineLevel="1">
      <c r="A2563" s="1072" t="str">
        <f t="shared" si="629"/>
        <v/>
      </c>
      <c r="B2563" s="1068" t="s">
        <v>379</v>
      </c>
      <c r="C2563" s="1302"/>
      <c r="D2563" s="1198" t="str">
        <f>VLOOKUP($B2563,dongia1,DG!$B$5,)</f>
        <v>T4.4203</v>
      </c>
      <c r="E2563" s="1243" t="str">
        <f>VLOOKUP($B2563,dongia1,DG!$C$5,)</f>
        <v>Lắp cáp đồng xuống thiết bị D ≤ 240mm2</v>
      </c>
      <c r="F2563" s="1198" t="str">
        <f>VLOOKUP($B2563,dongia1,DG!$D$5,)</f>
        <v>m</v>
      </c>
      <c r="G2563" s="1304">
        <f>G2551</f>
        <v>0</v>
      </c>
      <c r="H2563" s="1298">
        <f>VLOOKUP($B2563,dongia1,DG!$F$5,)</f>
        <v>0</v>
      </c>
      <c r="I2563" s="1298"/>
      <c r="J2563" s="1298">
        <f>VLOOKUP($B2563,dongia1,DG!$G$5,)</f>
        <v>47311</v>
      </c>
      <c r="K2563" s="1298">
        <f>VLOOKUP($B2563,dongia1,DG!$H$5,)</f>
        <v>0</v>
      </c>
      <c r="L2563" s="1298">
        <f>H2563*G2563</f>
        <v>0</v>
      </c>
      <c r="M2563" s="1298">
        <f>I2563*G2563</f>
        <v>0</v>
      </c>
      <c r="N2563" s="1298">
        <f t="shared" si="619"/>
        <v>0</v>
      </c>
      <c r="O2563" s="1298">
        <f>K2563*G2563</f>
        <v>0</v>
      </c>
      <c r="P2563" s="1437"/>
      <c r="Q2563" s="1300"/>
      <c r="R2563" s="1300"/>
      <c r="S2563" s="1300"/>
    </row>
    <row r="2564" spans="1:19" s="1081" customFormat="1" hidden="1" outlineLevel="1">
      <c r="A2564" s="1072" t="str">
        <f>IF(G2564&lt;&gt;0,1,"")</f>
        <v/>
      </c>
      <c r="B2564" s="1068"/>
      <c r="C2564" s="1291">
        <f>IF(G2564&gt;0,C2549+1,C2549)</f>
        <v>0</v>
      </c>
      <c r="D2564" s="1292"/>
      <c r="E2564" s="1293" t="s">
        <v>3463</v>
      </c>
      <c r="F2564" s="1291" t="s">
        <v>2113</v>
      </c>
      <c r="G2564" s="1305">
        <f>G2549</f>
        <v>0</v>
      </c>
      <c r="H2564" s="1298"/>
      <c r="I2564" s="1298"/>
      <c r="J2564" s="1298"/>
      <c r="K2564" s="1298"/>
      <c r="L2564" s="1298"/>
      <c r="M2564" s="1298"/>
      <c r="N2564" s="1298">
        <f t="shared" si="619"/>
        <v>0</v>
      </c>
      <c r="O2564" s="1298"/>
      <c r="P2564" s="1299"/>
      <c r="Q2564" s="1300"/>
      <c r="R2564" s="1300"/>
      <c r="S2564" s="1300"/>
    </row>
    <row r="2565" spans="1:19" s="1284" customFormat="1" ht="14.4" hidden="1" outlineLevel="1">
      <c r="A2565" s="1072" t="str">
        <f>A2564</f>
        <v/>
      </c>
      <c r="B2565" s="1570"/>
      <c r="C2565" s="1291"/>
      <c r="D2565" s="1292"/>
      <c r="E2565" s="1308" t="s">
        <v>3399</v>
      </c>
      <c r="F2565" s="1291"/>
      <c r="G2565" s="1304"/>
      <c r="H2565" s="1298"/>
      <c r="I2565" s="1298"/>
      <c r="J2565" s="1298"/>
      <c r="K2565" s="1298"/>
      <c r="L2565" s="1298">
        <f>SUBTOTAL(9,L2566:L2586)*0</f>
        <v>0</v>
      </c>
      <c r="M2565" s="1298">
        <f>SUBTOTAL(9,M2566:M2586)</f>
        <v>0</v>
      </c>
      <c r="N2565" s="1298">
        <f t="shared" si="619"/>
        <v>0</v>
      </c>
      <c r="O2565" s="1298">
        <f>SUBTOTAL(9,O2566:O2586)*0</f>
        <v>0</v>
      </c>
      <c r="P2565" s="1299"/>
      <c r="Q2565" s="1487"/>
      <c r="R2565" s="1487"/>
      <c r="S2565" s="1487"/>
    </row>
    <row r="2566" spans="1:19" s="1081" customFormat="1" hidden="1" outlineLevel="1">
      <c r="A2566" s="1072">
        <f>IF(G2566=0,0,1)</f>
        <v>0</v>
      </c>
      <c r="B2566" s="1295" t="s">
        <v>4804</v>
      </c>
      <c r="C2566" s="1437"/>
      <c r="D2566" s="1198">
        <f>VLOOKUP($B2566,dongia1,DG!$B$5,)</f>
        <v>0</v>
      </c>
      <c r="E2566" s="1399" t="str">
        <f>VLOOKUP($B2566,dongia1,DG!$C$5,)</f>
        <v xml:space="preserve">Cáp CVV 4x4mm2  </v>
      </c>
      <c r="F2566" s="1555" t="str">
        <f>VLOOKUP($B2566,dongia1,DG!$D$5,)</f>
        <v>mét</v>
      </c>
      <c r="G2566" s="1304">
        <f>G2564*26</f>
        <v>0</v>
      </c>
      <c r="H2566" s="1298">
        <f>VLOOKUP($B2566,dongia1,DG!$F$5,)</f>
        <v>63200</v>
      </c>
      <c r="I2566" s="1298"/>
      <c r="J2566" s="1298">
        <f>VLOOKUP($B2566,dongia1,DG!$G$5,)</f>
        <v>0</v>
      </c>
      <c r="K2566" s="1298">
        <f>VLOOKUP($B2566,dongia1,DG!$H$5,)</f>
        <v>0</v>
      </c>
      <c r="L2566" s="1298">
        <f t="shared" ref="L2566:L2586" si="633">H2566*$G2566</f>
        <v>0</v>
      </c>
      <c r="M2566" s="1298">
        <f t="shared" ref="M2566:M2586" si="634">I2566*$G2566</f>
        <v>0</v>
      </c>
      <c r="N2566" s="1298">
        <f t="shared" si="619"/>
        <v>0</v>
      </c>
      <c r="O2566" s="1298">
        <f t="shared" ref="O2566:O2586" si="635">K2566*$G2566</f>
        <v>0</v>
      </c>
      <c r="P2566" s="1299"/>
      <c r="Q2566" s="1300"/>
      <c r="R2566" s="1300"/>
      <c r="S2566" s="1300"/>
    </row>
    <row r="2567" spans="1:19" s="1081" customFormat="1" hidden="1" outlineLevel="1">
      <c r="A2567" s="1072">
        <f>IF(G2567=0,0,1)</f>
        <v>0</v>
      </c>
      <c r="B2567" s="1068" t="s">
        <v>507</v>
      </c>
      <c r="C2567" s="1302"/>
      <c r="D2567" s="1198">
        <v>0</v>
      </c>
      <c r="E2567" s="1399" t="str">
        <f>VLOOKUP($B2567,dongia1,DG!$C$5,)</f>
        <v>Boulon 10x150+ 2 long đền vuông D14-50x50x3/Zn</v>
      </c>
      <c r="F2567" s="1555" t="str">
        <f>VLOOKUP($B2567,dongia1,DG!$D$5,)</f>
        <v>bộ</v>
      </c>
      <c r="G2567" s="1304">
        <f>G2564*24*0</f>
        <v>0</v>
      </c>
      <c r="H2567" s="1298">
        <f>VLOOKUP($B2567,dongia1,DG!$F$5,)</f>
        <v>7900</v>
      </c>
      <c r="I2567" s="1298"/>
      <c r="J2567" s="1298">
        <f>VLOOKUP($B2567,dongia1,DG!$G$5,)</f>
        <v>0</v>
      </c>
      <c r="K2567" s="1298">
        <f>VLOOKUP($B2567,dongia1,DG!$H$5,)</f>
        <v>0</v>
      </c>
      <c r="L2567" s="1298">
        <f t="shared" si="633"/>
        <v>0</v>
      </c>
      <c r="M2567" s="1298">
        <f t="shared" si="634"/>
        <v>0</v>
      </c>
      <c r="N2567" s="1298">
        <f t="shared" ref="N2567:N2586" si="636">J2567*G2567</f>
        <v>0</v>
      </c>
      <c r="O2567" s="1298">
        <f t="shared" si="635"/>
        <v>0</v>
      </c>
      <c r="P2567" s="1299"/>
      <c r="Q2567" s="1300"/>
      <c r="R2567" s="1300"/>
      <c r="S2567" s="1300"/>
    </row>
    <row r="2568" spans="1:19" s="1081" customFormat="1" hidden="1" outlineLevel="1">
      <c r="A2568" s="1072">
        <f>IF(G2568=0,0,1)</f>
        <v>0</v>
      </c>
      <c r="B2568" s="1068" t="s">
        <v>509</v>
      </c>
      <c r="C2568" s="1302"/>
      <c r="D2568" s="1198">
        <v>0</v>
      </c>
      <c r="E2568" s="1399" t="str">
        <f>VLOOKUP($B2568,dongia1,DG!$C$5,)</f>
        <v>Boulon 10x50+ 2 long đền vuông D12-50x50x3/Zn</v>
      </c>
      <c r="F2568" s="1555" t="str">
        <f>VLOOKUP($B2568,dongia1,DG!$D$5,)</f>
        <v>bộ</v>
      </c>
      <c r="G2568" s="1304">
        <f>G2564*12</f>
        <v>0</v>
      </c>
      <c r="H2568" s="1298">
        <f>VLOOKUP($B2568,dongia1,DG!$F$5,)</f>
        <v>1500</v>
      </c>
      <c r="I2568" s="1298"/>
      <c r="J2568" s="1298">
        <f>VLOOKUP($B2568,dongia1,DG!$G$5,)</f>
        <v>0</v>
      </c>
      <c r="K2568" s="1298">
        <f>VLOOKUP($B2568,dongia1,DG!$H$5,)</f>
        <v>0</v>
      </c>
      <c r="L2568" s="1298">
        <f t="shared" si="633"/>
        <v>0</v>
      </c>
      <c r="M2568" s="1298">
        <f t="shared" si="634"/>
        <v>0</v>
      </c>
      <c r="N2568" s="1298">
        <f t="shared" si="636"/>
        <v>0</v>
      </c>
      <c r="O2568" s="1298">
        <f t="shared" si="635"/>
        <v>0</v>
      </c>
      <c r="P2568" s="1299"/>
      <c r="Q2568" s="1300"/>
      <c r="R2568" s="1300"/>
      <c r="S2568" s="1300"/>
    </row>
    <row r="2569" spans="1:19" s="1081" customFormat="1" hidden="1" outlineLevel="1">
      <c r="A2569" s="1072">
        <f t="shared" ref="A2569:A2586" si="637">IF(G2569=0,0,1)</f>
        <v>0</v>
      </c>
      <c r="B2569" s="1295" t="s">
        <v>748</v>
      </c>
      <c r="C2569" s="1437"/>
      <c r="D2569" s="1198">
        <f>VLOOKUP($B2569,dongia1,DG!$B$5,)</f>
        <v>0</v>
      </c>
      <c r="E2569" s="1399" t="str">
        <f>VLOOKUP($B2569,dongia1,DG!$C$5,)</f>
        <v>Xà kẹp TU, TI U40x22x3x425</v>
      </c>
      <c r="F2569" s="1555" t="str">
        <f>VLOOKUP($B2569,dongia1,DG!$D$5,)</f>
        <v>cái</v>
      </c>
      <c r="G2569" s="1304">
        <f>G2564*24*0</f>
        <v>0</v>
      </c>
      <c r="H2569" s="1298">
        <f>VLOOKUP($B2569,dongia1,DG!$F$5,)</f>
        <v>40500</v>
      </c>
      <c r="I2569" s="1298"/>
      <c r="J2569" s="1298">
        <f>VLOOKUP($B2569,dongia1,DG!$G$5,)</f>
        <v>39758</v>
      </c>
      <c r="K2569" s="1298">
        <f>VLOOKUP($B2569,dongia1,DG!$H$5,)</f>
        <v>0</v>
      </c>
      <c r="L2569" s="1298">
        <f t="shared" si="633"/>
        <v>0</v>
      </c>
      <c r="M2569" s="1298">
        <f t="shared" si="634"/>
        <v>0</v>
      </c>
      <c r="N2569" s="1298">
        <f t="shared" si="636"/>
        <v>0</v>
      </c>
      <c r="O2569" s="1298">
        <f t="shared" si="635"/>
        <v>0</v>
      </c>
      <c r="P2569" s="1299"/>
      <c r="Q2569" s="1300"/>
      <c r="R2569" s="1300"/>
      <c r="S2569" s="1300"/>
    </row>
    <row r="2570" spans="1:19" s="1081" customFormat="1" hidden="1" outlineLevel="1">
      <c r="A2570" s="1072">
        <f t="shared" si="637"/>
        <v>0</v>
      </c>
      <c r="B2570" s="1295" t="s">
        <v>5577</v>
      </c>
      <c r="C2570" s="1302"/>
      <c r="D2570" s="1198" t="str">
        <f>VLOOKUP($B2570,dongia1,DG!$B$5,)</f>
        <v>D4.5001</v>
      </c>
      <c r="E2570" s="1399" t="str">
        <f>VLOOKUP($B2570,dongia1,DG!$C$5,)</f>
        <v xml:space="preserve">Đầu cosse ép Cu 4mm2 + bao PVC </v>
      </c>
      <c r="F2570" s="1555" t="str">
        <f>VLOOKUP($B2570,dongia1,DG!$D$5,)</f>
        <v>cái</v>
      </c>
      <c r="G2570" s="1304">
        <f>G2564*16</f>
        <v>0</v>
      </c>
      <c r="H2570" s="1298">
        <f>VLOOKUP($B2570,dongia1,DG!$F$5,)</f>
        <v>1700</v>
      </c>
      <c r="I2570" s="1298"/>
      <c r="J2570" s="1298">
        <f>VLOOKUP($B2570,dongia1,DG!$G$5,)</f>
        <v>3637.3560000000002</v>
      </c>
      <c r="K2570" s="1298">
        <f>VLOOKUP($B2570,dongia1,DG!$H$5,)</f>
        <v>1666.2139485</v>
      </c>
      <c r="L2570" s="1298">
        <f t="shared" si="633"/>
        <v>0</v>
      </c>
      <c r="M2570" s="1298">
        <f t="shared" si="634"/>
        <v>0</v>
      </c>
      <c r="N2570" s="1298">
        <f t="shared" si="636"/>
        <v>0</v>
      </c>
      <c r="O2570" s="1298">
        <f t="shared" si="635"/>
        <v>0</v>
      </c>
      <c r="P2570" s="1299"/>
      <c r="Q2570" s="1300"/>
      <c r="R2570" s="1300"/>
      <c r="S2570" s="1300"/>
    </row>
    <row r="2571" spans="1:19" s="1081" customFormat="1" hidden="1" outlineLevel="1">
      <c r="A2571" s="1072">
        <f t="shared" si="637"/>
        <v>0</v>
      </c>
      <c r="B2571" s="1295" t="s">
        <v>57</v>
      </c>
      <c r="C2571" s="1302"/>
      <c r="D2571" s="1198">
        <f>VLOOKUP($B2571,dongia1,DG!$B$5,)</f>
        <v>0</v>
      </c>
      <c r="E2571" s="1399" t="str">
        <f>VLOOKUP($B2571,dongia1,DG!$C$5,)</f>
        <v>Dây điện đôi 16/10</v>
      </c>
      <c r="F2571" s="1555" t="str">
        <f>VLOOKUP($B2571,dongia1,DG!$D$5,)</f>
        <v>mét</v>
      </c>
      <c r="G2571" s="1304">
        <f>6*G2564*0</f>
        <v>0</v>
      </c>
      <c r="H2571" s="1298">
        <f>VLOOKUP($B2571,dongia1,DG!$F$5,)</f>
        <v>860</v>
      </c>
      <c r="I2571" s="1298"/>
      <c r="J2571" s="1298">
        <f>VLOOKUP($B2571,dongia1,DG!$G$5,)</f>
        <v>0</v>
      </c>
      <c r="K2571" s="1298">
        <f>VLOOKUP($B2571,dongia1,DG!$H$5,)</f>
        <v>0</v>
      </c>
      <c r="L2571" s="1298">
        <f t="shared" si="633"/>
        <v>0</v>
      </c>
      <c r="M2571" s="1298">
        <f t="shared" si="634"/>
        <v>0</v>
      </c>
      <c r="N2571" s="1298">
        <f t="shared" si="636"/>
        <v>0</v>
      </c>
      <c r="O2571" s="1298">
        <f t="shared" si="635"/>
        <v>0</v>
      </c>
      <c r="P2571" s="1299"/>
      <c r="Q2571" s="1300"/>
      <c r="R2571" s="1300"/>
      <c r="S2571" s="1300"/>
    </row>
    <row r="2572" spans="1:19" s="1081" customFormat="1" hidden="1" outlineLevel="1">
      <c r="A2572" s="1072">
        <f t="shared" si="637"/>
        <v>0</v>
      </c>
      <c r="B2572" s="1295" t="s">
        <v>903</v>
      </c>
      <c r="C2572" s="1302"/>
      <c r="D2572" s="1198">
        <f>VLOOKUP($B2572,dongia1,DG!$B$5,)</f>
        <v>0</v>
      </c>
      <c r="E2572" s="1399" t="str">
        <f>VLOOKUP($B2572,dongia1,DG!$C$5,)</f>
        <v>Ốc xiết cáp cỡ 25mm2</v>
      </c>
      <c r="F2572" s="1555" t="str">
        <f>VLOOKUP($B2572,dongia1,DG!$D$5,)</f>
        <v>cái</v>
      </c>
      <c r="G2572" s="1304">
        <f>+G2564*3</f>
        <v>0</v>
      </c>
      <c r="H2572" s="1298">
        <f>VLOOKUP($B2572,dongia1,DG!$F$5,)</f>
        <v>17600</v>
      </c>
      <c r="I2572" s="1298"/>
      <c r="J2572" s="1298">
        <f>VLOOKUP($B2572,dongia1,DG!$G$5,)</f>
        <v>0</v>
      </c>
      <c r="K2572" s="1298">
        <f>VLOOKUP($B2572,dongia1,DG!$H$5,)</f>
        <v>0</v>
      </c>
      <c r="L2572" s="1298">
        <f t="shared" si="633"/>
        <v>0</v>
      </c>
      <c r="M2572" s="1298">
        <f t="shared" si="634"/>
        <v>0</v>
      </c>
      <c r="N2572" s="1298">
        <f t="shared" si="636"/>
        <v>0</v>
      </c>
      <c r="O2572" s="1298">
        <f t="shared" si="635"/>
        <v>0</v>
      </c>
      <c r="P2572" s="1299"/>
      <c r="Q2572" s="1300"/>
      <c r="R2572" s="1300"/>
      <c r="S2572" s="1300"/>
    </row>
    <row r="2573" spans="1:19" s="1081" customFormat="1" hidden="1" outlineLevel="1">
      <c r="A2573" s="1072">
        <f t="shared" si="637"/>
        <v>0</v>
      </c>
      <c r="B2573" s="1295" t="s">
        <v>1736</v>
      </c>
      <c r="C2573" s="1302"/>
      <c r="D2573" s="1198">
        <f>VLOOKUP($B2573,dongia1,DG!$B$5,)</f>
        <v>0</v>
      </c>
      <c r="E2573" s="1399" t="str">
        <f>VLOOKUP($B2573,dongia1,DG!$C$5,)</f>
        <v>Ống PVC D42x2,1mm</v>
      </c>
      <c r="F2573" s="1555" t="str">
        <f>VLOOKUP($B2573,dongia1,DG!$D$5,)</f>
        <v>m</v>
      </c>
      <c r="G2573" s="1304">
        <f>G2582*12</f>
        <v>0</v>
      </c>
      <c r="H2573" s="1298">
        <f>VLOOKUP($B2573,dongia1,DG!$F$5,)</f>
        <v>16100</v>
      </c>
      <c r="I2573" s="1298"/>
      <c r="J2573" s="1298">
        <f>VLOOKUP($B2573,dongia1,DG!$G$5,)</f>
        <v>0</v>
      </c>
      <c r="K2573" s="1298">
        <f>VLOOKUP($B2573,dongia1,DG!$H$5,)</f>
        <v>0</v>
      </c>
      <c r="L2573" s="1298">
        <f t="shared" si="633"/>
        <v>0</v>
      </c>
      <c r="M2573" s="1298">
        <f t="shared" si="634"/>
        <v>0</v>
      </c>
      <c r="N2573" s="1298">
        <f t="shared" si="636"/>
        <v>0</v>
      </c>
      <c r="O2573" s="1298">
        <f t="shared" si="635"/>
        <v>0</v>
      </c>
      <c r="P2573" s="1299"/>
      <c r="Q2573" s="1300"/>
      <c r="R2573" s="1300"/>
      <c r="S2573" s="1300"/>
    </row>
    <row r="2574" spans="1:19" s="1081" customFormat="1" hidden="1" outlineLevel="1">
      <c r="A2574" s="1072">
        <f t="shared" si="637"/>
        <v>0</v>
      </c>
      <c r="B2574" s="1068" t="s">
        <v>1525</v>
      </c>
      <c r="C2574" s="1302"/>
      <c r="D2574" s="1198">
        <f>VLOOKUP($B2574,dongia1,DG!$B$5,)</f>
        <v>0</v>
      </c>
      <c r="E2574" s="1399" t="str">
        <f>VLOOKUP($B2574,dongia1,DG!$C$5,)</f>
        <v>Cổ dê giữ ống PVC D42</v>
      </c>
      <c r="F2574" s="1555" t="str">
        <f>VLOOKUP($B2574,dongia1,DG!$D$5,)</f>
        <v>bộ</v>
      </c>
      <c r="G2574" s="1304">
        <f>G2564*4</f>
        <v>0</v>
      </c>
      <c r="H2574" s="1298">
        <f>VLOOKUP($B2574,dongia1,DG!$F$5,)</f>
        <v>34000</v>
      </c>
      <c r="I2574" s="1298"/>
      <c r="J2574" s="1298">
        <f>VLOOKUP($B2574,dongia1,DG!$G$5,)</f>
        <v>0</v>
      </c>
      <c r="K2574" s="1298">
        <f>VLOOKUP($B2574,dongia1,DG!$H$5,)</f>
        <v>0</v>
      </c>
      <c r="L2574" s="1298">
        <f t="shared" si="633"/>
        <v>0</v>
      </c>
      <c r="M2574" s="1298">
        <f t="shared" si="634"/>
        <v>0</v>
      </c>
      <c r="N2574" s="1298">
        <f t="shared" si="636"/>
        <v>0</v>
      </c>
      <c r="O2574" s="1298">
        <f t="shared" si="635"/>
        <v>0</v>
      </c>
      <c r="P2574" s="1299"/>
      <c r="Q2574" s="1300"/>
      <c r="R2574" s="1300"/>
      <c r="S2574" s="1300"/>
    </row>
    <row r="2575" spans="1:19" s="1081" customFormat="1" hidden="1" outlineLevel="1">
      <c r="A2575" s="1072">
        <f t="shared" si="637"/>
        <v>0</v>
      </c>
      <c r="B2575" s="1295" t="s">
        <v>1576</v>
      </c>
      <c r="C2575" s="1302"/>
      <c r="D2575" s="1198">
        <f>VLOOKUP($B2575,dongia1,DG!$B$5,)</f>
        <v>0</v>
      </c>
      <c r="E2575" s="1399" t="str">
        <f>VLOOKUP($B2575,dongia1,DG!$C$5,)</f>
        <v>Co 90 độ PVC 42</v>
      </c>
      <c r="F2575" s="1555" t="str">
        <f>VLOOKUP($B2575,dongia1,DG!$D$5,)</f>
        <v>cái</v>
      </c>
      <c r="G2575" s="1304">
        <f>G2564*6</f>
        <v>0</v>
      </c>
      <c r="H2575" s="1298">
        <f>VLOOKUP($B2575,dongia1,DG!$F$5,)</f>
        <v>11400</v>
      </c>
      <c r="I2575" s="1298"/>
      <c r="J2575" s="1298">
        <f>VLOOKUP($B2575,dongia1,DG!$G$5,)</f>
        <v>0</v>
      </c>
      <c r="K2575" s="1298">
        <f>VLOOKUP($B2575,dongia1,DG!$H$5,)</f>
        <v>0</v>
      </c>
      <c r="L2575" s="1298">
        <f t="shared" si="633"/>
        <v>0</v>
      </c>
      <c r="M2575" s="1298">
        <f t="shared" si="634"/>
        <v>0</v>
      </c>
      <c r="N2575" s="1298">
        <f t="shared" si="636"/>
        <v>0</v>
      </c>
      <c r="O2575" s="1298">
        <f t="shared" si="635"/>
        <v>0</v>
      </c>
      <c r="P2575" s="1299"/>
      <c r="Q2575" s="1300"/>
      <c r="R2575" s="1300"/>
      <c r="S2575" s="1300"/>
    </row>
    <row r="2576" spans="1:19" s="1081" customFormat="1" hidden="1" outlineLevel="1">
      <c r="A2576" s="1072">
        <f t="shared" si="637"/>
        <v>0</v>
      </c>
      <c r="B2576" s="1295" t="s">
        <v>969</v>
      </c>
      <c r="C2576" s="1302"/>
      <c r="D2576" s="1198">
        <f>VLOOKUP($B2576,dongia1,DG!$B$5,)</f>
        <v>0</v>
      </c>
      <c r="E2576" s="1399" t="str">
        <f>VLOOKUP($B2576,dongia1,DG!$C$5,)</f>
        <v>Co chữ T ống PVC 42</v>
      </c>
      <c r="F2576" s="1555" t="str">
        <f>VLOOKUP($B2576,dongia1,DG!$D$5,)</f>
        <v>cái</v>
      </c>
      <c r="G2576" s="1304">
        <f>G2564*5</f>
        <v>0</v>
      </c>
      <c r="H2576" s="1298">
        <f>VLOOKUP($B2576,dongia1,DG!$F$5,)</f>
        <v>21000</v>
      </c>
      <c r="I2576" s="1298"/>
      <c r="J2576" s="1298">
        <f>VLOOKUP($B2576,dongia1,DG!$G$5,)</f>
        <v>0</v>
      </c>
      <c r="K2576" s="1298">
        <f>VLOOKUP($B2576,dongia1,DG!$H$5,)</f>
        <v>0</v>
      </c>
      <c r="L2576" s="1298">
        <f t="shared" si="633"/>
        <v>0</v>
      </c>
      <c r="M2576" s="1298">
        <f t="shared" si="634"/>
        <v>0</v>
      </c>
      <c r="N2576" s="1298">
        <f t="shared" si="636"/>
        <v>0</v>
      </c>
      <c r="O2576" s="1298">
        <f t="shared" si="635"/>
        <v>0</v>
      </c>
      <c r="P2576" s="1299"/>
      <c r="Q2576" s="1300"/>
      <c r="R2576" s="1300"/>
      <c r="S2576" s="1300"/>
    </row>
    <row r="2577" spans="1:19" s="1081" customFormat="1" hidden="1" outlineLevel="1">
      <c r="A2577" s="1072">
        <f t="shared" si="637"/>
        <v>0</v>
      </c>
      <c r="B2577" s="1295" t="s">
        <v>1973</v>
      </c>
      <c r="C2577" s="1302"/>
      <c r="D2577" s="1198">
        <f>VLOOKUP($B2577,dongia1,DG!$B$5,)</f>
        <v>0</v>
      </c>
      <c r="E2577" s="1399" t="str">
        <f>VLOOKUP($B2577,dongia1,DG!$C$5,)</f>
        <v>Keo dán ống PVC (500gr)</v>
      </c>
      <c r="F2577" s="1555" t="str">
        <f>VLOOKUP($B2577,dongia1,DG!$D$5,)</f>
        <v>lon</v>
      </c>
      <c r="G2577" s="1304">
        <f>G2564</f>
        <v>0</v>
      </c>
      <c r="H2577" s="1298">
        <f>VLOOKUP($B2577,dongia1,DG!$F$5,)</f>
        <v>54100</v>
      </c>
      <c r="I2577" s="1298"/>
      <c r="J2577" s="1298">
        <f>VLOOKUP($B2577,dongia1,DG!$G$5,)</f>
        <v>0</v>
      </c>
      <c r="K2577" s="1298">
        <f>VLOOKUP($B2577,dongia1,DG!$H$5,)</f>
        <v>0</v>
      </c>
      <c r="L2577" s="1298">
        <f t="shared" si="633"/>
        <v>0</v>
      </c>
      <c r="M2577" s="1298">
        <f t="shared" si="634"/>
        <v>0</v>
      </c>
      <c r="N2577" s="1298">
        <f t="shared" si="636"/>
        <v>0</v>
      </c>
      <c r="O2577" s="1298">
        <f t="shared" si="635"/>
        <v>0</v>
      </c>
      <c r="P2577" s="1299"/>
      <c r="Q2577" s="1300"/>
      <c r="R2577" s="1300"/>
      <c r="S2577" s="1300"/>
    </row>
    <row r="2578" spans="1:19" s="1081" customFormat="1" hidden="1" outlineLevel="1">
      <c r="A2578" s="1072">
        <f t="shared" si="637"/>
        <v>0</v>
      </c>
      <c r="B2578" s="1068" t="s">
        <v>236</v>
      </c>
      <c r="C2578" s="1302"/>
      <c r="D2578" s="1198">
        <f>VLOOKUP($B2578,dongia1,DG!$B$5,)</f>
        <v>0</v>
      </c>
      <c r="E2578" s="1399" t="str">
        <f>VLOOKUP($B2578,dongia1,DG!$C$5,)</f>
        <v>Băng keo cách điện hạ thế</v>
      </c>
      <c r="F2578" s="1555" t="str">
        <f>VLOOKUP($B2578,dongia1,DG!$D$5,)</f>
        <v>cuộn</v>
      </c>
      <c r="G2578" s="1304">
        <f>G2564</f>
        <v>0</v>
      </c>
      <c r="H2578" s="1298">
        <f>VLOOKUP($B2578,dongia1,DG!$F$5,)</f>
        <v>6500</v>
      </c>
      <c r="I2578" s="1298"/>
      <c r="J2578" s="1298">
        <f>VLOOKUP($B2578,dongia1,DG!$G$5,)</f>
        <v>0</v>
      </c>
      <c r="K2578" s="1298">
        <f>VLOOKUP($B2578,dongia1,DG!$H$5,)</f>
        <v>0</v>
      </c>
      <c r="L2578" s="1298">
        <f t="shared" si="633"/>
        <v>0</v>
      </c>
      <c r="M2578" s="1298">
        <f t="shared" si="634"/>
        <v>0</v>
      </c>
      <c r="N2578" s="1298">
        <f t="shared" si="636"/>
        <v>0</v>
      </c>
      <c r="O2578" s="1298">
        <f t="shared" si="635"/>
        <v>0</v>
      </c>
      <c r="P2578" s="1299"/>
      <c r="Q2578" s="1300"/>
      <c r="R2578" s="1300"/>
      <c r="S2578" s="1300"/>
    </row>
    <row r="2579" spans="1:19" s="1081" customFormat="1" hidden="1" outlineLevel="1">
      <c r="A2579" s="1072">
        <f t="shared" si="637"/>
        <v>0</v>
      </c>
      <c r="B2579" s="1295" t="s">
        <v>1464</v>
      </c>
      <c r="C2579" s="1302"/>
      <c r="D2579" s="1198">
        <f>VLOOKUP($B2579,dongia1,DG!$B$5,)</f>
        <v>0</v>
      </c>
      <c r="E2579" s="1399" t="str">
        <f>VLOOKUP($B2579,dongia1,DG!$C$5,)</f>
        <v>Khâu ven răng trong D42</v>
      </c>
      <c r="F2579" s="1555" t="str">
        <f>VLOOKUP($B2579,dongia1,DG!$D$5,)</f>
        <v>cái</v>
      </c>
      <c r="G2579" s="1304">
        <f>G2564</f>
        <v>0</v>
      </c>
      <c r="H2579" s="1298">
        <f>VLOOKUP($B2579,dongia1,DG!$F$5,)</f>
        <v>5000</v>
      </c>
      <c r="I2579" s="1298"/>
      <c r="J2579" s="1298">
        <f>VLOOKUP($B2579,dongia1,DG!$G$5,)</f>
        <v>0</v>
      </c>
      <c r="K2579" s="1298">
        <f>VLOOKUP($B2579,dongia1,DG!$H$5,)</f>
        <v>0</v>
      </c>
      <c r="L2579" s="1298">
        <f t="shared" si="633"/>
        <v>0</v>
      </c>
      <c r="M2579" s="1298">
        <f t="shared" si="634"/>
        <v>0</v>
      </c>
      <c r="N2579" s="1298">
        <f t="shared" si="636"/>
        <v>0</v>
      </c>
      <c r="O2579" s="1298">
        <f t="shared" si="635"/>
        <v>0</v>
      </c>
      <c r="P2579" s="1299"/>
      <c r="Q2579" s="1300"/>
      <c r="R2579" s="1300"/>
      <c r="S2579" s="1300"/>
    </row>
    <row r="2580" spans="1:19" s="1081" customFormat="1" hidden="1" outlineLevel="1">
      <c r="A2580" s="1072">
        <f t="shared" si="637"/>
        <v>0</v>
      </c>
      <c r="B2580" s="1068" t="s">
        <v>1214</v>
      </c>
      <c r="C2580" s="1302"/>
      <c r="D2580" s="1198">
        <f>VLOOKUP($B2580,dongia1,DG!$B$5,)</f>
        <v>0</v>
      </c>
      <c r="E2580" s="1399" t="str">
        <f>VLOOKUP($B2580,dongia1,DG!$C$5,)</f>
        <v>Khâu ven răng ngoài D42</v>
      </c>
      <c r="F2580" s="1555" t="str">
        <f>VLOOKUP($B2580,dongia1,DG!$D$5,)</f>
        <v>cái</v>
      </c>
      <c r="G2580" s="1304">
        <f>G2564</f>
        <v>0</v>
      </c>
      <c r="H2580" s="1298">
        <f>VLOOKUP($B2580,dongia1,DG!$F$5,)</f>
        <v>5200</v>
      </c>
      <c r="I2580" s="1298"/>
      <c r="J2580" s="1298">
        <f>VLOOKUP($B2580,dongia1,DG!$G$5,)</f>
        <v>0</v>
      </c>
      <c r="K2580" s="1298">
        <f>VLOOKUP($B2580,dongia1,DG!$H$5,)</f>
        <v>0</v>
      </c>
      <c r="L2580" s="1298">
        <f t="shared" si="633"/>
        <v>0</v>
      </c>
      <c r="M2580" s="1298">
        <f t="shared" si="634"/>
        <v>0</v>
      </c>
      <c r="N2580" s="1298">
        <f t="shared" si="636"/>
        <v>0</v>
      </c>
      <c r="O2580" s="1298">
        <f t="shared" si="635"/>
        <v>0</v>
      </c>
      <c r="P2580" s="1299"/>
      <c r="Q2580" s="1300"/>
      <c r="R2580" s="1300"/>
      <c r="S2580" s="1300"/>
    </row>
    <row r="2581" spans="1:19" s="1081" customFormat="1" hidden="1" outlineLevel="1">
      <c r="A2581" s="1072">
        <f t="shared" si="637"/>
        <v>0</v>
      </c>
      <c r="B2581" s="1068" t="s">
        <v>1439</v>
      </c>
      <c r="C2581" s="1302"/>
      <c r="D2581" s="1198">
        <f>VLOOKUP($B2581,dongia1,DG!$B$5,)</f>
        <v>0</v>
      </c>
      <c r="E2581" s="1399" t="str">
        <f>VLOOKUP($B2581,dongia1,DG!$C$5,)</f>
        <v>Cổ dê CDĐKĐT D320/6x60( bắt thùng)</v>
      </c>
      <c r="F2581" s="1555" t="str">
        <f>VLOOKUP($B2581,dongia1,DG!$D$5,)</f>
        <v>bộ</v>
      </c>
      <c r="G2581" s="1304">
        <f>G2564*2</f>
        <v>0</v>
      </c>
      <c r="H2581" s="1298">
        <f>VLOOKUP($B2581,dongia1,DG!$F$5,)</f>
        <v>168000</v>
      </c>
      <c r="I2581" s="1298"/>
      <c r="J2581" s="1298">
        <f>VLOOKUP($B2581,dongia1,DG!$G$5,)</f>
        <v>0</v>
      </c>
      <c r="K2581" s="1298">
        <f>VLOOKUP($B2581,dongia1,DG!$H$5,)</f>
        <v>0</v>
      </c>
      <c r="L2581" s="1298">
        <f t="shared" si="633"/>
        <v>0</v>
      </c>
      <c r="M2581" s="1298">
        <f t="shared" si="634"/>
        <v>0</v>
      </c>
      <c r="N2581" s="1298">
        <f t="shared" si="636"/>
        <v>0</v>
      </c>
      <c r="O2581" s="1298">
        <f t="shared" si="635"/>
        <v>0</v>
      </c>
      <c r="P2581" s="1299"/>
      <c r="Q2581" s="1300"/>
      <c r="R2581" s="1300"/>
      <c r="S2581" s="1300"/>
    </row>
    <row r="2582" spans="1:19" s="1081" customFormat="1" hidden="1" outlineLevel="1">
      <c r="A2582" s="1072">
        <f t="shared" si="637"/>
        <v>0</v>
      </c>
      <c r="B2582" s="1068" t="s">
        <v>1825</v>
      </c>
      <c r="C2582" s="1302"/>
      <c r="D2582" s="1198" t="str">
        <f>VLOOKUP($B2582,dongia1,DG!$B$5,)</f>
        <v>T5.1001</v>
      </c>
      <c r="E2582" s="1399" t="str">
        <f>VLOOKUP($B2582,dongia1,DG!$C$5,)</f>
        <v>Thùng điện kế 450x300x200mm đo đếm trung thế</v>
      </c>
      <c r="F2582" s="1555" t="str">
        <f>VLOOKUP($B2582,dongia1,DG!$D$5,)</f>
        <v>cái</v>
      </c>
      <c r="G2582" s="1304">
        <f>G2564</f>
        <v>0</v>
      </c>
      <c r="H2582" s="1298">
        <f>VLOOKUP($B2582,dongia1,DG!$F$5,)</f>
        <v>845331</v>
      </c>
      <c r="I2582" s="1298"/>
      <c r="J2582" s="1298">
        <f>VLOOKUP($B2582,dongia1,DG!$G$5,)</f>
        <v>599038</v>
      </c>
      <c r="K2582" s="1298">
        <f>VLOOKUP($B2582,dongia1,DG!$H$5,)</f>
        <v>97369</v>
      </c>
      <c r="L2582" s="1298">
        <f t="shared" si="633"/>
        <v>0</v>
      </c>
      <c r="M2582" s="1298">
        <f t="shared" si="634"/>
        <v>0</v>
      </c>
      <c r="N2582" s="1298">
        <f t="shared" si="636"/>
        <v>0</v>
      </c>
      <c r="O2582" s="1298">
        <f t="shared" si="635"/>
        <v>0</v>
      </c>
      <c r="P2582" s="1299"/>
      <c r="Q2582" s="1300"/>
      <c r="R2582" s="1300"/>
      <c r="S2582" s="1300"/>
    </row>
    <row r="2583" spans="1:19" s="1081" customFormat="1" hidden="1" outlineLevel="1">
      <c r="A2583" s="1072">
        <f t="shared" si="637"/>
        <v>0</v>
      </c>
      <c r="B2583" s="1068" t="s">
        <v>1690</v>
      </c>
      <c r="C2583" s="1302"/>
      <c r="D2583" s="1198">
        <f>VLOOKUP($B2583,dongia1,DG!$B$5,)</f>
        <v>0</v>
      </c>
      <c r="E2583" s="1399" t="str">
        <f>VLOOKUP($B2583,dongia1,DG!$C$5,)</f>
        <v>Keo silicon bít miệng ống</v>
      </c>
      <c r="F2583" s="1555" t="str">
        <f>VLOOKUP($B2583,dongia1,DG!$D$5,)</f>
        <v>chai</v>
      </c>
      <c r="G2583" s="1304">
        <f>G2564*2</f>
        <v>0</v>
      </c>
      <c r="H2583" s="1298">
        <f>VLOOKUP($B2583,dongia1,DG!$F$5,)</f>
        <v>45000</v>
      </c>
      <c r="I2583" s="1298"/>
      <c r="J2583" s="1298">
        <f>VLOOKUP($B2583,dongia1,DG!$G$5,)</f>
        <v>0</v>
      </c>
      <c r="K2583" s="1298">
        <f>VLOOKUP($B2583,dongia1,DG!$H$5,)</f>
        <v>0</v>
      </c>
      <c r="L2583" s="1298">
        <f t="shared" si="633"/>
        <v>0</v>
      </c>
      <c r="M2583" s="1298">
        <f t="shared" si="634"/>
        <v>0</v>
      </c>
      <c r="N2583" s="1298">
        <f t="shared" si="636"/>
        <v>0</v>
      </c>
      <c r="O2583" s="1298">
        <f t="shared" si="635"/>
        <v>0</v>
      </c>
      <c r="P2583" s="1299"/>
      <c r="Q2583" s="1300"/>
      <c r="R2583" s="1300"/>
      <c r="S2583" s="1300"/>
    </row>
    <row r="2584" spans="1:19" s="1081" customFormat="1" hidden="1" outlineLevel="1">
      <c r="A2584" s="1072">
        <f t="shared" si="637"/>
        <v>0</v>
      </c>
      <c r="B2584" s="1068" t="s">
        <v>1735</v>
      </c>
      <c r="C2584" s="1302"/>
      <c r="D2584" s="1198">
        <f>VLOOKUP($B2584,dongia1,DG!$B$5,)</f>
        <v>0</v>
      </c>
      <c r="E2584" s="1399" t="str">
        <f>VLOOKUP($B2584,dongia1,DG!$C$5,)</f>
        <v>Dây đồng trần mềm dẹt</v>
      </c>
      <c r="F2584" s="1555" t="str">
        <f>VLOOKUP($B2584,dongia1,DG!$D$5,)</f>
        <v>mét</v>
      </c>
      <c r="G2584" s="1304">
        <f>G2564*4*0</f>
        <v>0</v>
      </c>
      <c r="H2584" s="1298">
        <f>VLOOKUP($B2584,dongia1,DG!$F$5,)</f>
        <v>5000</v>
      </c>
      <c r="I2584" s="1298"/>
      <c r="J2584" s="1298">
        <f>VLOOKUP($B2584,dongia1,DG!$G$5,)</f>
        <v>0</v>
      </c>
      <c r="K2584" s="1298">
        <f>VLOOKUP($B2584,dongia1,DG!$H$5,)</f>
        <v>0</v>
      </c>
      <c r="L2584" s="1298">
        <f t="shared" si="633"/>
        <v>0</v>
      </c>
      <c r="M2584" s="1298">
        <f t="shared" si="634"/>
        <v>0</v>
      </c>
      <c r="N2584" s="1298">
        <f t="shared" si="636"/>
        <v>0</v>
      </c>
      <c r="O2584" s="1298">
        <f t="shared" si="635"/>
        <v>0</v>
      </c>
      <c r="P2584" s="1299"/>
      <c r="Q2584" s="1300"/>
      <c r="R2584" s="1300"/>
      <c r="S2584" s="1300"/>
    </row>
    <row r="2585" spans="1:19" s="1081" customFormat="1" hidden="1" outlineLevel="1">
      <c r="A2585" s="1072">
        <f t="shared" si="637"/>
        <v>0</v>
      </c>
      <c r="B2585" s="1068" t="s">
        <v>518</v>
      </c>
      <c r="C2585" s="1302"/>
      <c r="D2585" s="1198">
        <v>0</v>
      </c>
      <c r="E2585" s="1399" t="str">
        <f>VLOOKUP($B2585,dongia1,DG!$C$5,)</f>
        <v>Sắt góc L50 x50 x5</v>
      </c>
      <c r="F2585" s="1555" t="str">
        <f>VLOOKUP($B2585,dongia1,DG!$D$5,)</f>
        <v>kg</v>
      </c>
      <c r="G2585" s="1304">
        <f>3.77*G2564*2*0.3*0</f>
        <v>0</v>
      </c>
      <c r="H2585" s="1298">
        <f>VLOOKUP($B2585,dongia1,DG!$F$5,)</f>
        <v>31625</v>
      </c>
      <c r="I2585" s="1298"/>
      <c r="J2585" s="1298">
        <f>VLOOKUP($B2585,dongia1,DG!$G$5,)</f>
        <v>0</v>
      </c>
      <c r="K2585" s="1298">
        <f>VLOOKUP($B2585,dongia1,DG!$H$5,)</f>
        <v>0</v>
      </c>
      <c r="L2585" s="1298">
        <f t="shared" si="633"/>
        <v>0</v>
      </c>
      <c r="M2585" s="1298">
        <f t="shared" si="634"/>
        <v>0</v>
      </c>
      <c r="N2585" s="1298">
        <f t="shared" si="636"/>
        <v>0</v>
      </c>
      <c r="O2585" s="1298">
        <f t="shared" si="635"/>
        <v>0</v>
      </c>
      <c r="P2585" s="1299"/>
      <c r="Q2585" s="1300"/>
      <c r="R2585" s="1300"/>
      <c r="S2585" s="1300"/>
    </row>
    <row r="2586" spans="1:19" s="1081" customFormat="1" hidden="1" outlineLevel="1">
      <c r="A2586" s="1072">
        <f t="shared" si="637"/>
        <v>0</v>
      </c>
      <c r="B2586" s="1068" t="s">
        <v>509</v>
      </c>
      <c r="C2586" s="1302"/>
      <c r="D2586" s="1198">
        <v>0</v>
      </c>
      <c r="E2586" s="1399" t="str">
        <f>VLOOKUP($B2586,dongia1,DG!$C$5,)</f>
        <v>Boulon 10x50+ 2 long đền vuông D12-50x50x3/Zn</v>
      </c>
      <c r="F2586" s="1555" t="str">
        <f>VLOOKUP($B2586,dongia1,DG!$D$5,)</f>
        <v>bộ</v>
      </c>
      <c r="G2586" s="1837">
        <f>4*G2564*0</f>
        <v>0</v>
      </c>
      <c r="H2586" s="1298">
        <f>VLOOKUP($B2586,dongia1,DG!$F$5,)</f>
        <v>1500</v>
      </c>
      <c r="I2586" s="1298"/>
      <c r="J2586" s="1298">
        <f>VLOOKUP($B2586,dongia1,DG!$G$5,)</f>
        <v>0</v>
      </c>
      <c r="K2586" s="1298">
        <f>VLOOKUP($B2586,dongia1,DG!$H$5,)</f>
        <v>0</v>
      </c>
      <c r="L2586" s="1298">
        <f t="shared" si="633"/>
        <v>0</v>
      </c>
      <c r="M2586" s="1298">
        <f t="shared" si="634"/>
        <v>0</v>
      </c>
      <c r="N2586" s="1298">
        <f t="shared" si="636"/>
        <v>0</v>
      </c>
      <c r="O2586" s="1298">
        <f t="shared" si="635"/>
        <v>0</v>
      </c>
      <c r="P2586" s="1299"/>
      <c r="Q2586" s="1300"/>
      <c r="R2586" s="1300"/>
      <c r="S2586" s="1300"/>
    </row>
    <row r="2587" spans="1:19" s="1081" customFormat="1" hidden="1" outlineLevel="1">
      <c r="A2587" s="1072">
        <f>A2386</f>
        <v>0</v>
      </c>
      <c r="B2587" s="1421"/>
      <c r="C2587" s="1475"/>
      <c r="D2587" s="1476"/>
      <c r="E2587" s="1477"/>
      <c r="F2587" s="1478"/>
      <c r="G2587" s="1838"/>
      <c r="H2587" s="1478"/>
      <c r="I2587" s="1478"/>
      <c r="J2587" s="2469" t="s">
        <v>3388</v>
      </c>
      <c r="K2587" s="2469"/>
      <c r="L2587" s="1480">
        <f>SUM(L2406:L2586)</f>
        <v>0</v>
      </c>
      <c r="M2587" s="1480">
        <f>SUM(M2406:M2586)</f>
        <v>0</v>
      </c>
      <c r="N2587" s="1480">
        <f>SUM(N2406:N2586)</f>
        <v>0</v>
      </c>
      <c r="O2587" s="1480">
        <f>SUM(O2406:O2586)</f>
        <v>0</v>
      </c>
      <c r="P2587" s="1447"/>
      <c r="Q2587" s="1300"/>
      <c r="R2587" s="1300"/>
      <c r="S2587" s="1300"/>
    </row>
    <row r="2588" spans="1:19" s="1081" customFormat="1" ht="24.75" customHeight="1" outlineLevel="1">
      <c r="A2588" s="1072"/>
      <c r="B2588" s="1421"/>
      <c r="C2588" s="1528"/>
      <c r="D2588" s="1528"/>
      <c r="E2588" s="1558"/>
      <c r="F2588" s="1530"/>
      <c r="G2588" s="1530"/>
      <c r="H2588" s="1530"/>
      <c r="I2588" s="1530"/>
      <c r="J2588" s="1531"/>
      <c r="K2588" s="1531"/>
      <c r="L2588" s="1532"/>
      <c r="M2588" s="1532"/>
      <c r="N2588" s="1532"/>
      <c r="O2588" s="1532"/>
      <c r="P2588" s="1559"/>
      <c r="Q2588" s="1300"/>
      <c r="R2588" s="1300"/>
      <c r="S2588" s="1300"/>
    </row>
    <row r="2589" spans="1:19" s="1081" customFormat="1">
      <c r="A2589" s="1431">
        <f>IF(G2594&gt;0,1,)</f>
        <v>1</v>
      </c>
      <c r="B2589" s="1068"/>
      <c r="C2589" s="1490"/>
      <c r="D2589" s="1300"/>
      <c r="E2589" s="1491"/>
      <c r="F2589" s="1300"/>
      <c r="G2589" s="1300"/>
      <c r="H2589" s="1300"/>
      <c r="I2589" s="1300"/>
      <c r="J2589" s="1300"/>
      <c r="K2589" s="1300"/>
      <c r="L2589" s="1300"/>
      <c r="M2589" s="1300"/>
      <c r="N2589" s="1300"/>
      <c r="O2589" s="1300"/>
      <c r="P2589" s="1300"/>
      <c r="Q2589" s="1300"/>
      <c r="R2589" s="1300"/>
      <c r="S2589" s="1300"/>
    </row>
    <row r="2590" spans="1:19" s="1081" customFormat="1" outlineLevel="1">
      <c r="A2590" s="1072">
        <f>A2589</f>
        <v>1</v>
      </c>
      <c r="B2590" s="1432"/>
      <c r="C2590" s="1336" t="str">
        <f>"BẢNG TỔNG HỢP VẬT LIỆU, NHÂN CÔNG, MÁY THI CÔNG: "&amp;K16&amp;" TRẠM 3P_1250KVA"</f>
        <v>BẢNG TỔNG HỢP VẬT LIỆU, NHÂN CÔNG, MÁY THI CÔNG: 1 TRẠM 3P_1250KVA</v>
      </c>
      <c r="D2590" s="1494"/>
      <c r="E2590" s="1494"/>
      <c r="F2590" s="1494"/>
      <c r="G2590" s="1494"/>
      <c r="H2590" s="1495"/>
      <c r="I2590" s="1434"/>
      <c r="J2590" s="1495"/>
      <c r="K2590" s="1495"/>
      <c r="L2590" s="1495"/>
      <c r="M2590" s="1434"/>
      <c r="N2590" s="1495"/>
      <c r="O2590" s="1495"/>
      <c r="P2590" s="1513"/>
      <c r="Q2590" s="1300"/>
      <c r="R2590" s="1300"/>
      <c r="S2590" s="1300"/>
    </row>
    <row r="2591" spans="1:19" s="1081" customFormat="1" outlineLevel="1">
      <c r="A2591" s="1072">
        <f>A2589</f>
        <v>1</v>
      </c>
      <c r="B2591" s="1295" t="s">
        <v>308</v>
      </c>
      <c r="C2591" s="2459" t="s">
        <v>1014</v>
      </c>
      <c r="D2591" s="2467" t="s">
        <v>3363</v>
      </c>
      <c r="E2591" s="2457" t="s">
        <v>3364</v>
      </c>
      <c r="F2591" s="2459" t="s">
        <v>3365</v>
      </c>
      <c r="G2591" s="1155" t="s">
        <v>3367</v>
      </c>
      <c r="H2591" s="1156" t="s">
        <v>3368</v>
      </c>
      <c r="I2591" s="1157"/>
      <c r="J2591" s="1157"/>
      <c r="K2591" s="1158"/>
      <c r="L2591" s="1156" t="s">
        <v>3372</v>
      </c>
      <c r="M2591" s="1157"/>
      <c r="N2591" s="1157"/>
      <c r="O2591" s="1158"/>
      <c r="P2591" s="2459" t="s">
        <v>3373</v>
      </c>
      <c r="Q2591" s="1300"/>
      <c r="R2591" s="1300"/>
      <c r="S2591" s="1300"/>
    </row>
    <row r="2592" spans="1:19" s="1081" customFormat="1" outlineLevel="1">
      <c r="A2592" s="1072">
        <f>A2591</f>
        <v>1</v>
      </c>
      <c r="B2592" s="1295"/>
      <c r="C2592" s="2459"/>
      <c r="D2592" s="2468"/>
      <c r="E2592" s="2458"/>
      <c r="F2592" s="2459"/>
      <c r="G2592" s="1160" t="s">
        <v>3366</v>
      </c>
      <c r="H2592" s="1161" t="s">
        <v>393</v>
      </c>
      <c r="I2592" s="1161" t="s">
        <v>3369</v>
      </c>
      <c r="J2592" s="1161" t="s">
        <v>3370</v>
      </c>
      <c r="K2592" s="1161" t="s">
        <v>3371</v>
      </c>
      <c r="L2592" s="1161" t="s">
        <v>393</v>
      </c>
      <c r="M2592" s="1161" t="s">
        <v>3369</v>
      </c>
      <c r="N2592" s="1161" t="s">
        <v>3370</v>
      </c>
      <c r="O2592" s="1161" t="s">
        <v>3371</v>
      </c>
      <c r="P2592" s="2459"/>
      <c r="Q2592" s="1300"/>
      <c r="R2592" s="1300"/>
      <c r="S2592" s="1300"/>
    </row>
    <row r="2593" spans="1:19" s="1081" customFormat="1" outlineLevel="1">
      <c r="A2593" s="1072">
        <f>A2592</f>
        <v>1</v>
      </c>
      <c r="B2593" s="1295"/>
      <c r="C2593" s="1162"/>
      <c r="D2593" s="1163"/>
      <c r="E2593" s="1164" t="s">
        <v>3375</v>
      </c>
      <c r="F2593" s="1165"/>
      <c r="G2593" s="1165"/>
      <c r="H2593" s="1165"/>
      <c r="I2593" s="1165"/>
      <c r="J2593" s="1165"/>
      <c r="K2593" s="1165"/>
      <c r="L2593" s="1165"/>
      <c r="M2593" s="1165"/>
      <c r="N2593" s="1165"/>
      <c r="O2593" s="1163"/>
      <c r="P2593" s="1166"/>
      <c r="Q2593" s="1300"/>
      <c r="R2593" s="1300"/>
      <c r="S2593" s="1300"/>
    </row>
    <row r="2594" spans="1:19" s="1081" customFormat="1" outlineLevel="1">
      <c r="A2594" s="1072">
        <f t="shared" ref="A2594:A2606" si="638">IF(G2594&lt;&gt;0,1,"")</f>
        <v>1</v>
      </c>
      <c r="B2594" s="1435" t="s">
        <v>444</v>
      </c>
      <c r="C2594" s="1302">
        <f>IF(G2594&gt;0,1,0)</f>
        <v>1</v>
      </c>
      <c r="D2594" s="1198" t="str">
        <f>VLOOKUP($B2594,dongia1,DG!$B$5,)</f>
        <v>T1.1418</v>
      </c>
      <c r="E2594" s="1243" t="str">
        <f>VLOOKUP($B2594,dongia1,DG!$C$5,)</f>
        <v>Máy biến áp 22/0,4kV- 1250kVA</v>
      </c>
      <c r="F2594" s="1198" t="str">
        <f>VLOOKUP($B2594,dongia1,DG!$D$5,)</f>
        <v>máy</v>
      </c>
      <c r="G2594" s="1304">
        <f>$K$16</f>
        <v>1</v>
      </c>
      <c r="H2594" s="1399">
        <f>VLOOKUP($B2594,dongia1,DG!$E$5,)</f>
        <v>616819000</v>
      </c>
      <c r="I2594" s="1399"/>
      <c r="J2594" s="1399">
        <f>VLOOKUP($B2594,dongia1,DG!$G$5,)</f>
        <v>1928901</v>
      </c>
      <c r="K2594" s="1399">
        <f>VLOOKUP($B2594,dongia1,DG!$H$5,)</f>
        <v>426761</v>
      </c>
      <c r="L2594" s="1400">
        <f t="shared" ref="L2594:L2606" si="639">H2594*G2594</f>
        <v>616819000</v>
      </c>
      <c r="M2594" s="1400">
        <f t="shared" ref="M2594:M2606" si="640">I2594*G2594</f>
        <v>0</v>
      </c>
      <c r="N2594" s="1400">
        <f t="shared" ref="N2594:N2606" si="641">J2594*G2594</f>
        <v>1928901</v>
      </c>
      <c r="O2594" s="1401">
        <f t="shared" ref="O2594:O2606" si="642">K2594*G2594</f>
        <v>426761</v>
      </c>
      <c r="P2594" s="1436"/>
      <c r="Q2594" s="1300"/>
      <c r="R2594" s="1300"/>
      <c r="S2594" s="1300"/>
    </row>
    <row r="2595" spans="1:19" s="1081" customFormat="1" outlineLevel="1">
      <c r="A2595" s="1072">
        <f t="shared" si="638"/>
        <v>1</v>
      </c>
      <c r="B2595" s="1167" t="str">
        <f>"FCO100-"&amp;$F$8</f>
        <v>FCO100-22</v>
      </c>
      <c r="C2595" s="1302">
        <f>IF(G2595&gt;0,C2594+1,C2594)</f>
        <v>2</v>
      </c>
      <c r="D2595" s="1198" t="str">
        <f>VLOOKUP($B2595,dongia1,DG!$B$5,)</f>
        <v>T2.3501</v>
      </c>
      <c r="E2595" s="1243" t="str">
        <f>VLOOKUP($B2595,dongia1,DG!$C$5,)</f>
        <v>FCO 24kV - 100A</v>
      </c>
      <c r="F2595" s="1198" t="str">
        <f>VLOOKUP($B2595,dongia1,DG!$D$5,)</f>
        <v>cái</v>
      </c>
      <c r="G2595" s="1304">
        <f>G2594*3</f>
        <v>3</v>
      </c>
      <c r="H2595" s="1298">
        <f>VLOOKUP($B2595,dongia1,DG!$E$5,)</f>
        <v>2244280</v>
      </c>
      <c r="I2595" s="1298">
        <f>VLOOKUP($B2595,dongia1,DG!$F$5,)*0</f>
        <v>0</v>
      </c>
      <c r="J2595" s="1298">
        <f>VLOOKUP($B2595,dongia1,DG!$G$5,)</f>
        <v>222639.99999999997</v>
      </c>
      <c r="K2595" s="1298">
        <f>VLOOKUP($B2595,dongia1,DG!$H$5,)</f>
        <v>0</v>
      </c>
      <c r="L2595" s="1298">
        <f t="shared" si="639"/>
        <v>6732840</v>
      </c>
      <c r="M2595" s="1298">
        <f t="shared" si="640"/>
        <v>0</v>
      </c>
      <c r="N2595" s="1298">
        <f t="shared" si="641"/>
        <v>667919.99999999988</v>
      </c>
      <c r="O2595" s="1298">
        <f t="shared" si="642"/>
        <v>0</v>
      </c>
      <c r="P2595" s="1437"/>
      <c r="Q2595" s="1300"/>
      <c r="R2595" s="1300"/>
      <c r="S2595" s="1300"/>
    </row>
    <row r="2596" spans="1:19" s="1081" customFormat="1" outlineLevel="1">
      <c r="A2596" s="1072">
        <f t="shared" si="638"/>
        <v>1</v>
      </c>
      <c r="B2596" s="1435" t="s">
        <v>5824</v>
      </c>
      <c r="C2596" s="1302">
        <f>IF(G2596&gt;0,C2595+1,C2595)</f>
        <v>3</v>
      </c>
      <c r="D2596" s="1198">
        <f>VLOOKUP($B2596,dongia1,DG!$B$5,)</f>
        <v>0</v>
      </c>
      <c r="E2596" s="1243" t="str">
        <f>VLOOKUP($B2596,dongia1,DG!$C$5,)</f>
        <v>Dây chảy 40K</v>
      </c>
      <c r="F2596" s="1198" t="str">
        <f>VLOOKUP($B2596,dongia1,DG!$D$5,)</f>
        <v>Sợi</v>
      </c>
      <c r="G2596" s="1304">
        <f>G2595</f>
        <v>3</v>
      </c>
      <c r="H2596" s="1298">
        <f>VLOOKUP($B2596,dongia1,DG!$F$5,)</f>
        <v>132000</v>
      </c>
      <c r="I2596" s="1298">
        <f>VLOOKUP($B2596,dongia1,DG!$F$5,)*0</f>
        <v>0</v>
      </c>
      <c r="J2596" s="1298">
        <f>VLOOKUP($B2596,dongia1,DG!$G$5,)</f>
        <v>0</v>
      </c>
      <c r="K2596" s="1298">
        <f>VLOOKUP($B2596,dongia1,DG!$H$5,)</f>
        <v>0</v>
      </c>
      <c r="L2596" s="1298">
        <f t="shared" si="639"/>
        <v>396000</v>
      </c>
      <c r="M2596" s="1298">
        <f t="shared" si="640"/>
        <v>0</v>
      </c>
      <c r="N2596" s="1298">
        <f t="shared" si="641"/>
        <v>0</v>
      </c>
      <c r="O2596" s="1298">
        <f t="shared" si="642"/>
        <v>0</v>
      </c>
      <c r="P2596" s="1437"/>
      <c r="Q2596" s="1300"/>
      <c r="R2596" s="1300"/>
      <c r="S2596" s="1300"/>
    </row>
    <row r="2597" spans="1:19" s="1081" customFormat="1" outlineLevel="1">
      <c r="A2597" s="1072">
        <f t="shared" si="638"/>
        <v>1</v>
      </c>
      <c r="B2597" s="1295" t="str">
        <f>"LA"&amp;$F$6</f>
        <v>LA18</v>
      </c>
      <c r="C2597" s="1302">
        <f>IF(G2597&gt;0,C2596+1,C2596)</f>
        <v>4</v>
      </c>
      <c r="D2597" s="1198" t="str">
        <f>VLOOKUP($B2597,dongia1,DG!$B$5,)</f>
        <v>T2.5004</v>
      </c>
      <c r="E2597" s="1243" t="str">
        <f>VLOOKUP($B2597,dongia1,DG!$C$5,)</f>
        <v>LA 18kV 10kA</v>
      </c>
      <c r="F2597" s="1198" t="str">
        <f>VLOOKUP($B2597,dongia1,DG!$D$5,)</f>
        <v>cái</v>
      </c>
      <c r="G2597" s="1304">
        <f>G2595</f>
        <v>3</v>
      </c>
      <c r="H2597" s="1298">
        <f>VLOOKUP($B2597,dongia1,DG!$E$5,)</f>
        <v>1106000</v>
      </c>
      <c r="I2597" s="1298">
        <f>VLOOKUP($B2597,dongia1,DG!$F$5,)*0</f>
        <v>0</v>
      </c>
      <c r="J2597" s="1298">
        <f>VLOOKUP($B2597,dongia1,DG!$G$5,)</f>
        <v>83490</v>
      </c>
      <c r="K2597" s="1298">
        <f>VLOOKUP($B2597,dongia1,DG!$H$5,)</f>
        <v>0</v>
      </c>
      <c r="L2597" s="1298">
        <f t="shared" si="639"/>
        <v>3318000</v>
      </c>
      <c r="M2597" s="1298">
        <f t="shared" si="640"/>
        <v>0</v>
      </c>
      <c r="N2597" s="1298">
        <f t="shared" si="641"/>
        <v>250470</v>
      </c>
      <c r="O2597" s="1298">
        <f t="shared" si="642"/>
        <v>0</v>
      </c>
      <c r="P2597" s="1437"/>
      <c r="Q2597" s="1300"/>
      <c r="R2597" s="1300"/>
      <c r="S2597" s="1300"/>
    </row>
    <row r="2598" spans="1:19" s="1081" customFormat="1" outlineLevel="1">
      <c r="A2598" s="1072">
        <f t="shared" si="638"/>
        <v>1</v>
      </c>
      <c r="B2598" s="1397" t="s">
        <v>5802</v>
      </c>
      <c r="C2598" s="1302">
        <f>IF(G2598&gt;0,C2597+1,C2597)</f>
        <v>5</v>
      </c>
      <c r="D2598" s="1198">
        <f>VLOOKUP($B2598,dongia1,DG!$B$5,)</f>
        <v>0</v>
      </c>
      <c r="E2598" s="1243" t="str">
        <f>VLOOKUP($B2598,dongia1,DG!$C$5,)</f>
        <v xml:space="preserve">ACB 3P - 2000A - 65KA </v>
      </c>
      <c r="F2598" s="1198" t="str">
        <f>VLOOKUP($B2598,dongia1,DG!$D$5,)</f>
        <v>cái</v>
      </c>
      <c r="G2598" s="1304">
        <f>G2594</f>
        <v>1</v>
      </c>
      <c r="H2598" s="1298">
        <f>VLOOKUP($B2598,dongia1,DG!$E$5,)</f>
        <v>64500000</v>
      </c>
      <c r="I2598" s="1298">
        <f>VLOOKUP($B2598,dongia1,DG!$F$5,)*0</f>
        <v>0</v>
      </c>
      <c r="J2598" s="1298">
        <f>VLOOKUP($B2598,dongia1,DG!$G$5,)</f>
        <v>0</v>
      </c>
      <c r="K2598" s="1298">
        <f>VLOOKUP($B2598,dongia1,DG!$H$5,)</f>
        <v>0</v>
      </c>
      <c r="L2598" s="1298">
        <f t="shared" si="639"/>
        <v>64500000</v>
      </c>
      <c r="M2598" s="1298">
        <f t="shared" si="640"/>
        <v>0</v>
      </c>
      <c r="N2598" s="1298">
        <f t="shared" si="641"/>
        <v>0</v>
      </c>
      <c r="O2598" s="1298">
        <f t="shared" si="642"/>
        <v>0</v>
      </c>
      <c r="P2598" s="1437"/>
      <c r="Q2598" s="1300"/>
      <c r="R2598" s="1300"/>
      <c r="S2598" s="1300"/>
    </row>
    <row r="2599" spans="1:19" s="1081" customFormat="1" hidden="1" outlineLevel="1">
      <c r="A2599" s="1072" t="str">
        <f>IF(G2599&lt;&gt;0,1,"")</f>
        <v/>
      </c>
      <c r="B2599" s="1397" t="s">
        <v>660</v>
      </c>
      <c r="C2599" s="1302">
        <f>IF(G2599&gt;0,C2597+1,C2597)</f>
        <v>4</v>
      </c>
      <c r="D2599" s="1198">
        <f>VLOOKUP($B2599,dongia1,DG!$B$5,)</f>
        <v>0</v>
      </c>
      <c r="E2599" s="1243" t="str">
        <f>VLOOKUP($B2599,dongia1,DG!$C$5,)</f>
        <v xml:space="preserve">MCCB 3 cực 400V -250A - 35KA </v>
      </c>
      <c r="F2599" s="1198" t="str">
        <f>VLOOKUP($B2599,dongia1,DG!$D$5,)</f>
        <v>cái</v>
      </c>
      <c r="G2599" s="1304"/>
      <c r="H2599" s="1298">
        <f>VLOOKUP($B2599,dongia1,DG!$E$5,)</f>
        <v>4990000</v>
      </c>
      <c r="I2599" s="1298">
        <f>VLOOKUP($B2599,dongia1,DG!$F$5,)*0</f>
        <v>0</v>
      </c>
      <c r="J2599" s="1298">
        <f>VLOOKUP($B2599,dongia1,DG!$G$5,)</f>
        <v>0</v>
      </c>
      <c r="K2599" s="1298">
        <f>VLOOKUP($B2599,dongia1,DG!$H$5,)</f>
        <v>0</v>
      </c>
      <c r="L2599" s="1298">
        <f>H2599*G2599</f>
        <v>0</v>
      </c>
      <c r="M2599" s="1298">
        <f>I2599*G2599</f>
        <v>0</v>
      </c>
      <c r="N2599" s="1298">
        <f>J2599*G2599</f>
        <v>0</v>
      </c>
      <c r="O2599" s="1298">
        <f>K2599*G2599</f>
        <v>0</v>
      </c>
      <c r="P2599" s="1437"/>
      <c r="Q2599" s="1300"/>
      <c r="R2599" s="1300"/>
      <c r="S2599" s="1300"/>
    </row>
    <row r="2600" spans="1:19" s="1081" customFormat="1" hidden="1" outlineLevel="1">
      <c r="A2600" s="1072" t="str">
        <f>IF(G2600&lt;&gt;0,1,"")</f>
        <v/>
      </c>
      <c r="B2600" s="1397" t="s">
        <v>660</v>
      </c>
      <c r="C2600" s="1302">
        <f t="shared" ref="C2600:C2606" si="643">IF(G2600&gt;0,C2598+1,C2598)</f>
        <v>5</v>
      </c>
      <c r="D2600" s="1198">
        <f>VLOOKUP($B2600,dongia1,DG!$B$5,)</f>
        <v>0</v>
      </c>
      <c r="E2600" s="1243" t="str">
        <f>VLOOKUP($B2600,dongia1,DG!$C$5,)</f>
        <v xml:space="preserve">MCCB 3 cực 400V -250A - 35KA </v>
      </c>
      <c r="F2600" s="1198" t="str">
        <f>VLOOKUP($B2600,dongia1,DG!$D$5,)</f>
        <v>cái</v>
      </c>
      <c r="G2600" s="1304">
        <f>+G2594*1*0</f>
        <v>0</v>
      </c>
      <c r="H2600" s="1298">
        <f>VLOOKUP($B2600,dongia1,DG!$E$5,)</f>
        <v>4990000</v>
      </c>
      <c r="I2600" s="1298">
        <f>VLOOKUP($B2600,dongia1,DG!$F$5,)*0</f>
        <v>0</v>
      </c>
      <c r="J2600" s="1298">
        <f>VLOOKUP($B2600,dongia1,DG!$G$5,)</f>
        <v>0</v>
      </c>
      <c r="K2600" s="1298">
        <f>VLOOKUP($B2600,dongia1,DG!$H$5,)</f>
        <v>0</v>
      </c>
      <c r="L2600" s="1298">
        <f>H2600*G2600</f>
        <v>0</v>
      </c>
      <c r="M2600" s="1298">
        <f>I2600*G2600</f>
        <v>0</v>
      </c>
      <c r="N2600" s="1298">
        <f>J2600*G2600</f>
        <v>0</v>
      </c>
      <c r="O2600" s="1298">
        <f>K2600*G2600</f>
        <v>0</v>
      </c>
      <c r="P2600" s="1437"/>
      <c r="Q2600" s="1300"/>
      <c r="R2600" s="1300"/>
      <c r="S2600" s="1300"/>
    </row>
    <row r="2601" spans="1:19" s="1081" customFormat="1" hidden="1" outlineLevel="1">
      <c r="A2601" s="1072" t="str">
        <f t="shared" si="638"/>
        <v/>
      </c>
      <c r="B2601" s="1397" t="s">
        <v>1522</v>
      </c>
      <c r="C2601" s="1302">
        <f t="shared" si="643"/>
        <v>4</v>
      </c>
      <c r="D2601" s="1198">
        <f>VLOOKUP($B2601,dongia1,DG!$B$5,)</f>
        <v>0</v>
      </c>
      <c r="E2601" s="1243" t="str">
        <f>VLOOKUP($B2601,dongia1,DG!$C$5,)</f>
        <v>MCCB 3 cực 400V-100A - 30KA</v>
      </c>
      <c r="F2601" s="1198" t="str">
        <f>VLOOKUP($B2601,dongia1,DG!$D$5,)</f>
        <v>cái</v>
      </c>
      <c r="G2601" s="1304"/>
      <c r="H2601" s="1298">
        <f>VLOOKUP($B2601,dongia1,DG!$E$5,)</f>
        <v>1750000</v>
      </c>
      <c r="I2601" s="1298">
        <f>VLOOKUP($B2601,dongia1,DG!$F$5,)*0</f>
        <v>0</v>
      </c>
      <c r="J2601" s="1298">
        <f>VLOOKUP($B2601,dongia1,DG!$G$5,)</f>
        <v>0</v>
      </c>
      <c r="K2601" s="1298">
        <f>VLOOKUP($B2601,dongia1,DG!$H$5,)</f>
        <v>0</v>
      </c>
      <c r="L2601" s="1298">
        <f t="shared" si="639"/>
        <v>0</v>
      </c>
      <c r="M2601" s="1298">
        <f t="shared" si="640"/>
        <v>0</v>
      </c>
      <c r="N2601" s="1298">
        <f t="shared" si="641"/>
        <v>0</v>
      </c>
      <c r="O2601" s="1298">
        <f t="shared" si="642"/>
        <v>0</v>
      </c>
      <c r="P2601" s="1437"/>
      <c r="Q2601" s="1300"/>
      <c r="R2601" s="1300"/>
      <c r="S2601" s="1300"/>
    </row>
    <row r="2602" spans="1:19" s="1081" customFormat="1" hidden="1" outlineLevel="1">
      <c r="A2602" s="1072" t="str">
        <f t="shared" si="638"/>
        <v/>
      </c>
      <c r="B2602" s="1397" t="s">
        <v>711</v>
      </c>
      <c r="C2602" s="1302">
        <f t="shared" si="643"/>
        <v>5</v>
      </c>
      <c r="D2602" s="1198">
        <f>VLOOKUP($B2602,dongia1,DG!$B$5,)</f>
        <v>0</v>
      </c>
      <c r="E2602" s="1243" t="str">
        <f>VLOOKUP($B2602,dongia1,DG!$C$5,)</f>
        <v>MCCB 3 cực 400V-75A - 30KA</v>
      </c>
      <c r="F2602" s="1198" t="str">
        <f>VLOOKUP($B2602,dongia1,DG!$D$5,)</f>
        <v>cái</v>
      </c>
      <c r="G2602" s="1304"/>
      <c r="H2602" s="1298">
        <f>VLOOKUP($B2602,dongia1,DG!$E$5,)</f>
        <v>2616000</v>
      </c>
      <c r="I2602" s="1298">
        <f>VLOOKUP($B2602,dongia1,DG!$F$5,)*0</f>
        <v>0</v>
      </c>
      <c r="J2602" s="1298">
        <f>VLOOKUP($B2602,dongia1,DG!$G$5,)</f>
        <v>0</v>
      </c>
      <c r="K2602" s="1298">
        <f>VLOOKUP($B2602,dongia1,DG!$H$5,)</f>
        <v>0</v>
      </c>
      <c r="L2602" s="1298">
        <f t="shared" si="639"/>
        <v>0</v>
      </c>
      <c r="M2602" s="1298">
        <f t="shared" si="640"/>
        <v>0</v>
      </c>
      <c r="N2602" s="1298">
        <f t="shared" si="641"/>
        <v>0</v>
      </c>
      <c r="O2602" s="1298">
        <f t="shared" si="642"/>
        <v>0</v>
      </c>
      <c r="P2602" s="1437"/>
      <c r="Q2602" s="1300"/>
      <c r="R2602" s="1300"/>
      <c r="S2602" s="1300"/>
    </row>
    <row r="2603" spans="1:19" s="1081" customFormat="1" outlineLevel="1">
      <c r="A2603" s="1072">
        <v>1</v>
      </c>
      <c r="B2603" s="1397" t="s">
        <v>1527</v>
      </c>
      <c r="C2603" s="1302">
        <f t="shared" si="643"/>
        <v>5</v>
      </c>
      <c r="D2603" s="1198" t="str">
        <f>VLOOKUP($B2603,dongia1,DG!$B$5,)</f>
        <v>05.1102</v>
      </c>
      <c r="E2603" s="1243" t="str">
        <f>VLOOKUP($B2603,dongia1,DG!$C$5,)</f>
        <v>Tủ tụ bù hạ thế 500kVAr</v>
      </c>
      <c r="F2603" s="1198" t="str">
        <f>VLOOKUP($B2603,dongia1,DG!$D$5,)</f>
        <v>tủ</v>
      </c>
      <c r="G2603" s="1304">
        <v>1</v>
      </c>
      <c r="H2603" s="1298">
        <f>VLOOKUP($B2603,dongia1,DG!$E$5,)</f>
        <v>61000000</v>
      </c>
      <c r="I2603" s="1298">
        <f>VLOOKUP($B2603,dongia1,DG!$F$5,)</f>
        <v>0</v>
      </c>
      <c r="J2603" s="1298">
        <f>VLOOKUP($B2603,dongia1,DG!$G$5,)</f>
        <v>98101</v>
      </c>
      <c r="K2603" s="1298">
        <f>VLOOKUP($B2603,dongia1,DG!$H$5,)</f>
        <v>59254</v>
      </c>
      <c r="L2603" s="1298">
        <f t="shared" si="639"/>
        <v>61000000</v>
      </c>
      <c r="M2603" s="1298">
        <f t="shared" si="640"/>
        <v>0</v>
      </c>
      <c r="N2603" s="1298">
        <f t="shared" si="641"/>
        <v>98101</v>
      </c>
      <c r="O2603" s="1298">
        <f t="shared" si="642"/>
        <v>59254</v>
      </c>
      <c r="P2603" s="1437"/>
      <c r="Q2603" s="1300"/>
      <c r="R2603" s="1300"/>
      <c r="S2603" s="1300"/>
    </row>
    <row r="2604" spans="1:19" s="1081" customFormat="1" outlineLevel="1">
      <c r="A2604" s="1072">
        <f t="shared" si="638"/>
        <v>1</v>
      </c>
      <c r="B2604" s="16" t="s">
        <v>125</v>
      </c>
      <c r="C2604" s="1302">
        <f t="shared" si="643"/>
        <v>6</v>
      </c>
      <c r="D2604" s="1198">
        <f>VLOOKUP($B2604,dongia1,DG!$B$5,)</f>
        <v>0</v>
      </c>
      <c r="E2604" s="1243" t="str">
        <f>VLOOKUP($B2604,dongia1,DG!$C$5,)</f>
        <v>Biến dòng 24kV  30/5A</v>
      </c>
      <c r="F2604" s="1198" t="str">
        <f>VLOOKUP($B2604,dongia1,DG!$D$5,)</f>
        <v>cái</v>
      </c>
      <c r="G2604" s="1304">
        <v>3</v>
      </c>
      <c r="H2604" s="1298">
        <f>VLOOKUP($B2604,dongia1,DG!$E$5,)*0</f>
        <v>0</v>
      </c>
      <c r="I2604" s="1298">
        <f>VLOOKUP($B2604,dongia1,DG!$F$5,)*0</f>
        <v>0</v>
      </c>
      <c r="J2604" s="1298">
        <f>VLOOKUP($B2604,dongia1,DG!$G$5,)</f>
        <v>0</v>
      </c>
      <c r="K2604" s="1298">
        <f>VLOOKUP($B2604,dongia1,DG!$H$5,)</f>
        <v>0</v>
      </c>
      <c r="L2604" s="1298">
        <f t="shared" si="639"/>
        <v>0</v>
      </c>
      <c r="M2604" s="1298">
        <f t="shared" si="640"/>
        <v>0</v>
      </c>
      <c r="N2604" s="1298">
        <f t="shared" si="641"/>
        <v>0</v>
      </c>
      <c r="O2604" s="1298">
        <f t="shared" si="642"/>
        <v>0</v>
      </c>
      <c r="P2604" s="1439" t="s">
        <v>3471</v>
      </c>
      <c r="Q2604" s="1300"/>
      <c r="R2604" s="1300"/>
      <c r="S2604" s="1300"/>
    </row>
    <row r="2605" spans="1:19" s="1081" customFormat="1" outlineLevel="1">
      <c r="A2605" s="1072">
        <f t="shared" si="638"/>
        <v>1</v>
      </c>
      <c r="B2605" s="16" t="s">
        <v>1915</v>
      </c>
      <c r="C2605" s="1302">
        <f t="shared" si="643"/>
        <v>6</v>
      </c>
      <c r="D2605" s="1198">
        <f>VLOOKUP($B2605,dongia1,DG!$B$5,)</f>
        <v>0</v>
      </c>
      <c r="E2605" s="1243" t="str">
        <f>VLOOKUP($B2605,dongia1,DG!$C$5,)</f>
        <v>Biến điện áp 22000/√3/100/√3 V</v>
      </c>
      <c r="F2605" s="1198" t="str">
        <f>VLOOKUP($B2605,dongia1,DG!$D$5,)</f>
        <v>cái</v>
      </c>
      <c r="G2605" s="1304">
        <v>3</v>
      </c>
      <c r="H2605" s="1298">
        <f>VLOOKUP($B2605,dongia1,DG!$E$5,)*0</f>
        <v>0</v>
      </c>
      <c r="I2605" s="1298">
        <f>VLOOKUP($B2605,dongia1,DG!$F$5,)*0</f>
        <v>0</v>
      </c>
      <c r="J2605" s="1298"/>
      <c r="K2605" s="1298"/>
      <c r="L2605" s="1298">
        <f t="shared" si="639"/>
        <v>0</v>
      </c>
      <c r="M2605" s="1298">
        <f t="shared" si="640"/>
        <v>0</v>
      </c>
      <c r="N2605" s="1298">
        <f t="shared" si="641"/>
        <v>0</v>
      </c>
      <c r="O2605" s="1298">
        <f t="shared" si="642"/>
        <v>0</v>
      </c>
      <c r="P2605" s="1439" t="s">
        <v>3471</v>
      </c>
      <c r="Q2605" s="1300"/>
      <c r="R2605" s="1300"/>
      <c r="S2605" s="1300"/>
    </row>
    <row r="2606" spans="1:19" s="1081" customFormat="1" outlineLevel="1">
      <c r="A2606" s="1072">
        <f t="shared" si="638"/>
        <v>1</v>
      </c>
      <c r="B2606" s="1068" t="s">
        <v>1873</v>
      </c>
      <c r="C2606" s="1302">
        <f t="shared" si="643"/>
        <v>7</v>
      </c>
      <c r="D2606" s="1198">
        <f>VLOOKUP($B2606,dongia1,DG!$B$5,)</f>
        <v>0</v>
      </c>
      <c r="E2606" s="1243" t="str">
        <f>VLOOKUP($B2606,dongia1,DG!$C$5,)</f>
        <v>Điện kế 3 pha điện tử 5A</v>
      </c>
      <c r="F2606" s="1198" t="str">
        <f>VLOOKUP($B2606,dongia1,DG!$D$5,)</f>
        <v>cái</v>
      </c>
      <c r="G2606" s="1304">
        <v>1</v>
      </c>
      <c r="H2606" s="1298">
        <f>VLOOKUP($B2606,dongia1,DG!$E$5,)*0</f>
        <v>0</v>
      </c>
      <c r="I2606" s="1298">
        <f>VLOOKUP($B2606,dongia1,DG!$F$5,)*0</f>
        <v>0</v>
      </c>
      <c r="J2606" s="1298">
        <f>VLOOKUP($B2606,dongia1,DG!$G$5,)*0</f>
        <v>0</v>
      </c>
      <c r="K2606" s="1298">
        <f>VLOOKUP($B2606,dongia1,DG!$H$5,)</f>
        <v>0</v>
      </c>
      <c r="L2606" s="1298">
        <f t="shared" si="639"/>
        <v>0</v>
      </c>
      <c r="M2606" s="1400">
        <f t="shared" si="640"/>
        <v>0</v>
      </c>
      <c r="N2606" s="1400">
        <f t="shared" si="641"/>
        <v>0</v>
      </c>
      <c r="O2606" s="1401">
        <f t="shared" si="642"/>
        <v>0</v>
      </c>
      <c r="P2606" s="1440" t="s">
        <v>3471</v>
      </c>
      <c r="Q2606" s="1300"/>
      <c r="R2606" s="1300"/>
      <c r="S2606" s="1300"/>
    </row>
    <row r="2607" spans="1:19" s="1081" customFormat="1" hidden="1" outlineLevel="1">
      <c r="A2607" s="1072"/>
      <c r="B2607" s="1295"/>
      <c r="C2607" s="1441"/>
      <c r="D2607" s="1442"/>
      <c r="E2607" s="1443"/>
      <c r="F2607" s="1444"/>
      <c r="G2607" s="1445"/>
      <c r="H2607" s="1444"/>
      <c r="I2607" s="1444"/>
      <c r="J2607" s="1183" t="s">
        <v>3387</v>
      </c>
      <c r="K2607" s="1444"/>
      <c r="L2607" s="1446">
        <f>SUM(L2594:L2606)</f>
        <v>752765840</v>
      </c>
      <c r="M2607" s="1446">
        <f>SUM(M2594:M2606)</f>
        <v>0</v>
      </c>
      <c r="N2607" s="1446">
        <f>SUM(N2594:N2606)</f>
        <v>2945392</v>
      </c>
      <c r="O2607" s="1446">
        <f>SUM(O2594:O2606)</f>
        <v>486015</v>
      </c>
      <c r="P2607" s="1447"/>
      <c r="Q2607" s="1300"/>
      <c r="R2607" s="1300"/>
      <c r="S2607" s="1300"/>
    </row>
    <row r="2608" spans="1:19" s="1081" customFormat="1" hidden="1" outlineLevel="1">
      <c r="A2608" s="1072"/>
      <c r="B2608" s="1295"/>
      <c r="C2608" s="1448"/>
      <c r="D2608" s="1449"/>
      <c r="E2608" s="1450" t="s">
        <v>3376</v>
      </c>
      <c r="F2608" s="1450"/>
      <c r="G2608" s="1451"/>
      <c r="H2608" s="1450"/>
      <c r="I2608" s="1450"/>
      <c r="J2608" s="1450"/>
      <c r="K2608" s="1450"/>
      <c r="L2608" s="1450"/>
      <c r="M2608" s="1450"/>
      <c r="N2608" s="1450"/>
      <c r="O2608" s="1449"/>
      <c r="P2608" s="1447"/>
      <c r="Q2608" s="1300"/>
      <c r="R2608" s="1300"/>
      <c r="S2608" s="1300"/>
    </row>
    <row r="2609" spans="1:19" s="1081" customFormat="1" hidden="1" outlineLevel="1">
      <c r="A2609" s="1072"/>
      <c r="B2609" s="1452"/>
      <c r="C2609" s="1453">
        <f>IF(G2609&gt;0,1,0)</f>
        <v>0</v>
      </c>
      <c r="D2609" s="1198"/>
      <c r="E2609" s="1454" t="s">
        <v>3377</v>
      </c>
      <c r="F2609" s="1455" t="s">
        <v>1133</v>
      </c>
      <c r="G2609" s="1456"/>
      <c r="H2609" s="1455"/>
      <c r="I2609" s="1455"/>
      <c r="J2609" s="1455"/>
      <c r="K2609" s="1455"/>
      <c r="L2609" s="1456"/>
      <c r="M2609" s="1456"/>
      <c r="N2609" s="1456"/>
      <c r="O2609" s="1457"/>
      <c r="P2609" s="1437"/>
      <c r="Q2609" s="1300"/>
      <c r="R2609" s="1300"/>
      <c r="S2609" s="1300"/>
    </row>
    <row r="2610" spans="1:19" s="1081" customFormat="1" hidden="1" outlineLevel="1">
      <c r="A2610" s="1072"/>
      <c r="B2610" s="1421" t="s">
        <v>2194</v>
      </c>
      <c r="C2610" s="1458"/>
      <c r="D2610" s="1198"/>
      <c r="E2610" s="1459" t="str">
        <f>VLOOKUP($B2610,dongia1,DG!$C$5,)</f>
        <v>Trụ BTLT 12m F540 dự ứng lực, K=2</v>
      </c>
      <c r="F2610" s="1198" t="str">
        <f>VLOOKUP($B2610,dongia1,DG!$D$5,)</f>
        <v>trụ</v>
      </c>
      <c r="G2610" s="1198">
        <f>G2609</f>
        <v>0</v>
      </c>
      <c r="H2610" s="1399">
        <f>VLOOKUP($B2610,dongia1,DG!$F$5,)</f>
        <v>5914000</v>
      </c>
      <c r="I2610" s="1291"/>
      <c r="J2610" s="1399"/>
      <c r="K2610" s="1291"/>
      <c r="L2610" s="1400">
        <f>H2610*G2610</f>
        <v>0</v>
      </c>
      <c r="M2610" s="1400">
        <f>I2610*G2610</f>
        <v>0</v>
      </c>
      <c r="N2610" s="1400">
        <f>J2610*G2610</f>
        <v>0</v>
      </c>
      <c r="O2610" s="1400">
        <f>K2610*G2610</f>
        <v>0</v>
      </c>
      <c r="P2610" s="1437"/>
      <c r="Q2610" s="1300"/>
      <c r="R2610" s="1300"/>
      <c r="S2610" s="1300"/>
    </row>
    <row r="2611" spans="1:19" s="1081" customFormat="1" hidden="1" outlineLevel="1">
      <c r="A2611" s="1072"/>
      <c r="B2611" s="1421" t="s">
        <v>1457</v>
      </c>
      <c r="C2611" s="1458"/>
      <c r="D2611" s="1198"/>
      <c r="E2611" s="1459" t="str">
        <f>VLOOKUP($B2611,dongia1,DG!$C$5,)</f>
        <v>Vật liệu dựng trụ</v>
      </c>
      <c r="F2611" s="1198" t="str">
        <f>VLOOKUP($B2611,dongia1,DG!$D$5,)</f>
        <v>trụ</v>
      </c>
      <c r="G2611" s="1198">
        <f>G2610</f>
        <v>0</v>
      </c>
      <c r="H2611" s="1399">
        <f>VLOOKUP($B2611,dongia1,DG!$F$5,)</f>
        <v>17400</v>
      </c>
      <c r="I2611" s="1399"/>
      <c r="J2611" s="1291"/>
      <c r="K2611" s="1291"/>
      <c r="L2611" s="1400">
        <f>H2611*G2611</f>
        <v>0</v>
      </c>
      <c r="M2611" s="1400">
        <f>I2611*G2611</f>
        <v>0</v>
      </c>
      <c r="N2611" s="1400">
        <f>J2611*G2611</f>
        <v>0</v>
      </c>
      <c r="O2611" s="1400">
        <f>K2611*G2611</f>
        <v>0</v>
      </c>
      <c r="P2611" s="1437"/>
      <c r="Q2611" s="1300"/>
      <c r="R2611" s="1300"/>
      <c r="S2611" s="1300"/>
    </row>
    <row r="2612" spans="1:19" s="1081" customFormat="1" hidden="1" outlineLevel="1">
      <c r="A2612" s="1072"/>
      <c r="B2612" s="1421" t="s">
        <v>1701</v>
      </c>
      <c r="C2612" s="1458"/>
      <c r="D2612" s="1198" t="str">
        <f>VLOOKUP($B2612,dongia1,DG!$B$5,)</f>
        <v>04.9203</v>
      </c>
      <c r="E2612" s="1459" t="str">
        <f>VLOOKUP($B2612,dongia1,DG!$C$5,)</f>
        <v>Dựng trụ BTLT 12m trong TBA bằng thủ công + cơ giới</v>
      </c>
      <c r="F2612" s="1198" t="str">
        <f>VLOOKUP($B2612,dongia1,DG!$D$5,)</f>
        <v>trụ</v>
      </c>
      <c r="G2612" s="1198">
        <f>G2610</f>
        <v>0</v>
      </c>
      <c r="H2612" s="1459"/>
      <c r="I2612" s="1399"/>
      <c r="J2612" s="1399">
        <f>VLOOKUP($B2612,dongia1,DG!$G$5,)</f>
        <v>112286</v>
      </c>
      <c r="K2612" s="1399">
        <f>VLOOKUP($B2612,dongia1,DG!$H$5,)</f>
        <v>105970</v>
      </c>
      <c r="L2612" s="1400">
        <f>H2612*G2612</f>
        <v>0</v>
      </c>
      <c r="M2612" s="1400">
        <f>I2612*G2612</f>
        <v>0</v>
      </c>
      <c r="N2612" s="1400">
        <f>J2612*G2612</f>
        <v>0</v>
      </c>
      <c r="O2612" s="1400">
        <f>K2612*G2612</f>
        <v>0</v>
      </c>
      <c r="P2612" s="1437"/>
      <c r="Q2612" s="1300"/>
      <c r="R2612" s="1300"/>
      <c r="S2612" s="1300"/>
    </row>
    <row r="2613" spans="1:19" s="1081" customFormat="1" hidden="1" outlineLevel="1">
      <c r="A2613" s="1072" t="str">
        <f t="shared" ref="A2613:A2629" si="644">IF(G2613&lt;&gt;0,1,"")</f>
        <v/>
      </c>
      <c r="B2613" s="1452"/>
      <c r="C2613" s="1453">
        <f>IF(G2613&gt;0,1,0)</f>
        <v>0</v>
      </c>
      <c r="D2613" s="1198"/>
      <c r="E2613" s="1454" t="s">
        <v>3389</v>
      </c>
      <c r="F2613" s="1455" t="s">
        <v>1133</v>
      </c>
      <c r="G2613" s="1456"/>
      <c r="H2613" s="1455"/>
      <c r="I2613" s="1455"/>
      <c r="J2613" s="1455"/>
      <c r="K2613" s="1455"/>
      <c r="L2613" s="1456"/>
      <c r="M2613" s="1456"/>
      <c r="N2613" s="1456"/>
      <c r="O2613" s="1457"/>
      <c r="P2613" s="1299"/>
      <c r="Q2613" s="1300"/>
      <c r="R2613" s="1300"/>
      <c r="S2613" s="1300"/>
    </row>
    <row r="2614" spans="1:19" s="1081" customFormat="1" hidden="1" outlineLevel="1">
      <c r="A2614" s="1072" t="str">
        <f t="shared" si="644"/>
        <v/>
      </c>
      <c r="B2614" s="1421" t="s">
        <v>1011</v>
      </c>
      <c r="C2614" s="1458"/>
      <c r="D2614" s="1198"/>
      <c r="E2614" s="1459" t="str">
        <f>VLOOKUP($B2614,dongia1,DG!$C$5,)</f>
        <v>Trụ BTLT 10,5m F350 dự ứng lực</v>
      </c>
      <c r="F2614" s="1198" t="str">
        <f>VLOOKUP($B2614,dongia1,DG!$D$5,)</f>
        <v>trụ</v>
      </c>
      <c r="G2614" s="1198">
        <f>G2613</f>
        <v>0</v>
      </c>
      <c r="H2614" s="1399">
        <f>VLOOKUP($B2614,dongia1,DG!$F$5,)</f>
        <v>4200000</v>
      </c>
      <c r="I2614" s="1291"/>
      <c r="J2614" s="1399"/>
      <c r="K2614" s="1291"/>
      <c r="L2614" s="1400">
        <f>H2614*G2614</f>
        <v>0</v>
      </c>
      <c r="M2614" s="1400">
        <f>I2614*G2614</f>
        <v>0</v>
      </c>
      <c r="N2614" s="1400">
        <f>J2614*G2614</f>
        <v>0</v>
      </c>
      <c r="O2614" s="1400">
        <f>K2614*G2614</f>
        <v>0</v>
      </c>
      <c r="P2614" s="1299"/>
      <c r="Q2614" s="1300"/>
      <c r="R2614" s="1300"/>
      <c r="S2614" s="1300"/>
    </row>
    <row r="2615" spans="1:19" s="1081" customFormat="1" hidden="1" outlineLevel="1">
      <c r="A2615" s="1072" t="str">
        <f t="shared" si="644"/>
        <v/>
      </c>
      <c r="B2615" s="1421" t="s">
        <v>1457</v>
      </c>
      <c r="C2615" s="1458"/>
      <c r="D2615" s="1198"/>
      <c r="E2615" s="1459" t="str">
        <f>VLOOKUP($B2615,dongia1,DG!$C$5,)</f>
        <v>Vật liệu dựng trụ</v>
      </c>
      <c r="F2615" s="1198" t="str">
        <f>VLOOKUP($B2615,dongia1,DG!$D$5,)</f>
        <v>trụ</v>
      </c>
      <c r="G2615" s="1198">
        <f>G2614</f>
        <v>0</v>
      </c>
      <c r="H2615" s="1399">
        <f>VLOOKUP($B2615,dongia1,DG!$F$5,)</f>
        <v>17400</v>
      </c>
      <c r="I2615" s="1399"/>
      <c r="J2615" s="1291"/>
      <c r="K2615" s="1291"/>
      <c r="L2615" s="1400">
        <f>H2615*G2615</f>
        <v>0</v>
      </c>
      <c r="M2615" s="1400">
        <f>I2615*G2615</f>
        <v>0</v>
      </c>
      <c r="N2615" s="1400">
        <f>J2615*G2615</f>
        <v>0</v>
      </c>
      <c r="O2615" s="1400">
        <f>K2615*G2615</f>
        <v>0</v>
      </c>
      <c r="P2615" s="1299"/>
      <c r="Q2615" s="1300"/>
      <c r="R2615" s="1300"/>
      <c r="S2615" s="1300"/>
    </row>
    <row r="2616" spans="1:19" s="1081" customFormat="1" hidden="1" outlineLevel="1">
      <c r="A2616" s="1072" t="str">
        <f t="shared" si="644"/>
        <v/>
      </c>
      <c r="B2616" s="1421" t="s">
        <v>1702</v>
      </c>
      <c r="C2616" s="1458"/>
      <c r="D2616" s="1198" t="str">
        <f>VLOOKUP($B2616,dongia1,DG!$B$5,)</f>
        <v>04.9203</v>
      </c>
      <c r="E2616" s="1459" t="str">
        <f>VLOOKUP($B2616,dongia1,DG!$C$5,)</f>
        <v>Dựng trụ BTLT 10,5m trong TBA bằng thủ công + cơ giới</v>
      </c>
      <c r="F2616" s="1198" t="str">
        <f>VLOOKUP($B2616,dongia1,DG!$D$5,)</f>
        <v>trụ</v>
      </c>
      <c r="G2616" s="1198">
        <f>G2614</f>
        <v>0</v>
      </c>
      <c r="H2616" s="1459"/>
      <c r="I2616" s="1399"/>
      <c r="J2616" s="1399">
        <f>VLOOKUP($B2616,dongia1,DG!$G$5,)</f>
        <v>112286</v>
      </c>
      <c r="K2616" s="1399">
        <f>VLOOKUP($B2616,dongia1,DG!$H$5,)</f>
        <v>105970</v>
      </c>
      <c r="L2616" s="1400">
        <f>H2616*G2616</f>
        <v>0</v>
      </c>
      <c r="M2616" s="1400">
        <f>I2616*G2616</f>
        <v>0</v>
      </c>
      <c r="N2616" s="1400">
        <f>J2616*G2616</f>
        <v>0</v>
      </c>
      <c r="O2616" s="1400">
        <f>K2616*G2616</f>
        <v>0</v>
      </c>
      <c r="P2616" s="1299"/>
      <c r="Q2616" s="1300"/>
      <c r="R2616" s="1300"/>
      <c r="S2616" s="1300"/>
    </row>
    <row r="2617" spans="1:19" s="1081" customFormat="1" hidden="1" outlineLevel="1">
      <c r="A2617" s="1072"/>
      <c r="B2617" s="1421"/>
      <c r="C2617" s="1291">
        <f>IF(G2617&gt;0,C2609+1,C2609)</f>
        <v>0</v>
      </c>
      <c r="D2617" s="1198"/>
      <c r="E2617" s="851" t="s">
        <v>3521</v>
      </c>
      <c r="F2617" s="852" t="s">
        <v>3391</v>
      </c>
      <c r="G2617" s="1460"/>
      <c r="H2617" s="1291"/>
      <c r="I2617" s="1291"/>
      <c r="J2617" s="1291"/>
      <c r="K2617" s="1291"/>
      <c r="L2617" s="1291"/>
      <c r="M2617" s="1291"/>
      <c r="N2617" s="1291"/>
      <c r="O2617" s="1461"/>
      <c r="P2617" s="1437"/>
      <c r="Q2617" s="1300"/>
      <c r="R2617" s="1300"/>
      <c r="S2617" s="1300"/>
    </row>
    <row r="2618" spans="1:19" s="1081" customFormat="1" hidden="1" outlineLevel="1">
      <c r="A2618" s="1072"/>
      <c r="B2618" s="696" t="s">
        <v>1728</v>
      </c>
      <c r="C2618" s="1458"/>
      <c r="D2618" s="1198">
        <f>VLOOKUP($B2618,dongia1,DG!$B$5,)</f>
        <v>0</v>
      </c>
      <c r="E2618" s="1459" t="str">
        <f>VLOOKUP($B2618,dongia1,DG!$C$5,)</f>
        <v>Ximăng</v>
      </c>
      <c r="F2618" s="1198" t="str">
        <f>VLOOKUP($B2618,dongia1,DG!$D$5,)</f>
        <v>kg</v>
      </c>
      <c r="G2618" s="1198">
        <f>G2617*504</f>
        <v>0</v>
      </c>
      <c r="H2618" s="1399">
        <f>VLOOKUP($B2618,dongia1,DG!$F$5,)</f>
        <v>1740</v>
      </c>
      <c r="I2618" s="1399"/>
      <c r="J2618" s="1399">
        <f>VLOOKUP($B2618,dongia1,DG!$G$5,)</f>
        <v>0</v>
      </c>
      <c r="K2618" s="1291"/>
      <c r="L2618" s="1400">
        <f>H2618*G2618</f>
        <v>0</v>
      </c>
      <c r="M2618" s="1400">
        <f>I2618*G2618</f>
        <v>0</v>
      </c>
      <c r="N2618" s="1400">
        <f>J2618*G2618</f>
        <v>0</v>
      </c>
      <c r="O2618" s="1400">
        <f>K2618*G2618</f>
        <v>0</v>
      </c>
      <c r="P2618" s="1437"/>
      <c r="Q2618" s="1300"/>
      <c r="R2618" s="1300"/>
      <c r="S2618" s="1300"/>
    </row>
    <row r="2619" spans="1:19" s="1081" customFormat="1" hidden="1" outlineLevel="1">
      <c r="A2619" s="1072"/>
      <c r="B2619" s="696" t="s">
        <v>1729</v>
      </c>
      <c r="C2619" s="1458"/>
      <c r="D2619" s="1198"/>
      <c r="E2619" s="1459" t="str">
        <f>VLOOKUP($B2619,dongia1,DG!$C$5,)</f>
        <v>Cát vàng</v>
      </c>
      <c r="F2619" s="1198" t="str">
        <f>VLOOKUP($B2619,dongia1,DG!$D$5,)</f>
        <v>m3</v>
      </c>
      <c r="G2619" s="1198">
        <f>G2617*0.809</f>
        <v>0</v>
      </c>
      <c r="H2619" s="1399">
        <f>VLOOKUP($B2619,dongia1,DG!$F$5,)</f>
        <v>512000</v>
      </c>
      <c r="I2619" s="1459"/>
      <c r="J2619" s="1399">
        <f>VLOOKUP($B2619,dongia1,DG!$G$5,)</f>
        <v>0</v>
      </c>
      <c r="K2619" s="1291"/>
      <c r="L2619" s="1400">
        <f>H2619*G2619</f>
        <v>0</v>
      </c>
      <c r="M2619" s="1400">
        <f t="shared" ref="M2619:M2624" si="645">I2619*G2619</f>
        <v>0</v>
      </c>
      <c r="N2619" s="1400">
        <f t="shared" ref="N2619:N2624" si="646">J2619*G2619</f>
        <v>0</v>
      </c>
      <c r="O2619" s="1400">
        <f t="shared" ref="O2619:O2624" si="647">K2619*G2619</f>
        <v>0</v>
      </c>
      <c r="P2619" s="1437"/>
      <c r="Q2619" s="1300"/>
      <c r="R2619" s="1300"/>
      <c r="S2619" s="1300"/>
    </row>
    <row r="2620" spans="1:19" s="1081" customFormat="1" hidden="1" outlineLevel="1">
      <c r="A2620" s="1072"/>
      <c r="B2620" s="696" t="s">
        <v>853</v>
      </c>
      <c r="C2620" s="1458"/>
      <c r="D2620" s="1198">
        <f>VLOOKUP($B2620,dongia1,DG!$B$5,)</f>
        <v>0</v>
      </c>
      <c r="E2620" s="1459" t="str">
        <f>VLOOKUP($B2620,dongia1,DG!$C$5,)</f>
        <v>Đá 1x2</v>
      </c>
      <c r="F2620" s="1198" t="str">
        <f>VLOOKUP($B2620,dongia1,DG!$D$5,)</f>
        <v>m3</v>
      </c>
      <c r="G2620" s="1955">
        <f>1.501*G2617</f>
        <v>0</v>
      </c>
      <c r="H2620" s="1399">
        <f>VLOOKUP($B2620,dongia1,DG!$F$5,)</f>
        <v>335000</v>
      </c>
      <c r="I2620" s="1399"/>
      <c r="J2620" s="1399">
        <f>VLOOKUP($B2620,dongia1,DG!$G$5,)</f>
        <v>0</v>
      </c>
      <c r="K2620" s="1291"/>
      <c r="L2620" s="1400">
        <f>H2620*G2620</f>
        <v>0</v>
      </c>
      <c r="M2620" s="1400">
        <f t="shared" si="645"/>
        <v>0</v>
      </c>
      <c r="N2620" s="1400">
        <f t="shared" si="646"/>
        <v>0</v>
      </c>
      <c r="O2620" s="1400">
        <f t="shared" si="647"/>
        <v>0</v>
      </c>
      <c r="P2620" s="1437"/>
      <c r="Q2620" s="1300"/>
      <c r="R2620" s="1300"/>
      <c r="S2620" s="1300"/>
    </row>
    <row r="2621" spans="1:19" s="1081" customFormat="1" hidden="1" outlineLevel="1">
      <c r="A2621" s="1072"/>
      <c r="B2621" s="696" t="s">
        <v>5759</v>
      </c>
      <c r="C2621" s="1458"/>
      <c r="D2621" s="1198">
        <f>VLOOKUP($B2621,dongia1,DG!$B$5,)</f>
        <v>0</v>
      </c>
      <c r="E2621" s="1459" t="str">
        <f>VLOOKUP($B2621,dongia1,DG!$C$5,)</f>
        <v>Boulon 16x650VRS+ 4 long đền vuông D18-50x50x3/Zn</v>
      </c>
      <c r="F2621" s="1198" t="str">
        <f>VLOOKUP($B2621,dongia1,DG!$D$5,)</f>
        <v>bộ</v>
      </c>
      <c r="G2621" s="1549">
        <f>G2617</f>
        <v>0</v>
      </c>
      <c r="H2621" s="1399">
        <f>VLOOKUP($B2621,dongia1,DG!$F$5,)</f>
        <v>52800</v>
      </c>
      <c r="I2621" s="1399"/>
      <c r="J2621" s="1399">
        <f>VLOOKUP($B2621,dongia1,DG!$G$5,)</f>
        <v>0</v>
      </c>
      <c r="K2621" s="1291"/>
      <c r="L2621" s="1400">
        <f>H2621*G2621</f>
        <v>0</v>
      </c>
      <c r="M2621" s="1400">
        <f t="shared" si="645"/>
        <v>0</v>
      </c>
      <c r="N2621" s="1400">
        <f t="shared" si="646"/>
        <v>0</v>
      </c>
      <c r="O2621" s="1400">
        <f t="shared" si="647"/>
        <v>0</v>
      </c>
      <c r="P2621" s="1437"/>
      <c r="Q2621" s="1300"/>
      <c r="R2621" s="1300"/>
      <c r="S2621" s="1300"/>
    </row>
    <row r="2622" spans="1:19" s="1081" customFormat="1" hidden="1" outlineLevel="1">
      <c r="A2622" s="1072"/>
      <c r="B2622" s="696" t="s">
        <v>5758</v>
      </c>
      <c r="C2622" s="1458"/>
      <c r="D2622" s="1198"/>
      <c r="E2622" s="1459" t="str">
        <f>VLOOKUP($B2622,dongia1,DG!$C$5,)</f>
        <v>Boulon 16x750VRS+ 4 long đền vuông D18-50x50x3/Zn</v>
      </c>
      <c r="F2622" s="1198" t="str">
        <f>VLOOKUP($B2622,dongia1,DG!$D$5,)</f>
        <v>bộ</v>
      </c>
      <c r="G2622" s="1549">
        <f>G2617</f>
        <v>0</v>
      </c>
      <c r="H2622" s="1399">
        <f>VLOOKUP($B2622,dongia1,DG!$F$5,)</f>
        <v>58800</v>
      </c>
      <c r="I2622" s="1399"/>
      <c r="J2622" s="1399">
        <f>VLOOKUP($B2622,dongia1,DG!$G$5,)</f>
        <v>0</v>
      </c>
      <c r="K2622" s="1291"/>
      <c r="L2622" s="1400"/>
      <c r="M2622" s="1400">
        <f t="shared" si="645"/>
        <v>0</v>
      </c>
      <c r="N2622" s="1400">
        <f t="shared" si="646"/>
        <v>0</v>
      </c>
      <c r="O2622" s="1400">
        <f t="shared" si="647"/>
        <v>0</v>
      </c>
      <c r="P2622" s="1437"/>
      <c r="Q2622" s="1300"/>
      <c r="R2622" s="1300"/>
      <c r="S2622" s="1300"/>
    </row>
    <row r="2623" spans="1:19" s="1081" customFormat="1" hidden="1" outlineLevel="1">
      <c r="A2623" s="1072"/>
      <c r="B2623" s="666" t="s">
        <v>4946</v>
      </c>
      <c r="C2623" s="1458"/>
      <c r="D2623" s="1198"/>
      <c r="E2623" s="1459" t="str">
        <f>VLOOKUP($B2623,dongia1,DG!$C$5,)</f>
        <v>Đào hố móng kiểm tra đất cấp III rộng &lt;=1m, sâu &gt;1m</v>
      </c>
      <c r="F2623" s="1198" t="str">
        <f>VLOOKUP($B2623,dongia1,DG!$D$5,)</f>
        <v>m3</v>
      </c>
      <c r="G2623" s="1198">
        <f>G2617*1.93</f>
        <v>0</v>
      </c>
      <c r="H2623" s="1399">
        <f>VLOOKUP($B2623,dongia1,DG!$F$5,)</f>
        <v>0</v>
      </c>
      <c r="I2623" s="1399"/>
      <c r="J2623" s="1399">
        <f>VLOOKUP($B2623,dongia1,DG!$G$5,)</f>
        <v>491832.89999999997</v>
      </c>
      <c r="K2623" s="1291"/>
      <c r="L2623" s="1400"/>
      <c r="M2623" s="1400">
        <f t="shared" si="645"/>
        <v>0</v>
      </c>
      <c r="N2623" s="1400">
        <f t="shared" si="646"/>
        <v>0</v>
      </c>
      <c r="O2623" s="1400">
        <f t="shared" si="647"/>
        <v>0</v>
      </c>
      <c r="P2623" s="1437"/>
      <c r="Q2623" s="1300"/>
      <c r="R2623" s="1300"/>
      <c r="S2623" s="1300"/>
    </row>
    <row r="2624" spans="1:19" s="1081" customFormat="1" hidden="1" outlineLevel="1">
      <c r="A2624" s="1072"/>
      <c r="B2624" s="696" t="s">
        <v>2065</v>
      </c>
      <c r="C2624" s="1458"/>
      <c r="D2624" s="1198"/>
      <c r="E2624" s="1459" t="str">
        <f>VLOOKUP($B2624,dongia1,DG!$C$5,)</f>
        <v>Đổ bê tông mác M150 đá 2x4 rộng &gt;250cm</v>
      </c>
      <c r="F2624" s="1198" t="str">
        <f>VLOOKUP($B2624,dongia1,DG!$D$5,)</f>
        <v>m3</v>
      </c>
      <c r="G2624" s="1198">
        <f>G2617*1.704</f>
        <v>0</v>
      </c>
      <c r="H2624" s="1399">
        <f>VLOOKUP($B2624,dongia1,DG!$F$5,)</f>
        <v>461871</v>
      </c>
      <c r="I2624" s="1399"/>
      <c r="J2624" s="1399">
        <f>VLOOKUP($B2624,dongia1,DG!$G$5,)</f>
        <v>414064.45</v>
      </c>
      <c r="K2624" s="1291"/>
      <c r="L2624" s="1400"/>
      <c r="M2624" s="1400">
        <f t="shared" si="645"/>
        <v>0</v>
      </c>
      <c r="N2624" s="1400">
        <f t="shared" si="646"/>
        <v>0</v>
      </c>
      <c r="O2624" s="1400">
        <f t="shared" si="647"/>
        <v>0</v>
      </c>
      <c r="P2624" s="1437"/>
      <c r="Q2624" s="1300"/>
      <c r="R2624" s="1300"/>
      <c r="S2624" s="1300"/>
    </row>
    <row r="2625" spans="1:19" s="1081" customFormat="1" hidden="1" outlineLevel="1">
      <c r="A2625" s="1072" t="str">
        <f t="shared" si="644"/>
        <v/>
      </c>
      <c r="B2625" s="1421"/>
      <c r="C2625" s="1291">
        <f>IF(G2625&gt;0,C2614+1,C2614)</f>
        <v>0</v>
      </c>
      <c r="D2625" s="1198"/>
      <c r="E2625" s="1454" t="s">
        <v>3392</v>
      </c>
      <c r="F2625" s="1455" t="s">
        <v>3391</v>
      </c>
      <c r="G2625" s="1460"/>
      <c r="H2625" s="1291"/>
      <c r="I2625" s="1291"/>
      <c r="J2625" s="1291"/>
      <c r="K2625" s="1291"/>
      <c r="L2625" s="1291"/>
      <c r="M2625" s="1291"/>
      <c r="N2625" s="1291"/>
      <c r="O2625" s="1461"/>
      <c r="P2625" s="1299"/>
      <c r="Q2625" s="1300"/>
      <c r="R2625" s="1300"/>
      <c r="S2625" s="1300"/>
    </row>
    <row r="2626" spans="1:19" s="1081" customFormat="1" hidden="1" outlineLevel="1">
      <c r="A2626" s="1072" t="str">
        <f t="shared" si="644"/>
        <v/>
      </c>
      <c r="B2626" s="1421" t="s">
        <v>580</v>
      </c>
      <c r="C2626" s="1458"/>
      <c r="D2626" s="1198" t="str">
        <f>VLOOKUP($B2626,dongia1,DG!$B$5,)</f>
        <v>AG.42111</v>
      </c>
      <c r="E2626" s="1459" t="str">
        <f>VLOOKUP($B2626,dongia1,DG!$C$5,)</f>
        <v>Đà cản BTCT 1,2m</v>
      </c>
      <c r="F2626" s="1198" t="str">
        <f>VLOOKUP($B2626,dongia1,DG!$D$5,)</f>
        <v>cái</v>
      </c>
      <c r="G2626" s="1198">
        <f>G2625</f>
        <v>0</v>
      </c>
      <c r="H2626" s="1399">
        <f>VLOOKUP($B2626,dongia1,DG!$F$5,)</f>
        <v>354545</v>
      </c>
      <c r="I2626" s="1399"/>
      <c r="J2626" s="1399">
        <f>VLOOKUP($B2626,dongia1,DG!$G$5,)</f>
        <v>37220.25</v>
      </c>
      <c r="K2626" s="1291"/>
      <c r="L2626" s="1400">
        <f>H2626*G2626</f>
        <v>0</v>
      </c>
      <c r="M2626" s="1400">
        <f t="shared" ref="M2626:M2636" si="648">I2626*G2626</f>
        <v>0</v>
      </c>
      <c r="N2626" s="1400">
        <f t="shared" ref="N2626:N2637" si="649">J2626*G2626</f>
        <v>0</v>
      </c>
      <c r="O2626" s="1400">
        <f t="shared" ref="O2626:O2636" si="650">K2626*G2626</f>
        <v>0</v>
      </c>
      <c r="P2626" s="1299"/>
      <c r="Q2626" s="1300"/>
      <c r="R2626" s="1300"/>
      <c r="S2626" s="1300"/>
    </row>
    <row r="2627" spans="1:19" s="1081" customFormat="1" hidden="1" outlineLevel="1">
      <c r="A2627" s="1072" t="str">
        <f t="shared" si="644"/>
        <v/>
      </c>
      <c r="B2627" s="1421" t="s">
        <v>952</v>
      </c>
      <c r="C2627" s="1458"/>
      <c r="D2627" s="1198"/>
      <c r="E2627" s="1459" t="str">
        <f>VLOOKUP($B2627,dongia1,DG!$C$5,)</f>
        <v>Boulon 22x650+ 2 long đền vuông D24-60x60x3/Zn</v>
      </c>
      <c r="F2627" s="1198" t="str">
        <f>VLOOKUP($B2627,dongia1,DG!$D$5,)</f>
        <v>bộ</v>
      </c>
      <c r="G2627" s="1198">
        <f>G2626</f>
        <v>0</v>
      </c>
      <c r="H2627" s="1399">
        <f>VLOOKUP($B2627,dongia1,DG!$F$5,)</f>
        <v>92200</v>
      </c>
      <c r="I2627" s="1459"/>
      <c r="J2627" s="1459"/>
      <c r="K2627" s="1291"/>
      <c r="L2627" s="1400">
        <f>H2627*G2627</f>
        <v>0</v>
      </c>
      <c r="M2627" s="1400">
        <f t="shared" si="648"/>
        <v>0</v>
      </c>
      <c r="N2627" s="1400">
        <f t="shared" si="649"/>
        <v>0</v>
      </c>
      <c r="O2627" s="1400">
        <f t="shared" si="650"/>
        <v>0</v>
      </c>
      <c r="P2627" s="1299"/>
      <c r="Q2627" s="1300"/>
      <c r="R2627" s="1300"/>
      <c r="S2627" s="1300"/>
    </row>
    <row r="2628" spans="1:19" s="1081" customFormat="1" hidden="1" outlineLevel="1">
      <c r="A2628" s="1072" t="str">
        <f t="shared" si="644"/>
        <v/>
      </c>
      <c r="B2628" s="1421" t="str">
        <f>IF(capdat=1,"MDD1",IF(capdat=2,"MDD2",IF(capdat=3,"MDD3",IF(capdat=4,"MDD4"))))</f>
        <v>MDD3</v>
      </c>
      <c r="C2628" s="1458"/>
      <c r="D2628" s="1198" t="str">
        <f>VLOOKUP($B2628,dongia1,DG!$B$5,)</f>
        <v>03.1013</v>
      </c>
      <c r="E2628" s="1459" t="str">
        <f>VLOOKUP($B2628,dongia1,DG!$C$5,)</f>
        <v>Đào hố móng đất cấp 3 sâu &gt;1m DT&lt;5m2</v>
      </c>
      <c r="F2628" s="1198" t="str">
        <f>VLOOKUP($B2628,dongia1,DG!$D$5,)</f>
        <v>m3</v>
      </c>
      <c r="G2628" s="1198">
        <f>1.48*G2626</f>
        <v>0</v>
      </c>
      <c r="H2628" s="1399">
        <f>VLOOKUP($B2628,dongia1,DG!$F$5,)</f>
        <v>0</v>
      </c>
      <c r="I2628" s="1399"/>
      <c r="J2628" s="1399">
        <f>VLOOKUP($B2628,dongia1,DG!$G$5,)</f>
        <v>296500.89999999997</v>
      </c>
      <c r="K2628" s="1291"/>
      <c r="L2628" s="1400">
        <f>H2628*G2628</f>
        <v>0</v>
      </c>
      <c r="M2628" s="1400">
        <f t="shared" si="648"/>
        <v>0</v>
      </c>
      <c r="N2628" s="1400">
        <f t="shared" si="649"/>
        <v>0</v>
      </c>
      <c r="O2628" s="1400">
        <f t="shared" si="650"/>
        <v>0</v>
      </c>
      <c r="P2628" s="1299"/>
      <c r="Q2628" s="1300"/>
      <c r="R2628" s="1300"/>
      <c r="S2628" s="1300"/>
    </row>
    <row r="2629" spans="1:19" s="1081" customFormat="1" hidden="1" outlineLevel="1">
      <c r="A2629" s="1072" t="str">
        <f t="shared" si="644"/>
        <v/>
      </c>
      <c r="B2629" s="1421" t="str">
        <f>IF(capdat=1,"MDAP1",IF(capdat=2,"MDAP2",IF(capdat=3,"MDAP3",IF(capdat=4,"MDAP4"))))</f>
        <v>MDAP3</v>
      </c>
      <c r="C2629" s="1458"/>
      <c r="D2629" s="1198" t="str">
        <f>VLOOKUP($B2629,dongia1,DG!$B$5,)</f>
        <v>AB.13111</v>
      </c>
      <c r="E2629" s="1459" t="str">
        <f>VLOOKUP($B2629,dongia1,DG!$C$5,)</f>
        <v>Đắp đất hố móng, đất cấp 3 (độ chặt k = 0.85)</v>
      </c>
      <c r="F2629" s="1198" t="str">
        <f>VLOOKUP($B2629,dongia1,DG!$D$5,)</f>
        <v>m3</v>
      </c>
      <c r="G2629" s="1198">
        <f>1.39*G2625</f>
        <v>0</v>
      </c>
      <c r="H2629" s="1399">
        <f>VLOOKUP($B2629,dongia1,DG!$F$5,)</f>
        <v>0</v>
      </c>
      <c r="I2629" s="1399"/>
      <c r="J2629" s="1399">
        <f>VLOOKUP($B2629,dongia1,DG!$G$5,)</f>
        <v>117703.6</v>
      </c>
      <c r="K2629" s="1291"/>
      <c r="L2629" s="1400">
        <f>H2629*G2629</f>
        <v>0</v>
      </c>
      <c r="M2629" s="1400">
        <f t="shared" si="648"/>
        <v>0</v>
      </c>
      <c r="N2629" s="1400">
        <f t="shared" si="649"/>
        <v>0</v>
      </c>
      <c r="O2629" s="1400">
        <f t="shared" si="650"/>
        <v>0</v>
      </c>
      <c r="P2629" s="1299"/>
      <c r="Q2629" s="1300"/>
      <c r="R2629" s="1300"/>
      <c r="S2629" s="1300"/>
    </row>
    <row r="2630" spans="1:19" s="1081" customFormat="1" outlineLevel="1">
      <c r="A2630" s="1072">
        <f>IF(G2630&lt;&gt;0,1,"")</f>
        <v>1</v>
      </c>
      <c r="B2630" s="1295"/>
      <c r="C2630" s="166">
        <f>IF(G2630&gt;0,C2625+1,C2625)</f>
        <v>1</v>
      </c>
      <c r="D2630" s="167"/>
      <c r="E2630" s="168" t="s">
        <v>4672</v>
      </c>
      <c r="F2630" s="169" t="s">
        <v>2113</v>
      </c>
      <c r="G2630" s="1734">
        <f>+G2594*1</f>
        <v>1</v>
      </c>
      <c r="H2630" s="170"/>
      <c r="I2630" s="172"/>
      <c r="J2630" s="172"/>
      <c r="K2630" s="64"/>
      <c r="L2630" s="64">
        <f t="shared" ref="L2630:L2657" si="651">H2630*G2630</f>
        <v>0</v>
      </c>
      <c r="M2630" s="64">
        <f t="shared" si="648"/>
        <v>0</v>
      </c>
      <c r="N2630" s="173">
        <f t="shared" si="649"/>
        <v>0</v>
      </c>
      <c r="O2630" s="173">
        <f t="shared" si="650"/>
        <v>0</v>
      </c>
      <c r="P2630" s="173"/>
      <c r="Q2630" s="1300"/>
      <c r="R2630" s="1300"/>
      <c r="S2630" s="1300"/>
    </row>
    <row r="2631" spans="1:19" s="1081" customFormat="1" ht="14.4" outlineLevel="1">
      <c r="A2631" s="1072">
        <f>A2630</f>
        <v>1</v>
      </c>
      <c r="B2631" s="1295"/>
      <c r="C2631" s="1291"/>
      <c r="D2631" s="1292"/>
      <c r="E2631" s="1301" t="s">
        <v>3399</v>
      </c>
      <c r="F2631" s="1302"/>
      <c r="G2631" s="1508"/>
      <c r="H2631" s="1467"/>
      <c r="I2631" s="1467"/>
      <c r="J2631" s="1467"/>
      <c r="K2631" s="1467"/>
      <c r="L2631" s="1400">
        <f t="shared" si="651"/>
        <v>0</v>
      </c>
      <c r="M2631" s="1400">
        <f t="shared" si="648"/>
        <v>0</v>
      </c>
      <c r="N2631" s="1400">
        <f t="shared" si="649"/>
        <v>0</v>
      </c>
      <c r="O2631" s="1400">
        <f t="shared" si="650"/>
        <v>0</v>
      </c>
      <c r="P2631" s="1299"/>
      <c r="Q2631" s="1300"/>
      <c r="R2631" s="1300"/>
      <c r="S2631" s="1300"/>
    </row>
    <row r="2632" spans="1:19" s="1081" customFormat="1" outlineLevel="1">
      <c r="A2632" s="1072">
        <f t="shared" ref="A2632:A2637" si="652">IF(G2632&lt;&gt;0,1,"")</f>
        <v>1</v>
      </c>
      <c r="B2632" s="1067" t="s">
        <v>2115</v>
      </c>
      <c r="C2632" s="1291"/>
      <c r="D2632" s="1198">
        <f>VLOOKUP($B2632,dongia1,DG!$B$5,)</f>
        <v>0</v>
      </c>
      <c r="E2632" s="1243" t="str">
        <f>VLOOKUP($B2632,dongia1,DG!$C$5,)</f>
        <v>Đà Composite 110x80x5x2400</v>
      </c>
      <c r="F2632" s="1198" t="str">
        <f>VLOOKUP($B2632,dongia1,DG!$D$5,)</f>
        <v>cây</v>
      </c>
      <c r="G2632" s="1508">
        <f>+G2630*1</f>
        <v>1</v>
      </c>
      <c r="H2632" s="1399">
        <f>VLOOKUP($B2632,dongia1,DG!$F$5,)</f>
        <v>960000</v>
      </c>
      <c r="I2632" s="1399"/>
      <c r="J2632" s="1399">
        <f>VLOOKUP($B2632,dongia1,DG!$G$5,)</f>
        <v>0</v>
      </c>
      <c r="K2632" s="1399">
        <f>VLOOKUP($B2632,dongia1,DG!$H$5,)</f>
        <v>0</v>
      </c>
      <c r="L2632" s="1400">
        <f t="shared" si="651"/>
        <v>960000</v>
      </c>
      <c r="M2632" s="1400">
        <f t="shared" si="648"/>
        <v>0</v>
      </c>
      <c r="N2632" s="1400">
        <f t="shared" si="649"/>
        <v>0</v>
      </c>
      <c r="O2632" s="1400">
        <f t="shared" si="650"/>
        <v>0</v>
      </c>
      <c r="P2632" s="1299"/>
      <c r="Q2632" s="1300"/>
      <c r="R2632" s="1300"/>
      <c r="S2632" s="1300"/>
    </row>
    <row r="2633" spans="1:19" s="1081" customFormat="1" outlineLevel="1">
      <c r="A2633" s="1072">
        <f t="shared" si="652"/>
        <v>1</v>
      </c>
      <c r="B2633" s="692" t="s">
        <v>2106</v>
      </c>
      <c r="C2633" s="1291"/>
      <c r="D2633" s="1198">
        <f>VLOOKUP($B2633,dongia1,DG!$B$5,)</f>
        <v>0</v>
      </c>
      <c r="E2633" s="1243" t="str">
        <f>VLOOKUP($B2633,dongia1,DG!$C$5,)</f>
        <v>Chống Composite 40x10x920</v>
      </c>
      <c r="F2633" s="1198" t="str">
        <f>VLOOKUP($B2633,dongia1,DG!$D$5,)</f>
        <v>Thanh</v>
      </c>
      <c r="G2633" s="1508">
        <f>G2632*2</f>
        <v>2</v>
      </c>
      <c r="H2633" s="1399">
        <f>VLOOKUP($B2633,dongia1,DG!$F$5,)</f>
        <v>140000</v>
      </c>
      <c r="I2633" s="1399"/>
      <c r="J2633" s="1399">
        <f>VLOOKUP($B2633,dongia1,DG!$G$5,)</f>
        <v>0</v>
      </c>
      <c r="K2633" s="1399">
        <f>VLOOKUP($B2633,dongia1,DG!$H$5,)</f>
        <v>0</v>
      </c>
      <c r="L2633" s="1400">
        <f>H2633*G2633</f>
        <v>280000</v>
      </c>
      <c r="M2633" s="1400">
        <f t="shared" si="648"/>
        <v>0</v>
      </c>
      <c r="N2633" s="1400">
        <f t="shared" si="649"/>
        <v>0</v>
      </c>
      <c r="O2633" s="1400">
        <f t="shared" si="650"/>
        <v>0</v>
      </c>
      <c r="P2633" s="1299"/>
      <c r="Q2633" s="1300"/>
      <c r="R2633" s="1300"/>
      <c r="S2633" s="1300"/>
    </row>
    <row r="2634" spans="1:19" s="1081" customFormat="1" outlineLevel="1">
      <c r="A2634" s="1072">
        <f t="shared" si="652"/>
        <v>1</v>
      </c>
      <c r="B2634" s="1073" t="s">
        <v>428</v>
      </c>
      <c r="C2634" s="1291"/>
      <c r="D2634" s="1198">
        <f>VLOOKUP($B2634,dongia1,DG!$B$5,)</f>
        <v>0</v>
      </c>
      <c r="E2634" s="1243" t="str">
        <f>VLOOKUP($B2634,dongia1,DG!$C$5,)</f>
        <v>Bass LL bắt FCO và LA</v>
      </c>
      <c r="F2634" s="1198" t="str">
        <f>VLOOKUP($B2634,dongia1,DG!$D$5,)</f>
        <v>bộ</v>
      </c>
      <c r="G2634" s="1508">
        <f>+G2630*3</f>
        <v>3</v>
      </c>
      <c r="H2634" s="1399">
        <f>VLOOKUP($B2634,dongia1,DG!$F$5,)</f>
        <v>65000</v>
      </c>
      <c r="I2634" s="1399">
        <v>0</v>
      </c>
      <c r="J2634" s="1399">
        <f>VLOOKUP($B2634,dongia1,DG!$G$5,)</f>
        <v>0</v>
      </c>
      <c r="K2634" s="1399">
        <f>VLOOKUP($B2634,dongia1,DG!$H$5,)</f>
        <v>0</v>
      </c>
      <c r="L2634" s="1400">
        <f t="shared" si="651"/>
        <v>195000</v>
      </c>
      <c r="M2634" s="1400">
        <f t="shared" si="648"/>
        <v>0</v>
      </c>
      <c r="N2634" s="1400">
        <f t="shared" si="649"/>
        <v>0</v>
      </c>
      <c r="O2634" s="1400">
        <f t="shared" si="650"/>
        <v>0</v>
      </c>
      <c r="P2634" s="1299"/>
      <c r="Q2634" s="1300"/>
      <c r="R2634" s="1300"/>
      <c r="S2634" s="1300"/>
    </row>
    <row r="2635" spans="1:19" s="1081" customFormat="1" outlineLevel="1">
      <c r="A2635" s="1072">
        <f t="shared" si="652"/>
        <v>1</v>
      </c>
      <c r="B2635" s="1295" t="s">
        <v>733</v>
      </c>
      <c r="C2635" s="1291"/>
      <c r="D2635" s="1198">
        <f>VLOOKUP($B2635,dongia1,DG!$B$5,)</f>
        <v>0</v>
      </c>
      <c r="E2635" s="1243" t="str">
        <f>VLOOKUP($B2635,dongia1,DG!$C$5,)</f>
        <v>Boulon 16x350+ 2 long đền vuông D18-50x50x3/Zn</v>
      </c>
      <c r="F2635" s="1198" t="str">
        <f>VLOOKUP($B2635,dongia1,DG!$D$5,)</f>
        <v>bộ</v>
      </c>
      <c r="G2635" s="1508">
        <f>+G2630*2</f>
        <v>2</v>
      </c>
      <c r="H2635" s="1399">
        <f>VLOOKUP($B2635,dongia1,DG!$F$5,)</f>
        <v>27900</v>
      </c>
      <c r="I2635" s="1467"/>
      <c r="J2635" s="1399">
        <f>VLOOKUP($B2635,dongia1,DG!$G$5,)</f>
        <v>0</v>
      </c>
      <c r="K2635" s="1399">
        <f>VLOOKUP($B2635,dongia1,DG!$H$5,)</f>
        <v>0</v>
      </c>
      <c r="L2635" s="1400">
        <f t="shared" si="651"/>
        <v>55800</v>
      </c>
      <c r="M2635" s="1400">
        <f t="shared" si="648"/>
        <v>0</v>
      </c>
      <c r="N2635" s="1400">
        <f t="shared" si="649"/>
        <v>0</v>
      </c>
      <c r="O2635" s="1400">
        <f t="shared" si="650"/>
        <v>0</v>
      </c>
      <c r="P2635" s="1299"/>
      <c r="Q2635" s="1300"/>
      <c r="R2635" s="1300"/>
      <c r="S2635" s="1300"/>
    </row>
    <row r="2636" spans="1:19" s="1081" customFormat="1" outlineLevel="1">
      <c r="A2636" s="1072">
        <f t="shared" si="652"/>
        <v>1</v>
      </c>
      <c r="B2636" s="1295" t="s">
        <v>746</v>
      </c>
      <c r="C2636" s="1291"/>
      <c r="D2636" s="1198">
        <f>VLOOKUP($B2636,dongia1,DG!$B$5,)</f>
        <v>0</v>
      </c>
      <c r="E2636" s="1243" t="str">
        <f>VLOOKUP($B2636,dongia1,DG!$C$5,)</f>
        <v>Boulon 16x150+ 2 long đền vuông D18-50x50x3/Zn</v>
      </c>
      <c r="F2636" s="1198" t="str">
        <f>VLOOKUP($B2636,dongia1,DG!$D$5,)</f>
        <v>bộ</v>
      </c>
      <c r="G2636" s="1508">
        <f>+G2630*2</f>
        <v>2</v>
      </c>
      <c r="H2636" s="1399">
        <f>VLOOKUP($B2636,dongia1,DG!$F$5,)</f>
        <v>18900</v>
      </c>
      <c r="I2636" s="1467"/>
      <c r="J2636" s="1399">
        <f>VLOOKUP($B2636,dongia1,DG!$G$5,)</f>
        <v>0</v>
      </c>
      <c r="K2636" s="1399">
        <f>VLOOKUP($B2636,dongia1,DG!$H$5,)</f>
        <v>0</v>
      </c>
      <c r="L2636" s="1400">
        <f>H2636*G2636</f>
        <v>37800</v>
      </c>
      <c r="M2636" s="1400">
        <f t="shared" si="648"/>
        <v>0</v>
      </c>
      <c r="N2636" s="1400">
        <f t="shared" si="649"/>
        <v>0</v>
      </c>
      <c r="O2636" s="1400">
        <f t="shared" si="650"/>
        <v>0</v>
      </c>
      <c r="P2636" s="1299"/>
      <c r="Q2636" s="1300"/>
      <c r="R2636" s="1300"/>
      <c r="S2636" s="1300"/>
    </row>
    <row r="2637" spans="1:19" s="1081" customFormat="1" outlineLevel="1">
      <c r="A2637" s="1072">
        <f t="shared" si="652"/>
        <v>1</v>
      </c>
      <c r="B2637" s="1068" t="s">
        <v>728</v>
      </c>
      <c r="C2637" s="1291"/>
      <c r="D2637" s="1198" t="str">
        <f>VLOOKUP($B2637,dongia1,DG!$B$5,)</f>
        <v>D2.6054</v>
      </c>
      <c r="E2637" s="1243" t="str">
        <f>VLOOKUP($B2637,dongia1,DG!$C$5,)</f>
        <v>Lắp xà cột Pi loại ≤140kg/xà</v>
      </c>
      <c r="F2637" s="1198" t="str">
        <f>VLOOKUP($B2637,dongia1,DG!$D$5,)</f>
        <v>bộ</v>
      </c>
      <c r="G2637" s="1508">
        <f>+G2630</f>
        <v>1</v>
      </c>
      <c r="H2637" s="1298">
        <f>VLOOKUP($B2637,dongia1,DG!$F$5,)</f>
        <v>0</v>
      </c>
      <c r="I2637" s="1399"/>
      <c r="J2637" s="1399">
        <f>VLOOKUP($B2637,dongia1,DG!$G$5,)</f>
        <v>474961</v>
      </c>
      <c r="K2637" s="1399">
        <f>VLOOKUP($B2637,dongia1,DG!$H$5,)</f>
        <v>0</v>
      </c>
      <c r="L2637" s="1400">
        <f t="shared" si="651"/>
        <v>0</v>
      </c>
      <c r="M2637" s="1400"/>
      <c r="N2637" s="1298">
        <f t="shared" si="649"/>
        <v>474961</v>
      </c>
      <c r="O2637" s="1400"/>
      <c r="P2637" s="1299"/>
      <c r="Q2637" s="1300"/>
      <c r="R2637" s="1300"/>
      <c r="S2637" s="1300"/>
    </row>
    <row r="2638" spans="1:19" s="1081" customFormat="1" outlineLevel="1" collapsed="1">
      <c r="A2638" s="1072">
        <f>IF(G2638&lt;&gt;0,1,"")</f>
        <v>1</v>
      </c>
      <c r="B2638" s="1295"/>
      <c r="C2638" s="166">
        <f>IF(G2638&gt;0,C2630+1,C2630)</f>
        <v>2</v>
      </c>
      <c r="D2638" s="167"/>
      <c r="E2638" s="168" t="s">
        <v>5761</v>
      </c>
      <c r="F2638" s="169" t="s">
        <v>2113</v>
      </c>
      <c r="G2638" s="1734">
        <v>2</v>
      </c>
      <c r="H2638" s="170"/>
      <c r="I2638" s="172"/>
      <c r="J2638" s="172"/>
      <c r="K2638" s="64"/>
      <c r="L2638" s="64">
        <f t="shared" si="651"/>
        <v>0</v>
      </c>
      <c r="M2638" s="64">
        <f>I2638*G2638</f>
        <v>0</v>
      </c>
      <c r="N2638" s="173">
        <f>J2638*G2638</f>
        <v>0</v>
      </c>
      <c r="O2638" s="173">
        <f>K2638*G2638</f>
        <v>0</v>
      </c>
      <c r="P2638" s="173"/>
      <c r="Q2638" s="1300"/>
      <c r="R2638" s="1300"/>
      <c r="S2638" s="1300"/>
    </row>
    <row r="2639" spans="1:19" s="1081" customFormat="1" ht="14.4" outlineLevel="1">
      <c r="A2639" s="1072">
        <f>A2638</f>
        <v>1</v>
      </c>
      <c r="B2639" s="1295"/>
      <c r="C2639" s="1291"/>
      <c r="D2639" s="1292"/>
      <c r="E2639" s="1301" t="s">
        <v>3399</v>
      </c>
      <c r="F2639" s="1302"/>
      <c r="G2639" s="1508"/>
      <c r="H2639" s="1298"/>
      <c r="I2639" s="1298"/>
      <c r="J2639" s="1298"/>
      <c r="K2639" s="1298"/>
      <c r="L2639" s="1298">
        <f t="shared" si="651"/>
        <v>0</v>
      </c>
      <c r="M2639" s="1298">
        <f>I2639*G2639</f>
        <v>0</v>
      </c>
      <c r="N2639" s="1298">
        <f>J2639*G2639</f>
        <v>0</v>
      </c>
      <c r="O2639" s="1298">
        <f>K2639*G2639</f>
        <v>0</v>
      </c>
      <c r="P2639" s="1437"/>
      <c r="Q2639" s="1300"/>
      <c r="R2639" s="1300"/>
      <c r="S2639" s="1300"/>
    </row>
    <row r="2640" spans="1:19" s="1081" customFormat="1" outlineLevel="1">
      <c r="A2640" s="1072">
        <f t="shared" ref="A2640:A2646" si="653">IF(G2640&lt;&gt;0,1,"")</f>
        <v>1</v>
      </c>
      <c r="B2640" s="1295" t="s">
        <v>1626</v>
      </c>
      <c r="C2640" s="1291"/>
      <c r="D2640" s="1198">
        <f>VLOOKUP($B2640,dongia1,DG!$B$5,)</f>
        <v>0</v>
      </c>
      <c r="E2640" s="1243" t="str">
        <f>VLOOKUP($B2640,dongia1,DG!$C$5,)</f>
        <v>Sắt góc L75 x75 x8</v>
      </c>
      <c r="F2640" s="1198" t="s">
        <v>1557</v>
      </c>
      <c r="G2640" s="1508">
        <f>G2638*9.02*(2.4+4*0.07)*2</f>
        <v>96.694399999999987</v>
      </c>
      <c r="H2640" s="1298">
        <f>VLOOKUP($B2640,dongia1,DG!$F$5,)</f>
        <v>31625</v>
      </c>
      <c r="I2640" s="1298"/>
      <c r="J2640" s="1399">
        <f>VLOOKUP($B2640,dongia1,DG!$G$5,)</f>
        <v>0</v>
      </c>
      <c r="K2640" s="1399">
        <f>VLOOKUP($B2640,dongia1,DG!$H$5,)</f>
        <v>0</v>
      </c>
      <c r="L2640" s="1298">
        <f t="shared" si="651"/>
        <v>3057960.3999999994</v>
      </c>
      <c r="M2640" s="1298"/>
      <c r="N2640" s="1298"/>
      <c r="O2640" s="1298"/>
      <c r="P2640" s="1437"/>
      <c r="Q2640" s="1300"/>
      <c r="R2640" s="1300"/>
      <c r="S2640" s="1300"/>
    </row>
    <row r="2641" spans="1:19" s="1081" customFormat="1" outlineLevel="1">
      <c r="A2641" s="1072">
        <f t="shared" si="653"/>
        <v>1</v>
      </c>
      <c r="B2641" s="1295" t="s">
        <v>518</v>
      </c>
      <c r="C2641" s="1291"/>
      <c r="D2641" s="1198">
        <f>VLOOKUP($B2641,dongia1,DG!$B$5,)</f>
        <v>0</v>
      </c>
      <c r="E2641" s="1243" t="str">
        <f>VLOOKUP($B2641,dongia1,DG!$C$5,)&amp;" (thanh chống 810)"</f>
        <v>Sắt góc L50 x50 x5 (thanh chống 810)</v>
      </c>
      <c r="F2641" s="1198" t="s">
        <v>1557</v>
      </c>
      <c r="G2641" s="1508">
        <f>G2638*3.77*0.81*4</f>
        <v>24.429600000000001</v>
      </c>
      <c r="H2641" s="1298">
        <f>VLOOKUP($B2641,dongia1,DG!$F$5,)</f>
        <v>31625</v>
      </c>
      <c r="I2641" s="1298"/>
      <c r="J2641" s="1399">
        <f>VLOOKUP($B2641,dongia1,DG!$G$5,)</f>
        <v>0</v>
      </c>
      <c r="K2641" s="1399">
        <f>VLOOKUP($B2641,dongia1,DG!$H$5,)</f>
        <v>0</v>
      </c>
      <c r="L2641" s="1298">
        <f t="shared" si="651"/>
        <v>772586.1</v>
      </c>
      <c r="M2641" s="1298"/>
      <c r="N2641" s="1298"/>
      <c r="O2641" s="1298"/>
      <c r="P2641" s="1437"/>
      <c r="Q2641" s="1300"/>
      <c r="R2641" s="1300"/>
      <c r="S2641" s="1300"/>
    </row>
    <row r="2642" spans="1:19" s="1081" customFormat="1" outlineLevel="1">
      <c r="A2642" s="1072">
        <f t="shared" si="653"/>
        <v>1</v>
      </c>
      <c r="B2642" s="1295" t="s">
        <v>1262</v>
      </c>
      <c r="C2642" s="1291"/>
      <c r="D2642" s="1198">
        <f>VLOOKUP($B2642,dongia1,DG!$B$5,)</f>
        <v>0</v>
      </c>
      <c r="E2642" s="1243" t="str">
        <f>VLOOKUP($B2642,dongia1,DG!$C$5,)</f>
        <v>Boulon 16x300+ 2 long đền vuông D18-50x50x3/Zn</v>
      </c>
      <c r="F2642" s="1198" t="s">
        <v>2113</v>
      </c>
      <c r="G2642" s="1508">
        <f>G2638*2</f>
        <v>4</v>
      </c>
      <c r="H2642" s="1298">
        <f>VLOOKUP($B2642,dongia1,DG!$F$5,)</f>
        <v>25400</v>
      </c>
      <c r="I2642" s="1298">
        <v>0</v>
      </c>
      <c r="J2642" s="1399">
        <f>VLOOKUP($B2642,dongia1,DG!$G$5,)</f>
        <v>0</v>
      </c>
      <c r="K2642" s="1399">
        <f>VLOOKUP($B2642,dongia1,DG!$H$5,)</f>
        <v>0</v>
      </c>
      <c r="L2642" s="1298">
        <f t="shared" si="651"/>
        <v>101600</v>
      </c>
      <c r="M2642" s="1298"/>
      <c r="N2642" s="1298"/>
      <c r="O2642" s="1298"/>
      <c r="P2642" s="1437"/>
      <c r="Q2642" s="1300"/>
      <c r="R2642" s="1300"/>
      <c r="S2642" s="1300"/>
    </row>
    <row r="2643" spans="1:19" s="1081" customFormat="1" outlineLevel="1">
      <c r="A2643" s="1072">
        <f t="shared" si="653"/>
        <v>1</v>
      </c>
      <c r="B2643" s="1295" t="s">
        <v>1044</v>
      </c>
      <c r="C2643" s="1291"/>
      <c r="D2643" s="1198">
        <f>VLOOKUP($B2643,dongia1,DG!$B$5,)</f>
        <v>0</v>
      </c>
      <c r="E2643" s="1243" t="str">
        <f>VLOOKUP($B2643,dongia1,DG!$C$5,)</f>
        <v>Boulon 16x50+ 2 long đền vuông D18-50x50x3/Zn</v>
      </c>
      <c r="F2643" s="1198" t="s">
        <v>2113</v>
      </c>
      <c r="G2643" s="1508">
        <f>G2638*4</f>
        <v>8</v>
      </c>
      <c r="H2643" s="1298">
        <f>VLOOKUP($B2643,dongia1,DG!$F$5,)</f>
        <v>12400</v>
      </c>
      <c r="I2643" s="1298">
        <v>0</v>
      </c>
      <c r="J2643" s="1399">
        <f>VLOOKUP($B2643,dongia1,DG!$G$5,)</f>
        <v>0</v>
      </c>
      <c r="K2643" s="1399">
        <f>VLOOKUP($B2643,dongia1,DG!$H$5,)</f>
        <v>0</v>
      </c>
      <c r="L2643" s="1298">
        <f t="shared" si="651"/>
        <v>99200</v>
      </c>
      <c r="M2643" s="1298"/>
      <c r="N2643" s="1298"/>
      <c r="O2643" s="1298"/>
      <c r="P2643" s="1437"/>
      <c r="Q2643" s="1300"/>
      <c r="R2643" s="1300"/>
      <c r="S2643" s="1300"/>
    </row>
    <row r="2644" spans="1:19" s="1081" customFormat="1" outlineLevel="1">
      <c r="A2644" s="1072">
        <f t="shared" si="653"/>
        <v>1</v>
      </c>
      <c r="B2644" s="1295" t="s">
        <v>1042</v>
      </c>
      <c r="C2644" s="1291"/>
      <c r="D2644" s="1198">
        <f>VLOOKUP($B2644,dongia1,DG!$B$5,)</f>
        <v>0</v>
      </c>
      <c r="E2644" s="1243" t="str">
        <f>VLOOKUP($B2644,dongia1,DG!$C$5,)</f>
        <v>Boulon 16x300VRS+ 4 long đền vuông D18-50x50x3/Zn</v>
      </c>
      <c r="F2644" s="1198" t="s">
        <v>2113</v>
      </c>
      <c r="G2644" s="1508">
        <f>G2638*4</f>
        <v>8</v>
      </c>
      <c r="H2644" s="1298">
        <f>VLOOKUP($B2644,dongia1,DG!$F$5,)</f>
        <v>31800</v>
      </c>
      <c r="I2644" s="1298">
        <v>0</v>
      </c>
      <c r="J2644" s="1399">
        <f>VLOOKUP($B2644,dongia1,DG!$G$5,)</f>
        <v>0</v>
      </c>
      <c r="K2644" s="1399">
        <f>VLOOKUP($B2644,dongia1,DG!$H$5,)</f>
        <v>0</v>
      </c>
      <c r="L2644" s="1298">
        <f t="shared" si="651"/>
        <v>254400</v>
      </c>
      <c r="M2644" s="1298">
        <f>I2644*G2644</f>
        <v>0</v>
      </c>
      <c r="N2644" s="1298">
        <f>J2644*G2644</f>
        <v>0</v>
      </c>
      <c r="O2644" s="1298">
        <f>K2644*G2644</f>
        <v>0</v>
      </c>
      <c r="P2644" s="1437"/>
      <c r="Q2644" s="1300"/>
      <c r="R2644" s="1300"/>
      <c r="S2644" s="1300"/>
    </row>
    <row r="2645" spans="1:19" s="1081" customFormat="1" outlineLevel="1">
      <c r="A2645" s="1072">
        <f t="shared" si="653"/>
        <v>1</v>
      </c>
      <c r="B2645" s="1295" t="s">
        <v>814</v>
      </c>
      <c r="C2645" s="1291"/>
      <c r="D2645" s="1198" t="str">
        <f>VLOOKUP($B2645,dongia1,DG!$B$5,)</f>
        <v>D2.6042</v>
      </c>
      <c r="E2645" s="1243" t="str">
        <f>VLOOKUP($B2645,dongia1,DG!$C$5,)</f>
        <v>Lắp xà néo ≤ 100kg</v>
      </c>
      <c r="F2645" s="1198" t="s">
        <v>2113</v>
      </c>
      <c r="G2645" s="1508">
        <f>G2638</f>
        <v>2</v>
      </c>
      <c r="H2645" s="1298">
        <v>0</v>
      </c>
      <c r="I2645" s="1298"/>
      <c r="J2645" s="1399">
        <f>VLOOKUP($B2645,dongia1,DG!$G$5,)</f>
        <v>296544.75</v>
      </c>
      <c r="K2645" s="1399">
        <f>VLOOKUP($B2645,dongia1,DG!$H$5,)</f>
        <v>0</v>
      </c>
      <c r="L2645" s="1298">
        <f t="shared" si="651"/>
        <v>0</v>
      </c>
      <c r="M2645" s="1298"/>
      <c r="N2645" s="1298">
        <f>J2645*G2645</f>
        <v>593089.5</v>
      </c>
      <c r="O2645" s="1298"/>
      <c r="P2645" s="1437"/>
      <c r="Q2645" s="1300"/>
      <c r="R2645" s="1300"/>
      <c r="S2645" s="1300"/>
    </row>
    <row r="2646" spans="1:19" s="1081" customFormat="1" outlineLevel="1">
      <c r="A2646" s="1072">
        <f t="shared" si="653"/>
        <v>1</v>
      </c>
      <c r="B2646" s="1295"/>
      <c r="C2646" s="166">
        <f>IF(G2646&gt;0,C2638+1,C2638)</f>
        <v>3</v>
      </c>
      <c r="D2646" s="167"/>
      <c r="E2646" s="168" t="s">
        <v>5783</v>
      </c>
      <c r="F2646" s="169" t="s">
        <v>2113</v>
      </c>
      <c r="G2646" s="1734">
        <f>G2594*1</f>
        <v>1</v>
      </c>
      <c r="H2646" s="170"/>
      <c r="I2646" s="172"/>
      <c r="J2646" s="172"/>
      <c r="K2646" s="64"/>
      <c r="L2646" s="64">
        <f t="shared" si="651"/>
        <v>0</v>
      </c>
      <c r="M2646" s="64">
        <f>I2646*G2646</f>
        <v>0</v>
      </c>
      <c r="N2646" s="173">
        <f>J2646*G2646</f>
        <v>0</v>
      </c>
      <c r="O2646" s="173">
        <f>K2646*G2646</f>
        <v>0</v>
      </c>
      <c r="P2646" s="173"/>
      <c r="Q2646" s="1300"/>
      <c r="R2646" s="1300"/>
      <c r="S2646" s="1300"/>
    </row>
    <row r="2647" spans="1:19" s="1081" customFormat="1" ht="14.4" outlineLevel="1">
      <c r="A2647" s="1072">
        <f>A2646</f>
        <v>1</v>
      </c>
      <c r="B2647" s="1295"/>
      <c r="C2647" s="1291"/>
      <c r="D2647" s="1292"/>
      <c r="E2647" s="1301" t="s">
        <v>3399</v>
      </c>
      <c r="F2647" s="1302"/>
      <c r="G2647" s="1508"/>
      <c r="H2647" s="1298"/>
      <c r="I2647" s="1298"/>
      <c r="J2647" s="1298"/>
      <c r="K2647" s="1298"/>
      <c r="L2647" s="1298">
        <f t="shared" si="651"/>
        <v>0</v>
      </c>
      <c r="M2647" s="1298">
        <f>I2647*G2647</f>
        <v>0</v>
      </c>
      <c r="N2647" s="1298">
        <f>J2647*G2647</f>
        <v>0</v>
      </c>
      <c r="O2647" s="1298">
        <f>K2647*G2647</f>
        <v>0</v>
      </c>
      <c r="P2647" s="1437"/>
      <c r="Q2647" s="1300"/>
      <c r="R2647" s="1300"/>
      <c r="S2647" s="1300"/>
    </row>
    <row r="2648" spans="1:19" s="1081" customFormat="1" outlineLevel="1">
      <c r="A2648" s="1072">
        <f t="shared" ref="A2648:A2655" si="654">IF(G2648&lt;&gt;0,1,"")</f>
        <v>1</v>
      </c>
      <c r="B2648" s="1295" t="s">
        <v>1626</v>
      </c>
      <c r="C2648" s="1291"/>
      <c r="D2648" s="1198">
        <f>VLOOKUP($B2648,dongia1,DG!$B$5,)</f>
        <v>0</v>
      </c>
      <c r="E2648" s="1243" t="str">
        <f>VLOOKUP($B2648,dongia1,DG!$C$5,)</f>
        <v>Sắt góc L75 x75 x8</v>
      </c>
      <c r="F2648" s="1198" t="s">
        <v>1557</v>
      </c>
      <c r="G2648" s="1508">
        <f>G2646*(19.84+4*0.63)</f>
        <v>22.36</v>
      </c>
      <c r="H2648" s="1298">
        <f>VLOOKUP($B2648,dongia1,DG!$F$5,)</f>
        <v>31625</v>
      </c>
      <c r="I2648" s="1298"/>
      <c r="J2648" s="1399">
        <f>VLOOKUP($B2648,dongia1,DG!$G$5,)</f>
        <v>0</v>
      </c>
      <c r="K2648" s="1399">
        <f>VLOOKUP($B2648,dongia1,DG!$H$5,)</f>
        <v>0</v>
      </c>
      <c r="L2648" s="1298">
        <f t="shared" si="651"/>
        <v>707135</v>
      </c>
      <c r="M2648" s="1298"/>
      <c r="N2648" s="1298"/>
      <c r="O2648" s="1298"/>
      <c r="P2648" s="1437"/>
      <c r="Q2648" s="1300"/>
      <c r="R2648" s="1300"/>
      <c r="S2648" s="1300"/>
    </row>
    <row r="2649" spans="1:19" s="1081" customFormat="1" outlineLevel="1">
      <c r="A2649" s="1072">
        <f t="shared" si="654"/>
        <v>1</v>
      </c>
      <c r="B2649" s="1295" t="s">
        <v>518</v>
      </c>
      <c r="C2649" s="1291"/>
      <c r="D2649" s="1198">
        <f>VLOOKUP($B2649,dongia1,DG!$B$5,)</f>
        <v>0</v>
      </c>
      <c r="E2649" s="1243" t="str">
        <f>VLOOKUP($B2649,dongia1,DG!$C$5,)&amp;" (thanh chống 810)"</f>
        <v>Sắt góc L50 x50 x5 (thanh chống 810)</v>
      </c>
      <c r="F2649" s="1198" t="s">
        <v>1557</v>
      </c>
      <c r="G2649" s="1508">
        <f>G2646*3.05*2</f>
        <v>6.1</v>
      </c>
      <c r="H2649" s="1298">
        <f>VLOOKUP($B2649,dongia1,DG!$F$5,)</f>
        <v>31625</v>
      </c>
      <c r="I2649" s="1298"/>
      <c r="J2649" s="1399">
        <f>VLOOKUP($B2649,dongia1,DG!$G$5,)</f>
        <v>0</v>
      </c>
      <c r="K2649" s="1399">
        <f>VLOOKUP($B2649,dongia1,DG!$H$5,)</f>
        <v>0</v>
      </c>
      <c r="L2649" s="1298">
        <f t="shared" si="651"/>
        <v>192912.5</v>
      </c>
      <c r="M2649" s="1298"/>
      <c r="N2649" s="1298"/>
      <c r="O2649" s="1298"/>
      <c r="P2649" s="1437"/>
      <c r="Q2649" s="1300"/>
      <c r="R2649" s="1300"/>
      <c r="S2649" s="1300"/>
    </row>
    <row r="2650" spans="1:19" s="1081" customFormat="1" outlineLevel="1">
      <c r="A2650" s="1072">
        <f t="shared" si="654"/>
        <v>1</v>
      </c>
      <c r="B2650" s="1295" t="s">
        <v>733</v>
      </c>
      <c r="C2650" s="1291"/>
      <c r="D2650" s="1198">
        <f>VLOOKUP($B2650,dongia1,DG!$B$5,)</f>
        <v>0</v>
      </c>
      <c r="E2650" s="1243" t="str">
        <f>VLOOKUP($B2650,dongia1,DG!$C$5,)</f>
        <v>Boulon 16x350+ 2 long đền vuông D18-50x50x3/Zn</v>
      </c>
      <c r="F2650" s="1198" t="s">
        <v>2113</v>
      </c>
      <c r="G2650" s="1508">
        <f>G2646*2</f>
        <v>2</v>
      </c>
      <c r="H2650" s="1298">
        <f>VLOOKUP($B2650,dongia1,DG!$F$5,)</f>
        <v>27900</v>
      </c>
      <c r="I2650" s="1298">
        <v>0</v>
      </c>
      <c r="J2650" s="1399">
        <f>VLOOKUP($B2650,dongia1,DG!$G$5,)</f>
        <v>0</v>
      </c>
      <c r="K2650" s="1399">
        <f>VLOOKUP($B2650,dongia1,DG!$H$5,)</f>
        <v>0</v>
      </c>
      <c r="L2650" s="1298">
        <f t="shared" si="651"/>
        <v>55800</v>
      </c>
      <c r="M2650" s="1298"/>
      <c r="N2650" s="1298"/>
      <c r="O2650" s="1298"/>
      <c r="P2650" s="1437"/>
      <c r="Q2650" s="1300"/>
      <c r="R2650" s="1300"/>
      <c r="S2650" s="1300"/>
    </row>
    <row r="2651" spans="1:19" s="1081" customFormat="1" outlineLevel="1">
      <c r="A2651" s="1072">
        <f t="shared" si="654"/>
        <v>1</v>
      </c>
      <c r="B2651" s="1295" t="s">
        <v>1044</v>
      </c>
      <c r="C2651" s="1291"/>
      <c r="D2651" s="1198">
        <f>VLOOKUP($B2651,dongia1,DG!$B$5,)</f>
        <v>0</v>
      </c>
      <c r="E2651" s="1243" t="str">
        <f>VLOOKUP($B2651,dongia1,DG!$C$5,)</f>
        <v>Boulon 16x50+ 2 long đền vuông D18-50x50x3/Zn</v>
      </c>
      <c r="F2651" s="1198" t="s">
        <v>2113</v>
      </c>
      <c r="G2651" s="1508">
        <f>G2646*2</f>
        <v>2</v>
      </c>
      <c r="H2651" s="1298">
        <f>VLOOKUP($B2651,dongia1,DG!$F$5,)</f>
        <v>12400</v>
      </c>
      <c r="I2651" s="1298">
        <v>0</v>
      </c>
      <c r="J2651" s="1399">
        <f>VLOOKUP($B2651,dongia1,DG!$G$5,)</f>
        <v>0</v>
      </c>
      <c r="K2651" s="1399">
        <f>VLOOKUP($B2651,dongia1,DG!$H$5,)</f>
        <v>0</v>
      </c>
      <c r="L2651" s="1298">
        <f t="shared" si="651"/>
        <v>24800</v>
      </c>
      <c r="M2651" s="1298"/>
      <c r="N2651" s="1298"/>
      <c r="O2651" s="1298"/>
      <c r="P2651" s="1437"/>
      <c r="Q2651" s="1300"/>
      <c r="R2651" s="1300"/>
      <c r="S2651" s="1300"/>
    </row>
    <row r="2652" spans="1:19" s="1081" customFormat="1" hidden="1" outlineLevel="1">
      <c r="A2652" s="1072" t="str">
        <f t="shared" si="654"/>
        <v/>
      </c>
      <c r="B2652" s="1295" t="s">
        <v>1933</v>
      </c>
      <c r="C2652" s="1291"/>
      <c r="D2652" s="1198">
        <f>VLOOKUP($B2652,dongia1,DG!$B$5,)</f>
        <v>0</v>
      </c>
      <c r="E2652" s="1243" t="str">
        <f>VLOOKUP($B2652,dongia1,DG!$C$5,)</f>
        <v>Bass LI bắt FCO</v>
      </c>
      <c r="F2652" s="1198" t="s">
        <v>2113</v>
      </c>
      <c r="G2652" s="1508"/>
      <c r="H2652" s="1298">
        <f>VLOOKUP($B2652,dongia1,DG!$F$5,)</f>
        <v>34000</v>
      </c>
      <c r="I2652" s="1298">
        <v>0</v>
      </c>
      <c r="J2652" s="1399">
        <f>VLOOKUP($B2652,dongia1,DG!$G$5,)</f>
        <v>0</v>
      </c>
      <c r="K2652" s="1399">
        <f>VLOOKUP($B2652,dongia1,DG!$H$5,)</f>
        <v>0</v>
      </c>
      <c r="L2652" s="1298">
        <f t="shared" si="651"/>
        <v>0</v>
      </c>
      <c r="M2652" s="1298"/>
      <c r="N2652" s="1298"/>
      <c r="O2652" s="1298"/>
      <c r="P2652" s="1437"/>
      <c r="Q2652" s="1300"/>
      <c r="R2652" s="1300"/>
      <c r="S2652" s="1300"/>
    </row>
    <row r="2653" spans="1:19" s="1081" customFormat="1" hidden="1" outlineLevel="1">
      <c r="A2653" s="1072" t="str">
        <f t="shared" si="654"/>
        <v/>
      </c>
      <c r="B2653" s="1295" t="s">
        <v>1761</v>
      </c>
      <c r="C2653" s="1291"/>
      <c r="D2653" s="1198">
        <f>VLOOKUP($B2653,dongia1,DG!$B$5,)</f>
        <v>0</v>
      </c>
      <c r="E2653" s="1243" t="str">
        <f>VLOOKUP($B2653,dongia1,DG!$C$5,)</f>
        <v>Cổ dê bắt xà 80x6</v>
      </c>
      <c r="F2653" s="1198" t="s">
        <v>2113</v>
      </c>
      <c r="G2653" s="1508"/>
      <c r="H2653" s="1298">
        <f>VLOOKUP($B2653,dongia1,DG!$F$5,)</f>
        <v>178900</v>
      </c>
      <c r="I2653" s="1298">
        <v>0</v>
      </c>
      <c r="J2653" s="1399">
        <f>VLOOKUP($B2653,dongia1,DG!$G$5,)</f>
        <v>0</v>
      </c>
      <c r="K2653" s="1399">
        <f>VLOOKUP($B2653,dongia1,DG!$H$5,)</f>
        <v>0</v>
      </c>
      <c r="L2653" s="1298">
        <f t="shared" si="651"/>
        <v>0</v>
      </c>
      <c r="M2653" s="1298"/>
      <c r="N2653" s="1298"/>
      <c r="O2653" s="1298"/>
      <c r="P2653" s="1437"/>
      <c r="Q2653" s="1300"/>
      <c r="R2653" s="1300"/>
      <c r="S2653" s="1300"/>
    </row>
    <row r="2654" spans="1:19" s="1081" customFormat="1" outlineLevel="1">
      <c r="A2654" s="1072">
        <f t="shared" si="654"/>
        <v>1</v>
      </c>
      <c r="B2654" s="1295" t="s">
        <v>1156</v>
      </c>
      <c r="C2654" s="1291"/>
      <c r="D2654" s="1198" t="str">
        <f>VLOOKUP($B2654,dongia1,DG!$B$5,)</f>
        <v>D2.6031</v>
      </c>
      <c r="E2654" s="1243" t="str">
        <f>VLOOKUP($B2654,dongia1,DG!$C$5,)</f>
        <v>Lắp xà đỡ 50kg</v>
      </c>
      <c r="F2654" s="1198" t="s">
        <v>2113</v>
      </c>
      <c r="G2654" s="1508">
        <f>G2646</f>
        <v>1</v>
      </c>
      <c r="H2654" s="1298">
        <v>0</v>
      </c>
      <c r="I2654" s="1298"/>
      <c r="J2654" s="1399">
        <f>VLOOKUP($B2654,dongia1,DG!$G$5,)</f>
        <v>296544.75</v>
      </c>
      <c r="K2654" s="1399">
        <f>VLOOKUP($B2654,dongia1,DG!$H$5,)</f>
        <v>0</v>
      </c>
      <c r="L2654" s="1298">
        <f t="shared" si="651"/>
        <v>0</v>
      </c>
      <c r="M2654" s="1298"/>
      <c r="N2654" s="1298">
        <f>J2654*G2654</f>
        <v>296544.75</v>
      </c>
      <c r="O2654" s="1298"/>
      <c r="P2654" s="1437"/>
      <c r="Q2654" s="1300"/>
      <c r="R2654" s="1300"/>
      <c r="S2654" s="1300"/>
    </row>
    <row r="2655" spans="1:19" s="1081" customFormat="1" outlineLevel="1">
      <c r="A2655" s="1072">
        <f t="shared" si="654"/>
        <v>1</v>
      </c>
      <c r="B2655" s="1295"/>
      <c r="C2655" s="166">
        <f>IF(G2655&gt;0,C2646+1,C2646)</f>
        <v>4</v>
      </c>
      <c r="D2655" s="167"/>
      <c r="E2655" s="168" t="s">
        <v>3440</v>
      </c>
      <c r="F2655" s="169" t="s">
        <v>2113</v>
      </c>
      <c r="G2655" s="1734">
        <f>G2594</f>
        <v>1</v>
      </c>
      <c r="H2655" s="170"/>
      <c r="I2655" s="172"/>
      <c r="J2655" s="172"/>
      <c r="K2655" s="64"/>
      <c r="L2655" s="64">
        <f t="shared" si="651"/>
        <v>0</v>
      </c>
      <c r="M2655" s="64">
        <f>I2655*G2655</f>
        <v>0</v>
      </c>
      <c r="N2655" s="173">
        <f t="shared" ref="N2655:N2667" si="655">J2655*G2655</f>
        <v>0</v>
      </c>
      <c r="O2655" s="173">
        <f>K2655*G2655</f>
        <v>0</v>
      </c>
      <c r="P2655" s="173"/>
      <c r="Q2655" s="1300"/>
      <c r="R2655" s="1300"/>
      <c r="S2655" s="1300"/>
    </row>
    <row r="2656" spans="1:19" s="1081" customFormat="1" ht="14.4" outlineLevel="1">
      <c r="A2656" s="1072">
        <f>+A2655</f>
        <v>1</v>
      </c>
      <c r="B2656" s="1469"/>
      <c r="C2656" s="1291"/>
      <c r="D2656" s="1292"/>
      <c r="E2656" s="1301" t="s">
        <v>3399</v>
      </c>
      <c r="F2656" s="1302"/>
      <c r="G2656" s="1508"/>
      <c r="H2656" s="1298"/>
      <c r="I2656" s="1298"/>
      <c r="J2656" s="1298"/>
      <c r="K2656" s="1298"/>
      <c r="L2656" s="1298">
        <f t="shared" si="651"/>
        <v>0</v>
      </c>
      <c r="M2656" s="1298">
        <f>I2656*G2656</f>
        <v>0</v>
      </c>
      <c r="N2656" s="1298">
        <f t="shared" si="655"/>
        <v>0</v>
      </c>
      <c r="O2656" s="1298">
        <f>K2656*G2656</f>
        <v>0</v>
      </c>
      <c r="P2656" s="1437"/>
      <c r="Q2656" s="1300"/>
      <c r="R2656" s="1300"/>
      <c r="S2656" s="1300"/>
    </row>
    <row r="2657" spans="1:19" s="1081" customFormat="1" outlineLevel="1">
      <c r="A2657" s="1072">
        <f t="shared" ref="A2657:A2663" si="656">IF(G2657&lt;&gt;0,1,"")</f>
        <v>1</v>
      </c>
      <c r="B2657" s="1295" t="s">
        <v>1200</v>
      </c>
      <c r="C2657" s="1291"/>
      <c r="D2657" s="1198">
        <f>VLOOKUP($B2657,dongia1,DG!$B$5,)</f>
        <v>0</v>
      </c>
      <c r="E2657" s="1243" t="str">
        <f>VLOOKUP($B2657,dongia1,DG!$C$5,)</f>
        <v>Cáp đồng trần M25mm2</v>
      </c>
      <c r="F2657" s="1198" t="str">
        <f>VLOOKUP($B2657,dongia1,DG!$D$5,)</f>
        <v>kg</v>
      </c>
      <c r="G2657" s="1508">
        <f>$H$3*0.224*G2655</f>
        <v>11.872</v>
      </c>
      <c r="H2657" s="1298">
        <f>VLOOKUP($B2657,dongia1,DG!$F$5,)</f>
        <v>255500</v>
      </c>
      <c r="I2657" s="1298"/>
      <c r="J2657" s="1399">
        <f>VLOOKUP($B2657,dongia1,DG!$G$5,)</f>
        <v>0</v>
      </c>
      <c r="K2657" s="1399">
        <f>VLOOKUP($B2657,dongia1,DG!$H$5,)</f>
        <v>0</v>
      </c>
      <c r="L2657" s="1298">
        <f t="shared" si="651"/>
        <v>3033296</v>
      </c>
      <c r="M2657" s="1298">
        <f>I2657*G2657</f>
        <v>0</v>
      </c>
      <c r="N2657" s="1298">
        <f t="shared" si="655"/>
        <v>0</v>
      </c>
      <c r="O2657" s="1298">
        <f>K2657*G2657</f>
        <v>0</v>
      </c>
      <c r="P2657" s="1437"/>
      <c r="Q2657" s="1300"/>
      <c r="R2657" s="1300"/>
      <c r="S2657" s="1300"/>
    </row>
    <row r="2658" spans="1:19" s="1081" customFormat="1" outlineLevel="1">
      <c r="A2658" s="1072">
        <f t="shared" si="656"/>
        <v>1</v>
      </c>
      <c r="B2658" s="1068" t="s">
        <v>1098</v>
      </c>
      <c r="C2658" s="1291"/>
      <c r="D2658" s="1198">
        <f>VLOOKUP($B2658,dongia1,DG!$B$5,)</f>
        <v>0</v>
      </c>
      <c r="E2658" s="1243" t="str">
        <f>VLOOKUP($B2658,dongia1,DG!$C$5,)</f>
        <v>Cọc tiếp đất Þ 16- 2,4m + kẹp cọc</v>
      </c>
      <c r="F2658" s="1198" t="str">
        <f>VLOOKUP($B2658,dongia1,DG!$D$5,)</f>
        <v>bộ</v>
      </c>
      <c r="G2658" s="1508">
        <f>($H$2+G2663)*G2655</f>
        <v>9</v>
      </c>
      <c r="H2658" s="1298">
        <f>VLOOKUP($B2658,dongia1,DG!$F$5,)</f>
        <v>160000</v>
      </c>
      <c r="I2658" s="1298"/>
      <c r="J2658" s="1399">
        <f>VLOOKUP($B2658,dongia1,DG!$G$5,)</f>
        <v>0</v>
      </c>
      <c r="K2658" s="1399">
        <f>VLOOKUP($B2658,dongia1,DG!$H$5,)</f>
        <v>0</v>
      </c>
      <c r="L2658" s="1298">
        <f t="shared" ref="L2658:L2663" si="657">H2658*G2658</f>
        <v>1440000</v>
      </c>
      <c r="M2658" s="1298">
        <f>I2658*G2658</f>
        <v>0</v>
      </c>
      <c r="N2658" s="1298">
        <f t="shared" si="655"/>
        <v>0</v>
      </c>
      <c r="O2658" s="1298">
        <f>K2658*G2658</f>
        <v>0</v>
      </c>
      <c r="P2658" s="1437"/>
      <c r="Q2658" s="1300"/>
      <c r="R2658" s="1300"/>
      <c r="S2658" s="1300"/>
    </row>
    <row r="2659" spans="1:19" s="1081" customFormat="1" hidden="1" outlineLevel="1">
      <c r="A2659" s="1072" t="str">
        <f t="shared" si="656"/>
        <v/>
      </c>
      <c r="B2659" s="1068" t="s">
        <v>2040</v>
      </c>
      <c r="C2659" s="1291"/>
      <c r="D2659" s="1198">
        <f>VLOOKUP($B2659,dongia1,DG!$B$5,)</f>
        <v>0</v>
      </c>
      <c r="E2659" s="1243" t="str">
        <f>VLOOKUP($B2659,dongia1,DG!$C$5,)</f>
        <v xml:space="preserve">Ống PVC D21x1,6mm </v>
      </c>
      <c r="F2659" s="1198" t="str">
        <f>VLOOKUP($B2659,dongia1,DG!$D$5,)</f>
        <v>m</v>
      </c>
      <c r="G2659" s="1508">
        <f>G2655*4*0</f>
        <v>0</v>
      </c>
      <c r="H2659" s="1298">
        <f>VLOOKUP($B2659,dongia1,DG!$F$5,)</f>
        <v>6200</v>
      </c>
      <c r="I2659" s="1298"/>
      <c r="J2659" s="1399">
        <f>VLOOKUP($B2659,dongia1,DG!$G$5,)</f>
        <v>0</v>
      </c>
      <c r="K2659" s="1399">
        <f>VLOOKUP($B2659,dongia1,DG!$H$5,)</f>
        <v>0</v>
      </c>
      <c r="L2659" s="1298">
        <f t="shared" si="657"/>
        <v>0</v>
      </c>
      <c r="M2659" s="1298">
        <f>I2659*G2659</f>
        <v>0</v>
      </c>
      <c r="N2659" s="1298">
        <f t="shared" si="655"/>
        <v>0</v>
      </c>
      <c r="O2659" s="1298">
        <f>K2659*G2659</f>
        <v>0</v>
      </c>
      <c r="P2659" s="1299"/>
      <c r="Q2659" s="1300"/>
      <c r="R2659" s="1300"/>
      <c r="S2659" s="1300"/>
    </row>
    <row r="2660" spans="1:19" s="1081" customFormat="1" outlineLevel="1">
      <c r="A2660" s="1072">
        <f t="shared" si="656"/>
        <v>1</v>
      </c>
      <c r="B2660" s="1470" t="s">
        <v>205</v>
      </c>
      <c r="C2660" s="1291"/>
      <c r="D2660" s="1198">
        <f>VLOOKUP($B2660,dongia1,DG!$B$5,)</f>
        <v>0</v>
      </c>
      <c r="E2660" s="1243" t="str">
        <f>VLOOKUP($B2660,dongia1,DG!$C$5,)</f>
        <v>Kẹp ép WR cỡ dây 50mm2</v>
      </c>
      <c r="F2660" s="1198" t="str">
        <f>VLOOKUP($B2660,dongia1,DG!$D$5,)</f>
        <v>cái</v>
      </c>
      <c r="G2660" s="1508">
        <f>2*G2655</f>
        <v>2</v>
      </c>
      <c r="H2660" s="1298">
        <f>VLOOKUP($B2660,dongia1,DG!$F$5,)</f>
        <v>8000</v>
      </c>
      <c r="I2660" s="1298"/>
      <c r="J2660" s="1399">
        <f>VLOOKUP($B2660,dongia1,DG!$G$5,)</f>
        <v>0</v>
      </c>
      <c r="K2660" s="1399">
        <f>VLOOKUP($B2660,dongia1,DG!$H$5,)</f>
        <v>0</v>
      </c>
      <c r="L2660" s="1298">
        <f t="shared" si="657"/>
        <v>16000</v>
      </c>
      <c r="M2660" s="1298"/>
      <c r="N2660" s="1298">
        <f t="shared" si="655"/>
        <v>0</v>
      </c>
      <c r="O2660" s="1298"/>
      <c r="P2660" s="1437"/>
      <c r="Q2660" s="1300"/>
      <c r="R2660" s="1300"/>
      <c r="S2660" s="1300"/>
    </row>
    <row r="2661" spans="1:19" s="1081" customFormat="1" outlineLevel="1">
      <c r="A2661" s="1072">
        <f>IF(G2661&lt;&gt;0,1,"")</f>
        <v>1</v>
      </c>
      <c r="B2661" s="1470" t="s">
        <v>903</v>
      </c>
      <c r="C2661" s="1291"/>
      <c r="D2661" s="1198">
        <f>VLOOKUP($B2661,dongia1,DG!$B$5,)</f>
        <v>0</v>
      </c>
      <c r="E2661" s="1243" t="str">
        <f>VLOOKUP($B2661,dongia1,DG!$C$5,)</f>
        <v>Ốc xiết cáp cỡ 25mm2</v>
      </c>
      <c r="F2661" s="1198" t="str">
        <f>VLOOKUP($B2661,dongia1,DG!$D$5,)</f>
        <v>cái</v>
      </c>
      <c r="G2661" s="1508">
        <v>8</v>
      </c>
      <c r="H2661" s="1298">
        <f>VLOOKUP($B2661,dongia1,DG!$F$5,)</f>
        <v>17600</v>
      </c>
      <c r="I2661" s="1298"/>
      <c r="J2661" s="1399">
        <f>VLOOKUP($B2661,dongia1,DG!$G$5,)</f>
        <v>0</v>
      </c>
      <c r="K2661" s="1399">
        <f>VLOOKUP($B2661,dongia1,DG!$H$5,)</f>
        <v>0</v>
      </c>
      <c r="L2661" s="1298">
        <f>H2661*G2661</f>
        <v>140800</v>
      </c>
      <c r="M2661" s="1298"/>
      <c r="N2661" s="1298">
        <f>J2661*G2661</f>
        <v>0</v>
      </c>
      <c r="O2661" s="1298"/>
      <c r="P2661" s="1437"/>
      <c r="Q2661" s="1300"/>
      <c r="R2661" s="1300"/>
      <c r="S2661" s="1300"/>
    </row>
    <row r="2662" spans="1:19" s="1081" customFormat="1" hidden="1" outlineLevel="1">
      <c r="A2662" s="1072" t="str">
        <f t="shared" si="656"/>
        <v/>
      </c>
      <c r="B2662" s="1068" t="s">
        <v>1490</v>
      </c>
      <c r="C2662" s="1291"/>
      <c r="D2662" s="1198">
        <f>VLOOKUP($B2662,dongia1,DG!$B$5,)</f>
        <v>0</v>
      </c>
      <c r="E2662" s="1243" t="str">
        <f>VLOOKUP($B2662,dongia1,DG!$C$5,)</f>
        <v>Cổ dê kẹp ống PVC (STK) Þ 21</v>
      </c>
      <c r="F2662" s="1198" t="str">
        <f>VLOOKUP($B2662,dongia1,DG!$D$5,)</f>
        <v>bộ</v>
      </c>
      <c r="G2662" s="1508">
        <f>+G2655*2*0</f>
        <v>0</v>
      </c>
      <c r="H2662" s="1298">
        <f>VLOOKUP($B2662,dongia1,DG!$F$5,)</f>
        <v>43000</v>
      </c>
      <c r="I2662" s="1298"/>
      <c r="J2662" s="1399">
        <f>VLOOKUP($B2662,dongia1,DG!$G$5,)</f>
        <v>0</v>
      </c>
      <c r="K2662" s="1399">
        <f>VLOOKUP($B2662,dongia1,DG!$H$5,)</f>
        <v>0</v>
      </c>
      <c r="L2662" s="1298">
        <f t="shared" si="657"/>
        <v>0</v>
      </c>
      <c r="M2662" s="1298">
        <f>I2662*G2662</f>
        <v>0</v>
      </c>
      <c r="N2662" s="1298">
        <f t="shared" si="655"/>
        <v>0</v>
      </c>
      <c r="O2662" s="1298">
        <f>K2662*G2662</f>
        <v>0</v>
      </c>
      <c r="P2662" s="1299"/>
      <c r="Q2662" s="1300"/>
      <c r="R2662" s="1300"/>
      <c r="S2662" s="1300"/>
    </row>
    <row r="2663" spans="1:19" s="1081" customFormat="1" hidden="1" outlineLevel="1">
      <c r="A2663" s="1072" t="str">
        <f t="shared" si="656"/>
        <v/>
      </c>
      <c r="B2663" s="1068" t="s">
        <v>211</v>
      </c>
      <c r="C2663" s="1291"/>
      <c r="D2663" s="1198">
        <f>VLOOKUP($B2663,dongia1,DG!$B$5,)</f>
        <v>0</v>
      </c>
      <c r="E2663" s="1243" t="str">
        <f>VLOOKUP($B2663,dongia1,DG!$C$5,)</f>
        <v>Khoan giếng tiếp địa</v>
      </c>
      <c r="F2663" s="1198" t="str">
        <f>VLOOKUP($B2663,dongia1,DG!$D$5,)</f>
        <v>Cái</v>
      </c>
      <c r="G2663" s="1508">
        <f>$L$3*G2655</f>
        <v>0</v>
      </c>
      <c r="H2663" s="1298">
        <f>VLOOKUP($B2663,dongia1,DG!$F$5,)</f>
        <v>0</v>
      </c>
      <c r="I2663" s="1298"/>
      <c r="J2663" s="1399">
        <f>VLOOKUP($B2663,dongia1,DG!$G$5,)</f>
        <v>1500000</v>
      </c>
      <c r="K2663" s="1399">
        <f>VLOOKUP($B2663,dongia1,DG!$H$5,)</f>
        <v>0</v>
      </c>
      <c r="L2663" s="1298">
        <f t="shared" si="657"/>
        <v>0</v>
      </c>
      <c r="M2663" s="1298">
        <f>I2663*G2663</f>
        <v>0</v>
      </c>
      <c r="N2663" s="1298">
        <f t="shared" si="655"/>
        <v>0</v>
      </c>
      <c r="O2663" s="1298">
        <f>K2663*G2663</f>
        <v>0</v>
      </c>
      <c r="P2663" s="1437"/>
      <c r="Q2663" s="1300"/>
      <c r="R2663" s="1300"/>
      <c r="S2663" s="1300"/>
    </row>
    <row r="2664" spans="1:19" s="1081" customFormat="1" outlineLevel="1">
      <c r="A2664" s="1072">
        <f>IF(G2664=0,0,1)</f>
        <v>1</v>
      </c>
      <c r="B2664" s="1068" t="str">
        <f>"DTD"&amp;capdat</f>
        <v>DTD3</v>
      </c>
      <c r="C2664" s="1302"/>
      <c r="D2664" s="1198" t="str">
        <f>VLOOKUP($B2664,dongia1,DG!$B$5,)</f>
        <v>AB.11513</v>
      </c>
      <c r="E2664" s="1243" t="str">
        <f>VLOOKUP($B2664,dongia1,DG!$C$5,)</f>
        <v>Đào rãnh tiếp địa đất cấp 3</v>
      </c>
      <c r="F2664" s="1198" t="str">
        <f>VLOOKUP($B2664,dongia1,DG!$D$5,)</f>
        <v>m3</v>
      </c>
      <c r="G2664" s="1508">
        <f>G2655*45*0.3*0.5</f>
        <v>6.75</v>
      </c>
      <c r="H2664" s="1298">
        <f>VLOOKUP($B2664,dongia1,DG!$F$5,)</f>
        <v>0</v>
      </c>
      <c r="I2664" s="1298"/>
      <c r="J2664" s="1399">
        <f>VLOOKUP($B2664,dongia1,DG!$G$5,)</f>
        <v>283749.75</v>
      </c>
      <c r="K2664" s="1399">
        <f>VLOOKUP($B2664,dongia1,DG!$H$5,)</f>
        <v>0</v>
      </c>
      <c r="L2664" s="1298">
        <f t="shared" ref="L2664:O2665" si="658">H2664*$G2664</f>
        <v>0</v>
      </c>
      <c r="M2664" s="1298">
        <f t="shared" si="658"/>
        <v>0</v>
      </c>
      <c r="N2664" s="1298">
        <f t="shared" si="655"/>
        <v>1915310.8125</v>
      </c>
      <c r="O2664" s="1298">
        <f t="shared" si="658"/>
        <v>0</v>
      </c>
      <c r="P2664" s="1437"/>
      <c r="Q2664" s="1300"/>
      <c r="R2664" s="1300"/>
      <c r="S2664" s="1300"/>
    </row>
    <row r="2665" spans="1:19" s="1081" customFormat="1" outlineLevel="1">
      <c r="A2665" s="1072">
        <f>IF(G2665=0,0,1)</f>
        <v>1</v>
      </c>
      <c r="B2665" s="1068" t="str">
        <f>"DATD"&amp;capdat</f>
        <v>DATD3</v>
      </c>
      <c r="C2665" s="1302"/>
      <c r="D2665" s="1198" t="str">
        <f>VLOOKUP($B2665,dongia1,DG!$B$5,)</f>
        <v>AB.13111</v>
      </c>
      <c r="E2665" s="1243" t="str">
        <f>VLOOKUP($B2665,dongia1,DG!$C$5,)</f>
        <v>Đắp đất rãnh tiếp địa cấp 3 (độ chặt k = 0.85)</v>
      </c>
      <c r="F2665" s="1198" t="str">
        <f>VLOOKUP($B2665,dongia1,DG!$D$5,)</f>
        <v>m3</v>
      </c>
      <c r="G2665" s="1508">
        <f>G2664</f>
        <v>6.75</v>
      </c>
      <c r="H2665" s="1298">
        <f>VLOOKUP($B2665,dongia1,DG!$F$5,)</f>
        <v>0</v>
      </c>
      <c r="I2665" s="1298"/>
      <c r="J2665" s="1399">
        <f>VLOOKUP($B2665,dongia1,DG!$G$5,)</f>
        <v>117703.6</v>
      </c>
      <c r="K2665" s="1399">
        <f>VLOOKUP($B2665,dongia1,DG!$H$5,)</f>
        <v>0</v>
      </c>
      <c r="L2665" s="1298">
        <f t="shared" si="658"/>
        <v>0</v>
      </c>
      <c r="M2665" s="1298">
        <f t="shared" si="658"/>
        <v>0</v>
      </c>
      <c r="N2665" s="1298">
        <f t="shared" si="655"/>
        <v>794499.3</v>
      </c>
      <c r="O2665" s="1298">
        <f t="shared" si="658"/>
        <v>0</v>
      </c>
      <c r="P2665" s="1437"/>
      <c r="Q2665" s="1300"/>
      <c r="R2665" s="1300"/>
      <c r="S2665" s="1300"/>
    </row>
    <row r="2666" spans="1:19" s="1081" customFormat="1" outlineLevel="1">
      <c r="A2666" s="1072">
        <f>IF(G2666=0,0,1)</f>
        <v>1</v>
      </c>
      <c r="B2666" s="1068" t="s">
        <v>985</v>
      </c>
      <c r="C2666" s="1302"/>
      <c r="D2666" s="1198" t="str">
        <f>VLOOKUP($B2666,dongia1,DG!$B$5,)</f>
        <v>D2.8103</v>
      </c>
      <c r="E2666" s="1243" t="str">
        <f>VLOOKUP($B2666,dongia1,DG!$C$5,)</f>
        <v>Đóng cọc tiếp địa đất cấp 3 dài 2,5m</v>
      </c>
      <c r="F2666" s="1198" t="str">
        <f>VLOOKUP($B2666,dongia1,DG!$D$5,)</f>
        <v>cọc</v>
      </c>
      <c r="G2666" s="1508">
        <f>G2658</f>
        <v>9</v>
      </c>
      <c r="H2666" s="1298">
        <f>VLOOKUP($B2666,dongia1,DG!$F$5,)</f>
        <v>0</v>
      </c>
      <c r="I2666" s="1298"/>
      <c r="J2666" s="1399">
        <f>VLOOKUP($B2666,dongia1,DG!$G$5,)</f>
        <v>90355.896000000008</v>
      </c>
      <c r="K2666" s="1399">
        <f>VLOOKUP($B2666,dongia1,DG!$H$5,)</f>
        <v>1573.075</v>
      </c>
      <c r="L2666" s="1298">
        <f>H2666*$G2666</f>
        <v>0</v>
      </c>
      <c r="M2666" s="1298">
        <f>I2666*$G2666</f>
        <v>0</v>
      </c>
      <c r="N2666" s="1298">
        <f t="shared" si="655"/>
        <v>813203.06400000001</v>
      </c>
      <c r="O2666" s="1298">
        <f>K2666*$G2666</f>
        <v>14157.675000000001</v>
      </c>
      <c r="P2666" s="1437"/>
      <c r="Q2666" s="1300"/>
      <c r="R2666" s="1300"/>
      <c r="S2666" s="1300"/>
    </row>
    <row r="2667" spans="1:19" s="1081" customFormat="1" outlineLevel="1">
      <c r="A2667" s="1072">
        <f>IF(G2667&lt;&gt;0,1,"")</f>
        <v>1</v>
      </c>
      <c r="B2667" s="1068" t="s">
        <v>5760</v>
      </c>
      <c r="C2667" s="1291"/>
      <c r="D2667" s="1198" t="str">
        <f>VLOOKUP($B2667,dongia1,DG!$B$5,)</f>
        <v>D2.7001</v>
      </c>
      <c r="E2667" s="1243" t="str">
        <f>VLOOKUP($B2667,dongia1,DG!$C$5,)</f>
        <v xml:space="preserve">Kéo dây tiếp địa </v>
      </c>
      <c r="F2667" s="1198" t="str">
        <f>VLOOKUP($B2667,dongia1,DG!$D$5,)</f>
        <v>kg</v>
      </c>
      <c r="G2667" s="1508">
        <f>G2657</f>
        <v>11.872</v>
      </c>
      <c r="H2667" s="1298">
        <f>VLOOKUP($B2667,dongia1,DG!$E$5,)</f>
        <v>0</v>
      </c>
      <c r="I2667" s="1298"/>
      <c r="J2667" s="1399">
        <f>VLOOKUP($B2667,dongia1,DG!$G$5,)</f>
        <v>2578.65</v>
      </c>
      <c r="K2667" s="1399">
        <f>VLOOKUP($B2667,dongia1,DG!$H$5,)</f>
        <v>0</v>
      </c>
      <c r="L2667" s="1298">
        <f>H2667*G2667</f>
        <v>0</v>
      </c>
      <c r="M2667" s="1298">
        <f>I2667*G2667</f>
        <v>0</v>
      </c>
      <c r="N2667" s="1298">
        <f t="shared" si="655"/>
        <v>30613.732800000002</v>
      </c>
      <c r="O2667" s="1298">
        <f>K2667*G2667</f>
        <v>0</v>
      </c>
      <c r="P2667" s="1437"/>
      <c r="Q2667" s="1300"/>
      <c r="R2667" s="1300"/>
      <c r="S2667" s="1300"/>
    </row>
    <row r="2668" spans="1:19" s="1081" customFormat="1" outlineLevel="1">
      <c r="A2668" s="1072">
        <f>IF(G2668&lt;&gt;0,1,"")</f>
        <v>1</v>
      </c>
      <c r="B2668" s="1295"/>
      <c r="C2668" s="166">
        <f>IF(G2668&gt;0,C2655+1,C2655)</f>
        <v>5</v>
      </c>
      <c r="D2668" s="167"/>
      <c r="E2668" s="168" t="s">
        <v>3442</v>
      </c>
      <c r="F2668" s="169" t="s">
        <v>2113</v>
      </c>
      <c r="G2668" s="1734">
        <f>G2594</f>
        <v>1</v>
      </c>
      <c r="H2668" s="170"/>
      <c r="I2668" s="172"/>
      <c r="J2668" s="172"/>
      <c r="K2668" s="64"/>
      <c r="L2668" s="64">
        <f>H2668*G2668</f>
        <v>0</v>
      </c>
      <c r="M2668" s="64">
        <f>I2668*G2668</f>
        <v>0</v>
      </c>
      <c r="N2668" s="173">
        <f>J2668*G2668</f>
        <v>0</v>
      </c>
      <c r="O2668" s="173">
        <f>K2668*G2668</f>
        <v>0</v>
      </c>
      <c r="P2668" s="173"/>
      <c r="Q2668" s="1300"/>
      <c r="R2668" s="1300"/>
      <c r="S2668" s="1300"/>
    </row>
    <row r="2669" spans="1:19" s="1081" customFormat="1" ht="14.4" outlineLevel="1">
      <c r="A2669" s="1072">
        <f>A2668</f>
        <v>1</v>
      </c>
      <c r="B2669" s="1295"/>
      <c r="C2669" s="1291"/>
      <c r="D2669" s="1292"/>
      <c r="E2669" s="1301" t="s">
        <v>3399</v>
      </c>
      <c r="F2669" s="1302"/>
      <c r="G2669" s="1508"/>
      <c r="H2669" s="1298"/>
      <c r="I2669" s="1298"/>
      <c r="J2669" s="1298"/>
      <c r="K2669" s="1298"/>
      <c r="L2669" s="1298">
        <f>H2669*G2669</f>
        <v>0</v>
      </c>
      <c r="M2669" s="1298">
        <f>I2669*G2669</f>
        <v>0</v>
      </c>
      <c r="N2669" s="1298">
        <f>J2669*G2669</f>
        <v>0</v>
      </c>
      <c r="O2669" s="1298">
        <f>K2669*G2669</f>
        <v>0</v>
      </c>
      <c r="P2669" s="1437"/>
      <c r="Q2669" s="1300"/>
      <c r="R2669" s="1300"/>
      <c r="S2669" s="1300"/>
    </row>
    <row r="2670" spans="1:19" s="1081" customFormat="1" outlineLevel="1">
      <c r="A2670" s="1072">
        <f>IF(G2670&lt;&gt;0,1,"")</f>
        <v>1</v>
      </c>
      <c r="B2670" s="1068" t="s">
        <v>5806</v>
      </c>
      <c r="C2670" s="1302"/>
      <c r="D2670" s="1198" t="str">
        <f>VLOOKUP($B2670,dongia1,DG!$B$5,)</f>
        <v>T5.1002</v>
      </c>
      <c r="E2670" s="1243" t="str">
        <f>VLOOKUP($B2670,dongia1,DG!$C$5,)</f>
        <v>Tủ ACB + thanh cái 2000A</v>
      </c>
      <c r="F2670" s="1198" t="str">
        <f>VLOOKUP($B2670,dongia1,DG!$D$5,)</f>
        <v>cái</v>
      </c>
      <c r="G2670" s="1508">
        <f>G2668</f>
        <v>1</v>
      </c>
      <c r="H2670" s="1298">
        <f>VLOOKUP($B2670,dongia1,DG!$F$5,)</f>
        <v>60000000</v>
      </c>
      <c r="I2670" s="1298"/>
      <c r="J2670" s="1298">
        <f>VLOOKUP($B2670,dongia1,DG!$G$5,)</f>
        <v>690091</v>
      </c>
      <c r="K2670" s="1298">
        <f>VLOOKUP($B2670,dongia1,DG!$H$5,)</f>
        <v>97369</v>
      </c>
      <c r="L2670" s="1298">
        <f>H2670*G2670</f>
        <v>60000000</v>
      </c>
      <c r="M2670" s="1298">
        <f>I2670*G2670</f>
        <v>0</v>
      </c>
      <c r="N2670" s="1298">
        <f>J2670*G2670</f>
        <v>690091</v>
      </c>
      <c r="O2670" s="1298">
        <f>K2670*G2670</f>
        <v>97369</v>
      </c>
      <c r="P2670" s="1437"/>
      <c r="Q2670" s="1300"/>
      <c r="R2670" s="1300"/>
      <c r="S2670" s="1300"/>
    </row>
    <row r="2671" spans="1:19" s="1081" customFormat="1" outlineLevel="1">
      <c r="A2671" s="1072">
        <f>IF(G2671&lt;&gt;0,1,"")</f>
        <v>1</v>
      </c>
      <c r="B2671" s="1068" t="s">
        <v>1560</v>
      </c>
      <c r="C2671" s="1291"/>
      <c r="D2671" s="1198">
        <f>VLOOKUP($B2671,dongia1,DG!$B$5,)</f>
        <v>0</v>
      </c>
      <c r="E2671" s="1243" t="str">
        <f>VLOOKUP($B2671,dongia1,DG!$C$5,)</f>
        <v xml:space="preserve">Bakelit 500x300 dầy 10mm </v>
      </c>
      <c r="F2671" s="1198" t="str">
        <f>VLOOKUP($B2671,dongia1,DG!$D$5,)</f>
        <v>cái</v>
      </c>
      <c r="G2671" s="1508">
        <f>+G2668</f>
        <v>1</v>
      </c>
      <c r="H2671" s="1298">
        <f>VLOOKUP($B2671,dongia1,DG!$F$5,)</f>
        <v>284000</v>
      </c>
      <c r="I2671" s="1298"/>
      <c r="J2671" s="1298">
        <f>VLOOKUP($B2671,dongia1,DG!$G$5,)</f>
        <v>5404</v>
      </c>
      <c r="K2671" s="1298">
        <f>VLOOKUP($B2671,dongia1,DG!$H$5,)</f>
        <v>0</v>
      </c>
      <c r="L2671" s="1298">
        <f t="shared" ref="L2671:L2691" si="659">H2671*G2671</f>
        <v>284000</v>
      </c>
      <c r="M2671" s="1298">
        <f t="shared" ref="M2671:M2691" si="660">I2671*G2671</f>
        <v>0</v>
      </c>
      <c r="N2671" s="1298">
        <f t="shared" ref="N2671:N2691" si="661">J2671*G2671</f>
        <v>5404</v>
      </c>
      <c r="O2671" s="1298">
        <f t="shared" ref="O2671:O2691" si="662">K2671*G2671</f>
        <v>0</v>
      </c>
      <c r="P2671" s="1437"/>
      <c r="Q2671" s="1300"/>
      <c r="R2671" s="1300"/>
      <c r="S2671" s="1300"/>
    </row>
    <row r="2672" spans="1:19" s="1081" customFormat="1" outlineLevel="1">
      <c r="A2672" s="1072">
        <f>IF(G2672&lt;&gt;0,1,"")</f>
        <v>1</v>
      </c>
      <c r="B2672" s="1068" t="s">
        <v>888</v>
      </c>
      <c r="C2672" s="1302"/>
      <c r="D2672" s="1198">
        <f>VLOOKUP($B2672,dongia1,DG!$B$5,)</f>
        <v>0</v>
      </c>
      <c r="E2672" s="1243" t="str">
        <f>VLOOKUP($B2672,dongia1,DG!$C$5,)</f>
        <v>Bảng tên trạm + bảng báo nguy hiểm</v>
      </c>
      <c r="F2672" s="1198" t="str">
        <f>VLOOKUP($B2672,dongia1,DG!$D$5,)</f>
        <v>cái</v>
      </c>
      <c r="G2672" s="1508">
        <f>G2668</f>
        <v>1</v>
      </c>
      <c r="H2672" s="1298">
        <f>VLOOKUP($B2672,dongia1,DG!$F$5,)</f>
        <v>300000</v>
      </c>
      <c r="I2672" s="1298"/>
      <c r="J2672" s="1298">
        <f>VLOOKUP($B2672,dongia1,DG!$G$5,)</f>
        <v>0</v>
      </c>
      <c r="K2672" s="1298">
        <f>VLOOKUP($B2672,dongia1,DG!$H$5,)</f>
        <v>0</v>
      </c>
      <c r="L2672" s="1298">
        <f t="shared" si="659"/>
        <v>300000</v>
      </c>
      <c r="M2672" s="1298">
        <f t="shared" si="660"/>
        <v>0</v>
      </c>
      <c r="N2672" s="1298">
        <f t="shared" si="661"/>
        <v>0</v>
      </c>
      <c r="O2672" s="1298">
        <f t="shared" si="662"/>
        <v>0</v>
      </c>
      <c r="P2672" s="1437"/>
      <c r="Q2672" s="1300"/>
      <c r="R2672" s="1300"/>
      <c r="S2672" s="1300"/>
    </row>
    <row r="2673" spans="1:19" s="1081" customFormat="1" hidden="1" outlineLevel="1">
      <c r="A2673" s="1072" t="str">
        <f>IF(G2673&lt;&gt;0,1,"")</f>
        <v/>
      </c>
      <c r="B2673" s="1068"/>
      <c r="C2673" s="166">
        <f>IF(G2673&gt;0,C2668+1,C2668)</f>
        <v>5</v>
      </c>
      <c r="D2673" s="167"/>
      <c r="E2673" s="168" t="s">
        <v>3455</v>
      </c>
      <c r="F2673" s="169" t="s">
        <v>2307</v>
      </c>
      <c r="G2673" s="1734"/>
      <c r="H2673" s="170"/>
      <c r="I2673" s="172"/>
      <c r="J2673" s="172"/>
      <c r="K2673" s="64"/>
      <c r="L2673" s="64">
        <f t="shared" si="659"/>
        <v>0</v>
      </c>
      <c r="M2673" s="64">
        <f t="shared" si="660"/>
        <v>0</v>
      </c>
      <c r="N2673" s="173">
        <f t="shared" si="661"/>
        <v>0</v>
      </c>
      <c r="O2673" s="173">
        <f t="shared" si="662"/>
        <v>0</v>
      </c>
      <c r="P2673" s="173"/>
      <c r="Q2673" s="1300"/>
      <c r="R2673" s="1300"/>
      <c r="S2673" s="1300"/>
    </row>
    <row r="2674" spans="1:19" s="1081" customFormat="1" ht="14.4" hidden="1" outlineLevel="1">
      <c r="A2674" s="1072" t="str">
        <f>A2673</f>
        <v/>
      </c>
      <c r="B2674" s="1068"/>
      <c r="C2674" s="1291"/>
      <c r="D2674" s="1292"/>
      <c r="E2674" s="1301" t="s">
        <v>3399</v>
      </c>
      <c r="F2674" s="1302"/>
      <c r="G2674" s="1473"/>
      <c r="H2674" s="1298"/>
      <c r="I2674" s="1298"/>
      <c r="J2674" s="1298"/>
      <c r="K2674" s="1298"/>
      <c r="L2674" s="1298">
        <f t="shared" si="659"/>
        <v>0</v>
      </c>
      <c r="M2674" s="1298">
        <f t="shared" si="660"/>
        <v>0</v>
      </c>
      <c r="N2674" s="1298">
        <f t="shared" si="661"/>
        <v>0</v>
      </c>
      <c r="O2674" s="1298">
        <f t="shared" si="662"/>
        <v>0</v>
      </c>
      <c r="P2674" s="1299"/>
      <c r="Q2674" s="1300"/>
      <c r="R2674" s="1300"/>
      <c r="S2674" s="1300"/>
    </row>
    <row r="2675" spans="1:19" s="1081" customFormat="1" hidden="1" outlineLevel="1">
      <c r="A2675" s="1072" t="str">
        <f t="shared" ref="A2675:A2683" si="663">IF(G2675&lt;&gt;0,1,"")</f>
        <v/>
      </c>
      <c r="B2675" s="1557" t="s">
        <v>1729</v>
      </c>
      <c r="C2675" s="1302"/>
      <c r="D2675" s="1198">
        <f>VLOOKUP($B2675,dongia1,DG!$B$5,)</f>
        <v>0</v>
      </c>
      <c r="E2675" s="1399" t="str">
        <f>VLOOKUP($B2675,dongia1,DG!$C$5,)&amp;": 0,315m3/m"</f>
        <v>Cát vàng: 0,315m3/m</v>
      </c>
      <c r="F2675" s="1198" t="str">
        <f>VLOOKUP($B2675,dongia1,DG!$D$5,)</f>
        <v>m3</v>
      </c>
      <c r="G2675" s="1304">
        <f>G2673*0.315</f>
        <v>0</v>
      </c>
      <c r="H2675" s="1298">
        <f>VLOOKUP($B2675,dongia1,DG!$F$5,)</f>
        <v>512000</v>
      </c>
      <c r="I2675" s="1298"/>
      <c r="J2675" s="1298">
        <f>VLOOKUP($B2675,dongia1,DG!$G$5,)</f>
        <v>0</v>
      </c>
      <c r="K2675" s="1298">
        <f>VLOOKUP($B2675,dongia1,DG!$H$5,)</f>
        <v>0</v>
      </c>
      <c r="L2675" s="1298">
        <f t="shared" si="659"/>
        <v>0</v>
      </c>
      <c r="M2675" s="1298">
        <f t="shared" si="660"/>
        <v>0</v>
      </c>
      <c r="N2675" s="1298">
        <f t="shared" si="661"/>
        <v>0</v>
      </c>
      <c r="O2675" s="1298">
        <f t="shared" si="662"/>
        <v>0</v>
      </c>
      <c r="P2675" s="1299"/>
      <c r="Q2675" s="1300"/>
      <c r="R2675" s="1300"/>
      <c r="S2675" s="1300"/>
    </row>
    <row r="2676" spans="1:19" s="1081" customFormat="1" hidden="1" outlineLevel="1">
      <c r="A2676" s="1072" t="str">
        <f t="shared" si="663"/>
        <v/>
      </c>
      <c r="B2676" s="1557" t="s">
        <v>817</v>
      </c>
      <c r="C2676" s="1302"/>
      <c r="D2676" s="1198">
        <f>VLOOKUP($B2676,dongia1,DG!$B$5,)</f>
        <v>0</v>
      </c>
      <c r="E2676" s="1399" t="str">
        <f>VLOOKUP($B2676,dongia1,DG!$C$5,)&amp;": 0,092m3/m"</f>
        <v>Đá 2x4: 0,092m3/m</v>
      </c>
      <c r="F2676" s="1198" t="str">
        <f>VLOOKUP($B2676,dongia1,DG!$D$5,)</f>
        <v>m3</v>
      </c>
      <c r="G2676" s="1304">
        <f>0.092*G2673</f>
        <v>0</v>
      </c>
      <c r="H2676" s="1298">
        <f>VLOOKUP($B2676,dongia1,DG!$F$5,)</f>
        <v>295000</v>
      </c>
      <c r="I2676" s="1298"/>
      <c r="J2676" s="1298">
        <f>VLOOKUP($B2676,dongia1,DG!$G$5,)</f>
        <v>0</v>
      </c>
      <c r="K2676" s="1298">
        <f>VLOOKUP($B2676,dongia1,DG!$H$5,)</f>
        <v>0</v>
      </c>
      <c r="L2676" s="1298">
        <f t="shared" si="659"/>
        <v>0</v>
      </c>
      <c r="M2676" s="1298">
        <f t="shared" si="660"/>
        <v>0</v>
      </c>
      <c r="N2676" s="1298">
        <f t="shared" si="661"/>
        <v>0</v>
      </c>
      <c r="O2676" s="1298">
        <f t="shared" si="662"/>
        <v>0</v>
      </c>
      <c r="P2676" s="1299"/>
      <c r="Q2676" s="1300"/>
      <c r="R2676" s="1300"/>
      <c r="S2676" s="1300"/>
    </row>
    <row r="2677" spans="1:19" s="1081" customFormat="1" hidden="1" outlineLevel="1">
      <c r="A2677" s="1072" t="str">
        <f t="shared" si="663"/>
        <v/>
      </c>
      <c r="B2677" s="1557" t="s">
        <v>1495</v>
      </c>
      <c r="C2677" s="1302"/>
      <c r="D2677" s="1198">
        <f>VLOOKUP($B2677,dongia1,DG!$B$5,)</f>
        <v>0</v>
      </c>
      <c r="E2677" s="1399" t="str">
        <f>VLOOKUP($B2677,dongia1,DG!$C$5,)&amp;": 3,3vieân/m"</f>
        <v>Gạch tàu: 3,3vieân/m</v>
      </c>
      <c r="F2677" s="1198" t="str">
        <f>VLOOKUP($B2677,dongia1,DG!$D$5,)</f>
        <v>viên</v>
      </c>
      <c r="G2677" s="1304">
        <f>3.3*G2673</f>
        <v>0</v>
      </c>
      <c r="H2677" s="1298">
        <f>VLOOKUP($B2677,dongia1,DG!$F$5,)</f>
        <v>7000</v>
      </c>
      <c r="I2677" s="1298"/>
      <c r="J2677" s="1298">
        <f>VLOOKUP($B2677,dongia1,DG!$G$5,)</f>
        <v>0</v>
      </c>
      <c r="K2677" s="1298">
        <f>VLOOKUP($B2677,dongia1,DG!$H$5,)</f>
        <v>0</v>
      </c>
      <c r="L2677" s="1298">
        <f t="shared" si="659"/>
        <v>0</v>
      </c>
      <c r="M2677" s="1298">
        <f t="shared" si="660"/>
        <v>0</v>
      </c>
      <c r="N2677" s="1298">
        <f t="shared" si="661"/>
        <v>0</v>
      </c>
      <c r="O2677" s="1298">
        <f t="shared" si="662"/>
        <v>0</v>
      </c>
      <c r="P2677" s="1299"/>
      <c r="Q2677" s="1300"/>
      <c r="R2677" s="1300"/>
      <c r="S2677" s="1300"/>
    </row>
    <row r="2678" spans="1:19" s="1081" customFormat="1" hidden="1" outlineLevel="1">
      <c r="A2678" s="1072" t="str">
        <f t="shared" si="663"/>
        <v/>
      </c>
      <c r="B2678" s="1557" t="s">
        <v>1496</v>
      </c>
      <c r="C2678" s="1302"/>
      <c r="D2678" s="1198" t="str">
        <f>VLOOKUP($B2678,dongia1,DG!$B$5,)</f>
        <v>D4.1102</v>
      </c>
      <c r="E2678" s="1399" t="str">
        <f>VLOOKUP($B2678,dongia1,DG!$C$5,)&amp;": 0,4m2/m"</f>
        <v>Tấm nilông màu cảnh báo: 0,4m2/m</v>
      </c>
      <c r="F2678" s="1198" t="str">
        <f>VLOOKUP($B2678,dongia1,DG!$D$5,)</f>
        <v>m2</v>
      </c>
      <c r="G2678" s="1304">
        <f>0.4*G2673</f>
        <v>0</v>
      </c>
      <c r="H2678" s="1298">
        <f>VLOOKUP($B2678,dongia1,DG!$F$5,)</f>
        <v>10000</v>
      </c>
      <c r="I2678" s="1298"/>
      <c r="J2678" s="1298">
        <f>VLOOKUP($B2678,dongia1,DG!$G$5,)</f>
        <v>1187.155</v>
      </c>
      <c r="K2678" s="1298">
        <f>VLOOKUP($B2678,dongia1,DG!$H$5,)</f>
        <v>0</v>
      </c>
      <c r="L2678" s="1298">
        <f t="shared" si="659"/>
        <v>0</v>
      </c>
      <c r="M2678" s="1298">
        <f t="shared" si="660"/>
        <v>0</v>
      </c>
      <c r="N2678" s="1298">
        <f t="shared" si="661"/>
        <v>0</v>
      </c>
      <c r="O2678" s="1298">
        <f t="shared" si="662"/>
        <v>0</v>
      </c>
      <c r="P2678" s="1299"/>
      <c r="Q2678" s="1300"/>
      <c r="R2678" s="1300"/>
      <c r="S2678" s="1300"/>
    </row>
    <row r="2679" spans="1:19" s="1081" customFormat="1" hidden="1" outlineLevel="1">
      <c r="A2679" s="1072" t="str">
        <f t="shared" si="663"/>
        <v/>
      </c>
      <c r="B2679" s="1557" t="s">
        <v>1861</v>
      </c>
      <c r="C2679" s="1291"/>
      <c r="D2679" s="1198">
        <f>VLOOKUP($B2679,dongia1,DG!$B$5,)</f>
        <v>0</v>
      </c>
      <c r="E2679" s="1399" t="str">
        <f>VLOOKUP($B2679,dongia1,DG!$C$5,)</f>
        <v>Ống PVC D140x6,7mm</v>
      </c>
      <c r="F2679" s="1198" t="str">
        <f>VLOOKUP($B2679,dongia1,DG!$D$5,)</f>
        <v>m</v>
      </c>
      <c r="G2679" s="1303">
        <f>1*G2673</f>
        <v>0</v>
      </c>
      <c r="H2679" s="1298">
        <f>VLOOKUP($B2679,dongia1,DG!$F$5,)</f>
        <v>165250</v>
      </c>
      <c r="I2679" s="1298"/>
      <c r="J2679" s="1298">
        <f>VLOOKUP($B2679,dongia1,DG!$G$5,)</f>
        <v>0</v>
      </c>
      <c r="K2679" s="1298">
        <f>VLOOKUP($B2679,dongia1,DG!$H$5,)</f>
        <v>0</v>
      </c>
      <c r="L2679" s="1298">
        <f t="shared" si="659"/>
        <v>0</v>
      </c>
      <c r="M2679" s="1298">
        <f t="shared" si="660"/>
        <v>0</v>
      </c>
      <c r="N2679" s="1298">
        <f t="shared" si="661"/>
        <v>0</v>
      </c>
      <c r="O2679" s="1298">
        <f t="shared" si="662"/>
        <v>0</v>
      </c>
      <c r="P2679" s="1299"/>
      <c r="Q2679" s="1300"/>
      <c r="R2679" s="1300"/>
      <c r="S2679" s="1300"/>
    </row>
    <row r="2680" spans="1:19" s="1081" customFormat="1" hidden="1" outlineLevel="1">
      <c r="A2680" s="1072" t="str">
        <f t="shared" si="663"/>
        <v/>
      </c>
      <c r="B2680" s="1557" t="s">
        <v>1498</v>
      </c>
      <c r="C2680" s="1302"/>
      <c r="D2680" s="1198" t="str">
        <f>VLOOKUP($B2680,dongia1,DG!$B$5,)</f>
        <v>AB.66112</v>
      </c>
      <c r="E2680" s="1399" t="str">
        <f>VLOOKUP($B2680,dongia1,DG!$C$5,)&amp;" + ñaép ñaù"</f>
        <v>Rải cát đệm (độ chặt K=0,9) + ñaép ñaù</v>
      </c>
      <c r="F2680" s="1198" t="str">
        <f>VLOOKUP($B2680,dongia1,DG!$D$5,)</f>
        <v>m3</v>
      </c>
      <c r="G2680" s="1304">
        <f>G2675+G2676</f>
        <v>0</v>
      </c>
      <c r="H2680" s="1298">
        <f>VLOOKUP($B2680,dongia1,DG!$F$5,)</f>
        <v>0</v>
      </c>
      <c r="I2680" s="1298"/>
      <c r="J2680" s="1298">
        <f>VLOOKUP($B2680,dongia1,DG!$G$5,)</f>
        <v>315277.5</v>
      </c>
      <c r="K2680" s="1298">
        <f>VLOOKUP($B2680,dongia1,DG!$H$5,)</f>
        <v>0</v>
      </c>
      <c r="L2680" s="1298">
        <f t="shared" si="659"/>
        <v>0</v>
      </c>
      <c r="M2680" s="1298">
        <f t="shared" si="660"/>
        <v>0</v>
      </c>
      <c r="N2680" s="1298">
        <f t="shared" si="661"/>
        <v>0</v>
      </c>
      <c r="O2680" s="1298">
        <f t="shared" si="662"/>
        <v>0</v>
      </c>
      <c r="P2680" s="1299"/>
      <c r="Q2680" s="1300"/>
      <c r="R2680" s="1300"/>
      <c r="S2680" s="1300"/>
    </row>
    <row r="2681" spans="1:19" s="1081" customFormat="1" hidden="1" outlineLevel="1">
      <c r="A2681" s="1072" t="str">
        <f t="shared" si="663"/>
        <v/>
      </c>
      <c r="B2681" s="1557" t="s">
        <v>291</v>
      </c>
      <c r="C2681" s="1302"/>
      <c r="D2681" s="1198" t="str">
        <f>VLOOKUP($B2681,dongia1,DG!$B$5,)</f>
        <v>AB.11613</v>
      </c>
      <c r="E2681" s="1399" t="str">
        <f>VLOOKUP($B2681,dongia1,DG!$C$5,)&amp;" : 0,48m3/m"</f>
        <v>Đào mương cáp ngầm đất cấp 3 có mở ta luy : 0,48m3/m</v>
      </c>
      <c r="F2681" s="1198" t="str">
        <f>VLOOKUP($B2681,dongia1,DG!$D$5,)</f>
        <v>m3</v>
      </c>
      <c r="G2681" s="1304">
        <f>G2673*0.48</f>
        <v>0</v>
      </c>
      <c r="H2681" s="1298">
        <f>VLOOKUP($B2681,dongia1,DG!$F$5,)</f>
        <v>0</v>
      </c>
      <c r="I2681" s="1298"/>
      <c r="J2681" s="1298">
        <f>VLOOKUP($B2681,dongia1,DG!$G$5,)</f>
        <v>640731.36</v>
      </c>
      <c r="K2681" s="1298">
        <f>VLOOKUP($B2681,dongia1,DG!$H$5,)</f>
        <v>0</v>
      </c>
      <c r="L2681" s="1298">
        <f t="shared" si="659"/>
        <v>0</v>
      </c>
      <c r="M2681" s="1298">
        <f t="shared" si="660"/>
        <v>0</v>
      </c>
      <c r="N2681" s="1298">
        <f t="shared" si="661"/>
        <v>0</v>
      </c>
      <c r="O2681" s="1298">
        <f t="shared" si="662"/>
        <v>0</v>
      </c>
      <c r="P2681" s="1299"/>
      <c r="Q2681" s="1300"/>
      <c r="R2681" s="1300"/>
      <c r="S2681" s="1300"/>
    </row>
    <row r="2682" spans="1:19" s="1081" customFormat="1" hidden="1" outlineLevel="1">
      <c r="A2682" s="1072" t="str">
        <f t="shared" si="663"/>
        <v/>
      </c>
      <c r="B2682" s="1557" t="s">
        <v>1906</v>
      </c>
      <c r="C2682" s="1302"/>
      <c r="D2682" s="1198" t="str">
        <f>VLOOKUP($B2682,dongia1,DG!$B$5,)</f>
        <v>AB.65110</v>
      </c>
      <c r="E2682" s="1399" t="str">
        <f>VLOOKUP($B2682,dongia1,DG!$C$5,)&amp;" : 0,073m3/m"</f>
        <v>Đắp đất mương cáp K=0,9 : 0,073m3/m</v>
      </c>
      <c r="F2682" s="1198" t="str">
        <f>VLOOKUP($B2682,dongia1,DG!$D$5,)</f>
        <v>m3</v>
      </c>
      <c r="G2682" s="1304">
        <f>G2673*0.073</f>
        <v>0</v>
      </c>
      <c r="H2682" s="1298">
        <f>VLOOKUP($B2682,dongia1,DG!$F$5,)</f>
        <v>0</v>
      </c>
      <c r="I2682" s="1298"/>
      <c r="J2682" s="1298">
        <f>VLOOKUP($B2682,dongia1,DG!$G$5,)</f>
        <v>21935.133999999998</v>
      </c>
      <c r="K2682" s="1298">
        <f>VLOOKUP($B2682,dongia1,DG!$H$5,)</f>
        <v>0</v>
      </c>
      <c r="L2682" s="1298">
        <f t="shared" si="659"/>
        <v>0</v>
      </c>
      <c r="M2682" s="1298">
        <f t="shared" si="660"/>
        <v>0</v>
      </c>
      <c r="N2682" s="1298">
        <f t="shared" si="661"/>
        <v>0</v>
      </c>
      <c r="O2682" s="1298">
        <f t="shared" si="662"/>
        <v>0</v>
      </c>
      <c r="P2682" s="1299"/>
      <c r="Q2682" s="1300"/>
      <c r="R2682" s="1474">
        <v>0.47499999999999998</v>
      </c>
      <c r="S2682" s="1300"/>
    </row>
    <row r="2683" spans="1:19" s="1081" customFormat="1" hidden="1" outlineLevel="1">
      <c r="A2683" s="1072" t="str">
        <f t="shared" si="663"/>
        <v/>
      </c>
      <c r="B2683" s="1295"/>
      <c r="C2683" s="166">
        <f>IF(G2683&gt;0,C2673+1,C2673)</f>
        <v>5</v>
      </c>
      <c r="D2683" s="167"/>
      <c r="E2683" s="168" t="s">
        <v>3456</v>
      </c>
      <c r="F2683" s="169" t="s">
        <v>2113</v>
      </c>
      <c r="G2683" s="1734"/>
      <c r="H2683" s="170"/>
      <c r="I2683" s="172"/>
      <c r="J2683" s="172"/>
      <c r="K2683" s="64"/>
      <c r="L2683" s="64">
        <f t="shared" si="659"/>
        <v>0</v>
      </c>
      <c r="M2683" s="64">
        <f t="shared" si="660"/>
        <v>0</v>
      </c>
      <c r="N2683" s="173">
        <f t="shared" si="661"/>
        <v>0</v>
      </c>
      <c r="O2683" s="173">
        <f t="shared" si="662"/>
        <v>0</v>
      </c>
      <c r="P2683" s="173"/>
      <c r="Q2683" s="1300"/>
      <c r="R2683" s="1474">
        <v>0.88100000000000001</v>
      </c>
      <c r="S2683" s="1300"/>
    </row>
    <row r="2684" spans="1:19" s="1081" customFormat="1" ht="14.4" hidden="1" outlineLevel="1">
      <c r="A2684" s="1072" t="str">
        <f>A2683</f>
        <v/>
      </c>
      <c r="B2684" s="1295"/>
      <c r="C2684" s="1291"/>
      <c r="D2684" s="1292"/>
      <c r="E2684" s="1301" t="s">
        <v>3399</v>
      </c>
      <c r="F2684" s="1302"/>
      <c r="G2684" s="1473"/>
      <c r="H2684" s="1298"/>
      <c r="I2684" s="1298"/>
      <c r="J2684" s="1298"/>
      <c r="K2684" s="1298"/>
      <c r="L2684" s="1298">
        <f t="shared" si="659"/>
        <v>0</v>
      </c>
      <c r="M2684" s="1298">
        <f t="shared" si="660"/>
        <v>0</v>
      </c>
      <c r="N2684" s="1298">
        <f t="shared" si="661"/>
        <v>0</v>
      </c>
      <c r="O2684" s="1298">
        <f t="shared" si="662"/>
        <v>0</v>
      </c>
      <c r="P2684" s="1299"/>
      <c r="Q2684" s="1300"/>
      <c r="R2684" s="1300"/>
      <c r="S2684" s="1300"/>
    </row>
    <row r="2685" spans="1:19" s="1081" customFormat="1" hidden="1" outlineLevel="1">
      <c r="A2685" s="1072" t="str">
        <f t="shared" ref="A2685:A2692" si="664">IF(G2685&lt;&gt;0,1,"")</f>
        <v/>
      </c>
      <c r="B2685" s="1295" t="s">
        <v>1568</v>
      </c>
      <c r="C2685" s="1302"/>
      <c r="D2685" s="1198" t="str">
        <f>VLOOKUP($B2685,dongia1,DG!$B$5,)</f>
        <v>D4.1205</v>
      </c>
      <c r="E2685" s="1243" t="str">
        <f>VLOOKUP($B2685,dongia1,DG!$C$5,)</f>
        <v>Ông sắt tráng kẽm D140</v>
      </c>
      <c r="F2685" s="1198" t="str">
        <f>VLOOKUP($B2685,dongia1,DG!$D$5,)</f>
        <v>mét</v>
      </c>
      <c r="G2685" s="1303">
        <f>G2683*5</f>
        <v>0</v>
      </c>
      <c r="H2685" s="1298">
        <f>VLOOKUP($B2685,dongia1,DG!$F$5,)</f>
        <v>278000</v>
      </c>
      <c r="I2685" s="1298"/>
      <c r="J2685" s="1298">
        <f>VLOOKUP($B2685,dongia1,DG!$G$5,)</f>
        <v>127101.65849999999</v>
      </c>
      <c r="K2685" s="1298">
        <f>VLOOKUP($B2685,dongia1,DG!$H$5,)</f>
        <v>0</v>
      </c>
      <c r="L2685" s="1298">
        <f t="shared" si="659"/>
        <v>0</v>
      </c>
      <c r="M2685" s="1298">
        <f t="shared" si="660"/>
        <v>0</v>
      </c>
      <c r="N2685" s="1298">
        <f t="shared" si="661"/>
        <v>0</v>
      </c>
      <c r="O2685" s="1298">
        <f t="shared" si="662"/>
        <v>0</v>
      </c>
      <c r="P2685" s="1299"/>
      <c r="Q2685" s="1300"/>
      <c r="R2685" s="1300"/>
      <c r="S2685" s="1300"/>
    </row>
    <row r="2686" spans="1:19" s="1081" customFormat="1" hidden="1" outlineLevel="1">
      <c r="A2686" s="1072" t="str">
        <f t="shared" si="664"/>
        <v/>
      </c>
      <c r="B2686" s="1557" t="s">
        <v>25</v>
      </c>
      <c r="C2686" s="1291"/>
      <c r="D2686" s="1198">
        <f>VLOOKUP($B2686,dongia1,DG!$B$5,)</f>
        <v>0</v>
      </c>
      <c r="E2686" s="1243" t="str">
        <f>VLOOKUP($B2686,dongia1,DG!$C$5,)</f>
        <v>Co sừng 90 độ PVC 140</v>
      </c>
      <c r="F2686" s="1198" t="str">
        <f>VLOOKUP($B2686,dongia1,DG!$D$5,)</f>
        <v>cái</v>
      </c>
      <c r="G2686" s="1303">
        <f>G2683</f>
        <v>0</v>
      </c>
      <c r="H2686" s="1298">
        <f>VLOOKUP($B2686,dongia1,DG!$F$5,)</f>
        <v>138000</v>
      </c>
      <c r="I2686" s="1298"/>
      <c r="J2686" s="1298">
        <f>VLOOKUP($B2686,dongia1,DG!$G$5,)</f>
        <v>0</v>
      </c>
      <c r="K2686" s="1298">
        <f>VLOOKUP($B2686,dongia1,DG!$H$5,)</f>
        <v>0</v>
      </c>
      <c r="L2686" s="1298">
        <f t="shared" si="659"/>
        <v>0</v>
      </c>
      <c r="M2686" s="1298">
        <f t="shared" si="660"/>
        <v>0</v>
      </c>
      <c r="N2686" s="1298">
        <f t="shared" si="661"/>
        <v>0</v>
      </c>
      <c r="O2686" s="1298">
        <f t="shared" si="662"/>
        <v>0</v>
      </c>
      <c r="P2686" s="1299"/>
      <c r="Q2686" s="1300"/>
      <c r="R2686" s="1300"/>
      <c r="S2686" s="1300"/>
    </row>
    <row r="2687" spans="1:19" s="1081" customFormat="1" hidden="1" outlineLevel="1">
      <c r="A2687" s="1072" t="str">
        <f t="shared" si="664"/>
        <v/>
      </c>
      <c r="B2687" s="1295" t="s">
        <v>1424</v>
      </c>
      <c r="C2687" s="1302"/>
      <c r="D2687" s="1198">
        <f>VLOOKUP($B2687,dongia1,DG!$B$5,)</f>
        <v>0</v>
      </c>
      <c r="E2687" s="1243" t="str">
        <f>VLOOKUP($B2687,dongia1,DG!$C$5,)</f>
        <v>Cổ dê giữ ống STK D140 vào tường+Boulon+long đền+tắc ke sắt</v>
      </c>
      <c r="F2687" s="1198" t="str">
        <f>VLOOKUP($B2687,dongia1,DG!$D$5,)</f>
        <v>bộ</v>
      </c>
      <c r="G2687" s="1303">
        <f>G2683*2</f>
        <v>0</v>
      </c>
      <c r="H2687" s="1298">
        <f>VLOOKUP($B2687,dongia1,DG!$F$5,)</f>
        <v>40000</v>
      </c>
      <c r="I2687" s="1298"/>
      <c r="J2687" s="1298">
        <f>VLOOKUP($B2687,dongia1,DG!$G$5,)</f>
        <v>0</v>
      </c>
      <c r="K2687" s="1298">
        <f>VLOOKUP($B2687,dongia1,DG!$H$5,)</f>
        <v>0</v>
      </c>
      <c r="L2687" s="1298">
        <f t="shared" si="659"/>
        <v>0</v>
      </c>
      <c r="M2687" s="1298">
        <f t="shared" si="660"/>
        <v>0</v>
      </c>
      <c r="N2687" s="1298">
        <f t="shared" si="661"/>
        <v>0</v>
      </c>
      <c r="O2687" s="1298">
        <f t="shared" si="662"/>
        <v>0</v>
      </c>
      <c r="P2687" s="1299"/>
      <c r="Q2687" s="1300"/>
      <c r="R2687" s="1300"/>
      <c r="S2687" s="1300"/>
    </row>
    <row r="2688" spans="1:19" s="1081" customFormat="1" hidden="1" outlineLevel="1">
      <c r="A2688" s="1072" t="str">
        <f t="shared" si="664"/>
        <v/>
      </c>
      <c r="B2688" s="1068" t="s">
        <v>441</v>
      </c>
      <c r="C2688" s="1302"/>
      <c r="D2688" s="1198">
        <f>VLOOKUP($B2688,dongia1,DG!$B$5,)</f>
        <v>0</v>
      </c>
      <c r="E2688" s="1243" t="str">
        <f>VLOOKUP($B2688,dongia1,DG!$C$5,)</f>
        <v>Giá đỡ cáp ngầm (V63x6)</v>
      </c>
      <c r="F2688" s="1198" t="str">
        <f>VLOOKUP($B2688,dongia1,DG!$D$5,)</f>
        <v>bộ</v>
      </c>
      <c r="G2688" s="1303">
        <f>G2683</f>
        <v>0</v>
      </c>
      <c r="H2688" s="1298">
        <f>VLOOKUP($B2688,dongia1,DG!$F$5,)</f>
        <v>150000</v>
      </c>
      <c r="I2688" s="1298"/>
      <c r="J2688" s="1298">
        <f>VLOOKUP($B2688,dongia1,DG!$G$5,)</f>
        <v>0</v>
      </c>
      <c r="K2688" s="1298">
        <f>VLOOKUP($B2688,dongia1,DG!$H$5,)</f>
        <v>0</v>
      </c>
      <c r="L2688" s="1298">
        <f t="shared" si="659"/>
        <v>0</v>
      </c>
      <c r="M2688" s="1298">
        <f t="shared" si="660"/>
        <v>0</v>
      </c>
      <c r="N2688" s="1298">
        <f t="shared" si="661"/>
        <v>0</v>
      </c>
      <c r="O2688" s="1298">
        <f t="shared" si="662"/>
        <v>0</v>
      </c>
      <c r="P2688" s="1299"/>
      <c r="Q2688" s="1300"/>
      <c r="R2688" s="1300"/>
      <c r="S2688" s="1300"/>
    </row>
    <row r="2689" spans="1:19" s="1081" customFormat="1" hidden="1" outlineLevel="1">
      <c r="A2689" s="1072" t="str">
        <f t="shared" si="664"/>
        <v/>
      </c>
      <c r="B2689" s="1068" t="s">
        <v>764</v>
      </c>
      <c r="C2689" s="1302"/>
      <c r="D2689" s="1198">
        <f>VLOOKUP($B2689,dongia1,DG!$B$5,)</f>
        <v>0</v>
      </c>
      <c r="E2689" s="1243" t="str">
        <f>VLOOKUP($B2689,dongia1,DG!$C$5,)</f>
        <v>Giá đỡ cáp trung hạ thế</v>
      </c>
      <c r="F2689" s="1198" t="str">
        <f>VLOOKUP($B2689,dongia1,DG!$D$5,)</f>
        <v>bộ</v>
      </c>
      <c r="G2689" s="1303">
        <f>G2683</f>
        <v>0</v>
      </c>
      <c r="H2689" s="1298">
        <f>VLOOKUP($B2689,dongia1,DG!$F$5,)</f>
        <v>2739748</v>
      </c>
      <c r="I2689" s="1298"/>
      <c r="J2689" s="1298">
        <f>VLOOKUP($B2689,dongia1,DG!$G$5,)</f>
        <v>51183</v>
      </c>
      <c r="K2689" s="1298">
        <f>VLOOKUP($B2689,dongia1,DG!$H$5,)</f>
        <v>89000</v>
      </c>
      <c r="L2689" s="1298">
        <f t="shared" si="659"/>
        <v>0</v>
      </c>
      <c r="M2689" s="1298">
        <f t="shared" si="660"/>
        <v>0</v>
      </c>
      <c r="N2689" s="1298">
        <f t="shared" si="661"/>
        <v>0</v>
      </c>
      <c r="O2689" s="1298">
        <f t="shared" si="662"/>
        <v>0</v>
      </c>
      <c r="P2689" s="1299"/>
      <c r="Q2689" s="1300"/>
      <c r="R2689" s="1300"/>
      <c r="S2689" s="1300"/>
    </row>
    <row r="2690" spans="1:19" s="1081" customFormat="1" hidden="1" outlineLevel="1">
      <c r="A2690" s="1072" t="str">
        <f t="shared" si="664"/>
        <v/>
      </c>
      <c r="B2690" s="1295" t="s">
        <v>442</v>
      </c>
      <c r="C2690" s="1291"/>
      <c r="D2690" s="1198" t="str">
        <f>VLOOKUP($B2690,dongia1,DG!$B$5,)</f>
        <v>T4.8002</v>
      </c>
      <c r="E2690" s="1243" t="str">
        <f>VLOOKUP($B2690,dongia1,DG!$C$5,)</f>
        <v>Lắp gía đỡ cáp</v>
      </c>
      <c r="F2690" s="1198" t="str">
        <f>VLOOKUP($B2690,dongia1,DG!$D$5,)</f>
        <v>bộ</v>
      </c>
      <c r="G2690" s="1303">
        <f>G2688+G2689</f>
        <v>0</v>
      </c>
      <c r="H2690" s="1298">
        <f>VLOOKUP($B2690,dongia1,DG!$F$5,)</f>
        <v>0</v>
      </c>
      <c r="I2690" s="1298"/>
      <c r="J2690" s="1298">
        <f>VLOOKUP($B2690,dongia1,DG!$G$5,)</f>
        <v>28219.62</v>
      </c>
      <c r="K2690" s="1298">
        <f>VLOOKUP($B2690,dongia1,DG!$H$5,)</f>
        <v>0</v>
      </c>
      <c r="L2690" s="1298">
        <f t="shared" si="659"/>
        <v>0</v>
      </c>
      <c r="M2690" s="1298">
        <f t="shared" si="660"/>
        <v>0</v>
      </c>
      <c r="N2690" s="1298">
        <f t="shared" si="661"/>
        <v>0</v>
      </c>
      <c r="O2690" s="1298">
        <f t="shared" si="662"/>
        <v>0</v>
      </c>
      <c r="P2690" s="1299"/>
      <c r="Q2690" s="1300"/>
      <c r="R2690" s="1300"/>
      <c r="S2690" s="1300"/>
    </row>
    <row r="2691" spans="1:19" s="1081" customFormat="1" hidden="1" outlineLevel="1">
      <c r="A2691" s="1072" t="str">
        <f t="shared" si="664"/>
        <v/>
      </c>
      <c r="B2691" s="1295" t="s">
        <v>888</v>
      </c>
      <c r="C2691" s="1302"/>
      <c r="D2691" s="1198">
        <f>VLOOKUP($B2691,dongia1,DG!$B$5,)</f>
        <v>0</v>
      </c>
      <c r="E2691" s="1243" t="str">
        <f>VLOOKUP($B2691,dongia1,DG!$C$5,)</f>
        <v>Bảng tên trạm + bảng báo nguy hiểm</v>
      </c>
      <c r="F2691" s="1198" t="str">
        <f>VLOOKUP($B2691,dongia1,DG!$D$5,)</f>
        <v>cái</v>
      </c>
      <c r="G2691" s="1303">
        <f>G2683</f>
        <v>0</v>
      </c>
      <c r="H2691" s="1298">
        <f>VLOOKUP($B2691,dongia1,DG!$F$5,)</f>
        <v>300000</v>
      </c>
      <c r="I2691" s="1298"/>
      <c r="J2691" s="1298">
        <f>VLOOKUP($B2691,dongia1,DG!$G$5,)</f>
        <v>0</v>
      </c>
      <c r="K2691" s="1298">
        <f>VLOOKUP($B2691,dongia1,DG!$H$5,)</f>
        <v>0</v>
      </c>
      <c r="L2691" s="1298">
        <f t="shared" si="659"/>
        <v>0</v>
      </c>
      <c r="M2691" s="1298">
        <f t="shared" si="660"/>
        <v>0</v>
      </c>
      <c r="N2691" s="1298">
        <f t="shared" si="661"/>
        <v>0</v>
      </c>
      <c r="O2691" s="1298">
        <f t="shared" si="662"/>
        <v>0</v>
      </c>
      <c r="P2691" s="1299"/>
      <c r="Q2691" s="1300"/>
      <c r="R2691" s="1300"/>
      <c r="S2691" s="1300"/>
    </row>
    <row r="2692" spans="1:19" s="1081" customFormat="1" ht="27.6" hidden="1" outlineLevel="1">
      <c r="A2692" s="1072" t="str">
        <f t="shared" si="664"/>
        <v/>
      </c>
      <c r="B2692" s="1295"/>
      <c r="C2692" s="166">
        <f>IF(G2692&gt;0,C2683+1,C2683)</f>
        <v>5</v>
      </c>
      <c r="D2692" s="167"/>
      <c r="E2692" s="168" t="s">
        <v>3457</v>
      </c>
      <c r="F2692" s="169" t="s">
        <v>2113</v>
      </c>
      <c r="G2692" s="1734"/>
      <c r="H2692" s="170"/>
      <c r="I2692" s="172"/>
      <c r="J2692" s="172"/>
      <c r="K2692" s="64"/>
      <c r="L2692" s="64"/>
      <c r="M2692" s="64"/>
      <c r="N2692" s="173"/>
      <c r="O2692" s="173"/>
      <c r="P2692" s="173"/>
      <c r="Q2692" s="1300"/>
      <c r="R2692" s="1300"/>
      <c r="S2692" s="1300"/>
    </row>
    <row r="2693" spans="1:19" s="1081" customFormat="1" ht="14.4" hidden="1" outlineLevel="1">
      <c r="A2693" s="1072" t="str">
        <f>A2692</f>
        <v/>
      </c>
      <c r="B2693" s="1295"/>
      <c r="C2693" s="1291"/>
      <c r="D2693" s="1292"/>
      <c r="E2693" s="1308" t="s">
        <v>3399</v>
      </c>
      <c r="F2693" s="1291"/>
      <c r="G2693" s="1297"/>
      <c r="H2693" s="1298"/>
      <c r="I2693" s="1298"/>
      <c r="J2693" s="1298"/>
      <c r="K2693" s="1298"/>
      <c r="L2693" s="1298"/>
      <c r="M2693" s="1298"/>
      <c r="N2693" s="1298"/>
      <c r="O2693" s="1298"/>
      <c r="P2693" s="1299"/>
      <c r="Q2693" s="1300"/>
      <c r="R2693" s="1300"/>
      <c r="S2693" s="1300"/>
    </row>
    <row r="2694" spans="1:19" s="1081" customFormat="1" hidden="1" outlineLevel="1">
      <c r="A2694" s="1072" t="str">
        <f>IF(G2694&lt;&gt;0,1,"")</f>
        <v/>
      </c>
      <c r="B2694" s="1068" t="s">
        <v>22</v>
      </c>
      <c r="C2694" s="1302"/>
      <c r="D2694" s="1198">
        <f>VLOOKUP($B2694,dongia1,DG!$B$5,)</f>
        <v>0</v>
      </c>
      <c r="E2694" s="1243" t="str">
        <f>VLOOKUP($B2694,dongia1,DG!$C$5,)&amp;": trong möông vaø leân MBA"</f>
        <v>Cáp 24kV C/XLPE/DSTA/PVC3x50: trong möông vaø leân MBA</v>
      </c>
      <c r="F2694" s="1198" t="str">
        <f>VLOOKUP($B2694,dongia1,DG!$D$5,)</f>
        <v>mét</v>
      </c>
      <c r="G2694" s="1303">
        <f>G2673+G2692*8</f>
        <v>0</v>
      </c>
      <c r="H2694" s="1298">
        <f>VLOOKUP($B2694,dongia1,DG!$F$5,)</f>
        <v>763500</v>
      </c>
      <c r="I2694" s="1298"/>
      <c r="J2694" s="1298">
        <f>VLOOKUP($B2694,dongia1,DG!$G$5,)</f>
        <v>0</v>
      </c>
      <c r="K2694" s="1298">
        <f>VLOOKUP($B2694,dongia1,DG!$H$5,)</f>
        <v>0</v>
      </c>
      <c r="L2694" s="1298">
        <f>H2694*G2694</f>
        <v>0</v>
      </c>
      <c r="M2694" s="1298">
        <f>I2694*G2694</f>
        <v>0</v>
      </c>
      <c r="N2694" s="1298">
        <f>J2694*G2694</f>
        <v>0</v>
      </c>
      <c r="O2694" s="1298">
        <f>K2694*G2694</f>
        <v>0</v>
      </c>
      <c r="P2694" s="1299"/>
      <c r="Q2694" s="1300"/>
      <c r="R2694" s="1300"/>
      <c r="S2694" s="1300"/>
    </row>
    <row r="2695" spans="1:19" s="1081" customFormat="1" hidden="1" outlineLevel="1">
      <c r="A2695" s="1072" t="str">
        <f>IF(G2695&lt;&gt;0,1,"")</f>
        <v/>
      </c>
      <c r="B2695" s="1068" t="s">
        <v>2071</v>
      </c>
      <c r="C2695" s="1302"/>
      <c r="D2695" s="1198">
        <f>VLOOKUP($B2695,dongia1,DG!$B$5,)</f>
        <v>0</v>
      </c>
      <c r="E2695" s="1243" t="str">
        <f>VLOOKUP($B2695,dongia1,DG!$C$5,)&amp;": trung tính"</f>
        <v>Cáp 24KV C/XLPE/PVC 50mm2: trung tính</v>
      </c>
      <c r="F2695" s="1198" t="str">
        <f>VLOOKUP($B2695,dongia1,DG!$D$5,)</f>
        <v>mét</v>
      </c>
      <c r="G2695" s="1303">
        <f>G2694</f>
        <v>0</v>
      </c>
      <c r="H2695" s="1298">
        <f>VLOOKUP($B2695,dongia1,DG!$F$5,)</f>
        <v>204900</v>
      </c>
      <c r="I2695" s="1298"/>
      <c r="J2695" s="1298">
        <f>VLOOKUP($B2695,dongia1,DG!$G$5,)</f>
        <v>0</v>
      </c>
      <c r="K2695" s="1298">
        <f>VLOOKUP($B2695,dongia1,DG!$H$5,)</f>
        <v>0</v>
      </c>
      <c r="L2695" s="1298">
        <f>H2695*G2695</f>
        <v>0</v>
      </c>
      <c r="M2695" s="1298">
        <f>I2695*G2695</f>
        <v>0</v>
      </c>
      <c r="N2695" s="1298">
        <f>J2695*G2695</f>
        <v>0</v>
      </c>
      <c r="O2695" s="1298">
        <f>K2695*G2695</f>
        <v>0</v>
      </c>
      <c r="P2695" s="1299"/>
      <c r="Q2695" s="1300"/>
      <c r="R2695" s="1300"/>
      <c r="S2695" s="1300"/>
    </row>
    <row r="2696" spans="1:19" s="1081" customFormat="1" hidden="1" outlineLevel="1">
      <c r="A2696" s="1072" t="str">
        <f t="shared" ref="A2696:A2702" si="665">IF(G2696&lt;&gt;0,1,"")</f>
        <v/>
      </c>
      <c r="B2696" s="1068" t="s">
        <v>2071</v>
      </c>
      <c r="C2696" s="1302"/>
      <c r="D2696" s="1198">
        <f>VLOOKUP($B2696,dongia1,DG!$B$5,)</f>
        <v>0</v>
      </c>
      <c r="E2696" s="1243" t="str">
        <f>VLOOKUP($B2696,dongia1,DG!$C$5,)&amp;": 0,5m/pha töø FCO xuoáng MBA"</f>
        <v>Cáp 24KV C/XLPE/PVC 50mm2: 0,5m/pha töø FCO xuoáng MBA</v>
      </c>
      <c r="F2696" s="1198" t="str">
        <f>VLOOKUP($B2696,dongia1,DG!$D$5,)</f>
        <v>mét</v>
      </c>
      <c r="G2696" s="1473">
        <f>G2692*0.5*3</f>
        <v>0</v>
      </c>
      <c r="H2696" s="1298">
        <f>VLOOKUP($B2696,dongia1,DG!$F$5,)</f>
        <v>204900</v>
      </c>
      <c r="I2696" s="1298"/>
      <c r="J2696" s="1298">
        <f>VLOOKUP($B2696,dongia1,DG!$G$5,)</f>
        <v>0</v>
      </c>
      <c r="K2696" s="1298">
        <f>VLOOKUP($B2696,dongia1,DG!$H$5,)</f>
        <v>0</v>
      </c>
      <c r="L2696" s="1298">
        <f>H2696*G2696</f>
        <v>0</v>
      </c>
      <c r="M2696" s="1298">
        <f>I2696*G2696</f>
        <v>0</v>
      </c>
      <c r="N2696" s="1298">
        <f>J2696*G2696</f>
        <v>0</v>
      </c>
      <c r="O2696" s="1298">
        <f>K2696*G2696</f>
        <v>0</v>
      </c>
      <c r="P2696" s="1299"/>
      <c r="Q2696" s="1300"/>
      <c r="R2696" s="1300"/>
      <c r="S2696" s="1300"/>
    </row>
    <row r="2697" spans="1:19" s="1081" customFormat="1" hidden="1" outlineLevel="1">
      <c r="A2697" s="1072" t="str">
        <f t="shared" si="665"/>
        <v/>
      </c>
      <c r="B2697" s="1068" t="s">
        <v>631</v>
      </c>
      <c r="C2697" s="1302"/>
      <c r="D2697" s="1198">
        <f>VLOOKUP($B2697,dongia1,DG!$B$5,)</f>
        <v>0</v>
      </c>
      <c r="E2697" s="1243" t="str">
        <f>VLOOKUP($B2697,dongia1,DG!$C$5,)</f>
        <v>Đầu cáp ngầm 24KV 3x50mm2 outdoor</v>
      </c>
      <c r="F2697" s="1198" t="str">
        <f>VLOOKUP($B2697,dongia1,DG!$D$5,)</f>
        <v>cái</v>
      </c>
      <c r="G2697" s="1303">
        <f>G2692</f>
        <v>0</v>
      </c>
      <c r="H2697" s="1298">
        <f>VLOOKUP($B2697,dongia1,DG!$F$5,)</f>
        <v>4022000</v>
      </c>
      <c r="I2697" s="1298"/>
      <c r="J2697" s="1298">
        <f>VLOOKUP($B2697,dongia1,DG!$G$5,)</f>
        <v>0</v>
      </c>
      <c r="K2697" s="1298">
        <f>VLOOKUP($B2697,dongia1,DG!$H$5,)</f>
        <v>0</v>
      </c>
      <c r="L2697" s="1298">
        <f t="shared" ref="L2697:L2702" si="666">H2697*G2697</f>
        <v>0</v>
      </c>
      <c r="M2697" s="1298">
        <f t="shared" ref="M2697:M2702" si="667">I2697*G2697</f>
        <v>0</v>
      </c>
      <c r="N2697" s="1298">
        <f t="shared" ref="N2697:N2702" si="668">J2697*G2697</f>
        <v>0</v>
      </c>
      <c r="O2697" s="1298">
        <f t="shared" ref="O2697:O2702" si="669">K2697*G2697</f>
        <v>0</v>
      </c>
      <c r="P2697" s="1299"/>
      <c r="Q2697" s="1300"/>
      <c r="R2697" s="1300"/>
      <c r="S2697" s="1300"/>
    </row>
    <row r="2698" spans="1:19" s="1081" customFormat="1" hidden="1" outlineLevel="1">
      <c r="A2698" s="1072" t="str">
        <f t="shared" si="665"/>
        <v/>
      </c>
      <c r="B2698" s="1068" t="s">
        <v>22</v>
      </c>
      <c r="C2698" s="1302"/>
      <c r="D2698" s="1198">
        <f>VLOOKUP($B2698,dongia1,DG!$B$5,)</f>
        <v>0</v>
      </c>
      <c r="E2698" s="1243" t="str">
        <f>VLOOKUP($B2698,dongia1,DG!$C$5,)&amp;": töø tuû LBS ñeán MBA"</f>
        <v>Cáp 24kV C/XLPE/DSTA/PVC3x50: töø tuû LBS ñeán MBA</v>
      </c>
      <c r="F2698" s="1198" t="str">
        <f>VLOOKUP($B2698,dongia1,DG!$D$5,)</f>
        <v>mét</v>
      </c>
      <c r="G2698" s="1473">
        <f>(1.2+2.4)*G2692</f>
        <v>0</v>
      </c>
      <c r="H2698" s="1298">
        <f>VLOOKUP($B2698,dongia1,DG!$F$5,)</f>
        <v>763500</v>
      </c>
      <c r="I2698" s="1298"/>
      <c r="J2698" s="1298">
        <f>VLOOKUP($B2698,dongia1,DG!$G$5,)</f>
        <v>0</v>
      </c>
      <c r="K2698" s="1298">
        <f>VLOOKUP($B2698,dongia1,DG!$H$5,)</f>
        <v>0</v>
      </c>
      <c r="L2698" s="1298">
        <f t="shared" si="666"/>
        <v>0</v>
      </c>
      <c r="M2698" s="1298">
        <f t="shared" si="667"/>
        <v>0</v>
      </c>
      <c r="N2698" s="1298">
        <f t="shared" si="668"/>
        <v>0</v>
      </c>
      <c r="O2698" s="1298">
        <f t="shared" si="669"/>
        <v>0</v>
      </c>
      <c r="P2698" s="1299"/>
      <c r="Q2698" s="1300"/>
      <c r="R2698" s="1300"/>
      <c r="S2698" s="1300"/>
    </row>
    <row r="2699" spans="1:19" s="1081" customFormat="1" hidden="1" outlineLevel="1">
      <c r="A2699" s="1072" t="str">
        <f t="shared" si="665"/>
        <v/>
      </c>
      <c r="B2699" s="1068" t="s">
        <v>2071</v>
      </c>
      <c r="C2699" s="1302"/>
      <c r="D2699" s="1198">
        <f>VLOOKUP($B2699,dongia1,DG!$B$5,)</f>
        <v>0</v>
      </c>
      <c r="E2699" s="1243" t="str">
        <f>VLOOKUP($B2699,dongia1,DG!$C$5,)&amp;": töø tuû LBS ñeán MBA"</f>
        <v>Cáp 24KV C/XLPE/PVC 50mm2: töø tuû LBS ñeán MBA</v>
      </c>
      <c r="F2699" s="1198" t="str">
        <f>VLOOKUP($B2699,dongia1,DG!$D$5,)</f>
        <v>mét</v>
      </c>
      <c r="G2699" s="1473">
        <f>G2692*1.2</f>
        <v>0</v>
      </c>
      <c r="H2699" s="1298">
        <f>VLOOKUP($B2699,dongia1,DG!$F$5,)</f>
        <v>204900</v>
      </c>
      <c r="I2699" s="1298"/>
      <c r="J2699" s="1298">
        <f>VLOOKUP($B2699,dongia1,DG!$G$5,)</f>
        <v>0</v>
      </c>
      <c r="K2699" s="1298">
        <f>VLOOKUP($B2699,dongia1,DG!$H$5,)</f>
        <v>0</v>
      </c>
      <c r="L2699" s="1298">
        <f t="shared" si="666"/>
        <v>0</v>
      </c>
      <c r="M2699" s="1298">
        <f t="shared" si="667"/>
        <v>0</v>
      </c>
      <c r="N2699" s="1298">
        <f t="shared" si="668"/>
        <v>0</v>
      </c>
      <c r="O2699" s="1298">
        <f t="shared" si="669"/>
        <v>0</v>
      </c>
      <c r="P2699" s="1299"/>
      <c r="Q2699" s="1300"/>
      <c r="R2699" s="1300"/>
      <c r="S2699" s="1300"/>
    </row>
    <row r="2700" spans="1:19" s="1081" customFormat="1" hidden="1" outlineLevel="1">
      <c r="A2700" s="1072" t="str">
        <f t="shared" si="665"/>
        <v/>
      </c>
      <c r="B2700" s="1068" t="s">
        <v>632</v>
      </c>
      <c r="C2700" s="1302"/>
      <c r="D2700" s="1198">
        <f>VLOOKUP($B2700,dongia1,DG!$B$5,)</f>
        <v>0</v>
      </c>
      <c r="E2700" s="1243" t="str">
        <f>VLOOKUP($B2700,dongia1,DG!$C$5,)</f>
        <v>Đầu cáp ngầm 24KV 3x50mm2 indoor</v>
      </c>
      <c r="F2700" s="1198" t="str">
        <f>VLOOKUP($B2700,dongia1,DG!$D$5,)</f>
        <v>cái</v>
      </c>
      <c r="G2700" s="1303">
        <f>G2692</f>
        <v>0</v>
      </c>
      <c r="H2700" s="1298">
        <f>VLOOKUP($B2700,dongia1,DG!$F$5,)</f>
        <v>5242230</v>
      </c>
      <c r="I2700" s="1298"/>
      <c r="J2700" s="1298">
        <f>VLOOKUP($B2700,dongia1,DG!$G$5,)</f>
        <v>0</v>
      </c>
      <c r="K2700" s="1298">
        <f>VLOOKUP($B2700,dongia1,DG!$H$5,)</f>
        <v>0</v>
      </c>
      <c r="L2700" s="1298">
        <f t="shared" si="666"/>
        <v>0</v>
      </c>
      <c r="M2700" s="1298">
        <f t="shared" si="667"/>
        <v>0</v>
      </c>
      <c r="N2700" s="1298">
        <f t="shared" si="668"/>
        <v>0</v>
      </c>
      <c r="O2700" s="1298">
        <f t="shared" si="669"/>
        <v>0</v>
      </c>
      <c r="P2700" s="1299"/>
      <c r="Q2700" s="1300"/>
      <c r="R2700" s="1300"/>
      <c r="S2700" s="1300"/>
    </row>
    <row r="2701" spans="1:19" s="1081" customFormat="1" hidden="1" outlineLevel="1">
      <c r="A2701" s="1072" t="str">
        <f t="shared" si="665"/>
        <v/>
      </c>
      <c r="B2701" s="1068" t="s">
        <v>1494</v>
      </c>
      <c r="C2701" s="1302"/>
      <c r="D2701" s="1198" t="str">
        <f>VLOOKUP($B2701,dongia1,DG!$B$5,)</f>
        <v>D4.3312</v>
      </c>
      <c r="E2701" s="1243" t="str">
        <f>VLOOKUP($B2701,dongia1,DG!$C$5,)</f>
        <v>Lắp đầu cáp trung thế 3x50mm2, 70mm2</v>
      </c>
      <c r="F2701" s="1198" t="str">
        <f>VLOOKUP($B2701,dongia1,DG!$D$5,)</f>
        <v>cái</v>
      </c>
      <c r="G2701" s="1303">
        <f>G2697+G2700</f>
        <v>0</v>
      </c>
      <c r="H2701" s="1298">
        <f>VLOOKUP($B2701,dongia1,DG!$F$5,)</f>
        <v>11340</v>
      </c>
      <c r="I2701" s="1298"/>
      <c r="J2701" s="1298">
        <f>VLOOKUP($B2701,dongia1,DG!$G$5,)</f>
        <v>621381.64999999991</v>
      </c>
      <c r="K2701" s="1298">
        <f>VLOOKUP($B2701,dongia1,DG!$H$5,)</f>
        <v>0</v>
      </c>
      <c r="L2701" s="1298">
        <f t="shared" si="666"/>
        <v>0</v>
      </c>
      <c r="M2701" s="1298">
        <f t="shared" si="667"/>
        <v>0</v>
      </c>
      <c r="N2701" s="1298">
        <f t="shared" si="668"/>
        <v>0</v>
      </c>
      <c r="O2701" s="1298">
        <f t="shared" si="669"/>
        <v>0</v>
      </c>
      <c r="P2701" s="1299"/>
      <c r="Q2701" s="1300"/>
      <c r="R2701" s="1300"/>
      <c r="S2701" s="1300"/>
    </row>
    <row r="2702" spans="1:19" s="1081" customFormat="1" hidden="1" outlineLevel="1">
      <c r="A2702" s="1072" t="str">
        <f t="shared" si="665"/>
        <v/>
      </c>
      <c r="B2702" s="1068" t="s">
        <v>1842</v>
      </c>
      <c r="C2702" s="1302"/>
      <c r="D2702" s="1198" t="str">
        <f>VLOOKUP($B2702,dongia1,DG!$B$5,)</f>
        <v>03.1405</v>
      </c>
      <c r="E2702" s="1243" t="str">
        <f>VLOOKUP($B2702,dongia1,DG!$C$5,)</f>
        <v>Lắp cáp trong ống bảo vệ trong TBA loại &lt;=6kg</v>
      </c>
      <c r="F2702" s="1198" t="str">
        <f>VLOOKUP($B2702,dongia1,DG!$D$5,)</f>
        <v>mét</v>
      </c>
      <c r="G2702" s="1473">
        <f>G2694+G2698</f>
        <v>0</v>
      </c>
      <c r="H2702" s="1298">
        <f>VLOOKUP($B2702,dongia1,DG!$F$5,)</f>
        <v>546.34</v>
      </c>
      <c r="I2702" s="1298"/>
      <c r="J2702" s="1298">
        <f>VLOOKUP($B2702,dongia1,DG!$G$5,)</f>
        <v>2166</v>
      </c>
      <c r="K2702" s="1298">
        <f>VLOOKUP($B2702,dongia1,DG!$H$5,)</f>
        <v>0</v>
      </c>
      <c r="L2702" s="1298">
        <f t="shared" si="666"/>
        <v>0</v>
      </c>
      <c r="M2702" s="1298">
        <f t="shared" si="667"/>
        <v>0</v>
      </c>
      <c r="N2702" s="1298">
        <f t="shared" si="668"/>
        <v>0</v>
      </c>
      <c r="O2702" s="1298">
        <f t="shared" si="669"/>
        <v>0</v>
      </c>
      <c r="P2702" s="1299"/>
      <c r="Q2702" s="1300"/>
      <c r="R2702" s="1300"/>
      <c r="S2702" s="1300"/>
    </row>
    <row r="2703" spans="1:19" s="1081" customFormat="1" hidden="1" outlineLevel="1">
      <c r="A2703" s="1072" t="str">
        <f>IF(G2703&lt;&gt;0,1,"")</f>
        <v/>
      </c>
      <c r="B2703" s="1068" t="s">
        <v>1839</v>
      </c>
      <c r="C2703" s="1302"/>
      <c r="D2703" s="1198" t="str">
        <f>VLOOKUP($B2703,dongia1,DG!$B$5,)</f>
        <v>03.1402</v>
      </c>
      <c r="E2703" s="1243" t="str">
        <f>VLOOKUP($B2703,dongia1,DG!$C$5,)</f>
        <v>Lắp cáp trong ống bảo vệ trong TBA loại &lt;=2kg</v>
      </c>
      <c r="F2703" s="1198" t="str">
        <f>VLOOKUP($B2703,dongia1,DG!$D$5,)</f>
        <v>mét</v>
      </c>
      <c r="G2703" s="1473">
        <f>G2695+G2699</f>
        <v>0</v>
      </c>
      <c r="H2703" s="1298">
        <f>VLOOKUP($B2703,dongia1,DG!$F$5,)</f>
        <v>460.75</v>
      </c>
      <c r="I2703" s="1298"/>
      <c r="J2703" s="1298">
        <f>VLOOKUP($B2703,dongia1,DG!$G$5,)</f>
        <v>1020</v>
      </c>
      <c r="K2703" s="1298">
        <f>VLOOKUP($B2703,dongia1,DG!$H$5,)</f>
        <v>0</v>
      </c>
      <c r="L2703" s="1298">
        <f>H2703*G2703</f>
        <v>0</v>
      </c>
      <c r="M2703" s="1298">
        <f>I2703*G2703</f>
        <v>0</v>
      </c>
      <c r="N2703" s="1298">
        <f>J2703*G2703</f>
        <v>0</v>
      </c>
      <c r="O2703" s="1298">
        <f>K2703*G2703</f>
        <v>0</v>
      </c>
      <c r="P2703" s="1299"/>
      <c r="Q2703" s="1300"/>
      <c r="R2703" s="1300"/>
      <c r="S2703" s="1300"/>
    </row>
    <row r="2704" spans="1:19" s="1081" customFormat="1" hidden="1" outlineLevel="1">
      <c r="A2704" s="1072" t="str">
        <f>IF(G2704&lt;&gt;0,1,"")</f>
        <v/>
      </c>
      <c r="B2704" s="1068" t="s">
        <v>224</v>
      </c>
      <c r="C2704" s="1302"/>
      <c r="D2704" s="1198" t="str">
        <f>VLOOKUP($B2704,dongia1,DG!$B$5,)</f>
        <v>T4.4201</v>
      </c>
      <c r="E2704" s="1243" t="str">
        <f>VLOOKUP($B2704,dongia1,DG!$C$5,)</f>
        <v>Lắp cáp đồng xuống thiết bị D ≤ 95mm2</v>
      </c>
      <c r="F2704" s="1198" t="str">
        <f>VLOOKUP($B2704,dongia1,DG!$D$5,)</f>
        <v>m</v>
      </c>
      <c r="G2704" s="1473">
        <f>G2696</f>
        <v>0</v>
      </c>
      <c r="H2704" s="1298">
        <f>VLOOKUP($B2704,dongia1,DG!$F$5,)</f>
        <v>0</v>
      </c>
      <c r="I2704" s="1298"/>
      <c r="J2704" s="1298">
        <f>VLOOKUP($B2704,dongia1,DG!$G$5,)</f>
        <v>13915</v>
      </c>
      <c r="K2704" s="1298">
        <f>VLOOKUP($B2704,dongia1,DG!$H$5,)</f>
        <v>0</v>
      </c>
      <c r="L2704" s="1298">
        <f>H2704*G2704</f>
        <v>0</v>
      </c>
      <c r="M2704" s="1298">
        <f>I2704*G2704</f>
        <v>0</v>
      </c>
      <c r="N2704" s="1298">
        <f>J2704*G2704</f>
        <v>0</v>
      </c>
      <c r="O2704" s="1298">
        <f>K2704*G2704</f>
        <v>0</v>
      </c>
      <c r="P2704" s="1299"/>
      <c r="Q2704" s="1300"/>
      <c r="R2704" s="1300"/>
      <c r="S2704" s="1300"/>
    </row>
    <row r="2705" spans="1:19" s="1081" customFormat="1" hidden="1" outlineLevel="1">
      <c r="A2705" s="1072" t="str">
        <f>IF(G2705&lt;&gt;0,1,"")</f>
        <v/>
      </c>
      <c r="B2705" s="1068" t="s">
        <v>627</v>
      </c>
      <c r="C2705" s="1302"/>
      <c r="D2705" s="1198">
        <f>VLOOKUP($B2705,dongia1,DG!$B$5,)</f>
        <v>0</v>
      </c>
      <c r="E2705" s="1243" t="str">
        <f>VLOOKUP($B2705,dongia1,DG!$C$5,)</f>
        <v>Dây rút cáp</v>
      </c>
      <c r="F2705" s="1198" t="str">
        <f>VLOOKUP($B2705,dongia1,DG!$D$5,)</f>
        <v>bọc</v>
      </c>
      <c r="G2705" s="1303">
        <f>G2692*2</f>
        <v>0</v>
      </c>
      <c r="H2705" s="1298">
        <f>VLOOKUP($B2705,dongia1,DG!$F$5,)</f>
        <v>15000</v>
      </c>
      <c r="I2705" s="1298"/>
      <c r="J2705" s="1298">
        <f>VLOOKUP($B2705,dongia1,DG!$G$5,)</f>
        <v>0</v>
      </c>
      <c r="K2705" s="1298">
        <f>VLOOKUP($B2705,dongia1,DG!$H$5,)</f>
        <v>0</v>
      </c>
      <c r="L2705" s="1298">
        <f>H2705*G2705</f>
        <v>0</v>
      </c>
      <c r="M2705" s="1298">
        <f>I2705*G2705</f>
        <v>0</v>
      </c>
      <c r="N2705" s="1298">
        <f>J2705*G2705</f>
        <v>0</v>
      </c>
      <c r="O2705" s="1298">
        <f>K2705*G2705</f>
        <v>0</v>
      </c>
      <c r="P2705" s="1299"/>
      <c r="Q2705" s="1300"/>
      <c r="R2705" s="1300"/>
      <c r="S2705" s="1300"/>
    </row>
    <row r="2706" spans="1:19" s="1081" customFormat="1" outlineLevel="1">
      <c r="A2706" s="1072">
        <f>IF(G2706&lt;&gt;0,1,"")</f>
        <v>1</v>
      </c>
      <c r="B2706" s="1295"/>
      <c r="C2706" s="166">
        <f>IF(G2706&gt;0,C2692+1,C2692)</f>
        <v>6</v>
      </c>
      <c r="D2706" s="167"/>
      <c r="E2706" s="168" t="s">
        <v>3449</v>
      </c>
      <c r="F2706" s="169" t="s">
        <v>2113</v>
      </c>
      <c r="G2706" s="1734">
        <f>G2594</f>
        <v>1</v>
      </c>
      <c r="H2706" s="170"/>
      <c r="I2706" s="172"/>
      <c r="J2706" s="172"/>
      <c r="K2706" s="64"/>
      <c r="L2706" s="64"/>
      <c r="M2706" s="64"/>
      <c r="N2706" s="173"/>
      <c r="O2706" s="173"/>
      <c r="P2706" s="173"/>
      <c r="Q2706" s="1300"/>
      <c r="R2706" s="1300"/>
      <c r="S2706" s="1300"/>
    </row>
    <row r="2707" spans="1:19" s="1081" customFormat="1" ht="14.4" outlineLevel="1">
      <c r="A2707" s="1072">
        <f>A2706</f>
        <v>1</v>
      </c>
      <c r="B2707" s="1295"/>
      <c r="C2707" s="1291"/>
      <c r="D2707" s="1292"/>
      <c r="E2707" s="1301" t="s">
        <v>3399</v>
      </c>
      <c r="F2707" s="1291"/>
      <c r="G2707" s="1297"/>
      <c r="H2707" s="1298"/>
      <c r="I2707" s="1298"/>
      <c r="J2707" s="1298"/>
      <c r="K2707" s="1298"/>
      <c r="L2707" s="1298"/>
      <c r="M2707" s="1298"/>
      <c r="N2707" s="1298"/>
      <c r="O2707" s="1298"/>
      <c r="P2707" s="1437"/>
      <c r="Q2707" s="1300"/>
      <c r="R2707" s="1300"/>
      <c r="S2707" s="1300"/>
    </row>
    <row r="2708" spans="1:19" s="1081" customFormat="1" outlineLevel="1">
      <c r="A2708" s="1072">
        <f t="shared" ref="A2708:A2762" si="670">IF(G2708&lt;&gt;0,1,"")</f>
        <v>1</v>
      </c>
      <c r="B2708" s="1068" t="s">
        <v>5669</v>
      </c>
      <c r="C2708" s="1302"/>
      <c r="D2708" s="1198">
        <f>VLOOKUP($B2708,dongia1,DG!$B$5,)</f>
        <v>0</v>
      </c>
      <c r="E2708" s="1243" t="str">
        <f>VLOOKUP($B2708,dongia1,DG!$C$5,)</f>
        <v>Cáp 24KV C/XLPE- 25mm2</v>
      </c>
      <c r="F2708" s="1198" t="str">
        <f>VLOOKUP($B2708,dongia1,DG!$D$5,)</f>
        <v>mét</v>
      </c>
      <c r="G2708" s="1508">
        <f>G2706*(12)*3</f>
        <v>36</v>
      </c>
      <c r="H2708" s="1298">
        <f>VLOOKUP($B2708,dongia1,DG!$F$5,)</f>
        <v>99600</v>
      </c>
      <c r="I2708" s="1298"/>
      <c r="J2708" s="1298">
        <f>VLOOKUP($B2708,dongia1,DG!$G$5,)</f>
        <v>0</v>
      </c>
      <c r="K2708" s="1298">
        <f>VLOOKUP($B2708,dongia1,DG!$H$5,)</f>
        <v>0</v>
      </c>
      <c r="L2708" s="1298">
        <f t="shared" ref="L2708:L2719" si="671">H2708*G2708</f>
        <v>3585600</v>
      </c>
      <c r="M2708" s="1298">
        <f>I2708*G2708</f>
        <v>0</v>
      </c>
      <c r="N2708" s="1298">
        <f t="shared" ref="N2708:N2719" si="672">J2708*G2708</f>
        <v>0</v>
      </c>
      <c r="O2708" s="1298">
        <f t="shared" ref="O2708:O2719" si="673">K2708*G2708</f>
        <v>0</v>
      </c>
      <c r="P2708" s="1437"/>
      <c r="Q2708" s="1300"/>
      <c r="R2708" s="1300"/>
      <c r="S2708" s="1300"/>
    </row>
    <row r="2709" spans="1:19" s="1081" customFormat="1" outlineLevel="1">
      <c r="A2709" s="1072">
        <f t="shared" si="670"/>
        <v>1</v>
      </c>
      <c r="B2709" s="1421" t="s">
        <v>2144</v>
      </c>
      <c r="C2709" s="1302"/>
      <c r="D2709" s="1198">
        <f>VLOOKUP($B2709,dongia1,DG!$B$5,)</f>
        <v>0</v>
      </c>
      <c r="E2709" s="1243" t="str">
        <f>VLOOKUP($B2709,dongia1,DG!$C$5,)</f>
        <v>Nắp che đầu cực FCO</v>
      </c>
      <c r="F2709" s="1198" t="str">
        <f>VLOOKUP($B2709,dongia1,DG!$D$5,)</f>
        <v>cái</v>
      </c>
      <c r="G2709" s="1508">
        <f>G2706*3</f>
        <v>3</v>
      </c>
      <c r="H2709" s="1298">
        <f>VLOOKUP($B2709,dongia1,DG!$F$5,)</f>
        <v>218200</v>
      </c>
      <c r="I2709" s="1298"/>
      <c r="J2709" s="1298">
        <f>VLOOKUP($B2709,dongia1,DG!$G$5,)</f>
        <v>0</v>
      </c>
      <c r="K2709" s="1298">
        <f>VLOOKUP($B2709,dongia1,DG!$H$5,)</f>
        <v>0</v>
      </c>
      <c r="L2709" s="1298">
        <f t="shared" si="671"/>
        <v>654600</v>
      </c>
      <c r="M2709" s="1298">
        <f t="shared" ref="M2709:M2712" si="674">I2709*G2709</f>
        <v>0</v>
      </c>
      <c r="N2709" s="1298">
        <f t="shared" si="672"/>
        <v>0</v>
      </c>
      <c r="O2709" s="1298">
        <f t="shared" si="673"/>
        <v>0</v>
      </c>
      <c r="P2709" s="1299"/>
      <c r="Q2709" s="1300"/>
      <c r="R2709" s="1300"/>
      <c r="S2709" s="1300"/>
    </row>
    <row r="2710" spans="1:19" s="1081" customFormat="1" outlineLevel="1">
      <c r="A2710" s="1072">
        <f t="shared" si="670"/>
        <v>1</v>
      </c>
      <c r="B2710" s="1421" t="s">
        <v>2121</v>
      </c>
      <c r="C2710" s="1302"/>
      <c r="D2710" s="1198">
        <f>VLOOKUP($B2710,dongia1,DG!$B$5,)</f>
        <v>0</v>
      </c>
      <c r="E2710" s="1243" t="str">
        <f>VLOOKUP($B2710,dongia1,DG!$C$5,)</f>
        <v>Nắp che đầu cực LA</v>
      </c>
      <c r="F2710" s="1198" t="str">
        <f>VLOOKUP($B2710,dongia1,DG!$D$5,)</f>
        <v>cái</v>
      </c>
      <c r="G2710" s="1508">
        <f>G2706*3</f>
        <v>3</v>
      </c>
      <c r="H2710" s="1298">
        <f>VLOOKUP($B2710,dongia1,DG!$F$5,)</f>
        <v>39100</v>
      </c>
      <c r="I2710" s="1298"/>
      <c r="J2710" s="1298">
        <f>VLOOKUP($B2710,dongia1,DG!$G$5,)</f>
        <v>0</v>
      </c>
      <c r="K2710" s="1298">
        <f>VLOOKUP($B2710,dongia1,DG!$H$5,)</f>
        <v>0</v>
      </c>
      <c r="L2710" s="1298">
        <f>H2710*G2710</f>
        <v>117300</v>
      </c>
      <c r="M2710" s="1298">
        <f t="shared" si="674"/>
        <v>0</v>
      </c>
      <c r="N2710" s="1298">
        <f>J2710*G2710</f>
        <v>0</v>
      </c>
      <c r="O2710" s="1298">
        <f>K2710*G2710</f>
        <v>0</v>
      </c>
      <c r="P2710" s="1299"/>
      <c r="Q2710" s="1300"/>
      <c r="R2710" s="1300"/>
      <c r="S2710" s="1300"/>
    </row>
    <row r="2711" spans="1:19" s="1081" customFormat="1" outlineLevel="1">
      <c r="A2711" s="1072">
        <f t="shared" si="670"/>
        <v>1</v>
      </c>
      <c r="B2711" s="1421" t="s">
        <v>2123</v>
      </c>
      <c r="C2711" s="1302"/>
      <c r="D2711" s="1198">
        <f>VLOOKUP($B2711,dongia1,DG!$B$5,)</f>
        <v>0</v>
      </c>
      <c r="E2711" s="1243" t="str">
        <f>VLOOKUP($B2711,dongia1,DG!$C$5,)</f>
        <v>Nắp che đầu sứ MBA</v>
      </c>
      <c r="F2711" s="1198" t="str">
        <f>VLOOKUP($B2711,dongia1,DG!$D$5,)</f>
        <v>cái</v>
      </c>
      <c r="G2711" s="1508">
        <f>G2706*3</f>
        <v>3</v>
      </c>
      <c r="H2711" s="1298">
        <f>VLOOKUP($B2711,dongia1,DG!$F$5,)</f>
        <v>56700</v>
      </c>
      <c r="I2711" s="1298"/>
      <c r="J2711" s="1298">
        <f>VLOOKUP($B2711,dongia1,DG!$G$5,)</f>
        <v>0</v>
      </c>
      <c r="K2711" s="1298">
        <f>VLOOKUP($B2711,dongia1,DG!$H$5,)</f>
        <v>0</v>
      </c>
      <c r="L2711" s="1298">
        <f>H2711*G2711</f>
        <v>170100</v>
      </c>
      <c r="M2711" s="1298">
        <f t="shared" si="674"/>
        <v>0</v>
      </c>
      <c r="N2711" s="1298">
        <f>J2711*G2711</f>
        <v>0</v>
      </c>
      <c r="O2711" s="1298">
        <f>K2711*G2711</f>
        <v>0</v>
      </c>
      <c r="P2711" s="1299"/>
      <c r="Q2711" s="1300"/>
      <c r="R2711" s="1300"/>
      <c r="S2711" s="1300"/>
    </row>
    <row r="2712" spans="1:19" s="1081" customFormat="1" outlineLevel="1">
      <c r="A2712" s="1072">
        <f t="shared" si="670"/>
        <v>1</v>
      </c>
      <c r="B2712" s="1421" t="s">
        <v>4609</v>
      </c>
      <c r="C2712" s="1302"/>
      <c r="D2712" s="1198"/>
      <c r="E2712" s="1243" t="str">
        <f>VLOOKUP($B2712,dongia1,DG!$C$5,)</f>
        <v>Chụp đầu cực TI, TU</v>
      </c>
      <c r="F2712" s="1198" t="str">
        <f>VLOOKUP($B2712,dongia1,DG!$D$5,)</f>
        <v>Cái</v>
      </c>
      <c r="G2712" s="1508">
        <f>G2604*2+G2605</f>
        <v>9</v>
      </c>
      <c r="H2712" s="1298">
        <f>VLOOKUP($B2712,dongia1,DG!$F$5,)</f>
        <v>25000</v>
      </c>
      <c r="I2712" s="1298"/>
      <c r="J2712" s="1298">
        <f>VLOOKUP($B2712,dongia1,DG!$G$5,)</f>
        <v>0</v>
      </c>
      <c r="K2712" s="1298">
        <f>VLOOKUP($B2712,dongia1,DG!$H$5,)</f>
        <v>0</v>
      </c>
      <c r="L2712" s="1298">
        <f>H2712*G2712</f>
        <v>225000</v>
      </c>
      <c r="M2712" s="1298">
        <f t="shared" si="674"/>
        <v>0</v>
      </c>
      <c r="N2712" s="1298">
        <f>J2712*G2712</f>
        <v>0</v>
      </c>
      <c r="O2712" s="1298">
        <f>K2712*G2712</f>
        <v>0</v>
      </c>
      <c r="P2712" s="1299"/>
      <c r="Q2712" s="1300"/>
      <c r="R2712" s="1300"/>
      <c r="S2712" s="1300"/>
    </row>
    <row r="2713" spans="1:19" s="1081" customFormat="1" outlineLevel="1">
      <c r="A2713" s="1072">
        <f t="shared" si="670"/>
        <v>1</v>
      </c>
      <c r="B2713" s="1421" t="s">
        <v>2028</v>
      </c>
      <c r="C2713" s="1302"/>
      <c r="D2713" s="1198">
        <f>VLOOKUP($B2713,dongia1,DG!$B$5,)</f>
        <v>0</v>
      </c>
      <c r="E2713" s="1243" t="str">
        <f>VLOOKUP($B2713,dongia1,DG!$C$5,)</f>
        <v>Kẹp quai 2/0</v>
      </c>
      <c r="F2713" s="1198" t="str">
        <f>VLOOKUP($B2713,dongia1,DG!$D$5,)</f>
        <v>cái</v>
      </c>
      <c r="G2713" s="1508">
        <v>3</v>
      </c>
      <c r="H2713" s="1298">
        <f>VLOOKUP($B2713,dongia1,DG!$F$5,)</f>
        <v>46000</v>
      </c>
      <c r="I2713" s="1298"/>
      <c r="J2713" s="1298">
        <f>VLOOKUP($B2713,dongia1,DG!$G$5,)</f>
        <v>0</v>
      </c>
      <c r="K2713" s="1298">
        <f>VLOOKUP($B2713,dongia1,DG!$H$5,)</f>
        <v>0</v>
      </c>
      <c r="L2713" s="1298">
        <f t="shared" si="671"/>
        <v>138000</v>
      </c>
      <c r="M2713" s="1298">
        <f t="shared" ref="M2713:M2719" si="675">I2713*G2713</f>
        <v>0</v>
      </c>
      <c r="N2713" s="1298">
        <f t="shared" si="672"/>
        <v>0</v>
      </c>
      <c r="O2713" s="1298">
        <f t="shared" si="673"/>
        <v>0</v>
      </c>
      <c r="P2713" s="1437"/>
      <c r="Q2713" s="1300"/>
      <c r="R2713" s="1300"/>
      <c r="S2713" s="1300"/>
    </row>
    <row r="2714" spans="1:19" s="1081" customFormat="1" outlineLevel="1">
      <c r="A2714" s="1072">
        <f t="shared" si="670"/>
        <v>1</v>
      </c>
      <c r="B2714" s="1421" t="s">
        <v>2026</v>
      </c>
      <c r="C2714" s="1302"/>
      <c r="D2714" s="1198">
        <f>VLOOKUP($B2714,dongia1,DG!$B$5,)</f>
        <v>0</v>
      </c>
      <c r="E2714" s="1243" t="str">
        <f>VLOOKUP($B2714,dongia1,DG!$C$5,)&amp;": "</f>
        <v xml:space="preserve">Kẹp hotline 2/0: </v>
      </c>
      <c r="F2714" s="1198" t="str">
        <f>VLOOKUP($B2714,dongia1,DG!$D$5,)</f>
        <v>cái</v>
      </c>
      <c r="G2714" s="1508">
        <v>3</v>
      </c>
      <c r="H2714" s="1298">
        <f>VLOOKUP($B2714,dongia1,DG!$F$5,)</f>
        <v>77000</v>
      </c>
      <c r="I2714" s="1298"/>
      <c r="J2714" s="1298">
        <f>VLOOKUP($B2714,dongia1,DG!$G$5,)</f>
        <v>0</v>
      </c>
      <c r="K2714" s="1298">
        <f>VLOOKUP($B2714,dongia1,DG!$H$5,)</f>
        <v>0</v>
      </c>
      <c r="L2714" s="1298">
        <f t="shared" si="671"/>
        <v>231000</v>
      </c>
      <c r="M2714" s="1298">
        <f t="shared" si="675"/>
        <v>0</v>
      </c>
      <c r="N2714" s="1298">
        <f t="shared" si="672"/>
        <v>0</v>
      </c>
      <c r="O2714" s="1298">
        <f t="shared" si="673"/>
        <v>0</v>
      </c>
      <c r="P2714" s="1437"/>
      <c r="Q2714" s="1300"/>
      <c r="R2714" s="1300"/>
      <c r="S2714" s="1300"/>
    </row>
    <row r="2715" spans="1:19" s="1081" customFormat="1" outlineLevel="1">
      <c r="A2715" s="1072">
        <f t="shared" si="670"/>
        <v>1</v>
      </c>
      <c r="B2715" s="1068" t="s">
        <v>647</v>
      </c>
      <c r="C2715" s="1437"/>
      <c r="D2715" s="1198">
        <f>VLOOKUP($B2715,dongia1,DG!$B$5,)</f>
        <v>0</v>
      </c>
      <c r="E2715" s="1243" t="str">
        <f>VLOOKUP($B2715,dongia1,DG!$C$5,)</f>
        <v xml:space="preserve">Sứ đứng 24KV </v>
      </c>
      <c r="F2715" s="1198" t="str">
        <f>VLOOKUP($B2715,dongia1,DG!$D$5,)</f>
        <v>cái</v>
      </c>
      <c r="G2715" s="1508">
        <v>9</v>
      </c>
      <c r="H2715" s="1298">
        <f>VLOOKUP($B2715,dongia1,DG!$F$5,)</f>
        <v>205000</v>
      </c>
      <c r="I2715" s="1298"/>
      <c r="J2715" s="1298">
        <f>VLOOKUP($B2715,dongia1,DG!$G$5,)</f>
        <v>0</v>
      </c>
      <c r="K2715" s="1298">
        <f>VLOOKUP($B2715,dongia1,DG!$H$5,)</f>
        <v>0</v>
      </c>
      <c r="L2715" s="1298">
        <f t="shared" si="671"/>
        <v>1845000</v>
      </c>
      <c r="M2715" s="1298">
        <f t="shared" si="675"/>
        <v>0</v>
      </c>
      <c r="N2715" s="1298">
        <f t="shared" si="672"/>
        <v>0</v>
      </c>
      <c r="O2715" s="1298">
        <f t="shared" si="673"/>
        <v>0</v>
      </c>
      <c r="P2715" s="1437"/>
      <c r="Q2715" s="1300"/>
      <c r="R2715" s="1300"/>
      <c r="S2715" s="1300"/>
    </row>
    <row r="2716" spans="1:19" s="1081" customFormat="1" outlineLevel="1">
      <c r="A2716" s="1072">
        <f t="shared" si="670"/>
        <v>1</v>
      </c>
      <c r="B2716" s="1068" t="s">
        <v>414</v>
      </c>
      <c r="C2716" s="1302"/>
      <c r="D2716" s="1198">
        <f>VLOOKUP($B2716,dongia1,DG!$B$5,)</f>
        <v>0</v>
      </c>
      <c r="E2716" s="1243" t="str">
        <f>VLOOKUP($B2716,dongia1,DG!$C$5,)</f>
        <v>Chân sứ đứng D20</v>
      </c>
      <c r="F2716" s="1198" t="str">
        <f>VLOOKUP($B2716,dongia1,DG!$D$5,)</f>
        <v>cái</v>
      </c>
      <c r="G2716" s="1508">
        <f>G2715</f>
        <v>9</v>
      </c>
      <c r="H2716" s="1298">
        <f>VLOOKUP($B2716,dongia1,DG!$F$5,)</f>
        <v>65000</v>
      </c>
      <c r="I2716" s="1298"/>
      <c r="J2716" s="1298">
        <f>VLOOKUP($B2716,dongia1,DG!$G$5,)</f>
        <v>0</v>
      </c>
      <c r="K2716" s="1298">
        <f>VLOOKUP($B2716,dongia1,DG!$H$5,)</f>
        <v>0</v>
      </c>
      <c r="L2716" s="1298">
        <f t="shared" si="671"/>
        <v>585000</v>
      </c>
      <c r="M2716" s="1298">
        <f t="shared" si="675"/>
        <v>0</v>
      </c>
      <c r="N2716" s="1298">
        <f t="shared" si="672"/>
        <v>0</v>
      </c>
      <c r="O2716" s="1298">
        <f t="shared" si="673"/>
        <v>0</v>
      </c>
      <c r="P2716" s="1437"/>
      <c r="Q2716" s="1300"/>
      <c r="R2716" s="1300"/>
      <c r="S2716" s="1300"/>
    </row>
    <row r="2717" spans="1:19" s="1081" customFormat="1" outlineLevel="1">
      <c r="A2717" s="1072">
        <f>IF(G2717&lt;&gt;0,1,"")</f>
        <v>1</v>
      </c>
      <c r="B2717" s="25" t="s">
        <v>5786</v>
      </c>
      <c r="C2717" s="1302"/>
      <c r="D2717" s="1198">
        <f>VLOOKUP($B2717,dongia1,DG!$B$5,)</f>
        <v>0</v>
      </c>
      <c r="E2717" s="1243" t="str">
        <f>VLOOKUP($B2717,dongia1,DG!$C$5,)</f>
        <v>Dây buộc đầu sứ đỡ thẳng 50mm2</v>
      </c>
      <c r="F2717" s="1198" t="str">
        <f>VLOOKUP($B2717,dongia1,DG!$D$5,)</f>
        <v>cái</v>
      </c>
      <c r="G2717" s="1508">
        <f>G2716</f>
        <v>9</v>
      </c>
      <c r="H2717" s="1298">
        <f>VLOOKUP($B2717,dongia1,DG!$F$5,)</f>
        <v>132000</v>
      </c>
      <c r="I2717" s="1298"/>
      <c r="J2717" s="1298">
        <f>VLOOKUP($B2717,dongia1,DG!$G$5,)</f>
        <v>0</v>
      </c>
      <c r="K2717" s="1298">
        <f>VLOOKUP($B2717,dongia1,DG!$H$5,)</f>
        <v>0</v>
      </c>
      <c r="L2717" s="1298">
        <f>H2717*G2717</f>
        <v>1188000</v>
      </c>
      <c r="M2717" s="1298">
        <f>I2717*G2717</f>
        <v>0</v>
      </c>
      <c r="N2717" s="1298">
        <f>J2717*G2717</f>
        <v>0</v>
      </c>
      <c r="O2717" s="1298">
        <f>K2717*G2717</f>
        <v>0</v>
      </c>
      <c r="P2717" s="1437"/>
      <c r="Q2717" s="1300"/>
      <c r="R2717" s="1300"/>
      <c r="S2717" s="1300"/>
    </row>
    <row r="2718" spans="1:19" s="1081" customFormat="1" outlineLevel="1">
      <c r="A2718" s="1072">
        <f t="shared" si="670"/>
        <v>1</v>
      </c>
      <c r="B2718" s="1068" t="s">
        <v>742</v>
      </c>
      <c r="C2718" s="1302"/>
      <c r="D2718" s="1198" t="str">
        <f>VLOOKUP($B2718,dongia1,DG!$B$5,)</f>
        <v>D3.1115</v>
      </c>
      <c r="E2718" s="1243" t="str">
        <f>VLOOKUP($B2718,dongia1,DG!$C$5,)</f>
        <v>Lắp sứ đứng 24KV</v>
      </c>
      <c r="F2718" s="1198" t="str">
        <f>VLOOKUP($B2718,dongia1,DG!$D$5,)</f>
        <v>bộ</v>
      </c>
      <c r="G2718" s="1508">
        <f>G2716</f>
        <v>9</v>
      </c>
      <c r="H2718" s="1298"/>
      <c r="I2718" s="1298"/>
      <c r="J2718" s="1298">
        <f>VLOOKUP($B2718,dongia1,DG!$G$5,)</f>
        <v>58277.49</v>
      </c>
      <c r="K2718" s="1298"/>
      <c r="L2718" s="1298">
        <f t="shared" si="671"/>
        <v>0</v>
      </c>
      <c r="M2718" s="1298">
        <f t="shared" si="675"/>
        <v>0</v>
      </c>
      <c r="N2718" s="1298">
        <f t="shared" si="672"/>
        <v>524497.41</v>
      </c>
      <c r="O2718" s="1298">
        <f t="shared" si="673"/>
        <v>0</v>
      </c>
      <c r="P2718" s="1437"/>
      <c r="Q2718" s="1300"/>
      <c r="R2718" s="1300"/>
      <c r="S2718" s="1300"/>
    </row>
    <row r="2719" spans="1:19" s="1081" customFormat="1" outlineLevel="1">
      <c r="A2719" s="1072">
        <f t="shared" si="670"/>
        <v>1</v>
      </c>
      <c r="B2719" s="1068" t="s">
        <v>224</v>
      </c>
      <c r="C2719" s="1302"/>
      <c r="D2719" s="1198" t="str">
        <f>VLOOKUP($B2719,dongia1,DG!$B$5,)</f>
        <v>T4.4201</v>
      </c>
      <c r="E2719" s="1243" t="str">
        <f>VLOOKUP($B2719,dongia1,DG!$C$5,)</f>
        <v>Lắp cáp đồng xuống thiết bị D ≤ 95mm2</v>
      </c>
      <c r="F2719" s="1198" t="str">
        <f>VLOOKUP($B2719,dongia1,DG!$D$5,)</f>
        <v>m</v>
      </c>
      <c r="G2719" s="1508">
        <f>G2708</f>
        <v>36</v>
      </c>
      <c r="H2719" s="1298"/>
      <c r="I2719" s="1298"/>
      <c r="J2719" s="1298">
        <f>VLOOKUP($B2719,dongia1,DG!$G$5,)</f>
        <v>13915</v>
      </c>
      <c r="K2719" s="1298"/>
      <c r="L2719" s="1298">
        <f t="shared" si="671"/>
        <v>0</v>
      </c>
      <c r="M2719" s="1298">
        <f t="shared" si="675"/>
        <v>0</v>
      </c>
      <c r="N2719" s="1298">
        <f t="shared" si="672"/>
        <v>500940</v>
      </c>
      <c r="O2719" s="1298">
        <f t="shared" si="673"/>
        <v>0</v>
      </c>
      <c r="P2719" s="1437"/>
      <c r="Q2719" s="1300"/>
      <c r="R2719" s="1300"/>
      <c r="S2719" s="1300"/>
    </row>
    <row r="2720" spans="1:19" s="1081" customFormat="1" outlineLevel="1">
      <c r="A2720" s="1072">
        <f t="shared" si="670"/>
        <v>1</v>
      </c>
      <c r="B2720" s="1068"/>
      <c r="C2720" s="166">
        <f>IF(G2720&gt;0,C2706+1,C2706)</f>
        <v>7</v>
      </c>
      <c r="D2720" s="167"/>
      <c r="E2720" s="168" t="s">
        <v>3448</v>
      </c>
      <c r="F2720" s="169" t="s">
        <v>2113</v>
      </c>
      <c r="G2720" s="1734">
        <f>G2668</f>
        <v>1</v>
      </c>
      <c r="H2720" s="170"/>
      <c r="I2720" s="172"/>
      <c r="J2720" s="172"/>
      <c r="K2720" s="64"/>
      <c r="L2720" s="64"/>
      <c r="M2720" s="64"/>
      <c r="N2720" s="173"/>
      <c r="O2720" s="173"/>
      <c r="P2720" s="173"/>
      <c r="Q2720" s="1300"/>
      <c r="R2720" s="1300"/>
      <c r="S2720" s="1300"/>
    </row>
    <row r="2721" spans="1:19" s="1081" customFormat="1" ht="14.4" outlineLevel="1">
      <c r="A2721" s="1072">
        <f>A2720</f>
        <v>1</v>
      </c>
      <c r="B2721" s="1295"/>
      <c r="C2721" s="1291"/>
      <c r="D2721" s="1292"/>
      <c r="E2721" s="1301" t="s">
        <v>3399</v>
      </c>
      <c r="F2721" s="1291"/>
      <c r="G2721" s="1303"/>
      <c r="H2721" s="1298"/>
      <c r="I2721" s="1298"/>
      <c r="J2721" s="1298"/>
      <c r="K2721" s="1298"/>
      <c r="L2721" s="1298"/>
      <c r="M2721" s="1298"/>
      <c r="N2721" s="1298"/>
      <c r="O2721" s="1298"/>
      <c r="P2721" s="1437"/>
      <c r="Q2721" s="1300"/>
      <c r="R2721" s="1300"/>
      <c r="S2721" s="1300"/>
    </row>
    <row r="2722" spans="1:19" s="1081" customFormat="1" outlineLevel="1">
      <c r="A2722" s="1072">
        <f t="shared" si="670"/>
        <v>1</v>
      </c>
      <c r="B2722" s="1295" t="s">
        <v>797</v>
      </c>
      <c r="C2722" s="1302"/>
      <c r="D2722" s="1198">
        <f>VLOOKUP($B2722,dongia1,DG!$B$5,)</f>
        <v>0</v>
      </c>
      <c r="E2722" s="1243" t="str">
        <f>VLOOKUP($B2722,dongia1,DG!$C$5,)&amp;" (3x4x5m/pha + 2x6m/trung tính)"</f>
        <v>Cáp đồng bọc CV240 (3x4x5m/pha + 2x6m/trung tính)</v>
      </c>
      <c r="F2722" s="1198" t="str">
        <f>VLOOKUP($B2722,dongia1,DG!$D$5,)</f>
        <v>mét</v>
      </c>
      <c r="G2722" s="1508">
        <f>+G2720*(5*4*3+6*2)</f>
        <v>72</v>
      </c>
      <c r="H2722" s="1298">
        <f>VLOOKUP($B2722,dongia1,DG!$F$5,)</f>
        <v>567100</v>
      </c>
      <c r="I2722" s="1298"/>
      <c r="J2722" s="1298">
        <f>VLOOKUP($B2722,dongia1,DG!$G$5,)</f>
        <v>0</v>
      </c>
      <c r="K2722" s="1298">
        <f>VLOOKUP($B2722,dongia1,DG!$H$5,)</f>
        <v>0</v>
      </c>
      <c r="L2722" s="1298">
        <f>H2722*G2722</f>
        <v>40831200</v>
      </c>
      <c r="M2722" s="1298">
        <f>I2722*G2722</f>
        <v>0</v>
      </c>
      <c r="N2722" s="1298">
        <f t="shared" ref="N2722:N2730" si="676">J2722*G2722</f>
        <v>0</v>
      </c>
      <c r="O2722" s="1298">
        <f>K2722*G2722</f>
        <v>0</v>
      </c>
      <c r="P2722" s="1437"/>
      <c r="Q2722" s="1300"/>
      <c r="R2722" s="1300"/>
      <c r="S2722" s="1300"/>
    </row>
    <row r="2723" spans="1:19" s="1081" customFormat="1" outlineLevel="1">
      <c r="A2723" s="1072">
        <f t="shared" si="670"/>
        <v>1</v>
      </c>
      <c r="B2723" s="1295" t="s">
        <v>683</v>
      </c>
      <c r="C2723" s="1302"/>
      <c r="D2723" s="1198" t="str">
        <f>VLOOKUP($B2723,dongia1,DG!$B$5,)</f>
        <v>D4.5008</v>
      </c>
      <c r="E2723" s="1243" t="str">
        <f>VLOOKUP($B2723,dongia1,DG!$C$5,)</f>
        <v>Đầu cosse ép Cu 240mm2</v>
      </c>
      <c r="F2723" s="1198" t="str">
        <f>VLOOKUP($B2723,dongia1,DG!$D$5,)</f>
        <v>cái</v>
      </c>
      <c r="G2723" s="1508">
        <f>+G2720*2*(4*3+2)</f>
        <v>28</v>
      </c>
      <c r="H2723" s="1298">
        <f>VLOOKUP($B2723,dongia1,DG!$F$5,)</f>
        <v>70000</v>
      </c>
      <c r="I2723" s="1298"/>
      <c r="J2723" s="1298">
        <f>VLOOKUP($B2723,dongia1,DG!$G$5,)</f>
        <v>50013.645000000004</v>
      </c>
      <c r="K2723" s="1298">
        <f>VLOOKUP($B2723,dongia1,DG!$H$5,)</f>
        <v>5554.0464950000005</v>
      </c>
      <c r="L2723" s="1298">
        <f t="shared" ref="L2723:L2729" si="677">H2723*G2723</f>
        <v>1960000</v>
      </c>
      <c r="M2723" s="1298">
        <f t="shared" ref="M2723:M2729" si="678">I2723*G2723</f>
        <v>0</v>
      </c>
      <c r="N2723" s="1298">
        <f t="shared" si="676"/>
        <v>1400382.06</v>
      </c>
      <c r="O2723" s="1298">
        <f t="shared" ref="O2723:O2729" si="679">K2723*G2723</f>
        <v>155513.30186000001</v>
      </c>
      <c r="P2723" s="1437"/>
      <c r="Q2723" s="1300"/>
      <c r="R2723" s="1300"/>
      <c r="S2723" s="1300"/>
    </row>
    <row r="2724" spans="1:19" s="1081" customFormat="1" outlineLevel="1">
      <c r="A2724" s="1072">
        <f t="shared" si="670"/>
        <v>1</v>
      </c>
      <c r="B2724" s="1295" t="s">
        <v>474</v>
      </c>
      <c r="C2724" s="1302"/>
      <c r="D2724" s="1198">
        <f>VLOOKUP($B2724,dongia1,DG!$B$5,)</f>
        <v>0</v>
      </c>
      <c r="E2724" s="1243" t="str">
        <f>VLOOKUP($B2724,dongia1,DG!$C$5,)</f>
        <v>Chụp đầu cosse  240mm2</v>
      </c>
      <c r="F2724" s="1198" t="str">
        <f>VLOOKUP($B2724,dongia1,DG!$D$5,)</f>
        <v>cái</v>
      </c>
      <c r="G2724" s="1508">
        <f>G2723</f>
        <v>28</v>
      </c>
      <c r="H2724" s="1298">
        <f>VLOOKUP($B2724,dongia1,DG!$F$5,)</f>
        <v>6000</v>
      </c>
      <c r="I2724" s="1298"/>
      <c r="J2724" s="1298">
        <f>VLOOKUP($B2724,dongia1,DG!$G$5,)</f>
        <v>0</v>
      </c>
      <c r="K2724" s="1298">
        <f>VLOOKUP($B2724,dongia1,DG!$H$5,)</f>
        <v>0</v>
      </c>
      <c r="L2724" s="1298">
        <f t="shared" si="677"/>
        <v>168000</v>
      </c>
      <c r="M2724" s="1298">
        <f t="shared" si="678"/>
        <v>0</v>
      </c>
      <c r="N2724" s="1298">
        <f t="shared" si="676"/>
        <v>0</v>
      </c>
      <c r="O2724" s="1298">
        <f t="shared" si="679"/>
        <v>0</v>
      </c>
      <c r="P2724" s="1437"/>
      <c r="Q2724" s="1300"/>
      <c r="R2724" s="1300"/>
      <c r="S2724" s="1300"/>
    </row>
    <row r="2725" spans="1:19" s="1081" customFormat="1" outlineLevel="1">
      <c r="A2725" s="1072">
        <f t="shared" si="670"/>
        <v>1</v>
      </c>
      <c r="B2725" s="1295" t="s">
        <v>961</v>
      </c>
      <c r="C2725" s="1302"/>
      <c r="D2725" s="1198">
        <f>VLOOKUP($B2725,dongia1,DG!$B$5,)</f>
        <v>0</v>
      </c>
      <c r="E2725" s="1243" t="str">
        <f>VLOOKUP($B2725,dongia1,DG!$C$5,)</f>
        <v xml:space="preserve">Ống PVC D114x4,9mm </v>
      </c>
      <c r="F2725" s="1198" t="str">
        <f>VLOOKUP($B2725,dongia1,DG!$D$5,)</f>
        <v>m</v>
      </c>
      <c r="G2725" s="1508">
        <f>+G2720*8</f>
        <v>8</v>
      </c>
      <c r="H2725" s="1298">
        <f>VLOOKUP($B2725,dongia1,DG!$F$5,)</f>
        <v>103700</v>
      </c>
      <c r="I2725" s="1298"/>
      <c r="J2725" s="1298">
        <f>VLOOKUP($B2725,dongia1,DG!$G$5,)</f>
        <v>0</v>
      </c>
      <c r="K2725" s="1298">
        <f>VLOOKUP($B2725,dongia1,DG!$H$5,)</f>
        <v>0</v>
      </c>
      <c r="L2725" s="1298">
        <f t="shared" si="677"/>
        <v>829600</v>
      </c>
      <c r="M2725" s="1298">
        <f t="shared" si="678"/>
        <v>0</v>
      </c>
      <c r="N2725" s="1298">
        <f t="shared" si="676"/>
        <v>0</v>
      </c>
      <c r="O2725" s="1298">
        <f t="shared" si="679"/>
        <v>0</v>
      </c>
      <c r="P2725" s="1437"/>
      <c r="Q2725" s="1300"/>
      <c r="R2725" s="1300"/>
      <c r="S2725" s="1300"/>
    </row>
    <row r="2726" spans="1:19" s="1081" customFormat="1" hidden="1" outlineLevel="1">
      <c r="A2726" s="1072" t="str">
        <f t="shared" si="670"/>
        <v/>
      </c>
      <c r="B2726" s="1068" t="s">
        <v>764</v>
      </c>
      <c r="C2726" s="1302"/>
      <c r="D2726" s="1198">
        <f>VLOOKUP($B2726,dongia1,DG!$B$5,)</f>
        <v>0</v>
      </c>
      <c r="E2726" s="1243" t="str">
        <f>VLOOKUP($B2726,dongia1,DG!$C$5,)</f>
        <v>Giá đỡ cáp trung hạ thế</v>
      </c>
      <c r="F2726" s="1198" t="str">
        <f>VLOOKUP($B2726,dongia1,DG!$D$5,)</f>
        <v>bộ</v>
      </c>
      <c r="G2726" s="1508"/>
      <c r="H2726" s="1298">
        <f>VLOOKUP($B2726,dongia1,DG!$F$5,)</f>
        <v>2739748</v>
      </c>
      <c r="I2726" s="1298"/>
      <c r="J2726" s="1298">
        <f>VLOOKUP($B2726,dongia1,DG!$G$5,)</f>
        <v>51183</v>
      </c>
      <c r="K2726" s="1298">
        <f>VLOOKUP($B2726,dongia1,DG!$H$5,)</f>
        <v>89000</v>
      </c>
      <c r="L2726" s="1298">
        <f t="shared" si="677"/>
        <v>0</v>
      </c>
      <c r="M2726" s="1298">
        <f t="shared" si="678"/>
        <v>0</v>
      </c>
      <c r="N2726" s="1298">
        <f t="shared" si="676"/>
        <v>0</v>
      </c>
      <c r="O2726" s="1298">
        <f t="shared" si="679"/>
        <v>0</v>
      </c>
      <c r="P2726" s="1437"/>
      <c r="Q2726" s="1474"/>
      <c r="R2726" s="1300"/>
      <c r="S2726" s="1300"/>
    </row>
    <row r="2727" spans="1:19" s="1081" customFormat="1" outlineLevel="1">
      <c r="A2727" s="1072">
        <f t="shared" si="670"/>
        <v>1</v>
      </c>
      <c r="B2727" s="1068" t="s">
        <v>1690</v>
      </c>
      <c r="C2727" s="1302"/>
      <c r="D2727" s="1198"/>
      <c r="E2727" s="1243" t="str">
        <f>VLOOKUP($B2727,dongia1,DG!$C$5,)</f>
        <v>Keo silicon bít miệng ống</v>
      </c>
      <c r="F2727" s="1198" t="str">
        <f>VLOOKUP($B2727,dongia1,DG!$D$5,)</f>
        <v>chai</v>
      </c>
      <c r="G2727" s="1508">
        <f>+G2720*3</f>
        <v>3</v>
      </c>
      <c r="H2727" s="1298">
        <f>VLOOKUP($B2727,dongia1,DG!$F$5,)</f>
        <v>45000</v>
      </c>
      <c r="I2727" s="1298"/>
      <c r="J2727" s="1298"/>
      <c r="K2727" s="1298"/>
      <c r="L2727" s="1298">
        <f t="shared" si="677"/>
        <v>135000</v>
      </c>
      <c r="M2727" s="1298">
        <f t="shared" si="678"/>
        <v>0</v>
      </c>
      <c r="N2727" s="1298">
        <f t="shared" si="676"/>
        <v>0</v>
      </c>
      <c r="O2727" s="1298">
        <f t="shared" si="679"/>
        <v>0</v>
      </c>
      <c r="P2727" s="1299"/>
      <c r="Q2727" s="1300"/>
      <c r="R2727" s="1300"/>
      <c r="S2727" s="1300"/>
    </row>
    <row r="2728" spans="1:19" s="1081" customFormat="1" outlineLevel="1">
      <c r="A2728" s="1072">
        <f t="shared" si="670"/>
        <v>1</v>
      </c>
      <c r="B2728" s="1295" t="s">
        <v>53</v>
      </c>
      <c r="C2728" s="1302"/>
      <c r="D2728" s="1198">
        <f>VLOOKUP($B2728,dongia1,DG!$B$5,)</f>
        <v>0</v>
      </c>
      <c r="E2728" s="1243" t="str">
        <f>VLOOKUP($B2728,dongia1,DG!$C$5,)</f>
        <v>Dây rút cáp</v>
      </c>
      <c r="F2728" s="1198" t="str">
        <f>VLOOKUP($B2728,dongia1,DG!$D$5,)</f>
        <v>bọc</v>
      </c>
      <c r="G2728" s="1508">
        <f>+G2727</f>
        <v>3</v>
      </c>
      <c r="H2728" s="1298">
        <f>VLOOKUP($B2728,dongia1,DG!$F$5,)</f>
        <v>15000</v>
      </c>
      <c r="I2728" s="1298"/>
      <c r="J2728" s="1298">
        <f>VLOOKUP($B2728,dongia1,DG!$G$5,)</f>
        <v>0</v>
      </c>
      <c r="K2728" s="1298">
        <f>VLOOKUP($B2728,dongia1,DG!$H$5,)</f>
        <v>0</v>
      </c>
      <c r="L2728" s="1298">
        <f t="shared" si="677"/>
        <v>45000</v>
      </c>
      <c r="M2728" s="1298">
        <f t="shared" si="678"/>
        <v>0</v>
      </c>
      <c r="N2728" s="1298">
        <f t="shared" si="676"/>
        <v>0</v>
      </c>
      <c r="O2728" s="1298">
        <f t="shared" si="679"/>
        <v>0</v>
      </c>
      <c r="P2728" s="1299"/>
      <c r="Q2728" s="1300"/>
      <c r="R2728" s="1300"/>
      <c r="S2728" s="1300"/>
    </row>
    <row r="2729" spans="1:19" s="1081" customFormat="1" outlineLevel="1">
      <c r="A2729" s="1072">
        <f t="shared" si="670"/>
        <v>1</v>
      </c>
      <c r="B2729" s="1068" t="s">
        <v>236</v>
      </c>
      <c r="C2729" s="1302"/>
      <c r="D2729" s="1198">
        <f>VLOOKUP($B2729,dongia1,DG!$B$5,)</f>
        <v>0</v>
      </c>
      <c r="E2729" s="1243" t="str">
        <f>VLOOKUP($B2729,dongia1,DG!$C$5,)</f>
        <v>Băng keo cách điện hạ thế</v>
      </c>
      <c r="F2729" s="1198" t="str">
        <f>VLOOKUP($B2729,dongia1,DG!$D$5,)</f>
        <v>cuộn</v>
      </c>
      <c r="G2729" s="1508">
        <f>+G2720*1</f>
        <v>1</v>
      </c>
      <c r="H2729" s="1298">
        <f>VLOOKUP($B2729,dongia1,DG!$F$5,)</f>
        <v>6500</v>
      </c>
      <c r="I2729" s="1298"/>
      <c r="J2729" s="1298">
        <f>VLOOKUP($B2729,dongia1,DG!$G$5,)</f>
        <v>0</v>
      </c>
      <c r="K2729" s="1298">
        <f>VLOOKUP($B2729,dongia1,DG!$H$5,)</f>
        <v>0</v>
      </c>
      <c r="L2729" s="1298">
        <f t="shared" si="677"/>
        <v>6500</v>
      </c>
      <c r="M2729" s="1298">
        <f t="shared" si="678"/>
        <v>0</v>
      </c>
      <c r="N2729" s="1298">
        <f t="shared" si="676"/>
        <v>0</v>
      </c>
      <c r="O2729" s="1298">
        <f t="shared" si="679"/>
        <v>0</v>
      </c>
      <c r="P2729" s="1437"/>
      <c r="Q2729" s="1300"/>
      <c r="R2729" s="1300"/>
      <c r="S2729" s="1300"/>
    </row>
    <row r="2730" spans="1:19" s="1081" customFormat="1" outlineLevel="1">
      <c r="A2730" s="1072">
        <f t="shared" si="670"/>
        <v>1</v>
      </c>
      <c r="B2730" s="1068" t="s">
        <v>379</v>
      </c>
      <c r="C2730" s="1302"/>
      <c r="D2730" s="1198" t="str">
        <f>VLOOKUP($B2730,dongia1,DG!$B$5,)</f>
        <v>T4.4203</v>
      </c>
      <c r="E2730" s="1243" t="str">
        <f>VLOOKUP($B2730,dongia1,DG!$C$5,)</f>
        <v>Lắp cáp đồng xuống thiết bị D ≤ 240mm2</v>
      </c>
      <c r="F2730" s="1198" t="str">
        <f>VLOOKUP($B2730,dongia1,DG!$D$5,)</f>
        <v>m</v>
      </c>
      <c r="G2730" s="1508">
        <f>G2722</f>
        <v>72</v>
      </c>
      <c r="H2730" s="1298">
        <f>VLOOKUP($B2730,dongia1,DG!$F$5,)</f>
        <v>0</v>
      </c>
      <c r="I2730" s="1298"/>
      <c r="J2730" s="1298">
        <f>VLOOKUP($B2730,dongia1,DG!$G$5,)</f>
        <v>47311</v>
      </c>
      <c r="K2730" s="1298">
        <f>VLOOKUP($B2730,dongia1,DG!$H$5,)</f>
        <v>0</v>
      </c>
      <c r="L2730" s="1298">
        <f>H2730*G2730</f>
        <v>0</v>
      </c>
      <c r="M2730" s="1298">
        <f>I2730*G2730</f>
        <v>0</v>
      </c>
      <c r="N2730" s="1298">
        <f t="shared" si="676"/>
        <v>3406392</v>
      </c>
      <c r="O2730" s="1298">
        <f>K2730*G2730</f>
        <v>0</v>
      </c>
      <c r="P2730" s="1437"/>
      <c r="Q2730" s="1300"/>
      <c r="R2730" s="1300"/>
      <c r="S2730" s="1300"/>
    </row>
    <row r="2731" spans="1:19" s="1081" customFormat="1" hidden="1" outlineLevel="1">
      <c r="A2731" s="1072" t="str">
        <f t="shared" si="670"/>
        <v/>
      </c>
      <c r="B2731" s="181"/>
      <c r="C2731" s="166">
        <f>IF(G2731&gt;0,C2720+1,C2720)</f>
        <v>7</v>
      </c>
      <c r="D2731" s="167"/>
      <c r="E2731" s="168" t="s">
        <v>3441</v>
      </c>
      <c r="F2731" s="169" t="s">
        <v>2113</v>
      </c>
      <c r="G2731" s="1734"/>
      <c r="H2731" s="170"/>
      <c r="I2731" s="172"/>
      <c r="J2731" s="172"/>
      <c r="K2731" s="64">
        <v>0</v>
      </c>
      <c r="L2731" s="64">
        <v>0</v>
      </c>
      <c r="M2731" s="64">
        <v>0</v>
      </c>
      <c r="N2731" s="173"/>
      <c r="O2731" s="173"/>
      <c r="P2731" s="173"/>
      <c r="Q2731" s="1300"/>
      <c r="R2731" s="1300"/>
      <c r="S2731" s="1300"/>
    </row>
    <row r="2732" spans="1:19" s="1081" customFormat="1" ht="14.4" hidden="1" outlineLevel="1">
      <c r="A2732" s="1072" t="str">
        <f>A2731</f>
        <v/>
      </c>
      <c r="B2732" s="1295"/>
      <c r="C2732" s="1291"/>
      <c r="D2732" s="1292"/>
      <c r="E2732" s="1301" t="s">
        <v>3399</v>
      </c>
      <c r="F2732" s="1302"/>
      <c r="G2732" s="1304"/>
      <c r="H2732" s="1298"/>
      <c r="I2732" s="1298"/>
      <c r="J2732" s="1298"/>
      <c r="K2732" s="1298"/>
      <c r="L2732" s="1298"/>
      <c r="M2732" s="1298"/>
      <c r="N2732" s="1299"/>
      <c r="O2732" s="1298"/>
      <c r="P2732" s="1437"/>
      <c r="Q2732" s="1300"/>
      <c r="R2732" s="1300"/>
      <c r="S2732" s="1300"/>
    </row>
    <row r="2733" spans="1:19" s="1081" customFormat="1" hidden="1" outlineLevel="1">
      <c r="A2733" s="1072" t="str">
        <f t="shared" si="670"/>
        <v/>
      </c>
      <c r="B2733" s="1295" t="s">
        <v>1472</v>
      </c>
      <c r="C2733" s="1302"/>
      <c r="D2733" s="1198">
        <f>VLOOKUP($B2733,dongia1,DG!$B$5,)</f>
        <v>0</v>
      </c>
      <c r="E2733" s="1243" t="str">
        <f>VLOOKUP($B2733,dongia1,DG!$C$5,)</f>
        <v>Ximăng</v>
      </c>
      <c r="F2733" s="1198" t="str">
        <f>VLOOKUP($B2733,dongia1,DG!$D$5,)</f>
        <v>kg</v>
      </c>
      <c r="G2733" s="1508">
        <f>+G2736*296</f>
        <v>0</v>
      </c>
      <c r="H2733" s="1298">
        <v>1740</v>
      </c>
      <c r="I2733" s="1298">
        <v>0</v>
      </c>
      <c r="J2733" s="1298">
        <v>0</v>
      </c>
      <c r="K2733" s="1298">
        <v>588937.93920000014</v>
      </c>
      <c r="L2733" s="1298">
        <v>0</v>
      </c>
      <c r="M2733" s="1298">
        <v>0</v>
      </c>
      <c r="N2733" s="1299"/>
      <c r="O2733" s="1298"/>
      <c r="P2733" s="1437"/>
      <c r="Q2733" s="1300"/>
      <c r="R2733" s="1300"/>
      <c r="S2733" s="1300"/>
    </row>
    <row r="2734" spans="1:19" s="1081" customFormat="1" hidden="1" outlineLevel="1">
      <c r="A2734" s="1072" t="str">
        <f t="shared" si="670"/>
        <v/>
      </c>
      <c r="B2734" s="1295" t="s">
        <v>1729</v>
      </c>
      <c r="C2734" s="1302"/>
      <c r="D2734" s="1198">
        <f>VLOOKUP($B2734,dongia1,DG!$B$5,)</f>
        <v>0</v>
      </c>
      <c r="E2734" s="1243" t="str">
        <f>VLOOKUP($B2734,dongia1,DG!$C$5,)</f>
        <v>Cát vàng</v>
      </c>
      <c r="F2734" s="1198" t="str">
        <f>VLOOKUP($B2734,dongia1,DG!$D$5,)</f>
        <v>m3</v>
      </c>
      <c r="G2734" s="1508">
        <f>G2736*0.475</f>
        <v>0</v>
      </c>
      <c r="H2734" s="1298">
        <v>350000</v>
      </c>
      <c r="I2734" s="1298">
        <v>0</v>
      </c>
      <c r="J2734" s="1298">
        <v>0</v>
      </c>
      <c r="K2734" s="1298">
        <v>190103.55000000005</v>
      </c>
      <c r="L2734" s="1298">
        <v>0</v>
      </c>
      <c r="M2734" s="1298">
        <v>0</v>
      </c>
      <c r="N2734" s="1839"/>
      <c r="O2734" s="1298"/>
      <c r="P2734" s="1437"/>
      <c r="Q2734" s="1300"/>
      <c r="R2734" s="1300"/>
      <c r="S2734" s="1300"/>
    </row>
    <row r="2735" spans="1:19" s="1081" customFormat="1" hidden="1" outlineLevel="1">
      <c r="A2735" s="1072" t="str">
        <f t="shared" si="670"/>
        <v/>
      </c>
      <c r="B2735" s="1295" t="s">
        <v>599</v>
      </c>
      <c r="C2735" s="1302"/>
      <c r="D2735" s="1198">
        <f>VLOOKUP($B2735,dongia1,DG!$B$5,)</f>
        <v>0</v>
      </c>
      <c r="E2735" s="1243" t="str">
        <f>VLOOKUP($B2735,dongia1,DG!$C$5,)</f>
        <v>Đá 1x2</v>
      </c>
      <c r="F2735" s="1198" t="str">
        <f>VLOOKUP($B2735,dongia1,DG!$D$5,)</f>
        <v>m3</v>
      </c>
      <c r="G2735" s="1508">
        <f>G2736*0.881</f>
        <v>0</v>
      </c>
      <c r="H2735" s="1298">
        <v>300000</v>
      </c>
      <c r="I2735" s="1298">
        <v>0</v>
      </c>
      <c r="J2735" s="1298">
        <v>0</v>
      </c>
      <c r="K2735" s="1298">
        <v>302221.76400000008</v>
      </c>
      <c r="L2735" s="1298">
        <v>0</v>
      </c>
      <c r="M2735" s="1298">
        <v>0</v>
      </c>
      <c r="N2735" s="1299"/>
      <c r="O2735" s="1298"/>
      <c r="P2735" s="1437"/>
      <c r="Q2735" s="1300"/>
      <c r="R2735" s="1300"/>
      <c r="S2735" s="1300"/>
    </row>
    <row r="2736" spans="1:19" s="1081" customFormat="1" hidden="1" outlineLevel="1">
      <c r="A2736" s="1072" t="str">
        <f t="shared" si="670"/>
        <v/>
      </c>
      <c r="B2736" s="1295" t="s">
        <v>1473</v>
      </c>
      <c r="C2736" s="1302"/>
      <c r="D2736" s="1198" t="str">
        <f>VLOOKUP($B2736,dongia1,DG!$B$5,)</f>
        <v>AF.11220</v>
      </c>
      <c r="E2736" s="1243" t="str">
        <f>VLOOKUP($B2736,dongia1,DG!$C$5,)</f>
        <v>Đổ bê tông mác M200 đá 1x 2rộng &gt;250cm</v>
      </c>
      <c r="F2736" s="1198" t="str">
        <f>VLOOKUP($B2736,dongia1,DG!$D$5,)</f>
        <v>m3</v>
      </c>
      <c r="G2736" s="1508">
        <f>G2731*(0.4*3*1-2*3.14*0.15^2*0.4)</f>
        <v>0</v>
      </c>
      <c r="H2736" s="1298"/>
      <c r="I2736" s="1298">
        <v>466397.5</v>
      </c>
      <c r="J2736" s="1298">
        <v>0</v>
      </c>
      <c r="K2736" s="1298">
        <v>0</v>
      </c>
      <c r="L2736" s="1298">
        <v>533316.21330000018</v>
      </c>
      <c r="M2736" s="1298">
        <v>0</v>
      </c>
      <c r="N2736" s="1299"/>
      <c r="O2736" s="1298"/>
      <c r="P2736" s="1437"/>
      <c r="Q2736" s="1300"/>
      <c r="R2736" s="1300"/>
      <c r="S2736" s="1300"/>
    </row>
    <row r="2737" spans="1:19" s="1081" customFormat="1" outlineLevel="1">
      <c r="A2737" s="1072">
        <f t="shared" si="670"/>
        <v>1</v>
      </c>
      <c r="B2737" s="1732"/>
      <c r="C2737" s="166">
        <f>IF(G2737&gt;0,C2731+1,C2731)</f>
        <v>8</v>
      </c>
      <c r="D2737" s="1733"/>
      <c r="E2737" s="168" t="s">
        <v>5807</v>
      </c>
      <c r="F2737" s="169" t="s">
        <v>2113</v>
      </c>
      <c r="G2737" s="1734">
        <f>G2594</f>
        <v>1</v>
      </c>
      <c r="H2737" s="193"/>
      <c r="I2737" s="1736"/>
      <c r="J2737" s="1736"/>
      <c r="K2737" s="1737">
        <v>0</v>
      </c>
      <c r="L2737" s="1737">
        <v>0</v>
      </c>
      <c r="M2737" s="1737">
        <v>0</v>
      </c>
      <c r="N2737" s="1739"/>
      <c r="O2737" s="1739"/>
      <c r="P2737" s="1739"/>
      <c r="Q2737" s="1300"/>
      <c r="R2737" s="1300"/>
      <c r="S2737" s="1300"/>
    </row>
    <row r="2738" spans="1:19" s="1081" customFormat="1" ht="14.4" hidden="1" outlineLevel="1">
      <c r="A2738" s="1072" t="str">
        <f t="shared" si="670"/>
        <v/>
      </c>
      <c r="B2738" s="1295"/>
      <c r="C2738" s="1291"/>
      <c r="D2738" s="1292"/>
      <c r="E2738" s="1301" t="s">
        <v>3399</v>
      </c>
      <c r="F2738" s="1302"/>
      <c r="G2738" s="1304"/>
      <c r="H2738" s="1298"/>
      <c r="I2738" s="1298"/>
      <c r="J2738" s="1298"/>
      <c r="K2738" s="1298">
        <v>0</v>
      </c>
      <c r="L2738" s="1298">
        <v>0</v>
      </c>
      <c r="M2738" s="1298">
        <v>0</v>
      </c>
      <c r="N2738" s="1299"/>
      <c r="O2738" s="1298"/>
      <c r="P2738" s="1437"/>
      <c r="Q2738" s="1300"/>
      <c r="R2738" s="1300"/>
      <c r="S2738" s="1300"/>
    </row>
    <row r="2739" spans="1:19" s="1081" customFormat="1" ht="14.4" outlineLevel="1">
      <c r="A2739" s="1072">
        <f>A2737</f>
        <v>1</v>
      </c>
      <c r="B2739" s="1295"/>
      <c r="C2739" s="1291"/>
      <c r="D2739" s="1292"/>
      <c r="E2739" s="1301" t="s">
        <v>3399</v>
      </c>
      <c r="F2739" s="1302"/>
      <c r="G2739" s="1304"/>
      <c r="H2739" s="1298"/>
      <c r="I2739" s="1298"/>
      <c r="J2739" s="1298"/>
      <c r="K2739" s="1298"/>
      <c r="L2739" s="1298"/>
      <c r="M2739" s="1298"/>
      <c r="N2739" s="1299"/>
      <c r="O2739" s="1298"/>
      <c r="P2739" s="1437"/>
      <c r="Q2739" s="1300"/>
      <c r="R2739" s="1300"/>
      <c r="S2739" s="1300"/>
    </row>
    <row r="2740" spans="1:19" s="1081" customFormat="1" outlineLevel="1">
      <c r="A2740" s="1072">
        <f t="shared" si="670"/>
        <v>1</v>
      </c>
      <c r="B2740" s="1758" t="s">
        <v>62</v>
      </c>
      <c r="C2740" s="1302"/>
      <c r="D2740" s="1198">
        <f>VLOOKUP($B2740,dongia1,DG!$B$5,)</f>
        <v>0</v>
      </c>
      <c r="E2740" s="1243" t="str">
        <f>VLOOKUP($B2740,dongia1,DG!$C$5,)</f>
        <v>Sắt   Þ10</v>
      </c>
      <c r="F2740" s="1198" t="str">
        <f>VLOOKUP($B2740,dongia1,DG!$D$5,)</f>
        <v>kg</v>
      </c>
      <c r="G2740" s="1508">
        <f>G2737*(0.4*3*1-2*3.14*0.15^2*0.4)</f>
        <v>1.1434800000000003</v>
      </c>
      <c r="H2740" s="1298">
        <f>VLOOKUP($B2740,dongia1,DG!$F$5,)</f>
        <v>13300</v>
      </c>
      <c r="I2740" s="1298">
        <v>0</v>
      </c>
      <c r="J2740" s="1298">
        <f>VLOOKUP($B2740,dongia1,DG!$G$5,)</f>
        <v>0</v>
      </c>
      <c r="K2740" s="1298">
        <f>VLOOKUP($B2740,dongia1,DG!$G$5,)</f>
        <v>0</v>
      </c>
      <c r="L2740" s="1298">
        <f t="shared" ref="L2740:L2745" si="680">H2740*G2740</f>
        <v>15208.284000000003</v>
      </c>
      <c r="M2740" s="1298">
        <v>0</v>
      </c>
      <c r="N2740" s="1298">
        <f t="shared" ref="N2740:N2745" si="681">J2740*G2740</f>
        <v>0</v>
      </c>
      <c r="O2740" s="1298">
        <f t="shared" ref="O2740:O2745" si="682">K2740*G2740</f>
        <v>0</v>
      </c>
      <c r="P2740" s="1437"/>
      <c r="Q2740" s="1300"/>
      <c r="R2740" s="1300"/>
      <c r="S2740" s="1300"/>
    </row>
    <row r="2741" spans="1:19" s="1081" customFormat="1" outlineLevel="1">
      <c r="A2741" s="1072">
        <f t="shared" si="670"/>
        <v>1</v>
      </c>
      <c r="B2741" s="159" t="s">
        <v>5610</v>
      </c>
      <c r="C2741" s="1302"/>
      <c r="D2741" s="1198">
        <f>VLOOKUP($B2741,dongia1,DG!$B$5,)</f>
        <v>0</v>
      </c>
      <c r="E2741" s="1243" t="str">
        <f>VLOOKUP($B2741,dongia1,DG!$C$5,)</f>
        <v>Bêtông đá 1x2 mac 200</v>
      </c>
      <c r="F2741" s="1198" t="str">
        <f>VLOOKUP($B2741,dongia1,DG!$D$5,)</f>
        <v>m3</v>
      </c>
      <c r="G2741" s="1508">
        <v>1.08</v>
      </c>
      <c r="H2741" s="1298">
        <f>VLOOKUP($B2741,dongia1,DG!$F$5,)</f>
        <v>920580</v>
      </c>
      <c r="I2741" s="1298">
        <v>0</v>
      </c>
      <c r="J2741" s="1298">
        <f>VLOOKUP($B2741,dongia1,DG!$G$5,)</f>
        <v>0</v>
      </c>
      <c r="K2741" s="1298">
        <f>VLOOKUP($B2741,dongia1,DG!$H$5,)</f>
        <v>0</v>
      </c>
      <c r="L2741" s="1298">
        <f t="shared" si="680"/>
        <v>994226.4</v>
      </c>
      <c r="M2741" s="1298">
        <v>0</v>
      </c>
      <c r="N2741" s="1298">
        <f t="shared" si="681"/>
        <v>0</v>
      </c>
      <c r="O2741" s="1298">
        <f t="shared" si="682"/>
        <v>0</v>
      </c>
      <c r="P2741" s="1437"/>
      <c r="Q2741" s="1300"/>
      <c r="R2741" s="1300"/>
      <c r="S2741" s="1300"/>
    </row>
    <row r="2742" spans="1:19" s="1081" customFormat="1" outlineLevel="1">
      <c r="A2742" s="1072">
        <f t="shared" si="670"/>
        <v>1</v>
      </c>
      <c r="B2742" s="1697" t="s">
        <v>5613</v>
      </c>
      <c r="C2742" s="1302"/>
      <c r="D2742" s="1198">
        <f>VLOOKUP($B2742,dongia1,DG!$B$5,)</f>
        <v>0</v>
      </c>
      <c r="E2742" s="1243" t="str">
        <f>VLOOKUP($B2742,dongia1,DG!$C$5,)</f>
        <v>Bêtông đá 4x6 mac 100</v>
      </c>
      <c r="F2742" s="1198" t="str">
        <f>VLOOKUP($B2742,dongia1,DG!$D$5,)</f>
        <v>m3</v>
      </c>
      <c r="G2742" s="1508">
        <v>0.16799999999999998</v>
      </c>
      <c r="H2742" s="1298">
        <f>VLOOKUP($B2742,dongia1,DG!$F$5,)</f>
        <v>371262</v>
      </c>
      <c r="I2742" s="1298">
        <v>0</v>
      </c>
      <c r="J2742" s="1298">
        <f>VLOOKUP($B2742,dongia1,DG!$G$5,)</f>
        <v>0</v>
      </c>
      <c r="K2742" s="1298">
        <f>VLOOKUP($B2742,dongia1,DG!$H$5,)</f>
        <v>0</v>
      </c>
      <c r="L2742" s="1298">
        <f t="shared" si="680"/>
        <v>62372.015999999996</v>
      </c>
      <c r="M2742" s="1298">
        <v>0</v>
      </c>
      <c r="N2742" s="1298">
        <f t="shared" si="681"/>
        <v>0</v>
      </c>
      <c r="O2742" s="1298">
        <f t="shared" si="682"/>
        <v>0</v>
      </c>
      <c r="P2742" s="1437"/>
      <c r="Q2742" s="1300"/>
      <c r="R2742" s="1300"/>
      <c r="S2742" s="1300"/>
    </row>
    <row r="2743" spans="1:19" s="1081" customFormat="1" outlineLevel="1">
      <c r="A2743" s="1072">
        <f t="shared" si="670"/>
        <v>1</v>
      </c>
      <c r="B2743" s="1690" t="s">
        <v>1553</v>
      </c>
      <c r="C2743" s="1302"/>
      <c r="D2743" s="1198" t="str">
        <f>VLOOKUP($B2743,dongia1,DG!$B$5,)</f>
        <v>AF.61220</v>
      </c>
      <c r="E2743" s="1243" t="str">
        <f>VLOOKUP($B2743,dongia1,DG!$C$5,)</f>
        <v>Gia công và lắp dựng cốt thép D&lt;=18</v>
      </c>
      <c r="F2743" s="1198" t="str">
        <f>VLOOKUP($B2743,dongia1,DG!$D$5,)</f>
        <v>kg</v>
      </c>
      <c r="G2743" s="1508">
        <v>18.880200000000002</v>
      </c>
      <c r="H2743" s="1298">
        <f>VLOOKUP($B2743,dongia1,DG!$F$5,)</f>
        <v>9970</v>
      </c>
      <c r="I2743" s="1298">
        <v>2309.9327999999996</v>
      </c>
      <c r="J2743" s="1298">
        <f>VLOOKUP($B2743,dongia1,DG!$G$5,)</f>
        <v>2309.9327999999996</v>
      </c>
      <c r="K2743" s="1298">
        <f>VLOOKUP($B2743,dongia1,DG!$H$5,)</f>
        <v>0</v>
      </c>
      <c r="L2743" s="1298">
        <f t="shared" si="680"/>
        <v>188235.59400000001</v>
      </c>
      <c r="M2743" s="1298">
        <v>0</v>
      </c>
      <c r="N2743" s="1298">
        <f t="shared" si="681"/>
        <v>43611.993250559994</v>
      </c>
      <c r="O2743" s="1298">
        <f t="shared" si="682"/>
        <v>0</v>
      </c>
      <c r="P2743" s="1437"/>
      <c r="Q2743" s="1300"/>
      <c r="R2743" s="1300"/>
      <c r="S2743" s="1300"/>
    </row>
    <row r="2744" spans="1:19" s="1081" customFormat="1" outlineLevel="1">
      <c r="A2744" s="1072">
        <f t="shared" si="670"/>
        <v>1</v>
      </c>
      <c r="B2744" s="1295" t="s">
        <v>1473</v>
      </c>
      <c r="C2744" s="1302"/>
      <c r="D2744" s="1198" t="str">
        <f>VLOOKUP($B2744,dongia1,DG!$B$5,)</f>
        <v>AF.11220</v>
      </c>
      <c r="E2744" s="1243" t="str">
        <f>VLOOKUP($B2744,dongia1,DG!$C$5,)</f>
        <v>Đổ bê tông mác M200 đá 1x 2rộng &gt;250cm</v>
      </c>
      <c r="F2744" s="1198" t="str">
        <f>VLOOKUP($B2744,dongia1,DG!$D$5,)</f>
        <v>m3</v>
      </c>
      <c r="G2744" s="1508">
        <v>1.08</v>
      </c>
      <c r="H2744" s="1298">
        <f>VLOOKUP($B2744,dongia1,DG!$F$5,)</f>
        <v>920580</v>
      </c>
      <c r="I2744" s="1298">
        <v>466397.5</v>
      </c>
      <c r="J2744" s="1298">
        <f>VLOOKUP($B2744,dongia1,DG!$G$5,)</f>
        <v>466397.5</v>
      </c>
      <c r="K2744" s="1298">
        <f>VLOOKUP($B2744,dongia1,DG!$H$5,)</f>
        <v>0</v>
      </c>
      <c r="L2744" s="1298">
        <f t="shared" si="680"/>
        <v>994226.4</v>
      </c>
      <c r="M2744" s="1298">
        <v>0</v>
      </c>
      <c r="N2744" s="1298">
        <f t="shared" si="681"/>
        <v>503709.30000000005</v>
      </c>
      <c r="O2744" s="1298">
        <f t="shared" si="682"/>
        <v>0</v>
      </c>
      <c r="P2744" s="1437"/>
      <c r="Q2744" s="1300"/>
      <c r="R2744" s="1300"/>
      <c r="S2744" s="1300"/>
    </row>
    <row r="2745" spans="1:19" s="1081" customFormat="1" outlineLevel="1">
      <c r="A2745" s="1072">
        <f t="shared" si="670"/>
        <v>1</v>
      </c>
      <c r="B2745" s="1741" t="s">
        <v>70</v>
      </c>
      <c r="C2745" s="1302"/>
      <c r="D2745" s="1198" t="str">
        <f>VLOOKUP($B2745,dongia1,DG!$B$5,)</f>
        <v>AF.11220</v>
      </c>
      <c r="E2745" s="1243" t="str">
        <f>VLOOKUP($B2745,dongia1,DG!$C$5,)</f>
        <v>Đổ bê tông mác M100 đá 4x6 rộng &gt;250cm</v>
      </c>
      <c r="F2745" s="1198" t="str">
        <f>VLOOKUP($B2745,dongia1,DG!$D$5,)</f>
        <v>m3</v>
      </c>
      <c r="G2745" s="1508">
        <v>0.16799999999999998</v>
      </c>
      <c r="H2745" s="1298">
        <f>VLOOKUP($B2745,dongia1,DG!$F$5,)</f>
        <v>371262</v>
      </c>
      <c r="I2745" s="1298">
        <v>414064.45</v>
      </c>
      <c r="J2745" s="1298">
        <f>VLOOKUP($B2745,dongia1,DG!$G$5,)</f>
        <v>414064.45</v>
      </c>
      <c r="K2745" s="1298">
        <f>VLOOKUP($B2745,dongia1,DG!$H$5,)</f>
        <v>0</v>
      </c>
      <c r="L2745" s="1298">
        <f t="shared" si="680"/>
        <v>62372.015999999996</v>
      </c>
      <c r="M2745" s="1298">
        <v>0</v>
      </c>
      <c r="N2745" s="1298">
        <f t="shared" si="681"/>
        <v>69562.82759999999</v>
      </c>
      <c r="O2745" s="1298">
        <f t="shared" si="682"/>
        <v>0</v>
      </c>
      <c r="P2745" s="1437"/>
      <c r="Q2745" s="1300"/>
      <c r="R2745" s="1300"/>
      <c r="S2745" s="1300"/>
    </row>
    <row r="2746" spans="1:19" s="1081" customFormat="1" outlineLevel="1">
      <c r="A2746" s="1072">
        <f t="shared" si="670"/>
        <v>1</v>
      </c>
      <c r="B2746" s="1732"/>
      <c r="C2746" s="166">
        <f>IF(G2746&gt;0,C2737+1,C2737)</f>
        <v>9</v>
      </c>
      <c r="D2746" s="1733"/>
      <c r="E2746" s="168" t="s">
        <v>5625</v>
      </c>
      <c r="F2746" s="169" t="s">
        <v>2113</v>
      </c>
      <c r="G2746" s="1734">
        <f>G2737</f>
        <v>1</v>
      </c>
      <c r="H2746" s="193"/>
      <c r="I2746" s="1736"/>
      <c r="J2746" s="1736"/>
      <c r="K2746" s="1737">
        <v>0</v>
      </c>
      <c r="L2746" s="1737">
        <v>0</v>
      </c>
      <c r="M2746" s="1737">
        <v>0</v>
      </c>
      <c r="N2746" s="1739"/>
      <c r="O2746" s="1739"/>
      <c r="P2746" s="1739"/>
      <c r="Q2746" s="1300"/>
      <c r="R2746" s="1300"/>
      <c r="S2746" s="1300"/>
    </row>
    <row r="2747" spans="1:19" s="1081" customFormat="1" ht="14.4" hidden="1" outlineLevel="1">
      <c r="A2747" s="1072" t="str">
        <f t="shared" si="670"/>
        <v/>
      </c>
      <c r="B2747" s="1295"/>
      <c r="C2747" s="1291"/>
      <c r="D2747" s="1292"/>
      <c r="E2747" s="1301" t="s">
        <v>3399</v>
      </c>
      <c r="F2747" s="1302"/>
      <c r="G2747" s="1304"/>
      <c r="H2747" s="1298"/>
      <c r="I2747" s="1298"/>
      <c r="J2747" s="1298"/>
      <c r="K2747" s="1298">
        <v>0</v>
      </c>
      <c r="L2747" s="1298">
        <v>0</v>
      </c>
      <c r="M2747" s="1298">
        <v>0</v>
      </c>
      <c r="N2747" s="1299"/>
      <c r="O2747" s="1298"/>
      <c r="P2747" s="1437"/>
      <c r="Q2747" s="1300"/>
      <c r="R2747" s="1300"/>
      <c r="S2747" s="1300"/>
    </row>
    <row r="2748" spans="1:19" s="1081" customFormat="1" ht="14.4" outlineLevel="1">
      <c r="A2748" s="1072">
        <f>A2746</f>
        <v>1</v>
      </c>
      <c r="B2748" s="1295"/>
      <c r="C2748" s="1291"/>
      <c r="D2748" s="1292"/>
      <c r="E2748" s="1301" t="s">
        <v>3399</v>
      </c>
      <c r="F2748" s="1302"/>
      <c r="G2748" s="1304"/>
      <c r="H2748" s="1298"/>
      <c r="I2748" s="1298"/>
      <c r="J2748" s="1298"/>
      <c r="K2748" s="1298"/>
      <c r="L2748" s="1298"/>
      <c r="M2748" s="1298"/>
      <c r="N2748" s="1299"/>
      <c r="O2748" s="1298"/>
      <c r="P2748" s="1437"/>
      <c r="Q2748" s="1300"/>
      <c r="R2748" s="1300"/>
      <c r="S2748" s="1300"/>
    </row>
    <row r="2749" spans="1:19" s="1081" customFormat="1" outlineLevel="1">
      <c r="A2749" s="1072">
        <f t="shared" si="670"/>
        <v>1</v>
      </c>
      <c r="B2749" s="1295" t="s">
        <v>5631</v>
      </c>
      <c r="C2749" s="1302"/>
      <c r="D2749" s="1198" t="str">
        <f>VLOOKUP($B2749,dongia1,DG!$B$5,)</f>
        <v>D4.1204</v>
      </c>
      <c r="E2749" s="1243" t="str">
        <f>VLOOKUP($B2749,dongia1,DG!$C$5,)</f>
        <v>Ông sắt tráng kẽm D76</v>
      </c>
      <c r="F2749" s="1198" t="str">
        <f>VLOOKUP($B2749,dongia1,DG!$D$5,)</f>
        <v>mét</v>
      </c>
      <c r="G2749" s="1508">
        <f>G2746*9*2</f>
        <v>18</v>
      </c>
      <c r="H2749" s="1298">
        <f>VLOOKUP($B2749,dongia1,DG!$F$5,)</f>
        <v>250000</v>
      </c>
      <c r="I2749" s="1298">
        <v>109566.8385</v>
      </c>
      <c r="J2749" s="1298">
        <f>VLOOKUP($B2749,dongia1,DG!$G$5,)</f>
        <v>109566.8385</v>
      </c>
      <c r="K2749" s="1298">
        <f>VLOOKUP($B2749,dongia1,DG!$H$5,)</f>
        <v>0</v>
      </c>
      <c r="L2749" s="1298">
        <f t="shared" ref="L2749:L2762" si="683">H2749*G2749</f>
        <v>4500000</v>
      </c>
      <c r="M2749" s="1298">
        <v>0</v>
      </c>
      <c r="N2749" s="1298">
        <f t="shared" ref="N2749:N2762" si="684">J2749*G2749</f>
        <v>1972203.0929999999</v>
      </c>
      <c r="O2749" s="1298">
        <f t="shared" ref="O2749:O2762" si="685">K2749*G2749</f>
        <v>0</v>
      </c>
      <c r="P2749" s="1437"/>
      <c r="Q2749" s="1300"/>
      <c r="R2749" s="1300"/>
      <c r="S2749" s="1300"/>
    </row>
    <row r="2750" spans="1:19" s="1081" customFormat="1" outlineLevel="1">
      <c r="A2750" s="1072">
        <f t="shared" si="670"/>
        <v>1</v>
      </c>
      <c r="B2750" s="1295" t="s">
        <v>855</v>
      </c>
      <c r="C2750" s="1302"/>
      <c r="D2750" s="1198" t="str">
        <f>VLOOKUP($B2750,dongia1,DG!$B$5,)</f>
        <v>AI.53111</v>
      </c>
      <c r="E2750" s="1243" t="str">
        <f>VLOOKUP($B2750,dongia1,DG!$C$5,)</f>
        <v>Mặt bích nối cột bêt tông loại 200x200x5, 04 lỗ D16</v>
      </c>
      <c r="F2750" s="1198" t="str">
        <f>VLOOKUP($B2750,dongia1,DG!$D$5,)</f>
        <v>mối</v>
      </c>
      <c r="G2750" s="1508">
        <f>G2749/2</f>
        <v>9</v>
      </c>
      <c r="H2750" s="1298">
        <f>VLOOKUP($B2750,dongia1,DG!$F$5,)</f>
        <v>40000</v>
      </c>
      <c r="I2750" s="1298">
        <v>13525.75</v>
      </c>
      <c r="J2750" s="1298">
        <f>VLOOKUP($B2750,dongia1,DG!$G$5,)</f>
        <v>13525.75</v>
      </c>
      <c r="K2750" s="1298">
        <f>VLOOKUP($B2750,dongia1,DG!$H$5,)</f>
        <v>0</v>
      </c>
      <c r="L2750" s="1298">
        <f t="shared" si="683"/>
        <v>360000</v>
      </c>
      <c r="M2750" s="1298">
        <v>0</v>
      </c>
      <c r="N2750" s="1298">
        <f t="shared" si="684"/>
        <v>121731.75</v>
      </c>
      <c r="O2750" s="1298">
        <f t="shared" si="685"/>
        <v>0</v>
      </c>
      <c r="P2750" s="1437"/>
      <c r="Q2750" s="1300"/>
      <c r="R2750" s="1300"/>
      <c r="S2750" s="1300"/>
    </row>
    <row r="2751" spans="1:19" s="1081" customFormat="1" outlineLevel="1">
      <c r="A2751" s="1072">
        <f t="shared" si="670"/>
        <v>1</v>
      </c>
      <c r="B2751" s="1295" t="s">
        <v>4483</v>
      </c>
      <c r="C2751" s="1302"/>
      <c r="D2751" s="1198">
        <f>VLOOKUP($B2751,dongia1,DG!$B$5,)</f>
        <v>0</v>
      </c>
      <c r="E2751" s="1243" t="str">
        <f>VLOOKUP($B2751,dongia1,DG!$C$5,)</f>
        <v>Thanh sắt V50x50x5-4000 - 16kg/thanh</v>
      </c>
      <c r="F2751" s="1198" t="str">
        <f>VLOOKUP($B2751,dongia1,DG!$D$5,)</f>
        <v>kg</v>
      </c>
      <c r="G2751" s="1508">
        <f>G2746*16*2/4*16</f>
        <v>128</v>
      </c>
      <c r="H2751" s="1298">
        <f>VLOOKUP($B2751,dongia1,DG!$F$5,)</f>
        <v>31625</v>
      </c>
      <c r="I2751" s="1298">
        <v>0</v>
      </c>
      <c r="J2751" s="1298">
        <f>VLOOKUP($B2751,dongia1,DG!$G$5,)</f>
        <v>0</v>
      </c>
      <c r="K2751" s="1298">
        <f>VLOOKUP($B2751,dongia1,DG!$H$5,)</f>
        <v>0</v>
      </c>
      <c r="L2751" s="1298">
        <f t="shared" si="683"/>
        <v>4048000</v>
      </c>
      <c r="M2751" s="1298">
        <v>0</v>
      </c>
      <c r="N2751" s="1298">
        <f t="shared" si="684"/>
        <v>0</v>
      </c>
      <c r="O2751" s="1298">
        <f t="shared" si="685"/>
        <v>0</v>
      </c>
      <c r="P2751" s="1437"/>
      <c r="Q2751" s="1300"/>
      <c r="R2751" s="1300"/>
      <c r="S2751" s="1300"/>
    </row>
    <row r="2752" spans="1:19" s="1081" customFormat="1" outlineLevel="1">
      <c r="A2752" s="1072">
        <f t="shared" si="670"/>
        <v>1</v>
      </c>
      <c r="B2752" s="1295" t="s">
        <v>5636</v>
      </c>
      <c r="C2752" s="1302"/>
      <c r="D2752" s="1198">
        <f>VLOOKUP($B2752,dongia1,DG!$B$5,)</f>
        <v>0</v>
      </c>
      <c r="E2752" s="1243" t="str">
        <f>VLOOKUP($B2752,dongia1,DG!$C$5,)</f>
        <v>Thanh sắt V40x40x3-6000 - 17,7kg/thanh</v>
      </c>
      <c r="F2752" s="1198" t="str">
        <f>VLOOKUP($B2752,dongia1,DG!$D$5,)</f>
        <v>kg</v>
      </c>
      <c r="G2752" s="1508">
        <f>G2746*16/6*17.7</f>
        <v>47.199999999999996</v>
      </c>
      <c r="H2752" s="1298">
        <f>VLOOKUP($B2752,dongia1,DG!$F$5,)</f>
        <v>31625</v>
      </c>
      <c r="I2752" s="1298">
        <v>0</v>
      </c>
      <c r="J2752" s="1298">
        <f>VLOOKUP($B2752,dongia1,DG!$G$5,)</f>
        <v>0</v>
      </c>
      <c r="K2752" s="1298">
        <f>VLOOKUP($B2752,dongia1,DG!$H$5,)</f>
        <v>0</v>
      </c>
      <c r="L2752" s="1298">
        <f t="shared" si="683"/>
        <v>1492699.9999999998</v>
      </c>
      <c r="M2752" s="1298">
        <v>0</v>
      </c>
      <c r="N2752" s="1298">
        <f t="shared" si="684"/>
        <v>0</v>
      </c>
      <c r="O2752" s="1298">
        <f t="shared" si="685"/>
        <v>0</v>
      </c>
      <c r="P2752" s="1437"/>
      <c r="Q2752" s="1300"/>
      <c r="R2752" s="1300"/>
      <c r="S2752" s="1300"/>
    </row>
    <row r="2753" spans="1:19" s="1081" customFormat="1" outlineLevel="1">
      <c r="A2753" s="1072">
        <f t="shared" si="670"/>
        <v>1</v>
      </c>
      <c r="B2753" s="1295" t="s">
        <v>593</v>
      </c>
      <c r="C2753" s="1302"/>
      <c r="D2753" s="1198">
        <f>VLOOKUP($B2753,dongia1,DG!$B$5,)</f>
        <v>0</v>
      </c>
      <c r="E2753" s="1243" t="str">
        <f>VLOOKUP($B2753,dongia1,DG!$C$5,)</f>
        <v>Sắt dẹt 60 x 6</v>
      </c>
      <c r="F2753" s="1198" t="str">
        <f>VLOOKUP($B2753,dongia1,DG!$D$5,)</f>
        <v>kg</v>
      </c>
      <c r="G2753" s="1508">
        <f>G2746*3</f>
        <v>3</v>
      </c>
      <c r="H2753" s="1298">
        <f>VLOOKUP($B2753,dongia1,DG!$F$5,)</f>
        <v>31625</v>
      </c>
      <c r="I2753" s="1298">
        <v>0</v>
      </c>
      <c r="J2753" s="1298">
        <f>VLOOKUP($B2753,dongia1,DG!$G$5,)</f>
        <v>0</v>
      </c>
      <c r="K2753" s="1298">
        <f>VLOOKUP($B2753,dongia1,DG!$H$5,)</f>
        <v>0</v>
      </c>
      <c r="L2753" s="1298">
        <f t="shared" si="683"/>
        <v>94875</v>
      </c>
      <c r="M2753" s="1298">
        <v>0</v>
      </c>
      <c r="N2753" s="1298">
        <f t="shared" si="684"/>
        <v>0</v>
      </c>
      <c r="O2753" s="1298">
        <f t="shared" si="685"/>
        <v>0</v>
      </c>
      <c r="P2753" s="1437"/>
      <c r="Q2753" s="1300"/>
      <c r="R2753" s="1300"/>
      <c r="S2753" s="1300"/>
    </row>
    <row r="2754" spans="1:19" s="1081" customFormat="1" outlineLevel="1">
      <c r="A2754" s="1072">
        <f t="shared" si="670"/>
        <v>1</v>
      </c>
      <c r="B2754" s="1295" t="s">
        <v>5643</v>
      </c>
      <c r="C2754" s="1302"/>
      <c r="D2754" s="1198">
        <f>VLOOKUP($B2754,dongia1,DG!$B$5,)</f>
        <v>0</v>
      </c>
      <c r="E2754" s="1243" t="str">
        <f>VLOOKUP($B2754,dongia1,DG!$C$5,)</f>
        <v>Lưới B40 - 1800-3/Zn</v>
      </c>
      <c r="F2754" s="1198" t="str">
        <f>VLOOKUP($B2754,dongia1,DG!$D$5,)</f>
        <v>mét</v>
      </c>
      <c r="G2754" s="1508">
        <f>G2746*(12+2.2)</f>
        <v>14.2</v>
      </c>
      <c r="H2754" s="1298">
        <f>VLOOKUP($B2754,dongia1,DG!$F$5,)</f>
        <v>70000</v>
      </c>
      <c r="I2754" s="1298">
        <v>0</v>
      </c>
      <c r="J2754" s="1298">
        <f>VLOOKUP($B2754,dongia1,DG!$G$5,)</f>
        <v>0</v>
      </c>
      <c r="K2754" s="1298">
        <f>VLOOKUP($B2754,dongia1,DG!$H$5,)</f>
        <v>0</v>
      </c>
      <c r="L2754" s="1298">
        <f t="shared" si="683"/>
        <v>994000</v>
      </c>
      <c r="M2754" s="1298">
        <v>0</v>
      </c>
      <c r="N2754" s="1298">
        <f t="shared" si="684"/>
        <v>0</v>
      </c>
      <c r="O2754" s="1298">
        <f t="shared" si="685"/>
        <v>0</v>
      </c>
      <c r="P2754" s="1437"/>
      <c r="Q2754" s="1300"/>
      <c r="R2754" s="1300"/>
      <c r="S2754" s="1300"/>
    </row>
    <row r="2755" spans="1:19" s="1081" customFormat="1" outlineLevel="1">
      <c r="A2755" s="1072">
        <f t="shared" si="670"/>
        <v>1</v>
      </c>
      <c r="B2755" s="1295" t="s">
        <v>1849</v>
      </c>
      <c r="C2755" s="1302"/>
      <c r="D2755" s="1198">
        <f>VLOOKUP($B2755,dongia1,DG!$B$5,)</f>
        <v>0</v>
      </c>
      <c r="E2755" s="1243" t="str">
        <f>VLOOKUP($B2755,dongia1,DG!$C$5,)</f>
        <v>Sắt   Þ8</v>
      </c>
      <c r="F2755" s="1198" t="str">
        <f>VLOOKUP($B2755,dongia1,DG!$D$5,)</f>
        <v>kg</v>
      </c>
      <c r="G2755" s="1508">
        <f>G2746*16</f>
        <v>16</v>
      </c>
      <c r="H2755" s="1298">
        <f>VLOOKUP($B2755,dongia1,DG!$F$5,)</f>
        <v>13200</v>
      </c>
      <c r="I2755" s="1298">
        <v>0</v>
      </c>
      <c r="J2755" s="1298">
        <f>VLOOKUP($B2755,dongia1,DG!$G$5,)</f>
        <v>0</v>
      </c>
      <c r="K2755" s="1298">
        <f>VLOOKUP($B2755,dongia1,DG!$H$5,)</f>
        <v>0</v>
      </c>
      <c r="L2755" s="1298">
        <f t="shared" si="683"/>
        <v>211200</v>
      </c>
      <c r="M2755" s="1298">
        <v>0</v>
      </c>
      <c r="N2755" s="1298">
        <f t="shared" si="684"/>
        <v>0</v>
      </c>
      <c r="O2755" s="1298">
        <f t="shared" si="685"/>
        <v>0</v>
      </c>
      <c r="P2755" s="1437"/>
      <c r="Q2755" s="1300"/>
      <c r="R2755" s="1300"/>
      <c r="S2755" s="1300"/>
    </row>
    <row r="2756" spans="1:19" s="1081" customFormat="1" outlineLevel="1">
      <c r="A2756" s="1072">
        <f t="shared" si="670"/>
        <v>1</v>
      </c>
      <c r="B2756" s="1295" t="s">
        <v>5638</v>
      </c>
      <c r="C2756" s="1302"/>
      <c r="D2756" s="1198">
        <f>VLOOKUP($B2756,dongia1,DG!$B$5,)</f>
        <v>0</v>
      </c>
      <c r="E2756" s="1243" t="str">
        <f>VLOOKUP($B2756,dongia1,DG!$C$5,)</f>
        <v>Boulon 14x350+ 2 long đền vuông D16-50x50x3/Zn</v>
      </c>
      <c r="F2756" s="1198" t="str">
        <f>VLOOKUP($B2756,dongia1,DG!$D$5,)</f>
        <v>bộ</v>
      </c>
      <c r="G2756" s="1508">
        <f>G2746*9*4</f>
        <v>36</v>
      </c>
      <c r="H2756" s="1298">
        <f>VLOOKUP($B2756,dongia1,DG!$F$5,)</f>
        <v>35600</v>
      </c>
      <c r="I2756" s="1298">
        <v>0</v>
      </c>
      <c r="J2756" s="1298">
        <f>VLOOKUP($B2756,dongia1,DG!$G$5,)</f>
        <v>0</v>
      </c>
      <c r="K2756" s="1298">
        <f>VLOOKUP($B2756,dongia1,DG!$H$5,)</f>
        <v>0</v>
      </c>
      <c r="L2756" s="1298">
        <f t="shared" si="683"/>
        <v>1281600</v>
      </c>
      <c r="M2756" s="1298">
        <v>0</v>
      </c>
      <c r="N2756" s="1298">
        <f t="shared" si="684"/>
        <v>0</v>
      </c>
      <c r="O2756" s="1298">
        <f t="shared" si="685"/>
        <v>0</v>
      </c>
      <c r="P2756" s="1437"/>
      <c r="Q2756" s="1300"/>
      <c r="R2756" s="1300"/>
      <c r="S2756" s="1300"/>
    </row>
    <row r="2757" spans="1:19" s="1081" customFormat="1" outlineLevel="1">
      <c r="A2757" s="1072">
        <f t="shared" si="670"/>
        <v>1</v>
      </c>
      <c r="B2757" s="1295" t="s">
        <v>5610</v>
      </c>
      <c r="C2757" s="1302"/>
      <c r="D2757" s="1198">
        <f>VLOOKUP($B2757,dongia1,DG!$B$5,)</f>
        <v>0</v>
      </c>
      <c r="E2757" s="1243" t="str">
        <f>VLOOKUP($B2757,dongia1,DG!$C$5,)</f>
        <v>Bêtông đá 1x2 mac 200</v>
      </c>
      <c r="F2757" s="1198" t="str">
        <f>VLOOKUP($B2757,dongia1,DG!$D$5,)</f>
        <v>m3</v>
      </c>
      <c r="G2757" s="1508">
        <f>G2746*0.12</f>
        <v>0.12</v>
      </c>
      <c r="H2757" s="1298">
        <f>VLOOKUP($B2757,dongia1,DG!$F$5,)</f>
        <v>920580</v>
      </c>
      <c r="I2757" s="1298">
        <v>0</v>
      </c>
      <c r="J2757" s="1298">
        <f>VLOOKUP($B2757,dongia1,DG!$G$5,)</f>
        <v>0</v>
      </c>
      <c r="K2757" s="1298">
        <f>VLOOKUP($B2757,dongia1,DG!$H$5,)</f>
        <v>0</v>
      </c>
      <c r="L2757" s="1298">
        <f t="shared" si="683"/>
        <v>110469.59999999999</v>
      </c>
      <c r="M2757" s="1298">
        <v>0</v>
      </c>
      <c r="N2757" s="1298">
        <f t="shared" si="684"/>
        <v>0</v>
      </c>
      <c r="O2757" s="1298">
        <f t="shared" si="685"/>
        <v>0</v>
      </c>
      <c r="P2757" s="1437"/>
      <c r="Q2757" s="1300"/>
      <c r="R2757" s="1300"/>
      <c r="S2757" s="1300"/>
    </row>
    <row r="2758" spans="1:19" s="1081" customFormat="1" outlineLevel="1">
      <c r="A2758" s="1072">
        <f t="shared" si="670"/>
        <v>1</v>
      </c>
      <c r="B2758" s="1295" t="s">
        <v>708</v>
      </c>
      <c r="C2758" s="1302"/>
      <c r="D2758" s="1198">
        <f>VLOOKUP($B2758,dongia1,DG!$B$5,)</f>
        <v>0</v>
      </c>
      <c r="E2758" s="1243" t="str">
        <f>VLOOKUP($B2758,dongia1,DG!$C$5,)</f>
        <v>Gạch ống</v>
      </c>
      <c r="F2758" s="1198" t="str">
        <f>VLOOKUP($B2758,dongia1,DG!$D$5,)</f>
        <v>viên</v>
      </c>
      <c r="G2758" s="1508">
        <f>G2746*350</f>
        <v>350</v>
      </c>
      <c r="H2758" s="1298">
        <f>VLOOKUP($B2758,dongia1,DG!$F$5,)</f>
        <v>1900</v>
      </c>
      <c r="I2758" s="1298">
        <v>0</v>
      </c>
      <c r="J2758" s="1298">
        <f>VLOOKUP($B2758,dongia1,DG!$G$5,)</f>
        <v>0</v>
      </c>
      <c r="K2758" s="1298">
        <f>VLOOKUP($B2758,dongia1,DG!$H$5,)</f>
        <v>0</v>
      </c>
      <c r="L2758" s="1298">
        <f t="shared" si="683"/>
        <v>665000</v>
      </c>
      <c r="M2758" s="1298">
        <v>0</v>
      </c>
      <c r="N2758" s="1298">
        <f t="shared" si="684"/>
        <v>0</v>
      </c>
      <c r="O2758" s="1298">
        <f t="shared" si="685"/>
        <v>0</v>
      </c>
      <c r="P2758" s="1437"/>
      <c r="Q2758" s="1300"/>
      <c r="R2758" s="1300"/>
      <c r="S2758" s="1300"/>
    </row>
    <row r="2759" spans="1:19" s="1081" customFormat="1" outlineLevel="1">
      <c r="A2759" s="1072">
        <f t="shared" si="670"/>
        <v>1</v>
      </c>
      <c r="B2759" s="1295" t="s">
        <v>5662</v>
      </c>
      <c r="C2759" s="1302"/>
      <c r="D2759" s="1198" t="str">
        <f>VLOOKUP($B2759,dongia1,DG!$B$5,)</f>
        <v>AE.61210</v>
      </c>
      <c r="E2759" s="1243" t="str">
        <f>VLOOKUP($B2759,dongia1,DG!$C$5,)</f>
        <v>Xây tường gạch ống bề dày &lt;30cm</v>
      </c>
      <c r="F2759" s="1198" t="str">
        <f>VLOOKUP($B2759,dongia1,DG!$D$5,)</f>
        <v>m3</v>
      </c>
      <c r="G2759" s="1508">
        <f>G2746*1.4</f>
        <v>1.4</v>
      </c>
      <c r="H2759" s="1298">
        <f>VLOOKUP($B2759,dongia1,DG!$F$5,)</f>
        <v>0</v>
      </c>
      <c r="I2759" s="1298">
        <v>316240.8</v>
      </c>
      <c r="J2759" s="1298">
        <f>VLOOKUP($B2759,dongia1,DG!$G$5,)</f>
        <v>316240.8</v>
      </c>
      <c r="K2759" s="1298">
        <f>VLOOKUP($B2759,dongia1,DG!$H$5,)</f>
        <v>0</v>
      </c>
      <c r="L2759" s="1298">
        <f t="shared" si="683"/>
        <v>0</v>
      </c>
      <c r="M2759" s="1298">
        <v>0</v>
      </c>
      <c r="N2759" s="1298">
        <f t="shared" si="684"/>
        <v>442737.11999999994</v>
      </c>
      <c r="O2759" s="1298">
        <f t="shared" si="685"/>
        <v>0</v>
      </c>
      <c r="P2759" s="1437"/>
      <c r="Q2759" s="1300"/>
      <c r="R2759" s="1300"/>
      <c r="S2759" s="1300"/>
    </row>
    <row r="2760" spans="1:19" s="1081" customFormat="1" outlineLevel="1">
      <c r="A2760" s="1072">
        <f t="shared" si="670"/>
        <v>1</v>
      </c>
      <c r="B2760" s="1295" t="s">
        <v>1694</v>
      </c>
      <c r="C2760" s="1302"/>
      <c r="D2760" s="1198" t="str">
        <f>VLOOKUP($B2760,dongia1,DG!$B$5,)</f>
        <v>AF.61210</v>
      </c>
      <c r="E2760" s="1243" t="str">
        <f>VLOOKUP($B2760,dongia1,DG!$C$5,)</f>
        <v>Gia công và lắp dựng cốt thép D&lt;=10</v>
      </c>
      <c r="F2760" s="1198" t="str">
        <f>VLOOKUP($B2760,dongia1,DG!$D$5,)</f>
        <v>kg</v>
      </c>
      <c r="G2760" s="1508">
        <f>G2755</f>
        <v>16</v>
      </c>
      <c r="H2760" s="1298">
        <f>VLOOKUP($B2760,dongia1,DG!$F$5,)</f>
        <v>9814</v>
      </c>
      <c r="I2760" s="1298">
        <v>2965.3303999999998</v>
      </c>
      <c r="J2760" s="1298">
        <f>VLOOKUP($B2760,dongia1,DG!$G$5,)</f>
        <v>2965.3303999999998</v>
      </c>
      <c r="K2760" s="1298">
        <f>VLOOKUP($B2760,dongia1,DG!$H$5,)</f>
        <v>0</v>
      </c>
      <c r="L2760" s="1298">
        <f t="shared" si="683"/>
        <v>157024</v>
      </c>
      <c r="M2760" s="1298">
        <v>0</v>
      </c>
      <c r="N2760" s="1298">
        <f t="shared" si="684"/>
        <v>47445.286399999997</v>
      </c>
      <c r="O2760" s="1298">
        <f t="shared" si="685"/>
        <v>0</v>
      </c>
      <c r="P2760" s="1437"/>
      <c r="Q2760" s="1300"/>
      <c r="R2760" s="1300"/>
      <c r="S2760" s="1300"/>
    </row>
    <row r="2761" spans="1:19" s="1081" customFormat="1" outlineLevel="1">
      <c r="A2761" s="1072">
        <f t="shared" si="670"/>
        <v>1</v>
      </c>
      <c r="B2761" s="1295" t="s">
        <v>1473</v>
      </c>
      <c r="C2761" s="1302"/>
      <c r="D2761" s="1198" t="str">
        <f>VLOOKUP($B2761,dongia1,DG!$B$5,)</f>
        <v>AF.11220</v>
      </c>
      <c r="E2761" s="1243" t="str">
        <f>VLOOKUP($B2761,dongia1,DG!$C$5,)</f>
        <v>Đổ bê tông mác M200 đá 1x 2rộng &gt;250cm</v>
      </c>
      <c r="F2761" s="1198" t="str">
        <f>VLOOKUP($B2761,dongia1,DG!$D$5,)</f>
        <v>m3</v>
      </c>
      <c r="G2761" s="1508">
        <f>G2757</f>
        <v>0.12</v>
      </c>
      <c r="H2761" s="1298">
        <f>VLOOKUP($B2761,dongia1,DG!$F$5,)</f>
        <v>920580</v>
      </c>
      <c r="I2761" s="1298">
        <v>466397.5</v>
      </c>
      <c r="J2761" s="1298">
        <f>VLOOKUP($B2761,dongia1,DG!$G$5,)</f>
        <v>466397.5</v>
      </c>
      <c r="K2761" s="1298">
        <f>VLOOKUP($B2761,dongia1,DG!$H$5,)</f>
        <v>0</v>
      </c>
      <c r="L2761" s="1298">
        <f t="shared" si="683"/>
        <v>110469.59999999999</v>
      </c>
      <c r="M2761" s="1298">
        <v>0</v>
      </c>
      <c r="N2761" s="1298">
        <f t="shared" si="684"/>
        <v>55967.7</v>
      </c>
      <c r="O2761" s="1298">
        <f t="shared" si="685"/>
        <v>0</v>
      </c>
      <c r="P2761" s="1437"/>
      <c r="Q2761" s="1300"/>
      <c r="R2761" s="1300"/>
      <c r="S2761" s="1300"/>
    </row>
    <row r="2762" spans="1:19" s="1081" customFormat="1" outlineLevel="1">
      <c r="A2762" s="1072">
        <f t="shared" si="670"/>
        <v>1</v>
      </c>
      <c r="B2762" s="1295" t="s">
        <v>5644</v>
      </c>
      <c r="C2762" s="1302"/>
      <c r="D2762" s="1198" t="s">
        <v>5645</v>
      </c>
      <c r="E2762" s="1243" t="s">
        <v>5646</v>
      </c>
      <c r="F2762" s="1198" t="s">
        <v>532</v>
      </c>
      <c r="G2762" s="1508">
        <f>G2746*12*2</f>
        <v>24</v>
      </c>
      <c r="H2762" s="1298">
        <f>VLOOKUP($B2762,dongia1,DG!$F$5,)</f>
        <v>28205</v>
      </c>
      <c r="I2762" s="1298">
        <v>74440.5</v>
      </c>
      <c r="J2762" s="1298">
        <f>VLOOKUP($B2762,dongia1,DG!$G$5,)</f>
        <v>74440.5</v>
      </c>
      <c r="K2762" s="1298">
        <f>VLOOKUP($B2762,dongia1,DG!$H$5,)</f>
        <v>0</v>
      </c>
      <c r="L2762" s="1298">
        <f t="shared" si="683"/>
        <v>676920</v>
      </c>
      <c r="M2762" s="1298">
        <v>0</v>
      </c>
      <c r="N2762" s="1298">
        <f t="shared" si="684"/>
        <v>1786572</v>
      </c>
      <c r="O2762" s="1298">
        <f t="shared" si="685"/>
        <v>0</v>
      </c>
      <c r="P2762" s="1437"/>
      <c r="Q2762" s="1300"/>
      <c r="R2762" s="1300"/>
      <c r="S2762" s="1300"/>
    </row>
    <row r="2763" spans="1:19" s="1081" customFormat="1" outlineLevel="1">
      <c r="A2763" s="1072">
        <f>IF(G2763&lt;&gt;0,1,"")</f>
        <v>1</v>
      </c>
      <c r="B2763" s="1068"/>
      <c r="C2763" s="166">
        <f>IF(G2763&gt;0,C2746+1,C2746)</f>
        <v>10</v>
      </c>
      <c r="D2763" s="1733"/>
      <c r="E2763" s="168" t="s">
        <v>3463</v>
      </c>
      <c r="F2763" s="169" t="s">
        <v>2113</v>
      </c>
      <c r="G2763" s="1734">
        <v>1</v>
      </c>
      <c r="H2763" s="193"/>
      <c r="I2763" s="1736"/>
      <c r="J2763" s="1736"/>
      <c r="K2763" s="1737"/>
      <c r="L2763" s="1737"/>
      <c r="M2763" s="1737"/>
      <c r="N2763" s="1739"/>
      <c r="O2763" s="1739"/>
      <c r="P2763" s="1739"/>
      <c r="Q2763" s="1300"/>
      <c r="R2763" s="1300"/>
      <c r="S2763" s="1300"/>
    </row>
    <row r="2764" spans="1:19" s="1284" customFormat="1" ht="14.4" outlineLevel="1">
      <c r="A2764" s="1072">
        <f>A2763</f>
        <v>1</v>
      </c>
      <c r="B2764" s="1570"/>
      <c r="C2764" s="1291"/>
      <c r="D2764" s="1292"/>
      <c r="E2764" s="1308" t="s">
        <v>3399</v>
      </c>
      <c r="F2764" s="1291"/>
      <c r="G2764" s="1297"/>
      <c r="H2764" s="1298"/>
      <c r="I2764" s="1298"/>
      <c r="J2764" s="1298"/>
      <c r="K2764" s="1298"/>
      <c r="L2764" s="1298">
        <f>SUBTOTAL(9,L2765:L2785)*0</f>
        <v>0</v>
      </c>
      <c r="M2764" s="1298">
        <f>SUBTOTAL(9,M2765:M2785)</f>
        <v>0</v>
      </c>
      <c r="N2764" s="1298">
        <f>SUBTOTAL(9,N2765:N2785)*0</f>
        <v>0</v>
      </c>
      <c r="O2764" s="1298">
        <f>SUBTOTAL(9,O2765:O2785)*0</f>
        <v>0</v>
      </c>
      <c r="P2764" s="1299"/>
      <c r="Q2764" s="1487"/>
      <c r="R2764" s="1487"/>
      <c r="S2764" s="1487"/>
    </row>
    <row r="2765" spans="1:19" s="1081" customFormat="1" outlineLevel="1">
      <c r="A2765" s="1072">
        <f>IF(G2765=0,0,1)</f>
        <v>1</v>
      </c>
      <c r="B2765" s="1295" t="s">
        <v>4804</v>
      </c>
      <c r="C2765" s="1437"/>
      <c r="D2765" s="1198">
        <f>VLOOKUP($B2765,dongia1,DG!$B$5,)</f>
        <v>0</v>
      </c>
      <c r="E2765" s="1399" t="str">
        <f>VLOOKUP($B2765,dongia1,DG!$C$5,)</f>
        <v xml:space="preserve">Cáp CVV 4x4mm2  </v>
      </c>
      <c r="F2765" s="1555" t="str">
        <f>VLOOKUP($B2765,dongia1,DG!$D$5,)</f>
        <v>mét</v>
      </c>
      <c r="G2765" s="1508">
        <f>G2763*3*11</f>
        <v>33</v>
      </c>
      <c r="H2765" s="1298">
        <f>VLOOKUP($B2765,dongia1,DG!$F$5,)</f>
        <v>63200</v>
      </c>
      <c r="I2765" s="1298"/>
      <c r="J2765" s="1298">
        <f>VLOOKUP($B2765,dongia1,DG!$G$5,)</f>
        <v>0</v>
      </c>
      <c r="K2765" s="1298">
        <f>VLOOKUP($B2765,dongia1,DG!$H$5,)</f>
        <v>0</v>
      </c>
      <c r="L2765" s="1298">
        <f>H2765*$G2765</f>
        <v>2085600</v>
      </c>
      <c r="M2765" s="1298">
        <f t="shared" ref="M2765:M2785" si="686">I2765*$G2765</f>
        <v>0</v>
      </c>
      <c r="N2765" s="1298">
        <f>J2765*$G2765</f>
        <v>0</v>
      </c>
      <c r="O2765" s="1298">
        <f>K2765*$G2765</f>
        <v>0</v>
      </c>
      <c r="P2765" s="1299"/>
      <c r="Q2765" s="1300"/>
      <c r="R2765" s="1300"/>
      <c r="S2765" s="1300"/>
    </row>
    <row r="2766" spans="1:19" s="1081" customFormat="1" hidden="1" outlineLevel="1">
      <c r="A2766" s="1072">
        <f>IF(G2766=0,0,1)</f>
        <v>0</v>
      </c>
      <c r="B2766" s="1068" t="s">
        <v>507</v>
      </c>
      <c r="C2766" s="1302"/>
      <c r="D2766" s="1198">
        <v>0</v>
      </c>
      <c r="E2766" s="1399" t="str">
        <f>VLOOKUP($B2766,dongia1,DG!$C$5,)</f>
        <v>Boulon 10x150+ 2 long đền vuông D14-50x50x3/Zn</v>
      </c>
      <c r="F2766" s="1555" t="str">
        <f>VLOOKUP($B2766,dongia1,DG!$D$5,)</f>
        <v>bộ</v>
      </c>
      <c r="G2766" s="1508"/>
      <c r="H2766" s="1298">
        <f>VLOOKUP($B2766,dongia1,DG!$F$5,)</f>
        <v>7900</v>
      </c>
      <c r="I2766" s="1298"/>
      <c r="J2766" s="1298">
        <f>VLOOKUP($B2766,dongia1,DG!$G$5,)</f>
        <v>0</v>
      </c>
      <c r="K2766" s="1298">
        <f>VLOOKUP($B2766,dongia1,DG!$H$5,)</f>
        <v>0</v>
      </c>
      <c r="L2766" s="1298">
        <f t="shared" ref="L2766:L2785" si="687">H2766*$G2766</f>
        <v>0</v>
      </c>
      <c r="M2766" s="1298">
        <f t="shared" si="686"/>
        <v>0</v>
      </c>
      <c r="N2766" s="1298">
        <f t="shared" ref="N2766:N2785" si="688">J2766*$G2766</f>
        <v>0</v>
      </c>
      <c r="O2766" s="1298">
        <f t="shared" ref="O2766:O2785" si="689">K2766*$G2766</f>
        <v>0</v>
      </c>
      <c r="P2766" s="1299"/>
      <c r="Q2766" s="1300"/>
      <c r="R2766" s="1300"/>
      <c r="S2766" s="1300"/>
    </row>
    <row r="2767" spans="1:19" s="1081" customFormat="1" outlineLevel="1">
      <c r="A2767" s="1072">
        <f>IF(G2767=0,0,1)</f>
        <v>1</v>
      </c>
      <c r="B2767" s="1068" t="s">
        <v>509</v>
      </c>
      <c r="C2767" s="1302"/>
      <c r="D2767" s="1198">
        <v>0</v>
      </c>
      <c r="E2767" s="1399" t="str">
        <f>VLOOKUP($B2767,dongia1,DG!$C$5,)</f>
        <v>Boulon 10x50+ 2 long đền vuông D12-50x50x3/Zn</v>
      </c>
      <c r="F2767" s="1555" t="str">
        <f>VLOOKUP($B2767,dongia1,DG!$D$5,)</f>
        <v>bộ</v>
      </c>
      <c r="G2767" s="1508">
        <v>24</v>
      </c>
      <c r="H2767" s="1298">
        <f>VLOOKUP($B2767,dongia1,DG!$F$5,)</f>
        <v>1500</v>
      </c>
      <c r="I2767" s="1298"/>
      <c r="J2767" s="1298">
        <f>VLOOKUP($B2767,dongia1,DG!$G$5,)</f>
        <v>0</v>
      </c>
      <c r="K2767" s="1298">
        <f>VLOOKUP($B2767,dongia1,DG!$H$5,)</f>
        <v>0</v>
      </c>
      <c r="L2767" s="1298">
        <f t="shared" si="687"/>
        <v>36000</v>
      </c>
      <c r="M2767" s="1298">
        <f t="shared" si="686"/>
        <v>0</v>
      </c>
      <c r="N2767" s="1298">
        <f t="shared" si="688"/>
        <v>0</v>
      </c>
      <c r="O2767" s="1298">
        <f t="shared" si="689"/>
        <v>0</v>
      </c>
      <c r="P2767" s="1299"/>
      <c r="Q2767" s="1300"/>
      <c r="R2767" s="1300"/>
      <c r="S2767" s="1300"/>
    </row>
    <row r="2768" spans="1:19" s="1081" customFormat="1" outlineLevel="1">
      <c r="A2768" s="1072">
        <f t="shared" ref="A2768:A2785" si="690">IF(G2768=0,0,1)</f>
        <v>1</v>
      </c>
      <c r="B2768" s="1295" t="s">
        <v>748</v>
      </c>
      <c r="C2768" s="1437"/>
      <c r="D2768" s="1198">
        <f>VLOOKUP($B2768,dongia1,DG!$B$5,)</f>
        <v>0</v>
      </c>
      <c r="E2768" s="1399" t="str">
        <f>VLOOKUP($B2768,dongia1,DG!$C$5,)</f>
        <v>Xà kẹp TU, TI U40x22x3x425</v>
      </c>
      <c r="F2768" s="1555" t="str">
        <f>VLOOKUP($B2768,dongia1,DG!$D$5,)</f>
        <v>cái</v>
      </c>
      <c r="G2768" s="1508">
        <v>24</v>
      </c>
      <c r="H2768" s="1298">
        <f>VLOOKUP($B2768,dongia1,DG!$F$5,)</f>
        <v>40500</v>
      </c>
      <c r="I2768" s="1298"/>
      <c r="J2768" s="1298">
        <f>VLOOKUP($B2768,dongia1,DG!$G$5,)</f>
        <v>39758</v>
      </c>
      <c r="K2768" s="1298">
        <f>VLOOKUP($B2768,dongia1,DG!$H$5,)</f>
        <v>0</v>
      </c>
      <c r="L2768" s="1298">
        <f t="shared" si="687"/>
        <v>972000</v>
      </c>
      <c r="M2768" s="1298">
        <f t="shared" si="686"/>
        <v>0</v>
      </c>
      <c r="N2768" s="1298">
        <f t="shared" si="688"/>
        <v>954192</v>
      </c>
      <c r="O2768" s="1298">
        <f t="shared" si="689"/>
        <v>0</v>
      </c>
      <c r="P2768" s="1299"/>
      <c r="Q2768" s="1300"/>
      <c r="R2768" s="1300"/>
      <c r="S2768" s="1300"/>
    </row>
    <row r="2769" spans="1:19" s="1081" customFormat="1" outlineLevel="1">
      <c r="A2769" s="1072">
        <f t="shared" si="690"/>
        <v>1</v>
      </c>
      <c r="B2769" s="1295" t="s">
        <v>5577</v>
      </c>
      <c r="C2769" s="1302"/>
      <c r="D2769" s="1198" t="str">
        <f>VLOOKUP($B2769,dongia1,DG!$B$5,)</f>
        <v>D4.5001</v>
      </c>
      <c r="E2769" s="1399" t="str">
        <f>VLOOKUP($B2769,dongia1,DG!$C$5,)</f>
        <v xml:space="preserve">Đầu cosse ép Cu 4mm2 + bao PVC </v>
      </c>
      <c r="F2769" s="1555" t="str">
        <f>VLOOKUP($B2769,dongia1,DG!$D$5,)</f>
        <v>cái</v>
      </c>
      <c r="G2769" s="1508">
        <f>G2763*16</f>
        <v>16</v>
      </c>
      <c r="H2769" s="1298">
        <f>VLOOKUP($B2769,dongia1,DG!$F$5,)</f>
        <v>1700</v>
      </c>
      <c r="I2769" s="1298"/>
      <c r="J2769" s="1298">
        <f>VLOOKUP($B2769,dongia1,DG!$G$5,)</f>
        <v>3637.3560000000002</v>
      </c>
      <c r="K2769" s="1298">
        <f>VLOOKUP($B2769,dongia1,DG!$H$5,)</f>
        <v>1666.2139485</v>
      </c>
      <c r="L2769" s="1298">
        <f t="shared" si="687"/>
        <v>27200</v>
      </c>
      <c r="M2769" s="1298">
        <f t="shared" si="686"/>
        <v>0</v>
      </c>
      <c r="N2769" s="1298">
        <f t="shared" si="688"/>
        <v>58197.696000000004</v>
      </c>
      <c r="O2769" s="1298">
        <f t="shared" si="689"/>
        <v>26659.423176</v>
      </c>
      <c r="P2769" s="1299"/>
      <c r="Q2769" s="1300"/>
      <c r="R2769" s="1300"/>
      <c r="S2769" s="1300"/>
    </row>
    <row r="2770" spans="1:19" s="1081" customFormat="1" hidden="1" outlineLevel="1">
      <c r="A2770" s="1072">
        <f t="shared" si="690"/>
        <v>0</v>
      </c>
      <c r="B2770" s="1295" t="s">
        <v>57</v>
      </c>
      <c r="C2770" s="1302"/>
      <c r="D2770" s="1198">
        <f>VLOOKUP($B2770,dongia1,DG!$B$5,)</f>
        <v>0</v>
      </c>
      <c r="E2770" s="1399" t="str">
        <f>VLOOKUP($B2770,dongia1,DG!$C$5,)</f>
        <v>Dây điện đôi 16/10</v>
      </c>
      <c r="F2770" s="1555" t="str">
        <f>VLOOKUP($B2770,dongia1,DG!$D$5,)</f>
        <v>mét</v>
      </c>
      <c r="G2770" s="1508"/>
      <c r="H2770" s="1298">
        <f>VLOOKUP($B2770,dongia1,DG!$F$5,)</f>
        <v>860</v>
      </c>
      <c r="I2770" s="1298"/>
      <c r="J2770" s="1298">
        <f>VLOOKUP($B2770,dongia1,DG!$G$5,)</f>
        <v>0</v>
      </c>
      <c r="K2770" s="1298">
        <f>VLOOKUP($B2770,dongia1,DG!$H$5,)</f>
        <v>0</v>
      </c>
      <c r="L2770" s="1298">
        <f t="shared" si="687"/>
        <v>0</v>
      </c>
      <c r="M2770" s="1298">
        <f t="shared" si="686"/>
        <v>0</v>
      </c>
      <c r="N2770" s="1298">
        <f t="shared" si="688"/>
        <v>0</v>
      </c>
      <c r="O2770" s="1298">
        <f t="shared" si="689"/>
        <v>0</v>
      </c>
      <c r="P2770" s="1299"/>
      <c r="Q2770" s="1300"/>
      <c r="R2770" s="1300"/>
      <c r="S2770" s="1300"/>
    </row>
    <row r="2771" spans="1:19" s="1081" customFormat="1" outlineLevel="1">
      <c r="A2771" s="1072">
        <f t="shared" si="690"/>
        <v>1</v>
      </c>
      <c r="B2771" s="1295" t="s">
        <v>903</v>
      </c>
      <c r="C2771" s="1302"/>
      <c r="D2771" s="1198">
        <f>VLOOKUP($B2771,dongia1,DG!$B$5,)</f>
        <v>0</v>
      </c>
      <c r="E2771" s="1399" t="str">
        <f>VLOOKUP($B2771,dongia1,DG!$C$5,)</f>
        <v>Ốc xiết cáp cỡ 25mm2</v>
      </c>
      <c r="F2771" s="1555" t="str">
        <f>VLOOKUP($B2771,dongia1,DG!$D$5,)</f>
        <v>cái</v>
      </c>
      <c r="G2771" s="1508">
        <v>3</v>
      </c>
      <c r="H2771" s="1298">
        <f>VLOOKUP($B2771,dongia1,DG!$F$5,)</f>
        <v>17600</v>
      </c>
      <c r="I2771" s="1298"/>
      <c r="J2771" s="1298">
        <f>VLOOKUP($B2771,dongia1,DG!$G$5,)</f>
        <v>0</v>
      </c>
      <c r="K2771" s="1298">
        <f>VLOOKUP($B2771,dongia1,DG!$H$5,)</f>
        <v>0</v>
      </c>
      <c r="L2771" s="1298">
        <f t="shared" si="687"/>
        <v>52800</v>
      </c>
      <c r="M2771" s="1298">
        <f t="shared" si="686"/>
        <v>0</v>
      </c>
      <c r="N2771" s="1298">
        <f t="shared" si="688"/>
        <v>0</v>
      </c>
      <c r="O2771" s="1298">
        <f t="shared" si="689"/>
        <v>0</v>
      </c>
      <c r="P2771" s="1299"/>
      <c r="Q2771" s="1300"/>
      <c r="R2771" s="1300"/>
      <c r="S2771" s="1300"/>
    </row>
    <row r="2772" spans="1:19" s="1081" customFormat="1" outlineLevel="1">
      <c r="A2772" s="1072">
        <f t="shared" si="690"/>
        <v>1</v>
      </c>
      <c r="B2772" s="1295" t="s">
        <v>1736</v>
      </c>
      <c r="C2772" s="1302"/>
      <c r="D2772" s="1198">
        <f>VLOOKUP($B2772,dongia1,DG!$B$5,)</f>
        <v>0</v>
      </c>
      <c r="E2772" s="1399" t="str">
        <f>VLOOKUP($B2772,dongia1,DG!$C$5,)</f>
        <v>Ống PVC D42x2,1mm</v>
      </c>
      <c r="F2772" s="1555" t="str">
        <f>VLOOKUP($B2772,dongia1,DG!$D$5,)</f>
        <v>m</v>
      </c>
      <c r="G2772" s="1508">
        <f>G2781*18</f>
        <v>18</v>
      </c>
      <c r="H2772" s="1298">
        <f>VLOOKUP($B2772,dongia1,DG!$F$5,)</f>
        <v>16100</v>
      </c>
      <c r="I2772" s="1298"/>
      <c r="J2772" s="1298">
        <f>VLOOKUP($B2772,dongia1,DG!$G$5,)</f>
        <v>0</v>
      </c>
      <c r="K2772" s="1298">
        <f>VLOOKUP($B2772,dongia1,DG!$H$5,)</f>
        <v>0</v>
      </c>
      <c r="L2772" s="1298">
        <f t="shared" si="687"/>
        <v>289800</v>
      </c>
      <c r="M2772" s="1298">
        <f t="shared" si="686"/>
        <v>0</v>
      </c>
      <c r="N2772" s="1298">
        <f t="shared" si="688"/>
        <v>0</v>
      </c>
      <c r="O2772" s="1298">
        <f t="shared" si="689"/>
        <v>0</v>
      </c>
      <c r="P2772" s="1299"/>
      <c r="Q2772" s="1300"/>
      <c r="R2772" s="1300"/>
      <c r="S2772" s="1300"/>
    </row>
    <row r="2773" spans="1:19" s="1081" customFormat="1" outlineLevel="1">
      <c r="A2773" s="1072">
        <f t="shared" si="690"/>
        <v>1</v>
      </c>
      <c r="B2773" s="1068" t="s">
        <v>1525</v>
      </c>
      <c r="C2773" s="1302"/>
      <c r="D2773" s="1198">
        <f>VLOOKUP($B2773,dongia1,DG!$B$5,)</f>
        <v>0</v>
      </c>
      <c r="E2773" s="1399" t="str">
        <f>VLOOKUP($B2773,dongia1,DG!$C$5,)</f>
        <v>Cổ dê giữ ống PVC D42</v>
      </c>
      <c r="F2773" s="1555" t="str">
        <f>VLOOKUP($B2773,dongia1,DG!$D$5,)</f>
        <v>bộ</v>
      </c>
      <c r="G2773" s="1508">
        <f>G2763*4</f>
        <v>4</v>
      </c>
      <c r="H2773" s="1298">
        <f>VLOOKUP($B2773,dongia1,DG!$F$5,)</f>
        <v>34000</v>
      </c>
      <c r="I2773" s="1298"/>
      <c r="J2773" s="1298">
        <f>VLOOKUP($B2773,dongia1,DG!$G$5,)</f>
        <v>0</v>
      </c>
      <c r="K2773" s="1298">
        <f>VLOOKUP($B2773,dongia1,DG!$H$5,)</f>
        <v>0</v>
      </c>
      <c r="L2773" s="1298">
        <f t="shared" si="687"/>
        <v>136000</v>
      </c>
      <c r="M2773" s="1298">
        <f t="shared" si="686"/>
        <v>0</v>
      </c>
      <c r="N2773" s="1298">
        <f t="shared" si="688"/>
        <v>0</v>
      </c>
      <c r="O2773" s="1298">
        <f t="shared" si="689"/>
        <v>0</v>
      </c>
      <c r="P2773" s="1299"/>
      <c r="Q2773" s="1300"/>
      <c r="R2773" s="1300"/>
      <c r="S2773" s="1300"/>
    </row>
    <row r="2774" spans="1:19" s="1081" customFormat="1" outlineLevel="1">
      <c r="A2774" s="1072">
        <f t="shared" si="690"/>
        <v>1</v>
      </c>
      <c r="B2774" s="1295" t="s">
        <v>1576</v>
      </c>
      <c r="C2774" s="1302"/>
      <c r="D2774" s="1198">
        <f>VLOOKUP($B2774,dongia1,DG!$B$5,)</f>
        <v>0</v>
      </c>
      <c r="E2774" s="1399" t="str">
        <f>VLOOKUP($B2774,dongia1,DG!$C$5,)</f>
        <v>Co 90 độ PVC 42</v>
      </c>
      <c r="F2774" s="1555" t="str">
        <f>VLOOKUP($B2774,dongia1,DG!$D$5,)</f>
        <v>cái</v>
      </c>
      <c r="G2774" s="1508">
        <f>G2763*6</f>
        <v>6</v>
      </c>
      <c r="H2774" s="1298">
        <f>VLOOKUP($B2774,dongia1,DG!$F$5,)</f>
        <v>11400</v>
      </c>
      <c r="I2774" s="1298"/>
      <c r="J2774" s="1298">
        <f>VLOOKUP($B2774,dongia1,DG!$G$5,)</f>
        <v>0</v>
      </c>
      <c r="K2774" s="1298">
        <f>VLOOKUP($B2774,dongia1,DG!$H$5,)</f>
        <v>0</v>
      </c>
      <c r="L2774" s="1298">
        <f t="shared" si="687"/>
        <v>68400</v>
      </c>
      <c r="M2774" s="1298">
        <f t="shared" si="686"/>
        <v>0</v>
      </c>
      <c r="N2774" s="1298">
        <f t="shared" si="688"/>
        <v>0</v>
      </c>
      <c r="O2774" s="1298">
        <f t="shared" si="689"/>
        <v>0</v>
      </c>
      <c r="P2774" s="1299"/>
      <c r="Q2774" s="1300"/>
      <c r="R2774" s="1300"/>
      <c r="S2774" s="1300"/>
    </row>
    <row r="2775" spans="1:19" s="1081" customFormat="1" outlineLevel="1">
      <c r="A2775" s="1072">
        <f t="shared" si="690"/>
        <v>1</v>
      </c>
      <c r="B2775" s="1295" t="s">
        <v>969</v>
      </c>
      <c r="C2775" s="1302"/>
      <c r="D2775" s="1198">
        <f>VLOOKUP($B2775,dongia1,DG!$B$5,)</f>
        <v>0</v>
      </c>
      <c r="E2775" s="1399" t="str">
        <f>VLOOKUP($B2775,dongia1,DG!$C$5,)</f>
        <v>Co chữ T ống PVC 42</v>
      </c>
      <c r="F2775" s="1555" t="str">
        <f>VLOOKUP($B2775,dongia1,DG!$D$5,)</f>
        <v>cái</v>
      </c>
      <c r="G2775" s="1508">
        <f>G2763*5</f>
        <v>5</v>
      </c>
      <c r="H2775" s="1298">
        <f>VLOOKUP($B2775,dongia1,DG!$F$5,)</f>
        <v>21000</v>
      </c>
      <c r="I2775" s="1298"/>
      <c r="J2775" s="1298">
        <f>VLOOKUP($B2775,dongia1,DG!$G$5,)</f>
        <v>0</v>
      </c>
      <c r="K2775" s="1298">
        <f>VLOOKUP($B2775,dongia1,DG!$H$5,)</f>
        <v>0</v>
      </c>
      <c r="L2775" s="1298">
        <f t="shared" si="687"/>
        <v>105000</v>
      </c>
      <c r="M2775" s="1298">
        <f t="shared" si="686"/>
        <v>0</v>
      </c>
      <c r="N2775" s="1298">
        <f t="shared" si="688"/>
        <v>0</v>
      </c>
      <c r="O2775" s="1298">
        <f t="shared" si="689"/>
        <v>0</v>
      </c>
      <c r="P2775" s="1299"/>
      <c r="Q2775" s="1300"/>
      <c r="R2775" s="1300"/>
      <c r="S2775" s="1300"/>
    </row>
    <row r="2776" spans="1:19" s="1081" customFormat="1" outlineLevel="1">
      <c r="A2776" s="1072">
        <f t="shared" si="690"/>
        <v>1</v>
      </c>
      <c r="B2776" s="1295" t="s">
        <v>1973</v>
      </c>
      <c r="C2776" s="1302"/>
      <c r="D2776" s="1198">
        <f>VLOOKUP($B2776,dongia1,DG!$B$5,)</f>
        <v>0</v>
      </c>
      <c r="E2776" s="1399" t="str">
        <f>VLOOKUP($B2776,dongia1,DG!$C$5,)</f>
        <v>Keo dán ống PVC (500gr)</v>
      </c>
      <c r="F2776" s="1555" t="str">
        <f>VLOOKUP($B2776,dongia1,DG!$D$5,)</f>
        <v>lon</v>
      </c>
      <c r="G2776" s="1508">
        <f>G2763</f>
        <v>1</v>
      </c>
      <c r="H2776" s="1298">
        <f>VLOOKUP($B2776,dongia1,DG!$F$5,)</f>
        <v>54100</v>
      </c>
      <c r="I2776" s="1298"/>
      <c r="J2776" s="1298">
        <f>VLOOKUP($B2776,dongia1,DG!$G$5,)</f>
        <v>0</v>
      </c>
      <c r="K2776" s="1298">
        <f>VLOOKUP($B2776,dongia1,DG!$H$5,)</f>
        <v>0</v>
      </c>
      <c r="L2776" s="1298">
        <f t="shared" si="687"/>
        <v>54100</v>
      </c>
      <c r="M2776" s="1298">
        <f t="shared" si="686"/>
        <v>0</v>
      </c>
      <c r="N2776" s="1298">
        <f t="shared" si="688"/>
        <v>0</v>
      </c>
      <c r="O2776" s="1298">
        <f t="shared" si="689"/>
        <v>0</v>
      </c>
      <c r="P2776" s="1299"/>
      <c r="Q2776" s="1300"/>
      <c r="R2776" s="1300"/>
      <c r="S2776" s="1300"/>
    </row>
    <row r="2777" spans="1:19" s="1081" customFormat="1" outlineLevel="1">
      <c r="A2777" s="1072">
        <f t="shared" si="690"/>
        <v>1</v>
      </c>
      <c r="B2777" s="1068" t="s">
        <v>236</v>
      </c>
      <c r="C2777" s="1302"/>
      <c r="D2777" s="1198">
        <f>VLOOKUP($B2777,dongia1,DG!$B$5,)</f>
        <v>0</v>
      </c>
      <c r="E2777" s="1399" t="str">
        <f>VLOOKUP($B2777,dongia1,DG!$C$5,)</f>
        <v>Băng keo cách điện hạ thế</v>
      </c>
      <c r="F2777" s="1555" t="str">
        <f>VLOOKUP($B2777,dongia1,DG!$D$5,)</f>
        <v>cuộn</v>
      </c>
      <c r="G2777" s="1508">
        <f>G2763</f>
        <v>1</v>
      </c>
      <c r="H2777" s="1298">
        <f>VLOOKUP($B2777,dongia1,DG!$F$5,)</f>
        <v>6500</v>
      </c>
      <c r="I2777" s="1298"/>
      <c r="J2777" s="1298">
        <f>VLOOKUP($B2777,dongia1,DG!$G$5,)</f>
        <v>0</v>
      </c>
      <c r="K2777" s="1298">
        <f>VLOOKUP($B2777,dongia1,DG!$H$5,)</f>
        <v>0</v>
      </c>
      <c r="L2777" s="1298">
        <f t="shared" si="687"/>
        <v>6500</v>
      </c>
      <c r="M2777" s="1298">
        <f t="shared" si="686"/>
        <v>0</v>
      </c>
      <c r="N2777" s="1298">
        <f t="shared" si="688"/>
        <v>0</v>
      </c>
      <c r="O2777" s="1298">
        <f t="shared" si="689"/>
        <v>0</v>
      </c>
      <c r="P2777" s="1299"/>
      <c r="Q2777" s="1300"/>
      <c r="R2777" s="1300"/>
      <c r="S2777" s="1300"/>
    </row>
    <row r="2778" spans="1:19" s="1081" customFormat="1" outlineLevel="1">
      <c r="A2778" s="1072">
        <f t="shared" si="690"/>
        <v>1</v>
      </c>
      <c r="B2778" s="1295" t="s">
        <v>1464</v>
      </c>
      <c r="C2778" s="1302"/>
      <c r="D2778" s="1198">
        <f>VLOOKUP($B2778,dongia1,DG!$B$5,)</f>
        <v>0</v>
      </c>
      <c r="E2778" s="1399" t="str">
        <f>VLOOKUP($B2778,dongia1,DG!$C$5,)</f>
        <v>Khâu ven răng trong D42</v>
      </c>
      <c r="F2778" s="1555" t="str">
        <f>VLOOKUP($B2778,dongia1,DG!$D$5,)</f>
        <v>cái</v>
      </c>
      <c r="G2778" s="1508">
        <f>G2763</f>
        <v>1</v>
      </c>
      <c r="H2778" s="1298">
        <f>VLOOKUP($B2778,dongia1,DG!$F$5,)</f>
        <v>5000</v>
      </c>
      <c r="I2778" s="1298"/>
      <c r="J2778" s="1298">
        <f>VLOOKUP($B2778,dongia1,DG!$G$5,)</f>
        <v>0</v>
      </c>
      <c r="K2778" s="1298">
        <f>VLOOKUP($B2778,dongia1,DG!$H$5,)</f>
        <v>0</v>
      </c>
      <c r="L2778" s="1298">
        <f t="shared" si="687"/>
        <v>5000</v>
      </c>
      <c r="M2778" s="1298">
        <f t="shared" si="686"/>
        <v>0</v>
      </c>
      <c r="N2778" s="1298">
        <f t="shared" si="688"/>
        <v>0</v>
      </c>
      <c r="O2778" s="1298">
        <f t="shared" si="689"/>
        <v>0</v>
      </c>
      <c r="P2778" s="1299"/>
      <c r="Q2778" s="1300"/>
      <c r="R2778" s="1300"/>
      <c r="S2778" s="1300"/>
    </row>
    <row r="2779" spans="1:19" s="1081" customFormat="1" outlineLevel="1">
      <c r="A2779" s="1072">
        <f t="shared" si="690"/>
        <v>1</v>
      </c>
      <c r="B2779" s="1068" t="s">
        <v>1214</v>
      </c>
      <c r="C2779" s="1302"/>
      <c r="D2779" s="1198">
        <f>VLOOKUP($B2779,dongia1,DG!$B$5,)</f>
        <v>0</v>
      </c>
      <c r="E2779" s="1399" t="str">
        <f>VLOOKUP($B2779,dongia1,DG!$C$5,)</f>
        <v>Khâu ven răng ngoài D42</v>
      </c>
      <c r="F2779" s="1555" t="str">
        <f>VLOOKUP($B2779,dongia1,DG!$D$5,)</f>
        <v>cái</v>
      </c>
      <c r="G2779" s="1508">
        <f>G2763</f>
        <v>1</v>
      </c>
      <c r="H2779" s="1298">
        <f>VLOOKUP($B2779,dongia1,DG!$F$5,)</f>
        <v>5200</v>
      </c>
      <c r="I2779" s="1298"/>
      <c r="J2779" s="1298">
        <f>VLOOKUP($B2779,dongia1,DG!$G$5,)</f>
        <v>0</v>
      </c>
      <c r="K2779" s="1298">
        <f>VLOOKUP($B2779,dongia1,DG!$H$5,)</f>
        <v>0</v>
      </c>
      <c r="L2779" s="1298">
        <f t="shared" si="687"/>
        <v>5200</v>
      </c>
      <c r="M2779" s="1298">
        <f t="shared" si="686"/>
        <v>0</v>
      </c>
      <c r="N2779" s="1298">
        <f t="shared" si="688"/>
        <v>0</v>
      </c>
      <c r="O2779" s="1298">
        <f t="shared" si="689"/>
        <v>0</v>
      </c>
      <c r="P2779" s="1299"/>
      <c r="Q2779" s="1300"/>
      <c r="R2779" s="1300"/>
      <c r="S2779" s="1300"/>
    </row>
    <row r="2780" spans="1:19" s="1081" customFormat="1" outlineLevel="1">
      <c r="A2780" s="1072">
        <f t="shared" si="690"/>
        <v>1</v>
      </c>
      <c r="B2780" s="1068" t="s">
        <v>1439</v>
      </c>
      <c r="C2780" s="1302"/>
      <c r="D2780" s="1198">
        <f>VLOOKUP($B2780,dongia1,DG!$B$5,)</f>
        <v>0</v>
      </c>
      <c r="E2780" s="1399" t="str">
        <f>VLOOKUP($B2780,dongia1,DG!$C$5,)</f>
        <v>Cổ dê CDĐKĐT D320/6x60( bắt thùng)</v>
      </c>
      <c r="F2780" s="1555" t="str">
        <f>VLOOKUP($B2780,dongia1,DG!$D$5,)</f>
        <v>bộ</v>
      </c>
      <c r="G2780" s="1508">
        <v>1</v>
      </c>
      <c r="H2780" s="1298">
        <f>VLOOKUP($B2780,dongia1,DG!$F$5,)</f>
        <v>168000</v>
      </c>
      <c r="I2780" s="1298"/>
      <c r="J2780" s="1298">
        <f>VLOOKUP($B2780,dongia1,DG!$G$5,)</f>
        <v>0</v>
      </c>
      <c r="K2780" s="1298">
        <f>VLOOKUP($B2780,dongia1,DG!$H$5,)</f>
        <v>0</v>
      </c>
      <c r="L2780" s="1298">
        <f t="shared" si="687"/>
        <v>168000</v>
      </c>
      <c r="M2780" s="1298">
        <f t="shared" si="686"/>
        <v>0</v>
      </c>
      <c r="N2780" s="1298">
        <f t="shared" si="688"/>
        <v>0</v>
      </c>
      <c r="O2780" s="1298">
        <f t="shared" si="689"/>
        <v>0</v>
      </c>
      <c r="P2780" s="1299"/>
      <c r="Q2780" s="1300"/>
      <c r="R2780" s="1300"/>
      <c r="S2780" s="1300"/>
    </row>
    <row r="2781" spans="1:19" s="1081" customFormat="1" outlineLevel="1">
      <c r="A2781" s="1072">
        <f t="shared" si="690"/>
        <v>1</v>
      </c>
      <c r="B2781" s="1068" t="s">
        <v>1825</v>
      </c>
      <c r="C2781" s="1302"/>
      <c r="D2781" s="1198" t="str">
        <f>VLOOKUP($B2781,dongia1,DG!$B$5,)</f>
        <v>T5.1001</v>
      </c>
      <c r="E2781" s="1399" t="str">
        <f>VLOOKUP($B2781,dongia1,DG!$C$5,)</f>
        <v>Thùng điện kế 450x300x200mm đo đếm trung thế</v>
      </c>
      <c r="F2781" s="1555" t="str">
        <f>VLOOKUP($B2781,dongia1,DG!$D$5,)</f>
        <v>cái</v>
      </c>
      <c r="G2781" s="1508">
        <f>G2763</f>
        <v>1</v>
      </c>
      <c r="H2781" s="1298">
        <f>VLOOKUP($B2781,dongia1,DG!$F$5,)</f>
        <v>845331</v>
      </c>
      <c r="I2781" s="1298"/>
      <c r="J2781" s="1298">
        <f>VLOOKUP($B2781,dongia1,DG!$G$5,)</f>
        <v>599038</v>
      </c>
      <c r="K2781" s="1298">
        <f>VLOOKUP($B2781,dongia1,DG!$H$5,)</f>
        <v>97369</v>
      </c>
      <c r="L2781" s="1298">
        <f t="shared" si="687"/>
        <v>845331</v>
      </c>
      <c r="M2781" s="1298">
        <f t="shared" si="686"/>
        <v>0</v>
      </c>
      <c r="N2781" s="1298">
        <f t="shared" si="688"/>
        <v>599038</v>
      </c>
      <c r="O2781" s="1298">
        <f t="shared" si="689"/>
        <v>97369</v>
      </c>
      <c r="P2781" s="1299"/>
      <c r="Q2781" s="1300"/>
      <c r="R2781" s="1300"/>
      <c r="S2781" s="1300"/>
    </row>
    <row r="2782" spans="1:19" s="1081" customFormat="1" outlineLevel="1">
      <c r="A2782" s="1072">
        <f t="shared" si="690"/>
        <v>1</v>
      </c>
      <c r="B2782" s="1068" t="s">
        <v>1690</v>
      </c>
      <c r="C2782" s="1302"/>
      <c r="D2782" s="1198">
        <f>VLOOKUP($B2782,dongia1,DG!$B$5,)</f>
        <v>0</v>
      </c>
      <c r="E2782" s="1399" t="str">
        <f>VLOOKUP($B2782,dongia1,DG!$C$5,)</f>
        <v>Keo silicon bít miệng ống</v>
      </c>
      <c r="F2782" s="1555" t="str">
        <f>VLOOKUP($B2782,dongia1,DG!$D$5,)</f>
        <v>chai</v>
      </c>
      <c r="G2782" s="1508">
        <f>G2763*2</f>
        <v>2</v>
      </c>
      <c r="H2782" s="1298">
        <f>VLOOKUP($B2782,dongia1,DG!$F$5,)</f>
        <v>45000</v>
      </c>
      <c r="I2782" s="1298"/>
      <c r="J2782" s="1298">
        <f>VLOOKUP($B2782,dongia1,DG!$G$5,)</f>
        <v>0</v>
      </c>
      <c r="K2782" s="1298">
        <f>VLOOKUP($B2782,dongia1,DG!$H$5,)</f>
        <v>0</v>
      </c>
      <c r="L2782" s="1298">
        <f t="shared" si="687"/>
        <v>90000</v>
      </c>
      <c r="M2782" s="1298">
        <f t="shared" si="686"/>
        <v>0</v>
      </c>
      <c r="N2782" s="1298">
        <f t="shared" si="688"/>
        <v>0</v>
      </c>
      <c r="O2782" s="1298">
        <f t="shared" si="689"/>
        <v>0</v>
      </c>
      <c r="P2782" s="1299"/>
      <c r="Q2782" s="1300"/>
      <c r="R2782" s="1300"/>
      <c r="S2782" s="1300"/>
    </row>
    <row r="2783" spans="1:19" s="1081" customFormat="1" outlineLevel="1">
      <c r="A2783" s="1072">
        <f t="shared" si="690"/>
        <v>1</v>
      </c>
      <c r="B2783" s="1068" t="s">
        <v>1735</v>
      </c>
      <c r="C2783" s="1302"/>
      <c r="D2783" s="1198">
        <f>VLOOKUP($B2783,dongia1,DG!$B$5,)</f>
        <v>0</v>
      </c>
      <c r="E2783" s="1399" t="str">
        <f>VLOOKUP($B2783,dongia1,DG!$C$5,)</f>
        <v>Dây đồng trần mềm dẹt</v>
      </c>
      <c r="F2783" s="1555" t="str">
        <f>VLOOKUP($B2783,dongia1,DG!$D$5,)</f>
        <v>mét</v>
      </c>
      <c r="G2783" s="1508">
        <f>G2763*4</f>
        <v>4</v>
      </c>
      <c r="H2783" s="1298">
        <f>VLOOKUP($B2783,dongia1,DG!$F$5,)</f>
        <v>5000</v>
      </c>
      <c r="I2783" s="1298"/>
      <c r="J2783" s="1298">
        <f>VLOOKUP($B2783,dongia1,DG!$G$5,)</f>
        <v>0</v>
      </c>
      <c r="K2783" s="1298">
        <f>VLOOKUP($B2783,dongia1,DG!$H$5,)</f>
        <v>0</v>
      </c>
      <c r="L2783" s="1298">
        <f t="shared" si="687"/>
        <v>20000</v>
      </c>
      <c r="M2783" s="1298">
        <f t="shared" si="686"/>
        <v>0</v>
      </c>
      <c r="N2783" s="1298">
        <f t="shared" si="688"/>
        <v>0</v>
      </c>
      <c r="O2783" s="1298">
        <f t="shared" si="689"/>
        <v>0</v>
      </c>
      <c r="P2783" s="1299"/>
      <c r="Q2783" s="1300"/>
      <c r="R2783" s="1300"/>
      <c r="S2783" s="1300"/>
    </row>
    <row r="2784" spans="1:19" s="1081" customFormat="1" hidden="1" outlineLevel="1">
      <c r="A2784" s="1072">
        <f t="shared" si="690"/>
        <v>0</v>
      </c>
      <c r="B2784" s="1068" t="s">
        <v>518</v>
      </c>
      <c r="C2784" s="1302"/>
      <c r="D2784" s="1198">
        <v>0</v>
      </c>
      <c r="E2784" s="1399" t="str">
        <f>VLOOKUP($B2784,dongia1,DG!$C$5,)&amp;" : 2 thanh daøi 0,3m baét tuû ÑK"</f>
        <v>Sắt góc L50 x50 x5 : 2 thanh daøi 0,3m baét tuû ÑK</v>
      </c>
      <c r="F2784" s="1555" t="str">
        <f>VLOOKUP($B2784,dongia1,DG!$D$5,)</f>
        <v>kg</v>
      </c>
      <c r="G2784" s="1508"/>
      <c r="H2784" s="1298">
        <f>VLOOKUP($B2784,dongia1,DG!$F$5,)</f>
        <v>31625</v>
      </c>
      <c r="I2784" s="1298"/>
      <c r="J2784" s="1298">
        <f>VLOOKUP($B2784,dongia1,DG!$G$5,)</f>
        <v>0</v>
      </c>
      <c r="K2784" s="1298">
        <f>VLOOKUP($B2784,dongia1,DG!$H$5,)</f>
        <v>0</v>
      </c>
      <c r="L2784" s="1298">
        <f t="shared" si="687"/>
        <v>0</v>
      </c>
      <c r="M2784" s="1298">
        <f t="shared" si="686"/>
        <v>0</v>
      </c>
      <c r="N2784" s="1298">
        <f t="shared" si="688"/>
        <v>0</v>
      </c>
      <c r="O2784" s="1298">
        <f t="shared" si="689"/>
        <v>0</v>
      </c>
      <c r="P2784" s="1299"/>
      <c r="Q2784" s="1300"/>
      <c r="R2784" s="1300"/>
      <c r="S2784" s="1300"/>
    </row>
    <row r="2785" spans="1:19" s="1081" customFormat="1" hidden="1" outlineLevel="1">
      <c r="A2785" s="1072">
        <f t="shared" si="690"/>
        <v>0</v>
      </c>
      <c r="B2785" s="1068" t="s">
        <v>509</v>
      </c>
      <c r="C2785" s="1302"/>
      <c r="D2785" s="1198">
        <v>0</v>
      </c>
      <c r="E2785" s="1399" t="str">
        <f>VLOOKUP($B2785,dongia1,DG!$C$5,)</f>
        <v>Boulon 10x50+ 2 long đền vuông D12-50x50x3/Zn</v>
      </c>
      <c r="F2785" s="1555" t="str">
        <f>VLOOKUP($B2785,dongia1,DG!$D$5,)</f>
        <v>bộ</v>
      </c>
      <c r="G2785" s="1508"/>
      <c r="H2785" s="1298">
        <f>VLOOKUP($B2785,dongia1,DG!$F$5,)</f>
        <v>1500</v>
      </c>
      <c r="I2785" s="1298"/>
      <c r="J2785" s="1298">
        <f>VLOOKUP($B2785,dongia1,DG!$G$5,)</f>
        <v>0</v>
      </c>
      <c r="K2785" s="1298">
        <f>VLOOKUP($B2785,dongia1,DG!$H$5,)</f>
        <v>0</v>
      </c>
      <c r="L2785" s="1298">
        <f t="shared" si="687"/>
        <v>0</v>
      </c>
      <c r="M2785" s="1298">
        <f t="shared" si="686"/>
        <v>0</v>
      </c>
      <c r="N2785" s="1298">
        <f t="shared" si="688"/>
        <v>0</v>
      </c>
      <c r="O2785" s="1298">
        <f t="shared" si="689"/>
        <v>0</v>
      </c>
      <c r="P2785" s="1299"/>
      <c r="Q2785" s="1300"/>
      <c r="R2785" s="1300"/>
      <c r="S2785" s="1300"/>
    </row>
    <row r="2786" spans="1:19" s="1081" customFormat="1" ht="20.25" customHeight="1" outlineLevel="1">
      <c r="A2786" s="1072">
        <f>A2589</f>
        <v>1</v>
      </c>
      <c r="B2786" s="1421"/>
      <c r="C2786" s="1475"/>
      <c r="D2786" s="1476"/>
      <c r="E2786" s="1477"/>
      <c r="F2786" s="1478"/>
      <c r="G2786" s="1479"/>
      <c r="H2786" s="1478"/>
      <c r="I2786" s="1478"/>
      <c r="J2786" s="2469" t="s">
        <v>3388</v>
      </c>
      <c r="K2786" s="2469"/>
      <c r="L2786" s="1480">
        <f>SUM(L2610:L2785)</f>
        <v>147243136.12330002</v>
      </c>
      <c r="M2786" s="1480">
        <f>SUM(M2610:M2785)</f>
        <v>0</v>
      </c>
      <c r="N2786" s="1480">
        <f>SUM(N2610:N2785)</f>
        <v>18100897.39555056</v>
      </c>
      <c r="O2786" s="1480">
        <f>SUM(O2610:O2785)</f>
        <v>391068.40003600001</v>
      </c>
      <c r="P2786" s="1447"/>
      <c r="Q2786" s="1300"/>
      <c r="R2786" s="1300"/>
      <c r="S2786" s="1300"/>
    </row>
    <row r="2787" spans="1:19" s="1081" customFormat="1" hidden="1" outlineLevel="1">
      <c r="A2787" s="1072"/>
      <c r="B2787" s="1421"/>
      <c r="C2787" s="1528"/>
      <c r="D2787" s="1528"/>
      <c r="E2787" s="1558"/>
      <c r="F2787" s="1530"/>
      <c r="G2787" s="1529"/>
      <c r="H2787" s="1530"/>
      <c r="I2787" s="1530"/>
      <c r="J2787" s="1531"/>
      <c r="K2787" s="1531"/>
      <c r="L2787" s="1532"/>
      <c r="M2787" s="1532"/>
      <c r="N2787" s="1532"/>
      <c r="O2787" s="1532"/>
      <c r="P2787" s="1559"/>
      <c r="Q2787" s="1300"/>
      <c r="R2787" s="1300"/>
      <c r="S2787" s="1300"/>
    </row>
    <row r="2788" spans="1:19" s="1081" customFormat="1" hidden="1">
      <c r="A2788" s="1431">
        <f>IF(G2793&gt;0,1,)</f>
        <v>0</v>
      </c>
      <c r="B2788" s="1068"/>
      <c r="C2788" s="1490"/>
      <c r="D2788" s="1300"/>
      <c r="E2788" s="1491"/>
      <c r="F2788" s="1300"/>
      <c r="G2788" s="1492"/>
      <c r="H2788" s="1300"/>
      <c r="I2788" s="1300"/>
      <c r="J2788" s="1300"/>
      <c r="K2788" s="1300"/>
      <c r="L2788" s="1300"/>
      <c r="M2788" s="1300"/>
      <c r="N2788" s="1300"/>
      <c r="O2788" s="1300"/>
      <c r="P2788" s="1300"/>
      <c r="Q2788" s="1300"/>
      <c r="R2788" s="1300"/>
      <c r="S2788" s="1300"/>
    </row>
    <row r="2789" spans="1:19" s="1081" customFormat="1" hidden="1" outlineLevel="1">
      <c r="A2789" s="1072">
        <f>A2788</f>
        <v>0</v>
      </c>
      <c r="B2789" s="1432"/>
      <c r="C2789" s="1336" t="str">
        <f>"BẢNG TỔNG HỢP VẬT LIỆU, NHÂN CÔNG, MÁY THI CÔNG: "&amp;K17&amp;" TRẠM 3P_1000KVA"</f>
        <v>BẢNG TỔNG HỢP VẬT LIỆU, NHÂN CÔNG, MÁY THI CÔNG: 0 TRẠM 3P_1000KVA</v>
      </c>
      <c r="D2789" s="1494"/>
      <c r="E2789" s="1494"/>
      <c r="F2789" s="1494"/>
      <c r="G2789" s="1494"/>
      <c r="H2789" s="1495"/>
      <c r="I2789" s="1434"/>
      <c r="J2789" s="1495"/>
      <c r="K2789" s="1495"/>
      <c r="L2789" s="1495"/>
      <c r="M2789" s="1434"/>
      <c r="N2789" s="1495"/>
      <c r="O2789" s="1495"/>
      <c r="P2789" s="1513"/>
      <c r="Q2789" s="1300"/>
      <c r="R2789" s="1300"/>
      <c r="S2789" s="1300"/>
    </row>
    <row r="2790" spans="1:19" s="1081" customFormat="1" hidden="1" outlineLevel="1">
      <c r="A2790" s="1072">
        <f>A2788</f>
        <v>0</v>
      </c>
      <c r="B2790" s="1295" t="s">
        <v>308</v>
      </c>
      <c r="C2790" s="2459" t="s">
        <v>1014</v>
      </c>
      <c r="D2790" s="2467" t="s">
        <v>3363</v>
      </c>
      <c r="E2790" s="2457" t="s">
        <v>3364</v>
      </c>
      <c r="F2790" s="2459" t="s">
        <v>3365</v>
      </c>
      <c r="G2790" s="1155" t="s">
        <v>3367</v>
      </c>
      <c r="H2790" s="1156" t="s">
        <v>3368</v>
      </c>
      <c r="I2790" s="1157"/>
      <c r="J2790" s="1157"/>
      <c r="K2790" s="1158"/>
      <c r="L2790" s="1156" t="s">
        <v>3372</v>
      </c>
      <c r="M2790" s="1157"/>
      <c r="N2790" s="1157"/>
      <c r="O2790" s="1158"/>
      <c r="P2790" s="2459" t="s">
        <v>3373</v>
      </c>
      <c r="Q2790" s="1300"/>
      <c r="R2790" s="1300"/>
      <c r="S2790" s="1300"/>
    </row>
    <row r="2791" spans="1:19" s="1081" customFormat="1" hidden="1" outlineLevel="1">
      <c r="A2791" s="1072">
        <f>A2790</f>
        <v>0</v>
      </c>
      <c r="B2791" s="1295"/>
      <c r="C2791" s="2459"/>
      <c r="D2791" s="2468"/>
      <c r="E2791" s="2458"/>
      <c r="F2791" s="2459"/>
      <c r="G2791" s="1160" t="s">
        <v>3366</v>
      </c>
      <c r="H2791" s="1161" t="s">
        <v>393</v>
      </c>
      <c r="I2791" s="1161" t="s">
        <v>3369</v>
      </c>
      <c r="J2791" s="1161" t="s">
        <v>3370</v>
      </c>
      <c r="K2791" s="1161" t="s">
        <v>3371</v>
      </c>
      <c r="L2791" s="1161" t="s">
        <v>393</v>
      </c>
      <c r="M2791" s="1161" t="s">
        <v>3369</v>
      </c>
      <c r="N2791" s="1161" t="s">
        <v>3370</v>
      </c>
      <c r="O2791" s="1161" t="s">
        <v>3371</v>
      </c>
      <c r="P2791" s="2459"/>
      <c r="Q2791" s="1300"/>
      <c r="R2791" s="1300"/>
      <c r="S2791" s="1300"/>
    </row>
    <row r="2792" spans="1:19" s="1081" customFormat="1" hidden="1" outlineLevel="1">
      <c r="A2792" s="1072">
        <f>A2791</f>
        <v>0</v>
      </c>
      <c r="B2792" s="1295"/>
      <c r="C2792" s="1162"/>
      <c r="D2792" s="1163"/>
      <c r="E2792" s="1164" t="s">
        <v>3375</v>
      </c>
      <c r="F2792" s="1165"/>
      <c r="G2792" s="1165"/>
      <c r="H2792" s="1165"/>
      <c r="I2792" s="1165"/>
      <c r="J2792" s="1165"/>
      <c r="K2792" s="1165"/>
      <c r="L2792" s="1165"/>
      <c r="M2792" s="1165"/>
      <c r="N2792" s="1165"/>
      <c r="O2792" s="1163"/>
      <c r="P2792" s="1166"/>
      <c r="Q2792" s="1300"/>
      <c r="R2792" s="1300"/>
      <c r="S2792" s="1300"/>
    </row>
    <row r="2793" spans="1:19" s="1081" customFormat="1" hidden="1" outlineLevel="1">
      <c r="A2793" s="1072" t="str">
        <f t="shared" ref="A2793:A2800" si="691">IF(G2793&lt;&gt;0,1,"")</f>
        <v/>
      </c>
      <c r="B2793" s="1435" t="str">
        <f>IF($F$8=15,"tr1000","tr10001")</f>
        <v>tr10001</v>
      </c>
      <c r="C2793" s="1302">
        <f>IF(G2793&gt;0,1,0)</f>
        <v>0</v>
      </c>
      <c r="D2793" s="1198" t="str">
        <f>VLOOKUP($B2793,dongia1,DG!$B$5,)</f>
        <v>T1.1418</v>
      </c>
      <c r="E2793" s="1243" t="str">
        <f>VLOOKUP($B2793,dongia1,DG!$C$5,)</f>
        <v>Máy biến áp 22/0,4kV- 1000kVA</v>
      </c>
      <c r="F2793" s="1198" t="str">
        <f>VLOOKUP($B2793,dongia1,DG!$D$5,)</f>
        <v>máy</v>
      </c>
      <c r="G2793" s="1302">
        <f>$K$17</f>
        <v>0</v>
      </c>
      <c r="H2793" s="1399">
        <f>VLOOKUP($B2793,dongia1,DG!$E$5,)</f>
        <v>322950000</v>
      </c>
      <c r="I2793" s="1399"/>
      <c r="J2793" s="1399">
        <f>VLOOKUP($B2793,dongia1,DG!$G$5,)</f>
        <v>1928901</v>
      </c>
      <c r="K2793" s="1399">
        <f>VLOOKUP($B2793,dongia1,DG!$H$5,)</f>
        <v>426761</v>
      </c>
      <c r="L2793" s="1400">
        <f t="shared" ref="L2793:L2800" si="692">H2793*G2793</f>
        <v>0</v>
      </c>
      <c r="M2793" s="1400">
        <f t="shared" ref="M2793:M2800" si="693">I2793*G2793</f>
        <v>0</v>
      </c>
      <c r="N2793" s="1400">
        <f t="shared" ref="N2793:N2800" si="694">J2793*G2793</f>
        <v>0</v>
      </c>
      <c r="O2793" s="1401">
        <f t="shared" ref="O2793:O2800" si="695">K2793*G2793</f>
        <v>0</v>
      </c>
      <c r="P2793" s="1436"/>
      <c r="Q2793" s="1300"/>
      <c r="R2793" s="1300"/>
      <c r="S2793" s="1300"/>
    </row>
    <row r="2794" spans="1:19" s="1081" customFormat="1" hidden="1" outlineLevel="1">
      <c r="A2794" s="1072" t="str">
        <f t="shared" si="691"/>
        <v/>
      </c>
      <c r="B2794" s="1167" t="s">
        <v>1631</v>
      </c>
      <c r="C2794" s="1302">
        <f>IF(G2794&gt;0,C2793+1,C2793)</f>
        <v>0</v>
      </c>
      <c r="D2794" s="1198" t="str">
        <f>VLOOKUP($B2794,dongia1,DG!$B$5,)</f>
        <v>T2.3501</v>
      </c>
      <c r="E2794" s="1243" t="str">
        <f>VLOOKUP($B2794,dongia1,DG!$C$5,)</f>
        <v>FCO 24kV - 100A</v>
      </c>
      <c r="F2794" s="1198" t="str">
        <f>VLOOKUP($B2794,dongia1,DG!$D$5,)</f>
        <v>cái</v>
      </c>
      <c r="G2794" s="1303">
        <f>G2793*3</f>
        <v>0</v>
      </c>
      <c r="H2794" s="1298">
        <f>VLOOKUP($B2794,dongia1,DG!$E$5,)</f>
        <v>2244280</v>
      </c>
      <c r="I2794" s="1298">
        <f>VLOOKUP($B2794,dongia1,DG!$F$5,)*0</f>
        <v>0</v>
      </c>
      <c r="J2794" s="1298">
        <f>VLOOKUP($B2794,dongia1,DG!$G$5,)</f>
        <v>222639.99999999997</v>
      </c>
      <c r="K2794" s="1298">
        <f>VLOOKUP($B2794,dongia1,DG!$H$5,)</f>
        <v>0</v>
      </c>
      <c r="L2794" s="1298">
        <f t="shared" si="692"/>
        <v>0</v>
      </c>
      <c r="M2794" s="1298">
        <f t="shared" si="693"/>
        <v>0</v>
      </c>
      <c r="N2794" s="1298">
        <f t="shared" si="694"/>
        <v>0</v>
      </c>
      <c r="O2794" s="1298">
        <f t="shared" si="695"/>
        <v>0</v>
      </c>
      <c r="P2794" s="1437"/>
      <c r="Q2794" s="1300"/>
      <c r="R2794" s="1300"/>
      <c r="S2794" s="1300"/>
    </row>
    <row r="2795" spans="1:19" s="1081" customFormat="1" hidden="1" outlineLevel="1">
      <c r="A2795" s="1072" t="str">
        <f t="shared" si="691"/>
        <v/>
      </c>
      <c r="B2795" s="1435" t="str">
        <f>IF($F$8=15,"chi65k","chi40k")</f>
        <v>chi40k</v>
      </c>
      <c r="C2795" s="1302">
        <f t="shared" ref="C2795:C2800" si="696">IF(G2795&gt;0,C2794+1,C2794)</f>
        <v>0</v>
      </c>
      <c r="D2795" s="1198">
        <f>VLOOKUP($B2795,dongia1,DG!$B$5,)</f>
        <v>0</v>
      </c>
      <c r="E2795" s="1243" t="str">
        <f>VLOOKUP($B2795,dongia1,DG!$C$5,)</f>
        <v>Dây chảy 40K</v>
      </c>
      <c r="F2795" s="1198" t="str">
        <f>VLOOKUP($B2795,dongia1,DG!$D$5,)</f>
        <v>Sợi</v>
      </c>
      <c r="G2795" s="1303">
        <f>G2794</f>
        <v>0</v>
      </c>
      <c r="H2795" s="1298">
        <f>VLOOKUP($B2795,dongia1,DG!$F$5,)</f>
        <v>132000</v>
      </c>
      <c r="I2795" s="1298">
        <f>VLOOKUP($B2795,dongia1,DG!$F$5,)*0</f>
        <v>0</v>
      </c>
      <c r="J2795" s="1298">
        <f>VLOOKUP($B2795,dongia1,DG!$G$5,)</f>
        <v>0</v>
      </c>
      <c r="K2795" s="1298">
        <f>VLOOKUP($B2795,dongia1,DG!$H$5,)</f>
        <v>0</v>
      </c>
      <c r="L2795" s="1298">
        <f t="shared" si="692"/>
        <v>0</v>
      </c>
      <c r="M2795" s="1298">
        <f t="shared" si="693"/>
        <v>0</v>
      </c>
      <c r="N2795" s="1298">
        <f t="shared" si="694"/>
        <v>0</v>
      </c>
      <c r="O2795" s="1298">
        <f t="shared" si="695"/>
        <v>0</v>
      </c>
      <c r="P2795" s="1437"/>
      <c r="Q2795" s="1300"/>
      <c r="R2795" s="1300"/>
      <c r="S2795" s="1300"/>
    </row>
    <row r="2796" spans="1:19" s="1081" customFormat="1" hidden="1" outlineLevel="1">
      <c r="A2796" s="1072" t="str">
        <f t="shared" si="691"/>
        <v/>
      </c>
      <c r="B2796" s="1295" t="str">
        <f>"LA"&amp;$F$6</f>
        <v>LA18</v>
      </c>
      <c r="C2796" s="1302">
        <f t="shared" si="696"/>
        <v>0</v>
      </c>
      <c r="D2796" s="1198" t="str">
        <f>VLOOKUP($B2796,dongia1,DG!$B$5,)</f>
        <v>T2.5004</v>
      </c>
      <c r="E2796" s="1243" t="str">
        <f>VLOOKUP($B2796,dongia1,DG!$C$5,)</f>
        <v>LA 18kV 10kA</v>
      </c>
      <c r="F2796" s="1198" t="str">
        <f>VLOOKUP($B2796,dongia1,DG!$D$5,)</f>
        <v>cái</v>
      </c>
      <c r="G2796" s="1303">
        <f>G2794</f>
        <v>0</v>
      </c>
      <c r="H2796" s="1298">
        <f>VLOOKUP($B2796,dongia1,DG!$E$5,)</f>
        <v>1106000</v>
      </c>
      <c r="I2796" s="1298">
        <f>VLOOKUP($B2796,dongia1,DG!$F$5,)*0</f>
        <v>0</v>
      </c>
      <c r="J2796" s="1298">
        <f>VLOOKUP($B2796,dongia1,DG!$G$5,)</f>
        <v>83490</v>
      </c>
      <c r="K2796" s="1298">
        <f>VLOOKUP($B2796,dongia1,DG!$H$5,)</f>
        <v>0</v>
      </c>
      <c r="L2796" s="1298">
        <f t="shared" si="692"/>
        <v>0</v>
      </c>
      <c r="M2796" s="1298">
        <f t="shared" si="693"/>
        <v>0</v>
      </c>
      <c r="N2796" s="1298">
        <f t="shared" si="694"/>
        <v>0</v>
      </c>
      <c r="O2796" s="1298">
        <f t="shared" si="695"/>
        <v>0</v>
      </c>
      <c r="P2796" s="1437"/>
      <c r="Q2796" s="1300"/>
      <c r="R2796" s="1300"/>
      <c r="S2796" s="1300"/>
    </row>
    <row r="2797" spans="1:19" s="1081" customFormat="1" hidden="1" outlineLevel="1">
      <c r="A2797" s="1072" t="str">
        <f t="shared" si="691"/>
        <v/>
      </c>
      <c r="B2797" s="1397" t="s">
        <v>799</v>
      </c>
      <c r="C2797" s="1302">
        <f t="shared" si="696"/>
        <v>0</v>
      </c>
      <c r="D2797" s="1198">
        <f>VLOOKUP($B2797,dongia1,DG!$B$5,)</f>
        <v>0</v>
      </c>
      <c r="E2797" s="1243" t="str">
        <f>VLOOKUP($B2797,dongia1,DG!$C$5,)</f>
        <v>MCCB 3 cực 400V -1600A - 85KA</v>
      </c>
      <c r="F2797" s="1198" t="str">
        <f>VLOOKUP($B2797,dongia1,DG!$D$5,)</f>
        <v>cái</v>
      </c>
      <c r="G2797" s="1303">
        <f>G2793</f>
        <v>0</v>
      </c>
      <c r="H2797" s="1298">
        <f>VLOOKUP($B2797,dongia1,DG!$E$5,)</f>
        <v>73430000</v>
      </c>
      <c r="I2797" s="1298">
        <f>VLOOKUP($B2797,dongia1,DG!$F$5,)*0</f>
        <v>0</v>
      </c>
      <c r="J2797" s="1298">
        <f>VLOOKUP($B2797,dongia1,DG!$G$5,)</f>
        <v>0</v>
      </c>
      <c r="K2797" s="1298">
        <f>VLOOKUP($B2797,dongia1,DG!$H$5,)</f>
        <v>0</v>
      </c>
      <c r="L2797" s="1298">
        <f t="shared" si="692"/>
        <v>0</v>
      </c>
      <c r="M2797" s="1298">
        <f t="shared" si="693"/>
        <v>0</v>
      </c>
      <c r="N2797" s="1298">
        <f t="shared" si="694"/>
        <v>0</v>
      </c>
      <c r="O2797" s="1298">
        <f t="shared" si="695"/>
        <v>0</v>
      </c>
      <c r="P2797" s="1437"/>
      <c r="Q2797" s="1300"/>
      <c r="R2797" s="1300"/>
      <c r="S2797" s="1300"/>
    </row>
    <row r="2798" spans="1:19" s="1081" customFormat="1" hidden="1" outlineLevel="1">
      <c r="A2798" s="1072" t="str">
        <f t="shared" si="691"/>
        <v/>
      </c>
      <c r="B2798" s="1397" t="s">
        <v>843</v>
      </c>
      <c r="C2798" s="1302">
        <f t="shared" si="696"/>
        <v>0</v>
      </c>
      <c r="D2798" s="1198" t="str">
        <f>VLOOKUP($B2798,dongia1,DG!$B$5,)</f>
        <v>05.1102</v>
      </c>
      <c r="E2798" s="1243" t="str">
        <f>VLOOKUP($B2798,dongia1,DG!$C$5,)</f>
        <v>Tủ tụ bù hạ thế 400kVAr</v>
      </c>
      <c r="F2798" s="1198" t="str">
        <f>VLOOKUP($B2798,dongia1,DG!$D$5,)</f>
        <v>tủ</v>
      </c>
      <c r="G2798" s="1303">
        <f>G2793</f>
        <v>0</v>
      </c>
      <c r="H2798" s="1298">
        <f>VLOOKUP($B2798,dongia1,DG!$E$5,)</f>
        <v>47030352</v>
      </c>
      <c r="I2798" s="1298">
        <f>VLOOKUP($B2798,dongia1,DG!$F$5,)</f>
        <v>0</v>
      </c>
      <c r="J2798" s="1298">
        <f>VLOOKUP($B2798,dongia1,DG!$G$5,)</f>
        <v>98101</v>
      </c>
      <c r="K2798" s="1298">
        <f>VLOOKUP($B2798,dongia1,DG!$H$5,)</f>
        <v>59254</v>
      </c>
      <c r="L2798" s="1298">
        <f t="shared" si="692"/>
        <v>0</v>
      </c>
      <c r="M2798" s="1298">
        <f t="shared" si="693"/>
        <v>0</v>
      </c>
      <c r="N2798" s="1298">
        <f t="shared" si="694"/>
        <v>0</v>
      </c>
      <c r="O2798" s="1298">
        <f t="shared" si="695"/>
        <v>0</v>
      </c>
      <c r="P2798" s="1437"/>
      <c r="Q2798" s="1300"/>
      <c r="R2798" s="1300"/>
      <c r="S2798" s="1300"/>
    </row>
    <row r="2799" spans="1:19" s="1081" customFormat="1" hidden="1" outlineLevel="1">
      <c r="A2799" s="1072" t="str">
        <f t="shared" si="691"/>
        <v/>
      </c>
      <c r="B2799" s="1435" t="s">
        <v>850</v>
      </c>
      <c r="C2799" s="1302">
        <f t="shared" si="696"/>
        <v>0</v>
      </c>
      <c r="D2799" s="1198">
        <f>VLOOKUP($B2799,dongia1,DG!$B$5,)</f>
        <v>0</v>
      </c>
      <c r="E2799" s="1243" t="str">
        <f>VLOOKUP($B2799,dongia1,DG!$C$5,)</f>
        <v>Biến dòng 600V - 1600/5A</v>
      </c>
      <c r="F2799" s="1198" t="str">
        <f>VLOOKUP($B2799,dongia1,DG!$D$5,)</f>
        <v>cái</v>
      </c>
      <c r="G2799" s="1438">
        <f>G2793*3</f>
        <v>0</v>
      </c>
      <c r="H2799" s="1298">
        <f>VLOOKUP($B2799,dongia1,DG!$E$5,)*0</f>
        <v>0</v>
      </c>
      <c r="I2799" s="1298">
        <f>VLOOKUP($B2799,dongia1,DG!$F$5,)*0</f>
        <v>0</v>
      </c>
      <c r="J2799" s="1298">
        <f>VLOOKUP($B2799,dongia1,DG!$G$5,)</f>
        <v>0</v>
      </c>
      <c r="K2799" s="1298">
        <f>VLOOKUP($B2799,dongia1,DG!$H$5,)</f>
        <v>0</v>
      </c>
      <c r="L2799" s="1298">
        <f t="shared" si="692"/>
        <v>0</v>
      </c>
      <c r="M2799" s="1298">
        <f t="shared" si="693"/>
        <v>0</v>
      </c>
      <c r="N2799" s="1298">
        <f t="shared" si="694"/>
        <v>0</v>
      </c>
      <c r="O2799" s="1298">
        <f t="shared" si="695"/>
        <v>0</v>
      </c>
      <c r="P2799" s="1439" t="s">
        <v>3471</v>
      </c>
      <c r="Q2799" s="1300"/>
      <c r="R2799" s="1300"/>
      <c r="S2799" s="1300"/>
    </row>
    <row r="2800" spans="1:19" s="1081" customFormat="1" hidden="1" outlineLevel="1">
      <c r="A2800" s="1072" t="str">
        <f t="shared" si="691"/>
        <v/>
      </c>
      <c r="B2800" s="1068" t="s">
        <v>307</v>
      </c>
      <c r="C2800" s="1302">
        <f t="shared" si="696"/>
        <v>0</v>
      </c>
      <c r="D2800" s="1198">
        <f>VLOOKUP($B2800,dongia1,DG!$B$5,)</f>
        <v>0</v>
      </c>
      <c r="E2800" s="1243" t="str">
        <f>VLOOKUP($B2800,dongia1,DG!$C$5,)</f>
        <v>Điện kế 3 pha 4 dây 220/380V-5A</v>
      </c>
      <c r="F2800" s="1198" t="str">
        <f>VLOOKUP($B2800,dongia1,DG!$D$5,)</f>
        <v>cái</v>
      </c>
      <c r="G2800" s="1438">
        <f>G2793</f>
        <v>0</v>
      </c>
      <c r="H2800" s="1298">
        <f>VLOOKUP($B2800,dongia1,DG!$E$5,)*0</f>
        <v>0</v>
      </c>
      <c r="I2800" s="1298">
        <f>VLOOKUP($B2800,dongia1,DG!$F$5,)*0</f>
        <v>0</v>
      </c>
      <c r="J2800" s="1298">
        <f>VLOOKUP($B2800,dongia1,DG!$G$5,)*0</f>
        <v>0</v>
      </c>
      <c r="K2800" s="1298">
        <f>VLOOKUP($B2800,dongia1,DG!$H$5,)</f>
        <v>0</v>
      </c>
      <c r="L2800" s="1298">
        <f t="shared" si="692"/>
        <v>0</v>
      </c>
      <c r="M2800" s="1400">
        <f t="shared" si="693"/>
        <v>0</v>
      </c>
      <c r="N2800" s="1400">
        <f t="shared" si="694"/>
        <v>0</v>
      </c>
      <c r="O2800" s="1401">
        <f t="shared" si="695"/>
        <v>0</v>
      </c>
      <c r="P2800" s="1440" t="s">
        <v>3471</v>
      </c>
      <c r="Q2800" s="1300"/>
      <c r="R2800" s="1300"/>
      <c r="S2800" s="1300"/>
    </row>
    <row r="2801" spans="1:19" s="1081" customFormat="1" hidden="1" outlineLevel="1">
      <c r="A2801" s="1072">
        <f>A2788</f>
        <v>0</v>
      </c>
      <c r="B2801" s="1295"/>
      <c r="C2801" s="1441"/>
      <c r="D2801" s="1442"/>
      <c r="E2801" s="1443"/>
      <c r="F2801" s="1444"/>
      <c r="G2801" s="1445"/>
      <c r="H2801" s="1444"/>
      <c r="I2801" s="1444"/>
      <c r="J2801" s="1183" t="s">
        <v>3387</v>
      </c>
      <c r="K2801" s="1444"/>
      <c r="L2801" s="1446">
        <f>SUM(L2793:L2800)</f>
        <v>0</v>
      </c>
      <c r="M2801" s="1446">
        <f>SUM(M2793:M2800)</f>
        <v>0</v>
      </c>
      <c r="N2801" s="1446">
        <f>SUM(N2793:N2800)</f>
        <v>0</v>
      </c>
      <c r="O2801" s="1446">
        <f>SUM(O2793:O2800)</f>
        <v>0</v>
      </c>
      <c r="P2801" s="1447"/>
      <c r="Q2801" s="1300"/>
      <c r="R2801" s="1300"/>
      <c r="S2801" s="1300"/>
    </row>
    <row r="2802" spans="1:19" s="1081" customFormat="1" hidden="1" outlineLevel="1">
      <c r="A2802" s="1072">
        <f>A2788</f>
        <v>0</v>
      </c>
      <c r="B2802" s="1295"/>
      <c r="C2802" s="1448"/>
      <c r="D2802" s="1449"/>
      <c r="E2802" s="1450" t="s">
        <v>3376</v>
      </c>
      <c r="F2802" s="1450"/>
      <c r="G2802" s="1451"/>
      <c r="H2802" s="1450"/>
      <c r="I2802" s="1450"/>
      <c r="J2802" s="1450"/>
      <c r="K2802" s="1450"/>
      <c r="L2802" s="1450"/>
      <c r="M2802" s="1450"/>
      <c r="N2802" s="1450"/>
      <c r="O2802" s="1449"/>
      <c r="P2802" s="1447"/>
      <c r="Q2802" s="1300"/>
      <c r="R2802" s="1300"/>
      <c r="S2802" s="1300"/>
    </row>
    <row r="2803" spans="1:19" s="1081" customFormat="1" hidden="1" outlineLevel="1">
      <c r="A2803" s="1072" t="str">
        <f t="shared" ref="A2803:A2820" si="697">IF(G2803&lt;&gt;0,1,"")</f>
        <v/>
      </c>
      <c r="B2803" s="1452"/>
      <c r="C2803" s="1453">
        <f>IF(G2803&gt;0,1,0)</f>
        <v>0</v>
      </c>
      <c r="D2803" s="1198"/>
      <c r="E2803" s="1454" t="s">
        <v>3377</v>
      </c>
      <c r="F2803" s="1455" t="s">
        <v>1133</v>
      </c>
      <c r="G2803" s="1456">
        <f>G2793*2*0</f>
        <v>0</v>
      </c>
      <c r="H2803" s="1455"/>
      <c r="I2803" s="1455"/>
      <c r="J2803" s="1455"/>
      <c r="K2803" s="1455"/>
      <c r="L2803" s="1456"/>
      <c r="M2803" s="1456"/>
      <c r="N2803" s="1456"/>
      <c r="O2803" s="1457"/>
      <c r="P2803" s="1437"/>
      <c r="Q2803" s="1300"/>
      <c r="R2803" s="1300"/>
      <c r="S2803" s="1300"/>
    </row>
    <row r="2804" spans="1:19" s="1081" customFormat="1" hidden="1" outlineLevel="1">
      <c r="A2804" s="1072" t="str">
        <f t="shared" si="697"/>
        <v/>
      </c>
      <c r="B2804" s="1421" t="s">
        <v>1012</v>
      </c>
      <c r="C2804" s="1458"/>
      <c r="D2804" s="1198"/>
      <c r="E2804" s="1459" t="str">
        <f>VLOOKUP($B2804,dongia1,DG!$C$5,)</f>
        <v>Trụ BTLT 12m F350 dự ứng lực</v>
      </c>
      <c r="F2804" s="1198" t="str">
        <f>VLOOKUP($B2804,dongia1,DG!$D$5,)</f>
        <v>trụ</v>
      </c>
      <c r="G2804" s="1198">
        <f>G2803</f>
        <v>0</v>
      </c>
      <c r="H2804" s="1399">
        <f>VLOOKUP($B2804,dongia1,DG!$F$5,)</f>
        <v>4400000</v>
      </c>
      <c r="I2804" s="1291"/>
      <c r="J2804" s="1399"/>
      <c r="K2804" s="1291"/>
      <c r="L2804" s="1400">
        <f>H2804*G2804</f>
        <v>0</v>
      </c>
      <c r="M2804" s="1400">
        <f>I2804*G2804</f>
        <v>0</v>
      </c>
      <c r="N2804" s="1400">
        <f>J2804*G2804</f>
        <v>0</v>
      </c>
      <c r="O2804" s="1400">
        <f>K2804*G2804</f>
        <v>0</v>
      </c>
      <c r="P2804" s="1437"/>
      <c r="Q2804" s="1300"/>
      <c r="R2804" s="1300"/>
      <c r="S2804" s="1300"/>
    </row>
    <row r="2805" spans="1:19" s="1081" customFormat="1" hidden="1" outlineLevel="1">
      <c r="A2805" s="1072" t="str">
        <f t="shared" si="697"/>
        <v/>
      </c>
      <c r="B2805" s="1421" t="s">
        <v>1457</v>
      </c>
      <c r="C2805" s="1458"/>
      <c r="D2805" s="1198"/>
      <c r="E2805" s="1459" t="str">
        <f>VLOOKUP($B2805,dongia1,DG!$C$5,)</f>
        <v>Vật liệu dựng trụ</v>
      </c>
      <c r="F2805" s="1198" t="str">
        <f>VLOOKUP($B2805,dongia1,DG!$D$5,)</f>
        <v>trụ</v>
      </c>
      <c r="G2805" s="1198">
        <f>G2804</f>
        <v>0</v>
      </c>
      <c r="H2805" s="1399">
        <f>VLOOKUP($B2805,dongia1,DG!$F$5,)</f>
        <v>17400</v>
      </c>
      <c r="I2805" s="1399"/>
      <c r="J2805" s="1291"/>
      <c r="K2805" s="1291"/>
      <c r="L2805" s="1400">
        <f>H2805*G2805</f>
        <v>0</v>
      </c>
      <c r="M2805" s="1400">
        <f>I2805*G2805</f>
        <v>0</v>
      </c>
      <c r="N2805" s="1400">
        <f>J2805*G2805</f>
        <v>0</v>
      </c>
      <c r="O2805" s="1400">
        <f>K2805*G2805</f>
        <v>0</v>
      </c>
      <c r="P2805" s="1437"/>
      <c r="Q2805" s="1300"/>
      <c r="R2805" s="1300"/>
      <c r="S2805" s="1300"/>
    </row>
    <row r="2806" spans="1:19" s="1081" customFormat="1" hidden="1" outlineLevel="1">
      <c r="A2806" s="1072" t="str">
        <f t="shared" si="697"/>
        <v/>
      </c>
      <c r="B2806" s="1421" t="s">
        <v>1701</v>
      </c>
      <c r="C2806" s="1458"/>
      <c r="D2806" s="1198" t="str">
        <f>VLOOKUP($B2806,dongia1,DG!$B$5,)</f>
        <v>04.9203</v>
      </c>
      <c r="E2806" s="1459" t="str">
        <f>VLOOKUP($B2806,dongia1,DG!$C$5,)</f>
        <v>Dựng trụ BTLT 12m trong TBA bằng thủ công + cơ giới</v>
      </c>
      <c r="F2806" s="1198" t="str">
        <f>VLOOKUP($B2806,dongia1,DG!$D$5,)</f>
        <v>trụ</v>
      </c>
      <c r="G2806" s="1198">
        <f>G2804</f>
        <v>0</v>
      </c>
      <c r="H2806" s="1459"/>
      <c r="I2806" s="1399"/>
      <c r="J2806" s="1399">
        <f>VLOOKUP($B2806,dongia1,DG!$G$5,)</f>
        <v>112286</v>
      </c>
      <c r="K2806" s="1399">
        <f>VLOOKUP($B2806,dongia1,DG!$H$5,)</f>
        <v>105970</v>
      </c>
      <c r="L2806" s="1400">
        <f>H2806*G2806</f>
        <v>0</v>
      </c>
      <c r="M2806" s="1400">
        <f>I2806*G2806</f>
        <v>0</v>
      </c>
      <c r="N2806" s="1400">
        <f>J2806*G2806</f>
        <v>0</v>
      </c>
      <c r="O2806" s="1400">
        <f>K2806*G2806</f>
        <v>0</v>
      </c>
      <c r="P2806" s="1437"/>
      <c r="Q2806" s="1300"/>
      <c r="R2806" s="1300"/>
      <c r="S2806" s="1300"/>
    </row>
    <row r="2807" spans="1:19" s="1081" customFormat="1" hidden="1" outlineLevel="1">
      <c r="A2807" s="1072" t="str">
        <f t="shared" si="697"/>
        <v/>
      </c>
      <c r="B2807" s="1452"/>
      <c r="C2807" s="1453">
        <f>IF(G2807&gt;0,1,0)</f>
        <v>0</v>
      </c>
      <c r="D2807" s="1198"/>
      <c r="E2807" s="1454" t="s">
        <v>3389</v>
      </c>
      <c r="F2807" s="1455" t="s">
        <v>1133</v>
      </c>
      <c r="G2807" s="1456">
        <f>G2793*2*0</f>
        <v>0</v>
      </c>
      <c r="H2807" s="1455"/>
      <c r="I2807" s="1455"/>
      <c r="J2807" s="1455"/>
      <c r="K2807" s="1455"/>
      <c r="L2807" s="1456"/>
      <c r="M2807" s="1456"/>
      <c r="N2807" s="1456"/>
      <c r="O2807" s="1457"/>
      <c r="P2807" s="1299"/>
      <c r="Q2807" s="1300"/>
      <c r="R2807" s="1300"/>
      <c r="S2807" s="1300"/>
    </row>
    <row r="2808" spans="1:19" s="1081" customFormat="1" hidden="1" outlineLevel="1">
      <c r="A2808" s="1072" t="str">
        <f t="shared" si="697"/>
        <v/>
      </c>
      <c r="B2808" s="1421" t="s">
        <v>1011</v>
      </c>
      <c r="C2808" s="1458"/>
      <c r="D2808" s="1198"/>
      <c r="E2808" s="1459" t="str">
        <f>VLOOKUP($B2808,dongia1,DG!$C$5,)</f>
        <v>Trụ BTLT 10,5m F350 dự ứng lực</v>
      </c>
      <c r="F2808" s="1198" t="str">
        <f>VLOOKUP($B2808,dongia1,DG!$D$5,)</f>
        <v>trụ</v>
      </c>
      <c r="G2808" s="1198">
        <f>G2807</f>
        <v>0</v>
      </c>
      <c r="H2808" s="1399">
        <f>VLOOKUP($B2808,dongia1,DG!$F$5,)</f>
        <v>4200000</v>
      </c>
      <c r="I2808" s="1291"/>
      <c r="J2808" s="1399"/>
      <c r="K2808" s="1291"/>
      <c r="L2808" s="1400">
        <f>H2808*G2808</f>
        <v>0</v>
      </c>
      <c r="M2808" s="1400">
        <f>I2808*G2808</f>
        <v>0</v>
      </c>
      <c r="N2808" s="1400">
        <f>J2808*G2808</f>
        <v>0</v>
      </c>
      <c r="O2808" s="1400">
        <f>K2808*G2808</f>
        <v>0</v>
      </c>
      <c r="P2808" s="1299"/>
      <c r="Q2808" s="1300"/>
      <c r="R2808" s="1300"/>
      <c r="S2808" s="1300"/>
    </row>
    <row r="2809" spans="1:19" s="1081" customFormat="1" hidden="1" outlineLevel="1">
      <c r="A2809" s="1072" t="str">
        <f t="shared" si="697"/>
        <v/>
      </c>
      <c r="B2809" s="1421" t="s">
        <v>1457</v>
      </c>
      <c r="C2809" s="1458"/>
      <c r="D2809" s="1198"/>
      <c r="E2809" s="1459" t="str">
        <f>VLOOKUP($B2809,dongia1,DG!$C$5,)</f>
        <v>Vật liệu dựng trụ</v>
      </c>
      <c r="F2809" s="1198" t="str">
        <f>VLOOKUP($B2809,dongia1,DG!$D$5,)</f>
        <v>trụ</v>
      </c>
      <c r="G2809" s="1198">
        <f>G2808</f>
        <v>0</v>
      </c>
      <c r="H2809" s="1399">
        <f>VLOOKUP($B2809,dongia1,DG!$F$5,)</f>
        <v>17400</v>
      </c>
      <c r="I2809" s="1399"/>
      <c r="J2809" s="1291"/>
      <c r="K2809" s="1291"/>
      <c r="L2809" s="1400">
        <f>H2809*G2809</f>
        <v>0</v>
      </c>
      <c r="M2809" s="1400">
        <f>I2809*G2809</f>
        <v>0</v>
      </c>
      <c r="N2809" s="1400">
        <f>J2809*G2809</f>
        <v>0</v>
      </c>
      <c r="O2809" s="1400">
        <f>K2809*G2809</f>
        <v>0</v>
      </c>
      <c r="P2809" s="1299"/>
      <c r="Q2809" s="1300"/>
      <c r="R2809" s="1300"/>
      <c r="S2809" s="1300"/>
    </row>
    <row r="2810" spans="1:19" s="1081" customFormat="1" hidden="1" outlineLevel="1">
      <c r="A2810" s="1072" t="str">
        <f t="shared" si="697"/>
        <v/>
      </c>
      <c r="B2810" s="1421" t="s">
        <v>1702</v>
      </c>
      <c r="C2810" s="1458"/>
      <c r="D2810" s="1198" t="str">
        <f>VLOOKUP($B2810,dongia1,DG!$B$5,)</f>
        <v>04.9203</v>
      </c>
      <c r="E2810" s="1459" t="str">
        <f>VLOOKUP($B2810,dongia1,DG!$C$5,)</f>
        <v>Dựng trụ BTLT 10,5m trong TBA bằng thủ công + cơ giới</v>
      </c>
      <c r="F2810" s="1198" t="str">
        <f>VLOOKUP($B2810,dongia1,DG!$D$5,)</f>
        <v>trụ</v>
      </c>
      <c r="G2810" s="1198">
        <f>G2808</f>
        <v>0</v>
      </c>
      <c r="H2810" s="1459"/>
      <c r="I2810" s="1399"/>
      <c r="J2810" s="1399">
        <f>VLOOKUP($B2810,dongia1,DG!$G$5,)</f>
        <v>112286</v>
      </c>
      <c r="K2810" s="1399">
        <f>VLOOKUP($B2810,dongia1,DG!$H$5,)</f>
        <v>105970</v>
      </c>
      <c r="L2810" s="1400">
        <f>H2810*G2810</f>
        <v>0</v>
      </c>
      <c r="M2810" s="1400">
        <f>I2810*G2810</f>
        <v>0</v>
      </c>
      <c r="N2810" s="1400">
        <f>J2810*G2810</f>
        <v>0</v>
      </c>
      <c r="O2810" s="1400">
        <f>K2810*G2810</f>
        <v>0</v>
      </c>
      <c r="P2810" s="1299"/>
      <c r="Q2810" s="1300"/>
      <c r="R2810" s="1300"/>
      <c r="S2810" s="1300"/>
    </row>
    <row r="2811" spans="1:19" s="1081" customFormat="1" hidden="1" outlineLevel="1">
      <c r="A2811" s="1072" t="str">
        <f t="shared" si="697"/>
        <v/>
      </c>
      <c r="B2811" s="1421"/>
      <c r="C2811" s="1291">
        <f>IF(G2811&gt;0,C2803+1,C2803)</f>
        <v>0</v>
      </c>
      <c r="D2811" s="1198"/>
      <c r="E2811" s="1454" t="s">
        <v>3390</v>
      </c>
      <c r="F2811" s="1455" t="s">
        <v>3391</v>
      </c>
      <c r="G2811" s="1460">
        <f>G2803</f>
        <v>0</v>
      </c>
      <c r="H2811" s="1291"/>
      <c r="I2811" s="1291"/>
      <c r="J2811" s="1291"/>
      <c r="K2811" s="1291"/>
      <c r="L2811" s="1291"/>
      <c r="M2811" s="1291"/>
      <c r="N2811" s="1291"/>
      <c r="O2811" s="1461"/>
      <c r="P2811" s="1437"/>
      <c r="Q2811" s="1300"/>
      <c r="R2811" s="1300"/>
      <c r="S2811" s="1300"/>
    </row>
    <row r="2812" spans="1:19" s="1081" customFormat="1" hidden="1" outlineLevel="1">
      <c r="A2812" s="1072" t="str">
        <f t="shared" si="697"/>
        <v/>
      </c>
      <c r="B2812" s="1421" t="s">
        <v>580</v>
      </c>
      <c r="C2812" s="1458"/>
      <c r="D2812" s="1198" t="str">
        <f>VLOOKUP($B2812,dongia1,DG!$B$5,)</f>
        <v>AG.42111</v>
      </c>
      <c r="E2812" s="1459" t="str">
        <f>VLOOKUP($B2812,dongia1,DG!$C$5,)</f>
        <v>Đà cản BTCT 1,2m</v>
      </c>
      <c r="F2812" s="1198" t="str">
        <f>VLOOKUP($B2812,dongia1,DG!$D$5,)</f>
        <v>cái</v>
      </c>
      <c r="G2812" s="1198">
        <f>G2811</f>
        <v>0</v>
      </c>
      <c r="H2812" s="1399">
        <f>VLOOKUP($B2812,dongia1,DG!$F$5,)</f>
        <v>354545</v>
      </c>
      <c r="I2812" s="1399"/>
      <c r="J2812" s="1399">
        <f>VLOOKUP($B2812,dongia1,DG!$G$5,)</f>
        <v>37220.25</v>
      </c>
      <c r="K2812" s="1291"/>
      <c r="L2812" s="1400">
        <f>H2812*G2812</f>
        <v>0</v>
      </c>
      <c r="M2812" s="1400">
        <f>I2812*G2812</f>
        <v>0</v>
      </c>
      <c r="N2812" s="1400">
        <f>J2812*G2812</f>
        <v>0</v>
      </c>
      <c r="O2812" s="1400">
        <f>K2812*G2812</f>
        <v>0</v>
      </c>
      <c r="P2812" s="1437"/>
      <c r="Q2812" s="1300"/>
      <c r="R2812" s="1300"/>
      <c r="S2812" s="1300"/>
    </row>
    <row r="2813" spans="1:19" s="1081" customFormat="1" hidden="1" outlineLevel="1">
      <c r="A2813" s="1072" t="str">
        <f t="shared" si="697"/>
        <v/>
      </c>
      <c r="B2813" s="1421" t="s">
        <v>952</v>
      </c>
      <c r="C2813" s="1458"/>
      <c r="D2813" s="1198"/>
      <c r="E2813" s="1459" t="str">
        <f>VLOOKUP($B2813,dongia1,DG!$C$5,)</f>
        <v>Boulon 22x650+ 2 long đền vuông D24-60x60x3/Zn</v>
      </c>
      <c r="F2813" s="1198" t="str">
        <f>VLOOKUP($B2813,dongia1,DG!$D$5,)</f>
        <v>bộ</v>
      </c>
      <c r="G2813" s="1198">
        <f>G2812</f>
        <v>0</v>
      </c>
      <c r="H2813" s="1399">
        <f>VLOOKUP($B2813,dongia1,DG!$F$5,)</f>
        <v>92200</v>
      </c>
      <c r="I2813" s="1459"/>
      <c r="J2813" s="1459"/>
      <c r="K2813" s="1291"/>
      <c r="L2813" s="1400">
        <f>H2813*G2813</f>
        <v>0</v>
      </c>
      <c r="M2813" s="1400">
        <f>I2813*G2813</f>
        <v>0</v>
      </c>
      <c r="N2813" s="1400">
        <f>J2813*G2813</f>
        <v>0</v>
      </c>
      <c r="O2813" s="1400">
        <f>K2813*G2813</f>
        <v>0</v>
      </c>
      <c r="P2813" s="1437"/>
      <c r="Q2813" s="1300"/>
      <c r="R2813" s="1300"/>
      <c r="S2813" s="1300"/>
    </row>
    <row r="2814" spans="1:19" s="1081" customFormat="1" hidden="1" outlineLevel="1">
      <c r="A2814" s="1072" t="str">
        <f t="shared" si="697"/>
        <v/>
      </c>
      <c r="B2814" s="1421" t="str">
        <f>IF(capdat=1,"MDD1",IF(capdat=2,"MDD2",IF(capdat=3,"MDD3",IF(capdat=4,"MDD4"))))</f>
        <v>MDD3</v>
      </c>
      <c r="C2814" s="1458"/>
      <c r="D2814" s="1198" t="str">
        <f>VLOOKUP($B2814,dongia1,DG!$B$5,)</f>
        <v>03.1013</v>
      </c>
      <c r="E2814" s="1459" t="str">
        <f>VLOOKUP($B2814,dongia1,DG!$C$5,)</f>
        <v>Đào hố móng đất cấp 3 sâu &gt;1m DT&lt;5m2</v>
      </c>
      <c r="F2814" s="1198" t="str">
        <f>VLOOKUP($B2814,dongia1,DG!$D$5,)</f>
        <v>m3</v>
      </c>
      <c r="G2814" s="1560">
        <f>1.45*G2812</f>
        <v>0</v>
      </c>
      <c r="H2814" s="1399">
        <f>VLOOKUP($B2814,dongia1,DG!$F$5,)</f>
        <v>0</v>
      </c>
      <c r="I2814" s="1399"/>
      <c r="J2814" s="1399">
        <f>VLOOKUP($B2814,dongia1,DG!$G$5,)</f>
        <v>296500.89999999997</v>
      </c>
      <c r="K2814" s="1291"/>
      <c r="L2814" s="1400">
        <f>H2814*G2814</f>
        <v>0</v>
      </c>
      <c r="M2814" s="1400">
        <f>I2814*G2814</f>
        <v>0</v>
      </c>
      <c r="N2814" s="1400">
        <f>J2814*G2814</f>
        <v>0</v>
      </c>
      <c r="O2814" s="1400">
        <f>K2814*G2814</f>
        <v>0</v>
      </c>
      <c r="P2814" s="1437"/>
      <c r="Q2814" s="1300"/>
      <c r="R2814" s="1300"/>
      <c r="S2814" s="1300"/>
    </row>
    <row r="2815" spans="1:19" s="1081" customFormat="1" hidden="1" outlineLevel="1">
      <c r="A2815" s="1072" t="str">
        <f t="shared" si="697"/>
        <v/>
      </c>
      <c r="B2815" s="1421" t="str">
        <f>IF(capdat=1,"MDAP1",IF(capdat=2,"MDAP2",IF(capdat=3,"MDAP3",IF(capdat=4,"MDAP4"))))</f>
        <v>MDAP3</v>
      </c>
      <c r="C2815" s="1458"/>
      <c r="D2815" s="1198" t="str">
        <f>VLOOKUP($B2815,dongia1,DG!$B$5,)</f>
        <v>AB.13111</v>
      </c>
      <c r="E2815" s="1459" t="str">
        <f>VLOOKUP($B2815,dongia1,DG!$C$5,)</f>
        <v>Đắp đất hố móng, đất cấp 3 (độ chặt k = 0.85)</v>
      </c>
      <c r="F2815" s="1198" t="str">
        <f>VLOOKUP($B2815,dongia1,DG!$D$5,)</f>
        <v>m3</v>
      </c>
      <c r="G2815" s="1198">
        <f>1.37*G2811</f>
        <v>0</v>
      </c>
      <c r="H2815" s="1399">
        <f>VLOOKUP($B2815,dongia1,DG!$F$5,)</f>
        <v>0</v>
      </c>
      <c r="I2815" s="1399"/>
      <c r="J2815" s="1399">
        <f>VLOOKUP($B2815,dongia1,DG!$G$5,)</f>
        <v>117703.6</v>
      </c>
      <c r="K2815" s="1291"/>
      <c r="L2815" s="1400">
        <f>H2815*G2815</f>
        <v>0</v>
      </c>
      <c r="M2815" s="1400">
        <f>I2815*G2815</f>
        <v>0</v>
      </c>
      <c r="N2815" s="1400">
        <f>J2815*G2815</f>
        <v>0</v>
      </c>
      <c r="O2815" s="1400">
        <f>K2815*G2815</f>
        <v>0</v>
      </c>
      <c r="P2815" s="1437"/>
      <c r="Q2815" s="1300"/>
      <c r="R2815" s="1300"/>
      <c r="S2815" s="1300"/>
    </row>
    <row r="2816" spans="1:19" s="1081" customFormat="1" hidden="1" outlineLevel="1">
      <c r="A2816" s="1072" t="str">
        <f t="shared" si="697"/>
        <v/>
      </c>
      <c r="B2816" s="1421"/>
      <c r="C2816" s="1291">
        <f>IF(G2816&gt;0,C2808+1,C2808)</f>
        <v>0</v>
      </c>
      <c r="D2816" s="1198"/>
      <c r="E2816" s="1454" t="s">
        <v>3392</v>
      </c>
      <c r="F2816" s="1455" t="s">
        <v>3391</v>
      </c>
      <c r="G2816" s="1460">
        <f>G2807*0</f>
        <v>0</v>
      </c>
      <c r="H2816" s="1291"/>
      <c r="I2816" s="1291"/>
      <c r="J2816" s="1291"/>
      <c r="K2816" s="1291"/>
      <c r="L2816" s="1291"/>
      <c r="M2816" s="1291"/>
      <c r="N2816" s="1291"/>
      <c r="O2816" s="1461"/>
      <c r="P2816" s="1299"/>
      <c r="Q2816" s="1300"/>
      <c r="R2816" s="1300"/>
      <c r="S2816" s="1300"/>
    </row>
    <row r="2817" spans="1:19" s="1081" customFormat="1" hidden="1" outlineLevel="1">
      <c r="A2817" s="1072" t="str">
        <f t="shared" si="697"/>
        <v/>
      </c>
      <c r="B2817" s="1421" t="s">
        <v>580</v>
      </c>
      <c r="C2817" s="1458"/>
      <c r="D2817" s="1198" t="str">
        <f>VLOOKUP($B2817,dongia1,DG!$B$5,)</f>
        <v>AG.42111</v>
      </c>
      <c r="E2817" s="1459" t="str">
        <f>VLOOKUP($B2817,dongia1,DG!$C$5,)</f>
        <v>Đà cản BTCT 1,2m</v>
      </c>
      <c r="F2817" s="1198" t="str">
        <f>VLOOKUP($B2817,dongia1,DG!$D$5,)</f>
        <v>cái</v>
      </c>
      <c r="G2817" s="1198">
        <f>G2816</f>
        <v>0</v>
      </c>
      <c r="H2817" s="1399">
        <f>VLOOKUP($B2817,dongia1,DG!$F$5,)</f>
        <v>354545</v>
      </c>
      <c r="I2817" s="1399"/>
      <c r="J2817" s="1399">
        <f>VLOOKUP($B2817,dongia1,DG!$G$5,)</f>
        <v>37220.25</v>
      </c>
      <c r="K2817" s="1291"/>
      <c r="L2817" s="1400">
        <f>H2817*G2817</f>
        <v>0</v>
      </c>
      <c r="M2817" s="1400">
        <f t="shared" ref="M2817:M2826" si="698">I2817*G2817</f>
        <v>0</v>
      </c>
      <c r="N2817" s="1400">
        <f t="shared" ref="N2817:N2826" si="699">J2817*G2817</f>
        <v>0</v>
      </c>
      <c r="O2817" s="1400">
        <f t="shared" ref="O2817:O2826" si="700">K2817*G2817</f>
        <v>0</v>
      </c>
      <c r="P2817" s="1299"/>
      <c r="Q2817" s="1300"/>
      <c r="R2817" s="1300"/>
      <c r="S2817" s="1300"/>
    </row>
    <row r="2818" spans="1:19" s="1081" customFormat="1" hidden="1" outlineLevel="1">
      <c r="A2818" s="1072" t="str">
        <f t="shared" si="697"/>
        <v/>
      </c>
      <c r="B2818" s="1421" t="s">
        <v>952</v>
      </c>
      <c r="C2818" s="1458"/>
      <c r="D2818" s="1198"/>
      <c r="E2818" s="1459" t="str">
        <f>VLOOKUP($B2818,dongia1,DG!$C$5,)</f>
        <v>Boulon 22x650+ 2 long đền vuông D24-60x60x3/Zn</v>
      </c>
      <c r="F2818" s="1198" t="str">
        <f>VLOOKUP($B2818,dongia1,DG!$D$5,)</f>
        <v>bộ</v>
      </c>
      <c r="G2818" s="1198">
        <f>G2817</f>
        <v>0</v>
      </c>
      <c r="H2818" s="1399">
        <f>VLOOKUP($B2818,dongia1,DG!$F$5,)</f>
        <v>92200</v>
      </c>
      <c r="I2818" s="1459"/>
      <c r="J2818" s="1459"/>
      <c r="K2818" s="1291"/>
      <c r="L2818" s="1400">
        <f>H2818*G2818</f>
        <v>0</v>
      </c>
      <c r="M2818" s="1400">
        <f t="shared" si="698"/>
        <v>0</v>
      </c>
      <c r="N2818" s="1400">
        <f t="shared" si="699"/>
        <v>0</v>
      </c>
      <c r="O2818" s="1400">
        <f t="shared" si="700"/>
        <v>0</v>
      </c>
      <c r="P2818" s="1299"/>
      <c r="Q2818" s="1300"/>
      <c r="R2818" s="1300"/>
      <c r="S2818" s="1300"/>
    </row>
    <row r="2819" spans="1:19" s="1081" customFormat="1" hidden="1" outlineLevel="1">
      <c r="A2819" s="1072" t="str">
        <f t="shared" si="697"/>
        <v/>
      </c>
      <c r="B2819" s="1421" t="str">
        <f>IF(capdat=1,"MDD1",IF(capdat=2,"MDD2",IF(capdat=3,"MDD3",IF(capdat=4,"MDD4"))))</f>
        <v>MDD3</v>
      </c>
      <c r="C2819" s="1458"/>
      <c r="D2819" s="1198" t="str">
        <f>VLOOKUP($B2819,dongia1,DG!$B$5,)</f>
        <v>03.1013</v>
      </c>
      <c r="E2819" s="1459" t="str">
        <f>VLOOKUP($B2819,dongia1,DG!$C$5,)</f>
        <v>Đào hố móng đất cấp 3 sâu &gt;1m DT&lt;5m2</v>
      </c>
      <c r="F2819" s="1198" t="str">
        <f>VLOOKUP($B2819,dongia1,DG!$D$5,)</f>
        <v>m3</v>
      </c>
      <c r="G2819" s="1198">
        <f>1.48*G2817</f>
        <v>0</v>
      </c>
      <c r="H2819" s="1399">
        <f>VLOOKUP($B2819,dongia1,DG!$F$5,)</f>
        <v>0</v>
      </c>
      <c r="I2819" s="1399"/>
      <c r="J2819" s="1399">
        <f>VLOOKUP($B2819,dongia1,DG!$G$5,)</f>
        <v>296500.89999999997</v>
      </c>
      <c r="K2819" s="1291"/>
      <c r="L2819" s="1400">
        <f>H2819*G2819</f>
        <v>0</v>
      </c>
      <c r="M2819" s="1400">
        <f t="shared" si="698"/>
        <v>0</v>
      </c>
      <c r="N2819" s="1400">
        <f t="shared" si="699"/>
        <v>0</v>
      </c>
      <c r="O2819" s="1400">
        <f t="shared" si="700"/>
        <v>0</v>
      </c>
      <c r="P2819" s="1299"/>
      <c r="Q2819" s="1300"/>
      <c r="R2819" s="1300"/>
      <c r="S2819" s="1300"/>
    </row>
    <row r="2820" spans="1:19" s="1081" customFormat="1" hidden="1" outlineLevel="1">
      <c r="A2820" s="1072" t="str">
        <f t="shared" si="697"/>
        <v/>
      </c>
      <c r="B2820" s="1421" t="str">
        <f>IF(capdat=1,"MDAP1",IF(capdat=2,"MDAP2",IF(capdat=3,"MDAP3",IF(capdat=4,"MDAP4"))))</f>
        <v>MDAP3</v>
      </c>
      <c r="C2820" s="1458"/>
      <c r="D2820" s="1198" t="str">
        <f>VLOOKUP($B2820,dongia1,DG!$B$5,)</f>
        <v>AB.13111</v>
      </c>
      <c r="E2820" s="1459" t="str">
        <f>VLOOKUP($B2820,dongia1,DG!$C$5,)</f>
        <v>Đắp đất hố móng, đất cấp 3 (độ chặt k = 0.85)</v>
      </c>
      <c r="F2820" s="1198" t="str">
        <f>VLOOKUP($B2820,dongia1,DG!$D$5,)</f>
        <v>m3</v>
      </c>
      <c r="G2820" s="1198">
        <f>1.39*G2816</f>
        <v>0</v>
      </c>
      <c r="H2820" s="1399">
        <f>VLOOKUP($B2820,dongia1,DG!$F$5,)</f>
        <v>0</v>
      </c>
      <c r="I2820" s="1399"/>
      <c r="J2820" s="1399">
        <f>VLOOKUP($B2820,dongia1,DG!$G$5,)</f>
        <v>117703.6</v>
      </c>
      <c r="K2820" s="1291"/>
      <c r="L2820" s="1400">
        <f>H2820*G2820</f>
        <v>0</v>
      </c>
      <c r="M2820" s="1400">
        <f t="shared" si="698"/>
        <v>0</v>
      </c>
      <c r="N2820" s="1400">
        <f t="shared" si="699"/>
        <v>0</v>
      </c>
      <c r="O2820" s="1400">
        <f t="shared" si="700"/>
        <v>0</v>
      </c>
      <c r="P2820" s="1299"/>
      <c r="Q2820" s="1300"/>
      <c r="R2820" s="1300"/>
      <c r="S2820" s="1300"/>
    </row>
    <row r="2821" spans="1:19" s="1081" customFormat="1" hidden="1" outlineLevel="1">
      <c r="A2821" s="1072" t="str">
        <f>IF(G2821&lt;&gt;0,1,"")</f>
        <v/>
      </c>
      <c r="B2821" s="1295"/>
      <c r="C2821" s="1291">
        <f>IF(G2821&gt;0,C2816+1,C2816)</f>
        <v>0</v>
      </c>
      <c r="D2821" s="1292"/>
      <c r="E2821" s="1468" t="s">
        <v>3452</v>
      </c>
      <c r="F2821" s="1291" t="s">
        <v>2113</v>
      </c>
      <c r="G2821" s="1297"/>
      <c r="H2821" s="1467"/>
      <c r="I2821" s="1467"/>
      <c r="J2821" s="1467"/>
      <c r="K2821" s="1467"/>
      <c r="L2821" s="1400">
        <f t="shared" ref="L2821:L2860" si="701">H2821*G2821</f>
        <v>0</v>
      </c>
      <c r="M2821" s="1400">
        <f t="shared" si="698"/>
        <v>0</v>
      </c>
      <c r="N2821" s="1400">
        <f t="shared" si="699"/>
        <v>0</v>
      </c>
      <c r="O2821" s="1400">
        <f t="shared" si="700"/>
        <v>0</v>
      </c>
      <c r="P2821" s="1299"/>
      <c r="Q2821" s="1300"/>
      <c r="R2821" s="1300"/>
      <c r="S2821" s="1300"/>
    </row>
    <row r="2822" spans="1:19" s="1081" customFormat="1" ht="14.4" hidden="1" outlineLevel="1">
      <c r="A2822" s="1072" t="str">
        <f>A2821</f>
        <v/>
      </c>
      <c r="B2822" s="1295"/>
      <c r="C2822" s="1291"/>
      <c r="D2822" s="1198"/>
      <c r="E2822" s="1301" t="s">
        <v>3399</v>
      </c>
      <c r="F2822" s="1302"/>
      <c r="G2822" s="1303"/>
      <c r="H2822" s="1467"/>
      <c r="I2822" s="1467"/>
      <c r="J2822" s="1467"/>
      <c r="K2822" s="1467"/>
      <c r="L2822" s="1400">
        <f t="shared" si="701"/>
        <v>0</v>
      </c>
      <c r="M2822" s="1400">
        <f t="shared" si="698"/>
        <v>0</v>
      </c>
      <c r="N2822" s="1400">
        <f t="shared" si="699"/>
        <v>0</v>
      </c>
      <c r="O2822" s="1400">
        <f t="shared" si="700"/>
        <v>0</v>
      </c>
      <c r="P2822" s="1299"/>
      <c r="Q2822" s="1300"/>
      <c r="R2822" s="1300"/>
      <c r="S2822" s="1300"/>
    </row>
    <row r="2823" spans="1:19" s="1081" customFormat="1" hidden="1" outlineLevel="1">
      <c r="A2823" s="1072" t="str">
        <f t="shared" ref="A2823:A2828" si="702">IF(G2823&lt;&gt;0,1,"")</f>
        <v/>
      </c>
      <c r="B2823" s="1068" t="s">
        <v>1626</v>
      </c>
      <c r="C2823" s="1291"/>
      <c r="D2823" s="1198">
        <f>VLOOKUP($B2823,dongia1,DG!$B$5,)</f>
        <v>0</v>
      </c>
      <c r="E2823" s="1243" t="str">
        <f>VLOOKUP($B2823,dongia1,DG!$C$5,)</f>
        <v>Sắt góc L75 x75 x8</v>
      </c>
      <c r="F2823" s="1198" t="str">
        <f>VLOOKUP($B2823,dongia1,DG!$D$5,)</f>
        <v>kg</v>
      </c>
      <c r="G2823" s="1304">
        <f>G2821*9.02*(2.6+3*0.07)*2</f>
        <v>0</v>
      </c>
      <c r="H2823" s="1399">
        <f>VLOOKUP($B2823,dongia1,DG!$F$5,)</f>
        <v>31625</v>
      </c>
      <c r="I2823" s="1399"/>
      <c r="J2823" s="1399">
        <v>0</v>
      </c>
      <c r="K2823" s="1399">
        <v>0</v>
      </c>
      <c r="L2823" s="1400">
        <f t="shared" si="701"/>
        <v>0</v>
      </c>
      <c r="M2823" s="1400">
        <f t="shared" si="698"/>
        <v>0</v>
      </c>
      <c r="N2823" s="1400">
        <f t="shared" si="699"/>
        <v>0</v>
      </c>
      <c r="O2823" s="1400">
        <f t="shared" si="700"/>
        <v>0</v>
      </c>
      <c r="P2823" s="1299"/>
      <c r="Q2823" s="1300"/>
      <c r="R2823" s="1300"/>
      <c r="S2823" s="1300"/>
    </row>
    <row r="2824" spans="1:19" s="1081" customFormat="1" hidden="1" outlineLevel="1">
      <c r="A2824" s="1072" t="str">
        <f t="shared" si="702"/>
        <v/>
      </c>
      <c r="B2824" s="1295" t="s">
        <v>1042</v>
      </c>
      <c r="C2824" s="1291"/>
      <c r="D2824" s="1198">
        <f>VLOOKUP($B2824,dongia1,DG!$B$5,)</f>
        <v>0</v>
      </c>
      <c r="E2824" s="1243" t="str">
        <f>VLOOKUP($B2824,dongia1,DG!$C$5,)</f>
        <v>Boulon 16x300VRS+ 4 long đền vuông D18-50x50x3/Zn</v>
      </c>
      <c r="F2824" s="1198" t="str">
        <f>VLOOKUP($B2824,dongia1,DG!$D$5,)</f>
        <v>bộ</v>
      </c>
      <c r="G2824" s="1303">
        <f>G2821*2</f>
        <v>0</v>
      </c>
      <c r="H2824" s="1399">
        <f>VLOOKUP($B2824,dongia1,DG!$F$5,)</f>
        <v>31800</v>
      </c>
      <c r="I2824" s="1399">
        <v>0</v>
      </c>
      <c r="J2824" s="1399">
        <v>0</v>
      </c>
      <c r="K2824" s="1399">
        <v>0</v>
      </c>
      <c r="L2824" s="1400">
        <f t="shared" si="701"/>
        <v>0</v>
      </c>
      <c r="M2824" s="1400">
        <f t="shared" si="698"/>
        <v>0</v>
      </c>
      <c r="N2824" s="1400">
        <f t="shared" si="699"/>
        <v>0</v>
      </c>
      <c r="O2824" s="1400">
        <f t="shared" si="700"/>
        <v>0</v>
      </c>
      <c r="P2824" s="1299"/>
      <c r="Q2824" s="1300"/>
      <c r="R2824" s="1300"/>
      <c r="S2824" s="1300"/>
    </row>
    <row r="2825" spans="1:19" s="1081" customFormat="1" hidden="1" outlineLevel="1">
      <c r="A2825" s="1072" t="str">
        <f t="shared" si="702"/>
        <v/>
      </c>
      <c r="B2825" s="1295" t="s">
        <v>1262</v>
      </c>
      <c r="C2825" s="1291"/>
      <c r="D2825" s="1198">
        <f>VLOOKUP($B2825,dongia1,DG!$B$5,)</f>
        <v>0</v>
      </c>
      <c r="E2825" s="1243" t="str">
        <f>VLOOKUP($B2825,dongia1,DG!$C$5,)</f>
        <v>Boulon 16x300+ 2 long đền vuông D18-50x50x3/Zn</v>
      </c>
      <c r="F2825" s="1198" t="str">
        <f>VLOOKUP($B2825,dongia1,DG!$D$5,)</f>
        <v>bộ</v>
      </c>
      <c r="G2825" s="1303">
        <f>G2821*2</f>
        <v>0</v>
      </c>
      <c r="H2825" s="1399">
        <f>VLOOKUP($B2825,dongia1,DG!$F$5,)</f>
        <v>25400</v>
      </c>
      <c r="I2825" s="1399">
        <v>0</v>
      </c>
      <c r="J2825" s="1399">
        <v>0</v>
      </c>
      <c r="K2825" s="1399">
        <v>0</v>
      </c>
      <c r="L2825" s="1400">
        <f t="shared" si="701"/>
        <v>0</v>
      </c>
      <c r="M2825" s="1400">
        <f t="shared" si="698"/>
        <v>0</v>
      </c>
      <c r="N2825" s="1400">
        <f t="shared" si="699"/>
        <v>0</v>
      </c>
      <c r="O2825" s="1400">
        <f t="shared" si="700"/>
        <v>0</v>
      </c>
      <c r="P2825" s="1299"/>
      <c r="Q2825" s="1300"/>
      <c r="R2825" s="1300"/>
      <c r="S2825" s="1300"/>
    </row>
    <row r="2826" spans="1:19" s="1081" customFormat="1" hidden="1" outlineLevel="1">
      <c r="A2826" s="1072" t="str">
        <f t="shared" si="702"/>
        <v/>
      </c>
      <c r="B2826" s="1295" t="s">
        <v>1261</v>
      </c>
      <c r="C2826" s="1291"/>
      <c r="D2826" s="1198">
        <f>VLOOKUP($B2826,dongia1,DG!$B$5,)</f>
        <v>0</v>
      </c>
      <c r="E2826" s="1243" t="str">
        <f>VLOOKUP($B2826,dongia1,DG!$C$5,)</f>
        <v>Boulon 16x250+ 2 long đền vuông D18-50x50x3/Zn</v>
      </c>
      <c r="F2826" s="1198" t="str">
        <f>VLOOKUP($B2826,dongia1,DG!$D$5,)</f>
        <v>bộ</v>
      </c>
      <c r="G2826" s="1303">
        <f>G2825</f>
        <v>0</v>
      </c>
      <c r="H2826" s="1399">
        <f>VLOOKUP($B2826,dongia1,DG!$F$5,)</f>
        <v>13400</v>
      </c>
      <c r="I2826" s="1399">
        <v>0</v>
      </c>
      <c r="J2826" s="1399">
        <v>0</v>
      </c>
      <c r="K2826" s="1399">
        <v>0</v>
      </c>
      <c r="L2826" s="1400">
        <f t="shared" si="701"/>
        <v>0</v>
      </c>
      <c r="M2826" s="1400">
        <f t="shared" si="698"/>
        <v>0</v>
      </c>
      <c r="N2826" s="1400">
        <f t="shared" si="699"/>
        <v>0</v>
      </c>
      <c r="O2826" s="1400">
        <f t="shared" si="700"/>
        <v>0</v>
      </c>
      <c r="P2826" s="1299"/>
      <c r="Q2826" s="1300"/>
      <c r="R2826" s="1300"/>
      <c r="S2826" s="1300"/>
    </row>
    <row r="2827" spans="1:19" s="1081" customFormat="1" hidden="1" outlineLevel="1">
      <c r="A2827" s="1072" t="str">
        <f t="shared" si="702"/>
        <v/>
      </c>
      <c r="B2827" s="1295" t="s">
        <v>728</v>
      </c>
      <c r="C2827" s="1291"/>
      <c r="D2827" s="1198" t="str">
        <f>VLOOKUP($B2827,dongia1,DG!$B$5,)</f>
        <v>D2.6054</v>
      </c>
      <c r="E2827" s="1243" t="str">
        <f>VLOOKUP($B2827,dongia1,DG!$C$5,)</f>
        <v>Lắp xà cột Pi loại ≤140kg/xà</v>
      </c>
      <c r="F2827" s="1198" t="str">
        <f>VLOOKUP($B2827,dongia1,DG!$D$5,)</f>
        <v>bộ</v>
      </c>
      <c r="G2827" s="1303">
        <f>G2821</f>
        <v>0</v>
      </c>
      <c r="H2827" s="1399">
        <v>0</v>
      </c>
      <c r="I2827" s="1399"/>
      <c r="J2827" s="1399" t="str">
        <f>TEXT(VLOOKUP($B2827,dongia1,DG!$G$5,),"#,###")&amp;"x"&amp;hslxh</f>
        <v>474961,x1,7</v>
      </c>
      <c r="K2827" s="1399"/>
      <c r="L2827" s="1400">
        <f t="shared" si="701"/>
        <v>0</v>
      </c>
      <c r="M2827" s="1400"/>
      <c r="N2827" s="1399">
        <f>VLOOKUP($B2827,dongia1,DG!$G$5,)*G2827*hslxh</f>
        <v>0</v>
      </c>
      <c r="O2827" s="1400"/>
      <c r="P2827" s="1299"/>
      <c r="Q2827" s="1300"/>
      <c r="R2827" s="1300"/>
      <c r="S2827" s="1300"/>
    </row>
    <row r="2828" spans="1:19" s="1081" customFormat="1" hidden="1" outlineLevel="1">
      <c r="A2828" s="1072" t="str">
        <f t="shared" si="702"/>
        <v/>
      </c>
      <c r="B2828" s="1295"/>
      <c r="C2828" s="1291">
        <f>IF(G2828&gt;0,C2821+1,C2821)</f>
        <v>0</v>
      </c>
      <c r="D2828" s="1292"/>
      <c r="E2828" s="1468" t="s">
        <v>3438</v>
      </c>
      <c r="F2828" s="1291" t="s">
        <v>2113</v>
      </c>
      <c r="G2828" s="1297">
        <f>+G2793*3</f>
        <v>0</v>
      </c>
      <c r="H2828" s="1467"/>
      <c r="I2828" s="1467"/>
      <c r="J2828" s="1467"/>
      <c r="K2828" s="1467"/>
      <c r="L2828" s="1400">
        <f t="shared" si="701"/>
        <v>0</v>
      </c>
      <c r="M2828" s="1400">
        <f t="shared" ref="M2828:M2833" si="703">I2828*G2828</f>
        <v>0</v>
      </c>
      <c r="N2828" s="1400">
        <f t="shared" ref="N2828:N2833" si="704">J2828*G2828</f>
        <v>0</v>
      </c>
      <c r="O2828" s="1400">
        <f t="shared" ref="O2828:O2833" si="705">K2828*G2828</f>
        <v>0</v>
      </c>
      <c r="P2828" s="1299"/>
      <c r="Q2828" s="1300"/>
      <c r="R2828" s="1300"/>
      <c r="S2828" s="1300"/>
    </row>
    <row r="2829" spans="1:19" s="1081" customFormat="1" ht="14.4" hidden="1" outlineLevel="1">
      <c r="A2829" s="1072" t="str">
        <f>A2828</f>
        <v/>
      </c>
      <c r="B2829" s="1295"/>
      <c r="C2829" s="1291"/>
      <c r="D2829" s="1292"/>
      <c r="E2829" s="1301" t="s">
        <v>3399</v>
      </c>
      <c r="F2829" s="1302"/>
      <c r="G2829" s="1303"/>
      <c r="H2829" s="1467"/>
      <c r="I2829" s="1467"/>
      <c r="J2829" s="1467"/>
      <c r="K2829" s="1467"/>
      <c r="L2829" s="1400">
        <f t="shared" si="701"/>
        <v>0</v>
      </c>
      <c r="M2829" s="1400">
        <f t="shared" si="703"/>
        <v>0</v>
      </c>
      <c r="N2829" s="1400">
        <f t="shared" si="704"/>
        <v>0</v>
      </c>
      <c r="O2829" s="1400">
        <f t="shared" si="705"/>
        <v>0</v>
      </c>
      <c r="P2829" s="1299"/>
      <c r="Q2829" s="1300"/>
      <c r="R2829" s="1300"/>
      <c r="S2829" s="1300"/>
    </row>
    <row r="2830" spans="1:19" s="1081" customFormat="1" hidden="1" outlineLevel="1">
      <c r="A2830" s="1072" t="str">
        <f t="shared" ref="A2830:A2835" si="706">IF(G2830&lt;&gt;0,1,"")</f>
        <v/>
      </c>
      <c r="B2830" s="1068" t="s">
        <v>1626</v>
      </c>
      <c r="C2830" s="1291"/>
      <c r="D2830" s="1198">
        <f>VLOOKUP($B2830,dongia1,DG!$B$5,)</f>
        <v>0</v>
      </c>
      <c r="E2830" s="1243" t="str">
        <f>VLOOKUP($B2830,dongia1,DG!$C$5,)</f>
        <v>Sắt góc L75 x75 x8</v>
      </c>
      <c r="F2830" s="1198" t="str">
        <f>VLOOKUP($B2830,dongia1,DG!$D$5,)</f>
        <v>kg</v>
      </c>
      <c r="G2830" s="1304">
        <f>G2828*9.02*(2.2+4*0.07)</f>
        <v>0</v>
      </c>
      <c r="H2830" s="1298">
        <f>VLOOKUP($B2830,dongia1,DG!$F$5,)</f>
        <v>31625</v>
      </c>
      <c r="I2830" s="1399"/>
      <c r="J2830" s="1399">
        <v>0</v>
      </c>
      <c r="K2830" s="1399">
        <v>0</v>
      </c>
      <c r="L2830" s="1400">
        <f t="shared" si="701"/>
        <v>0</v>
      </c>
      <c r="M2830" s="1400">
        <f t="shared" si="703"/>
        <v>0</v>
      </c>
      <c r="N2830" s="1400">
        <f t="shared" si="704"/>
        <v>0</v>
      </c>
      <c r="O2830" s="1400">
        <f t="shared" si="705"/>
        <v>0</v>
      </c>
      <c r="P2830" s="1299"/>
      <c r="Q2830" s="1300"/>
      <c r="R2830" s="1300"/>
      <c r="S2830" s="1300"/>
    </row>
    <row r="2831" spans="1:19" s="1081" customFormat="1" hidden="1" outlineLevel="1">
      <c r="A2831" s="1072" t="str">
        <f t="shared" si="706"/>
        <v/>
      </c>
      <c r="B2831" s="1068" t="s">
        <v>518</v>
      </c>
      <c r="C2831" s="1291"/>
      <c r="D2831" s="1198">
        <f>VLOOKUP($B2831,dongia1,DG!$B$5,)</f>
        <v>0</v>
      </c>
      <c r="E2831" s="1243" t="str">
        <f>VLOOKUP($B2831,dongia1,DG!$C$5,)</f>
        <v>Sắt góc L50 x50 x5</v>
      </c>
      <c r="F2831" s="1198" t="str">
        <f>VLOOKUP($B2831,dongia1,DG!$D$5,)</f>
        <v>kg</v>
      </c>
      <c r="G2831" s="1304">
        <f>G2828*3.77*0.81*2</f>
        <v>0</v>
      </c>
      <c r="H2831" s="1298">
        <f>VLOOKUP($B2831,dongia1,DG!$F$5,)+449</f>
        <v>32074</v>
      </c>
      <c r="I2831" s="1399"/>
      <c r="J2831" s="1399">
        <v>0</v>
      </c>
      <c r="K2831" s="1399">
        <v>0</v>
      </c>
      <c r="L2831" s="1400">
        <f t="shared" si="701"/>
        <v>0</v>
      </c>
      <c r="M2831" s="1400">
        <f t="shared" si="703"/>
        <v>0</v>
      </c>
      <c r="N2831" s="1400">
        <f t="shared" si="704"/>
        <v>0</v>
      </c>
      <c r="O2831" s="1400">
        <f t="shared" si="705"/>
        <v>0</v>
      </c>
      <c r="P2831" s="1299"/>
      <c r="Q2831" s="1300"/>
      <c r="R2831" s="1300"/>
      <c r="S2831" s="1300"/>
    </row>
    <row r="2832" spans="1:19" s="1081" customFormat="1" hidden="1" outlineLevel="1">
      <c r="A2832" s="1072" t="str">
        <f t="shared" si="706"/>
        <v/>
      </c>
      <c r="B2832" s="1295" t="s">
        <v>1261</v>
      </c>
      <c r="C2832" s="1291"/>
      <c r="D2832" s="1198">
        <f>VLOOKUP($B2832,dongia1,DG!$B$5,)</f>
        <v>0</v>
      </c>
      <c r="E2832" s="1243" t="str">
        <f>VLOOKUP($B2832,dongia1,DG!$C$5,)</f>
        <v>Boulon 16x250+ 2 long đền vuông D18-50x50x3/Zn</v>
      </c>
      <c r="F2832" s="1198" t="str">
        <f>VLOOKUP($B2832,dongia1,DG!$D$5,)</f>
        <v>bộ</v>
      </c>
      <c r="G2832" s="1303">
        <f>G2828</f>
        <v>0</v>
      </c>
      <c r="H2832" s="1298">
        <f>VLOOKUP($B2832,dongia1,DG!$F$5,)</f>
        <v>13400</v>
      </c>
      <c r="I2832" s="1399">
        <v>0</v>
      </c>
      <c r="J2832" s="1399">
        <v>0</v>
      </c>
      <c r="K2832" s="1399">
        <v>0</v>
      </c>
      <c r="L2832" s="1400">
        <f t="shared" si="701"/>
        <v>0</v>
      </c>
      <c r="M2832" s="1400">
        <f t="shared" si="703"/>
        <v>0</v>
      </c>
      <c r="N2832" s="1400">
        <f t="shared" si="704"/>
        <v>0</v>
      </c>
      <c r="O2832" s="1400">
        <f t="shared" si="705"/>
        <v>0</v>
      </c>
      <c r="P2832" s="1299"/>
      <c r="Q2832" s="1300"/>
      <c r="R2832" s="1300"/>
      <c r="S2832" s="1300"/>
    </row>
    <row r="2833" spans="1:19" s="1081" customFormat="1" hidden="1" outlineLevel="1">
      <c r="A2833" s="1072" t="str">
        <f t="shared" si="706"/>
        <v/>
      </c>
      <c r="B2833" s="1295" t="s">
        <v>1262</v>
      </c>
      <c r="C2833" s="1291"/>
      <c r="D2833" s="1198">
        <f>VLOOKUP($B2833,dongia1,DG!$B$5,)</f>
        <v>0</v>
      </c>
      <c r="E2833" s="1243" t="str">
        <f>VLOOKUP($B2833,dongia1,DG!$C$5,)</f>
        <v>Boulon 16x300+ 2 long đền vuông D18-50x50x3/Zn</v>
      </c>
      <c r="F2833" s="1198" t="str">
        <f>VLOOKUP($B2833,dongia1,DG!$D$5,)</f>
        <v>bộ</v>
      </c>
      <c r="G2833" s="1303">
        <f>G2828</f>
        <v>0</v>
      </c>
      <c r="H2833" s="1298">
        <f>VLOOKUP($B2833,dongia1,DG!$F$5,)</f>
        <v>25400</v>
      </c>
      <c r="I2833" s="1399">
        <v>0</v>
      </c>
      <c r="J2833" s="1399">
        <v>0</v>
      </c>
      <c r="K2833" s="1399">
        <v>0</v>
      </c>
      <c r="L2833" s="1400">
        <f t="shared" si="701"/>
        <v>0</v>
      </c>
      <c r="M2833" s="1400">
        <f t="shared" si="703"/>
        <v>0</v>
      </c>
      <c r="N2833" s="1400">
        <f t="shared" si="704"/>
        <v>0</v>
      </c>
      <c r="O2833" s="1400">
        <f t="shared" si="705"/>
        <v>0</v>
      </c>
      <c r="P2833" s="1299"/>
      <c r="Q2833" s="1300"/>
      <c r="R2833" s="1300"/>
      <c r="S2833" s="1300"/>
    </row>
    <row r="2834" spans="1:19" s="1081" customFormat="1" hidden="1" outlineLevel="1">
      <c r="A2834" s="1072" t="str">
        <f t="shared" si="706"/>
        <v/>
      </c>
      <c r="B2834" s="1295" t="s">
        <v>798</v>
      </c>
      <c r="C2834" s="1291"/>
      <c r="D2834" s="1198" t="str">
        <f>VLOOKUP($B2834,dongia1,DG!$B$5,)</f>
        <v>D2.6021</v>
      </c>
      <c r="E2834" s="1243" t="str">
        <f>VLOOKUP($B2834,dongia1,DG!$C$5,)</f>
        <v>Lắp xà đỡ 25kg</v>
      </c>
      <c r="F2834" s="1198" t="str">
        <f>VLOOKUP($B2834,dongia1,DG!$D$5,)</f>
        <v>bộ</v>
      </c>
      <c r="G2834" s="1303">
        <f>+G2828</f>
        <v>0</v>
      </c>
      <c r="H2834" s="1298">
        <f>VLOOKUP($B2834,dongia1,DG!$F$5,)</f>
        <v>0</v>
      </c>
      <c r="I2834" s="1399"/>
      <c r="J2834" s="1399" t="str">
        <f>TEXT(VLOOKUP($B2834,dongia1,DG!$G$5,),"#,###")&amp;"x"&amp;hslxh</f>
        <v>219185,25x1,7</v>
      </c>
      <c r="K2834" s="1399"/>
      <c r="L2834" s="1400">
        <f t="shared" si="701"/>
        <v>0</v>
      </c>
      <c r="M2834" s="1400"/>
      <c r="N2834" s="1399">
        <f>VLOOKUP($B2834,dongia1,DG!$G$5,)*G2834*hslxh</f>
        <v>0</v>
      </c>
      <c r="O2834" s="1400"/>
      <c r="P2834" s="1299"/>
      <c r="Q2834" s="1300"/>
      <c r="R2834" s="1300"/>
      <c r="S2834" s="1300"/>
    </row>
    <row r="2835" spans="1:19" s="1081" customFormat="1" hidden="1" outlineLevel="1" collapsed="1">
      <c r="A2835" s="1072" t="str">
        <f t="shared" si="706"/>
        <v/>
      </c>
      <c r="B2835" s="1295"/>
      <c r="C2835" s="1291">
        <f>IF(G2835&gt;0,C2828+1,C2828)</f>
        <v>0</v>
      </c>
      <c r="D2835" s="1292"/>
      <c r="E2835" s="1468" t="s">
        <v>3453</v>
      </c>
      <c r="F2835" s="1291" t="s">
        <v>2113</v>
      </c>
      <c r="G2835" s="1297">
        <f>G2793*0</f>
        <v>0</v>
      </c>
      <c r="H2835" s="1298"/>
      <c r="I2835" s="1298"/>
      <c r="J2835" s="1298"/>
      <c r="K2835" s="1298"/>
      <c r="L2835" s="1298">
        <f t="shared" si="701"/>
        <v>0</v>
      </c>
      <c r="M2835" s="1298">
        <f>I2835*G2835</f>
        <v>0</v>
      </c>
      <c r="N2835" s="1298">
        <f>J2835*G2835</f>
        <v>0</v>
      </c>
      <c r="O2835" s="1298">
        <f>K2835*G2835</f>
        <v>0</v>
      </c>
      <c r="P2835" s="1437"/>
      <c r="Q2835" s="1300"/>
      <c r="R2835" s="1300"/>
      <c r="S2835" s="1300"/>
    </row>
    <row r="2836" spans="1:19" s="1081" customFormat="1" ht="14.4" hidden="1" outlineLevel="1">
      <c r="A2836" s="1072" t="str">
        <f>A2835</f>
        <v/>
      </c>
      <c r="B2836" s="1295"/>
      <c r="C2836" s="1291"/>
      <c r="D2836" s="1292"/>
      <c r="E2836" s="1301" t="s">
        <v>3399</v>
      </c>
      <c r="F2836" s="1302"/>
      <c r="G2836" s="1303"/>
      <c r="H2836" s="1298"/>
      <c r="I2836" s="1298"/>
      <c r="J2836" s="1298"/>
      <c r="K2836" s="1298"/>
      <c r="L2836" s="1298">
        <f t="shared" si="701"/>
        <v>0</v>
      </c>
      <c r="M2836" s="1298">
        <f>I2836*G2836</f>
        <v>0</v>
      </c>
      <c r="N2836" s="1298">
        <f>J2836*G2836</f>
        <v>0</v>
      </c>
      <c r="O2836" s="1298">
        <f>K2836*G2836</f>
        <v>0</v>
      </c>
      <c r="P2836" s="1437"/>
      <c r="Q2836" s="1300"/>
      <c r="R2836" s="1300"/>
      <c r="S2836" s="1300"/>
    </row>
    <row r="2837" spans="1:19" s="1081" customFormat="1" hidden="1" outlineLevel="1">
      <c r="A2837" s="1072" t="str">
        <f t="shared" ref="A2837:A2843" si="707">IF(G2837&lt;&gt;0,1,"")</f>
        <v/>
      </c>
      <c r="B2837" s="1295" t="s">
        <v>1626</v>
      </c>
      <c r="C2837" s="1291"/>
      <c r="D2837" s="1198">
        <f>VLOOKUP($B2837,dongia1,DG!$B$5,)</f>
        <v>0</v>
      </c>
      <c r="E2837" s="1243" t="str">
        <f>VLOOKUP($B2837,dongia1,DG!$C$5,)</f>
        <v>Sắt góc L75 x75 x8</v>
      </c>
      <c r="F2837" s="1198" t="s">
        <v>1557</v>
      </c>
      <c r="G2837" s="1304">
        <f>G2835*9.02*(2.4+4*0.07)*2</f>
        <v>0</v>
      </c>
      <c r="H2837" s="1298">
        <f>VLOOKUP($B2837,dongia1,DG!$F$5,)</f>
        <v>31625</v>
      </c>
      <c r="I2837" s="1298"/>
      <c r="J2837" s="1298">
        <v>0</v>
      </c>
      <c r="K2837" s="1298"/>
      <c r="L2837" s="1298">
        <f t="shared" si="701"/>
        <v>0</v>
      </c>
      <c r="M2837" s="1298"/>
      <c r="N2837" s="1298"/>
      <c r="O2837" s="1298"/>
      <c r="P2837" s="1437"/>
      <c r="Q2837" s="1300"/>
      <c r="R2837" s="1300"/>
      <c r="S2837" s="1300"/>
    </row>
    <row r="2838" spans="1:19" s="1081" customFormat="1" hidden="1" outlineLevel="1">
      <c r="A2838" s="1072" t="str">
        <f t="shared" si="707"/>
        <v/>
      </c>
      <c r="B2838" s="1295" t="s">
        <v>518</v>
      </c>
      <c r="C2838" s="1291"/>
      <c r="D2838" s="1198">
        <f>VLOOKUP($B2838,dongia1,DG!$B$5,)</f>
        <v>0</v>
      </c>
      <c r="E2838" s="1243" t="str">
        <f>VLOOKUP($B2838,dongia1,DG!$C$5,)&amp;" (Thanh choáng 810)"</f>
        <v>Sắt góc L50 x50 x5 (Thanh choáng 810)</v>
      </c>
      <c r="F2838" s="1198" t="s">
        <v>1557</v>
      </c>
      <c r="G2838" s="1304">
        <f>G2835*3.77*0.81*4</f>
        <v>0</v>
      </c>
      <c r="H2838" s="1298">
        <f>VLOOKUP($B2838,dongia1,DG!$F$5,)</f>
        <v>31625</v>
      </c>
      <c r="I2838" s="1298"/>
      <c r="J2838" s="1298">
        <v>0</v>
      </c>
      <c r="K2838" s="1298"/>
      <c r="L2838" s="1298">
        <f t="shared" si="701"/>
        <v>0</v>
      </c>
      <c r="M2838" s="1298"/>
      <c r="N2838" s="1298"/>
      <c r="O2838" s="1298"/>
      <c r="P2838" s="1437"/>
      <c r="Q2838" s="1300"/>
      <c r="R2838" s="1300"/>
      <c r="S2838" s="1300"/>
    </row>
    <row r="2839" spans="1:19" s="1081" customFormat="1" hidden="1" outlineLevel="1">
      <c r="A2839" s="1072" t="str">
        <f t="shared" si="707"/>
        <v/>
      </c>
      <c r="B2839" s="1295" t="s">
        <v>1262</v>
      </c>
      <c r="C2839" s="1291"/>
      <c r="D2839" s="1198">
        <f>VLOOKUP($B2839,dongia1,DG!$B$5,)</f>
        <v>0</v>
      </c>
      <c r="E2839" s="1243" t="str">
        <f>VLOOKUP($B2839,dongia1,DG!$C$5,)</f>
        <v>Boulon 16x300+ 2 long đền vuông D18-50x50x3/Zn</v>
      </c>
      <c r="F2839" s="1198" t="s">
        <v>2113</v>
      </c>
      <c r="G2839" s="1303">
        <f>G2835*2</f>
        <v>0</v>
      </c>
      <c r="H2839" s="1298">
        <f>VLOOKUP($B2839,dongia1,DG!$F$5,)</f>
        <v>25400</v>
      </c>
      <c r="I2839" s="1298">
        <v>0</v>
      </c>
      <c r="J2839" s="1298">
        <v>0</v>
      </c>
      <c r="K2839" s="1298"/>
      <c r="L2839" s="1298">
        <f t="shared" si="701"/>
        <v>0</v>
      </c>
      <c r="M2839" s="1298"/>
      <c r="N2839" s="1298"/>
      <c r="O2839" s="1298"/>
      <c r="P2839" s="1437"/>
      <c r="Q2839" s="1300"/>
      <c r="R2839" s="1300"/>
      <c r="S2839" s="1300"/>
    </row>
    <row r="2840" spans="1:19" s="1081" customFormat="1" hidden="1" outlineLevel="1">
      <c r="A2840" s="1072" t="str">
        <f t="shared" si="707"/>
        <v/>
      </c>
      <c r="B2840" s="1295" t="s">
        <v>1044</v>
      </c>
      <c r="C2840" s="1291"/>
      <c r="D2840" s="1198">
        <f>VLOOKUP($B2840,dongia1,DG!$B$5,)</f>
        <v>0</v>
      </c>
      <c r="E2840" s="1243" t="str">
        <f>VLOOKUP($B2840,dongia1,DG!$C$5,)</f>
        <v>Boulon 16x50+ 2 long đền vuông D18-50x50x3/Zn</v>
      </c>
      <c r="F2840" s="1198" t="s">
        <v>2113</v>
      </c>
      <c r="G2840" s="1303">
        <f>G2835*4</f>
        <v>0</v>
      </c>
      <c r="H2840" s="1298">
        <f>VLOOKUP($B2840,dongia1,DG!$F$5,)</f>
        <v>12400</v>
      </c>
      <c r="I2840" s="1298">
        <v>0</v>
      </c>
      <c r="J2840" s="1298">
        <v>0</v>
      </c>
      <c r="K2840" s="1298"/>
      <c r="L2840" s="1298">
        <f t="shared" si="701"/>
        <v>0</v>
      </c>
      <c r="M2840" s="1298"/>
      <c r="N2840" s="1298"/>
      <c r="O2840" s="1298"/>
      <c r="P2840" s="1437"/>
      <c r="Q2840" s="1300"/>
      <c r="R2840" s="1300"/>
      <c r="S2840" s="1300"/>
    </row>
    <row r="2841" spans="1:19" s="1081" customFormat="1" hidden="1" outlineLevel="1">
      <c r="A2841" s="1072" t="str">
        <f t="shared" si="707"/>
        <v/>
      </c>
      <c r="B2841" s="1295" t="s">
        <v>1042</v>
      </c>
      <c r="C2841" s="1291"/>
      <c r="D2841" s="1198">
        <f>VLOOKUP($B2841,dongia1,DG!$B$5,)</f>
        <v>0</v>
      </c>
      <c r="E2841" s="1243" t="str">
        <f>VLOOKUP($B2841,dongia1,DG!$C$5,)</f>
        <v>Boulon 16x300VRS+ 4 long đền vuông D18-50x50x3/Zn</v>
      </c>
      <c r="F2841" s="1198" t="s">
        <v>2113</v>
      </c>
      <c r="G2841" s="1303">
        <f>G2835*4</f>
        <v>0</v>
      </c>
      <c r="H2841" s="1298">
        <f>VLOOKUP($B2841,dongia1,DG!$F$5,)</f>
        <v>31800</v>
      </c>
      <c r="I2841" s="1298">
        <v>0</v>
      </c>
      <c r="J2841" s="1298">
        <v>0</v>
      </c>
      <c r="K2841" s="1298">
        <v>0</v>
      </c>
      <c r="L2841" s="1298">
        <f t="shared" si="701"/>
        <v>0</v>
      </c>
      <c r="M2841" s="1298">
        <f>I2841*G2841</f>
        <v>0</v>
      </c>
      <c r="N2841" s="1298">
        <f>J2841*G2841</f>
        <v>0</v>
      </c>
      <c r="O2841" s="1298">
        <f>K2841*G2841</f>
        <v>0</v>
      </c>
      <c r="P2841" s="1437"/>
      <c r="Q2841" s="1300"/>
      <c r="R2841" s="1300"/>
      <c r="S2841" s="1300"/>
    </row>
    <row r="2842" spans="1:19" s="1081" customFormat="1" hidden="1" outlineLevel="1">
      <c r="A2842" s="1072" t="str">
        <f t="shared" si="707"/>
        <v/>
      </c>
      <c r="B2842" s="1295" t="s">
        <v>814</v>
      </c>
      <c r="C2842" s="1291"/>
      <c r="D2842" s="1198" t="str">
        <f>VLOOKUP($B2842,dongia1,DG!$B$5,)</f>
        <v>D2.6042</v>
      </c>
      <c r="E2842" s="1243" t="str">
        <f>VLOOKUP($B2842,dongia1,DG!$C$5,)</f>
        <v>Lắp xà néo ≤ 100kg</v>
      </c>
      <c r="F2842" s="1198" t="s">
        <v>2113</v>
      </c>
      <c r="G2842" s="1303">
        <f>G2835</f>
        <v>0</v>
      </c>
      <c r="H2842" s="1298">
        <v>0</v>
      </c>
      <c r="I2842" s="1298"/>
      <c r="J2842" s="1298" t="str">
        <f>TEXT(VLOOKUP($B2842,dongia1,DG!$G$5,),"#,###")&amp;"x"&amp;hslx</f>
        <v>296544,75x1,5</v>
      </c>
      <c r="K2842" s="1298"/>
      <c r="L2842" s="1298">
        <f t="shared" si="701"/>
        <v>0</v>
      </c>
      <c r="M2842" s="1298"/>
      <c r="N2842" s="1298">
        <f>VLOOKUP($B2842,dongia1,DG!$G$5,)*hslxh*G2842</f>
        <v>0</v>
      </c>
      <c r="O2842" s="1298"/>
      <c r="P2842" s="1437"/>
      <c r="Q2842" s="1300"/>
      <c r="R2842" s="1300"/>
      <c r="S2842" s="1300"/>
    </row>
    <row r="2843" spans="1:19" s="1081" customFormat="1" hidden="1" outlineLevel="1">
      <c r="A2843" s="1072" t="str">
        <f t="shared" si="707"/>
        <v/>
      </c>
      <c r="B2843" s="1295"/>
      <c r="C2843" s="1291">
        <f>IF(G2843&gt;0,C2835+1,C2835)</f>
        <v>0</v>
      </c>
      <c r="D2843" s="1292"/>
      <c r="E2843" s="1468" t="s">
        <v>3454</v>
      </c>
      <c r="F2843" s="1291" t="s">
        <v>2113</v>
      </c>
      <c r="G2843" s="1297">
        <f>G2793*1*0</f>
        <v>0</v>
      </c>
      <c r="H2843" s="1298"/>
      <c r="I2843" s="1298"/>
      <c r="J2843" s="1298"/>
      <c r="K2843" s="1298"/>
      <c r="L2843" s="1298">
        <f t="shared" si="701"/>
        <v>0</v>
      </c>
      <c r="M2843" s="1298">
        <f>I2843*G2843</f>
        <v>0</v>
      </c>
      <c r="N2843" s="1298">
        <f>J2843*G2843</f>
        <v>0</v>
      </c>
      <c r="O2843" s="1298">
        <f>K2843*G2843</f>
        <v>0</v>
      </c>
      <c r="P2843" s="1437"/>
      <c r="Q2843" s="1300"/>
      <c r="R2843" s="1300"/>
      <c r="S2843" s="1300"/>
    </row>
    <row r="2844" spans="1:19" s="1081" customFormat="1" ht="14.4" hidden="1" outlineLevel="1">
      <c r="A2844" s="1072" t="str">
        <f>A2843</f>
        <v/>
      </c>
      <c r="B2844" s="1295"/>
      <c r="C2844" s="1291"/>
      <c r="D2844" s="1292"/>
      <c r="E2844" s="1301" t="s">
        <v>3399</v>
      </c>
      <c r="F2844" s="1302"/>
      <c r="G2844" s="1303"/>
      <c r="H2844" s="1298"/>
      <c r="I2844" s="1298"/>
      <c r="J2844" s="1298"/>
      <c r="K2844" s="1298"/>
      <c r="L2844" s="1298">
        <f t="shared" si="701"/>
        <v>0</v>
      </c>
      <c r="M2844" s="1298">
        <f>I2844*G2844</f>
        <v>0</v>
      </c>
      <c r="N2844" s="1298">
        <f>J2844*G2844</f>
        <v>0</v>
      </c>
      <c r="O2844" s="1298">
        <f>K2844*G2844</f>
        <v>0</v>
      </c>
      <c r="P2844" s="1437"/>
      <c r="Q2844" s="1300"/>
      <c r="R2844" s="1300"/>
      <c r="S2844" s="1300"/>
    </row>
    <row r="2845" spans="1:19" s="1081" customFormat="1" hidden="1" outlineLevel="1">
      <c r="A2845" s="1072" t="str">
        <f t="shared" ref="A2845:A2852" si="708">IF(G2845&lt;&gt;0,1,"")</f>
        <v/>
      </c>
      <c r="B2845" s="1295" t="s">
        <v>1626</v>
      </c>
      <c r="C2845" s="1291"/>
      <c r="D2845" s="1198">
        <f>VLOOKUP($B2845,dongia1,DG!$B$5,)</f>
        <v>0</v>
      </c>
      <c r="E2845" s="1243" t="str">
        <f>VLOOKUP($B2845,dongia1,DG!$C$5,)</f>
        <v>Sắt góc L75 x75 x8</v>
      </c>
      <c r="F2845" s="1198" t="s">
        <v>1557</v>
      </c>
      <c r="G2845" s="1304">
        <f>G2843*9.02*(2.4+4*0.07)</f>
        <v>0</v>
      </c>
      <c r="H2845" s="1298">
        <f>VLOOKUP($B2845,dongia1,DG!$F$5,)</f>
        <v>31625</v>
      </c>
      <c r="I2845" s="1298"/>
      <c r="J2845" s="1298">
        <v>0</v>
      </c>
      <c r="K2845" s="1298"/>
      <c r="L2845" s="1298">
        <f t="shared" si="701"/>
        <v>0</v>
      </c>
      <c r="M2845" s="1298"/>
      <c r="N2845" s="1298"/>
      <c r="O2845" s="1298"/>
      <c r="P2845" s="1437"/>
      <c r="Q2845" s="1300"/>
      <c r="R2845" s="1300"/>
      <c r="S2845" s="1300"/>
    </row>
    <row r="2846" spans="1:19" s="1081" customFormat="1" hidden="1" outlineLevel="1">
      <c r="A2846" s="1072" t="str">
        <f t="shared" si="708"/>
        <v/>
      </c>
      <c r="B2846" s="1295" t="s">
        <v>518</v>
      </c>
      <c r="C2846" s="1291"/>
      <c r="D2846" s="1198">
        <f>VLOOKUP($B2846,dongia1,DG!$B$5,)</f>
        <v>0</v>
      </c>
      <c r="E2846" s="1243" t="str">
        <f>VLOOKUP($B2846,dongia1,DG!$C$5,)&amp;" (Thanh choáng 810)"</f>
        <v>Sắt góc L50 x50 x5 (Thanh choáng 810)</v>
      </c>
      <c r="F2846" s="1198" t="s">
        <v>1557</v>
      </c>
      <c r="G2846" s="1304">
        <f>G2843*3.77*0.81*2</f>
        <v>0</v>
      </c>
      <c r="H2846" s="1298">
        <f>VLOOKUP($B2846,dongia1,DG!$F$5,)</f>
        <v>31625</v>
      </c>
      <c r="I2846" s="1298"/>
      <c r="J2846" s="1298">
        <v>0</v>
      </c>
      <c r="K2846" s="1298"/>
      <c r="L2846" s="1298">
        <f t="shared" si="701"/>
        <v>0</v>
      </c>
      <c r="M2846" s="1298"/>
      <c r="N2846" s="1298"/>
      <c r="O2846" s="1298"/>
      <c r="P2846" s="1437"/>
      <c r="Q2846" s="1300"/>
      <c r="R2846" s="1300"/>
      <c r="S2846" s="1300"/>
    </row>
    <row r="2847" spans="1:19" s="1081" customFormat="1" hidden="1" outlineLevel="1">
      <c r="A2847" s="1072" t="str">
        <f t="shared" si="708"/>
        <v/>
      </c>
      <c r="B2847" s="1295" t="s">
        <v>733</v>
      </c>
      <c r="C2847" s="1291"/>
      <c r="D2847" s="1198">
        <f>VLOOKUP($B2847,dongia1,DG!$B$5,)</f>
        <v>0</v>
      </c>
      <c r="E2847" s="1243" t="str">
        <f>VLOOKUP($B2847,dongia1,DG!$C$5,)</f>
        <v>Boulon 16x350+ 2 long đền vuông D18-50x50x3/Zn</v>
      </c>
      <c r="F2847" s="1198" t="s">
        <v>2113</v>
      </c>
      <c r="G2847" s="1303">
        <f>G2843*2</f>
        <v>0</v>
      </c>
      <c r="H2847" s="1298">
        <f>VLOOKUP($B2847,dongia1,DG!$F$5,)</f>
        <v>27900</v>
      </c>
      <c r="I2847" s="1298">
        <v>0</v>
      </c>
      <c r="J2847" s="1298">
        <v>0</v>
      </c>
      <c r="K2847" s="1298"/>
      <c r="L2847" s="1298">
        <f t="shared" si="701"/>
        <v>0</v>
      </c>
      <c r="M2847" s="1298"/>
      <c r="N2847" s="1298"/>
      <c r="O2847" s="1298"/>
      <c r="P2847" s="1437"/>
      <c r="Q2847" s="1300"/>
      <c r="R2847" s="1300"/>
      <c r="S2847" s="1300"/>
    </row>
    <row r="2848" spans="1:19" s="1081" customFormat="1" hidden="1" outlineLevel="1">
      <c r="A2848" s="1072" t="str">
        <f t="shared" si="708"/>
        <v/>
      </c>
      <c r="B2848" s="1295" t="s">
        <v>1044</v>
      </c>
      <c r="C2848" s="1291"/>
      <c r="D2848" s="1198">
        <f>VLOOKUP($B2848,dongia1,DG!$B$5,)</f>
        <v>0</v>
      </c>
      <c r="E2848" s="1243" t="str">
        <f>VLOOKUP($B2848,dongia1,DG!$C$5,)</f>
        <v>Boulon 16x50+ 2 long đền vuông D18-50x50x3/Zn</v>
      </c>
      <c r="F2848" s="1198" t="s">
        <v>2113</v>
      </c>
      <c r="G2848" s="1303">
        <f>G2843*2</f>
        <v>0</v>
      </c>
      <c r="H2848" s="1298">
        <f>VLOOKUP($B2848,dongia1,DG!$F$5,)</f>
        <v>12400</v>
      </c>
      <c r="I2848" s="1298">
        <v>0</v>
      </c>
      <c r="J2848" s="1298">
        <v>0</v>
      </c>
      <c r="K2848" s="1298"/>
      <c r="L2848" s="1298">
        <f t="shared" si="701"/>
        <v>0</v>
      </c>
      <c r="M2848" s="1298"/>
      <c r="N2848" s="1298"/>
      <c r="O2848" s="1298"/>
      <c r="P2848" s="1437"/>
      <c r="Q2848" s="1300"/>
      <c r="R2848" s="1300"/>
      <c r="S2848" s="1300"/>
    </row>
    <row r="2849" spans="1:19" s="1081" customFormat="1" hidden="1" outlineLevel="1">
      <c r="A2849" s="1072" t="str">
        <f t="shared" si="708"/>
        <v/>
      </c>
      <c r="B2849" s="1295" t="s">
        <v>1933</v>
      </c>
      <c r="C2849" s="1291"/>
      <c r="D2849" s="1198">
        <f>VLOOKUP($B2849,dongia1,DG!$B$5,)</f>
        <v>0</v>
      </c>
      <c r="E2849" s="1243" t="str">
        <f>VLOOKUP($B2849,dongia1,DG!$C$5,)</f>
        <v>Bass LI bắt FCO</v>
      </c>
      <c r="F2849" s="1198" t="s">
        <v>2113</v>
      </c>
      <c r="G2849" s="1303">
        <f>IF(G2843&gt;0,3,)</f>
        <v>0</v>
      </c>
      <c r="H2849" s="1298">
        <f>VLOOKUP($B2849,dongia1,DG!$F$5,)</f>
        <v>34000</v>
      </c>
      <c r="I2849" s="1298">
        <v>0</v>
      </c>
      <c r="J2849" s="1298">
        <v>0</v>
      </c>
      <c r="K2849" s="1298"/>
      <c r="L2849" s="1298">
        <f t="shared" si="701"/>
        <v>0</v>
      </c>
      <c r="M2849" s="1298"/>
      <c r="N2849" s="1298"/>
      <c r="O2849" s="1298"/>
      <c r="P2849" s="1437"/>
      <c r="Q2849" s="1300"/>
      <c r="R2849" s="1300"/>
      <c r="S2849" s="1300"/>
    </row>
    <row r="2850" spans="1:19" s="1081" customFormat="1" hidden="1" outlineLevel="1">
      <c r="A2850" s="1072" t="str">
        <f t="shared" si="708"/>
        <v/>
      </c>
      <c r="B2850" s="1295" t="s">
        <v>1761</v>
      </c>
      <c r="C2850" s="1291"/>
      <c r="D2850" s="1198">
        <f>VLOOKUP($B2850,dongia1,DG!$B$5,)</f>
        <v>0</v>
      </c>
      <c r="E2850" s="1243" t="str">
        <f>VLOOKUP($B2850,dongia1,DG!$C$5,)</f>
        <v>Cổ dê bắt xà 80x6</v>
      </c>
      <c r="F2850" s="1198" t="s">
        <v>2113</v>
      </c>
      <c r="G2850" s="1303">
        <f>G2843*0</f>
        <v>0</v>
      </c>
      <c r="H2850" s="1298">
        <f>VLOOKUP($B2850,dongia1,DG!$F$5,)</f>
        <v>178900</v>
      </c>
      <c r="I2850" s="1298">
        <v>0</v>
      </c>
      <c r="J2850" s="1298">
        <v>0</v>
      </c>
      <c r="K2850" s="1298"/>
      <c r="L2850" s="1298">
        <f t="shared" si="701"/>
        <v>0</v>
      </c>
      <c r="M2850" s="1298"/>
      <c r="N2850" s="1298"/>
      <c r="O2850" s="1298"/>
      <c r="P2850" s="1437"/>
      <c r="Q2850" s="1300"/>
      <c r="R2850" s="1300"/>
      <c r="S2850" s="1300"/>
    </row>
    <row r="2851" spans="1:19" s="1081" customFormat="1" hidden="1" outlineLevel="1">
      <c r="A2851" s="1072" t="str">
        <f t="shared" si="708"/>
        <v/>
      </c>
      <c r="B2851" s="1295" t="s">
        <v>1156</v>
      </c>
      <c r="C2851" s="1291"/>
      <c r="D2851" s="1198" t="str">
        <f>VLOOKUP($B2851,dongia1,DG!$B$5,)</f>
        <v>D2.6031</v>
      </c>
      <c r="E2851" s="1243" t="str">
        <f>VLOOKUP($B2851,dongia1,DG!$C$5,)</f>
        <v>Lắp xà đỡ 50kg</v>
      </c>
      <c r="F2851" s="1198" t="s">
        <v>2113</v>
      </c>
      <c r="G2851" s="1303">
        <f>G2843</f>
        <v>0</v>
      </c>
      <c r="H2851" s="1298">
        <v>0</v>
      </c>
      <c r="I2851" s="1298"/>
      <c r="J2851" s="1298" t="str">
        <f>TEXT(VLOOKUP($B2851,dongia1,DG!$G$5,),"#,###")&amp;"x"&amp;hslx</f>
        <v>296544,75x1,5</v>
      </c>
      <c r="K2851" s="1298"/>
      <c r="L2851" s="1298">
        <f t="shared" si="701"/>
        <v>0</v>
      </c>
      <c r="M2851" s="1298"/>
      <c r="N2851" s="1298">
        <f>VLOOKUP($B2851,dongia1,DG!$G$5,)*hslxh*G2851</f>
        <v>0</v>
      </c>
      <c r="O2851" s="1298"/>
      <c r="P2851" s="1437"/>
      <c r="Q2851" s="1300"/>
      <c r="R2851" s="1300"/>
      <c r="S2851" s="1300"/>
    </row>
    <row r="2852" spans="1:19" s="1081" customFormat="1" hidden="1" outlineLevel="1">
      <c r="A2852" s="1072" t="str">
        <f t="shared" si="708"/>
        <v/>
      </c>
      <c r="B2852" s="1295"/>
      <c r="C2852" s="1291">
        <f>IF(G2852&gt;0,C2843+1,C2843)</f>
        <v>0</v>
      </c>
      <c r="D2852" s="1292"/>
      <c r="E2852" s="1468" t="s">
        <v>3440</v>
      </c>
      <c r="F2852" s="1291" t="s">
        <v>2113</v>
      </c>
      <c r="G2852" s="1297">
        <f>G2793</f>
        <v>0</v>
      </c>
      <c r="H2852" s="1298"/>
      <c r="I2852" s="1298"/>
      <c r="J2852" s="1298"/>
      <c r="K2852" s="1298"/>
      <c r="L2852" s="1298">
        <f t="shared" si="701"/>
        <v>0</v>
      </c>
      <c r="M2852" s="1298">
        <f>I2852*G2852</f>
        <v>0</v>
      </c>
      <c r="N2852" s="1298">
        <f t="shared" ref="N2852:N2860" si="709">J2852*G2852</f>
        <v>0</v>
      </c>
      <c r="O2852" s="1298">
        <f>K2852*G2852</f>
        <v>0</v>
      </c>
      <c r="P2852" s="1437"/>
      <c r="Q2852" s="1300"/>
      <c r="R2852" s="1300"/>
      <c r="S2852" s="1300"/>
    </row>
    <row r="2853" spans="1:19" s="1081" customFormat="1" ht="14.4" hidden="1" outlineLevel="1">
      <c r="A2853" s="1072" t="str">
        <f>+A2852</f>
        <v/>
      </c>
      <c r="B2853" s="1469"/>
      <c r="C2853" s="1291"/>
      <c r="D2853" s="1292"/>
      <c r="E2853" s="1301" t="s">
        <v>3399</v>
      </c>
      <c r="F2853" s="1302"/>
      <c r="G2853" s="1303"/>
      <c r="H2853" s="1298"/>
      <c r="I2853" s="1298"/>
      <c r="J2853" s="1298"/>
      <c r="K2853" s="1298"/>
      <c r="L2853" s="1298">
        <f t="shared" si="701"/>
        <v>0</v>
      </c>
      <c r="M2853" s="1298">
        <f>I2853*G2853</f>
        <v>0</v>
      </c>
      <c r="N2853" s="1298">
        <f t="shared" si="709"/>
        <v>0</v>
      </c>
      <c r="O2853" s="1298">
        <f>K2853*G2853</f>
        <v>0</v>
      </c>
      <c r="P2853" s="1437"/>
      <c r="Q2853" s="1300"/>
      <c r="R2853" s="1300"/>
      <c r="S2853" s="1300"/>
    </row>
    <row r="2854" spans="1:19" s="1081" customFormat="1" hidden="1" outlineLevel="1">
      <c r="A2854" s="1072" t="str">
        <f t="shared" ref="A2854:A2860" si="710">IF(G2854&lt;&gt;0,1,"")</f>
        <v/>
      </c>
      <c r="B2854" s="1295" t="s">
        <v>1200</v>
      </c>
      <c r="C2854" s="1291"/>
      <c r="D2854" s="1198">
        <f>VLOOKUP($B2854,dongia1,DG!$B$5,)</f>
        <v>0</v>
      </c>
      <c r="E2854" s="1243" t="str">
        <f>VLOOKUP($B2854,dongia1,DG!$C$5,)</f>
        <v>Cáp đồng trần M25mm2</v>
      </c>
      <c r="F2854" s="1198" t="str">
        <f>VLOOKUP($B2854,dongia1,DG!$D$5,)</f>
        <v>kg</v>
      </c>
      <c r="G2854" s="1304">
        <f>$H$3*0.224*G2852</f>
        <v>0</v>
      </c>
      <c r="H2854" s="1298">
        <f>VLOOKUP($B2854,dongia1,DG!$F$5,)</f>
        <v>255500</v>
      </c>
      <c r="I2854" s="1298"/>
      <c r="J2854" s="1298">
        <f>VLOOKUP($B2854,dongia1,DG!$G$5,)</f>
        <v>0</v>
      </c>
      <c r="K2854" s="1298">
        <f>VLOOKUP($B2854,dongia1,DG!$H$5,)</f>
        <v>0</v>
      </c>
      <c r="L2854" s="1298">
        <f t="shared" si="701"/>
        <v>0</v>
      </c>
      <c r="M2854" s="1298">
        <f>I2854*G2854</f>
        <v>0</v>
      </c>
      <c r="N2854" s="1298">
        <f t="shared" si="709"/>
        <v>0</v>
      </c>
      <c r="O2854" s="1298">
        <f>K2854*G2854</f>
        <v>0</v>
      </c>
      <c r="P2854" s="1437"/>
      <c r="Q2854" s="1300"/>
      <c r="R2854" s="1300"/>
      <c r="S2854" s="1300"/>
    </row>
    <row r="2855" spans="1:19" s="1081" customFormat="1" hidden="1" outlineLevel="1">
      <c r="A2855" s="1072" t="str">
        <f t="shared" si="710"/>
        <v/>
      </c>
      <c r="B2855" s="1068" t="s">
        <v>1098</v>
      </c>
      <c r="C2855" s="1291"/>
      <c r="D2855" s="1198">
        <f>VLOOKUP($B2855,dongia1,DG!$B$5,)</f>
        <v>0</v>
      </c>
      <c r="E2855" s="1243" t="str">
        <f>VLOOKUP($B2855,dongia1,DG!$C$5,)</f>
        <v>Cọc tiếp đất Þ 16- 2,4m + kẹp cọc</v>
      </c>
      <c r="F2855" s="1198" t="str">
        <f>VLOOKUP($B2855,dongia1,DG!$D$5,)</f>
        <v>bộ</v>
      </c>
      <c r="G2855" s="1303">
        <f>$H$2*G2852</f>
        <v>0</v>
      </c>
      <c r="H2855" s="1298">
        <f>VLOOKUP($B2855,dongia1,DG!$F$5,)</f>
        <v>160000</v>
      </c>
      <c r="I2855" s="1298"/>
      <c r="J2855" s="1298">
        <f>VLOOKUP($B2855,dongia1,DG!$G$5,)</f>
        <v>0</v>
      </c>
      <c r="K2855" s="1298">
        <f>VLOOKUP($B2855,dongia1,DG!$H$5,)</f>
        <v>0</v>
      </c>
      <c r="L2855" s="1298">
        <f t="shared" si="701"/>
        <v>0</v>
      </c>
      <c r="M2855" s="1298">
        <f>I2855*G2855</f>
        <v>0</v>
      </c>
      <c r="N2855" s="1298">
        <f t="shared" si="709"/>
        <v>0</v>
      </c>
      <c r="O2855" s="1298">
        <f>K2855*G2855</f>
        <v>0</v>
      </c>
      <c r="P2855" s="1437"/>
      <c r="Q2855" s="1300"/>
      <c r="R2855" s="1300"/>
      <c r="S2855" s="1300"/>
    </row>
    <row r="2856" spans="1:19" s="1081" customFormat="1" hidden="1" outlineLevel="1">
      <c r="A2856" s="1072" t="str">
        <f t="shared" si="710"/>
        <v/>
      </c>
      <c r="B2856" s="1068" t="s">
        <v>2040</v>
      </c>
      <c r="C2856" s="1291"/>
      <c r="D2856" s="1198">
        <f>VLOOKUP($B2856,dongia1,DG!$B$5,)</f>
        <v>0</v>
      </c>
      <c r="E2856" s="1243" t="str">
        <f>VLOOKUP($B2856,dongia1,DG!$C$5,)</f>
        <v xml:space="preserve">Ống PVC D21x1,6mm </v>
      </c>
      <c r="F2856" s="1198" t="str">
        <f>VLOOKUP($B2856,dongia1,DG!$D$5,)</f>
        <v>m</v>
      </c>
      <c r="G2856" s="1303">
        <f>G2852*3*0</f>
        <v>0</v>
      </c>
      <c r="H2856" s="1298">
        <f>VLOOKUP($B2856,dongia1,DG!$F$5,)</f>
        <v>6200</v>
      </c>
      <c r="I2856" s="1298"/>
      <c r="J2856" s="1298">
        <f>VLOOKUP($B2856,dongia1,DG!$G$5,)</f>
        <v>0</v>
      </c>
      <c r="K2856" s="1298">
        <f>VLOOKUP($B2856,dongia1,DG!$H$5,)</f>
        <v>0</v>
      </c>
      <c r="L2856" s="1298">
        <f t="shared" si="701"/>
        <v>0</v>
      </c>
      <c r="M2856" s="1298">
        <f>I2856*G2856</f>
        <v>0</v>
      </c>
      <c r="N2856" s="1298">
        <f t="shared" si="709"/>
        <v>0</v>
      </c>
      <c r="O2856" s="1298">
        <f>K2856*G2856</f>
        <v>0</v>
      </c>
      <c r="P2856" s="1299"/>
      <c r="Q2856" s="1300"/>
      <c r="R2856" s="1300"/>
      <c r="S2856" s="1300"/>
    </row>
    <row r="2857" spans="1:19" s="1081" customFormat="1" hidden="1" outlineLevel="1">
      <c r="A2857" s="1072" t="str">
        <f t="shared" si="710"/>
        <v/>
      </c>
      <c r="B2857" s="1470" t="s">
        <v>205</v>
      </c>
      <c r="C2857" s="1291"/>
      <c r="D2857" s="1198">
        <f>VLOOKUP($B2857,dongia1,DG!$B$5,)</f>
        <v>0</v>
      </c>
      <c r="E2857" s="1243" t="str">
        <f>VLOOKUP($B2857,dongia1,DG!$C$5,)</f>
        <v>Kẹp ép WR cỡ dây 50mm2</v>
      </c>
      <c r="F2857" s="1198" t="str">
        <f>VLOOKUP($B2857,dongia1,DG!$D$5,)</f>
        <v>cái</v>
      </c>
      <c r="G2857" s="1303">
        <f>2*G2852</f>
        <v>0</v>
      </c>
      <c r="H2857" s="1298">
        <f>VLOOKUP($B2857,dongia1,DG!$F$5,)</f>
        <v>8000</v>
      </c>
      <c r="I2857" s="1298"/>
      <c r="J2857" s="1298">
        <f>VLOOKUP($B2857,dongia1,DG!$G$5,)</f>
        <v>0</v>
      </c>
      <c r="K2857" s="1298"/>
      <c r="L2857" s="1298">
        <f t="shared" si="701"/>
        <v>0</v>
      </c>
      <c r="M2857" s="1298"/>
      <c r="N2857" s="1298">
        <f t="shared" si="709"/>
        <v>0</v>
      </c>
      <c r="O2857" s="1298"/>
      <c r="P2857" s="1437"/>
      <c r="Q2857" s="1300"/>
      <c r="R2857" s="1300"/>
      <c r="S2857" s="1300"/>
    </row>
    <row r="2858" spans="1:19" s="1081" customFormat="1" hidden="1" outlineLevel="1">
      <c r="A2858" s="1072" t="str">
        <f t="shared" si="710"/>
        <v/>
      </c>
      <c r="B2858" s="1470" t="s">
        <v>903</v>
      </c>
      <c r="C2858" s="1291"/>
      <c r="D2858" s="1198">
        <f>VLOOKUP($B2858,dongia1,DG!$B$5,)</f>
        <v>0</v>
      </c>
      <c r="E2858" s="1243" t="str">
        <f>VLOOKUP($B2858,dongia1,DG!$C$5,)</f>
        <v>Ốc xiết cáp cỡ 25mm2</v>
      </c>
      <c r="F2858" s="1198" t="str">
        <f>VLOOKUP($B2858,dongia1,DG!$D$5,)</f>
        <v>cái</v>
      </c>
      <c r="G2858" s="1303">
        <f>IF(G2855&lt;=12,15,21)*G2852</f>
        <v>0</v>
      </c>
      <c r="H2858" s="1298">
        <f>VLOOKUP($B2858,dongia1,DG!$F$5,)</f>
        <v>17600</v>
      </c>
      <c r="I2858" s="1298"/>
      <c r="J2858" s="1298">
        <f>VLOOKUP($B2858,dongia1,DG!$G$5,)</f>
        <v>0</v>
      </c>
      <c r="K2858" s="1298"/>
      <c r="L2858" s="1298">
        <f t="shared" si="701"/>
        <v>0</v>
      </c>
      <c r="M2858" s="1298"/>
      <c r="N2858" s="1298">
        <f t="shared" si="709"/>
        <v>0</v>
      </c>
      <c r="O2858" s="1298"/>
      <c r="P2858" s="1437"/>
      <c r="Q2858" s="1300"/>
      <c r="R2858" s="1300"/>
      <c r="S2858" s="1300"/>
    </row>
    <row r="2859" spans="1:19" s="1081" customFormat="1" hidden="1" outlineLevel="1">
      <c r="A2859" s="1072" t="str">
        <f t="shared" si="710"/>
        <v/>
      </c>
      <c r="B2859" s="1068" t="s">
        <v>1490</v>
      </c>
      <c r="C2859" s="1291"/>
      <c r="D2859" s="1198">
        <f>VLOOKUP($B2859,dongia1,DG!$B$5,)</f>
        <v>0</v>
      </c>
      <c r="E2859" s="1243" t="str">
        <f>VLOOKUP($B2859,dongia1,DG!$C$5,)</f>
        <v>Cổ dê kẹp ống PVC (STK) Þ 21</v>
      </c>
      <c r="F2859" s="1198" t="str">
        <f>VLOOKUP($B2859,dongia1,DG!$D$5,)</f>
        <v>bộ</v>
      </c>
      <c r="G2859" s="1303">
        <f>+G2852*2*0</f>
        <v>0</v>
      </c>
      <c r="H2859" s="1298">
        <f>VLOOKUP($B2859,dongia1,DG!$F$5,)</f>
        <v>43000</v>
      </c>
      <c r="I2859" s="1298"/>
      <c r="J2859" s="1298">
        <f>VLOOKUP($B2859,dongia1,DG!$G$5,)</f>
        <v>0</v>
      </c>
      <c r="K2859" s="1298">
        <f>VLOOKUP($B2859,dongia1,DG!$H$5,)</f>
        <v>0</v>
      </c>
      <c r="L2859" s="1298">
        <f t="shared" si="701"/>
        <v>0</v>
      </c>
      <c r="M2859" s="1298">
        <f>I2859*G2859</f>
        <v>0</v>
      </c>
      <c r="N2859" s="1298">
        <f t="shared" si="709"/>
        <v>0</v>
      </c>
      <c r="O2859" s="1298">
        <f>K2859*G2859</f>
        <v>0</v>
      </c>
      <c r="P2859" s="1299"/>
      <c r="Q2859" s="1300"/>
      <c r="R2859" s="1300"/>
      <c r="S2859" s="1300"/>
    </row>
    <row r="2860" spans="1:19" s="1081" customFormat="1" hidden="1" outlineLevel="1">
      <c r="A2860" s="1072" t="str">
        <f t="shared" si="710"/>
        <v/>
      </c>
      <c r="B2860" s="1068" t="s">
        <v>211</v>
      </c>
      <c r="C2860" s="1291"/>
      <c r="D2860" s="1198">
        <f>VLOOKUP($B2860,dongia1,DG!$B$5,)</f>
        <v>0</v>
      </c>
      <c r="E2860" s="1243" t="str">
        <f>VLOOKUP($B2860,dongia1,DG!$C$5,)</f>
        <v>Khoan giếng tiếp địa</v>
      </c>
      <c r="F2860" s="1198" t="str">
        <f>VLOOKUP($B2860,dongia1,DG!$D$5,)</f>
        <v>Cái</v>
      </c>
      <c r="G2860" s="1303">
        <f>$L$3*G2852</f>
        <v>0</v>
      </c>
      <c r="H2860" s="1298">
        <f>VLOOKUP($B2860,dongia1,DG!$F$5,)</f>
        <v>0</v>
      </c>
      <c r="I2860" s="1298"/>
      <c r="J2860" s="1298">
        <f>VLOOKUP($B2860,dongia1,DG!$G$5,)</f>
        <v>1500000</v>
      </c>
      <c r="K2860" s="1298">
        <f>VLOOKUP($B2860,dongia1,DG!$H$5,)</f>
        <v>0</v>
      </c>
      <c r="L2860" s="1298">
        <f t="shared" si="701"/>
        <v>0</v>
      </c>
      <c r="M2860" s="1298">
        <f>I2860*G2860</f>
        <v>0</v>
      </c>
      <c r="N2860" s="1298">
        <f t="shared" si="709"/>
        <v>0</v>
      </c>
      <c r="O2860" s="1298">
        <f>K2860*G2860</f>
        <v>0</v>
      </c>
      <c r="P2860" s="1437"/>
      <c r="Q2860" s="1300"/>
      <c r="R2860" s="1300"/>
      <c r="S2860" s="1300"/>
    </row>
    <row r="2861" spans="1:19" s="1081" customFormat="1" hidden="1" outlineLevel="1">
      <c r="A2861" s="1072">
        <f>IF(G2861=0,0,1)</f>
        <v>0</v>
      </c>
      <c r="B2861" s="1068" t="str">
        <f>"DTD"&amp;capdat</f>
        <v>DTD3</v>
      </c>
      <c r="C2861" s="1302"/>
      <c r="D2861" s="1198" t="str">
        <f>VLOOKUP($B2861,dongia1,DG!$B$5,)</f>
        <v>AB.11513</v>
      </c>
      <c r="E2861" s="1243" t="str">
        <f>VLOOKUP($B2861,dongia1,DG!$C$5,)</f>
        <v>Đào rãnh tiếp địa đất cấp 3</v>
      </c>
      <c r="F2861" s="1198" t="str">
        <f>VLOOKUP($B2861,dongia1,DG!$D$5,)</f>
        <v>m3</v>
      </c>
      <c r="G2861" s="1472">
        <f>+G2852*H4</f>
        <v>0</v>
      </c>
      <c r="H2861" s="1298">
        <f>VLOOKUP($B2861,dongia1,DG!$F$5,)</f>
        <v>0</v>
      </c>
      <c r="I2861" s="1298"/>
      <c r="J2861" s="1298">
        <f>VLOOKUP($B2861,dongia1,DG!$G$5,)</f>
        <v>283749.75</v>
      </c>
      <c r="K2861" s="1298">
        <v>0</v>
      </c>
      <c r="L2861" s="1298">
        <f t="shared" ref="L2861:O2862" si="711">H2861*$G2861</f>
        <v>0</v>
      </c>
      <c r="M2861" s="1298">
        <f t="shared" si="711"/>
        <v>0</v>
      </c>
      <c r="N2861" s="1298">
        <f t="shared" si="711"/>
        <v>0</v>
      </c>
      <c r="O2861" s="1298">
        <f t="shared" si="711"/>
        <v>0</v>
      </c>
      <c r="P2861" s="1437"/>
      <c r="Q2861" s="1300"/>
      <c r="R2861" s="1300"/>
      <c r="S2861" s="1300"/>
    </row>
    <row r="2862" spans="1:19" s="1081" customFormat="1" hidden="1" outlineLevel="1">
      <c r="A2862" s="1072">
        <f>IF(G2862=0,0,1)</f>
        <v>0</v>
      </c>
      <c r="B2862" s="1068" t="str">
        <f>"DATD"&amp;capdat</f>
        <v>DATD3</v>
      </c>
      <c r="C2862" s="1302"/>
      <c r="D2862" s="1198" t="str">
        <f>VLOOKUP($B2862,dongia1,DG!$B$5,)</f>
        <v>AB.13111</v>
      </c>
      <c r="E2862" s="1243" t="str">
        <f>VLOOKUP($B2862,dongia1,DG!$C$5,)</f>
        <v>Đắp đất rãnh tiếp địa cấp 3 (độ chặt k = 0.85)</v>
      </c>
      <c r="F2862" s="1198" t="str">
        <f>VLOOKUP($B2862,dongia1,DG!$D$5,)</f>
        <v>m3</v>
      </c>
      <c r="G2862" s="1472">
        <f>G2861</f>
        <v>0</v>
      </c>
      <c r="H2862" s="1298">
        <f>VLOOKUP($B2862,dongia1,DG!$F$5,)</f>
        <v>0</v>
      </c>
      <c r="I2862" s="1298"/>
      <c r="J2862" s="1298">
        <f>VLOOKUP($B2862,dongia1,DG!$G$5,)</f>
        <v>117703.6</v>
      </c>
      <c r="K2862" s="1298">
        <v>0</v>
      </c>
      <c r="L2862" s="1298">
        <f t="shared" si="711"/>
        <v>0</v>
      </c>
      <c r="M2862" s="1298">
        <f t="shared" si="711"/>
        <v>0</v>
      </c>
      <c r="N2862" s="1298">
        <f t="shared" si="711"/>
        <v>0</v>
      </c>
      <c r="O2862" s="1298">
        <f t="shared" si="711"/>
        <v>0</v>
      </c>
      <c r="P2862" s="1437"/>
      <c r="Q2862" s="1300"/>
      <c r="R2862" s="1300"/>
      <c r="S2862" s="1300"/>
    </row>
    <row r="2863" spans="1:19" s="1081" customFormat="1" hidden="1" outlineLevel="1">
      <c r="A2863" s="1072">
        <f>IF(G2863=0,0,1)</f>
        <v>0</v>
      </c>
      <c r="B2863" s="1068" t="s">
        <v>985</v>
      </c>
      <c r="C2863" s="1302"/>
      <c r="D2863" s="1198" t="str">
        <f>VLOOKUP($B2863,dongia1,DG!$B$5,)</f>
        <v>D2.8103</v>
      </c>
      <c r="E2863" s="1243" t="str">
        <f>VLOOKUP($B2863,dongia1,DG!$C$5,)</f>
        <v>Đóng cọc tiếp địa đất cấp 3 dài 2,5m</v>
      </c>
      <c r="F2863" s="1198" t="str">
        <f>VLOOKUP($B2863,dongia1,DG!$D$5,)</f>
        <v>cọc</v>
      </c>
      <c r="G2863" s="1437">
        <f>G2855</f>
        <v>0</v>
      </c>
      <c r="H2863" s="1298">
        <f>VLOOKUP($B2863,dongia1,DG!$F$5,)</f>
        <v>0</v>
      </c>
      <c r="I2863" s="1298"/>
      <c r="J2863" s="1298" t="str">
        <f>VLOOKUP($B2863,dongia1,DG!$G$5,)&amp;" x 1,7"</f>
        <v>90355,896 x 1,7</v>
      </c>
      <c r="K2863" s="1298">
        <v>0</v>
      </c>
      <c r="L2863" s="1298">
        <f>H2863*$G2863</f>
        <v>0</v>
      </c>
      <c r="M2863" s="1298">
        <f>I2863*$G2863</f>
        <v>0</v>
      </c>
      <c r="N2863" s="1298">
        <f>VLOOKUP($B2863,dongia1,DG!$G$5,)*1.7*G2863</f>
        <v>0</v>
      </c>
      <c r="O2863" s="1298">
        <f>K2863*$G2863</f>
        <v>0</v>
      </c>
      <c r="P2863" s="1437"/>
      <c r="Q2863" s="1300"/>
      <c r="R2863" s="1300"/>
      <c r="S2863" s="1300"/>
    </row>
    <row r="2864" spans="1:19" s="1081" customFormat="1" hidden="1" outlineLevel="1">
      <c r="A2864" s="1072" t="str">
        <f>IF(G2864&lt;&gt;0,1,"")</f>
        <v/>
      </c>
      <c r="B2864" s="1068" t="s">
        <v>983</v>
      </c>
      <c r="C2864" s="1291"/>
      <c r="D2864" s="1198" t="str">
        <f>VLOOKUP($B2864,dongia1,DG!$B$5,)</f>
        <v>T4.7001</v>
      </c>
      <c r="E2864" s="1243" t="str">
        <f>VLOOKUP($B2864,dongia1,DG!$C$5,)</f>
        <v>Kéo dây tiếp địa TBA</v>
      </c>
      <c r="F2864" s="1198" t="str">
        <f>VLOOKUP($B2864,dongia1,DG!$D$5,)</f>
        <v>mét</v>
      </c>
      <c r="G2864" s="1303">
        <f>G2852*$H$3</f>
        <v>0</v>
      </c>
      <c r="H2864" s="1298">
        <f>VLOOKUP($B2864,dongia1,DG!$E$5,)</f>
        <v>0</v>
      </c>
      <c r="I2864" s="1298"/>
      <c r="J2864" s="1298">
        <f>VLOOKUP($B2864,dongia1,DG!$G$5,)</f>
        <v>8070.7000000000007</v>
      </c>
      <c r="K2864" s="1298">
        <f>VLOOKUP($B2864,dongia1,DG!$H$5,)</f>
        <v>2044.9974999999999</v>
      </c>
      <c r="L2864" s="1298">
        <f>H2864*G2864</f>
        <v>0</v>
      </c>
      <c r="M2864" s="1298">
        <f>I2864*G2864</f>
        <v>0</v>
      </c>
      <c r="N2864" s="1298">
        <f>J2864*G2864</f>
        <v>0</v>
      </c>
      <c r="O2864" s="1298">
        <f>K2864*G2864</f>
        <v>0</v>
      </c>
      <c r="P2864" s="1437"/>
      <c r="Q2864" s="1300"/>
      <c r="R2864" s="1300"/>
      <c r="S2864" s="1300"/>
    </row>
    <row r="2865" spans="1:19" s="1081" customFormat="1" hidden="1" outlineLevel="1">
      <c r="A2865" s="1072" t="str">
        <f>IF(G2865&lt;&gt;0,1,"")</f>
        <v/>
      </c>
      <c r="B2865" s="1295"/>
      <c r="C2865" s="1291">
        <f>IF(G2865&gt;0,C2852+1,C2852)</f>
        <v>0</v>
      </c>
      <c r="D2865" s="1292"/>
      <c r="E2865" s="1416" t="s">
        <v>3442</v>
      </c>
      <c r="F2865" s="1291" t="s">
        <v>2113</v>
      </c>
      <c r="G2865" s="1297">
        <f>G2793</f>
        <v>0</v>
      </c>
      <c r="H2865" s="1298"/>
      <c r="I2865" s="1298"/>
      <c r="J2865" s="1298"/>
      <c r="K2865" s="1298"/>
      <c r="L2865" s="1298">
        <f>H2865*G2865</f>
        <v>0</v>
      </c>
      <c r="M2865" s="1298">
        <f>I2865*G2865</f>
        <v>0</v>
      </c>
      <c r="N2865" s="1298">
        <f>J2865*G2865</f>
        <v>0</v>
      </c>
      <c r="O2865" s="1298">
        <f>K2865*G2865</f>
        <v>0</v>
      </c>
      <c r="P2865" s="1437"/>
      <c r="Q2865" s="1300"/>
      <c r="R2865" s="1300"/>
      <c r="S2865" s="1300"/>
    </row>
    <row r="2866" spans="1:19" s="1081" customFormat="1" ht="14.4" hidden="1" outlineLevel="1">
      <c r="A2866" s="1072" t="str">
        <f>A2865</f>
        <v/>
      </c>
      <c r="B2866" s="1295"/>
      <c r="C2866" s="1291"/>
      <c r="D2866" s="1292"/>
      <c r="E2866" s="1301" t="s">
        <v>3399</v>
      </c>
      <c r="F2866" s="1302"/>
      <c r="G2866" s="1303"/>
      <c r="H2866" s="1298"/>
      <c r="I2866" s="1298"/>
      <c r="J2866" s="1298"/>
      <c r="K2866" s="1298"/>
      <c r="L2866" s="1298">
        <f>H2866*G2866</f>
        <v>0</v>
      </c>
      <c r="M2866" s="1298">
        <f>I2866*G2866</f>
        <v>0</v>
      </c>
      <c r="N2866" s="1298">
        <f>J2866*G2866</f>
        <v>0</v>
      </c>
      <c r="O2866" s="1298">
        <f>K2866*G2866</f>
        <v>0</v>
      </c>
      <c r="P2866" s="1437"/>
      <c r="Q2866" s="1300"/>
      <c r="R2866" s="1300"/>
      <c r="S2866" s="1300"/>
    </row>
    <row r="2867" spans="1:19" s="1081" customFormat="1" hidden="1" outlineLevel="1">
      <c r="A2867" s="1072" t="str">
        <f>IF(G2867&lt;&gt;0,1,"")</f>
        <v/>
      </c>
      <c r="B2867" s="1295" t="s">
        <v>335</v>
      </c>
      <c r="C2867" s="1302"/>
      <c r="D2867" s="1198" t="str">
        <f>VLOOKUP($B2867,dongia1,DG!$B$5,)</f>
        <v>T5.1002</v>
      </c>
      <c r="E2867" s="1243" t="str">
        <f>VLOOKUP($B2867,dongia1,DG!$C$5,)</f>
        <v>Tủ MCCB + thanh cái 1600A</v>
      </c>
      <c r="F2867" s="1198" t="str">
        <f>VLOOKUP($B2867,dongia1,DG!$D$5,)</f>
        <v>cái</v>
      </c>
      <c r="G2867" s="1303">
        <f>G2865</f>
        <v>0</v>
      </c>
      <c r="H2867" s="1298">
        <f>VLOOKUP($B2867,dongia1,DG!$F$5,)</f>
        <v>25000000</v>
      </c>
      <c r="I2867" s="1298"/>
      <c r="J2867" s="1298">
        <f>VLOOKUP($B2867,dongia1,DG!$G$5,)</f>
        <v>690091</v>
      </c>
      <c r="K2867" s="1298">
        <f>VLOOKUP($B2867,dongia1,DG!$H$5,)</f>
        <v>97369</v>
      </c>
      <c r="L2867" s="1298">
        <f>H2867*G2867</f>
        <v>0</v>
      </c>
      <c r="M2867" s="1298">
        <f>I2867*G2867</f>
        <v>0</v>
      </c>
      <c r="N2867" s="1298">
        <f>J2867*G2867</f>
        <v>0</v>
      </c>
      <c r="O2867" s="1298">
        <f>K2867*G2867</f>
        <v>0</v>
      </c>
      <c r="P2867" s="1437"/>
      <c r="Q2867" s="1300"/>
      <c r="R2867" s="1300"/>
      <c r="S2867" s="1300"/>
    </row>
    <row r="2868" spans="1:19" s="1081" customFormat="1" hidden="1" outlineLevel="1">
      <c r="A2868" s="1072" t="str">
        <f>IF(G2868&lt;&gt;0,1,"")</f>
        <v/>
      </c>
      <c r="B2868" s="1295" t="s">
        <v>1560</v>
      </c>
      <c r="C2868" s="1291"/>
      <c r="D2868" s="1198">
        <f>VLOOKUP($B2868,dongia1,DG!$B$5,)</f>
        <v>0</v>
      </c>
      <c r="E2868" s="1243" t="str">
        <f>VLOOKUP($B2868,dongia1,DG!$C$5,)</f>
        <v xml:space="preserve">Bakelit 500x300 dầy 10mm </v>
      </c>
      <c r="F2868" s="1198" t="str">
        <f>VLOOKUP($B2868,dongia1,DG!$D$5,)</f>
        <v>cái</v>
      </c>
      <c r="G2868" s="1297">
        <f>+G2865</f>
        <v>0</v>
      </c>
      <c r="H2868" s="1298">
        <f>VLOOKUP($B2868,dongia1,DG!$F$5,)</f>
        <v>284000</v>
      </c>
      <c r="I2868" s="1298"/>
      <c r="J2868" s="1298">
        <f>VLOOKUP($B2868,dongia1,DG!$G$5,)</f>
        <v>5404</v>
      </c>
      <c r="K2868" s="1298">
        <f>VLOOKUP($B2868,dongia1,DG!$H$5,)</f>
        <v>0</v>
      </c>
      <c r="L2868" s="1298">
        <f t="shared" ref="L2868:L2888" si="712">H2868*G2868</f>
        <v>0</v>
      </c>
      <c r="M2868" s="1298">
        <f t="shared" ref="M2868:M2888" si="713">I2868*G2868</f>
        <v>0</v>
      </c>
      <c r="N2868" s="1298">
        <f t="shared" ref="N2868:N2888" si="714">J2868*G2868</f>
        <v>0</v>
      </c>
      <c r="O2868" s="1298">
        <f t="shared" ref="O2868:O2888" si="715">K2868*G2868</f>
        <v>0</v>
      </c>
      <c r="P2868" s="1437"/>
      <c r="Q2868" s="1300"/>
      <c r="R2868" s="1300"/>
      <c r="S2868" s="1300"/>
    </row>
    <row r="2869" spans="1:19" s="1081" customFormat="1" hidden="1" outlineLevel="1">
      <c r="A2869" s="1072" t="str">
        <f>IF(G2869&lt;&gt;0,1,"")</f>
        <v/>
      </c>
      <c r="B2869" s="1295" t="s">
        <v>888</v>
      </c>
      <c r="C2869" s="1302"/>
      <c r="D2869" s="1198">
        <f>VLOOKUP($B2869,dongia1,DG!$B$5,)</f>
        <v>0</v>
      </c>
      <c r="E2869" s="1243" t="str">
        <f>VLOOKUP($B2869,dongia1,DG!$C$5,)</f>
        <v>Bảng tên trạm + bảng báo nguy hiểm</v>
      </c>
      <c r="F2869" s="1198" t="str">
        <f>VLOOKUP($B2869,dongia1,DG!$D$5,)</f>
        <v>cái</v>
      </c>
      <c r="G2869" s="1303">
        <f>G2865</f>
        <v>0</v>
      </c>
      <c r="H2869" s="1298">
        <f>VLOOKUP($B2869,dongia1,DG!$F$5,)</f>
        <v>300000</v>
      </c>
      <c r="I2869" s="1298"/>
      <c r="J2869" s="1298">
        <f>VLOOKUP($B2869,dongia1,DG!$G$5,)</f>
        <v>0</v>
      </c>
      <c r="K2869" s="1298">
        <f>VLOOKUP($B2869,dongia1,DG!$H$5,)</f>
        <v>0</v>
      </c>
      <c r="L2869" s="1298">
        <f t="shared" si="712"/>
        <v>0</v>
      </c>
      <c r="M2869" s="1298">
        <f t="shared" si="713"/>
        <v>0</v>
      </c>
      <c r="N2869" s="1298">
        <f t="shared" si="714"/>
        <v>0</v>
      </c>
      <c r="O2869" s="1298">
        <f t="shared" si="715"/>
        <v>0</v>
      </c>
      <c r="P2869" s="1437"/>
      <c r="Q2869" s="1300"/>
      <c r="R2869" s="1300"/>
      <c r="S2869" s="1300"/>
    </row>
    <row r="2870" spans="1:19" s="1081" customFormat="1" hidden="1" outlineLevel="1">
      <c r="A2870" s="1072" t="str">
        <f>IF(G2870&lt;&gt;0,1,"")</f>
        <v/>
      </c>
      <c r="B2870" s="1295"/>
      <c r="C2870" s="1291">
        <f>IF(G2870&gt;0,C2865+1,C2865)</f>
        <v>0</v>
      </c>
      <c r="D2870" s="1292"/>
      <c r="E2870" s="1296" t="s">
        <v>3455</v>
      </c>
      <c r="F2870" s="1291" t="s">
        <v>2307</v>
      </c>
      <c r="G2870" s="1556">
        <f>G2793*0</f>
        <v>0</v>
      </c>
      <c r="H2870" s="1298"/>
      <c r="I2870" s="1298"/>
      <c r="J2870" s="1298"/>
      <c r="K2870" s="1298"/>
      <c r="L2870" s="1298">
        <f t="shared" si="712"/>
        <v>0</v>
      </c>
      <c r="M2870" s="1298">
        <f t="shared" si="713"/>
        <v>0</v>
      </c>
      <c r="N2870" s="1298">
        <f t="shared" si="714"/>
        <v>0</v>
      </c>
      <c r="O2870" s="1298">
        <f t="shared" si="715"/>
        <v>0</v>
      </c>
      <c r="P2870" s="1299"/>
      <c r="Q2870" s="1300"/>
      <c r="R2870" s="1300"/>
      <c r="S2870" s="1300"/>
    </row>
    <row r="2871" spans="1:19" s="1081" customFormat="1" ht="14.4" hidden="1" outlineLevel="1">
      <c r="A2871" s="1072" t="str">
        <f>A2870</f>
        <v/>
      </c>
      <c r="B2871" s="1295"/>
      <c r="C2871" s="1291"/>
      <c r="D2871" s="1292"/>
      <c r="E2871" s="1301" t="s">
        <v>3399</v>
      </c>
      <c r="F2871" s="1302"/>
      <c r="G2871" s="1473"/>
      <c r="H2871" s="1298"/>
      <c r="I2871" s="1298"/>
      <c r="J2871" s="1298"/>
      <c r="K2871" s="1298"/>
      <c r="L2871" s="1298">
        <f t="shared" si="712"/>
        <v>0</v>
      </c>
      <c r="M2871" s="1298">
        <f t="shared" si="713"/>
        <v>0</v>
      </c>
      <c r="N2871" s="1298">
        <f t="shared" si="714"/>
        <v>0</v>
      </c>
      <c r="O2871" s="1298">
        <f t="shared" si="715"/>
        <v>0</v>
      </c>
      <c r="P2871" s="1299"/>
      <c r="Q2871" s="1300"/>
      <c r="R2871" s="1300"/>
      <c r="S2871" s="1300"/>
    </row>
    <row r="2872" spans="1:19" s="1081" customFormat="1" hidden="1" outlineLevel="1">
      <c r="A2872" s="1072" t="str">
        <f t="shared" ref="A2872:A2880" si="716">IF(G2872&lt;&gt;0,1,"")</f>
        <v/>
      </c>
      <c r="B2872" s="1557" t="s">
        <v>1729</v>
      </c>
      <c r="C2872" s="1302"/>
      <c r="D2872" s="1198">
        <f>VLOOKUP($B2872,dongia1,DG!$B$5,)</f>
        <v>0</v>
      </c>
      <c r="E2872" s="1399" t="str">
        <f>VLOOKUP($B2872,dongia1,DG!$C$5,)&amp;": 0,315m3/m"</f>
        <v>Cát vàng: 0,315m3/m</v>
      </c>
      <c r="F2872" s="1198" t="str">
        <f>VLOOKUP($B2872,dongia1,DG!$D$5,)</f>
        <v>m3</v>
      </c>
      <c r="G2872" s="1304">
        <f>G2870*0.315</f>
        <v>0</v>
      </c>
      <c r="H2872" s="1298">
        <f>VLOOKUP($B2872,dongia1,DG!$F$5,)</f>
        <v>512000</v>
      </c>
      <c r="I2872" s="1298"/>
      <c r="J2872" s="1298">
        <f>VLOOKUP($B2872,dongia1,DG!$G$5,)</f>
        <v>0</v>
      </c>
      <c r="K2872" s="1298">
        <f>VLOOKUP($B2872,dongia1,DG!$H$5,)</f>
        <v>0</v>
      </c>
      <c r="L2872" s="1298">
        <f t="shared" si="712"/>
        <v>0</v>
      </c>
      <c r="M2872" s="1298">
        <f t="shared" si="713"/>
        <v>0</v>
      </c>
      <c r="N2872" s="1298">
        <f t="shared" si="714"/>
        <v>0</v>
      </c>
      <c r="O2872" s="1298">
        <f t="shared" si="715"/>
        <v>0</v>
      </c>
      <c r="P2872" s="1299"/>
      <c r="Q2872" s="1300"/>
      <c r="R2872" s="1300"/>
      <c r="S2872" s="1300"/>
    </row>
    <row r="2873" spans="1:19" s="1081" customFormat="1" hidden="1" outlineLevel="1">
      <c r="A2873" s="1072" t="str">
        <f t="shared" si="716"/>
        <v/>
      </c>
      <c r="B2873" s="1557" t="s">
        <v>817</v>
      </c>
      <c r="C2873" s="1302"/>
      <c r="D2873" s="1198">
        <f>VLOOKUP($B2873,dongia1,DG!$B$5,)</f>
        <v>0</v>
      </c>
      <c r="E2873" s="1399" t="str">
        <f>VLOOKUP($B2873,dongia1,DG!$C$5,)&amp;": 0,092m3/m"</f>
        <v>Đá 2x4: 0,092m3/m</v>
      </c>
      <c r="F2873" s="1198" t="str">
        <f>VLOOKUP($B2873,dongia1,DG!$D$5,)</f>
        <v>m3</v>
      </c>
      <c r="G2873" s="1304">
        <f>0.092*G2870</f>
        <v>0</v>
      </c>
      <c r="H2873" s="1298">
        <f>VLOOKUP($B2873,dongia1,DG!$F$5,)</f>
        <v>295000</v>
      </c>
      <c r="I2873" s="1298"/>
      <c r="J2873" s="1298">
        <f>VLOOKUP($B2873,dongia1,DG!$G$5,)</f>
        <v>0</v>
      </c>
      <c r="K2873" s="1298">
        <f>VLOOKUP($B2873,dongia1,DG!$H$5,)</f>
        <v>0</v>
      </c>
      <c r="L2873" s="1298">
        <f t="shared" si="712"/>
        <v>0</v>
      </c>
      <c r="M2873" s="1298">
        <f t="shared" si="713"/>
        <v>0</v>
      </c>
      <c r="N2873" s="1298">
        <f t="shared" si="714"/>
        <v>0</v>
      </c>
      <c r="O2873" s="1298">
        <f t="shared" si="715"/>
        <v>0</v>
      </c>
      <c r="P2873" s="1299"/>
      <c r="Q2873" s="1300"/>
      <c r="R2873" s="1300"/>
      <c r="S2873" s="1300"/>
    </row>
    <row r="2874" spans="1:19" s="1081" customFormat="1" hidden="1" outlineLevel="1">
      <c r="A2874" s="1072" t="str">
        <f t="shared" si="716"/>
        <v/>
      </c>
      <c r="B2874" s="1557" t="s">
        <v>1495</v>
      </c>
      <c r="C2874" s="1302"/>
      <c r="D2874" s="1198">
        <f>VLOOKUP($B2874,dongia1,DG!$B$5,)</f>
        <v>0</v>
      </c>
      <c r="E2874" s="1399" t="str">
        <f>VLOOKUP($B2874,dongia1,DG!$C$5,)&amp;": 3,3vieân/m"</f>
        <v>Gạch tàu: 3,3vieân/m</v>
      </c>
      <c r="F2874" s="1198" t="str">
        <f>VLOOKUP($B2874,dongia1,DG!$D$5,)</f>
        <v>viên</v>
      </c>
      <c r="G2874" s="1304">
        <f>3.3*G2870</f>
        <v>0</v>
      </c>
      <c r="H2874" s="1298">
        <f>VLOOKUP($B2874,dongia1,DG!$F$5,)</f>
        <v>7000</v>
      </c>
      <c r="I2874" s="1298"/>
      <c r="J2874" s="1298">
        <f>VLOOKUP($B2874,dongia1,DG!$G$5,)</f>
        <v>0</v>
      </c>
      <c r="K2874" s="1298">
        <f>VLOOKUP($B2874,dongia1,DG!$H$5,)</f>
        <v>0</v>
      </c>
      <c r="L2874" s="1298">
        <f t="shared" si="712"/>
        <v>0</v>
      </c>
      <c r="M2874" s="1298">
        <f t="shared" si="713"/>
        <v>0</v>
      </c>
      <c r="N2874" s="1298">
        <f t="shared" si="714"/>
        <v>0</v>
      </c>
      <c r="O2874" s="1298">
        <f t="shared" si="715"/>
        <v>0</v>
      </c>
      <c r="P2874" s="1299"/>
      <c r="Q2874" s="1300"/>
      <c r="R2874" s="1300"/>
      <c r="S2874" s="1300"/>
    </row>
    <row r="2875" spans="1:19" s="1081" customFormat="1" hidden="1" outlineLevel="1">
      <c r="A2875" s="1072" t="str">
        <f t="shared" si="716"/>
        <v/>
      </c>
      <c r="B2875" s="1557" t="s">
        <v>1496</v>
      </c>
      <c r="C2875" s="1302"/>
      <c r="D2875" s="1198" t="str">
        <f>VLOOKUP($B2875,dongia1,DG!$B$5,)</f>
        <v>D4.1102</v>
      </c>
      <c r="E2875" s="1399" t="str">
        <f>VLOOKUP($B2875,dongia1,DG!$C$5,)&amp;": 0,4m2/m"</f>
        <v>Tấm nilông màu cảnh báo: 0,4m2/m</v>
      </c>
      <c r="F2875" s="1198" t="str">
        <f>VLOOKUP($B2875,dongia1,DG!$D$5,)</f>
        <v>m2</v>
      </c>
      <c r="G2875" s="1304">
        <f>0.4*G2870</f>
        <v>0</v>
      </c>
      <c r="H2875" s="1298">
        <f>VLOOKUP($B2875,dongia1,DG!$F$5,)</f>
        <v>10000</v>
      </c>
      <c r="I2875" s="1298"/>
      <c r="J2875" s="1298">
        <f>VLOOKUP($B2875,dongia1,DG!$G$5,)</f>
        <v>1187.155</v>
      </c>
      <c r="K2875" s="1298">
        <f>VLOOKUP($B2875,dongia1,DG!$H$5,)</f>
        <v>0</v>
      </c>
      <c r="L2875" s="1298">
        <f t="shared" si="712"/>
        <v>0</v>
      </c>
      <c r="M2875" s="1298">
        <f t="shared" si="713"/>
        <v>0</v>
      </c>
      <c r="N2875" s="1298">
        <f t="shared" si="714"/>
        <v>0</v>
      </c>
      <c r="O2875" s="1298">
        <f t="shared" si="715"/>
        <v>0</v>
      </c>
      <c r="P2875" s="1299"/>
      <c r="Q2875" s="1300"/>
      <c r="R2875" s="1300"/>
      <c r="S2875" s="1300"/>
    </row>
    <row r="2876" spans="1:19" s="1081" customFormat="1" hidden="1" outlineLevel="1">
      <c r="A2876" s="1072" t="str">
        <f t="shared" si="716"/>
        <v/>
      </c>
      <c r="B2876" s="1557" t="s">
        <v>1861</v>
      </c>
      <c r="C2876" s="1291"/>
      <c r="D2876" s="1198">
        <f>VLOOKUP($B2876,dongia1,DG!$B$5,)</f>
        <v>0</v>
      </c>
      <c r="E2876" s="1399" t="str">
        <f>VLOOKUP($B2876,dongia1,DG!$C$5,)</f>
        <v>Ống PVC D140x6,7mm</v>
      </c>
      <c r="F2876" s="1198" t="str">
        <f>VLOOKUP($B2876,dongia1,DG!$D$5,)</f>
        <v>m</v>
      </c>
      <c r="G2876" s="1304">
        <f>1*G2870</f>
        <v>0</v>
      </c>
      <c r="H2876" s="1298">
        <f>VLOOKUP($B2876,dongia1,DG!$F$5,)</f>
        <v>165250</v>
      </c>
      <c r="I2876" s="1298"/>
      <c r="J2876" s="1298">
        <f>VLOOKUP($B2876,dongia1,DG!$G$5,)</f>
        <v>0</v>
      </c>
      <c r="K2876" s="1298">
        <f>VLOOKUP($B2876,dongia1,DG!$H$5,)</f>
        <v>0</v>
      </c>
      <c r="L2876" s="1298">
        <f t="shared" si="712"/>
        <v>0</v>
      </c>
      <c r="M2876" s="1298">
        <f t="shared" si="713"/>
        <v>0</v>
      </c>
      <c r="N2876" s="1298">
        <f t="shared" si="714"/>
        <v>0</v>
      </c>
      <c r="O2876" s="1298">
        <f t="shared" si="715"/>
        <v>0</v>
      </c>
      <c r="P2876" s="1299"/>
      <c r="Q2876" s="1300"/>
      <c r="R2876" s="1300"/>
      <c r="S2876" s="1300"/>
    </row>
    <row r="2877" spans="1:19" s="1081" customFormat="1" hidden="1" outlineLevel="1">
      <c r="A2877" s="1072" t="str">
        <f t="shared" si="716"/>
        <v/>
      </c>
      <c r="B2877" s="1557" t="s">
        <v>1498</v>
      </c>
      <c r="C2877" s="1302"/>
      <c r="D2877" s="1198" t="str">
        <f>VLOOKUP($B2877,dongia1,DG!$B$5,)</f>
        <v>AB.66112</v>
      </c>
      <c r="E2877" s="1399" t="str">
        <f>VLOOKUP($B2877,dongia1,DG!$C$5,)&amp;" + ñaép ñaù"</f>
        <v>Rải cát đệm (độ chặt K=0,9) + ñaép ñaù</v>
      </c>
      <c r="F2877" s="1198" t="str">
        <f>VLOOKUP($B2877,dongia1,DG!$D$5,)</f>
        <v>m3</v>
      </c>
      <c r="G2877" s="1304">
        <f>G2872+G2873</f>
        <v>0</v>
      </c>
      <c r="H2877" s="1298">
        <f>VLOOKUP($B2877,dongia1,DG!$F$5,)</f>
        <v>0</v>
      </c>
      <c r="I2877" s="1298"/>
      <c r="J2877" s="1298">
        <f>VLOOKUP($B2877,dongia1,DG!$G$5,)</f>
        <v>315277.5</v>
      </c>
      <c r="K2877" s="1298">
        <f>VLOOKUP($B2877,dongia1,DG!$H$5,)</f>
        <v>0</v>
      </c>
      <c r="L2877" s="1298">
        <f t="shared" si="712"/>
        <v>0</v>
      </c>
      <c r="M2877" s="1298">
        <f t="shared" si="713"/>
        <v>0</v>
      </c>
      <c r="N2877" s="1298">
        <f t="shared" si="714"/>
        <v>0</v>
      </c>
      <c r="O2877" s="1298">
        <f t="shared" si="715"/>
        <v>0</v>
      </c>
      <c r="P2877" s="1299"/>
      <c r="Q2877" s="1300"/>
      <c r="R2877" s="1300"/>
      <c r="S2877" s="1300"/>
    </row>
    <row r="2878" spans="1:19" s="1081" customFormat="1" hidden="1" outlineLevel="1">
      <c r="A2878" s="1072" t="str">
        <f t="shared" si="716"/>
        <v/>
      </c>
      <c r="B2878" s="1557" t="s">
        <v>291</v>
      </c>
      <c r="C2878" s="1302"/>
      <c r="D2878" s="1198" t="str">
        <f>VLOOKUP($B2878,dongia1,DG!$B$5,)</f>
        <v>AB.11613</v>
      </c>
      <c r="E2878" s="1399" t="str">
        <f>VLOOKUP($B2878,dongia1,DG!$C$5,)&amp;" : 0,48m3/m"</f>
        <v>Đào mương cáp ngầm đất cấp 3 có mở ta luy : 0,48m3/m</v>
      </c>
      <c r="F2878" s="1198" t="str">
        <f>VLOOKUP($B2878,dongia1,DG!$D$5,)</f>
        <v>m3</v>
      </c>
      <c r="G2878" s="1304">
        <f>G2870*0.48</f>
        <v>0</v>
      </c>
      <c r="H2878" s="1298">
        <f>VLOOKUP($B2878,dongia1,DG!$F$5,)</f>
        <v>0</v>
      </c>
      <c r="I2878" s="1298"/>
      <c r="J2878" s="1298">
        <f>VLOOKUP($B2878,dongia1,DG!$G$5,)</f>
        <v>640731.36</v>
      </c>
      <c r="K2878" s="1298">
        <f>VLOOKUP($B2878,dongia1,DG!$H$5,)</f>
        <v>0</v>
      </c>
      <c r="L2878" s="1298">
        <f t="shared" si="712"/>
        <v>0</v>
      </c>
      <c r="M2878" s="1298">
        <f t="shared" si="713"/>
        <v>0</v>
      </c>
      <c r="N2878" s="1298">
        <f t="shared" si="714"/>
        <v>0</v>
      </c>
      <c r="O2878" s="1298">
        <f t="shared" si="715"/>
        <v>0</v>
      </c>
      <c r="P2878" s="1299"/>
      <c r="Q2878" s="1300"/>
      <c r="R2878" s="1300"/>
      <c r="S2878" s="1300"/>
    </row>
    <row r="2879" spans="1:19" s="1081" customFormat="1" hidden="1" outlineLevel="1">
      <c r="A2879" s="1072" t="str">
        <f t="shared" si="716"/>
        <v/>
      </c>
      <c r="B2879" s="1557" t="s">
        <v>1906</v>
      </c>
      <c r="C2879" s="1302"/>
      <c r="D2879" s="1198" t="str">
        <f>VLOOKUP($B2879,dongia1,DG!$B$5,)</f>
        <v>AB.65110</v>
      </c>
      <c r="E2879" s="1399" t="str">
        <f>VLOOKUP($B2879,dongia1,DG!$C$5,)&amp;" : 0,073m3/m"</f>
        <v>Đắp đất mương cáp K=0,9 : 0,073m3/m</v>
      </c>
      <c r="F2879" s="1198" t="str">
        <f>VLOOKUP($B2879,dongia1,DG!$D$5,)</f>
        <v>m3</v>
      </c>
      <c r="G2879" s="1304">
        <f>G2870*0.073</f>
        <v>0</v>
      </c>
      <c r="H2879" s="1298">
        <f>VLOOKUP($B2879,dongia1,DG!$F$5,)</f>
        <v>0</v>
      </c>
      <c r="I2879" s="1298"/>
      <c r="J2879" s="1298">
        <f>VLOOKUP($B2879,dongia1,DG!$G$5,)</f>
        <v>21935.133999999998</v>
      </c>
      <c r="K2879" s="1298">
        <f>VLOOKUP($B2879,dongia1,DG!$H$5,)</f>
        <v>0</v>
      </c>
      <c r="L2879" s="1298">
        <f t="shared" si="712"/>
        <v>0</v>
      </c>
      <c r="M2879" s="1298">
        <f t="shared" si="713"/>
        <v>0</v>
      </c>
      <c r="N2879" s="1298">
        <f t="shared" si="714"/>
        <v>0</v>
      </c>
      <c r="O2879" s="1298">
        <f t="shared" si="715"/>
        <v>0</v>
      </c>
      <c r="P2879" s="1299"/>
      <c r="Q2879" s="1300"/>
      <c r="R2879" s="1474">
        <v>0.47499999999999998</v>
      </c>
      <c r="S2879" s="1300"/>
    </row>
    <row r="2880" spans="1:19" s="1081" customFormat="1" hidden="1" outlineLevel="1">
      <c r="A2880" s="1072" t="str">
        <f t="shared" si="716"/>
        <v/>
      </c>
      <c r="B2880" s="1295"/>
      <c r="C2880" s="1291">
        <f>IF(G2880&gt;0,C2870+1,C2870)</f>
        <v>0</v>
      </c>
      <c r="D2880" s="1292"/>
      <c r="E2880" s="1296" t="s">
        <v>3456</v>
      </c>
      <c r="F2880" s="1291" t="s">
        <v>2113</v>
      </c>
      <c r="G2880" s="1297">
        <f>G2889</f>
        <v>0</v>
      </c>
      <c r="H2880" s="1298"/>
      <c r="I2880" s="1298"/>
      <c r="J2880" s="1298"/>
      <c r="K2880" s="1298"/>
      <c r="L2880" s="1298">
        <f t="shared" si="712"/>
        <v>0</v>
      </c>
      <c r="M2880" s="1298">
        <f t="shared" si="713"/>
        <v>0</v>
      </c>
      <c r="N2880" s="1298">
        <f t="shared" si="714"/>
        <v>0</v>
      </c>
      <c r="O2880" s="1298">
        <f t="shared" si="715"/>
        <v>0</v>
      </c>
      <c r="P2880" s="1299"/>
      <c r="Q2880" s="1300"/>
      <c r="R2880" s="1474">
        <v>0.88100000000000001</v>
      </c>
      <c r="S2880" s="1300"/>
    </row>
    <row r="2881" spans="1:19" s="1081" customFormat="1" ht="14.4" hidden="1" outlineLevel="1">
      <c r="A2881" s="1072" t="str">
        <f>A2880</f>
        <v/>
      </c>
      <c r="B2881" s="1295"/>
      <c r="C2881" s="1291"/>
      <c r="D2881" s="1292"/>
      <c r="E2881" s="1301" t="s">
        <v>3399</v>
      </c>
      <c r="F2881" s="1302"/>
      <c r="G2881" s="1473"/>
      <c r="H2881" s="1298"/>
      <c r="I2881" s="1298"/>
      <c r="J2881" s="1298"/>
      <c r="K2881" s="1298"/>
      <c r="L2881" s="1298">
        <f t="shared" si="712"/>
        <v>0</v>
      </c>
      <c r="M2881" s="1298">
        <f t="shared" si="713"/>
        <v>0</v>
      </c>
      <c r="N2881" s="1298">
        <f t="shared" si="714"/>
        <v>0</v>
      </c>
      <c r="O2881" s="1298">
        <f t="shared" si="715"/>
        <v>0</v>
      </c>
      <c r="P2881" s="1299"/>
      <c r="Q2881" s="1300"/>
      <c r="R2881" s="1300"/>
      <c r="S2881" s="1300"/>
    </row>
    <row r="2882" spans="1:19" s="1081" customFormat="1" hidden="1" outlineLevel="1">
      <c r="A2882" s="1072" t="str">
        <f t="shared" ref="A2882:A2889" si="717">IF(G2882&lt;&gt;0,1,"")</f>
        <v/>
      </c>
      <c r="B2882" s="1295" t="s">
        <v>1568</v>
      </c>
      <c r="C2882" s="1302"/>
      <c r="D2882" s="1198" t="str">
        <f>VLOOKUP($B2882,dongia1,DG!$B$5,)</f>
        <v>D4.1205</v>
      </c>
      <c r="E2882" s="1243" t="str">
        <f>VLOOKUP($B2882,dongia1,DG!$C$5,)</f>
        <v>Ông sắt tráng kẽm D140</v>
      </c>
      <c r="F2882" s="1198" t="str">
        <f>VLOOKUP($B2882,dongia1,DG!$D$5,)</f>
        <v>mét</v>
      </c>
      <c r="G2882" s="1304">
        <f>G2880*5*0</f>
        <v>0</v>
      </c>
      <c r="H2882" s="1298">
        <f>VLOOKUP($B2882,dongia1,DG!$F$5,)</f>
        <v>278000</v>
      </c>
      <c r="I2882" s="1298"/>
      <c r="J2882" s="1298">
        <f>VLOOKUP($B2882,dongia1,DG!$G$5,)</f>
        <v>127101.65849999999</v>
      </c>
      <c r="K2882" s="1298">
        <f>VLOOKUP($B2882,dongia1,DG!$H$5,)</f>
        <v>0</v>
      </c>
      <c r="L2882" s="1298">
        <f t="shared" si="712"/>
        <v>0</v>
      </c>
      <c r="M2882" s="1298">
        <f t="shared" si="713"/>
        <v>0</v>
      </c>
      <c r="N2882" s="1298">
        <f t="shared" si="714"/>
        <v>0</v>
      </c>
      <c r="O2882" s="1298">
        <f t="shared" si="715"/>
        <v>0</v>
      </c>
      <c r="P2882" s="1299"/>
      <c r="Q2882" s="1300"/>
      <c r="R2882" s="1300"/>
      <c r="S2882" s="1300"/>
    </row>
    <row r="2883" spans="1:19" s="1081" customFormat="1" hidden="1" outlineLevel="1">
      <c r="A2883" s="1072" t="str">
        <f t="shared" si="717"/>
        <v/>
      </c>
      <c r="B2883" s="1557" t="s">
        <v>25</v>
      </c>
      <c r="C2883" s="1291"/>
      <c r="D2883" s="1198">
        <f>VLOOKUP($B2883,dongia1,DG!$B$5,)</f>
        <v>0</v>
      </c>
      <c r="E2883" s="1243" t="str">
        <f>VLOOKUP($B2883,dongia1,DG!$C$5,)</f>
        <v>Co sừng 90 độ PVC 140</v>
      </c>
      <c r="F2883" s="1198" t="str">
        <f>VLOOKUP($B2883,dongia1,DG!$D$5,)</f>
        <v>cái</v>
      </c>
      <c r="G2883" s="1304">
        <f>G2880*0</f>
        <v>0</v>
      </c>
      <c r="H2883" s="1298">
        <f>VLOOKUP($B2883,dongia1,DG!$F$5,)</f>
        <v>138000</v>
      </c>
      <c r="I2883" s="1298"/>
      <c r="J2883" s="1298">
        <f>VLOOKUP($B2883,dongia1,DG!$G$5,)</f>
        <v>0</v>
      </c>
      <c r="K2883" s="1298">
        <f>VLOOKUP($B2883,dongia1,DG!$H$5,)</f>
        <v>0</v>
      </c>
      <c r="L2883" s="1298">
        <f t="shared" si="712"/>
        <v>0</v>
      </c>
      <c r="M2883" s="1298">
        <f t="shared" si="713"/>
        <v>0</v>
      </c>
      <c r="N2883" s="1298">
        <f t="shared" si="714"/>
        <v>0</v>
      </c>
      <c r="O2883" s="1298">
        <f t="shared" si="715"/>
        <v>0</v>
      </c>
      <c r="P2883" s="1299"/>
      <c r="Q2883" s="1300"/>
      <c r="R2883" s="1300"/>
      <c r="S2883" s="1300"/>
    </row>
    <row r="2884" spans="1:19" s="1081" customFormat="1" hidden="1" outlineLevel="1">
      <c r="A2884" s="1072" t="str">
        <f t="shared" si="717"/>
        <v/>
      </c>
      <c r="B2884" s="1295" t="s">
        <v>1424</v>
      </c>
      <c r="C2884" s="1302"/>
      <c r="D2884" s="1198">
        <f>VLOOKUP($B2884,dongia1,DG!$B$5,)</f>
        <v>0</v>
      </c>
      <c r="E2884" s="1243" t="str">
        <f>VLOOKUP($B2884,dongia1,DG!$C$5,)</f>
        <v>Cổ dê giữ ống STK D140 vào tường+Boulon+long đền+tắc ke sắt</v>
      </c>
      <c r="F2884" s="1198" t="str">
        <f>VLOOKUP($B2884,dongia1,DG!$D$5,)</f>
        <v>bộ</v>
      </c>
      <c r="G2884" s="1304">
        <f>G2880*2*0</f>
        <v>0</v>
      </c>
      <c r="H2884" s="1298">
        <f>VLOOKUP($B2884,dongia1,DG!$F$5,)</f>
        <v>40000</v>
      </c>
      <c r="I2884" s="1298"/>
      <c r="J2884" s="1298">
        <f>VLOOKUP($B2884,dongia1,DG!$G$5,)</f>
        <v>0</v>
      </c>
      <c r="K2884" s="1298">
        <f>VLOOKUP($B2884,dongia1,DG!$H$5,)</f>
        <v>0</v>
      </c>
      <c r="L2884" s="1298">
        <f t="shared" si="712"/>
        <v>0</v>
      </c>
      <c r="M2884" s="1298">
        <f t="shared" si="713"/>
        <v>0</v>
      </c>
      <c r="N2884" s="1298">
        <f t="shared" si="714"/>
        <v>0</v>
      </c>
      <c r="O2884" s="1298">
        <f t="shared" si="715"/>
        <v>0</v>
      </c>
      <c r="P2884" s="1299"/>
      <c r="Q2884" s="1300"/>
      <c r="R2884" s="1300"/>
      <c r="S2884" s="1300"/>
    </row>
    <row r="2885" spans="1:19" s="1081" customFormat="1" hidden="1" outlineLevel="1">
      <c r="A2885" s="1072" t="str">
        <f t="shared" si="717"/>
        <v/>
      </c>
      <c r="B2885" s="1068" t="s">
        <v>441</v>
      </c>
      <c r="C2885" s="1302"/>
      <c r="D2885" s="1198">
        <f>VLOOKUP($B2885,dongia1,DG!$B$5,)</f>
        <v>0</v>
      </c>
      <c r="E2885" s="1243" t="str">
        <f>VLOOKUP($B2885,dongia1,DG!$C$5,)</f>
        <v>Giá đỡ cáp ngầm (V63x6)</v>
      </c>
      <c r="F2885" s="1198" t="str">
        <f>VLOOKUP($B2885,dongia1,DG!$D$5,)</f>
        <v>bộ</v>
      </c>
      <c r="G2885" s="1304">
        <f>G2880*0</f>
        <v>0</v>
      </c>
      <c r="H2885" s="1298">
        <f>VLOOKUP($B2885,dongia1,DG!$F$5,)</f>
        <v>150000</v>
      </c>
      <c r="I2885" s="1298"/>
      <c r="J2885" s="1298">
        <f>VLOOKUP($B2885,dongia1,DG!$G$5,)</f>
        <v>0</v>
      </c>
      <c r="K2885" s="1298">
        <f>VLOOKUP($B2885,dongia1,DG!$H$5,)</f>
        <v>0</v>
      </c>
      <c r="L2885" s="1298">
        <f t="shared" si="712"/>
        <v>0</v>
      </c>
      <c r="M2885" s="1298">
        <f t="shared" si="713"/>
        <v>0</v>
      </c>
      <c r="N2885" s="1298">
        <f t="shared" si="714"/>
        <v>0</v>
      </c>
      <c r="O2885" s="1298">
        <f t="shared" si="715"/>
        <v>0</v>
      </c>
      <c r="P2885" s="1299"/>
      <c r="Q2885" s="1300"/>
      <c r="R2885" s="1300"/>
      <c r="S2885" s="1300"/>
    </row>
    <row r="2886" spans="1:19" s="1081" customFormat="1" hidden="1" outlineLevel="1">
      <c r="A2886" s="1072" t="str">
        <f t="shared" si="717"/>
        <v/>
      </c>
      <c r="B2886" s="1068" t="s">
        <v>764</v>
      </c>
      <c r="C2886" s="1302"/>
      <c r="D2886" s="1198">
        <f>VLOOKUP($B2886,dongia1,DG!$B$5,)</f>
        <v>0</v>
      </c>
      <c r="E2886" s="1243" t="str">
        <f>VLOOKUP($B2886,dongia1,DG!$C$5,)</f>
        <v>Giá đỡ cáp trung hạ thế</v>
      </c>
      <c r="F2886" s="1198" t="str">
        <f>VLOOKUP($B2886,dongia1,DG!$D$5,)</f>
        <v>bộ</v>
      </c>
      <c r="G2886" s="1304">
        <f>G2880</f>
        <v>0</v>
      </c>
      <c r="H2886" s="1298">
        <f>VLOOKUP($B2886,dongia1,DG!$F$5,)</f>
        <v>2739748</v>
      </c>
      <c r="I2886" s="1298"/>
      <c r="J2886" s="1298">
        <f>VLOOKUP($B2886,dongia1,DG!$G$5,)</f>
        <v>51183</v>
      </c>
      <c r="K2886" s="1298">
        <f>VLOOKUP($B2886,dongia1,DG!$H$5,)</f>
        <v>89000</v>
      </c>
      <c r="L2886" s="1298">
        <f t="shared" si="712"/>
        <v>0</v>
      </c>
      <c r="M2886" s="1298">
        <f t="shared" si="713"/>
        <v>0</v>
      </c>
      <c r="N2886" s="1298">
        <f t="shared" si="714"/>
        <v>0</v>
      </c>
      <c r="O2886" s="1298">
        <f t="shared" si="715"/>
        <v>0</v>
      </c>
      <c r="P2886" s="1299"/>
      <c r="Q2886" s="1300"/>
      <c r="R2886" s="1300"/>
      <c r="S2886" s="1300"/>
    </row>
    <row r="2887" spans="1:19" s="1081" customFormat="1" hidden="1" outlineLevel="1">
      <c r="A2887" s="1072" t="str">
        <f t="shared" si="717"/>
        <v/>
      </c>
      <c r="B2887" s="1295" t="s">
        <v>442</v>
      </c>
      <c r="C2887" s="1291"/>
      <c r="D2887" s="1198" t="str">
        <f>VLOOKUP($B2887,dongia1,DG!$B$5,)</f>
        <v>T4.8002</v>
      </c>
      <c r="E2887" s="1243" t="str">
        <f>VLOOKUP($B2887,dongia1,DG!$C$5,)</f>
        <v>Lắp gía đỡ cáp</v>
      </c>
      <c r="F2887" s="1198" t="str">
        <f>VLOOKUP($B2887,dongia1,DG!$D$5,)</f>
        <v>bộ</v>
      </c>
      <c r="G2887" s="1304">
        <f>G2885+G2886</f>
        <v>0</v>
      </c>
      <c r="H2887" s="1298">
        <f>VLOOKUP($B2887,dongia1,DG!$F$5,)</f>
        <v>0</v>
      </c>
      <c r="I2887" s="1298"/>
      <c r="J2887" s="1298">
        <f>VLOOKUP($B2887,dongia1,DG!$G$5,)</f>
        <v>28219.62</v>
      </c>
      <c r="K2887" s="1298">
        <f>VLOOKUP($B2887,dongia1,DG!$H$5,)</f>
        <v>0</v>
      </c>
      <c r="L2887" s="1298">
        <f t="shared" si="712"/>
        <v>0</v>
      </c>
      <c r="M2887" s="1298">
        <f t="shared" si="713"/>
        <v>0</v>
      </c>
      <c r="N2887" s="1298">
        <f t="shared" si="714"/>
        <v>0</v>
      </c>
      <c r="O2887" s="1298">
        <f t="shared" si="715"/>
        <v>0</v>
      </c>
      <c r="P2887" s="1299"/>
      <c r="Q2887" s="1300"/>
      <c r="R2887" s="1300"/>
      <c r="S2887" s="1300"/>
    </row>
    <row r="2888" spans="1:19" s="1081" customFormat="1" hidden="1" outlineLevel="1">
      <c r="A2888" s="1072" t="str">
        <f t="shared" si="717"/>
        <v/>
      </c>
      <c r="B2888" s="1295" t="s">
        <v>888</v>
      </c>
      <c r="C2888" s="1302"/>
      <c r="D2888" s="1198">
        <f>VLOOKUP($B2888,dongia1,DG!$B$5,)</f>
        <v>0</v>
      </c>
      <c r="E2888" s="1243" t="str">
        <f>VLOOKUP($B2888,dongia1,DG!$C$5,)</f>
        <v>Bảng tên trạm + bảng báo nguy hiểm</v>
      </c>
      <c r="F2888" s="1198" t="str">
        <f>VLOOKUP($B2888,dongia1,DG!$D$5,)</f>
        <v>cái</v>
      </c>
      <c r="G2888" s="1304">
        <f>G2880*0</f>
        <v>0</v>
      </c>
      <c r="H2888" s="1298">
        <f>VLOOKUP($B2888,dongia1,DG!$F$5,)</f>
        <v>300000</v>
      </c>
      <c r="I2888" s="1298"/>
      <c r="J2888" s="1298">
        <f>VLOOKUP($B2888,dongia1,DG!$G$5,)</f>
        <v>0</v>
      </c>
      <c r="K2888" s="1298">
        <f>VLOOKUP($B2888,dongia1,DG!$H$5,)</f>
        <v>0</v>
      </c>
      <c r="L2888" s="1298">
        <f t="shared" si="712"/>
        <v>0</v>
      </c>
      <c r="M2888" s="1298">
        <f t="shared" si="713"/>
        <v>0</v>
      </c>
      <c r="N2888" s="1298">
        <f t="shared" si="714"/>
        <v>0</v>
      </c>
      <c r="O2888" s="1298">
        <f t="shared" si="715"/>
        <v>0</v>
      </c>
      <c r="P2888" s="1299"/>
      <c r="Q2888" s="1300"/>
      <c r="R2888" s="1300"/>
      <c r="S2888" s="1300"/>
    </row>
    <row r="2889" spans="1:19" s="1081" customFormat="1" hidden="1" outlineLevel="1">
      <c r="A2889" s="1072" t="str">
        <f t="shared" si="717"/>
        <v/>
      </c>
      <c r="B2889" s="1295"/>
      <c r="C2889" s="1291">
        <f>IF(G2889&gt;0,C2880+1,C2880)</f>
        <v>0</v>
      </c>
      <c r="D2889" s="1292"/>
      <c r="E2889" s="1293" t="s">
        <v>3457</v>
      </c>
      <c r="F2889" s="1291" t="s">
        <v>2113</v>
      </c>
      <c r="G2889" s="1297">
        <f>G2793*0</f>
        <v>0</v>
      </c>
      <c r="H2889" s="1298"/>
      <c r="I2889" s="1298"/>
      <c r="J2889" s="1298"/>
      <c r="K2889" s="1298"/>
      <c r="L2889" s="1298"/>
      <c r="M2889" s="1298"/>
      <c r="N2889" s="1298"/>
      <c r="O2889" s="1298"/>
      <c r="P2889" s="1299"/>
      <c r="Q2889" s="1300"/>
      <c r="R2889" s="1300"/>
      <c r="S2889" s="1300"/>
    </row>
    <row r="2890" spans="1:19" s="1081" customFormat="1" ht="14.4" hidden="1" outlineLevel="1">
      <c r="A2890" s="1072" t="str">
        <f>A2889</f>
        <v/>
      </c>
      <c r="B2890" s="1295"/>
      <c r="C2890" s="1291"/>
      <c r="D2890" s="1292"/>
      <c r="E2890" s="1308" t="s">
        <v>3399</v>
      </c>
      <c r="F2890" s="1291"/>
      <c r="G2890" s="1297"/>
      <c r="H2890" s="1298"/>
      <c r="I2890" s="1298"/>
      <c r="J2890" s="1298"/>
      <c r="K2890" s="1298"/>
      <c r="L2890" s="1298"/>
      <c r="M2890" s="1298"/>
      <c r="N2890" s="1298"/>
      <c r="O2890" s="1298"/>
      <c r="P2890" s="1299"/>
      <c r="Q2890" s="1300"/>
      <c r="R2890" s="1300"/>
      <c r="S2890" s="1300"/>
    </row>
    <row r="2891" spans="1:19" s="1081" customFormat="1" hidden="1" outlineLevel="1">
      <c r="A2891" s="1072" t="str">
        <f>IF(G2891&lt;&gt;0,1,"")</f>
        <v/>
      </c>
      <c r="B2891" s="1068" t="s">
        <v>22</v>
      </c>
      <c r="C2891" s="1302"/>
      <c r="D2891" s="1198">
        <f>VLOOKUP($B2891,dongia1,DG!$B$5,)</f>
        <v>0</v>
      </c>
      <c r="E2891" s="1243" t="str">
        <f>VLOOKUP($B2891,dongia1,DG!$C$5,)&amp;": trong möông vaø leân MBA"</f>
        <v>Cáp 24kV C/XLPE/DSTA/PVC3x50: trong möông vaø leân MBA</v>
      </c>
      <c r="F2891" s="1198" t="str">
        <f>VLOOKUP($B2891,dongia1,DG!$D$5,)</f>
        <v>mét</v>
      </c>
      <c r="G2891" s="1304">
        <f>G2870+G2889*8</f>
        <v>0</v>
      </c>
      <c r="H2891" s="1298">
        <f>VLOOKUP($B2891,dongia1,DG!$F$5,)</f>
        <v>763500</v>
      </c>
      <c r="I2891" s="1298"/>
      <c r="J2891" s="1298">
        <f>VLOOKUP($B2891,dongia1,DG!$G$5,)</f>
        <v>0</v>
      </c>
      <c r="K2891" s="1298">
        <f>VLOOKUP($B2891,dongia1,DG!$H$5,)</f>
        <v>0</v>
      </c>
      <c r="L2891" s="1298">
        <f>H2891*G2891</f>
        <v>0</v>
      </c>
      <c r="M2891" s="1298">
        <f>I2891*G2891</f>
        <v>0</v>
      </c>
      <c r="N2891" s="1298">
        <f>J2891*G2891</f>
        <v>0</v>
      </c>
      <c r="O2891" s="1298">
        <f>K2891*G2891</f>
        <v>0</v>
      </c>
      <c r="P2891" s="1299"/>
      <c r="Q2891" s="1300"/>
      <c r="R2891" s="1300"/>
      <c r="S2891" s="1300"/>
    </row>
    <row r="2892" spans="1:19" s="1081" customFormat="1" hidden="1" outlineLevel="1">
      <c r="A2892" s="1072" t="str">
        <f>IF(G2892&lt;&gt;0,1,"")</f>
        <v/>
      </c>
      <c r="B2892" s="1068" t="s">
        <v>2071</v>
      </c>
      <c r="C2892" s="1302"/>
      <c r="D2892" s="1198">
        <f>VLOOKUP($B2892,dongia1,DG!$B$5,)</f>
        <v>0</v>
      </c>
      <c r="E2892" s="1243" t="str">
        <f>VLOOKUP($B2892,dongia1,DG!$C$5,)&amp;": trung tính"</f>
        <v>Cáp 24KV C/XLPE/PVC 50mm2: trung tính</v>
      </c>
      <c r="F2892" s="1198" t="str">
        <f>VLOOKUP($B2892,dongia1,DG!$D$5,)</f>
        <v>mét</v>
      </c>
      <c r="G2892" s="1304">
        <f>G2891</f>
        <v>0</v>
      </c>
      <c r="H2892" s="1298">
        <f>VLOOKUP($B2892,dongia1,DG!$F$5,)</f>
        <v>204900</v>
      </c>
      <c r="I2892" s="1298"/>
      <c r="J2892" s="1298">
        <f>VLOOKUP($B2892,dongia1,DG!$G$5,)</f>
        <v>0</v>
      </c>
      <c r="K2892" s="1298">
        <f>VLOOKUP($B2892,dongia1,DG!$H$5,)</f>
        <v>0</v>
      </c>
      <c r="L2892" s="1298">
        <f>H2892*G2892</f>
        <v>0</v>
      </c>
      <c r="M2892" s="1298">
        <f>I2892*G2892</f>
        <v>0</v>
      </c>
      <c r="N2892" s="1298">
        <f>J2892*G2892</f>
        <v>0</v>
      </c>
      <c r="O2892" s="1298">
        <f>K2892*G2892</f>
        <v>0</v>
      </c>
      <c r="P2892" s="1299"/>
      <c r="Q2892" s="1300"/>
      <c r="R2892" s="1300"/>
      <c r="S2892" s="1300"/>
    </row>
    <row r="2893" spans="1:19" s="1081" customFormat="1" hidden="1" outlineLevel="1">
      <c r="A2893" s="1072" t="str">
        <f t="shared" ref="A2893:A2899" si="718">IF(G2893&lt;&gt;0,1,"")</f>
        <v/>
      </c>
      <c r="B2893" s="1068" t="s">
        <v>2071</v>
      </c>
      <c r="C2893" s="1302"/>
      <c r="D2893" s="1198">
        <f>VLOOKUP($B2893,dongia1,DG!$B$5,)</f>
        <v>0</v>
      </c>
      <c r="E2893" s="1243" t="str">
        <f>VLOOKUP($B2893,dongia1,DG!$C$5,)&amp;": 0,5m/pha töø FCO xuoáng MBA"</f>
        <v>Cáp 24KV C/XLPE/PVC 50mm2: 0,5m/pha töø FCO xuoáng MBA</v>
      </c>
      <c r="F2893" s="1198" t="str">
        <f>VLOOKUP($B2893,dongia1,DG!$D$5,)</f>
        <v>mét</v>
      </c>
      <c r="G2893" s="1304">
        <f>G2889*0.5*3*0</f>
        <v>0</v>
      </c>
      <c r="H2893" s="1298">
        <f>VLOOKUP($B2893,dongia1,DG!$F$5,)</f>
        <v>204900</v>
      </c>
      <c r="I2893" s="1298"/>
      <c r="J2893" s="1298">
        <f>VLOOKUP($B2893,dongia1,DG!$G$5,)</f>
        <v>0</v>
      </c>
      <c r="K2893" s="1298">
        <f>VLOOKUP($B2893,dongia1,DG!$H$5,)</f>
        <v>0</v>
      </c>
      <c r="L2893" s="1298">
        <f>H2893*G2893</f>
        <v>0</v>
      </c>
      <c r="M2893" s="1298">
        <f>I2893*G2893</f>
        <v>0</v>
      </c>
      <c r="N2893" s="1298">
        <f>J2893*G2893</f>
        <v>0</v>
      </c>
      <c r="O2893" s="1298">
        <f>K2893*G2893</f>
        <v>0</v>
      </c>
      <c r="P2893" s="1299"/>
      <c r="Q2893" s="1300"/>
      <c r="R2893" s="1300"/>
      <c r="S2893" s="1300"/>
    </row>
    <row r="2894" spans="1:19" s="1081" customFormat="1" hidden="1" outlineLevel="1">
      <c r="A2894" s="1072" t="str">
        <f t="shared" si="718"/>
        <v/>
      </c>
      <c r="B2894" s="1068" t="s">
        <v>631</v>
      </c>
      <c r="C2894" s="1302"/>
      <c r="D2894" s="1198">
        <f>VLOOKUP($B2894,dongia1,DG!$B$5,)</f>
        <v>0</v>
      </c>
      <c r="E2894" s="1243" t="str">
        <f>VLOOKUP($B2894,dongia1,DG!$C$5,)</f>
        <v>Đầu cáp ngầm 24KV 3x50mm2 outdoor</v>
      </c>
      <c r="F2894" s="1198" t="str">
        <f>VLOOKUP($B2894,dongia1,DG!$D$5,)</f>
        <v>cái</v>
      </c>
      <c r="G2894" s="1304">
        <f>G2889</f>
        <v>0</v>
      </c>
      <c r="H2894" s="1298">
        <f>VLOOKUP($B2894,dongia1,DG!$F$5,)</f>
        <v>4022000</v>
      </c>
      <c r="I2894" s="1298"/>
      <c r="J2894" s="1298">
        <f>VLOOKUP($B2894,dongia1,DG!$G$5,)</f>
        <v>0</v>
      </c>
      <c r="K2894" s="1298">
        <f>VLOOKUP($B2894,dongia1,DG!$H$5,)</f>
        <v>0</v>
      </c>
      <c r="L2894" s="1298">
        <f t="shared" ref="L2894:L2899" si="719">H2894*G2894</f>
        <v>0</v>
      </c>
      <c r="M2894" s="1298">
        <f t="shared" ref="M2894:M2899" si="720">I2894*G2894</f>
        <v>0</v>
      </c>
      <c r="N2894" s="1298">
        <f t="shared" ref="N2894:N2899" si="721">J2894*G2894</f>
        <v>0</v>
      </c>
      <c r="O2894" s="1298">
        <f t="shared" ref="O2894:O2899" si="722">K2894*G2894</f>
        <v>0</v>
      </c>
      <c r="P2894" s="1299"/>
      <c r="Q2894" s="1300"/>
      <c r="R2894" s="1300"/>
      <c r="S2894" s="1300"/>
    </row>
    <row r="2895" spans="1:19" s="1081" customFormat="1" hidden="1" outlineLevel="1">
      <c r="A2895" s="1072" t="str">
        <f t="shared" si="718"/>
        <v/>
      </c>
      <c r="B2895" s="1068" t="s">
        <v>22</v>
      </c>
      <c r="C2895" s="1302"/>
      <c r="D2895" s="1198">
        <f>VLOOKUP($B2895,dongia1,DG!$B$5,)</f>
        <v>0</v>
      </c>
      <c r="E2895" s="1243" t="str">
        <f>VLOOKUP($B2895,dongia1,DG!$C$5,)&amp;": töø tuû LBS ñeán MBA"</f>
        <v>Cáp 24kV C/XLPE/DSTA/PVC3x50: töø tuû LBS ñeán MBA</v>
      </c>
      <c r="F2895" s="1198" t="str">
        <f>VLOOKUP($B2895,dongia1,DG!$D$5,)</f>
        <v>mét</v>
      </c>
      <c r="G2895" s="1304">
        <f>(1.2+2.4)*G2889*0</f>
        <v>0</v>
      </c>
      <c r="H2895" s="1298">
        <f>VLOOKUP($B2895,dongia1,DG!$F$5,)</f>
        <v>763500</v>
      </c>
      <c r="I2895" s="1298"/>
      <c r="J2895" s="1298">
        <f>VLOOKUP($B2895,dongia1,DG!$G$5,)</f>
        <v>0</v>
      </c>
      <c r="K2895" s="1298">
        <f>VLOOKUP($B2895,dongia1,DG!$H$5,)</f>
        <v>0</v>
      </c>
      <c r="L2895" s="1298">
        <f t="shared" si="719"/>
        <v>0</v>
      </c>
      <c r="M2895" s="1298">
        <f t="shared" si="720"/>
        <v>0</v>
      </c>
      <c r="N2895" s="1298">
        <f t="shared" si="721"/>
        <v>0</v>
      </c>
      <c r="O2895" s="1298">
        <f t="shared" si="722"/>
        <v>0</v>
      </c>
      <c r="P2895" s="1299"/>
      <c r="Q2895" s="1300"/>
      <c r="R2895" s="1300"/>
      <c r="S2895" s="1300"/>
    </row>
    <row r="2896" spans="1:19" s="1081" customFormat="1" hidden="1" outlineLevel="1">
      <c r="A2896" s="1072" t="str">
        <f t="shared" si="718"/>
        <v/>
      </c>
      <c r="B2896" s="1068" t="s">
        <v>2071</v>
      </c>
      <c r="C2896" s="1302"/>
      <c r="D2896" s="1198">
        <f>VLOOKUP($B2896,dongia1,DG!$B$5,)</f>
        <v>0</v>
      </c>
      <c r="E2896" s="1243" t="str">
        <f>VLOOKUP($B2896,dongia1,DG!$C$5,)&amp;": töø tuû LBS ñeán MBA"</f>
        <v>Cáp 24KV C/XLPE/PVC 50mm2: töø tuû LBS ñeán MBA</v>
      </c>
      <c r="F2896" s="1198" t="str">
        <f>VLOOKUP($B2896,dongia1,DG!$D$5,)</f>
        <v>mét</v>
      </c>
      <c r="G2896" s="1304">
        <f>G2889*1.2*0</f>
        <v>0</v>
      </c>
      <c r="H2896" s="1298">
        <f>VLOOKUP($B2896,dongia1,DG!$F$5,)</f>
        <v>204900</v>
      </c>
      <c r="I2896" s="1298"/>
      <c r="J2896" s="1298">
        <f>VLOOKUP($B2896,dongia1,DG!$G$5,)</f>
        <v>0</v>
      </c>
      <c r="K2896" s="1298">
        <f>VLOOKUP($B2896,dongia1,DG!$H$5,)</f>
        <v>0</v>
      </c>
      <c r="L2896" s="1298">
        <f t="shared" si="719"/>
        <v>0</v>
      </c>
      <c r="M2896" s="1298">
        <f t="shared" si="720"/>
        <v>0</v>
      </c>
      <c r="N2896" s="1298">
        <f t="shared" si="721"/>
        <v>0</v>
      </c>
      <c r="O2896" s="1298">
        <f t="shared" si="722"/>
        <v>0</v>
      </c>
      <c r="P2896" s="1299"/>
      <c r="Q2896" s="1300"/>
      <c r="R2896" s="1300"/>
      <c r="S2896" s="1300"/>
    </row>
    <row r="2897" spans="1:19" s="1081" customFormat="1" hidden="1" outlineLevel="1">
      <c r="A2897" s="1072" t="str">
        <f t="shared" si="718"/>
        <v/>
      </c>
      <c r="B2897" s="1068" t="s">
        <v>632</v>
      </c>
      <c r="C2897" s="1302"/>
      <c r="D2897" s="1198">
        <f>VLOOKUP($B2897,dongia1,DG!$B$5,)</f>
        <v>0</v>
      </c>
      <c r="E2897" s="1243" t="str">
        <f>VLOOKUP($B2897,dongia1,DG!$C$5,)</f>
        <v>Đầu cáp ngầm 24KV 3x50mm2 indoor</v>
      </c>
      <c r="F2897" s="1198" t="str">
        <f>VLOOKUP($B2897,dongia1,DG!$D$5,)</f>
        <v>cái</v>
      </c>
      <c r="G2897" s="1304">
        <f>G2889</f>
        <v>0</v>
      </c>
      <c r="H2897" s="1298">
        <f>VLOOKUP($B2897,dongia1,DG!$F$5,)</f>
        <v>5242230</v>
      </c>
      <c r="I2897" s="1298"/>
      <c r="J2897" s="1298">
        <f>VLOOKUP($B2897,dongia1,DG!$G$5,)</f>
        <v>0</v>
      </c>
      <c r="K2897" s="1298">
        <f>VLOOKUP($B2897,dongia1,DG!$H$5,)</f>
        <v>0</v>
      </c>
      <c r="L2897" s="1298">
        <f t="shared" si="719"/>
        <v>0</v>
      </c>
      <c r="M2897" s="1298">
        <f t="shared" si="720"/>
        <v>0</v>
      </c>
      <c r="N2897" s="1298">
        <f t="shared" si="721"/>
        <v>0</v>
      </c>
      <c r="O2897" s="1298">
        <f t="shared" si="722"/>
        <v>0</v>
      </c>
      <c r="P2897" s="1299"/>
      <c r="Q2897" s="1300"/>
      <c r="R2897" s="1300"/>
      <c r="S2897" s="1300"/>
    </row>
    <row r="2898" spans="1:19" s="1081" customFormat="1" hidden="1" outlineLevel="1">
      <c r="A2898" s="1072" t="str">
        <f t="shared" si="718"/>
        <v/>
      </c>
      <c r="B2898" s="1068" t="s">
        <v>1494</v>
      </c>
      <c r="C2898" s="1302"/>
      <c r="D2898" s="1198" t="str">
        <f>VLOOKUP($B2898,dongia1,DG!$B$5,)</f>
        <v>D4.3312</v>
      </c>
      <c r="E2898" s="1243" t="str">
        <f>VLOOKUP($B2898,dongia1,DG!$C$5,)</f>
        <v>Lắp đầu cáp trung thế 3x50mm2, 70mm2</v>
      </c>
      <c r="F2898" s="1198" t="str">
        <f>VLOOKUP($B2898,dongia1,DG!$D$5,)</f>
        <v>cái</v>
      </c>
      <c r="G2898" s="1304">
        <f>G2894+G2897</f>
        <v>0</v>
      </c>
      <c r="H2898" s="1298">
        <f>VLOOKUP($B2898,dongia1,DG!$F$5,)</f>
        <v>11340</v>
      </c>
      <c r="I2898" s="1298"/>
      <c r="J2898" s="1298">
        <f>VLOOKUP($B2898,dongia1,DG!$G$5,)</f>
        <v>621381.64999999991</v>
      </c>
      <c r="K2898" s="1298">
        <f>VLOOKUP($B2898,dongia1,DG!$H$5,)</f>
        <v>0</v>
      </c>
      <c r="L2898" s="1298">
        <f t="shared" si="719"/>
        <v>0</v>
      </c>
      <c r="M2898" s="1298">
        <f t="shared" si="720"/>
        <v>0</v>
      </c>
      <c r="N2898" s="1298">
        <f t="shared" si="721"/>
        <v>0</v>
      </c>
      <c r="O2898" s="1298">
        <f t="shared" si="722"/>
        <v>0</v>
      </c>
      <c r="P2898" s="1299"/>
      <c r="Q2898" s="1300"/>
      <c r="R2898" s="1300"/>
      <c r="S2898" s="1300"/>
    </row>
    <row r="2899" spans="1:19" s="1081" customFormat="1" hidden="1" outlineLevel="1">
      <c r="A2899" s="1072" t="str">
        <f t="shared" si="718"/>
        <v/>
      </c>
      <c r="B2899" s="1068" t="s">
        <v>1842</v>
      </c>
      <c r="C2899" s="1302"/>
      <c r="D2899" s="1198" t="str">
        <f>VLOOKUP($B2899,dongia1,DG!$B$5,)</f>
        <v>03.1405</v>
      </c>
      <c r="E2899" s="1243" t="str">
        <f>VLOOKUP($B2899,dongia1,DG!$C$5,)</f>
        <v>Lắp cáp trong ống bảo vệ trong TBA loại &lt;=6kg</v>
      </c>
      <c r="F2899" s="1198" t="str">
        <f>VLOOKUP($B2899,dongia1,DG!$D$5,)</f>
        <v>mét</v>
      </c>
      <c r="G2899" s="1304">
        <f>G2891+G2895</f>
        <v>0</v>
      </c>
      <c r="H2899" s="1298">
        <f>VLOOKUP($B2899,dongia1,DG!$F$5,)</f>
        <v>546.34</v>
      </c>
      <c r="I2899" s="1298"/>
      <c r="J2899" s="1298">
        <f>VLOOKUP($B2899,dongia1,DG!$G$5,)</f>
        <v>2166</v>
      </c>
      <c r="K2899" s="1298">
        <f>VLOOKUP($B2899,dongia1,DG!$H$5,)</f>
        <v>0</v>
      </c>
      <c r="L2899" s="1298">
        <f t="shared" si="719"/>
        <v>0</v>
      </c>
      <c r="M2899" s="1298">
        <f t="shared" si="720"/>
        <v>0</v>
      </c>
      <c r="N2899" s="1298">
        <f t="shared" si="721"/>
        <v>0</v>
      </c>
      <c r="O2899" s="1298">
        <f t="shared" si="722"/>
        <v>0</v>
      </c>
      <c r="P2899" s="1299"/>
      <c r="Q2899" s="1300"/>
      <c r="R2899" s="1300"/>
      <c r="S2899" s="1300"/>
    </row>
    <row r="2900" spans="1:19" s="1081" customFormat="1" hidden="1" outlineLevel="1">
      <c r="A2900" s="1072" t="str">
        <f>IF(G2900&lt;&gt;0,1,"")</f>
        <v/>
      </c>
      <c r="B2900" s="1068" t="s">
        <v>1839</v>
      </c>
      <c r="C2900" s="1302"/>
      <c r="D2900" s="1198" t="str">
        <f>VLOOKUP($B2900,dongia1,DG!$B$5,)</f>
        <v>03.1402</v>
      </c>
      <c r="E2900" s="1243" t="str">
        <f>VLOOKUP($B2900,dongia1,DG!$C$5,)</f>
        <v>Lắp cáp trong ống bảo vệ trong TBA loại &lt;=2kg</v>
      </c>
      <c r="F2900" s="1198" t="str">
        <f>VLOOKUP($B2900,dongia1,DG!$D$5,)</f>
        <v>mét</v>
      </c>
      <c r="G2900" s="1304">
        <f>G2892+G2896</f>
        <v>0</v>
      </c>
      <c r="H2900" s="1298">
        <f>VLOOKUP($B2900,dongia1,DG!$F$5,)</f>
        <v>460.75</v>
      </c>
      <c r="I2900" s="1298"/>
      <c r="J2900" s="1298">
        <f>VLOOKUP($B2900,dongia1,DG!$G$5,)</f>
        <v>1020</v>
      </c>
      <c r="K2900" s="1298">
        <f>VLOOKUP($B2900,dongia1,DG!$H$5,)</f>
        <v>0</v>
      </c>
      <c r="L2900" s="1298">
        <f>H2900*G2900</f>
        <v>0</v>
      </c>
      <c r="M2900" s="1298">
        <f>I2900*G2900</f>
        <v>0</v>
      </c>
      <c r="N2900" s="1298">
        <f>J2900*G2900</f>
        <v>0</v>
      </c>
      <c r="O2900" s="1298">
        <f>K2900*G2900</f>
        <v>0</v>
      </c>
      <c r="P2900" s="1299"/>
      <c r="Q2900" s="1300"/>
      <c r="R2900" s="1300"/>
      <c r="S2900" s="1300"/>
    </row>
    <row r="2901" spans="1:19" s="1081" customFormat="1" hidden="1" outlineLevel="1">
      <c r="A2901" s="1072" t="str">
        <f>IF(G2901&lt;&gt;0,1,"")</f>
        <v/>
      </c>
      <c r="B2901" s="1068" t="s">
        <v>224</v>
      </c>
      <c r="C2901" s="1302"/>
      <c r="D2901" s="1198" t="str">
        <f>VLOOKUP($B2901,dongia1,DG!$B$5,)</f>
        <v>T4.4201</v>
      </c>
      <c r="E2901" s="1243" t="str">
        <f>VLOOKUP($B2901,dongia1,DG!$C$5,)</f>
        <v>Lắp cáp đồng xuống thiết bị D ≤ 95mm2</v>
      </c>
      <c r="F2901" s="1198" t="str">
        <f>VLOOKUP($B2901,dongia1,DG!$D$5,)</f>
        <v>m</v>
      </c>
      <c r="G2901" s="1304">
        <f>G2893</f>
        <v>0</v>
      </c>
      <c r="H2901" s="1298">
        <f>VLOOKUP($B2901,dongia1,DG!$F$5,)</f>
        <v>0</v>
      </c>
      <c r="I2901" s="1298"/>
      <c r="J2901" s="1298">
        <f>VLOOKUP($B2901,dongia1,DG!$G$5,)</f>
        <v>13915</v>
      </c>
      <c r="K2901" s="1298">
        <f>VLOOKUP($B2901,dongia1,DG!$H$5,)</f>
        <v>0</v>
      </c>
      <c r="L2901" s="1298">
        <f>H2901*G2901</f>
        <v>0</v>
      </c>
      <c r="M2901" s="1298">
        <f>I2901*G2901</f>
        <v>0</v>
      </c>
      <c r="N2901" s="1298">
        <f>J2901*G2901</f>
        <v>0</v>
      </c>
      <c r="O2901" s="1298">
        <f>K2901*G2901</f>
        <v>0</v>
      </c>
      <c r="P2901" s="1299"/>
      <c r="Q2901" s="1300"/>
      <c r="R2901" s="1300"/>
      <c r="S2901" s="1300"/>
    </row>
    <row r="2902" spans="1:19" s="1081" customFormat="1" hidden="1" outlineLevel="1">
      <c r="A2902" s="1072" t="str">
        <f>IF(G2902&lt;&gt;0,1,"")</f>
        <v/>
      </c>
      <c r="B2902" s="1068" t="s">
        <v>627</v>
      </c>
      <c r="C2902" s="1302"/>
      <c r="D2902" s="1198">
        <f>VLOOKUP($B2902,dongia1,DG!$B$5,)</f>
        <v>0</v>
      </c>
      <c r="E2902" s="1243" t="str">
        <f>VLOOKUP($B2902,dongia1,DG!$C$5,)</f>
        <v>Dây rút cáp</v>
      </c>
      <c r="F2902" s="1198" t="str">
        <f>VLOOKUP($B2902,dongia1,DG!$D$5,)</f>
        <v>bọc</v>
      </c>
      <c r="G2902" s="1304">
        <f>G2889*2</f>
        <v>0</v>
      </c>
      <c r="H2902" s="1298">
        <f>VLOOKUP($B2902,dongia1,DG!$F$5,)</f>
        <v>15000</v>
      </c>
      <c r="I2902" s="1298"/>
      <c r="J2902" s="1298">
        <f>VLOOKUP($B2902,dongia1,DG!$G$5,)</f>
        <v>0</v>
      </c>
      <c r="K2902" s="1298">
        <f>VLOOKUP($B2902,dongia1,DG!$H$5,)</f>
        <v>0</v>
      </c>
      <c r="L2902" s="1298">
        <f>H2902*G2902</f>
        <v>0</v>
      </c>
      <c r="M2902" s="1298">
        <f>I2902*G2902</f>
        <v>0</v>
      </c>
      <c r="N2902" s="1298">
        <f>J2902*G2902</f>
        <v>0</v>
      </c>
      <c r="O2902" s="1298">
        <f>K2902*G2902</f>
        <v>0</v>
      </c>
      <c r="P2902" s="1299"/>
      <c r="Q2902" s="1300"/>
      <c r="R2902" s="1300"/>
      <c r="S2902" s="1300"/>
    </row>
    <row r="2903" spans="1:19" s="1081" customFormat="1" hidden="1" outlineLevel="1">
      <c r="A2903" s="1072" t="str">
        <f>IF(G2903&lt;&gt;0,1,"")</f>
        <v/>
      </c>
      <c r="B2903" s="1295"/>
      <c r="C2903" s="1291">
        <f>IF(G2903&gt;0,C2889+1,C2889)</f>
        <v>0</v>
      </c>
      <c r="D2903" s="1292"/>
      <c r="E2903" s="1293" t="s">
        <v>3449</v>
      </c>
      <c r="F2903" s="1291" t="s">
        <v>2113</v>
      </c>
      <c r="G2903" s="1297">
        <f>G2793</f>
        <v>0</v>
      </c>
      <c r="H2903" s="1298"/>
      <c r="I2903" s="1298"/>
      <c r="J2903" s="1298"/>
      <c r="K2903" s="1298"/>
      <c r="L2903" s="1298"/>
      <c r="M2903" s="1298"/>
      <c r="N2903" s="1298"/>
      <c r="O2903" s="1298"/>
      <c r="P2903" s="1437"/>
      <c r="Q2903" s="1300"/>
      <c r="R2903" s="1300"/>
      <c r="S2903" s="1300"/>
    </row>
    <row r="2904" spans="1:19" s="1081" customFormat="1" ht="14.4" hidden="1" outlineLevel="1">
      <c r="A2904" s="1072" t="str">
        <f>A2903</f>
        <v/>
      </c>
      <c r="B2904" s="1295"/>
      <c r="C2904" s="1291"/>
      <c r="D2904" s="1292"/>
      <c r="E2904" s="1308" t="s">
        <v>3399</v>
      </c>
      <c r="F2904" s="1291"/>
      <c r="G2904" s="1297"/>
      <c r="H2904" s="1298"/>
      <c r="I2904" s="1298"/>
      <c r="J2904" s="1298"/>
      <c r="K2904" s="1298"/>
      <c r="L2904" s="1298"/>
      <c r="M2904" s="1298"/>
      <c r="N2904" s="1298"/>
      <c r="O2904" s="1298"/>
      <c r="P2904" s="1437"/>
      <c r="Q2904" s="1300"/>
      <c r="R2904" s="1300"/>
      <c r="S2904" s="1300"/>
    </row>
    <row r="2905" spans="1:19" s="1081" customFormat="1" hidden="1" outlineLevel="1">
      <c r="A2905" s="1072" t="str">
        <f>IF(G2905&lt;&gt;0,1,"")</f>
        <v/>
      </c>
      <c r="B2905" s="1068" t="s">
        <v>648</v>
      </c>
      <c r="C2905" s="1302"/>
      <c r="D2905" s="1198">
        <f>VLOOKUP($B2905,dongia1,DG!$B$5,)</f>
        <v>0</v>
      </c>
      <c r="E2905" s="1243" t="str">
        <f>VLOOKUP($B2905,dongia1,DG!$C$5,)</f>
        <v>Cáp 24KV C/XLPE/PVC- 25mm2</v>
      </c>
      <c r="F2905" s="1198" t="str">
        <f>VLOOKUP($B2905,dongia1,DG!$D$5,)</f>
        <v>mét</v>
      </c>
      <c r="G2905" s="1303">
        <f>G2903*(9)*3</f>
        <v>0</v>
      </c>
      <c r="H2905" s="1298">
        <f>VLOOKUP($B2905,dongia1,DG!$F$5,)</f>
        <v>50996</v>
      </c>
      <c r="I2905" s="1298"/>
      <c r="J2905" s="1298">
        <f>VLOOKUP($B2905,dongia1,DG!$G$5,)</f>
        <v>0</v>
      </c>
      <c r="K2905" s="1298">
        <f>VLOOKUP($B2905,dongia1,DG!$H$5,)</f>
        <v>0</v>
      </c>
      <c r="L2905" s="1298">
        <f t="shared" ref="L2905:L2912" si="723">H2905*G2905</f>
        <v>0</v>
      </c>
      <c r="M2905" s="1298">
        <f>I2905*G2905</f>
        <v>0</v>
      </c>
      <c r="N2905" s="1298">
        <f t="shared" ref="N2905:N2912" si="724">J2905*G2905</f>
        <v>0</v>
      </c>
      <c r="O2905" s="1298">
        <f t="shared" ref="O2905:O2912" si="725">K2905*G2905</f>
        <v>0</v>
      </c>
      <c r="P2905" s="1437"/>
      <c r="Q2905" s="1300"/>
      <c r="R2905" s="1300"/>
      <c r="S2905" s="1300"/>
    </row>
    <row r="2906" spans="1:19" s="1081" customFormat="1" hidden="1" outlineLevel="1">
      <c r="A2906" s="1072" t="str">
        <f>IF(G2906&lt;&gt;0,1,"")</f>
        <v/>
      </c>
      <c r="B2906" s="1421" t="s">
        <v>2078</v>
      </c>
      <c r="C2906" s="1302"/>
      <c r="D2906" s="1198">
        <f>VLOOKUP($B2906,dongia1,DG!$B$5,)</f>
        <v>0</v>
      </c>
      <c r="E2906" s="1243" t="str">
        <f>VLOOKUP($B2906,dongia1,DG!$C$5,)</f>
        <v>Bass LL bắt FCO và LA</v>
      </c>
      <c r="F2906" s="1198" t="str">
        <f>VLOOKUP($B2906,dongia1,DG!$D$5,)</f>
        <v>bộ</v>
      </c>
      <c r="G2906" s="1303">
        <f>G2903*3</f>
        <v>0</v>
      </c>
      <c r="H2906" s="1298">
        <f>VLOOKUP($B2906,dongia1,DG!$F$5,)</f>
        <v>65000</v>
      </c>
      <c r="I2906" s="1298"/>
      <c r="J2906" s="1298">
        <f>VLOOKUP($B2906,dongia1,DG!$G$5,)</f>
        <v>0</v>
      </c>
      <c r="K2906" s="1298">
        <f>VLOOKUP($B2906,dongia1,DG!$H$5,)</f>
        <v>0</v>
      </c>
      <c r="L2906" s="1298">
        <f t="shared" si="723"/>
        <v>0</v>
      </c>
      <c r="M2906" s="1298">
        <v>0</v>
      </c>
      <c r="N2906" s="1298">
        <f t="shared" si="724"/>
        <v>0</v>
      </c>
      <c r="O2906" s="1298">
        <f t="shared" si="725"/>
        <v>0</v>
      </c>
      <c r="P2906" s="1299"/>
      <c r="Q2906" s="1300"/>
      <c r="R2906" s="1300"/>
      <c r="S2906" s="1300"/>
    </row>
    <row r="2907" spans="1:19" s="1081" customFormat="1" hidden="1" outlineLevel="1">
      <c r="A2907" s="1072" t="str">
        <f t="shared" ref="A2907:A2912" si="726">IF(G2907&lt;&gt;0,1,"")</f>
        <v/>
      </c>
      <c r="B2907" s="1421" t="s">
        <v>2028</v>
      </c>
      <c r="C2907" s="1302"/>
      <c r="D2907" s="1198">
        <f>VLOOKUP($B2907,dongia1,DG!$B$5,)</f>
        <v>0</v>
      </c>
      <c r="E2907" s="1243" t="str">
        <f>VLOOKUP($B2907,dongia1,DG!$C$5,)</f>
        <v>Kẹp quai 2/0</v>
      </c>
      <c r="F2907" s="1198" t="str">
        <f>VLOOKUP($B2907,dongia1,DG!$D$5,)</f>
        <v>cái</v>
      </c>
      <c r="G2907" s="1303">
        <f>G2903*3</f>
        <v>0</v>
      </c>
      <c r="H2907" s="1298">
        <f>VLOOKUP($B2907,dongia1,DG!$F$5,)</f>
        <v>46000</v>
      </c>
      <c r="I2907" s="1298"/>
      <c r="J2907" s="1298">
        <f>VLOOKUP($B2907,dongia1,DG!$G$5,)</f>
        <v>0</v>
      </c>
      <c r="K2907" s="1298">
        <f>VLOOKUP($B2907,dongia1,DG!$H$5,)</f>
        <v>0</v>
      </c>
      <c r="L2907" s="1298">
        <f t="shared" si="723"/>
        <v>0</v>
      </c>
      <c r="M2907" s="1298">
        <f t="shared" ref="M2907:M2912" si="727">I2907*G2907</f>
        <v>0</v>
      </c>
      <c r="N2907" s="1298">
        <f t="shared" si="724"/>
        <v>0</v>
      </c>
      <c r="O2907" s="1298">
        <f t="shared" si="725"/>
        <v>0</v>
      </c>
      <c r="P2907" s="1437"/>
      <c r="Q2907" s="1300"/>
      <c r="R2907" s="1300"/>
      <c r="S2907" s="1300"/>
    </row>
    <row r="2908" spans="1:19" s="1081" customFormat="1" hidden="1" outlineLevel="1">
      <c r="A2908" s="1072" t="str">
        <f t="shared" si="726"/>
        <v/>
      </c>
      <c r="B2908" s="1421" t="s">
        <v>2026</v>
      </c>
      <c r="C2908" s="1302"/>
      <c r="D2908" s="1198">
        <f>VLOOKUP($B2908,dongia1,DG!$B$5,)</f>
        <v>0</v>
      </c>
      <c r="E2908" s="1243" t="str">
        <f>VLOOKUP($B2908,dongia1,DG!$C$5,)&amp;": "</f>
        <v xml:space="preserve">Kẹp hotline 2/0: </v>
      </c>
      <c r="F2908" s="1198" t="str">
        <f>VLOOKUP($B2908,dongia1,DG!$D$5,)</f>
        <v>cái</v>
      </c>
      <c r="G2908" s="1303">
        <f>G2907</f>
        <v>0</v>
      </c>
      <c r="H2908" s="1298">
        <f>VLOOKUP($B2908,dongia1,DG!$F$5,)</f>
        <v>77000</v>
      </c>
      <c r="I2908" s="1298"/>
      <c r="J2908" s="1298">
        <f>VLOOKUP($B2908,dongia1,DG!$G$5,)</f>
        <v>0</v>
      </c>
      <c r="K2908" s="1298">
        <f>VLOOKUP($B2908,dongia1,DG!$H$5,)</f>
        <v>0</v>
      </c>
      <c r="L2908" s="1298">
        <f t="shared" si="723"/>
        <v>0</v>
      </c>
      <c r="M2908" s="1298">
        <f t="shared" si="727"/>
        <v>0</v>
      </c>
      <c r="N2908" s="1298">
        <f t="shared" si="724"/>
        <v>0</v>
      </c>
      <c r="O2908" s="1298">
        <f t="shared" si="725"/>
        <v>0</v>
      </c>
      <c r="P2908" s="1437"/>
      <c r="Q2908" s="1300"/>
      <c r="R2908" s="1300"/>
      <c r="S2908" s="1300"/>
    </row>
    <row r="2909" spans="1:19" s="1081" customFormat="1" hidden="1" outlineLevel="1">
      <c r="A2909" s="1072" t="str">
        <f t="shared" si="726"/>
        <v/>
      </c>
      <c r="B2909" s="1068" t="s">
        <v>647</v>
      </c>
      <c r="C2909" s="1437"/>
      <c r="D2909" s="1198">
        <f>VLOOKUP($B2909,dongia1,DG!$B$5,)</f>
        <v>0</v>
      </c>
      <c r="E2909" s="1243" t="str">
        <f>VLOOKUP($B2909,dongia1,DG!$C$5,)</f>
        <v xml:space="preserve">Sứ đứng 24KV </v>
      </c>
      <c r="F2909" s="1198" t="str">
        <f>VLOOKUP($B2909,dongia1,DG!$D$5,)</f>
        <v>cái</v>
      </c>
      <c r="G2909" s="1303">
        <f>G2903*6</f>
        <v>0</v>
      </c>
      <c r="H2909" s="1298">
        <f>VLOOKUP($B2909,dongia1,DG!$F$5,)</f>
        <v>205000</v>
      </c>
      <c r="I2909" s="1298"/>
      <c r="J2909" s="1298">
        <f>VLOOKUP($B2909,dongia1,DG!$G$5,)</f>
        <v>0</v>
      </c>
      <c r="K2909" s="1298">
        <f>VLOOKUP($B2909,dongia1,DG!$H$5,)</f>
        <v>0</v>
      </c>
      <c r="L2909" s="1298">
        <f t="shared" si="723"/>
        <v>0</v>
      </c>
      <c r="M2909" s="1298">
        <f t="shared" si="727"/>
        <v>0</v>
      </c>
      <c r="N2909" s="1298">
        <f t="shared" si="724"/>
        <v>0</v>
      </c>
      <c r="O2909" s="1298">
        <f t="shared" si="725"/>
        <v>0</v>
      </c>
      <c r="P2909" s="1437"/>
      <c r="Q2909" s="1300"/>
      <c r="R2909" s="1300"/>
      <c r="S2909" s="1300"/>
    </row>
    <row r="2910" spans="1:19" s="1081" customFormat="1" hidden="1" outlineLevel="1">
      <c r="A2910" s="1072" t="str">
        <f t="shared" si="726"/>
        <v/>
      </c>
      <c r="B2910" s="1068" t="s">
        <v>414</v>
      </c>
      <c r="C2910" s="1302"/>
      <c r="D2910" s="1198">
        <f>VLOOKUP($B2910,dongia1,DG!$B$5,)</f>
        <v>0</v>
      </c>
      <c r="E2910" s="1243" t="str">
        <f>VLOOKUP($B2910,dongia1,DG!$C$5,)</f>
        <v>Chân sứ đứng D20</v>
      </c>
      <c r="F2910" s="1198" t="str">
        <f>VLOOKUP($B2910,dongia1,DG!$D$5,)</f>
        <v>cái</v>
      </c>
      <c r="G2910" s="1303">
        <f>G2909</f>
        <v>0</v>
      </c>
      <c r="H2910" s="1298">
        <f>VLOOKUP($B2910,dongia1,DG!$F$5,)</f>
        <v>65000</v>
      </c>
      <c r="I2910" s="1298"/>
      <c r="J2910" s="1298">
        <f>VLOOKUP($B2910,dongia1,DG!$G$5,)</f>
        <v>0</v>
      </c>
      <c r="K2910" s="1298">
        <f>VLOOKUP($B2910,dongia1,DG!$H$5,)</f>
        <v>0</v>
      </c>
      <c r="L2910" s="1298">
        <f t="shared" si="723"/>
        <v>0</v>
      </c>
      <c r="M2910" s="1298">
        <f t="shared" si="727"/>
        <v>0</v>
      </c>
      <c r="N2910" s="1298">
        <f t="shared" si="724"/>
        <v>0</v>
      </c>
      <c r="O2910" s="1298">
        <f t="shared" si="725"/>
        <v>0</v>
      </c>
      <c r="P2910" s="1437"/>
      <c r="Q2910" s="1300"/>
      <c r="R2910" s="1300"/>
      <c r="S2910" s="1300"/>
    </row>
    <row r="2911" spans="1:19" s="1081" customFormat="1" hidden="1" outlineLevel="1">
      <c r="A2911" s="1072" t="str">
        <f t="shared" si="726"/>
        <v/>
      </c>
      <c r="B2911" s="1068" t="s">
        <v>742</v>
      </c>
      <c r="C2911" s="1302"/>
      <c r="D2911" s="1198" t="str">
        <f>VLOOKUP($B2911,dongia1,DG!$B$5,)</f>
        <v>D3.1115</v>
      </c>
      <c r="E2911" s="1243" t="str">
        <f>VLOOKUP($B2911,dongia1,DG!$C$5,)</f>
        <v>Lắp sứ đứng 24KV</v>
      </c>
      <c r="F2911" s="1198" t="str">
        <f>VLOOKUP($B2911,dongia1,DG!$D$5,)</f>
        <v>bộ</v>
      </c>
      <c r="G2911" s="1303">
        <f>G2910</f>
        <v>0</v>
      </c>
      <c r="H2911" s="1298"/>
      <c r="I2911" s="1298"/>
      <c r="J2911" s="1298">
        <f>VLOOKUP($B2911,dongia1,DG!$G$5,)</f>
        <v>58277.49</v>
      </c>
      <c r="K2911" s="1298"/>
      <c r="L2911" s="1298">
        <f t="shared" si="723"/>
        <v>0</v>
      </c>
      <c r="M2911" s="1298">
        <f t="shared" si="727"/>
        <v>0</v>
      </c>
      <c r="N2911" s="1298">
        <f t="shared" si="724"/>
        <v>0</v>
      </c>
      <c r="O2911" s="1298">
        <f t="shared" si="725"/>
        <v>0</v>
      </c>
      <c r="P2911" s="1437"/>
      <c r="Q2911" s="1300"/>
      <c r="R2911" s="1300"/>
      <c r="S2911" s="1300"/>
    </row>
    <row r="2912" spans="1:19" s="1081" customFormat="1" hidden="1" outlineLevel="1">
      <c r="A2912" s="1072" t="str">
        <f t="shared" si="726"/>
        <v/>
      </c>
      <c r="B2912" s="1068" t="s">
        <v>224</v>
      </c>
      <c r="C2912" s="1302"/>
      <c r="D2912" s="1198" t="str">
        <f>VLOOKUP($B2912,dongia1,DG!$B$5,)</f>
        <v>T4.4201</v>
      </c>
      <c r="E2912" s="1243" t="str">
        <f>VLOOKUP($B2912,dongia1,DG!$C$5,)</f>
        <v>Lắp cáp đồng xuống thiết bị D ≤ 95mm2</v>
      </c>
      <c r="F2912" s="1198" t="str">
        <f>VLOOKUP($B2912,dongia1,DG!$D$5,)</f>
        <v>m</v>
      </c>
      <c r="G2912" s="1303">
        <f>G2905</f>
        <v>0</v>
      </c>
      <c r="H2912" s="1298"/>
      <c r="I2912" s="1298"/>
      <c r="J2912" s="1298">
        <f>VLOOKUP($B2912,dongia1,DG!$G$5,)</f>
        <v>13915</v>
      </c>
      <c r="K2912" s="1298"/>
      <c r="L2912" s="1298">
        <f t="shared" si="723"/>
        <v>0</v>
      </c>
      <c r="M2912" s="1298">
        <f t="shared" si="727"/>
        <v>0</v>
      </c>
      <c r="N2912" s="1298">
        <f t="shared" si="724"/>
        <v>0</v>
      </c>
      <c r="O2912" s="1298">
        <f t="shared" si="725"/>
        <v>0</v>
      </c>
      <c r="P2912" s="1437"/>
      <c r="Q2912" s="1300"/>
      <c r="R2912" s="1300"/>
      <c r="S2912" s="1300"/>
    </row>
    <row r="2913" spans="1:19" s="1081" customFormat="1" hidden="1" outlineLevel="1">
      <c r="A2913" s="1072" t="str">
        <f>IF(G2913&lt;&gt;0,1,"")</f>
        <v/>
      </c>
      <c r="B2913" s="1068"/>
      <c r="C2913" s="1291">
        <f>IF(G2913&gt;0,C2903+1,C2903)</f>
        <v>0</v>
      </c>
      <c r="D2913" s="1292"/>
      <c r="E2913" s="1293" t="s">
        <v>3448</v>
      </c>
      <c r="F2913" s="1291" t="s">
        <v>2113</v>
      </c>
      <c r="G2913" s="1303">
        <f>G2865</f>
        <v>0</v>
      </c>
      <c r="H2913" s="1298"/>
      <c r="I2913" s="1298"/>
      <c r="J2913" s="1298"/>
      <c r="K2913" s="1298"/>
      <c r="L2913" s="1298"/>
      <c r="M2913" s="1298"/>
      <c r="N2913" s="1298"/>
      <c r="O2913" s="1298"/>
      <c r="P2913" s="1437"/>
      <c r="Q2913" s="1300"/>
      <c r="R2913" s="1300"/>
      <c r="S2913" s="1300"/>
    </row>
    <row r="2914" spans="1:19" s="1081" customFormat="1" ht="14.4" hidden="1" outlineLevel="1">
      <c r="A2914" s="1072" t="str">
        <f>A2913</f>
        <v/>
      </c>
      <c r="B2914" s="1068"/>
      <c r="C2914" s="1291"/>
      <c r="D2914" s="1292"/>
      <c r="E2914" s="1308" t="s">
        <v>3399</v>
      </c>
      <c r="F2914" s="1291"/>
      <c r="G2914" s="1303"/>
      <c r="H2914" s="1298"/>
      <c r="I2914" s="1298"/>
      <c r="J2914" s="1298"/>
      <c r="K2914" s="1298"/>
      <c r="L2914" s="1298"/>
      <c r="M2914" s="1298"/>
      <c r="N2914" s="1298"/>
      <c r="O2914" s="1298"/>
      <c r="P2914" s="1437"/>
      <c r="Q2914" s="1300"/>
      <c r="R2914" s="1300"/>
      <c r="S2914" s="1300"/>
    </row>
    <row r="2915" spans="1:19" s="1081" customFormat="1" hidden="1" outlineLevel="1">
      <c r="A2915" s="1072" t="str">
        <f>IF(G2915&lt;&gt;0,1,"")</f>
        <v/>
      </c>
      <c r="B2915" s="1295" t="s">
        <v>797</v>
      </c>
      <c r="C2915" s="1302"/>
      <c r="D2915" s="1198">
        <f>VLOOKUP($B2915,dongia1,DG!$B$5,)</f>
        <v>0</v>
      </c>
      <c r="E2915" s="1243" t="str">
        <f>VLOOKUP($B2915,dongia1,DG!$C$5,)</f>
        <v>Cáp đồng bọc CV240</v>
      </c>
      <c r="F2915" s="1198" t="str">
        <f>VLOOKUP($B2915,dongia1,DG!$D$5,)</f>
        <v>mét</v>
      </c>
      <c r="G2915" s="1303">
        <f>+G2913*(5*3*6+6*3)</f>
        <v>0</v>
      </c>
      <c r="H2915" s="1298">
        <f>VLOOKUP($B2915,dongia1,DG!$F$5,)</f>
        <v>567100</v>
      </c>
      <c r="I2915" s="1298"/>
      <c r="J2915" s="1298">
        <f>VLOOKUP($B2915,dongia1,DG!$G$5,)</f>
        <v>0</v>
      </c>
      <c r="K2915" s="1298">
        <f>VLOOKUP($B2915,dongia1,DG!$H$5,)</f>
        <v>0</v>
      </c>
      <c r="L2915" s="1298">
        <f>H2915*G2915</f>
        <v>0</v>
      </c>
      <c r="M2915" s="1298">
        <f>I2915*G2915</f>
        <v>0</v>
      </c>
      <c r="N2915" s="1298">
        <f t="shared" ref="N2915:N2923" si="728">J2915*G2915</f>
        <v>0</v>
      </c>
      <c r="O2915" s="1298">
        <f>K2915*G2915</f>
        <v>0</v>
      </c>
      <c r="P2915" s="1437"/>
      <c r="Q2915" s="1300"/>
      <c r="R2915" s="1300"/>
      <c r="S2915" s="1300"/>
    </row>
    <row r="2916" spans="1:19" s="1081" customFormat="1" hidden="1" outlineLevel="1">
      <c r="A2916" s="1072" t="str">
        <f>IF(G2916&lt;&gt;0,1,"")</f>
        <v/>
      </c>
      <c r="B2916" s="1295" t="s">
        <v>865</v>
      </c>
      <c r="C2916" s="1302"/>
      <c r="D2916" s="1198" t="str">
        <f>VLOOKUP($B2916,dongia1,DG!$B$5,)</f>
        <v>03.1401</v>
      </c>
      <c r="E2916" s="1243" t="str">
        <f>VLOOKUP($B2916,dongia1,DG!$C$5,)</f>
        <v xml:space="preserve">Cáp CVV 4x2,5mm2  </v>
      </c>
      <c r="F2916" s="1198" t="str">
        <f>VLOOKUP($B2916,dongia1,DG!$D$5,)</f>
        <v>mét</v>
      </c>
      <c r="G2916" s="1303">
        <f>+G2913*4</f>
        <v>0</v>
      </c>
      <c r="H2916" s="1298">
        <f>VLOOKUP($B2916,dongia1,DG!$F$5,)</f>
        <v>28200</v>
      </c>
      <c r="I2916" s="1298"/>
      <c r="J2916" s="1298">
        <f>VLOOKUP($B2916,dongia1,DG!$G$5,)</f>
        <v>0</v>
      </c>
      <c r="K2916" s="1298">
        <f>VLOOKUP($B2916,dongia1,DG!$H$5,)</f>
        <v>0</v>
      </c>
      <c r="L2916" s="1298">
        <f>H2916*G2916</f>
        <v>0</v>
      </c>
      <c r="M2916" s="1298">
        <f>I2916*G2916</f>
        <v>0</v>
      </c>
      <c r="N2916" s="1298">
        <f t="shared" si="728"/>
        <v>0</v>
      </c>
      <c r="O2916" s="1298">
        <f>K2916*G2916</f>
        <v>0</v>
      </c>
      <c r="P2916" s="1299"/>
      <c r="Q2916" s="1300"/>
      <c r="R2916" s="1300"/>
      <c r="S2916" s="1300"/>
    </row>
    <row r="2917" spans="1:19" s="1081" customFormat="1" hidden="1" outlineLevel="1">
      <c r="A2917" s="1072" t="str">
        <f t="shared" ref="A2917:A2924" si="729">IF(G2917&lt;&gt;0,1,"")</f>
        <v/>
      </c>
      <c r="B2917" s="1295" t="s">
        <v>683</v>
      </c>
      <c r="C2917" s="1302"/>
      <c r="D2917" s="1198" t="str">
        <f>VLOOKUP($B2917,dongia1,DG!$B$5,)</f>
        <v>D4.5008</v>
      </c>
      <c r="E2917" s="1243" t="str">
        <f>VLOOKUP($B2917,dongia1,DG!$C$5,)</f>
        <v>Đầu cosse ép Cu 240mm2</v>
      </c>
      <c r="F2917" s="1198" t="str">
        <f>VLOOKUP($B2917,dongia1,DG!$D$5,)</f>
        <v>cái</v>
      </c>
      <c r="G2917" s="1303">
        <f>+G2913*28</f>
        <v>0</v>
      </c>
      <c r="H2917" s="1298">
        <f>VLOOKUP($B2917,dongia1,DG!$F$5,)</f>
        <v>70000</v>
      </c>
      <c r="I2917" s="1298"/>
      <c r="J2917" s="1298">
        <f>VLOOKUP($B2917,dongia1,DG!$G$5,)</f>
        <v>50013.645000000004</v>
      </c>
      <c r="K2917" s="1298">
        <f>VLOOKUP($B2917,dongia1,DG!$H$5,)</f>
        <v>5554.0464950000005</v>
      </c>
      <c r="L2917" s="1298">
        <f t="shared" ref="L2917:L2923" si="730">H2917*G2917</f>
        <v>0</v>
      </c>
      <c r="M2917" s="1298">
        <f t="shared" ref="M2917:M2923" si="731">I2917*G2917</f>
        <v>0</v>
      </c>
      <c r="N2917" s="1298">
        <f t="shared" si="728"/>
        <v>0</v>
      </c>
      <c r="O2917" s="1298">
        <f t="shared" ref="O2917:O2923" si="732">K2917*G2917</f>
        <v>0</v>
      </c>
      <c r="P2917" s="1437"/>
      <c r="Q2917" s="1300"/>
      <c r="R2917" s="1300"/>
      <c r="S2917" s="1300"/>
    </row>
    <row r="2918" spans="1:19" s="1081" customFormat="1" hidden="1" outlineLevel="1">
      <c r="A2918" s="1072" t="str">
        <f t="shared" si="729"/>
        <v/>
      </c>
      <c r="B2918" s="1295" t="s">
        <v>474</v>
      </c>
      <c r="C2918" s="1302"/>
      <c r="D2918" s="1198">
        <f>VLOOKUP($B2918,dongia1,DG!$B$5,)</f>
        <v>0</v>
      </c>
      <c r="E2918" s="1243" t="str">
        <f>VLOOKUP($B2918,dongia1,DG!$C$5,)</f>
        <v>Chụp đầu cosse  240mm2</v>
      </c>
      <c r="F2918" s="1198" t="str">
        <f>VLOOKUP($B2918,dongia1,DG!$D$5,)</f>
        <v>cái</v>
      </c>
      <c r="G2918" s="1303">
        <f>G2917</f>
        <v>0</v>
      </c>
      <c r="H2918" s="1298">
        <f>VLOOKUP($B2918,dongia1,DG!$F$5,)</f>
        <v>6000</v>
      </c>
      <c r="I2918" s="1298"/>
      <c r="J2918" s="1298">
        <f>VLOOKUP($B2918,dongia1,DG!$G$5,)</f>
        <v>0</v>
      </c>
      <c r="K2918" s="1298">
        <f>VLOOKUP($B2918,dongia1,DG!$H$5,)</f>
        <v>0</v>
      </c>
      <c r="L2918" s="1298">
        <f t="shared" si="730"/>
        <v>0</v>
      </c>
      <c r="M2918" s="1298">
        <f t="shared" si="731"/>
        <v>0</v>
      </c>
      <c r="N2918" s="1298">
        <f t="shared" si="728"/>
        <v>0</v>
      </c>
      <c r="O2918" s="1298">
        <f t="shared" si="732"/>
        <v>0</v>
      </c>
      <c r="P2918" s="1437"/>
      <c r="Q2918" s="1300"/>
      <c r="R2918" s="1300"/>
      <c r="S2918" s="1300"/>
    </row>
    <row r="2919" spans="1:19" s="1081" customFormat="1" hidden="1" outlineLevel="1">
      <c r="A2919" s="1072" t="str">
        <f t="shared" si="729"/>
        <v/>
      </c>
      <c r="B2919" s="1295" t="s">
        <v>961</v>
      </c>
      <c r="C2919" s="1302"/>
      <c r="D2919" s="1198">
        <f>VLOOKUP($B2919,dongia1,DG!$B$5,)</f>
        <v>0</v>
      </c>
      <c r="E2919" s="1243" t="str">
        <f>VLOOKUP($B2919,dongia1,DG!$C$5,)</f>
        <v xml:space="preserve">Ống PVC D114x4,9mm </v>
      </c>
      <c r="F2919" s="1198" t="str">
        <f>VLOOKUP($B2919,dongia1,DG!$D$5,)</f>
        <v>m</v>
      </c>
      <c r="G2919" s="1303">
        <f>+G2913*2*3</f>
        <v>0</v>
      </c>
      <c r="H2919" s="1298">
        <f>VLOOKUP($B2919,dongia1,DG!$F$5,)</f>
        <v>103700</v>
      </c>
      <c r="I2919" s="1298"/>
      <c r="J2919" s="1298">
        <f>VLOOKUP($B2919,dongia1,DG!$G$5,)</f>
        <v>0</v>
      </c>
      <c r="K2919" s="1298">
        <f>VLOOKUP($B2919,dongia1,DG!$H$5,)</f>
        <v>0</v>
      </c>
      <c r="L2919" s="1298">
        <f t="shared" si="730"/>
        <v>0</v>
      </c>
      <c r="M2919" s="1298">
        <f t="shared" si="731"/>
        <v>0</v>
      </c>
      <c r="N2919" s="1298">
        <f t="shared" si="728"/>
        <v>0</v>
      </c>
      <c r="O2919" s="1298">
        <f t="shared" si="732"/>
        <v>0</v>
      </c>
      <c r="P2919" s="1437"/>
      <c r="Q2919" s="1300"/>
      <c r="R2919" s="1300"/>
      <c r="S2919" s="1300"/>
    </row>
    <row r="2920" spans="1:19" s="1081" customFormat="1" hidden="1" outlineLevel="1">
      <c r="A2920" s="1072" t="str">
        <f t="shared" si="729"/>
        <v/>
      </c>
      <c r="B2920" s="1295" t="s">
        <v>1315</v>
      </c>
      <c r="C2920" s="1302"/>
      <c r="D2920" s="1198">
        <f>VLOOKUP($B2920,dongia1,DG!$B$5,)</f>
        <v>0</v>
      </c>
      <c r="E2920" s="1243" t="str">
        <f>VLOOKUP($B2920,dongia1,DG!$C$5,)</f>
        <v xml:space="preserve">Giá đỡ cáp hạ thế </v>
      </c>
      <c r="F2920" s="1198" t="str">
        <f>VLOOKUP($B2920,dongia1,DG!$D$5,)</f>
        <v>bộ</v>
      </c>
      <c r="G2920" s="1303">
        <f>+G2913*1</f>
        <v>0</v>
      </c>
      <c r="H2920" s="1298">
        <f>VLOOKUP($B2920,dongia1,DG!$F$5,)</f>
        <v>1020708</v>
      </c>
      <c r="I2920" s="1298"/>
      <c r="J2920" s="1298">
        <f>VLOOKUP($B2920,dongia1,DG!$G$5,)</f>
        <v>28461</v>
      </c>
      <c r="K2920" s="1298">
        <f>VLOOKUP($B2920,dongia1,DG!$H$5,)</f>
        <v>49488</v>
      </c>
      <c r="L2920" s="1298">
        <f t="shared" si="730"/>
        <v>0</v>
      </c>
      <c r="M2920" s="1298">
        <f t="shared" si="731"/>
        <v>0</v>
      </c>
      <c r="N2920" s="1298">
        <f t="shared" si="728"/>
        <v>0</v>
      </c>
      <c r="O2920" s="1298">
        <f t="shared" si="732"/>
        <v>0</v>
      </c>
      <c r="P2920" s="1437"/>
      <c r="Q2920" s="1474"/>
      <c r="R2920" s="1300"/>
      <c r="S2920" s="1300"/>
    </row>
    <row r="2921" spans="1:19" s="1081" customFormat="1" hidden="1" outlineLevel="1">
      <c r="A2921" s="1072" t="str">
        <f t="shared" si="729"/>
        <v/>
      </c>
      <c r="B2921" s="1068" t="s">
        <v>1690</v>
      </c>
      <c r="C2921" s="1302"/>
      <c r="D2921" s="1198"/>
      <c r="E2921" s="1243" t="str">
        <f>VLOOKUP($B2921,dongia1,DG!$C$5,)</f>
        <v>Keo silicon bít miệng ống</v>
      </c>
      <c r="F2921" s="1198" t="str">
        <f>VLOOKUP($B2921,dongia1,DG!$D$5,)</f>
        <v>chai</v>
      </c>
      <c r="G2921" s="1303">
        <f>+G2913*3</f>
        <v>0</v>
      </c>
      <c r="H2921" s="1298">
        <f>VLOOKUP($B2921,dongia1,DG!$F$5,)</f>
        <v>45000</v>
      </c>
      <c r="I2921" s="1298"/>
      <c r="J2921" s="1298"/>
      <c r="K2921" s="1298"/>
      <c r="L2921" s="1298">
        <f t="shared" si="730"/>
        <v>0</v>
      </c>
      <c r="M2921" s="1298">
        <f t="shared" si="731"/>
        <v>0</v>
      </c>
      <c r="N2921" s="1298">
        <f t="shared" si="728"/>
        <v>0</v>
      </c>
      <c r="O2921" s="1298">
        <f t="shared" si="732"/>
        <v>0</v>
      </c>
      <c r="P2921" s="1299"/>
      <c r="Q2921" s="1300"/>
      <c r="R2921" s="1300"/>
      <c r="S2921" s="1300"/>
    </row>
    <row r="2922" spans="1:19" s="1081" customFormat="1" hidden="1" outlineLevel="1">
      <c r="A2922" s="1072" t="str">
        <f t="shared" si="729"/>
        <v/>
      </c>
      <c r="B2922" s="1295" t="s">
        <v>53</v>
      </c>
      <c r="C2922" s="1302"/>
      <c r="D2922" s="1198">
        <f>VLOOKUP($B2922,dongia1,DG!$B$5,)</f>
        <v>0</v>
      </c>
      <c r="E2922" s="1243" t="str">
        <f>VLOOKUP($B2922,dongia1,DG!$C$5,)</f>
        <v>Dây rút cáp</v>
      </c>
      <c r="F2922" s="1198" t="str">
        <f>VLOOKUP($B2922,dongia1,DG!$D$5,)</f>
        <v>bọc</v>
      </c>
      <c r="G2922" s="1303">
        <f>+G2921</f>
        <v>0</v>
      </c>
      <c r="H2922" s="1298">
        <f>VLOOKUP($B2922,dongia1,DG!$F$5,)</f>
        <v>15000</v>
      </c>
      <c r="I2922" s="1298"/>
      <c r="J2922" s="1298">
        <f>VLOOKUP($B2922,dongia1,DG!$G$5,)</f>
        <v>0</v>
      </c>
      <c r="K2922" s="1298">
        <f>VLOOKUP($B2922,dongia1,DG!$H$5,)</f>
        <v>0</v>
      </c>
      <c r="L2922" s="1298">
        <f t="shared" si="730"/>
        <v>0</v>
      </c>
      <c r="M2922" s="1298">
        <f t="shared" si="731"/>
        <v>0</v>
      </c>
      <c r="N2922" s="1298">
        <f t="shared" si="728"/>
        <v>0</v>
      </c>
      <c r="O2922" s="1298">
        <f t="shared" si="732"/>
        <v>0</v>
      </c>
      <c r="P2922" s="1299"/>
      <c r="Q2922" s="1300"/>
      <c r="R2922" s="1300"/>
      <c r="S2922" s="1300"/>
    </row>
    <row r="2923" spans="1:19" s="1081" customFormat="1" hidden="1" outlineLevel="1">
      <c r="A2923" s="1072" t="str">
        <f t="shared" si="729"/>
        <v/>
      </c>
      <c r="B2923" s="1068" t="s">
        <v>236</v>
      </c>
      <c r="C2923" s="1302"/>
      <c r="D2923" s="1198">
        <f>VLOOKUP($B2923,dongia1,DG!$B$5,)</f>
        <v>0</v>
      </c>
      <c r="E2923" s="1243" t="str">
        <f>VLOOKUP($B2923,dongia1,DG!$C$5,)</f>
        <v>Băng keo cách điện hạ thế</v>
      </c>
      <c r="F2923" s="1198" t="str">
        <f>VLOOKUP($B2923,dongia1,DG!$D$5,)</f>
        <v>cuộn</v>
      </c>
      <c r="G2923" s="1303">
        <f>+G2913*1</f>
        <v>0</v>
      </c>
      <c r="H2923" s="1298">
        <f>VLOOKUP($B2923,dongia1,DG!$F$5,)</f>
        <v>6500</v>
      </c>
      <c r="I2923" s="1298"/>
      <c r="J2923" s="1298">
        <f>VLOOKUP($B2923,dongia1,DG!$G$5,)</f>
        <v>0</v>
      </c>
      <c r="K2923" s="1298">
        <f>VLOOKUP($B2923,dongia1,DG!$H$5,)</f>
        <v>0</v>
      </c>
      <c r="L2923" s="1298">
        <f t="shared" si="730"/>
        <v>0</v>
      </c>
      <c r="M2923" s="1298">
        <f t="shared" si="731"/>
        <v>0</v>
      </c>
      <c r="N2923" s="1298">
        <f t="shared" si="728"/>
        <v>0</v>
      </c>
      <c r="O2923" s="1298">
        <f t="shared" si="732"/>
        <v>0</v>
      </c>
      <c r="P2923" s="1437"/>
      <c r="Q2923" s="1300"/>
      <c r="R2923" s="1300"/>
      <c r="S2923" s="1300"/>
    </row>
    <row r="2924" spans="1:19" s="1081" customFormat="1" hidden="1" outlineLevel="1">
      <c r="A2924" s="1072" t="str">
        <f t="shared" si="729"/>
        <v/>
      </c>
      <c r="B2924" s="1068" t="s">
        <v>379</v>
      </c>
      <c r="C2924" s="1302"/>
      <c r="D2924" s="1198" t="str">
        <f>VLOOKUP($B2924,dongia1,DG!$B$5,)</f>
        <v>T4.4203</v>
      </c>
      <c r="E2924" s="1243" t="str">
        <f>VLOOKUP($B2924,dongia1,DG!$C$5,)</f>
        <v>Lắp cáp đồng xuống thiết bị D ≤ 240mm2</v>
      </c>
      <c r="F2924" s="1198" t="str">
        <f>VLOOKUP($B2924,dongia1,DG!$D$5,)</f>
        <v>m</v>
      </c>
      <c r="G2924" s="1303">
        <f>G2915</f>
        <v>0</v>
      </c>
      <c r="H2924" s="1298">
        <f>VLOOKUP($B2924,dongia1,DG!$F$5,)</f>
        <v>0</v>
      </c>
      <c r="I2924" s="1298"/>
      <c r="J2924" s="1298">
        <f>VLOOKUP($B2924,dongia1,DG!$G$5,)</f>
        <v>47311</v>
      </c>
      <c r="K2924" s="1298">
        <f>VLOOKUP($B2924,dongia1,DG!$H$5,)</f>
        <v>0</v>
      </c>
      <c r="L2924" s="1298">
        <f>H2924*G2924</f>
        <v>0</v>
      </c>
      <c r="M2924" s="1298">
        <f>I2924*G2924</f>
        <v>0</v>
      </c>
      <c r="N2924" s="1298">
        <f>J2924*G2924</f>
        <v>0</v>
      </c>
      <c r="O2924" s="1298">
        <f>K2924*G2924</f>
        <v>0</v>
      </c>
      <c r="P2924" s="1437"/>
      <c r="Q2924" s="1300"/>
      <c r="R2924" s="1300"/>
      <c r="S2924" s="1300"/>
    </row>
    <row r="2925" spans="1:19" s="1081" customFormat="1" hidden="1" outlineLevel="1">
      <c r="A2925" s="1072">
        <f>A2788</f>
        <v>0</v>
      </c>
      <c r="B2925" s="1421"/>
      <c r="C2925" s="1475"/>
      <c r="D2925" s="1476"/>
      <c r="E2925" s="1477"/>
      <c r="F2925" s="1478"/>
      <c r="G2925" s="1479"/>
      <c r="H2925" s="1478"/>
      <c r="I2925" s="1478"/>
      <c r="J2925" s="2469" t="s">
        <v>3388</v>
      </c>
      <c r="K2925" s="2469"/>
      <c r="L2925" s="1480">
        <f>SUM(L2804:L2924)</f>
        <v>0</v>
      </c>
      <c r="M2925" s="1480">
        <f>SUM(M2804:M2924)</f>
        <v>0</v>
      </c>
      <c r="N2925" s="1480">
        <f>SUM(N2804:N2924)</f>
        <v>0</v>
      </c>
      <c r="O2925" s="1480">
        <f>SUM(O2804:O2924)</f>
        <v>0</v>
      </c>
      <c r="P2925" s="1447"/>
      <c r="Q2925" s="1300"/>
      <c r="R2925" s="1300"/>
      <c r="S2925" s="1300"/>
    </row>
    <row r="2926" spans="1:19" s="1081" customFormat="1" hidden="1" outlineLevel="1">
      <c r="A2926" s="1072"/>
      <c r="B2926" s="1421"/>
      <c r="C2926" s="1528"/>
      <c r="D2926" s="1528"/>
      <c r="E2926" s="1558"/>
      <c r="F2926" s="1530"/>
      <c r="G2926" s="1529"/>
      <c r="H2926" s="1530"/>
      <c r="I2926" s="1530"/>
      <c r="J2926" s="1531"/>
      <c r="K2926" s="1531"/>
      <c r="L2926" s="1532"/>
      <c r="M2926" s="1532"/>
      <c r="N2926" s="1532"/>
      <c r="O2926" s="1532"/>
      <c r="P2926" s="1559"/>
      <c r="Q2926" s="1300"/>
      <c r="R2926" s="1300"/>
      <c r="S2926" s="1300"/>
    </row>
    <row r="2927" spans="1:19" s="1081" customFormat="1" hidden="1">
      <c r="A2927" s="1431">
        <f>IF(G2932&gt;0,1,)</f>
        <v>0</v>
      </c>
      <c r="B2927" s="1068"/>
      <c r="C2927" s="1490"/>
      <c r="D2927" s="1300"/>
      <c r="E2927" s="1491"/>
      <c r="F2927" s="1300"/>
      <c r="G2927" s="1492"/>
      <c r="H2927" s="1300"/>
      <c r="I2927" s="1300"/>
      <c r="J2927" s="1300"/>
      <c r="K2927" s="1300"/>
      <c r="L2927" s="1300"/>
      <c r="M2927" s="1300"/>
      <c r="N2927" s="1300"/>
      <c r="O2927" s="1300"/>
      <c r="P2927" s="1300"/>
      <c r="Q2927" s="1300"/>
      <c r="R2927" s="1300"/>
      <c r="S2927" s="1300"/>
    </row>
    <row r="2928" spans="1:19" s="1081" customFormat="1" hidden="1" outlineLevel="1">
      <c r="A2928" s="1072">
        <f>A2927</f>
        <v>0</v>
      </c>
      <c r="B2928" s="1432"/>
      <c r="C2928" s="1336" t="str">
        <f>"BẢNG TỔNG HỢP VẬT LIỆU, NHÂN CÔNG, MÁY THI CÔNG: "&amp;K18&amp;" TRẠM 3P_1250KVA"</f>
        <v>BẢNG TỔNG HỢP VẬT LIỆU, NHÂN CÔNG, MÁY THI CÔNG:  TRẠM 3P_1250KVA</v>
      </c>
      <c r="D2928" s="1494"/>
      <c r="E2928" s="1494"/>
      <c r="F2928" s="1494"/>
      <c r="G2928" s="1494"/>
      <c r="H2928" s="1495"/>
      <c r="I2928" s="1434"/>
      <c r="J2928" s="1495"/>
      <c r="K2928" s="1495"/>
      <c r="L2928" s="1495"/>
      <c r="M2928" s="1434"/>
      <c r="N2928" s="1495"/>
      <c r="O2928" s="1495"/>
      <c r="P2928" s="1513"/>
      <c r="Q2928" s="1300"/>
      <c r="R2928" s="1300"/>
      <c r="S2928" s="1300"/>
    </row>
    <row r="2929" spans="1:19" s="1081" customFormat="1" hidden="1" outlineLevel="1">
      <c r="A2929" s="1072">
        <f>A2927</f>
        <v>0</v>
      </c>
      <c r="B2929" s="1295" t="s">
        <v>308</v>
      </c>
      <c r="C2929" s="2459" t="s">
        <v>1014</v>
      </c>
      <c r="D2929" s="2467" t="s">
        <v>3363</v>
      </c>
      <c r="E2929" s="2457" t="s">
        <v>3364</v>
      </c>
      <c r="F2929" s="2459" t="s">
        <v>3365</v>
      </c>
      <c r="G2929" s="1155" t="s">
        <v>3367</v>
      </c>
      <c r="H2929" s="1156" t="s">
        <v>3368</v>
      </c>
      <c r="I2929" s="1157"/>
      <c r="J2929" s="1157"/>
      <c r="K2929" s="1158"/>
      <c r="L2929" s="1156" t="s">
        <v>3372</v>
      </c>
      <c r="M2929" s="1157"/>
      <c r="N2929" s="1157"/>
      <c r="O2929" s="1158"/>
      <c r="P2929" s="2459" t="s">
        <v>3373</v>
      </c>
      <c r="Q2929" s="1300"/>
      <c r="R2929" s="1300"/>
      <c r="S2929" s="1300"/>
    </row>
    <row r="2930" spans="1:19" s="1081" customFormat="1" hidden="1" outlineLevel="1">
      <c r="A2930" s="1072">
        <f>A2929</f>
        <v>0</v>
      </c>
      <c r="B2930" s="1295"/>
      <c r="C2930" s="2459"/>
      <c r="D2930" s="2468"/>
      <c r="E2930" s="2458"/>
      <c r="F2930" s="2459"/>
      <c r="G2930" s="1160" t="s">
        <v>3366</v>
      </c>
      <c r="H2930" s="1161" t="s">
        <v>393</v>
      </c>
      <c r="I2930" s="1161" t="s">
        <v>3369</v>
      </c>
      <c r="J2930" s="1161" t="s">
        <v>3370</v>
      </c>
      <c r="K2930" s="1161" t="s">
        <v>3371</v>
      </c>
      <c r="L2930" s="1161" t="s">
        <v>393</v>
      </c>
      <c r="M2930" s="1161" t="s">
        <v>3369</v>
      </c>
      <c r="N2930" s="1161" t="s">
        <v>3370</v>
      </c>
      <c r="O2930" s="1161" t="s">
        <v>3371</v>
      </c>
      <c r="P2930" s="2459"/>
      <c r="Q2930" s="1300"/>
      <c r="R2930" s="1300"/>
      <c r="S2930" s="1300"/>
    </row>
    <row r="2931" spans="1:19" s="1081" customFormat="1" hidden="1" outlineLevel="1">
      <c r="A2931" s="1072">
        <f>A2930</f>
        <v>0</v>
      </c>
      <c r="B2931" s="1295"/>
      <c r="C2931" s="1162"/>
      <c r="D2931" s="1163"/>
      <c r="E2931" s="1164" t="s">
        <v>3375</v>
      </c>
      <c r="F2931" s="1165"/>
      <c r="G2931" s="1165"/>
      <c r="H2931" s="1165"/>
      <c r="I2931" s="1165"/>
      <c r="J2931" s="1165"/>
      <c r="K2931" s="1165"/>
      <c r="L2931" s="1165"/>
      <c r="M2931" s="1165"/>
      <c r="N2931" s="1165"/>
      <c r="O2931" s="1163"/>
      <c r="P2931" s="1166"/>
      <c r="Q2931" s="1300"/>
      <c r="R2931" s="1300"/>
      <c r="S2931" s="1300"/>
    </row>
    <row r="2932" spans="1:19" s="1081" customFormat="1" hidden="1" outlineLevel="1">
      <c r="A2932" s="1072" t="str">
        <f t="shared" ref="A2932:A2942" si="733">IF(G2932&lt;&gt;0,1,"")</f>
        <v/>
      </c>
      <c r="B2932" s="1435" t="str">
        <f>IF($F$8=15,"tr1250","tr12501")</f>
        <v>tr12501</v>
      </c>
      <c r="C2932" s="1302">
        <f>IF(G2932&gt;0,1,0)</f>
        <v>0</v>
      </c>
      <c r="D2932" s="1198" t="str">
        <f>VLOOKUP($B2932,dongia1,DG!$B$5,)</f>
        <v>T1.1418</v>
      </c>
      <c r="E2932" s="1243" t="str">
        <f>VLOOKUP($B2932,dongia1,DG!$C$5,)</f>
        <v>Máy biến áp 22/0,4kV- 1250kVA</v>
      </c>
      <c r="F2932" s="1198" t="str">
        <f>VLOOKUP($B2932,dongia1,DG!$D$5,)</f>
        <v>máy</v>
      </c>
      <c r="G2932" s="1561"/>
      <c r="H2932" s="1399">
        <f>VLOOKUP($B2932,dongia1,DG!$E$5,)</f>
        <v>616819000</v>
      </c>
      <c r="I2932" s="1399"/>
      <c r="J2932" s="1399">
        <f>VLOOKUP($B2932,dongia1,DG!$G$5,)</f>
        <v>1928901</v>
      </c>
      <c r="K2932" s="1399">
        <f>VLOOKUP($B2932,dongia1,DG!$H$5,)</f>
        <v>426761</v>
      </c>
      <c r="L2932" s="1400">
        <f t="shared" ref="L2932:L2942" si="734">H2932*G2932</f>
        <v>0</v>
      </c>
      <c r="M2932" s="1400">
        <f t="shared" ref="M2932:M2942" si="735">I2932*G2932</f>
        <v>0</v>
      </c>
      <c r="N2932" s="1400">
        <f t="shared" ref="N2932:N2942" si="736">J2932*G2932</f>
        <v>0</v>
      </c>
      <c r="O2932" s="1401">
        <f t="shared" ref="O2932:O2942" si="737">K2932*G2932</f>
        <v>0</v>
      </c>
      <c r="P2932" s="1562"/>
      <c r="Q2932" s="1300"/>
      <c r="R2932" s="1300"/>
      <c r="S2932" s="1300"/>
    </row>
    <row r="2933" spans="1:19" s="1081" customFormat="1" hidden="1" outlineLevel="1">
      <c r="A2933" s="1072" t="str">
        <f t="shared" si="733"/>
        <v/>
      </c>
      <c r="B2933" s="1397" t="s">
        <v>286</v>
      </c>
      <c r="C2933" s="1302">
        <f>IF(G2933&gt;0,C2932+1,C2932)</f>
        <v>0</v>
      </c>
      <c r="D2933" s="1198" t="str">
        <f>VLOOKUP($B2933,dongia1,DG!$B$5,)</f>
        <v>T2.3213</v>
      </c>
      <c r="E2933" s="1243" t="str">
        <f>VLOOKUP($B2933,dongia1,DG!$C$5,)</f>
        <v xml:space="preserve">DS 3P - 24KV - 630A </v>
      </c>
      <c r="F2933" s="1198" t="str">
        <f>VLOOKUP($B2933,dongia1,DG!$D$5,)</f>
        <v>bộ</v>
      </c>
      <c r="G2933" s="1303">
        <f>G2932*0</f>
        <v>0</v>
      </c>
      <c r="H2933" s="1399">
        <f>VLOOKUP($B2933,dongia1,DG!$E$5,)</f>
        <v>16664000</v>
      </c>
      <c r="I2933" s="1399">
        <f>VLOOKUP($B2933,dongia1,DG!$F$5,)*0</f>
        <v>0</v>
      </c>
      <c r="J2933" s="1399">
        <f>VLOOKUP($B2933,dongia1,DG!$F$5,)</f>
        <v>0</v>
      </c>
      <c r="K2933" s="1399">
        <f>VLOOKUP($B2933,dongia1,DG!$H$5,)</f>
        <v>262622</v>
      </c>
      <c r="L2933" s="1400">
        <f t="shared" si="734"/>
        <v>0</v>
      </c>
      <c r="M2933" s="1400">
        <f t="shared" si="735"/>
        <v>0</v>
      </c>
      <c r="N2933" s="1400">
        <f t="shared" si="736"/>
        <v>0</v>
      </c>
      <c r="O2933" s="1401">
        <f t="shared" si="737"/>
        <v>0</v>
      </c>
      <c r="P2933" s="1299"/>
      <c r="Q2933" s="1300"/>
      <c r="R2933" s="1300"/>
      <c r="S2933" s="1300"/>
    </row>
    <row r="2934" spans="1:19" s="1081" customFormat="1" hidden="1" outlineLevel="1">
      <c r="A2934" s="1072" t="str">
        <f t="shared" si="733"/>
        <v/>
      </c>
      <c r="B2934" s="1295" t="s">
        <v>1871</v>
      </c>
      <c r="C2934" s="1302">
        <f t="shared" ref="C2934:C2939" si="738">IF(G2934&gt;0,C2933+1,C2933)</f>
        <v>0</v>
      </c>
      <c r="D2934" s="1198" t="str">
        <f>VLOOKUP($B2934,dongia1,DG!$B$5,)</f>
        <v>05.2102</v>
      </c>
      <c r="E2934" s="1243" t="str">
        <f>VLOOKUP($B2934,dongia1,DG!$C$5,)</f>
        <v>Tủ LBS 3 pha 630-800A</v>
      </c>
      <c r="F2934" s="1198" t="str">
        <f>VLOOKUP($B2934,dongia1,DG!$D$5,)</f>
        <v>tủ</v>
      </c>
      <c r="G2934" s="1303">
        <f>G2932*0</f>
        <v>0</v>
      </c>
      <c r="H2934" s="1399">
        <f>VLOOKUP($B2934,dongia1,DG!$F$5,)*0</f>
        <v>0</v>
      </c>
      <c r="I2934" s="1399">
        <f>VLOOKUP($B2934,dongia1,DG!$F$5,)*0</f>
        <v>0</v>
      </c>
      <c r="J2934" s="1399">
        <f>VLOOKUP($B2934,dongia1,DG!$G$5,)</f>
        <v>286129</v>
      </c>
      <c r="K2934" s="1399">
        <f>VLOOKUP($B2934,dongia1,DG!$H$5,)</f>
        <v>59254</v>
      </c>
      <c r="L2934" s="1400">
        <f t="shared" si="734"/>
        <v>0</v>
      </c>
      <c r="M2934" s="1400">
        <f t="shared" si="735"/>
        <v>0</v>
      </c>
      <c r="N2934" s="1400">
        <f t="shared" si="736"/>
        <v>0</v>
      </c>
      <c r="O2934" s="1401">
        <f t="shared" si="737"/>
        <v>0</v>
      </c>
      <c r="P2934" s="1437" t="s">
        <v>1216</v>
      </c>
      <c r="Q2934" s="1300"/>
      <c r="R2934" s="1300"/>
      <c r="S2934" s="1300"/>
    </row>
    <row r="2935" spans="1:19" s="1081" customFormat="1" hidden="1" outlineLevel="1">
      <c r="A2935" s="1072" t="str">
        <f t="shared" si="733"/>
        <v/>
      </c>
      <c r="B2935" s="1167" t="str">
        <f>"FCO100-"&amp;$F$8</f>
        <v>FCO100-22</v>
      </c>
      <c r="C2935" s="1302">
        <f t="shared" si="738"/>
        <v>0</v>
      </c>
      <c r="D2935" s="1198" t="str">
        <f>VLOOKUP($B2935,dongia1,DG!$B$5,)</f>
        <v>T2.3501</v>
      </c>
      <c r="E2935" s="1243" t="str">
        <f>VLOOKUP($B2935,dongia1,DG!$C$5,)</f>
        <v>FCO 24kV - 100A</v>
      </c>
      <c r="F2935" s="1198" t="str">
        <f>VLOOKUP($B2935,dongia1,DG!$D$5,)</f>
        <v>cái</v>
      </c>
      <c r="G2935" s="1303">
        <f>+G2932*3</f>
        <v>0</v>
      </c>
      <c r="H2935" s="1298">
        <f>VLOOKUP($B2935,dongia1,DG!$E$5,)</f>
        <v>2244280</v>
      </c>
      <c r="I2935" s="1298">
        <f>VLOOKUP($B2935,dongia1,DG!$F$5,)*0</f>
        <v>0</v>
      </c>
      <c r="J2935" s="1298">
        <f>VLOOKUP($B2935,dongia1,DG!$G$5,)</f>
        <v>222639.99999999997</v>
      </c>
      <c r="K2935" s="1298">
        <f>VLOOKUP($B2935,dongia1,DG!$H$5,)</f>
        <v>0</v>
      </c>
      <c r="L2935" s="1298">
        <f t="shared" si="734"/>
        <v>0</v>
      </c>
      <c r="M2935" s="1298">
        <f t="shared" si="735"/>
        <v>0</v>
      </c>
      <c r="N2935" s="1298">
        <f t="shared" si="736"/>
        <v>0</v>
      </c>
      <c r="O2935" s="1298">
        <f t="shared" si="737"/>
        <v>0</v>
      </c>
      <c r="P2935" s="1299"/>
      <c r="Q2935" s="1300"/>
      <c r="R2935" s="1300"/>
      <c r="S2935" s="1300"/>
    </row>
    <row r="2936" spans="1:19" s="1081" customFormat="1" hidden="1" outlineLevel="1">
      <c r="A2936" s="1072" t="str">
        <f t="shared" si="733"/>
        <v/>
      </c>
      <c r="B2936" s="1435" t="str">
        <f>IF($F$8=15,"CHI65K","CHI50K")</f>
        <v>CHI50K</v>
      </c>
      <c r="C2936" s="1302">
        <f t="shared" si="738"/>
        <v>0</v>
      </c>
      <c r="D2936" s="1198">
        <f>VLOOKUP($B2936,dongia1,DG!$B$5,)</f>
        <v>0</v>
      </c>
      <c r="E2936" s="1243" t="str">
        <f>VLOOKUP($B2936,dongia1,DG!$C$5,)</f>
        <v>Dây chảy 50K</v>
      </c>
      <c r="F2936" s="1198" t="str">
        <f>VLOOKUP($B2936,dongia1,DG!$D$5,)</f>
        <v>Sợi</v>
      </c>
      <c r="G2936" s="1303">
        <f>G2935</f>
        <v>0</v>
      </c>
      <c r="H2936" s="1298">
        <f>VLOOKUP($B2936,dongia1,DG!$F$5,)</f>
        <v>132000</v>
      </c>
      <c r="I2936" s="1298">
        <f>VLOOKUP($B2936,dongia1,DG!$F$5,)*0</f>
        <v>0</v>
      </c>
      <c r="J2936" s="1298">
        <f>VLOOKUP($B2936,dongia1,DG!$G$5,)</f>
        <v>0</v>
      </c>
      <c r="K2936" s="1298">
        <f>VLOOKUP($B2936,dongia1,DG!$H$5,)</f>
        <v>0</v>
      </c>
      <c r="L2936" s="1298">
        <f t="shared" si="734"/>
        <v>0</v>
      </c>
      <c r="M2936" s="1298">
        <f t="shared" si="735"/>
        <v>0</v>
      </c>
      <c r="N2936" s="1298">
        <f t="shared" si="736"/>
        <v>0</v>
      </c>
      <c r="O2936" s="1298">
        <f t="shared" si="737"/>
        <v>0</v>
      </c>
      <c r="P2936" s="1299"/>
      <c r="Q2936" s="1300"/>
      <c r="R2936" s="1300"/>
      <c r="S2936" s="1300"/>
    </row>
    <row r="2937" spans="1:19" s="1081" customFormat="1" hidden="1" outlineLevel="1">
      <c r="A2937" s="1072" t="str">
        <f t="shared" si="733"/>
        <v/>
      </c>
      <c r="B2937" s="1295" t="str">
        <f>"LA"&amp;$F$6</f>
        <v>LA18</v>
      </c>
      <c r="C2937" s="1302">
        <f t="shared" si="738"/>
        <v>0</v>
      </c>
      <c r="D2937" s="1198" t="str">
        <f>VLOOKUP($B2937,dongia1,DG!$B$5,)</f>
        <v>T2.5004</v>
      </c>
      <c r="E2937" s="1243" t="str">
        <f>VLOOKUP($B2937,dongia1,DG!$C$5,)</f>
        <v>LA 18kV 10kA</v>
      </c>
      <c r="F2937" s="1198" t="str">
        <f>VLOOKUP($B2937,dongia1,DG!$D$5,)</f>
        <v>cái</v>
      </c>
      <c r="G2937" s="1303">
        <f>G2932*3</f>
        <v>0</v>
      </c>
      <c r="H2937" s="1298">
        <f>VLOOKUP($B2937,dongia1,DG!$E$5,)</f>
        <v>1106000</v>
      </c>
      <c r="I2937" s="1298">
        <f>VLOOKUP($B2937,dongia1,DG!$F$5,)*0</f>
        <v>0</v>
      </c>
      <c r="J2937" s="1298">
        <f>VLOOKUP($B2937,dongia1,DG!$G$5,)</f>
        <v>83490</v>
      </c>
      <c r="K2937" s="1298">
        <f>VLOOKUP($B2937,dongia1,DG!$H$5,)</f>
        <v>0</v>
      </c>
      <c r="L2937" s="1298">
        <f t="shared" si="734"/>
        <v>0</v>
      </c>
      <c r="M2937" s="1298">
        <f t="shared" si="735"/>
        <v>0</v>
      </c>
      <c r="N2937" s="1298">
        <f t="shared" si="736"/>
        <v>0</v>
      </c>
      <c r="O2937" s="1298">
        <f t="shared" si="737"/>
        <v>0</v>
      </c>
      <c r="P2937" s="1299"/>
      <c r="Q2937" s="1300"/>
      <c r="R2937" s="1300"/>
      <c r="S2937" s="1300"/>
    </row>
    <row r="2938" spans="1:19" s="1081" customFormat="1" hidden="1" outlineLevel="1">
      <c r="A2938" s="1072" t="str">
        <f t="shared" si="733"/>
        <v/>
      </c>
      <c r="B2938" s="1397" t="s">
        <v>1190</v>
      </c>
      <c r="C2938" s="1302">
        <f t="shared" si="738"/>
        <v>0</v>
      </c>
      <c r="D2938" s="1198">
        <f>VLOOKUP($B2938,dongia1,DG!$B$5,)</f>
        <v>0</v>
      </c>
      <c r="E2938" s="1243" t="str">
        <f>VLOOKUP($B2938,dongia1,DG!$C$5,)</f>
        <v xml:space="preserve">ACB 3P - 2000A - 65KA </v>
      </c>
      <c r="F2938" s="1198" t="str">
        <f>VLOOKUP($B2938,dongia1,DG!$D$5,)</f>
        <v>cái</v>
      </c>
      <c r="G2938" s="1303">
        <f>G2932</f>
        <v>0</v>
      </c>
      <c r="H2938" s="1563">
        <f>VLOOKUP($B2938,dongia1,DG!$E$5,)</f>
        <v>64500000</v>
      </c>
      <c r="I2938" s="1298">
        <f>VLOOKUP($B2938,dongia1,DG!$F$5,)*0</f>
        <v>0</v>
      </c>
      <c r="J2938" s="1298">
        <f>VLOOKUP($B2938,dongia1,DG!$G$5,)</f>
        <v>0</v>
      </c>
      <c r="K2938" s="1298">
        <f>VLOOKUP($B2938,dongia1,DG!$H$5,)</f>
        <v>0</v>
      </c>
      <c r="L2938" s="1298">
        <f t="shared" si="734"/>
        <v>0</v>
      </c>
      <c r="M2938" s="1298">
        <f t="shared" si="735"/>
        <v>0</v>
      </c>
      <c r="N2938" s="1298">
        <f t="shared" si="736"/>
        <v>0</v>
      </c>
      <c r="O2938" s="1298">
        <f t="shared" si="737"/>
        <v>0</v>
      </c>
      <c r="P2938" s="1299"/>
      <c r="Q2938" s="1300"/>
      <c r="R2938" s="1300"/>
      <c r="S2938" s="1300"/>
    </row>
    <row r="2939" spans="1:19" s="1081" customFormat="1" hidden="1" outlineLevel="1">
      <c r="A2939" s="1072" t="str">
        <f t="shared" si="733"/>
        <v/>
      </c>
      <c r="B2939" s="1397" t="s">
        <v>1527</v>
      </c>
      <c r="C2939" s="1302">
        <f t="shared" si="738"/>
        <v>0</v>
      </c>
      <c r="D2939" s="1198" t="str">
        <f>VLOOKUP($B2939,dongia1,DG!$B$5,)</f>
        <v>05.1102</v>
      </c>
      <c r="E2939" s="1243" t="str">
        <f>VLOOKUP($B2939,dongia1,DG!$C$5,)</f>
        <v>Tủ tụ bù hạ thế 500kVAr</v>
      </c>
      <c r="F2939" s="1198" t="str">
        <f>VLOOKUP($B2939,dongia1,DG!$D$5,)</f>
        <v>tủ</v>
      </c>
      <c r="G2939" s="1303">
        <f>G2938</f>
        <v>0</v>
      </c>
      <c r="H2939" s="1563">
        <f>VLOOKUP($B2939,dongia1,DG!$E$5,)</f>
        <v>61000000</v>
      </c>
      <c r="I2939" s="1298">
        <f>VLOOKUP($B2939,dongia1,DG!$F$5,)</f>
        <v>0</v>
      </c>
      <c r="J2939" s="1298">
        <f>VLOOKUP($B2939,dongia1,DG!$G$5,)</f>
        <v>98101</v>
      </c>
      <c r="K2939" s="1298">
        <f>VLOOKUP($B2939,dongia1,DG!$H$5,)</f>
        <v>59254</v>
      </c>
      <c r="L2939" s="1298">
        <f t="shared" si="734"/>
        <v>0</v>
      </c>
      <c r="M2939" s="1298">
        <f t="shared" si="735"/>
        <v>0</v>
      </c>
      <c r="N2939" s="1298">
        <f t="shared" si="736"/>
        <v>0</v>
      </c>
      <c r="O2939" s="1298">
        <f t="shared" si="737"/>
        <v>0</v>
      </c>
      <c r="P2939" s="1299"/>
      <c r="Q2939" s="1300"/>
      <c r="R2939" s="1300"/>
      <c r="S2939" s="1300"/>
    </row>
    <row r="2940" spans="1:19" s="1081" customFormat="1" hidden="1" outlineLevel="1">
      <c r="A2940" s="1072" t="str">
        <f t="shared" si="733"/>
        <v/>
      </c>
      <c r="B2940" s="1435" t="str">
        <f>IF($F$8=15,"TI40","TI30")</f>
        <v>TI30</v>
      </c>
      <c r="C2940" s="1302">
        <f>IF(G2940&gt;0,C2939+1,C2939)</f>
        <v>0</v>
      </c>
      <c r="D2940" s="1198">
        <f>VLOOKUP($B2940,dongia1,DG!$B$5,)</f>
        <v>0</v>
      </c>
      <c r="E2940" s="1243" t="str">
        <f>VLOOKUP($B2940,dongia1,DG!$C$5,)</f>
        <v>Biến dòng 24kV  30/5A</v>
      </c>
      <c r="F2940" s="1198" t="str">
        <f>VLOOKUP($B2940,dongia1,DG!$D$5,)</f>
        <v>cái</v>
      </c>
      <c r="G2940" s="1438">
        <f>G2932*3</f>
        <v>0</v>
      </c>
      <c r="H2940" s="1298">
        <f>VLOOKUP($B2940,dongia1,DG!$E$5,)*0</f>
        <v>0</v>
      </c>
      <c r="I2940" s="1298">
        <f>VLOOKUP($B2940,dongia1,DG!$F$5,)*0</f>
        <v>0</v>
      </c>
      <c r="J2940" s="1298">
        <f>VLOOKUP($B2940,dongia1,DG!$G$5,)</f>
        <v>0</v>
      </c>
      <c r="K2940" s="1298">
        <f>VLOOKUP($B2940,dongia1,DG!$H$5,)</f>
        <v>0</v>
      </c>
      <c r="L2940" s="1298">
        <f t="shared" si="734"/>
        <v>0</v>
      </c>
      <c r="M2940" s="1298">
        <f t="shared" si="735"/>
        <v>0</v>
      </c>
      <c r="N2940" s="1298">
        <f t="shared" si="736"/>
        <v>0</v>
      </c>
      <c r="O2940" s="1298">
        <f t="shared" si="737"/>
        <v>0</v>
      </c>
      <c r="P2940" s="1439" t="s">
        <v>3471</v>
      </c>
      <c r="Q2940" s="1300"/>
      <c r="R2940" s="1300"/>
      <c r="S2940" s="1300"/>
    </row>
    <row r="2941" spans="1:19" s="1081" customFormat="1" hidden="1" outlineLevel="1">
      <c r="A2941" s="1072" t="str">
        <f t="shared" si="733"/>
        <v/>
      </c>
      <c r="B2941" s="1435" t="str">
        <f>IF($F$8=15,"TU15","TU22")</f>
        <v>TU22</v>
      </c>
      <c r="C2941" s="1302">
        <f>IF(G2941&gt;0,C2940+1,C2940)</f>
        <v>0</v>
      </c>
      <c r="D2941" s="1198">
        <f>VLOOKUP($B2941,dongia1,DG!$B$5,)</f>
        <v>0</v>
      </c>
      <c r="E2941" s="1243" t="str">
        <f>VLOOKUP($B2941,dongia1,DG!$C$5,)</f>
        <v>Biến điện áp 22000/√3/100/√3 V</v>
      </c>
      <c r="F2941" s="1198" t="str">
        <f>VLOOKUP($B2941,dongia1,DG!$D$5,)</f>
        <v>cái</v>
      </c>
      <c r="G2941" s="1564">
        <f>G2940</f>
        <v>0</v>
      </c>
      <c r="H2941" s="1298">
        <f>VLOOKUP($B2941,dongia1,DG!$E$5,)</f>
        <v>0</v>
      </c>
      <c r="I2941" s="1298"/>
      <c r="J2941" s="1298">
        <f>VLOOKUP($B2941,dongia1,DG!$G$5,)</f>
        <v>92703</v>
      </c>
      <c r="K2941" s="1298">
        <f>VLOOKUP($B2941,dongia1,DG!$H$5,)</f>
        <v>84261</v>
      </c>
      <c r="L2941" s="1298">
        <f t="shared" si="734"/>
        <v>0</v>
      </c>
      <c r="M2941" s="1298">
        <f t="shared" si="735"/>
        <v>0</v>
      </c>
      <c r="N2941" s="1298">
        <f t="shared" si="736"/>
        <v>0</v>
      </c>
      <c r="O2941" s="1298">
        <f t="shared" si="737"/>
        <v>0</v>
      </c>
      <c r="P2941" s="1439" t="s">
        <v>3471</v>
      </c>
      <c r="Q2941" s="1300"/>
      <c r="R2941" s="1300"/>
      <c r="S2941" s="1300"/>
    </row>
    <row r="2942" spans="1:19" s="1081" customFormat="1" hidden="1" outlineLevel="1">
      <c r="A2942" s="1072" t="str">
        <f t="shared" si="733"/>
        <v/>
      </c>
      <c r="B2942" s="1565" t="s">
        <v>1873</v>
      </c>
      <c r="C2942" s="1302">
        <f>IF(G2942&gt;0,C2941+1,C2941)</f>
        <v>0</v>
      </c>
      <c r="D2942" s="1198">
        <f>VLOOKUP($B2942,dongia1,DG!$B$5,)</f>
        <v>0</v>
      </c>
      <c r="E2942" s="1243" t="str">
        <f>VLOOKUP($B2942,dongia1,DG!$C$5,)</f>
        <v>Điện kế 3 pha điện tử 5A</v>
      </c>
      <c r="F2942" s="1198" t="str">
        <f>VLOOKUP($B2942,dongia1,DG!$D$5,)</f>
        <v>cái</v>
      </c>
      <c r="G2942" s="1438">
        <f>G2932</f>
        <v>0</v>
      </c>
      <c r="H2942" s="1399">
        <f>VLOOKUP($B2942,dongia1,DG!$E$5,)*0</f>
        <v>0</v>
      </c>
      <c r="I2942" s="1399">
        <f>VLOOKUP($B2942,dongia1,DG!$F$5,)*0</f>
        <v>0</v>
      </c>
      <c r="J2942" s="1399">
        <f>VLOOKUP($B2942,dongia1,DG!$G$5,)*0</f>
        <v>0</v>
      </c>
      <c r="K2942" s="1399">
        <f>VLOOKUP($B2942,dongia1,DG!$H$5,)</f>
        <v>0</v>
      </c>
      <c r="L2942" s="1298">
        <f t="shared" si="734"/>
        <v>0</v>
      </c>
      <c r="M2942" s="1400">
        <f t="shared" si="735"/>
        <v>0</v>
      </c>
      <c r="N2942" s="1400">
        <f t="shared" si="736"/>
        <v>0</v>
      </c>
      <c r="O2942" s="1401">
        <f t="shared" si="737"/>
        <v>0</v>
      </c>
      <c r="P2942" s="1440" t="s">
        <v>3471</v>
      </c>
      <c r="Q2942" s="1300"/>
      <c r="R2942" s="1300"/>
      <c r="S2942" s="1300"/>
    </row>
    <row r="2943" spans="1:19" s="1081" customFormat="1" hidden="1" outlineLevel="1">
      <c r="A2943" s="1072">
        <f>A2927</f>
        <v>0</v>
      </c>
      <c r="B2943" s="1295"/>
      <c r="C2943" s="1441"/>
      <c r="D2943" s="1442"/>
      <c r="E2943" s="1443"/>
      <c r="F2943" s="1444"/>
      <c r="G2943" s="1445"/>
      <c r="H2943" s="1444"/>
      <c r="I2943" s="1444"/>
      <c r="J2943" s="1183" t="s">
        <v>3387</v>
      </c>
      <c r="K2943" s="1444"/>
      <c r="L2943" s="1446">
        <f>SUM(L2932:L2942)</f>
        <v>0</v>
      </c>
      <c r="M2943" s="1446">
        <f>SUM(M2932:M2942)</f>
        <v>0</v>
      </c>
      <c r="N2943" s="1446">
        <f>SUM(N2932:N2942)</f>
        <v>0</v>
      </c>
      <c r="O2943" s="1446">
        <f>SUM(O2932:O2942)</f>
        <v>0</v>
      </c>
      <c r="P2943" s="1566"/>
      <c r="Q2943" s="1300"/>
      <c r="R2943" s="1300"/>
      <c r="S2943" s="1300"/>
    </row>
    <row r="2944" spans="1:19" s="1081" customFormat="1" hidden="1" outlineLevel="1">
      <c r="A2944" s="1072">
        <f>A2927</f>
        <v>0</v>
      </c>
      <c r="B2944" s="1295"/>
      <c r="C2944" s="1448"/>
      <c r="D2944" s="1449"/>
      <c r="E2944" s="1450" t="s">
        <v>3376</v>
      </c>
      <c r="F2944" s="1450"/>
      <c r="G2944" s="1451"/>
      <c r="H2944" s="1450"/>
      <c r="I2944" s="1450"/>
      <c r="J2944" s="1450"/>
      <c r="K2944" s="1450"/>
      <c r="L2944" s="1450"/>
      <c r="M2944" s="1450"/>
      <c r="N2944" s="1450"/>
      <c r="O2944" s="1449"/>
      <c r="P2944" s="1566"/>
      <c r="Q2944" s="1300"/>
      <c r="R2944" s="1300"/>
      <c r="S2944" s="1300"/>
    </row>
    <row r="2945" spans="1:19" s="1081" customFormat="1" hidden="1" outlineLevel="1">
      <c r="A2945" s="1072" t="str">
        <f t="shared" ref="A2945:A2953" si="739">IF(G2945&lt;&gt;0,1,"")</f>
        <v/>
      </c>
      <c r="B2945" s="1452"/>
      <c r="C2945" s="1453">
        <f>IF(G2945&gt;0,1,0)</f>
        <v>0</v>
      </c>
      <c r="D2945" s="1198"/>
      <c r="E2945" s="1454" t="s">
        <v>3377</v>
      </c>
      <c r="F2945" s="1455" t="s">
        <v>1133</v>
      </c>
      <c r="G2945" s="1460">
        <f>G2932*1</f>
        <v>0</v>
      </c>
      <c r="H2945" s="1455"/>
      <c r="I2945" s="1455"/>
      <c r="J2945" s="1455"/>
      <c r="K2945" s="1455"/>
      <c r="L2945" s="1456"/>
      <c r="M2945" s="1456"/>
      <c r="N2945" s="1456"/>
      <c r="O2945" s="1457"/>
      <c r="P2945" s="1299"/>
      <c r="Q2945" s="1300"/>
      <c r="R2945" s="1300"/>
      <c r="S2945" s="1300"/>
    </row>
    <row r="2946" spans="1:19" s="1081" customFormat="1" hidden="1" outlineLevel="1">
      <c r="A2946" s="1072" t="str">
        <f t="shared" si="739"/>
        <v/>
      </c>
      <c r="B2946" s="1421" t="s">
        <v>5803</v>
      </c>
      <c r="C2946" s="1458"/>
      <c r="D2946" s="1198"/>
      <c r="E2946" s="1459" t="str">
        <f>VLOOKUP($B2946,dongia1,DG!$C$5,)</f>
        <v>Trụ BTLT 12m F540 dự ứng lực, K=2</v>
      </c>
      <c r="F2946" s="1198" t="str">
        <f>VLOOKUP($B2946,dongia1,DG!$D$5,)</f>
        <v>trụ</v>
      </c>
      <c r="G2946" s="1198">
        <f>G2945</f>
        <v>0</v>
      </c>
      <c r="H2946" s="1399">
        <f>VLOOKUP($B2946,dongia1,DG!$F$5,)</f>
        <v>5914000</v>
      </c>
      <c r="I2946" s="1291"/>
      <c r="J2946" s="1399"/>
      <c r="K2946" s="1291"/>
      <c r="L2946" s="1400">
        <f>H2946*G2946</f>
        <v>0</v>
      </c>
      <c r="M2946" s="1400">
        <f>I2946*G2946</f>
        <v>0</v>
      </c>
      <c r="N2946" s="1400">
        <f>J2946*G2946</f>
        <v>0</v>
      </c>
      <c r="O2946" s="1400">
        <f>K2946*G2946</f>
        <v>0</v>
      </c>
      <c r="P2946" s="1299"/>
      <c r="Q2946" s="1300"/>
      <c r="R2946" s="1300"/>
      <c r="S2946" s="1300"/>
    </row>
    <row r="2947" spans="1:19" s="1081" customFormat="1" hidden="1" outlineLevel="1">
      <c r="A2947" s="1072" t="str">
        <f t="shared" si="739"/>
        <v/>
      </c>
      <c r="B2947" s="1421" t="s">
        <v>1457</v>
      </c>
      <c r="C2947" s="1458"/>
      <c r="D2947" s="1198"/>
      <c r="E2947" s="1459" t="str">
        <f>VLOOKUP($B2947,dongia1,DG!$C$5,)</f>
        <v>Vật liệu dựng trụ</v>
      </c>
      <c r="F2947" s="1198" t="str">
        <f>VLOOKUP($B2947,dongia1,DG!$D$5,)</f>
        <v>trụ</v>
      </c>
      <c r="G2947" s="1198">
        <f>G2946</f>
        <v>0</v>
      </c>
      <c r="H2947" s="1399">
        <f>VLOOKUP($B2947,dongia1,DG!$F$5,)</f>
        <v>17400</v>
      </c>
      <c r="I2947" s="1399"/>
      <c r="J2947" s="1291"/>
      <c r="K2947" s="1291"/>
      <c r="L2947" s="1400">
        <f>H2947*G2947</f>
        <v>0</v>
      </c>
      <c r="M2947" s="1400">
        <f>I2947*G2947</f>
        <v>0</v>
      </c>
      <c r="N2947" s="1400">
        <f>J2947*G2947</f>
        <v>0</v>
      </c>
      <c r="O2947" s="1400">
        <f>K2947*G2947</f>
        <v>0</v>
      </c>
      <c r="P2947" s="1299"/>
      <c r="Q2947" s="1300"/>
      <c r="R2947" s="1300"/>
      <c r="S2947" s="1300"/>
    </row>
    <row r="2948" spans="1:19" s="1081" customFormat="1" hidden="1" outlineLevel="1">
      <c r="A2948" s="1072" t="str">
        <f t="shared" si="739"/>
        <v/>
      </c>
      <c r="B2948" s="1421" t="s">
        <v>695</v>
      </c>
      <c r="C2948" s="1458"/>
      <c r="D2948" s="1198" t="str">
        <f>VLOOKUP($B2948,dongia1,DG!$B$5,)</f>
        <v>D2.5232</v>
      </c>
      <c r="E2948" s="1459" t="str">
        <f>VLOOKUP($B2948,dongia1,DG!$C$5,)</f>
        <v>Dựng trụ BTLT 12m thủ công + cơ giới (cẩu)</v>
      </c>
      <c r="F2948" s="1198" t="str">
        <f>VLOOKUP($B2948,dongia1,DG!$D$5,)</f>
        <v>trụ</v>
      </c>
      <c r="G2948" s="1198">
        <f>G2946</f>
        <v>0</v>
      </c>
      <c r="H2948" s="1459"/>
      <c r="I2948" s="1399"/>
      <c r="J2948" s="1399">
        <f>VLOOKUP($B2948,dongia1,DG!$G$5,)</f>
        <v>589996</v>
      </c>
      <c r="K2948" s="1399">
        <f>VLOOKUP($B2948,dongia1,DG!$H$5,)</f>
        <v>202564.7</v>
      </c>
      <c r="L2948" s="1400">
        <f>H2948*G2948</f>
        <v>0</v>
      </c>
      <c r="M2948" s="1400">
        <f>I2948*G2948</f>
        <v>0</v>
      </c>
      <c r="N2948" s="1400">
        <f>J2948*G2948</f>
        <v>0</v>
      </c>
      <c r="O2948" s="1400">
        <f>K2948*G2948</f>
        <v>0</v>
      </c>
      <c r="P2948" s="1299"/>
      <c r="Q2948" s="1300"/>
      <c r="R2948" s="1300"/>
      <c r="S2948" s="1300"/>
    </row>
    <row r="2949" spans="1:19" s="1081" customFormat="1" hidden="1" outlineLevel="1">
      <c r="A2949" s="1072" t="str">
        <f t="shared" si="739"/>
        <v/>
      </c>
      <c r="B2949" s="1421" t="s">
        <v>1249</v>
      </c>
      <c r="C2949" s="1458"/>
      <c r="D2949" s="1198"/>
      <c r="E2949" s="1459" t="str">
        <f>VLOOKUP($B2949,dongia1,DG!$C$5,)</f>
        <v>Đào hố móng đất cấp 3 sâu &gt;1m DT&lt;5m2</v>
      </c>
      <c r="F2949" s="1198" t="str">
        <f>VLOOKUP($B2949,dongia1,DG!$D$5,)</f>
        <v>m3</v>
      </c>
      <c r="G2949" s="1198">
        <f>G2945*0.201*0</f>
        <v>0</v>
      </c>
      <c r="H2949" s="1399">
        <f>VLOOKUP($B2949,dongia1,DG!$F$5,)</f>
        <v>0</v>
      </c>
      <c r="I2949" s="1399"/>
      <c r="J2949" s="1399">
        <f>VLOOKUP($B2949,dongia1,DG!$G$5,)</f>
        <v>296500.89999999997</v>
      </c>
      <c r="K2949" s="1399">
        <f>VLOOKUP($B2949,dongia1,DG!$H$5,)</f>
        <v>0</v>
      </c>
      <c r="L2949" s="1400">
        <f>H2949*G2949</f>
        <v>0</v>
      </c>
      <c r="M2949" s="1400">
        <f>I2949*G2949</f>
        <v>0</v>
      </c>
      <c r="N2949" s="1400">
        <f>J2949*G2949</f>
        <v>0</v>
      </c>
      <c r="O2949" s="1400">
        <f>K2949*G2949</f>
        <v>0</v>
      </c>
      <c r="P2949" s="1299"/>
      <c r="Q2949" s="1300"/>
      <c r="R2949" s="1300"/>
      <c r="S2949" s="1300"/>
    </row>
    <row r="2950" spans="1:19" s="1081" customFormat="1" hidden="1" outlineLevel="1">
      <c r="A2950" s="1072" t="str">
        <f t="shared" si="739"/>
        <v/>
      </c>
      <c r="B2950" s="1421" t="s">
        <v>501</v>
      </c>
      <c r="C2950" s="1458"/>
      <c r="D2950" s="1198" t="str">
        <f>VLOOKUP($B2950,dongia1,DG!$B$5,)</f>
        <v>AB.13111</v>
      </c>
      <c r="E2950" s="1459" t="str">
        <f>VLOOKUP($B2950,dongia1,DG!$C$5,)</f>
        <v>Đắp đất hố móng, đất cấp 3 (độ chặt k = 0.85)</v>
      </c>
      <c r="F2950" s="1198" t="str">
        <f>VLOOKUP($B2950,dongia1,DG!$D$5,)</f>
        <v>m3</v>
      </c>
      <c r="G2950" s="1198">
        <f>G2945*0.182*0</f>
        <v>0</v>
      </c>
      <c r="H2950" s="1459"/>
      <c r="I2950" s="1399"/>
      <c r="J2950" s="1399">
        <f>VLOOKUP($B2950,dongia1,DG!$G$5,)</f>
        <v>117703.6</v>
      </c>
      <c r="K2950" s="1399">
        <f>VLOOKUP($B2950,dongia1,DG!$H$5,)</f>
        <v>0</v>
      </c>
      <c r="L2950" s="1400">
        <f>H2950*G2950</f>
        <v>0</v>
      </c>
      <c r="M2950" s="1400">
        <f>I2950*G2950</f>
        <v>0</v>
      </c>
      <c r="N2950" s="1400">
        <f>J2950*G2950</f>
        <v>0</v>
      </c>
      <c r="O2950" s="1400">
        <f>K2950*G2950</f>
        <v>0</v>
      </c>
      <c r="P2950" s="1299"/>
      <c r="Q2950" s="1300"/>
      <c r="R2950" s="1300"/>
      <c r="S2950" s="1300"/>
    </row>
    <row r="2951" spans="1:19" s="1081" customFormat="1" hidden="1" outlineLevel="1">
      <c r="A2951" s="1072" t="str">
        <f t="shared" si="739"/>
        <v/>
      </c>
      <c r="B2951" s="1421"/>
      <c r="C2951" s="1291">
        <f>IF(G2951&gt;0,C2945+1,C2945)</f>
        <v>0</v>
      </c>
      <c r="D2951" s="1198"/>
      <c r="E2951" s="1454" t="s">
        <v>5804</v>
      </c>
      <c r="F2951" s="1455" t="s">
        <v>3391</v>
      </c>
      <c r="G2951" s="1460">
        <f>G2945</f>
        <v>0</v>
      </c>
      <c r="H2951" s="1291"/>
      <c r="I2951" s="1291"/>
      <c r="J2951" s="1291"/>
      <c r="K2951" s="1291"/>
      <c r="L2951" s="1291"/>
      <c r="M2951" s="1291"/>
      <c r="N2951" s="1291"/>
      <c r="O2951" s="1461"/>
      <c r="P2951" s="1299"/>
      <c r="Q2951" s="1300"/>
      <c r="R2951" s="1300"/>
      <c r="S2951" s="1300"/>
    </row>
    <row r="2952" spans="1:19" s="1081" customFormat="1" hidden="1" outlineLevel="1">
      <c r="A2952" s="1072" t="str">
        <f t="shared" si="739"/>
        <v/>
      </c>
      <c r="B2952" s="1421" t="s">
        <v>1728</v>
      </c>
      <c r="C2952" s="1458"/>
      <c r="D2952" s="1198">
        <f>VLOOKUP($B2952,dongia1,DG!$B$5,)</f>
        <v>0</v>
      </c>
      <c r="E2952" s="1459" t="str">
        <f>VLOOKUP($B2952,dongia1,DG!$C$5,)</f>
        <v>Ximăng</v>
      </c>
      <c r="F2952" s="1198" t="str">
        <f>VLOOKUP($B2952,dongia1,DG!$D$5,)</f>
        <v>kg</v>
      </c>
      <c r="G2952" s="1198">
        <f>352*G2951</f>
        <v>0</v>
      </c>
      <c r="H2952" s="1399">
        <f>VLOOKUP($B2952,dongia1,DG!$F$5,)</f>
        <v>1740</v>
      </c>
      <c r="I2952" s="1399"/>
      <c r="J2952" s="1399">
        <f>VLOOKUP($B2952,dongia1,DG!$G$5,)</f>
        <v>0</v>
      </c>
      <c r="K2952" s="1291"/>
      <c r="L2952" s="1400">
        <f t="shared" ref="L2952:L2985" si="740">H2952*G2952</f>
        <v>0</v>
      </c>
      <c r="M2952" s="1400">
        <f>I2952*G2952</f>
        <v>0</v>
      </c>
      <c r="N2952" s="1400">
        <f>J2952*G2952</f>
        <v>0</v>
      </c>
      <c r="O2952" s="1400">
        <f>K2952*G2952</f>
        <v>0</v>
      </c>
      <c r="P2952" s="1299"/>
      <c r="Q2952" s="1300"/>
      <c r="R2952" s="1300"/>
      <c r="S2952" s="1300"/>
    </row>
    <row r="2953" spans="1:19" s="1081" customFormat="1" hidden="1" outlineLevel="1">
      <c r="A2953" s="1072" t="str">
        <f t="shared" si="739"/>
        <v/>
      </c>
      <c r="B2953" s="1421" t="s">
        <v>1729</v>
      </c>
      <c r="C2953" s="1458"/>
      <c r="D2953" s="1198"/>
      <c r="E2953" s="1459" t="str">
        <f>VLOOKUP($B2953,dongia1,DG!$C$5,)</f>
        <v>Cát vàng</v>
      </c>
      <c r="F2953" s="1198" t="str">
        <f>VLOOKUP($B2953,dongia1,DG!$D$5,)</f>
        <v>m3</v>
      </c>
      <c r="G2953" s="1198">
        <f>+G2951*0.565</f>
        <v>0</v>
      </c>
      <c r="H2953" s="1399">
        <f>VLOOKUP($B2953,dongia1,DG!$F$5,)</f>
        <v>512000</v>
      </c>
      <c r="I2953" s="1459"/>
      <c r="J2953" s="1459"/>
      <c r="K2953" s="1291"/>
      <c r="L2953" s="1400">
        <f t="shared" si="740"/>
        <v>0</v>
      </c>
      <c r="M2953" s="1400">
        <f>I2953*G2953</f>
        <v>0</v>
      </c>
      <c r="N2953" s="1400">
        <f>J2953*G2953</f>
        <v>0</v>
      </c>
      <c r="O2953" s="1400">
        <f>K2953*G2953</f>
        <v>0</v>
      </c>
      <c r="P2953" s="1299"/>
      <c r="Q2953" s="1300"/>
      <c r="R2953" s="1300"/>
      <c r="S2953" s="1300"/>
    </row>
    <row r="2954" spans="1:19" s="1081" customFormat="1" hidden="1" outlineLevel="1">
      <c r="A2954" s="1072" t="str">
        <f t="shared" ref="A2954:A2959" si="741">IF(G2954&lt;&gt;0,1,"")</f>
        <v/>
      </c>
      <c r="B2954" s="1421" t="s">
        <v>853</v>
      </c>
      <c r="C2954" s="1458"/>
      <c r="D2954" s="1198">
        <f>VLOOKUP($B2954,dongia1,DG!$B$5,)</f>
        <v>0</v>
      </c>
      <c r="E2954" s="1459" t="str">
        <f>VLOOKUP($B2954,dongia1,DG!$C$5,)</f>
        <v>Đá 1x2</v>
      </c>
      <c r="F2954" s="1198" t="str">
        <f>VLOOKUP($B2954,dongia1,DG!$D$5,)</f>
        <v>m3</v>
      </c>
      <c r="G2954" s="1198">
        <f>+G2951*1.049</f>
        <v>0</v>
      </c>
      <c r="H2954" s="1399">
        <f>VLOOKUP($B2954,dongia1,DG!$F$5,)</f>
        <v>335000</v>
      </c>
      <c r="I2954" s="1399"/>
      <c r="J2954" s="1399">
        <f>VLOOKUP($B2954,dongia1,DG!$G$5,)</f>
        <v>0</v>
      </c>
      <c r="K2954" s="1291"/>
      <c r="L2954" s="1400">
        <f t="shared" si="740"/>
        <v>0</v>
      </c>
      <c r="M2954" s="1400">
        <f>I2954*G2954</f>
        <v>0</v>
      </c>
      <c r="N2954" s="1400">
        <f>J2954*G2954</f>
        <v>0</v>
      </c>
      <c r="O2954" s="1400">
        <f>K2954*G2954</f>
        <v>0</v>
      </c>
      <c r="P2954" s="1299"/>
      <c r="Q2954" s="1300"/>
      <c r="R2954" s="1300"/>
      <c r="S2954" s="1300"/>
    </row>
    <row r="2955" spans="1:19" s="1081" customFormat="1" hidden="1" outlineLevel="1">
      <c r="A2955" s="1072" t="str">
        <f t="shared" si="741"/>
        <v/>
      </c>
      <c r="B2955" s="1421" t="s">
        <v>62</v>
      </c>
      <c r="C2955" s="1458"/>
      <c r="D2955" s="1198"/>
      <c r="E2955" s="1459" t="str">
        <f>VLOOKUP($B2955,dongia1,DG!$C$5,)</f>
        <v>Sắt   Þ10</v>
      </c>
      <c r="F2955" s="1198" t="str">
        <f>VLOOKUP($B2955,dongia1,DG!$D$5,)</f>
        <v>kg</v>
      </c>
      <c r="G2955" s="1198"/>
      <c r="H2955" s="1399">
        <f>VLOOKUP($B2955,dongia1,DG!$F$5,)</f>
        <v>13300</v>
      </c>
      <c r="I2955" s="1459"/>
      <c r="J2955" s="1459"/>
      <c r="K2955" s="1291"/>
      <c r="L2955" s="1400">
        <f t="shared" si="740"/>
        <v>0</v>
      </c>
      <c r="M2955" s="1400">
        <f>I2955*G2955</f>
        <v>0</v>
      </c>
      <c r="N2955" s="1400">
        <f>J2955*G2955</f>
        <v>0</v>
      </c>
      <c r="O2955" s="1400">
        <f>K2955*G2955</f>
        <v>0</v>
      </c>
      <c r="P2955" s="1299"/>
      <c r="Q2955" s="1300"/>
      <c r="R2955" s="1300"/>
      <c r="S2955" s="1300"/>
    </row>
    <row r="2956" spans="1:19" s="1081" customFormat="1" hidden="1" outlineLevel="1">
      <c r="A2956" s="1072" t="str">
        <f t="shared" si="741"/>
        <v/>
      </c>
      <c r="B2956" s="1421" t="s">
        <v>60</v>
      </c>
      <c r="C2956" s="1458"/>
      <c r="D2956" s="1198">
        <f>VLOOKUP($B2956,dongia1,DG!$B$5,)</f>
        <v>0</v>
      </c>
      <c r="E2956" s="1459" t="str">
        <f>VLOOKUP($B2956,dongia1,DG!$C$5,)</f>
        <v>Kẽm</v>
      </c>
      <c r="F2956" s="1198" t="str">
        <f>VLOOKUP($B2956,dongia1,DG!$D$5,)</f>
        <v>kg</v>
      </c>
      <c r="G2956" s="1198"/>
      <c r="H2956" s="1399">
        <f>VLOOKUP($B2956,dongia1,DG!$F$5,)</f>
        <v>10500</v>
      </c>
      <c r="I2956" s="1399"/>
      <c r="J2956" s="1399">
        <f>VLOOKUP($B2956,dongia1,DG!$G$5,)</f>
        <v>0</v>
      </c>
      <c r="K2956" s="1291"/>
      <c r="L2956" s="1400">
        <f t="shared" si="740"/>
        <v>0</v>
      </c>
      <c r="M2956" s="1400">
        <f>I2956*G2956</f>
        <v>0</v>
      </c>
      <c r="N2956" s="1400">
        <f>J2956*G2956</f>
        <v>0</v>
      </c>
      <c r="O2956" s="1400">
        <f>K2956*G2956</f>
        <v>0</v>
      </c>
      <c r="P2956" s="1299"/>
      <c r="Q2956" s="1300"/>
      <c r="R2956" s="1300"/>
      <c r="S2956" s="1300"/>
    </row>
    <row r="2957" spans="1:19" s="1081" customFormat="1" hidden="1" outlineLevel="1">
      <c r="A2957" s="1072" t="str">
        <f t="shared" si="741"/>
        <v/>
      </c>
      <c r="B2957" s="1421" t="str">
        <f>IF(capdat=1,"MDD1",IF(capdat=2,"MDD2",IF(capdat=3,"MDD3",IF(capdat=4,"MDD4"))))</f>
        <v>MDD3</v>
      </c>
      <c r="C2957" s="1458"/>
      <c r="D2957" s="1198" t="str">
        <f>VLOOKUP($B2957,dongia1,DG!$B$5,)</f>
        <v>03.1013</v>
      </c>
      <c r="E2957" s="1459" t="str">
        <f>VLOOKUP($B2957,dongia1,DG!$C$5,)</f>
        <v>Đào hố móng đất cấp 3 sâu &gt;1m DT&lt;5m2</v>
      </c>
      <c r="F2957" s="1198" t="str">
        <f>VLOOKUP($B2957,dongia1,DG!$D$5,)</f>
        <v>m3</v>
      </c>
      <c r="G2957" s="1198">
        <f>+G2951*1.28</f>
        <v>0</v>
      </c>
      <c r="H2957" s="1399">
        <f>VLOOKUP($B2957,dongia1,DG!$F$5,)</f>
        <v>0</v>
      </c>
      <c r="I2957" s="1399"/>
      <c r="J2957" s="1399">
        <f>VLOOKUP($B2957,dongia1,DG!$G$5,)</f>
        <v>296500.89999999997</v>
      </c>
      <c r="K2957" s="1291"/>
      <c r="L2957" s="1400">
        <f t="shared" si="740"/>
        <v>0</v>
      </c>
      <c r="M2957" s="1400">
        <f t="shared" ref="M2957:M2964" si="742">I2957*G2957</f>
        <v>0</v>
      </c>
      <c r="N2957" s="1400">
        <f t="shared" ref="N2957:N2964" si="743">J2957*G2957</f>
        <v>0</v>
      </c>
      <c r="O2957" s="1400">
        <f t="shared" ref="O2957:O2964" si="744">K2957*G2957</f>
        <v>0</v>
      </c>
      <c r="P2957" s="1299"/>
      <c r="Q2957" s="1300"/>
      <c r="R2957" s="1300"/>
      <c r="S2957" s="1300"/>
    </row>
    <row r="2958" spans="1:19" s="1081" customFormat="1" hidden="1" outlineLevel="1">
      <c r="A2958" s="1072" t="str">
        <f t="shared" si="741"/>
        <v/>
      </c>
      <c r="B2958" s="1567" t="s">
        <v>2065</v>
      </c>
      <c r="C2958" s="1458"/>
      <c r="D2958" s="1198" t="str">
        <f>VLOOKUP($B2958,dongia1,DG!$B$5,)</f>
        <v>AF.11220</v>
      </c>
      <c r="E2958" s="1459" t="str">
        <f>VLOOKUP($B2958,dongia1,DG!$C$5,)</f>
        <v>Đổ bê tông mác M150 đá 2x4 rộng &gt;250cm</v>
      </c>
      <c r="F2958" s="1198" t="str">
        <f>VLOOKUP($B2958,dongia1,DG!$D$5,)</f>
        <v>m3</v>
      </c>
      <c r="G2958" s="1198">
        <f>+G2951*1.19</f>
        <v>0</v>
      </c>
      <c r="H2958" s="1399">
        <f>VLOOKUP($B2958,dongia1,DG!$F$5,)</f>
        <v>461871</v>
      </c>
      <c r="I2958" s="1399"/>
      <c r="J2958" s="1399">
        <f>VLOOKUP($B2958,dongia1,DG!$G$5,)</f>
        <v>414064.45</v>
      </c>
      <c r="K2958" s="1291"/>
      <c r="L2958" s="1400">
        <f t="shared" si="740"/>
        <v>0</v>
      </c>
      <c r="M2958" s="1400">
        <f t="shared" si="742"/>
        <v>0</v>
      </c>
      <c r="N2958" s="1400">
        <f t="shared" si="743"/>
        <v>0</v>
      </c>
      <c r="O2958" s="1400">
        <f t="shared" si="744"/>
        <v>0</v>
      </c>
      <c r="P2958" s="1299"/>
      <c r="Q2958" s="1300"/>
      <c r="R2958" s="1300"/>
      <c r="S2958" s="1300"/>
    </row>
    <row r="2959" spans="1:19" s="1081" customFormat="1" hidden="1" outlineLevel="1">
      <c r="A2959" s="1072" t="str">
        <f t="shared" si="741"/>
        <v/>
      </c>
      <c r="B2959" s="1295"/>
      <c r="C2959" s="1291">
        <f>IF(G2959&gt;0,C2951+1,C2951)</f>
        <v>0</v>
      </c>
      <c r="D2959" s="1292"/>
      <c r="E2959" s="1468" t="s">
        <v>3452</v>
      </c>
      <c r="F2959" s="1291" t="s">
        <v>2113</v>
      </c>
      <c r="G2959" s="1297"/>
      <c r="H2959" s="1467"/>
      <c r="I2959" s="1467"/>
      <c r="J2959" s="1467"/>
      <c r="K2959" s="1467"/>
      <c r="L2959" s="1400">
        <f t="shared" si="740"/>
        <v>0</v>
      </c>
      <c r="M2959" s="1400">
        <f t="shared" si="742"/>
        <v>0</v>
      </c>
      <c r="N2959" s="1400">
        <f t="shared" si="743"/>
        <v>0</v>
      </c>
      <c r="O2959" s="1400">
        <f t="shared" si="744"/>
        <v>0</v>
      </c>
      <c r="P2959" s="1299"/>
      <c r="Q2959" s="1300"/>
      <c r="R2959" s="1300"/>
      <c r="S2959" s="1300"/>
    </row>
    <row r="2960" spans="1:19" s="1081" customFormat="1" ht="14.4" hidden="1" outlineLevel="1">
      <c r="A2960" s="1072" t="str">
        <f>A2959</f>
        <v/>
      </c>
      <c r="B2960" s="1295"/>
      <c r="C2960" s="1291"/>
      <c r="D2960" s="1292"/>
      <c r="E2960" s="1301" t="s">
        <v>3399</v>
      </c>
      <c r="F2960" s="1302"/>
      <c r="G2960" s="1303"/>
      <c r="H2960" s="1467"/>
      <c r="I2960" s="1467"/>
      <c r="J2960" s="1467"/>
      <c r="K2960" s="1467"/>
      <c r="L2960" s="1400">
        <f t="shared" si="740"/>
        <v>0</v>
      </c>
      <c r="M2960" s="1400">
        <f t="shared" si="742"/>
        <v>0</v>
      </c>
      <c r="N2960" s="1400">
        <f t="shared" si="743"/>
        <v>0</v>
      </c>
      <c r="O2960" s="1400">
        <f t="shared" si="744"/>
        <v>0</v>
      </c>
      <c r="P2960" s="1299"/>
      <c r="Q2960" s="1300"/>
      <c r="R2960" s="1300"/>
      <c r="S2960" s="1300"/>
    </row>
    <row r="2961" spans="1:19" s="1081" customFormat="1" hidden="1" outlineLevel="1">
      <c r="A2961" s="1072" t="str">
        <f t="shared" ref="A2961:A2966" si="745">IF(G2961&lt;&gt;0,1,"")</f>
        <v/>
      </c>
      <c r="B2961" s="1068" t="s">
        <v>1626</v>
      </c>
      <c r="C2961" s="1291"/>
      <c r="D2961" s="1198">
        <v>0</v>
      </c>
      <c r="E2961" s="1243" t="str">
        <f>VLOOKUP($B2961,dongia1,DG!$C$5,)</f>
        <v>Sắt góc L75 x75 x8</v>
      </c>
      <c r="F2961" s="1198" t="s">
        <v>1557</v>
      </c>
      <c r="G2961" s="1304">
        <f>G2959*9.02*(2.6+3*0.07)*2</f>
        <v>0</v>
      </c>
      <c r="H2961" s="1399">
        <v>11500</v>
      </c>
      <c r="I2961" s="1399"/>
      <c r="J2961" s="1399">
        <v>0</v>
      </c>
      <c r="K2961" s="1399">
        <v>0</v>
      </c>
      <c r="L2961" s="1400">
        <f t="shared" si="740"/>
        <v>0</v>
      </c>
      <c r="M2961" s="1400">
        <f t="shared" si="742"/>
        <v>0</v>
      </c>
      <c r="N2961" s="1400">
        <f t="shared" si="743"/>
        <v>0</v>
      </c>
      <c r="O2961" s="1400">
        <f t="shared" si="744"/>
        <v>0</v>
      </c>
      <c r="P2961" s="1299"/>
      <c r="Q2961" s="1300"/>
      <c r="R2961" s="1300"/>
      <c r="S2961" s="1300"/>
    </row>
    <row r="2962" spans="1:19" s="1081" customFormat="1" hidden="1" outlineLevel="1">
      <c r="A2962" s="1072" t="str">
        <f t="shared" si="745"/>
        <v/>
      </c>
      <c r="B2962" s="1295" t="s">
        <v>1042</v>
      </c>
      <c r="C2962" s="1291"/>
      <c r="D2962" s="1198">
        <v>0</v>
      </c>
      <c r="E2962" s="1243" t="str">
        <f>VLOOKUP($B2962,dongia1,DG!$C$5,)</f>
        <v>Boulon 16x300VRS+ 4 long đền vuông D18-50x50x3/Zn</v>
      </c>
      <c r="F2962" s="1198" t="s">
        <v>2113</v>
      </c>
      <c r="G2962" s="1303">
        <f>G2959*2</f>
        <v>0</v>
      </c>
      <c r="H2962" s="1399">
        <v>12340</v>
      </c>
      <c r="I2962" s="1399">
        <v>0</v>
      </c>
      <c r="J2962" s="1399">
        <v>0</v>
      </c>
      <c r="K2962" s="1399">
        <v>0</v>
      </c>
      <c r="L2962" s="1400">
        <f t="shared" si="740"/>
        <v>0</v>
      </c>
      <c r="M2962" s="1400">
        <f t="shared" si="742"/>
        <v>0</v>
      </c>
      <c r="N2962" s="1400">
        <f t="shared" si="743"/>
        <v>0</v>
      </c>
      <c r="O2962" s="1400">
        <f t="shared" si="744"/>
        <v>0</v>
      </c>
      <c r="P2962" s="1299"/>
      <c r="Q2962" s="1300"/>
      <c r="R2962" s="1300"/>
      <c r="S2962" s="1300"/>
    </row>
    <row r="2963" spans="1:19" s="1081" customFormat="1" hidden="1" outlineLevel="1">
      <c r="A2963" s="1072" t="str">
        <f t="shared" si="745"/>
        <v/>
      </c>
      <c r="B2963" s="1295" t="s">
        <v>1262</v>
      </c>
      <c r="C2963" s="1291"/>
      <c r="D2963" s="1198">
        <v>0</v>
      </c>
      <c r="E2963" s="1243" t="str">
        <f>VLOOKUP($B2963,dongia1,DG!$C$5,)</f>
        <v>Boulon 16x300+ 2 long đền vuông D18-50x50x3/Zn</v>
      </c>
      <c r="F2963" s="1198" t="s">
        <v>2113</v>
      </c>
      <c r="G2963" s="1303">
        <f>G2959*2</f>
        <v>0</v>
      </c>
      <c r="H2963" s="1399">
        <v>9120</v>
      </c>
      <c r="I2963" s="1399">
        <v>0</v>
      </c>
      <c r="J2963" s="1399">
        <v>0</v>
      </c>
      <c r="K2963" s="1399">
        <v>0</v>
      </c>
      <c r="L2963" s="1400">
        <f t="shared" si="740"/>
        <v>0</v>
      </c>
      <c r="M2963" s="1400">
        <f t="shared" si="742"/>
        <v>0</v>
      </c>
      <c r="N2963" s="1400">
        <f t="shared" si="743"/>
        <v>0</v>
      </c>
      <c r="O2963" s="1400">
        <f t="shared" si="744"/>
        <v>0</v>
      </c>
      <c r="P2963" s="1299"/>
      <c r="Q2963" s="1300"/>
      <c r="R2963" s="1300"/>
      <c r="S2963" s="1300"/>
    </row>
    <row r="2964" spans="1:19" s="1081" customFormat="1" hidden="1" outlineLevel="1">
      <c r="A2964" s="1072" t="str">
        <f t="shared" si="745"/>
        <v/>
      </c>
      <c r="B2964" s="1295" t="s">
        <v>1261</v>
      </c>
      <c r="C2964" s="1291"/>
      <c r="D2964" s="1198">
        <v>0</v>
      </c>
      <c r="E2964" s="1243" t="str">
        <f>VLOOKUP($B2964,dongia1,DG!$C$5,)</f>
        <v>Boulon 16x250+ 2 long đền vuông D18-50x50x3/Zn</v>
      </c>
      <c r="F2964" s="1198" t="s">
        <v>2113</v>
      </c>
      <c r="G2964" s="1303">
        <f>G2963</f>
        <v>0</v>
      </c>
      <c r="H2964" s="1399">
        <v>9220</v>
      </c>
      <c r="I2964" s="1399">
        <v>0</v>
      </c>
      <c r="J2964" s="1399">
        <v>0</v>
      </c>
      <c r="K2964" s="1399">
        <v>0</v>
      </c>
      <c r="L2964" s="1400">
        <f t="shared" si="740"/>
        <v>0</v>
      </c>
      <c r="M2964" s="1400">
        <f t="shared" si="742"/>
        <v>0</v>
      </c>
      <c r="N2964" s="1400">
        <f t="shared" si="743"/>
        <v>0</v>
      </c>
      <c r="O2964" s="1400">
        <f t="shared" si="744"/>
        <v>0</v>
      </c>
      <c r="P2964" s="1299"/>
      <c r="Q2964" s="1300"/>
      <c r="R2964" s="1300"/>
      <c r="S2964" s="1300"/>
    </row>
    <row r="2965" spans="1:19" s="1081" customFormat="1" hidden="1" outlineLevel="1">
      <c r="A2965" s="1072" t="str">
        <f t="shared" si="745"/>
        <v/>
      </c>
      <c r="B2965" s="1295" t="s">
        <v>728</v>
      </c>
      <c r="C2965" s="1291"/>
      <c r="D2965" s="1198" t="s">
        <v>192</v>
      </c>
      <c r="E2965" s="1243" t="str">
        <f>VLOOKUP($B2965,dongia1,DG!$C$5,)</f>
        <v>Lắp xà cột Pi loại ≤140kg/xà</v>
      </c>
      <c r="F2965" s="1198" t="s">
        <v>2113</v>
      </c>
      <c r="G2965" s="1303">
        <f>G2959</f>
        <v>0</v>
      </c>
      <c r="H2965" s="1399">
        <v>0</v>
      </c>
      <c r="I2965" s="1399"/>
      <c r="J2965" s="1399" t="str">
        <f>TEXT(VLOOKUP($B2965,dongia1,DG!$G$5,),"#,###")&amp;"x"&amp;hslxh</f>
        <v>474961,x1,7</v>
      </c>
      <c r="K2965" s="1399"/>
      <c r="L2965" s="1400">
        <f t="shared" si="740"/>
        <v>0</v>
      </c>
      <c r="M2965" s="1400"/>
      <c r="N2965" s="1399">
        <f>VLOOKUP($B2965,dongia1,DG!$G$5,)*G2965*hslxh</f>
        <v>0</v>
      </c>
      <c r="O2965" s="1400"/>
      <c r="P2965" s="1299"/>
      <c r="Q2965" s="1300"/>
      <c r="R2965" s="1300"/>
      <c r="S2965" s="1300"/>
    </row>
    <row r="2966" spans="1:19" s="1081" customFormat="1" hidden="1" outlineLevel="1" collapsed="1">
      <c r="A2966" s="1072" t="str">
        <f t="shared" si="745"/>
        <v/>
      </c>
      <c r="B2966" s="1295"/>
      <c r="C2966" s="1291">
        <f>IF(G2966&gt;0,C2959+1,C2959)</f>
        <v>0</v>
      </c>
      <c r="D2966" s="1292"/>
      <c r="E2966" s="1468" t="s">
        <v>5805</v>
      </c>
      <c r="F2966" s="1291" t="s">
        <v>2113</v>
      </c>
      <c r="G2966" s="1297">
        <f>G2932*2</f>
        <v>0</v>
      </c>
      <c r="H2966" s="1298"/>
      <c r="I2966" s="1298"/>
      <c r="J2966" s="1298"/>
      <c r="K2966" s="1298"/>
      <c r="L2966" s="1298">
        <f t="shared" si="740"/>
        <v>0</v>
      </c>
      <c r="M2966" s="1298">
        <f>I2966*G2966</f>
        <v>0</v>
      </c>
      <c r="N2966" s="1298">
        <f>J2966*G2966</f>
        <v>0</v>
      </c>
      <c r="O2966" s="1298">
        <f>K2966*G2966</f>
        <v>0</v>
      </c>
      <c r="P2966" s="1299"/>
      <c r="Q2966" s="1300"/>
      <c r="R2966" s="1300"/>
      <c r="S2966" s="1300"/>
    </row>
    <row r="2967" spans="1:19" s="1081" customFormat="1" ht="14.4" hidden="1" outlineLevel="1">
      <c r="A2967" s="1072" t="str">
        <f>A2966</f>
        <v/>
      </c>
      <c r="B2967" s="1295"/>
      <c r="C2967" s="1291"/>
      <c r="D2967" s="1292"/>
      <c r="E2967" s="1301" t="s">
        <v>3399</v>
      </c>
      <c r="F2967" s="1302"/>
      <c r="G2967" s="1303"/>
      <c r="H2967" s="1298"/>
      <c r="I2967" s="1298"/>
      <c r="J2967" s="1298"/>
      <c r="K2967" s="1298"/>
      <c r="L2967" s="1298">
        <f t="shared" si="740"/>
        <v>0</v>
      </c>
      <c r="M2967" s="1298">
        <f>I2967*G2967</f>
        <v>0</v>
      </c>
      <c r="N2967" s="1298">
        <f>J2967*G2967</f>
        <v>0</v>
      </c>
      <c r="O2967" s="1298">
        <f>K2967*G2967</f>
        <v>0</v>
      </c>
      <c r="P2967" s="1299"/>
      <c r="Q2967" s="1300"/>
      <c r="R2967" s="1300"/>
      <c r="S2967" s="1300"/>
    </row>
    <row r="2968" spans="1:19" s="1081" customFormat="1" hidden="1" outlineLevel="1">
      <c r="A2968" s="1072" t="str">
        <f t="shared" ref="A2968:A2974" si="746">IF(G2968&lt;&gt;0,1,"")</f>
        <v/>
      </c>
      <c r="B2968" s="1295" t="s">
        <v>1626</v>
      </c>
      <c r="C2968" s="1291"/>
      <c r="D2968" s="1198">
        <v>0</v>
      </c>
      <c r="E2968" s="1243" t="str">
        <f>VLOOKUP($B2968,dongia1,DG!$C$5,)</f>
        <v>Sắt góc L75 x75 x8</v>
      </c>
      <c r="F2968" s="1198" t="s">
        <v>1557</v>
      </c>
      <c r="G2968" s="1304">
        <f>G2966*9.02*(2.2+4*0.07)*2</f>
        <v>0</v>
      </c>
      <c r="H2968" s="1298">
        <v>11500</v>
      </c>
      <c r="I2968" s="1298"/>
      <c r="J2968" s="1298">
        <v>0</v>
      </c>
      <c r="K2968" s="1298"/>
      <c r="L2968" s="1298">
        <f t="shared" si="740"/>
        <v>0</v>
      </c>
      <c r="M2968" s="1298"/>
      <c r="N2968" s="1298"/>
      <c r="O2968" s="1298"/>
      <c r="P2968" s="1299"/>
      <c r="Q2968" s="1300"/>
      <c r="R2968" s="1300"/>
      <c r="S2968" s="1300"/>
    </row>
    <row r="2969" spans="1:19" s="1081" customFormat="1" hidden="1" outlineLevel="1">
      <c r="A2969" s="1072" t="str">
        <f t="shared" si="746"/>
        <v/>
      </c>
      <c r="B2969" s="1295" t="s">
        <v>518</v>
      </c>
      <c r="C2969" s="1291"/>
      <c r="D2969" s="1198" t="s">
        <v>2011</v>
      </c>
      <c r="E2969" s="1243" t="str">
        <f>VLOOKUP($B2969,dongia1,DG!$C$5,)</f>
        <v>Sắt góc L50 x50 x5</v>
      </c>
      <c r="F2969" s="1198" t="s">
        <v>1557</v>
      </c>
      <c r="G2969" s="1304">
        <f>G2966*3.77*0.81*4</f>
        <v>0</v>
      </c>
      <c r="H2969" s="1298">
        <v>11500</v>
      </c>
      <c r="I2969" s="1298"/>
      <c r="J2969" s="1298">
        <v>0</v>
      </c>
      <c r="K2969" s="1298"/>
      <c r="L2969" s="1298">
        <f t="shared" si="740"/>
        <v>0</v>
      </c>
      <c r="M2969" s="1298"/>
      <c r="N2969" s="1298"/>
      <c r="O2969" s="1298"/>
      <c r="P2969" s="1299"/>
      <c r="Q2969" s="1300"/>
      <c r="R2969" s="1300"/>
      <c r="S2969" s="1300"/>
    </row>
    <row r="2970" spans="1:19" s="1081" customFormat="1" hidden="1" outlineLevel="1">
      <c r="A2970" s="1072" t="str">
        <f t="shared" si="746"/>
        <v/>
      </c>
      <c r="B2970" s="1295" t="s">
        <v>1262</v>
      </c>
      <c r="C2970" s="1291"/>
      <c r="D2970" s="1198">
        <v>0</v>
      </c>
      <c r="E2970" s="1243" t="str">
        <f>VLOOKUP($B2970,dongia1,DG!$C$5,)</f>
        <v>Boulon 16x300+ 2 long đền vuông D18-50x50x3/Zn</v>
      </c>
      <c r="F2970" s="1198" t="s">
        <v>2113</v>
      </c>
      <c r="G2970" s="1303">
        <f>G2966*2</f>
        <v>0</v>
      </c>
      <c r="H2970" s="1298">
        <v>9120</v>
      </c>
      <c r="I2970" s="1298">
        <v>0</v>
      </c>
      <c r="J2970" s="1298">
        <v>0</v>
      </c>
      <c r="K2970" s="1298"/>
      <c r="L2970" s="1298">
        <f t="shared" si="740"/>
        <v>0</v>
      </c>
      <c r="M2970" s="1298"/>
      <c r="N2970" s="1298"/>
      <c r="O2970" s="1298"/>
      <c r="P2970" s="1299"/>
      <c r="Q2970" s="1300"/>
      <c r="R2970" s="1300"/>
      <c r="S2970" s="1300"/>
    </row>
    <row r="2971" spans="1:19" s="1081" customFormat="1" hidden="1" outlineLevel="1">
      <c r="A2971" s="1072" t="str">
        <f t="shared" si="746"/>
        <v/>
      </c>
      <c r="B2971" s="1295" t="s">
        <v>1044</v>
      </c>
      <c r="C2971" s="1291"/>
      <c r="D2971" s="1198">
        <v>0</v>
      </c>
      <c r="E2971" s="1243" t="str">
        <f>VLOOKUP($B2971,dongia1,DG!$C$5,)</f>
        <v>Boulon 16x50+ 2 long đền vuông D18-50x50x3/Zn</v>
      </c>
      <c r="F2971" s="1198" t="s">
        <v>2113</v>
      </c>
      <c r="G2971" s="1303">
        <f>G2966*4</f>
        <v>0</v>
      </c>
      <c r="H2971" s="1298">
        <v>4620</v>
      </c>
      <c r="I2971" s="1298">
        <v>0</v>
      </c>
      <c r="J2971" s="1298">
        <v>0</v>
      </c>
      <c r="K2971" s="1298"/>
      <c r="L2971" s="1298">
        <f t="shared" si="740"/>
        <v>0</v>
      </c>
      <c r="M2971" s="1298"/>
      <c r="N2971" s="1298"/>
      <c r="O2971" s="1298"/>
      <c r="P2971" s="1299"/>
      <c r="Q2971" s="1300"/>
      <c r="R2971" s="1300"/>
      <c r="S2971" s="1300"/>
    </row>
    <row r="2972" spans="1:19" s="1081" customFormat="1" hidden="1" outlineLevel="1">
      <c r="A2972" s="1072" t="str">
        <f t="shared" si="746"/>
        <v/>
      </c>
      <c r="B2972" s="1295" t="s">
        <v>1042</v>
      </c>
      <c r="C2972" s="1291"/>
      <c r="D2972" s="1198">
        <v>0</v>
      </c>
      <c r="E2972" s="1243" t="str">
        <f>VLOOKUP($B2972,dongia1,DG!$C$5,)</f>
        <v>Boulon 16x300VRS+ 4 long đền vuông D18-50x50x3/Zn</v>
      </c>
      <c r="F2972" s="1198" t="s">
        <v>2113</v>
      </c>
      <c r="G2972" s="1303">
        <f>G2966*4</f>
        <v>0</v>
      </c>
      <c r="H2972" s="1298">
        <v>12340</v>
      </c>
      <c r="I2972" s="1298">
        <v>0</v>
      </c>
      <c r="J2972" s="1298">
        <v>0</v>
      </c>
      <c r="K2972" s="1298">
        <v>0</v>
      </c>
      <c r="L2972" s="1298">
        <f t="shared" si="740"/>
        <v>0</v>
      </c>
      <c r="M2972" s="1298">
        <f>I2972*G2972</f>
        <v>0</v>
      </c>
      <c r="N2972" s="1298">
        <f>J2972*G2972</f>
        <v>0</v>
      </c>
      <c r="O2972" s="1298">
        <f>K2972*G2972</f>
        <v>0</v>
      </c>
      <c r="P2972" s="1299"/>
      <c r="Q2972" s="1300"/>
      <c r="R2972" s="1300"/>
      <c r="S2972" s="1300"/>
    </row>
    <row r="2973" spans="1:19" s="1081" customFormat="1" hidden="1" outlineLevel="1">
      <c r="A2973" s="1072" t="str">
        <f t="shared" si="746"/>
        <v/>
      </c>
      <c r="B2973" s="1295" t="s">
        <v>813</v>
      </c>
      <c r="C2973" s="1291"/>
      <c r="D2973" s="1198" t="s">
        <v>836</v>
      </c>
      <c r="E2973" s="1243" t="str">
        <f>VLOOKUP($B2973,dongia1,DG!$C$5,)</f>
        <v>Lắp xà đỡ 50kg</v>
      </c>
      <c r="F2973" s="1198" t="s">
        <v>2113</v>
      </c>
      <c r="G2973" s="1303">
        <f>G2966</f>
        <v>0</v>
      </c>
      <c r="H2973" s="1298">
        <v>0</v>
      </c>
      <c r="I2973" s="1298"/>
      <c r="J2973" s="1298" t="str">
        <f>TEXT(VLOOKUP($B2973,dongia1,DG!$G$5,),"#,###")&amp;"x"&amp;hslx</f>
        <v>296544,75x1,5</v>
      </c>
      <c r="K2973" s="1298"/>
      <c r="L2973" s="1298">
        <f t="shared" si="740"/>
        <v>0</v>
      </c>
      <c r="M2973" s="1298"/>
      <c r="N2973" s="1298">
        <f>VLOOKUP($B2973,dongia1,DG!$G$5,)*hslxh*G2973</f>
        <v>0</v>
      </c>
      <c r="O2973" s="1298"/>
      <c r="P2973" s="1299"/>
      <c r="Q2973" s="1300"/>
      <c r="R2973" s="1300"/>
      <c r="S2973" s="1300"/>
    </row>
    <row r="2974" spans="1:19" s="1081" customFormat="1" hidden="1" outlineLevel="1">
      <c r="A2974" s="1072" t="str">
        <f t="shared" si="746"/>
        <v/>
      </c>
      <c r="B2974" s="1295"/>
      <c r="C2974" s="1291">
        <f>IF(G2974&gt;0,C2966+1,C2966)</f>
        <v>0</v>
      </c>
      <c r="D2974" s="1292"/>
      <c r="E2974" s="1468" t="s">
        <v>3458</v>
      </c>
      <c r="F2974" s="1291" t="s">
        <v>2113</v>
      </c>
      <c r="G2974" s="1297">
        <f>G2932*1</f>
        <v>0</v>
      </c>
      <c r="H2974" s="1298"/>
      <c r="I2974" s="1298"/>
      <c r="J2974" s="1298"/>
      <c r="K2974" s="1298"/>
      <c r="L2974" s="1298">
        <f t="shared" si="740"/>
        <v>0</v>
      </c>
      <c r="M2974" s="1298">
        <f>I2974*G2974</f>
        <v>0</v>
      </c>
      <c r="N2974" s="1298">
        <f>J2974*G2974</f>
        <v>0</v>
      </c>
      <c r="O2974" s="1298">
        <f>K2974*G2974</f>
        <v>0</v>
      </c>
      <c r="P2974" s="1299"/>
      <c r="Q2974" s="1300"/>
      <c r="R2974" s="1300"/>
      <c r="S2974" s="1300"/>
    </row>
    <row r="2975" spans="1:19" s="1081" customFormat="1" ht="14.4" hidden="1" outlineLevel="1">
      <c r="A2975" s="1072" t="str">
        <f>A2974</f>
        <v/>
      </c>
      <c r="B2975" s="1295"/>
      <c r="C2975" s="1291"/>
      <c r="D2975" s="1292"/>
      <c r="E2975" s="1301" t="s">
        <v>3399</v>
      </c>
      <c r="F2975" s="1302"/>
      <c r="G2975" s="1303"/>
      <c r="H2975" s="1298"/>
      <c r="I2975" s="1298"/>
      <c r="J2975" s="1298"/>
      <c r="K2975" s="1298"/>
      <c r="L2975" s="1298">
        <f t="shared" si="740"/>
        <v>0</v>
      </c>
      <c r="M2975" s="1298">
        <f>I2975*G2975</f>
        <v>0</v>
      </c>
      <c r="N2975" s="1298">
        <f>J2975*G2975</f>
        <v>0</v>
      </c>
      <c r="O2975" s="1298">
        <f>K2975*G2975</f>
        <v>0</v>
      </c>
      <c r="P2975" s="1299"/>
      <c r="Q2975" s="1300"/>
      <c r="R2975" s="1300"/>
      <c r="S2975" s="1300"/>
    </row>
    <row r="2976" spans="1:19" s="1081" customFormat="1" hidden="1" outlineLevel="1">
      <c r="A2976" s="1072" t="str">
        <f t="shared" ref="A2976:A2982" si="747">IF(G2976&lt;&gt;0,1,"")</f>
        <v/>
      </c>
      <c r="B2976" s="1295" t="s">
        <v>1626</v>
      </c>
      <c r="C2976" s="1291"/>
      <c r="D2976" s="1198">
        <v>0</v>
      </c>
      <c r="E2976" s="1243" t="str">
        <f>VLOOKUP($B2976,dongia1,DG!$C$5,)</f>
        <v>Sắt góc L75 x75 x8</v>
      </c>
      <c r="F2976" s="1198" t="s">
        <v>1557</v>
      </c>
      <c r="G2976" s="1304">
        <f>G2974*9.02*(2.2+4*0.07)</f>
        <v>0</v>
      </c>
      <c r="H2976" s="1298">
        <f>VLOOKUP($B2976,dongia1,DG!$F$5,)</f>
        <v>31625</v>
      </c>
      <c r="I2976" s="1298"/>
      <c r="J2976" s="1298">
        <v>0</v>
      </c>
      <c r="K2976" s="1298"/>
      <c r="L2976" s="1298">
        <f t="shared" si="740"/>
        <v>0</v>
      </c>
      <c r="M2976" s="1298"/>
      <c r="N2976" s="1298"/>
      <c r="O2976" s="1298"/>
      <c r="P2976" s="1299"/>
      <c r="Q2976" s="1300"/>
      <c r="R2976" s="1300"/>
      <c r="S2976" s="1300"/>
    </row>
    <row r="2977" spans="1:19" s="1081" customFormat="1" hidden="1" outlineLevel="1">
      <c r="A2977" s="1072" t="str">
        <f t="shared" si="747"/>
        <v/>
      </c>
      <c r="B2977" s="1295" t="s">
        <v>518</v>
      </c>
      <c r="C2977" s="1291"/>
      <c r="D2977" s="1198">
        <v>0</v>
      </c>
      <c r="E2977" s="1243" t="str">
        <f>VLOOKUP($B2977,dongia1,DG!$C$5,)</f>
        <v>Sắt góc L50 x50 x5</v>
      </c>
      <c r="F2977" s="1198" t="s">
        <v>1557</v>
      </c>
      <c r="G2977" s="1304">
        <f>G2974*3.77*0.81*2</f>
        <v>0</v>
      </c>
      <c r="H2977" s="1298">
        <f>VLOOKUP($B2977,dongia1,DG!$F$5,)</f>
        <v>31625</v>
      </c>
      <c r="I2977" s="1298"/>
      <c r="J2977" s="1298">
        <v>0</v>
      </c>
      <c r="K2977" s="1298"/>
      <c r="L2977" s="1298">
        <f t="shared" si="740"/>
        <v>0</v>
      </c>
      <c r="M2977" s="1298"/>
      <c r="N2977" s="1298"/>
      <c r="O2977" s="1298"/>
      <c r="P2977" s="1299"/>
      <c r="Q2977" s="1300"/>
      <c r="R2977" s="1300"/>
      <c r="S2977" s="1300"/>
    </row>
    <row r="2978" spans="1:19" s="1081" customFormat="1" hidden="1" outlineLevel="1">
      <c r="A2978" s="1072" t="str">
        <f t="shared" si="747"/>
        <v/>
      </c>
      <c r="B2978" s="1295" t="s">
        <v>733</v>
      </c>
      <c r="C2978" s="1291"/>
      <c r="D2978" s="1198">
        <v>0</v>
      </c>
      <c r="E2978" s="1243" t="str">
        <f>VLOOKUP($B2978,dongia1,DG!$C$5,)</f>
        <v>Boulon 16x350+ 2 long đền vuông D18-50x50x3/Zn</v>
      </c>
      <c r="F2978" s="1198" t="s">
        <v>2113</v>
      </c>
      <c r="G2978" s="1303">
        <f>G2974*2</f>
        <v>0</v>
      </c>
      <c r="H2978" s="1298">
        <f>VLOOKUP($B2978,dongia1,DG!$F$5,)</f>
        <v>27900</v>
      </c>
      <c r="I2978" s="1298">
        <v>0</v>
      </c>
      <c r="J2978" s="1298">
        <v>0</v>
      </c>
      <c r="K2978" s="1298"/>
      <c r="L2978" s="1298">
        <f t="shared" si="740"/>
        <v>0</v>
      </c>
      <c r="M2978" s="1298"/>
      <c r="N2978" s="1298"/>
      <c r="O2978" s="1298"/>
      <c r="P2978" s="1299"/>
      <c r="Q2978" s="1300"/>
      <c r="R2978" s="1300"/>
      <c r="S2978" s="1300"/>
    </row>
    <row r="2979" spans="1:19" s="1081" customFormat="1" hidden="1" outlineLevel="1">
      <c r="A2979" s="1072" t="str">
        <f t="shared" si="747"/>
        <v/>
      </c>
      <c r="B2979" s="1295" t="s">
        <v>1044</v>
      </c>
      <c r="C2979" s="1291"/>
      <c r="D2979" s="1198">
        <v>0</v>
      </c>
      <c r="E2979" s="1243" t="str">
        <f>VLOOKUP($B2979,dongia1,DG!$C$5,)</f>
        <v>Boulon 16x50+ 2 long đền vuông D18-50x50x3/Zn</v>
      </c>
      <c r="F2979" s="1198" t="s">
        <v>2113</v>
      </c>
      <c r="G2979" s="1303">
        <f>G2974*2</f>
        <v>0</v>
      </c>
      <c r="H2979" s="1298">
        <f>VLOOKUP($B2979,dongia1,DG!$F$5,)</f>
        <v>12400</v>
      </c>
      <c r="I2979" s="1298">
        <v>0</v>
      </c>
      <c r="J2979" s="1298">
        <v>0</v>
      </c>
      <c r="K2979" s="1298"/>
      <c r="L2979" s="1298">
        <f t="shared" si="740"/>
        <v>0</v>
      </c>
      <c r="M2979" s="1298"/>
      <c r="N2979" s="1298"/>
      <c r="O2979" s="1298"/>
      <c r="P2979" s="1299"/>
      <c r="Q2979" s="1300"/>
      <c r="R2979" s="1300"/>
      <c r="S2979" s="1300"/>
    </row>
    <row r="2980" spans="1:19" s="1081" customFormat="1" hidden="1" outlineLevel="1">
      <c r="A2980" s="1072" t="str">
        <f t="shared" si="747"/>
        <v/>
      </c>
      <c r="B2980" s="1295" t="s">
        <v>1761</v>
      </c>
      <c r="C2980" s="1291"/>
      <c r="D2980" s="1198">
        <v>0</v>
      </c>
      <c r="E2980" s="1243" t="str">
        <f>VLOOKUP($B2980,dongia1,DG!$C$5,)</f>
        <v>Cổ dê bắt xà 80x6</v>
      </c>
      <c r="F2980" s="1198" t="s">
        <v>2113</v>
      </c>
      <c r="G2980" s="1303">
        <f>G2974/3</f>
        <v>0</v>
      </c>
      <c r="H2980" s="1298">
        <f>VLOOKUP($B2980,dongia1,DG!$F$5,)</f>
        <v>178900</v>
      </c>
      <c r="I2980" s="1298">
        <v>0</v>
      </c>
      <c r="J2980" s="1298">
        <f>VLOOKUP($B2980,dongia1,DG!$G$5,)</f>
        <v>0</v>
      </c>
      <c r="K2980" s="1298"/>
      <c r="L2980" s="1298">
        <f t="shared" si="740"/>
        <v>0</v>
      </c>
      <c r="M2980" s="1298"/>
      <c r="N2980" s="1298"/>
      <c r="O2980" s="1298"/>
      <c r="P2980" s="1299"/>
      <c r="Q2980" s="1300"/>
      <c r="R2980" s="1300"/>
      <c r="S2980" s="1300"/>
    </row>
    <row r="2981" spans="1:19" s="1081" customFormat="1" hidden="1" outlineLevel="1">
      <c r="A2981" s="1072" t="str">
        <f t="shared" si="747"/>
        <v/>
      </c>
      <c r="B2981" s="1295" t="s">
        <v>534</v>
      </c>
      <c r="C2981" s="1291"/>
      <c r="D2981" s="1198" t="s">
        <v>940</v>
      </c>
      <c r="E2981" s="1243" t="str">
        <f>VLOOKUP($B2981,dongia1,DG!$C$5,)</f>
        <v>Lắp xà đỡ 25kg</v>
      </c>
      <c r="F2981" s="1198" t="s">
        <v>2113</v>
      </c>
      <c r="G2981" s="1303">
        <f>G2974</f>
        <v>0</v>
      </c>
      <c r="H2981" s="1298">
        <v>0</v>
      </c>
      <c r="I2981" s="1298"/>
      <c r="J2981" s="1298" t="str">
        <f>TEXT(VLOOKUP($B2981,dongia1,DG!$G$5,),"#,###")&amp;"x"&amp;hslx</f>
        <v>219185,25x1,5</v>
      </c>
      <c r="K2981" s="1298"/>
      <c r="L2981" s="1298">
        <f t="shared" si="740"/>
        <v>0</v>
      </c>
      <c r="M2981" s="1298"/>
      <c r="N2981" s="1298">
        <f>VLOOKUP($B2981,dongia1,DG!$G$5,)*hslxh*G2981</f>
        <v>0</v>
      </c>
      <c r="O2981" s="1298"/>
      <c r="P2981" s="1299"/>
      <c r="Q2981" s="1300"/>
      <c r="R2981" s="1300"/>
      <c r="S2981" s="1300"/>
    </row>
    <row r="2982" spans="1:19" s="1081" customFormat="1" hidden="1" outlineLevel="1">
      <c r="A2982" s="1072" t="str">
        <f t="shared" si="747"/>
        <v/>
      </c>
      <c r="B2982" s="1295"/>
      <c r="C2982" s="1291">
        <f>IF(G2982&gt;0,C2974+1,C2974)</f>
        <v>0</v>
      </c>
      <c r="D2982" s="1292"/>
      <c r="E2982" s="1468" t="s">
        <v>3402</v>
      </c>
      <c r="F2982" s="1291" t="s">
        <v>2113</v>
      </c>
      <c r="G2982" s="1297">
        <f>G2932</f>
        <v>0</v>
      </c>
      <c r="H2982" s="1298"/>
      <c r="I2982" s="1298"/>
      <c r="J2982" s="1298"/>
      <c r="K2982" s="1298"/>
      <c r="L2982" s="1298">
        <f t="shared" si="740"/>
        <v>0</v>
      </c>
      <c r="M2982" s="1298">
        <f>I2982*G2982</f>
        <v>0</v>
      </c>
      <c r="N2982" s="1298">
        <f t="shared" ref="N2982:N2990" si="748">J2982*G2982</f>
        <v>0</v>
      </c>
      <c r="O2982" s="1298">
        <f>K2982*G2982</f>
        <v>0</v>
      </c>
      <c r="P2982" s="1299"/>
      <c r="Q2982" s="1300"/>
      <c r="R2982" s="1300"/>
      <c r="S2982" s="1300"/>
    </row>
    <row r="2983" spans="1:19" s="1081" customFormat="1" ht="14.4" hidden="1" outlineLevel="1">
      <c r="A2983" s="1072" t="str">
        <f>A2982</f>
        <v/>
      </c>
      <c r="B2983" s="1469"/>
      <c r="C2983" s="1291"/>
      <c r="D2983" s="1292"/>
      <c r="E2983" s="1301" t="s">
        <v>3407</v>
      </c>
      <c r="F2983" s="1302"/>
      <c r="G2983" s="1303"/>
      <c r="H2983" s="1298"/>
      <c r="I2983" s="1298"/>
      <c r="J2983" s="1298"/>
      <c r="K2983" s="1298"/>
      <c r="L2983" s="1298">
        <f t="shared" si="740"/>
        <v>0</v>
      </c>
      <c r="M2983" s="1298">
        <f>I2983*G2983</f>
        <v>0</v>
      </c>
      <c r="N2983" s="1298">
        <f t="shared" si="748"/>
        <v>0</v>
      </c>
      <c r="O2983" s="1298">
        <f>K2983*G2983</f>
        <v>0</v>
      </c>
      <c r="P2983" s="1299"/>
      <c r="Q2983" s="1300"/>
      <c r="R2983" s="1300"/>
      <c r="S2983" s="1300"/>
    </row>
    <row r="2984" spans="1:19" s="1081" customFormat="1" hidden="1" outlineLevel="1">
      <c r="A2984" s="1072" t="str">
        <f t="shared" ref="A2984:A2990" si="749">IF(G2984&lt;&gt;0,1,"")</f>
        <v/>
      </c>
      <c r="B2984" s="1295" t="s">
        <v>1200</v>
      </c>
      <c r="C2984" s="1291"/>
      <c r="D2984" s="1198">
        <f>VLOOKUP($B2984,dongia1,DG!$B$5,)</f>
        <v>0</v>
      </c>
      <c r="E2984" s="1243" t="str">
        <f>VLOOKUP($B2984,dongia1,DG!$C$5,)</f>
        <v>Cáp đồng trần M25mm2</v>
      </c>
      <c r="F2984" s="1198" t="str">
        <f>VLOOKUP($B2984,dongia1,DG!$D$5,)</f>
        <v>kg</v>
      </c>
      <c r="G2984" s="1304">
        <f>$H$3*0.224*G2982</f>
        <v>0</v>
      </c>
      <c r="H2984" s="1298">
        <f>VLOOKUP($B2984,dongia1,DG!$F$5,)</f>
        <v>255500</v>
      </c>
      <c r="I2984" s="1298"/>
      <c r="J2984" s="1298">
        <f>VLOOKUP($B2984,dongia1,DG!$G$5,)</f>
        <v>0</v>
      </c>
      <c r="K2984" s="1298">
        <f>VLOOKUP($B2984,dongia1,DG!$H$5,)</f>
        <v>0</v>
      </c>
      <c r="L2984" s="1298">
        <f t="shared" si="740"/>
        <v>0</v>
      </c>
      <c r="M2984" s="1298">
        <f>I2984*G2984</f>
        <v>0</v>
      </c>
      <c r="N2984" s="1298">
        <f t="shared" si="748"/>
        <v>0</v>
      </c>
      <c r="O2984" s="1298">
        <f>K2984*G2984</f>
        <v>0</v>
      </c>
      <c r="P2984" s="1299"/>
      <c r="Q2984" s="1300"/>
      <c r="R2984" s="1300"/>
      <c r="S2984" s="1300"/>
    </row>
    <row r="2985" spans="1:19" s="1081" customFormat="1" hidden="1" outlineLevel="1">
      <c r="A2985" s="1072" t="str">
        <f t="shared" si="749"/>
        <v/>
      </c>
      <c r="B2985" s="1068" t="s">
        <v>1098</v>
      </c>
      <c r="C2985" s="1291"/>
      <c r="D2985" s="1198">
        <f>VLOOKUP($B2985,dongia1,DG!$B$5,)</f>
        <v>0</v>
      </c>
      <c r="E2985" s="1243" t="str">
        <f>VLOOKUP($B2985,dongia1,DG!$C$5,)</f>
        <v>Cọc tiếp đất Þ 16- 2,4m + kẹp cọc</v>
      </c>
      <c r="F2985" s="1198" t="str">
        <f>VLOOKUP($B2985,dongia1,DG!$D$5,)</f>
        <v>bộ</v>
      </c>
      <c r="G2985" s="1303">
        <f>+$H$2*G2982</f>
        <v>0</v>
      </c>
      <c r="H2985" s="1298">
        <f>VLOOKUP($B2985,dongia1,DG!$F$5,)</f>
        <v>160000</v>
      </c>
      <c r="I2985" s="1298"/>
      <c r="J2985" s="1298">
        <f>VLOOKUP($B2985,dongia1,DG!$G$5,)</f>
        <v>0</v>
      </c>
      <c r="K2985" s="1298">
        <f>VLOOKUP($B2985,dongia1,DG!$H$5,)</f>
        <v>0</v>
      </c>
      <c r="L2985" s="1298">
        <f t="shared" si="740"/>
        <v>0</v>
      </c>
      <c r="M2985" s="1298">
        <f>I2985*G2985</f>
        <v>0</v>
      </c>
      <c r="N2985" s="1298">
        <f t="shared" si="748"/>
        <v>0</v>
      </c>
      <c r="O2985" s="1298">
        <f>K2985*G2985</f>
        <v>0</v>
      </c>
      <c r="P2985" s="1299"/>
      <c r="Q2985" s="1300"/>
      <c r="R2985" s="1300"/>
      <c r="S2985" s="1300"/>
    </row>
    <row r="2986" spans="1:19" s="1081" customFormat="1" hidden="1" outlineLevel="1">
      <c r="A2986" s="1072" t="str">
        <f t="shared" si="749"/>
        <v/>
      </c>
      <c r="B2986" s="1068" t="s">
        <v>211</v>
      </c>
      <c r="C2986" s="1291"/>
      <c r="D2986" s="1198">
        <f>VLOOKUP($B2986,dongia1,DG!$B$5,)</f>
        <v>0</v>
      </c>
      <c r="E2986" s="1243" t="str">
        <f>VLOOKUP($B2986,dongia1,DG!$C$5,)</f>
        <v>Khoan giếng tiếp địa</v>
      </c>
      <c r="F2986" s="1198" t="str">
        <f>VLOOKUP($B2986,dongia1,DG!$D$5,)</f>
        <v>Cái</v>
      </c>
      <c r="G2986" s="1303">
        <f>G2982*$L$3</f>
        <v>0</v>
      </c>
      <c r="H2986" s="1298">
        <f>VLOOKUP($B2986,dongia1,DG!$F$5,)</f>
        <v>0</v>
      </c>
      <c r="I2986" s="1298"/>
      <c r="J2986" s="1298">
        <f>VLOOKUP($B2986,dongia1,DG!$G$5,)</f>
        <v>1500000</v>
      </c>
      <c r="K2986" s="1298">
        <f>VLOOKUP($B2986,dongia1,DG!$H$5,)</f>
        <v>0</v>
      </c>
      <c r="L2986" s="1298">
        <f>H2986*G2986</f>
        <v>0</v>
      </c>
      <c r="M2986" s="1298">
        <f>I2986*G2986</f>
        <v>0</v>
      </c>
      <c r="N2986" s="1298">
        <f t="shared" si="748"/>
        <v>0</v>
      </c>
      <c r="O2986" s="1298">
        <f>K2986*G2986</f>
        <v>0</v>
      </c>
      <c r="P2986" s="1299"/>
      <c r="Q2986" s="1300"/>
      <c r="R2986" s="1300"/>
      <c r="S2986" s="1300"/>
    </row>
    <row r="2987" spans="1:19" s="1081" customFormat="1" hidden="1" outlineLevel="1">
      <c r="A2987" s="1072" t="str">
        <f t="shared" si="749"/>
        <v/>
      </c>
      <c r="B2987" s="1470" t="s">
        <v>205</v>
      </c>
      <c r="C2987" s="1291"/>
      <c r="D2987" s="1198">
        <f>VLOOKUP($B2987,dongia1,DG!$B$5,)</f>
        <v>0</v>
      </c>
      <c r="E2987" s="1243" t="str">
        <f>VLOOKUP($B2987,dongia1,DG!$C$5,)</f>
        <v>Kẹp ép WR cỡ dây 50mm2</v>
      </c>
      <c r="F2987" s="1198" t="str">
        <f>VLOOKUP($B2987,dongia1,DG!$D$5,)</f>
        <v>cái</v>
      </c>
      <c r="G2987" s="1303">
        <f>2*G2982*0</f>
        <v>0</v>
      </c>
      <c r="H2987" s="1298">
        <f>VLOOKUP($B2987,dongia1,DG!$F$5,)</f>
        <v>8000</v>
      </c>
      <c r="I2987" s="1298"/>
      <c r="J2987" s="1298">
        <f>VLOOKUP($B2987,dongia1,DG!$G$5,)</f>
        <v>0</v>
      </c>
      <c r="K2987" s="1298"/>
      <c r="L2987" s="1298">
        <f>H2987*G2987</f>
        <v>0</v>
      </c>
      <c r="M2987" s="1298"/>
      <c r="N2987" s="1298">
        <f t="shared" si="748"/>
        <v>0</v>
      </c>
      <c r="O2987" s="1298"/>
      <c r="P2987" s="1299"/>
      <c r="Q2987" s="1300"/>
      <c r="R2987" s="1300"/>
      <c r="S2987" s="1300"/>
    </row>
    <row r="2988" spans="1:19" s="1081" customFormat="1" hidden="1" outlineLevel="1">
      <c r="A2988" s="1072" t="str">
        <f t="shared" si="749"/>
        <v/>
      </c>
      <c r="B2988" s="1470" t="s">
        <v>903</v>
      </c>
      <c r="C2988" s="1291"/>
      <c r="D2988" s="1198">
        <f>VLOOKUP($B2988,dongia1,DG!$B$5,)</f>
        <v>0</v>
      </c>
      <c r="E2988" s="1243" t="str">
        <f>VLOOKUP($B2988,dongia1,DG!$C$5,)</f>
        <v>Ốc xiết cáp cỡ 25mm2</v>
      </c>
      <c r="F2988" s="1198" t="str">
        <f>VLOOKUP($B2988,dongia1,DG!$D$5,)</f>
        <v>cái</v>
      </c>
      <c r="G2988" s="1303">
        <f>IF(G2985&lt;=12,15,21)*G2982</f>
        <v>0</v>
      </c>
      <c r="H2988" s="1298">
        <f>VLOOKUP($B2988,dongia1,DG!$F$5,)</f>
        <v>17600</v>
      </c>
      <c r="I2988" s="1298"/>
      <c r="J2988" s="1298">
        <f>VLOOKUP($B2988,dongia1,DG!$G$5,)</f>
        <v>0</v>
      </c>
      <c r="K2988" s="1298"/>
      <c r="L2988" s="1298">
        <f>H2988*G2988</f>
        <v>0</v>
      </c>
      <c r="M2988" s="1298">
        <f>I2988*G2988</f>
        <v>0</v>
      </c>
      <c r="N2988" s="1298">
        <f t="shared" si="748"/>
        <v>0</v>
      </c>
      <c r="O2988" s="1298">
        <f>K2988*G2988</f>
        <v>0</v>
      </c>
      <c r="P2988" s="1299"/>
      <c r="Q2988" s="1300"/>
      <c r="R2988" s="1300"/>
      <c r="S2988" s="1300"/>
    </row>
    <row r="2989" spans="1:19" s="1081" customFormat="1" hidden="1" outlineLevel="1">
      <c r="A2989" s="1072" t="str">
        <f t="shared" si="749"/>
        <v/>
      </c>
      <c r="B2989" s="1068" t="s">
        <v>1490</v>
      </c>
      <c r="C2989" s="1291"/>
      <c r="D2989" s="1198">
        <f>VLOOKUP($B2989,dongia1,DG!$B$5,)</f>
        <v>0</v>
      </c>
      <c r="E2989" s="1243" t="str">
        <f>VLOOKUP($B2989,dongia1,DG!$C$5,)</f>
        <v>Cổ dê kẹp ống PVC (STK) Þ 21</v>
      </c>
      <c r="F2989" s="1198" t="str">
        <f>VLOOKUP($B2989,dongia1,DG!$D$5,)</f>
        <v>bộ</v>
      </c>
      <c r="G2989" s="1303">
        <f>G2982*2</f>
        <v>0</v>
      </c>
      <c r="H2989" s="1298">
        <f>VLOOKUP($B2989,dongia1,DG!$F$5,)</f>
        <v>43000</v>
      </c>
      <c r="I2989" s="1298"/>
      <c r="J2989" s="1298">
        <f>VLOOKUP($B2989,dongia1,DG!$G$5,)</f>
        <v>0</v>
      </c>
      <c r="K2989" s="1298">
        <f>VLOOKUP($B2989,dongia1,DG!$H$5,)</f>
        <v>0</v>
      </c>
      <c r="L2989" s="1298">
        <f>H2989*G2989</f>
        <v>0</v>
      </c>
      <c r="M2989" s="1298">
        <f>I2989*G2989</f>
        <v>0</v>
      </c>
      <c r="N2989" s="1298">
        <f t="shared" si="748"/>
        <v>0</v>
      </c>
      <c r="O2989" s="1298">
        <f>K2989*G2989</f>
        <v>0</v>
      </c>
      <c r="P2989" s="1299"/>
      <c r="Q2989" s="1300"/>
      <c r="R2989" s="1300"/>
      <c r="S2989" s="1300"/>
    </row>
    <row r="2990" spans="1:19" s="1081" customFormat="1" hidden="1" outlineLevel="1">
      <c r="A2990" s="1072" t="str">
        <f t="shared" si="749"/>
        <v/>
      </c>
      <c r="B2990" s="1068" t="s">
        <v>2040</v>
      </c>
      <c r="C2990" s="1291"/>
      <c r="D2990" s="1198">
        <f>VLOOKUP($B2990,dongia1,DG!$B$5,)</f>
        <v>0</v>
      </c>
      <c r="E2990" s="1243" t="str">
        <f>VLOOKUP($B2990,dongia1,DG!$C$5,)</f>
        <v xml:space="preserve">Ống PVC D21x1,6mm </v>
      </c>
      <c r="F2990" s="1198" t="str">
        <f>VLOOKUP($B2990,dongia1,DG!$D$5,)</f>
        <v>m</v>
      </c>
      <c r="G2990" s="1303">
        <f>G2982*3</f>
        <v>0</v>
      </c>
      <c r="H2990" s="1298">
        <f>VLOOKUP($B2990,dongia1,DG!$F$5,)</f>
        <v>6200</v>
      </c>
      <c r="I2990" s="1298"/>
      <c r="J2990" s="1298">
        <f>VLOOKUP($B2990,dongia1,DG!$G$5,)</f>
        <v>0</v>
      </c>
      <c r="K2990" s="1298">
        <f>VLOOKUP($B2990,dongia1,DG!$H$5,)</f>
        <v>0</v>
      </c>
      <c r="L2990" s="1298">
        <f>H2990*G2990</f>
        <v>0</v>
      </c>
      <c r="M2990" s="1298">
        <f>I2990*G2990</f>
        <v>0</v>
      </c>
      <c r="N2990" s="1298">
        <f t="shared" si="748"/>
        <v>0</v>
      </c>
      <c r="O2990" s="1298">
        <f>K2990*G2990</f>
        <v>0</v>
      </c>
      <c r="P2990" s="1299"/>
      <c r="Q2990" s="1300"/>
      <c r="R2990" s="1300"/>
      <c r="S2990" s="1300"/>
    </row>
    <row r="2991" spans="1:19" s="1081" customFormat="1" hidden="1" outlineLevel="1">
      <c r="A2991" s="1072">
        <f>IF(G2991=0,0,1)</f>
        <v>0</v>
      </c>
      <c r="B2991" s="1068" t="s">
        <v>665</v>
      </c>
      <c r="C2991" s="1302"/>
      <c r="D2991" s="1198" t="str">
        <f>VLOOKUP($B2991,dongia1,DG!$B$5,)</f>
        <v>AB.11513</v>
      </c>
      <c r="E2991" s="1243" t="str">
        <f>VLOOKUP($B2991,dongia1,DG!$C$5,)</f>
        <v>Đào rãnh tiếp địa đất cấp 3</v>
      </c>
      <c r="F2991" s="1555" t="s">
        <v>805</v>
      </c>
      <c r="G2991" s="1472">
        <f>H4*G2982</f>
        <v>0</v>
      </c>
      <c r="H2991" s="1298">
        <f>VLOOKUP($B2991,dongia1,DG!$F$5,)</f>
        <v>0</v>
      </c>
      <c r="I2991" s="1298"/>
      <c r="J2991" s="1298">
        <f>VLOOKUP($B2991,dongia1,DG!$G$5,)</f>
        <v>283749.75</v>
      </c>
      <c r="K2991" s="1298">
        <v>0</v>
      </c>
      <c r="L2991" s="1298">
        <f t="shared" ref="L2991:O2992" si="750">H2991*$G2991</f>
        <v>0</v>
      </c>
      <c r="M2991" s="1298">
        <f t="shared" si="750"/>
        <v>0</v>
      </c>
      <c r="N2991" s="1298">
        <f t="shared" si="750"/>
        <v>0</v>
      </c>
      <c r="O2991" s="1298">
        <f t="shared" si="750"/>
        <v>0</v>
      </c>
      <c r="P2991" s="1299"/>
      <c r="Q2991" s="1300"/>
      <c r="R2991" s="1300"/>
      <c r="S2991" s="1300"/>
    </row>
    <row r="2992" spans="1:19" s="1081" customFormat="1" hidden="1" outlineLevel="1">
      <c r="A2992" s="1072">
        <f>IF(G2992=0,0,1)</f>
        <v>0</v>
      </c>
      <c r="B2992" s="1068" t="s">
        <v>1985</v>
      </c>
      <c r="C2992" s="1302"/>
      <c r="D2992" s="1198" t="str">
        <f>VLOOKUP($B2992,dongia1,DG!$B$5,)</f>
        <v>AB.13111</v>
      </c>
      <c r="E2992" s="1243" t="str">
        <f>VLOOKUP($B2992,dongia1,DG!$C$5,)</f>
        <v>Đắp đất rãnh tiếp địa cấp 3 (độ chặt k = 0.85)</v>
      </c>
      <c r="F2992" s="1555" t="s">
        <v>805</v>
      </c>
      <c r="G2992" s="1472">
        <f>+G2991</f>
        <v>0</v>
      </c>
      <c r="H2992" s="1298">
        <f>VLOOKUP($B2992,dongia1,DG!$F$5,)</f>
        <v>0</v>
      </c>
      <c r="I2992" s="1298"/>
      <c r="J2992" s="1298">
        <f>VLOOKUP($B2992,dongia1,DG!$G$5,)</f>
        <v>117703.6</v>
      </c>
      <c r="K2992" s="1298">
        <v>0</v>
      </c>
      <c r="L2992" s="1298">
        <f t="shared" si="750"/>
        <v>0</v>
      </c>
      <c r="M2992" s="1298">
        <f t="shared" si="750"/>
        <v>0</v>
      </c>
      <c r="N2992" s="1298">
        <f t="shared" si="750"/>
        <v>0</v>
      </c>
      <c r="O2992" s="1298">
        <f t="shared" si="750"/>
        <v>0</v>
      </c>
      <c r="P2992" s="1299"/>
      <c r="Q2992" s="1300"/>
      <c r="R2992" s="1300"/>
      <c r="S2992" s="1300"/>
    </row>
    <row r="2993" spans="1:19" s="1081" customFormat="1" hidden="1" outlineLevel="1">
      <c r="A2993" s="1072">
        <f>IF(G2993=0,0,1)</f>
        <v>0</v>
      </c>
      <c r="B2993" s="1068" t="s">
        <v>985</v>
      </c>
      <c r="C2993" s="1302"/>
      <c r="D2993" s="1198" t="str">
        <f>VLOOKUP($B2993,dongia1,DG!$B$5,)</f>
        <v>D2.8103</v>
      </c>
      <c r="E2993" s="1243" t="str">
        <f>VLOOKUP($B2993,dongia1,DG!$C$5,)</f>
        <v>Đóng cọc tiếp địa đất cấp 3 dài 2,5m</v>
      </c>
      <c r="F2993" s="1555" t="s">
        <v>805</v>
      </c>
      <c r="G2993" s="1472">
        <f>G2985</f>
        <v>0</v>
      </c>
      <c r="H2993" s="1298">
        <f>VLOOKUP($B2993,dongia1,DG!$F$5,)</f>
        <v>0</v>
      </c>
      <c r="I2993" s="1298"/>
      <c r="J2993" s="1298" t="str">
        <f>VLOOKUP($B2993,dongia1,DG!$G$5,)&amp;" x 1,7"</f>
        <v>90355,896 x 1,7</v>
      </c>
      <c r="K2993" s="1298">
        <v>0</v>
      </c>
      <c r="L2993" s="1298">
        <f>H2993*$G2993</f>
        <v>0</v>
      </c>
      <c r="M2993" s="1298">
        <f>I2993*$G2993</f>
        <v>0</v>
      </c>
      <c r="N2993" s="1298">
        <f>VLOOKUP($B2993,dongia1,DG!$G$5,)*1.7*G2993</f>
        <v>0</v>
      </c>
      <c r="O2993" s="1298">
        <f>K2993*$G2993</f>
        <v>0</v>
      </c>
      <c r="P2993" s="1299"/>
      <c r="Q2993" s="1300"/>
      <c r="R2993" s="1300"/>
      <c r="S2993" s="1300"/>
    </row>
    <row r="2994" spans="1:19" s="1081" customFormat="1" hidden="1" outlineLevel="1">
      <c r="A2994" s="1072" t="str">
        <f>IF(G2994&lt;&gt;0,1,"")</f>
        <v/>
      </c>
      <c r="B2994" s="1068" t="s">
        <v>983</v>
      </c>
      <c r="C2994" s="1291"/>
      <c r="D2994" s="1198" t="str">
        <f>VLOOKUP($B2994,dongia1,DG!$B$5,)</f>
        <v>T4.7001</v>
      </c>
      <c r="E2994" s="1243" t="str">
        <f>VLOOKUP($B2994,dongia1,DG!$C$5,)</f>
        <v>Kéo dây tiếp địa TBA</v>
      </c>
      <c r="F2994" s="1198" t="str">
        <f>VLOOKUP($B2994,dongia1,DG!$D$5,)</f>
        <v>mét</v>
      </c>
      <c r="G2994" s="1303">
        <f>G2984/0.224*G2982</f>
        <v>0</v>
      </c>
      <c r="H2994" s="1298">
        <f>VLOOKUP($B2994,dongia1,DG!$E$5,)</f>
        <v>0</v>
      </c>
      <c r="I2994" s="1298"/>
      <c r="J2994" s="1298">
        <f>VLOOKUP($B2994,dongia1,DG!$G$5,)</f>
        <v>8070.7000000000007</v>
      </c>
      <c r="K2994" s="1298">
        <f>VLOOKUP($B2994,dongia1,DG!$H$5,)</f>
        <v>2044.9974999999999</v>
      </c>
      <c r="L2994" s="1298">
        <f>H2994*G2994</f>
        <v>0</v>
      </c>
      <c r="M2994" s="1298">
        <f>I2994*G2994</f>
        <v>0</v>
      </c>
      <c r="N2994" s="1298">
        <f>J2994*G2994</f>
        <v>0</v>
      </c>
      <c r="O2994" s="1298">
        <f>K2994*G2994</f>
        <v>0</v>
      </c>
      <c r="P2994" s="1299"/>
      <c r="Q2994" s="1300"/>
      <c r="R2994" s="1300"/>
      <c r="S2994" s="1300"/>
    </row>
    <row r="2995" spans="1:19" s="1081" customFormat="1" hidden="1" outlineLevel="1">
      <c r="A2995" s="1072" t="str">
        <f>IF(G2995&lt;&gt;0,1,"")</f>
        <v/>
      </c>
      <c r="B2995" s="1295"/>
      <c r="C2995" s="1291">
        <f>IF(G2995&gt;0,C2982+1,C2982)</f>
        <v>0</v>
      </c>
      <c r="D2995" s="1292"/>
      <c r="E2995" s="1416" t="s">
        <v>3459</v>
      </c>
      <c r="F2995" s="1291" t="s">
        <v>2113</v>
      </c>
      <c r="G2995" s="1297">
        <f>G2932</f>
        <v>0</v>
      </c>
      <c r="H2995" s="1298"/>
      <c r="I2995" s="1298"/>
      <c r="J2995" s="1298"/>
      <c r="K2995" s="1298"/>
      <c r="L2995" s="1298">
        <f t="shared" ref="L2995:L3017" si="751">H2995*G2995</f>
        <v>0</v>
      </c>
      <c r="M2995" s="1298">
        <f t="shared" ref="M2995:M3017" si="752">I2995*G2995</f>
        <v>0</v>
      </c>
      <c r="N2995" s="1298">
        <f t="shared" ref="N2995:N3017" si="753">J2995*G2995</f>
        <v>0</v>
      </c>
      <c r="O2995" s="1298">
        <f t="shared" ref="O2995:O3017" si="754">K2995*G2995</f>
        <v>0</v>
      </c>
      <c r="P2995" s="1299"/>
      <c r="Q2995" s="1300"/>
      <c r="R2995" s="1300"/>
      <c r="S2995" s="1300"/>
    </row>
    <row r="2996" spans="1:19" s="1081" customFormat="1" ht="14.4" hidden="1" outlineLevel="1">
      <c r="A2996" s="1072" t="str">
        <f>A2995</f>
        <v/>
      </c>
      <c r="B2996" s="1295"/>
      <c r="C2996" s="1291"/>
      <c r="D2996" s="1292"/>
      <c r="E2996" s="1301" t="s">
        <v>3399</v>
      </c>
      <c r="F2996" s="1302"/>
      <c r="G2996" s="1303"/>
      <c r="H2996" s="1298"/>
      <c r="I2996" s="1298"/>
      <c r="J2996" s="1298"/>
      <c r="K2996" s="1298"/>
      <c r="L2996" s="1298">
        <f t="shared" si="751"/>
        <v>0</v>
      </c>
      <c r="M2996" s="1298">
        <f t="shared" si="752"/>
        <v>0</v>
      </c>
      <c r="N2996" s="1298">
        <f t="shared" si="753"/>
        <v>0</v>
      </c>
      <c r="O2996" s="1298">
        <f t="shared" si="754"/>
        <v>0</v>
      </c>
      <c r="P2996" s="1299"/>
      <c r="Q2996" s="1300"/>
      <c r="R2996" s="1300"/>
      <c r="S2996" s="1300"/>
    </row>
    <row r="2997" spans="1:19" s="1081" customFormat="1" hidden="1" outlineLevel="1">
      <c r="A2997" s="1072" t="str">
        <f>IF(G2997&lt;&gt;0,1,"")</f>
        <v/>
      </c>
      <c r="B2997" s="1295" t="s">
        <v>1528</v>
      </c>
      <c r="C2997" s="1302"/>
      <c r="D2997" s="1198" t="str">
        <f>VLOOKUP($B2997,dongia1,DG!$B$5,)</f>
        <v>T5.1002</v>
      </c>
      <c r="E2997" s="1243" t="str">
        <f>VLOOKUP($B2997,dongia1,DG!$C$5,)</f>
        <v>Tủ ACB + thanh cái 2000A</v>
      </c>
      <c r="F2997" s="1198" t="str">
        <f>VLOOKUP($B2997,dongia1,DG!$D$5,)</f>
        <v>cái</v>
      </c>
      <c r="G2997" s="1304">
        <f>G2995</f>
        <v>0</v>
      </c>
      <c r="H2997" s="1298">
        <f>VLOOKUP($B2997,dongia1,DG!$F$5,)</f>
        <v>60000000</v>
      </c>
      <c r="I2997" s="1298"/>
      <c r="J2997" s="1298">
        <f>VLOOKUP($B2997,dongia1,DG!$G$5,)</f>
        <v>690091</v>
      </c>
      <c r="K2997" s="1298">
        <f>VLOOKUP($B2997,dongia1,DG!$H$5,)</f>
        <v>97369</v>
      </c>
      <c r="L2997" s="1298">
        <f t="shared" si="751"/>
        <v>0</v>
      </c>
      <c r="M2997" s="1298">
        <f t="shared" si="752"/>
        <v>0</v>
      </c>
      <c r="N2997" s="1298">
        <f t="shared" si="753"/>
        <v>0</v>
      </c>
      <c r="O2997" s="1298">
        <f t="shared" si="754"/>
        <v>0</v>
      </c>
      <c r="P2997" s="1299"/>
      <c r="Q2997" s="1300"/>
      <c r="R2997" s="1300"/>
      <c r="S2997" s="1300"/>
    </row>
    <row r="2998" spans="1:19" s="1081" customFormat="1" hidden="1" outlineLevel="1">
      <c r="A2998" s="1072" t="str">
        <f>IF(G2998&lt;&gt;0,1,"")</f>
        <v/>
      </c>
      <c r="B2998" s="1295" t="s">
        <v>888</v>
      </c>
      <c r="C2998" s="1302"/>
      <c r="D2998" s="1198">
        <f>VLOOKUP($B2998,dongia1,DG!$B$5,)</f>
        <v>0</v>
      </c>
      <c r="E2998" s="1243" t="str">
        <f>VLOOKUP($B2998,dongia1,DG!$C$5,)</f>
        <v>Bảng tên trạm + bảng báo nguy hiểm</v>
      </c>
      <c r="F2998" s="1198" t="str">
        <f>VLOOKUP($B2998,dongia1,DG!$D$5,)</f>
        <v>cái</v>
      </c>
      <c r="G2998" s="1304">
        <f>G2995</f>
        <v>0</v>
      </c>
      <c r="H2998" s="1298">
        <f>VLOOKUP($B2998,dongia1,DG!$F$5,)</f>
        <v>300000</v>
      </c>
      <c r="I2998" s="1298"/>
      <c r="J2998" s="1298">
        <f>VLOOKUP($B2998,dongia1,DG!$G$5,)</f>
        <v>0</v>
      </c>
      <c r="K2998" s="1298">
        <f>VLOOKUP($B2998,dongia1,DG!$H$5,)</f>
        <v>0</v>
      </c>
      <c r="L2998" s="1298">
        <f t="shared" si="751"/>
        <v>0</v>
      </c>
      <c r="M2998" s="1298">
        <f t="shared" si="752"/>
        <v>0</v>
      </c>
      <c r="N2998" s="1298">
        <f t="shared" si="753"/>
        <v>0</v>
      </c>
      <c r="O2998" s="1298">
        <f t="shared" si="754"/>
        <v>0</v>
      </c>
      <c r="P2998" s="1299"/>
      <c r="Q2998" s="1300"/>
      <c r="R2998" s="1300"/>
      <c r="S2998" s="1300"/>
    </row>
    <row r="2999" spans="1:19" s="1081" customFormat="1" hidden="1" outlineLevel="1">
      <c r="A2999" s="1072" t="str">
        <f>IF(G2999&lt;&gt;0,1,"")</f>
        <v/>
      </c>
      <c r="B2999" s="1295"/>
      <c r="C2999" s="1291">
        <f>IF(G2999&gt;0,C2995+1,C2995)</f>
        <v>0</v>
      </c>
      <c r="D2999" s="1292"/>
      <c r="E2999" s="1296" t="s">
        <v>3460</v>
      </c>
      <c r="F2999" s="1291" t="s">
        <v>2307</v>
      </c>
      <c r="G2999" s="1556"/>
      <c r="H2999" s="1298"/>
      <c r="I2999" s="1298"/>
      <c r="J2999" s="1298"/>
      <c r="K2999" s="1298"/>
      <c r="L2999" s="1298">
        <f t="shared" si="751"/>
        <v>0</v>
      </c>
      <c r="M2999" s="1298">
        <f t="shared" si="752"/>
        <v>0</v>
      </c>
      <c r="N2999" s="1298">
        <f t="shared" si="753"/>
        <v>0</v>
      </c>
      <c r="O2999" s="1298">
        <f t="shared" si="754"/>
        <v>0</v>
      </c>
      <c r="P2999" s="1299"/>
      <c r="Q2999" s="1300"/>
      <c r="R2999" s="1300"/>
      <c r="S2999" s="1300"/>
    </row>
    <row r="3000" spans="1:19" s="1081" customFormat="1" ht="14.4" hidden="1" outlineLevel="1">
      <c r="A3000" s="1072" t="str">
        <f>A2999</f>
        <v/>
      </c>
      <c r="B3000" s="1295"/>
      <c r="C3000" s="1291"/>
      <c r="D3000" s="1292"/>
      <c r="E3000" s="1301" t="s">
        <v>3399</v>
      </c>
      <c r="F3000" s="1302"/>
      <c r="G3000" s="1473"/>
      <c r="H3000" s="1298"/>
      <c r="I3000" s="1298"/>
      <c r="J3000" s="1298"/>
      <c r="K3000" s="1298"/>
      <c r="L3000" s="1298">
        <f t="shared" si="751"/>
        <v>0</v>
      </c>
      <c r="M3000" s="1298">
        <f t="shared" si="752"/>
        <v>0</v>
      </c>
      <c r="N3000" s="1298">
        <f t="shared" si="753"/>
        <v>0</v>
      </c>
      <c r="O3000" s="1298">
        <f t="shared" si="754"/>
        <v>0</v>
      </c>
      <c r="P3000" s="1299"/>
      <c r="Q3000" s="1300"/>
      <c r="R3000" s="1300"/>
      <c r="S3000" s="1300"/>
    </row>
    <row r="3001" spans="1:19" s="1081" customFormat="1" hidden="1" outlineLevel="1">
      <c r="A3001" s="1072" t="str">
        <f t="shared" ref="A3001:A3009" si="755">IF(G3001&lt;&gt;0,1,"")</f>
        <v/>
      </c>
      <c r="B3001" s="1557" t="s">
        <v>1729</v>
      </c>
      <c r="C3001" s="1302"/>
      <c r="D3001" s="1198">
        <f>VLOOKUP($B3001,dongia1,DG!$B$5,)</f>
        <v>0</v>
      </c>
      <c r="E3001" s="1399" t="str">
        <f>VLOOKUP($B3001,dongia1,DG!$C$5,)&amp;": 0,38m3/m"</f>
        <v>Cát vàng: 0,38m3/m</v>
      </c>
      <c r="F3001" s="1198" t="str">
        <f>VLOOKUP($B3001,dongia1,DG!$D$5,)</f>
        <v>m3</v>
      </c>
      <c r="G3001" s="1304">
        <f>G2999*0.38</f>
        <v>0</v>
      </c>
      <c r="H3001" s="1298">
        <f>VLOOKUP($B3001,dongia1,DG!$F$5,)</f>
        <v>512000</v>
      </c>
      <c r="I3001" s="1298"/>
      <c r="J3001" s="1298">
        <f>VLOOKUP($B3001,dongia1,DG!$G$5,)</f>
        <v>0</v>
      </c>
      <c r="K3001" s="1298">
        <f>VLOOKUP($B3001,dongia1,DG!$H$5,)</f>
        <v>0</v>
      </c>
      <c r="L3001" s="1298">
        <f t="shared" si="751"/>
        <v>0</v>
      </c>
      <c r="M3001" s="1298">
        <f t="shared" si="752"/>
        <v>0</v>
      </c>
      <c r="N3001" s="1298">
        <f t="shared" si="753"/>
        <v>0</v>
      </c>
      <c r="O3001" s="1298">
        <f t="shared" si="754"/>
        <v>0</v>
      </c>
      <c r="P3001" s="1299"/>
      <c r="Q3001" s="1300"/>
      <c r="R3001" s="1300"/>
      <c r="S3001" s="1300"/>
    </row>
    <row r="3002" spans="1:19" s="1081" customFormat="1" hidden="1" outlineLevel="1">
      <c r="A3002" s="1072" t="str">
        <f t="shared" si="755"/>
        <v/>
      </c>
      <c r="B3002" s="1557" t="s">
        <v>853</v>
      </c>
      <c r="C3002" s="1302"/>
      <c r="D3002" s="1198">
        <f>VLOOKUP($B3002,dongia1,DG!$B$5,)</f>
        <v>0</v>
      </c>
      <c r="E3002" s="1399" t="str">
        <f>VLOOKUP($B3002,dongia1,DG!$C$5,)&amp;": 0,12m3/m"</f>
        <v>Đá 1x2: 0,12m3/m</v>
      </c>
      <c r="F3002" s="1198" t="str">
        <f>VLOOKUP($B3002,dongia1,DG!$D$5,)</f>
        <v>m3</v>
      </c>
      <c r="G3002" s="1304">
        <f>0.12*G2999*0</f>
        <v>0</v>
      </c>
      <c r="H3002" s="1298">
        <f>VLOOKUP($B3002,dongia1,DG!$F$5,)</f>
        <v>335000</v>
      </c>
      <c r="I3002" s="1298"/>
      <c r="J3002" s="1298">
        <f>VLOOKUP($B3002,dongia1,DG!$G$5,)</f>
        <v>0</v>
      </c>
      <c r="K3002" s="1298">
        <f>VLOOKUP($B3002,dongia1,DG!$H$5,)</f>
        <v>0</v>
      </c>
      <c r="L3002" s="1298">
        <f t="shared" si="751"/>
        <v>0</v>
      </c>
      <c r="M3002" s="1298">
        <f t="shared" si="752"/>
        <v>0</v>
      </c>
      <c r="N3002" s="1298">
        <f t="shared" si="753"/>
        <v>0</v>
      </c>
      <c r="O3002" s="1298">
        <f t="shared" si="754"/>
        <v>0</v>
      </c>
      <c r="P3002" s="1299"/>
      <c r="Q3002" s="1300"/>
      <c r="R3002" s="1300"/>
      <c r="S3002" s="1300"/>
    </row>
    <row r="3003" spans="1:19" s="1081" customFormat="1" hidden="1" outlineLevel="1">
      <c r="A3003" s="1072" t="str">
        <f t="shared" si="755"/>
        <v/>
      </c>
      <c r="B3003" s="1557" t="s">
        <v>1495</v>
      </c>
      <c r="C3003" s="1302"/>
      <c r="D3003" s="1198">
        <f>VLOOKUP($B3003,dongia1,DG!$B$5,)</f>
        <v>0</v>
      </c>
      <c r="E3003" s="1399" t="str">
        <f>VLOOKUP($B3003,dongia1,DG!$C$5,)&amp;": 3,3vieân/m"</f>
        <v>Gạch tàu: 3,3vieân/m</v>
      </c>
      <c r="F3003" s="1198" t="str">
        <f>VLOOKUP($B3003,dongia1,DG!$D$5,)</f>
        <v>viên</v>
      </c>
      <c r="G3003" s="1304">
        <f>3.3*G2999</f>
        <v>0</v>
      </c>
      <c r="H3003" s="1298">
        <f>VLOOKUP($B3003,dongia1,DG!$F$5,)</f>
        <v>7000</v>
      </c>
      <c r="I3003" s="1298"/>
      <c r="J3003" s="1298">
        <f>VLOOKUP($B3003,dongia1,DG!$G$5,)</f>
        <v>0</v>
      </c>
      <c r="K3003" s="1298">
        <f>VLOOKUP($B3003,dongia1,DG!$H$5,)</f>
        <v>0</v>
      </c>
      <c r="L3003" s="1298">
        <f t="shared" si="751"/>
        <v>0</v>
      </c>
      <c r="M3003" s="1298">
        <f t="shared" si="752"/>
        <v>0</v>
      </c>
      <c r="N3003" s="1298">
        <f t="shared" si="753"/>
        <v>0</v>
      </c>
      <c r="O3003" s="1298">
        <f t="shared" si="754"/>
        <v>0</v>
      </c>
      <c r="P3003" s="1299"/>
      <c r="Q3003" s="1300"/>
      <c r="R3003" s="1300"/>
      <c r="S3003" s="1300"/>
    </row>
    <row r="3004" spans="1:19" s="1081" customFormat="1" hidden="1" outlineLevel="1">
      <c r="A3004" s="1072" t="str">
        <f t="shared" si="755"/>
        <v/>
      </c>
      <c r="B3004" s="1557" t="s">
        <v>1496</v>
      </c>
      <c r="C3004" s="1302"/>
      <c r="D3004" s="1198" t="str">
        <f>VLOOKUP($B3004,dongia1,DG!$B$5,)</f>
        <v>D4.1102</v>
      </c>
      <c r="E3004" s="1399" t="str">
        <f>VLOOKUP($B3004,dongia1,DG!$C$5,)&amp;": 0,4m2/m"</f>
        <v>Tấm nilông màu cảnh báo: 0,4m2/m</v>
      </c>
      <c r="F3004" s="1198" t="str">
        <f>VLOOKUP($B3004,dongia1,DG!$D$5,)</f>
        <v>m2</v>
      </c>
      <c r="G3004" s="1304">
        <f>0.4*G2999</f>
        <v>0</v>
      </c>
      <c r="H3004" s="1298">
        <f>VLOOKUP($B3004,dongia1,DG!$F$5,)</f>
        <v>10000</v>
      </c>
      <c r="I3004" s="1298"/>
      <c r="J3004" s="1298">
        <f>VLOOKUP($B3004,dongia1,DG!$G$5,)</f>
        <v>1187.155</v>
      </c>
      <c r="K3004" s="1298">
        <f>VLOOKUP($B3004,dongia1,DG!$H$5,)</f>
        <v>0</v>
      </c>
      <c r="L3004" s="1298">
        <f t="shared" si="751"/>
        <v>0</v>
      </c>
      <c r="M3004" s="1298">
        <f t="shared" si="752"/>
        <v>0</v>
      </c>
      <c r="N3004" s="1298">
        <f t="shared" si="753"/>
        <v>0</v>
      </c>
      <c r="O3004" s="1298">
        <f t="shared" si="754"/>
        <v>0</v>
      </c>
      <c r="P3004" s="1299"/>
      <c r="Q3004" s="1300"/>
      <c r="R3004" s="1300"/>
      <c r="S3004" s="1300"/>
    </row>
    <row r="3005" spans="1:19" s="1081" customFormat="1" hidden="1" outlineLevel="1">
      <c r="A3005" s="1072" t="str">
        <f t="shared" si="755"/>
        <v/>
      </c>
      <c r="B3005" s="1557" t="s">
        <v>1861</v>
      </c>
      <c r="C3005" s="1291"/>
      <c r="D3005" s="1198">
        <f>VLOOKUP($B3005,dongia1,DG!$B$5,)</f>
        <v>0</v>
      </c>
      <c r="E3005" s="1399" t="str">
        <f>VLOOKUP($B3005,dongia1,DG!$C$5,)</f>
        <v>Ống PVC D140x6,7mm</v>
      </c>
      <c r="F3005" s="1198" t="str">
        <f>VLOOKUP($B3005,dongia1,DG!$D$5,)</f>
        <v>m</v>
      </c>
      <c r="G3005" s="1304">
        <f>1*G2999</f>
        <v>0</v>
      </c>
      <c r="H3005" s="1298">
        <f>VLOOKUP($B3005,dongia1,DG!$F$5,)</f>
        <v>165250</v>
      </c>
      <c r="I3005" s="1298"/>
      <c r="J3005" s="1298">
        <f>VLOOKUP($B3005,dongia1,DG!$G$5,)</f>
        <v>0</v>
      </c>
      <c r="K3005" s="1298">
        <f>VLOOKUP($B3005,dongia1,DG!$H$5,)</f>
        <v>0</v>
      </c>
      <c r="L3005" s="1298">
        <f t="shared" si="751"/>
        <v>0</v>
      </c>
      <c r="M3005" s="1298">
        <f t="shared" si="752"/>
        <v>0</v>
      </c>
      <c r="N3005" s="1298">
        <f t="shared" si="753"/>
        <v>0</v>
      </c>
      <c r="O3005" s="1298">
        <f t="shared" si="754"/>
        <v>0</v>
      </c>
      <c r="P3005" s="1299"/>
      <c r="Q3005" s="1300"/>
      <c r="R3005" s="1300"/>
      <c r="S3005" s="1300"/>
    </row>
    <row r="3006" spans="1:19" s="1081" customFormat="1" hidden="1" outlineLevel="1">
      <c r="A3006" s="1072" t="str">
        <f t="shared" si="755"/>
        <v/>
      </c>
      <c r="B3006" s="1557" t="s">
        <v>1498</v>
      </c>
      <c r="C3006" s="1302"/>
      <c r="D3006" s="1198" t="str">
        <f>VLOOKUP($B3006,dongia1,DG!$B$5,)</f>
        <v>AB.66112</v>
      </c>
      <c r="E3006" s="1399" t="str">
        <f>VLOOKUP($B3006,dongia1,DG!$C$5,)&amp;" + ñaép ñaù"</f>
        <v>Rải cát đệm (độ chặt K=0,9) + ñaép ñaù</v>
      </c>
      <c r="F3006" s="1198" t="str">
        <f>VLOOKUP($B3006,dongia1,DG!$D$5,)</f>
        <v>m3</v>
      </c>
      <c r="G3006" s="1304">
        <f>G3001+G3002</f>
        <v>0</v>
      </c>
      <c r="H3006" s="1298">
        <f>VLOOKUP($B3006,dongia1,DG!$F$5,)</f>
        <v>0</v>
      </c>
      <c r="I3006" s="1298"/>
      <c r="J3006" s="1298">
        <f>VLOOKUP($B3006,dongia1,DG!$G$5,)</f>
        <v>315277.5</v>
      </c>
      <c r="K3006" s="1298">
        <f>VLOOKUP($B3006,dongia1,DG!$H$5,)</f>
        <v>0</v>
      </c>
      <c r="L3006" s="1298">
        <f t="shared" si="751"/>
        <v>0</v>
      </c>
      <c r="M3006" s="1298">
        <f t="shared" si="752"/>
        <v>0</v>
      </c>
      <c r="N3006" s="1298">
        <f t="shared" si="753"/>
        <v>0</v>
      </c>
      <c r="O3006" s="1298">
        <f t="shared" si="754"/>
        <v>0</v>
      </c>
      <c r="P3006" s="1299"/>
      <c r="Q3006" s="1300"/>
      <c r="R3006" s="1300"/>
      <c r="S3006" s="1300"/>
    </row>
    <row r="3007" spans="1:19" s="1081" customFormat="1" hidden="1" outlineLevel="1">
      <c r="A3007" s="1072" t="str">
        <f t="shared" si="755"/>
        <v/>
      </c>
      <c r="B3007" s="1557" t="s">
        <v>291</v>
      </c>
      <c r="C3007" s="1302"/>
      <c r="D3007" s="1198" t="str">
        <f>VLOOKUP($B3007,dongia1,DG!$B$5,)</f>
        <v>AB.11613</v>
      </c>
      <c r="E3007" s="1399" t="str">
        <f>VLOOKUP($B3007,dongia1,DG!$C$5,)&amp;" : 0,48m3/m"</f>
        <v>Đào mương cáp ngầm đất cấp 3 có mở ta luy : 0,48m3/m</v>
      </c>
      <c r="F3007" s="1198" t="str">
        <f>VLOOKUP($B3007,dongia1,DG!$D$5,)</f>
        <v>m3</v>
      </c>
      <c r="G3007" s="1304">
        <f>G2999*0.48</f>
        <v>0</v>
      </c>
      <c r="H3007" s="1298">
        <f>VLOOKUP($B3007,dongia1,DG!$F$5,)</f>
        <v>0</v>
      </c>
      <c r="I3007" s="1298"/>
      <c r="J3007" s="1298">
        <f>VLOOKUP($B3007,dongia1,DG!$G$5,)</f>
        <v>640731.36</v>
      </c>
      <c r="K3007" s="1298">
        <f>VLOOKUP($B3007,dongia1,DG!$H$5,)</f>
        <v>0</v>
      </c>
      <c r="L3007" s="1298">
        <f t="shared" si="751"/>
        <v>0</v>
      </c>
      <c r="M3007" s="1298">
        <f t="shared" si="752"/>
        <v>0</v>
      </c>
      <c r="N3007" s="1298">
        <f t="shared" si="753"/>
        <v>0</v>
      </c>
      <c r="O3007" s="1298">
        <f t="shared" si="754"/>
        <v>0</v>
      </c>
      <c r="P3007" s="1299"/>
      <c r="Q3007" s="1300"/>
      <c r="R3007" s="1300"/>
      <c r="S3007" s="1300"/>
    </row>
    <row r="3008" spans="1:19" s="1081" customFormat="1" hidden="1" outlineLevel="1">
      <c r="A3008" s="1072" t="str">
        <f t="shared" si="755"/>
        <v/>
      </c>
      <c r="B3008" s="1557" t="s">
        <v>1906</v>
      </c>
      <c r="C3008" s="1302"/>
      <c r="D3008" s="1198" t="str">
        <f>VLOOKUP($B3008,dongia1,DG!$B$5,)</f>
        <v>AB.65110</v>
      </c>
      <c r="E3008" s="1399" t="str">
        <f>VLOOKUP($B3008,dongia1,DG!$C$5,)&amp;" : 0,16m3/m"</f>
        <v>Đắp đất mương cáp K=0,9 : 0,16m3/m</v>
      </c>
      <c r="F3008" s="1198" t="str">
        <f>VLOOKUP($B3008,dongia1,DG!$D$5,)</f>
        <v>m3</v>
      </c>
      <c r="G3008" s="1304">
        <f>0.16*G2999</f>
        <v>0</v>
      </c>
      <c r="H3008" s="1298">
        <f>VLOOKUP($B3008,dongia1,DG!$F$5,)</f>
        <v>0</v>
      </c>
      <c r="I3008" s="1298"/>
      <c r="J3008" s="1298">
        <f>VLOOKUP($B3008,dongia1,DG!$G$5,)</f>
        <v>21935.133999999998</v>
      </c>
      <c r="K3008" s="1298">
        <f>VLOOKUP($B3008,dongia1,DG!$H$5,)</f>
        <v>0</v>
      </c>
      <c r="L3008" s="1298">
        <f t="shared" si="751"/>
        <v>0</v>
      </c>
      <c r="M3008" s="1298">
        <f t="shared" si="752"/>
        <v>0</v>
      </c>
      <c r="N3008" s="1298">
        <f t="shared" si="753"/>
        <v>0</v>
      </c>
      <c r="O3008" s="1298">
        <f t="shared" si="754"/>
        <v>0</v>
      </c>
      <c r="P3008" s="1299"/>
      <c r="Q3008" s="1300"/>
      <c r="R3008" s="1474">
        <v>0.47499999999999998</v>
      </c>
      <c r="S3008" s="1300"/>
    </row>
    <row r="3009" spans="1:19" s="1081" customFormat="1" hidden="1" outlineLevel="1">
      <c r="A3009" s="1072" t="str">
        <f t="shared" si="755"/>
        <v/>
      </c>
      <c r="B3009" s="1295"/>
      <c r="C3009" s="1291">
        <f>IF(G3009&gt;0,C2999+1,C2999)</f>
        <v>0</v>
      </c>
      <c r="D3009" s="1292"/>
      <c r="E3009" s="1296" t="s">
        <v>3461</v>
      </c>
      <c r="F3009" s="1291" t="s">
        <v>2113</v>
      </c>
      <c r="G3009" s="1297"/>
      <c r="H3009" s="1298"/>
      <c r="I3009" s="1298"/>
      <c r="J3009" s="1298"/>
      <c r="K3009" s="1298"/>
      <c r="L3009" s="1298">
        <f t="shared" si="751"/>
        <v>0</v>
      </c>
      <c r="M3009" s="1298">
        <f t="shared" si="752"/>
        <v>0</v>
      </c>
      <c r="N3009" s="1298">
        <f t="shared" si="753"/>
        <v>0</v>
      </c>
      <c r="O3009" s="1298">
        <f t="shared" si="754"/>
        <v>0</v>
      </c>
      <c r="P3009" s="1299"/>
      <c r="Q3009" s="1300"/>
      <c r="R3009" s="1474">
        <v>0.88100000000000001</v>
      </c>
      <c r="S3009" s="1300"/>
    </row>
    <row r="3010" spans="1:19" s="1081" customFormat="1" ht="14.4" hidden="1" outlineLevel="1">
      <c r="A3010" s="1072" t="str">
        <f>A3009</f>
        <v/>
      </c>
      <c r="B3010" s="1295"/>
      <c r="C3010" s="1291"/>
      <c r="D3010" s="1292"/>
      <c r="E3010" s="1301" t="s">
        <v>3399</v>
      </c>
      <c r="F3010" s="1302"/>
      <c r="G3010" s="1473"/>
      <c r="H3010" s="1298"/>
      <c r="I3010" s="1298"/>
      <c r="J3010" s="1298"/>
      <c r="K3010" s="1298"/>
      <c r="L3010" s="1298">
        <f t="shared" si="751"/>
        <v>0</v>
      </c>
      <c r="M3010" s="1298">
        <f t="shared" si="752"/>
        <v>0</v>
      </c>
      <c r="N3010" s="1298">
        <f t="shared" si="753"/>
        <v>0</v>
      </c>
      <c r="O3010" s="1298">
        <f t="shared" si="754"/>
        <v>0</v>
      </c>
      <c r="P3010" s="1299"/>
      <c r="Q3010" s="1300"/>
      <c r="R3010" s="1300"/>
      <c r="S3010" s="1300"/>
    </row>
    <row r="3011" spans="1:19" s="1081" customFormat="1" hidden="1" outlineLevel="1">
      <c r="A3011" s="1072" t="str">
        <f t="shared" ref="A3011:A3018" si="756">IF(G3011&lt;&gt;0,1,"")</f>
        <v/>
      </c>
      <c r="B3011" s="1295" t="s">
        <v>1568</v>
      </c>
      <c r="C3011" s="1302"/>
      <c r="D3011" s="1198" t="str">
        <f>VLOOKUP($B3011,dongia1,DG!$B$5,)</f>
        <v>D4.1205</v>
      </c>
      <c r="E3011" s="1243" t="str">
        <f>VLOOKUP($B3011,dongia1,DG!$C$5,)</f>
        <v>Ông sắt tráng kẽm D140</v>
      </c>
      <c r="F3011" s="1198" t="str">
        <f>VLOOKUP($B3011,dongia1,DG!$D$5,)</f>
        <v>mét</v>
      </c>
      <c r="G3011" s="1304">
        <f>G3009*4</f>
        <v>0</v>
      </c>
      <c r="H3011" s="1298">
        <f>VLOOKUP($B3011,dongia1,DG!$F$5,)</f>
        <v>278000</v>
      </c>
      <c r="I3011" s="1298"/>
      <c r="J3011" s="1298">
        <f>VLOOKUP($B3011,dongia1,DG!$G$5,)</f>
        <v>127101.65849999999</v>
      </c>
      <c r="K3011" s="1298">
        <f>VLOOKUP($B3011,dongia1,DG!$H$5,)</f>
        <v>0</v>
      </c>
      <c r="L3011" s="1298">
        <f t="shared" si="751"/>
        <v>0</v>
      </c>
      <c r="M3011" s="1298">
        <f t="shared" si="752"/>
        <v>0</v>
      </c>
      <c r="N3011" s="1298">
        <f t="shared" si="753"/>
        <v>0</v>
      </c>
      <c r="O3011" s="1298">
        <f t="shared" si="754"/>
        <v>0</v>
      </c>
      <c r="P3011" s="1299"/>
      <c r="Q3011" s="1300"/>
      <c r="R3011" s="1300"/>
      <c r="S3011" s="1300"/>
    </row>
    <row r="3012" spans="1:19" s="1081" customFormat="1" hidden="1" outlineLevel="1">
      <c r="A3012" s="1072" t="str">
        <f t="shared" si="756"/>
        <v/>
      </c>
      <c r="B3012" s="1557" t="s">
        <v>25</v>
      </c>
      <c r="C3012" s="1291"/>
      <c r="D3012" s="1198">
        <f>VLOOKUP($B3012,dongia1,DG!$B$5,)</f>
        <v>0</v>
      </c>
      <c r="E3012" s="1243" t="str">
        <f>VLOOKUP($B3012,dongia1,DG!$C$5,)</f>
        <v>Co sừng 90 độ PVC 140</v>
      </c>
      <c r="F3012" s="1198" t="str">
        <f>VLOOKUP($B3012,dongia1,DG!$D$5,)</f>
        <v>cái</v>
      </c>
      <c r="G3012" s="1304">
        <f>G3009*1</f>
        <v>0</v>
      </c>
      <c r="H3012" s="1298">
        <f>VLOOKUP($B3012,dongia1,DG!$F$5,)</f>
        <v>138000</v>
      </c>
      <c r="I3012" s="1298"/>
      <c r="J3012" s="1298">
        <f>VLOOKUP($B3012,dongia1,DG!$G$5,)</f>
        <v>0</v>
      </c>
      <c r="K3012" s="1298">
        <f>VLOOKUP($B3012,dongia1,DG!$H$5,)</f>
        <v>0</v>
      </c>
      <c r="L3012" s="1298">
        <f t="shared" si="751"/>
        <v>0</v>
      </c>
      <c r="M3012" s="1298">
        <f t="shared" si="752"/>
        <v>0</v>
      </c>
      <c r="N3012" s="1298">
        <f t="shared" si="753"/>
        <v>0</v>
      </c>
      <c r="O3012" s="1298">
        <f t="shared" si="754"/>
        <v>0</v>
      </c>
      <c r="P3012" s="1299"/>
      <c r="Q3012" s="1300"/>
      <c r="R3012" s="1300"/>
      <c r="S3012" s="1300"/>
    </row>
    <row r="3013" spans="1:19" s="1081" customFormat="1" hidden="1" outlineLevel="1">
      <c r="A3013" s="1072" t="str">
        <f t="shared" si="756"/>
        <v/>
      </c>
      <c r="B3013" s="1295" t="s">
        <v>1424</v>
      </c>
      <c r="C3013" s="1302"/>
      <c r="D3013" s="1198">
        <f>VLOOKUP($B3013,dongia1,DG!$B$5,)</f>
        <v>0</v>
      </c>
      <c r="E3013" s="1243" t="str">
        <f>VLOOKUP($B3013,dongia1,DG!$C$5,)</f>
        <v>Cổ dê giữ ống STK D140 vào tường+Boulon+long đền+tắc ke sắt</v>
      </c>
      <c r="F3013" s="1198" t="str">
        <f>VLOOKUP($B3013,dongia1,DG!$D$5,)</f>
        <v>bộ</v>
      </c>
      <c r="G3013" s="1304">
        <f>G3009*2</f>
        <v>0</v>
      </c>
      <c r="H3013" s="1298">
        <f>VLOOKUP($B3013,dongia1,DG!$F$5,)</f>
        <v>40000</v>
      </c>
      <c r="I3013" s="1298"/>
      <c r="J3013" s="1298">
        <f>VLOOKUP($B3013,dongia1,DG!$G$5,)</f>
        <v>0</v>
      </c>
      <c r="K3013" s="1298">
        <f>VLOOKUP($B3013,dongia1,DG!$H$5,)</f>
        <v>0</v>
      </c>
      <c r="L3013" s="1298">
        <f t="shared" si="751"/>
        <v>0</v>
      </c>
      <c r="M3013" s="1298">
        <f t="shared" si="752"/>
        <v>0</v>
      </c>
      <c r="N3013" s="1298">
        <f t="shared" si="753"/>
        <v>0</v>
      </c>
      <c r="O3013" s="1298">
        <f t="shared" si="754"/>
        <v>0</v>
      </c>
      <c r="P3013" s="1299"/>
      <c r="Q3013" s="1300"/>
      <c r="R3013" s="1300"/>
      <c r="S3013" s="1300"/>
    </row>
    <row r="3014" spans="1:19" s="1081" customFormat="1" hidden="1" outlineLevel="1">
      <c r="A3014" s="1072" t="str">
        <f t="shared" si="756"/>
        <v/>
      </c>
      <c r="B3014" s="1068" t="s">
        <v>441</v>
      </c>
      <c r="C3014" s="1302"/>
      <c r="D3014" s="1198">
        <f>VLOOKUP($B3014,dongia1,DG!$B$5,)</f>
        <v>0</v>
      </c>
      <c r="E3014" s="1243" t="str">
        <f>VLOOKUP($B3014,dongia1,DG!$C$5,)</f>
        <v>Giá đỡ cáp ngầm (V63x6)</v>
      </c>
      <c r="F3014" s="1198" t="str">
        <f>VLOOKUP($B3014,dongia1,DG!$D$5,)</f>
        <v>bộ</v>
      </c>
      <c r="G3014" s="1304">
        <f>G3009</f>
        <v>0</v>
      </c>
      <c r="H3014" s="1298">
        <f>VLOOKUP($B3014,dongia1,DG!$F$5,)</f>
        <v>150000</v>
      </c>
      <c r="I3014" s="1298"/>
      <c r="J3014" s="1298">
        <f>VLOOKUP($B3014,dongia1,DG!$G$5,)</f>
        <v>0</v>
      </c>
      <c r="K3014" s="1298">
        <f>VLOOKUP($B3014,dongia1,DG!$H$5,)</f>
        <v>0</v>
      </c>
      <c r="L3014" s="1298">
        <f t="shared" si="751"/>
        <v>0</v>
      </c>
      <c r="M3014" s="1298">
        <f t="shared" si="752"/>
        <v>0</v>
      </c>
      <c r="N3014" s="1298">
        <f t="shared" si="753"/>
        <v>0</v>
      </c>
      <c r="O3014" s="1298">
        <f t="shared" si="754"/>
        <v>0</v>
      </c>
      <c r="P3014" s="1299"/>
      <c r="Q3014" s="1300"/>
      <c r="R3014" s="1300"/>
      <c r="S3014" s="1300"/>
    </row>
    <row r="3015" spans="1:19" s="1081" customFormat="1" hidden="1" outlineLevel="1">
      <c r="A3015" s="1072" t="str">
        <f t="shared" si="756"/>
        <v/>
      </c>
      <c r="B3015" s="1068" t="s">
        <v>31</v>
      </c>
      <c r="C3015" s="1302"/>
      <c r="D3015" s="1198">
        <f>VLOOKUP($B3015,dongia1,DG!$B$5,)</f>
        <v>0</v>
      </c>
      <c r="E3015" s="1243" t="str">
        <f>VLOOKUP($B3015,dongia1,DG!$C$5,)</f>
        <v>Giá đỡ cáp trung thế</v>
      </c>
      <c r="F3015" s="1198" t="str">
        <f>VLOOKUP($B3015,dongia1,DG!$D$5,)</f>
        <v>bộ</v>
      </c>
      <c r="G3015" s="1304">
        <f>G3009</f>
        <v>0</v>
      </c>
      <c r="H3015" s="1298">
        <f>VLOOKUP($B3015,dongia1,DG!$F$5,)</f>
        <v>224832</v>
      </c>
      <c r="I3015" s="1298"/>
      <c r="J3015" s="1298">
        <f>VLOOKUP($B3015,dongia1,DG!$G$5,)</f>
        <v>3635</v>
      </c>
      <c r="K3015" s="1298">
        <f>VLOOKUP($B3015,dongia1,DG!$H$5,)</f>
        <v>6321</v>
      </c>
      <c r="L3015" s="1298">
        <f t="shared" si="751"/>
        <v>0</v>
      </c>
      <c r="M3015" s="1298">
        <f t="shared" si="752"/>
        <v>0</v>
      </c>
      <c r="N3015" s="1298">
        <f t="shared" si="753"/>
        <v>0</v>
      </c>
      <c r="O3015" s="1298">
        <f t="shared" si="754"/>
        <v>0</v>
      </c>
      <c r="P3015" s="1299"/>
      <c r="Q3015" s="1300"/>
      <c r="R3015" s="1300"/>
      <c r="S3015" s="1300"/>
    </row>
    <row r="3016" spans="1:19" s="1081" customFormat="1" hidden="1" outlineLevel="1">
      <c r="A3016" s="1072" t="str">
        <f t="shared" si="756"/>
        <v/>
      </c>
      <c r="B3016" s="1295" t="s">
        <v>442</v>
      </c>
      <c r="C3016" s="1291"/>
      <c r="D3016" s="1198" t="str">
        <f>VLOOKUP($B3016,dongia1,DG!$B$5,)</f>
        <v>T4.8002</v>
      </c>
      <c r="E3016" s="1243" t="str">
        <f>VLOOKUP($B3016,dongia1,DG!$C$5,)</f>
        <v>Lắp gía đỡ cáp</v>
      </c>
      <c r="F3016" s="1198" t="str">
        <f>VLOOKUP($B3016,dongia1,DG!$D$5,)</f>
        <v>bộ</v>
      </c>
      <c r="G3016" s="1304">
        <f>G3014</f>
        <v>0</v>
      </c>
      <c r="H3016" s="1298">
        <f>VLOOKUP($B3016,dongia1,DG!$F$5,)</f>
        <v>0</v>
      </c>
      <c r="I3016" s="1298"/>
      <c r="J3016" s="1298">
        <f>VLOOKUP($B3016,dongia1,DG!$G$5,)</f>
        <v>28219.62</v>
      </c>
      <c r="K3016" s="1298">
        <f>VLOOKUP($B3016,dongia1,DG!$H$5,)</f>
        <v>0</v>
      </c>
      <c r="L3016" s="1298">
        <f t="shared" si="751"/>
        <v>0</v>
      </c>
      <c r="M3016" s="1298">
        <f t="shared" si="752"/>
        <v>0</v>
      </c>
      <c r="N3016" s="1298">
        <f t="shared" si="753"/>
        <v>0</v>
      </c>
      <c r="O3016" s="1298">
        <f t="shared" si="754"/>
        <v>0</v>
      </c>
      <c r="P3016" s="1299"/>
      <c r="Q3016" s="1300"/>
      <c r="R3016" s="1300"/>
      <c r="S3016" s="1300"/>
    </row>
    <row r="3017" spans="1:19" s="1081" customFormat="1" hidden="1" outlineLevel="1">
      <c r="A3017" s="1072" t="str">
        <f t="shared" si="756"/>
        <v/>
      </c>
      <c r="B3017" s="1295" t="s">
        <v>888</v>
      </c>
      <c r="C3017" s="1302"/>
      <c r="D3017" s="1198">
        <f>VLOOKUP($B3017,dongia1,DG!$B$5,)</f>
        <v>0</v>
      </c>
      <c r="E3017" s="1243" t="str">
        <f>VLOOKUP($B3017,dongia1,DG!$C$5,)</f>
        <v>Bảng tên trạm + bảng báo nguy hiểm</v>
      </c>
      <c r="F3017" s="1198" t="str">
        <f>VLOOKUP($B3017,dongia1,DG!$D$5,)</f>
        <v>cái</v>
      </c>
      <c r="G3017" s="1304">
        <f>G3009</f>
        <v>0</v>
      </c>
      <c r="H3017" s="1298">
        <f>VLOOKUP($B3017,dongia1,DG!$F$5,)</f>
        <v>300000</v>
      </c>
      <c r="I3017" s="1298"/>
      <c r="J3017" s="1298">
        <f>VLOOKUP($B3017,dongia1,DG!$G$5,)</f>
        <v>0</v>
      </c>
      <c r="K3017" s="1298">
        <f>VLOOKUP($B3017,dongia1,DG!$H$5,)</f>
        <v>0</v>
      </c>
      <c r="L3017" s="1298">
        <f t="shared" si="751"/>
        <v>0</v>
      </c>
      <c r="M3017" s="1298">
        <f t="shared" si="752"/>
        <v>0</v>
      </c>
      <c r="N3017" s="1298">
        <f t="shared" si="753"/>
        <v>0</v>
      </c>
      <c r="O3017" s="1298">
        <f t="shared" si="754"/>
        <v>0</v>
      </c>
      <c r="P3017" s="1299"/>
      <c r="Q3017" s="1300"/>
      <c r="R3017" s="1300"/>
      <c r="S3017" s="1300"/>
    </row>
    <row r="3018" spans="1:19" s="1081" customFormat="1" hidden="1" outlineLevel="1">
      <c r="A3018" s="1072" t="str">
        <f t="shared" si="756"/>
        <v/>
      </c>
      <c r="B3018" s="1295"/>
      <c r="C3018" s="1291">
        <f>IF(G3018&gt;0,C3009+1,C3009)</f>
        <v>0</v>
      </c>
      <c r="D3018" s="1292"/>
      <c r="E3018" s="1293" t="s">
        <v>3457</v>
      </c>
      <c r="F3018" s="1291" t="s">
        <v>2113</v>
      </c>
      <c r="G3018" s="1297"/>
      <c r="H3018" s="1298"/>
      <c r="I3018" s="1298"/>
      <c r="J3018" s="1298"/>
      <c r="K3018" s="1298"/>
      <c r="L3018" s="1298"/>
      <c r="M3018" s="1298"/>
      <c r="N3018" s="1298"/>
      <c r="O3018" s="1298"/>
      <c r="P3018" s="1299"/>
      <c r="Q3018" s="1300"/>
      <c r="R3018" s="1300"/>
      <c r="S3018" s="1300"/>
    </row>
    <row r="3019" spans="1:19" s="1081" customFormat="1" ht="14.4" hidden="1" outlineLevel="1">
      <c r="A3019" s="1072" t="str">
        <f>A3018</f>
        <v/>
      </c>
      <c r="B3019" s="1295"/>
      <c r="C3019" s="1291"/>
      <c r="D3019" s="1292"/>
      <c r="E3019" s="1308" t="s">
        <v>3399</v>
      </c>
      <c r="F3019" s="1291"/>
      <c r="G3019" s="1297"/>
      <c r="H3019" s="1298"/>
      <c r="I3019" s="1298"/>
      <c r="J3019" s="1298"/>
      <c r="K3019" s="1298"/>
      <c r="L3019" s="1298"/>
      <c r="M3019" s="1298"/>
      <c r="N3019" s="1298"/>
      <c r="O3019" s="1298"/>
      <c r="P3019" s="1299"/>
      <c r="Q3019" s="1300"/>
      <c r="R3019" s="1300"/>
      <c r="S3019" s="1300"/>
    </row>
    <row r="3020" spans="1:19" s="1081" customFormat="1" hidden="1" outlineLevel="1">
      <c r="A3020" s="1072" t="str">
        <f>IF(G3020&lt;&gt;0,1,"")</f>
        <v/>
      </c>
      <c r="B3020" s="1068" t="s">
        <v>22</v>
      </c>
      <c r="C3020" s="1302"/>
      <c r="D3020" s="1198">
        <f>VLOOKUP($B3020,dongia1,DG!$B$5,)</f>
        <v>0</v>
      </c>
      <c r="E3020" s="1243" t="str">
        <f>VLOOKUP($B3020,dongia1,DG!$C$5,)&amp;": töø Trụ ño ñeám ñeán tuû LBSA"</f>
        <v>Cáp 24kV C/XLPE/DSTA/PVC3x50: töø Trụ ño ñeám ñeán tuû LBSA</v>
      </c>
      <c r="F3020" s="1198" t="str">
        <f>VLOOKUP($B3020,dongia1,DG!$D$5,)</f>
        <v>mét</v>
      </c>
      <c r="G3020" s="1304">
        <f>(3+10)*1.02*G3018</f>
        <v>0</v>
      </c>
      <c r="H3020" s="1298">
        <f>VLOOKUP($B3020,dongia1,DG!$F$5,)</f>
        <v>763500</v>
      </c>
      <c r="I3020" s="1298"/>
      <c r="J3020" s="1298">
        <f>VLOOKUP($B3020,dongia1,DG!$G$5,)</f>
        <v>0</v>
      </c>
      <c r="K3020" s="1298">
        <f>VLOOKUP($B3020,dongia1,DG!$H$5,)</f>
        <v>0</v>
      </c>
      <c r="L3020" s="1298">
        <f>H3020*G3020</f>
        <v>0</v>
      </c>
      <c r="M3020" s="1298">
        <f>I3020*G3020</f>
        <v>0</v>
      </c>
      <c r="N3020" s="1298">
        <f>J3020*G3020</f>
        <v>0</v>
      </c>
      <c r="O3020" s="1298">
        <f>K3020*G3020</f>
        <v>0</v>
      </c>
      <c r="P3020" s="1299"/>
      <c r="Q3020" s="1300"/>
      <c r="R3020" s="1300"/>
      <c r="S3020" s="1300"/>
    </row>
    <row r="3021" spans="1:19" s="1081" customFormat="1" hidden="1" outlineLevel="1">
      <c r="A3021" s="1072" t="str">
        <f t="shared" ref="A3021:A3030" si="757">IF(G3021&lt;&gt;0,1,"")</f>
        <v/>
      </c>
      <c r="B3021" s="1068" t="s">
        <v>2071</v>
      </c>
      <c r="C3021" s="1302"/>
      <c r="D3021" s="1198">
        <f>VLOOKUP($B3021,dongia1,DG!$B$5,)</f>
        <v>0</v>
      </c>
      <c r="E3021" s="1243" t="str">
        <f>VLOOKUP($B3021,dongia1,DG!$C$5,)&amp;": 0,5m/pha"</f>
        <v>Cáp 24KV C/XLPE/PVC 50mm2: 0,5m/pha</v>
      </c>
      <c r="F3021" s="1198" t="str">
        <f>VLOOKUP($B3021,dongia1,DG!$D$5,)</f>
        <v>mét</v>
      </c>
      <c r="G3021" s="1304">
        <f>G3018*0.5*3</f>
        <v>0</v>
      </c>
      <c r="H3021" s="1298">
        <f>VLOOKUP($B3021,dongia1,DG!$F$5,)</f>
        <v>204900</v>
      </c>
      <c r="I3021" s="1298"/>
      <c r="J3021" s="1298">
        <f>VLOOKUP($B3021,dongia1,DG!$G$5,)</f>
        <v>0</v>
      </c>
      <c r="K3021" s="1298">
        <f>VLOOKUP($B3021,dongia1,DG!$H$5,)</f>
        <v>0</v>
      </c>
      <c r="L3021" s="1298">
        <f>H3021*G3021</f>
        <v>0</v>
      </c>
      <c r="M3021" s="1298">
        <f>I3021*G3021</f>
        <v>0</v>
      </c>
      <c r="N3021" s="1298">
        <f>J3021*G3021</f>
        <v>0</v>
      </c>
      <c r="O3021" s="1298">
        <f>K3021*G3021</f>
        <v>0</v>
      </c>
      <c r="P3021" s="1299"/>
      <c r="Q3021" s="1300"/>
      <c r="R3021" s="1300"/>
      <c r="S3021" s="1300"/>
    </row>
    <row r="3022" spans="1:19" s="1081" customFormat="1" hidden="1" outlineLevel="1">
      <c r="A3022" s="1072" t="str">
        <f t="shared" si="757"/>
        <v/>
      </c>
      <c r="B3022" s="1068" t="s">
        <v>631</v>
      </c>
      <c r="C3022" s="1302"/>
      <c r="D3022" s="1198">
        <f>VLOOKUP($B3022,dongia1,DG!$B$5,)</f>
        <v>0</v>
      </c>
      <c r="E3022" s="1243" t="str">
        <f>VLOOKUP($B3022,dongia1,DG!$C$5,)</f>
        <v>Đầu cáp ngầm 24KV 3x50mm2 outdoor</v>
      </c>
      <c r="F3022" s="1198" t="str">
        <f>VLOOKUP($B3022,dongia1,DG!$D$5,)</f>
        <v>cái</v>
      </c>
      <c r="G3022" s="1304">
        <f>G3018*2</f>
        <v>0</v>
      </c>
      <c r="H3022" s="1298">
        <f>VLOOKUP($B3022,dongia1,DG!$F$5,)</f>
        <v>4022000</v>
      </c>
      <c r="I3022" s="1298"/>
      <c r="J3022" s="1298">
        <f>VLOOKUP($B3022,dongia1,DG!$G$5,)</f>
        <v>0</v>
      </c>
      <c r="K3022" s="1298">
        <f>VLOOKUP($B3022,dongia1,DG!$H$5,)</f>
        <v>0</v>
      </c>
      <c r="L3022" s="1298">
        <f t="shared" ref="L3022:L3027" si="758">H3022*G3022</f>
        <v>0</v>
      </c>
      <c r="M3022" s="1298">
        <f t="shared" ref="M3022:M3027" si="759">I3022*G3022</f>
        <v>0</v>
      </c>
      <c r="N3022" s="1298">
        <f t="shared" ref="N3022:N3027" si="760">J3022*G3022</f>
        <v>0</v>
      </c>
      <c r="O3022" s="1298">
        <f t="shared" ref="O3022:O3027" si="761">K3022*G3022</f>
        <v>0</v>
      </c>
      <c r="P3022" s="1299"/>
      <c r="Q3022" s="1300"/>
      <c r="R3022" s="1300"/>
      <c r="S3022" s="1300"/>
    </row>
    <row r="3023" spans="1:19" s="1081" customFormat="1" hidden="1" outlineLevel="1">
      <c r="A3023" s="1072" t="str">
        <f t="shared" si="757"/>
        <v/>
      </c>
      <c r="B3023" s="1068" t="s">
        <v>22</v>
      </c>
      <c r="C3023" s="1302"/>
      <c r="D3023" s="1198">
        <f>VLOOKUP($B3023,dongia1,DG!$B$5,)</f>
        <v>0</v>
      </c>
      <c r="E3023" s="1243" t="str">
        <f>VLOOKUP($B3023,dongia1,DG!$C$5,)&amp;": töø tuû LBS ñeán MBA"</f>
        <v>Cáp 24kV C/XLPE/DSTA/PVC3x50: töø tuû LBS ñeán MBA</v>
      </c>
      <c r="F3023" s="1198" t="str">
        <f>VLOOKUP($B3023,dongia1,DG!$D$5,)</f>
        <v>mét</v>
      </c>
      <c r="G3023" s="1304">
        <f>(1.2+2.4)*G3018</f>
        <v>0</v>
      </c>
      <c r="H3023" s="1298">
        <f>VLOOKUP($B3023,dongia1,DG!$F$5,)</f>
        <v>763500</v>
      </c>
      <c r="I3023" s="1298"/>
      <c r="J3023" s="1298">
        <f>VLOOKUP($B3023,dongia1,DG!$G$5,)</f>
        <v>0</v>
      </c>
      <c r="K3023" s="1298">
        <f>VLOOKUP($B3023,dongia1,DG!$H$5,)</f>
        <v>0</v>
      </c>
      <c r="L3023" s="1298">
        <f t="shared" si="758"/>
        <v>0</v>
      </c>
      <c r="M3023" s="1298">
        <f t="shared" si="759"/>
        <v>0</v>
      </c>
      <c r="N3023" s="1298">
        <f t="shared" si="760"/>
        <v>0</v>
      </c>
      <c r="O3023" s="1298">
        <f t="shared" si="761"/>
        <v>0</v>
      </c>
      <c r="P3023" s="1299"/>
      <c r="Q3023" s="1300"/>
      <c r="R3023" s="1300"/>
      <c r="S3023" s="1300"/>
    </row>
    <row r="3024" spans="1:19" s="1081" customFormat="1" hidden="1" outlineLevel="1">
      <c r="A3024" s="1072" t="str">
        <f t="shared" si="757"/>
        <v/>
      </c>
      <c r="B3024" s="1068" t="s">
        <v>2071</v>
      </c>
      <c r="C3024" s="1302"/>
      <c r="D3024" s="1198">
        <f>VLOOKUP($B3024,dongia1,DG!$B$5,)</f>
        <v>0</v>
      </c>
      <c r="E3024" s="1243" t="str">
        <f>VLOOKUP($B3024,dongia1,DG!$C$5,)&amp;": töø tuû LBS ñeán MBA"</f>
        <v>Cáp 24KV C/XLPE/PVC 50mm2: töø tuû LBS ñeán MBA</v>
      </c>
      <c r="F3024" s="1198" t="str">
        <f>VLOOKUP($B3024,dongia1,DG!$D$5,)</f>
        <v>mét</v>
      </c>
      <c r="G3024" s="1304">
        <f>G3023*0</f>
        <v>0</v>
      </c>
      <c r="H3024" s="1298">
        <f>VLOOKUP($B3024,dongia1,DG!$F$5,)</f>
        <v>204900</v>
      </c>
      <c r="I3024" s="1298"/>
      <c r="J3024" s="1298">
        <f>VLOOKUP($B3024,dongia1,DG!$G$5,)</f>
        <v>0</v>
      </c>
      <c r="K3024" s="1298">
        <f>VLOOKUP($B3024,dongia1,DG!$H$5,)</f>
        <v>0</v>
      </c>
      <c r="L3024" s="1298">
        <f t="shared" si="758"/>
        <v>0</v>
      </c>
      <c r="M3024" s="1298">
        <f t="shared" si="759"/>
        <v>0</v>
      </c>
      <c r="N3024" s="1298">
        <f t="shared" si="760"/>
        <v>0</v>
      </c>
      <c r="O3024" s="1298">
        <f t="shared" si="761"/>
        <v>0</v>
      </c>
      <c r="P3024" s="1299"/>
      <c r="Q3024" s="1300"/>
      <c r="R3024" s="1300"/>
      <c r="S3024" s="1300"/>
    </row>
    <row r="3025" spans="1:19" s="1081" customFormat="1" hidden="1" outlineLevel="1">
      <c r="A3025" s="1072" t="str">
        <f t="shared" si="757"/>
        <v/>
      </c>
      <c r="B3025" s="1068" t="s">
        <v>632</v>
      </c>
      <c r="C3025" s="1302"/>
      <c r="D3025" s="1198">
        <f>VLOOKUP($B3025,dongia1,DG!$B$5,)</f>
        <v>0</v>
      </c>
      <c r="E3025" s="1243" t="str">
        <f>VLOOKUP($B3025,dongia1,DG!$C$5,)</f>
        <v>Đầu cáp ngầm 24KV 3x50mm2 indoor</v>
      </c>
      <c r="F3025" s="1198" t="str">
        <f>VLOOKUP($B3025,dongia1,DG!$D$5,)</f>
        <v>cái</v>
      </c>
      <c r="G3025" s="1304">
        <f>G3018*3</f>
        <v>0</v>
      </c>
      <c r="H3025" s="1298">
        <f>VLOOKUP($B3025,dongia1,DG!$F$5,)</f>
        <v>5242230</v>
      </c>
      <c r="I3025" s="1298"/>
      <c r="J3025" s="1298">
        <f>VLOOKUP($B3025,dongia1,DG!$G$5,)</f>
        <v>0</v>
      </c>
      <c r="K3025" s="1298">
        <f>VLOOKUP($B3025,dongia1,DG!$H$5,)</f>
        <v>0</v>
      </c>
      <c r="L3025" s="1298">
        <f t="shared" si="758"/>
        <v>0</v>
      </c>
      <c r="M3025" s="1298">
        <f t="shared" si="759"/>
        <v>0</v>
      </c>
      <c r="N3025" s="1298">
        <f t="shared" si="760"/>
        <v>0</v>
      </c>
      <c r="O3025" s="1298">
        <f t="shared" si="761"/>
        <v>0</v>
      </c>
      <c r="P3025" s="1299"/>
      <c r="Q3025" s="1300"/>
      <c r="R3025" s="1300"/>
      <c r="S3025" s="1300"/>
    </row>
    <row r="3026" spans="1:19" s="1081" customFormat="1" hidden="1" outlineLevel="1">
      <c r="A3026" s="1072" t="str">
        <f t="shared" si="757"/>
        <v/>
      </c>
      <c r="B3026" s="1068" t="s">
        <v>1494</v>
      </c>
      <c r="C3026" s="1302"/>
      <c r="D3026" s="1198" t="str">
        <f>VLOOKUP($B3026,dongia1,DG!$B$5,)</f>
        <v>D4.3312</v>
      </c>
      <c r="E3026" s="1243" t="str">
        <f>VLOOKUP($B3026,dongia1,DG!$C$5,)</f>
        <v>Lắp đầu cáp trung thế 3x50mm2, 70mm2</v>
      </c>
      <c r="F3026" s="1198" t="str">
        <f>VLOOKUP($B3026,dongia1,DG!$D$5,)</f>
        <v>cái</v>
      </c>
      <c r="G3026" s="1304">
        <f>G3022+G3025</f>
        <v>0</v>
      </c>
      <c r="H3026" s="1298">
        <f>VLOOKUP($B3026,dongia1,DG!$F$5,)</f>
        <v>11340</v>
      </c>
      <c r="I3026" s="1298"/>
      <c r="J3026" s="1298">
        <f>VLOOKUP($B3026,dongia1,DG!$G$5,)</f>
        <v>621381.64999999991</v>
      </c>
      <c r="K3026" s="1298">
        <f>VLOOKUP($B3026,dongia1,DG!$H$5,)</f>
        <v>0</v>
      </c>
      <c r="L3026" s="1298">
        <f t="shared" si="758"/>
        <v>0</v>
      </c>
      <c r="M3026" s="1298">
        <f t="shared" si="759"/>
        <v>0</v>
      </c>
      <c r="N3026" s="1298">
        <f t="shared" si="760"/>
        <v>0</v>
      </c>
      <c r="O3026" s="1298">
        <f t="shared" si="761"/>
        <v>0</v>
      </c>
      <c r="P3026" s="1299"/>
      <c r="Q3026" s="1300"/>
      <c r="R3026" s="1300"/>
      <c r="S3026" s="1300"/>
    </row>
    <row r="3027" spans="1:19" s="1081" customFormat="1" hidden="1" outlineLevel="1">
      <c r="A3027" s="1072" t="str">
        <f t="shared" si="757"/>
        <v/>
      </c>
      <c r="B3027" s="1068" t="s">
        <v>1536</v>
      </c>
      <c r="C3027" s="1302"/>
      <c r="D3027" s="1198" t="str">
        <f>VLOOKUP($B3027,dongia1,DG!$B$5,)</f>
        <v>D4.24.05</v>
      </c>
      <c r="E3027" s="1243" t="str">
        <f>VLOOKUP($B3027,dongia1,DG!$C$5,)</f>
        <v>Lắp cáp trong ống bảo vệ loại &lt;=6kg</v>
      </c>
      <c r="F3027" s="1198" t="str">
        <f>VLOOKUP($B3027,dongia1,DG!$D$5,)</f>
        <v>mét</v>
      </c>
      <c r="G3027" s="1304">
        <f>G3020+G3023</f>
        <v>0</v>
      </c>
      <c r="H3027" s="1298">
        <f>VLOOKUP($B3027,dongia1,DG!$F$5,)</f>
        <v>546.91999999999996</v>
      </c>
      <c r="I3027" s="1298"/>
      <c r="J3027" s="1298">
        <f>VLOOKUP($B3027,dongia1,DG!$G$5,)</f>
        <v>21459.713</v>
      </c>
      <c r="K3027" s="1298">
        <f>VLOOKUP($B3027,dongia1,DG!$H$5,)</f>
        <v>0</v>
      </c>
      <c r="L3027" s="1298">
        <f t="shared" si="758"/>
        <v>0</v>
      </c>
      <c r="M3027" s="1298">
        <f t="shared" si="759"/>
        <v>0</v>
      </c>
      <c r="N3027" s="1298">
        <f t="shared" si="760"/>
        <v>0</v>
      </c>
      <c r="O3027" s="1298">
        <f t="shared" si="761"/>
        <v>0</v>
      </c>
      <c r="P3027" s="1299"/>
      <c r="Q3027" s="1300"/>
      <c r="R3027" s="1300"/>
      <c r="S3027" s="1300"/>
    </row>
    <row r="3028" spans="1:19" s="1081" customFormat="1" hidden="1" outlineLevel="1">
      <c r="A3028" s="1072" t="str">
        <f t="shared" si="757"/>
        <v/>
      </c>
      <c r="B3028" s="1068" t="s">
        <v>224</v>
      </c>
      <c r="C3028" s="1302"/>
      <c r="D3028" s="1198" t="str">
        <f>VLOOKUP($B3028,dongia1,DG!$B$5,)</f>
        <v>T4.4201</v>
      </c>
      <c r="E3028" s="1243" t="str">
        <f>VLOOKUP($B3028,dongia1,DG!$C$5,)</f>
        <v>Lắp cáp đồng xuống thiết bị D ≤ 95mm2</v>
      </c>
      <c r="F3028" s="1198" t="str">
        <f>VLOOKUP($B3028,dongia1,DG!$D$5,)</f>
        <v>m</v>
      </c>
      <c r="G3028" s="1304">
        <f>G3021</f>
        <v>0</v>
      </c>
      <c r="H3028" s="1298">
        <f>VLOOKUP($B3028,dongia1,DG!$F$5,)</f>
        <v>0</v>
      </c>
      <c r="I3028" s="1298"/>
      <c r="J3028" s="1298">
        <f>VLOOKUP($B3028,dongia1,DG!$G$5,)</f>
        <v>13915</v>
      </c>
      <c r="K3028" s="1298">
        <f>VLOOKUP($B3028,dongia1,DG!$H$5,)</f>
        <v>0</v>
      </c>
      <c r="L3028" s="1298">
        <f>H3028*G3028</f>
        <v>0</v>
      </c>
      <c r="M3028" s="1298">
        <f>I3028*G3028</f>
        <v>0</v>
      </c>
      <c r="N3028" s="1298">
        <f>J3028*G3028</f>
        <v>0</v>
      </c>
      <c r="O3028" s="1298">
        <f>K3028*G3028</f>
        <v>0</v>
      </c>
      <c r="P3028" s="1299"/>
      <c r="Q3028" s="1300"/>
      <c r="R3028" s="1300"/>
      <c r="S3028" s="1300"/>
    </row>
    <row r="3029" spans="1:19" s="1081" customFormat="1" hidden="1" outlineLevel="1">
      <c r="A3029" s="1072" t="str">
        <f t="shared" si="757"/>
        <v/>
      </c>
      <c r="B3029" s="1068" t="s">
        <v>627</v>
      </c>
      <c r="C3029" s="1302"/>
      <c r="D3029" s="1198">
        <f>VLOOKUP($B3029,dongia1,DG!$B$5,)</f>
        <v>0</v>
      </c>
      <c r="E3029" s="1243" t="str">
        <f>VLOOKUP($B3029,dongia1,DG!$C$5,)</f>
        <v>Dây rút cáp</v>
      </c>
      <c r="F3029" s="1198" t="str">
        <f>VLOOKUP($B3029,dongia1,DG!$D$5,)</f>
        <v>bọc</v>
      </c>
      <c r="G3029" s="1304">
        <f>G3018*2</f>
        <v>0</v>
      </c>
      <c r="H3029" s="1298">
        <f>VLOOKUP($B3029,dongia1,DG!$F$5,)</f>
        <v>15000</v>
      </c>
      <c r="I3029" s="1298"/>
      <c r="J3029" s="1298">
        <f>VLOOKUP($B3029,dongia1,DG!$G$5,)</f>
        <v>0</v>
      </c>
      <c r="K3029" s="1298">
        <f>VLOOKUP($B3029,dongia1,DG!$H$5,)</f>
        <v>0</v>
      </c>
      <c r="L3029" s="1298">
        <f>H3029*G3029</f>
        <v>0</v>
      </c>
      <c r="M3029" s="1298">
        <f>I3029*G3029</f>
        <v>0</v>
      </c>
      <c r="N3029" s="1298">
        <f>J3029*G3029</f>
        <v>0</v>
      </c>
      <c r="O3029" s="1298">
        <f>K3029*G3029</f>
        <v>0</v>
      </c>
      <c r="P3029" s="1299"/>
      <c r="Q3029" s="1300"/>
      <c r="R3029" s="1300"/>
      <c r="S3029" s="1300"/>
    </row>
    <row r="3030" spans="1:19" s="1081" customFormat="1" hidden="1" outlineLevel="1">
      <c r="A3030" s="1072" t="str">
        <f t="shared" si="757"/>
        <v/>
      </c>
      <c r="B3030" s="1295"/>
      <c r="C3030" s="1291">
        <f>IF(G3030&gt;0,C3018+1,C3018)</f>
        <v>0</v>
      </c>
      <c r="D3030" s="1292"/>
      <c r="E3030" s="1293" t="s">
        <v>3443</v>
      </c>
      <c r="F3030" s="1291" t="s">
        <v>2113</v>
      </c>
      <c r="G3030" s="1297">
        <f>G2932</f>
        <v>0</v>
      </c>
      <c r="H3030" s="1298"/>
      <c r="I3030" s="1298"/>
      <c r="J3030" s="1298"/>
      <c r="K3030" s="1298"/>
      <c r="L3030" s="1298"/>
      <c r="M3030" s="1298"/>
      <c r="N3030" s="1298"/>
      <c r="O3030" s="1298"/>
      <c r="P3030" s="1299"/>
      <c r="Q3030" s="1300"/>
      <c r="R3030" s="1300"/>
      <c r="S3030" s="1300"/>
    </row>
    <row r="3031" spans="1:19" s="1081" customFormat="1" ht="14.4" hidden="1" outlineLevel="1">
      <c r="A3031" s="1072" t="str">
        <f>A3030</f>
        <v/>
      </c>
      <c r="B3031" s="1295"/>
      <c r="C3031" s="1291"/>
      <c r="D3031" s="1292"/>
      <c r="E3031" s="1308" t="s">
        <v>3399</v>
      </c>
      <c r="F3031" s="1291"/>
      <c r="G3031" s="1297"/>
      <c r="H3031" s="1298"/>
      <c r="I3031" s="1298"/>
      <c r="J3031" s="1298"/>
      <c r="K3031" s="1298"/>
      <c r="L3031" s="1298"/>
      <c r="M3031" s="1298"/>
      <c r="N3031" s="1298"/>
      <c r="O3031" s="1298"/>
      <c r="P3031" s="1299"/>
      <c r="Q3031" s="1300"/>
      <c r="R3031" s="1300"/>
      <c r="S3031" s="1300"/>
    </row>
    <row r="3032" spans="1:19" s="1081" customFormat="1" hidden="1" outlineLevel="1">
      <c r="A3032" s="1072" t="str">
        <f t="shared" ref="A3032:A3037" si="762">IF(G3032&lt;&gt;0,1,"")</f>
        <v/>
      </c>
      <c r="B3032" s="1068" t="s">
        <v>648</v>
      </c>
      <c r="C3032" s="1302"/>
      <c r="D3032" s="1198">
        <f>VLOOKUP($B3032,dongia1,DG!$B$5,)</f>
        <v>0</v>
      </c>
      <c r="E3032" s="1243" t="str">
        <f>VLOOKUP($B3032,dongia1,DG!$C$5,)</f>
        <v>Cáp 24KV C/XLPE/PVC- 25mm2</v>
      </c>
      <c r="F3032" s="1198" t="str">
        <f>VLOOKUP($B3032,dongia1,DG!$D$5,)</f>
        <v>mét</v>
      </c>
      <c r="G3032" s="1303">
        <f>G3030*9*3</f>
        <v>0</v>
      </c>
      <c r="H3032" s="1298">
        <f>VLOOKUP($B3032,dongia1,DG!$F$5,)</f>
        <v>50996</v>
      </c>
      <c r="I3032" s="1298"/>
      <c r="J3032" s="1298">
        <f>VLOOKUP($B3032,dongia1,DG!$G$5,)</f>
        <v>0</v>
      </c>
      <c r="K3032" s="1298">
        <f>VLOOKUP($B3032,dongia1,DG!$H$5,)</f>
        <v>0</v>
      </c>
      <c r="L3032" s="1298">
        <f t="shared" ref="L3032:L3037" si="763">H3032*G3032</f>
        <v>0</v>
      </c>
      <c r="M3032" s="1298">
        <f>I3032*G3032</f>
        <v>0</v>
      </c>
      <c r="N3032" s="1298">
        <f t="shared" ref="N3032:N3037" si="764">J3032*G3032</f>
        <v>0</v>
      </c>
      <c r="O3032" s="1298">
        <f t="shared" ref="O3032:O3037" si="765">K3032*G3032</f>
        <v>0</v>
      </c>
      <c r="P3032" s="1299"/>
      <c r="Q3032" s="1300"/>
      <c r="R3032" s="1300"/>
      <c r="S3032" s="1300"/>
    </row>
    <row r="3033" spans="1:19" s="1081" customFormat="1" hidden="1" outlineLevel="1">
      <c r="A3033" s="1072" t="str">
        <f t="shared" si="762"/>
        <v/>
      </c>
      <c r="B3033" s="1421" t="s">
        <v>914</v>
      </c>
      <c r="C3033" s="1302"/>
      <c r="D3033" s="1198">
        <f>VLOOKUP($B3033,dongia1,DG!$B$5,)</f>
        <v>0</v>
      </c>
      <c r="E3033" s="1243" t="str">
        <f>VLOOKUP($B3033,dongia1,DG!$C$5,)</f>
        <v>Kẹp ép cỡ dây 25mm2</v>
      </c>
      <c r="F3033" s="1198" t="str">
        <f>VLOOKUP($B3033,dongia1,DG!$D$5,)</f>
        <v>cái</v>
      </c>
      <c r="G3033" s="1303">
        <f>G3030*3*2</f>
        <v>0</v>
      </c>
      <c r="H3033" s="1298">
        <f>VLOOKUP($B3033,dongia1,DG!$F$5,)</f>
        <v>6000</v>
      </c>
      <c r="I3033" s="1298"/>
      <c r="J3033" s="1298">
        <f>VLOOKUP($B3033,dongia1,DG!$G$5,)</f>
        <v>0</v>
      </c>
      <c r="K3033" s="1298">
        <f>VLOOKUP($B3033,dongia1,DG!$H$5,)</f>
        <v>0</v>
      </c>
      <c r="L3033" s="1298">
        <f t="shared" si="763"/>
        <v>0</v>
      </c>
      <c r="M3033" s="1298">
        <v>0</v>
      </c>
      <c r="N3033" s="1298">
        <f t="shared" si="764"/>
        <v>0</v>
      </c>
      <c r="O3033" s="1298">
        <f t="shared" si="765"/>
        <v>0</v>
      </c>
      <c r="P3033" s="1299"/>
      <c r="Q3033" s="1300"/>
      <c r="R3033" s="1300"/>
      <c r="S3033" s="1300"/>
    </row>
    <row r="3034" spans="1:19" s="1081" customFormat="1" hidden="1" outlineLevel="1">
      <c r="A3034" s="1072" t="str">
        <f t="shared" si="762"/>
        <v/>
      </c>
      <c r="B3034" s="1421" t="s">
        <v>2028</v>
      </c>
      <c r="C3034" s="1302"/>
      <c r="D3034" s="1198">
        <f>VLOOKUP($B3034,dongia1,DG!$B$5,)</f>
        <v>0</v>
      </c>
      <c r="E3034" s="1243" t="str">
        <f>VLOOKUP($B3034,dongia1,DG!$C$5,)</f>
        <v>Kẹp quai 2/0</v>
      </c>
      <c r="F3034" s="1198" t="str">
        <f>VLOOKUP($B3034,dongia1,DG!$D$5,)</f>
        <v>cái</v>
      </c>
      <c r="G3034" s="1303">
        <f>G3030*3</f>
        <v>0</v>
      </c>
      <c r="H3034" s="1298">
        <f>VLOOKUP($B3034,dongia1,DG!$F$5,)</f>
        <v>46000</v>
      </c>
      <c r="I3034" s="1298"/>
      <c r="J3034" s="1298">
        <f>VLOOKUP($B3034,dongia1,DG!$G$5,)</f>
        <v>0</v>
      </c>
      <c r="K3034" s="1298">
        <f>VLOOKUP($B3034,dongia1,DG!$H$5,)</f>
        <v>0</v>
      </c>
      <c r="L3034" s="1298">
        <f t="shared" si="763"/>
        <v>0</v>
      </c>
      <c r="M3034" s="1298">
        <f>I3034*G3034</f>
        <v>0</v>
      </c>
      <c r="N3034" s="1298">
        <f t="shared" si="764"/>
        <v>0</v>
      </c>
      <c r="O3034" s="1298">
        <f t="shared" si="765"/>
        <v>0</v>
      </c>
      <c r="P3034" s="1299"/>
      <c r="Q3034" s="1300"/>
      <c r="R3034" s="1300"/>
      <c r="S3034" s="1300"/>
    </row>
    <row r="3035" spans="1:19" s="1081" customFormat="1" hidden="1" outlineLevel="1">
      <c r="A3035" s="1072" t="str">
        <f t="shared" si="762"/>
        <v/>
      </c>
      <c r="B3035" s="1421" t="s">
        <v>2026</v>
      </c>
      <c r="C3035" s="1302"/>
      <c r="D3035" s="1198">
        <f>VLOOKUP($B3035,dongia1,DG!$B$5,)</f>
        <v>0</v>
      </c>
      <c r="E3035" s="1243" t="str">
        <f>VLOOKUP($B3035,dongia1,DG!$C$5,)&amp;": "</f>
        <v xml:space="preserve">Kẹp hotline 2/0: </v>
      </c>
      <c r="F3035" s="1198" t="str">
        <f>VLOOKUP($B3035,dongia1,DG!$D$5,)</f>
        <v>cái</v>
      </c>
      <c r="G3035" s="1303">
        <f>G3034</f>
        <v>0</v>
      </c>
      <c r="H3035" s="1298">
        <f>VLOOKUP($B3035,dongia1,DG!$F$5,)</f>
        <v>77000</v>
      </c>
      <c r="I3035" s="1298"/>
      <c r="J3035" s="1298">
        <f>VLOOKUP($B3035,dongia1,DG!$G$5,)</f>
        <v>0</v>
      </c>
      <c r="K3035" s="1298">
        <f>VLOOKUP($B3035,dongia1,DG!$H$5,)</f>
        <v>0</v>
      </c>
      <c r="L3035" s="1298">
        <f t="shared" si="763"/>
        <v>0</v>
      </c>
      <c r="M3035" s="1298">
        <f>I3035*G3035</f>
        <v>0</v>
      </c>
      <c r="N3035" s="1298">
        <f t="shared" si="764"/>
        <v>0</v>
      </c>
      <c r="O3035" s="1298">
        <f t="shared" si="765"/>
        <v>0</v>
      </c>
      <c r="P3035" s="1299"/>
      <c r="Q3035" s="1300"/>
      <c r="R3035" s="1300"/>
      <c r="S3035" s="1300"/>
    </row>
    <row r="3036" spans="1:19" s="1081" customFormat="1" hidden="1" outlineLevel="1">
      <c r="A3036" s="1072" t="str">
        <f t="shared" si="762"/>
        <v/>
      </c>
      <c r="B3036" s="1068" t="s">
        <v>647</v>
      </c>
      <c r="C3036" s="1437"/>
      <c r="D3036" s="1198">
        <f>VLOOKUP($B3036,dongia1,DG!$B$5,)</f>
        <v>0</v>
      </c>
      <c r="E3036" s="1243" t="str">
        <f>VLOOKUP($B3036,dongia1,DG!$C$5,)</f>
        <v xml:space="preserve">Sứ đứng 24KV </v>
      </c>
      <c r="F3036" s="1198" t="str">
        <f>VLOOKUP($B3036,dongia1,DG!$D$5,)</f>
        <v>cái</v>
      </c>
      <c r="G3036" s="1303">
        <f>+G3030*3*3</f>
        <v>0</v>
      </c>
      <c r="H3036" s="1298">
        <f>VLOOKUP($B3036,dongia1,DG!$F$5,)</f>
        <v>205000</v>
      </c>
      <c r="I3036" s="1298"/>
      <c r="J3036" s="1298">
        <f>VLOOKUP($B3036,dongia1,DG!$G$5,)</f>
        <v>0</v>
      </c>
      <c r="K3036" s="1298">
        <f>VLOOKUP($B3036,dongia1,DG!$H$5,)</f>
        <v>0</v>
      </c>
      <c r="L3036" s="1298">
        <f t="shared" si="763"/>
        <v>0</v>
      </c>
      <c r="M3036" s="1298">
        <f>I3036*G3036</f>
        <v>0</v>
      </c>
      <c r="N3036" s="1298">
        <f t="shared" si="764"/>
        <v>0</v>
      </c>
      <c r="O3036" s="1298">
        <f t="shared" si="765"/>
        <v>0</v>
      </c>
      <c r="P3036" s="1299"/>
      <c r="Q3036" s="1300"/>
      <c r="R3036" s="1300"/>
      <c r="S3036" s="1300"/>
    </row>
    <row r="3037" spans="1:19" s="1081" customFormat="1" hidden="1" outlineLevel="1">
      <c r="A3037" s="1072" t="str">
        <f t="shared" si="762"/>
        <v/>
      </c>
      <c r="B3037" s="1068" t="s">
        <v>414</v>
      </c>
      <c r="C3037" s="1302"/>
      <c r="D3037" s="1198">
        <f>VLOOKUP($B3037,dongia1,DG!$B$5,)</f>
        <v>0</v>
      </c>
      <c r="E3037" s="1243" t="str">
        <f>VLOOKUP($B3037,dongia1,DG!$C$5,)</f>
        <v>Chân sứ đứng D20</v>
      </c>
      <c r="F3037" s="1198" t="str">
        <f>VLOOKUP($B3037,dongia1,DG!$D$5,)</f>
        <v>cái</v>
      </c>
      <c r="G3037" s="1303">
        <f>+G3036</f>
        <v>0</v>
      </c>
      <c r="H3037" s="1298">
        <f>VLOOKUP($B3037,dongia1,DG!$F$5,)</f>
        <v>65000</v>
      </c>
      <c r="I3037" s="1298"/>
      <c r="J3037" s="1298">
        <f>VLOOKUP($B3037,dongia1,DG!$G$5,)</f>
        <v>0</v>
      </c>
      <c r="K3037" s="1298">
        <f>VLOOKUP($B3037,dongia1,DG!$H$5,)</f>
        <v>0</v>
      </c>
      <c r="L3037" s="1298">
        <f t="shared" si="763"/>
        <v>0</v>
      </c>
      <c r="M3037" s="1298">
        <f>I3037*G3037</f>
        <v>0</v>
      </c>
      <c r="N3037" s="1298">
        <f t="shared" si="764"/>
        <v>0</v>
      </c>
      <c r="O3037" s="1298">
        <f t="shared" si="765"/>
        <v>0</v>
      </c>
      <c r="P3037" s="1299"/>
      <c r="Q3037" s="1300"/>
      <c r="R3037" s="1300"/>
      <c r="S3037" s="1300"/>
    </row>
    <row r="3038" spans="1:19" s="1081" customFormat="1" hidden="1" outlineLevel="1">
      <c r="A3038" s="1072" t="str">
        <f>IF(G3038&lt;&gt;0,1,"")</f>
        <v/>
      </c>
      <c r="B3038" s="1068" t="s">
        <v>1116</v>
      </c>
      <c r="C3038" s="1302"/>
      <c r="D3038" s="1198" t="str">
        <f>VLOOKUP($B3038,dongia1,DG!$B$5,)</f>
        <v>D3.1115</v>
      </c>
      <c r="E3038" s="1243" t="str">
        <f>VLOOKUP($B3038,dongia1,DG!$C$5,)</f>
        <v>Lắp sứ đứng 24KV</v>
      </c>
      <c r="F3038" s="1198" t="str">
        <f>VLOOKUP($B3038,dongia1,DG!$D$5,)</f>
        <v>bộ</v>
      </c>
      <c r="G3038" s="1303">
        <f>G3036</f>
        <v>0</v>
      </c>
      <c r="H3038" s="1298">
        <f>VLOOKUP($B3038,dongia1,DG!$F$5,)</f>
        <v>510</v>
      </c>
      <c r="I3038" s="1298"/>
      <c r="J3038" s="1298">
        <f>VLOOKUP($B3038,dongia1,DG!$G$5,)</f>
        <v>58277.49</v>
      </c>
      <c r="K3038" s="1298">
        <f>VLOOKUP($B3038,dongia1,DG!$H$5,)</f>
        <v>0</v>
      </c>
      <c r="L3038" s="1298">
        <f>H3038*G3038</f>
        <v>0</v>
      </c>
      <c r="M3038" s="1298">
        <f>I3038*G3038</f>
        <v>0</v>
      </c>
      <c r="N3038" s="1298">
        <f>J3038*G3038</f>
        <v>0</v>
      </c>
      <c r="O3038" s="1298">
        <f>K3038*G3038</f>
        <v>0</v>
      </c>
      <c r="P3038" s="1299"/>
      <c r="Q3038" s="1300"/>
      <c r="R3038" s="1300"/>
      <c r="S3038" s="1300"/>
    </row>
    <row r="3039" spans="1:19" s="1081" customFormat="1" hidden="1" outlineLevel="1">
      <c r="A3039" s="1072" t="str">
        <f>IF(G3039&lt;&gt;0,1,"")</f>
        <v/>
      </c>
      <c r="B3039" s="1068"/>
      <c r="C3039" s="1291">
        <f>IF(G3039&gt;0,C3030+1,C3030)</f>
        <v>0</v>
      </c>
      <c r="D3039" s="1292"/>
      <c r="E3039" s="1293" t="s">
        <v>3462</v>
      </c>
      <c r="F3039" s="1291" t="s">
        <v>2113</v>
      </c>
      <c r="G3039" s="1303">
        <f>G3018+G3030</f>
        <v>0</v>
      </c>
      <c r="H3039" s="1298"/>
      <c r="I3039" s="1298"/>
      <c r="J3039" s="1298"/>
      <c r="K3039" s="1298"/>
      <c r="L3039" s="1298"/>
      <c r="M3039" s="1298"/>
      <c r="N3039" s="1298"/>
      <c r="O3039" s="1298"/>
      <c r="P3039" s="1299"/>
      <c r="Q3039" s="1300"/>
      <c r="R3039" s="1300"/>
      <c r="S3039" s="1300"/>
    </row>
    <row r="3040" spans="1:19" s="1081" customFormat="1" ht="14.4" hidden="1" outlineLevel="1">
      <c r="A3040" s="1072" t="str">
        <f>A3039</f>
        <v/>
      </c>
      <c r="B3040" s="1068"/>
      <c r="C3040" s="1291"/>
      <c r="D3040" s="1292"/>
      <c r="E3040" s="1308" t="s">
        <v>3399</v>
      </c>
      <c r="F3040" s="1291"/>
      <c r="G3040" s="1303"/>
      <c r="H3040" s="1298"/>
      <c r="I3040" s="1298"/>
      <c r="J3040" s="1298"/>
      <c r="K3040" s="1298"/>
      <c r="L3040" s="1298"/>
      <c r="M3040" s="1298"/>
      <c r="N3040" s="1298"/>
      <c r="O3040" s="1298"/>
      <c r="P3040" s="1299"/>
      <c r="Q3040" s="1300"/>
      <c r="R3040" s="1300"/>
      <c r="S3040" s="1300"/>
    </row>
    <row r="3041" spans="1:19" s="1081" customFormat="1" hidden="1" outlineLevel="1">
      <c r="A3041" s="1072" t="str">
        <f t="shared" ref="A3041:A3049" si="766">IF(G3041&lt;&gt;0,1,"")</f>
        <v/>
      </c>
      <c r="B3041" s="1295" t="s">
        <v>874</v>
      </c>
      <c r="C3041" s="1302"/>
      <c r="D3041" s="1568"/>
      <c r="E3041" s="1243" t="str">
        <f>VLOOKUP($B3041,dongia1,DG!$C$5,)</f>
        <v>Cáp 0,6/1KV C/XLPE/PVC 250mm2</v>
      </c>
      <c r="F3041" s="1198" t="str">
        <f>VLOOKUP($B3041,dongia1,DG!$D$5,)</f>
        <v>mét</v>
      </c>
      <c r="G3041" s="1303">
        <f>G3039*(8*3*4+2*8)</f>
        <v>0</v>
      </c>
      <c r="H3041" s="1298">
        <f>VLOOKUP($B3041,dongia1,DG!$F$5,)</f>
        <v>479000</v>
      </c>
      <c r="I3041" s="1298"/>
      <c r="J3041" s="1298">
        <f>VLOOKUP($B3041,dongia1,DG!$G$5,)</f>
        <v>0</v>
      </c>
      <c r="K3041" s="1298">
        <f>VLOOKUP($B3041,dongia1,DG!$H$5,)</f>
        <v>0</v>
      </c>
      <c r="L3041" s="1298">
        <f t="shared" ref="L3041:L3049" si="767">H3041*G3041</f>
        <v>0</v>
      </c>
      <c r="M3041" s="1298">
        <f t="shared" ref="M3041:M3049" si="768">I3041*G3041</f>
        <v>0</v>
      </c>
      <c r="N3041" s="1298">
        <f t="shared" ref="N3041:N3049" si="769">J3041*G3041</f>
        <v>0</v>
      </c>
      <c r="O3041" s="1298">
        <f t="shared" ref="O3041:O3049" si="770">K3041*G3041</f>
        <v>0</v>
      </c>
      <c r="P3041" s="1299"/>
      <c r="Q3041" s="1300"/>
      <c r="R3041" s="1300">
        <f>48*(30+6)</f>
        <v>1728</v>
      </c>
      <c r="S3041" s="1300"/>
    </row>
    <row r="3042" spans="1:19" s="1081" customFormat="1" hidden="1" outlineLevel="1">
      <c r="A3042" s="1072" t="str">
        <f t="shared" si="766"/>
        <v/>
      </c>
      <c r="B3042" s="1295" t="s">
        <v>436</v>
      </c>
      <c r="C3042" s="1302"/>
      <c r="D3042" s="1198" t="str">
        <f>VLOOKUP($B3042,dongia1,DG!$B$5,)</f>
        <v>D4.5009</v>
      </c>
      <c r="E3042" s="1243" t="str">
        <f>VLOOKUP($B3042,dongia1,DG!$C$5,)&amp;": "</f>
        <v xml:space="preserve">Đầu cosse ép Cu 250mm2: </v>
      </c>
      <c r="F3042" s="1198" t="str">
        <f>VLOOKUP($B3042,dongia1,DG!$D$5,)</f>
        <v>cái</v>
      </c>
      <c r="G3042" s="1303">
        <f>+G3039*28</f>
        <v>0</v>
      </c>
      <c r="H3042" s="1298">
        <f>VLOOKUP($B3042,dongia1,DG!$F$5,)</f>
        <v>70000</v>
      </c>
      <c r="I3042" s="1298"/>
      <c r="J3042" s="1298">
        <f>VLOOKUP($B3042,dongia1,DG!$G$5,)</f>
        <v>59410.148000000001</v>
      </c>
      <c r="K3042" s="1298">
        <f>VLOOKUP($B3042,dongia1,DG!$H$5,)</f>
        <v>5554.0464950000005</v>
      </c>
      <c r="L3042" s="1298">
        <f t="shared" si="767"/>
        <v>0</v>
      </c>
      <c r="M3042" s="1298">
        <f t="shared" si="768"/>
        <v>0</v>
      </c>
      <c r="N3042" s="1298">
        <f t="shared" si="769"/>
        <v>0</v>
      </c>
      <c r="O3042" s="1298">
        <f t="shared" si="770"/>
        <v>0</v>
      </c>
      <c r="P3042" s="1299"/>
      <c r="Q3042" s="1300"/>
      <c r="R3042" s="1300"/>
      <c r="S3042" s="1300"/>
    </row>
    <row r="3043" spans="1:19" s="1081" customFormat="1" hidden="1" outlineLevel="1">
      <c r="A3043" s="1072" t="str">
        <f t="shared" si="766"/>
        <v/>
      </c>
      <c r="B3043" s="1295" t="s">
        <v>40</v>
      </c>
      <c r="C3043" s="1302"/>
      <c r="D3043" s="1198">
        <f>VLOOKUP($B3043,dongia1,DG!$B$5,)</f>
        <v>0</v>
      </c>
      <c r="E3043" s="1243" t="str">
        <f>VLOOKUP($B3043,dongia1,DG!$C$5,)&amp;": "</f>
        <v xml:space="preserve">Chụp đầu cosse  250mm2: </v>
      </c>
      <c r="F3043" s="1198" t="str">
        <f>VLOOKUP($B3043,dongia1,DG!$D$5,)</f>
        <v>cái</v>
      </c>
      <c r="G3043" s="1303">
        <f>G3042</f>
        <v>0</v>
      </c>
      <c r="H3043" s="1298">
        <f>VLOOKUP($B3043,dongia1,DG!$F$5,)</f>
        <v>6000</v>
      </c>
      <c r="I3043" s="1298"/>
      <c r="J3043" s="1298">
        <f>VLOOKUP($B3043,dongia1,DG!$G$5,)</f>
        <v>0</v>
      </c>
      <c r="K3043" s="1298">
        <f>VLOOKUP($B3043,dongia1,DG!$H$5,)</f>
        <v>0</v>
      </c>
      <c r="L3043" s="1298">
        <f t="shared" si="767"/>
        <v>0</v>
      </c>
      <c r="M3043" s="1298">
        <f t="shared" si="768"/>
        <v>0</v>
      </c>
      <c r="N3043" s="1298">
        <f t="shared" si="769"/>
        <v>0</v>
      </c>
      <c r="O3043" s="1298">
        <f t="shared" si="770"/>
        <v>0</v>
      </c>
      <c r="P3043" s="1299"/>
      <c r="Q3043" s="1300"/>
      <c r="R3043" s="1300"/>
      <c r="S3043" s="1300"/>
    </row>
    <row r="3044" spans="1:19" s="1081" customFormat="1" hidden="1" outlineLevel="1">
      <c r="A3044" s="1072" t="str">
        <f t="shared" si="766"/>
        <v/>
      </c>
      <c r="B3044" s="1295" t="s">
        <v>961</v>
      </c>
      <c r="C3044" s="1302"/>
      <c r="D3044" s="1198">
        <f>VLOOKUP($B3044,dongia1,DG!$B$5,)</f>
        <v>0</v>
      </c>
      <c r="E3044" s="1243" t="str">
        <f>VLOOKUP($B3044,dongia1,DG!$C$5,)</f>
        <v xml:space="preserve">Ống PVC D114x4,9mm </v>
      </c>
      <c r="F3044" s="1198" t="str">
        <f>VLOOKUP($B3044,dongia1,DG!$D$5,)</f>
        <v>m</v>
      </c>
      <c r="G3044" s="1303">
        <f>6*G3039*$L$2</f>
        <v>0</v>
      </c>
      <c r="H3044" s="1298">
        <f>VLOOKUP($B3044,dongia1,DG!$F$5,)</f>
        <v>103700</v>
      </c>
      <c r="I3044" s="1298"/>
      <c r="J3044" s="1298">
        <f>VLOOKUP($B3044,dongia1,DG!$G$5,)</f>
        <v>0</v>
      </c>
      <c r="K3044" s="1298">
        <f>VLOOKUP($B3044,dongia1,DG!$H$5,)</f>
        <v>0</v>
      </c>
      <c r="L3044" s="1298">
        <f t="shared" si="767"/>
        <v>0</v>
      </c>
      <c r="M3044" s="1298">
        <f t="shared" si="768"/>
        <v>0</v>
      </c>
      <c r="N3044" s="1298">
        <f t="shared" si="769"/>
        <v>0</v>
      </c>
      <c r="O3044" s="1298">
        <f t="shared" si="770"/>
        <v>0</v>
      </c>
      <c r="P3044" s="1299"/>
      <c r="Q3044" s="1300"/>
      <c r="R3044" s="1300"/>
      <c r="S3044" s="1300"/>
    </row>
    <row r="3045" spans="1:19" s="1081" customFormat="1" hidden="1" outlineLevel="1">
      <c r="A3045" s="1072" t="str">
        <f t="shared" si="766"/>
        <v/>
      </c>
      <c r="B3045" s="1068" t="s">
        <v>193</v>
      </c>
      <c r="C3045" s="1302"/>
      <c r="D3045" s="1198">
        <f>VLOOKUP($B3045,dongia1,DG!$B$5,)</f>
        <v>0</v>
      </c>
      <c r="E3045" s="1243" t="str">
        <f>VLOOKUP($B3045,dongia1,DG!$C$5,)</f>
        <v>Cổ dê kẹp ống PVC Þ 114</v>
      </c>
      <c r="F3045" s="1198" t="str">
        <f>VLOOKUP($B3045,dongia1,DG!$D$5,)</f>
        <v>bộ</v>
      </c>
      <c r="G3045" s="1303">
        <f>G3039*2*$L$2*0</f>
        <v>0</v>
      </c>
      <c r="H3045" s="1298">
        <f>VLOOKUP($B3045,dongia1,DG!$F$5,)</f>
        <v>50000</v>
      </c>
      <c r="I3045" s="1298"/>
      <c r="J3045" s="1298">
        <f>VLOOKUP($B3045,dongia1,DG!$G$5,)</f>
        <v>0</v>
      </c>
      <c r="K3045" s="1298">
        <f>VLOOKUP($B3045,dongia1,DG!$H$5,)</f>
        <v>0</v>
      </c>
      <c r="L3045" s="1298">
        <f t="shared" si="767"/>
        <v>0</v>
      </c>
      <c r="M3045" s="1298">
        <f t="shared" si="768"/>
        <v>0</v>
      </c>
      <c r="N3045" s="1298">
        <f t="shared" si="769"/>
        <v>0</v>
      </c>
      <c r="O3045" s="1298">
        <f t="shared" si="770"/>
        <v>0</v>
      </c>
      <c r="P3045" s="1299"/>
      <c r="Q3045" s="1474"/>
      <c r="R3045" s="1300"/>
      <c r="S3045" s="1300"/>
    </row>
    <row r="3046" spans="1:19" s="1081" customFormat="1" hidden="1" outlineLevel="1">
      <c r="A3046" s="1072" t="str">
        <f t="shared" si="766"/>
        <v/>
      </c>
      <c r="B3046" s="1295" t="s">
        <v>962</v>
      </c>
      <c r="C3046" s="1302"/>
      <c r="D3046" s="1198">
        <f>VLOOKUP($B3046,dongia1,DG!$B$5,)</f>
        <v>0</v>
      </c>
      <c r="E3046" s="1243" t="str">
        <f>VLOOKUP($B3046,dongia1,DG!$C$5,)</f>
        <v>Co  sừng 90 độ PVC 114</v>
      </c>
      <c r="F3046" s="1198" t="str">
        <f>VLOOKUP($B3046,dongia1,DG!$D$5,)</f>
        <v>cái</v>
      </c>
      <c r="G3046" s="1303">
        <f>G3039*2*$L$2*0</f>
        <v>0</v>
      </c>
      <c r="H3046" s="1298">
        <f>VLOOKUP($B3046,dongia1,DG!$F$5,)</f>
        <v>104800</v>
      </c>
      <c r="I3046" s="1298"/>
      <c r="J3046" s="1298">
        <f>VLOOKUP($B3046,dongia1,DG!$G$5,)</f>
        <v>0</v>
      </c>
      <c r="K3046" s="1298">
        <f>VLOOKUP($B3046,dongia1,DG!$H$5,)</f>
        <v>0</v>
      </c>
      <c r="L3046" s="1298">
        <f t="shared" si="767"/>
        <v>0</v>
      </c>
      <c r="M3046" s="1298">
        <f t="shared" si="768"/>
        <v>0</v>
      </c>
      <c r="N3046" s="1298">
        <f t="shared" si="769"/>
        <v>0</v>
      </c>
      <c r="O3046" s="1298">
        <f t="shared" si="770"/>
        <v>0</v>
      </c>
      <c r="P3046" s="1299"/>
      <c r="Q3046" s="1300"/>
      <c r="R3046" s="1300"/>
      <c r="S3046" s="1300"/>
    </row>
    <row r="3047" spans="1:19" s="1081" customFormat="1" hidden="1" outlineLevel="1">
      <c r="A3047" s="1072" t="str">
        <f t="shared" si="766"/>
        <v/>
      </c>
      <c r="B3047" s="1295" t="s">
        <v>693</v>
      </c>
      <c r="C3047" s="1302"/>
      <c r="D3047" s="1198">
        <f>VLOOKUP($B3047,dongia1,DG!$B$5,)</f>
        <v>0</v>
      </c>
      <c r="E3047" s="1243" t="str">
        <f>VLOOKUP($B3047,dongia1,DG!$C$5,)</f>
        <v>Khâu ven răng trong D114</v>
      </c>
      <c r="F3047" s="1198" t="str">
        <f>VLOOKUP($B3047,dongia1,DG!$D$5,)</f>
        <v>cái</v>
      </c>
      <c r="G3047" s="1303">
        <f>G3039*$L$2*0</f>
        <v>0</v>
      </c>
      <c r="H3047" s="1298">
        <f>VLOOKUP($B3047,dongia1,DG!$F$5,)</f>
        <v>41900</v>
      </c>
      <c r="I3047" s="1298"/>
      <c r="J3047" s="1298">
        <f>VLOOKUP($B3047,dongia1,DG!$G$5,)</f>
        <v>0</v>
      </c>
      <c r="K3047" s="1298">
        <f>VLOOKUP($B3047,dongia1,DG!$H$5,)</f>
        <v>0</v>
      </c>
      <c r="L3047" s="1298">
        <f t="shared" si="767"/>
        <v>0</v>
      </c>
      <c r="M3047" s="1298">
        <f t="shared" si="768"/>
        <v>0</v>
      </c>
      <c r="N3047" s="1298">
        <f t="shared" si="769"/>
        <v>0</v>
      </c>
      <c r="O3047" s="1298">
        <f t="shared" si="770"/>
        <v>0</v>
      </c>
      <c r="P3047" s="1299"/>
      <c r="Q3047" s="1300"/>
      <c r="R3047" s="1300"/>
      <c r="S3047" s="1300"/>
    </row>
    <row r="3048" spans="1:19" s="1081" customFormat="1" hidden="1" outlineLevel="1">
      <c r="A3048" s="1072" t="str">
        <f t="shared" si="766"/>
        <v/>
      </c>
      <c r="B3048" s="1295" t="s">
        <v>694</v>
      </c>
      <c r="C3048" s="1302"/>
      <c r="D3048" s="1198">
        <f>VLOOKUP($B3048,dongia1,DG!$B$5,)</f>
        <v>0</v>
      </c>
      <c r="E3048" s="1243" t="str">
        <f>VLOOKUP($B3048,dongia1,DG!$C$5,)&amp;": "</f>
        <v xml:space="preserve">Khâu ven răng ngoài D114: </v>
      </c>
      <c r="F3048" s="1198" t="str">
        <f>VLOOKUP($B3048,dongia1,DG!$D$5,)</f>
        <v>cái</v>
      </c>
      <c r="G3048" s="1303">
        <f>G3047</f>
        <v>0</v>
      </c>
      <c r="H3048" s="1298">
        <f>VLOOKUP($B3048,dongia1,DG!$F$5,)</f>
        <v>41900</v>
      </c>
      <c r="I3048" s="1298"/>
      <c r="J3048" s="1298">
        <f>VLOOKUP($B3048,dongia1,DG!$G$5,)</f>
        <v>0</v>
      </c>
      <c r="K3048" s="1298">
        <f>VLOOKUP($B3048,dongia1,DG!$H$5,)</f>
        <v>0</v>
      </c>
      <c r="L3048" s="1298">
        <f t="shared" si="767"/>
        <v>0</v>
      </c>
      <c r="M3048" s="1298">
        <f t="shared" si="768"/>
        <v>0</v>
      </c>
      <c r="N3048" s="1298">
        <f t="shared" si="769"/>
        <v>0</v>
      </c>
      <c r="O3048" s="1298">
        <f t="shared" si="770"/>
        <v>0</v>
      </c>
      <c r="P3048" s="1299"/>
      <c r="Q3048" s="1300"/>
      <c r="R3048" s="1300"/>
      <c r="S3048" s="1300"/>
    </row>
    <row r="3049" spans="1:19" s="1081" customFormat="1" hidden="1" outlineLevel="1">
      <c r="A3049" s="1072" t="str">
        <f t="shared" si="766"/>
        <v/>
      </c>
      <c r="B3049" s="1295" t="s">
        <v>1973</v>
      </c>
      <c r="C3049" s="1302"/>
      <c r="D3049" s="1198">
        <f>VLOOKUP($B3049,dongia1,DG!$B$5,)</f>
        <v>0</v>
      </c>
      <c r="E3049" s="1243" t="str">
        <f>VLOOKUP($B3049,dongia1,DG!$C$5,)&amp;": "</f>
        <v xml:space="preserve">Keo dán ống PVC (500gr): </v>
      </c>
      <c r="F3049" s="1198" t="str">
        <f>VLOOKUP($B3049,dongia1,DG!$D$5,)</f>
        <v>lon</v>
      </c>
      <c r="G3049" s="1303">
        <f>G3039*2*$L$2*0</f>
        <v>0</v>
      </c>
      <c r="H3049" s="1298">
        <f>VLOOKUP($B3049,dongia1,DG!$F$5,)</f>
        <v>54100</v>
      </c>
      <c r="I3049" s="1298"/>
      <c r="J3049" s="1298">
        <f>VLOOKUP($B3049,dongia1,DG!$G$5,)</f>
        <v>0</v>
      </c>
      <c r="K3049" s="1298">
        <f>VLOOKUP($B3049,dongia1,DG!$H$5,)</f>
        <v>0</v>
      </c>
      <c r="L3049" s="1298">
        <f t="shared" si="767"/>
        <v>0</v>
      </c>
      <c r="M3049" s="1298">
        <f t="shared" si="768"/>
        <v>0</v>
      </c>
      <c r="N3049" s="1298">
        <f t="shared" si="769"/>
        <v>0</v>
      </c>
      <c r="O3049" s="1298">
        <f t="shared" si="770"/>
        <v>0</v>
      </c>
      <c r="P3049" s="1299"/>
      <c r="Q3049" s="1300"/>
      <c r="R3049" s="1300"/>
      <c r="S3049" s="1300"/>
    </row>
    <row r="3050" spans="1:19" s="1081" customFormat="1" hidden="1" outlineLevel="1">
      <c r="A3050" s="1072" t="str">
        <f>IF(G3050&lt;&gt;0,1,"")</f>
        <v/>
      </c>
      <c r="B3050" s="1068" t="s">
        <v>1690</v>
      </c>
      <c r="C3050" s="1302"/>
      <c r="D3050" s="1198"/>
      <c r="E3050" s="1243" t="str">
        <f>VLOOKUP($B3050,dongia1,DG!$C$5,)&amp;":"</f>
        <v>Keo silicon bít miệng ống:</v>
      </c>
      <c r="F3050" s="1198" t="str">
        <f>VLOOKUP($B3050,dongia1,DG!$D$5,)</f>
        <v>chai</v>
      </c>
      <c r="G3050" s="1303"/>
      <c r="H3050" s="1298">
        <f>VLOOKUP($B3050,dongia1,DG!$F$5,)</f>
        <v>45000</v>
      </c>
      <c r="I3050" s="1298"/>
      <c r="J3050" s="1298"/>
      <c r="K3050" s="1298"/>
      <c r="L3050" s="1298">
        <f>H3050*G3050</f>
        <v>0</v>
      </c>
      <c r="M3050" s="1298">
        <f>I3050*G3050</f>
        <v>0</v>
      </c>
      <c r="N3050" s="1298">
        <f>J3050*G3050</f>
        <v>0</v>
      </c>
      <c r="O3050" s="1298">
        <f>K3050*G3050</f>
        <v>0</v>
      </c>
      <c r="P3050" s="1299"/>
      <c r="Q3050" s="1300"/>
      <c r="R3050" s="1300"/>
      <c r="S3050" s="1300"/>
    </row>
    <row r="3051" spans="1:19" s="1081" customFormat="1" hidden="1" outlineLevel="1">
      <c r="A3051" s="1072" t="str">
        <f>IF(G3051&lt;&gt;0,1,"")</f>
        <v/>
      </c>
      <c r="B3051" s="1295" t="s">
        <v>53</v>
      </c>
      <c r="C3051" s="1302"/>
      <c r="D3051" s="1198">
        <f>VLOOKUP($B3051,dongia1,DG!$B$5,)</f>
        <v>0</v>
      </c>
      <c r="E3051" s="1243" t="str">
        <f>VLOOKUP($B3051,dongia1,DG!$C$5,)</f>
        <v>Dây rút cáp</v>
      </c>
      <c r="F3051" s="1198" t="str">
        <f>VLOOKUP($B3051,dongia1,DG!$D$5,)</f>
        <v>bọc</v>
      </c>
      <c r="G3051" s="1303">
        <f>G3039</f>
        <v>0</v>
      </c>
      <c r="H3051" s="1298">
        <f>VLOOKUP($B3051,dongia1,DG!$F$5,)</f>
        <v>15000</v>
      </c>
      <c r="I3051" s="1298"/>
      <c r="J3051" s="1298">
        <f>VLOOKUP($B3051,dongia1,DG!$G$5,)</f>
        <v>0</v>
      </c>
      <c r="K3051" s="1298">
        <f>VLOOKUP($B3051,dongia1,DG!$H$5,)</f>
        <v>0</v>
      </c>
      <c r="L3051" s="1298">
        <f>H3051*G3051</f>
        <v>0</v>
      </c>
      <c r="M3051" s="1298">
        <f>I3051*G3051</f>
        <v>0</v>
      </c>
      <c r="N3051" s="1298">
        <f>J3051*G3051</f>
        <v>0</v>
      </c>
      <c r="O3051" s="1298">
        <f>K3051*G3051</f>
        <v>0</v>
      </c>
      <c r="P3051" s="1299"/>
      <c r="Q3051" s="1300"/>
      <c r="R3051" s="1300"/>
      <c r="S3051" s="1300"/>
    </row>
    <row r="3052" spans="1:19" s="1081" customFormat="1" hidden="1" outlineLevel="1">
      <c r="A3052" s="1072" t="str">
        <f>IF(G3052&lt;&gt;0,1,"")</f>
        <v/>
      </c>
      <c r="B3052" s="1068" t="s">
        <v>236</v>
      </c>
      <c r="C3052" s="1302"/>
      <c r="D3052" s="1198">
        <f>VLOOKUP($B3052,dongia1,DG!$B$5,)</f>
        <v>0</v>
      </c>
      <c r="E3052" s="1243" t="str">
        <f>VLOOKUP($B3052,dongia1,DG!$C$5,)</f>
        <v>Băng keo cách điện hạ thế</v>
      </c>
      <c r="F3052" s="1198" t="str">
        <f>VLOOKUP($B3052,dongia1,DG!$D$5,)</f>
        <v>cuộn</v>
      </c>
      <c r="G3052" s="1303">
        <f>G3039*5</f>
        <v>0</v>
      </c>
      <c r="H3052" s="1298">
        <f>VLOOKUP($B3052,dongia1,DG!$F$5,)</f>
        <v>6500</v>
      </c>
      <c r="I3052" s="1298"/>
      <c r="J3052" s="1298">
        <f>VLOOKUP($B3052,dongia1,DG!$G$5,)</f>
        <v>0</v>
      </c>
      <c r="K3052" s="1298">
        <f>VLOOKUP($B3052,dongia1,DG!$H$5,)</f>
        <v>0</v>
      </c>
      <c r="L3052" s="1298">
        <f>H3052*G3052</f>
        <v>0</v>
      </c>
      <c r="M3052" s="1298">
        <f>I3052*G3052</f>
        <v>0</v>
      </c>
      <c r="N3052" s="1298">
        <f>J3052*G3052</f>
        <v>0</v>
      </c>
      <c r="O3052" s="1298">
        <f>K3052*G3052</f>
        <v>0</v>
      </c>
      <c r="P3052" s="1299"/>
      <c r="Q3052" s="1300"/>
      <c r="R3052" s="1300"/>
      <c r="S3052" s="1300"/>
    </row>
    <row r="3053" spans="1:19" s="1081" customFormat="1" hidden="1" outlineLevel="1">
      <c r="A3053" s="1072" t="str">
        <f>IF(G3053&lt;&gt;0,1,"")</f>
        <v/>
      </c>
      <c r="B3053" s="1068" t="s">
        <v>379</v>
      </c>
      <c r="C3053" s="1569"/>
      <c r="D3053" s="1198" t="str">
        <f>VLOOKUP($B3053,dongia1,DG!$B$5,)</f>
        <v>T4.4203</v>
      </c>
      <c r="E3053" s="1243" t="str">
        <f>VLOOKUP($B3053,dongia1,DG!$C$5,)&amp;":"</f>
        <v>Lắp cáp đồng xuống thiết bị D ≤ 240mm2:</v>
      </c>
      <c r="F3053" s="1198" t="str">
        <f>VLOOKUP($B3053,dongia1,DG!$D$5,)</f>
        <v>m</v>
      </c>
      <c r="G3053" s="1303">
        <f>G3041</f>
        <v>0</v>
      </c>
      <c r="H3053" s="1298">
        <f>VLOOKUP($B3053,dongia1,DG!$F$5,)</f>
        <v>0</v>
      </c>
      <c r="I3053" s="1298"/>
      <c r="J3053" s="1298">
        <f>VLOOKUP($B3053,dongia1,DG!$G$5,)</f>
        <v>47311</v>
      </c>
      <c r="K3053" s="1298">
        <f>VLOOKUP($B3053,dongia1,DG!$H$5,)</f>
        <v>0</v>
      </c>
      <c r="L3053" s="1298">
        <f>H3053*G3053</f>
        <v>0</v>
      </c>
      <c r="M3053" s="1298">
        <f>I3053*G3053</f>
        <v>0</v>
      </c>
      <c r="N3053" s="1298">
        <f>J3053*G3053</f>
        <v>0</v>
      </c>
      <c r="O3053" s="1298">
        <f>K3053*G3053</f>
        <v>0</v>
      </c>
      <c r="P3053" s="1299"/>
      <c r="Q3053" s="1300"/>
      <c r="R3053" s="1300"/>
      <c r="S3053" s="1300"/>
    </row>
    <row r="3054" spans="1:19" s="1081" customFormat="1" hidden="1" outlineLevel="1">
      <c r="A3054" s="1072" t="str">
        <f>IF(G3054&lt;&gt;0,1,"")</f>
        <v/>
      </c>
      <c r="B3054" s="1068"/>
      <c r="C3054" s="1291">
        <f>IF(G3054&gt;0,C3039+1,C3039)</f>
        <v>0</v>
      </c>
      <c r="D3054" s="1292"/>
      <c r="E3054" s="1293" t="s">
        <v>3463</v>
      </c>
      <c r="F3054" s="1291" t="s">
        <v>2113</v>
      </c>
      <c r="G3054" s="1303">
        <f>G2942</f>
        <v>0</v>
      </c>
      <c r="H3054" s="1298"/>
      <c r="I3054" s="1298"/>
      <c r="J3054" s="1298"/>
      <c r="K3054" s="1298"/>
      <c r="L3054" s="1298"/>
      <c r="M3054" s="1298"/>
      <c r="N3054" s="1298"/>
      <c r="O3054" s="1298"/>
      <c r="P3054" s="1299"/>
      <c r="Q3054" s="1300"/>
      <c r="R3054" s="1300"/>
      <c r="S3054" s="1300"/>
    </row>
    <row r="3055" spans="1:19" s="1284" customFormat="1" ht="14.4" hidden="1" outlineLevel="1">
      <c r="A3055" s="1072" t="str">
        <f>A3054</f>
        <v/>
      </c>
      <c r="B3055" s="1570"/>
      <c r="C3055" s="1291"/>
      <c r="D3055" s="1292"/>
      <c r="E3055" s="1308" t="s">
        <v>3399</v>
      </c>
      <c r="F3055" s="1291" t="s">
        <v>2113</v>
      </c>
      <c r="G3055" s="1297"/>
      <c r="H3055" s="1298"/>
      <c r="I3055" s="1298"/>
      <c r="J3055" s="1298"/>
      <c r="K3055" s="1298"/>
      <c r="L3055" s="1298">
        <f>SUBTOTAL(9,L3056:L3076)*0</f>
        <v>0</v>
      </c>
      <c r="M3055" s="1298">
        <f>SUBTOTAL(9,M3056:M3076)</f>
        <v>0</v>
      </c>
      <c r="N3055" s="1298">
        <f>SUBTOTAL(9,N3056:N3076)*0</f>
        <v>0</v>
      </c>
      <c r="O3055" s="1298">
        <f>SUBTOTAL(9,O3056:O3076)*0</f>
        <v>0</v>
      </c>
      <c r="P3055" s="1299"/>
      <c r="Q3055" s="1487"/>
      <c r="R3055" s="1487"/>
      <c r="S3055" s="1487"/>
    </row>
    <row r="3056" spans="1:19" s="1081" customFormat="1" hidden="1" outlineLevel="1">
      <c r="A3056" s="1072">
        <f>IF(G3056=0,0,1)</f>
        <v>0</v>
      </c>
      <c r="B3056" s="1295" t="s">
        <v>4804</v>
      </c>
      <c r="C3056" s="1437"/>
      <c r="D3056" s="1198">
        <f>VLOOKUP($B3056,dongia1,DG!$B$5,)</f>
        <v>0</v>
      </c>
      <c r="E3056" s="1399" t="str">
        <f>VLOOKUP($B3056,dongia1,DG!$C$5,)</f>
        <v xml:space="preserve">Cáp CVV 4x4mm2  </v>
      </c>
      <c r="F3056" s="1555" t="str">
        <f>VLOOKUP($B3056,dongia1,DG!$D$5,)</f>
        <v>mét</v>
      </c>
      <c r="G3056" s="1303">
        <f>G3054*33</f>
        <v>0</v>
      </c>
      <c r="H3056" s="1298">
        <f>VLOOKUP($B3056,dongia1,DG!$F$5,)</f>
        <v>63200</v>
      </c>
      <c r="I3056" s="1298"/>
      <c r="J3056" s="1298">
        <f>VLOOKUP($B3056,dongia1,DG!$G$5,)</f>
        <v>0</v>
      </c>
      <c r="K3056" s="1298">
        <f>VLOOKUP($B3056,dongia1,DG!$H$5,)</f>
        <v>0</v>
      </c>
      <c r="L3056" s="1298">
        <f t="shared" ref="L3056:L3076" si="771">H3056*$G3056</f>
        <v>0</v>
      </c>
      <c r="M3056" s="1298">
        <f t="shared" ref="M3056:M3076" si="772">I3056*$G3056</f>
        <v>0</v>
      </c>
      <c r="N3056" s="1298">
        <f t="shared" ref="N3056:N3076" si="773">J3056*$G3056</f>
        <v>0</v>
      </c>
      <c r="O3056" s="1298">
        <f t="shared" ref="O3056:O3076" si="774">K3056*$G3056</f>
        <v>0</v>
      </c>
      <c r="P3056" s="1299"/>
      <c r="Q3056" s="1300"/>
      <c r="R3056" s="1300"/>
      <c r="S3056" s="1300"/>
    </row>
    <row r="3057" spans="1:19" s="1081" customFormat="1" hidden="1" outlineLevel="1">
      <c r="A3057" s="1072">
        <f>IF(G3057=0,0,1)</f>
        <v>0</v>
      </c>
      <c r="B3057" s="1068" t="s">
        <v>507</v>
      </c>
      <c r="C3057" s="1302"/>
      <c r="D3057" s="1198">
        <v>0</v>
      </c>
      <c r="E3057" s="1399" t="str">
        <f>VLOOKUP($B3057,dongia1,DG!$C$5,)</f>
        <v>Boulon 10x150+ 2 long đền vuông D14-50x50x3/Zn</v>
      </c>
      <c r="F3057" s="1555" t="str">
        <f>VLOOKUP($B3057,dongia1,DG!$D$5,)</f>
        <v>bộ</v>
      </c>
      <c r="G3057" s="1303">
        <f>G3054*24</f>
        <v>0</v>
      </c>
      <c r="H3057" s="1298">
        <f>VLOOKUP($B3057,dongia1,DG!$F$5,)</f>
        <v>7900</v>
      </c>
      <c r="I3057" s="1298"/>
      <c r="J3057" s="1298">
        <f>VLOOKUP($B3057,dongia1,DG!$G$5,)</f>
        <v>0</v>
      </c>
      <c r="K3057" s="1298">
        <f>VLOOKUP($B3057,dongia1,DG!$H$5,)</f>
        <v>0</v>
      </c>
      <c r="L3057" s="1298">
        <f t="shared" si="771"/>
        <v>0</v>
      </c>
      <c r="M3057" s="1298">
        <f t="shared" si="772"/>
        <v>0</v>
      </c>
      <c r="N3057" s="1298">
        <f t="shared" si="773"/>
        <v>0</v>
      </c>
      <c r="O3057" s="1298">
        <f t="shared" si="774"/>
        <v>0</v>
      </c>
      <c r="P3057" s="1299"/>
      <c r="Q3057" s="1300"/>
      <c r="R3057" s="1300"/>
      <c r="S3057" s="1300"/>
    </row>
    <row r="3058" spans="1:19" s="1081" customFormat="1" hidden="1" outlineLevel="1">
      <c r="A3058" s="1072">
        <f>IF(G3058=0,0,1)</f>
        <v>0</v>
      </c>
      <c r="B3058" s="1068" t="s">
        <v>509</v>
      </c>
      <c r="C3058" s="1302"/>
      <c r="D3058" s="1198">
        <v>0</v>
      </c>
      <c r="E3058" s="1399" t="str">
        <f>VLOOKUP($B3058,dongia1,DG!$C$5,)</f>
        <v>Boulon 10x50+ 2 long đền vuông D12-50x50x3/Zn</v>
      </c>
      <c r="F3058" s="1555" t="str">
        <f>VLOOKUP($B3058,dongia1,DG!$D$5,)</f>
        <v>bộ</v>
      </c>
      <c r="G3058" s="1303">
        <f>G3057</f>
        <v>0</v>
      </c>
      <c r="H3058" s="1298">
        <f>VLOOKUP($B3058,dongia1,DG!$F$5,)</f>
        <v>1500</v>
      </c>
      <c r="I3058" s="1298"/>
      <c r="J3058" s="1298">
        <f>VLOOKUP($B3058,dongia1,DG!$G$5,)</f>
        <v>0</v>
      </c>
      <c r="K3058" s="1298">
        <f>VLOOKUP($B3058,dongia1,DG!$H$5,)</f>
        <v>0</v>
      </c>
      <c r="L3058" s="1298">
        <f t="shared" si="771"/>
        <v>0</v>
      </c>
      <c r="M3058" s="1298">
        <f t="shared" si="772"/>
        <v>0</v>
      </c>
      <c r="N3058" s="1298">
        <f t="shared" si="773"/>
        <v>0</v>
      </c>
      <c r="O3058" s="1298">
        <f t="shared" si="774"/>
        <v>0</v>
      </c>
      <c r="P3058" s="1299"/>
      <c r="Q3058" s="1300"/>
      <c r="R3058" s="1300"/>
      <c r="S3058" s="1300"/>
    </row>
    <row r="3059" spans="1:19" s="1081" customFormat="1" hidden="1" outlineLevel="1">
      <c r="A3059" s="1072">
        <f t="shared" ref="A3059:A3076" si="775">IF(G3059=0,0,1)</f>
        <v>0</v>
      </c>
      <c r="B3059" s="1295" t="s">
        <v>748</v>
      </c>
      <c r="C3059" s="1437"/>
      <c r="D3059" s="1198">
        <f>VLOOKUP($B3059,dongia1,DG!$B$5,)</f>
        <v>0</v>
      </c>
      <c r="E3059" s="1399" t="str">
        <f>VLOOKUP($B3059,dongia1,DG!$C$5,)</f>
        <v>Xà kẹp TU, TI U40x22x3x425</v>
      </c>
      <c r="F3059" s="1555" t="str">
        <f>VLOOKUP($B3059,dongia1,DG!$D$5,)</f>
        <v>cái</v>
      </c>
      <c r="G3059" s="1303">
        <f>G3054*24</f>
        <v>0</v>
      </c>
      <c r="H3059" s="1298">
        <f>VLOOKUP($B3059,dongia1,DG!$F$5,)</f>
        <v>40500</v>
      </c>
      <c r="I3059" s="1298"/>
      <c r="J3059" s="1298">
        <f>VLOOKUP($B3059,dongia1,DG!$G$5,)</f>
        <v>39758</v>
      </c>
      <c r="K3059" s="1298">
        <f>VLOOKUP($B3059,dongia1,DG!$H$5,)</f>
        <v>0</v>
      </c>
      <c r="L3059" s="1298">
        <f t="shared" si="771"/>
        <v>0</v>
      </c>
      <c r="M3059" s="1298">
        <f t="shared" si="772"/>
        <v>0</v>
      </c>
      <c r="N3059" s="1298">
        <f t="shared" si="773"/>
        <v>0</v>
      </c>
      <c r="O3059" s="1298">
        <f t="shared" si="774"/>
        <v>0</v>
      </c>
      <c r="P3059" s="1299"/>
      <c r="Q3059" s="1300"/>
      <c r="R3059" s="1300"/>
      <c r="S3059" s="1300"/>
    </row>
    <row r="3060" spans="1:19" s="1081" customFormat="1" hidden="1" outlineLevel="1">
      <c r="A3060" s="1072">
        <f t="shared" si="775"/>
        <v>0</v>
      </c>
      <c r="B3060" s="1295" t="s">
        <v>829</v>
      </c>
      <c r="C3060" s="1302"/>
      <c r="D3060" s="1198">
        <f>VLOOKUP($B3060,dongia1,DG!$B$5,)</f>
        <v>0</v>
      </c>
      <c r="E3060" s="1399" t="str">
        <f>VLOOKUP($B3060,dongia1,DG!$C$5,)</f>
        <v xml:space="preserve">Đầu cosse ép Cu 2,5mm2 + bao PVC </v>
      </c>
      <c r="F3060" s="1555" t="str">
        <f>VLOOKUP($B3060,dongia1,DG!$D$5,)</f>
        <v>cái</v>
      </c>
      <c r="G3060" s="1303">
        <f>G3054*16</f>
        <v>0</v>
      </c>
      <c r="H3060" s="1298">
        <f>VLOOKUP($B3060,dongia1,DG!$F$5,)</f>
        <v>1700</v>
      </c>
      <c r="I3060" s="1298"/>
      <c r="J3060" s="1298">
        <f>VLOOKUP($B3060,dongia1,DG!$G$5,)</f>
        <v>0</v>
      </c>
      <c r="K3060" s="1298">
        <f>VLOOKUP($B3060,dongia1,DG!$H$5,)</f>
        <v>0</v>
      </c>
      <c r="L3060" s="1298">
        <f t="shared" si="771"/>
        <v>0</v>
      </c>
      <c r="M3060" s="1298">
        <f t="shared" si="772"/>
        <v>0</v>
      </c>
      <c r="N3060" s="1298">
        <f t="shared" si="773"/>
        <v>0</v>
      </c>
      <c r="O3060" s="1298">
        <f t="shared" si="774"/>
        <v>0</v>
      </c>
      <c r="P3060" s="1299"/>
      <c r="Q3060" s="1300"/>
      <c r="R3060" s="1300"/>
      <c r="S3060" s="1300"/>
    </row>
    <row r="3061" spans="1:19" s="1081" customFormat="1" hidden="1" outlineLevel="1">
      <c r="A3061" s="1072">
        <f t="shared" si="775"/>
        <v>0</v>
      </c>
      <c r="B3061" s="1295" t="s">
        <v>57</v>
      </c>
      <c r="C3061" s="1302"/>
      <c r="D3061" s="1198">
        <f>VLOOKUP($B3061,dongia1,DG!$B$5,)</f>
        <v>0</v>
      </c>
      <c r="E3061" s="1399" t="str">
        <f>VLOOKUP($B3061,dongia1,DG!$C$5,)</f>
        <v>Dây điện đôi 16/10</v>
      </c>
      <c r="F3061" s="1555" t="str">
        <f>VLOOKUP($B3061,dongia1,DG!$D$5,)</f>
        <v>mét</v>
      </c>
      <c r="G3061" s="1303">
        <f>6*G3054</f>
        <v>0</v>
      </c>
      <c r="H3061" s="1298">
        <f>VLOOKUP($B3061,dongia1,DG!$F$5,)</f>
        <v>860</v>
      </c>
      <c r="I3061" s="1298"/>
      <c r="J3061" s="1298">
        <f>VLOOKUP($B3061,dongia1,DG!$G$5,)</f>
        <v>0</v>
      </c>
      <c r="K3061" s="1298">
        <f>VLOOKUP($B3061,dongia1,DG!$H$5,)</f>
        <v>0</v>
      </c>
      <c r="L3061" s="1298">
        <f t="shared" si="771"/>
        <v>0</v>
      </c>
      <c r="M3061" s="1298">
        <f t="shared" si="772"/>
        <v>0</v>
      </c>
      <c r="N3061" s="1298">
        <f t="shared" si="773"/>
        <v>0</v>
      </c>
      <c r="O3061" s="1298">
        <f t="shared" si="774"/>
        <v>0</v>
      </c>
      <c r="P3061" s="1299"/>
      <c r="Q3061" s="1300"/>
      <c r="R3061" s="1300"/>
      <c r="S3061" s="1300"/>
    </row>
    <row r="3062" spans="1:19" s="1081" customFormat="1" hidden="1" outlineLevel="1">
      <c r="A3062" s="1072">
        <f t="shared" si="775"/>
        <v>0</v>
      </c>
      <c r="B3062" s="1295" t="s">
        <v>903</v>
      </c>
      <c r="C3062" s="1302"/>
      <c r="D3062" s="1198">
        <f>VLOOKUP($B3062,dongia1,DG!$B$5,)</f>
        <v>0</v>
      </c>
      <c r="E3062" s="1399" t="str">
        <f>VLOOKUP($B3062,dongia1,DG!$C$5,)</f>
        <v>Ốc xiết cáp cỡ 25mm2</v>
      </c>
      <c r="F3062" s="1555" t="str">
        <f>VLOOKUP($B3062,dongia1,DG!$D$5,)</f>
        <v>cái</v>
      </c>
      <c r="G3062" s="1303">
        <f>+G3054*3</f>
        <v>0</v>
      </c>
      <c r="H3062" s="1298">
        <f>VLOOKUP($B3062,dongia1,DG!$F$5,)</f>
        <v>17600</v>
      </c>
      <c r="I3062" s="1298"/>
      <c r="J3062" s="1298">
        <f>VLOOKUP($B3062,dongia1,DG!$G$5,)</f>
        <v>0</v>
      </c>
      <c r="K3062" s="1298">
        <f>VLOOKUP($B3062,dongia1,DG!$H$5,)</f>
        <v>0</v>
      </c>
      <c r="L3062" s="1298">
        <f t="shared" si="771"/>
        <v>0</v>
      </c>
      <c r="M3062" s="1298">
        <f t="shared" si="772"/>
        <v>0</v>
      </c>
      <c r="N3062" s="1298">
        <f t="shared" si="773"/>
        <v>0</v>
      </c>
      <c r="O3062" s="1298">
        <f t="shared" si="774"/>
        <v>0</v>
      </c>
      <c r="P3062" s="1299"/>
      <c r="Q3062" s="1300"/>
      <c r="R3062" s="1300"/>
      <c r="S3062" s="1300"/>
    </row>
    <row r="3063" spans="1:19" s="1081" customFormat="1" hidden="1" outlineLevel="1">
      <c r="A3063" s="1072">
        <f t="shared" si="775"/>
        <v>0</v>
      </c>
      <c r="B3063" s="1295" t="s">
        <v>1736</v>
      </c>
      <c r="C3063" s="1302"/>
      <c r="D3063" s="1198">
        <f>VLOOKUP($B3063,dongia1,DG!$B$5,)</f>
        <v>0</v>
      </c>
      <c r="E3063" s="1399" t="str">
        <f>VLOOKUP($B3063,dongia1,DG!$C$5,)</f>
        <v>Ống PVC D42x2,1mm</v>
      </c>
      <c r="F3063" s="1555" t="str">
        <f>VLOOKUP($B3063,dongia1,DG!$D$5,)</f>
        <v>m</v>
      </c>
      <c r="G3063" s="1303">
        <f>G3072*10</f>
        <v>0</v>
      </c>
      <c r="H3063" s="1298">
        <f>VLOOKUP($B3063,dongia1,DG!$F$5,)</f>
        <v>16100</v>
      </c>
      <c r="I3063" s="1298"/>
      <c r="J3063" s="1298">
        <f>VLOOKUP($B3063,dongia1,DG!$G$5,)</f>
        <v>0</v>
      </c>
      <c r="K3063" s="1298">
        <f>VLOOKUP($B3063,dongia1,DG!$H$5,)</f>
        <v>0</v>
      </c>
      <c r="L3063" s="1298">
        <f t="shared" si="771"/>
        <v>0</v>
      </c>
      <c r="M3063" s="1298">
        <f t="shared" si="772"/>
        <v>0</v>
      </c>
      <c r="N3063" s="1298">
        <f t="shared" si="773"/>
        <v>0</v>
      </c>
      <c r="O3063" s="1298">
        <f t="shared" si="774"/>
        <v>0</v>
      </c>
      <c r="P3063" s="1299"/>
      <c r="Q3063" s="1300"/>
      <c r="R3063" s="1300"/>
      <c r="S3063" s="1300"/>
    </row>
    <row r="3064" spans="1:19" s="1081" customFormat="1" hidden="1" outlineLevel="1">
      <c r="A3064" s="1072">
        <f t="shared" si="775"/>
        <v>0</v>
      </c>
      <c r="B3064" s="1068" t="s">
        <v>1525</v>
      </c>
      <c r="C3064" s="1302"/>
      <c r="D3064" s="1198">
        <f>VLOOKUP($B3064,dongia1,DG!$B$5,)</f>
        <v>0</v>
      </c>
      <c r="E3064" s="1399" t="str">
        <f>VLOOKUP($B3064,dongia1,DG!$C$5,)</f>
        <v>Cổ dê giữ ống PVC D42</v>
      </c>
      <c r="F3064" s="1555" t="str">
        <f>VLOOKUP($B3064,dongia1,DG!$D$5,)</f>
        <v>bộ</v>
      </c>
      <c r="G3064" s="1303">
        <f>G3054*4</f>
        <v>0</v>
      </c>
      <c r="H3064" s="1298">
        <f>VLOOKUP($B3064,dongia1,DG!$F$5,)</f>
        <v>34000</v>
      </c>
      <c r="I3064" s="1298"/>
      <c r="J3064" s="1298">
        <f>VLOOKUP($B3064,dongia1,DG!$G$5,)</f>
        <v>0</v>
      </c>
      <c r="K3064" s="1298">
        <f>VLOOKUP($B3064,dongia1,DG!$H$5,)</f>
        <v>0</v>
      </c>
      <c r="L3064" s="1298">
        <f t="shared" si="771"/>
        <v>0</v>
      </c>
      <c r="M3064" s="1298">
        <f t="shared" si="772"/>
        <v>0</v>
      </c>
      <c r="N3064" s="1298">
        <f t="shared" si="773"/>
        <v>0</v>
      </c>
      <c r="O3064" s="1298">
        <f t="shared" si="774"/>
        <v>0</v>
      </c>
      <c r="P3064" s="1299"/>
      <c r="Q3064" s="1300"/>
      <c r="R3064" s="1300"/>
      <c r="S3064" s="1300"/>
    </row>
    <row r="3065" spans="1:19" s="1081" customFormat="1" hidden="1" outlineLevel="1">
      <c r="A3065" s="1072">
        <f t="shared" si="775"/>
        <v>0</v>
      </c>
      <c r="B3065" s="1295" t="s">
        <v>1576</v>
      </c>
      <c r="C3065" s="1302"/>
      <c r="D3065" s="1198">
        <f>VLOOKUP($B3065,dongia1,DG!$B$5,)</f>
        <v>0</v>
      </c>
      <c r="E3065" s="1399" t="str">
        <f>VLOOKUP($B3065,dongia1,DG!$C$5,)</f>
        <v>Co 90 độ PVC 42</v>
      </c>
      <c r="F3065" s="1555" t="str">
        <f>VLOOKUP($B3065,dongia1,DG!$D$5,)</f>
        <v>cái</v>
      </c>
      <c r="G3065" s="1303">
        <f>G3054*6</f>
        <v>0</v>
      </c>
      <c r="H3065" s="1298">
        <f>VLOOKUP($B3065,dongia1,DG!$F$5,)</f>
        <v>11400</v>
      </c>
      <c r="I3065" s="1298"/>
      <c r="J3065" s="1298">
        <f>VLOOKUP($B3065,dongia1,DG!$G$5,)</f>
        <v>0</v>
      </c>
      <c r="K3065" s="1298">
        <f>VLOOKUP($B3065,dongia1,DG!$H$5,)</f>
        <v>0</v>
      </c>
      <c r="L3065" s="1298">
        <f t="shared" si="771"/>
        <v>0</v>
      </c>
      <c r="M3065" s="1298">
        <f t="shared" si="772"/>
        <v>0</v>
      </c>
      <c r="N3065" s="1298">
        <f t="shared" si="773"/>
        <v>0</v>
      </c>
      <c r="O3065" s="1298">
        <f t="shared" si="774"/>
        <v>0</v>
      </c>
      <c r="P3065" s="1299"/>
      <c r="Q3065" s="1300"/>
      <c r="R3065" s="1300"/>
      <c r="S3065" s="1300"/>
    </row>
    <row r="3066" spans="1:19" s="1081" customFormat="1" hidden="1" outlineLevel="1">
      <c r="A3066" s="1072">
        <f t="shared" si="775"/>
        <v>0</v>
      </c>
      <c r="B3066" s="1295" t="s">
        <v>969</v>
      </c>
      <c r="C3066" s="1302"/>
      <c r="D3066" s="1198">
        <f>VLOOKUP($B3066,dongia1,DG!$B$5,)</f>
        <v>0</v>
      </c>
      <c r="E3066" s="1399" t="str">
        <f>VLOOKUP($B3066,dongia1,DG!$C$5,)</f>
        <v>Co chữ T ống PVC 42</v>
      </c>
      <c r="F3066" s="1555" t="str">
        <f>VLOOKUP($B3066,dongia1,DG!$D$5,)</f>
        <v>cái</v>
      </c>
      <c r="G3066" s="1303">
        <f>G3054*5</f>
        <v>0</v>
      </c>
      <c r="H3066" s="1298">
        <f>VLOOKUP($B3066,dongia1,DG!$F$5,)</f>
        <v>21000</v>
      </c>
      <c r="I3066" s="1298"/>
      <c r="J3066" s="1298">
        <f>VLOOKUP($B3066,dongia1,DG!$G$5,)</f>
        <v>0</v>
      </c>
      <c r="K3066" s="1298">
        <f>VLOOKUP($B3066,dongia1,DG!$H$5,)</f>
        <v>0</v>
      </c>
      <c r="L3066" s="1298">
        <f t="shared" si="771"/>
        <v>0</v>
      </c>
      <c r="M3066" s="1298">
        <f t="shared" si="772"/>
        <v>0</v>
      </c>
      <c r="N3066" s="1298">
        <f t="shared" si="773"/>
        <v>0</v>
      </c>
      <c r="O3066" s="1298">
        <f t="shared" si="774"/>
        <v>0</v>
      </c>
      <c r="P3066" s="1299"/>
      <c r="Q3066" s="1300"/>
      <c r="R3066" s="1300"/>
      <c r="S3066" s="1300"/>
    </row>
    <row r="3067" spans="1:19" s="1081" customFormat="1" hidden="1" outlineLevel="1">
      <c r="A3067" s="1072">
        <f t="shared" si="775"/>
        <v>0</v>
      </c>
      <c r="B3067" s="1295" t="s">
        <v>1973</v>
      </c>
      <c r="C3067" s="1302"/>
      <c r="D3067" s="1198">
        <f>VLOOKUP($B3067,dongia1,DG!$B$5,)</f>
        <v>0</v>
      </c>
      <c r="E3067" s="1399" t="str">
        <f>VLOOKUP($B3067,dongia1,DG!$C$5,)</f>
        <v>Keo dán ống PVC (500gr)</v>
      </c>
      <c r="F3067" s="1555" t="str">
        <f>VLOOKUP($B3067,dongia1,DG!$D$5,)</f>
        <v>lon</v>
      </c>
      <c r="G3067" s="1303">
        <f>G3054</f>
        <v>0</v>
      </c>
      <c r="H3067" s="1298">
        <f>VLOOKUP($B3067,dongia1,DG!$F$5,)</f>
        <v>54100</v>
      </c>
      <c r="I3067" s="1298"/>
      <c r="J3067" s="1298">
        <f>VLOOKUP($B3067,dongia1,DG!$G$5,)</f>
        <v>0</v>
      </c>
      <c r="K3067" s="1298">
        <f>VLOOKUP($B3067,dongia1,DG!$H$5,)</f>
        <v>0</v>
      </c>
      <c r="L3067" s="1298">
        <f t="shared" si="771"/>
        <v>0</v>
      </c>
      <c r="M3067" s="1298">
        <f t="shared" si="772"/>
        <v>0</v>
      </c>
      <c r="N3067" s="1298">
        <f t="shared" si="773"/>
        <v>0</v>
      </c>
      <c r="O3067" s="1298">
        <f t="shared" si="774"/>
        <v>0</v>
      </c>
      <c r="P3067" s="1299"/>
      <c r="Q3067" s="1300"/>
      <c r="R3067" s="1300"/>
      <c r="S3067" s="1300"/>
    </row>
    <row r="3068" spans="1:19" s="1081" customFormat="1" hidden="1" outlineLevel="1">
      <c r="A3068" s="1072">
        <f t="shared" si="775"/>
        <v>0</v>
      </c>
      <c r="B3068" s="1068" t="s">
        <v>236</v>
      </c>
      <c r="C3068" s="1302"/>
      <c r="D3068" s="1198">
        <f>VLOOKUP($B3068,dongia1,DG!$B$5,)</f>
        <v>0</v>
      </c>
      <c r="E3068" s="1399" t="str">
        <f>VLOOKUP($B3068,dongia1,DG!$C$5,)</f>
        <v>Băng keo cách điện hạ thế</v>
      </c>
      <c r="F3068" s="1555" t="str">
        <f>VLOOKUP($B3068,dongia1,DG!$D$5,)</f>
        <v>cuộn</v>
      </c>
      <c r="G3068" s="1303">
        <f>G3054</f>
        <v>0</v>
      </c>
      <c r="H3068" s="1298">
        <f>VLOOKUP($B3068,dongia1,DG!$F$5,)</f>
        <v>6500</v>
      </c>
      <c r="I3068" s="1298"/>
      <c r="J3068" s="1298">
        <f>VLOOKUP($B3068,dongia1,DG!$G$5,)</f>
        <v>0</v>
      </c>
      <c r="K3068" s="1298">
        <f>VLOOKUP($B3068,dongia1,DG!$H$5,)</f>
        <v>0</v>
      </c>
      <c r="L3068" s="1298">
        <f t="shared" si="771"/>
        <v>0</v>
      </c>
      <c r="M3068" s="1298">
        <f t="shared" si="772"/>
        <v>0</v>
      </c>
      <c r="N3068" s="1298">
        <f t="shared" si="773"/>
        <v>0</v>
      </c>
      <c r="O3068" s="1298">
        <f t="shared" si="774"/>
        <v>0</v>
      </c>
      <c r="P3068" s="1299"/>
      <c r="Q3068" s="1300"/>
      <c r="R3068" s="1300"/>
      <c r="S3068" s="1300"/>
    </row>
    <row r="3069" spans="1:19" s="1081" customFormat="1" hidden="1" outlineLevel="1">
      <c r="A3069" s="1072">
        <f t="shared" si="775"/>
        <v>0</v>
      </c>
      <c r="B3069" s="1295" t="s">
        <v>1464</v>
      </c>
      <c r="C3069" s="1302"/>
      <c r="D3069" s="1198">
        <f>VLOOKUP($B3069,dongia1,DG!$B$5,)</f>
        <v>0</v>
      </c>
      <c r="E3069" s="1399" t="str">
        <f>VLOOKUP($B3069,dongia1,DG!$C$5,)</f>
        <v>Khâu ven răng trong D42</v>
      </c>
      <c r="F3069" s="1555" t="str">
        <f>VLOOKUP($B3069,dongia1,DG!$D$5,)</f>
        <v>cái</v>
      </c>
      <c r="G3069" s="1303">
        <f>G3054</f>
        <v>0</v>
      </c>
      <c r="H3069" s="1298">
        <f>VLOOKUP($B3069,dongia1,DG!$F$5,)</f>
        <v>5000</v>
      </c>
      <c r="I3069" s="1298"/>
      <c r="J3069" s="1298">
        <f>VLOOKUP($B3069,dongia1,DG!$G$5,)</f>
        <v>0</v>
      </c>
      <c r="K3069" s="1298">
        <f>VLOOKUP($B3069,dongia1,DG!$H$5,)</f>
        <v>0</v>
      </c>
      <c r="L3069" s="1298">
        <f t="shared" si="771"/>
        <v>0</v>
      </c>
      <c r="M3069" s="1298">
        <f t="shared" si="772"/>
        <v>0</v>
      </c>
      <c r="N3069" s="1298">
        <f t="shared" si="773"/>
        <v>0</v>
      </c>
      <c r="O3069" s="1298">
        <f t="shared" si="774"/>
        <v>0</v>
      </c>
      <c r="P3069" s="1299"/>
      <c r="Q3069" s="1300"/>
      <c r="R3069" s="1300"/>
      <c r="S3069" s="1300"/>
    </row>
    <row r="3070" spans="1:19" s="1081" customFormat="1" hidden="1" outlineLevel="1">
      <c r="A3070" s="1072">
        <f t="shared" si="775"/>
        <v>0</v>
      </c>
      <c r="B3070" s="1068" t="s">
        <v>1214</v>
      </c>
      <c r="C3070" s="1302"/>
      <c r="D3070" s="1198">
        <f>VLOOKUP($B3070,dongia1,DG!$B$5,)</f>
        <v>0</v>
      </c>
      <c r="E3070" s="1399" t="str">
        <f>VLOOKUP($B3070,dongia1,DG!$C$5,)</f>
        <v>Khâu ven răng ngoài D42</v>
      </c>
      <c r="F3070" s="1555" t="str">
        <f>VLOOKUP($B3070,dongia1,DG!$D$5,)</f>
        <v>cái</v>
      </c>
      <c r="G3070" s="1303">
        <f>G3054</f>
        <v>0</v>
      </c>
      <c r="H3070" s="1298">
        <f>VLOOKUP($B3070,dongia1,DG!$F$5,)</f>
        <v>5200</v>
      </c>
      <c r="I3070" s="1298"/>
      <c r="J3070" s="1298">
        <f>VLOOKUP($B3070,dongia1,DG!$G$5,)</f>
        <v>0</v>
      </c>
      <c r="K3070" s="1298">
        <f>VLOOKUP($B3070,dongia1,DG!$H$5,)</f>
        <v>0</v>
      </c>
      <c r="L3070" s="1298">
        <f t="shared" si="771"/>
        <v>0</v>
      </c>
      <c r="M3070" s="1298">
        <f t="shared" si="772"/>
        <v>0</v>
      </c>
      <c r="N3070" s="1298">
        <f t="shared" si="773"/>
        <v>0</v>
      </c>
      <c r="O3070" s="1298">
        <f t="shared" si="774"/>
        <v>0</v>
      </c>
      <c r="P3070" s="1299"/>
      <c r="Q3070" s="1300"/>
      <c r="R3070" s="1300"/>
      <c r="S3070" s="1300"/>
    </row>
    <row r="3071" spans="1:19" s="1081" customFormat="1" hidden="1" outlineLevel="1">
      <c r="A3071" s="1072">
        <f t="shared" si="775"/>
        <v>0</v>
      </c>
      <c r="B3071" s="1068" t="s">
        <v>1439</v>
      </c>
      <c r="C3071" s="1302"/>
      <c r="D3071" s="1198">
        <f>VLOOKUP($B3071,dongia1,DG!$B$5,)</f>
        <v>0</v>
      </c>
      <c r="E3071" s="1399" t="str">
        <f>VLOOKUP($B3071,dongia1,DG!$C$5,)</f>
        <v>Cổ dê CDĐKĐT D320/6x60( bắt thùng)</v>
      </c>
      <c r="F3071" s="1555" t="str">
        <f>VLOOKUP($B3071,dongia1,DG!$D$5,)</f>
        <v>bộ</v>
      </c>
      <c r="G3071" s="1303">
        <f>G3054*2</f>
        <v>0</v>
      </c>
      <c r="H3071" s="1298">
        <f>VLOOKUP($B3071,dongia1,DG!$F$5,)</f>
        <v>168000</v>
      </c>
      <c r="I3071" s="1298"/>
      <c r="J3071" s="1298">
        <f>VLOOKUP($B3071,dongia1,DG!$G$5,)</f>
        <v>0</v>
      </c>
      <c r="K3071" s="1298">
        <f>VLOOKUP($B3071,dongia1,DG!$H$5,)</f>
        <v>0</v>
      </c>
      <c r="L3071" s="1298">
        <f t="shared" si="771"/>
        <v>0</v>
      </c>
      <c r="M3071" s="1298">
        <f t="shared" si="772"/>
        <v>0</v>
      </c>
      <c r="N3071" s="1298">
        <f t="shared" si="773"/>
        <v>0</v>
      </c>
      <c r="O3071" s="1298">
        <f t="shared" si="774"/>
        <v>0</v>
      </c>
      <c r="P3071" s="1299"/>
      <c r="Q3071" s="1300"/>
      <c r="R3071" s="1300"/>
      <c r="S3071" s="1300"/>
    </row>
    <row r="3072" spans="1:19" s="1081" customFormat="1" hidden="1" outlineLevel="1">
      <c r="A3072" s="1072">
        <f t="shared" si="775"/>
        <v>0</v>
      </c>
      <c r="B3072" s="1068" t="s">
        <v>1825</v>
      </c>
      <c r="C3072" s="1302"/>
      <c r="D3072" s="1198" t="str">
        <f>VLOOKUP($B3072,dongia1,DG!$B$5,)</f>
        <v>T5.1001</v>
      </c>
      <c r="E3072" s="1399" t="str">
        <f>VLOOKUP($B3072,dongia1,DG!$C$5,)</f>
        <v>Thùng điện kế 450x300x200mm đo đếm trung thế</v>
      </c>
      <c r="F3072" s="1555" t="str">
        <f>VLOOKUP($B3072,dongia1,DG!$D$5,)</f>
        <v>cái</v>
      </c>
      <c r="G3072" s="1303">
        <f>G3054</f>
        <v>0</v>
      </c>
      <c r="H3072" s="1298">
        <f>VLOOKUP($B3072,dongia1,DG!$F$5,)</f>
        <v>845331</v>
      </c>
      <c r="I3072" s="1298"/>
      <c r="J3072" s="1298">
        <f>VLOOKUP($B3072,dongia1,DG!$G$5,)</f>
        <v>599038</v>
      </c>
      <c r="K3072" s="1298">
        <f>VLOOKUP($B3072,dongia1,DG!$H$5,)</f>
        <v>97369</v>
      </c>
      <c r="L3072" s="1298">
        <f t="shared" si="771"/>
        <v>0</v>
      </c>
      <c r="M3072" s="1298">
        <f t="shared" si="772"/>
        <v>0</v>
      </c>
      <c r="N3072" s="1298">
        <f t="shared" si="773"/>
        <v>0</v>
      </c>
      <c r="O3072" s="1298">
        <f t="shared" si="774"/>
        <v>0</v>
      </c>
      <c r="P3072" s="1299"/>
      <c r="Q3072" s="1300"/>
      <c r="R3072" s="1300"/>
      <c r="S3072" s="1300"/>
    </row>
    <row r="3073" spans="1:19" s="1081" customFormat="1" hidden="1" outlineLevel="1">
      <c r="A3073" s="1072">
        <f t="shared" si="775"/>
        <v>0</v>
      </c>
      <c r="B3073" s="1068" t="s">
        <v>1690</v>
      </c>
      <c r="C3073" s="1302"/>
      <c r="D3073" s="1198">
        <f>VLOOKUP($B3073,dongia1,DG!$B$5,)</f>
        <v>0</v>
      </c>
      <c r="E3073" s="1399" t="str">
        <f>VLOOKUP($B3073,dongia1,DG!$C$5,)</f>
        <v>Keo silicon bít miệng ống</v>
      </c>
      <c r="F3073" s="1555" t="str">
        <f>VLOOKUP($B3073,dongia1,DG!$D$5,)</f>
        <v>chai</v>
      </c>
      <c r="G3073" s="1303">
        <f>G3054*2</f>
        <v>0</v>
      </c>
      <c r="H3073" s="1298">
        <f>VLOOKUP($B3073,dongia1,DG!$F$5,)</f>
        <v>45000</v>
      </c>
      <c r="I3073" s="1298"/>
      <c r="J3073" s="1298">
        <f>VLOOKUP($B3073,dongia1,DG!$G$5,)</f>
        <v>0</v>
      </c>
      <c r="K3073" s="1298">
        <f>VLOOKUP($B3073,dongia1,DG!$H$5,)</f>
        <v>0</v>
      </c>
      <c r="L3073" s="1298">
        <f t="shared" si="771"/>
        <v>0</v>
      </c>
      <c r="M3073" s="1298">
        <f t="shared" si="772"/>
        <v>0</v>
      </c>
      <c r="N3073" s="1298">
        <f t="shared" si="773"/>
        <v>0</v>
      </c>
      <c r="O3073" s="1298">
        <f t="shared" si="774"/>
        <v>0</v>
      </c>
      <c r="P3073" s="1299"/>
      <c r="Q3073" s="1300"/>
      <c r="R3073" s="1300"/>
      <c r="S3073" s="1300"/>
    </row>
    <row r="3074" spans="1:19" s="1081" customFormat="1" hidden="1" outlineLevel="1">
      <c r="A3074" s="1072">
        <f t="shared" si="775"/>
        <v>0</v>
      </c>
      <c r="B3074" s="1068" t="s">
        <v>1735</v>
      </c>
      <c r="C3074" s="1302"/>
      <c r="D3074" s="1198">
        <f>VLOOKUP($B3074,dongia1,DG!$B$5,)</f>
        <v>0</v>
      </c>
      <c r="E3074" s="1399" t="str">
        <f>VLOOKUP($B3074,dongia1,DG!$C$5,)</f>
        <v>Dây đồng trần mềm dẹt</v>
      </c>
      <c r="F3074" s="1555" t="str">
        <f>VLOOKUP($B3074,dongia1,DG!$D$5,)</f>
        <v>mét</v>
      </c>
      <c r="G3074" s="1303">
        <f>G3054*4</f>
        <v>0</v>
      </c>
      <c r="H3074" s="1298">
        <f>VLOOKUP($B3074,dongia1,DG!$F$5,)</f>
        <v>5000</v>
      </c>
      <c r="I3074" s="1298"/>
      <c r="J3074" s="1298">
        <f>VLOOKUP($B3074,dongia1,DG!$G$5,)</f>
        <v>0</v>
      </c>
      <c r="K3074" s="1298">
        <f>VLOOKUP($B3074,dongia1,DG!$H$5,)</f>
        <v>0</v>
      </c>
      <c r="L3074" s="1298">
        <f t="shared" si="771"/>
        <v>0</v>
      </c>
      <c r="M3074" s="1298">
        <f t="shared" si="772"/>
        <v>0</v>
      </c>
      <c r="N3074" s="1298">
        <f t="shared" si="773"/>
        <v>0</v>
      </c>
      <c r="O3074" s="1298">
        <f t="shared" si="774"/>
        <v>0</v>
      </c>
      <c r="P3074" s="1299"/>
      <c r="Q3074" s="1300"/>
      <c r="R3074" s="1300"/>
      <c r="S3074" s="1300"/>
    </row>
    <row r="3075" spans="1:19" s="1081" customFormat="1" hidden="1" outlineLevel="1">
      <c r="A3075" s="1072">
        <f t="shared" si="775"/>
        <v>0</v>
      </c>
      <c r="B3075" s="1068" t="s">
        <v>518</v>
      </c>
      <c r="C3075" s="1302"/>
      <c r="D3075" s="1198">
        <v>0</v>
      </c>
      <c r="E3075" s="1399" t="str">
        <f>VLOOKUP($B3075,dongia1,DG!$C$5,)</f>
        <v>Sắt góc L50 x50 x5</v>
      </c>
      <c r="F3075" s="1555" t="str">
        <f>VLOOKUP($B3075,dongia1,DG!$D$5,)</f>
        <v>kg</v>
      </c>
      <c r="G3075" s="1304">
        <f>3.77*G3054*2*0.3</f>
        <v>0</v>
      </c>
      <c r="H3075" s="1298">
        <f>VLOOKUP($B3075,dongia1,DG!$F$5,)</f>
        <v>31625</v>
      </c>
      <c r="I3075" s="1298"/>
      <c r="J3075" s="1298">
        <f>VLOOKUP($B3075,dongia1,DG!$G$5,)</f>
        <v>0</v>
      </c>
      <c r="K3075" s="1298">
        <f>VLOOKUP($B3075,dongia1,DG!$H$5,)</f>
        <v>0</v>
      </c>
      <c r="L3075" s="1298">
        <f t="shared" si="771"/>
        <v>0</v>
      </c>
      <c r="M3075" s="1298">
        <f t="shared" si="772"/>
        <v>0</v>
      </c>
      <c r="N3075" s="1298">
        <f t="shared" si="773"/>
        <v>0</v>
      </c>
      <c r="O3075" s="1298">
        <f t="shared" si="774"/>
        <v>0</v>
      </c>
      <c r="P3075" s="1299"/>
      <c r="Q3075" s="1300"/>
      <c r="R3075" s="1300"/>
      <c r="S3075" s="1300"/>
    </row>
    <row r="3076" spans="1:19" s="1081" customFormat="1" hidden="1" outlineLevel="1">
      <c r="A3076" s="1072">
        <f t="shared" si="775"/>
        <v>0</v>
      </c>
      <c r="B3076" s="1068" t="s">
        <v>509</v>
      </c>
      <c r="C3076" s="1302"/>
      <c r="D3076" s="1198">
        <v>0</v>
      </c>
      <c r="E3076" s="1399" t="str">
        <f>VLOOKUP($B3076,dongia1,DG!$C$5,)</f>
        <v>Boulon 10x50+ 2 long đền vuông D12-50x50x3/Zn</v>
      </c>
      <c r="F3076" s="1555" t="str">
        <f>VLOOKUP($B3076,dongia1,DG!$D$5,)</f>
        <v>bộ</v>
      </c>
      <c r="G3076" s="1303">
        <f>4*G3054</f>
        <v>0</v>
      </c>
      <c r="H3076" s="1298">
        <f>VLOOKUP($B3076,dongia1,DG!$F$5,)</f>
        <v>1500</v>
      </c>
      <c r="I3076" s="1298"/>
      <c r="J3076" s="1298">
        <f>VLOOKUP($B3076,dongia1,DG!$G$5,)</f>
        <v>0</v>
      </c>
      <c r="K3076" s="1298">
        <f>VLOOKUP($B3076,dongia1,DG!$H$5,)</f>
        <v>0</v>
      </c>
      <c r="L3076" s="1298">
        <f t="shared" si="771"/>
        <v>0</v>
      </c>
      <c r="M3076" s="1298">
        <f t="shared" si="772"/>
        <v>0</v>
      </c>
      <c r="N3076" s="1298">
        <f t="shared" si="773"/>
        <v>0</v>
      </c>
      <c r="O3076" s="1298">
        <f t="shared" si="774"/>
        <v>0</v>
      </c>
      <c r="P3076" s="1299"/>
      <c r="Q3076" s="1300"/>
      <c r="R3076" s="1300"/>
      <c r="S3076" s="1300"/>
    </row>
    <row r="3077" spans="1:19" s="1081" customFormat="1" hidden="1" outlineLevel="1">
      <c r="A3077" s="1072">
        <f>A2927</f>
        <v>0</v>
      </c>
      <c r="B3077" s="1421"/>
      <c r="C3077" s="1571"/>
      <c r="D3077" s="1476"/>
      <c r="E3077" s="1477"/>
      <c r="F3077" s="1478"/>
      <c r="G3077" s="1479"/>
      <c r="H3077" s="1478"/>
      <c r="I3077" s="1478"/>
      <c r="J3077" s="2469" t="s">
        <v>3388</v>
      </c>
      <c r="K3077" s="2469"/>
      <c r="L3077" s="1480">
        <f>SUM(L2946:L3076)</f>
        <v>0</v>
      </c>
      <c r="M3077" s="1480">
        <f>SUM(M2946:M3076)</f>
        <v>0</v>
      </c>
      <c r="N3077" s="1480">
        <f>SUM(N2946:N3076)</f>
        <v>0</v>
      </c>
      <c r="O3077" s="1480">
        <f>SUM(O2946:O3076)</f>
        <v>0</v>
      </c>
      <c r="P3077" s="1566"/>
      <c r="Q3077" s="1300"/>
      <c r="R3077" s="1300"/>
      <c r="S3077" s="1300"/>
    </row>
    <row r="3078" spans="1:19" s="1081" customFormat="1" hidden="1" outlineLevel="1">
      <c r="A3078" s="1072"/>
      <c r="B3078" s="1421"/>
      <c r="C3078" s="1528"/>
      <c r="D3078" s="1528"/>
      <c r="E3078" s="1558"/>
      <c r="F3078" s="1530"/>
      <c r="G3078" s="1529"/>
      <c r="H3078" s="1530"/>
      <c r="I3078" s="1530"/>
      <c r="J3078" s="1531"/>
      <c r="K3078" s="1531"/>
      <c r="L3078" s="1532"/>
      <c r="M3078" s="1532"/>
      <c r="N3078" s="1532"/>
      <c r="O3078" s="1532"/>
      <c r="P3078" s="1559"/>
      <c r="Q3078" s="1300"/>
      <c r="R3078" s="1300"/>
      <c r="S3078" s="1300"/>
    </row>
    <row r="3079" spans="1:19" s="1081" customFormat="1" hidden="1">
      <c r="A3079" s="1431">
        <f>IF(G3084&gt;0,1,)</f>
        <v>0</v>
      </c>
      <c r="B3079" s="1068"/>
      <c r="C3079" s="1490"/>
      <c r="D3079" s="1300"/>
      <c r="E3079" s="1491"/>
      <c r="F3079" s="1300"/>
      <c r="G3079" s="1492"/>
      <c r="H3079" s="1300"/>
      <c r="I3079" s="1300"/>
      <c r="J3079" s="1300"/>
      <c r="K3079" s="1300"/>
      <c r="L3079" s="1300"/>
      <c r="M3079" s="1300"/>
      <c r="N3079" s="1300"/>
      <c r="O3079" s="1300"/>
      <c r="P3079" s="1300"/>
      <c r="Q3079" s="1300"/>
      <c r="R3079" s="1300"/>
      <c r="S3079" s="1300"/>
    </row>
    <row r="3080" spans="1:19" s="1081" customFormat="1" hidden="1" outlineLevel="1">
      <c r="A3080" s="1072">
        <f>A3079</f>
        <v>0</v>
      </c>
      <c r="B3080" s="1432"/>
      <c r="C3080" s="1336" t="str">
        <f>"BẢNG TỔNG HỢP VẬT LIỆU, NHÂN CÔNG, MÁY THI CÔNG: "&amp;K19&amp;" TRẠM 3P_1500KVA"</f>
        <v>BẢNG TỔNG HỢP VẬT LIỆU, NHÂN CÔNG, MÁY THI CÔNG: 0 TRẠM 3P_1500KVA</v>
      </c>
      <c r="D3080" s="1494"/>
      <c r="E3080" s="1494"/>
      <c r="F3080" s="1494"/>
      <c r="G3080" s="1494"/>
      <c r="H3080" s="1495"/>
      <c r="I3080" s="1434"/>
      <c r="J3080" s="1495"/>
      <c r="K3080" s="1495"/>
      <c r="L3080" s="1495"/>
      <c r="M3080" s="1434"/>
      <c r="N3080" s="1495"/>
      <c r="O3080" s="1495"/>
      <c r="P3080" s="1513"/>
      <c r="Q3080" s="1300"/>
      <c r="R3080" s="1300"/>
      <c r="S3080" s="1300"/>
    </row>
    <row r="3081" spans="1:19" s="1081" customFormat="1" hidden="1" outlineLevel="1">
      <c r="A3081" s="1072">
        <f>A3079</f>
        <v>0</v>
      </c>
      <c r="B3081" s="1295" t="s">
        <v>308</v>
      </c>
      <c r="C3081" s="2459" t="s">
        <v>1014</v>
      </c>
      <c r="D3081" s="2467" t="s">
        <v>3363</v>
      </c>
      <c r="E3081" s="2457" t="s">
        <v>3364</v>
      </c>
      <c r="F3081" s="2459" t="s">
        <v>3365</v>
      </c>
      <c r="G3081" s="1155" t="s">
        <v>3367</v>
      </c>
      <c r="H3081" s="1156" t="s">
        <v>3368</v>
      </c>
      <c r="I3081" s="1157"/>
      <c r="J3081" s="1157"/>
      <c r="K3081" s="1158"/>
      <c r="L3081" s="1156" t="s">
        <v>3372</v>
      </c>
      <c r="M3081" s="1157"/>
      <c r="N3081" s="1157"/>
      <c r="O3081" s="1158"/>
      <c r="P3081" s="2459" t="s">
        <v>3373</v>
      </c>
      <c r="Q3081" s="1300"/>
      <c r="R3081" s="1300"/>
      <c r="S3081" s="1300"/>
    </row>
    <row r="3082" spans="1:19" s="1081" customFormat="1" hidden="1" outlineLevel="1">
      <c r="A3082" s="1072">
        <f>A3081</f>
        <v>0</v>
      </c>
      <c r="B3082" s="1295"/>
      <c r="C3082" s="2459"/>
      <c r="D3082" s="2468"/>
      <c r="E3082" s="2458"/>
      <c r="F3082" s="2459"/>
      <c r="G3082" s="1160" t="s">
        <v>3366</v>
      </c>
      <c r="H3082" s="1161" t="s">
        <v>393</v>
      </c>
      <c r="I3082" s="1161" t="s">
        <v>3369</v>
      </c>
      <c r="J3082" s="1161" t="s">
        <v>3370</v>
      </c>
      <c r="K3082" s="1161" t="s">
        <v>3371</v>
      </c>
      <c r="L3082" s="1161" t="s">
        <v>393</v>
      </c>
      <c r="M3082" s="1161" t="s">
        <v>3369</v>
      </c>
      <c r="N3082" s="1161" t="s">
        <v>3370</v>
      </c>
      <c r="O3082" s="1161" t="s">
        <v>3371</v>
      </c>
      <c r="P3082" s="2459"/>
      <c r="Q3082" s="1300"/>
      <c r="R3082" s="1300"/>
      <c r="S3082" s="1300"/>
    </row>
    <row r="3083" spans="1:19" s="1081" customFormat="1" hidden="1" outlineLevel="1">
      <c r="A3083" s="1072">
        <f>A3082</f>
        <v>0</v>
      </c>
      <c r="B3083" s="1295"/>
      <c r="C3083" s="1162"/>
      <c r="D3083" s="1163"/>
      <c r="E3083" s="1164" t="s">
        <v>3375</v>
      </c>
      <c r="F3083" s="1165"/>
      <c r="G3083" s="1165"/>
      <c r="H3083" s="1165"/>
      <c r="I3083" s="1165"/>
      <c r="J3083" s="1165"/>
      <c r="K3083" s="1165"/>
      <c r="L3083" s="1165"/>
      <c r="M3083" s="1165"/>
      <c r="N3083" s="1165"/>
      <c r="O3083" s="1163"/>
      <c r="P3083" s="1166"/>
      <c r="Q3083" s="1300"/>
      <c r="R3083" s="1300"/>
      <c r="S3083" s="1300"/>
    </row>
    <row r="3084" spans="1:19" s="1081" customFormat="1" hidden="1" outlineLevel="1">
      <c r="A3084" s="1072" t="str">
        <f t="shared" ref="A3084:A3094" si="776">IF(G3084&lt;&gt;0,1,"")</f>
        <v/>
      </c>
      <c r="B3084" s="1435" t="str">
        <f>IF($F$8=15,"tr1500","tr15001")</f>
        <v>tr15001</v>
      </c>
      <c r="C3084" s="1302">
        <f>IF(G3084&gt;0,1,0)</f>
        <v>0</v>
      </c>
      <c r="D3084" s="1198" t="str">
        <f>VLOOKUP($B3084,dongia1,DG!$B$5,)</f>
        <v>T1.1418</v>
      </c>
      <c r="E3084" s="1243" t="str">
        <f>VLOOKUP($B3084,dongia1,DG!$C$5,)</f>
        <v>Máy biến áp 22/0,4kV- 1500kVA</v>
      </c>
      <c r="F3084" s="1198" t="str">
        <f>VLOOKUP($B3084,dongia1,DG!$D$5,)</f>
        <v>máy</v>
      </c>
      <c r="G3084" s="1561">
        <f>$K$19</f>
        <v>0</v>
      </c>
      <c r="H3084" s="1399">
        <f>VLOOKUP($B3084,dongia1,DG!$E$5,)</f>
        <v>420236000</v>
      </c>
      <c r="I3084" s="1399"/>
      <c r="J3084" s="1399">
        <f>VLOOKUP($B3084,dongia1,DG!$G$5,)</f>
        <v>1928901</v>
      </c>
      <c r="K3084" s="1399">
        <f>VLOOKUP($B3084,dongia1,DG!$H$5,)</f>
        <v>426761</v>
      </c>
      <c r="L3084" s="1400">
        <f t="shared" ref="L3084:L3094" si="777">H3084*G3084</f>
        <v>0</v>
      </c>
      <c r="M3084" s="1400">
        <f t="shared" ref="M3084:M3094" si="778">I3084*G3084</f>
        <v>0</v>
      </c>
      <c r="N3084" s="1400">
        <f t="shared" ref="N3084:N3094" si="779">J3084*G3084</f>
        <v>0</v>
      </c>
      <c r="O3084" s="1401">
        <f t="shared" ref="O3084:O3094" si="780">K3084*G3084</f>
        <v>0</v>
      </c>
      <c r="P3084" s="1562"/>
      <c r="Q3084" s="1300"/>
      <c r="R3084" s="1300"/>
      <c r="S3084" s="1300"/>
    </row>
    <row r="3085" spans="1:19" s="1081" customFormat="1" hidden="1" outlineLevel="1">
      <c r="A3085" s="1072" t="str">
        <f t="shared" si="776"/>
        <v/>
      </c>
      <c r="B3085" s="1397" t="s">
        <v>286</v>
      </c>
      <c r="C3085" s="1302">
        <f>IF(G3085&gt;0,C3084+1,C3084)</f>
        <v>0</v>
      </c>
      <c r="D3085" s="1198" t="str">
        <f>VLOOKUP($B3085,dongia1,DG!$B$5,)</f>
        <v>T2.3213</v>
      </c>
      <c r="E3085" s="1243" t="str">
        <f>VLOOKUP($B3085,dongia1,DG!$C$5,)</f>
        <v xml:space="preserve">DS 3P - 24KV - 630A </v>
      </c>
      <c r="F3085" s="1198" t="str">
        <f>VLOOKUP($B3085,dongia1,DG!$D$5,)</f>
        <v>bộ</v>
      </c>
      <c r="G3085" s="1303">
        <f>G3084*0</f>
        <v>0</v>
      </c>
      <c r="H3085" s="1399">
        <f>VLOOKUP($B3085,dongia1,DG!$E$5,)</f>
        <v>16664000</v>
      </c>
      <c r="I3085" s="1399">
        <f>VLOOKUP($B3085,dongia1,DG!$F$5,)*0</f>
        <v>0</v>
      </c>
      <c r="J3085" s="1399">
        <f>VLOOKUP($B3085,dongia1,DG!$F$5,)</f>
        <v>0</v>
      </c>
      <c r="K3085" s="1399">
        <f>VLOOKUP($B3085,dongia1,DG!$H$5,)</f>
        <v>262622</v>
      </c>
      <c r="L3085" s="1400">
        <f t="shared" si="777"/>
        <v>0</v>
      </c>
      <c r="M3085" s="1400">
        <f t="shared" si="778"/>
        <v>0</v>
      </c>
      <c r="N3085" s="1400">
        <f t="shared" si="779"/>
        <v>0</v>
      </c>
      <c r="O3085" s="1401">
        <f t="shared" si="780"/>
        <v>0</v>
      </c>
      <c r="P3085" s="1299"/>
      <c r="Q3085" s="1300"/>
      <c r="R3085" s="1300"/>
      <c r="S3085" s="1300"/>
    </row>
    <row r="3086" spans="1:19" s="1081" customFormat="1" hidden="1" outlineLevel="1">
      <c r="A3086" s="1072" t="str">
        <f t="shared" si="776"/>
        <v/>
      </c>
      <c r="B3086" s="1295" t="s">
        <v>1871</v>
      </c>
      <c r="C3086" s="1302">
        <f t="shared" ref="C3086:C3091" si="781">IF(G3086&gt;0,C3085+1,C3085)</f>
        <v>0</v>
      </c>
      <c r="D3086" s="1198" t="str">
        <f>VLOOKUP($B3086,dongia1,DG!$B$5,)</f>
        <v>05.2102</v>
      </c>
      <c r="E3086" s="1243" t="str">
        <f>VLOOKUP($B3086,dongia1,DG!$C$5,)</f>
        <v>Tủ LBS 3 pha 630-800A</v>
      </c>
      <c r="F3086" s="1198" t="str">
        <f>VLOOKUP($B3086,dongia1,DG!$D$5,)</f>
        <v>tủ</v>
      </c>
      <c r="G3086" s="1303">
        <f>G3084*0</f>
        <v>0</v>
      </c>
      <c r="H3086" s="1399">
        <f>VLOOKUP($B3086,dongia1,DG!$F$5,)*0</f>
        <v>0</v>
      </c>
      <c r="I3086" s="1399">
        <f>VLOOKUP($B3086,dongia1,DG!$F$5,)*0</f>
        <v>0</v>
      </c>
      <c r="J3086" s="1399">
        <f>VLOOKUP($B3086,dongia1,DG!$G$5,)</f>
        <v>286129</v>
      </c>
      <c r="K3086" s="1399">
        <f>VLOOKUP($B3086,dongia1,DG!$H$5,)</f>
        <v>59254</v>
      </c>
      <c r="L3086" s="1400">
        <f t="shared" si="777"/>
        <v>0</v>
      </c>
      <c r="M3086" s="1400">
        <f t="shared" si="778"/>
        <v>0</v>
      </c>
      <c r="N3086" s="1400">
        <f t="shared" si="779"/>
        <v>0</v>
      </c>
      <c r="O3086" s="1401">
        <f t="shared" si="780"/>
        <v>0</v>
      </c>
      <c r="P3086" s="1437" t="s">
        <v>1216</v>
      </c>
      <c r="Q3086" s="1300"/>
      <c r="R3086" s="1300"/>
      <c r="S3086" s="1300"/>
    </row>
    <row r="3087" spans="1:19" s="1081" customFormat="1" hidden="1" outlineLevel="1">
      <c r="A3087" s="1072" t="str">
        <f t="shared" si="776"/>
        <v/>
      </c>
      <c r="B3087" s="1167" t="str">
        <f>"FCO100-"&amp;$F$8</f>
        <v>FCO100-22</v>
      </c>
      <c r="C3087" s="1302">
        <f t="shared" si="781"/>
        <v>0</v>
      </c>
      <c r="D3087" s="1198" t="str">
        <f>VLOOKUP($B3087,dongia1,DG!$B$5,)</f>
        <v>T2.3501</v>
      </c>
      <c r="E3087" s="1243" t="str">
        <f>VLOOKUP($B3087,dongia1,DG!$C$5,)</f>
        <v>FCO 24kV - 100A</v>
      </c>
      <c r="F3087" s="1198" t="str">
        <f>VLOOKUP($B3087,dongia1,DG!$D$5,)</f>
        <v>cái</v>
      </c>
      <c r="G3087" s="1303">
        <f>+G3084*3</f>
        <v>0</v>
      </c>
      <c r="H3087" s="1298">
        <f>VLOOKUP($B3087,dongia1,DG!$E$5,)</f>
        <v>2244280</v>
      </c>
      <c r="I3087" s="1298">
        <f>VLOOKUP($B3087,dongia1,DG!$F$5,)*0</f>
        <v>0</v>
      </c>
      <c r="J3087" s="1298">
        <f>VLOOKUP($B3087,dongia1,DG!$G$5,)</f>
        <v>222639.99999999997</v>
      </c>
      <c r="K3087" s="1298">
        <f>VLOOKUP($B3087,dongia1,DG!$H$5,)</f>
        <v>0</v>
      </c>
      <c r="L3087" s="1298">
        <f t="shared" si="777"/>
        <v>0</v>
      </c>
      <c r="M3087" s="1298">
        <f t="shared" si="778"/>
        <v>0</v>
      </c>
      <c r="N3087" s="1298">
        <f t="shared" si="779"/>
        <v>0</v>
      </c>
      <c r="O3087" s="1298">
        <f t="shared" si="780"/>
        <v>0</v>
      </c>
      <c r="P3087" s="1299"/>
      <c r="Q3087" s="1300"/>
      <c r="R3087" s="1300"/>
      <c r="S3087" s="1300"/>
    </row>
    <row r="3088" spans="1:19" s="1081" customFormat="1" hidden="1" outlineLevel="1">
      <c r="A3088" s="1072" t="str">
        <f t="shared" si="776"/>
        <v/>
      </c>
      <c r="B3088" s="1435" t="str">
        <f>IF($F$8=15,"CHI100K","CHI65K")</f>
        <v>CHI65K</v>
      </c>
      <c r="C3088" s="1302">
        <f t="shared" si="781"/>
        <v>0</v>
      </c>
      <c r="D3088" s="1198">
        <f>VLOOKUP($B3088,dongia1,DG!$B$5,)</f>
        <v>0</v>
      </c>
      <c r="E3088" s="1243" t="str">
        <f>VLOOKUP($B3088,dongia1,DG!$C$5,)</f>
        <v>Dây chảy 65K</v>
      </c>
      <c r="F3088" s="1198" t="str">
        <f>VLOOKUP($B3088,dongia1,DG!$D$5,)</f>
        <v>Sợi</v>
      </c>
      <c r="G3088" s="1303">
        <f>G3087</f>
        <v>0</v>
      </c>
      <c r="H3088" s="1298">
        <f>VLOOKUP($B3088,dongia1,DG!$F$5,)</f>
        <v>120000</v>
      </c>
      <c r="I3088" s="1298">
        <f>VLOOKUP($B3088,dongia1,DG!$F$5,)*0</f>
        <v>0</v>
      </c>
      <c r="J3088" s="1298">
        <f>VLOOKUP($B3088,dongia1,DG!$G$5,)</f>
        <v>0</v>
      </c>
      <c r="K3088" s="1298">
        <f>VLOOKUP($B3088,dongia1,DG!$H$5,)</f>
        <v>0</v>
      </c>
      <c r="L3088" s="1298">
        <f t="shared" si="777"/>
        <v>0</v>
      </c>
      <c r="M3088" s="1298">
        <f t="shared" si="778"/>
        <v>0</v>
      </c>
      <c r="N3088" s="1298">
        <f t="shared" si="779"/>
        <v>0</v>
      </c>
      <c r="O3088" s="1298">
        <f t="shared" si="780"/>
        <v>0</v>
      </c>
      <c r="P3088" s="1299"/>
      <c r="Q3088" s="1300"/>
      <c r="R3088" s="1300"/>
      <c r="S3088" s="1300"/>
    </row>
    <row r="3089" spans="1:19" s="1081" customFormat="1" hidden="1" outlineLevel="1">
      <c r="A3089" s="1072" t="str">
        <f t="shared" si="776"/>
        <v/>
      </c>
      <c r="B3089" s="1295" t="str">
        <f>"LA"&amp;$F$6</f>
        <v>LA18</v>
      </c>
      <c r="C3089" s="1302">
        <f t="shared" si="781"/>
        <v>0</v>
      </c>
      <c r="D3089" s="1198" t="str">
        <f>VLOOKUP($B3089,dongia1,DG!$B$5,)</f>
        <v>T2.5004</v>
      </c>
      <c r="E3089" s="1243" t="str">
        <f>VLOOKUP($B3089,dongia1,DG!$C$5,)</f>
        <v>LA 18kV 10kA</v>
      </c>
      <c r="F3089" s="1198" t="str">
        <f>VLOOKUP($B3089,dongia1,DG!$D$5,)</f>
        <v>cái</v>
      </c>
      <c r="G3089" s="1303">
        <f>G3084*3</f>
        <v>0</v>
      </c>
      <c r="H3089" s="1298">
        <f>VLOOKUP($B3089,dongia1,DG!$E$5,)</f>
        <v>1106000</v>
      </c>
      <c r="I3089" s="1298">
        <f>VLOOKUP($B3089,dongia1,DG!$F$5,)*0</f>
        <v>0</v>
      </c>
      <c r="J3089" s="1298">
        <f>VLOOKUP($B3089,dongia1,DG!$G$5,)</f>
        <v>83490</v>
      </c>
      <c r="K3089" s="1298">
        <f>VLOOKUP($B3089,dongia1,DG!$H$5,)</f>
        <v>0</v>
      </c>
      <c r="L3089" s="1298">
        <f t="shared" si="777"/>
        <v>0</v>
      </c>
      <c r="M3089" s="1298">
        <f t="shared" si="778"/>
        <v>0</v>
      </c>
      <c r="N3089" s="1298">
        <f t="shared" si="779"/>
        <v>0</v>
      </c>
      <c r="O3089" s="1298">
        <f t="shared" si="780"/>
        <v>0</v>
      </c>
      <c r="P3089" s="1299"/>
      <c r="Q3089" s="1300"/>
      <c r="R3089" s="1300"/>
      <c r="S3089" s="1300"/>
    </row>
    <row r="3090" spans="1:19" s="1081" customFormat="1" hidden="1" outlineLevel="1">
      <c r="A3090" s="1072" t="str">
        <f t="shared" si="776"/>
        <v/>
      </c>
      <c r="B3090" s="1397" t="s">
        <v>1306</v>
      </c>
      <c r="C3090" s="1302">
        <f t="shared" si="781"/>
        <v>0</v>
      </c>
      <c r="D3090" s="1198">
        <f>VLOOKUP($B3090,dongia1,DG!$B$5,)</f>
        <v>0</v>
      </c>
      <c r="E3090" s="1243" t="str">
        <f>VLOOKUP($B3090,dongia1,DG!$C$5,)</f>
        <v>ACB 3P - 2500A - 85KA (nạp lò xo bằng tay)</v>
      </c>
      <c r="F3090" s="1198" t="str">
        <f>VLOOKUP($B3090,dongia1,DG!$D$5,)</f>
        <v>cái</v>
      </c>
      <c r="G3090" s="1303">
        <f>G3084</f>
        <v>0</v>
      </c>
      <c r="H3090" s="1563">
        <f>VLOOKUP($B3090,dongia1,DG!$E$5,)</f>
        <v>113827000</v>
      </c>
      <c r="I3090" s="1298">
        <f>VLOOKUP($B3090,dongia1,DG!$F$5,)*0</f>
        <v>0</v>
      </c>
      <c r="J3090" s="1298">
        <f>VLOOKUP($B3090,dongia1,DG!$G$5,)</f>
        <v>0</v>
      </c>
      <c r="K3090" s="1298">
        <f>VLOOKUP($B3090,dongia1,DG!$H$5,)</f>
        <v>0</v>
      </c>
      <c r="L3090" s="1298">
        <f t="shared" si="777"/>
        <v>0</v>
      </c>
      <c r="M3090" s="1298">
        <f t="shared" si="778"/>
        <v>0</v>
      </c>
      <c r="N3090" s="1298">
        <f t="shared" si="779"/>
        <v>0</v>
      </c>
      <c r="O3090" s="1298">
        <f t="shared" si="780"/>
        <v>0</v>
      </c>
      <c r="P3090" s="1299"/>
      <c r="Q3090" s="1300"/>
      <c r="R3090" s="1300"/>
      <c r="S3090" s="1300"/>
    </row>
    <row r="3091" spans="1:19" s="1081" customFormat="1" hidden="1" outlineLevel="1">
      <c r="A3091" s="1072" t="str">
        <f t="shared" si="776"/>
        <v/>
      </c>
      <c r="B3091" s="1397" t="s">
        <v>513</v>
      </c>
      <c r="C3091" s="1302">
        <f t="shared" si="781"/>
        <v>0</v>
      </c>
      <c r="D3091" s="1198" t="str">
        <f>VLOOKUP($B3091,dongia1,DG!$B$5,)</f>
        <v>05.1102</v>
      </c>
      <c r="E3091" s="1243" t="str">
        <f>VLOOKUP($B3091,dongia1,DG!$C$5,)</f>
        <v>Tủ tụ bù hạ thế 600kVAr</v>
      </c>
      <c r="F3091" s="1198" t="str">
        <f>VLOOKUP($B3091,dongia1,DG!$D$5,)</f>
        <v>tủ</v>
      </c>
      <c r="G3091" s="1303">
        <f>G3090</f>
        <v>0</v>
      </c>
      <c r="H3091" s="1563">
        <f>VLOOKUP($B3091,dongia1,DG!$E$5,)</f>
        <v>138000415</v>
      </c>
      <c r="I3091" s="1298">
        <f>VLOOKUP($B3091,dongia1,DG!$F$5,)</f>
        <v>0</v>
      </c>
      <c r="J3091" s="1298">
        <f>VLOOKUP($B3091,dongia1,DG!$G$5,)</f>
        <v>98101</v>
      </c>
      <c r="K3091" s="1298">
        <f>VLOOKUP($B3091,dongia1,DG!$H$5,)</f>
        <v>59254</v>
      </c>
      <c r="L3091" s="1298">
        <f t="shared" si="777"/>
        <v>0</v>
      </c>
      <c r="M3091" s="1298">
        <f t="shared" si="778"/>
        <v>0</v>
      </c>
      <c r="N3091" s="1298">
        <f t="shared" si="779"/>
        <v>0</v>
      </c>
      <c r="O3091" s="1298">
        <f t="shared" si="780"/>
        <v>0</v>
      </c>
      <c r="P3091" s="1299"/>
      <c r="Q3091" s="1300"/>
      <c r="R3091" s="1300"/>
      <c r="S3091" s="1300"/>
    </row>
    <row r="3092" spans="1:19" s="1081" customFormat="1" hidden="1" outlineLevel="1">
      <c r="A3092" s="1072" t="str">
        <f t="shared" si="776"/>
        <v/>
      </c>
      <c r="B3092" s="1435" t="str">
        <f>IF($F$8=15,"TI50","TI40")</f>
        <v>TI40</v>
      </c>
      <c r="C3092" s="1302">
        <f>IF(G3092&gt;0,C3091+1,C3091)</f>
        <v>0</v>
      </c>
      <c r="D3092" s="1198">
        <f>VLOOKUP($B3092,dongia1,DG!$B$5,)</f>
        <v>0</v>
      </c>
      <c r="E3092" s="1243" t="str">
        <f>VLOOKUP($B3092,dongia1,DG!$C$5,)</f>
        <v>Biến dòng 24kV  40/5A</v>
      </c>
      <c r="F3092" s="1198" t="str">
        <f>VLOOKUP($B3092,dongia1,DG!$D$5,)</f>
        <v>cái</v>
      </c>
      <c r="G3092" s="1438">
        <f>G3084*3</f>
        <v>0</v>
      </c>
      <c r="H3092" s="1298">
        <f>VLOOKUP($B3092,dongia1,DG!$E$5,)*0</f>
        <v>0</v>
      </c>
      <c r="I3092" s="1298">
        <f>VLOOKUP($B3092,dongia1,DG!$F$5,)*0</f>
        <v>0</v>
      </c>
      <c r="J3092" s="1298">
        <f>VLOOKUP($B3092,dongia1,DG!$G$5,)</f>
        <v>0</v>
      </c>
      <c r="K3092" s="1298">
        <f>VLOOKUP($B3092,dongia1,DG!$H$5,)</f>
        <v>0</v>
      </c>
      <c r="L3092" s="1298">
        <f t="shared" si="777"/>
        <v>0</v>
      </c>
      <c r="M3092" s="1298">
        <f t="shared" si="778"/>
        <v>0</v>
      </c>
      <c r="N3092" s="1298">
        <f t="shared" si="779"/>
        <v>0</v>
      </c>
      <c r="O3092" s="1298">
        <f t="shared" si="780"/>
        <v>0</v>
      </c>
      <c r="P3092" s="1439" t="s">
        <v>3471</v>
      </c>
      <c r="Q3092" s="1300"/>
      <c r="R3092" s="1300"/>
      <c r="S3092" s="1300"/>
    </row>
    <row r="3093" spans="1:19" s="1081" customFormat="1" hidden="1" outlineLevel="1">
      <c r="A3093" s="1072" t="str">
        <f t="shared" si="776"/>
        <v/>
      </c>
      <c r="B3093" s="1435" t="str">
        <f>IF($F$8=15,"TU15","TU22")</f>
        <v>TU22</v>
      </c>
      <c r="C3093" s="1302">
        <f>IF(G3093&gt;0,C3092+1,C3092)</f>
        <v>0</v>
      </c>
      <c r="D3093" s="1198">
        <f>VLOOKUP($B3093,dongia1,DG!$B$5,)</f>
        <v>0</v>
      </c>
      <c r="E3093" s="1243" t="str">
        <f>VLOOKUP($B3093,dongia1,DG!$C$5,)</f>
        <v>Biến điện áp 22000/√3/100/√3 V</v>
      </c>
      <c r="F3093" s="1198" t="str">
        <f>VLOOKUP($B3093,dongia1,DG!$D$5,)</f>
        <v>cái</v>
      </c>
      <c r="G3093" s="1564">
        <f>G3092</f>
        <v>0</v>
      </c>
      <c r="H3093" s="1298">
        <f>VLOOKUP($B3093,dongia1,DG!$E$5,)</f>
        <v>0</v>
      </c>
      <c r="I3093" s="1298"/>
      <c r="J3093" s="1298">
        <f>VLOOKUP($B3093,dongia1,DG!$G$5,)</f>
        <v>92703</v>
      </c>
      <c r="K3093" s="1298">
        <f>VLOOKUP($B3093,dongia1,DG!$H$5,)</f>
        <v>84261</v>
      </c>
      <c r="L3093" s="1298">
        <f t="shared" si="777"/>
        <v>0</v>
      </c>
      <c r="M3093" s="1298">
        <f t="shared" si="778"/>
        <v>0</v>
      </c>
      <c r="N3093" s="1298">
        <f t="shared" si="779"/>
        <v>0</v>
      </c>
      <c r="O3093" s="1298">
        <f t="shared" si="780"/>
        <v>0</v>
      </c>
      <c r="P3093" s="1439" t="s">
        <v>3471</v>
      </c>
      <c r="Q3093" s="1300"/>
      <c r="R3093" s="1300"/>
      <c r="S3093" s="1300"/>
    </row>
    <row r="3094" spans="1:19" s="1081" customFormat="1" hidden="1" outlineLevel="1">
      <c r="A3094" s="1072" t="str">
        <f t="shared" si="776"/>
        <v/>
      </c>
      <c r="B3094" s="1565" t="s">
        <v>1873</v>
      </c>
      <c r="C3094" s="1302">
        <f>IF(G3094&gt;0,C3093+1,C3093)</f>
        <v>0</v>
      </c>
      <c r="D3094" s="1198">
        <f>VLOOKUP($B3094,dongia1,DG!$B$5,)</f>
        <v>0</v>
      </c>
      <c r="E3094" s="1243" t="str">
        <f>VLOOKUP($B3094,dongia1,DG!$C$5,)</f>
        <v>Điện kế 3 pha điện tử 5A</v>
      </c>
      <c r="F3094" s="1198" t="str">
        <f>VLOOKUP($B3094,dongia1,DG!$D$5,)</f>
        <v>cái</v>
      </c>
      <c r="G3094" s="1438">
        <f>G3084</f>
        <v>0</v>
      </c>
      <c r="H3094" s="1399">
        <f>VLOOKUP($B3094,dongia1,DG!$E$5,)*0</f>
        <v>0</v>
      </c>
      <c r="I3094" s="1399">
        <f>VLOOKUP($B3094,dongia1,DG!$F$5,)*0</f>
        <v>0</v>
      </c>
      <c r="J3094" s="1399">
        <f>VLOOKUP($B3094,dongia1,DG!$G$5,)*0</f>
        <v>0</v>
      </c>
      <c r="K3094" s="1399">
        <f>VLOOKUP($B3094,dongia1,DG!$H$5,)</f>
        <v>0</v>
      </c>
      <c r="L3094" s="1298">
        <f t="shared" si="777"/>
        <v>0</v>
      </c>
      <c r="M3094" s="1400">
        <f t="shared" si="778"/>
        <v>0</v>
      </c>
      <c r="N3094" s="1400">
        <f t="shared" si="779"/>
        <v>0</v>
      </c>
      <c r="O3094" s="1401">
        <f t="shared" si="780"/>
        <v>0</v>
      </c>
      <c r="P3094" s="1440" t="s">
        <v>3471</v>
      </c>
      <c r="Q3094" s="1300"/>
      <c r="R3094" s="1300"/>
      <c r="S3094" s="1300"/>
    </row>
    <row r="3095" spans="1:19" s="1081" customFormat="1" hidden="1" outlineLevel="1">
      <c r="A3095" s="1072">
        <f>A3079</f>
        <v>0</v>
      </c>
      <c r="B3095" s="1295"/>
      <c r="C3095" s="1441"/>
      <c r="D3095" s="1442"/>
      <c r="E3095" s="1443"/>
      <c r="F3095" s="1444"/>
      <c r="G3095" s="1445"/>
      <c r="H3095" s="1444"/>
      <c r="I3095" s="1444"/>
      <c r="J3095" s="1183" t="s">
        <v>3387</v>
      </c>
      <c r="K3095" s="1444"/>
      <c r="L3095" s="1446">
        <f>SUM(L3084:L3094)</f>
        <v>0</v>
      </c>
      <c r="M3095" s="1446">
        <f>SUM(M3084:M3094)</f>
        <v>0</v>
      </c>
      <c r="N3095" s="1446">
        <f>SUM(N3084:N3094)</f>
        <v>0</v>
      </c>
      <c r="O3095" s="1446">
        <f>SUM(O3084:O3094)</f>
        <v>0</v>
      </c>
      <c r="P3095" s="1566"/>
      <c r="Q3095" s="1300"/>
      <c r="R3095" s="1300"/>
      <c r="S3095" s="1300"/>
    </row>
    <row r="3096" spans="1:19" s="1081" customFormat="1" hidden="1" outlineLevel="1">
      <c r="A3096" s="1072">
        <f>A3079</f>
        <v>0</v>
      </c>
      <c r="B3096" s="1295"/>
      <c r="C3096" s="1448"/>
      <c r="D3096" s="1449"/>
      <c r="E3096" s="1450" t="s">
        <v>3376</v>
      </c>
      <c r="F3096" s="1450"/>
      <c r="G3096" s="1451"/>
      <c r="H3096" s="1450"/>
      <c r="I3096" s="1450"/>
      <c r="J3096" s="1450"/>
      <c r="K3096" s="1450"/>
      <c r="L3096" s="1450"/>
      <c r="M3096" s="1450"/>
      <c r="N3096" s="1450"/>
      <c r="O3096" s="1449"/>
      <c r="P3096" s="1566"/>
      <c r="Q3096" s="1300"/>
      <c r="R3096" s="1300"/>
      <c r="S3096" s="1300"/>
    </row>
    <row r="3097" spans="1:19" s="1081" customFormat="1" hidden="1" outlineLevel="1">
      <c r="A3097" s="1072" t="str">
        <f t="shared" ref="A3097:A3110" si="782">IF(G3097&lt;&gt;0,1,"")</f>
        <v/>
      </c>
      <c r="B3097" s="1452"/>
      <c r="C3097" s="1453">
        <f>IF(G3097&gt;0,1,0)</f>
        <v>0</v>
      </c>
      <c r="D3097" s="1198"/>
      <c r="E3097" s="1454" t="s">
        <v>3389</v>
      </c>
      <c r="F3097" s="1455" t="s">
        <v>1133</v>
      </c>
      <c r="G3097" s="1460">
        <f>G3084*0</f>
        <v>0</v>
      </c>
      <c r="H3097" s="1455"/>
      <c r="I3097" s="1455"/>
      <c r="J3097" s="1455"/>
      <c r="K3097" s="1455"/>
      <c r="L3097" s="1456"/>
      <c r="M3097" s="1456"/>
      <c r="N3097" s="1456"/>
      <c r="O3097" s="1457"/>
      <c r="P3097" s="1299"/>
      <c r="Q3097" s="1300"/>
      <c r="R3097" s="1300"/>
      <c r="S3097" s="1300"/>
    </row>
    <row r="3098" spans="1:19" s="1081" customFormat="1" hidden="1" outlineLevel="1">
      <c r="A3098" s="1072" t="str">
        <f t="shared" si="782"/>
        <v/>
      </c>
      <c r="B3098" s="1421" t="s">
        <v>1248</v>
      </c>
      <c r="C3098" s="1458"/>
      <c r="D3098" s="1198"/>
      <c r="E3098" s="1459" t="str">
        <f>VLOOKUP($B3098,dongia1,DG!$C$5,)</f>
        <v>Trụ BTLT 10,5m F350 dự ứng lực</v>
      </c>
      <c r="F3098" s="1198" t="str">
        <f>VLOOKUP($B3098,dongia1,DG!$D$5,)</f>
        <v>trụ</v>
      </c>
      <c r="G3098" s="1198">
        <f>G3097</f>
        <v>0</v>
      </c>
      <c r="H3098" s="1399">
        <f>VLOOKUP($B3098,dongia1,DG!$F$5,)</f>
        <v>4200000</v>
      </c>
      <c r="I3098" s="1291"/>
      <c r="J3098" s="1399"/>
      <c r="K3098" s="1291"/>
      <c r="L3098" s="1400">
        <f>H3098*G3098</f>
        <v>0</v>
      </c>
      <c r="M3098" s="1400">
        <f>I3098*G3098</f>
        <v>0</v>
      </c>
      <c r="N3098" s="1400">
        <f>J3098*G3098</f>
        <v>0</v>
      </c>
      <c r="O3098" s="1400">
        <f>K3098*G3098</f>
        <v>0</v>
      </c>
      <c r="P3098" s="1299"/>
      <c r="Q3098" s="1300"/>
      <c r="R3098" s="1300"/>
      <c r="S3098" s="1300"/>
    </row>
    <row r="3099" spans="1:19" s="1081" customFormat="1" hidden="1" outlineLevel="1">
      <c r="A3099" s="1072" t="str">
        <f t="shared" si="782"/>
        <v/>
      </c>
      <c r="B3099" s="1421" t="s">
        <v>1457</v>
      </c>
      <c r="C3099" s="1458"/>
      <c r="D3099" s="1198"/>
      <c r="E3099" s="1459" t="str">
        <f>VLOOKUP($B3099,dongia1,DG!$C$5,)</f>
        <v>Vật liệu dựng trụ</v>
      </c>
      <c r="F3099" s="1198" t="str">
        <f>VLOOKUP($B3099,dongia1,DG!$D$5,)</f>
        <v>trụ</v>
      </c>
      <c r="G3099" s="1198">
        <f>G3098</f>
        <v>0</v>
      </c>
      <c r="H3099" s="1399">
        <f>VLOOKUP($B3099,dongia1,DG!$F$5,)</f>
        <v>17400</v>
      </c>
      <c r="I3099" s="1399"/>
      <c r="J3099" s="1291"/>
      <c r="K3099" s="1291"/>
      <c r="L3099" s="1400">
        <f>H3099*G3099</f>
        <v>0</v>
      </c>
      <c r="M3099" s="1400">
        <f>I3099*G3099</f>
        <v>0</v>
      </c>
      <c r="N3099" s="1400">
        <f>J3099*G3099</f>
        <v>0</v>
      </c>
      <c r="O3099" s="1400">
        <f>K3099*G3099</f>
        <v>0</v>
      </c>
      <c r="P3099" s="1299"/>
      <c r="Q3099" s="1300"/>
      <c r="R3099" s="1300"/>
      <c r="S3099" s="1300"/>
    </row>
    <row r="3100" spans="1:19" s="1081" customFormat="1" hidden="1" outlineLevel="1">
      <c r="A3100" s="1072" t="str">
        <f t="shared" si="782"/>
        <v/>
      </c>
      <c r="B3100" s="1421" t="s">
        <v>1264</v>
      </c>
      <c r="C3100" s="1458"/>
      <c r="D3100" s="1198" t="str">
        <f>VLOOKUP($B3100,dongia1,DG!$B$5,)</f>
        <v>D2.5222</v>
      </c>
      <c r="E3100" s="1459" t="str">
        <f>VLOOKUP($B3100,dongia1,DG!$C$5,)</f>
        <v>Dựng trụ BTLT 10,5m thủ công + cơ giới (cẩu)</v>
      </c>
      <c r="F3100" s="1198" t="str">
        <f>VLOOKUP($B3100,dongia1,DG!$D$5,)</f>
        <v>trụ</v>
      </c>
      <c r="G3100" s="1198">
        <f>G3098</f>
        <v>0</v>
      </c>
      <c r="H3100" s="1459"/>
      <c r="I3100" s="1399"/>
      <c r="J3100" s="1399">
        <f>VLOOKUP($B3100,dongia1,DG!$G$5,)</f>
        <v>551034</v>
      </c>
      <c r="K3100" s="1399">
        <f>VLOOKUP($B3100,dongia1,DG!$H$5,)</f>
        <v>141795.29</v>
      </c>
      <c r="L3100" s="1400">
        <f>H3100*G3100</f>
        <v>0</v>
      </c>
      <c r="M3100" s="1400">
        <f>I3100*G3100</f>
        <v>0</v>
      </c>
      <c r="N3100" s="1400">
        <f>J3100*G3100</f>
        <v>0</v>
      </c>
      <c r="O3100" s="1400">
        <f>K3100*G3100</f>
        <v>0</v>
      </c>
      <c r="P3100" s="1299"/>
      <c r="Q3100" s="1300"/>
      <c r="R3100" s="1300"/>
      <c r="S3100" s="1300"/>
    </row>
    <row r="3101" spans="1:19" s="1081" customFormat="1" hidden="1" outlineLevel="1">
      <c r="A3101" s="1072" t="str">
        <f t="shared" si="782"/>
        <v/>
      </c>
      <c r="B3101" s="1421" t="s">
        <v>1249</v>
      </c>
      <c r="C3101" s="1458"/>
      <c r="D3101" s="1198"/>
      <c r="E3101" s="1459" t="str">
        <f>VLOOKUP($B3101,dongia1,DG!$C$5,)</f>
        <v>Đào hố móng đất cấp 3 sâu &gt;1m DT&lt;5m2</v>
      </c>
      <c r="F3101" s="1198" t="str">
        <f>VLOOKUP($B3101,dongia1,DG!$D$5,)</f>
        <v>m3</v>
      </c>
      <c r="G3101" s="1198">
        <f>G3097*0.201</f>
        <v>0</v>
      </c>
      <c r="H3101" s="1399">
        <f>VLOOKUP($B3101,dongia1,DG!$F$5,)</f>
        <v>0</v>
      </c>
      <c r="I3101" s="1399"/>
      <c r="J3101" s="1399">
        <f>VLOOKUP($B3101,dongia1,DG!$G$5,)</f>
        <v>296500.89999999997</v>
      </c>
      <c r="K3101" s="1399">
        <f>VLOOKUP($B3101,dongia1,DG!$H$5,)</f>
        <v>0</v>
      </c>
      <c r="L3101" s="1400">
        <f>H3101*G3101</f>
        <v>0</v>
      </c>
      <c r="M3101" s="1400">
        <f>I3101*G3101</f>
        <v>0</v>
      </c>
      <c r="N3101" s="1400">
        <f>J3101*G3101</f>
        <v>0</v>
      </c>
      <c r="O3101" s="1400">
        <f>K3101*G3101</f>
        <v>0</v>
      </c>
      <c r="P3101" s="1299"/>
      <c r="Q3101" s="1300"/>
      <c r="R3101" s="1300"/>
      <c r="S3101" s="1300"/>
    </row>
    <row r="3102" spans="1:19" s="1081" customFormat="1" hidden="1" outlineLevel="1">
      <c r="A3102" s="1072" t="str">
        <f t="shared" si="782"/>
        <v/>
      </c>
      <c r="B3102" s="1421" t="s">
        <v>501</v>
      </c>
      <c r="C3102" s="1458"/>
      <c r="D3102" s="1198" t="str">
        <f>VLOOKUP($B3102,dongia1,DG!$B$5,)</f>
        <v>AB.13111</v>
      </c>
      <c r="E3102" s="1459" t="str">
        <f>VLOOKUP($B3102,dongia1,DG!$C$5,)</f>
        <v>Đắp đất hố móng, đất cấp 3 (độ chặt k = 0.85)</v>
      </c>
      <c r="F3102" s="1198" t="str">
        <f>VLOOKUP($B3102,dongia1,DG!$D$5,)</f>
        <v>m3</v>
      </c>
      <c r="G3102" s="1198">
        <f>G3097*0.182</f>
        <v>0</v>
      </c>
      <c r="H3102" s="1459"/>
      <c r="I3102" s="1399"/>
      <c r="J3102" s="1399">
        <f>VLOOKUP($B3102,dongia1,DG!$G$5,)</f>
        <v>117703.6</v>
      </c>
      <c r="K3102" s="1399">
        <f>VLOOKUP($B3102,dongia1,DG!$H$5,)</f>
        <v>0</v>
      </c>
      <c r="L3102" s="1400">
        <f>H3102*G3102</f>
        <v>0</v>
      </c>
      <c r="M3102" s="1400">
        <f>I3102*G3102</f>
        <v>0</v>
      </c>
      <c r="N3102" s="1400">
        <f>J3102*G3102</f>
        <v>0</v>
      </c>
      <c r="O3102" s="1400">
        <f>K3102*G3102</f>
        <v>0</v>
      </c>
      <c r="P3102" s="1299"/>
      <c r="Q3102" s="1300"/>
      <c r="R3102" s="1300"/>
      <c r="S3102" s="1300"/>
    </row>
    <row r="3103" spans="1:19" s="1081" customFormat="1" hidden="1" outlineLevel="1">
      <c r="A3103" s="1072" t="str">
        <f t="shared" si="782"/>
        <v/>
      </c>
      <c r="B3103" s="1421"/>
      <c r="C3103" s="1291">
        <f>IF(G3103&gt;0,C3097+1,C3097)</f>
        <v>0</v>
      </c>
      <c r="D3103" s="1198"/>
      <c r="E3103" s="1454" t="s">
        <v>3394</v>
      </c>
      <c r="F3103" s="1455" t="s">
        <v>3391</v>
      </c>
      <c r="G3103" s="1460">
        <f>G3097</f>
        <v>0</v>
      </c>
      <c r="H3103" s="1291"/>
      <c r="I3103" s="1291"/>
      <c r="J3103" s="1291"/>
      <c r="K3103" s="1291"/>
      <c r="L3103" s="1291"/>
      <c r="M3103" s="1291"/>
      <c r="N3103" s="1291"/>
      <c r="O3103" s="1461"/>
      <c r="P3103" s="1299"/>
      <c r="Q3103" s="1300"/>
      <c r="R3103" s="1300"/>
      <c r="S3103" s="1300"/>
    </row>
    <row r="3104" spans="1:19" s="1081" customFormat="1" hidden="1" outlineLevel="1">
      <c r="A3104" s="1072" t="str">
        <f t="shared" si="782"/>
        <v/>
      </c>
      <c r="B3104" s="1421" t="s">
        <v>1728</v>
      </c>
      <c r="C3104" s="1458"/>
      <c r="D3104" s="1198">
        <f>VLOOKUP($B3104,dongia1,DG!$B$5,)</f>
        <v>0</v>
      </c>
      <c r="E3104" s="1459" t="str">
        <f>VLOOKUP($B3104,dongia1,DG!$C$5,)</f>
        <v>Ximăng</v>
      </c>
      <c r="F3104" s="1198" t="str">
        <f>VLOOKUP($B3104,dongia1,DG!$D$5,)</f>
        <v>kg</v>
      </c>
      <c r="G3104" s="1198">
        <f>204*G3103</f>
        <v>0</v>
      </c>
      <c r="H3104" s="1399">
        <f>VLOOKUP($B3104,dongia1,DG!$F$5,)</f>
        <v>1740</v>
      </c>
      <c r="I3104" s="1399"/>
      <c r="J3104" s="1399">
        <f>VLOOKUP($B3104,dongia1,DG!$G$5,)</f>
        <v>0</v>
      </c>
      <c r="K3104" s="1291"/>
      <c r="L3104" s="1400">
        <f t="shared" ref="L3104:L3110" si="783">H3104*G3104</f>
        <v>0</v>
      </c>
      <c r="M3104" s="1400">
        <f t="shared" ref="M3104:M3116" si="784">I3104*G3104</f>
        <v>0</v>
      </c>
      <c r="N3104" s="1400">
        <f t="shared" ref="N3104:N3116" si="785">J3104*G3104</f>
        <v>0</v>
      </c>
      <c r="O3104" s="1400">
        <f t="shared" ref="O3104:O3116" si="786">K3104*G3104</f>
        <v>0</v>
      </c>
      <c r="P3104" s="1299"/>
      <c r="Q3104" s="1300"/>
      <c r="R3104" s="1300"/>
      <c r="S3104" s="1300"/>
    </row>
    <row r="3105" spans="1:19" s="1081" customFormat="1" hidden="1" outlineLevel="1">
      <c r="A3105" s="1072" t="str">
        <f t="shared" si="782"/>
        <v/>
      </c>
      <c r="B3105" s="1421" t="s">
        <v>1729</v>
      </c>
      <c r="C3105" s="1458"/>
      <c r="D3105" s="1198"/>
      <c r="E3105" s="1459" t="str">
        <f>VLOOKUP($B3105,dongia1,DG!$C$5,)</f>
        <v>Cát vàng</v>
      </c>
      <c r="F3105" s="1198" t="str">
        <f>VLOOKUP($B3105,dongia1,DG!$D$5,)</f>
        <v>m3</v>
      </c>
      <c r="G3105" s="1198">
        <f>+G3103*0.5327</f>
        <v>0</v>
      </c>
      <c r="H3105" s="1399">
        <f>VLOOKUP($B3105,dongia1,DG!$F$5,)</f>
        <v>512000</v>
      </c>
      <c r="I3105" s="1459"/>
      <c r="J3105" s="1459"/>
      <c r="K3105" s="1291"/>
      <c r="L3105" s="1400">
        <f t="shared" si="783"/>
        <v>0</v>
      </c>
      <c r="M3105" s="1400">
        <f t="shared" si="784"/>
        <v>0</v>
      </c>
      <c r="N3105" s="1400">
        <f t="shared" si="785"/>
        <v>0</v>
      </c>
      <c r="O3105" s="1400">
        <f t="shared" si="786"/>
        <v>0</v>
      </c>
      <c r="P3105" s="1299"/>
      <c r="Q3105" s="1300"/>
      <c r="R3105" s="1300"/>
      <c r="S3105" s="1300"/>
    </row>
    <row r="3106" spans="1:19" s="1081" customFormat="1" hidden="1" outlineLevel="1">
      <c r="A3106" s="1072" t="str">
        <f>IF(G3106&lt;&gt;0,1,"")</f>
        <v/>
      </c>
      <c r="B3106" s="1421" t="s">
        <v>853</v>
      </c>
      <c r="C3106" s="1458"/>
      <c r="D3106" s="1198">
        <f>VLOOKUP($B3106,dongia1,DG!$B$5,)</f>
        <v>0</v>
      </c>
      <c r="E3106" s="1459" t="str">
        <f>VLOOKUP($B3106,dongia1,DG!$C$5,)</f>
        <v>Đá 1x2</v>
      </c>
      <c r="F3106" s="1198" t="str">
        <f>VLOOKUP($B3106,dongia1,DG!$D$5,)</f>
        <v>m3</v>
      </c>
      <c r="G3106" s="1198">
        <f>+G3103*0.607</f>
        <v>0</v>
      </c>
      <c r="H3106" s="1399">
        <f>VLOOKUP($B3106,dongia1,DG!$F$5,)</f>
        <v>335000</v>
      </c>
      <c r="I3106" s="1399"/>
      <c r="J3106" s="1399">
        <f>VLOOKUP($B3106,dongia1,DG!$G$5,)</f>
        <v>0</v>
      </c>
      <c r="K3106" s="1291"/>
      <c r="L3106" s="1400">
        <f t="shared" si="783"/>
        <v>0</v>
      </c>
      <c r="M3106" s="1400">
        <f>I3106*G3106</f>
        <v>0</v>
      </c>
      <c r="N3106" s="1400">
        <f>J3106*G3106</f>
        <v>0</v>
      </c>
      <c r="O3106" s="1400">
        <f>K3106*G3106</f>
        <v>0</v>
      </c>
      <c r="P3106" s="1299"/>
      <c r="Q3106" s="1300"/>
      <c r="R3106" s="1300"/>
      <c r="S3106" s="1300"/>
    </row>
    <row r="3107" spans="1:19" s="1081" customFormat="1" hidden="1" outlineLevel="1">
      <c r="A3107" s="1072" t="str">
        <f>IF(G3107&lt;&gt;0,1,"")</f>
        <v/>
      </c>
      <c r="B3107" s="1421" t="s">
        <v>62</v>
      </c>
      <c r="C3107" s="1458"/>
      <c r="D3107" s="1198"/>
      <c r="E3107" s="1459" t="str">
        <f>VLOOKUP($B3107,dongia1,DG!$C$5,)</f>
        <v>Sắt   Þ10</v>
      </c>
      <c r="F3107" s="1198" t="str">
        <f>VLOOKUP($B3107,dongia1,DG!$D$5,)</f>
        <v>kg</v>
      </c>
      <c r="G3107" s="1198">
        <f>+G3103*20.08</f>
        <v>0</v>
      </c>
      <c r="H3107" s="1399">
        <f>VLOOKUP($B3107,dongia1,DG!$F$5,)</f>
        <v>13300</v>
      </c>
      <c r="I3107" s="1459"/>
      <c r="J3107" s="1459"/>
      <c r="K3107" s="1291"/>
      <c r="L3107" s="1400">
        <f t="shared" si="783"/>
        <v>0</v>
      </c>
      <c r="M3107" s="1400">
        <f>I3107*G3107</f>
        <v>0</v>
      </c>
      <c r="N3107" s="1400">
        <f>J3107*G3107</f>
        <v>0</v>
      </c>
      <c r="O3107" s="1400">
        <f>K3107*G3107</f>
        <v>0</v>
      </c>
      <c r="P3107" s="1299"/>
      <c r="Q3107" s="1300"/>
      <c r="R3107" s="1300"/>
      <c r="S3107" s="1300"/>
    </row>
    <row r="3108" spans="1:19" s="1081" customFormat="1" hidden="1" outlineLevel="1">
      <c r="A3108" s="1072" t="str">
        <f>IF(G3108&lt;&gt;0,1,"")</f>
        <v/>
      </c>
      <c r="B3108" s="1421" t="s">
        <v>60</v>
      </c>
      <c r="C3108" s="1458"/>
      <c r="D3108" s="1198">
        <f>VLOOKUP($B3108,dongia1,DG!$B$5,)</f>
        <v>0</v>
      </c>
      <c r="E3108" s="1459" t="str">
        <f>VLOOKUP($B3108,dongia1,DG!$C$5,)</f>
        <v>Kẽm</v>
      </c>
      <c r="F3108" s="1198" t="str">
        <f>VLOOKUP($B3108,dongia1,DG!$D$5,)</f>
        <v>kg</v>
      </c>
      <c r="G3108" s="1198">
        <f>+G3103*0.43</f>
        <v>0</v>
      </c>
      <c r="H3108" s="1399">
        <f>VLOOKUP($B3108,dongia1,DG!$F$5,)</f>
        <v>10500</v>
      </c>
      <c r="I3108" s="1399"/>
      <c r="J3108" s="1399">
        <f>VLOOKUP($B3108,dongia1,DG!$G$5,)</f>
        <v>0</v>
      </c>
      <c r="K3108" s="1291"/>
      <c r="L3108" s="1400">
        <f t="shared" si="783"/>
        <v>0</v>
      </c>
      <c r="M3108" s="1400">
        <f>I3108*G3108</f>
        <v>0</v>
      </c>
      <c r="N3108" s="1400">
        <f>J3108*G3108</f>
        <v>0</v>
      </c>
      <c r="O3108" s="1400">
        <f>K3108*G3108</f>
        <v>0</v>
      </c>
      <c r="P3108" s="1299"/>
      <c r="Q3108" s="1300"/>
      <c r="R3108" s="1300"/>
      <c r="S3108" s="1300"/>
    </row>
    <row r="3109" spans="1:19" s="1081" customFormat="1" hidden="1" outlineLevel="1">
      <c r="A3109" s="1072" t="str">
        <f t="shared" si="782"/>
        <v/>
      </c>
      <c r="B3109" s="1421" t="str">
        <f>IF(capdat=1,"MDD1",IF(capdat=2,"MDD2",IF(capdat=3,"MDD3",IF(capdat=4,"MDD4"))))</f>
        <v>MDD3</v>
      </c>
      <c r="C3109" s="1458"/>
      <c r="D3109" s="1198" t="str">
        <f>VLOOKUP($B3109,dongia1,DG!$B$5,)</f>
        <v>03.1013</v>
      </c>
      <c r="E3109" s="1459" t="str">
        <f>VLOOKUP($B3109,dongia1,DG!$C$5,)</f>
        <v>Đào hố móng đất cấp 3 sâu &gt;1m DT&lt;5m2</v>
      </c>
      <c r="F3109" s="1198" t="str">
        <f>VLOOKUP($B3109,dongia1,DG!$D$5,)</f>
        <v>m3</v>
      </c>
      <c r="G3109" s="1198">
        <f>+G3103*0.77</f>
        <v>0</v>
      </c>
      <c r="H3109" s="1399">
        <f>VLOOKUP($B3109,dongia1,DG!$F$5,)</f>
        <v>0</v>
      </c>
      <c r="I3109" s="1399"/>
      <c r="J3109" s="1399">
        <f>VLOOKUP($B3109,dongia1,DG!$G$5,)</f>
        <v>296500.89999999997</v>
      </c>
      <c r="K3109" s="1291"/>
      <c r="L3109" s="1400">
        <f t="shared" si="783"/>
        <v>0</v>
      </c>
      <c r="M3109" s="1400">
        <f t="shared" si="784"/>
        <v>0</v>
      </c>
      <c r="N3109" s="1400">
        <f t="shared" si="785"/>
        <v>0</v>
      </c>
      <c r="O3109" s="1400">
        <f t="shared" si="786"/>
        <v>0</v>
      </c>
      <c r="P3109" s="1299"/>
      <c r="Q3109" s="1300"/>
      <c r="R3109" s="1300"/>
      <c r="S3109" s="1300"/>
    </row>
    <row r="3110" spans="1:19" s="1081" customFormat="1" hidden="1" outlineLevel="1">
      <c r="A3110" s="1072" t="str">
        <f t="shared" si="782"/>
        <v/>
      </c>
      <c r="B3110" s="1567" t="s">
        <v>2065</v>
      </c>
      <c r="C3110" s="1458"/>
      <c r="D3110" s="1198" t="str">
        <f>VLOOKUP($B3110,dongia1,DG!$B$5,)</f>
        <v>AF.11220</v>
      </c>
      <c r="E3110" s="1459" t="str">
        <f>VLOOKUP($B3110,dongia1,DG!$C$5,)</f>
        <v>Đổ bê tông mác M150 đá 2x4 rộng &gt;250cm</v>
      </c>
      <c r="F3110" s="1198" t="str">
        <f>VLOOKUP($B3110,dongia1,DG!$D$5,)</f>
        <v>m3</v>
      </c>
      <c r="G3110" s="1198">
        <f>+G3103*0.689</f>
        <v>0</v>
      </c>
      <c r="H3110" s="1399">
        <f>VLOOKUP($B3110,dongia1,DG!$F$5,)</f>
        <v>461871</v>
      </c>
      <c r="I3110" s="1399"/>
      <c r="J3110" s="1399">
        <f>VLOOKUP($B3110,dongia1,DG!$G$5,)</f>
        <v>414064.45</v>
      </c>
      <c r="K3110" s="1291"/>
      <c r="L3110" s="1400">
        <f t="shared" si="783"/>
        <v>0</v>
      </c>
      <c r="M3110" s="1400">
        <f t="shared" si="784"/>
        <v>0</v>
      </c>
      <c r="N3110" s="1400">
        <f t="shared" si="785"/>
        <v>0</v>
      </c>
      <c r="O3110" s="1400">
        <f t="shared" si="786"/>
        <v>0</v>
      </c>
      <c r="P3110" s="1299"/>
      <c r="Q3110" s="1300"/>
      <c r="R3110" s="1300"/>
      <c r="S3110" s="1300"/>
    </row>
    <row r="3111" spans="1:19" s="1081" customFormat="1" hidden="1" outlineLevel="1">
      <c r="A3111" s="1072" t="str">
        <f>IF(G3111&lt;&gt;0,1,"")</f>
        <v/>
      </c>
      <c r="B3111" s="1295"/>
      <c r="C3111" s="1291">
        <f>IF(G3111&gt;0,C3103+1,C3103)</f>
        <v>0</v>
      </c>
      <c r="D3111" s="1292"/>
      <c r="E3111" s="1468" t="s">
        <v>3452</v>
      </c>
      <c r="F3111" s="1291" t="s">
        <v>2113</v>
      </c>
      <c r="G3111" s="1297"/>
      <c r="H3111" s="1467"/>
      <c r="I3111" s="1467"/>
      <c r="J3111" s="1467"/>
      <c r="K3111" s="1467"/>
      <c r="L3111" s="1400">
        <f t="shared" ref="L3111:L3117" si="787">H3111*G3111</f>
        <v>0</v>
      </c>
      <c r="M3111" s="1400">
        <f t="shared" si="784"/>
        <v>0</v>
      </c>
      <c r="N3111" s="1400">
        <f t="shared" si="785"/>
        <v>0</v>
      </c>
      <c r="O3111" s="1400">
        <f t="shared" si="786"/>
        <v>0</v>
      </c>
      <c r="P3111" s="1299"/>
      <c r="Q3111" s="1300"/>
      <c r="R3111" s="1300"/>
      <c r="S3111" s="1300"/>
    </row>
    <row r="3112" spans="1:19" s="1081" customFormat="1" ht="14.4" hidden="1" outlineLevel="1">
      <c r="A3112" s="1072" t="str">
        <f>A3111</f>
        <v/>
      </c>
      <c r="B3112" s="1295"/>
      <c r="C3112" s="1291"/>
      <c r="D3112" s="1292"/>
      <c r="E3112" s="1301" t="s">
        <v>3399</v>
      </c>
      <c r="F3112" s="1302"/>
      <c r="G3112" s="1303"/>
      <c r="H3112" s="1467"/>
      <c r="I3112" s="1467"/>
      <c r="J3112" s="1467"/>
      <c r="K3112" s="1467"/>
      <c r="L3112" s="1400">
        <f t="shared" si="787"/>
        <v>0</v>
      </c>
      <c r="M3112" s="1400">
        <f t="shared" si="784"/>
        <v>0</v>
      </c>
      <c r="N3112" s="1400">
        <f t="shared" si="785"/>
        <v>0</v>
      </c>
      <c r="O3112" s="1400">
        <f t="shared" si="786"/>
        <v>0</v>
      </c>
      <c r="P3112" s="1299"/>
      <c r="Q3112" s="1300"/>
      <c r="R3112" s="1300"/>
      <c r="S3112" s="1300"/>
    </row>
    <row r="3113" spans="1:19" s="1081" customFormat="1" hidden="1" outlineLevel="1">
      <c r="A3113" s="1072" t="str">
        <f t="shared" ref="A3113:A3118" si="788">IF(G3113&lt;&gt;0,1,"")</f>
        <v/>
      </c>
      <c r="B3113" s="1068" t="s">
        <v>1626</v>
      </c>
      <c r="C3113" s="1291"/>
      <c r="D3113" s="1198">
        <v>0</v>
      </c>
      <c r="E3113" s="1243" t="str">
        <f>VLOOKUP($B3113,dongia1,DG!$C$5,)</f>
        <v>Sắt góc L75 x75 x8</v>
      </c>
      <c r="F3113" s="1198" t="s">
        <v>1557</v>
      </c>
      <c r="G3113" s="1304">
        <f>G3111*9.02*(2.6+3*0.07)*2</f>
        <v>0</v>
      </c>
      <c r="H3113" s="1399">
        <v>11500</v>
      </c>
      <c r="I3113" s="1399"/>
      <c r="J3113" s="1399">
        <v>0</v>
      </c>
      <c r="K3113" s="1399">
        <v>0</v>
      </c>
      <c r="L3113" s="1400">
        <f t="shared" si="787"/>
        <v>0</v>
      </c>
      <c r="M3113" s="1400">
        <f t="shared" si="784"/>
        <v>0</v>
      </c>
      <c r="N3113" s="1400">
        <f t="shared" si="785"/>
        <v>0</v>
      </c>
      <c r="O3113" s="1400">
        <f t="shared" si="786"/>
        <v>0</v>
      </c>
      <c r="P3113" s="1299"/>
      <c r="Q3113" s="1300"/>
      <c r="R3113" s="1300"/>
      <c r="S3113" s="1300"/>
    </row>
    <row r="3114" spans="1:19" s="1081" customFormat="1" hidden="1" outlineLevel="1">
      <c r="A3114" s="1072" t="str">
        <f t="shared" si="788"/>
        <v/>
      </c>
      <c r="B3114" s="1295" t="s">
        <v>1042</v>
      </c>
      <c r="C3114" s="1291"/>
      <c r="D3114" s="1198">
        <v>0</v>
      </c>
      <c r="E3114" s="1243" t="str">
        <f>VLOOKUP($B3114,dongia1,DG!$C$5,)</f>
        <v>Boulon 16x300VRS+ 4 long đền vuông D18-50x50x3/Zn</v>
      </c>
      <c r="F3114" s="1198" t="s">
        <v>2113</v>
      </c>
      <c r="G3114" s="1303">
        <f>G3111*2</f>
        <v>0</v>
      </c>
      <c r="H3114" s="1399">
        <v>12340</v>
      </c>
      <c r="I3114" s="1399">
        <v>0</v>
      </c>
      <c r="J3114" s="1399">
        <v>0</v>
      </c>
      <c r="K3114" s="1399">
        <v>0</v>
      </c>
      <c r="L3114" s="1400">
        <f t="shared" si="787"/>
        <v>0</v>
      </c>
      <c r="M3114" s="1400">
        <f t="shared" si="784"/>
        <v>0</v>
      </c>
      <c r="N3114" s="1400">
        <f t="shared" si="785"/>
        <v>0</v>
      </c>
      <c r="O3114" s="1400">
        <f t="shared" si="786"/>
        <v>0</v>
      </c>
      <c r="P3114" s="1299"/>
      <c r="Q3114" s="1300"/>
      <c r="R3114" s="1300"/>
      <c r="S3114" s="1300"/>
    </row>
    <row r="3115" spans="1:19" s="1081" customFormat="1" hidden="1" outlineLevel="1">
      <c r="A3115" s="1072" t="str">
        <f t="shared" si="788"/>
        <v/>
      </c>
      <c r="B3115" s="1295" t="s">
        <v>1262</v>
      </c>
      <c r="C3115" s="1291"/>
      <c r="D3115" s="1198">
        <v>0</v>
      </c>
      <c r="E3115" s="1243" t="str">
        <f>VLOOKUP($B3115,dongia1,DG!$C$5,)</f>
        <v>Boulon 16x300+ 2 long đền vuông D18-50x50x3/Zn</v>
      </c>
      <c r="F3115" s="1198" t="s">
        <v>2113</v>
      </c>
      <c r="G3115" s="1303">
        <f>G3111*2</f>
        <v>0</v>
      </c>
      <c r="H3115" s="1399">
        <v>9120</v>
      </c>
      <c r="I3115" s="1399">
        <v>0</v>
      </c>
      <c r="J3115" s="1399">
        <v>0</v>
      </c>
      <c r="K3115" s="1399">
        <v>0</v>
      </c>
      <c r="L3115" s="1400">
        <f t="shared" si="787"/>
        <v>0</v>
      </c>
      <c r="M3115" s="1400">
        <f t="shared" si="784"/>
        <v>0</v>
      </c>
      <c r="N3115" s="1400">
        <f t="shared" si="785"/>
        <v>0</v>
      </c>
      <c r="O3115" s="1400">
        <f t="shared" si="786"/>
        <v>0</v>
      </c>
      <c r="P3115" s="1299"/>
      <c r="Q3115" s="1300"/>
      <c r="R3115" s="1300"/>
      <c r="S3115" s="1300"/>
    </row>
    <row r="3116" spans="1:19" s="1081" customFormat="1" hidden="1" outlineLevel="1">
      <c r="A3116" s="1072" t="str">
        <f t="shared" si="788"/>
        <v/>
      </c>
      <c r="B3116" s="1295" t="s">
        <v>1261</v>
      </c>
      <c r="C3116" s="1291"/>
      <c r="D3116" s="1198">
        <v>0</v>
      </c>
      <c r="E3116" s="1243" t="str">
        <f>VLOOKUP($B3116,dongia1,DG!$C$5,)</f>
        <v>Boulon 16x250+ 2 long đền vuông D18-50x50x3/Zn</v>
      </c>
      <c r="F3116" s="1198" t="s">
        <v>2113</v>
      </c>
      <c r="G3116" s="1303">
        <f>G3115</f>
        <v>0</v>
      </c>
      <c r="H3116" s="1399">
        <v>9220</v>
      </c>
      <c r="I3116" s="1399">
        <v>0</v>
      </c>
      <c r="J3116" s="1399">
        <v>0</v>
      </c>
      <c r="K3116" s="1399">
        <v>0</v>
      </c>
      <c r="L3116" s="1400">
        <f t="shared" si="787"/>
        <v>0</v>
      </c>
      <c r="M3116" s="1400">
        <f t="shared" si="784"/>
        <v>0</v>
      </c>
      <c r="N3116" s="1400">
        <f t="shared" si="785"/>
        <v>0</v>
      </c>
      <c r="O3116" s="1400">
        <f t="shared" si="786"/>
        <v>0</v>
      </c>
      <c r="P3116" s="1299"/>
      <c r="Q3116" s="1300"/>
      <c r="R3116" s="1300"/>
      <c r="S3116" s="1300"/>
    </row>
    <row r="3117" spans="1:19" s="1081" customFormat="1" hidden="1" outlineLevel="1">
      <c r="A3117" s="1072" t="str">
        <f t="shared" si="788"/>
        <v/>
      </c>
      <c r="B3117" s="1295" t="s">
        <v>728</v>
      </c>
      <c r="C3117" s="1291"/>
      <c r="D3117" s="1198" t="s">
        <v>192</v>
      </c>
      <c r="E3117" s="1243" t="str">
        <f>VLOOKUP($B3117,dongia1,DG!$C$5,)</f>
        <v>Lắp xà cột Pi loại ≤140kg/xà</v>
      </c>
      <c r="F3117" s="1198" t="s">
        <v>2113</v>
      </c>
      <c r="G3117" s="1303">
        <f>G3111</f>
        <v>0</v>
      </c>
      <c r="H3117" s="1399">
        <v>0</v>
      </c>
      <c r="I3117" s="1399"/>
      <c r="J3117" s="1399" t="str">
        <f>TEXT(VLOOKUP($B3117,dongia1,DG!$G$5,),"#,###")&amp;"x"&amp;hslxh</f>
        <v>474961,x1,7</v>
      </c>
      <c r="K3117" s="1399"/>
      <c r="L3117" s="1400">
        <f t="shared" si="787"/>
        <v>0</v>
      </c>
      <c r="M3117" s="1400"/>
      <c r="N3117" s="1399">
        <f>VLOOKUP($B3117,dongia1,DG!$G$5,)*G3117*hslxh</f>
        <v>0</v>
      </c>
      <c r="O3117" s="1400"/>
      <c r="P3117" s="1299"/>
      <c r="Q3117" s="1300"/>
      <c r="R3117" s="1300"/>
      <c r="S3117" s="1300"/>
    </row>
    <row r="3118" spans="1:19" s="1081" customFormat="1" hidden="1" outlineLevel="1" collapsed="1">
      <c r="A3118" s="1072" t="str">
        <f t="shared" si="788"/>
        <v/>
      </c>
      <c r="B3118" s="1295"/>
      <c r="C3118" s="1291">
        <f>IF(G3118&gt;0,C3111+1,C3111)</f>
        <v>0</v>
      </c>
      <c r="D3118" s="1292"/>
      <c r="E3118" s="1468" t="s">
        <v>3451</v>
      </c>
      <c r="F3118" s="1291" t="s">
        <v>2113</v>
      </c>
      <c r="G3118" s="1297">
        <f>G3084*2</f>
        <v>0</v>
      </c>
      <c r="H3118" s="1298"/>
      <c r="I3118" s="1298"/>
      <c r="J3118" s="1298"/>
      <c r="K3118" s="1298"/>
      <c r="L3118" s="1298">
        <f t="shared" ref="L3118:L3142" si="789">H3118*G3118</f>
        <v>0</v>
      </c>
      <c r="M3118" s="1298">
        <f>I3118*G3118</f>
        <v>0</v>
      </c>
      <c r="N3118" s="1298">
        <f>J3118*G3118</f>
        <v>0</v>
      </c>
      <c r="O3118" s="1298">
        <f>K3118*G3118</f>
        <v>0</v>
      </c>
      <c r="P3118" s="1299"/>
      <c r="Q3118" s="1300"/>
      <c r="R3118" s="1300"/>
      <c r="S3118" s="1300"/>
    </row>
    <row r="3119" spans="1:19" s="1081" customFormat="1" ht="14.4" hidden="1" outlineLevel="1">
      <c r="A3119" s="1072" t="str">
        <f>A3118</f>
        <v/>
      </c>
      <c r="B3119" s="1295"/>
      <c r="C3119" s="1291"/>
      <c r="D3119" s="1292"/>
      <c r="E3119" s="1301" t="s">
        <v>3399</v>
      </c>
      <c r="F3119" s="1302"/>
      <c r="G3119" s="1303"/>
      <c r="H3119" s="1298"/>
      <c r="I3119" s="1298"/>
      <c r="J3119" s="1298"/>
      <c r="K3119" s="1298"/>
      <c r="L3119" s="1298">
        <f t="shared" si="789"/>
        <v>0</v>
      </c>
      <c r="M3119" s="1298">
        <f>I3119*G3119</f>
        <v>0</v>
      </c>
      <c r="N3119" s="1298">
        <f>J3119*G3119</f>
        <v>0</v>
      </c>
      <c r="O3119" s="1298">
        <f>K3119*G3119</f>
        <v>0</v>
      </c>
      <c r="P3119" s="1299"/>
      <c r="Q3119" s="1300"/>
      <c r="R3119" s="1300"/>
      <c r="S3119" s="1300"/>
    </row>
    <row r="3120" spans="1:19" s="1081" customFormat="1" hidden="1" outlineLevel="1">
      <c r="A3120" s="1072" t="str">
        <f t="shared" ref="A3120:A3126" si="790">IF(G3120&lt;&gt;0,1,"")</f>
        <v/>
      </c>
      <c r="B3120" s="1295" t="s">
        <v>1626</v>
      </c>
      <c r="C3120" s="1291"/>
      <c r="D3120" s="1198">
        <v>0</v>
      </c>
      <c r="E3120" s="1243" t="str">
        <f>VLOOKUP($B3120,dongia1,DG!$C$5,)</f>
        <v>Sắt góc L75 x75 x8</v>
      </c>
      <c r="F3120" s="1198" t="s">
        <v>1557</v>
      </c>
      <c r="G3120" s="1304">
        <f>G3118*9.02*(2.2+4*0.07)*2</f>
        <v>0</v>
      </c>
      <c r="H3120" s="1298">
        <v>11500</v>
      </c>
      <c r="I3120" s="1298"/>
      <c r="J3120" s="1298">
        <v>0</v>
      </c>
      <c r="K3120" s="1298"/>
      <c r="L3120" s="1298">
        <f t="shared" si="789"/>
        <v>0</v>
      </c>
      <c r="M3120" s="1298"/>
      <c r="N3120" s="1298"/>
      <c r="O3120" s="1298"/>
      <c r="P3120" s="1299"/>
      <c r="Q3120" s="1300"/>
      <c r="R3120" s="1300"/>
      <c r="S3120" s="1300"/>
    </row>
    <row r="3121" spans="1:19" s="1081" customFormat="1" hidden="1" outlineLevel="1">
      <c r="A3121" s="1072" t="str">
        <f t="shared" si="790"/>
        <v/>
      </c>
      <c r="B3121" s="1295" t="s">
        <v>518</v>
      </c>
      <c r="C3121" s="1291"/>
      <c r="D3121" s="1198" t="s">
        <v>2011</v>
      </c>
      <c r="E3121" s="1243" t="str">
        <f>VLOOKUP($B3121,dongia1,DG!$C$5,)</f>
        <v>Sắt góc L50 x50 x5</v>
      </c>
      <c r="F3121" s="1198" t="s">
        <v>1557</v>
      </c>
      <c r="G3121" s="1304">
        <f>G3118*3.77*0.81*4</f>
        <v>0</v>
      </c>
      <c r="H3121" s="1298">
        <v>11500</v>
      </c>
      <c r="I3121" s="1298"/>
      <c r="J3121" s="1298">
        <v>0</v>
      </c>
      <c r="K3121" s="1298"/>
      <c r="L3121" s="1298">
        <f t="shared" si="789"/>
        <v>0</v>
      </c>
      <c r="M3121" s="1298"/>
      <c r="N3121" s="1298"/>
      <c r="O3121" s="1298"/>
      <c r="P3121" s="1299"/>
      <c r="Q3121" s="1300"/>
      <c r="R3121" s="1300"/>
      <c r="S3121" s="1300"/>
    </row>
    <row r="3122" spans="1:19" s="1081" customFormat="1" hidden="1" outlineLevel="1">
      <c r="A3122" s="1072" t="str">
        <f t="shared" si="790"/>
        <v/>
      </c>
      <c r="B3122" s="1295" t="s">
        <v>1262</v>
      </c>
      <c r="C3122" s="1291"/>
      <c r="D3122" s="1198">
        <v>0</v>
      </c>
      <c r="E3122" s="1243" t="str">
        <f>VLOOKUP($B3122,dongia1,DG!$C$5,)</f>
        <v>Boulon 16x300+ 2 long đền vuông D18-50x50x3/Zn</v>
      </c>
      <c r="F3122" s="1198" t="s">
        <v>2113</v>
      </c>
      <c r="G3122" s="1303">
        <f>G3118*2</f>
        <v>0</v>
      </c>
      <c r="H3122" s="1298">
        <v>9120</v>
      </c>
      <c r="I3122" s="1298">
        <v>0</v>
      </c>
      <c r="J3122" s="1298">
        <v>0</v>
      </c>
      <c r="K3122" s="1298"/>
      <c r="L3122" s="1298">
        <f t="shared" si="789"/>
        <v>0</v>
      </c>
      <c r="M3122" s="1298"/>
      <c r="N3122" s="1298"/>
      <c r="O3122" s="1298"/>
      <c r="P3122" s="1299"/>
      <c r="Q3122" s="1300"/>
      <c r="R3122" s="1300"/>
      <c r="S3122" s="1300"/>
    </row>
    <row r="3123" spans="1:19" s="1081" customFormat="1" hidden="1" outlineLevel="1">
      <c r="A3123" s="1072" t="str">
        <f t="shared" si="790"/>
        <v/>
      </c>
      <c r="B3123" s="1295" t="s">
        <v>1044</v>
      </c>
      <c r="C3123" s="1291"/>
      <c r="D3123" s="1198">
        <v>0</v>
      </c>
      <c r="E3123" s="1243" t="str">
        <f>VLOOKUP($B3123,dongia1,DG!$C$5,)</f>
        <v>Boulon 16x50+ 2 long đền vuông D18-50x50x3/Zn</v>
      </c>
      <c r="F3123" s="1198" t="s">
        <v>2113</v>
      </c>
      <c r="G3123" s="1303">
        <f>G3118*4</f>
        <v>0</v>
      </c>
      <c r="H3123" s="1298">
        <v>4620</v>
      </c>
      <c r="I3123" s="1298">
        <v>0</v>
      </c>
      <c r="J3123" s="1298">
        <v>0</v>
      </c>
      <c r="K3123" s="1298"/>
      <c r="L3123" s="1298">
        <f t="shared" si="789"/>
        <v>0</v>
      </c>
      <c r="M3123" s="1298"/>
      <c r="N3123" s="1298"/>
      <c r="O3123" s="1298"/>
      <c r="P3123" s="1299"/>
      <c r="Q3123" s="1300"/>
      <c r="R3123" s="1300"/>
      <c r="S3123" s="1300"/>
    </row>
    <row r="3124" spans="1:19" s="1081" customFormat="1" hidden="1" outlineLevel="1">
      <c r="A3124" s="1072" t="str">
        <f t="shared" si="790"/>
        <v/>
      </c>
      <c r="B3124" s="1295" t="s">
        <v>1042</v>
      </c>
      <c r="C3124" s="1291"/>
      <c r="D3124" s="1198">
        <v>0</v>
      </c>
      <c r="E3124" s="1243" t="str">
        <f>VLOOKUP($B3124,dongia1,DG!$C$5,)</f>
        <v>Boulon 16x300VRS+ 4 long đền vuông D18-50x50x3/Zn</v>
      </c>
      <c r="F3124" s="1198" t="s">
        <v>2113</v>
      </c>
      <c r="G3124" s="1303">
        <f>G3118*4</f>
        <v>0</v>
      </c>
      <c r="H3124" s="1298">
        <v>12340</v>
      </c>
      <c r="I3124" s="1298">
        <v>0</v>
      </c>
      <c r="J3124" s="1298">
        <v>0</v>
      </c>
      <c r="K3124" s="1298">
        <v>0</v>
      </c>
      <c r="L3124" s="1298">
        <f t="shared" si="789"/>
        <v>0</v>
      </c>
      <c r="M3124" s="1298">
        <f>I3124*G3124</f>
        <v>0</v>
      </c>
      <c r="N3124" s="1298">
        <f>J3124*G3124</f>
        <v>0</v>
      </c>
      <c r="O3124" s="1298">
        <f>K3124*G3124</f>
        <v>0</v>
      </c>
      <c r="P3124" s="1299"/>
      <c r="Q3124" s="1300"/>
      <c r="R3124" s="1300"/>
      <c r="S3124" s="1300"/>
    </row>
    <row r="3125" spans="1:19" s="1081" customFormat="1" hidden="1" outlineLevel="1">
      <c r="A3125" s="1072" t="str">
        <f t="shared" si="790"/>
        <v/>
      </c>
      <c r="B3125" s="1295" t="s">
        <v>813</v>
      </c>
      <c r="C3125" s="1291"/>
      <c r="D3125" s="1198" t="s">
        <v>836</v>
      </c>
      <c r="E3125" s="1243" t="str">
        <f>VLOOKUP($B3125,dongia1,DG!$C$5,)</f>
        <v>Lắp xà đỡ 50kg</v>
      </c>
      <c r="F3125" s="1198" t="s">
        <v>2113</v>
      </c>
      <c r="G3125" s="1303">
        <f>G3118</f>
        <v>0</v>
      </c>
      <c r="H3125" s="1298">
        <v>0</v>
      </c>
      <c r="I3125" s="1298"/>
      <c r="J3125" s="1298" t="str">
        <f>TEXT(VLOOKUP($B3125,dongia1,DG!$G$5,),"#,###")&amp;"x"&amp;hslx</f>
        <v>296544,75x1,5</v>
      </c>
      <c r="K3125" s="1298"/>
      <c r="L3125" s="1298">
        <f t="shared" si="789"/>
        <v>0</v>
      </c>
      <c r="M3125" s="1298"/>
      <c r="N3125" s="1298">
        <f>VLOOKUP($B3125,dongia1,DG!$G$5,)*hslxh*G3125</f>
        <v>0</v>
      </c>
      <c r="O3125" s="1298"/>
      <c r="P3125" s="1299"/>
      <c r="Q3125" s="1300"/>
      <c r="R3125" s="1300"/>
      <c r="S3125" s="1300"/>
    </row>
    <row r="3126" spans="1:19" s="1081" customFormat="1" hidden="1" outlineLevel="1">
      <c r="A3126" s="1072" t="str">
        <f t="shared" si="790"/>
        <v/>
      </c>
      <c r="B3126" s="1295"/>
      <c r="C3126" s="1291">
        <f>IF(G3126&gt;0,C3118+1,C3118)</f>
        <v>0</v>
      </c>
      <c r="D3126" s="1292"/>
      <c r="E3126" s="1468" t="s">
        <v>3458</v>
      </c>
      <c r="F3126" s="1291" t="s">
        <v>2113</v>
      </c>
      <c r="G3126" s="1297">
        <f>G3084*2</f>
        <v>0</v>
      </c>
      <c r="H3126" s="1298"/>
      <c r="I3126" s="1298"/>
      <c r="J3126" s="1298"/>
      <c r="K3126" s="1298"/>
      <c r="L3126" s="1298">
        <f t="shared" si="789"/>
        <v>0</v>
      </c>
      <c r="M3126" s="1298">
        <f>I3126*G3126</f>
        <v>0</v>
      </c>
      <c r="N3126" s="1298">
        <f>J3126*G3126</f>
        <v>0</v>
      </c>
      <c r="O3126" s="1298">
        <f>K3126*G3126</f>
        <v>0</v>
      </c>
      <c r="P3126" s="1299"/>
      <c r="Q3126" s="1300"/>
      <c r="R3126" s="1300"/>
      <c r="S3126" s="1300"/>
    </row>
    <row r="3127" spans="1:19" s="1081" customFormat="1" ht="14.4" hidden="1" outlineLevel="1">
      <c r="A3127" s="1072" t="str">
        <f>A3126</f>
        <v/>
      </c>
      <c r="B3127" s="1295"/>
      <c r="C3127" s="1291"/>
      <c r="D3127" s="1292"/>
      <c r="E3127" s="1301" t="s">
        <v>3399</v>
      </c>
      <c r="F3127" s="1302"/>
      <c r="G3127" s="1303"/>
      <c r="H3127" s="1298"/>
      <c r="I3127" s="1298"/>
      <c r="J3127" s="1298"/>
      <c r="K3127" s="1298"/>
      <c r="L3127" s="1298">
        <f t="shared" si="789"/>
        <v>0</v>
      </c>
      <c r="M3127" s="1298">
        <f>I3127*G3127</f>
        <v>0</v>
      </c>
      <c r="N3127" s="1298">
        <f>J3127*G3127</f>
        <v>0</v>
      </c>
      <c r="O3127" s="1298">
        <f>K3127*G3127</f>
        <v>0</v>
      </c>
      <c r="P3127" s="1299"/>
      <c r="Q3127" s="1300"/>
      <c r="R3127" s="1300"/>
      <c r="S3127" s="1300"/>
    </row>
    <row r="3128" spans="1:19" s="1081" customFormat="1" hidden="1" outlineLevel="1">
      <c r="A3128" s="1072" t="str">
        <f t="shared" ref="A3128:A3134" si="791">IF(G3128&lt;&gt;0,1,"")</f>
        <v/>
      </c>
      <c r="B3128" s="1295" t="s">
        <v>1626</v>
      </c>
      <c r="C3128" s="1291"/>
      <c r="D3128" s="1198">
        <v>0</v>
      </c>
      <c r="E3128" s="1243" t="str">
        <f>VLOOKUP($B3128,dongia1,DG!$C$5,)</f>
        <v>Sắt góc L75 x75 x8</v>
      </c>
      <c r="F3128" s="1198" t="s">
        <v>1557</v>
      </c>
      <c r="G3128" s="1304">
        <f>G3126*9.02*(2.2+4*0.07)</f>
        <v>0</v>
      </c>
      <c r="H3128" s="1298">
        <f>VLOOKUP($B3128,dongia1,DG!$F$5,)</f>
        <v>31625</v>
      </c>
      <c r="I3128" s="1298"/>
      <c r="J3128" s="1298">
        <v>0</v>
      </c>
      <c r="K3128" s="1298"/>
      <c r="L3128" s="1298">
        <f t="shared" si="789"/>
        <v>0</v>
      </c>
      <c r="M3128" s="1298"/>
      <c r="N3128" s="1298"/>
      <c r="O3128" s="1298"/>
      <c r="P3128" s="1299"/>
      <c r="Q3128" s="1300"/>
      <c r="R3128" s="1300"/>
      <c r="S3128" s="1300"/>
    </row>
    <row r="3129" spans="1:19" s="1081" customFormat="1" hidden="1" outlineLevel="1">
      <c r="A3129" s="1072" t="str">
        <f t="shared" si="791"/>
        <v/>
      </c>
      <c r="B3129" s="1295" t="s">
        <v>518</v>
      </c>
      <c r="C3129" s="1291"/>
      <c r="D3129" s="1198">
        <v>0</v>
      </c>
      <c r="E3129" s="1243" t="str">
        <f>VLOOKUP($B3129,dongia1,DG!$C$5,)</f>
        <v>Sắt góc L50 x50 x5</v>
      </c>
      <c r="F3129" s="1198" t="s">
        <v>1557</v>
      </c>
      <c r="G3129" s="1304">
        <f>G3126*3.77*0.81*2</f>
        <v>0</v>
      </c>
      <c r="H3129" s="1298">
        <f>VLOOKUP($B3129,dongia1,DG!$F$5,)</f>
        <v>31625</v>
      </c>
      <c r="I3129" s="1298"/>
      <c r="J3129" s="1298">
        <v>0</v>
      </c>
      <c r="K3129" s="1298"/>
      <c r="L3129" s="1298">
        <f t="shared" si="789"/>
        <v>0</v>
      </c>
      <c r="M3129" s="1298"/>
      <c r="N3129" s="1298"/>
      <c r="O3129" s="1298"/>
      <c r="P3129" s="1299"/>
      <c r="Q3129" s="1300"/>
      <c r="R3129" s="1300"/>
      <c r="S3129" s="1300"/>
    </row>
    <row r="3130" spans="1:19" s="1081" customFormat="1" hidden="1" outlineLevel="1">
      <c r="A3130" s="1072" t="str">
        <f t="shared" si="791"/>
        <v/>
      </c>
      <c r="B3130" s="1295" t="s">
        <v>733</v>
      </c>
      <c r="C3130" s="1291"/>
      <c r="D3130" s="1198">
        <v>0</v>
      </c>
      <c r="E3130" s="1243" t="str">
        <f>VLOOKUP($B3130,dongia1,DG!$C$5,)</f>
        <v>Boulon 16x350+ 2 long đền vuông D18-50x50x3/Zn</v>
      </c>
      <c r="F3130" s="1198" t="s">
        <v>2113</v>
      </c>
      <c r="G3130" s="1303">
        <f>G3126*2</f>
        <v>0</v>
      </c>
      <c r="H3130" s="1298">
        <f>VLOOKUP($B3130,dongia1,DG!$F$5,)</f>
        <v>27900</v>
      </c>
      <c r="I3130" s="1298">
        <v>0</v>
      </c>
      <c r="J3130" s="1298">
        <v>0</v>
      </c>
      <c r="K3130" s="1298"/>
      <c r="L3130" s="1298">
        <f t="shared" si="789"/>
        <v>0</v>
      </c>
      <c r="M3130" s="1298"/>
      <c r="N3130" s="1298"/>
      <c r="O3130" s="1298"/>
      <c r="P3130" s="1299"/>
      <c r="Q3130" s="1300"/>
      <c r="R3130" s="1300"/>
      <c r="S3130" s="1300"/>
    </row>
    <row r="3131" spans="1:19" s="1081" customFormat="1" hidden="1" outlineLevel="1">
      <c r="A3131" s="1072" t="str">
        <f t="shared" si="791"/>
        <v/>
      </c>
      <c r="B3131" s="1295" t="s">
        <v>1044</v>
      </c>
      <c r="C3131" s="1291"/>
      <c r="D3131" s="1198">
        <v>0</v>
      </c>
      <c r="E3131" s="1243" t="str">
        <f>VLOOKUP($B3131,dongia1,DG!$C$5,)</f>
        <v>Boulon 16x50+ 2 long đền vuông D18-50x50x3/Zn</v>
      </c>
      <c r="F3131" s="1198" t="s">
        <v>2113</v>
      </c>
      <c r="G3131" s="1303">
        <f>G3126*2</f>
        <v>0</v>
      </c>
      <c r="H3131" s="1298">
        <f>VLOOKUP($B3131,dongia1,DG!$F$5,)</f>
        <v>12400</v>
      </c>
      <c r="I3131" s="1298">
        <v>0</v>
      </c>
      <c r="J3131" s="1298">
        <v>0</v>
      </c>
      <c r="K3131" s="1298"/>
      <c r="L3131" s="1298">
        <f t="shared" si="789"/>
        <v>0</v>
      </c>
      <c r="M3131" s="1298"/>
      <c r="N3131" s="1298"/>
      <c r="O3131" s="1298"/>
      <c r="P3131" s="1299"/>
      <c r="Q3131" s="1300"/>
      <c r="R3131" s="1300"/>
      <c r="S3131" s="1300"/>
    </row>
    <row r="3132" spans="1:19" s="1081" customFormat="1" hidden="1" outlineLevel="1">
      <c r="A3132" s="1072" t="str">
        <f t="shared" si="791"/>
        <v/>
      </c>
      <c r="B3132" s="1295" t="s">
        <v>1761</v>
      </c>
      <c r="C3132" s="1291"/>
      <c r="D3132" s="1198">
        <v>0</v>
      </c>
      <c r="E3132" s="1243" t="str">
        <f>VLOOKUP($B3132,dongia1,DG!$C$5,)</f>
        <v>Cổ dê bắt xà 80x6</v>
      </c>
      <c r="F3132" s="1198" t="s">
        <v>2113</v>
      </c>
      <c r="G3132" s="1303">
        <f>G3126/3</f>
        <v>0</v>
      </c>
      <c r="H3132" s="1298">
        <f>VLOOKUP($B3132,dongia1,DG!$F$5,)</f>
        <v>178900</v>
      </c>
      <c r="I3132" s="1298">
        <v>0</v>
      </c>
      <c r="J3132" s="1298">
        <f>VLOOKUP($B3132,dongia1,DG!$G$5,)</f>
        <v>0</v>
      </c>
      <c r="K3132" s="1298"/>
      <c r="L3132" s="1298">
        <f t="shared" si="789"/>
        <v>0</v>
      </c>
      <c r="M3132" s="1298"/>
      <c r="N3132" s="1298"/>
      <c r="O3132" s="1298"/>
      <c r="P3132" s="1299"/>
      <c r="Q3132" s="1300"/>
      <c r="R3132" s="1300"/>
      <c r="S3132" s="1300"/>
    </row>
    <row r="3133" spans="1:19" s="1081" customFormat="1" hidden="1" outlineLevel="1">
      <c r="A3133" s="1072" t="str">
        <f t="shared" si="791"/>
        <v/>
      </c>
      <c r="B3133" s="1295" t="s">
        <v>534</v>
      </c>
      <c r="C3133" s="1291"/>
      <c r="D3133" s="1198" t="s">
        <v>940</v>
      </c>
      <c r="E3133" s="1243" t="str">
        <f>VLOOKUP($B3133,dongia1,DG!$C$5,)</f>
        <v>Lắp xà đỡ 25kg</v>
      </c>
      <c r="F3133" s="1198" t="s">
        <v>2113</v>
      </c>
      <c r="G3133" s="1303">
        <f>G3126</f>
        <v>0</v>
      </c>
      <c r="H3133" s="1298">
        <v>0</v>
      </c>
      <c r="I3133" s="1298"/>
      <c r="J3133" s="1298" t="str">
        <f>TEXT(VLOOKUP($B3133,dongia1,DG!$G$5,),"#,###")&amp;"x"&amp;hslx</f>
        <v>219185,25x1,5</v>
      </c>
      <c r="K3133" s="1298"/>
      <c r="L3133" s="1298">
        <f t="shared" si="789"/>
        <v>0</v>
      </c>
      <c r="M3133" s="1298"/>
      <c r="N3133" s="1298">
        <f>VLOOKUP($B3133,dongia1,DG!$G$5,)*hslxh*G3133</f>
        <v>0</v>
      </c>
      <c r="O3133" s="1298"/>
      <c r="P3133" s="1299"/>
      <c r="Q3133" s="1300"/>
      <c r="R3133" s="1300"/>
      <c r="S3133" s="1300"/>
    </row>
    <row r="3134" spans="1:19" s="1081" customFormat="1" hidden="1" outlineLevel="1">
      <c r="A3134" s="1072" t="str">
        <f t="shared" si="791"/>
        <v/>
      </c>
      <c r="B3134" s="1295"/>
      <c r="C3134" s="1291">
        <f>IF(G3134&gt;0,C3126+1,C3126)</f>
        <v>0</v>
      </c>
      <c r="D3134" s="1292"/>
      <c r="E3134" s="1468" t="s">
        <v>3402</v>
      </c>
      <c r="F3134" s="1291" t="s">
        <v>2113</v>
      </c>
      <c r="G3134" s="1297">
        <f>G3084</f>
        <v>0</v>
      </c>
      <c r="H3134" s="1298"/>
      <c r="I3134" s="1298"/>
      <c r="J3134" s="1298"/>
      <c r="K3134" s="1298"/>
      <c r="L3134" s="1298">
        <f t="shared" si="789"/>
        <v>0</v>
      </c>
      <c r="M3134" s="1298">
        <f>I3134*G3134</f>
        <v>0</v>
      </c>
      <c r="N3134" s="1298">
        <f t="shared" ref="N3134:N3142" si="792">J3134*G3134</f>
        <v>0</v>
      </c>
      <c r="O3134" s="1298">
        <f>K3134*G3134</f>
        <v>0</v>
      </c>
      <c r="P3134" s="1299"/>
      <c r="Q3134" s="1300"/>
      <c r="R3134" s="1300"/>
      <c r="S3134" s="1300"/>
    </row>
    <row r="3135" spans="1:19" s="1081" customFormat="1" ht="14.4" hidden="1" outlineLevel="1">
      <c r="A3135" s="1072" t="str">
        <f>A3134</f>
        <v/>
      </c>
      <c r="B3135" s="1469"/>
      <c r="C3135" s="1291"/>
      <c r="D3135" s="1292"/>
      <c r="E3135" s="1301" t="s">
        <v>3407</v>
      </c>
      <c r="F3135" s="1302"/>
      <c r="G3135" s="1303"/>
      <c r="H3135" s="1298"/>
      <c r="I3135" s="1298"/>
      <c r="J3135" s="1298"/>
      <c r="K3135" s="1298"/>
      <c r="L3135" s="1298">
        <f t="shared" si="789"/>
        <v>0</v>
      </c>
      <c r="M3135" s="1298">
        <f>I3135*G3135</f>
        <v>0</v>
      </c>
      <c r="N3135" s="1298">
        <f t="shared" si="792"/>
        <v>0</v>
      </c>
      <c r="O3135" s="1298">
        <f>K3135*G3135</f>
        <v>0</v>
      </c>
      <c r="P3135" s="1299"/>
      <c r="Q3135" s="1300"/>
      <c r="R3135" s="1300"/>
      <c r="S3135" s="1300"/>
    </row>
    <row r="3136" spans="1:19" s="1081" customFormat="1" hidden="1" outlineLevel="1">
      <c r="A3136" s="1072" t="str">
        <f t="shared" ref="A3136:A3142" si="793">IF(G3136&lt;&gt;0,1,"")</f>
        <v/>
      </c>
      <c r="B3136" s="1295" t="s">
        <v>1200</v>
      </c>
      <c r="C3136" s="1291"/>
      <c r="D3136" s="1198">
        <f>VLOOKUP($B3136,dongia1,DG!$B$5,)</f>
        <v>0</v>
      </c>
      <c r="E3136" s="1243" t="str">
        <f>VLOOKUP($B3136,dongia1,DG!$C$5,)</f>
        <v>Cáp đồng trần M25mm2</v>
      </c>
      <c r="F3136" s="1198" t="str">
        <f>VLOOKUP($B3136,dongia1,DG!$D$5,)</f>
        <v>kg</v>
      </c>
      <c r="G3136" s="1304">
        <f>H3*0.224*G3134</f>
        <v>0</v>
      </c>
      <c r="H3136" s="1298">
        <f>VLOOKUP($B3136,dongia1,DG!$F$5,)</f>
        <v>255500</v>
      </c>
      <c r="I3136" s="1298"/>
      <c r="J3136" s="1298">
        <f>VLOOKUP($B3136,dongia1,DG!$G$5,)</f>
        <v>0</v>
      </c>
      <c r="K3136" s="1298">
        <f>VLOOKUP($B3136,dongia1,DG!$H$5,)</f>
        <v>0</v>
      </c>
      <c r="L3136" s="1298">
        <f t="shared" si="789"/>
        <v>0</v>
      </c>
      <c r="M3136" s="1298">
        <f>I3136*G3136</f>
        <v>0</v>
      </c>
      <c r="N3136" s="1298">
        <f t="shared" si="792"/>
        <v>0</v>
      </c>
      <c r="O3136" s="1298">
        <f>K3136*G3136</f>
        <v>0</v>
      </c>
      <c r="P3136" s="1299"/>
      <c r="Q3136" s="1300"/>
      <c r="R3136" s="1300"/>
      <c r="S3136" s="1300"/>
    </row>
    <row r="3137" spans="1:19" s="1081" customFormat="1" hidden="1" outlineLevel="1">
      <c r="A3137" s="1072" t="str">
        <f t="shared" si="793"/>
        <v/>
      </c>
      <c r="B3137" s="1068" t="s">
        <v>1098</v>
      </c>
      <c r="C3137" s="1291"/>
      <c r="D3137" s="1198">
        <f>VLOOKUP($B3137,dongia1,DG!$B$5,)</f>
        <v>0</v>
      </c>
      <c r="E3137" s="1243" t="str">
        <f>VLOOKUP($B3137,dongia1,DG!$C$5,)</f>
        <v>Cọc tiếp đất Þ 16- 2,4m + kẹp cọc</v>
      </c>
      <c r="F3137" s="1198" t="str">
        <f>VLOOKUP($B3137,dongia1,DG!$D$5,)</f>
        <v>bộ</v>
      </c>
      <c r="G3137" s="1303">
        <f>(H2+L3)*G3134</f>
        <v>0</v>
      </c>
      <c r="H3137" s="1298">
        <f>VLOOKUP($B3137,dongia1,DG!$F$5,)</f>
        <v>160000</v>
      </c>
      <c r="I3137" s="1298"/>
      <c r="J3137" s="1298">
        <f>VLOOKUP($B3137,dongia1,DG!$G$5,)</f>
        <v>0</v>
      </c>
      <c r="K3137" s="1298">
        <f>VLOOKUP($B3137,dongia1,DG!$H$5,)</f>
        <v>0</v>
      </c>
      <c r="L3137" s="1298">
        <f t="shared" si="789"/>
        <v>0</v>
      </c>
      <c r="M3137" s="1298">
        <f>I3137*G3137</f>
        <v>0</v>
      </c>
      <c r="N3137" s="1298">
        <f t="shared" si="792"/>
        <v>0</v>
      </c>
      <c r="O3137" s="1298">
        <f>K3137*G3137</f>
        <v>0</v>
      </c>
      <c r="P3137" s="1299"/>
      <c r="Q3137" s="1300"/>
      <c r="R3137" s="1300"/>
      <c r="S3137" s="1300"/>
    </row>
    <row r="3138" spans="1:19" s="1081" customFormat="1" hidden="1" outlineLevel="1">
      <c r="A3138" s="1072" t="str">
        <f>IF(G3138&lt;&gt;0,1,"")</f>
        <v/>
      </c>
      <c r="B3138" s="1068" t="s">
        <v>211</v>
      </c>
      <c r="C3138" s="1291"/>
      <c r="D3138" s="1198">
        <f>VLOOKUP($B3138,dongia1,DG!$B$5,)</f>
        <v>0</v>
      </c>
      <c r="E3138" s="1243" t="str">
        <f>VLOOKUP($B3138,dongia1,DG!$C$5,)</f>
        <v>Khoan giếng tiếp địa</v>
      </c>
      <c r="F3138" s="1198" t="str">
        <f>VLOOKUP($B3138,dongia1,DG!$D$5,)</f>
        <v>Cái</v>
      </c>
      <c r="G3138" s="1303">
        <f>G3134*$L$3</f>
        <v>0</v>
      </c>
      <c r="H3138" s="1298">
        <f>VLOOKUP($B3138,dongia1,DG!$F$5,)</f>
        <v>0</v>
      </c>
      <c r="I3138" s="1298"/>
      <c r="J3138" s="1298">
        <f>VLOOKUP($B3138,dongia1,DG!$G$5,)</f>
        <v>1500000</v>
      </c>
      <c r="K3138" s="1298">
        <f>VLOOKUP($B3138,dongia1,DG!$H$5,)</f>
        <v>0</v>
      </c>
      <c r="L3138" s="1298">
        <f>H3138*G3138</f>
        <v>0</v>
      </c>
      <c r="M3138" s="1298">
        <f>I3138*G3138</f>
        <v>0</v>
      </c>
      <c r="N3138" s="1298">
        <f>J3138*G3138</f>
        <v>0</v>
      </c>
      <c r="O3138" s="1298">
        <f>K3138*G3138</f>
        <v>0</v>
      </c>
      <c r="P3138" s="1299"/>
      <c r="Q3138" s="1300"/>
      <c r="R3138" s="1300"/>
      <c r="S3138" s="1300"/>
    </row>
    <row r="3139" spans="1:19" s="1081" customFormat="1" hidden="1" outlineLevel="1">
      <c r="A3139" s="1072" t="str">
        <f>IF(G3139&lt;&gt;0,1,"")</f>
        <v/>
      </c>
      <c r="B3139" s="1470" t="s">
        <v>205</v>
      </c>
      <c r="C3139" s="1291"/>
      <c r="D3139" s="1198">
        <f>VLOOKUP($B3139,dongia1,DG!$B$5,)</f>
        <v>0</v>
      </c>
      <c r="E3139" s="1243" t="str">
        <f>VLOOKUP($B3139,dongia1,DG!$C$5,)</f>
        <v>Kẹp ép WR cỡ dây 50mm2</v>
      </c>
      <c r="F3139" s="1198" t="str">
        <f>VLOOKUP($B3139,dongia1,DG!$D$5,)</f>
        <v>cái</v>
      </c>
      <c r="G3139" s="1303">
        <f>2*G3134*0</f>
        <v>0</v>
      </c>
      <c r="H3139" s="1298">
        <f>VLOOKUP($B3139,dongia1,DG!$F$5,)</f>
        <v>8000</v>
      </c>
      <c r="I3139" s="1298"/>
      <c r="J3139" s="1298">
        <f>VLOOKUP($B3139,dongia1,DG!$G$5,)</f>
        <v>0</v>
      </c>
      <c r="K3139" s="1298"/>
      <c r="L3139" s="1298">
        <f t="shared" si="789"/>
        <v>0</v>
      </c>
      <c r="M3139" s="1298"/>
      <c r="N3139" s="1298">
        <f t="shared" si="792"/>
        <v>0</v>
      </c>
      <c r="O3139" s="1298"/>
      <c r="P3139" s="1299"/>
      <c r="Q3139" s="1300"/>
      <c r="R3139" s="1300"/>
      <c r="S3139" s="1300"/>
    </row>
    <row r="3140" spans="1:19" s="1081" customFormat="1" hidden="1" outlineLevel="1">
      <c r="A3140" s="1072" t="str">
        <f t="shared" si="793"/>
        <v/>
      </c>
      <c r="B3140" s="1470" t="s">
        <v>903</v>
      </c>
      <c r="C3140" s="1291"/>
      <c r="D3140" s="1198">
        <f>VLOOKUP($B3140,dongia1,DG!$B$5,)</f>
        <v>0</v>
      </c>
      <c r="E3140" s="1243" t="str">
        <f>VLOOKUP($B3140,dongia1,DG!$C$5,)</f>
        <v>Ốc xiết cáp cỡ 25mm2</v>
      </c>
      <c r="F3140" s="1198" t="str">
        <f>VLOOKUP($B3140,dongia1,DG!$D$5,)</f>
        <v>cái</v>
      </c>
      <c r="G3140" s="1303">
        <f>IF(G3137&lt;=12,15,21)*G3134</f>
        <v>0</v>
      </c>
      <c r="H3140" s="1298">
        <f>VLOOKUP($B3140,dongia1,DG!$F$5,)</f>
        <v>17600</v>
      </c>
      <c r="I3140" s="1298"/>
      <c r="J3140" s="1298">
        <f>VLOOKUP($B3140,dongia1,DG!$G$5,)</f>
        <v>0</v>
      </c>
      <c r="K3140" s="1298"/>
      <c r="L3140" s="1298">
        <f t="shared" si="789"/>
        <v>0</v>
      </c>
      <c r="M3140" s="1298">
        <f>I3140*G3140</f>
        <v>0</v>
      </c>
      <c r="N3140" s="1298">
        <f t="shared" si="792"/>
        <v>0</v>
      </c>
      <c r="O3140" s="1298">
        <f>K3140*G3140</f>
        <v>0</v>
      </c>
      <c r="P3140" s="1299"/>
      <c r="Q3140" s="1300"/>
      <c r="R3140" s="1300"/>
      <c r="S3140" s="1300"/>
    </row>
    <row r="3141" spans="1:19" s="1081" customFormat="1" hidden="1" outlineLevel="1">
      <c r="A3141" s="1072" t="str">
        <f t="shared" si="793"/>
        <v/>
      </c>
      <c r="B3141" s="1068" t="s">
        <v>1490</v>
      </c>
      <c r="C3141" s="1291"/>
      <c r="D3141" s="1198">
        <f>VLOOKUP($B3141,dongia1,DG!$B$5,)</f>
        <v>0</v>
      </c>
      <c r="E3141" s="1243" t="str">
        <f>VLOOKUP($B3141,dongia1,DG!$C$5,)</f>
        <v>Cổ dê kẹp ống PVC (STK) Þ 21</v>
      </c>
      <c r="F3141" s="1198" t="str">
        <f>VLOOKUP($B3141,dongia1,DG!$D$5,)</f>
        <v>bộ</v>
      </c>
      <c r="G3141" s="1303">
        <f>G3134*2</f>
        <v>0</v>
      </c>
      <c r="H3141" s="1298">
        <f>VLOOKUP($B3141,dongia1,DG!$F$5,)</f>
        <v>43000</v>
      </c>
      <c r="I3141" s="1298"/>
      <c r="J3141" s="1298">
        <f>VLOOKUP($B3141,dongia1,DG!$G$5,)</f>
        <v>0</v>
      </c>
      <c r="K3141" s="1298">
        <f>VLOOKUP($B3141,dongia1,DG!$H$5,)</f>
        <v>0</v>
      </c>
      <c r="L3141" s="1298">
        <f t="shared" si="789"/>
        <v>0</v>
      </c>
      <c r="M3141" s="1298">
        <f>I3141*G3141</f>
        <v>0</v>
      </c>
      <c r="N3141" s="1298">
        <f t="shared" si="792"/>
        <v>0</v>
      </c>
      <c r="O3141" s="1298">
        <f>K3141*G3141</f>
        <v>0</v>
      </c>
      <c r="P3141" s="1299"/>
      <c r="Q3141" s="1300"/>
      <c r="R3141" s="1300"/>
      <c r="S3141" s="1300"/>
    </row>
    <row r="3142" spans="1:19" s="1081" customFormat="1" hidden="1" outlineLevel="1">
      <c r="A3142" s="1072" t="str">
        <f t="shared" si="793"/>
        <v/>
      </c>
      <c r="B3142" s="1068" t="s">
        <v>2040</v>
      </c>
      <c r="C3142" s="1291"/>
      <c r="D3142" s="1198">
        <f>VLOOKUP($B3142,dongia1,DG!$B$5,)</f>
        <v>0</v>
      </c>
      <c r="E3142" s="1243" t="str">
        <f>VLOOKUP($B3142,dongia1,DG!$C$5,)</f>
        <v xml:space="preserve">Ống PVC D21x1,6mm </v>
      </c>
      <c r="F3142" s="1198" t="str">
        <f>VLOOKUP($B3142,dongia1,DG!$D$5,)</f>
        <v>m</v>
      </c>
      <c r="G3142" s="1303">
        <f>G3134*3</f>
        <v>0</v>
      </c>
      <c r="H3142" s="1298">
        <f>VLOOKUP($B3142,dongia1,DG!$F$5,)</f>
        <v>6200</v>
      </c>
      <c r="I3142" s="1298"/>
      <c r="J3142" s="1298">
        <f>VLOOKUP($B3142,dongia1,DG!$G$5,)</f>
        <v>0</v>
      </c>
      <c r="K3142" s="1298">
        <f>VLOOKUP($B3142,dongia1,DG!$H$5,)</f>
        <v>0</v>
      </c>
      <c r="L3142" s="1298">
        <f t="shared" si="789"/>
        <v>0</v>
      </c>
      <c r="M3142" s="1298">
        <f>I3142*G3142</f>
        <v>0</v>
      </c>
      <c r="N3142" s="1298">
        <f t="shared" si="792"/>
        <v>0</v>
      </c>
      <c r="O3142" s="1298">
        <f>K3142*G3142</f>
        <v>0</v>
      </c>
      <c r="P3142" s="1299"/>
      <c r="Q3142" s="1300"/>
      <c r="R3142" s="1300"/>
      <c r="S3142" s="1300"/>
    </row>
    <row r="3143" spans="1:19" s="1081" customFormat="1" hidden="1" outlineLevel="1">
      <c r="A3143" s="1072">
        <f>IF(G3143=0,0,1)</f>
        <v>0</v>
      </c>
      <c r="B3143" s="1068" t="s">
        <v>665</v>
      </c>
      <c r="C3143" s="1302"/>
      <c r="D3143" s="1198" t="str">
        <f>VLOOKUP($B3143,dongia1,DG!$B$5,)</f>
        <v>AB.11513</v>
      </c>
      <c r="E3143" s="1243" t="str">
        <f>VLOOKUP($B3143,dongia1,DG!$C$5,)</f>
        <v>Đào rãnh tiếp địa đất cấp 3</v>
      </c>
      <c r="F3143" s="1555" t="s">
        <v>805</v>
      </c>
      <c r="G3143" s="1472">
        <f>H4*G3134</f>
        <v>0</v>
      </c>
      <c r="H3143" s="1298">
        <f>VLOOKUP($B3143,dongia1,DG!$F$5,)</f>
        <v>0</v>
      </c>
      <c r="I3143" s="1298"/>
      <c r="J3143" s="1298">
        <f>VLOOKUP($B3143,dongia1,DG!$G$5,)</f>
        <v>283749.75</v>
      </c>
      <c r="K3143" s="1298">
        <v>0</v>
      </c>
      <c r="L3143" s="1298">
        <f t="shared" ref="L3143:O3144" si="794">H3143*$G3143</f>
        <v>0</v>
      </c>
      <c r="M3143" s="1298">
        <f t="shared" si="794"/>
        <v>0</v>
      </c>
      <c r="N3143" s="1298">
        <f t="shared" si="794"/>
        <v>0</v>
      </c>
      <c r="O3143" s="1298">
        <f t="shared" si="794"/>
        <v>0</v>
      </c>
      <c r="P3143" s="1299"/>
      <c r="Q3143" s="1300"/>
      <c r="R3143" s="1300"/>
      <c r="S3143" s="1300"/>
    </row>
    <row r="3144" spans="1:19" s="1081" customFormat="1" hidden="1" outlineLevel="1">
      <c r="A3144" s="1072">
        <f>IF(G3144=0,0,1)</f>
        <v>0</v>
      </c>
      <c r="B3144" s="1068" t="s">
        <v>1985</v>
      </c>
      <c r="C3144" s="1302"/>
      <c r="D3144" s="1198" t="str">
        <f>VLOOKUP($B3144,dongia1,DG!$B$5,)</f>
        <v>AB.13111</v>
      </c>
      <c r="E3144" s="1243" t="str">
        <f>VLOOKUP($B3144,dongia1,DG!$C$5,)</f>
        <v>Đắp đất rãnh tiếp địa cấp 3 (độ chặt k = 0.85)</v>
      </c>
      <c r="F3144" s="1555" t="s">
        <v>805</v>
      </c>
      <c r="G3144" s="1472">
        <f>+G3143</f>
        <v>0</v>
      </c>
      <c r="H3144" s="1298">
        <f>VLOOKUP($B3144,dongia1,DG!$F$5,)</f>
        <v>0</v>
      </c>
      <c r="I3144" s="1298"/>
      <c r="J3144" s="1298">
        <f>VLOOKUP($B3144,dongia1,DG!$G$5,)</f>
        <v>117703.6</v>
      </c>
      <c r="K3144" s="1298">
        <v>0</v>
      </c>
      <c r="L3144" s="1298">
        <f t="shared" si="794"/>
        <v>0</v>
      </c>
      <c r="M3144" s="1298">
        <f t="shared" si="794"/>
        <v>0</v>
      </c>
      <c r="N3144" s="1298">
        <f t="shared" si="794"/>
        <v>0</v>
      </c>
      <c r="O3144" s="1298">
        <f t="shared" si="794"/>
        <v>0</v>
      </c>
      <c r="P3144" s="1299"/>
      <c r="Q3144" s="1300"/>
      <c r="R3144" s="1300"/>
      <c r="S3144" s="1300"/>
    </row>
    <row r="3145" spans="1:19" s="1081" customFormat="1" hidden="1" outlineLevel="1">
      <c r="A3145" s="1072">
        <f>IF(G3145=0,0,1)</f>
        <v>0</v>
      </c>
      <c r="B3145" s="1068" t="s">
        <v>985</v>
      </c>
      <c r="C3145" s="1302"/>
      <c r="D3145" s="1198" t="str">
        <f>VLOOKUP($B3145,dongia1,DG!$B$5,)</f>
        <v>D2.8103</v>
      </c>
      <c r="E3145" s="1243" t="str">
        <f>VLOOKUP($B3145,dongia1,DG!$C$5,)</f>
        <v>Đóng cọc tiếp địa đất cấp 3 dài 2,5m</v>
      </c>
      <c r="F3145" s="1555" t="s">
        <v>805</v>
      </c>
      <c r="G3145" s="1472">
        <f>G3137</f>
        <v>0</v>
      </c>
      <c r="H3145" s="1298">
        <f>VLOOKUP($B3145,dongia1,DG!$F$5,)</f>
        <v>0</v>
      </c>
      <c r="I3145" s="1298"/>
      <c r="J3145" s="1298" t="str">
        <f>VLOOKUP($B3145,dongia1,DG!$G$5,)&amp;" x 1,7"</f>
        <v>90355,896 x 1,7</v>
      </c>
      <c r="K3145" s="1298">
        <v>0</v>
      </c>
      <c r="L3145" s="1298">
        <f>H3145*$G3145</f>
        <v>0</v>
      </c>
      <c r="M3145" s="1298">
        <f>I3145*$G3145</f>
        <v>0</v>
      </c>
      <c r="N3145" s="1298">
        <f>VLOOKUP($B3145,dongia1,DG!$G$5,)*1.7*G3145</f>
        <v>0</v>
      </c>
      <c r="O3145" s="1298">
        <f>K3145*$G3145</f>
        <v>0</v>
      </c>
      <c r="P3145" s="1299"/>
      <c r="Q3145" s="1300"/>
      <c r="R3145" s="1300"/>
      <c r="S3145" s="1300"/>
    </row>
    <row r="3146" spans="1:19" s="1081" customFormat="1" hidden="1" outlineLevel="1">
      <c r="A3146" s="1072" t="str">
        <f>IF(G3146&lt;&gt;0,1,"")</f>
        <v/>
      </c>
      <c r="B3146" s="1068" t="s">
        <v>983</v>
      </c>
      <c r="C3146" s="1291"/>
      <c r="D3146" s="1198" t="str">
        <f>VLOOKUP($B3146,dongia1,DG!$B$5,)</f>
        <v>T4.7001</v>
      </c>
      <c r="E3146" s="1243" t="str">
        <f>VLOOKUP($B3146,dongia1,DG!$C$5,)</f>
        <v>Kéo dây tiếp địa TBA</v>
      </c>
      <c r="F3146" s="1198" t="str">
        <f>VLOOKUP($B3146,dongia1,DG!$D$5,)</f>
        <v>mét</v>
      </c>
      <c r="G3146" s="1303">
        <f>G3136/0.224*G3134</f>
        <v>0</v>
      </c>
      <c r="H3146" s="1298">
        <f>VLOOKUP($B3146,dongia1,DG!$E$5,)</f>
        <v>0</v>
      </c>
      <c r="I3146" s="1298"/>
      <c r="J3146" s="1298">
        <f>VLOOKUP($B3146,dongia1,DG!$G$5,)</f>
        <v>8070.7000000000007</v>
      </c>
      <c r="K3146" s="1298">
        <f>VLOOKUP($B3146,dongia1,DG!$H$5,)</f>
        <v>2044.9974999999999</v>
      </c>
      <c r="L3146" s="1298">
        <f>H3146*G3146</f>
        <v>0</v>
      </c>
      <c r="M3146" s="1298">
        <f>I3146*G3146</f>
        <v>0</v>
      </c>
      <c r="N3146" s="1298">
        <f>J3146*G3146</f>
        <v>0</v>
      </c>
      <c r="O3146" s="1298">
        <f>K3146*G3146</f>
        <v>0</v>
      </c>
      <c r="P3146" s="1299"/>
      <c r="Q3146" s="1300"/>
      <c r="R3146" s="1300"/>
      <c r="S3146" s="1300"/>
    </row>
    <row r="3147" spans="1:19" s="1081" customFormat="1" hidden="1" outlineLevel="1">
      <c r="A3147" s="1072" t="str">
        <f>IF(G3147&lt;&gt;0,1,"")</f>
        <v/>
      </c>
      <c r="B3147" s="1295"/>
      <c r="C3147" s="1291">
        <f>IF(G3147&gt;0,C3134+1,C3134)</f>
        <v>0</v>
      </c>
      <c r="D3147" s="1292"/>
      <c r="E3147" s="1416" t="s">
        <v>3459</v>
      </c>
      <c r="F3147" s="1291" t="s">
        <v>2113</v>
      </c>
      <c r="G3147" s="1297">
        <f>G3084</f>
        <v>0</v>
      </c>
      <c r="H3147" s="1298"/>
      <c r="I3147" s="1298"/>
      <c r="J3147" s="1298"/>
      <c r="K3147" s="1298"/>
      <c r="L3147" s="1298">
        <f t="shared" ref="L3147:L3169" si="795">H3147*G3147</f>
        <v>0</v>
      </c>
      <c r="M3147" s="1298">
        <f t="shared" ref="M3147:M3169" si="796">I3147*G3147</f>
        <v>0</v>
      </c>
      <c r="N3147" s="1298">
        <f t="shared" ref="N3147:N3169" si="797">J3147*G3147</f>
        <v>0</v>
      </c>
      <c r="O3147" s="1298">
        <f t="shared" ref="O3147:O3169" si="798">K3147*G3147</f>
        <v>0</v>
      </c>
      <c r="P3147" s="1299"/>
      <c r="Q3147" s="1300"/>
      <c r="R3147" s="1300"/>
      <c r="S3147" s="1300"/>
    </row>
    <row r="3148" spans="1:19" s="1081" customFormat="1" ht="14.4" hidden="1" outlineLevel="1">
      <c r="A3148" s="1072" t="str">
        <f>A3147</f>
        <v/>
      </c>
      <c r="B3148" s="1295"/>
      <c r="C3148" s="1291"/>
      <c r="D3148" s="1292"/>
      <c r="E3148" s="1301" t="s">
        <v>3399</v>
      </c>
      <c r="F3148" s="1302"/>
      <c r="G3148" s="1303"/>
      <c r="H3148" s="1298"/>
      <c r="I3148" s="1298"/>
      <c r="J3148" s="1298"/>
      <c r="K3148" s="1298"/>
      <c r="L3148" s="1298">
        <f t="shared" si="795"/>
        <v>0</v>
      </c>
      <c r="M3148" s="1298">
        <f t="shared" si="796"/>
        <v>0</v>
      </c>
      <c r="N3148" s="1298">
        <f t="shared" si="797"/>
        <v>0</v>
      </c>
      <c r="O3148" s="1298">
        <f t="shared" si="798"/>
        <v>0</v>
      </c>
      <c r="P3148" s="1299"/>
      <c r="Q3148" s="1300"/>
      <c r="R3148" s="1300"/>
      <c r="S3148" s="1300"/>
    </row>
    <row r="3149" spans="1:19" s="1081" customFormat="1" hidden="1" outlineLevel="1">
      <c r="A3149" s="1072" t="str">
        <f>IF(G3149&lt;&gt;0,1,"")</f>
        <v/>
      </c>
      <c r="B3149" s="1295" t="s">
        <v>512</v>
      </c>
      <c r="C3149" s="1302"/>
      <c r="D3149" s="1198" t="str">
        <f>VLOOKUP($B3149,dongia1,DG!$B$5,)</f>
        <v>T5.1002</v>
      </c>
      <c r="E3149" s="1243" t="str">
        <f>VLOOKUP($B3149,dongia1,DG!$C$5,)</f>
        <v>Tủ ACB + thanh cái 2500A</v>
      </c>
      <c r="F3149" s="1198" t="str">
        <f>VLOOKUP($B3149,dongia1,DG!$D$5,)</f>
        <v>cái</v>
      </c>
      <c r="G3149" s="1304">
        <f>G3147</f>
        <v>0</v>
      </c>
      <c r="H3149" s="1298">
        <f>VLOOKUP($B3149,dongia1,DG!$F$5,)</f>
        <v>70000000</v>
      </c>
      <c r="I3149" s="1298"/>
      <c r="J3149" s="1298">
        <f>VLOOKUP($B3149,dongia1,DG!$G$5,)</f>
        <v>690091</v>
      </c>
      <c r="K3149" s="1298">
        <f>VLOOKUP($B3149,dongia1,DG!$H$5,)</f>
        <v>97369</v>
      </c>
      <c r="L3149" s="1298">
        <f t="shared" si="795"/>
        <v>0</v>
      </c>
      <c r="M3149" s="1298">
        <f t="shared" si="796"/>
        <v>0</v>
      </c>
      <c r="N3149" s="1298">
        <f t="shared" si="797"/>
        <v>0</v>
      </c>
      <c r="O3149" s="1298">
        <f t="shared" si="798"/>
        <v>0</v>
      </c>
      <c r="P3149" s="1299"/>
      <c r="Q3149" s="1300"/>
      <c r="R3149" s="1300"/>
      <c r="S3149" s="1300"/>
    </row>
    <row r="3150" spans="1:19" s="1081" customFormat="1" hidden="1" outlineLevel="1">
      <c r="A3150" s="1072" t="str">
        <f>IF(G3150&lt;&gt;0,1,"")</f>
        <v/>
      </c>
      <c r="B3150" s="1295" t="s">
        <v>888</v>
      </c>
      <c r="C3150" s="1302"/>
      <c r="D3150" s="1198">
        <f>VLOOKUP($B3150,dongia1,DG!$B$5,)</f>
        <v>0</v>
      </c>
      <c r="E3150" s="1243" t="str">
        <f>VLOOKUP($B3150,dongia1,DG!$C$5,)</f>
        <v>Bảng tên trạm + bảng báo nguy hiểm</v>
      </c>
      <c r="F3150" s="1198" t="str">
        <f>VLOOKUP($B3150,dongia1,DG!$D$5,)</f>
        <v>cái</v>
      </c>
      <c r="G3150" s="1304">
        <f>G3147</f>
        <v>0</v>
      </c>
      <c r="H3150" s="1298">
        <f>VLOOKUP($B3150,dongia1,DG!$F$5,)</f>
        <v>300000</v>
      </c>
      <c r="I3150" s="1298"/>
      <c r="J3150" s="1298">
        <f>VLOOKUP($B3150,dongia1,DG!$G$5,)</f>
        <v>0</v>
      </c>
      <c r="K3150" s="1298">
        <f>VLOOKUP($B3150,dongia1,DG!$H$5,)</f>
        <v>0</v>
      </c>
      <c r="L3150" s="1298">
        <f t="shared" si="795"/>
        <v>0</v>
      </c>
      <c r="M3150" s="1298">
        <f t="shared" si="796"/>
        <v>0</v>
      </c>
      <c r="N3150" s="1298">
        <f t="shared" si="797"/>
        <v>0</v>
      </c>
      <c r="O3150" s="1298">
        <f t="shared" si="798"/>
        <v>0</v>
      </c>
      <c r="P3150" s="1299"/>
      <c r="Q3150" s="1300"/>
      <c r="R3150" s="1300"/>
      <c r="S3150" s="1300"/>
    </row>
    <row r="3151" spans="1:19" s="1081" customFormat="1" hidden="1" outlineLevel="1">
      <c r="A3151" s="1072" t="str">
        <f>IF(G3151&lt;&gt;0,1,"")</f>
        <v/>
      </c>
      <c r="B3151" s="1295"/>
      <c r="C3151" s="1291">
        <f>IF(G3151&gt;0,C3147+1,C3147)</f>
        <v>0</v>
      </c>
      <c r="D3151" s="1292"/>
      <c r="E3151" s="1296" t="s">
        <v>3460</v>
      </c>
      <c r="F3151" s="1291" t="s">
        <v>2307</v>
      </c>
      <c r="G3151" s="1556"/>
      <c r="H3151" s="1298"/>
      <c r="I3151" s="1298"/>
      <c r="J3151" s="1298"/>
      <c r="K3151" s="1298"/>
      <c r="L3151" s="1298">
        <f t="shared" si="795"/>
        <v>0</v>
      </c>
      <c r="M3151" s="1298">
        <f t="shared" si="796"/>
        <v>0</v>
      </c>
      <c r="N3151" s="1298">
        <f t="shared" si="797"/>
        <v>0</v>
      </c>
      <c r="O3151" s="1298">
        <f t="shared" si="798"/>
        <v>0</v>
      </c>
      <c r="P3151" s="1299"/>
      <c r="Q3151" s="1300"/>
      <c r="R3151" s="1300"/>
      <c r="S3151" s="1300"/>
    </row>
    <row r="3152" spans="1:19" s="1081" customFormat="1" ht="14.4" hidden="1" outlineLevel="1">
      <c r="A3152" s="1072" t="str">
        <f>A3151</f>
        <v/>
      </c>
      <c r="B3152" s="1295"/>
      <c r="C3152" s="1291"/>
      <c r="D3152" s="1292"/>
      <c r="E3152" s="1301" t="s">
        <v>3399</v>
      </c>
      <c r="F3152" s="1302"/>
      <c r="G3152" s="1473"/>
      <c r="H3152" s="1298"/>
      <c r="I3152" s="1298"/>
      <c r="J3152" s="1298"/>
      <c r="K3152" s="1298"/>
      <c r="L3152" s="1298">
        <f t="shared" si="795"/>
        <v>0</v>
      </c>
      <c r="M3152" s="1298">
        <f t="shared" si="796"/>
        <v>0</v>
      </c>
      <c r="N3152" s="1298">
        <f t="shared" si="797"/>
        <v>0</v>
      </c>
      <c r="O3152" s="1298">
        <f t="shared" si="798"/>
        <v>0</v>
      </c>
      <c r="P3152" s="1299"/>
      <c r="Q3152" s="1300"/>
      <c r="R3152" s="1300"/>
      <c r="S3152" s="1300"/>
    </row>
    <row r="3153" spans="1:19" s="1081" customFormat="1" hidden="1" outlineLevel="1">
      <c r="A3153" s="1072" t="str">
        <f t="shared" ref="A3153:A3161" si="799">IF(G3153&lt;&gt;0,1,"")</f>
        <v/>
      </c>
      <c r="B3153" s="1557" t="s">
        <v>1729</v>
      </c>
      <c r="C3153" s="1302"/>
      <c r="D3153" s="1198">
        <f>VLOOKUP($B3153,dongia1,DG!$B$5,)</f>
        <v>0</v>
      </c>
      <c r="E3153" s="1399" t="str">
        <f>VLOOKUP($B3153,dongia1,DG!$C$5,)&amp;": 0,38m3/m"</f>
        <v>Cát vàng: 0,38m3/m</v>
      </c>
      <c r="F3153" s="1198" t="str">
        <f>VLOOKUP($B3153,dongia1,DG!$D$5,)</f>
        <v>m3</v>
      </c>
      <c r="G3153" s="1304">
        <f>G3151*0.38</f>
        <v>0</v>
      </c>
      <c r="H3153" s="1298">
        <f>VLOOKUP($B3153,dongia1,DG!$F$5,)</f>
        <v>512000</v>
      </c>
      <c r="I3153" s="1298"/>
      <c r="J3153" s="1298">
        <f>VLOOKUP($B3153,dongia1,DG!$G$5,)</f>
        <v>0</v>
      </c>
      <c r="K3153" s="1298">
        <f>VLOOKUP($B3153,dongia1,DG!$H$5,)</f>
        <v>0</v>
      </c>
      <c r="L3153" s="1298">
        <f t="shared" si="795"/>
        <v>0</v>
      </c>
      <c r="M3153" s="1298">
        <f t="shared" si="796"/>
        <v>0</v>
      </c>
      <c r="N3153" s="1298">
        <f t="shared" si="797"/>
        <v>0</v>
      </c>
      <c r="O3153" s="1298">
        <f t="shared" si="798"/>
        <v>0</v>
      </c>
      <c r="P3153" s="1299"/>
      <c r="Q3153" s="1300"/>
      <c r="R3153" s="1300"/>
      <c r="S3153" s="1300"/>
    </row>
    <row r="3154" spans="1:19" s="1081" customFormat="1" hidden="1" outlineLevel="1">
      <c r="A3154" s="1072" t="str">
        <f t="shared" si="799"/>
        <v/>
      </c>
      <c r="B3154" s="1557" t="s">
        <v>853</v>
      </c>
      <c r="C3154" s="1302"/>
      <c r="D3154" s="1198">
        <f>VLOOKUP($B3154,dongia1,DG!$B$5,)</f>
        <v>0</v>
      </c>
      <c r="E3154" s="1399" t="str">
        <f>VLOOKUP($B3154,dongia1,DG!$C$5,)&amp;": 0,12m3/m"</f>
        <v>Đá 1x2: 0,12m3/m</v>
      </c>
      <c r="F3154" s="1198" t="str">
        <f>VLOOKUP($B3154,dongia1,DG!$D$5,)</f>
        <v>m3</v>
      </c>
      <c r="G3154" s="1304">
        <f>0.12*G3151*0</f>
        <v>0</v>
      </c>
      <c r="H3154" s="1298">
        <f>VLOOKUP($B3154,dongia1,DG!$F$5,)</f>
        <v>335000</v>
      </c>
      <c r="I3154" s="1298"/>
      <c r="J3154" s="1298">
        <f>VLOOKUP($B3154,dongia1,DG!$G$5,)</f>
        <v>0</v>
      </c>
      <c r="K3154" s="1298">
        <f>VLOOKUP($B3154,dongia1,DG!$H$5,)</f>
        <v>0</v>
      </c>
      <c r="L3154" s="1298">
        <f t="shared" si="795"/>
        <v>0</v>
      </c>
      <c r="M3154" s="1298">
        <f t="shared" si="796"/>
        <v>0</v>
      </c>
      <c r="N3154" s="1298">
        <f t="shared" si="797"/>
        <v>0</v>
      </c>
      <c r="O3154" s="1298">
        <f t="shared" si="798"/>
        <v>0</v>
      </c>
      <c r="P3154" s="1299"/>
      <c r="Q3154" s="1300"/>
      <c r="R3154" s="1300"/>
      <c r="S3154" s="1300"/>
    </row>
    <row r="3155" spans="1:19" s="1081" customFormat="1" hidden="1" outlineLevel="1">
      <c r="A3155" s="1072" t="str">
        <f t="shared" si="799"/>
        <v/>
      </c>
      <c r="B3155" s="1557" t="s">
        <v>1495</v>
      </c>
      <c r="C3155" s="1302"/>
      <c r="D3155" s="1198">
        <f>VLOOKUP($B3155,dongia1,DG!$B$5,)</f>
        <v>0</v>
      </c>
      <c r="E3155" s="1399" t="str">
        <f>VLOOKUP($B3155,dongia1,DG!$C$5,)&amp;": 3,3vieân/m"</f>
        <v>Gạch tàu: 3,3vieân/m</v>
      </c>
      <c r="F3155" s="1198" t="str">
        <f>VLOOKUP($B3155,dongia1,DG!$D$5,)</f>
        <v>viên</v>
      </c>
      <c r="G3155" s="1304">
        <f>3.3*G3151</f>
        <v>0</v>
      </c>
      <c r="H3155" s="1298">
        <f>VLOOKUP($B3155,dongia1,DG!$F$5,)</f>
        <v>7000</v>
      </c>
      <c r="I3155" s="1298"/>
      <c r="J3155" s="1298">
        <f>VLOOKUP($B3155,dongia1,DG!$G$5,)</f>
        <v>0</v>
      </c>
      <c r="K3155" s="1298">
        <f>VLOOKUP($B3155,dongia1,DG!$H$5,)</f>
        <v>0</v>
      </c>
      <c r="L3155" s="1298">
        <f t="shared" si="795"/>
        <v>0</v>
      </c>
      <c r="M3155" s="1298">
        <f t="shared" si="796"/>
        <v>0</v>
      </c>
      <c r="N3155" s="1298">
        <f t="shared" si="797"/>
        <v>0</v>
      </c>
      <c r="O3155" s="1298">
        <f t="shared" si="798"/>
        <v>0</v>
      </c>
      <c r="P3155" s="1299"/>
      <c r="Q3155" s="1300"/>
      <c r="R3155" s="1300"/>
      <c r="S3155" s="1300"/>
    </row>
    <row r="3156" spans="1:19" s="1081" customFormat="1" hidden="1" outlineLevel="1">
      <c r="A3156" s="1072" t="str">
        <f t="shared" si="799"/>
        <v/>
      </c>
      <c r="B3156" s="1557" t="s">
        <v>1496</v>
      </c>
      <c r="C3156" s="1302"/>
      <c r="D3156" s="1198" t="str">
        <f>VLOOKUP($B3156,dongia1,DG!$B$5,)</f>
        <v>D4.1102</v>
      </c>
      <c r="E3156" s="1399" t="str">
        <f>VLOOKUP($B3156,dongia1,DG!$C$5,)&amp;": 0,4m2/m"</f>
        <v>Tấm nilông màu cảnh báo: 0,4m2/m</v>
      </c>
      <c r="F3156" s="1198" t="str">
        <f>VLOOKUP($B3156,dongia1,DG!$D$5,)</f>
        <v>m2</v>
      </c>
      <c r="G3156" s="1304">
        <f>0.4*G3151</f>
        <v>0</v>
      </c>
      <c r="H3156" s="1298">
        <f>VLOOKUP($B3156,dongia1,DG!$F$5,)</f>
        <v>10000</v>
      </c>
      <c r="I3156" s="1298"/>
      <c r="J3156" s="1298">
        <f>VLOOKUP($B3156,dongia1,DG!$G$5,)</f>
        <v>1187.155</v>
      </c>
      <c r="K3156" s="1298">
        <f>VLOOKUP($B3156,dongia1,DG!$H$5,)</f>
        <v>0</v>
      </c>
      <c r="L3156" s="1298">
        <f t="shared" si="795"/>
        <v>0</v>
      </c>
      <c r="M3156" s="1298">
        <f t="shared" si="796"/>
        <v>0</v>
      </c>
      <c r="N3156" s="1298">
        <f t="shared" si="797"/>
        <v>0</v>
      </c>
      <c r="O3156" s="1298">
        <f t="shared" si="798"/>
        <v>0</v>
      </c>
      <c r="P3156" s="1299"/>
      <c r="Q3156" s="1300"/>
      <c r="R3156" s="1300"/>
      <c r="S3156" s="1300"/>
    </row>
    <row r="3157" spans="1:19" s="1081" customFormat="1" hidden="1" outlineLevel="1">
      <c r="A3157" s="1072" t="str">
        <f t="shared" si="799"/>
        <v/>
      </c>
      <c r="B3157" s="1557" t="s">
        <v>1861</v>
      </c>
      <c r="C3157" s="1291"/>
      <c r="D3157" s="1198">
        <f>VLOOKUP($B3157,dongia1,DG!$B$5,)</f>
        <v>0</v>
      </c>
      <c r="E3157" s="1399" t="str">
        <f>VLOOKUP($B3157,dongia1,DG!$C$5,)</f>
        <v>Ống PVC D140x6,7mm</v>
      </c>
      <c r="F3157" s="1198" t="str">
        <f>VLOOKUP($B3157,dongia1,DG!$D$5,)</f>
        <v>m</v>
      </c>
      <c r="G3157" s="1304">
        <f>1*G3151</f>
        <v>0</v>
      </c>
      <c r="H3157" s="1298">
        <f>VLOOKUP($B3157,dongia1,DG!$F$5,)</f>
        <v>165250</v>
      </c>
      <c r="I3157" s="1298"/>
      <c r="J3157" s="1298">
        <f>VLOOKUP($B3157,dongia1,DG!$G$5,)</f>
        <v>0</v>
      </c>
      <c r="K3157" s="1298">
        <f>VLOOKUP($B3157,dongia1,DG!$H$5,)</f>
        <v>0</v>
      </c>
      <c r="L3157" s="1298">
        <f t="shared" si="795"/>
        <v>0</v>
      </c>
      <c r="M3157" s="1298">
        <f t="shared" si="796"/>
        <v>0</v>
      </c>
      <c r="N3157" s="1298">
        <f t="shared" si="797"/>
        <v>0</v>
      </c>
      <c r="O3157" s="1298">
        <f t="shared" si="798"/>
        <v>0</v>
      </c>
      <c r="P3157" s="1299"/>
      <c r="Q3157" s="1300"/>
      <c r="R3157" s="1300"/>
      <c r="S3157" s="1300"/>
    </row>
    <row r="3158" spans="1:19" s="1081" customFormat="1" hidden="1" outlineLevel="1">
      <c r="A3158" s="1072" t="str">
        <f t="shared" si="799"/>
        <v/>
      </c>
      <c r="B3158" s="1557" t="s">
        <v>1498</v>
      </c>
      <c r="C3158" s="1302"/>
      <c r="D3158" s="1198" t="str">
        <f>VLOOKUP($B3158,dongia1,DG!$B$5,)</f>
        <v>AB.66112</v>
      </c>
      <c r="E3158" s="1399" t="str">
        <f>VLOOKUP($B3158,dongia1,DG!$C$5,)</f>
        <v>Rải cát đệm (độ chặt K=0,9)</v>
      </c>
      <c r="F3158" s="1198" t="str">
        <f>VLOOKUP($B3158,dongia1,DG!$D$5,)</f>
        <v>m3</v>
      </c>
      <c r="G3158" s="1304">
        <f>G3153+G3154</f>
        <v>0</v>
      </c>
      <c r="H3158" s="1298">
        <f>VLOOKUP($B3158,dongia1,DG!$F$5,)</f>
        <v>0</v>
      </c>
      <c r="I3158" s="1298"/>
      <c r="J3158" s="1298">
        <f>VLOOKUP($B3158,dongia1,DG!$G$5,)</f>
        <v>315277.5</v>
      </c>
      <c r="K3158" s="1298">
        <f>VLOOKUP($B3158,dongia1,DG!$H$5,)</f>
        <v>0</v>
      </c>
      <c r="L3158" s="1298">
        <f t="shared" si="795"/>
        <v>0</v>
      </c>
      <c r="M3158" s="1298">
        <f t="shared" si="796"/>
        <v>0</v>
      </c>
      <c r="N3158" s="1298">
        <f t="shared" si="797"/>
        <v>0</v>
      </c>
      <c r="O3158" s="1298">
        <f t="shared" si="798"/>
        <v>0</v>
      </c>
      <c r="P3158" s="1299"/>
      <c r="Q3158" s="1300"/>
      <c r="R3158" s="1300"/>
      <c r="S3158" s="1300"/>
    </row>
    <row r="3159" spans="1:19" s="1081" customFormat="1" hidden="1" outlineLevel="1">
      <c r="A3159" s="1072" t="str">
        <f t="shared" si="799"/>
        <v/>
      </c>
      <c r="B3159" s="1557" t="s">
        <v>291</v>
      </c>
      <c r="C3159" s="1302"/>
      <c r="D3159" s="1198" t="str">
        <f>VLOOKUP($B3159,dongia1,DG!$B$5,)</f>
        <v>AB.11613</v>
      </c>
      <c r="E3159" s="1399" t="str">
        <f>VLOOKUP($B3159,dongia1,DG!$C$5,)&amp;" : 0,48m3/m"</f>
        <v>Đào mương cáp ngầm đất cấp 3 có mở ta luy : 0,48m3/m</v>
      </c>
      <c r="F3159" s="1198" t="str">
        <f>VLOOKUP($B3159,dongia1,DG!$D$5,)</f>
        <v>m3</v>
      </c>
      <c r="G3159" s="1304">
        <f>G3151*0.48</f>
        <v>0</v>
      </c>
      <c r="H3159" s="1298">
        <f>VLOOKUP($B3159,dongia1,DG!$F$5,)</f>
        <v>0</v>
      </c>
      <c r="I3159" s="1298"/>
      <c r="J3159" s="1298">
        <f>VLOOKUP($B3159,dongia1,DG!$G$5,)</f>
        <v>640731.36</v>
      </c>
      <c r="K3159" s="1298">
        <f>VLOOKUP($B3159,dongia1,DG!$H$5,)</f>
        <v>0</v>
      </c>
      <c r="L3159" s="1298">
        <f t="shared" si="795"/>
        <v>0</v>
      </c>
      <c r="M3159" s="1298">
        <f t="shared" si="796"/>
        <v>0</v>
      </c>
      <c r="N3159" s="1298">
        <f t="shared" si="797"/>
        <v>0</v>
      </c>
      <c r="O3159" s="1298">
        <f t="shared" si="798"/>
        <v>0</v>
      </c>
      <c r="P3159" s="1299"/>
      <c r="Q3159" s="1300"/>
      <c r="R3159" s="1300"/>
      <c r="S3159" s="1300"/>
    </row>
    <row r="3160" spans="1:19" s="1081" customFormat="1" hidden="1" outlineLevel="1">
      <c r="A3160" s="1072" t="str">
        <f t="shared" si="799"/>
        <v/>
      </c>
      <c r="B3160" s="1557" t="s">
        <v>1906</v>
      </c>
      <c r="C3160" s="1302"/>
      <c r="D3160" s="1198" t="str">
        <f>VLOOKUP($B3160,dongia1,DG!$B$5,)</f>
        <v>AB.65110</v>
      </c>
      <c r="E3160" s="1399" t="str">
        <f>VLOOKUP($B3160,dongia1,DG!$C$5,)&amp;" : 0,16m3/m"</f>
        <v>Đắp đất mương cáp K=0,9 : 0,16m3/m</v>
      </c>
      <c r="F3160" s="1198" t="str">
        <f>VLOOKUP($B3160,dongia1,DG!$D$5,)</f>
        <v>m3</v>
      </c>
      <c r="G3160" s="1304">
        <f>0.16*G3151</f>
        <v>0</v>
      </c>
      <c r="H3160" s="1298">
        <f>VLOOKUP($B3160,dongia1,DG!$F$5,)</f>
        <v>0</v>
      </c>
      <c r="I3160" s="1298"/>
      <c r="J3160" s="1298">
        <f>VLOOKUP($B3160,dongia1,DG!$G$5,)</f>
        <v>21935.133999999998</v>
      </c>
      <c r="K3160" s="1298">
        <f>VLOOKUP($B3160,dongia1,DG!$H$5,)</f>
        <v>0</v>
      </c>
      <c r="L3160" s="1298">
        <f t="shared" si="795"/>
        <v>0</v>
      </c>
      <c r="M3160" s="1298">
        <f t="shared" si="796"/>
        <v>0</v>
      </c>
      <c r="N3160" s="1298">
        <f t="shared" si="797"/>
        <v>0</v>
      </c>
      <c r="O3160" s="1298">
        <f t="shared" si="798"/>
        <v>0</v>
      </c>
      <c r="P3160" s="1299"/>
      <c r="Q3160" s="1300"/>
      <c r="R3160" s="1474">
        <v>0.47499999999999998</v>
      </c>
      <c r="S3160" s="1300"/>
    </row>
    <row r="3161" spans="1:19" s="1081" customFormat="1" hidden="1" outlineLevel="1">
      <c r="A3161" s="1072" t="str">
        <f t="shared" si="799"/>
        <v/>
      </c>
      <c r="B3161" s="1295"/>
      <c r="C3161" s="1291">
        <f>IF(G3161&gt;0,C3151+1,C3151)</f>
        <v>0</v>
      </c>
      <c r="D3161" s="1292"/>
      <c r="E3161" s="1296" t="s">
        <v>3461</v>
      </c>
      <c r="F3161" s="1291" t="s">
        <v>2113</v>
      </c>
      <c r="G3161" s="1297"/>
      <c r="H3161" s="1298"/>
      <c r="I3161" s="1298"/>
      <c r="J3161" s="1298"/>
      <c r="K3161" s="1298"/>
      <c r="L3161" s="1298">
        <f t="shared" si="795"/>
        <v>0</v>
      </c>
      <c r="M3161" s="1298">
        <f t="shared" si="796"/>
        <v>0</v>
      </c>
      <c r="N3161" s="1298">
        <f t="shared" si="797"/>
        <v>0</v>
      </c>
      <c r="O3161" s="1298">
        <f t="shared" si="798"/>
        <v>0</v>
      </c>
      <c r="P3161" s="1299"/>
      <c r="Q3161" s="1300"/>
      <c r="R3161" s="1474">
        <v>0.88100000000000001</v>
      </c>
      <c r="S3161" s="1300"/>
    </row>
    <row r="3162" spans="1:19" s="1081" customFormat="1" ht="14.4" hidden="1" outlineLevel="1">
      <c r="A3162" s="1072" t="str">
        <f>A3161</f>
        <v/>
      </c>
      <c r="B3162" s="1295"/>
      <c r="C3162" s="1291"/>
      <c r="D3162" s="1292"/>
      <c r="E3162" s="1301" t="s">
        <v>3399</v>
      </c>
      <c r="F3162" s="1302"/>
      <c r="G3162" s="1473"/>
      <c r="H3162" s="1298"/>
      <c r="I3162" s="1298"/>
      <c r="J3162" s="1298"/>
      <c r="K3162" s="1298"/>
      <c r="L3162" s="1298">
        <f t="shared" si="795"/>
        <v>0</v>
      </c>
      <c r="M3162" s="1298">
        <f t="shared" si="796"/>
        <v>0</v>
      </c>
      <c r="N3162" s="1298">
        <f t="shared" si="797"/>
        <v>0</v>
      </c>
      <c r="O3162" s="1298">
        <f t="shared" si="798"/>
        <v>0</v>
      </c>
      <c r="P3162" s="1299"/>
      <c r="Q3162" s="1300"/>
      <c r="R3162" s="1300"/>
      <c r="S3162" s="1300"/>
    </row>
    <row r="3163" spans="1:19" s="1081" customFormat="1" hidden="1" outlineLevel="1">
      <c r="A3163" s="1072" t="str">
        <f t="shared" ref="A3163:A3170" si="800">IF(G3163&lt;&gt;0,1,"")</f>
        <v/>
      </c>
      <c r="B3163" s="1295" t="s">
        <v>1568</v>
      </c>
      <c r="C3163" s="1302"/>
      <c r="D3163" s="1198" t="str">
        <f>VLOOKUP($B3163,dongia1,DG!$B$5,)</f>
        <v>D4.1205</v>
      </c>
      <c r="E3163" s="1243" t="str">
        <f>VLOOKUP($B3163,dongia1,DG!$C$5,)</f>
        <v>Ông sắt tráng kẽm D140</v>
      </c>
      <c r="F3163" s="1198" t="str">
        <f>VLOOKUP($B3163,dongia1,DG!$D$5,)</f>
        <v>mét</v>
      </c>
      <c r="G3163" s="1304">
        <f>G3161*4</f>
        <v>0</v>
      </c>
      <c r="H3163" s="1298">
        <f>VLOOKUP($B3163,dongia1,DG!$F$5,)</f>
        <v>278000</v>
      </c>
      <c r="I3163" s="1298"/>
      <c r="J3163" s="1298">
        <f>VLOOKUP($B3163,dongia1,DG!$G$5,)</f>
        <v>127101.65849999999</v>
      </c>
      <c r="K3163" s="1298">
        <f>VLOOKUP($B3163,dongia1,DG!$H$5,)</f>
        <v>0</v>
      </c>
      <c r="L3163" s="1298">
        <f t="shared" si="795"/>
        <v>0</v>
      </c>
      <c r="M3163" s="1298">
        <f t="shared" si="796"/>
        <v>0</v>
      </c>
      <c r="N3163" s="1298">
        <f t="shared" si="797"/>
        <v>0</v>
      </c>
      <c r="O3163" s="1298">
        <f t="shared" si="798"/>
        <v>0</v>
      </c>
      <c r="P3163" s="1299"/>
      <c r="Q3163" s="1300"/>
      <c r="R3163" s="1300"/>
      <c r="S3163" s="1300"/>
    </row>
    <row r="3164" spans="1:19" s="1081" customFormat="1" hidden="1" outlineLevel="1">
      <c r="A3164" s="1072" t="str">
        <f t="shared" si="800"/>
        <v/>
      </c>
      <c r="B3164" s="1557" t="s">
        <v>25</v>
      </c>
      <c r="C3164" s="1291"/>
      <c r="D3164" s="1198">
        <f>VLOOKUP($B3164,dongia1,DG!$B$5,)</f>
        <v>0</v>
      </c>
      <c r="E3164" s="1243" t="str">
        <f>VLOOKUP($B3164,dongia1,DG!$C$5,)</f>
        <v>Co sừng 90 độ PVC 140</v>
      </c>
      <c r="F3164" s="1198" t="str">
        <f>VLOOKUP($B3164,dongia1,DG!$D$5,)</f>
        <v>cái</v>
      </c>
      <c r="G3164" s="1304">
        <f>G3161*1</f>
        <v>0</v>
      </c>
      <c r="H3164" s="1298">
        <f>VLOOKUP($B3164,dongia1,DG!$F$5,)</f>
        <v>138000</v>
      </c>
      <c r="I3164" s="1298"/>
      <c r="J3164" s="1298">
        <f>VLOOKUP($B3164,dongia1,DG!$G$5,)</f>
        <v>0</v>
      </c>
      <c r="K3164" s="1298">
        <f>VLOOKUP($B3164,dongia1,DG!$H$5,)</f>
        <v>0</v>
      </c>
      <c r="L3164" s="1298">
        <f t="shared" si="795"/>
        <v>0</v>
      </c>
      <c r="M3164" s="1298">
        <f t="shared" si="796"/>
        <v>0</v>
      </c>
      <c r="N3164" s="1298">
        <f t="shared" si="797"/>
        <v>0</v>
      </c>
      <c r="O3164" s="1298">
        <f t="shared" si="798"/>
        <v>0</v>
      </c>
      <c r="P3164" s="1299"/>
      <c r="Q3164" s="1300"/>
      <c r="R3164" s="1300"/>
      <c r="S3164" s="1300"/>
    </row>
    <row r="3165" spans="1:19" s="1081" customFormat="1" hidden="1" outlineLevel="1">
      <c r="A3165" s="1072" t="str">
        <f t="shared" si="800"/>
        <v/>
      </c>
      <c r="B3165" s="1295" t="s">
        <v>1424</v>
      </c>
      <c r="C3165" s="1302"/>
      <c r="D3165" s="1198">
        <f>VLOOKUP($B3165,dongia1,DG!$B$5,)</f>
        <v>0</v>
      </c>
      <c r="E3165" s="1243" t="str">
        <f>VLOOKUP($B3165,dongia1,DG!$C$5,)</f>
        <v>Cổ dê giữ ống STK D140 vào tường+Boulon+long đền+tắc ke sắt</v>
      </c>
      <c r="F3165" s="1198" t="str">
        <f>VLOOKUP($B3165,dongia1,DG!$D$5,)</f>
        <v>bộ</v>
      </c>
      <c r="G3165" s="1304">
        <f>G3161*2</f>
        <v>0</v>
      </c>
      <c r="H3165" s="1298">
        <f>VLOOKUP($B3165,dongia1,DG!$F$5,)</f>
        <v>40000</v>
      </c>
      <c r="I3165" s="1298"/>
      <c r="J3165" s="1298">
        <f>VLOOKUP($B3165,dongia1,DG!$G$5,)</f>
        <v>0</v>
      </c>
      <c r="K3165" s="1298">
        <f>VLOOKUP($B3165,dongia1,DG!$H$5,)</f>
        <v>0</v>
      </c>
      <c r="L3165" s="1298">
        <f t="shared" si="795"/>
        <v>0</v>
      </c>
      <c r="M3165" s="1298">
        <f t="shared" si="796"/>
        <v>0</v>
      </c>
      <c r="N3165" s="1298">
        <f t="shared" si="797"/>
        <v>0</v>
      </c>
      <c r="O3165" s="1298">
        <f t="shared" si="798"/>
        <v>0</v>
      </c>
      <c r="P3165" s="1299"/>
      <c r="Q3165" s="1300"/>
      <c r="R3165" s="1300"/>
      <c r="S3165" s="1300"/>
    </row>
    <row r="3166" spans="1:19" s="1081" customFormat="1" hidden="1" outlineLevel="1">
      <c r="A3166" s="1072" t="str">
        <f t="shared" si="800"/>
        <v/>
      </c>
      <c r="B3166" s="1068" t="s">
        <v>441</v>
      </c>
      <c r="C3166" s="1302"/>
      <c r="D3166" s="1198">
        <f>VLOOKUP($B3166,dongia1,DG!$B$5,)</f>
        <v>0</v>
      </c>
      <c r="E3166" s="1243" t="str">
        <f>VLOOKUP($B3166,dongia1,DG!$C$5,)</f>
        <v>Giá đỡ cáp ngầm (V63x6)</v>
      </c>
      <c r="F3166" s="1198" t="str">
        <f>VLOOKUP($B3166,dongia1,DG!$D$5,)</f>
        <v>bộ</v>
      </c>
      <c r="G3166" s="1304">
        <f>G3161</f>
        <v>0</v>
      </c>
      <c r="H3166" s="1298">
        <f>VLOOKUP($B3166,dongia1,DG!$F$5,)</f>
        <v>150000</v>
      </c>
      <c r="I3166" s="1298"/>
      <c r="J3166" s="1298">
        <f>VLOOKUP($B3166,dongia1,DG!$G$5,)</f>
        <v>0</v>
      </c>
      <c r="K3166" s="1298">
        <f>VLOOKUP($B3166,dongia1,DG!$H$5,)</f>
        <v>0</v>
      </c>
      <c r="L3166" s="1298">
        <f t="shared" si="795"/>
        <v>0</v>
      </c>
      <c r="M3166" s="1298">
        <f t="shared" si="796"/>
        <v>0</v>
      </c>
      <c r="N3166" s="1298">
        <f t="shared" si="797"/>
        <v>0</v>
      </c>
      <c r="O3166" s="1298">
        <f t="shared" si="798"/>
        <v>0</v>
      </c>
      <c r="P3166" s="1299"/>
      <c r="Q3166" s="1300"/>
      <c r="R3166" s="1300"/>
      <c r="S3166" s="1300"/>
    </row>
    <row r="3167" spans="1:19" s="1081" customFormat="1" hidden="1" outlineLevel="1">
      <c r="A3167" s="1072" t="str">
        <f t="shared" si="800"/>
        <v/>
      </c>
      <c r="B3167" s="1068" t="s">
        <v>31</v>
      </c>
      <c r="C3167" s="1302"/>
      <c r="D3167" s="1198">
        <f>VLOOKUP($B3167,dongia1,DG!$B$5,)</f>
        <v>0</v>
      </c>
      <c r="E3167" s="1243" t="str">
        <f>VLOOKUP($B3167,dongia1,DG!$C$5,)</f>
        <v>Giá đỡ cáp trung thế</v>
      </c>
      <c r="F3167" s="1198" t="str">
        <f>VLOOKUP($B3167,dongia1,DG!$D$5,)</f>
        <v>bộ</v>
      </c>
      <c r="G3167" s="1304">
        <f>G3161</f>
        <v>0</v>
      </c>
      <c r="H3167" s="1298">
        <f>VLOOKUP($B3167,dongia1,DG!$F$5,)</f>
        <v>224832</v>
      </c>
      <c r="I3167" s="1298"/>
      <c r="J3167" s="1298">
        <f>VLOOKUP($B3167,dongia1,DG!$G$5,)</f>
        <v>3635</v>
      </c>
      <c r="K3167" s="1298">
        <f>VLOOKUP($B3167,dongia1,DG!$H$5,)</f>
        <v>6321</v>
      </c>
      <c r="L3167" s="1298">
        <f t="shared" si="795"/>
        <v>0</v>
      </c>
      <c r="M3167" s="1298">
        <f t="shared" si="796"/>
        <v>0</v>
      </c>
      <c r="N3167" s="1298">
        <f t="shared" si="797"/>
        <v>0</v>
      </c>
      <c r="O3167" s="1298">
        <f t="shared" si="798"/>
        <v>0</v>
      </c>
      <c r="P3167" s="1299"/>
      <c r="Q3167" s="1300"/>
      <c r="R3167" s="1300"/>
      <c r="S3167" s="1300"/>
    </row>
    <row r="3168" spans="1:19" s="1081" customFormat="1" hidden="1" outlineLevel="1">
      <c r="A3168" s="1072" t="str">
        <f t="shared" si="800"/>
        <v/>
      </c>
      <c r="B3168" s="1295" t="s">
        <v>442</v>
      </c>
      <c r="C3168" s="1291"/>
      <c r="D3168" s="1198" t="str">
        <f>VLOOKUP($B3168,dongia1,DG!$B$5,)</f>
        <v>T4.8002</v>
      </c>
      <c r="E3168" s="1243" t="str">
        <f>VLOOKUP($B3168,dongia1,DG!$C$5,)</f>
        <v>Lắp gía đỡ cáp</v>
      </c>
      <c r="F3168" s="1198" t="str">
        <f>VLOOKUP($B3168,dongia1,DG!$D$5,)</f>
        <v>bộ</v>
      </c>
      <c r="G3168" s="1304">
        <f>G3166</f>
        <v>0</v>
      </c>
      <c r="H3168" s="1298">
        <f>VLOOKUP($B3168,dongia1,DG!$F$5,)</f>
        <v>0</v>
      </c>
      <c r="I3168" s="1298"/>
      <c r="J3168" s="1298">
        <f>VLOOKUP($B3168,dongia1,DG!$G$5,)</f>
        <v>28219.62</v>
      </c>
      <c r="K3168" s="1298">
        <f>VLOOKUP($B3168,dongia1,DG!$H$5,)</f>
        <v>0</v>
      </c>
      <c r="L3168" s="1298">
        <f t="shared" si="795"/>
        <v>0</v>
      </c>
      <c r="M3168" s="1298">
        <f t="shared" si="796"/>
        <v>0</v>
      </c>
      <c r="N3168" s="1298">
        <f t="shared" si="797"/>
        <v>0</v>
      </c>
      <c r="O3168" s="1298">
        <f t="shared" si="798"/>
        <v>0</v>
      </c>
      <c r="P3168" s="1299"/>
      <c r="Q3168" s="1300"/>
      <c r="R3168" s="1300"/>
      <c r="S3168" s="1300"/>
    </row>
    <row r="3169" spans="1:19" s="1081" customFormat="1" hidden="1" outlineLevel="1">
      <c r="A3169" s="1072" t="str">
        <f t="shared" si="800"/>
        <v/>
      </c>
      <c r="B3169" s="1295" t="s">
        <v>888</v>
      </c>
      <c r="C3169" s="1302"/>
      <c r="D3169" s="1198">
        <f>VLOOKUP($B3169,dongia1,DG!$B$5,)</f>
        <v>0</v>
      </c>
      <c r="E3169" s="1243" t="str">
        <f>VLOOKUP($B3169,dongia1,DG!$C$5,)</f>
        <v>Bảng tên trạm + bảng báo nguy hiểm</v>
      </c>
      <c r="F3169" s="1198" t="str">
        <f>VLOOKUP($B3169,dongia1,DG!$D$5,)</f>
        <v>cái</v>
      </c>
      <c r="G3169" s="1304">
        <f>G3161</f>
        <v>0</v>
      </c>
      <c r="H3169" s="1298">
        <f>VLOOKUP($B3169,dongia1,DG!$F$5,)</f>
        <v>300000</v>
      </c>
      <c r="I3169" s="1298"/>
      <c r="J3169" s="1298">
        <f>VLOOKUP($B3169,dongia1,DG!$G$5,)</f>
        <v>0</v>
      </c>
      <c r="K3169" s="1298">
        <f>VLOOKUP($B3169,dongia1,DG!$H$5,)</f>
        <v>0</v>
      </c>
      <c r="L3169" s="1298">
        <f t="shared" si="795"/>
        <v>0</v>
      </c>
      <c r="M3169" s="1298">
        <f t="shared" si="796"/>
        <v>0</v>
      </c>
      <c r="N3169" s="1298">
        <f t="shared" si="797"/>
        <v>0</v>
      </c>
      <c r="O3169" s="1298">
        <f t="shared" si="798"/>
        <v>0</v>
      </c>
      <c r="P3169" s="1299"/>
      <c r="Q3169" s="1300"/>
      <c r="R3169" s="1300"/>
      <c r="S3169" s="1300"/>
    </row>
    <row r="3170" spans="1:19" s="1081" customFormat="1" hidden="1" outlineLevel="1">
      <c r="A3170" s="1072" t="str">
        <f t="shared" si="800"/>
        <v/>
      </c>
      <c r="B3170" s="1295"/>
      <c r="C3170" s="1291">
        <f>IF(G3170&gt;0,C3161+1,C3161)</f>
        <v>0</v>
      </c>
      <c r="D3170" s="1292"/>
      <c r="E3170" s="1293" t="s">
        <v>3457</v>
      </c>
      <c r="F3170" s="1291" t="s">
        <v>2113</v>
      </c>
      <c r="G3170" s="1297"/>
      <c r="H3170" s="1298"/>
      <c r="I3170" s="1298"/>
      <c r="J3170" s="1298"/>
      <c r="K3170" s="1298"/>
      <c r="L3170" s="1298"/>
      <c r="M3170" s="1298"/>
      <c r="N3170" s="1298"/>
      <c r="O3170" s="1298"/>
      <c r="P3170" s="1299"/>
      <c r="Q3170" s="1300"/>
      <c r="R3170" s="1300"/>
      <c r="S3170" s="1300"/>
    </row>
    <row r="3171" spans="1:19" s="1081" customFormat="1" ht="14.4" hidden="1" outlineLevel="1">
      <c r="A3171" s="1072" t="str">
        <f>A3170</f>
        <v/>
      </c>
      <c r="B3171" s="1295"/>
      <c r="C3171" s="1291"/>
      <c r="D3171" s="1292"/>
      <c r="E3171" s="1308" t="s">
        <v>3399</v>
      </c>
      <c r="F3171" s="1291"/>
      <c r="G3171" s="1297"/>
      <c r="H3171" s="1298"/>
      <c r="I3171" s="1298"/>
      <c r="J3171" s="1298"/>
      <c r="K3171" s="1298"/>
      <c r="L3171" s="1298"/>
      <c r="M3171" s="1298"/>
      <c r="N3171" s="1298"/>
      <c r="O3171" s="1298"/>
      <c r="P3171" s="1299"/>
      <c r="Q3171" s="1300"/>
      <c r="R3171" s="1300"/>
      <c r="S3171" s="1300"/>
    </row>
    <row r="3172" spans="1:19" s="1081" customFormat="1" hidden="1" outlineLevel="1">
      <c r="A3172" s="1072" t="str">
        <f>IF(G3172&lt;&gt;0,1,"")</f>
        <v/>
      </c>
      <c r="B3172" s="1068" t="s">
        <v>22</v>
      </c>
      <c r="C3172" s="1302"/>
      <c r="D3172" s="1198">
        <f>VLOOKUP($B3172,dongia1,DG!$B$5,)</f>
        <v>0</v>
      </c>
      <c r="E3172" s="1243" t="str">
        <f>VLOOKUP($B3172,dongia1,DG!$C$5,)</f>
        <v>Cáp 24kV C/XLPE/DSTA/PVC3x50</v>
      </c>
      <c r="F3172" s="1198" t="str">
        <f>VLOOKUP($B3172,dongia1,DG!$D$5,)</f>
        <v>mét</v>
      </c>
      <c r="G3172" s="1304">
        <f>(3+10)*1.02*G3170</f>
        <v>0</v>
      </c>
      <c r="H3172" s="1298">
        <f>VLOOKUP($B3172,dongia1,DG!$F$5,)</f>
        <v>763500</v>
      </c>
      <c r="I3172" s="1298"/>
      <c r="J3172" s="1298">
        <f>VLOOKUP($B3172,dongia1,DG!$G$5,)</f>
        <v>0</v>
      </c>
      <c r="K3172" s="1298">
        <f>VLOOKUP($B3172,dongia1,DG!$H$5,)</f>
        <v>0</v>
      </c>
      <c r="L3172" s="1298">
        <f>H3172*G3172</f>
        <v>0</v>
      </c>
      <c r="M3172" s="1298">
        <f>I3172*G3172</f>
        <v>0</v>
      </c>
      <c r="N3172" s="1298">
        <f>J3172*G3172</f>
        <v>0</v>
      </c>
      <c r="O3172" s="1298">
        <f>K3172*G3172</f>
        <v>0</v>
      </c>
      <c r="P3172" s="1299"/>
      <c r="Q3172" s="1300"/>
      <c r="R3172" s="1300"/>
      <c r="S3172" s="1300"/>
    </row>
    <row r="3173" spans="1:19" s="1081" customFormat="1" hidden="1" outlineLevel="1">
      <c r="A3173" s="1072" t="str">
        <f t="shared" ref="A3173:A3182" si="801">IF(G3173&lt;&gt;0,1,"")</f>
        <v/>
      </c>
      <c r="B3173" s="1068" t="s">
        <v>2071</v>
      </c>
      <c r="C3173" s="1302"/>
      <c r="D3173" s="1198">
        <f>VLOOKUP($B3173,dongia1,DG!$B$5,)</f>
        <v>0</v>
      </c>
      <c r="E3173" s="1243" t="str">
        <f>VLOOKUP($B3173,dongia1,DG!$C$5,)</f>
        <v>Cáp 24KV C/XLPE/PVC 50mm2</v>
      </c>
      <c r="F3173" s="1198" t="str">
        <f>VLOOKUP($B3173,dongia1,DG!$D$5,)</f>
        <v>mét</v>
      </c>
      <c r="G3173" s="1304">
        <f>G3170*0.5*3</f>
        <v>0</v>
      </c>
      <c r="H3173" s="1298">
        <f>VLOOKUP($B3173,dongia1,DG!$F$5,)</f>
        <v>204900</v>
      </c>
      <c r="I3173" s="1298"/>
      <c r="J3173" s="1298">
        <f>VLOOKUP($B3173,dongia1,DG!$G$5,)</f>
        <v>0</v>
      </c>
      <c r="K3173" s="1298">
        <f>VLOOKUP($B3173,dongia1,DG!$H$5,)</f>
        <v>0</v>
      </c>
      <c r="L3173" s="1298">
        <f>H3173*G3173</f>
        <v>0</v>
      </c>
      <c r="M3173" s="1298">
        <f>I3173*G3173</f>
        <v>0</v>
      </c>
      <c r="N3173" s="1298">
        <f>J3173*G3173</f>
        <v>0</v>
      </c>
      <c r="O3173" s="1298">
        <f>K3173*G3173</f>
        <v>0</v>
      </c>
      <c r="P3173" s="1299"/>
      <c r="Q3173" s="1300"/>
      <c r="R3173" s="1300"/>
      <c r="S3173" s="1300"/>
    </row>
    <row r="3174" spans="1:19" s="1081" customFormat="1" hidden="1" outlineLevel="1">
      <c r="A3174" s="1072" t="str">
        <f t="shared" si="801"/>
        <v/>
      </c>
      <c r="B3174" s="1068" t="s">
        <v>631</v>
      </c>
      <c r="C3174" s="1302"/>
      <c r="D3174" s="1198">
        <f>VLOOKUP($B3174,dongia1,DG!$B$5,)</f>
        <v>0</v>
      </c>
      <c r="E3174" s="1243" t="str">
        <f>VLOOKUP($B3174,dongia1,DG!$C$5,)</f>
        <v>Đầu cáp ngầm 24KV 3x50mm2 outdoor</v>
      </c>
      <c r="F3174" s="1198" t="str">
        <f>VLOOKUP($B3174,dongia1,DG!$D$5,)</f>
        <v>cái</v>
      </c>
      <c r="G3174" s="1304">
        <f>G3170*2</f>
        <v>0</v>
      </c>
      <c r="H3174" s="1298">
        <f>VLOOKUP($B3174,dongia1,DG!$F$5,)</f>
        <v>4022000</v>
      </c>
      <c r="I3174" s="1298"/>
      <c r="J3174" s="1298">
        <f>VLOOKUP($B3174,dongia1,DG!$G$5,)</f>
        <v>0</v>
      </c>
      <c r="K3174" s="1298">
        <f>VLOOKUP($B3174,dongia1,DG!$H$5,)</f>
        <v>0</v>
      </c>
      <c r="L3174" s="1298">
        <f t="shared" ref="L3174:L3179" si="802">H3174*G3174</f>
        <v>0</v>
      </c>
      <c r="M3174" s="1298">
        <f t="shared" ref="M3174:M3179" si="803">I3174*G3174</f>
        <v>0</v>
      </c>
      <c r="N3174" s="1298">
        <f t="shared" ref="N3174:N3179" si="804">J3174*G3174</f>
        <v>0</v>
      </c>
      <c r="O3174" s="1298">
        <f t="shared" ref="O3174:O3179" si="805">K3174*G3174</f>
        <v>0</v>
      </c>
      <c r="P3174" s="1299"/>
      <c r="Q3174" s="1300"/>
      <c r="R3174" s="1300"/>
      <c r="S3174" s="1300"/>
    </row>
    <row r="3175" spans="1:19" s="1081" customFormat="1" hidden="1" outlineLevel="1">
      <c r="A3175" s="1072" t="str">
        <f t="shared" si="801"/>
        <v/>
      </c>
      <c r="B3175" s="1068" t="s">
        <v>22</v>
      </c>
      <c r="C3175" s="1302"/>
      <c r="D3175" s="1198">
        <f>VLOOKUP($B3175,dongia1,DG!$B$5,)</f>
        <v>0</v>
      </c>
      <c r="E3175" s="1243" t="str">
        <f>VLOOKUP($B3175,dongia1,DG!$C$5,)</f>
        <v>Cáp 24kV C/XLPE/DSTA/PVC3x50</v>
      </c>
      <c r="F3175" s="1198" t="str">
        <f>VLOOKUP($B3175,dongia1,DG!$D$5,)</f>
        <v>mét</v>
      </c>
      <c r="G3175" s="1304">
        <f>(1.2+2.4)*G3170</f>
        <v>0</v>
      </c>
      <c r="H3175" s="1298">
        <f>VLOOKUP($B3175,dongia1,DG!$F$5,)</f>
        <v>763500</v>
      </c>
      <c r="I3175" s="1298"/>
      <c r="J3175" s="1298">
        <f>VLOOKUP($B3175,dongia1,DG!$G$5,)</f>
        <v>0</v>
      </c>
      <c r="K3175" s="1298">
        <f>VLOOKUP($B3175,dongia1,DG!$H$5,)</f>
        <v>0</v>
      </c>
      <c r="L3175" s="1298">
        <f t="shared" si="802"/>
        <v>0</v>
      </c>
      <c r="M3175" s="1298">
        <f t="shared" si="803"/>
        <v>0</v>
      </c>
      <c r="N3175" s="1298">
        <f t="shared" si="804"/>
        <v>0</v>
      </c>
      <c r="O3175" s="1298">
        <f t="shared" si="805"/>
        <v>0</v>
      </c>
      <c r="P3175" s="1299"/>
      <c r="Q3175" s="1300"/>
      <c r="R3175" s="1300"/>
      <c r="S3175" s="1300"/>
    </row>
    <row r="3176" spans="1:19" s="1081" customFormat="1" hidden="1" outlineLevel="1">
      <c r="A3176" s="1072" t="str">
        <f t="shared" si="801"/>
        <v/>
      </c>
      <c r="B3176" s="1068" t="s">
        <v>2071</v>
      </c>
      <c r="C3176" s="1302"/>
      <c r="D3176" s="1198">
        <f>VLOOKUP($B3176,dongia1,DG!$B$5,)</f>
        <v>0</v>
      </c>
      <c r="E3176" s="1243" t="str">
        <f>VLOOKUP($B3176,dongia1,DG!$C$5,)</f>
        <v>Cáp 24KV C/XLPE/PVC 50mm2</v>
      </c>
      <c r="F3176" s="1198" t="str">
        <f>VLOOKUP($B3176,dongia1,DG!$D$5,)</f>
        <v>mét</v>
      </c>
      <c r="G3176" s="1304">
        <f>G3175*0</f>
        <v>0</v>
      </c>
      <c r="H3176" s="1298">
        <f>VLOOKUP($B3176,dongia1,DG!$F$5,)</f>
        <v>204900</v>
      </c>
      <c r="I3176" s="1298"/>
      <c r="J3176" s="1298">
        <f>VLOOKUP($B3176,dongia1,DG!$G$5,)</f>
        <v>0</v>
      </c>
      <c r="K3176" s="1298">
        <f>VLOOKUP($B3176,dongia1,DG!$H$5,)</f>
        <v>0</v>
      </c>
      <c r="L3176" s="1298">
        <f t="shared" si="802"/>
        <v>0</v>
      </c>
      <c r="M3176" s="1298">
        <f t="shared" si="803"/>
        <v>0</v>
      </c>
      <c r="N3176" s="1298">
        <f t="shared" si="804"/>
        <v>0</v>
      </c>
      <c r="O3176" s="1298">
        <f t="shared" si="805"/>
        <v>0</v>
      </c>
      <c r="P3176" s="1299"/>
      <c r="Q3176" s="1300"/>
      <c r="R3176" s="1300"/>
      <c r="S3176" s="1300"/>
    </row>
    <row r="3177" spans="1:19" s="1081" customFormat="1" hidden="1" outlineLevel="1">
      <c r="A3177" s="1072" t="str">
        <f t="shared" si="801"/>
        <v/>
      </c>
      <c r="B3177" s="1068" t="s">
        <v>632</v>
      </c>
      <c r="C3177" s="1302"/>
      <c r="D3177" s="1198">
        <f>VLOOKUP($B3177,dongia1,DG!$B$5,)</f>
        <v>0</v>
      </c>
      <c r="E3177" s="1243" t="str">
        <f>VLOOKUP($B3177,dongia1,DG!$C$5,)</f>
        <v>Đầu cáp ngầm 24KV 3x50mm2 indoor</v>
      </c>
      <c r="F3177" s="1198" t="str">
        <f>VLOOKUP($B3177,dongia1,DG!$D$5,)</f>
        <v>cái</v>
      </c>
      <c r="G3177" s="1304">
        <f>G3170*3</f>
        <v>0</v>
      </c>
      <c r="H3177" s="1298">
        <f>VLOOKUP($B3177,dongia1,DG!$F$5,)</f>
        <v>5242230</v>
      </c>
      <c r="I3177" s="1298"/>
      <c r="J3177" s="1298">
        <f>VLOOKUP($B3177,dongia1,DG!$G$5,)</f>
        <v>0</v>
      </c>
      <c r="K3177" s="1298">
        <f>VLOOKUP($B3177,dongia1,DG!$H$5,)</f>
        <v>0</v>
      </c>
      <c r="L3177" s="1298">
        <f t="shared" si="802"/>
        <v>0</v>
      </c>
      <c r="M3177" s="1298">
        <f t="shared" si="803"/>
        <v>0</v>
      </c>
      <c r="N3177" s="1298">
        <f t="shared" si="804"/>
        <v>0</v>
      </c>
      <c r="O3177" s="1298">
        <f t="shared" si="805"/>
        <v>0</v>
      </c>
      <c r="P3177" s="1299"/>
      <c r="Q3177" s="1300"/>
      <c r="R3177" s="1300"/>
      <c r="S3177" s="1300"/>
    </row>
    <row r="3178" spans="1:19" s="1081" customFormat="1" hidden="1" outlineLevel="1">
      <c r="A3178" s="1072" t="str">
        <f t="shared" si="801"/>
        <v/>
      </c>
      <c r="B3178" s="1068" t="s">
        <v>1494</v>
      </c>
      <c r="C3178" s="1302"/>
      <c r="D3178" s="1198" t="str">
        <f>VLOOKUP($B3178,dongia1,DG!$B$5,)</f>
        <v>D4.3312</v>
      </c>
      <c r="E3178" s="1243" t="str">
        <f>VLOOKUP($B3178,dongia1,DG!$C$5,)</f>
        <v>Lắp đầu cáp trung thế 3x50mm2, 70mm2</v>
      </c>
      <c r="F3178" s="1198" t="str">
        <f>VLOOKUP($B3178,dongia1,DG!$D$5,)</f>
        <v>cái</v>
      </c>
      <c r="G3178" s="1304">
        <f>G3174+G3177</f>
        <v>0</v>
      </c>
      <c r="H3178" s="1298">
        <f>VLOOKUP($B3178,dongia1,DG!$F$5,)</f>
        <v>11340</v>
      </c>
      <c r="I3178" s="1298"/>
      <c r="J3178" s="1298">
        <f>VLOOKUP($B3178,dongia1,DG!$G$5,)</f>
        <v>621381.64999999991</v>
      </c>
      <c r="K3178" s="1298">
        <f>VLOOKUP($B3178,dongia1,DG!$H$5,)</f>
        <v>0</v>
      </c>
      <c r="L3178" s="1298">
        <f t="shared" si="802"/>
        <v>0</v>
      </c>
      <c r="M3178" s="1298">
        <f t="shared" si="803"/>
        <v>0</v>
      </c>
      <c r="N3178" s="1298">
        <f t="shared" si="804"/>
        <v>0</v>
      </c>
      <c r="O3178" s="1298">
        <f t="shared" si="805"/>
        <v>0</v>
      </c>
      <c r="P3178" s="1299"/>
      <c r="Q3178" s="1300"/>
      <c r="R3178" s="1300"/>
      <c r="S3178" s="1300"/>
    </row>
    <row r="3179" spans="1:19" s="1081" customFormat="1" hidden="1" outlineLevel="1">
      <c r="A3179" s="1072" t="str">
        <f t="shared" si="801"/>
        <v/>
      </c>
      <c r="B3179" s="1068" t="s">
        <v>1536</v>
      </c>
      <c r="C3179" s="1302"/>
      <c r="D3179" s="1198" t="str">
        <f>VLOOKUP($B3179,dongia1,DG!$B$5,)</f>
        <v>D4.24.05</v>
      </c>
      <c r="E3179" s="1243" t="str">
        <f>VLOOKUP($B3179,dongia1,DG!$C$5,)</f>
        <v>Lắp cáp trong ống bảo vệ loại &lt;=6kg</v>
      </c>
      <c r="F3179" s="1198" t="str">
        <f>VLOOKUP($B3179,dongia1,DG!$D$5,)</f>
        <v>mét</v>
      </c>
      <c r="G3179" s="1304">
        <f>G3172+G3175</f>
        <v>0</v>
      </c>
      <c r="H3179" s="1298">
        <f>VLOOKUP($B3179,dongia1,DG!$F$5,)</f>
        <v>546.91999999999996</v>
      </c>
      <c r="I3179" s="1298"/>
      <c r="J3179" s="1298">
        <f>VLOOKUP($B3179,dongia1,DG!$G$5,)</f>
        <v>21459.713</v>
      </c>
      <c r="K3179" s="1298">
        <f>VLOOKUP($B3179,dongia1,DG!$H$5,)</f>
        <v>0</v>
      </c>
      <c r="L3179" s="1298">
        <f t="shared" si="802"/>
        <v>0</v>
      </c>
      <c r="M3179" s="1298">
        <f t="shared" si="803"/>
        <v>0</v>
      </c>
      <c r="N3179" s="1298">
        <f t="shared" si="804"/>
        <v>0</v>
      </c>
      <c r="O3179" s="1298">
        <f t="shared" si="805"/>
        <v>0</v>
      </c>
      <c r="P3179" s="1299"/>
      <c r="Q3179" s="1300"/>
      <c r="R3179" s="1300"/>
      <c r="S3179" s="1300"/>
    </row>
    <row r="3180" spans="1:19" s="1081" customFormat="1" hidden="1" outlineLevel="1">
      <c r="A3180" s="1072" t="str">
        <f t="shared" si="801"/>
        <v/>
      </c>
      <c r="B3180" s="1068" t="s">
        <v>224</v>
      </c>
      <c r="C3180" s="1302"/>
      <c r="D3180" s="1198" t="str">
        <f>VLOOKUP($B3180,dongia1,DG!$B$5,)</f>
        <v>T4.4201</v>
      </c>
      <c r="E3180" s="1243" t="str">
        <f>VLOOKUP($B3180,dongia1,DG!$C$5,)</f>
        <v>Lắp cáp đồng xuống thiết bị D ≤ 95mm2</v>
      </c>
      <c r="F3180" s="1198" t="str">
        <f>VLOOKUP($B3180,dongia1,DG!$D$5,)</f>
        <v>m</v>
      </c>
      <c r="G3180" s="1304">
        <f>G3173</f>
        <v>0</v>
      </c>
      <c r="H3180" s="1298">
        <f>VLOOKUP($B3180,dongia1,DG!$F$5,)</f>
        <v>0</v>
      </c>
      <c r="I3180" s="1298"/>
      <c r="J3180" s="1298">
        <f>VLOOKUP($B3180,dongia1,DG!$G$5,)</f>
        <v>13915</v>
      </c>
      <c r="K3180" s="1298">
        <f>VLOOKUP($B3180,dongia1,DG!$H$5,)</f>
        <v>0</v>
      </c>
      <c r="L3180" s="1298">
        <f>H3180*G3180</f>
        <v>0</v>
      </c>
      <c r="M3180" s="1298">
        <f>I3180*G3180</f>
        <v>0</v>
      </c>
      <c r="N3180" s="1298">
        <f>J3180*G3180</f>
        <v>0</v>
      </c>
      <c r="O3180" s="1298">
        <f>K3180*G3180</f>
        <v>0</v>
      </c>
      <c r="P3180" s="1299"/>
      <c r="Q3180" s="1300"/>
      <c r="R3180" s="1300"/>
      <c r="S3180" s="1300"/>
    </row>
    <row r="3181" spans="1:19" s="1081" customFormat="1" hidden="1" outlineLevel="1">
      <c r="A3181" s="1072" t="str">
        <f t="shared" si="801"/>
        <v/>
      </c>
      <c r="B3181" s="1068" t="s">
        <v>627</v>
      </c>
      <c r="C3181" s="1302"/>
      <c r="D3181" s="1198">
        <f>VLOOKUP($B3181,dongia1,DG!$B$5,)</f>
        <v>0</v>
      </c>
      <c r="E3181" s="1243" t="str">
        <f>VLOOKUP($B3181,dongia1,DG!$C$5,)</f>
        <v>Dây rút cáp</v>
      </c>
      <c r="F3181" s="1198" t="str">
        <f>VLOOKUP($B3181,dongia1,DG!$D$5,)</f>
        <v>bọc</v>
      </c>
      <c r="G3181" s="1304">
        <f>G3170*2</f>
        <v>0</v>
      </c>
      <c r="H3181" s="1298">
        <f>VLOOKUP($B3181,dongia1,DG!$F$5,)</f>
        <v>15000</v>
      </c>
      <c r="I3181" s="1298"/>
      <c r="J3181" s="1298">
        <f>VLOOKUP($B3181,dongia1,DG!$G$5,)</f>
        <v>0</v>
      </c>
      <c r="K3181" s="1298">
        <f>VLOOKUP($B3181,dongia1,DG!$H$5,)</f>
        <v>0</v>
      </c>
      <c r="L3181" s="1298">
        <f>H3181*G3181</f>
        <v>0</v>
      </c>
      <c r="M3181" s="1298">
        <f>I3181*G3181</f>
        <v>0</v>
      </c>
      <c r="N3181" s="1298">
        <f>J3181*G3181</f>
        <v>0</v>
      </c>
      <c r="O3181" s="1298">
        <f>K3181*G3181</f>
        <v>0</v>
      </c>
      <c r="P3181" s="1299"/>
      <c r="Q3181" s="1300"/>
      <c r="R3181" s="1300"/>
      <c r="S3181" s="1300"/>
    </row>
    <row r="3182" spans="1:19" s="1081" customFormat="1" hidden="1" outlineLevel="1">
      <c r="A3182" s="1072" t="str">
        <f t="shared" si="801"/>
        <v/>
      </c>
      <c r="B3182" s="1295"/>
      <c r="C3182" s="1291">
        <f>IF(G3182&gt;0,C3170+1,C3170)</f>
        <v>0</v>
      </c>
      <c r="D3182" s="1292"/>
      <c r="E3182" s="1293" t="s">
        <v>3443</v>
      </c>
      <c r="F3182" s="1291" t="s">
        <v>2113</v>
      </c>
      <c r="G3182" s="1297">
        <f>G3084</f>
        <v>0</v>
      </c>
      <c r="H3182" s="1298"/>
      <c r="I3182" s="1298"/>
      <c r="J3182" s="1298"/>
      <c r="K3182" s="1298"/>
      <c r="L3182" s="1298"/>
      <c r="M3182" s="1298"/>
      <c r="N3182" s="1298"/>
      <c r="O3182" s="1298"/>
      <c r="P3182" s="1299"/>
      <c r="Q3182" s="1300"/>
      <c r="R3182" s="1300"/>
      <c r="S3182" s="1300"/>
    </row>
    <row r="3183" spans="1:19" s="1081" customFormat="1" ht="14.4" hidden="1" outlineLevel="1">
      <c r="A3183" s="1072" t="str">
        <f>A3182</f>
        <v/>
      </c>
      <c r="B3183" s="1295"/>
      <c r="C3183" s="1291"/>
      <c r="D3183" s="1292"/>
      <c r="E3183" s="1308" t="s">
        <v>3399</v>
      </c>
      <c r="F3183" s="1291"/>
      <c r="G3183" s="1297"/>
      <c r="H3183" s="1298"/>
      <c r="I3183" s="1298"/>
      <c r="J3183" s="1298"/>
      <c r="K3183" s="1298"/>
      <c r="L3183" s="1298"/>
      <c r="M3183" s="1298"/>
      <c r="N3183" s="1298"/>
      <c r="O3183" s="1298"/>
      <c r="P3183" s="1299"/>
      <c r="Q3183" s="1300"/>
      <c r="R3183" s="1300"/>
      <c r="S3183" s="1300"/>
    </row>
    <row r="3184" spans="1:19" s="1081" customFormat="1" hidden="1" outlineLevel="1">
      <c r="A3184" s="1072" t="str">
        <f t="shared" ref="A3184:A3189" si="806">IF(G3184&lt;&gt;0,1,"")</f>
        <v/>
      </c>
      <c r="B3184" s="1068" t="s">
        <v>648</v>
      </c>
      <c r="C3184" s="1302"/>
      <c r="D3184" s="1198">
        <f>VLOOKUP($B3184,dongia1,DG!$B$5,)</f>
        <v>0</v>
      </c>
      <c r="E3184" s="1243" t="str">
        <f>VLOOKUP($B3184,dongia1,DG!$C$5,)</f>
        <v>Cáp 24KV C/XLPE/PVC- 25mm2</v>
      </c>
      <c r="F3184" s="1198" t="str">
        <f>VLOOKUP($B3184,dongia1,DG!$D$5,)</f>
        <v>mét</v>
      </c>
      <c r="G3184" s="1303">
        <f>G3182*9*3</f>
        <v>0</v>
      </c>
      <c r="H3184" s="1298">
        <f>VLOOKUP($B3184,dongia1,DG!$F$5,)</f>
        <v>50996</v>
      </c>
      <c r="I3184" s="1298"/>
      <c r="J3184" s="1298">
        <f>VLOOKUP($B3184,dongia1,DG!$G$5,)</f>
        <v>0</v>
      </c>
      <c r="K3184" s="1298">
        <f>VLOOKUP($B3184,dongia1,DG!$H$5,)</f>
        <v>0</v>
      </c>
      <c r="L3184" s="1298">
        <f t="shared" ref="L3184:L3189" si="807">H3184*G3184</f>
        <v>0</v>
      </c>
      <c r="M3184" s="1298">
        <f>I3184*G3184</f>
        <v>0</v>
      </c>
      <c r="N3184" s="1298">
        <f t="shared" ref="N3184:N3189" si="808">J3184*G3184</f>
        <v>0</v>
      </c>
      <c r="O3184" s="1298">
        <f t="shared" ref="O3184:O3189" si="809">K3184*G3184</f>
        <v>0</v>
      </c>
      <c r="P3184" s="1299"/>
      <c r="Q3184" s="1300"/>
      <c r="R3184" s="1300"/>
      <c r="S3184" s="1300"/>
    </row>
    <row r="3185" spans="1:19" s="1081" customFormat="1" hidden="1" outlineLevel="1">
      <c r="A3185" s="1072" t="str">
        <f t="shared" si="806"/>
        <v/>
      </c>
      <c r="B3185" s="1421" t="s">
        <v>914</v>
      </c>
      <c r="C3185" s="1302"/>
      <c r="D3185" s="1198">
        <f>VLOOKUP($B3185,dongia1,DG!$B$5,)</f>
        <v>0</v>
      </c>
      <c r="E3185" s="1243" t="str">
        <f>VLOOKUP($B3185,dongia1,DG!$C$5,)</f>
        <v>Kẹp ép cỡ dây 25mm2</v>
      </c>
      <c r="F3185" s="1198" t="str">
        <f>VLOOKUP($B3185,dongia1,DG!$D$5,)</f>
        <v>cái</v>
      </c>
      <c r="G3185" s="1303">
        <f>G3182*3*2</f>
        <v>0</v>
      </c>
      <c r="H3185" s="1298">
        <f>VLOOKUP($B3185,dongia1,DG!$F$5,)</f>
        <v>6000</v>
      </c>
      <c r="I3185" s="1298"/>
      <c r="J3185" s="1298">
        <f>VLOOKUP($B3185,dongia1,DG!$G$5,)</f>
        <v>0</v>
      </c>
      <c r="K3185" s="1298">
        <f>VLOOKUP($B3185,dongia1,DG!$H$5,)</f>
        <v>0</v>
      </c>
      <c r="L3185" s="1298">
        <f t="shared" si="807"/>
        <v>0</v>
      </c>
      <c r="M3185" s="1298">
        <v>0</v>
      </c>
      <c r="N3185" s="1298">
        <f t="shared" si="808"/>
        <v>0</v>
      </c>
      <c r="O3185" s="1298">
        <f t="shared" si="809"/>
        <v>0</v>
      </c>
      <c r="P3185" s="1299"/>
      <c r="Q3185" s="1300"/>
      <c r="R3185" s="1300"/>
      <c r="S3185" s="1300"/>
    </row>
    <row r="3186" spans="1:19" s="1081" customFormat="1" hidden="1" outlineLevel="1">
      <c r="A3186" s="1072" t="str">
        <f t="shared" si="806"/>
        <v/>
      </c>
      <c r="B3186" s="1421" t="s">
        <v>2028</v>
      </c>
      <c r="C3186" s="1302"/>
      <c r="D3186" s="1198">
        <f>VLOOKUP($B3186,dongia1,DG!$B$5,)</f>
        <v>0</v>
      </c>
      <c r="E3186" s="1243" t="str">
        <f>VLOOKUP($B3186,dongia1,DG!$C$5,)</f>
        <v>Kẹp quai 2/0</v>
      </c>
      <c r="F3186" s="1198" t="str">
        <f>VLOOKUP($B3186,dongia1,DG!$D$5,)</f>
        <v>cái</v>
      </c>
      <c r="G3186" s="1303">
        <f>G3182*3</f>
        <v>0</v>
      </c>
      <c r="H3186" s="1298">
        <f>VLOOKUP($B3186,dongia1,DG!$F$5,)</f>
        <v>46000</v>
      </c>
      <c r="I3186" s="1298"/>
      <c r="J3186" s="1298">
        <f>VLOOKUP($B3186,dongia1,DG!$G$5,)</f>
        <v>0</v>
      </c>
      <c r="K3186" s="1298">
        <f>VLOOKUP($B3186,dongia1,DG!$H$5,)</f>
        <v>0</v>
      </c>
      <c r="L3186" s="1298">
        <f t="shared" si="807"/>
        <v>0</v>
      </c>
      <c r="M3186" s="1298">
        <f>I3186*G3186</f>
        <v>0</v>
      </c>
      <c r="N3186" s="1298">
        <f t="shared" si="808"/>
        <v>0</v>
      </c>
      <c r="O3186" s="1298">
        <f t="shared" si="809"/>
        <v>0</v>
      </c>
      <c r="P3186" s="1299"/>
      <c r="Q3186" s="1300"/>
      <c r="R3186" s="1300"/>
      <c r="S3186" s="1300"/>
    </row>
    <row r="3187" spans="1:19" s="1081" customFormat="1" hidden="1" outlineLevel="1">
      <c r="A3187" s="1072" t="str">
        <f t="shared" si="806"/>
        <v/>
      </c>
      <c r="B3187" s="1421" t="s">
        <v>2026</v>
      </c>
      <c r="C3187" s="1302"/>
      <c r="D3187" s="1198">
        <f>VLOOKUP($B3187,dongia1,DG!$B$5,)</f>
        <v>0</v>
      </c>
      <c r="E3187" s="1243" t="str">
        <f>VLOOKUP($B3187,dongia1,DG!$C$5,)&amp;": "</f>
        <v xml:space="preserve">Kẹp hotline 2/0: </v>
      </c>
      <c r="F3187" s="1198" t="str">
        <f>VLOOKUP($B3187,dongia1,DG!$D$5,)</f>
        <v>cái</v>
      </c>
      <c r="G3187" s="1303">
        <f>G3186</f>
        <v>0</v>
      </c>
      <c r="H3187" s="1298">
        <f>VLOOKUP($B3187,dongia1,DG!$F$5,)</f>
        <v>77000</v>
      </c>
      <c r="I3187" s="1298"/>
      <c r="J3187" s="1298">
        <f>VLOOKUP($B3187,dongia1,DG!$G$5,)</f>
        <v>0</v>
      </c>
      <c r="K3187" s="1298">
        <f>VLOOKUP($B3187,dongia1,DG!$H$5,)</f>
        <v>0</v>
      </c>
      <c r="L3187" s="1298">
        <f t="shared" si="807"/>
        <v>0</v>
      </c>
      <c r="M3187" s="1298">
        <f>I3187*G3187</f>
        <v>0</v>
      </c>
      <c r="N3187" s="1298">
        <f t="shared" si="808"/>
        <v>0</v>
      </c>
      <c r="O3187" s="1298">
        <f t="shared" si="809"/>
        <v>0</v>
      </c>
      <c r="P3187" s="1299"/>
      <c r="Q3187" s="1300"/>
      <c r="R3187" s="1300"/>
      <c r="S3187" s="1300"/>
    </row>
    <row r="3188" spans="1:19" s="1081" customFormat="1" hidden="1" outlineLevel="1">
      <c r="A3188" s="1072" t="str">
        <f t="shared" si="806"/>
        <v/>
      </c>
      <c r="B3188" s="1068" t="s">
        <v>647</v>
      </c>
      <c r="C3188" s="1437"/>
      <c r="D3188" s="1198">
        <f>VLOOKUP($B3188,dongia1,DG!$B$5,)</f>
        <v>0</v>
      </c>
      <c r="E3188" s="1243" t="str">
        <f>VLOOKUP($B3188,dongia1,DG!$C$5,)</f>
        <v xml:space="preserve">Sứ đứng 24KV </v>
      </c>
      <c r="F3188" s="1198" t="str">
        <f>VLOOKUP($B3188,dongia1,DG!$D$5,)</f>
        <v>cái</v>
      </c>
      <c r="G3188" s="1303">
        <f>+G3182*3*3</f>
        <v>0</v>
      </c>
      <c r="H3188" s="1298">
        <f>VLOOKUP($B3188,dongia1,DG!$F$5,)</f>
        <v>205000</v>
      </c>
      <c r="I3188" s="1298"/>
      <c r="J3188" s="1298">
        <f>VLOOKUP($B3188,dongia1,DG!$G$5,)</f>
        <v>0</v>
      </c>
      <c r="K3188" s="1298">
        <f>VLOOKUP($B3188,dongia1,DG!$H$5,)</f>
        <v>0</v>
      </c>
      <c r="L3188" s="1298">
        <f t="shared" si="807"/>
        <v>0</v>
      </c>
      <c r="M3188" s="1298">
        <f>I3188*G3188</f>
        <v>0</v>
      </c>
      <c r="N3188" s="1298">
        <f t="shared" si="808"/>
        <v>0</v>
      </c>
      <c r="O3188" s="1298">
        <f t="shared" si="809"/>
        <v>0</v>
      </c>
      <c r="P3188" s="1299"/>
      <c r="Q3188" s="1300"/>
      <c r="R3188" s="1300"/>
      <c r="S3188" s="1300"/>
    </row>
    <row r="3189" spans="1:19" s="1081" customFormat="1" hidden="1" outlineLevel="1">
      <c r="A3189" s="1072" t="str">
        <f t="shared" si="806"/>
        <v/>
      </c>
      <c r="B3189" s="1068" t="s">
        <v>414</v>
      </c>
      <c r="C3189" s="1302"/>
      <c r="D3189" s="1198">
        <f>VLOOKUP($B3189,dongia1,DG!$B$5,)</f>
        <v>0</v>
      </c>
      <c r="E3189" s="1243" t="str">
        <f>VLOOKUP($B3189,dongia1,DG!$C$5,)</f>
        <v>Chân sứ đứng D20</v>
      </c>
      <c r="F3189" s="1198" t="str">
        <f>VLOOKUP($B3189,dongia1,DG!$D$5,)</f>
        <v>cái</v>
      </c>
      <c r="G3189" s="1303">
        <f>+G3188</f>
        <v>0</v>
      </c>
      <c r="H3189" s="1298">
        <f>VLOOKUP($B3189,dongia1,DG!$F$5,)</f>
        <v>65000</v>
      </c>
      <c r="I3189" s="1298"/>
      <c r="J3189" s="1298">
        <f>VLOOKUP($B3189,dongia1,DG!$G$5,)</f>
        <v>0</v>
      </c>
      <c r="K3189" s="1298">
        <f>VLOOKUP($B3189,dongia1,DG!$H$5,)</f>
        <v>0</v>
      </c>
      <c r="L3189" s="1298">
        <f t="shared" si="807"/>
        <v>0</v>
      </c>
      <c r="M3189" s="1298">
        <f>I3189*G3189</f>
        <v>0</v>
      </c>
      <c r="N3189" s="1298">
        <f t="shared" si="808"/>
        <v>0</v>
      </c>
      <c r="O3189" s="1298">
        <f t="shared" si="809"/>
        <v>0</v>
      </c>
      <c r="P3189" s="1299"/>
      <c r="Q3189" s="1300"/>
      <c r="R3189" s="1300"/>
      <c r="S3189" s="1300"/>
    </row>
    <row r="3190" spans="1:19" s="1081" customFormat="1" hidden="1" outlineLevel="1">
      <c r="A3190" s="1072" t="str">
        <f>IF(G3190&lt;&gt;0,1,"")</f>
        <v/>
      </c>
      <c r="B3190" s="1068" t="s">
        <v>1116</v>
      </c>
      <c r="C3190" s="1302"/>
      <c r="D3190" s="1198" t="str">
        <f>VLOOKUP($B3190,dongia1,DG!$B$5,)</f>
        <v>D3.1115</v>
      </c>
      <c r="E3190" s="1243" t="str">
        <f>VLOOKUP($B3190,dongia1,DG!$C$5,)</f>
        <v>Lắp sứ đứng 24KV</v>
      </c>
      <c r="F3190" s="1198" t="str">
        <f>VLOOKUP($B3190,dongia1,DG!$D$5,)</f>
        <v>bộ</v>
      </c>
      <c r="G3190" s="1303">
        <f>G3188</f>
        <v>0</v>
      </c>
      <c r="H3190" s="1298">
        <f>VLOOKUP($B3190,dongia1,DG!$F$5,)</f>
        <v>510</v>
      </c>
      <c r="I3190" s="1298"/>
      <c r="J3190" s="1298">
        <f>VLOOKUP($B3190,dongia1,DG!$G$5,)</f>
        <v>58277.49</v>
      </c>
      <c r="K3190" s="1298">
        <f>VLOOKUP($B3190,dongia1,DG!$H$5,)</f>
        <v>0</v>
      </c>
      <c r="L3190" s="1298">
        <f>H3190*G3190</f>
        <v>0</v>
      </c>
      <c r="M3190" s="1298">
        <f>I3190*G3190</f>
        <v>0</v>
      </c>
      <c r="N3190" s="1298">
        <f>J3190*G3190</f>
        <v>0</v>
      </c>
      <c r="O3190" s="1298">
        <f>K3190*G3190</f>
        <v>0</v>
      </c>
      <c r="P3190" s="1299"/>
      <c r="Q3190" s="1300"/>
      <c r="R3190" s="1300"/>
      <c r="S3190" s="1300"/>
    </row>
    <row r="3191" spans="1:19" s="1081" customFormat="1" hidden="1" outlineLevel="1">
      <c r="A3191" s="1072" t="str">
        <f>IF(G3191&lt;&gt;0,1,"")</f>
        <v/>
      </c>
      <c r="B3191" s="1068"/>
      <c r="C3191" s="1291">
        <f>IF(G3191&gt;0,C3182+1,C3182)</f>
        <v>0</v>
      </c>
      <c r="D3191" s="1292"/>
      <c r="E3191" s="1293" t="s">
        <v>3462</v>
      </c>
      <c r="F3191" s="1291" t="s">
        <v>2113</v>
      </c>
      <c r="G3191" s="1303">
        <f>G3170+G3182</f>
        <v>0</v>
      </c>
      <c r="H3191" s="1298"/>
      <c r="I3191" s="1298"/>
      <c r="J3191" s="1298"/>
      <c r="K3191" s="1298"/>
      <c r="L3191" s="1298"/>
      <c r="M3191" s="1298"/>
      <c r="N3191" s="1298"/>
      <c r="O3191" s="1298"/>
      <c r="P3191" s="1299"/>
      <c r="Q3191" s="1300"/>
      <c r="R3191" s="1300"/>
      <c r="S3191" s="1300"/>
    </row>
    <row r="3192" spans="1:19" s="1081" customFormat="1" ht="14.4" hidden="1" outlineLevel="1">
      <c r="A3192" s="1072" t="str">
        <f>A3191</f>
        <v/>
      </c>
      <c r="B3192" s="1068"/>
      <c r="C3192" s="1291"/>
      <c r="D3192" s="1292"/>
      <c r="E3192" s="1308" t="s">
        <v>3399</v>
      </c>
      <c r="F3192" s="1291"/>
      <c r="G3192" s="1303"/>
      <c r="H3192" s="1298"/>
      <c r="I3192" s="1298"/>
      <c r="J3192" s="1298"/>
      <c r="K3192" s="1298"/>
      <c r="L3192" s="1298"/>
      <c r="M3192" s="1298"/>
      <c r="N3192" s="1298"/>
      <c r="O3192" s="1298"/>
      <c r="P3192" s="1299"/>
      <c r="Q3192" s="1300"/>
      <c r="R3192" s="1300"/>
      <c r="S3192" s="1300"/>
    </row>
    <row r="3193" spans="1:19" s="1081" customFormat="1" hidden="1" outlineLevel="1">
      <c r="A3193" s="1072" t="str">
        <f t="shared" ref="A3193:A3201" si="810">IF(G3193&lt;&gt;0,1,"")</f>
        <v/>
      </c>
      <c r="B3193" s="1295" t="s">
        <v>874</v>
      </c>
      <c r="C3193" s="1302"/>
      <c r="D3193" s="1568"/>
      <c r="E3193" s="1243" t="str">
        <f>VLOOKUP($B3193,dongia1,DG!$C$5,)</f>
        <v>Cáp 0,6/1KV C/XLPE/PVC 250mm2</v>
      </c>
      <c r="F3193" s="1198" t="str">
        <f>VLOOKUP($B3193,dongia1,DG!$D$5,)</f>
        <v>mét</v>
      </c>
      <c r="G3193" s="1303">
        <f>G3191*(8*3*4+2*8)</f>
        <v>0</v>
      </c>
      <c r="H3193" s="1298">
        <f>VLOOKUP($B3193,dongia1,DG!$F$5,)</f>
        <v>479000</v>
      </c>
      <c r="I3193" s="1298"/>
      <c r="J3193" s="1298">
        <f>VLOOKUP($B3193,dongia1,DG!$G$5,)</f>
        <v>0</v>
      </c>
      <c r="K3193" s="1298">
        <f>VLOOKUP($B3193,dongia1,DG!$H$5,)</f>
        <v>0</v>
      </c>
      <c r="L3193" s="1298">
        <f t="shared" ref="L3193:L3201" si="811">H3193*G3193</f>
        <v>0</v>
      </c>
      <c r="M3193" s="1298">
        <f t="shared" ref="M3193:M3201" si="812">I3193*G3193</f>
        <v>0</v>
      </c>
      <c r="N3193" s="1298">
        <f t="shared" ref="N3193:N3201" si="813">J3193*G3193</f>
        <v>0</v>
      </c>
      <c r="O3193" s="1298">
        <f t="shared" ref="O3193:O3201" si="814">K3193*G3193</f>
        <v>0</v>
      </c>
      <c r="P3193" s="1299"/>
      <c r="Q3193" s="1300"/>
      <c r="R3193" s="1300">
        <f>48*(30+6)</f>
        <v>1728</v>
      </c>
      <c r="S3193" s="1300"/>
    </row>
    <row r="3194" spans="1:19" s="1081" customFormat="1" hidden="1" outlineLevel="1">
      <c r="A3194" s="1072" t="str">
        <f t="shared" si="810"/>
        <v/>
      </c>
      <c r="B3194" s="1295" t="s">
        <v>436</v>
      </c>
      <c r="C3194" s="1302"/>
      <c r="D3194" s="1198" t="str">
        <f>VLOOKUP($B3194,dongia1,DG!$B$5,)</f>
        <v>D4.5009</v>
      </c>
      <c r="E3194" s="1243" t="str">
        <f>VLOOKUP($B3194,dongia1,DG!$C$5,)&amp;": "</f>
        <v xml:space="preserve">Đầu cosse ép Cu 250mm2: </v>
      </c>
      <c r="F3194" s="1198" t="str">
        <f>VLOOKUP($B3194,dongia1,DG!$D$5,)</f>
        <v>cái</v>
      </c>
      <c r="G3194" s="1303">
        <f>+G3191*28</f>
        <v>0</v>
      </c>
      <c r="H3194" s="1298">
        <f>VLOOKUP($B3194,dongia1,DG!$F$5,)</f>
        <v>70000</v>
      </c>
      <c r="I3194" s="1298"/>
      <c r="J3194" s="1298">
        <f>VLOOKUP($B3194,dongia1,DG!$G$5,)</f>
        <v>59410.148000000001</v>
      </c>
      <c r="K3194" s="1298">
        <f>VLOOKUP($B3194,dongia1,DG!$H$5,)</f>
        <v>5554.0464950000005</v>
      </c>
      <c r="L3194" s="1298">
        <f t="shared" si="811"/>
        <v>0</v>
      </c>
      <c r="M3194" s="1298">
        <f t="shared" si="812"/>
        <v>0</v>
      </c>
      <c r="N3194" s="1298">
        <f t="shared" si="813"/>
        <v>0</v>
      </c>
      <c r="O3194" s="1298">
        <f t="shared" si="814"/>
        <v>0</v>
      </c>
      <c r="P3194" s="1299"/>
      <c r="Q3194" s="1300"/>
      <c r="R3194" s="1300"/>
      <c r="S3194" s="1300"/>
    </row>
    <row r="3195" spans="1:19" s="1081" customFormat="1" hidden="1" outlineLevel="1">
      <c r="A3195" s="1072" t="str">
        <f t="shared" si="810"/>
        <v/>
      </c>
      <c r="B3195" s="1295" t="s">
        <v>40</v>
      </c>
      <c r="C3195" s="1302"/>
      <c r="D3195" s="1198">
        <f>VLOOKUP($B3195,dongia1,DG!$B$5,)</f>
        <v>0</v>
      </c>
      <c r="E3195" s="1243" t="str">
        <f>VLOOKUP($B3195,dongia1,DG!$C$5,)&amp;": "</f>
        <v xml:space="preserve">Chụp đầu cosse  250mm2: </v>
      </c>
      <c r="F3195" s="1198" t="str">
        <f>VLOOKUP($B3195,dongia1,DG!$D$5,)</f>
        <v>cái</v>
      </c>
      <c r="G3195" s="1303">
        <f>G3194</f>
        <v>0</v>
      </c>
      <c r="H3195" s="1298">
        <f>VLOOKUP($B3195,dongia1,DG!$F$5,)</f>
        <v>6000</v>
      </c>
      <c r="I3195" s="1298"/>
      <c r="J3195" s="1298">
        <f>VLOOKUP($B3195,dongia1,DG!$G$5,)</f>
        <v>0</v>
      </c>
      <c r="K3195" s="1298">
        <f>VLOOKUP($B3195,dongia1,DG!$H$5,)</f>
        <v>0</v>
      </c>
      <c r="L3195" s="1298">
        <f t="shared" si="811"/>
        <v>0</v>
      </c>
      <c r="M3195" s="1298">
        <f t="shared" si="812"/>
        <v>0</v>
      </c>
      <c r="N3195" s="1298">
        <f t="shared" si="813"/>
        <v>0</v>
      </c>
      <c r="O3195" s="1298">
        <f t="shared" si="814"/>
        <v>0</v>
      </c>
      <c r="P3195" s="1299"/>
      <c r="Q3195" s="1300"/>
      <c r="R3195" s="1300"/>
      <c r="S3195" s="1300"/>
    </row>
    <row r="3196" spans="1:19" s="1081" customFormat="1" hidden="1" outlineLevel="1">
      <c r="A3196" s="1072" t="str">
        <f t="shared" si="810"/>
        <v/>
      </c>
      <c r="B3196" s="1295" t="s">
        <v>961</v>
      </c>
      <c r="C3196" s="1302"/>
      <c r="D3196" s="1198">
        <f>VLOOKUP($B3196,dongia1,DG!$B$5,)</f>
        <v>0</v>
      </c>
      <c r="E3196" s="1243" t="str">
        <f>VLOOKUP($B3196,dongia1,DG!$C$5,)</f>
        <v xml:space="preserve">Ống PVC D114x4,9mm </v>
      </c>
      <c r="F3196" s="1198" t="str">
        <f>VLOOKUP($B3196,dongia1,DG!$D$5,)</f>
        <v>m</v>
      </c>
      <c r="G3196" s="1303">
        <f>6*G3191*$L$2*0</f>
        <v>0</v>
      </c>
      <c r="H3196" s="1298">
        <f>VLOOKUP($B3196,dongia1,DG!$F$5,)</f>
        <v>103700</v>
      </c>
      <c r="I3196" s="1298"/>
      <c r="J3196" s="1298">
        <f>VLOOKUP($B3196,dongia1,DG!$G$5,)</f>
        <v>0</v>
      </c>
      <c r="K3196" s="1298">
        <f>VLOOKUP($B3196,dongia1,DG!$H$5,)</f>
        <v>0</v>
      </c>
      <c r="L3196" s="1298">
        <f t="shared" si="811"/>
        <v>0</v>
      </c>
      <c r="M3196" s="1298">
        <f t="shared" si="812"/>
        <v>0</v>
      </c>
      <c r="N3196" s="1298">
        <f t="shared" si="813"/>
        <v>0</v>
      </c>
      <c r="O3196" s="1298">
        <f t="shared" si="814"/>
        <v>0</v>
      </c>
      <c r="P3196" s="1299"/>
      <c r="Q3196" s="1300"/>
      <c r="R3196" s="1300"/>
      <c r="S3196" s="1300"/>
    </row>
    <row r="3197" spans="1:19" s="1081" customFormat="1" hidden="1" outlineLevel="1">
      <c r="A3197" s="1072" t="str">
        <f t="shared" si="810"/>
        <v/>
      </c>
      <c r="B3197" s="1068" t="s">
        <v>193</v>
      </c>
      <c r="C3197" s="1302"/>
      <c r="D3197" s="1198">
        <f>VLOOKUP($B3197,dongia1,DG!$B$5,)</f>
        <v>0</v>
      </c>
      <c r="E3197" s="1243" t="str">
        <f>VLOOKUP($B3197,dongia1,DG!$C$5,)</f>
        <v>Cổ dê kẹp ống PVC Þ 114</v>
      </c>
      <c r="F3197" s="1198" t="str">
        <f>VLOOKUP($B3197,dongia1,DG!$D$5,)</f>
        <v>bộ</v>
      </c>
      <c r="G3197" s="1303">
        <f>G3191*2*$L$2*0</f>
        <v>0</v>
      </c>
      <c r="H3197" s="1298">
        <f>VLOOKUP($B3197,dongia1,DG!$F$5,)</f>
        <v>50000</v>
      </c>
      <c r="I3197" s="1298"/>
      <c r="J3197" s="1298">
        <f>VLOOKUP($B3197,dongia1,DG!$G$5,)</f>
        <v>0</v>
      </c>
      <c r="K3197" s="1298">
        <f>VLOOKUP($B3197,dongia1,DG!$H$5,)</f>
        <v>0</v>
      </c>
      <c r="L3197" s="1298">
        <f t="shared" si="811"/>
        <v>0</v>
      </c>
      <c r="M3197" s="1298">
        <f t="shared" si="812"/>
        <v>0</v>
      </c>
      <c r="N3197" s="1298">
        <f t="shared" si="813"/>
        <v>0</v>
      </c>
      <c r="O3197" s="1298">
        <f t="shared" si="814"/>
        <v>0</v>
      </c>
      <c r="P3197" s="1299"/>
      <c r="Q3197" s="1474"/>
      <c r="R3197" s="1300"/>
      <c r="S3197" s="1300"/>
    </row>
    <row r="3198" spans="1:19" s="1081" customFormat="1" hidden="1" outlineLevel="1">
      <c r="A3198" s="1072" t="str">
        <f t="shared" si="810"/>
        <v/>
      </c>
      <c r="B3198" s="1295" t="s">
        <v>962</v>
      </c>
      <c r="C3198" s="1302"/>
      <c r="D3198" s="1198">
        <f>VLOOKUP($B3198,dongia1,DG!$B$5,)</f>
        <v>0</v>
      </c>
      <c r="E3198" s="1243" t="str">
        <f>VLOOKUP($B3198,dongia1,DG!$C$5,)</f>
        <v>Co  sừng 90 độ PVC 114</v>
      </c>
      <c r="F3198" s="1198" t="str">
        <f>VLOOKUP($B3198,dongia1,DG!$D$5,)</f>
        <v>cái</v>
      </c>
      <c r="G3198" s="1303">
        <f>G3191*2*$L$2*0</f>
        <v>0</v>
      </c>
      <c r="H3198" s="1298">
        <f>VLOOKUP($B3198,dongia1,DG!$F$5,)</f>
        <v>104800</v>
      </c>
      <c r="I3198" s="1298"/>
      <c r="J3198" s="1298">
        <f>VLOOKUP($B3198,dongia1,DG!$G$5,)</f>
        <v>0</v>
      </c>
      <c r="K3198" s="1298">
        <f>VLOOKUP($B3198,dongia1,DG!$H$5,)</f>
        <v>0</v>
      </c>
      <c r="L3198" s="1298">
        <f t="shared" si="811"/>
        <v>0</v>
      </c>
      <c r="M3198" s="1298">
        <f t="shared" si="812"/>
        <v>0</v>
      </c>
      <c r="N3198" s="1298">
        <f t="shared" si="813"/>
        <v>0</v>
      </c>
      <c r="O3198" s="1298">
        <f t="shared" si="814"/>
        <v>0</v>
      </c>
      <c r="P3198" s="1299"/>
      <c r="Q3198" s="1300"/>
      <c r="R3198" s="1300"/>
      <c r="S3198" s="1300"/>
    </row>
    <row r="3199" spans="1:19" s="1081" customFormat="1" hidden="1" outlineLevel="1">
      <c r="A3199" s="1072" t="str">
        <f t="shared" si="810"/>
        <v/>
      </c>
      <c r="B3199" s="1295" t="s">
        <v>693</v>
      </c>
      <c r="C3199" s="1302"/>
      <c r="D3199" s="1198">
        <f>VLOOKUP($B3199,dongia1,DG!$B$5,)</f>
        <v>0</v>
      </c>
      <c r="E3199" s="1243" t="str">
        <f>VLOOKUP($B3199,dongia1,DG!$C$5,)</f>
        <v>Khâu ven răng trong D114</v>
      </c>
      <c r="F3199" s="1198" t="str">
        <f>VLOOKUP($B3199,dongia1,DG!$D$5,)</f>
        <v>cái</v>
      </c>
      <c r="G3199" s="1303">
        <f>G3191*$L$2*0</f>
        <v>0</v>
      </c>
      <c r="H3199" s="1298">
        <f>VLOOKUP($B3199,dongia1,DG!$F$5,)</f>
        <v>41900</v>
      </c>
      <c r="I3199" s="1298"/>
      <c r="J3199" s="1298">
        <f>VLOOKUP($B3199,dongia1,DG!$G$5,)</f>
        <v>0</v>
      </c>
      <c r="K3199" s="1298">
        <f>VLOOKUP($B3199,dongia1,DG!$H$5,)</f>
        <v>0</v>
      </c>
      <c r="L3199" s="1298">
        <f t="shared" si="811"/>
        <v>0</v>
      </c>
      <c r="M3199" s="1298">
        <f t="shared" si="812"/>
        <v>0</v>
      </c>
      <c r="N3199" s="1298">
        <f t="shared" si="813"/>
        <v>0</v>
      </c>
      <c r="O3199" s="1298">
        <f t="shared" si="814"/>
        <v>0</v>
      </c>
      <c r="P3199" s="1299"/>
      <c r="Q3199" s="1300"/>
      <c r="R3199" s="1300"/>
      <c r="S3199" s="1300"/>
    </row>
    <row r="3200" spans="1:19" s="1081" customFormat="1" hidden="1" outlineLevel="1">
      <c r="A3200" s="1072" t="str">
        <f t="shared" si="810"/>
        <v/>
      </c>
      <c r="B3200" s="1295" t="s">
        <v>694</v>
      </c>
      <c r="C3200" s="1302"/>
      <c r="D3200" s="1198">
        <f>VLOOKUP($B3200,dongia1,DG!$B$5,)</f>
        <v>0</v>
      </c>
      <c r="E3200" s="1243" t="str">
        <f>VLOOKUP($B3200,dongia1,DG!$C$5,)&amp;": "</f>
        <v xml:space="preserve">Khâu ven răng ngoài D114: </v>
      </c>
      <c r="F3200" s="1198" t="str">
        <f>VLOOKUP($B3200,dongia1,DG!$D$5,)</f>
        <v>cái</v>
      </c>
      <c r="G3200" s="1303">
        <f>G3199</f>
        <v>0</v>
      </c>
      <c r="H3200" s="1298">
        <f>VLOOKUP($B3200,dongia1,DG!$F$5,)</f>
        <v>41900</v>
      </c>
      <c r="I3200" s="1298"/>
      <c r="J3200" s="1298">
        <f>VLOOKUP($B3200,dongia1,DG!$G$5,)</f>
        <v>0</v>
      </c>
      <c r="K3200" s="1298">
        <f>VLOOKUP($B3200,dongia1,DG!$H$5,)</f>
        <v>0</v>
      </c>
      <c r="L3200" s="1298">
        <f t="shared" si="811"/>
        <v>0</v>
      </c>
      <c r="M3200" s="1298">
        <f t="shared" si="812"/>
        <v>0</v>
      </c>
      <c r="N3200" s="1298">
        <f t="shared" si="813"/>
        <v>0</v>
      </c>
      <c r="O3200" s="1298">
        <f t="shared" si="814"/>
        <v>0</v>
      </c>
      <c r="P3200" s="1299"/>
      <c r="Q3200" s="1300"/>
      <c r="R3200" s="1300"/>
      <c r="S3200" s="1300"/>
    </row>
    <row r="3201" spans="1:19" s="1081" customFormat="1" hidden="1" outlineLevel="1">
      <c r="A3201" s="1072" t="str">
        <f t="shared" si="810"/>
        <v/>
      </c>
      <c r="B3201" s="1295" t="s">
        <v>1973</v>
      </c>
      <c r="C3201" s="1302"/>
      <c r="D3201" s="1198">
        <f>VLOOKUP($B3201,dongia1,DG!$B$5,)</f>
        <v>0</v>
      </c>
      <c r="E3201" s="1243" t="str">
        <f>VLOOKUP($B3201,dongia1,DG!$C$5,)&amp;": "</f>
        <v xml:space="preserve">Keo dán ống PVC (500gr): </v>
      </c>
      <c r="F3201" s="1198" t="str">
        <f>VLOOKUP($B3201,dongia1,DG!$D$5,)</f>
        <v>lon</v>
      </c>
      <c r="G3201" s="1303">
        <f>G3191*2*$L$2*0</f>
        <v>0</v>
      </c>
      <c r="H3201" s="1298">
        <f>VLOOKUP($B3201,dongia1,DG!$F$5,)</f>
        <v>54100</v>
      </c>
      <c r="I3201" s="1298"/>
      <c r="J3201" s="1298">
        <f>VLOOKUP($B3201,dongia1,DG!$G$5,)</f>
        <v>0</v>
      </c>
      <c r="K3201" s="1298">
        <f>VLOOKUP($B3201,dongia1,DG!$H$5,)</f>
        <v>0</v>
      </c>
      <c r="L3201" s="1298">
        <f t="shared" si="811"/>
        <v>0</v>
      </c>
      <c r="M3201" s="1298">
        <f t="shared" si="812"/>
        <v>0</v>
      </c>
      <c r="N3201" s="1298">
        <f t="shared" si="813"/>
        <v>0</v>
      </c>
      <c r="O3201" s="1298">
        <f t="shared" si="814"/>
        <v>0</v>
      </c>
      <c r="P3201" s="1299"/>
      <c r="Q3201" s="1300"/>
      <c r="R3201" s="1300"/>
      <c r="S3201" s="1300"/>
    </row>
    <row r="3202" spans="1:19" s="1081" customFormat="1" hidden="1" outlineLevel="1">
      <c r="A3202" s="1072" t="str">
        <f>IF(G3202&lt;&gt;0,1,"")</f>
        <v/>
      </c>
      <c r="B3202" s="1068" t="s">
        <v>1690</v>
      </c>
      <c r="C3202" s="1302"/>
      <c r="D3202" s="1198"/>
      <c r="E3202" s="1243" t="str">
        <f>VLOOKUP($B3202,dongia1,DG!$C$5,)&amp;":"</f>
        <v>Keo silicon bít miệng ống:</v>
      </c>
      <c r="F3202" s="1198" t="str">
        <f>VLOOKUP($B3202,dongia1,DG!$D$5,)</f>
        <v>chai</v>
      </c>
      <c r="G3202" s="1303"/>
      <c r="H3202" s="1298">
        <f>VLOOKUP($B3202,dongia1,DG!$F$5,)</f>
        <v>45000</v>
      </c>
      <c r="I3202" s="1298"/>
      <c r="J3202" s="1298"/>
      <c r="K3202" s="1298"/>
      <c r="L3202" s="1298">
        <f>H3202*G3202</f>
        <v>0</v>
      </c>
      <c r="M3202" s="1298">
        <f>I3202*G3202</f>
        <v>0</v>
      </c>
      <c r="N3202" s="1298">
        <f>J3202*G3202</f>
        <v>0</v>
      </c>
      <c r="O3202" s="1298">
        <f>K3202*G3202</f>
        <v>0</v>
      </c>
      <c r="P3202" s="1299"/>
      <c r="Q3202" s="1300"/>
      <c r="R3202" s="1300"/>
      <c r="S3202" s="1300"/>
    </row>
    <row r="3203" spans="1:19" s="1081" customFormat="1" hidden="1" outlineLevel="1">
      <c r="A3203" s="1072" t="str">
        <f>IF(G3203&lt;&gt;0,1,"")</f>
        <v/>
      </c>
      <c r="B3203" s="1295" t="s">
        <v>53</v>
      </c>
      <c r="C3203" s="1302"/>
      <c r="D3203" s="1198">
        <f>VLOOKUP($B3203,dongia1,DG!$B$5,)</f>
        <v>0</v>
      </c>
      <c r="E3203" s="1243" t="str">
        <f>VLOOKUP($B3203,dongia1,DG!$C$5,)</f>
        <v>Dây rút cáp</v>
      </c>
      <c r="F3203" s="1198" t="str">
        <f>VLOOKUP($B3203,dongia1,DG!$D$5,)</f>
        <v>bọc</v>
      </c>
      <c r="G3203" s="1303">
        <f>G3191</f>
        <v>0</v>
      </c>
      <c r="H3203" s="1298">
        <f>VLOOKUP($B3203,dongia1,DG!$F$5,)</f>
        <v>15000</v>
      </c>
      <c r="I3203" s="1298"/>
      <c r="J3203" s="1298">
        <f>VLOOKUP($B3203,dongia1,DG!$G$5,)</f>
        <v>0</v>
      </c>
      <c r="K3203" s="1298">
        <f>VLOOKUP($B3203,dongia1,DG!$H$5,)</f>
        <v>0</v>
      </c>
      <c r="L3203" s="1298">
        <f>H3203*G3203</f>
        <v>0</v>
      </c>
      <c r="M3203" s="1298">
        <f>I3203*G3203</f>
        <v>0</v>
      </c>
      <c r="N3203" s="1298">
        <f>J3203*G3203</f>
        <v>0</v>
      </c>
      <c r="O3203" s="1298">
        <f>K3203*G3203</f>
        <v>0</v>
      </c>
      <c r="P3203" s="1299"/>
      <c r="Q3203" s="1300"/>
      <c r="R3203" s="1300"/>
      <c r="S3203" s="1300"/>
    </row>
    <row r="3204" spans="1:19" s="1081" customFormat="1" hidden="1" outlineLevel="1">
      <c r="A3204" s="1072" t="str">
        <f>IF(G3204&lt;&gt;0,1,"")</f>
        <v/>
      </c>
      <c r="B3204" s="1068" t="s">
        <v>236</v>
      </c>
      <c r="C3204" s="1302"/>
      <c r="D3204" s="1198">
        <f>VLOOKUP($B3204,dongia1,DG!$B$5,)</f>
        <v>0</v>
      </c>
      <c r="E3204" s="1243" t="str">
        <f>VLOOKUP($B3204,dongia1,DG!$C$5,)</f>
        <v>Băng keo cách điện hạ thế</v>
      </c>
      <c r="F3204" s="1198" t="str">
        <f>VLOOKUP($B3204,dongia1,DG!$D$5,)</f>
        <v>cuộn</v>
      </c>
      <c r="G3204" s="1303">
        <f>G3191*5</f>
        <v>0</v>
      </c>
      <c r="H3204" s="1298">
        <f>VLOOKUP($B3204,dongia1,DG!$F$5,)</f>
        <v>6500</v>
      </c>
      <c r="I3204" s="1298"/>
      <c r="J3204" s="1298">
        <f>VLOOKUP($B3204,dongia1,DG!$G$5,)</f>
        <v>0</v>
      </c>
      <c r="K3204" s="1298">
        <f>VLOOKUP($B3204,dongia1,DG!$H$5,)</f>
        <v>0</v>
      </c>
      <c r="L3204" s="1298">
        <f>H3204*G3204</f>
        <v>0</v>
      </c>
      <c r="M3204" s="1298">
        <f>I3204*G3204</f>
        <v>0</v>
      </c>
      <c r="N3204" s="1298">
        <f>J3204*G3204</f>
        <v>0</v>
      </c>
      <c r="O3204" s="1298">
        <f>K3204*G3204</f>
        <v>0</v>
      </c>
      <c r="P3204" s="1299"/>
      <c r="Q3204" s="1300"/>
      <c r="R3204" s="1300"/>
      <c r="S3204" s="1300"/>
    </row>
    <row r="3205" spans="1:19" s="1081" customFormat="1" hidden="1" outlineLevel="1">
      <c r="A3205" s="1072" t="str">
        <f>IF(G3205&lt;&gt;0,1,"")</f>
        <v/>
      </c>
      <c r="B3205" s="1068" t="s">
        <v>379</v>
      </c>
      <c r="C3205" s="1569"/>
      <c r="D3205" s="1198" t="str">
        <f>VLOOKUP($B3205,dongia1,DG!$B$5,)</f>
        <v>T4.4203</v>
      </c>
      <c r="E3205" s="1243" t="str">
        <f>VLOOKUP($B3205,dongia1,DG!$C$5,)&amp;":"</f>
        <v>Lắp cáp đồng xuống thiết bị D ≤ 240mm2:</v>
      </c>
      <c r="F3205" s="1198" t="str">
        <f>VLOOKUP($B3205,dongia1,DG!$D$5,)</f>
        <v>m</v>
      </c>
      <c r="G3205" s="1303">
        <f>G3193</f>
        <v>0</v>
      </c>
      <c r="H3205" s="1298">
        <f>VLOOKUP($B3205,dongia1,DG!$F$5,)</f>
        <v>0</v>
      </c>
      <c r="I3205" s="1298"/>
      <c r="J3205" s="1298">
        <f>VLOOKUP($B3205,dongia1,DG!$G$5,)</f>
        <v>47311</v>
      </c>
      <c r="K3205" s="1298">
        <f>VLOOKUP($B3205,dongia1,DG!$H$5,)</f>
        <v>0</v>
      </c>
      <c r="L3205" s="1298">
        <f>H3205*G3205</f>
        <v>0</v>
      </c>
      <c r="M3205" s="1298">
        <f>I3205*G3205</f>
        <v>0</v>
      </c>
      <c r="N3205" s="1298">
        <f>J3205*G3205</f>
        <v>0</v>
      </c>
      <c r="O3205" s="1298">
        <f>K3205*G3205</f>
        <v>0</v>
      </c>
      <c r="P3205" s="1299"/>
      <c r="Q3205" s="1300"/>
      <c r="R3205" s="1300"/>
      <c r="S3205" s="1300"/>
    </row>
    <row r="3206" spans="1:19" s="1081" customFormat="1" hidden="1" outlineLevel="1">
      <c r="A3206" s="1072" t="str">
        <f>IF(G3206&lt;&gt;0,1,"")</f>
        <v/>
      </c>
      <c r="B3206" s="1068"/>
      <c r="C3206" s="1291">
        <f>IF(G3206&gt;0,C3191+1,C3191)</f>
        <v>0</v>
      </c>
      <c r="D3206" s="1292"/>
      <c r="E3206" s="1293" t="s">
        <v>3463</v>
      </c>
      <c r="F3206" s="1291" t="s">
        <v>2113</v>
      </c>
      <c r="G3206" s="1303">
        <f>G3094</f>
        <v>0</v>
      </c>
      <c r="H3206" s="1298"/>
      <c r="I3206" s="1298"/>
      <c r="J3206" s="1298"/>
      <c r="K3206" s="1298"/>
      <c r="L3206" s="1298"/>
      <c r="M3206" s="1298"/>
      <c r="N3206" s="1298"/>
      <c r="O3206" s="1298"/>
      <c r="P3206" s="1299"/>
      <c r="Q3206" s="1300"/>
      <c r="R3206" s="1300"/>
      <c r="S3206" s="1300"/>
    </row>
    <row r="3207" spans="1:19" s="1284" customFormat="1" ht="14.4" hidden="1" outlineLevel="1">
      <c r="A3207" s="1072" t="str">
        <f>A3206</f>
        <v/>
      </c>
      <c r="B3207" s="1570"/>
      <c r="C3207" s="1291"/>
      <c r="D3207" s="1292"/>
      <c r="E3207" s="1308" t="s">
        <v>3399</v>
      </c>
      <c r="F3207" s="1291" t="s">
        <v>2113</v>
      </c>
      <c r="G3207" s="1297"/>
      <c r="H3207" s="1298"/>
      <c r="I3207" s="1298"/>
      <c r="J3207" s="1298"/>
      <c r="K3207" s="1298"/>
      <c r="L3207" s="1298">
        <f>SUBTOTAL(9,L3208:L3228)*0</f>
        <v>0</v>
      </c>
      <c r="M3207" s="1298">
        <f>SUBTOTAL(9,M3208:M3228)</f>
        <v>0</v>
      </c>
      <c r="N3207" s="1298">
        <f>SUBTOTAL(9,N3208:N3228)*0</f>
        <v>0</v>
      </c>
      <c r="O3207" s="1298">
        <f>SUBTOTAL(9,O3208:O3228)*0</f>
        <v>0</v>
      </c>
      <c r="P3207" s="1299"/>
      <c r="Q3207" s="1487"/>
      <c r="R3207" s="1487"/>
      <c r="S3207" s="1487"/>
    </row>
    <row r="3208" spans="1:19" s="1081" customFormat="1" hidden="1" outlineLevel="1">
      <c r="A3208" s="1072">
        <f t="shared" ref="A3208:A3228" si="815">IF(G3208=0,0,1)</f>
        <v>0</v>
      </c>
      <c r="B3208" s="1295" t="s">
        <v>865</v>
      </c>
      <c r="C3208" s="1437"/>
      <c r="D3208" s="1198" t="str">
        <f>VLOOKUP($B3208,dongia1,DG!$B$5,)</f>
        <v>03.1401</v>
      </c>
      <c r="E3208" s="1399" t="str">
        <f>VLOOKUP($B3208,dongia1,DG!$C$5,)</f>
        <v xml:space="preserve">Cáp CVV 4x2,5mm2  </v>
      </c>
      <c r="F3208" s="1555" t="str">
        <f>VLOOKUP($B3208,dongia1,DG!$D$5,)</f>
        <v>mét</v>
      </c>
      <c r="G3208" s="1303">
        <f>G3206*26</f>
        <v>0</v>
      </c>
      <c r="H3208" s="1298">
        <f>VLOOKUP($B3208,dongia1,DG!$F$5,)</f>
        <v>28200</v>
      </c>
      <c r="I3208" s="1298"/>
      <c r="J3208" s="1298">
        <f>VLOOKUP($B3208,dongia1,DG!$G$5,)</f>
        <v>0</v>
      </c>
      <c r="K3208" s="1298">
        <f>VLOOKUP($B3208,dongia1,DG!$H$5,)</f>
        <v>0</v>
      </c>
      <c r="L3208" s="1298">
        <f t="shared" ref="L3208:L3228" si="816">H3208*$G3208</f>
        <v>0</v>
      </c>
      <c r="M3208" s="1298">
        <f t="shared" ref="M3208:M3228" si="817">I3208*$G3208</f>
        <v>0</v>
      </c>
      <c r="N3208" s="1298">
        <f t="shared" ref="N3208:N3228" si="818">J3208*$G3208</f>
        <v>0</v>
      </c>
      <c r="O3208" s="1298">
        <f t="shared" ref="O3208:O3228" si="819">K3208*$G3208</f>
        <v>0</v>
      </c>
      <c r="P3208" s="1299"/>
      <c r="Q3208" s="1300"/>
      <c r="R3208" s="1300"/>
      <c r="S3208" s="1300"/>
    </row>
    <row r="3209" spans="1:19" s="1081" customFormat="1" hidden="1" outlineLevel="1">
      <c r="A3209" s="1072">
        <f>IF(G3209=0,0,1)</f>
        <v>0</v>
      </c>
      <c r="B3209" s="1068" t="s">
        <v>507</v>
      </c>
      <c r="C3209" s="1302"/>
      <c r="D3209" s="1198">
        <v>0</v>
      </c>
      <c r="E3209" s="1399" t="str">
        <f>VLOOKUP($B3209,dongia1,DG!$C$5,)</f>
        <v>Boulon 10x150+ 2 long đền vuông D14-50x50x3/Zn</v>
      </c>
      <c r="F3209" s="1555" t="str">
        <f>VLOOKUP($B3209,dongia1,DG!$D$5,)</f>
        <v>bộ</v>
      </c>
      <c r="G3209" s="1303">
        <f>G3206*24</f>
        <v>0</v>
      </c>
      <c r="H3209" s="1298">
        <f>VLOOKUP($B3209,dongia1,DG!$F$5,)</f>
        <v>7900</v>
      </c>
      <c r="I3209" s="1298"/>
      <c r="J3209" s="1298">
        <f>VLOOKUP($B3209,dongia1,DG!$G$5,)</f>
        <v>0</v>
      </c>
      <c r="K3209" s="1298">
        <f>VLOOKUP($B3209,dongia1,DG!$H$5,)</f>
        <v>0</v>
      </c>
      <c r="L3209" s="1298">
        <f t="shared" ref="L3209:O3210" si="820">H3209*$G3209</f>
        <v>0</v>
      </c>
      <c r="M3209" s="1298">
        <f t="shared" si="820"/>
        <v>0</v>
      </c>
      <c r="N3209" s="1298">
        <f t="shared" si="820"/>
        <v>0</v>
      </c>
      <c r="O3209" s="1298">
        <f t="shared" si="820"/>
        <v>0</v>
      </c>
      <c r="P3209" s="1299"/>
      <c r="Q3209" s="1300"/>
      <c r="R3209" s="1300"/>
      <c r="S3209" s="1300"/>
    </row>
    <row r="3210" spans="1:19" s="1081" customFormat="1" hidden="1" outlineLevel="1">
      <c r="A3210" s="1072">
        <f>IF(G3210=0,0,1)</f>
        <v>0</v>
      </c>
      <c r="B3210" s="1068" t="s">
        <v>509</v>
      </c>
      <c r="C3210" s="1302"/>
      <c r="D3210" s="1198">
        <v>0</v>
      </c>
      <c r="E3210" s="1399" t="str">
        <f>VLOOKUP($B3210,dongia1,DG!$C$5,)</f>
        <v>Boulon 10x50+ 2 long đền vuông D12-50x50x3/Zn</v>
      </c>
      <c r="F3210" s="1555" t="str">
        <f>VLOOKUP($B3210,dongia1,DG!$D$5,)</f>
        <v>bộ</v>
      </c>
      <c r="G3210" s="1303">
        <f>G3209</f>
        <v>0</v>
      </c>
      <c r="H3210" s="1298">
        <f>VLOOKUP($B3210,dongia1,DG!$F$5,)</f>
        <v>1500</v>
      </c>
      <c r="I3210" s="1298"/>
      <c r="J3210" s="1298">
        <f>VLOOKUP($B3210,dongia1,DG!$G$5,)</f>
        <v>0</v>
      </c>
      <c r="K3210" s="1298">
        <f>VLOOKUP($B3210,dongia1,DG!$H$5,)</f>
        <v>0</v>
      </c>
      <c r="L3210" s="1298">
        <f t="shared" si="820"/>
        <v>0</v>
      </c>
      <c r="M3210" s="1298">
        <f t="shared" si="820"/>
        <v>0</v>
      </c>
      <c r="N3210" s="1298">
        <f t="shared" si="820"/>
        <v>0</v>
      </c>
      <c r="O3210" s="1298">
        <f t="shared" si="820"/>
        <v>0</v>
      </c>
      <c r="P3210" s="1299"/>
      <c r="Q3210" s="1300"/>
      <c r="R3210" s="1300"/>
      <c r="S3210" s="1300"/>
    </row>
    <row r="3211" spans="1:19" s="1081" customFormat="1" hidden="1" outlineLevel="1">
      <c r="A3211" s="1072">
        <f t="shared" si="815"/>
        <v>0</v>
      </c>
      <c r="B3211" s="1295" t="s">
        <v>748</v>
      </c>
      <c r="C3211" s="1437"/>
      <c r="D3211" s="1198">
        <f>VLOOKUP($B3211,dongia1,DG!$B$5,)</f>
        <v>0</v>
      </c>
      <c r="E3211" s="1399" t="str">
        <f>VLOOKUP($B3211,dongia1,DG!$C$5,)</f>
        <v>Xà kẹp TU, TI U40x22x3x425</v>
      </c>
      <c r="F3211" s="1555" t="str">
        <f>VLOOKUP($B3211,dongia1,DG!$D$5,)</f>
        <v>cái</v>
      </c>
      <c r="G3211" s="1303">
        <f>G3206*24</f>
        <v>0</v>
      </c>
      <c r="H3211" s="1298">
        <f>VLOOKUP($B3211,dongia1,DG!$F$5,)</f>
        <v>40500</v>
      </c>
      <c r="I3211" s="1298"/>
      <c r="J3211" s="1298">
        <f>VLOOKUP($B3211,dongia1,DG!$G$5,)</f>
        <v>39758</v>
      </c>
      <c r="K3211" s="1298">
        <f>VLOOKUP($B3211,dongia1,DG!$H$5,)</f>
        <v>0</v>
      </c>
      <c r="L3211" s="1298">
        <f t="shared" si="816"/>
        <v>0</v>
      </c>
      <c r="M3211" s="1298">
        <f t="shared" si="817"/>
        <v>0</v>
      </c>
      <c r="N3211" s="1298">
        <f t="shared" si="818"/>
        <v>0</v>
      </c>
      <c r="O3211" s="1298">
        <f t="shared" si="819"/>
        <v>0</v>
      </c>
      <c r="P3211" s="1299"/>
      <c r="Q3211" s="1300"/>
      <c r="R3211" s="1300"/>
      <c r="S3211" s="1300"/>
    </row>
    <row r="3212" spans="1:19" s="1081" customFormat="1" hidden="1" outlineLevel="1">
      <c r="A3212" s="1072">
        <f t="shared" si="815"/>
        <v>0</v>
      </c>
      <c r="B3212" s="1295" t="s">
        <v>829</v>
      </c>
      <c r="C3212" s="1302"/>
      <c r="D3212" s="1198">
        <f>VLOOKUP($B3212,dongia1,DG!$B$5,)</f>
        <v>0</v>
      </c>
      <c r="E3212" s="1399" t="str">
        <f>VLOOKUP($B3212,dongia1,DG!$C$5,)</f>
        <v xml:space="preserve">Đầu cosse ép Cu 2,5mm2 + bao PVC </v>
      </c>
      <c r="F3212" s="1555" t="str">
        <f>VLOOKUP($B3212,dongia1,DG!$D$5,)</f>
        <v>cái</v>
      </c>
      <c r="G3212" s="1303">
        <f>G3206*16</f>
        <v>0</v>
      </c>
      <c r="H3212" s="1298">
        <f>VLOOKUP($B3212,dongia1,DG!$F$5,)</f>
        <v>1700</v>
      </c>
      <c r="I3212" s="1298"/>
      <c r="J3212" s="1298">
        <f>VLOOKUP($B3212,dongia1,DG!$G$5,)</f>
        <v>0</v>
      </c>
      <c r="K3212" s="1298">
        <f>VLOOKUP($B3212,dongia1,DG!$H$5,)</f>
        <v>0</v>
      </c>
      <c r="L3212" s="1298">
        <f t="shared" si="816"/>
        <v>0</v>
      </c>
      <c r="M3212" s="1298">
        <f t="shared" si="817"/>
        <v>0</v>
      </c>
      <c r="N3212" s="1298">
        <f t="shared" si="818"/>
        <v>0</v>
      </c>
      <c r="O3212" s="1298">
        <f t="shared" si="819"/>
        <v>0</v>
      </c>
      <c r="P3212" s="1299"/>
      <c r="Q3212" s="1300"/>
      <c r="R3212" s="1300"/>
      <c r="S3212" s="1300"/>
    </row>
    <row r="3213" spans="1:19" s="1081" customFormat="1" hidden="1" outlineLevel="1">
      <c r="A3213" s="1072">
        <f t="shared" si="815"/>
        <v>0</v>
      </c>
      <c r="B3213" s="1295" t="s">
        <v>57</v>
      </c>
      <c r="C3213" s="1302"/>
      <c r="D3213" s="1198">
        <f>VLOOKUP($B3213,dongia1,DG!$B$5,)</f>
        <v>0</v>
      </c>
      <c r="E3213" s="1399" t="str">
        <f>VLOOKUP($B3213,dongia1,DG!$C$5,)</f>
        <v>Dây điện đôi 16/10</v>
      </c>
      <c r="F3213" s="1555" t="str">
        <f>VLOOKUP($B3213,dongia1,DG!$D$5,)</f>
        <v>mét</v>
      </c>
      <c r="G3213" s="1303">
        <f>6*G3206</f>
        <v>0</v>
      </c>
      <c r="H3213" s="1298">
        <f>VLOOKUP($B3213,dongia1,DG!$F$5,)</f>
        <v>860</v>
      </c>
      <c r="I3213" s="1298"/>
      <c r="J3213" s="1298">
        <f>VLOOKUP($B3213,dongia1,DG!$G$5,)</f>
        <v>0</v>
      </c>
      <c r="K3213" s="1298">
        <f>VLOOKUP($B3213,dongia1,DG!$H$5,)</f>
        <v>0</v>
      </c>
      <c r="L3213" s="1298">
        <f t="shared" si="816"/>
        <v>0</v>
      </c>
      <c r="M3213" s="1298">
        <f t="shared" si="817"/>
        <v>0</v>
      </c>
      <c r="N3213" s="1298">
        <f t="shared" si="818"/>
        <v>0</v>
      </c>
      <c r="O3213" s="1298">
        <f t="shared" si="819"/>
        <v>0</v>
      </c>
      <c r="P3213" s="1299"/>
      <c r="Q3213" s="1300"/>
      <c r="R3213" s="1300"/>
      <c r="S3213" s="1300"/>
    </row>
    <row r="3214" spans="1:19" s="1081" customFormat="1" hidden="1" outlineLevel="1">
      <c r="A3214" s="1072">
        <f t="shared" si="815"/>
        <v>0</v>
      </c>
      <c r="B3214" s="1295" t="s">
        <v>903</v>
      </c>
      <c r="C3214" s="1302"/>
      <c r="D3214" s="1198">
        <f>VLOOKUP($B3214,dongia1,DG!$B$5,)</f>
        <v>0</v>
      </c>
      <c r="E3214" s="1399" t="str">
        <f>VLOOKUP($B3214,dongia1,DG!$C$5,)</f>
        <v>Ốc xiết cáp cỡ 25mm2</v>
      </c>
      <c r="F3214" s="1555" t="str">
        <f>VLOOKUP($B3214,dongia1,DG!$D$5,)</f>
        <v>cái</v>
      </c>
      <c r="G3214" s="1303">
        <f>+G3206*3</f>
        <v>0</v>
      </c>
      <c r="H3214" s="1298">
        <f>VLOOKUP($B3214,dongia1,DG!$F$5,)</f>
        <v>17600</v>
      </c>
      <c r="I3214" s="1298"/>
      <c r="J3214" s="1298">
        <f>VLOOKUP($B3214,dongia1,DG!$G$5,)</f>
        <v>0</v>
      </c>
      <c r="K3214" s="1298">
        <f>VLOOKUP($B3214,dongia1,DG!$H$5,)</f>
        <v>0</v>
      </c>
      <c r="L3214" s="1298">
        <f t="shared" si="816"/>
        <v>0</v>
      </c>
      <c r="M3214" s="1298">
        <f t="shared" si="817"/>
        <v>0</v>
      </c>
      <c r="N3214" s="1298">
        <f t="shared" si="818"/>
        <v>0</v>
      </c>
      <c r="O3214" s="1298">
        <f t="shared" si="819"/>
        <v>0</v>
      </c>
      <c r="P3214" s="1299"/>
      <c r="Q3214" s="1300"/>
      <c r="R3214" s="1300"/>
      <c r="S3214" s="1300"/>
    </row>
    <row r="3215" spans="1:19" s="1081" customFormat="1" hidden="1" outlineLevel="1">
      <c r="A3215" s="1072">
        <f t="shared" si="815"/>
        <v>0</v>
      </c>
      <c r="B3215" s="1295" t="s">
        <v>1736</v>
      </c>
      <c r="C3215" s="1302"/>
      <c r="D3215" s="1198">
        <f>VLOOKUP($B3215,dongia1,DG!$B$5,)</f>
        <v>0</v>
      </c>
      <c r="E3215" s="1399" t="str">
        <f>VLOOKUP($B3215,dongia1,DG!$C$5,)</f>
        <v>Ống PVC D42x2,1mm</v>
      </c>
      <c r="F3215" s="1555" t="str">
        <f>VLOOKUP($B3215,dongia1,DG!$D$5,)</f>
        <v>m</v>
      </c>
      <c r="G3215" s="1303">
        <f>G3224*10</f>
        <v>0</v>
      </c>
      <c r="H3215" s="1298">
        <f>VLOOKUP($B3215,dongia1,DG!$F$5,)</f>
        <v>16100</v>
      </c>
      <c r="I3215" s="1298"/>
      <c r="J3215" s="1298">
        <f>VLOOKUP($B3215,dongia1,DG!$G$5,)</f>
        <v>0</v>
      </c>
      <c r="K3215" s="1298">
        <f>VLOOKUP($B3215,dongia1,DG!$H$5,)</f>
        <v>0</v>
      </c>
      <c r="L3215" s="1298">
        <f t="shared" si="816"/>
        <v>0</v>
      </c>
      <c r="M3215" s="1298">
        <f t="shared" si="817"/>
        <v>0</v>
      </c>
      <c r="N3215" s="1298">
        <f t="shared" si="818"/>
        <v>0</v>
      </c>
      <c r="O3215" s="1298">
        <f t="shared" si="819"/>
        <v>0</v>
      </c>
      <c r="P3215" s="1299"/>
      <c r="Q3215" s="1300"/>
      <c r="R3215" s="1300"/>
      <c r="S3215" s="1300"/>
    </row>
    <row r="3216" spans="1:19" s="1081" customFormat="1" hidden="1" outlineLevel="1">
      <c r="A3216" s="1072">
        <f t="shared" si="815"/>
        <v>0</v>
      </c>
      <c r="B3216" s="1068" t="s">
        <v>1525</v>
      </c>
      <c r="C3216" s="1302"/>
      <c r="D3216" s="1198">
        <f>VLOOKUP($B3216,dongia1,DG!$B$5,)</f>
        <v>0</v>
      </c>
      <c r="E3216" s="1399" t="str">
        <f>VLOOKUP($B3216,dongia1,DG!$C$5,)</f>
        <v>Cổ dê giữ ống PVC D42</v>
      </c>
      <c r="F3216" s="1555" t="str">
        <f>VLOOKUP($B3216,dongia1,DG!$D$5,)</f>
        <v>bộ</v>
      </c>
      <c r="G3216" s="1303">
        <f>G3206*4</f>
        <v>0</v>
      </c>
      <c r="H3216" s="1298">
        <f>VLOOKUP($B3216,dongia1,DG!$F$5,)</f>
        <v>34000</v>
      </c>
      <c r="I3216" s="1298"/>
      <c r="J3216" s="1298">
        <f>VLOOKUP($B3216,dongia1,DG!$G$5,)</f>
        <v>0</v>
      </c>
      <c r="K3216" s="1298">
        <f>VLOOKUP($B3216,dongia1,DG!$H$5,)</f>
        <v>0</v>
      </c>
      <c r="L3216" s="1298">
        <f t="shared" si="816"/>
        <v>0</v>
      </c>
      <c r="M3216" s="1298">
        <f t="shared" si="817"/>
        <v>0</v>
      </c>
      <c r="N3216" s="1298">
        <f t="shared" si="818"/>
        <v>0</v>
      </c>
      <c r="O3216" s="1298">
        <f t="shared" si="819"/>
        <v>0</v>
      </c>
      <c r="P3216" s="1299"/>
      <c r="Q3216" s="1300"/>
      <c r="R3216" s="1300"/>
      <c r="S3216" s="1300"/>
    </row>
    <row r="3217" spans="1:19" s="1081" customFormat="1" hidden="1" outlineLevel="1">
      <c r="A3217" s="1072">
        <f t="shared" si="815"/>
        <v>0</v>
      </c>
      <c r="B3217" s="1295" t="s">
        <v>1576</v>
      </c>
      <c r="C3217" s="1302"/>
      <c r="D3217" s="1198">
        <f>VLOOKUP($B3217,dongia1,DG!$B$5,)</f>
        <v>0</v>
      </c>
      <c r="E3217" s="1399" t="str">
        <f>VLOOKUP($B3217,dongia1,DG!$C$5,)</f>
        <v>Co 90 độ PVC 42</v>
      </c>
      <c r="F3217" s="1555" t="str">
        <f>VLOOKUP($B3217,dongia1,DG!$D$5,)</f>
        <v>cái</v>
      </c>
      <c r="G3217" s="1303">
        <f>G3206*6</f>
        <v>0</v>
      </c>
      <c r="H3217" s="1298">
        <f>VLOOKUP($B3217,dongia1,DG!$F$5,)</f>
        <v>11400</v>
      </c>
      <c r="I3217" s="1298"/>
      <c r="J3217" s="1298">
        <f>VLOOKUP($B3217,dongia1,DG!$G$5,)</f>
        <v>0</v>
      </c>
      <c r="K3217" s="1298">
        <f>VLOOKUP($B3217,dongia1,DG!$H$5,)</f>
        <v>0</v>
      </c>
      <c r="L3217" s="1298">
        <f t="shared" si="816"/>
        <v>0</v>
      </c>
      <c r="M3217" s="1298">
        <f t="shared" si="817"/>
        <v>0</v>
      </c>
      <c r="N3217" s="1298">
        <f t="shared" si="818"/>
        <v>0</v>
      </c>
      <c r="O3217" s="1298">
        <f t="shared" si="819"/>
        <v>0</v>
      </c>
      <c r="P3217" s="1299"/>
      <c r="Q3217" s="1300"/>
      <c r="R3217" s="1300"/>
      <c r="S3217" s="1300"/>
    </row>
    <row r="3218" spans="1:19" s="1081" customFormat="1" hidden="1" outlineLevel="1">
      <c r="A3218" s="1072">
        <f t="shared" si="815"/>
        <v>0</v>
      </c>
      <c r="B3218" s="1295" t="s">
        <v>969</v>
      </c>
      <c r="C3218" s="1302"/>
      <c r="D3218" s="1198">
        <f>VLOOKUP($B3218,dongia1,DG!$B$5,)</f>
        <v>0</v>
      </c>
      <c r="E3218" s="1399" t="str">
        <f>VLOOKUP($B3218,dongia1,DG!$C$5,)</f>
        <v>Co chữ T ống PVC 42</v>
      </c>
      <c r="F3218" s="1555" t="str">
        <f>VLOOKUP($B3218,dongia1,DG!$D$5,)</f>
        <v>cái</v>
      </c>
      <c r="G3218" s="1303">
        <f>G3206*5</f>
        <v>0</v>
      </c>
      <c r="H3218" s="1298">
        <f>VLOOKUP($B3218,dongia1,DG!$F$5,)</f>
        <v>21000</v>
      </c>
      <c r="I3218" s="1298"/>
      <c r="J3218" s="1298">
        <f>VLOOKUP($B3218,dongia1,DG!$G$5,)</f>
        <v>0</v>
      </c>
      <c r="K3218" s="1298">
        <f>VLOOKUP($B3218,dongia1,DG!$H$5,)</f>
        <v>0</v>
      </c>
      <c r="L3218" s="1298">
        <f t="shared" si="816"/>
        <v>0</v>
      </c>
      <c r="M3218" s="1298">
        <f t="shared" si="817"/>
        <v>0</v>
      </c>
      <c r="N3218" s="1298">
        <f t="shared" si="818"/>
        <v>0</v>
      </c>
      <c r="O3218" s="1298">
        <f t="shared" si="819"/>
        <v>0</v>
      </c>
      <c r="P3218" s="1299"/>
      <c r="Q3218" s="1300"/>
      <c r="R3218" s="1300"/>
      <c r="S3218" s="1300"/>
    </row>
    <row r="3219" spans="1:19" s="1081" customFormat="1" hidden="1" outlineLevel="1">
      <c r="A3219" s="1072">
        <f t="shared" si="815"/>
        <v>0</v>
      </c>
      <c r="B3219" s="1295" t="s">
        <v>1973</v>
      </c>
      <c r="C3219" s="1302"/>
      <c r="D3219" s="1198">
        <f>VLOOKUP($B3219,dongia1,DG!$B$5,)</f>
        <v>0</v>
      </c>
      <c r="E3219" s="1399" t="str">
        <f>VLOOKUP($B3219,dongia1,DG!$C$5,)</f>
        <v>Keo dán ống PVC (500gr)</v>
      </c>
      <c r="F3219" s="1555" t="str">
        <f>VLOOKUP($B3219,dongia1,DG!$D$5,)</f>
        <v>lon</v>
      </c>
      <c r="G3219" s="1303">
        <f>G3206</f>
        <v>0</v>
      </c>
      <c r="H3219" s="1298">
        <f>VLOOKUP($B3219,dongia1,DG!$F$5,)</f>
        <v>54100</v>
      </c>
      <c r="I3219" s="1298"/>
      <c r="J3219" s="1298">
        <f>VLOOKUP($B3219,dongia1,DG!$G$5,)</f>
        <v>0</v>
      </c>
      <c r="K3219" s="1298">
        <f>VLOOKUP($B3219,dongia1,DG!$H$5,)</f>
        <v>0</v>
      </c>
      <c r="L3219" s="1298">
        <f t="shared" si="816"/>
        <v>0</v>
      </c>
      <c r="M3219" s="1298">
        <f t="shared" si="817"/>
        <v>0</v>
      </c>
      <c r="N3219" s="1298">
        <f t="shared" si="818"/>
        <v>0</v>
      </c>
      <c r="O3219" s="1298">
        <f t="shared" si="819"/>
        <v>0</v>
      </c>
      <c r="P3219" s="1299"/>
      <c r="Q3219" s="1300"/>
      <c r="R3219" s="1300"/>
      <c r="S3219" s="1300"/>
    </row>
    <row r="3220" spans="1:19" s="1081" customFormat="1" hidden="1" outlineLevel="1">
      <c r="A3220" s="1072">
        <f t="shared" si="815"/>
        <v>0</v>
      </c>
      <c r="B3220" s="1068" t="s">
        <v>236</v>
      </c>
      <c r="C3220" s="1302"/>
      <c r="D3220" s="1198">
        <f>VLOOKUP($B3220,dongia1,DG!$B$5,)</f>
        <v>0</v>
      </c>
      <c r="E3220" s="1399" t="str">
        <f>VLOOKUP($B3220,dongia1,DG!$C$5,)</f>
        <v>Băng keo cách điện hạ thế</v>
      </c>
      <c r="F3220" s="1555" t="str">
        <f>VLOOKUP($B3220,dongia1,DG!$D$5,)</f>
        <v>cuộn</v>
      </c>
      <c r="G3220" s="1303">
        <f>G3206</f>
        <v>0</v>
      </c>
      <c r="H3220" s="1298">
        <f>VLOOKUP($B3220,dongia1,DG!$F$5,)</f>
        <v>6500</v>
      </c>
      <c r="I3220" s="1298"/>
      <c r="J3220" s="1298">
        <f>VLOOKUP($B3220,dongia1,DG!$G$5,)</f>
        <v>0</v>
      </c>
      <c r="K3220" s="1298">
        <f>VLOOKUP($B3220,dongia1,DG!$H$5,)</f>
        <v>0</v>
      </c>
      <c r="L3220" s="1298">
        <f t="shared" si="816"/>
        <v>0</v>
      </c>
      <c r="M3220" s="1298">
        <f t="shared" si="817"/>
        <v>0</v>
      </c>
      <c r="N3220" s="1298">
        <f t="shared" si="818"/>
        <v>0</v>
      </c>
      <c r="O3220" s="1298">
        <f t="shared" si="819"/>
        <v>0</v>
      </c>
      <c r="P3220" s="1299"/>
      <c r="Q3220" s="1300"/>
      <c r="R3220" s="1300"/>
      <c r="S3220" s="1300"/>
    </row>
    <row r="3221" spans="1:19" s="1081" customFormat="1" hidden="1" outlineLevel="1">
      <c r="A3221" s="1072">
        <f t="shared" si="815"/>
        <v>0</v>
      </c>
      <c r="B3221" s="1295" t="s">
        <v>1464</v>
      </c>
      <c r="C3221" s="1302"/>
      <c r="D3221" s="1198">
        <f>VLOOKUP($B3221,dongia1,DG!$B$5,)</f>
        <v>0</v>
      </c>
      <c r="E3221" s="1399" t="str">
        <f>VLOOKUP($B3221,dongia1,DG!$C$5,)</f>
        <v>Khâu ven răng trong D42</v>
      </c>
      <c r="F3221" s="1555" t="str">
        <f>VLOOKUP($B3221,dongia1,DG!$D$5,)</f>
        <v>cái</v>
      </c>
      <c r="G3221" s="1303">
        <f>G3206</f>
        <v>0</v>
      </c>
      <c r="H3221" s="1298">
        <f>VLOOKUP($B3221,dongia1,DG!$F$5,)</f>
        <v>5000</v>
      </c>
      <c r="I3221" s="1298"/>
      <c r="J3221" s="1298">
        <f>VLOOKUP($B3221,dongia1,DG!$G$5,)</f>
        <v>0</v>
      </c>
      <c r="K3221" s="1298">
        <f>VLOOKUP($B3221,dongia1,DG!$H$5,)</f>
        <v>0</v>
      </c>
      <c r="L3221" s="1298">
        <f t="shared" si="816"/>
        <v>0</v>
      </c>
      <c r="M3221" s="1298">
        <f t="shared" si="817"/>
        <v>0</v>
      </c>
      <c r="N3221" s="1298">
        <f t="shared" si="818"/>
        <v>0</v>
      </c>
      <c r="O3221" s="1298">
        <f t="shared" si="819"/>
        <v>0</v>
      </c>
      <c r="P3221" s="1299"/>
      <c r="Q3221" s="1300"/>
      <c r="R3221" s="1300"/>
      <c r="S3221" s="1300"/>
    </row>
    <row r="3222" spans="1:19" s="1081" customFormat="1" hidden="1" outlineLevel="1">
      <c r="A3222" s="1072">
        <f t="shared" si="815"/>
        <v>0</v>
      </c>
      <c r="B3222" s="1068" t="s">
        <v>1214</v>
      </c>
      <c r="C3222" s="1302"/>
      <c r="D3222" s="1198">
        <f>VLOOKUP($B3222,dongia1,DG!$B$5,)</f>
        <v>0</v>
      </c>
      <c r="E3222" s="1399" t="str">
        <f>VLOOKUP($B3222,dongia1,DG!$C$5,)</f>
        <v>Khâu ven răng ngoài D42</v>
      </c>
      <c r="F3222" s="1555" t="str">
        <f>VLOOKUP($B3222,dongia1,DG!$D$5,)</f>
        <v>cái</v>
      </c>
      <c r="G3222" s="1303">
        <f>G3206</f>
        <v>0</v>
      </c>
      <c r="H3222" s="1298">
        <f>VLOOKUP($B3222,dongia1,DG!$F$5,)</f>
        <v>5200</v>
      </c>
      <c r="I3222" s="1298"/>
      <c r="J3222" s="1298">
        <f>VLOOKUP($B3222,dongia1,DG!$G$5,)</f>
        <v>0</v>
      </c>
      <c r="K3222" s="1298">
        <f>VLOOKUP($B3222,dongia1,DG!$H$5,)</f>
        <v>0</v>
      </c>
      <c r="L3222" s="1298">
        <f t="shared" si="816"/>
        <v>0</v>
      </c>
      <c r="M3222" s="1298">
        <f t="shared" si="817"/>
        <v>0</v>
      </c>
      <c r="N3222" s="1298">
        <f t="shared" si="818"/>
        <v>0</v>
      </c>
      <c r="O3222" s="1298">
        <f t="shared" si="819"/>
        <v>0</v>
      </c>
      <c r="P3222" s="1299"/>
      <c r="Q3222" s="1300"/>
      <c r="R3222" s="1300"/>
      <c r="S3222" s="1300"/>
    </row>
    <row r="3223" spans="1:19" s="1081" customFormat="1" hidden="1" outlineLevel="1">
      <c r="A3223" s="1072">
        <f t="shared" si="815"/>
        <v>0</v>
      </c>
      <c r="B3223" s="1068" t="s">
        <v>1439</v>
      </c>
      <c r="C3223" s="1302"/>
      <c r="D3223" s="1198">
        <f>VLOOKUP($B3223,dongia1,DG!$B$5,)</f>
        <v>0</v>
      </c>
      <c r="E3223" s="1399" t="str">
        <f>VLOOKUP($B3223,dongia1,DG!$C$5,)</f>
        <v>Cổ dê CDĐKĐT D320/6x60( bắt thùng)</v>
      </c>
      <c r="F3223" s="1555" t="str">
        <f>VLOOKUP($B3223,dongia1,DG!$D$5,)</f>
        <v>bộ</v>
      </c>
      <c r="G3223" s="1303">
        <f>G3206*2</f>
        <v>0</v>
      </c>
      <c r="H3223" s="1298">
        <f>VLOOKUP($B3223,dongia1,DG!$F$5,)</f>
        <v>168000</v>
      </c>
      <c r="I3223" s="1298"/>
      <c r="J3223" s="1298">
        <f>VLOOKUP($B3223,dongia1,DG!$G$5,)</f>
        <v>0</v>
      </c>
      <c r="K3223" s="1298">
        <f>VLOOKUP($B3223,dongia1,DG!$H$5,)</f>
        <v>0</v>
      </c>
      <c r="L3223" s="1298">
        <f t="shared" si="816"/>
        <v>0</v>
      </c>
      <c r="M3223" s="1298">
        <f t="shared" si="817"/>
        <v>0</v>
      </c>
      <c r="N3223" s="1298">
        <f t="shared" si="818"/>
        <v>0</v>
      </c>
      <c r="O3223" s="1298">
        <f t="shared" si="819"/>
        <v>0</v>
      </c>
      <c r="P3223" s="1299"/>
      <c r="Q3223" s="1300"/>
      <c r="R3223" s="1300"/>
      <c r="S3223" s="1300"/>
    </row>
    <row r="3224" spans="1:19" s="1081" customFormat="1" hidden="1" outlineLevel="1">
      <c r="A3224" s="1072">
        <f t="shared" si="815"/>
        <v>0</v>
      </c>
      <c r="B3224" s="1068" t="s">
        <v>1825</v>
      </c>
      <c r="C3224" s="1302"/>
      <c r="D3224" s="1198" t="str">
        <f>VLOOKUP($B3224,dongia1,DG!$B$5,)</f>
        <v>T5.1001</v>
      </c>
      <c r="E3224" s="1399" t="str">
        <f>VLOOKUP($B3224,dongia1,DG!$C$5,)</f>
        <v>Thùng điện kế 450x300x200mm đo đếm trung thế</v>
      </c>
      <c r="F3224" s="1555" t="str">
        <f>VLOOKUP($B3224,dongia1,DG!$D$5,)</f>
        <v>cái</v>
      </c>
      <c r="G3224" s="1303">
        <f>G3206</f>
        <v>0</v>
      </c>
      <c r="H3224" s="1298">
        <f>VLOOKUP($B3224,dongia1,DG!$F$5,)</f>
        <v>845331</v>
      </c>
      <c r="I3224" s="1298"/>
      <c r="J3224" s="1298">
        <f>VLOOKUP($B3224,dongia1,DG!$G$5,)</f>
        <v>599038</v>
      </c>
      <c r="K3224" s="1298">
        <f>VLOOKUP($B3224,dongia1,DG!$H$5,)</f>
        <v>97369</v>
      </c>
      <c r="L3224" s="1298">
        <f t="shared" si="816"/>
        <v>0</v>
      </c>
      <c r="M3224" s="1298">
        <f t="shared" si="817"/>
        <v>0</v>
      </c>
      <c r="N3224" s="1298">
        <f t="shared" si="818"/>
        <v>0</v>
      </c>
      <c r="O3224" s="1298">
        <f t="shared" si="819"/>
        <v>0</v>
      </c>
      <c r="P3224" s="1299"/>
      <c r="Q3224" s="1300"/>
      <c r="R3224" s="1300"/>
      <c r="S3224" s="1300"/>
    </row>
    <row r="3225" spans="1:19" s="1081" customFormat="1" hidden="1" outlineLevel="1">
      <c r="A3225" s="1072">
        <f t="shared" si="815"/>
        <v>0</v>
      </c>
      <c r="B3225" s="1068" t="s">
        <v>1690</v>
      </c>
      <c r="C3225" s="1302"/>
      <c r="D3225" s="1198">
        <f>VLOOKUP($B3225,dongia1,DG!$B$5,)</f>
        <v>0</v>
      </c>
      <c r="E3225" s="1399" t="str">
        <f>VLOOKUP($B3225,dongia1,DG!$C$5,)</f>
        <v>Keo silicon bít miệng ống</v>
      </c>
      <c r="F3225" s="1555" t="str">
        <f>VLOOKUP($B3225,dongia1,DG!$D$5,)</f>
        <v>chai</v>
      </c>
      <c r="G3225" s="1303">
        <f>G3206*2</f>
        <v>0</v>
      </c>
      <c r="H3225" s="1298">
        <f>VLOOKUP($B3225,dongia1,DG!$F$5,)</f>
        <v>45000</v>
      </c>
      <c r="I3225" s="1298"/>
      <c r="J3225" s="1298">
        <f>VLOOKUP($B3225,dongia1,DG!$G$5,)</f>
        <v>0</v>
      </c>
      <c r="K3225" s="1298">
        <f>VLOOKUP($B3225,dongia1,DG!$H$5,)</f>
        <v>0</v>
      </c>
      <c r="L3225" s="1298">
        <f t="shared" si="816"/>
        <v>0</v>
      </c>
      <c r="M3225" s="1298">
        <f t="shared" si="817"/>
        <v>0</v>
      </c>
      <c r="N3225" s="1298">
        <f t="shared" si="818"/>
        <v>0</v>
      </c>
      <c r="O3225" s="1298">
        <f t="shared" si="819"/>
        <v>0</v>
      </c>
      <c r="P3225" s="1299"/>
      <c r="Q3225" s="1300"/>
      <c r="R3225" s="1300"/>
      <c r="S3225" s="1300"/>
    </row>
    <row r="3226" spans="1:19" s="1081" customFormat="1" hidden="1" outlineLevel="1">
      <c r="A3226" s="1072">
        <f t="shared" si="815"/>
        <v>0</v>
      </c>
      <c r="B3226" s="1068" t="s">
        <v>1735</v>
      </c>
      <c r="C3226" s="1302"/>
      <c r="D3226" s="1198">
        <f>VLOOKUP($B3226,dongia1,DG!$B$5,)</f>
        <v>0</v>
      </c>
      <c r="E3226" s="1399" t="str">
        <f>VLOOKUP($B3226,dongia1,DG!$C$5,)</f>
        <v>Dây đồng trần mềm dẹt</v>
      </c>
      <c r="F3226" s="1555" t="str">
        <f>VLOOKUP($B3226,dongia1,DG!$D$5,)</f>
        <v>mét</v>
      </c>
      <c r="G3226" s="1303">
        <f>G3206*4</f>
        <v>0</v>
      </c>
      <c r="H3226" s="1298">
        <f>VLOOKUP($B3226,dongia1,DG!$F$5,)</f>
        <v>5000</v>
      </c>
      <c r="I3226" s="1298"/>
      <c r="J3226" s="1298">
        <f>VLOOKUP($B3226,dongia1,DG!$G$5,)</f>
        <v>0</v>
      </c>
      <c r="K3226" s="1298">
        <f>VLOOKUP($B3226,dongia1,DG!$H$5,)</f>
        <v>0</v>
      </c>
      <c r="L3226" s="1298">
        <f t="shared" si="816"/>
        <v>0</v>
      </c>
      <c r="M3226" s="1298">
        <f t="shared" si="817"/>
        <v>0</v>
      </c>
      <c r="N3226" s="1298">
        <f t="shared" si="818"/>
        <v>0</v>
      </c>
      <c r="O3226" s="1298">
        <f t="shared" si="819"/>
        <v>0</v>
      </c>
      <c r="P3226" s="1299"/>
      <c r="Q3226" s="1300"/>
      <c r="R3226" s="1300"/>
      <c r="S3226" s="1300"/>
    </row>
    <row r="3227" spans="1:19" s="1081" customFormat="1" hidden="1" outlineLevel="1">
      <c r="A3227" s="1072">
        <f t="shared" si="815"/>
        <v>0</v>
      </c>
      <c r="B3227" s="1068" t="s">
        <v>518</v>
      </c>
      <c r="C3227" s="1302"/>
      <c r="D3227" s="1198">
        <v>0</v>
      </c>
      <c r="E3227" s="1399" t="str">
        <f>VLOOKUP($B3227,dongia1,DG!$C$5,)&amp;" : 2 thanh daøi 0,3m baét tuû ÑK"</f>
        <v>Sắt góc L50 x50 x5 : 2 thanh daøi 0,3m baét tuû ÑK</v>
      </c>
      <c r="F3227" s="1555" t="str">
        <f>VLOOKUP($B3227,dongia1,DG!$D$5,)</f>
        <v>kg</v>
      </c>
      <c r="G3227" s="1304">
        <f>3.77*G3206*2*0.3</f>
        <v>0</v>
      </c>
      <c r="H3227" s="1298">
        <f>VLOOKUP($B3227,dongia1,DG!$F$5,)</f>
        <v>31625</v>
      </c>
      <c r="I3227" s="1298"/>
      <c r="J3227" s="1298">
        <f>VLOOKUP($B3227,dongia1,DG!$G$5,)</f>
        <v>0</v>
      </c>
      <c r="K3227" s="1298">
        <f>VLOOKUP($B3227,dongia1,DG!$H$5,)</f>
        <v>0</v>
      </c>
      <c r="L3227" s="1298">
        <f t="shared" si="816"/>
        <v>0</v>
      </c>
      <c r="M3227" s="1298">
        <f t="shared" si="817"/>
        <v>0</v>
      </c>
      <c r="N3227" s="1298">
        <f t="shared" si="818"/>
        <v>0</v>
      </c>
      <c r="O3227" s="1298">
        <f t="shared" si="819"/>
        <v>0</v>
      </c>
      <c r="P3227" s="1299"/>
      <c r="Q3227" s="1300"/>
      <c r="R3227" s="1300"/>
      <c r="S3227" s="1300"/>
    </row>
    <row r="3228" spans="1:19" s="1081" customFormat="1" hidden="1" outlineLevel="1">
      <c r="A3228" s="1072">
        <f t="shared" si="815"/>
        <v>0</v>
      </c>
      <c r="B3228" s="1068" t="s">
        <v>509</v>
      </c>
      <c r="C3228" s="1302"/>
      <c r="D3228" s="1198">
        <v>0</v>
      </c>
      <c r="E3228" s="1399" t="str">
        <f>VLOOKUP($B3228,dongia1,DG!$C$5,)</f>
        <v>Boulon 10x50+ 2 long đền vuông D12-50x50x3/Zn</v>
      </c>
      <c r="F3228" s="1555" t="str">
        <f>VLOOKUP($B3228,dongia1,DG!$D$5,)</f>
        <v>bộ</v>
      </c>
      <c r="G3228" s="1303">
        <f>4*G3206</f>
        <v>0</v>
      </c>
      <c r="H3228" s="1298">
        <f>VLOOKUP($B3228,dongia1,DG!$F$5,)</f>
        <v>1500</v>
      </c>
      <c r="I3228" s="1298"/>
      <c r="J3228" s="1298">
        <f>VLOOKUP($B3228,dongia1,DG!$G$5,)</f>
        <v>0</v>
      </c>
      <c r="K3228" s="1298">
        <f>VLOOKUP($B3228,dongia1,DG!$H$5,)</f>
        <v>0</v>
      </c>
      <c r="L3228" s="1298">
        <f t="shared" si="816"/>
        <v>0</v>
      </c>
      <c r="M3228" s="1298">
        <f t="shared" si="817"/>
        <v>0</v>
      </c>
      <c r="N3228" s="1298">
        <f t="shared" si="818"/>
        <v>0</v>
      </c>
      <c r="O3228" s="1298">
        <f t="shared" si="819"/>
        <v>0</v>
      </c>
      <c r="P3228" s="1299"/>
      <c r="Q3228" s="1300"/>
      <c r="R3228" s="1300"/>
      <c r="S3228" s="1300"/>
    </row>
    <row r="3229" spans="1:19" s="1081" customFormat="1" hidden="1" outlineLevel="1">
      <c r="A3229" s="1072">
        <f>A3079</f>
        <v>0</v>
      </c>
      <c r="B3229" s="1421"/>
      <c r="C3229" s="1571"/>
      <c r="D3229" s="1476"/>
      <c r="E3229" s="1477"/>
      <c r="F3229" s="1478"/>
      <c r="G3229" s="1479"/>
      <c r="H3229" s="1478"/>
      <c r="I3229" s="1478"/>
      <c r="J3229" s="2469" t="s">
        <v>3388</v>
      </c>
      <c r="K3229" s="2469"/>
      <c r="L3229" s="1480">
        <f>SUM(L3098:L3228)</f>
        <v>0</v>
      </c>
      <c r="M3229" s="1480">
        <f>SUM(M3098:M3228)</f>
        <v>0</v>
      </c>
      <c r="N3229" s="1480">
        <f>SUM(N3098:N3228)</f>
        <v>0</v>
      </c>
      <c r="O3229" s="1480">
        <f>SUM(O3098:O3228)</f>
        <v>0</v>
      </c>
      <c r="P3229" s="1566"/>
      <c r="Q3229" s="1300"/>
      <c r="R3229" s="1300"/>
      <c r="S3229" s="1300"/>
    </row>
    <row r="3230" spans="1:19" s="1081" customFormat="1" hidden="1" outlineLevel="1">
      <c r="A3230" s="1072"/>
      <c r="B3230" s="1421"/>
      <c r="C3230" s="1528"/>
      <c r="D3230" s="1528"/>
      <c r="E3230" s="1558"/>
      <c r="F3230" s="1530"/>
      <c r="G3230" s="1529"/>
      <c r="H3230" s="1530"/>
      <c r="I3230" s="1530"/>
      <c r="J3230" s="1531"/>
      <c r="K3230" s="1531"/>
      <c r="L3230" s="1532"/>
      <c r="M3230" s="1532"/>
      <c r="N3230" s="1532"/>
      <c r="O3230" s="1532"/>
      <c r="P3230" s="1490"/>
      <c r="Q3230" s="1300"/>
      <c r="R3230" s="1300"/>
      <c r="S3230" s="1300"/>
    </row>
    <row r="3231" spans="1:19" s="1081" customFormat="1" hidden="1">
      <c r="A3231" s="1431">
        <f>IF(G3236&gt;0,1,)</f>
        <v>0</v>
      </c>
      <c r="B3231" s="1068"/>
      <c r="C3231" s="1490"/>
      <c r="D3231" s="1300"/>
      <c r="E3231" s="1491"/>
      <c r="F3231" s="1300"/>
      <c r="G3231" s="1492"/>
      <c r="H3231" s="1300"/>
      <c r="I3231" s="1300"/>
      <c r="J3231" s="1300"/>
      <c r="K3231" s="1300"/>
      <c r="L3231" s="1300"/>
      <c r="M3231" s="1300"/>
      <c r="N3231" s="1300"/>
      <c r="O3231" s="1300"/>
      <c r="P3231" s="1300"/>
      <c r="Q3231" s="1300"/>
      <c r="R3231" s="1300"/>
      <c r="S3231" s="1300"/>
    </row>
    <row r="3232" spans="1:19" s="1081" customFormat="1" hidden="1" outlineLevel="1">
      <c r="A3232" s="1072">
        <f>A3231</f>
        <v>0</v>
      </c>
      <c r="B3232" s="1432"/>
      <c r="C3232" s="1336" t="str">
        <f>"BẢNG TỔNG HỢP VẬT LIỆU, NHÂN CÔNG, MÁY THI CÔNG: "&amp;K20&amp;" TRẠM 3P_1600KVA"</f>
        <v>BẢNG TỔNG HỢP VẬT LIỆU, NHÂN CÔNG, MÁY THI CÔNG: 0 TRẠM 3P_1600KVA</v>
      </c>
      <c r="D3232" s="1494"/>
      <c r="E3232" s="1494"/>
      <c r="F3232" s="1494"/>
      <c r="G3232" s="1494"/>
      <c r="H3232" s="1495"/>
      <c r="I3232" s="1434"/>
      <c r="J3232" s="1495"/>
      <c r="K3232" s="1495"/>
      <c r="L3232" s="1495"/>
      <c r="M3232" s="1434"/>
      <c r="N3232" s="1495"/>
      <c r="O3232" s="1495"/>
      <c r="P3232" s="1513"/>
      <c r="Q3232" s="1300"/>
      <c r="R3232" s="1300"/>
      <c r="S3232" s="1300"/>
    </row>
    <row r="3233" spans="1:19" s="1081" customFormat="1" hidden="1" outlineLevel="1">
      <c r="A3233" s="1072">
        <f>A3231</f>
        <v>0</v>
      </c>
      <c r="B3233" s="1295" t="s">
        <v>308</v>
      </c>
      <c r="C3233" s="2459" t="s">
        <v>1014</v>
      </c>
      <c r="D3233" s="2467" t="s">
        <v>3363</v>
      </c>
      <c r="E3233" s="2457" t="s">
        <v>3364</v>
      </c>
      <c r="F3233" s="2459" t="s">
        <v>3365</v>
      </c>
      <c r="G3233" s="1155" t="s">
        <v>3367</v>
      </c>
      <c r="H3233" s="1156" t="s">
        <v>3368</v>
      </c>
      <c r="I3233" s="1157"/>
      <c r="J3233" s="1157"/>
      <c r="K3233" s="1158"/>
      <c r="L3233" s="1156" t="s">
        <v>3372</v>
      </c>
      <c r="M3233" s="1157"/>
      <c r="N3233" s="1157"/>
      <c r="O3233" s="1158"/>
      <c r="P3233" s="2459" t="s">
        <v>3373</v>
      </c>
      <c r="Q3233" s="1300"/>
      <c r="R3233" s="1300"/>
      <c r="S3233" s="1300"/>
    </row>
    <row r="3234" spans="1:19" s="1081" customFormat="1" hidden="1" outlineLevel="1">
      <c r="A3234" s="1072">
        <f>A3233</f>
        <v>0</v>
      </c>
      <c r="B3234" s="1295"/>
      <c r="C3234" s="2459"/>
      <c r="D3234" s="2468"/>
      <c r="E3234" s="2458"/>
      <c r="F3234" s="2459"/>
      <c r="G3234" s="1160" t="s">
        <v>3366</v>
      </c>
      <c r="H3234" s="1161" t="s">
        <v>393</v>
      </c>
      <c r="I3234" s="1161" t="s">
        <v>3369</v>
      </c>
      <c r="J3234" s="1161" t="s">
        <v>3370</v>
      </c>
      <c r="K3234" s="1161" t="s">
        <v>3371</v>
      </c>
      <c r="L3234" s="1161" t="s">
        <v>393</v>
      </c>
      <c r="M3234" s="1161" t="s">
        <v>3369</v>
      </c>
      <c r="N3234" s="1161" t="s">
        <v>3370</v>
      </c>
      <c r="O3234" s="1161" t="s">
        <v>3371</v>
      </c>
      <c r="P3234" s="2459"/>
      <c r="Q3234" s="1300"/>
      <c r="R3234" s="1300"/>
      <c r="S3234" s="1300"/>
    </row>
    <row r="3235" spans="1:19" s="1081" customFormat="1" hidden="1" outlineLevel="1">
      <c r="A3235" s="1072">
        <f>A3234</f>
        <v>0</v>
      </c>
      <c r="B3235" s="1295"/>
      <c r="C3235" s="1162"/>
      <c r="D3235" s="1163"/>
      <c r="E3235" s="1164" t="s">
        <v>3375</v>
      </c>
      <c r="F3235" s="1165"/>
      <c r="G3235" s="1165"/>
      <c r="H3235" s="1165"/>
      <c r="I3235" s="1165"/>
      <c r="J3235" s="1165"/>
      <c r="K3235" s="1165"/>
      <c r="L3235" s="1165"/>
      <c r="M3235" s="1165"/>
      <c r="N3235" s="1165"/>
      <c r="O3235" s="1163"/>
      <c r="P3235" s="1166"/>
      <c r="Q3235" s="1300"/>
      <c r="R3235" s="1300"/>
      <c r="S3235" s="1300"/>
    </row>
    <row r="3236" spans="1:19" s="1081" customFormat="1" hidden="1" outlineLevel="1">
      <c r="A3236" s="1072" t="str">
        <f t="shared" ref="A3236:A3246" si="821">IF(G3236&lt;&gt;0,1,"")</f>
        <v/>
      </c>
      <c r="B3236" s="1435" t="str">
        <f>IF($F$8=15,"tr1600","tr16001")</f>
        <v>tr16001</v>
      </c>
      <c r="C3236" s="1302">
        <f>IF(G3236&gt;0,1,0)</f>
        <v>0</v>
      </c>
      <c r="D3236" s="1198" t="str">
        <f>VLOOKUP($B3236,dongia1,DG!$B$5,)</f>
        <v>T1.1418</v>
      </c>
      <c r="E3236" s="1243" t="str">
        <f>VLOOKUP($B3236,dongia1,DG!$C$5,)</f>
        <v>Máy biến áp 22/0,4kV- 1600kVA</v>
      </c>
      <c r="F3236" s="1198" t="str">
        <f>VLOOKUP($B3236,dongia1,DG!$D$5,)</f>
        <v>máy</v>
      </c>
      <c r="G3236" s="1561">
        <f>$K$20</f>
        <v>0</v>
      </c>
      <c r="H3236" s="1399">
        <f>VLOOKUP($B3236,dongia1,DG!$E$5,)</f>
        <v>448311000</v>
      </c>
      <c r="I3236" s="1399"/>
      <c r="J3236" s="1399">
        <f>VLOOKUP($B3236,dongia1,DG!$G$5,)</f>
        <v>1928901</v>
      </c>
      <c r="K3236" s="1399">
        <f>VLOOKUP($B3236,dongia1,DG!$H$5,)</f>
        <v>426761</v>
      </c>
      <c r="L3236" s="1400">
        <f t="shared" ref="L3236:L3246" si="822">H3236*G3236</f>
        <v>0</v>
      </c>
      <c r="M3236" s="1400">
        <f t="shared" ref="M3236:M3246" si="823">I3236*G3236</f>
        <v>0</v>
      </c>
      <c r="N3236" s="1400">
        <f t="shared" ref="N3236:N3246" si="824">J3236*G3236</f>
        <v>0</v>
      </c>
      <c r="O3236" s="1401">
        <f t="shared" ref="O3236:O3246" si="825">K3236*G3236</f>
        <v>0</v>
      </c>
      <c r="P3236" s="1562"/>
      <c r="Q3236" s="1300"/>
      <c r="R3236" s="1300"/>
      <c r="S3236" s="1300"/>
    </row>
    <row r="3237" spans="1:19" s="1081" customFormat="1" hidden="1" outlineLevel="1">
      <c r="A3237" s="1072" t="str">
        <f t="shared" si="821"/>
        <v/>
      </c>
      <c r="B3237" s="1397" t="s">
        <v>286</v>
      </c>
      <c r="C3237" s="1302">
        <f>IF(G3237&gt;0,C3236+1,C3236)</f>
        <v>0</v>
      </c>
      <c r="D3237" s="1198" t="str">
        <f>VLOOKUP($B3237,dongia1,DG!$B$5,)</f>
        <v>T2.3213</v>
      </c>
      <c r="E3237" s="1243" t="str">
        <f>VLOOKUP($B3237,dongia1,DG!$C$5,)</f>
        <v xml:space="preserve">DS 3P - 24KV - 630A </v>
      </c>
      <c r="F3237" s="1198" t="str">
        <f>VLOOKUP($B3237,dongia1,DG!$D$5,)</f>
        <v>bộ</v>
      </c>
      <c r="G3237" s="1303">
        <f>G3236*0</f>
        <v>0</v>
      </c>
      <c r="H3237" s="1399">
        <f>VLOOKUP($B3237,dongia1,DG!$E$5,)</f>
        <v>16664000</v>
      </c>
      <c r="I3237" s="1399">
        <f>VLOOKUP($B3237,dongia1,DG!$F$5,)*0</f>
        <v>0</v>
      </c>
      <c r="J3237" s="1399">
        <f>VLOOKUP($B3237,dongia1,DG!$F$5,)</f>
        <v>0</v>
      </c>
      <c r="K3237" s="1399">
        <f>VLOOKUP($B3237,dongia1,DG!$H$5,)</f>
        <v>262622</v>
      </c>
      <c r="L3237" s="1400">
        <f t="shared" si="822"/>
        <v>0</v>
      </c>
      <c r="M3237" s="1400">
        <f t="shared" si="823"/>
        <v>0</v>
      </c>
      <c r="N3237" s="1400">
        <f t="shared" si="824"/>
        <v>0</v>
      </c>
      <c r="O3237" s="1401">
        <f t="shared" si="825"/>
        <v>0</v>
      </c>
      <c r="P3237" s="1299"/>
      <c r="Q3237" s="1300"/>
      <c r="R3237" s="1300"/>
      <c r="S3237" s="1300"/>
    </row>
    <row r="3238" spans="1:19" s="1081" customFormat="1" hidden="1" outlineLevel="1">
      <c r="A3238" s="1072" t="str">
        <f t="shared" si="821"/>
        <v/>
      </c>
      <c r="B3238" s="1295" t="s">
        <v>1871</v>
      </c>
      <c r="C3238" s="1302">
        <f t="shared" ref="C3238:C3243" si="826">IF(G3238&gt;0,C3237+1,C3237)</f>
        <v>0</v>
      </c>
      <c r="D3238" s="1198" t="str">
        <f>VLOOKUP($B3238,dongia1,DG!$B$5,)</f>
        <v>05.2102</v>
      </c>
      <c r="E3238" s="1243" t="str">
        <f>VLOOKUP($B3238,dongia1,DG!$C$5,)</f>
        <v>Tủ LBS 3 pha 630-800A</v>
      </c>
      <c r="F3238" s="1198" t="str">
        <f>VLOOKUP($B3238,dongia1,DG!$D$5,)</f>
        <v>tủ</v>
      </c>
      <c r="G3238" s="1303">
        <f>G3236*0</f>
        <v>0</v>
      </c>
      <c r="H3238" s="1399">
        <f>VLOOKUP($B3238,dongia1,DG!$F$5,)*0</f>
        <v>0</v>
      </c>
      <c r="I3238" s="1399">
        <f>VLOOKUP($B3238,dongia1,DG!$F$5,)*0</f>
        <v>0</v>
      </c>
      <c r="J3238" s="1399">
        <f>VLOOKUP($B3238,dongia1,DG!$G$5,)</f>
        <v>286129</v>
      </c>
      <c r="K3238" s="1399">
        <f>VLOOKUP($B3238,dongia1,DG!$H$5,)</f>
        <v>59254</v>
      </c>
      <c r="L3238" s="1400">
        <f t="shared" si="822"/>
        <v>0</v>
      </c>
      <c r="M3238" s="1400">
        <f t="shared" si="823"/>
        <v>0</v>
      </c>
      <c r="N3238" s="1400">
        <f t="shared" si="824"/>
        <v>0</v>
      </c>
      <c r="O3238" s="1401">
        <f t="shared" si="825"/>
        <v>0</v>
      </c>
      <c r="P3238" s="1437" t="s">
        <v>1216</v>
      </c>
      <c r="Q3238" s="1300"/>
      <c r="R3238" s="1300"/>
      <c r="S3238" s="1300"/>
    </row>
    <row r="3239" spans="1:19" s="1081" customFormat="1" hidden="1" outlineLevel="1">
      <c r="A3239" s="1072" t="str">
        <f t="shared" si="821"/>
        <v/>
      </c>
      <c r="B3239" s="1167" t="str">
        <f>"FCO200-"&amp;$F$8</f>
        <v>FCO200-22</v>
      </c>
      <c r="C3239" s="1302">
        <f t="shared" si="826"/>
        <v>0</v>
      </c>
      <c r="D3239" s="1198" t="str">
        <f>VLOOKUP($B3239,dongia1,DG!$B$5,)</f>
        <v>T2.3501</v>
      </c>
      <c r="E3239" s="1243" t="str">
        <f>VLOOKUP($B3239,dongia1,DG!$C$5,)</f>
        <v xml:space="preserve">FCO 24KV - 200A </v>
      </c>
      <c r="F3239" s="1198" t="str">
        <f>VLOOKUP($B3239,dongia1,DG!$D$5,)</f>
        <v>cái</v>
      </c>
      <c r="G3239" s="1303">
        <f>+G3236*3</f>
        <v>0</v>
      </c>
      <c r="H3239" s="1298">
        <f>VLOOKUP($B3239,dongia1,DG!$E$5,)</f>
        <v>4076000</v>
      </c>
      <c r="I3239" s="1298">
        <f>VLOOKUP($B3239,dongia1,DG!$F$5,)*0</f>
        <v>0</v>
      </c>
      <c r="J3239" s="1298">
        <f>VLOOKUP($B3239,dongia1,DG!$G$5,)</f>
        <v>176000</v>
      </c>
      <c r="K3239" s="1298">
        <f>VLOOKUP($B3239,dongia1,DG!$H$5,)</f>
        <v>0</v>
      </c>
      <c r="L3239" s="1298">
        <f t="shared" si="822"/>
        <v>0</v>
      </c>
      <c r="M3239" s="1298">
        <f t="shared" si="823"/>
        <v>0</v>
      </c>
      <c r="N3239" s="1298">
        <f t="shared" si="824"/>
        <v>0</v>
      </c>
      <c r="O3239" s="1298">
        <f t="shared" si="825"/>
        <v>0</v>
      </c>
      <c r="P3239" s="1299"/>
      <c r="Q3239" s="1300"/>
      <c r="R3239" s="1300"/>
      <c r="S3239" s="1300"/>
    </row>
    <row r="3240" spans="1:19" s="1081" customFormat="1" hidden="1" outlineLevel="1">
      <c r="A3240" s="1072" t="str">
        <f t="shared" si="821"/>
        <v/>
      </c>
      <c r="B3240" s="1435" t="str">
        <f>IF($F$8=15,"CHI100K","CHI65K")</f>
        <v>CHI65K</v>
      </c>
      <c r="C3240" s="1302">
        <f t="shared" si="826"/>
        <v>0</v>
      </c>
      <c r="D3240" s="1198">
        <f>VLOOKUP($B3240,dongia1,DG!$B$5,)</f>
        <v>0</v>
      </c>
      <c r="E3240" s="1243" t="str">
        <f>VLOOKUP($B3240,dongia1,DG!$C$5,)</f>
        <v>Dây chảy 65K</v>
      </c>
      <c r="F3240" s="1198" t="str">
        <f>VLOOKUP($B3240,dongia1,DG!$D$5,)</f>
        <v>Sợi</v>
      </c>
      <c r="G3240" s="1303">
        <f>G3239</f>
        <v>0</v>
      </c>
      <c r="H3240" s="1298">
        <f>VLOOKUP($B3240,dongia1,DG!$F$5,)</f>
        <v>120000</v>
      </c>
      <c r="I3240" s="1298">
        <f>VLOOKUP($B3240,dongia1,DG!$F$5,)*0</f>
        <v>0</v>
      </c>
      <c r="J3240" s="1298">
        <f>VLOOKUP($B3240,dongia1,DG!$G$5,)</f>
        <v>0</v>
      </c>
      <c r="K3240" s="1298">
        <f>VLOOKUP($B3240,dongia1,DG!$H$5,)</f>
        <v>0</v>
      </c>
      <c r="L3240" s="1298">
        <f t="shared" si="822"/>
        <v>0</v>
      </c>
      <c r="M3240" s="1298">
        <f t="shared" si="823"/>
        <v>0</v>
      </c>
      <c r="N3240" s="1298">
        <f t="shared" si="824"/>
        <v>0</v>
      </c>
      <c r="O3240" s="1298">
        <f t="shared" si="825"/>
        <v>0</v>
      </c>
      <c r="P3240" s="1299"/>
      <c r="Q3240" s="1300"/>
      <c r="R3240" s="1300"/>
      <c r="S3240" s="1300"/>
    </row>
    <row r="3241" spans="1:19" s="1081" customFormat="1" hidden="1" outlineLevel="1">
      <c r="A3241" s="1072" t="str">
        <f t="shared" si="821"/>
        <v/>
      </c>
      <c r="B3241" s="1295" t="str">
        <f>"LA"&amp;$F$6</f>
        <v>LA18</v>
      </c>
      <c r="C3241" s="1302">
        <f t="shared" si="826"/>
        <v>0</v>
      </c>
      <c r="D3241" s="1198" t="str">
        <f>VLOOKUP($B3241,dongia1,DG!$B$5,)</f>
        <v>T2.5004</v>
      </c>
      <c r="E3241" s="1243" t="str">
        <f>VLOOKUP($B3241,dongia1,DG!$C$5,)</f>
        <v>LA 18kV 10kA</v>
      </c>
      <c r="F3241" s="1198" t="str">
        <f>VLOOKUP($B3241,dongia1,DG!$D$5,)</f>
        <v>cái</v>
      </c>
      <c r="G3241" s="1303">
        <f>G3236*3</f>
        <v>0</v>
      </c>
      <c r="H3241" s="1298">
        <f>VLOOKUP($B3241,dongia1,DG!$E$5,)</f>
        <v>1106000</v>
      </c>
      <c r="I3241" s="1298">
        <f>VLOOKUP($B3241,dongia1,DG!$F$5,)*0</f>
        <v>0</v>
      </c>
      <c r="J3241" s="1298">
        <f>VLOOKUP($B3241,dongia1,DG!$G$5,)</f>
        <v>83490</v>
      </c>
      <c r="K3241" s="1298">
        <f>VLOOKUP($B3241,dongia1,DG!$H$5,)</f>
        <v>0</v>
      </c>
      <c r="L3241" s="1298">
        <f t="shared" si="822"/>
        <v>0</v>
      </c>
      <c r="M3241" s="1298">
        <f t="shared" si="823"/>
        <v>0</v>
      </c>
      <c r="N3241" s="1298">
        <f t="shared" si="824"/>
        <v>0</v>
      </c>
      <c r="O3241" s="1298">
        <f t="shared" si="825"/>
        <v>0</v>
      </c>
      <c r="P3241" s="1299"/>
      <c r="Q3241" s="1300"/>
      <c r="R3241" s="1300"/>
      <c r="S3241" s="1300"/>
    </row>
    <row r="3242" spans="1:19" s="1081" customFormat="1" hidden="1" outlineLevel="1">
      <c r="A3242" s="1072" t="str">
        <f t="shared" si="821"/>
        <v/>
      </c>
      <c r="B3242" s="1397" t="s">
        <v>1306</v>
      </c>
      <c r="C3242" s="1302">
        <f t="shared" si="826"/>
        <v>0</v>
      </c>
      <c r="D3242" s="1198">
        <f>VLOOKUP($B3242,dongia1,DG!$B$5,)</f>
        <v>0</v>
      </c>
      <c r="E3242" s="1243" t="str">
        <f>VLOOKUP($B3242,dongia1,DG!$C$5,)</f>
        <v>ACB 3P - 2500A - 85KA (nạp lò xo bằng tay)</v>
      </c>
      <c r="F3242" s="1198" t="str">
        <f>VLOOKUP($B3242,dongia1,DG!$D$5,)</f>
        <v>cái</v>
      </c>
      <c r="G3242" s="1303">
        <f>G3236</f>
        <v>0</v>
      </c>
      <c r="H3242" s="1298">
        <f>VLOOKUP($B3242,dongia1,DG!$E$5,)</f>
        <v>113827000</v>
      </c>
      <c r="I3242" s="1298">
        <f>VLOOKUP($B3242,dongia1,DG!$F$5,)*0</f>
        <v>0</v>
      </c>
      <c r="J3242" s="1298">
        <f>VLOOKUP($B3242,dongia1,DG!$G$5,)</f>
        <v>0</v>
      </c>
      <c r="K3242" s="1298">
        <f>VLOOKUP($B3242,dongia1,DG!$H$5,)</f>
        <v>0</v>
      </c>
      <c r="L3242" s="1298">
        <f t="shared" si="822"/>
        <v>0</v>
      </c>
      <c r="M3242" s="1298">
        <f t="shared" si="823"/>
        <v>0</v>
      </c>
      <c r="N3242" s="1298">
        <f t="shared" si="824"/>
        <v>0</v>
      </c>
      <c r="O3242" s="1298">
        <f t="shared" si="825"/>
        <v>0</v>
      </c>
      <c r="P3242" s="1299"/>
      <c r="Q3242" s="1300"/>
      <c r="R3242" s="1300"/>
      <c r="S3242" s="1300"/>
    </row>
    <row r="3243" spans="1:19" s="1081" customFormat="1" hidden="1" outlineLevel="1">
      <c r="A3243" s="1072" t="str">
        <f t="shared" si="821"/>
        <v/>
      </c>
      <c r="B3243" s="1397" t="s">
        <v>513</v>
      </c>
      <c r="C3243" s="1302">
        <f t="shared" si="826"/>
        <v>0</v>
      </c>
      <c r="D3243" s="1198" t="str">
        <f>VLOOKUP($B3243,dongia1,DG!$B$5,)</f>
        <v>05.1102</v>
      </c>
      <c r="E3243" s="1243" t="str">
        <f>VLOOKUP($B3243,dongia1,DG!$C$5,)</f>
        <v>Tủ tụ bù hạ thế 600kVAr</v>
      </c>
      <c r="F3243" s="1198" t="str">
        <f>VLOOKUP($B3243,dongia1,DG!$D$5,)</f>
        <v>tủ</v>
      </c>
      <c r="G3243" s="1303">
        <f>G3242</f>
        <v>0</v>
      </c>
      <c r="H3243" s="1298">
        <f>VLOOKUP($B3243,dongia1,DG!$E$5,)</f>
        <v>138000415</v>
      </c>
      <c r="I3243" s="1298">
        <f>VLOOKUP($B3243,dongia1,DG!$F$5,)</f>
        <v>0</v>
      </c>
      <c r="J3243" s="1298">
        <f>VLOOKUP($B3243,dongia1,DG!$G$5,)</f>
        <v>98101</v>
      </c>
      <c r="K3243" s="1298">
        <f>VLOOKUP($B3243,dongia1,DG!$H$5,)</f>
        <v>59254</v>
      </c>
      <c r="L3243" s="1298">
        <f t="shared" si="822"/>
        <v>0</v>
      </c>
      <c r="M3243" s="1298">
        <f t="shared" si="823"/>
        <v>0</v>
      </c>
      <c r="N3243" s="1298">
        <f t="shared" si="824"/>
        <v>0</v>
      </c>
      <c r="O3243" s="1298">
        <f t="shared" si="825"/>
        <v>0</v>
      </c>
      <c r="P3243" s="1299"/>
      <c r="Q3243" s="1300"/>
      <c r="R3243" s="1300"/>
      <c r="S3243" s="1300"/>
    </row>
    <row r="3244" spans="1:19" s="1081" customFormat="1" hidden="1" outlineLevel="1">
      <c r="A3244" s="1072" t="str">
        <f t="shared" si="821"/>
        <v/>
      </c>
      <c r="B3244" s="1435" t="str">
        <f>IF($F$8=15,"TI50","TI40")</f>
        <v>TI40</v>
      </c>
      <c r="C3244" s="1302">
        <f>IF(G3244&gt;0,C3243+1,C3243)</f>
        <v>0</v>
      </c>
      <c r="D3244" s="1198">
        <f>VLOOKUP($B3244,dongia1,DG!$B$5,)</f>
        <v>0</v>
      </c>
      <c r="E3244" s="1243" t="str">
        <f>VLOOKUP($B3244,dongia1,DG!$C$5,)</f>
        <v>Biến dòng 24kV  40/5A</v>
      </c>
      <c r="F3244" s="1198" t="str">
        <f>VLOOKUP($B3244,dongia1,DG!$D$5,)</f>
        <v>cái</v>
      </c>
      <c r="G3244" s="1438">
        <f>G3236*3</f>
        <v>0</v>
      </c>
      <c r="H3244" s="1298">
        <f>VLOOKUP($B3244,dongia1,DG!$E$5,)*0</f>
        <v>0</v>
      </c>
      <c r="I3244" s="1298">
        <f>VLOOKUP($B3244,dongia1,DG!$F$5,)*0</f>
        <v>0</v>
      </c>
      <c r="J3244" s="1298">
        <f>VLOOKUP($B3244,dongia1,DG!$G$5,)</f>
        <v>0</v>
      </c>
      <c r="K3244" s="1298">
        <f>VLOOKUP($B3244,dongia1,DG!$H$5,)</f>
        <v>0</v>
      </c>
      <c r="L3244" s="1298">
        <f t="shared" si="822"/>
        <v>0</v>
      </c>
      <c r="M3244" s="1298">
        <f t="shared" si="823"/>
        <v>0</v>
      </c>
      <c r="N3244" s="1298">
        <f t="shared" si="824"/>
        <v>0</v>
      </c>
      <c r="O3244" s="1298">
        <f t="shared" si="825"/>
        <v>0</v>
      </c>
      <c r="P3244" s="1439" t="s">
        <v>3471</v>
      </c>
      <c r="Q3244" s="1300"/>
      <c r="R3244" s="1300"/>
      <c r="S3244" s="1300"/>
    </row>
    <row r="3245" spans="1:19" s="1081" customFormat="1" hidden="1" outlineLevel="1">
      <c r="A3245" s="1072" t="str">
        <f t="shared" si="821"/>
        <v/>
      </c>
      <c r="B3245" s="1435" t="str">
        <f>IF($F$8=15,"TU15","TU22")</f>
        <v>TU22</v>
      </c>
      <c r="C3245" s="1302">
        <f>IF(G3245&gt;0,C3244+1,C3244)</f>
        <v>0</v>
      </c>
      <c r="D3245" s="1198">
        <f>VLOOKUP($B3245,dongia1,DG!$B$5,)</f>
        <v>0</v>
      </c>
      <c r="E3245" s="1243" t="str">
        <f>VLOOKUP($B3245,dongia1,DG!$C$5,)</f>
        <v>Biến điện áp 22000/√3/100/√3 V</v>
      </c>
      <c r="F3245" s="1198" t="str">
        <f>VLOOKUP($B3245,dongia1,DG!$D$5,)</f>
        <v>cái</v>
      </c>
      <c r="G3245" s="1564">
        <f>G3244</f>
        <v>0</v>
      </c>
      <c r="H3245" s="1298">
        <f>VLOOKUP($B3245,dongia1,DG!$E$5,)</f>
        <v>0</v>
      </c>
      <c r="I3245" s="1298"/>
      <c r="J3245" s="1298">
        <f>VLOOKUP($B3245,dongia1,DG!$G$5,)</f>
        <v>92703</v>
      </c>
      <c r="K3245" s="1298">
        <f>VLOOKUP($B3245,dongia1,DG!$H$5,)</f>
        <v>84261</v>
      </c>
      <c r="L3245" s="1298">
        <f t="shared" si="822"/>
        <v>0</v>
      </c>
      <c r="M3245" s="1298">
        <f t="shared" si="823"/>
        <v>0</v>
      </c>
      <c r="N3245" s="1298">
        <f t="shared" si="824"/>
        <v>0</v>
      </c>
      <c r="O3245" s="1298">
        <f t="shared" si="825"/>
        <v>0</v>
      </c>
      <c r="P3245" s="1439" t="s">
        <v>3471</v>
      </c>
      <c r="Q3245" s="1300"/>
      <c r="R3245" s="1300"/>
      <c r="S3245" s="1300"/>
    </row>
    <row r="3246" spans="1:19" s="1081" customFormat="1" hidden="1" outlineLevel="1">
      <c r="A3246" s="1072" t="str">
        <f t="shared" si="821"/>
        <v/>
      </c>
      <c r="B3246" s="1565" t="s">
        <v>1873</v>
      </c>
      <c r="C3246" s="1302">
        <f>IF(G3246&gt;0,C3245+1,C3245)</f>
        <v>0</v>
      </c>
      <c r="D3246" s="1198">
        <f>VLOOKUP($B3246,dongia1,DG!$B$5,)</f>
        <v>0</v>
      </c>
      <c r="E3246" s="1243" t="str">
        <f>VLOOKUP($B3246,dongia1,DG!$C$5,)</f>
        <v>Điện kế 3 pha điện tử 5A</v>
      </c>
      <c r="F3246" s="1198" t="str">
        <f>VLOOKUP($B3246,dongia1,DG!$D$5,)</f>
        <v>cái</v>
      </c>
      <c r="G3246" s="1438">
        <f>G3236</f>
        <v>0</v>
      </c>
      <c r="H3246" s="1399">
        <f>VLOOKUP($B3246,dongia1,DG!$E$5,)*0</f>
        <v>0</v>
      </c>
      <c r="I3246" s="1399">
        <f>VLOOKUP($B3246,dongia1,DG!$F$5,)*0</f>
        <v>0</v>
      </c>
      <c r="J3246" s="1399">
        <f>VLOOKUP($B3246,dongia1,DG!$G$5,)*0</f>
        <v>0</v>
      </c>
      <c r="K3246" s="1399">
        <f>VLOOKUP($B3246,dongia1,DG!$H$5,)</f>
        <v>0</v>
      </c>
      <c r="L3246" s="1298">
        <f t="shared" si="822"/>
        <v>0</v>
      </c>
      <c r="M3246" s="1400">
        <f t="shared" si="823"/>
        <v>0</v>
      </c>
      <c r="N3246" s="1400">
        <f t="shared" si="824"/>
        <v>0</v>
      </c>
      <c r="O3246" s="1401">
        <f t="shared" si="825"/>
        <v>0</v>
      </c>
      <c r="P3246" s="1440" t="s">
        <v>3471</v>
      </c>
      <c r="Q3246" s="1300"/>
      <c r="R3246" s="1300"/>
      <c r="S3246" s="1300"/>
    </row>
    <row r="3247" spans="1:19" s="1081" customFormat="1" hidden="1" outlineLevel="1">
      <c r="A3247" s="1072">
        <f>A3231</f>
        <v>0</v>
      </c>
      <c r="B3247" s="1295"/>
      <c r="C3247" s="1441"/>
      <c r="D3247" s="1442"/>
      <c r="E3247" s="1443"/>
      <c r="F3247" s="1444"/>
      <c r="G3247" s="1445"/>
      <c r="H3247" s="1444"/>
      <c r="I3247" s="1444"/>
      <c r="J3247" s="1183" t="s">
        <v>3387</v>
      </c>
      <c r="K3247" s="1444"/>
      <c r="L3247" s="1446">
        <f>SUM(L3236:L3246)</f>
        <v>0</v>
      </c>
      <c r="M3247" s="1446">
        <f>SUM(M3236:M3246)</f>
        <v>0</v>
      </c>
      <c r="N3247" s="1446">
        <f>SUM(N3236:N3246)</f>
        <v>0</v>
      </c>
      <c r="O3247" s="1446">
        <f>SUM(O3236:O3246)</f>
        <v>0</v>
      </c>
      <c r="P3247" s="1566"/>
      <c r="Q3247" s="1300"/>
      <c r="R3247" s="1300"/>
      <c r="S3247" s="1300"/>
    </row>
    <row r="3248" spans="1:19" s="1081" customFormat="1" hidden="1" outlineLevel="1">
      <c r="A3248" s="1072">
        <f>A3231</f>
        <v>0</v>
      </c>
      <c r="B3248" s="1295"/>
      <c r="C3248" s="1448"/>
      <c r="D3248" s="1449"/>
      <c r="E3248" s="1450" t="s">
        <v>3376</v>
      </c>
      <c r="F3248" s="1450"/>
      <c r="G3248" s="1451"/>
      <c r="H3248" s="1450"/>
      <c r="I3248" s="1450"/>
      <c r="J3248" s="1450"/>
      <c r="K3248" s="1450"/>
      <c r="L3248" s="1450"/>
      <c r="M3248" s="1450"/>
      <c r="N3248" s="1450"/>
      <c r="O3248" s="1449"/>
      <c r="P3248" s="1566"/>
      <c r="Q3248" s="1300"/>
      <c r="R3248" s="1300"/>
      <c r="S3248" s="1300"/>
    </row>
    <row r="3249" spans="1:19" s="1081" customFormat="1" hidden="1" outlineLevel="1">
      <c r="A3249" s="1072" t="str">
        <f t="shared" ref="A3249:A3257" si="827">IF(G3249&lt;&gt;0,1,"")</f>
        <v/>
      </c>
      <c r="B3249" s="1452"/>
      <c r="C3249" s="1453">
        <f>IF(G3249&gt;0,1,0)</f>
        <v>0</v>
      </c>
      <c r="D3249" s="1198"/>
      <c r="E3249" s="1454" t="s">
        <v>3389</v>
      </c>
      <c r="F3249" s="1455" t="s">
        <v>1133</v>
      </c>
      <c r="G3249" s="1460">
        <f>G3236*0</f>
        <v>0</v>
      </c>
      <c r="H3249" s="1455"/>
      <c r="I3249" s="1455"/>
      <c r="J3249" s="1455"/>
      <c r="K3249" s="1455"/>
      <c r="L3249" s="1456"/>
      <c r="M3249" s="1456"/>
      <c r="N3249" s="1456"/>
      <c r="O3249" s="1457"/>
      <c r="P3249" s="1299"/>
      <c r="Q3249" s="1300"/>
      <c r="R3249" s="1300"/>
      <c r="S3249" s="1300"/>
    </row>
    <row r="3250" spans="1:19" s="1081" customFormat="1" hidden="1" outlineLevel="1">
      <c r="A3250" s="1072" t="str">
        <f t="shared" si="827"/>
        <v/>
      </c>
      <c r="B3250" s="1421" t="s">
        <v>1248</v>
      </c>
      <c r="C3250" s="1458"/>
      <c r="D3250" s="1198"/>
      <c r="E3250" s="1459" t="str">
        <f>VLOOKUP($B3250,dongia1,DG!$C$5,)</f>
        <v>Trụ BTLT 10,5m F350 dự ứng lực</v>
      </c>
      <c r="F3250" s="1198" t="str">
        <f>VLOOKUP($B3250,dongia1,DG!$D$5,)</f>
        <v>trụ</v>
      </c>
      <c r="G3250" s="1198">
        <f>G3249</f>
        <v>0</v>
      </c>
      <c r="H3250" s="1399">
        <f>VLOOKUP($B3250,dongia1,DG!$F$5,)</f>
        <v>4200000</v>
      </c>
      <c r="I3250" s="1291"/>
      <c r="J3250" s="1399"/>
      <c r="K3250" s="1291"/>
      <c r="L3250" s="1400">
        <f>H3250*G3250</f>
        <v>0</v>
      </c>
      <c r="M3250" s="1400">
        <f>I3250*G3250</f>
        <v>0</v>
      </c>
      <c r="N3250" s="1400">
        <f>J3250*G3250</f>
        <v>0</v>
      </c>
      <c r="O3250" s="1400">
        <f>K3250*G3250</f>
        <v>0</v>
      </c>
      <c r="P3250" s="1299"/>
      <c r="Q3250" s="1300"/>
      <c r="R3250" s="1300"/>
      <c r="S3250" s="1300"/>
    </row>
    <row r="3251" spans="1:19" s="1081" customFormat="1" hidden="1" outlineLevel="1">
      <c r="A3251" s="1072" t="str">
        <f t="shared" si="827"/>
        <v/>
      </c>
      <c r="B3251" s="1421" t="s">
        <v>1457</v>
      </c>
      <c r="C3251" s="1458"/>
      <c r="D3251" s="1198"/>
      <c r="E3251" s="1459" t="str">
        <f>VLOOKUP($B3251,dongia1,DG!$C$5,)</f>
        <v>Vật liệu dựng trụ</v>
      </c>
      <c r="F3251" s="1198" t="str">
        <f>VLOOKUP($B3251,dongia1,DG!$D$5,)</f>
        <v>trụ</v>
      </c>
      <c r="G3251" s="1198">
        <f>G3250</f>
        <v>0</v>
      </c>
      <c r="H3251" s="1399">
        <f>VLOOKUP($B3251,dongia1,DG!$F$5,)</f>
        <v>17400</v>
      </c>
      <c r="I3251" s="1399"/>
      <c r="J3251" s="1291"/>
      <c r="K3251" s="1291"/>
      <c r="L3251" s="1400">
        <f>H3251*G3251</f>
        <v>0</v>
      </c>
      <c r="M3251" s="1400">
        <f>I3251*G3251</f>
        <v>0</v>
      </c>
      <c r="N3251" s="1400">
        <f>J3251*G3251</f>
        <v>0</v>
      </c>
      <c r="O3251" s="1400">
        <f>K3251*G3251</f>
        <v>0</v>
      </c>
      <c r="P3251" s="1299"/>
      <c r="Q3251" s="1300"/>
      <c r="R3251" s="1300"/>
      <c r="S3251" s="1300"/>
    </row>
    <row r="3252" spans="1:19" s="1081" customFormat="1" hidden="1" outlineLevel="1">
      <c r="A3252" s="1072" t="str">
        <f t="shared" si="827"/>
        <v/>
      </c>
      <c r="B3252" s="1421" t="s">
        <v>1264</v>
      </c>
      <c r="C3252" s="1458"/>
      <c r="D3252" s="1198" t="str">
        <f>VLOOKUP($B3252,dongia1,DG!$B$5,)</f>
        <v>D2.5222</v>
      </c>
      <c r="E3252" s="1459" t="str">
        <f>VLOOKUP($B3252,dongia1,DG!$C$5,)</f>
        <v>Dựng trụ BTLT 10,5m thủ công + cơ giới (cẩu)</v>
      </c>
      <c r="F3252" s="1198" t="str">
        <f>VLOOKUP($B3252,dongia1,DG!$D$5,)</f>
        <v>trụ</v>
      </c>
      <c r="G3252" s="1198">
        <f>G3250</f>
        <v>0</v>
      </c>
      <c r="H3252" s="1459"/>
      <c r="I3252" s="1399"/>
      <c r="J3252" s="1399">
        <f>VLOOKUP($B3252,dongia1,DG!$G$5,)</f>
        <v>551034</v>
      </c>
      <c r="K3252" s="1399">
        <f>VLOOKUP($B3252,dongia1,DG!$H$5,)</f>
        <v>141795.29</v>
      </c>
      <c r="L3252" s="1400">
        <f>H3252*G3252</f>
        <v>0</v>
      </c>
      <c r="M3252" s="1400">
        <f>I3252*G3252</f>
        <v>0</v>
      </c>
      <c r="N3252" s="1400">
        <f>J3252*G3252</f>
        <v>0</v>
      </c>
      <c r="O3252" s="1400">
        <f>K3252*G3252</f>
        <v>0</v>
      </c>
      <c r="P3252" s="1299"/>
      <c r="Q3252" s="1300"/>
      <c r="R3252" s="1300"/>
      <c r="S3252" s="1300"/>
    </row>
    <row r="3253" spans="1:19" s="1081" customFormat="1" hidden="1" outlineLevel="1">
      <c r="A3253" s="1072" t="str">
        <f t="shared" si="827"/>
        <v/>
      </c>
      <c r="B3253" s="1421" t="s">
        <v>1249</v>
      </c>
      <c r="C3253" s="1458"/>
      <c r="D3253" s="1198"/>
      <c r="E3253" s="1459" t="str">
        <f>VLOOKUP($B3253,dongia1,DG!$C$5,)</f>
        <v>Đào hố móng đất cấp 3 sâu &gt;1m DT&lt;5m2</v>
      </c>
      <c r="F3253" s="1198" t="str">
        <f>VLOOKUP($B3253,dongia1,DG!$D$5,)</f>
        <v>m3</v>
      </c>
      <c r="G3253" s="1198">
        <f>G3249*0.201</f>
        <v>0</v>
      </c>
      <c r="H3253" s="1399">
        <f>VLOOKUP($B3253,dongia1,DG!$F$5,)</f>
        <v>0</v>
      </c>
      <c r="I3253" s="1399"/>
      <c r="J3253" s="1399">
        <f>VLOOKUP($B3253,dongia1,DG!$G$5,)</f>
        <v>296500.89999999997</v>
      </c>
      <c r="K3253" s="1399">
        <f>VLOOKUP($B3253,dongia1,DG!$H$5,)</f>
        <v>0</v>
      </c>
      <c r="L3253" s="1400">
        <f>H3253*G3253</f>
        <v>0</v>
      </c>
      <c r="M3253" s="1400">
        <f>I3253*G3253</f>
        <v>0</v>
      </c>
      <c r="N3253" s="1400">
        <f>J3253*G3253</f>
        <v>0</v>
      </c>
      <c r="O3253" s="1400">
        <f>K3253*G3253</f>
        <v>0</v>
      </c>
      <c r="P3253" s="1299"/>
      <c r="Q3253" s="1300"/>
      <c r="R3253" s="1300"/>
      <c r="S3253" s="1300"/>
    </row>
    <row r="3254" spans="1:19" s="1081" customFormat="1" hidden="1" outlineLevel="1">
      <c r="A3254" s="1072" t="str">
        <f t="shared" si="827"/>
        <v/>
      </c>
      <c r="B3254" s="1421" t="s">
        <v>501</v>
      </c>
      <c r="C3254" s="1458"/>
      <c r="D3254" s="1198" t="str">
        <f>VLOOKUP($B3254,dongia1,DG!$B$5,)</f>
        <v>AB.13111</v>
      </c>
      <c r="E3254" s="1459" t="str">
        <f>VLOOKUP($B3254,dongia1,DG!$C$5,)</f>
        <v>Đắp đất hố móng, đất cấp 3 (độ chặt k = 0.85)</v>
      </c>
      <c r="F3254" s="1198" t="str">
        <f>VLOOKUP($B3254,dongia1,DG!$D$5,)</f>
        <v>m3</v>
      </c>
      <c r="G3254" s="1198">
        <f>G3249*0.182</f>
        <v>0</v>
      </c>
      <c r="H3254" s="1459"/>
      <c r="I3254" s="1399"/>
      <c r="J3254" s="1399">
        <f>VLOOKUP($B3254,dongia1,DG!$G$5,)</f>
        <v>117703.6</v>
      </c>
      <c r="K3254" s="1399">
        <f>VLOOKUP($B3254,dongia1,DG!$H$5,)</f>
        <v>0</v>
      </c>
      <c r="L3254" s="1400">
        <f>H3254*G3254</f>
        <v>0</v>
      </c>
      <c r="M3254" s="1400">
        <f>I3254*G3254</f>
        <v>0</v>
      </c>
      <c r="N3254" s="1400">
        <f>J3254*G3254</f>
        <v>0</v>
      </c>
      <c r="O3254" s="1400">
        <f>K3254*G3254</f>
        <v>0</v>
      </c>
      <c r="P3254" s="1299"/>
      <c r="Q3254" s="1300"/>
      <c r="R3254" s="1300"/>
      <c r="S3254" s="1300"/>
    </row>
    <row r="3255" spans="1:19" s="1081" customFormat="1" hidden="1" outlineLevel="1">
      <c r="A3255" s="1072" t="str">
        <f t="shared" si="827"/>
        <v/>
      </c>
      <c r="B3255" s="1421"/>
      <c r="C3255" s="1291">
        <f>IF(G3255&gt;0,C3249+1,C3249)</f>
        <v>0</v>
      </c>
      <c r="D3255" s="1198"/>
      <c r="E3255" s="1454" t="s">
        <v>3394</v>
      </c>
      <c r="F3255" s="1455" t="s">
        <v>3391</v>
      </c>
      <c r="G3255" s="1460">
        <f>G3249</f>
        <v>0</v>
      </c>
      <c r="H3255" s="1291"/>
      <c r="I3255" s="1291"/>
      <c r="J3255" s="1291"/>
      <c r="K3255" s="1291"/>
      <c r="L3255" s="1291"/>
      <c r="M3255" s="1291"/>
      <c r="N3255" s="1291"/>
      <c r="O3255" s="1461"/>
      <c r="P3255" s="1299"/>
      <c r="Q3255" s="1300"/>
      <c r="R3255" s="1300"/>
      <c r="S3255" s="1300"/>
    </row>
    <row r="3256" spans="1:19" s="1081" customFormat="1" hidden="1" outlineLevel="1">
      <c r="A3256" s="1072" t="str">
        <f t="shared" si="827"/>
        <v/>
      </c>
      <c r="B3256" s="1421" t="s">
        <v>1728</v>
      </c>
      <c r="C3256" s="1458"/>
      <c r="D3256" s="1198">
        <f>VLOOKUP($B3256,dongia1,DG!$B$5,)</f>
        <v>0</v>
      </c>
      <c r="E3256" s="1459" t="str">
        <f>VLOOKUP($B3256,dongia1,DG!$C$5,)</f>
        <v>Ximăng</v>
      </c>
      <c r="F3256" s="1198" t="str">
        <f>VLOOKUP($B3256,dongia1,DG!$D$5,)</f>
        <v>kg</v>
      </c>
      <c r="G3256" s="1198">
        <f>204*G3255</f>
        <v>0</v>
      </c>
      <c r="H3256" s="1399">
        <f>VLOOKUP($B3256,dongia1,DG!$F$5,)</f>
        <v>1740</v>
      </c>
      <c r="I3256" s="1399"/>
      <c r="J3256" s="1399">
        <f>VLOOKUP($B3256,dongia1,DG!$G$5,)</f>
        <v>0</v>
      </c>
      <c r="K3256" s="1291"/>
      <c r="L3256" s="1400">
        <f t="shared" ref="L3256:L3289" si="828">H3256*G3256</f>
        <v>0</v>
      </c>
      <c r="M3256" s="1400">
        <f>I3256*G3256</f>
        <v>0</v>
      </c>
      <c r="N3256" s="1400">
        <f>J3256*G3256</f>
        <v>0</v>
      </c>
      <c r="O3256" s="1400">
        <f>K3256*G3256</f>
        <v>0</v>
      </c>
      <c r="P3256" s="1299"/>
      <c r="Q3256" s="1300"/>
      <c r="R3256" s="1300"/>
      <c r="S3256" s="1300"/>
    </row>
    <row r="3257" spans="1:19" s="1081" customFormat="1" hidden="1" outlineLevel="1">
      <c r="A3257" s="1072" t="str">
        <f t="shared" si="827"/>
        <v/>
      </c>
      <c r="B3257" s="1421" t="s">
        <v>1729</v>
      </c>
      <c r="C3257" s="1458"/>
      <c r="D3257" s="1198"/>
      <c r="E3257" s="1459" t="str">
        <f>VLOOKUP($B3257,dongia1,DG!$C$5,)</f>
        <v>Cát vàng</v>
      </c>
      <c r="F3257" s="1198" t="str">
        <f>VLOOKUP($B3257,dongia1,DG!$D$5,)</f>
        <v>m3</v>
      </c>
      <c r="G3257" s="1198">
        <f>+G3255*0.5327</f>
        <v>0</v>
      </c>
      <c r="H3257" s="1399">
        <f>VLOOKUP($B3257,dongia1,DG!$F$5,)</f>
        <v>512000</v>
      </c>
      <c r="I3257" s="1459"/>
      <c r="J3257" s="1459"/>
      <c r="K3257" s="1291"/>
      <c r="L3257" s="1400">
        <f t="shared" si="828"/>
        <v>0</v>
      </c>
      <c r="M3257" s="1400">
        <f>I3257*G3257</f>
        <v>0</v>
      </c>
      <c r="N3257" s="1400">
        <f>J3257*G3257</f>
        <v>0</v>
      </c>
      <c r="O3257" s="1400">
        <f>K3257*G3257</f>
        <v>0</v>
      </c>
      <c r="P3257" s="1299"/>
      <c r="Q3257" s="1300"/>
      <c r="R3257" s="1300"/>
      <c r="S3257" s="1300"/>
    </row>
    <row r="3258" spans="1:19" s="1081" customFormat="1" hidden="1" outlineLevel="1">
      <c r="A3258" s="1072" t="str">
        <f t="shared" ref="A3258:A3263" si="829">IF(G3258&lt;&gt;0,1,"")</f>
        <v/>
      </c>
      <c r="B3258" s="1421" t="s">
        <v>853</v>
      </c>
      <c r="C3258" s="1458"/>
      <c r="D3258" s="1198">
        <f>VLOOKUP($B3258,dongia1,DG!$B$5,)</f>
        <v>0</v>
      </c>
      <c r="E3258" s="1459" t="str">
        <f>VLOOKUP($B3258,dongia1,DG!$C$5,)</f>
        <v>Đá 1x2</v>
      </c>
      <c r="F3258" s="1198" t="str">
        <f>VLOOKUP($B3258,dongia1,DG!$D$5,)</f>
        <v>m3</v>
      </c>
      <c r="G3258" s="1198">
        <f>+G3255*0.607</f>
        <v>0</v>
      </c>
      <c r="H3258" s="1399">
        <f>VLOOKUP($B3258,dongia1,DG!$F$5,)</f>
        <v>335000</v>
      </c>
      <c r="I3258" s="1399"/>
      <c r="J3258" s="1399">
        <f>VLOOKUP($B3258,dongia1,DG!$G$5,)</f>
        <v>0</v>
      </c>
      <c r="K3258" s="1291"/>
      <c r="L3258" s="1400">
        <f t="shared" si="828"/>
        <v>0</v>
      </c>
      <c r="M3258" s="1400">
        <f>I3258*G3258</f>
        <v>0</v>
      </c>
      <c r="N3258" s="1400">
        <f>J3258*G3258</f>
        <v>0</v>
      </c>
      <c r="O3258" s="1400">
        <f>K3258*G3258</f>
        <v>0</v>
      </c>
      <c r="P3258" s="1299"/>
      <c r="Q3258" s="1300"/>
      <c r="R3258" s="1300"/>
      <c r="S3258" s="1300"/>
    </row>
    <row r="3259" spans="1:19" s="1081" customFormat="1" hidden="1" outlineLevel="1">
      <c r="A3259" s="1072" t="str">
        <f t="shared" si="829"/>
        <v/>
      </c>
      <c r="B3259" s="1421" t="s">
        <v>62</v>
      </c>
      <c r="C3259" s="1458"/>
      <c r="D3259" s="1198"/>
      <c r="E3259" s="1459" t="str">
        <f>VLOOKUP($B3259,dongia1,DG!$C$5,)</f>
        <v>Sắt   Þ10</v>
      </c>
      <c r="F3259" s="1198" t="str">
        <f>VLOOKUP($B3259,dongia1,DG!$D$5,)</f>
        <v>kg</v>
      </c>
      <c r="G3259" s="1198">
        <f>+G3255*20.08</f>
        <v>0</v>
      </c>
      <c r="H3259" s="1399">
        <f>VLOOKUP($B3259,dongia1,DG!$F$5,)</f>
        <v>13300</v>
      </c>
      <c r="I3259" s="1459"/>
      <c r="J3259" s="1459"/>
      <c r="K3259" s="1291"/>
      <c r="L3259" s="1400">
        <f t="shared" si="828"/>
        <v>0</v>
      </c>
      <c r="M3259" s="1400">
        <f>I3259*G3259</f>
        <v>0</v>
      </c>
      <c r="N3259" s="1400">
        <f>J3259*G3259</f>
        <v>0</v>
      </c>
      <c r="O3259" s="1400">
        <f>K3259*G3259</f>
        <v>0</v>
      </c>
      <c r="P3259" s="1299"/>
      <c r="Q3259" s="1300"/>
      <c r="R3259" s="1300"/>
      <c r="S3259" s="1300"/>
    </row>
    <row r="3260" spans="1:19" s="1081" customFormat="1" hidden="1" outlineLevel="1">
      <c r="A3260" s="1072" t="str">
        <f t="shared" si="829"/>
        <v/>
      </c>
      <c r="B3260" s="1421" t="s">
        <v>60</v>
      </c>
      <c r="C3260" s="1458"/>
      <c r="D3260" s="1198">
        <f>VLOOKUP($B3260,dongia1,DG!$B$5,)</f>
        <v>0</v>
      </c>
      <c r="E3260" s="1459" t="str">
        <f>VLOOKUP($B3260,dongia1,DG!$C$5,)</f>
        <v>Kẽm</v>
      </c>
      <c r="F3260" s="1198" t="str">
        <f>VLOOKUP($B3260,dongia1,DG!$D$5,)</f>
        <v>kg</v>
      </c>
      <c r="G3260" s="1198">
        <f>+G3255*0.43</f>
        <v>0</v>
      </c>
      <c r="H3260" s="1399">
        <f>VLOOKUP($B3260,dongia1,DG!$F$5,)</f>
        <v>10500</v>
      </c>
      <c r="I3260" s="1399"/>
      <c r="J3260" s="1399">
        <f>VLOOKUP($B3260,dongia1,DG!$G$5,)</f>
        <v>0</v>
      </c>
      <c r="K3260" s="1291"/>
      <c r="L3260" s="1400">
        <f t="shared" si="828"/>
        <v>0</v>
      </c>
      <c r="M3260" s="1400">
        <f>I3260*G3260</f>
        <v>0</v>
      </c>
      <c r="N3260" s="1400">
        <f>J3260*G3260</f>
        <v>0</v>
      </c>
      <c r="O3260" s="1400">
        <f>K3260*G3260</f>
        <v>0</v>
      </c>
      <c r="P3260" s="1299"/>
      <c r="Q3260" s="1300"/>
      <c r="R3260" s="1300"/>
      <c r="S3260" s="1300"/>
    </row>
    <row r="3261" spans="1:19" s="1081" customFormat="1" hidden="1" outlineLevel="1">
      <c r="A3261" s="1072" t="str">
        <f t="shared" si="829"/>
        <v/>
      </c>
      <c r="B3261" s="1421" t="str">
        <f>IF(capdat=1,"MDD1",IF(capdat=2,"MDD2",IF(capdat=3,"MDD3",IF(capdat=4,"MDD4"))))</f>
        <v>MDD3</v>
      </c>
      <c r="C3261" s="1458"/>
      <c r="D3261" s="1198" t="str">
        <f>VLOOKUP($B3261,dongia1,DG!$B$5,)</f>
        <v>03.1013</v>
      </c>
      <c r="E3261" s="1459" t="str">
        <f>VLOOKUP($B3261,dongia1,DG!$C$5,)</f>
        <v>Đào hố móng đất cấp 3 sâu &gt;1m DT&lt;5m2</v>
      </c>
      <c r="F3261" s="1198" t="str">
        <f>VLOOKUP($B3261,dongia1,DG!$D$5,)</f>
        <v>m3</v>
      </c>
      <c r="G3261" s="1198">
        <f>+G3255*0.77</f>
        <v>0</v>
      </c>
      <c r="H3261" s="1399">
        <f>VLOOKUP($B3261,dongia1,DG!$F$5,)</f>
        <v>0</v>
      </c>
      <c r="I3261" s="1399"/>
      <c r="J3261" s="1399">
        <f>VLOOKUP($B3261,dongia1,DG!$G$5,)</f>
        <v>296500.89999999997</v>
      </c>
      <c r="K3261" s="1291"/>
      <c r="L3261" s="1400">
        <f t="shared" si="828"/>
        <v>0</v>
      </c>
      <c r="M3261" s="1400">
        <f t="shared" ref="M3261:M3268" si="830">I3261*G3261</f>
        <v>0</v>
      </c>
      <c r="N3261" s="1400">
        <f t="shared" ref="N3261:N3268" si="831">J3261*G3261</f>
        <v>0</v>
      </c>
      <c r="O3261" s="1400">
        <f t="shared" ref="O3261:O3268" si="832">K3261*G3261</f>
        <v>0</v>
      </c>
      <c r="P3261" s="1299"/>
      <c r="Q3261" s="1300"/>
      <c r="R3261" s="1300"/>
      <c r="S3261" s="1300"/>
    </row>
    <row r="3262" spans="1:19" s="1081" customFormat="1" hidden="1" outlineLevel="1">
      <c r="A3262" s="1072" t="str">
        <f t="shared" si="829"/>
        <v/>
      </c>
      <c r="B3262" s="1567" t="s">
        <v>2065</v>
      </c>
      <c r="C3262" s="1458"/>
      <c r="D3262" s="1198" t="str">
        <f>VLOOKUP($B3262,dongia1,DG!$B$5,)</f>
        <v>AF.11220</v>
      </c>
      <c r="E3262" s="1459" t="str">
        <f>VLOOKUP($B3262,dongia1,DG!$C$5,)</f>
        <v>Đổ bê tông mác M150 đá 2x4 rộng &gt;250cm</v>
      </c>
      <c r="F3262" s="1198" t="str">
        <f>VLOOKUP($B3262,dongia1,DG!$D$5,)</f>
        <v>m3</v>
      </c>
      <c r="G3262" s="1198">
        <f>+G3255*0.689</f>
        <v>0</v>
      </c>
      <c r="H3262" s="1399">
        <f>VLOOKUP($B3262,dongia1,DG!$F$5,)</f>
        <v>461871</v>
      </c>
      <c r="I3262" s="1399"/>
      <c r="J3262" s="1399">
        <f>VLOOKUP($B3262,dongia1,DG!$G$5,)</f>
        <v>414064.45</v>
      </c>
      <c r="K3262" s="1291"/>
      <c r="L3262" s="1400">
        <f t="shared" si="828"/>
        <v>0</v>
      </c>
      <c r="M3262" s="1400">
        <f t="shared" si="830"/>
        <v>0</v>
      </c>
      <c r="N3262" s="1400">
        <f t="shared" si="831"/>
        <v>0</v>
      </c>
      <c r="O3262" s="1400">
        <f t="shared" si="832"/>
        <v>0</v>
      </c>
      <c r="P3262" s="1299"/>
      <c r="Q3262" s="1300"/>
      <c r="R3262" s="1300"/>
      <c r="S3262" s="1300"/>
    </row>
    <row r="3263" spans="1:19" s="1081" customFormat="1" hidden="1" outlineLevel="1">
      <c r="A3263" s="1072" t="str">
        <f t="shared" si="829"/>
        <v/>
      </c>
      <c r="B3263" s="1295"/>
      <c r="C3263" s="1291">
        <f>IF(G3263&gt;0,C3255+1,C3255)</f>
        <v>0</v>
      </c>
      <c r="D3263" s="1292"/>
      <c r="E3263" s="1468" t="s">
        <v>3452</v>
      </c>
      <c r="F3263" s="1291" t="s">
        <v>2113</v>
      </c>
      <c r="G3263" s="1297"/>
      <c r="H3263" s="1467"/>
      <c r="I3263" s="1467"/>
      <c r="J3263" s="1467"/>
      <c r="K3263" s="1467"/>
      <c r="L3263" s="1400">
        <f t="shared" si="828"/>
        <v>0</v>
      </c>
      <c r="M3263" s="1400">
        <f t="shared" si="830"/>
        <v>0</v>
      </c>
      <c r="N3263" s="1400">
        <f t="shared" si="831"/>
        <v>0</v>
      </c>
      <c r="O3263" s="1400">
        <f t="shared" si="832"/>
        <v>0</v>
      </c>
      <c r="P3263" s="1299"/>
      <c r="Q3263" s="1300"/>
      <c r="R3263" s="1300"/>
      <c r="S3263" s="1300"/>
    </row>
    <row r="3264" spans="1:19" s="1081" customFormat="1" ht="14.4" hidden="1" outlineLevel="1">
      <c r="A3264" s="1072" t="str">
        <f>A3263</f>
        <v/>
      </c>
      <c r="B3264" s="1295"/>
      <c r="C3264" s="1291"/>
      <c r="D3264" s="1292"/>
      <c r="E3264" s="1301" t="s">
        <v>3399</v>
      </c>
      <c r="F3264" s="1302"/>
      <c r="G3264" s="1303"/>
      <c r="H3264" s="1467"/>
      <c r="I3264" s="1467"/>
      <c r="J3264" s="1467"/>
      <c r="K3264" s="1467"/>
      <c r="L3264" s="1400">
        <f t="shared" si="828"/>
        <v>0</v>
      </c>
      <c r="M3264" s="1400">
        <f t="shared" si="830"/>
        <v>0</v>
      </c>
      <c r="N3264" s="1400">
        <f t="shared" si="831"/>
        <v>0</v>
      </c>
      <c r="O3264" s="1400">
        <f t="shared" si="832"/>
        <v>0</v>
      </c>
      <c r="P3264" s="1299"/>
      <c r="Q3264" s="1300"/>
      <c r="R3264" s="1300"/>
      <c r="S3264" s="1300"/>
    </row>
    <row r="3265" spans="1:19" s="1081" customFormat="1" hidden="1" outlineLevel="1">
      <c r="A3265" s="1072" t="str">
        <f t="shared" ref="A3265:A3270" si="833">IF(G3265&lt;&gt;0,1,"")</f>
        <v/>
      </c>
      <c r="B3265" s="1068" t="s">
        <v>1626</v>
      </c>
      <c r="C3265" s="1291"/>
      <c r="D3265" s="1198">
        <v>0</v>
      </c>
      <c r="E3265" s="1243" t="str">
        <f>VLOOKUP($B3265,dongia1,DG!$C$5,)</f>
        <v>Sắt góc L75 x75 x8</v>
      </c>
      <c r="F3265" s="1198" t="s">
        <v>1557</v>
      </c>
      <c r="G3265" s="1304">
        <f>G3263*9.02*(2.6+3*0.07)*2</f>
        <v>0</v>
      </c>
      <c r="H3265" s="1399">
        <v>11500</v>
      </c>
      <c r="I3265" s="1399"/>
      <c r="J3265" s="1399">
        <v>0</v>
      </c>
      <c r="K3265" s="1399">
        <v>0</v>
      </c>
      <c r="L3265" s="1400">
        <f t="shared" si="828"/>
        <v>0</v>
      </c>
      <c r="M3265" s="1400">
        <f t="shared" si="830"/>
        <v>0</v>
      </c>
      <c r="N3265" s="1400">
        <f t="shared" si="831"/>
        <v>0</v>
      </c>
      <c r="O3265" s="1400">
        <f t="shared" si="832"/>
        <v>0</v>
      </c>
      <c r="P3265" s="1299"/>
      <c r="Q3265" s="1300"/>
      <c r="R3265" s="1300"/>
      <c r="S3265" s="1300"/>
    </row>
    <row r="3266" spans="1:19" s="1081" customFormat="1" hidden="1" outlineLevel="1">
      <c r="A3266" s="1072" t="str">
        <f t="shared" si="833"/>
        <v/>
      </c>
      <c r="B3266" s="1295" t="s">
        <v>1042</v>
      </c>
      <c r="C3266" s="1291"/>
      <c r="D3266" s="1198">
        <v>0</v>
      </c>
      <c r="E3266" s="1243" t="str">
        <f>VLOOKUP($B3266,dongia1,DG!$C$5,)</f>
        <v>Boulon 16x300VRS+ 4 long đền vuông D18-50x50x3/Zn</v>
      </c>
      <c r="F3266" s="1198" t="s">
        <v>2113</v>
      </c>
      <c r="G3266" s="1303">
        <f>G3263*2</f>
        <v>0</v>
      </c>
      <c r="H3266" s="1399">
        <v>12340</v>
      </c>
      <c r="I3266" s="1399">
        <v>0</v>
      </c>
      <c r="J3266" s="1399">
        <v>0</v>
      </c>
      <c r="K3266" s="1399">
        <v>0</v>
      </c>
      <c r="L3266" s="1400">
        <f t="shared" si="828"/>
        <v>0</v>
      </c>
      <c r="M3266" s="1400">
        <f t="shared" si="830"/>
        <v>0</v>
      </c>
      <c r="N3266" s="1400">
        <f t="shared" si="831"/>
        <v>0</v>
      </c>
      <c r="O3266" s="1400">
        <f t="shared" si="832"/>
        <v>0</v>
      </c>
      <c r="P3266" s="1299"/>
      <c r="Q3266" s="1300"/>
      <c r="R3266" s="1300"/>
      <c r="S3266" s="1300"/>
    </row>
    <row r="3267" spans="1:19" s="1081" customFormat="1" hidden="1" outlineLevel="1">
      <c r="A3267" s="1072" t="str">
        <f t="shared" si="833"/>
        <v/>
      </c>
      <c r="B3267" s="1295" t="s">
        <v>1262</v>
      </c>
      <c r="C3267" s="1291"/>
      <c r="D3267" s="1198">
        <v>0</v>
      </c>
      <c r="E3267" s="1243" t="str">
        <f>VLOOKUP($B3267,dongia1,DG!$C$5,)</f>
        <v>Boulon 16x300+ 2 long đền vuông D18-50x50x3/Zn</v>
      </c>
      <c r="F3267" s="1198" t="s">
        <v>2113</v>
      </c>
      <c r="G3267" s="1303">
        <f>G3263*2</f>
        <v>0</v>
      </c>
      <c r="H3267" s="1399">
        <v>9120</v>
      </c>
      <c r="I3267" s="1399">
        <v>0</v>
      </c>
      <c r="J3267" s="1399">
        <v>0</v>
      </c>
      <c r="K3267" s="1399">
        <v>0</v>
      </c>
      <c r="L3267" s="1400">
        <f t="shared" si="828"/>
        <v>0</v>
      </c>
      <c r="M3267" s="1400">
        <f t="shared" si="830"/>
        <v>0</v>
      </c>
      <c r="N3267" s="1400">
        <f t="shared" si="831"/>
        <v>0</v>
      </c>
      <c r="O3267" s="1400">
        <f t="shared" si="832"/>
        <v>0</v>
      </c>
      <c r="P3267" s="1299"/>
      <c r="Q3267" s="1300"/>
      <c r="R3267" s="1300"/>
      <c r="S3267" s="1300"/>
    </row>
    <row r="3268" spans="1:19" s="1081" customFormat="1" hidden="1" outlineLevel="1">
      <c r="A3268" s="1072" t="str">
        <f t="shared" si="833"/>
        <v/>
      </c>
      <c r="B3268" s="1295" t="s">
        <v>1261</v>
      </c>
      <c r="C3268" s="1291"/>
      <c r="D3268" s="1198">
        <v>0</v>
      </c>
      <c r="E3268" s="1243" t="str">
        <f>VLOOKUP($B3268,dongia1,DG!$C$5,)</f>
        <v>Boulon 16x250+ 2 long đền vuông D18-50x50x3/Zn</v>
      </c>
      <c r="F3268" s="1198" t="s">
        <v>2113</v>
      </c>
      <c r="G3268" s="1303">
        <f>G3267</f>
        <v>0</v>
      </c>
      <c r="H3268" s="1399">
        <v>9220</v>
      </c>
      <c r="I3268" s="1399">
        <v>0</v>
      </c>
      <c r="J3268" s="1399">
        <v>0</v>
      </c>
      <c r="K3268" s="1399">
        <v>0</v>
      </c>
      <c r="L3268" s="1400">
        <f t="shared" si="828"/>
        <v>0</v>
      </c>
      <c r="M3268" s="1400">
        <f t="shared" si="830"/>
        <v>0</v>
      </c>
      <c r="N3268" s="1400">
        <f t="shared" si="831"/>
        <v>0</v>
      </c>
      <c r="O3268" s="1400">
        <f t="shared" si="832"/>
        <v>0</v>
      </c>
      <c r="P3268" s="1299"/>
      <c r="Q3268" s="1300"/>
      <c r="R3268" s="1300"/>
      <c r="S3268" s="1300"/>
    </row>
    <row r="3269" spans="1:19" s="1081" customFormat="1" hidden="1" outlineLevel="1">
      <c r="A3269" s="1072" t="str">
        <f t="shared" si="833"/>
        <v/>
      </c>
      <c r="B3269" s="1295" t="s">
        <v>728</v>
      </c>
      <c r="C3269" s="1291"/>
      <c r="D3269" s="1198" t="s">
        <v>192</v>
      </c>
      <c r="E3269" s="1243" t="str">
        <f>VLOOKUP($B3269,dongia1,DG!$C$5,)</f>
        <v>Lắp xà cột Pi loại ≤140kg/xà</v>
      </c>
      <c r="F3269" s="1198" t="s">
        <v>2113</v>
      </c>
      <c r="G3269" s="1303">
        <f>G3263</f>
        <v>0</v>
      </c>
      <c r="H3269" s="1399">
        <v>0</v>
      </c>
      <c r="I3269" s="1399"/>
      <c r="J3269" s="1399" t="str">
        <f>TEXT(VLOOKUP($B3269,dongia1,DG!$G$5,),"#,###")&amp;"x"&amp;hslxh</f>
        <v>474961,x1,7</v>
      </c>
      <c r="K3269" s="1399"/>
      <c r="L3269" s="1400">
        <f t="shared" si="828"/>
        <v>0</v>
      </c>
      <c r="M3269" s="1400"/>
      <c r="N3269" s="1399">
        <f>VLOOKUP($B3269,dongia1,DG!$G$5,)*G3269*hslxh</f>
        <v>0</v>
      </c>
      <c r="O3269" s="1400"/>
      <c r="P3269" s="1299"/>
      <c r="Q3269" s="1300"/>
      <c r="R3269" s="1300"/>
      <c r="S3269" s="1300"/>
    </row>
    <row r="3270" spans="1:19" s="1081" customFormat="1" hidden="1" outlineLevel="1" collapsed="1">
      <c r="A3270" s="1072" t="str">
        <f t="shared" si="833"/>
        <v/>
      </c>
      <c r="B3270" s="1295"/>
      <c r="C3270" s="1291">
        <f>IF(G3270&gt;0,C3263+1,C3263)</f>
        <v>0</v>
      </c>
      <c r="D3270" s="1292"/>
      <c r="E3270" s="1468" t="s">
        <v>3464</v>
      </c>
      <c r="F3270" s="1291" t="s">
        <v>2113</v>
      </c>
      <c r="G3270" s="1297">
        <f>G3236*2</f>
        <v>0</v>
      </c>
      <c r="H3270" s="1298"/>
      <c r="I3270" s="1298"/>
      <c r="J3270" s="1298"/>
      <c r="K3270" s="1298"/>
      <c r="L3270" s="1298">
        <f t="shared" si="828"/>
        <v>0</v>
      </c>
      <c r="M3270" s="1298">
        <f>I3270*G3270</f>
        <v>0</v>
      </c>
      <c r="N3270" s="1298">
        <f>J3270*G3270</f>
        <v>0</v>
      </c>
      <c r="O3270" s="1298">
        <f>K3270*G3270</f>
        <v>0</v>
      </c>
      <c r="P3270" s="1299"/>
      <c r="Q3270" s="1300"/>
      <c r="R3270" s="1300"/>
      <c r="S3270" s="1300"/>
    </row>
    <row r="3271" spans="1:19" s="1081" customFormat="1" ht="14.4" hidden="1" outlineLevel="1">
      <c r="A3271" s="1072" t="str">
        <f>A3270</f>
        <v/>
      </c>
      <c r="B3271" s="1295"/>
      <c r="C3271" s="1291"/>
      <c r="D3271" s="1292"/>
      <c r="E3271" s="1301" t="s">
        <v>3399</v>
      </c>
      <c r="F3271" s="1302"/>
      <c r="G3271" s="1303"/>
      <c r="H3271" s="1298"/>
      <c r="I3271" s="1298"/>
      <c r="J3271" s="1298"/>
      <c r="K3271" s="1298"/>
      <c r="L3271" s="1298">
        <f t="shared" si="828"/>
        <v>0</v>
      </c>
      <c r="M3271" s="1298">
        <f>I3271*G3271</f>
        <v>0</v>
      </c>
      <c r="N3271" s="1298">
        <f>J3271*G3271</f>
        <v>0</v>
      </c>
      <c r="O3271" s="1298">
        <f>K3271*G3271</f>
        <v>0</v>
      </c>
      <c r="P3271" s="1299"/>
      <c r="Q3271" s="1300"/>
      <c r="R3271" s="1300"/>
      <c r="S3271" s="1300"/>
    </row>
    <row r="3272" spans="1:19" s="1081" customFormat="1" hidden="1" outlineLevel="1">
      <c r="A3272" s="1072" t="str">
        <f t="shared" ref="A3272:A3278" si="834">IF(G3272&lt;&gt;0,1,"")</f>
        <v/>
      </c>
      <c r="B3272" s="1295" t="s">
        <v>1626</v>
      </c>
      <c r="C3272" s="1291"/>
      <c r="D3272" s="1198">
        <v>0</v>
      </c>
      <c r="E3272" s="1243" t="str">
        <f>VLOOKUP($B3272,dongia1,DG!$C$5,)</f>
        <v>Sắt góc L75 x75 x8</v>
      </c>
      <c r="F3272" s="1198" t="s">
        <v>1557</v>
      </c>
      <c r="G3272" s="1304">
        <f>G3270*9.02*(2.2+4*0.07)*2</f>
        <v>0</v>
      </c>
      <c r="H3272" s="1298">
        <f>VLOOKUP($B3272,dongia1,DG!$F$5,)</f>
        <v>31625</v>
      </c>
      <c r="I3272" s="1298"/>
      <c r="J3272" s="1298">
        <v>0</v>
      </c>
      <c r="K3272" s="1298"/>
      <c r="L3272" s="1298">
        <f t="shared" si="828"/>
        <v>0</v>
      </c>
      <c r="M3272" s="1298"/>
      <c r="N3272" s="1298"/>
      <c r="O3272" s="1298"/>
      <c r="P3272" s="1299"/>
      <c r="Q3272" s="1300"/>
      <c r="R3272" s="1300"/>
      <c r="S3272" s="1300"/>
    </row>
    <row r="3273" spans="1:19" s="1081" customFormat="1" hidden="1" outlineLevel="1">
      <c r="A3273" s="1072" t="str">
        <f t="shared" si="834"/>
        <v/>
      </c>
      <c r="B3273" s="1295" t="s">
        <v>518</v>
      </c>
      <c r="C3273" s="1291"/>
      <c r="D3273" s="1198" t="s">
        <v>2011</v>
      </c>
      <c r="E3273" s="1243" t="str">
        <f>VLOOKUP($B3273,dongia1,DG!$C$5,)</f>
        <v>Sắt góc L50 x50 x5</v>
      </c>
      <c r="F3273" s="1198" t="s">
        <v>1557</v>
      </c>
      <c r="G3273" s="1304">
        <f>G3270*3.77*0.81*4</f>
        <v>0</v>
      </c>
      <c r="H3273" s="1298">
        <f>VLOOKUP($B3273,dongia1,DG!$F$5,)</f>
        <v>31625</v>
      </c>
      <c r="I3273" s="1298"/>
      <c r="J3273" s="1298">
        <v>0</v>
      </c>
      <c r="K3273" s="1298"/>
      <c r="L3273" s="1298">
        <f t="shared" si="828"/>
        <v>0</v>
      </c>
      <c r="M3273" s="1298"/>
      <c r="N3273" s="1298"/>
      <c r="O3273" s="1298"/>
      <c r="P3273" s="1299"/>
      <c r="Q3273" s="1300"/>
      <c r="R3273" s="1300"/>
      <c r="S3273" s="1300"/>
    </row>
    <row r="3274" spans="1:19" s="1081" customFormat="1" hidden="1" outlineLevel="1">
      <c r="A3274" s="1072" t="str">
        <f t="shared" si="834"/>
        <v/>
      </c>
      <c r="B3274" s="1295" t="s">
        <v>1262</v>
      </c>
      <c r="C3274" s="1291"/>
      <c r="D3274" s="1198">
        <v>0</v>
      </c>
      <c r="E3274" s="1243" t="str">
        <f>VLOOKUP($B3274,dongia1,DG!$C$5,)</f>
        <v>Boulon 16x300+ 2 long đền vuông D18-50x50x3/Zn</v>
      </c>
      <c r="F3274" s="1198" t="s">
        <v>2113</v>
      </c>
      <c r="G3274" s="1303">
        <f>G3270*2</f>
        <v>0</v>
      </c>
      <c r="H3274" s="1298">
        <f>VLOOKUP($B3274,dongia1,DG!$F$5,)</f>
        <v>25400</v>
      </c>
      <c r="I3274" s="1298">
        <v>0</v>
      </c>
      <c r="J3274" s="1298">
        <v>0</v>
      </c>
      <c r="K3274" s="1298"/>
      <c r="L3274" s="1298">
        <f t="shared" si="828"/>
        <v>0</v>
      </c>
      <c r="M3274" s="1298"/>
      <c r="N3274" s="1298"/>
      <c r="O3274" s="1298"/>
      <c r="P3274" s="1299"/>
      <c r="Q3274" s="1300"/>
      <c r="R3274" s="1300"/>
      <c r="S3274" s="1300"/>
    </row>
    <row r="3275" spans="1:19" s="1081" customFormat="1" hidden="1" outlineLevel="1">
      <c r="A3275" s="1072" t="str">
        <f t="shared" si="834"/>
        <v/>
      </c>
      <c r="B3275" s="1295" t="s">
        <v>1044</v>
      </c>
      <c r="C3275" s="1291"/>
      <c r="D3275" s="1198">
        <v>0</v>
      </c>
      <c r="E3275" s="1243" t="str">
        <f>VLOOKUP($B3275,dongia1,DG!$C$5,)</f>
        <v>Boulon 16x50+ 2 long đền vuông D18-50x50x3/Zn</v>
      </c>
      <c r="F3275" s="1198" t="s">
        <v>2113</v>
      </c>
      <c r="G3275" s="1303">
        <f>G3270*4</f>
        <v>0</v>
      </c>
      <c r="H3275" s="1298">
        <f>VLOOKUP($B3275,dongia1,DG!$F$5,)</f>
        <v>12400</v>
      </c>
      <c r="I3275" s="1298">
        <v>0</v>
      </c>
      <c r="J3275" s="1298">
        <v>0</v>
      </c>
      <c r="K3275" s="1298"/>
      <c r="L3275" s="1298">
        <f t="shared" si="828"/>
        <v>0</v>
      </c>
      <c r="M3275" s="1298"/>
      <c r="N3275" s="1298"/>
      <c r="O3275" s="1298"/>
      <c r="P3275" s="1299"/>
      <c r="Q3275" s="1300"/>
      <c r="R3275" s="1300"/>
      <c r="S3275" s="1300"/>
    </row>
    <row r="3276" spans="1:19" s="1081" customFormat="1" hidden="1" outlineLevel="1">
      <c r="A3276" s="1072" t="str">
        <f t="shared" si="834"/>
        <v/>
      </c>
      <c r="B3276" s="1295" t="s">
        <v>1042</v>
      </c>
      <c r="C3276" s="1291"/>
      <c r="D3276" s="1198">
        <v>0</v>
      </c>
      <c r="E3276" s="1243" t="str">
        <f>VLOOKUP($B3276,dongia1,DG!$C$5,)</f>
        <v>Boulon 16x300VRS+ 4 long đền vuông D18-50x50x3/Zn</v>
      </c>
      <c r="F3276" s="1198" t="s">
        <v>2113</v>
      </c>
      <c r="G3276" s="1303">
        <f>G3270*4</f>
        <v>0</v>
      </c>
      <c r="H3276" s="1298">
        <f>VLOOKUP($B3276,dongia1,DG!$F$5,)</f>
        <v>31800</v>
      </c>
      <c r="I3276" s="1298">
        <v>0</v>
      </c>
      <c r="J3276" s="1298">
        <v>0</v>
      </c>
      <c r="K3276" s="1298">
        <v>0</v>
      </c>
      <c r="L3276" s="1298">
        <f t="shared" si="828"/>
        <v>0</v>
      </c>
      <c r="M3276" s="1298">
        <f>I3276*G3276</f>
        <v>0</v>
      </c>
      <c r="N3276" s="1298">
        <f>J3276*G3276</f>
        <v>0</v>
      </c>
      <c r="O3276" s="1298">
        <f>K3276*G3276</f>
        <v>0</v>
      </c>
      <c r="P3276" s="1299"/>
      <c r="Q3276" s="1300"/>
      <c r="R3276" s="1300"/>
      <c r="S3276" s="1300"/>
    </row>
    <row r="3277" spans="1:19" s="1081" customFormat="1" hidden="1" outlineLevel="1">
      <c r="A3277" s="1072" t="str">
        <f t="shared" si="834"/>
        <v/>
      </c>
      <c r="B3277" s="1295" t="s">
        <v>813</v>
      </c>
      <c r="C3277" s="1291"/>
      <c r="D3277" s="1198" t="s">
        <v>836</v>
      </c>
      <c r="E3277" s="1243" t="str">
        <f>VLOOKUP($B3277,dongia1,DG!$C$5,)</f>
        <v>Lắp xà đỡ 50kg</v>
      </c>
      <c r="F3277" s="1198" t="s">
        <v>2113</v>
      </c>
      <c r="G3277" s="1303">
        <f>G3270</f>
        <v>0</v>
      </c>
      <c r="H3277" s="1298"/>
      <c r="I3277" s="1298"/>
      <c r="J3277" s="1298" t="str">
        <f>TEXT(VLOOKUP($B3277,dongia1,DG!$G$5,),"#,###")&amp;"x"&amp;hslx</f>
        <v>296544,75x1,5</v>
      </c>
      <c r="K3277" s="1298"/>
      <c r="L3277" s="1298">
        <f t="shared" si="828"/>
        <v>0</v>
      </c>
      <c r="M3277" s="1298"/>
      <c r="N3277" s="1298">
        <f>VLOOKUP($B3277,dongia1,DG!$G$5,)*hslxh*G3277</f>
        <v>0</v>
      </c>
      <c r="O3277" s="1298"/>
      <c r="P3277" s="1299"/>
      <c r="Q3277" s="1300"/>
      <c r="R3277" s="1300"/>
      <c r="S3277" s="1300"/>
    </row>
    <row r="3278" spans="1:19" s="1081" customFormat="1" hidden="1" outlineLevel="1">
      <c r="A3278" s="1072" t="str">
        <f t="shared" si="834"/>
        <v/>
      </c>
      <c r="B3278" s="1295"/>
      <c r="C3278" s="1291">
        <f>IF(G3278&gt;0,C3270+1,C3270)</f>
        <v>0</v>
      </c>
      <c r="D3278" s="1292"/>
      <c r="E3278" s="1468" t="s">
        <v>3458</v>
      </c>
      <c r="F3278" s="1291" t="s">
        <v>2113</v>
      </c>
      <c r="G3278" s="1297">
        <f>G3236*2</f>
        <v>0</v>
      </c>
      <c r="H3278" s="1298"/>
      <c r="I3278" s="1298"/>
      <c r="J3278" s="1298"/>
      <c r="K3278" s="1298"/>
      <c r="L3278" s="1298">
        <f t="shared" si="828"/>
        <v>0</v>
      </c>
      <c r="M3278" s="1298">
        <f>I3278*G3278</f>
        <v>0</v>
      </c>
      <c r="N3278" s="1298">
        <f>J3278*G3278</f>
        <v>0</v>
      </c>
      <c r="O3278" s="1298">
        <f>K3278*G3278</f>
        <v>0</v>
      </c>
      <c r="P3278" s="1299"/>
      <c r="Q3278" s="1300"/>
      <c r="R3278" s="1300"/>
      <c r="S3278" s="1300"/>
    </row>
    <row r="3279" spans="1:19" s="1081" customFormat="1" ht="14.4" hidden="1" outlineLevel="1">
      <c r="A3279" s="1072" t="str">
        <f>A3278</f>
        <v/>
      </c>
      <c r="B3279" s="1295"/>
      <c r="C3279" s="1291"/>
      <c r="D3279" s="1292"/>
      <c r="E3279" s="1301" t="s">
        <v>3399</v>
      </c>
      <c r="F3279" s="1302"/>
      <c r="G3279" s="1303"/>
      <c r="H3279" s="1298"/>
      <c r="I3279" s="1298"/>
      <c r="J3279" s="1298"/>
      <c r="K3279" s="1298"/>
      <c r="L3279" s="1298">
        <f t="shared" si="828"/>
        <v>0</v>
      </c>
      <c r="M3279" s="1298">
        <f>I3279*G3279</f>
        <v>0</v>
      </c>
      <c r="N3279" s="1298">
        <f>J3279*G3279</f>
        <v>0</v>
      </c>
      <c r="O3279" s="1298">
        <f>K3279*G3279</f>
        <v>0</v>
      </c>
      <c r="P3279" s="1299"/>
      <c r="Q3279" s="1300"/>
      <c r="R3279" s="1300"/>
      <c r="S3279" s="1300"/>
    </row>
    <row r="3280" spans="1:19" s="1081" customFormat="1" hidden="1" outlineLevel="1">
      <c r="A3280" s="1072" t="str">
        <f t="shared" ref="A3280:A3286" si="835">IF(G3280&lt;&gt;0,1,"")</f>
        <v/>
      </c>
      <c r="B3280" s="1295" t="s">
        <v>1626</v>
      </c>
      <c r="C3280" s="1291"/>
      <c r="D3280" s="1198">
        <v>0</v>
      </c>
      <c r="E3280" s="1243" t="str">
        <f>VLOOKUP($B3280,dongia1,DG!$C$5,)</f>
        <v>Sắt góc L75 x75 x8</v>
      </c>
      <c r="F3280" s="1198" t="s">
        <v>1557</v>
      </c>
      <c r="G3280" s="1304">
        <f>G3278*9.02*(2.2+4*0.07)</f>
        <v>0</v>
      </c>
      <c r="H3280" s="1298">
        <f>VLOOKUP($B3280,dongia1,DG!$F$5,)</f>
        <v>31625</v>
      </c>
      <c r="I3280" s="1298"/>
      <c r="J3280" s="1298">
        <v>0</v>
      </c>
      <c r="K3280" s="1298"/>
      <c r="L3280" s="1298">
        <f t="shared" si="828"/>
        <v>0</v>
      </c>
      <c r="M3280" s="1298"/>
      <c r="N3280" s="1298"/>
      <c r="O3280" s="1298"/>
      <c r="P3280" s="1299"/>
      <c r="Q3280" s="1300"/>
      <c r="R3280" s="1300"/>
      <c r="S3280" s="1300"/>
    </row>
    <row r="3281" spans="1:19" s="1081" customFormat="1" hidden="1" outlineLevel="1">
      <c r="A3281" s="1072" t="str">
        <f t="shared" si="835"/>
        <v/>
      </c>
      <c r="B3281" s="1295" t="s">
        <v>518</v>
      </c>
      <c r="C3281" s="1291"/>
      <c r="D3281" s="1198">
        <v>0</v>
      </c>
      <c r="E3281" s="1243" t="str">
        <f>VLOOKUP($B3281,dongia1,DG!$C$5,)</f>
        <v>Sắt góc L50 x50 x5</v>
      </c>
      <c r="F3281" s="1198" t="s">
        <v>1557</v>
      </c>
      <c r="G3281" s="1304">
        <f>G3278*3.77*0.81*2</f>
        <v>0</v>
      </c>
      <c r="H3281" s="1298">
        <f>VLOOKUP($B3281,dongia1,DG!$F$5,)</f>
        <v>31625</v>
      </c>
      <c r="I3281" s="1298"/>
      <c r="J3281" s="1298">
        <v>0</v>
      </c>
      <c r="K3281" s="1298"/>
      <c r="L3281" s="1298">
        <f t="shared" si="828"/>
        <v>0</v>
      </c>
      <c r="M3281" s="1298"/>
      <c r="N3281" s="1298"/>
      <c r="O3281" s="1298"/>
      <c r="P3281" s="1299"/>
      <c r="Q3281" s="1300"/>
      <c r="R3281" s="1300"/>
      <c r="S3281" s="1300"/>
    </row>
    <row r="3282" spans="1:19" s="1081" customFormat="1" hidden="1" outlineLevel="1">
      <c r="A3282" s="1072" t="str">
        <f t="shared" si="835"/>
        <v/>
      </c>
      <c r="B3282" s="1295" t="s">
        <v>733</v>
      </c>
      <c r="C3282" s="1291"/>
      <c r="D3282" s="1198">
        <v>0</v>
      </c>
      <c r="E3282" s="1243" t="str">
        <f>VLOOKUP($B3282,dongia1,DG!$C$5,)</f>
        <v>Boulon 16x350+ 2 long đền vuông D18-50x50x3/Zn</v>
      </c>
      <c r="F3282" s="1198" t="s">
        <v>2113</v>
      </c>
      <c r="G3282" s="1303">
        <f>G3278*2</f>
        <v>0</v>
      </c>
      <c r="H3282" s="1298">
        <f>VLOOKUP($B3282,dongia1,DG!$F$5,)</f>
        <v>27900</v>
      </c>
      <c r="I3282" s="1298">
        <v>0</v>
      </c>
      <c r="J3282" s="1298">
        <v>0</v>
      </c>
      <c r="K3282" s="1298"/>
      <c r="L3282" s="1298">
        <f t="shared" si="828"/>
        <v>0</v>
      </c>
      <c r="M3282" s="1298"/>
      <c r="N3282" s="1298"/>
      <c r="O3282" s="1298"/>
      <c r="P3282" s="1299"/>
      <c r="Q3282" s="1300"/>
      <c r="R3282" s="1300"/>
      <c r="S3282" s="1300"/>
    </row>
    <row r="3283" spans="1:19" s="1081" customFormat="1" hidden="1" outlineLevel="1">
      <c r="A3283" s="1072" t="str">
        <f t="shared" si="835"/>
        <v/>
      </c>
      <c r="B3283" s="1295" t="s">
        <v>1044</v>
      </c>
      <c r="C3283" s="1291"/>
      <c r="D3283" s="1198">
        <v>0</v>
      </c>
      <c r="E3283" s="1243" t="str">
        <f>VLOOKUP($B3283,dongia1,DG!$C$5,)</f>
        <v>Boulon 16x50+ 2 long đền vuông D18-50x50x3/Zn</v>
      </c>
      <c r="F3283" s="1198" t="s">
        <v>2113</v>
      </c>
      <c r="G3283" s="1303">
        <f>G3278*2</f>
        <v>0</v>
      </c>
      <c r="H3283" s="1298">
        <f>VLOOKUP($B3283,dongia1,DG!$F$5,)</f>
        <v>12400</v>
      </c>
      <c r="I3283" s="1298">
        <v>0</v>
      </c>
      <c r="J3283" s="1298">
        <v>0</v>
      </c>
      <c r="K3283" s="1298"/>
      <c r="L3283" s="1298">
        <f t="shared" si="828"/>
        <v>0</v>
      </c>
      <c r="M3283" s="1298"/>
      <c r="N3283" s="1298"/>
      <c r="O3283" s="1298"/>
      <c r="P3283" s="1299"/>
      <c r="Q3283" s="1300"/>
      <c r="R3283" s="1300"/>
      <c r="S3283" s="1300"/>
    </row>
    <row r="3284" spans="1:19" s="1081" customFormat="1" hidden="1" outlineLevel="1">
      <c r="A3284" s="1072" t="str">
        <f t="shared" si="835"/>
        <v/>
      </c>
      <c r="B3284" s="1295" t="s">
        <v>1761</v>
      </c>
      <c r="C3284" s="1291"/>
      <c r="D3284" s="1198">
        <v>0</v>
      </c>
      <c r="E3284" s="1243" t="str">
        <f>VLOOKUP($B3284,dongia1,DG!$C$5,)</f>
        <v>Cổ dê bắt xà 80x6</v>
      </c>
      <c r="F3284" s="1198" t="s">
        <v>2113</v>
      </c>
      <c r="G3284" s="1303">
        <f>G3278/3</f>
        <v>0</v>
      </c>
      <c r="H3284" s="1298">
        <f>VLOOKUP($B3284,dongia1,DG!$F$5,)</f>
        <v>178900</v>
      </c>
      <c r="I3284" s="1298">
        <v>0</v>
      </c>
      <c r="J3284" s="1298">
        <f>VLOOKUP($B3284,dongia1,DG!$G$5,)</f>
        <v>0</v>
      </c>
      <c r="K3284" s="1298"/>
      <c r="L3284" s="1298">
        <f t="shared" si="828"/>
        <v>0</v>
      </c>
      <c r="M3284" s="1298"/>
      <c r="N3284" s="1298"/>
      <c r="O3284" s="1298"/>
      <c r="P3284" s="1299"/>
      <c r="Q3284" s="1300"/>
      <c r="R3284" s="1300"/>
      <c r="S3284" s="1300"/>
    </row>
    <row r="3285" spans="1:19" s="1081" customFormat="1" hidden="1" outlineLevel="1">
      <c r="A3285" s="1072" t="str">
        <f t="shared" si="835"/>
        <v/>
      </c>
      <c r="B3285" s="1295" t="s">
        <v>534</v>
      </c>
      <c r="C3285" s="1291"/>
      <c r="D3285" s="1198" t="s">
        <v>940</v>
      </c>
      <c r="E3285" s="1243" t="str">
        <f>VLOOKUP($B3285,dongia1,DG!$C$5,)</f>
        <v>Lắp xà đỡ 25kg</v>
      </c>
      <c r="F3285" s="1198" t="s">
        <v>2113</v>
      </c>
      <c r="G3285" s="1303">
        <f>G3278</f>
        <v>0</v>
      </c>
      <c r="H3285" s="1298"/>
      <c r="I3285" s="1298"/>
      <c r="J3285" s="1298" t="str">
        <f>TEXT(VLOOKUP($B3285,dongia1,DG!$G$5,),"#,###")&amp;"x"&amp;hslx</f>
        <v>219185,25x1,5</v>
      </c>
      <c r="K3285" s="1298"/>
      <c r="L3285" s="1298">
        <f t="shared" si="828"/>
        <v>0</v>
      </c>
      <c r="M3285" s="1298"/>
      <c r="N3285" s="1298">
        <f>VLOOKUP($B3285,dongia1,DG!$G$5,)*hslxh*G3285</f>
        <v>0</v>
      </c>
      <c r="O3285" s="1298"/>
      <c r="P3285" s="1299"/>
      <c r="Q3285" s="1300"/>
      <c r="R3285" s="1300"/>
      <c r="S3285" s="1300"/>
    </row>
    <row r="3286" spans="1:19" s="1081" customFormat="1" hidden="1" outlineLevel="1">
      <c r="A3286" s="1072" t="str">
        <f t="shared" si="835"/>
        <v/>
      </c>
      <c r="B3286" s="1295"/>
      <c r="C3286" s="1291">
        <f>IF(G3286&gt;0,C3278+1,C3278)</f>
        <v>0</v>
      </c>
      <c r="D3286" s="1292"/>
      <c r="E3286" s="1468" t="s">
        <v>3402</v>
      </c>
      <c r="F3286" s="1291" t="s">
        <v>2113</v>
      </c>
      <c r="G3286" s="1297">
        <f>G3236</f>
        <v>0</v>
      </c>
      <c r="H3286" s="1298"/>
      <c r="I3286" s="1298"/>
      <c r="J3286" s="1298"/>
      <c r="K3286" s="1298"/>
      <c r="L3286" s="1298">
        <f t="shared" si="828"/>
        <v>0</v>
      </c>
      <c r="M3286" s="1298">
        <f>I3286*G3286</f>
        <v>0</v>
      </c>
      <c r="N3286" s="1298">
        <f t="shared" ref="N3286:N3294" si="836">J3286*G3286</f>
        <v>0</v>
      </c>
      <c r="O3286" s="1298">
        <f>K3286*G3286</f>
        <v>0</v>
      </c>
      <c r="P3286" s="1299"/>
      <c r="Q3286" s="1300"/>
      <c r="R3286" s="1300"/>
      <c r="S3286" s="1300"/>
    </row>
    <row r="3287" spans="1:19" s="1081" customFormat="1" ht="14.4" hidden="1" outlineLevel="1">
      <c r="A3287" s="1072" t="str">
        <f>A3286</f>
        <v/>
      </c>
      <c r="B3287" s="1469"/>
      <c r="C3287" s="1291"/>
      <c r="D3287" s="1292"/>
      <c r="E3287" s="1301" t="s">
        <v>3407</v>
      </c>
      <c r="F3287" s="1302"/>
      <c r="G3287" s="1303"/>
      <c r="H3287" s="1298"/>
      <c r="I3287" s="1298"/>
      <c r="J3287" s="1298"/>
      <c r="K3287" s="1298"/>
      <c r="L3287" s="1298">
        <f t="shared" si="828"/>
        <v>0</v>
      </c>
      <c r="M3287" s="1298">
        <f>I3287*G3287</f>
        <v>0</v>
      </c>
      <c r="N3287" s="1298">
        <f t="shared" si="836"/>
        <v>0</v>
      </c>
      <c r="O3287" s="1298">
        <f>K3287*G3287</f>
        <v>0</v>
      </c>
      <c r="P3287" s="1299"/>
      <c r="Q3287" s="1300"/>
      <c r="R3287" s="1300"/>
      <c r="S3287" s="1300"/>
    </row>
    <row r="3288" spans="1:19" s="1081" customFormat="1" hidden="1" outlineLevel="1">
      <c r="A3288" s="1072" t="str">
        <f t="shared" ref="A3288:A3294" si="837">IF(G3288&lt;&gt;0,1,"")</f>
        <v/>
      </c>
      <c r="B3288" s="1295" t="s">
        <v>1200</v>
      </c>
      <c r="C3288" s="1291"/>
      <c r="D3288" s="1198">
        <f>VLOOKUP($B3288,dongia1,DG!$B$5,)</f>
        <v>0</v>
      </c>
      <c r="E3288" s="1243" t="str">
        <f>VLOOKUP($B3288,dongia1,DG!$C$5,)</f>
        <v>Cáp đồng trần M25mm2</v>
      </c>
      <c r="F3288" s="1198" t="str">
        <f>VLOOKUP($B3288,dongia1,DG!$D$5,)</f>
        <v>kg</v>
      </c>
      <c r="G3288" s="1304">
        <f>H3*0.224*G3286</f>
        <v>0</v>
      </c>
      <c r="H3288" s="1298">
        <f>VLOOKUP($B3288,dongia1,DG!$F$5,)</f>
        <v>255500</v>
      </c>
      <c r="I3288" s="1298"/>
      <c r="J3288" s="1298">
        <f>VLOOKUP($B3288,dongia1,DG!$G$5,)</f>
        <v>0</v>
      </c>
      <c r="K3288" s="1298">
        <f>VLOOKUP($B3288,dongia1,DG!$H$5,)</f>
        <v>0</v>
      </c>
      <c r="L3288" s="1298">
        <f t="shared" si="828"/>
        <v>0</v>
      </c>
      <c r="M3288" s="1298">
        <f>I3288*G3288</f>
        <v>0</v>
      </c>
      <c r="N3288" s="1298">
        <f t="shared" si="836"/>
        <v>0</v>
      </c>
      <c r="O3288" s="1298">
        <f>K3288*G3288</f>
        <v>0</v>
      </c>
      <c r="P3288" s="1299"/>
      <c r="Q3288" s="1300"/>
      <c r="R3288" s="1300"/>
      <c r="S3288" s="1300"/>
    </row>
    <row r="3289" spans="1:19" s="1081" customFormat="1" hidden="1" outlineLevel="1">
      <c r="A3289" s="1072" t="str">
        <f t="shared" si="837"/>
        <v/>
      </c>
      <c r="B3289" s="1068" t="s">
        <v>1098</v>
      </c>
      <c r="C3289" s="1291"/>
      <c r="D3289" s="1198">
        <f>VLOOKUP($B3289,dongia1,DG!$B$5,)</f>
        <v>0</v>
      </c>
      <c r="E3289" s="1243" t="str">
        <f>VLOOKUP($B3289,dongia1,DG!$C$5,)</f>
        <v>Cọc tiếp đất Þ 16- 2,4m + kẹp cọc</v>
      </c>
      <c r="F3289" s="1198" t="str">
        <f>VLOOKUP($B3289,dongia1,DG!$D$5,)</f>
        <v>bộ</v>
      </c>
      <c r="G3289" s="1303">
        <f>H2*G3286</f>
        <v>0</v>
      </c>
      <c r="H3289" s="1298">
        <f>VLOOKUP($B3289,dongia1,DG!$F$5,)</f>
        <v>160000</v>
      </c>
      <c r="I3289" s="1298"/>
      <c r="J3289" s="1298">
        <f>VLOOKUP($B3289,dongia1,DG!$G$5,)</f>
        <v>0</v>
      </c>
      <c r="K3289" s="1298">
        <f>VLOOKUP($B3289,dongia1,DG!$H$5,)</f>
        <v>0</v>
      </c>
      <c r="L3289" s="1298">
        <f t="shared" si="828"/>
        <v>0</v>
      </c>
      <c r="M3289" s="1298">
        <f>I3289*G3289</f>
        <v>0</v>
      </c>
      <c r="N3289" s="1298">
        <f t="shared" si="836"/>
        <v>0</v>
      </c>
      <c r="O3289" s="1298">
        <f>K3289*G3289</f>
        <v>0</v>
      </c>
      <c r="P3289" s="1299"/>
      <c r="Q3289" s="1300"/>
      <c r="R3289" s="1300"/>
      <c r="S3289" s="1300"/>
    </row>
    <row r="3290" spans="1:19" s="1081" customFormat="1" hidden="1" outlineLevel="1">
      <c r="A3290" s="1072" t="str">
        <f t="shared" si="837"/>
        <v/>
      </c>
      <c r="B3290" s="1068" t="s">
        <v>211</v>
      </c>
      <c r="C3290" s="1291"/>
      <c r="D3290" s="1198">
        <f>VLOOKUP($B3290,dongia1,DG!$B$5,)</f>
        <v>0</v>
      </c>
      <c r="E3290" s="1243" t="str">
        <f>VLOOKUP($B3290,dongia1,DG!$C$5,)</f>
        <v>Khoan giếng tiếp địa</v>
      </c>
      <c r="F3290" s="1198" t="str">
        <f>VLOOKUP($B3290,dongia1,DG!$D$5,)</f>
        <v>Cái</v>
      </c>
      <c r="G3290" s="1303">
        <f>G3286*$L$3</f>
        <v>0</v>
      </c>
      <c r="H3290" s="1298">
        <f>VLOOKUP($B3290,dongia1,DG!$F$5,)</f>
        <v>0</v>
      </c>
      <c r="I3290" s="1298"/>
      <c r="J3290" s="1298">
        <f>VLOOKUP($B3290,dongia1,DG!$G$5,)</f>
        <v>1500000</v>
      </c>
      <c r="K3290" s="1298">
        <f>VLOOKUP($B3290,dongia1,DG!$H$5,)</f>
        <v>0</v>
      </c>
      <c r="L3290" s="1298">
        <f>H3290*G3290</f>
        <v>0</v>
      </c>
      <c r="M3290" s="1298">
        <f>I3290*G3290</f>
        <v>0</v>
      </c>
      <c r="N3290" s="1298">
        <f t="shared" si="836"/>
        <v>0</v>
      </c>
      <c r="O3290" s="1298">
        <f>K3290*G3290</f>
        <v>0</v>
      </c>
      <c r="P3290" s="1299"/>
      <c r="Q3290" s="1300"/>
      <c r="R3290" s="1300"/>
      <c r="S3290" s="1300"/>
    </row>
    <row r="3291" spans="1:19" s="1081" customFormat="1" hidden="1" outlineLevel="1">
      <c r="A3291" s="1072" t="str">
        <f t="shared" si="837"/>
        <v/>
      </c>
      <c r="B3291" s="1470" t="s">
        <v>205</v>
      </c>
      <c r="C3291" s="1291"/>
      <c r="D3291" s="1198">
        <f>VLOOKUP($B3291,dongia1,DG!$B$5,)</f>
        <v>0</v>
      </c>
      <c r="E3291" s="1243" t="str">
        <f>VLOOKUP($B3291,dongia1,DG!$C$5,)</f>
        <v>Kẹp ép WR cỡ dây 50mm2</v>
      </c>
      <c r="F3291" s="1198" t="str">
        <f>VLOOKUP($B3291,dongia1,DG!$D$5,)</f>
        <v>cái</v>
      </c>
      <c r="G3291" s="1303">
        <f>2*G3286</f>
        <v>0</v>
      </c>
      <c r="H3291" s="1298">
        <f>VLOOKUP($B3291,dongia1,DG!$F$5,)</f>
        <v>8000</v>
      </c>
      <c r="I3291" s="1298"/>
      <c r="J3291" s="1298">
        <f>VLOOKUP($B3291,dongia1,DG!$G$5,)</f>
        <v>0</v>
      </c>
      <c r="K3291" s="1298"/>
      <c r="L3291" s="1298">
        <f>H3291*G3291</f>
        <v>0</v>
      </c>
      <c r="M3291" s="1298"/>
      <c r="N3291" s="1298">
        <f t="shared" si="836"/>
        <v>0</v>
      </c>
      <c r="O3291" s="1298"/>
      <c r="P3291" s="1299"/>
      <c r="Q3291" s="1300"/>
      <c r="R3291" s="1300"/>
      <c r="S3291" s="1300"/>
    </row>
    <row r="3292" spans="1:19" s="1081" customFormat="1" hidden="1" outlineLevel="1">
      <c r="A3292" s="1072" t="str">
        <f t="shared" si="837"/>
        <v/>
      </c>
      <c r="B3292" s="1470" t="s">
        <v>903</v>
      </c>
      <c r="C3292" s="1291"/>
      <c r="D3292" s="1198">
        <f>VLOOKUP($B3292,dongia1,DG!$B$5,)</f>
        <v>0</v>
      </c>
      <c r="E3292" s="1243" t="str">
        <f>VLOOKUP($B3292,dongia1,DG!$C$5,)</f>
        <v>Ốc xiết cáp cỡ 25mm2</v>
      </c>
      <c r="F3292" s="1198" t="str">
        <f>VLOOKUP($B3292,dongia1,DG!$D$5,)</f>
        <v>cái</v>
      </c>
      <c r="G3292" s="1303">
        <f>IF(G3289&lt;=12,15,21)*G3286</f>
        <v>0</v>
      </c>
      <c r="H3292" s="1298">
        <f>VLOOKUP($B3292,dongia1,DG!$F$5,)</f>
        <v>17600</v>
      </c>
      <c r="I3292" s="1298"/>
      <c r="J3292" s="1298">
        <f>VLOOKUP($B3292,dongia1,DG!$G$5,)</f>
        <v>0</v>
      </c>
      <c r="K3292" s="1298"/>
      <c r="L3292" s="1298">
        <f>H3292*G3292</f>
        <v>0</v>
      </c>
      <c r="M3292" s="1298">
        <f>I3292*G3292</f>
        <v>0</v>
      </c>
      <c r="N3292" s="1298">
        <f t="shared" si="836"/>
        <v>0</v>
      </c>
      <c r="O3292" s="1298">
        <f>K3292*G3292</f>
        <v>0</v>
      </c>
      <c r="P3292" s="1299"/>
      <c r="Q3292" s="1300"/>
      <c r="R3292" s="1300"/>
      <c r="S3292" s="1300"/>
    </row>
    <row r="3293" spans="1:19" s="1081" customFormat="1" hidden="1" outlineLevel="1">
      <c r="A3293" s="1072" t="str">
        <f t="shared" si="837"/>
        <v/>
      </c>
      <c r="B3293" s="1068" t="s">
        <v>1490</v>
      </c>
      <c r="C3293" s="1291"/>
      <c r="D3293" s="1198">
        <f>VLOOKUP($B3293,dongia1,DG!$B$5,)</f>
        <v>0</v>
      </c>
      <c r="E3293" s="1243" t="str">
        <f>VLOOKUP($B3293,dongia1,DG!$C$5,)</f>
        <v>Cổ dê kẹp ống PVC (STK) Þ 21</v>
      </c>
      <c r="F3293" s="1198" t="str">
        <f>VLOOKUP($B3293,dongia1,DG!$D$5,)</f>
        <v>bộ</v>
      </c>
      <c r="G3293" s="1303">
        <f>G3286*2</f>
        <v>0</v>
      </c>
      <c r="H3293" s="1298">
        <f>VLOOKUP($B3293,dongia1,DG!$F$5,)</f>
        <v>43000</v>
      </c>
      <c r="I3293" s="1298"/>
      <c r="J3293" s="1298">
        <f>VLOOKUP($B3293,dongia1,DG!$G$5,)</f>
        <v>0</v>
      </c>
      <c r="K3293" s="1298">
        <f>VLOOKUP($B3293,dongia1,DG!$H$5,)</f>
        <v>0</v>
      </c>
      <c r="L3293" s="1298">
        <f>H3293*G3293</f>
        <v>0</v>
      </c>
      <c r="M3293" s="1298">
        <f>I3293*G3293</f>
        <v>0</v>
      </c>
      <c r="N3293" s="1298">
        <f t="shared" si="836"/>
        <v>0</v>
      </c>
      <c r="O3293" s="1298">
        <f>K3293*G3293</f>
        <v>0</v>
      </c>
      <c r="P3293" s="1299"/>
      <c r="Q3293" s="1300"/>
      <c r="R3293" s="1300"/>
      <c r="S3293" s="1300"/>
    </row>
    <row r="3294" spans="1:19" s="1081" customFormat="1" hidden="1" outlineLevel="1">
      <c r="A3294" s="1072" t="str">
        <f t="shared" si="837"/>
        <v/>
      </c>
      <c r="B3294" s="1068" t="s">
        <v>2040</v>
      </c>
      <c r="C3294" s="1291"/>
      <c r="D3294" s="1198">
        <f>VLOOKUP($B3294,dongia1,DG!$B$5,)</f>
        <v>0</v>
      </c>
      <c r="E3294" s="1243" t="str">
        <f>VLOOKUP($B3294,dongia1,DG!$C$5,)</f>
        <v xml:space="preserve">Ống PVC D21x1,6mm </v>
      </c>
      <c r="F3294" s="1198" t="str">
        <f>VLOOKUP($B3294,dongia1,DG!$D$5,)</f>
        <v>m</v>
      </c>
      <c r="G3294" s="1303">
        <f>G3286*3</f>
        <v>0</v>
      </c>
      <c r="H3294" s="1298">
        <f>VLOOKUP($B3294,dongia1,DG!$F$5,)</f>
        <v>6200</v>
      </c>
      <c r="I3294" s="1298"/>
      <c r="J3294" s="1298">
        <f>VLOOKUP($B3294,dongia1,DG!$G$5,)</f>
        <v>0</v>
      </c>
      <c r="K3294" s="1298">
        <f>VLOOKUP($B3294,dongia1,DG!$H$5,)</f>
        <v>0</v>
      </c>
      <c r="L3294" s="1298">
        <f>H3294*G3294</f>
        <v>0</v>
      </c>
      <c r="M3294" s="1298">
        <f>I3294*G3294</f>
        <v>0</v>
      </c>
      <c r="N3294" s="1298">
        <f t="shared" si="836"/>
        <v>0</v>
      </c>
      <c r="O3294" s="1298">
        <f>K3294*G3294</f>
        <v>0</v>
      </c>
      <c r="P3294" s="1299"/>
      <c r="Q3294" s="1300"/>
      <c r="R3294" s="1300"/>
      <c r="S3294" s="1300"/>
    </row>
    <row r="3295" spans="1:19" s="1081" customFormat="1" hidden="1" outlineLevel="1">
      <c r="A3295" s="1072">
        <f>IF(G3295=0,0,1)</f>
        <v>0</v>
      </c>
      <c r="B3295" s="1068" t="s">
        <v>665</v>
      </c>
      <c r="C3295" s="1302"/>
      <c r="D3295" s="1198" t="str">
        <f>VLOOKUP($B3295,dongia1,DG!$B$5,)</f>
        <v>AB.11513</v>
      </c>
      <c r="E3295" s="1243" t="str">
        <f>VLOOKUP($B3295,dongia1,DG!$C$5,)</f>
        <v>Đào rãnh tiếp địa đất cấp 3</v>
      </c>
      <c r="F3295" s="1555" t="s">
        <v>805</v>
      </c>
      <c r="G3295" s="1472">
        <f>H4*G3286</f>
        <v>0</v>
      </c>
      <c r="H3295" s="1298">
        <f>VLOOKUP($B3295,dongia1,DG!$F$5,)</f>
        <v>0</v>
      </c>
      <c r="I3295" s="1298"/>
      <c r="J3295" s="1298">
        <f>VLOOKUP($B3295,dongia1,DG!$G$5,)</f>
        <v>283749.75</v>
      </c>
      <c r="K3295" s="1298">
        <v>0</v>
      </c>
      <c r="L3295" s="1298">
        <f t="shared" ref="L3295:O3296" si="838">H3295*$G3295</f>
        <v>0</v>
      </c>
      <c r="M3295" s="1298">
        <f t="shared" si="838"/>
        <v>0</v>
      </c>
      <c r="N3295" s="1298">
        <f t="shared" si="838"/>
        <v>0</v>
      </c>
      <c r="O3295" s="1298">
        <f t="shared" si="838"/>
        <v>0</v>
      </c>
      <c r="P3295" s="1299"/>
      <c r="Q3295" s="1300"/>
      <c r="R3295" s="1300"/>
      <c r="S3295" s="1300"/>
    </row>
    <row r="3296" spans="1:19" s="1081" customFormat="1" hidden="1" outlineLevel="1">
      <c r="A3296" s="1072">
        <f>IF(G3296=0,0,1)</f>
        <v>0</v>
      </c>
      <c r="B3296" s="1068" t="s">
        <v>1985</v>
      </c>
      <c r="C3296" s="1302"/>
      <c r="D3296" s="1198" t="str">
        <f>VLOOKUP($B3296,dongia1,DG!$B$5,)</f>
        <v>AB.13111</v>
      </c>
      <c r="E3296" s="1243" t="str">
        <f>VLOOKUP($B3296,dongia1,DG!$C$5,)</f>
        <v>Đắp đất rãnh tiếp địa cấp 3 (độ chặt k = 0.85)</v>
      </c>
      <c r="F3296" s="1555" t="s">
        <v>805</v>
      </c>
      <c r="G3296" s="1472">
        <f>+G3295</f>
        <v>0</v>
      </c>
      <c r="H3296" s="1298">
        <f>VLOOKUP($B3296,dongia1,DG!$F$5,)</f>
        <v>0</v>
      </c>
      <c r="I3296" s="1298"/>
      <c r="J3296" s="1298">
        <f>VLOOKUP($B3296,dongia1,DG!$G$5,)</f>
        <v>117703.6</v>
      </c>
      <c r="K3296" s="1298">
        <v>0</v>
      </c>
      <c r="L3296" s="1298">
        <f t="shared" si="838"/>
        <v>0</v>
      </c>
      <c r="M3296" s="1298">
        <f t="shared" si="838"/>
        <v>0</v>
      </c>
      <c r="N3296" s="1298">
        <f t="shared" si="838"/>
        <v>0</v>
      </c>
      <c r="O3296" s="1298">
        <f t="shared" si="838"/>
        <v>0</v>
      </c>
      <c r="P3296" s="1299"/>
      <c r="Q3296" s="1300"/>
      <c r="R3296" s="1300"/>
      <c r="S3296" s="1300"/>
    </row>
    <row r="3297" spans="1:19" s="1081" customFormat="1" hidden="1" outlineLevel="1">
      <c r="A3297" s="1072">
        <f>IF(G3297=0,0,1)</f>
        <v>0</v>
      </c>
      <c r="B3297" s="1068" t="s">
        <v>985</v>
      </c>
      <c r="C3297" s="1302"/>
      <c r="D3297" s="1198" t="str">
        <f>VLOOKUP($B3297,dongia1,DG!$B$5,)</f>
        <v>D2.8103</v>
      </c>
      <c r="E3297" s="1243" t="str">
        <f>VLOOKUP($B3297,dongia1,DG!$C$5,)</f>
        <v>Đóng cọc tiếp địa đất cấp 3 dài 2,5m</v>
      </c>
      <c r="F3297" s="1555" t="s">
        <v>805</v>
      </c>
      <c r="G3297" s="1437">
        <f>G3289+G3290</f>
        <v>0</v>
      </c>
      <c r="H3297" s="1298">
        <f>VLOOKUP($B3297,dongia1,DG!$F$5,)</f>
        <v>0</v>
      </c>
      <c r="I3297" s="1298"/>
      <c r="J3297" s="1298" t="str">
        <f>VLOOKUP($B3297,dongia1,DG!$G$5,)&amp;" x 1,7"</f>
        <v>90355,896 x 1,7</v>
      </c>
      <c r="K3297" s="1298">
        <v>0</v>
      </c>
      <c r="L3297" s="1298">
        <f>H3297*$G3297</f>
        <v>0</v>
      </c>
      <c r="M3297" s="1298">
        <f>I3297*$G3297</f>
        <v>0</v>
      </c>
      <c r="N3297" s="1298">
        <f>VLOOKUP($B3297,dongia1,DG!$G$5,)*1.7*G3297</f>
        <v>0</v>
      </c>
      <c r="O3297" s="1298">
        <f>K3297*$G3297</f>
        <v>0</v>
      </c>
      <c r="P3297" s="1299"/>
      <c r="Q3297" s="1300"/>
      <c r="R3297" s="1300"/>
      <c r="S3297" s="1300"/>
    </row>
    <row r="3298" spans="1:19" s="1081" customFormat="1" hidden="1" outlineLevel="1">
      <c r="A3298" s="1072" t="str">
        <f>IF(G3298&lt;&gt;0,1,"")</f>
        <v/>
      </c>
      <c r="B3298" s="1068" t="s">
        <v>983</v>
      </c>
      <c r="C3298" s="1291"/>
      <c r="D3298" s="1198" t="str">
        <f>VLOOKUP($B3298,dongia1,DG!$B$5,)</f>
        <v>T4.7001</v>
      </c>
      <c r="E3298" s="1243" t="str">
        <f>VLOOKUP($B3298,dongia1,DG!$C$5,)</f>
        <v>Kéo dây tiếp địa TBA</v>
      </c>
      <c r="F3298" s="1198" t="str">
        <f>VLOOKUP($B3298,dongia1,DG!$D$5,)</f>
        <v>mét</v>
      </c>
      <c r="G3298" s="1303">
        <f>G3288/0.224*G3286</f>
        <v>0</v>
      </c>
      <c r="H3298" s="1298">
        <f>VLOOKUP($B3298,dongia1,DG!$E$5,)</f>
        <v>0</v>
      </c>
      <c r="I3298" s="1298"/>
      <c r="J3298" s="1298">
        <f>VLOOKUP($B3298,dongia1,DG!$G$5,)</f>
        <v>8070.7000000000007</v>
      </c>
      <c r="K3298" s="1298">
        <f>VLOOKUP($B3298,dongia1,DG!$H$5,)</f>
        <v>2044.9974999999999</v>
      </c>
      <c r="L3298" s="1298">
        <f>H3298*G3298</f>
        <v>0</v>
      </c>
      <c r="M3298" s="1298">
        <f>I3298*G3298</f>
        <v>0</v>
      </c>
      <c r="N3298" s="1298">
        <f>J3298*G3298</f>
        <v>0</v>
      </c>
      <c r="O3298" s="1298">
        <f>K3298*G3298</f>
        <v>0</v>
      </c>
      <c r="P3298" s="1299"/>
      <c r="Q3298" s="1300"/>
      <c r="R3298" s="1300"/>
      <c r="S3298" s="1300"/>
    </row>
    <row r="3299" spans="1:19" s="1081" customFormat="1" hidden="1" outlineLevel="1">
      <c r="A3299" s="1072" t="str">
        <f>IF(G3299&lt;&gt;0,1,"")</f>
        <v/>
      </c>
      <c r="B3299" s="1295"/>
      <c r="C3299" s="1291">
        <f>IF(G3299&gt;0,C3286+1,C3286)</f>
        <v>0</v>
      </c>
      <c r="D3299" s="1292"/>
      <c r="E3299" s="1416" t="s">
        <v>3459</v>
      </c>
      <c r="F3299" s="1291" t="s">
        <v>2113</v>
      </c>
      <c r="G3299" s="1297">
        <f>G3236</f>
        <v>0</v>
      </c>
      <c r="H3299" s="1298"/>
      <c r="I3299" s="1298"/>
      <c r="J3299" s="1298"/>
      <c r="K3299" s="1298"/>
      <c r="L3299" s="1298">
        <f t="shared" ref="L3299:L3321" si="839">H3299*G3299</f>
        <v>0</v>
      </c>
      <c r="M3299" s="1298">
        <f t="shared" ref="M3299:M3321" si="840">I3299*G3299</f>
        <v>0</v>
      </c>
      <c r="N3299" s="1298">
        <f t="shared" ref="N3299:N3321" si="841">J3299*G3299</f>
        <v>0</v>
      </c>
      <c r="O3299" s="1298">
        <f t="shared" ref="O3299:O3321" si="842">K3299*G3299</f>
        <v>0</v>
      </c>
      <c r="P3299" s="1299"/>
      <c r="Q3299" s="1300"/>
      <c r="R3299" s="1300"/>
      <c r="S3299" s="1300"/>
    </row>
    <row r="3300" spans="1:19" s="1081" customFormat="1" ht="14.4" hidden="1" outlineLevel="1">
      <c r="A3300" s="1072" t="str">
        <f>A3299</f>
        <v/>
      </c>
      <c r="B3300" s="1295"/>
      <c r="C3300" s="1291"/>
      <c r="D3300" s="1292"/>
      <c r="E3300" s="1301" t="s">
        <v>3399</v>
      </c>
      <c r="F3300" s="1302"/>
      <c r="G3300" s="1303"/>
      <c r="H3300" s="1298"/>
      <c r="I3300" s="1298"/>
      <c r="J3300" s="1298"/>
      <c r="K3300" s="1298"/>
      <c r="L3300" s="1298">
        <f t="shared" si="839"/>
        <v>0</v>
      </c>
      <c r="M3300" s="1298">
        <f t="shared" si="840"/>
        <v>0</v>
      </c>
      <c r="N3300" s="1298">
        <f t="shared" si="841"/>
        <v>0</v>
      </c>
      <c r="O3300" s="1298">
        <f t="shared" si="842"/>
        <v>0</v>
      </c>
      <c r="P3300" s="1299"/>
      <c r="Q3300" s="1300"/>
      <c r="R3300" s="1300"/>
      <c r="S3300" s="1300"/>
    </row>
    <row r="3301" spans="1:19" s="1081" customFormat="1" hidden="1" outlineLevel="1">
      <c r="A3301" s="1072" t="str">
        <f>IF(G3301&lt;&gt;0,1,"")</f>
        <v/>
      </c>
      <c r="B3301" s="1295" t="s">
        <v>512</v>
      </c>
      <c r="C3301" s="1302"/>
      <c r="D3301" s="1198" t="str">
        <f>VLOOKUP($B3301,dongia1,DG!$B$5,)</f>
        <v>T5.1002</v>
      </c>
      <c r="E3301" s="1243" t="str">
        <f>VLOOKUP($B3301,dongia1,DG!$C$5,)</f>
        <v>Tủ ACB + thanh cái 2500A</v>
      </c>
      <c r="F3301" s="1198" t="str">
        <f>VLOOKUP($B3301,dongia1,DG!$D$5,)</f>
        <v>cái</v>
      </c>
      <c r="G3301" s="1304">
        <f>G3299</f>
        <v>0</v>
      </c>
      <c r="H3301" s="1298">
        <f>VLOOKUP($B3301,dongia1,DG!$F$5,)</f>
        <v>70000000</v>
      </c>
      <c r="I3301" s="1298"/>
      <c r="J3301" s="1298">
        <f>VLOOKUP($B3301,dongia1,DG!$G$5,)</f>
        <v>690091</v>
      </c>
      <c r="K3301" s="1298">
        <f>VLOOKUP($B3301,dongia1,DG!$H$5,)</f>
        <v>97369</v>
      </c>
      <c r="L3301" s="1298">
        <f t="shared" si="839"/>
        <v>0</v>
      </c>
      <c r="M3301" s="1298">
        <f t="shared" si="840"/>
        <v>0</v>
      </c>
      <c r="N3301" s="1298">
        <f t="shared" si="841"/>
        <v>0</v>
      </c>
      <c r="O3301" s="1298">
        <f t="shared" si="842"/>
        <v>0</v>
      </c>
      <c r="P3301" s="1299"/>
      <c r="Q3301" s="1300"/>
      <c r="R3301" s="1300"/>
      <c r="S3301" s="1300"/>
    </row>
    <row r="3302" spans="1:19" s="1081" customFormat="1" hidden="1" outlineLevel="1">
      <c r="A3302" s="1072" t="str">
        <f>IF(G3302&lt;&gt;0,1,"")</f>
        <v/>
      </c>
      <c r="B3302" s="1295" t="s">
        <v>888</v>
      </c>
      <c r="C3302" s="1302"/>
      <c r="D3302" s="1198">
        <f>VLOOKUP($B3302,dongia1,DG!$B$5,)</f>
        <v>0</v>
      </c>
      <c r="E3302" s="1243" t="str">
        <f>VLOOKUP($B3302,dongia1,DG!$C$5,)</f>
        <v>Bảng tên trạm + bảng báo nguy hiểm</v>
      </c>
      <c r="F3302" s="1198" t="str">
        <f>VLOOKUP($B3302,dongia1,DG!$D$5,)</f>
        <v>cái</v>
      </c>
      <c r="G3302" s="1304">
        <f>G3299</f>
        <v>0</v>
      </c>
      <c r="H3302" s="1298">
        <f>VLOOKUP($B3302,dongia1,DG!$F$5,)</f>
        <v>300000</v>
      </c>
      <c r="I3302" s="1298"/>
      <c r="J3302" s="1298">
        <f>VLOOKUP($B3302,dongia1,DG!$G$5,)</f>
        <v>0</v>
      </c>
      <c r="K3302" s="1298">
        <f>VLOOKUP($B3302,dongia1,DG!$H$5,)</f>
        <v>0</v>
      </c>
      <c r="L3302" s="1298">
        <f t="shared" si="839"/>
        <v>0</v>
      </c>
      <c r="M3302" s="1298">
        <f t="shared" si="840"/>
        <v>0</v>
      </c>
      <c r="N3302" s="1298">
        <f t="shared" si="841"/>
        <v>0</v>
      </c>
      <c r="O3302" s="1298">
        <f t="shared" si="842"/>
        <v>0</v>
      </c>
      <c r="P3302" s="1299"/>
      <c r="Q3302" s="1300"/>
      <c r="R3302" s="1300"/>
      <c r="S3302" s="1300"/>
    </row>
    <row r="3303" spans="1:19" s="1081" customFormat="1" hidden="1" outlineLevel="1">
      <c r="A3303" s="1072" t="str">
        <f>IF(G3303&lt;&gt;0,1,"")</f>
        <v/>
      </c>
      <c r="B3303" s="1295"/>
      <c r="C3303" s="1291">
        <f>IF(G3303&gt;0,C3299+1,C3299)</f>
        <v>0</v>
      </c>
      <c r="D3303" s="1292"/>
      <c r="E3303" s="1296" t="s">
        <v>3460</v>
      </c>
      <c r="F3303" s="1291" t="s">
        <v>2307</v>
      </c>
      <c r="G3303" s="1556"/>
      <c r="H3303" s="1298"/>
      <c r="I3303" s="1298"/>
      <c r="J3303" s="1298"/>
      <c r="K3303" s="1298"/>
      <c r="L3303" s="1298">
        <f t="shared" si="839"/>
        <v>0</v>
      </c>
      <c r="M3303" s="1298">
        <f t="shared" si="840"/>
        <v>0</v>
      </c>
      <c r="N3303" s="1298">
        <f t="shared" si="841"/>
        <v>0</v>
      </c>
      <c r="O3303" s="1298">
        <f t="shared" si="842"/>
        <v>0</v>
      </c>
      <c r="P3303" s="1299"/>
      <c r="Q3303" s="1300"/>
      <c r="R3303" s="1300"/>
      <c r="S3303" s="1300"/>
    </row>
    <row r="3304" spans="1:19" s="1081" customFormat="1" ht="14.4" hidden="1" outlineLevel="1">
      <c r="A3304" s="1072" t="str">
        <f>A3303</f>
        <v/>
      </c>
      <c r="B3304" s="1295"/>
      <c r="C3304" s="1291"/>
      <c r="D3304" s="1292"/>
      <c r="E3304" s="1301" t="s">
        <v>3399</v>
      </c>
      <c r="F3304" s="1302"/>
      <c r="G3304" s="1473"/>
      <c r="H3304" s="1298"/>
      <c r="I3304" s="1298"/>
      <c r="J3304" s="1298"/>
      <c r="K3304" s="1298"/>
      <c r="L3304" s="1298">
        <f t="shared" si="839"/>
        <v>0</v>
      </c>
      <c r="M3304" s="1298">
        <f t="shared" si="840"/>
        <v>0</v>
      </c>
      <c r="N3304" s="1298">
        <f t="shared" si="841"/>
        <v>0</v>
      </c>
      <c r="O3304" s="1298">
        <f t="shared" si="842"/>
        <v>0</v>
      </c>
      <c r="P3304" s="1299"/>
      <c r="Q3304" s="1300"/>
      <c r="R3304" s="1300"/>
      <c r="S3304" s="1300"/>
    </row>
    <row r="3305" spans="1:19" s="1081" customFormat="1" hidden="1" outlineLevel="1">
      <c r="A3305" s="1072" t="str">
        <f t="shared" ref="A3305:A3313" si="843">IF(G3305&lt;&gt;0,1,"")</f>
        <v/>
      </c>
      <c r="B3305" s="1557" t="s">
        <v>1729</v>
      </c>
      <c r="C3305" s="1302"/>
      <c r="D3305" s="1198">
        <f>VLOOKUP($B3305,dongia1,DG!$B$5,)</f>
        <v>0</v>
      </c>
      <c r="E3305" s="1399" t="str">
        <f>VLOOKUP($B3305,dongia1,DG!$C$5,)&amp;": 0,38m3/m"</f>
        <v>Cát vàng: 0,38m3/m</v>
      </c>
      <c r="F3305" s="1198" t="str">
        <f>VLOOKUP($B3305,dongia1,DG!$D$5,)</f>
        <v>m3</v>
      </c>
      <c r="G3305" s="1304">
        <f>G3303*0.38</f>
        <v>0</v>
      </c>
      <c r="H3305" s="1298">
        <f>VLOOKUP($B3305,dongia1,DG!$F$5,)</f>
        <v>512000</v>
      </c>
      <c r="I3305" s="1298"/>
      <c r="J3305" s="1298">
        <f>VLOOKUP($B3305,dongia1,DG!$G$5,)</f>
        <v>0</v>
      </c>
      <c r="K3305" s="1298">
        <f>VLOOKUP($B3305,dongia1,DG!$H$5,)</f>
        <v>0</v>
      </c>
      <c r="L3305" s="1298">
        <f t="shared" si="839"/>
        <v>0</v>
      </c>
      <c r="M3305" s="1298">
        <f t="shared" si="840"/>
        <v>0</v>
      </c>
      <c r="N3305" s="1298">
        <f t="shared" si="841"/>
        <v>0</v>
      </c>
      <c r="O3305" s="1298">
        <f t="shared" si="842"/>
        <v>0</v>
      </c>
      <c r="P3305" s="1299"/>
      <c r="Q3305" s="1300"/>
      <c r="R3305" s="1300"/>
      <c r="S3305" s="1300"/>
    </row>
    <row r="3306" spans="1:19" s="1081" customFormat="1" hidden="1" outlineLevel="1">
      <c r="A3306" s="1072" t="str">
        <f t="shared" si="843"/>
        <v/>
      </c>
      <c r="B3306" s="1557" t="s">
        <v>853</v>
      </c>
      <c r="C3306" s="1302"/>
      <c r="D3306" s="1198">
        <f>VLOOKUP($B3306,dongia1,DG!$B$5,)</f>
        <v>0</v>
      </c>
      <c r="E3306" s="1399" t="str">
        <f>VLOOKUP($B3306,dongia1,DG!$C$5,)&amp;": 0,12m3/m"</f>
        <v>Đá 1x2: 0,12m3/m</v>
      </c>
      <c r="F3306" s="1198" t="str">
        <f>VLOOKUP($B3306,dongia1,DG!$D$5,)</f>
        <v>m3</v>
      </c>
      <c r="G3306" s="1304">
        <f>0.12*G3303*0</f>
        <v>0</v>
      </c>
      <c r="H3306" s="1298">
        <f>VLOOKUP($B3306,dongia1,DG!$F$5,)</f>
        <v>335000</v>
      </c>
      <c r="I3306" s="1298"/>
      <c r="J3306" s="1298">
        <f>VLOOKUP($B3306,dongia1,DG!$G$5,)</f>
        <v>0</v>
      </c>
      <c r="K3306" s="1298">
        <f>VLOOKUP($B3306,dongia1,DG!$H$5,)</f>
        <v>0</v>
      </c>
      <c r="L3306" s="1298">
        <f t="shared" si="839"/>
        <v>0</v>
      </c>
      <c r="M3306" s="1298">
        <f t="shared" si="840"/>
        <v>0</v>
      </c>
      <c r="N3306" s="1298">
        <f t="shared" si="841"/>
        <v>0</v>
      </c>
      <c r="O3306" s="1298">
        <f t="shared" si="842"/>
        <v>0</v>
      </c>
      <c r="P3306" s="1299"/>
      <c r="Q3306" s="1300"/>
      <c r="R3306" s="1300"/>
      <c r="S3306" s="1300"/>
    </row>
    <row r="3307" spans="1:19" s="1081" customFormat="1" hidden="1" outlineLevel="1">
      <c r="A3307" s="1072" t="str">
        <f t="shared" si="843"/>
        <v/>
      </c>
      <c r="B3307" s="1557" t="s">
        <v>1495</v>
      </c>
      <c r="C3307" s="1302"/>
      <c r="D3307" s="1198">
        <f>VLOOKUP($B3307,dongia1,DG!$B$5,)</f>
        <v>0</v>
      </c>
      <c r="E3307" s="1399" t="str">
        <f>VLOOKUP($B3307,dongia1,DG!$C$5,)&amp;": 3,3vieân/m"</f>
        <v>Gạch tàu: 3,3vieân/m</v>
      </c>
      <c r="F3307" s="1198" t="str">
        <f>VLOOKUP($B3307,dongia1,DG!$D$5,)</f>
        <v>viên</v>
      </c>
      <c r="G3307" s="1304">
        <f>3.3*G3303</f>
        <v>0</v>
      </c>
      <c r="H3307" s="1298">
        <f>VLOOKUP($B3307,dongia1,DG!$F$5,)</f>
        <v>7000</v>
      </c>
      <c r="I3307" s="1298"/>
      <c r="J3307" s="1298">
        <f>VLOOKUP($B3307,dongia1,DG!$G$5,)</f>
        <v>0</v>
      </c>
      <c r="K3307" s="1298">
        <f>VLOOKUP($B3307,dongia1,DG!$H$5,)</f>
        <v>0</v>
      </c>
      <c r="L3307" s="1298">
        <f t="shared" si="839"/>
        <v>0</v>
      </c>
      <c r="M3307" s="1298">
        <f t="shared" si="840"/>
        <v>0</v>
      </c>
      <c r="N3307" s="1298">
        <f t="shared" si="841"/>
        <v>0</v>
      </c>
      <c r="O3307" s="1298">
        <f t="shared" si="842"/>
        <v>0</v>
      </c>
      <c r="P3307" s="1299"/>
      <c r="Q3307" s="1300"/>
      <c r="R3307" s="1300"/>
      <c r="S3307" s="1300"/>
    </row>
    <row r="3308" spans="1:19" s="1081" customFormat="1" hidden="1" outlineLevel="1">
      <c r="A3308" s="1072" t="str">
        <f t="shared" si="843"/>
        <v/>
      </c>
      <c r="B3308" s="1557" t="s">
        <v>1496</v>
      </c>
      <c r="C3308" s="1302"/>
      <c r="D3308" s="1198" t="str">
        <f>VLOOKUP($B3308,dongia1,DG!$B$5,)</f>
        <v>D4.1102</v>
      </c>
      <c r="E3308" s="1399" t="str">
        <f>VLOOKUP($B3308,dongia1,DG!$C$5,)&amp;": 0,4m2/m"</f>
        <v>Tấm nilông màu cảnh báo: 0,4m2/m</v>
      </c>
      <c r="F3308" s="1198" t="str">
        <f>VLOOKUP($B3308,dongia1,DG!$D$5,)</f>
        <v>m2</v>
      </c>
      <c r="G3308" s="1304">
        <f>0.4*G3303</f>
        <v>0</v>
      </c>
      <c r="H3308" s="1298">
        <f>VLOOKUP($B3308,dongia1,DG!$F$5,)</f>
        <v>10000</v>
      </c>
      <c r="I3308" s="1298"/>
      <c r="J3308" s="1298">
        <f>VLOOKUP($B3308,dongia1,DG!$G$5,)</f>
        <v>1187.155</v>
      </c>
      <c r="K3308" s="1298">
        <f>VLOOKUP($B3308,dongia1,DG!$H$5,)</f>
        <v>0</v>
      </c>
      <c r="L3308" s="1298">
        <f t="shared" si="839"/>
        <v>0</v>
      </c>
      <c r="M3308" s="1298">
        <f t="shared" si="840"/>
        <v>0</v>
      </c>
      <c r="N3308" s="1298">
        <f t="shared" si="841"/>
        <v>0</v>
      </c>
      <c r="O3308" s="1298">
        <f t="shared" si="842"/>
        <v>0</v>
      </c>
      <c r="P3308" s="1299"/>
      <c r="Q3308" s="1300"/>
      <c r="R3308" s="1300"/>
      <c r="S3308" s="1300"/>
    </row>
    <row r="3309" spans="1:19" s="1081" customFormat="1" hidden="1" outlineLevel="1">
      <c r="A3309" s="1072" t="str">
        <f t="shared" si="843"/>
        <v/>
      </c>
      <c r="B3309" s="1557" t="s">
        <v>1861</v>
      </c>
      <c r="C3309" s="1291"/>
      <c r="D3309" s="1198">
        <f>VLOOKUP($B3309,dongia1,DG!$B$5,)</f>
        <v>0</v>
      </c>
      <c r="E3309" s="1399" t="str">
        <f>VLOOKUP($B3309,dongia1,DG!$C$5,)</f>
        <v>Ống PVC D140x6,7mm</v>
      </c>
      <c r="F3309" s="1198" t="str">
        <f>VLOOKUP($B3309,dongia1,DG!$D$5,)</f>
        <v>m</v>
      </c>
      <c r="G3309" s="1304">
        <f>1*G3303</f>
        <v>0</v>
      </c>
      <c r="H3309" s="1298">
        <f>VLOOKUP($B3309,dongia1,DG!$F$5,)</f>
        <v>165250</v>
      </c>
      <c r="I3309" s="1298"/>
      <c r="J3309" s="1298">
        <f>VLOOKUP($B3309,dongia1,DG!$G$5,)</f>
        <v>0</v>
      </c>
      <c r="K3309" s="1298">
        <f>VLOOKUP($B3309,dongia1,DG!$H$5,)</f>
        <v>0</v>
      </c>
      <c r="L3309" s="1298">
        <f t="shared" si="839"/>
        <v>0</v>
      </c>
      <c r="M3309" s="1298">
        <f t="shared" si="840"/>
        <v>0</v>
      </c>
      <c r="N3309" s="1298">
        <f t="shared" si="841"/>
        <v>0</v>
      </c>
      <c r="O3309" s="1298">
        <f t="shared" si="842"/>
        <v>0</v>
      </c>
      <c r="P3309" s="1299"/>
      <c r="Q3309" s="1300"/>
      <c r="R3309" s="1300"/>
      <c r="S3309" s="1300"/>
    </row>
    <row r="3310" spans="1:19" s="1081" customFormat="1" hidden="1" outlineLevel="1">
      <c r="A3310" s="1072" t="str">
        <f t="shared" si="843"/>
        <v/>
      </c>
      <c r="B3310" s="1557" t="s">
        <v>1498</v>
      </c>
      <c r="C3310" s="1302"/>
      <c r="D3310" s="1198" t="str">
        <f>VLOOKUP($B3310,dongia1,DG!$B$5,)</f>
        <v>AB.66112</v>
      </c>
      <c r="E3310" s="1399" t="str">
        <f>VLOOKUP($B3310,dongia1,DG!$C$5,)&amp;" + ñaép ñaù"</f>
        <v>Rải cát đệm (độ chặt K=0,9) + ñaép ñaù</v>
      </c>
      <c r="F3310" s="1198" t="str">
        <f>VLOOKUP($B3310,dongia1,DG!$D$5,)</f>
        <v>m3</v>
      </c>
      <c r="G3310" s="1304">
        <f>G3305+G3306</f>
        <v>0</v>
      </c>
      <c r="H3310" s="1298">
        <f>VLOOKUP($B3310,dongia1,DG!$F$5,)</f>
        <v>0</v>
      </c>
      <c r="I3310" s="1298"/>
      <c r="J3310" s="1298">
        <f>VLOOKUP($B3310,dongia1,DG!$G$5,)</f>
        <v>315277.5</v>
      </c>
      <c r="K3310" s="1298">
        <f>VLOOKUP($B3310,dongia1,DG!$H$5,)</f>
        <v>0</v>
      </c>
      <c r="L3310" s="1298">
        <f t="shared" si="839"/>
        <v>0</v>
      </c>
      <c r="M3310" s="1298">
        <f t="shared" si="840"/>
        <v>0</v>
      </c>
      <c r="N3310" s="1298">
        <f t="shared" si="841"/>
        <v>0</v>
      </c>
      <c r="O3310" s="1298">
        <f t="shared" si="842"/>
        <v>0</v>
      </c>
      <c r="P3310" s="1299"/>
      <c r="Q3310" s="1300"/>
      <c r="R3310" s="1300"/>
      <c r="S3310" s="1300"/>
    </row>
    <row r="3311" spans="1:19" s="1081" customFormat="1" hidden="1" outlineLevel="1">
      <c r="A3311" s="1072" t="str">
        <f t="shared" si="843"/>
        <v/>
      </c>
      <c r="B3311" s="1557" t="s">
        <v>291</v>
      </c>
      <c r="C3311" s="1302"/>
      <c r="D3311" s="1198" t="str">
        <f>VLOOKUP($B3311,dongia1,DG!$B$5,)</f>
        <v>AB.11613</v>
      </c>
      <c r="E3311" s="1399" t="str">
        <f>VLOOKUP($B3311,dongia1,DG!$C$5,)&amp;" : 0,48m3/m"</f>
        <v>Đào mương cáp ngầm đất cấp 3 có mở ta luy : 0,48m3/m</v>
      </c>
      <c r="F3311" s="1198" t="str">
        <f>VLOOKUP($B3311,dongia1,DG!$D$5,)</f>
        <v>m3</v>
      </c>
      <c r="G3311" s="1304">
        <f>G3303*0.48</f>
        <v>0</v>
      </c>
      <c r="H3311" s="1298">
        <f>VLOOKUP($B3311,dongia1,DG!$F$5,)</f>
        <v>0</v>
      </c>
      <c r="I3311" s="1298"/>
      <c r="J3311" s="1298">
        <f>VLOOKUP($B3311,dongia1,DG!$G$5,)</f>
        <v>640731.36</v>
      </c>
      <c r="K3311" s="1298">
        <f>VLOOKUP($B3311,dongia1,DG!$H$5,)</f>
        <v>0</v>
      </c>
      <c r="L3311" s="1298">
        <f t="shared" si="839"/>
        <v>0</v>
      </c>
      <c r="M3311" s="1298">
        <f t="shared" si="840"/>
        <v>0</v>
      </c>
      <c r="N3311" s="1298">
        <f t="shared" si="841"/>
        <v>0</v>
      </c>
      <c r="O3311" s="1298">
        <f t="shared" si="842"/>
        <v>0</v>
      </c>
      <c r="P3311" s="1299"/>
      <c r="Q3311" s="1300"/>
      <c r="R3311" s="1300"/>
      <c r="S3311" s="1300"/>
    </row>
    <row r="3312" spans="1:19" s="1081" customFormat="1" hidden="1" outlineLevel="1">
      <c r="A3312" s="1072" t="str">
        <f t="shared" si="843"/>
        <v/>
      </c>
      <c r="B3312" s="1557" t="s">
        <v>1906</v>
      </c>
      <c r="C3312" s="1302"/>
      <c r="D3312" s="1198" t="str">
        <f>VLOOKUP($B3312,dongia1,DG!$B$5,)</f>
        <v>AB.65110</v>
      </c>
      <c r="E3312" s="1399" t="str">
        <f>VLOOKUP($B3312,dongia1,DG!$C$5,)&amp;" : 0,16m3/m"</f>
        <v>Đắp đất mương cáp K=0,9 : 0,16m3/m</v>
      </c>
      <c r="F3312" s="1198" t="str">
        <f>VLOOKUP($B3312,dongia1,DG!$D$5,)</f>
        <v>m3</v>
      </c>
      <c r="G3312" s="1304">
        <f>0.16*G3303</f>
        <v>0</v>
      </c>
      <c r="H3312" s="1298">
        <f>VLOOKUP($B3312,dongia1,DG!$F$5,)</f>
        <v>0</v>
      </c>
      <c r="I3312" s="1298"/>
      <c r="J3312" s="1298">
        <f>VLOOKUP($B3312,dongia1,DG!$G$5,)</f>
        <v>21935.133999999998</v>
      </c>
      <c r="K3312" s="1298">
        <f>VLOOKUP($B3312,dongia1,DG!$H$5,)</f>
        <v>0</v>
      </c>
      <c r="L3312" s="1298">
        <f t="shared" si="839"/>
        <v>0</v>
      </c>
      <c r="M3312" s="1298">
        <f t="shared" si="840"/>
        <v>0</v>
      </c>
      <c r="N3312" s="1298">
        <f t="shared" si="841"/>
        <v>0</v>
      </c>
      <c r="O3312" s="1298">
        <f t="shared" si="842"/>
        <v>0</v>
      </c>
      <c r="P3312" s="1299"/>
      <c r="Q3312" s="1300"/>
      <c r="R3312" s="1474">
        <v>0.47499999999999998</v>
      </c>
      <c r="S3312" s="1300"/>
    </row>
    <row r="3313" spans="1:19" s="1081" customFormat="1" hidden="1" outlineLevel="1">
      <c r="A3313" s="1072" t="str">
        <f t="shared" si="843"/>
        <v/>
      </c>
      <c r="B3313" s="1295"/>
      <c r="C3313" s="1291">
        <f>IF(G3313&gt;0,C3303+1,C3303)</f>
        <v>0</v>
      </c>
      <c r="D3313" s="1292"/>
      <c r="E3313" s="1296" t="s">
        <v>3461</v>
      </c>
      <c r="F3313" s="1291" t="s">
        <v>2113</v>
      </c>
      <c r="G3313" s="1297"/>
      <c r="H3313" s="1298"/>
      <c r="I3313" s="1298"/>
      <c r="J3313" s="1298"/>
      <c r="K3313" s="1298"/>
      <c r="L3313" s="1298">
        <f t="shared" si="839"/>
        <v>0</v>
      </c>
      <c r="M3313" s="1298">
        <f t="shared" si="840"/>
        <v>0</v>
      </c>
      <c r="N3313" s="1298">
        <f t="shared" si="841"/>
        <v>0</v>
      </c>
      <c r="O3313" s="1298">
        <f t="shared" si="842"/>
        <v>0</v>
      </c>
      <c r="P3313" s="1299"/>
      <c r="Q3313" s="1300"/>
      <c r="R3313" s="1474">
        <v>0.88100000000000001</v>
      </c>
      <c r="S3313" s="1300"/>
    </row>
    <row r="3314" spans="1:19" s="1081" customFormat="1" ht="14.4" hidden="1" outlineLevel="1">
      <c r="A3314" s="1072" t="str">
        <f>A3313</f>
        <v/>
      </c>
      <c r="B3314" s="1295"/>
      <c r="C3314" s="1291"/>
      <c r="D3314" s="1292"/>
      <c r="E3314" s="1301" t="s">
        <v>3399</v>
      </c>
      <c r="F3314" s="1302"/>
      <c r="G3314" s="1473"/>
      <c r="H3314" s="1298"/>
      <c r="I3314" s="1298"/>
      <c r="J3314" s="1298"/>
      <c r="K3314" s="1298"/>
      <c r="L3314" s="1298">
        <f t="shared" si="839"/>
        <v>0</v>
      </c>
      <c r="M3314" s="1298">
        <f t="shared" si="840"/>
        <v>0</v>
      </c>
      <c r="N3314" s="1298">
        <f t="shared" si="841"/>
        <v>0</v>
      </c>
      <c r="O3314" s="1298">
        <f t="shared" si="842"/>
        <v>0</v>
      </c>
      <c r="P3314" s="1299"/>
      <c r="Q3314" s="1300"/>
      <c r="R3314" s="1300"/>
      <c r="S3314" s="1300"/>
    </row>
    <row r="3315" spans="1:19" s="1081" customFormat="1" hidden="1" outlineLevel="1">
      <c r="A3315" s="1072" t="str">
        <f t="shared" ref="A3315:A3322" si="844">IF(G3315&lt;&gt;0,1,"")</f>
        <v/>
      </c>
      <c r="B3315" s="1295" t="s">
        <v>1568</v>
      </c>
      <c r="C3315" s="1302"/>
      <c r="D3315" s="1198" t="str">
        <f>VLOOKUP($B3315,dongia1,DG!$B$5,)</f>
        <v>D4.1205</v>
      </c>
      <c r="E3315" s="1243" t="str">
        <f>VLOOKUP($B3315,dongia1,DG!$C$5,)</f>
        <v>Ông sắt tráng kẽm D140</v>
      </c>
      <c r="F3315" s="1198" t="str">
        <f>VLOOKUP($B3315,dongia1,DG!$D$5,)</f>
        <v>mét</v>
      </c>
      <c r="G3315" s="1304">
        <f>G3313*4</f>
        <v>0</v>
      </c>
      <c r="H3315" s="1298">
        <f>VLOOKUP($B3315,dongia1,DG!$F$5,)</f>
        <v>278000</v>
      </c>
      <c r="I3315" s="1298"/>
      <c r="J3315" s="1298">
        <f>VLOOKUP($B3315,dongia1,DG!$G$5,)</f>
        <v>127101.65849999999</v>
      </c>
      <c r="K3315" s="1298">
        <f>VLOOKUP($B3315,dongia1,DG!$H$5,)</f>
        <v>0</v>
      </c>
      <c r="L3315" s="1298">
        <f t="shared" si="839"/>
        <v>0</v>
      </c>
      <c r="M3315" s="1298">
        <f t="shared" si="840"/>
        <v>0</v>
      </c>
      <c r="N3315" s="1298">
        <f t="shared" si="841"/>
        <v>0</v>
      </c>
      <c r="O3315" s="1298">
        <f t="shared" si="842"/>
        <v>0</v>
      </c>
      <c r="P3315" s="1299"/>
      <c r="Q3315" s="1300"/>
      <c r="R3315" s="1300"/>
      <c r="S3315" s="1300"/>
    </row>
    <row r="3316" spans="1:19" s="1081" customFormat="1" hidden="1" outlineLevel="1">
      <c r="A3316" s="1072" t="str">
        <f t="shared" si="844"/>
        <v/>
      </c>
      <c r="B3316" s="1557" t="s">
        <v>25</v>
      </c>
      <c r="C3316" s="1291"/>
      <c r="D3316" s="1198">
        <f>VLOOKUP($B3316,dongia1,DG!$B$5,)</f>
        <v>0</v>
      </c>
      <c r="E3316" s="1243" t="str">
        <f>VLOOKUP($B3316,dongia1,DG!$C$5,)</f>
        <v>Co sừng 90 độ PVC 140</v>
      </c>
      <c r="F3316" s="1198" t="str">
        <f>VLOOKUP($B3316,dongia1,DG!$D$5,)</f>
        <v>cái</v>
      </c>
      <c r="G3316" s="1304">
        <f>G3313*1</f>
        <v>0</v>
      </c>
      <c r="H3316" s="1298">
        <f>VLOOKUP($B3316,dongia1,DG!$F$5,)</f>
        <v>138000</v>
      </c>
      <c r="I3316" s="1298"/>
      <c r="J3316" s="1298">
        <f>VLOOKUP($B3316,dongia1,DG!$G$5,)</f>
        <v>0</v>
      </c>
      <c r="K3316" s="1298">
        <f>VLOOKUP($B3316,dongia1,DG!$H$5,)</f>
        <v>0</v>
      </c>
      <c r="L3316" s="1298">
        <f t="shared" si="839"/>
        <v>0</v>
      </c>
      <c r="M3316" s="1298">
        <f t="shared" si="840"/>
        <v>0</v>
      </c>
      <c r="N3316" s="1298">
        <f t="shared" si="841"/>
        <v>0</v>
      </c>
      <c r="O3316" s="1298">
        <f t="shared" si="842"/>
        <v>0</v>
      </c>
      <c r="P3316" s="1299"/>
      <c r="Q3316" s="1300"/>
      <c r="R3316" s="1300"/>
      <c r="S3316" s="1300"/>
    </row>
    <row r="3317" spans="1:19" s="1081" customFormat="1" hidden="1" outlineLevel="1">
      <c r="A3317" s="1072" t="str">
        <f t="shared" si="844"/>
        <v/>
      </c>
      <c r="B3317" s="1295" t="s">
        <v>1424</v>
      </c>
      <c r="C3317" s="1302"/>
      <c r="D3317" s="1198">
        <f>VLOOKUP($B3317,dongia1,DG!$B$5,)</f>
        <v>0</v>
      </c>
      <c r="E3317" s="1243" t="str">
        <f>VLOOKUP($B3317,dongia1,DG!$C$5,)</f>
        <v>Cổ dê giữ ống STK D140 vào tường+Boulon+long đền+tắc ke sắt</v>
      </c>
      <c r="F3317" s="1198" t="str">
        <f>VLOOKUP($B3317,dongia1,DG!$D$5,)</f>
        <v>bộ</v>
      </c>
      <c r="G3317" s="1304">
        <f>G3313*2</f>
        <v>0</v>
      </c>
      <c r="H3317" s="1298">
        <f>VLOOKUP($B3317,dongia1,DG!$F$5,)</f>
        <v>40000</v>
      </c>
      <c r="I3317" s="1298"/>
      <c r="J3317" s="1298">
        <f>VLOOKUP($B3317,dongia1,DG!$G$5,)</f>
        <v>0</v>
      </c>
      <c r="K3317" s="1298">
        <f>VLOOKUP($B3317,dongia1,DG!$H$5,)</f>
        <v>0</v>
      </c>
      <c r="L3317" s="1298">
        <f t="shared" si="839"/>
        <v>0</v>
      </c>
      <c r="M3317" s="1298">
        <f t="shared" si="840"/>
        <v>0</v>
      </c>
      <c r="N3317" s="1298">
        <f t="shared" si="841"/>
        <v>0</v>
      </c>
      <c r="O3317" s="1298">
        <f t="shared" si="842"/>
        <v>0</v>
      </c>
      <c r="P3317" s="1299"/>
      <c r="Q3317" s="1300"/>
      <c r="R3317" s="1300"/>
      <c r="S3317" s="1300"/>
    </row>
    <row r="3318" spans="1:19" s="1081" customFormat="1" hidden="1" outlineLevel="1">
      <c r="A3318" s="1072" t="str">
        <f t="shared" si="844"/>
        <v/>
      </c>
      <c r="B3318" s="1068" t="s">
        <v>441</v>
      </c>
      <c r="C3318" s="1302"/>
      <c r="D3318" s="1198">
        <f>VLOOKUP($B3318,dongia1,DG!$B$5,)</f>
        <v>0</v>
      </c>
      <c r="E3318" s="1243" t="str">
        <f>VLOOKUP($B3318,dongia1,DG!$C$5,)</f>
        <v>Giá đỡ cáp ngầm (V63x6)</v>
      </c>
      <c r="F3318" s="1198" t="str">
        <f>VLOOKUP($B3318,dongia1,DG!$D$5,)</f>
        <v>bộ</v>
      </c>
      <c r="G3318" s="1304">
        <f>G3313</f>
        <v>0</v>
      </c>
      <c r="H3318" s="1298">
        <f>VLOOKUP($B3318,dongia1,DG!$F$5,)</f>
        <v>150000</v>
      </c>
      <c r="I3318" s="1298"/>
      <c r="J3318" s="1298">
        <f>VLOOKUP($B3318,dongia1,DG!$G$5,)</f>
        <v>0</v>
      </c>
      <c r="K3318" s="1298">
        <f>VLOOKUP($B3318,dongia1,DG!$H$5,)</f>
        <v>0</v>
      </c>
      <c r="L3318" s="1298">
        <f t="shared" si="839"/>
        <v>0</v>
      </c>
      <c r="M3318" s="1298">
        <f t="shared" si="840"/>
        <v>0</v>
      </c>
      <c r="N3318" s="1298">
        <f t="shared" si="841"/>
        <v>0</v>
      </c>
      <c r="O3318" s="1298">
        <f t="shared" si="842"/>
        <v>0</v>
      </c>
      <c r="P3318" s="1299"/>
      <c r="Q3318" s="1300"/>
      <c r="R3318" s="1300"/>
      <c r="S3318" s="1300"/>
    </row>
    <row r="3319" spans="1:19" s="1081" customFormat="1" hidden="1" outlineLevel="1">
      <c r="A3319" s="1072" t="str">
        <f t="shared" si="844"/>
        <v/>
      </c>
      <c r="B3319" s="1068" t="s">
        <v>31</v>
      </c>
      <c r="C3319" s="1302"/>
      <c r="D3319" s="1198">
        <f>VLOOKUP($B3319,dongia1,DG!$B$5,)</f>
        <v>0</v>
      </c>
      <c r="E3319" s="1243" t="str">
        <f>VLOOKUP($B3319,dongia1,DG!$C$5,)</f>
        <v>Giá đỡ cáp trung thế</v>
      </c>
      <c r="F3319" s="1198" t="str">
        <f>VLOOKUP($B3319,dongia1,DG!$D$5,)</f>
        <v>bộ</v>
      </c>
      <c r="G3319" s="1304">
        <f>G3313</f>
        <v>0</v>
      </c>
      <c r="H3319" s="1298">
        <f>VLOOKUP($B3319,dongia1,DG!$F$5,)</f>
        <v>224832</v>
      </c>
      <c r="I3319" s="1298"/>
      <c r="J3319" s="1298">
        <f>VLOOKUP($B3319,dongia1,DG!$G$5,)</f>
        <v>3635</v>
      </c>
      <c r="K3319" s="1298">
        <f>VLOOKUP($B3319,dongia1,DG!$H$5,)</f>
        <v>6321</v>
      </c>
      <c r="L3319" s="1298">
        <f t="shared" si="839"/>
        <v>0</v>
      </c>
      <c r="M3319" s="1298">
        <f t="shared" si="840"/>
        <v>0</v>
      </c>
      <c r="N3319" s="1298">
        <f t="shared" si="841"/>
        <v>0</v>
      </c>
      <c r="O3319" s="1298">
        <f t="shared" si="842"/>
        <v>0</v>
      </c>
      <c r="P3319" s="1299"/>
      <c r="Q3319" s="1300"/>
      <c r="R3319" s="1300"/>
      <c r="S3319" s="1300"/>
    </row>
    <row r="3320" spans="1:19" s="1081" customFormat="1" hidden="1" outlineLevel="1">
      <c r="A3320" s="1072" t="str">
        <f t="shared" si="844"/>
        <v/>
      </c>
      <c r="B3320" s="1295" t="s">
        <v>442</v>
      </c>
      <c r="C3320" s="1291"/>
      <c r="D3320" s="1198" t="str">
        <f>VLOOKUP($B3320,dongia1,DG!$B$5,)</f>
        <v>T4.8002</v>
      </c>
      <c r="E3320" s="1243" t="str">
        <f>VLOOKUP($B3320,dongia1,DG!$C$5,)</f>
        <v>Lắp gía đỡ cáp</v>
      </c>
      <c r="F3320" s="1198" t="str">
        <f>VLOOKUP($B3320,dongia1,DG!$D$5,)</f>
        <v>bộ</v>
      </c>
      <c r="G3320" s="1304">
        <f>G3318</f>
        <v>0</v>
      </c>
      <c r="H3320" s="1298">
        <f>VLOOKUP($B3320,dongia1,DG!$F$5,)</f>
        <v>0</v>
      </c>
      <c r="I3320" s="1298"/>
      <c r="J3320" s="1298">
        <f>VLOOKUP($B3320,dongia1,DG!$G$5,)</f>
        <v>28219.62</v>
      </c>
      <c r="K3320" s="1298">
        <f>VLOOKUP($B3320,dongia1,DG!$H$5,)</f>
        <v>0</v>
      </c>
      <c r="L3320" s="1298">
        <f t="shared" si="839"/>
        <v>0</v>
      </c>
      <c r="M3320" s="1298">
        <f t="shared" si="840"/>
        <v>0</v>
      </c>
      <c r="N3320" s="1298">
        <f t="shared" si="841"/>
        <v>0</v>
      </c>
      <c r="O3320" s="1298">
        <f t="shared" si="842"/>
        <v>0</v>
      </c>
      <c r="P3320" s="1299"/>
      <c r="Q3320" s="1300"/>
      <c r="R3320" s="1300"/>
      <c r="S3320" s="1300"/>
    </row>
    <row r="3321" spans="1:19" s="1081" customFormat="1" hidden="1" outlineLevel="1">
      <c r="A3321" s="1072" t="str">
        <f t="shared" si="844"/>
        <v/>
      </c>
      <c r="B3321" s="1295" t="s">
        <v>888</v>
      </c>
      <c r="C3321" s="1302"/>
      <c r="D3321" s="1198">
        <f>VLOOKUP($B3321,dongia1,DG!$B$5,)</f>
        <v>0</v>
      </c>
      <c r="E3321" s="1243" t="str">
        <f>VLOOKUP($B3321,dongia1,DG!$C$5,)</f>
        <v>Bảng tên trạm + bảng báo nguy hiểm</v>
      </c>
      <c r="F3321" s="1198" t="str">
        <f>VLOOKUP($B3321,dongia1,DG!$D$5,)</f>
        <v>cái</v>
      </c>
      <c r="G3321" s="1304">
        <f>G3313</f>
        <v>0</v>
      </c>
      <c r="H3321" s="1298">
        <f>VLOOKUP($B3321,dongia1,DG!$F$5,)</f>
        <v>300000</v>
      </c>
      <c r="I3321" s="1298"/>
      <c r="J3321" s="1298">
        <f>VLOOKUP($B3321,dongia1,DG!$G$5,)</f>
        <v>0</v>
      </c>
      <c r="K3321" s="1298">
        <f>VLOOKUP($B3321,dongia1,DG!$H$5,)</f>
        <v>0</v>
      </c>
      <c r="L3321" s="1298">
        <f t="shared" si="839"/>
        <v>0</v>
      </c>
      <c r="M3321" s="1298">
        <f t="shared" si="840"/>
        <v>0</v>
      </c>
      <c r="N3321" s="1298">
        <f t="shared" si="841"/>
        <v>0</v>
      </c>
      <c r="O3321" s="1298">
        <f t="shared" si="842"/>
        <v>0</v>
      </c>
      <c r="P3321" s="1299"/>
      <c r="Q3321" s="1300"/>
      <c r="R3321" s="1300"/>
      <c r="S3321" s="1300"/>
    </row>
    <row r="3322" spans="1:19" s="1081" customFormat="1" hidden="1" outlineLevel="1">
      <c r="A3322" s="1072" t="str">
        <f t="shared" si="844"/>
        <v/>
      </c>
      <c r="B3322" s="1295"/>
      <c r="C3322" s="1291">
        <f>IF(G3322&gt;0,C3313+1,C3313)</f>
        <v>0</v>
      </c>
      <c r="D3322" s="1292"/>
      <c r="E3322" s="1293" t="s">
        <v>3457</v>
      </c>
      <c r="F3322" s="1291" t="s">
        <v>2113</v>
      </c>
      <c r="G3322" s="1297"/>
      <c r="H3322" s="1298"/>
      <c r="I3322" s="1298"/>
      <c r="J3322" s="1298"/>
      <c r="K3322" s="1298"/>
      <c r="L3322" s="1298"/>
      <c r="M3322" s="1298"/>
      <c r="N3322" s="1298"/>
      <c r="O3322" s="1298"/>
      <c r="P3322" s="1299"/>
      <c r="Q3322" s="1300"/>
      <c r="R3322" s="1300"/>
      <c r="S3322" s="1300"/>
    </row>
    <row r="3323" spans="1:19" s="1081" customFormat="1" ht="14.4" hidden="1" outlineLevel="1">
      <c r="A3323" s="1072" t="str">
        <f>A3322</f>
        <v/>
      </c>
      <c r="B3323" s="1295"/>
      <c r="C3323" s="1291"/>
      <c r="D3323" s="1292"/>
      <c r="E3323" s="1308" t="s">
        <v>3399</v>
      </c>
      <c r="F3323" s="1291"/>
      <c r="G3323" s="1297"/>
      <c r="H3323" s="1298"/>
      <c r="I3323" s="1298"/>
      <c r="J3323" s="1298"/>
      <c r="K3323" s="1298"/>
      <c r="L3323" s="1298"/>
      <c r="M3323" s="1298"/>
      <c r="N3323" s="1298"/>
      <c r="O3323" s="1298"/>
      <c r="P3323" s="1299"/>
      <c r="Q3323" s="1300"/>
      <c r="R3323" s="1300"/>
      <c r="S3323" s="1300"/>
    </row>
    <row r="3324" spans="1:19" s="1081" customFormat="1" hidden="1" outlineLevel="1">
      <c r="A3324" s="1072" t="str">
        <f>IF(G3324&lt;&gt;0,1,"")</f>
        <v/>
      </c>
      <c r="B3324" s="1068" t="s">
        <v>22</v>
      </c>
      <c r="C3324" s="1302"/>
      <c r="D3324" s="1198">
        <f>VLOOKUP($B3324,dongia1,DG!$B$5,)</f>
        <v>0</v>
      </c>
      <c r="E3324" s="1243" t="str">
        <f>VLOOKUP($B3324,dongia1,DG!$C$5,)&amp;": töø Trụ ño ñeám ñeán tuû LBSA"</f>
        <v>Cáp 24kV C/XLPE/DSTA/PVC3x50: töø Trụ ño ñeám ñeán tuû LBSA</v>
      </c>
      <c r="F3324" s="1198" t="str">
        <f>VLOOKUP($B3324,dongia1,DG!$D$5,)</f>
        <v>mét</v>
      </c>
      <c r="G3324" s="1304">
        <f>(3+10)*1.02*G3322</f>
        <v>0</v>
      </c>
      <c r="H3324" s="1298">
        <f>VLOOKUP($B3324,dongia1,DG!$F$5,)</f>
        <v>763500</v>
      </c>
      <c r="I3324" s="1298"/>
      <c r="J3324" s="1298">
        <f>VLOOKUP($B3324,dongia1,DG!$G$5,)</f>
        <v>0</v>
      </c>
      <c r="K3324" s="1298">
        <f>VLOOKUP($B3324,dongia1,DG!$H$5,)</f>
        <v>0</v>
      </c>
      <c r="L3324" s="1298">
        <f>H3324*G3324</f>
        <v>0</v>
      </c>
      <c r="M3324" s="1298">
        <f>I3324*G3324</f>
        <v>0</v>
      </c>
      <c r="N3324" s="1298">
        <f>J3324*G3324</f>
        <v>0</v>
      </c>
      <c r="O3324" s="1298">
        <f>K3324*G3324</f>
        <v>0</v>
      </c>
      <c r="P3324" s="1299"/>
      <c r="Q3324" s="1300"/>
      <c r="R3324" s="1300"/>
      <c r="S3324" s="1300"/>
    </row>
    <row r="3325" spans="1:19" s="1081" customFormat="1" hidden="1" outlineLevel="1">
      <c r="A3325" s="1072" t="str">
        <f t="shared" ref="A3325:A3334" si="845">IF(G3325&lt;&gt;0,1,"")</f>
        <v/>
      </c>
      <c r="B3325" s="1068" t="s">
        <v>2071</v>
      </c>
      <c r="C3325" s="1302"/>
      <c r="D3325" s="1198">
        <f>VLOOKUP($B3325,dongia1,DG!$B$5,)</f>
        <v>0</v>
      </c>
      <c r="E3325" s="1243" t="str">
        <f>VLOOKUP($B3325,dongia1,DG!$C$5,)&amp;": 0,5m/pha"</f>
        <v>Cáp 24KV C/XLPE/PVC 50mm2: 0,5m/pha</v>
      </c>
      <c r="F3325" s="1198" t="str">
        <f>VLOOKUP($B3325,dongia1,DG!$D$5,)</f>
        <v>mét</v>
      </c>
      <c r="G3325" s="1304">
        <f>G3322*0.5*3</f>
        <v>0</v>
      </c>
      <c r="H3325" s="1298">
        <f>VLOOKUP($B3325,dongia1,DG!$F$5,)</f>
        <v>204900</v>
      </c>
      <c r="I3325" s="1298"/>
      <c r="J3325" s="1298">
        <f>VLOOKUP($B3325,dongia1,DG!$G$5,)</f>
        <v>0</v>
      </c>
      <c r="K3325" s="1298">
        <f>VLOOKUP($B3325,dongia1,DG!$H$5,)</f>
        <v>0</v>
      </c>
      <c r="L3325" s="1298">
        <f>H3325*G3325</f>
        <v>0</v>
      </c>
      <c r="M3325" s="1298">
        <f>I3325*G3325</f>
        <v>0</v>
      </c>
      <c r="N3325" s="1298">
        <f>J3325*G3325</f>
        <v>0</v>
      </c>
      <c r="O3325" s="1298">
        <f>K3325*G3325</f>
        <v>0</v>
      </c>
      <c r="P3325" s="1299"/>
      <c r="Q3325" s="1300"/>
      <c r="R3325" s="1300"/>
      <c r="S3325" s="1300"/>
    </row>
    <row r="3326" spans="1:19" s="1081" customFormat="1" hidden="1" outlineLevel="1">
      <c r="A3326" s="1072" t="str">
        <f t="shared" si="845"/>
        <v/>
      </c>
      <c r="B3326" s="1068" t="s">
        <v>631</v>
      </c>
      <c r="C3326" s="1302"/>
      <c r="D3326" s="1198">
        <f>VLOOKUP($B3326,dongia1,DG!$B$5,)</f>
        <v>0</v>
      </c>
      <c r="E3326" s="1243" t="str">
        <f>VLOOKUP($B3326,dongia1,DG!$C$5,)</f>
        <v>Đầu cáp ngầm 24KV 3x50mm2 outdoor</v>
      </c>
      <c r="F3326" s="1198" t="str">
        <f>VLOOKUP($B3326,dongia1,DG!$D$5,)</f>
        <v>cái</v>
      </c>
      <c r="G3326" s="1304">
        <f>G3322*2</f>
        <v>0</v>
      </c>
      <c r="H3326" s="1298">
        <f>VLOOKUP($B3326,dongia1,DG!$F$5,)</f>
        <v>4022000</v>
      </c>
      <c r="I3326" s="1298"/>
      <c r="J3326" s="1298">
        <f>VLOOKUP($B3326,dongia1,DG!$G$5,)</f>
        <v>0</v>
      </c>
      <c r="K3326" s="1298">
        <f>VLOOKUP($B3326,dongia1,DG!$H$5,)</f>
        <v>0</v>
      </c>
      <c r="L3326" s="1298">
        <f t="shared" ref="L3326:L3331" si="846">H3326*G3326</f>
        <v>0</v>
      </c>
      <c r="M3326" s="1298">
        <f t="shared" ref="M3326:M3331" si="847">I3326*G3326</f>
        <v>0</v>
      </c>
      <c r="N3326" s="1298">
        <f t="shared" ref="N3326:N3331" si="848">J3326*G3326</f>
        <v>0</v>
      </c>
      <c r="O3326" s="1298">
        <f t="shared" ref="O3326:O3331" si="849">K3326*G3326</f>
        <v>0</v>
      </c>
      <c r="P3326" s="1299"/>
      <c r="Q3326" s="1300"/>
      <c r="R3326" s="1300"/>
      <c r="S3326" s="1300"/>
    </row>
    <row r="3327" spans="1:19" s="1081" customFormat="1" hidden="1" outlineLevel="1">
      <c r="A3327" s="1072" t="str">
        <f t="shared" si="845"/>
        <v/>
      </c>
      <c r="B3327" s="1068" t="s">
        <v>22</v>
      </c>
      <c r="C3327" s="1302"/>
      <c r="D3327" s="1198">
        <f>VLOOKUP($B3327,dongia1,DG!$B$5,)</f>
        <v>0</v>
      </c>
      <c r="E3327" s="1243" t="str">
        <f>VLOOKUP($B3327,dongia1,DG!$C$5,)&amp;": töø tuû LBS ñeán MBA"</f>
        <v>Cáp 24kV C/XLPE/DSTA/PVC3x50: töø tuû LBS ñeán MBA</v>
      </c>
      <c r="F3327" s="1198" t="str">
        <f>VLOOKUP($B3327,dongia1,DG!$D$5,)</f>
        <v>mét</v>
      </c>
      <c r="G3327" s="1304">
        <f>(1.2+2.4)*G3322</f>
        <v>0</v>
      </c>
      <c r="H3327" s="1298">
        <f>VLOOKUP($B3327,dongia1,DG!$F$5,)</f>
        <v>763500</v>
      </c>
      <c r="I3327" s="1298"/>
      <c r="J3327" s="1298">
        <f>VLOOKUP($B3327,dongia1,DG!$G$5,)</f>
        <v>0</v>
      </c>
      <c r="K3327" s="1298">
        <f>VLOOKUP($B3327,dongia1,DG!$H$5,)</f>
        <v>0</v>
      </c>
      <c r="L3327" s="1298">
        <f t="shared" si="846"/>
        <v>0</v>
      </c>
      <c r="M3327" s="1298">
        <f t="shared" si="847"/>
        <v>0</v>
      </c>
      <c r="N3327" s="1298">
        <f t="shared" si="848"/>
        <v>0</v>
      </c>
      <c r="O3327" s="1298">
        <f t="shared" si="849"/>
        <v>0</v>
      </c>
      <c r="P3327" s="1299"/>
      <c r="Q3327" s="1300"/>
      <c r="R3327" s="1300"/>
      <c r="S3327" s="1300"/>
    </row>
    <row r="3328" spans="1:19" s="1081" customFormat="1" hidden="1" outlineLevel="1">
      <c r="A3328" s="1072" t="str">
        <f t="shared" si="845"/>
        <v/>
      </c>
      <c r="B3328" s="1068" t="s">
        <v>2071</v>
      </c>
      <c r="C3328" s="1302"/>
      <c r="D3328" s="1198">
        <f>VLOOKUP($B3328,dongia1,DG!$B$5,)</f>
        <v>0</v>
      </c>
      <c r="E3328" s="1243" t="str">
        <f>VLOOKUP($B3328,dongia1,DG!$C$5,)&amp;": töø tuû LBS ñeán MBA"</f>
        <v>Cáp 24KV C/XLPE/PVC 50mm2: töø tuû LBS ñeán MBA</v>
      </c>
      <c r="F3328" s="1198" t="str">
        <f>VLOOKUP($B3328,dongia1,DG!$D$5,)</f>
        <v>mét</v>
      </c>
      <c r="G3328" s="1304">
        <f>G3327*0</f>
        <v>0</v>
      </c>
      <c r="H3328" s="1298">
        <f>VLOOKUP($B3328,dongia1,DG!$F$5,)</f>
        <v>204900</v>
      </c>
      <c r="I3328" s="1298"/>
      <c r="J3328" s="1298">
        <f>VLOOKUP($B3328,dongia1,DG!$G$5,)</f>
        <v>0</v>
      </c>
      <c r="K3328" s="1298">
        <f>VLOOKUP($B3328,dongia1,DG!$H$5,)</f>
        <v>0</v>
      </c>
      <c r="L3328" s="1298">
        <f t="shared" si="846"/>
        <v>0</v>
      </c>
      <c r="M3328" s="1298">
        <f t="shared" si="847"/>
        <v>0</v>
      </c>
      <c r="N3328" s="1298">
        <f t="shared" si="848"/>
        <v>0</v>
      </c>
      <c r="O3328" s="1298">
        <f t="shared" si="849"/>
        <v>0</v>
      </c>
      <c r="P3328" s="1299"/>
      <c r="Q3328" s="1300"/>
      <c r="R3328" s="1300"/>
      <c r="S3328" s="1300"/>
    </row>
    <row r="3329" spans="1:19" s="1081" customFormat="1" hidden="1" outlineLevel="1">
      <c r="A3329" s="1072" t="str">
        <f t="shared" si="845"/>
        <v/>
      </c>
      <c r="B3329" s="1068" t="s">
        <v>632</v>
      </c>
      <c r="C3329" s="1302"/>
      <c r="D3329" s="1198">
        <f>VLOOKUP($B3329,dongia1,DG!$B$5,)</f>
        <v>0</v>
      </c>
      <c r="E3329" s="1243" t="str">
        <f>VLOOKUP($B3329,dongia1,DG!$C$5,)</f>
        <v>Đầu cáp ngầm 24KV 3x50mm2 indoor</v>
      </c>
      <c r="F3329" s="1198" t="str">
        <f>VLOOKUP($B3329,dongia1,DG!$D$5,)</f>
        <v>cái</v>
      </c>
      <c r="G3329" s="1304">
        <f>G3322*3</f>
        <v>0</v>
      </c>
      <c r="H3329" s="1298">
        <f>VLOOKUP($B3329,dongia1,DG!$F$5,)</f>
        <v>5242230</v>
      </c>
      <c r="I3329" s="1298"/>
      <c r="J3329" s="1298">
        <f>VLOOKUP($B3329,dongia1,DG!$G$5,)</f>
        <v>0</v>
      </c>
      <c r="K3329" s="1298">
        <f>VLOOKUP($B3329,dongia1,DG!$H$5,)</f>
        <v>0</v>
      </c>
      <c r="L3329" s="1298">
        <f t="shared" si="846"/>
        <v>0</v>
      </c>
      <c r="M3329" s="1298">
        <f t="shared" si="847"/>
        <v>0</v>
      </c>
      <c r="N3329" s="1298">
        <f t="shared" si="848"/>
        <v>0</v>
      </c>
      <c r="O3329" s="1298">
        <f t="shared" si="849"/>
        <v>0</v>
      </c>
      <c r="P3329" s="1299"/>
      <c r="Q3329" s="1300"/>
      <c r="R3329" s="1300"/>
      <c r="S3329" s="1300"/>
    </row>
    <row r="3330" spans="1:19" s="1081" customFormat="1" hidden="1" outlineLevel="1">
      <c r="A3330" s="1072" t="str">
        <f t="shared" si="845"/>
        <v/>
      </c>
      <c r="B3330" s="1068" t="s">
        <v>1494</v>
      </c>
      <c r="C3330" s="1302"/>
      <c r="D3330" s="1198" t="str">
        <f>VLOOKUP($B3330,dongia1,DG!$B$5,)</f>
        <v>D4.3312</v>
      </c>
      <c r="E3330" s="1243" t="str">
        <f>VLOOKUP($B3330,dongia1,DG!$C$5,)</f>
        <v>Lắp đầu cáp trung thế 3x50mm2, 70mm2</v>
      </c>
      <c r="F3330" s="1198" t="str">
        <f>VLOOKUP($B3330,dongia1,DG!$D$5,)</f>
        <v>cái</v>
      </c>
      <c r="G3330" s="1304">
        <f>G3326+G3329</f>
        <v>0</v>
      </c>
      <c r="H3330" s="1298">
        <f>VLOOKUP($B3330,dongia1,DG!$F$5,)</f>
        <v>11340</v>
      </c>
      <c r="I3330" s="1298"/>
      <c r="J3330" s="1298">
        <f>VLOOKUP($B3330,dongia1,DG!$G$5,)</f>
        <v>621381.64999999991</v>
      </c>
      <c r="K3330" s="1298">
        <f>VLOOKUP($B3330,dongia1,DG!$H$5,)</f>
        <v>0</v>
      </c>
      <c r="L3330" s="1298">
        <f t="shared" si="846"/>
        <v>0</v>
      </c>
      <c r="M3330" s="1298">
        <f t="shared" si="847"/>
        <v>0</v>
      </c>
      <c r="N3330" s="1298">
        <f t="shared" si="848"/>
        <v>0</v>
      </c>
      <c r="O3330" s="1298">
        <f t="shared" si="849"/>
        <v>0</v>
      </c>
      <c r="P3330" s="1299"/>
      <c r="Q3330" s="1300"/>
      <c r="R3330" s="1300"/>
      <c r="S3330" s="1300"/>
    </row>
    <row r="3331" spans="1:19" s="1081" customFormat="1" hidden="1" outlineLevel="1">
      <c r="A3331" s="1072" t="str">
        <f t="shared" si="845"/>
        <v/>
      </c>
      <c r="B3331" s="1068" t="s">
        <v>1536</v>
      </c>
      <c r="C3331" s="1302"/>
      <c r="D3331" s="1198" t="str">
        <f>VLOOKUP($B3331,dongia1,DG!$B$5,)</f>
        <v>D4.24.05</v>
      </c>
      <c r="E3331" s="1243" t="str">
        <f>VLOOKUP($B3331,dongia1,DG!$C$5,)</f>
        <v>Lắp cáp trong ống bảo vệ loại &lt;=6kg</v>
      </c>
      <c r="F3331" s="1198" t="str">
        <f>VLOOKUP($B3331,dongia1,DG!$D$5,)</f>
        <v>mét</v>
      </c>
      <c r="G3331" s="1304">
        <f>G3324+G3327</f>
        <v>0</v>
      </c>
      <c r="H3331" s="1298">
        <f>VLOOKUP($B3331,dongia1,DG!$F$5,)</f>
        <v>546.91999999999996</v>
      </c>
      <c r="I3331" s="1298"/>
      <c r="J3331" s="1298">
        <f>VLOOKUP($B3331,dongia1,DG!$G$5,)</f>
        <v>21459.713</v>
      </c>
      <c r="K3331" s="1298">
        <f>VLOOKUP($B3331,dongia1,DG!$H$5,)</f>
        <v>0</v>
      </c>
      <c r="L3331" s="1298">
        <f t="shared" si="846"/>
        <v>0</v>
      </c>
      <c r="M3331" s="1298">
        <f t="shared" si="847"/>
        <v>0</v>
      </c>
      <c r="N3331" s="1298">
        <f t="shared" si="848"/>
        <v>0</v>
      </c>
      <c r="O3331" s="1298">
        <f t="shared" si="849"/>
        <v>0</v>
      </c>
      <c r="P3331" s="1299"/>
      <c r="Q3331" s="1300"/>
      <c r="R3331" s="1300"/>
      <c r="S3331" s="1300"/>
    </row>
    <row r="3332" spans="1:19" s="1081" customFormat="1" hidden="1" outlineLevel="1">
      <c r="A3332" s="1072" t="str">
        <f t="shared" si="845"/>
        <v/>
      </c>
      <c r="B3332" s="1068" t="s">
        <v>224</v>
      </c>
      <c r="C3332" s="1302"/>
      <c r="D3332" s="1198" t="str">
        <f>VLOOKUP($B3332,dongia1,DG!$B$5,)</f>
        <v>T4.4201</v>
      </c>
      <c r="E3332" s="1243" t="str">
        <f>VLOOKUP($B3332,dongia1,DG!$C$5,)</f>
        <v>Lắp cáp đồng xuống thiết bị D ≤ 95mm2</v>
      </c>
      <c r="F3332" s="1198" t="str">
        <f>VLOOKUP($B3332,dongia1,DG!$D$5,)</f>
        <v>m</v>
      </c>
      <c r="G3332" s="1304">
        <f>G3325</f>
        <v>0</v>
      </c>
      <c r="H3332" s="1298">
        <f>VLOOKUP($B3332,dongia1,DG!$F$5,)</f>
        <v>0</v>
      </c>
      <c r="I3332" s="1298"/>
      <c r="J3332" s="1298">
        <f>VLOOKUP($B3332,dongia1,DG!$G$5,)</f>
        <v>13915</v>
      </c>
      <c r="K3332" s="1298">
        <f>VLOOKUP($B3332,dongia1,DG!$H$5,)</f>
        <v>0</v>
      </c>
      <c r="L3332" s="1298">
        <f>H3332*G3332</f>
        <v>0</v>
      </c>
      <c r="M3332" s="1298">
        <f>I3332*G3332</f>
        <v>0</v>
      </c>
      <c r="N3332" s="1298">
        <f>J3332*G3332</f>
        <v>0</v>
      </c>
      <c r="O3332" s="1298">
        <f>K3332*G3332</f>
        <v>0</v>
      </c>
      <c r="P3332" s="1299"/>
      <c r="Q3332" s="1300"/>
      <c r="R3332" s="1300"/>
      <c r="S3332" s="1300"/>
    </row>
    <row r="3333" spans="1:19" s="1081" customFormat="1" hidden="1" outlineLevel="1">
      <c r="A3333" s="1072" t="str">
        <f t="shared" si="845"/>
        <v/>
      </c>
      <c r="B3333" s="1068" t="s">
        <v>627</v>
      </c>
      <c r="C3333" s="1302"/>
      <c r="D3333" s="1198">
        <f>VLOOKUP($B3333,dongia1,DG!$B$5,)</f>
        <v>0</v>
      </c>
      <c r="E3333" s="1243" t="str">
        <f>VLOOKUP($B3333,dongia1,DG!$C$5,)</f>
        <v>Dây rút cáp</v>
      </c>
      <c r="F3333" s="1198" t="str">
        <f>VLOOKUP($B3333,dongia1,DG!$D$5,)</f>
        <v>bọc</v>
      </c>
      <c r="G3333" s="1304">
        <f>G3322*2</f>
        <v>0</v>
      </c>
      <c r="H3333" s="1298">
        <f>VLOOKUP($B3333,dongia1,DG!$F$5,)</f>
        <v>15000</v>
      </c>
      <c r="I3333" s="1298"/>
      <c r="J3333" s="1298">
        <f>VLOOKUP($B3333,dongia1,DG!$G$5,)</f>
        <v>0</v>
      </c>
      <c r="K3333" s="1298">
        <f>VLOOKUP($B3333,dongia1,DG!$H$5,)</f>
        <v>0</v>
      </c>
      <c r="L3333" s="1298">
        <f>H3333*G3333</f>
        <v>0</v>
      </c>
      <c r="M3333" s="1298">
        <f>I3333*G3333</f>
        <v>0</v>
      </c>
      <c r="N3333" s="1298">
        <f>J3333*G3333</f>
        <v>0</v>
      </c>
      <c r="O3333" s="1298">
        <f>K3333*G3333</f>
        <v>0</v>
      </c>
      <c r="P3333" s="1299"/>
      <c r="Q3333" s="1300"/>
      <c r="R3333" s="1300"/>
      <c r="S3333" s="1300"/>
    </row>
    <row r="3334" spans="1:19" s="1081" customFormat="1" hidden="1" outlineLevel="1">
      <c r="A3334" s="1072" t="str">
        <f t="shared" si="845"/>
        <v/>
      </c>
      <c r="B3334" s="1295"/>
      <c r="C3334" s="1291">
        <f>IF(G3334&gt;0,C3322+1,C3322)</f>
        <v>0</v>
      </c>
      <c r="D3334" s="1292"/>
      <c r="E3334" s="1293" t="s">
        <v>3443</v>
      </c>
      <c r="F3334" s="1291" t="s">
        <v>2113</v>
      </c>
      <c r="G3334" s="1297">
        <f>G3236</f>
        <v>0</v>
      </c>
      <c r="H3334" s="1298"/>
      <c r="I3334" s="1298"/>
      <c r="J3334" s="1298"/>
      <c r="K3334" s="1298"/>
      <c r="L3334" s="1298"/>
      <c r="M3334" s="1298"/>
      <c r="N3334" s="1298"/>
      <c r="O3334" s="1298"/>
      <c r="P3334" s="1299"/>
      <c r="Q3334" s="1300"/>
      <c r="R3334" s="1300"/>
      <c r="S3334" s="1300"/>
    </row>
    <row r="3335" spans="1:19" s="1081" customFormat="1" ht="14.4" hidden="1" outlineLevel="1">
      <c r="A3335" s="1072" t="str">
        <f>A3334</f>
        <v/>
      </c>
      <c r="B3335" s="1295"/>
      <c r="C3335" s="1291"/>
      <c r="D3335" s="1292"/>
      <c r="E3335" s="1308" t="s">
        <v>3399</v>
      </c>
      <c r="F3335" s="1291"/>
      <c r="G3335" s="1297"/>
      <c r="H3335" s="1298"/>
      <c r="I3335" s="1298"/>
      <c r="J3335" s="1298"/>
      <c r="K3335" s="1298"/>
      <c r="L3335" s="1298"/>
      <c r="M3335" s="1298"/>
      <c r="N3335" s="1298"/>
      <c r="O3335" s="1298"/>
      <c r="P3335" s="1299"/>
      <c r="Q3335" s="1300"/>
      <c r="R3335" s="1300"/>
      <c r="S3335" s="1300"/>
    </row>
    <row r="3336" spans="1:19" s="1081" customFormat="1" hidden="1" outlineLevel="1">
      <c r="A3336" s="1072" t="str">
        <f t="shared" ref="A3336:A3342" si="850">IF(G3336&lt;&gt;0,1,"")</f>
        <v/>
      </c>
      <c r="B3336" s="1068" t="s">
        <v>648</v>
      </c>
      <c r="C3336" s="1302"/>
      <c r="D3336" s="1198">
        <f>VLOOKUP($B3336,dongia1,DG!$B$5,)</f>
        <v>0</v>
      </c>
      <c r="E3336" s="1243" t="str">
        <f>VLOOKUP($B3336,dongia1,DG!$C$5,)</f>
        <v>Cáp 24KV C/XLPE/PVC- 25mm2</v>
      </c>
      <c r="F3336" s="1198" t="str">
        <f>VLOOKUP($B3336,dongia1,DG!$D$5,)</f>
        <v>mét</v>
      </c>
      <c r="G3336" s="1303">
        <f>G3334*9*3</f>
        <v>0</v>
      </c>
      <c r="H3336" s="1298">
        <f>VLOOKUP($B3336,dongia1,DG!$F$5,)</f>
        <v>50996</v>
      </c>
      <c r="I3336" s="1298"/>
      <c r="J3336" s="1298">
        <f>VLOOKUP($B3336,dongia1,DG!$G$5,)</f>
        <v>0</v>
      </c>
      <c r="K3336" s="1298">
        <f>VLOOKUP($B3336,dongia1,DG!$H$5,)</f>
        <v>0</v>
      </c>
      <c r="L3336" s="1298">
        <f t="shared" ref="L3336:L3342" si="851">H3336*G3336</f>
        <v>0</v>
      </c>
      <c r="M3336" s="1298">
        <f>I3336*G3336</f>
        <v>0</v>
      </c>
      <c r="N3336" s="1298">
        <f t="shared" ref="N3336:N3342" si="852">J3336*G3336</f>
        <v>0</v>
      </c>
      <c r="O3336" s="1298">
        <f t="shared" ref="O3336:O3342" si="853">K3336*G3336</f>
        <v>0</v>
      </c>
      <c r="P3336" s="1299"/>
      <c r="Q3336" s="1300"/>
      <c r="R3336" s="1300"/>
      <c r="S3336" s="1300"/>
    </row>
    <row r="3337" spans="1:19" s="1081" customFormat="1" hidden="1" outlineLevel="1">
      <c r="A3337" s="1072" t="str">
        <f t="shared" si="850"/>
        <v/>
      </c>
      <c r="B3337" s="1421" t="s">
        <v>914</v>
      </c>
      <c r="C3337" s="1302"/>
      <c r="D3337" s="1198">
        <f>VLOOKUP($B3337,dongia1,DG!$B$5,)</f>
        <v>0</v>
      </c>
      <c r="E3337" s="1243" t="str">
        <f>VLOOKUP($B3337,dongia1,DG!$C$5,)</f>
        <v>Kẹp ép cỡ dây 25mm2</v>
      </c>
      <c r="F3337" s="1198" t="str">
        <f>VLOOKUP($B3337,dongia1,DG!$D$5,)</f>
        <v>cái</v>
      </c>
      <c r="G3337" s="1303">
        <f>G3334*3*2</f>
        <v>0</v>
      </c>
      <c r="H3337" s="1298">
        <f>VLOOKUP($B3337,dongia1,DG!$F$5,)</f>
        <v>6000</v>
      </c>
      <c r="I3337" s="1298"/>
      <c r="J3337" s="1298">
        <f>VLOOKUP($B3337,dongia1,DG!$G$5,)</f>
        <v>0</v>
      </c>
      <c r="K3337" s="1298">
        <f>VLOOKUP($B3337,dongia1,DG!$H$5,)</f>
        <v>0</v>
      </c>
      <c r="L3337" s="1298">
        <f t="shared" si="851"/>
        <v>0</v>
      </c>
      <c r="M3337" s="1298">
        <v>0</v>
      </c>
      <c r="N3337" s="1298">
        <f t="shared" si="852"/>
        <v>0</v>
      </c>
      <c r="O3337" s="1298">
        <f t="shared" si="853"/>
        <v>0</v>
      </c>
      <c r="P3337" s="1299"/>
      <c r="Q3337" s="1300"/>
      <c r="R3337" s="1300"/>
      <c r="S3337" s="1300"/>
    </row>
    <row r="3338" spans="1:19" s="1081" customFormat="1" hidden="1" outlineLevel="1">
      <c r="A3338" s="1072" t="str">
        <f>IF(G3338&lt;&gt;0,1,"")</f>
        <v/>
      </c>
      <c r="B3338" s="1421" t="s">
        <v>1310</v>
      </c>
      <c r="C3338" s="1302"/>
      <c r="D3338" s="1198">
        <f>VLOOKUP($B3338,dongia1,DG!$B$5,)</f>
        <v>0</v>
      </c>
      <c r="E3338" s="1243" t="str">
        <f>VLOOKUP($B3338,dongia1,DG!$C$5,)</f>
        <v>Bass LI bắt FCO</v>
      </c>
      <c r="F3338" s="1198" t="str">
        <f>VLOOKUP($B3338,dongia1,DG!$D$5,)</f>
        <v>Bộ</v>
      </c>
      <c r="G3338" s="1303">
        <f>+G3334*6</f>
        <v>0</v>
      </c>
      <c r="H3338" s="1298">
        <f>VLOOKUP($B3338,dongia1,DG!$F$5,)</f>
        <v>34000</v>
      </c>
      <c r="I3338" s="1298"/>
      <c r="J3338" s="1298">
        <f>VLOOKUP($B3338,dongia1,DG!$G$5,)</f>
        <v>0</v>
      </c>
      <c r="K3338" s="1298">
        <f>VLOOKUP($B3338,dongia1,DG!$H$5,)</f>
        <v>0</v>
      </c>
      <c r="L3338" s="1298">
        <f>H3338*G3338</f>
        <v>0</v>
      </c>
      <c r="M3338" s="1298">
        <v>0</v>
      </c>
      <c r="N3338" s="1298">
        <f>J3338*G3338</f>
        <v>0</v>
      </c>
      <c r="O3338" s="1298">
        <f>K3338*G3338</f>
        <v>0</v>
      </c>
      <c r="P3338" s="1299"/>
      <c r="Q3338" s="1300"/>
      <c r="R3338" s="1300"/>
      <c r="S3338" s="1300"/>
    </row>
    <row r="3339" spans="1:19" s="1081" customFormat="1" hidden="1" outlineLevel="1">
      <c r="A3339" s="1072" t="str">
        <f t="shared" si="850"/>
        <v/>
      </c>
      <c r="B3339" s="1421" t="s">
        <v>2028</v>
      </c>
      <c r="C3339" s="1302"/>
      <c r="D3339" s="1198">
        <f>VLOOKUP($B3339,dongia1,DG!$B$5,)</f>
        <v>0</v>
      </c>
      <c r="E3339" s="1243" t="str">
        <f>VLOOKUP($B3339,dongia1,DG!$C$5,)</f>
        <v>Kẹp quai 2/0</v>
      </c>
      <c r="F3339" s="1198" t="str">
        <f>VLOOKUP($B3339,dongia1,DG!$D$5,)</f>
        <v>cái</v>
      </c>
      <c r="G3339" s="1303">
        <f>G3334*3</f>
        <v>0</v>
      </c>
      <c r="H3339" s="1298">
        <f>VLOOKUP($B3339,dongia1,DG!$F$5,)</f>
        <v>46000</v>
      </c>
      <c r="I3339" s="1298"/>
      <c r="J3339" s="1298">
        <f>VLOOKUP($B3339,dongia1,DG!$G$5,)</f>
        <v>0</v>
      </c>
      <c r="K3339" s="1298">
        <f>VLOOKUP($B3339,dongia1,DG!$H$5,)</f>
        <v>0</v>
      </c>
      <c r="L3339" s="1298">
        <f t="shared" si="851"/>
        <v>0</v>
      </c>
      <c r="M3339" s="1298">
        <f>I3339*G3339</f>
        <v>0</v>
      </c>
      <c r="N3339" s="1298">
        <f t="shared" si="852"/>
        <v>0</v>
      </c>
      <c r="O3339" s="1298">
        <f t="shared" si="853"/>
        <v>0</v>
      </c>
      <c r="P3339" s="1299"/>
      <c r="Q3339" s="1300"/>
      <c r="R3339" s="1300"/>
      <c r="S3339" s="1300"/>
    </row>
    <row r="3340" spans="1:19" s="1081" customFormat="1" hidden="1" outlineLevel="1">
      <c r="A3340" s="1072" t="str">
        <f t="shared" si="850"/>
        <v/>
      </c>
      <c r="B3340" s="1421" t="s">
        <v>2026</v>
      </c>
      <c r="C3340" s="1302"/>
      <c r="D3340" s="1198">
        <f>VLOOKUP($B3340,dongia1,DG!$B$5,)</f>
        <v>0</v>
      </c>
      <c r="E3340" s="1243" t="str">
        <f>VLOOKUP($B3340,dongia1,DG!$C$5,)&amp;": "</f>
        <v xml:space="preserve">Kẹp hotline 2/0: </v>
      </c>
      <c r="F3340" s="1198" t="str">
        <f>VLOOKUP($B3340,dongia1,DG!$D$5,)</f>
        <v>cái</v>
      </c>
      <c r="G3340" s="1303">
        <f>G3339</f>
        <v>0</v>
      </c>
      <c r="H3340" s="1298">
        <f>VLOOKUP($B3340,dongia1,DG!$F$5,)</f>
        <v>77000</v>
      </c>
      <c r="I3340" s="1298"/>
      <c r="J3340" s="1298">
        <f>VLOOKUP($B3340,dongia1,DG!$G$5,)</f>
        <v>0</v>
      </c>
      <c r="K3340" s="1298">
        <f>VLOOKUP($B3340,dongia1,DG!$H$5,)</f>
        <v>0</v>
      </c>
      <c r="L3340" s="1298">
        <f t="shared" si="851"/>
        <v>0</v>
      </c>
      <c r="M3340" s="1298">
        <f>I3340*G3340</f>
        <v>0</v>
      </c>
      <c r="N3340" s="1298">
        <f t="shared" si="852"/>
        <v>0</v>
      </c>
      <c r="O3340" s="1298">
        <f t="shared" si="853"/>
        <v>0</v>
      </c>
      <c r="P3340" s="1299"/>
      <c r="Q3340" s="1300"/>
      <c r="R3340" s="1300"/>
      <c r="S3340" s="1300"/>
    </row>
    <row r="3341" spans="1:19" s="1081" customFormat="1" hidden="1" outlineLevel="1">
      <c r="A3341" s="1072" t="str">
        <f t="shared" si="850"/>
        <v/>
      </c>
      <c r="B3341" s="1068" t="s">
        <v>647</v>
      </c>
      <c r="C3341" s="1437"/>
      <c r="D3341" s="1198">
        <f>VLOOKUP($B3341,dongia1,DG!$B$5,)</f>
        <v>0</v>
      </c>
      <c r="E3341" s="1243" t="str">
        <f>VLOOKUP($B3341,dongia1,DG!$C$5,)</f>
        <v xml:space="preserve">Sứ đứng 24KV </v>
      </c>
      <c r="F3341" s="1198" t="str">
        <f>VLOOKUP($B3341,dongia1,DG!$D$5,)</f>
        <v>cái</v>
      </c>
      <c r="G3341" s="1303">
        <f>+G3334*3*3</f>
        <v>0</v>
      </c>
      <c r="H3341" s="1298">
        <f>VLOOKUP($B3341,dongia1,DG!$F$5,)</f>
        <v>205000</v>
      </c>
      <c r="I3341" s="1298"/>
      <c r="J3341" s="1298">
        <f>VLOOKUP($B3341,dongia1,DG!$G$5,)</f>
        <v>0</v>
      </c>
      <c r="K3341" s="1298">
        <f>VLOOKUP($B3341,dongia1,DG!$H$5,)</f>
        <v>0</v>
      </c>
      <c r="L3341" s="1298">
        <f t="shared" si="851"/>
        <v>0</v>
      </c>
      <c r="M3341" s="1298">
        <f>I3341*G3341</f>
        <v>0</v>
      </c>
      <c r="N3341" s="1298">
        <f t="shared" si="852"/>
        <v>0</v>
      </c>
      <c r="O3341" s="1298">
        <f t="shared" si="853"/>
        <v>0</v>
      </c>
      <c r="P3341" s="1299"/>
      <c r="Q3341" s="1300"/>
      <c r="R3341" s="1300"/>
      <c r="S3341" s="1300"/>
    </row>
    <row r="3342" spans="1:19" s="1081" customFormat="1" hidden="1" outlineLevel="1">
      <c r="A3342" s="1072" t="str">
        <f t="shared" si="850"/>
        <v/>
      </c>
      <c r="B3342" s="1068" t="s">
        <v>414</v>
      </c>
      <c r="C3342" s="1302"/>
      <c r="D3342" s="1198">
        <f>VLOOKUP($B3342,dongia1,DG!$B$5,)</f>
        <v>0</v>
      </c>
      <c r="E3342" s="1243" t="str">
        <f>VLOOKUP($B3342,dongia1,DG!$C$5,)</f>
        <v>Chân sứ đứng D20</v>
      </c>
      <c r="F3342" s="1198" t="str">
        <f>VLOOKUP($B3342,dongia1,DG!$D$5,)</f>
        <v>cái</v>
      </c>
      <c r="G3342" s="1303">
        <f>+G3341</f>
        <v>0</v>
      </c>
      <c r="H3342" s="1298">
        <f>VLOOKUP($B3342,dongia1,DG!$F$5,)</f>
        <v>65000</v>
      </c>
      <c r="I3342" s="1298"/>
      <c r="J3342" s="1298">
        <f>VLOOKUP($B3342,dongia1,DG!$G$5,)</f>
        <v>0</v>
      </c>
      <c r="K3342" s="1298">
        <f>VLOOKUP($B3342,dongia1,DG!$H$5,)</f>
        <v>0</v>
      </c>
      <c r="L3342" s="1298">
        <f t="shared" si="851"/>
        <v>0</v>
      </c>
      <c r="M3342" s="1298">
        <f>I3342*G3342</f>
        <v>0</v>
      </c>
      <c r="N3342" s="1298">
        <f t="shared" si="852"/>
        <v>0</v>
      </c>
      <c r="O3342" s="1298">
        <f t="shared" si="853"/>
        <v>0</v>
      </c>
      <c r="P3342" s="1299"/>
      <c r="Q3342" s="1300"/>
      <c r="R3342" s="1300"/>
      <c r="S3342" s="1300"/>
    </row>
    <row r="3343" spans="1:19" s="1081" customFormat="1" hidden="1" outlineLevel="1">
      <c r="A3343" s="1072" t="str">
        <f>IF(G3343&lt;&gt;0,1,"")</f>
        <v/>
      </c>
      <c r="B3343" s="1068" t="s">
        <v>1116</v>
      </c>
      <c r="C3343" s="1302"/>
      <c r="D3343" s="1198" t="str">
        <f>VLOOKUP($B3343,dongia1,DG!$B$5,)</f>
        <v>D3.1115</v>
      </c>
      <c r="E3343" s="1243" t="str">
        <f>VLOOKUP($B3343,dongia1,DG!$C$5,)</f>
        <v>Lắp sứ đứng 24KV</v>
      </c>
      <c r="F3343" s="1198" t="str">
        <f>VLOOKUP($B3343,dongia1,DG!$D$5,)</f>
        <v>bộ</v>
      </c>
      <c r="G3343" s="1303">
        <f>G3341</f>
        <v>0</v>
      </c>
      <c r="H3343" s="1298">
        <f>VLOOKUP($B3343,dongia1,DG!$F$5,)</f>
        <v>510</v>
      </c>
      <c r="I3343" s="1298"/>
      <c r="J3343" s="1298">
        <f>VLOOKUP($B3343,dongia1,DG!$G$5,)</f>
        <v>58277.49</v>
      </c>
      <c r="K3343" s="1298">
        <f>VLOOKUP($B3343,dongia1,DG!$H$5,)</f>
        <v>0</v>
      </c>
      <c r="L3343" s="1298">
        <f>H3343*G3343</f>
        <v>0</v>
      </c>
      <c r="M3343" s="1298">
        <f>I3343*G3343</f>
        <v>0</v>
      </c>
      <c r="N3343" s="1298">
        <f>J3343*G3343</f>
        <v>0</v>
      </c>
      <c r="O3343" s="1298">
        <f>K3343*G3343</f>
        <v>0</v>
      </c>
      <c r="P3343" s="1299"/>
      <c r="Q3343" s="1300"/>
      <c r="R3343" s="1300"/>
      <c r="S3343" s="1300"/>
    </row>
    <row r="3344" spans="1:19" s="1081" customFormat="1" hidden="1" outlineLevel="1">
      <c r="A3344" s="1072" t="str">
        <f>IF(G3344&lt;&gt;0,1,"")</f>
        <v/>
      </c>
      <c r="B3344" s="1068"/>
      <c r="C3344" s="1291">
        <f>IF(G3344&gt;0,C3334+1,C3334)</f>
        <v>0</v>
      </c>
      <c r="D3344" s="1292"/>
      <c r="E3344" s="1293" t="s">
        <v>3462</v>
      </c>
      <c r="F3344" s="1291" t="s">
        <v>2113</v>
      </c>
      <c r="G3344" s="1303">
        <f>G3322+G3334</f>
        <v>0</v>
      </c>
      <c r="H3344" s="1298"/>
      <c r="I3344" s="1298"/>
      <c r="J3344" s="1298"/>
      <c r="K3344" s="1298"/>
      <c r="L3344" s="1298"/>
      <c r="M3344" s="1298"/>
      <c r="N3344" s="1298"/>
      <c r="O3344" s="1298"/>
      <c r="P3344" s="1299"/>
      <c r="Q3344" s="1300"/>
      <c r="R3344" s="1300"/>
      <c r="S3344" s="1300"/>
    </row>
    <row r="3345" spans="1:19" s="1081" customFormat="1" ht="14.4" hidden="1" outlineLevel="1">
      <c r="A3345" s="1072" t="str">
        <f>A3344</f>
        <v/>
      </c>
      <c r="B3345" s="1068"/>
      <c r="C3345" s="1291"/>
      <c r="D3345" s="1292"/>
      <c r="E3345" s="1308" t="s">
        <v>3399</v>
      </c>
      <c r="F3345" s="1291"/>
      <c r="G3345" s="1303"/>
      <c r="H3345" s="1298"/>
      <c r="I3345" s="1298"/>
      <c r="J3345" s="1298"/>
      <c r="K3345" s="1298"/>
      <c r="L3345" s="1298"/>
      <c r="M3345" s="1298"/>
      <c r="N3345" s="1298"/>
      <c r="O3345" s="1298"/>
      <c r="P3345" s="1299"/>
      <c r="Q3345" s="1300"/>
      <c r="R3345" s="1300"/>
      <c r="S3345" s="1300"/>
    </row>
    <row r="3346" spans="1:19" s="1081" customFormat="1" hidden="1" outlineLevel="1">
      <c r="A3346" s="1072" t="str">
        <f t="shared" ref="A3346:A3354" si="854">IF(G3346&lt;&gt;0,1,"")</f>
        <v/>
      </c>
      <c r="B3346" s="1295" t="s">
        <v>874</v>
      </c>
      <c r="C3346" s="1302"/>
      <c r="D3346" s="1568"/>
      <c r="E3346" s="1243" t="str">
        <f>VLOOKUP($B3346,dongia1,DG!$C$5,)</f>
        <v>Cáp 0,6/1KV C/XLPE/PVC 250mm2</v>
      </c>
      <c r="F3346" s="1198" t="str">
        <f>VLOOKUP($B3346,dongia1,DG!$D$5,)</f>
        <v>mét</v>
      </c>
      <c r="G3346" s="1303">
        <f>G3344*(8*3*4+2*8)</f>
        <v>0</v>
      </c>
      <c r="H3346" s="1298">
        <f>VLOOKUP($B3346,dongia1,DG!$F$5,)</f>
        <v>479000</v>
      </c>
      <c r="I3346" s="1298"/>
      <c r="J3346" s="1298">
        <f>VLOOKUP($B3346,dongia1,DG!$G$5,)</f>
        <v>0</v>
      </c>
      <c r="K3346" s="1298">
        <f>VLOOKUP($B3346,dongia1,DG!$H$5,)</f>
        <v>0</v>
      </c>
      <c r="L3346" s="1298">
        <f t="shared" ref="L3346:L3354" si="855">H3346*G3346</f>
        <v>0</v>
      </c>
      <c r="M3346" s="1298">
        <f t="shared" ref="M3346:M3354" si="856">I3346*G3346</f>
        <v>0</v>
      </c>
      <c r="N3346" s="1298">
        <f t="shared" ref="N3346:N3354" si="857">J3346*G3346</f>
        <v>0</v>
      </c>
      <c r="O3346" s="1298">
        <f t="shared" ref="O3346:O3354" si="858">K3346*G3346</f>
        <v>0</v>
      </c>
      <c r="P3346" s="1299"/>
      <c r="Q3346" s="1300"/>
      <c r="R3346" s="1300">
        <f>48*(30+6)</f>
        <v>1728</v>
      </c>
      <c r="S3346" s="1300"/>
    </row>
    <row r="3347" spans="1:19" s="1081" customFormat="1" hidden="1" outlineLevel="1">
      <c r="A3347" s="1072" t="str">
        <f t="shared" si="854"/>
        <v/>
      </c>
      <c r="B3347" s="1295" t="s">
        <v>436</v>
      </c>
      <c r="C3347" s="1302"/>
      <c r="D3347" s="1198" t="str">
        <f>VLOOKUP($B3347,dongia1,DG!$B$5,)</f>
        <v>D4.5009</v>
      </c>
      <c r="E3347" s="1243" t="str">
        <f>VLOOKUP($B3347,dongia1,DG!$C$5,)</f>
        <v>Đầu cosse ép Cu 250mm2</v>
      </c>
      <c r="F3347" s="1198" t="str">
        <f>VLOOKUP($B3347,dongia1,DG!$D$5,)</f>
        <v>cái</v>
      </c>
      <c r="G3347" s="1303">
        <f>+G3344*28</f>
        <v>0</v>
      </c>
      <c r="H3347" s="1298">
        <f>VLOOKUP($B3347,dongia1,DG!$F$5,)</f>
        <v>70000</v>
      </c>
      <c r="I3347" s="1298"/>
      <c r="J3347" s="1298">
        <f>VLOOKUP($B3347,dongia1,DG!$G$5,)</f>
        <v>59410.148000000001</v>
      </c>
      <c r="K3347" s="1298">
        <f>VLOOKUP($B3347,dongia1,DG!$H$5,)</f>
        <v>5554.0464950000005</v>
      </c>
      <c r="L3347" s="1298">
        <f t="shared" si="855"/>
        <v>0</v>
      </c>
      <c r="M3347" s="1298">
        <f t="shared" si="856"/>
        <v>0</v>
      </c>
      <c r="N3347" s="1298">
        <f t="shared" si="857"/>
        <v>0</v>
      </c>
      <c r="O3347" s="1298">
        <f t="shared" si="858"/>
        <v>0</v>
      </c>
      <c r="P3347" s="1299"/>
      <c r="Q3347" s="1300"/>
      <c r="R3347" s="1300"/>
      <c r="S3347" s="1300"/>
    </row>
    <row r="3348" spans="1:19" s="1081" customFormat="1" hidden="1" outlineLevel="1">
      <c r="A3348" s="1072" t="str">
        <f t="shared" si="854"/>
        <v/>
      </c>
      <c r="B3348" s="1295" t="s">
        <v>40</v>
      </c>
      <c r="C3348" s="1302"/>
      <c r="D3348" s="1198">
        <f>VLOOKUP($B3348,dongia1,DG!$B$5,)</f>
        <v>0</v>
      </c>
      <c r="E3348" s="1243" t="str">
        <f>VLOOKUP($B3348,dongia1,DG!$C$5,)</f>
        <v>Chụp đầu cosse  250mm2</v>
      </c>
      <c r="F3348" s="1198" t="str">
        <f>VLOOKUP($B3348,dongia1,DG!$D$5,)</f>
        <v>cái</v>
      </c>
      <c r="G3348" s="1303">
        <f>G3347</f>
        <v>0</v>
      </c>
      <c r="H3348" s="1298">
        <f>VLOOKUP($B3348,dongia1,DG!$F$5,)</f>
        <v>6000</v>
      </c>
      <c r="I3348" s="1298"/>
      <c r="J3348" s="1298">
        <f>VLOOKUP($B3348,dongia1,DG!$G$5,)</f>
        <v>0</v>
      </c>
      <c r="K3348" s="1298">
        <f>VLOOKUP($B3348,dongia1,DG!$H$5,)</f>
        <v>0</v>
      </c>
      <c r="L3348" s="1298">
        <f t="shared" si="855"/>
        <v>0</v>
      </c>
      <c r="M3348" s="1298">
        <f t="shared" si="856"/>
        <v>0</v>
      </c>
      <c r="N3348" s="1298">
        <f t="shared" si="857"/>
        <v>0</v>
      </c>
      <c r="O3348" s="1298">
        <f t="shared" si="858"/>
        <v>0</v>
      </c>
      <c r="P3348" s="1299"/>
      <c r="Q3348" s="1300"/>
      <c r="R3348" s="1300"/>
      <c r="S3348" s="1300"/>
    </row>
    <row r="3349" spans="1:19" s="1081" customFormat="1" hidden="1" outlineLevel="1">
      <c r="A3349" s="1072" t="str">
        <f t="shared" si="854"/>
        <v/>
      </c>
      <c r="B3349" s="1295" t="s">
        <v>961</v>
      </c>
      <c r="C3349" s="1302"/>
      <c r="D3349" s="1198">
        <f>VLOOKUP($B3349,dongia1,DG!$B$5,)</f>
        <v>0</v>
      </c>
      <c r="E3349" s="1243" t="str">
        <f>VLOOKUP($B3349,dongia1,DG!$C$5,)</f>
        <v xml:space="preserve">Ống PVC D114x4,9mm </v>
      </c>
      <c r="F3349" s="1198" t="str">
        <f>VLOOKUP($B3349,dongia1,DG!$D$5,)</f>
        <v>m</v>
      </c>
      <c r="G3349" s="1303">
        <f>6*G3344*$L$2*0</f>
        <v>0</v>
      </c>
      <c r="H3349" s="1298">
        <f>VLOOKUP($B3349,dongia1,DG!$F$5,)</f>
        <v>103700</v>
      </c>
      <c r="I3349" s="1298"/>
      <c r="J3349" s="1298">
        <f>VLOOKUP($B3349,dongia1,DG!$G$5,)</f>
        <v>0</v>
      </c>
      <c r="K3349" s="1298">
        <f>VLOOKUP($B3349,dongia1,DG!$H$5,)</f>
        <v>0</v>
      </c>
      <c r="L3349" s="1298">
        <f t="shared" si="855"/>
        <v>0</v>
      </c>
      <c r="M3349" s="1298">
        <f t="shared" si="856"/>
        <v>0</v>
      </c>
      <c r="N3349" s="1298">
        <f t="shared" si="857"/>
        <v>0</v>
      </c>
      <c r="O3349" s="1298">
        <f t="shared" si="858"/>
        <v>0</v>
      </c>
      <c r="P3349" s="1299"/>
      <c r="Q3349" s="1300"/>
      <c r="R3349" s="1300"/>
      <c r="S3349" s="1300"/>
    </row>
    <row r="3350" spans="1:19" s="1081" customFormat="1" hidden="1" outlineLevel="1">
      <c r="A3350" s="1072" t="str">
        <f t="shared" si="854"/>
        <v/>
      </c>
      <c r="B3350" s="1068" t="s">
        <v>193</v>
      </c>
      <c r="C3350" s="1302"/>
      <c r="D3350" s="1198">
        <f>VLOOKUP($B3350,dongia1,DG!$B$5,)</f>
        <v>0</v>
      </c>
      <c r="E3350" s="1243" t="str">
        <f>VLOOKUP($B3350,dongia1,DG!$C$5,)</f>
        <v>Cổ dê kẹp ống PVC Þ 114</v>
      </c>
      <c r="F3350" s="1198" t="str">
        <f>VLOOKUP($B3350,dongia1,DG!$D$5,)</f>
        <v>bộ</v>
      </c>
      <c r="G3350" s="1303">
        <f>G3344*2*$L$2*0</f>
        <v>0</v>
      </c>
      <c r="H3350" s="1298">
        <f>VLOOKUP($B3350,dongia1,DG!$F$5,)</f>
        <v>50000</v>
      </c>
      <c r="I3350" s="1298"/>
      <c r="J3350" s="1298">
        <f>VLOOKUP($B3350,dongia1,DG!$G$5,)</f>
        <v>0</v>
      </c>
      <c r="K3350" s="1298">
        <f>VLOOKUP($B3350,dongia1,DG!$H$5,)</f>
        <v>0</v>
      </c>
      <c r="L3350" s="1298">
        <f t="shared" si="855"/>
        <v>0</v>
      </c>
      <c r="M3350" s="1298">
        <f t="shared" si="856"/>
        <v>0</v>
      </c>
      <c r="N3350" s="1298">
        <f t="shared" si="857"/>
        <v>0</v>
      </c>
      <c r="O3350" s="1298">
        <f t="shared" si="858"/>
        <v>0</v>
      </c>
      <c r="P3350" s="1299"/>
      <c r="Q3350" s="1474"/>
      <c r="R3350" s="1300"/>
      <c r="S3350" s="1300"/>
    </row>
    <row r="3351" spans="1:19" s="1081" customFormat="1" hidden="1" outlineLevel="1">
      <c r="A3351" s="1072" t="str">
        <f t="shared" si="854"/>
        <v/>
      </c>
      <c r="B3351" s="1295" t="s">
        <v>962</v>
      </c>
      <c r="C3351" s="1302"/>
      <c r="D3351" s="1198">
        <f>VLOOKUP($B3351,dongia1,DG!$B$5,)</f>
        <v>0</v>
      </c>
      <c r="E3351" s="1243" t="str">
        <f>VLOOKUP($B3351,dongia1,DG!$C$5,)</f>
        <v>Co  sừng 90 độ PVC 114</v>
      </c>
      <c r="F3351" s="1198" t="str">
        <f>VLOOKUP($B3351,dongia1,DG!$D$5,)</f>
        <v>cái</v>
      </c>
      <c r="G3351" s="1303">
        <f>G3344*2*$L$2*0</f>
        <v>0</v>
      </c>
      <c r="H3351" s="1298">
        <f>VLOOKUP($B3351,dongia1,DG!$F$5,)</f>
        <v>104800</v>
      </c>
      <c r="I3351" s="1298"/>
      <c r="J3351" s="1298">
        <f>VLOOKUP($B3351,dongia1,DG!$G$5,)</f>
        <v>0</v>
      </c>
      <c r="K3351" s="1298">
        <f>VLOOKUP($B3351,dongia1,DG!$H$5,)</f>
        <v>0</v>
      </c>
      <c r="L3351" s="1298">
        <f t="shared" si="855"/>
        <v>0</v>
      </c>
      <c r="M3351" s="1298">
        <f t="shared" si="856"/>
        <v>0</v>
      </c>
      <c r="N3351" s="1298">
        <f t="shared" si="857"/>
        <v>0</v>
      </c>
      <c r="O3351" s="1298">
        <f t="shared" si="858"/>
        <v>0</v>
      </c>
      <c r="P3351" s="1299"/>
      <c r="Q3351" s="1300"/>
      <c r="R3351" s="1300"/>
      <c r="S3351" s="1300"/>
    </row>
    <row r="3352" spans="1:19" s="1081" customFormat="1" hidden="1" outlineLevel="1">
      <c r="A3352" s="1072" t="str">
        <f t="shared" si="854"/>
        <v/>
      </c>
      <c r="B3352" s="1295" t="s">
        <v>693</v>
      </c>
      <c r="C3352" s="1302"/>
      <c r="D3352" s="1198">
        <f>VLOOKUP($B3352,dongia1,DG!$B$5,)</f>
        <v>0</v>
      </c>
      <c r="E3352" s="1243" t="str">
        <f>VLOOKUP($B3352,dongia1,DG!$C$5,)</f>
        <v>Khâu ven răng trong D114</v>
      </c>
      <c r="F3352" s="1198" t="str">
        <f>VLOOKUP($B3352,dongia1,DG!$D$5,)</f>
        <v>cái</v>
      </c>
      <c r="G3352" s="1303">
        <f>G3344*$L$2*0</f>
        <v>0</v>
      </c>
      <c r="H3352" s="1298">
        <f>VLOOKUP($B3352,dongia1,DG!$F$5,)</f>
        <v>41900</v>
      </c>
      <c r="I3352" s="1298"/>
      <c r="J3352" s="1298">
        <f>VLOOKUP($B3352,dongia1,DG!$G$5,)</f>
        <v>0</v>
      </c>
      <c r="K3352" s="1298">
        <f>VLOOKUP($B3352,dongia1,DG!$H$5,)</f>
        <v>0</v>
      </c>
      <c r="L3352" s="1298">
        <f t="shared" si="855"/>
        <v>0</v>
      </c>
      <c r="M3352" s="1298">
        <f t="shared" si="856"/>
        <v>0</v>
      </c>
      <c r="N3352" s="1298">
        <f t="shared" si="857"/>
        <v>0</v>
      </c>
      <c r="O3352" s="1298">
        <f t="shared" si="858"/>
        <v>0</v>
      </c>
      <c r="P3352" s="1299"/>
      <c r="Q3352" s="1300"/>
      <c r="R3352" s="1300"/>
      <c r="S3352" s="1300"/>
    </row>
    <row r="3353" spans="1:19" s="1081" customFormat="1" hidden="1" outlineLevel="1">
      <c r="A3353" s="1072" t="str">
        <f t="shared" si="854"/>
        <v/>
      </c>
      <c r="B3353" s="1295" t="s">
        <v>694</v>
      </c>
      <c r="C3353" s="1302"/>
      <c r="D3353" s="1198">
        <f>VLOOKUP($B3353,dongia1,DG!$B$5,)</f>
        <v>0</v>
      </c>
      <c r="E3353" s="1243" t="str">
        <f>VLOOKUP($B3353,dongia1,DG!$C$5,)</f>
        <v>Khâu ven răng ngoài D114</v>
      </c>
      <c r="F3353" s="1198" t="str">
        <f>VLOOKUP($B3353,dongia1,DG!$D$5,)</f>
        <v>cái</v>
      </c>
      <c r="G3353" s="1303">
        <f>G3352</f>
        <v>0</v>
      </c>
      <c r="H3353" s="1298">
        <f>VLOOKUP($B3353,dongia1,DG!$F$5,)</f>
        <v>41900</v>
      </c>
      <c r="I3353" s="1298"/>
      <c r="J3353" s="1298">
        <f>VLOOKUP($B3353,dongia1,DG!$G$5,)</f>
        <v>0</v>
      </c>
      <c r="K3353" s="1298">
        <f>VLOOKUP($B3353,dongia1,DG!$H$5,)</f>
        <v>0</v>
      </c>
      <c r="L3353" s="1298">
        <f t="shared" si="855"/>
        <v>0</v>
      </c>
      <c r="M3353" s="1298">
        <f t="shared" si="856"/>
        <v>0</v>
      </c>
      <c r="N3353" s="1298">
        <f t="shared" si="857"/>
        <v>0</v>
      </c>
      <c r="O3353" s="1298">
        <f t="shared" si="858"/>
        <v>0</v>
      </c>
      <c r="P3353" s="1299"/>
      <c r="Q3353" s="1300"/>
      <c r="R3353" s="1300"/>
      <c r="S3353" s="1300"/>
    </row>
    <row r="3354" spans="1:19" s="1081" customFormat="1" hidden="1" outlineLevel="1">
      <c r="A3354" s="1072" t="str">
        <f t="shared" si="854"/>
        <v/>
      </c>
      <c r="B3354" s="1295" t="s">
        <v>1973</v>
      </c>
      <c r="C3354" s="1302"/>
      <c r="D3354" s="1198">
        <f>VLOOKUP($B3354,dongia1,DG!$B$5,)</f>
        <v>0</v>
      </c>
      <c r="E3354" s="1243" t="str">
        <f>VLOOKUP($B3354,dongia1,DG!$C$5,)</f>
        <v>Keo dán ống PVC (500gr)</v>
      </c>
      <c r="F3354" s="1198" t="str">
        <f>VLOOKUP($B3354,dongia1,DG!$D$5,)</f>
        <v>lon</v>
      </c>
      <c r="G3354" s="1303">
        <f>G3344*2*$L$2*0</f>
        <v>0</v>
      </c>
      <c r="H3354" s="1298">
        <f>VLOOKUP($B3354,dongia1,DG!$F$5,)</f>
        <v>54100</v>
      </c>
      <c r="I3354" s="1298"/>
      <c r="J3354" s="1298">
        <f>VLOOKUP($B3354,dongia1,DG!$G$5,)</f>
        <v>0</v>
      </c>
      <c r="K3354" s="1298">
        <f>VLOOKUP($B3354,dongia1,DG!$H$5,)</f>
        <v>0</v>
      </c>
      <c r="L3354" s="1298">
        <f t="shared" si="855"/>
        <v>0</v>
      </c>
      <c r="M3354" s="1298">
        <f t="shared" si="856"/>
        <v>0</v>
      </c>
      <c r="N3354" s="1298">
        <f t="shared" si="857"/>
        <v>0</v>
      </c>
      <c r="O3354" s="1298">
        <f t="shared" si="858"/>
        <v>0</v>
      </c>
      <c r="P3354" s="1299"/>
      <c r="Q3354" s="1300"/>
      <c r="R3354" s="1300"/>
      <c r="S3354" s="1300"/>
    </row>
    <row r="3355" spans="1:19" s="1081" customFormat="1" hidden="1" outlineLevel="1">
      <c r="A3355" s="1072" t="str">
        <f>IF(G3355&lt;&gt;0,1,"")</f>
        <v/>
      </c>
      <c r="B3355" s="1068" t="s">
        <v>1690</v>
      </c>
      <c r="C3355" s="1302"/>
      <c r="D3355" s="1198"/>
      <c r="E3355" s="1243" t="str">
        <f>VLOOKUP($B3355,dongia1,DG!$C$5,)</f>
        <v>Keo silicon bít miệng ống</v>
      </c>
      <c r="F3355" s="1198" t="str">
        <f>VLOOKUP($B3355,dongia1,DG!$D$5,)</f>
        <v>chai</v>
      </c>
      <c r="G3355" s="1303"/>
      <c r="H3355" s="1298">
        <f>VLOOKUP($B3355,dongia1,DG!$F$5,)</f>
        <v>45000</v>
      </c>
      <c r="I3355" s="1298"/>
      <c r="J3355" s="1298"/>
      <c r="K3355" s="1298"/>
      <c r="L3355" s="1298">
        <f>H3355*G3355</f>
        <v>0</v>
      </c>
      <c r="M3355" s="1298">
        <f>I3355*G3355</f>
        <v>0</v>
      </c>
      <c r="N3355" s="1298">
        <f>J3355*G3355</f>
        <v>0</v>
      </c>
      <c r="O3355" s="1298">
        <f>K3355*G3355</f>
        <v>0</v>
      </c>
      <c r="P3355" s="1299"/>
      <c r="Q3355" s="1300"/>
      <c r="R3355" s="1300"/>
      <c r="S3355" s="1300"/>
    </row>
    <row r="3356" spans="1:19" s="1081" customFormat="1" hidden="1" outlineLevel="1">
      <c r="A3356" s="1072" t="str">
        <f>IF(G3356&lt;&gt;0,1,"")</f>
        <v/>
      </c>
      <c r="B3356" s="1295" t="s">
        <v>53</v>
      </c>
      <c r="C3356" s="1302"/>
      <c r="D3356" s="1198">
        <f>VLOOKUP($B3356,dongia1,DG!$B$5,)</f>
        <v>0</v>
      </c>
      <c r="E3356" s="1243" t="str">
        <f>VLOOKUP($B3356,dongia1,DG!$C$5,)</f>
        <v>Dây rút cáp</v>
      </c>
      <c r="F3356" s="1198" t="str">
        <f>VLOOKUP($B3356,dongia1,DG!$D$5,)</f>
        <v>bọc</v>
      </c>
      <c r="G3356" s="1303">
        <f>G3344</f>
        <v>0</v>
      </c>
      <c r="H3356" s="1298">
        <f>VLOOKUP($B3356,dongia1,DG!$F$5,)</f>
        <v>15000</v>
      </c>
      <c r="I3356" s="1298"/>
      <c r="J3356" s="1298">
        <f>VLOOKUP($B3356,dongia1,DG!$G$5,)</f>
        <v>0</v>
      </c>
      <c r="K3356" s="1298">
        <f>VLOOKUP($B3356,dongia1,DG!$H$5,)</f>
        <v>0</v>
      </c>
      <c r="L3356" s="1298">
        <f>H3356*G3356</f>
        <v>0</v>
      </c>
      <c r="M3356" s="1298">
        <f>I3356*G3356</f>
        <v>0</v>
      </c>
      <c r="N3356" s="1298">
        <f>J3356*G3356</f>
        <v>0</v>
      </c>
      <c r="O3356" s="1298">
        <f>K3356*G3356</f>
        <v>0</v>
      </c>
      <c r="P3356" s="1299"/>
      <c r="Q3356" s="1300"/>
      <c r="R3356" s="1300"/>
      <c r="S3356" s="1300"/>
    </row>
    <row r="3357" spans="1:19" s="1081" customFormat="1" hidden="1" outlineLevel="1">
      <c r="A3357" s="1072" t="str">
        <f>IF(G3357&lt;&gt;0,1,"")</f>
        <v/>
      </c>
      <c r="B3357" s="1068" t="s">
        <v>236</v>
      </c>
      <c r="C3357" s="1302"/>
      <c r="D3357" s="1198">
        <f>VLOOKUP($B3357,dongia1,DG!$B$5,)</f>
        <v>0</v>
      </c>
      <c r="E3357" s="1243" t="str">
        <f>VLOOKUP($B3357,dongia1,DG!$C$5,)</f>
        <v>Băng keo cách điện hạ thế</v>
      </c>
      <c r="F3357" s="1198" t="str">
        <f>VLOOKUP($B3357,dongia1,DG!$D$5,)</f>
        <v>cuộn</v>
      </c>
      <c r="G3357" s="1303">
        <f>G3344*5</f>
        <v>0</v>
      </c>
      <c r="H3357" s="1298">
        <f>VLOOKUP($B3357,dongia1,DG!$F$5,)</f>
        <v>6500</v>
      </c>
      <c r="I3357" s="1298"/>
      <c r="J3357" s="1298">
        <f>VLOOKUP($B3357,dongia1,DG!$G$5,)</f>
        <v>0</v>
      </c>
      <c r="K3357" s="1298">
        <f>VLOOKUP($B3357,dongia1,DG!$H$5,)</f>
        <v>0</v>
      </c>
      <c r="L3357" s="1298">
        <f>H3357*G3357</f>
        <v>0</v>
      </c>
      <c r="M3357" s="1298">
        <f>I3357*G3357</f>
        <v>0</v>
      </c>
      <c r="N3357" s="1298">
        <f>J3357*G3357</f>
        <v>0</v>
      </c>
      <c r="O3357" s="1298">
        <f>K3357*G3357</f>
        <v>0</v>
      </c>
      <c r="P3357" s="1299"/>
      <c r="Q3357" s="1300"/>
      <c r="R3357" s="1300"/>
      <c r="S3357" s="1300"/>
    </row>
    <row r="3358" spans="1:19" s="1081" customFormat="1" hidden="1" outlineLevel="1">
      <c r="A3358" s="1072" t="str">
        <f>IF(G3358&lt;&gt;0,1,"")</f>
        <v/>
      </c>
      <c r="B3358" s="1068" t="s">
        <v>379</v>
      </c>
      <c r="C3358" s="1569"/>
      <c r="D3358" s="1198" t="str">
        <f>VLOOKUP($B3358,dongia1,DG!$B$5,)</f>
        <v>T4.4203</v>
      </c>
      <c r="E3358" s="1243" t="str">
        <f>VLOOKUP($B3358,dongia1,DG!$C$5,)</f>
        <v>Lắp cáp đồng xuống thiết bị D ≤ 240mm2</v>
      </c>
      <c r="F3358" s="1198" t="str">
        <f>VLOOKUP($B3358,dongia1,DG!$D$5,)</f>
        <v>m</v>
      </c>
      <c r="G3358" s="1303">
        <f>G3346</f>
        <v>0</v>
      </c>
      <c r="H3358" s="1298">
        <f>VLOOKUP($B3358,dongia1,DG!$F$5,)</f>
        <v>0</v>
      </c>
      <c r="I3358" s="1298"/>
      <c r="J3358" s="1298">
        <f>VLOOKUP($B3358,dongia1,DG!$G$5,)</f>
        <v>47311</v>
      </c>
      <c r="K3358" s="1298">
        <f>VLOOKUP($B3358,dongia1,DG!$H$5,)</f>
        <v>0</v>
      </c>
      <c r="L3358" s="1298">
        <f>H3358*G3358</f>
        <v>0</v>
      </c>
      <c r="M3358" s="1298">
        <f>I3358*G3358</f>
        <v>0</v>
      </c>
      <c r="N3358" s="1298">
        <f>J3358*G3358</f>
        <v>0</v>
      </c>
      <c r="O3358" s="1298">
        <f>K3358*G3358</f>
        <v>0</v>
      </c>
      <c r="P3358" s="1299"/>
      <c r="Q3358" s="1300"/>
      <c r="R3358" s="1300"/>
      <c r="S3358" s="1300"/>
    </row>
    <row r="3359" spans="1:19" s="1081" customFormat="1" hidden="1" outlineLevel="1">
      <c r="A3359" s="1072" t="str">
        <f>IF(G3359&lt;&gt;0,1,"")</f>
        <v/>
      </c>
      <c r="B3359" s="1068"/>
      <c r="C3359" s="1291">
        <f>IF(G3359&gt;0,C3344+1,C3344)</f>
        <v>0</v>
      </c>
      <c r="D3359" s="1292"/>
      <c r="E3359" s="1293" t="s">
        <v>3463</v>
      </c>
      <c r="F3359" s="1291" t="s">
        <v>2113</v>
      </c>
      <c r="G3359" s="1303">
        <f>G3246</f>
        <v>0</v>
      </c>
      <c r="H3359" s="1298"/>
      <c r="I3359" s="1298"/>
      <c r="J3359" s="1298"/>
      <c r="K3359" s="1298"/>
      <c r="L3359" s="1298"/>
      <c r="M3359" s="1298"/>
      <c r="N3359" s="1298"/>
      <c r="O3359" s="1298"/>
      <c r="P3359" s="1299"/>
      <c r="Q3359" s="1300"/>
      <c r="R3359" s="1300"/>
      <c r="S3359" s="1300"/>
    </row>
    <row r="3360" spans="1:19" s="1284" customFormat="1" ht="14.4" hidden="1" outlineLevel="1">
      <c r="A3360" s="1072" t="str">
        <f>A3359</f>
        <v/>
      </c>
      <c r="B3360" s="1570"/>
      <c r="C3360" s="1291"/>
      <c r="D3360" s="1292"/>
      <c r="E3360" s="1308" t="s">
        <v>3399</v>
      </c>
      <c r="F3360" s="1291"/>
      <c r="G3360" s="1297"/>
      <c r="H3360" s="1298"/>
      <c r="I3360" s="1298"/>
      <c r="J3360" s="1298"/>
      <c r="K3360" s="1298"/>
      <c r="L3360" s="1298">
        <f>SUBTOTAL(9,L3361:L3381)*0</f>
        <v>0</v>
      </c>
      <c r="M3360" s="1298">
        <f>SUBTOTAL(9,M3361:M3381)</f>
        <v>0</v>
      </c>
      <c r="N3360" s="1298">
        <f>SUBTOTAL(9,N3361:N3381)*0</f>
        <v>0</v>
      </c>
      <c r="O3360" s="1298">
        <f>SUBTOTAL(9,O3361:O3381)*0</f>
        <v>0</v>
      </c>
      <c r="P3360" s="1299"/>
      <c r="Q3360" s="1487"/>
      <c r="R3360" s="1487"/>
      <c r="S3360" s="1487"/>
    </row>
    <row r="3361" spans="1:19" s="1081" customFormat="1" hidden="1" outlineLevel="1">
      <c r="A3361" s="1072">
        <f>IF(G3361=0,0,1)</f>
        <v>0</v>
      </c>
      <c r="B3361" s="1295" t="s">
        <v>865</v>
      </c>
      <c r="C3361" s="1437"/>
      <c r="D3361" s="1198" t="str">
        <f>VLOOKUP($B3361,dongia1,DG!$B$5,)</f>
        <v>03.1401</v>
      </c>
      <c r="E3361" s="1399" t="str">
        <f>VLOOKUP($B3361,dongia1,DG!$C$5,)</f>
        <v xml:space="preserve">Cáp CVV 4x2,5mm2  </v>
      </c>
      <c r="F3361" s="1555" t="str">
        <f>VLOOKUP($B3361,dongia1,DG!$D$5,)</f>
        <v>mét</v>
      </c>
      <c r="G3361" s="1303">
        <f>G3359*26</f>
        <v>0</v>
      </c>
      <c r="H3361" s="1298">
        <f>VLOOKUP($B3361,dongia1,DG!$F$5,)</f>
        <v>28200</v>
      </c>
      <c r="I3361" s="1298"/>
      <c r="J3361" s="1298">
        <f>VLOOKUP($B3361,dongia1,DG!$G$5,)</f>
        <v>0</v>
      </c>
      <c r="K3361" s="1298">
        <f>VLOOKUP($B3361,dongia1,DG!$H$5,)</f>
        <v>0</v>
      </c>
      <c r="L3361" s="1298">
        <f t="shared" ref="L3361:L3381" si="859">H3361*$G3361</f>
        <v>0</v>
      </c>
      <c r="M3361" s="1298">
        <f t="shared" ref="M3361:M3381" si="860">I3361*$G3361</f>
        <v>0</v>
      </c>
      <c r="N3361" s="1298">
        <f t="shared" ref="N3361:N3381" si="861">J3361*$G3361</f>
        <v>0</v>
      </c>
      <c r="O3361" s="1298">
        <f t="shared" ref="O3361:O3381" si="862">K3361*$G3361</f>
        <v>0</v>
      </c>
      <c r="P3361" s="1299"/>
      <c r="Q3361" s="1300"/>
      <c r="R3361" s="1300"/>
      <c r="S3361" s="1300"/>
    </row>
    <row r="3362" spans="1:19" s="1081" customFormat="1" hidden="1" outlineLevel="1">
      <c r="A3362" s="1072">
        <f>IF(G3362=0,0,1)</f>
        <v>0</v>
      </c>
      <c r="B3362" s="1068" t="s">
        <v>507</v>
      </c>
      <c r="C3362" s="1302"/>
      <c r="D3362" s="1198">
        <v>0</v>
      </c>
      <c r="E3362" s="1399" t="str">
        <f>VLOOKUP($B3362,dongia1,DG!$C$5,)</f>
        <v>Boulon 10x150+ 2 long đền vuông D14-50x50x3/Zn</v>
      </c>
      <c r="F3362" s="1555" t="str">
        <f>VLOOKUP($B3362,dongia1,DG!$D$5,)</f>
        <v>bộ</v>
      </c>
      <c r="G3362" s="1303">
        <f>G3359*24</f>
        <v>0</v>
      </c>
      <c r="H3362" s="1298">
        <f>VLOOKUP($B3362,dongia1,DG!$F$5,)</f>
        <v>7900</v>
      </c>
      <c r="I3362" s="1298"/>
      <c r="J3362" s="1298">
        <f>VLOOKUP($B3362,dongia1,DG!$G$5,)</f>
        <v>0</v>
      </c>
      <c r="K3362" s="1298">
        <f>VLOOKUP($B3362,dongia1,DG!$H$5,)</f>
        <v>0</v>
      </c>
      <c r="L3362" s="1298">
        <f t="shared" si="859"/>
        <v>0</v>
      </c>
      <c r="M3362" s="1298">
        <f t="shared" si="860"/>
        <v>0</v>
      </c>
      <c r="N3362" s="1298">
        <f t="shared" si="861"/>
        <v>0</v>
      </c>
      <c r="O3362" s="1298">
        <f t="shared" si="862"/>
        <v>0</v>
      </c>
      <c r="P3362" s="1299"/>
      <c r="Q3362" s="1300"/>
      <c r="R3362" s="1300"/>
      <c r="S3362" s="1300"/>
    </row>
    <row r="3363" spans="1:19" s="1081" customFormat="1" hidden="1" outlineLevel="1">
      <c r="A3363" s="1072">
        <f>IF(G3363=0,0,1)</f>
        <v>0</v>
      </c>
      <c r="B3363" s="1068" t="s">
        <v>509</v>
      </c>
      <c r="C3363" s="1302"/>
      <c r="D3363" s="1198">
        <v>0</v>
      </c>
      <c r="E3363" s="1399" t="str">
        <f>VLOOKUP($B3363,dongia1,DG!$C$5,)</f>
        <v>Boulon 10x50+ 2 long đền vuông D12-50x50x3/Zn</v>
      </c>
      <c r="F3363" s="1555" t="str">
        <f>VLOOKUP($B3363,dongia1,DG!$D$5,)</f>
        <v>bộ</v>
      </c>
      <c r="G3363" s="1303">
        <f>G3362</f>
        <v>0</v>
      </c>
      <c r="H3363" s="1298">
        <f>VLOOKUP($B3363,dongia1,DG!$F$5,)</f>
        <v>1500</v>
      </c>
      <c r="I3363" s="1298"/>
      <c r="J3363" s="1298">
        <f>VLOOKUP($B3363,dongia1,DG!$G$5,)</f>
        <v>0</v>
      </c>
      <c r="K3363" s="1298">
        <f>VLOOKUP($B3363,dongia1,DG!$H$5,)</f>
        <v>0</v>
      </c>
      <c r="L3363" s="1298">
        <f t="shared" si="859"/>
        <v>0</v>
      </c>
      <c r="M3363" s="1298">
        <f t="shared" si="860"/>
        <v>0</v>
      </c>
      <c r="N3363" s="1298">
        <f t="shared" si="861"/>
        <v>0</v>
      </c>
      <c r="O3363" s="1298">
        <f t="shared" si="862"/>
        <v>0</v>
      </c>
      <c r="P3363" s="1299"/>
      <c r="Q3363" s="1300"/>
      <c r="R3363" s="1300"/>
      <c r="S3363" s="1300"/>
    </row>
    <row r="3364" spans="1:19" s="1081" customFormat="1" hidden="1" outlineLevel="1">
      <c r="A3364" s="1072">
        <f t="shared" ref="A3364:A3381" si="863">IF(G3364=0,0,1)</f>
        <v>0</v>
      </c>
      <c r="B3364" s="1295" t="s">
        <v>748</v>
      </c>
      <c r="C3364" s="1437"/>
      <c r="D3364" s="1198">
        <f>VLOOKUP($B3364,dongia1,DG!$B$5,)</f>
        <v>0</v>
      </c>
      <c r="E3364" s="1399" t="str">
        <f>VLOOKUP($B3364,dongia1,DG!$C$5,)</f>
        <v>Xà kẹp TU, TI U40x22x3x425</v>
      </c>
      <c r="F3364" s="1555" t="str">
        <f>VLOOKUP($B3364,dongia1,DG!$D$5,)</f>
        <v>cái</v>
      </c>
      <c r="G3364" s="1303">
        <f>G3359*24</f>
        <v>0</v>
      </c>
      <c r="H3364" s="1298">
        <f>VLOOKUP($B3364,dongia1,DG!$F$5,)</f>
        <v>40500</v>
      </c>
      <c r="I3364" s="1298"/>
      <c r="J3364" s="1298">
        <f>VLOOKUP($B3364,dongia1,DG!$G$5,)</f>
        <v>39758</v>
      </c>
      <c r="K3364" s="1298">
        <f>VLOOKUP($B3364,dongia1,DG!$H$5,)</f>
        <v>0</v>
      </c>
      <c r="L3364" s="1298">
        <f t="shared" si="859"/>
        <v>0</v>
      </c>
      <c r="M3364" s="1298">
        <f t="shared" si="860"/>
        <v>0</v>
      </c>
      <c r="N3364" s="1298">
        <f t="shared" si="861"/>
        <v>0</v>
      </c>
      <c r="O3364" s="1298">
        <f t="shared" si="862"/>
        <v>0</v>
      </c>
      <c r="P3364" s="1299"/>
      <c r="Q3364" s="1300"/>
      <c r="R3364" s="1300"/>
      <c r="S3364" s="1300"/>
    </row>
    <row r="3365" spans="1:19" s="1081" customFormat="1" hidden="1" outlineLevel="1">
      <c r="A3365" s="1072">
        <f t="shared" si="863"/>
        <v>0</v>
      </c>
      <c r="B3365" s="1295" t="s">
        <v>829</v>
      </c>
      <c r="C3365" s="1302"/>
      <c r="D3365" s="1198">
        <f>VLOOKUP($B3365,dongia1,DG!$B$5,)</f>
        <v>0</v>
      </c>
      <c r="E3365" s="1399" t="str">
        <f>VLOOKUP($B3365,dongia1,DG!$C$5,)</f>
        <v xml:space="preserve">Đầu cosse ép Cu 2,5mm2 + bao PVC </v>
      </c>
      <c r="F3365" s="1555" t="str">
        <f>VLOOKUP($B3365,dongia1,DG!$D$5,)</f>
        <v>cái</v>
      </c>
      <c r="G3365" s="1303">
        <f>G3359*16</f>
        <v>0</v>
      </c>
      <c r="H3365" s="1298">
        <f>VLOOKUP($B3365,dongia1,DG!$F$5,)</f>
        <v>1700</v>
      </c>
      <c r="I3365" s="1298"/>
      <c r="J3365" s="1298">
        <f>VLOOKUP($B3365,dongia1,DG!$G$5,)</f>
        <v>0</v>
      </c>
      <c r="K3365" s="1298">
        <f>VLOOKUP($B3365,dongia1,DG!$H$5,)</f>
        <v>0</v>
      </c>
      <c r="L3365" s="1298">
        <f t="shared" si="859"/>
        <v>0</v>
      </c>
      <c r="M3365" s="1298">
        <f t="shared" si="860"/>
        <v>0</v>
      </c>
      <c r="N3365" s="1298">
        <f t="shared" si="861"/>
        <v>0</v>
      </c>
      <c r="O3365" s="1298">
        <f t="shared" si="862"/>
        <v>0</v>
      </c>
      <c r="P3365" s="1299"/>
      <c r="Q3365" s="1300"/>
      <c r="R3365" s="1300"/>
      <c r="S3365" s="1300"/>
    </row>
    <row r="3366" spans="1:19" s="1081" customFormat="1" hidden="1" outlineLevel="1">
      <c r="A3366" s="1072">
        <f t="shared" si="863"/>
        <v>0</v>
      </c>
      <c r="B3366" s="1295" t="s">
        <v>57</v>
      </c>
      <c r="C3366" s="1302"/>
      <c r="D3366" s="1198">
        <f>VLOOKUP($B3366,dongia1,DG!$B$5,)</f>
        <v>0</v>
      </c>
      <c r="E3366" s="1399" t="str">
        <f>VLOOKUP($B3366,dongia1,DG!$C$5,)</f>
        <v>Dây điện đôi 16/10</v>
      </c>
      <c r="F3366" s="1555" t="str">
        <f>VLOOKUP($B3366,dongia1,DG!$D$5,)</f>
        <v>mét</v>
      </c>
      <c r="G3366" s="1303">
        <f>6*G3359</f>
        <v>0</v>
      </c>
      <c r="H3366" s="1298">
        <f>VLOOKUP($B3366,dongia1,DG!$F$5,)</f>
        <v>860</v>
      </c>
      <c r="I3366" s="1298"/>
      <c r="J3366" s="1298">
        <f>VLOOKUP($B3366,dongia1,DG!$G$5,)</f>
        <v>0</v>
      </c>
      <c r="K3366" s="1298">
        <f>VLOOKUP($B3366,dongia1,DG!$H$5,)</f>
        <v>0</v>
      </c>
      <c r="L3366" s="1298">
        <f t="shared" si="859"/>
        <v>0</v>
      </c>
      <c r="M3366" s="1298">
        <f t="shared" si="860"/>
        <v>0</v>
      </c>
      <c r="N3366" s="1298">
        <f t="shared" si="861"/>
        <v>0</v>
      </c>
      <c r="O3366" s="1298">
        <f t="shared" si="862"/>
        <v>0</v>
      </c>
      <c r="P3366" s="1299"/>
      <c r="Q3366" s="1300"/>
      <c r="R3366" s="1300"/>
      <c r="S3366" s="1300"/>
    </row>
    <row r="3367" spans="1:19" s="1081" customFormat="1" hidden="1" outlineLevel="1">
      <c r="A3367" s="1072">
        <f t="shared" si="863"/>
        <v>0</v>
      </c>
      <c r="B3367" s="1295" t="s">
        <v>903</v>
      </c>
      <c r="C3367" s="1302"/>
      <c r="D3367" s="1198">
        <f>VLOOKUP($B3367,dongia1,DG!$B$5,)</f>
        <v>0</v>
      </c>
      <c r="E3367" s="1399" t="str">
        <f>VLOOKUP($B3367,dongia1,DG!$C$5,)</f>
        <v>Ốc xiết cáp cỡ 25mm2</v>
      </c>
      <c r="F3367" s="1555" t="str">
        <f>VLOOKUP($B3367,dongia1,DG!$D$5,)</f>
        <v>cái</v>
      </c>
      <c r="G3367" s="1303">
        <f>+G3359*3</f>
        <v>0</v>
      </c>
      <c r="H3367" s="1298">
        <f>VLOOKUP($B3367,dongia1,DG!$F$5,)</f>
        <v>17600</v>
      </c>
      <c r="I3367" s="1298"/>
      <c r="J3367" s="1298">
        <f>VLOOKUP($B3367,dongia1,DG!$G$5,)</f>
        <v>0</v>
      </c>
      <c r="K3367" s="1298">
        <f>VLOOKUP($B3367,dongia1,DG!$H$5,)</f>
        <v>0</v>
      </c>
      <c r="L3367" s="1298">
        <f t="shared" si="859"/>
        <v>0</v>
      </c>
      <c r="M3367" s="1298">
        <f t="shared" si="860"/>
        <v>0</v>
      </c>
      <c r="N3367" s="1298">
        <f t="shared" si="861"/>
        <v>0</v>
      </c>
      <c r="O3367" s="1298">
        <f t="shared" si="862"/>
        <v>0</v>
      </c>
      <c r="P3367" s="1299"/>
      <c r="Q3367" s="1300"/>
      <c r="R3367" s="1300"/>
      <c r="S3367" s="1300"/>
    </row>
    <row r="3368" spans="1:19" s="1081" customFormat="1" hidden="1" outlineLevel="1">
      <c r="A3368" s="1072">
        <f t="shared" si="863"/>
        <v>0</v>
      </c>
      <c r="B3368" s="1295" t="s">
        <v>1736</v>
      </c>
      <c r="C3368" s="1302"/>
      <c r="D3368" s="1198">
        <f>VLOOKUP($B3368,dongia1,DG!$B$5,)</f>
        <v>0</v>
      </c>
      <c r="E3368" s="1399" t="str">
        <f>VLOOKUP($B3368,dongia1,DG!$C$5,)</f>
        <v>Ống PVC D42x2,1mm</v>
      </c>
      <c r="F3368" s="1555" t="str">
        <f>VLOOKUP($B3368,dongia1,DG!$D$5,)</f>
        <v>m</v>
      </c>
      <c r="G3368" s="1303">
        <f>G3377*10</f>
        <v>0</v>
      </c>
      <c r="H3368" s="1298">
        <f>VLOOKUP($B3368,dongia1,DG!$F$5,)</f>
        <v>16100</v>
      </c>
      <c r="I3368" s="1298"/>
      <c r="J3368" s="1298">
        <f>VLOOKUP($B3368,dongia1,DG!$G$5,)</f>
        <v>0</v>
      </c>
      <c r="K3368" s="1298">
        <f>VLOOKUP($B3368,dongia1,DG!$H$5,)</f>
        <v>0</v>
      </c>
      <c r="L3368" s="1298">
        <f t="shared" si="859"/>
        <v>0</v>
      </c>
      <c r="M3368" s="1298">
        <f t="shared" si="860"/>
        <v>0</v>
      </c>
      <c r="N3368" s="1298">
        <f t="shared" si="861"/>
        <v>0</v>
      </c>
      <c r="O3368" s="1298">
        <f t="shared" si="862"/>
        <v>0</v>
      </c>
      <c r="P3368" s="1299"/>
      <c r="Q3368" s="1300"/>
      <c r="R3368" s="1300"/>
      <c r="S3368" s="1300"/>
    </row>
    <row r="3369" spans="1:19" s="1081" customFormat="1" hidden="1" outlineLevel="1">
      <c r="A3369" s="1072">
        <f t="shared" si="863"/>
        <v>0</v>
      </c>
      <c r="B3369" s="1068" t="s">
        <v>1525</v>
      </c>
      <c r="C3369" s="1302"/>
      <c r="D3369" s="1198">
        <f>VLOOKUP($B3369,dongia1,DG!$B$5,)</f>
        <v>0</v>
      </c>
      <c r="E3369" s="1399" t="str">
        <f>VLOOKUP($B3369,dongia1,DG!$C$5,)</f>
        <v>Cổ dê giữ ống PVC D42</v>
      </c>
      <c r="F3369" s="1555" t="str">
        <f>VLOOKUP($B3369,dongia1,DG!$D$5,)</f>
        <v>bộ</v>
      </c>
      <c r="G3369" s="1303">
        <f>G3359*4</f>
        <v>0</v>
      </c>
      <c r="H3369" s="1298">
        <f>VLOOKUP($B3369,dongia1,DG!$F$5,)</f>
        <v>34000</v>
      </c>
      <c r="I3369" s="1298"/>
      <c r="J3369" s="1298">
        <f>VLOOKUP($B3369,dongia1,DG!$G$5,)</f>
        <v>0</v>
      </c>
      <c r="K3369" s="1298">
        <f>VLOOKUP($B3369,dongia1,DG!$H$5,)</f>
        <v>0</v>
      </c>
      <c r="L3369" s="1298">
        <f t="shared" si="859"/>
        <v>0</v>
      </c>
      <c r="M3369" s="1298">
        <f t="shared" si="860"/>
        <v>0</v>
      </c>
      <c r="N3369" s="1298">
        <f t="shared" si="861"/>
        <v>0</v>
      </c>
      <c r="O3369" s="1298">
        <f t="shared" si="862"/>
        <v>0</v>
      </c>
      <c r="P3369" s="1299"/>
      <c r="Q3369" s="1300"/>
      <c r="R3369" s="1300"/>
      <c r="S3369" s="1300"/>
    </row>
    <row r="3370" spans="1:19" s="1081" customFormat="1" hidden="1" outlineLevel="1">
      <c r="A3370" s="1072">
        <f t="shared" si="863"/>
        <v>0</v>
      </c>
      <c r="B3370" s="1295" t="s">
        <v>1576</v>
      </c>
      <c r="C3370" s="1302"/>
      <c r="D3370" s="1198">
        <f>VLOOKUP($B3370,dongia1,DG!$B$5,)</f>
        <v>0</v>
      </c>
      <c r="E3370" s="1399" t="str">
        <f>VLOOKUP($B3370,dongia1,DG!$C$5,)</f>
        <v>Co 90 độ PVC 42</v>
      </c>
      <c r="F3370" s="1555" t="str">
        <f>VLOOKUP($B3370,dongia1,DG!$D$5,)</f>
        <v>cái</v>
      </c>
      <c r="G3370" s="1303">
        <f>G3359*6</f>
        <v>0</v>
      </c>
      <c r="H3370" s="1298">
        <f>VLOOKUP($B3370,dongia1,DG!$F$5,)</f>
        <v>11400</v>
      </c>
      <c r="I3370" s="1298"/>
      <c r="J3370" s="1298">
        <f>VLOOKUP($B3370,dongia1,DG!$G$5,)</f>
        <v>0</v>
      </c>
      <c r="K3370" s="1298">
        <f>VLOOKUP($B3370,dongia1,DG!$H$5,)</f>
        <v>0</v>
      </c>
      <c r="L3370" s="1298">
        <f t="shared" si="859"/>
        <v>0</v>
      </c>
      <c r="M3370" s="1298">
        <f t="shared" si="860"/>
        <v>0</v>
      </c>
      <c r="N3370" s="1298">
        <f t="shared" si="861"/>
        <v>0</v>
      </c>
      <c r="O3370" s="1298">
        <f t="shared" si="862"/>
        <v>0</v>
      </c>
      <c r="P3370" s="1299"/>
      <c r="Q3370" s="1300"/>
      <c r="R3370" s="1300"/>
      <c r="S3370" s="1300"/>
    </row>
    <row r="3371" spans="1:19" s="1081" customFormat="1" hidden="1" outlineLevel="1">
      <c r="A3371" s="1072">
        <f t="shared" si="863"/>
        <v>0</v>
      </c>
      <c r="B3371" s="1295" t="s">
        <v>969</v>
      </c>
      <c r="C3371" s="1302"/>
      <c r="D3371" s="1198">
        <f>VLOOKUP($B3371,dongia1,DG!$B$5,)</f>
        <v>0</v>
      </c>
      <c r="E3371" s="1399" t="str">
        <f>VLOOKUP($B3371,dongia1,DG!$C$5,)</f>
        <v>Co chữ T ống PVC 42</v>
      </c>
      <c r="F3371" s="1555" t="str">
        <f>VLOOKUP($B3371,dongia1,DG!$D$5,)</f>
        <v>cái</v>
      </c>
      <c r="G3371" s="1303">
        <f>G3359*5</f>
        <v>0</v>
      </c>
      <c r="H3371" s="1298">
        <f>VLOOKUP($B3371,dongia1,DG!$F$5,)</f>
        <v>21000</v>
      </c>
      <c r="I3371" s="1298"/>
      <c r="J3371" s="1298">
        <f>VLOOKUP($B3371,dongia1,DG!$G$5,)</f>
        <v>0</v>
      </c>
      <c r="K3371" s="1298">
        <f>VLOOKUP($B3371,dongia1,DG!$H$5,)</f>
        <v>0</v>
      </c>
      <c r="L3371" s="1298">
        <f t="shared" si="859"/>
        <v>0</v>
      </c>
      <c r="M3371" s="1298">
        <f t="shared" si="860"/>
        <v>0</v>
      </c>
      <c r="N3371" s="1298">
        <f t="shared" si="861"/>
        <v>0</v>
      </c>
      <c r="O3371" s="1298">
        <f t="shared" si="862"/>
        <v>0</v>
      </c>
      <c r="P3371" s="1299"/>
      <c r="Q3371" s="1300"/>
      <c r="R3371" s="1300"/>
      <c r="S3371" s="1300"/>
    </row>
    <row r="3372" spans="1:19" s="1081" customFormat="1" hidden="1" outlineLevel="1">
      <c r="A3372" s="1072">
        <f t="shared" si="863"/>
        <v>0</v>
      </c>
      <c r="B3372" s="1295" t="s">
        <v>1973</v>
      </c>
      <c r="C3372" s="1302"/>
      <c r="D3372" s="1198">
        <f>VLOOKUP($B3372,dongia1,DG!$B$5,)</f>
        <v>0</v>
      </c>
      <c r="E3372" s="1399" t="str">
        <f>VLOOKUP($B3372,dongia1,DG!$C$5,)</f>
        <v>Keo dán ống PVC (500gr)</v>
      </c>
      <c r="F3372" s="1555" t="str">
        <f>VLOOKUP($B3372,dongia1,DG!$D$5,)</f>
        <v>lon</v>
      </c>
      <c r="G3372" s="1303">
        <f>G3359</f>
        <v>0</v>
      </c>
      <c r="H3372" s="1298">
        <f>VLOOKUP($B3372,dongia1,DG!$F$5,)</f>
        <v>54100</v>
      </c>
      <c r="I3372" s="1298"/>
      <c r="J3372" s="1298">
        <f>VLOOKUP($B3372,dongia1,DG!$G$5,)</f>
        <v>0</v>
      </c>
      <c r="K3372" s="1298">
        <f>VLOOKUP($B3372,dongia1,DG!$H$5,)</f>
        <v>0</v>
      </c>
      <c r="L3372" s="1298">
        <f t="shared" si="859"/>
        <v>0</v>
      </c>
      <c r="M3372" s="1298">
        <f t="shared" si="860"/>
        <v>0</v>
      </c>
      <c r="N3372" s="1298">
        <f t="shared" si="861"/>
        <v>0</v>
      </c>
      <c r="O3372" s="1298">
        <f t="shared" si="862"/>
        <v>0</v>
      </c>
      <c r="P3372" s="1299"/>
      <c r="Q3372" s="1300"/>
      <c r="R3372" s="1300"/>
      <c r="S3372" s="1300"/>
    </row>
    <row r="3373" spans="1:19" s="1081" customFormat="1" hidden="1" outlineLevel="1">
      <c r="A3373" s="1072">
        <f t="shared" si="863"/>
        <v>0</v>
      </c>
      <c r="B3373" s="1068" t="s">
        <v>236</v>
      </c>
      <c r="C3373" s="1302"/>
      <c r="D3373" s="1198">
        <f>VLOOKUP($B3373,dongia1,DG!$B$5,)</f>
        <v>0</v>
      </c>
      <c r="E3373" s="1399" t="str">
        <f>VLOOKUP($B3373,dongia1,DG!$C$5,)</f>
        <v>Băng keo cách điện hạ thế</v>
      </c>
      <c r="F3373" s="1555" t="str">
        <f>VLOOKUP($B3373,dongia1,DG!$D$5,)</f>
        <v>cuộn</v>
      </c>
      <c r="G3373" s="1303">
        <f>G3359</f>
        <v>0</v>
      </c>
      <c r="H3373" s="1298">
        <f>VLOOKUP($B3373,dongia1,DG!$F$5,)</f>
        <v>6500</v>
      </c>
      <c r="I3373" s="1298"/>
      <c r="J3373" s="1298">
        <f>VLOOKUP($B3373,dongia1,DG!$G$5,)</f>
        <v>0</v>
      </c>
      <c r="K3373" s="1298">
        <f>VLOOKUP($B3373,dongia1,DG!$H$5,)</f>
        <v>0</v>
      </c>
      <c r="L3373" s="1298">
        <f t="shared" si="859"/>
        <v>0</v>
      </c>
      <c r="M3373" s="1298">
        <f t="shared" si="860"/>
        <v>0</v>
      </c>
      <c r="N3373" s="1298">
        <f t="shared" si="861"/>
        <v>0</v>
      </c>
      <c r="O3373" s="1298">
        <f t="shared" si="862"/>
        <v>0</v>
      </c>
      <c r="P3373" s="1299"/>
      <c r="Q3373" s="1300"/>
      <c r="R3373" s="1300"/>
      <c r="S3373" s="1300"/>
    </row>
    <row r="3374" spans="1:19" s="1081" customFormat="1" hidden="1" outlineLevel="1">
      <c r="A3374" s="1072">
        <f t="shared" si="863"/>
        <v>0</v>
      </c>
      <c r="B3374" s="1295" t="s">
        <v>1464</v>
      </c>
      <c r="C3374" s="1302"/>
      <c r="D3374" s="1198">
        <f>VLOOKUP($B3374,dongia1,DG!$B$5,)</f>
        <v>0</v>
      </c>
      <c r="E3374" s="1399" t="str">
        <f>VLOOKUP($B3374,dongia1,DG!$C$5,)</f>
        <v>Khâu ven răng trong D42</v>
      </c>
      <c r="F3374" s="1555" t="str">
        <f>VLOOKUP($B3374,dongia1,DG!$D$5,)</f>
        <v>cái</v>
      </c>
      <c r="G3374" s="1303">
        <f>G3359</f>
        <v>0</v>
      </c>
      <c r="H3374" s="1298">
        <f>VLOOKUP($B3374,dongia1,DG!$F$5,)</f>
        <v>5000</v>
      </c>
      <c r="I3374" s="1298"/>
      <c r="J3374" s="1298">
        <f>VLOOKUP($B3374,dongia1,DG!$G$5,)</f>
        <v>0</v>
      </c>
      <c r="K3374" s="1298">
        <f>VLOOKUP($B3374,dongia1,DG!$H$5,)</f>
        <v>0</v>
      </c>
      <c r="L3374" s="1298">
        <f t="shared" si="859"/>
        <v>0</v>
      </c>
      <c r="M3374" s="1298">
        <f t="shared" si="860"/>
        <v>0</v>
      </c>
      <c r="N3374" s="1298">
        <f t="shared" si="861"/>
        <v>0</v>
      </c>
      <c r="O3374" s="1298">
        <f t="shared" si="862"/>
        <v>0</v>
      </c>
      <c r="P3374" s="1299"/>
      <c r="Q3374" s="1300"/>
      <c r="R3374" s="1300"/>
      <c r="S3374" s="1300"/>
    </row>
    <row r="3375" spans="1:19" s="1081" customFormat="1" hidden="1" outlineLevel="1">
      <c r="A3375" s="1072">
        <f t="shared" si="863"/>
        <v>0</v>
      </c>
      <c r="B3375" s="1068" t="s">
        <v>1214</v>
      </c>
      <c r="C3375" s="1302"/>
      <c r="D3375" s="1198">
        <f>VLOOKUP($B3375,dongia1,DG!$B$5,)</f>
        <v>0</v>
      </c>
      <c r="E3375" s="1399" t="str">
        <f>VLOOKUP($B3375,dongia1,DG!$C$5,)</f>
        <v>Khâu ven răng ngoài D42</v>
      </c>
      <c r="F3375" s="1555" t="str">
        <f>VLOOKUP($B3375,dongia1,DG!$D$5,)</f>
        <v>cái</v>
      </c>
      <c r="G3375" s="1303">
        <f>G3359</f>
        <v>0</v>
      </c>
      <c r="H3375" s="1298">
        <f>VLOOKUP($B3375,dongia1,DG!$F$5,)</f>
        <v>5200</v>
      </c>
      <c r="I3375" s="1298"/>
      <c r="J3375" s="1298">
        <f>VLOOKUP($B3375,dongia1,DG!$G$5,)</f>
        <v>0</v>
      </c>
      <c r="K3375" s="1298">
        <f>VLOOKUP($B3375,dongia1,DG!$H$5,)</f>
        <v>0</v>
      </c>
      <c r="L3375" s="1298">
        <f t="shared" si="859"/>
        <v>0</v>
      </c>
      <c r="M3375" s="1298">
        <f t="shared" si="860"/>
        <v>0</v>
      </c>
      <c r="N3375" s="1298">
        <f t="shared" si="861"/>
        <v>0</v>
      </c>
      <c r="O3375" s="1298">
        <f t="shared" si="862"/>
        <v>0</v>
      </c>
      <c r="P3375" s="1299"/>
      <c r="Q3375" s="1300"/>
      <c r="R3375" s="1300"/>
      <c r="S3375" s="1300"/>
    </row>
    <row r="3376" spans="1:19" s="1081" customFormat="1" hidden="1" outlineLevel="1">
      <c r="A3376" s="1072">
        <f t="shared" si="863"/>
        <v>0</v>
      </c>
      <c r="B3376" s="1068" t="s">
        <v>1439</v>
      </c>
      <c r="C3376" s="1302"/>
      <c r="D3376" s="1198">
        <f>VLOOKUP($B3376,dongia1,DG!$B$5,)</f>
        <v>0</v>
      </c>
      <c r="E3376" s="1399" t="str">
        <f>VLOOKUP($B3376,dongia1,DG!$C$5,)</f>
        <v>Cổ dê CDĐKĐT D320/6x60( bắt thùng)</v>
      </c>
      <c r="F3376" s="1555" t="str">
        <f>VLOOKUP($B3376,dongia1,DG!$D$5,)</f>
        <v>bộ</v>
      </c>
      <c r="G3376" s="1303">
        <f>G3359*2</f>
        <v>0</v>
      </c>
      <c r="H3376" s="1298">
        <f>VLOOKUP($B3376,dongia1,DG!$F$5,)</f>
        <v>168000</v>
      </c>
      <c r="I3376" s="1298"/>
      <c r="J3376" s="1298">
        <f>VLOOKUP($B3376,dongia1,DG!$G$5,)</f>
        <v>0</v>
      </c>
      <c r="K3376" s="1298">
        <f>VLOOKUP($B3376,dongia1,DG!$H$5,)</f>
        <v>0</v>
      </c>
      <c r="L3376" s="1298">
        <f t="shared" si="859"/>
        <v>0</v>
      </c>
      <c r="M3376" s="1298">
        <f t="shared" si="860"/>
        <v>0</v>
      </c>
      <c r="N3376" s="1298">
        <f t="shared" si="861"/>
        <v>0</v>
      </c>
      <c r="O3376" s="1298">
        <f t="shared" si="862"/>
        <v>0</v>
      </c>
      <c r="P3376" s="1299"/>
      <c r="Q3376" s="1300"/>
      <c r="R3376" s="1300"/>
      <c r="S3376" s="1300"/>
    </row>
    <row r="3377" spans="1:19" s="1081" customFormat="1" hidden="1" outlineLevel="1">
      <c r="A3377" s="1072">
        <f t="shared" si="863"/>
        <v>0</v>
      </c>
      <c r="B3377" s="1068" t="s">
        <v>1825</v>
      </c>
      <c r="C3377" s="1302"/>
      <c r="D3377" s="1198" t="str">
        <f>VLOOKUP($B3377,dongia1,DG!$B$5,)</f>
        <v>T5.1001</v>
      </c>
      <c r="E3377" s="1399" t="str">
        <f>VLOOKUP($B3377,dongia1,DG!$C$5,)</f>
        <v>Thùng điện kế 450x300x200mm đo đếm trung thế</v>
      </c>
      <c r="F3377" s="1555" t="str">
        <f>VLOOKUP($B3377,dongia1,DG!$D$5,)</f>
        <v>cái</v>
      </c>
      <c r="G3377" s="1303">
        <f>G3359</f>
        <v>0</v>
      </c>
      <c r="H3377" s="1298">
        <f>VLOOKUP($B3377,dongia1,DG!$F$5,)</f>
        <v>845331</v>
      </c>
      <c r="I3377" s="1298"/>
      <c r="J3377" s="1298">
        <f>VLOOKUP($B3377,dongia1,DG!$G$5,)</f>
        <v>599038</v>
      </c>
      <c r="K3377" s="1298">
        <f>VLOOKUP($B3377,dongia1,DG!$H$5,)</f>
        <v>97369</v>
      </c>
      <c r="L3377" s="1298">
        <f t="shared" si="859"/>
        <v>0</v>
      </c>
      <c r="M3377" s="1298">
        <f t="shared" si="860"/>
        <v>0</v>
      </c>
      <c r="N3377" s="1298">
        <f t="shared" si="861"/>
        <v>0</v>
      </c>
      <c r="O3377" s="1298">
        <f t="shared" si="862"/>
        <v>0</v>
      </c>
      <c r="P3377" s="1299"/>
      <c r="Q3377" s="1300"/>
      <c r="R3377" s="1300"/>
      <c r="S3377" s="1300"/>
    </row>
    <row r="3378" spans="1:19" s="1081" customFormat="1" hidden="1" outlineLevel="1">
      <c r="A3378" s="1072">
        <f t="shared" si="863"/>
        <v>0</v>
      </c>
      <c r="B3378" s="1068" t="s">
        <v>1690</v>
      </c>
      <c r="C3378" s="1302"/>
      <c r="D3378" s="1198">
        <f>VLOOKUP($B3378,dongia1,DG!$B$5,)</f>
        <v>0</v>
      </c>
      <c r="E3378" s="1399" t="str">
        <f>VLOOKUP($B3378,dongia1,DG!$C$5,)</f>
        <v>Keo silicon bít miệng ống</v>
      </c>
      <c r="F3378" s="1555" t="str">
        <f>VLOOKUP($B3378,dongia1,DG!$D$5,)</f>
        <v>chai</v>
      </c>
      <c r="G3378" s="1303">
        <f>G3359*2</f>
        <v>0</v>
      </c>
      <c r="H3378" s="1298">
        <f>VLOOKUP($B3378,dongia1,DG!$F$5,)</f>
        <v>45000</v>
      </c>
      <c r="I3378" s="1298"/>
      <c r="J3378" s="1298">
        <f>VLOOKUP($B3378,dongia1,DG!$G$5,)</f>
        <v>0</v>
      </c>
      <c r="K3378" s="1298">
        <f>VLOOKUP($B3378,dongia1,DG!$H$5,)</f>
        <v>0</v>
      </c>
      <c r="L3378" s="1298">
        <f t="shared" si="859"/>
        <v>0</v>
      </c>
      <c r="M3378" s="1298">
        <f t="shared" si="860"/>
        <v>0</v>
      </c>
      <c r="N3378" s="1298">
        <f t="shared" si="861"/>
        <v>0</v>
      </c>
      <c r="O3378" s="1298">
        <f t="shared" si="862"/>
        <v>0</v>
      </c>
      <c r="P3378" s="1299"/>
      <c r="Q3378" s="1300"/>
      <c r="R3378" s="1300"/>
      <c r="S3378" s="1300"/>
    </row>
    <row r="3379" spans="1:19" s="1081" customFormat="1" hidden="1" outlineLevel="1">
      <c r="A3379" s="1072">
        <f t="shared" si="863"/>
        <v>0</v>
      </c>
      <c r="B3379" s="1068" t="s">
        <v>1735</v>
      </c>
      <c r="C3379" s="1302"/>
      <c r="D3379" s="1198">
        <f>VLOOKUP($B3379,dongia1,DG!$B$5,)</f>
        <v>0</v>
      </c>
      <c r="E3379" s="1399" t="str">
        <f>VLOOKUP($B3379,dongia1,DG!$C$5,)</f>
        <v>Dây đồng trần mềm dẹt</v>
      </c>
      <c r="F3379" s="1555" t="str">
        <f>VLOOKUP($B3379,dongia1,DG!$D$5,)</f>
        <v>mét</v>
      </c>
      <c r="G3379" s="1303">
        <f>G3359*4</f>
        <v>0</v>
      </c>
      <c r="H3379" s="1298">
        <f>VLOOKUP($B3379,dongia1,DG!$F$5,)</f>
        <v>5000</v>
      </c>
      <c r="I3379" s="1298"/>
      <c r="J3379" s="1298">
        <f>VLOOKUP($B3379,dongia1,DG!$G$5,)</f>
        <v>0</v>
      </c>
      <c r="K3379" s="1298">
        <f>VLOOKUP($B3379,dongia1,DG!$H$5,)</f>
        <v>0</v>
      </c>
      <c r="L3379" s="1298">
        <f t="shared" si="859"/>
        <v>0</v>
      </c>
      <c r="M3379" s="1298">
        <f t="shared" si="860"/>
        <v>0</v>
      </c>
      <c r="N3379" s="1298">
        <f t="shared" si="861"/>
        <v>0</v>
      </c>
      <c r="O3379" s="1298">
        <f t="shared" si="862"/>
        <v>0</v>
      </c>
      <c r="P3379" s="1299"/>
      <c r="Q3379" s="1300"/>
      <c r="R3379" s="1300"/>
      <c r="S3379" s="1300"/>
    </row>
    <row r="3380" spans="1:19" s="1081" customFormat="1" hidden="1" outlineLevel="1">
      <c r="A3380" s="1072">
        <f t="shared" si="863"/>
        <v>0</v>
      </c>
      <c r="B3380" s="1068" t="s">
        <v>518</v>
      </c>
      <c r="C3380" s="1302"/>
      <c r="D3380" s="1198">
        <v>0</v>
      </c>
      <c r="E3380" s="1399" t="str">
        <f>VLOOKUP($B3380,dongia1,DG!$C$5,)&amp;" : 2 thanh daøi 0,3m baét tuû ÑK"</f>
        <v>Sắt góc L50 x50 x5 : 2 thanh daøi 0,3m baét tuû ÑK</v>
      </c>
      <c r="F3380" s="1555" t="str">
        <f>VLOOKUP($B3380,dongia1,DG!$D$5,)</f>
        <v>kg</v>
      </c>
      <c r="G3380" s="1304">
        <f>3.77*G3359*2*0.3</f>
        <v>0</v>
      </c>
      <c r="H3380" s="1298">
        <f>VLOOKUP($B3380,dongia1,DG!$F$5,)</f>
        <v>31625</v>
      </c>
      <c r="I3380" s="1298"/>
      <c r="J3380" s="1298">
        <f>VLOOKUP($B3380,dongia1,DG!$G$5,)</f>
        <v>0</v>
      </c>
      <c r="K3380" s="1298">
        <f>VLOOKUP($B3380,dongia1,DG!$H$5,)</f>
        <v>0</v>
      </c>
      <c r="L3380" s="1298">
        <f t="shared" si="859"/>
        <v>0</v>
      </c>
      <c r="M3380" s="1298">
        <f t="shared" si="860"/>
        <v>0</v>
      </c>
      <c r="N3380" s="1298">
        <f t="shared" si="861"/>
        <v>0</v>
      </c>
      <c r="O3380" s="1298">
        <f t="shared" si="862"/>
        <v>0</v>
      </c>
      <c r="P3380" s="1299"/>
      <c r="Q3380" s="1300"/>
      <c r="R3380" s="1300"/>
      <c r="S3380" s="1300"/>
    </row>
    <row r="3381" spans="1:19" s="1081" customFormat="1" hidden="1" outlineLevel="1">
      <c r="A3381" s="1072">
        <f t="shared" si="863"/>
        <v>0</v>
      </c>
      <c r="B3381" s="1068" t="s">
        <v>509</v>
      </c>
      <c r="C3381" s="1302"/>
      <c r="D3381" s="1198">
        <v>0</v>
      </c>
      <c r="E3381" s="1399" t="str">
        <f>VLOOKUP($B3381,dongia1,DG!$C$5,)</f>
        <v>Boulon 10x50+ 2 long đền vuông D12-50x50x3/Zn</v>
      </c>
      <c r="F3381" s="1555" t="str">
        <f>VLOOKUP($B3381,dongia1,DG!$D$5,)</f>
        <v>bộ</v>
      </c>
      <c r="G3381" s="1303">
        <f>4*G3359</f>
        <v>0</v>
      </c>
      <c r="H3381" s="1298">
        <f>VLOOKUP($B3381,dongia1,DG!$F$5,)</f>
        <v>1500</v>
      </c>
      <c r="I3381" s="1298"/>
      <c r="J3381" s="1298">
        <f>VLOOKUP($B3381,dongia1,DG!$G$5,)</f>
        <v>0</v>
      </c>
      <c r="K3381" s="1298">
        <f>VLOOKUP($B3381,dongia1,DG!$H$5,)</f>
        <v>0</v>
      </c>
      <c r="L3381" s="1298">
        <f t="shared" si="859"/>
        <v>0</v>
      </c>
      <c r="M3381" s="1298">
        <f t="shared" si="860"/>
        <v>0</v>
      </c>
      <c r="N3381" s="1298">
        <f t="shared" si="861"/>
        <v>0</v>
      </c>
      <c r="O3381" s="1298">
        <f t="shared" si="862"/>
        <v>0</v>
      </c>
      <c r="P3381" s="1299"/>
      <c r="Q3381" s="1300"/>
      <c r="R3381" s="1300"/>
      <c r="S3381" s="1300"/>
    </row>
    <row r="3382" spans="1:19" s="1081" customFormat="1" hidden="1" outlineLevel="1">
      <c r="A3382" s="1072">
        <f>A3231</f>
        <v>0</v>
      </c>
      <c r="B3382" s="1421"/>
      <c r="C3382" s="1571"/>
      <c r="D3382" s="1476"/>
      <c r="E3382" s="1477"/>
      <c r="F3382" s="1478"/>
      <c r="G3382" s="1479"/>
      <c r="H3382" s="1478"/>
      <c r="I3382" s="1478"/>
      <c r="J3382" s="2469" t="s">
        <v>3388</v>
      </c>
      <c r="K3382" s="2469"/>
      <c r="L3382" s="1480">
        <f>SUM(L3250:L3381)</f>
        <v>0</v>
      </c>
      <c r="M3382" s="1480">
        <f>SUM(M3250:M3381)</f>
        <v>0</v>
      </c>
      <c r="N3382" s="1480">
        <f>SUM(N3250:N3381)</f>
        <v>0</v>
      </c>
      <c r="O3382" s="1480">
        <f>SUM(O3250:O3381)</f>
        <v>0</v>
      </c>
      <c r="P3382" s="1566"/>
      <c r="Q3382" s="1300"/>
      <c r="R3382" s="1300"/>
      <c r="S3382" s="1300"/>
    </row>
    <row r="3383" spans="1:19" s="1081" customFormat="1" hidden="1" outlineLevel="1">
      <c r="A3383" s="1072"/>
      <c r="B3383" s="1421"/>
      <c r="C3383" s="1528"/>
      <c r="D3383" s="1528"/>
      <c r="E3383" s="1558"/>
      <c r="F3383" s="1530"/>
      <c r="G3383" s="1529"/>
      <c r="H3383" s="1530"/>
      <c r="I3383" s="1530"/>
      <c r="J3383" s="1531"/>
      <c r="K3383" s="1531"/>
      <c r="L3383" s="1532"/>
      <c r="M3383" s="1532"/>
      <c r="N3383" s="1532"/>
      <c r="O3383" s="1532"/>
      <c r="P3383" s="1490"/>
      <c r="Q3383" s="1300"/>
      <c r="R3383" s="1300"/>
      <c r="S3383" s="1300"/>
    </row>
    <row r="3384" spans="1:19" s="1081" customFormat="1" hidden="1">
      <c r="A3384" s="1431">
        <f>IF(G3389&gt;0,1,)</f>
        <v>0</v>
      </c>
      <c r="B3384" s="1068"/>
      <c r="C3384" s="1490"/>
      <c r="D3384" s="1300"/>
      <c r="E3384" s="1491"/>
      <c r="F3384" s="1300"/>
      <c r="G3384" s="1492"/>
      <c r="H3384" s="1300"/>
      <c r="I3384" s="1300"/>
      <c r="J3384" s="1300"/>
      <c r="K3384" s="1300"/>
      <c r="L3384" s="1300"/>
      <c r="M3384" s="1300"/>
      <c r="N3384" s="1300"/>
      <c r="O3384" s="1300"/>
      <c r="P3384" s="1300"/>
      <c r="Q3384" s="1300"/>
      <c r="R3384" s="1300"/>
      <c r="S3384" s="1300"/>
    </row>
    <row r="3385" spans="1:19" s="1081" customFormat="1" hidden="1" outlineLevel="1">
      <c r="A3385" s="1072">
        <f>A3384</f>
        <v>0</v>
      </c>
      <c r="B3385" s="1432"/>
      <c r="C3385" s="1336" t="str">
        <f>"BẢNG TỔNG HỢP VẬT LIỆU, NHÂN CÔNG, MÁY THI CÔNG: "&amp;K21&amp;" TRẠM 3P_2,000KVA"</f>
        <v>BẢNG TỔNG HỢP VẬT LIỆU, NHÂN CÔNG, MÁY THI CÔNG: 0 TRẠM 3P_2,000KVA</v>
      </c>
      <c r="D3385" s="1494"/>
      <c r="E3385" s="1494"/>
      <c r="F3385" s="1494"/>
      <c r="G3385" s="1494"/>
      <c r="H3385" s="1495"/>
      <c r="I3385" s="1434"/>
      <c r="J3385" s="1495"/>
      <c r="K3385" s="1495"/>
      <c r="L3385" s="1495"/>
      <c r="M3385" s="1434"/>
      <c r="N3385" s="1495"/>
      <c r="O3385" s="1495"/>
      <c r="P3385" s="1513"/>
      <c r="Q3385" s="1300"/>
      <c r="R3385" s="1300"/>
      <c r="S3385" s="1300"/>
    </row>
    <row r="3386" spans="1:19" s="1081" customFormat="1" hidden="1" outlineLevel="1">
      <c r="A3386" s="1072">
        <f>A3384</f>
        <v>0</v>
      </c>
      <c r="B3386" s="1295" t="s">
        <v>308</v>
      </c>
      <c r="C3386" s="2459" t="s">
        <v>1014</v>
      </c>
      <c r="D3386" s="2467" t="s">
        <v>3363</v>
      </c>
      <c r="E3386" s="2457" t="s">
        <v>3364</v>
      </c>
      <c r="F3386" s="2459" t="s">
        <v>3365</v>
      </c>
      <c r="G3386" s="1155" t="s">
        <v>3367</v>
      </c>
      <c r="H3386" s="1156" t="s">
        <v>3368</v>
      </c>
      <c r="I3386" s="1157"/>
      <c r="J3386" s="1157"/>
      <c r="K3386" s="1158"/>
      <c r="L3386" s="1156" t="s">
        <v>3372</v>
      </c>
      <c r="M3386" s="1157"/>
      <c r="N3386" s="1157"/>
      <c r="O3386" s="1158"/>
      <c r="P3386" s="2459" t="s">
        <v>3373</v>
      </c>
      <c r="Q3386" s="1300"/>
      <c r="R3386" s="1300"/>
      <c r="S3386" s="1300"/>
    </row>
    <row r="3387" spans="1:19" s="1081" customFormat="1" hidden="1" outlineLevel="1">
      <c r="A3387" s="1072">
        <f>A3386</f>
        <v>0</v>
      </c>
      <c r="B3387" s="1295"/>
      <c r="C3387" s="2459"/>
      <c r="D3387" s="2468"/>
      <c r="E3387" s="2458"/>
      <c r="F3387" s="2459"/>
      <c r="G3387" s="1160" t="s">
        <v>3366</v>
      </c>
      <c r="H3387" s="1161" t="s">
        <v>393</v>
      </c>
      <c r="I3387" s="1161" t="s">
        <v>3369</v>
      </c>
      <c r="J3387" s="1161" t="s">
        <v>3370</v>
      </c>
      <c r="K3387" s="1161" t="s">
        <v>3371</v>
      </c>
      <c r="L3387" s="1161" t="s">
        <v>393</v>
      </c>
      <c r="M3387" s="1161" t="s">
        <v>3369</v>
      </c>
      <c r="N3387" s="1161" t="s">
        <v>3370</v>
      </c>
      <c r="O3387" s="1161" t="s">
        <v>3371</v>
      </c>
      <c r="P3387" s="2459"/>
      <c r="Q3387" s="1300"/>
      <c r="R3387" s="1300"/>
      <c r="S3387" s="1300"/>
    </row>
    <row r="3388" spans="1:19" s="1081" customFormat="1" hidden="1" outlineLevel="1">
      <c r="A3388" s="1072">
        <f>A3387</f>
        <v>0</v>
      </c>
      <c r="B3388" s="1295"/>
      <c r="C3388" s="1162"/>
      <c r="D3388" s="1163"/>
      <c r="E3388" s="1164" t="s">
        <v>3375</v>
      </c>
      <c r="F3388" s="1165"/>
      <c r="G3388" s="1165"/>
      <c r="H3388" s="1165"/>
      <c r="I3388" s="1165"/>
      <c r="J3388" s="1165"/>
      <c r="K3388" s="1165"/>
      <c r="L3388" s="1165"/>
      <c r="M3388" s="1165"/>
      <c r="N3388" s="1165"/>
      <c r="O3388" s="1163"/>
      <c r="P3388" s="1166"/>
      <c r="Q3388" s="1300"/>
      <c r="R3388" s="1300"/>
      <c r="S3388" s="1300"/>
    </row>
    <row r="3389" spans="1:19" s="1081" customFormat="1" hidden="1" outlineLevel="1">
      <c r="A3389" s="1072" t="str">
        <f t="shared" ref="A3389:A3399" si="864">IF(G3389&lt;&gt;0,1,"")</f>
        <v/>
      </c>
      <c r="B3389" s="1435" t="str">
        <f>IF($F$8=15,"tr2000","tr20001")</f>
        <v>tr20001</v>
      </c>
      <c r="C3389" s="1302">
        <f>IF(G3389&gt;0,1,0)</f>
        <v>0</v>
      </c>
      <c r="D3389" s="1198" t="str">
        <f>VLOOKUP($B3389,dongia1,DG!$B$5,)</f>
        <v>T1.1418</v>
      </c>
      <c r="E3389" s="1243" t="str">
        <f>VLOOKUP($B3389,dongia1,DG!$C$5,)</f>
        <v>Máy biến áp 22/0,4kV- 2000kVA</v>
      </c>
      <c r="F3389" s="1198" t="str">
        <f>VLOOKUP($B3389,dongia1,DG!$D$5,)</f>
        <v>máy</v>
      </c>
      <c r="G3389" s="1561">
        <f>$K$21</f>
        <v>0</v>
      </c>
      <c r="H3389" s="1399">
        <f>VLOOKUP($B3389,dongia1,DG!$E$5,)</f>
        <v>560615000</v>
      </c>
      <c r="I3389" s="1399"/>
      <c r="J3389" s="1399">
        <f>VLOOKUP($B3389,dongia1,DG!$G$5,)</f>
        <v>1928901</v>
      </c>
      <c r="K3389" s="1399">
        <f>VLOOKUP($B3389,dongia1,DG!$H$5,)</f>
        <v>426761</v>
      </c>
      <c r="L3389" s="1400">
        <f t="shared" ref="L3389:L3399" si="865">H3389*G3389</f>
        <v>0</v>
      </c>
      <c r="M3389" s="1400">
        <f t="shared" ref="M3389:M3399" si="866">I3389*G3389</f>
        <v>0</v>
      </c>
      <c r="N3389" s="1400">
        <f t="shared" ref="N3389:N3399" si="867">J3389*G3389</f>
        <v>0</v>
      </c>
      <c r="O3389" s="1401">
        <f t="shared" ref="O3389:O3399" si="868">K3389*G3389</f>
        <v>0</v>
      </c>
      <c r="P3389" s="1562"/>
      <c r="Q3389" s="1300"/>
      <c r="R3389" s="1300"/>
      <c r="S3389" s="1300"/>
    </row>
    <row r="3390" spans="1:19" s="1081" customFormat="1" hidden="1" outlineLevel="1">
      <c r="A3390" s="1072" t="str">
        <f t="shared" si="864"/>
        <v/>
      </c>
      <c r="B3390" s="1397" t="s">
        <v>286</v>
      </c>
      <c r="C3390" s="1302">
        <f t="shared" ref="C3390:C3396" si="869">IF(G3390&gt;0,C3389+1,C3389)</f>
        <v>0</v>
      </c>
      <c r="D3390" s="1198" t="str">
        <f>VLOOKUP($B3390,dongia1,DG!$B$5,)</f>
        <v>T2.3213</v>
      </c>
      <c r="E3390" s="1243" t="str">
        <f>VLOOKUP($B3390,dongia1,DG!$C$5,)</f>
        <v xml:space="preserve">DS 3P - 24KV - 630A </v>
      </c>
      <c r="F3390" s="1198" t="str">
        <f>VLOOKUP($B3390,dongia1,DG!$D$5,)</f>
        <v>bộ</v>
      </c>
      <c r="G3390" s="1303">
        <f>+G3389</f>
        <v>0</v>
      </c>
      <c r="H3390" s="1399">
        <f>VLOOKUP($B3390,dongia1,DG!$E$5,)</f>
        <v>16664000</v>
      </c>
      <c r="I3390" s="1399">
        <f>VLOOKUP($B3390,dongia1,DG!$F$5,)*0</f>
        <v>0</v>
      </c>
      <c r="J3390" s="1399">
        <f>VLOOKUP($B3390,dongia1,DG!$F$5,)</f>
        <v>0</v>
      </c>
      <c r="K3390" s="1399">
        <f>VLOOKUP($B3390,dongia1,DG!$H$5,)</f>
        <v>262622</v>
      </c>
      <c r="L3390" s="1400">
        <f t="shared" si="865"/>
        <v>0</v>
      </c>
      <c r="M3390" s="1400">
        <f t="shared" si="866"/>
        <v>0</v>
      </c>
      <c r="N3390" s="1400">
        <f t="shared" si="867"/>
        <v>0</v>
      </c>
      <c r="O3390" s="1401">
        <f t="shared" si="868"/>
        <v>0</v>
      </c>
      <c r="P3390" s="1299"/>
      <c r="Q3390" s="1300"/>
      <c r="R3390" s="1300"/>
      <c r="S3390" s="1300"/>
    </row>
    <row r="3391" spans="1:19" s="1081" customFormat="1" hidden="1" outlineLevel="1">
      <c r="A3391" s="1072" t="str">
        <f t="shared" si="864"/>
        <v/>
      </c>
      <c r="B3391" s="1295" t="s">
        <v>1871</v>
      </c>
      <c r="C3391" s="1302">
        <f t="shared" si="869"/>
        <v>0</v>
      </c>
      <c r="D3391" s="1198" t="str">
        <f>VLOOKUP($B3391,dongia1,DG!$B$5,)</f>
        <v>05.2102</v>
      </c>
      <c r="E3391" s="1243" t="str">
        <f>VLOOKUP($B3391,dongia1,DG!$C$5,)</f>
        <v>Tủ LBS 3 pha 630-800A</v>
      </c>
      <c r="F3391" s="1198" t="str">
        <f>VLOOKUP($B3391,dongia1,DG!$D$5,)</f>
        <v>tủ</v>
      </c>
      <c r="G3391" s="1303">
        <f>G3389*0</f>
        <v>0</v>
      </c>
      <c r="H3391" s="1399">
        <f>VLOOKUP($B3391,dongia1,DG!$F$5,)</f>
        <v>5000000</v>
      </c>
      <c r="I3391" s="1399">
        <f>VLOOKUP($B3391,dongia1,DG!$F$5,)*0</f>
        <v>0</v>
      </c>
      <c r="J3391" s="1399">
        <f>VLOOKUP($B3391,dongia1,DG!$G$5,)</f>
        <v>286129</v>
      </c>
      <c r="K3391" s="1399">
        <f>VLOOKUP($B3391,dongia1,DG!$H$5,)</f>
        <v>59254</v>
      </c>
      <c r="L3391" s="1400">
        <f t="shared" si="865"/>
        <v>0</v>
      </c>
      <c r="M3391" s="1400">
        <f t="shared" si="866"/>
        <v>0</v>
      </c>
      <c r="N3391" s="1400">
        <f t="shared" si="867"/>
        <v>0</v>
      </c>
      <c r="O3391" s="1401">
        <f t="shared" si="868"/>
        <v>0</v>
      </c>
      <c r="P3391" s="1437" t="s">
        <v>1216</v>
      </c>
      <c r="Q3391" s="1300"/>
      <c r="R3391" s="1300"/>
      <c r="S3391" s="1300"/>
    </row>
    <row r="3392" spans="1:19" s="1081" customFormat="1" hidden="1" outlineLevel="1">
      <c r="A3392" s="1072" t="str">
        <f t="shared" si="864"/>
        <v/>
      </c>
      <c r="B3392" s="1167" t="str">
        <f>"FCO200-"&amp;$F$8</f>
        <v>FCO200-22</v>
      </c>
      <c r="C3392" s="1302">
        <f t="shared" si="869"/>
        <v>0</v>
      </c>
      <c r="D3392" s="1198" t="str">
        <f>VLOOKUP($B3392,dongia1,DG!$B$5,)</f>
        <v>T2.3501</v>
      </c>
      <c r="E3392" s="1243" t="str">
        <f>VLOOKUP($B3392,dongia1,DG!$C$5,)</f>
        <v xml:space="preserve">FCO 24KV - 200A </v>
      </c>
      <c r="F3392" s="1198" t="str">
        <f>VLOOKUP($B3392,dongia1,DG!$D$5,)</f>
        <v>cái</v>
      </c>
      <c r="G3392" s="1303">
        <f>+G3389*3</f>
        <v>0</v>
      </c>
      <c r="H3392" s="1298">
        <f>VLOOKUP($B3392,dongia1,DG!$E$5,)</f>
        <v>4076000</v>
      </c>
      <c r="I3392" s="1298">
        <f>VLOOKUP($B3392,dongia1,DG!$F$5,)*0</f>
        <v>0</v>
      </c>
      <c r="J3392" s="1298">
        <f>VLOOKUP($B3392,dongia1,DG!$G$5,)</f>
        <v>176000</v>
      </c>
      <c r="K3392" s="1298">
        <f>VLOOKUP($B3392,dongia1,DG!$H$5,)</f>
        <v>0</v>
      </c>
      <c r="L3392" s="1298">
        <f t="shared" si="865"/>
        <v>0</v>
      </c>
      <c r="M3392" s="1298">
        <f t="shared" si="866"/>
        <v>0</v>
      </c>
      <c r="N3392" s="1298">
        <f t="shared" si="867"/>
        <v>0</v>
      </c>
      <c r="O3392" s="1298">
        <f t="shared" si="868"/>
        <v>0</v>
      </c>
      <c r="P3392" s="1299"/>
      <c r="Q3392" s="1300"/>
      <c r="R3392" s="1300"/>
      <c r="S3392" s="1300"/>
    </row>
    <row r="3393" spans="1:19" s="1081" customFormat="1" hidden="1" outlineLevel="1">
      <c r="A3393" s="1072" t="str">
        <f t="shared" si="864"/>
        <v/>
      </c>
      <c r="B3393" s="1295" t="s">
        <v>721</v>
      </c>
      <c r="C3393" s="1302">
        <f t="shared" si="869"/>
        <v>0</v>
      </c>
      <c r="D3393" s="1198">
        <f>VLOOKUP($B3393,dongia1,DG!$B$5,)</f>
        <v>0</v>
      </c>
      <c r="E3393" s="1243" t="str">
        <f>VLOOKUP($B3393,dongia1,DG!$C$5,)</f>
        <v>Dây chảy 80K</v>
      </c>
      <c r="F3393" s="1198" t="str">
        <f>VLOOKUP($B3393,dongia1,DG!$D$5,)</f>
        <v>Sợi</v>
      </c>
      <c r="G3393" s="1303">
        <f>G3392</f>
        <v>0</v>
      </c>
      <c r="H3393" s="1298">
        <f>VLOOKUP($B3393,dongia1,DG!$F$5,)</f>
        <v>113000</v>
      </c>
      <c r="I3393" s="1298">
        <f>VLOOKUP($B3393,dongia1,DG!$F$5,)*0</f>
        <v>0</v>
      </c>
      <c r="J3393" s="1298">
        <f>VLOOKUP($B3393,dongia1,DG!$G$5,)</f>
        <v>0</v>
      </c>
      <c r="K3393" s="1298">
        <f>VLOOKUP($B3393,dongia1,DG!$H$5,)</f>
        <v>0</v>
      </c>
      <c r="L3393" s="1298">
        <f t="shared" si="865"/>
        <v>0</v>
      </c>
      <c r="M3393" s="1298">
        <f t="shared" si="866"/>
        <v>0</v>
      </c>
      <c r="N3393" s="1298">
        <f t="shared" si="867"/>
        <v>0</v>
      </c>
      <c r="O3393" s="1298">
        <f t="shared" si="868"/>
        <v>0</v>
      </c>
      <c r="P3393" s="1299"/>
      <c r="Q3393" s="1300"/>
      <c r="R3393" s="1300"/>
      <c r="S3393" s="1300"/>
    </row>
    <row r="3394" spans="1:19" s="1081" customFormat="1" hidden="1" outlineLevel="1">
      <c r="A3394" s="1072" t="str">
        <f t="shared" si="864"/>
        <v/>
      </c>
      <c r="B3394" s="1295" t="str">
        <f>"LA"&amp;$F$6</f>
        <v>LA18</v>
      </c>
      <c r="C3394" s="1302">
        <f t="shared" si="869"/>
        <v>0</v>
      </c>
      <c r="D3394" s="1198" t="str">
        <f>VLOOKUP($B3394,dongia1,DG!$B$5,)</f>
        <v>T2.5004</v>
      </c>
      <c r="E3394" s="1243" t="str">
        <f>VLOOKUP($B3394,dongia1,DG!$C$5,)</f>
        <v>LA 18kV 10kA</v>
      </c>
      <c r="F3394" s="1198" t="str">
        <f>VLOOKUP($B3394,dongia1,DG!$D$5,)</f>
        <v>cái</v>
      </c>
      <c r="G3394" s="1303">
        <f>G3389*3</f>
        <v>0</v>
      </c>
      <c r="H3394" s="1298">
        <f>VLOOKUP($B3394,dongia1,DG!$E$5,)</f>
        <v>1106000</v>
      </c>
      <c r="I3394" s="1298">
        <f>VLOOKUP($B3394,dongia1,DG!$F$5,)*0</f>
        <v>0</v>
      </c>
      <c r="J3394" s="1298">
        <f>VLOOKUP($B3394,dongia1,DG!$G$5,)</f>
        <v>83490</v>
      </c>
      <c r="K3394" s="1298">
        <f>VLOOKUP($B3394,dongia1,DG!$H$5,)</f>
        <v>0</v>
      </c>
      <c r="L3394" s="1298">
        <f t="shared" si="865"/>
        <v>0</v>
      </c>
      <c r="M3394" s="1298">
        <f t="shared" si="866"/>
        <v>0</v>
      </c>
      <c r="N3394" s="1298">
        <f t="shared" si="867"/>
        <v>0</v>
      </c>
      <c r="O3394" s="1298">
        <f t="shared" si="868"/>
        <v>0</v>
      </c>
      <c r="P3394" s="1299"/>
      <c r="Q3394" s="1300"/>
      <c r="R3394" s="1300"/>
      <c r="S3394" s="1300"/>
    </row>
    <row r="3395" spans="1:19" s="1081" customFormat="1" hidden="1" outlineLevel="1">
      <c r="A3395" s="1072" t="str">
        <f t="shared" si="864"/>
        <v/>
      </c>
      <c r="B3395" s="1397" t="s">
        <v>1913</v>
      </c>
      <c r="C3395" s="1302">
        <f t="shared" si="869"/>
        <v>0</v>
      </c>
      <c r="D3395" s="1198">
        <f>VLOOKUP($B3395,dongia1,DG!$B$5,)</f>
        <v>0</v>
      </c>
      <c r="E3395" s="1243" t="str">
        <f>VLOOKUP($B3395,dongia1,DG!$C$5,)</f>
        <v>ACB 3P - 3200A - 85KA (nạp lò xo bằng tay)</v>
      </c>
      <c r="F3395" s="1198" t="str">
        <f>VLOOKUP($B3395,dongia1,DG!$D$5,)</f>
        <v>cái</v>
      </c>
      <c r="G3395" s="1303">
        <f>G3389</f>
        <v>0</v>
      </c>
      <c r="H3395" s="1298">
        <f>VLOOKUP($B3395,dongia1,DG!$E$5,)</f>
        <v>145682000</v>
      </c>
      <c r="I3395" s="1298">
        <f>VLOOKUP($B3395,dongia1,DG!$F$5,)*0</f>
        <v>0</v>
      </c>
      <c r="J3395" s="1298">
        <f>VLOOKUP($B3395,dongia1,DG!$G$5,)</f>
        <v>0</v>
      </c>
      <c r="K3395" s="1298">
        <f>VLOOKUP($B3395,dongia1,DG!$H$5,)</f>
        <v>0</v>
      </c>
      <c r="L3395" s="1298">
        <f t="shared" si="865"/>
        <v>0</v>
      </c>
      <c r="M3395" s="1298">
        <f t="shared" si="866"/>
        <v>0</v>
      </c>
      <c r="N3395" s="1298">
        <f t="shared" si="867"/>
        <v>0</v>
      </c>
      <c r="O3395" s="1298">
        <f t="shared" si="868"/>
        <v>0</v>
      </c>
      <c r="P3395" s="1299"/>
      <c r="Q3395" s="1300"/>
      <c r="R3395" s="1300"/>
      <c r="S3395" s="1300"/>
    </row>
    <row r="3396" spans="1:19" s="1081" customFormat="1" hidden="1" outlineLevel="1">
      <c r="A3396" s="1072" t="str">
        <f t="shared" si="864"/>
        <v/>
      </c>
      <c r="B3396" s="1397" t="s">
        <v>1015</v>
      </c>
      <c r="C3396" s="1302">
        <f t="shared" si="869"/>
        <v>0</v>
      </c>
      <c r="D3396" s="1198" t="str">
        <f>VLOOKUP($B3396,dongia1,DG!$B$5,)</f>
        <v>05.1102</v>
      </c>
      <c r="E3396" s="1243" t="str">
        <f>VLOOKUP($B3396,dongia1,DG!$C$5,)</f>
        <v>Tủ tụ bù hạ thế 800kVAr</v>
      </c>
      <c r="F3396" s="1198" t="str">
        <f>VLOOKUP($B3396,dongia1,DG!$D$5,)</f>
        <v>tủ</v>
      </c>
      <c r="G3396" s="1303">
        <f>G3395</f>
        <v>0</v>
      </c>
      <c r="H3396" s="1298">
        <f>VLOOKUP($B3396,dongia1,DG!$E$5,)</f>
        <v>2500000</v>
      </c>
      <c r="I3396" s="1298">
        <f>VLOOKUP($B3396,dongia1,DG!$F$5,)</f>
        <v>0</v>
      </c>
      <c r="J3396" s="1298">
        <f>VLOOKUP($B3396,dongia1,DG!$G$5,)</f>
        <v>98101</v>
      </c>
      <c r="K3396" s="1298">
        <f>VLOOKUP($B3396,dongia1,DG!$H$5,)</f>
        <v>59254</v>
      </c>
      <c r="L3396" s="1298">
        <f t="shared" si="865"/>
        <v>0</v>
      </c>
      <c r="M3396" s="1298">
        <f t="shared" si="866"/>
        <v>0</v>
      </c>
      <c r="N3396" s="1298">
        <f t="shared" si="867"/>
        <v>0</v>
      </c>
      <c r="O3396" s="1298">
        <f t="shared" si="868"/>
        <v>0</v>
      </c>
      <c r="P3396" s="1299"/>
      <c r="Q3396" s="1300"/>
      <c r="R3396" s="1300"/>
      <c r="S3396" s="1300"/>
    </row>
    <row r="3397" spans="1:19" s="1081" customFormat="1" hidden="1" outlineLevel="1">
      <c r="A3397" s="1072" t="str">
        <f t="shared" si="864"/>
        <v/>
      </c>
      <c r="B3397" s="1068" t="s">
        <v>1523</v>
      </c>
      <c r="C3397" s="1302">
        <f>IF(G3397&gt;0,C3395+1,C3395)</f>
        <v>0</v>
      </c>
      <c r="D3397" s="1198">
        <f>VLOOKUP($B3397,dongia1,DG!$B$5,)</f>
        <v>0</v>
      </c>
      <c r="E3397" s="1243" t="str">
        <f>VLOOKUP($B3397,dongia1,DG!$C$5,)</f>
        <v>Biến dòng 24kV  50/5A</v>
      </c>
      <c r="F3397" s="1198" t="str">
        <f>VLOOKUP($B3397,dongia1,DG!$D$5,)</f>
        <v>cái</v>
      </c>
      <c r="G3397" s="1438">
        <f>G3389*3</f>
        <v>0</v>
      </c>
      <c r="H3397" s="1298">
        <f>VLOOKUP($B3397,dongia1,DG!$E$5,)*0</f>
        <v>0</v>
      </c>
      <c r="I3397" s="1298">
        <f>VLOOKUP($B3397,dongia1,DG!$F$5,)*0</f>
        <v>0</v>
      </c>
      <c r="J3397" s="1298">
        <f>VLOOKUP($B3397,dongia1,DG!$G$5,)</f>
        <v>0</v>
      </c>
      <c r="K3397" s="1298">
        <f>VLOOKUP($B3397,dongia1,DG!$H$5,)</f>
        <v>0</v>
      </c>
      <c r="L3397" s="1298">
        <f t="shared" si="865"/>
        <v>0</v>
      </c>
      <c r="M3397" s="1298">
        <f t="shared" si="866"/>
        <v>0</v>
      </c>
      <c r="N3397" s="1298">
        <f t="shared" si="867"/>
        <v>0</v>
      </c>
      <c r="O3397" s="1298">
        <f t="shared" si="868"/>
        <v>0</v>
      </c>
      <c r="P3397" s="1439" t="s">
        <v>3471</v>
      </c>
      <c r="Q3397" s="1300"/>
      <c r="R3397" s="1300"/>
      <c r="S3397" s="1300"/>
    </row>
    <row r="3398" spans="1:19" s="1081" customFormat="1" hidden="1" outlineLevel="1">
      <c r="A3398" s="1072" t="str">
        <f t="shared" si="864"/>
        <v/>
      </c>
      <c r="B3398" s="1068" t="s">
        <v>1915</v>
      </c>
      <c r="C3398" s="1302">
        <f>IF(G3398&gt;0,C3396+1,C3396)</f>
        <v>0</v>
      </c>
      <c r="D3398" s="1198">
        <f>VLOOKUP($B3398,dongia1,DG!$B$5,)</f>
        <v>0</v>
      </c>
      <c r="E3398" s="1243" t="str">
        <f>VLOOKUP($B3398,dongia1,DG!$C$5,)</f>
        <v>Biến điện áp 22000/√3/100/√3 V</v>
      </c>
      <c r="F3398" s="1198" t="str">
        <f>VLOOKUP($B3398,dongia1,DG!$D$5,)</f>
        <v>cái</v>
      </c>
      <c r="G3398" s="1564">
        <f>+G3397</f>
        <v>0</v>
      </c>
      <c r="H3398" s="1298">
        <f>VLOOKUP($B3398,dongia1,DG!$E$5,)</f>
        <v>0</v>
      </c>
      <c r="I3398" s="1298"/>
      <c r="J3398" s="1298">
        <f>VLOOKUP($B3398,dongia1,DG!$G$5,)</f>
        <v>92703</v>
      </c>
      <c r="K3398" s="1298">
        <f>VLOOKUP($B3398,dongia1,DG!$H$5,)</f>
        <v>84261</v>
      </c>
      <c r="L3398" s="1298">
        <f t="shared" si="865"/>
        <v>0</v>
      </c>
      <c r="M3398" s="1298">
        <f t="shared" si="866"/>
        <v>0</v>
      </c>
      <c r="N3398" s="1298">
        <f t="shared" si="867"/>
        <v>0</v>
      </c>
      <c r="O3398" s="1298">
        <f t="shared" si="868"/>
        <v>0</v>
      </c>
      <c r="P3398" s="1439" t="s">
        <v>3471</v>
      </c>
      <c r="Q3398" s="1300"/>
      <c r="R3398" s="1300"/>
      <c r="S3398" s="1300"/>
    </row>
    <row r="3399" spans="1:19" s="1081" customFormat="1" hidden="1" outlineLevel="1">
      <c r="A3399" s="1072" t="str">
        <f t="shared" si="864"/>
        <v/>
      </c>
      <c r="B3399" s="1565" t="s">
        <v>1873</v>
      </c>
      <c r="C3399" s="1302">
        <f>IF(G3399&gt;0,C3397+1,C3397)</f>
        <v>0</v>
      </c>
      <c r="D3399" s="1198">
        <f>VLOOKUP($B3399,dongia1,DG!$B$5,)</f>
        <v>0</v>
      </c>
      <c r="E3399" s="1243" t="str">
        <f>VLOOKUP($B3399,dongia1,DG!$C$5,)</f>
        <v>Điện kế 3 pha điện tử 5A</v>
      </c>
      <c r="F3399" s="1198" t="str">
        <f>VLOOKUP($B3399,dongia1,DG!$D$5,)</f>
        <v>cái</v>
      </c>
      <c r="G3399" s="1438">
        <f>G3389</f>
        <v>0</v>
      </c>
      <c r="H3399" s="1399">
        <f>VLOOKUP($B3399,dongia1,DG!$E$5,)*0</f>
        <v>0</v>
      </c>
      <c r="I3399" s="1399">
        <f>VLOOKUP($B3399,dongia1,DG!$F$5,)*0</f>
        <v>0</v>
      </c>
      <c r="J3399" s="1399">
        <f>VLOOKUP($B3399,dongia1,DG!$G$5,)*0</f>
        <v>0</v>
      </c>
      <c r="K3399" s="1399">
        <f>VLOOKUP($B3399,dongia1,DG!$H$5,)</f>
        <v>0</v>
      </c>
      <c r="L3399" s="1298">
        <f t="shared" si="865"/>
        <v>0</v>
      </c>
      <c r="M3399" s="1400">
        <f t="shared" si="866"/>
        <v>0</v>
      </c>
      <c r="N3399" s="1400">
        <f t="shared" si="867"/>
        <v>0</v>
      </c>
      <c r="O3399" s="1401">
        <f t="shared" si="868"/>
        <v>0</v>
      </c>
      <c r="P3399" s="1440" t="s">
        <v>3471</v>
      </c>
      <c r="Q3399" s="1300"/>
      <c r="R3399" s="1300"/>
      <c r="S3399" s="1300"/>
    </row>
    <row r="3400" spans="1:19" s="1081" customFormat="1" hidden="1" outlineLevel="1">
      <c r="A3400" s="1072">
        <f>A3384</f>
        <v>0</v>
      </c>
      <c r="B3400" s="1295"/>
      <c r="C3400" s="1441"/>
      <c r="D3400" s="1442"/>
      <c r="E3400" s="1443"/>
      <c r="F3400" s="1444"/>
      <c r="G3400" s="1445"/>
      <c r="H3400" s="1444"/>
      <c r="I3400" s="1444"/>
      <c r="J3400" s="1183" t="s">
        <v>3387</v>
      </c>
      <c r="K3400" s="1444"/>
      <c r="L3400" s="1446">
        <f>SUM(L3389:L3399)</f>
        <v>0</v>
      </c>
      <c r="M3400" s="1446">
        <f>SUM(M3389:M3399)</f>
        <v>0</v>
      </c>
      <c r="N3400" s="1446">
        <f>SUM(N3389:N3399)</f>
        <v>0</v>
      </c>
      <c r="O3400" s="1446">
        <f>SUM(O3389:O3399)</f>
        <v>0</v>
      </c>
      <c r="P3400" s="1566"/>
      <c r="Q3400" s="1300"/>
      <c r="R3400" s="1300"/>
      <c r="S3400" s="1300"/>
    </row>
    <row r="3401" spans="1:19" s="1081" customFormat="1" hidden="1" outlineLevel="1">
      <c r="A3401" s="1072">
        <f>A3384</f>
        <v>0</v>
      </c>
      <c r="B3401" s="1295"/>
      <c r="C3401" s="1448"/>
      <c r="D3401" s="1449"/>
      <c r="E3401" s="1450" t="s">
        <v>3376</v>
      </c>
      <c r="F3401" s="1450"/>
      <c r="G3401" s="1451"/>
      <c r="H3401" s="1450"/>
      <c r="I3401" s="1450"/>
      <c r="J3401" s="1450"/>
      <c r="K3401" s="1450"/>
      <c r="L3401" s="1450"/>
      <c r="M3401" s="1450"/>
      <c r="N3401" s="1450"/>
      <c r="O3401" s="1449"/>
      <c r="P3401" s="1566"/>
      <c r="Q3401" s="1300"/>
      <c r="R3401" s="1300"/>
      <c r="S3401" s="1300"/>
    </row>
    <row r="3402" spans="1:19" s="1081" customFormat="1" hidden="1" outlineLevel="1">
      <c r="A3402" s="1072" t="str">
        <f t="shared" ref="A3402:A3407" si="870">IF(G3402&lt;&gt;0,1,"")</f>
        <v/>
      </c>
      <c r="B3402" s="1452"/>
      <c r="C3402" s="1453">
        <f>IF(G3402&gt;0,1,0)</f>
        <v>0</v>
      </c>
      <c r="D3402" s="1198"/>
      <c r="E3402" s="1454" t="s">
        <v>3389</v>
      </c>
      <c r="F3402" s="1455" t="s">
        <v>1133</v>
      </c>
      <c r="G3402" s="1460">
        <f>G3389*0</f>
        <v>0</v>
      </c>
      <c r="H3402" s="1455"/>
      <c r="I3402" s="1455"/>
      <c r="J3402" s="1455"/>
      <c r="K3402" s="1455"/>
      <c r="L3402" s="1456"/>
      <c r="M3402" s="1456"/>
      <c r="N3402" s="1456"/>
      <c r="O3402" s="1457"/>
      <c r="P3402" s="1299"/>
      <c r="Q3402" s="1300"/>
      <c r="R3402" s="1300"/>
      <c r="S3402" s="1300"/>
    </row>
    <row r="3403" spans="1:19" s="1081" customFormat="1" hidden="1" outlineLevel="1">
      <c r="A3403" s="1072" t="str">
        <f t="shared" si="870"/>
        <v/>
      </c>
      <c r="B3403" s="1421" t="s">
        <v>1248</v>
      </c>
      <c r="C3403" s="1458"/>
      <c r="D3403" s="1198"/>
      <c r="E3403" s="1459" t="str">
        <f>VLOOKUP($B3403,dongia1,DG!$C$5,)</f>
        <v>Trụ BTLT 10,5m F350 dự ứng lực</v>
      </c>
      <c r="F3403" s="1198" t="str">
        <f>VLOOKUP($B3403,dongia1,DG!$D$5,)</f>
        <v>trụ</v>
      </c>
      <c r="G3403" s="1198">
        <f>G3402</f>
        <v>0</v>
      </c>
      <c r="H3403" s="1399">
        <f>VLOOKUP($B3403,dongia1,DG!$F$5,)</f>
        <v>4200000</v>
      </c>
      <c r="I3403" s="1291"/>
      <c r="J3403" s="1399"/>
      <c r="K3403" s="1291"/>
      <c r="L3403" s="1400">
        <f>H3403*G3403</f>
        <v>0</v>
      </c>
      <c r="M3403" s="1400">
        <f>I3403*G3403</f>
        <v>0</v>
      </c>
      <c r="N3403" s="1400">
        <f>J3403*G3403</f>
        <v>0</v>
      </c>
      <c r="O3403" s="1400">
        <f>K3403*G3403</f>
        <v>0</v>
      </c>
      <c r="P3403" s="1299"/>
      <c r="Q3403" s="1300"/>
      <c r="R3403" s="1300"/>
      <c r="S3403" s="1300"/>
    </row>
    <row r="3404" spans="1:19" s="1081" customFormat="1" hidden="1" outlineLevel="1">
      <c r="A3404" s="1072" t="str">
        <f t="shared" si="870"/>
        <v/>
      </c>
      <c r="B3404" s="1421" t="s">
        <v>1457</v>
      </c>
      <c r="C3404" s="1458"/>
      <c r="D3404" s="1198"/>
      <c r="E3404" s="1459" t="str">
        <f>VLOOKUP($B3404,dongia1,DG!$C$5,)</f>
        <v>Vật liệu dựng trụ</v>
      </c>
      <c r="F3404" s="1198" t="str">
        <f>VLOOKUP($B3404,dongia1,DG!$D$5,)</f>
        <v>trụ</v>
      </c>
      <c r="G3404" s="1198">
        <f>G3403</f>
        <v>0</v>
      </c>
      <c r="H3404" s="1399">
        <f>VLOOKUP($B3404,dongia1,DG!$F$5,)</f>
        <v>17400</v>
      </c>
      <c r="I3404" s="1399"/>
      <c r="J3404" s="1291"/>
      <c r="K3404" s="1291"/>
      <c r="L3404" s="1400">
        <f>H3404*G3404</f>
        <v>0</v>
      </c>
      <c r="M3404" s="1400">
        <f>I3404*G3404</f>
        <v>0</v>
      </c>
      <c r="N3404" s="1400">
        <f>J3404*G3404</f>
        <v>0</v>
      </c>
      <c r="O3404" s="1400">
        <f>K3404*G3404</f>
        <v>0</v>
      </c>
      <c r="P3404" s="1299"/>
      <c r="Q3404" s="1300"/>
      <c r="R3404" s="1300"/>
      <c r="S3404" s="1300"/>
    </row>
    <row r="3405" spans="1:19" s="1081" customFormat="1" hidden="1" outlineLevel="1">
      <c r="A3405" s="1072" t="str">
        <f t="shared" si="870"/>
        <v/>
      </c>
      <c r="B3405" s="1421" t="s">
        <v>1264</v>
      </c>
      <c r="C3405" s="1458"/>
      <c r="D3405" s="1198" t="str">
        <f>VLOOKUP($B3405,dongia1,DG!$B$5,)</f>
        <v>D2.5222</v>
      </c>
      <c r="E3405" s="1459" t="str">
        <f>VLOOKUP($B3405,dongia1,DG!$C$5,)</f>
        <v>Dựng trụ BTLT 10,5m thủ công + cơ giới (cẩu)</v>
      </c>
      <c r="F3405" s="1198" t="str">
        <f>VLOOKUP($B3405,dongia1,DG!$D$5,)</f>
        <v>trụ</v>
      </c>
      <c r="G3405" s="1198">
        <f>G3403</f>
        <v>0</v>
      </c>
      <c r="H3405" s="1459"/>
      <c r="I3405" s="1399"/>
      <c r="J3405" s="1399">
        <f>VLOOKUP($B3405,dongia1,DG!$G$5,)</f>
        <v>551034</v>
      </c>
      <c r="K3405" s="1399">
        <f>VLOOKUP($B3405,dongia1,DG!$H$5,)</f>
        <v>141795.29</v>
      </c>
      <c r="L3405" s="1400">
        <f>H3405*G3405</f>
        <v>0</v>
      </c>
      <c r="M3405" s="1400">
        <f>I3405*G3405</f>
        <v>0</v>
      </c>
      <c r="N3405" s="1400">
        <f>J3405*G3405</f>
        <v>0</v>
      </c>
      <c r="O3405" s="1400">
        <f>K3405*G3405</f>
        <v>0</v>
      </c>
      <c r="P3405" s="1299"/>
      <c r="Q3405" s="1300"/>
      <c r="R3405" s="1300"/>
      <c r="S3405" s="1300"/>
    </row>
    <row r="3406" spans="1:19" s="1081" customFormat="1" hidden="1" outlineLevel="1">
      <c r="A3406" s="1072" t="str">
        <f t="shared" si="870"/>
        <v/>
      </c>
      <c r="B3406" s="1421" t="s">
        <v>1249</v>
      </c>
      <c r="C3406" s="1458"/>
      <c r="D3406" s="1198"/>
      <c r="E3406" s="1459" t="str">
        <f>VLOOKUP($B3406,dongia1,DG!$C$5,)</f>
        <v>Đào hố móng đất cấp 3 sâu &gt;1m DT&lt;5m2</v>
      </c>
      <c r="F3406" s="1198" t="str">
        <f>VLOOKUP($B3406,dongia1,DG!$D$5,)</f>
        <v>m3</v>
      </c>
      <c r="G3406" s="1198">
        <f>G3402*0.201</f>
        <v>0</v>
      </c>
      <c r="H3406" s="1399">
        <f>VLOOKUP($B3406,dongia1,DG!$F$5,)</f>
        <v>0</v>
      </c>
      <c r="I3406" s="1399"/>
      <c r="J3406" s="1399">
        <f>VLOOKUP($B3406,dongia1,DG!$G$5,)</f>
        <v>296500.89999999997</v>
      </c>
      <c r="K3406" s="1399">
        <f>VLOOKUP($B3406,dongia1,DG!$H$5,)</f>
        <v>0</v>
      </c>
      <c r="L3406" s="1400">
        <f>H3406*G3406</f>
        <v>0</v>
      </c>
      <c r="M3406" s="1400">
        <f>I3406*G3406</f>
        <v>0</v>
      </c>
      <c r="N3406" s="1400">
        <f>J3406*G3406</f>
        <v>0</v>
      </c>
      <c r="O3406" s="1400">
        <f>K3406*G3406</f>
        <v>0</v>
      </c>
      <c r="P3406" s="1299"/>
      <c r="Q3406" s="1300"/>
      <c r="R3406" s="1300"/>
      <c r="S3406" s="1300"/>
    </row>
    <row r="3407" spans="1:19" s="1081" customFormat="1" hidden="1" outlineLevel="1">
      <c r="A3407" s="1072" t="str">
        <f t="shared" si="870"/>
        <v/>
      </c>
      <c r="B3407" s="1421" t="s">
        <v>501</v>
      </c>
      <c r="C3407" s="1458"/>
      <c r="D3407" s="1198" t="str">
        <f>VLOOKUP($B3407,dongia1,DG!$B$5,)</f>
        <v>AB.13111</v>
      </c>
      <c r="E3407" s="1459" t="str">
        <f>VLOOKUP($B3407,dongia1,DG!$C$5,)</f>
        <v>Đắp đất hố móng, đất cấp 3 (độ chặt k = 0.85)</v>
      </c>
      <c r="F3407" s="1198" t="str">
        <f>VLOOKUP($B3407,dongia1,DG!$D$5,)</f>
        <v>m3</v>
      </c>
      <c r="G3407" s="1198">
        <f>G3402*0.182</f>
        <v>0</v>
      </c>
      <c r="H3407" s="1459"/>
      <c r="I3407" s="1399"/>
      <c r="J3407" s="1399">
        <f>VLOOKUP($B3407,dongia1,DG!$G$5,)</f>
        <v>117703.6</v>
      </c>
      <c r="K3407" s="1399">
        <f>VLOOKUP($B3407,dongia1,DG!$H$5,)</f>
        <v>0</v>
      </c>
      <c r="L3407" s="1400">
        <f>H3407*G3407</f>
        <v>0</v>
      </c>
      <c r="M3407" s="1400">
        <f>I3407*G3407</f>
        <v>0</v>
      </c>
      <c r="N3407" s="1400">
        <f>J3407*G3407</f>
        <v>0</v>
      </c>
      <c r="O3407" s="1400">
        <f>K3407*G3407</f>
        <v>0</v>
      </c>
      <c r="P3407" s="1299"/>
      <c r="Q3407" s="1300"/>
      <c r="R3407" s="1300"/>
      <c r="S3407" s="1300"/>
    </row>
    <row r="3408" spans="1:19" s="1081" customFormat="1" hidden="1" outlineLevel="1">
      <c r="A3408" s="1072" t="str">
        <f t="shared" ref="A3408:A3413" si="871">IF(G3408&lt;&gt;0,1,"")</f>
        <v/>
      </c>
      <c r="B3408" s="1421"/>
      <c r="C3408" s="1291">
        <f>IF(G3408&gt;0,C3402+1,C3402)</f>
        <v>0</v>
      </c>
      <c r="D3408" s="1198"/>
      <c r="E3408" s="1454" t="s">
        <v>3395</v>
      </c>
      <c r="F3408" s="1455" t="s">
        <v>3391</v>
      </c>
      <c r="G3408" s="1460">
        <f>G3402*0</f>
        <v>0</v>
      </c>
      <c r="H3408" s="1291"/>
      <c r="I3408" s="1291"/>
      <c r="J3408" s="1291"/>
      <c r="K3408" s="1291"/>
      <c r="L3408" s="1291"/>
      <c r="M3408" s="1291"/>
      <c r="N3408" s="1291"/>
      <c r="O3408" s="1461"/>
      <c r="P3408" s="1299"/>
      <c r="Q3408" s="1300"/>
      <c r="R3408" s="1300"/>
      <c r="S3408" s="1300"/>
    </row>
    <row r="3409" spans="1:19" s="1081" customFormat="1" hidden="1" outlineLevel="1">
      <c r="A3409" s="1072" t="str">
        <f t="shared" si="871"/>
        <v/>
      </c>
      <c r="B3409" s="1421" t="s">
        <v>580</v>
      </c>
      <c r="C3409" s="1458"/>
      <c r="D3409" s="1198" t="str">
        <f>VLOOKUP($B3409,dongia1,DG!$B$5,)</f>
        <v>AG.42111</v>
      </c>
      <c r="E3409" s="1459" t="str">
        <f>VLOOKUP($B3409,dongia1,DG!$C$5,)</f>
        <v>Đà cản BTCT 1,2m</v>
      </c>
      <c r="F3409" s="1198" t="str">
        <f>VLOOKUP($B3409,dongia1,DG!$D$5,)</f>
        <v>cái</v>
      </c>
      <c r="G3409" s="1198">
        <f>G3408</f>
        <v>0</v>
      </c>
      <c r="H3409" s="1399">
        <f>VLOOKUP($B3409,dongia1,DG!$F$5,)</f>
        <v>354545</v>
      </c>
      <c r="I3409" s="1399"/>
      <c r="J3409" s="1399">
        <f>VLOOKUP($B3409,dongia1,DG!$G$5,)</f>
        <v>37220.25</v>
      </c>
      <c r="K3409" s="1291"/>
      <c r="L3409" s="1400">
        <f>H3409*G3409</f>
        <v>0</v>
      </c>
      <c r="M3409" s="1400">
        <f>I3409*G3409</f>
        <v>0</v>
      </c>
      <c r="N3409" s="1400">
        <f>J3409*G3409</f>
        <v>0</v>
      </c>
      <c r="O3409" s="1400">
        <f>K3409*G3409</f>
        <v>0</v>
      </c>
      <c r="P3409" s="1299"/>
      <c r="Q3409" s="1300"/>
      <c r="R3409" s="1300"/>
      <c r="S3409" s="1300"/>
    </row>
    <row r="3410" spans="1:19" s="1081" customFormat="1" hidden="1" outlineLevel="1">
      <c r="A3410" s="1072" t="str">
        <f t="shared" si="871"/>
        <v/>
      </c>
      <c r="B3410" s="1421" t="s">
        <v>952</v>
      </c>
      <c r="C3410" s="1458"/>
      <c r="D3410" s="1198"/>
      <c r="E3410" s="1459" t="str">
        <f>VLOOKUP($B3410,dongia1,DG!$C$5,)</f>
        <v>Boulon 22x650+ 2 long đền vuông D24-60x60x3/Zn</v>
      </c>
      <c r="F3410" s="1198" t="str">
        <f>VLOOKUP($B3410,dongia1,DG!$D$5,)</f>
        <v>bộ</v>
      </c>
      <c r="G3410" s="1198">
        <f>G3409</f>
        <v>0</v>
      </c>
      <c r="H3410" s="1399">
        <f>VLOOKUP($B3410,dongia1,DG!$F$5,)</f>
        <v>92200</v>
      </c>
      <c r="I3410" s="1459"/>
      <c r="J3410" s="1459"/>
      <c r="K3410" s="1291"/>
      <c r="L3410" s="1400">
        <f>H3410*G3410</f>
        <v>0</v>
      </c>
      <c r="M3410" s="1400">
        <f>I3410*G3410</f>
        <v>0</v>
      </c>
      <c r="N3410" s="1400">
        <f>J3410*G3410</f>
        <v>0</v>
      </c>
      <c r="O3410" s="1400">
        <f>K3410*G3410</f>
        <v>0</v>
      </c>
      <c r="P3410" s="1299"/>
      <c r="Q3410" s="1300"/>
      <c r="R3410" s="1300"/>
      <c r="S3410" s="1300"/>
    </row>
    <row r="3411" spans="1:19" s="1081" customFormat="1" hidden="1" outlineLevel="1">
      <c r="A3411" s="1072" t="str">
        <f t="shared" si="871"/>
        <v/>
      </c>
      <c r="B3411" s="1421" t="str">
        <f>IF(capdat=1,"MDD1",IF(capdat=2,"MDD2",IF(capdat=3,"MDD3",IF(capdat=4,"MDD4"))))</f>
        <v>MDD3</v>
      </c>
      <c r="C3411" s="1458"/>
      <c r="D3411" s="1198" t="str">
        <f>VLOOKUP($B3411,dongia1,DG!$B$5,)</f>
        <v>03.1013</v>
      </c>
      <c r="E3411" s="1459" t="str">
        <f>VLOOKUP($B3411,dongia1,DG!$C$5,)</f>
        <v>Đào hố móng đất cấp 3 sâu &gt;1m DT&lt;5m2</v>
      </c>
      <c r="F3411" s="1198" t="str">
        <f>VLOOKUP($B3411,dongia1,DG!$D$5,)</f>
        <v>m3</v>
      </c>
      <c r="G3411" s="1198">
        <f>1.48*G3409</f>
        <v>0</v>
      </c>
      <c r="H3411" s="1399">
        <f>VLOOKUP($B3411,dongia1,DG!$F$5,)</f>
        <v>0</v>
      </c>
      <c r="I3411" s="1399"/>
      <c r="J3411" s="1399">
        <f>VLOOKUP($B3411,dongia1,DG!$G$5,)</f>
        <v>296500.89999999997</v>
      </c>
      <c r="K3411" s="1291"/>
      <c r="L3411" s="1400">
        <f>H3411*G3411</f>
        <v>0</v>
      </c>
      <c r="M3411" s="1400">
        <f>I3411*G3411</f>
        <v>0</v>
      </c>
      <c r="N3411" s="1400">
        <f>J3411*G3411</f>
        <v>0</v>
      </c>
      <c r="O3411" s="1400">
        <f>K3411*G3411</f>
        <v>0</v>
      </c>
      <c r="P3411" s="1299"/>
      <c r="Q3411" s="1300"/>
      <c r="R3411" s="1300"/>
      <c r="S3411" s="1300"/>
    </row>
    <row r="3412" spans="1:19" s="1081" customFormat="1" hidden="1" outlineLevel="1">
      <c r="A3412" s="1072" t="str">
        <f t="shared" si="871"/>
        <v/>
      </c>
      <c r="B3412" s="1421" t="str">
        <f>IF(capdat=1,"MDAP1",IF(capdat=2,"MDAP2",IF(capdat=3,"MDAP3",IF(capdat=4,"MDAP4"))))</f>
        <v>MDAP3</v>
      </c>
      <c r="C3412" s="1458"/>
      <c r="D3412" s="1198" t="str">
        <f>VLOOKUP($B3412,dongia1,DG!$B$5,)</f>
        <v>AB.13111</v>
      </c>
      <c r="E3412" s="1459" t="str">
        <f>VLOOKUP($B3412,dongia1,DG!$C$5,)</f>
        <v>Đắp đất hố móng, đất cấp 3 (độ chặt k = 0.85)</v>
      </c>
      <c r="F3412" s="1198" t="str">
        <f>VLOOKUP($B3412,dongia1,DG!$D$5,)</f>
        <v>m3</v>
      </c>
      <c r="G3412" s="1198">
        <f>1.39*G3408</f>
        <v>0</v>
      </c>
      <c r="H3412" s="1399">
        <f>VLOOKUP($B3412,dongia1,DG!$F$5,)</f>
        <v>0</v>
      </c>
      <c r="I3412" s="1399"/>
      <c r="J3412" s="1399">
        <f>VLOOKUP($B3412,dongia1,DG!$G$5,)</f>
        <v>117703.6</v>
      </c>
      <c r="K3412" s="1291"/>
      <c r="L3412" s="1400">
        <f>H3412*G3412</f>
        <v>0</v>
      </c>
      <c r="M3412" s="1400">
        <f>I3412*G3412</f>
        <v>0</v>
      </c>
      <c r="N3412" s="1400">
        <f>J3412*G3412</f>
        <v>0</v>
      </c>
      <c r="O3412" s="1400">
        <f>K3412*G3412</f>
        <v>0</v>
      </c>
      <c r="P3412" s="1299"/>
      <c r="Q3412" s="1300"/>
      <c r="R3412" s="1300"/>
      <c r="S3412" s="1300"/>
    </row>
    <row r="3413" spans="1:19" s="1081" customFormat="1" hidden="1" outlineLevel="1">
      <c r="A3413" s="1072" t="str">
        <f t="shared" si="871"/>
        <v/>
      </c>
      <c r="B3413" s="1295"/>
      <c r="C3413" s="1291">
        <f>IF(G3413&gt;0,C3408+1,C3408)</f>
        <v>0</v>
      </c>
      <c r="D3413" s="1462"/>
      <c r="E3413" s="1454" t="s">
        <v>3396</v>
      </c>
      <c r="F3413" s="1453" t="s">
        <v>2113</v>
      </c>
      <c r="G3413" s="1463">
        <f>G3389*0</f>
        <v>0</v>
      </c>
      <c r="H3413" s="1464"/>
      <c r="I3413" s="1464"/>
      <c r="J3413" s="1464"/>
      <c r="K3413" s="1464"/>
      <c r="L3413" s="1464"/>
      <c r="M3413" s="1464"/>
      <c r="N3413" s="1464"/>
      <c r="O3413" s="1464"/>
      <c r="P3413" s="1299"/>
      <c r="Q3413" s="1300"/>
      <c r="R3413" s="1300"/>
      <c r="S3413" s="1300"/>
    </row>
    <row r="3414" spans="1:19" s="1081" customFormat="1" ht="14.4" hidden="1" outlineLevel="1">
      <c r="A3414" s="1072" t="str">
        <f>A3413</f>
        <v/>
      </c>
      <c r="B3414" s="1295"/>
      <c r="C3414" s="1291"/>
      <c r="D3414" s="1465"/>
      <c r="E3414" s="1301" t="s">
        <v>3399</v>
      </c>
      <c r="F3414" s="1302"/>
      <c r="G3414" s="1303"/>
      <c r="H3414" s="1466"/>
      <c r="I3414" s="1466"/>
      <c r="J3414" s="1466"/>
      <c r="K3414" s="1466"/>
      <c r="L3414" s="1466"/>
      <c r="M3414" s="1466"/>
      <c r="N3414" s="1466"/>
      <c r="O3414" s="1466"/>
      <c r="P3414" s="1299"/>
      <c r="Q3414" s="1300"/>
      <c r="R3414" s="1300"/>
      <c r="S3414" s="1300"/>
    </row>
    <row r="3415" spans="1:19" s="1081" customFormat="1" hidden="1" outlineLevel="1">
      <c r="A3415" s="1072" t="str">
        <f t="shared" ref="A3415:A3421" si="872">IF(G3415&lt;&gt;0,1,"")</f>
        <v/>
      </c>
      <c r="B3415" s="1068" t="s">
        <v>1307</v>
      </c>
      <c r="C3415" s="1291"/>
      <c r="D3415" s="1198">
        <f>VLOOKUP($B3415,dongia1,DG!$B$5,)</f>
        <v>0</v>
      </c>
      <c r="E3415" s="1243" t="str">
        <f>VLOOKUP($B3415,dongia1,DG!$C$5,)</f>
        <v>Đà U160x68x5x2800 đỡ MBA</v>
      </c>
      <c r="F3415" s="1198" t="str">
        <f>VLOOKUP($B3415,dongia1,DG!$D$5,)</f>
        <v>kg</v>
      </c>
      <c r="G3415" s="1303">
        <f>2*G3413</f>
        <v>0</v>
      </c>
      <c r="H3415" s="1399">
        <f>VLOOKUP($B3415,dongia1,DG!$F$5,)</f>
        <v>31625</v>
      </c>
      <c r="I3415" s="1467"/>
      <c r="J3415" s="1399" t="str">
        <f>VLOOKUP($B3415,dongia1,DG!$G$5,)&amp;"x"&amp;hslxh</f>
        <v>x1,7</v>
      </c>
      <c r="K3415" s="1399">
        <f>VLOOKUP($B3415,dongia1,DG!$H$5,)</f>
        <v>0</v>
      </c>
      <c r="L3415" s="1400">
        <f t="shared" ref="L3415:L3432" si="873">H3415*G3415</f>
        <v>0</v>
      </c>
      <c r="M3415" s="1400">
        <f t="shared" ref="M3415:M3423" si="874">I3415*G3415</f>
        <v>0</v>
      </c>
      <c r="N3415" s="1399">
        <f>VLOOKUP($B3415,dongia1,DG!$G$5,)*hslxh*G3415</f>
        <v>0</v>
      </c>
      <c r="O3415" s="1400">
        <f t="shared" ref="O3415:O3423" si="875">K3415*G3415</f>
        <v>0</v>
      </c>
      <c r="P3415" s="1299"/>
      <c r="Q3415" s="1300"/>
      <c r="R3415" s="1300"/>
      <c r="S3415" s="1300"/>
    </row>
    <row r="3416" spans="1:19" s="1081" customFormat="1" hidden="1" outlineLevel="1">
      <c r="A3416" s="1072" t="str">
        <f t="shared" si="872"/>
        <v/>
      </c>
      <c r="B3416" s="1068" t="s">
        <v>1308</v>
      </c>
      <c r="C3416" s="1291"/>
      <c r="D3416" s="1198">
        <f>VLOOKUP($B3416,dongia1,DG!$B$5,)</f>
        <v>0</v>
      </c>
      <c r="E3416" s="1243" t="str">
        <f>VLOOKUP($B3416,dongia1,DG!$C$5,)</f>
        <v xml:space="preserve">Đà U100x46x4,5x400 </v>
      </c>
      <c r="F3416" s="1198" t="str">
        <f>VLOOKUP($B3416,dongia1,DG!$D$5,)</f>
        <v>kg</v>
      </c>
      <c r="G3416" s="1303">
        <f>G3413*4</f>
        <v>0</v>
      </c>
      <c r="H3416" s="1399">
        <f>VLOOKUP($B3416,dongia1,DG!$F$5,)</f>
        <v>31625</v>
      </c>
      <c r="I3416" s="1467"/>
      <c r="J3416" s="1399" t="str">
        <f>VLOOKUP($B3416,dongia1,DG!$G$5,)&amp;"x"&amp;hslx</f>
        <v>x1,5</v>
      </c>
      <c r="K3416" s="1399">
        <f>VLOOKUP($B3416,dongia1,DG!$H$5,)</f>
        <v>0</v>
      </c>
      <c r="L3416" s="1400">
        <f t="shared" si="873"/>
        <v>0</v>
      </c>
      <c r="M3416" s="1400">
        <f t="shared" si="874"/>
        <v>0</v>
      </c>
      <c r="N3416" s="1399">
        <f>VLOOKUP($B3416,dongia1,DG!$G$5,)*hslx*G3416</f>
        <v>0</v>
      </c>
      <c r="O3416" s="1400">
        <f t="shared" si="875"/>
        <v>0</v>
      </c>
      <c r="P3416" s="1299"/>
      <c r="Q3416" s="1300"/>
      <c r="R3416" s="1300"/>
      <c r="S3416" s="1300"/>
    </row>
    <row r="3417" spans="1:19" s="1081" customFormat="1" hidden="1" outlineLevel="1">
      <c r="A3417" s="1072" t="str">
        <f t="shared" si="872"/>
        <v/>
      </c>
      <c r="B3417" s="1068" t="s">
        <v>1309</v>
      </c>
      <c r="C3417" s="1291"/>
      <c r="D3417" s="1198">
        <f>VLOOKUP($B3417,dongia1,DG!$B$5,)</f>
        <v>0</v>
      </c>
      <c r="E3417" s="1243" t="str">
        <f>VLOOKUP($B3417,dongia1,DG!$C$5,)</f>
        <v xml:space="preserve">Đà U100x46x4,5x800 </v>
      </c>
      <c r="F3417" s="1198" t="str">
        <f>VLOOKUP($B3417,dongia1,DG!$D$5,)</f>
        <v>kg</v>
      </c>
      <c r="G3417" s="1303">
        <f>G3413*2</f>
        <v>0</v>
      </c>
      <c r="H3417" s="1399">
        <f>VLOOKUP($B3417,dongia1,DG!$F$5,)</f>
        <v>31625</v>
      </c>
      <c r="I3417" s="1467"/>
      <c r="J3417" s="1399" t="str">
        <f>VLOOKUP($B3417,dongia1,DG!$G$5,)&amp;"x"&amp;hslx</f>
        <v>x1,5</v>
      </c>
      <c r="K3417" s="1399">
        <f>VLOOKUP($B3417,dongia1,DG!$H$5,)</f>
        <v>0</v>
      </c>
      <c r="L3417" s="1400">
        <f t="shared" si="873"/>
        <v>0</v>
      </c>
      <c r="M3417" s="1400">
        <f t="shared" si="874"/>
        <v>0</v>
      </c>
      <c r="N3417" s="1399">
        <f>VLOOKUP($B3417,dongia1,DG!$G$5,)*hslx*G3417</f>
        <v>0</v>
      </c>
      <c r="O3417" s="1400">
        <f t="shared" si="875"/>
        <v>0</v>
      </c>
      <c r="P3417" s="1299"/>
      <c r="Q3417" s="1300"/>
      <c r="R3417" s="1300"/>
      <c r="S3417" s="1300"/>
    </row>
    <row r="3418" spans="1:19" s="1081" customFormat="1" hidden="1" outlineLevel="1">
      <c r="A3418" s="1072" t="str">
        <f t="shared" si="872"/>
        <v/>
      </c>
      <c r="B3418" s="1295" t="s">
        <v>1039</v>
      </c>
      <c r="C3418" s="1291"/>
      <c r="D3418" s="1198">
        <f>VLOOKUP($B3418,dongia1,DG!$B$5,)</f>
        <v>0</v>
      </c>
      <c r="E3418" s="1243" t="str">
        <f>VLOOKUP($B3418,dongia1,DG!$C$5,)</f>
        <v>Boulon 16x400VRS+ 4 long đền vuông D18-50x50x3/Zn</v>
      </c>
      <c r="F3418" s="1198" t="str">
        <f>VLOOKUP($B3418,dongia1,DG!$D$5,)</f>
        <v>bộ</v>
      </c>
      <c r="G3418" s="1303">
        <f>G3413*12</f>
        <v>0</v>
      </c>
      <c r="H3418" s="1399">
        <f>VLOOKUP($B3418,dongia1,DG!$F$5,)</f>
        <v>34800</v>
      </c>
      <c r="I3418" s="1467"/>
      <c r="J3418" s="1399">
        <f>VLOOKUP($B3418,dongia1,DG!$G$5,)</f>
        <v>0</v>
      </c>
      <c r="K3418" s="1399">
        <f>VLOOKUP($B3418,dongia1,DG!$H$5,)</f>
        <v>0</v>
      </c>
      <c r="L3418" s="1400">
        <f t="shared" si="873"/>
        <v>0</v>
      </c>
      <c r="M3418" s="1400">
        <f t="shared" si="874"/>
        <v>0</v>
      </c>
      <c r="N3418" s="1400">
        <f t="shared" ref="N3418:N3423" si="876">J3418*G3418</f>
        <v>0</v>
      </c>
      <c r="O3418" s="1400">
        <f t="shared" si="875"/>
        <v>0</v>
      </c>
      <c r="P3418" s="1299"/>
      <c r="Q3418" s="1300"/>
      <c r="R3418" s="1300"/>
      <c r="S3418" s="1300"/>
    </row>
    <row r="3419" spans="1:19" s="1081" customFormat="1" hidden="1" outlineLevel="1">
      <c r="A3419" s="1072" t="str">
        <f t="shared" si="872"/>
        <v/>
      </c>
      <c r="B3419" s="1295" t="s">
        <v>82</v>
      </c>
      <c r="C3419" s="1291"/>
      <c r="D3419" s="1198">
        <f>VLOOKUP($B3419,dongia1,DG!$B$5,)</f>
        <v>0</v>
      </c>
      <c r="E3419" s="1243" t="str">
        <f>VLOOKUP($B3419,dongia1,DG!$C$5,)</f>
        <v>Boulon 16x400+ 2 long đền vuông D18-50x50x3/Zn</v>
      </c>
      <c r="F3419" s="1198" t="str">
        <f>VLOOKUP($B3419,dongia1,DG!$D$5,)</f>
        <v>bộ</v>
      </c>
      <c r="G3419" s="1303">
        <f>G3413*2</f>
        <v>0</v>
      </c>
      <c r="H3419" s="1399">
        <f>VLOOKUP($B3419,dongia1,DG!$F$5,)</f>
        <v>29900</v>
      </c>
      <c r="I3419" s="1467"/>
      <c r="J3419" s="1399">
        <f>VLOOKUP($B3419,dongia1,DG!$G$5,)</f>
        <v>0</v>
      </c>
      <c r="K3419" s="1399">
        <f>VLOOKUP($B3419,dongia1,DG!$H$5,)</f>
        <v>0</v>
      </c>
      <c r="L3419" s="1400">
        <f t="shared" si="873"/>
        <v>0</v>
      </c>
      <c r="M3419" s="1400">
        <f t="shared" si="874"/>
        <v>0</v>
      </c>
      <c r="N3419" s="1400">
        <f t="shared" si="876"/>
        <v>0</v>
      </c>
      <c r="O3419" s="1400">
        <f t="shared" si="875"/>
        <v>0</v>
      </c>
      <c r="P3419" s="1299"/>
      <c r="Q3419" s="1300"/>
      <c r="R3419" s="1300"/>
      <c r="S3419" s="1300"/>
    </row>
    <row r="3420" spans="1:19" s="1081" customFormat="1" hidden="1" outlineLevel="1">
      <c r="A3420" s="1072" t="str">
        <f t="shared" si="872"/>
        <v/>
      </c>
      <c r="B3420" s="1295" t="s">
        <v>733</v>
      </c>
      <c r="C3420" s="1291"/>
      <c r="D3420" s="1198">
        <f>VLOOKUP($B3420,dongia1,DG!$B$5,)</f>
        <v>0</v>
      </c>
      <c r="E3420" s="1243" t="str">
        <f>VLOOKUP($B3420,dongia1,DG!$C$5,)</f>
        <v>Boulon 16x350+ 2 long đền vuông D18-50x50x3/Zn</v>
      </c>
      <c r="F3420" s="1198" t="str">
        <f>VLOOKUP($B3420,dongia1,DG!$D$5,)</f>
        <v>bộ</v>
      </c>
      <c r="G3420" s="1303">
        <f>+G3413*4</f>
        <v>0</v>
      </c>
      <c r="H3420" s="1399">
        <f>VLOOKUP($B3420,dongia1,DG!$F$5,)</f>
        <v>27900</v>
      </c>
      <c r="I3420" s="1467"/>
      <c r="J3420" s="1399">
        <f>VLOOKUP($B3420,dongia1,DG!$G$5,)</f>
        <v>0</v>
      </c>
      <c r="K3420" s="1399">
        <f>VLOOKUP($B3420,dongia1,DG!$H$5,)</f>
        <v>0</v>
      </c>
      <c r="L3420" s="1400">
        <f t="shared" si="873"/>
        <v>0</v>
      </c>
      <c r="M3420" s="1400">
        <f t="shared" si="874"/>
        <v>0</v>
      </c>
      <c r="N3420" s="1400">
        <f t="shared" si="876"/>
        <v>0</v>
      </c>
      <c r="O3420" s="1400">
        <f t="shared" si="875"/>
        <v>0</v>
      </c>
      <c r="P3420" s="1299"/>
      <c r="Q3420" s="1300"/>
      <c r="R3420" s="1300"/>
      <c r="S3420" s="1300"/>
    </row>
    <row r="3421" spans="1:19" s="1081" customFormat="1" hidden="1" outlineLevel="1">
      <c r="A3421" s="1072" t="str">
        <f t="shared" si="872"/>
        <v/>
      </c>
      <c r="B3421" s="1295"/>
      <c r="C3421" s="1291">
        <f>IF(G3421&gt;0,C3413+1,C3413)</f>
        <v>0</v>
      </c>
      <c r="D3421" s="1292"/>
      <c r="E3421" s="1468" t="s">
        <v>3452</v>
      </c>
      <c r="F3421" s="1291" t="s">
        <v>2113</v>
      </c>
      <c r="G3421" s="1297">
        <f>G3413*2*0</f>
        <v>0</v>
      </c>
      <c r="H3421" s="1467"/>
      <c r="I3421" s="1467"/>
      <c r="J3421" s="1467"/>
      <c r="K3421" s="1467"/>
      <c r="L3421" s="1400">
        <f t="shared" si="873"/>
        <v>0</v>
      </c>
      <c r="M3421" s="1400">
        <f t="shared" si="874"/>
        <v>0</v>
      </c>
      <c r="N3421" s="1400">
        <f t="shared" si="876"/>
        <v>0</v>
      </c>
      <c r="O3421" s="1400">
        <f t="shared" si="875"/>
        <v>0</v>
      </c>
      <c r="P3421" s="1299"/>
      <c r="Q3421" s="1300"/>
      <c r="R3421" s="1300"/>
      <c r="S3421" s="1300"/>
    </row>
    <row r="3422" spans="1:19" s="1081" customFormat="1" ht="14.4" hidden="1" outlineLevel="1">
      <c r="A3422" s="1072" t="str">
        <f>A3421</f>
        <v/>
      </c>
      <c r="B3422" s="1295"/>
      <c r="C3422" s="1291"/>
      <c r="D3422" s="1292"/>
      <c r="E3422" s="1301" t="s">
        <v>3399</v>
      </c>
      <c r="F3422" s="1302"/>
      <c r="G3422" s="1303"/>
      <c r="H3422" s="1467"/>
      <c r="I3422" s="1467"/>
      <c r="J3422" s="1467"/>
      <c r="K3422" s="1467"/>
      <c r="L3422" s="1400">
        <f t="shared" si="873"/>
        <v>0</v>
      </c>
      <c r="M3422" s="1400">
        <f t="shared" si="874"/>
        <v>0</v>
      </c>
      <c r="N3422" s="1400">
        <f t="shared" si="876"/>
        <v>0</v>
      </c>
      <c r="O3422" s="1400">
        <f t="shared" si="875"/>
        <v>0</v>
      </c>
      <c r="P3422" s="1299"/>
      <c r="Q3422" s="1300"/>
      <c r="R3422" s="1300"/>
      <c r="S3422" s="1300"/>
    </row>
    <row r="3423" spans="1:19" s="1081" customFormat="1" hidden="1" outlineLevel="1">
      <c r="A3423" s="1072" t="str">
        <f t="shared" ref="A3423:A3428" si="877">IF(G3423&lt;&gt;0,1,"")</f>
        <v/>
      </c>
      <c r="B3423" s="1068" t="s">
        <v>1626</v>
      </c>
      <c r="C3423" s="1291"/>
      <c r="D3423" s="1198">
        <v>0</v>
      </c>
      <c r="E3423" s="1243" t="str">
        <f>VLOOKUP($B3423,dongia1,DG!$C$5,)</f>
        <v>Sắt góc L75 x75 x8</v>
      </c>
      <c r="F3423" s="1198" t="s">
        <v>1557</v>
      </c>
      <c r="G3423" s="1304">
        <f>G3421*9.02*(2.6+3*0.07)*2</f>
        <v>0</v>
      </c>
      <c r="H3423" s="1399">
        <f>VLOOKUP($B3423,dongia1,DG!$F$5,)</f>
        <v>31625</v>
      </c>
      <c r="I3423" s="1399"/>
      <c r="J3423" s="1399">
        <v>0</v>
      </c>
      <c r="K3423" s="1399">
        <v>0</v>
      </c>
      <c r="L3423" s="1400">
        <f t="shared" si="873"/>
        <v>0</v>
      </c>
      <c r="M3423" s="1400">
        <f t="shared" si="874"/>
        <v>0</v>
      </c>
      <c r="N3423" s="1400">
        <f t="shared" si="876"/>
        <v>0</v>
      </c>
      <c r="O3423" s="1400">
        <f t="shared" si="875"/>
        <v>0</v>
      </c>
      <c r="P3423" s="1299"/>
      <c r="Q3423" s="1300"/>
      <c r="R3423" s="1300"/>
      <c r="S3423" s="1300"/>
    </row>
    <row r="3424" spans="1:19" s="1081" customFormat="1" hidden="1" outlineLevel="1">
      <c r="A3424" s="1072" t="str">
        <f t="shared" si="877"/>
        <v/>
      </c>
      <c r="B3424" s="1295" t="s">
        <v>1042</v>
      </c>
      <c r="C3424" s="1291"/>
      <c r="D3424" s="1198">
        <v>0</v>
      </c>
      <c r="E3424" s="1243" t="str">
        <f>VLOOKUP($B3424,dongia1,DG!$C$5,)</f>
        <v>Boulon 16x300VRS+ 4 long đền vuông D18-50x50x3/Zn</v>
      </c>
      <c r="F3424" s="1198" t="s">
        <v>2113</v>
      </c>
      <c r="G3424" s="1303">
        <f>G3421*2</f>
        <v>0</v>
      </c>
      <c r="H3424" s="1399">
        <f>VLOOKUP($B3424,dongia1,DG!$F$5,)</f>
        <v>31800</v>
      </c>
      <c r="I3424" s="1399">
        <v>0</v>
      </c>
      <c r="J3424" s="1399">
        <v>0</v>
      </c>
      <c r="K3424" s="1399">
        <v>0</v>
      </c>
      <c r="L3424" s="1400">
        <f t="shared" si="873"/>
        <v>0</v>
      </c>
      <c r="M3424" s="1400">
        <f>I3424*G3424</f>
        <v>0</v>
      </c>
      <c r="N3424" s="1400">
        <f>J3424*G3424</f>
        <v>0</v>
      </c>
      <c r="O3424" s="1400">
        <f>K3424*G3424</f>
        <v>0</v>
      </c>
      <c r="P3424" s="1299"/>
      <c r="Q3424" s="1300"/>
      <c r="R3424" s="1300"/>
      <c r="S3424" s="1300"/>
    </row>
    <row r="3425" spans="1:19" s="1081" customFormat="1" hidden="1" outlineLevel="1">
      <c r="A3425" s="1072" t="str">
        <f t="shared" si="877"/>
        <v/>
      </c>
      <c r="B3425" s="1295" t="s">
        <v>1262</v>
      </c>
      <c r="C3425" s="1291"/>
      <c r="D3425" s="1198">
        <v>0</v>
      </c>
      <c r="E3425" s="1243" t="str">
        <f>VLOOKUP($B3425,dongia1,DG!$C$5,)</f>
        <v>Boulon 16x300+ 2 long đền vuông D18-50x50x3/Zn</v>
      </c>
      <c r="F3425" s="1198" t="s">
        <v>2113</v>
      </c>
      <c r="G3425" s="1303">
        <f>G3421*2</f>
        <v>0</v>
      </c>
      <c r="H3425" s="1399">
        <f>VLOOKUP($B3425,dongia1,DG!$F$5,)</f>
        <v>25400</v>
      </c>
      <c r="I3425" s="1399">
        <v>0</v>
      </c>
      <c r="J3425" s="1399">
        <v>0</v>
      </c>
      <c r="K3425" s="1399">
        <v>0</v>
      </c>
      <c r="L3425" s="1400">
        <f t="shared" si="873"/>
        <v>0</v>
      </c>
      <c r="M3425" s="1400">
        <f>I3425*G3425</f>
        <v>0</v>
      </c>
      <c r="N3425" s="1400">
        <f>J3425*G3425</f>
        <v>0</v>
      </c>
      <c r="O3425" s="1400">
        <f>K3425*G3425</f>
        <v>0</v>
      </c>
      <c r="P3425" s="1299"/>
      <c r="Q3425" s="1300"/>
      <c r="R3425" s="1300"/>
      <c r="S3425" s="1300"/>
    </row>
    <row r="3426" spans="1:19" s="1081" customFormat="1" hidden="1" outlineLevel="1">
      <c r="A3426" s="1072" t="str">
        <f t="shared" si="877"/>
        <v/>
      </c>
      <c r="B3426" s="1295" t="s">
        <v>1261</v>
      </c>
      <c r="C3426" s="1291"/>
      <c r="D3426" s="1198">
        <v>0</v>
      </c>
      <c r="E3426" s="1243" t="str">
        <f>VLOOKUP($B3426,dongia1,DG!$C$5,)</f>
        <v>Boulon 16x250+ 2 long đền vuông D18-50x50x3/Zn</v>
      </c>
      <c r="F3426" s="1198" t="s">
        <v>2113</v>
      </c>
      <c r="G3426" s="1303">
        <f>G3425</f>
        <v>0</v>
      </c>
      <c r="H3426" s="1399">
        <f>VLOOKUP($B3426,dongia1,DG!$F$5,)</f>
        <v>13400</v>
      </c>
      <c r="I3426" s="1399">
        <v>0</v>
      </c>
      <c r="J3426" s="1399">
        <v>0</v>
      </c>
      <c r="K3426" s="1399">
        <v>0</v>
      </c>
      <c r="L3426" s="1400">
        <f t="shared" si="873"/>
        <v>0</v>
      </c>
      <c r="M3426" s="1400">
        <f>I3426*G3426</f>
        <v>0</v>
      </c>
      <c r="N3426" s="1400">
        <f>J3426*G3426</f>
        <v>0</v>
      </c>
      <c r="O3426" s="1400">
        <f>K3426*G3426</f>
        <v>0</v>
      </c>
      <c r="P3426" s="1299"/>
      <c r="Q3426" s="1300"/>
      <c r="R3426" s="1300"/>
      <c r="S3426" s="1300"/>
    </row>
    <row r="3427" spans="1:19" s="1081" customFormat="1" hidden="1" outlineLevel="1">
      <c r="A3427" s="1072" t="str">
        <f t="shared" si="877"/>
        <v/>
      </c>
      <c r="B3427" s="1295" t="s">
        <v>728</v>
      </c>
      <c r="C3427" s="1291"/>
      <c r="D3427" s="1198" t="s">
        <v>192</v>
      </c>
      <c r="E3427" s="1243" t="str">
        <f>VLOOKUP($B3427,dongia1,DG!$C$5,)</f>
        <v>Lắp xà cột Pi loại ≤140kg/xà</v>
      </c>
      <c r="F3427" s="1198" t="s">
        <v>2113</v>
      </c>
      <c r="G3427" s="1303">
        <f>G3421</f>
        <v>0</v>
      </c>
      <c r="H3427" s="1399">
        <v>0</v>
      </c>
      <c r="I3427" s="1399"/>
      <c r="J3427" s="1399" t="str">
        <f>TEXT(VLOOKUP($B3427,dongia1,DG!$G$5,),"#,###")&amp;"x"&amp;hslxh</f>
        <v>474961,x1,7</v>
      </c>
      <c r="K3427" s="1399"/>
      <c r="L3427" s="1400">
        <f t="shared" si="873"/>
        <v>0</v>
      </c>
      <c r="M3427" s="1400"/>
      <c r="N3427" s="1399">
        <f>VLOOKUP($B3427,dongia1,DG!$G$5,)*G3427*hslxh</f>
        <v>0</v>
      </c>
      <c r="O3427" s="1400"/>
      <c r="P3427" s="1299"/>
      <c r="Q3427" s="1300"/>
      <c r="R3427" s="1300"/>
      <c r="S3427" s="1300"/>
    </row>
    <row r="3428" spans="1:19" s="1081" customFormat="1" hidden="1" outlineLevel="1">
      <c r="A3428" s="1072" t="str">
        <f t="shared" si="877"/>
        <v/>
      </c>
      <c r="B3428" s="1295"/>
      <c r="C3428" s="1291">
        <f>IF(G3428&gt;0,C3421+1,C3421)</f>
        <v>0</v>
      </c>
      <c r="D3428" s="1292"/>
      <c r="E3428" s="1468" t="s">
        <v>3465</v>
      </c>
      <c r="F3428" s="1291" t="s">
        <v>2113</v>
      </c>
      <c r="G3428" s="1297">
        <f>G3413*3</f>
        <v>0</v>
      </c>
      <c r="H3428" s="1467"/>
      <c r="I3428" s="1467"/>
      <c r="J3428" s="1467"/>
      <c r="K3428" s="1467"/>
      <c r="L3428" s="1400">
        <f t="shared" si="873"/>
        <v>0</v>
      </c>
      <c r="M3428" s="1400">
        <f>I3428*G3428</f>
        <v>0</v>
      </c>
      <c r="N3428" s="1400">
        <f>J3428*G3428</f>
        <v>0</v>
      </c>
      <c r="O3428" s="1400">
        <f>K3428*G3428</f>
        <v>0</v>
      </c>
      <c r="P3428" s="1299"/>
      <c r="Q3428" s="1300"/>
      <c r="R3428" s="1300"/>
      <c r="S3428" s="1300"/>
    </row>
    <row r="3429" spans="1:19" s="1081" customFormat="1" ht="14.4" hidden="1" outlineLevel="1">
      <c r="A3429" s="1072" t="str">
        <f>A3428</f>
        <v/>
      </c>
      <c r="B3429" s="1295"/>
      <c r="C3429" s="1291"/>
      <c r="D3429" s="1292"/>
      <c r="E3429" s="1301" t="s">
        <v>3399</v>
      </c>
      <c r="F3429" s="1302"/>
      <c r="G3429" s="1303"/>
      <c r="H3429" s="1467"/>
      <c r="I3429" s="1467"/>
      <c r="J3429" s="1467"/>
      <c r="K3429" s="1467"/>
      <c r="L3429" s="1400">
        <f t="shared" si="873"/>
        <v>0</v>
      </c>
      <c r="M3429" s="1400">
        <f>I3429*G3429</f>
        <v>0</v>
      </c>
      <c r="N3429" s="1400">
        <f>J3429*G3429</f>
        <v>0</v>
      </c>
      <c r="O3429" s="1400">
        <f>K3429*G3429</f>
        <v>0</v>
      </c>
      <c r="P3429" s="1299"/>
      <c r="Q3429" s="1300"/>
      <c r="R3429" s="1300"/>
      <c r="S3429" s="1300"/>
    </row>
    <row r="3430" spans="1:19" s="1081" customFormat="1" hidden="1" outlineLevel="1">
      <c r="A3430" s="1072" t="str">
        <f t="shared" ref="A3430:A3435" si="878">IF(G3430&lt;&gt;0,1,"")</f>
        <v/>
      </c>
      <c r="B3430" s="1068" t="s">
        <v>1626</v>
      </c>
      <c r="C3430" s="1291"/>
      <c r="D3430" s="1198">
        <v>0</v>
      </c>
      <c r="E3430" s="1243" t="str">
        <f>VLOOKUP($B3430,dongia1,DG!$C$5,)</f>
        <v>Sắt góc L75 x75 x8</v>
      </c>
      <c r="F3430" s="1198" t="s">
        <v>1557</v>
      </c>
      <c r="G3430" s="1304">
        <f>G3428*9.02*(2.6+3*0.07)</f>
        <v>0</v>
      </c>
      <c r="H3430" s="1399">
        <f>VLOOKUP($B3430,dongia1,DG!$F$5,)</f>
        <v>31625</v>
      </c>
      <c r="I3430" s="1399"/>
      <c r="J3430" s="1399">
        <v>0</v>
      </c>
      <c r="K3430" s="1399">
        <v>0</v>
      </c>
      <c r="L3430" s="1400">
        <f t="shared" si="873"/>
        <v>0</v>
      </c>
      <c r="M3430" s="1400">
        <f>I3430*G3430</f>
        <v>0</v>
      </c>
      <c r="N3430" s="1400">
        <f>J3430*G3430</f>
        <v>0</v>
      </c>
      <c r="O3430" s="1400">
        <f>K3430*G3430</f>
        <v>0</v>
      </c>
      <c r="P3430" s="1299"/>
      <c r="Q3430" s="1300"/>
      <c r="R3430" s="1300"/>
      <c r="S3430" s="1300"/>
    </row>
    <row r="3431" spans="1:19" s="1081" customFormat="1" hidden="1" outlineLevel="1">
      <c r="A3431" s="1072" t="str">
        <f t="shared" si="878"/>
        <v/>
      </c>
      <c r="B3431" s="1295" t="s">
        <v>1261</v>
      </c>
      <c r="C3431" s="1291"/>
      <c r="D3431" s="1198">
        <v>0</v>
      </c>
      <c r="E3431" s="1243" t="str">
        <f>VLOOKUP($B3431,dongia1,DG!$C$5,)</f>
        <v>Boulon 16x250+ 2 long đền vuông D18-50x50x3/Zn</v>
      </c>
      <c r="F3431" s="1198" t="s">
        <v>2113</v>
      </c>
      <c r="G3431" s="1303">
        <f>IF(G3428&gt;2,(G3428-1)*2,0)</f>
        <v>0</v>
      </c>
      <c r="H3431" s="1399">
        <f>VLOOKUP($B3431,dongia1,DG!$F$5,)</f>
        <v>13400</v>
      </c>
      <c r="I3431" s="1399">
        <v>0</v>
      </c>
      <c r="J3431" s="1399">
        <v>0</v>
      </c>
      <c r="K3431" s="1399">
        <v>0</v>
      </c>
      <c r="L3431" s="1400">
        <f t="shared" si="873"/>
        <v>0</v>
      </c>
      <c r="M3431" s="1400">
        <f>I3431*G3431</f>
        <v>0</v>
      </c>
      <c r="N3431" s="1400">
        <f>J3431*G3431</f>
        <v>0</v>
      </c>
      <c r="O3431" s="1400">
        <f>K3431*G3431</f>
        <v>0</v>
      </c>
      <c r="P3431" s="1299"/>
      <c r="Q3431" s="1300"/>
      <c r="R3431" s="1300"/>
      <c r="S3431" s="1300"/>
    </row>
    <row r="3432" spans="1:19" s="1081" customFormat="1" hidden="1" outlineLevel="1">
      <c r="A3432" s="1072" t="str">
        <f t="shared" si="878"/>
        <v/>
      </c>
      <c r="B3432" s="1295" t="s">
        <v>1262</v>
      </c>
      <c r="C3432" s="1291"/>
      <c r="D3432" s="1198">
        <v>0</v>
      </c>
      <c r="E3432" s="1243" t="str">
        <f>VLOOKUP($B3432,dongia1,DG!$C$5,)</f>
        <v>Boulon 16x300+ 2 long đền vuông D18-50x50x3/Zn</v>
      </c>
      <c r="F3432" s="1198" t="s">
        <v>2113</v>
      </c>
      <c r="G3432" s="1303">
        <f>IF(G3428=0,0,2)</f>
        <v>0</v>
      </c>
      <c r="H3432" s="1399">
        <f>VLOOKUP($B3432,dongia1,DG!$F$5,)</f>
        <v>25400</v>
      </c>
      <c r="I3432" s="1399">
        <v>0</v>
      </c>
      <c r="J3432" s="1399">
        <v>0</v>
      </c>
      <c r="K3432" s="1399">
        <v>0</v>
      </c>
      <c r="L3432" s="1400">
        <f t="shared" si="873"/>
        <v>0</v>
      </c>
      <c r="M3432" s="1400">
        <f>I3432*G3432</f>
        <v>0</v>
      </c>
      <c r="N3432" s="1400">
        <f>J3432*G3432</f>
        <v>0</v>
      </c>
      <c r="O3432" s="1400">
        <f>K3432*G3432</f>
        <v>0</v>
      </c>
      <c r="P3432" s="1299"/>
      <c r="Q3432" s="1300"/>
      <c r="R3432" s="1300"/>
      <c r="S3432" s="1300"/>
    </row>
    <row r="3433" spans="1:19" s="1081" customFormat="1" hidden="1" outlineLevel="1">
      <c r="A3433" s="1072" t="str">
        <f t="shared" si="878"/>
        <v/>
      </c>
      <c r="B3433" s="1068" t="s">
        <v>946</v>
      </c>
      <c r="C3433" s="1291"/>
      <c r="D3433" s="1198">
        <v>0</v>
      </c>
      <c r="E3433" s="1243" t="str">
        <f>VLOOKUP($B3433,dongia1,DG!$C$5,)</f>
        <v>Bass LL bắt FCO và LA</v>
      </c>
      <c r="F3433" s="1198" t="s">
        <v>2113</v>
      </c>
      <c r="G3433" s="1303">
        <f>G3428*1</f>
        <v>0</v>
      </c>
      <c r="H3433" s="1399">
        <f>VLOOKUP($B3433,dongia1,DG!$F$5,)</f>
        <v>65000</v>
      </c>
      <c r="I3433" s="1399">
        <v>0</v>
      </c>
      <c r="J3433" s="1399"/>
      <c r="K3433" s="1399"/>
      <c r="L3433" s="1400"/>
      <c r="M3433" s="1400"/>
      <c r="N3433" s="1400"/>
      <c r="O3433" s="1400"/>
      <c r="P3433" s="1299"/>
      <c r="Q3433" s="1300"/>
      <c r="R3433" s="1300"/>
      <c r="S3433" s="1300"/>
    </row>
    <row r="3434" spans="1:19" s="1081" customFormat="1" hidden="1" outlineLevel="1">
      <c r="A3434" s="1072" t="str">
        <f t="shared" si="878"/>
        <v/>
      </c>
      <c r="B3434" s="1295" t="s">
        <v>728</v>
      </c>
      <c r="C3434" s="1291"/>
      <c r="D3434" s="1198" t="s">
        <v>192</v>
      </c>
      <c r="E3434" s="1243" t="str">
        <f>VLOOKUP($B3434,dongia1,DG!$C$5,)</f>
        <v>Lắp xà cột Pi loại ≤140kg/xà</v>
      </c>
      <c r="F3434" s="1198" t="s">
        <v>2113</v>
      </c>
      <c r="G3434" s="1303">
        <f>G3428</f>
        <v>0</v>
      </c>
      <c r="H3434" s="1399">
        <v>0</v>
      </c>
      <c r="I3434" s="1399"/>
      <c r="J3434" s="1399" t="str">
        <f>TEXT(VLOOKUP($B3434,dongia1,DG!$G$5,),"#,###")&amp;"x"&amp;hslxh</f>
        <v>474961,x1,7</v>
      </c>
      <c r="K3434" s="1399"/>
      <c r="L3434" s="1400">
        <f t="shared" ref="L3434:L3461" si="879">H3434*G3434</f>
        <v>0</v>
      </c>
      <c r="M3434" s="1400"/>
      <c r="N3434" s="1399">
        <f>VLOOKUP($B3434,dongia1,DG!$G$5,)*G3434*hslxh</f>
        <v>0</v>
      </c>
      <c r="O3434" s="1400"/>
      <c r="P3434" s="1299"/>
      <c r="Q3434" s="1300"/>
      <c r="R3434" s="1300"/>
      <c r="S3434" s="1300"/>
    </row>
    <row r="3435" spans="1:19" s="1081" customFormat="1" hidden="1" outlineLevel="1">
      <c r="A3435" s="1072" t="str">
        <f t="shared" si="878"/>
        <v/>
      </c>
      <c r="B3435" s="1295"/>
      <c r="C3435" s="1291">
        <f>IF(G3435&gt;0,C3428+1,C3428)</f>
        <v>0</v>
      </c>
      <c r="D3435" s="1292"/>
      <c r="E3435" s="1468" t="s">
        <v>3439</v>
      </c>
      <c r="F3435" s="1291" t="s">
        <v>2113</v>
      </c>
      <c r="G3435" s="1297">
        <f>G3413*2</f>
        <v>0</v>
      </c>
      <c r="H3435" s="1467"/>
      <c r="I3435" s="1467"/>
      <c r="J3435" s="1467"/>
      <c r="K3435" s="1467"/>
      <c r="L3435" s="1400">
        <f t="shared" si="879"/>
        <v>0</v>
      </c>
      <c r="M3435" s="1400">
        <f>I3435*G3435</f>
        <v>0</v>
      </c>
      <c r="N3435" s="1400">
        <f>J3435*G3435</f>
        <v>0</v>
      </c>
      <c r="O3435" s="1400">
        <f>K3435*G3435</f>
        <v>0</v>
      </c>
      <c r="P3435" s="1299"/>
      <c r="Q3435" s="1300"/>
      <c r="R3435" s="1300"/>
      <c r="S3435" s="1300"/>
    </row>
    <row r="3436" spans="1:19" s="1081" customFormat="1" ht="14.4" hidden="1" outlineLevel="1">
      <c r="A3436" s="1072" t="str">
        <f>A3435</f>
        <v/>
      </c>
      <c r="B3436" s="1295"/>
      <c r="C3436" s="1291"/>
      <c r="D3436" s="1292"/>
      <c r="E3436" s="1301" t="s">
        <v>3399</v>
      </c>
      <c r="F3436" s="1302"/>
      <c r="G3436" s="1303"/>
      <c r="H3436" s="1467"/>
      <c r="I3436" s="1467"/>
      <c r="J3436" s="1467"/>
      <c r="K3436" s="1467"/>
      <c r="L3436" s="1400">
        <f t="shared" si="879"/>
        <v>0</v>
      </c>
      <c r="M3436" s="1400">
        <f>I3436*G3436</f>
        <v>0</v>
      </c>
      <c r="N3436" s="1400">
        <f>J3436*G3436</f>
        <v>0</v>
      </c>
      <c r="O3436" s="1400">
        <f>K3436*G3436</f>
        <v>0</v>
      </c>
      <c r="P3436" s="1299"/>
      <c r="Q3436" s="1300"/>
      <c r="R3436" s="1300"/>
      <c r="S3436" s="1300"/>
    </row>
    <row r="3437" spans="1:19" s="1081" customFormat="1" hidden="1" outlineLevel="1">
      <c r="A3437" s="1072" t="str">
        <f t="shared" ref="A3437:A3442" si="880">IF(G3437&lt;&gt;0,1,"")</f>
        <v/>
      </c>
      <c r="B3437" s="1295" t="s">
        <v>1626</v>
      </c>
      <c r="C3437" s="1291"/>
      <c r="D3437" s="1198">
        <v>0</v>
      </c>
      <c r="E3437" s="1243" t="str">
        <f>VLOOKUP($B3437,dongia1,DG!$C$5,)</f>
        <v>Sắt góc L75 x75 x8</v>
      </c>
      <c r="F3437" s="1198" t="s">
        <v>1557</v>
      </c>
      <c r="G3437" s="1304">
        <f>G3435*9.02*2.6</f>
        <v>0</v>
      </c>
      <c r="H3437" s="1399">
        <f>VLOOKUP($B3437,dongia1,DG!$F$5,)</f>
        <v>31625</v>
      </c>
      <c r="I3437" s="1399"/>
      <c r="J3437" s="1399">
        <v>0</v>
      </c>
      <c r="K3437" s="1399"/>
      <c r="L3437" s="1400">
        <f t="shared" si="879"/>
        <v>0</v>
      </c>
      <c r="M3437" s="1400"/>
      <c r="N3437" s="1400"/>
      <c r="O3437" s="1400"/>
      <c r="P3437" s="1299"/>
      <c r="Q3437" s="1300"/>
      <c r="R3437" s="1300"/>
      <c r="S3437" s="1300"/>
    </row>
    <row r="3438" spans="1:19" s="1081" customFormat="1" hidden="1" outlineLevel="1">
      <c r="A3438" s="1072" t="str">
        <f t="shared" si="880"/>
        <v/>
      </c>
      <c r="B3438" s="1295" t="s">
        <v>82</v>
      </c>
      <c r="C3438" s="1291"/>
      <c r="D3438" s="1198">
        <v>0</v>
      </c>
      <c r="E3438" s="1243" t="str">
        <f>VLOOKUP($B3438,dongia1,DG!$C$5,)</f>
        <v>Boulon 16x400+ 2 long đền vuông D18-50x50x3/Zn</v>
      </c>
      <c r="F3438" s="1198" t="s">
        <v>2113</v>
      </c>
      <c r="G3438" s="1303">
        <f>G3435*2</f>
        <v>0</v>
      </c>
      <c r="H3438" s="1399">
        <f>VLOOKUP($B3438,dongia1,DG!$F$5,)</f>
        <v>29900</v>
      </c>
      <c r="I3438" s="1399">
        <v>0</v>
      </c>
      <c r="J3438" s="1399">
        <v>0</v>
      </c>
      <c r="K3438" s="1399"/>
      <c r="L3438" s="1400">
        <f t="shared" si="879"/>
        <v>0</v>
      </c>
      <c r="M3438" s="1400"/>
      <c r="N3438" s="1400"/>
      <c r="O3438" s="1400"/>
      <c r="P3438" s="1299"/>
      <c r="Q3438" s="1300"/>
      <c r="R3438" s="1300"/>
      <c r="S3438" s="1300"/>
    </row>
    <row r="3439" spans="1:19" s="1081" customFormat="1" hidden="1" outlineLevel="1">
      <c r="A3439" s="1072" t="str">
        <f t="shared" si="880"/>
        <v/>
      </c>
      <c r="B3439" s="1295" t="s">
        <v>728</v>
      </c>
      <c r="C3439" s="1291"/>
      <c r="D3439" s="1198" t="s">
        <v>192</v>
      </c>
      <c r="E3439" s="1243" t="str">
        <f>VLOOKUP($B3439,dongia1,DG!$C$5,)</f>
        <v>Lắp xà cột Pi loại ≤140kg/xà</v>
      </c>
      <c r="F3439" s="1198" t="s">
        <v>2113</v>
      </c>
      <c r="G3439" s="1303">
        <f>G3435</f>
        <v>0</v>
      </c>
      <c r="H3439" s="1399">
        <f>VLOOKUP($B3439,dongia1,DG!$F$5,)</f>
        <v>0</v>
      </c>
      <c r="I3439" s="1399"/>
      <c r="J3439" s="1399" t="str">
        <f>TEXT(VLOOKUP($B3439,dongia1,DG!$G$5,),"#,###")&amp;"x"&amp;hslxh</f>
        <v>474961,x1,7</v>
      </c>
      <c r="K3439" s="1399"/>
      <c r="L3439" s="1400">
        <f t="shared" si="879"/>
        <v>0</v>
      </c>
      <c r="M3439" s="1400"/>
      <c r="N3439" s="1399">
        <f>VLOOKUP($B3439,dongia1,DG!$G$5,)*hslxh*G3439</f>
        <v>0</v>
      </c>
      <c r="O3439" s="1400"/>
      <c r="P3439" s="1299"/>
      <c r="Q3439" s="1300"/>
      <c r="R3439" s="1300"/>
      <c r="S3439" s="1300"/>
    </row>
    <row r="3440" spans="1:19" s="1081" customFormat="1" hidden="1" outlineLevel="1">
      <c r="A3440" s="1072" t="str">
        <f t="shared" si="880"/>
        <v/>
      </c>
      <c r="B3440" s="1295" t="s">
        <v>1262</v>
      </c>
      <c r="C3440" s="1291"/>
      <c r="D3440" s="1198">
        <v>0</v>
      </c>
      <c r="E3440" s="1243" t="str">
        <f>VLOOKUP($B3440,dongia1,DG!$C$5,)</f>
        <v>Boulon 16x300+ 2 long đền vuông D18-50x50x3/Zn</v>
      </c>
      <c r="F3440" s="1198" t="s">
        <v>2113</v>
      </c>
      <c r="G3440" s="1303">
        <f>G3435*2*0</f>
        <v>0</v>
      </c>
      <c r="H3440" s="1399">
        <f>VLOOKUP($B3440,dongia1,DG!$F$5,)</f>
        <v>25400</v>
      </c>
      <c r="I3440" s="1399">
        <v>0</v>
      </c>
      <c r="J3440" s="1399">
        <v>0</v>
      </c>
      <c r="K3440" s="1399">
        <v>0</v>
      </c>
      <c r="L3440" s="1400">
        <f t="shared" si="879"/>
        <v>0</v>
      </c>
      <c r="M3440" s="1400">
        <f>I3440*G3440</f>
        <v>0</v>
      </c>
      <c r="N3440" s="1400">
        <f>J3440*G3440</f>
        <v>0</v>
      </c>
      <c r="O3440" s="1400">
        <f>K3440*G3440</f>
        <v>0</v>
      </c>
      <c r="P3440" s="1299"/>
      <c r="Q3440" s="1300"/>
      <c r="R3440" s="1300"/>
      <c r="S3440" s="1300"/>
    </row>
    <row r="3441" spans="1:19" s="1081" customFormat="1" hidden="1" outlineLevel="1">
      <c r="A3441" s="1072" t="str">
        <f t="shared" si="880"/>
        <v/>
      </c>
      <c r="B3441" s="1295" t="s">
        <v>1261</v>
      </c>
      <c r="C3441" s="1291"/>
      <c r="D3441" s="1198">
        <v>0</v>
      </c>
      <c r="E3441" s="1243" t="str">
        <f>VLOOKUP($B3441,dongia1,DG!$C$5,)</f>
        <v>Boulon 16x250+ 2 long đền vuông D18-50x50x3/Zn</v>
      </c>
      <c r="F3441" s="1198" t="s">
        <v>2113</v>
      </c>
      <c r="G3441" s="1303">
        <f>2*G3435*2*0</f>
        <v>0</v>
      </c>
      <c r="H3441" s="1399">
        <f>VLOOKUP($B3441,dongia1,DG!$F$5,)</f>
        <v>13400</v>
      </c>
      <c r="I3441" s="1399">
        <v>0</v>
      </c>
      <c r="J3441" s="1399">
        <v>0</v>
      </c>
      <c r="K3441" s="1399">
        <v>0</v>
      </c>
      <c r="L3441" s="1400">
        <f t="shared" si="879"/>
        <v>0</v>
      </c>
      <c r="M3441" s="1400">
        <f>I3441*G3441</f>
        <v>0</v>
      </c>
      <c r="N3441" s="1400">
        <f>J3441*G3441</f>
        <v>0</v>
      </c>
      <c r="O3441" s="1400">
        <f>K3441*G3441</f>
        <v>0</v>
      </c>
      <c r="P3441" s="1299"/>
      <c r="Q3441" s="1300"/>
      <c r="R3441" s="1300"/>
      <c r="S3441" s="1300"/>
    </row>
    <row r="3442" spans="1:19" s="1081" customFormat="1" hidden="1" outlineLevel="1" collapsed="1">
      <c r="A3442" s="1072" t="str">
        <f t="shared" si="880"/>
        <v/>
      </c>
      <c r="B3442" s="1295"/>
      <c r="C3442" s="1291">
        <f>IF(G3442&gt;0,C3435+1,C3435)</f>
        <v>0</v>
      </c>
      <c r="D3442" s="1292"/>
      <c r="E3442" s="1468" t="s">
        <v>3464</v>
      </c>
      <c r="F3442" s="1291" t="s">
        <v>2113</v>
      </c>
      <c r="G3442" s="1297">
        <f>G3389*2</f>
        <v>0</v>
      </c>
      <c r="H3442" s="1298"/>
      <c r="I3442" s="1298"/>
      <c r="J3442" s="1298"/>
      <c r="K3442" s="1298"/>
      <c r="L3442" s="1298">
        <f t="shared" si="879"/>
        <v>0</v>
      </c>
      <c r="M3442" s="1298">
        <f>I3442*G3442</f>
        <v>0</v>
      </c>
      <c r="N3442" s="1298">
        <f>J3442*G3442</f>
        <v>0</v>
      </c>
      <c r="O3442" s="1298">
        <f>K3442*G3442</f>
        <v>0</v>
      </c>
      <c r="P3442" s="1299"/>
      <c r="Q3442" s="1300"/>
      <c r="R3442" s="1300"/>
      <c r="S3442" s="1300"/>
    </row>
    <row r="3443" spans="1:19" s="1081" customFormat="1" ht="14.4" hidden="1" outlineLevel="1">
      <c r="A3443" s="1072" t="str">
        <f>A3442</f>
        <v/>
      </c>
      <c r="B3443" s="1295"/>
      <c r="C3443" s="1291"/>
      <c r="D3443" s="1292"/>
      <c r="E3443" s="1301" t="s">
        <v>3399</v>
      </c>
      <c r="F3443" s="1302"/>
      <c r="G3443" s="1303"/>
      <c r="H3443" s="1298"/>
      <c r="I3443" s="1298"/>
      <c r="J3443" s="1298"/>
      <c r="K3443" s="1298"/>
      <c r="L3443" s="1298">
        <f t="shared" si="879"/>
        <v>0</v>
      </c>
      <c r="M3443" s="1298">
        <f>I3443*G3443</f>
        <v>0</v>
      </c>
      <c r="N3443" s="1298">
        <f>J3443*G3443</f>
        <v>0</v>
      </c>
      <c r="O3443" s="1298">
        <f>K3443*G3443</f>
        <v>0</v>
      </c>
      <c r="P3443" s="1299"/>
      <c r="Q3443" s="1300"/>
      <c r="R3443" s="1300"/>
      <c r="S3443" s="1300"/>
    </row>
    <row r="3444" spans="1:19" s="1081" customFormat="1" hidden="1" outlineLevel="1">
      <c r="A3444" s="1072" t="str">
        <f t="shared" ref="A3444:A3450" si="881">IF(G3444&lt;&gt;0,1,"")</f>
        <v/>
      </c>
      <c r="B3444" s="1295" t="s">
        <v>1626</v>
      </c>
      <c r="C3444" s="1291"/>
      <c r="D3444" s="1198">
        <v>0</v>
      </c>
      <c r="E3444" s="1243" t="str">
        <f>VLOOKUP($B3444,dongia1,DG!$C$5,)</f>
        <v>Sắt góc L75 x75 x8</v>
      </c>
      <c r="F3444" s="1198" t="s">
        <v>1557</v>
      </c>
      <c r="G3444" s="1304">
        <f>G3442*9.02*(2.2+4*0.07)*2</f>
        <v>0</v>
      </c>
      <c r="H3444" s="1298">
        <f>VLOOKUP($B3444,dongia1,DG!$F$5,)</f>
        <v>31625</v>
      </c>
      <c r="I3444" s="1298"/>
      <c r="J3444" s="1298">
        <v>0</v>
      </c>
      <c r="K3444" s="1298"/>
      <c r="L3444" s="1298">
        <f t="shared" si="879"/>
        <v>0</v>
      </c>
      <c r="M3444" s="1298"/>
      <c r="N3444" s="1298"/>
      <c r="O3444" s="1298"/>
      <c r="P3444" s="1299"/>
      <c r="Q3444" s="1300"/>
      <c r="R3444" s="1300"/>
      <c r="S3444" s="1300"/>
    </row>
    <row r="3445" spans="1:19" s="1081" customFormat="1" hidden="1" outlineLevel="1">
      <c r="A3445" s="1072" t="str">
        <f t="shared" si="881"/>
        <v/>
      </c>
      <c r="B3445" s="1295" t="s">
        <v>518</v>
      </c>
      <c r="C3445" s="1291"/>
      <c r="D3445" s="1198" t="s">
        <v>2011</v>
      </c>
      <c r="E3445" s="1243" t="str">
        <f>VLOOKUP($B3445,dongia1,DG!$C$5,)&amp;" (Thanh choáng 920)"</f>
        <v>Sắt góc L50 x50 x5 (Thanh choáng 920)</v>
      </c>
      <c r="F3445" s="1198" t="s">
        <v>1557</v>
      </c>
      <c r="G3445" s="1304">
        <f>G3442*3.77*0.92*4</f>
        <v>0</v>
      </c>
      <c r="H3445" s="1298">
        <f>VLOOKUP($B3445,dongia1,DG!$F$5,)</f>
        <v>31625</v>
      </c>
      <c r="I3445" s="1298"/>
      <c r="J3445" s="1298">
        <v>0</v>
      </c>
      <c r="K3445" s="1298"/>
      <c r="L3445" s="1298">
        <f t="shared" si="879"/>
        <v>0</v>
      </c>
      <c r="M3445" s="1298"/>
      <c r="N3445" s="1298"/>
      <c r="O3445" s="1298"/>
      <c r="P3445" s="1299"/>
      <c r="Q3445" s="1300"/>
      <c r="R3445" s="1300"/>
      <c r="S3445" s="1300"/>
    </row>
    <row r="3446" spans="1:19" s="1081" customFormat="1" hidden="1" outlineLevel="1">
      <c r="A3446" s="1072" t="str">
        <f t="shared" si="881"/>
        <v/>
      </c>
      <c r="B3446" s="1295" t="s">
        <v>1262</v>
      </c>
      <c r="C3446" s="1291"/>
      <c r="D3446" s="1198">
        <v>0</v>
      </c>
      <c r="E3446" s="1243" t="str">
        <f>VLOOKUP($B3446,dongia1,DG!$C$5,)</f>
        <v>Boulon 16x300+ 2 long đền vuông D18-50x50x3/Zn</v>
      </c>
      <c r="F3446" s="1198" t="s">
        <v>2113</v>
      </c>
      <c r="G3446" s="1303">
        <f>G3442*2</f>
        <v>0</v>
      </c>
      <c r="H3446" s="1298">
        <f>VLOOKUP($B3446,dongia1,DG!$F$5,)</f>
        <v>25400</v>
      </c>
      <c r="I3446" s="1298">
        <v>0</v>
      </c>
      <c r="J3446" s="1298">
        <v>0</v>
      </c>
      <c r="K3446" s="1298"/>
      <c r="L3446" s="1298">
        <f t="shared" si="879"/>
        <v>0</v>
      </c>
      <c r="M3446" s="1298"/>
      <c r="N3446" s="1298"/>
      <c r="O3446" s="1298"/>
      <c r="P3446" s="1299"/>
      <c r="Q3446" s="1300"/>
      <c r="R3446" s="1300"/>
      <c r="S3446" s="1300"/>
    </row>
    <row r="3447" spans="1:19" s="1081" customFormat="1" hidden="1" outlineLevel="1">
      <c r="A3447" s="1072" t="str">
        <f t="shared" si="881"/>
        <v/>
      </c>
      <c r="B3447" s="1295" t="s">
        <v>1044</v>
      </c>
      <c r="C3447" s="1291"/>
      <c r="D3447" s="1198">
        <v>0</v>
      </c>
      <c r="E3447" s="1243" t="str">
        <f>VLOOKUP($B3447,dongia1,DG!$C$5,)</f>
        <v>Boulon 16x50+ 2 long đền vuông D18-50x50x3/Zn</v>
      </c>
      <c r="F3447" s="1198" t="s">
        <v>2113</v>
      </c>
      <c r="G3447" s="1303">
        <f>G3442*4</f>
        <v>0</v>
      </c>
      <c r="H3447" s="1298">
        <f>VLOOKUP($B3447,dongia1,DG!$F$5,)</f>
        <v>12400</v>
      </c>
      <c r="I3447" s="1298">
        <v>0</v>
      </c>
      <c r="J3447" s="1298">
        <v>0</v>
      </c>
      <c r="K3447" s="1298"/>
      <c r="L3447" s="1298">
        <f t="shared" si="879"/>
        <v>0</v>
      </c>
      <c r="M3447" s="1298"/>
      <c r="N3447" s="1298"/>
      <c r="O3447" s="1298"/>
      <c r="P3447" s="1299"/>
      <c r="Q3447" s="1300"/>
      <c r="R3447" s="1300"/>
      <c r="S3447" s="1300"/>
    </row>
    <row r="3448" spans="1:19" s="1081" customFormat="1" hidden="1" outlineLevel="1">
      <c r="A3448" s="1072" t="str">
        <f t="shared" si="881"/>
        <v/>
      </c>
      <c r="B3448" s="1295" t="s">
        <v>1042</v>
      </c>
      <c r="C3448" s="1291"/>
      <c r="D3448" s="1198">
        <v>0</v>
      </c>
      <c r="E3448" s="1243" t="str">
        <f>VLOOKUP($B3448,dongia1,DG!$C$5,)</f>
        <v>Boulon 16x300VRS+ 4 long đền vuông D18-50x50x3/Zn</v>
      </c>
      <c r="F3448" s="1198" t="s">
        <v>2113</v>
      </c>
      <c r="G3448" s="1303">
        <f>G3442*4</f>
        <v>0</v>
      </c>
      <c r="H3448" s="1298">
        <f>VLOOKUP($B3448,dongia1,DG!$F$5,)</f>
        <v>31800</v>
      </c>
      <c r="I3448" s="1298">
        <v>0</v>
      </c>
      <c r="J3448" s="1298">
        <v>0</v>
      </c>
      <c r="K3448" s="1298">
        <v>0</v>
      </c>
      <c r="L3448" s="1298">
        <f t="shared" si="879"/>
        <v>0</v>
      </c>
      <c r="M3448" s="1298">
        <f>I3448*G3448</f>
        <v>0</v>
      </c>
      <c r="N3448" s="1298">
        <f>J3448*G3448</f>
        <v>0</v>
      </c>
      <c r="O3448" s="1298">
        <f>K3448*G3448</f>
        <v>0</v>
      </c>
      <c r="P3448" s="1299"/>
      <c r="Q3448" s="1300"/>
      <c r="R3448" s="1300"/>
      <c r="S3448" s="1300"/>
    </row>
    <row r="3449" spans="1:19" s="1081" customFormat="1" hidden="1" outlineLevel="1">
      <c r="A3449" s="1072" t="str">
        <f t="shared" si="881"/>
        <v/>
      </c>
      <c r="B3449" s="1295" t="s">
        <v>814</v>
      </c>
      <c r="C3449" s="1291"/>
      <c r="D3449" s="1198" t="s">
        <v>836</v>
      </c>
      <c r="E3449" s="1243" t="str">
        <f>VLOOKUP($B3449,dongia1,DG!$C$5,)</f>
        <v>Lắp xà néo ≤ 100kg</v>
      </c>
      <c r="F3449" s="1198" t="s">
        <v>2113</v>
      </c>
      <c r="G3449" s="1303">
        <f>G3442</f>
        <v>0</v>
      </c>
      <c r="H3449" s="1298"/>
      <c r="I3449" s="1298"/>
      <c r="J3449" s="1298" t="str">
        <f>TEXT(VLOOKUP($B3449,dongia1,DG!$G$5,),"#,###")&amp;"x"&amp;hslx</f>
        <v>296544,75x1,5</v>
      </c>
      <c r="K3449" s="1298"/>
      <c r="L3449" s="1298">
        <f t="shared" si="879"/>
        <v>0</v>
      </c>
      <c r="M3449" s="1298"/>
      <c r="N3449" s="1298">
        <f>VLOOKUP($B3449,dongia1,DG!$G$5,)*hslxh*G3449</f>
        <v>0</v>
      </c>
      <c r="O3449" s="1298"/>
      <c r="P3449" s="1299"/>
      <c r="Q3449" s="1300"/>
      <c r="R3449" s="1300"/>
      <c r="S3449" s="1300"/>
    </row>
    <row r="3450" spans="1:19" s="1081" customFormat="1" hidden="1" outlineLevel="1">
      <c r="A3450" s="1072" t="str">
        <f t="shared" si="881"/>
        <v/>
      </c>
      <c r="B3450" s="1295"/>
      <c r="C3450" s="1291">
        <f>IF(G3450&gt;0,C3442+1,C3442)</f>
        <v>0</v>
      </c>
      <c r="D3450" s="1292"/>
      <c r="E3450" s="1468" t="s">
        <v>3458</v>
      </c>
      <c r="F3450" s="1291" t="s">
        <v>2113</v>
      </c>
      <c r="G3450" s="1297">
        <f>G3389*2</f>
        <v>0</v>
      </c>
      <c r="H3450" s="1298"/>
      <c r="I3450" s="1298"/>
      <c r="J3450" s="1298"/>
      <c r="K3450" s="1298"/>
      <c r="L3450" s="1298">
        <f t="shared" si="879"/>
        <v>0</v>
      </c>
      <c r="M3450" s="1298">
        <f>I3450*G3450</f>
        <v>0</v>
      </c>
      <c r="N3450" s="1298">
        <f>J3450*G3450</f>
        <v>0</v>
      </c>
      <c r="O3450" s="1298">
        <f>K3450*G3450</f>
        <v>0</v>
      </c>
      <c r="P3450" s="1299"/>
      <c r="Q3450" s="1300"/>
      <c r="R3450" s="1300"/>
      <c r="S3450" s="1300"/>
    </row>
    <row r="3451" spans="1:19" s="1081" customFormat="1" ht="14.4" hidden="1" outlineLevel="1">
      <c r="A3451" s="1072" t="str">
        <f>A3450</f>
        <v/>
      </c>
      <c r="B3451" s="1295"/>
      <c r="C3451" s="1291"/>
      <c r="D3451" s="1292"/>
      <c r="E3451" s="1301" t="s">
        <v>3399</v>
      </c>
      <c r="F3451" s="1302"/>
      <c r="G3451" s="1303"/>
      <c r="H3451" s="1298"/>
      <c r="I3451" s="1298"/>
      <c r="J3451" s="1298"/>
      <c r="K3451" s="1298"/>
      <c r="L3451" s="1298">
        <f t="shared" si="879"/>
        <v>0</v>
      </c>
      <c r="M3451" s="1298">
        <f>I3451*G3451</f>
        <v>0</v>
      </c>
      <c r="N3451" s="1298">
        <f>J3451*G3451</f>
        <v>0</v>
      </c>
      <c r="O3451" s="1298">
        <f>K3451*G3451</f>
        <v>0</v>
      </c>
      <c r="P3451" s="1299"/>
      <c r="Q3451" s="1300"/>
      <c r="R3451" s="1300"/>
      <c r="S3451" s="1300"/>
    </row>
    <row r="3452" spans="1:19" s="1081" customFormat="1" hidden="1" outlineLevel="1">
      <c r="A3452" s="1072" t="str">
        <f t="shared" ref="A3452:A3458" si="882">IF(G3452&lt;&gt;0,1,"")</f>
        <v/>
      </c>
      <c r="B3452" s="1295" t="s">
        <v>1626</v>
      </c>
      <c r="C3452" s="1291"/>
      <c r="D3452" s="1198">
        <v>0</v>
      </c>
      <c r="E3452" s="1243" t="str">
        <f>VLOOKUP($B3452,dongia1,DG!$C$5,)</f>
        <v>Sắt góc L75 x75 x8</v>
      </c>
      <c r="F3452" s="1198" t="s">
        <v>1557</v>
      </c>
      <c r="G3452" s="1304">
        <f>G3450*9.02*(2.2+4*0.07)</f>
        <v>0</v>
      </c>
      <c r="H3452" s="1298">
        <f>VLOOKUP($B3452,dongia1,DG!$F$5,)</f>
        <v>31625</v>
      </c>
      <c r="I3452" s="1298"/>
      <c r="J3452" s="1298">
        <v>0</v>
      </c>
      <c r="K3452" s="1298"/>
      <c r="L3452" s="1298">
        <f t="shared" si="879"/>
        <v>0</v>
      </c>
      <c r="M3452" s="1298"/>
      <c r="N3452" s="1298"/>
      <c r="O3452" s="1298"/>
      <c r="P3452" s="1299"/>
      <c r="Q3452" s="1300"/>
      <c r="R3452" s="1300"/>
      <c r="S3452" s="1300"/>
    </row>
    <row r="3453" spans="1:19" s="1081" customFormat="1" hidden="1" outlineLevel="1">
      <c r="A3453" s="1072" t="str">
        <f t="shared" si="882"/>
        <v/>
      </c>
      <c r="B3453" s="1295" t="s">
        <v>518</v>
      </c>
      <c r="C3453" s="1291"/>
      <c r="D3453" s="1198">
        <v>0</v>
      </c>
      <c r="E3453" s="1243" t="str">
        <f>VLOOKUP($B3453,dongia1,DG!$C$5,)&amp;" (Thanh choáng 920)"</f>
        <v>Sắt góc L50 x50 x5 (Thanh choáng 920)</v>
      </c>
      <c r="F3453" s="1198" t="s">
        <v>1557</v>
      </c>
      <c r="G3453" s="1304">
        <f>G3450*3.77*0.92*2</f>
        <v>0</v>
      </c>
      <c r="H3453" s="1298">
        <f>VLOOKUP($B3453,dongia1,DG!$F$5,)</f>
        <v>31625</v>
      </c>
      <c r="I3453" s="1298"/>
      <c r="J3453" s="1298">
        <v>0</v>
      </c>
      <c r="K3453" s="1298"/>
      <c r="L3453" s="1298">
        <f t="shared" si="879"/>
        <v>0</v>
      </c>
      <c r="M3453" s="1298"/>
      <c r="N3453" s="1298"/>
      <c r="O3453" s="1298"/>
      <c r="P3453" s="1299"/>
      <c r="Q3453" s="1300"/>
      <c r="R3453" s="1300"/>
      <c r="S3453" s="1300"/>
    </row>
    <row r="3454" spans="1:19" s="1081" customFormat="1" hidden="1" outlineLevel="1">
      <c r="A3454" s="1072" t="str">
        <f t="shared" si="882"/>
        <v/>
      </c>
      <c r="B3454" s="1295" t="s">
        <v>733</v>
      </c>
      <c r="C3454" s="1291"/>
      <c r="D3454" s="1198">
        <v>0</v>
      </c>
      <c r="E3454" s="1243" t="str">
        <f>VLOOKUP($B3454,dongia1,DG!$C$5,)</f>
        <v>Boulon 16x350+ 2 long đền vuông D18-50x50x3/Zn</v>
      </c>
      <c r="F3454" s="1198" t="s">
        <v>2113</v>
      </c>
      <c r="G3454" s="1303">
        <f>G3450*2</f>
        <v>0</v>
      </c>
      <c r="H3454" s="1298">
        <f>VLOOKUP($B3454,dongia1,DG!$F$5,)</f>
        <v>27900</v>
      </c>
      <c r="I3454" s="1298">
        <v>0</v>
      </c>
      <c r="J3454" s="1298">
        <v>0</v>
      </c>
      <c r="K3454" s="1298"/>
      <c r="L3454" s="1298">
        <f t="shared" si="879"/>
        <v>0</v>
      </c>
      <c r="M3454" s="1298"/>
      <c r="N3454" s="1298"/>
      <c r="O3454" s="1298"/>
      <c r="P3454" s="1299"/>
      <c r="Q3454" s="1300"/>
      <c r="R3454" s="1300"/>
      <c r="S3454" s="1300"/>
    </row>
    <row r="3455" spans="1:19" s="1081" customFormat="1" hidden="1" outlineLevel="1">
      <c r="A3455" s="1072" t="str">
        <f t="shared" si="882"/>
        <v/>
      </c>
      <c r="B3455" s="1295" t="s">
        <v>1044</v>
      </c>
      <c r="C3455" s="1291"/>
      <c r="D3455" s="1198">
        <v>0</v>
      </c>
      <c r="E3455" s="1243" t="str">
        <f>VLOOKUP($B3455,dongia1,DG!$C$5,)</f>
        <v>Boulon 16x50+ 2 long đền vuông D18-50x50x3/Zn</v>
      </c>
      <c r="F3455" s="1198" t="s">
        <v>2113</v>
      </c>
      <c r="G3455" s="1303">
        <f>G3450*2</f>
        <v>0</v>
      </c>
      <c r="H3455" s="1298">
        <f>VLOOKUP($B3455,dongia1,DG!$F$5,)</f>
        <v>12400</v>
      </c>
      <c r="I3455" s="1298">
        <v>0</v>
      </c>
      <c r="J3455" s="1298">
        <v>0</v>
      </c>
      <c r="K3455" s="1298"/>
      <c r="L3455" s="1298">
        <f t="shared" si="879"/>
        <v>0</v>
      </c>
      <c r="M3455" s="1298"/>
      <c r="N3455" s="1298"/>
      <c r="O3455" s="1298"/>
      <c r="P3455" s="1299"/>
      <c r="Q3455" s="1300"/>
      <c r="R3455" s="1300"/>
      <c r="S3455" s="1300"/>
    </row>
    <row r="3456" spans="1:19" s="1081" customFormat="1" hidden="1" outlineLevel="1">
      <c r="A3456" s="1072" t="str">
        <f t="shared" si="882"/>
        <v/>
      </c>
      <c r="B3456" s="1295" t="s">
        <v>1761</v>
      </c>
      <c r="C3456" s="1291"/>
      <c r="D3456" s="1198">
        <v>0</v>
      </c>
      <c r="E3456" s="1243" t="str">
        <f>VLOOKUP($B3456,dongia1,DG!$C$5,)</f>
        <v>Cổ dê bắt xà 80x6</v>
      </c>
      <c r="F3456" s="1198" t="s">
        <v>2113</v>
      </c>
      <c r="G3456" s="1303">
        <f>G3450/3</f>
        <v>0</v>
      </c>
      <c r="H3456" s="1298">
        <f>VLOOKUP($B3456,dongia1,DG!$F$5,)</f>
        <v>178900</v>
      </c>
      <c r="I3456" s="1298">
        <v>0</v>
      </c>
      <c r="J3456" s="1298">
        <v>0</v>
      </c>
      <c r="K3456" s="1298"/>
      <c r="L3456" s="1298">
        <f t="shared" si="879"/>
        <v>0</v>
      </c>
      <c r="M3456" s="1298"/>
      <c r="N3456" s="1298"/>
      <c r="O3456" s="1298"/>
      <c r="P3456" s="1299"/>
      <c r="Q3456" s="1300"/>
      <c r="R3456" s="1300"/>
      <c r="S3456" s="1300"/>
    </row>
    <row r="3457" spans="1:19" s="1081" customFormat="1" hidden="1" outlineLevel="1">
      <c r="A3457" s="1072" t="str">
        <f t="shared" si="882"/>
        <v/>
      </c>
      <c r="B3457" s="1295" t="s">
        <v>535</v>
      </c>
      <c r="C3457" s="1291"/>
      <c r="D3457" s="1198" t="s">
        <v>940</v>
      </c>
      <c r="E3457" s="1243" t="str">
        <f>VLOOKUP($B3457,dongia1,DG!$C$5,)</f>
        <v>Lắp xà néo 50kg</v>
      </c>
      <c r="F3457" s="1198" t="s">
        <v>2113</v>
      </c>
      <c r="G3457" s="1303">
        <f>G3450</f>
        <v>0</v>
      </c>
      <c r="H3457" s="1298"/>
      <c r="I3457" s="1298"/>
      <c r="J3457" s="1298" t="str">
        <f>TEXT(VLOOKUP($B3457,dongia1,DG!$G$5,),"#,###")&amp;"x"&amp;hslx</f>
        <v>394533,45x1,5</v>
      </c>
      <c r="K3457" s="1298"/>
      <c r="L3457" s="1298">
        <f t="shared" si="879"/>
        <v>0</v>
      </c>
      <c r="M3457" s="1298"/>
      <c r="N3457" s="1298">
        <f>VLOOKUP($B3457,dongia1,DG!$G$5,)*hslxh*G3457</f>
        <v>0</v>
      </c>
      <c r="O3457" s="1298"/>
      <c r="P3457" s="1299"/>
      <c r="Q3457" s="1300"/>
      <c r="R3457" s="1300"/>
      <c r="S3457" s="1300"/>
    </row>
    <row r="3458" spans="1:19" s="1081" customFormat="1" hidden="1" outlineLevel="1">
      <c r="A3458" s="1072" t="str">
        <f t="shared" si="882"/>
        <v/>
      </c>
      <c r="B3458" s="1295"/>
      <c r="C3458" s="1291">
        <f>IF(G3458&gt;0,C3450+1,C3450)</f>
        <v>0</v>
      </c>
      <c r="D3458" s="1292"/>
      <c r="E3458" s="1468" t="s">
        <v>3402</v>
      </c>
      <c r="F3458" s="1291" t="s">
        <v>2113</v>
      </c>
      <c r="G3458" s="1297">
        <f>G3389</f>
        <v>0</v>
      </c>
      <c r="H3458" s="1298"/>
      <c r="I3458" s="1298"/>
      <c r="J3458" s="1298"/>
      <c r="K3458" s="1298"/>
      <c r="L3458" s="1298">
        <f t="shared" si="879"/>
        <v>0</v>
      </c>
      <c r="M3458" s="1298">
        <f>I3458*G3458</f>
        <v>0</v>
      </c>
      <c r="N3458" s="1298">
        <f t="shared" ref="N3458:N3466" si="883">J3458*G3458</f>
        <v>0</v>
      </c>
      <c r="O3458" s="1298">
        <f>K3458*G3458</f>
        <v>0</v>
      </c>
      <c r="P3458" s="1299"/>
      <c r="Q3458" s="1300"/>
      <c r="R3458" s="1300"/>
      <c r="S3458" s="1300"/>
    </row>
    <row r="3459" spans="1:19" s="1081" customFormat="1" ht="14.4" hidden="1" outlineLevel="1">
      <c r="A3459" s="1072"/>
      <c r="B3459" s="1469"/>
      <c r="C3459" s="1291"/>
      <c r="D3459" s="1292"/>
      <c r="E3459" s="1301" t="s">
        <v>3407</v>
      </c>
      <c r="F3459" s="1302"/>
      <c r="G3459" s="1303"/>
      <c r="H3459" s="1298"/>
      <c r="I3459" s="1298"/>
      <c r="J3459" s="1298"/>
      <c r="K3459" s="1298"/>
      <c r="L3459" s="1298">
        <f t="shared" si="879"/>
        <v>0</v>
      </c>
      <c r="M3459" s="1298">
        <f>I3459*G3459</f>
        <v>0</v>
      </c>
      <c r="N3459" s="1298">
        <f t="shared" si="883"/>
        <v>0</v>
      </c>
      <c r="O3459" s="1298">
        <f>K3459*G3459</f>
        <v>0</v>
      </c>
      <c r="P3459" s="1299"/>
      <c r="Q3459" s="1300"/>
      <c r="R3459" s="1300"/>
      <c r="S3459" s="1300"/>
    </row>
    <row r="3460" spans="1:19" s="1081" customFormat="1" hidden="1" outlineLevel="1">
      <c r="A3460" s="1072" t="str">
        <f t="shared" ref="A3460:A3466" si="884">IF(G3460&lt;&gt;0,1,"")</f>
        <v/>
      </c>
      <c r="B3460" s="1295" t="s">
        <v>1200</v>
      </c>
      <c r="C3460" s="1291"/>
      <c r="D3460" s="1198">
        <f>VLOOKUP($B3460,dongia1,DG!$B$5,)</f>
        <v>0</v>
      </c>
      <c r="E3460" s="1243" t="str">
        <f>VLOOKUP($B3460,dongia1,DG!$C$5,)</f>
        <v>Cáp đồng trần M25mm2</v>
      </c>
      <c r="F3460" s="1198" t="str">
        <f>VLOOKUP($B3460,dongia1,DG!$D$5,)</f>
        <v>kg</v>
      </c>
      <c r="G3460" s="1304">
        <f>H3*0.224*G3458</f>
        <v>0</v>
      </c>
      <c r="H3460" s="1298">
        <f>VLOOKUP($B3460,dongia1,DG!$F$5,)</f>
        <v>255500</v>
      </c>
      <c r="I3460" s="1298"/>
      <c r="J3460" s="1298">
        <f>VLOOKUP($B3460,dongia1,DG!$G$5,)</f>
        <v>0</v>
      </c>
      <c r="K3460" s="1298">
        <f>VLOOKUP($B3460,dongia1,DG!$H$5,)</f>
        <v>0</v>
      </c>
      <c r="L3460" s="1298">
        <f t="shared" si="879"/>
        <v>0</v>
      </c>
      <c r="M3460" s="1298">
        <f>I3460*G3460</f>
        <v>0</v>
      </c>
      <c r="N3460" s="1298">
        <f t="shared" si="883"/>
        <v>0</v>
      </c>
      <c r="O3460" s="1298">
        <f>K3460*G3460</f>
        <v>0</v>
      </c>
      <c r="P3460" s="1299"/>
      <c r="Q3460" s="1300"/>
      <c r="R3460" s="1300"/>
      <c r="S3460" s="1300"/>
    </row>
    <row r="3461" spans="1:19" s="1081" customFormat="1" hidden="1" outlineLevel="1">
      <c r="A3461" s="1072" t="str">
        <f t="shared" si="884"/>
        <v/>
      </c>
      <c r="B3461" s="1068" t="s">
        <v>1098</v>
      </c>
      <c r="C3461" s="1291"/>
      <c r="D3461" s="1198">
        <f>VLOOKUP($B3461,dongia1,DG!$B$5,)</f>
        <v>0</v>
      </c>
      <c r="E3461" s="1243" t="str">
        <f>VLOOKUP($B3461,dongia1,DG!$C$5,)</f>
        <v>Cọc tiếp đất Þ 16- 2,4m + kẹp cọc</v>
      </c>
      <c r="F3461" s="1198" t="str">
        <f>VLOOKUP($B3461,dongia1,DG!$D$5,)</f>
        <v>bộ</v>
      </c>
      <c r="G3461" s="1303">
        <f>H2*G3458</f>
        <v>0</v>
      </c>
      <c r="H3461" s="1298">
        <f>VLOOKUP($B3461,dongia1,DG!$F$5,)</f>
        <v>160000</v>
      </c>
      <c r="I3461" s="1298"/>
      <c r="J3461" s="1298">
        <f>VLOOKUP($B3461,dongia1,DG!$G$5,)</f>
        <v>0</v>
      </c>
      <c r="K3461" s="1298">
        <f>VLOOKUP($B3461,dongia1,DG!$H$5,)</f>
        <v>0</v>
      </c>
      <c r="L3461" s="1298">
        <f t="shared" si="879"/>
        <v>0</v>
      </c>
      <c r="M3461" s="1298">
        <f>I3461*G3461</f>
        <v>0</v>
      </c>
      <c r="N3461" s="1298">
        <f t="shared" si="883"/>
        <v>0</v>
      </c>
      <c r="O3461" s="1298">
        <f>K3461*G3461</f>
        <v>0</v>
      </c>
      <c r="P3461" s="1299"/>
      <c r="Q3461" s="1300"/>
      <c r="R3461" s="1300"/>
      <c r="S3461" s="1300"/>
    </row>
    <row r="3462" spans="1:19" s="1081" customFormat="1" hidden="1" outlineLevel="1">
      <c r="A3462" s="1072" t="str">
        <f t="shared" si="884"/>
        <v/>
      </c>
      <c r="B3462" s="1068" t="s">
        <v>211</v>
      </c>
      <c r="C3462" s="1291"/>
      <c r="D3462" s="1198">
        <f>VLOOKUP($B3462,dongia1,DG!$B$5,)</f>
        <v>0</v>
      </c>
      <c r="E3462" s="1243" t="str">
        <f>VLOOKUP($B3462,dongia1,DG!$C$5,)</f>
        <v>Khoan giếng tiếp địa</v>
      </c>
      <c r="F3462" s="1198" t="str">
        <f>VLOOKUP($B3462,dongia1,DG!$D$5,)</f>
        <v>Cái</v>
      </c>
      <c r="G3462" s="1303">
        <f>G3458*$L$3</f>
        <v>0</v>
      </c>
      <c r="H3462" s="1298">
        <f>VLOOKUP($B3462,dongia1,DG!$F$5,)</f>
        <v>0</v>
      </c>
      <c r="I3462" s="1298"/>
      <c r="J3462" s="1298">
        <f>VLOOKUP($B3462,dongia1,DG!$G$5,)</f>
        <v>1500000</v>
      </c>
      <c r="K3462" s="1298">
        <f>VLOOKUP($B3462,dongia1,DG!$H$5,)</f>
        <v>0</v>
      </c>
      <c r="L3462" s="1298">
        <f>H3462*G3462</f>
        <v>0</v>
      </c>
      <c r="M3462" s="1298">
        <f>I3462*G3462</f>
        <v>0</v>
      </c>
      <c r="N3462" s="1298">
        <f t="shared" si="883"/>
        <v>0</v>
      </c>
      <c r="O3462" s="1298">
        <f>K3462*G3462</f>
        <v>0</v>
      </c>
      <c r="P3462" s="1299"/>
      <c r="Q3462" s="1300"/>
      <c r="R3462" s="1300"/>
      <c r="S3462" s="1300"/>
    </row>
    <row r="3463" spans="1:19" s="1081" customFormat="1" hidden="1" outlineLevel="1">
      <c r="A3463" s="1072" t="str">
        <f t="shared" si="884"/>
        <v/>
      </c>
      <c r="B3463" s="1470" t="s">
        <v>205</v>
      </c>
      <c r="C3463" s="1291"/>
      <c r="D3463" s="1198">
        <f>VLOOKUP($B3463,dongia1,DG!$B$5,)</f>
        <v>0</v>
      </c>
      <c r="E3463" s="1243" t="str">
        <f>VLOOKUP($B3463,dongia1,DG!$C$5,)</f>
        <v>Kẹp ép WR cỡ dây 50mm2</v>
      </c>
      <c r="F3463" s="1198" t="str">
        <f>VLOOKUP($B3463,dongia1,DG!$D$5,)</f>
        <v>cái</v>
      </c>
      <c r="G3463" s="1303">
        <f>2*G3458</f>
        <v>0</v>
      </c>
      <c r="H3463" s="1298">
        <f>VLOOKUP($B3463,dongia1,DG!$F$5,)</f>
        <v>8000</v>
      </c>
      <c r="I3463" s="1298"/>
      <c r="J3463" s="1298">
        <f>VLOOKUP($B3463,dongia1,DG!$G$5,)</f>
        <v>0</v>
      </c>
      <c r="K3463" s="1298"/>
      <c r="L3463" s="1298">
        <f>H3463*G3463</f>
        <v>0</v>
      </c>
      <c r="M3463" s="1298"/>
      <c r="N3463" s="1298">
        <f t="shared" si="883"/>
        <v>0</v>
      </c>
      <c r="O3463" s="1298"/>
      <c r="P3463" s="1299"/>
      <c r="Q3463" s="1300"/>
      <c r="R3463" s="1300"/>
      <c r="S3463" s="1300"/>
    </row>
    <row r="3464" spans="1:19" s="1081" customFormat="1" hidden="1" outlineLevel="1">
      <c r="A3464" s="1072" t="str">
        <f t="shared" si="884"/>
        <v/>
      </c>
      <c r="B3464" s="1470" t="s">
        <v>903</v>
      </c>
      <c r="C3464" s="1291"/>
      <c r="D3464" s="1198">
        <f>VLOOKUP($B3464,dongia1,DG!$B$5,)</f>
        <v>0</v>
      </c>
      <c r="E3464" s="1243" t="str">
        <f>VLOOKUP($B3464,dongia1,DG!$C$5,)</f>
        <v>Ốc xiết cáp cỡ 25mm2</v>
      </c>
      <c r="F3464" s="1198" t="str">
        <f>VLOOKUP($B3464,dongia1,DG!$D$5,)</f>
        <v>cái</v>
      </c>
      <c r="G3464" s="1303">
        <f>IF(G3461&lt;=12,15,21)*G3458</f>
        <v>0</v>
      </c>
      <c r="H3464" s="1298">
        <f>VLOOKUP($B3464,dongia1,DG!$F$5,)</f>
        <v>17600</v>
      </c>
      <c r="I3464" s="1298"/>
      <c r="J3464" s="1298">
        <f>VLOOKUP($B3464,dongia1,DG!$G$5,)</f>
        <v>0</v>
      </c>
      <c r="K3464" s="1298"/>
      <c r="L3464" s="1298">
        <f>H3464*G3464</f>
        <v>0</v>
      </c>
      <c r="M3464" s="1298">
        <f>I3464*G3464</f>
        <v>0</v>
      </c>
      <c r="N3464" s="1298">
        <f t="shared" si="883"/>
        <v>0</v>
      </c>
      <c r="O3464" s="1298">
        <f>K3464*G3464</f>
        <v>0</v>
      </c>
      <c r="P3464" s="1299"/>
      <c r="Q3464" s="1300"/>
      <c r="R3464" s="1300"/>
      <c r="S3464" s="1300"/>
    </row>
    <row r="3465" spans="1:19" s="1081" customFormat="1" hidden="1" outlineLevel="1">
      <c r="A3465" s="1072" t="str">
        <f t="shared" si="884"/>
        <v/>
      </c>
      <c r="B3465" s="1068" t="s">
        <v>1490</v>
      </c>
      <c r="C3465" s="1291"/>
      <c r="D3465" s="1198">
        <f>VLOOKUP($B3465,dongia1,DG!$B$5,)</f>
        <v>0</v>
      </c>
      <c r="E3465" s="1243" t="str">
        <f>VLOOKUP($B3465,dongia1,DG!$C$5,)</f>
        <v>Cổ dê kẹp ống PVC (STK) Þ 21</v>
      </c>
      <c r="F3465" s="1198" t="str">
        <f>VLOOKUP($B3465,dongia1,DG!$D$5,)</f>
        <v>bộ</v>
      </c>
      <c r="G3465" s="1303">
        <f>G3458*2</f>
        <v>0</v>
      </c>
      <c r="H3465" s="1298">
        <f>VLOOKUP($B3465,dongia1,DG!$F$5,)</f>
        <v>43000</v>
      </c>
      <c r="I3465" s="1298"/>
      <c r="J3465" s="1298">
        <f>VLOOKUP($B3465,dongia1,DG!$G$5,)</f>
        <v>0</v>
      </c>
      <c r="K3465" s="1298">
        <f>VLOOKUP($B3465,dongia1,DG!$H$5,)</f>
        <v>0</v>
      </c>
      <c r="L3465" s="1298">
        <f>H3465*G3465</f>
        <v>0</v>
      </c>
      <c r="M3465" s="1298">
        <f>I3465*G3465</f>
        <v>0</v>
      </c>
      <c r="N3465" s="1298">
        <f t="shared" si="883"/>
        <v>0</v>
      </c>
      <c r="O3465" s="1298">
        <f>K3465*G3465</f>
        <v>0</v>
      </c>
      <c r="P3465" s="1299"/>
      <c r="Q3465" s="1300"/>
      <c r="R3465" s="1300"/>
      <c r="S3465" s="1300"/>
    </row>
    <row r="3466" spans="1:19" s="1081" customFormat="1" hidden="1" outlineLevel="1">
      <c r="A3466" s="1072" t="str">
        <f t="shared" si="884"/>
        <v/>
      </c>
      <c r="B3466" s="1068" t="s">
        <v>2040</v>
      </c>
      <c r="C3466" s="1291"/>
      <c r="D3466" s="1198">
        <f>VLOOKUP($B3466,dongia1,DG!$B$5,)</f>
        <v>0</v>
      </c>
      <c r="E3466" s="1243" t="str">
        <f>VLOOKUP($B3466,dongia1,DG!$C$5,)</f>
        <v xml:space="preserve">Ống PVC D21x1,6mm </v>
      </c>
      <c r="F3466" s="1198" t="str">
        <f>VLOOKUP($B3466,dongia1,DG!$D$5,)</f>
        <v>m</v>
      </c>
      <c r="G3466" s="1303">
        <f>G3458*3</f>
        <v>0</v>
      </c>
      <c r="H3466" s="1298">
        <f>VLOOKUP($B3466,dongia1,DG!$F$5,)</f>
        <v>6200</v>
      </c>
      <c r="I3466" s="1298"/>
      <c r="J3466" s="1298">
        <f>VLOOKUP($B3466,dongia1,DG!$G$5,)</f>
        <v>0</v>
      </c>
      <c r="K3466" s="1298">
        <f>VLOOKUP($B3466,dongia1,DG!$H$5,)</f>
        <v>0</v>
      </c>
      <c r="L3466" s="1298">
        <f>H3466*G3466</f>
        <v>0</v>
      </c>
      <c r="M3466" s="1298">
        <f>I3466*G3466</f>
        <v>0</v>
      </c>
      <c r="N3466" s="1298">
        <f t="shared" si="883"/>
        <v>0</v>
      </c>
      <c r="O3466" s="1298">
        <f>K3466*G3466</f>
        <v>0</v>
      </c>
      <c r="P3466" s="1299"/>
      <c r="Q3466" s="1300"/>
      <c r="R3466" s="1300"/>
      <c r="S3466" s="1300"/>
    </row>
    <row r="3467" spans="1:19" s="1081" customFormat="1" hidden="1" outlineLevel="1">
      <c r="A3467" s="1072">
        <f>IF(G3467=0,0,1)</f>
        <v>0</v>
      </c>
      <c r="B3467" s="1068" t="s">
        <v>665</v>
      </c>
      <c r="C3467" s="1302"/>
      <c r="D3467" s="1198" t="str">
        <f>VLOOKUP($B3467,dongia1,DG!$B$5,)</f>
        <v>AB.11513</v>
      </c>
      <c r="E3467" s="1243" t="str">
        <f>VLOOKUP($B3467,dongia1,DG!$C$5,)</f>
        <v>Đào rãnh tiếp địa đất cấp 3</v>
      </c>
      <c r="F3467" s="1555" t="s">
        <v>805</v>
      </c>
      <c r="G3467" s="1472">
        <f>H4*G3458</f>
        <v>0</v>
      </c>
      <c r="H3467" s="1298">
        <f>VLOOKUP($B3467,dongia1,DG!$F$5,)</f>
        <v>0</v>
      </c>
      <c r="I3467" s="1298"/>
      <c r="J3467" s="1298">
        <f>VLOOKUP($B3467,dongia1,DG!$G$5,)</f>
        <v>283749.75</v>
      </c>
      <c r="K3467" s="1298">
        <v>0</v>
      </c>
      <c r="L3467" s="1298">
        <f t="shared" ref="L3467:O3468" si="885">H3467*$G3467</f>
        <v>0</v>
      </c>
      <c r="M3467" s="1298">
        <f t="shared" si="885"/>
        <v>0</v>
      </c>
      <c r="N3467" s="1298">
        <f t="shared" si="885"/>
        <v>0</v>
      </c>
      <c r="O3467" s="1298">
        <f t="shared" si="885"/>
        <v>0</v>
      </c>
      <c r="P3467" s="1299"/>
      <c r="Q3467" s="1300"/>
      <c r="R3467" s="1300"/>
      <c r="S3467" s="1300"/>
    </row>
    <row r="3468" spans="1:19" s="1081" customFormat="1" hidden="1" outlineLevel="1">
      <c r="A3468" s="1072">
        <f>IF(G3468=0,0,1)</f>
        <v>0</v>
      </c>
      <c r="B3468" s="1068" t="s">
        <v>1985</v>
      </c>
      <c r="C3468" s="1302"/>
      <c r="D3468" s="1198" t="str">
        <f>VLOOKUP($B3468,dongia1,DG!$B$5,)</f>
        <v>AB.13111</v>
      </c>
      <c r="E3468" s="1243" t="str">
        <f>VLOOKUP($B3468,dongia1,DG!$C$5,)</f>
        <v>Đắp đất rãnh tiếp địa cấp 3 (độ chặt k = 0.85)</v>
      </c>
      <c r="F3468" s="1555" t="s">
        <v>805</v>
      </c>
      <c r="G3468" s="1472">
        <f>+G3467</f>
        <v>0</v>
      </c>
      <c r="H3468" s="1298">
        <f>VLOOKUP($B3468,dongia1,DG!$F$5,)</f>
        <v>0</v>
      </c>
      <c r="I3468" s="1298"/>
      <c r="J3468" s="1298">
        <f>VLOOKUP($B3468,dongia1,DG!$G$5,)</f>
        <v>117703.6</v>
      </c>
      <c r="K3468" s="1298">
        <v>0</v>
      </c>
      <c r="L3468" s="1298">
        <f t="shared" si="885"/>
        <v>0</v>
      </c>
      <c r="M3468" s="1298">
        <f t="shared" si="885"/>
        <v>0</v>
      </c>
      <c r="N3468" s="1298">
        <f t="shared" si="885"/>
        <v>0</v>
      </c>
      <c r="O3468" s="1298">
        <f t="shared" si="885"/>
        <v>0</v>
      </c>
      <c r="P3468" s="1299"/>
      <c r="Q3468" s="1300"/>
      <c r="R3468" s="1300"/>
      <c r="S3468" s="1300"/>
    </row>
    <row r="3469" spans="1:19" s="1081" customFormat="1" hidden="1" outlineLevel="1">
      <c r="A3469" s="1072">
        <f>IF(G3469=0,0,1)</f>
        <v>0</v>
      </c>
      <c r="B3469" s="1068" t="s">
        <v>985</v>
      </c>
      <c r="C3469" s="1302"/>
      <c r="D3469" s="1198" t="str">
        <f>VLOOKUP($B3469,dongia1,DG!$B$5,)</f>
        <v>D2.8103</v>
      </c>
      <c r="E3469" s="1243" t="str">
        <f>VLOOKUP($B3469,dongia1,DG!$C$5,)</f>
        <v>Đóng cọc tiếp địa đất cấp 3 dài 2,5m</v>
      </c>
      <c r="F3469" s="1555" t="s">
        <v>805</v>
      </c>
      <c r="G3469" s="1437">
        <f>G3461+G3462</f>
        <v>0</v>
      </c>
      <c r="H3469" s="1298">
        <f>VLOOKUP($B3469,dongia1,DG!$F$5,)</f>
        <v>0</v>
      </c>
      <c r="I3469" s="1298"/>
      <c r="J3469" s="1298" t="str">
        <f>VLOOKUP($B3469,dongia1,DG!$G$5,)&amp;" x 1,7"</f>
        <v>90355,896 x 1,7</v>
      </c>
      <c r="K3469" s="1298">
        <v>0</v>
      </c>
      <c r="L3469" s="1298">
        <f>H3469*$G3469</f>
        <v>0</v>
      </c>
      <c r="M3469" s="1298">
        <f>I3469*$G3469</f>
        <v>0</v>
      </c>
      <c r="N3469" s="1298">
        <f>VLOOKUP($B3469,dongia1,DG!$G$5,)*1.7*G3469</f>
        <v>0</v>
      </c>
      <c r="O3469" s="1298">
        <f>K3469*$G3469</f>
        <v>0</v>
      </c>
      <c r="P3469" s="1299"/>
      <c r="Q3469" s="1300"/>
      <c r="R3469" s="1300"/>
      <c r="S3469" s="1300"/>
    </row>
    <row r="3470" spans="1:19" s="1081" customFormat="1" hidden="1" outlineLevel="1">
      <c r="A3470" s="1072" t="str">
        <f>IF(G3470&lt;&gt;0,1,"")</f>
        <v/>
      </c>
      <c r="B3470" s="1068" t="s">
        <v>983</v>
      </c>
      <c r="C3470" s="1291"/>
      <c r="D3470" s="1198" t="str">
        <f>VLOOKUP($B3470,dongia1,DG!$B$5,)</f>
        <v>T4.7001</v>
      </c>
      <c r="E3470" s="1243" t="str">
        <f>VLOOKUP($B3470,dongia1,DG!$C$5,)</f>
        <v>Kéo dây tiếp địa TBA</v>
      </c>
      <c r="F3470" s="1198" t="str">
        <f>VLOOKUP($B3470,dongia1,DG!$D$5,)</f>
        <v>mét</v>
      </c>
      <c r="G3470" s="1303">
        <f>+G3460/0.224</f>
        <v>0</v>
      </c>
      <c r="H3470" s="1298">
        <f>VLOOKUP($B3470,dongia1,DG!$E$5,)</f>
        <v>0</v>
      </c>
      <c r="I3470" s="1298"/>
      <c r="J3470" s="1298">
        <f>VLOOKUP($B3470,dongia1,DG!$G$5,)</f>
        <v>8070.7000000000007</v>
      </c>
      <c r="K3470" s="1298">
        <f>VLOOKUP($B3470,dongia1,DG!$H$5,)</f>
        <v>2044.9974999999999</v>
      </c>
      <c r="L3470" s="1298">
        <f>H3470*G3470</f>
        <v>0</v>
      </c>
      <c r="M3470" s="1298">
        <f>I3470*G3470</f>
        <v>0</v>
      </c>
      <c r="N3470" s="1298">
        <f>J3470*G3470</f>
        <v>0</v>
      </c>
      <c r="O3470" s="1298">
        <f>K3470*G3470</f>
        <v>0</v>
      </c>
      <c r="P3470" s="1299"/>
      <c r="Q3470" s="1300"/>
      <c r="R3470" s="1300"/>
      <c r="S3470" s="1300"/>
    </row>
    <row r="3471" spans="1:19" s="1081" customFormat="1" hidden="1" outlineLevel="1">
      <c r="A3471" s="1072" t="str">
        <f>IF(G3471&lt;&gt;0,1,"")</f>
        <v/>
      </c>
      <c r="B3471" s="1295"/>
      <c r="C3471" s="1291">
        <f>IF(G3471&gt;0,C3458+1,C3458)</f>
        <v>0</v>
      </c>
      <c r="D3471" s="1292"/>
      <c r="E3471" s="1416" t="s">
        <v>3466</v>
      </c>
      <c r="F3471" s="1291" t="s">
        <v>2113</v>
      </c>
      <c r="G3471" s="1297">
        <f>G3389</f>
        <v>0</v>
      </c>
      <c r="H3471" s="1298"/>
      <c r="I3471" s="1298"/>
      <c r="J3471" s="1298"/>
      <c r="K3471" s="1298"/>
      <c r="L3471" s="1298">
        <f t="shared" ref="L3471:L3493" si="886">H3471*G3471</f>
        <v>0</v>
      </c>
      <c r="M3471" s="1298">
        <f t="shared" ref="M3471:M3493" si="887">I3471*G3471</f>
        <v>0</v>
      </c>
      <c r="N3471" s="1298">
        <f t="shared" ref="N3471:N3493" si="888">J3471*G3471</f>
        <v>0</v>
      </c>
      <c r="O3471" s="1298">
        <f t="shared" ref="O3471:O3493" si="889">K3471*G3471</f>
        <v>0</v>
      </c>
      <c r="P3471" s="1299"/>
      <c r="Q3471" s="1300"/>
      <c r="R3471" s="1300"/>
      <c r="S3471" s="1300"/>
    </row>
    <row r="3472" spans="1:19" s="1081" customFormat="1" ht="14.4" hidden="1" outlineLevel="1">
      <c r="A3472" s="1072" t="str">
        <f>A3471</f>
        <v/>
      </c>
      <c r="B3472" s="1295"/>
      <c r="C3472" s="1291"/>
      <c r="D3472" s="1292"/>
      <c r="E3472" s="1301" t="s">
        <v>3399</v>
      </c>
      <c r="F3472" s="1302"/>
      <c r="G3472" s="1303"/>
      <c r="H3472" s="1298"/>
      <c r="I3472" s="1298"/>
      <c r="J3472" s="1298"/>
      <c r="K3472" s="1298"/>
      <c r="L3472" s="1298">
        <f t="shared" si="886"/>
        <v>0</v>
      </c>
      <c r="M3472" s="1298">
        <f t="shared" si="887"/>
        <v>0</v>
      </c>
      <c r="N3472" s="1298">
        <f t="shared" si="888"/>
        <v>0</v>
      </c>
      <c r="O3472" s="1298">
        <f t="shared" si="889"/>
        <v>0</v>
      </c>
      <c r="P3472" s="1299"/>
      <c r="Q3472" s="1300"/>
      <c r="R3472" s="1300"/>
      <c r="S3472" s="1300"/>
    </row>
    <row r="3473" spans="1:19" s="1081" customFormat="1" hidden="1" outlineLevel="1">
      <c r="A3473" s="1072" t="str">
        <f>IF(G3473&lt;&gt;0,1,"")</f>
        <v/>
      </c>
      <c r="B3473" s="1295" t="s">
        <v>926</v>
      </c>
      <c r="C3473" s="1302"/>
      <c r="D3473" s="1198" t="str">
        <f>VLOOKUP($B3473,dongia1,DG!$B$5,)</f>
        <v>T5.1002</v>
      </c>
      <c r="E3473" s="1243" t="str">
        <f>VLOOKUP($B3473,dongia1,DG!$C$5,)</f>
        <v>Tủ ACB + thanh cái 3200A</v>
      </c>
      <c r="F3473" s="1198" t="str">
        <f>VLOOKUP($B3473,dongia1,DG!$D$5,)</f>
        <v>cái</v>
      </c>
      <c r="G3473" s="1304">
        <f>G3471</f>
        <v>0</v>
      </c>
      <c r="H3473" s="1298">
        <f>VLOOKUP($B3473,dongia1,DG!$F$5,)</f>
        <v>80000000</v>
      </c>
      <c r="I3473" s="1298"/>
      <c r="J3473" s="1298">
        <f>VLOOKUP($B3473,dongia1,DG!$G$5,)</f>
        <v>690091</v>
      </c>
      <c r="K3473" s="1298">
        <f>VLOOKUP($B3473,dongia1,DG!$H$5,)</f>
        <v>97369</v>
      </c>
      <c r="L3473" s="1298">
        <f t="shared" si="886"/>
        <v>0</v>
      </c>
      <c r="M3473" s="1298">
        <f t="shared" si="887"/>
        <v>0</v>
      </c>
      <c r="N3473" s="1298">
        <f t="shared" si="888"/>
        <v>0</v>
      </c>
      <c r="O3473" s="1298">
        <f t="shared" si="889"/>
        <v>0</v>
      </c>
      <c r="P3473" s="1299"/>
      <c r="Q3473" s="1300"/>
      <c r="R3473" s="1300"/>
      <c r="S3473" s="1300"/>
    </row>
    <row r="3474" spans="1:19" s="1081" customFormat="1" hidden="1" outlineLevel="1">
      <c r="A3474" s="1072" t="str">
        <f>IF(G3474&lt;&gt;0,1,"")</f>
        <v/>
      </c>
      <c r="B3474" s="1295" t="s">
        <v>888</v>
      </c>
      <c r="C3474" s="1302"/>
      <c r="D3474" s="1198">
        <f>VLOOKUP($B3474,dongia1,DG!$B$5,)</f>
        <v>0</v>
      </c>
      <c r="E3474" s="1243" t="str">
        <f>VLOOKUP($B3474,dongia1,DG!$C$5,)</f>
        <v>Bảng tên trạm + bảng báo nguy hiểm</v>
      </c>
      <c r="F3474" s="1198" t="str">
        <f>VLOOKUP($B3474,dongia1,DG!$D$5,)</f>
        <v>cái</v>
      </c>
      <c r="G3474" s="1304">
        <f>G3471</f>
        <v>0</v>
      </c>
      <c r="H3474" s="1298">
        <f>VLOOKUP($B3474,dongia1,DG!$F$5,)</f>
        <v>300000</v>
      </c>
      <c r="I3474" s="1298"/>
      <c r="J3474" s="1298">
        <f>VLOOKUP($B3474,dongia1,DG!$G$5,)</f>
        <v>0</v>
      </c>
      <c r="K3474" s="1298">
        <f>VLOOKUP($B3474,dongia1,DG!$H$5,)</f>
        <v>0</v>
      </c>
      <c r="L3474" s="1298">
        <f t="shared" si="886"/>
        <v>0</v>
      </c>
      <c r="M3474" s="1298">
        <f t="shared" si="887"/>
        <v>0</v>
      </c>
      <c r="N3474" s="1298">
        <f t="shared" si="888"/>
        <v>0</v>
      </c>
      <c r="O3474" s="1298">
        <f t="shared" si="889"/>
        <v>0</v>
      </c>
      <c r="P3474" s="1299"/>
      <c r="Q3474" s="1300"/>
      <c r="R3474" s="1300"/>
      <c r="S3474" s="1300"/>
    </row>
    <row r="3475" spans="1:19" s="1081" customFormat="1" hidden="1" outlineLevel="1">
      <c r="A3475" s="1072" t="str">
        <f>IF(G3475&lt;&gt;0,1,"")</f>
        <v/>
      </c>
      <c r="B3475" s="1295"/>
      <c r="C3475" s="1291">
        <f>IF(G3475&gt;0,C3471+1,C3471)</f>
        <v>0</v>
      </c>
      <c r="D3475" s="1292"/>
      <c r="E3475" s="1296" t="s">
        <v>3460</v>
      </c>
      <c r="F3475" s="1291" t="s">
        <v>2307</v>
      </c>
      <c r="G3475" s="1556"/>
      <c r="H3475" s="1298"/>
      <c r="I3475" s="1298"/>
      <c r="J3475" s="1298"/>
      <c r="K3475" s="1298"/>
      <c r="L3475" s="1298">
        <f t="shared" si="886"/>
        <v>0</v>
      </c>
      <c r="M3475" s="1298">
        <f t="shared" si="887"/>
        <v>0</v>
      </c>
      <c r="N3475" s="1298">
        <f t="shared" si="888"/>
        <v>0</v>
      </c>
      <c r="O3475" s="1298">
        <f t="shared" si="889"/>
        <v>0</v>
      </c>
      <c r="P3475" s="1299"/>
      <c r="Q3475" s="1300"/>
      <c r="R3475" s="1300"/>
      <c r="S3475" s="1300"/>
    </row>
    <row r="3476" spans="1:19" s="1081" customFormat="1" ht="14.4" hidden="1" outlineLevel="1">
      <c r="A3476" s="1072" t="str">
        <f>A3475</f>
        <v/>
      </c>
      <c r="B3476" s="1295"/>
      <c r="C3476" s="1291"/>
      <c r="D3476" s="1292"/>
      <c r="E3476" s="1301" t="s">
        <v>3399</v>
      </c>
      <c r="F3476" s="1302"/>
      <c r="G3476" s="1473"/>
      <c r="H3476" s="1298"/>
      <c r="I3476" s="1298"/>
      <c r="J3476" s="1298"/>
      <c r="K3476" s="1298"/>
      <c r="L3476" s="1298">
        <f t="shared" si="886"/>
        <v>0</v>
      </c>
      <c r="M3476" s="1298">
        <f t="shared" si="887"/>
        <v>0</v>
      </c>
      <c r="N3476" s="1298">
        <f t="shared" si="888"/>
        <v>0</v>
      </c>
      <c r="O3476" s="1298">
        <f t="shared" si="889"/>
        <v>0</v>
      </c>
      <c r="P3476" s="1299"/>
      <c r="Q3476" s="1300"/>
      <c r="R3476" s="1300"/>
      <c r="S3476" s="1300"/>
    </row>
    <row r="3477" spans="1:19" s="1081" customFormat="1" hidden="1" outlineLevel="1">
      <c r="A3477" s="1072" t="str">
        <f t="shared" ref="A3477:A3485" si="890">IF(G3477&lt;&gt;0,1,"")</f>
        <v/>
      </c>
      <c r="B3477" s="1557" t="s">
        <v>1729</v>
      </c>
      <c r="C3477" s="1302"/>
      <c r="D3477" s="1198">
        <f>VLOOKUP($B3477,dongia1,DG!$B$5,)</f>
        <v>0</v>
      </c>
      <c r="E3477" s="1399" t="str">
        <f>VLOOKUP($B3477,dongia1,DG!$C$5,)&amp;": 0,38m3/m"</f>
        <v>Cát vàng: 0,38m3/m</v>
      </c>
      <c r="F3477" s="1198" t="str">
        <f>VLOOKUP($B3477,dongia1,DG!$D$5,)</f>
        <v>m3</v>
      </c>
      <c r="G3477" s="1304">
        <f>G3475*0.38</f>
        <v>0</v>
      </c>
      <c r="H3477" s="1298">
        <f>VLOOKUP($B3477,dongia1,DG!$F$5,)</f>
        <v>512000</v>
      </c>
      <c r="I3477" s="1298"/>
      <c r="J3477" s="1298">
        <f>VLOOKUP($B3477,dongia1,DG!$G$5,)</f>
        <v>0</v>
      </c>
      <c r="K3477" s="1298">
        <f>VLOOKUP($B3477,dongia1,DG!$H$5,)</f>
        <v>0</v>
      </c>
      <c r="L3477" s="1298">
        <f t="shared" si="886"/>
        <v>0</v>
      </c>
      <c r="M3477" s="1298">
        <f t="shared" si="887"/>
        <v>0</v>
      </c>
      <c r="N3477" s="1298">
        <f t="shared" si="888"/>
        <v>0</v>
      </c>
      <c r="O3477" s="1298">
        <f t="shared" si="889"/>
        <v>0</v>
      </c>
      <c r="P3477" s="1299"/>
      <c r="Q3477" s="1300"/>
      <c r="R3477" s="1300"/>
      <c r="S3477" s="1300"/>
    </row>
    <row r="3478" spans="1:19" s="1081" customFormat="1" hidden="1" outlineLevel="1">
      <c r="A3478" s="1072" t="str">
        <f t="shared" si="890"/>
        <v/>
      </c>
      <c r="B3478" s="1557" t="s">
        <v>853</v>
      </c>
      <c r="C3478" s="1302"/>
      <c r="D3478" s="1198">
        <f>VLOOKUP($B3478,dongia1,DG!$B$5,)</f>
        <v>0</v>
      </c>
      <c r="E3478" s="1399" t="str">
        <f>VLOOKUP($B3478,dongia1,DG!$C$5,)&amp;": 0,12m3/m"</f>
        <v>Đá 1x2: 0,12m3/m</v>
      </c>
      <c r="F3478" s="1198" t="str">
        <f>VLOOKUP($B3478,dongia1,DG!$D$5,)</f>
        <v>m3</v>
      </c>
      <c r="G3478" s="1304">
        <f>0.12*G3475*0</f>
        <v>0</v>
      </c>
      <c r="H3478" s="1298">
        <f>VLOOKUP($B3478,dongia1,DG!$F$5,)</f>
        <v>335000</v>
      </c>
      <c r="I3478" s="1298"/>
      <c r="J3478" s="1298">
        <f>VLOOKUP($B3478,dongia1,DG!$G$5,)</f>
        <v>0</v>
      </c>
      <c r="K3478" s="1298">
        <f>VLOOKUP($B3478,dongia1,DG!$H$5,)</f>
        <v>0</v>
      </c>
      <c r="L3478" s="1298">
        <f t="shared" si="886"/>
        <v>0</v>
      </c>
      <c r="M3478" s="1298">
        <f t="shared" si="887"/>
        <v>0</v>
      </c>
      <c r="N3478" s="1298">
        <f t="shared" si="888"/>
        <v>0</v>
      </c>
      <c r="O3478" s="1298">
        <f t="shared" si="889"/>
        <v>0</v>
      </c>
      <c r="P3478" s="1299"/>
      <c r="Q3478" s="1300"/>
      <c r="R3478" s="1300"/>
      <c r="S3478" s="1300"/>
    </row>
    <row r="3479" spans="1:19" s="1081" customFormat="1" hidden="1" outlineLevel="1">
      <c r="A3479" s="1072" t="str">
        <f t="shared" si="890"/>
        <v/>
      </c>
      <c r="B3479" s="1557" t="s">
        <v>1495</v>
      </c>
      <c r="C3479" s="1302"/>
      <c r="D3479" s="1198">
        <f>VLOOKUP($B3479,dongia1,DG!$B$5,)</f>
        <v>0</v>
      </c>
      <c r="E3479" s="1399" t="str">
        <f>VLOOKUP($B3479,dongia1,DG!$C$5,)&amp;": 3,3vieân/m"</f>
        <v>Gạch tàu: 3,3vieân/m</v>
      </c>
      <c r="F3479" s="1198" t="str">
        <f>VLOOKUP($B3479,dongia1,DG!$D$5,)</f>
        <v>viên</v>
      </c>
      <c r="G3479" s="1304">
        <f>3.3*G3475</f>
        <v>0</v>
      </c>
      <c r="H3479" s="1298">
        <f>VLOOKUP($B3479,dongia1,DG!$F$5,)</f>
        <v>7000</v>
      </c>
      <c r="I3479" s="1298"/>
      <c r="J3479" s="1298">
        <f>VLOOKUP($B3479,dongia1,DG!$G$5,)</f>
        <v>0</v>
      </c>
      <c r="K3479" s="1298">
        <f>VLOOKUP($B3479,dongia1,DG!$H$5,)</f>
        <v>0</v>
      </c>
      <c r="L3479" s="1298">
        <f t="shared" si="886"/>
        <v>0</v>
      </c>
      <c r="M3479" s="1298">
        <f t="shared" si="887"/>
        <v>0</v>
      </c>
      <c r="N3479" s="1298">
        <f t="shared" si="888"/>
        <v>0</v>
      </c>
      <c r="O3479" s="1298">
        <f t="shared" si="889"/>
        <v>0</v>
      </c>
      <c r="P3479" s="1299"/>
      <c r="Q3479" s="1300"/>
      <c r="R3479" s="1300"/>
      <c r="S3479" s="1300"/>
    </row>
    <row r="3480" spans="1:19" s="1081" customFormat="1" hidden="1" outlineLevel="1">
      <c r="A3480" s="1072" t="str">
        <f t="shared" si="890"/>
        <v/>
      </c>
      <c r="B3480" s="1557" t="s">
        <v>1496</v>
      </c>
      <c r="C3480" s="1302"/>
      <c r="D3480" s="1198" t="str">
        <f>VLOOKUP($B3480,dongia1,DG!$B$5,)</f>
        <v>D4.1102</v>
      </c>
      <c r="E3480" s="1399" t="str">
        <f>VLOOKUP($B3480,dongia1,DG!$C$5,)&amp;": 0,4m2/m"</f>
        <v>Tấm nilông màu cảnh báo: 0,4m2/m</v>
      </c>
      <c r="F3480" s="1198" t="str">
        <f>VLOOKUP($B3480,dongia1,DG!$D$5,)</f>
        <v>m2</v>
      </c>
      <c r="G3480" s="1304">
        <f>0.4*G3475</f>
        <v>0</v>
      </c>
      <c r="H3480" s="1298">
        <f>VLOOKUP($B3480,dongia1,DG!$F$5,)</f>
        <v>10000</v>
      </c>
      <c r="I3480" s="1298"/>
      <c r="J3480" s="1298">
        <f>VLOOKUP($B3480,dongia1,DG!$G$5,)</f>
        <v>1187.155</v>
      </c>
      <c r="K3480" s="1298">
        <f>VLOOKUP($B3480,dongia1,DG!$H$5,)</f>
        <v>0</v>
      </c>
      <c r="L3480" s="1298">
        <f t="shared" si="886"/>
        <v>0</v>
      </c>
      <c r="M3480" s="1298">
        <f t="shared" si="887"/>
        <v>0</v>
      </c>
      <c r="N3480" s="1298">
        <f t="shared" si="888"/>
        <v>0</v>
      </c>
      <c r="O3480" s="1298">
        <f t="shared" si="889"/>
        <v>0</v>
      </c>
      <c r="P3480" s="1299"/>
      <c r="Q3480" s="1300"/>
      <c r="R3480" s="1300"/>
      <c r="S3480" s="1300"/>
    </row>
    <row r="3481" spans="1:19" s="1081" customFormat="1" hidden="1" outlineLevel="1">
      <c r="A3481" s="1072" t="str">
        <f t="shared" si="890"/>
        <v/>
      </c>
      <c r="B3481" s="1557" t="s">
        <v>1861</v>
      </c>
      <c r="C3481" s="1291"/>
      <c r="D3481" s="1198">
        <f>VLOOKUP($B3481,dongia1,DG!$B$5,)</f>
        <v>0</v>
      </c>
      <c r="E3481" s="1399" t="str">
        <f>VLOOKUP($B3481,dongia1,DG!$C$5,)</f>
        <v>Ống PVC D140x6,7mm</v>
      </c>
      <c r="F3481" s="1198" t="str">
        <f>VLOOKUP($B3481,dongia1,DG!$D$5,)</f>
        <v>m</v>
      </c>
      <c r="G3481" s="1304">
        <f>1*G3475</f>
        <v>0</v>
      </c>
      <c r="H3481" s="1298">
        <f>VLOOKUP($B3481,dongia1,DG!$F$5,)</f>
        <v>165250</v>
      </c>
      <c r="I3481" s="1298"/>
      <c r="J3481" s="1298">
        <f>VLOOKUP($B3481,dongia1,DG!$G$5,)</f>
        <v>0</v>
      </c>
      <c r="K3481" s="1298">
        <f>VLOOKUP($B3481,dongia1,DG!$H$5,)</f>
        <v>0</v>
      </c>
      <c r="L3481" s="1298">
        <f t="shared" si="886"/>
        <v>0</v>
      </c>
      <c r="M3481" s="1298">
        <f t="shared" si="887"/>
        <v>0</v>
      </c>
      <c r="N3481" s="1298">
        <f t="shared" si="888"/>
        <v>0</v>
      </c>
      <c r="O3481" s="1298">
        <f t="shared" si="889"/>
        <v>0</v>
      </c>
      <c r="P3481" s="1299"/>
      <c r="Q3481" s="1300"/>
      <c r="R3481" s="1300"/>
      <c r="S3481" s="1300"/>
    </row>
    <row r="3482" spans="1:19" s="1081" customFormat="1" hidden="1" outlineLevel="1">
      <c r="A3482" s="1072" t="str">
        <f t="shared" si="890"/>
        <v/>
      </c>
      <c r="B3482" s="1557" t="s">
        <v>1498</v>
      </c>
      <c r="C3482" s="1302"/>
      <c r="D3482" s="1198" t="str">
        <f>VLOOKUP($B3482,dongia1,DG!$B$5,)</f>
        <v>AB.66112</v>
      </c>
      <c r="E3482" s="1399" t="str">
        <f>VLOOKUP($B3482,dongia1,DG!$C$5,)&amp;" + ñaép ñaù"</f>
        <v>Rải cát đệm (độ chặt K=0,9) + ñaép ñaù</v>
      </c>
      <c r="F3482" s="1198" t="str">
        <f>VLOOKUP($B3482,dongia1,DG!$D$5,)</f>
        <v>m3</v>
      </c>
      <c r="G3482" s="1304">
        <f>G3477+G3478</f>
        <v>0</v>
      </c>
      <c r="H3482" s="1298">
        <f>VLOOKUP($B3482,dongia1,DG!$F$5,)</f>
        <v>0</v>
      </c>
      <c r="I3482" s="1298"/>
      <c r="J3482" s="1298">
        <f>VLOOKUP($B3482,dongia1,DG!$G$5,)</f>
        <v>315277.5</v>
      </c>
      <c r="K3482" s="1298">
        <f>VLOOKUP($B3482,dongia1,DG!$H$5,)</f>
        <v>0</v>
      </c>
      <c r="L3482" s="1298">
        <f t="shared" si="886"/>
        <v>0</v>
      </c>
      <c r="M3482" s="1298">
        <f t="shared" si="887"/>
        <v>0</v>
      </c>
      <c r="N3482" s="1298">
        <f t="shared" si="888"/>
        <v>0</v>
      </c>
      <c r="O3482" s="1298">
        <f t="shared" si="889"/>
        <v>0</v>
      </c>
      <c r="P3482" s="1299"/>
      <c r="Q3482" s="1300"/>
      <c r="R3482" s="1300"/>
      <c r="S3482" s="1300"/>
    </row>
    <row r="3483" spans="1:19" s="1081" customFormat="1" hidden="1" outlineLevel="1">
      <c r="A3483" s="1072" t="str">
        <f t="shared" si="890"/>
        <v/>
      </c>
      <c r="B3483" s="1557" t="s">
        <v>291</v>
      </c>
      <c r="C3483" s="1302"/>
      <c r="D3483" s="1198" t="str">
        <f>VLOOKUP($B3483,dongia1,DG!$B$5,)</f>
        <v>AB.11613</v>
      </c>
      <c r="E3483" s="1399" t="str">
        <f>VLOOKUP($B3483,dongia1,DG!$C$5,)&amp;" : 0,48m3/m"</f>
        <v>Đào mương cáp ngầm đất cấp 3 có mở ta luy : 0,48m3/m</v>
      </c>
      <c r="F3483" s="1198" t="str">
        <f>VLOOKUP($B3483,dongia1,DG!$D$5,)</f>
        <v>m3</v>
      </c>
      <c r="G3483" s="1304">
        <f>G3475*0.48</f>
        <v>0</v>
      </c>
      <c r="H3483" s="1298">
        <f>VLOOKUP($B3483,dongia1,DG!$F$5,)</f>
        <v>0</v>
      </c>
      <c r="I3483" s="1298"/>
      <c r="J3483" s="1298">
        <f>VLOOKUP($B3483,dongia1,DG!$G$5,)</f>
        <v>640731.36</v>
      </c>
      <c r="K3483" s="1298">
        <f>VLOOKUP($B3483,dongia1,DG!$H$5,)</f>
        <v>0</v>
      </c>
      <c r="L3483" s="1298">
        <f t="shared" si="886"/>
        <v>0</v>
      </c>
      <c r="M3483" s="1298">
        <f t="shared" si="887"/>
        <v>0</v>
      </c>
      <c r="N3483" s="1298">
        <f t="shared" si="888"/>
        <v>0</v>
      </c>
      <c r="O3483" s="1298">
        <f t="shared" si="889"/>
        <v>0</v>
      </c>
      <c r="P3483" s="1299"/>
      <c r="Q3483" s="1300"/>
      <c r="R3483" s="1300"/>
      <c r="S3483" s="1300"/>
    </row>
    <row r="3484" spans="1:19" s="1081" customFormat="1" hidden="1" outlineLevel="1">
      <c r="A3484" s="1072" t="str">
        <f t="shared" si="890"/>
        <v/>
      </c>
      <c r="B3484" s="1557" t="s">
        <v>1906</v>
      </c>
      <c r="C3484" s="1302"/>
      <c r="D3484" s="1198" t="str">
        <f>VLOOKUP($B3484,dongia1,DG!$B$5,)</f>
        <v>AB.65110</v>
      </c>
      <c r="E3484" s="1399" t="str">
        <f>VLOOKUP($B3484,dongia1,DG!$C$5,)&amp;" : 0,16m3/m"</f>
        <v>Đắp đất mương cáp K=0,9 : 0,16m3/m</v>
      </c>
      <c r="F3484" s="1198" t="str">
        <f>VLOOKUP($B3484,dongia1,DG!$D$5,)</f>
        <v>m3</v>
      </c>
      <c r="G3484" s="1304">
        <f>0.16*G3475</f>
        <v>0</v>
      </c>
      <c r="H3484" s="1298">
        <f>VLOOKUP($B3484,dongia1,DG!$F$5,)</f>
        <v>0</v>
      </c>
      <c r="I3484" s="1298"/>
      <c r="J3484" s="1298">
        <f>VLOOKUP($B3484,dongia1,DG!$G$5,)</f>
        <v>21935.133999999998</v>
      </c>
      <c r="K3484" s="1298">
        <f>VLOOKUP($B3484,dongia1,DG!$H$5,)</f>
        <v>0</v>
      </c>
      <c r="L3484" s="1298">
        <f t="shared" si="886"/>
        <v>0</v>
      </c>
      <c r="M3484" s="1298">
        <f t="shared" si="887"/>
        <v>0</v>
      </c>
      <c r="N3484" s="1298">
        <f t="shared" si="888"/>
        <v>0</v>
      </c>
      <c r="O3484" s="1298">
        <f t="shared" si="889"/>
        <v>0</v>
      </c>
      <c r="P3484" s="1299"/>
      <c r="Q3484" s="1300"/>
      <c r="R3484" s="1474">
        <v>0.47499999999999998</v>
      </c>
      <c r="S3484" s="1300"/>
    </row>
    <row r="3485" spans="1:19" s="1081" customFormat="1" hidden="1" outlineLevel="1">
      <c r="A3485" s="1072" t="str">
        <f t="shared" si="890"/>
        <v/>
      </c>
      <c r="B3485" s="1295"/>
      <c r="C3485" s="1291">
        <f>IF(G3485&gt;0,C3475+1,C3475)</f>
        <v>0</v>
      </c>
      <c r="D3485" s="1292"/>
      <c r="E3485" s="1296" t="s">
        <v>3461</v>
      </c>
      <c r="F3485" s="1291" t="s">
        <v>2113</v>
      </c>
      <c r="G3485" s="1297">
        <f>G3494</f>
        <v>0</v>
      </c>
      <c r="H3485" s="1298"/>
      <c r="I3485" s="1298"/>
      <c r="J3485" s="1298"/>
      <c r="K3485" s="1298"/>
      <c r="L3485" s="1298">
        <f t="shared" si="886"/>
        <v>0</v>
      </c>
      <c r="M3485" s="1298">
        <f t="shared" si="887"/>
        <v>0</v>
      </c>
      <c r="N3485" s="1298">
        <f t="shared" si="888"/>
        <v>0</v>
      </c>
      <c r="O3485" s="1298">
        <f t="shared" si="889"/>
        <v>0</v>
      </c>
      <c r="P3485" s="1299"/>
      <c r="Q3485" s="1300"/>
      <c r="R3485" s="1474">
        <v>0.88100000000000001</v>
      </c>
      <c r="S3485" s="1300"/>
    </row>
    <row r="3486" spans="1:19" s="1081" customFormat="1" ht="14.4" hidden="1" outlineLevel="1">
      <c r="A3486" s="1072" t="str">
        <f>A3485</f>
        <v/>
      </c>
      <c r="B3486" s="1295"/>
      <c r="C3486" s="1291"/>
      <c r="D3486" s="1292"/>
      <c r="E3486" s="1301" t="s">
        <v>3399</v>
      </c>
      <c r="F3486" s="1302"/>
      <c r="G3486" s="1473"/>
      <c r="H3486" s="1298"/>
      <c r="I3486" s="1298"/>
      <c r="J3486" s="1298"/>
      <c r="K3486" s="1298"/>
      <c r="L3486" s="1298">
        <f t="shared" si="886"/>
        <v>0</v>
      </c>
      <c r="M3486" s="1298">
        <f t="shared" si="887"/>
        <v>0</v>
      </c>
      <c r="N3486" s="1298">
        <f t="shared" si="888"/>
        <v>0</v>
      </c>
      <c r="O3486" s="1298">
        <f t="shared" si="889"/>
        <v>0</v>
      </c>
      <c r="P3486" s="1299"/>
      <c r="Q3486" s="1300"/>
      <c r="R3486" s="1300"/>
      <c r="S3486" s="1300"/>
    </row>
    <row r="3487" spans="1:19" s="1081" customFormat="1" hidden="1" outlineLevel="1">
      <c r="A3487" s="1072" t="str">
        <f t="shared" ref="A3487:A3494" si="891">IF(G3487&lt;&gt;0,1,"")</f>
        <v/>
      </c>
      <c r="B3487" s="1295" t="s">
        <v>1568</v>
      </c>
      <c r="C3487" s="1302"/>
      <c r="D3487" s="1198" t="str">
        <f>VLOOKUP($B3487,dongia1,DG!$B$5,)</f>
        <v>D4.1205</v>
      </c>
      <c r="E3487" s="1243" t="str">
        <f>VLOOKUP($B3487,dongia1,DG!$C$5,)</f>
        <v>Ông sắt tráng kẽm D140</v>
      </c>
      <c r="F3487" s="1198" t="str">
        <f>VLOOKUP($B3487,dongia1,DG!$D$5,)</f>
        <v>mét</v>
      </c>
      <c r="G3487" s="1304">
        <f>G3485*4</f>
        <v>0</v>
      </c>
      <c r="H3487" s="1298">
        <f>VLOOKUP($B3487,dongia1,DG!$F$5,)</f>
        <v>278000</v>
      </c>
      <c r="I3487" s="1298"/>
      <c r="J3487" s="1298">
        <f>VLOOKUP($B3487,dongia1,DG!$G$5,)</f>
        <v>127101.65849999999</v>
      </c>
      <c r="K3487" s="1298">
        <f>VLOOKUP($B3487,dongia1,DG!$H$5,)</f>
        <v>0</v>
      </c>
      <c r="L3487" s="1298">
        <f t="shared" si="886"/>
        <v>0</v>
      </c>
      <c r="M3487" s="1298">
        <f t="shared" si="887"/>
        <v>0</v>
      </c>
      <c r="N3487" s="1298">
        <f t="shared" si="888"/>
        <v>0</v>
      </c>
      <c r="O3487" s="1298">
        <f t="shared" si="889"/>
        <v>0</v>
      </c>
      <c r="P3487" s="1299"/>
      <c r="Q3487" s="1300"/>
      <c r="R3487" s="1300"/>
      <c r="S3487" s="1300"/>
    </row>
    <row r="3488" spans="1:19" s="1081" customFormat="1" hidden="1" outlineLevel="1">
      <c r="A3488" s="1072" t="str">
        <f t="shared" si="891"/>
        <v/>
      </c>
      <c r="B3488" s="1557" t="s">
        <v>25</v>
      </c>
      <c r="C3488" s="1291"/>
      <c r="D3488" s="1198">
        <f>VLOOKUP($B3488,dongia1,DG!$B$5,)</f>
        <v>0</v>
      </c>
      <c r="E3488" s="1243" t="str">
        <f>VLOOKUP($B3488,dongia1,DG!$C$5,)</f>
        <v>Co sừng 90 độ PVC 140</v>
      </c>
      <c r="F3488" s="1198" t="str">
        <f>VLOOKUP($B3488,dongia1,DG!$D$5,)</f>
        <v>cái</v>
      </c>
      <c r="G3488" s="1304">
        <f>G3485*1</f>
        <v>0</v>
      </c>
      <c r="H3488" s="1298">
        <f>VLOOKUP($B3488,dongia1,DG!$F$5,)</f>
        <v>138000</v>
      </c>
      <c r="I3488" s="1298"/>
      <c r="J3488" s="1298">
        <f>VLOOKUP($B3488,dongia1,DG!$G$5,)</f>
        <v>0</v>
      </c>
      <c r="K3488" s="1298">
        <f>VLOOKUP($B3488,dongia1,DG!$H$5,)</f>
        <v>0</v>
      </c>
      <c r="L3488" s="1298">
        <f t="shared" si="886"/>
        <v>0</v>
      </c>
      <c r="M3488" s="1298">
        <f t="shared" si="887"/>
        <v>0</v>
      </c>
      <c r="N3488" s="1298">
        <f t="shared" si="888"/>
        <v>0</v>
      </c>
      <c r="O3488" s="1298">
        <f t="shared" si="889"/>
        <v>0</v>
      </c>
      <c r="P3488" s="1299"/>
      <c r="Q3488" s="1300"/>
      <c r="R3488" s="1300"/>
      <c r="S3488" s="1300"/>
    </row>
    <row r="3489" spans="1:19" s="1081" customFormat="1" hidden="1" outlineLevel="1">
      <c r="A3489" s="1072" t="str">
        <f t="shared" si="891"/>
        <v/>
      </c>
      <c r="B3489" s="1295" t="s">
        <v>1424</v>
      </c>
      <c r="C3489" s="1302"/>
      <c r="D3489" s="1198">
        <f>VLOOKUP($B3489,dongia1,DG!$B$5,)</f>
        <v>0</v>
      </c>
      <c r="E3489" s="1243" t="str">
        <f>VLOOKUP($B3489,dongia1,DG!$C$5,)</f>
        <v>Cổ dê giữ ống STK D140 vào tường+Boulon+long đền+tắc ke sắt</v>
      </c>
      <c r="F3489" s="1198" t="str">
        <f>VLOOKUP($B3489,dongia1,DG!$D$5,)</f>
        <v>bộ</v>
      </c>
      <c r="G3489" s="1304">
        <f>G3485*2</f>
        <v>0</v>
      </c>
      <c r="H3489" s="1298">
        <f>VLOOKUP($B3489,dongia1,DG!$F$5,)</f>
        <v>40000</v>
      </c>
      <c r="I3489" s="1298"/>
      <c r="J3489" s="1298">
        <f>VLOOKUP($B3489,dongia1,DG!$G$5,)</f>
        <v>0</v>
      </c>
      <c r="K3489" s="1298">
        <f>VLOOKUP($B3489,dongia1,DG!$H$5,)</f>
        <v>0</v>
      </c>
      <c r="L3489" s="1298">
        <f t="shared" si="886"/>
        <v>0</v>
      </c>
      <c r="M3489" s="1298">
        <f t="shared" si="887"/>
        <v>0</v>
      </c>
      <c r="N3489" s="1298">
        <f t="shared" si="888"/>
        <v>0</v>
      </c>
      <c r="O3489" s="1298">
        <f t="shared" si="889"/>
        <v>0</v>
      </c>
      <c r="P3489" s="1299"/>
      <c r="Q3489" s="1300"/>
      <c r="R3489" s="1300"/>
      <c r="S3489" s="1300"/>
    </row>
    <row r="3490" spans="1:19" s="1081" customFormat="1" hidden="1" outlineLevel="1">
      <c r="A3490" s="1072" t="str">
        <f t="shared" si="891"/>
        <v/>
      </c>
      <c r="B3490" s="1068" t="s">
        <v>441</v>
      </c>
      <c r="C3490" s="1302"/>
      <c r="D3490" s="1198">
        <f>VLOOKUP($B3490,dongia1,DG!$B$5,)</f>
        <v>0</v>
      </c>
      <c r="E3490" s="1243" t="str">
        <f>VLOOKUP($B3490,dongia1,DG!$C$5,)</f>
        <v>Giá đỡ cáp ngầm (V63x6)</v>
      </c>
      <c r="F3490" s="1198" t="str">
        <f>VLOOKUP($B3490,dongia1,DG!$D$5,)</f>
        <v>bộ</v>
      </c>
      <c r="G3490" s="1304">
        <f>G3485</f>
        <v>0</v>
      </c>
      <c r="H3490" s="1298">
        <f>VLOOKUP($B3490,dongia1,DG!$F$5,)</f>
        <v>150000</v>
      </c>
      <c r="I3490" s="1298"/>
      <c r="J3490" s="1298">
        <f>VLOOKUP($B3490,dongia1,DG!$G$5,)</f>
        <v>0</v>
      </c>
      <c r="K3490" s="1298">
        <f>VLOOKUP($B3490,dongia1,DG!$H$5,)</f>
        <v>0</v>
      </c>
      <c r="L3490" s="1298">
        <f t="shared" si="886"/>
        <v>0</v>
      </c>
      <c r="M3490" s="1298">
        <f t="shared" si="887"/>
        <v>0</v>
      </c>
      <c r="N3490" s="1298">
        <f t="shared" si="888"/>
        <v>0</v>
      </c>
      <c r="O3490" s="1298">
        <f t="shared" si="889"/>
        <v>0</v>
      </c>
      <c r="P3490" s="1299"/>
      <c r="Q3490" s="1300"/>
      <c r="R3490" s="1300"/>
      <c r="S3490" s="1300"/>
    </row>
    <row r="3491" spans="1:19" s="1081" customFormat="1" hidden="1" outlineLevel="1">
      <c r="A3491" s="1072" t="str">
        <f t="shared" si="891"/>
        <v/>
      </c>
      <c r="B3491" s="1068" t="s">
        <v>31</v>
      </c>
      <c r="C3491" s="1302"/>
      <c r="D3491" s="1198">
        <f>VLOOKUP($B3491,dongia1,DG!$B$5,)</f>
        <v>0</v>
      </c>
      <c r="E3491" s="1243" t="str">
        <f>VLOOKUP($B3491,dongia1,DG!$C$5,)</f>
        <v>Giá đỡ cáp trung thế</v>
      </c>
      <c r="F3491" s="1198" t="str">
        <f>VLOOKUP($B3491,dongia1,DG!$D$5,)</f>
        <v>bộ</v>
      </c>
      <c r="G3491" s="1304">
        <f>G3485*0</f>
        <v>0</v>
      </c>
      <c r="H3491" s="1298">
        <f>VLOOKUP($B3491,dongia1,DG!$F$5,)</f>
        <v>224832</v>
      </c>
      <c r="I3491" s="1298"/>
      <c r="J3491" s="1298">
        <f>VLOOKUP($B3491,dongia1,DG!$G$5,)</f>
        <v>3635</v>
      </c>
      <c r="K3491" s="1298">
        <f>VLOOKUP($B3491,dongia1,DG!$H$5,)</f>
        <v>6321</v>
      </c>
      <c r="L3491" s="1298">
        <f t="shared" si="886"/>
        <v>0</v>
      </c>
      <c r="M3491" s="1298">
        <f t="shared" si="887"/>
        <v>0</v>
      </c>
      <c r="N3491" s="1298">
        <f t="shared" si="888"/>
        <v>0</v>
      </c>
      <c r="O3491" s="1298">
        <f t="shared" si="889"/>
        <v>0</v>
      </c>
      <c r="P3491" s="1299"/>
      <c r="Q3491" s="1300"/>
      <c r="R3491" s="1300"/>
      <c r="S3491" s="1300"/>
    </row>
    <row r="3492" spans="1:19" s="1081" customFormat="1" hidden="1" outlineLevel="1">
      <c r="A3492" s="1072" t="str">
        <f t="shared" si="891"/>
        <v/>
      </c>
      <c r="B3492" s="1295" t="s">
        <v>442</v>
      </c>
      <c r="C3492" s="1291"/>
      <c r="D3492" s="1198" t="str">
        <f>VLOOKUP($B3492,dongia1,DG!$B$5,)</f>
        <v>T4.8002</v>
      </c>
      <c r="E3492" s="1243" t="str">
        <f>VLOOKUP($B3492,dongia1,DG!$C$5,)</f>
        <v>Lắp gía đỡ cáp</v>
      </c>
      <c r="F3492" s="1198" t="str">
        <f>VLOOKUP($B3492,dongia1,DG!$D$5,)</f>
        <v>bộ</v>
      </c>
      <c r="G3492" s="1304">
        <f>G3490</f>
        <v>0</v>
      </c>
      <c r="H3492" s="1298">
        <f>VLOOKUP($B3492,dongia1,DG!$F$5,)</f>
        <v>0</v>
      </c>
      <c r="I3492" s="1298"/>
      <c r="J3492" s="1298">
        <f>VLOOKUP($B3492,dongia1,DG!$G$5,)</f>
        <v>28219.62</v>
      </c>
      <c r="K3492" s="1298">
        <f>VLOOKUP($B3492,dongia1,DG!$H$5,)</f>
        <v>0</v>
      </c>
      <c r="L3492" s="1298">
        <f t="shared" si="886"/>
        <v>0</v>
      </c>
      <c r="M3492" s="1298">
        <f t="shared" si="887"/>
        <v>0</v>
      </c>
      <c r="N3492" s="1298">
        <f t="shared" si="888"/>
        <v>0</v>
      </c>
      <c r="O3492" s="1298">
        <f t="shared" si="889"/>
        <v>0</v>
      </c>
      <c r="P3492" s="1299"/>
      <c r="Q3492" s="1300"/>
      <c r="R3492" s="1300"/>
      <c r="S3492" s="1300"/>
    </row>
    <row r="3493" spans="1:19" s="1081" customFormat="1" hidden="1" outlineLevel="1">
      <c r="A3493" s="1072" t="str">
        <f t="shared" si="891"/>
        <v/>
      </c>
      <c r="B3493" s="1295" t="s">
        <v>888</v>
      </c>
      <c r="C3493" s="1302"/>
      <c r="D3493" s="1198">
        <f>VLOOKUP($B3493,dongia1,DG!$B$5,)</f>
        <v>0</v>
      </c>
      <c r="E3493" s="1243" t="str">
        <f>VLOOKUP($B3493,dongia1,DG!$C$5,)</f>
        <v>Bảng tên trạm + bảng báo nguy hiểm</v>
      </c>
      <c r="F3493" s="1198" t="str">
        <f>VLOOKUP($B3493,dongia1,DG!$D$5,)</f>
        <v>cái</v>
      </c>
      <c r="G3493" s="1304">
        <f>G3485</f>
        <v>0</v>
      </c>
      <c r="H3493" s="1298">
        <f>VLOOKUP($B3493,dongia1,DG!$F$5,)</f>
        <v>300000</v>
      </c>
      <c r="I3493" s="1298"/>
      <c r="J3493" s="1298">
        <f>VLOOKUP($B3493,dongia1,DG!$G$5,)</f>
        <v>0</v>
      </c>
      <c r="K3493" s="1298">
        <f>VLOOKUP($B3493,dongia1,DG!$H$5,)</f>
        <v>0</v>
      </c>
      <c r="L3493" s="1298">
        <f t="shared" si="886"/>
        <v>0</v>
      </c>
      <c r="M3493" s="1298">
        <f t="shared" si="887"/>
        <v>0</v>
      </c>
      <c r="N3493" s="1298">
        <f t="shared" si="888"/>
        <v>0</v>
      </c>
      <c r="O3493" s="1298">
        <f t="shared" si="889"/>
        <v>0</v>
      </c>
      <c r="P3493" s="1299"/>
      <c r="Q3493" s="1300"/>
      <c r="R3493" s="1300"/>
      <c r="S3493" s="1300"/>
    </row>
    <row r="3494" spans="1:19" s="1081" customFormat="1" hidden="1" outlineLevel="1">
      <c r="A3494" s="1072" t="str">
        <f t="shared" si="891"/>
        <v/>
      </c>
      <c r="B3494" s="1295"/>
      <c r="C3494" s="1291">
        <f>IF(G3494&gt;0,C3485+1,C3485)</f>
        <v>0</v>
      </c>
      <c r="D3494" s="1292"/>
      <c r="E3494" s="1293" t="s">
        <v>3467</v>
      </c>
      <c r="F3494" s="1291" t="s">
        <v>2113</v>
      </c>
      <c r="G3494" s="1297">
        <f>G3389*0</f>
        <v>0</v>
      </c>
      <c r="H3494" s="1298"/>
      <c r="I3494" s="1298"/>
      <c r="J3494" s="1298"/>
      <c r="K3494" s="1298"/>
      <c r="L3494" s="1298"/>
      <c r="M3494" s="1298"/>
      <c r="N3494" s="1298"/>
      <c r="O3494" s="1298"/>
      <c r="P3494" s="1299"/>
      <c r="Q3494" s="1300"/>
      <c r="R3494" s="1300"/>
      <c r="S3494" s="1300"/>
    </row>
    <row r="3495" spans="1:19" s="1081" customFormat="1" ht="14.4" hidden="1" outlineLevel="1">
      <c r="A3495" s="1072" t="str">
        <f>A3494</f>
        <v/>
      </c>
      <c r="B3495" s="1295"/>
      <c r="C3495" s="1291"/>
      <c r="D3495" s="1292"/>
      <c r="E3495" s="1308" t="s">
        <v>3399</v>
      </c>
      <c r="F3495" s="1291"/>
      <c r="G3495" s="1297"/>
      <c r="H3495" s="1298"/>
      <c r="I3495" s="1298"/>
      <c r="J3495" s="1298"/>
      <c r="K3495" s="1298"/>
      <c r="L3495" s="1298"/>
      <c r="M3495" s="1298"/>
      <c r="N3495" s="1298"/>
      <c r="O3495" s="1298"/>
      <c r="P3495" s="1299"/>
      <c r="Q3495" s="1300"/>
      <c r="R3495" s="1300"/>
      <c r="S3495" s="1300"/>
    </row>
    <row r="3496" spans="1:19" s="1081" customFormat="1" hidden="1" outlineLevel="1">
      <c r="A3496" s="1072" t="str">
        <f>IF(G3496&lt;&gt;0,1,"")</f>
        <v/>
      </c>
      <c r="B3496" s="1068" t="s">
        <v>22</v>
      </c>
      <c r="C3496" s="1302"/>
      <c r="D3496" s="1198">
        <f>VLOOKUP($B3496,dongia1,DG!$B$5,)</f>
        <v>0</v>
      </c>
      <c r="E3496" s="1243" t="str">
        <f>VLOOKUP($B3496,dongia1,DG!$C$5,)&amp;": töø Trụ ño ñeám ñeán tuû LBSA"</f>
        <v>Cáp 24kV C/XLPE/DSTA/PVC3x50: töø Trụ ño ñeám ñeán tuû LBSA</v>
      </c>
      <c r="F3496" s="1198" t="str">
        <f>VLOOKUP($B3496,dongia1,DG!$D$5,)</f>
        <v>mét</v>
      </c>
      <c r="G3496" s="1304">
        <f>(3+10)*1.02*G3494*0</f>
        <v>0</v>
      </c>
      <c r="H3496" s="1298">
        <f>VLOOKUP($B3496,dongia1,DG!$F$5,)</f>
        <v>763500</v>
      </c>
      <c r="I3496" s="1298"/>
      <c r="J3496" s="1298">
        <f>VLOOKUP($B3496,dongia1,DG!$G$5,)</f>
        <v>0</v>
      </c>
      <c r="K3496" s="1298">
        <f>VLOOKUP($B3496,dongia1,DG!$H$5,)</f>
        <v>0</v>
      </c>
      <c r="L3496" s="1298">
        <f>H3496*G3496</f>
        <v>0</v>
      </c>
      <c r="M3496" s="1298">
        <f>I3496*G3496</f>
        <v>0</v>
      </c>
      <c r="N3496" s="1298">
        <f>J3496*G3496</f>
        <v>0</v>
      </c>
      <c r="O3496" s="1298">
        <f>K3496*G3496</f>
        <v>0</v>
      </c>
      <c r="P3496" s="1299"/>
      <c r="Q3496" s="1300"/>
      <c r="R3496" s="1300"/>
      <c r="S3496" s="1300"/>
    </row>
    <row r="3497" spans="1:19" s="1081" customFormat="1" hidden="1" outlineLevel="1">
      <c r="A3497" s="1072" t="str">
        <f t="shared" ref="A3497:A3506" si="892">IF(G3497&lt;&gt;0,1,"")</f>
        <v/>
      </c>
      <c r="B3497" s="1068" t="s">
        <v>2071</v>
      </c>
      <c r="C3497" s="1302"/>
      <c r="D3497" s="1198">
        <f>VLOOKUP($B3497,dongia1,DG!$B$5,)</f>
        <v>0</v>
      </c>
      <c r="E3497" s="1243" t="str">
        <f>VLOOKUP($B3497,dongia1,DG!$C$5,)&amp;": 0,5m/pha"</f>
        <v>Cáp 24KV C/XLPE/PVC 50mm2: 0,5m/pha</v>
      </c>
      <c r="F3497" s="1198" t="str">
        <f>VLOOKUP($B3497,dongia1,DG!$D$5,)</f>
        <v>mét</v>
      </c>
      <c r="G3497" s="1304">
        <f>G3494*0.5*3</f>
        <v>0</v>
      </c>
      <c r="H3497" s="1298">
        <f>VLOOKUP($B3497,dongia1,DG!$F$5,)</f>
        <v>204900</v>
      </c>
      <c r="I3497" s="1298"/>
      <c r="J3497" s="1298">
        <f>VLOOKUP($B3497,dongia1,DG!$G$5,)</f>
        <v>0</v>
      </c>
      <c r="K3497" s="1298">
        <f>VLOOKUP($B3497,dongia1,DG!$H$5,)</f>
        <v>0</v>
      </c>
      <c r="L3497" s="1298">
        <f>H3497*G3497</f>
        <v>0</v>
      </c>
      <c r="M3497" s="1298">
        <f>I3497*G3497</f>
        <v>0</v>
      </c>
      <c r="N3497" s="1298">
        <f>J3497*G3497</f>
        <v>0</v>
      </c>
      <c r="O3497" s="1298">
        <f>K3497*G3497</f>
        <v>0</v>
      </c>
      <c r="P3497" s="1299"/>
      <c r="Q3497" s="1300"/>
      <c r="R3497" s="1300"/>
      <c r="S3497" s="1300"/>
    </row>
    <row r="3498" spans="1:19" s="1081" customFormat="1" hidden="1" outlineLevel="1">
      <c r="A3498" s="1072" t="str">
        <f t="shared" si="892"/>
        <v/>
      </c>
      <c r="B3498" s="1068" t="s">
        <v>631</v>
      </c>
      <c r="C3498" s="1302"/>
      <c r="D3498" s="1198">
        <f>VLOOKUP($B3498,dongia1,DG!$B$5,)</f>
        <v>0</v>
      </c>
      <c r="E3498" s="1243" t="str">
        <f>VLOOKUP($B3498,dongia1,DG!$C$5,)</f>
        <v>Đầu cáp ngầm 24KV 3x50mm2 outdoor</v>
      </c>
      <c r="F3498" s="1198" t="str">
        <f>VLOOKUP($B3498,dongia1,DG!$D$5,)</f>
        <v>cái</v>
      </c>
      <c r="G3498" s="1304">
        <f>G3494*2*0</f>
        <v>0</v>
      </c>
      <c r="H3498" s="1298">
        <f>VLOOKUP($B3498,dongia1,DG!$F$5,)</f>
        <v>4022000</v>
      </c>
      <c r="I3498" s="1298"/>
      <c r="J3498" s="1298">
        <f>VLOOKUP($B3498,dongia1,DG!$G$5,)</f>
        <v>0</v>
      </c>
      <c r="K3498" s="1298">
        <f>VLOOKUP($B3498,dongia1,DG!$H$5,)</f>
        <v>0</v>
      </c>
      <c r="L3498" s="1298">
        <f t="shared" ref="L3498:L3503" si="893">H3498*G3498</f>
        <v>0</v>
      </c>
      <c r="M3498" s="1298">
        <f t="shared" ref="M3498:M3503" si="894">I3498*G3498</f>
        <v>0</v>
      </c>
      <c r="N3498" s="1298">
        <f t="shared" ref="N3498:N3503" si="895">J3498*G3498</f>
        <v>0</v>
      </c>
      <c r="O3498" s="1298">
        <f t="shared" ref="O3498:O3503" si="896">K3498*G3498</f>
        <v>0</v>
      </c>
      <c r="P3498" s="1299"/>
      <c r="Q3498" s="1300"/>
      <c r="R3498" s="1300"/>
      <c r="S3498" s="1300"/>
    </row>
    <row r="3499" spans="1:19" s="1081" customFormat="1" hidden="1" outlineLevel="1">
      <c r="A3499" s="1072" t="str">
        <f t="shared" si="892"/>
        <v/>
      </c>
      <c r="B3499" s="1068" t="s">
        <v>22</v>
      </c>
      <c r="C3499" s="1302"/>
      <c r="D3499" s="1198">
        <f>VLOOKUP($B3499,dongia1,DG!$B$5,)</f>
        <v>0</v>
      </c>
      <c r="E3499" s="1243" t="str">
        <f>VLOOKUP($B3499,dongia1,DG!$C$5,)&amp;": töø tuû LBS ñeán MBA"</f>
        <v>Cáp 24kV C/XLPE/DSTA/PVC3x50: töø tuû LBS ñeán MBA</v>
      </c>
      <c r="F3499" s="1198" t="str">
        <f>VLOOKUP($B3499,dongia1,DG!$D$5,)</f>
        <v>mét</v>
      </c>
      <c r="G3499" s="1304">
        <f>(1.2+2.4)*G3494*0</f>
        <v>0</v>
      </c>
      <c r="H3499" s="1298">
        <f>VLOOKUP($B3499,dongia1,DG!$F$5,)</f>
        <v>763500</v>
      </c>
      <c r="I3499" s="1298"/>
      <c r="J3499" s="1298">
        <f>VLOOKUP($B3499,dongia1,DG!$G$5,)</f>
        <v>0</v>
      </c>
      <c r="K3499" s="1298">
        <f>VLOOKUP($B3499,dongia1,DG!$H$5,)</f>
        <v>0</v>
      </c>
      <c r="L3499" s="1298">
        <f t="shared" si="893"/>
        <v>0</v>
      </c>
      <c r="M3499" s="1298">
        <f t="shared" si="894"/>
        <v>0</v>
      </c>
      <c r="N3499" s="1298">
        <f t="shared" si="895"/>
        <v>0</v>
      </c>
      <c r="O3499" s="1298">
        <f t="shared" si="896"/>
        <v>0</v>
      </c>
      <c r="P3499" s="1299"/>
      <c r="Q3499" s="1300"/>
      <c r="R3499" s="1300"/>
      <c r="S3499" s="1300"/>
    </row>
    <row r="3500" spans="1:19" s="1081" customFormat="1" hidden="1" outlineLevel="1">
      <c r="A3500" s="1072" t="str">
        <f t="shared" si="892"/>
        <v/>
      </c>
      <c r="B3500" s="1068" t="s">
        <v>2071</v>
      </c>
      <c r="C3500" s="1302"/>
      <c r="D3500" s="1198">
        <f>VLOOKUP($B3500,dongia1,DG!$B$5,)</f>
        <v>0</v>
      </c>
      <c r="E3500" s="1243" t="str">
        <f>VLOOKUP($B3500,dongia1,DG!$C$5,)&amp;": töø tuû LBS ñeán MBA"</f>
        <v>Cáp 24KV C/XLPE/PVC 50mm2: töø tuû LBS ñeán MBA</v>
      </c>
      <c r="F3500" s="1198" t="str">
        <f>VLOOKUP($B3500,dongia1,DG!$D$5,)</f>
        <v>mét</v>
      </c>
      <c r="G3500" s="1304">
        <f>G3499*0</f>
        <v>0</v>
      </c>
      <c r="H3500" s="1298">
        <f>VLOOKUP($B3500,dongia1,DG!$F$5,)</f>
        <v>204900</v>
      </c>
      <c r="I3500" s="1298"/>
      <c r="J3500" s="1298">
        <f>VLOOKUP($B3500,dongia1,DG!$G$5,)</f>
        <v>0</v>
      </c>
      <c r="K3500" s="1298">
        <f>VLOOKUP($B3500,dongia1,DG!$H$5,)</f>
        <v>0</v>
      </c>
      <c r="L3500" s="1298">
        <f t="shared" si="893"/>
        <v>0</v>
      </c>
      <c r="M3500" s="1298">
        <f t="shared" si="894"/>
        <v>0</v>
      </c>
      <c r="N3500" s="1298">
        <f t="shared" si="895"/>
        <v>0</v>
      </c>
      <c r="O3500" s="1298">
        <f t="shared" si="896"/>
        <v>0</v>
      </c>
      <c r="P3500" s="1299"/>
      <c r="Q3500" s="1300"/>
      <c r="R3500" s="1300"/>
      <c r="S3500" s="1300"/>
    </row>
    <row r="3501" spans="1:19" s="1081" customFormat="1" hidden="1" outlineLevel="1">
      <c r="A3501" s="1072" t="str">
        <f t="shared" si="892"/>
        <v/>
      </c>
      <c r="B3501" s="1068" t="s">
        <v>632</v>
      </c>
      <c r="C3501" s="1302"/>
      <c r="D3501" s="1198">
        <f>VLOOKUP($B3501,dongia1,DG!$B$5,)</f>
        <v>0</v>
      </c>
      <c r="E3501" s="1243" t="str">
        <f>VLOOKUP($B3501,dongia1,DG!$C$5,)</f>
        <v>Đầu cáp ngầm 24KV 3x50mm2 indoor</v>
      </c>
      <c r="F3501" s="1198" t="str">
        <f>VLOOKUP($B3501,dongia1,DG!$D$5,)</f>
        <v>cái</v>
      </c>
      <c r="G3501" s="1304">
        <f>G3494*3*0</f>
        <v>0</v>
      </c>
      <c r="H3501" s="1298">
        <f>VLOOKUP($B3501,dongia1,DG!$F$5,)</f>
        <v>5242230</v>
      </c>
      <c r="I3501" s="1298"/>
      <c r="J3501" s="1298">
        <f>VLOOKUP($B3501,dongia1,DG!$G$5,)</f>
        <v>0</v>
      </c>
      <c r="K3501" s="1298">
        <f>VLOOKUP($B3501,dongia1,DG!$H$5,)</f>
        <v>0</v>
      </c>
      <c r="L3501" s="1298">
        <f t="shared" si="893"/>
        <v>0</v>
      </c>
      <c r="M3501" s="1298">
        <f t="shared" si="894"/>
        <v>0</v>
      </c>
      <c r="N3501" s="1298">
        <f t="shared" si="895"/>
        <v>0</v>
      </c>
      <c r="O3501" s="1298">
        <f t="shared" si="896"/>
        <v>0</v>
      </c>
      <c r="P3501" s="1299"/>
      <c r="Q3501" s="1300"/>
      <c r="R3501" s="1300"/>
      <c r="S3501" s="1300"/>
    </row>
    <row r="3502" spans="1:19" s="1081" customFormat="1" hidden="1" outlineLevel="1">
      <c r="A3502" s="1072" t="str">
        <f t="shared" si="892"/>
        <v/>
      </c>
      <c r="B3502" s="1068" t="s">
        <v>1494</v>
      </c>
      <c r="C3502" s="1302"/>
      <c r="D3502" s="1198" t="str">
        <f>VLOOKUP($B3502,dongia1,DG!$B$5,)</f>
        <v>D4.3312</v>
      </c>
      <c r="E3502" s="1243" t="str">
        <f>VLOOKUP($B3502,dongia1,DG!$C$5,)</f>
        <v>Lắp đầu cáp trung thế 3x50mm2, 70mm2</v>
      </c>
      <c r="F3502" s="1198" t="str">
        <f>VLOOKUP($B3502,dongia1,DG!$D$5,)</f>
        <v>cái</v>
      </c>
      <c r="G3502" s="1304">
        <f>G3498+G3501</f>
        <v>0</v>
      </c>
      <c r="H3502" s="1298">
        <f>VLOOKUP($B3502,dongia1,DG!$F$5,)</f>
        <v>11340</v>
      </c>
      <c r="I3502" s="1298"/>
      <c r="J3502" s="1298">
        <f>VLOOKUP($B3502,dongia1,DG!$G$5,)</f>
        <v>621381.64999999991</v>
      </c>
      <c r="K3502" s="1298">
        <f>VLOOKUP($B3502,dongia1,DG!$H$5,)</f>
        <v>0</v>
      </c>
      <c r="L3502" s="1298">
        <f t="shared" si="893"/>
        <v>0</v>
      </c>
      <c r="M3502" s="1298">
        <f t="shared" si="894"/>
        <v>0</v>
      </c>
      <c r="N3502" s="1298">
        <f t="shared" si="895"/>
        <v>0</v>
      </c>
      <c r="O3502" s="1298">
        <f t="shared" si="896"/>
        <v>0</v>
      </c>
      <c r="P3502" s="1299"/>
      <c r="Q3502" s="1300"/>
      <c r="R3502" s="1300"/>
      <c r="S3502" s="1300"/>
    </row>
    <row r="3503" spans="1:19" s="1081" customFormat="1" hidden="1" outlineLevel="1">
      <c r="A3503" s="1072" t="str">
        <f t="shared" si="892"/>
        <v/>
      </c>
      <c r="B3503" s="1068" t="s">
        <v>1536</v>
      </c>
      <c r="C3503" s="1302"/>
      <c r="D3503" s="1198" t="str">
        <f>VLOOKUP($B3503,dongia1,DG!$B$5,)</f>
        <v>D4.24.05</v>
      </c>
      <c r="E3503" s="1243" t="str">
        <f>VLOOKUP($B3503,dongia1,DG!$C$5,)</f>
        <v>Lắp cáp trong ống bảo vệ loại &lt;=6kg</v>
      </c>
      <c r="F3503" s="1198" t="str">
        <f>VLOOKUP($B3503,dongia1,DG!$D$5,)</f>
        <v>mét</v>
      </c>
      <c r="G3503" s="1304">
        <f>G3496+G3499</f>
        <v>0</v>
      </c>
      <c r="H3503" s="1298">
        <f>VLOOKUP($B3503,dongia1,DG!$F$5,)</f>
        <v>546.91999999999996</v>
      </c>
      <c r="I3503" s="1298"/>
      <c r="J3503" s="1298">
        <f>VLOOKUP($B3503,dongia1,DG!$G$5,)</f>
        <v>21459.713</v>
      </c>
      <c r="K3503" s="1298">
        <f>VLOOKUP($B3503,dongia1,DG!$H$5,)</f>
        <v>0</v>
      </c>
      <c r="L3503" s="1298">
        <f t="shared" si="893"/>
        <v>0</v>
      </c>
      <c r="M3503" s="1298">
        <f t="shared" si="894"/>
        <v>0</v>
      </c>
      <c r="N3503" s="1298">
        <f t="shared" si="895"/>
        <v>0</v>
      </c>
      <c r="O3503" s="1298">
        <f t="shared" si="896"/>
        <v>0</v>
      </c>
      <c r="P3503" s="1299"/>
      <c r="Q3503" s="1300"/>
      <c r="R3503" s="1300"/>
      <c r="S3503" s="1300"/>
    </row>
    <row r="3504" spans="1:19" s="1081" customFormat="1" hidden="1" outlineLevel="1">
      <c r="A3504" s="1072" t="str">
        <f t="shared" si="892"/>
        <v/>
      </c>
      <c r="B3504" s="1068" t="s">
        <v>224</v>
      </c>
      <c r="C3504" s="1302"/>
      <c r="D3504" s="1198" t="str">
        <f>VLOOKUP($B3504,dongia1,DG!$B$5,)</f>
        <v>T4.4201</v>
      </c>
      <c r="E3504" s="1243" t="str">
        <f>VLOOKUP($B3504,dongia1,DG!$C$5,)</f>
        <v>Lắp cáp đồng xuống thiết bị D ≤ 95mm2</v>
      </c>
      <c r="F3504" s="1198" t="str">
        <f>VLOOKUP($B3504,dongia1,DG!$D$5,)</f>
        <v>m</v>
      </c>
      <c r="G3504" s="1304">
        <f>G3497</f>
        <v>0</v>
      </c>
      <c r="H3504" s="1298">
        <f>VLOOKUP($B3504,dongia1,DG!$F$5,)</f>
        <v>0</v>
      </c>
      <c r="I3504" s="1298"/>
      <c r="J3504" s="1298">
        <f>VLOOKUP($B3504,dongia1,DG!$G$5,)</f>
        <v>13915</v>
      </c>
      <c r="K3504" s="1298">
        <f>VLOOKUP($B3504,dongia1,DG!$H$5,)</f>
        <v>0</v>
      </c>
      <c r="L3504" s="1298">
        <f>H3504*G3504</f>
        <v>0</v>
      </c>
      <c r="M3504" s="1298">
        <f>I3504*G3504</f>
        <v>0</v>
      </c>
      <c r="N3504" s="1298">
        <f>J3504*G3504</f>
        <v>0</v>
      </c>
      <c r="O3504" s="1298">
        <f>K3504*G3504</f>
        <v>0</v>
      </c>
      <c r="P3504" s="1299"/>
      <c r="Q3504" s="1300"/>
      <c r="R3504" s="1300"/>
      <c r="S3504" s="1300"/>
    </row>
    <row r="3505" spans="1:19" s="1081" customFormat="1" hidden="1" outlineLevel="1">
      <c r="A3505" s="1072" t="str">
        <f t="shared" si="892"/>
        <v/>
      </c>
      <c r="B3505" s="1068" t="s">
        <v>627</v>
      </c>
      <c r="C3505" s="1302"/>
      <c r="D3505" s="1198">
        <f>VLOOKUP($B3505,dongia1,DG!$B$5,)</f>
        <v>0</v>
      </c>
      <c r="E3505" s="1243" t="str">
        <f>VLOOKUP($B3505,dongia1,DG!$C$5,)</f>
        <v>Dây rút cáp</v>
      </c>
      <c r="F3505" s="1198" t="str">
        <f>VLOOKUP($B3505,dongia1,DG!$D$5,)</f>
        <v>bọc</v>
      </c>
      <c r="G3505" s="1304">
        <f>G3494*2*0</f>
        <v>0</v>
      </c>
      <c r="H3505" s="1298">
        <f>VLOOKUP($B3505,dongia1,DG!$F$5,)</f>
        <v>15000</v>
      </c>
      <c r="I3505" s="1298"/>
      <c r="J3505" s="1298">
        <f>VLOOKUP($B3505,dongia1,DG!$G$5,)</f>
        <v>0</v>
      </c>
      <c r="K3505" s="1298">
        <f>VLOOKUP($B3505,dongia1,DG!$H$5,)</f>
        <v>0</v>
      </c>
      <c r="L3505" s="1298">
        <f>H3505*G3505</f>
        <v>0</v>
      </c>
      <c r="M3505" s="1298">
        <f>I3505*G3505</f>
        <v>0</v>
      </c>
      <c r="N3505" s="1298">
        <f>J3505*G3505</f>
        <v>0</v>
      </c>
      <c r="O3505" s="1298">
        <f>K3505*G3505</f>
        <v>0</v>
      </c>
      <c r="P3505" s="1299"/>
      <c r="Q3505" s="1300"/>
      <c r="R3505" s="1300"/>
      <c r="S3505" s="1300"/>
    </row>
    <row r="3506" spans="1:19" s="1081" customFormat="1" hidden="1" outlineLevel="1">
      <c r="A3506" s="1072" t="str">
        <f t="shared" si="892"/>
        <v/>
      </c>
      <c r="B3506" s="1295"/>
      <c r="C3506" s="1291">
        <f>IF(G3506&gt;0,C3494+1,C3494)</f>
        <v>0</v>
      </c>
      <c r="D3506" s="1292"/>
      <c r="E3506" s="1293" t="s">
        <v>3443</v>
      </c>
      <c r="F3506" s="1291" t="s">
        <v>2113</v>
      </c>
      <c r="G3506" s="1297">
        <f>G3389</f>
        <v>0</v>
      </c>
      <c r="H3506" s="1298"/>
      <c r="I3506" s="1298"/>
      <c r="J3506" s="1298"/>
      <c r="K3506" s="1298"/>
      <c r="L3506" s="1298"/>
      <c r="M3506" s="1298"/>
      <c r="N3506" s="1298"/>
      <c r="O3506" s="1298"/>
      <c r="P3506" s="1299"/>
      <c r="Q3506" s="1300"/>
      <c r="R3506" s="1300"/>
      <c r="S3506" s="1300"/>
    </row>
    <row r="3507" spans="1:19" s="1081" customFormat="1" ht="14.4" hidden="1" outlineLevel="1">
      <c r="A3507" s="1072" t="str">
        <f>A3506</f>
        <v/>
      </c>
      <c r="B3507" s="1295"/>
      <c r="C3507" s="1291"/>
      <c r="D3507" s="1292"/>
      <c r="E3507" s="1308" t="s">
        <v>3399</v>
      </c>
      <c r="F3507" s="1291"/>
      <c r="G3507" s="1297"/>
      <c r="H3507" s="1298"/>
      <c r="I3507" s="1298"/>
      <c r="J3507" s="1298"/>
      <c r="K3507" s="1298"/>
      <c r="L3507" s="1298"/>
      <c r="M3507" s="1298"/>
      <c r="N3507" s="1298"/>
      <c r="O3507" s="1298"/>
      <c r="P3507" s="1299"/>
      <c r="Q3507" s="1300"/>
      <c r="R3507" s="1300"/>
      <c r="S3507" s="1300"/>
    </row>
    <row r="3508" spans="1:19" s="1081" customFormat="1" hidden="1" outlineLevel="1">
      <c r="A3508" s="1072" t="str">
        <f t="shared" ref="A3508:A3514" si="897">IF(G3508&lt;&gt;0,1,"")</f>
        <v/>
      </c>
      <c r="B3508" s="1068" t="s">
        <v>648</v>
      </c>
      <c r="C3508" s="1302"/>
      <c r="D3508" s="1198">
        <f>VLOOKUP($B3508,dongia1,DG!$B$5,)</f>
        <v>0</v>
      </c>
      <c r="E3508" s="1243" t="str">
        <f>VLOOKUP($B3508,dongia1,DG!$C$5,)</f>
        <v>Cáp 24KV C/XLPE/PVC- 25mm2</v>
      </c>
      <c r="F3508" s="1198" t="str">
        <f>VLOOKUP($B3508,dongia1,DG!$D$5,)</f>
        <v>mét</v>
      </c>
      <c r="G3508" s="1303">
        <f>G3506*9*3</f>
        <v>0</v>
      </c>
      <c r="H3508" s="1298">
        <f>VLOOKUP($B3508,dongia1,DG!$F$5,)</f>
        <v>50996</v>
      </c>
      <c r="I3508" s="1298"/>
      <c r="J3508" s="1298">
        <f>VLOOKUP($B3508,dongia1,DG!$G$5,)</f>
        <v>0</v>
      </c>
      <c r="K3508" s="1298">
        <f>VLOOKUP($B3508,dongia1,DG!$H$5,)</f>
        <v>0</v>
      </c>
      <c r="L3508" s="1298">
        <f t="shared" ref="L3508:L3514" si="898">H3508*G3508</f>
        <v>0</v>
      </c>
      <c r="M3508" s="1298">
        <f>I3508*G3508</f>
        <v>0</v>
      </c>
      <c r="N3508" s="1298">
        <f t="shared" ref="N3508:N3514" si="899">J3508*G3508</f>
        <v>0</v>
      </c>
      <c r="O3508" s="1298">
        <f t="shared" ref="O3508:O3514" si="900">K3508*G3508</f>
        <v>0</v>
      </c>
      <c r="P3508" s="1299"/>
      <c r="Q3508" s="1300"/>
      <c r="R3508" s="1300"/>
      <c r="S3508" s="1300"/>
    </row>
    <row r="3509" spans="1:19" s="1081" customFormat="1" hidden="1" outlineLevel="1">
      <c r="A3509" s="1072" t="str">
        <f t="shared" si="897"/>
        <v/>
      </c>
      <c r="B3509" s="1421" t="s">
        <v>914</v>
      </c>
      <c r="C3509" s="1302"/>
      <c r="D3509" s="1198">
        <f>VLOOKUP($B3509,dongia1,DG!$B$5,)</f>
        <v>0</v>
      </c>
      <c r="E3509" s="1243" t="str">
        <f>VLOOKUP($B3509,dongia1,DG!$C$5,)</f>
        <v>Kẹp ép cỡ dây 25mm2</v>
      </c>
      <c r="F3509" s="1198" t="str">
        <f>VLOOKUP($B3509,dongia1,DG!$D$5,)</f>
        <v>cái</v>
      </c>
      <c r="G3509" s="1303">
        <f>G3506*3*2</f>
        <v>0</v>
      </c>
      <c r="H3509" s="1298">
        <f>VLOOKUP($B3509,dongia1,DG!$F$5,)</f>
        <v>6000</v>
      </c>
      <c r="I3509" s="1298"/>
      <c r="J3509" s="1298">
        <f>VLOOKUP($B3509,dongia1,DG!$G$5,)</f>
        <v>0</v>
      </c>
      <c r="K3509" s="1298">
        <f>VLOOKUP($B3509,dongia1,DG!$H$5,)</f>
        <v>0</v>
      </c>
      <c r="L3509" s="1298">
        <f t="shared" si="898"/>
        <v>0</v>
      </c>
      <c r="M3509" s="1298">
        <v>0</v>
      </c>
      <c r="N3509" s="1298">
        <f t="shared" si="899"/>
        <v>0</v>
      </c>
      <c r="O3509" s="1298">
        <f t="shared" si="900"/>
        <v>0</v>
      </c>
      <c r="P3509" s="1299"/>
      <c r="Q3509" s="1300"/>
      <c r="R3509" s="1300"/>
      <c r="S3509" s="1300"/>
    </row>
    <row r="3510" spans="1:19" s="1081" customFormat="1" hidden="1" outlineLevel="1">
      <c r="A3510" s="1072" t="str">
        <f t="shared" si="897"/>
        <v/>
      </c>
      <c r="B3510" s="1421" t="s">
        <v>1310</v>
      </c>
      <c r="C3510" s="1302"/>
      <c r="D3510" s="1198">
        <f>VLOOKUP($B3510,dongia1,DG!$B$5,)</f>
        <v>0</v>
      </c>
      <c r="E3510" s="1243" t="str">
        <f>VLOOKUP($B3510,dongia1,DG!$C$5,)</f>
        <v>Bass LI bắt FCO</v>
      </c>
      <c r="F3510" s="1198" t="str">
        <f>VLOOKUP($B3510,dongia1,DG!$D$5,)</f>
        <v>Bộ</v>
      </c>
      <c r="G3510" s="1303">
        <f>+G3506*6</f>
        <v>0</v>
      </c>
      <c r="H3510" s="1298">
        <f>VLOOKUP($B3510,dongia1,DG!$F$5,)</f>
        <v>34000</v>
      </c>
      <c r="I3510" s="1298"/>
      <c r="J3510" s="1298">
        <f>VLOOKUP($B3510,dongia1,DG!$G$5,)</f>
        <v>0</v>
      </c>
      <c r="K3510" s="1298">
        <f>VLOOKUP($B3510,dongia1,DG!$H$5,)</f>
        <v>0</v>
      </c>
      <c r="L3510" s="1298">
        <f t="shared" si="898"/>
        <v>0</v>
      </c>
      <c r="M3510" s="1298">
        <v>0</v>
      </c>
      <c r="N3510" s="1298">
        <f t="shared" si="899"/>
        <v>0</v>
      </c>
      <c r="O3510" s="1298">
        <f t="shared" si="900"/>
        <v>0</v>
      </c>
      <c r="P3510" s="1299"/>
      <c r="Q3510" s="1300"/>
      <c r="R3510" s="1300"/>
      <c r="S3510" s="1300"/>
    </row>
    <row r="3511" spans="1:19" s="1081" customFormat="1" hidden="1" outlineLevel="1">
      <c r="A3511" s="1072" t="str">
        <f t="shared" si="897"/>
        <v/>
      </c>
      <c r="B3511" s="1421" t="s">
        <v>2028</v>
      </c>
      <c r="C3511" s="1302"/>
      <c r="D3511" s="1198">
        <f>VLOOKUP($B3511,dongia1,DG!$B$5,)</f>
        <v>0</v>
      </c>
      <c r="E3511" s="1243" t="str">
        <f>VLOOKUP($B3511,dongia1,DG!$C$5,)</f>
        <v>Kẹp quai 2/0</v>
      </c>
      <c r="F3511" s="1198" t="str">
        <f>VLOOKUP($B3511,dongia1,DG!$D$5,)</f>
        <v>cái</v>
      </c>
      <c r="G3511" s="1303">
        <f>G3506*3</f>
        <v>0</v>
      </c>
      <c r="H3511" s="1298">
        <f>VLOOKUP($B3511,dongia1,DG!$F$5,)</f>
        <v>46000</v>
      </c>
      <c r="I3511" s="1298"/>
      <c r="J3511" s="1298">
        <f>VLOOKUP($B3511,dongia1,DG!$G$5,)</f>
        <v>0</v>
      </c>
      <c r="K3511" s="1298">
        <f>VLOOKUP($B3511,dongia1,DG!$H$5,)</f>
        <v>0</v>
      </c>
      <c r="L3511" s="1298">
        <f t="shared" si="898"/>
        <v>0</v>
      </c>
      <c r="M3511" s="1298">
        <f>I3511*G3511</f>
        <v>0</v>
      </c>
      <c r="N3511" s="1298">
        <f t="shared" si="899"/>
        <v>0</v>
      </c>
      <c r="O3511" s="1298">
        <f t="shared" si="900"/>
        <v>0</v>
      </c>
      <c r="P3511" s="1299"/>
      <c r="Q3511" s="1300"/>
      <c r="R3511" s="1300"/>
      <c r="S3511" s="1300"/>
    </row>
    <row r="3512" spans="1:19" s="1081" customFormat="1" hidden="1" outlineLevel="1">
      <c r="A3512" s="1072" t="str">
        <f t="shared" si="897"/>
        <v/>
      </c>
      <c r="B3512" s="1421" t="s">
        <v>2026</v>
      </c>
      <c r="C3512" s="1302"/>
      <c r="D3512" s="1198">
        <f>VLOOKUP($B3512,dongia1,DG!$B$5,)</f>
        <v>0</v>
      </c>
      <c r="E3512" s="1243" t="str">
        <f>VLOOKUP($B3512,dongia1,DG!$C$5,)&amp;": "</f>
        <v xml:space="preserve">Kẹp hotline 2/0: </v>
      </c>
      <c r="F3512" s="1198" t="str">
        <f>VLOOKUP($B3512,dongia1,DG!$D$5,)</f>
        <v>cái</v>
      </c>
      <c r="G3512" s="1303">
        <f>G3511</f>
        <v>0</v>
      </c>
      <c r="H3512" s="1298">
        <f>VLOOKUP($B3512,dongia1,DG!$F$5,)</f>
        <v>77000</v>
      </c>
      <c r="I3512" s="1298"/>
      <c r="J3512" s="1298">
        <f>VLOOKUP($B3512,dongia1,DG!$G$5,)</f>
        <v>0</v>
      </c>
      <c r="K3512" s="1298">
        <f>VLOOKUP($B3512,dongia1,DG!$H$5,)</f>
        <v>0</v>
      </c>
      <c r="L3512" s="1298">
        <f t="shared" si="898"/>
        <v>0</v>
      </c>
      <c r="M3512" s="1298">
        <f>I3512*G3512</f>
        <v>0</v>
      </c>
      <c r="N3512" s="1298">
        <f t="shared" si="899"/>
        <v>0</v>
      </c>
      <c r="O3512" s="1298">
        <f t="shared" si="900"/>
        <v>0</v>
      </c>
      <c r="P3512" s="1299"/>
      <c r="Q3512" s="1300"/>
      <c r="R3512" s="1300"/>
      <c r="S3512" s="1300"/>
    </row>
    <row r="3513" spans="1:19" s="1081" customFormat="1" hidden="1" outlineLevel="1">
      <c r="A3513" s="1072" t="str">
        <f t="shared" si="897"/>
        <v/>
      </c>
      <c r="B3513" s="1068" t="s">
        <v>647</v>
      </c>
      <c r="C3513" s="1437"/>
      <c r="D3513" s="1198">
        <f>VLOOKUP($B3513,dongia1,DG!$B$5,)</f>
        <v>0</v>
      </c>
      <c r="E3513" s="1243" t="str">
        <f>VLOOKUP($B3513,dongia1,DG!$C$5,)</f>
        <v xml:space="preserve">Sứ đứng 24KV </v>
      </c>
      <c r="F3513" s="1198" t="str">
        <f>VLOOKUP($B3513,dongia1,DG!$D$5,)</f>
        <v>cái</v>
      </c>
      <c r="G3513" s="1303">
        <f>+G3506*3*3</f>
        <v>0</v>
      </c>
      <c r="H3513" s="1298">
        <f>VLOOKUP($B3513,dongia1,DG!$F$5,)</f>
        <v>205000</v>
      </c>
      <c r="I3513" s="1298"/>
      <c r="J3513" s="1298">
        <f>VLOOKUP($B3513,dongia1,DG!$G$5,)</f>
        <v>0</v>
      </c>
      <c r="K3513" s="1298">
        <f>VLOOKUP($B3513,dongia1,DG!$H$5,)</f>
        <v>0</v>
      </c>
      <c r="L3513" s="1298">
        <f t="shared" si="898"/>
        <v>0</v>
      </c>
      <c r="M3513" s="1298">
        <f>I3513*G3513</f>
        <v>0</v>
      </c>
      <c r="N3513" s="1298">
        <f t="shared" si="899"/>
        <v>0</v>
      </c>
      <c r="O3513" s="1298">
        <f t="shared" si="900"/>
        <v>0</v>
      </c>
      <c r="P3513" s="1299"/>
      <c r="Q3513" s="1300"/>
      <c r="R3513" s="1300"/>
      <c r="S3513" s="1300"/>
    </row>
    <row r="3514" spans="1:19" s="1081" customFormat="1" hidden="1" outlineLevel="1">
      <c r="A3514" s="1072" t="str">
        <f t="shared" si="897"/>
        <v/>
      </c>
      <c r="B3514" s="1068" t="s">
        <v>414</v>
      </c>
      <c r="C3514" s="1302"/>
      <c r="D3514" s="1198">
        <f>VLOOKUP($B3514,dongia1,DG!$B$5,)</f>
        <v>0</v>
      </c>
      <c r="E3514" s="1243" t="str">
        <f>VLOOKUP($B3514,dongia1,DG!$C$5,)</f>
        <v>Chân sứ đứng D20</v>
      </c>
      <c r="F3514" s="1198" t="str">
        <f>VLOOKUP($B3514,dongia1,DG!$D$5,)</f>
        <v>cái</v>
      </c>
      <c r="G3514" s="1303">
        <f>+G3513</f>
        <v>0</v>
      </c>
      <c r="H3514" s="1298">
        <f>VLOOKUP($B3514,dongia1,DG!$F$5,)</f>
        <v>65000</v>
      </c>
      <c r="I3514" s="1298"/>
      <c r="J3514" s="1298">
        <f>VLOOKUP($B3514,dongia1,DG!$G$5,)</f>
        <v>0</v>
      </c>
      <c r="K3514" s="1298">
        <f>VLOOKUP($B3514,dongia1,DG!$H$5,)</f>
        <v>0</v>
      </c>
      <c r="L3514" s="1298">
        <f t="shared" si="898"/>
        <v>0</v>
      </c>
      <c r="M3514" s="1298">
        <f>I3514*G3514</f>
        <v>0</v>
      </c>
      <c r="N3514" s="1298">
        <f t="shared" si="899"/>
        <v>0</v>
      </c>
      <c r="O3514" s="1298">
        <f t="shared" si="900"/>
        <v>0</v>
      </c>
      <c r="P3514" s="1299"/>
      <c r="Q3514" s="1300"/>
      <c r="R3514" s="1300"/>
      <c r="S3514" s="1300"/>
    </row>
    <row r="3515" spans="1:19" s="1081" customFormat="1" hidden="1" outlineLevel="1">
      <c r="A3515" s="1072" t="str">
        <f>IF(G3515&lt;&gt;0,1,"")</f>
        <v/>
      </c>
      <c r="B3515" s="1068" t="s">
        <v>1116</v>
      </c>
      <c r="C3515" s="1302"/>
      <c r="D3515" s="1198" t="str">
        <f>VLOOKUP($B3515,dongia1,DG!$B$5,)</f>
        <v>D3.1115</v>
      </c>
      <c r="E3515" s="1243" t="str">
        <f>VLOOKUP($B3515,dongia1,DG!$C$5,)</f>
        <v>Lắp sứ đứng 24KV</v>
      </c>
      <c r="F3515" s="1198" t="str">
        <f>VLOOKUP($B3515,dongia1,DG!$D$5,)</f>
        <v>bộ</v>
      </c>
      <c r="G3515" s="1303">
        <f>G3513</f>
        <v>0</v>
      </c>
      <c r="H3515" s="1298">
        <f>VLOOKUP($B3515,dongia1,DG!$F$5,)</f>
        <v>510</v>
      </c>
      <c r="I3515" s="1298"/>
      <c r="J3515" s="1298">
        <f>VLOOKUP($B3515,dongia1,DG!$G$5,)</f>
        <v>58277.49</v>
      </c>
      <c r="K3515" s="1298">
        <f>VLOOKUP($B3515,dongia1,DG!$H$5,)</f>
        <v>0</v>
      </c>
      <c r="L3515" s="1298">
        <f>H3515*G3515</f>
        <v>0</v>
      </c>
      <c r="M3515" s="1298">
        <f>I3515*G3515</f>
        <v>0</v>
      </c>
      <c r="N3515" s="1298">
        <f>J3515*G3515</f>
        <v>0</v>
      </c>
      <c r="O3515" s="1298">
        <f>K3515*G3515</f>
        <v>0</v>
      </c>
      <c r="P3515" s="1299"/>
      <c r="Q3515" s="1300"/>
      <c r="R3515" s="1300"/>
      <c r="S3515" s="1300"/>
    </row>
    <row r="3516" spans="1:19" s="1081" customFormat="1" hidden="1" outlineLevel="1">
      <c r="A3516" s="1072" t="str">
        <f>IF(G3516&lt;&gt;0,1,"")</f>
        <v/>
      </c>
      <c r="B3516" s="1295"/>
      <c r="C3516" s="1291">
        <f>IF(G3516&gt;0,C3506+1,C3506)</f>
        <v>0</v>
      </c>
      <c r="D3516" s="1292"/>
      <c r="E3516" s="1296" t="s">
        <v>3468</v>
      </c>
      <c r="F3516" s="1291" t="s">
        <v>2113</v>
      </c>
      <c r="G3516" s="1297">
        <f>G3389*1</f>
        <v>0</v>
      </c>
      <c r="H3516" s="1298"/>
      <c r="I3516" s="1298"/>
      <c r="J3516" s="1298"/>
      <c r="K3516" s="1298"/>
      <c r="L3516" s="1298"/>
      <c r="M3516" s="1298"/>
      <c r="N3516" s="1298"/>
      <c r="O3516" s="1298"/>
      <c r="P3516" s="1299"/>
      <c r="Q3516" s="1300"/>
      <c r="R3516" s="1300"/>
      <c r="S3516" s="1300"/>
    </row>
    <row r="3517" spans="1:19" s="1081" customFormat="1" ht="14.4" hidden="1" outlineLevel="1">
      <c r="A3517" s="1072" t="str">
        <f>A3516</f>
        <v/>
      </c>
      <c r="B3517" s="1295"/>
      <c r="C3517" s="1291"/>
      <c r="D3517" s="1292"/>
      <c r="E3517" s="1308" t="s">
        <v>3399</v>
      </c>
      <c r="F3517" s="1291"/>
      <c r="G3517" s="1297"/>
      <c r="H3517" s="1298"/>
      <c r="I3517" s="1298"/>
      <c r="J3517" s="1298"/>
      <c r="K3517" s="1298"/>
      <c r="L3517" s="1298"/>
      <c r="M3517" s="1298"/>
      <c r="N3517" s="1298"/>
      <c r="O3517" s="1298"/>
      <c r="P3517" s="1299"/>
      <c r="Q3517" s="1300"/>
      <c r="R3517" s="1300"/>
      <c r="S3517" s="1300"/>
    </row>
    <row r="3518" spans="1:19" s="1081" customFormat="1" hidden="1" outlineLevel="1">
      <c r="A3518" s="1072" t="str">
        <f>IF(G3518&lt;&gt;0,1,"")</f>
        <v/>
      </c>
      <c r="B3518" s="1295" t="s">
        <v>1591</v>
      </c>
      <c r="C3518" s="1302"/>
      <c r="D3518" s="1198">
        <f>VLOOKUP($B3518,dongia1,DG!$B$5,)</f>
        <v>0</v>
      </c>
      <c r="E3518" s="1243" t="str">
        <f>VLOOKUP($B3518,dongia1,DG!$C$5,)</f>
        <v xml:space="preserve">Giá đỡ cáp hạ thế </v>
      </c>
      <c r="F3518" s="1198" t="str">
        <f>VLOOKUP($B3518,dongia1,DG!$D$5,)</f>
        <v>bộ</v>
      </c>
      <c r="G3518" s="1303">
        <f>G3516</f>
        <v>0</v>
      </c>
      <c r="H3518" s="1298">
        <f>VLOOKUP($B3518,dongia1,DG!$F$5,)</f>
        <v>350000</v>
      </c>
      <c r="I3518" s="1298"/>
      <c r="J3518" s="1298">
        <f>VLOOKUP($B3518,dongia1,DG!$G$5,)</f>
        <v>21761</v>
      </c>
      <c r="K3518" s="1298">
        <f>VLOOKUP($B3518,dongia1,DG!$H$5,)</f>
        <v>37840</v>
      </c>
      <c r="L3518" s="1298">
        <f>H3518*G3518</f>
        <v>0</v>
      </c>
      <c r="M3518" s="1298">
        <f>I3518*G3518</f>
        <v>0</v>
      </c>
      <c r="N3518" s="1298">
        <f>J3518*G3518</f>
        <v>0</v>
      </c>
      <c r="O3518" s="1298">
        <f>K3518*G3518</f>
        <v>0</v>
      </c>
      <c r="P3518" s="1299"/>
      <c r="Q3518" s="1300"/>
      <c r="R3518" s="1300"/>
      <c r="S3518" s="1300"/>
    </row>
    <row r="3519" spans="1:19" s="1081" customFormat="1" hidden="1" outlineLevel="1">
      <c r="A3519" s="1072" t="str">
        <f>IF(G3519&lt;&gt;0,1,"")</f>
        <v/>
      </c>
      <c r="B3519" s="1295" t="s">
        <v>442</v>
      </c>
      <c r="C3519" s="1302"/>
      <c r="D3519" s="1198" t="str">
        <f>VLOOKUP($B3519,dongia1,DG!$B$5,)</f>
        <v>T4.8002</v>
      </c>
      <c r="E3519" s="1243" t="str">
        <f>VLOOKUP($B3519,dongia1,DG!$C$5,)</f>
        <v>Lắp gía đỡ cáp</v>
      </c>
      <c r="F3519" s="1198" t="str">
        <f>VLOOKUP($B3519,dongia1,DG!$D$5,)</f>
        <v>bộ</v>
      </c>
      <c r="G3519" s="1303">
        <f>G3518</f>
        <v>0</v>
      </c>
      <c r="H3519" s="1298">
        <f>VLOOKUP($B3519,dongia1,DG!$F$5,)</f>
        <v>0</v>
      </c>
      <c r="I3519" s="1298"/>
      <c r="J3519" s="1298">
        <f>VLOOKUP($B3519,dongia1,DG!$G$5,)</f>
        <v>28219.62</v>
      </c>
      <c r="K3519" s="1298">
        <f>VLOOKUP($B3519,dongia1,DG!$H$5,)</f>
        <v>0</v>
      </c>
      <c r="L3519" s="1298">
        <f>H3519*G3519</f>
        <v>0</v>
      </c>
      <c r="M3519" s="1298">
        <f>I3519*G3519</f>
        <v>0</v>
      </c>
      <c r="N3519" s="1298">
        <f>J3519*G3519</f>
        <v>0</v>
      </c>
      <c r="O3519" s="1298">
        <f>K3519*G3519</f>
        <v>0</v>
      </c>
      <c r="P3519" s="1299"/>
      <c r="Q3519" s="1300"/>
      <c r="R3519" s="1300"/>
      <c r="S3519" s="1300"/>
    </row>
    <row r="3520" spans="1:19" s="1081" customFormat="1" hidden="1" outlineLevel="1">
      <c r="A3520" s="1072" t="str">
        <f>IF(G3520&lt;&gt;0,1,"")</f>
        <v/>
      </c>
      <c r="B3520" s="1068"/>
      <c r="C3520" s="1291">
        <f>IF(G3520&gt;0,C3516+1,C3516)</f>
        <v>0</v>
      </c>
      <c r="D3520" s="1292"/>
      <c r="E3520" s="1293" t="s">
        <v>3469</v>
      </c>
      <c r="F3520" s="1291" t="s">
        <v>2113</v>
      </c>
      <c r="G3520" s="1303">
        <f>G3494+G3506</f>
        <v>0</v>
      </c>
      <c r="H3520" s="1298"/>
      <c r="I3520" s="1298"/>
      <c r="J3520" s="1298"/>
      <c r="K3520" s="1298"/>
      <c r="L3520" s="1298"/>
      <c r="M3520" s="1298"/>
      <c r="N3520" s="1298"/>
      <c r="O3520" s="1298"/>
      <c r="P3520" s="1299"/>
      <c r="Q3520" s="1300"/>
      <c r="R3520" s="1300"/>
      <c r="S3520" s="1300"/>
    </row>
    <row r="3521" spans="1:19" s="1081" customFormat="1" ht="14.4" hidden="1" outlineLevel="1">
      <c r="A3521" s="1072" t="str">
        <f>A3520</f>
        <v/>
      </c>
      <c r="B3521" s="1068"/>
      <c r="C3521" s="1291"/>
      <c r="D3521" s="1292"/>
      <c r="E3521" s="1308" t="s">
        <v>3399</v>
      </c>
      <c r="F3521" s="1291"/>
      <c r="G3521" s="1303"/>
      <c r="H3521" s="1298"/>
      <c r="I3521" s="1298"/>
      <c r="J3521" s="1298"/>
      <c r="K3521" s="1298"/>
      <c r="L3521" s="1298"/>
      <c r="M3521" s="1298"/>
      <c r="N3521" s="1298"/>
      <c r="O3521" s="1298"/>
      <c r="P3521" s="1299"/>
      <c r="Q3521" s="1300"/>
      <c r="R3521" s="1300"/>
      <c r="S3521" s="1300"/>
    </row>
    <row r="3522" spans="1:19" s="1081" customFormat="1" hidden="1" outlineLevel="1">
      <c r="A3522" s="1072" t="str">
        <f t="shared" ref="A3522:A3530" si="901">IF(G3522&lt;&gt;0,1,"")</f>
        <v/>
      </c>
      <c r="B3522" s="1295" t="s">
        <v>874</v>
      </c>
      <c r="C3522" s="1302"/>
      <c r="D3522" s="1568"/>
      <c r="E3522" s="1243" t="str">
        <f>VLOOKUP($B3522,dongia1,DG!$C$5,)</f>
        <v>Cáp 0,6/1KV C/XLPE/PVC 250mm2</v>
      </c>
      <c r="F3522" s="1198" t="str">
        <f>VLOOKUP($B3522,dongia1,DG!$D$5,)</f>
        <v>mét</v>
      </c>
      <c r="G3522" s="1303">
        <f>G3520*(10*3*4+5*8)</f>
        <v>0</v>
      </c>
      <c r="H3522" s="1298">
        <f>VLOOKUP($B3522,dongia1,DG!$F$5,)</f>
        <v>479000</v>
      </c>
      <c r="I3522" s="1298"/>
      <c r="J3522" s="1298">
        <f>VLOOKUP($B3522,dongia1,DG!$G$5,)</f>
        <v>0</v>
      </c>
      <c r="K3522" s="1298">
        <f>VLOOKUP($B3522,dongia1,DG!$H$5,)</f>
        <v>0</v>
      </c>
      <c r="L3522" s="1298">
        <f t="shared" ref="L3522:L3530" si="902">H3522*G3522</f>
        <v>0</v>
      </c>
      <c r="M3522" s="1298">
        <f t="shared" ref="M3522:M3530" si="903">I3522*G3522</f>
        <v>0</v>
      </c>
      <c r="N3522" s="1298">
        <f t="shared" ref="N3522:N3530" si="904">J3522*G3522</f>
        <v>0</v>
      </c>
      <c r="O3522" s="1298">
        <f t="shared" ref="O3522:O3530" si="905">K3522*G3522</f>
        <v>0</v>
      </c>
      <c r="P3522" s="1299"/>
      <c r="Q3522" s="1300"/>
      <c r="R3522" s="1300">
        <f>48*(30+6)</f>
        <v>1728</v>
      </c>
      <c r="S3522" s="1300"/>
    </row>
    <row r="3523" spans="1:19" s="1081" customFormat="1" hidden="1" outlineLevel="1">
      <c r="A3523" s="1072" t="str">
        <f t="shared" si="901"/>
        <v/>
      </c>
      <c r="B3523" s="1295" t="s">
        <v>436</v>
      </c>
      <c r="C3523" s="1302"/>
      <c r="D3523" s="1198" t="str">
        <f>VLOOKUP($B3523,dongia1,DG!$B$5,)</f>
        <v>D4.5009</v>
      </c>
      <c r="E3523" s="1243" t="str">
        <f>VLOOKUP($B3523,dongia1,DG!$C$5,)</f>
        <v>Đầu cosse ép Cu 250mm2</v>
      </c>
      <c r="F3523" s="1198" t="str">
        <f>VLOOKUP($B3523,dongia1,DG!$D$5,)</f>
        <v>cái</v>
      </c>
      <c r="G3523" s="1303">
        <f>+G3520*70</f>
        <v>0</v>
      </c>
      <c r="H3523" s="1298">
        <f>VLOOKUP($B3523,dongia1,DG!$F$5,)</f>
        <v>70000</v>
      </c>
      <c r="I3523" s="1298"/>
      <c r="J3523" s="1298">
        <f>VLOOKUP($B3523,dongia1,DG!$G$5,)</f>
        <v>59410.148000000001</v>
      </c>
      <c r="K3523" s="1298">
        <f>VLOOKUP($B3523,dongia1,DG!$H$5,)</f>
        <v>5554.0464950000005</v>
      </c>
      <c r="L3523" s="1298">
        <f t="shared" si="902"/>
        <v>0</v>
      </c>
      <c r="M3523" s="1298">
        <f t="shared" si="903"/>
        <v>0</v>
      </c>
      <c r="N3523" s="1298">
        <f t="shared" si="904"/>
        <v>0</v>
      </c>
      <c r="O3523" s="1298">
        <f t="shared" si="905"/>
        <v>0</v>
      </c>
      <c r="P3523" s="1299"/>
      <c r="Q3523" s="1300"/>
      <c r="R3523" s="1300"/>
      <c r="S3523" s="1300"/>
    </row>
    <row r="3524" spans="1:19" s="1081" customFormat="1" hidden="1" outlineLevel="1">
      <c r="A3524" s="1072" t="str">
        <f t="shared" si="901"/>
        <v/>
      </c>
      <c r="B3524" s="1295" t="s">
        <v>40</v>
      </c>
      <c r="C3524" s="1302"/>
      <c r="D3524" s="1198">
        <f>VLOOKUP($B3524,dongia1,DG!$B$5,)</f>
        <v>0</v>
      </c>
      <c r="E3524" s="1243" t="str">
        <f>VLOOKUP($B3524,dongia1,DG!$C$5,)</f>
        <v>Chụp đầu cosse  250mm2</v>
      </c>
      <c r="F3524" s="1198" t="str">
        <f>VLOOKUP($B3524,dongia1,DG!$D$5,)</f>
        <v>cái</v>
      </c>
      <c r="G3524" s="1303">
        <f>G3523</f>
        <v>0</v>
      </c>
      <c r="H3524" s="1298">
        <f>VLOOKUP($B3524,dongia1,DG!$F$5,)</f>
        <v>6000</v>
      </c>
      <c r="I3524" s="1298"/>
      <c r="J3524" s="1298">
        <f>VLOOKUP($B3524,dongia1,DG!$G$5,)</f>
        <v>0</v>
      </c>
      <c r="K3524" s="1298">
        <f>VLOOKUP($B3524,dongia1,DG!$H$5,)</f>
        <v>0</v>
      </c>
      <c r="L3524" s="1298">
        <f t="shared" si="902"/>
        <v>0</v>
      </c>
      <c r="M3524" s="1298">
        <f t="shared" si="903"/>
        <v>0</v>
      </c>
      <c r="N3524" s="1298">
        <f t="shared" si="904"/>
        <v>0</v>
      </c>
      <c r="O3524" s="1298">
        <f t="shared" si="905"/>
        <v>0</v>
      </c>
      <c r="P3524" s="1299"/>
      <c r="Q3524" s="1300"/>
      <c r="R3524" s="1300"/>
      <c r="S3524" s="1300"/>
    </row>
    <row r="3525" spans="1:19" s="1081" customFormat="1" hidden="1" outlineLevel="1">
      <c r="A3525" s="1072" t="str">
        <f t="shared" si="901"/>
        <v/>
      </c>
      <c r="B3525" s="1295" t="s">
        <v>961</v>
      </c>
      <c r="C3525" s="1302"/>
      <c r="D3525" s="1198">
        <f>VLOOKUP($B3525,dongia1,DG!$B$5,)</f>
        <v>0</v>
      </c>
      <c r="E3525" s="1243" t="str">
        <f>VLOOKUP($B3525,dongia1,DG!$C$5,)</f>
        <v xml:space="preserve">Ống PVC D114x4,9mm </v>
      </c>
      <c r="F3525" s="1198" t="str">
        <f>VLOOKUP($B3525,dongia1,DG!$D$5,)</f>
        <v>m</v>
      </c>
      <c r="G3525" s="1303">
        <f>6*G3520*$L$2*0</f>
        <v>0</v>
      </c>
      <c r="H3525" s="1298">
        <f>VLOOKUP($B3525,dongia1,DG!$F$5,)</f>
        <v>103700</v>
      </c>
      <c r="I3525" s="1298"/>
      <c r="J3525" s="1298">
        <f>VLOOKUP($B3525,dongia1,DG!$G$5,)</f>
        <v>0</v>
      </c>
      <c r="K3525" s="1298">
        <f>VLOOKUP($B3525,dongia1,DG!$H$5,)</f>
        <v>0</v>
      </c>
      <c r="L3525" s="1298">
        <f t="shared" si="902"/>
        <v>0</v>
      </c>
      <c r="M3525" s="1298">
        <f t="shared" si="903"/>
        <v>0</v>
      </c>
      <c r="N3525" s="1298">
        <f t="shared" si="904"/>
        <v>0</v>
      </c>
      <c r="O3525" s="1298">
        <f t="shared" si="905"/>
        <v>0</v>
      </c>
      <c r="P3525" s="1299"/>
      <c r="Q3525" s="1300"/>
      <c r="R3525" s="1300"/>
      <c r="S3525" s="1300"/>
    </row>
    <row r="3526" spans="1:19" s="1081" customFormat="1" hidden="1" outlineLevel="1">
      <c r="A3526" s="1072" t="str">
        <f t="shared" si="901"/>
        <v/>
      </c>
      <c r="B3526" s="1068" t="s">
        <v>193</v>
      </c>
      <c r="C3526" s="1302"/>
      <c r="D3526" s="1198">
        <f>VLOOKUP($B3526,dongia1,DG!$B$5,)</f>
        <v>0</v>
      </c>
      <c r="E3526" s="1243" t="str">
        <f>VLOOKUP($B3526,dongia1,DG!$C$5,)</f>
        <v>Cổ dê kẹp ống PVC Þ 114</v>
      </c>
      <c r="F3526" s="1198" t="str">
        <f>VLOOKUP($B3526,dongia1,DG!$D$5,)</f>
        <v>bộ</v>
      </c>
      <c r="G3526" s="1303">
        <f>G3520*2*$L$2*0</f>
        <v>0</v>
      </c>
      <c r="H3526" s="1298">
        <f>VLOOKUP($B3526,dongia1,DG!$F$5,)</f>
        <v>50000</v>
      </c>
      <c r="I3526" s="1298"/>
      <c r="J3526" s="1298">
        <f>VLOOKUP($B3526,dongia1,DG!$G$5,)</f>
        <v>0</v>
      </c>
      <c r="K3526" s="1298">
        <f>VLOOKUP($B3526,dongia1,DG!$H$5,)</f>
        <v>0</v>
      </c>
      <c r="L3526" s="1298">
        <f t="shared" si="902"/>
        <v>0</v>
      </c>
      <c r="M3526" s="1298">
        <f t="shared" si="903"/>
        <v>0</v>
      </c>
      <c r="N3526" s="1298">
        <f t="shared" si="904"/>
        <v>0</v>
      </c>
      <c r="O3526" s="1298">
        <f t="shared" si="905"/>
        <v>0</v>
      </c>
      <c r="P3526" s="1299"/>
      <c r="Q3526" s="1474"/>
      <c r="R3526" s="1300"/>
      <c r="S3526" s="1300"/>
    </row>
    <row r="3527" spans="1:19" s="1081" customFormat="1" hidden="1" outlineLevel="1">
      <c r="A3527" s="1072" t="str">
        <f t="shared" si="901"/>
        <v/>
      </c>
      <c r="B3527" s="1295" t="s">
        <v>962</v>
      </c>
      <c r="C3527" s="1302"/>
      <c r="D3527" s="1198">
        <f>VLOOKUP($B3527,dongia1,DG!$B$5,)</f>
        <v>0</v>
      </c>
      <c r="E3527" s="1243" t="str">
        <f>VLOOKUP($B3527,dongia1,DG!$C$5,)</f>
        <v>Co  sừng 90 độ PVC 114</v>
      </c>
      <c r="F3527" s="1198" t="str">
        <f>VLOOKUP($B3527,dongia1,DG!$D$5,)</f>
        <v>cái</v>
      </c>
      <c r="G3527" s="1303">
        <f>G3520*2*$L$2*0</f>
        <v>0</v>
      </c>
      <c r="H3527" s="1298">
        <f>VLOOKUP($B3527,dongia1,DG!$F$5,)</f>
        <v>104800</v>
      </c>
      <c r="I3527" s="1298"/>
      <c r="J3527" s="1298">
        <f>VLOOKUP($B3527,dongia1,DG!$G$5,)</f>
        <v>0</v>
      </c>
      <c r="K3527" s="1298">
        <f>VLOOKUP($B3527,dongia1,DG!$H$5,)</f>
        <v>0</v>
      </c>
      <c r="L3527" s="1298">
        <f t="shared" si="902"/>
        <v>0</v>
      </c>
      <c r="M3527" s="1298">
        <f t="shared" si="903"/>
        <v>0</v>
      </c>
      <c r="N3527" s="1298">
        <f t="shared" si="904"/>
        <v>0</v>
      </c>
      <c r="O3527" s="1298">
        <f t="shared" si="905"/>
        <v>0</v>
      </c>
      <c r="P3527" s="1299"/>
      <c r="Q3527" s="1300"/>
      <c r="R3527" s="1300"/>
      <c r="S3527" s="1300"/>
    </row>
    <row r="3528" spans="1:19" s="1081" customFormat="1" hidden="1" outlineLevel="1">
      <c r="A3528" s="1072" t="str">
        <f t="shared" si="901"/>
        <v/>
      </c>
      <c r="B3528" s="1295" t="s">
        <v>693</v>
      </c>
      <c r="C3528" s="1302"/>
      <c r="D3528" s="1198">
        <f>VLOOKUP($B3528,dongia1,DG!$B$5,)</f>
        <v>0</v>
      </c>
      <c r="E3528" s="1243" t="str">
        <f>VLOOKUP($B3528,dongia1,DG!$C$5,)</f>
        <v>Khâu ven răng trong D114</v>
      </c>
      <c r="F3528" s="1198" t="str">
        <f>VLOOKUP($B3528,dongia1,DG!$D$5,)</f>
        <v>cái</v>
      </c>
      <c r="G3528" s="1303">
        <f>G3520*$L$2*0</f>
        <v>0</v>
      </c>
      <c r="H3528" s="1298">
        <f>VLOOKUP($B3528,dongia1,DG!$F$5,)</f>
        <v>41900</v>
      </c>
      <c r="I3528" s="1298"/>
      <c r="J3528" s="1298">
        <f>VLOOKUP($B3528,dongia1,DG!$G$5,)</f>
        <v>0</v>
      </c>
      <c r="K3528" s="1298">
        <f>VLOOKUP($B3528,dongia1,DG!$H$5,)</f>
        <v>0</v>
      </c>
      <c r="L3528" s="1298">
        <f t="shared" si="902"/>
        <v>0</v>
      </c>
      <c r="M3528" s="1298">
        <f t="shared" si="903"/>
        <v>0</v>
      </c>
      <c r="N3528" s="1298">
        <f t="shared" si="904"/>
        <v>0</v>
      </c>
      <c r="O3528" s="1298">
        <f t="shared" si="905"/>
        <v>0</v>
      </c>
      <c r="P3528" s="1299"/>
      <c r="Q3528" s="1300"/>
      <c r="R3528" s="1300"/>
      <c r="S3528" s="1300"/>
    </row>
    <row r="3529" spans="1:19" s="1081" customFormat="1" hidden="1" outlineLevel="1">
      <c r="A3529" s="1072" t="str">
        <f t="shared" si="901"/>
        <v/>
      </c>
      <c r="B3529" s="1295" t="s">
        <v>694</v>
      </c>
      <c r="C3529" s="1302"/>
      <c r="D3529" s="1198">
        <f>VLOOKUP($B3529,dongia1,DG!$B$5,)</f>
        <v>0</v>
      </c>
      <c r="E3529" s="1243" t="str">
        <f>VLOOKUP($B3529,dongia1,DG!$C$5,)</f>
        <v>Khâu ven răng ngoài D114</v>
      </c>
      <c r="F3529" s="1198" t="str">
        <f>VLOOKUP($B3529,dongia1,DG!$D$5,)</f>
        <v>cái</v>
      </c>
      <c r="G3529" s="1303">
        <f>G3528</f>
        <v>0</v>
      </c>
      <c r="H3529" s="1298">
        <f>VLOOKUP($B3529,dongia1,DG!$F$5,)</f>
        <v>41900</v>
      </c>
      <c r="I3529" s="1298"/>
      <c r="J3529" s="1298">
        <f>VLOOKUP($B3529,dongia1,DG!$G$5,)</f>
        <v>0</v>
      </c>
      <c r="K3529" s="1298">
        <f>VLOOKUP($B3529,dongia1,DG!$H$5,)</f>
        <v>0</v>
      </c>
      <c r="L3529" s="1298">
        <f t="shared" si="902"/>
        <v>0</v>
      </c>
      <c r="M3529" s="1298">
        <f t="shared" si="903"/>
        <v>0</v>
      </c>
      <c r="N3529" s="1298">
        <f t="shared" si="904"/>
        <v>0</v>
      </c>
      <c r="O3529" s="1298">
        <f t="shared" si="905"/>
        <v>0</v>
      </c>
      <c r="P3529" s="1299"/>
      <c r="Q3529" s="1300"/>
      <c r="R3529" s="1300"/>
      <c r="S3529" s="1300"/>
    </row>
    <row r="3530" spans="1:19" s="1081" customFormat="1" hidden="1" outlineLevel="1">
      <c r="A3530" s="1072" t="str">
        <f t="shared" si="901"/>
        <v/>
      </c>
      <c r="B3530" s="1295" t="s">
        <v>1973</v>
      </c>
      <c r="C3530" s="1302"/>
      <c r="D3530" s="1198">
        <f>VLOOKUP($B3530,dongia1,DG!$B$5,)</f>
        <v>0</v>
      </c>
      <c r="E3530" s="1243" t="str">
        <f>VLOOKUP($B3530,dongia1,DG!$C$5,)</f>
        <v>Keo dán ống PVC (500gr)</v>
      </c>
      <c r="F3530" s="1198" t="str">
        <f>VLOOKUP($B3530,dongia1,DG!$D$5,)</f>
        <v>lon</v>
      </c>
      <c r="G3530" s="1303">
        <f>G3520*2*$L$2*0</f>
        <v>0</v>
      </c>
      <c r="H3530" s="1298">
        <f>VLOOKUP($B3530,dongia1,DG!$F$5,)</f>
        <v>54100</v>
      </c>
      <c r="I3530" s="1298"/>
      <c r="J3530" s="1298">
        <f>VLOOKUP($B3530,dongia1,DG!$G$5,)</f>
        <v>0</v>
      </c>
      <c r="K3530" s="1298">
        <f>VLOOKUP($B3530,dongia1,DG!$H$5,)</f>
        <v>0</v>
      </c>
      <c r="L3530" s="1298">
        <f t="shared" si="902"/>
        <v>0</v>
      </c>
      <c r="M3530" s="1298">
        <f t="shared" si="903"/>
        <v>0</v>
      </c>
      <c r="N3530" s="1298">
        <f t="shared" si="904"/>
        <v>0</v>
      </c>
      <c r="O3530" s="1298">
        <f t="shared" si="905"/>
        <v>0</v>
      </c>
      <c r="P3530" s="1299"/>
      <c r="Q3530" s="1300"/>
      <c r="R3530" s="1300"/>
      <c r="S3530" s="1300"/>
    </row>
    <row r="3531" spans="1:19" s="1081" customFormat="1" hidden="1" outlineLevel="1">
      <c r="A3531" s="1072" t="str">
        <f>IF(G3531&lt;&gt;0,1,"")</f>
        <v/>
      </c>
      <c r="B3531" s="1068" t="s">
        <v>1690</v>
      </c>
      <c r="C3531" s="1302"/>
      <c r="D3531" s="1198"/>
      <c r="E3531" s="1243" t="str">
        <f>VLOOKUP($B3531,dongia1,DG!$C$5,)</f>
        <v>Keo silicon bít miệng ống</v>
      </c>
      <c r="F3531" s="1198" t="str">
        <f>VLOOKUP($B3531,dongia1,DG!$D$5,)</f>
        <v>chai</v>
      </c>
      <c r="G3531" s="1303"/>
      <c r="H3531" s="1298">
        <f>VLOOKUP($B3531,dongia1,DG!$F$5,)</f>
        <v>45000</v>
      </c>
      <c r="I3531" s="1298"/>
      <c r="J3531" s="1298"/>
      <c r="K3531" s="1298"/>
      <c r="L3531" s="1298">
        <f>H3531*G3531</f>
        <v>0</v>
      </c>
      <c r="M3531" s="1298">
        <f>I3531*G3531</f>
        <v>0</v>
      </c>
      <c r="N3531" s="1298">
        <f>J3531*G3531</f>
        <v>0</v>
      </c>
      <c r="O3531" s="1298">
        <f>K3531*G3531</f>
        <v>0</v>
      </c>
      <c r="P3531" s="1299"/>
      <c r="Q3531" s="1300"/>
      <c r="R3531" s="1300"/>
      <c r="S3531" s="1300"/>
    </row>
    <row r="3532" spans="1:19" s="1081" customFormat="1" hidden="1" outlineLevel="1">
      <c r="A3532" s="1072" t="str">
        <f>IF(G3532&lt;&gt;0,1,"")</f>
        <v/>
      </c>
      <c r="B3532" s="1295" t="s">
        <v>53</v>
      </c>
      <c r="C3532" s="1302"/>
      <c r="D3532" s="1198">
        <f>VLOOKUP($B3532,dongia1,DG!$B$5,)</f>
        <v>0</v>
      </c>
      <c r="E3532" s="1243" t="str">
        <f>VLOOKUP($B3532,dongia1,DG!$C$5,)</f>
        <v>Dây rút cáp</v>
      </c>
      <c r="F3532" s="1198" t="str">
        <f>VLOOKUP($B3532,dongia1,DG!$D$5,)</f>
        <v>bọc</v>
      </c>
      <c r="G3532" s="1303">
        <f>G3520*2</f>
        <v>0</v>
      </c>
      <c r="H3532" s="1298">
        <f>VLOOKUP($B3532,dongia1,DG!$F$5,)</f>
        <v>15000</v>
      </c>
      <c r="I3532" s="1298"/>
      <c r="J3532" s="1298">
        <f>VLOOKUP($B3532,dongia1,DG!$G$5,)</f>
        <v>0</v>
      </c>
      <c r="K3532" s="1298">
        <f>VLOOKUP($B3532,dongia1,DG!$H$5,)</f>
        <v>0</v>
      </c>
      <c r="L3532" s="1298">
        <f>H3532*G3532</f>
        <v>0</v>
      </c>
      <c r="M3532" s="1298">
        <f>I3532*G3532</f>
        <v>0</v>
      </c>
      <c r="N3532" s="1298">
        <f>J3532*G3532</f>
        <v>0</v>
      </c>
      <c r="O3532" s="1298">
        <f>K3532*G3532</f>
        <v>0</v>
      </c>
      <c r="P3532" s="1299"/>
      <c r="Q3532" s="1300"/>
      <c r="R3532" s="1300"/>
      <c r="S3532" s="1300"/>
    </row>
    <row r="3533" spans="1:19" s="1081" customFormat="1" hidden="1" outlineLevel="1">
      <c r="A3533" s="1072" t="str">
        <f>IF(G3533&lt;&gt;0,1,"")</f>
        <v/>
      </c>
      <c r="B3533" s="1068" t="s">
        <v>236</v>
      </c>
      <c r="C3533" s="1302"/>
      <c r="D3533" s="1198">
        <f>VLOOKUP($B3533,dongia1,DG!$B$5,)</f>
        <v>0</v>
      </c>
      <c r="E3533" s="1243" t="str">
        <f>VLOOKUP($B3533,dongia1,DG!$C$5,)</f>
        <v>Băng keo cách điện hạ thế</v>
      </c>
      <c r="F3533" s="1198" t="str">
        <f>VLOOKUP($B3533,dongia1,DG!$D$5,)</f>
        <v>cuộn</v>
      </c>
      <c r="G3533" s="1303">
        <f>G3520*5</f>
        <v>0</v>
      </c>
      <c r="H3533" s="1298">
        <f>VLOOKUP($B3533,dongia1,DG!$F$5,)</f>
        <v>6500</v>
      </c>
      <c r="I3533" s="1298"/>
      <c r="J3533" s="1298">
        <f>VLOOKUP($B3533,dongia1,DG!$G$5,)</f>
        <v>0</v>
      </c>
      <c r="K3533" s="1298">
        <f>VLOOKUP($B3533,dongia1,DG!$H$5,)</f>
        <v>0</v>
      </c>
      <c r="L3533" s="1298">
        <f>H3533*G3533</f>
        <v>0</v>
      </c>
      <c r="M3533" s="1298">
        <f>I3533*G3533</f>
        <v>0</v>
      </c>
      <c r="N3533" s="1298">
        <f>J3533*G3533</f>
        <v>0</v>
      </c>
      <c r="O3533" s="1298">
        <f>K3533*G3533</f>
        <v>0</v>
      </c>
      <c r="P3533" s="1299"/>
      <c r="Q3533" s="1300"/>
      <c r="R3533" s="1300"/>
      <c r="S3533" s="1300"/>
    </row>
    <row r="3534" spans="1:19" s="1081" customFormat="1" hidden="1" outlineLevel="1">
      <c r="A3534" s="1072" t="str">
        <f>IF(G3534&lt;&gt;0,1,"")</f>
        <v/>
      </c>
      <c r="B3534" s="1068" t="s">
        <v>379</v>
      </c>
      <c r="C3534" s="1569"/>
      <c r="D3534" s="1198" t="str">
        <f>VLOOKUP($B3534,dongia1,DG!$B$5,)</f>
        <v>T4.4203</v>
      </c>
      <c r="E3534" s="1243" t="str">
        <f>VLOOKUP($B3534,dongia1,DG!$C$5,)</f>
        <v>Lắp cáp đồng xuống thiết bị D ≤ 240mm2</v>
      </c>
      <c r="F3534" s="1198" t="str">
        <f>VLOOKUP($B3534,dongia1,DG!$D$5,)</f>
        <v>m</v>
      </c>
      <c r="G3534" s="1303">
        <f>G3522</f>
        <v>0</v>
      </c>
      <c r="H3534" s="1298">
        <f>VLOOKUP($B3534,dongia1,DG!$F$5,)</f>
        <v>0</v>
      </c>
      <c r="I3534" s="1298"/>
      <c r="J3534" s="1298">
        <f>VLOOKUP($B3534,dongia1,DG!$G$5,)</f>
        <v>47311</v>
      </c>
      <c r="K3534" s="1298">
        <f>VLOOKUP($B3534,dongia1,DG!$H$5,)</f>
        <v>0</v>
      </c>
      <c r="L3534" s="1298">
        <f>H3534*G3534</f>
        <v>0</v>
      </c>
      <c r="M3534" s="1298">
        <f>I3534*G3534</f>
        <v>0</v>
      </c>
      <c r="N3534" s="1298">
        <f>J3534*G3534</f>
        <v>0</v>
      </c>
      <c r="O3534" s="1298">
        <f>K3534*G3534</f>
        <v>0</v>
      </c>
      <c r="P3534" s="1299"/>
      <c r="Q3534" s="1300"/>
      <c r="R3534" s="1300"/>
      <c r="S3534" s="1300"/>
    </row>
    <row r="3535" spans="1:19" s="1081" customFormat="1" hidden="1" outlineLevel="1">
      <c r="A3535" s="1072" t="str">
        <f>IF(G3535&lt;&gt;0,1,"")</f>
        <v/>
      </c>
      <c r="B3535" s="1068"/>
      <c r="C3535" s="1291">
        <f>IF(G3535&gt;0,C3520+1,C3520)</f>
        <v>0</v>
      </c>
      <c r="D3535" s="1292"/>
      <c r="E3535" s="1293" t="s">
        <v>3463</v>
      </c>
      <c r="F3535" s="1291" t="s">
        <v>2113</v>
      </c>
      <c r="G3535" s="1303">
        <f>G3389</f>
        <v>0</v>
      </c>
      <c r="H3535" s="1298"/>
      <c r="I3535" s="1298"/>
      <c r="J3535" s="1298"/>
      <c r="K3535" s="1298"/>
      <c r="L3535" s="1298"/>
      <c r="M3535" s="1298"/>
      <c r="N3535" s="1298"/>
      <c r="O3535" s="1298"/>
      <c r="P3535" s="1299"/>
      <c r="Q3535" s="1300"/>
      <c r="R3535" s="1300"/>
      <c r="S3535" s="1300"/>
    </row>
    <row r="3536" spans="1:19" s="1284" customFormat="1" ht="14.4" hidden="1" outlineLevel="1">
      <c r="A3536" s="1072" t="str">
        <f>A3535</f>
        <v/>
      </c>
      <c r="B3536" s="1570"/>
      <c r="C3536" s="1291"/>
      <c r="D3536" s="1292"/>
      <c r="E3536" s="1308" t="s">
        <v>3399</v>
      </c>
      <c r="F3536" s="1291"/>
      <c r="G3536" s="1297"/>
      <c r="H3536" s="1298"/>
      <c r="I3536" s="1298"/>
      <c r="J3536" s="1298"/>
      <c r="K3536" s="1298"/>
      <c r="L3536" s="1298"/>
      <c r="M3536" s="1298"/>
      <c r="N3536" s="1298"/>
      <c r="O3536" s="1298"/>
      <c r="P3536" s="1299"/>
      <c r="Q3536" s="1487"/>
      <c r="R3536" s="1487"/>
      <c r="S3536" s="1487"/>
    </row>
    <row r="3537" spans="1:19" s="1081" customFormat="1" hidden="1" outlineLevel="1">
      <c r="A3537" s="1072">
        <f>IF(G3537=0,0,1)</f>
        <v>0</v>
      </c>
      <c r="B3537" s="1295" t="s">
        <v>865</v>
      </c>
      <c r="C3537" s="1437"/>
      <c r="D3537" s="1198" t="str">
        <f>VLOOKUP($B3537,dongia1,DG!$B$5,)</f>
        <v>03.1401</v>
      </c>
      <c r="E3537" s="1399" t="str">
        <f>VLOOKUP($B3537,dongia1,DG!$C$5,)</f>
        <v xml:space="preserve">Cáp CVV 4x2,5mm2  </v>
      </c>
      <c r="F3537" s="1555" t="str">
        <f>VLOOKUP($B3537,dongia1,DG!$D$5,)</f>
        <v>mét</v>
      </c>
      <c r="G3537" s="1303">
        <f>G3535*26</f>
        <v>0</v>
      </c>
      <c r="H3537" s="1298">
        <f>VLOOKUP($B3537,dongia1,DG!$F$5,)</f>
        <v>28200</v>
      </c>
      <c r="I3537" s="1298"/>
      <c r="J3537" s="1298">
        <f>VLOOKUP($B3537,dongia1,DG!$G$5,)</f>
        <v>0</v>
      </c>
      <c r="K3537" s="1298">
        <f>VLOOKUP($B3537,dongia1,DG!$H$5,)</f>
        <v>0</v>
      </c>
      <c r="L3537" s="1298">
        <f t="shared" ref="L3537:L3557" si="906">H3537*$G3537</f>
        <v>0</v>
      </c>
      <c r="M3537" s="1298">
        <f t="shared" ref="M3537:M3557" si="907">I3537*$G3537</f>
        <v>0</v>
      </c>
      <c r="N3537" s="1298">
        <f t="shared" ref="N3537:N3557" si="908">J3537*$G3537</f>
        <v>0</v>
      </c>
      <c r="O3537" s="1298">
        <f t="shared" ref="O3537:O3557" si="909">K3537*$G3537</f>
        <v>0</v>
      </c>
      <c r="P3537" s="1299"/>
      <c r="Q3537" s="1300"/>
      <c r="R3537" s="1300"/>
      <c r="S3537" s="1300"/>
    </row>
    <row r="3538" spans="1:19" s="1081" customFormat="1" hidden="1" outlineLevel="1">
      <c r="A3538" s="1072">
        <f>IF(G3538=0,0,1)</f>
        <v>0</v>
      </c>
      <c r="B3538" s="1068" t="s">
        <v>507</v>
      </c>
      <c r="C3538" s="1302"/>
      <c r="D3538" s="1198">
        <v>0</v>
      </c>
      <c r="E3538" s="1399" t="str">
        <f>VLOOKUP($B3538,dongia1,DG!$C$5,)</f>
        <v>Boulon 10x150+ 2 long đền vuông D14-50x50x3/Zn</v>
      </c>
      <c r="F3538" s="1555" t="str">
        <f>VLOOKUP($B3538,dongia1,DG!$D$5,)</f>
        <v>bộ</v>
      </c>
      <c r="G3538" s="1303">
        <f>G3535*24</f>
        <v>0</v>
      </c>
      <c r="H3538" s="1298">
        <f>VLOOKUP($B3538,dongia1,DG!$F$5,)</f>
        <v>7900</v>
      </c>
      <c r="I3538" s="1298"/>
      <c r="J3538" s="1298">
        <f>VLOOKUP($B3538,dongia1,DG!$G$5,)</f>
        <v>0</v>
      </c>
      <c r="K3538" s="1298">
        <f>VLOOKUP($B3538,dongia1,DG!$H$5,)</f>
        <v>0</v>
      </c>
      <c r="L3538" s="1298">
        <f t="shared" si="906"/>
        <v>0</v>
      </c>
      <c r="M3538" s="1298">
        <f t="shared" si="907"/>
        <v>0</v>
      </c>
      <c r="N3538" s="1298">
        <f t="shared" si="908"/>
        <v>0</v>
      </c>
      <c r="O3538" s="1298">
        <f t="shared" si="909"/>
        <v>0</v>
      </c>
      <c r="P3538" s="1299"/>
      <c r="Q3538" s="1300"/>
      <c r="R3538" s="1300"/>
      <c r="S3538" s="1300"/>
    </row>
    <row r="3539" spans="1:19" s="1081" customFormat="1" hidden="1" outlineLevel="1">
      <c r="A3539" s="1072">
        <f>IF(G3539=0,0,1)</f>
        <v>0</v>
      </c>
      <c r="B3539" s="1068" t="s">
        <v>509</v>
      </c>
      <c r="C3539" s="1302"/>
      <c r="D3539" s="1198">
        <v>0</v>
      </c>
      <c r="E3539" s="1399" t="str">
        <f>VLOOKUP($B3539,dongia1,DG!$C$5,)</f>
        <v>Boulon 10x50+ 2 long đền vuông D12-50x50x3/Zn</v>
      </c>
      <c r="F3539" s="1555" t="str">
        <f>VLOOKUP($B3539,dongia1,DG!$D$5,)</f>
        <v>bộ</v>
      </c>
      <c r="G3539" s="1303">
        <f>G3538</f>
        <v>0</v>
      </c>
      <c r="H3539" s="1298">
        <f>VLOOKUP($B3539,dongia1,DG!$F$5,)</f>
        <v>1500</v>
      </c>
      <c r="I3539" s="1298"/>
      <c r="J3539" s="1298">
        <f>VLOOKUP($B3539,dongia1,DG!$G$5,)</f>
        <v>0</v>
      </c>
      <c r="K3539" s="1298">
        <f>VLOOKUP($B3539,dongia1,DG!$H$5,)</f>
        <v>0</v>
      </c>
      <c r="L3539" s="1298">
        <f t="shared" si="906"/>
        <v>0</v>
      </c>
      <c r="M3539" s="1298">
        <f t="shared" si="907"/>
        <v>0</v>
      </c>
      <c r="N3539" s="1298">
        <f t="shared" si="908"/>
        <v>0</v>
      </c>
      <c r="O3539" s="1298">
        <f t="shared" si="909"/>
        <v>0</v>
      </c>
      <c r="P3539" s="1299"/>
      <c r="Q3539" s="1300"/>
      <c r="R3539" s="1300"/>
      <c r="S3539" s="1300"/>
    </row>
    <row r="3540" spans="1:19" s="1081" customFormat="1" hidden="1" outlineLevel="1">
      <c r="A3540" s="1072">
        <f t="shared" ref="A3540:A3557" si="910">IF(G3540=0,0,1)</f>
        <v>0</v>
      </c>
      <c r="B3540" s="1295" t="s">
        <v>748</v>
      </c>
      <c r="C3540" s="1437"/>
      <c r="D3540" s="1198">
        <f>VLOOKUP($B3540,dongia1,DG!$B$5,)</f>
        <v>0</v>
      </c>
      <c r="E3540" s="1399" t="str">
        <f>VLOOKUP($B3540,dongia1,DG!$C$5,)</f>
        <v>Xà kẹp TU, TI U40x22x3x425</v>
      </c>
      <c r="F3540" s="1555" t="str">
        <f>VLOOKUP($B3540,dongia1,DG!$D$5,)</f>
        <v>cái</v>
      </c>
      <c r="G3540" s="1303">
        <f>G3535*24</f>
        <v>0</v>
      </c>
      <c r="H3540" s="1298">
        <f>VLOOKUP($B3540,dongia1,DG!$F$5,)</f>
        <v>40500</v>
      </c>
      <c r="I3540" s="1298"/>
      <c r="J3540" s="1298">
        <f>VLOOKUP($B3540,dongia1,DG!$G$5,)</f>
        <v>39758</v>
      </c>
      <c r="K3540" s="1298">
        <f>VLOOKUP($B3540,dongia1,DG!$H$5,)</f>
        <v>0</v>
      </c>
      <c r="L3540" s="1298">
        <f t="shared" si="906"/>
        <v>0</v>
      </c>
      <c r="M3540" s="1298">
        <f t="shared" si="907"/>
        <v>0</v>
      </c>
      <c r="N3540" s="1298">
        <f t="shared" si="908"/>
        <v>0</v>
      </c>
      <c r="O3540" s="1298">
        <f t="shared" si="909"/>
        <v>0</v>
      </c>
      <c r="P3540" s="1299"/>
      <c r="Q3540" s="1300"/>
      <c r="R3540" s="1300"/>
      <c r="S3540" s="1300"/>
    </row>
    <row r="3541" spans="1:19" s="1081" customFormat="1" hidden="1" outlineLevel="1">
      <c r="A3541" s="1072">
        <f t="shared" si="910"/>
        <v>0</v>
      </c>
      <c r="B3541" s="1295" t="s">
        <v>829</v>
      </c>
      <c r="C3541" s="1302"/>
      <c r="D3541" s="1198">
        <f>VLOOKUP($B3541,dongia1,DG!$B$5,)</f>
        <v>0</v>
      </c>
      <c r="E3541" s="1399" t="str">
        <f>VLOOKUP($B3541,dongia1,DG!$C$5,)</f>
        <v xml:space="preserve">Đầu cosse ép Cu 2,5mm2 + bao PVC </v>
      </c>
      <c r="F3541" s="1555" t="str">
        <f>VLOOKUP($B3541,dongia1,DG!$D$5,)</f>
        <v>cái</v>
      </c>
      <c r="G3541" s="1303">
        <f>G3535*16</f>
        <v>0</v>
      </c>
      <c r="H3541" s="1298">
        <f>VLOOKUP($B3541,dongia1,DG!$F$5,)</f>
        <v>1700</v>
      </c>
      <c r="I3541" s="1298"/>
      <c r="J3541" s="1298">
        <f>VLOOKUP($B3541,dongia1,DG!$G$5,)</f>
        <v>0</v>
      </c>
      <c r="K3541" s="1298">
        <f>VLOOKUP($B3541,dongia1,DG!$H$5,)</f>
        <v>0</v>
      </c>
      <c r="L3541" s="1298">
        <f t="shared" si="906"/>
        <v>0</v>
      </c>
      <c r="M3541" s="1298">
        <f t="shared" si="907"/>
        <v>0</v>
      </c>
      <c r="N3541" s="1298">
        <f t="shared" si="908"/>
        <v>0</v>
      </c>
      <c r="O3541" s="1298">
        <f t="shared" si="909"/>
        <v>0</v>
      </c>
      <c r="P3541" s="1299"/>
      <c r="Q3541" s="1300"/>
      <c r="R3541" s="1300"/>
      <c r="S3541" s="1300"/>
    </row>
    <row r="3542" spans="1:19" s="1081" customFormat="1" hidden="1" outlineLevel="1">
      <c r="A3542" s="1072">
        <f t="shared" si="910"/>
        <v>0</v>
      </c>
      <c r="B3542" s="1295" t="s">
        <v>57</v>
      </c>
      <c r="C3542" s="1302"/>
      <c r="D3542" s="1198">
        <f>VLOOKUP($B3542,dongia1,DG!$B$5,)</f>
        <v>0</v>
      </c>
      <c r="E3542" s="1399" t="str">
        <f>VLOOKUP($B3542,dongia1,DG!$C$5,)</f>
        <v>Dây điện đôi 16/10</v>
      </c>
      <c r="F3542" s="1555" t="str">
        <f>VLOOKUP($B3542,dongia1,DG!$D$5,)</f>
        <v>mét</v>
      </c>
      <c r="G3542" s="1303">
        <f>6*G3535</f>
        <v>0</v>
      </c>
      <c r="H3542" s="1298">
        <f>VLOOKUP($B3542,dongia1,DG!$F$5,)</f>
        <v>860</v>
      </c>
      <c r="I3542" s="1298"/>
      <c r="J3542" s="1298">
        <f>VLOOKUP($B3542,dongia1,DG!$G$5,)</f>
        <v>0</v>
      </c>
      <c r="K3542" s="1298">
        <f>VLOOKUP($B3542,dongia1,DG!$H$5,)</f>
        <v>0</v>
      </c>
      <c r="L3542" s="1298">
        <f t="shared" si="906"/>
        <v>0</v>
      </c>
      <c r="M3542" s="1298">
        <f t="shared" si="907"/>
        <v>0</v>
      </c>
      <c r="N3542" s="1298">
        <f t="shared" si="908"/>
        <v>0</v>
      </c>
      <c r="O3542" s="1298">
        <f t="shared" si="909"/>
        <v>0</v>
      </c>
      <c r="P3542" s="1299"/>
      <c r="Q3542" s="1300"/>
      <c r="R3542" s="1300"/>
      <c r="S3542" s="1300"/>
    </row>
    <row r="3543" spans="1:19" s="1081" customFormat="1" hidden="1" outlineLevel="1">
      <c r="A3543" s="1072">
        <f t="shared" si="910"/>
        <v>0</v>
      </c>
      <c r="B3543" s="1295" t="s">
        <v>903</v>
      </c>
      <c r="C3543" s="1302"/>
      <c r="D3543" s="1198">
        <f>VLOOKUP($B3543,dongia1,DG!$B$5,)</f>
        <v>0</v>
      </c>
      <c r="E3543" s="1399" t="str">
        <f>VLOOKUP($B3543,dongia1,DG!$C$5,)</f>
        <v>Ốc xiết cáp cỡ 25mm2</v>
      </c>
      <c r="F3543" s="1555" t="str">
        <f>VLOOKUP($B3543,dongia1,DG!$D$5,)</f>
        <v>cái</v>
      </c>
      <c r="G3543" s="1303">
        <f>+G3535*3</f>
        <v>0</v>
      </c>
      <c r="H3543" s="1298">
        <f>VLOOKUP($B3543,dongia1,DG!$F$5,)</f>
        <v>17600</v>
      </c>
      <c r="I3543" s="1298"/>
      <c r="J3543" s="1298">
        <f>VLOOKUP($B3543,dongia1,DG!$G$5,)</f>
        <v>0</v>
      </c>
      <c r="K3543" s="1298">
        <f>VLOOKUP($B3543,dongia1,DG!$H$5,)</f>
        <v>0</v>
      </c>
      <c r="L3543" s="1298">
        <f t="shared" si="906"/>
        <v>0</v>
      </c>
      <c r="M3543" s="1298">
        <f t="shared" si="907"/>
        <v>0</v>
      </c>
      <c r="N3543" s="1298">
        <f t="shared" si="908"/>
        <v>0</v>
      </c>
      <c r="O3543" s="1298">
        <f t="shared" si="909"/>
        <v>0</v>
      </c>
      <c r="P3543" s="1299"/>
      <c r="Q3543" s="1300"/>
      <c r="R3543" s="1300"/>
      <c r="S3543" s="1300"/>
    </row>
    <row r="3544" spans="1:19" s="1081" customFormat="1" hidden="1" outlineLevel="1">
      <c r="A3544" s="1072">
        <f t="shared" si="910"/>
        <v>0</v>
      </c>
      <c r="B3544" s="1295" t="s">
        <v>1736</v>
      </c>
      <c r="C3544" s="1302"/>
      <c r="D3544" s="1198">
        <f>VLOOKUP($B3544,dongia1,DG!$B$5,)</f>
        <v>0</v>
      </c>
      <c r="E3544" s="1399" t="str">
        <f>VLOOKUP($B3544,dongia1,DG!$C$5,)</f>
        <v>Ống PVC D42x2,1mm</v>
      </c>
      <c r="F3544" s="1555" t="str">
        <f>VLOOKUP($B3544,dongia1,DG!$D$5,)</f>
        <v>m</v>
      </c>
      <c r="G3544" s="1303">
        <f>G3553*10</f>
        <v>0</v>
      </c>
      <c r="H3544" s="1298">
        <f>VLOOKUP($B3544,dongia1,DG!$F$5,)</f>
        <v>16100</v>
      </c>
      <c r="I3544" s="1298"/>
      <c r="J3544" s="1298">
        <f>VLOOKUP($B3544,dongia1,DG!$G$5,)</f>
        <v>0</v>
      </c>
      <c r="K3544" s="1298">
        <f>VLOOKUP($B3544,dongia1,DG!$H$5,)</f>
        <v>0</v>
      </c>
      <c r="L3544" s="1298">
        <f t="shared" si="906"/>
        <v>0</v>
      </c>
      <c r="M3544" s="1298">
        <f t="shared" si="907"/>
        <v>0</v>
      </c>
      <c r="N3544" s="1298">
        <f t="shared" si="908"/>
        <v>0</v>
      </c>
      <c r="O3544" s="1298">
        <f t="shared" si="909"/>
        <v>0</v>
      </c>
      <c r="P3544" s="1299"/>
      <c r="Q3544" s="1300"/>
      <c r="R3544" s="1300"/>
      <c r="S3544" s="1300"/>
    </row>
    <row r="3545" spans="1:19" s="1081" customFormat="1" hidden="1" outlineLevel="1">
      <c r="A3545" s="1072">
        <f t="shared" si="910"/>
        <v>0</v>
      </c>
      <c r="B3545" s="1068" t="s">
        <v>1525</v>
      </c>
      <c r="C3545" s="1302"/>
      <c r="D3545" s="1198">
        <f>VLOOKUP($B3545,dongia1,DG!$B$5,)</f>
        <v>0</v>
      </c>
      <c r="E3545" s="1399" t="str">
        <f>VLOOKUP($B3545,dongia1,DG!$C$5,)</f>
        <v>Cổ dê giữ ống PVC D42</v>
      </c>
      <c r="F3545" s="1555" t="str">
        <f>VLOOKUP($B3545,dongia1,DG!$D$5,)</f>
        <v>bộ</v>
      </c>
      <c r="G3545" s="1303">
        <f>G3535*4</f>
        <v>0</v>
      </c>
      <c r="H3545" s="1298">
        <f>VLOOKUP($B3545,dongia1,DG!$F$5,)</f>
        <v>34000</v>
      </c>
      <c r="I3545" s="1298"/>
      <c r="J3545" s="1298">
        <f>VLOOKUP($B3545,dongia1,DG!$G$5,)</f>
        <v>0</v>
      </c>
      <c r="K3545" s="1298">
        <f>VLOOKUP($B3545,dongia1,DG!$H$5,)</f>
        <v>0</v>
      </c>
      <c r="L3545" s="1298">
        <f t="shared" si="906"/>
        <v>0</v>
      </c>
      <c r="M3545" s="1298">
        <f t="shared" si="907"/>
        <v>0</v>
      </c>
      <c r="N3545" s="1298">
        <f t="shared" si="908"/>
        <v>0</v>
      </c>
      <c r="O3545" s="1298">
        <f t="shared" si="909"/>
        <v>0</v>
      </c>
      <c r="P3545" s="1299"/>
      <c r="Q3545" s="1300"/>
      <c r="R3545" s="1300"/>
      <c r="S3545" s="1300"/>
    </row>
    <row r="3546" spans="1:19" s="1081" customFormat="1" hidden="1" outlineLevel="1">
      <c r="A3546" s="1072">
        <f t="shared" si="910"/>
        <v>0</v>
      </c>
      <c r="B3546" s="1295" t="s">
        <v>1576</v>
      </c>
      <c r="C3546" s="1302"/>
      <c r="D3546" s="1198">
        <f>VLOOKUP($B3546,dongia1,DG!$B$5,)</f>
        <v>0</v>
      </c>
      <c r="E3546" s="1399" t="str">
        <f>VLOOKUP($B3546,dongia1,DG!$C$5,)</f>
        <v>Co 90 độ PVC 42</v>
      </c>
      <c r="F3546" s="1555" t="str">
        <f>VLOOKUP($B3546,dongia1,DG!$D$5,)</f>
        <v>cái</v>
      </c>
      <c r="G3546" s="1303">
        <f>G3535*6</f>
        <v>0</v>
      </c>
      <c r="H3546" s="1298">
        <f>VLOOKUP($B3546,dongia1,DG!$F$5,)</f>
        <v>11400</v>
      </c>
      <c r="I3546" s="1298"/>
      <c r="J3546" s="1298">
        <f>VLOOKUP($B3546,dongia1,DG!$G$5,)</f>
        <v>0</v>
      </c>
      <c r="K3546" s="1298">
        <f>VLOOKUP($B3546,dongia1,DG!$H$5,)</f>
        <v>0</v>
      </c>
      <c r="L3546" s="1298">
        <f t="shared" si="906"/>
        <v>0</v>
      </c>
      <c r="M3546" s="1298">
        <f t="shared" si="907"/>
        <v>0</v>
      </c>
      <c r="N3546" s="1298">
        <f t="shared" si="908"/>
        <v>0</v>
      </c>
      <c r="O3546" s="1298">
        <f t="shared" si="909"/>
        <v>0</v>
      </c>
      <c r="P3546" s="1299"/>
      <c r="Q3546" s="1300"/>
      <c r="R3546" s="1300"/>
      <c r="S3546" s="1300"/>
    </row>
    <row r="3547" spans="1:19" s="1081" customFormat="1" hidden="1" outlineLevel="1">
      <c r="A3547" s="1072">
        <f t="shared" si="910"/>
        <v>0</v>
      </c>
      <c r="B3547" s="1295" t="s">
        <v>969</v>
      </c>
      <c r="C3547" s="1302"/>
      <c r="D3547" s="1198">
        <f>VLOOKUP($B3547,dongia1,DG!$B$5,)</f>
        <v>0</v>
      </c>
      <c r="E3547" s="1399" t="str">
        <f>VLOOKUP($B3547,dongia1,DG!$C$5,)</f>
        <v>Co chữ T ống PVC 42</v>
      </c>
      <c r="F3547" s="1555" t="str">
        <f>VLOOKUP($B3547,dongia1,DG!$D$5,)</f>
        <v>cái</v>
      </c>
      <c r="G3547" s="1303">
        <f>G3535*5</f>
        <v>0</v>
      </c>
      <c r="H3547" s="1298">
        <f>VLOOKUP($B3547,dongia1,DG!$F$5,)</f>
        <v>21000</v>
      </c>
      <c r="I3547" s="1298"/>
      <c r="J3547" s="1298">
        <f>VLOOKUP($B3547,dongia1,DG!$G$5,)</f>
        <v>0</v>
      </c>
      <c r="K3547" s="1298">
        <f>VLOOKUP($B3547,dongia1,DG!$H$5,)</f>
        <v>0</v>
      </c>
      <c r="L3547" s="1298">
        <f t="shared" si="906"/>
        <v>0</v>
      </c>
      <c r="M3547" s="1298">
        <f t="shared" si="907"/>
        <v>0</v>
      </c>
      <c r="N3547" s="1298">
        <f t="shared" si="908"/>
        <v>0</v>
      </c>
      <c r="O3547" s="1298">
        <f t="shared" si="909"/>
        <v>0</v>
      </c>
      <c r="P3547" s="1299"/>
      <c r="Q3547" s="1300"/>
      <c r="R3547" s="1300"/>
      <c r="S3547" s="1300"/>
    </row>
    <row r="3548" spans="1:19" s="1081" customFormat="1" hidden="1" outlineLevel="1">
      <c r="A3548" s="1072">
        <f t="shared" si="910"/>
        <v>0</v>
      </c>
      <c r="B3548" s="1295" t="s">
        <v>1973</v>
      </c>
      <c r="C3548" s="1302"/>
      <c r="D3548" s="1198">
        <f>VLOOKUP($B3548,dongia1,DG!$B$5,)</f>
        <v>0</v>
      </c>
      <c r="E3548" s="1399" t="str">
        <f>VLOOKUP($B3548,dongia1,DG!$C$5,)</f>
        <v>Keo dán ống PVC (500gr)</v>
      </c>
      <c r="F3548" s="1555" t="str">
        <f>VLOOKUP($B3548,dongia1,DG!$D$5,)</f>
        <v>lon</v>
      </c>
      <c r="G3548" s="1303">
        <f>G3535</f>
        <v>0</v>
      </c>
      <c r="H3548" s="1298">
        <f>VLOOKUP($B3548,dongia1,DG!$F$5,)</f>
        <v>54100</v>
      </c>
      <c r="I3548" s="1298"/>
      <c r="J3548" s="1298">
        <f>VLOOKUP($B3548,dongia1,DG!$G$5,)</f>
        <v>0</v>
      </c>
      <c r="K3548" s="1298">
        <f>VLOOKUP($B3548,dongia1,DG!$H$5,)</f>
        <v>0</v>
      </c>
      <c r="L3548" s="1298">
        <f t="shared" si="906"/>
        <v>0</v>
      </c>
      <c r="M3548" s="1298">
        <f t="shared" si="907"/>
        <v>0</v>
      </c>
      <c r="N3548" s="1298">
        <f t="shared" si="908"/>
        <v>0</v>
      </c>
      <c r="O3548" s="1298">
        <f t="shared" si="909"/>
        <v>0</v>
      </c>
      <c r="P3548" s="1299"/>
      <c r="Q3548" s="1300"/>
      <c r="R3548" s="1300"/>
      <c r="S3548" s="1300"/>
    </row>
    <row r="3549" spans="1:19" s="1081" customFormat="1" hidden="1" outlineLevel="1">
      <c r="A3549" s="1072">
        <f t="shared" si="910"/>
        <v>0</v>
      </c>
      <c r="B3549" s="1068" t="s">
        <v>236</v>
      </c>
      <c r="C3549" s="1302"/>
      <c r="D3549" s="1198">
        <f>VLOOKUP($B3549,dongia1,DG!$B$5,)</f>
        <v>0</v>
      </c>
      <c r="E3549" s="1399" t="str">
        <f>VLOOKUP($B3549,dongia1,DG!$C$5,)</f>
        <v>Băng keo cách điện hạ thế</v>
      </c>
      <c r="F3549" s="1555" t="str">
        <f>VLOOKUP($B3549,dongia1,DG!$D$5,)</f>
        <v>cuộn</v>
      </c>
      <c r="G3549" s="1303">
        <f>G3535</f>
        <v>0</v>
      </c>
      <c r="H3549" s="1298">
        <f>VLOOKUP($B3549,dongia1,DG!$F$5,)</f>
        <v>6500</v>
      </c>
      <c r="I3549" s="1298"/>
      <c r="J3549" s="1298">
        <f>VLOOKUP($B3549,dongia1,DG!$G$5,)</f>
        <v>0</v>
      </c>
      <c r="K3549" s="1298">
        <f>VLOOKUP($B3549,dongia1,DG!$H$5,)</f>
        <v>0</v>
      </c>
      <c r="L3549" s="1298">
        <f t="shared" si="906"/>
        <v>0</v>
      </c>
      <c r="M3549" s="1298">
        <f t="shared" si="907"/>
        <v>0</v>
      </c>
      <c r="N3549" s="1298">
        <f t="shared" si="908"/>
        <v>0</v>
      </c>
      <c r="O3549" s="1298">
        <f t="shared" si="909"/>
        <v>0</v>
      </c>
      <c r="P3549" s="1299"/>
      <c r="Q3549" s="1300"/>
      <c r="R3549" s="1300"/>
      <c r="S3549" s="1300"/>
    </row>
    <row r="3550" spans="1:19" s="1081" customFormat="1" hidden="1" outlineLevel="1">
      <c r="A3550" s="1072">
        <f t="shared" si="910"/>
        <v>0</v>
      </c>
      <c r="B3550" s="1295" t="s">
        <v>1464</v>
      </c>
      <c r="C3550" s="1302"/>
      <c r="D3550" s="1198">
        <f>VLOOKUP($B3550,dongia1,DG!$B$5,)</f>
        <v>0</v>
      </c>
      <c r="E3550" s="1399" t="str">
        <f>VLOOKUP($B3550,dongia1,DG!$C$5,)</f>
        <v>Khâu ven răng trong D42</v>
      </c>
      <c r="F3550" s="1555" t="str">
        <f>VLOOKUP($B3550,dongia1,DG!$D$5,)</f>
        <v>cái</v>
      </c>
      <c r="G3550" s="1303">
        <f>G3535</f>
        <v>0</v>
      </c>
      <c r="H3550" s="1298">
        <f>VLOOKUP($B3550,dongia1,DG!$F$5,)</f>
        <v>5000</v>
      </c>
      <c r="I3550" s="1298"/>
      <c r="J3550" s="1298">
        <f>VLOOKUP($B3550,dongia1,DG!$G$5,)</f>
        <v>0</v>
      </c>
      <c r="K3550" s="1298">
        <f>VLOOKUP($B3550,dongia1,DG!$H$5,)</f>
        <v>0</v>
      </c>
      <c r="L3550" s="1298">
        <f t="shared" si="906"/>
        <v>0</v>
      </c>
      <c r="M3550" s="1298">
        <f t="shared" si="907"/>
        <v>0</v>
      </c>
      <c r="N3550" s="1298">
        <f t="shared" si="908"/>
        <v>0</v>
      </c>
      <c r="O3550" s="1298">
        <f t="shared" si="909"/>
        <v>0</v>
      </c>
      <c r="P3550" s="1299"/>
      <c r="Q3550" s="1300"/>
      <c r="R3550" s="1300"/>
      <c r="S3550" s="1300"/>
    </row>
    <row r="3551" spans="1:19" s="1081" customFormat="1" hidden="1" outlineLevel="1">
      <c r="A3551" s="1072">
        <f t="shared" si="910"/>
        <v>0</v>
      </c>
      <c r="B3551" s="1068" t="s">
        <v>1214</v>
      </c>
      <c r="C3551" s="1302"/>
      <c r="D3551" s="1198">
        <f>VLOOKUP($B3551,dongia1,DG!$B$5,)</f>
        <v>0</v>
      </c>
      <c r="E3551" s="1399" t="str">
        <f>VLOOKUP($B3551,dongia1,DG!$C$5,)</f>
        <v>Khâu ven răng ngoài D42</v>
      </c>
      <c r="F3551" s="1555" t="str">
        <f>VLOOKUP($B3551,dongia1,DG!$D$5,)</f>
        <v>cái</v>
      </c>
      <c r="G3551" s="1303">
        <f>G3535</f>
        <v>0</v>
      </c>
      <c r="H3551" s="1298">
        <f>VLOOKUP($B3551,dongia1,DG!$F$5,)</f>
        <v>5200</v>
      </c>
      <c r="I3551" s="1298"/>
      <c r="J3551" s="1298">
        <f>VLOOKUP($B3551,dongia1,DG!$G$5,)</f>
        <v>0</v>
      </c>
      <c r="K3551" s="1298">
        <f>VLOOKUP($B3551,dongia1,DG!$H$5,)</f>
        <v>0</v>
      </c>
      <c r="L3551" s="1298">
        <f t="shared" si="906"/>
        <v>0</v>
      </c>
      <c r="M3551" s="1298">
        <f t="shared" si="907"/>
        <v>0</v>
      </c>
      <c r="N3551" s="1298">
        <f t="shared" si="908"/>
        <v>0</v>
      </c>
      <c r="O3551" s="1298">
        <f t="shared" si="909"/>
        <v>0</v>
      </c>
      <c r="P3551" s="1299"/>
      <c r="Q3551" s="1300"/>
      <c r="R3551" s="1300"/>
      <c r="S3551" s="1300"/>
    </row>
    <row r="3552" spans="1:19" s="1081" customFormat="1" hidden="1" outlineLevel="1">
      <c r="A3552" s="1072">
        <f t="shared" si="910"/>
        <v>0</v>
      </c>
      <c r="B3552" s="1068" t="s">
        <v>1439</v>
      </c>
      <c r="C3552" s="1302"/>
      <c r="D3552" s="1198">
        <f>VLOOKUP($B3552,dongia1,DG!$B$5,)</f>
        <v>0</v>
      </c>
      <c r="E3552" s="1399" t="str">
        <f>VLOOKUP($B3552,dongia1,DG!$C$5,)</f>
        <v>Cổ dê CDĐKĐT D320/6x60( bắt thùng)</v>
      </c>
      <c r="F3552" s="1555" t="str">
        <f>VLOOKUP($B3552,dongia1,DG!$D$5,)</f>
        <v>bộ</v>
      </c>
      <c r="G3552" s="1303">
        <f>G3535*2</f>
        <v>0</v>
      </c>
      <c r="H3552" s="1298">
        <f>VLOOKUP($B3552,dongia1,DG!$F$5,)</f>
        <v>168000</v>
      </c>
      <c r="I3552" s="1298"/>
      <c r="J3552" s="1298">
        <f>VLOOKUP($B3552,dongia1,DG!$G$5,)</f>
        <v>0</v>
      </c>
      <c r="K3552" s="1298">
        <f>VLOOKUP($B3552,dongia1,DG!$H$5,)</f>
        <v>0</v>
      </c>
      <c r="L3552" s="1298">
        <f t="shared" si="906"/>
        <v>0</v>
      </c>
      <c r="M3552" s="1298">
        <f t="shared" si="907"/>
        <v>0</v>
      </c>
      <c r="N3552" s="1298">
        <f t="shared" si="908"/>
        <v>0</v>
      </c>
      <c r="O3552" s="1298">
        <f t="shared" si="909"/>
        <v>0</v>
      </c>
      <c r="P3552" s="1299"/>
      <c r="Q3552" s="1300"/>
      <c r="R3552" s="1300"/>
      <c r="S3552" s="1300"/>
    </row>
    <row r="3553" spans="1:19" s="1081" customFormat="1" hidden="1" outlineLevel="1">
      <c r="A3553" s="1072">
        <f t="shared" si="910"/>
        <v>0</v>
      </c>
      <c r="B3553" s="1068" t="s">
        <v>1825</v>
      </c>
      <c r="C3553" s="1302"/>
      <c r="D3553" s="1198" t="str">
        <f>VLOOKUP($B3553,dongia1,DG!$B$5,)</f>
        <v>T5.1001</v>
      </c>
      <c r="E3553" s="1399" t="str">
        <f>VLOOKUP($B3553,dongia1,DG!$C$5,)</f>
        <v>Thùng điện kế 450x300x200mm đo đếm trung thế</v>
      </c>
      <c r="F3553" s="1555" t="str">
        <f>VLOOKUP($B3553,dongia1,DG!$D$5,)</f>
        <v>cái</v>
      </c>
      <c r="G3553" s="1303">
        <f>G3535</f>
        <v>0</v>
      </c>
      <c r="H3553" s="1298">
        <f>VLOOKUP($B3553,dongia1,DG!$F$5,)</f>
        <v>845331</v>
      </c>
      <c r="I3553" s="1298"/>
      <c r="J3553" s="1298">
        <f>VLOOKUP($B3553,dongia1,DG!$G$5,)</f>
        <v>599038</v>
      </c>
      <c r="K3553" s="1298">
        <f>VLOOKUP($B3553,dongia1,DG!$H$5,)</f>
        <v>97369</v>
      </c>
      <c r="L3553" s="1298">
        <f t="shared" si="906"/>
        <v>0</v>
      </c>
      <c r="M3553" s="1298">
        <f t="shared" si="907"/>
        <v>0</v>
      </c>
      <c r="N3553" s="1298">
        <f t="shared" si="908"/>
        <v>0</v>
      </c>
      <c r="O3553" s="1298">
        <f t="shared" si="909"/>
        <v>0</v>
      </c>
      <c r="P3553" s="1299"/>
      <c r="Q3553" s="1300"/>
      <c r="R3553" s="1300"/>
      <c r="S3553" s="1300"/>
    </row>
    <row r="3554" spans="1:19" s="1081" customFormat="1" hidden="1" outlineLevel="1">
      <c r="A3554" s="1072">
        <f t="shared" si="910"/>
        <v>0</v>
      </c>
      <c r="B3554" s="1068" t="s">
        <v>1690</v>
      </c>
      <c r="C3554" s="1302"/>
      <c r="D3554" s="1198">
        <f>VLOOKUP($B3554,dongia1,DG!$B$5,)</f>
        <v>0</v>
      </c>
      <c r="E3554" s="1399" t="str">
        <f>VLOOKUP($B3554,dongia1,DG!$C$5,)</f>
        <v>Keo silicon bít miệng ống</v>
      </c>
      <c r="F3554" s="1555" t="str">
        <f>VLOOKUP($B3554,dongia1,DG!$D$5,)</f>
        <v>chai</v>
      </c>
      <c r="G3554" s="1303">
        <f>G3535*2</f>
        <v>0</v>
      </c>
      <c r="H3554" s="1298">
        <f>VLOOKUP($B3554,dongia1,DG!$F$5,)</f>
        <v>45000</v>
      </c>
      <c r="I3554" s="1298"/>
      <c r="J3554" s="1298">
        <f>VLOOKUP($B3554,dongia1,DG!$G$5,)</f>
        <v>0</v>
      </c>
      <c r="K3554" s="1298">
        <f>VLOOKUP($B3554,dongia1,DG!$H$5,)</f>
        <v>0</v>
      </c>
      <c r="L3554" s="1298">
        <f t="shared" si="906"/>
        <v>0</v>
      </c>
      <c r="M3554" s="1298">
        <f t="shared" si="907"/>
        <v>0</v>
      </c>
      <c r="N3554" s="1298">
        <f t="shared" si="908"/>
        <v>0</v>
      </c>
      <c r="O3554" s="1298">
        <f t="shared" si="909"/>
        <v>0</v>
      </c>
      <c r="P3554" s="1299"/>
      <c r="Q3554" s="1300"/>
      <c r="R3554" s="1300"/>
      <c r="S3554" s="1300"/>
    </row>
    <row r="3555" spans="1:19" s="1081" customFormat="1" hidden="1" outlineLevel="1">
      <c r="A3555" s="1072">
        <f t="shared" si="910"/>
        <v>0</v>
      </c>
      <c r="B3555" s="1068" t="s">
        <v>1735</v>
      </c>
      <c r="C3555" s="1302"/>
      <c r="D3555" s="1198">
        <f>VLOOKUP($B3555,dongia1,DG!$B$5,)</f>
        <v>0</v>
      </c>
      <c r="E3555" s="1399" t="str">
        <f>VLOOKUP($B3555,dongia1,DG!$C$5,)</f>
        <v>Dây đồng trần mềm dẹt</v>
      </c>
      <c r="F3555" s="1555" t="str">
        <f>VLOOKUP($B3555,dongia1,DG!$D$5,)</f>
        <v>mét</v>
      </c>
      <c r="G3555" s="1303">
        <f>G3535*4</f>
        <v>0</v>
      </c>
      <c r="H3555" s="1298">
        <f>VLOOKUP($B3555,dongia1,DG!$F$5,)</f>
        <v>5000</v>
      </c>
      <c r="I3555" s="1298"/>
      <c r="J3555" s="1298">
        <f>VLOOKUP($B3555,dongia1,DG!$G$5,)</f>
        <v>0</v>
      </c>
      <c r="K3555" s="1298">
        <f>VLOOKUP($B3555,dongia1,DG!$H$5,)</f>
        <v>0</v>
      </c>
      <c r="L3555" s="1298">
        <f t="shared" si="906"/>
        <v>0</v>
      </c>
      <c r="M3555" s="1298">
        <f t="shared" si="907"/>
        <v>0</v>
      </c>
      <c r="N3555" s="1298">
        <f t="shared" si="908"/>
        <v>0</v>
      </c>
      <c r="O3555" s="1298">
        <f t="shared" si="909"/>
        <v>0</v>
      </c>
      <c r="P3555" s="1299"/>
      <c r="Q3555" s="1300"/>
      <c r="R3555" s="1300"/>
      <c r="S3555" s="1300"/>
    </row>
    <row r="3556" spans="1:19" s="1081" customFormat="1" hidden="1" outlineLevel="1">
      <c r="A3556" s="1072">
        <f t="shared" si="910"/>
        <v>0</v>
      </c>
      <c r="B3556" s="1068" t="s">
        <v>518</v>
      </c>
      <c r="C3556" s="1302"/>
      <c r="D3556" s="1198">
        <v>0</v>
      </c>
      <c r="E3556" s="1399" t="str">
        <f>VLOOKUP($B3556,dongia1,DG!$C$5,)</f>
        <v>Sắt góc L50 x50 x5</v>
      </c>
      <c r="F3556" s="1555" t="str">
        <f>VLOOKUP($B3556,dongia1,DG!$D$5,)</f>
        <v>kg</v>
      </c>
      <c r="G3556" s="1304">
        <f>3.77*G3535*2*0.3</f>
        <v>0</v>
      </c>
      <c r="H3556" s="1298">
        <f>VLOOKUP($B3556,dongia1,DG!$F$5,)</f>
        <v>31625</v>
      </c>
      <c r="I3556" s="1298"/>
      <c r="J3556" s="1298">
        <f>VLOOKUP($B3556,dongia1,DG!$G$5,)</f>
        <v>0</v>
      </c>
      <c r="K3556" s="1298">
        <f>VLOOKUP($B3556,dongia1,DG!$H$5,)</f>
        <v>0</v>
      </c>
      <c r="L3556" s="1298">
        <f t="shared" si="906"/>
        <v>0</v>
      </c>
      <c r="M3556" s="1298">
        <f t="shared" si="907"/>
        <v>0</v>
      </c>
      <c r="N3556" s="1298">
        <f t="shared" si="908"/>
        <v>0</v>
      </c>
      <c r="O3556" s="1298">
        <f t="shared" si="909"/>
        <v>0</v>
      </c>
      <c r="P3556" s="1299"/>
      <c r="Q3556" s="1300"/>
      <c r="R3556" s="1300"/>
      <c r="S3556" s="1300"/>
    </row>
    <row r="3557" spans="1:19" s="1081" customFormat="1" hidden="1" outlineLevel="1">
      <c r="A3557" s="1072">
        <f t="shared" si="910"/>
        <v>0</v>
      </c>
      <c r="B3557" s="1068" t="s">
        <v>509</v>
      </c>
      <c r="C3557" s="1302"/>
      <c r="D3557" s="1198">
        <v>0</v>
      </c>
      <c r="E3557" s="1399" t="str">
        <f>VLOOKUP($B3557,dongia1,DG!$C$5,)</f>
        <v>Boulon 10x50+ 2 long đền vuông D12-50x50x3/Zn</v>
      </c>
      <c r="F3557" s="1555" t="str">
        <f>VLOOKUP($B3557,dongia1,DG!$D$5,)</f>
        <v>bộ</v>
      </c>
      <c r="G3557" s="1303">
        <f>4*G3535</f>
        <v>0</v>
      </c>
      <c r="H3557" s="1298">
        <f>VLOOKUP($B3557,dongia1,DG!$F$5,)</f>
        <v>1500</v>
      </c>
      <c r="I3557" s="1298"/>
      <c r="J3557" s="1298">
        <f>VLOOKUP($B3557,dongia1,DG!$G$5,)</f>
        <v>0</v>
      </c>
      <c r="K3557" s="1298">
        <f>VLOOKUP($B3557,dongia1,DG!$H$5,)</f>
        <v>0</v>
      </c>
      <c r="L3557" s="1298">
        <f t="shared" si="906"/>
        <v>0</v>
      </c>
      <c r="M3557" s="1298">
        <f t="shared" si="907"/>
        <v>0</v>
      </c>
      <c r="N3557" s="1298">
        <f t="shared" si="908"/>
        <v>0</v>
      </c>
      <c r="O3557" s="1298">
        <f t="shared" si="909"/>
        <v>0</v>
      </c>
      <c r="P3557" s="1299"/>
      <c r="Q3557" s="1300"/>
      <c r="R3557" s="1300"/>
      <c r="S3557" s="1300"/>
    </row>
    <row r="3558" spans="1:19" s="1081" customFormat="1" hidden="1" outlineLevel="1">
      <c r="A3558" s="1072">
        <f>A3384</f>
        <v>0</v>
      </c>
      <c r="B3558" s="1421"/>
      <c r="C3558" s="1571"/>
      <c r="D3558" s="1476"/>
      <c r="E3558" s="1477"/>
      <c r="F3558" s="1478"/>
      <c r="G3558" s="1479"/>
      <c r="H3558" s="1478"/>
      <c r="I3558" s="1478"/>
      <c r="J3558" s="2469" t="s">
        <v>3388</v>
      </c>
      <c r="K3558" s="2469"/>
      <c r="L3558" s="1480">
        <f>SUM(L3403:L3557)</f>
        <v>0</v>
      </c>
      <c r="M3558" s="1480">
        <f>SUM(M3403:M3557)</f>
        <v>0</v>
      </c>
      <c r="N3558" s="1480">
        <f>SUM(N3403:N3557)</f>
        <v>0</v>
      </c>
      <c r="O3558" s="1480">
        <f>SUM(O3403:O3557)</f>
        <v>0</v>
      </c>
      <c r="P3558" s="1566"/>
      <c r="Q3558" s="1300"/>
      <c r="R3558" s="1300"/>
      <c r="S3558" s="1300"/>
    </row>
    <row r="3559" spans="1:19" collapsed="1"/>
  </sheetData>
  <autoFilter ref="A26:A3558" xr:uid="{00000000-0009-0000-0000-00000A000000}">
    <filterColumn colId="0">
      <customFilters>
        <customFilter operator="notEqual" val=" "/>
      </customFilters>
    </filterColumn>
  </autoFilter>
  <dataConsolidate/>
  <mergeCells count="160">
    <mergeCell ref="J3558:K3558"/>
    <mergeCell ref="C3386:C3387"/>
    <mergeCell ref="D3386:D3387"/>
    <mergeCell ref="E3386:E3387"/>
    <mergeCell ref="F3386:F3387"/>
    <mergeCell ref="P2591:P2592"/>
    <mergeCell ref="J2786:K2786"/>
    <mergeCell ref="J2925:K2925"/>
    <mergeCell ref="C3081:C3082"/>
    <mergeCell ref="D3081:D3082"/>
    <mergeCell ref="D2591:D2592"/>
    <mergeCell ref="C2790:C2791"/>
    <mergeCell ref="C2929:C2930"/>
    <mergeCell ref="E2790:E2791"/>
    <mergeCell ref="F2790:F2791"/>
    <mergeCell ref="F2929:F2930"/>
    <mergeCell ref="P3233:P3234"/>
    <mergeCell ref="J3382:K3382"/>
    <mergeCell ref="P3386:P3387"/>
    <mergeCell ref="P2790:P2791"/>
    <mergeCell ref="P3081:P3082"/>
    <mergeCell ref="P2929:P2930"/>
    <mergeCell ref="J3229:K3229"/>
    <mergeCell ref="J3077:K3077"/>
    <mergeCell ref="P1001:P1002"/>
    <mergeCell ref="P1223:P1224"/>
    <mergeCell ref="F3233:F3234"/>
    <mergeCell ref="C3233:C3234"/>
    <mergeCell ref="D3233:D3234"/>
    <mergeCell ref="E3233:E3234"/>
    <mergeCell ref="E3081:E3082"/>
    <mergeCell ref="F3081:F3082"/>
    <mergeCell ref="E2929:E2930"/>
    <mergeCell ref="E2591:E2592"/>
    <mergeCell ref="F2591:F2592"/>
    <mergeCell ref="D2790:D2791"/>
    <mergeCell ref="D2929:D2930"/>
    <mergeCell ref="C2591:C2592"/>
    <mergeCell ref="J2587:K2587"/>
    <mergeCell ref="C2054:C2055"/>
    <mergeCell ref="D2054:D2055"/>
    <mergeCell ref="E2054:E2055"/>
    <mergeCell ref="F2054:F2055"/>
    <mergeCell ref="P2054:P2055"/>
    <mergeCell ref="C1102:C1103"/>
    <mergeCell ref="D1102:D1103"/>
    <mergeCell ref="P1508:P1509"/>
    <mergeCell ref="P1629:P1630"/>
    <mergeCell ref="P1356:P1357"/>
    <mergeCell ref="P1898:P1899"/>
    <mergeCell ref="P2240:P2241"/>
    <mergeCell ref="D1629:D1630"/>
    <mergeCell ref="C1898:C1899"/>
    <mergeCell ref="C2388:C2389"/>
    <mergeCell ref="C2239:P2239"/>
    <mergeCell ref="C2387:P2387"/>
    <mergeCell ref="D2388:D2389"/>
    <mergeCell ref="D1898:D1899"/>
    <mergeCell ref="C2240:C2241"/>
    <mergeCell ref="D2240:D2241"/>
    <mergeCell ref="E2240:E2241"/>
    <mergeCell ref="F2240:F2241"/>
    <mergeCell ref="J2385:K2385"/>
    <mergeCell ref="P2388:P2389"/>
    <mergeCell ref="C1508:C1509"/>
    <mergeCell ref="E1356:E1357"/>
    <mergeCell ref="D1508:D1509"/>
    <mergeCell ref="E1508:E1509"/>
    <mergeCell ref="J1626:K1626"/>
    <mergeCell ref="J1505:K1505"/>
    <mergeCell ref="F1356:F1357"/>
    <mergeCell ref="E1629:E1630"/>
    <mergeCell ref="F475:F476"/>
    <mergeCell ref="E378:E379"/>
    <mergeCell ref="J1895:K1895"/>
    <mergeCell ref="E2388:E2389"/>
    <mergeCell ref="F2388:F2389"/>
    <mergeCell ref="D1356:D1357"/>
    <mergeCell ref="F1508:F1509"/>
    <mergeCell ref="J1098:K1098"/>
    <mergeCell ref="C1629:C1630"/>
    <mergeCell ref="D1001:D1002"/>
    <mergeCell ref="D1223:D1224"/>
    <mergeCell ref="J1353:K1353"/>
    <mergeCell ref="F1629:F1630"/>
    <mergeCell ref="E1898:E1899"/>
    <mergeCell ref="F1898:F1899"/>
    <mergeCell ref="C1356:C1357"/>
    <mergeCell ref="P475:P476"/>
    <mergeCell ref="C1223:C1224"/>
    <mergeCell ref="C1001:C1002"/>
    <mergeCell ref="E1223:E1224"/>
    <mergeCell ref="J654:K654"/>
    <mergeCell ref="F1102:F1103"/>
    <mergeCell ref="C378:C379"/>
    <mergeCell ref="J1220:K1220"/>
    <mergeCell ref="J996:K996"/>
    <mergeCell ref="F1223:F1224"/>
    <mergeCell ref="C564:C565"/>
    <mergeCell ref="D564:D565"/>
    <mergeCell ref="C658:C659"/>
    <mergeCell ref="D658:D659"/>
    <mergeCell ref="C742:C743"/>
    <mergeCell ref="C904:C905"/>
    <mergeCell ref="D742:D743"/>
    <mergeCell ref="D904:D905"/>
    <mergeCell ref="P1102:P1103"/>
    <mergeCell ref="C475:C476"/>
    <mergeCell ref="D475:D476"/>
    <mergeCell ref="E1102:E1103"/>
    <mergeCell ref="D378:D379"/>
    <mergeCell ref="E475:E476"/>
    <mergeCell ref="M6:M7"/>
    <mergeCell ref="M9:M21"/>
    <mergeCell ref="J116:K116"/>
    <mergeCell ref="F297:F298"/>
    <mergeCell ref="F119:F120"/>
    <mergeCell ref="J205:K205"/>
    <mergeCell ref="F208:F209"/>
    <mergeCell ref="J294:K294"/>
    <mergeCell ref="C118:P118"/>
    <mergeCell ref="C297:C298"/>
    <mergeCell ref="C207:P207"/>
    <mergeCell ref="C119:C120"/>
    <mergeCell ref="C208:C209"/>
    <mergeCell ref="D119:D120"/>
    <mergeCell ref="E208:E209"/>
    <mergeCell ref="D208:D209"/>
    <mergeCell ref="P208:P209"/>
    <mergeCell ref="P297:P298"/>
    <mergeCell ref="D297:D298"/>
    <mergeCell ref="C31:C32"/>
    <mergeCell ref="D31:D32"/>
    <mergeCell ref="E297:E298"/>
    <mergeCell ref="F31:F32"/>
    <mergeCell ref="P31:P32"/>
    <mergeCell ref="E31:E32"/>
    <mergeCell ref="E742:E743"/>
    <mergeCell ref="E1001:E1002"/>
    <mergeCell ref="F658:F659"/>
    <mergeCell ref="P658:P659"/>
    <mergeCell ref="E658:E659"/>
    <mergeCell ref="E564:E565"/>
    <mergeCell ref="F564:F565"/>
    <mergeCell ref="F904:F905"/>
    <mergeCell ref="J561:K561"/>
    <mergeCell ref="J900:K900"/>
    <mergeCell ref="J472:K472"/>
    <mergeCell ref="E904:E905"/>
    <mergeCell ref="F742:F743"/>
    <mergeCell ref="J739:K739"/>
    <mergeCell ref="E119:E120"/>
    <mergeCell ref="P119:P120"/>
    <mergeCell ref="F378:F379"/>
    <mergeCell ref="J375:K375"/>
    <mergeCell ref="P904:P905"/>
    <mergeCell ref="P742:P743"/>
    <mergeCell ref="P564:P565"/>
    <mergeCell ref="F1001:F1002"/>
    <mergeCell ref="P378:P379"/>
  </mergeCells>
  <phoneticPr fontId="0" type="noConversion"/>
  <printOptions horizontalCentered="1"/>
  <pageMargins left="0" right="0" top="0.59055118110236227" bottom="0.39370078740157483" header="0.23622047244094491" footer="0.27559055118110237"/>
  <pageSetup paperSize="9" orientation="portrait" blackAndWhite="1" useFirstPageNumber="1" r:id="rId1"/>
  <headerFooter alignWithMargins="0">
    <oddFooter>&amp;C&amp;A&amp;RPage&amp;P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7"/>
  <dimension ref="A2:BU390"/>
  <sheetViews>
    <sheetView showGridLines="0" showZeros="0" zoomScale="80" zoomScaleNormal="80" workbookViewId="0">
      <pane xSplit="5" ySplit="4" topLeftCell="F290" activePane="bottomRight" state="frozen"/>
      <selection pane="topRight" activeCell="F1" sqref="F1"/>
      <selection pane="bottomLeft" activeCell="A5" sqref="A5"/>
      <selection pane="bottomRight" activeCell="AQ15" sqref="AQ15"/>
    </sheetView>
  </sheetViews>
  <sheetFormatPr defaultColWidth="9.109375" defaultRowHeight="13.8" outlineLevelCol="1"/>
  <cols>
    <col min="1" max="1" width="4.33203125" style="767" customWidth="1"/>
    <col min="2" max="2" width="12.109375" style="767" customWidth="1"/>
    <col min="3" max="3" width="7.109375" style="767" customWidth="1"/>
    <col min="4" max="4" width="45.6640625" style="767" bestFit="1" customWidth="1"/>
    <col min="5" max="5" width="6.44140625" style="767" bestFit="1" customWidth="1"/>
    <col min="6" max="6" width="11.44140625" style="767" customWidth="1"/>
    <col min="7" max="8" width="10.109375" style="767" customWidth="1"/>
    <col min="9" max="22" width="10.109375" style="767" hidden="1" customWidth="1" outlineLevel="1"/>
    <col min="23" max="23" width="12.5546875" style="767" hidden="1" customWidth="1" outlineLevel="1"/>
    <col min="24" max="25" width="10.109375" style="767" hidden="1" customWidth="1" outlineLevel="1"/>
    <col min="26" max="26" width="13.6640625" style="767" hidden="1" customWidth="1" outlineLevel="1"/>
    <col min="27" max="38" width="10.109375" style="767" hidden="1" customWidth="1" outlineLevel="1"/>
    <col min="39" max="39" width="13.5546875" style="770" hidden="1" customWidth="1"/>
    <col min="40" max="52" width="13.5546875" style="771" customWidth="1" outlineLevel="1"/>
    <col min="53" max="70" width="10.109375" style="767" customWidth="1" outlineLevel="1"/>
    <col min="71" max="16384" width="9.109375" style="767"/>
  </cols>
  <sheetData>
    <row r="2" spans="1:70">
      <c r="C2" s="768" t="s">
        <v>4735</v>
      </c>
      <c r="D2" s="768"/>
      <c r="E2" s="768"/>
      <c r="F2" s="768"/>
      <c r="G2" s="769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</row>
    <row r="3" spans="1:70">
      <c r="C3" s="768" t="s">
        <v>4736</v>
      </c>
      <c r="D3" s="768"/>
      <c r="E3" s="768"/>
      <c r="F3" s="768"/>
      <c r="G3" s="769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</row>
    <row r="4" spans="1:70" s="763" customFormat="1" ht="34.5" customHeight="1">
      <c r="B4" s="764" t="s">
        <v>3721</v>
      </c>
      <c r="C4" s="765" t="s">
        <v>1014</v>
      </c>
      <c r="D4" s="765" t="s">
        <v>4732</v>
      </c>
      <c r="E4" s="765" t="s">
        <v>3365</v>
      </c>
      <c r="F4" s="765" t="s">
        <v>3699</v>
      </c>
      <c r="G4" s="765" t="s">
        <v>4733</v>
      </c>
      <c r="H4" s="765" t="s">
        <v>4734</v>
      </c>
      <c r="I4" s="765" t="s">
        <v>4731</v>
      </c>
      <c r="J4" s="765" t="s">
        <v>4730</v>
      </c>
      <c r="K4" s="765" t="s">
        <v>4729</v>
      </c>
      <c r="L4" s="765" t="s">
        <v>4728</v>
      </c>
      <c r="M4" s="765" t="s">
        <v>4727</v>
      </c>
      <c r="N4" s="765" t="s">
        <v>4726</v>
      </c>
      <c r="O4" s="765" t="s">
        <v>4725</v>
      </c>
      <c r="P4" s="765" t="s">
        <v>4724</v>
      </c>
      <c r="Q4" s="765" t="s">
        <v>4723</v>
      </c>
      <c r="R4" s="765" t="s">
        <v>4722</v>
      </c>
      <c r="S4" s="765" t="s">
        <v>4721</v>
      </c>
      <c r="T4" s="765" t="s">
        <v>4719</v>
      </c>
      <c r="U4" s="765" t="s">
        <v>4720</v>
      </c>
      <c r="V4" s="765" t="s">
        <v>4715</v>
      </c>
      <c r="W4" s="765" t="s">
        <v>4718</v>
      </c>
      <c r="X4" s="765" t="s">
        <v>4714</v>
      </c>
      <c r="Y4" s="765" t="s">
        <v>4710</v>
      </c>
      <c r="Z4" s="765" t="s">
        <v>4711</v>
      </c>
      <c r="AA4" s="765" t="s">
        <v>4712</v>
      </c>
      <c r="AB4" s="765" t="s">
        <v>4713</v>
      </c>
      <c r="AC4" s="765" t="s">
        <v>4737</v>
      </c>
      <c r="AD4" s="765" t="s">
        <v>1853</v>
      </c>
      <c r="AE4" s="765" t="s">
        <v>4738</v>
      </c>
      <c r="AF4" s="765" t="s">
        <v>751</v>
      </c>
      <c r="AG4" s="765" t="s">
        <v>4739</v>
      </c>
      <c r="AH4" s="765" t="s">
        <v>4745</v>
      </c>
      <c r="AI4" s="765" t="s">
        <v>378</v>
      </c>
      <c r="AJ4" s="765" t="s">
        <v>4740</v>
      </c>
      <c r="AK4" s="765" t="s">
        <v>4741</v>
      </c>
      <c r="AL4" s="765" t="s">
        <v>4742</v>
      </c>
      <c r="AM4" s="766" t="s">
        <v>4744</v>
      </c>
      <c r="AN4" s="765" t="s">
        <v>4731</v>
      </c>
      <c r="AO4" s="765" t="s">
        <v>4730</v>
      </c>
      <c r="AP4" s="765" t="s">
        <v>4729</v>
      </c>
      <c r="AQ4" s="765" t="s">
        <v>4728</v>
      </c>
      <c r="AR4" s="765" t="s">
        <v>4727</v>
      </c>
      <c r="AS4" s="765" t="s">
        <v>4726</v>
      </c>
      <c r="AT4" s="765" t="s">
        <v>4725</v>
      </c>
      <c r="AU4" s="765" t="s">
        <v>4724</v>
      </c>
      <c r="AV4" s="765" t="s">
        <v>4723</v>
      </c>
      <c r="AW4" s="765" t="s">
        <v>4722</v>
      </c>
      <c r="AX4" s="765" t="s">
        <v>4721</v>
      </c>
      <c r="AY4" s="765" t="s">
        <v>4719</v>
      </c>
      <c r="AZ4" s="765" t="s">
        <v>4720</v>
      </c>
      <c r="BA4" s="765" t="s">
        <v>4715</v>
      </c>
      <c r="BB4" s="765" t="s">
        <v>4718</v>
      </c>
      <c r="BC4" s="765" t="s">
        <v>4714</v>
      </c>
      <c r="BD4" s="765" t="s">
        <v>4710</v>
      </c>
      <c r="BE4" s="765" t="s">
        <v>4711</v>
      </c>
      <c r="BF4" s="765" t="s">
        <v>4712</v>
      </c>
      <c r="BG4" s="765" t="s">
        <v>4713</v>
      </c>
      <c r="BH4" s="765" t="s">
        <v>4737</v>
      </c>
      <c r="BI4" s="765" t="s">
        <v>1853</v>
      </c>
      <c r="BJ4" s="765" t="s">
        <v>4738</v>
      </c>
      <c r="BK4" s="765" t="s">
        <v>751</v>
      </c>
      <c r="BL4" s="765" t="s">
        <v>4739</v>
      </c>
      <c r="BM4" s="765" t="s">
        <v>3698</v>
      </c>
      <c r="BN4" s="765" t="s">
        <v>378</v>
      </c>
      <c r="BO4" s="765" t="s">
        <v>4740</v>
      </c>
      <c r="BP4" s="765" t="s">
        <v>4741</v>
      </c>
      <c r="BQ4" s="765" t="s">
        <v>4742</v>
      </c>
      <c r="BR4" s="765" t="s">
        <v>4743</v>
      </c>
    </row>
    <row r="5" spans="1:70">
      <c r="A5" s="767" t="s">
        <v>2016</v>
      </c>
      <c r="C5" s="772" t="s">
        <v>341</v>
      </c>
      <c r="D5" s="772" t="s">
        <v>4584</v>
      </c>
      <c r="E5" s="773"/>
      <c r="F5" s="973"/>
      <c r="G5" s="974"/>
      <c r="H5" s="9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5"/>
      <c r="AK5" s="775"/>
      <c r="AL5" s="775"/>
      <c r="AM5" s="776"/>
      <c r="AN5" s="777"/>
      <c r="AO5" s="777"/>
      <c r="AP5" s="777"/>
      <c r="AQ5" s="777"/>
      <c r="AR5" s="777"/>
      <c r="AS5" s="777"/>
      <c r="AT5" s="777"/>
      <c r="AU5" s="777"/>
      <c r="AV5" s="777"/>
      <c r="AW5" s="777"/>
      <c r="AX5" s="777"/>
      <c r="AY5" s="777"/>
      <c r="AZ5" s="777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</row>
    <row r="6" spans="1:70">
      <c r="A6" s="767" t="str">
        <f ca="1">IF(F6&lt;&gt;0,"X","")</f>
        <v/>
      </c>
      <c r="B6" s="767" t="str">
        <f>CT_tram!B34</f>
        <v>TR151</v>
      </c>
      <c r="C6" s="188" t="str">
        <f ca="1">IF(F6=0,"",COUNTIF($F6:$F$6,"&gt;0"))</f>
        <v/>
      </c>
      <c r="D6" s="778" t="str">
        <f>VLOOKUP($B6,dongia1,DG!$C$5,)</f>
        <v>Máy biến áp 12,7/0,22-0,44kV  15kVA</v>
      </c>
      <c r="E6" s="555" t="str">
        <f>VLOOKUP($B6,dongia1,DG!$D$5,)</f>
        <v>máy</v>
      </c>
      <c r="F6" s="779">
        <f ca="1">G6+H6</f>
        <v>0</v>
      </c>
      <c r="G6" s="775">
        <f ca="1">SUM(AC6:AL6)</f>
        <v>0</v>
      </c>
      <c r="H6" s="775">
        <f ca="1">SUMIF(CT_tram!$B$33:$G$3559,kl!B6,CT_tram!$G$33:$G$3559)</f>
        <v>0</v>
      </c>
      <c r="I6" s="775">
        <f ca="1">SUMIF(CT_tram!$B$34:$G$115,$B6,CT_tram!$G$34:$G$115)</f>
        <v>0</v>
      </c>
      <c r="J6" s="775">
        <f ca="1">SUMIF(CT_tram!$B$122:$G$204,$B6,CT_tram!$G$122:$G$204)</f>
        <v>0</v>
      </c>
      <c r="K6" s="775">
        <f ca="1">SUMIF(CT_tram!$B$211:$G$293,$B6,CT_tram!$G$211:$G$293)</f>
        <v>0</v>
      </c>
      <c r="L6" s="775">
        <f ca="1">SUMIF(CT_tram!$B$300:$G$374,$B6,CT_tram!$G$300:$G$374)</f>
        <v>0</v>
      </c>
      <c r="M6" s="775">
        <f ca="1">SUMIF(CT_tram!$B$381:$G$471,$B6,CT_tram!$G$381:$G$471)</f>
        <v>0</v>
      </c>
      <c r="N6" s="775">
        <f ca="1">SUMIF(CT_tram!$B$478:$G$560,$B6,CT_tram!$G$478:$G$560)</f>
        <v>0</v>
      </c>
      <c r="O6" s="775">
        <f ca="1">SUMIF(CT_tram!$B$567:$G$653,$B6,CT_tram!$G$567:$G$653)</f>
        <v>0</v>
      </c>
      <c r="P6" s="775">
        <f ca="1">SUMIF(CT_tram!$B$661:$G$738,$B6,CT_tram!$G$661:$G$738)</f>
        <v>0</v>
      </c>
      <c r="Q6" s="775">
        <f ca="1">SUMIF(CT_tram!$B$745:$G$899,$B6,CT_tram!$G$745:$G$899)</f>
        <v>0</v>
      </c>
      <c r="R6" s="775">
        <f ca="1">SUMIF(CT_tram!$B$907:$G$995,$B6,CT_tram!$G$907:$G$995)</f>
        <v>0</v>
      </c>
      <c r="S6" s="775"/>
      <c r="T6" s="775">
        <f ca="1">SUMIF(CT_tram!$B$1004:$G$1097,B6,CT_tram!$G$1004:$G$1097)</f>
        <v>0</v>
      </c>
      <c r="U6" s="775"/>
      <c r="V6" s="775">
        <f ca="1">SUMIF(CT_tram!$B$1226:$G$1352,kl!B6,CT_tram!$G$1226:$G$1352)</f>
        <v>0</v>
      </c>
      <c r="W6" s="780">
        <f ca="1">SUMIF(CT_tram!$B$1105:$G$1219,kl!B6,CT_tram!$G$1105:$G$1219)</f>
        <v>0</v>
      </c>
      <c r="X6" s="775">
        <f ca="1">SUMIF(CT_tram!$B$1359:$G$1504,kl!B6,CT_tram!$G$1359:$G$1504)</f>
        <v>0</v>
      </c>
      <c r="Y6" s="775">
        <f ca="1">SUMIF(CT_tram!$B$1511:$G$1625,kl!B6,CT_tram!$G$1511:$G$1625)</f>
        <v>0</v>
      </c>
      <c r="Z6" s="775">
        <f ca="1">SUMIF(CT_tram!$B$1632:$G$2211,kl!B6,CT_tram!$G$1632:$G$2211)</f>
        <v>0</v>
      </c>
      <c r="AA6" s="775">
        <f ca="1">SUMIF(CT_tram!$B$2243:$G$2384,kl!B6,CT_tram!$G$2243:$G$2384)</f>
        <v>0</v>
      </c>
      <c r="AB6" s="775">
        <f ca="1">SUMIF(CT_tram!$B$2391:$G$2563,kl!B6,CT_tram!$G$2391:$G$2563)</f>
        <v>0</v>
      </c>
      <c r="AC6" s="775"/>
      <c r="AD6" s="775"/>
      <c r="AE6" s="775"/>
      <c r="AF6" s="775"/>
      <c r="AG6" s="775"/>
      <c r="AH6" s="775"/>
      <c r="AI6" s="775"/>
      <c r="AJ6" s="775"/>
      <c r="AK6" s="775"/>
      <c r="AL6" s="775">
        <f ca="1">SUMIF('Cap ngam'!B$16:G$400,kl!$B6,'Cap ngam'!G$16:G$400)</f>
        <v>0</v>
      </c>
      <c r="AM6" s="776">
        <v>191</v>
      </c>
      <c r="AN6" s="775">
        <f t="shared" ref="AN6:AZ6" ca="1" si="0">I6*$AM6</f>
        <v>0</v>
      </c>
      <c r="AO6" s="775">
        <f t="shared" ca="1" si="0"/>
        <v>0</v>
      </c>
      <c r="AP6" s="775">
        <f t="shared" ca="1" si="0"/>
        <v>0</v>
      </c>
      <c r="AQ6" s="775">
        <f t="shared" ca="1" si="0"/>
        <v>0</v>
      </c>
      <c r="AR6" s="775">
        <f t="shared" ca="1" si="0"/>
        <v>0</v>
      </c>
      <c r="AS6" s="775">
        <f t="shared" ca="1" si="0"/>
        <v>0</v>
      </c>
      <c r="AT6" s="775">
        <f t="shared" ca="1" si="0"/>
        <v>0</v>
      </c>
      <c r="AU6" s="775">
        <f t="shared" ca="1" si="0"/>
        <v>0</v>
      </c>
      <c r="AV6" s="775">
        <f t="shared" ca="1" si="0"/>
        <v>0</v>
      </c>
      <c r="AW6" s="775">
        <f t="shared" ca="1" si="0"/>
        <v>0</v>
      </c>
      <c r="AX6" s="775">
        <f t="shared" si="0"/>
        <v>0</v>
      </c>
      <c r="AY6" s="775">
        <f t="shared" ca="1" si="0"/>
        <v>0</v>
      </c>
      <c r="AZ6" s="775">
        <f t="shared" si="0"/>
        <v>0</v>
      </c>
      <c r="BA6" s="775">
        <f t="shared" ref="BA6:BA73" ca="1" si="1">V6*$AM6</f>
        <v>0</v>
      </c>
      <c r="BB6" s="775">
        <f t="shared" ref="BB6:BB73" ca="1" si="2">W6*$AM6</f>
        <v>0</v>
      </c>
      <c r="BC6" s="775">
        <f t="shared" ref="BC6:BC73" ca="1" si="3">X6*$AM6</f>
        <v>0</v>
      </c>
      <c r="BD6" s="775">
        <f t="shared" ref="BD6:BD73" ca="1" si="4">Y6*$AM6</f>
        <v>0</v>
      </c>
      <c r="BE6" s="775">
        <f t="shared" ref="BE6:BE73" ca="1" si="5">Z6*$AM6</f>
        <v>0</v>
      </c>
      <c r="BF6" s="775">
        <f t="shared" ref="BF6:BF73" ca="1" si="6">AA6*$AM6</f>
        <v>0</v>
      </c>
      <c r="BG6" s="775">
        <f t="shared" ref="BG6:BG73" ca="1" si="7">AB6*$AM6</f>
        <v>0</v>
      </c>
      <c r="BH6" s="775"/>
      <c r="BI6" s="775"/>
      <c r="BJ6" s="775"/>
      <c r="BK6" s="775"/>
      <c r="BL6" s="775"/>
      <c r="BM6" s="775"/>
      <c r="BN6" s="775"/>
      <c r="BO6" s="775">
        <f t="shared" ref="BO6:BO37" si="8">AJ6*$AM6</f>
        <v>0</v>
      </c>
      <c r="BP6" s="775">
        <f t="shared" ref="BP6:BP37" si="9">AK6*$AM6</f>
        <v>0</v>
      </c>
      <c r="BQ6" s="775">
        <f t="shared" ref="BQ6:BQ111" ca="1" si="10">$AL6*$AM6</f>
        <v>0</v>
      </c>
      <c r="BR6" s="775">
        <f t="shared" ref="BR6:BR37" ca="1" si="11">$H6*$AM6</f>
        <v>0</v>
      </c>
    </row>
    <row r="7" spans="1:70">
      <c r="A7" s="767" t="str">
        <f t="shared" ref="A7:A96" ca="1" si="12">IF(F7&lt;&gt;0,"X","")</f>
        <v/>
      </c>
      <c r="B7" s="767" t="str">
        <f>CT_tram!B122</f>
        <v>TR251</v>
      </c>
      <c r="C7" s="188" t="str">
        <f ca="1">IF(F7=0,"",COUNTIF($F$6:$F7,"&gt;0"))</f>
        <v/>
      </c>
      <c r="D7" s="778" t="str">
        <f>VLOOKUP($B7,dongia1,DG!$C$5,)</f>
        <v>Máy biến áp 12,7/0,22-0,44kV  25kVA</v>
      </c>
      <c r="E7" s="555" t="str">
        <f>VLOOKUP($B7,dongia1,DG!$D$5,)</f>
        <v>máy</v>
      </c>
      <c r="F7" s="779">
        <f t="shared" ref="F7:F57" ca="1" si="13">G7+H7</f>
        <v>0</v>
      </c>
      <c r="G7" s="775">
        <f t="shared" ref="G7:G112" ca="1" si="14">SUM(AC7:AL7)</f>
        <v>0</v>
      </c>
      <c r="H7" s="775">
        <f ca="1">SUMIF(CT_tram!$B$33:$G$3559,kl!B7,CT_tram!$G$33:$G$3559)</f>
        <v>0</v>
      </c>
      <c r="I7" s="775">
        <f ca="1">SUMIF(CT_tram!$B$34:$G$115,$B7,CT_tram!$G$34:$G$115)</f>
        <v>0</v>
      </c>
      <c r="J7" s="775">
        <f ca="1">SUMIF(CT_tram!$B$122:$G$204,$B7,CT_tram!$G$122:$G$204)</f>
        <v>0</v>
      </c>
      <c r="K7" s="775">
        <f ca="1">SUMIF(CT_tram!$B$211:$G$293,$B7,CT_tram!$G$211:$G$293)</f>
        <v>0</v>
      </c>
      <c r="L7" s="775">
        <f ca="1">SUMIF(CT_tram!$B$300:$G$374,$B7,CT_tram!$G$300:$G$374)</f>
        <v>0</v>
      </c>
      <c r="M7" s="775">
        <f ca="1">SUMIF(CT_tram!$B$381:$G$471,$B7,CT_tram!$G$381:$G$471)</f>
        <v>0</v>
      </c>
      <c r="N7" s="775">
        <f ca="1">SUMIF(CT_tram!$B$478:$G$560,$B7,CT_tram!$G$478:$G$560)</f>
        <v>0</v>
      </c>
      <c r="O7" s="775">
        <f ca="1">SUMIF(CT_tram!$B$567:$G$653,$B7,CT_tram!$G$567:$G$653)</f>
        <v>0</v>
      </c>
      <c r="P7" s="775">
        <f ca="1">SUMIF(CT_tram!$B$661:$G$738,$B7,CT_tram!$G$661:$G$738)</f>
        <v>0</v>
      </c>
      <c r="Q7" s="775">
        <f ca="1">SUMIF(CT_tram!$B$745:$G$899,$B7,CT_tram!$G$745:$G$899)</f>
        <v>0</v>
      </c>
      <c r="R7" s="775">
        <f ca="1">SUMIF(CT_tram!$B$907:$G$995,$B7,CT_tram!$G$907:$G$995)</f>
        <v>0</v>
      </c>
      <c r="S7" s="775"/>
      <c r="T7" s="775">
        <f ca="1">SUMIF(CT_tram!$B$1004:$G$1097,B7,CT_tram!$G$1004:$G$1097)</f>
        <v>0</v>
      </c>
      <c r="U7" s="775"/>
      <c r="V7" s="775">
        <f ca="1">SUMIF(CT_tram!$B$1226:$G$1352,kl!B7,CT_tram!$G$1226:$G$1352)</f>
        <v>0</v>
      </c>
      <c r="W7" s="780">
        <f ca="1">SUMIF(CT_tram!$B$1105:$G$1219,kl!B7,CT_tram!$G$1105:$G$1219)</f>
        <v>0</v>
      </c>
      <c r="X7" s="775">
        <f ca="1">SUMIF(CT_tram!$B$1359:$G$1504,kl!B7,CT_tram!$G$1359:$G$1504)</f>
        <v>0</v>
      </c>
      <c r="Y7" s="775">
        <f ca="1">SUMIF(CT_tram!$B$1511:$G$1625,kl!B7,CT_tram!$G$1511:$G$1625)</f>
        <v>0</v>
      </c>
      <c r="Z7" s="775">
        <f ca="1">SUMIF(CT_tram!$B$1632:$G$2211,kl!B7,CT_tram!$G$1632:$G$2211)</f>
        <v>0</v>
      </c>
      <c r="AA7" s="775">
        <f ca="1">SUMIF(CT_tram!$B$2243:$G$2384,kl!B7,CT_tram!$G$2243:$G$2384)</f>
        <v>0</v>
      </c>
      <c r="AB7" s="775">
        <f ca="1">SUMIF(CT_tram!$B$2391:$G$2563,kl!B7,CT_tram!$G$2391:$G$2563)</f>
        <v>0</v>
      </c>
      <c r="AC7" s="775"/>
      <c r="AD7" s="775"/>
      <c r="AE7" s="775"/>
      <c r="AF7" s="775"/>
      <c r="AG7" s="775"/>
      <c r="AH7" s="775"/>
      <c r="AI7" s="775"/>
      <c r="AJ7" s="775"/>
      <c r="AK7" s="775"/>
      <c r="AL7" s="775">
        <f ca="1">SUMIF('Cap ngam'!B$16:G$400,kl!$B7,'Cap ngam'!G$16:G$400)</f>
        <v>0</v>
      </c>
      <c r="AM7" s="776">
        <v>240</v>
      </c>
      <c r="AN7" s="775">
        <f t="shared" ref="AN7:AN74" ca="1" si="15">I7*$AM7</f>
        <v>0</v>
      </c>
      <c r="AO7" s="775">
        <f t="shared" ref="AO7:AO74" ca="1" si="16">J7*$AM7</f>
        <v>0</v>
      </c>
      <c r="AP7" s="775">
        <f t="shared" ref="AP7:AP74" ca="1" si="17">K7*$AM7</f>
        <v>0</v>
      </c>
      <c r="AQ7" s="775">
        <f t="shared" ref="AQ7:AQ74" ca="1" si="18">L7*$AM7</f>
        <v>0</v>
      </c>
      <c r="AR7" s="775">
        <f t="shared" ref="AR7:AR74" ca="1" si="19">M7*$AM7</f>
        <v>0</v>
      </c>
      <c r="AS7" s="775">
        <f t="shared" ref="AS7:AS74" ca="1" si="20">N7*$AM7</f>
        <v>0</v>
      </c>
      <c r="AT7" s="775">
        <f t="shared" ref="AT7:AT74" ca="1" si="21">O7*$AM7</f>
        <v>0</v>
      </c>
      <c r="AU7" s="775">
        <f t="shared" ref="AU7:AU74" ca="1" si="22">P7*$AM7</f>
        <v>0</v>
      </c>
      <c r="AV7" s="775">
        <f t="shared" ref="AV7:AV74" ca="1" si="23">Q7*$AM7</f>
        <v>0</v>
      </c>
      <c r="AW7" s="775">
        <f t="shared" ref="AW7:AW74" ca="1" si="24">R7*$AM7</f>
        <v>0</v>
      </c>
      <c r="AX7" s="775">
        <f t="shared" ref="AX7:AX74" si="25">S7*$AM7</f>
        <v>0</v>
      </c>
      <c r="AY7" s="775">
        <f t="shared" ref="AY7:AY74" ca="1" si="26">T7*$AM7</f>
        <v>0</v>
      </c>
      <c r="AZ7" s="775">
        <f t="shared" ref="AZ7:AZ74" si="27">U7*$AM7</f>
        <v>0</v>
      </c>
      <c r="BA7" s="775">
        <f t="shared" ca="1" si="1"/>
        <v>0</v>
      </c>
      <c r="BB7" s="775">
        <f t="shared" ca="1" si="2"/>
        <v>0</v>
      </c>
      <c r="BC7" s="775">
        <f t="shared" ca="1" si="3"/>
        <v>0</v>
      </c>
      <c r="BD7" s="775">
        <f t="shared" ca="1" si="4"/>
        <v>0</v>
      </c>
      <c r="BE7" s="775">
        <f t="shared" ca="1" si="5"/>
        <v>0</v>
      </c>
      <c r="BF7" s="775">
        <f t="shared" ca="1" si="6"/>
        <v>0</v>
      </c>
      <c r="BG7" s="775">
        <f t="shared" ca="1" si="7"/>
        <v>0</v>
      </c>
      <c r="BH7" s="775"/>
      <c r="BI7" s="775"/>
      <c r="BJ7" s="775"/>
      <c r="BK7" s="775"/>
      <c r="BL7" s="775"/>
      <c r="BM7" s="775"/>
      <c r="BN7" s="775"/>
      <c r="BO7" s="775">
        <f t="shared" si="8"/>
        <v>0</v>
      </c>
      <c r="BP7" s="775">
        <f t="shared" si="9"/>
        <v>0</v>
      </c>
      <c r="BQ7" s="775">
        <f t="shared" ca="1" si="10"/>
        <v>0</v>
      </c>
      <c r="BR7" s="775">
        <f t="shared" ca="1" si="11"/>
        <v>0</v>
      </c>
    </row>
    <row r="8" spans="1:70">
      <c r="A8" s="767" t="str">
        <f t="shared" ca="1" si="12"/>
        <v/>
      </c>
      <c r="B8" s="767" t="str">
        <f>CT_tram!B211</f>
        <v>TR371</v>
      </c>
      <c r="C8" s="188" t="str">
        <f ca="1">IF(F8=0,"",COUNTIF($F$6:$F8,"&gt;0"))</f>
        <v/>
      </c>
      <c r="D8" s="778" t="str">
        <f>VLOOKUP($B8,dongia1,DG!$C$5,)</f>
        <v>Máy biến áp 12,7/0,22-0,44kV  37,5kVA</v>
      </c>
      <c r="E8" s="555" t="str">
        <f>VLOOKUP($B8,dongia1,DG!$D$5,)</f>
        <v>máy</v>
      </c>
      <c r="F8" s="779">
        <f t="shared" ca="1" si="13"/>
        <v>0</v>
      </c>
      <c r="G8" s="775">
        <f t="shared" ca="1" si="14"/>
        <v>0</v>
      </c>
      <c r="H8" s="775">
        <f ca="1">SUMIF(CT_tram!$B$33:$G$3559,kl!B8,CT_tram!$G$33:$G$3559)</f>
        <v>0</v>
      </c>
      <c r="I8" s="775">
        <f ca="1">SUMIF(CT_tram!$B$34:$G$115,$B8,CT_tram!$G$34:$G$115)</f>
        <v>0</v>
      </c>
      <c r="J8" s="775">
        <f ca="1">SUMIF(CT_tram!$B$122:$G$204,$B8,CT_tram!$G$122:$G$204)</f>
        <v>0</v>
      </c>
      <c r="K8" s="775">
        <f ca="1">SUMIF(CT_tram!$B$211:$G$293,$B8,CT_tram!$G$211:$G$293)</f>
        <v>0</v>
      </c>
      <c r="L8" s="775">
        <f ca="1">SUMIF(CT_tram!$B$300:$G$374,$B8,CT_tram!$G$300:$G$374)</f>
        <v>0</v>
      </c>
      <c r="M8" s="775">
        <f ca="1">SUMIF(CT_tram!$B$381:$G$471,$B8,CT_tram!$G$381:$G$471)</f>
        <v>0</v>
      </c>
      <c r="N8" s="775">
        <f ca="1">SUMIF(CT_tram!$B$478:$G$560,$B8,CT_tram!$G$478:$G$560)</f>
        <v>0</v>
      </c>
      <c r="O8" s="775">
        <f ca="1">SUMIF(CT_tram!$B$567:$G$653,$B8,CT_tram!$G$567:$G$653)</f>
        <v>0</v>
      </c>
      <c r="P8" s="775">
        <f ca="1">SUMIF(CT_tram!$B$661:$G$738,$B8,CT_tram!$G$661:$G$738)</f>
        <v>0</v>
      </c>
      <c r="Q8" s="775">
        <f ca="1">SUMIF(CT_tram!$B$745:$G$899,$B8,CT_tram!$G$745:$G$899)</f>
        <v>0</v>
      </c>
      <c r="R8" s="775">
        <f ca="1">SUMIF(CT_tram!$B$907:$G$995,$B8,CT_tram!$G$907:$G$995)</f>
        <v>0</v>
      </c>
      <c r="S8" s="775"/>
      <c r="T8" s="775">
        <f ca="1">SUMIF(CT_tram!$B$1004:$G$1097,B8,CT_tram!$G$1004:$G$1097)</f>
        <v>0</v>
      </c>
      <c r="U8" s="775"/>
      <c r="V8" s="775">
        <f ca="1">SUMIF(CT_tram!$B$1226:$G$1352,kl!B8,CT_tram!$G$1226:$G$1352)</f>
        <v>0</v>
      </c>
      <c r="W8" s="780">
        <f ca="1">SUMIF(CT_tram!$B$1105:$G$1219,kl!B8,CT_tram!$G$1105:$G$1219)</f>
        <v>0</v>
      </c>
      <c r="X8" s="775">
        <f ca="1">SUMIF(CT_tram!$B$1359:$G$1504,kl!B8,CT_tram!$G$1359:$G$1504)</f>
        <v>0</v>
      </c>
      <c r="Y8" s="775">
        <f ca="1">SUMIF(CT_tram!$B$1511:$G$1625,kl!B8,CT_tram!$G$1511:$G$1625)</f>
        <v>0</v>
      </c>
      <c r="Z8" s="775">
        <f ca="1">SUMIF(CT_tram!$B$1632:$G$2211,kl!B8,CT_tram!$G$1632:$G$2211)</f>
        <v>0</v>
      </c>
      <c r="AA8" s="775">
        <f ca="1">SUMIF(CT_tram!$B$2243:$G$2384,kl!B8,CT_tram!$G$2243:$G$2384)</f>
        <v>0</v>
      </c>
      <c r="AB8" s="775">
        <f ca="1">SUMIF(CT_tram!$B$2391:$G$2563,kl!B8,CT_tram!$G$2391:$G$2563)</f>
        <v>0</v>
      </c>
      <c r="AC8" s="775"/>
      <c r="AD8" s="775"/>
      <c r="AE8" s="775"/>
      <c r="AF8" s="775"/>
      <c r="AG8" s="775"/>
      <c r="AH8" s="775"/>
      <c r="AI8" s="775"/>
      <c r="AJ8" s="775"/>
      <c r="AK8" s="775"/>
      <c r="AL8" s="775">
        <f ca="1">SUMIF('Cap ngam'!B$16:G$400,kl!$B8,'Cap ngam'!G$16:G$400)</f>
        <v>0</v>
      </c>
      <c r="AM8" s="776">
        <v>320</v>
      </c>
      <c r="AN8" s="775">
        <f t="shared" ca="1" si="15"/>
        <v>0</v>
      </c>
      <c r="AO8" s="775">
        <f t="shared" ca="1" si="16"/>
        <v>0</v>
      </c>
      <c r="AP8" s="775">
        <f t="shared" ca="1" si="17"/>
        <v>0</v>
      </c>
      <c r="AQ8" s="775">
        <f t="shared" ca="1" si="18"/>
        <v>0</v>
      </c>
      <c r="AR8" s="775">
        <f t="shared" ca="1" si="19"/>
        <v>0</v>
      </c>
      <c r="AS8" s="775">
        <f t="shared" ca="1" si="20"/>
        <v>0</v>
      </c>
      <c r="AT8" s="775">
        <f t="shared" ca="1" si="21"/>
        <v>0</v>
      </c>
      <c r="AU8" s="775">
        <f t="shared" ca="1" si="22"/>
        <v>0</v>
      </c>
      <c r="AV8" s="775">
        <f t="shared" ca="1" si="23"/>
        <v>0</v>
      </c>
      <c r="AW8" s="775">
        <f t="shared" ca="1" si="24"/>
        <v>0</v>
      </c>
      <c r="AX8" s="775">
        <f t="shared" si="25"/>
        <v>0</v>
      </c>
      <c r="AY8" s="775">
        <f t="shared" ca="1" si="26"/>
        <v>0</v>
      </c>
      <c r="AZ8" s="775">
        <f t="shared" si="27"/>
        <v>0</v>
      </c>
      <c r="BA8" s="775">
        <f t="shared" ca="1" si="1"/>
        <v>0</v>
      </c>
      <c r="BB8" s="775">
        <f t="shared" ca="1" si="2"/>
        <v>0</v>
      </c>
      <c r="BC8" s="775">
        <f t="shared" ca="1" si="3"/>
        <v>0</v>
      </c>
      <c r="BD8" s="775">
        <f t="shared" ca="1" si="4"/>
        <v>0</v>
      </c>
      <c r="BE8" s="775">
        <f t="shared" ca="1" si="5"/>
        <v>0</v>
      </c>
      <c r="BF8" s="775">
        <f t="shared" ca="1" si="6"/>
        <v>0</v>
      </c>
      <c r="BG8" s="775">
        <f t="shared" ca="1" si="7"/>
        <v>0</v>
      </c>
      <c r="BH8" s="775"/>
      <c r="BI8" s="775"/>
      <c r="BJ8" s="775"/>
      <c r="BK8" s="775"/>
      <c r="BL8" s="775"/>
      <c r="BM8" s="775"/>
      <c r="BN8" s="775"/>
      <c r="BO8" s="775">
        <f t="shared" si="8"/>
        <v>0</v>
      </c>
      <c r="BP8" s="775">
        <f t="shared" si="9"/>
        <v>0</v>
      </c>
      <c r="BQ8" s="775">
        <f t="shared" ca="1" si="10"/>
        <v>0</v>
      </c>
      <c r="BR8" s="775">
        <f t="shared" ca="1" si="11"/>
        <v>0</v>
      </c>
    </row>
    <row r="9" spans="1:70">
      <c r="A9" s="767" t="str">
        <f t="shared" ca="1" si="12"/>
        <v/>
      </c>
      <c r="B9" s="767" t="str">
        <f>CT_tram!B300</f>
        <v>TR501</v>
      </c>
      <c r="C9" s="188" t="str">
        <f ca="1">IF(F9=0,"",COUNTIF($F$6:$F9,"&gt;0"))</f>
        <v/>
      </c>
      <c r="D9" s="778" t="str">
        <f>VLOOKUP($B9,dongia1,DG!$C$5,)</f>
        <v>Máy biến áp 12,7/0,22-0,44kV  50kVA</v>
      </c>
      <c r="E9" s="555" t="str">
        <f>VLOOKUP($B9,dongia1,DG!$D$5,)</f>
        <v>máy</v>
      </c>
      <c r="F9" s="975">
        <f t="shared" ca="1" si="13"/>
        <v>0</v>
      </c>
      <c r="G9" s="976">
        <f t="shared" ca="1" si="14"/>
        <v>0</v>
      </c>
      <c r="H9" s="976">
        <f ca="1">SUMIF(CT_tram!$B$33:$G$3559,kl!B9,CT_tram!$G$33:$G$3559)</f>
        <v>0</v>
      </c>
      <c r="I9" s="775">
        <f ca="1">SUMIF(CT_tram!$B$34:$G$115,$B9,CT_tram!$G$34:$G$115)</f>
        <v>0</v>
      </c>
      <c r="J9" s="775">
        <f ca="1">SUMIF(CT_tram!$B$122:$G$204,$B9,CT_tram!$G$122:$G$204)</f>
        <v>0</v>
      </c>
      <c r="K9" s="775">
        <f ca="1">SUMIF(CT_tram!$B$211:$G$293,$B9,CT_tram!$G$211:$G$293)</f>
        <v>0</v>
      </c>
      <c r="L9" s="775">
        <f ca="1">SUMIF(CT_tram!$B$300:$G$374,$B9,CT_tram!$G$300:$G$374)</f>
        <v>0</v>
      </c>
      <c r="M9" s="775">
        <f ca="1">SUMIF(CT_tram!$B$381:$G$471,$B9,CT_tram!$G$381:$G$471)</f>
        <v>0</v>
      </c>
      <c r="N9" s="775">
        <f ca="1">SUMIF(CT_tram!$B$478:$G$560,$B9,CT_tram!$G$478:$G$560)</f>
        <v>0</v>
      </c>
      <c r="O9" s="775">
        <f ca="1">SUMIF(CT_tram!$B$567:$G$653,$B9,CT_tram!$G$567:$G$653)</f>
        <v>0</v>
      </c>
      <c r="P9" s="775">
        <f ca="1">SUMIF(CT_tram!$B$661:$G$738,$B9,CT_tram!$G$661:$G$738)</f>
        <v>0</v>
      </c>
      <c r="Q9" s="775">
        <f ca="1">SUMIF(CT_tram!$B$745:$G$899,$B9,CT_tram!$G$745:$G$899)</f>
        <v>0</v>
      </c>
      <c r="R9" s="775">
        <f ca="1">SUMIF(CT_tram!$B$907:$G$995,$B9,CT_tram!$G$907:$G$995)</f>
        <v>0</v>
      </c>
      <c r="S9" s="775"/>
      <c r="T9" s="775">
        <f ca="1">SUMIF(CT_tram!$B$1004:$G$1097,B9,CT_tram!$G$1004:$G$1097)</f>
        <v>0</v>
      </c>
      <c r="U9" s="775"/>
      <c r="V9" s="775">
        <f ca="1">SUMIF(CT_tram!$B$1226:$G$1352,kl!B9,CT_tram!$G$1226:$G$1352)</f>
        <v>0</v>
      </c>
      <c r="W9" s="780">
        <f ca="1">SUMIF(CT_tram!$B$1105:$G$1219,kl!B9,CT_tram!$G$1105:$G$1219)</f>
        <v>0</v>
      </c>
      <c r="X9" s="775">
        <f ca="1">SUMIF(CT_tram!$B$1359:$G$1504,kl!B9,CT_tram!$G$1359:$G$1504)</f>
        <v>0</v>
      </c>
      <c r="Y9" s="775">
        <f ca="1">SUMIF(CT_tram!$B$1511:$G$1625,kl!B9,CT_tram!$G$1511:$G$1625)</f>
        <v>0</v>
      </c>
      <c r="Z9" s="775">
        <f ca="1">SUMIF(CT_tram!$B$1632:$G$2211,kl!B9,CT_tram!$G$1632:$G$2211)</f>
        <v>0</v>
      </c>
      <c r="AA9" s="775">
        <f ca="1">SUMIF(CT_tram!$B$2243:$G$2384,kl!B9,CT_tram!$G$2243:$G$2384)</f>
        <v>0</v>
      </c>
      <c r="AB9" s="775">
        <f ca="1">SUMIF(CT_tram!$B$2391:$G$2563,kl!B9,CT_tram!$G$2391:$G$2563)</f>
        <v>0</v>
      </c>
      <c r="AC9" s="775"/>
      <c r="AD9" s="775"/>
      <c r="AE9" s="775"/>
      <c r="AF9" s="775"/>
      <c r="AG9" s="775"/>
      <c r="AH9" s="775"/>
      <c r="AI9" s="775"/>
      <c r="AJ9" s="775"/>
      <c r="AK9" s="775"/>
      <c r="AL9" s="775">
        <f ca="1">SUMIF('Cap ngam'!B$16:G$400,kl!$B9,'Cap ngam'!G$16:G$400)</f>
        <v>0</v>
      </c>
      <c r="AM9" s="776">
        <v>350</v>
      </c>
      <c r="AN9" s="775">
        <f t="shared" ca="1" si="15"/>
        <v>0</v>
      </c>
      <c r="AO9" s="775">
        <f t="shared" ca="1" si="16"/>
        <v>0</v>
      </c>
      <c r="AP9" s="775">
        <f t="shared" ca="1" si="17"/>
        <v>0</v>
      </c>
      <c r="AQ9" s="775">
        <f t="shared" ca="1" si="18"/>
        <v>0</v>
      </c>
      <c r="AR9" s="775">
        <f t="shared" ca="1" si="19"/>
        <v>0</v>
      </c>
      <c r="AS9" s="775">
        <f t="shared" ca="1" si="20"/>
        <v>0</v>
      </c>
      <c r="AT9" s="775">
        <f t="shared" ca="1" si="21"/>
        <v>0</v>
      </c>
      <c r="AU9" s="775">
        <f t="shared" ca="1" si="22"/>
        <v>0</v>
      </c>
      <c r="AV9" s="775">
        <f t="shared" ca="1" si="23"/>
        <v>0</v>
      </c>
      <c r="AW9" s="775">
        <f t="shared" ca="1" si="24"/>
        <v>0</v>
      </c>
      <c r="AX9" s="775">
        <f t="shared" si="25"/>
        <v>0</v>
      </c>
      <c r="AY9" s="775">
        <f t="shared" ca="1" si="26"/>
        <v>0</v>
      </c>
      <c r="AZ9" s="775">
        <f t="shared" si="27"/>
        <v>0</v>
      </c>
      <c r="BA9" s="775">
        <f t="shared" ca="1" si="1"/>
        <v>0</v>
      </c>
      <c r="BB9" s="775">
        <f t="shared" ca="1" si="2"/>
        <v>0</v>
      </c>
      <c r="BC9" s="775">
        <f t="shared" ca="1" si="3"/>
        <v>0</v>
      </c>
      <c r="BD9" s="775">
        <f t="shared" ca="1" si="4"/>
        <v>0</v>
      </c>
      <c r="BE9" s="775">
        <f t="shared" ca="1" si="5"/>
        <v>0</v>
      </c>
      <c r="BF9" s="775">
        <f t="shared" ca="1" si="6"/>
        <v>0</v>
      </c>
      <c r="BG9" s="775">
        <f t="shared" ca="1" si="7"/>
        <v>0</v>
      </c>
      <c r="BH9" s="775"/>
      <c r="BI9" s="775"/>
      <c r="BJ9" s="775"/>
      <c r="BK9" s="775"/>
      <c r="BL9" s="775"/>
      <c r="BM9" s="775"/>
      <c r="BN9" s="775"/>
      <c r="BO9" s="775">
        <f t="shared" si="8"/>
        <v>0</v>
      </c>
      <c r="BP9" s="775">
        <f t="shared" si="9"/>
        <v>0</v>
      </c>
      <c r="BQ9" s="775">
        <f t="shared" ca="1" si="10"/>
        <v>0</v>
      </c>
      <c r="BR9" s="775">
        <f t="shared" ca="1" si="11"/>
        <v>0</v>
      </c>
    </row>
    <row r="10" spans="1:70">
      <c r="A10" s="767" t="str">
        <f ca="1">IF(F10&lt;&gt;0,"X","")</f>
        <v/>
      </c>
      <c r="B10" s="767" t="str">
        <f>CT_tram!B381</f>
        <v>TR751</v>
      </c>
      <c r="C10" s="188" t="str">
        <f ca="1">IF(F10=0,"",COUNTIF($F$6:$F10,"&gt;0"))</f>
        <v/>
      </c>
      <c r="D10" s="778" t="str">
        <f>VLOOKUP($B10,dongia1,DG!$C$5,)</f>
        <v>Máy biến áp 12,7/0,22-0,44kV  75kVA</v>
      </c>
      <c r="E10" s="555" t="str">
        <f>VLOOKUP($B10,dongia1,DG!$D$5,)</f>
        <v>máy</v>
      </c>
      <c r="F10" s="975">
        <f ca="1">G10+H10</f>
        <v>0</v>
      </c>
      <c r="G10" s="976">
        <f ca="1">SUM(AC10:AL10)</f>
        <v>0</v>
      </c>
      <c r="H10" s="976">
        <f ca="1">SUMIF(CT_tram!$B$33:$G$3559,kl!B10,CT_tram!$G$33:$G$3559)</f>
        <v>0</v>
      </c>
      <c r="I10" s="775">
        <f ca="1">SUMIF(CT_tram!$B$34:$G$115,$B10,CT_tram!$G$34:$G$115)</f>
        <v>0</v>
      </c>
      <c r="J10" s="775">
        <f ca="1">SUMIF(CT_tram!$B$122:$G$204,$B10,CT_tram!$G$122:$G$204)</f>
        <v>0</v>
      </c>
      <c r="K10" s="775">
        <f ca="1">SUMIF(CT_tram!$B$211:$G$293,$B10,CT_tram!$G$211:$G$293)</f>
        <v>0</v>
      </c>
      <c r="L10" s="775">
        <f ca="1">SUMIF(CT_tram!$B$300:$G$374,$B10,CT_tram!$G$300:$G$374)</f>
        <v>0</v>
      </c>
      <c r="M10" s="775">
        <f ca="1">SUMIF(CT_tram!$B$381:$G$471,$B10,CT_tram!$G$381:$G$471)</f>
        <v>0</v>
      </c>
      <c r="N10" s="775">
        <f ca="1">SUMIF(CT_tram!$B$478:$G$560,$B10,CT_tram!$G$478:$G$560)</f>
        <v>0</v>
      </c>
      <c r="O10" s="775">
        <f ca="1">SUMIF(CT_tram!$B$567:$G$653,$B10,CT_tram!$G$567:$G$653)</f>
        <v>0</v>
      </c>
      <c r="P10" s="775">
        <f ca="1">SUMIF(CT_tram!$B$661:$G$738,$B10,CT_tram!$G$661:$G$738)</f>
        <v>0</v>
      </c>
      <c r="Q10" s="775">
        <f ca="1">SUMIF(CT_tram!$B$745:$G$899,$B10,CT_tram!$G$745:$G$899)</f>
        <v>0</v>
      </c>
      <c r="R10" s="775">
        <f ca="1">SUMIF(CT_tram!$B$907:$G$995,$B10,CT_tram!$G$907:$G$995)</f>
        <v>0</v>
      </c>
      <c r="S10" s="775"/>
      <c r="T10" s="775">
        <f ca="1">SUMIF(CT_tram!$B$1004:$G$1097,B10,CT_tram!$G$1004:$G$1097)</f>
        <v>0</v>
      </c>
      <c r="U10" s="775"/>
      <c r="V10" s="775">
        <f ca="1">SUMIF(CT_tram!$B$1226:$G$1352,kl!B10,CT_tram!$G$1226:$G$1352)</f>
        <v>0</v>
      </c>
      <c r="W10" s="780">
        <f ca="1">SUMIF(CT_tram!$B$1105:$G$1219,kl!B10,CT_tram!$G$1105:$G$1219)</f>
        <v>0</v>
      </c>
      <c r="X10" s="775">
        <f ca="1">SUMIF(CT_tram!$B$1359:$G$1504,kl!B10,CT_tram!$G$1359:$G$1504)</f>
        <v>0</v>
      </c>
      <c r="Y10" s="775">
        <f ca="1">SUMIF(CT_tram!$B$1511:$G$1625,kl!B10,CT_tram!$G$1511:$G$1625)</f>
        <v>0</v>
      </c>
      <c r="Z10" s="775">
        <f ca="1">SUMIF(CT_tram!$B$1632:$G$2211,kl!B10,CT_tram!$G$1632:$G$2211)</f>
        <v>0</v>
      </c>
      <c r="AA10" s="775">
        <f ca="1">SUMIF(CT_tram!$B$2243:$G$2384,kl!B10,CT_tram!$G$2243:$G$2384)</f>
        <v>0</v>
      </c>
      <c r="AB10" s="775">
        <f ca="1">SUMIF(CT_tram!$B$2391:$G$2563,kl!B10,CT_tram!$G$2391:$G$2563)</f>
        <v>0</v>
      </c>
      <c r="AC10" s="775"/>
      <c r="AD10" s="775"/>
      <c r="AE10" s="775"/>
      <c r="AF10" s="775"/>
      <c r="AG10" s="775"/>
      <c r="AH10" s="775"/>
      <c r="AI10" s="775"/>
      <c r="AJ10" s="775"/>
      <c r="AK10" s="775"/>
      <c r="AL10" s="775">
        <f ca="1">SUMIF('Cap ngam'!B$16:G$400,kl!$B10,'Cap ngam'!G$16:G$400)</f>
        <v>0</v>
      </c>
      <c r="AM10" s="776">
        <v>500</v>
      </c>
      <c r="AN10" s="775">
        <f t="shared" ca="1" si="15"/>
        <v>0</v>
      </c>
      <c r="AO10" s="775">
        <f t="shared" ca="1" si="16"/>
        <v>0</v>
      </c>
      <c r="AP10" s="775">
        <f t="shared" ca="1" si="17"/>
        <v>0</v>
      </c>
      <c r="AQ10" s="775">
        <f t="shared" ca="1" si="18"/>
        <v>0</v>
      </c>
      <c r="AR10" s="775">
        <f t="shared" ca="1" si="19"/>
        <v>0</v>
      </c>
      <c r="AS10" s="775">
        <f t="shared" ca="1" si="20"/>
        <v>0</v>
      </c>
      <c r="AT10" s="775">
        <f t="shared" ca="1" si="21"/>
        <v>0</v>
      </c>
      <c r="AU10" s="775">
        <f t="shared" ca="1" si="22"/>
        <v>0</v>
      </c>
      <c r="AV10" s="775">
        <f t="shared" ca="1" si="23"/>
        <v>0</v>
      </c>
      <c r="AW10" s="775">
        <f t="shared" ca="1" si="24"/>
        <v>0</v>
      </c>
      <c r="AX10" s="775">
        <f t="shared" si="25"/>
        <v>0</v>
      </c>
      <c r="AY10" s="775">
        <f t="shared" ca="1" si="26"/>
        <v>0</v>
      </c>
      <c r="AZ10" s="775">
        <f t="shared" si="27"/>
        <v>0</v>
      </c>
      <c r="BA10" s="775">
        <f t="shared" ca="1" si="1"/>
        <v>0</v>
      </c>
      <c r="BB10" s="775">
        <f t="shared" ca="1" si="2"/>
        <v>0</v>
      </c>
      <c r="BC10" s="775">
        <f t="shared" ca="1" si="3"/>
        <v>0</v>
      </c>
      <c r="BD10" s="775">
        <f t="shared" ca="1" si="4"/>
        <v>0</v>
      </c>
      <c r="BE10" s="775">
        <f t="shared" ca="1" si="5"/>
        <v>0</v>
      </c>
      <c r="BF10" s="775">
        <f t="shared" ca="1" si="6"/>
        <v>0</v>
      </c>
      <c r="BG10" s="775">
        <f t="shared" ca="1" si="7"/>
        <v>0</v>
      </c>
      <c r="BH10" s="775"/>
      <c r="BI10" s="775"/>
      <c r="BJ10" s="775"/>
      <c r="BK10" s="775"/>
      <c r="BL10" s="775"/>
      <c r="BM10" s="775"/>
      <c r="BN10" s="775"/>
      <c r="BO10" s="775">
        <f t="shared" si="8"/>
        <v>0</v>
      </c>
      <c r="BP10" s="775">
        <f t="shared" si="9"/>
        <v>0</v>
      </c>
      <c r="BQ10" s="775">
        <f t="shared" ca="1" si="10"/>
        <v>0</v>
      </c>
      <c r="BR10" s="775">
        <f t="shared" ca="1" si="11"/>
        <v>0</v>
      </c>
    </row>
    <row r="11" spans="1:70">
      <c r="A11" s="767" t="str">
        <f ca="1">IF(F11&lt;&gt;0,"X","")</f>
        <v/>
      </c>
      <c r="B11" s="767" t="str">
        <f>CT_tram!B478</f>
        <v>T1001</v>
      </c>
      <c r="C11" s="188" t="str">
        <f ca="1">IF(F11=0,"",COUNTIF($F$6:$F11,"&gt;0"))</f>
        <v/>
      </c>
      <c r="D11" s="778" t="str">
        <f>VLOOKUP($B11,dongia1,DG!$C$5,)</f>
        <v>Máy biến áp 12,7/0,22-0,44kV  100kVA</v>
      </c>
      <c r="E11" s="555" t="str">
        <f>VLOOKUP($B11,dongia1,DG!$D$5,)</f>
        <v>máy</v>
      </c>
      <c r="F11" s="975">
        <f ca="1">G11+H11</f>
        <v>0</v>
      </c>
      <c r="G11" s="976">
        <f ca="1">SUM(AC11:AL11)</f>
        <v>0</v>
      </c>
      <c r="H11" s="976">
        <f ca="1">SUMIF(CT_tram!$B$33:$G$3559,kl!B11,CT_tram!$G$33:$G$3559)</f>
        <v>0</v>
      </c>
      <c r="I11" s="775">
        <f ca="1">SUMIF(CT_tram!$B$34:$G$115,$B11,CT_tram!$G$34:$G$115)</f>
        <v>0</v>
      </c>
      <c r="J11" s="775">
        <f ca="1">SUMIF(CT_tram!$B$122:$G$204,$B11,CT_tram!$G$122:$G$204)</f>
        <v>0</v>
      </c>
      <c r="K11" s="775">
        <f ca="1">SUMIF(CT_tram!$B$211:$G$293,$B11,CT_tram!$G$211:$G$293)</f>
        <v>0</v>
      </c>
      <c r="L11" s="775">
        <f ca="1">SUMIF(CT_tram!$B$300:$G$374,$B11,CT_tram!$G$300:$G$374)</f>
        <v>0</v>
      </c>
      <c r="M11" s="775">
        <f ca="1">SUMIF(CT_tram!$B$381:$G$471,$B11,CT_tram!$G$381:$G$471)</f>
        <v>0</v>
      </c>
      <c r="N11" s="775">
        <f ca="1">SUMIF(CT_tram!$B$478:$G$560,$B11,CT_tram!$G$478:$G$560)</f>
        <v>0</v>
      </c>
      <c r="O11" s="775">
        <f ca="1">SUMIF(CT_tram!$B$567:$G$653,$B11,CT_tram!$G$567:$G$653)</f>
        <v>0</v>
      </c>
      <c r="P11" s="775">
        <f ca="1">SUMIF(CT_tram!$B$661:$G$738,$B11,CT_tram!$G$661:$G$738)</f>
        <v>0</v>
      </c>
      <c r="Q11" s="775">
        <f ca="1">SUMIF(CT_tram!$B$745:$G$899,$B11,CT_tram!$G$745:$G$899)</f>
        <v>0</v>
      </c>
      <c r="R11" s="775">
        <f ca="1">SUMIF(CT_tram!$B$907:$G$995,$B11,CT_tram!$G$907:$G$995)</f>
        <v>0</v>
      </c>
      <c r="S11" s="775"/>
      <c r="T11" s="775">
        <f ca="1">SUMIF(CT_tram!$B$1004:$G$1097,B11,CT_tram!$G$1004:$G$1097)</f>
        <v>0</v>
      </c>
      <c r="U11" s="775"/>
      <c r="V11" s="775">
        <f ca="1">SUMIF(CT_tram!$B$1226:$G$1352,kl!B11,CT_tram!$G$1226:$G$1352)</f>
        <v>0</v>
      </c>
      <c r="W11" s="780">
        <f ca="1">SUMIF(CT_tram!$B$1105:$G$1219,kl!B11,CT_tram!$G$1105:$G$1219)</f>
        <v>0</v>
      </c>
      <c r="X11" s="775">
        <f ca="1">SUMIF(CT_tram!$B$1359:$G$1504,kl!B11,CT_tram!$G$1359:$G$1504)</f>
        <v>0</v>
      </c>
      <c r="Y11" s="775">
        <f ca="1">SUMIF(CT_tram!$B$1511:$G$1625,kl!B11,CT_tram!$G$1511:$G$1625)</f>
        <v>0</v>
      </c>
      <c r="Z11" s="775">
        <f ca="1">SUMIF(CT_tram!$B$1632:$G$2211,kl!B11,CT_tram!$G$1632:$G$2211)</f>
        <v>0</v>
      </c>
      <c r="AA11" s="775">
        <f ca="1">SUMIF(CT_tram!$B$2243:$G$2384,kl!B11,CT_tram!$G$2243:$G$2384)</f>
        <v>0</v>
      </c>
      <c r="AB11" s="775">
        <f ca="1">SUMIF(CT_tram!$B$2391:$G$2563,kl!B11,CT_tram!$G$2391:$G$2563)</f>
        <v>0</v>
      </c>
      <c r="AC11" s="775"/>
      <c r="AD11" s="775"/>
      <c r="AE11" s="775"/>
      <c r="AF11" s="775"/>
      <c r="AG11" s="775"/>
      <c r="AH11" s="775"/>
      <c r="AI11" s="775"/>
      <c r="AJ11" s="775"/>
      <c r="AK11" s="775"/>
      <c r="AL11" s="775">
        <f ca="1">SUMIF('Cap ngam'!B$16:G$400,kl!$B11,'Cap ngam'!G$16:G$400)</f>
        <v>0</v>
      </c>
      <c r="AM11" s="776">
        <v>715</v>
      </c>
      <c r="AN11" s="775">
        <f t="shared" ca="1" si="15"/>
        <v>0</v>
      </c>
      <c r="AO11" s="775">
        <f t="shared" ca="1" si="16"/>
        <v>0</v>
      </c>
      <c r="AP11" s="775">
        <f t="shared" ca="1" si="17"/>
        <v>0</v>
      </c>
      <c r="AQ11" s="775">
        <f t="shared" ca="1" si="18"/>
        <v>0</v>
      </c>
      <c r="AR11" s="775">
        <f t="shared" ca="1" si="19"/>
        <v>0</v>
      </c>
      <c r="AS11" s="775">
        <f t="shared" ca="1" si="20"/>
        <v>0</v>
      </c>
      <c r="AT11" s="775">
        <f t="shared" ca="1" si="21"/>
        <v>0</v>
      </c>
      <c r="AU11" s="775">
        <f t="shared" ca="1" si="22"/>
        <v>0</v>
      </c>
      <c r="AV11" s="775">
        <f t="shared" ca="1" si="23"/>
        <v>0</v>
      </c>
      <c r="AW11" s="775">
        <f t="shared" ca="1" si="24"/>
        <v>0</v>
      </c>
      <c r="AX11" s="775">
        <f t="shared" si="25"/>
        <v>0</v>
      </c>
      <c r="AY11" s="775">
        <f t="shared" ca="1" si="26"/>
        <v>0</v>
      </c>
      <c r="AZ11" s="775">
        <f t="shared" si="27"/>
        <v>0</v>
      </c>
      <c r="BA11" s="775">
        <f t="shared" ca="1" si="1"/>
        <v>0</v>
      </c>
      <c r="BB11" s="775">
        <f t="shared" ca="1" si="2"/>
        <v>0</v>
      </c>
      <c r="BC11" s="775">
        <f t="shared" ca="1" si="3"/>
        <v>0</v>
      </c>
      <c r="BD11" s="775">
        <f t="shared" ca="1" si="4"/>
        <v>0</v>
      </c>
      <c r="BE11" s="775">
        <f t="shared" ca="1" si="5"/>
        <v>0</v>
      </c>
      <c r="BF11" s="775">
        <f t="shared" ca="1" si="6"/>
        <v>0</v>
      </c>
      <c r="BG11" s="775">
        <f t="shared" ca="1" si="7"/>
        <v>0</v>
      </c>
      <c r="BH11" s="775"/>
      <c r="BI11" s="775"/>
      <c r="BJ11" s="775"/>
      <c r="BK11" s="775"/>
      <c r="BL11" s="775"/>
      <c r="BM11" s="775"/>
      <c r="BN11" s="775"/>
      <c r="BO11" s="775">
        <f t="shared" si="8"/>
        <v>0</v>
      </c>
      <c r="BP11" s="775">
        <f t="shared" si="9"/>
        <v>0</v>
      </c>
      <c r="BQ11" s="775">
        <f t="shared" ca="1" si="10"/>
        <v>0</v>
      </c>
      <c r="BR11" s="775">
        <f t="shared" ca="1" si="11"/>
        <v>0</v>
      </c>
    </row>
    <row r="12" spans="1:70" s="771" customFormat="1">
      <c r="A12" s="771" t="str">
        <f t="shared" ref="A12:A19" ca="1" si="28">IF(F12&lt;&gt;0,"X","")</f>
        <v/>
      </c>
      <c r="B12" s="771" t="str">
        <f>CT_tram!B1226</f>
        <v>tr1601</v>
      </c>
      <c r="C12" s="781" t="str">
        <f ca="1">IF(F12=0,"",COUNTIF($F$6:$F12,"&gt;0"))</f>
        <v/>
      </c>
      <c r="D12" s="782" t="str">
        <f>VLOOKUP($B12,dongia1,DG!$C$5,)</f>
        <v>Máy biến áp 22/0,4kV  160kVA</v>
      </c>
      <c r="E12" s="783" t="str">
        <f>VLOOKUP($B12,dongia1,DG!$D$5,)</f>
        <v>máy</v>
      </c>
      <c r="F12" s="977">
        <f t="shared" ref="F12:F19" ca="1" si="29">G12+H12</f>
        <v>0</v>
      </c>
      <c r="G12" s="777">
        <f t="shared" ref="G12:G25" ca="1" si="30">SUM(AC12:AL12)</f>
        <v>0</v>
      </c>
      <c r="H12" s="777">
        <f ca="1">SUMIF(CT_tram!$B$33:$G$3559,kl!B12,CT_tram!$G$33:$G$3559)</f>
        <v>0</v>
      </c>
      <c r="I12" s="775">
        <f ca="1">SUMIF(CT_tram!$B$34:$G$115,$B12,CT_tram!$G$34:$G$115)</f>
        <v>0</v>
      </c>
      <c r="J12" s="775">
        <f ca="1">SUMIF(CT_tram!$B$122:$G$204,$B12,CT_tram!$G$122:$G$204)</f>
        <v>0</v>
      </c>
      <c r="K12" s="775">
        <f ca="1">SUMIF(CT_tram!$B$211:$G$293,$B12,CT_tram!$G$211:$G$293)</f>
        <v>0</v>
      </c>
      <c r="L12" s="775">
        <f ca="1">SUMIF(CT_tram!$B$300:$G$374,$B12,CT_tram!$G$300:$G$374)</f>
        <v>0</v>
      </c>
      <c r="M12" s="775">
        <f ca="1">SUMIF(CT_tram!$B$381:$G$471,$B12,CT_tram!$G$381:$G$471)</f>
        <v>0</v>
      </c>
      <c r="N12" s="775">
        <f ca="1">SUMIF(CT_tram!$B$478:$G$560,$B12,CT_tram!$G$478:$G$560)</f>
        <v>0</v>
      </c>
      <c r="O12" s="775">
        <f ca="1">SUMIF(CT_tram!$B$567:$G$653,$B12,CT_tram!$G$567:$G$653)</f>
        <v>0</v>
      </c>
      <c r="P12" s="775">
        <f ca="1">SUMIF(CT_tram!$B$661:$G$738,$B12,CT_tram!$G$661:$G$738)</f>
        <v>0</v>
      </c>
      <c r="Q12" s="775">
        <f ca="1">SUMIF(CT_tram!$B$745:$G$899,$B12,CT_tram!$G$745:$G$899)</f>
        <v>0</v>
      </c>
      <c r="R12" s="775">
        <f ca="1">SUMIF(CT_tram!$B$907:$G$995,$B12,CT_tram!$G$907:$G$995)</f>
        <v>0</v>
      </c>
      <c r="S12" s="775"/>
      <c r="T12" s="775">
        <f ca="1">SUMIF(CT_tram!$B$1004:$G$1097,B12,CT_tram!$G$1004:$G$1097)</f>
        <v>0</v>
      </c>
      <c r="U12" s="775"/>
      <c r="V12" s="780">
        <f ca="1">SUMIF(CT_tram!$B$1226:$G$1352,kl!B12,CT_tram!$G$1226:$G$1352)</f>
        <v>0</v>
      </c>
      <c r="W12" s="780">
        <f ca="1">SUMIF(CT_tram!$B$1105:$G$1219,kl!B12,CT_tram!$G$1105:$G$1219)</f>
        <v>0</v>
      </c>
      <c r="X12" s="780">
        <f ca="1">SUMIF(CT_tram!$B$1359:$G$1504,kl!B12,CT_tram!$G$1359:$G$1504)</f>
        <v>0</v>
      </c>
      <c r="Y12" s="780">
        <f ca="1">SUMIF(CT_tram!$B$1511:$G$1625,kl!B12,CT_tram!$G$1511:$G$1625)</f>
        <v>0</v>
      </c>
      <c r="Z12" s="775">
        <f ca="1">SUMIF(CT_tram!$B$1632:$G$2211,kl!B12,CT_tram!$G$1632:$G$2211)</f>
        <v>0</v>
      </c>
      <c r="AA12" s="780">
        <f ca="1">SUMIF(CT_tram!$B$2243:$G$2384,kl!B12,CT_tram!$G$2243:$G$2384)</f>
        <v>0</v>
      </c>
      <c r="AB12" s="780">
        <f ca="1">SUMIF(CT_tram!$B$2391:$G$2563,kl!B12,CT_tram!$G$2391:$G$2563)</f>
        <v>0</v>
      </c>
      <c r="AC12" s="780"/>
      <c r="AD12" s="780"/>
      <c r="AE12" s="780"/>
      <c r="AF12" s="780"/>
      <c r="AG12" s="780"/>
      <c r="AH12" s="780"/>
      <c r="AI12" s="780"/>
      <c r="AJ12" s="780"/>
      <c r="AK12" s="780"/>
      <c r="AL12" s="780">
        <f ca="1">SUMIF('Cap ngam'!B$16:G$400,kl!$B12,'Cap ngam'!G$16:G$400)</f>
        <v>0</v>
      </c>
      <c r="AM12" s="776">
        <v>939</v>
      </c>
      <c r="AN12" s="775">
        <f t="shared" ca="1" si="15"/>
        <v>0</v>
      </c>
      <c r="AO12" s="775">
        <f t="shared" ca="1" si="16"/>
        <v>0</v>
      </c>
      <c r="AP12" s="775">
        <f t="shared" ca="1" si="17"/>
        <v>0</v>
      </c>
      <c r="AQ12" s="775">
        <f t="shared" ca="1" si="18"/>
        <v>0</v>
      </c>
      <c r="AR12" s="775">
        <f t="shared" ca="1" si="19"/>
        <v>0</v>
      </c>
      <c r="AS12" s="775">
        <f t="shared" ca="1" si="20"/>
        <v>0</v>
      </c>
      <c r="AT12" s="775">
        <f t="shared" ca="1" si="21"/>
        <v>0</v>
      </c>
      <c r="AU12" s="775">
        <f t="shared" ca="1" si="22"/>
        <v>0</v>
      </c>
      <c r="AV12" s="775">
        <f t="shared" ca="1" si="23"/>
        <v>0</v>
      </c>
      <c r="AW12" s="775">
        <f t="shared" ca="1" si="24"/>
        <v>0</v>
      </c>
      <c r="AX12" s="775">
        <f t="shared" si="25"/>
        <v>0</v>
      </c>
      <c r="AY12" s="775">
        <f t="shared" ca="1" si="26"/>
        <v>0</v>
      </c>
      <c r="AZ12" s="775">
        <f t="shared" si="27"/>
        <v>0</v>
      </c>
      <c r="BA12" s="775">
        <f t="shared" ca="1" si="1"/>
        <v>0</v>
      </c>
      <c r="BB12" s="775">
        <f t="shared" ca="1" si="2"/>
        <v>0</v>
      </c>
      <c r="BC12" s="775">
        <f t="shared" ca="1" si="3"/>
        <v>0</v>
      </c>
      <c r="BD12" s="775">
        <f t="shared" ca="1" si="4"/>
        <v>0</v>
      </c>
      <c r="BE12" s="775">
        <f t="shared" ca="1" si="5"/>
        <v>0</v>
      </c>
      <c r="BF12" s="775">
        <f t="shared" ca="1" si="6"/>
        <v>0</v>
      </c>
      <c r="BG12" s="775">
        <f t="shared" ca="1" si="7"/>
        <v>0</v>
      </c>
      <c r="BH12" s="780"/>
      <c r="BI12" s="780"/>
      <c r="BJ12" s="780"/>
      <c r="BK12" s="780"/>
      <c r="BL12" s="780"/>
      <c r="BM12" s="780"/>
      <c r="BN12" s="780"/>
      <c r="BO12" s="780">
        <f t="shared" si="8"/>
        <v>0</v>
      </c>
      <c r="BP12" s="780">
        <f t="shared" si="9"/>
        <v>0</v>
      </c>
      <c r="BQ12" s="780">
        <f t="shared" ca="1" si="10"/>
        <v>0</v>
      </c>
      <c r="BR12" s="780">
        <f t="shared" ca="1" si="11"/>
        <v>0</v>
      </c>
    </row>
    <row r="13" spans="1:70" s="771" customFormat="1">
      <c r="A13" s="771" t="str">
        <f ca="1">IF(F13&lt;&gt;0,"X","")</f>
        <v/>
      </c>
      <c r="B13" s="771" t="str">
        <f>CT_tram!B1105</f>
        <v>tr1801</v>
      </c>
      <c r="C13" s="781" t="str">
        <f ca="1">IF(F13=0,"",COUNTIF($F$6:$F13,"&gt;0"))</f>
        <v/>
      </c>
      <c r="D13" s="782" t="str">
        <f>VLOOKUP($B13,dongia1,DG!$C$5,)</f>
        <v>Máy biến áp 22/0,4kV  180kVA</v>
      </c>
      <c r="E13" s="783" t="str">
        <f>VLOOKUP($B13,dongia1,DG!$D$5,)</f>
        <v>máy</v>
      </c>
      <c r="F13" s="784">
        <f ca="1">G13+H13</f>
        <v>0</v>
      </c>
      <c r="G13" s="780">
        <f ca="1">SUM(AC13:AL13)</f>
        <v>0</v>
      </c>
      <c r="H13" s="780">
        <f ca="1">SUMIF(CT_tram!$B$33:$G$3559,kl!B13,CT_tram!$G$33:$G$3559)</f>
        <v>0</v>
      </c>
      <c r="I13" s="775">
        <f ca="1">SUMIF(CT_tram!$B$34:$G$115,$B13,CT_tram!$G$34:$G$115)</f>
        <v>0</v>
      </c>
      <c r="J13" s="775">
        <f ca="1">SUMIF(CT_tram!$B$122:$G$204,$B13,CT_tram!$G$122:$G$204)</f>
        <v>0</v>
      </c>
      <c r="K13" s="775">
        <f ca="1">SUMIF(CT_tram!$B$211:$G$293,$B13,CT_tram!$G$211:$G$293)</f>
        <v>0</v>
      </c>
      <c r="L13" s="775">
        <f ca="1">SUMIF(CT_tram!$B$300:$G$374,$B13,CT_tram!$G$300:$G$374)</f>
        <v>0</v>
      </c>
      <c r="M13" s="775">
        <f ca="1">SUMIF(CT_tram!$B$381:$G$471,$B13,CT_tram!$G$381:$G$471)</f>
        <v>0</v>
      </c>
      <c r="N13" s="775">
        <f ca="1">SUMIF(CT_tram!$B$478:$G$560,$B13,CT_tram!$G$478:$G$560)</f>
        <v>0</v>
      </c>
      <c r="O13" s="775">
        <f ca="1">SUMIF(CT_tram!$B$567:$G$653,$B13,CT_tram!$G$567:$G$653)</f>
        <v>0</v>
      </c>
      <c r="P13" s="775">
        <f ca="1">SUMIF(CT_tram!$B$661:$G$738,$B13,CT_tram!$G$661:$G$738)</f>
        <v>0</v>
      </c>
      <c r="Q13" s="775">
        <f ca="1">SUMIF(CT_tram!$B$745:$G$899,$B13,CT_tram!$G$745:$G$899)</f>
        <v>0</v>
      </c>
      <c r="R13" s="775">
        <f ca="1">SUMIF(CT_tram!$B$907:$G$995,$B13,CT_tram!$G$907:$G$995)</f>
        <v>0</v>
      </c>
      <c r="S13" s="775"/>
      <c r="T13" s="775">
        <f ca="1">SUMIF(CT_tram!$B$1004:$G$1097,B13,CT_tram!$G$1004:$G$1097)</f>
        <v>0</v>
      </c>
      <c r="U13" s="775"/>
      <c r="V13" s="780">
        <f ca="1">SUMIF(CT_tram!$B$1226:$G$1352,kl!B13,CT_tram!$G$1226:$G$1352)</f>
        <v>0</v>
      </c>
      <c r="W13" s="780">
        <f ca="1">SUMIF(CT_tram!$B$1105:$G$1219,kl!B13,CT_tram!$G$1105:$G$1219)</f>
        <v>0</v>
      </c>
      <c r="X13" s="780">
        <f ca="1">SUMIF(CT_tram!$B$1359:$G$1504,kl!B13,CT_tram!$G$1359:$G$1504)</f>
        <v>0</v>
      </c>
      <c r="Y13" s="780">
        <f ca="1">SUMIF(CT_tram!$B$1511:$G$1625,kl!B13,CT_tram!$G$1511:$G$1625)</f>
        <v>0</v>
      </c>
      <c r="Z13" s="775">
        <f ca="1">SUMIF(CT_tram!$B$1632:$G$2211,kl!B13,CT_tram!$G$1632:$G$2211)</f>
        <v>0</v>
      </c>
      <c r="AA13" s="780">
        <f ca="1">SUMIF(CT_tram!$B$2243:$G$2384,kl!B13,CT_tram!$G$2243:$G$2384)</f>
        <v>0</v>
      </c>
      <c r="AB13" s="780">
        <f ca="1">SUMIF(CT_tram!$B$2391:$G$2563,kl!B13,CT_tram!$G$2391:$G$2563)</f>
        <v>0</v>
      </c>
      <c r="AC13" s="780"/>
      <c r="AD13" s="780"/>
      <c r="AE13" s="780"/>
      <c r="AF13" s="780"/>
      <c r="AG13" s="780"/>
      <c r="AH13" s="780"/>
      <c r="AI13" s="780"/>
      <c r="AJ13" s="780"/>
      <c r="AK13" s="780"/>
      <c r="AL13" s="780">
        <f ca="1">SUMIF('Cap ngam'!B$16:G$400,kl!$B13,'Cap ngam'!G$16:G$400)</f>
        <v>0</v>
      </c>
      <c r="AM13" s="776">
        <v>939</v>
      </c>
      <c r="AN13" s="775">
        <f t="shared" ca="1" si="15"/>
        <v>0</v>
      </c>
      <c r="AO13" s="775">
        <f t="shared" ca="1" si="16"/>
        <v>0</v>
      </c>
      <c r="AP13" s="775">
        <f t="shared" ca="1" si="17"/>
        <v>0</v>
      </c>
      <c r="AQ13" s="775">
        <f t="shared" ca="1" si="18"/>
        <v>0</v>
      </c>
      <c r="AR13" s="775">
        <f t="shared" ca="1" si="19"/>
        <v>0</v>
      </c>
      <c r="AS13" s="775">
        <f t="shared" ca="1" si="20"/>
        <v>0</v>
      </c>
      <c r="AT13" s="775">
        <f t="shared" ca="1" si="21"/>
        <v>0</v>
      </c>
      <c r="AU13" s="775">
        <f t="shared" ca="1" si="22"/>
        <v>0</v>
      </c>
      <c r="AV13" s="775">
        <f t="shared" ca="1" si="23"/>
        <v>0</v>
      </c>
      <c r="AW13" s="775">
        <f t="shared" ca="1" si="24"/>
        <v>0</v>
      </c>
      <c r="AX13" s="775">
        <f t="shared" si="25"/>
        <v>0</v>
      </c>
      <c r="AY13" s="775">
        <f t="shared" ca="1" si="26"/>
        <v>0</v>
      </c>
      <c r="AZ13" s="775">
        <f t="shared" si="27"/>
        <v>0</v>
      </c>
      <c r="BA13" s="775">
        <f t="shared" ca="1" si="1"/>
        <v>0</v>
      </c>
      <c r="BB13" s="775">
        <f t="shared" ca="1" si="2"/>
        <v>0</v>
      </c>
      <c r="BC13" s="775">
        <f t="shared" ca="1" si="3"/>
        <v>0</v>
      </c>
      <c r="BD13" s="775">
        <f t="shared" ca="1" si="4"/>
        <v>0</v>
      </c>
      <c r="BE13" s="775">
        <f t="shared" ca="1" si="5"/>
        <v>0</v>
      </c>
      <c r="BF13" s="775">
        <f t="shared" ca="1" si="6"/>
        <v>0</v>
      </c>
      <c r="BG13" s="775">
        <f t="shared" ca="1" si="7"/>
        <v>0</v>
      </c>
      <c r="BH13" s="780"/>
      <c r="BI13" s="780"/>
      <c r="BJ13" s="780"/>
      <c r="BK13" s="780"/>
      <c r="BL13" s="780"/>
      <c r="BM13" s="780"/>
      <c r="BN13" s="780"/>
      <c r="BO13" s="780">
        <f t="shared" si="8"/>
        <v>0</v>
      </c>
      <c r="BP13" s="780">
        <f t="shared" si="9"/>
        <v>0</v>
      </c>
      <c r="BQ13" s="780">
        <f t="shared" ca="1" si="10"/>
        <v>0</v>
      </c>
      <c r="BR13" s="780">
        <f t="shared" ca="1" si="11"/>
        <v>0</v>
      </c>
    </row>
    <row r="14" spans="1:70" s="771" customFormat="1">
      <c r="A14" s="771" t="str">
        <f t="shared" ca="1" si="28"/>
        <v/>
      </c>
      <c r="B14" s="771" t="str">
        <f>CT_tram!B1359</f>
        <v>tr2501</v>
      </c>
      <c r="C14" s="781" t="str">
        <f ca="1">IF(F14=0,"",COUNTIF($F$6:$F14,"&gt;0"))</f>
        <v/>
      </c>
      <c r="D14" s="782" t="str">
        <f>VLOOKUP($B14,dongia1,DG!$C$5,)</f>
        <v>Máy biến áp 22/0,4kV- 250kVA</v>
      </c>
      <c r="E14" s="783" t="str">
        <f>VLOOKUP($B14,dongia1,DG!$D$5,)</f>
        <v>máy</v>
      </c>
      <c r="F14" s="977">
        <f t="shared" ca="1" si="29"/>
        <v>0</v>
      </c>
      <c r="G14" s="777">
        <f ca="1">SUM(AC14:AL14)</f>
        <v>0</v>
      </c>
      <c r="H14" s="777">
        <f ca="1">SUMIF(CT_tram!$B$33:$G$3559,kl!B14,CT_tram!$G$33:$G$3559)</f>
        <v>0</v>
      </c>
      <c r="I14" s="775">
        <f ca="1">SUMIF(CT_tram!$B$34:$G$115,$B14,CT_tram!$G$34:$G$115)</f>
        <v>0</v>
      </c>
      <c r="J14" s="775">
        <f ca="1">SUMIF(CT_tram!$B$122:$G$204,$B14,CT_tram!$G$122:$G$204)</f>
        <v>0</v>
      </c>
      <c r="K14" s="775">
        <f ca="1">SUMIF(CT_tram!$B$211:$G$293,$B14,CT_tram!$G$211:$G$293)</f>
        <v>0</v>
      </c>
      <c r="L14" s="775">
        <f ca="1">SUMIF(CT_tram!$B$300:$G$374,$B14,CT_tram!$G$300:$G$374)</f>
        <v>0</v>
      </c>
      <c r="M14" s="775">
        <f ca="1">SUMIF(CT_tram!$B$381:$G$471,$B14,CT_tram!$G$381:$G$471)</f>
        <v>0</v>
      </c>
      <c r="N14" s="775">
        <f ca="1">SUMIF(CT_tram!$B$478:$G$560,$B14,CT_tram!$G$478:$G$560)</f>
        <v>0</v>
      </c>
      <c r="O14" s="775">
        <f ca="1">SUMIF(CT_tram!$B$567:$G$653,$B14,CT_tram!$G$567:$G$653)</f>
        <v>0</v>
      </c>
      <c r="P14" s="775">
        <f ca="1">SUMIF(CT_tram!$B$661:$G$738,$B14,CT_tram!$G$661:$G$738)</f>
        <v>0</v>
      </c>
      <c r="Q14" s="775">
        <f ca="1">SUMIF(CT_tram!$B$745:$G$899,$B14,CT_tram!$G$745:$G$899)</f>
        <v>0</v>
      </c>
      <c r="R14" s="775">
        <f ca="1">SUMIF(CT_tram!$B$907:$G$995,$B14,CT_tram!$G$907:$G$995)</f>
        <v>0</v>
      </c>
      <c r="S14" s="775"/>
      <c r="T14" s="775">
        <f ca="1">SUMIF(CT_tram!$B$1004:$G$1097,B14,CT_tram!$G$1004:$G$1097)</f>
        <v>0</v>
      </c>
      <c r="U14" s="775"/>
      <c r="V14" s="780">
        <f ca="1">SUMIF(CT_tram!$B$1226:$G$1352,kl!B14,CT_tram!$G$1226:$G$1352)</f>
        <v>0</v>
      </c>
      <c r="W14" s="780">
        <f ca="1">SUMIF(CT_tram!$B$1105:$G$1219,kl!B14,CT_tram!$G$1105:$G$1219)</f>
        <v>0</v>
      </c>
      <c r="X14" s="780">
        <f ca="1">SUMIF(CT_tram!$B$1359:$G$1504,kl!B14,CT_tram!$G$1359:$G$1504)</f>
        <v>0</v>
      </c>
      <c r="Y14" s="780">
        <f ca="1">SUMIF(CT_tram!$B$1511:$G$1625,kl!B14,CT_tram!$G$1511:$G$1625)</f>
        <v>0</v>
      </c>
      <c r="Z14" s="775">
        <f ca="1">SUMIF(CT_tram!$B$1632:$G$2211,kl!B14,CT_tram!$G$1632:$G$2211)</f>
        <v>0</v>
      </c>
      <c r="AA14" s="780">
        <f ca="1">SUMIF(CT_tram!$B$2243:$G$2384,kl!B14,CT_tram!$G$2243:$G$2384)</f>
        <v>0</v>
      </c>
      <c r="AB14" s="780">
        <f ca="1">SUMIF(CT_tram!$B$2391:$G$2563,kl!B14,CT_tram!$G$2391:$G$2563)</f>
        <v>0</v>
      </c>
      <c r="AC14" s="780"/>
      <c r="AD14" s="780"/>
      <c r="AE14" s="780"/>
      <c r="AF14" s="780"/>
      <c r="AG14" s="780"/>
      <c r="AH14" s="780"/>
      <c r="AI14" s="780"/>
      <c r="AJ14" s="780"/>
      <c r="AK14" s="780"/>
      <c r="AL14" s="780">
        <f ca="1">SUMIF('Cap ngam'!B$16:G$400,kl!$B14,'Cap ngam'!G$16:G$400)</f>
        <v>0</v>
      </c>
      <c r="AM14" s="776">
        <v>1200</v>
      </c>
      <c r="AN14" s="775">
        <f t="shared" ca="1" si="15"/>
        <v>0</v>
      </c>
      <c r="AO14" s="775">
        <f t="shared" ca="1" si="16"/>
        <v>0</v>
      </c>
      <c r="AP14" s="775">
        <f t="shared" ca="1" si="17"/>
        <v>0</v>
      </c>
      <c r="AQ14" s="775">
        <f t="shared" ca="1" si="18"/>
        <v>0</v>
      </c>
      <c r="AR14" s="775">
        <f t="shared" ca="1" si="19"/>
        <v>0</v>
      </c>
      <c r="AS14" s="775">
        <f t="shared" ca="1" si="20"/>
        <v>0</v>
      </c>
      <c r="AT14" s="775">
        <f t="shared" ca="1" si="21"/>
        <v>0</v>
      </c>
      <c r="AU14" s="775">
        <f t="shared" ca="1" si="22"/>
        <v>0</v>
      </c>
      <c r="AV14" s="775">
        <f t="shared" ca="1" si="23"/>
        <v>0</v>
      </c>
      <c r="AW14" s="775">
        <f t="shared" ca="1" si="24"/>
        <v>0</v>
      </c>
      <c r="AX14" s="775">
        <f t="shared" si="25"/>
        <v>0</v>
      </c>
      <c r="AY14" s="775">
        <f t="shared" ca="1" si="26"/>
        <v>0</v>
      </c>
      <c r="AZ14" s="775">
        <f t="shared" si="27"/>
        <v>0</v>
      </c>
      <c r="BA14" s="775">
        <f t="shared" ca="1" si="1"/>
        <v>0</v>
      </c>
      <c r="BB14" s="775">
        <f t="shared" ca="1" si="2"/>
        <v>0</v>
      </c>
      <c r="BC14" s="775">
        <f t="shared" ca="1" si="3"/>
        <v>0</v>
      </c>
      <c r="BD14" s="775">
        <f t="shared" ca="1" si="4"/>
        <v>0</v>
      </c>
      <c r="BE14" s="775">
        <f t="shared" ca="1" si="5"/>
        <v>0</v>
      </c>
      <c r="BF14" s="775">
        <f t="shared" ca="1" si="6"/>
        <v>0</v>
      </c>
      <c r="BG14" s="775">
        <f t="shared" ca="1" si="7"/>
        <v>0</v>
      </c>
      <c r="BH14" s="780"/>
      <c r="BI14" s="780"/>
      <c r="BJ14" s="780"/>
      <c r="BK14" s="780"/>
      <c r="BL14" s="780"/>
      <c r="BM14" s="780"/>
      <c r="BN14" s="780"/>
      <c r="BO14" s="780">
        <f t="shared" si="8"/>
        <v>0</v>
      </c>
      <c r="BP14" s="780">
        <f t="shared" si="9"/>
        <v>0</v>
      </c>
      <c r="BQ14" s="780">
        <f t="shared" ca="1" si="10"/>
        <v>0</v>
      </c>
      <c r="BR14" s="780">
        <f t="shared" ca="1" si="11"/>
        <v>0</v>
      </c>
    </row>
    <row r="15" spans="1:70" s="771" customFormat="1">
      <c r="A15" s="771" t="str">
        <f t="shared" ca="1" si="28"/>
        <v/>
      </c>
      <c r="B15" s="771" t="s">
        <v>2079</v>
      </c>
      <c r="C15" s="781" t="str">
        <f ca="1">IF(F15=0,"",COUNTIF($F$6:$F15,"&gt;0"))</f>
        <v/>
      </c>
      <c r="D15" s="782" t="str">
        <f>VLOOKUP($B15,dongia1,DG!$C$5,)</f>
        <v>Máy biến áp 22/0,4kV- 320kVA</v>
      </c>
      <c r="E15" s="783" t="str">
        <f>VLOOKUP($B15,dongia1,DG!$D$5,)</f>
        <v>máy</v>
      </c>
      <c r="F15" s="784">
        <f t="shared" ca="1" si="29"/>
        <v>0</v>
      </c>
      <c r="G15" s="780">
        <f ca="1">SUM(AC15:AL15)</f>
        <v>0</v>
      </c>
      <c r="H15" s="780">
        <f ca="1">SUMIF(CT_tram!$B$33:$G$3559,kl!B15,CT_tram!$G$33:$G$3559)</f>
        <v>0</v>
      </c>
      <c r="I15" s="775">
        <f ca="1">SUMIF(CT_tram!$B$34:$G$115,$B15,CT_tram!$G$34:$G$115)</f>
        <v>0</v>
      </c>
      <c r="J15" s="775">
        <f ca="1">SUMIF(CT_tram!$B$122:$G$204,$B15,CT_tram!$G$122:$G$204)</f>
        <v>0</v>
      </c>
      <c r="K15" s="775">
        <f ca="1">SUMIF(CT_tram!$B$211:$G$293,$B15,CT_tram!$G$211:$G$293)</f>
        <v>0</v>
      </c>
      <c r="L15" s="775">
        <f ca="1">SUMIF(CT_tram!$B$300:$G$374,$B15,CT_tram!$G$300:$G$374)</f>
        <v>0</v>
      </c>
      <c r="M15" s="775">
        <f ca="1">SUMIF(CT_tram!$B$381:$G$471,$B15,CT_tram!$G$381:$G$471)</f>
        <v>0</v>
      </c>
      <c r="N15" s="775">
        <f ca="1">SUMIF(CT_tram!$B$478:$G$560,$B15,CT_tram!$G$478:$G$560)</f>
        <v>0</v>
      </c>
      <c r="O15" s="775">
        <f ca="1">SUMIF(CT_tram!$B$567:$G$653,$B15,CT_tram!$G$567:$G$653)</f>
        <v>0</v>
      </c>
      <c r="P15" s="775">
        <f ca="1">SUMIF(CT_tram!$B$661:$G$738,$B15,CT_tram!$G$661:$G$738)</f>
        <v>0</v>
      </c>
      <c r="Q15" s="775">
        <f ca="1">SUMIF(CT_tram!$B$745:$G$899,$B15,CT_tram!$G$745:$G$899)</f>
        <v>0</v>
      </c>
      <c r="R15" s="775">
        <f ca="1">SUMIF(CT_tram!$B$907:$G$995,$B15,CT_tram!$G$907:$G$995)</f>
        <v>0</v>
      </c>
      <c r="S15" s="775"/>
      <c r="T15" s="775">
        <f ca="1">SUMIF(CT_tram!$B$1004:$G$1097,B15,CT_tram!$G$1004:$G$1097)</f>
        <v>0</v>
      </c>
      <c r="U15" s="775"/>
      <c r="V15" s="780">
        <f ca="1">SUMIF(CT_tram!$B$1226:$G$1352,kl!B15,CT_tram!$G$1226:$G$1352)</f>
        <v>0</v>
      </c>
      <c r="W15" s="780">
        <f ca="1">SUMIF(CT_tram!$B$1105:$G$1219,kl!B15,CT_tram!$G$1105:$G$1219)</f>
        <v>0</v>
      </c>
      <c r="X15" s="780">
        <f ca="1">SUMIF(CT_tram!$B$1359:$G$1504,kl!B15,CT_tram!$G$1359:$G$1504)</f>
        <v>0</v>
      </c>
      <c r="Y15" s="780">
        <f ca="1">SUMIF(CT_tram!$B$1511:$G$1625,kl!B15,CT_tram!$G$1511:$G$1625)</f>
        <v>0</v>
      </c>
      <c r="Z15" s="775">
        <f ca="1">SUMIF(CT_tram!$B$1632:$G$2211,kl!B15,CT_tram!$G$1632:$G$2211)</f>
        <v>0</v>
      </c>
      <c r="AA15" s="780">
        <f ca="1">SUMIF(CT_tram!$B$2243:$G$2384,kl!B15,CT_tram!$G$2243:$G$2384)</f>
        <v>0</v>
      </c>
      <c r="AB15" s="780">
        <f ca="1">SUMIF(CT_tram!$B$2391:$G$2563,kl!B15,CT_tram!$G$2391:$G$2563)</f>
        <v>0</v>
      </c>
      <c r="AC15" s="780"/>
      <c r="AD15" s="780"/>
      <c r="AE15" s="780"/>
      <c r="AF15" s="780"/>
      <c r="AG15" s="780"/>
      <c r="AH15" s="780"/>
      <c r="AI15" s="780"/>
      <c r="AJ15" s="780"/>
      <c r="AK15" s="780"/>
      <c r="AL15" s="780">
        <f ca="1">SUMIF('Cap ngam'!B$16:G$400,kl!$B15,'Cap ngam'!G$16:G$400)</f>
        <v>0</v>
      </c>
      <c r="AM15" s="776">
        <v>1380</v>
      </c>
      <c r="AN15" s="775">
        <f t="shared" ca="1" si="15"/>
        <v>0</v>
      </c>
      <c r="AO15" s="775">
        <f t="shared" ca="1" si="16"/>
        <v>0</v>
      </c>
      <c r="AP15" s="775">
        <f t="shared" ca="1" si="17"/>
        <v>0</v>
      </c>
      <c r="AQ15" s="775">
        <f t="shared" ca="1" si="18"/>
        <v>0</v>
      </c>
      <c r="AR15" s="775">
        <f t="shared" ca="1" si="19"/>
        <v>0</v>
      </c>
      <c r="AS15" s="775">
        <f t="shared" ca="1" si="20"/>
        <v>0</v>
      </c>
      <c r="AT15" s="775">
        <f t="shared" ca="1" si="21"/>
        <v>0</v>
      </c>
      <c r="AU15" s="775">
        <f t="shared" ca="1" si="22"/>
        <v>0</v>
      </c>
      <c r="AV15" s="775">
        <f t="shared" ca="1" si="23"/>
        <v>0</v>
      </c>
      <c r="AW15" s="775">
        <f t="shared" ca="1" si="24"/>
        <v>0</v>
      </c>
      <c r="AX15" s="775">
        <f t="shared" si="25"/>
        <v>0</v>
      </c>
      <c r="AY15" s="775">
        <f t="shared" ca="1" si="26"/>
        <v>0</v>
      </c>
      <c r="AZ15" s="775">
        <f t="shared" si="27"/>
        <v>0</v>
      </c>
      <c r="BA15" s="775">
        <f t="shared" ca="1" si="1"/>
        <v>0</v>
      </c>
      <c r="BB15" s="775">
        <f t="shared" ca="1" si="2"/>
        <v>0</v>
      </c>
      <c r="BC15" s="775">
        <f t="shared" ca="1" si="3"/>
        <v>0</v>
      </c>
      <c r="BD15" s="775">
        <f t="shared" ca="1" si="4"/>
        <v>0</v>
      </c>
      <c r="BE15" s="775">
        <f t="shared" ca="1" si="5"/>
        <v>0</v>
      </c>
      <c r="BF15" s="775">
        <f t="shared" ca="1" si="6"/>
        <v>0</v>
      </c>
      <c r="BG15" s="775">
        <f t="shared" ca="1" si="7"/>
        <v>0</v>
      </c>
      <c r="BH15" s="780"/>
      <c r="BI15" s="780"/>
      <c r="BJ15" s="780"/>
      <c r="BK15" s="780"/>
      <c r="BL15" s="780"/>
      <c r="BM15" s="780"/>
      <c r="BN15" s="780"/>
      <c r="BO15" s="780">
        <f t="shared" si="8"/>
        <v>0</v>
      </c>
      <c r="BP15" s="780">
        <f t="shared" si="9"/>
        <v>0</v>
      </c>
      <c r="BQ15" s="780">
        <f t="shared" ca="1" si="10"/>
        <v>0</v>
      </c>
      <c r="BR15" s="780">
        <f t="shared" ca="1" si="11"/>
        <v>0</v>
      </c>
    </row>
    <row r="16" spans="1:70" s="771" customFormat="1">
      <c r="A16" s="771" t="str">
        <f ca="1">IF(F16&lt;&gt;0,"X","")</f>
        <v/>
      </c>
      <c r="B16" s="771" t="str">
        <f>CT_tram!B1632</f>
        <v>TR30001</v>
      </c>
      <c r="C16" s="781" t="str">
        <f ca="1">IF(F16=0,"",COUNTIF($F$6:$F16,"&gt;0"))</f>
        <v/>
      </c>
      <c r="D16" s="782" t="str">
        <f>VLOOKUP($B16,dongia1,DG!$C$5,)</f>
        <v>Máy biến áp 22/0,4kV- 3000kVA</v>
      </c>
      <c r="E16" s="783" t="str">
        <f>VLOOKUP($B16,dongia1,DG!$D$5,)</f>
        <v>máy</v>
      </c>
      <c r="F16" s="784">
        <f ca="1">G16+H16</f>
        <v>0</v>
      </c>
      <c r="G16" s="780">
        <f ca="1">SUM(AC16:AL16)</f>
        <v>0</v>
      </c>
      <c r="H16" s="780">
        <f ca="1">SUMIF(CT_tram!$B$33:$G$3559,kl!B16,CT_tram!$G$33:$G$3559)</f>
        <v>0</v>
      </c>
      <c r="I16" s="775">
        <f ca="1">SUMIF(CT_tram!$B$34:$G$115,$B16,CT_tram!$G$34:$G$115)</f>
        <v>0</v>
      </c>
      <c r="J16" s="775">
        <f ca="1">SUMIF(CT_tram!$B$122:$G$204,$B16,CT_tram!$G$122:$G$204)</f>
        <v>0</v>
      </c>
      <c r="K16" s="775">
        <f ca="1">SUMIF(CT_tram!$B$211:$G$293,$B16,CT_tram!$G$211:$G$293)</f>
        <v>0</v>
      </c>
      <c r="L16" s="775">
        <f ca="1">SUMIF(CT_tram!$B$300:$G$374,$B16,CT_tram!$G$300:$G$374)</f>
        <v>0</v>
      </c>
      <c r="M16" s="775">
        <f ca="1">SUMIF(CT_tram!$B$381:$G$471,$B16,CT_tram!$G$381:$G$471)</f>
        <v>0</v>
      </c>
      <c r="N16" s="775">
        <f ca="1">SUMIF(CT_tram!$B$478:$G$560,$B16,CT_tram!$G$478:$G$560)</f>
        <v>0</v>
      </c>
      <c r="O16" s="775">
        <f ca="1">SUMIF(CT_tram!$B$567:$G$653,$B16,CT_tram!$G$567:$G$653)</f>
        <v>0</v>
      </c>
      <c r="P16" s="775">
        <f ca="1">SUMIF(CT_tram!$B$661:$G$738,$B16,CT_tram!$G$661:$G$738)</f>
        <v>0</v>
      </c>
      <c r="Q16" s="775">
        <f ca="1">SUMIF(CT_tram!$B$745:$G$899,$B16,CT_tram!$G$745:$G$899)</f>
        <v>0</v>
      </c>
      <c r="R16" s="775">
        <f ca="1">SUMIF(CT_tram!$B$907:$G$995,$B16,CT_tram!$G$907:$G$995)</f>
        <v>0</v>
      </c>
      <c r="S16" s="775"/>
      <c r="T16" s="775">
        <f ca="1">SUMIF(CT_tram!$B$1004:$G$1097,B16,CT_tram!$G$1004:$G$1097)</f>
        <v>0</v>
      </c>
      <c r="U16" s="775"/>
      <c r="V16" s="780">
        <f ca="1">SUMIF(CT_tram!$B$1226:$G$1352,kl!B16,CT_tram!$G$1226:$G$1352)</f>
        <v>0</v>
      </c>
      <c r="W16" s="780">
        <f ca="1">SUMIF(CT_tram!$B$1105:$G$1219,kl!B16,CT_tram!$G$1105:$G$1219)</f>
        <v>0</v>
      </c>
      <c r="X16" s="780">
        <f ca="1">SUMIF(CT_tram!$B$1359:$G$1504,kl!B16,CT_tram!$G$1359:$G$1504)</f>
        <v>0</v>
      </c>
      <c r="Y16" s="780">
        <f ca="1">SUMIF(CT_tram!$B$1511:$G$1625,kl!B16,CT_tram!$G$1511:$G$1625)</f>
        <v>0</v>
      </c>
      <c r="Z16" s="775">
        <f ca="1">SUMIF(CT_tram!$B$1632:$G$2211,kl!B16,CT_tram!$G$1632:$G$2211)</f>
        <v>0</v>
      </c>
      <c r="AA16" s="780">
        <f ca="1">SUMIF(CT_tram!$B$2243:$G$2384,kl!B16,CT_tram!$G$2243:$G$2384)</f>
        <v>0</v>
      </c>
      <c r="AB16" s="780">
        <f ca="1">SUMIF(CT_tram!$B$2391:$G$2563,kl!B16,CT_tram!$G$2391:$G$2563)</f>
        <v>0</v>
      </c>
      <c r="AC16" s="780"/>
      <c r="AD16" s="780"/>
      <c r="AE16" s="780"/>
      <c r="AF16" s="780"/>
      <c r="AG16" s="780"/>
      <c r="AH16" s="780"/>
      <c r="AI16" s="780"/>
      <c r="AJ16" s="780"/>
      <c r="AK16" s="780"/>
      <c r="AL16" s="780">
        <f ca="1">SUMIF('Cap ngam'!B$16:G$400,kl!$B16,'Cap ngam'!G$16:G$400)</f>
        <v>0</v>
      </c>
      <c r="AM16" s="776">
        <v>1560</v>
      </c>
      <c r="AN16" s="775">
        <f t="shared" ca="1" si="15"/>
        <v>0</v>
      </c>
      <c r="AO16" s="775">
        <f t="shared" ca="1" si="16"/>
        <v>0</v>
      </c>
      <c r="AP16" s="775">
        <f t="shared" ca="1" si="17"/>
        <v>0</v>
      </c>
      <c r="AQ16" s="775">
        <f t="shared" ca="1" si="18"/>
        <v>0</v>
      </c>
      <c r="AR16" s="775">
        <f t="shared" ca="1" si="19"/>
        <v>0</v>
      </c>
      <c r="AS16" s="775">
        <f t="shared" ca="1" si="20"/>
        <v>0</v>
      </c>
      <c r="AT16" s="775">
        <f t="shared" ca="1" si="21"/>
        <v>0</v>
      </c>
      <c r="AU16" s="775">
        <f t="shared" ca="1" si="22"/>
        <v>0</v>
      </c>
      <c r="AV16" s="775">
        <f t="shared" ca="1" si="23"/>
        <v>0</v>
      </c>
      <c r="AW16" s="775">
        <f t="shared" ca="1" si="24"/>
        <v>0</v>
      </c>
      <c r="AX16" s="775">
        <f t="shared" si="25"/>
        <v>0</v>
      </c>
      <c r="AY16" s="775">
        <f t="shared" ca="1" si="26"/>
        <v>0</v>
      </c>
      <c r="AZ16" s="775">
        <f t="shared" si="27"/>
        <v>0</v>
      </c>
      <c r="BA16" s="775">
        <f t="shared" ca="1" si="1"/>
        <v>0</v>
      </c>
      <c r="BB16" s="775">
        <f t="shared" ca="1" si="2"/>
        <v>0</v>
      </c>
      <c r="BC16" s="775">
        <f t="shared" ca="1" si="3"/>
        <v>0</v>
      </c>
      <c r="BD16" s="775">
        <f t="shared" ca="1" si="4"/>
        <v>0</v>
      </c>
      <c r="BE16" s="775">
        <f t="shared" ca="1" si="5"/>
        <v>0</v>
      </c>
      <c r="BF16" s="775">
        <f t="shared" ca="1" si="6"/>
        <v>0</v>
      </c>
      <c r="BG16" s="775">
        <f t="shared" ca="1" si="7"/>
        <v>0</v>
      </c>
      <c r="BH16" s="780"/>
      <c r="BI16" s="780"/>
      <c r="BJ16" s="780"/>
      <c r="BK16" s="780"/>
      <c r="BL16" s="780"/>
      <c r="BM16" s="780"/>
      <c r="BN16" s="780"/>
      <c r="BO16" s="780">
        <f t="shared" si="8"/>
        <v>0</v>
      </c>
      <c r="BP16" s="780">
        <f t="shared" si="9"/>
        <v>0</v>
      </c>
      <c r="BQ16" s="780">
        <f t="shared" ca="1" si="10"/>
        <v>0</v>
      </c>
      <c r="BR16" s="780">
        <f t="shared" ca="1" si="11"/>
        <v>0</v>
      </c>
    </row>
    <row r="17" spans="1:70" s="771" customFormat="1">
      <c r="A17" s="771" t="str">
        <f t="shared" ca="1" si="28"/>
        <v/>
      </c>
      <c r="B17" s="771" t="str">
        <f>CT_tram!B2243</f>
        <v>tr5601</v>
      </c>
      <c r="C17" s="781" t="str">
        <f ca="1">IF(F17=0,"",COUNTIF($F$6:$F17,"&gt;0"))</f>
        <v/>
      </c>
      <c r="D17" s="782" t="str">
        <f>VLOOKUP($B17,dongia1,DG!$C$5,)</f>
        <v>Máy biến áp 22/0,4kV- 560kVA</v>
      </c>
      <c r="E17" s="783" t="str">
        <f>VLOOKUP($B17,dongia1,DG!$D$5,)</f>
        <v>máy</v>
      </c>
      <c r="F17" s="784">
        <f t="shared" ca="1" si="29"/>
        <v>0</v>
      </c>
      <c r="G17" s="780">
        <f t="shared" ca="1" si="30"/>
        <v>0</v>
      </c>
      <c r="H17" s="780">
        <f ca="1">SUMIF(CT_tram!$B$33:$G$3559,kl!B17,CT_tram!$G$33:$G$3559)</f>
        <v>0</v>
      </c>
      <c r="I17" s="775">
        <f ca="1">SUMIF(CT_tram!$B$34:$G$115,$B17,CT_tram!$G$34:$G$115)</f>
        <v>0</v>
      </c>
      <c r="J17" s="775">
        <f ca="1">SUMIF(CT_tram!$B$122:$G$204,$B17,CT_tram!$G$122:$G$204)</f>
        <v>0</v>
      </c>
      <c r="K17" s="775">
        <f ca="1">SUMIF(CT_tram!$B$211:$G$293,$B17,CT_tram!$G$211:$G$293)</f>
        <v>0</v>
      </c>
      <c r="L17" s="775">
        <f ca="1">SUMIF(CT_tram!$B$300:$G$374,$B17,CT_tram!$G$300:$G$374)</f>
        <v>0</v>
      </c>
      <c r="M17" s="775">
        <f ca="1">SUMIF(CT_tram!$B$381:$G$471,$B17,CT_tram!$G$381:$G$471)</f>
        <v>0</v>
      </c>
      <c r="N17" s="775">
        <f ca="1">SUMIF(CT_tram!$B$478:$G$560,$B17,CT_tram!$G$478:$G$560)</f>
        <v>0</v>
      </c>
      <c r="O17" s="775">
        <f ca="1">SUMIF(CT_tram!$B$567:$G$653,$B17,CT_tram!$G$567:$G$653)</f>
        <v>0</v>
      </c>
      <c r="P17" s="775">
        <f ca="1">SUMIF(CT_tram!$B$661:$G$738,$B17,CT_tram!$G$661:$G$738)</f>
        <v>0</v>
      </c>
      <c r="Q17" s="775">
        <f ca="1">SUMIF(CT_tram!$B$745:$G$899,$B17,CT_tram!$G$745:$G$899)</f>
        <v>0</v>
      </c>
      <c r="R17" s="775">
        <f ca="1">SUMIF(CT_tram!$B$907:$G$995,$B17,CT_tram!$G$907:$G$995)</f>
        <v>0</v>
      </c>
      <c r="S17" s="775"/>
      <c r="T17" s="775">
        <f ca="1">SUMIF(CT_tram!$B$1004:$G$1097,B17,CT_tram!$G$1004:$G$1097)</f>
        <v>0</v>
      </c>
      <c r="U17" s="775"/>
      <c r="V17" s="780">
        <f ca="1">SUMIF(CT_tram!$B$1226:$G$1352,kl!B17,CT_tram!$G$1226:$G$1352)</f>
        <v>0</v>
      </c>
      <c r="W17" s="780">
        <f ca="1">SUMIF(CT_tram!$B$1105:$G$1219,kl!B17,CT_tram!$G$1105:$G$1219)</f>
        <v>0</v>
      </c>
      <c r="X17" s="780">
        <f ca="1">SUMIF(CT_tram!$B$1359:$G$1504,kl!B17,CT_tram!$G$1359:$G$1504)</f>
        <v>0</v>
      </c>
      <c r="Y17" s="780">
        <f ca="1">SUMIF(CT_tram!$B$1511:$G$1625,kl!B17,CT_tram!$G$1511:$G$1625)</f>
        <v>0</v>
      </c>
      <c r="Z17" s="775">
        <f ca="1">SUMIF(CT_tram!$B$1632:$G$2211,kl!B17,CT_tram!$G$1632:$G$2211)</f>
        <v>0</v>
      </c>
      <c r="AA17" s="780">
        <f ca="1">SUMIF(CT_tram!$B$2243:$G$2384,kl!B17,CT_tram!$G$2243:$G$2384)</f>
        <v>0</v>
      </c>
      <c r="AB17" s="780">
        <f ca="1">SUMIF(CT_tram!$B$2391:$G$2563,kl!B17,CT_tram!$G$2391:$G$2563)</f>
        <v>0</v>
      </c>
      <c r="AC17" s="780"/>
      <c r="AD17" s="780"/>
      <c r="AE17" s="780"/>
      <c r="AF17" s="780"/>
      <c r="AG17" s="780"/>
      <c r="AH17" s="780"/>
      <c r="AI17" s="780"/>
      <c r="AJ17" s="780"/>
      <c r="AK17" s="780"/>
      <c r="AL17" s="780">
        <f ca="1">SUMIF('Cap ngam'!B$16:G$400,kl!$B17,'Cap ngam'!G$16:G$400)</f>
        <v>0</v>
      </c>
      <c r="AM17" s="776">
        <v>2003</v>
      </c>
      <c r="AN17" s="775">
        <f t="shared" ca="1" si="15"/>
        <v>0</v>
      </c>
      <c r="AO17" s="775">
        <f t="shared" ca="1" si="16"/>
        <v>0</v>
      </c>
      <c r="AP17" s="775">
        <f t="shared" ca="1" si="17"/>
        <v>0</v>
      </c>
      <c r="AQ17" s="775">
        <f t="shared" ca="1" si="18"/>
        <v>0</v>
      </c>
      <c r="AR17" s="775">
        <f t="shared" ca="1" si="19"/>
        <v>0</v>
      </c>
      <c r="AS17" s="775">
        <f t="shared" ca="1" si="20"/>
        <v>0</v>
      </c>
      <c r="AT17" s="775">
        <f t="shared" ca="1" si="21"/>
        <v>0</v>
      </c>
      <c r="AU17" s="775">
        <f t="shared" ca="1" si="22"/>
        <v>0</v>
      </c>
      <c r="AV17" s="775">
        <f t="shared" ca="1" si="23"/>
        <v>0</v>
      </c>
      <c r="AW17" s="775">
        <f t="shared" ca="1" si="24"/>
        <v>0</v>
      </c>
      <c r="AX17" s="775">
        <f t="shared" si="25"/>
        <v>0</v>
      </c>
      <c r="AY17" s="775">
        <f t="shared" ca="1" si="26"/>
        <v>0</v>
      </c>
      <c r="AZ17" s="775">
        <f t="shared" si="27"/>
        <v>0</v>
      </c>
      <c r="BA17" s="775">
        <f t="shared" ca="1" si="1"/>
        <v>0</v>
      </c>
      <c r="BB17" s="775">
        <f t="shared" ca="1" si="2"/>
        <v>0</v>
      </c>
      <c r="BC17" s="775">
        <f t="shared" ca="1" si="3"/>
        <v>0</v>
      </c>
      <c r="BD17" s="775">
        <f t="shared" ca="1" si="4"/>
        <v>0</v>
      </c>
      <c r="BE17" s="775">
        <f t="shared" ca="1" si="5"/>
        <v>0</v>
      </c>
      <c r="BF17" s="775">
        <f t="shared" ca="1" si="6"/>
        <v>0</v>
      </c>
      <c r="BG17" s="775">
        <f t="shared" ca="1" si="7"/>
        <v>0</v>
      </c>
      <c r="BH17" s="780"/>
      <c r="BI17" s="780"/>
      <c r="BJ17" s="780"/>
      <c r="BK17" s="780"/>
      <c r="BL17" s="780"/>
      <c r="BM17" s="780"/>
      <c r="BN17" s="780"/>
      <c r="BO17" s="780">
        <f t="shared" si="8"/>
        <v>0</v>
      </c>
      <c r="BP17" s="780">
        <f t="shared" si="9"/>
        <v>0</v>
      </c>
      <c r="BQ17" s="780">
        <f t="shared" ca="1" si="10"/>
        <v>0</v>
      </c>
      <c r="BR17" s="780">
        <f t="shared" ca="1" si="11"/>
        <v>0</v>
      </c>
    </row>
    <row r="18" spans="1:70" s="771" customFormat="1">
      <c r="A18" s="771" t="str">
        <f t="shared" ca="1" si="28"/>
        <v/>
      </c>
      <c r="B18" s="771" t="str">
        <f>CT_tram!B2391</f>
        <v>tr6301</v>
      </c>
      <c r="C18" s="781" t="str">
        <f ca="1">IF(F18=0,"",COUNTIF($F$6:$F20,"&gt;0"))</f>
        <v/>
      </c>
      <c r="D18" s="782" t="str">
        <f>VLOOKUP($B18,dongia1,DG!$C$5,)</f>
        <v>Máy biến áp 22/0,4kV- 630kVA</v>
      </c>
      <c r="E18" s="783" t="str">
        <f>VLOOKUP($B18,dongia1,DG!$D$5,)</f>
        <v>máy</v>
      </c>
      <c r="F18" s="784">
        <f t="shared" ca="1" si="29"/>
        <v>0</v>
      </c>
      <c r="G18" s="780">
        <f t="shared" ca="1" si="30"/>
        <v>0</v>
      </c>
      <c r="H18" s="780">
        <f ca="1">SUMIF(CT_tram!$B$33:$G$3559,kl!B18,CT_tram!$G$33:$G$3559)</f>
        <v>0</v>
      </c>
      <c r="I18" s="775">
        <f ca="1">SUMIF(CT_tram!$B$34:$G$115,$B18,CT_tram!$G$34:$G$115)</f>
        <v>0</v>
      </c>
      <c r="J18" s="775">
        <f ca="1">SUMIF(CT_tram!$B$122:$G$204,$B18,CT_tram!$G$122:$G$204)</f>
        <v>0</v>
      </c>
      <c r="K18" s="775">
        <f ca="1">SUMIF(CT_tram!$B$211:$G$293,$B18,CT_tram!$G$211:$G$293)</f>
        <v>0</v>
      </c>
      <c r="L18" s="775">
        <f ca="1">SUMIF(CT_tram!$B$300:$G$374,$B18,CT_tram!$G$300:$G$374)</f>
        <v>0</v>
      </c>
      <c r="M18" s="775">
        <f ca="1">SUMIF(CT_tram!$B$381:$G$471,$B18,CT_tram!$G$381:$G$471)</f>
        <v>0</v>
      </c>
      <c r="N18" s="775">
        <f ca="1">SUMIF(CT_tram!$B$478:$G$560,$B18,CT_tram!$G$478:$G$560)</f>
        <v>0</v>
      </c>
      <c r="O18" s="775">
        <f ca="1">SUMIF(CT_tram!$B$567:$G$653,$B18,CT_tram!$G$567:$G$653)</f>
        <v>0</v>
      </c>
      <c r="P18" s="775">
        <f ca="1">SUMIF(CT_tram!$B$661:$G$738,$B18,CT_tram!$G$661:$G$738)</f>
        <v>0</v>
      </c>
      <c r="Q18" s="775">
        <f ca="1">SUMIF(CT_tram!$B$745:$G$899,$B18,CT_tram!$G$745:$G$899)</f>
        <v>0</v>
      </c>
      <c r="R18" s="775">
        <f ca="1">SUMIF(CT_tram!$B$907:$G$995,$B18,CT_tram!$G$907:$G$995)</f>
        <v>0</v>
      </c>
      <c r="S18" s="775"/>
      <c r="T18" s="775">
        <f ca="1">SUMIF(CT_tram!$B$1004:$G$1097,B18,CT_tram!$G$1004:$G$1097)</f>
        <v>0</v>
      </c>
      <c r="U18" s="775"/>
      <c r="V18" s="780">
        <f ca="1">SUMIF(CT_tram!$B$1226:$G$1352,kl!B18,CT_tram!$G$1226:$G$1352)</f>
        <v>0</v>
      </c>
      <c r="W18" s="780">
        <f ca="1">SUMIF(CT_tram!$B$1105:$G$1219,kl!B18,CT_tram!$G$1105:$G$1219)</f>
        <v>0</v>
      </c>
      <c r="X18" s="780">
        <f ca="1">SUMIF(CT_tram!$B$1359:$G$1504,kl!B18,CT_tram!$G$1359:$G$1504)</f>
        <v>0</v>
      </c>
      <c r="Y18" s="780">
        <f ca="1">SUMIF(CT_tram!$B$1511:$G$1625,kl!B18,CT_tram!$G$1511:$G$1625)</f>
        <v>0</v>
      </c>
      <c r="Z18" s="775">
        <f ca="1">SUMIF(CT_tram!$B$1632:$G$2211,kl!B18,CT_tram!$G$1632:$G$2211)</f>
        <v>0</v>
      </c>
      <c r="AA18" s="780">
        <f ca="1">SUMIF(CT_tram!$B$2243:$G$2384,kl!B18,CT_tram!$G$2243:$G$2384)</f>
        <v>0</v>
      </c>
      <c r="AB18" s="780">
        <f ca="1">SUMIF(CT_tram!$B$2391:$G$2563,kl!B18,CT_tram!$G$2391:$G$2563)</f>
        <v>0</v>
      </c>
      <c r="AC18" s="780"/>
      <c r="AD18" s="780"/>
      <c r="AE18" s="780"/>
      <c r="AF18" s="780"/>
      <c r="AG18" s="780"/>
      <c r="AH18" s="780"/>
      <c r="AI18" s="780"/>
      <c r="AJ18" s="780"/>
      <c r="AK18" s="780"/>
      <c r="AL18" s="780">
        <f ca="1">SUMIF('Cap ngam'!B$16:G$400,kl!$B18,'Cap ngam'!G$16:G$400)</f>
        <v>0</v>
      </c>
      <c r="AM18" s="776">
        <v>2040</v>
      </c>
      <c r="AN18" s="775">
        <f t="shared" ca="1" si="15"/>
        <v>0</v>
      </c>
      <c r="AO18" s="775">
        <f t="shared" ca="1" si="16"/>
        <v>0</v>
      </c>
      <c r="AP18" s="775">
        <f t="shared" ca="1" si="17"/>
        <v>0</v>
      </c>
      <c r="AQ18" s="775">
        <f t="shared" ca="1" si="18"/>
        <v>0</v>
      </c>
      <c r="AR18" s="775">
        <f t="shared" ca="1" si="19"/>
        <v>0</v>
      </c>
      <c r="AS18" s="775">
        <f t="shared" ca="1" si="20"/>
        <v>0</v>
      </c>
      <c r="AT18" s="775">
        <f t="shared" ca="1" si="21"/>
        <v>0</v>
      </c>
      <c r="AU18" s="775">
        <f t="shared" ca="1" si="22"/>
        <v>0</v>
      </c>
      <c r="AV18" s="775">
        <f t="shared" ca="1" si="23"/>
        <v>0</v>
      </c>
      <c r="AW18" s="775">
        <f t="shared" ca="1" si="24"/>
        <v>0</v>
      </c>
      <c r="AX18" s="775">
        <f t="shared" si="25"/>
        <v>0</v>
      </c>
      <c r="AY18" s="775">
        <f t="shared" ca="1" si="26"/>
        <v>0</v>
      </c>
      <c r="AZ18" s="775">
        <f t="shared" si="27"/>
        <v>0</v>
      </c>
      <c r="BA18" s="775">
        <f t="shared" ca="1" si="1"/>
        <v>0</v>
      </c>
      <c r="BB18" s="775">
        <f t="shared" ca="1" si="2"/>
        <v>0</v>
      </c>
      <c r="BC18" s="775">
        <f t="shared" ca="1" si="3"/>
        <v>0</v>
      </c>
      <c r="BD18" s="775">
        <f t="shared" ca="1" si="4"/>
        <v>0</v>
      </c>
      <c r="BE18" s="775">
        <f t="shared" ca="1" si="5"/>
        <v>0</v>
      </c>
      <c r="BF18" s="775">
        <f t="shared" ca="1" si="6"/>
        <v>0</v>
      </c>
      <c r="BG18" s="775">
        <f t="shared" ca="1" si="7"/>
        <v>0</v>
      </c>
      <c r="BH18" s="780"/>
      <c r="BI18" s="780"/>
      <c r="BJ18" s="780"/>
      <c r="BK18" s="780"/>
      <c r="BL18" s="780"/>
      <c r="BM18" s="780"/>
      <c r="BN18" s="780"/>
      <c r="BO18" s="780">
        <f t="shared" si="8"/>
        <v>0</v>
      </c>
      <c r="BP18" s="780">
        <f t="shared" si="9"/>
        <v>0</v>
      </c>
      <c r="BQ18" s="780">
        <f ca="1">$AL18*$AM18</f>
        <v>0</v>
      </c>
      <c r="BR18" s="780">
        <f t="shared" ca="1" si="11"/>
        <v>0</v>
      </c>
    </row>
    <row r="19" spans="1:70">
      <c r="A19" s="767" t="str">
        <f t="shared" ca="1" si="28"/>
        <v>X</v>
      </c>
      <c r="B19" s="767" t="str">
        <f>CT_tram!B2594</f>
        <v>TR12501</v>
      </c>
      <c r="C19" s="188">
        <f ca="1">IF(F19=0,"",COUNTIF($F$6:$F19,"&gt;0"))</f>
        <v>1</v>
      </c>
      <c r="D19" s="778" t="str">
        <f>VLOOKUP($B19,dongia1,DG!$C$5,)</f>
        <v>Máy biến áp 22/0,4kV- 1250kVA</v>
      </c>
      <c r="E19" s="555" t="str">
        <f>VLOOKUP($B19,dongia1,DG!$D$5,)</f>
        <v>máy</v>
      </c>
      <c r="F19" s="779">
        <f t="shared" ca="1" si="29"/>
        <v>1</v>
      </c>
      <c r="G19" s="775">
        <f t="shared" ca="1" si="30"/>
        <v>0</v>
      </c>
      <c r="H19" s="775">
        <f ca="1">SUMIF(CT_tram!$B$33:$G$3559,kl!B19,CT_tram!$G$33:$G$3559)</f>
        <v>1</v>
      </c>
      <c r="I19" s="775">
        <f ca="1">SUMIF(CT_tram!$B$34:$G$115,$B19,CT_tram!$G$34:$G$115)</f>
        <v>0</v>
      </c>
      <c r="J19" s="775">
        <f ca="1">SUMIF(CT_tram!$B$122:$G$204,$B19,CT_tram!$G$122:$G$204)</f>
        <v>0</v>
      </c>
      <c r="K19" s="775">
        <f ca="1">SUMIF(CT_tram!$B$211:$G$293,$B19,CT_tram!$G$211:$G$293)</f>
        <v>0</v>
      </c>
      <c r="L19" s="775">
        <f ca="1">SUMIF(CT_tram!$B$300:$G$374,$B19,CT_tram!$G$300:$G$374)</f>
        <v>0</v>
      </c>
      <c r="M19" s="775">
        <f ca="1">SUMIF(CT_tram!$B$381:$G$471,$B19,CT_tram!$G$381:$G$471)</f>
        <v>0</v>
      </c>
      <c r="N19" s="775">
        <f ca="1">SUMIF(CT_tram!$B$478:$G$560,$B19,CT_tram!$G$478:$G$560)</f>
        <v>0</v>
      </c>
      <c r="O19" s="775">
        <f ca="1">SUMIF(CT_tram!$B$567:$G$653,$B19,CT_tram!$G$567:$G$653)</f>
        <v>0</v>
      </c>
      <c r="P19" s="775">
        <f ca="1">SUMIF(CT_tram!$B$661:$G$738,$B19,CT_tram!$G$661:$G$738)</f>
        <v>0</v>
      </c>
      <c r="Q19" s="775">
        <f ca="1">SUMIF(CT_tram!$B$745:$G$899,$B19,CT_tram!$G$745:$G$899)</f>
        <v>0</v>
      </c>
      <c r="R19" s="775">
        <f ca="1">SUMIF(CT_tram!$B$907:$G$995,$B19,CT_tram!$G$907:$G$995)</f>
        <v>0</v>
      </c>
      <c r="S19" s="775"/>
      <c r="T19" s="775">
        <f ca="1">SUMIF(CT_tram!$B$1004:$G$1097,B19,CT_tram!$G$1004:$G$1097)</f>
        <v>0</v>
      </c>
      <c r="U19" s="775"/>
      <c r="V19" s="775">
        <f ca="1">SUMIF(CT_tram!$B$1226:$G$1352,kl!B19,CT_tram!$G$1226:$G$1352)</f>
        <v>0</v>
      </c>
      <c r="W19" s="780">
        <f ca="1">SUMIF(CT_tram!$B$1105:$G$1219,kl!B19,CT_tram!$G$1105:$G$1219)</f>
        <v>0</v>
      </c>
      <c r="X19" s="775">
        <f ca="1">SUMIF(CT_tram!$B$1359:$G$1504,kl!B19,CT_tram!$G$1359:$G$1504)</f>
        <v>0</v>
      </c>
      <c r="Y19" s="775">
        <f ca="1">SUMIF(CT_tram!$B$1511:$G$1625,kl!B19,CT_tram!$G$1511:$G$1625)</f>
        <v>0</v>
      </c>
      <c r="Z19" s="775">
        <f ca="1">SUMIF(CT_tram!$B$1632:$G$2211,kl!B19,CT_tram!$G$1632:$G$2211)</f>
        <v>0</v>
      </c>
      <c r="AA19" s="775">
        <f ca="1">SUMIF(CT_tram!$B$2243:$G$2384,kl!B19,CT_tram!$G$2243:$G$2384)</f>
        <v>0</v>
      </c>
      <c r="AB19" s="775">
        <f ca="1">SUMIF(CT_tram!$B$2391:$G$2563,kl!B19,CT_tram!$G$2391:$G$2563)</f>
        <v>0</v>
      </c>
      <c r="AC19" s="775"/>
      <c r="AD19" s="775"/>
      <c r="AE19" s="775"/>
      <c r="AF19" s="775"/>
      <c r="AG19" s="775"/>
      <c r="AH19" s="775"/>
      <c r="AI19" s="775"/>
      <c r="AJ19" s="775"/>
      <c r="AK19" s="775"/>
      <c r="AL19" s="775">
        <f ca="1">SUMIF('Cap ngam'!B$16:G$400,kl!$B19,'Cap ngam'!G$16:G$400)</f>
        <v>0</v>
      </c>
      <c r="AM19" s="776">
        <v>2304</v>
      </c>
      <c r="AN19" s="775">
        <f t="shared" ca="1" si="15"/>
        <v>0</v>
      </c>
      <c r="AO19" s="775">
        <f t="shared" ca="1" si="16"/>
        <v>0</v>
      </c>
      <c r="AP19" s="775">
        <f t="shared" ca="1" si="17"/>
        <v>0</v>
      </c>
      <c r="AQ19" s="775">
        <f t="shared" ca="1" si="18"/>
        <v>0</v>
      </c>
      <c r="AR19" s="775">
        <f t="shared" ca="1" si="19"/>
        <v>0</v>
      </c>
      <c r="AS19" s="775">
        <f t="shared" ca="1" si="20"/>
        <v>0</v>
      </c>
      <c r="AT19" s="775">
        <f t="shared" ca="1" si="21"/>
        <v>0</v>
      </c>
      <c r="AU19" s="775">
        <f t="shared" ca="1" si="22"/>
        <v>0</v>
      </c>
      <c r="AV19" s="775">
        <f t="shared" ca="1" si="23"/>
        <v>0</v>
      </c>
      <c r="AW19" s="775">
        <f t="shared" ca="1" si="24"/>
        <v>0</v>
      </c>
      <c r="AX19" s="775">
        <f t="shared" si="25"/>
        <v>0</v>
      </c>
      <c r="AY19" s="775">
        <f t="shared" ca="1" si="26"/>
        <v>0</v>
      </c>
      <c r="AZ19" s="775">
        <f t="shared" si="27"/>
        <v>0</v>
      </c>
      <c r="BA19" s="775">
        <f t="shared" ca="1" si="1"/>
        <v>0</v>
      </c>
      <c r="BB19" s="775">
        <f t="shared" ca="1" si="2"/>
        <v>0</v>
      </c>
      <c r="BC19" s="775">
        <f t="shared" ca="1" si="3"/>
        <v>0</v>
      </c>
      <c r="BD19" s="775">
        <f t="shared" ca="1" si="4"/>
        <v>0</v>
      </c>
      <c r="BE19" s="775">
        <f t="shared" ca="1" si="5"/>
        <v>0</v>
      </c>
      <c r="BF19" s="775">
        <f t="shared" ca="1" si="6"/>
        <v>0</v>
      </c>
      <c r="BG19" s="775">
        <f t="shared" ca="1" si="7"/>
        <v>0</v>
      </c>
      <c r="BH19" s="775"/>
      <c r="BI19" s="775"/>
      <c r="BJ19" s="775"/>
      <c r="BK19" s="775"/>
      <c r="BL19" s="775"/>
      <c r="BM19" s="775"/>
      <c r="BN19" s="775"/>
      <c r="BO19" s="775">
        <f t="shared" si="8"/>
        <v>0</v>
      </c>
      <c r="BP19" s="775">
        <f t="shared" si="9"/>
        <v>0</v>
      </c>
      <c r="BQ19" s="775">
        <f t="shared" ca="1" si="10"/>
        <v>0</v>
      </c>
      <c r="BR19" s="775">
        <f t="shared" ca="1" si="11"/>
        <v>2304</v>
      </c>
    </row>
    <row r="20" spans="1:70">
      <c r="A20" s="767" t="str">
        <f t="shared" ca="1" si="12"/>
        <v/>
      </c>
      <c r="B20" s="767" t="str">
        <f>CT_tram!B2793</f>
        <v>tr10001</v>
      </c>
      <c r="C20" s="188" t="str">
        <f ca="1">IF(F20=0,"",COUNTIF($F$6:$F20,"&gt;0"))</f>
        <v/>
      </c>
      <c r="D20" s="778" t="str">
        <f>VLOOKUP($B20,dongia1,DG!$C$5,)</f>
        <v>Máy biến áp 22/0,4kV- 1000kVA</v>
      </c>
      <c r="E20" s="555" t="str">
        <f>VLOOKUP($B20,dongia1,DG!$D$5,)</f>
        <v>máy</v>
      </c>
      <c r="F20" s="779">
        <f t="shared" ca="1" si="13"/>
        <v>0</v>
      </c>
      <c r="G20" s="775">
        <f t="shared" ca="1" si="30"/>
        <v>0</v>
      </c>
      <c r="H20" s="775">
        <f ca="1">SUMIF(CT_tram!$B$33:$G$3559,kl!B20,CT_tram!$G$33:$G$3559)</f>
        <v>0</v>
      </c>
      <c r="I20" s="775">
        <f ca="1">SUMIF(CT_tram!$B$34:$G$115,$B20,CT_tram!$G$34:$G$115)</f>
        <v>0</v>
      </c>
      <c r="J20" s="775">
        <f ca="1">SUMIF(CT_tram!$B$122:$G$204,$B20,CT_tram!$G$122:$G$204)</f>
        <v>0</v>
      </c>
      <c r="K20" s="775">
        <f ca="1">SUMIF(CT_tram!$B$211:$G$293,$B20,CT_tram!$G$211:$G$293)</f>
        <v>0</v>
      </c>
      <c r="L20" s="775">
        <f ca="1">SUMIF(CT_tram!$B$300:$G$374,$B20,CT_tram!$G$300:$G$374)</f>
        <v>0</v>
      </c>
      <c r="M20" s="775">
        <f ca="1">SUMIF(CT_tram!$B$381:$G$471,$B20,CT_tram!$G$381:$G$471)</f>
        <v>0</v>
      </c>
      <c r="N20" s="775">
        <f ca="1">SUMIF(CT_tram!$B$478:$G$560,$B20,CT_tram!$G$478:$G$560)</f>
        <v>0</v>
      </c>
      <c r="O20" s="775">
        <f ca="1">SUMIF(CT_tram!$B$567:$G$653,$B20,CT_tram!$G$567:$G$653)</f>
        <v>0</v>
      </c>
      <c r="P20" s="775">
        <f ca="1">SUMIF(CT_tram!$B$661:$G$738,$B20,CT_tram!$G$661:$G$738)</f>
        <v>0</v>
      </c>
      <c r="Q20" s="775">
        <f ca="1">SUMIF(CT_tram!$B$745:$G$899,$B20,CT_tram!$G$745:$G$899)</f>
        <v>0</v>
      </c>
      <c r="R20" s="775">
        <f ca="1">SUMIF(CT_tram!$B$907:$G$995,$B20,CT_tram!$G$907:$G$995)</f>
        <v>0</v>
      </c>
      <c r="S20" s="775"/>
      <c r="T20" s="775">
        <f ca="1">SUMIF(CT_tram!$B$1004:$G$1097,B20,CT_tram!$G$1004:$G$1097)</f>
        <v>0</v>
      </c>
      <c r="U20" s="775"/>
      <c r="V20" s="775">
        <f ca="1">SUMIF(CT_tram!$B$1226:$G$1352,kl!B20,CT_tram!$G$1226:$G$1352)</f>
        <v>0</v>
      </c>
      <c r="W20" s="780">
        <f ca="1">SUMIF(CT_tram!$B$1105:$G$1219,kl!B20,CT_tram!$G$1105:$G$1219)</f>
        <v>0</v>
      </c>
      <c r="X20" s="775">
        <f ca="1">SUMIF(CT_tram!$B$1359:$G$1504,kl!B20,CT_tram!$G$1359:$G$1504)</f>
        <v>0</v>
      </c>
      <c r="Y20" s="775">
        <f ca="1">SUMIF(CT_tram!$B$1511:$G$1625,kl!B20,CT_tram!$G$1511:$G$1625)</f>
        <v>0</v>
      </c>
      <c r="Z20" s="775">
        <f ca="1">SUMIF(CT_tram!$B$1632:$G$2211,kl!B20,CT_tram!$G$1632:$G$2211)</f>
        <v>0</v>
      </c>
      <c r="AA20" s="775">
        <f ca="1">SUMIF(CT_tram!$B$2243:$G$2384,kl!B20,CT_tram!$G$2243:$G$2384)</f>
        <v>0</v>
      </c>
      <c r="AB20" s="775">
        <f ca="1">SUMIF(CT_tram!$B$2391:$G$2563,kl!B20,CT_tram!$G$2391:$G$2563)</f>
        <v>0</v>
      </c>
      <c r="AC20" s="775"/>
      <c r="AD20" s="775"/>
      <c r="AE20" s="775"/>
      <c r="AF20" s="775"/>
      <c r="AG20" s="775"/>
      <c r="AH20" s="775"/>
      <c r="AI20" s="775"/>
      <c r="AJ20" s="775"/>
      <c r="AK20" s="775"/>
      <c r="AL20" s="775">
        <f ca="1">SUMIF('Cap ngam'!B$16:G$400,kl!$B20,'Cap ngam'!G$16:G$400)</f>
        <v>0</v>
      </c>
      <c r="AM20" s="776">
        <v>2955</v>
      </c>
      <c r="AN20" s="775">
        <f t="shared" ca="1" si="15"/>
        <v>0</v>
      </c>
      <c r="AO20" s="775">
        <f t="shared" ca="1" si="16"/>
        <v>0</v>
      </c>
      <c r="AP20" s="775">
        <f t="shared" ca="1" si="17"/>
        <v>0</v>
      </c>
      <c r="AQ20" s="775">
        <f t="shared" ca="1" si="18"/>
        <v>0</v>
      </c>
      <c r="AR20" s="775">
        <f t="shared" ca="1" si="19"/>
        <v>0</v>
      </c>
      <c r="AS20" s="775">
        <f t="shared" ca="1" si="20"/>
        <v>0</v>
      </c>
      <c r="AT20" s="775">
        <f t="shared" ca="1" si="21"/>
        <v>0</v>
      </c>
      <c r="AU20" s="775">
        <f t="shared" ca="1" si="22"/>
        <v>0</v>
      </c>
      <c r="AV20" s="775">
        <f t="shared" ca="1" si="23"/>
        <v>0</v>
      </c>
      <c r="AW20" s="775">
        <f t="shared" ca="1" si="24"/>
        <v>0</v>
      </c>
      <c r="AX20" s="775">
        <f t="shared" si="25"/>
        <v>0</v>
      </c>
      <c r="AY20" s="775">
        <f t="shared" ca="1" si="26"/>
        <v>0</v>
      </c>
      <c r="AZ20" s="775">
        <f t="shared" si="27"/>
        <v>0</v>
      </c>
      <c r="BA20" s="775">
        <f t="shared" ca="1" si="1"/>
        <v>0</v>
      </c>
      <c r="BB20" s="775">
        <f t="shared" ca="1" si="2"/>
        <v>0</v>
      </c>
      <c r="BC20" s="775">
        <f t="shared" ca="1" si="3"/>
        <v>0</v>
      </c>
      <c r="BD20" s="775">
        <f t="shared" ca="1" si="4"/>
        <v>0</v>
      </c>
      <c r="BE20" s="775">
        <f t="shared" ca="1" si="5"/>
        <v>0</v>
      </c>
      <c r="BF20" s="775">
        <f t="shared" ca="1" si="6"/>
        <v>0</v>
      </c>
      <c r="BG20" s="775">
        <f t="shared" ca="1" si="7"/>
        <v>0</v>
      </c>
      <c r="BH20" s="775"/>
      <c r="BI20" s="775"/>
      <c r="BJ20" s="775"/>
      <c r="BK20" s="775"/>
      <c r="BL20" s="775"/>
      <c r="BM20" s="775"/>
      <c r="BN20" s="775"/>
      <c r="BO20" s="775">
        <f t="shared" si="8"/>
        <v>0</v>
      </c>
      <c r="BP20" s="775">
        <f t="shared" si="9"/>
        <v>0</v>
      </c>
      <c r="BQ20" s="775">
        <f t="shared" ca="1" si="10"/>
        <v>0</v>
      </c>
      <c r="BR20" s="775">
        <f t="shared" ca="1" si="11"/>
        <v>0</v>
      </c>
    </row>
    <row r="21" spans="1:70">
      <c r="A21" s="767" t="str">
        <f ca="1">IF(F21&lt;&gt;0,"X","")</f>
        <v/>
      </c>
      <c r="B21" s="767" t="str">
        <f>CT_tram!B2932</f>
        <v>tr12501</v>
      </c>
      <c r="C21" s="188" t="str">
        <f ca="1">IF(F21=0,"",COUNTIF($F$6:$F21,"&gt;0"))</f>
        <v/>
      </c>
      <c r="D21" s="778" t="str">
        <f>VLOOKUP($B21,dongia1,DG!$C$5,)</f>
        <v>Máy biến áp 22/0,4kV- 1250kVA</v>
      </c>
      <c r="E21" s="555" t="str">
        <f>VLOOKUP($B21,dongia1,DG!$D$5,)</f>
        <v>máy</v>
      </c>
      <c r="F21" s="779">
        <f ca="1">G21+H21</f>
        <v>0</v>
      </c>
      <c r="G21" s="775">
        <f ca="1">SUM(AC21:AL21)</f>
        <v>0</v>
      </c>
      <c r="H21" s="775"/>
      <c r="I21" s="775">
        <f ca="1">SUMIF(CT_tram!$B$34:$G$115,$B21,CT_tram!$G$34:$G$115)</f>
        <v>0</v>
      </c>
      <c r="J21" s="775">
        <f ca="1">SUMIF(CT_tram!$B$122:$G$204,$B21,CT_tram!$G$122:$G$204)</f>
        <v>0</v>
      </c>
      <c r="K21" s="775">
        <f ca="1">SUMIF(CT_tram!$B$211:$G$293,$B21,CT_tram!$G$211:$G$293)</f>
        <v>0</v>
      </c>
      <c r="L21" s="775">
        <f ca="1">SUMIF(CT_tram!$B$300:$G$374,$B21,CT_tram!$G$300:$G$374)</f>
        <v>0</v>
      </c>
      <c r="M21" s="775">
        <f ca="1">SUMIF(CT_tram!$B$381:$G$471,$B21,CT_tram!$G$381:$G$471)</f>
        <v>0</v>
      </c>
      <c r="N21" s="775">
        <f ca="1">SUMIF(CT_tram!$B$478:$G$560,$B21,CT_tram!$G$478:$G$560)</f>
        <v>0</v>
      </c>
      <c r="O21" s="775">
        <f ca="1">SUMIF(CT_tram!$B$567:$G$653,$B21,CT_tram!$G$567:$G$653)</f>
        <v>0</v>
      </c>
      <c r="P21" s="775">
        <f ca="1">SUMIF(CT_tram!$B$661:$G$738,$B21,CT_tram!$G$661:$G$738)</f>
        <v>0</v>
      </c>
      <c r="Q21" s="775">
        <f ca="1">SUMIF(CT_tram!$B$745:$G$899,$B21,CT_tram!$G$745:$G$899)</f>
        <v>0</v>
      </c>
      <c r="R21" s="775">
        <f ca="1">SUMIF(CT_tram!$B$907:$G$995,$B21,CT_tram!$G$907:$G$995)</f>
        <v>0</v>
      </c>
      <c r="S21" s="775"/>
      <c r="T21" s="775">
        <f ca="1">SUMIF(CT_tram!$B$1004:$G$1097,B21,CT_tram!$G$1004:$G$1097)</f>
        <v>0</v>
      </c>
      <c r="U21" s="775"/>
      <c r="V21" s="775">
        <f ca="1">SUMIF(CT_tram!$B$1226:$G$1352,kl!B21,CT_tram!$G$1226:$G$1352)</f>
        <v>0</v>
      </c>
      <c r="W21" s="780">
        <f ca="1">SUMIF(CT_tram!$B$1105:$G$1219,kl!B21,CT_tram!$G$1105:$G$1219)</f>
        <v>0</v>
      </c>
      <c r="X21" s="775">
        <f ca="1">SUMIF(CT_tram!$B$1359:$G$1504,kl!B21,CT_tram!$G$1359:$G$1504)</f>
        <v>0</v>
      </c>
      <c r="Y21" s="775">
        <f ca="1">SUMIF(CT_tram!$B$1511:$G$1625,kl!B21,CT_tram!$G$1511:$G$1625)</f>
        <v>0</v>
      </c>
      <c r="Z21" s="775">
        <f ca="1">SUMIF(CT_tram!$B$1632:$G$2211,kl!B21,CT_tram!$G$1632:$G$2211)</f>
        <v>0</v>
      </c>
      <c r="AA21" s="775">
        <f ca="1">SUMIF(CT_tram!$B$2243:$G$2384,kl!B21,CT_tram!$G$2243:$G$2384)</f>
        <v>0</v>
      </c>
      <c r="AB21" s="775">
        <f ca="1">SUMIF(CT_tram!$B$2391:$G$2563,kl!B21,CT_tram!$G$2391:$G$2563)</f>
        <v>0</v>
      </c>
      <c r="AC21" s="775"/>
      <c r="AD21" s="775"/>
      <c r="AE21" s="775"/>
      <c r="AF21" s="775"/>
      <c r="AG21" s="775"/>
      <c r="AH21" s="775"/>
      <c r="AI21" s="775"/>
      <c r="AJ21" s="775"/>
      <c r="AK21" s="775"/>
      <c r="AL21" s="775">
        <f ca="1">SUMIF('Cap ngam'!B$16:G$400,kl!$B21,'Cap ngam'!G$16:G$400)</f>
        <v>0</v>
      </c>
      <c r="AM21" s="776">
        <v>3200</v>
      </c>
      <c r="AN21" s="775">
        <f t="shared" ca="1" si="15"/>
        <v>0</v>
      </c>
      <c r="AO21" s="775">
        <f t="shared" ca="1" si="16"/>
        <v>0</v>
      </c>
      <c r="AP21" s="775">
        <f t="shared" ca="1" si="17"/>
        <v>0</v>
      </c>
      <c r="AQ21" s="775">
        <f t="shared" ca="1" si="18"/>
        <v>0</v>
      </c>
      <c r="AR21" s="775">
        <f t="shared" ca="1" si="19"/>
        <v>0</v>
      </c>
      <c r="AS21" s="775">
        <f t="shared" ca="1" si="20"/>
        <v>0</v>
      </c>
      <c r="AT21" s="775">
        <f t="shared" ca="1" si="21"/>
        <v>0</v>
      </c>
      <c r="AU21" s="775">
        <f t="shared" ca="1" si="22"/>
        <v>0</v>
      </c>
      <c r="AV21" s="775">
        <f t="shared" ca="1" si="23"/>
        <v>0</v>
      </c>
      <c r="AW21" s="775">
        <f t="shared" ca="1" si="24"/>
        <v>0</v>
      </c>
      <c r="AX21" s="775">
        <f t="shared" si="25"/>
        <v>0</v>
      </c>
      <c r="AY21" s="775">
        <f t="shared" ca="1" si="26"/>
        <v>0</v>
      </c>
      <c r="AZ21" s="775">
        <f t="shared" si="27"/>
        <v>0</v>
      </c>
      <c r="BA21" s="775">
        <f t="shared" ca="1" si="1"/>
        <v>0</v>
      </c>
      <c r="BB21" s="775">
        <f t="shared" ca="1" si="2"/>
        <v>0</v>
      </c>
      <c r="BC21" s="775">
        <f t="shared" ca="1" si="3"/>
        <v>0</v>
      </c>
      <c r="BD21" s="775">
        <f t="shared" ca="1" si="4"/>
        <v>0</v>
      </c>
      <c r="BE21" s="775">
        <f t="shared" ca="1" si="5"/>
        <v>0</v>
      </c>
      <c r="BF21" s="775">
        <f t="shared" ca="1" si="6"/>
        <v>0</v>
      </c>
      <c r="BG21" s="775">
        <f t="shared" ca="1" si="7"/>
        <v>0</v>
      </c>
      <c r="BH21" s="775"/>
      <c r="BI21" s="775"/>
      <c r="BJ21" s="775"/>
      <c r="BK21" s="775"/>
      <c r="BL21" s="775"/>
      <c r="BM21" s="775"/>
      <c r="BN21" s="775"/>
      <c r="BO21" s="775">
        <f t="shared" si="8"/>
        <v>0</v>
      </c>
      <c r="BP21" s="775">
        <f t="shared" si="9"/>
        <v>0</v>
      </c>
      <c r="BQ21" s="775">
        <f t="shared" ca="1" si="10"/>
        <v>0</v>
      </c>
      <c r="BR21" s="775">
        <f t="shared" si="11"/>
        <v>0</v>
      </c>
    </row>
    <row r="22" spans="1:70">
      <c r="A22" s="767" t="str">
        <f ca="1">IF(F22&lt;&gt;0,"X","")</f>
        <v/>
      </c>
      <c r="B22" s="767" t="str">
        <f>CT_tram!B3084</f>
        <v>tr15001</v>
      </c>
      <c r="C22" s="188" t="str">
        <f ca="1">IF(F22=0,"",COUNTIF($F$6:$F22,"&gt;0"))</f>
        <v/>
      </c>
      <c r="D22" s="778" t="str">
        <f>VLOOKUP($B22,dongia1,DG!$C$5,)</f>
        <v>Máy biến áp 22/0,4kV- 1500kVA</v>
      </c>
      <c r="E22" s="555" t="str">
        <f>VLOOKUP($B22,dongia1,DG!$D$5,)</f>
        <v>máy</v>
      </c>
      <c r="F22" s="779">
        <f ca="1">G22+H22</f>
        <v>0</v>
      </c>
      <c r="G22" s="775">
        <f ca="1">SUM(AC22:AL22)</f>
        <v>0</v>
      </c>
      <c r="H22" s="775">
        <f ca="1">SUMIF(CT_tram!$B$33:$G$3559,kl!B22,CT_tram!$G$33:$G$3559)</f>
        <v>0</v>
      </c>
      <c r="I22" s="775">
        <f ca="1">SUMIF(CT_tram!$B$34:$G$115,$B22,CT_tram!$G$34:$G$115)</f>
        <v>0</v>
      </c>
      <c r="J22" s="775">
        <f ca="1">SUMIF(CT_tram!$B$122:$G$204,$B22,CT_tram!$G$122:$G$204)</f>
        <v>0</v>
      </c>
      <c r="K22" s="775">
        <f ca="1">SUMIF(CT_tram!$B$211:$G$293,$B22,CT_tram!$G$211:$G$293)</f>
        <v>0</v>
      </c>
      <c r="L22" s="775">
        <f ca="1">SUMIF(CT_tram!$B$300:$G$374,$B22,CT_tram!$G$300:$G$374)</f>
        <v>0</v>
      </c>
      <c r="M22" s="775">
        <f ca="1">SUMIF(CT_tram!$B$381:$G$471,$B22,CT_tram!$G$381:$G$471)</f>
        <v>0</v>
      </c>
      <c r="N22" s="775">
        <f ca="1">SUMIF(CT_tram!$B$478:$G$560,$B22,CT_tram!$G$478:$G$560)</f>
        <v>0</v>
      </c>
      <c r="O22" s="775">
        <f ca="1">SUMIF(CT_tram!$B$567:$G$653,$B22,CT_tram!$G$567:$G$653)</f>
        <v>0</v>
      </c>
      <c r="P22" s="775">
        <f ca="1">SUMIF(CT_tram!$B$661:$G$738,$B22,CT_tram!$G$661:$G$738)</f>
        <v>0</v>
      </c>
      <c r="Q22" s="775">
        <f ca="1">SUMIF(CT_tram!$B$745:$G$899,$B22,CT_tram!$G$745:$G$899)</f>
        <v>0</v>
      </c>
      <c r="R22" s="775">
        <f ca="1">SUMIF(CT_tram!$B$907:$G$995,$B22,CT_tram!$G$907:$G$995)</f>
        <v>0</v>
      </c>
      <c r="S22" s="775"/>
      <c r="T22" s="775">
        <f ca="1">SUMIF(CT_tram!$B$1004:$G$1097,B22,CT_tram!$G$1004:$G$1097)</f>
        <v>0</v>
      </c>
      <c r="U22" s="775"/>
      <c r="V22" s="775">
        <f ca="1">SUMIF(CT_tram!$B$1226:$G$1352,kl!B22,CT_tram!$G$1226:$G$1352)</f>
        <v>0</v>
      </c>
      <c r="W22" s="780">
        <f ca="1">SUMIF(CT_tram!$B$1105:$G$1219,kl!B22,CT_tram!$G$1105:$G$1219)</f>
        <v>0</v>
      </c>
      <c r="X22" s="775">
        <f ca="1">SUMIF(CT_tram!$B$1359:$G$1504,kl!B22,CT_tram!$G$1359:$G$1504)</f>
        <v>0</v>
      </c>
      <c r="Y22" s="775">
        <f ca="1">SUMIF(CT_tram!$B$1511:$G$1625,kl!B22,CT_tram!$G$1511:$G$1625)</f>
        <v>0</v>
      </c>
      <c r="Z22" s="775">
        <f ca="1">SUMIF(CT_tram!$B$1632:$G$2211,kl!B22,CT_tram!$G$1632:$G$2211)</f>
        <v>0</v>
      </c>
      <c r="AA22" s="775">
        <f ca="1">SUMIF(CT_tram!$B$2243:$G$2384,kl!B22,CT_tram!$G$2243:$G$2384)</f>
        <v>0</v>
      </c>
      <c r="AB22" s="775">
        <f ca="1">SUMIF(CT_tram!$B$2391:$G$2563,kl!B22,CT_tram!$G$2391:$G$2563)</f>
        <v>0</v>
      </c>
      <c r="AC22" s="775"/>
      <c r="AD22" s="775"/>
      <c r="AE22" s="775"/>
      <c r="AF22" s="775"/>
      <c r="AG22" s="775"/>
      <c r="AH22" s="775"/>
      <c r="AI22" s="775"/>
      <c r="AJ22" s="775"/>
      <c r="AK22" s="775"/>
      <c r="AL22" s="775">
        <f ca="1">SUMIF('Cap ngam'!B$16:G$400,kl!$B22,'Cap ngam'!G$16:G$400)</f>
        <v>0</v>
      </c>
      <c r="AM22" s="776">
        <v>3692</v>
      </c>
      <c r="AN22" s="775">
        <f t="shared" ca="1" si="15"/>
        <v>0</v>
      </c>
      <c r="AO22" s="775">
        <f t="shared" ca="1" si="16"/>
        <v>0</v>
      </c>
      <c r="AP22" s="775">
        <f t="shared" ca="1" si="17"/>
        <v>0</v>
      </c>
      <c r="AQ22" s="775">
        <f t="shared" ca="1" si="18"/>
        <v>0</v>
      </c>
      <c r="AR22" s="775">
        <f t="shared" ca="1" si="19"/>
        <v>0</v>
      </c>
      <c r="AS22" s="775">
        <f t="shared" ca="1" si="20"/>
        <v>0</v>
      </c>
      <c r="AT22" s="775">
        <f t="shared" ca="1" si="21"/>
        <v>0</v>
      </c>
      <c r="AU22" s="775">
        <f t="shared" ca="1" si="22"/>
        <v>0</v>
      </c>
      <c r="AV22" s="775">
        <f t="shared" ca="1" si="23"/>
        <v>0</v>
      </c>
      <c r="AW22" s="775">
        <f t="shared" ca="1" si="24"/>
        <v>0</v>
      </c>
      <c r="AX22" s="775">
        <f t="shared" si="25"/>
        <v>0</v>
      </c>
      <c r="AY22" s="775">
        <f t="shared" ca="1" si="26"/>
        <v>0</v>
      </c>
      <c r="AZ22" s="775">
        <f t="shared" si="27"/>
        <v>0</v>
      </c>
      <c r="BA22" s="775">
        <f t="shared" ca="1" si="1"/>
        <v>0</v>
      </c>
      <c r="BB22" s="775">
        <f t="shared" ca="1" si="2"/>
        <v>0</v>
      </c>
      <c r="BC22" s="775">
        <f t="shared" ca="1" si="3"/>
        <v>0</v>
      </c>
      <c r="BD22" s="775">
        <f t="shared" ca="1" si="4"/>
        <v>0</v>
      </c>
      <c r="BE22" s="775">
        <f t="shared" ca="1" si="5"/>
        <v>0</v>
      </c>
      <c r="BF22" s="775">
        <f t="shared" ca="1" si="6"/>
        <v>0</v>
      </c>
      <c r="BG22" s="775">
        <f t="shared" ca="1" si="7"/>
        <v>0</v>
      </c>
      <c r="BH22" s="775"/>
      <c r="BI22" s="775"/>
      <c r="BJ22" s="775"/>
      <c r="BK22" s="775"/>
      <c r="BL22" s="775"/>
      <c r="BM22" s="775"/>
      <c r="BN22" s="775"/>
      <c r="BO22" s="775">
        <f t="shared" si="8"/>
        <v>0</v>
      </c>
      <c r="BP22" s="775">
        <f t="shared" si="9"/>
        <v>0</v>
      </c>
      <c r="BQ22" s="775">
        <f t="shared" ca="1" si="10"/>
        <v>0</v>
      </c>
      <c r="BR22" s="775">
        <f t="shared" ca="1" si="11"/>
        <v>0</v>
      </c>
    </row>
    <row r="23" spans="1:70">
      <c r="A23" s="767" t="str">
        <f t="shared" ca="1" si="12"/>
        <v/>
      </c>
      <c r="B23" s="767" t="str">
        <f>CT_tram!B3236</f>
        <v>tr16001</v>
      </c>
      <c r="C23" s="188" t="str">
        <f ca="1">IF(F23=0,"",COUNTIF($F$6:$F23,"&gt;0"))</f>
        <v/>
      </c>
      <c r="D23" s="778" t="str">
        <f>VLOOKUP($B23,dongia1,DG!$C$5,)</f>
        <v>Máy biến áp 22/0,4kV- 1600kVA</v>
      </c>
      <c r="E23" s="555" t="str">
        <f>VLOOKUP($B23,dongia1,DG!$D$5,)</f>
        <v>máy</v>
      </c>
      <c r="F23" s="779">
        <f t="shared" ca="1" si="13"/>
        <v>0</v>
      </c>
      <c r="G23" s="775">
        <f t="shared" ca="1" si="30"/>
        <v>0</v>
      </c>
      <c r="H23" s="775">
        <f ca="1">SUMIF(CT_tram!$B$33:$G$3559,kl!B23,CT_tram!$G$33:$G$3559)</f>
        <v>0</v>
      </c>
      <c r="I23" s="775">
        <f ca="1">SUMIF(CT_tram!$B$34:$G$115,$B23,CT_tram!$G$34:$G$115)</f>
        <v>0</v>
      </c>
      <c r="J23" s="775">
        <f ca="1">SUMIF(CT_tram!$B$122:$G$204,$B23,CT_tram!$G$122:$G$204)</f>
        <v>0</v>
      </c>
      <c r="K23" s="775">
        <f ca="1">SUMIF(CT_tram!$B$211:$G$293,$B23,CT_tram!$G$211:$G$293)</f>
        <v>0</v>
      </c>
      <c r="L23" s="775">
        <f ca="1">SUMIF(CT_tram!$B$300:$G$374,$B23,CT_tram!$G$300:$G$374)</f>
        <v>0</v>
      </c>
      <c r="M23" s="775">
        <f ca="1">SUMIF(CT_tram!$B$381:$G$471,$B23,CT_tram!$G$381:$G$471)</f>
        <v>0</v>
      </c>
      <c r="N23" s="775">
        <f ca="1">SUMIF(CT_tram!$B$478:$G$560,$B23,CT_tram!$G$478:$G$560)</f>
        <v>0</v>
      </c>
      <c r="O23" s="775">
        <f ca="1">SUMIF(CT_tram!$B$567:$G$653,$B23,CT_tram!$G$567:$G$653)</f>
        <v>0</v>
      </c>
      <c r="P23" s="775">
        <f ca="1">SUMIF(CT_tram!$B$661:$G$738,$B23,CT_tram!$G$661:$G$738)</f>
        <v>0</v>
      </c>
      <c r="Q23" s="775">
        <f ca="1">SUMIF(CT_tram!$B$745:$G$899,$B23,CT_tram!$G$745:$G$899)</f>
        <v>0</v>
      </c>
      <c r="R23" s="775">
        <f ca="1">SUMIF(CT_tram!$B$907:$G$995,$B23,CT_tram!$G$907:$G$995)</f>
        <v>0</v>
      </c>
      <c r="S23" s="775"/>
      <c r="T23" s="775">
        <f ca="1">SUMIF(CT_tram!$B$1004:$G$1097,B23,CT_tram!$G$1004:$G$1097)</f>
        <v>0</v>
      </c>
      <c r="U23" s="775"/>
      <c r="V23" s="775">
        <f ca="1">SUMIF(CT_tram!$B$1226:$G$1352,kl!B23,CT_tram!$G$1226:$G$1352)</f>
        <v>0</v>
      </c>
      <c r="W23" s="780">
        <f ca="1">SUMIF(CT_tram!$B$1105:$G$1219,kl!B23,CT_tram!$G$1105:$G$1219)</f>
        <v>0</v>
      </c>
      <c r="X23" s="775">
        <f ca="1">SUMIF(CT_tram!$B$1359:$G$1504,kl!B23,CT_tram!$G$1359:$G$1504)</f>
        <v>0</v>
      </c>
      <c r="Y23" s="775">
        <f ca="1">SUMIF(CT_tram!$B$1511:$G$1625,kl!B23,CT_tram!$G$1511:$G$1625)</f>
        <v>0</v>
      </c>
      <c r="Z23" s="775">
        <f ca="1">SUMIF(CT_tram!$B$1632:$G$2211,kl!B23,CT_tram!$G$1632:$G$2211)</f>
        <v>0</v>
      </c>
      <c r="AA23" s="775">
        <f ca="1">SUMIF(CT_tram!$B$2243:$G$2384,kl!B23,CT_tram!$G$2243:$G$2384)</f>
        <v>0</v>
      </c>
      <c r="AB23" s="775">
        <f ca="1">SUMIF(CT_tram!$B$2391:$G$2563,kl!B23,CT_tram!$G$2391:$G$2563)</f>
        <v>0</v>
      </c>
      <c r="AC23" s="775"/>
      <c r="AD23" s="775"/>
      <c r="AE23" s="775"/>
      <c r="AF23" s="775"/>
      <c r="AG23" s="775"/>
      <c r="AH23" s="775"/>
      <c r="AI23" s="775"/>
      <c r="AJ23" s="775"/>
      <c r="AK23" s="775"/>
      <c r="AL23" s="775">
        <f ca="1">SUMIF('Cap ngam'!B$16:G$400,kl!$B23,'Cap ngam'!G$16:G$400)</f>
        <v>0</v>
      </c>
      <c r="AM23" s="776">
        <v>3956</v>
      </c>
      <c r="AN23" s="775">
        <f t="shared" ca="1" si="15"/>
        <v>0</v>
      </c>
      <c r="AO23" s="775">
        <f t="shared" ca="1" si="16"/>
        <v>0</v>
      </c>
      <c r="AP23" s="775">
        <f t="shared" ca="1" si="17"/>
        <v>0</v>
      </c>
      <c r="AQ23" s="775">
        <f t="shared" ca="1" si="18"/>
        <v>0</v>
      </c>
      <c r="AR23" s="775">
        <f t="shared" ca="1" si="19"/>
        <v>0</v>
      </c>
      <c r="AS23" s="775">
        <f t="shared" ca="1" si="20"/>
        <v>0</v>
      </c>
      <c r="AT23" s="775">
        <f t="shared" ca="1" si="21"/>
        <v>0</v>
      </c>
      <c r="AU23" s="775">
        <f t="shared" ca="1" si="22"/>
        <v>0</v>
      </c>
      <c r="AV23" s="775">
        <f t="shared" ca="1" si="23"/>
        <v>0</v>
      </c>
      <c r="AW23" s="775">
        <f t="shared" ca="1" si="24"/>
        <v>0</v>
      </c>
      <c r="AX23" s="775">
        <f t="shared" si="25"/>
        <v>0</v>
      </c>
      <c r="AY23" s="775">
        <f t="shared" ca="1" si="26"/>
        <v>0</v>
      </c>
      <c r="AZ23" s="775">
        <f t="shared" si="27"/>
        <v>0</v>
      </c>
      <c r="BA23" s="775">
        <f t="shared" ca="1" si="1"/>
        <v>0</v>
      </c>
      <c r="BB23" s="775">
        <f t="shared" ca="1" si="2"/>
        <v>0</v>
      </c>
      <c r="BC23" s="775">
        <f t="shared" ca="1" si="3"/>
        <v>0</v>
      </c>
      <c r="BD23" s="775">
        <f t="shared" ca="1" si="4"/>
        <v>0</v>
      </c>
      <c r="BE23" s="775">
        <f t="shared" ca="1" si="5"/>
        <v>0</v>
      </c>
      <c r="BF23" s="775">
        <f t="shared" ca="1" si="6"/>
        <v>0</v>
      </c>
      <c r="BG23" s="775">
        <f t="shared" ca="1" si="7"/>
        <v>0</v>
      </c>
      <c r="BH23" s="775"/>
      <c r="BI23" s="775"/>
      <c r="BJ23" s="775"/>
      <c r="BK23" s="775"/>
      <c r="BL23" s="775"/>
      <c r="BM23" s="775"/>
      <c r="BN23" s="775"/>
      <c r="BO23" s="775">
        <f t="shared" si="8"/>
        <v>0</v>
      </c>
      <c r="BP23" s="775">
        <f t="shared" si="9"/>
        <v>0</v>
      </c>
      <c r="BQ23" s="775">
        <f t="shared" ca="1" si="10"/>
        <v>0</v>
      </c>
      <c r="BR23" s="775">
        <f t="shared" ca="1" si="11"/>
        <v>0</v>
      </c>
    </row>
    <row r="24" spans="1:70">
      <c r="A24" s="767" t="str">
        <f t="shared" ca="1" si="12"/>
        <v/>
      </c>
      <c r="B24" s="767" t="str">
        <f>CT_tram!B3389</f>
        <v>tr20001</v>
      </c>
      <c r="C24" s="188" t="str">
        <f ca="1">IF(F24=0,"",COUNTIF($F$6:$F24,"&gt;0"))</f>
        <v/>
      </c>
      <c r="D24" s="778" t="str">
        <f>VLOOKUP($B24,dongia1,DG!$C$5,)</f>
        <v>Máy biến áp 22/0,4kV- 2000kVA</v>
      </c>
      <c r="E24" s="555" t="str">
        <f>VLOOKUP($B24,dongia1,DG!$D$5,)</f>
        <v>máy</v>
      </c>
      <c r="F24" s="779">
        <f t="shared" ca="1" si="13"/>
        <v>0</v>
      </c>
      <c r="G24" s="775">
        <f t="shared" ca="1" si="30"/>
        <v>0</v>
      </c>
      <c r="H24" s="775">
        <f ca="1">SUMIF(CT_tram!$B$33:$G$3559,kl!B24,CT_tram!$G$33:$G$3559)</f>
        <v>0</v>
      </c>
      <c r="I24" s="775">
        <f ca="1">SUMIF(CT_tram!$B$34:$G$115,$B24,CT_tram!$G$34:$G$115)</f>
        <v>0</v>
      </c>
      <c r="J24" s="775">
        <f ca="1">SUMIF(CT_tram!$B$122:$G$204,$B24,CT_tram!$G$122:$G$204)</f>
        <v>0</v>
      </c>
      <c r="K24" s="775">
        <f ca="1">SUMIF(CT_tram!$B$211:$G$293,$B24,CT_tram!$G$211:$G$293)</f>
        <v>0</v>
      </c>
      <c r="L24" s="775">
        <f ca="1">SUMIF(CT_tram!$B$300:$G$374,$B24,CT_tram!$G$300:$G$374)</f>
        <v>0</v>
      </c>
      <c r="M24" s="775">
        <f ca="1">SUMIF(CT_tram!$B$381:$G$471,$B24,CT_tram!$G$381:$G$471)</f>
        <v>0</v>
      </c>
      <c r="N24" s="775">
        <f ca="1">SUMIF(CT_tram!$B$478:$G$560,$B24,CT_tram!$G$478:$G$560)</f>
        <v>0</v>
      </c>
      <c r="O24" s="775">
        <f ca="1">SUMIF(CT_tram!$B$567:$G$653,$B24,CT_tram!$G$567:$G$653)</f>
        <v>0</v>
      </c>
      <c r="P24" s="775">
        <f ca="1">SUMIF(CT_tram!$B$661:$G$738,$B24,CT_tram!$G$661:$G$738)</f>
        <v>0</v>
      </c>
      <c r="Q24" s="775">
        <f ca="1">SUMIF(CT_tram!$B$745:$G$899,$B24,CT_tram!$G$745:$G$899)</f>
        <v>0</v>
      </c>
      <c r="R24" s="775">
        <f ca="1">SUMIF(CT_tram!$B$907:$G$995,$B24,CT_tram!$G$907:$G$995)</f>
        <v>0</v>
      </c>
      <c r="S24" s="775"/>
      <c r="T24" s="775">
        <f ca="1">SUMIF(CT_tram!$B$1004:$G$1097,B24,CT_tram!$G$1004:$G$1097)</f>
        <v>0</v>
      </c>
      <c r="U24" s="775"/>
      <c r="V24" s="775">
        <f ca="1">SUMIF(CT_tram!$B$1226:$G$1352,kl!B24,CT_tram!$G$1226:$G$1352)</f>
        <v>0</v>
      </c>
      <c r="W24" s="780">
        <f ca="1">SUMIF(CT_tram!$B$1105:$G$1219,kl!B24,CT_tram!$G$1105:$G$1219)</f>
        <v>0</v>
      </c>
      <c r="X24" s="775">
        <f ca="1">SUMIF(CT_tram!$B$1359:$G$1504,kl!B24,CT_tram!$G$1359:$G$1504)</f>
        <v>0</v>
      </c>
      <c r="Y24" s="775">
        <f ca="1">SUMIF(CT_tram!$B$1511:$G$1625,kl!B24,CT_tram!$G$1511:$G$1625)</f>
        <v>0</v>
      </c>
      <c r="Z24" s="775">
        <f ca="1">SUMIF(CT_tram!$B$1632:$G$2211,kl!B24,CT_tram!$G$1632:$G$2211)</f>
        <v>0</v>
      </c>
      <c r="AA24" s="775">
        <f ca="1">SUMIF(CT_tram!$B$2243:$G$2384,kl!B24,CT_tram!$G$2243:$G$2384)</f>
        <v>0</v>
      </c>
      <c r="AB24" s="775">
        <f ca="1">SUMIF(CT_tram!$B$2391:$G$2563,kl!B24,CT_tram!$G$2391:$G$2563)</f>
        <v>0</v>
      </c>
      <c r="AC24" s="775"/>
      <c r="AD24" s="775"/>
      <c r="AE24" s="775"/>
      <c r="AF24" s="775"/>
      <c r="AG24" s="775"/>
      <c r="AH24" s="775"/>
      <c r="AI24" s="775"/>
      <c r="AJ24" s="775"/>
      <c r="AK24" s="775"/>
      <c r="AL24" s="775">
        <f ca="1">SUMIF('Cap ngam'!B$16:G$400,kl!$B24,'Cap ngam'!G$16:G$400)</f>
        <v>0</v>
      </c>
      <c r="AM24" s="776">
        <v>4876</v>
      </c>
      <c r="AN24" s="775">
        <f t="shared" ca="1" si="15"/>
        <v>0</v>
      </c>
      <c r="AO24" s="775">
        <f t="shared" ca="1" si="16"/>
        <v>0</v>
      </c>
      <c r="AP24" s="775">
        <f t="shared" ca="1" si="17"/>
        <v>0</v>
      </c>
      <c r="AQ24" s="775">
        <f t="shared" ca="1" si="18"/>
        <v>0</v>
      </c>
      <c r="AR24" s="775">
        <f t="shared" ca="1" si="19"/>
        <v>0</v>
      </c>
      <c r="AS24" s="775">
        <f t="shared" ca="1" si="20"/>
        <v>0</v>
      </c>
      <c r="AT24" s="775">
        <f t="shared" ca="1" si="21"/>
        <v>0</v>
      </c>
      <c r="AU24" s="775">
        <f t="shared" ca="1" si="22"/>
        <v>0</v>
      </c>
      <c r="AV24" s="775">
        <f t="shared" ca="1" si="23"/>
        <v>0</v>
      </c>
      <c r="AW24" s="775">
        <f t="shared" ca="1" si="24"/>
        <v>0</v>
      </c>
      <c r="AX24" s="775">
        <f t="shared" si="25"/>
        <v>0</v>
      </c>
      <c r="AY24" s="775">
        <f t="shared" ca="1" si="26"/>
        <v>0</v>
      </c>
      <c r="AZ24" s="775">
        <f t="shared" si="27"/>
        <v>0</v>
      </c>
      <c r="BA24" s="775">
        <f t="shared" ca="1" si="1"/>
        <v>0</v>
      </c>
      <c r="BB24" s="775">
        <f t="shared" ca="1" si="2"/>
        <v>0</v>
      </c>
      <c r="BC24" s="775">
        <f t="shared" ca="1" si="3"/>
        <v>0</v>
      </c>
      <c r="BD24" s="775">
        <f t="shared" ca="1" si="4"/>
        <v>0</v>
      </c>
      <c r="BE24" s="775">
        <f t="shared" ca="1" si="5"/>
        <v>0</v>
      </c>
      <c r="BF24" s="775">
        <f t="shared" ca="1" si="6"/>
        <v>0</v>
      </c>
      <c r="BG24" s="775">
        <f t="shared" ca="1" si="7"/>
        <v>0</v>
      </c>
      <c r="BH24" s="775"/>
      <c r="BI24" s="775"/>
      <c r="BJ24" s="775"/>
      <c r="BK24" s="775"/>
      <c r="BL24" s="775"/>
      <c r="BM24" s="775"/>
      <c r="BN24" s="775"/>
      <c r="BO24" s="775">
        <f t="shared" si="8"/>
        <v>0</v>
      </c>
      <c r="BP24" s="775">
        <f t="shared" si="9"/>
        <v>0</v>
      </c>
      <c r="BQ24" s="775">
        <f t="shared" ca="1" si="10"/>
        <v>0</v>
      </c>
      <c r="BR24" s="775">
        <f t="shared" ca="1" si="11"/>
        <v>0</v>
      </c>
    </row>
    <row r="25" spans="1:70">
      <c r="A25" s="767" t="str">
        <f t="shared" ca="1" si="12"/>
        <v/>
      </c>
      <c r="B25" s="785" t="s">
        <v>1243</v>
      </c>
      <c r="C25" s="188" t="str">
        <f ca="1">IF(F25=0,"",COUNTIF($F$6:$F25,"&gt;0"))</f>
        <v/>
      </c>
      <c r="D25" s="778" t="str">
        <f>VLOOKUP($B25,dongia1,DG!$C$5,)</f>
        <v>Tủ + LBS 24kV 3 pha 630A -16kA + Fuse 80A</v>
      </c>
      <c r="E25" s="555" t="str">
        <f>VLOOKUP($B25,dongia1,DG!$D$5,)</f>
        <v>tủ</v>
      </c>
      <c r="F25" s="779">
        <f t="shared" ca="1" si="13"/>
        <v>0</v>
      </c>
      <c r="G25" s="775">
        <f t="shared" ca="1" si="30"/>
        <v>0</v>
      </c>
      <c r="H25" s="775">
        <f ca="1">SUMIF(CT_tram!$B$33:$G$3559,kl!B25,CT_tram!$G$33:$G$3559)</f>
        <v>0</v>
      </c>
      <c r="I25" s="775">
        <f ca="1">SUMIF(CT_tram!$B$34:$G$115,$B25,CT_tram!$G$34:$G$115)</f>
        <v>0</v>
      </c>
      <c r="J25" s="775">
        <f ca="1">SUMIF(CT_tram!$B$122:$G$204,$B25,CT_tram!$G$122:$G$204)</f>
        <v>0</v>
      </c>
      <c r="K25" s="775">
        <f ca="1">SUMIF(CT_tram!$B$211:$G$293,$B25,CT_tram!$G$211:$G$293)</f>
        <v>0</v>
      </c>
      <c r="L25" s="775">
        <f ca="1">SUMIF(CT_tram!$B$300:$G$374,$B25,CT_tram!$G$300:$G$374)</f>
        <v>0</v>
      </c>
      <c r="M25" s="775">
        <f ca="1">SUMIF(CT_tram!$B$381:$G$471,$B25,CT_tram!$G$381:$G$471)</f>
        <v>0</v>
      </c>
      <c r="N25" s="775">
        <f ca="1">SUMIF(CT_tram!$B$478:$G$560,$B25,CT_tram!$G$478:$G$560)</f>
        <v>0</v>
      </c>
      <c r="O25" s="775">
        <f ca="1">SUMIF(CT_tram!$B$567:$G$653,$B25,CT_tram!$G$567:$G$653)</f>
        <v>0</v>
      </c>
      <c r="P25" s="775">
        <f ca="1">SUMIF(CT_tram!$B$661:$G$738,$B25,CT_tram!$G$661:$G$738)</f>
        <v>0</v>
      </c>
      <c r="Q25" s="775">
        <f ca="1">SUMIF(CT_tram!$B$745:$G$899,$B25,CT_tram!$G$745:$G$899)</f>
        <v>0</v>
      </c>
      <c r="R25" s="775">
        <f ca="1">SUMIF(CT_tram!$B$907:$G$995,$B25,CT_tram!$G$907:$G$995)</f>
        <v>0</v>
      </c>
      <c r="S25" s="775"/>
      <c r="T25" s="775">
        <f ca="1">SUMIF(CT_tram!$B$1004:$G$1097,B25,CT_tram!$G$1004:$G$1097)</f>
        <v>0</v>
      </c>
      <c r="U25" s="775"/>
      <c r="V25" s="775">
        <f ca="1">SUMIF(CT_tram!$B$1226:$G$1352,kl!B25,CT_tram!$G$1226:$G$1352)</f>
        <v>0</v>
      </c>
      <c r="W25" s="780">
        <f ca="1">SUMIF(CT_tram!$B$1105:$G$1219,kl!B25,CT_tram!$G$1105:$G$1219)</f>
        <v>0</v>
      </c>
      <c r="X25" s="775">
        <f ca="1">SUMIF(CT_tram!$B$1359:$G$1504,kl!B25,CT_tram!$G$1359:$G$1504)</f>
        <v>0</v>
      </c>
      <c r="Y25" s="775">
        <f ca="1">SUMIF(CT_tram!$B$1511:$G$1625,kl!B25,CT_tram!$G$1511:$G$1625)</f>
        <v>0</v>
      </c>
      <c r="Z25" s="775">
        <f ca="1">SUMIF(CT_tram!$B$1632:$G$2211,kl!B25,CT_tram!$G$1632:$G$2211)</f>
        <v>0</v>
      </c>
      <c r="AA25" s="775">
        <f ca="1">SUMIF(CT_tram!$B$2243:$G$2384,kl!B25,CT_tram!$G$2243:$G$2384)</f>
        <v>0</v>
      </c>
      <c r="AB25" s="775">
        <f ca="1">SUMIF(CT_tram!$B$2391:$G$2563,kl!B25,CT_tram!$G$2391:$G$2563)</f>
        <v>0</v>
      </c>
      <c r="AC25" s="775"/>
      <c r="AD25" s="775"/>
      <c r="AE25" s="775"/>
      <c r="AF25" s="775"/>
      <c r="AG25" s="775"/>
      <c r="AH25" s="775"/>
      <c r="AI25" s="775"/>
      <c r="AJ25" s="775"/>
      <c r="AK25" s="775"/>
      <c r="AL25" s="775">
        <f ca="1">SUMIF('Cap ngam'!B$16:G$400,kl!$B25,'Cap ngam'!G$16:G$400)</f>
        <v>0</v>
      </c>
      <c r="AM25" s="776">
        <v>130</v>
      </c>
      <c r="AN25" s="775">
        <f t="shared" ca="1" si="15"/>
        <v>0</v>
      </c>
      <c r="AO25" s="775">
        <f t="shared" ca="1" si="16"/>
        <v>0</v>
      </c>
      <c r="AP25" s="775">
        <f t="shared" ca="1" si="17"/>
        <v>0</v>
      </c>
      <c r="AQ25" s="775">
        <f t="shared" ca="1" si="18"/>
        <v>0</v>
      </c>
      <c r="AR25" s="775">
        <f t="shared" ca="1" si="19"/>
        <v>0</v>
      </c>
      <c r="AS25" s="775">
        <f t="shared" ca="1" si="20"/>
        <v>0</v>
      </c>
      <c r="AT25" s="775">
        <f t="shared" ca="1" si="21"/>
        <v>0</v>
      </c>
      <c r="AU25" s="775">
        <f t="shared" ca="1" si="22"/>
        <v>0</v>
      </c>
      <c r="AV25" s="775">
        <f t="shared" ca="1" si="23"/>
        <v>0</v>
      </c>
      <c r="AW25" s="775">
        <f t="shared" ca="1" si="24"/>
        <v>0</v>
      </c>
      <c r="AX25" s="775">
        <f t="shared" si="25"/>
        <v>0</v>
      </c>
      <c r="AY25" s="775">
        <f t="shared" ca="1" si="26"/>
        <v>0</v>
      </c>
      <c r="AZ25" s="775">
        <f t="shared" si="27"/>
        <v>0</v>
      </c>
      <c r="BA25" s="775">
        <f t="shared" ca="1" si="1"/>
        <v>0</v>
      </c>
      <c r="BB25" s="775">
        <f t="shared" ca="1" si="2"/>
        <v>0</v>
      </c>
      <c r="BC25" s="775">
        <f t="shared" ca="1" si="3"/>
        <v>0</v>
      </c>
      <c r="BD25" s="775">
        <f t="shared" ca="1" si="4"/>
        <v>0</v>
      </c>
      <c r="BE25" s="775">
        <f t="shared" ca="1" si="5"/>
        <v>0</v>
      </c>
      <c r="BF25" s="775">
        <f t="shared" ca="1" si="6"/>
        <v>0</v>
      </c>
      <c r="BG25" s="775">
        <f t="shared" ca="1" si="7"/>
        <v>0</v>
      </c>
      <c r="BH25" s="775"/>
      <c r="BI25" s="775"/>
      <c r="BJ25" s="775"/>
      <c r="BK25" s="775"/>
      <c r="BL25" s="775"/>
      <c r="BM25" s="775"/>
      <c r="BN25" s="775"/>
      <c r="BO25" s="775">
        <f t="shared" si="8"/>
        <v>0</v>
      </c>
      <c r="BP25" s="775">
        <f t="shared" si="9"/>
        <v>0</v>
      </c>
      <c r="BQ25" s="775">
        <f t="shared" ca="1" si="10"/>
        <v>0</v>
      </c>
      <c r="BR25" s="775">
        <f t="shared" ca="1" si="11"/>
        <v>0</v>
      </c>
    </row>
    <row r="26" spans="1:70">
      <c r="A26" s="767" t="str">
        <f ca="1">IF(F26&lt;&gt;0,"X","")</f>
        <v/>
      </c>
      <c r="B26" s="785" t="s">
        <v>1244</v>
      </c>
      <c r="C26" s="188" t="str">
        <f ca="1">IF(F26=0,"",COUNTIF($F$6:$F26,"&gt;0"))</f>
        <v/>
      </c>
      <c r="D26" s="778" t="str">
        <f>VLOOKUP($B26,dongia1,DG!$C$5,)</f>
        <v>Tủ đấu nối thanh cái LBS (GAM2)</v>
      </c>
      <c r="E26" s="555" t="str">
        <f>VLOOKUP($B26,dongia1,DG!$D$5,)</f>
        <v>tủ</v>
      </c>
      <c r="F26" s="779">
        <f ca="1">G26+H26</f>
        <v>0</v>
      </c>
      <c r="G26" s="775">
        <f ca="1">SUM(AC26:AL26)</f>
        <v>0</v>
      </c>
      <c r="H26" s="775">
        <f ca="1">SUMIF(CT_tram!$B$33:$G$3559,kl!B26,CT_tram!$G$33:$G$3559)</f>
        <v>0</v>
      </c>
      <c r="I26" s="775">
        <f ca="1">SUMIF(CT_tram!$B$34:$G$115,$B26,CT_tram!$G$34:$G$115)</f>
        <v>0</v>
      </c>
      <c r="J26" s="775">
        <f ca="1">SUMIF(CT_tram!$B$122:$G$204,$B26,CT_tram!$G$122:$G$204)</f>
        <v>0</v>
      </c>
      <c r="K26" s="775">
        <f ca="1">SUMIF(CT_tram!$B$211:$G$293,$B26,CT_tram!$G$211:$G$293)</f>
        <v>0</v>
      </c>
      <c r="L26" s="775">
        <f ca="1">SUMIF(CT_tram!$B$300:$G$374,$B26,CT_tram!$G$300:$G$374)</f>
        <v>0</v>
      </c>
      <c r="M26" s="775">
        <f ca="1">SUMIF(CT_tram!$B$381:$G$471,$B26,CT_tram!$G$381:$G$471)</f>
        <v>0</v>
      </c>
      <c r="N26" s="775">
        <f ca="1">SUMIF(CT_tram!$B$478:$G$560,$B26,CT_tram!$G$478:$G$560)</f>
        <v>0</v>
      </c>
      <c r="O26" s="775">
        <f ca="1">SUMIF(CT_tram!$B$567:$G$653,$B26,CT_tram!$G$567:$G$653)</f>
        <v>0</v>
      </c>
      <c r="P26" s="775">
        <f ca="1">SUMIF(CT_tram!$B$661:$G$738,$B26,CT_tram!$G$661:$G$738)</f>
        <v>0</v>
      </c>
      <c r="Q26" s="775">
        <f ca="1">SUMIF(CT_tram!$B$745:$G$899,$B26,CT_tram!$G$745:$G$899)</f>
        <v>0</v>
      </c>
      <c r="R26" s="775">
        <f ca="1">SUMIF(CT_tram!$B$907:$G$995,$B26,CT_tram!$G$907:$G$995)</f>
        <v>0</v>
      </c>
      <c r="S26" s="775"/>
      <c r="T26" s="775">
        <f ca="1">SUMIF(CT_tram!$B$1004:$G$1097,B26,CT_tram!$G$1004:$G$1097)</f>
        <v>0</v>
      </c>
      <c r="U26" s="775"/>
      <c r="V26" s="775">
        <f ca="1">SUMIF(CT_tram!$B$1226:$G$1352,kl!B26,CT_tram!$G$1226:$G$1352)</f>
        <v>0</v>
      </c>
      <c r="W26" s="780">
        <f ca="1">SUMIF(CT_tram!$B$1105:$G$1219,kl!B26,CT_tram!$G$1105:$G$1219)</f>
        <v>0</v>
      </c>
      <c r="X26" s="775">
        <f ca="1">SUMIF(CT_tram!$B$1359:$G$1504,kl!B26,CT_tram!$G$1359:$G$1504)</f>
        <v>0</v>
      </c>
      <c r="Y26" s="775">
        <f ca="1">SUMIF(CT_tram!$B$1511:$G$1625,kl!B26,CT_tram!$G$1511:$G$1625)</f>
        <v>0</v>
      </c>
      <c r="Z26" s="775">
        <f ca="1">SUMIF(CT_tram!$B$1632:$G$2211,kl!B26,CT_tram!$G$1632:$G$2211)</f>
        <v>0</v>
      </c>
      <c r="AA26" s="775">
        <f ca="1">SUMIF(CT_tram!$B$2243:$G$2384,kl!B26,CT_tram!$G$2243:$G$2384)</f>
        <v>0</v>
      </c>
      <c r="AB26" s="775">
        <f ca="1">SUMIF(CT_tram!$B$2391:$G$2563,kl!B26,CT_tram!$G$2391:$G$2563)</f>
        <v>0</v>
      </c>
      <c r="AC26" s="775"/>
      <c r="AD26" s="775"/>
      <c r="AE26" s="775"/>
      <c r="AF26" s="775"/>
      <c r="AG26" s="775"/>
      <c r="AH26" s="775"/>
      <c r="AI26" s="775"/>
      <c r="AJ26" s="775"/>
      <c r="AK26" s="775"/>
      <c r="AL26" s="775">
        <f ca="1">SUMIF('Cap ngam'!B$16:G$400,kl!$B26,'Cap ngam'!G$16:G$400)</f>
        <v>0</v>
      </c>
      <c r="AM26" s="776">
        <v>120</v>
      </c>
      <c r="AN26" s="775">
        <f t="shared" ca="1" si="15"/>
        <v>0</v>
      </c>
      <c r="AO26" s="775">
        <f t="shared" ca="1" si="16"/>
        <v>0</v>
      </c>
      <c r="AP26" s="775">
        <f t="shared" ca="1" si="17"/>
        <v>0</v>
      </c>
      <c r="AQ26" s="775">
        <f t="shared" ca="1" si="18"/>
        <v>0</v>
      </c>
      <c r="AR26" s="775">
        <f t="shared" ca="1" si="19"/>
        <v>0</v>
      </c>
      <c r="AS26" s="775">
        <f t="shared" ca="1" si="20"/>
        <v>0</v>
      </c>
      <c r="AT26" s="775">
        <f t="shared" ca="1" si="21"/>
        <v>0</v>
      </c>
      <c r="AU26" s="775">
        <f t="shared" ca="1" si="22"/>
        <v>0</v>
      </c>
      <c r="AV26" s="775">
        <f t="shared" ca="1" si="23"/>
        <v>0</v>
      </c>
      <c r="AW26" s="775">
        <f t="shared" ca="1" si="24"/>
        <v>0</v>
      </c>
      <c r="AX26" s="775">
        <f t="shared" si="25"/>
        <v>0</v>
      </c>
      <c r="AY26" s="775">
        <f t="shared" ca="1" si="26"/>
        <v>0</v>
      </c>
      <c r="AZ26" s="775">
        <f t="shared" si="27"/>
        <v>0</v>
      </c>
      <c r="BA26" s="775">
        <f t="shared" ca="1" si="1"/>
        <v>0</v>
      </c>
      <c r="BB26" s="775">
        <f t="shared" ca="1" si="2"/>
        <v>0</v>
      </c>
      <c r="BC26" s="775">
        <f t="shared" ca="1" si="3"/>
        <v>0</v>
      </c>
      <c r="BD26" s="775">
        <f t="shared" ca="1" si="4"/>
        <v>0</v>
      </c>
      <c r="BE26" s="775">
        <f t="shared" ca="1" si="5"/>
        <v>0</v>
      </c>
      <c r="BF26" s="775">
        <f t="shared" ca="1" si="6"/>
        <v>0</v>
      </c>
      <c r="BG26" s="775">
        <f t="shared" ca="1" si="7"/>
        <v>0</v>
      </c>
      <c r="BH26" s="775"/>
      <c r="BI26" s="775"/>
      <c r="BJ26" s="775"/>
      <c r="BK26" s="775"/>
      <c r="BL26" s="775"/>
      <c r="BM26" s="775"/>
      <c r="BN26" s="775"/>
      <c r="BO26" s="775">
        <f t="shared" si="8"/>
        <v>0</v>
      </c>
      <c r="BP26" s="775">
        <f t="shared" si="9"/>
        <v>0</v>
      </c>
      <c r="BQ26" s="775">
        <f t="shared" ca="1" si="10"/>
        <v>0</v>
      </c>
      <c r="BR26" s="775">
        <f t="shared" ca="1" si="11"/>
        <v>0</v>
      </c>
    </row>
    <row r="27" spans="1:70">
      <c r="A27" s="767" t="str">
        <f t="shared" ca="1" si="12"/>
        <v/>
      </c>
      <c r="B27" s="767" t="s">
        <v>710</v>
      </c>
      <c r="C27" s="188" t="str">
        <f ca="1">IF(F27=0,"",COUNTIF($F$6:$F27,"&gt;0"))</f>
        <v/>
      </c>
      <c r="D27" s="778" t="str">
        <f>VLOOKUP($B27,dongia1,DG!$C$5,)</f>
        <v>LA 12kV 10kA</v>
      </c>
      <c r="E27" s="555" t="str">
        <f>VLOOKUP($B27,dongia1,DG!$D$5,)</f>
        <v>cái</v>
      </c>
      <c r="F27" s="779">
        <f t="shared" ca="1" si="13"/>
        <v>0</v>
      </c>
      <c r="G27" s="775">
        <f t="shared" ca="1" si="14"/>
        <v>0</v>
      </c>
      <c r="H27" s="775">
        <f ca="1">SUMIF(CT_tram!$B$33:$G$3559,kl!B27,CT_tram!$G$33:$G$3559)</f>
        <v>0</v>
      </c>
      <c r="I27" s="775">
        <f ca="1">SUMIF(CT_tram!$B$34:$G$115,$B27,CT_tram!$G$34:$G$115)</f>
        <v>0</v>
      </c>
      <c r="J27" s="775">
        <f ca="1">SUMIF(CT_tram!$B$122:$G$204,$B27,CT_tram!$G$122:$G$204)</f>
        <v>0</v>
      </c>
      <c r="K27" s="775">
        <f ca="1">SUMIF(CT_tram!$B$211:$G$293,$B27,CT_tram!$G$211:$G$293)</f>
        <v>0</v>
      </c>
      <c r="L27" s="775">
        <f ca="1">SUMIF(CT_tram!$B$300:$G$374,$B27,CT_tram!$G$300:$G$374)</f>
        <v>0</v>
      </c>
      <c r="M27" s="775">
        <f ca="1">SUMIF(CT_tram!$B$381:$G$471,$B27,CT_tram!$G$381:$G$471)</f>
        <v>0</v>
      </c>
      <c r="N27" s="775">
        <f ca="1">SUMIF(CT_tram!$B$478:$G$560,$B27,CT_tram!$G$478:$G$560)</f>
        <v>0</v>
      </c>
      <c r="O27" s="775">
        <f ca="1">SUMIF(CT_tram!$B$567:$G$653,$B27,CT_tram!$G$567:$G$653)</f>
        <v>0</v>
      </c>
      <c r="P27" s="775">
        <f ca="1">SUMIF(CT_tram!$B$661:$G$738,$B27,CT_tram!$G$661:$G$738)</f>
        <v>0</v>
      </c>
      <c r="Q27" s="775">
        <f ca="1">SUMIF(CT_tram!$B$745:$G$899,$B27,CT_tram!$G$745:$G$899)</f>
        <v>0</v>
      </c>
      <c r="R27" s="775">
        <f ca="1">SUMIF(CT_tram!$B$907:$G$995,$B27,CT_tram!$G$907:$G$995)</f>
        <v>0</v>
      </c>
      <c r="S27" s="775"/>
      <c r="T27" s="775">
        <f ca="1">SUMIF(CT_tram!$B$1004:$G$1097,B27,CT_tram!$G$1004:$G$1097)</f>
        <v>0</v>
      </c>
      <c r="U27" s="775"/>
      <c r="V27" s="775">
        <f ca="1">SUMIF(CT_tram!$B$1226:$G$1352,kl!B27,CT_tram!$G$1226:$G$1352)</f>
        <v>0</v>
      </c>
      <c r="W27" s="780">
        <f ca="1">SUMIF(CT_tram!$B$1105:$G$1219,kl!B27,CT_tram!$G$1105:$G$1219)</f>
        <v>0</v>
      </c>
      <c r="X27" s="775">
        <f ca="1">SUMIF(CT_tram!$B$1359:$G$1504,kl!B27,CT_tram!$G$1359:$G$1504)</f>
        <v>0</v>
      </c>
      <c r="Y27" s="775">
        <f ca="1">SUMIF(CT_tram!$B$1511:$G$1625,kl!B27,CT_tram!$G$1511:$G$1625)</f>
        <v>0</v>
      </c>
      <c r="Z27" s="775">
        <f ca="1">SUMIF(CT_tram!$B$1632:$G$2211,kl!B27,CT_tram!$G$1632:$G$2211)</f>
        <v>0</v>
      </c>
      <c r="AA27" s="775">
        <f ca="1">SUMIF(CT_tram!$B$2243:$G$2384,kl!B27,CT_tram!$G$2243:$G$2384)</f>
        <v>0</v>
      </c>
      <c r="AB27" s="775">
        <f ca="1">SUMIF(CT_tram!$B$2391:$G$2563,kl!B27,CT_tram!$G$2391:$G$2563)</f>
        <v>0</v>
      </c>
      <c r="AC27" s="775"/>
      <c r="AD27" s="775"/>
      <c r="AE27" s="775"/>
      <c r="AF27" s="775"/>
      <c r="AG27" s="775"/>
      <c r="AH27" s="775"/>
      <c r="AI27" s="775"/>
      <c r="AJ27" s="775"/>
      <c r="AK27" s="775"/>
      <c r="AL27" s="775">
        <f ca="1">SUMIF('Cap ngam'!B$16:G$400,kl!$B27,'Cap ngam'!G$16:G$400)</f>
        <v>0</v>
      </c>
      <c r="AM27" s="776">
        <v>3</v>
      </c>
      <c r="AN27" s="775">
        <f t="shared" ca="1" si="15"/>
        <v>0</v>
      </c>
      <c r="AO27" s="775">
        <f t="shared" ca="1" si="16"/>
        <v>0</v>
      </c>
      <c r="AP27" s="775">
        <f t="shared" ca="1" si="17"/>
        <v>0</v>
      </c>
      <c r="AQ27" s="775">
        <f t="shared" ca="1" si="18"/>
        <v>0</v>
      </c>
      <c r="AR27" s="775">
        <f t="shared" ca="1" si="19"/>
        <v>0</v>
      </c>
      <c r="AS27" s="775">
        <f t="shared" ca="1" si="20"/>
        <v>0</v>
      </c>
      <c r="AT27" s="775">
        <f t="shared" ca="1" si="21"/>
        <v>0</v>
      </c>
      <c r="AU27" s="775">
        <f t="shared" ca="1" si="22"/>
        <v>0</v>
      </c>
      <c r="AV27" s="775">
        <f t="shared" ca="1" si="23"/>
        <v>0</v>
      </c>
      <c r="AW27" s="775">
        <f t="shared" ca="1" si="24"/>
        <v>0</v>
      </c>
      <c r="AX27" s="775">
        <f t="shared" si="25"/>
        <v>0</v>
      </c>
      <c r="AY27" s="775">
        <f t="shared" ca="1" si="26"/>
        <v>0</v>
      </c>
      <c r="AZ27" s="775">
        <f t="shared" si="27"/>
        <v>0</v>
      </c>
      <c r="BA27" s="775">
        <f t="shared" ca="1" si="1"/>
        <v>0</v>
      </c>
      <c r="BB27" s="775">
        <f t="shared" ca="1" si="2"/>
        <v>0</v>
      </c>
      <c r="BC27" s="775">
        <f t="shared" ca="1" si="3"/>
        <v>0</v>
      </c>
      <c r="BD27" s="775">
        <f t="shared" ca="1" si="4"/>
        <v>0</v>
      </c>
      <c r="BE27" s="775">
        <f t="shared" ca="1" si="5"/>
        <v>0</v>
      </c>
      <c r="BF27" s="775">
        <f t="shared" ca="1" si="6"/>
        <v>0</v>
      </c>
      <c r="BG27" s="775">
        <f t="shared" ca="1" si="7"/>
        <v>0</v>
      </c>
      <c r="BH27" s="775"/>
      <c r="BI27" s="775"/>
      <c r="BJ27" s="775"/>
      <c r="BK27" s="775"/>
      <c r="BL27" s="775"/>
      <c r="BM27" s="775"/>
      <c r="BN27" s="775"/>
      <c r="BO27" s="775">
        <f t="shared" si="8"/>
        <v>0</v>
      </c>
      <c r="BP27" s="775">
        <f t="shared" si="9"/>
        <v>0</v>
      </c>
      <c r="BQ27" s="775">
        <f t="shared" ca="1" si="10"/>
        <v>0</v>
      </c>
      <c r="BR27" s="775">
        <f t="shared" ca="1" si="11"/>
        <v>0</v>
      </c>
    </row>
    <row r="28" spans="1:70">
      <c r="A28" s="767" t="str">
        <f t="shared" ca="1" si="12"/>
        <v>X</v>
      </c>
      <c r="B28" s="767" t="s">
        <v>1405</v>
      </c>
      <c r="C28" s="188">
        <f ca="1">IF(F28=0,"",COUNTIF($F$6:$F28,"&gt;0"))</f>
        <v>2</v>
      </c>
      <c r="D28" s="778" t="str">
        <f>VLOOKUP($B28,dongia1,DG!$C$5,)</f>
        <v>LA 18kV 10kA</v>
      </c>
      <c r="E28" s="555" t="str">
        <f>VLOOKUP($B28,dongia1,DG!$D$5,)</f>
        <v>cái</v>
      </c>
      <c r="F28" s="975">
        <f t="shared" ca="1" si="13"/>
        <v>3</v>
      </c>
      <c r="G28" s="976">
        <f t="shared" ca="1" si="14"/>
        <v>0</v>
      </c>
      <c r="H28" s="976">
        <f ca="1">SUMIF(CT_tram!$B$33:$G$3559,kl!B28,CT_tram!$G$33:$G$3559)</f>
        <v>3</v>
      </c>
      <c r="I28" s="775">
        <f ca="1">SUMIF(CT_tram!$B$34:$G$115,$B28,CT_tram!$G$34:$G$115)</f>
        <v>0</v>
      </c>
      <c r="J28" s="775">
        <f ca="1">SUMIF(CT_tram!$B$122:$G$204,$B28,CT_tram!$G$122:$G$204)</f>
        <v>0</v>
      </c>
      <c r="K28" s="775">
        <f ca="1">SUMIF(CT_tram!$B$211:$G$293,$B28,CT_tram!$G$211:$G$293)</f>
        <v>0</v>
      </c>
      <c r="L28" s="775">
        <f ca="1">SUMIF(CT_tram!$B$300:$G$374,$B28,CT_tram!$G$300:$G$374)</f>
        <v>0</v>
      </c>
      <c r="M28" s="775">
        <f ca="1">SUMIF(CT_tram!$B$381:$G$471,$B28,CT_tram!$G$381:$G$471)</f>
        <v>0</v>
      </c>
      <c r="N28" s="775">
        <f ca="1">SUMIF(CT_tram!$B$478:$G$560,$B28,CT_tram!$G$478:$G$560)</f>
        <v>0</v>
      </c>
      <c r="O28" s="775">
        <f ca="1">SUMIF(CT_tram!$B$567:$G$653,$B28,CT_tram!$G$567:$G$653)</f>
        <v>0</v>
      </c>
      <c r="P28" s="775">
        <f ca="1">SUMIF(CT_tram!$B$661:$G$738,$B28,CT_tram!$G$661:$G$738)</f>
        <v>0</v>
      </c>
      <c r="Q28" s="775">
        <f ca="1">SUMIF(CT_tram!$B$745:$G$899,$B28,CT_tram!$G$745:$G$899)</f>
        <v>0</v>
      </c>
      <c r="R28" s="775">
        <f ca="1">SUMIF(CT_tram!$B$907:$G$995,$B28,CT_tram!$G$907:$G$995)</f>
        <v>0</v>
      </c>
      <c r="S28" s="775"/>
      <c r="T28" s="775">
        <f ca="1">SUMIF(CT_tram!$B$1004:$G$1097,B28,CT_tram!$G$1004:$G$1097)</f>
        <v>0</v>
      </c>
      <c r="U28" s="775"/>
      <c r="V28" s="775">
        <f ca="1">SUMIF(CT_tram!$B$1226:$G$1352,kl!B28,CT_tram!$G$1226:$G$1352)</f>
        <v>0</v>
      </c>
      <c r="W28" s="780">
        <f ca="1">SUMIF(CT_tram!$B$1105:$G$1219,kl!B28,CT_tram!$G$1105:$G$1219)</f>
        <v>0</v>
      </c>
      <c r="X28" s="775">
        <f ca="1">SUMIF(CT_tram!$B$1359:$G$1504,kl!B28,CT_tram!$G$1359:$G$1504)</f>
        <v>0</v>
      </c>
      <c r="Y28" s="775">
        <f ca="1">SUMIF(CT_tram!$B$1511:$G$1625,kl!B28,CT_tram!$G$1511:$G$1625)</f>
        <v>0</v>
      </c>
      <c r="Z28" s="775">
        <f ca="1">SUMIF(CT_tram!$B$1632:$G$2211,kl!B28,CT_tram!$G$1632:$G$2211)</f>
        <v>0</v>
      </c>
      <c r="AA28" s="775">
        <f ca="1">SUMIF(CT_tram!$B$2243:$G$2384,kl!B28,CT_tram!$G$2243:$G$2384)</f>
        <v>0</v>
      </c>
      <c r="AB28" s="775">
        <f ca="1">SUMIF(CT_tram!$B$2391:$G$2563,kl!B28,CT_tram!$G$2391:$G$2563)</f>
        <v>0</v>
      </c>
      <c r="AC28" s="775"/>
      <c r="AD28" s="775"/>
      <c r="AE28" s="775"/>
      <c r="AF28" s="775"/>
      <c r="AG28" s="775"/>
      <c r="AH28" s="775"/>
      <c r="AI28" s="775"/>
      <c r="AJ28" s="775"/>
      <c r="AK28" s="775"/>
      <c r="AL28" s="775">
        <f ca="1">SUMIF('Cap ngam'!B$16:G$400,kl!$B28,'Cap ngam'!G$16:G$400)</f>
        <v>0</v>
      </c>
      <c r="AM28" s="776">
        <v>3</v>
      </c>
      <c r="AN28" s="775">
        <f t="shared" ca="1" si="15"/>
        <v>0</v>
      </c>
      <c r="AO28" s="775">
        <f t="shared" ca="1" si="16"/>
        <v>0</v>
      </c>
      <c r="AP28" s="775">
        <f t="shared" ca="1" si="17"/>
        <v>0</v>
      </c>
      <c r="AQ28" s="775">
        <f t="shared" ca="1" si="18"/>
        <v>0</v>
      </c>
      <c r="AR28" s="775">
        <f t="shared" ca="1" si="19"/>
        <v>0</v>
      </c>
      <c r="AS28" s="775">
        <f t="shared" ca="1" si="20"/>
        <v>0</v>
      </c>
      <c r="AT28" s="775">
        <f t="shared" ca="1" si="21"/>
        <v>0</v>
      </c>
      <c r="AU28" s="775">
        <f t="shared" ca="1" si="22"/>
        <v>0</v>
      </c>
      <c r="AV28" s="775">
        <f t="shared" ca="1" si="23"/>
        <v>0</v>
      </c>
      <c r="AW28" s="775">
        <f t="shared" ca="1" si="24"/>
        <v>0</v>
      </c>
      <c r="AX28" s="775">
        <f t="shared" si="25"/>
        <v>0</v>
      </c>
      <c r="AY28" s="775">
        <f t="shared" ca="1" si="26"/>
        <v>0</v>
      </c>
      <c r="AZ28" s="775">
        <f t="shared" si="27"/>
        <v>0</v>
      </c>
      <c r="BA28" s="775">
        <f t="shared" ca="1" si="1"/>
        <v>0</v>
      </c>
      <c r="BB28" s="775">
        <f t="shared" ca="1" si="2"/>
        <v>0</v>
      </c>
      <c r="BC28" s="775">
        <f t="shared" ca="1" si="3"/>
        <v>0</v>
      </c>
      <c r="BD28" s="775">
        <f t="shared" ca="1" si="4"/>
        <v>0</v>
      </c>
      <c r="BE28" s="775">
        <f t="shared" ca="1" si="5"/>
        <v>0</v>
      </c>
      <c r="BF28" s="775">
        <f t="shared" ca="1" si="6"/>
        <v>0</v>
      </c>
      <c r="BG28" s="775">
        <f t="shared" ca="1" si="7"/>
        <v>0</v>
      </c>
      <c r="BH28" s="775"/>
      <c r="BI28" s="775"/>
      <c r="BJ28" s="775"/>
      <c r="BK28" s="775"/>
      <c r="BL28" s="775"/>
      <c r="BM28" s="775"/>
      <c r="BN28" s="775"/>
      <c r="BO28" s="775">
        <f t="shared" si="8"/>
        <v>0</v>
      </c>
      <c r="BP28" s="775">
        <f t="shared" si="9"/>
        <v>0</v>
      </c>
      <c r="BQ28" s="775">
        <f t="shared" ca="1" si="10"/>
        <v>0</v>
      </c>
      <c r="BR28" s="775">
        <f t="shared" ca="1" si="11"/>
        <v>9</v>
      </c>
    </row>
    <row r="29" spans="1:70">
      <c r="A29" s="767" t="str">
        <f t="shared" ca="1" si="12"/>
        <v/>
      </c>
      <c r="B29" s="767" t="s">
        <v>711</v>
      </c>
      <c r="C29" s="188" t="str">
        <f ca="1">IF(F29=0,"",COUNTIF($F$6:$F29,"&gt;0"))</f>
        <v/>
      </c>
      <c r="D29" s="778" t="str">
        <f>VLOOKUP($B29,dongia1,DG!$C$5,)</f>
        <v>MCCB 3 cực 400V-75A - 30KA</v>
      </c>
      <c r="E29" s="555" t="str">
        <f>VLOOKUP($B29,dongia1,DG!$D$5,)</f>
        <v>cái</v>
      </c>
      <c r="F29" s="779">
        <f t="shared" ca="1" si="13"/>
        <v>0</v>
      </c>
      <c r="G29" s="775">
        <f t="shared" ca="1" si="14"/>
        <v>0</v>
      </c>
      <c r="H29" s="775">
        <f ca="1">SUMIF(CT_tram!$B$33:$G$3559,kl!B29,CT_tram!$G$33:$G$3559)</f>
        <v>0</v>
      </c>
      <c r="I29" s="775">
        <f ca="1">SUMIF(CT_tram!$B$34:$G$115,$B29,CT_tram!$G$34:$G$115)</f>
        <v>0</v>
      </c>
      <c r="J29" s="775">
        <f ca="1">SUMIF(CT_tram!$B$122:$G$204,$B29,CT_tram!$G$122:$G$204)</f>
        <v>0</v>
      </c>
      <c r="K29" s="775">
        <f ca="1">SUMIF(CT_tram!$B$211:$G$293,$B29,CT_tram!$G$211:$G$293)</f>
        <v>0</v>
      </c>
      <c r="L29" s="775">
        <f ca="1">SUMIF(CT_tram!$B$300:$G$374,$B29,CT_tram!$G$300:$G$374)</f>
        <v>0</v>
      </c>
      <c r="M29" s="775">
        <f ca="1">SUMIF(CT_tram!$B$381:$G$471,$B29,CT_tram!$G$381:$G$471)</f>
        <v>0</v>
      </c>
      <c r="N29" s="775">
        <f ca="1">SUMIF(CT_tram!$B$478:$G$560,$B29,CT_tram!$G$478:$G$560)</f>
        <v>0</v>
      </c>
      <c r="O29" s="775">
        <f ca="1">SUMIF(CT_tram!$B$567:$G$653,$B29,CT_tram!$G$567:$G$653)</f>
        <v>0</v>
      </c>
      <c r="P29" s="775">
        <f ca="1">SUMIF(CT_tram!$B$661:$G$738,$B29,CT_tram!$G$661:$G$738)</f>
        <v>0</v>
      </c>
      <c r="Q29" s="775">
        <f ca="1">SUMIF(CT_tram!$B$745:$G$899,$B29,CT_tram!$G$745:$G$899)</f>
        <v>0</v>
      </c>
      <c r="R29" s="775">
        <f ca="1">SUMIF(CT_tram!$B$907:$G$995,$B29,CT_tram!$G$907:$G$995)</f>
        <v>0</v>
      </c>
      <c r="S29" s="775"/>
      <c r="T29" s="775">
        <f ca="1">SUMIF(CT_tram!$B$1004:$G$1097,B29,CT_tram!$G$1004:$G$1097)</f>
        <v>0</v>
      </c>
      <c r="U29" s="775"/>
      <c r="V29" s="775">
        <f ca="1">SUMIF(CT_tram!$B$1226:$G$1352,kl!B29,CT_tram!$G$1226:$G$1352)</f>
        <v>0</v>
      </c>
      <c r="W29" s="780">
        <f ca="1">SUMIF(CT_tram!$B$1105:$G$1219,kl!B29,CT_tram!$G$1105:$G$1219)</f>
        <v>0</v>
      </c>
      <c r="X29" s="775">
        <f ca="1">SUMIF(CT_tram!$B$1359:$G$1504,kl!B29,CT_tram!$G$1359:$G$1504)</f>
        <v>0</v>
      </c>
      <c r="Y29" s="775">
        <f ca="1">SUMIF(CT_tram!$B$1511:$G$1625,kl!B29,CT_tram!$G$1511:$G$1625)</f>
        <v>0</v>
      </c>
      <c r="Z29" s="775">
        <f ca="1">SUMIF(CT_tram!$B$1632:$G$2211,kl!B29,CT_tram!$G$1632:$G$2211)</f>
        <v>0</v>
      </c>
      <c r="AA29" s="775">
        <f ca="1">SUMIF(CT_tram!$B$2243:$G$2384,kl!B29,CT_tram!$G$2243:$G$2384)</f>
        <v>0</v>
      </c>
      <c r="AB29" s="775">
        <f ca="1">SUMIF(CT_tram!$B$2391:$G$2563,kl!B29,CT_tram!$G$2391:$G$2563)</f>
        <v>0</v>
      </c>
      <c r="AC29" s="775"/>
      <c r="AD29" s="775"/>
      <c r="AE29" s="775"/>
      <c r="AF29" s="775"/>
      <c r="AG29" s="775"/>
      <c r="AH29" s="775"/>
      <c r="AI29" s="775"/>
      <c r="AJ29" s="775"/>
      <c r="AK29" s="775"/>
      <c r="AL29" s="775">
        <f ca="1">SUMIF('Cap ngam'!B$16:G$400,kl!$B29,'Cap ngam'!G$16:G$400)</f>
        <v>0</v>
      </c>
      <c r="AM29" s="776">
        <v>2</v>
      </c>
      <c r="AN29" s="775">
        <f t="shared" ca="1" si="15"/>
        <v>0</v>
      </c>
      <c r="AO29" s="775">
        <f t="shared" ca="1" si="16"/>
        <v>0</v>
      </c>
      <c r="AP29" s="775">
        <f t="shared" ca="1" si="17"/>
        <v>0</v>
      </c>
      <c r="AQ29" s="775">
        <f t="shared" ca="1" si="18"/>
        <v>0</v>
      </c>
      <c r="AR29" s="775">
        <f t="shared" ca="1" si="19"/>
        <v>0</v>
      </c>
      <c r="AS29" s="775">
        <f t="shared" ca="1" si="20"/>
        <v>0</v>
      </c>
      <c r="AT29" s="775">
        <f t="shared" ca="1" si="21"/>
        <v>0</v>
      </c>
      <c r="AU29" s="775">
        <f t="shared" ca="1" si="22"/>
        <v>0</v>
      </c>
      <c r="AV29" s="775">
        <f t="shared" ca="1" si="23"/>
        <v>0</v>
      </c>
      <c r="AW29" s="775">
        <f t="shared" ca="1" si="24"/>
        <v>0</v>
      </c>
      <c r="AX29" s="775">
        <f t="shared" si="25"/>
        <v>0</v>
      </c>
      <c r="AY29" s="775">
        <f t="shared" ca="1" si="26"/>
        <v>0</v>
      </c>
      <c r="AZ29" s="775">
        <f t="shared" si="27"/>
        <v>0</v>
      </c>
      <c r="BA29" s="775">
        <f t="shared" ca="1" si="1"/>
        <v>0</v>
      </c>
      <c r="BB29" s="775">
        <f t="shared" ca="1" si="2"/>
        <v>0</v>
      </c>
      <c r="BC29" s="775">
        <f t="shared" ca="1" si="3"/>
        <v>0</v>
      </c>
      <c r="BD29" s="775">
        <f t="shared" ca="1" si="4"/>
        <v>0</v>
      </c>
      <c r="BE29" s="775">
        <f t="shared" ca="1" si="5"/>
        <v>0</v>
      </c>
      <c r="BF29" s="775">
        <f t="shared" ca="1" si="6"/>
        <v>0</v>
      </c>
      <c r="BG29" s="775">
        <f t="shared" ca="1" si="7"/>
        <v>0</v>
      </c>
      <c r="BH29" s="775"/>
      <c r="BI29" s="775"/>
      <c r="BJ29" s="775"/>
      <c r="BK29" s="775"/>
      <c r="BL29" s="775"/>
      <c r="BM29" s="775"/>
      <c r="BN29" s="775"/>
      <c r="BO29" s="775">
        <f t="shared" si="8"/>
        <v>0</v>
      </c>
      <c r="BP29" s="775">
        <f t="shared" si="9"/>
        <v>0</v>
      </c>
      <c r="BQ29" s="775">
        <f t="shared" ca="1" si="10"/>
        <v>0</v>
      </c>
      <c r="BR29" s="775">
        <f t="shared" ca="1" si="11"/>
        <v>0</v>
      </c>
    </row>
    <row r="30" spans="1:70">
      <c r="A30" s="767" t="str">
        <f t="shared" ca="1" si="12"/>
        <v/>
      </c>
      <c r="B30" s="767" t="s">
        <v>1522</v>
      </c>
      <c r="C30" s="188" t="str">
        <f ca="1">IF(F30=0,"",COUNTIF($F$6:$F30,"&gt;0"))</f>
        <v/>
      </c>
      <c r="D30" s="778" t="str">
        <f>VLOOKUP($B30,dongia1,DG!$C$5,)</f>
        <v>MCCB 3 cực 400V-100A - 30KA</v>
      </c>
      <c r="E30" s="555" t="str">
        <f>VLOOKUP($B30,dongia1,DG!$D$5,)</f>
        <v>cái</v>
      </c>
      <c r="F30" s="779">
        <f t="shared" ca="1" si="13"/>
        <v>0</v>
      </c>
      <c r="G30" s="775">
        <f t="shared" ca="1" si="14"/>
        <v>0</v>
      </c>
      <c r="H30" s="775">
        <f ca="1">SUMIF(CT_tram!$B$33:$G$3559,kl!B30,CT_tram!$G$33:$G$3559)</f>
        <v>0</v>
      </c>
      <c r="I30" s="775">
        <f ca="1">SUMIF(CT_tram!$B$34:$G$115,$B30,CT_tram!$G$34:$G$115)</f>
        <v>0</v>
      </c>
      <c r="J30" s="775">
        <f ca="1">SUMIF(CT_tram!$B$122:$G$204,$B30,CT_tram!$G$122:$G$204)</f>
        <v>0</v>
      </c>
      <c r="K30" s="775">
        <f ca="1">SUMIF(CT_tram!$B$211:$G$293,$B30,CT_tram!$G$211:$G$293)</f>
        <v>0</v>
      </c>
      <c r="L30" s="775">
        <f ca="1">SUMIF(CT_tram!$B$300:$G$374,$B30,CT_tram!$G$300:$G$374)</f>
        <v>0</v>
      </c>
      <c r="M30" s="775">
        <f ca="1">SUMIF(CT_tram!$B$381:$G$471,$B30,CT_tram!$G$381:$G$471)</f>
        <v>0</v>
      </c>
      <c r="N30" s="775">
        <f ca="1">SUMIF(CT_tram!$B$478:$G$560,$B30,CT_tram!$G$478:$G$560)</f>
        <v>0</v>
      </c>
      <c r="O30" s="775">
        <f ca="1">SUMIF(CT_tram!$B$567:$G$653,$B30,CT_tram!$G$567:$G$653)</f>
        <v>0</v>
      </c>
      <c r="P30" s="775">
        <f ca="1">SUMIF(CT_tram!$B$661:$G$738,$B30,CT_tram!$G$661:$G$738)</f>
        <v>0</v>
      </c>
      <c r="Q30" s="775">
        <f ca="1">SUMIF(CT_tram!$B$745:$G$899,$B30,CT_tram!$G$745:$G$899)</f>
        <v>0</v>
      </c>
      <c r="R30" s="775">
        <f ca="1">SUMIF(CT_tram!$B$907:$G$995,$B30,CT_tram!$G$907:$G$995)</f>
        <v>0</v>
      </c>
      <c r="S30" s="775"/>
      <c r="T30" s="775">
        <f ca="1">SUMIF(CT_tram!$B$1004:$G$1097,B30,CT_tram!$G$1004:$G$1097)</f>
        <v>0</v>
      </c>
      <c r="U30" s="775"/>
      <c r="V30" s="775">
        <f ca="1">SUMIF(CT_tram!$B$1226:$G$1352,kl!B30,CT_tram!$G$1226:$G$1352)</f>
        <v>0</v>
      </c>
      <c r="W30" s="780">
        <f ca="1">SUMIF(CT_tram!$B$1105:$G$1219,kl!B30,CT_tram!$G$1105:$G$1219)</f>
        <v>0</v>
      </c>
      <c r="X30" s="775">
        <f ca="1">SUMIF(CT_tram!$B$1359:$G$1504,kl!B30,CT_tram!$G$1359:$G$1504)</f>
        <v>0</v>
      </c>
      <c r="Y30" s="775">
        <f ca="1">SUMIF(CT_tram!$B$1511:$G$1625,kl!B30,CT_tram!$G$1511:$G$1625)</f>
        <v>0</v>
      </c>
      <c r="Z30" s="775">
        <f ca="1">SUMIF(CT_tram!$B$1632:$G$2211,kl!B30,CT_tram!$G$1632:$G$2211)</f>
        <v>0</v>
      </c>
      <c r="AA30" s="775">
        <f ca="1">SUMIF(CT_tram!$B$2243:$G$2384,kl!B30,CT_tram!$G$2243:$G$2384)</f>
        <v>0</v>
      </c>
      <c r="AB30" s="775">
        <f ca="1">SUMIF(CT_tram!$B$2391:$G$2563,kl!B30,CT_tram!$G$2391:$G$2563)</f>
        <v>0</v>
      </c>
      <c r="AC30" s="775"/>
      <c r="AD30" s="775"/>
      <c r="AE30" s="775"/>
      <c r="AF30" s="775"/>
      <c r="AG30" s="775"/>
      <c r="AH30" s="775"/>
      <c r="AI30" s="775"/>
      <c r="AJ30" s="775"/>
      <c r="AK30" s="775"/>
      <c r="AL30" s="775">
        <f ca="1">SUMIF('Cap ngam'!B$16:G$400,kl!$B30,'Cap ngam'!G$16:G$400)</f>
        <v>0</v>
      </c>
      <c r="AM30" s="776">
        <v>2</v>
      </c>
      <c r="AN30" s="775">
        <f t="shared" ca="1" si="15"/>
        <v>0</v>
      </c>
      <c r="AO30" s="775">
        <f t="shared" ca="1" si="16"/>
        <v>0</v>
      </c>
      <c r="AP30" s="775">
        <f t="shared" ca="1" si="17"/>
        <v>0</v>
      </c>
      <c r="AQ30" s="775">
        <f t="shared" ca="1" si="18"/>
        <v>0</v>
      </c>
      <c r="AR30" s="775">
        <f t="shared" ca="1" si="19"/>
        <v>0</v>
      </c>
      <c r="AS30" s="775">
        <f t="shared" ca="1" si="20"/>
        <v>0</v>
      </c>
      <c r="AT30" s="775">
        <f t="shared" ca="1" si="21"/>
        <v>0</v>
      </c>
      <c r="AU30" s="775">
        <f t="shared" ca="1" si="22"/>
        <v>0</v>
      </c>
      <c r="AV30" s="775">
        <f t="shared" ca="1" si="23"/>
        <v>0</v>
      </c>
      <c r="AW30" s="775">
        <f t="shared" ca="1" si="24"/>
        <v>0</v>
      </c>
      <c r="AX30" s="775">
        <f t="shared" si="25"/>
        <v>0</v>
      </c>
      <c r="AY30" s="775">
        <f t="shared" ca="1" si="26"/>
        <v>0</v>
      </c>
      <c r="AZ30" s="775">
        <f t="shared" si="27"/>
        <v>0</v>
      </c>
      <c r="BA30" s="775">
        <f t="shared" ca="1" si="1"/>
        <v>0</v>
      </c>
      <c r="BB30" s="775">
        <f t="shared" ca="1" si="2"/>
        <v>0</v>
      </c>
      <c r="BC30" s="775">
        <f t="shared" ca="1" si="3"/>
        <v>0</v>
      </c>
      <c r="BD30" s="775">
        <f t="shared" ca="1" si="4"/>
        <v>0</v>
      </c>
      <c r="BE30" s="775">
        <f t="shared" ca="1" si="5"/>
        <v>0</v>
      </c>
      <c r="BF30" s="775">
        <f t="shared" ca="1" si="6"/>
        <v>0</v>
      </c>
      <c r="BG30" s="775">
        <f t="shared" ca="1" si="7"/>
        <v>0</v>
      </c>
      <c r="BH30" s="775"/>
      <c r="BI30" s="775"/>
      <c r="BJ30" s="775"/>
      <c r="BK30" s="775"/>
      <c r="BL30" s="775"/>
      <c r="BM30" s="775"/>
      <c r="BN30" s="775"/>
      <c r="BO30" s="775">
        <f t="shared" si="8"/>
        <v>0</v>
      </c>
      <c r="BP30" s="775">
        <f t="shared" si="9"/>
        <v>0</v>
      </c>
      <c r="BQ30" s="775">
        <f t="shared" ca="1" si="10"/>
        <v>0</v>
      </c>
      <c r="BR30" s="775">
        <f t="shared" ca="1" si="11"/>
        <v>0</v>
      </c>
    </row>
    <row r="31" spans="1:70">
      <c r="A31" s="767" t="str">
        <f t="shared" ca="1" si="12"/>
        <v/>
      </c>
      <c r="B31" s="786" t="s">
        <v>1412</v>
      </c>
      <c r="C31" s="188" t="str">
        <f ca="1">IF(F31=0,"",COUNTIF($F$6:$F31,"&gt;0"))</f>
        <v/>
      </c>
      <c r="D31" s="778" t="str">
        <f>VLOOKUP($B31,dongia1,DG!$C$5,)</f>
        <v>MCCB 3 cực 400V -125A - 36KA</v>
      </c>
      <c r="E31" s="555" t="str">
        <f>VLOOKUP($B31,dongia1,DG!$D$5,)</f>
        <v>cái</v>
      </c>
      <c r="F31" s="779">
        <f t="shared" ca="1" si="13"/>
        <v>0</v>
      </c>
      <c r="G31" s="775">
        <f t="shared" ca="1" si="14"/>
        <v>0</v>
      </c>
      <c r="H31" s="775">
        <f ca="1">SUMIF(CT_tram!$B$33:$G$3559,kl!B31,CT_tram!$G$33:$G$3559)</f>
        <v>0</v>
      </c>
      <c r="I31" s="775">
        <f ca="1">SUMIF(CT_tram!$B$34:$G$115,$B31,CT_tram!$G$34:$G$115)</f>
        <v>0</v>
      </c>
      <c r="J31" s="775">
        <f ca="1">SUMIF(CT_tram!$B$122:$G$204,$B31,CT_tram!$G$122:$G$204)</f>
        <v>0</v>
      </c>
      <c r="K31" s="775">
        <f ca="1">SUMIF(CT_tram!$B$211:$G$293,$B31,CT_tram!$G$211:$G$293)</f>
        <v>0</v>
      </c>
      <c r="L31" s="775">
        <f ca="1">SUMIF(CT_tram!$B$300:$G$374,$B31,CT_tram!$G$300:$G$374)</f>
        <v>0</v>
      </c>
      <c r="M31" s="775">
        <f ca="1">SUMIF(CT_tram!$B$381:$G$471,$B31,CT_tram!$G$381:$G$471)</f>
        <v>0</v>
      </c>
      <c r="N31" s="775">
        <f ca="1">SUMIF(CT_tram!$B$478:$G$560,$B31,CT_tram!$G$478:$G$560)</f>
        <v>0</v>
      </c>
      <c r="O31" s="775">
        <f ca="1">SUMIF(CT_tram!$B$567:$G$653,$B31,CT_tram!$G$567:$G$653)</f>
        <v>0</v>
      </c>
      <c r="P31" s="775">
        <f ca="1">SUMIF(CT_tram!$B$661:$G$738,$B31,CT_tram!$G$661:$G$738)</f>
        <v>0</v>
      </c>
      <c r="Q31" s="775">
        <f ca="1">SUMIF(CT_tram!$B$745:$G$899,$B31,CT_tram!$G$745:$G$899)</f>
        <v>0</v>
      </c>
      <c r="R31" s="775">
        <f ca="1">SUMIF(CT_tram!$B$907:$G$995,$B31,CT_tram!$G$907:$G$995)</f>
        <v>0</v>
      </c>
      <c r="S31" s="775"/>
      <c r="T31" s="775">
        <f ca="1">SUMIF(CT_tram!$B$1004:$G$1097,B31,CT_tram!$G$1004:$G$1097)</f>
        <v>0</v>
      </c>
      <c r="U31" s="775"/>
      <c r="V31" s="775">
        <f ca="1">SUMIF(CT_tram!$B$1226:$G$1352,kl!B31,CT_tram!$G$1226:$G$1352)</f>
        <v>0</v>
      </c>
      <c r="W31" s="780">
        <f ca="1">SUMIF(CT_tram!$B$1105:$G$1219,kl!B31,CT_tram!$G$1105:$G$1219)</f>
        <v>0</v>
      </c>
      <c r="X31" s="775">
        <f ca="1">SUMIF(CT_tram!$B$1359:$G$1504,kl!B31,CT_tram!$G$1359:$G$1504)</f>
        <v>0</v>
      </c>
      <c r="Y31" s="775">
        <f ca="1">SUMIF(CT_tram!$B$1511:$G$1625,kl!B31,CT_tram!$G$1511:$G$1625)</f>
        <v>0</v>
      </c>
      <c r="Z31" s="775">
        <f ca="1">SUMIF(CT_tram!$B$1632:$G$2211,kl!B31,CT_tram!$G$1632:$G$2211)</f>
        <v>0</v>
      </c>
      <c r="AA31" s="775">
        <f ca="1">SUMIF(CT_tram!$B$2243:$G$2384,kl!B31,CT_tram!$G$2243:$G$2384)</f>
        <v>0</v>
      </c>
      <c r="AB31" s="775">
        <f ca="1">SUMIF(CT_tram!$B$2391:$G$2563,kl!B31,CT_tram!$G$2391:$G$2563)</f>
        <v>0</v>
      </c>
      <c r="AC31" s="775"/>
      <c r="AD31" s="775"/>
      <c r="AE31" s="775"/>
      <c r="AF31" s="775"/>
      <c r="AG31" s="775"/>
      <c r="AH31" s="775"/>
      <c r="AI31" s="775"/>
      <c r="AJ31" s="775"/>
      <c r="AK31" s="775"/>
      <c r="AL31" s="775">
        <f ca="1">SUMIF('Cap ngam'!B$16:G$400,kl!$B31,'Cap ngam'!G$16:G$400)</f>
        <v>0</v>
      </c>
      <c r="AM31" s="776">
        <v>2</v>
      </c>
      <c r="AN31" s="775">
        <f t="shared" ca="1" si="15"/>
        <v>0</v>
      </c>
      <c r="AO31" s="775">
        <f t="shared" ca="1" si="16"/>
        <v>0</v>
      </c>
      <c r="AP31" s="775">
        <f t="shared" ca="1" si="17"/>
        <v>0</v>
      </c>
      <c r="AQ31" s="775">
        <f t="shared" ca="1" si="18"/>
        <v>0</v>
      </c>
      <c r="AR31" s="775">
        <f t="shared" ca="1" si="19"/>
        <v>0</v>
      </c>
      <c r="AS31" s="775">
        <f t="shared" ca="1" si="20"/>
        <v>0</v>
      </c>
      <c r="AT31" s="775">
        <f t="shared" ca="1" si="21"/>
        <v>0</v>
      </c>
      <c r="AU31" s="775">
        <f t="shared" ca="1" si="22"/>
        <v>0</v>
      </c>
      <c r="AV31" s="775">
        <f t="shared" ca="1" si="23"/>
        <v>0</v>
      </c>
      <c r="AW31" s="775">
        <f t="shared" ca="1" si="24"/>
        <v>0</v>
      </c>
      <c r="AX31" s="775">
        <f t="shared" si="25"/>
        <v>0</v>
      </c>
      <c r="AY31" s="775">
        <f t="shared" ca="1" si="26"/>
        <v>0</v>
      </c>
      <c r="AZ31" s="775">
        <f t="shared" si="27"/>
        <v>0</v>
      </c>
      <c r="BA31" s="775">
        <f t="shared" ca="1" si="1"/>
        <v>0</v>
      </c>
      <c r="BB31" s="775">
        <f t="shared" ca="1" si="2"/>
        <v>0</v>
      </c>
      <c r="BC31" s="775">
        <f t="shared" ca="1" si="3"/>
        <v>0</v>
      </c>
      <c r="BD31" s="775">
        <f t="shared" ca="1" si="4"/>
        <v>0</v>
      </c>
      <c r="BE31" s="775">
        <f t="shared" ca="1" si="5"/>
        <v>0</v>
      </c>
      <c r="BF31" s="775">
        <f t="shared" ca="1" si="6"/>
        <v>0</v>
      </c>
      <c r="BG31" s="775">
        <f t="shared" ca="1" si="7"/>
        <v>0</v>
      </c>
      <c r="BH31" s="775"/>
      <c r="BI31" s="775"/>
      <c r="BJ31" s="775"/>
      <c r="BK31" s="775"/>
      <c r="BL31" s="775"/>
      <c r="BM31" s="775"/>
      <c r="BN31" s="775"/>
      <c r="BO31" s="775">
        <f t="shared" si="8"/>
        <v>0</v>
      </c>
      <c r="BP31" s="775">
        <f t="shared" si="9"/>
        <v>0</v>
      </c>
      <c r="BQ31" s="775">
        <f t="shared" ca="1" si="10"/>
        <v>0</v>
      </c>
      <c r="BR31" s="775">
        <f t="shared" ca="1" si="11"/>
        <v>0</v>
      </c>
    </row>
    <row r="32" spans="1:70">
      <c r="A32" s="767" t="str">
        <f t="shared" ca="1" si="12"/>
        <v/>
      </c>
      <c r="B32" s="786" t="s">
        <v>2085</v>
      </c>
      <c r="C32" s="188" t="str">
        <f ca="1">IF(F32=0,"",COUNTIF($F$6:$F32,"&gt;0"))</f>
        <v/>
      </c>
      <c r="D32" s="778" t="str">
        <f>VLOOKUP($B32,dongia1,DG!$C$5,)</f>
        <v>MCCB 3 cực 400V -150A - 36KA</v>
      </c>
      <c r="E32" s="555" t="str">
        <f>VLOOKUP($B32,dongia1,DG!$D$5,)</f>
        <v>cái</v>
      </c>
      <c r="F32" s="779">
        <f t="shared" ca="1" si="13"/>
        <v>0</v>
      </c>
      <c r="G32" s="775">
        <f t="shared" ca="1" si="14"/>
        <v>0</v>
      </c>
      <c r="H32" s="775">
        <f ca="1">SUMIF(CT_tram!$B$33:$G$3559,kl!B32,CT_tram!$G$33:$G$3559)</f>
        <v>0</v>
      </c>
      <c r="I32" s="775">
        <f ca="1">SUMIF(CT_tram!$B$34:$G$115,$B32,CT_tram!$G$34:$G$115)</f>
        <v>0</v>
      </c>
      <c r="J32" s="775">
        <f ca="1">SUMIF(CT_tram!$B$122:$G$204,$B32,CT_tram!$G$122:$G$204)</f>
        <v>0</v>
      </c>
      <c r="K32" s="775">
        <f ca="1">SUMIF(CT_tram!$B$211:$G$293,$B32,CT_tram!$G$211:$G$293)</f>
        <v>0</v>
      </c>
      <c r="L32" s="775">
        <f ca="1">SUMIF(CT_tram!$B$300:$G$374,$B32,CT_tram!$G$300:$G$374)</f>
        <v>0</v>
      </c>
      <c r="M32" s="775">
        <f ca="1">SUMIF(CT_tram!$B$381:$G$471,$B32,CT_tram!$G$381:$G$471)</f>
        <v>0</v>
      </c>
      <c r="N32" s="775">
        <f ca="1">SUMIF(CT_tram!$B$478:$G$560,$B32,CT_tram!$G$478:$G$560)</f>
        <v>0</v>
      </c>
      <c r="O32" s="775">
        <f ca="1">SUMIF(CT_tram!$B$567:$G$653,$B32,CT_tram!$G$567:$G$653)</f>
        <v>0</v>
      </c>
      <c r="P32" s="775">
        <f ca="1">SUMIF(CT_tram!$B$661:$G$738,$B32,CT_tram!$G$661:$G$738)</f>
        <v>0</v>
      </c>
      <c r="Q32" s="775">
        <f ca="1">SUMIF(CT_tram!$B$745:$G$899,$B32,CT_tram!$G$745:$G$899)</f>
        <v>0</v>
      </c>
      <c r="R32" s="775">
        <f ca="1">SUMIF(CT_tram!$B$907:$G$995,$B32,CT_tram!$G$907:$G$995)</f>
        <v>0</v>
      </c>
      <c r="S32" s="775"/>
      <c r="T32" s="775">
        <f ca="1">SUMIF(CT_tram!$B$1004:$G$1097,B32,CT_tram!$G$1004:$G$1097)</f>
        <v>0</v>
      </c>
      <c r="U32" s="775"/>
      <c r="V32" s="775">
        <f ca="1">SUMIF(CT_tram!$B$1226:$G$1352,kl!B32,CT_tram!$G$1226:$G$1352)</f>
        <v>0</v>
      </c>
      <c r="W32" s="780">
        <f ca="1">SUMIF(CT_tram!$B$1105:$G$1219,kl!B32,CT_tram!$G$1105:$G$1219)</f>
        <v>0</v>
      </c>
      <c r="X32" s="775">
        <f ca="1">SUMIF(CT_tram!$B$1359:$G$1504,kl!B32,CT_tram!$G$1359:$G$1504)</f>
        <v>0</v>
      </c>
      <c r="Y32" s="775">
        <f ca="1">SUMIF(CT_tram!$B$1511:$G$1625,kl!B32,CT_tram!$G$1511:$G$1625)</f>
        <v>0</v>
      </c>
      <c r="Z32" s="775">
        <f ca="1">SUMIF(CT_tram!$B$1632:$G$2211,kl!B32,CT_tram!$G$1632:$G$2211)</f>
        <v>0</v>
      </c>
      <c r="AA32" s="775">
        <f ca="1">SUMIF(CT_tram!$B$2243:$G$2384,kl!B32,CT_tram!$G$2243:$G$2384)</f>
        <v>0</v>
      </c>
      <c r="AB32" s="775">
        <f ca="1">SUMIF(CT_tram!$B$2391:$G$2563,kl!B32,CT_tram!$G$2391:$G$2563)</f>
        <v>0</v>
      </c>
      <c r="AC32" s="775"/>
      <c r="AD32" s="775"/>
      <c r="AE32" s="775"/>
      <c r="AF32" s="775"/>
      <c r="AG32" s="775"/>
      <c r="AH32" s="775"/>
      <c r="AI32" s="775"/>
      <c r="AJ32" s="775"/>
      <c r="AK32" s="775"/>
      <c r="AL32" s="775">
        <f ca="1">SUMIF('Cap ngam'!B$16:G$400,kl!$B32,'Cap ngam'!G$16:G$400)</f>
        <v>0</v>
      </c>
      <c r="AM32" s="776">
        <v>2</v>
      </c>
      <c r="AN32" s="775">
        <f t="shared" ca="1" si="15"/>
        <v>0</v>
      </c>
      <c r="AO32" s="775">
        <f t="shared" ca="1" si="16"/>
        <v>0</v>
      </c>
      <c r="AP32" s="775">
        <f t="shared" ca="1" si="17"/>
        <v>0</v>
      </c>
      <c r="AQ32" s="775">
        <f t="shared" ca="1" si="18"/>
        <v>0</v>
      </c>
      <c r="AR32" s="775">
        <f t="shared" ca="1" si="19"/>
        <v>0</v>
      </c>
      <c r="AS32" s="775">
        <f t="shared" ca="1" si="20"/>
        <v>0</v>
      </c>
      <c r="AT32" s="775">
        <f t="shared" ca="1" si="21"/>
        <v>0</v>
      </c>
      <c r="AU32" s="775">
        <f t="shared" ca="1" si="22"/>
        <v>0</v>
      </c>
      <c r="AV32" s="775">
        <f t="shared" ca="1" si="23"/>
        <v>0</v>
      </c>
      <c r="AW32" s="775">
        <f t="shared" ca="1" si="24"/>
        <v>0</v>
      </c>
      <c r="AX32" s="775">
        <f t="shared" si="25"/>
        <v>0</v>
      </c>
      <c r="AY32" s="775">
        <f t="shared" ca="1" si="26"/>
        <v>0</v>
      </c>
      <c r="AZ32" s="775">
        <f t="shared" si="27"/>
        <v>0</v>
      </c>
      <c r="BA32" s="775">
        <f t="shared" ca="1" si="1"/>
        <v>0</v>
      </c>
      <c r="BB32" s="775">
        <f t="shared" ca="1" si="2"/>
        <v>0</v>
      </c>
      <c r="BC32" s="775">
        <f t="shared" ca="1" si="3"/>
        <v>0</v>
      </c>
      <c r="BD32" s="775">
        <f t="shared" ca="1" si="4"/>
        <v>0</v>
      </c>
      <c r="BE32" s="775">
        <f t="shared" ca="1" si="5"/>
        <v>0</v>
      </c>
      <c r="BF32" s="775">
        <f t="shared" ca="1" si="6"/>
        <v>0</v>
      </c>
      <c r="BG32" s="775">
        <f t="shared" ca="1" si="7"/>
        <v>0</v>
      </c>
      <c r="BH32" s="775"/>
      <c r="BI32" s="775"/>
      <c r="BJ32" s="775"/>
      <c r="BK32" s="775"/>
      <c r="BL32" s="775"/>
      <c r="BM32" s="775"/>
      <c r="BN32" s="775"/>
      <c r="BO32" s="775">
        <f t="shared" si="8"/>
        <v>0</v>
      </c>
      <c r="BP32" s="775">
        <f t="shared" si="9"/>
        <v>0</v>
      </c>
      <c r="BQ32" s="775">
        <f t="shared" ca="1" si="10"/>
        <v>0</v>
      </c>
      <c r="BR32" s="775">
        <f t="shared" ca="1" si="11"/>
        <v>0</v>
      </c>
    </row>
    <row r="33" spans="1:70">
      <c r="A33" s="767" t="str">
        <f t="shared" ca="1" si="12"/>
        <v/>
      </c>
      <c r="B33" s="786" t="s">
        <v>609</v>
      </c>
      <c r="C33" s="188" t="str">
        <f ca="1">IF(F33=0,"",COUNTIF($F$6:$F33,"&gt;0"))</f>
        <v/>
      </c>
      <c r="D33" s="778" t="str">
        <f>VLOOKUP($B33,dongia1,DG!$C$5,)</f>
        <v>MCCB 3 cực 400V -200A - 36KA</v>
      </c>
      <c r="E33" s="555" t="str">
        <f>VLOOKUP($B33,dongia1,DG!$D$5,)</f>
        <v>cái</v>
      </c>
      <c r="F33" s="779">
        <f ca="1">G33+H33</f>
        <v>0</v>
      </c>
      <c r="G33" s="775">
        <f ca="1">SUM(AC33:AL33)</f>
        <v>0</v>
      </c>
      <c r="H33" s="775">
        <f ca="1">SUMIF(CT_tram!$B$33:$G$3559,kl!B33,CT_tram!$G$33:$G$3559)</f>
        <v>0</v>
      </c>
      <c r="I33" s="775">
        <f ca="1">SUMIF(CT_tram!$B$34:$G$115,$B33,CT_tram!$G$34:$G$115)</f>
        <v>0</v>
      </c>
      <c r="J33" s="775">
        <f ca="1">SUMIF(CT_tram!$B$122:$G$204,$B33,CT_tram!$G$122:$G$204)</f>
        <v>0</v>
      </c>
      <c r="K33" s="775">
        <f ca="1">SUMIF(CT_tram!$B$211:$G$293,$B33,CT_tram!$G$211:$G$293)</f>
        <v>0</v>
      </c>
      <c r="L33" s="775">
        <f ca="1">SUMIF(CT_tram!$B$300:$G$374,$B33,CT_tram!$G$300:$G$374)</f>
        <v>0</v>
      </c>
      <c r="M33" s="775">
        <f ca="1">SUMIF(CT_tram!$B$381:$G$471,$B33,CT_tram!$G$381:$G$471)</f>
        <v>0</v>
      </c>
      <c r="N33" s="775">
        <f ca="1">SUMIF(CT_tram!$B$478:$G$560,$B33,CT_tram!$G$478:$G$560)</f>
        <v>0</v>
      </c>
      <c r="O33" s="775">
        <f ca="1">SUMIF(CT_tram!$B$567:$G$653,$B33,CT_tram!$G$567:$G$653)</f>
        <v>0</v>
      </c>
      <c r="P33" s="775">
        <f ca="1">SUMIF(CT_tram!$B$661:$G$738,$B33,CT_tram!$G$661:$G$738)</f>
        <v>0</v>
      </c>
      <c r="Q33" s="775">
        <f ca="1">SUMIF(CT_tram!$B$745:$G$899,$B33,CT_tram!$G$745:$G$899)</f>
        <v>0</v>
      </c>
      <c r="R33" s="775">
        <f ca="1">SUMIF(CT_tram!$B$907:$G$995,$B33,CT_tram!$G$907:$G$995)</f>
        <v>0</v>
      </c>
      <c r="S33" s="775"/>
      <c r="T33" s="775">
        <f ca="1">SUMIF(CT_tram!$B$1004:$G$1097,B33,CT_tram!$G$1004:$G$1097)</f>
        <v>0</v>
      </c>
      <c r="U33" s="775"/>
      <c r="V33" s="775">
        <f ca="1">SUMIF(CT_tram!$B$1226:$G$1352,kl!B33,CT_tram!$G$1226:$G$1352)</f>
        <v>0</v>
      </c>
      <c r="W33" s="780">
        <f ca="1">SUMIF(CT_tram!$B$1105:$G$1219,kl!B33,CT_tram!$G$1105:$G$1219)</f>
        <v>0</v>
      </c>
      <c r="X33" s="775">
        <f ca="1">SUMIF(CT_tram!$B$1359:$G$1504,kl!B33,CT_tram!$G$1359:$G$1504)</f>
        <v>0</v>
      </c>
      <c r="Y33" s="775">
        <f ca="1">SUMIF(CT_tram!$B$1511:$G$1625,kl!B33,CT_tram!$G$1511:$G$1625)</f>
        <v>0</v>
      </c>
      <c r="Z33" s="775">
        <f ca="1">SUMIF(CT_tram!$B$1632:$G$2211,kl!B33,CT_tram!$G$1632:$G$2211)</f>
        <v>0</v>
      </c>
      <c r="AA33" s="775">
        <f ca="1">SUMIF(CT_tram!$B$2243:$G$2384,kl!B33,CT_tram!$G$2243:$G$2384)</f>
        <v>0</v>
      </c>
      <c r="AB33" s="775">
        <f ca="1">SUMIF(CT_tram!$B$2391:$G$2563,kl!B33,CT_tram!$G$2391:$G$2563)</f>
        <v>0</v>
      </c>
      <c r="AC33" s="775"/>
      <c r="AD33" s="775"/>
      <c r="AE33" s="775"/>
      <c r="AF33" s="775"/>
      <c r="AG33" s="775"/>
      <c r="AH33" s="775"/>
      <c r="AI33" s="775"/>
      <c r="AJ33" s="775"/>
      <c r="AK33" s="775"/>
      <c r="AL33" s="775">
        <f ca="1">SUMIF('Cap ngam'!B$16:G$400,kl!$B33,'Cap ngam'!G$16:G$400)</f>
        <v>0</v>
      </c>
      <c r="AM33" s="776">
        <v>2</v>
      </c>
      <c r="AN33" s="775">
        <f t="shared" ref="AN33:BG33" ca="1" si="31">I33*$AM33</f>
        <v>0</v>
      </c>
      <c r="AO33" s="775">
        <f t="shared" ca="1" si="31"/>
        <v>0</v>
      </c>
      <c r="AP33" s="775">
        <f t="shared" ca="1" si="31"/>
        <v>0</v>
      </c>
      <c r="AQ33" s="775">
        <f t="shared" ca="1" si="31"/>
        <v>0</v>
      </c>
      <c r="AR33" s="775">
        <f t="shared" ca="1" si="31"/>
        <v>0</v>
      </c>
      <c r="AS33" s="775">
        <f t="shared" ca="1" si="31"/>
        <v>0</v>
      </c>
      <c r="AT33" s="775">
        <f t="shared" ca="1" si="31"/>
        <v>0</v>
      </c>
      <c r="AU33" s="775">
        <f t="shared" ca="1" si="31"/>
        <v>0</v>
      </c>
      <c r="AV33" s="775">
        <f t="shared" ca="1" si="31"/>
        <v>0</v>
      </c>
      <c r="AW33" s="775">
        <f t="shared" ca="1" si="31"/>
        <v>0</v>
      </c>
      <c r="AX33" s="775">
        <f t="shared" si="31"/>
        <v>0</v>
      </c>
      <c r="AY33" s="775">
        <f t="shared" ca="1" si="31"/>
        <v>0</v>
      </c>
      <c r="AZ33" s="775">
        <f t="shared" si="31"/>
        <v>0</v>
      </c>
      <c r="BA33" s="775">
        <f t="shared" ca="1" si="31"/>
        <v>0</v>
      </c>
      <c r="BB33" s="775">
        <f t="shared" ca="1" si="31"/>
        <v>0</v>
      </c>
      <c r="BC33" s="775">
        <f t="shared" ca="1" si="31"/>
        <v>0</v>
      </c>
      <c r="BD33" s="775">
        <f t="shared" ca="1" si="31"/>
        <v>0</v>
      </c>
      <c r="BE33" s="775">
        <f t="shared" ca="1" si="31"/>
        <v>0</v>
      </c>
      <c r="BF33" s="775">
        <f t="shared" ca="1" si="31"/>
        <v>0</v>
      </c>
      <c r="BG33" s="775">
        <f t="shared" ca="1" si="31"/>
        <v>0</v>
      </c>
      <c r="BH33" s="775"/>
      <c r="BI33" s="775"/>
      <c r="BJ33" s="775"/>
      <c r="BK33" s="775"/>
      <c r="BL33" s="775"/>
      <c r="BM33" s="775"/>
      <c r="BN33" s="775"/>
      <c r="BO33" s="775">
        <f>AJ33*$AM33</f>
        <v>0</v>
      </c>
      <c r="BP33" s="775">
        <f>AK33*$AM33</f>
        <v>0</v>
      </c>
      <c r="BQ33" s="775">
        <f t="shared" ca="1" si="10"/>
        <v>0</v>
      </c>
      <c r="BR33" s="775">
        <f t="shared" ca="1" si="11"/>
        <v>0</v>
      </c>
    </row>
    <row r="34" spans="1:70">
      <c r="A34" s="767" t="str">
        <f t="shared" ca="1" si="12"/>
        <v/>
      </c>
      <c r="B34" s="786" t="s">
        <v>1186</v>
      </c>
      <c r="C34" s="188" t="str">
        <f ca="1">IF(F34=0,"",COUNTIF($F$6:$F34,"&gt;0"))</f>
        <v/>
      </c>
      <c r="D34" s="778" t="str">
        <f>VLOOKUP($B34,dongia1,DG!$C$5,)</f>
        <v xml:space="preserve">MCCB 3 cực 400V -250A - 35KA </v>
      </c>
      <c r="E34" s="555" t="str">
        <f>VLOOKUP($B34,dongia1,DG!$D$5,)</f>
        <v>cái</v>
      </c>
      <c r="F34" s="975">
        <f ca="1">G34+H34</f>
        <v>0</v>
      </c>
      <c r="G34" s="976">
        <f t="shared" ref="G34:G42" ca="1" si="32">SUM(AC34:AL34)</f>
        <v>0</v>
      </c>
      <c r="H34" s="976">
        <f ca="1">SUMIF(CT_tram!$B$33:$G$3559,kl!B34,CT_tram!$G$33:$G$3559)</f>
        <v>0</v>
      </c>
      <c r="I34" s="775">
        <f ca="1">SUMIF(CT_tram!$B$34:$G$115,$B34,CT_tram!$G$34:$G$115)</f>
        <v>0</v>
      </c>
      <c r="J34" s="775">
        <f ca="1">SUMIF(CT_tram!$B$122:$G$204,$B34,CT_tram!$G$122:$G$204)</f>
        <v>0</v>
      </c>
      <c r="K34" s="775">
        <f ca="1">SUMIF(CT_tram!$B$211:$G$293,$B34,CT_tram!$G$211:$G$293)</f>
        <v>0</v>
      </c>
      <c r="L34" s="775">
        <f ca="1">SUMIF(CT_tram!$B$300:$G$374,$B34,CT_tram!$G$300:$G$374)</f>
        <v>0</v>
      </c>
      <c r="M34" s="775">
        <f ca="1">SUMIF(CT_tram!$B$381:$G$471,$B34,CT_tram!$G$381:$G$471)</f>
        <v>0</v>
      </c>
      <c r="N34" s="775">
        <f ca="1">SUMIF(CT_tram!$B$478:$G$560,$B34,CT_tram!$G$478:$G$560)</f>
        <v>0</v>
      </c>
      <c r="O34" s="775">
        <f ca="1">SUMIF(CT_tram!$B$567:$G$653,$B34,CT_tram!$G$567:$G$653)</f>
        <v>0</v>
      </c>
      <c r="P34" s="775">
        <f ca="1">SUMIF(CT_tram!$B$661:$G$738,$B34,CT_tram!$G$661:$G$738)</f>
        <v>0</v>
      </c>
      <c r="Q34" s="775">
        <f ca="1">SUMIF(CT_tram!$B$745:$G$899,$B34,CT_tram!$G$745:$G$899)</f>
        <v>0</v>
      </c>
      <c r="R34" s="775">
        <f ca="1">SUMIF(CT_tram!$B$907:$G$995,$B34,CT_tram!$G$907:$G$995)</f>
        <v>0</v>
      </c>
      <c r="S34" s="775"/>
      <c r="T34" s="775">
        <f ca="1">SUMIF(CT_tram!$B$1004:$G$1097,B34,CT_tram!$G$1004:$G$1097)</f>
        <v>0</v>
      </c>
      <c r="U34" s="775"/>
      <c r="V34" s="775">
        <f ca="1">SUMIF(CT_tram!$B$1226:$G$1352,kl!B34,CT_tram!$G$1226:$G$1352)</f>
        <v>0</v>
      </c>
      <c r="W34" s="780">
        <f ca="1">SUMIF(CT_tram!$B$1105:$G$1219,kl!B34,CT_tram!$G$1105:$G$1219)</f>
        <v>0</v>
      </c>
      <c r="X34" s="775">
        <f ca="1">SUMIF(CT_tram!$B$1359:$G$1504,kl!B34,CT_tram!$G$1359:$G$1504)</f>
        <v>0</v>
      </c>
      <c r="Y34" s="775">
        <f ca="1">SUMIF(CT_tram!$B$1511:$G$1625,kl!B34,CT_tram!$G$1511:$G$1625)</f>
        <v>0</v>
      </c>
      <c r="Z34" s="775">
        <f ca="1">SUMIF(CT_tram!$B$1632:$G$2211,kl!B34,CT_tram!$G$1632:$G$2211)</f>
        <v>0</v>
      </c>
      <c r="AA34" s="775">
        <f ca="1">SUMIF(CT_tram!$B$2243:$G$2384,kl!B34,CT_tram!$G$2243:$G$2384)</f>
        <v>0</v>
      </c>
      <c r="AB34" s="775">
        <f ca="1">SUMIF(CT_tram!$B$2391:$G$2563,kl!B34,CT_tram!$G$2391:$G$2563)</f>
        <v>0</v>
      </c>
      <c r="AC34" s="775"/>
      <c r="AD34" s="775"/>
      <c r="AE34" s="775"/>
      <c r="AF34" s="775"/>
      <c r="AG34" s="775"/>
      <c r="AH34" s="775"/>
      <c r="AI34" s="775"/>
      <c r="AJ34" s="775"/>
      <c r="AK34" s="775"/>
      <c r="AL34" s="775">
        <f ca="1">SUMIF('Cap ngam'!B$16:G$400,kl!$B34,'Cap ngam'!G$16:G$400)</f>
        <v>0</v>
      </c>
      <c r="AM34" s="776">
        <v>2</v>
      </c>
      <c r="AN34" s="775">
        <f t="shared" ca="1" si="15"/>
        <v>0</v>
      </c>
      <c r="AO34" s="775">
        <f t="shared" ca="1" si="16"/>
        <v>0</v>
      </c>
      <c r="AP34" s="775">
        <f t="shared" ca="1" si="17"/>
        <v>0</v>
      </c>
      <c r="AQ34" s="775">
        <f t="shared" ca="1" si="18"/>
        <v>0</v>
      </c>
      <c r="AR34" s="775">
        <f t="shared" ca="1" si="19"/>
        <v>0</v>
      </c>
      <c r="AS34" s="775">
        <f t="shared" ca="1" si="20"/>
        <v>0</v>
      </c>
      <c r="AT34" s="775">
        <f t="shared" ca="1" si="21"/>
        <v>0</v>
      </c>
      <c r="AU34" s="775">
        <f t="shared" ca="1" si="22"/>
        <v>0</v>
      </c>
      <c r="AV34" s="775">
        <f t="shared" ca="1" si="23"/>
        <v>0</v>
      </c>
      <c r="AW34" s="775">
        <f t="shared" ca="1" si="24"/>
        <v>0</v>
      </c>
      <c r="AX34" s="775">
        <f t="shared" si="25"/>
        <v>0</v>
      </c>
      <c r="AY34" s="775">
        <f t="shared" ca="1" si="26"/>
        <v>0</v>
      </c>
      <c r="AZ34" s="775">
        <f t="shared" si="27"/>
        <v>0</v>
      </c>
      <c r="BA34" s="775">
        <f t="shared" ca="1" si="1"/>
        <v>0</v>
      </c>
      <c r="BB34" s="775">
        <f t="shared" ca="1" si="2"/>
        <v>0</v>
      </c>
      <c r="BC34" s="775">
        <f t="shared" ca="1" si="3"/>
        <v>0</v>
      </c>
      <c r="BD34" s="775">
        <f t="shared" ca="1" si="4"/>
        <v>0</v>
      </c>
      <c r="BE34" s="775">
        <f t="shared" ca="1" si="5"/>
        <v>0</v>
      </c>
      <c r="BF34" s="775">
        <f t="shared" ca="1" si="6"/>
        <v>0</v>
      </c>
      <c r="BG34" s="775">
        <f t="shared" ca="1" si="7"/>
        <v>0</v>
      </c>
      <c r="BH34" s="775"/>
      <c r="BI34" s="775"/>
      <c r="BJ34" s="775"/>
      <c r="BK34" s="775"/>
      <c r="BL34" s="775"/>
      <c r="BM34" s="775"/>
      <c r="BN34" s="775"/>
      <c r="BO34" s="775">
        <f t="shared" si="8"/>
        <v>0</v>
      </c>
      <c r="BP34" s="775">
        <f t="shared" si="9"/>
        <v>0</v>
      </c>
      <c r="BQ34" s="775">
        <f t="shared" ca="1" si="10"/>
        <v>0</v>
      </c>
      <c r="BR34" s="775">
        <f t="shared" ca="1" si="11"/>
        <v>0</v>
      </c>
    </row>
    <row r="35" spans="1:70">
      <c r="A35" s="767" t="str">
        <f t="shared" ca="1" si="12"/>
        <v/>
      </c>
      <c r="B35" s="786" t="s">
        <v>33</v>
      </c>
      <c r="C35" s="188" t="str">
        <f ca="1">IF(F35=0,"",COUNTIF($F$6:$F35,"&gt;0"))</f>
        <v/>
      </c>
      <c r="D35" s="778" t="str">
        <f>VLOOKUP($B35,dongia1,DG!$C$5,)</f>
        <v>MCCB 3 cực 400V -400A - 50KA (chỉnh định dòng)</v>
      </c>
      <c r="E35" s="555" t="str">
        <f>VLOOKUP($B35,dongia1,DG!$D$5,)</f>
        <v>cái</v>
      </c>
      <c r="F35" s="975">
        <f ca="1">G35+H35</f>
        <v>0</v>
      </c>
      <c r="G35" s="976">
        <f t="shared" ca="1" si="32"/>
        <v>0</v>
      </c>
      <c r="H35" s="976">
        <f ca="1">SUMIF(CT_tram!$B$33:$G$3559,kl!B35,CT_tram!$G$33:$G$3559)</f>
        <v>0</v>
      </c>
      <c r="I35" s="775">
        <f ca="1">SUMIF(CT_tram!$B$34:$G$115,$B35,CT_tram!$G$34:$G$115)</f>
        <v>0</v>
      </c>
      <c r="J35" s="775">
        <f ca="1">SUMIF(CT_tram!$B$122:$G$204,$B35,CT_tram!$G$122:$G$204)</f>
        <v>0</v>
      </c>
      <c r="K35" s="775">
        <f ca="1">SUMIF(CT_tram!$B$211:$G$293,$B35,CT_tram!$G$211:$G$293)</f>
        <v>0</v>
      </c>
      <c r="L35" s="775">
        <f ca="1">SUMIF(CT_tram!$B$300:$G$374,$B35,CT_tram!$G$300:$G$374)</f>
        <v>0</v>
      </c>
      <c r="M35" s="775">
        <f ca="1">SUMIF(CT_tram!$B$381:$G$471,$B35,CT_tram!$G$381:$G$471)</f>
        <v>0</v>
      </c>
      <c r="N35" s="775">
        <f ca="1">SUMIF(CT_tram!$B$478:$G$560,$B35,CT_tram!$G$478:$G$560)</f>
        <v>0</v>
      </c>
      <c r="O35" s="775">
        <f ca="1">SUMIF(CT_tram!$B$567:$G$653,$B35,CT_tram!$G$567:$G$653)</f>
        <v>0</v>
      </c>
      <c r="P35" s="775">
        <f ca="1">SUMIF(CT_tram!$B$661:$G$738,$B35,CT_tram!$G$661:$G$738)</f>
        <v>0</v>
      </c>
      <c r="Q35" s="775">
        <f ca="1">SUMIF(CT_tram!$B$745:$G$899,$B35,CT_tram!$G$745:$G$899)</f>
        <v>0</v>
      </c>
      <c r="R35" s="775">
        <f ca="1">SUMIF(CT_tram!$B$907:$G$995,$B35,CT_tram!$G$907:$G$995)</f>
        <v>0</v>
      </c>
      <c r="S35" s="775"/>
      <c r="T35" s="775">
        <f ca="1">SUMIF(CT_tram!$B$1004:$G$1097,B35,CT_tram!$G$1004:$G$1097)</f>
        <v>0</v>
      </c>
      <c r="U35" s="775"/>
      <c r="V35" s="775">
        <f ca="1">SUMIF(CT_tram!$B$1226:$G$1352,kl!B35,CT_tram!$G$1226:$G$1352)</f>
        <v>0</v>
      </c>
      <c r="W35" s="780">
        <f ca="1">SUMIF(CT_tram!$B$1105:$G$1219,kl!B35,CT_tram!$G$1105:$G$1219)</f>
        <v>0</v>
      </c>
      <c r="X35" s="775">
        <f ca="1">SUMIF(CT_tram!$B$1359:$G$1504,kl!B35,CT_tram!$G$1359:$G$1504)</f>
        <v>0</v>
      </c>
      <c r="Y35" s="775">
        <f ca="1">SUMIF(CT_tram!$B$1511:$G$1625,kl!B35,CT_tram!$G$1511:$G$1625)</f>
        <v>0</v>
      </c>
      <c r="Z35" s="775">
        <f ca="1">SUMIF(CT_tram!$B$1632:$G$2211,kl!B35,CT_tram!$G$1632:$G$2211)</f>
        <v>0</v>
      </c>
      <c r="AA35" s="775">
        <f ca="1">SUMIF(CT_tram!$B$2243:$G$2384,kl!B35,CT_tram!$G$2243:$G$2384)</f>
        <v>0</v>
      </c>
      <c r="AB35" s="775">
        <f ca="1">SUMIF(CT_tram!$B$2391:$G$2563,kl!B35,CT_tram!$G$2391:$G$2563)</f>
        <v>0</v>
      </c>
      <c r="AC35" s="775"/>
      <c r="AD35" s="775"/>
      <c r="AE35" s="775"/>
      <c r="AF35" s="775"/>
      <c r="AG35" s="775"/>
      <c r="AH35" s="775"/>
      <c r="AI35" s="775"/>
      <c r="AJ35" s="775"/>
      <c r="AK35" s="775"/>
      <c r="AL35" s="775">
        <f ca="1">SUMIF('Cap ngam'!B$16:G$400,kl!$B35,'Cap ngam'!G$16:G$400)</f>
        <v>0</v>
      </c>
      <c r="AM35" s="776">
        <v>3</v>
      </c>
      <c r="AN35" s="775">
        <f t="shared" ca="1" si="15"/>
        <v>0</v>
      </c>
      <c r="AO35" s="775">
        <f t="shared" ca="1" si="16"/>
        <v>0</v>
      </c>
      <c r="AP35" s="775">
        <f t="shared" ca="1" si="17"/>
        <v>0</v>
      </c>
      <c r="AQ35" s="775">
        <f t="shared" ca="1" si="18"/>
        <v>0</v>
      </c>
      <c r="AR35" s="775">
        <f t="shared" ca="1" si="19"/>
        <v>0</v>
      </c>
      <c r="AS35" s="775">
        <f t="shared" ca="1" si="20"/>
        <v>0</v>
      </c>
      <c r="AT35" s="775">
        <f t="shared" ca="1" si="21"/>
        <v>0</v>
      </c>
      <c r="AU35" s="775">
        <f t="shared" ca="1" si="22"/>
        <v>0</v>
      </c>
      <c r="AV35" s="775">
        <f t="shared" ca="1" si="23"/>
        <v>0</v>
      </c>
      <c r="AW35" s="775">
        <f t="shared" ca="1" si="24"/>
        <v>0</v>
      </c>
      <c r="AX35" s="775">
        <f t="shared" si="25"/>
        <v>0</v>
      </c>
      <c r="AY35" s="775">
        <f t="shared" ca="1" si="26"/>
        <v>0</v>
      </c>
      <c r="AZ35" s="775">
        <f t="shared" si="27"/>
        <v>0</v>
      </c>
      <c r="BA35" s="775">
        <f t="shared" ca="1" si="1"/>
        <v>0</v>
      </c>
      <c r="BB35" s="775">
        <f t="shared" ca="1" si="2"/>
        <v>0</v>
      </c>
      <c r="BC35" s="775">
        <f t="shared" ca="1" si="3"/>
        <v>0</v>
      </c>
      <c r="BD35" s="775">
        <f t="shared" ca="1" si="4"/>
        <v>0</v>
      </c>
      <c r="BE35" s="775">
        <f t="shared" ca="1" si="5"/>
        <v>0</v>
      </c>
      <c r="BF35" s="775">
        <f t="shared" ca="1" si="6"/>
        <v>0</v>
      </c>
      <c r="BG35" s="775">
        <f t="shared" ca="1" si="7"/>
        <v>0</v>
      </c>
      <c r="BH35" s="775"/>
      <c r="BI35" s="775"/>
      <c r="BJ35" s="775"/>
      <c r="BK35" s="775"/>
      <c r="BL35" s="775"/>
      <c r="BM35" s="775"/>
      <c r="BN35" s="775"/>
      <c r="BO35" s="775">
        <f t="shared" si="8"/>
        <v>0</v>
      </c>
      <c r="BP35" s="775">
        <f t="shared" si="9"/>
        <v>0</v>
      </c>
      <c r="BQ35" s="775">
        <f t="shared" ca="1" si="10"/>
        <v>0</v>
      </c>
      <c r="BR35" s="775">
        <f t="shared" ca="1" si="11"/>
        <v>0</v>
      </c>
    </row>
    <row r="36" spans="1:70">
      <c r="A36" s="767" t="str">
        <f t="shared" ca="1" si="12"/>
        <v/>
      </c>
      <c r="B36" s="786" t="s">
        <v>626</v>
      </c>
      <c r="C36" s="188" t="str">
        <f ca="1">IF(F36=0,"",COUNTIF($F$6:$F36,"&gt;0"))</f>
        <v/>
      </c>
      <c r="D36" s="778" t="str">
        <f>VLOOKUP($B36,dongia1,DG!$C$5,)</f>
        <v>MCCB 3 cực 400V -200/500A - 50KA</v>
      </c>
      <c r="E36" s="555" t="str">
        <f>VLOOKUP($B36,dongia1,DG!$D$5,)</f>
        <v>cái</v>
      </c>
      <c r="F36" s="779">
        <f ca="1">G36+H36</f>
        <v>0</v>
      </c>
      <c r="G36" s="775">
        <f ca="1">SUM(AC36:AL36)</f>
        <v>0</v>
      </c>
      <c r="H36" s="775">
        <f ca="1">SUMIF(CT_tram!$B$33:$G$3559,kl!B36,CT_tram!$G$33:$G$3559)</f>
        <v>0</v>
      </c>
      <c r="I36" s="775">
        <f ca="1">SUMIF(CT_tram!$B$34:$G$115,$B36,CT_tram!$G$34:$G$115)</f>
        <v>0</v>
      </c>
      <c r="J36" s="775">
        <f ca="1">SUMIF(CT_tram!$B$122:$G$204,$B36,CT_tram!$G$122:$G$204)</f>
        <v>0</v>
      </c>
      <c r="K36" s="775">
        <f ca="1">SUMIF(CT_tram!$B$211:$G$293,$B36,CT_tram!$G$211:$G$293)</f>
        <v>0</v>
      </c>
      <c r="L36" s="775">
        <f ca="1">SUMIF(CT_tram!$B$300:$G$374,$B36,CT_tram!$G$300:$G$374)</f>
        <v>0</v>
      </c>
      <c r="M36" s="775">
        <f ca="1">SUMIF(CT_tram!$B$381:$G$471,$B36,CT_tram!$G$381:$G$471)</f>
        <v>0</v>
      </c>
      <c r="N36" s="775">
        <f ca="1">SUMIF(CT_tram!$B$478:$G$560,$B36,CT_tram!$G$478:$G$560)</f>
        <v>0</v>
      </c>
      <c r="O36" s="775">
        <f ca="1">SUMIF(CT_tram!$B$567:$G$653,$B36,CT_tram!$G$567:$G$653)</f>
        <v>0</v>
      </c>
      <c r="P36" s="775">
        <f ca="1">SUMIF(CT_tram!$B$661:$G$738,$B36,CT_tram!$G$661:$G$738)</f>
        <v>0</v>
      </c>
      <c r="Q36" s="775">
        <f ca="1">SUMIF(CT_tram!$B$745:$G$899,$B36,CT_tram!$G$745:$G$899)</f>
        <v>0</v>
      </c>
      <c r="R36" s="775">
        <f ca="1">SUMIF(CT_tram!$B$907:$G$995,$B36,CT_tram!$G$907:$G$995)</f>
        <v>0</v>
      </c>
      <c r="S36" s="775"/>
      <c r="T36" s="775">
        <f ca="1">SUMIF(CT_tram!$B$1004:$G$1097,B36,CT_tram!$G$1004:$G$1097)</f>
        <v>0</v>
      </c>
      <c r="U36" s="775"/>
      <c r="V36" s="775">
        <f ca="1">SUMIF(CT_tram!$B$1226:$G$1352,kl!B36,CT_tram!$G$1226:$G$1352)</f>
        <v>0</v>
      </c>
      <c r="W36" s="780">
        <f ca="1">SUMIF(CT_tram!$B$1105:$G$1219,kl!B36,CT_tram!$G$1105:$G$1219)</f>
        <v>0</v>
      </c>
      <c r="X36" s="775">
        <f ca="1">SUMIF(CT_tram!$B$1359:$G$1504,kl!B36,CT_tram!$G$1359:$G$1504)</f>
        <v>0</v>
      </c>
      <c r="Y36" s="775">
        <f ca="1">SUMIF(CT_tram!$B$1511:$G$1625,kl!B36,CT_tram!$G$1511:$G$1625)</f>
        <v>0</v>
      </c>
      <c r="Z36" s="775">
        <f ca="1">SUMIF(CT_tram!$B$1632:$G$2211,kl!B36,CT_tram!$G$1632:$G$2211)</f>
        <v>0</v>
      </c>
      <c r="AA36" s="775">
        <f ca="1">SUMIF(CT_tram!$B$2243:$G$2384,kl!B36,CT_tram!$G$2243:$G$2384)</f>
        <v>0</v>
      </c>
      <c r="AB36" s="775">
        <f ca="1">SUMIF(CT_tram!$B$2391:$G$2563,kl!B36,CT_tram!$G$2391:$G$2563)</f>
        <v>0</v>
      </c>
      <c r="AC36" s="775"/>
      <c r="AD36" s="775"/>
      <c r="AE36" s="775"/>
      <c r="AF36" s="775"/>
      <c r="AG36" s="775"/>
      <c r="AH36" s="775"/>
      <c r="AI36" s="775"/>
      <c r="AJ36" s="775"/>
      <c r="AK36" s="775"/>
      <c r="AL36" s="775">
        <f ca="1">SUMIF('Cap ngam'!B$16:G$400,kl!$B36,'Cap ngam'!G$16:G$400)</f>
        <v>0</v>
      </c>
      <c r="AM36" s="776">
        <v>4</v>
      </c>
      <c r="AN36" s="775">
        <f t="shared" ca="1" si="15"/>
        <v>0</v>
      </c>
      <c r="AO36" s="775">
        <f t="shared" ca="1" si="16"/>
        <v>0</v>
      </c>
      <c r="AP36" s="775">
        <f t="shared" ca="1" si="17"/>
        <v>0</v>
      </c>
      <c r="AQ36" s="775">
        <f t="shared" ca="1" si="18"/>
        <v>0</v>
      </c>
      <c r="AR36" s="775">
        <f t="shared" ca="1" si="19"/>
        <v>0</v>
      </c>
      <c r="AS36" s="775">
        <f t="shared" ca="1" si="20"/>
        <v>0</v>
      </c>
      <c r="AT36" s="775">
        <f t="shared" ca="1" si="21"/>
        <v>0</v>
      </c>
      <c r="AU36" s="775">
        <f t="shared" ca="1" si="22"/>
        <v>0</v>
      </c>
      <c r="AV36" s="775">
        <f t="shared" ca="1" si="23"/>
        <v>0</v>
      </c>
      <c r="AW36" s="775">
        <f t="shared" ca="1" si="24"/>
        <v>0</v>
      </c>
      <c r="AX36" s="775">
        <f t="shared" si="25"/>
        <v>0</v>
      </c>
      <c r="AY36" s="775">
        <f t="shared" ca="1" si="26"/>
        <v>0</v>
      </c>
      <c r="AZ36" s="775">
        <f t="shared" si="27"/>
        <v>0</v>
      </c>
      <c r="BA36" s="775">
        <f t="shared" ca="1" si="1"/>
        <v>0</v>
      </c>
      <c r="BB36" s="775">
        <f t="shared" ca="1" si="2"/>
        <v>0</v>
      </c>
      <c r="BC36" s="775">
        <f t="shared" ca="1" si="3"/>
        <v>0</v>
      </c>
      <c r="BD36" s="775">
        <f t="shared" ca="1" si="4"/>
        <v>0</v>
      </c>
      <c r="BE36" s="775">
        <f t="shared" ca="1" si="5"/>
        <v>0</v>
      </c>
      <c r="BF36" s="775">
        <f t="shared" ca="1" si="6"/>
        <v>0</v>
      </c>
      <c r="BG36" s="775">
        <f t="shared" ca="1" si="7"/>
        <v>0</v>
      </c>
      <c r="BH36" s="775"/>
      <c r="BI36" s="775"/>
      <c r="BJ36" s="775"/>
      <c r="BK36" s="775"/>
      <c r="BL36" s="775"/>
      <c r="BM36" s="775"/>
      <c r="BN36" s="775"/>
      <c r="BO36" s="775">
        <f t="shared" si="8"/>
        <v>0</v>
      </c>
      <c r="BP36" s="775">
        <f t="shared" si="9"/>
        <v>0</v>
      </c>
      <c r="BQ36" s="775">
        <f t="shared" ca="1" si="10"/>
        <v>0</v>
      </c>
      <c r="BR36" s="775">
        <f t="shared" ca="1" si="11"/>
        <v>0</v>
      </c>
    </row>
    <row r="37" spans="1:70">
      <c r="A37" s="767" t="str">
        <f t="shared" ca="1" si="12"/>
        <v/>
      </c>
      <c r="B37" s="786" t="s">
        <v>1215</v>
      </c>
      <c r="C37" s="188" t="str">
        <f ca="1">IF(F37=0,"",COUNTIF($F$6:$F37,"&gt;0"))</f>
        <v/>
      </c>
      <c r="D37" s="778" t="str">
        <f>VLOOKUP($B37,dongia1,DG!$C$5,)</f>
        <v>MCCB 3 cực 400V -630A - 50KA (chỉnh định dòng)</v>
      </c>
      <c r="E37" s="555" t="str">
        <f>VLOOKUP($B37,dongia1,DG!$D$5,)</f>
        <v>cái</v>
      </c>
      <c r="F37" s="779">
        <f ca="1">G37+H37</f>
        <v>0</v>
      </c>
      <c r="G37" s="775">
        <f ca="1">SUM(AC37:AL37)</f>
        <v>0</v>
      </c>
      <c r="H37" s="775">
        <f ca="1">SUMIF(CT_tram!$B$33:$G$3559,kl!B37,CT_tram!$G$33:$G$3559)</f>
        <v>0</v>
      </c>
      <c r="I37" s="775">
        <f ca="1">SUMIF(CT_tram!$B$34:$G$115,$B37,CT_tram!$G$34:$G$115)</f>
        <v>0</v>
      </c>
      <c r="J37" s="775">
        <f ca="1">SUMIF(CT_tram!$B$122:$G$204,$B37,CT_tram!$G$122:$G$204)</f>
        <v>0</v>
      </c>
      <c r="K37" s="775">
        <f ca="1">SUMIF(CT_tram!$B$211:$G$293,$B37,CT_tram!$G$211:$G$293)</f>
        <v>0</v>
      </c>
      <c r="L37" s="775">
        <f ca="1">SUMIF(CT_tram!$B$300:$G$374,$B37,CT_tram!$G$300:$G$374)</f>
        <v>0</v>
      </c>
      <c r="M37" s="775">
        <f ca="1">SUMIF(CT_tram!$B$381:$G$471,$B37,CT_tram!$G$381:$G$471)</f>
        <v>0</v>
      </c>
      <c r="N37" s="775">
        <f ca="1">SUMIF(CT_tram!$B$478:$G$560,$B37,CT_tram!$G$478:$G$560)</f>
        <v>0</v>
      </c>
      <c r="O37" s="775">
        <f ca="1">SUMIF(CT_tram!$B$567:$G$653,$B37,CT_tram!$G$567:$G$653)</f>
        <v>0</v>
      </c>
      <c r="P37" s="775">
        <f ca="1">SUMIF(CT_tram!$B$661:$G$738,$B37,CT_tram!$G$661:$G$738)</f>
        <v>0</v>
      </c>
      <c r="Q37" s="775">
        <f ca="1">SUMIF(CT_tram!$B$745:$G$899,$B37,CT_tram!$G$745:$G$899)</f>
        <v>0</v>
      </c>
      <c r="R37" s="775">
        <f ca="1">SUMIF(CT_tram!$B$907:$G$995,$B37,CT_tram!$G$907:$G$995)</f>
        <v>0</v>
      </c>
      <c r="S37" s="775"/>
      <c r="T37" s="775">
        <f ca="1">SUMIF(CT_tram!$B$1004:$G$1097,B37,CT_tram!$G$1004:$G$1097)</f>
        <v>0</v>
      </c>
      <c r="U37" s="775"/>
      <c r="V37" s="775">
        <f ca="1">SUMIF(CT_tram!$B$1226:$G$1352,kl!B37,CT_tram!$G$1226:$G$1352)</f>
        <v>0</v>
      </c>
      <c r="W37" s="780">
        <f ca="1">SUMIF(CT_tram!$B$1105:$G$1219,kl!B37,CT_tram!$G$1105:$G$1219)</f>
        <v>0</v>
      </c>
      <c r="X37" s="775">
        <f ca="1">SUMIF(CT_tram!$B$1359:$G$1504,kl!B37,CT_tram!$G$1359:$G$1504)</f>
        <v>0</v>
      </c>
      <c r="Y37" s="775">
        <f ca="1">SUMIF(CT_tram!$B$1511:$G$1625,kl!B37,CT_tram!$G$1511:$G$1625)</f>
        <v>0</v>
      </c>
      <c r="Z37" s="775">
        <f ca="1">SUMIF(CT_tram!$B$1632:$G$2211,kl!B37,CT_tram!$G$1632:$G$2211)</f>
        <v>0</v>
      </c>
      <c r="AA37" s="775">
        <f ca="1">SUMIF(CT_tram!$B$2243:$G$2384,kl!B37,CT_tram!$G$2243:$G$2384)</f>
        <v>0</v>
      </c>
      <c r="AB37" s="775">
        <f ca="1">SUMIF(CT_tram!$B$2391:$G$2563,kl!B37,CT_tram!$G$2391:$G$2563)</f>
        <v>0</v>
      </c>
      <c r="AC37" s="775"/>
      <c r="AD37" s="775"/>
      <c r="AE37" s="775"/>
      <c r="AF37" s="775"/>
      <c r="AG37" s="775"/>
      <c r="AH37" s="775"/>
      <c r="AI37" s="775"/>
      <c r="AJ37" s="775"/>
      <c r="AK37" s="775"/>
      <c r="AL37" s="775">
        <f ca="1">SUMIF('Cap ngam'!B$16:G$400,kl!$B37,'Cap ngam'!G$16:G$400)</f>
        <v>0</v>
      </c>
      <c r="AM37" s="776">
        <v>4</v>
      </c>
      <c r="AN37" s="775">
        <f t="shared" ca="1" si="15"/>
        <v>0</v>
      </c>
      <c r="AO37" s="775">
        <f t="shared" ca="1" si="16"/>
        <v>0</v>
      </c>
      <c r="AP37" s="775">
        <f t="shared" ca="1" si="17"/>
        <v>0</v>
      </c>
      <c r="AQ37" s="775">
        <f t="shared" ca="1" si="18"/>
        <v>0</v>
      </c>
      <c r="AR37" s="775">
        <f t="shared" ca="1" si="19"/>
        <v>0</v>
      </c>
      <c r="AS37" s="775">
        <f t="shared" ca="1" si="20"/>
        <v>0</v>
      </c>
      <c r="AT37" s="775">
        <f t="shared" ca="1" si="21"/>
        <v>0</v>
      </c>
      <c r="AU37" s="775">
        <f t="shared" ca="1" si="22"/>
        <v>0</v>
      </c>
      <c r="AV37" s="775">
        <f t="shared" ca="1" si="23"/>
        <v>0</v>
      </c>
      <c r="AW37" s="775">
        <f t="shared" ca="1" si="24"/>
        <v>0</v>
      </c>
      <c r="AX37" s="775">
        <f t="shared" si="25"/>
        <v>0</v>
      </c>
      <c r="AY37" s="775">
        <f t="shared" ca="1" si="26"/>
        <v>0</v>
      </c>
      <c r="AZ37" s="775">
        <f t="shared" si="27"/>
        <v>0</v>
      </c>
      <c r="BA37" s="775">
        <f t="shared" ca="1" si="1"/>
        <v>0</v>
      </c>
      <c r="BB37" s="775">
        <f t="shared" ca="1" si="2"/>
        <v>0</v>
      </c>
      <c r="BC37" s="775">
        <f t="shared" ca="1" si="3"/>
        <v>0</v>
      </c>
      <c r="BD37" s="775">
        <f t="shared" ca="1" si="4"/>
        <v>0</v>
      </c>
      <c r="BE37" s="775">
        <f t="shared" ca="1" si="5"/>
        <v>0</v>
      </c>
      <c r="BF37" s="775">
        <f t="shared" ca="1" si="6"/>
        <v>0</v>
      </c>
      <c r="BG37" s="775">
        <f t="shared" ca="1" si="7"/>
        <v>0</v>
      </c>
      <c r="BH37" s="775"/>
      <c r="BI37" s="775"/>
      <c r="BJ37" s="775"/>
      <c r="BK37" s="775"/>
      <c r="BL37" s="775"/>
      <c r="BM37" s="775"/>
      <c r="BN37" s="775"/>
      <c r="BO37" s="775">
        <f t="shared" si="8"/>
        <v>0</v>
      </c>
      <c r="BP37" s="775">
        <f t="shared" si="9"/>
        <v>0</v>
      </c>
      <c r="BQ37" s="775">
        <f t="shared" ca="1" si="10"/>
        <v>0</v>
      </c>
      <c r="BR37" s="775">
        <f t="shared" ca="1" si="11"/>
        <v>0</v>
      </c>
    </row>
    <row r="38" spans="1:70">
      <c r="A38" s="767" t="str">
        <f t="shared" ca="1" si="12"/>
        <v/>
      </c>
      <c r="B38" s="786" t="s">
        <v>1474</v>
      </c>
      <c r="C38" s="188" t="str">
        <f ca="1">IF(F38=0,"",COUNTIF($F$6:$F38,"&gt;0"))</f>
        <v/>
      </c>
      <c r="D38" s="778" t="str">
        <f>VLOOKUP($B38,dongia1,DG!$C$5,)</f>
        <v>MCCB 3 cực 400V -800A - 50KA</v>
      </c>
      <c r="E38" s="555" t="str">
        <f>VLOOKUP($B38,dongia1,DG!$D$5,)</f>
        <v>cái</v>
      </c>
      <c r="F38" s="779">
        <f t="shared" ca="1" si="13"/>
        <v>0</v>
      </c>
      <c r="G38" s="775">
        <f t="shared" ca="1" si="32"/>
        <v>0</v>
      </c>
      <c r="H38" s="775">
        <f ca="1">SUMIF(CT_tram!$B$33:$G$3559,kl!B38,CT_tram!$G$33:$G$3559)</f>
        <v>0</v>
      </c>
      <c r="I38" s="775">
        <f ca="1">SUMIF(CT_tram!$B$34:$G$115,$B38,CT_tram!$G$34:$G$115)</f>
        <v>0</v>
      </c>
      <c r="J38" s="775">
        <f ca="1">SUMIF(CT_tram!$B$122:$G$204,$B38,CT_tram!$G$122:$G$204)</f>
        <v>0</v>
      </c>
      <c r="K38" s="775">
        <f ca="1">SUMIF(CT_tram!$B$211:$G$293,$B38,CT_tram!$G$211:$G$293)</f>
        <v>0</v>
      </c>
      <c r="L38" s="775">
        <f ca="1">SUMIF(CT_tram!$B$300:$G$374,$B38,CT_tram!$G$300:$G$374)</f>
        <v>0</v>
      </c>
      <c r="M38" s="775">
        <f ca="1">SUMIF(CT_tram!$B$381:$G$471,$B38,CT_tram!$G$381:$G$471)</f>
        <v>0</v>
      </c>
      <c r="N38" s="775">
        <f ca="1">SUMIF(CT_tram!$B$478:$G$560,$B38,CT_tram!$G$478:$G$560)</f>
        <v>0</v>
      </c>
      <c r="O38" s="775">
        <f ca="1">SUMIF(CT_tram!$B$567:$G$653,$B38,CT_tram!$G$567:$G$653)</f>
        <v>0</v>
      </c>
      <c r="P38" s="775">
        <f ca="1">SUMIF(CT_tram!$B$661:$G$738,$B38,CT_tram!$G$661:$G$738)</f>
        <v>0</v>
      </c>
      <c r="Q38" s="775">
        <f ca="1">SUMIF(CT_tram!$B$745:$G$899,$B38,CT_tram!$G$745:$G$899)</f>
        <v>0</v>
      </c>
      <c r="R38" s="775">
        <f ca="1">SUMIF(CT_tram!$B$907:$G$995,$B38,CT_tram!$G$907:$G$995)</f>
        <v>0</v>
      </c>
      <c r="S38" s="775"/>
      <c r="T38" s="775">
        <f ca="1">SUMIF(CT_tram!$B$1004:$G$1097,B38,CT_tram!$G$1004:$G$1097)</f>
        <v>0</v>
      </c>
      <c r="U38" s="775"/>
      <c r="V38" s="775">
        <f ca="1">SUMIF(CT_tram!$B$1226:$G$1352,kl!B38,CT_tram!$G$1226:$G$1352)</f>
        <v>0</v>
      </c>
      <c r="W38" s="780">
        <f ca="1">SUMIF(CT_tram!$B$1105:$G$1219,kl!B38,CT_tram!$G$1105:$G$1219)</f>
        <v>0</v>
      </c>
      <c r="X38" s="775">
        <f ca="1">SUMIF(CT_tram!$B$1359:$G$1504,kl!B38,CT_tram!$G$1359:$G$1504)</f>
        <v>0</v>
      </c>
      <c r="Y38" s="775">
        <f ca="1">SUMIF(CT_tram!$B$1511:$G$1625,kl!B38,CT_tram!$G$1511:$G$1625)</f>
        <v>0</v>
      </c>
      <c r="Z38" s="775">
        <f ca="1">SUMIF(CT_tram!$B$1632:$G$2211,kl!B38,CT_tram!$G$1632:$G$2211)</f>
        <v>0</v>
      </c>
      <c r="AA38" s="775">
        <f ca="1">SUMIF(CT_tram!$B$2243:$G$2384,kl!B38,CT_tram!$G$2243:$G$2384)</f>
        <v>0</v>
      </c>
      <c r="AB38" s="775">
        <f ca="1">SUMIF(CT_tram!$B$2391:$G$2563,kl!B38,CT_tram!$G$2391:$G$2563)</f>
        <v>0</v>
      </c>
      <c r="AC38" s="775"/>
      <c r="AD38" s="775"/>
      <c r="AE38" s="775"/>
      <c r="AF38" s="775"/>
      <c r="AG38" s="775"/>
      <c r="AH38" s="775"/>
      <c r="AI38" s="775"/>
      <c r="AJ38" s="775"/>
      <c r="AK38" s="775"/>
      <c r="AL38" s="775">
        <f ca="1">SUMIF('Cap ngam'!B$16:G$400,kl!$B38,'Cap ngam'!G$16:G$400)</f>
        <v>0</v>
      </c>
      <c r="AM38" s="776">
        <v>4</v>
      </c>
      <c r="AN38" s="775">
        <f t="shared" ca="1" si="15"/>
        <v>0</v>
      </c>
      <c r="AO38" s="775">
        <f t="shared" ca="1" si="16"/>
        <v>0</v>
      </c>
      <c r="AP38" s="775">
        <f t="shared" ca="1" si="17"/>
        <v>0</v>
      </c>
      <c r="AQ38" s="775">
        <f t="shared" ca="1" si="18"/>
        <v>0</v>
      </c>
      <c r="AR38" s="775">
        <f t="shared" ca="1" si="19"/>
        <v>0</v>
      </c>
      <c r="AS38" s="775">
        <f t="shared" ca="1" si="20"/>
        <v>0</v>
      </c>
      <c r="AT38" s="775">
        <f t="shared" ca="1" si="21"/>
        <v>0</v>
      </c>
      <c r="AU38" s="775">
        <f t="shared" ca="1" si="22"/>
        <v>0</v>
      </c>
      <c r="AV38" s="775">
        <f t="shared" ca="1" si="23"/>
        <v>0</v>
      </c>
      <c r="AW38" s="775">
        <f t="shared" ca="1" si="24"/>
        <v>0</v>
      </c>
      <c r="AX38" s="775">
        <f t="shared" si="25"/>
        <v>0</v>
      </c>
      <c r="AY38" s="775">
        <f t="shared" ca="1" si="26"/>
        <v>0</v>
      </c>
      <c r="AZ38" s="775">
        <f t="shared" si="27"/>
        <v>0</v>
      </c>
      <c r="BA38" s="775">
        <f t="shared" ca="1" si="1"/>
        <v>0</v>
      </c>
      <c r="BB38" s="775">
        <f t="shared" ca="1" si="2"/>
        <v>0</v>
      </c>
      <c r="BC38" s="775">
        <f t="shared" ca="1" si="3"/>
        <v>0</v>
      </c>
      <c r="BD38" s="775">
        <f t="shared" ca="1" si="4"/>
        <v>0</v>
      </c>
      <c r="BE38" s="775">
        <f t="shared" ca="1" si="5"/>
        <v>0</v>
      </c>
      <c r="BF38" s="775">
        <f t="shared" ca="1" si="6"/>
        <v>0</v>
      </c>
      <c r="BG38" s="775">
        <f t="shared" ca="1" si="7"/>
        <v>0</v>
      </c>
      <c r="BH38" s="775"/>
      <c r="BI38" s="775"/>
      <c r="BJ38" s="775"/>
      <c r="BK38" s="775"/>
      <c r="BL38" s="775"/>
      <c r="BM38" s="775"/>
      <c r="BN38" s="775"/>
      <c r="BO38" s="775">
        <f t="shared" ref="BO38:BO76" si="33">AJ38*$AM38</f>
        <v>0</v>
      </c>
      <c r="BP38" s="775">
        <f t="shared" ref="BP38:BP76" si="34">AK38*$AM38</f>
        <v>0</v>
      </c>
      <c r="BQ38" s="775">
        <f t="shared" ca="1" si="10"/>
        <v>0</v>
      </c>
      <c r="BR38" s="775">
        <f t="shared" ref="BR38:BR76" ca="1" si="35">$H38*$AM38</f>
        <v>0</v>
      </c>
    </row>
    <row r="39" spans="1:70">
      <c r="A39" s="767" t="str">
        <f t="shared" ca="1" si="12"/>
        <v/>
      </c>
      <c r="B39" s="786" t="s">
        <v>1475</v>
      </c>
      <c r="C39" s="188" t="str">
        <f ca="1">IF(F39=0,"",COUNTIF($F$6:$F39,"&gt;0"))</f>
        <v/>
      </c>
      <c r="D39" s="778" t="str">
        <f>VLOOKUP($B39,dongia1,DG!$C$5,)</f>
        <v>MCCB 3 cực 400V -1000A - 50KA</v>
      </c>
      <c r="E39" s="555" t="str">
        <f>VLOOKUP($B39,dongia1,DG!$D$5,)</f>
        <v>cái</v>
      </c>
      <c r="F39" s="779">
        <f ca="1">G39+H39</f>
        <v>0</v>
      </c>
      <c r="G39" s="775">
        <f ca="1">SUM(AC39:AL39)</f>
        <v>0</v>
      </c>
      <c r="H39" s="775">
        <f ca="1">SUMIF(CT_tram!$B$33:$G$3559,kl!B39,CT_tram!$G$33:$G$3559)</f>
        <v>0</v>
      </c>
      <c r="I39" s="775">
        <f ca="1">SUMIF(CT_tram!$B$34:$G$115,$B39,CT_tram!$G$34:$G$115)</f>
        <v>0</v>
      </c>
      <c r="J39" s="775">
        <f ca="1">SUMIF(CT_tram!$B$122:$G$204,$B39,CT_tram!$G$122:$G$204)</f>
        <v>0</v>
      </c>
      <c r="K39" s="775">
        <f ca="1">SUMIF(CT_tram!$B$211:$G$293,$B39,CT_tram!$G$211:$G$293)</f>
        <v>0</v>
      </c>
      <c r="L39" s="775">
        <f ca="1">SUMIF(CT_tram!$B$300:$G$374,$B39,CT_tram!$G$300:$G$374)</f>
        <v>0</v>
      </c>
      <c r="M39" s="775">
        <f ca="1">SUMIF(CT_tram!$B$381:$G$471,$B39,CT_tram!$G$381:$G$471)</f>
        <v>0</v>
      </c>
      <c r="N39" s="775">
        <f ca="1">SUMIF(CT_tram!$B$478:$G$560,$B39,CT_tram!$G$478:$G$560)</f>
        <v>0</v>
      </c>
      <c r="O39" s="775">
        <f ca="1">SUMIF(CT_tram!$B$567:$G$653,$B39,CT_tram!$G$567:$G$653)</f>
        <v>0</v>
      </c>
      <c r="P39" s="775">
        <f ca="1">SUMIF(CT_tram!$B$661:$G$738,$B39,CT_tram!$G$661:$G$738)</f>
        <v>0</v>
      </c>
      <c r="Q39" s="775">
        <f ca="1">SUMIF(CT_tram!$B$745:$G$899,$B39,CT_tram!$G$745:$G$899)</f>
        <v>0</v>
      </c>
      <c r="R39" s="775">
        <f ca="1">SUMIF(CT_tram!$B$907:$G$995,$B39,CT_tram!$G$907:$G$995)</f>
        <v>0</v>
      </c>
      <c r="S39" s="775"/>
      <c r="T39" s="775">
        <f ca="1">SUMIF(CT_tram!$B$1004:$G$1097,B39,CT_tram!$G$1004:$G$1097)</f>
        <v>0</v>
      </c>
      <c r="U39" s="775"/>
      <c r="V39" s="775">
        <f ca="1">SUMIF(CT_tram!$B$1226:$G$1352,kl!B39,CT_tram!$G$1226:$G$1352)</f>
        <v>0</v>
      </c>
      <c r="W39" s="780">
        <f ca="1">SUMIF(CT_tram!$B$1105:$G$1219,kl!B39,CT_tram!$G$1105:$G$1219)</f>
        <v>0</v>
      </c>
      <c r="X39" s="775">
        <f ca="1">SUMIF(CT_tram!$B$1359:$G$1504,kl!B39,CT_tram!$G$1359:$G$1504)</f>
        <v>0</v>
      </c>
      <c r="Y39" s="775">
        <f ca="1">SUMIF(CT_tram!$B$1511:$G$1625,kl!B39,CT_tram!$G$1511:$G$1625)</f>
        <v>0</v>
      </c>
      <c r="Z39" s="775">
        <f ca="1">SUMIF(CT_tram!$B$1632:$G$2211,kl!B39,CT_tram!$G$1632:$G$2211)</f>
        <v>0</v>
      </c>
      <c r="AA39" s="775">
        <f ca="1">SUMIF(CT_tram!$B$2243:$G$2384,kl!B39,CT_tram!$G$2243:$G$2384)</f>
        <v>0</v>
      </c>
      <c r="AB39" s="775">
        <f ca="1">SUMIF(CT_tram!$B$2391:$G$2563,kl!B39,CT_tram!$G$2391:$G$2563)</f>
        <v>0</v>
      </c>
      <c r="AC39" s="775"/>
      <c r="AD39" s="775"/>
      <c r="AE39" s="775"/>
      <c r="AF39" s="775"/>
      <c r="AG39" s="775"/>
      <c r="AH39" s="775"/>
      <c r="AI39" s="775"/>
      <c r="AJ39" s="775"/>
      <c r="AK39" s="775"/>
      <c r="AL39" s="775">
        <f ca="1">SUMIF('Cap ngam'!B$16:G$400,kl!$B39,'Cap ngam'!G$16:G$400)</f>
        <v>0</v>
      </c>
      <c r="AM39" s="776">
        <v>5</v>
      </c>
      <c r="AN39" s="775">
        <f t="shared" ca="1" si="15"/>
        <v>0</v>
      </c>
      <c r="AO39" s="775">
        <f t="shared" ca="1" si="16"/>
        <v>0</v>
      </c>
      <c r="AP39" s="775">
        <f t="shared" ca="1" si="17"/>
        <v>0</v>
      </c>
      <c r="AQ39" s="775">
        <f t="shared" ca="1" si="18"/>
        <v>0</v>
      </c>
      <c r="AR39" s="775">
        <f t="shared" ca="1" si="19"/>
        <v>0</v>
      </c>
      <c r="AS39" s="775">
        <f t="shared" ca="1" si="20"/>
        <v>0</v>
      </c>
      <c r="AT39" s="775">
        <f t="shared" ca="1" si="21"/>
        <v>0</v>
      </c>
      <c r="AU39" s="775">
        <f t="shared" ca="1" si="22"/>
        <v>0</v>
      </c>
      <c r="AV39" s="775">
        <f t="shared" ca="1" si="23"/>
        <v>0</v>
      </c>
      <c r="AW39" s="775">
        <f t="shared" ca="1" si="24"/>
        <v>0</v>
      </c>
      <c r="AX39" s="775">
        <f t="shared" si="25"/>
        <v>0</v>
      </c>
      <c r="AY39" s="775">
        <f t="shared" ca="1" si="26"/>
        <v>0</v>
      </c>
      <c r="AZ39" s="775">
        <f t="shared" si="27"/>
        <v>0</v>
      </c>
      <c r="BA39" s="775">
        <f t="shared" ca="1" si="1"/>
        <v>0</v>
      </c>
      <c r="BB39" s="775">
        <f t="shared" ca="1" si="2"/>
        <v>0</v>
      </c>
      <c r="BC39" s="775">
        <f t="shared" ca="1" si="3"/>
        <v>0</v>
      </c>
      <c r="BD39" s="775">
        <f t="shared" ca="1" si="4"/>
        <v>0</v>
      </c>
      <c r="BE39" s="775">
        <f t="shared" ca="1" si="5"/>
        <v>0</v>
      </c>
      <c r="BF39" s="775">
        <f t="shared" ca="1" si="6"/>
        <v>0</v>
      </c>
      <c r="BG39" s="775">
        <f t="shared" ca="1" si="7"/>
        <v>0</v>
      </c>
      <c r="BH39" s="775"/>
      <c r="BI39" s="775"/>
      <c r="BJ39" s="775"/>
      <c r="BK39" s="775"/>
      <c r="BL39" s="775"/>
      <c r="BM39" s="775"/>
      <c r="BN39" s="775"/>
      <c r="BO39" s="775">
        <f t="shared" si="33"/>
        <v>0</v>
      </c>
      <c r="BP39" s="775">
        <f t="shared" si="34"/>
        <v>0</v>
      </c>
      <c r="BQ39" s="775">
        <f t="shared" ca="1" si="10"/>
        <v>0</v>
      </c>
      <c r="BR39" s="775">
        <f t="shared" ca="1" si="35"/>
        <v>0</v>
      </c>
    </row>
    <row r="40" spans="1:70">
      <c r="A40" s="767" t="str">
        <f t="shared" ca="1" si="12"/>
        <v/>
      </c>
      <c r="B40" s="786" t="s">
        <v>1746</v>
      </c>
      <c r="C40" s="188" t="str">
        <f ca="1">IF(F40=0,"",COUNTIF($F$6:$F40,"&gt;0"))</f>
        <v/>
      </c>
      <c r="D40" s="778" t="str">
        <f>VLOOKUP($B40,dongia1,DG!$C$5,)</f>
        <v>ACB 3P - 4000A - 85KA (nạp lò xo bằng tay)</v>
      </c>
      <c r="E40" s="555" t="str">
        <f>VLOOKUP($B40,dongia1,DG!$D$5,)</f>
        <v>cái</v>
      </c>
      <c r="F40" s="779">
        <f t="shared" ca="1" si="13"/>
        <v>0</v>
      </c>
      <c r="G40" s="775">
        <f t="shared" ca="1" si="32"/>
        <v>0</v>
      </c>
      <c r="H40" s="775">
        <f ca="1">SUMIF(CT_tram!$B$33:$G$3559,kl!B40,CT_tram!$G$33:$G$3559)</f>
        <v>0</v>
      </c>
      <c r="I40" s="775">
        <f ca="1">SUMIF(CT_tram!$B$34:$G$115,$B40,CT_tram!$G$34:$G$115)</f>
        <v>0</v>
      </c>
      <c r="J40" s="775">
        <f ca="1">SUMIF(CT_tram!$B$122:$G$204,$B40,CT_tram!$G$122:$G$204)</f>
        <v>0</v>
      </c>
      <c r="K40" s="775">
        <f ca="1">SUMIF(CT_tram!$B$211:$G$293,$B40,CT_tram!$G$211:$G$293)</f>
        <v>0</v>
      </c>
      <c r="L40" s="775">
        <f ca="1">SUMIF(CT_tram!$B$300:$G$374,$B40,CT_tram!$G$300:$G$374)</f>
        <v>0</v>
      </c>
      <c r="M40" s="775">
        <f ca="1">SUMIF(CT_tram!$B$381:$G$471,$B40,CT_tram!$G$381:$G$471)</f>
        <v>0</v>
      </c>
      <c r="N40" s="775">
        <f ca="1">SUMIF(CT_tram!$B$478:$G$560,$B40,CT_tram!$G$478:$G$560)</f>
        <v>0</v>
      </c>
      <c r="O40" s="775">
        <f ca="1">SUMIF(CT_tram!$B$567:$G$653,$B40,CT_tram!$G$567:$G$653)</f>
        <v>0</v>
      </c>
      <c r="P40" s="775">
        <f ca="1">SUMIF(CT_tram!$B$661:$G$738,$B40,CT_tram!$G$661:$G$738)</f>
        <v>0</v>
      </c>
      <c r="Q40" s="775">
        <f ca="1">SUMIF(CT_tram!$B$745:$G$899,$B40,CT_tram!$G$745:$G$899)</f>
        <v>0</v>
      </c>
      <c r="R40" s="775">
        <f ca="1">SUMIF(CT_tram!$B$907:$G$995,$B40,CT_tram!$G$907:$G$995)</f>
        <v>0</v>
      </c>
      <c r="S40" s="775"/>
      <c r="T40" s="775">
        <f ca="1">SUMIF(CT_tram!$B$1004:$G$1097,B40,CT_tram!$G$1004:$G$1097)</f>
        <v>0</v>
      </c>
      <c r="U40" s="775"/>
      <c r="V40" s="775">
        <f ca="1">SUMIF(CT_tram!$B$1226:$G$1352,kl!B40,CT_tram!$G$1226:$G$1352)</f>
        <v>0</v>
      </c>
      <c r="W40" s="780">
        <f ca="1">SUMIF(CT_tram!$B$1105:$G$1219,kl!B40,CT_tram!$G$1105:$G$1219)</f>
        <v>0</v>
      </c>
      <c r="X40" s="775">
        <f ca="1">SUMIF(CT_tram!$B$1359:$G$1504,kl!B40,CT_tram!$G$1359:$G$1504)</f>
        <v>0</v>
      </c>
      <c r="Y40" s="775">
        <f ca="1">SUMIF(CT_tram!$B$1511:$G$1625,kl!B40,CT_tram!$G$1511:$G$1625)</f>
        <v>0</v>
      </c>
      <c r="Z40" s="775">
        <f ca="1">SUMIF(CT_tram!$B$1632:$G$2211,kl!B40,CT_tram!$G$1632:$G$2211)</f>
        <v>0</v>
      </c>
      <c r="AA40" s="775">
        <f ca="1">SUMIF(CT_tram!$B$2243:$G$2384,kl!B40,CT_tram!$G$2243:$G$2384)</f>
        <v>0</v>
      </c>
      <c r="AB40" s="775">
        <f ca="1">SUMIF(CT_tram!$B$2391:$G$2563,kl!B40,CT_tram!$G$2391:$G$2563)</f>
        <v>0</v>
      </c>
      <c r="AC40" s="775"/>
      <c r="AD40" s="775"/>
      <c r="AE40" s="775"/>
      <c r="AF40" s="775"/>
      <c r="AG40" s="775"/>
      <c r="AH40" s="775"/>
      <c r="AI40" s="775"/>
      <c r="AJ40" s="775"/>
      <c r="AK40" s="775"/>
      <c r="AL40" s="775">
        <f ca="1">SUMIF('Cap ngam'!B$16:G$400,kl!$B40,'Cap ngam'!G$16:G$400)</f>
        <v>0</v>
      </c>
      <c r="AM40" s="776">
        <v>6</v>
      </c>
      <c r="AN40" s="775">
        <f t="shared" ca="1" si="15"/>
        <v>0</v>
      </c>
      <c r="AO40" s="775">
        <f t="shared" ca="1" si="16"/>
        <v>0</v>
      </c>
      <c r="AP40" s="775">
        <f t="shared" ca="1" si="17"/>
        <v>0</v>
      </c>
      <c r="AQ40" s="775">
        <f t="shared" ca="1" si="18"/>
        <v>0</v>
      </c>
      <c r="AR40" s="775">
        <f t="shared" ca="1" si="19"/>
        <v>0</v>
      </c>
      <c r="AS40" s="775">
        <f t="shared" ca="1" si="20"/>
        <v>0</v>
      </c>
      <c r="AT40" s="775">
        <f t="shared" ca="1" si="21"/>
        <v>0</v>
      </c>
      <c r="AU40" s="775">
        <f t="shared" ca="1" si="22"/>
        <v>0</v>
      </c>
      <c r="AV40" s="775">
        <f t="shared" ca="1" si="23"/>
        <v>0</v>
      </c>
      <c r="AW40" s="775">
        <f t="shared" ca="1" si="24"/>
        <v>0</v>
      </c>
      <c r="AX40" s="775">
        <f t="shared" si="25"/>
        <v>0</v>
      </c>
      <c r="AY40" s="775">
        <f t="shared" ca="1" si="26"/>
        <v>0</v>
      </c>
      <c r="AZ40" s="775">
        <f t="shared" si="27"/>
        <v>0</v>
      </c>
      <c r="BA40" s="775">
        <f t="shared" ca="1" si="1"/>
        <v>0</v>
      </c>
      <c r="BB40" s="775">
        <f t="shared" ca="1" si="2"/>
        <v>0</v>
      </c>
      <c r="BC40" s="775">
        <f t="shared" ca="1" si="3"/>
        <v>0</v>
      </c>
      <c r="BD40" s="775">
        <f t="shared" ca="1" si="4"/>
        <v>0</v>
      </c>
      <c r="BE40" s="775">
        <f t="shared" ca="1" si="5"/>
        <v>0</v>
      </c>
      <c r="BF40" s="775">
        <f t="shared" ca="1" si="6"/>
        <v>0</v>
      </c>
      <c r="BG40" s="775">
        <f t="shared" ca="1" si="7"/>
        <v>0</v>
      </c>
      <c r="BH40" s="775"/>
      <c r="BI40" s="775"/>
      <c r="BJ40" s="775"/>
      <c r="BK40" s="775"/>
      <c r="BL40" s="775"/>
      <c r="BM40" s="775"/>
      <c r="BN40" s="775"/>
      <c r="BO40" s="775">
        <f t="shared" si="33"/>
        <v>0</v>
      </c>
      <c r="BP40" s="775">
        <f t="shared" si="34"/>
        <v>0</v>
      </c>
      <c r="BQ40" s="775">
        <f t="shared" ca="1" si="10"/>
        <v>0</v>
      </c>
      <c r="BR40" s="775">
        <f t="shared" ca="1" si="35"/>
        <v>0</v>
      </c>
    </row>
    <row r="41" spans="1:70">
      <c r="A41" s="767" t="str">
        <f t="shared" ca="1" si="12"/>
        <v/>
      </c>
      <c r="B41" s="131" t="s">
        <v>146</v>
      </c>
      <c r="C41" s="188" t="str">
        <f ca="1">IF(F41=0,"",COUNTIF($F$6:$F41,"&gt;0"))</f>
        <v/>
      </c>
      <c r="D41" s="778" t="str">
        <f>VLOOKUP($B41,dongia1,DG!$C$5,)</f>
        <v>Biến điện áp 8400/120(60)V</v>
      </c>
      <c r="E41" s="555" t="str">
        <f>VLOOKUP($B41,dongia1,DG!$D$5,)</f>
        <v>cái</v>
      </c>
      <c r="F41" s="779">
        <f t="shared" ca="1" si="13"/>
        <v>0</v>
      </c>
      <c r="G41" s="775">
        <f t="shared" ca="1" si="32"/>
        <v>0</v>
      </c>
      <c r="H41" s="775">
        <f ca="1">SUMIF(CT_tram!$B$33:$G$3559,kl!B41,CT_tram!$G$33:$G$3559)</f>
        <v>0</v>
      </c>
      <c r="I41" s="775">
        <f ca="1">SUMIF(CT_tram!$B$34:$G$115,$B41,CT_tram!$G$34:$G$115)</f>
        <v>0</v>
      </c>
      <c r="J41" s="775">
        <f ca="1">SUMIF(CT_tram!$B$122:$G$204,$B41,CT_tram!$G$122:$G$204)</f>
        <v>0</v>
      </c>
      <c r="K41" s="775">
        <f ca="1">SUMIF(CT_tram!$B$211:$G$293,$B41,CT_tram!$G$211:$G$293)</f>
        <v>0</v>
      </c>
      <c r="L41" s="775">
        <f ca="1">SUMIF(CT_tram!$B$300:$G$374,$B41,CT_tram!$G$300:$G$374)</f>
        <v>0</v>
      </c>
      <c r="M41" s="775">
        <f ca="1">SUMIF(CT_tram!$B$381:$G$471,$B41,CT_tram!$G$381:$G$471)</f>
        <v>0</v>
      </c>
      <c r="N41" s="775">
        <f ca="1">SUMIF(CT_tram!$B$478:$G$560,$B41,CT_tram!$G$478:$G$560)</f>
        <v>0</v>
      </c>
      <c r="O41" s="775">
        <f ca="1">SUMIF(CT_tram!$B$567:$G$653,$B41,CT_tram!$G$567:$G$653)</f>
        <v>0</v>
      </c>
      <c r="P41" s="775">
        <f ca="1">SUMIF(CT_tram!$B$661:$G$738,$B41,CT_tram!$G$661:$G$738)</f>
        <v>0</v>
      </c>
      <c r="Q41" s="775">
        <f ca="1">SUMIF(CT_tram!$B$745:$G$899,$B41,CT_tram!$G$745:$G$899)</f>
        <v>0</v>
      </c>
      <c r="R41" s="775">
        <f ca="1">SUMIF(CT_tram!$B$907:$G$995,$B41,CT_tram!$G$907:$G$995)</f>
        <v>0</v>
      </c>
      <c r="S41" s="775"/>
      <c r="T41" s="775">
        <f ca="1">SUMIF(CT_tram!$B$1004:$G$1097,B41,CT_tram!$G$1004:$G$1097)</f>
        <v>0</v>
      </c>
      <c r="U41" s="775"/>
      <c r="V41" s="775">
        <f ca="1">SUMIF(CT_tram!$B$1226:$G$1352,kl!B41,CT_tram!$G$1226:$G$1352)</f>
        <v>0</v>
      </c>
      <c r="W41" s="780">
        <f ca="1">SUMIF(CT_tram!$B$1105:$G$1219,kl!B41,CT_tram!$G$1105:$G$1219)</f>
        <v>0</v>
      </c>
      <c r="X41" s="775">
        <f ca="1">SUMIF(CT_tram!$B$1359:$G$1504,kl!B41,CT_tram!$G$1359:$G$1504)</f>
        <v>0</v>
      </c>
      <c r="Y41" s="775">
        <f ca="1">SUMIF(CT_tram!$B$1511:$G$1625,kl!B41,CT_tram!$G$1511:$G$1625)</f>
        <v>0</v>
      </c>
      <c r="Z41" s="775">
        <f ca="1">SUMIF(CT_tram!$B$1632:$G$2211,kl!B41,CT_tram!$G$1632:$G$2211)</f>
        <v>0</v>
      </c>
      <c r="AA41" s="775">
        <f ca="1">SUMIF(CT_tram!$B$2243:$G$2384,kl!B41,CT_tram!$G$2243:$G$2384)</f>
        <v>0</v>
      </c>
      <c r="AB41" s="775">
        <f ca="1">SUMIF(CT_tram!$B$2391:$G$2563,kl!B41,CT_tram!$G$2391:$G$2563)</f>
        <v>0</v>
      </c>
      <c r="AC41" s="775"/>
      <c r="AD41" s="775"/>
      <c r="AE41" s="775"/>
      <c r="AF41" s="775"/>
      <c r="AG41" s="775"/>
      <c r="AH41" s="775"/>
      <c r="AI41" s="775"/>
      <c r="AJ41" s="775"/>
      <c r="AK41" s="775"/>
      <c r="AL41" s="775">
        <f ca="1">SUMIF('Cap ngam'!B$16:G$400,kl!$B41,'Cap ngam'!G$16:G$400)</f>
        <v>0</v>
      </c>
      <c r="AM41" s="776">
        <v>10</v>
      </c>
      <c r="AN41" s="775">
        <f t="shared" ca="1" si="15"/>
        <v>0</v>
      </c>
      <c r="AO41" s="775">
        <f t="shared" ca="1" si="16"/>
        <v>0</v>
      </c>
      <c r="AP41" s="775">
        <f t="shared" ca="1" si="17"/>
        <v>0</v>
      </c>
      <c r="AQ41" s="775">
        <f t="shared" ca="1" si="18"/>
        <v>0</v>
      </c>
      <c r="AR41" s="775">
        <f t="shared" ca="1" si="19"/>
        <v>0</v>
      </c>
      <c r="AS41" s="775">
        <f t="shared" ca="1" si="20"/>
        <v>0</v>
      </c>
      <c r="AT41" s="775">
        <f t="shared" ca="1" si="21"/>
        <v>0</v>
      </c>
      <c r="AU41" s="775">
        <f t="shared" ca="1" si="22"/>
        <v>0</v>
      </c>
      <c r="AV41" s="775">
        <f t="shared" ca="1" si="23"/>
        <v>0</v>
      </c>
      <c r="AW41" s="775">
        <f t="shared" ca="1" si="24"/>
        <v>0</v>
      </c>
      <c r="AX41" s="775">
        <f t="shared" si="25"/>
        <v>0</v>
      </c>
      <c r="AY41" s="775">
        <f t="shared" ca="1" si="26"/>
        <v>0</v>
      </c>
      <c r="AZ41" s="775">
        <f t="shared" si="27"/>
        <v>0</v>
      </c>
      <c r="BA41" s="775">
        <f t="shared" ca="1" si="1"/>
        <v>0</v>
      </c>
      <c r="BB41" s="775">
        <f t="shared" ca="1" si="2"/>
        <v>0</v>
      </c>
      <c r="BC41" s="775">
        <f t="shared" ca="1" si="3"/>
        <v>0</v>
      </c>
      <c r="BD41" s="775">
        <f t="shared" ca="1" si="4"/>
        <v>0</v>
      </c>
      <c r="BE41" s="775">
        <f t="shared" ca="1" si="5"/>
        <v>0</v>
      </c>
      <c r="BF41" s="775">
        <f t="shared" ca="1" si="6"/>
        <v>0</v>
      </c>
      <c r="BG41" s="775">
        <f t="shared" ca="1" si="7"/>
        <v>0</v>
      </c>
      <c r="BH41" s="775"/>
      <c r="BI41" s="775"/>
      <c r="BJ41" s="775"/>
      <c r="BK41" s="775"/>
      <c r="BL41" s="775"/>
      <c r="BM41" s="775"/>
      <c r="BN41" s="775"/>
      <c r="BO41" s="775">
        <f t="shared" si="33"/>
        <v>0</v>
      </c>
      <c r="BP41" s="775">
        <f t="shared" si="34"/>
        <v>0</v>
      </c>
      <c r="BQ41" s="775">
        <f t="shared" ca="1" si="10"/>
        <v>0</v>
      </c>
      <c r="BR41" s="775">
        <f t="shared" ca="1" si="35"/>
        <v>0</v>
      </c>
    </row>
    <row r="42" spans="1:70">
      <c r="A42" s="767" t="str">
        <f t="shared" ca="1" si="12"/>
        <v>X</v>
      </c>
      <c r="B42" s="131" t="s">
        <v>1915</v>
      </c>
      <c r="C42" s="188">
        <f ca="1">IF(F42=0,"",COUNTIF($F$6:$F42,"&gt;0"))</f>
        <v>3</v>
      </c>
      <c r="D42" s="778" t="str">
        <f>VLOOKUP($B42,dongia1,DG!$C$5,)</f>
        <v>Biến điện áp 22000/√3/100/√3 V</v>
      </c>
      <c r="E42" s="555" t="str">
        <f>VLOOKUP($B42,dongia1,DG!$D$5,)</f>
        <v>cái</v>
      </c>
      <c r="F42" s="779">
        <f t="shared" ca="1" si="13"/>
        <v>3</v>
      </c>
      <c r="G42" s="775">
        <f t="shared" ca="1" si="32"/>
        <v>0</v>
      </c>
      <c r="H42" s="775">
        <f ca="1">SUMIF(CT_tram!$B$33:$G$3559,kl!B42,CT_tram!$G$33:$G$3559)</f>
        <v>3</v>
      </c>
      <c r="I42" s="775">
        <f ca="1">SUMIF(CT_tram!$B$34:$G$115,$B42,CT_tram!$G$34:$G$115)</f>
        <v>0</v>
      </c>
      <c r="J42" s="775">
        <f ca="1">SUMIF(CT_tram!$B$122:$G$204,$B42,CT_tram!$G$122:$G$204)</f>
        <v>0</v>
      </c>
      <c r="K42" s="775">
        <f ca="1">SUMIF(CT_tram!$B$211:$G$293,$B42,CT_tram!$G$211:$G$293)</f>
        <v>0</v>
      </c>
      <c r="L42" s="775">
        <f ca="1">SUMIF(CT_tram!$B$300:$G$374,$B42,CT_tram!$G$300:$G$374)</f>
        <v>0</v>
      </c>
      <c r="M42" s="775">
        <f ca="1">SUMIF(CT_tram!$B$381:$G$471,$B42,CT_tram!$G$381:$G$471)</f>
        <v>0</v>
      </c>
      <c r="N42" s="775">
        <f ca="1">SUMIF(CT_tram!$B$478:$G$560,$B42,CT_tram!$G$478:$G$560)</f>
        <v>0</v>
      </c>
      <c r="O42" s="775">
        <f ca="1">SUMIF(CT_tram!$B$567:$G$653,$B42,CT_tram!$G$567:$G$653)</f>
        <v>0</v>
      </c>
      <c r="P42" s="775">
        <f ca="1">SUMIF(CT_tram!$B$661:$G$738,$B42,CT_tram!$G$661:$G$738)</f>
        <v>0</v>
      </c>
      <c r="Q42" s="775">
        <f ca="1">SUMIF(CT_tram!$B$745:$G$899,$B42,CT_tram!$G$745:$G$899)</f>
        <v>0</v>
      </c>
      <c r="R42" s="775">
        <f ca="1">SUMIF(CT_tram!$B$907:$G$995,$B42,CT_tram!$G$907:$G$995)</f>
        <v>0</v>
      </c>
      <c r="S42" s="775"/>
      <c r="T42" s="775">
        <f ca="1">SUMIF(CT_tram!$B$1004:$G$1097,B42,CT_tram!$G$1004:$G$1097)</f>
        <v>0</v>
      </c>
      <c r="U42" s="775"/>
      <c r="V42" s="775">
        <f ca="1">SUMIF(CT_tram!$B$1226:$G$1352,kl!B42,CT_tram!$G$1226:$G$1352)</f>
        <v>0</v>
      </c>
      <c r="W42" s="780">
        <f ca="1">SUMIF(CT_tram!$B$1105:$G$1219,kl!B42,CT_tram!$G$1105:$G$1219)</f>
        <v>0</v>
      </c>
      <c r="X42" s="775">
        <f ca="1">SUMIF(CT_tram!$B$1359:$G$1504,kl!B42,CT_tram!$G$1359:$G$1504)</f>
        <v>0</v>
      </c>
      <c r="Y42" s="775">
        <f ca="1">SUMIF(CT_tram!$B$1511:$G$1625,kl!B42,CT_tram!$G$1511:$G$1625)</f>
        <v>0</v>
      </c>
      <c r="Z42" s="775">
        <f ca="1">SUMIF(CT_tram!$B$1632:$G$2211,kl!B42,CT_tram!$G$1632:$G$2211)</f>
        <v>0</v>
      </c>
      <c r="AA42" s="775">
        <f ca="1">SUMIF(CT_tram!$B$2243:$G$2384,kl!B42,CT_tram!$G$2243:$G$2384)</f>
        <v>0</v>
      </c>
      <c r="AB42" s="775">
        <f ca="1">SUMIF(CT_tram!$B$2391:$G$2563,kl!B42,CT_tram!$G$2391:$G$2563)</f>
        <v>0</v>
      </c>
      <c r="AC42" s="775"/>
      <c r="AD42" s="775"/>
      <c r="AE42" s="775"/>
      <c r="AF42" s="775"/>
      <c r="AG42" s="775"/>
      <c r="AH42" s="775"/>
      <c r="AI42" s="775"/>
      <c r="AJ42" s="775"/>
      <c r="AK42" s="775"/>
      <c r="AL42" s="775">
        <f ca="1">SUMIF('Cap ngam'!B$16:G$400,kl!$B42,'Cap ngam'!G$16:G$400)</f>
        <v>0</v>
      </c>
      <c r="AM42" s="776">
        <v>10</v>
      </c>
      <c r="AN42" s="775">
        <f t="shared" ca="1" si="15"/>
        <v>0</v>
      </c>
      <c r="AO42" s="775">
        <f t="shared" ca="1" si="16"/>
        <v>0</v>
      </c>
      <c r="AP42" s="775">
        <f t="shared" ca="1" si="17"/>
        <v>0</v>
      </c>
      <c r="AQ42" s="775">
        <f t="shared" ca="1" si="18"/>
        <v>0</v>
      </c>
      <c r="AR42" s="775">
        <f t="shared" ca="1" si="19"/>
        <v>0</v>
      </c>
      <c r="AS42" s="775">
        <f t="shared" ca="1" si="20"/>
        <v>0</v>
      </c>
      <c r="AT42" s="775">
        <f t="shared" ca="1" si="21"/>
        <v>0</v>
      </c>
      <c r="AU42" s="775">
        <f t="shared" ca="1" si="22"/>
        <v>0</v>
      </c>
      <c r="AV42" s="775">
        <f t="shared" ca="1" si="23"/>
        <v>0</v>
      </c>
      <c r="AW42" s="775">
        <f t="shared" ca="1" si="24"/>
        <v>0</v>
      </c>
      <c r="AX42" s="775">
        <f t="shared" si="25"/>
        <v>0</v>
      </c>
      <c r="AY42" s="775">
        <f t="shared" ca="1" si="26"/>
        <v>0</v>
      </c>
      <c r="AZ42" s="775">
        <f t="shared" si="27"/>
        <v>0</v>
      </c>
      <c r="BA42" s="775">
        <f t="shared" ca="1" si="1"/>
        <v>0</v>
      </c>
      <c r="BB42" s="775">
        <f t="shared" ca="1" si="2"/>
        <v>0</v>
      </c>
      <c r="BC42" s="775">
        <f t="shared" ca="1" si="3"/>
        <v>0</v>
      </c>
      <c r="BD42" s="775">
        <f t="shared" ca="1" si="4"/>
        <v>0</v>
      </c>
      <c r="BE42" s="775">
        <f t="shared" ca="1" si="5"/>
        <v>0</v>
      </c>
      <c r="BF42" s="775">
        <f t="shared" ca="1" si="6"/>
        <v>0</v>
      </c>
      <c r="BG42" s="775">
        <f t="shared" ca="1" si="7"/>
        <v>0</v>
      </c>
      <c r="BH42" s="775"/>
      <c r="BI42" s="775"/>
      <c r="BJ42" s="775"/>
      <c r="BK42" s="775"/>
      <c r="BL42" s="775"/>
      <c r="BM42" s="775"/>
      <c r="BN42" s="775"/>
      <c r="BO42" s="775">
        <f t="shared" si="33"/>
        <v>0</v>
      </c>
      <c r="BP42" s="775">
        <f t="shared" si="34"/>
        <v>0</v>
      </c>
      <c r="BQ42" s="775">
        <f t="shared" ca="1" si="10"/>
        <v>0</v>
      </c>
      <c r="BR42" s="775">
        <f t="shared" ca="1" si="35"/>
        <v>30</v>
      </c>
    </row>
    <row r="43" spans="1:70">
      <c r="A43" s="767" t="str">
        <f t="shared" ca="1" si="12"/>
        <v/>
      </c>
      <c r="B43" s="131" t="s">
        <v>1295</v>
      </c>
      <c r="C43" s="188" t="str">
        <f ca="1">IF(F43=0,"",COUNTIF($F$6:$F43,"&gt;0"))</f>
        <v/>
      </c>
      <c r="D43" s="778" t="str">
        <f>VLOOKUP($B43,dongia1,DG!$C$5,)</f>
        <v>Biến dòng 24kV  15/5A</v>
      </c>
      <c r="E43" s="555" t="str">
        <f>VLOOKUP($B43,dongia1,DG!$D$5,)</f>
        <v>cái</v>
      </c>
      <c r="F43" s="779">
        <f t="shared" ca="1" si="13"/>
        <v>0</v>
      </c>
      <c r="G43" s="775">
        <f t="shared" ca="1" si="14"/>
        <v>0</v>
      </c>
      <c r="H43" s="775">
        <f ca="1">SUMIF(CT_tram!$B$33:$G$3559,kl!B43,CT_tram!$G$33:$G$3559)</f>
        <v>0</v>
      </c>
      <c r="I43" s="775">
        <f ca="1">SUMIF(CT_tram!$B$34:$G$115,$B43,CT_tram!$G$34:$G$115)</f>
        <v>0</v>
      </c>
      <c r="J43" s="775">
        <f ca="1">SUMIF(CT_tram!$B$122:$G$204,$B43,CT_tram!$G$122:$G$204)</f>
        <v>0</v>
      </c>
      <c r="K43" s="775">
        <f ca="1">SUMIF(CT_tram!$B$211:$G$293,$B43,CT_tram!$G$211:$G$293)</f>
        <v>0</v>
      </c>
      <c r="L43" s="775">
        <f ca="1">SUMIF(CT_tram!$B$300:$G$374,$B43,CT_tram!$G$300:$G$374)</f>
        <v>0</v>
      </c>
      <c r="M43" s="775">
        <f ca="1">SUMIF(CT_tram!$B$381:$G$471,$B43,CT_tram!$G$381:$G$471)</f>
        <v>0</v>
      </c>
      <c r="N43" s="775">
        <f ca="1">SUMIF(CT_tram!$B$478:$G$560,$B43,CT_tram!$G$478:$G$560)</f>
        <v>0</v>
      </c>
      <c r="O43" s="775">
        <f ca="1">SUMIF(CT_tram!$B$567:$G$653,$B43,CT_tram!$G$567:$G$653)</f>
        <v>0</v>
      </c>
      <c r="P43" s="775">
        <f ca="1">SUMIF(CT_tram!$B$661:$G$738,$B43,CT_tram!$G$661:$G$738)</f>
        <v>0</v>
      </c>
      <c r="Q43" s="775">
        <f ca="1">SUMIF(CT_tram!$B$745:$G$899,$B43,CT_tram!$G$745:$G$899)</f>
        <v>0</v>
      </c>
      <c r="R43" s="775">
        <f ca="1">SUMIF(CT_tram!$B$907:$G$995,$B43,CT_tram!$G$907:$G$995)</f>
        <v>0</v>
      </c>
      <c r="S43" s="775"/>
      <c r="T43" s="775">
        <f ca="1">SUMIF(CT_tram!$B$1004:$G$1097,B43,CT_tram!$G$1004:$G$1097)</f>
        <v>0</v>
      </c>
      <c r="U43" s="775"/>
      <c r="V43" s="775">
        <f ca="1">SUMIF(CT_tram!$B$1226:$G$1352,kl!B43,CT_tram!$G$1226:$G$1352)</f>
        <v>0</v>
      </c>
      <c r="W43" s="780">
        <f ca="1">SUMIF(CT_tram!$B$1105:$G$1219,kl!B43,CT_tram!$G$1105:$G$1219)</f>
        <v>0</v>
      </c>
      <c r="X43" s="775">
        <f ca="1">SUMIF(CT_tram!$B$1359:$G$1504,kl!B43,CT_tram!$G$1359:$G$1504)</f>
        <v>0</v>
      </c>
      <c r="Y43" s="775">
        <f ca="1">SUMIF(CT_tram!$B$1511:$G$1625,kl!B43,CT_tram!$G$1511:$G$1625)</f>
        <v>0</v>
      </c>
      <c r="Z43" s="775">
        <f ca="1">SUMIF(CT_tram!$B$1632:$G$2211,kl!B43,CT_tram!$G$1632:$G$2211)</f>
        <v>0</v>
      </c>
      <c r="AA43" s="775">
        <f ca="1">SUMIF(CT_tram!$B$2243:$G$2384,kl!B43,CT_tram!$G$2243:$G$2384)</f>
        <v>0</v>
      </c>
      <c r="AB43" s="775">
        <f ca="1">SUMIF(CT_tram!$B$2391:$G$2563,kl!B43,CT_tram!$G$2391:$G$2563)</f>
        <v>0</v>
      </c>
      <c r="AC43" s="775"/>
      <c r="AD43" s="775"/>
      <c r="AE43" s="775"/>
      <c r="AF43" s="775"/>
      <c r="AG43" s="775"/>
      <c r="AH43" s="775"/>
      <c r="AI43" s="775"/>
      <c r="AJ43" s="775"/>
      <c r="AK43" s="775"/>
      <c r="AL43" s="775">
        <f ca="1">SUMIF('Cap ngam'!B$16:G$400,kl!$B43,'Cap ngam'!G$16:G$400)</f>
        <v>0</v>
      </c>
      <c r="AM43" s="776">
        <v>6</v>
      </c>
      <c r="AN43" s="775">
        <f t="shared" ca="1" si="15"/>
        <v>0</v>
      </c>
      <c r="AO43" s="775">
        <f t="shared" ca="1" si="16"/>
        <v>0</v>
      </c>
      <c r="AP43" s="775">
        <f t="shared" ca="1" si="17"/>
        <v>0</v>
      </c>
      <c r="AQ43" s="775">
        <f t="shared" ca="1" si="18"/>
        <v>0</v>
      </c>
      <c r="AR43" s="775">
        <f t="shared" ca="1" si="19"/>
        <v>0</v>
      </c>
      <c r="AS43" s="775">
        <f t="shared" ca="1" si="20"/>
        <v>0</v>
      </c>
      <c r="AT43" s="775">
        <f t="shared" ca="1" si="21"/>
        <v>0</v>
      </c>
      <c r="AU43" s="775">
        <f t="shared" ca="1" si="22"/>
        <v>0</v>
      </c>
      <c r="AV43" s="775">
        <f t="shared" ca="1" si="23"/>
        <v>0</v>
      </c>
      <c r="AW43" s="775">
        <f t="shared" ca="1" si="24"/>
        <v>0</v>
      </c>
      <c r="AX43" s="775">
        <f t="shared" si="25"/>
        <v>0</v>
      </c>
      <c r="AY43" s="775">
        <f t="shared" ca="1" si="26"/>
        <v>0</v>
      </c>
      <c r="AZ43" s="775">
        <f t="shared" si="27"/>
        <v>0</v>
      </c>
      <c r="BA43" s="775">
        <f t="shared" ca="1" si="1"/>
        <v>0</v>
      </c>
      <c r="BB43" s="775">
        <f t="shared" ca="1" si="2"/>
        <v>0</v>
      </c>
      <c r="BC43" s="775">
        <f t="shared" ca="1" si="3"/>
        <v>0</v>
      </c>
      <c r="BD43" s="775">
        <f t="shared" ca="1" si="4"/>
        <v>0</v>
      </c>
      <c r="BE43" s="775">
        <f t="shared" ca="1" si="5"/>
        <v>0</v>
      </c>
      <c r="BF43" s="775">
        <f t="shared" ca="1" si="6"/>
        <v>0</v>
      </c>
      <c r="BG43" s="775">
        <f t="shared" ca="1" si="7"/>
        <v>0</v>
      </c>
      <c r="BH43" s="775"/>
      <c r="BI43" s="775"/>
      <c r="BJ43" s="775"/>
      <c r="BK43" s="775"/>
      <c r="BL43" s="775"/>
      <c r="BM43" s="775"/>
      <c r="BN43" s="775"/>
      <c r="BO43" s="775">
        <f t="shared" si="33"/>
        <v>0</v>
      </c>
      <c r="BP43" s="775">
        <f t="shared" si="34"/>
        <v>0</v>
      </c>
      <c r="BQ43" s="775">
        <f t="shared" ca="1" si="10"/>
        <v>0</v>
      </c>
      <c r="BR43" s="775">
        <f t="shared" ca="1" si="35"/>
        <v>0</v>
      </c>
    </row>
    <row r="44" spans="1:70">
      <c r="A44" s="767" t="str">
        <f t="shared" ca="1" si="12"/>
        <v/>
      </c>
      <c r="B44" s="131" t="s">
        <v>1927</v>
      </c>
      <c r="C44" s="188" t="str">
        <f ca="1">IF(F44=0,"",COUNTIF($F$6:$F44,"&gt;0"))</f>
        <v/>
      </c>
      <c r="D44" s="778" t="str">
        <f>VLOOKUP($B44,dongia1,DG!$C$5,)</f>
        <v>Biến dòng 24kV  20/5A</v>
      </c>
      <c r="E44" s="555" t="str">
        <f>VLOOKUP($B44,dongia1,DG!$D$5,)</f>
        <v>cái</v>
      </c>
      <c r="F44" s="779">
        <f ca="1">G44+H44</f>
        <v>0</v>
      </c>
      <c r="G44" s="775">
        <f ca="1">SUM(AC44:AL44)</f>
        <v>0</v>
      </c>
      <c r="H44" s="775">
        <f ca="1">SUMIF(CT_tram!$B$33:$G$3559,kl!B44,CT_tram!$G$33:$G$3559)</f>
        <v>0</v>
      </c>
      <c r="I44" s="775">
        <f ca="1">SUMIF(CT_tram!$B$34:$G$115,$B44,CT_tram!$G$34:$G$115)</f>
        <v>0</v>
      </c>
      <c r="J44" s="775">
        <f ca="1">SUMIF(CT_tram!$B$122:$G$204,$B44,CT_tram!$G$122:$G$204)</f>
        <v>0</v>
      </c>
      <c r="K44" s="775">
        <f ca="1">SUMIF(CT_tram!$B$211:$G$293,$B44,CT_tram!$G$211:$G$293)</f>
        <v>0</v>
      </c>
      <c r="L44" s="775">
        <f ca="1">SUMIF(CT_tram!$B$300:$G$374,$B44,CT_tram!$G$300:$G$374)</f>
        <v>0</v>
      </c>
      <c r="M44" s="775">
        <f ca="1">SUMIF(CT_tram!$B$381:$G$471,$B44,CT_tram!$G$381:$G$471)</f>
        <v>0</v>
      </c>
      <c r="N44" s="775">
        <f ca="1">SUMIF(CT_tram!$B$478:$G$560,$B44,CT_tram!$G$478:$G$560)</f>
        <v>0</v>
      </c>
      <c r="O44" s="775">
        <f ca="1">SUMIF(CT_tram!$B$567:$G$653,$B44,CT_tram!$G$567:$G$653)</f>
        <v>0</v>
      </c>
      <c r="P44" s="775">
        <f ca="1">SUMIF(CT_tram!$B$661:$G$738,$B44,CT_tram!$G$661:$G$738)</f>
        <v>0</v>
      </c>
      <c r="Q44" s="775">
        <f ca="1">SUMIF(CT_tram!$B$745:$G$899,$B44,CT_tram!$G$745:$G$899)</f>
        <v>0</v>
      </c>
      <c r="R44" s="775">
        <f ca="1">SUMIF(CT_tram!$B$907:$G$995,$B44,CT_tram!$G$907:$G$995)</f>
        <v>0</v>
      </c>
      <c r="S44" s="775"/>
      <c r="T44" s="775">
        <f ca="1">SUMIF(CT_tram!$B$1004:$G$1097,B44,CT_tram!$G$1004:$G$1097)</f>
        <v>0</v>
      </c>
      <c r="U44" s="775"/>
      <c r="V44" s="775">
        <f ca="1">SUMIF(CT_tram!$B$1226:$G$1352,kl!B44,CT_tram!$G$1226:$G$1352)</f>
        <v>0</v>
      </c>
      <c r="W44" s="780">
        <f ca="1">SUMIF(CT_tram!$B$1105:$G$1219,kl!B44,CT_tram!$G$1105:$G$1219)</f>
        <v>0</v>
      </c>
      <c r="X44" s="775">
        <f ca="1">SUMIF(CT_tram!$B$1359:$G$1504,kl!B44,CT_tram!$G$1359:$G$1504)</f>
        <v>0</v>
      </c>
      <c r="Y44" s="775">
        <f ca="1">SUMIF(CT_tram!$B$1511:$G$1625,kl!B44,CT_tram!$G$1511:$G$1625)</f>
        <v>0</v>
      </c>
      <c r="Z44" s="775">
        <f ca="1">SUMIF(CT_tram!$B$1632:$G$2211,kl!B44,CT_tram!$G$1632:$G$2211)</f>
        <v>0</v>
      </c>
      <c r="AA44" s="775">
        <f ca="1">SUMIF(CT_tram!$B$2243:$G$2384,kl!B44,CT_tram!$G$2243:$G$2384)</f>
        <v>0</v>
      </c>
      <c r="AB44" s="775">
        <f ca="1">SUMIF(CT_tram!$B$2391:$G$2563,kl!B44,CT_tram!$G$2391:$G$2563)</f>
        <v>0</v>
      </c>
      <c r="AC44" s="775"/>
      <c r="AD44" s="775"/>
      <c r="AE44" s="775"/>
      <c r="AF44" s="775"/>
      <c r="AG44" s="775"/>
      <c r="AH44" s="775"/>
      <c r="AI44" s="775"/>
      <c r="AJ44" s="775"/>
      <c r="AK44" s="775"/>
      <c r="AL44" s="775">
        <f ca="1">SUMIF('Cap ngam'!B$16:G$400,kl!$B44,'Cap ngam'!G$16:G$400)</f>
        <v>0</v>
      </c>
      <c r="AM44" s="776">
        <v>6</v>
      </c>
      <c r="AN44" s="775">
        <f t="shared" ca="1" si="15"/>
        <v>0</v>
      </c>
      <c r="AO44" s="775">
        <f t="shared" ca="1" si="16"/>
        <v>0</v>
      </c>
      <c r="AP44" s="775">
        <f t="shared" ca="1" si="17"/>
        <v>0</v>
      </c>
      <c r="AQ44" s="775">
        <f t="shared" ca="1" si="18"/>
        <v>0</v>
      </c>
      <c r="AR44" s="775">
        <f t="shared" ca="1" si="19"/>
        <v>0</v>
      </c>
      <c r="AS44" s="775">
        <f t="shared" ca="1" si="20"/>
        <v>0</v>
      </c>
      <c r="AT44" s="775">
        <f t="shared" ca="1" si="21"/>
        <v>0</v>
      </c>
      <c r="AU44" s="775">
        <f t="shared" ca="1" si="22"/>
        <v>0</v>
      </c>
      <c r="AV44" s="775">
        <f t="shared" ca="1" si="23"/>
        <v>0</v>
      </c>
      <c r="AW44" s="775">
        <f t="shared" ca="1" si="24"/>
        <v>0</v>
      </c>
      <c r="AX44" s="775">
        <f t="shared" si="25"/>
        <v>0</v>
      </c>
      <c r="AY44" s="775">
        <f t="shared" ca="1" si="26"/>
        <v>0</v>
      </c>
      <c r="AZ44" s="775">
        <f t="shared" si="27"/>
        <v>0</v>
      </c>
      <c r="BA44" s="775">
        <f t="shared" ca="1" si="1"/>
        <v>0</v>
      </c>
      <c r="BB44" s="775">
        <f t="shared" ca="1" si="2"/>
        <v>0</v>
      </c>
      <c r="BC44" s="775">
        <f t="shared" ca="1" si="3"/>
        <v>0</v>
      </c>
      <c r="BD44" s="775">
        <f t="shared" ca="1" si="4"/>
        <v>0</v>
      </c>
      <c r="BE44" s="775">
        <f t="shared" ca="1" si="5"/>
        <v>0</v>
      </c>
      <c r="BF44" s="775">
        <f t="shared" ca="1" si="6"/>
        <v>0</v>
      </c>
      <c r="BG44" s="775">
        <f t="shared" ca="1" si="7"/>
        <v>0</v>
      </c>
      <c r="BH44" s="775"/>
      <c r="BI44" s="775"/>
      <c r="BJ44" s="775"/>
      <c r="BK44" s="775"/>
      <c r="BL44" s="775"/>
      <c r="BM44" s="775"/>
      <c r="BN44" s="775"/>
      <c r="BO44" s="775">
        <f t="shared" si="33"/>
        <v>0</v>
      </c>
      <c r="BP44" s="775">
        <f t="shared" si="34"/>
        <v>0</v>
      </c>
      <c r="BQ44" s="775">
        <f t="shared" ca="1" si="10"/>
        <v>0</v>
      </c>
      <c r="BR44" s="775">
        <f t="shared" ca="1" si="35"/>
        <v>0</v>
      </c>
    </row>
    <row r="45" spans="1:70">
      <c r="A45" s="767" t="str">
        <f t="shared" ca="1" si="12"/>
        <v>X</v>
      </c>
      <c r="B45" s="131" t="s">
        <v>125</v>
      </c>
      <c r="C45" s="188">
        <f ca="1">IF(F45=0,"",COUNTIF($F$6:$F45,"&gt;0"))</f>
        <v>4</v>
      </c>
      <c r="D45" s="778" t="str">
        <f>VLOOKUP($B45,dongia1,DG!$C$5,)</f>
        <v>Biến dòng 24kV  30/5A</v>
      </c>
      <c r="E45" s="555" t="str">
        <f>VLOOKUP($B45,dongia1,DG!$D$5,)</f>
        <v>cái</v>
      </c>
      <c r="F45" s="779">
        <f ca="1">G45+H45</f>
        <v>3</v>
      </c>
      <c r="G45" s="775">
        <f>SUM(AC45:AL45)</f>
        <v>0</v>
      </c>
      <c r="H45" s="775">
        <f ca="1">SUMIF(CT_tram!$B$33:$G$3559,kl!B45,CT_tram!$G$33:$G$3559)</f>
        <v>3</v>
      </c>
      <c r="I45" s="775"/>
      <c r="J45" s="775"/>
      <c r="K45" s="775"/>
      <c r="L45" s="775"/>
      <c r="M45" s="775"/>
      <c r="N45" s="775"/>
      <c r="O45" s="775"/>
      <c r="P45" s="775"/>
      <c r="Q45" s="775"/>
      <c r="R45" s="775"/>
      <c r="S45" s="775"/>
      <c r="T45" s="775"/>
      <c r="U45" s="775"/>
      <c r="V45" s="775"/>
      <c r="W45" s="780"/>
      <c r="X45" s="775"/>
      <c r="Y45" s="775"/>
      <c r="Z45" s="775"/>
      <c r="AA45" s="775"/>
      <c r="AB45" s="775"/>
      <c r="AC45" s="775"/>
      <c r="AD45" s="775"/>
      <c r="AE45" s="775"/>
      <c r="AF45" s="775"/>
      <c r="AG45" s="775"/>
      <c r="AH45" s="775"/>
      <c r="AI45" s="775"/>
      <c r="AJ45" s="775"/>
      <c r="AK45" s="775"/>
      <c r="AL45" s="775"/>
      <c r="AM45" s="776"/>
      <c r="AN45" s="775"/>
      <c r="AO45" s="775"/>
      <c r="AP45" s="775"/>
      <c r="AQ45" s="775"/>
      <c r="AR45" s="775"/>
      <c r="AS45" s="775"/>
      <c r="AT45" s="775"/>
      <c r="AU45" s="775"/>
      <c r="AV45" s="775"/>
      <c r="AW45" s="775"/>
      <c r="AX45" s="775"/>
      <c r="AY45" s="775"/>
      <c r="AZ45" s="775"/>
      <c r="BA45" s="775"/>
      <c r="BB45" s="775"/>
      <c r="BC45" s="775"/>
      <c r="BD45" s="775"/>
      <c r="BE45" s="775"/>
      <c r="BF45" s="775"/>
      <c r="BG45" s="775"/>
      <c r="BH45" s="775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</row>
    <row r="46" spans="1:70">
      <c r="A46" s="767" t="str">
        <f t="shared" ca="1" si="12"/>
        <v/>
      </c>
      <c r="B46" s="131" t="s">
        <v>1504</v>
      </c>
      <c r="C46" s="188" t="str">
        <f ca="1">IF(F46=0,"",COUNTIF($F$6:$F46,"&gt;0"))</f>
        <v/>
      </c>
      <c r="D46" s="778" t="str">
        <f>VLOOKUP($B46,dongia1,DG!$C$5,)</f>
        <v>Biến dòng 24kV  60/5A</v>
      </c>
      <c r="E46" s="555" t="str">
        <f>VLOOKUP($B46,dongia1,DG!$D$5,)</f>
        <v>cái</v>
      </c>
      <c r="F46" s="779">
        <f t="shared" ca="1" si="13"/>
        <v>0</v>
      </c>
      <c r="G46" s="775">
        <f ca="1">SUM(AC46:AL46)</f>
        <v>0</v>
      </c>
      <c r="H46" s="775">
        <f ca="1">SUMIF(CT_tram!$B$33:$G$3559,kl!B46,CT_tram!$G$33:$G$3559)</f>
        <v>0</v>
      </c>
      <c r="I46" s="775">
        <f ca="1">SUMIF(CT_tram!$B$34:$G$115,$B46,CT_tram!$G$34:$G$115)</f>
        <v>0</v>
      </c>
      <c r="J46" s="775">
        <f ca="1">SUMIF(CT_tram!$B$122:$G$204,$B46,CT_tram!$G$122:$G$204)</f>
        <v>0</v>
      </c>
      <c r="K46" s="775">
        <f ca="1">SUMIF(CT_tram!$B$211:$G$293,$B46,CT_tram!$G$211:$G$293)</f>
        <v>0</v>
      </c>
      <c r="L46" s="775">
        <f ca="1">SUMIF(CT_tram!$B$300:$G$374,$B46,CT_tram!$G$300:$G$374)</f>
        <v>0</v>
      </c>
      <c r="M46" s="775">
        <f ca="1">SUMIF(CT_tram!$B$381:$G$471,$B46,CT_tram!$G$381:$G$471)</f>
        <v>0</v>
      </c>
      <c r="N46" s="775">
        <f ca="1">SUMIF(CT_tram!$B$478:$G$560,$B46,CT_tram!$G$478:$G$560)</f>
        <v>0</v>
      </c>
      <c r="O46" s="775">
        <f ca="1">SUMIF(CT_tram!$B$567:$G$653,$B46,CT_tram!$G$567:$G$653)</f>
        <v>0</v>
      </c>
      <c r="P46" s="775">
        <f ca="1">SUMIF(CT_tram!$B$661:$G$738,$B46,CT_tram!$G$661:$G$738)</f>
        <v>0</v>
      </c>
      <c r="Q46" s="775">
        <f ca="1">SUMIF(CT_tram!$B$745:$G$899,$B46,CT_tram!$G$745:$G$899)</f>
        <v>0</v>
      </c>
      <c r="R46" s="775">
        <f ca="1">SUMIF(CT_tram!$B$907:$G$995,$B46,CT_tram!$G$907:$G$995)</f>
        <v>0</v>
      </c>
      <c r="S46" s="775"/>
      <c r="T46" s="775">
        <f ca="1">SUMIF(CT_tram!$B$1004:$G$1097,B46,CT_tram!$G$1004:$G$1097)</f>
        <v>0</v>
      </c>
      <c r="U46" s="775"/>
      <c r="V46" s="775">
        <f ca="1">SUMIF(CT_tram!$B$1226:$G$1352,kl!B46,CT_tram!$G$1226:$G$1352)</f>
        <v>0</v>
      </c>
      <c r="W46" s="780">
        <f ca="1">SUMIF(CT_tram!$B$1105:$G$1219,kl!B46,CT_tram!$G$1105:$G$1219)</f>
        <v>0</v>
      </c>
      <c r="X46" s="775">
        <f ca="1">SUMIF(CT_tram!$B$1359:$G$1504,kl!B46,CT_tram!$G$1359:$G$1504)</f>
        <v>0</v>
      </c>
      <c r="Y46" s="775">
        <f ca="1">SUMIF(CT_tram!$B$1511:$G$1625,kl!B46,CT_tram!$G$1511:$G$1625)</f>
        <v>0</v>
      </c>
      <c r="Z46" s="775">
        <f ca="1">SUMIF(CT_tram!$B$1632:$G$2211,kl!B46,CT_tram!$G$1632:$G$2211)</f>
        <v>0</v>
      </c>
      <c r="AA46" s="775">
        <f ca="1">SUMIF(CT_tram!$B$2243:$G$2384,kl!B46,CT_tram!$G$2243:$G$2384)</f>
        <v>0</v>
      </c>
      <c r="AB46" s="775">
        <f ca="1">SUMIF(CT_tram!$B$2391:$G$2563,kl!B46,CT_tram!$G$2391:$G$2563)</f>
        <v>0</v>
      </c>
      <c r="AC46" s="775"/>
      <c r="AD46" s="775"/>
      <c r="AE46" s="775"/>
      <c r="AF46" s="775"/>
      <c r="AG46" s="775"/>
      <c r="AH46" s="775"/>
      <c r="AI46" s="775"/>
      <c r="AJ46" s="775"/>
      <c r="AK46" s="775"/>
      <c r="AL46" s="775">
        <f ca="1">SUMIF('Cap ngam'!B$16:G$400,kl!$B46,'Cap ngam'!G$16:G$400)</f>
        <v>0</v>
      </c>
      <c r="AM46" s="776">
        <v>6</v>
      </c>
      <c r="AN46" s="775">
        <f t="shared" ca="1" si="15"/>
        <v>0</v>
      </c>
      <c r="AO46" s="775">
        <f t="shared" ca="1" si="16"/>
        <v>0</v>
      </c>
      <c r="AP46" s="775">
        <f t="shared" ca="1" si="17"/>
        <v>0</v>
      </c>
      <c r="AQ46" s="775">
        <f t="shared" ca="1" si="18"/>
        <v>0</v>
      </c>
      <c r="AR46" s="775">
        <f t="shared" ca="1" si="19"/>
        <v>0</v>
      </c>
      <c r="AS46" s="775">
        <f t="shared" ca="1" si="20"/>
        <v>0</v>
      </c>
      <c r="AT46" s="775">
        <f t="shared" ca="1" si="21"/>
        <v>0</v>
      </c>
      <c r="AU46" s="775">
        <f t="shared" ca="1" si="22"/>
        <v>0</v>
      </c>
      <c r="AV46" s="775">
        <f t="shared" ca="1" si="23"/>
        <v>0</v>
      </c>
      <c r="AW46" s="775">
        <f t="shared" ca="1" si="24"/>
        <v>0</v>
      </c>
      <c r="AX46" s="775">
        <f t="shared" si="25"/>
        <v>0</v>
      </c>
      <c r="AY46" s="775">
        <f t="shared" ca="1" si="26"/>
        <v>0</v>
      </c>
      <c r="AZ46" s="775">
        <f t="shared" si="27"/>
        <v>0</v>
      </c>
      <c r="BA46" s="775">
        <f t="shared" ca="1" si="1"/>
        <v>0</v>
      </c>
      <c r="BB46" s="775">
        <f t="shared" ca="1" si="2"/>
        <v>0</v>
      </c>
      <c r="BC46" s="775">
        <f t="shared" ca="1" si="3"/>
        <v>0</v>
      </c>
      <c r="BD46" s="775">
        <f t="shared" ca="1" si="4"/>
        <v>0</v>
      </c>
      <c r="BE46" s="775">
        <f t="shared" ca="1" si="5"/>
        <v>0</v>
      </c>
      <c r="BF46" s="775">
        <f t="shared" ca="1" si="6"/>
        <v>0</v>
      </c>
      <c r="BG46" s="775">
        <f t="shared" ca="1" si="7"/>
        <v>0</v>
      </c>
      <c r="BH46" s="775"/>
      <c r="BI46" s="775"/>
      <c r="BJ46" s="775"/>
      <c r="BK46" s="775"/>
      <c r="BL46" s="775"/>
      <c r="BM46" s="775"/>
      <c r="BN46" s="775"/>
      <c r="BO46" s="775">
        <f t="shared" si="33"/>
        <v>0</v>
      </c>
      <c r="BP46" s="775">
        <f t="shared" si="34"/>
        <v>0</v>
      </c>
      <c r="BQ46" s="775">
        <f t="shared" ca="1" si="10"/>
        <v>0</v>
      </c>
      <c r="BR46" s="775">
        <f t="shared" ca="1" si="35"/>
        <v>0</v>
      </c>
    </row>
    <row r="47" spans="1:70">
      <c r="A47" s="767" t="str">
        <f t="shared" ca="1" si="12"/>
        <v/>
      </c>
      <c r="B47" s="131" t="s">
        <v>1348</v>
      </c>
      <c r="C47" s="188" t="str">
        <f ca="1">IF(F47=0,"",COUNTIF($F$6:$F47,"&gt;0"))</f>
        <v/>
      </c>
      <c r="D47" s="778" t="str">
        <f>VLOOKUP($B47,dongia1,DG!$C$5,)</f>
        <v>Biến dòng 24kV  75/5A</v>
      </c>
      <c r="E47" s="555" t="str">
        <f>VLOOKUP($B47,dongia1,DG!$D$5,)</f>
        <v>cái</v>
      </c>
      <c r="F47" s="779">
        <f t="shared" ca="1" si="13"/>
        <v>0</v>
      </c>
      <c r="G47" s="775">
        <f t="shared" ca="1" si="14"/>
        <v>0</v>
      </c>
      <c r="H47" s="775">
        <f ca="1">SUMIF(CT_tram!$B$33:$G$3559,kl!B47,CT_tram!$G$33:$G$3559)</f>
        <v>0</v>
      </c>
      <c r="I47" s="775">
        <f ca="1">SUMIF(CT_tram!$B$34:$G$115,$B47,CT_tram!$G$34:$G$115)</f>
        <v>0</v>
      </c>
      <c r="J47" s="775">
        <f ca="1">SUMIF(CT_tram!$B$122:$G$204,$B47,CT_tram!$G$122:$G$204)</f>
        <v>0</v>
      </c>
      <c r="K47" s="775">
        <f ca="1">SUMIF(CT_tram!$B$211:$G$293,$B47,CT_tram!$G$211:$G$293)</f>
        <v>0</v>
      </c>
      <c r="L47" s="775">
        <f ca="1">SUMIF(CT_tram!$B$300:$G$374,$B47,CT_tram!$G$300:$G$374)</f>
        <v>0</v>
      </c>
      <c r="M47" s="775">
        <f ca="1">SUMIF(CT_tram!$B$381:$G$471,$B47,CT_tram!$G$381:$G$471)</f>
        <v>0</v>
      </c>
      <c r="N47" s="775">
        <f ca="1">SUMIF(CT_tram!$B$478:$G$560,$B47,CT_tram!$G$478:$G$560)</f>
        <v>0</v>
      </c>
      <c r="O47" s="775">
        <f ca="1">SUMIF(CT_tram!$B$567:$G$653,$B47,CT_tram!$G$567:$G$653)</f>
        <v>0</v>
      </c>
      <c r="P47" s="775">
        <f ca="1">SUMIF(CT_tram!$B$661:$G$738,$B47,CT_tram!$G$661:$G$738)</f>
        <v>0</v>
      </c>
      <c r="Q47" s="775">
        <f ca="1">SUMIF(CT_tram!$B$745:$G$899,$B47,CT_tram!$G$745:$G$899)</f>
        <v>0</v>
      </c>
      <c r="R47" s="775">
        <f ca="1">SUMIF(CT_tram!$B$907:$G$995,$B47,CT_tram!$G$907:$G$995)</f>
        <v>0</v>
      </c>
      <c r="S47" s="775"/>
      <c r="T47" s="775">
        <f ca="1">SUMIF(CT_tram!$B$1004:$G$1097,B47,CT_tram!$G$1004:$G$1097)</f>
        <v>0</v>
      </c>
      <c r="U47" s="775"/>
      <c r="V47" s="775">
        <f ca="1">SUMIF(CT_tram!$B$1226:$G$1352,kl!B47,CT_tram!$G$1226:$G$1352)</f>
        <v>0</v>
      </c>
      <c r="W47" s="780">
        <f ca="1">SUMIF(CT_tram!$B$1105:$G$1219,kl!B47,CT_tram!$G$1105:$G$1219)</f>
        <v>0</v>
      </c>
      <c r="X47" s="775">
        <f ca="1">SUMIF(CT_tram!$B$1359:$G$1504,kl!B47,CT_tram!$G$1359:$G$1504)</f>
        <v>0</v>
      </c>
      <c r="Y47" s="775">
        <f ca="1">SUMIF(CT_tram!$B$1511:$G$1625,kl!B47,CT_tram!$G$1511:$G$1625)</f>
        <v>0</v>
      </c>
      <c r="Z47" s="775">
        <f ca="1">SUMIF(CT_tram!$B$1632:$G$2211,kl!B47,CT_tram!$G$1632:$G$2211)</f>
        <v>0</v>
      </c>
      <c r="AA47" s="775">
        <f ca="1">SUMIF(CT_tram!$B$2243:$G$2384,kl!B47,CT_tram!$G$2243:$G$2384)</f>
        <v>0</v>
      </c>
      <c r="AB47" s="775">
        <f ca="1">SUMIF(CT_tram!$B$2391:$G$2563,kl!B47,CT_tram!$G$2391:$G$2563)</f>
        <v>0</v>
      </c>
      <c r="AC47" s="775"/>
      <c r="AD47" s="775"/>
      <c r="AE47" s="775"/>
      <c r="AF47" s="775"/>
      <c r="AG47" s="775"/>
      <c r="AH47" s="775"/>
      <c r="AI47" s="775"/>
      <c r="AJ47" s="775"/>
      <c r="AK47" s="775"/>
      <c r="AL47" s="775">
        <f ca="1">SUMIF('Cap ngam'!B$16:G$400,kl!$B47,'Cap ngam'!G$16:G$400)</f>
        <v>0</v>
      </c>
      <c r="AM47" s="776">
        <v>6</v>
      </c>
      <c r="AN47" s="775">
        <f t="shared" ca="1" si="15"/>
        <v>0</v>
      </c>
      <c r="AO47" s="775">
        <f t="shared" ca="1" si="16"/>
        <v>0</v>
      </c>
      <c r="AP47" s="775">
        <f t="shared" ca="1" si="17"/>
        <v>0</v>
      </c>
      <c r="AQ47" s="775">
        <f t="shared" ca="1" si="18"/>
        <v>0</v>
      </c>
      <c r="AR47" s="775">
        <f t="shared" ca="1" si="19"/>
        <v>0</v>
      </c>
      <c r="AS47" s="775">
        <f t="shared" ca="1" si="20"/>
        <v>0</v>
      </c>
      <c r="AT47" s="775">
        <f t="shared" ca="1" si="21"/>
        <v>0</v>
      </c>
      <c r="AU47" s="775">
        <f t="shared" ca="1" si="22"/>
        <v>0</v>
      </c>
      <c r="AV47" s="775">
        <f t="shared" ca="1" si="23"/>
        <v>0</v>
      </c>
      <c r="AW47" s="775">
        <f t="shared" ca="1" si="24"/>
        <v>0</v>
      </c>
      <c r="AX47" s="775">
        <f t="shared" si="25"/>
        <v>0</v>
      </c>
      <c r="AY47" s="775">
        <f t="shared" ca="1" si="26"/>
        <v>0</v>
      </c>
      <c r="AZ47" s="775">
        <f t="shared" si="27"/>
        <v>0</v>
      </c>
      <c r="BA47" s="775">
        <f t="shared" ca="1" si="1"/>
        <v>0</v>
      </c>
      <c r="BB47" s="775">
        <f t="shared" ca="1" si="2"/>
        <v>0</v>
      </c>
      <c r="BC47" s="775">
        <f t="shared" ca="1" si="3"/>
        <v>0</v>
      </c>
      <c r="BD47" s="775">
        <f t="shared" ca="1" si="4"/>
        <v>0</v>
      </c>
      <c r="BE47" s="775">
        <f t="shared" ca="1" si="5"/>
        <v>0</v>
      </c>
      <c r="BF47" s="775">
        <f t="shared" ca="1" si="6"/>
        <v>0</v>
      </c>
      <c r="BG47" s="775">
        <f t="shared" ca="1" si="7"/>
        <v>0</v>
      </c>
      <c r="BH47" s="775"/>
      <c r="BI47" s="775"/>
      <c r="BJ47" s="775"/>
      <c r="BK47" s="775"/>
      <c r="BL47" s="775"/>
      <c r="BM47" s="775"/>
      <c r="BN47" s="775"/>
      <c r="BO47" s="775">
        <f t="shared" si="33"/>
        <v>0</v>
      </c>
      <c r="BP47" s="775">
        <f t="shared" si="34"/>
        <v>0</v>
      </c>
      <c r="BQ47" s="775">
        <f t="shared" ca="1" si="10"/>
        <v>0</v>
      </c>
      <c r="BR47" s="775">
        <f t="shared" ca="1" si="35"/>
        <v>0</v>
      </c>
    </row>
    <row r="48" spans="1:70">
      <c r="A48" s="767" t="str">
        <f t="shared" ca="1" si="12"/>
        <v/>
      </c>
      <c r="B48" s="131" t="s">
        <v>1374</v>
      </c>
      <c r="C48" s="188" t="str">
        <f ca="1">IF(F48=0,"",COUNTIF($F$6:$F48,"&gt;0"))</f>
        <v/>
      </c>
      <c r="D48" s="778" t="str">
        <f>VLOOKUP($B48,dongia1,DG!$C$5,)</f>
        <v>Biến dòng 600V - 100/5A</v>
      </c>
      <c r="E48" s="555" t="str">
        <f>VLOOKUP($B48,dongia1,DG!$D$5,)</f>
        <v>cái</v>
      </c>
      <c r="F48" s="779">
        <f t="shared" ca="1" si="13"/>
        <v>0</v>
      </c>
      <c r="G48" s="775">
        <f t="shared" ca="1" si="14"/>
        <v>0</v>
      </c>
      <c r="H48" s="775">
        <f ca="1">SUMIF(CT_tram!$B$33:$G$3559,kl!B48,CT_tram!$G$33:$G$3559)</f>
        <v>0</v>
      </c>
      <c r="I48" s="775">
        <f ca="1">SUMIF(CT_tram!$B$34:$G$115,$B48,CT_tram!$G$34:$G$115)</f>
        <v>0</v>
      </c>
      <c r="J48" s="775">
        <f ca="1">SUMIF(CT_tram!$B$122:$G$204,$B48,CT_tram!$G$122:$G$204)</f>
        <v>0</v>
      </c>
      <c r="K48" s="775">
        <f ca="1">SUMIF(CT_tram!$B$211:$G$293,$B48,CT_tram!$G$211:$G$293)</f>
        <v>0</v>
      </c>
      <c r="L48" s="775">
        <f ca="1">SUMIF(CT_tram!$B$300:$G$374,$B48,CT_tram!$G$300:$G$374)</f>
        <v>0</v>
      </c>
      <c r="M48" s="775">
        <f ca="1">SUMIF(CT_tram!$B$381:$G$471,$B48,CT_tram!$G$381:$G$471)</f>
        <v>0</v>
      </c>
      <c r="N48" s="775">
        <f ca="1">SUMIF(CT_tram!$B$478:$G$560,$B48,CT_tram!$G$478:$G$560)</f>
        <v>0</v>
      </c>
      <c r="O48" s="775">
        <f ca="1">SUMIF(CT_tram!$B$567:$G$653,$B48,CT_tram!$G$567:$G$653)</f>
        <v>0</v>
      </c>
      <c r="P48" s="775">
        <f ca="1">SUMIF(CT_tram!$B$661:$G$738,$B48,CT_tram!$G$661:$G$738)</f>
        <v>0</v>
      </c>
      <c r="Q48" s="775">
        <f ca="1">SUMIF(CT_tram!$B$745:$G$899,$B48,CT_tram!$G$745:$G$899)</f>
        <v>0</v>
      </c>
      <c r="R48" s="775">
        <f ca="1">SUMIF(CT_tram!$B$907:$G$995,$B48,CT_tram!$G$907:$G$995)</f>
        <v>0</v>
      </c>
      <c r="S48" s="775"/>
      <c r="T48" s="775">
        <f ca="1">SUMIF(CT_tram!$B$1004:$G$1097,B48,CT_tram!$G$1004:$G$1097)</f>
        <v>0</v>
      </c>
      <c r="U48" s="775"/>
      <c r="V48" s="775">
        <f ca="1">SUMIF(CT_tram!$B$1226:$G$1352,kl!B48,CT_tram!$G$1226:$G$1352)</f>
        <v>0</v>
      </c>
      <c r="W48" s="780">
        <f ca="1">SUMIF(CT_tram!$B$1105:$G$1219,kl!B48,CT_tram!$G$1105:$G$1219)</f>
        <v>0</v>
      </c>
      <c r="X48" s="775">
        <f ca="1">SUMIF(CT_tram!$B$1359:$G$1504,kl!B48,CT_tram!$G$1359:$G$1504)</f>
        <v>0</v>
      </c>
      <c r="Y48" s="775">
        <f ca="1">SUMIF(CT_tram!$B$1511:$G$1625,kl!B48,CT_tram!$G$1511:$G$1625)</f>
        <v>0</v>
      </c>
      <c r="Z48" s="775">
        <f ca="1">SUMIF(CT_tram!$B$1632:$G$2211,kl!B48,CT_tram!$G$1632:$G$2211)</f>
        <v>0</v>
      </c>
      <c r="AA48" s="775">
        <f ca="1">SUMIF(CT_tram!$B$2243:$G$2384,kl!B48,CT_tram!$G$2243:$G$2384)</f>
        <v>0</v>
      </c>
      <c r="AB48" s="775">
        <f ca="1">SUMIF(CT_tram!$B$2391:$G$2563,kl!B48,CT_tram!$G$2391:$G$2563)</f>
        <v>0</v>
      </c>
      <c r="AC48" s="775"/>
      <c r="AD48" s="775"/>
      <c r="AE48" s="775"/>
      <c r="AF48" s="775"/>
      <c r="AG48" s="775"/>
      <c r="AH48" s="775"/>
      <c r="AI48" s="775"/>
      <c r="AJ48" s="775"/>
      <c r="AK48" s="775"/>
      <c r="AL48" s="775">
        <f ca="1">SUMIF('Cap ngam'!B$16:G$400,kl!$B48,'Cap ngam'!G$16:G$400)</f>
        <v>0</v>
      </c>
      <c r="AM48" s="776">
        <v>1</v>
      </c>
      <c r="AN48" s="775">
        <f t="shared" ca="1" si="15"/>
        <v>0</v>
      </c>
      <c r="AO48" s="775">
        <f t="shared" ca="1" si="16"/>
        <v>0</v>
      </c>
      <c r="AP48" s="775">
        <f t="shared" ca="1" si="17"/>
        <v>0</v>
      </c>
      <c r="AQ48" s="775">
        <f t="shared" ca="1" si="18"/>
        <v>0</v>
      </c>
      <c r="AR48" s="775">
        <f t="shared" ca="1" si="19"/>
        <v>0</v>
      </c>
      <c r="AS48" s="775">
        <f t="shared" ca="1" si="20"/>
        <v>0</v>
      </c>
      <c r="AT48" s="775">
        <f t="shared" ca="1" si="21"/>
        <v>0</v>
      </c>
      <c r="AU48" s="775">
        <f t="shared" ca="1" si="22"/>
        <v>0</v>
      </c>
      <c r="AV48" s="775">
        <f t="shared" ca="1" si="23"/>
        <v>0</v>
      </c>
      <c r="AW48" s="775">
        <f t="shared" ca="1" si="24"/>
        <v>0</v>
      </c>
      <c r="AX48" s="775">
        <f t="shared" si="25"/>
        <v>0</v>
      </c>
      <c r="AY48" s="775">
        <f t="shared" ca="1" si="26"/>
        <v>0</v>
      </c>
      <c r="AZ48" s="775">
        <f t="shared" si="27"/>
        <v>0</v>
      </c>
      <c r="BA48" s="775">
        <f t="shared" ca="1" si="1"/>
        <v>0</v>
      </c>
      <c r="BB48" s="775">
        <f t="shared" ca="1" si="2"/>
        <v>0</v>
      </c>
      <c r="BC48" s="775">
        <f t="shared" ca="1" si="3"/>
        <v>0</v>
      </c>
      <c r="BD48" s="775">
        <f t="shared" ca="1" si="4"/>
        <v>0</v>
      </c>
      <c r="BE48" s="775">
        <f t="shared" ca="1" si="5"/>
        <v>0</v>
      </c>
      <c r="BF48" s="775">
        <f t="shared" ca="1" si="6"/>
        <v>0</v>
      </c>
      <c r="BG48" s="775">
        <f t="shared" ca="1" si="7"/>
        <v>0</v>
      </c>
      <c r="BH48" s="775"/>
      <c r="BI48" s="775"/>
      <c r="BJ48" s="775"/>
      <c r="BK48" s="775"/>
      <c r="BL48" s="775"/>
      <c r="BM48" s="775"/>
      <c r="BN48" s="775"/>
      <c r="BO48" s="775">
        <f t="shared" si="33"/>
        <v>0</v>
      </c>
      <c r="BP48" s="775">
        <f t="shared" si="34"/>
        <v>0</v>
      </c>
      <c r="BQ48" s="775">
        <f t="shared" ca="1" si="10"/>
        <v>0</v>
      </c>
      <c r="BR48" s="775">
        <f t="shared" ca="1" si="35"/>
        <v>0</v>
      </c>
    </row>
    <row r="49" spans="1:70">
      <c r="A49" s="767" t="str">
        <f t="shared" ca="1" si="12"/>
        <v/>
      </c>
      <c r="B49" s="131" t="s">
        <v>1375</v>
      </c>
      <c r="C49" s="188" t="str">
        <f ca="1">IF(F49=0,"",COUNTIF($F$6:$F49,"&gt;0"))</f>
        <v/>
      </c>
      <c r="D49" s="778" t="str">
        <f>VLOOKUP($B49,dongia1,DG!$C$5,)</f>
        <v xml:space="preserve">Biến dòng 600V - 125/5A </v>
      </c>
      <c r="E49" s="555" t="str">
        <f>VLOOKUP($B49,dongia1,DG!$D$5,)</f>
        <v>cái</v>
      </c>
      <c r="F49" s="779">
        <f t="shared" ca="1" si="13"/>
        <v>0</v>
      </c>
      <c r="G49" s="775">
        <f t="shared" ca="1" si="14"/>
        <v>0</v>
      </c>
      <c r="H49" s="775">
        <f ca="1">SUMIF(CT_tram!$B$33:$G$3559,kl!B49,CT_tram!$G$33:$G$3559)</f>
        <v>0</v>
      </c>
      <c r="I49" s="775">
        <f ca="1">SUMIF(CT_tram!$B$34:$G$115,$B49,CT_tram!$G$34:$G$115)</f>
        <v>0</v>
      </c>
      <c r="J49" s="775">
        <f ca="1">SUMIF(CT_tram!$B$122:$G$204,$B49,CT_tram!$G$122:$G$204)</f>
        <v>0</v>
      </c>
      <c r="K49" s="775">
        <f ca="1">SUMIF(CT_tram!$B$211:$G$293,$B49,CT_tram!$G$211:$G$293)</f>
        <v>0</v>
      </c>
      <c r="L49" s="775">
        <f ca="1">SUMIF(CT_tram!$B$300:$G$374,$B49,CT_tram!$G$300:$G$374)</f>
        <v>0</v>
      </c>
      <c r="M49" s="775">
        <f ca="1">SUMIF(CT_tram!$B$381:$G$471,$B49,CT_tram!$G$381:$G$471)</f>
        <v>0</v>
      </c>
      <c r="N49" s="775">
        <f ca="1">SUMIF(CT_tram!$B$478:$G$560,$B49,CT_tram!$G$478:$G$560)</f>
        <v>0</v>
      </c>
      <c r="O49" s="775">
        <f ca="1">SUMIF(CT_tram!$B$567:$G$653,$B49,CT_tram!$G$567:$G$653)</f>
        <v>0</v>
      </c>
      <c r="P49" s="775">
        <f ca="1">SUMIF(CT_tram!$B$661:$G$738,$B49,CT_tram!$G$661:$G$738)</f>
        <v>0</v>
      </c>
      <c r="Q49" s="775">
        <f ca="1">SUMIF(CT_tram!$B$745:$G$899,$B49,CT_tram!$G$745:$G$899)</f>
        <v>0</v>
      </c>
      <c r="R49" s="775">
        <f ca="1">SUMIF(CT_tram!$B$907:$G$995,$B49,CT_tram!$G$907:$G$995)</f>
        <v>0</v>
      </c>
      <c r="S49" s="775"/>
      <c r="T49" s="775">
        <f ca="1">SUMIF(CT_tram!$B$1004:$G$1097,B49,CT_tram!$G$1004:$G$1097)</f>
        <v>0</v>
      </c>
      <c r="U49" s="775"/>
      <c r="V49" s="775">
        <f ca="1">SUMIF(CT_tram!$B$1226:$G$1352,kl!B49,CT_tram!$G$1226:$G$1352)</f>
        <v>0</v>
      </c>
      <c r="W49" s="780">
        <f ca="1">SUMIF(CT_tram!$B$1105:$G$1219,kl!B49,CT_tram!$G$1105:$G$1219)</f>
        <v>0</v>
      </c>
      <c r="X49" s="775">
        <f ca="1">SUMIF(CT_tram!$B$1359:$G$1504,kl!B49,CT_tram!$G$1359:$G$1504)</f>
        <v>0</v>
      </c>
      <c r="Y49" s="775">
        <f ca="1">SUMIF(CT_tram!$B$1511:$G$1625,kl!B49,CT_tram!$G$1511:$G$1625)</f>
        <v>0</v>
      </c>
      <c r="Z49" s="775">
        <f ca="1">SUMIF(CT_tram!$B$1632:$G$2211,kl!B49,CT_tram!$G$1632:$G$2211)</f>
        <v>0</v>
      </c>
      <c r="AA49" s="775">
        <f ca="1">SUMIF(CT_tram!$B$2243:$G$2384,kl!B49,CT_tram!$G$2243:$G$2384)</f>
        <v>0</v>
      </c>
      <c r="AB49" s="775">
        <f ca="1">SUMIF(CT_tram!$B$2391:$G$2563,kl!B49,CT_tram!$G$2391:$G$2563)</f>
        <v>0</v>
      </c>
      <c r="AC49" s="775"/>
      <c r="AD49" s="775"/>
      <c r="AE49" s="775"/>
      <c r="AF49" s="775"/>
      <c r="AG49" s="775"/>
      <c r="AH49" s="775"/>
      <c r="AI49" s="775"/>
      <c r="AJ49" s="775"/>
      <c r="AK49" s="775"/>
      <c r="AL49" s="775">
        <f ca="1">SUMIF('Cap ngam'!B$16:G$400,kl!$B49,'Cap ngam'!G$16:G$400)</f>
        <v>0</v>
      </c>
      <c r="AM49" s="776">
        <v>1</v>
      </c>
      <c r="AN49" s="775">
        <f t="shared" ca="1" si="15"/>
        <v>0</v>
      </c>
      <c r="AO49" s="775">
        <f t="shared" ca="1" si="16"/>
        <v>0</v>
      </c>
      <c r="AP49" s="775">
        <f t="shared" ca="1" si="17"/>
        <v>0</v>
      </c>
      <c r="AQ49" s="775">
        <f t="shared" ca="1" si="18"/>
        <v>0</v>
      </c>
      <c r="AR49" s="775">
        <f t="shared" ca="1" si="19"/>
        <v>0</v>
      </c>
      <c r="AS49" s="775">
        <f t="shared" ca="1" si="20"/>
        <v>0</v>
      </c>
      <c r="AT49" s="775">
        <f t="shared" ca="1" si="21"/>
        <v>0</v>
      </c>
      <c r="AU49" s="775">
        <f t="shared" ca="1" si="22"/>
        <v>0</v>
      </c>
      <c r="AV49" s="775">
        <f t="shared" ca="1" si="23"/>
        <v>0</v>
      </c>
      <c r="AW49" s="775">
        <f t="shared" ca="1" si="24"/>
        <v>0</v>
      </c>
      <c r="AX49" s="775">
        <f t="shared" si="25"/>
        <v>0</v>
      </c>
      <c r="AY49" s="775">
        <f t="shared" ca="1" si="26"/>
        <v>0</v>
      </c>
      <c r="AZ49" s="775">
        <f t="shared" si="27"/>
        <v>0</v>
      </c>
      <c r="BA49" s="775">
        <f t="shared" ca="1" si="1"/>
        <v>0</v>
      </c>
      <c r="BB49" s="775">
        <f t="shared" ca="1" si="2"/>
        <v>0</v>
      </c>
      <c r="BC49" s="775">
        <f t="shared" ca="1" si="3"/>
        <v>0</v>
      </c>
      <c r="BD49" s="775">
        <f t="shared" ca="1" si="4"/>
        <v>0</v>
      </c>
      <c r="BE49" s="775">
        <f t="shared" ca="1" si="5"/>
        <v>0</v>
      </c>
      <c r="BF49" s="775">
        <f t="shared" ca="1" si="6"/>
        <v>0</v>
      </c>
      <c r="BG49" s="775">
        <f t="shared" ca="1" si="7"/>
        <v>0</v>
      </c>
      <c r="BH49" s="775"/>
      <c r="BI49" s="775"/>
      <c r="BJ49" s="775"/>
      <c r="BK49" s="775"/>
      <c r="BL49" s="775"/>
      <c r="BM49" s="775"/>
      <c r="BN49" s="775"/>
      <c r="BO49" s="775">
        <f t="shared" si="33"/>
        <v>0</v>
      </c>
      <c r="BP49" s="775">
        <f t="shared" si="34"/>
        <v>0</v>
      </c>
      <c r="BQ49" s="775">
        <f t="shared" ca="1" si="10"/>
        <v>0</v>
      </c>
      <c r="BR49" s="775">
        <f t="shared" ca="1" si="35"/>
        <v>0</v>
      </c>
    </row>
    <row r="50" spans="1:70">
      <c r="A50" s="767" t="str">
        <f t="shared" ca="1" si="12"/>
        <v/>
      </c>
      <c r="B50" s="131" t="s">
        <v>904</v>
      </c>
      <c r="C50" s="188" t="str">
        <f ca="1">IF(F50=0,"",COUNTIF($F$6:$F50,"&gt;0"))</f>
        <v/>
      </c>
      <c r="D50" s="778" t="str">
        <f>VLOOKUP($B50,dongia1,DG!$C$5,)</f>
        <v>Biến dòng 24kV  150/5A</v>
      </c>
      <c r="E50" s="555" t="str">
        <f>VLOOKUP($B50,dongia1,DG!$D$5,)</f>
        <v>cái</v>
      </c>
      <c r="F50" s="779">
        <f t="shared" ca="1" si="13"/>
        <v>0</v>
      </c>
      <c r="G50" s="775">
        <f t="shared" ca="1" si="14"/>
        <v>0</v>
      </c>
      <c r="H50" s="775">
        <f ca="1">SUMIF(CT_tram!$B$33:$G$3559,kl!B50,CT_tram!$G$33:$G$3559)</f>
        <v>0</v>
      </c>
      <c r="I50" s="775">
        <f ca="1">SUMIF(CT_tram!$B$34:$G$115,$B50,CT_tram!$G$34:$G$115)</f>
        <v>0</v>
      </c>
      <c r="J50" s="775">
        <f ca="1">SUMIF(CT_tram!$B$122:$G$204,$B50,CT_tram!$G$122:$G$204)</f>
        <v>0</v>
      </c>
      <c r="K50" s="775">
        <f ca="1">SUMIF(CT_tram!$B$211:$G$293,$B50,CT_tram!$G$211:$G$293)</f>
        <v>0</v>
      </c>
      <c r="L50" s="775">
        <f ca="1">SUMIF(CT_tram!$B$300:$G$374,$B50,CT_tram!$G$300:$G$374)</f>
        <v>0</v>
      </c>
      <c r="M50" s="775">
        <f ca="1">SUMIF(CT_tram!$B$381:$G$471,$B50,CT_tram!$G$381:$G$471)</f>
        <v>0</v>
      </c>
      <c r="N50" s="775">
        <f ca="1">SUMIF(CT_tram!$B$478:$G$560,$B50,CT_tram!$G$478:$G$560)</f>
        <v>0</v>
      </c>
      <c r="O50" s="775">
        <f ca="1">SUMIF(CT_tram!$B$567:$G$653,$B50,CT_tram!$G$567:$G$653)</f>
        <v>0</v>
      </c>
      <c r="P50" s="775">
        <f ca="1">SUMIF(CT_tram!$B$661:$G$738,$B50,CT_tram!$G$661:$G$738)</f>
        <v>0</v>
      </c>
      <c r="Q50" s="775">
        <f ca="1">SUMIF(CT_tram!$B$745:$G$899,$B50,CT_tram!$G$745:$G$899)</f>
        <v>0</v>
      </c>
      <c r="R50" s="775">
        <f ca="1">SUMIF(CT_tram!$B$907:$G$995,$B50,CT_tram!$G$907:$G$995)</f>
        <v>0</v>
      </c>
      <c r="S50" s="775"/>
      <c r="T50" s="775">
        <f ca="1">SUMIF(CT_tram!$B$1004:$G$1097,B50,CT_tram!$G$1004:$G$1097)</f>
        <v>0</v>
      </c>
      <c r="U50" s="775"/>
      <c r="V50" s="775">
        <f ca="1">SUMIF(CT_tram!$B$1226:$G$1352,kl!B50,CT_tram!$G$1226:$G$1352)</f>
        <v>0</v>
      </c>
      <c r="W50" s="780">
        <f ca="1">SUMIF(CT_tram!$B$1105:$G$1219,kl!B50,CT_tram!$G$1105:$G$1219)</f>
        <v>0</v>
      </c>
      <c r="X50" s="775">
        <f ca="1">SUMIF(CT_tram!$B$1359:$G$1504,kl!B50,CT_tram!$G$1359:$G$1504)</f>
        <v>0</v>
      </c>
      <c r="Y50" s="775">
        <f ca="1">SUMIF(CT_tram!$B$1511:$G$1625,kl!B50,CT_tram!$G$1511:$G$1625)</f>
        <v>0</v>
      </c>
      <c r="Z50" s="775">
        <f ca="1">SUMIF(CT_tram!$B$1632:$G$2211,kl!B50,CT_tram!$G$1632:$G$2211)</f>
        <v>0</v>
      </c>
      <c r="AA50" s="775">
        <f ca="1">SUMIF(CT_tram!$B$2243:$G$2384,kl!B50,CT_tram!$G$2243:$G$2384)</f>
        <v>0</v>
      </c>
      <c r="AB50" s="775">
        <f ca="1">SUMIF(CT_tram!$B$2391:$G$2563,kl!B50,CT_tram!$G$2391:$G$2563)</f>
        <v>0</v>
      </c>
      <c r="AC50" s="775"/>
      <c r="AD50" s="775"/>
      <c r="AE50" s="775"/>
      <c r="AF50" s="775"/>
      <c r="AG50" s="775"/>
      <c r="AH50" s="775"/>
      <c r="AI50" s="775"/>
      <c r="AJ50" s="775"/>
      <c r="AK50" s="775"/>
      <c r="AL50" s="775">
        <f ca="1">SUMIF('Cap ngam'!B$16:G$400,kl!$B50,'Cap ngam'!G$16:G$400)</f>
        <v>0</v>
      </c>
      <c r="AM50" s="776">
        <v>1</v>
      </c>
      <c r="AN50" s="775">
        <f t="shared" ca="1" si="15"/>
        <v>0</v>
      </c>
      <c r="AO50" s="775">
        <f t="shared" ca="1" si="16"/>
        <v>0</v>
      </c>
      <c r="AP50" s="775">
        <f t="shared" ca="1" si="17"/>
        <v>0</v>
      </c>
      <c r="AQ50" s="775">
        <f t="shared" ca="1" si="18"/>
        <v>0</v>
      </c>
      <c r="AR50" s="775">
        <f t="shared" ca="1" si="19"/>
        <v>0</v>
      </c>
      <c r="AS50" s="775">
        <f t="shared" ca="1" si="20"/>
        <v>0</v>
      </c>
      <c r="AT50" s="775">
        <f t="shared" ca="1" si="21"/>
        <v>0</v>
      </c>
      <c r="AU50" s="775">
        <f t="shared" ca="1" si="22"/>
        <v>0</v>
      </c>
      <c r="AV50" s="775">
        <f t="shared" ca="1" si="23"/>
        <v>0</v>
      </c>
      <c r="AW50" s="775">
        <f t="shared" ca="1" si="24"/>
        <v>0</v>
      </c>
      <c r="AX50" s="775">
        <f t="shared" si="25"/>
        <v>0</v>
      </c>
      <c r="AY50" s="775">
        <f t="shared" ca="1" si="26"/>
        <v>0</v>
      </c>
      <c r="AZ50" s="775">
        <f t="shared" si="27"/>
        <v>0</v>
      </c>
      <c r="BA50" s="775">
        <f t="shared" ca="1" si="1"/>
        <v>0</v>
      </c>
      <c r="BB50" s="775">
        <f t="shared" ca="1" si="2"/>
        <v>0</v>
      </c>
      <c r="BC50" s="775">
        <f t="shared" ca="1" si="3"/>
        <v>0</v>
      </c>
      <c r="BD50" s="775">
        <f t="shared" ca="1" si="4"/>
        <v>0</v>
      </c>
      <c r="BE50" s="775">
        <f t="shared" ca="1" si="5"/>
        <v>0</v>
      </c>
      <c r="BF50" s="775">
        <f t="shared" ca="1" si="6"/>
        <v>0</v>
      </c>
      <c r="BG50" s="775">
        <f t="shared" ca="1" si="7"/>
        <v>0</v>
      </c>
      <c r="BH50" s="775"/>
      <c r="BI50" s="775"/>
      <c r="BJ50" s="775"/>
      <c r="BK50" s="775"/>
      <c r="BL50" s="775"/>
      <c r="BM50" s="775"/>
      <c r="BN50" s="775"/>
      <c r="BO50" s="775">
        <f t="shared" si="33"/>
        <v>0</v>
      </c>
      <c r="BP50" s="775">
        <f t="shared" si="34"/>
        <v>0</v>
      </c>
      <c r="BQ50" s="775">
        <f t="shared" ca="1" si="10"/>
        <v>0</v>
      </c>
      <c r="BR50" s="775">
        <f t="shared" ca="1" si="35"/>
        <v>0</v>
      </c>
    </row>
    <row r="51" spans="1:70">
      <c r="A51" s="767" t="str">
        <f t="shared" ca="1" si="12"/>
        <v/>
      </c>
      <c r="B51" s="131" t="s">
        <v>915</v>
      </c>
      <c r="C51" s="188" t="str">
        <f ca="1">IF(F51=0,"",COUNTIF($F$6:$F51,"&gt;0"))</f>
        <v/>
      </c>
      <c r="D51" s="778" t="str">
        <f>VLOOKUP($B51,dongia1,DG!$C$5,)</f>
        <v xml:space="preserve">Biến dòng 600V - 200/5A </v>
      </c>
      <c r="E51" s="555" t="str">
        <f>VLOOKUP($B51,dongia1,DG!$D$5,)</f>
        <v>cái</v>
      </c>
      <c r="F51" s="975">
        <f ca="1">G51+H51</f>
        <v>0</v>
      </c>
      <c r="G51" s="976">
        <f ca="1">SUM(AC51:AL51)</f>
        <v>0</v>
      </c>
      <c r="H51" s="976">
        <f ca="1">SUMIF(CT_tram!$B$33:$G$3559,kl!B51,CT_tram!$G$33:$G$3559)</f>
        <v>0</v>
      </c>
      <c r="I51" s="775">
        <f ca="1">SUMIF(CT_tram!$B$34:$G$115,$B51,CT_tram!$G$34:$G$115)</f>
        <v>0</v>
      </c>
      <c r="J51" s="775">
        <f ca="1">SUMIF(CT_tram!$B$122:$G$204,$B51,CT_tram!$G$122:$G$204)</f>
        <v>0</v>
      </c>
      <c r="K51" s="775">
        <f ca="1">SUMIF(CT_tram!$B$211:$G$293,$B51,CT_tram!$G$211:$G$293)</f>
        <v>0</v>
      </c>
      <c r="L51" s="775">
        <f ca="1">SUMIF(CT_tram!$B$300:$G$374,$B51,CT_tram!$G$300:$G$374)</f>
        <v>0</v>
      </c>
      <c r="M51" s="775">
        <f ca="1">SUMIF(CT_tram!$B$381:$G$471,$B51,CT_tram!$G$381:$G$471)</f>
        <v>0</v>
      </c>
      <c r="N51" s="775">
        <f ca="1">SUMIF(CT_tram!$B$478:$G$560,$B51,CT_tram!$G$478:$G$560)</f>
        <v>0</v>
      </c>
      <c r="O51" s="775">
        <f ca="1">SUMIF(CT_tram!$B$567:$G$653,$B51,CT_tram!$G$567:$G$653)</f>
        <v>0</v>
      </c>
      <c r="P51" s="775">
        <f ca="1">SUMIF(CT_tram!$B$661:$G$738,$B51,CT_tram!$G$661:$G$738)</f>
        <v>0</v>
      </c>
      <c r="Q51" s="775">
        <f ca="1">SUMIF(CT_tram!$B$745:$G$899,$B51,CT_tram!$G$745:$G$899)</f>
        <v>0</v>
      </c>
      <c r="R51" s="775">
        <f ca="1">SUMIF(CT_tram!$B$907:$G$995,$B51,CT_tram!$G$907:$G$995)</f>
        <v>0</v>
      </c>
      <c r="S51" s="775"/>
      <c r="T51" s="775">
        <f ca="1">SUMIF(CT_tram!$B$1004:$G$1097,B51,CT_tram!$G$1004:$G$1097)</f>
        <v>0</v>
      </c>
      <c r="U51" s="775"/>
      <c r="V51" s="775">
        <f ca="1">SUMIF(CT_tram!$B$1226:$G$1352,kl!B51,CT_tram!$G$1226:$G$1352)</f>
        <v>0</v>
      </c>
      <c r="W51" s="780">
        <f ca="1">SUMIF(CT_tram!$B$1105:$G$1219,kl!B51,CT_tram!$G$1105:$G$1219)</f>
        <v>0</v>
      </c>
      <c r="X51" s="775">
        <f ca="1">SUMIF(CT_tram!$B$1359:$G$1504,kl!B51,CT_tram!$G$1359:$G$1504)</f>
        <v>0</v>
      </c>
      <c r="Y51" s="775">
        <f ca="1">SUMIF(CT_tram!$B$1511:$G$1625,kl!B51,CT_tram!$G$1511:$G$1625)</f>
        <v>0</v>
      </c>
      <c r="Z51" s="775">
        <f ca="1">SUMIF(CT_tram!$B$1632:$G$2211,kl!B51,CT_tram!$G$1632:$G$2211)</f>
        <v>0</v>
      </c>
      <c r="AA51" s="775">
        <f ca="1">SUMIF(CT_tram!$B$2243:$G$2384,kl!B51,CT_tram!$G$2243:$G$2384)</f>
        <v>0</v>
      </c>
      <c r="AB51" s="775">
        <f ca="1">SUMIF(CT_tram!$B$2391:$G$2563,kl!B51,CT_tram!$G$2391:$G$2563)</f>
        <v>0</v>
      </c>
      <c r="AC51" s="775"/>
      <c r="AD51" s="775"/>
      <c r="AE51" s="775"/>
      <c r="AF51" s="775"/>
      <c r="AG51" s="775"/>
      <c r="AH51" s="775"/>
      <c r="AI51" s="775"/>
      <c r="AJ51" s="775"/>
      <c r="AK51" s="775"/>
      <c r="AL51" s="775">
        <f ca="1">SUMIF('Cap ngam'!B$16:G$400,kl!$B51,'Cap ngam'!G$16:G$400)</f>
        <v>0</v>
      </c>
      <c r="AM51" s="776">
        <v>1</v>
      </c>
      <c r="AN51" s="775">
        <f t="shared" ref="AN51:BG51" ca="1" si="36">I51*$AM51</f>
        <v>0</v>
      </c>
      <c r="AO51" s="775">
        <f t="shared" ca="1" si="36"/>
        <v>0</v>
      </c>
      <c r="AP51" s="775">
        <f t="shared" ca="1" si="36"/>
        <v>0</v>
      </c>
      <c r="AQ51" s="775">
        <f t="shared" ca="1" si="36"/>
        <v>0</v>
      </c>
      <c r="AR51" s="775">
        <f t="shared" ca="1" si="36"/>
        <v>0</v>
      </c>
      <c r="AS51" s="775">
        <f t="shared" ca="1" si="36"/>
        <v>0</v>
      </c>
      <c r="AT51" s="775">
        <f t="shared" ca="1" si="36"/>
        <v>0</v>
      </c>
      <c r="AU51" s="775">
        <f t="shared" ca="1" si="36"/>
        <v>0</v>
      </c>
      <c r="AV51" s="775">
        <f t="shared" ca="1" si="36"/>
        <v>0</v>
      </c>
      <c r="AW51" s="775">
        <f t="shared" ca="1" si="36"/>
        <v>0</v>
      </c>
      <c r="AX51" s="775">
        <f t="shared" si="36"/>
        <v>0</v>
      </c>
      <c r="AY51" s="775">
        <f t="shared" ca="1" si="36"/>
        <v>0</v>
      </c>
      <c r="AZ51" s="775">
        <f t="shared" si="36"/>
        <v>0</v>
      </c>
      <c r="BA51" s="775">
        <f t="shared" ca="1" si="36"/>
        <v>0</v>
      </c>
      <c r="BB51" s="775">
        <f t="shared" ca="1" si="36"/>
        <v>0</v>
      </c>
      <c r="BC51" s="775">
        <f t="shared" ca="1" si="36"/>
        <v>0</v>
      </c>
      <c r="BD51" s="775">
        <f t="shared" ca="1" si="36"/>
        <v>0</v>
      </c>
      <c r="BE51" s="775">
        <f t="shared" ca="1" si="36"/>
        <v>0</v>
      </c>
      <c r="BF51" s="775">
        <f t="shared" ca="1" si="36"/>
        <v>0</v>
      </c>
      <c r="BG51" s="775">
        <f t="shared" ca="1" si="36"/>
        <v>0</v>
      </c>
      <c r="BH51" s="775"/>
      <c r="BI51" s="775"/>
      <c r="BJ51" s="775"/>
      <c r="BK51" s="775"/>
      <c r="BL51" s="775"/>
      <c r="BM51" s="775"/>
      <c r="BN51" s="775"/>
      <c r="BO51" s="775">
        <f>AJ51*$AM51</f>
        <v>0</v>
      </c>
      <c r="BP51" s="775">
        <f>AK51*$AM51</f>
        <v>0</v>
      </c>
      <c r="BQ51" s="775">
        <f t="shared" ca="1" si="10"/>
        <v>0</v>
      </c>
      <c r="BR51" s="775">
        <f t="shared" ca="1" si="35"/>
        <v>0</v>
      </c>
    </row>
    <row r="52" spans="1:70">
      <c r="A52" s="767" t="str">
        <f t="shared" ca="1" si="12"/>
        <v/>
      </c>
      <c r="B52" s="131" t="s">
        <v>1296</v>
      </c>
      <c r="C52" s="188" t="str">
        <f ca="1">IF(F52=0,"",COUNTIF($F$6:$F52,"&gt;0"))</f>
        <v/>
      </c>
      <c r="D52" s="778" t="str">
        <f>VLOOKUP($B52,dongia1,DG!$C$5,)</f>
        <v>Biến dòng 600V - 250/5A</v>
      </c>
      <c r="E52" s="555" t="str">
        <f>VLOOKUP($B52,dongia1,DG!$D$5,)</f>
        <v>cái</v>
      </c>
      <c r="F52" s="975">
        <f t="shared" ca="1" si="13"/>
        <v>0</v>
      </c>
      <c r="G52" s="976">
        <f t="shared" ca="1" si="14"/>
        <v>0</v>
      </c>
      <c r="H52" s="976">
        <f ca="1">SUMIF(CT_tram!$B$33:$G$3559,kl!B52,CT_tram!$G$33:$G$3559)</f>
        <v>0</v>
      </c>
      <c r="I52" s="775">
        <f ca="1">SUMIF(CT_tram!$B$34:$G$115,$B52,CT_tram!$G$34:$G$115)</f>
        <v>0</v>
      </c>
      <c r="J52" s="775">
        <f ca="1">SUMIF(CT_tram!$B$122:$G$204,$B52,CT_tram!$G$122:$G$204)</f>
        <v>0</v>
      </c>
      <c r="K52" s="775">
        <f ca="1">SUMIF(CT_tram!$B$211:$G$293,$B52,CT_tram!$G$211:$G$293)</f>
        <v>0</v>
      </c>
      <c r="L52" s="775">
        <f ca="1">SUMIF(CT_tram!$B$300:$G$374,$B52,CT_tram!$G$300:$G$374)</f>
        <v>0</v>
      </c>
      <c r="M52" s="775">
        <f ca="1">SUMIF(CT_tram!$B$381:$G$471,$B52,CT_tram!$G$381:$G$471)</f>
        <v>0</v>
      </c>
      <c r="N52" s="775">
        <f ca="1">SUMIF(CT_tram!$B$478:$G$560,$B52,CT_tram!$G$478:$G$560)</f>
        <v>0</v>
      </c>
      <c r="O52" s="775">
        <f ca="1">SUMIF(CT_tram!$B$567:$G$653,$B52,CT_tram!$G$567:$G$653)</f>
        <v>0</v>
      </c>
      <c r="P52" s="775">
        <f ca="1">SUMIF(CT_tram!$B$661:$G$738,$B52,CT_tram!$G$661:$G$738)</f>
        <v>0</v>
      </c>
      <c r="Q52" s="775">
        <f ca="1">SUMIF(CT_tram!$B$745:$G$899,$B52,CT_tram!$G$745:$G$899)</f>
        <v>0</v>
      </c>
      <c r="R52" s="775">
        <f ca="1">SUMIF(CT_tram!$B$907:$G$995,$B52,CT_tram!$G$907:$G$995)</f>
        <v>0</v>
      </c>
      <c r="S52" s="775"/>
      <c r="T52" s="775">
        <f ca="1">SUMIF(CT_tram!$B$1004:$G$1097,B52,CT_tram!$G$1004:$G$1097)</f>
        <v>0</v>
      </c>
      <c r="U52" s="775"/>
      <c r="V52" s="775">
        <f ca="1">SUMIF(CT_tram!$B$1226:$G$1352,kl!B52,CT_tram!$G$1226:$G$1352)</f>
        <v>0</v>
      </c>
      <c r="W52" s="780">
        <f ca="1">SUMIF(CT_tram!$B$1105:$G$1219,kl!B52,CT_tram!$G$1105:$G$1219)</f>
        <v>0</v>
      </c>
      <c r="X52" s="775">
        <f ca="1">SUMIF(CT_tram!$B$1359:$G$1504,kl!B52,CT_tram!$G$1359:$G$1504)</f>
        <v>0</v>
      </c>
      <c r="Y52" s="775">
        <f ca="1">SUMIF(CT_tram!$B$1511:$G$1625,kl!B52,CT_tram!$G$1511:$G$1625)</f>
        <v>0</v>
      </c>
      <c r="Z52" s="775">
        <f ca="1">SUMIF(CT_tram!$B$1632:$G$2211,kl!B52,CT_tram!$G$1632:$G$2211)</f>
        <v>0</v>
      </c>
      <c r="AA52" s="775">
        <f ca="1">SUMIF(CT_tram!$B$2243:$G$2384,kl!B52,CT_tram!$G$2243:$G$2384)</f>
        <v>0</v>
      </c>
      <c r="AB52" s="775">
        <f ca="1">SUMIF(CT_tram!$B$2391:$G$2563,kl!B52,CT_tram!$G$2391:$G$2563)</f>
        <v>0</v>
      </c>
      <c r="AC52" s="775"/>
      <c r="AD52" s="775"/>
      <c r="AE52" s="775"/>
      <c r="AF52" s="775"/>
      <c r="AG52" s="775"/>
      <c r="AH52" s="775"/>
      <c r="AI52" s="775"/>
      <c r="AJ52" s="775"/>
      <c r="AK52" s="775"/>
      <c r="AL52" s="775">
        <f ca="1">SUMIF('Cap ngam'!B$16:G$400,kl!$B52,'Cap ngam'!G$16:G$400)</f>
        <v>0</v>
      </c>
      <c r="AM52" s="776">
        <v>1</v>
      </c>
      <c r="AN52" s="775">
        <f t="shared" ca="1" si="15"/>
        <v>0</v>
      </c>
      <c r="AO52" s="775">
        <f t="shared" ca="1" si="16"/>
        <v>0</v>
      </c>
      <c r="AP52" s="775">
        <f t="shared" ca="1" si="17"/>
        <v>0</v>
      </c>
      <c r="AQ52" s="775">
        <f t="shared" ca="1" si="18"/>
        <v>0</v>
      </c>
      <c r="AR52" s="775">
        <f t="shared" ca="1" si="19"/>
        <v>0</v>
      </c>
      <c r="AS52" s="775">
        <f t="shared" ca="1" si="20"/>
        <v>0</v>
      </c>
      <c r="AT52" s="775">
        <f t="shared" ca="1" si="21"/>
        <v>0</v>
      </c>
      <c r="AU52" s="775">
        <f t="shared" ca="1" si="22"/>
        <v>0</v>
      </c>
      <c r="AV52" s="775">
        <f t="shared" ca="1" si="23"/>
        <v>0</v>
      </c>
      <c r="AW52" s="775">
        <f t="shared" ca="1" si="24"/>
        <v>0</v>
      </c>
      <c r="AX52" s="775">
        <f t="shared" si="25"/>
        <v>0</v>
      </c>
      <c r="AY52" s="775">
        <f t="shared" ca="1" si="26"/>
        <v>0</v>
      </c>
      <c r="AZ52" s="775">
        <f t="shared" si="27"/>
        <v>0</v>
      </c>
      <c r="BA52" s="775">
        <f t="shared" ca="1" si="1"/>
        <v>0</v>
      </c>
      <c r="BB52" s="775">
        <f t="shared" ca="1" si="2"/>
        <v>0</v>
      </c>
      <c r="BC52" s="775">
        <f t="shared" ca="1" si="3"/>
        <v>0</v>
      </c>
      <c r="BD52" s="775">
        <f t="shared" ca="1" si="4"/>
        <v>0</v>
      </c>
      <c r="BE52" s="775">
        <f t="shared" ca="1" si="5"/>
        <v>0</v>
      </c>
      <c r="BF52" s="775">
        <f t="shared" ca="1" si="6"/>
        <v>0</v>
      </c>
      <c r="BG52" s="775">
        <f t="shared" ca="1" si="7"/>
        <v>0</v>
      </c>
      <c r="BH52" s="775"/>
      <c r="BI52" s="775"/>
      <c r="BJ52" s="775"/>
      <c r="BK52" s="775"/>
      <c r="BL52" s="775"/>
      <c r="BM52" s="775"/>
      <c r="BN52" s="775"/>
      <c r="BO52" s="775">
        <f t="shared" si="33"/>
        <v>0</v>
      </c>
      <c r="BP52" s="775">
        <f t="shared" si="34"/>
        <v>0</v>
      </c>
      <c r="BQ52" s="775">
        <f t="shared" ca="1" si="10"/>
        <v>0</v>
      </c>
      <c r="BR52" s="775">
        <f t="shared" ca="1" si="35"/>
        <v>0</v>
      </c>
    </row>
    <row r="53" spans="1:70">
      <c r="A53" s="767" t="str">
        <f t="shared" ca="1" si="12"/>
        <v/>
      </c>
      <c r="B53" s="131" t="s">
        <v>121</v>
      </c>
      <c r="C53" s="188" t="str">
        <f ca="1">IF(F53=0,"",COUNTIF($F$6:$F53,"&gt;0"))</f>
        <v/>
      </c>
      <c r="D53" s="778" t="str">
        <f>VLOOKUP($B53,dongia1,DG!$C$5,)</f>
        <v>Biến dòng 600V - 400/5A</v>
      </c>
      <c r="E53" s="555" t="str">
        <f>VLOOKUP($B53,dongia1,DG!$D$5,)</f>
        <v>cái</v>
      </c>
      <c r="F53" s="975">
        <f ca="1">G53+H53</f>
        <v>0</v>
      </c>
      <c r="G53" s="976">
        <f ca="1">SUM(AC53:AL53)</f>
        <v>0</v>
      </c>
      <c r="H53" s="976">
        <f ca="1">SUMIF(CT_tram!$B$33:$G$3559,kl!B53,CT_tram!$G$33:$G$3559)</f>
        <v>0</v>
      </c>
      <c r="I53" s="775">
        <f ca="1">SUMIF(CT_tram!$B$34:$G$115,$B53,CT_tram!$G$34:$G$115)</f>
        <v>0</v>
      </c>
      <c r="J53" s="775">
        <f ca="1">SUMIF(CT_tram!$B$122:$G$204,$B53,CT_tram!$G$122:$G$204)</f>
        <v>0</v>
      </c>
      <c r="K53" s="775">
        <f ca="1">SUMIF(CT_tram!$B$211:$G$293,$B53,CT_tram!$G$211:$G$293)</f>
        <v>0</v>
      </c>
      <c r="L53" s="775">
        <f ca="1">SUMIF(CT_tram!$B$300:$G$374,$B53,CT_tram!$G$300:$G$374)</f>
        <v>0</v>
      </c>
      <c r="M53" s="775">
        <f ca="1">SUMIF(CT_tram!$B$381:$G$471,$B53,CT_tram!$G$381:$G$471)</f>
        <v>0</v>
      </c>
      <c r="N53" s="775">
        <f ca="1">SUMIF(CT_tram!$B$478:$G$560,$B53,CT_tram!$G$478:$G$560)</f>
        <v>0</v>
      </c>
      <c r="O53" s="775">
        <f ca="1">SUMIF(CT_tram!$B$567:$G$653,$B53,CT_tram!$G$567:$G$653)</f>
        <v>0</v>
      </c>
      <c r="P53" s="775">
        <f ca="1">SUMIF(CT_tram!$B$661:$G$738,$B53,CT_tram!$G$661:$G$738)</f>
        <v>0</v>
      </c>
      <c r="Q53" s="775">
        <f ca="1">SUMIF(CT_tram!$B$745:$G$899,$B53,CT_tram!$G$745:$G$899)</f>
        <v>0</v>
      </c>
      <c r="R53" s="775">
        <f ca="1">SUMIF(CT_tram!$B$907:$G$995,$B53,CT_tram!$G$907:$G$995)</f>
        <v>0</v>
      </c>
      <c r="S53" s="775"/>
      <c r="T53" s="775">
        <f ca="1">SUMIF(CT_tram!$B$1004:$G$1097,B53,CT_tram!$G$1004:$G$1097)</f>
        <v>0</v>
      </c>
      <c r="U53" s="775"/>
      <c r="V53" s="775">
        <f ca="1">SUMIF(CT_tram!$B$1226:$G$1352,kl!B53,CT_tram!$G$1226:$G$1352)</f>
        <v>0</v>
      </c>
      <c r="W53" s="780">
        <f ca="1">SUMIF(CT_tram!$B$1105:$G$1219,kl!B53,CT_tram!$G$1105:$G$1219)</f>
        <v>0</v>
      </c>
      <c r="X53" s="775">
        <f ca="1">SUMIF(CT_tram!$B$1359:$G$1504,kl!B53,CT_tram!$G$1359:$G$1504)</f>
        <v>0</v>
      </c>
      <c r="Y53" s="775">
        <f ca="1">SUMIF(CT_tram!$B$1511:$G$1625,kl!B53,CT_tram!$G$1511:$G$1625)</f>
        <v>0</v>
      </c>
      <c r="Z53" s="775">
        <f ca="1">SUMIF(CT_tram!$B$1632:$G$2211,kl!B53,CT_tram!$G$1632:$G$2211)</f>
        <v>0</v>
      </c>
      <c r="AA53" s="775">
        <f ca="1">SUMIF(CT_tram!$B$2243:$G$2384,kl!B53,CT_tram!$G$2243:$G$2384)</f>
        <v>0</v>
      </c>
      <c r="AB53" s="775">
        <f ca="1">SUMIF(CT_tram!$B$2391:$G$2563,kl!B53,CT_tram!$G$2391:$G$2563)</f>
        <v>0</v>
      </c>
      <c r="AC53" s="775"/>
      <c r="AD53" s="775"/>
      <c r="AE53" s="775"/>
      <c r="AF53" s="775"/>
      <c r="AG53" s="775"/>
      <c r="AH53" s="775"/>
      <c r="AI53" s="775"/>
      <c r="AJ53" s="775"/>
      <c r="AK53" s="775"/>
      <c r="AL53" s="775">
        <f ca="1">SUMIF('Cap ngam'!B$16:G$400,kl!$B53,'Cap ngam'!G$16:G$400)</f>
        <v>0</v>
      </c>
      <c r="AM53" s="776">
        <v>2</v>
      </c>
      <c r="AN53" s="775">
        <f t="shared" ca="1" si="15"/>
        <v>0</v>
      </c>
      <c r="AO53" s="775">
        <f t="shared" ca="1" si="16"/>
        <v>0</v>
      </c>
      <c r="AP53" s="775">
        <f t="shared" ca="1" si="17"/>
        <v>0</v>
      </c>
      <c r="AQ53" s="775">
        <f t="shared" ca="1" si="18"/>
        <v>0</v>
      </c>
      <c r="AR53" s="775">
        <f t="shared" ca="1" si="19"/>
        <v>0</v>
      </c>
      <c r="AS53" s="775">
        <f t="shared" ca="1" si="20"/>
        <v>0</v>
      </c>
      <c r="AT53" s="775">
        <f t="shared" ca="1" si="21"/>
        <v>0</v>
      </c>
      <c r="AU53" s="775">
        <f t="shared" ca="1" si="22"/>
        <v>0</v>
      </c>
      <c r="AV53" s="775">
        <f t="shared" ca="1" si="23"/>
        <v>0</v>
      </c>
      <c r="AW53" s="775">
        <f t="shared" ca="1" si="24"/>
        <v>0</v>
      </c>
      <c r="AX53" s="775">
        <f t="shared" si="25"/>
        <v>0</v>
      </c>
      <c r="AY53" s="775">
        <f t="shared" ca="1" si="26"/>
        <v>0</v>
      </c>
      <c r="AZ53" s="775">
        <f t="shared" si="27"/>
        <v>0</v>
      </c>
      <c r="BA53" s="775">
        <f t="shared" ca="1" si="1"/>
        <v>0</v>
      </c>
      <c r="BB53" s="775">
        <f t="shared" ca="1" si="2"/>
        <v>0</v>
      </c>
      <c r="BC53" s="775">
        <f t="shared" ca="1" si="3"/>
        <v>0</v>
      </c>
      <c r="BD53" s="775">
        <f t="shared" ca="1" si="4"/>
        <v>0</v>
      </c>
      <c r="BE53" s="775">
        <f t="shared" ca="1" si="5"/>
        <v>0</v>
      </c>
      <c r="BF53" s="775">
        <f t="shared" ca="1" si="6"/>
        <v>0</v>
      </c>
      <c r="BG53" s="775">
        <f t="shared" ca="1" si="7"/>
        <v>0</v>
      </c>
      <c r="BH53" s="775"/>
      <c r="BI53" s="775"/>
      <c r="BJ53" s="775"/>
      <c r="BK53" s="775"/>
      <c r="BL53" s="775"/>
      <c r="BM53" s="775"/>
      <c r="BN53" s="775"/>
      <c r="BO53" s="775">
        <f t="shared" si="33"/>
        <v>0</v>
      </c>
      <c r="BP53" s="775">
        <f t="shared" si="34"/>
        <v>0</v>
      </c>
      <c r="BQ53" s="775">
        <f t="shared" ca="1" si="10"/>
        <v>0</v>
      </c>
      <c r="BR53" s="775">
        <f t="shared" ca="1" si="35"/>
        <v>0</v>
      </c>
    </row>
    <row r="54" spans="1:70">
      <c r="A54" s="767" t="str">
        <f t="shared" ca="1" si="12"/>
        <v/>
      </c>
      <c r="B54" s="131" t="s">
        <v>106</v>
      </c>
      <c r="C54" s="188" t="str">
        <f ca="1">IF(F54=0,"",COUNTIF($F$6:$F54,"&gt;0"))</f>
        <v/>
      </c>
      <c r="D54" s="778" t="str">
        <f>VLOOKUP($B54,dongia1,DG!$C$5,)</f>
        <v>Biến dòng 600V - 600/5A</v>
      </c>
      <c r="E54" s="555" t="str">
        <f>VLOOKUP($B54,dongia1,DG!$D$5,)</f>
        <v>cái</v>
      </c>
      <c r="F54" s="779">
        <f ca="1">G54+H54</f>
        <v>0</v>
      </c>
      <c r="G54" s="775">
        <f ca="1">SUM(AC54:AL54)</f>
        <v>0</v>
      </c>
      <c r="H54" s="775">
        <f ca="1">SUMIF(CT_tram!$B$33:$G$3559,kl!B54,CT_tram!$G$33:$G$3559)</f>
        <v>0</v>
      </c>
      <c r="I54" s="775">
        <f ca="1">SUMIF(CT_tram!$B$34:$G$115,$B54,CT_tram!$G$34:$G$115)</f>
        <v>0</v>
      </c>
      <c r="J54" s="775">
        <f ca="1">SUMIF(CT_tram!$B$122:$G$204,$B54,CT_tram!$G$122:$G$204)</f>
        <v>0</v>
      </c>
      <c r="K54" s="775">
        <f ca="1">SUMIF(CT_tram!$B$211:$G$293,$B54,CT_tram!$G$211:$G$293)</f>
        <v>0</v>
      </c>
      <c r="L54" s="775">
        <f ca="1">SUMIF(CT_tram!$B$300:$G$374,$B54,CT_tram!$G$300:$G$374)</f>
        <v>0</v>
      </c>
      <c r="M54" s="775">
        <f ca="1">SUMIF(CT_tram!$B$381:$G$471,$B54,CT_tram!$G$381:$G$471)</f>
        <v>0</v>
      </c>
      <c r="N54" s="775">
        <f ca="1">SUMIF(CT_tram!$B$478:$G$560,$B54,CT_tram!$G$478:$G$560)</f>
        <v>0</v>
      </c>
      <c r="O54" s="775">
        <f ca="1">SUMIF(CT_tram!$B$567:$G$653,$B54,CT_tram!$G$567:$G$653)</f>
        <v>0</v>
      </c>
      <c r="P54" s="775">
        <f ca="1">SUMIF(CT_tram!$B$661:$G$738,$B54,CT_tram!$G$661:$G$738)</f>
        <v>0</v>
      </c>
      <c r="Q54" s="775">
        <f ca="1">SUMIF(CT_tram!$B$745:$G$899,$B54,CT_tram!$G$745:$G$899)</f>
        <v>0</v>
      </c>
      <c r="R54" s="775">
        <f ca="1">SUMIF(CT_tram!$B$907:$G$995,$B54,CT_tram!$G$907:$G$995)</f>
        <v>0</v>
      </c>
      <c r="S54" s="775"/>
      <c r="T54" s="775">
        <f ca="1">SUMIF(CT_tram!$B$1004:$G$1097,B54,CT_tram!$G$1004:$G$1097)</f>
        <v>0</v>
      </c>
      <c r="U54" s="775"/>
      <c r="V54" s="775">
        <f ca="1">SUMIF(CT_tram!$B$1226:$G$1352,kl!B54,CT_tram!$G$1226:$G$1352)</f>
        <v>0</v>
      </c>
      <c r="W54" s="780">
        <f ca="1">SUMIF(CT_tram!$B$1105:$G$1219,kl!B54,CT_tram!$G$1105:$G$1219)</f>
        <v>0</v>
      </c>
      <c r="X54" s="775">
        <f ca="1">SUMIF(CT_tram!$B$1359:$G$1504,kl!B54,CT_tram!$G$1359:$G$1504)</f>
        <v>0</v>
      </c>
      <c r="Y54" s="775">
        <f ca="1">SUMIF(CT_tram!$B$1511:$G$1625,kl!B54,CT_tram!$G$1511:$G$1625)</f>
        <v>0</v>
      </c>
      <c r="Z54" s="775">
        <f ca="1">SUMIF(CT_tram!$B$1632:$G$2211,kl!B54,CT_tram!$G$1632:$G$2211)</f>
        <v>0</v>
      </c>
      <c r="AA54" s="775">
        <f ca="1">SUMIF(CT_tram!$B$2243:$G$2384,kl!B54,CT_tram!$G$2243:$G$2384)</f>
        <v>0</v>
      </c>
      <c r="AB54" s="775">
        <f ca="1">SUMIF(CT_tram!$B$2391:$G$2563,kl!B54,CT_tram!$G$2391:$G$2563)</f>
        <v>0</v>
      </c>
      <c r="AC54" s="775"/>
      <c r="AD54" s="775"/>
      <c r="AE54" s="775"/>
      <c r="AF54" s="775"/>
      <c r="AG54" s="775"/>
      <c r="AH54" s="775"/>
      <c r="AI54" s="775"/>
      <c r="AJ54" s="775"/>
      <c r="AK54" s="775"/>
      <c r="AL54" s="775">
        <f ca="1">SUMIF('Cap ngam'!B$16:G$400,kl!$B54,'Cap ngam'!G$16:G$400)</f>
        <v>0</v>
      </c>
      <c r="AM54" s="776">
        <v>3</v>
      </c>
      <c r="AN54" s="775">
        <f t="shared" ca="1" si="15"/>
        <v>0</v>
      </c>
      <c r="AO54" s="775">
        <f t="shared" ca="1" si="16"/>
        <v>0</v>
      </c>
      <c r="AP54" s="775">
        <f t="shared" ca="1" si="17"/>
        <v>0</v>
      </c>
      <c r="AQ54" s="775">
        <f t="shared" ca="1" si="18"/>
        <v>0</v>
      </c>
      <c r="AR54" s="775">
        <f t="shared" ca="1" si="19"/>
        <v>0</v>
      </c>
      <c r="AS54" s="775">
        <f t="shared" ca="1" si="20"/>
        <v>0</v>
      </c>
      <c r="AT54" s="775">
        <f t="shared" ca="1" si="21"/>
        <v>0</v>
      </c>
      <c r="AU54" s="775">
        <f t="shared" ca="1" si="22"/>
        <v>0</v>
      </c>
      <c r="AV54" s="775">
        <f t="shared" ca="1" si="23"/>
        <v>0</v>
      </c>
      <c r="AW54" s="775">
        <f t="shared" ca="1" si="24"/>
        <v>0</v>
      </c>
      <c r="AX54" s="775">
        <f t="shared" si="25"/>
        <v>0</v>
      </c>
      <c r="AY54" s="775">
        <f t="shared" ca="1" si="26"/>
        <v>0</v>
      </c>
      <c r="AZ54" s="775">
        <f t="shared" si="27"/>
        <v>0</v>
      </c>
      <c r="BA54" s="775">
        <f t="shared" ca="1" si="1"/>
        <v>0</v>
      </c>
      <c r="BB54" s="775">
        <f t="shared" ca="1" si="2"/>
        <v>0</v>
      </c>
      <c r="BC54" s="775">
        <f t="shared" ca="1" si="3"/>
        <v>0</v>
      </c>
      <c r="BD54" s="775">
        <f t="shared" ca="1" si="4"/>
        <v>0</v>
      </c>
      <c r="BE54" s="775">
        <f t="shared" ca="1" si="5"/>
        <v>0</v>
      </c>
      <c r="BF54" s="775">
        <f t="shared" ca="1" si="6"/>
        <v>0</v>
      </c>
      <c r="BG54" s="775">
        <f t="shared" ca="1" si="7"/>
        <v>0</v>
      </c>
      <c r="BH54" s="775"/>
      <c r="BI54" s="775"/>
      <c r="BJ54" s="775"/>
      <c r="BK54" s="775"/>
      <c r="BL54" s="775"/>
      <c r="BM54" s="775"/>
      <c r="BN54" s="775"/>
      <c r="BO54" s="775">
        <f t="shared" si="33"/>
        <v>0</v>
      </c>
      <c r="BP54" s="775">
        <f t="shared" si="34"/>
        <v>0</v>
      </c>
      <c r="BQ54" s="775">
        <f t="shared" ca="1" si="10"/>
        <v>0</v>
      </c>
      <c r="BR54" s="775">
        <f t="shared" ca="1" si="35"/>
        <v>0</v>
      </c>
    </row>
    <row r="55" spans="1:70">
      <c r="A55" s="767" t="str">
        <f t="shared" ca="1" si="12"/>
        <v/>
      </c>
      <c r="B55" s="131" t="s">
        <v>1373</v>
      </c>
      <c r="C55" s="188" t="str">
        <f ca="1">IF(F55=0,"",COUNTIF($F$6:$F55,"&gt;0"))</f>
        <v/>
      </c>
      <c r="D55" s="778" t="str">
        <f>VLOOKUP($B55,dongia1,DG!$C$5,)</f>
        <v>Biến dòng 600V - 800/5A</v>
      </c>
      <c r="E55" s="555" t="str">
        <f>VLOOKUP($B55,dongia1,DG!$D$5,)</f>
        <v>cái</v>
      </c>
      <c r="F55" s="779">
        <f t="shared" ca="1" si="13"/>
        <v>0</v>
      </c>
      <c r="G55" s="775">
        <f ca="1">SUM(AC55:AL55)</f>
        <v>0</v>
      </c>
      <c r="H55" s="775">
        <f ca="1">SUMIF(CT_tram!$B$33:$G$3559,kl!B55,CT_tram!$G$33:$G$3559)</f>
        <v>0</v>
      </c>
      <c r="I55" s="775">
        <f ca="1">SUMIF(CT_tram!$B$34:$G$115,$B55,CT_tram!$G$34:$G$115)</f>
        <v>0</v>
      </c>
      <c r="J55" s="775">
        <f ca="1">SUMIF(CT_tram!$B$122:$G$204,$B55,CT_tram!$G$122:$G$204)</f>
        <v>0</v>
      </c>
      <c r="K55" s="775">
        <f ca="1">SUMIF(CT_tram!$B$211:$G$293,$B55,CT_tram!$G$211:$G$293)</f>
        <v>0</v>
      </c>
      <c r="L55" s="775">
        <f ca="1">SUMIF(CT_tram!$B$300:$G$374,$B55,CT_tram!$G$300:$G$374)</f>
        <v>0</v>
      </c>
      <c r="M55" s="775">
        <f ca="1">SUMIF(CT_tram!$B$381:$G$471,$B55,CT_tram!$G$381:$G$471)</f>
        <v>0</v>
      </c>
      <c r="N55" s="775">
        <f ca="1">SUMIF(CT_tram!$B$478:$G$560,$B55,CT_tram!$G$478:$G$560)</f>
        <v>0</v>
      </c>
      <c r="O55" s="775">
        <f ca="1">SUMIF(CT_tram!$B$567:$G$653,$B55,CT_tram!$G$567:$G$653)</f>
        <v>0</v>
      </c>
      <c r="P55" s="775">
        <f ca="1">SUMIF(CT_tram!$B$661:$G$738,$B55,CT_tram!$G$661:$G$738)</f>
        <v>0</v>
      </c>
      <c r="Q55" s="775">
        <f ca="1">SUMIF(CT_tram!$B$745:$G$899,$B55,CT_tram!$G$745:$G$899)</f>
        <v>0</v>
      </c>
      <c r="R55" s="775">
        <f ca="1">SUMIF(CT_tram!$B$907:$G$995,$B55,CT_tram!$G$907:$G$995)</f>
        <v>0</v>
      </c>
      <c r="S55" s="775"/>
      <c r="T55" s="775">
        <f ca="1">SUMIF(CT_tram!$B$1004:$G$1097,B55,CT_tram!$G$1004:$G$1097)</f>
        <v>0</v>
      </c>
      <c r="U55" s="775"/>
      <c r="V55" s="775">
        <f ca="1">SUMIF(CT_tram!$B$1226:$G$1352,kl!B55,CT_tram!$G$1226:$G$1352)</f>
        <v>0</v>
      </c>
      <c r="W55" s="780">
        <f ca="1">SUMIF(CT_tram!$B$1105:$G$1219,kl!B55,CT_tram!$G$1105:$G$1219)</f>
        <v>0</v>
      </c>
      <c r="X55" s="775">
        <f ca="1">SUMIF(CT_tram!$B$1359:$G$1504,kl!B55,CT_tram!$G$1359:$G$1504)</f>
        <v>0</v>
      </c>
      <c r="Y55" s="775">
        <f ca="1">SUMIF(CT_tram!$B$1511:$G$1625,kl!B55,CT_tram!$G$1511:$G$1625)</f>
        <v>0</v>
      </c>
      <c r="Z55" s="775">
        <f ca="1">SUMIF(CT_tram!$B$1632:$G$2211,kl!B55,CT_tram!$G$1632:$G$2211)</f>
        <v>0</v>
      </c>
      <c r="AA55" s="775">
        <f ca="1">SUMIF(CT_tram!$B$2243:$G$2384,kl!B55,CT_tram!$G$2243:$G$2384)</f>
        <v>0</v>
      </c>
      <c r="AB55" s="775">
        <f ca="1">SUMIF(CT_tram!$B$2391:$G$2563,kl!B55,CT_tram!$G$2391:$G$2563)</f>
        <v>0</v>
      </c>
      <c r="AC55" s="775"/>
      <c r="AD55" s="775"/>
      <c r="AE55" s="775"/>
      <c r="AF55" s="775"/>
      <c r="AG55" s="775"/>
      <c r="AH55" s="775"/>
      <c r="AI55" s="775"/>
      <c r="AJ55" s="775"/>
      <c r="AK55" s="775"/>
      <c r="AL55" s="775">
        <f ca="1">SUMIF('Cap ngam'!B$16:G$400,kl!$B55,'Cap ngam'!G$16:G$400)</f>
        <v>0</v>
      </c>
      <c r="AM55" s="776">
        <v>1</v>
      </c>
      <c r="AN55" s="775">
        <f t="shared" ca="1" si="15"/>
        <v>0</v>
      </c>
      <c r="AO55" s="775">
        <f t="shared" ca="1" si="16"/>
        <v>0</v>
      </c>
      <c r="AP55" s="775">
        <f t="shared" ca="1" si="17"/>
        <v>0</v>
      </c>
      <c r="AQ55" s="775">
        <f t="shared" ca="1" si="18"/>
        <v>0</v>
      </c>
      <c r="AR55" s="775">
        <f t="shared" ca="1" si="19"/>
        <v>0</v>
      </c>
      <c r="AS55" s="775">
        <f t="shared" ca="1" si="20"/>
        <v>0</v>
      </c>
      <c r="AT55" s="775">
        <f t="shared" ca="1" si="21"/>
        <v>0</v>
      </c>
      <c r="AU55" s="775">
        <f t="shared" ca="1" si="22"/>
        <v>0</v>
      </c>
      <c r="AV55" s="775">
        <f t="shared" ca="1" si="23"/>
        <v>0</v>
      </c>
      <c r="AW55" s="775">
        <f t="shared" ca="1" si="24"/>
        <v>0</v>
      </c>
      <c r="AX55" s="775">
        <f t="shared" si="25"/>
        <v>0</v>
      </c>
      <c r="AY55" s="775">
        <f t="shared" ca="1" si="26"/>
        <v>0</v>
      </c>
      <c r="AZ55" s="775">
        <f t="shared" si="27"/>
        <v>0</v>
      </c>
      <c r="BA55" s="775">
        <f t="shared" ca="1" si="1"/>
        <v>0</v>
      </c>
      <c r="BB55" s="775">
        <f t="shared" ca="1" si="2"/>
        <v>0</v>
      </c>
      <c r="BC55" s="775">
        <f t="shared" ca="1" si="3"/>
        <v>0</v>
      </c>
      <c r="BD55" s="775">
        <f t="shared" ca="1" si="4"/>
        <v>0</v>
      </c>
      <c r="BE55" s="775">
        <f t="shared" ca="1" si="5"/>
        <v>0</v>
      </c>
      <c r="BF55" s="775">
        <f t="shared" ca="1" si="6"/>
        <v>0</v>
      </c>
      <c r="BG55" s="775">
        <f t="shared" ca="1" si="7"/>
        <v>0</v>
      </c>
      <c r="BH55" s="775"/>
      <c r="BI55" s="775"/>
      <c r="BJ55" s="775"/>
      <c r="BK55" s="775"/>
      <c r="BL55" s="775"/>
      <c r="BM55" s="775"/>
      <c r="BN55" s="775"/>
      <c r="BO55" s="775">
        <f t="shared" si="33"/>
        <v>0</v>
      </c>
      <c r="BP55" s="775">
        <f t="shared" si="34"/>
        <v>0</v>
      </c>
      <c r="BQ55" s="775">
        <f t="shared" ca="1" si="10"/>
        <v>0</v>
      </c>
      <c r="BR55" s="775">
        <f t="shared" ca="1" si="35"/>
        <v>0</v>
      </c>
    </row>
    <row r="56" spans="1:70">
      <c r="A56" s="767" t="str">
        <f t="shared" ca="1" si="12"/>
        <v/>
      </c>
      <c r="B56" s="131" t="s">
        <v>465</v>
      </c>
      <c r="C56" s="188" t="str">
        <f ca="1">IF(F56=0,"",COUNTIF($F$6:$F56,"&gt;0"))</f>
        <v/>
      </c>
      <c r="D56" s="778" t="str">
        <f>VLOOKUP($B56,dongia1,DG!$C$5,)</f>
        <v>Điện kế 1 pha 2 dây 220V-80A</v>
      </c>
      <c r="E56" s="555" t="str">
        <f>VLOOKUP($B56,dongia1,DG!$D$5,)</f>
        <v>cái</v>
      </c>
      <c r="F56" s="779">
        <f t="shared" ca="1" si="13"/>
        <v>0</v>
      </c>
      <c r="G56" s="775">
        <f t="shared" ca="1" si="14"/>
        <v>0</v>
      </c>
      <c r="H56" s="775">
        <f ca="1">SUMIF(CT_tram!$B$33:$G$3559,kl!B56,CT_tram!$G$33:$G$3559)</f>
        <v>0</v>
      </c>
      <c r="I56" s="775">
        <f ca="1">SUMIF(CT_tram!$B$34:$G$115,$B56,CT_tram!$G$34:$G$115)</f>
        <v>0</v>
      </c>
      <c r="J56" s="775">
        <f ca="1">SUMIF(CT_tram!$B$122:$G$204,$B56,CT_tram!$G$122:$G$204)</f>
        <v>0</v>
      </c>
      <c r="K56" s="775">
        <f ca="1">SUMIF(CT_tram!$B$211:$G$293,$B56,CT_tram!$G$211:$G$293)</f>
        <v>0</v>
      </c>
      <c r="L56" s="775">
        <f ca="1">SUMIF(CT_tram!$B$300:$G$374,$B56,CT_tram!$G$300:$G$374)</f>
        <v>0</v>
      </c>
      <c r="M56" s="775">
        <f ca="1">SUMIF(CT_tram!$B$381:$G$471,$B56,CT_tram!$G$381:$G$471)</f>
        <v>0</v>
      </c>
      <c r="N56" s="775">
        <f ca="1">SUMIF(CT_tram!$B$478:$G$560,$B56,CT_tram!$G$478:$G$560)</f>
        <v>0</v>
      </c>
      <c r="O56" s="775">
        <f ca="1">SUMIF(CT_tram!$B$567:$G$653,$B56,CT_tram!$G$567:$G$653)</f>
        <v>0</v>
      </c>
      <c r="P56" s="775">
        <f ca="1">SUMIF(CT_tram!$B$661:$G$738,$B56,CT_tram!$G$661:$G$738)</f>
        <v>0</v>
      </c>
      <c r="Q56" s="775">
        <f ca="1">SUMIF(CT_tram!$B$745:$G$899,$B56,CT_tram!$G$745:$G$899)</f>
        <v>0</v>
      </c>
      <c r="R56" s="775">
        <f ca="1">SUMIF(CT_tram!$B$907:$G$995,$B56,CT_tram!$G$907:$G$995)</f>
        <v>0</v>
      </c>
      <c r="S56" s="775"/>
      <c r="T56" s="775">
        <f ca="1">SUMIF(CT_tram!$B$1004:$G$1097,B56,CT_tram!$G$1004:$G$1097)</f>
        <v>0</v>
      </c>
      <c r="U56" s="775"/>
      <c r="V56" s="775">
        <f ca="1">SUMIF(CT_tram!$B$1226:$G$1352,kl!B56,CT_tram!$G$1226:$G$1352)</f>
        <v>0</v>
      </c>
      <c r="W56" s="780">
        <f ca="1">SUMIF(CT_tram!$B$1105:$G$1219,kl!B56,CT_tram!$G$1105:$G$1219)</f>
        <v>0</v>
      </c>
      <c r="X56" s="775">
        <f ca="1">SUMIF(CT_tram!$B$1359:$G$1504,kl!B56,CT_tram!$G$1359:$G$1504)</f>
        <v>0</v>
      </c>
      <c r="Y56" s="775">
        <f ca="1">SUMIF(CT_tram!$B$1511:$G$1625,kl!B56,CT_tram!$G$1511:$G$1625)</f>
        <v>0</v>
      </c>
      <c r="Z56" s="775">
        <f ca="1">SUMIF(CT_tram!$B$1632:$G$2211,kl!B56,CT_tram!$G$1632:$G$2211)</f>
        <v>0</v>
      </c>
      <c r="AA56" s="775">
        <f ca="1">SUMIF(CT_tram!$B$2243:$G$2384,kl!B56,CT_tram!$G$2243:$G$2384)</f>
        <v>0</v>
      </c>
      <c r="AB56" s="775">
        <f ca="1">SUMIF(CT_tram!$B$2391:$G$2563,kl!B56,CT_tram!$G$2391:$G$2563)</f>
        <v>0</v>
      </c>
      <c r="AC56" s="775"/>
      <c r="AD56" s="775"/>
      <c r="AE56" s="775"/>
      <c r="AF56" s="775"/>
      <c r="AG56" s="775"/>
      <c r="AH56" s="775"/>
      <c r="AI56" s="775"/>
      <c r="AJ56" s="775"/>
      <c r="AK56" s="775"/>
      <c r="AL56" s="775">
        <f ca="1">SUMIF('Cap ngam'!B$16:G$400,kl!$B56,'Cap ngam'!G$16:G$400)</f>
        <v>0</v>
      </c>
      <c r="AM56" s="776">
        <v>1</v>
      </c>
      <c r="AN56" s="775">
        <f t="shared" ca="1" si="15"/>
        <v>0</v>
      </c>
      <c r="AO56" s="775">
        <f t="shared" ca="1" si="16"/>
        <v>0</v>
      </c>
      <c r="AP56" s="775">
        <f t="shared" ca="1" si="17"/>
        <v>0</v>
      </c>
      <c r="AQ56" s="775">
        <f t="shared" ca="1" si="18"/>
        <v>0</v>
      </c>
      <c r="AR56" s="775">
        <f t="shared" ca="1" si="19"/>
        <v>0</v>
      </c>
      <c r="AS56" s="775">
        <f t="shared" ca="1" si="20"/>
        <v>0</v>
      </c>
      <c r="AT56" s="775">
        <f t="shared" ca="1" si="21"/>
        <v>0</v>
      </c>
      <c r="AU56" s="775">
        <f t="shared" ca="1" si="22"/>
        <v>0</v>
      </c>
      <c r="AV56" s="775">
        <f t="shared" ca="1" si="23"/>
        <v>0</v>
      </c>
      <c r="AW56" s="775">
        <f t="shared" ca="1" si="24"/>
        <v>0</v>
      </c>
      <c r="AX56" s="775">
        <f t="shared" si="25"/>
        <v>0</v>
      </c>
      <c r="AY56" s="775">
        <f t="shared" ca="1" si="26"/>
        <v>0</v>
      </c>
      <c r="AZ56" s="775">
        <f t="shared" si="27"/>
        <v>0</v>
      </c>
      <c r="BA56" s="775">
        <f t="shared" ca="1" si="1"/>
        <v>0</v>
      </c>
      <c r="BB56" s="775">
        <f t="shared" ca="1" si="2"/>
        <v>0</v>
      </c>
      <c r="BC56" s="775">
        <f t="shared" ca="1" si="3"/>
        <v>0</v>
      </c>
      <c r="BD56" s="775">
        <f t="shared" ca="1" si="4"/>
        <v>0</v>
      </c>
      <c r="BE56" s="775">
        <f t="shared" ca="1" si="5"/>
        <v>0</v>
      </c>
      <c r="BF56" s="775">
        <f t="shared" ca="1" si="6"/>
        <v>0</v>
      </c>
      <c r="BG56" s="775">
        <f t="shared" ca="1" si="7"/>
        <v>0</v>
      </c>
      <c r="BH56" s="775"/>
      <c r="BI56" s="775"/>
      <c r="BJ56" s="775"/>
      <c r="BK56" s="775"/>
      <c r="BL56" s="775"/>
      <c r="BM56" s="775"/>
      <c r="BN56" s="775"/>
      <c r="BO56" s="775">
        <f t="shared" si="33"/>
        <v>0</v>
      </c>
      <c r="BP56" s="775">
        <f t="shared" si="34"/>
        <v>0</v>
      </c>
      <c r="BQ56" s="775">
        <f t="shared" ca="1" si="10"/>
        <v>0</v>
      </c>
      <c r="BR56" s="775">
        <f t="shared" ca="1" si="35"/>
        <v>0</v>
      </c>
    </row>
    <row r="57" spans="1:70">
      <c r="A57" s="767" t="str">
        <f t="shared" ca="1" si="12"/>
        <v/>
      </c>
      <c r="B57" s="131" t="s">
        <v>306</v>
      </c>
      <c r="C57" s="188" t="str">
        <f ca="1">IF(F57=0,"",COUNTIF($F$6:$F57,"&gt;0"))</f>
        <v/>
      </c>
      <c r="D57" s="778" t="str">
        <f>VLOOKUP($B57,dongia1,DG!$C$5,)</f>
        <v>Điện kế 1 pha 2 dây 220V-5A</v>
      </c>
      <c r="E57" s="555" t="str">
        <f>VLOOKUP($B57,dongia1,DG!$D$5,)</f>
        <v>cái</v>
      </c>
      <c r="F57" s="975">
        <f t="shared" ca="1" si="13"/>
        <v>0</v>
      </c>
      <c r="G57" s="976">
        <f t="shared" ca="1" si="14"/>
        <v>0</v>
      </c>
      <c r="H57" s="976">
        <f ca="1">SUMIF(CT_tram!$B$33:$G$3559,kl!B57,CT_tram!$G$33:$G$3559)</f>
        <v>0</v>
      </c>
      <c r="I57" s="775">
        <f ca="1">SUMIF(CT_tram!$B$34:$G$115,$B57,CT_tram!$G$34:$G$115)</f>
        <v>0</v>
      </c>
      <c r="J57" s="775">
        <f ca="1">SUMIF(CT_tram!$B$122:$G$204,$B57,CT_tram!$G$122:$G$204)</f>
        <v>0</v>
      </c>
      <c r="K57" s="775">
        <f ca="1">SUMIF(CT_tram!$B$211:$G$293,$B57,CT_tram!$G$211:$G$293)</f>
        <v>0</v>
      </c>
      <c r="L57" s="775">
        <f ca="1">SUMIF(CT_tram!$B$300:$G$374,$B57,CT_tram!$G$300:$G$374)</f>
        <v>0</v>
      </c>
      <c r="M57" s="775">
        <f ca="1">SUMIF(CT_tram!$B$381:$G$471,$B57,CT_tram!$G$381:$G$471)</f>
        <v>0</v>
      </c>
      <c r="N57" s="775">
        <f ca="1">SUMIF(CT_tram!$B$478:$G$560,$B57,CT_tram!$G$478:$G$560)</f>
        <v>0</v>
      </c>
      <c r="O57" s="775">
        <f ca="1">SUMIF(CT_tram!$B$567:$G$653,$B57,CT_tram!$G$567:$G$653)</f>
        <v>0</v>
      </c>
      <c r="P57" s="775">
        <f ca="1">SUMIF(CT_tram!$B$661:$G$738,$B57,CT_tram!$G$661:$G$738)</f>
        <v>0</v>
      </c>
      <c r="Q57" s="775">
        <f ca="1">SUMIF(CT_tram!$B$745:$G$899,$B57,CT_tram!$G$745:$G$899)</f>
        <v>0</v>
      </c>
      <c r="R57" s="775">
        <f ca="1">SUMIF(CT_tram!$B$907:$G$995,$B57,CT_tram!$G$907:$G$995)</f>
        <v>0</v>
      </c>
      <c r="S57" s="775"/>
      <c r="T57" s="775">
        <f ca="1">SUMIF(CT_tram!$B$1004:$G$1097,B57,CT_tram!$G$1004:$G$1097)</f>
        <v>0</v>
      </c>
      <c r="U57" s="775"/>
      <c r="V57" s="775">
        <f ca="1">SUMIF(CT_tram!$B$1226:$G$1352,kl!B57,CT_tram!$G$1226:$G$1352)</f>
        <v>0</v>
      </c>
      <c r="W57" s="780">
        <f ca="1">SUMIF(CT_tram!$B$1105:$G$1219,kl!B57,CT_tram!$G$1105:$G$1219)</f>
        <v>0</v>
      </c>
      <c r="X57" s="775">
        <f ca="1">SUMIF(CT_tram!$B$1359:$G$1504,kl!B57,CT_tram!$G$1359:$G$1504)</f>
        <v>0</v>
      </c>
      <c r="Y57" s="775">
        <f ca="1">SUMIF(CT_tram!$B$1511:$G$1625,kl!B57,CT_tram!$G$1511:$G$1625)</f>
        <v>0</v>
      </c>
      <c r="Z57" s="775">
        <f ca="1">SUMIF(CT_tram!$B$1632:$G$2211,kl!B57,CT_tram!$G$1632:$G$2211)</f>
        <v>0</v>
      </c>
      <c r="AA57" s="775">
        <f ca="1">SUMIF(CT_tram!$B$2243:$G$2384,kl!B57,CT_tram!$G$2243:$G$2384)</f>
        <v>0</v>
      </c>
      <c r="AB57" s="775">
        <f ca="1">SUMIF(CT_tram!$B$2391:$G$2563,kl!B57,CT_tram!$G$2391:$G$2563)</f>
        <v>0</v>
      </c>
      <c r="AC57" s="775"/>
      <c r="AD57" s="775"/>
      <c r="AE57" s="775"/>
      <c r="AF57" s="775"/>
      <c r="AG57" s="775"/>
      <c r="AH57" s="775"/>
      <c r="AI57" s="775"/>
      <c r="AJ57" s="775"/>
      <c r="AK57" s="775"/>
      <c r="AL57" s="775">
        <f ca="1">SUMIF('Cap ngam'!B$16:G$400,kl!$B57,'Cap ngam'!G$16:G$400)</f>
        <v>0</v>
      </c>
      <c r="AM57" s="776">
        <v>1</v>
      </c>
      <c r="AN57" s="775">
        <f t="shared" ca="1" si="15"/>
        <v>0</v>
      </c>
      <c r="AO57" s="775">
        <f t="shared" ca="1" si="16"/>
        <v>0</v>
      </c>
      <c r="AP57" s="775">
        <f t="shared" ca="1" si="17"/>
        <v>0</v>
      </c>
      <c r="AQ57" s="775">
        <f t="shared" ca="1" si="18"/>
        <v>0</v>
      </c>
      <c r="AR57" s="775">
        <f t="shared" ca="1" si="19"/>
        <v>0</v>
      </c>
      <c r="AS57" s="775">
        <f t="shared" ca="1" si="20"/>
        <v>0</v>
      </c>
      <c r="AT57" s="775">
        <f t="shared" ca="1" si="21"/>
        <v>0</v>
      </c>
      <c r="AU57" s="775">
        <f t="shared" ca="1" si="22"/>
        <v>0</v>
      </c>
      <c r="AV57" s="775">
        <f t="shared" ca="1" si="23"/>
        <v>0</v>
      </c>
      <c r="AW57" s="775">
        <f t="shared" ca="1" si="24"/>
        <v>0</v>
      </c>
      <c r="AX57" s="775">
        <f t="shared" si="25"/>
        <v>0</v>
      </c>
      <c r="AY57" s="775">
        <f t="shared" ca="1" si="26"/>
        <v>0</v>
      </c>
      <c r="AZ57" s="775">
        <f t="shared" si="27"/>
        <v>0</v>
      </c>
      <c r="BA57" s="775">
        <f t="shared" ca="1" si="1"/>
        <v>0</v>
      </c>
      <c r="BB57" s="775">
        <f t="shared" ca="1" si="2"/>
        <v>0</v>
      </c>
      <c r="BC57" s="775">
        <f t="shared" ca="1" si="3"/>
        <v>0</v>
      </c>
      <c r="BD57" s="775">
        <f t="shared" ca="1" si="4"/>
        <v>0</v>
      </c>
      <c r="BE57" s="775">
        <f t="shared" ca="1" si="5"/>
        <v>0</v>
      </c>
      <c r="BF57" s="775">
        <f t="shared" ca="1" si="6"/>
        <v>0</v>
      </c>
      <c r="BG57" s="775">
        <f t="shared" ca="1" si="7"/>
        <v>0</v>
      </c>
      <c r="BH57" s="775"/>
      <c r="BI57" s="775"/>
      <c r="BJ57" s="775"/>
      <c r="BK57" s="775"/>
      <c r="BL57" s="775"/>
      <c r="BM57" s="775"/>
      <c r="BN57" s="775"/>
      <c r="BO57" s="775">
        <f t="shared" si="33"/>
        <v>0</v>
      </c>
      <c r="BP57" s="775">
        <f t="shared" si="34"/>
        <v>0</v>
      </c>
      <c r="BQ57" s="775">
        <f t="shared" ca="1" si="10"/>
        <v>0</v>
      </c>
      <c r="BR57" s="775">
        <f t="shared" ca="1" si="35"/>
        <v>0</v>
      </c>
    </row>
    <row r="58" spans="1:70">
      <c r="A58" s="767" t="str">
        <f t="shared" ca="1" si="12"/>
        <v/>
      </c>
      <c r="B58" s="131" t="s">
        <v>307</v>
      </c>
      <c r="C58" s="188" t="str">
        <f ca="1">IF(F58=0,"",COUNTIF($F$6:$F58,"&gt;0"))</f>
        <v/>
      </c>
      <c r="D58" s="778" t="str">
        <f>VLOOKUP($B58,dongia1,DG!$C$5,)</f>
        <v>Điện kế 3 pha 4 dây 220/380V-5A</v>
      </c>
      <c r="E58" s="555" t="str">
        <f>VLOOKUP($B58,dongia1,DG!$D$5,)</f>
        <v>cái</v>
      </c>
      <c r="F58" s="975">
        <f t="shared" ref="F58:F74" ca="1" si="37">G58+H58</f>
        <v>0</v>
      </c>
      <c r="G58" s="976">
        <f t="shared" ca="1" si="14"/>
        <v>0</v>
      </c>
      <c r="H58" s="976">
        <f ca="1">SUMIF(CT_tram!$B$33:$G$3559,kl!B58,CT_tram!$G$33:$G$3559)</f>
        <v>0</v>
      </c>
      <c r="I58" s="775">
        <f ca="1">SUMIF(CT_tram!$B$34:$G$115,$B58,CT_tram!$G$34:$G$115)</f>
        <v>0</v>
      </c>
      <c r="J58" s="775">
        <f ca="1">SUMIF(CT_tram!$B$122:$G$204,$B58,CT_tram!$G$122:$G$204)</f>
        <v>0</v>
      </c>
      <c r="K58" s="775">
        <f ca="1">SUMIF(CT_tram!$B$211:$G$293,$B58,CT_tram!$G$211:$G$293)</f>
        <v>0</v>
      </c>
      <c r="L58" s="775">
        <f ca="1">SUMIF(CT_tram!$B$300:$G$374,$B58,CT_tram!$G$300:$G$374)</f>
        <v>0</v>
      </c>
      <c r="M58" s="775">
        <f ca="1">SUMIF(CT_tram!$B$381:$G$471,$B58,CT_tram!$G$381:$G$471)</f>
        <v>0</v>
      </c>
      <c r="N58" s="775">
        <f ca="1">SUMIF(CT_tram!$B$478:$G$560,$B58,CT_tram!$G$478:$G$560)</f>
        <v>0</v>
      </c>
      <c r="O58" s="775">
        <f ca="1">SUMIF(CT_tram!$B$567:$G$653,$B58,CT_tram!$G$567:$G$653)</f>
        <v>0</v>
      </c>
      <c r="P58" s="775">
        <f ca="1">SUMIF(CT_tram!$B$661:$G$738,$B58,CT_tram!$G$661:$G$738)</f>
        <v>0</v>
      </c>
      <c r="Q58" s="775">
        <f ca="1">SUMIF(CT_tram!$B$745:$G$899,$B58,CT_tram!$G$745:$G$899)</f>
        <v>0</v>
      </c>
      <c r="R58" s="775">
        <f ca="1">SUMIF(CT_tram!$B$907:$G$995,$B58,CT_tram!$G$907:$G$995)</f>
        <v>0</v>
      </c>
      <c r="S58" s="775"/>
      <c r="T58" s="775">
        <f ca="1">SUMIF(CT_tram!$B$1004:$G$1097,B58,CT_tram!$G$1004:$G$1097)</f>
        <v>0</v>
      </c>
      <c r="U58" s="775"/>
      <c r="V58" s="775">
        <f ca="1">SUMIF(CT_tram!$B$1226:$G$1352,kl!B58,CT_tram!$G$1226:$G$1352)</f>
        <v>0</v>
      </c>
      <c r="W58" s="780">
        <f ca="1">SUMIF(CT_tram!$B$1105:$G$1219,kl!B58,CT_tram!$G$1105:$G$1219)</f>
        <v>0</v>
      </c>
      <c r="X58" s="775">
        <f ca="1">SUMIF(CT_tram!$B$1359:$G$1504,kl!B58,CT_tram!$G$1359:$G$1504)</f>
        <v>0</v>
      </c>
      <c r="Y58" s="775">
        <f ca="1">SUMIF(CT_tram!$B$1511:$G$1625,kl!B58,CT_tram!$G$1511:$G$1625)</f>
        <v>0</v>
      </c>
      <c r="Z58" s="775">
        <f ca="1">SUMIF(CT_tram!$B$1632:$G$2211,kl!B58,CT_tram!$G$1632:$G$2211)</f>
        <v>0</v>
      </c>
      <c r="AA58" s="775">
        <f ca="1">SUMIF(CT_tram!$B$2243:$G$2384,kl!B58,CT_tram!$G$2243:$G$2384)</f>
        <v>0</v>
      </c>
      <c r="AB58" s="775">
        <f ca="1">SUMIF(CT_tram!$B$2391:$G$2563,kl!B58,CT_tram!$G$2391:$G$2563)</f>
        <v>0</v>
      </c>
      <c r="AC58" s="775"/>
      <c r="AD58" s="775"/>
      <c r="AE58" s="775"/>
      <c r="AF58" s="775"/>
      <c r="AG58" s="775"/>
      <c r="AH58" s="775"/>
      <c r="AI58" s="775"/>
      <c r="AJ58" s="775"/>
      <c r="AK58" s="775"/>
      <c r="AL58" s="775">
        <f ca="1">SUMIF('Cap ngam'!B$16:G$400,kl!$B58,'Cap ngam'!G$16:G$400)</f>
        <v>0</v>
      </c>
      <c r="AM58" s="776">
        <v>1.5</v>
      </c>
      <c r="AN58" s="775">
        <f t="shared" ca="1" si="15"/>
        <v>0</v>
      </c>
      <c r="AO58" s="775">
        <f t="shared" ca="1" si="16"/>
        <v>0</v>
      </c>
      <c r="AP58" s="775">
        <f t="shared" ca="1" si="17"/>
        <v>0</v>
      </c>
      <c r="AQ58" s="775">
        <f t="shared" ca="1" si="18"/>
        <v>0</v>
      </c>
      <c r="AR58" s="775">
        <f t="shared" ca="1" si="19"/>
        <v>0</v>
      </c>
      <c r="AS58" s="775">
        <f t="shared" ca="1" si="20"/>
        <v>0</v>
      </c>
      <c r="AT58" s="775">
        <f t="shared" ca="1" si="21"/>
        <v>0</v>
      </c>
      <c r="AU58" s="775">
        <f t="shared" ca="1" si="22"/>
        <v>0</v>
      </c>
      <c r="AV58" s="775">
        <f t="shared" ca="1" si="23"/>
        <v>0</v>
      </c>
      <c r="AW58" s="775">
        <f t="shared" ca="1" si="24"/>
        <v>0</v>
      </c>
      <c r="AX58" s="775">
        <f t="shared" si="25"/>
        <v>0</v>
      </c>
      <c r="AY58" s="775">
        <f t="shared" ca="1" si="26"/>
        <v>0</v>
      </c>
      <c r="AZ58" s="775">
        <f t="shared" si="27"/>
        <v>0</v>
      </c>
      <c r="BA58" s="775">
        <f t="shared" ca="1" si="1"/>
        <v>0</v>
      </c>
      <c r="BB58" s="775">
        <f t="shared" ca="1" si="2"/>
        <v>0</v>
      </c>
      <c r="BC58" s="775">
        <f t="shared" ca="1" si="3"/>
        <v>0</v>
      </c>
      <c r="BD58" s="775">
        <f t="shared" ca="1" si="4"/>
        <v>0</v>
      </c>
      <c r="BE58" s="775">
        <f t="shared" ca="1" si="5"/>
        <v>0</v>
      </c>
      <c r="BF58" s="775">
        <f t="shared" ca="1" si="6"/>
        <v>0</v>
      </c>
      <c r="BG58" s="775">
        <f t="shared" ca="1" si="7"/>
        <v>0</v>
      </c>
      <c r="BH58" s="775"/>
      <c r="BI58" s="775"/>
      <c r="BJ58" s="775"/>
      <c r="BK58" s="775"/>
      <c r="BL58" s="775"/>
      <c r="BM58" s="775"/>
      <c r="BN58" s="775"/>
      <c r="BO58" s="775">
        <f t="shared" si="33"/>
        <v>0</v>
      </c>
      <c r="BP58" s="775">
        <f t="shared" si="34"/>
        <v>0</v>
      </c>
      <c r="BQ58" s="775">
        <f t="shared" ca="1" si="10"/>
        <v>0</v>
      </c>
      <c r="BR58" s="775">
        <f t="shared" ca="1" si="35"/>
        <v>0</v>
      </c>
    </row>
    <row r="59" spans="1:70">
      <c r="A59" s="767" t="str">
        <f t="shared" ca="1" si="12"/>
        <v>X</v>
      </c>
      <c r="B59" s="131" t="s">
        <v>1873</v>
      </c>
      <c r="C59" s="188">
        <f ca="1">IF(F59=0,"",COUNTIF($F$6:$F59,"&gt;0"))</f>
        <v>5</v>
      </c>
      <c r="D59" s="778" t="str">
        <f>VLOOKUP($B59,dongia1,DG!$C$5,)</f>
        <v>Điện kế 3 pha điện tử 5A</v>
      </c>
      <c r="E59" s="555" t="str">
        <f>VLOOKUP($B59,dongia1,DG!$D$5,)</f>
        <v>cái</v>
      </c>
      <c r="F59" s="779">
        <f ca="1">G59+H59</f>
        <v>1</v>
      </c>
      <c r="G59" s="775">
        <f ca="1">SUM(AC59:AL59)</f>
        <v>0</v>
      </c>
      <c r="H59" s="775">
        <f ca="1">SUMIF(CT_tram!$B$33:$G$3559,kl!B59,CT_tram!$G$33:$G$3559)</f>
        <v>1</v>
      </c>
      <c r="I59" s="775">
        <f ca="1">SUMIF(CT_tram!$B$34:$G$115,$B59,CT_tram!$G$34:$G$115)</f>
        <v>0</v>
      </c>
      <c r="J59" s="775">
        <f ca="1">SUMIF(CT_tram!$B$122:$G$204,$B59,CT_tram!$G$122:$G$204)</f>
        <v>0</v>
      </c>
      <c r="K59" s="775">
        <f ca="1">SUMIF(CT_tram!$B$211:$G$293,$B59,CT_tram!$G$211:$G$293)</f>
        <v>0</v>
      </c>
      <c r="L59" s="775">
        <f ca="1">SUMIF(CT_tram!$B$300:$G$374,$B59,CT_tram!$G$300:$G$374)</f>
        <v>0</v>
      </c>
      <c r="M59" s="775">
        <f ca="1">SUMIF(CT_tram!$B$381:$G$471,$B59,CT_tram!$G$381:$G$471)</f>
        <v>0</v>
      </c>
      <c r="N59" s="775">
        <f ca="1">SUMIF(CT_tram!$B$478:$G$560,$B59,CT_tram!$G$478:$G$560)</f>
        <v>0</v>
      </c>
      <c r="O59" s="775">
        <f ca="1">SUMIF(CT_tram!$B$567:$G$653,$B59,CT_tram!$G$567:$G$653)</f>
        <v>0</v>
      </c>
      <c r="P59" s="775">
        <f ca="1">SUMIF(CT_tram!$B$661:$G$738,$B59,CT_tram!$G$661:$G$738)</f>
        <v>0</v>
      </c>
      <c r="Q59" s="775">
        <f ca="1">SUMIF(CT_tram!$B$745:$G$899,$B59,CT_tram!$G$745:$G$899)</f>
        <v>0</v>
      </c>
      <c r="R59" s="775">
        <f ca="1">SUMIF(CT_tram!$B$907:$G$995,$B59,CT_tram!$G$907:$G$995)</f>
        <v>0</v>
      </c>
      <c r="S59" s="775"/>
      <c r="T59" s="775">
        <f ca="1">SUMIF(CT_tram!$B$1004:$G$1097,B59,CT_tram!$G$1004:$G$1097)</f>
        <v>0</v>
      </c>
      <c r="U59" s="775"/>
      <c r="V59" s="775">
        <f ca="1">SUMIF(CT_tram!$B$1226:$G$1352,kl!B59,CT_tram!$G$1226:$G$1352)</f>
        <v>0</v>
      </c>
      <c r="W59" s="780">
        <f ca="1">SUMIF(CT_tram!$B$1105:$G$1219,kl!B59,CT_tram!$G$1105:$G$1219)</f>
        <v>0</v>
      </c>
      <c r="X59" s="775">
        <f ca="1">SUMIF(CT_tram!$B$1359:$G$1504,kl!B59,CT_tram!$G$1359:$G$1504)</f>
        <v>0</v>
      </c>
      <c r="Y59" s="775">
        <f ca="1">SUMIF(CT_tram!$B$1511:$G$1625,kl!B59,CT_tram!$G$1511:$G$1625)</f>
        <v>0</v>
      </c>
      <c r="Z59" s="775">
        <f ca="1">SUMIF(CT_tram!$B$1632:$G$2211,kl!B59,CT_tram!$G$1632:$G$2211)</f>
        <v>0</v>
      </c>
      <c r="AA59" s="775">
        <f ca="1">SUMIF(CT_tram!$B$2243:$G$2384,kl!B59,CT_tram!$G$2243:$G$2384)</f>
        <v>0</v>
      </c>
      <c r="AB59" s="775">
        <f ca="1">SUMIF(CT_tram!$B$2391:$G$2563,kl!B59,CT_tram!$G$2391:$G$2563)</f>
        <v>0</v>
      </c>
      <c r="AC59" s="775"/>
      <c r="AD59" s="775"/>
      <c r="AE59" s="775"/>
      <c r="AF59" s="775"/>
      <c r="AG59" s="775"/>
      <c r="AH59" s="775"/>
      <c r="AI59" s="775"/>
      <c r="AJ59" s="775"/>
      <c r="AK59" s="775"/>
      <c r="AL59" s="775">
        <f ca="1">SUMIF('Cap ngam'!B$16:G$400,kl!$B59,'Cap ngam'!G$16:G$400)</f>
        <v>0</v>
      </c>
      <c r="AM59" s="776">
        <v>1.5</v>
      </c>
      <c r="AN59" s="775">
        <f t="shared" ca="1" si="15"/>
        <v>0</v>
      </c>
      <c r="AO59" s="775">
        <f t="shared" ca="1" si="16"/>
        <v>0</v>
      </c>
      <c r="AP59" s="775">
        <f t="shared" ca="1" si="17"/>
        <v>0</v>
      </c>
      <c r="AQ59" s="775">
        <f t="shared" ca="1" si="18"/>
        <v>0</v>
      </c>
      <c r="AR59" s="775">
        <f t="shared" ca="1" si="19"/>
        <v>0</v>
      </c>
      <c r="AS59" s="775">
        <f t="shared" ca="1" si="20"/>
        <v>0</v>
      </c>
      <c r="AT59" s="775">
        <f t="shared" ca="1" si="21"/>
        <v>0</v>
      </c>
      <c r="AU59" s="775">
        <f t="shared" ca="1" si="22"/>
        <v>0</v>
      </c>
      <c r="AV59" s="775">
        <f t="shared" ca="1" si="23"/>
        <v>0</v>
      </c>
      <c r="AW59" s="775">
        <f t="shared" ca="1" si="24"/>
        <v>0</v>
      </c>
      <c r="AX59" s="775">
        <f t="shared" si="25"/>
        <v>0</v>
      </c>
      <c r="AY59" s="775">
        <f t="shared" ca="1" si="26"/>
        <v>0</v>
      </c>
      <c r="AZ59" s="775">
        <f t="shared" si="27"/>
        <v>0</v>
      </c>
      <c r="BA59" s="775">
        <f t="shared" ca="1" si="1"/>
        <v>0</v>
      </c>
      <c r="BB59" s="775">
        <f t="shared" ca="1" si="2"/>
        <v>0</v>
      </c>
      <c r="BC59" s="775">
        <f t="shared" ca="1" si="3"/>
        <v>0</v>
      </c>
      <c r="BD59" s="775">
        <f t="shared" ca="1" si="4"/>
        <v>0</v>
      </c>
      <c r="BE59" s="775">
        <f t="shared" ca="1" si="5"/>
        <v>0</v>
      </c>
      <c r="BF59" s="775">
        <f t="shared" ca="1" si="6"/>
        <v>0</v>
      </c>
      <c r="BG59" s="775">
        <f t="shared" ca="1" si="7"/>
        <v>0</v>
      </c>
      <c r="BH59" s="775"/>
      <c r="BI59" s="775"/>
      <c r="BJ59" s="775"/>
      <c r="BK59" s="775"/>
      <c r="BL59" s="775"/>
      <c r="BM59" s="775"/>
      <c r="BN59" s="775"/>
      <c r="BO59" s="775">
        <f t="shared" si="33"/>
        <v>0</v>
      </c>
      <c r="BP59" s="775">
        <f t="shared" si="34"/>
        <v>0</v>
      </c>
      <c r="BQ59" s="775">
        <f t="shared" ca="1" si="10"/>
        <v>0</v>
      </c>
      <c r="BR59" s="775">
        <f t="shared" ca="1" si="35"/>
        <v>1.5</v>
      </c>
    </row>
    <row r="60" spans="1:70">
      <c r="A60" s="767" t="str">
        <f t="shared" ca="1" si="12"/>
        <v/>
      </c>
      <c r="B60" s="234" t="s">
        <v>1038</v>
      </c>
      <c r="C60" s="188" t="str">
        <f ca="1">IF(F60=0,"",COUNTIF($F$6:$F60,"&gt;0"))</f>
        <v/>
      </c>
      <c r="D60" s="778" t="str">
        <f>VLOOKUP($B60,dongia1,DG!$C$5,)</f>
        <v>FCO 24kV - 100A</v>
      </c>
      <c r="E60" s="555" t="str">
        <f>VLOOKUP($B60,dongia1,DG!$D$5,)</f>
        <v>cái</v>
      </c>
      <c r="F60" s="779">
        <f t="shared" ca="1" si="37"/>
        <v>0</v>
      </c>
      <c r="G60" s="775">
        <f t="shared" ca="1" si="14"/>
        <v>0</v>
      </c>
      <c r="H60" s="775">
        <f ca="1">SUMIF(CT_tram!$B$33:$G$3559,kl!B60,CT_tram!$G$33:$G$3559)</f>
        <v>0</v>
      </c>
      <c r="I60" s="775">
        <f ca="1">SUMIF(CT_tram!$B$34:$G$115,$B60,CT_tram!$G$34:$G$115)</f>
        <v>0</v>
      </c>
      <c r="J60" s="775">
        <f ca="1">SUMIF(CT_tram!$B$122:$G$204,$B60,CT_tram!$G$122:$G$204)</f>
        <v>0</v>
      </c>
      <c r="K60" s="775">
        <f ca="1">SUMIF(CT_tram!$B$211:$G$293,$B60,CT_tram!$G$211:$G$293)</f>
        <v>0</v>
      </c>
      <c r="L60" s="775">
        <f ca="1">SUMIF(CT_tram!$B$300:$G$374,$B60,CT_tram!$G$300:$G$374)</f>
        <v>0</v>
      </c>
      <c r="M60" s="775">
        <f ca="1">SUMIF(CT_tram!$B$381:$G$471,$B60,CT_tram!$G$381:$G$471)</f>
        <v>0</v>
      </c>
      <c r="N60" s="775">
        <f ca="1">SUMIF(CT_tram!$B$478:$G$560,$B60,CT_tram!$G$478:$G$560)</f>
        <v>0</v>
      </c>
      <c r="O60" s="775">
        <f ca="1">SUMIF(CT_tram!$B$567:$G$653,$B60,CT_tram!$G$567:$G$653)</f>
        <v>0</v>
      </c>
      <c r="P60" s="775">
        <f ca="1">SUMIF(CT_tram!$B$661:$G$738,$B60,CT_tram!$G$661:$G$738)</f>
        <v>0</v>
      </c>
      <c r="Q60" s="775">
        <f ca="1">SUMIF(CT_tram!$B$745:$G$899,$B60,CT_tram!$G$745:$G$899)</f>
        <v>0</v>
      </c>
      <c r="R60" s="775">
        <f ca="1">SUMIF(CT_tram!$B$907:$G$995,$B60,CT_tram!$G$907:$G$995)</f>
        <v>0</v>
      </c>
      <c r="S60" s="775"/>
      <c r="T60" s="775">
        <f ca="1">SUMIF(CT_tram!$B$1004:$G$1097,B60,CT_tram!$G$1004:$G$1097)</f>
        <v>0</v>
      </c>
      <c r="U60" s="775"/>
      <c r="V60" s="775">
        <f ca="1">SUMIF(CT_tram!$B$1226:$G$1352,kl!B60,CT_tram!$G$1226:$G$1352)</f>
        <v>0</v>
      </c>
      <c r="W60" s="780">
        <f ca="1">SUMIF(CT_tram!$B$1105:$G$1219,kl!B60,CT_tram!$G$1105:$G$1219)</f>
        <v>0</v>
      </c>
      <c r="X60" s="775">
        <f ca="1">SUMIF(CT_tram!$B$1359:$G$1504,kl!B60,CT_tram!$G$1359:$G$1504)</f>
        <v>0</v>
      </c>
      <c r="Y60" s="775">
        <f ca="1">SUMIF(CT_tram!$B$1511:$G$1625,kl!B60,CT_tram!$G$1511:$G$1625)</f>
        <v>0</v>
      </c>
      <c r="Z60" s="775">
        <f ca="1">SUMIF(CT_tram!$B$1632:$G$2211,kl!B60,CT_tram!$G$1632:$G$2211)</f>
        <v>0</v>
      </c>
      <c r="AA60" s="775">
        <f ca="1">SUMIF(CT_tram!$B$2243:$G$2384,kl!B60,CT_tram!$G$2243:$G$2384)</f>
        <v>0</v>
      </c>
      <c r="AB60" s="775">
        <f ca="1">SUMIF(CT_tram!$B$2391:$G$2563,kl!B60,CT_tram!$G$2391:$G$2563)</f>
        <v>0</v>
      </c>
      <c r="AC60" s="775">
        <f>chitiet!H2255</f>
        <v>0</v>
      </c>
      <c r="AD60" s="775"/>
      <c r="AE60" s="775"/>
      <c r="AF60" s="775"/>
      <c r="AG60" s="775"/>
      <c r="AH60" s="775"/>
      <c r="AI60" s="775"/>
      <c r="AJ60" s="775"/>
      <c r="AK60" s="775"/>
      <c r="AL60" s="775">
        <f ca="1">SUMIF('Cap ngam'!B$16:G$400,kl!$B60,'Cap ngam'!G$16:G$400)</f>
        <v>0</v>
      </c>
      <c r="AM60" s="776">
        <v>1.5</v>
      </c>
      <c r="AN60" s="775">
        <f t="shared" ca="1" si="15"/>
        <v>0</v>
      </c>
      <c r="AO60" s="775">
        <f t="shared" ca="1" si="16"/>
        <v>0</v>
      </c>
      <c r="AP60" s="775">
        <f t="shared" ca="1" si="17"/>
        <v>0</v>
      </c>
      <c r="AQ60" s="775">
        <f t="shared" ca="1" si="18"/>
        <v>0</v>
      </c>
      <c r="AR60" s="775">
        <f t="shared" ca="1" si="19"/>
        <v>0</v>
      </c>
      <c r="AS60" s="775">
        <f t="shared" ca="1" si="20"/>
        <v>0</v>
      </c>
      <c r="AT60" s="775">
        <f t="shared" ca="1" si="21"/>
        <v>0</v>
      </c>
      <c r="AU60" s="775">
        <f t="shared" ca="1" si="22"/>
        <v>0</v>
      </c>
      <c r="AV60" s="775">
        <f t="shared" ca="1" si="23"/>
        <v>0</v>
      </c>
      <c r="AW60" s="775">
        <f t="shared" ca="1" si="24"/>
        <v>0</v>
      </c>
      <c r="AX60" s="775">
        <f t="shared" si="25"/>
        <v>0</v>
      </c>
      <c r="AY60" s="775">
        <f t="shared" ca="1" si="26"/>
        <v>0</v>
      </c>
      <c r="AZ60" s="775">
        <f t="shared" si="27"/>
        <v>0</v>
      </c>
      <c r="BA60" s="775">
        <f t="shared" ca="1" si="1"/>
        <v>0</v>
      </c>
      <c r="BB60" s="775">
        <f t="shared" ca="1" si="2"/>
        <v>0</v>
      </c>
      <c r="BC60" s="775">
        <f t="shared" ca="1" si="3"/>
        <v>0</v>
      </c>
      <c r="BD60" s="775">
        <f t="shared" ca="1" si="4"/>
        <v>0</v>
      </c>
      <c r="BE60" s="775">
        <f t="shared" ca="1" si="5"/>
        <v>0</v>
      </c>
      <c r="BF60" s="775">
        <f t="shared" ca="1" si="6"/>
        <v>0</v>
      </c>
      <c r="BG60" s="775">
        <f t="shared" ca="1" si="7"/>
        <v>0</v>
      </c>
      <c r="BH60" s="775"/>
      <c r="BI60" s="775"/>
      <c r="BJ60" s="775"/>
      <c r="BK60" s="775"/>
      <c r="BL60" s="775"/>
      <c r="BM60" s="775"/>
      <c r="BN60" s="775"/>
      <c r="BO60" s="775">
        <f t="shared" si="33"/>
        <v>0</v>
      </c>
      <c r="BP60" s="775">
        <f t="shared" si="34"/>
        <v>0</v>
      </c>
      <c r="BQ60" s="775">
        <f t="shared" ca="1" si="10"/>
        <v>0</v>
      </c>
      <c r="BR60" s="775">
        <f t="shared" ca="1" si="35"/>
        <v>0</v>
      </c>
    </row>
    <row r="61" spans="1:70">
      <c r="A61" s="767" t="str">
        <f t="shared" ca="1" si="12"/>
        <v>X</v>
      </c>
      <c r="B61" s="234" t="s">
        <v>1742</v>
      </c>
      <c r="C61" s="188">
        <f ca="1">IF(F61=0,"",COUNTIF($F$6:$F61,"&gt;0"))</f>
        <v>6</v>
      </c>
      <c r="D61" s="778" t="str">
        <f>VLOOKUP($B61,dongia1,DG!$C$5,)</f>
        <v>FCO 24kV - 100A</v>
      </c>
      <c r="E61" s="555" t="str">
        <f>VLOOKUP($B61,dongia1,DG!$D$5,)</f>
        <v>cái</v>
      </c>
      <c r="F61" s="975">
        <f ca="1">G61+H61</f>
        <v>6</v>
      </c>
      <c r="G61" s="976">
        <f ca="1">SUM(AC61:AL61)</f>
        <v>3</v>
      </c>
      <c r="H61" s="976">
        <f ca="1">SUMIF(CT_tram!$B$33:$G$3559,kl!B61,CT_tram!$G$33:$G$3559)</f>
        <v>3</v>
      </c>
      <c r="I61" s="775">
        <f ca="1">SUMIF(CT_tram!$B$34:$G$115,$B61,CT_tram!$G$34:$G$115)</f>
        <v>0</v>
      </c>
      <c r="J61" s="775">
        <f ca="1">SUMIF(CT_tram!$B$122:$G$204,$B61,CT_tram!$G$122:$G$204)</f>
        <v>0</v>
      </c>
      <c r="K61" s="775">
        <f ca="1">SUMIF(CT_tram!$B$211:$G$293,$B61,CT_tram!$G$211:$G$293)</f>
        <v>0</v>
      </c>
      <c r="L61" s="775">
        <f ca="1">SUMIF(CT_tram!$B$300:$G$374,$B61,CT_tram!$G$300:$G$374)</f>
        <v>0</v>
      </c>
      <c r="M61" s="775">
        <f ca="1">SUMIF(CT_tram!$B$381:$G$471,$B61,CT_tram!$G$381:$G$471)</f>
        <v>0</v>
      </c>
      <c r="N61" s="775">
        <f ca="1">SUMIF(CT_tram!$B$478:$G$560,$B61,CT_tram!$G$478:$G$560)</f>
        <v>0</v>
      </c>
      <c r="O61" s="775">
        <f ca="1">SUMIF(CT_tram!$B$567:$G$653,$B61,CT_tram!$G$567:$G$653)</f>
        <v>0</v>
      </c>
      <c r="P61" s="775">
        <f ca="1">SUMIF(CT_tram!$B$661:$G$738,$B61,CT_tram!$G$661:$G$738)</f>
        <v>0</v>
      </c>
      <c r="Q61" s="775">
        <f ca="1">SUMIF(CT_tram!$B$745:$G$899,$B61,CT_tram!$G$745:$G$899)</f>
        <v>0</v>
      </c>
      <c r="R61" s="775">
        <f ca="1">SUMIF(CT_tram!$B$907:$G$995,$B61,CT_tram!$G$907:$G$995)</f>
        <v>0</v>
      </c>
      <c r="S61" s="775"/>
      <c r="T61" s="775">
        <f ca="1">SUMIF(CT_tram!$B$1004:$G$1097,B61,CT_tram!$G$1004:$G$1097)</f>
        <v>0</v>
      </c>
      <c r="U61" s="775"/>
      <c r="V61" s="775">
        <f ca="1">SUMIF(CT_tram!$B$1226:$G$1352,kl!B61,CT_tram!$G$1226:$G$1352)</f>
        <v>0</v>
      </c>
      <c r="W61" s="780">
        <f ca="1">SUMIF(CT_tram!$B$1105:$G$1219,kl!B61,CT_tram!$G$1105:$G$1219)</f>
        <v>0</v>
      </c>
      <c r="X61" s="775">
        <f ca="1">SUMIF(CT_tram!$B$1359:$G$1504,kl!B61,CT_tram!$G$1359:$G$1504)</f>
        <v>0</v>
      </c>
      <c r="Y61" s="775">
        <f ca="1">SUMIF(CT_tram!$B$1511:$G$1625,kl!B61,CT_tram!$G$1511:$G$1625)</f>
        <v>0</v>
      </c>
      <c r="Z61" s="775">
        <f ca="1">SUMIF(CT_tram!$B$1632:$G$2211,kl!B61,CT_tram!$G$1632:$G$2211)</f>
        <v>0</v>
      </c>
      <c r="AA61" s="775">
        <f ca="1">SUMIF(CT_tram!$B$2243:$G$2384,kl!B61,CT_tram!$G$2243:$G$2384)</f>
        <v>0</v>
      </c>
      <c r="AB61" s="775">
        <f ca="1">SUMIF(CT_tram!$B$2391:$G$2563,kl!B61,CT_tram!$G$2391:$G$2563)</f>
        <v>0</v>
      </c>
      <c r="AC61" s="775">
        <f>chitiet!H2256</f>
        <v>0</v>
      </c>
      <c r="AD61" s="775">
        <f>chitiet!H2236</f>
        <v>0</v>
      </c>
      <c r="AE61" s="775">
        <f>chitiet!K2266</f>
        <v>3</v>
      </c>
      <c r="AF61" s="775">
        <f>chitiet!H2302</f>
        <v>0</v>
      </c>
      <c r="AG61" s="775"/>
      <c r="AH61" s="775"/>
      <c r="AI61" s="775"/>
      <c r="AJ61" s="775"/>
      <c r="AK61" s="775"/>
      <c r="AL61" s="775">
        <f ca="1">SUMIF('Cap ngam'!B$16:G$400,kl!$B61,'Cap ngam'!G$16:G$400)</f>
        <v>0</v>
      </c>
      <c r="AM61" s="776">
        <v>1.5</v>
      </c>
      <c r="AN61" s="775">
        <f t="shared" ca="1" si="15"/>
        <v>0</v>
      </c>
      <c r="AO61" s="775">
        <f t="shared" ca="1" si="16"/>
        <v>0</v>
      </c>
      <c r="AP61" s="775">
        <f t="shared" ca="1" si="17"/>
        <v>0</v>
      </c>
      <c r="AQ61" s="775">
        <f t="shared" ca="1" si="18"/>
        <v>0</v>
      </c>
      <c r="AR61" s="775">
        <f t="shared" ca="1" si="19"/>
        <v>0</v>
      </c>
      <c r="AS61" s="775">
        <f t="shared" ca="1" si="20"/>
        <v>0</v>
      </c>
      <c r="AT61" s="775">
        <f t="shared" ca="1" si="21"/>
        <v>0</v>
      </c>
      <c r="AU61" s="775">
        <f t="shared" ca="1" si="22"/>
        <v>0</v>
      </c>
      <c r="AV61" s="775">
        <f t="shared" ca="1" si="23"/>
        <v>0</v>
      </c>
      <c r="AW61" s="775">
        <f t="shared" ca="1" si="24"/>
        <v>0</v>
      </c>
      <c r="AX61" s="775">
        <f t="shared" si="25"/>
        <v>0</v>
      </c>
      <c r="AY61" s="775">
        <f t="shared" ca="1" si="26"/>
        <v>0</v>
      </c>
      <c r="AZ61" s="775">
        <f t="shared" si="27"/>
        <v>0</v>
      </c>
      <c r="BA61" s="775">
        <f t="shared" ca="1" si="1"/>
        <v>0</v>
      </c>
      <c r="BB61" s="775">
        <f t="shared" ca="1" si="2"/>
        <v>0</v>
      </c>
      <c r="BC61" s="775">
        <f t="shared" ca="1" si="3"/>
        <v>0</v>
      </c>
      <c r="BD61" s="775">
        <f t="shared" ca="1" si="4"/>
        <v>0</v>
      </c>
      <c r="BE61" s="775">
        <f t="shared" ca="1" si="5"/>
        <v>0</v>
      </c>
      <c r="BF61" s="775">
        <f t="shared" ca="1" si="6"/>
        <v>0</v>
      </c>
      <c r="BG61" s="775">
        <f t="shared" ca="1" si="7"/>
        <v>0</v>
      </c>
      <c r="BH61" s="775"/>
      <c r="BI61" s="775"/>
      <c r="BJ61" s="775"/>
      <c r="BK61" s="775"/>
      <c r="BL61" s="775"/>
      <c r="BM61" s="775"/>
      <c r="BN61" s="775"/>
      <c r="BO61" s="775">
        <f t="shared" si="33"/>
        <v>0</v>
      </c>
      <c r="BP61" s="775">
        <f t="shared" si="34"/>
        <v>0</v>
      </c>
      <c r="BQ61" s="775">
        <f t="shared" ca="1" si="10"/>
        <v>0</v>
      </c>
      <c r="BR61" s="775">
        <f t="shared" ca="1" si="35"/>
        <v>4.5</v>
      </c>
    </row>
    <row r="62" spans="1:70">
      <c r="A62" s="767" t="str">
        <f t="shared" ca="1" si="12"/>
        <v/>
      </c>
      <c r="B62" s="234" t="s">
        <v>4844</v>
      </c>
      <c r="C62" s="188" t="str">
        <f ca="1">IF(F62=0,"",COUNTIF($F$6:$F62,"&gt;0"))</f>
        <v/>
      </c>
      <c r="D62" s="778" t="str">
        <f>VLOOKUP($B62,dongia1,DG!$C$5,)</f>
        <v xml:space="preserve">FCO 24KV - 200A </v>
      </c>
      <c r="E62" s="555" t="str">
        <f>VLOOKUP($B62,dongia1,DG!$D$5,)</f>
        <v>cái</v>
      </c>
      <c r="F62" s="779">
        <f ca="1">G62+H62</f>
        <v>0</v>
      </c>
      <c r="G62" s="775">
        <f ca="1">SUM(AC62:AL62)</f>
        <v>0</v>
      </c>
      <c r="H62" s="775">
        <f ca="1">SUMIF(CT_tram!$B$33:$G$3559,kl!B62,CT_tram!$G$33:$G$3559)</f>
        <v>0</v>
      </c>
      <c r="I62" s="775">
        <f ca="1">SUMIF(CT_tram!$B$34:$G$115,$B62,CT_tram!$G$34:$G$115)</f>
        <v>0</v>
      </c>
      <c r="J62" s="775">
        <f ca="1">SUMIF(CT_tram!$B$122:$G$204,$B62,CT_tram!$G$122:$G$204)</f>
        <v>0</v>
      </c>
      <c r="K62" s="775">
        <f ca="1">SUMIF(CT_tram!$B$211:$G$293,$B62,CT_tram!$G$211:$G$293)</f>
        <v>0</v>
      </c>
      <c r="L62" s="775">
        <f ca="1">SUMIF(CT_tram!$B$300:$G$374,$B62,CT_tram!$G$300:$G$374)</f>
        <v>0</v>
      </c>
      <c r="M62" s="775">
        <f ca="1">SUMIF(CT_tram!$B$381:$G$471,$B62,CT_tram!$G$381:$G$471)</f>
        <v>0</v>
      </c>
      <c r="N62" s="775">
        <f ca="1">SUMIF(CT_tram!$B$478:$G$560,$B62,CT_tram!$G$478:$G$560)</f>
        <v>0</v>
      </c>
      <c r="O62" s="775">
        <f ca="1">SUMIF(CT_tram!$B$567:$G$653,$B62,CT_tram!$G$567:$G$653)</f>
        <v>0</v>
      </c>
      <c r="P62" s="775">
        <f ca="1">SUMIF(CT_tram!$B$661:$G$738,$B62,CT_tram!$G$661:$G$738)</f>
        <v>0</v>
      </c>
      <c r="Q62" s="775">
        <f ca="1">SUMIF(CT_tram!$B$745:$G$899,$B62,CT_tram!$G$745:$G$899)</f>
        <v>0</v>
      </c>
      <c r="R62" s="775">
        <f ca="1">SUMIF(CT_tram!$B$907:$G$995,$B62,CT_tram!$G$907:$G$995)</f>
        <v>0</v>
      </c>
      <c r="S62" s="775"/>
      <c r="T62" s="775">
        <f ca="1">SUMIF(CT_tram!$B$1004:$G$1097,B62,CT_tram!$G$1004:$G$1097)</f>
        <v>0</v>
      </c>
      <c r="U62" s="775"/>
      <c r="V62" s="775">
        <f ca="1">SUMIF(CT_tram!$B$1226:$G$1352,kl!B62,CT_tram!$G$1226:$G$1352)</f>
        <v>0</v>
      </c>
      <c r="W62" s="780">
        <f ca="1">SUMIF(CT_tram!$B$1105:$G$1219,kl!B62,CT_tram!$G$1105:$G$1219)</f>
        <v>0</v>
      </c>
      <c r="X62" s="775">
        <f ca="1">SUMIF(CT_tram!$B$1359:$G$1504,kl!B62,CT_tram!$G$1359:$G$1504)</f>
        <v>0</v>
      </c>
      <c r="Y62" s="775">
        <f ca="1">SUMIF(CT_tram!$B$1511:$G$1625,kl!B62,CT_tram!$G$1511:$G$1625)</f>
        <v>0</v>
      </c>
      <c r="Z62" s="775">
        <f ca="1">SUMIF(CT_tram!$B$1632:$G$2211,kl!B62,CT_tram!$G$1632:$G$2211)</f>
        <v>0</v>
      </c>
      <c r="AA62" s="775">
        <f ca="1">SUMIF(CT_tram!$B$2243:$G$2384,kl!B62,CT_tram!$G$2243:$G$2384)</f>
        <v>0</v>
      </c>
      <c r="AB62" s="775">
        <f ca="1">SUMIF(CT_tram!$B$2391:$G$2563,kl!B62,CT_tram!$G$2391:$G$2563)</f>
        <v>0</v>
      </c>
      <c r="AC62" s="775"/>
      <c r="AD62" s="775"/>
      <c r="AE62" s="775"/>
      <c r="AF62" s="775"/>
      <c r="AG62" s="775"/>
      <c r="AH62" s="775"/>
      <c r="AI62" s="775"/>
      <c r="AJ62" s="775"/>
      <c r="AK62" s="775"/>
      <c r="AL62" s="775">
        <f ca="1">SUMIF('Cap ngam'!B$16:G$400,kl!$B62,'Cap ngam'!G$16:G$400)</f>
        <v>0</v>
      </c>
      <c r="AM62" s="776">
        <v>2.5</v>
      </c>
      <c r="AN62" s="775">
        <f t="shared" ref="AN62:AW63" ca="1" si="38">I62*$AM62</f>
        <v>0</v>
      </c>
      <c r="AO62" s="775">
        <f t="shared" ca="1" si="38"/>
        <v>0</v>
      </c>
      <c r="AP62" s="775">
        <f t="shared" ca="1" si="38"/>
        <v>0</v>
      </c>
      <c r="AQ62" s="775">
        <f t="shared" ca="1" si="38"/>
        <v>0</v>
      </c>
      <c r="AR62" s="775">
        <f t="shared" ca="1" si="38"/>
        <v>0</v>
      </c>
      <c r="AS62" s="775">
        <f t="shared" ca="1" si="38"/>
        <v>0</v>
      </c>
      <c r="AT62" s="775">
        <f t="shared" ca="1" si="38"/>
        <v>0</v>
      </c>
      <c r="AU62" s="775">
        <f t="shared" ca="1" si="38"/>
        <v>0</v>
      </c>
      <c r="AV62" s="775">
        <f t="shared" ca="1" si="38"/>
        <v>0</v>
      </c>
      <c r="AW62" s="775">
        <f t="shared" ca="1" si="38"/>
        <v>0</v>
      </c>
      <c r="AX62" s="775">
        <f t="shared" si="25"/>
        <v>0</v>
      </c>
      <c r="AY62" s="775">
        <f t="shared" ca="1" si="26"/>
        <v>0</v>
      </c>
      <c r="AZ62" s="775">
        <f t="shared" si="27"/>
        <v>0</v>
      </c>
      <c r="BA62" s="775">
        <f t="shared" ca="1" si="1"/>
        <v>0</v>
      </c>
      <c r="BB62" s="775">
        <f t="shared" ca="1" si="2"/>
        <v>0</v>
      </c>
      <c r="BC62" s="775">
        <f t="shared" ca="1" si="3"/>
        <v>0</v>
      </c>
      <c r="BD62" s="775">
        <f t="shared" ca="1" si="4"/>
        <v>0</v>
      </c>
      <c r="BE62" s="775">
        <f t="shared" ca="1" si="5"/>
        <v>0</v>
      </c>
      <c r="BF62" s="775">
        <f t="shared" ca="1" si="6"/>
        <v>0</v>
      </c>
      <c r="BG62" s="775">
        <f t="shared" ca="1" si="7"/>
        <v>0</v>
      </c>
      <c r="BH62" s="775"/>
      <c r="BI62" s="775"/>
      <c r="BJ62" s="775"/>
      <c r="BK62" s="775"/>
      <c r="BL62" s="775"/>
      <c r="BM62" s="775"/>
      <c r="BN62" s="775"/>
      <c r="BO62" s="775">
        <f>AJ62*$AM62</f>
        <v>0</v>
      </c>
      <c r="BP62" s="775">
        <f>AK62*$AM62</f>
        <v>0</v>
      </c>
      <c r="BQ62" s="775">
        <f t="shared" ca="1" si="10"/>
        <v>0</v>
      </c>
      <c r="BR62" s="775">
        <f t="shared" ca="1" si="35"/>
        <v>0</v>
      </c>
    </row>
    <row r="63" spans="1:70">
      <c r="A63" s="767" t="str">
        <f t="shared" ca="1" si="12"/>
        <v/>
      </c>
      <c r="B63" s="234" t="s">
        <v>4845</v>
      </c>
      <c r="C63" s="188" t="str">
        <f ca="1">IF(F63=0,"",COUNTIF($F$6:$F63,"&gt;0"))</f>
        <v/>
      </c>
      <c r="D63" s="778" t="str">
        <f>VLOOKUP($B63,dongia1,DG!$C$5,)</f>
        <v xml:space="preserve">FCO 24KV - 200A </v>
      </c>
      <c r="E63" s="555" t="str">
        <f>VLOOKUP($B63,dongia1,DG!$D$5,)</f>
        <v>cái</v>
      </c>
      <c r="F63" s="975">
        <f ca="1">G63+H63</f>
        <v>0</v>
      </c>
      <c r="G63" s="976">
        <f ca="1">SUM(AC63:AL63)</f>
        <v>0</v>
      </c>
      <c r="H63" s="976">
        <f ca="1">SUMIF(CT_tram!$B$33:$G$3559,kl!B63,CT_tram!$G$33:$G$3559)</f>
        <v>0</v>
      </c>
      <c r="I63" s="775">
        <f ca="1">SUMIF(CT_tram!$B$34:$G$115,$B63,CT_tram!$G$34:$G$115)</f>
        <v>0</v>
      </c>
      <c r="J63" s="775">
        <f ca="1">SUMIF(CT_tram!$B$122:$G$204,$B63,CT_tram!$G$122:$G$204)</f>
        <v>0</v>
      </c>
      <c r="K63" s="775">
        <f ca="1">SUMIF(CT_tram!$B$211:$G$293,$B63,CT_tram!$G$211:$G$293)</f>
        <v>0</v>
      </c>
      <c r="L63" s="775">
        <f ca="1">SUMIF(CT_tram!$B$300:$G$374,$B63,CT_tram!$G$300:$G$374)</f>
        <v>0</v>
      </c>
      <c r="M63" s="775">
        <f ca="1">SUMIF(CT_tram!$B$381:$G$471,$B63,CT_tram!$G$381:$G$471)</f>
        <v>0</v>
      </c>
      <c r="N63" s="775">
        <f ca="1">SUMIF(CT_tram!$B$478:$G$560,$B63,CT_tram!$G$478:$G$560)</f>
        <v>0</v>
      </c>
      <c r="O63" s="775">
        <f ca="1">SUMIF(CT_tram!$B$567:$G$653,$B63,CT_tram!$G$567:$G$653)</f>
        <v>0</v>
      </c>
      <c r="P63" s="775">
        <f ca="1">SUMIF(CT_tram!$B$661:$G$738,$B63,CT_tram!$G$661:$G$738)</f>
        <v>0</v>
      </c>
      <c r="Q63" s="775">
        <f ca="1">SUMIF(CT_tram!$B$745:$G$899,$B63,CT_tram!$G$745:$G$899)</f>
        <v>0</v>
      </c>
      <c r="R63" s="775">
        <f ca="1">SUMIF(CT_tram!$B$907:$G$995,$B63,CT_tram!$G$907:$G$995)</f>
        <v>0</v>
      </c>
      <c r="S63" s="775"/>
      <c r="T63" s="775">
        <f ca="1">SUMIF(CT_tram!$B$1004:$G$1097,B63,CT_tram!$G$1004:$G$1097)</f>
        <v>0</v>
      </c>
      <c r="U63" s="775"/>
      <c r="V63" s="775">
        <f ca="1">SUMIF(CT_tram!$B$1226:$G$1352,kl!B63,CT_tram!$G$1226:$G$1352)</f>
        <v>0</v>
      </c>
      <c r="W63" s="780">
        <f ca="1">SUMIF(CT_tram!$B$1105:$G$1219,kl!B63,CT_tram!$G$1105:$G$1219)</f>
        <v>0</v>
      </c>
      <c r="X63" s="775">
        <f ca="1">SUMIF(CT_tram!$B$1359:$G$1504,kl!B63,CT_tram!$G$1359:$G$1504)</f>
        <v>0</v>
      </c>
      <c r="Y63" s="775">
        <f ca="1">SUMIF(CT_tram!$B$1511:$G$1625,kl!B63,CT_tram!$G$1511:$G$1625)</f>
        <v>0</v>
      </c>
      <c r="Z63" s="775">
        <f ca="1">SUMIF(CT_tram!$B$1632:$G$2211,kl!B63,CT_tram!$G$1632:$G$2211)</f>
        <v>0</v>
      </c>
      <c r="AA63" s="775">
        <f ca="1">SUMIF(CT_tram!$B$2243:$G$2384,kl!B63,CT_tram!$G$2243:$G$2384)</f>
        <v>0</v>
      </c>
      <c r="AB63" s="775">
        <f ca="1">SUMIF(CT_tram!$B$2391:$G$2563,kl!B63,CT_tram!$G$2391:$G$2563)</f>
        <v>0</v>
      </c>
      <c r="AC63" s="775">
        <f>chitiet!H2255</f>
        <v>0</v>
      </c>
      <c r="AD63" s="775">
        <f>chitiet!H2236</f>
        <v>0</v>
      </c>
      <c r="AE63" s="775">
        <f>chitiet!H2265</f>
        <v>0</v>
      </c>
      <c r="AF63" s="775">
        <f>chitiet!L2304</f>
        <v>0</v>
      </c>
      <c r="AG63" s="775"/>
      <c r="AH63" s="775"/>
      <c r="AI63" s="775"/>
      <c r="AJ63" s="775"/>
      <c r="AK63" s="775"/>
      <c r="AL63" s="775">
        <f ca="1">SUMIF('Cap ngam'!B$16:G$400,kl!$B63,'Cap ngam'!G$16:G$400)</f>
        <v>0</v>
      </c>
      <c r="AM63" s="776">
        <v>3.5</v>
      </c>
      <c r="AN63" s="775">
        <f t="shared" ca="1" si="38"/>
        <v>0</v>
      </c>
      <c r="AO63" s="775">
        <f t="shared" ca="1" si="38"/>
        <v>0</v>
      </c>
      <c r="AP63" s="775">
        <f t="shared" ca="1" si="38"/>
        <v>0</v>
      </c>
      <c r="AQ63" s="775">
        <f t="shared" ca="1" si="38"/>
        <v>0</v>
      </c>
      <c r="AR63" s="775">
        <f t="shared" ca="1" si="38"/>
        <v>0</v>
      </c>
      <c r="AS63" s="775">
        <f t="shared" ca="1" si="38"/>
        <v>0</v>
      </c>
      <c r="AT63" s="775">
        <f t="shared" ca="1" si="38"/>
        <v>0</v>
      </c>
      <c r="AU63" s="775">
        <f t="shared" ca="1" si="38"/>
        <v>0</v>
      </c>
      <c r="AV63" s="775">
        <f t="shared" ca="1" si="38"/>
        <v>0</v>
      </c>
      <c r="AW63" s="775">
        <f t="shared" ca="1" si="38"/>
        <v>0</v>
      </c>
      <c r="AX63" s="775">
        <f t="shared" si="25"/>
        <v>0</v>
      </c>
      <c r="AY63" s="775">
        <f t="shared" ca="1" si="26"/>
        <v>0</v>
      </c>
      <c r="AZ63" s="775">
        <f t="shared" si="27"/>
        <v>0</v>
      </c>
      <c r="BA63" s="775">
        <f t="shared" ca="1" si="1"/>
        <v>0</v>
      </c>
      <c r="BB63" s="775">
        <f t="shared" ca="1" si="2"/>
        <v>0</v>
      </c>
      <c r="BC63" s="775">
        <f t="shared" ca="1" si="3"/>
        <v>0</v>
      </c>
      <c r="BD63" s="775">
        <f t="shared" ca="1" si="4"/>
        <v>0</v>
      </c>
      <c r="BE63" s="775">
        <f t="shared" ca="1" si="5"/>
        <v>0</v>
      </c>
      <c r="BF63" s="775">
        <f t="shared" ca="1" si="6"/>
        <v>0</v>
      </c>
      <c r="BG63" s="775">
        <f t="shared" ca="1" si="7"/>
        <v>0</v>
      </c>
      <c r="BH63" s="775"/>
      <c r="BI63" s="775"/>
      <c r="BJ63" s="775"/>
      <c r="BK63" s="775"/>
      <c r="BL63" s="775"/>
      <c r="BM63" s="775"/>
      <c r="BN63" s="775"/>
      <c r="BO63" s="775">
        <f>AJ63*$AM63</f>
        <v>0</v>
      </c>
      <c r="BP63" s="775">
        <f>AK63*$AM63</f>
        <v>0</v>
      </c>
      <c r="BQ63" s="775">
        <f t="shared" ca="1" si="10"/>
        <v>0</v>
      </c>
      <c r="BR63" s="775">
        <f t="shared" ca="1" si="35"/>
        <v>0</v>
      </c>
    </row>
    <row r="64" spans="1:70">
      <c r="A64" s="767" t="str">
        <f t="shared" ca="1" si="12"/>
        <v/>
      </c>
      <c r="B64" s="234" t="s">
        <v>1741</v>
      </c>
      <c r="C64" s="188" t="str">
        <f ca="1">IF(F64=0,"",COUNTIF($F$6:$F64,"&gt;0"))</f>
        <v/>
      </c>
      <c r="D64" s="778" t="str">
        <f>VLOOKUP($B64,dongia1,DG!$C$5,)</f>
        <v>LBFCO-24KV-100A</v>
      </c>
      <c r="E64" s="555" t="str">
        <f>VLOOKUP($B64,dongia1,DG!$D$5,)</f>
        <v>cái</v>
      </c>
      <c r="F64" s="779">
        <f ca="1">G64+H64</f>
        <v>0</v>
      </c>
      <c r="G64" s="775">
        <f ca="1">SUM(AC64:AL64)</f>
        <v>0</v>
      </c>
      <c r="H64" s="775">
        <f ca="1">SUMIF(CT_tram!$B$33:$G$3559,kl!B64,CT_tram!$G$33:$G$3559)</f>
        <v>0</v>
      </c>
      <c r="I64" s="775">
        <f ca="1">SUMIF(CT_tram!$B$34:$G$115,$B64,CT_tram!$G$34:$G$115)</f>
        <v>0</v>
      </c>
      <c r="J64" s="775">
        <f ca="1">SUMIF(CT_tram!$B$122:$G$204,$B64,CT_tram!$G$122:$G$204)</f>
        <v>0</v>
      </c>
      <c r="K64" s="775">
        <f ca="1">SUMIF(CT_tram!$B$211:$G$293,$B64,CT_tram!$G$211:$G$293)</f>
        <v>0</v>
      </c>
      <c r="L64" s="775">
        <f ca="1">SUMIF(CT_tram!$B$300:$G$374,$B64,CT_tram!$G$300:$G$374)</f>
        <v>0</v>
      </c>
      <c r="M64" s="775">
        <f ca="1">SUMIF(CT_tram!$B$381:$G$471,$B64,CT_tram!$G$381:$G$471)</f>
        <v>0</v>
      </c>
      <c r="N64" s="775">
        <f ca="1">SUMIF(CT_tram!$B$478:$G$560,$B64,CT_tram!$G$478:$G$560)</f>
        <v>0</v>
      </c>
      <c r="O64" s="775">
        <f ca="1">SUMIF(CT_tram!$B$567:$G$653,$B64,CT_tram!$G$567:$G$653)</f>
        <v>0</v>
      </c>
      <c r="P64" s="775">
        <f ca="1">SUMIF(CT_tram!$B$661:$G$738,$B64,CT_tram!$G$661:$G$738)</f>
        <v>0</v>
      </c>
      <c r="Q64" s="775">
        <f ca="1">SUMIF(CT_tram!$B$745:$G$899,$B64,CT_tram!$G$745:$G$899)</f>
        <v>0</v>
      </c>
      <c r="R64" s="775">
        <f ca="1">SUMIF(CT_tram!$B$907:$G$995,$B64,CT_tram!$G$907:$G$995)</f>
        <v>0</v>
      </c>
      <c r="S64" s="775"/>
      <c r="T64" s="775">
        <f ca="1">SUMIF(CT_tram!$B$1004:$G$1097,B64,CT_tram!$G$1004:$G$1097)</f>
        <v>0</v>
      </c>
      <c r="U64" s="775"/>
      <c r="V64" s="775">
        <f ca="1">SUMIF(CT_tram!$B$1226:$G$1352,kl!B64,CT_tram!$G$1226:$G$1352)</f>
        <v>0</v>
      </c>
      <c r="W64" s="780">
        <f ca="1">SUMIF(CT_tram!$B$1105:$G$1219,kl!B64,CT_tram!$G$1105:$G$1219)</f>
        <v>0</v>
      </c>
      <c r="X64" s="775">
        <f ca="1">SUMIF(CT_tram!$B$1359:$G$1504,kl!B64,CT_tram!$G$1359:$G$1504)</f>
        <v>0</v>
      </c>
      <c r="Y64" s="775">
        <f ca="1">SUMIF(CT_tram!$B$1511:$G$1625,kl!B64,CT_tram!$G$1511:$G$1625)</f>
        <v>0</v>
      </c>
      <c r="Z64" s="775">
        <f ca="1">SUMIF(CT_tram!$B$1632:$G$2211,kl!B64,CT_tram!$G$1632:$G$2211)</f>
        <v>0</v>
      </c>
      <c r="AA64" s="775">
        <f ca="1">SUMIF(CT_tram!$B$2243:$G$2384,kl!B64,CT_tram!$G$2243:$G$2384)</f>
        <v>0</v>
      </c>
      <c r="AB64" s="775">
        <f ca="1">SUMIF(CT_tram!$B$2391:$G$2563,kl!B64,CT_tram!$G$2391:$G$2563)</f>
        <v>0</v>
      </c>
      <c r="AC64" s="775"/>
      <c r="AD64" s="775"/>
      <c r="AE64" s="775"/>
      <c r="AF64" s="775"/>
      <c r="AG64" s="775"/>
      <c r="AH64" s="775"/>
      <c r="AI64" s="775"/>
      <c r="AJ64" s="775"/>
      <c r="AK64" s="775"/>
      <c r="AL64" s="775">
        <f ca="1">SUMIF('Cap ngam'!B$16:G$400,kl!$B64,'Cap ngam'!G$16:G$400)</f>
        <v>0</v>
      </c>
      <c r="AM64" s="776">
        <v>1.5</v>
      </c>
      <c r="AN64" s="775">
        <f t="shared" ca="1" si="15"/>
        <v>0</v>
      </c>
      <c r="AO64" s="775">
        <f t="shared" ca="1" si="16"/>
        <v>0</v>
      </c>
      <c r="AP64" s="775">
        <f t="shared" ca="1" si="17"/>
        <v>0</v>
      </c>
      <c r="AQ64" s="775">
        <f t="shared" ca="1" si="18"/>
        <v>0</v>
      </c>
      <c r="AR64" s="775">
        <f t="shared" ca="1" si="19"/>
        <v>0</v>
      </c>
      <c r="AS64" s="775">
        <f t="shared" ca="1" si="20"/>
        <v>0</v>
      </c>
      <c r="AT64" s="775">
        <f t="shared" ca="1" si="21"/>
        <v>0</v>
      </c>
      <c r="AU64" s="775">
        <f t="shared" ca="1" si="22"/>
        <v>0</v>
      </c>
      <c r="AV64" s="775">
        <f t="shared" ca="1" si="23"/>
        <v>0</v>
      </c>
      <c r="AW64" s="775">
        <f t="shared" ca="1" si="24"/>
        <v>0</v>
      </c>
      <c r="AX64" s="775">
        <f t="shared" si="25"/>
        <v>0</v>
      </c>
      <c r="AY64" s="775">
        <f t="shared" ca="1" si="26"/>
        <v>0</v>
      </c>
      <c r="AZ64" s="775">
        <f t="shared" si="27"/>
        <v>0</v>
      </c>
      <c r="BA64" s="775">
        <f t="shared" ca="1" si="1"/>
        <v>0</v>
      </c>
      <c r="BB64" s="775">
        <f t="shared" ca="1" si="2"/>
        <v>0</v>
      </c>
      <c r="BC64" s="775">
        <f t="shared" ca="1" si="3"/>
        <v>0</v>
      </c>
      <c r="BD64" s="775">
        <f t="shared" ca="1" si="4"/>
        <v>0</v>
      </c>
      <c r="BE64" s="775">
        <f t="shared" ca="1" si="5"/>
        <v>0</v>
      </c>
      <c r="BF64" s="775">
        <f t="shared" ca="1" si="6"/>
        <v>0</v>
      </c>
      <c r="BG64" s="775">
        <f t="shared" ca="1" si="7"/>
        <v>0</v>
      </c>
      <c r="BH64" s="775"/>
      <c r="BI64" s="775"/>
      <c r="BJ64" s="775"/>
      <c r="BK64" s="775"/>
      <c r="BL64" s="775"/>
      <c r="BM64" s="775"/>
      <c r="BN64" s="775"/>
      <c r="BO64" s="775">
        <f t="shared" si="33"/>
        <v>0</v>
      </c>
      <c r="BP64" s="775">
        <f t="shared" si="34"/>
        <v>0</v>
      </c>
      <c r="BQ64" s="775">
        <f t="shared" ca="1" si="10"/>
        <v>0</v>
      </c>
      <c r="BR64" s="775">
        <f t="shared" ca="1" si="35"/>
        <v>0</v>
      </c>
    </row>
    <row r="65" spans="1:70">
      <c r="A65" s="767" t="str">
        <f t="shared" ca="1" si="12"/>
        <v/>
      </c>
      <c r="B65" s="234" t="s">
        <v>1743</v>
      </c>
      <c r="C65" s="188" t="str">
        <f ca="1">IF(F65=0,"",COUNTIF($F$6:$F65,"&gt;0"))</f>
        <v/>
      </c>
      <c r="D65" s="778" t="str">
        <f>VLOOKUP($B65,dongia1,DG!$C$5,)</f>
        <v>LBFCO-24KV-100A</v>
      </c>
      <c r="E65" s="555" t="str">
        <f>VLOOKUP($B65,dongia1,DG!$D$5,)</f>
        <v>cái</v>
      </c>
      <c r="F65" s="779">
        <f ca="1">G65+H65</f>
        <v>0</v>
      </c>
      <c r="G65" s="775">
        <f ca="1">SUM(AC65:AL65)</f>
        <v>0</v>
      </c>
      <c r="H65" s="775">
        <f ca="1">SUMIF(CT_tram!$B$33:$G$3559,kl!B65,CT_tram!$G$33:$G$3559)</f>
        <v>0</v>
      </c>
      <c r="I65" s="775">
        <f ca="1">SUMIF(CT_tram!$B$34:$G$115,$B65,CT_tram!$G$34:$G$115)</f>
        <v>0</v>
      </c>
      <c r="J65" s="775">
        <f ca="1">SUMIF(CT_tram!$B$122:$G$204,$B65,CT_tram!$G$122:$G$204)</f>
        <v>0</v>
      </c>
      <c r="K65" s="775">
        <f ca="1">SUMIF(CT_tram!$B$211:$G$293,$B65,CT_tram!$G$211:$G$293)</f>
        <v>0</v>
      </c>
      <c r="L65" s="775">
        <f ca="1">SUMIF(CT_tram!$B$300:$G$374,$B65,CT_tram!$G$300:$G$374)</f>
        <v>0</v>
      </c>
      <c r="M65" s="775">
        <f ca="1">SUMIF(CT_tram!$B$381:$G$471,$B65,CT_tram!$G$381:$G$471)</f>
        <v>0</v>
      </c>
      <c r="N65" s="775">
        <f ca="1">SUMIF(CT_tram!$B$478:$G$560,$B65,CT_tram!$G$478:$G$560)</f>
        <v>0</v>
      </c>
      <c r="O65" s="775">
        <f ca="1">SUMIF(CT_tram!$B$567:$G$653,$B65,CT_tram!$G$567:$G$653)</f>
        <v>0</v>
      </c>
      <c r="P65" s="775">
        <f ca="1">SUMIF(CT_tram!$B$661:$G$738,$B65,CT_tram!$G$661:$G$738)</f>
        <v>0</v>
      </c>
      <c r="Q65" s="775">
        <f ca="1">SUMIF(CT_tram!$B$745:$G$899,$B65,CT_tram!$G$745:$G$899)</f>
        <v>0</v>
      </c>
      <c r="R65" s="775">
        <f ca="1">SUMIF(CT_tram!$B$907:$G$995,$B65,CT_tram!$G$907:$G$995)</f>
        <v>0</v>
      </c>
      <c r="S65" s="775"/>
      <c r="T65" s="775">
        <f ca="1">SUMIF(CT_tram!$B$1004:$G$1097,B65,CT_tram!$G$1004:$G$1097)</f>
        <v>0</v>
      </c>
      <c r="U65" s="775"/>
      <c r="V65" s="775">
        <f ca="1">SUMIF(CT_tram!$B$1226:$G$1352,kl!B65,CT_tram!$G$1226:$G$1352)</f>
        <v>0</v>
      </c>
      <c r="W65" s="780">
        <f ca="1">SUMIF(CT_tram!$B$1105:$G$1219,kl!B65,CT_tram!$G$1105:$G$1219)</f>
        <v>0</v>
      </c>
      <c r="X65" s="775">
        <f ca="1">SUMIF(CT_tram!$B$1359:$G$1504,kl!B65,CT_tram!$G$1359:$G$1504)</f>
        <v>0</v>
      </c>
      <c r="Y65" s="775">
        <f ca="1">SUMIF(CT_tram!$B$1511:$G$1625,kl!B65,CT_tram!$G$1511:$G$1625)</f>
        <v>0</v>
      </c>
      <c r="Z65" s="775">
        <f ca="1">SUMIF(CT_tram!$B$1632:$G$2211,kl!B65,CT_tram!$G$1632:$G$2211)</f>
        <v>0</v>
      </c>
      <c r="AA65" s="775">
        <f ca="1">SUMIF(CT_tram!$B$2243:$G$2384,kl!B65,CT_tram!$G$2243:$G$2384)</f>
        <v>0</v>
      </c>
      <c r="AB65" s="775">
        <f ca="1">SUMIF(CT_tram!$B$2391:$G$2563,kl!B65,CT_tram!$G$2391:$G$2563)</f>
        <v>0</v>
      </c>
      <c r="AC65" s="775"/>
      <c r="AD65" s="775"/>
      <c r="AE65" s="775"/>
      <c r="AF65" s="775"/>
      <c r="AG65" s="775"/>
      <c r="AH65" s="775"/>
      <c r="AI65" s="775"/>
      <c r="AJ65" s="775"/>
      <c r="AK65" s="775"/>
      <c r="AL65" s="775">
        <f ca="1">SUMIF('Cap ngam'!B$16:G$400,kl!$B65,'Cap ngam'!G$16:G$400)</f>
        <v>0</v>
      </c>
      <c r="AM65" s="776">
        <v>1.5</v>
      </c>
      <c r="AN65" s="775">
        <f t="shared" ca="1" si="15"/>
        <v>0</v>
      </c>
      <c r="AO65" s="775">
        <f t="shared" ca="1" si="16"/>
        <v>0</v>
      </c>
      <c r="AP65" s="775">
        <f t="shared" ca="1" si="17"/>
        <v>0</v>
      </c>
      <c r="AQ65" s="775">
        <f t="shared" ca="1" si="18"/>
        <v>0</v>
      </c>
      <c r="AR65" s="775">
        <f t="shared" ca="1" si="19"/>
        <v>0</v>
      </c>
      <c r="AS65" s="775">
        <f t="shared" ca="1" si="20"/>
        <v>0</v>
      </c>
      <c r="AT65" s="775">
        <f t="shared" ca="1" si="21"/>
        <v>0</v>
      </c>
      <c r="AU65" s="775">
        <f t="shared" ca="1" si="22"/>
        <v>0</v>
      </c>
      <c r="AV65" s="775">
        <f t="shared" ca="1" si="23"/>
        <v>0</v>
      </c>
      <c r="AW65" s="775">
        <f t="shared" ca="1" si="24"/>
        <v>0</v>
      </c>
      <c r="AX65" s="775">
        <f t="shared" si="25"/>
        <v>0</v>
      </c>
      <c r="AY65" s="775">
        <f t="shared" ca="1" si="26"/>
        <v>0</v>
      </c>
      <c r="AZ65" s="775">
        <f t="shared" si="27"/>
        <v>0</v>
      </c>
      <c r="BA65" s="775">
        <f t="shared" ca="1" si="1"/>
        <v>0</v>
      </c>
      <c r="BB65" s="775">
        <f t="shared" ca="1" si="2"/>
        <v>0</v>
      </c>
      <c r="BC65" s="775">
        <f t="shared" ca="1" si="3"/>
        <v>0</v>
      </c>
      <c r="BD65" s="775">
        <f t="shared" ca="1" si="4"/>
        <v>0</v>
      </c>
      <c r="BE65" s="775">
        <f t="shared" ca="1" si="5"/>
        <v>0</v>
      </c>
      <c r="BF65" s="775">
        <f t="shared" ca="1" si="6"/>
        <v>0</v>
      </c>
      <c r="BG65" s="775">
        <f t="shared" ca="1" si="7"/>
        <v>0</v>
      </c>
      <c r="BH65" s="775"/>
      <c r="BI65" s="775"/>
      <c r="BJ65" s="775"/>
      <c r="BK65" s="775"/>
      <c r="BL65" s="775"/>
      <c r="BM65" s="775"/>
      <c r="BN65" s="775"/>
      <c r="BO65" s="775">
        <f t="shared" si="33"/>
        <v>0</v>
      </c>
      <c r="BP65" s="775">
        <f t="shared" si="34"/>
        <v>0</v>
      </c>
      <c r="BQ65" s="775">
        <f t="shared" ca="1" si="10"/>
        <v>0</v>
      </c>
      <c r="BR65" s="775">
        <f t="shared" ca="1" si="35"/>
        <v>0</v>
      </c>
    </row>
    <row r="66" spans="1:70">
      <c r="A66" s="767" t="str">
        <f t="shared" ca="1" si="12"/>
        <v/>
      </c>
      <c r="B66" s="234" t="s">
        <v>303</v>
      </c>
      <c r="C66" s="188" t="str">
        <f ca="1">IF(F66=0,"",COUNTIF($F$6:$F66,"&gt;0"))</f>
        <v/>
      </c>
      <c r="D66" s="778" t="str">
        <f>VLOOKUP($B66,dongia1,DG!$C$5,)</f>
        <v>LTD 1P 24KV - 800A</v>
      </c>
      <c r="E66" s="555" t="str">
        <f>VLOOKUP($B66,dongia1,DG!$D$5,)</f>
        <v>cái</v>
      </c>
      <c r="F66" s="779">
        <f t="shared" ca="1" si="37"/>
        <v>0</v>
      </c>
      <c r="G66" s="775">
        <f t="shared" ca="1" si="14"/>
        <v>0</v>
      </c>
      <c r="H66" s="775">
        <f ca="1">SUMIF(CT_tram!$B$33:$G$3559,kl!B66,CT_tram!$G$33:$G$3559)</f>
        <v>0</v>
      </c>
      <c r="I66" s="775">
        <f ca="1">SUMIF(CT_tram!$B$34:$G$115,$B66,CT_tram!$G$34:$G$115)</f>
        <v>0</v>
      </c>
      <c r="J66" s="775">
        <f ca="1">SUMIF(CT_tram!$B$122:$G$204,$B66,CT_tram!$G$122:$G$204)</f>
        <v>0</v>
      </c>
      <c r="K66" s="775">
        <f ca="1">SUMIF(CT_tram!$B$211:$G$293,$B66,CT_tram!$G$211:$G$293)</f>
        <v>0</v>
      </c>
      <c r="L66" s="775">
        <f ca="1">SUMIF(CT_tram!$B$300:$G$374,$B66,CT_tram!$G$300:$G$374)</f>
        <v>0</v>
      </c>
      <c r="M66" s="775">
        <f ca="1">SUMIF(CT_tram!$B$381:$G$471,$B66,CT_tram!$G$381:$G$471)</f>
        <v>0</v>
      </c>
      <c r="N66" s="775">
        <f ca="1">SUMIF(CT_tram!$B$478:$G$560,$B66,CT_tram!$G$478:$G$560)</f>
        <v>0</v>
      </c>
      <c r="O66" s="775">
        <f ca="1">SUMIF(CT_tram!$B$567:$G$653,$B66,CT_tram!$G$567:$G$653)</f>
        <v>0</v>
      </c>
      <c r="P66" s="775">
        <f ca="1">SUMIF(CT_tram!$B$661:$G$738,$B66,CT_tram!$G$661:$G$738)</f>
        <v>0</v>
      </c>
      <c r="Q66" s="775">
        <f ca="1">SUMIF(CT_tram!$B$745:$G$899,$B66,CT_tram!$G$745:$G$899)</f>
        <v>0</v>
      </c>
      <c r="R66" s="775">
        <f ca="1">SUMIF(CT_tram!$B$907:$G$995,$B66,CT_tram!$G$907:$G$995)</f>
        <v>0</v>
      </c>
      <c r="S66" s="775"/>
      <c r="T66" s="775">
        <f ca="1">SUMIF(CT_tram!$B$1004:$G$1097,B66,CT_tram!$G$1004:$G$1097)</f>
        <v>0</v>
      </c>
      <c r="U66" s="775"/>
      <c r="V66" s="775">
        <f ca="1">SUMIF(CT_tram!$B$1226:$G$1352,kl!B66,CT_tram!$G$1226:$G$1352)</f>
        <v>0</v>
      </c>
      <c r="W66" s="780">
        <f ca="1">SUMIF(CT_tram!$B$1105:$G$1219,kl!B66,CT_tram!$G$1105:$G$1219)</f>
        <v>0</v>
      </c>
      <c r="X66" s="775">
        <f ca="1">SUMIF(CT_tram!$B$1359:$G$1504,kl!B66,CT_tram!$G$1359:$G$1504)</f>
        <v>0</v>
      </c>
      <c r="Y66" s="775">
        <f ca="1">SUMIF(CT_tram!$B$1511:$G$1625,kl!B66,CT_tram!$G$1511:$G$1625)</f>
        <v>0</v>
      </c>
      <c r="Z66" s="775">
        <f ca="1">SUMIF(CT_tram!$B$1632:$G$2211,kl!B66,CT_tram!$G$1632:$G$2211)</f>
        <v>0</v>
      </c>
      <c r="AA66" s="775">
        <f ca="1">SUMIF(CT_tram!$B$2243:$G$2384,kl!B66,CT_tram!$G$2243:$G$2384)</f>
        <v>0</v>
      </c>
      <c r="AB66" s="775">
        <f ca="1">SUMIF(CT_tram!$B$2391:$G$2563,kl!B66,CT_tram!$G$2391:$G$2563)</f>
        <v>0</v>
      </c>
      <c r="AC66" s="775">
        <f>chitiet!H2253</f>
        <v>0</v>
      </c>
      <c r="AD66" s="775">
        <f>chitiet!H2235</f>
        <v>0</v>
      </c>
      <c r="AE66" s="775"/>
      <c r="AF66" s="775"/>
      <c r="AG66" s="775"/>
      <c r="AH66" s="775"/>
      <c r="AI66" s="775"/>
      <c r="AJ66" s="775"/>
      <c r="AK66" s="775"/>
      <c r="AL66" s="775">
        <f ca="1">SUMIF('Cap ngam'!B$16:G$400,kl!$B66,'Cap ngam'!G$16:G$400)</f>
        <v>0</v>
      </c>
      <c r="AM66" s="776">
        <v>2</v>
      </c>
      <c r="AN66" s="775">
        <f t="shared" ca="1" si="15"/>
        <v>0</v>
      </c>
      <c r="AO66" s="775">
        <f t="shared" ca="1" si="16"/>
        <v>0</v>
      </c>
      <c r="AP66" s="775">
        <f t="shared" ca="1" si="17"/>
        <v>0</v>
      </c>
      <c r="AQ66" s="775">
        <f t="shared" ca="1" si="18"/>
        <v>0</v>
      </c>
      <c r="AR66" s="775">
        <f t="shared" ca="1" si="19"/>
        <v>0</v>
      </c>
      <c r="AS66" s="775">
        <f t="shared" ca="1" si="20"/>
        <v>0</v>
      </c>
      <c r="AT66" s="775">
        <f t="shared" ca="1" si="21"/>
        <v>0</v>
      </c>
      <c r="AU66" s="775">
        <f t="shared" ca="1" si="22"/>
        <v>0</v>
      </c>
      <c r="AV66" s="775">
        <f t="shared" ca="1" si="23"/>
        <v>0</v>
      </c>
      <c r="AW66" s="775">
        <f t="shared" ca="1" si="24"/>
        <v>0</v>
      </c>
      <c r="AX66" s="775">
        <f t="shared" si="25"/>
        <v>0</v>
      </c>
      <c r="AY66" s="775">
        <f t="shared" ca="1" si="26"/>
        <v>0</v>
      </c>
      <c r="AZ66" s="775">
        <f t="shared" si="27"/>
        <v>0</v>
      </c>
      <c r="BA66" s="775">
        <f t="shared" ca="1" si="1"/>
        <v>0</v>
      </c>
      <c r="BB66" s="775">
        <f t="shared" ca="1" si="2"/>
        <v>0</v>
      </c>
      <c r="BC66" s="775">
        <f t="shared" ca="1" si="3"/>
        <v>0</v>
      </c>
      <c r="BD66" s="775">
        <f t="shared" ca="1" si="4"/>
        <v>0</v>
      </c>
      <c r="BE66" s="775">
        <f t="shared" ca="1" si="5"/>
        <v>0</v>
      </c>
      <c r="BF66" s="775">
        <f t="shared" ca="1" si="6"/>
        <v>0</v>
      </c>
      <c r="BG66" s="775">
        <f t="shared" ca="1" si="7"/>
        <v>0</v>
      </c>
      <c r="BH66" s="775"/>
      <c r="BI66" s="775"/>
      <c r="BJ66" s="775"/>
      <c r="BK66" s="775"/>
      <c r="BL66" s="775"/>
      <c r="BM66" s="775"/>
      <c r="BN66" s="775"/>
      <c r="BO66" s="775">
        <f t="shared" si="33"/>
        <v>0</v>
      </c>
      <c r="BP66" s="775">
        <f t="shared" si="34"/>
        <v>0</v>
      </c>
      <c r="BQ66" s="775">
        <f t="shared" ca="1" si="10"/>
        <v>0</v>
      </c>
      <c r="BR66" s="775">
        <f t="shared" ca="1" si="35"/>
        <v>0</v>
      </c>
    </row>
    <row r="67" spans="1:70">
      <c r="A67" s="767" t="str">
        <f t="shared" ca="1" si="12"/>
        <v/>
      </c>
      <c r="B67" s="234" t="s">
        <v>434</v>
      </c>
      <c r="C67" s="188" t="str">
        <f ca="1">IF(F67=0,"",COUNTIF($F$6:$F67,"&gt;0"))</f>
        <v/>
      </c>
      <c r="D67" s="778" t="str">
        <f>VLOOKUP($B67,dongia1,DG!$C$5,)</f>
        <v xml:space="preserve">DS 1P - 24KV - 600A </v>
      </c>
      <c r="E67" s="555" t="str">
        <f>VLOOKUP($B67,dongia1,DG!$D$5,)</f>
        <v>bộ</v>
      </c>
      <c r="F67" s="779">
        <f t="shared" ca="1" si="37"/>
        <v>0</v>
      </c>
      <c r="G67" s="775">
        <f t="shared" ca="1" si="14"/>
        <v>0</v>
      </c>
      <c r="H67" s="775">
        <f ca="1">SUMIF(CT_tram!$B$33:$G$3559,kl!B67,CT_tram!$G$33:$G$3559)</f>
        <v>0</v>
      </c>
      <c r="I67" s="775">
        <f ca="1">SUMIF(CT_tram!$B$34:$G$115,$B67,CT_tram!$G$34:$G$115)</f>
        <v>0</v>
      </c>
      <c r="J67" s="775">
        <f ca="1">SUMIF(CT_tram!$B$122:$G$204,$B67,CT_tram!$G$122:$G$204)</f>
        <v>0</v>
      </c>
      <c r="K67" s="775">
        <f ca="1">SUMIF(CT_tram!$B$211:$G$293,$B67,CT_tram!$G$211:$G$293)</f>
        <v>0</v>
      </c>
      <c r="L67" s="775">
        <f ca="1">SUMIF(CT_tram!$B$300:$G$374,$B67,CT_tram!$G$300:$G$374)</f>
        <v>0</v>
      </c>
      <c r="M67" s="775">
        <f ca="1">SUMIF(CT_tram!$B$381:$G$471,$B67,CT_tram!$G$381:$G$471)</f>
        <v>0</v>
      </c>
      <c r="N67" s="775">
        <f ca="1">SUMIF(CT_tram!$B$478:$G$560,$B67,CT_tram!$G$478:$G$560)</f>
        <v>0</v>
      </c>
      <c r="O67" s="775">
        <f ca="1">SUMIF(CT_tram!$B$567:$G$653,$B67,CT_tram!$G$567:$G$653)</f>
        <v>0</v>
      </c>
      <c r="P67" s="775">
        <f ca="1">SUMIF(CT_tram!$B$661:$G$738,$B67,CT_tram!$G$661:$G$738)</f>
        <v>0</v>
      </c>
      <c r="Q67" s="775">
        <f ca="1">SUMIF(CT_tram!$B$745:$G$899,$B67,CT_tram!$G$745:$G$899)</f>
        <v>0</v>
      </c>
      <c r="R67" s="775">
        <f ca="1">SUMIF(CT_tram!$B$907:$G$995,$B67,CT_tram!$G$907:$G$995)</f>
        <v>0</v>
      </c>
      <c r="S67" s="775"/>
      <c r="T67" s="775">
        <f ca="1">SUMIF(CT_tram!$B$1004:$G$1097,B67,CT_tram!$G$1004:$G$1097)</f>
        <v>0</v>
      </c>
      <c r="U67" s="775"/>
      <c r="V67" s="775">
        <f ca="1">SUMIF(CT_tram!$B$1226:$G$1352,kl!B67,CT_tram!$G$1226:$G$1352)</f>
        <v>0</v>
      </c>
      <c r="W67" s="780">
        <f ca="1">SUMIF(CT_tram!$B$1105:$G$1219,kl!B67,CT_tram!$G$1105:$G$1219)</f>
        <v>0</v>
      </c>
      <c r="X67" s="775">
        <f ca="1">SUMIF(CT_tram!$B$1359:$G$1504,kl!B67,CT_tram!$G$1359:$G$1504)</f>
        <v>0</v>
      </c>
      <c r="Y67" s="775">
        <f ca="1">SUMIF(CT_tram!$B$1511:$G$1625,kl!B67,CT_tram!$G$1511:$G$1625)</f>
        <v>0</v>
      </c>
      <c r="Z67" s="775">
        <f ca="1">SUMIF(CT_tram!$B$1632:$G$2211,kl!B67,CT_tram!$G$1632:$G$2211)</f>
        <v>0</v>
      </c>
      <c r="AA67" s="775">
        <f ca="1">SUMIF(CT_tram!$B$2243:$G$2384,kl!B67,CT_tram!$G$2243:$G$2384)</f>
        <v>0</v>
      </c>
      <c r="AB67" s="775">
        <f ca="1">SUMIF(CT_tram!$B$2391:$G$2563,kl!B67,CT_tram!$G$2391:$G$2563)</f>
        <v>0</v>
      </c>
      <c r="AC67" s="775">
        <f>chitiet!H2255</f>
        <v>0</v>
      </c>
      <c r="AD67" s="775">
        <f>chitiet!H2240</f>
        <v>0</v>
      </c>
      <c r="AE67" s="775"/>
      <c r="AF67" s="775"/>
      <c r="AG67" s="775"/>
      <c r="AH67" s="775"/>
      <c r="AI67" s="775"/>
      <c r="AJ67" s="775"/>
      <c r="AK67" s="775"/>
      <c r="AL67" s="775">
        <f ca="1">SUMIF('Cap ngam'!B$16:G$400,kl!$B67,'Cap ngam'!G$16:G$400)</f>
        <v>0</v>
      </c>
      <c r="AM67" s="776">
        <v>4</v>
      </c>
      <c r="AN67" s="775">
        <f t="shared" ca="1" si="15"/>
        <v>0</v>
      </c>
      <c r="AO67" s="775">
        <f t="shared" ca="1" si="16"/>
        <v>0</v>
      </c>
      <c r="AP67" s="775">
        <f t="shared" ca="1" si="17"/>
        <v>0</v>
      </c>
      <c r="AQ67" s="775">
        <f t="shared" ca="1" si="18"/>
        <v>0</v>
      </c>
      <c r="AR67" s="775">
        <f t="shared" ca="1" si="19"/>
        <v>0</v>
      </c>
      <c r="AS67" s="775">
        <f t="shared" ca="1" si="20"/>
        <v>0</v>
      </c>
      <c r="AT67" s="775">
        <f t="shared" ca="1" si="21"/>
        <v>0</v>
      </c>
      <c r="AU67" s="775">
        <f t="shared" ca="1" si="22"/>
        <v>0</v>
      </c>
      <c r="AV67" s="775">
        <f t="shared" ca="1" si="23"/>
        <v>0</v>
      </c>
      <c r="AW67" s="775">
        <f t="shared" ca="1" si="24"/>
        <v>0</v>
      </c>
      <c r="AX67" s="775">
        <f t="shared" si="25"/>
        <v>0</v>
      </c>
      <c r="AY67" s="775">
        <f t="shared" ca="1" si="26"/>
        <v>0</v>
      </c>
      <c r="AZ67" s="775">
        <f t="shared" si="27"/>
        <v>0</v>
      </c>
      <c r="BA67" s="775">
        <f t="shared" ca="1" si="1"/>
        <v>0</v>
      </c>
      <c r="BB67" s="775">
        <f t="shared" ca="1" si="2"/>
        <v>0</v>
      </c>
      <c r="BC67" s="775">
        <f t="shared" ca="1" si="3"/>
        <v>0</v>
      </c>
      <c r="BD67" s="775">
        <f t="shared" ca="1" si="4"/>
        <v>0</v>
      </c>
      <c r="BE67" s="775">
        <f t="shared" ca="1" si="5"/>
        <v>0</v>
      </c>
      <c r="BF67" s="775">
        <f t="shared" ca="1" si="6"/>
        <v>0</v>
      </c>
      <c r="BG67" s="775">
        <f t="shared" ca="1" si="7"/>
        <v>0</v>
      </c>
      <c r="BH67" s="775"/>
      <c r="BI67" s="775"/>
      <c r="BJ67" s="775"/>
      <c r="BK67" s="775"/>
      <c r="BL67" s="775"/>
      <c r="BM67" s="775"/>
      <c r="BN67" s="775"/>
      <c r="BO67" s="775">
        <f t="shared" si="33"/>
        <v>0</v>
      </c>
      <c r="BP67" s="775">
        <f t="shared" si="34"/>
        <v>0</v>
      </c>
      <c r="BQ67" s="775">
        <f t="shared" ca="1" si="10"/>
        <v>0</v>
      </c>
      <c r="BR67" s="775">
        <f t="shared" ca="1" si="35"/>
        <v>0</v>
      </c>
    </row>
    <row r="68" spans="1:70">
      <c r="A68" s="767" t="str">
        <f t="shared" ca="1" si="12"/>
        <v/>
      </c>
      <c r="B68" s="563" t="s">
        <v>286</v>
      </c>
      <c r="C68" s="188" t="str">
        <f ca="1">IF(F68=0,"",COUNTIF($F$6:$F68,"&gt;0"))</f>
        <v/>
      </c>
      <c r="D68" s="778" t="str">
        <f>VLOOKUP($B68,dongia1,DG!$C$5,)</f>
        <v xml:space="preserve">DS 3P - 24KV - 630A </v>
      </c>
      <c r="E68" s="555" t="str">
        <f>VLOOKUP($B68,dongia1,DG!$D$5,)</f>
        <v>bộ</v>
      </c>
      <c r="F68" s="779">
        <f t="shared" ca="1" si="37"/>
        <v>0</v>
      </c>
      <c r="G68" s="775">
        <f t="shared" ca="1" si="14"/>
        <v>0</v>
      </c>
      <c r="H68" s="775">
        <f ca="1">SUMIF(CT_tram!$B$33:$G$3559,kl!B68,CT_tram!$G$33:$G$3559)</f>
        <v>0</v>
      </c>
      <c r="I68" s="775">
        <f ca="1">SUMIF(CT_tram!$B$34:$G$115,$B68,CT_tram!$G$34:$G$115)</f>
        <v>0</v>
      </c>
      <c r="J68" s="775">
        <f ca="1">SUMIF(CT_tram!$B$122:$G$204,$B68,CT_tram!$G$122:$G$204)</f>
        <v>0</v>
      </c>
      <c r="K68" s="775">
        <f ca="1">SUMIF(CT_tram!$B$211:$G$293,$B68,CT_tram!$G$211:$G$293)</f>
        <v>0</v>
      </c>
      <c r="L68" s="775">
        <f ca="1">SUMIF(CT_tram!$B$300:$G$374,$B68,CT_tram!$G$300:$G$374)</f>
        <v>0</v>
      </c>
      <c r="M68" s="775">
        <f ca="1">SUMIF(CT_tram!$B$381:$G$471,$B68,CT_tram!$G$381:$G$471)</f>
        <v>0</v>
      </c>
      <c r="N68" s="775">
        <f ca="1">SUMIF(CT_tram!$B$478:$G$560,$B68,CT_tram!$G$478:$G$560)</f>
        <v>0</v>
      </c>
      <c r="O68" s="775">
        <f ca="1">SUMIF(CT_tram!$B$567:$G$653,$B68,CT_tram!$G$567:$G$653)</f>
        <v>0</v>
      </c>
      <c r="P68" s="775">
        <f ca="1">SUMIF(CT_tram!$B$661:$G$738,$B68,CT_tram!$G$661:$G$738)</f>
        <v>0</v>
      </c>
      <c r="Q68" s="775">
        <f ca="1">SUMIF(CT_tram!$B$745:$G$899,$B68,CT_tram!$G$745:$G$899)</f>
        <v>0</v>
      </c>
      <c r="R68" s="775">
        <f ca="1">SUMIF(CT_tram!$B$907:$G$995,$B68,CT_tram!$G$907:$G$995)</f>
        <v>0</v>
      </c>
      <c r="S68" s="775"/>
      <c r="T68" s="775">
        <f ca="1">SUMIF(CT_tram!$B$1004:$G$1097,B68,CT_tram!$G$1004:$G$1097)</f>
        <v>0</v>
      </c>
      <c r="U68" s="775"/>
      <c r="V68" s="775">
        <f ca="1">SUMIF(CT_tram!$B$1226:$G$1352,kl!B68,CT_tram!$G$1226:$G$1352)</f>
        <v>0</v>
      </c>
      <c r="W68" s="780">
        <f ca="1">SUMIF(CT_tram!$B$1105:$G$1219,kl!B68,CT_tram!$G$1105:$G$1219)</f>
        <v>0</v>
      </c>
      <c r="X68" s="775">
        <f ca="1">SUMIF(CT_tram!$B$1359:$G$1504,kl!B68,CT_tram!$G$1359:$G$1504)</f>
        <v>0</v>
      </c>
      <c r="Y68" s="775">
        <f ca="1">SUMIF(CT_tram!$B$1511:$G$1625,kl!B68,CT_tram!$G$1511:$G$1625)</f>
        <v>0</v>
      </c>
      <c r="Z68" s="775">
        <f ca="1">SUMIF(CT_tram!$B$1632:$G$2211,kl!B68,CT_tram!$G$1632:$G$2211)</f>
        <v>0</v>
      </c>
      <c r="AA68" s="775">
        <f ca="1">SUMIF(CT_tram!$B$2243:$G$2384,kl!B68,CT_tram!$G$2243:$G$2384)</f>
        <v>0</v>
      </c>
      <c r="AB68" s="775">
        <f ca="1">SUMIF(CT_tram!$B$2391:$G$2563,kl!B68,CT_tram!$G$2391:$G$2563)</f>
        <v>0</v>
      </c>
      <c r="AC68" s="775">
        <f>chitiet!H2258</f>
        <v>0</v>
      </c>
      <c r="AD68" s="775">
        <f>chitiet!H2241</f>
        <v>0</v>
      </c>
      <c r="AE68" s="775"/>
      <c r="AF68" s="775"/>
      <c r="AG68" s="775"/>
      <c r="AH68" s="775"/>
      <c r="AI68" s="775"/>
      <c r="AJ68" s="775"/>
      <c r="AK68" s="775"/>
      <c r="AL68" s="775">
        <f ca="1">SUMIF('Cap ngam'!B$16:G$400,kl!$B68,'Cap ngam'!G$16:G$400)</f>
        <v>0</v>
      </c>
      <c r="AM68" s="776">
        <v>50</v>
      </c>
      <c r="AN68" s="775">
        <f t="shared" ca="1" si="15"/>
        <v>0</v>
      </c>
      <c r="AO68" s="775">
        <f t="shared" ca="1" si="16"/>
        <v>0</v>
      </c>
      <c r="AP68" s="775">
        <f t="shared" ca="1" si="17"/>
        <v>0</v>
      </c>
      <c r="AQ68" s="775">
        <f t="shared" ca="1" si="18"/>
        <v>0</v>
      </c>
      <c r="AR68" s="775">
        <f t="shared" ca="1" si="19"/>
        <v>0</v>
      </c>
      <c r="AS68" s="775">
        <f t="shared" ca="1" si="20"/>
        <v>0</v>
      </c>
      <c r="AT68" s="775">
        <f t="shared" ca="1" si="21"/>
        <v>0</v>
      </c>
      <c r="AU68" s="775">
        <f t="shared" ca="1" si="22"/>
        <v>0</v>
      </c>
      <c r="AV68" s="775">
        <f t="shared" ca="1" si="23"/>
        <v>0</v>
      </c>
      <c r="AW68" s="775">
        <f t="shared" ca="1" si="24"/>
        <v>0</v>
      </c>
      <c r="AX68" s="775">
        <f t="shared" si="25"/>
        <v>0</v>
      </c>
      <c r="AY68" s="775">
        <f t="shared" ca="1" si="26"/>
        <v>0</v>
      </c>
      <c r="AZ68" s="775">
        <f t="shared" si="27"/>
        <v>0</v>
      </c>
      <c r="BA68" s="775">
        <f t="shared" ca="1" si="1"/>
        <v>0</v>
      </c>
      <c r="BB68" s="775">
        <f t="shared" ca="1" si="2"/>
        <v>0</v>
      </c>
      <c r="BC68" s="775">
        <f t="shared" ca="1" si="3"/>
        <v>0</v>
      </c>
      <c r="BD68" s="775">
        <f t="shared" ca="1" si="4"/>
        <v>0</v>
      </c>
      <c r="BE68" s="775">
        <f t="shared" ca="1" si="5"/>
        <v>0</v>
      </c>
      <c r="BF68" s="775">
        <f t="shared" ca="1" si="6"/>
        <v>0</v>
      </c>
      <c r="BG68" s="775">
        <f t="shared" ca="1" si="7"/>
        <v>0</v>
      </c>
      <c r="BH68" s="775"/>
      <c r="BI68" s="775"/>
      <c r="BJ68" s="775"/>
      <c r="BK68" s="775"/>
      <c r="BL68" s="775"/>
      <c r="BM68" s="775"/>
      <c r="BN68" s="775"/>
      <c r="BO68" s="775">
        <f t="shared" si="33"/>
        <v>0</v>
      </c>
      <c r="BP68" s="775">
        <f t="shared" si="34"/>
        <v>0</v>
      </c>
      <c r="BQ68" s="775">
        <f t="shared" ca="1" si="10"/>
        <v>0</v>
      </c>
      <c r="BR68" s="775">
        <f t="shared" ca="1" si="35"/>
        <v>0</v>
      </c>
    </row>
    <row r="69" spans="1:70">
      <c r="A69" s="767" t="str">
        <f t="shared" ca="1" si="12"/>
        <v/>
      </c>
      <c r="B69" s="563" t="s">
        <v>1280</v>
      </c>
      <c r="C69" s="188" t="str">
        <f ca="1">IF(F69=0,"",COUNTIF($F$6:$F69,"&gt;0"))</f>
        <v/>
      </c>
      <c r="D69" s="778" t="str">
        <f>VLOOKUP($B69,dongia1,DG!$C$5,)</f>
        <v>LBS SF6 3pha 24kV 630A 12kA + bộ truyền động</v>
      </c>
      <c r="E69" s="555" t="str">
        <f>VLOOKUP($B69,dongia1,DG!$D$5,)</f>
        <v>bộ</v>
      </c>
      <c r="F69" s="779">
        <f t="shared" ca="1" si="37"/>
        <v>0</v>
      </c>
      <c r="G69" s="775">
        <f t="shared" ca="1" si="14"/>
        <v>0</v>
      </c>
      <c r="H69" s="775">
        <f ca="1">SUMIF(CT_tram!$B$33:$G$3559,kl!B69,CT_tram!$G$33:$G$3559)</f>
        <v>0</v>
      </c>
      <c r="I69" s="775">
        <f ca="1">SUMIF(CT_tram!$B$34:$G$115,$B69,CT_tram!$G$34:$G$115)</f>
        <v>0</v>
      </c>
      <c r="J69" s="775">
        <f ca="1">SUMIF(CT_tram!$B$122:$G$204,$B69,CT_tram!$G$122:$G$204)</f>
        <v>0</v>
      </c>
      <c r="K69" s="775">
        <f ca="1">SUMIF(CT_tram!$B$211:$G$293,$B69,CT_tram!$G$211:$G$293)</f>
        <v>0</v>
      </c>
      <c r="L69" s="775">
        <f ca="1">SUMIF(CT_tram!$B$300:$G$374,$B69,CT_tram!$G$300:$G$374)</f>
        <v>0</v>
      </c>
      <c r="M69" s="775">
        <f ca="1">SUMIF(CT_tram!$B$381:$G$471,$B69,CT_tram!$G$381:$G$471)</f>
        <v>0</v>
      </c>
      <c r="N69" s="775">
        <f ca="1">SUMIF(CT_tram!$B$478:$G$560,$B69,CT_tram!$G$478:$G$560)</f>
        <v>0</v>
      </c>
      <c r="O69" s="775">
        <f ca="1">SUMIF(CT_tram!$B$567:$G$653,$B69,CT_tram!$G$567:$G$653)</f>
        <v>0</v>
      </c>
      <c r="P69" s="775">
        <f ca="1">SUMIF(CT_tram!$B$661:$G$738,$B69,CT_tram!$G$661:$G$738)</f>
        <v>0</v>
      </c>
      <c r="Q69" s="775">
        <f ca="1">SUMIF(CT_tram!$B$745:$G$899,$B69,CT_tram!$G$745:$G$899)</f>
        <v>0</v>
      </c>
      <c r="R69" s="775">
        <f ca="1">SUMIF(CT_tram!$B$907:$G$995,$B69,CT_tram!$G$907:$G$995)</f>
        <v>0</v>
      </c>
      <c r="S69" s="775"/>
      <c r="T69" s="775">
        <f ca="1">SUMIF(CT_tram!$B$1004:$G$1097,B69,CT_tram!$G$1004:$G$1097)</f>
        <v>0</v>
      </c>
      <c r="U69" s="775"/>
      <c r="V69" s="775">
        <f ca="1">SUMIF(CT_tram!$B$1226:$G$1352,kl!B69,CT_tram!$G$1226:$G$1352)</f>
        <v>0</v>
      </c>
      <c r="W69" s="780">
        <f ca="1">SUMIF(CT_tram!$B$1105:$G$1219,kl!B69,CT_tram!$G$1105:$G$1219)</f>
        <v>0</v>
      </c>
      <c r="X69" s="775">
        <f ca="1">SUMIF(CT_tram!$B$1359:$G$1504,kl!B69,CT_tram!$G$1359:$G$1504)</f>
        <v>0</v>
      </c>
      <c r="Y69" s="775">
        <f ca="1">SUMIF(CT_tram!$B$1511:$G$1625,kl!B69,CT_tram!$G$1511:$G$1625)</f>
        <v>0</v>
      </c>
      <c r="Z69" s="775">
        <f ca="1">SUMIF(CT_tram!$B$1632:$G$2211,kl!B69,CT_tram!$G$1632:$G$2211)</f>
        <v>0</v>
      </c>
      <c r="AA69" s="775">
        <f ca="1">SUMIF(CT_tram!$B$2243:$G$2384,kl!B69,CT_tram!$G$2243:$G$2384)</f>
        <v>0</v>
      </c>
      <c r="AB69" s="775">
        <f ca="1">SUMIF(CT_tram!$B$2391:$G$2563,kl!B69,CT_tram!$G$2391:$G$2563)</f>
        <v>0</v>
      </c>
      <c r="AC69" s="775"/>
      <c r="AD69" s="775">
        <f>chitiet!H2241</f>
        <v>0</v>
      </c>
      <c r="AE69" s="775">
        <f>chitiet!G2273</f>
        <v>0</v>
      </c>
      <c r="AF69" s="775"/>
      <c r="AG69" s="775"/>
      <c r="AH69" s="775"/>
      <c r="AI69" s="775"/>
      <c r="AJ69" s="775"/>
      <c r="AK69" s="775"/>
      <c r="AL69" s="775">
        <f ca="1">SUMIF('Cap ngam'!B$16:G$400,kl!$B69,'Cap ngam'!G$16:G$400)</f>
        <v>0</v>
      </c>
      <c r="AM69" s="776">
        <v>100</v>
      </c>
      <c r="AN69" s="775">
        <f t="shared" ca="1" si="15"/>
        <v>0</v>
      </c>
      <c r="AO69" s="775">
        <f t="shared" ca="1" si="16"/>
        <v>0</v>
      </c>
      <c r="AP69" s="775">
        <f t="shared" ca="1" si="17"/>
        <v>0</v>
      </c>
      <c r="AQ69" s="775">
        <f t="shared" ca="1" si="18"/>
        <v>0</v>
      </c>
      <c r="AR69" s="775">
        <f t="shared" ca="1" si="19"/>
        <v>0</v>
      </c>
      <c r="AS69" s="775">
        <f t="shared" ca="1" si="20"/>
        <v>0</v>
      </c>
      <c r="AT69" s="775">
        <f t="shared" ca="1" si="21"/>
        <v>0</v>
      </c>
      <c r="AU69" s="775">
        <f t="shared" ca="1" si="22"/>
        <v>0</v>
      </c>
      <c r="AV69" s="775">
        <f t="shared" ca="1" si="23"/>
        <v>0</v>
      </c>
      <c r="AW69" s="775">
        <f t="shared" ca="1" si="24"/>
        <v>0</v>
      </c>
      <c r="AX69" s="775">
        <f t="shared" si="25"/>
        <v>0</v>
      </c>
      <c r="AY69" s="775">
        <f t="shared" ca="1" si="26"/>
        <v>0</v>
      </c>
      <c r="AZ69" s="775">
        <f t="shared" si="27"/>
        <v>0</v>
      </c>
      <c r="BA69" s="775">
        <f t="shared" ca="1" si="1"/>
        <v>0</v>
      </c>
      <c r="BB69" s="775">
        <f t="shared" ca="1" si="2"/>
        <v>0</v>
      </c>
      <c r="BC69" s="775">
        <f t="shared" ca="1" si="3"/>
        <v>0</v>
      </c>
      <c r="BD69" s="775">
        <f t="shared" ca="1" si="4"/>
        <v>0</v>
      </c>
      <c r="BE69" s="775">
        <f t="shared" ca="1" si="5"/>
        <v>0</v>
      </c>
      <c r="BF69" s="775">
        <f t="shared" ca="1" si="6"/>
        <v>0</v>
      </c>
      <c r="BG69" s="775">
        <f t="shared" ca="1" si="7"/>
        <v>0</v>
      </c>
      <c r="BH69" s="775"/>
      <c r="BI69" s="775"/>
      <c r="BJ69" s="775"/>
      <c r="BK69" s="775"/>
      <c r="BL69" s="775"/>
      <c r="BM69" s="775"/>
      <c r="BN69" s="775"/>
      <c r="BO69" s="775">
        <f t="shared" si="33"/>
        <v>0</v>
      </c>
      <c r="BP69" s="775">
        <f t="shared" si="34"/>
        <v>0</v>
      </c>
      <c r="BQ69" s="775">
        <f t="shared" ca="1" si="10"/>
        <v>0</v>
      </c>
      <c r="BR69" s="775">
        <f t="shared" ca="1" si="35"/>
        <v>0</v>
      </c>
    </row>
    <row r="70" spans="1:70">
      <c r="A70" s="767" t="str">
        <f t="shared" ca="1" si="12"/>
        <v/>
      </c>
      <c r="B70" s="234" t="s">
        <v>1870</v>
      </c>
      <c r="C70" s="188" t="str">
        <f ca="1">IF(F70=0,"",COUNTIF($F$6:$F70,"&gt;0"))</f>
        <v/>
      </c>
      <c r="D70" s="778" t="str">
        <f>VLOOKUP($B70,dongia1,DG!$C$5,)</f>
        <v>Tủ DS 3 pha 630-800A</v>
      </c>
      <c r="E70" s="555" t="str">
        <f>VLOOKUP($B70,dongia1,DG!$D$5,)</f>
        <v>tủ</v>
      </c>
      <c r="F70" s="779">
        <f ca="1">G70+H70</f>
        <v>0</v>
      </c>
      <c r="G70" s="775">
        <f ca="1">SUM(AC70:AL70)</f>
        <v>0</v>
      </c>
      <c r="H70" s="775">
        <f ca="1">SUMIF(CT_tram!$B$33:$G$3559,kl!B70,CT_tram!$G$33:$G$3559)</f>
        <v>0</v>
      </c>
      <c r="I70" s="775">
        <f ca="1">SUMIF(CT_tram!$B$34:$G$115,$B70,CT_tram!$G$34:$G$115)</f>
        <v>0</v>
      </c>
      <c r="J70" s="775">
        <f ca="1">SUMIF(CT_tram!$B$122:$G$204,$B70,CT_tram!$G$122:$G$204)</f>
        <v>0</v>
      </c>
      <c r="K70" s="775">
        <f ca="1">SUMIF(CT_tram!$B$211:$G$293,$B70,CT_tram!$G$211:$G$293)</f>
        <v>0</v>
      </c>
      <c r="L70" s="775">
        <f ca="1">SUMIF(CT_tram!$B$300:$G$374,$B70,CT_tram!$G$300:$G$374)</f>
        <v>0</v>
      </c>
      <c r="M70" s="775">
        <f ca="1">SUMIF(CT_tram!$B$381:$G$471,$B70,CT_tram!$G$381:$G$471)</f>
        <v>0</v>
      </c>
      <c r="N70" s="775">
        <f ca="1">SUMIF(CT_tram!$B$478:$G$560,$B70,CT_tram!$G$478:$G$560)</f>
        <v>0</v>
      </c>
      <c r="O70" s="775">
        <f ca="1">SUMIF(CT_tram!$B$567:$G$653,$B70,CT_tram!$G$567:$G$653)</f>
        <v>0</v>
      </c>
      <c r="P70" s="775">
        <f ca="1">SUMIF(CT_tram!$B$661:$G$738,$B70,CT_tram!$G$661:$G$738)</f>
        <v>0</v>
      </c>
      <c r="Q70" s="775">
        <f ca="1">SUMIF(CT_tram!$B$745:$G$899,$B70,CT_tram!$G$745:$G$899)</f>
        <v>0</v>
      </c>
      <c r="R70" s="775">
        <f ca="1">SUMIF(CT_tram!$B$907:$G$995,$B70,CT_tram!$G$907:$G$995)</f>
        <v>0</v>
      </c>
      <c r="S70" s="775"/>
      <c r="T70" s="775">
        <f ca="1">SUMIF(CT_tram!$B$1004:$G$1097,B70,CT_tram!$G$1004:$G$1097)</f>
        <v>0</v>
      </c>
      <c r="U70" s="775"/>
      <c r="V70" s="775">
        <f ca="1">SUMIF(CT_tram!$B$1226:$G$1352,kl!B70,CT_tram!$G$1226:$G$1352)</f>
        <v>0</v>
      </c>
      <c r="W70" s="780">
        <f ca="1">SUMIF(CT_tram!$B$1105:$G$1219,kl!B70,CT_tram!$G$1105:$G$1219)</f>
        <v>0</v>
      </c>
      <c r="X70" s="775">
        <f ca="1">SUMIF(CT_tram!$B$1359:$G$1504,kl!B70,CT_tram!$G$1359:$G$1504)</f>
        <v>0</v>
      </c>
      <c r="Y70" s="775">
        <f ca="1">SUMIF(CT_tram!$B$1511:$G$1625,kl!B70,CT_tram!$G$1511:$G$1625)</f>
        <v>0</v>
      </c>
      <c r="Z70" s="775">
        <f ca="1">SUMIF(CT_tram!$B$1632:$G$2211,kl!B70,CT_tram!$G$1632:$G$2211)</f>
        <v>0</v>
      </c>
      <c r="AA70" s="775">
        <f ca="1">SUMIF(CT_tram!$B$2243:$G$2384,kl!B70,CT_tram!$G$2243:$G$2384)</f>
        <v>0</v>
      </c>
      <c r="AB70" s="775">
        <f ca="1">SUMIF(CT_tram!$B$2391:$G$2563,kl!B70,CT_tram!$G$2391:$G$2563)</f>
        <v>0</v>
      </c>
      <c r="AC70" s="775">
        <f>chitiet!H2260</f>
        <v>0</v>
      </c>
      <c r="AD70" s="775">
        <f>chitiet!H2243</f>
        <v>0</v>
      </c>
      <c r="AE70" s="775"/>
      <c r="AF70" s="775"/>
      <c r="AG70" s="775"/>
      <c r="AH70" s="775"/>
      <c r="AI70" s="775"/>
      <c r="AJ70" s="775"/>
      <c r="AK70" s="775"/>
      <c r="AL70" s="775">
        <f ca="1">SUMIF('Cap ngam'!B$16:G$400,kl!$B70,'Cap ngam'!G$16:G$400)</f>
        <v>0</v>
      </c>
      <c r="AM70" s="776">
        <v>30</v>
      </c>
      <c r="AN70" s="775">
        <f t="shared" ca="1" si="15"/>
        <v>0</v>
      </c>
      <c r="AO70" s="775">
        <f t="shared" ca="1" si="16"/>
        <v>0</v>
      </c>
      <c r="AP70" s="775">
        <f t="shared" ca="1" si="17"/>
        <v>0</v>
      </c>
      <c r="AQ70" s="775">
        <f t="shared" ca="1" si="18"/>
        <v>0</v>
      </c>
      <c r="AR70" s="775">
        <f t="shared" ca="1" si="19"/>
        <v>0</v>
      </c>
      <c r="AS70" s="775">
        <f t="shared" ca="1" si="20"/>
        <v>0</v>
      </c>
      <c r="AT70" s="775">
        <f t="shared" ca="1" si="21"/>
        <v>0</v>
      </c>
      <c r="AU70" s="775">
        <f t="shared" ca="1" si="22"/>
        <v>0</v>
      </c>
      <c r="AV70" s="775">
        <f t="shared" ca="1" si="23"/>
        <v>0</v>
      </c>
      <c r="AW70" s="775">
        <f t="shared" ca="1" si="24"/>
        <v>0</v>
      </c>
      <c r="AX70" s="775">
        <f t="shared" si="25"/>
        <v>0</v>
      </c>
      <c r="AY70" s="775">
        <f t="shared" ca="1" si="26"/>
        <v>0</v>
      </c>
      <c r="AZ70" s="775">
        <f t="shared" si="27"/>
        <v>0</v>
      </c>
      <c r="BA70" s="775">
        <f t="shared" ca="1" si="1"/>
        <v>0</v>
      </c>
      <c r="BB70" s="775">
        <f t="shared" ca="1" si="2"/>
        <v>0</v>
      </c>
      <c r="BC70" s="775">
        <f t="shared" ca="1" si="3"/>
        <v>0</v>
      </c>
      <c r="BD70" s="775">
        <f t="shared" ca="1" si="4"/>
        <v>0</v>
      </c>
      <c r="BE70" s="775">
        <f t="shared" ca="1" si="5"/>
        <v>0</v>
      </c>
      <c r="BF70" s="775">
        <f t="shared" ca="1" si="6"/>
        <v>0</v>
      </c>
      <c r="BG70" s="775">
        <f t="shared" ca="1" si="7"/>
        <v>0</v>
      </c>
      <c r="BH70" s="775"/>
      <c r="BI70" s="775"/>
      <c r="BJ70" s="775"/>
      <c r="BK70" s="775"/>
      <c r="BL70" s="775"/>
      <c r="BM70" s="775"/>
      <c r="BN70" s="775"/>
      <c r="BO70" s="775">
        <f t="shared" si="33"/>
        <v>0</v>
      </c>
      <c r="BP70" s="775">
        <f t="shared" si="34"/>
        <v>0</v>
      </c>
      <c r="BQ70" s="775">
        <f t="shared" ca="1" si="10"/>
        <v>0</v>
      </c>
      <c r="BR70" s="775">
        <f t="shared" ca="1" si="35"/>
        <v>0</v>
      </c>
    </row>
    <row r="71" spans="1:70">
      <c r="A71" s="767" t="str">
        <f t="shared" ca="1" si="12"/>
        <v>X</v>
      </c>
      <c r="B71" s="234" t="s">
        <v>1871</v>
      </c>
      <c r="C71" s="188">
        <f ca="1">IF(F71=0,"",COUNTIF($F$6:$F71,"&gt;0"))</f>
        <v>7</v>
      </c>
      <c r="D71" s="778" t="str">
        <f>VLOOKUP($B71,dongia1,DG!$C$5,)</f>
        <v>Tủ LBS 3 pha 630-800A</v>
      </c>
      <c r="E71" s="555" t="str">
        <f>VLOOKUP($B71,dongia1,DG!$D$5,)</f>
        <v>tủ</v>
      </c>
      <c r="F71" s="779">
        <f ca="1">G71+H71</f>
        <v>3</v>
      </c>
      <c r="G71" s="775">
        <f ca="1">SUM(AC71:AL71)</f>
        <v>3</v>
      </c>
      <c r="H71" s="775">
        <f ca="1">SUMIF(CT_tram!$B$33:$G$3559,kl!B71,CT_tram!$G$33:$G$3559)</f>
        <v>0</v>
      </c>
      <c r="I71" s="775">
        <f ca="1">SUMIF(CT_tram!$B$34:$G$115,$B71,CT_tram!$G$34:$G$115)</f>
        <v>0</v>
      </c>
      <c r="J71" s="775">
        <f ca="1">SUMIF(CT_tram!$B$122:$G$204,$B71,CT_tram!$G$122:$G$204)</f>
        <v>0</v>
      </c>
      <c r="K71" s="775">
        <f ca="1">SUMIF(CT_tram!$B$211:$G$293,$B71,CT_tram!$G$211:$G$293)</f>
        <v>0</v>
      </c>
      <c r="L71" s="775">
        <f ca="1">SUMIF(CT_tram!$B$300:$G$374,$B71,CT_tram!$G$300:$G$374)</f>
        <v>0</v>
      </c>
      <c r="M71" s="775">
        <f ca="1">SUMIF(CT_tram!$B$381:$G$471,$B71,CT_tram!$G$381:$G$471)</f>
        <v>0</v>
      </c>
      <c r="N71" s="775">
        <f ca="1">SUMIF(CT_tram!$B$478:$G$560,$B71,CT_tram!$G$478:$G$560)</f>
        <v>0</v>
      </c>
      <c r="O71" s="775">
        <f ca="1">SUMIF(CT_tram!$B$567:$G$653,$B71,CT_tram!$G$567:$G$653)</f>
        <v>0</v>
      </c>
      <c r="P71" s="775">
        <f ca="1">SUMIF(CT_tram!$B$661:$G$738,$B71,CT_tram!$G$661:$G$738)</f>
        <v>0</v>
      </c>
      <c r="Q71" s="775">
        <f ca="1">SUMIF(CT_tram!$B$745:$G$899,$B71,CT_tram!$G$745:$G$899)</f>
        <v>0</v>
      </c>
      <c r="R71" s="775">
        <f ca="1">SUMIF(CT_tram!$B$907:$G$995,$B71,CT_tram!$G$907:$G$995)</f>
        <v>0</v>
      </c>
      <c r="S71" s="775"/>
      <c r="T71" s="775">
        <f ca="1">SUMIF(CT_tram!$B$1004:$G$1097,B71,CT_tram!$G$1004:$G$1097)</f>
        <v>0</v>
      </c>
      <c r="U71" s="775"/>
      <c r="V71" s="775">
        <f ca="1">SUMIF(CT_tram!$B$1226:$G$1352,kl!B71,CT_tram!$G$1226:$G$1352)</f>
        <v>0</v>
      </c>
      <c r="W71" s="780">
        <f ca="1">SUMIF(CT_tram!$B$1105:$G$1219,kl!B71,CT_tram!$G$1105:$G$1219)</f>
        <v>0</v>
      </c>
      <c r="X71" s="775">
        <f ca="1">SUMIF(CT_tram!$B$1359:$G$1504,kl!B71,CT_tram!$G$1359:$G$1504)</f>
        <v>0</v>
      </c>
      <c r="Y71" s="775">
        <f ca="1">SUMIF(CT_tram!$B$1511:$G$1625,kl!B71,CT_tram!$G$1511:$G$1625)</f>
        <v>0</v>
      </c>
      <c r="Z71" s="775">
        <f ca="1">SUMIF(CT_tram!$B$1632:$G$2211,kl!B71,CT_tram!$G$1632:$G$2211)</f>
        <v>0</v>
      </c>
      <c r="AA71" s="775">
        <f ca="1">SUMIF(CT_tram!$B$2243:$G$2384,kl!B71,CT_tram!$G$2243:$G$2384)</f>
        <v>0</v>
      </c>
      <c r="AB71" s="775">
        <f ca="1">SUMIF(CT_tram!$B$2391:$G$2563,kl!B71,CT_tram!$G$2391:$G$2563)</f>
        <v>0</v>
      </c>
      <c r="AC71" s="775">
        <f>chitiet!H2305</f>
        <v>0</v>
      </c>
      <c r="AD71" s="775">
        <f>chitiet!H2243</f>
        <v>0</v>
      </c>
      <c r="AE71" s="775">
        <f>chitiet!G2275</f>
        <v>3</v>
      </c>
      <c r="AF71" s="775"/>
      <c r="AG71" s="775"/>
      <c r="AH71" s="775"/>
      <c r="AI71" s="775"/>
      <c r="AJ71" s="775"/>
      <c r="AK71" s="775"/>
      <c r="AL71" s="775">
        <f ca="1">SUMIF('Cap ngam'!B$16:G$400,kl!$B71,'Cap ngam'!G$16:G$400)</f>
        <v>0</v>
      </c>
      <c r="AM71" s="776">
        <v>20</v>
      </c>
      <c r="AN71" s="775">
        <f t="shared" ca="1" si="15"/>
        <v>0</v>
      </c>
      <c r="AO71" s="775">
        <f t="shared" ca="1" si="16"/>
        <v>0</v>
      </c>
      <c r="AP71" s="775">
        <f t="shared" ca="1" si="17"/>
        <v>0</v>
      </c>
      <c r="AQ71" s="775">
        <f t="shared" ca="1" si="18"/>
        <v>0</v>
      </c>
      <c r="AR71" s="775">
        <f t="shared" ca="1" si="19"/>
        <v>0</v>
      </c>
      <c r="AS71" s="775">
        <f t="shared" ca="1" si="20"/>
        <v>0</v>
      </c>
      <c r="AT71" s="775">
        <f t="shared" ca="1" si="21"/>
        <v>0</v>
      </c>
      <c r="AU71" s="775">
        <f t="shared" ca="1" si="22"/>
        <v>0</v>
      </c>
      <c r="AV71" s="775">
        <f t="shared" ca="1" si="23"/>
        <v>0</v>
      </c>
      <c r="AW71" s="775">
        <f t="shared" ca="1" si="24"/>
        <v>0</v>
      </c>
      <c r="AX71" s="775">
        <f t="shared" si="25"/>
        <v>0</v>
      </c>
      <c r="AY71" s="775">
        <f t="shared" ca="1" si="26"/>
        <v>0</v>
      </c>
      <c r="AZ71" s="775">
        <f t="shared" si="27"/>
        <v>0</v>
      </c>
      <c r="BA71" s="775">
        <f t="shared" ca="1" si="1"/>
        <v>0</v>
      </c>
      <c r="BB71" s="775">
        <f t="shared" ca="1" si="2"/>
        <v>0</v>
      </c>
      <c r="BC71" s="775">
        <f t="shared" ca="1" si="3"/>
        <v>0</v>
      </c>
      <c r="BD71" s="775">
        <f t="shared" ca="1" si="4"/>
        <v>0</v>
      </c>
      <c r="BE71" s="775">
        <f t="shared" ca="1" si="5"/>
        <v>0</v>
      </c>
      <c r="BF71" s="775">
        <f t="shared" ca="1" si="6"/>
        <v>0</v>
      </c>
      <c r="BG71" s="775">
        <f t="shared" ca="1" si="7"/>
        <v>0</v>
      </c>
      <c r="BH71" s="775"/>
      <c r="BI71" s="775"/>
      <c r="BJ71" s="775"/>
      <c r="BK71" s="775"/>
      <c r="BL71" s="775"/>
      <c r="BM71" s="775"/>
      <c r="BN71" s="775"/>
      <c r="BO71" s="775">
        <f t="shared" si="33"/>
        <v>0</v>
      </c>
      <c r="BP71" s="775">
        <f t="shared" si="34"/>
        <v>0</v>
      </c>
      <c r="BQ71" s="775">
        <f t="shared" ca="1" si="10"/>
        <v>0</v>
      </c>
      <c r="BR71" s="775">
        <f t="shared" ca="1" si="35"/>
        <v>0</v>
      </c>
    </row>
    <row r="72" spans="1:70">
      <c r="A72" s="767" t="str">
        <f t="shared" ca="1" si="12"/>
        <v/>
      </c>
      <c r="B72" s="234" t="s">
        <v>2015</v>
      </c>
      <c r="C72" s="188" t="str">
        <f ca="1">IF(F72=0,"",COUNTIF($F$6:$F72,"&gt;0"))</f>
        <v/>
      </c>
      <c r="D72" s="778" t="str">
        <f>VLOOKUP($B72,dongia1,DG!$C$5,)</f>
        <v>Relay Timer + cầu chì</v>
      </c>
      <c r="E72" s="555" t="str">
        <f>VLOOKUP($B72,dongia1,DG!$D$5,)</f>
        <v>bộ</v>
      </c>
      <c r="F72" s="779">
        <f t="shared" ca="1" si="37"/>
        <v>0</v>
      </c>
      <c r="G72" s="775">
        <f t="shared" ca="1" si="14"/>
        <v>0</v>
      </c>
      <c r="H72" s="775">
        <f ca="1">SUMIF(CT_tram!$B$33:$G$3559,kl!B72,CT_tram!$G$33:$G$3559)</f>
        <v>0</v>
      </c>
      <c r="I72" s="775">
        <f ca="1">SUMIF(CT_tram!$B$34:$G$115,$B72,CT_tram!$G$34:$G$115)</f>
        <v>0</v>
      </c>
      <c r="J72" s="775">
        <f ca="1">SUMIF(CT_tram!$B$122:$G$204,$B72,CT_tram!$G$122:$G$204)</f>
        <v>0</v>
      </c>
      <c r="K72" s="775">
        <f ca="1">SUMIF(CT_tram!$B$211:$G$293,$B72,CT_tram!$G$211:$G$293)</f>
        <v>0</v>
      </c>
      <c r="L72" s="775">
        <f ca="1">SUMIF(CT_tram!$B$300:$G$374,$B72,CT_tram!$G$300:$G$374)</f>
        <v>0</v>
      </c>
      <c r="M72" s="775">
        <f ca="1">SUMIF(CT_tram!$B$381:$G$471,$B72,CT_tram!$G$381:$G$471)</f>
        <v>0</v>
      </c>
      <c r="N72" s="775">
        <f ca="1">SUMIF(CT_tram!$B$478:$G$560,$B72,CT_tram!$G$478:$G$560)</f>
        <v>0</v>
      </c>
      <c r="O72" s="775">
        <f ca="1">SUMIF(CT_tram!$B$567:$G$653,$B72,CT_tram!$G$567:$G$653)</f>
        <v>0</v>
      </c>
      <c r="P72" s="775">
        <f ca="1">SUMIF(CT_tram!$B$661:$G$738,$B72,CT_tram!$G$661:$G$738)</f>
        <v>0</v>
      </c>
      <c r="Q72" s="775">
        <f ca="1">SUMIF(CT_tram!$B$745:$G$899,$B72,CT_tram!$G$745:$G$899)</f>
        <v>0</v>
      </c>
      <c r="R72" s="775">
        <f ca="1">SUMIF(CT_tram!$B$907:$G$995,$B72,CT_tram!$G$907:$G$995)</f>
        <v>0</v>
      </c>
      <c r="S72" s="775"/>
      <c r="T72" s="775">
        <f ca="1">SUMIF(CT_tram!$B$1004:$G$1097,B72,CT_tram!$G$1004:$G$1097)</f>
        <v>0</v>
      </c>
      <c r="U72" s="775"/>
      <c r="V72" s="775">
        <f ca="1">SUMIF(CT_tram!$B$1226:$G$1352,kl!B72,CT_tram!$G$1226:$G$1352)</f>
        <v>0</v>
      </c>
      <c r="W72" s="780">
        <f ca="1">SUMIF(CT_tram!$B$1105:$G$1219,kl!B72,CT_tram!$G$1105:$G$1219)</f>
        <v>0</v>
      </c>
      <c r="X72" s="775">
        <f ca="1">SUMIF(CT_tram!$B$1359:$G$1504,kl!B72,CT_tram!$G$1359:$G$1504)</f>
        <v>0</v>
      </c>
      <c r="Y72" s="775">
        <f ca="1">SUMIF(CT_tram!$B$1511:$G$1625,kl!B72,CT_tram!$G$1511:$G$1625)</f>
        <v>0</v>
      </c>
      <c r="Z72" s="775">
        <f ca="1">SUMIF(CT_tram!$B$1632:$G$2211,kl!B72,CT_tram!$G$1632:$G$2211)</f>
        <v>0</v>
      </c>
      <c r="AA72" s="775">
        <f ca="1">SUMIF(CT_tram!$B$2243:$G$2384,kl!B72,CT_tram!$G$2243:$G$2384)</f>
        <v>0</v>
      </c>
      <c r="AB72" s="775">
        <f ca="1">SUMIF(CT_tram!$B$2391:$G$2563,kl!B72,CT_tram!$G$2391:$G$2563)</f>
        <v>0</v>
      </c>
      <c r="AC72" s="775">
        <f>chitiet!H2301</f>
        <v>0</v>
      </c>
      <c r="AD72" s="775">
        <f>chitiet!H2240</f>
        <v>0</v>
      </c>
      <c r="AE72" s="775">
        <f>chitiet!G2272</f>
        <v>0</v>
      </c>
      <c r="AF72" s="775"/>
      <c r="AG72" s="775"/>
      <c r="AH72" s="775"/>
      <c r="AI72" s="775"/>
      <c r="AJ72" s="775"/>
      <c r="AK72" s="775"/>
      <c r="AL72" s="775">
        <f ca="1">SUMIF('Cap ngam'!B$16:G$400,kl!$B72,'Cap ngam'!G$16:G$400)</f>
        <v>0</v>
      </c>
      <c r="AM72" s="776"/>
      <c r="AN72" s="775">
        <f t="shared" ca="1" si="15"/>
        <v>0</v>
      </c>
      <c r="AO72" s="775">
        <f t="shared" ca="1" si="16"/>
        <v>0</v>
      </c>
      <c r="AP72" s="775">
        <f t="shared" ca="1" si="17"/>
        <v>0</v>
      </c>
      <c r="AQ72" s="775">
        <f t="shared" ca="1" si="18"/>
        <v>0</v>
      </c>
      <c r="AR72" s="775">
        <f t="shared" ca="1" si="19"/>
        <v>0</v>
      </c>
      <c r="AS72" s="775">
        <f t="shared" ca="1" si="20"/>
        <v>0</v>
      </c>
      <c r="AT72" s="775">
        <f t="shared" ca="1" si="21"/>
        <v>0</v>
      </c>
      <c r="AU72" s="775">
        <f t="shared" ca="1" si="22"/>
        <v>0</v>
      </c>
      <c r="AV72" s="775">
        <f t="shared" ca="1" si="23"/>
        <v>0</v>
      </c>
      <c r="AW72" s="775">
        <f t="shared" ca="1" si="24"/>
        <v>0</v>
      </c>
      <c r="AX72" s="775">
        <f t="shared" si="25"/>
        <v>0</v>
      </c>
      <c r="AY72" s="775">
        <f t="shared" ca="1" si="26"/>
        <v>0</v>
      </c>
      <c r="AZ72" s="775">
        <f t="shared" si="27"/>
        <v>0</v>
      </c>
      <c r="BA72" s="775">
        <f t="shared" ca="1" si="1"/>
        <v>0</v>
      </c>
      <c r="BB72" s="775">
        <f t="shared" ca="1" si="2"/>
        <v>0</v>
      </c>
      <c r="BC72" s="775">
        <f t="shared" ca="1" si="3"/>
        <v>0</v>
      </c>
      <c r="BD72" s="775">
        <f t="shared" ca="1" si="4"/>
        <v>0</v>
      </c>
      <c r="BE72" s="775">
        <f t="shared" ca="1" si="5"/>
        <v>0</v>
      </c>
      <c r="BF72" s="775">
        <f t="shared" ca="1" si="6"/>
        <v>0</v>
      </c>
      <c r="BG72" s="775">
        <f t="shared" ca="1" si="7"/>
        <v>0</v>
      </c>
      <c r="BH72" s="775"/>
      <c r="BI72" s="775"/>
      <c r="BJ72" s="775"/>
      <c r="BK72" s="775"/>
      <c r="BL72" s="775"/>
      <c r="BM72" s="775"/>
      <c r="BN72" s="775"/>
      <c r="BO72" s="775">
        <f t="shared" si="33"/>
        <v>0</v>
      </c>
      <c r="BP72" s="775">
        <f t="shared" si="34"/>
        <v>0</v>
      </c>
      <c r="BQ72" s="775">
        <f t="shared" ca="1" si="10"/>
        <v>0</v>
      </c>
      <c r="BR72" s="775">
        <f t="shared" ca="1" si="35"/>
        <v>0</v>
      </c>
    </row>
    <row r="73" spans="1:70">
      <c r="A73" s="767" t="str">
        <f t="shared" ca="1" si="12"/>
        <v/>
      </c>
      <c r="B73" s="234" t="s">
        <v>2014</v>
      </c>
      <c r="C73" s="188" t="str">
        <f ca="1">IF(F73=0,"",COUNTIF($F$6:$F73,"&gt;0"))</f>
        <v/>
      </c>
      <c r="D73" s="778" t="str">
        <f>VLOOKUP($B73,dongia1,DG!$C$5,)</f>
        <v>Contactor 3P-100A</v>
      </c>
      <c r="E73" s="555" t="str">
        <f>VLOOKUP($B73,dongia1,DG!$D$5,)</f>
        <v>cái</v>
      </c>
      <c r="F73" s="779">
        <f ca="1">G73+H73</f>
        <v>0</v>
      </c>
      <c r="G73" s="775">
        <f t="shared" ca="1" si="14"/>
        <v>0</v>
      </c>
      <c r="H73" s="775">
        <f ca="1">SUMIF(CT_tram!$B$33:$G$3559,kl!B73,CT_tram!$G$33:$G$3559)</f>
        <v>0</v>
      </c>
      <c r="I73" s="775">
        <f ca="1">SUMIF(CT_tram!$B$34:$G$115,$B73,CT_tram!$G$34:$G$115)</f>
        <v>0</v>
      </c>
      <c r="J73" s="775">
        <f ca="1">SUMIF(CT_tram!$B$122:$G$204,$B73,CT_tram!$G$122:$G$204)</f>
        <v>0</v>
      </c>
      <c r="K73" s="775">
        <f ca="1">SUMIF(CT_tram!$B$211:$G$293,$B73,CT_tram!$G$211:$G$293)</f>
        <v>0</v>
      </c>
      <c r="L73" s="775">
        <f ca="1">SUMIF(CT_tram!$B$300:$G$374,$B73,CT_tram!$G$300:$G$374)</f>
        <v>0</v>
      </c>
      <c r="M73" s="775">
        <f ca="1">SUMIF(CT_tram!$B$381:$G$471,$B73,CT_tram!$G$381:$G$471)</f>
        <v>0</v>
      </c>
      <c r="N73" s="775">
        <f ca="1">SUMIF(CT_tram!$B$478:$G$560,$B73,CT_tram!$G$478:$G$560)</f>
        <v>0</v>
      </c>
      <c r="O73" s="775">
        <f ca="1">SUMIF(CT_tram!$B$567:$G$653,$B73,CT_tram!$G$567:$G$653)</f>
        <v>0</v>
      </c>
      <c r="P73" s="775">
        <f ca="1">SUMIF(CT_tram!$B$661:$G$738,$B73,CT_tram!$G$661:$G$738)</f>
        <v>0</v>
      </c>
      <c r="Q73" s="775">
        <f ca="1">SUMIF(CT_tram!$B$745:$G$899,$B73,CT_tram!$G$745:$G$899)</f>
        <v>0</v>
      </c>
      <c r="R73" s="775">
        <f ca="1">SUMIF(CT_tram!$B$907:$G$995,$B73,CT_tram!$G$907:$G$995)</f>
        <v>0</v>
      </c>
      <c r="S73" s="775"/>
      <c r="T73" s="775">
        <f ca="1">SUMIF(CT_tram!$B$1004:$G$1097,B73,CT_tram!$G$1004:$G$1097)</f>
        <v>0</v>
      </c>
      <c r="U73" s="775"/>
      <c r="V73" s="775">
        <f ca="1">SUMIF(CT_tram!$B$1226:$G$1352,kl!B73,CT_tram!$G$1226:$G$1352)</f>
        <v>0</v>
      </c>
      <c r="W73" s="780">
        <f ca="1">SUMIF(CT_tram!$B$1105:$G$1219,kl!B73,CT_tram!$G$1105:$G$1219)</f>
        <v>0</v>
      </c>
      <c r="X73" s="775">
        <f ca="1">SUMIF(CT_tram!$B$1359:$G$1504,kl!B73,CT_tram!$G$1359:$G$1504)</f>
        <v>0</v>
      </c>
      <c r="Y73" s="775">
        <f ca="1">SUMIF(CT_tram!$B$1511:$G$1625,kl!B73,CT_tram!$G$1511:$G$1625)</f>
        <v>0</v>
      </c>
      <c r="Z73" s="775">
        <f ca="1">SUMIF(CT_tram!$B$1632:$G$2211,kl!B73,CT_tram!$G$1632:$G$2211)</f>
        <v>0</v>
      </c>
      <c r="AA73" s="775">
        <f ca="1">SUMIF(CT_tram!$B$2243:$G$2384,kl!B73,CT_tram!$G$2243:$G$2384)</f>
        <v>0</v>
      </c>
      <c r="AB73" s="775">
        <f ca="1">SUMIF(CT_tram!$B$2391:$G$2563,kl!B73,CT_tram!$G$2391:$G$2563)</f>
        <v>0</v>
      </c>
      <c r="AC73" s="775">
        <f>chitiet!H2304</f>
        <v>0</v>
      </c>
      <c r="AD73" s="775">
        <f>chitiet!H2242</f>
        <v>0</v>
      </c>
      <c r="AE73" s="775">
        <f>chitiet!G2274</f>
        <v>0</v>
      </c>
      <c r="AF73" s="775"/>
      <c r="AG73" s="775"/>
      <c r="AH73" s="775"/>
      <c r="AI73" s="775"/>
      <c r="AJ73" s="775"/>
      <c r="AK73" s="775"/>
      <c r="AL73" s="775">
        <f ca="1">SUMIF('Cap ngam'!B$16:G$400,kl!$B73,'Cap ngam'!G$16:G$400)</f>
        <v>0</v>
      </c>
      <c r="AM73" s="776"/>
      <c r="AN73" s="775">
        <f t="shared" ca="1" si="15"/>
        <v>0</v>
      </c>
      <c r="AO73" s="775">
        <f t="shared" ca="1" si="16"/>
        <v>0</v>
      </c>
      <c r="AP73" s="775">
        <f t="shared" ca="1" si="17"/>
        <v>0</v>
      </c>
      <c r="AQ73" s="775">
        <f t="shared" ca="1" si="18"/>
        <v>0</v>
      </c>
      <c r="AR73" s="775">
        <f t="shared" ca="1" si="19"/>
        <v>0</v>
      </c>
      <c r="AS73" s="775">
        <f t="shared" ca="1" si="20"/>
        <v>0</v>
      </c>
      <c r="AT73" s="775">
        <f t="shared" ca="1" si="21"/>
        <v>0</v>
      </c>
      <c r="AU73" s="775">
        <f t="shared" ca="1" si="22"/>
        <v>0</v>
      </c>
      <c r="AV73" s="775">
        <f t="shared" ca="1" si="23"/>
        <v>0</v>
      </c>
      <c r="AW73" s="775">
        <f t="shared" ca="1" si="24"/>
        <v>0</v>
      </c>
      <c r="AX73" s="775">
        <f t="shared" si="25"/>
        <v>0</v>
      </c>
      <c r="AY73" s="775">
        <f t="shared" ca="1" si="26"/>
        <v>0</v>
      </c>
      <c r="AZ73" s="775">
        <f t="shared" si="27"/>
        <v>0</v>
      </c>
      <c r="BA73" s="775">
        <f t="shared" ca="1" si="1"/>
        <v>0</v>
      </c>
      <c r="BB73" s="775">
        <f t="shared" ca="1" si="2"/>
        <v>0</v>
      </c>
      <c r="BC73" s="775">
        <f t="shared" ca="1" si="3"/>
        <v>0</v>
      </c>
      <c r="BD73" s="775">
        <f t="shared" ca="1" si="4"/>
        <v>0</v>
      </c>
      <c r="BE73" s="775">
        <f t="shared" ca="1" si="5"/>
        <v>0</v>
      </c>
      <c r="BF73" s="775">
        <f t="shared" ca="1" si="6"/>
        <v>0</v>
      </c>
      <c r="BG73" s="775">
        <f t="shared" ca="1" si="7"/>
        <v>0</v>
      </c>
      <c r="BH73" s="775"/>
      <c r="BI73" s="775"/>
      <c r="BJ73" s="775"/>
      <c r="BK73" s="775"/>
      <c r="BL73" s="775"/>
      <c r="BM73" s="775"/>
      <c r="BN73" s="775"/>
      <c r="BO73" s="775">
        <f t="shared" si="33"/>
        <v>0</v>
      </c>
      <c r="BP73" s="775">
        <f t="shared" si="34"/>
        <v>0</v>
      </c>
      <c r="BQ73" s="775">
        <f t="shared" ca="1" si="10"/>
        <v>0</v>
      </c>
      <c r="BR73" s="775">
        <f t="shared" ca="1" si="35"/>
        <v>0</v>
      </c>
    </row>
    <row r="74" spans="1:70">
      <c r="A74" s="767" t="str">
        <f t="shared" ca="1" si="12"/>
        <v/>
      </c>
      <c r="B74" s="234" t="s">
        <v>1822</v>
      </c>
      <c r="C74" s="188" t="str">
        <f ca="1">IF(F74=0,"",COUNTIF($F$6:$F74,"&gt;0"))</f>
        <v/>
      </c>
      <c r="D74" s="778" t="str">
        <f>VLOOKUP($B74,dongia1,DG!$C$5,)</f>
        <v>Recloser 24kV 630-800A</v>
      </c>
      <c r="E74" s="555" t="str">
        <f>VLOOKUP($B74,dongia1,DG!$D$5,)</f>
        <v>bộ</v>
      </c>
      <c r="F74" s="779">
        <f t="shared" ca="1" si="37"/>
        <v>0</v>
      </c>
      <c r="G74" s="775">
        <f t="shared" ca="1" si="14"/>
        <v>0</v>
      </c>
      <c r="H74" s="775">
        <f ca="1">SUMIF(CT_tram!$B$33:$G$3559,kl!B74,CT_tram!$G$33:$G$3559)</f>
        <v>0</v>
      </c>
      <c r="I74" s="775">
        <f ca="1">SUMIF(CT_tram!$B$34:$G$115,$B74,CT_tram!$G$34:$G$115)</f>
        <v>0</v>
      </c>
      <c r="J74" s="775">
        <f ca="1">SUMIF(CT_tram!$B$122:$G$204,$B74,CT_tram!$G$122:$G$204)</f>
        <v>0</v>
      </c>
      <c r="K74" s="775">
        <f ca="1">SUMIF(CT_tram!$B$211:$G$293,$B74,CT_tram!$G$211:$G$293)</f>
        <v>0</v>
      </c>
      <c r="L74" s="775">
        <f ca="1">SUMIF(CT_tram!$B$300:$G$374,$B74,CT_tram!$G$300:$G$374)</f>
        <v>0</v>
      </c>
      <c r="M74" s="775">
        <f ca="1">SUMIF(CT_tram!$B$381:$G$471,$B74,CT_tram!$G$381:$G$471)</f>
        <v>0</v>
      </c>
      <c r="N74" s="775">
        <f ca="1">SUMIF(CT_tram!$B$478:$G$560,$B74,CT_tram!$G$478:$G$560)</f>
        <v>0</v>
      </c>
      <c r="O74" s="775">
        <f ca="1">SUMIF(CT_tram!$B$567:$G$653,$B74,CT_tram!$G$567:$G$653)</f>
        <v>0</v>
      </c>
      <c r="P74" s="775">
        <f ca="1">SUMIF(CT_tram!$B$661:$G$738,$B74,CT_tram!$G$661:$G$738)</f>
        <v>0</v>
      </c>
      <c r="Q74" s="775">
        <f ca="1">SUMIF(CT_tram!$B$745:$G$899,$B74,CT_tram!$G$745:$G$899)</f>
        <v>0</v>
      </c>
      <c r="R74" s="775">
        <f ca="1">SUMIF(CT_tram!$B$907:$G$995,$B74,CT_tram!$G$907:$G$995)</f>
        <v>0</v>
      </c>
      <c r="S74" s="775"/>
      <c r="T74" s="775">
        <f ca="1">SUMIF(CT_tram!$B$1004:$G$1097,B74,CT_tram!$G$1004:$G$1097)</f>
        <v>0</v>
      </c>
      <c r="U74" s="775"/>
      <c r="V74" s="775">
        <f ca="1">SUMIF(CT_tram!$B$1226:$G$1352,kl!B74,CT_tram!$G$1226:$G$1352)</f>
        <v>0</v>
      </c>
      <c r="W74" s="780">
        <f ca="1">SUMIF(CT_tram!$B$1105:$G$1219,kl!B74,CT_tram!$G$1105:$G$1219)</f>
        <v>0</v>
      </c>
      <c r="X74" s="775">
        <f ca="1">SUMIF(CT_tram!$B$1359:$G$1504,kl!B74,CT_tram!$G$1359:$G$1504)</f>
        <v>0</v>
      </c>
      <c r="Y74" s="775">
        <f ca="1">SUMIF(CT_tram!$B$1511:$G$1625,kl!B74,CT_tram!$G$1511:$G$1625)</f>
        <v>0</v>
      </c>
      <c r="Z74" s="775">
        <f ca="1">SUMIF(CT_tram!$B$1632:$G$2211,kl!B74,CT_tram!$G$1632:$G$2211)</f>
        <v>0</v>
      </c>
      <c r="AA74" s="775">
        <f ca="1">SUMIF(CT_tram!$B$2243:$G$2384,kl!B74,CT_tram!$G$2243:$G$2384)</f>
        <v>0</v>
      </c>
      <c r="AB74" s="775">
        <f ca="1">SUMIF(CT_tram!$B$2391:$G$2563,kl!B74,CT_tram!$G$2391:$G$2563)</f>
        <v>0</v>
      </c>
      <c r="AC74" s="775"/>
      <c r="AD74" s="775">
        <f>chitiet!H2252</f>
        <v>0</v>
      </c>
      <c r="AE74" s="775"/>
      <c r="AF74" s="775"/>
      <c r="AG74" s="775"/>
      <c r="AH74" s="775"/>
      <c r="AI74" s="775"/>
      <c r="AJ74" s="775"/>
      <c r="AK74" s="775"/>
      <c r="AL74" s="775">
        <f ca="1">SUMIF('Cap ngam'!B$16:G$400,kl!$B74,'Cap ngam'!G$16:G$400)</f>
        <v>0</v>
      </c>
      <c r="AM74" s="776">
        <v>500</v>
      </c>
      <c r="AN74" s="775">
        <f t="shared" ca="1" si="15"/>
        <v>0</v>
      </c>
      <c r="AO74" s="775">
        <f t="shared" ca="1" si="16"/>
        <v>0</v>
      </c>
      <c r="AP74" s="775">
        <f t="shared" ca="1" si="17"/>
        <v>0</v>
      </c>
      <c r="AQ74" s="775">
        <f t="shared" ca="1" si="18"/>
        <v>0</v>
      </c>
      <c r="AR74" s="775">
        <f t="shared" ca="1" si="19"/>
        <v>0</v>
      </c>
      <c r="AS74" s="775">
        <f t="shared" ca="1" si="20"/>
        <v>0</v>
      </c>
      <c r="AT74" s="775">
        <f t="shared" ca="1" si="21"/>
        <v>0</v>
      </c>
      <c r="AU74" s="775">
        <f t="shared" ca="1" si="22"/>
        <v>0</v>
      </c>
      <c r="AV74" s="775">
        <f t="shared" ca="1" si="23"/>
        <v>0</v>
      </c>
      <c r="AW74" s="775">
        <f t="shared" ca="1" si="24"/>
        <v>0</v>
      </c>
      <c r="AX74" s="775">
        <f t="shared" si="25"/>
        <v>0</v>
      </c>
      <c r="AY74" s="775">
        <f t="shared" ca="1" si="26"/>
        <v>0</v>
      </c>
      <c r="AZ74" s="775">
        <f t="shared" si="27"/>
        <v>0</v>
      </c>
      <c r="BA74" s="775">
        <f t="shared" ref="BA74:BA142" ca="1" si="39">V74*$AM74</f>
        <v>0</v>
      </c>
      <c r="BB74" s="775">
        <f t="shared" ref="BB74:BB142" ca="1" si="40">W74*$AM74</f>
        <v>0</v>
      </c>
      <c r="BC74" s="775">
        <f t="shared" ref="BC74:BC142" ca="1" si="41">X74*$AM74</f>
        <v>0</v>
      </c>
      <c r="BD74" s="775">
        <f t="shared" ref="BD74:BD142" ca="1" si="42">Y74*$AM74</f>
        <v>0</v>
      </c>
      <c r="BE74" s="775">
        <f t="shared" ref="BE74:BE142" ca="1" si="43">Z74*$AM74</f>
        <v>0</v>
      </c>
      <c r="BF74" s="775">
        <f t="shared" ref="BF74:BF142" ca="1" si="44">AA74*$AM74</f>
        <v>0</v>
      </c>
      <c r="BG74" s="775">
        <f t="shared" ref="BG74:BG142" ca="1" si="45">AB74*$AM74</f>
        <v>0</v>
      </c>
      <c r="BH74" s="775"/>
      <c r="BI74" s="775"/>
      <c r="BJ74" s="775"/>
      <c r="BK74" s="775"/>
      <c r="BL74" s="775"/>
      <c r="BM74" s="775"/>
      <c r="BN74" s="775"/>
      <c r="BO74" s="775">
        <f t="shared" si="33"/>
        <v>0</v>
      </c>
      <c r="BP74" s="775">
        <f t="shared" si="34"/>
        <v>0</v>
      </c>
      <c r="BQ74" s="775">
        <f t="shared" ca="1" si="10"/>
        <v>0</v>
      </c>
      <c r="BR74" s="775">
        <f t="shared" ca="1" si="35"/>
        <v>0</v>
      </c>
    </row>
    <row r="75" spans="1:70">
      <c r="A75" s="767" t="str">
        <f t="shared" ca="1" si="12"/>
        <v/>
      </c>
      <c r="B75" s="234" t="s">
        <v>1520</v>
      </c>
      <c r="C75" s="188" t="str">
        <f ca="1">IF(F75=0,"",COUNTIF($F$6:$F75,"&gt;0"))</f>
        <v/>
      </c>
      <c r="D75" s="778" t="str">
        <f>VLOOKUP($B75,dongia1,DG!$C$5,)</f>
        <v xml:space="preserve">Ampe kế 100/5A-600v +AS </v>
      </c>
      <c r="E75" s="555" t="str">
        <f>VLOOKUP($B75,dongia1,DG!$D$5,)</f>
        <v>Bộ</v>
      </c>
      <c r="F75" s="779">
        <f ca="1">G75+H75</f>
        <v>0</v>
      </c>
      <c r="G75" s="775">
        <f t="shared" ca="1" si="14"/>
        <v>0</v>
      </c>
      <c r="H75" s="775">
        <f ca="1">SUMIF(CT_tram!$B$33:$G$3559,kl!B75,CT_tram!$G$33:$G$3559)</f>
        <v>0</v>
      </c>
      <c r="I75" s="775">
        <f ca="1">SUMIF(CT_tram!$B$34:$G$115,$B75,CT_tram!$G$34:$G$115)</f>
        <v>0</v>
      </c>
      <c r="J75" s="775">
        <f ca="1">SUMIF(CT_tram!$B$122:$G$204,$B75,CT_tram!$G$122:$G$204)</f>
        <v>0</v>
      </c>
      <c r="K75" s="775">
        <f ca="1">SUMIF(CT_tram!$B$211:$G$293,$B75,CT_tram!$G$211:$G$293)</f>
        <v>0</v>
      </c>
      <c r="L75" s="775">
        <f ca="1">SUMIF(CT_tram!$B$300:$G$374,$B75,CT_tram!$G$300:$G$374)</f>
        <v>0</v>
      </c>
      <c r="M75" s="775">
        <f ca="1">SUMIF(CT_tram!$B$381:$G$471,$B75,CT_tram!$G$381:$G$471)</f>
        <v>0</v>
      </c>
      <c r="N75" s="775">
        <f ca="1">SUMIF(CT_tram!$B$478:$G$560,$B75,CT_tram!$G$478:$G$560)</f>
        <v>0</v>
      </c>
      <c r="O75" s="775">
        <f ca="1">SUMIF(CT_tram!$B$567:$G$653,$B75,CT_tram!$G$567:$G$653)</f>
        <v>0</v>
      </c>
      <c r="P75" s="775">
        <f ca="1">SUMIF(CT_tram!$B$661:$G$738,$B75,CT_tram!$G$661:$G$738)</f>
        <v>0</v>
      </c>
      <c r="Q75" s="775">
        <f ca="1">SUMIF(CT_tram!$B$745:$G$899,$B75,CT_tram!$G$745:$G$899)</f>
        <v>0</v>
      </c>
      <c r="R75" s="775">
        <f ca="1">SUMIF(CT_tram!$B$907:$G$995,$B75,CT_tram!$G$907:$G$995)</f>
        <v>0</v>
      </c>
      <c r="S75" s="775"/>
      <c r="T75" s="775">
        <f ca="1">SUMIF(CT_tram!$B$1004:$G$1097,B75,CT_tram!$G$1004:$G$1097)</f>
        <v>0</v>
      </c>
      <c r="U75" s="775"/>
      <c r="V75" s="775">
        <f ca="1">SUMIF(CT_tram!$B$1226:$G$1352,kl!B75,CT_tram!$G$1226:$G$1352)</f>
        <v>0</v>
      </c>
      <c r="W75" s="780">
        <f ca="1">SUMIF(CT_tram!$B$1105:$G$1219,kl!B75,CT_tram!$G$1105:$G$1219)</f>
        <v>0</v>
      </c>
      <c r="X75" s="775">
        <f ca="1">SUMIF(CT_tram!$B$1359:$G$1504,kl!B75,CT_tram!$G$1359:$G$1504)</f>
        <v>0</v>
      </c>
      <c r="Y75" s="775">
        <f ca="1">SUMIF(CT_tram!$B$1511:$G$1625,kl!B75,CT_tram!$G$1511:$G$1625)</f>
        <v>0</v>
      </c>
      <c r="Z75" s="775">
        <f ca="1">SUMIF(CT_tram!$B$1632:$G$2211,kl!B75,CT_tram!$G$1632:$G$2211)</f>
        <v>0</v>
      </c>
      <c r="AA75" s="775">
        <f ca="1">SUMIF(CT_tram!$B$2243:$G$2384,kl!B75,CT_tram!$G$2243:$G$2384)</f>
        <v>0</v>
      </c>
      <c r="AB75" s="775">
        <f ca="1">SUMIF(CT_tram!$B$2391:$G$2563,kl!B75,CT_tram!$G$2391:$G$2563)</f>
        <v>0</v>
      </c>
      <c r="AC75" s="775"/>
      <c r="AD75" s="775"/>
      <c r="AE75" s="775"/>
      <c r="AF75" s="775"/>
      <c r="AG75" s="775"/>
      <c r="AH75" s="775"/>
      <c r="AI75" s="775"/>
      <c r="AJ75" s="775"/>
      <c r="AK75" s="775"/>
      <c r="AL75" s="775">
        <f ca="1">SUMIF('Cap ngam'!B$16:G$400,kl!$B75,'Cap ngam'!G$16:G$400)</f>
        <v>0</v>
      </c>
      <c r="AM75" s="776"/>
      <c r="AN75" s="775">
        <f t="shared" ref="AN75:AN143" ca="1" si="46">I75*$AM75</f>
        <v>0</v>
      </c>
      <c r="AO75" s="775">
        <f t="shared" ref="AO75:AO143" ca="1" si="47">J75*$AM75</f>
        <v>0</v>
      </c>
      <c r="AP75" s="775">
        <f t="shared" ref="AP75:AP143" ca="1" si="48">K75*$AM75</f>
        <v>0</v>
      </c>
      <c r="AQ75" s="775">
        <f t="shared" ref="AQ75:AQ143" ca="1" si="49">L75*$AM75</f>
        <v>0</v>
      </c>
      <c r="AR75" s="775">
        <f t="shared" ref="AR75:AR143" ca="1" si="50">M75*$AM75</f>
        <v>0</v>
      </c>
      <c r="AS75" s="775">
        <f t="shared" ref="AS75:AS143" ca="1" si="51">N75*$AM75</f>
        <v>0</v>
      </c>
      <c r="AT75" s="775">
        <f t="shared" ref="AT75:AT143" ca="1" si="52">O75*$AM75</f>
        <v>0</v>
      </c>
      <c r="AU75" s="775">
        <f t="shared" ref="AU75:AU143" ca="1" si="53">P75*$AM75</f>
        <v>0</v>
      </c>
      <c r="AV75" s="775">
        <f t="shared" ref="AV75:AV143" ca="1" si="54">Q75*$AM75</f>
        <v>0</v>
      </c>
      <c r="AW75" s="775">
        <f t="shared" ref="AW75:AW143" ca="1" si="55">R75*$AM75</f>
        <v>0</v>
      </c>
      <c r="AX75" s="775">
        <f t="shared" ref="AX75:AX143" si="56">S75*$AM75</f>
        <v>0</v>
      </c>
      <c r="AY75" s="775">
        <f t="shared" ref="AY75:AY143" ca="1" si="57">T75*$AM75</f>
        <v>0</v>
      </c>
      <c r="AZ75" s="775">
        <f t="shared" ref="AZ75:AZ143" si="58">U75*$AM75</f>
        <v>0</v>
      </c>
      <c r="BA75" s="775">
        <f t="shared" ca="1" si="39"/>
        <v>0</v>
      </c>
      <c r="BB75" s="775">
        <f t="shared" ca="1" si="40"/>
        <v>0</v>
      </c>
      <c r="BC75" s="775">
        <f t="shared" ca="1" si="41"/>
        <v>0</v>
      </c>
      <c r="BD75" s="775">
        <f t="shared" ca="1" si="42"/>
        <v>0</v>
      </c>
      <c r="BE75" s="775">
        <f t="shared" ca="1" si="43"/>
        <v>0</v>
      </c>
      <c r="BF75" s="775">
        <f t="shared" ca="1" si="44"/>
        <v>0</v>
      </c>
      <c r="BG75" s="775">
        <f t="shared" ca="1" si="45"/>
        <v>0</v>
      </c>
      <c r="BH75" s="775"/>
      <c r="BI75" s="775"/>
      <c r="BJ75" s="775"/>
      <c r="BK75" s="775"/>
      <c r="BL75" s="775"/>
      <c r="BM75" s="775"/>
      <c r="BN75" s="775"/>
      <c r="BO75" s="775">
        <f t="shared" si="33"/>
        <v>0</v>
      </c>
      <c r="BP75" s="775">
        <f t="shared" si="34"/>
        <v>0</v>
      </c>
      <c r="BQ75" s="775">
        <f t="shared" ca="1" si="10"/>
        <v>0</v>
      </c>
      <c r="BR75" s="775">
        <f t="shared" ca="1" si="35"/>
        <v>0</v>
      </c>
    </row>
    <row r="76" spans="1:70">
      <c r="A76" s="767" t="str">
        <f t="shared" ca="1" si="12"/>
        <v/>
      </c>
      <c r="B76" s="234" t="s">
        <v>1521</v>
      </c>
      <c r="C76" s="188" t="str">
        <f ca="1">IF(F76=0,"",COUNTIF($F$6:$F76,"&gt;0"))</f>
        <v/>
      </c>
      <c r="D76" s="778" t="str">
        <f>VLOOKUP($B76,dongia1,DG!$C$5,)</f>
        <v>Volt kế 500V + VS + 2xChì ống 1A-230V</v>
      </c>
      <c r="E76" s="555" t="str">
        <f>VLOOKUP($B76,dongia1,DG!$D$5,)</f>
        <v>Bộ</v>
      </c>
      <c r="F76" s="779">
        <f ca="1">G76+H76</f>
        <v>0</v>
      </c>
      <c r="G76" s="775">
        <f t="shared" ca="1" si="14"/>
        <v>0</v>
      </c>
      <c r="H76" s="775">
        <f ca="1">SUMIF(CT_tram!$B$33:$G$3559,kl!B76,CT_tram!$G$33:$G$3559)</f>
        <v>0</v>
      </c>
      <c r="I76" s="775">
        <f ca="1">SUMIF(CT_tram!$B$34:$G$115,$B76,CT_tram!$G$34:$G$115)</f>
        <v>0</v>
      </c>
      <c r="J76" s="775">
        <f ca="1">SUMIF(CT_tram!$B$122:$G$204,$B76,CT_tram!$G$122:$G$204)</f>
        <v>0</v>
      </c>
      <c r="K76" s="775">
        <f ca="1">SUMIF(CT_tram!$B$211:$G$293,$B76,CT_tram!$G$211:$G$293)</f>
        <v>0</v>
      </c>
      <c r="L76" s="775">
        <f ca="1">SUMIF(CT_tram!$B$300:$G$374,$B76,CT_tram!$G$300:$G$374)</f>
        <v>0</v>
      </c>
      <c r="M76" s="775">
        <f ca="1">SUMIF(CT_tram!$B$381:$G$471,$B76,CT_tram!$G$381:$G$471)</f>
        <v>0</v>
      </c>
      <c r="N76" s="775">
        <f ca="1">SUMIF(CT_tram!$B$478:$G$560,$B76,CT_tram!$G$478:$G$560)</f>
        <v>0</v>
      </c>
      <c r="O76" s="775">
        <f ca="1">SUMIF(CT_tram!$B$567:$G$653,$B76,CT_tram!$G$567:$G$653)</f>
        <v>0</v>
      </c>
      <c r="P76" s="775">
        <f ca="1">SUMIF(CT_tram!$B$661:$G$738,$B76,CT_tram!$G$661:$G$738)</f>
        <v>0</v>
      </c>
      <c r="Q76" s="775">
        <f ca="1">SUMIF(CT_tram!$B$745:$G$899,$B76,CT_tram!$G$745:$G$899)</f>
        <v>0</v>
      </c>
      <c r="R76" s="775">
        <f ca="1">SUMIF(CT_tram!$B$907:$G$995,$B76,CT_tram!$G$907:$G$995)</f>
        <v>0</v>
      </c>
      <c r="S76" s="775"/>
      <c r="T76" s="775">
        <f ca="1">SUMIF(CT_tram!$B$1004:$G$1097,B76,CT_tram!$G$1004:$G$1097)</f>
        <v>0</v>
      </c>
      <c r="U76" s="775"/>
      <c r="V76" s="775">
        <f ca="1">SUMIF(CT_tram!$B$1226:$G$1352,kl!B76,CT_tram!$G$1226:$G$1352)</f>
        <v>0</v>
      </c>
      <c r="W76" s="780">
        <f ca="1">SUMIF(CT_tram!$B$1105:$G$1219,kl!B76,CT_tram!$G$1105:$G$1219)</f>
        <v>0</v>
      </c>
      <c r="X76" s="775">
        <f ca="1">SUMIF(CT_tram!$B$1359:$G$1504,kl!B76,CT_tram!$G$1359:$G$1504)</f>
        <v>0</v>
      </c>
      <c r="Y76" s="775">
        <f ca="1">SUMIF(CT_tram!$B$1511:$G$1625,kl!B76,CT_tram!$G$1511:$G$1625)</f>
        <v>0</v>
      </c>
      <c r="Z76" s="775">
        <f ca="1">SUMIF(CT_tram!$B$1632:$G$2211,kl!B76,CT_tram!$G$1632:$G$2211)</f>
        <v>0</v>
      </c>
      <c r="AA76" s="775">
        <f ca="1">SUMIF(CT_tram!$B$2243:$G$2384,kl!B76,CT_tram!$G$2243:$G$2384)</f>
        <v>0</v>
      </c>
      <c r="AB76" s="775">
        <f ca="1">SUMIF(CT_tram!$B$2391:$G$2563,kl!B76,CT_tram!$G$2391:$G$2563)</f>
        <v>0</v>
      </c>
      <c r="AC76" s="775"/>
      <c r="AD76" s="775"/>
      <c r="AE76" s="775"/>
      <c r="AF76" s="775"/>
      <c r="AG76" s="775"/>
      <c r="AH76" s="775"/>
      <c r="AI76" s="775"/>
      <c r="AJ76" s="775"/>
      <c r="AK76" s="775"/>
      <c r="AL76" s="775">
        <f ca="1">SUMIF('Cap ngam'!B$16:G$400,kl!$B76,'Cap ngam'!G$16:G$400)</f>
        <v>0</v>
      </c>
      <c r="AM76" s="776"/>
      <c r="AN76" s="775">
        <f t="shared" ca="1" si="46"/>
        <v>0</v>
      </c>
      <c r="AO76" s="775">
        <f t="shared" ca="1" si="47"/>
        <v>0</v>
      </c>
      <c r="AP76" s="775">
        <f t="shared" ca="1" si="48"/>
        <v>0</v>
      </c>
      <c r="AQ76" s="775">
        <f t="shared" ca="1" si="49"/>
        <v>0</v>
      </c>
      <c r="AR76" s="775">
        <f t="shared" ca="1" si="50"/>
        <v>0</v>
      </c>
      <c r="AS76" s="775">
        <f t="shared" ca="1" si="51"/>
        <v>0</v>
      </c>
      <c r="AT76" s="775">
        <f t="shared" ca="1" si="52"/>
        <v>0</v>
      </c>
      <c r="AU76" s="775">
        <f t="shared" ca="1" si="53"/>
        <v>0</v>
      </c>
      <c r="AV76" s="775">
        <f t="shared" ca="1" si="54"/>
        <v>0</v>
      </c>
      <c r="AW76" s="775">
        <f t="shared" ca="1" si="55"/>
        <v>0</v>
      </c>
      <c r="AX76" s="775">
        <f t="shared" si="56"/>
        <v>0</v>
      </c>
      <c r="AY76" s="775">
        <f t="shared" ca="1" si="57"/>
        <v>0</v>
      </c>
      <c r="AZ76" s="775">
        <f t="shared" si="58"/>
        <v>0</v>
      </c>
      <c r="BA76" s="775">
        <f t="shared" ca="1" si="39"/>
        <v>0</v>
      </c>
      <c r="BB76" s="775">
        <f t="shared" ca="1" si="40"/>
        <v>0</v>
      </c>
      <c r="BC76" s="775">
        <f t="shared" ca="1" si="41"/>
        <v>0</v>
      </c>
      <c r="BD76" s="775">
        <f t="shared" ca="1" si="42"/>
        <v>0</v>
      </c>
      <c r="BE76" s="775">
        <f t="shared" ca="1" si="43"/>
        <v>0</v>
      </c>
      <c r="BF76" s="775">
        <f t="shared" ca="1" si="44"/>
        <v>0</v>
      </c>
      <c r="BG76" s="775">
        <f t="shared" ca="1" si="45"/>
        <v>0</v>
      </c>
      <c r="BH76" s="775"/>
      <c r="BI76" s="775"/>
      <c r="BJ76" s="775"/>
      <c r="BK76" s="775"/>
      <c r="BL76" s="775"/>
      <c r="BM76" s="775"/>
      <c r="BN76" s="775"/>
      <c r="BO76" s="775">
        <f t="shared" si="33"/>
        <v>0</v>
      </c>
      <c r="BP76" s="775">
        <f t="shared" si="34"/>
        <v>0</v>
      </c>
      <c r="BQ76" s="775">
        <f t="shared" ca="1" si="10"/>
        <v>0</v>
      </c>
      <c r="BR76" s="775">
        <f t="shared" ca="1" si="35"/>
        <v>0</v>
      </c>
    </row>
    <row r="77" spans="1:70">
      <c r="A77" s="767" t="str">
        <f t="shared" si="12"/>
        <v/>
      </c>
      <c r="C77" s="600" t="s">
        <v>1051</v>
      </c>
      <c r="D77" s="600" t="s">
        <v>4748</v>
      </c>
      <c r="E77" s="555"/>
      <c r="F77" s="975"/>
      <c r="G77" s="976"/>
      <c r="H77" s="976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775"/>
      <c r="V77" s="775"/>
      <c r="W77" s="780"/>
      <c r="X77" s="775"/>
      <c r="Y77" s="775"/>
      <c r="Z77" s="775"/>
      <c r="AA77" s="775"/>
      <c r="AB77" s="775"/>
      <c r="AC77" s="775"/>
      <c r="AD77" s="775"/>
      <c r="AE77" s="775"/>
      <c r="AF77" s="775"/>
      <c r="AG77" s="775"/>
      <c r="AH77" s="775"/>
      <c r="AI77" s="775"/>
      <c r="AJ77" s="787"/>
      <c r="AK77" s="787"/>
      <c r="AL77" s="787"/>
      <c r="AM77" s="788"/>
      <c r="AN77" s="775"/>
      <c r="AO77" s="775"/>
      <c r="AP77" s="775"/>
      <c r="AQ77" s="775"/>
      <c r="AR77" s="775"/>
      <c r="AS77" s="775"/>
      <c r="AT77" s="775"/>
      <c r="AU77" s="775"/>
      <c r="AV77" s="775"/>
      <c r="AW77" s="775"/>
      <c r="AX77" s="775"/>
      <c r="AY77" s="775"/>
      <c r="AZ77" s="775"/>
      <c r="BA77" s="775"/>
      <c r="BB77" s="775"/>
      <c r="BC77" s="775"/>
      <c r="BD77" s="775"/>
      <c r="BE77" s="775"/>
      <c r="BF77" s="775"/>
      <c r="BG77" s="775"/>
      <c r="BH77" s="787"/>
      <c r="BI77" s="787"/>
      <c r="BJ77" s="787"/>
      <c r="BK77" s="787"/>
      <c r="BL77" s="787"/>
      <c r="BM77" s="787"/>
      <c r="BN77" s="787"/>
      <c r="BO77" s="787"/>
      <c r="BP77" s="787"/>
      <c r="BQ77" s="787"/>
      <c r="BR77" s="775"/>
    </row>
    <row r="78" spans="1:70">
      <c r="A78" s="767" t="str">
        <f t="shared" ca="1" si="12"/>
        <v/>
      </c>
      <c r="B78" s="786" t="s">
        <v>697</v>
      </c>
      <c r="C78" s="188" t="str">
        <f ca="1">IF(F78=0,"",COUNTIF($F$78:$F78,"&gt;0"))</f>
        <v/>
      </c>
      <c r="D78" s="778" t="str">
        <f>VLOOKUP($B78,dongia1,DG!$C$5,)</f>
        <v>Boulon 4x60+ 2 long đền vuông</v>
      </c>
      <c r="E78" s="555" t="str">
        <f>VLOOKUP($B78,dongia1,DG!$D$5,)</f>
        <v>bộ</v>
      </c>
      <c r="F78" s="779">
        <f ca="1">G78+H78</f>
        <v>0</v>
      </c>
      <c r="G78" s="775">
        <f t="shared" ca="1" si="14"/>
        <v>0</v>
      </c>
      <c r="H78" s="775">
        <f ca="1">SUMIF(CT_tram!$B$33:$G$3559,kl!B78,CT_tram!$G$33:$G$3559)</f>
        <v>0</v>
      </c>
      <c r="I78" s="775">
        <f ca="1">SUMIF(CT_tram!$B$34:$G$115,$B78,CT_tram!$G$34:$G$115)</f>
        <v>0</v>
      </c>
      <c r="J78" s="775">
        <f ca="1">SUMIF(CT_tram!$B$122:$G$204,$B78,CT_tram!$G$122:$G$204)</f>
        <v>0</v>
      </c>
      <c r="K78" s="775">
        <f ca="1">SUMIF(CT_tram!$B$211:$G$293,$B78,CT_tram!$G$211:$G$293)</f>
        <v>0</v>
      </c>
      <c r="L78" s="775">
        <f ca="1">SUMIF(CT_tram!$B$300:$G$374,$B78,CT_tram!$G$300:$G$374)</f>
        <v>0</v>
      </c>
      <c r="M78" s="775">
        <f ca="1">SUMIF(CT_tram!$B$381:$G$471,$B78,CT_tram!$G$381:$G$471)</f>
        <v>0</v>
      </c>
      <c r="N78" s="775">
        <f ca="1">SUMIF(CT_tram!$B$478:$G$560,$B78,CT_tram!$G$478:$G$560)</f>
        <v>0</v>
      </c>
      <c r="O78" s="775">
        <f ca="1">SUMIF(CT_tram!$B$567:$G$653,$B78,CT_tram!$G$567:$G$653)</f>
        <v>0</v>
      </c>
      <c r="P78" s="775">
        <f ca="1">SUMIF(CT_tram!$B$661:$G$738,$B78,CT_tram!$G$661:$G$738)</f>
        <v>0</v>
      </c>
      <c r="Q78" s="775">
        <f ca="1">SUMIF(CT_tram!$B$745:$G$899,$B78,CT_tram!$G$745:$G$899)</f>
        <v>0</v>
      </c>
      <c r="R78" s="775">
        <f ca="1">SUMIF(CT_tram!$B$907:$G$995,$B78,CT_tram!$G$907:$G$995)</f>
        <v>0</v>
      </c>
      <c r="S78" s="775"/>
      <c r="T78" s="775">
        <f ca="1">SUMIF(CT_tram!$B$1004:$G$1097,B78,CT_tram!$G$1004:$G$1097)</f>
        <v>0</v>
      </c>
      <c r="U78" s="775"/>
      <c r="V78" s="775">
        <f ca="1">SUMIF(CT_tram!$B$1226:$G$1352,kl!B78,CT_tram!$G$1226:$G$1352)</f>
        <v>0</v>
      </c>
      <c r="W78" s="780">
        <f ca="1">SUMIF(CT_tram!$B$1105:$G$1219,kl!B78,CT_tram!$G$1105:$G$1219)</f>
        <v>0</v>
      </c>
      <c r="X78" s="775">
        <f ca="1">SUMIF(CT_tram!$B$1359:$G$1504,kl!B78,CT_tram!$G$1359:$G$1504)</f>
        <v>0</v>
      </c>
      <c r="Y78" s="775">
        <f ca="1">SUMIF(CT_tram!$B$1511:$G$1625,kl!B78,CT_tram!$G$1511:$G$1625)</f>
        <v>0</v>
      </c>
      <c r="Z78" s="775">
        <f ca="1">SUMIF(CT_tram!$B$1632:$G$2211,kl!B78,CT_tram!$G$1632:$G$2211)</f>
        <v>0</v>
      </c>
      <c r="AA78" s="775">
        <f ca="1">SUMIF(CT_tram!$B$2243:$G$2384,kl!B78,CT_tram!$G$2243:$G$2384)</f>
        <v>0</v>
      </c>
      <c r="AB78" s="775">
        <f ca="1">SUMIF(CT_tram!$B$2391:$G$2563,kl!B78,CT_tram!$G$2391:$G$2563)</f>
        <v>0</v>
      </c>
      <c r="AC78" s="775">
        <f ca="1">SUMIF(chitiet!$B$13:$N$2352,kl!$B78,chitiet!$I$13:$I$2352)</f>
        <v>0</v>
      </c>
      <c r="AD78" s="775">
        <f ca="1">SUMIF(chitiet!$B$13:$N$2352,kl!$B78,chitiet!$J$13:$J$2352)</f>
        <v>0</v>
      </c>
      <c r="AE78" s="775">
        <f ca="1">SUMIF(chitiet!$B$13:$N$2352,kl!$B78,chitiet!$K$13:$K$2352)</f>
        <v>0</v>
      </c>
      <c r="AF78" s="775">
        <f ca="1">SUMIF(chitiet!$B$13:$N$2352,kl!$B78,chitiet!$L$13:$L$2352)</f>
        <v>0</v>
      </c>
      <c r="AG78" s="775">
        <f ca="1">SUMIF(chitiet!$B$13:$N$2352,kl!$B78,chitiet!$M$13)</f>
        <v>0</v>
      </c>
      <c r="AH78" s="775">
        <f ca="1">SUMIF(chitiet!$B$13:$N$2352,kl!$B78,chitiet!$N$13:$N$2352)</f>
        <v>0</v>
      </c>
      <c r="AI78" s="775">
        <f ca="1">SUMIF(chitiet!$B$13:$N$2352,kl!$B78,chitiet!$O$13:$O$2352)</f>
        <v>0</v>
      </c>
      <c r="AJ78" s="775">
        <f ca="1">SUMIF('Cap ngam'!$B$631:$G$723,kl!$B78,'Cap ngam'!$G$631:$G$723)</f>
        <v>0</v>
      </c>
      <c r="AK78" s="775">
        <f ca="1">SUMIF('Cap ngam'!$B$403:$G$628,kl!$B78,'Cap ngam'!G$403:G$628)</f>
        <v>0</v>
      </c>
      <c r="AL78" s="775">
        <f ca="1">SUMIF('Cap ngam'!B$16:G$400,kl!$B78,'Cap ngam'!G$16:G$400)</f>
        <v>0</v>
      </c>
      <c r="AM78" s="776">
        <v>0.1</v>
      </c>
      <c r="AN78" s="775">
        <f t="shared" ca="1" si="46"/>
        <v>0</v>
      </c>
      <c r="AO78" s="775">
        <f t="shared" ca="1" si="47"/>
        <v>0</v>
      </c>
      <c r="AP78" s="775">
        <f t="shared" ca="1" si="48"/>
        <v>0</v>
      </c>
      <c r="AQ78" s="775">
        <f t="shared" ca="1" si="49"/>
        <v>0</v>
      </c>
      <c r="AR78" s="775">
        <f t="shared" ca="1" si="50"/>
        <v>0</v>
      </c>
      <c r="AS78" s="775">
        <f t="shared" ca="1" si="51"/>
        <v>0</v>
      </c>
      <c r="AT78" s="775">
        <f t="shared" ca="1" si="52"/>
        <v>0</v>
      </c>
      <c r="AU78" s="775">
        <f t="shared" ca="1" si="53"/>
        <v>0</v>
      </c>
      <c r="AV78" s="775">
        <f t="shared" ca="1" si="54"/>
        <v>0</v>
      </c>
      <c r="AW78" s="775">
        <f t="shared" ca="1" si="55"/>
        <v>0</v>
      </c>
      <c r="AX78" s="775">
        <f t="shared" si="56"/>
        <v>0</v>
      </c>
      <c r="AY78" s="775">
        <f t="shared" ca="1" si="57"/>
        <v>0</v>
      </c>
      <c r="AZ78" s="775">
        <f t="shared" si="58"/>
        <v>0</v>
      </c>
      <c r="BA78" s="775">
        <f t="shared" ca="1" si="39"/>
        <v>0</v>
      </c>
      <c r="BB78" s="775">
        <f t="shared" ca="1" si="40"/>
        <v>0</v>
      </c>
      <c r="BC78" s="775">
        <f t="shared" ca="1" si="41"/>
        <v>0</v>
      </c>
      <c r="BD78" s="775">
        <f t="shared" ca="1" si="42"/>
        <v>0</v>
      </c>
      <c r="BE78" s="775">
        <f t="shared" ca="1" si="43"/>
        <v>0</v>
      </c>
      <c r="BF78" s="775">
        <f t="shared" ca="1" si="44"/>
        <v>0</v>
      </c>
      <c r="BG78" s="775">
        <f t="shared" ca="1" si="45"/>
        <v>0</v>
      </c>
      <c r="BH78" s="775">
        <f t="shared" ref="BH78:BH146" ca="1" si="59">AC78*$AM78</f>
        <v>0</v>
      </c>
      <c r="BI78" s="775">
        <f t="shared" ref="BI78:BI146" ca="1" si="60">AD78*$AM78</f>
        <v>0</v>
      </c>
      <c r="BJ78" s="775">
        <f t="shared" ref="BJ78:BJ146" ca="1" si="61">AE78*$AM78</f>
        <v>0</v>
      </c>
      <c r="BK78" s="775">
        <f t="shared" ref="BK78:BK146" ca="1" si="62">AF78*$AM78</f>
        <v>0</v>
      </c>
      <c r="BL78" s="775">
        <f t="shared" ref="BL78:BL146" ca="1" si="63">AG78*$AM78</f>
        <v>0</v>
      </c>
      <c r="BM78" s="775">
        <f t="shared" ref="BM78:BM146" ca="1" si="64">AH78*$AM78</f>
        <v>0</v>
      </c>
      <c r="BN78" s="775">
        <f t="shared" ref="BN78:BN146" ca="1" si="65">AI78*$AM78</f>
        <v>0</v>
      </c>
      <c r="BO78" s="775">
        <f t="shared" ref="BO78:BO146" ca="1" si="66">AJ78*$AM78</f>
        <v>0</v>
      </c>
      <c r="BP78" s="775">
        <f t="shared" ref="BP78:BP146" ca="1" si="67">AK78*$AM78</f>
        <v>0</v>
      </c>
      <c r="BQ78" s="775">
        <f t="shared" ca="1" si="10"/>
        <v>0</v>
      </c>
      <c r="BR78" s="775">
        <f t="shared" ref="BR78:BR146" ca="1" si="68">$H78*$AM78</f>
        <v>0</v>
      </c>
    </row>
    <row r="79" spans="1:70">
      <c r="A79" s="767" t="e">
        <f t="shared" ca="1" si="12"/>
        <v>#REF!</v>
      </c>
      <c r="B79" s="786" t="s">
        <v>1799</v>
      </c>
      <c r="C79" s="188" t="e">
        <f ca="1">IF(F79=0,"",COUNTIF($F$78:$F79,"&gt;0"))</f>
        <v>#REF!</v>
      </c>
      <c r="D79" s="778" t="str">
        <f>VLOOKUP($B79,dongia1,DG!$C$5,)</f>
        <v>Boulon 10x40+ 2 long đền vuông D12-50x50x3/Zn</v>
      </c>
      <c r="E79" s="555" t="str">
        <f>VLOOKUP($B79,dongia1,DG!$D$5,)</f>
        <v>bộ</v>
      </c>
      <c r="F79" s="779" t="e">
        <f ca="1">G79+H79</f>
        <v>#REF!</v>
      </c>
      <c r="G79" s="775" t="e">
        <f t="shared" ca="1" si="14"/>
        <v>#REF!</v>
      </c>
      <c r="H79" s="775">
        <f ca="1">SUMIF(CT_tram!$B$33:$G$3559,kl!B79,CT_tram!$G$33:$G$3559)</f>
        <v>0</v>
      </c>
      <c r="I79" s="775">
        <f ca="1">SUMIF(CT_tram!$B$34:$G$115,$B79,CT_tram!$G$34:$G$115)</f>
        <v>0</v>
      </c>
      <c r="J79" s="775">
        <f ca="1">SUMIF(CT_tram!$B$122:$G$204,$B79,CT_tram!$G$122:$G$204)</f>
        <v>0</v>
      </c>
      <c r="K79" s="775">
        <f ca="1">SUMIF(CT_tram!$B$211:$G$293,$B79,CT_tram!$G$211:$G$293)</f>
        <v>0</v>
      </c>
      <c r="L79" s="775">
        <f ca="1">SUMIF(CT_tram!$B$300:$G$374,$B79,CT_tram!$G$300:$G$374)</f>
        <v>0</v>
      </c>
      <c r="M79" s="775">
        <f ca="1">SUMIF(CT_tram!$B$381:$G$471,$B79,CT_tram!$G$381:$G$471)</f>
        <v>0</v>
      </c>
      <c r="N79" s="775">
        <f ca="1">SUMIF(CT_tram!$B$478:$G$560,$B79,CT_tram!$G$478:$G$560)</f>
        <v>0</v>
      </c>
      <c r="O79" s="775">
        <f ca="1">SUMIF(CT_tram!$B$567:$G$653,$B79,CT_tram!$G$567:$G$653)</f>
        <v>0</v>
      </c>
      <c r="P79" s="775">
        <f ca="1">SUMIF(CT_tram!$B$661:$G$738,$B79,CT_tram!$G$661:$G$738)</f>
        <v>0</v>
      </c>
      <c r="Q79" s="775">
        <f ca="1">SUMIF(CT_tram!$B$745:$G$899,$B79,CT_tram!$G$745:$G$899)</f>
        <v>0</v>
      </c>
      <c r="R79" s="775">
        <f ca="1">SUMIF(CT_tram!$B$907:$G$995,$B79,CT_tram!$G$907:$G$995)</f>
        <v>0</v>
      </c>
      <c r="S79" s="775"/>
      <c r="T79" s="775">
        <f ca="1">SUMIF(CT_tram!$B$1004:$G$1097,B79,CT_tram!$G$1004:$G$1097)</f>
        <v>0</v>
      </c>
      <c r="U79" s="775"/>
      <c r="V79" s="775">
        <f ca="1">SUMIF(CT_tram!$B$1226:$G$1352,kl!B79,CT_tram!$G$1226:$G$1352)</f>
        <v>0</v>
      </c>
      <c r="W79" s="780">
        <f ca="1">SUMIF(CT_tram!$B$1105:$G$1219,kl!B79,CT_tram!$G$1105:$G$1219)</f>
        <v>0</v>
      </c>
      <c r="X79" s="775">
        <f ca="1">SUMIF(CT_tram!$B$1359:$G$1504,kl!B79,CT_tram!$G$1359:$G$1504)</f>
        <v>0</v>
      </c>
      <c r="Y79" s="775">
        <f ca="1">SUMIF(CT_tram!$B$1511:$G$1625,kl!B79,CT_tram!$G$1511:$G$1625)</f>
        <v>0</v>
      </c>
      <c r="Z79" s="775">
        <f ca="1">SUMIF(CT_tram!$B$1632:$G$2211,kl!B79,CT_tram!$G$1632:$G$2211)</f>
        <v>0</v>
      </c>
      <c r="AA79" s="775">
        <f ca="1">SUMIF(CT_tram!$B$2243:$G$2384,kl!B79,CT_tram!$G$2243:$G$2384)</f>
        <v>0</v>
      </c>
      <c r="AB79" s="775">
        <f ca="1">SUMIF(CT_tram!$B$2391:$G$2563,kl!B79,CT_tram!$G$2391:$G$2563)</f>
        <v>0</v>
      </c>
      <c r="AC79" s="775">
        <f ca="1">SUMIF(chitiet!$B$13:$N$2352,kl!$B79,chitiet!$I$13:$I$2352)</f>
        <v>0</v>
      </c>
      <c r="AD79" s="775">
        <f ca="1">SUMIF(chitiet!$B$13:$N$2352,kl!$B79,chitiet!$J$13:$J$2352)</f>
        <v>0</v>
      </c>
      <c r="AE79" s="775">
        <f ca="1">SUMIF(chitiet!$B$13:$N$2352,kl!$B79,chitiet!$K$13:$K$2352)</f>
        <v>0</v>
      </c>
      <c r="AF79" s="775">
        <f ca="1">SUMIF(chitiet!$B$13:$N$2352,kl!$B79,chitiet!$L$13:$L$2352)</f>
        <v>0</v>
      </c>
      <c r="AG79" s="775">
        <f ca="1">SUMIF(chitiet!$B$13:$N$2352,kl!$B79,chitiet!$M$13)</f>
        <v>0</v>
      </c>
      <c r="AH79" s="775">
        <f ca="1">SUMIF(chitiet!$B$13:$N$2352,kl!$B79,chitiet!$N$13:$N$2352)</f>
        <v>0</v>
      </c>
      <c r="AI79" s="775">
        <f ca="1">SUMIF(chitiet!$B$13:$N$2352,kl!$B79,chitiet!$O$13:$O$2352)</f>
        <v>0</v>
      </c>
      <c r="AJ79" s="775">
        <f ca="1">SUMIF('Cap ngam'!$B$631:$G$723,kl!$B79,'Cap ngam'!$G$631:$G$723)</f>
        <v>0</v>
      </c>
      <c r="AK79" s="775" t="e">
        <f ca="1">SUMIF('Cap ngam'!$B$403:$G$628,kl!$B79,'Cap ngam'!G$403:G$628)</f>
        <v>#REF!</v>
      </c>
      <c r="AL79" s="775">
        <f ca="1">SUMIF('Cap ngam'!B$16:G$400,kl!$B79,'Cap ngam'!G$16:G$400)</f>
        <v>0</v>
      </c>
      <c r="AM79" s="776">
        <v>0.1</v>
      </c>
      <c r="AN79" s="775">
        <f t="shared" ca="1" si="46"/>
        <v>0</v>
      </c>
      <c r="AO79" s="775">
        <f t="shared" ca="1" si="47"/>
        <v>0</v>
      </c>
      <c r="AP79" s="775">
        <f t="shared" ca="1" si="48"/>
        <v>0</v>
      </c>
      <c r="AQ79" s="775">
        <f t="shared" ca="1" si="49"/>
        <v>0</v>
      </c>
      <c r="AR79" s="775">
        <f t="shared" ca="1" si="50"/>
        <v>0</v>
      </c>
      <c r="AS79" s="775">
        <f t="shared" ca="1" si="51"/>
        <v>0</v>
      </c>
      <c r="AT79" s="775">
        <f t="shared" ca="1" si="52"/>
        <v>0</v>
      </c>
      <c r="AU79" s="775">
        <f t="shared" ca="1" si="53"/>
        <v>0</v>
      </c>
      <c r="AV79" s="775">
        <f t="shared" ca="1" si="54"/>
        <v>0</v>
      </c>
      <c r="AW79" s="775">
        <f t="shared" ca="1" si="55"/>
        <v>0</v>
      </c>
      <c r="AX79" s="775">
        <f t="shared" si="56"/>
        <v>0</v>
      </c>
      <c r="AY79" s="775">
        <f t="shared" ca="1" si="57"/>
        <v>0</v>
      </c>
      <c r="AZ79" s="775">
        <f t="shared" si="58"/>
        <v>0</v>
      </c>
      <c r="BA79" s="775">
        <f t="shared" ca="1" si="39"/>
        <v>0</v>
      </c>
      <c r="BB79" s="775">
        <f t="shared" ca="1" si="40"/>
        <v>0</v>
      </c>
      <c r="BC79" s="775">
        <f t="shared" ca="1" si="41"/>
        <v>0</v>
      </c>
      <c r="BD79" s="775">
        <f t="shared" ca="1" si="42"/>
        <v>0</v>
      </c>
      <c r="BE79" s="775">
        <f t="shared" ca="1" si="43"/>
        <v>0</v>
      </c>
      <c r="BF79" s="775">
        <f t="shared" ca="1" si="44"/>
        <v>0</v>
      </c>
      <c r="BG79" s="775">
        <f t="shared" ca="1" si="45"/>
        <v>0</v>
      </c>
      <c r="BH79" s="775">
        <f t="shared" ca="1" si="59"/>
        <v>0</v>
      </c>
      <c r="BI79" s="775">
        <f t="shared" ca="1" si="60"/>
        <v>0</v>
      </c>
      <c r="BJ79" s="775">
        <f t="shared" ca="1" si="61"/>
        <v>0</v>
      </c>
      <c r="BK79" s="775">
        <f t="shared" ca="1" si="62"/>
        <v>0</v>
      </c>
      <c r="BL79" s="775">
        <f t="shared" ca="1" si="63"/>
        <v>0</v>
      </c>
      <c r="BM79" s="775">
        <f t="shared" ca="1" si="64"/>
        <v>0</v>
      </c>
      <c r="BN79" s="775">
        <f t="shared" ca="1" si="65"/>
        <v>0</v>
      </c>
      <c r="BO79" s="775">
        <f t="shared" ca="1" si="66"/>
        <v>0</v>
      </c>
      <c r="BP79" s="775" t="e">
        <f t="shared" ca="1" si="67"/>
        <v>#REF!</v>
      </c>
      <c r="BQ79" s="775">
        <f t="shared" ca="1" si="10"/>
        <v>0</v>
      </c>
      <c r="BR79" s="775">
        <f t="shared" ca="1" si="68"/>
        <v>0</v>
      </c>
    </row>
    <row r="80" spans="1:70">
      <c r="A80" s="767" t="str">
        <f t="shared" ca="1" si="12"/>
        <v>X</v>
      </c>
      <c r="B80" s="786" t="s">
        <v>235</v>
      </c>
      <c r="C80" s="188">
        <f ca="1">IF(F80=0,"",COUNTIF($F$78:$F80,"&gt;0"))</f>
        <v>1</v>
      </c>
      <c r="D80" s="778" t="str">
        <f>VLOOKUP($B80,dongia1,DG!$C$5,)</f>
        <v>Boulon 10x50+ 2 long đền vuông D12-50x50x3/Zn</v>
      </c>
      <c r="E80" s="555" t="str">
        <f>VLOOKUP($B80,dongia1,DG!$D$5,)</f>
        <v>bộ</v>
      </c>
      <c r="F80" s="779">
        <f ca="1">G80+H80</f>
        <v>24</v>
      </c>
      <c r="G80" s="775">
        <f t="shared" ca="1" si="14"/>
        <v>0</v>
      </c>
      <c r="H80" s="775">
        <f ca="1">SUMIF(CT_tram!$B$33:$G$3559,kl!B80,CT_tram!$G$33:$G$3559)</f>
        <v>24</v>
      </c>
      <c r="I80" s="775">
        <f ca="1">SUMIF(CT_tram!$B$34:$G$115,$B80,CT_tram!$G$34:$G$115)</f>
        <v>0</v>
      </c>
      <c r="J80" s="775">
        <f ca="1">SUMIF(CT_tram!$B$122:$G$204,$B80,CT_tram!$G$122:$G$204)</f>
        <v>0</v>
      </c>
      <c r="K80" s="775">
        <f ca="1">SUMIF(CT_tram!$B$211:$G$293,$B80,CT_tram!$G$211:$G$293)</f>
        <v>0</v>
      </c>
      <c r="L80" s="775">
        <f ca="1">SUMIF(CT_tram!$B$300:$G$374,$B80,CT_tram!$G$300:$G$374)</f>
        <v>0</v>
      </c>
      <c r="M80" s="775">
        <f ca="1">SUMIF(CT_tram!$B$381:$G$471,$B80,CT_tram!$G$381:$G$471)</f>
        <v>0</v>
      </c>
      <c r="N80" s="775">
        <f ca="1">SUMIF(CT_tram!$B$478:$G$560,$B80,CT_tram!$G$478:$G$560)</f>
        <v>0</v>
      </c>
      <c r="O80" s="775">
        <f ca="1">SUMIF(CT_tram!$B$567:$G$653,$B80,CT_tram!$G$567:$G$653)</f>
        <v>0</v>
      </c>
      <c r="P80" s="775">
        <f ca="1">SUMIF(CT_tram!$B$661:$G$738,$B80,CT_tram!$G$661:$G$738)</f>
        <v>0</v>
      </c>
      <c r="Q80" s="775">
        <f ca="1">SUMIF(CT_tram!$B$745:$G$899,$B80,CT_tram!$G$745:$G$899)</f>
        <v>0</v>
      </c>
      <c r="R80" s="775">
        <f ca="1">SUMIF(CT_tram!$B$907:$G$995,$B80,CT_tram!$G$907:$G$995)</f>
        <v>0</v>
      </c>
      <c r="S80" s="775"/>
      <c r="T80" s="775">
        <f ca="1">SUMIF(CT_tram!$B$1004:$G$1097,B80,CT_tram!$G$1004:$G$1097)</f>
        <v>0</v>
      </c>
      <c r="U80" s="775"/>
      <c r="V80" s="775">
        <f ca="1">SUMIF(CT_tram!$B$1226:$G$1352,kl!B80,CT_tram!$G$1226:$G$1352)</f>
        <v>0</v>
      </c>
      <c r="W80" s="780">
        <f ca="1">SUMIF(CT_tram!$B$1105:$G$1219,kl!B80,CT_tram!$G$1105:$G$1219)</f>
        <v>0</v>
      </c>
      <c r="X80" s="775">
        <f ca="1">SUMIF(CT_tram!$B$1359:$G$1504,kl!B80,CT_tram!$G$1359:$G$1504)</f>
        <v>0</v>
      </c>
      <c r="Y80" s="775">
        <f ca="1">SUMIF(CT_tram!$B$1511:$G$1625,kl!B80,CT_tram!$G$1511:$G$1625)</f>
        <v>0</v>
      </c>
      <c r="Z80" s="775">
        <f ca="1">SUMIF(CT_tram!$B$1632:$G$2211,kl!B80,CT_tram!$G$1632:$G$2211)</f>
        <v>0</v>
      </c>
      <c r="AA80" s="775">
        <f ca="1">SUMIF(CT_tram!$B$2243:$G$2384,kl!B80,CT_tram!$G$2243:$G$2384)</f>
        <v>0</v>
      </c>
      <c r="AB80" s="775">
        <f ca="1">SUMIF(CT_tram!$B$2391:$G$2563,kl!B80,CT_tram!$G$2391:$G$2563)</f>
        <v>0</v>
      </c>
      <c r="AC80" s="775">
        <f ca="1">SUMIF(chitiet!$B$13:$N$2352,kl!$B80,chitiet!$I$13:$I$2352)</f>
        <v>0</v>
      </c>
      <c r="AD80" s="775">
        <f ca="1">SUMIF(chitiet!$B$13:$N$2352,kl!$B80,chitiet!$J$13:$J$2352)</f>
        <v>0</v>
      </c>
      <c r="AE80" s="775">
        <f ca="1">SUMIF(chitiet!$B$13:$N$2352,kl!$B80,chitiet!$K$13:$K$2352)</f>
        <v>0</v>
      </c>
      <c r="AF80" s="775">
        <f ca="1">SUMIF(chitiet!$B$13:$N$2352,kl!$B80,chitiet!$L$13:$L$2352)</f>
        <v>0</v>
      </c>
      <c r="AG80" s="775">
        <f ca="1">SUMIF(chitiet!$B$13:$N$2352,kl!$B80,chitiet!$M$13)</f>
        <v>0</v>
      </c>
      <c r="AH80" s="775">
        <f ca="1">SUMIF(chitiet!$B$13:$N$2352,kl!$B80,chitiet!$N$13:$N$2352)</f>
        <v>0</v>
      </c>
      <c r="AI80" s="775">
        <f ca="1">SUMIF(chitiet!$B$13:$N$2352,kl!$B80,chitiet!$O$13:$O$2352)</f>
        <v>0</v>
      </c>
      <c r="AJ80" s="775">
        <f ca="1">SUMIF('Cap ngam'!$B$631:$G$723,kl!$B80,'Cap ngam'!$G$631:$G$723)</f>
        <v>0</v>
      </c>
      <c r="AK80" s="775">
        <f ca="1">SUMIF('Cap ngam'!$B$403:$G$628,kl!$B80,'Cap ngam'!G$403:G$628)</f>
        <v>0</v>
      </c>
      <c r="AL80" s="775">
        <f ca="1">SUMIF('Cap ngam'!B$16:G$400,kl!$B80,'Cap ngam'!G$16:G$400)</f>
        <v>0</v>
      </c>
      <c r="AM80" s="776">
        <v>0.1</v>
      </c>
      <c r="AN80" s="775">
        <f t="shared" ca="1" si="46"/>
        <v>0</v>
      </c>
      <c r="AO80" s="775">
        <f t="shared" ca="1" si="47"/>
        <v>0</v>
      </c>
      <c r="AP80" s="775">
        <f t="shared" ca="1" si="48"/>
        <v>0</v>
      </c>
      <c r="AQ80" s="775">
        <f t="shared" ca="1" si="49"/>
        <v>0</v>
      </c>
      <c r="AR80" s="775">
        <f t="shared" ca="1" si="50"/>
        <v>0</v>
      </c>
      <c r="AS80" s="775">
        <f t="shared" ca="1" si="51"/>
        <v>0</v>
      </c>
      <c r="AT80" s="775">
        <f t="shared" ca="1" si="52"/>
        <v>0</v>
      </c>
      <c r="AU80" s="775">
        <f t="shared" ca="1" si="53"/>
        <v>0</v>
      </c>
      <c r="AV80" s="775">
        <f t="shared" ca="1" si="54"/>
        <v>0</v>
      </c>
      <c r="AW80" s="775">
        <f t="shared" ca="1" si="55"/>
        <v>0</v>
      </c>
      <c r="AX80" s="775">
        <f t="shared" si="56"/>
        <v>0</v>
      </c>
      <c r="AY80" s="775">
        <f t="shared" ca="1" si="57"/>
        <v>0</v>
      </c>
      <c r="AZ80" s="775">
        <f t="shared" si="58"/>
        <v>0</v>
      </c>
      <c r="BA80" s="775">
        <f t="shared" ca="1" si="39"/>
        <v>0</v>
      </c>
      <c r="BB80" s="775">
        <f t="shared" ca="1" si="40"/>
        <v>0</v>
      </c>
      <c r="BC80" s="775">
        <f t="shared" ca="1" si="41"/>
        <v>0</v>
      </c>
      <c r="BD80" s="775">
        <f t="shared" ca="1" si="42"/>
        <v>0</v>
      </c>
      <c r="BE80" s="775">
        <f t="shared" ca="1" si="43"/>
        <v>0</v>
      </c>
      <c r="BF80" s="775">
        <f t="shared" ca="1" si="44"/>
        <v>0</v>
      </c>
      <c r="BG80" s="775">
        <f t="shared" ca="1" si="45"/>
        <v>0</v>
      </c>
      <c r="BH80" s="775">
        <f t="shared" ca="1" si="59"/>
        <v>0</v>
      </c>
      <c r="BI80" s="775">
        <f t="shared" ca="1" si="60"/>
        <v>0</v>
      </c>
      <c r="BJ80" s="775">
        <f t="shared" ca="1" si="61"/>
        <v>0</v>
      </c>
      <c r="BK80" s="775">
        <f t="shared" ca="1" si="62"/>
        <v>0</v>
      </c>
      <c r="BL80" s="775">
        <f t="shared" ca="1" si="63"/>
        <v>0</v>
      </c>
      <c r="BM80" s="775">
        <f t="shared" ca="1" si="64"/>
        <v>0</v>
      </c>
      <c r="BN80" s="775">
        <f t="shared" ca="1" si="65"/>
        <v>0</v>
      </c>
      <c r="BO80" s="775">
        <f t="shared" ca="1" si="66"/>
        <v>0</v>
      </c>
      <c r="BP80" s="775">
        <f t="shared" ca="1" si="67"/>
        <v>0</v>
      </c>
      <c r="BQ80" s="775">
        <f t="shared" ca="1" si="10"/>
        <v>0</v>
      </c>
      <c r="BR80" s="775">
        <f t="shared" ca="1" si="68"/>
        <v>2.4000000000000004</v>
      </c>
    </row>
    <row r="81" spans="1:70">
      <c r="A81" s="767" t="str">
        <f t="shared" ca="1" si="12"/>
        <v/>
      </c>
      <c r="B81" s="786" t="s">
        <v>619</v>
      </c>
      <c r="C81" s="188" t="str">
        <f ca="1">IF(F81=0,"",COUNTIF($F$78:$F81,"&gt;0"))</f>
        <v/>
      </c>
      <c r="D81" s="778" t="str">
        <f>VLOOKUP($B81,dongia1,DG!$C$5,)</f>
        <v>Boulon 12x30+ 2 long đền vuông D14-50x50x3/Zn</v>
      </c>
      <c r="E81" s="555" t="str">
        <f>VLOOKUP($B81,dongia1,DG!$D$5,)</f>
        <v>bộ</v>
      </c>
      <c r="F81" s="779">
        <f t="shared" ref="F81:F96" ca="1" si="69">G81+H81</f>
        <v>0</v>
      </c>
      <c r="G81" s="775">
        <f t="shared" ca="1" si="14"/>
        <v>0</v>
      </c>
      <c r="H81" s="775">
        <f ca="1">SUMIF(CT_tram!$B$33:$G$3559,kl!B81,CT_tram!$G$33:$G$3559)</f>
        <v>0</v>
      </c>
      <c r="I81" s="775">
        <f ca="1">SUMIF(CT_tram!$B$34:$G$115,$B81,CT_tram!$G$34:$G$115)</f>
        <v>0</v>
      </c>
      <c r="J81" s="775">
        <f ca="1">SUMIF(CT_tram!$B$122:$G$204,$B81,CT_tram!$G$122:$G$204)</f>
        <v>0</v>
      </c>
      <c r="K81" s="775">
        <f ca="1">SUMIF(CT_tram!$B$211:$G$293,$B81,CT_tram!$G$211:$G$293)</f>
        <v>0</v>
      </c>
      <c r="L81" s="775">
        <f ca="1">SUMIF(CT_tram!$B$300:$G$374,$B81,CT_tram!$G$300:$G$374)</f>
        <v>0</v>
      </c>
      <c r="M81" s="775">
        <f ca="1">SUMIF(CT_tram!$B$381:$G$471,$B81,CT_tram!$G$381:$G$471)</f>
        <v>0</v>
      </c>
      <c r="N81" s="775">
        <f ca="1">SUMIF(CT_tram!$B$478:$G$560,$B81,CT_tram!$G$478:$G$560)</f>
        <v>0</v>
      </c>
      <c r="O81" s="775">
        <f ca="1">SUMIF(CT_tram!$B$567:$G$653,$B81,CT_tram!$G$567:$G$653)</f>
        <v>0</v>
      </c>
      <c r="P81" s="775">
        <f ca="1">SUMIF(CT_tram!$B$661:$G$738,$B81,CT_tram!$G$661:$G$738)</f>
        <v>0</v>
      </c>
      <c r="Q81" s="775">
        <f ca="1">SUMIF(CT_tram!$B$745:$G$899,$B81,CT_tram!$G$745:$G$899)</f>
        <v>0</v>
      </c>
      <c r="R81" s="775">
        <f ca="1">SUMIF(CT_tram!$B$907:$G$995,$B81,CT_tram!$G$907:$G$995)</f>
        <v>0</v>
      </c>
      <c r="S81" s="775"/>
      <c r="T81" s="775">
        <f ca="1">SUMIF(CT_tram!$B$1004:$G$1097,B81,CT_tram!$G$1004:$G$1097)</f>
        <v>0</v>
      </c>
      <c r="U81" s="775"/>
      <c r="V81" s="775">
        <f ca="1">SUMIF(CT_tram!$B$1226:$G$1352,kl!B81,CT_tram!$G$1226:$G$1352)</f>
        <v>0</v>
      </c>
      <c r="W81" s="780">
        <f ca="1">SUMIF(CT_tram!$B$1105:$G$1219,kl!B81,CT_tram!$G$1105:$G$1219)</f>
        <v>0</v>
      </c>
      <c r="X81" s="775">
        <f ca="1">SUMIF(CT_tram!$B$1359:$G$1504,kl!B81,CT_tram!$G$1359:$G$1504)</f>
        <v>0</v>
      </c>
      <c r="Y81" s="775">
        <f ca="1">SUMIF(CT_tram!$B$1511:$G$1625,kl!B81,CT_tram!$G$1511:$G$1625)</f>
        <v>0</v>
      </c>
      <c r="Z81" s="775">
        <f ca="1">SUMIF(CT_tram!$B$1632:$G$2211,kl!B81,CT_tram!$G$1632:$G$2211)</f>
        <v>0</v>
      </c>
      <c r="AA81" s="775">
        <f ca="1">SUMIF(CT_tram!$B$2243:$G$2384,kl!B81,CT_tram!$G$2243:$G$2384)</f>
        <v>0</v>
      </c>
      <c r="AB81" s="775">
        <f ca="1">SUMIF(CT_tram!$B$2391:$G$2563,kl!B81,CT_tram!$G$2391:$G$2563)</f>
        <v>0</v>
      </c>
      <c r="AC81" s="775">
        <f ca="1">SUMIF(chitiet!$B$13:$N$2352,kl!$B81,chitiet!$I$13:$I$2352)</f>
        <v>0</v>
      </c>
      <c r="AD81" s="775">
        <f ca="1">SUMIF(chitiet!$B$13:$N$2352,kl!$B81,chitiet!$J$13:$J$2352)</f>
        <v>0</v>
      </c>
      <c r="AE81" s="775">
        <f ca="1">SUMIF(chitiet!$B$13:$N$2352,kl!$B81,chitiet!$K$13:$K$2352)</f>
        <v>0</v>
      </c>
      <c r="AF81" s="775">
        <f ca="1">SUMIF(chitiet!$B$13:$N$2352,kl!$B81,chitiet!$L$13:$L$2352)</f>
        <v>0</v>
      </c>
      <c r="AG81" s="775">
        <f ca="1">SUMIF(chitiet!$B$13:$N$2352,kl!$B81,chitiet!$M$13)</f>
        <v>0</v>
      </c>
      <c r="AH81" s="775">
        <f ca="1">SUMIF(chitiet!$B$13:$N$2352,kl!$B81,chitiet!$N$13:$N$2352)</f>
        <v>0</v>
      </c>
      <c r="AI81" s="775">
        <f ca="1">SUMIF(chitiet!$B$13:$N$2352,kl!$B81,chitiet!$O$13:$O$2352)</f>
        <v>0</v>
      </c>
      <c r="AJ81" s="775">
        <f ca="1">SUMIF('Cap ngam'!$B$631:$G$723,kl!$B81,'Cap ngam'!$G$631:$G$723)</f>
        <v>0</v>
      </c>
      <c r="AK81" s="775">
        <f ca="1">SUMIF('Cap ngam'!$B$403:$G$628,kl!$B81,'Cap ngam'!G$403:G$628)</f>
        <v>0</v>
      </c>
      <c r="AL81" s="775">
        <f ca="1">SUMIF('Cap ngam'!B$16:G$400,kl!$B81,'Cap ngam'!G$16:G$400)</f>
        <v>0</v>
      </c>
      <c r="AM81" s="776">
        <v>0.15</v>
      </c>
      <c r="AN81" s="775">
        <f t="shared" ca="1" si="46"/>
        <v>0</v>
      </c>
      <c r="AO81" s="775">
        <f t="shared" ca="1" si="47"/>
        <v>0</v>
      </c>
      <c r="AP81" s="775">
        <f t="shared" ca="1" si="48"/>
        <v>0</v>
      </c>
      <c r="AQ81" s="775">
        <f t="shared" ca="1" si="49"/>
        <v>0</v>
      </c>
      <c r="AR81" s="775">
        <f t="shared" ca="1" si="50"/>
        <v>0</v>
      </c>
      <c r="AS81" s="775">
        <f t="shared" ca="1" si="51"/>
        <v>0</v>
      </c>
      <c r="AT81" s="775">
        <f t="shared" ca="1" si="52"/>
        <v>0</v>
      </c>
      <c r="AU81" s="775">
        <f t="shared" ca="1" si="53"/>
        <v>0</v>
      </c>
      <c r="AV81" s="775">
        <f t="shared" ca="1" si="54"/>
        <v>0</v>
      </c>
      <c r="AW81" s="775">
        <f t="shared" ca="1" si="55"/>
        <v>0</v>
      </c>
      <c r="AX81" s="775">
        <f t="shared" si="56"/>
        <v>0</v>
      </c>
      <c r="AY81" s="775">
        <f t="shared" ca="1" si="57"/>
        <v>0</v>
      </c>
      <c r="AZ81" s="775">
        <f t="shared" si="58"/>
        <v>0</v>
      </c>
      <c r="BA81" s="775">
        <f t="shared" ca="1" si="39"/>
        <v>0</v>
      </c>
      <c r="BB81" s="775">
        <f t="shared" ca="1" si="40"/>
        <v>0</v>
      </c>
      <c r="BC81" s="775">
        <f t="shared" ca="1" si="41"/>
        <v>0</v>
      </c>
      <c r="BD81" s="775">
        <f t="shared" ca="1" si="42"/>
        <v>0</v>
      </c>
      <c r="BE81" s="775">
        <f t="shared" ca="1" si="43"/>
        <v>0</v>
      </c>
      <c r="BF81" s="775">
        <f t="shared" ca="1" si="44"/>
        <v>0</v>
      </c>
      <c r="BG81" s="775">
        <f t="shared" ca="1" si="45"/>
        <v>0</v>
      </c>
      <c r="BH81" s="775">
        <f t="shared" ca="1" si="59"/>
        <v>0</v>
      </c>
      <c r="BI81" s="775">
        <f t="shared" ca="1" si="60"/>
        <v>0</v>
      </c>
      <c r="BJ81" s="775">
        <f t="shared" ca="1" si="61"/>
        <v>0</v>
      </c>
      <c r="BK81" s="775">
        <f t="shared" ca="1" si="62"/>
        <v>0</v>
      </c>
      <c r="BL81" s="775">
        <f t="shared" ca="1" si="63"/>
        <v>0</v>
      </c>
      <c r="BM81" s="775">
        <f t="shared" ca="1" si="64"/>
        <v>0</v>
      </c>
      <c r="BN81" s="775">
        <f t="shared" ca="1" si="65"/>
        <v>0</v>
      </c>
      <c r="BO81" s="775">
        <f t="shared" ca="1" si="66"/>
        <v>0</v>
      </c>
      <c r="BP81" s="775">
        <f t="shared" ca="1" si="67"/>
        <v>0</v>
      </c>
      <c r="BQ81" s="775">
        <f t="shared" ca="1" si="10"/>
        <v>0</v>
      </c>
      <c r="BR81" s="775">
        <f t="shared" ca="1" si="68"/>
        <v>0</v>
      </c>
    </row>
    <row r="82" spans="1:70">
      <c r="A82" s="767" t="str">
        <f t="shared" ca="1" si="12"/>
        <v/>
      </c>
      <c r="B82" s="786" t="s">
        <v>1998</v>
      </c>
      <c r="C82" s="188" t="str">
        <f ca="1">IF(F82=0,"",COUNTIF($F$78:$F82,"&gt;0"))</f>
        <v/>
      </c>
      <c r="D82" s="778" t="str">
        <f>VLOOKUP($B82,dongia1,DG!$C$5,)</f>
        <v>Boulon 12x40+ 2 long đền vuông D14-50x50x3/Zn</v>
      </c>
      <c r="E82" s="555" t="str">
        <f>VLOOKUP($B82,dongia1,DG!$D$5,)</f>
        <v>bộ</v>
      </c>
      <c r="F82" s="975">
        <f ca="1">G82+H82</f>
        <v>0</v>
      </c>
      <c r="G82" s="976">
        <f ca="1">SUM(AC82:AL82)</f>
        <v>0</v>
      </c>
      <c r="H82" s="976">
        <f ca="1">SUMIF(CT_tram!$B$33:$G$3559,kl!B82,CT_tram!$G$33:$G$3559)</f>
        <v>0</v>
      </c>
      <c r="I82" s="775">
        <f ca="1">SUMIF(CT_tram!$B$34:$G$115,$B82,CT_tram!$G$34:$G$115)</f>
        <v>0</v>
      </c>
      <c r="J82" s="775">
        <f ca="1">SUMIF(CT_tram!$B$122:$G$204,$B82,CT_tram!$G$122:$G$204)</f>
        <v>0</v>
      </c>
      <c r="K82" s="775">
        <f ca="1">SUMIF(CT_tram!$B$211:$G$293,$B82,CT_tram!$G$211:$G$293)</f>
        <v>0</v>
      </c>
      <c r="L82" s="775">
        <f ca="1">SUMIF(CT_tram!$B$300:$G$374,$B82,CT_tram!$G$300:$G$374)</f>
        <v>0</v>
      </c>
      <c r="M82" s="775">
        <f ca="1">SUMIF(CT_tram!$B$381:$G$471,$B82,CT_tram!$G$381:$G$471)</f>
        <v>0</v>
      </c>
      <c r="N82" s="775">
        <f ca="1">SUMIF(CT_tram!$B$478:$G$560,$B82,CT_tram!$G$478:$G$560)</f>
        <v>0</v>
      </c>
      <c r="O82" s="775">
        <f ca="1">SUMIF(CT_tram!$B$567:$G$653,$B82,CT_tram!$G$567:$G$653)</f>
        <v>0</v>
      </c>
      <c r="P82" s="775">
        <f ca="1">SUMIF(CT_tram!$B$661:$G$738,$B82,CT_tram!$G$661:$G$738)</f>
        <v>0</v>
      </c>
      <c r="Q82" s="775">
        <f ca="1">SUMIF(CT_tram!$B$745:$G$899,$B82,CT_tram!$G$745:$G$899)</f>
        <v>0</v>
      </c>
      <c r="R82" s="775">
        <f ca="1">SUMIF(CT_tram!$B$907:$G$995,$B82,CT_tram!$G$907:$G$995)</f>
        <v>0</v>
      </c>
      <c r="S82" s="775"/>
      <c r="T82" s="775">
        <f ca="1">SUMIF(CT_tram!$B$1004:$G$1097,B82,CT_tram!$G$1004:$G$1097)</f>
        <v>0</v>
      </c>
      <c r="U82" s="775"/>
      <c r="V82" s="775">
        <f ca="1">SUMIF(CT_tram!$B$1226:$G$1352,kl!B82,CT_tram!$G$1226:$G$1352)</f>
        <v>0</v>
      </c>
      <c r="W82" s="780">
        <f ca="1">SUMIF(CT_tram!$B$1105:$G$1219,kl!B82,CT_tram!$G$1105:$G$1219)</f>
        <v>0</v>
      </c>
      <c r="X82" s="775">
        <f ca="1">SUMIF(CT_tram!$B$1359:$G$1504,kl!B82,CT_tram!$G$1359:$G$1504)</f>
        <v>0</v>
      </c>
      <c r="Y82" s="775">
        <f ca="1">SUMIF(CT_tram!$B$1511:$G$1625,kl!B82,CT_tram!$G$1511:$G$1625)</f>
        <v>0</v>
      </c>
      <c r="Z82" s="775">
        <f ca="1">SUMIF(CT_tram!$B$1632:$G$2211,kl!B82,CT_tram!$G$1632:$G$2211)</f>
        <v>0</v>
      </c>
      <c r="AA82" s="775">
        <f ca="1">SUMIF(CT_tram!$B$2243:$G$2384,kl!B82,CT_tram!$G$2243:$G$2384)</f>
        <v>0</v>
      </c>
      <c r="AB82" s="775">
        <f ca="1">SUMIF(CT_tram!$B$2391:$G$2563,kl!B82,CT_tram!$G$2391:$G$2563)</f>
        <v>0</v>
      </c>
      <c r="AC82" s="775">
        <f ca="1">SUMIF(chitiet!$B$13:$N$2352,kl!$B82,chitiet!$I$13:$I$2352)</f>
        <v>0</v>
      </c>
      <c r="AD82" s="775">
        <f ca="1">SUMIF(chitiet!$B$13:$N$2352,kl!$B82,chitiet!$J$13:$J$2352)</f>
        <v>0</v>
      </c>
      <c r="AE82" s="775">
        <f ca="1">SUMIF(chitiet!$B$13:$N$2352,kl!$B82,chitiet!$K$13:$K$2352)</f>
        <v>0</v>
      </c>
      <c r="AF82" s="775"/>
      <c r="AG82" s="775">
        <f ca="1">SUMIF(chitiet!$B$13:$N$2352,kl!$B82,chitiet!$M$13)</f>
        <v>0</v>
      </c>
      <c r="AH82" s="775">
        <f ca="1">SUMIF(chitiet!$B$13:$N$2352,kl!$B82,chitiet!$N$13:$N$2352)</f>
        <v>0</v>
      </c>
      <c r="AI82" s="775">
        <f ca="1">SUMIF(chitiet!$B$13:$N$2352,kl!$B82,chitiet!$O$13:$O$2352)</f>
        <v>0</v>
      </c>
      <c r="AJ82" s="775">
        <f ca="1">SUMIF('Cap ngam'!$B$631:$G$723,kl!$B82,'Cap ngam'!$G$631:$G$723)</f>
        <v>0</v>
      </c>
      <c r="AK82" s="775">
        <f ca="1">SUMIF('Cap ngam'!$B$403:$G$628,kl!$B82,'Cap ngam'!G$403:G$628)</f>
        <v>0</v>
      </c>
      <c r="AL82" s="775">
        <f ca="1">SUMIF('Cap ngam'!B$16:G$400,kl!$B82,'Cap ngam'!G$16:G$400)</f>
        <v>0</v>
      </c>
      <c r="AM82" s="776">
        <v>0.15</v>
      </c>
      <c r="AN82" s="775">
        <f t="shared" ca="1" si="46"/>
        <v>0</v>
      </c>
      <c r="AO82" s="775">
        <f t="shared" ca="1" si="47"/>
        <v>0</v>
      </c>
      <c r="AP82" s="775">
        <f t="shared" ca="1" si="48"/>
        <v>0</v>
      </c>
      <c r="AQ82" s="775">
        <f t="shared" ca="1" si="49"/>
        <v>0</v>
      </c>
      <c r="AR82" s="775">
        <f t="shared" ca="1" si="50"/>
        <v>0</v>
      </c>
      <c r="AS82" s="775">
        <f t="shared" ca="1" si="51"/>
        <v>0</v>
      </c>
      <c r="AT82" s="775">
        <f t="shared" ca="1" si="52"/>
        <v>0</v>
      </c>
      <c r="AU82" s="775">
        <f t="shared" ca="1" si="53"/>
        <v>0</v>
      </c>
      <c r="AV82" s="775">
        <f t="shared" ca="1" si="54"/>
        <v>0</v>
      </c>
      <c r="AW82" s="775">
        <f t="shared" ca="1" si="55"/>
        <v>0</v>
      </c>
      <c r="AX82" s="775">
        <f t="shared" si="56"/>
        <v>0</v>
      </c>
      <c r="AY82" s="775">
        <f t="shared" ca="1" si="57"/>
        <v>0</v>
      </c>
      <c r="AZ82" s="775">
        <f t="shared" si="58"/>
        <v>0</v>
      </c>
      <c r="BA82" s="775">
        <f t="shared" ca="1" si="39"/>
        <v>0</v>
      </c>
      <c r="BB82" s="775">
        <f t="shared" ca="1" si="40"/>
        <v>0</v>
      </c>
      <c r="BC82" s="775">
        <f t="shared" ca="1" si="41"/>
        <v>0</v>
      </c>
      <c r="BD82" s="775">
        <f t="shared" ca="1" si="42"/>
        <v>0</v>
      </c>
      <c r="BE82" s="775">
        <f t="shared" ca="1" si="43"/>
        <v>0</v>
      </c>
      <c r="BF82" s="775">
        <f t="shared" ca="1" si="44"/>
        <v>0</v>
      </c>
      <c r="BG82" s="775">
        <f t="shared" ca="1" si="45"/>
        <v>0</v>
      </c>
      <c r="BH82" s="775">
        <f t="shared" ca="1" si="59"/>
        <v>0</v>
      </c>
      <c r="BI82" s="775">
        <f t="shared" ca="1" si="60"/>
        <v>0</v>
      </c>
      <c r="BJ82" s="775">
        <f t="shared" ca="1" si="61"/>
        <v>0</v>
      </c>
      <c r="BK82" s="775">
        <f t="shared" si="62"/>
        <v>0</v>
      </c>
      <c r="BL82" s="775">
        <f t="shared" ca="1" si="63"/>
        <v>0</v>
      </c>
      <c r="BM82" s="775">
        <f t="shared" ca="1" si="64"/>
        <v>0</v>
      </c>
      <c r="BN82" s="775">
        <f t="shared" ca="1" si="65"/>
        <v>0</v>
      </c>
      <c r="BO82" s="775">
        <f t="shared" ca="1" si="66"/>
        <v>0</v>
      </c>
      <c r="BP82" s="775">
        <f t="shared" ca="1" si="67"/>
        <v>0</v>
      </c>
      <c r="BQ82" s="775">
        <f t="shared" ca="1" si="10"/>
        <v>0</v>
      </c>
      <c r="BR82" s="775">
        <f t="shared" ca="1" si="68"/>
        <v>0</v>
      </c>
    </row>
    <row r="83" spans="1:70">
      <c r="A83" s="767" t="str">
        <f t="shared" ca="1" si="12"/>
        <v/>
      </c>
      <c r="B83" s="786" t="s">
        <v>652</v>
      </c>
      <c r="C83" s="188" t="str">
        <f ca="1">IF(F83=0,"",COUNTIF($F$78:$F83,"&gt;0"))</f>
        <v/>
      </c>
      <c r="D83" s="778" t="str">
        <f>VLOOKUP($B83,dongia1,DG!$C$5,)</f>
        <v>Boulon 12x50+ 2 long đền vuông D14-50x50x3/Zn</v>
      </c>
      <c r="E83" s="555" t="str">
        <f>VLOOKUP($B83,dongia1,DG!$D$5,)</f>
        <v>bộ</v>
      </c>
      <c r="F83" s="779">
        <f t="shared" ca="1" si="69"/>
        <v>0</v>
      </c>
      <c r="G83" s="775">
        <f t="shared" ca="1" si="14"/>
        <v>0</v>
      </c>
      <c r="H83" s="775">
        <f ca="1">SUMIF(CT_tram!$B$33:$G$3559,kl!B83,CT_tram!$G$33:$G$3559)</f>
        <v>0</v>
      </c>
      <c r="I83" s="775">
        <f ca="1">SUMIF(CT_tram!$B$34:$G$115,$B83,CT_tram!$G$34:$G$115)</f>
        <v>0</v>
      </c>
      <c r="J83" s="775">
        <f ca="1">SUMIF(CT_tram!$B$122:$G$204,$B83,CT_tram!$G$122:$G$204)</f>
        <v>0</v>
      </c>
      <c r="K83" s="775">
        <f ca="1">SUMIF(CT_tram!$B$211:$G$293,$B83,CT_tram!$G$211:$G$293)</f>
        <v>0</v>
      </c>
      <c r="L83" s="775">
        <f ca="1">SUMIF(CT_tram!$B$300:$G$374,$B83,CT_tram!$G$300:$G$374)</f>
        <v>0</v>
      </c>
      <c r="M83" s="775">
        <f ca="1">SUMIF(CT_tram!$B$381:$G$471,$B83,CT_tram!$G$381:$G$471)</f>
        <v>0</v>
      </c>
      <c r="N83" s="775">
        <f ca="1">SUMIF(CT_tram!$B$478:$G$560,$B83,CT_tram!$G$478:$G$560)</f>
        <v>0</v>
      </c>
      <c r="O83" s="775">
        <f ca="1">SUMIF(CT_tram!$B$567:$G$653,$B83,CT_tram!$G$567:$G$653)</f>
        <v>0</v>
      </c>
      <c r="P83" s="775">
        <f ca="1">SUMIF(CT_tram!$B$661:$G$738,$B83,CT_tram!$G$661:$G$738)</f>
        <v>0</v>
      </c>
      <c r="Q83" s="775">
        <f ca="1">SUMIF(CT_tram!$B$745:$G$899,$B83,CT_tram!$G$745:$G$899)</f>
        <v>0</v>
      </c>
      <c r="R83" s="775">
        <f ca="1">SUMIF(CT_tram!$B$907:$G$995,$B83,CT_tram!$G$907:$G$995)</f>
        <v>0</v>
      </c>
      <c r="S83" s="775"/>
      <c r="T83" s="775">
        <f ca="1">SUMIF(CT_tram!$B$1004:$G$1097,B83,CT_tram!$G$1004:$G$1097)</f>
        <v>0</v>
      </c>
      <c r="U83" s="775"/>
      <c r="V83" s="775">
        <f ca="1">SUMIF(CT_tram!$B$1226:$G$1352,kl!B83,CT_tram!$G$1226:$G$1352)</f>
        <v>0</v>
      </c>
      <c r="W83" s="780">
        <f ca="1">SUMIF(CT_tram!$B$1105:$G$1219,kl!B83,CT_tram!$G$1105:$G$1219)</f>
        <v>0</v>
      </c>
      <c r="X83" s="775">
        <f ca="1">SUMIF(CT_tram!$B$1359:$G$1504,kl!B83,CT_tram!$G$1359:$G$1504)</f>
        <v>0</v>
      </c>
      <c r="Y83" s="775">
        <f ca="1">SUMIF(CT_tram!$B$1511:$G$1625,kl!B83,CT_tram!$G$1511:$G$1625)</f>
        <v>0</v>
      </c>
      <c r="Z83" s="775">
        <f ca="1">SUMIF(CT_tram!$B$1632:$G$2211,kl!B83,CT_tram!$G$1632:$G$2211)</f>
        <v>0</v>
      </c>
      <c r="AA83" s="775">
        <f ca="1">SUMIF(CT_tram!$B$2243:$G$2384,kl!B83,CT_tram!$G$2243:$G$2384)</f>
        <v>0</v>
      </c>
      <c r="AB83" s="775">
        <f ca="1">SUMIF(CT_tram!$B$2391:$G$2563,kl!B83,CT_tram!$G$2391:$G$2563)</f>
        <v>0</v>
      </c>
      <c r="AC83" s="775">
        <f ca="1">SUMIF(chitiet!$B$13:$N$2352,kl!$B83,chitiet!$I$13:$I$2352)</f>
        <v>0</v>
      </c>
      <c r="AD83" s="775">
        <f ca="1">SUMIF(chitiet!$B$13:$N$2352,kl!$B83,chitiet!$J$13:$J$2352)</f>
        <v>0</v>
      </c>
      <c r="AE83" s="775">
        <f ca="1">SUMIF(chitiet!$B$13:$N$2352,kl!$B83,chitiet!$K$13:$K$2352)</f>
        <v>0</v>
      </c>
      <c r="AF83" s="775"/>
      <c r="AG83" s="775">
        <f ca="1">SUMIF(chitiet!$B$13:$N$2352,kl!$B83,chitiet!$M$13)</f>
        <v>0</v>
      </c>
      <c r="AH83" s="775">
        <f ca="1">SUMIF(chitiet!$B$13:$N$2352,kl!$B83,chitiet!$N$13:$N$2352)</f>
        <v>0</v>
      </c>
      <c r="AI83" s="775">
        <f ca="1">SUMIF(chitiet!$B$13:$N$2352,kl!$B83,chitiet!$O$13:$O$2352)</f>
        <v>0</v>
      </c>
      <c r="AJ83" s="775">
        <f ca="1">SUMIF('Cap ngam'!$B$631:$G$723,kl!$B83,'Cap ngam'!$G$631:$G$723)</f>
        <v>0</v>
      </c>
      <c r="AK83" s="775">
        <f ca="1">SUMIF('Cap ngam'!$B$403:$G$628,kl!$B83,'Cap ngam'!G$403:G$628)</f>
        <v>0</v>
      </c>
      <c r="AL83" s="775">
        <f ca="1">SUMIF('Cap ngam'!B$16:G$400,kl!$B83,'Cap ngam'!G$16:G$400)</f>
        <v>0</v>
      </c>
      <c r="AM83" s="776">
        <v>0.15</v>
      </c>
      <c r="AN83" s="775">
        <f t="shared" ca="1" si="46"/>
        <v>0</v>
      </c>
      <c r="AO83" s="775">
        <f t="shared" ca="1" si="47"/>
        <v>0</v>
      </c>
      <c r="AP83" s="775">
        <f t="shared" ca="1" si="48"/>
        <v>0</v>
      </c>
      <c r="AQ83" s="775">
        <f t="shared" ca="1" si="49"/>
        <v>0</v>
      </c>
      <c r="AR83" s="775">
        <f t="shared" ca="1" si="50"/>
        <v>0</v>
      </c>
      <c r="AS83" s="775">
        <f t="shared" ca="1" si="51"/>
        <v>0</v>
      </c>
      <c r="AT83" s="775">
        <f t="shared" ca="1" si="52"/>
        <v>0</v>
      </c>
      <c r="AU83" s="775">
        <f t="shared" ca="1" si="53"/>
        <v>0</v>
      </c>
      <c r="AV83" s="775">
        <f t="shared" ca="1" si="54"/>
        <v>0</v>
      </c>
      <c r="AW83" s="775">
        <f t="shared" ca="1" si="55"/>
        <v>0</v>
      </c>
      <c r="AX83" s="775">
        <f t="shared" si="56"/>
        <v>0</v>
      </c>
      <c r="AY83" s="775">
        <f t="shared" ca="1" si="57"/>
        <v>0</v>
      </c>
      <c r="AZ83" s="775">
        <f t="shared" si="58"/>
        <v>0</v>
      </c>
      <c r="BA83" s="775">
        <f t="shared" ca="1" si="39"/>
        <v>0</v>
      </c>
      <c r="BB83" s="775">
        <f t="shared" ca="1" si="40"/>
        <v>0</v>
      </c>
      <c r="BC83" s="775">
        <f t="shared" ca="1" si="41"/>
        <v>0</v>
      </c>
      <c r="BD83" s="775">
        <f t="shared" ca="1" si="42"/>
        <v>0</v>
      </c>
      <c r="BE83" s="775">
        <f t="shared" ca="1" si="43"/>
        <v>0</v>
      </c>
      <c r="BF83" s="775">
        <f t="shared" ca="1" si="44"/>
        <v>0</v>
      </c>
      <c r="BG83" s="775">
        <f t="shared" ca="1" si="45"/>
        <v>0</v>
      </c>
      <c r="BH83" s="775">
        <f t="shared" ca="1" si="59"/>
        <v>0</v>
      </c>
      <c r="BI83" s="775">
        <f t="shared" ca="1" si="60"/>
        <v>0</v>
      </c>
      <c r="BJ83" s="775">
        <f t="shared" ca="1" si="61"/>
        <v>0</v>
      </c>
      <c r="BK83" s="775">
        <f t="shared" si="62"/>
        <v>0</v>
      </c>
      <c r="BL83" s="775">
        <f t="shared" ca="1" si="63"/>
        <v>0</v>
      </c>
      <c r="BM83" s="775">
        <f t="shared" ca="1" si="64"/>
        <v>0</v>
      </c>
      <c r="BN83" s="775">
        <f t="shared" ca="1" si="65"/>
        <v>0</v>
      </c>
      <c r="BO83" s="775">
        <f t="shared" ca="1" si="66"/>
        <v>0</v>
      </c>
      <c r="BP83" s="775">
        <f t="shared" ca="1" si="67"/>
        <v>0</v>
      </c>
      <c r="BQ83" s="775">
        <f t="shared" ca="1" si="10"/>
        <v>0</v>
      </c>
      <c r="BR83" s="775">
        <f t="shared" ca="1" si="68"/>
        <v>0</v>
      </c>
    </row>
    <row r="84" spans="1:70">
      <c r="A84" s="767" t="str">
        <f t="shared" ca="1" si="12"/>
        <v/>
      </c>
      <c r="B84" s="786" t="s">
        <v>1370</v>
      </c>
      <c r="C84" s="188" t="str">
        <f ca="1">IF(F84=0,"",COUNTIF($F$78:$F84,"&gt;0"))</f>
        <v/>
      </c>
      <c r="D84" s="778" t="str">
        <f>VLOOKUP($B84,dongia1,DG!$C$5,)</f>
        <v>Boulon 12x60+ 2 long đền vuông D14-50x50x3/Zn</v>
      </c>
      <c r="E84" s="555" t="str">
        <f>VLOOKUP($B84,dongia1,DG!$D$5,)</f>
        <v>bộ</v>
      </c>
      <c r="F84" s="779">
        <f t="shared" ca="1" si="69"/>
        <v>0</v>
      </c>
      <c r="G84" s="775">
        <f t="shared" ca="1" si="14"/>
        <v>0</v>
      </c>
      <c r="H84" s="775">
        <f ca="1">SUMIF(CT_tram!$B$33:$G$3559,kl!B84,CT_tram!$G$33:$G$3559)</f>
        <v>0</v>
      </c>
      <c r="I84" s="775">
        <f ca="1">SUMIF(CT_tram!$B$34:$G$115,$B84,CT_tram!$G$34:$G$115)</f>
        <v>0</v>
      </c>
      <c r="J84" s="775">
        <f ca="1">SUMIF(CT_tram!$B$122:$G$204,$B84,CT_tram!$G$122:$G$204)</f>
        <v>0</v>
      </c>
      <c r="K84" s="775">
        <f ca="1">SUMIF(CT_tram!$B$211:$G$293,$B84,CT_tram!$G$211:$G$293)</f>
        <v>0</v>
      </c>
      <c r="L84" s="775">
        <f ca="1">SUMIF(CT_tram!$B$300:$G$374,$B84,CT_tram!$G$300:$G$374)</f>
        <v>0</v>
      </c>
      <c r="M84" s="775">
        <f ca="1">SUMIF(CT_tram!$B$381:$G$471,$B84,CT_tram!$G$381:$G$471)</f>
        <v>0</v>
      </c>
      <c r="N84" s="775">
        <f ca="1">SUMIF(CT_tram!$B$478:$G$560,$B84,CT_tram!$G$478:$G$560)</f>
        <v>0</v>
      </c>
      <c r="O84" s="775">
        <f ca="1">SUMIF(CT_tram!$B$567:$G$653,$B84,CT_tram!$G$567:$G$653)</f>
        <v>0</v>
      </c>
      <c r="P84" s="775">
        <f ca="1">SUMIF(CT_tram!$B$661:$G$738,$B84,CT_tram!$G$661:$G$738)</f>
        <v>0</v>
      </c>
      <c r="Q84" s="775">
        <f ca="1">SUMIF(CT_tram!$B$745:$G$899,$B84,CT_tram!$G$745:$G$899)</f>
        <v>0</v>
      </c>
      <c r="R84" s="775">
        <f ca="1">SUMIF(CT_tram!$B$907:$G$995,$B84,CT_tram!$G$907:$G$995)</f>
        <v>0</v>
      </c>
      <c r="S84" s="775"/>
      <c r="T84" s="775">
        <f ca="1">SUMIF(CT_tram!$B$1004:$G$1097,B84,CT_tram!$G$1004:$G$1097)</f>
        <v>0</v>
      </c>
      <c r="U84" s="775"/>
      <c r="V84" s="775">
        <f ca="1">SUMIF(CT_tram!$B$1226:$G$1352,kl!B84,CT_tram!$G$1226:$G$1352)</f>
        <v>0</v>
      </c>
      <c r="W84" s="780">
        <f ca="1">SUMIF(CT_tram!$B$1105:$G$1219,kl!B84,CT_tram!$G$1105:$G$1219)</f>
        <v>0</v>
      </c>
      <c r="X84" s="775">
        <f ca="1">SUMIF(CT_tram!$B$1359:$G$1504,kl!B84,CT_tram!$G$1359:$G$1504)</f>
        <v>0</v>
      </c>
      <c r="Y84" s="775">
        <f ca="1">SUMIF(CT_tram!$B$1511:$G$1625,kl!B84,CT_tram!$G$1511:$G$1625)</f>
        <v>0</v>
      </c>
      <c r="Z84" s="775">
        <f ca="1">SUMIF(CT_tram!$B$1632:$G$2211,kl!B84,CT_tram!$G$1632:$G$2211)</f>
        <v>0</v>
      </c>
      <c r="AA84" s="775">
        <f ca="1">SUMIF(CT_tram!$B$2243:$G$2384,kl!B84,CT_tram!$G$2243:$G$2384)</f>
        <v>0</v>
      </c>
      <c r="AB84" s="775">
        <f ca="1">SUMIF(CT_tram!$B$2391:$G$2563,kl!B84,CT_tram!$G$2391:$G$2563)</f>
        <v>0</v>
      </c>
      <c r="AC84" s="775">
        <f ca="1">SUMIF(chitiet!$B$13:$N$2352,kl!$B84,chitiet!$I$13:$I$2352)</f>
        <v>0</v>
      </c>
      <c r="AD84" s="775">
        <f ca="1">SUMIF(chitiet!$B$13:$N$2352,kl!$B84,chitiet!$J$13:$J$2352)</f>
        <v>0</v>
      </c>
      <c r="AE84" s="775">
        <f ca="1">SUMIF(chitiet!$B$13:$N$2352,kl!$B84,chitiet!$K$13:$K$2352)</f>
        <v>0</v>
      </c>
      <c r="AF84" s="775">
        <f ca="1">SUMIF(chitiet!$B$13:$N$2352,kl!$B84,chitiet!$L$13:$L$2352)</f>
        <v>0</v>
      </c>
      <c r="AG84" s="775">
        <f ca="1">SUMIF(chitiet!$B$13:$N$2352,kl!$B84,chitiet!$M$13)</f>
        <v>0</v>
      </c>
      <c r="AH84" s="775">
        <f ca="1">SUMIF(chitiet!$B$13:$N$2352,kl!$B84,chitiet!$N$13:$N$2352)</f>
        <v>0</v>
      </c>
      <c r="AI84" s="775">
        <f ca="1">SUMIF(chitiet!$B$13:$N$2352,kl!$B84,chitiet!$O$13:$O$2352)</f>
        <v>0</v>
      </c>
      <c r="AJ84" s="775">
        <f ca="1">SUMIF('Cap ngam'!$B$631:$G$723,kl!$B84,'Cap ngam'!$G$631:$G$723)</f>
        <v>0</v>
      </c>
      <c r="AK84" s="775">
        <f ca="1">SUMIF('Cap ngam'!$B$403:$G$628,kl!$B84,'Cap ngam'!G$403:G$628)</f>
        <v>0</v>
      </c>
      <c r="AL84" s="775">
        <f ca="1">SUMIF('Cap ngam'!B$16:G$400,kl!$B84,'Cap ngam'!G$16:G$400)</f>
        <v>0</v>
      </c>
      <c r="AM84" s="776">
        <v>0.15</v>
      </c>
      <c r="AN84" s="775">
        <f t="shared" ca="1" si="46"/>
        <v>0</v>
      </c>
      <c r="AO84" s="775">
        <f t="shared" ca="1" si="47"/>
        <v>0</v>
      </c>
      <c r="AP84" s="775">
        <f t="shared" ca="1" si="48"/>
        <v>0</v>
      </c>
      <c r="AQ84" s="775">
        <f t="shared" ca="1" si="49"/>
        <v>0</v>
      </c>
      <c r="AR84" s="775">
        <f t="shared" ca="1" si="50"/>
        <v>0</v>
      </c>
      <c r="AS84" s="775">
        <f t="shared" ca="1" si="51"/>
        <v>0</v>
      </c>
      <c r="AT84" s="775">
        <f t="shared" ca="1" si="52"/>
        <v>0</v>
      </c>
      <c r="AU84" s="775">
        <f t="shared" ca="1" si="53"/>
        <v>0</v>
      </c>
      <c r="AV84" s="775">
        <f t="shared" ca="1" si="54"/>
        <v>0</v>
      </c>
      <c r="AW84" s="775">
        <f t="shared" ca="1" si="55"/>
        <v>0</v>
      </c>
      <c r="AX84" s="775">
        <f t="shared" si="56"/>
        <v>0</v>
      </c>
      <c r="AY84" s="775">
        <f t="shared" ca="1" si="57"/>
        <v>0</v>
      </c>
      <c r="AZ84" s="775">
        <f t="shared" si="58"/>
        <v>0</v>
      </c>
      <c r="BA84" s="775">
        <f t="shared" ca="1" si="39"/>
        <v>0</v>
      </c>
      <c r="BB84" s="775">
        <f t="shared" ca="1" si="40"/>
        <v>0</v>
      </c>
      <c r="BC84" s="775">
        <f t="shared" ca="1" si="41"/>
        <v>0</v>
      </c>
      <c r="BD84" s="775">
        <f t="shared" ca="1" si="42"/>
        <v>0</v>
      </c>
      <c r="BE84" s="775">
        <f t="shared" ca="1" si="43"/>
        <v>0</v>
      </c>
      <c r="BF84" s="775">
        <f t="shared" ca="1" si="44"/>
        <v>0</v>
      </c>
      <c r="BG84" s="775">
        <f t="shared" ca="1" si="45"/>
        <v>0</v>
      </c>
      <c r="BH84" s="775">
        <f t="shared" ca="1" si="59"/>
        <v>0</v>
      </c>
      <c r="BI84" s="775">
        <f t="shared" ca="1" si="60"/>
        <v>0</v>
      </c>
      <c r="BJ84" s="775">
        <f t="shared" ca="1" si="61"/>
        <v>0</v>
      </c>
      <c r="BK84" s="775">
        <f t="shared" ca="1" si="62"/>
        <v>0</v>
      </c>
      <c r="BL84" s="775">
        <f t="shared" ca="1" si="63"/>
        <v>0</v>
      </c>
      <c r="BM84" s="775">
        <f t="shared" ca="1" si="64"/>
        <v>0</v>
      </c>
      <c r="BN84" s="775">
        <f t="shared" ca="1" si="65"/>
        <v>0</v>
      </c>
      <c r="BO84" s="775">
        <f t="shared" ca="1" si="66"/>
        <v>0</v>
      </c>
      <c r="BP84" s="775">
        <f t="shared" ca="1" si="67"/>
        <v>0</v>
      </c>
      <c r="BQ84" s="775">
        <f t="shared" ca="1" si="10"/>
        <v>0</v>
      </c>
      <c r="BR84" s="775">
        <f t="shared" ca="1" si="68"/>
        <v>0</v>
      </c>
    </row>
    <row r="85" spans="1:70">
      <c r="A85" s="767" t="str">
        <f t="shared" ca="1" si="12"/>
        <v/>
      </c>
      <c r="B85" s="786" t="s">
        <v>1371</v>
      </c>
      <c r="C85" s="188" t="str">
        <f ca="1">IF(F85=0,"",COUNTIF($F$78:$F85,"&gt;0"))</f>
        <v/>
      </c>
      <c r="D85" s="778" t="str">
        <f>VLOOKUP($B85,dongia1,DG!$C$5,)</f>
        <v>Boulon 14x50+ 2 long đền vuông D16-50x50x3/Zn</v>
      </c>
      <c r="E85" s="555" t="str">
        <f>VLOOKUP($B85,dongia1,DG!$D$5,)</f>
        <v>bộ</v>
      </c>
      <c r="F85" s="779">
        <f t="shared" ca="1" si="69"/>
        <v>0</v>
      </c>
      <c r="G85" s="775">
        <f t="shared" ca="1" si="14"/>
        <v>0</v>
      </c>
      <c r="H85" s="775">
        <f ca="1">SUMIF(CT_tram!$B$33:$G$3559,kl!B85,CT_tram!$G$33:$G$3559)</f>
        <v>0</v>
      </c>
      <c r="I85" s="775">
        <f ca="1">SUMIF(CT_tram!$B$34:$G$115,$B85,CT_tram!$G$34:$G$115)</f>
        <v>0</v>
      </c>
      <c r="J85" s="775">
        <f ca="1">SUMIF(CT_tram!$B$122:$G$204,$B85,CT_tram!$G$122:$G$204)</f>
        <v>0</v>
      </c>
      <c r="K85" s="775">
        <f ca="1">SUMIF(CT_tram!$B$211:$G$293,$B85,CT_tram!$G$211:$G$293)</f>
        <v>0</v>
      </c>
      <c r="L85" s="775">
        <f ca="1">SUMIF(CT_tram!$B$300:$G$374,$B85,CT_tram!$G$300:$G$374)</f>
        <v>0</v>
      </c>
      <c r="M85" s="775">
        <f ca="1">SUMIF(CT_tram!$B$381:$G$471,$B85,CT_tram!$G$381:$G$471)</f>
        <v>0</v>
      </c>
      <c r="N85" s="775">
        <f ca="1">SUMIF(CT_tram!$B$478:$G$560,$B85,CT_tram!$G$478:$G$560)</f>
        <v>0</v>
      </c>
      <c r="O85" s="775">
        <f ca="1">SUMIF(CT_tram!$B$567:$G$653,$B85,CT_tram!$G$567:$G$653)</f>
        <v>0</v>
      </c>
      <c r="P85" s="775">
        <f ca="1">SUMIF(CT_tram!$B$661:$G$738,$B85,CT_tram!$G$661:$G$738)</f>
        <v>0</v>
      </c>
      <c r="Q85" s="775">
        <f ca="1">SUMIF(CT_tram!$B$745:$G$899,$B85,CT_tram!$G$745:$G$899)</f>
        <v>0</v>
      </c>
      <c r="R85" s="775">
        <f ca="1">SUMIF(CT_tram!$B$907:$G$995,$B85,CT_tram!$G$907:$G$995)</f>
        <v>0</v>
      </c>
      <c r="S85" s="775"/>
      <c r="T85" s="775">
        <f ca="1">SUMIF(CT_tram!$B$1004:$G$1097,B85,CT_tram!$G$1004:$G$1097)</f>
        <v>0</v>
      </c>
      <c r="U85" s="775"/>
      <c r="V85" s="775">
        <f ca="1">SUMIF(CT_tram!$B$1226:$G$1352,kl!B85,CT_tram!$G$1226:$G$1352)</f>
        <v>0</v>
      </c>
      <c r="W85" s="780">
        <f ca="1">SUMIF(CT_tram!$B$1105:$G$1219,kl!B85,CT_tram!$G$1105:$G$1219)</f>
        <v>0</v>
      </c>
      <c r="X85" s="775">
        <f ca="1">SUMIF(CT_tram!$B$1359:$G$1504,kl!B85,CT_tram!$G$1359:$G$1504)</f>
        <v>0</v>
      </c>
      <c r="Y85" s="775">
        <f ca="1">SUMIF(CT_tram!$B$1511:$G$1625,kl!B85,CT_tram!$G$1511:$G$1625)</f>
        <v>0</v>
      </c>
      <c r="Z85" s="775">
        <f ca="1">SUMIF(CT_tram!$B$1632:$G$2211,kl!B85,CT_tram!$G$1632:$G$2211)</f>
        <v>0</v>
      </c>
      <c r="AA85" s="775">
        <f ca="1">SUMIF(CT_tram!$B$2243:$G$2384,kl!B85,CT_tram!$G$2243:$G$2384)</f>
        <v>0</v>
      </c>
      <c r="AB85" s="775">
        <f ca="1">SUMIF(CT_tram!$B$2391:$G$2563,kl!B85,CT_tram!$G$2391:$G$2563)</f>
        <v>0</v>
      </c>
      <c r="AC85" s="775">
        <f ca="1">SUMIF(chitiet!$B$13:$N$2352,kl!$B85,chitiet!$I$13:$I$2352)</f>
        <v>0</v>
      </c>
      <c r="AD85" s="775">
        <f ca="1">SUMIF(chitiet!$B$13:$N$2352,kl!$B85,chitiet!$J$13:$J$2352)</f>
        <v>0</v>
      </c>
      <c r="AE85" s="775">
        <f ca="1">SUMIF(chitiet!$B$13:$N$2352,kl!$B85,chitiet!$K$13:$K$2352)</f>
        <v>0</v>
      </c>
      <c r="AF85" s="775">
        <f ca="1">SUMIF(chitiet!$B$13:$N$2352,kl!$B85,chitiet!$L$13:$L$2352)</f>
        <v>0</v>
      </c>
      <c r="AG85" s="775">
        <f ca="1">SUMIF(chitiet!$B$13:$N$2352,kl!$B85,chitiet!$M$13)</f>
        <v>0</v>
      </c>
      <c r="AH85" s="775">
        <f ca="1">SUMIF(chitiet!$B$13:$N$2352,kl!$B85,chitiet!$N$13:$N$2352)</f>
        <v>0</v>
      </c>
      <c r="AI85" s="775">
        <f ca="1">SUMIF(chitiet!$B$13:$N$2352,kl!$B85,chitiet!$O$13:$O$2352)</f>
        <v>0</v>
      </c>
      <c r="AJ85" s="775">
        <f ca="1">SUMIF('Cap ngam'!$B$631:$G$723,kl!$B85,'Cap ngam'!$G$631:$G$723)</f>
        <v>0</v>
      </c>
      <c r="AK85" s="775">
        <f ca="1">SUMIF('Cap ngam'!$B$403:$G$628,kl!$B85,'Cap ngam'!G$403:G$628)</f>
        <v>0</v>
      </c>
      <c r="AL85" s="775">
        <f ca="1">SUMIF('Cap ngam'!B$16:G$400,kl!$B85,'Cap ngam'!G$16:G$400)</f>
        <v>0</v>
      </c>
      <c r="AM85" s="776">
        <v>0.2</v>
      </c>
      <c r="AN85" s="775">
        <f t="shared" ca="1" si="46"/>
        <v>0</v>
      </c>
      <c r="AO85" s="775">
        <f t="shared" ca="1" si="47"/>
        <v>0</v>
      </c>
      <c r="AP85" s="775">
        <f t="shared" ca="1" si="48"/>
        <v>0</v>
      </c>
      <c r="AQ85" s="775">
        <f t="shared" ca="1" si="49"/>
        <v>0</v>
      </c>
      <c r="AR85" s="775">
        <f t="shared" ca="1" si="50"/>
        <v>0</v>
      </c>
      <c r="AS85" s="775">
        <f t="shared" ca="1" si="51"/>
        <v>0</v>
      </c>
      <c r="AT85" s="775">
        <f t="shared" ca="1" si="52"/>
        <v>0</v>
      </c>
      <c r="AU85" s="775">
        <f t="shared" ca="1" si="53"/>
        <v>0</v>
      </c>
      <c r="AV85" s="775">
        <f t="shared" ca="1" si="54"/>
        <v>0</v>
      </c>
      <c r="AW85" s="775">
        <f t="shared" ca="1" si="55"/>
        <v>0</v>
      </c>
      <c r="AX85" s="775">
        <f t="shared" si="56"/>
        <v>0</v>
      </c>
      <c r="AY85" s="775">
        <f t="shared" ca="1" si="57"/>
        <v>0</v>
      </c>
      <c r="AZ85" s="775">
        <f t="shared" si="58"/>
        <v>0</v>
      </c>
      <c r="BA85" s="775">
        <f t="shared" ca="1" si="39"/>
        <v>0</v>
      </c>
      <c r="BB85" s="775">
        <f t="shared" ca="1" si="40"/>
        <v>0</v>
      </c>
      <c r="BC85" s="775">
        <f t="shared" ca="1" si="41"/>
        <v>0</v>
      </c>
      <c r="BD85" s="775">
        <f t="shared" ca="1" si="42"/>
        <v>0</v>
      </c>
      <c r="BE85" s="775">
        <f t="shared" ca="1" si="43"/>
        <v>0</v>
      </c>
      <c r="BF85" s="775">
        <f t="shared" ca="1" si="44"/>
        <v>0</v>
      </c>
      <c r="BG85" s="775">
        <f t="shared" ca="1" si="45"/>
        <v>0</v>
      </c>
      <c r="BH85" s="775">
        <f t="shared" ca="1" si="59"/>
        <v>0</v>
      </c>
      <c r="BI85" s="775">
        <f t="shared" ca="1" si="60"/>
        <v>0</v>
      </c>
      <c r="BJ85" s="775">
        <f t="shared" ca="1" si="61"/>
        <v>0</v>
      </c>
      <c r="BK85" s="775">
        <f t="shared" ca="1" si="62"/>
        <v>0</v>
      </c>
      <c r="BL85" s="775">
        <f t="shared" ca="1" si="63"/>
        <v>0</v>
      </c>
      <c r="BM85" s="775">
        <f t="shared" ca="1" si="64"/>
        <v>0</v>
      </c>
      <c r="BN85" s="775">
        <f t="shared" ca="1" si="65"/>
        <v>0</v>
      </c>
      <c r="BO85" s="775">
        <f t="shared" ca="1" si="66"/>
        <v>0</v>
      </c>
      <c r="BP85" s="775">
        <f t="shared" ca="1" si="67"/>
        <v>0</v>
      </c>
      <c r="BQ85" s="775">
        <f t="shared" ca="1" si="10"/>
        <v>0</v>
      </c>
      <c r="BR85" s="775">
        <f t="shared" ca="1" si="68"/>
        <v>0</v>
      </c>
    </row>
    <row r="86" spans="1:70">
      <c r="A86" s="767" t="str">
        <f t="shared" ca="1" si="12"/>
        <v/>
      </c>
      <c r="B86" s="789" t="s">
        <v>1770</v>
      </c>
      <c r="C86" s="188" t="str">
        <f ca="1">IF(F86=0,"",COUNTIF($F$78:$F86,"&gt;0"))</f>
        <v/>
      </c>
      <c r="D86" s="778" t="str">
        <f>VLOOKUP($B86,dongia1,DG!$C$5,)</f>
        <v>Boulon 16x100VRS+ 4 long đền vuông D18-50x50x3/Zn</v>
      </c>
      <c r="E86" s="555" t="str">
        <f>VLOOKUP($B86,dongia1,DG!$D$5,)</f>
        <v>bộ</v>
      </c>
      <c r="F86" s="779">
        <f t="shared" ca="1" si="69"/>
        <v>0</v>
      </c>
      <c r="G86" s="775">
        <f t="shared" ca="1" si="14"/>
        <v>0</v>
      </c>
      <c r="H86" s="775">
        <f ca="1">SUMIF(CT_tram!$B$33:$G$3559,kl!B86,CT_tram!$G$33:$G$3559)</f>
        <v>0</v>
      </c>
      <c r="I86" s="775">
        <f ca="1">SUMIF(CT_tram!$B$34:$G$115,$B86,CT_tram!$G$34:$G$115)</f>
        <v>0</v>
      </c>
      <c r="J86" s="775">
        <f ca="1">SUMIF(CT_tram!$B$122:$G$204,$B86,CT_tram!$G$122:$G$204)</f>
        <v>0</v>
      </c>
      <c r="K86" s="775">
        <f ca="1">SUMIF(CT_tram!$B$211:$G$293,$B86,CT_tram!$G$211:$G$293)</f>
        <v>0</v>
      </c>
      <c r="L86" s="775">
        <f ca="1">SUMIF(CT_tram!$B$300:$G$374,$B86,CT_tram!$G$300:$G$374)</f>
        <v>0</v>
      </c>
      <c r="M86" s="775">
        <f ca="1">SUMIF(CT_tram!$B$381:$G$471,$B86,CT_tram!$G$381:$G$471)</f>
        <v>0</v>
      </c>
      <c r="N86" s="775">
        <f ca="1">SUMIF(CT_tram!$B$478:$G$560,$B86,CT_tram!$G$478:$G$560)</f>
        <v>0</v>
      </c>
      <c r="O86" s="775">
        <f ca="1">SUMIF(CT_tram!$B$567:$G$653,$B86,CT_tram!$G$567:$G$653)</f>
        <v>0</v>
      </c>
      <c r="P86" s="775">
        <f ca="1">SUMIF(CT_tram!$B$661:$G$738,$B86,CT_tram!$G$661:$G$738)</f>
        <v>0</v>
      </c>
      <c r="Q86" s="775">
        <f ca="1">SUMIF(CT_tram!$B$745:$G$899,$B86,CT_tram!$G$745:$G$899)</f>
        <v>0</v>
      </c>
      <c r="R86" s="775">
        <f ca="1">SUMIF(CT_tram!$B$907:$G$995,$B86,CT_tram!$G$907:$G$995)</f>
        <v>0</v>
      </c>
      <c r="S86" s="775"/>
      <c r="T86" s="775">
        <f ca="1">SUMIF(CT_tram!$B$1004:$G$1097,B86,CT_tram!$G$1004:$G$1097)</f>
        <v>0</v>
      </c>
      <c r="U86" s="775"/>
      <c r="V86" s="775">
        <f ca="1">SUMIF(CT_tram!$B$1226:$G$1352,kl!B86,CT_tram!$G$1226:$G$1352)</f>
        <v>0</v>
      </c>
      <c r="W86" s="780">
        <f ca="1">SUMIF(CT_tram!$B$1105:$G$1219,kl!B86,CT_tram!$G$1105:$G$1219)</f>
        <v>0</v>
      </c>
      <c r="X86" s="775">
        <f ca="1">SUMIF(CT_tram!$B$1359:$G$1504,kl!B86,CT_tram!$G$1359:$G$1504)</f>
        <v>0</v>
      </c>
      <c r="Y86" s="775">
        <f ca="1">SUMIF(CT_tram!$B$1511:$G$1625,kl!B86,CT_tram!$G$1511:$G$1625)</f>
        <v>0</v>
      </c>
      <c r="Z86" s="775">
        <f ca="1">SUMIF(CT_tram!$B$1632:$G$2211,kl!B86,CT_tram!$G$1632:$G$2211)</f>
        <v>0</v>
      </c>
      <c r="AA86" s="775">
        <f ca="1">SUMIF(CT_tram!$B$2243:$G$2384,kl!B86,CT_tram!$G$2243:$G$2384)</f>
        <v>0</v>
      </c>
      <c r="AB86" s="775">
        <f ca="1">SUMIF(CT_tram!$B$2391:$G$2563,kl!B86,CT_tram!$G$2391:$G$2563)</f>
        <v>0</v>
      </c>
      <c r="AC86" s="775">
        <f ca="1">SUMIF(chitiet!$B$13:$N$2352,kl!$B86,chitiet!$I$13:$I$2352)</f>
        <v>0</v>
      </c>
      <c r="AD86" s="775">
        <f ca="1">SUMIF(chitiet!$B$13:$N$2352,kl!$B86,chitiet!$J$13:$J$2352)</f>
        <v>0</v>
      </c>
      <c r="AE86" s="775">
        <f ca="1">SUMIF(chitiet!$B$13:$N$2352,kl!$B86,chitiet!$K$13:$K$2352)</f>
        <v>0</v>
      </c>
      <c r="AF86" s="775">
        <f ca="1">SUMIF(chitiet!$B$13:$N$2352,kl!$B86,chitiet!$L$13:$L$2352)</f>
        <v>0</v>
      </c>
      <c r="AG86" s="775">
        <f ca="1">SUMIF(chitiet!$B$13:$N$2352,kl!$B86,chitiet!$M$13)</f>
        <v>0</v>
      </c>
      <c r="AH86" s="775">
        <f ca="1">SUMIF(chitiet!$B$13:$N$2352,kl!$B86,chitiet!$N$13:$N$2352)</f>
        <v>0</v>
      </c>
      <c r="AI86" s="775">
        <f ca="1">SUMIF(chitiet!$B$13:$N$2352,kl!$B86,chitiet!$O$13:$O$2352)</f>
        <v>0</v>
      </c>
      <c r="AJ86" s="775">
        <f ca="1">SUMIF('Cap ngam'!$B$631:$G$723,kl!$B86,'Cap ngam'!$G$631:$G$723)</f>
        <v>0</v>
      </c>
      <c r="AK86" s="775">
        <f ca="1">SUMIF('Cap ngam'!$B$403:$G$628,kl!$B86,'Cap ngam'!G$403:G$628)</f>
        <v>0</v>
      </c>
      <c r="AL86" s="775">
        <f ca="1">SUMIF('Cap ngam'!B$16:G$400,kl!$B86,'Cap ngam'!G$16:G$400)</f>
        <v>0</v>
      </c>
      <c r="AM86" s="776">
        <v>0.2</v>
      </c>
      <c r="AN86" s="775">
        <f t="shared" ca="1" si="46"/>
        <v>0</v>
      </c>
      <c r="AO86" s="775">
        <f t="shared" ca="1" si="47"/>
        <v>0</v>
      </c>
      <c r="AP86" s="775">
        <f t="shared" ca="1" si="48"/>
        <v>0</v>
      </c>
      <c r="AQ86" s="775">
        <f t="shared" ca="1" si="49"/>
        <v>0</v>
      </c>
      <c r="AR86" s="775">
        <f t="shared" ca="1" si="50"/>
        <v>0</v>
      </c>
      <c r="AS86" s="775">
        <f t="shared" ca="1" si="51"/>
        <v>0</v>
      </c>
      <c r="AT86" s="775">
        <f t="shared" ca="1" si="52"/>
        <v>0</v>
      </c>
      <c r="AU86" s="775">
        <f t="shared" ca="1" si="53"/>
        <v>0</v>
      </c>
      <c r="AV86" s="775">
        <f t="shared" ca="1" si="54"/>
        <v>0</v>
      </c>
      <c r="AW86" s="775">
        <f t="shared" ca="1" si="55"/>
        <v>0</v>
      </c>
      <c r="AX86" s="775">
        <f t="shared" si="56"/>
        <v>0</v>
      </c>
      <c r="AY86" s="775">
        <f t="shared" ca="1" si="57"/>
        <v>0</v>
      </c>
      <c r="AZ86" s="775">
        <f t="shared" si="58"/>
        <v>0</v>
      </c>
      <c r="BA86" s="775">
        <f t="shared" ca="1" si="39"/>
        <v>0</v>
      </c>
      <c r="BB86" s="775">
        <f t="shared" ca="1" si="40"/>
        <v>0</v>
      </c>
      <c r="BC86" s="775">
        <f t="shared" ca="1" si="41"/>
        <v>0</v>
      </c>
      <c r="BD86" s="775">
        <f t="shared" ca="1" si="42"/>
        <v>0</v>
      </c>
      <c r="BE86" s="775">
        <f t="shared" ca="1" si="43"/>
        <v>0</v>
      </c>
      <c r="BF86" s="775">
        <f t="shared" ca="1" si="44"/>
        <v>0</v>
      </c>
      <c r="BG86" s="775">
        <f t="shared" ca="1" si="45"/>
        <v>0</v>
      </c>
      <c r="BH86" s="775">
        <f t="shared" ca="1" si="59"/>
        <v>0</v>
      </c>
      <c r="BI86" s="775">
        <f t="shared" ca="1" si="60"/>
        <v>0</v>
      </c>
      <c r="BJ86" s="775">
        <f t="shared" ca="1" si="61"/>
        <v>0</v>
      </c>
      <c r="BK86" s="775">
        <f t="shared" ca="1" si="62"/>
        <v>0</v>
      </c>
      <c r="BL86" s="775">
        <f t="shared" ca="1" si="63"/>
        <v>0</v>
      </c>
      <c r="BM86" s="775">
        <f t="shared" ca="1" si="64"/>
        <v>0</v>
      </c>
      <c r="BN86" s="775">
        <f t="shared" ca="1" si="65"/>
        <v>0</v>
      </c>
      <c r="BO86" s="775">
        <f t="shared" ca="1" si="66"/>
        <v>0</v>
      </c>
      <c r="BP86" s="775">
        <f t="shared" ca="1" si="67"/>
        <v>0</v>
      </c>
      <c r="BQ86" s="775">
        <f t="shared" ca="1" si="10"/>
        <v>0</v>
      </c>
      <c r="BR86" s="775">
        <f t="shared" ca="1" si="68"/>
        <v>0</v>
      </c>
    </row>
    <row r="87" spans="1:70">
      <c r="A87" s="767" t="str">
        <f t="shared" ca="1" si="12"/>
        <v>X</v>
      </c>
      <c r="B87" s="786" t="s">
        <v>1261</v>
      </c>
      <c r="C87" s="188">
        <f ca="1">IF(F87=0,"",COUNTIF($F$78:$F87,"&gt;0"))</f>
        <v>2</v>
      </c>
      <c r="D87" s="778" t="str">
        <f>VLOOKUP($B87,dongia1,DG!$C$5,)</f>
        <v>Boulon 16x250+ 2 long đền vuông D18-50x50x3/Zn</v>
      </c>
      <c r="E87" s="555" t="str">
        <f>VLOOKUP($B87,dongia1,DG!$D$5,)</f>
        <v>bộ</v>
      </c>
      <c r="F87" s="975">
        <f t="shared" ca="1" si="69"/>
        <v>2</v>
      </c>
      <c r="G87" s="976">
        <f t="shared" ca="1" si="14"/>
        <v>2</v>
      </c>
      <c r="H87" s="976">
        <f ca="1">SUMIF(CT_tram!$B$33:$G$3559,kl!B87,CT_tram!$G$33:$G$3559)</f>
        <v>0</v>
      </c>
      <c r="I87" s="775">
        <f ca="1">SUMIF(CT_tram!$B$34:$G$115,$B87,CT_tram!$G$34:$G$115)</f>
        <v>0</v>
      </c>
      <c r="J87" s="775">
        <f ca="1">SUMIF(CT_tram!$B$122:$G$204,$B87,CT_tram!$G$122:$G$204)</f>
        <v>0</v>
      </c>
      <c r="K87" s="775">
        <f ca="1">SUMIF(CT_tram!$B$211:$G$293,$B87,CT_tram!$G$211:$G$293)</f>
        <v>0</v>
      </c>
      <c r="L87" s="775">
        <f ca="1">SUMIF(CT_tram!$B$300:$G$374,$B87,CT_tram!$G$300:$G$374)</f>
        <v>0</v>
      </c>
      <c r="M87" s="775">
        <f ca="1">SUMIF(CT_tram!$B$381:$G$471,$B87,CT_tram!$G$381:$G$471)</f>
        <v>0</v>
      </c>
      <c r="N87" s="775">
        <f ca="1">SUMIF(CT_tram!$B$478:$G$560,$B87,CT_tram!$G$478:$G$560)</f>
        <v>0</v>
      </c>
      <c r="O87" s="775">
        <f ca="1">SUMIF(CT_tram!$B$567:$G$653,$B87,CT_tram!$G$567:$G$653)</f>
        <v>0</v>
      </c>
      <c r="P87" s="775">
        <f ca="1">SUMIF(CT_tram!$B$661:$G$738,$B87,CT_tram!$G$661:$G$738)</f>
        <v>0</v>
      </c>
      <c r="Q87" s="775">
        <f ca="1">SUMIF(CT_tram!$B$745:$G$899,$B87,CT_tram!$G$745:$G$899)</f>
        <v>0</v>
      </c>
      <c r="R87" s="775">
        <f ca="1">SUMIF(CT_tram!$B$907:$G$995,$B87,CT_tram!$G$907:$G$995)</f>
        <v>0</v>
      </c>
      <c r="S87" s="775"/>
      <c r="T87" s="775">
        <f ca="1">SUMIF(CT_tram!$B$1004:$G$1097,B87,CT_tram!$G$1004:$G$1097)</f>
        <v>0</v>
      </c>
      <c r="U87" s="775"/>
      <c r="V87" s="775">
        <f ca="1">SUMIF(CT_tram!$B$1226:$G$1352,kl!B87,CT_tram!$G$1226:$G$1352)</f>
        <v>0</v>
      </c>
      <c r="W87" s="780">
        <f ca="1">SUMIF(CT_tram!$B$1105:$G$1219,kl!B87,CT_tram!$G$1105:$G$1219)</f>
        <v>0</v>
      </c>
      <c r="X87" s="775">
        <f ca="1">SUMIF(CT_tram!$B$1359:$G$1504,kl!B87,CT_tram!$G$1359:$G$1504)</f>
        <v>0</v>
      </c>
      <c r="Y87" s="775">
        <f ca="1">SUMIF(CT_tram!$B$1511:$G$1625,kl!B87,CT_tram!$G$1511:$G$1625)</f>
        <v>0</v>
      </c>
      <c r="Z87" s="775">
        <f ca="1">SUMIF(CT_tram!$B$1632:$G$2211,kl!B87,CT_tram!$G$1632:$G$2211)</f>
        <v>0</v>
      </c>
      <c r="AA87" s="775">
        <f ca="1">SUMIF(CT_tram!$B$2243:$G$2384,kl!B87,CT_tram!$G$2243:$G$2384)</f>
        <v>0</v>
      </c>
      <c r="AB87" s="775">
        <f ca="1">SUMIF(CT_tram!$B$2391:$G$2563,kl!B87,CT_tram!$G$2391:$G$2563)</f>
        <v>0</v>
      </c>
      <c r="AC87" s="775">
        <f ca="1">SUMIF(chitiet!$B$13:$N$2352,kl!$B87,chitiet!$I$13:$I$2352)</f>
        <v>0</v>
      </c>
      <c r="AD87" s="775">
        <f ca="1">SUMIF(chitiet!$B$13:$N$2352,kl!$B87,chitiet!$J$13:$J$2352)</f>
        <v>0</v>
      </c>
      <c r="AE87" s="775">
        <f ca="1">SUMIF(chitiet!$B$13:$N$2352,kl!$B87,chitiet!$K$13:$K$2352)</f>
        <v>2</v>
      </c>
      <c r="AF87" s="775">
        <f ca="1">SUMIF(chitiet!$B$13:$N$2352,kl!$B87,chitiet!$L$13:$L$2352)</f>
        <v>0</v>
      </c>
      <c r="AG87" s="775">
        <f ca="1">SUMIF(chitiet!$B$13:$N$2352,kl!$B87,chitiet!$M$13)</f>
        <v>0</v>
      </c>
      <c r="AH87" s="775">
        <f ca="1">SUMIF(chitiet!$B$13:$N$2352,kl!$B87,chitiet!$N$13:$N$2352)</f>
        <v>0</v>
      </c>
      <c r="AI87" s="775">
        <f ca="1">SUMIF(chitiet!$B$13:$N$2352,kl!$B87,chitiet!$O$13:$O$2352)</f>
        <v>0</v>
      </c>
      <c r="AJ87" s="775">
        <f ca="1">SUMIF('Cap ngam'!$B$631:$G$723,kl!$B87,'Cap ngam'!$G$631:$G$723)</f>
        <v>0</v>
      </c>
      <c r="AK87" s="775">
        <f ca="1">SUMIF('Cap ngam'!$B$403:$G$628,kl!$B87,'Cap ngam'!G$403:G$628)</f>
        <v>0</v>
      </c>
      <c r="AL87" s="775">
        <f ca="1">SUMIF('Cap ngam'!B$16:G$400,kl!$B87,'Cap ngam'!G$16:G$400)</f>
        <v>0</v>
      </c>
      <c r="AM87" s="776">
        <v>0.23</v>
      </c>
      <c r="AN87" s="775">
        <f t="shared" ca="1" si="46"/>
        <v>0</v>
      </c>
      <c r="AO87" s="775">
        <f t="shared" ca="1" si="47"/>
        <v>0</v>
      </c>
      <c r="AP87" s="775">
        <f t="shared" ca="1" si="48"/>
        <v>0</v>
      </c>
      <c r="AQ87" s="775">
        <f t="shared" ca="1" si="49"/>
        <v>0</v>
      </c>
      <c r="AR87" s="775">
        <f t="shared" ca="1" si="50"/>
        <v>0</v>
      </c>
      <c r="AS87" s="775">
        <f t="shared" ca="1" si="51"/>
        <v>0</v>
      </c>
      <c r="AT87" s="775">
        <f t="shared" ca="1" si="52"/>
        <v>0</v>
      </c>
      <c r="AU87" s="775">
        <f t="shared" ca="1" si="53"/>
        <v>0</v>
      </c>
      <c r="AV87" s="775">
        <f t="shared" ca="1" si="54"/>
        <v>0</v>
      </c>
      <c r="AW87" s="775">
        <f t="shared" ca="1" si="55"/>
        <v>0</v>
      </c>
      <c r="AX87" s="775">
        <f t="shared" si="56"/>
        <v>0</v>
      </c>
      <c r="AY87" s="775">
        <f t="shared" ca="1" si="57"/>
        <v>0</v>
      </c>
      <c r="AZ87" s="775">
        <f t="shared" si="58"/>
        <v>0</v>
      </c>
      <c r="BA87" s="775">
        <f t="shared" ca="1" si="39"/>
        <v>0</v>
      </c>
      <c r="BB87" s="775">
        <f t="shared" ca="1" si="40"/>
        <v>0</v>
      </c>
      <c r="BC87" s="775">
        <f t="shared" ca="1" si="41"/>
        <v>0</v>
      </c>
      <c r="BD87" s="775">
        <f t="shared" ca="1" si="42"/>
        <v>0</v>
      </c>
      <c r="BE87" s="775">
        <f t="shared" ca="1" si="43"/>
        <v>0</v>
      </c>
      <c r="BF87" s="775">
        <f t="shared" ca="1" si="44"/>
        <v>0</v>
      </c>
      <c r="BG87" s="775">
        <f t="shared" ca="1" si="45"/>
        <v>0</v>
      </c>
      <c r="BH87" s="775">
        <f t="shared" ca="1" si="59"/>
        <v>0</v>
      </c>
      <c r="BI87" s="775">
        <f t="shared" ca="1" si="60"/>
        <v>0</v>
      </c>
      <c r="BJ87" s="775">
        <f t="shared" ca="1" si="61"/>
        <v>0.46</v>
      </c>
      <c r="BK87" s="775">
        <f t="shared" ca="1" si="62"/>
        <v>0</v>
      </c>
      <c r="BL87" s="775">
        <f t="shared" ca="1" si="63"/>
        <v>0</v>
      </c>
      <c r="BM87" s="775">
        <f t="shared" ca="1" si="64"/>
        <v>0</v>
      </c>
      <c r="BN87" s="775">
        <f t="shared" ca="1" si="65"/>
        <v>0</v>
      </c>
      <c r="BO87" s="775">
        <f t="shared" ca="1" si="66"/>
        <v>0</v>
      </c>
      <c r="BP87" s="775">
        <f t="shared" ca="1" si="67"/>
        <v>0</v>
      </c>
      <c r="BQ87" s="775">
        <f t="shared" ca="1" si="10"/>
        <v>0</v>
      </c>
      <c r="BR87" s="775">
        <f t="shared" ca="1" si="68"/>
        <v>0</v>
      </c>
    </row>
    <row r="88" spans="1:70">
      <c r="A88" s="767" t="str">
        <f t="shared" ca="1" si="12"/>
        <v>X</v>
      </c>
      <c r="B88" s="786" t="s">
        <v>1262</v>
      </c>
      <c r="C88" s="188">
        <f ca="1">IF(F88=0,"",COUNTIF($F$78:$F88,"&gt;0"))</f>
        <v>3</v>
      </c>
      <c r="D88" s="778" t="str">
        <f>VLOOKUP($B88,dongia1,DG!$C$5,)</f>
        <v>Boulon 16x300+ 2 long đền vuông D18-50x50x3/Zn</v>
      </c>
      <c r="E88" s="555" t="str">
        <f>VLOOKUP($B88,dongia1,DG!$D$5,)</f>
        <v>bộ</v>
      </c>
      <c r="F88" s="975">
        <f ca="1">G88+H88</f>
        <v>9</v>
      </c>
      <c r="G88" s="976">
        <f t="shared" ca="1" si="14"/>
        <v>5</v>
      </c>
      <c r="H88" s="976">
        <f ca="1">SUMIF(CT_tram!$B$33:$G$3559,kl!B88,CT_tram!$G$33:$G$3559)</f>
        <v>4</v>
      </c>
      <c r="I88" s="775">
        <f ca="1">SUMIF(CT_tram!$B$34:$G$115,$B88,CT_tram!$G$34:$G$115)</f>
        <v>0</v>
      </c>
      <c r="J88" s="775">
        <f ca="1">SUMIF(CT_tram!$B$122:$G$204,$B88,CT_tram!$G$122:$G$204)</f>
        <v>0</v>
      </c>
      <c r="K88" s="775">
        <f ca="1">SUMIF(CT_tram!$B$211:$G$293,$B88,CT_tram!$G$211:$G$293)</f>
        <v>0</v>
      </c>
      <c r="L88" s="775">
        <f ca="1">SUMIF(CT_tram!$B$300:$G$374,$B88,CT_tram!$G$300:$G$374)</f>
        <v>0</v>
      </c>
      <c r="M88" s="775">
        <f ca="1">SUMIF(CT_tram!$B$381:$G$471,$B88,CT_tram!$G$381:$G$471)</f>
        <v>0</v>
      </c>
      <c r="N88" s="775">
        <f ca="1">SUMIF(CT_tram!$B$478:$G$560,$B88,CT_tram!$G$478:$G$560)</f>
        <v>0</v>
      </c>
      <c r="O88" s="775">
        <f ca="1">SUMIF(CT_tram!$B$567:$G$653,$B88,CT_tram!$G$567:$G$653)</f>
        <v>0</v>
      </c>
      <c r="P88" s="775">
        <f ca="1">SUMIF(CT_tram!$B$661:$G$738,$B88,CT_tram!$G$661:$G$738)</f>
        <v>0</v>
      </c>
      <c r="Q88" s="775">
        <f ca="1">SUMIF(CT_tram!$B$745:$G$899,$B88,CT_tram!$G$745:$G$899)</f>
        <v>0</v>
      </c>
      <c r="R88" s="775">
        <f ca="1">SUMIF(CT_tram!$B$907:$G$995,$B88,CT_tram!$G$907:$G$995)</f>
        <v>0</v>
      </c>
      <c r="S88" s="775"/>
      <c r="T88" s="775">
        <f ca="1">SUMIF(CT_tram!$B$1004:$G$1097,B88,CT_tram!$G$1004:$G$1097)</f>
        <v>0</v>
      </c>
      <c r="U88" s="775"/>
      <c r="V88" s="775">
        <f ca="1">SUMIF(CT_tram!$B$1226:$G$1352,kl!B88,CT_tram!$G$1226:$G$1352)</f>
        <v>0</v>
      </c>
      <c r="W88" s="780">
        <f ca="1">SUMIF(CT_tram!$B$1105:$G$1219,kl!B88,CT_tram!$G$1105:$G$1219)</f>
        <v>0</v>
      </c>
      <c r="X88" s="775">
        <f ca="1">SUMIF(CT_tram!$B$1359:$G$1504,kl!B88,CT_tram!$G$1359:$G$1504)</f>
        <v>0</v>
      </c>
      <c r="Y88" s="775">
        <f ca="1">SUMIF(CT_tram!$B$1511:$G$1625,kl!B88,CT_tram!$G$1511:$G$1625)</f>
        <v>0</v>
      </c>
      <c r="Z88" s="775">
        <f ca="1">SUMIF(CT_tram!$B$1632:$G$2211,kl!B88,CT_tram!$G$1632:$G$2211)</f>
        <v>0</v>
      </c>
      <c r="AA88" s="775">
        <f ca="1">SUMIF(CT_tram!$B$2243:$G$2384,kl!B88,CT_tram!$G$2243:$G$2384)</f>
        <v>0</v>
      </c>
      <c r="AB88" s="775">
        <f ca="1">SUMIF(CT_tram!$B$2391:$G$2563,kl!B88,CT_tram!$G$2391:$G$2563)</f>
        <v>0</v>
      </c>
      <c r="AC88" s="775">
        <f ca="1">SUMIF(chitiet!$B$13:$N$2352,kl!$B88,chitiet!$I$13:$I$2352)</f>
        <v>0</v>
      </c>
      <c r="AD88" s="775">
        <f ca="1">SUMIF(chitiet!$B$13:$N$2352,kl!$B88,chitiet!$J$13:$J$2352)</f>
        <v>0</v>
      </c>
      <c r="AE88" s="775">
        <f ca="1">SUMIF(chitiet!$B$13:$N$2352,kl!$B88,chitiet!$K$13:$K$2352)</f>
        <v>5</v>
      </c>
      <c r="AF88" s="775">
        <f ca="1">SUMIF(chitiet!$B$13:$N$2352,kl!$B88,chitiet!$L$13:$L$2352)</f>
        <v>0</v>
      </c>
      <c r="AG88" s="775">
        <f ca="1">SUMIF(chitiet!$B$13:$N$2352,kl!$B88,chitiet!$M$13)</f>
        <v>0</v>
      </c>
      <c r="AH88" s="775">
        <f ca="1">SUMIF(chitiet!$B$13:$N$2352,kl!$B88,chitiet!$N$13:$N$2352)</f>
        <v>0</v>
      </c>
      <c r="AI88" s="775">
        <f ca="1">SUMIF(chitiet!$B$13:$N$2352,kl!$B88,chitiet!$O$13:$O$2352)</f>
        <v>0</v>
      </c>
      <c r="AJ88" s="775">
        <f ca="1">SUMIF('Cap ngam'!$B$631:$G$723,kl!$B88,'Cap ngam'!$G$631:$G$723)</f>
        <v>0</v>
      </c>
      <c r="AK88" s="775">
        <f ca="1">SUMIF('Cap ngam'!$B$403:$G$628,kl!$B88,'Cap ngam'!G$403:G$628)</f>
        <v>0</v>
      </c>
      <c r="AL88" s="775">
        <f ca="1">SUMIF('Cap ngam'!B$16:G$400,kl!$B88,'Cap ngam'!G$16:G$400)</f>
        <v>0</v>
      </c>
      <c r="AM88" s="776">
        <v>0.25</v>
      </c>
      <c r="AN88" s="775">
        <f t="shared" ca="1" si="46"/>
        <v>0</v>
      </c>
      <c r="AO88" s="775">
        <f t="shared" ca="1" si="47"/>
        <v>0</v>
      </c>
      <c r="AP88" s="775">
        <f t="shared" ca="1" si="48"/>
        <v>0</v>
      </c>
      <c r="AQ88" s="775">
        <f t="shared" ca="1" si="49"/>
        <v>0</v>
      </c>
      <c r="AR88" s="775">
        <f t="shared" ca="1" si="50"/>
        <v>0</v>
      </c>
      <c r="AS88" s="775">
        <f t="shared" ca="1" si="51"/>
        <v>0</v>
      </c>
      <c r="AT88" s="775">
        <f t="shared" ca="1" si="52"/>
        <v>0</v>
      </c>
      <c r="AU88" s="775">
        <f t="shared" ca="1" si="53"/>
        <v>0</v>
      </c>
      <c r="AV88" s="775">
        <f t="shared" ca="1" si="54"/>
        <v>0</v>
      </c>
      <c r="AW88" s="775">
        <f t="shared" ca="1" si="55"/>
        <v>0</v>
      </c>
      <c r="AX88" s="775">
        <f t="shared" si="56"/>
        <v>0</v>
      </c>
      <c r="AY88" s="775">
        <f t="shared" ca="1" si="57"/>
        <v>0</v>
      </c>
      <c r="AZ88" s="775">
        <f t="shared" si="58"/>
        <v>0</v>
      </c>
      <c r="BA88" s="775">
        <f t="shared" ca="1" si="39"/>
        <v>0</v>
      </c>
      <c r="BB88" s="775">
        <f t="shared" ca="1" si="40"/>
        <v>0</v>
      </c>
      <c r="BC88" s="775">
        <f t="shared" ca="1" si="41"/>
        <v>0</v>
      </c>
      <c r="BD88" s="775">
        <f t="shared" ca="1" si="42"/>
        <v>0</v>
      </c>
      <c r="BE88" s="775">
        <f t="shared" ca="1" si="43"/>
        <v>0</v>
      </c>
      <c r="BF88" s="775">
        <f t="shared" ca="1" si="44"/>
        <v>0</v>
      </c>
      <c r="BG88" s="775">
        <f t="shared" ca="1" si="45"/>
        <v>0</v>
      </c>
      <c r="BH88" s="775">
        <f t="shared" ca="1" si="59"/>
        <v>0</v>
      </c>
      <c r="BI88" s="775">
        <f t="shared" ca="1" si="60"/>
        <v>0</v>
      </c>
      <c r="BJ88" s="775">
        <f t="shared" ca="1" si="61"/>
        <v>1.25</v>
      </c>
      <c r="BK88" s="775">
        <f t="shared" ca="1" si="62"/>
        <v>0</v>
      </c>
      <c r="BL88" s="775">
        <f t="shared" ca="1" si="63"/>
        <v>0</v>
      </c>
      <c r="BM88" s="775">
        <f t="shared" ca="1" si="64"/>
        <v>0</v>
      </c>
      <c r="BN88" s="775">
        <f t="shared" ca="1" si="65"/>
        <v>0</v>
      </c>
      <c r="BO88" s="775">
        <f t="shared" ca="1" si="66"/>
        <v>0</v>
      </c>
      <c r="BP88" s="775">
        <f t="shared" ca="1" si="67"/>
        <v>0</v>
      </c>
      <c r="BQ88" s="775">
        <f t="shared" ca="1" si="10"/>
        <v>0</v>
      </c>
      <c r="BR88" s="775">
        <f t="shared" ca="1" si="68"/>
        <v>1</v>
      </c>
    </row>
    <row r="89" spans="1:70">
      <c r="A89" s="767" t="str">
        <f t="shared" ca="1" si="12"/>
        <v>X</v>
      </c>
      <c r="B89" s="789" t="s">
        <v>733</v>
      </c>
      <c r="C89" s="188">
        <f ca="1">IF(F89=0,"",COUNTIF($F$78:$F89,"&gt;0"))</f>
        <v>4</v>
      </c>
      <c r="D89" s="778" t="str">
        <f>VLOOKUP($B89,dongia1,DG!$C$5,)</f>
        <v>Boulon 16x350+ 2 long đền vuông D18-50x50x3/Zn</v>
      </c>
      <c r="E89" s="555" t="str">
        <f>VLOOKUP($B89,dongia1,DG!$D$5,)</f>
        <v>bộ</v>
      </c>
      <c r="F89" s="975">
        <f t="shared" ca="1" si="69"/>
        <v>4</v>
      </c>
      <c r="G89" s="976">
        <f t="shared" ca="1" si="14"/>
        <v>0</v>
      </c>
      <c r="H89" s="976">
        <f ca="1">SUMIF(CT_tram!$B$33:$G$3559,kl!B89,CT_tram!$G$33:$G$3559)</f>
        <v>4</v>
      </c>
      <c r="I89" s="775">
        <f ca="1">SUMIF(CT_tram!$B$34:$G$115,$B89,CT_tram!$G$34:$G$115)</f>
        <v>0</v>
      </c>
      <c r="J89" s="775">
        <f ca="1">SUMIF(CT_tram!$B$122:$G$204,$B89,CT_tram!$G$122:$G$204)</f>
        <v>0</v>
      </c>
      <c r="K89" s="775">
        <f ca="1">SUMIF(CT_tram!$B$211:$G$293,$B89,CT_tram!$G$211:$G$293)</f>
        <v>0</v>
      </c>
      <c r="L89" s="775">
        <f ca="1">SUMIF(CT_tram!$B$300:$G$374,$B89,CT_tram!$G$300:$G$374)</f>
        <v>0</v>
      </c>
      <c r="M89" s="775">
        <f ca="1">SUMIF(CT_tram!$B$381:$G$471,$B89,CT_tram!$G$381:$G$471)</f>
        <v>0</v>
      </c>
      <c r="N89" s="775">
        <f ca="1">SUMIF(CT_tram!$B$478:$G$560,$B89,CT_tram!$G$478:$G$560)</f>
        <v>0</v>
      </c>
      <c r="O89" s="775">
        <f ca="1">SUMIF(CT_tram!$B$567:$G$653,$B89,CT_tram!$G$567:$G$653)</f>
        <v>0</v>
      </c>
      <c r="P89" s="775">
        <f ca="1">SUMIF(CT_tram!$B$661:$G$738,$B89,CT_tram!$G$661:$G$738)</f>
        <v>0</v>
      </c>
      <c r="Q89" s="775">
        <f ca="1">SUMIF(CT_tram!$B$745:$G$899,$B89,CT_tram!$G$745:$G$899)</f>
        <v>0</v>
      </c>
      <c r="R89" s="775">
        <f ca="1">SUMIF(CT_tram!$B$907:$G$995,$B89,CT_tram!$G$907:$G$995)</f>
        <v>0</v>
      </c>
      <c r="S89" s="775"/>
      <c r="T89" s="775">
        <f ca="1">SUMIF(CT_tram!$B$1004:$G$1097,B89,CT_tram!$G$1004:$G$1097)</f>
        <v>0</v>
      </c>
      <c r="U89" s="775"/>
      <c r="V89" s="775">
        <f ca="1">SUMIF(CT_tram!$B$1226:$G$1352,kl!B89,CT_tram!$G$1226:$G$1352)</f>
        <v>0</v>
      </c>
      <c r="W89" s="780">
        <f ca="1">SUMIF(CT_tram!$B$1105:$G$1219,kl!B89,CT_tram!$G$1105:$G$1219)</f>
        <v>0</v>
      </c>
      <c r="X89" s="775">
        <f ca="1">SUMIF(CT_tram!$B$1359:$G$1504,kl!B89,CT_tram!$G$1359:$G$1504)</f>
        <v>0</v>
      </c>
      <c r="Y89" s="775">
        <f ca="1">SUMIF(CT_tram!$B$1511:$G$1625,kl!B89,CT_tram!$G$1511:$G$1625)</f>
        <v>0</v>
      </c>
      <c r="Z89" s="775">
        <f ca="1">SUMIF(CT_tram!$B$1632:$G$2211,kl!B89,CT_tram!$G$1632:$G$2211)</f>
        <v>0</v>
      </c>
      <c r="AA89" s="775">
        <f ca="1">SUMIF(CT_tram!$B$2243:$G$2384,kl!B89,CT_tram!$G$2243:$G$2384)</f>
        <v>0</v>
      </c>
      <c r="AB89" s="775">
        <f ca="1">SUMIF(CT_tram!$B$2391:$G$2563,kl!B89,CT_tram!$G$2391:$G$2563)</f>
        <v>0</v>
      </c>
      <c r="AC89" s="775">
        <f ca="1">SUMIF(chitiet!$B$13:$N$2352,kl!$B89,chitiet!$I$13:$I$2352)</f>
        <v>0</v>
      </c>
      <c r="AD89" s="775">
        <f ca="1">SUMIF(chitiet!$B$13:$N$2352,kl!$B89,chitiet!$J$13:$J$2352)</f>
        <v>0</v>
      </c>
      <c r="AE89" s="775">
        <f ca="1">SUMIF(chitiet!$B$13:$N$2352,kl!$B89,chitiet!$K$13:$K$2352)</f>
        <v>0</v>
      </c>
      <c r="AF89" s="775">
        <f ca="1">SUMIF(chitiet!$B$13:$N$2352,kl!$B89,chitiet!$L$13:$L$2352)</f>
        <v>0</v>
      </c>
      <c r="AG89" s="775">
        <f ca="1">SUMIF(chitiet!$B$13:$N$2352,kl!$B89,chitiet!$M$13)</f>
        <v>0</v>
      </c>
      <c r="AH89" s="775">
        <f ca="1">SUMIF(chitiet!$B$13:$N$2352,kl!$B89,chitiet!$N$13:$N$2352)</f>
        <v>0</v>
      </c>
      <c r="AI89" s="775">
        <f ca="1">SUMIF(chitiet!$B$13:$N$2352,kl!$B89,chitiet!$O$13:$O$2352)</f>
        <v>0</v>
      </c>
      <c r="AJ89" s="775">
        <f ca="1">SUMIF('Cap ngam'!$B$631:$G$723,kl!$B89,'Cap ngam'!$G$631:$G$723)</f>
        <v>0</v>
      </c>
      <c r="AK89" s="775">
        <f ca="1">SUMIF('Cap ngam'!$B$403:$G$628,kl!$B89,'Cap ngam'!G$403:G$628)</f>
        <v>0</v>
      </c>
      <c r="AL89" s="775">
        <f ca="1">SUMIF('Cap ngam'!B$16:G$400,kl!$B89,'Cap ngam'!G$16:G$400)</f>
        <v>0</v>
      </c>
      <c r="AM89" s="776">
        <v>0.3</v>
      </c>
      <c r="AN89" s="775">
        <f t="shared" ca="1" si="46"/>
        <v>0</v>
      </c>
      <c r="AO89" s="775">
        <f t="shared" ca="1" si="47"/>
        <v>0</v>
      </c>
      <c r="AP89" s="775">
        <f t="shared" ca="1" si="48"/>
        <v>0</v>
      </c>
      <c r="AQ89" s="775">
        <f t="shared" ca="1" si="49"/>
        <v>0</v>
      </c>
      <c r="AR89" s="775">
        <f t="shared" ca="1" si="50"/>
        <v>0</v>
      </c>
      <c r="AS89" s="775">
        <f t="shared" ca="1" si="51"/>
        <v>0</v>
      </c>
      <c r="AT89" s="775">
        <f t="shared" ca="1" si="52"/>
        <v>0</v>
      </c>
      <c r="AU89" s="775">
        <f t="shared" ca="1" si="53"/>
        <v>0</v>
      </c>
      <c r="AV89" s="775">
        <f t="shared" ca="1" si="54"/>
        <v>0</v>
      </c>
      <c r="AW89" s="775">
        <f t="shared" ca="1" si="55"/>
        <v>0</v>
      </c>
      <c r="AX89" s="775">
        <f t="shared" si="56"/>
        <v>0</v>
      </c>
      <c r="AY89" s="775">
        <f t="shared" ca="1" si="57"/>
        <v>0</v>
      </c>
      <c r="AZ89" s="775">
        <f t="shared" si="58"/>
        <v>0</v>
      </c>
      <c r="BA89" s="775">
        <f t="shared" ca="1" si="39"/>
        <v>0</v>
      </c>
      <c r="BB89" s="775">
        <f t="shared" ca="1" si="40"/>
        <v>0</v>
      </c>
      <c r="BC89" s="775">
        <f t="shared" ca="1" si="41"/>
        <v>0</v>
      </c>
      <c r="BD89" s="775">
        <f t="shared" ca="1" si="42"/>
        <v>0</v>
      </c>
      <c r="BE89" s="775">
        <f t="shared" ca="1" si="43"/>
        <v>0</v>
      </c>
      <c r="BF89" s="775">
        <f t="shared" ca="1" si="44"/>
        <v>0</v>
      </c>
      <c r="BG89" s="775">
        <f t="shared" ca="1" si="45"/>
        <v>0</v>
      </c>
      <c r="BH89" s="775">
        <f t="shared" ca="1" si="59"/>
        <v>0</v>
      </c>
      <c r="BI89" s="775">
        <f t="shared" ca="1" si="60"/>
        <v>0</v>
      </c>
      <c r="BJ89" s="775">
        <f t="shared" ca="1" si="61"/>
        <v>0</v>
      </c>
      <c r="BK89" s="775">
        <f t="shared" ca="1" si="62"/>
        <v>0</v>
      </c>
      <c r="BL89" s="775">
        <f t="shared" ca="1" si="63"/>
        <v>0</v>
      </c>
      <c r="BM89" s="775">
        <f t="shared" ca="1" si="64"/>
        <v>0</v>
      </c>
      <c r="BN89" s="775">
        <f t="shared" ca="1" si="65"/>
        <v>0</v>
      </c>
      <c r="BO89" s="775">
        <f t="shared" ca="1" si="66"/>
        <v>0</v>
      </c>
      <c r="BP89" s="775">
        <f t="shared" ca="1" si="67"/>
        <v>0</v>
      </c>
      <c r="BQ89" s="775">
        <f t="shared" ca="1" si="10"/>
        <v>0</v>
      </c>
      <c r="BR89" s="775">
        <f t="shared" ca="1" si="68"/>
        <v>1.2</v>
      </c>
    </row>
    <row r="90" spans="1:70">
      <c r="A90" s="767" t="str">
        <f ca="1">IF(F90&lt;&gt;0,"X","")</f>
        <v/>
      </c>
      <c r="B90" s="789" t="s">
        <v>4846</v>
      </c>
      <c r="C90" s="188" t="str">
        <f ca="1">IF(F90=0,"",COUNTIF($F$78:$F90,"&gt;0"))</f>
        <v/>
      </c>
      <c r="D90" s="778" t="str">
        <f>VLOOKUP($B90,dongia1,DG!$C$5,)</f>
        <v>Boulon 16x350VRS+ 4 long đền vuông D18-50x50x3/Zn</v>
      </c>
      <c r="E90" s="555" t="str">
        <f>VLOOKUP($B90,dongia1,DG!$D$5,)</f>
        <v>bộ</v>
      </c>
      <c r="F90" s="779">
        <f ca="1">G90+H90</f>
        <v>0</v>
      </c>
      <c r="G90" s="775">
        <f ca="1">SUM(AC90:AL90)</f>
        <v>0</v>
      </c>
      <c r="H90" s="775">
        <f ca="1">SUMIF(CT_tram!$B$33:$G$3559,kl!B90,CT_tram!$G$33:$G$3559)</f>
        <v>0</v>
      </c>
      <c r="I90" s="775">
        <f ca="1">SUMIF(CT_tram!$B$34:$G$115,$B90,CT_tram!$G$34:$G$115)</f>
        <v>0</v>
      </c>
      <c r="J90" s="775">
        <f ca="1">SUMIF(CT_tram!$B$122:$G$204,$B90,CT_tram!$G$122:$G$204)</f>
        <v>0</v>
      </c>
      <c r="K90" s="775">
        <f ca="1">SUMIF(CT_tram!$B$211:$G$293,$B90,CT_tram!$G$211:$G$293)</f>
        <v>0</v>
      </c>
      <c r="L90" s="775">
        <f ca="1">SUMIF(CT_tram!$B$300:$G$374,$B90,CT_tram!$G$300:$G$374)</f>
        <v>0</v>
      </c>
      <c r="M90" s="775">
        <f ca="1">SUMIF(CT_tram!$B$381:$G$471,$B90,CT_tram!$G$381:$G$471)</f>
        <v>0</v>
      </c>
      <c r="N90" s="775">
        <f ca="1">SUMIF(CT_tram!$B$478:$G$560,$B90,CT_tram!$G$478:$G$560)</f>
        <v>0</v>
      </c>
      <c r="O90" s="775">
        <f ca="1">SUMIF(CT_tram!$B$567:$G$653,$B90,CT_tram!$G$567:$G$653)</f>
        <v>0</v>
      </c>
      <c r="P90" s="775">
        <f ca="1">SUMIF(CT_tram!$B$661:$G$738,$B90,CT_tram!$G$661:$G$738)</f>
        <v>0</v>
      </c>
      <c r="Q90" s="775">
        <f ca="1">SUMIF(CT_tram!$B$745:$G$899,$B90,CT_tram!$G$745:$G$899)</f>
        <v>0</v>
      </c>
      <c r="R90" s="775">
        <f ca="1">SUMIF(CT_tram!$B$907:$G$995,$B90,CT_tram!$G$907:$G$995)</f>
        <v>0</v>
      </c>
      <c r="S90" s="775"/>
      <c r="T90" s="775">
        <f ca="1">SUMIF(CT_tram!$B$1004:$G$1097,B90,CT_tram!$G$1004:$G$1097)</f>
        <v>0</v>
      </c>
      <c r="U90" s="775"/>
      <c r="V90" s="775">
        <f ca="1">SUMIF(CT_tram!$B$1226:$G$1352,kl!B90,CT_tram!$G$1226:$G$1352)</f>
        <v>0</v>
      </c>
      <c r="W90" s="780">
        <f ca="1">SUMIF(CT_tram!$B$1105:$G$1219,kl!B90,CT_tram!$G$1105:$G$1219)</f>
        <v>0</v>
      </c>
      <c r="X90" s="775">
        <f ca="1">SUMIF(CT_tram!$B$1359:$G$1504,kl!B90,CT_tram!$G$1359:$G$1504)</f>
        <v>0</v>
      </c>
      <c r="Y90" s="775">
        <f ca="1">SUMIF(CT_tram!$B$1511:$G$1625,kl!B90,CT_tram!$G$1511:$G$1625)</f>
        <v>0</v>
      </c>
      <c r="Z90" s="775">
        <f ca="1">SUMIF(CT_tram!$B$1632:$G$2211,kl!B90,CT_tram!$G$1632:$G$2211)</f>
        <v>0</v>
      </c>
      <c r="AA90" s="775">
        <f ca="1">SUMIF(CT_tram!$B$2243:$G$2384,kl!B90,CT_tram!$G$2243:$G$2384)</f>
        <v>0</v>
      </c>
      <c r="AB90" s="775">
        <f ca="1">SUMIF(CT_tram!$B$2391:$G$2563,kl!B90,CT_tram!$G$2391:$G$2563)</f>
        <v>0</v>
      </c>
      <c r="AC90" s="775">
        <f ca="1">SUMIF(chitiet!$B$13:$N$2352,kl!$B90,chitiet!$I$13:$I$2352)</f>
        <v>0</v>
      </c>
      <c r="AD90" s="775">
        <f ca="1">SUMIF(chitiet!$B$13:$N$2352,kl!$B90,chitiet!$J$13:$J$2352)</f>
        <v>0</v>
      </c>
      <c r="AE90" s="775">
        <f ca="1">SUMIF(chitiet!$B$13:$N$2352,kl!$B90,chitiet!$K$13:$K$2352)</f>
        <v>0</v>
      </c>
      <c r="AF90" s="775">
        <f ca="1">SUMIF(chitiet!$B$13:$N$2352,kl!$B90,chitiet!$L$13:$L$2352)</f>
        <v>0</v>
      </c>
      <c r="AG90" s="775">
        <f ca="1">SUMIF(chitiet!$B$13:$N$2352,kl!$B90,chitiet!$M$13)</f>
        <v>0</v>
      </c>
      <c r="AH90" s="775">
        <f ca="1">SUMIF(chitiet!$B$13:$N$2352,kl!$B90,chitiet!$N$13:$N$2352)</f>
        <v>0</v>
      </c>
      <c r="AI90" s="775">
        <f ca="1">SUMIF(chitiet!$B$13:$N$2352,kl!$B90,chitiet!$O$13:$O$2352)</f>
        <v>0</v>
      </c>
      <c r="AJ90" s="775">
        <f ca="1">SUMIF('Cap ngam'!$B$631:$G$723,kl!$B90,'Cap ngam'!$G$631:$G$723)</f>
        <v>0</v>
      </c>
      <c r="AK90" s="775">
        <f ca="1">SUMIF('Cap ngam'!$B$403:$G$628,kl!$B90,'Cap ngam'!G$403:G$628)</f>
        <v>0</v>
      </c>
      <c r="AL90" s="775">
        <f ca="1">SUMIF('Cap ngam'!B$16:G$400,kl!$B90,'Cap ngam'!G$16:G$400)</f>
        <v>0</v>
      </c>
      <c r="AM90" s="776">
        <v>0.3</v>
      </c>
      <c r="AN90" s="775">
        <f t="shared" ref="AN90:BP90" ca="1" si="70">I90*$AM90</f>
        <v>0</v>
      </c>
      <c r="AO90" s="775">
        <f t="shared" ca="1" si="70"/>
        <v>0</v>
      </c>
      <c r="AP90" s="775">
        <f t="shared" ca="1" si="70"/>
        <v>0</v>
      </c>
      <c r="AQ90" s="775">
        <f t="shared" ca="1" si="70"/>
        <v>0</v>
      </c>
      <c r="AR90" s="775">
        <f t="shared" ca="1" si="70"/>
        <v>0</v>
      </c>
      <c r="AS90" s="775">
        <f t="shared" ca="1" si="70"/>
        <v>0</v>
      </c>
      <c r="AT90" s="775">
        <f t="shared" ca="1" si="70"/>
        <v>0</v>
      </c>
      <c r="AU90" s="775">
        <f t="shared" ca="1" si="70"/>
        <v>0</v>
      </c>
      <c r="AV90" s="775">
        <f t="shared" ca="1" si="70"/>
        <v>0</v>
      </c>
      <c r="AW90" s="775">
        <f t="shared" ca="1" si="70"/>
        <v>0</v>
      </c>
      <c r="AX90" s="775">
        <f t="shared" si="70"/>
        <v>0</v>
      </c>
      <c r="AY90" s="775">
        <f t="shared" ca="1" si="70"/>
        <v>0</v>
      </c>
      <c r="AZ90" s="775">
        <f t="shared" si="70"/>
        <v>0</v>
      </c>
      <c r="BA90" s="775">
        <f t="shared" ca="1" si="70"/>
        <v>0</v>
      </c>
      <c r="BB90" s="775">
        <f t="shared" ca="1" si="70"/>
        <v>0</v>
      </c>
      <c r="BC90" s="775">
        <f t="shared" ca="1" si="70"/>
        <v>0</v>
      </c>
      <c r="BD90" s="775">
        <f t="shared" ca="1" si="70"/>
        <v>0</v>
      </c>
      <c r="BE90" s="775">
        <f t="shared" ca="1" si="70"/>
        <v>0</v>
      </c>
      <c r="BF90" s="775">
        <f t="shared" ca="1" si="70"/>
        <v>0</v>
      </c>
      <c r="BG90" s="775">
        <f t="shared" ca="1" si="70"/>
        <v>0</v>
      </c>
      <c r="BH90" s="775">
        <f t="shared" ca="1" si="70"/>
        <v>0</v>
      </c>
      <c r="BI90" s="775">
        <f t="shared" ca="1" si="70"/>
        <v>0</v>
      </c>
      <c r="BJ90" s="775">
        <f t="shared" ca="1" si="70"/>
        <v>0</v>
      </c>
      <c r="BK90" s="775">
        <f t="shared" ca="1" si="70"/>
        <v>0</v>
      </c>
      <c r="BL90" s="775">
        <f t="shared" ca="1" si="70"/>
        <v>0</v>
      </c>
      <c r="BM90" s="775">
        <f t="shared" ca="1" si="70"/>
        <v>0</v>
      </c>
      <c r="BN90" s="775">
        <f t="shared" ca="1" si="70"/>
        <v>0</v>
      </c>
      <c r="BO90" s="775">
        <f t="shared" ca="1" si="70"/>
        <v>0</v>
      </c>
      <c r="BP90" s="775">
        <f t="shared" ca="1" si="70"/>
        <v>0</v>
      </c>
      <c r="BQ90" s="775">
        <f t="shared" ca="1" si="10"/>
        <v>0</v>
      </c>
      <c r="BR90" s="775">
        <f t="shared" ca="1" si="68"/>
        <v>0</v>
      </c>
    </row>
    <row r="91" spans="1:70">
      <c r="A91" s="767" t="str">
        <f t="shared" ca="1" si="12"/>
        <v/>
      </c>
      <c r="B91" s="789" t="s">
        <v>1441</v>
      </c>
      <c r="C91" s="188" t="str">
        <f ca="1">IF(F91=0,"",COUNTIF($F$78:$F91,"&gt;0"))</f>
        <v/>
      </c>
      <c r="D91" s="778" t="str">
        <f>VLOOKUP($B91,dongia1,DG!$C$5,)</f>
        <v>Boulon 16x450+ 2 long đền vuông D18-50x50x3/Zn</v>
      </c>
      <c r="E91" s="555" t="str">
        <f>VLOOKUP($B91,dongia1,DG!$D$5,)</f>
        <v>bộ</v>
      </c>
      <c r="F91" s="779">
        <f t="shared" ca="1" si="69"/>
        <v>0</v>
      </c>
      <c r="G91" s="775">
        <f t="shared" ca="1" si="14"/>
        <v>0</v>
      </c>
      <c r="H91" s="775">
        <f ca="1">SUMIF(CT_tram!$B$33:$G$3559,kl!B91,CT_tram!$G$33:$G$3559)</f>
        <v>0</v>
      </c>
      <c r="I91" s="775">
        <f ca="1">SUMIF(CT_tram!$B$34:$G$115,$B91,CT_tram!$G$34:$G$115)</f>
        <v>0</v>
      </c>
      <c r="J91" s="775">
        <f ca="1">SUMIF(CT_tram!$B$122:$G$204,$B91,CT_tram!$G$122:$G$204)</f>
        <v>0</v>
      </c>
      <c r="K91" s="775">
        <f ca="1">SUMIF(CT_tram!$B$211:$G$293,$B91,CT_tram!$G$211:$G$293)</f>
        <v>0</v>
      </c>
      <c r="L91" s="775">
        <f ca="1">SUMIF(CT_tram!$B$300:$G$374,$B91,CT_tram!$G$300:$G$374)</f>
        <v>0</v>
      </c>
      <c r="M91" s="775">
        <f ca="1">SUMIF(CT_tram!$B$381:$G$471,$B91,CT_tram!$G$381:$G$471)</f>
        <v>0</v>
      </c>
      <c r="N91" s="775">
        <f ca="1">SUMIF(CT_tram!$B$478:$G$560,$B91,CT_tram!$G$478:$G$560)</f>
        <v>0</v>
      </c>
      <c r="O91" s="775">
        <f ca="1">SUMIF(CT_tram!$B$567:$G$653,$B91,CT_tram!$G$567:$G$653)</f>
        <v>0</v>
      </c>
      <c r="P91" s="775">
        <f ca="1">SUMIF(CT_tram!$B$661:$G$738,$B91,CT_tram!$G$661:$G$738)</f>
        <v>0</v>
      </c>
      <c r="Q91" s="775">
        <f ca="1">SUMIF(CT_tram!$B$745:$G$899,$B91,CT_tram!$G$745:$G$899)</f>
        <v>0</v>
      </c>
      <c r="R91" s="775">
        <f ca="1">SUMIF(CT_tram!$B$907:$G$995,$B91,CT_tram!$G$907:$G$995)</f>
        <v>0</v>
      </c>
      <c r="S91" s="775"/>
      <c r="T91" s="775">
        <f ca="1">SUMIF(CT_tram!$B$1004:$G$1097,B91,CT_tram!$G$1004:$G$1097)</f>
        <v>0</v>
      </c>
      <c r="U91" s="775"/>
      <c r="V91" s="775">
        <f ca="1">SUMIF(CT_tram!$B$1226:$G$1352,kl!B91,CT_tram!$G$1226:$G$1352)</f>
        <v>0</v>
      </c>
      <c r="W91" s="780">
        <f ca="1">SUMIF(CT_tram!$B$1105:$G$1219,kl!B91,CT_tram!$G$1105:$G$1219)</f>
        <v>0</v>
      </c>
      <c r="X91" s="775">
        <f ca="1">SUMIF(CT_tram!$B$1359:$G$1504,kl!B91,CT_tram!$G$1359:$G$1504)</f>
        <v>0</v>
      </c>
      <c r="Y91" s="775">
        <f ca="1">SUMIF(CT_tram!$B$1511:$G$1625,kl!B91,CT_tram!$G$1511:$G$1625)</f>
        <v>0</v>
      </c>
      <c r="Z91" s="775">
        <f ca="1">SUMIF(CT_tram!$B$1632:$G$2211,kl!B91,CT_tram!$G$1632:$G$2211)</f>
        <v>0</v>
      </c>
      <c r="AA91" s="775">
        <f ca="1">SUMIF(CT_tram!$B$2243:$G$2384,kl!B91,CT_tram!$G$2243:$G$2384)</f>
        <v>0</v>
      </c>
      <c r="AB91" s="775">
        <f ca="1">SUMIF(CT_tram!$B$2391:$G$2563,kl!B91,CT_tram!$G$2391:$G$2563)</f>
        <v>0</v>
      </c>
      <c r="AC91" s="775">
        <f ca="1">SUMIF(chitiet!$B$13:$N$2352,kl!$B91,chitiet!$I$13:$I$2352)</f>
        <v>0</v>
      </c>
      <c r="AD91" s="775">
        <f ca="1">SUMIF(chitiet!$B$13:$N$2352,kl!$B91,chitiet!$J$13:$J$2352)</f>
        <v>0</v>
      </c>
      <c r="AE91" s="775">
        <f ca="1">SUMIF(chitiet!$B$13:$N$2352,kl!$B91,chitiet!$K$13:$K$2352)</f>
        <v>0</v>
      </c>
      <c r="AF91" s="775">
        <f ca="1">SUMIF(chitiet!$B$13:$N$2352,kl!$B91,chitiet!$L$13:$L$2352)</f>
        <v>0</v>
      </c>
      <c r="AG91" s="775">
        <f ca="1">SUMIF(chitiet!$B$13:$N$2352,kl!$B91,chitiet!$M$13)</f>
        <v>0</v>
      </c>
      <c r="AH91" s="775">
        <f ca="1">SUMIF(chitiet!$B$13:$N$2352,kl!$B91,chitiet!$N$13:$N$2352)</f>
        <v>0</v>
      </c>
      <c r="AI91" s="775">
        <f ca="1">SUMIF(chitiet!$B$13:$N$2352,kl!$B91,chitiet!$O$13:$O$2352)</f>
        <v>0</v>
      </c>
      <c r="AJ91" s="775">
        <f ca="1">SUMIF('Cap ngam'!$B$631:$G$723,kl!$B91,'Cap ngam'!$G$631:$G$723)</f>
        <v>0</v>
      </c>
      <c r="AK91" s="775">
        <f ca="1">SUMIF('Cap ngam'!$B$403:$G$628,kl!$B91,'Cap ngam'!G$403:G$628)</f>
        <v>0</v>
      </c>
      <c r="AL91" s="775">
        <f ca="1">SUMIF('Cap ngam'!B$16:G$400,kl!$B91,'Cap ngam'!G$16:G$400)</f>
        <v>0</v>
      </c>
      <c r="AM91" s="776">
        <v>0.3</v>
      </c>
      <c r="AN91" s="775">
        <f t="shared" ca="1" si="46"/>
        <v>0</v>
      </c>
      <c r="AO91" s="775">
        <f t="shared" ca="1" si="47"/>
        <v>0</v>
      </c>
      <c r="AP91" s="775">
        <f t="shared" ca="1" si="48"/>
        <v>0</v>
      </c>
      <c r="AQ91" s="775">
        <f t="shared" ca="1" si="49"/>
        <v>0</v>
      </c>
      <c r="AR91" s="775">
        <f t="shared" ca="1" si="50"/>
        <v>0</v>
      </c>
      <c r="AS91" s="775">
        <f t="shared" ca="1" si="51"/>
        <v>0</v>
      </c>
      <c r="AT91" s="775">
        <f t="shared" ca="1" si="52"/>
        <v>0</v>
      </c>
      <c r="AU91" s="775">
        <f t="shared" ca="1" si="53"/>
        <v>0</v>
      </c>
      <c r="AV91" s="775">
        <f t="shared" ca="1" si="54"/>
        <v>0</v>
      </c>
      <c r="AW91" s="775">
        <f t="shared" ca="1" si="55"/>
        <v>0</v>
      </c>
      <c r="AX91" s="775">
        <f t="shared" si="56"/>
        <v>0</v>
      </c>
      <c r="AY91" s="775">
        <f t="shared" ca="1" si="57"/>
        <v>0</v>
      </c>
      <c r="AZ91" s="775">
        <f t="shared" si="58"/>
        <v>0</v>
      </c>
      <c r="BA91" s="775">
        <f t="shared" ca="1" si="39"/>
        <v>0</v>
      </c>
      <c r="BB91" s="775">
        <f t="shared" ca="1" si="40"/>
        <v>0</v>
      </c>
      <c r="BC91" s="775">
        <f t="shared" ca="1" si="41"/>
        <v>0</v>
      </c>
      <c r="BD91" s="775">
        <f t="shared" ca="1" si="42"/>
        <v>0</v>
      </c>
      <c r="BE91" s="775">
        <f t="shared" ca="1" si="43"/>
        <v>0</v>
      </c>
      <c r="BF91" s="775">
        <f t="shared" ca="1" si="44"/>
        <v>0</v>
      </c>
      <c r="BG91" s="775">
        <f t="shared" ca="1" si="45"/>
        <v>0</v>
      </c>
      <c r="BH91" s="775">
        <f t="shared" ca="1" si="59"/>
        <v>0</v>
      </c>
      <c r="BI91" s="775">
        <f t="shared" ca="1" si="60"/>
        <v>0</v>
      </c>
      <c r="BJ91" s="775">
        <f t="shared" ca="1" si="61"/>
        <v>0</v>
      </c>
      <c r="BK91" s="775">
        <f t="shared" ca="1" si="62"/>
        <v>0</v>
      </c>
      <c r="BL91" s="775">
        <f t="shared" ca="1" si="63"/>
        <v>0</v>
      </c>
      <c r="BM91" s="775">
        <f t="shared" ca="1" si="64"/>
        <v>0</v>
      </c>
      <c r="BN91" s="775">
        <f t="shared" ca="1" si="65"/>
        <v>0</v>
      </c>
      <c r="BO91" s="775">
        <f t="shared" ca="1" si="66"/>
        <v>0</v>
      </c>
      <c r="BP91" s="775">
        <f t="shared" ca="1" si="67"/>
        <v>0</v>
      </c>
      <c r="BQ91" s="775">
        <f t="shared" ca="1" si="10"/>
        <v>0</v>
      </c>
      <c r="BR91" s="775">
        <f t="shared" ca="1" si="68"/>
        <v>0</v>
      </c>
    </row>
    <row r="92" spans="1:70">
      <c r="A92" s="767" t="str">
        <f ca="1">IF(F92&lt;&gt;0,"X","")</f>
        <v/>
      </c>
      <c r="B92" s="789" t="s">
        <v>1172</v>
      </c>
      <c r="C92" s="188" t="str">
        <f ca="1">IF(F92=0,"",COUNTIF($F$78:$F92,"&gt;0"))</f>
        <v/>
      </c>
      <c r="D92" s="778" t="str">
        <f>VLOOKUP($B92,dongia1,DG!$C$5,)</f>
        <v>Boulon 16x500+ 2 long đền vuông D18-50x50x3/Zn</v>
      </c>
      <c r="E92" s="555" t="str">
        <f>VLOOKUP($B92,dongia1,DG!$D$5,)</f>
        <v>bộ</v>
      </c>
      <c r="F92" s="975">
        <f ca="1">G92+H92</f>
        <v>0</v>
      </c>
      <c r="G92" s="976">
        <f ca="1">SUM(AC92:AL92)</f>
        <v>0</v>
      </c>
      <c r="H92" s="976">
        <f ca="1">SUMIF(CT_tram!$B$33:$G$3559,kl!B92,CT_tram!$G$33:$G$3559)</f>
        <v>0</v>
      </c>
      <c r="I92" s="775">
        <f ca="1">SUMIF(CT_tram!$B$34:$G$115,$B92,CT_tram!$G$34:$G$115)</f>
        <v>0</v>
      </c>
      <c r="J92" s="775">
        <f ca="1">SUMIF(CT_tram!$B$122:$G$204,$B92,CT_tram!$G$122:$G$204)</f>
        <v>0</v>
      </c>
      <c r="K92" s="775">
        <f ca="1">SUMIF(CT_tram!$B$211:$G$293,$B92,CT_tram!$G$211:$G$293)</f>
        <v>0</v>
      </c>
      <c r="L92" s="775">
        <f ca="1">SUMIF(CT_tram!$B$300:$G$374,$B92,CT_tram!$G$300:$G$374)</f>
        <v>0</v>
      </c>
      <c r="M92" s="775">
        <f ca="1">SUMIF(CT_tram!$B$381:$G$471,$B92,CT_tram!$G$381:$G$471)</f>
        <v>0</v>
      </c>
      <c r="N92" s="775">
        <f ca="1">SUMIF(CT_tram!$B$478:$G$560,$B92,CT_tram!$G$478:$G$560)</f>
        <v>0</v>
      </c>
      <c r="O92" s="775">
        <f ca="1">SUMIF(CT_tram!$B$567:$G$653,$B92,CT_tram!$G$567:$G$653)</f>
        <v>0</v>
      </c>
      <c r="P92" s="775">
        <f ca="1">SUMIF(CT_tram!$B$661:$G$738,$B92,CT_tram!$G$661:$G$738)</f>
        <v>0</v>
      </c>
      <c r="Q92" s="775">
        <f ca="1">SUMIF(CT_tram!$B$745:$G$899,$B92,CT_tram!$G$745:$G$899)</f>
        <v>0</v>
      </c>
      <c r="R92" s="775">
        <f ca="1">SUMIF(CT_tram!$B$907:$G$995,$B92,CT_tram!$G$907:$G$995)</f>
        <v>0</v>
      </c>
      <c r="S92" s="775"/>
      <c r="T92" s="775">
        <f ca="1">SUMIF(CT_tram!$B$1004:$G$1097,B92,CT_tram!$G$1004:$G$1097)</f>
        <v>0</v>
      </c>
      <c r="U92" s="775"/>
      <c r="V92" s="775">
        <f ca="1">SUMIF(CT_tram!$B$1226:$G$1352,kl!B92,CT_tram!$G$1226:$G$1352)</f>
        <v>0</v>
      </c>
      <c r="W92" s="780">
        <f ca="1">SUMIF(CT_tram!$B$1105:$G$1219,kl!B92,CT_tram!$G$1105:$G$1219)</f>
        <v>0</v>
      </c>
      <c r="X92" s="775">
        <f ca="1">SUMIF(CT_tram!$B$1359:$G$1504,kl!B92,CT_tram!$G$1359:$G$1504)</f>
        <v>0</v>
      </c>
      <c r="Y92" s="775">
        <f ca="1">SUMIF(CT_tram!$B$1511:$G$1625,kl!B92,CT_tram!$G$1511:$G$1625)</f>
        <v>0</v>
      </c>
      <c r="Z92" s="775">
        <f ca="1">SUMIF(CT_tram!$B$1632:$G$2211,kl!B92,CT_tram!$G$1632:$G$2211)</f>
        <v>0</v>
      </c>
      <c r="AA92" s="775">
        <f ca="1">SUMIF(CT_tram!$B$2243:$G$2384,kl!B92,CT_tram!$G$2243:$G$2384)</f>
        <v>0</v>
      </c>
      <c r="AB92" s="775">
        <f ca="1">SUMIF(CT_tram!$B$2391:$G$2563,kl!B92,CT_tram!$G$2391:$G$2563)</f>
        <v>0</v>
      </c>
      <c r="AC92" s="775">
        <f ca="1">SUMIF(chitiet!$B$13:$N$2352,kl!$B92,chitiet!$I$13:$I$2352)</f>
        <v>0</v>
      </c>
      <c r="AD92" s="775">
        <f ca="1">SUMIF(chitiet!$B$13:$N$2352,kl!$B92,chitiet!$J$13:$J$2352)</f>
        <v>0</v>
      </c>
      <c r="AE92" s="775">
        <f ca="1">SUMIF(chitiet!$B$13:$N$2352,kl!$B92,chitiet!$K$13:$K$2352)</f>
        <v>0</v>
      </c>
      <c r="AF92" s="775">
        <f ca="1">SUMIF(chitiet!$B$13:$N$2352,kl!$B92,chitiet!$L$13:$L$2352)</f>
        <v>0</v>
      </c>
      <c r="AG92" s="775">
        <f ca="1">SUMIF(chitiet!$B$13:$N$2352,kl!$B92,chitiet!$M$13)</f>
        <v>0</v>
      </c>
      <c r="AH92" s="775">
        <f ca="1">SUMIF(chitiet!$B$13:$N$2352,kl!$B92,chitiet!$N$13:$N$2352)</f>
        <v>0</v>
      </c>
      <c r="AI92" s="775">
        <f ca="1">SUMIF(chitiet!$B$13:$N$2352,kl!$B92,chitiet!$O$13:$O$2352)</f>
        <v>0</v>
      </c>
      <c r="AJ92" s="775">
        <f ca="1">SUMIF('Cap ngam'!$B$631:$G$723,kl!$B92,'Cap ngam'!$G$631:$G$723)</f>
        <v>0</v>
      </c>
      <c r="AK92" s="775">
        <f ca="1">SUMIF('Cap ngam'!$B$403:$G$628,kl!$B92,'Cap ngam'!G$403:G$628)</f>
        <v>0</v>
      </c>
      <c r="AL92" s="775">
        <f ca="1">SUMIF('Cap ngam'!B$16:G$400,kl!$B92,'Cap ngam'!G$16:G$400)</f>
        <v>0</v>
      </c>
      <c r="AM92" s="776">
        <v>0.3</v>
      </c>
      <c r="AN92" s="775">
        <f t="shared" ref="AN92:AW93" ca="1" si="71">I92*$AM92</f>
        <v>0</v>
      </c>
      <c r="AO92" s="775">
        <f t="shared" ca="1" si="71"/>
        <v>0</v>
      </c>
      <c r="AP92" s="775">
        <f t="shared" ca="1" si="71"/>
        <v>0</v>
      </c>
      <c r="AQ92" s="775">
        <f t="shared" ca="1" si="71"/>
        <v>0</v>
      </c>
      <c r="AR92" s="775">
        <f t="shared" ca="1" si="71"/>
        <v>0</v>
      </c>
      <c r="AS92" s="775">
        <f t="shared" ca="1" si="71"/>
        <v>0</v>
      </c>
      <c r="AT92" s="775">
        <f t="shared" ca="1" si="71"/>
        <v>0</v>
      </c>
      <c r="AU92" s="775">
        <f t="shared" ca="1" si="71"/>
        <v>0</v>
      </c>
      <c r="AV92" s="775">
        <f t="shared" ca="1" si="71"/>
        <v>0</v>
      </c>
      <c r="AW92" s="775">
        <f t="shared" ca="1" si="71"/>
        <v>0</v>
      </c>
      <c r="AX92" s="775">
        <f t="shared" si="56"/>
        <v>0</v>
      </c>
      <c r="AY92" s="775">
        <f t="shared" ca="1" si="57"/>
        <v>0</v>
      </c>
      <c r="AZ92" s="775">
        <f t="shared" si="58"/>
        <v>0</v>
      </c>
      <c r="BA92" s="775">
        <f t="shared" ca="1" si="39"/>
        <v>0</v>
      </c>
      <c r="BB92" s="775">
        <f t="shared" ca="1" si="40"/>
        <v>0</v>
      </c>
      <c r="BC92" s="775">
        <f t="shared" ca="1" si="41"/>
        <v>0</v>
      </c>
      <c r="BD92" s="775">
        <f t="shared" ca="1" si="42"/>
        <v>0</v>
      </c>
      <c r="BE92" s="775">
        <f t="shared" ca="1" si="43"/>
        <v>0</v>
      </c>
      <c r="BF92" s="775">
        <f t="shared" ca="1" si="44"/>
        <v>0</v>
      </c>
      <c r="BG92" s="775">
        <f t="shared" ca="1" si="45"/>
        <v>0</v>
      </c>
      <c r="BH92" s="775">
        <f t="shared" ca="1" si="59"/>
        <v>0</v>
      </c>
      <c r="BI92" s="775">
        <f t="shared" ca="1" si="60"/>
        <v>0</v>
      </c>
      <c r="BJ92" s="775">
        <f t="shared" ca="1" si="61"/>
        <v>0</v>
      </c>
      <c r="BK92" s="775">
        <f t="shared" ca="1" si="62"/>
        <v>0</v>
      </c>
      <c r="BL92" s="775">
        <f t="shared" ca="1" si="63"/>
        <v>0</v>
      </c>
      <c r="BM92" s="775">
        <f t="shared" ca="1" si="64"/>
        <v>0</v>
      </c>
      <c r="BN92" s="775">
        <f t="shared" ca="1" si="65"/>
        <v>0</v>
      </c>
      <c r="BO92" s="775">
        <f t="shared" ca="1" si="66"/>
        <v>0</v>
      </c>
      <c r="BP92" s="775">
        <f t="shared" ca="1" si="67"/>
        <v>0</v>
      </c>
      <c r="BQ92" s="775">
        <f t="shared" ca="1" si="10"/>
        <v>0</v>
      </c>
      <c r="BR92" s="775">
        <f t="shared" ca="1" si="68"/>
        <v>0</v>
      </c>
    </row>
    <row r="93" spans="1:70">
      <c r="A93" s="767" t="str">
        <f ca="1">IF(F93&lt;&gt;0,"X","")</f>
        <v/>
      </c>
      <c r="B93" s="789" t="s">
        <v>82</v>
      </c>
      <c r="C93" s="188" t="str">
        <f ca="1">IF(F93=0,"",COUNTIF($F$78:$F93,"&gt;0"))</f>
        <v/>
      </c>
      <c r="D93" s="778" t="str">
        <f>VLOOKUP($B93,dongia1,DG!$C$5,)</f>
        <v>Boulon 16x400+ 2 long đền vuông D18-50x50x3/Zn</v>
      </c>
      <c r="E93" s="555" t="str">
        <f>VLOOKUP($B93,dongia1,DG!$D$5,)</f>
        <v>bộ</v>
      </c>
      <c r="F93" s="975">
        <f ca="1">G93+H93</f>
        <v>0</v>
      </c>
      <c r="G93" s="976">
        <f ca="1">SUM(AC93:AL93)</f>
        <v>0</v>
      </c>
      <c r="H93" s="976">
        <f ca="1">SUMIF(CT_tram!$B$33:$G$3559,kl!B93,CT_tram!$G$33:$G$3559)</f>
        <v>0</v>
      </c>
      <c r="I93" s="775">
        <f ca="1">SUMIF(CT_tram!$B$34:$G$115,$B93,CT_tram!$G$34:$G$115)</f>
        <v>0</v>
      </c>
      <c r="J93" s="775">
        <f ca="1">SUMIF(CT_tram!$B$122:$G$204,$B93,CT_tram!$G$122:$G$204)</f>
        <v>0</v>
      </c>
      <c r="K93" s="775">
        <f ca="1">SUMIF(CT_tram!$B$211:$G$293,$B93,CT_tram!$G$211:$G$293)</f>
        <v>0</v>
      </c>
      <c r="L93" s="775">
        <f ca="1">SUMIF(CT_tram!$B$300:$G$374,$B93,CT_tram!$G$300:$G$374)</f>
        <v>0</v>
      </c>
      <c r="M93" s="775">
        <f ca="1">SUMIF(CT_tram!$B$381:$G$471,$B93,CT_tram!$G$381:$G$471)</f>
        <v>0</v>
      </c>
      <c r="N93" s="775">
        <f ca="1">SUMIF(CT_tram!$B$478:$G$560,$B93,CT_tram!$G$478:$G$560)</f>
        <v>0</v>
      </c>
      <c r="O93" s="775">
        <f ca="1">SUMIF(CT_tram!$B$567:$G$653,$B93,CT_tram!$G$567:$G$653)</f>
        <v>0</v>
      </c>
      <c r="P93" s="775">
        <f ca="1">SUMIF(CT_tram!$B$661:$G$738,$B93,CT_tram!$G$661:$G$738)</f>
        <v>0</v>
      </c>
      <c r="Q93" s="775">
        <f ca="1">SUMIF(CT_tram!$B$745:$G$899,$B93,CT_tram!$G$745:$G$899)</f>
        <v>0</v>
      </c>
      <c r="R93" s="775">
        <f ca="1">SUMIF(CT_tram!$B$907:$G$995,$B93,CT_tram!$G$907:$G$995)</f>
        <v>0</v>
      </c>
      <c r="S93" s="775"/>
      <c r="T93" s="775">
        <f ca="1">SUMIF(CT_tram!$B$1004:$G$1097,B93,CT_tram!$G$1004:$G$1097)</f>
        <v>0</v>
      </c>
      <c r="U93" s="775"/>
      <c r="V93" s="775">
        <f ca="1">SUMIF(CT_tram!$B$1226:$G$1352,kl!B93,CT_tram!$G$1226:$G$1352)</f>
        <v>0</v>
      </c>
      <c r="W93" s="780">
        <f ca="1">SUMIF(CT_tram!$B$1105:$G$1219,kl!B93,CT_tram!$G$1105:$G$1219)</f>
        <v>0</v>
      </c>
      <c r="X93" s="775">
        <f ca="1">SUMIF(CT_tram!$B$1359:$G$1504,kl!B93,CT_tram!$G$1359:$G$1504)</f>
        <v>0</v>
      </c>
      <c r="Y93" s="775">
        <f ca="1">SUMIF(CT_tram!$B$1511:$G$1625,kl!B93,CT_tram!$G$1511:$G$1625)</f>
        <v>0</v>
      </c>
      <c r="Z93" s="775">
        <f ca="1">SUMIF(CT_tram!$B$1632:$G$2211,kl!B93,CT_tram!$G$1632:$G$2211)</f>
        <v>0</v>
      </c>
      <c r="AA93" s="775">
        <f ca="1">SUMIF(CT_tram!$B$2243:$G$2384,kl!B93,CT_tram!$G$2243:$G$2384)</f>
        <v>0</v>
      </c>
      <c r="AB93" s="775">
        <f ca="1">SUMIF(CT_tram!$B$2391:$G$2563,kl!B93,CT_tram!$G$2391:$G$2563)</f>
        <v>0</v>
      </c>
      <c r="AC93" s="775">
        <f ca="1">SUMIF(chitiet!$B$13:$N$2352,kl!$B93,chitiet!$I$13:$I$2352)</f>
        <v>0</v>
      </c>
      <c r="AD93" s="775">
        <f ca="1">SUMIF(chitiet!$B$13:$N$2352,kl!$B93,chitiet!$J$13:$J$2352)</f>
        <v>0</v>
      </c>
      <c r="AE93" s="775">
        <f ca="1">SUMIF(chitiet!$B$13:$N$2352,kl!$B93,chitiet!$K$13:$K$2352)</f>
        <v>0</v>
      </c>
      <c r="AF93" s="775">
        <f ca="1">SUMIF(chitiet!$B$13:$N$2352,kl!$B93,chitiet!$L$13:$L$2352)</f>
        <v>0</v>
      </c>
      <c r="AG93" s="775">
        <f ca="1">SUMIF(chitiet!$B$13:$N$2352,kl!$B93,chitiet!$M$13)</f>
        <v>0</v>
      </c>
      <c r="AH93" s="775">
        <f ca="1">SUMIF(chitiet!$B$13:$N$2352,kl!$B93,chitiet!$N$13:$N$2352)</f>
        <v>0</v>
      </c>
      <c r="AI93" s="775">
        <f ca="1">SUMIF(chitiet!$B$13:$N$2352,kl!$B93,chitiet!$O$13:$O$2352)</f>
        <v>0</v>
      </c>
      <c r="AJ93" s="775">
        <f ca="1">SUMIF('Cap ngam'!$B$631:$G$723,kl!$B93,'Cap ngam'!$G$631:$G$723)</f>
        <v>0</v>
      </c>
      <c r="AK93" s="775">
        <f ca="1">SUMIF('Cap ngam'!$B$403:$G$628,kl!$B93,'Cap ngam'!G$403:G$628)</f>
        <v>0</v>
      </c>
      <c r="AL93" s="775">
        <f ca="1">SUMIF('Cap ngam'!B$16:G$400,kl!$B93,'Cap ngam'!G$16:G$400)</f>
        <v>0</v>
      </c>
      <c r="AM93" s="776">
        <v>0.3</v>
      </c>
      <c r="AN93" s="775">
        <f t="shared" ca="1" si="71"/>
        <v>0</v>
      </c>
      <c r="AO93" s="775">
        <f t="shared" ca="1" si="71"/>
        <v>0</v>
      </c>
      <c r="AP93" s="775">
        <f t="shared" ca="1" si="71"/>
        <v>0</v>
      </c>
      <c r="AQ93" s="775">
        <f t="shared" ca="1" si="71"/>
        <v>0</v>
      </c>
      <c r="AR93" s="775">
        <f t="shared" ca="1" si="71"/>
        <v>0</v>
      </c>
      <c r="AS93" s="775">
        <f t="shared" ca="1" si="71"/>
        <v>0</v>
      </c>
      <c r="AT93" s="775">
        <f t="shared" ca="1" si="71"/>
        <v>0</v>
      </c>
      <c r="AU93" s="775">
        <f t="shared" ca="1" si="71"/>
        <v>0</v>
      </c>
      <c r="AV93" s="775">
        <f t="shared" ca="1" si="71"/>
        <v>0</v>
      </c>
      <c r="AW93" s="775">
        <f t="shared" ca="1" si="71"/>
        <v>0</v>
      </c>
      <c r="AX93" s="775">
        <f t="shared" si="56"/>
        <v>0</v>
      </c>
      <c r="AY93" s="775">
        <f t="shared" ca="1" si="57"/>
        <v>0</v>
      </c>
      <c r="AZ93" s="775">
        <f t="shared" si="58"/>
        <v>0</v>
      </c>
      <c r="BA93" s="775">
        <f t="shared" ca="1" si="39"/>
        <v>0</v>
      </c>
      <c r="BB93" s="775">
        <f t="shared" ca="1" si="40"/>
        <v>0</v>
      </c>
      <c r="BC93" s="775">
        <f t="shared" ca="1" si="41"/>
        <v>0</v>
      </c>
      <c r="BD93" s="775">
        <f t="shared" ca="1" si="42"/>
        <v>0</v>
      </c>
      <c r="BE93" s="775">
        <f t="shared" ca="1" si="43"/>
        <v>0</v>
      </c>
      <c r="BF93" s="775">
        <f t="shared" ca="1" si="44"/>
        <v>0</v>
      </c>
      <c r="BG93" s="775">
        <f t="shared" ca="1" si="45"/>
        <v>0</v>
      </c>
      <c r="BH93" s="775">
        <f t="shared" ca="1" si="59"/>
        <v>0</v>
      </c>
      <c r="BI93" s="775">
        <f t="shared" ca="1" si="60"/>
        <v>0</v>
      </c>
      <c r="BJ93" s="775">
        <f t="shared" ca="1" si="61"/>
        <v>0</v>
      </c>
      <c r="BK93" s="775">
        <f t="shared" ca="1" si="62"/>
        <v>0</v>
      </c>
      <c r="BL93" s="775">
        <f t="shared" ca="1" si="63"/>
        <v>0</v>
      </c>
      <c r="BM93" s="775">
        <f t="shared" ca="1" si="64"/>
        <v>0</v>
      </c>
      <c r="BN93" s="775">
        <f t="shared" ca="1" si="65"/>
        <v>0</v>
      </c>
      <c r="BO93" s="775">
        <f t="shared" ca="1" si="66"/>
        <v>0</v>
      </c>
      <c r="BP93" s="775">
        <f t="shared" ca="1" si="67"/>
        <v>0</v>
      </c>
      <c r="BQ93" s="775">
        <f t="shared" ca="1" si="10"/>
        <v>0</v>
      </c>
      <c r="BR93" s="775">
        <f t="shared" ca="1" si="68"/>
        <v>0</v>
      </c>
    </row>
    <row r="94" spans="1:70">
      <c r="A94" s="767" t="str">
        <f t="shared" ca="1" si="12"/>
        <v/>
      </c>
      <c r="B94" s="789" t="s">
        <v>1039</v>
      </c>
      <c r="C94" s="188" t="str">
        <f ca="1">IF(F94=0,"",COUNTIF($F$78:$F94,"&gt;0"))</f>
        <v/>
      </c>
      <c r="D94" s="778" t="str">
        <f>VLOOKUP($B94,dongia1,DG!$C$5,)</f>
        <v>Boulon 16x400VRS+ 4 long đền vuông D18-50x50x3/Zn</v>
      </c>
      <c r="E94" s="555" t="str">
        <f>VLOOKUP($B94,dongia1,DG!$D$5,)</f>
        <v>bộ</v>
      </c>
      <c r="F94" s="975">
        <f t="shared" ca="1" si="69"/>
        <v>0</v>
      </c>
      <c r="G94" s="976">
        <f t="shared" ca="1" si="14"/>
        <v>0</v>
      </c>
      <c r="H94" s="976">
        <f ca="1">SUMIF(CT_tram!$B$33:$G$3559,kl!B94,CT_tram!$G$33:$G$3559)</f>
        <v>0</v>
      </c>
      <c r="I94" s="775">
        <f ca="1">SUMIF(CT_tram!$B$34:$G$115,$B94,CT_tram!$G$34:$G$115)</f>
        <v>0</v>
      </c>
      <c r="J94" s="775">
        <f ca="1">SUMIF(CT_tram!$B$122:$G$204,$B94,CT_tram!$G$122:$G$204)</f>
        <v>0</v>
      </c>
      <c r="K94" s="775">
        <f ca="1">SUMIF(CT_tram!$B$211:$G$293,$B94,CT_tram!$G$211:$G$293)</f>
        <v>0</v>
      </c>
      <c r="L94" s="775">
        <f ca="1">SUMIF(CT_tram!$B$300:$G$374,$B94,CT_tram!$G$300:$G$374)</f>
        <v>0</v>
      </c>
      <c r="M94" s="775">
        <f ca="1">SUMIF(CT_tram!$B$381:$G$471,$B94,CT_tram!$G$381:$G$471)</f>
        <v>0</v>
      </c>
      <c r="N94" s="775">
        <f ca="1">SUMIF(CT_tram!$B$478:$G$560,$B94,CT_tram!$G$478:$G$560)</f>
        <v>0</v>
      </c>
      <c r="O94" s="775">
        <f ca="1">SUMIF(CT_tram!$B$567:$G$653,$B94,CT_tram!$G$567:$G$653)</f>
        <v>0</v>
      </c>
      <c r="P94" s="775">
        <f ca="1">SUMIF(CT_tram!$B$661:$G$738,$B94,CT_tram!$G$661:$G$738)</f>
        <v>0</v>
      </c>
      <c r="Q94" s="775">
        <f ca="1">SUMIF(CT_tram!$B$745:$G$899,$B94,CT_tram!$G$745:$G$899)</f>
        <v>0</v>
      </c>
      <c r="R94" s="775">
        <f ca="1">SUMIF(CT_tram!$B$907:$G$995,$B94,CT_tram!$G$907:$G$995)</f>
        <v>0</v>
      </c>
      <c r="S94" s="775"/>
      <c r="T94" s="775">
        <f ca="1">SUMIF(CT_tram!$B$1004:$G$1097,B94,CT_tram!$G$1004:$G$1097)</f>
        <v>0</v>
      </c>
      <c r="U94" s="775"/>
      <c r="V94" s="775">
        <f ca="1">SUMIF(CT_tram!$B$1226:$G$1352,kl!B94,CT_tram!$G$1226:$G$1352)</f>
        <v>0</v>
      </c>
      <c r="W94" s="780">
        <f ca="1">SUMIF(CT_tram!$B$1105:$G$1219,kl!B94,CT_tram!$G$1105:$G$1219)</f>
        <v>0</v>
      </c>
      <c r="X94" s="775">
        <f ca="1">SUMIF(CT_tram!$B$1359:$G$1504,kl!B94,CT_tram!$G$1359:$G$1504)</f>
        <v>0</v>
      </c>
      <c r="Y94" s="775">
        <f ca="1">SUMIF(CT_tram!$B$1511:$G$1625,kl!B94,CT_tram!$G$1511:$G$1625)</f>
        <v>0</v>
      </c>
      <c r="Z94" s="775">
        <f ca="1">SUMIF(CT_tram!$B$1632:$G$2211,kl!B94,CT_tram!$G$1632:$G$2211)</f>
        <v>0</v>
      </c>
      <c r="AA94" s="775">
        <f ca="1">SUMIF(CT_tram!$B$2243:$G$2384,kl!B94,CT_tram!$G$2243:$G$2384)</f>
        <v>0</v>
      </c>
      <c r="AB94" s="775">
        <f ca="1">SUMIF(CT_tram!$B$2391:$G$2563,kl!B94,CT_tram!$G$2391:$G$2563)</f>
        <v>0</v>
      </c>
      <c r="AC94" s="775">
        <f ca="1">SUMIF(chitiet!$B$13:$N$2352,kl!$B94,chitiet!$I$13:$I$2352)</f>
        <v>0</v>
      </c>
      <c r="AD94" s="775">
        <f ca="1">SUMIF(chitiet!$B$13:$N$2352,kl!$B94,chitiet!$J$13:$J$2352)</f>
        <v>0</v>
      </c>
      <c r="AE94" s="775">
        <f ca="1">SUMIF(chitiet!$B$13:$N$2352,kl!$B94,chitiet!$K$13:$K$2352)</f>
        <v>0</v>
      </c>
      <c r="AF94" s="775">
        <f ca="1">SUMIF(chitiet!$B$13:$N$2352,kl!$B94,chitiet!$L$13:$L$2352)</f>
        <v>0</v>
      </c>
      <c r="AG94" s="775">
        <f ca="1">SUMIF(chitiet!$B$13:$N$2352,kl!$B94,chitiet!$M$13)</f>
        <v>0</v>
      </c>
      <c r="AH94" s="775">
        <f ca="1">SUMIF(chitiet!$B$13:$N$2352,kl!$B94,chitiet!$N$13:$N$2352)</f>
        <v>0</v>
      </c>
      <c r="AI94" s="775">
        <f ca="1">SUMIF(chitiet!$B$13:$N$2352,kl!$B94,chitiet!$O$13:$O$2352)</f>
        <v>0</v>
      </c>
      <c r="AJ94" s="775">
        <f ca="1">SUMIF('Cap ngam'!$B$631:$G$723,kl!$B94,'Cap ngam'!$G$631:$G$723)</f>
        <v>0</v>
      </c>
      <c r="AK94" s="775">
        <f ca="1">SUMIF('Cap ngam'!$B$403:$G$628,kl!$B94,'Cap ngam'!G$403:G$628)</f>
        <v>0</v>
      </c>
      <c r="AL94" s="775">
        <f ca="1">SUMIF('Cap ngam'!B$16:G$400,kl!$B94,'Cap ngam'!G$16:G$400)</f>
        <v>0</v>
      </c>
      <c r="AM94" s="776">
        <v>0.4</v>
      </c>
      <c r="AN94" s="775">
        <f t="shared" ca="1" si="46"/>
        <v>0</v>
      </c>
      <c r="AO94" s="775">
        <f t="shared" ca="1" si="47"/>
        <v>0</v>
      </c>
      <c r="AP94" s="775">
        <f t="shared" ca="1" si="48"/>
        <v>0</v>
      </c>
      <c r="AQ94" s="775">
        <f t="shared" ca="1" si="49"/>
        <v>0</v>
      </c>
      <c r="AR94" s="775">
        <f t="shared" ca="1" si="50"/>
        <v>0</v>
      </c>
      <c r="AS94" s="775">
        <f t="shared" ca="1" si="51"/>
        <v>0</v>
      </c>
      <c r="AT94" s="775">
        <f t="shared" ca="1" si="52"/>
        <v>0</v>
      </c>
      <c r="AU94" s="775">
        <f t="shared" ca="1" si="53"/>
        <v>0</v>
      </c>
      <c r="AV94" s="775">
        <f t="shared" ca="1" si="54"/>
        <v>0</v>
      </c>
      <c r="AW94" s="775">
        <f t="shared" ca="1" si="55"/>
        <v>0</v>
      </c>
      <c r="AX94" s="775">
        <f t="shared" si="56"/>
        <v>0</v>
      </c>
      <c r="AY94" s="775">
        <f t="shared" ca="1" si="57"/>
        <v>0</v>
      </c>
      <c r="AZ94" s="775">
        <f t="shared" si="58"/>
        <v>0</v>
      </c>
      <c r="BA94" s="775">
        <f t="shared" ca="1" si="39"/>
        <v>0</v>
      </c>
      <c r="BB94" s="775">
        <f t="shared" ca="1" si="40"/>
        <v>0</v>
      </c>
      <c r="BC94" s="775">
        <f t="shared" ca="1" si="41"/>
        <v>0</v>
      </c>
      <c r="BD94" s="775">
        <f t="shared" ca="1" si="42"/>
        <v>0</v>
      </c>
      <c r="BE94" s="775">
        <f t="shared" ca="1" si="43"/>
        <v>0</v>
      </c>
      <c r="BF94" s="775">
        <f t="shared" ca="1" si="44"/>
        <v>0</v>
      </c>
      <c r="BG94" s="775">
        <f t="shared" ca="1" si="45"/>
        <v>0</v>
      </c>
      <c r="BH94" s="775">
        <f t="shared" ca="1" si="59"/>
        <v>0</v>
      </c>
      <c r="BI94" s="775">
        <f t="shared" ca="1" si="60"/>
        <v>0</v>
      </c>
      <c r="BJ94" s="775">
        <f t="shared" ca="1" si="61"/>
        <v>0</v>
      </c>
      <c r="BK94" s="775">
        <f t="shared" ca="1" si="62"/>
        <v>0</v>
      </c>
      <c r="BL94" s="775">
        <f t="shared" ca="1" si="63"/>
        <v>0</v>
      </c>
      <c r="BM94" s="775">
        <f t="shared" ca="1" si="64"/>
        <v>0</v>
      </c>
      <c r="BN94" s="775">
        <f t="shared" ca="1" si="65"/>
        <v>0</v>
      </c>
      <c r="BO94" s="775">
        <f t="shared" ca="1" si="66"/>
        <v>0</v>
      </c>
      <c r="BP94" s="775">
        <f t="shared" ca="1" si="67"/>
        <v>0</v>
      </c>
      <c r="BQ94" s="775">
        <f t="shared" ca="1" si="10"/>
        <v>0</v>
      </c>
      <c r="BR94" s="775">
        <f t="shared" ca="1" si="68"/>
        <v>0</v>
      </c>
    </row>
    <row r="95" spans="1:70">
      <c r="A95" s="767" t="str">
        <f ca="1">IF(F95&lt;&gt;0,"X","")</f>
        <v/>
      </c>
      <c r="B95" s="789" t="s">
        <v>4848</v>
      </c>
      <c r="C95" s="188" t="str">
        <f ca="1">IF(F95=0,"",COUNTIF($F$78:$F95,"&gt;0"))</f>
        <v/>
      </c>
      <c r="D95" s="778" t="str">
        <f>VLOOKUP($B95,dongia1,DG!$C$5,)</f>
        <v>Boulon 16x500VRS+ 4 long đền vuông D18-50x50x3/Zn</v>
      </c>
      <c r="E95" s="555" t="str">
        <f>VLOOKUP($B95,dongia1,DG!$D$5,)</f>
        <v>bộ</v>
      </c>
      <c r="F95" s="779">
        <f ca="1">G95+H95</f>
        <v>0</v>
      </c>
      <c r="G95" s="775">
        <f ca="1">SUM(AC95:AL95)</f>
        <v>0</v>
      </c>
      <c r="H95" s="775">
        <f ca="1">SUMIF(CT_tram!$B$33:$G$3559,kl!B95,CT_tram!$G$33:$G$3559)</f>
        <v>0</v>
      </c>
      <c r="I95" s="775">
        <f ca="1">SUMIF(CT_tram!$B$34:$G$115,$B95,CT_tram!$G$34:$G$115)</f>
        <v>0</v>
      </c>
      <c r="J95" s="775">
        <f ca="1">SUMIF(CT_tram!$B$122:$G$204,$B95,CT_tram!$G$122:$G$204)</f>
        <v>0</v>
      </c>
      <c r="K95" s="775">
        <f ca="1">SUMIF(CT_tram!$B$211:$G$293,$B95,CT_tram!$G$211:$G$293)</f>
        <v>0</v>
      </c>
      <c r="L95" s="775">
        <f ca="1">SUMIF(CT_tram!$B$300:$G$374,$B95,CT_tram!$G$300:$G$374)</f>
        <v>0</v>
      </c>
      <c r="M95" s="775">
        <f ca="1">SUMIF(CT_tram!$B$381:$G$471,$B95,CT_tram!$G$381:$G$471)</f>
        <v>0</v>
      </c>
      <c r="N95" s="775">
        <f ca="1">SUMIF(CT_tram!$B$478:$G$560,$B95,CT_tram!$G$478:$G$560)</f>
        <v>0</v>
      </c>
      <c r="O95" s="775">
        <f ca="1">SUMIF(CT_tram!$B$567:$G$653,$B95,CT_tram!$G$567:$G$653)</f>
        <v>0</v>
      </c>
      <c r="P95" s="775">
        <f ca="1">SUMIF(CT_tram!$B$661:$G$738,$B95,CT_tram!$G$661:$G$738)</f>
        <v>0</v>
      </c>
      <c r="Q95" s="775">
        <f ca="1">SUMIF(CT_tram!$B$745:$G$899,$B95,CT_tram!$G$745:$G$899)</f>
        <v>0</v>
      </c>
      <c r="R95" s="775">
        <f ca="1">SUMIF(CT_tram!$B$907:$G$995,$B95,CT_tram!$G$907:$G$995)</f>
        <v>0</v>
      </c>
      <c r="S95" s="775"/>
      <c r="T95" s="775">
        <f ca="1">SUMIF(CT_tram!$B$1004:$G$1097,B95,CT_tram!$G$1004:$G$1097)</f>
        <v>0</v>
      </c>
      <c r="U95" s="775"/>
      <c r="V95" s="775">
        <f ca="1">SUMIF(CT_tram!$B$1226:$G$1352,kl!B95,CT_tram!$G$1226:$G$1352)</f>
        <v>0</v>
      </c>
      <c r="W95" s="780">
        <f ca="1">SUMIF(CT_tram!$B$1105:$G$1219,kl!B95,CT_tram!$G$1105:$G$1219)</f>
        <v>0</v>
      </c>
      <c r="X95" s="775">
        <f ca="1">SUMIF(CT_tram!$B$1359:$G$1504,kl!B95,CT_tram!$G$1359:$G$1504)</f>
        <v>0</v>
      </c>
      <c r="Y95" s="775">
        <f ca="1">SUMIF(CT_tram!$B$1511:$G$1625,kl!B95,CT_tram!$G$1511:$G$1625)</f>
        <v>0</v>
      </c>
      <c r="Z95" s="775">
        <f ca="1">SUMIF(CT_tram!$B$1632:$G$2211,kl!B95,CT_tram!$G$1632:$G$2211)</f>
        <v>0</v>
      </c>
      <c r="AA95" s="775">
        <f ca="1">SUMIF(CT_tram!$B$2243:$G$2384,kl!B95,CT_tram!$G$2243:$G$2384)</f>
        <v>0</v>
      </c>
      <c r="AB95" s="775">
        <f ca="1">SUMIF(CT_tram!$B$2391:$G$2563,kl!B95,CT_tram!$G$2391:$G$2563)</f>
        <v>0</v>
      </c>
      <c r="AC95" s="775">
        <f ca="1">SUMIF(chitiet!$B$13:$N$2352,kl!$B95,chitiet!$I$13:$I$2352)</f>
        <v>0</v>
      </c>
      <c r="AD95" s="775">
        <f ca="1">SUMIF(chitiet!$B$13:$N$2352,kl!$B95,chitiet!$J$13:$J$2352)</f>
        <v>0</v>
      </c>
      <c r="AE95" s="775">
        <f ca="1">SUMIF(chitiet!$B$13:$N$2352,kl!$B95,chitiet!$K$13:$K$2352)</f>
        <v>0</v>
      </c>
      <c r="AF95" s="775">
        <f ca="1">SUMIF(chitiet!$B$13:$N$2352,kl!$B95,chitiet!$L$13:$L$2352)</f>
        <v>0</v>
      </c>
      <c r="AG95" s="775">
        <f ca="1">SUMIF(chitiet!$B$13:$N$2352,kl!$B95,chitiet!$M$13)</f>
        <v>0</v>
      </c>
      <c r="AH95" s="775">
        <f ca="1">SUMIF(chitiet!$B$13:$N$2352,kl!$B95,chitiet!$N$13:$N$2352)</f>
        <v>0</v>
      </c>
      <c r="AI95" s="775">
        <f ca="1">SUMIF(chitiet!$B$13:$N$2352,kl!$B95,chitiet!$O$13:$O$2352)</f>
        <v>0</v>
      </c>
      <c r="AJ95" s="775">
        <f ca="1">SUMIF('Cap ngam'!$B$631:$G$723,kl!$B95,'Cap ngam'!$G$631:$G$723)</f>
        <v>0</v>
      </c>
      <c r="AK95" s="775">
        <f ca="1">SUMIF('Cap ngam'!$B$403:$G$628,kl!$B95,'Cap ngam'!G$403:G$628)</f>
        <v>0</v>
      </c>
      <c r="AL95" s="775">
        <f ca="1">SUMIF('Cap ngam'!B$16:G$400,kl!$B95,'Cap ngam'!G$16:G$400)</f>
        <v>0</v>
      </c>
      <c r="AM95" s="776">
        <v>0.4</v>
      </c>
      <c r="AN95" s="775">
        <f t="shared" ref="AN95:BP95" ca="1" si="72">I95*$AM95</f>
        <v>0</v>
      </c>
      <c r="AO95" s="775">
        <f t="shared" ca="1" si="72"/>
        <v>0</v>
      </c>
      <c r="AP95" s="775">
        <f t="shared" ca="1" si="72"/>
        <v>0</v>
      </c>
      <c r="AQ95" s="775">
        <f t="shared" ca="1" si="72"/>
        <v>0</v>
      </c>
      <c r="AR95" s="775">
        <f t="shared" ca="1" si="72"/>
        <v>0</v>
      </c>
      <c r="AS95" s="775">
        <f t="shared" ca="1" si="72"/>
        <v>0</v>
      </c>
      <c r="AT95" s="775">
        <f t="shared" ca="1" si="72"/>
        <v>0</v>
      </c>
      <c r="AU95" s="775">
        <f t="shared" ca="1" si="72"/>
        <v>0</v>
      </c>
      <c r="AV95" s="775">
        <f t="shared" ca="1" si="72"/>
        <v>0</v>
      </c>
      <c r="AW95" s="775">
        <f t="shared" ca="1" si="72"/>
        <v>0</v>
      </c>
      <c r="AX95" s="775">
        <f t="shared" si="72"/>
        <v>0</v>
      </c>
      <c r="AY95" s="775">
        <f t="shared" ca="1" si="72"/>
        <v>0</v>
      </c>
      <c r="AZ95" s="775">
        <f t="shared" si="72"/>
        <v>0</v>
      </c>
      <c r="BA95" s="775">
        <f t="shared" ca="1" si="72"/>
        <v>0</v>
      </c>
      <c r="BB95" s="775">
        <f t="shared" ca="1" si="72"/>
        <v>0</v>
      </c>
      <c r="BC95" s="775">
        <f t="shared" ca="1" si="72"/>
        <v>0</v>
      </c>
      <c r="BD95" s="775">
        <f t="shared" ca="1" si="72"/>
        <v>0</v>
      </c>
      <c r="BE95" s="775">
        <f t="shared" ca="1" si="72"/>
        <v>0</v>
      </c>
      <c r="BF95" s="775">
        <f t="shared" ca="1" si="72"/>
        <v>0</v>
      </c>
      <c r="BG95" s="775">
        <f t="shared" ca="1" si="72"/>
        <v>0</v>
      </c>
      <c r="BH95" s="775">
        <f t="shared" ca="1" si="72"/>
        <v>0</v>
      </c>
      <c r="BI95" s="775">
        <f t="shared" ca="1" si="72"/>
        <v>0</v>
      </c>
      <c r="BJ95" s="775">
        <f t="shared" ca="1" si="72"/>
        <v>0</v>
      </c>
      <c r="BK95" s="775">
        <f t="shared" ca="1" si="72"/>
        <v>0</v>
      </c>
      <c r="BL95" s="775">
        <f t="shared" ca="1" si="72"/>
        <v>0</v>
      </c>
      <c r="BM95" s="775">
        <f t="shared" ca="1" si="72"/>
        <v>0</v>
      </c>
      <c r="BN95" s="775">
        <f t="shared" ca="1" si="72"/>
        <v>0</v>
      </c>
      <c r="BO95" s="775">
        <f t="shared" ca="1" si="72"/>
        <v>0</v>
      </c>
      <c r="BP95" s="775">
        <f t="shared" ca="1" si="72"/>
        <v>0</v>
      </c>
      <c r="BQ95" s="775">
        <f t="shared" ca="1" si="10"/>
        <v>0</v>
      </c>
      <c r="BR95" s="775">
        <f t="shared" ca="1" si="68"/>
        <v>0</v>
      </c>
    </row>
    <row r="96" spans="1:70">
      <c r="A96" s="767" t="str">
        <f t="shared" ca="1" si="12"/>
        <v/>
      </c>
      <c r="B96" s="789" t="s">
        <v>1040</v>
      </c>
      <c r="C96" s="188" t="str">
        <f ca="1">IF(F96=0,"",COUNTIF($F$78:$F96,"&gt;0"))</f>
        <v/>
      </c>
      <c r="D96" s="778" t="str">
        <f>VLOOKUP($B96,dongia1,DG!$C$5,)</f>
        <v>Boulon 16x600+ 2 long đền vuông D18-50x50x3/Zn</v>
      </c>
      <c r="E96" s="555" t="str">
        <f>VLOOKUP($B96,dongia1,DG!$D$5,)</f>
        <v>bộ</v>
      </c>
      <c r="F96" s="975">
        <f t="shared" ca="1" si="69"/>
        <v>0</v>
      </c>
      <c r="G96" s="976">
        <f t="shared" ca="1" si="14"/>
        <v>0</v>
      </c>
      <c r="H96" s="976">
        <f ca="1">SUMIF(CT_tram!$B$33:$G$3559,kl!B96,CT_tram!$G$33:$G$3559)</f>
        <v>0</v>
      </c>
      <c r="I96" s="775">
        <f ca="1">SUMIF(CT_tram!$B$34:$G$115,$B96,CT_tram!$G$34:$G$115)</f>
        <v>0</v>
      </c>
      <c r="J96" s="775">
        <f ca="1">SUMIF(CT_tram!$B$122:$G$204,$B96,CT_tram!$G$122:$G$204)</f>
        <v>0</v>
      </c>
      <c r="K96" s="775">
        <f ca="1">SUMIF(CT_tram!$B$211:$G$293,$B96,CT_tram!$G$211:$G$293)</f>
        <v>0</v>
      </c>
      <c r="L96" s="775">
        <f ca="1">SUMIF(CT_tram!$B$300:$G$374,$B96,CT_tram!$G$300:$G$374)</f>
        <v>0</v>
      </c>
      <c r="M96" s="775">
        <f ca="1">SUMIF(CT_tram!$B$381:$G$471,$B96,CT_tram!$G$381:$G$471)</f>
        <v>0</v>
      </c>
      <c r="N96" s="775">
        <f ca="1">SUMIF(CT_tram!$B$478:$G$560,$B96,CT_tram!$G$478:$G$560)</f>
        <v>0</v>
      </c>
      <c r="O96" s="775">
        <f ca="1">SUMIF(CT_tram!$B$567:$G$653,$B96,CT_tram!$G$567:$G$653)</f>
        <v>0</v>
      </c>
      <c r="P96" s="775">
        <f ca="1">SUMIF(CT_tram!$B$661:$G$738,$B96,CT_tram!$G$661:$G$738)</f>
        <v>0</v>
      </c>
      <c r="Q96" s="775">
        <f ca="1">SUMIF(CT_tram!$B$745:$G$899,$B96,CT_tram!$G$745:$G$899)</f>
        <v>0</v>
      </c>
      <c r="R96" s="775">
        <f ca="1">SUMIF(CT_tram!$B$907:$G$995,$B96,CT_tram!$G$907:$G$995)</f>
        <v>0</v>
      </c>
      <c r="S96" s="775"/>
      <c r="T96" s="775">
        <f ca="1">SUMIF(CT_tram!$B$1004:$G$1097,B96,CT_tram!$G$1004:$G$1097)</f>
        <v>0</v>
      </c>
      <c r="U96" s="775"/>
      <c r="V96" s="775">
        <f ca="1">SUMIF(CT_tram!$B$1226:$G$1352,kl!B96,CT_tram!$G$1226:$G$1352)</f>
        <v>0</v>
      </c>
      <c r="W96" s="780">
        <f ca="1">SUMIF(CT_tram!$B$1105:$G$1219,kl!B96,CT_tram!$G$1105:$G$1219)</f>
        <v>0</v>
      </c>
      <c r="X96" s="775">
        <f ca="1">SUMIF(CT_tram!$B$1359:$G$1504,kl!B96,CT_tram!$G$1359:$G$1504)</f>
        <v>0</v>
      </c>
      <c r="Y96" s="775">
        <f ca="1">SUMIF(CT_tram!$B$1511:$G$1625,kl!B96,CT_tram!$G$1511:$G$1625)</f>
        <v>0</v>
      </c>
      <c r="Z96" s="775">
        <f ca="1">SUMIF(CT_tram!$B$1632:$G$2211,kl!B96,CT_tram!$G$1632:$G$2211)</f>
        <v>0</v>
      </c>
      <c r="AA96" s="775">
        <f ca="1">SUMIF(CT_tram!$B$2243:$G$2384,kl!B96,CT_tram!$G$2243:$G$2384)</f>
        <v>0</v>
      </c>
      <c r="AB96" s="775">
        <f ca="1">SUMIF(CT_tram!$B$2391:$G$2563,kl!B96,CT_tram!$G$2391:$G$2563)</f>
        <v>0</v>
      </c>
      <c r="AC96" s="775">
        <f ca="1">SUMIF(chitiet!$B$13:$N$2352,kl!$B96,chitiet!$I$13:$I$2352)</f>
        <v>0</v>
      </c>
      <c r="AD96" s="775">
        <f ca="1">SUMIF(chitiet!$B$13:$N$2352,kl!$B96,chitiet!$J$13:$J$2352)</f>
        <v>0</v>
      </c>
      <c r="AE96" s="775">
        <f ca="1">SUMIF(chitiet!$B$13:$N$2352,kl!$B96,chitiet!$K$13:$K$2352)</f>
        <v>0</v>
      </c>
      <c r="AF96" s="775">
        <f ca="1">SUMIF(chitiet!$B$13:$N$2352,kl!$B96,chitiet!$L$13:$L$2352)</f>
        <v>0</v>
      </c>
      <c r="AG96" s="775">
        <f ca="1">SUMIF(chitiet!$B$13:$N$2352,kl!$B96,chitiet!$M$13)</f>
        <v>0</v>
      </c>
      <c r="AH96" s="775">
        <f ca="1">SUMIF(chitiet!$B$13:$N$2352,kl!$B96,chitiet!$N$13:$N$2352)</f>
        <v>0</v>
      </c>
      <c r="AI96" s="775">
        <f ca="1">SUMIF(chitiet!$B$13:$N$2352,kl!$B96,chitiet!$O$13:$O$2352)</f>
        <v>0</v>
      </c>
      <c r="AJ96" s="775">
        <f ca="1">SUMIF('Cap ngam'!$B$631:$G$723,kl!$B96,'Cap ngam'!$G$631:$G$723)</f>
        <v>0</v>
      </c>
      <c r="AK96" s="775">
        <f ca="1">SUMIF('Cap ngam'!$B$403:$G$628,kl!$B96,'Cap ngam'!G$403:G$628)</f>
        <v>0</v>
      </c>
      <c r="AL96" s="775">
        <f ca="1">SUMIF('Cap ngam'!B$16:G$400,kl!$B96,'Cap ngam'!G$16:G$400)</f>
        <v>0</v>
      </c>
      <c r="AM96" s="776">
        <v>0.5</v>
      </c>
      <c r="AN96" s="775">
        <f t="shared" ca="1" si="46"/>
        <v>0</v>
      </c>
      <c r="AO96" s="775">
        <f t="shared" ca="1" si="47"/>
        <v>0</v>
      </c>
      <c r="AP96" s="775">
        <f t="shared" ca="1" si="48"/>
        <v>0</v>
      </c>
      <c r="AQ96" s="775">
        <f t="shared" ca="1" si="49"/>
        <v>0</v>
      </c>
      <c r="AR96" s="775">
        <f t="shared" ca="1" si="50"/>
        <v>0</v>
      </c>
      <c r="AS96" s="775">
        <f t="shared" ca="1" si="51"/>
        <v>0</v>
      </c>
      <c r="AT96" s="775">
        <f t="shared" ca="1" si="52"/>
        <v>0</v>
      </c>
      <c r="AU96" s="775">
        <f t="shared" ca="1" si="53"/>
        <v>0</v>
      </c>
      <c r="AV96" s="775">
        <f t="shared" ca="1" si="54"/>
        <v>0</v>
      </c>
      <c r="AW96" s="775">
        <f t="shared" ca="1" si="55"/>
        <v>0</v>
      </c>
      <c r="AX96" s="775">
        <f t="shared" si="56"/>
        <v>0</v>
      </c>
      <c r="AY96" s="775">
        <f t="shared" ca="1" si="57"/>
        <v>0</v>
      </c>
      <c r="AZ96" s="775">
        <f t="shared" si="58"/>
        <v>0</v>
      </c>
      <c r="BA96" s="775">
        <f t="shared" ca="1" si="39"/>
        <v>0</v>
      </c>
      <c r="BB96" s="775">
        <f t="shared" ca="1" si="40"/>
        <v>0</v>
      </c>
      <c r="BC96" s="775">
        <f t="shared" ca="1" si="41"/>
        <v>0</v>
      </c>
      <c r="BD96" s="775">
        <f t="shared" ca="1" si="42"/>
        <v>0</v>
      </c>
      <c r="BE96" s="775">
        <f t="shared" ca="1" si="43"/>
        <v>0</v>
      </c>
      <c r="BF96" s="775">
        <f t="shared" ca="1" si="44"/>
        <v>0</v>
      </c>
      <c r="BG96" s="775">
        <f t="shared" ca="1" si="45"/>
        <v>0</v>
      </c>
      <c r="BH96" s="775">
        <f t="shared" ca="1" si="59"/>
        <v>0</v>
      </c>
      <c r="BI96" s="775">
        <f t="shared" ca="1" si="60"/>
        <v>0</v>
      </c>
      <c r="BJ96" s="775">
        <f t="shared" ca="1" si="61"/>
        <v>0</v>
      </c>
      <c r="BK96" s="775">
        <f t="shared" ca="1" si="62"/>
        <v>0</v>
      </c>
      <c r="BL96" s="775">
        <f t="shared" ca="1" si="63"/>
        <v>0</v>
      </c>
      <c r="BM96" s="775">
        <f t="shared" ca="1" si="64"/>
        <v>0</v>
      </c>
      <c r="BN96" s="775">
        <f t="shared" ca="1" si="65"/>
        <v>0</v>
      </c>
      <c r="BO96" s="775">
        <f t="shared" ca="1" si="66"/>
        <v>0</v>
      </c>
      <c r="BP96" s="775">
        <f t="shared" ca="1" si="67"/>
        <v>0</v>
      </c>
      <c r="BQ96" s="775">
        <f t="shared" ca="1" si="10"/>
        <v>0</v>
      </c>
      <c r="BR96" s="775">
        <f t="shared" ca="1" si="68"/>
        <v>0</v>
      </c>
    </row>
    <row r="97" spans="1:70">
      <c r="A97" s="767" t="str">
        <f t="shared" ref="A97:A155" ca="1" si="73">IF(F97&lt;&gt;0,"X","")</f>
        <v/>
      </c>
      <c r="B97" s="786" t="s">
        <v>1041</v>
      </c>
      <c r="C97" s="188" t="str">
        <f ca="1">IF(F97=0,"",COUNTIF($F$78:$F97,"&gt;0"))</f>
        <v/>
      </c>
      <c r="D97" s="778" t="str">
        <f>VLOOKUP($B97,dongia1,DG!$C$5,)</f>
        <v>Boulon 16x200VRS+ 4 long đền vuông D18-50x50x3/Zn</v>
      </c>
      <c r="E97" s="555" t="str">
        <f>VLOOKUP($B97,dongia1,DG!$D$5,)</f>
        <v>bộ</v>
      </c>
      <c r="F97" s="779">
        <f t="shared" ref="F97:F123" ca="1" si="74">G97+H97</f>
        <v>0</v>
      </c>
      <c r="G97" s="775">
        <f t="shared" ca="1" si="14"/>
        <v>0</v>
      </c>
      <c r="H97" s="775">
        <f ca="1">SUMIF(CT_tram!$B$33:$G$3559,kl!B97,CT_tram!$G$33:$G$3559)</f>
        <v>0</v>
      </c>
      <c r="I97" s="775">
        <f ca="1">SUMIF(CT_tram!$B$34:$G$115,$B97,CT_tram!$G$34:$G$115)</f>
        <v>0</v>
      </c>
      <c r="J97" s="775">
        <f ca="1">SUMIF(CT_tram!$B$122:$G$204,$B97,CT_tram!$G$122:$G$204)</f>
        <v>0</v>
      </c>
      <c r="K97" s="775">
        <f ca="1">SUMIF(CT_tram!$B$211:$G$293,$B97,CT_tram!$G$211:$G$293)</f>
        <v>0</v>
      </c>
      <c r="L97" s="775">
        <f ca="1">SUMIF(CT_tram!$B$300:$G$374,$B97,CT_tram!$G$300:$G$374)</f>
        <v>0</v>
      </c>
      <c r="M97" s="775">
        <f ca="1">SUMIF(CT_tram!$B$381:$G$471,$B97,CT_tram!$G$381:$G$471)</f>
        <v>0</v>
      </c>
      <c r="N97" s="775">
        <f ca="1">SUMIF(CT_tram!$B$478:$G$560,$B97,CT_tram!$G$478:$G$560)</f>
        <v>0</v>
      </c>
      <c r="O97" s="775">
        <f ca="1">SUMIF(CT_tram!$B$567:$G$653,$B97,CT_tram!$G$567:$G$653)</f>
        <v>0</v>
      </c>
      <c r="P97" s="775">
        <f ca="1">SUMIF(CT_tram!$B$661:$G$738,$B97,CT_tram!$G$661:$G$738)</f>
        <v>0</v>
      </c>
      <c r="Q97" s="775">
        <f ca="1">SUMIF(CT_tram!$B$745:$G$899,$B97,CT_tram!$G$745:$G$899)</f>
        <v>0</v>
      </c>
      <c r="R97" s="775">
        <f ca="1">SUMIF(CT_tram!$B$907:$G$995,$B97,CT_tram!$G$907:$G$995)</f>
        <v>0</v>
      </c>
      <c r="S97" s="775"/>
      <c r="T97" s="775">
        <f ca="1">SUMIF(CT_tram!$B$1004:$G$1097,B97,CT_tram!$G$1004:$G$1097)</f>
        <v>0</v>
      </c>
      <c r="U97" s="775"/>
      <c r="V97" s="775">
        <f ca="1">SUMIF(CT_tram!$B$1226:$G$1352,kl!B97,CT_tram!$G$1226:$G$1352)</f>
        <v>0</v>
      </c>
      <c r="W97" s="780">
        <f ca="1">SUMIF(CT_tram!$B$1105:$G$1219,kl!B97,CT_tram!$G$1105:$G$1219)</f>
        <v>0</v>
      </c>
      <c r="X97" s="775">
        <f ca="1">SUMIF(CT_tram!$B$1359:$G$1504,kl!B97,CT_tram!$G$1359:$G$1504)</f>
        <v>0</v>
      </c>
      <c r="Y97" s="775">
        <f ca="1">SUMIF(CT_tram!$B$1511:$G$1625,kl!B97,CT_tram!$G$1511:$G$1625)</f>
        <v>0</v>
      </c>
      <c r="Z97" s="775">
        <f ca="1">SUMIF(CT_tram!$B$1632:$G$2211,kl!B97,CT_tram!$G$1632:$G$2211)</f>
        <v>0</v>
      </c>
      <c r="AA97" s="775">
        <f ca="1">SUMIF(CT_tram!$B$2243:$G$2384,kl!B97,CT_tram!$G$2243:$G$2384)</f>
        <v>0</v>
      </c>
      <c r="AB97" s="775">
        <f ca="1">SUMIF(CT_tram!$B$2391:$G$2563,kl!B97,CT_tram!$G$2391:$G$2563)</f>
        <v>0</v>
      </c>
      <c r="AC97" s="775">
        <f ca="1">SUMIF(chitiet!$B$13:$N$2352,kl!$B97,chitiet!$I$13:$I$2352)</f>
        <v>0</v>
      </c>
      <c r="AD97" s="775">
        <f ca="1">SUMIF(chitiet!$B$13:$N$2352,kl!$B97,chitiet!$J$13:$J$2352)</f>
        <v>0</v>
      </c>
      <c r="AE97" s="775">
        <f ca="1">SUMIF(chitiet!$B$13:$N$2352,kl!$B97,chitiet!$K$13:$K$2352)</f>
        <v>0</v>
      </c>
      <c r="AF97" s="775">
        <f ca="1">SUMIF(chitiet!$B$13:$N$2352,kl!$B97,chitiet!$L$13:$L$2352)</f>
        <v>0</v>
      </c>
      <c r="AG97" s="775">
        <f ca="1">SUMIF(chitiet!$B$13:$N$2352,kl!$B97,chitiet!$M$13)</f>
        <v>0</v>
      </c>
      <c r="AH97" s="775">
        <f ca="1">SUMIF(chitiet!$B$13:$N$2352,kl!$B97,chitiet!$N$13:$N$2352)</f>
        <v>0</v>
      </c>
      <c r="AI97" s="775">
        <f ca="1">SUMIF(chitiet!$B$13:$N$2352,kl!$B97,chitiet!$O$13:$O$2352)</f>
        <v>0</v>
      </c>
      <c r="AJ97" s="775">
        <f ca="1">SUMIF('Cap ngam'!$B$631:$G$723,kl!$B97,'Cap ngam'!$G$631:$G$723)</f>
        <v>0</v>
      </c>
      <c r="AK97" s="775">
        <f ca="1">SUMIF('Cap ngam'!$B$403:$G$628,kl!$B97,'Cap ngam'!G$403:G$628)</f>
        <v>0</v>
      </c>
      <c r="AL97" s="775">
        <f ca="1">SUMIF('Cap ngam'!B$16:G$400,kl!$B97,'Cap ngam'!G$16:G$400)</f>
        <v>0</v>
      </c>
      <c r="AM97" s="776">
        <v>0.2</v>
      </c>
      <c r="AN97" s="775">
        <f t="shared" ca="1" si="46"/>
        <v>0</v>
      </c>
      <c r="AO97" s="775">
        <f t="shared" ca="1" si="47"/>
        <v>0</v>
      </c>
      <c r="AP97" s="775">
        <f t="shared" ca="1" si="48"/>
        <v>0</v>
      </c>
      <c r="AQ97" s="775">
        <f t="shared" ca="1" si="49"/>
        <v>0</v>
      </c>
      <c r="AR97" s="775">
        <f t="shared" ca="1" si="50"/>
        <v>0</v>
      </c>
      <c r="AS97" s="775">
        <f t="shared" ca="1" si="51"/>
        <v>0</v>
      </c>
      <c r="AT97" s="775">
        <f t="shared" ca="1" si="52"/>
        <v>0</v>
      </c>
      <c r="AU97" s="775">
        <f t="shared" ca="1" si="53"/>
        <v>0</v>
      </c>
      <c r="AV97" s="775">
        <f t="shared" ca="1" si="54"/>
        <v>0</v>
      </c>
      <c r="AW97" s="775">
        <f t="shared" ca="1" si="55"/>
        <v>0</v>
      </c>
      <c r="AX97" s="775">
        <f t="shared" si="56"/>
        <v>0</v>
      </c>
      <c r="AY97" s="775">
        <f t="shared" ca="1" si="57"/>
        <v>0</v>
      </c>
      <c r="AZ97" s="775">
        <f t="shared" si="58"/>
        <v>0</v>
      </c>
      <c r="BA97" s="775">
        <f t="shared" ca="1" si="39"/>
        <v>0</v>
      </c>
      <c r="BB97" s="775">
        <f t="shared" ca="1" si="40"/>
        <v>0</v>
      </c>
      <c r="BC97" s="775">
        <f t="shared" ca="1" si="41"/>
        <v>0</v>
      </c>
      <c r="BD97" s="775">
        <f t="shared" ca="1" si="42"/>
        <v>0</v>
      </c>
      <c r="BE97" s="775">
        <f t="shared" ca="1" si="43"/>
        <v>0</v>
      </c>
      <c r="BF97" s="775">
        <f t="shared" ca="1" si="44"/>
        <v>0</v>
      </c>
      <c r="BG97" s="775">
        <f t="shared" ca="1" si="45"/>
        <v>0</v>
      </c>
      <c r="BH97" s="775">
        <f t="shared" ca="1" si="59"/>
        <v>0</v>
      </c>
      <c r="BI97" s="775">
        <f t="shared" ca="1" si="60"/>
        <v>0</v>
      </c>
      <c r="BJ97" s="775">
        <f t="shared" ca="1" si="61"/>
        <v>0</v>
      </c>
      <c r="BK97" s="775">
        <f t="shared" ca="1" si="62"/>
        <v>0</v>
      </c>
      <c r="BL97" s="775">
        <f t="shared" ca="1" si="63"/>
        <v>0</v>
      </c>
      <c r="BM97" s="775">
        <f t="shared" ca="1" si="64"/>
        <v>0</v>
      </c>
      <c r="BN97" s="775">
        <f t="shared" ca="1" si="65"/>
        <v>0</v>
      </c>
      <c r="BO97" s="775">
        <f t="shared" ca="1" si="66"/>
        <v>0</v>
      </c>
      <c r="BP97" s="775">
        <f t="shared" ca="1" si="67"/>
        <v>0</v>
      </c>
      <c r="BQ97" s="775">
        <f t="shared" ca="1" si="10"/>
        <v>0</v>
      </c>
      <c r="BR97" s="775">
        <f t="shared" ca="1" si="68"/>
        <v>0</v>
      </c>
    </row>
    <row r="98" spans="1:70">
      <c r="A98" s="767" t="str">
        <f t="shared" ca="1" si="73"/>
        <v>X</v>
      </c>
      <c r="B98" s="786" t="s">
        <v>1042</v>
      </c>
      <c r="C98" s="188">
        <f ca="1">IF(F98=0,"",COUNTIF($F$78:$F98,"&gt;0"))</f>
        <v>5</v>
      </c>
      <c r="D98" s="778" t="str">
        <f>VLOOKUP($B98,dongia1,DG!$C$5,)</f>
        <v>Boulon 16x300VRS+ 4 long đền vuông D18-50x50x3/Zn</v>
      </c>
      <c r="E98" s="555" t="str">
        <f>VLOOKUP($B98,dongia1,DG!$D$5,)</f>
        <v>bộ</v>
      </c>
      <c r="F98" s="975">
        <f t="shared" ca="1" si="74"/>
        <v>12</v>
      </c>
      <c r="G98" s="976">
        <f t="shared" ca="1" si="14"/>
        <v>4</v>
      </c>
      <c r="H98" s="976">
        <f ca="1">SUMIF(CT_tram!$B$33:$G$3559,kl!B98,CT_tram!$G$33:$G$3559)</f>
        <v>8</v>
      </c>
      <c r="I98" s="775">
        <f ca="1">SUMIF(CT_tram!$B$34:$G$115,$B98,CT_tram!$G$34:$G$115)</f>
        <v>0</v>
      </c>
      <c r="J98" s="775">
        <f ca="1">SUMIF(CT_tram!$B$122:$G$204,$B98,CT_tram!$G$122:$G$204)</f>
        <v>0</v>
      </c>
      <c r="K98" s="775">
        <f ca="1">SUMIF(CT_tram!$B$211:$G$293,$B98,CT_tram!$G$211:$G$293)</f>
        <v>0</v>
      </c>
      <c r="L98" s="775">
        <f ca="1">SUMIF(CT_tram!$B$300:$G$374,$B98,CT_tram!$G$300:$G$374)</f>
        <v>0</v>
      </c>
      <c r="M98" s="775">
        <f ca="1">SUMIF(CT_tram!$B$381:$G$471,$B98,CT_tram!$G$381:$G$471)</f>
        <v>0</v>
      </c>
      <c r="N98" s="775">
        <f ca="1">SUMIF(CT_tram!$B$478:$G$560,$B98,CT_tram!$G$478:$G$560)</f>
        <v>0</v>
      </c>
      <c r="O98" s="775">
        <f ca="1">SUMIF(CT_tram!$B$567:$G$653,$B98,CT_tram!$G$567:$G$653)</f>
        <v>0</v>
      </c>
      <c r="P98" s="775">
        <f ca="1">SUMIF(CT_tram!$B$661:$G$738,$B98,CT_tram!$G$661:$G$738)</f>
        <v>0</v>
      </c>
      <c r="Q98" s="775">
        <f ca="1">SUMIF(CT_tram!$B$745:$G$899,$B98,CT_tram!$G$745:$G$899)</f>
        <v>0</v>
      </c>
      <c r="R98" s="775">
        <f ca="1">SUMIF(CT_tram!$B$907:$G$995,$B98,CT_tram!$G$907:$G$995)</f>
        <v>0</v>
      </c>
      <c r="S98" s="775"/>
      <c r="T98" s="775">
        <f ca="1">SUMIF(CT_tram!$B$1004:$G$1097,B98,CT_tram!$G$1004:$G$1097)</f>
        <v>0</v>
      </c>
      <c r="U98" s="775"/>
      <c r="V98" s="775">
        <f ca="1">SUMIF(CT_tram!$B$1226:$G$1352,kl!B98,CT_tram!$G$1226:$G$1352)</f>
        <v>0</v>
      </c>
      <c r="W98" s="780">
        <f ca="1">SUMIF(CT_tram!$B$1105:$G$1219,kl!B98,CT_tram!$G$1105:$G$1219)</f>
        <v>0</v>
      </c>
      <c r="X98" s="775">
        <f ca="1">SUMIF(CT_tram!$B$1359:$G$1504,kl!B98,CT_tram!$G$1359:$G$1504)</f>
        <v>0</v>
      </c>
      <c r="Y98" s="775">
        <f ca="1">SUMIF(CT_tram!$B$1511:$G$1625,kl!B98,CT_tram!$G$1511:$G$1625)</f>
        <v>0</v>
      </c>
      <c r="Z98" s="775">
        <f ca="1">SUMIF(CT_tram!$B$1632:$G$2211,kl!B98,CT_tram!$G$1632:$G$2211)</f>
        <v>0</v>
      </c>
      <c r="AA98" s="775">
        <f ca="1">SUMIF(CT_tram!$B$2243:$G$2384,kl!B98,CT_tram!$G$2243:$G$2384)</f>
        <v>0</v>
      </c>
      <c r="AB98" s="775">
        <f ca="1">SUMIF(CT_tram!$B$2391:$G$2563,kl!B98,CT_tram!$G$2391:$G$2563)</f>
        <v>0</v>
      </c>
      <c r="AC98" s="775">
        <f ca="1">SUMIF(chitiet!$B$13:$N$2352,kl!$B98,chitiet!$I$13:$I$2352)</f>
        <v>0</v>
      </c>
      <c r="AD98" s="775">
        <f ca="1">SUMIF(chitiet!$B$13:$N$2352,kl!$B98,chitiet!$J$13:$J$2352)</f>
        <v>0</v>
      </c>
      <c r="AE98" s="775">
        <f ca="1">SUMIF(chitiet!$B$13:$N$2352,kl!$B98,chitiet!$K$13:$K$2352)</f>
        <v>4</v>
      </c>
      <c r="AF98" s="775">
        <f ca="1">SUMIF(chitiet!$B$13:$N$2352,kl!$B98,chitiet!$L$13:$L$2352)</f>
        <v>0</v>
      </c>
      <c r="AG98" s="775">
        <f ca="1">SUMIF(chitiet!$B$13:$N$2352,kl!$B98,chitiet!$M$13)</f>
        <v>0</v>
      </c>
      <c r="AH98" s="775">
        <f ca="1">SUMIF(chitiet!$B$13:$N$2352,kl!$B98,chitiet!$N$13:$N$2352)</f>
        <v>0</v>
      </c>
      <c r="AI98" s="775">
        <f ca="1">SUMIF(chitiet!$B$13:$N$2352,kl!$B98,chitiet!$O$13:$O$2352)</f>
        <v>0</v>
      </c>
      <c r="AJ98" s="775">
        <f ca="1">SUMIF('Cap ngam'!$B$631:$G$723,kl!$B98,'Cap ngam'!$G$631:$G$723)</f>
        <v>0</v>
      </c>
      <c r="AK98" s="775">
        <f ca="1">SUMIF('Cap ngam'!$B$403:$G$628,kl!$B98,'Cap ngam'!G$403:G$628)</f>
        <v>0</v>
      </c>
      <c r="AL98" s="775">
        <f ca="1">SUMIF('Cap ngam'!B$16:G$400,kl!$B98,'Cap ngam'!G$16:G$400)</f>
        <v>0</v>
      </c>
      <c r="AM98" s="776">
        <v>0.3</v>
      </c>
      <c r="AN98" s="775">
        <f t="shared" ca="1" si="46"/>
        <v>0</v>
      </c>
      <c r="AO98" s="775">
        <f t="shared" ca="1" si="47"/>
        <v>0</v>
      </c>
      <c r="AP98" s="775">
        <f t="shared" ca="1" si="48"/>
        <v>0</v>
      </c>
      <c r="AQ98" s="775">
        <f t="shared" ca="1" si="49"/>
        <v>0</v>
      </c>
      <c r="AR98" s="775">
        <f t="shared" ca="1" si="50"/>
        <v>0</v>
      </c>
      <c r="AS98" s="775">
        <f t="shared" ca="1" si="51"/>
        <v>0</v>
      </c>
      <c r="AT98" s="775">
        <f t="shared" ca="1" si="52"/>
        <v>0</v>
      </c>
      <c r="AU98" s="775">
        <f t="shared" ca="1" si="53"/>
        <v>0</v>
      </c>
      <c r="AV98" s="775">
        <f t="shared" ca="1" si="54"/>
        <v>0</v>
      </c>
      <c r="AW98" s="775">
        <f t="shared" ca="1" si="55"/>
        <v>0</v>
      </c>
      <c r="AX98" s="775">
        <f t="shared" si="56"/>
        <v>0</v>
      </c>
      <c r="AY98" s="775">
        <f t="shared" ca="1" si="57"/>
        <v>0</v>
      </c>
      <c r="AZ98" s="775">
        <f t="shared" si="58"/>
        <v>0</v>
      </c>
      <c r="BA98" s="775">
        <f t="shared" ca="1" si="39"/>
        <v>0</v>
      </c>
      <c r="BB98" s="775">
        <f t="shared" ca="1" si="40"/>
        <v>0</v>
      </c>
      <c r="BC98" s="775">
        <f t="shared" ca="1" si="41"/>
        <v>0</v>
      </c>
      <c r="BD98" s="775">
        <f t="shared" ca="1" si="42"/>
        <v>0</v>
      </c>
      <c r="BE98" s="775">
        <f t="shared" ca="1" si="43"/>
        <v>0</v>
      </c>
      <c r="BF98" s="775">
        <f t="shared" ca="1" si="44"/>
        <v>0</v>
      </c>
      <c r="BG98" s="775">
        <f t="shared" ca="1" si="45"/>
        <v>0</v>
      </c>
      <c r="BH98" s="775">
        <f t="shared" ca="1" si="59"/>
        <v>0</v>
      </c>
      <c r="BI98" s="775">
        <f t="shared" ca="1" si="60"/>
        <v>0</v>
      </c>
      <c r="BJ98" s="775">
        <f t="shared" ca="1" si="61"/>
        <v>1.2</v>
      </c>
      <c r="BK98" s="775">
        <f t="shared" ca="1" si="62"/>
        <v>0</v>
      </c>
      <c r="BL98" s="775">
        <f t="shared" ca="1" si="63"/>
        <v>0</v>
      </c>
      <c r="BM98" s="775">
        <f t="shared" ca="1" si="64"/>
        <v>0</v>
      </c>
      <c r="BN98" s="775">
        <f t="shared" ca="1" si="65"/>
        <v>0</v>
      </c>
      <c r="BO98" s="775">
        <f t="shared" ca="1" si="66"/>
        <v>0</v>
      </c>
      <c r="BP98" s="775">
        <f t="shared" ca="1" si="67"/>
        <v>0</v>
      </c>
      <c r="BQ98" s="775">
        <f t="shared" ca="1" si="10"/>
        <v>0</v>
      </c>
      <c r="BR98" s="775">
        <f t="shared" ca="1" si="68"/>
        <v>2.4</v>
      </c>
    </row>
    <row r="99" spans="1:70">
      <c r="A99" s="767" t="str">
        <f t="shared" ca="1" si="73"/>
        <v>X</v>
      </c>
      <c r="B99" s="131" t="s">
        <v>1043</v>
      </c>
      <c r="C99" s="188">
        <f ca="1">IF(F99=0,"",COUNTIF($F$78:$F99,"&gt;0"))</f>
        <v>6</v>
      </c>
      <c r="D99" s="778" t="str">
        <f>VLOOKUP($B99,dongia1,DG!$C$5,)</f>
        <v>Boulon 16x35+ 2 long đền vuông D18-50x50x3/Zn</v>
      </c>
      <c r="E99" s="555" t="str">
        <f>VLOOKUP($B99,dongia1,DG!$D$5,)</f>
        <v>bộ</v>
      </c>
      <c r="F99" s="779">
        <f t="shared" ca="1" si="74"/>
        <v>1</v>
      </c>
      <c r="G99" s="775">
        <f t="shared" ca="1" si="14"/>
        <v>1</v>
      </c>
      <c r="H99" s="775">
        <f ca="1">SUMIF(CT_tram!$B$33:$G$3559,kl!B99,CT_tram!$G$33:$G$3559)</f>
        <v>0</v>
      </c>
      <c r="I99" s="775">
        <f ca="1">SUMIF(CT_tram!$B$34:$G$115,$B99,CT_tram!$G$34:$G$115)</f>
        <v>0</v>
      </c>
      <c r="J99" s="775">
        <f ca="1">SUMIF(CT_tram!$B$122:$G$204,$B99,CT_tram!$G$122:$G$204)</f>
        <v>0</v>
      </c>
      <c r="K99" s="775">
        <f ca="1">SUMIF(CT_tram!$B$211:$G$293,$B99,CT_tram!$G$211:$G$293)</f>
        <v>0</v>
      </c>
      <c r="L99" s="775">
        <f ca="1">SUMIF(CT_tram!$B$300:$G$374,$B99,CT_tram!$G$300:$G$374)</f>
        <v>0</v>
      </c>
      <c r="M99" s="775">
        <f ca="1">SUMIF(CT_tram!$B$381:$G$471,$B99,CT_tram!$G$381:$G$471)</f>
        <v>0</v>
      </c>
      <c r="N99" s="775">
        <f ca="1">SUMIF(CT_tram!$B$478:$G$560,$B99,CT_tram!$G$478:$G$560)</f>
        <v>0</v>
      </c>
      <c r="O99" s="775">
        <f ca="1">SUMIF(CT_tram!$B$567:$G$653,$B99,CT_tram!$G$567:$G$653)</f>
        <v>0</v>
      </c>
      <c r="P99" s="775">
        <f ca="1">SUMIF(CT_tram!$B$661:$G$738,$B99,CT_tram!$G$661:$G$738)</f>
        <v>0</v>
      </c>
      <c r="Q99" s="775">
        <f ca="1">SUMIF(CT_tram!$B$745:$G$899,$B99,CT_tram!$G$745:$G$899)</f>
        <v>0</v>
      </c>
      <c r="R99" s="775">
        <f ca="1">SUMIF(CT_tram!$B$907:$G$995,$B99,CT_tram!$G$907:$G$995)</f>
        <v>0</v>
      </c>
      <c r="S99" s="775"/>
      <c r="T99" s="775">
        <f ca="1">SUMIF(CT_tram!$B$1004:$G$1097,B99,CT_tram!$G$1004:$G$1097)</f>
        <v>0</v>
      </c>
      <c r="U99" s="775"/>
      <c r="V99" s="775">
        <f ca="1">SUMIF(CT_tram!$B$1226:$G$1352,kl!B99,CT_tram!$G$1226:$G$1352)</f>
        <v>0</v>
      </c>
      <c r="W99" s="780">
        <f ca="1">SUMIF(CT_tram!$B$1105:$G$1219,kl!B99,CT_tram!$G$1105:$G$1219)</f>
        <v>0</v>
      </c>
      <c r="X99" s="775">
        <f ca="1">SUMIF(CT_tram!$B$1359:$G$1504,kl!B99,CT_tram!$G$1359:$G$1504)</f>
        <v>0</v>
      </c>
      <c r="Y99" s="775">
        <f ca="1">SUMIF(CT_tram!$B$1511:$G$1625,kl!B99,CT_tram!$G$1511:$G$1625)</f>
        <v>0</v>
      </c>
      <c r="Z99" s="775">
        <f ca="1">SUMIF(CT_tram!$B$1632:$G$2211,kl!B99,CT_tram!$G$1632:$G$2211)</f>
        <v>0</v>
      </c>
      <c r="AA99" s="775">
        <f ca="1">SUMIF(CT_tram!$B$2243:$G$2384,kl!B99,CT_tram!$G$2243:$G$2384)</f>
        <v>0</v>
      </c>
      <c r="AB99" s="775">
        <f ca="1">SUMIF(CT_tram!$B$2391:$G$2563,kl!B99,CT_tram!$G$2391:$G$2563)</f>
        <v>0</v>
      </c>
      <c r="AC99" s="775">
        <f ca="1">SUMIF(chitiet!$B$13:$N$2352,kl!$B99,chitiet!$I$13:$I$2352)</f>
        <v>0</v>
      </c>
      <c r="AD99" s="775">
        <f ca="1">SUMIF(chitiet!$B$13:$N$2352,kl!$B99,chitiet!$J$13:$J$2352)</f>
        <v>0</v>
      </c>
      <c r="AE99" s="775">
        <f ca="1">SUMIF(chitiet!$B$13:$N$2352,kl!$B99,chitiet!$K$13:$K$2352)</f>
        <v>1</v>
      </c>
      <c r="AF99" s="775">
        <f ca="1">SUMIF(chitiet!$B$13:$N$2352,kl!$B99,chitiet!$L$13:$L$2352)</f>
        <v>0</v>
      </c>
      <c r="AG99" s="775">
        <f ca="1">SUMIF(chitiet!$B$13:$N$2352,kl!$B99,chitiet!$M$13)</f>
        <v>0</v>
      </c>
      <c r="AH99" s="775">
        <f ca="1">SUMIF(chitiet!$B$13:$N$2352,kl!$B99,chitiet!$N$13:$N$2352)</f>
        <v>0</v>
      </c>
      <c r="AI99" s="775">
        <f ca="1">SUMIF(chitiet!$B$13:$N$2352,kl!$B99,chitiet!$O$13:$O$2352)</f>
        <v>0</v>
      </c>
      <c r="AJ99" s="775">
        <f ca="1">SUMIF('Cap ngam'!$B$631:$G$723,kl!$B99,'Cap ngam'!$G$631:$G$723)</f>
        <v>0</v>
      </c>
      <c r="AK99" s="775">
        <f ca="1">SUMIF('Cap ngam'!$B$403:$G$628,kl!$B99,'Cap ngam'!G$403:G$628)</f>
        <v>0</v>
      </c>
      <c r="AL99" s="775">
        <f ca="1">SUMIF('Cap ngam'!B$16:G$400,kl!$B99,'Cap ngam'!G$16:G$400)</f>
        <v>0</v>
      </c>
      <c r="AM99" s="776">
        <v>0.2</v>
      </c>
      <c r="AN99" s="775">
        <f t="shared" ca="1" si="46"/>
        <v>0</v>
      </c>
      <c r="AO99" s="775">
        <f t="shared" ca="1" si="47"/>
        <v>0</v>
      </c>
      <c r="AP99" s="775">
        <f t="shared" ca="1" si="48"/>
        <v>0</v>
      </c>
      <c r="AQ99" s="775">
        <f t="shared" ca="1" si="49"/>
        <v>0</v>
      </c>
      <c r="AR99" s="775">
        <f t="shared" ca="1" si="50"/>
        <v>0</v>
      </c>
      <c r="AS99" s="775">
        <f t="shared" ca="1" si="51"/>
        <v>0</v>
      </c>
      <c r="AT99" s="775">
        <f t="shared" ca="1" si="52"/>
        <v>0</v>
      </c>
      <c r="AU99" s="775">
        <f t="shared" ca="1" si="53"/>
        <v>0</v>
      </c>
      <c r="AV99" s="775">
        <f t="shared" ca="1" si="54"/>
        <v>0</v>
      </c>
      <c r="AW99" s="775">
        <f t="shared" ca="1" si="55"/>
        <v>0</v>
      </c>
      <c r="AX99" s="775">
        <f t="shared" si="56"/>
        <v>0</v>
      </c>
      <c r="AY99" s="775">
        <f t="shared" ca="1" si="57"/>
        <v>0</v>
      </c>
      <c r="AZ99" s="775">
        <f t="shared" si="58"/>
        <v>0</v>
      </c>
      <c r="BA99" s="775">
        <f t="shared" ca="1" si="39"/>
        <v>0</v>
      </c>
      <c r="BB99" s="775">
        <f t="shared" ca="1" si="40"/>
        <v>0</v>
      </c>
      <c r="BC99" s="775">
        <f t="shared" ca="1" si="41"/>
        <v>0</v>
      </c>
      <c r="BD99" s="775">
        <f t="shared" ca="1" si="42"/>
        <v>0</v>
      </c>
      <c r="BE99" s="775">
        <f t="shared" ca="1" si="43"/>
        <v>0</v>
      </c>
      <c r="BF99" s="775">
        <f t="shared" ca="1" si="44"/>
        <v>0</v>
      </c>
      <c r="BG99" s="775">
        <f t="shared" ca="1" si="45"/>
        <v>0</v>
      </c>
      <c r="BH99" s="775">
        <f t="shared" ca="1" si="59"/>
        <v>0</v>
      </c>
      <c r="BI99" s="775">
        <f t="shared" ca="1" si="60"/>
        <v>0</v>
      </c>
      <c r="BJ99" s="775">
        <f t="shared" ca="1" si="61"/>
        <v>0.2</v>
      </c>
      <c r="BK99" s="775">
        <f t="shared" ca="1" si="62"/>
        <v>0</v>
      </c>
      <c r="BL99" s="775">
        <f t="shared" ca="1" si="63"/>
        <v>0</v>
      </c>
      <c r="BM99" s="775">
        <f t="shared" ca="1" si="64"/>
        <v>0</v>
      </c>
      <c r="BN99" s="775">
        <f t="shared" ca="1" si="65"/>
        <v>0</v>
      </c>
      <c r="BO99" s="775">
        <f t="shared" ca="1" si="66"/>
        <v>0</v>
      </c>
      <c r="BP99" s="775">
        <f t="shared" ca="1" si="67"/>
        <v>0</v>
      </c>
      <c r="BQ99" s="775">
        <f t="shared" ca="1" si="10"/>
        <v>0</v>
      </c>
      <c r="BR99" s="775">
        <f t="shared" ca="1" si="68"/>
        <v>0</v>
      </c>
    </row>
    <row r="100" spans="1:70">
      <c r="A100" s="767" t="str">
        <f t="shared" ca="1" si="73"/>
        <v/>
      </c>
      <c r="B100" s="131" t="s">
        <v>1256</v>
      </c>
      <c r="C100" s="188" t="str">
        <f ca="1">IF(F100=0,"",COUNTIF($F$78:$F100,"&gt;0"))</f>
        <v/>
      </c>
      <c r="D100" s="778" t="str">
        <f>VLOOKUP($B100,dongia1,DG!$C$5,)</f>
        <v>Boulon 16x40+ 2 long đền vuông D18-50x50x3/Zn</v>
      </c>
      <c r="E100" s="555" t="str">
        <f>VLOOKUP($B100,dongia1,DG!$D$5,)</f>
        <v>bộ</v>
      </c>
      <c r="F100" s="779">
        <f t="shared" ca="1" si="74"/>
        <v>0</v>
      </c>
      <c r="G100" s="775">
        <f t="shared" ca="1" si="14"/>
        <v>0</v>
      </c>
      <c r="H100" s="775">
        <f ca="1">SUMIF(CT_tram!$B$33:$G$3559,kl!B100,CT_tram!$G$33:$G$3559)</f>
        <v>0</v>
      </c>
      <c r="I100" s="775">
        <f ca="1">SUMIF(CT_tram!$B$34:$G$115,$B100,CT_tram!$G$34:$G$115)</f>
        <v>0</v>
      </c>
      <c r="J100" s="775">
        <f ca="1">SUMIF(CT_tram!$B$122:$G$204,$B100,CT_tram!$G$122:$G$204)</f>
        <v>0</v>
      </c>
      <c r="K100" s="775">
        <f ca="1">SUMIF(CT_tram!$B$211:$G$293,$B100,CT_tram!$G$211:$G$293)</f>
        <v>0</v>
      </c>
      <c r="L100" s="775">
        <f ca="1">SUMIF(CT_tram!$B$300:$G$374,$B100,CT_tram!$G$300:$G$374)</f>
        <v>0</v>
      </c>
      <c r="M100" s="775">
        <f ca="1">SUMIF(CT_tram!$B$381:$G$471,$B100,CT_tram!$G$381:$G$471)</f>
        <v>0</v>
      </c>
      <c r="N100" s="775">
        <f ca="1">SUMIF(CT_tram!$B$478:$G$560,$B100,CT_tram!$G$478:$G$560)</f>
        <v>0</v>
      </c>
      <c r="O100" s="775">
        <f ca="1">SUMIF(CT_tram!$B$567:$G$653,$B100,CT_tram!$G$567:$G$653)</f>
        <v>0</v>
      </c>
      <c r="P100" s="775">
        <f ca="1">SUMIF(CT_tram!$B$661:$G$738,$B100,CT_tram!$G$661:$G$738)</f>
        <v>0</v>
      </c>
      <c r="Q100" s="775">
        <f ca="1">SUMIF(CT_tram!$B$745:$G$899,$B100,CT_tram!$G$745:$G$899)</f>
        <v>0</v>
      </c>
      <c r="R100" s="775">
        <f ca="1">SUMIF(CT_tram!$B$907:$G$995,$B100,CT_tram!$G$907:$G$995)</f>
        <v>0</v>
      </c>
      <c r="S100" s="775"/>
      <c r="T100" s="775">
        <f ca="1">SUMIF(CT_tram!$B$1004:$G$1097,B100,CT_tram!$G$1004:$G$1097)</f>
        <v>0</v>
      </c>
      <c r="U100" s="775"/>
      <c r="V100" s="775">
        <f ca="1">SUMIF(CT_tram!$B$1226:$G$1352,kl!B100,CT_tram!$G$1226:$G$1352)</f>
        <v>0</v>
      </c>
      <c r="W100" s="780">
        <f ca="1">SUMIF(CT_tram!$B$1105:$G$1219,kl!B100,CT_tram!$G$1105:$G$1219)</f>
        <v>0</v>
      </c>
      <c r="X100" s="775">
        <f ca="1">SUMIF(CT_tram!$B$1359:$G$1504,kl!B100,CT_tram!$G$1359:$G$1504)</f>
        <v>0</v>
      </c>
      <c r="Y100" s="775">
        <f ca="1">SUMIF(CT_tram!$B$1511:$G$1625,kl!B100,CT_tram!$G$1511:$G$1625)</f>
        <v>0</v>
      </c>
      <c r="Z100" s="775">
        <f ca="1">SUMIF(CT_tram!$B$1632:$G$2211,kl!B100,CT_tram!$G$1632:$G$2211)</f>
        <v>0</v>
      </c>
      <c r="AA100" s="775">
        <f ca="1">SUMIF(CT_tram!$B$2243:$G$2384,kl!B100,CT_tram!$G$2243:$G$2384)</f>
        <v>0</v>
      </c>
      <c r="AB100" s="775">
        <f ca="1">SUMIF(CT_tram!$B$2391:$G$2563,kl!B100,CT_tram!$G$2391:$G$2563)</f>
        <v>0</v>
      </c>
      <c r="AC100" s="775">
        <f ca="1">SUMIF(chitiet!$B$13:$N$2352,kl!$B100,chitiet!$I$13:$I$2352)</f>
        <v>0</v>
      </c>
      <c r="AD100" s="775">
        <f ca="1">SUMIF(chitiet!$B$13:$N$2352,kl!$B100,chitiet!$J$13:$J$2352)</f>
        <v>0</v>
      </c>
      <c r="AE100" s="775">
        <f ca="1">SUMIF(chitiet!$B$13:$N$2352,kl!$B100,chitiet!$K$13:$K$2352)</f>
        <v>0</v>
      </c>
      <c r="AF100" s="775">
        <f ca="1">SUMIF(chitiet!$B$13:$N$2352,kl!$B100,chitiet!$L$13:$L$2352)</f>
        <v>0</v>
      </c>
      <c r="AG100" s="775">
        <f ca="1">SUMIF(chitiet!$B$13:$N$2352,kl!$B100,chitiet!$M$13)</f>
        <v>0</v>
      </c>
      <c r="AH100" s="775">
        <f ca="1">SUMIF(chitiet!$B$13:$N$2352,kl!$B100,chitiet!$N$13:$N$2352)</f>
        <v>0</v>
      </c>
      <c r="AI100" s="775">
        <f ca="1">SUMIF(chitiet!$B$13:$N$2352,kl!$B100,chitiet!$O$13:$O$2352)</f>
        <v>0</v>
      </c>
      <c r="AJ100" s="775">
        <f ca="1">SUMIF('Cap ngam'!$B$631:$G$723,kl!$B100,'Cap ngam'!$G$631:$G$723)</f>
        <v>0</v>
      </c>
      <c r="AK100" s="775">
        <f ca="1">SUMIF('Cap ngam'!$B$403:$G$628,kl!$B100,'Cap ngam'!G$403:G$628)</f>
        <v>0</v>
      </c>
      <c r="AL100" s="775">
        <f ca="1">SUMIF('Cap ngam'!B$16:G$400,kl!$B100,'Cap ngam'!G$16:G$400)</f>
        <v>0</v>
      </c>
      <c r="AM100" s="776">
        <v>0.2</v>
      </c>
      <c r="AN100" s="775">
        <f t="shared" ca="1" si="46"/>
        <v>0</v>
      </c>
      <c r="AO100" s="775">
        <f t="shared" ca="1" si="47"/>
        <v>0</v>
      </c>
      <c r="AP100" s="775">
        <f t="shared" ca="1" si="48"/>
        <v>0</v>
      </c>
      <c r="AQ100" s="775">
        <f t="shared" ca="1" si="49"/>
        <v>0</v>
      </c>
      <c r="AR100" s="775">
        <f t="shared" ca="1" si="50"/>
        <v>0</v>
      </c>
      <c r="AS100" s="775">
        <f t="shared" ca="1" si="51"/>
        <v>0</v>
      </c>
      <c r="AT100" s="775">
        <f t="shared" ca="1" si="52"/>
        <v>0</v>
      </c>
      <c r="AU100" s="775">
        <f t="shared" ca="1" si="53"/>
        <v>0</v>
      </c>
      <c r="AV100" s="775">
        <f t="shared" ca="1" si="54"/>
        <v>0</v>
      </c>
      <c r="AW100" s="775">
        <f t="shared" ca="1" si="55"/>
        <v>0</v>
      </c>
      <c r="AX100" s="775">
        <f t="shared" si="56"/>
        <v>0</v>
      </c>
      <c r="AY100" s="775">
        <f t="shared" ca="1" si="57"/>
        <v>0</v>
      </c>
      <c r="AZ100" s="775">
        <f t="shared" si="58"/>
        <v>0</v>
      </c>
      <c r="BA100" s="775">
        <f t="shared" ca="1" si="39"/>
        <v>0</v>
      </c>
      <c r="BB100" s="775">
        <f t="shared" ca="1" si="40"/>
        <v>0</v>
      </c>
      <c r="BC100" s="775">
        <f t="shared" ca="1" si="41"/>
        <v>0</v>
      </c>
      <c r="BD100" s="775">
        <f t="shared" ca="1" si="42"/>
        <v>0</v>
      </c>
      <c r="BE100" s="775">
        <f t="shared" ca="1" si="43"/>
        <v>0</v>
      </c>
      <c r="BF100" s="775">
        <f t="shared" ca="1" si="44"/>
        <v>0</v>
      </c>
      <c r="BG100" s="775">
        <f t="shared" ca="1" si="45"/>
        <v>0</v>
      </c>
      <c r="BH100" s="775">
        <f t="shared" ca="1" si="59"/>
        <v>0</v>
      </c>
      <c r="BI100" s="775">
        <f t="shared" ca="1" si="60"/>
        <v>0</v>
      </c>
      <c r="BJ100" s="775">
        <f t="shared" ca="1" si="61"/>
        <v>0</v>
      </c>
      <c r="BK100" s="775">
        <f t="shared" ca="1" si="62"/>
        <v>0</v>
      </c>
      <c r="BL100" s="775">
        <f t="shared" ca="1" si="63"/>
        <v>0</v>
      </c>
      <c r="BM100" s="775">
        <f t="shared" ca="1" si="64"/>
        <v>0</v>
      </c>
      <c r="BN100" s="775">
        <f t="shared" ca="1" si="65"/>
        <v>0</v>
      </c>
      <c r="BO100" s="775">
        <f t="shared" ca="1" si="66"/>
        <v>0</v>
      </c>
      <c r="BP100" s="775">
        <f t="shared" ca="1" si="67"/>
        <v>0</v>
      </c>
      <c r="BQ100" s="775">
        <f t="shared" ca="1" si="10"/>
        <v>0</v>
      </c>
      <c r="BR100" s="775">
        <f t="shared" ca="1" si="68"/>
        <v>0</v>
      </c>
    </row>
    <row r="101" spans="1:70">
      <c r="A101" s="767" t="str">
        <f t="shared" ca="1" si="73"/>
        <v>X</v>
      </c>
      <c r="B101" s="789" t="s">
        <v>1044</v>
      </c>
      <c r="C101" s="188">
        <f ca="1">IF(F101=0,"",COUNTIF($F$78:$F101,"&gt;0"))</f>
        <v>7</v>
      </c>
      <c r="D101" s="778" t="str">
        <f>VLOOKUP($B101,dongia1,DG!$C$5,)</f>
        <v>Boulon 16x50+ 2 long đền vuông D18-50x50x3/Zn</v>
      </c>
      <c r="E101" s="555" t="str">
        <f>VLOOKUP($B101,dongia1,DG!$D$5,)</f>
        <v>bộ</v>
      </c>
      <c r="F101" s="975">
        <f t="shared" ca="1" si="74"/>
        <v>18</v>
      </c>
      <c r="G101" s="976">
        <f t="shared" ca="1" si="14"/>
        <v>8</v>
      </c>
      <c r="H101" s="976">
        <f ca="1">SUMIF(CT_tram!$B$33:$G$3559,kl!B101,CT_tram!$G$33:$G$3559)</f>
        <v>10</v>
      </c>
      <c r="I101" s="775">
        <f ca="1">SUMIF(CT_tram!$B$34:$G$115,$B101,CT_tram!$G$34:$G$115)</f>
        <v>0</v>
      </c>
      <c r="J101" s="775">
        <f ca="1">SUMIF(CT_tram!$B$122:$G$204,$B101,CT_tram!$G$122:$G$204)</f>
        <v>0</v>
      </c>
      <c r="K101" s="775">
        <f ca="1">SUMIF(CT_tram!$B$211:$G$293,$B101,CT_tram!$G$211:$G$293)</f>
        <v>0</v>
      </c>
      <c r="L101" s="775">
        <f ca="1">SUMIF(CT_tram!$B$300:$G$374,$B101,CT_tram!$G$300:$G$374)</f>
        <v>0</v>
      </c>
      <c r="M101" s="775">
        <f ca="1">SUMIF(CT_tram!$B$381:$G$471,$B101,CT_tram!$G$381:$G$471)</f>
        <v>0</v>
      </c>
      <c r="N101" s="775">
        <f ca="1">SUMIF(CT_tram!$B$478:$G$560,$B101,CT_tram!$G$478:$G$560)</f>
        <v>0</v>
      </c>
      <c r="O101" s="775">
        <f ca="1">SUMIF(CT_tram!$B$567:$G$653,$B101,CT_tram!$G$567:$G$653)</f>
        <v>0</v>
      </c>
      <c r="P101" s="775">
        <f ca="1">SUMIF(CT_tram!$B$661:$G$738,$B101,CT_tram!$G$661:$G$738)</f>
        <v>0</v>
      </c>
      <c r="Q101" s="775">
        <f ca="1">SUMIF(CT_tram!$B$745:$G$899,$B101,CT_tram!$G$745:$G$899)</f>
        <v>0</v>
      </c>
      <c r="R101" s="775">
        <f ca="1">SUMIF(CT_tram!$B$907:$G$995,$B101,CT_tram!$G$907:$G$995)</f>
        <v>0</v>
      </c>
      <c r="S101" s="775"/>
      <c r="T101" s="775">
        <f ca="1">SUMIF(CT_tram!$B$1004:$G$1097,B101,CT_tram!$G$1004:$G$1097)</f>
        <v>0</v>
      </c>
      <c r="U101" s="775"/>
      <c r="V101" s="775">
        <f ca="1">SUMIF(CT_tram!$B$1226:$G$1352,kl!B101,CT_tram!$G$1226:$G$1352)</f>
        <v>0</v>
      </c>
      <c r="W101" s="780">
        <f ca="1">SUMIF(CT_tram!$B$1105:$G$1219,kl!B101,CT_tram!$G$1105:$G$1219)</f>
        <v>0</v>
      </c>
      <c r="X101" s="775">
        <f ca="1">SUMIF(CT_tram!$B$1359:$G$1504,kl!B101,CT_tram!$G$1359:$G$1504)</f>
        <v>0</v>
      </c>
      <c r="Y101" s="775">
        <f ca="1">SUMIF(CT_tram!$B$1511:$G$1625,kl!B101,CT_tram!$G$1511:$G$1625)</f>
        <v>0</v>
      </c>
      <c r="Z101" s="775">
        <f ca="1">SUMIF(CT_tram!$B$1632:$G$2211,kl!B101,CT_tram!$G$1632:$G$2211)</f>
        <v>0</v>
      </c>
      <c r="AA101" s="775">
        <f ca="1">SUMIF(CT_tram!$B$2243:$G$2384,kl!B101,CT_tram!$G$2243:$G$2384)</f>
        <v>0</v>
      </c>
      <c r="AB101" s="775">
        <f ca="1">SUMIF(CT_tram!$B$2391:$G$2563,kl!B101,CT_tram!$G$2391:$G$2563)</f>
        <v>0</v>
      </c>
      <c r="AC101" s="775">
        <f ca="1">SUMIF(chitiet!$B$13:$N$2352,kl!$B101,chitiet!$I$13:$I$2352)</f>
        <v>0</v>
      </c>
      <c r="AD101" s="775">
        <f ca="1">SUMIF(chitiet!$B$13:$N$2352,kl!$B101,chitiet!$J$13:$J$2352)</f>
        <v>0</v>
      </c>
      <c r="AE101" s="775">
        <f ca="1">SUMIF(chitiet!$B$13:$N$2352,kl!$B101,chitiet!$K$13:$K$2352)</f>
        <v>8</v>
      </c>
      <c r="AF101" s="775">
        <f ca="1">SUMIF(chitiet!$B$13:$N$2352,kl!$B101,chitiet!$L$13:$L$2352)</f>
        <v>0</v>
      </c>
      <c r="AG101" s="775">
        <f ca="1">SUMIF(chitiet!$B$13:$N$2352,kl!$B101,chitiet!$M$13)</f>
        <v>0</v>
      </c>
      <c r="AH101" s="775">
        <f ca="1">SUMIF(chitiet!$B$13:$N$2352,kl!$B101,chitiet!$N$13:$N$2352)</f>
        <v>0</v>
      </c>
      <c r="AI101" s="775">
        <f ca="1">SUMIF(chitiet!$B$13:$N$2352,kl!$B101,chitiet!$O$13:$O$2352)</f>
        <v>0</v>
      </c>
      <c r="AJ101" s="775">
        <f ca="1">SUMIF('Cap ngam'!$B$631:$G$723,kl!$B101,'Cap ngam'!$G$631:$G$723)</f>
        <v>0</v>
      </c>
      <c r="AK101" s="775">
        <f ca="1">SUMIF('Cap ngam'!$B$403:$G$628,kl!$B101,'Cap ngam'!G$403:G$628)</f>
        <v>0</v>
      </c>
      <c r="AL101" s="775">
        <f ca="1">SUMIF('Cap ngam'!B$16:G$400,kl!$B101,'Cap ngam'!G$16:G$400)</f>
        <v>0</v>
      </c>
      <c r="AM101" s="776">
        <v>0.25</v>
      </c>
      <c r="AN101" s="775">
        <f t="shared" ca="1" si="46"/>
        <v>0</v>
      </c>
      <c r="AO101" s="775">
        <f t="shared" ca="1" si="47"/>
        <v>0</v>
      </c>
      <c r="AP101" s="775">
        <f t="shared" ca="1" si="48"/>
        <v>0</v>
      </c>
      <c r="AQ101" s="775">
        <f t="shared" ca="1" si="49"/>
        <v>0</v>
      </c>
      <c r="AR101" s="775">
        <f t="shared" ca="1" si="50"/>
        <v>0</v>
      </c>
      <c r="AS101" s="775">
        <f t="shared" ca="1" si="51"/>
        <v>0</v>
      </c>
      <c r="AT101" s="775">
        <f t="shared" ca="1" si="52"/>
        <v>0</v>
      </c>
      <c r="AU101" s="775">
        <f t="shared" ca="1" si="53"/>
        <v>0</v>
      </c>
      <c r="AV101" s="775">
        <f t="shared" ca="1" si="54"/>
        <v>0</v>
      </c>
      <c r="AW101" s="775">
        <f t="shared" ca="1" si="55"/>
        <v>0</v>
      </c>
      <c r="AX101" s="775">
        <f t="shared" si="56"/>
        <v>0</v>
      </c>
      <c r="AY101" s="775">
        <f t="shared" ca="1" si="57"/>
        <v>0</v>
      </c>
      <c r="AZ101" s="775">
        <f t="shared" si="58"/>
        <v>0</v>
      </c>
      <c r="BA101" s="775">
        <f t="shared" ca="1" si="39"/>
        <v>0</v>
      </c>
      <c r="BB101" s="775">
        <f t="shared" ca="1" si="40"/>
        <v>0</v>
      </c>
      <c r="BC101" s="775">
        <f t="shared" ca="1" si="41"/>
        <v>0</v>
      </c>
      <c r="BD101" s="775">
        <f t="shared" ca="1" si="42"/>
        <v>0</v>
      </c>
      <c r="BE101" s="775">
        <f t="shared" ca="1" si="43"/>
        <v>0</v>
      </c>
      <c r="BF101" s="775">
        <f t="shared" ca="1" si="44"/>
        <v>0</v>
      </c>
      <c r="BG101" s="775">
        <f t="shared" ca="1" si="45"/>
        <v>0</v>
      </c>
      <c r="BH101" s="775">
        <f t="shared" ca="1" si="59"/>
        <v>0</v>
      </c>
      <c r="BI101" s="775">
        <f t="shared" ca="1" si="60"/>
        <v>0</v>
      </c>
      <c r="BJ101" s="775">
        <f t="shared" ca="1" si="61"/>
        <v>2</v>
      </c>
      <c r="BK101" s="775">
        <f t="shared" ca="1" si="62"/>
        <v>0</v>
      </c>
      <c r="BL101" s="775">
        <f t="shared" ca="1" si="63"/>
        <v>0</v>
      </c>
      <c r="BM101" s="775">
        <f t="shared" ca="1" si="64"/>
        <v>0</v>
      </c>
      <c r="BN101" s="775">
        <f t="shared" ca="1" si="65"/>
        <v>0</v>
      </c>
      <c r="BO101" s="775">
        <f t="shared" ca="1" si="66"/>
        <v>0</v>
      </c>
      <c r="BP101" s="775">
        <f t="shared" ca="1" si="67"/>
        <v>0</v>
      </c>
      <c r="BQ101" s="775">
        <f t="shared" ca="1" si="10"/>
        <v>0</v>
      </c>
      <c r="BR101" s="775">
        <f t="shared" ca="1" si="68"/>
        <v>2.5</v>
      </c>
    </row>
    <row r="102" spans="1:70">
      <c r="A102" s="767" t="str">
        <f ca="1">IF(F102&lt;&gt;0,"X","")</f>
        <v/>
      </c>
      <c r="B102" s="789" t="s">
        <v>800</v>
      </c>
      <c r="C102" s="188" t="str">
        <f ca="1">IF(F102=0,"",COUNTIF($F$78:$F102,"&gt;0"))</f>
        <v/>
      </c>
      <c r="D102" s="778" t="str">
        <f>VLOOKUP($B102,dongia1,DG!$C$5,)</f>
        <v>Boulon móc 16x250+ 1 long đền vuông D18-50x50x3/Zn</v>
      </c>
      <c r="E102" s="555" t="str">
        <f>VLOOKUP($B102,dongia1,DG!$D$5,)</f>
        <v>bộ</v>
      </c>
      <c r="F102" s="779">
        <f ca="1">G102+H102</f>
        <v>0</v>
      </c>
      <c r="G102" s="775">
        <f ca="1">SUM(AC102:AL102)</f>
        <v>0</v>
      </c>
      <c r="H102" s="775">
        <f ca="1">SUMIF(CT_tram!$B$33:$G$3559,kl!B102,CT_tram!$G$33:$G$3559)</f>
        <v>0</v>
      </c>
      <c r="I102" s="775">
        <f ca="1">SUMIF(CT_tram!$B$34:$G$115,$B102,CT_tram!$G$34:$G$115)</f>
        <v>0</v>
      </c>
      <c r="J102" s="775">
        <f ca="1">SUMIF(CT_tram!$B$122:$G$204,$B102,CT_tram!$G$122:$G$204)</f>
        <v>0</v>
      </c>
      <c r="K102" s="775">
        <f ca="1">SUMIF(CT_tram!$B$211:$G$293,$B102,CT_tram!$G$211:$G$293)</f>
        <v>0</v>
      </c>
      <c r="L102" s="775">
        <f ca="1">SUMIF(CT_tram!$B$300:$G$374,$B102,CT_tram!$G$300:$G$374)</f>
        <v>0</v>
      </c>
      <c r="M102" s="775">
        <f ca="1">SUMIF(CT_tram!$B$381:$G$471,$B102,CT_tram!$G$381:$G$471)</f>
        <v>0</v>
      </c>
      <c r="N102" s="775">
        <f ca="1">SUMIF(CT_tram!$B$478:$G$560,$B102,CT_tram!$G$478:$G$560)</f>
        <v>0</v>
      </c>
      <c r="O102" s="775">
        <f ca="1">SUMIF(CT_tram!$B$567:$G$653,$B102,CT_tram!$G$567:$G$653)</f>
        <v>0</v>
      </c>
      <c r="P102" s="775">
        <f ca="1">SUMIF(CT_tram!$B$661:$G$738,$B102,CT_tram!$G$661:$G$738)</f>
        <v>0</v>
      </c>
      <c r="Q102" s="775">
        <f ca="1">SUMIF(CT_tram!$B$745:$G$899,$B102,CT_tram!$G$745:$G$899)</f>
        <v>0</v>
      </c>
      <c r="R102" s="775">
        <f ca="1">SUMIF(CT_tram!$B$907:$G$995,$B102,CT_tram!$G$907:$G$995)</f>
        <v>0</v>
      </c>
      <c r="S102" s="775"/>
      <c r="T102" s="775">
        <f ca="1">SUMIF(CT_tram!$B$1004:$G$1097,B102,CT_tram!$G$1004:$G$1097)</f>
        <v>0</v>
      </c>
      <c r="U102" s="775"/>
      <c r="V102" s="775">
        <f ca="1">SUMIF(CT_tram!$B$1226:$G$1352,kl!B102,CT_tram!$G$1226:$G$1352)</f>
        <v>0</v>
      </c>
      <c r="W102" s="780">
        <f ca="1">SUMIF(CT_tram!$B$1105:$G$1219,kl!B102,CT_tram!$G$1105:$G$1219)</f>
        <v>0</v>
      </c>
      <c r="X102" s="775">
        <f ca="1">SUMIF(CT_tram!$B$1359:$G$1504,kl!B102,CT_tram!$G$1359:$G$1504)</f>
        <v>0</v>
      </c>
      <c r="Y102" s="775">
        <f ca="1">SUMIF(CT_tram!$B$1511:$G$1625,kl!B102,CT_tram!$G$1511:$G$1625)</f>
        <v>0</v>
      </c>
      <c r="Z102" s="775">
        <f ca="1">SUMIF(CT_tram!$B$1632:$G$2211,kl!B102,CT_tram!$G$1632:$G$2211)</f>
        <v>0</v>
      </c>
      <c r="AA102" s="775">
        <f ca="1">SUMIF(CT_tram!$B$2243:$G$2384,kl!B102,CT_tram!$G$2243:$G$2384)</f>
        <v>0</v>
      </c>
      <c r="AB102" s="775">
        <f ca="1">SUMIF(CT_tram!$B$2391:$G$2563,kl!B102,CT_tram!$G$2391:$G$2563)</f>
        <v>0</v>
      </c>
      <c r="AC102" s="775">
        <f ca="1">SUMIF(chitiet!$B$13:$N$2352,kl!$B102,chitiet!$I$13:$I$2352)</f>
        <v>0</v>
      </c>
      <c r="AD102" s="775">
        <f ca="1">SUMIF(chitiet!$B$13:$N$2352,kl!$B102,chitiet!$J$13:$J$2352)</f>
        <v>0</v>
      </c>
      <c r="AE102" s="775">
        <f ca="1">SUMIF(chitiet!$B$13:$N$2352,kl!$B102,chitiet!$K$13:$K$2352)</f>
        <v>0</v>
      </c>
      <c r="AF102" s="775">
        <f ca="1">SUMIF(chitiet!$B$13:$N$2352,kl!$B102,chitiet!$L$13:$L$2352)</f>
        <v>0</v>
      </c>
      <c r="AG102" s="775">
        <f ca="1">SUMIF(chitiet!$B$13:$N$2352,kl!$B102,chitiet!$M$13)</f>
        <v>0</v>
      </c>
      <c r="AH102" s="775">
        <f ca="1">SUMIF(chitiet!$B$13:$N$2352,kl!$B102,chitiet!$N$13:$N$2352)</f>
        <v>0</v>
      </c>
      <c r="AI102" s="775">
        <f ca="1">SUMIF(chitiet!$B$13:$N$2352,kl!$B102,chitiet!$O$13:$O$2352)</f>
        <v>0</v>
      </c>
      <c r="AJ102" s="775">
        <f ca="1">SUMIF('Cap ngam'!$B$631:$G$723,kl!$B102,'Cap ngam'!$G$631:$G$723)</f>
        <v>0</v>
      </c>
      <c r="AK102" s="775">
        <f ca="1">SUMIF('Cap ngam'!$B$403:$G$628,kl!$B102,'Cap ngam'!G$403:G$628)</f>
        <v>0</v>
      </c>
      <c r="AL102" s="775">
        <f ca="1">SUMIF('Cap ngam'!B$16:G$400,kl!$B102,'Cap ngam'!G$16:G$400)</f>
        <v>0</v>
      </c>
      <c r="AM102" s="776">
        <v>1.25</v>
      </c>
      <c r="AN102" s="775">
        <f t="shared" ca="1" si="46"/>
        <v>0</v>
      </c>
      <c r="AO102" s="775">
        <f t="shared" ca="1" si="47"/>
        <v>0</v>
      </c>
      <c r="AP102" s="775">
        <f t="shared" ca="1" si="48"/>
        <v>0</v>
      </c>
      <c r="AQ102" s="775">
        <f t="shared" ca="1" si="49"/>
        <v>0</v>
      </c>
      <c r="AR102" s="775">
        <f t="shared" ca="1" si="50"/>
        <v>0</v>
      </c>
      <c r="AS102" s="775">
        <f t="shared" ca="1" si="51"/>
        <v>0</v>
      </c>
      <c r="AT102" s="775">
        <f t="shared" ca="1" si="52"/>
        <v>0</v>
      </c>
      <c r="AU102" s="775">
        <f t="shared" ca="1" si="53"/>
        <v>0</v>
      </c>
      <c r="AV102" s="775">
        <f t="shared" ca="1" si="54"/>
        <v>0</v>
      </c>
      <c r="AW102" s="775">
        <f t="shared" ca="1" si="55"/>
        <v>0</v>
      </c>
      <c r="AX102" s="775">
        <f t="shared" si="56"/>
        <v>0</v>
      </c>
      <c r="AY102" s="775">
        <f t="shared" ca="1" si="57"/>
        <v>0</v>
      </c>
      <c r="AZ102" s="775">
        <f t="shared" si="58"/>
        <v>0</v>
      </c>
      <c r="BA102" s="775">
        <f t="shared" ca="1" si="39"/>
        <v>0</v>
      </c>
      <c r="BB102" s="775">
        <f t="shared" ca="1" si="40"/>
        <v>0</v>
      </c>
      <c r="BC102" s="775">
        <f t="shared" ca="1" si="41"/>
        <v>0</v>
      </c>
      <c r="BD102" s="775">
        <f t="shared" ca="1" si="42"/>
        <v>0</v>
      </c>
      <c r="BE102" s="775">
        <f t="shared" ca="1" si="43"/>
        <v>0</v>
      </c>
      <c r="BF102" s="775">
        <f t="shared" ca="1" si="44"/>
        <v>0</v>
      </c>
      <c r="BG102" s="775">
        <f t="shared" ca="1" si="45"/>
        <v>0</v>
      </c>
      <c r="BH102" s="775">
        <f t="shared" ca="1" si="59"/>
        <v>0</v>
      </c>
      <c r="BI102" s="775">
        <f t="shared" ca="1" si="60"/>
        <v>0</v>
      </c>
      <c r="BJ102" s="775">
        <f t="shared" ca="1" si="61"/>
        <v>0</v>
      </c>
      <c r="BK102" s="775">
        <f t="shared" ca="1" si="62"/>
        <v>0</v>
      </c>
      <c r="BL102" s="775">
        <f t="shared" ca="1" si="63"/>
        <v>0</v>
      </c>
      <c r="BM102" s="775">
        <f t="shared" ca="1" si="64"/>
        <v>0</v>
      </c>
      <c r="BN102" s="775">
        <f t="shared" ca="1" si="65"/>
        <v>0</v>
      </c>
      <c r="BO102" s="775">
        <f t="shared" ca="1" si="66"/>
        <v>0</v>
      </c>
      <c r="BP102" s="775">
        <f t="shared" ca="1" si="67"/>
        <v>0</v>
      </c>
      <c r="BQ102" s="775">
        <f t="shared" ca="1" si="10"/>
        <v>0</v>
      </c>
      <c r="BR102" s="775">
        <f t="shared" ca="1" si="68"/>
        <v>0</v>
      </c>
    </row>
    <row r="103" spans="1:70">
      <c r="A103" s="767" t="str">
        <f ca="1">IF(F103&lt;&gt;0,"X","")</f>
        <v/>
      </c>
      <c r="B103" s="789" t="s">
        <v>801</v>
      </c>
      <c r="C103" s="188" t="str">
        <f ca="1">IF(F103=0,"",COUNTIF($F$78:$F103,"&gt;0"))</f>
        <v/>
      </c>
      <c r="D103" s="778" t="str">
        <f>VLOOKUP($B103,dongia1,DG!$C$5,)</f>
        <v>Boulon móc 16x300+ 1 long đền vuông D18-50x50x3/Zn</v>
      </c>
      <c r="E103" s="555" t="str">
        <f>VLOOKUP($B103,dongia1,DG!$D$5,)</f>
        <v>bộ</v>
      </c>
      <c r="F103" s="779">
        <f ca="1">G103+H103</f>
        <v>0</v>
      </c>
      <c r="G103" s="775">
        <f ca="1">SUM(AC103:AL103)</f>
        <v>0</v>
      </c>
      <c r="H103" s="775">
        <f ca="1">SUMIF(CT_tram!$B$33:$G$3559,kl!B103,CT_tram!$G$33:$G$3559)</f>
        <v>0</v>
      </c>
      <c r="I103" s="775">
        <f ca="1">SUMIF(CT_tram!$B$34:$G$115,$B103,CT_tram!$G$34:$G$115)</f>
        <v>0</v>
      </c>
      <c r="J103" s="775">
        <f ca="1">SUMIF(CT_tram!$B$122:$G$204,$B103,CT_tram!$G$122:$G$204)</f>
        <v>0</v>
      </c>
      <c r="K103" s="775">
        <f ca="1">SUMIF(CT_tram!$B$211:$G$293,$B103,CT_tram!$G$211:$G$293)</f>
        <v>0</v>
      </c>
      <c r="L103" s="775">
        <f ca="1">SUMIF(CT_tram!$B$300:$G$374,$B103,CT_tram!$G$300:$G$374)</f>
        <v>0</v>
      </c>
      <c r="M103" s="775">
        <f ca="1">SUMIF(CT_tram!$B$381:$G$471,$B103,CT_tram!$G$381:$G$471)</f>
        <v>0</v>
      </c>
      <c r="N103" s="775">
        <f ca="1">SUMIF(CT_tram!$B$478:$G$560,$B103,CT_tram!$G$478:$G$560)</f>
        <v>0</v>
      </c>
      <c r="O103" s="775">
        <f ca="1">SUMIF(CT_tram!$B$567:$G$653,$B103,CT_tram!$G$567:$G$653)</f>
        <v>0</v>
      </c>
      <c r="P103" s="775">
        <f ca="1">SUMIF(CT_tram!$B$661:$G$738,$B103,CT_tram!$G$661:$G$738)</f>
        <v>0</v>
      </c>
      <c r="Q103" s="775">
        <f ca="1">SUMIF(CT_tram!$B$745:$G$899,$B103,CT_tram!$G$745:$G$899)</f>
        <v>0</v>
      </c>
      <c r="R103" s="775">
        <f ca="1">SUMIF(CT_tram!$B$907:$G$995,$B103,CT_tram!$G$907:$G$995)</f>
        <v>0</v>
      </c>
      <c r="S103" s="775"/>
      <c r="T103" s="775">
        <f ca="1">SUMIF(CT_tram!$B$1004:$G$1097,B103,CT_tram!$G$1004:$G$1097)</f>
        <v>0</v>
      </c>
      <c r="U103" s="775"/>
      <c r="V103" s="775">
        <f ca="1">SUMIF(CT_tram!$B$1226:$G$1352,kl!B103,CT_tram!$G$1226:$G$1352)</f>
        <v>0</v>
      </c>
      <c r="W103" s="780">
        <f ca="1">SUMIF(CT_tram!$B$1105:$G$1219,kl!B103,CT_tram!$G$1105:$G$1219)</f>
        <v>0</v>
      </c>
      <c r="X103" s="775">
        <f ca="1">SUMIF(CT_tram!$B$1359:$G$1504,kl!B103,CT_tram!$G$1359:$G$1504)</f>
        <v>0</v>
      </c>
      <c r="Y103" s="775">
        <f ca="1">SUMIF(CT_tram!$B$1511:$G$1625,kl!B103,CT_tram!$G$1511:$G$1625)</f>
        <v>0</v>
      </c>
      <c r="Z103" s="775">
        <f ca="1">SUMIF(CT_tram!$B$1632:$G$2211,kl!B103,CT_tram!$G$1632:$G$2211)</f>
        <v>0</v>
      </c>
      <c r="AA103" s="775">
        <f ca="1">SUMIF(CT_tram!$B$2243:$G$2384,kl!B103,CT_tram!$G$2243:$G$2384)</f>
        <v>0</v>
      </c>
      <c r="AB103" s="775">
        <f ca="1">SUMIF(CT_tram!$B$2391:$G$2563,kl!B103,CT_tram!$G$2391:$G$2563)</f>
        <v>0</v>
      </c>
      <c r="AC103" s="775">
        <f ca="1">SUMIF(chitiet!$B$13:$N$2352,kl!$B103,chitiet!$I$13:$I$2352)</f>
        <v>0</v>
      </c>
      <c r="AD103" s="775">
        <f ca="1">SUMIF(chitiet!$B$13:$N$2352,kl!$B103,chitiet!$J$13:$J$2352)</f>
        <v>0</v>
      </c>
      <c r="AE103" s="775">
        <f ca="1">SUMIF(chitiet!$B$13:$N$2352,kl!$B103,chitiet!$K$13:$K$2352)</f>
        <v>0</v>
      </c>
      <c r="AF103" s="775">
        <f ca="1">SUMIF(chitiet!$B$13:$N$2352,kl!$B103,chitiet!$L$13:$L$2352)</f>
        <v>0</v>
      </c>
      <c r="AG103" s="775">
        <f ca="1">SUMIF(chitiet!$B$13:$N$2352,kl!$B103,chitiet!$M$13)</f>
        <v>0</v>
      </c>
      <c r="AH103" s="775">
        <f ca="1">SUMIF(chitiet!$B$13:$N$2352,kl!$B103,chitiet!$N$13:$N$2352)</f>
        <v>0</v>
      </c>
      <c r="AI103" s="775">
        <f ca="1">SUMIF(chitiet!$B$13:$N$2352,kl!$B103,chitiet!$O$13:$O$2352)</f>
        <v>0</v>
      </c>
      <c r="AJ103" s="775">
        <f ca="1">SUMIF('Cap ngam'!$B$631:$G$723,kl!$B103,'Cap ngam'!$G$631:$G$723)</f>
        <v>0</v>
      </c>
      <c r="AK103" s="775">
        <f ca="1">SUMIF('Cap ngam'!$B$403:$G$628,kl!$B103,'Cap ngam'!G$403:G$628)</f>
        <v>0</v>
      </c>
      <c r="AL103" s="775">
        <f ca="1">SUMIF('Cap ngam'!B$16:G$400,kl!$B103,'Cap ngam'!G$16:G$400)</f>
        <v>0</v>
      </c>
      <c r="AM103" s="776">
        <v>1.25</v>
      </c>
      <c r="AN103" s="775">
        <f t="shared" ca="1" si="46"/>
        <v>0</v>
      </c>
      <c r="AO103" s="775">
        <f t="shared" ca="1" si="47"/>
        <v>0</v>
      </c>
      <c r="AP103" s="775">
        <f t="shared" ca="1" si="48"/>
        <v>0</v>
      </c>
      <c r="AQ103" s="775">
        <f t="shared" ca="1" si="49"/>
        <v>0</v>
      </c>
      <c r="AR103" s="775">
        <f t="shared" ca="1" si="50"/>
        <v>0</v>
      </c>
      <c r="AS103" s="775">
        <f t="shared" ca="1" si="51"/>
        <v>0</v>
      </c>
      <c r="AT103" s="775">
        <f t="shared" ca="1" si="52"/>
        <v>0</v>
      </c>
      <c r="AU103" s="775">
        <f t="shared" ca="1" si="53"/>
        <v>0</v>
      </c>
      <c r="AV103" s="775">
        <f t="shared" ca="1" si="54"/>
        <v>0</v>
      </c>
      <c r="AW103" s="775">
        <f t="shared" ca="1" si="55"/>
        <v>0</v>
      </c>
      <c r="AX103" s="775">
        <f t="shared" si="56"/>
        <v>0</v>
      </c>
      <c r="AY103" s="775">
        <f t="shared" ca="1" si="57"/>
        <v>0</v>
      </c>
      <c r="AZ103" s="775">
        <f t="shared" si="58"/>
        <v>0</v>
      </c>
      <c r="BA103" s="775">
        <f t="shared" ca="1" si="39"/>
        <v>0</v>
      </c>
      <c r="BB103" s="775">
        <f t="shared" ca="1" si="40"/>
        <v>0</v>
      </c>
      <c r="BC103" s="775">
        <f t="shared" ca="1" si="41"/>
        <v>0</v>
      </c>
      <c r="BD103" s="775">
        <f t="shared" ca="1" si="42"/>
        <v>0</v>
      </c>
      <c r="BE103" s="775">
        <f t="shared" ca="1" si="43"/>
        <v>0</v>
      </c>
      <c r="BF103" s="775">
        <f t="shared" ca="1" si="44"/>
        <v>0</v>
      </c>
      <c r="BG103" s="775">
        <f t="shared" ca="1" si="45"/>
        <v>0</v>
      </c>
      <c r="BH103" s="775">
        <f t="shared" ca="1" si="59"/>
        <v>0</v>
      </c>
      <c r="BI103" s="775">
        <f t="shared" ca="1" si="60"/>
        <v>0</v>
      </c>
      <c r="BJ103" s="775">
        <f t="shared" ca="1" si="61"/>
        <v>0</v>
      </c>
      <c r="BK103" s="775">
        <f t="shared" ca="1" si="62"/>
        <v>0</v>
      </c>
      <c r="BL103" s="775">
        <f t="shared" ca="1" si="63"/>
        <v>0</v>
      </c>
      <c r="BM103" s="775">
        <f t="shared" ca="1" si="64"/>
        <v>0</v>
      </c>
      <c r="BN103" s="775">
        <f t="shared" ca="1" si="65"/>
        <v>0</v>
      </c>
      <c r="BO103" s="775">
        <f t="shared" ca="1" si="66"/>
        <v>0</v>
      </c>
      <c r="BP103" s="775">
        <f t="shared" ca="1" si="67"/>
        <v>0</v>
      </c>
      <c r="BQ103" s="775">
        <f t="shared" ca="1" si="10"/>
        <v>0</v>
      </c>
      <c r="BR103" s="775">
        <f t="shared" ca="1" si="68"/>
        <v>0</v>
      </c>
    </row>
    <row r="104" spans="1:70">
      <c r="A104" s="767" t="str">
        <f ca="1">IF(F104&lt;&gt;0,"X","")</f>
        <v/>
      </c>
      <c r="B104" s="789" t="s">
        <v>4100</v>
      </c>
      <c r="C104" s="188" t="str">
        <f ca="1">IF(F104=0,"",COUNTIF($F$78:$F104,"&gt;0"))</f>
        <v/>
      </c>
      <c r="D104" s="778" t="str">
        <f>VLOOKUP($B104,dongia1,DG!$C$5,)</f>
        <v>Boulon móc 16x500+ 1 long đền vuông D18-50x50x3/Zn</v>
      </c>
      <c r="E104" s="555" t="str">
        <f>VLOOKUP($B104,dongia1,DG!$D$5,)</f>
        <v>bộ</v>
      </c>
      <c r="F104" s="779">
        <f ca="1">G104+H104</f>
        <v>0</v>
      </c>
      <c r="G104" s="775">
        <f ca="1">SUM(AC104:AL104)</f>
        <v>0</v>
      </c>
      <c r="H104" s="775">
        <f ca="1">SUMIF(CT_tram!$B$33:$G$3559,kl!B104,CT_tram!$G$33:$G$3559)</f>
        <v>0</v>
      </c>
      <c r="I104" s="775">
        <f ca="1">SUMIF(CT_tram!$B$34:$G$115,$B104,CT_tram!$G$34:$G$115)</f>
        <v>0</v>
      </c>
      <c r="J104" s="775">
        <f ca="1">SUMIF(CT_tram!$B$122:$G$204,$B104,CT_tram!$G$122:$G$204)</f>
        <v>0</v>
      </c>
      <c r="K104" s="775">
        <f ca="1">SUMIF(CT_tram!$B$211:$G$293,$B104,CT_tram!$G$211:$G$293)</f>
        <v>0</v>
      </c>
      <c r="L104" s="775">
        <f ca="1">SUMIF(CT_tram!$B$300:$G$374,$B104,CT_tram!$G$300:$G$374)</f>
        <v>0</v>
      </c>
      <c r="M104" s="775">
        <f ca="1">SUMIF(CT_tram!$B$381:$G$471,$B104,CT_tram!$G$381:$G$471)</f>
        <v>0</v>
      </c>
      <c r="N104" s="775">
        <f ca="1">SUMIF(CT_tram!$B$478:$G$560,$B104,CT_tram!$G$478:$G$560)</f>
        <v>0</v>
      </c>
      <c r="O104" s="775">
        <f ca="1">SUMIF(CT_tram!$B$567:$G$653,$B104,CT_tram!$G$567:$G$653)</f>
        <v>0</v>
      </c>
      <c r="P104" s="775">
        <f ca="1">SUMIF(CT_tram!$B$661:$G$738,$B104,CT_tram!$G$661:$G$738)</f>
        <v>0</v>
      </c>
      <c r="Q104" s="775">
        <f ca="1">SUMIF(CT_tram!$B$745:$G$899,$B104,CT_tram!$G$745:$G$899)</f>
        <v>0</v>
      </c>
      <c r="R104" s="775">
        <f ca="1">SUMIF(CT_tram!$B$907:$G$995,$B104,CT_tram!$G$907:$G$995)</f>
        <v>0</v>
      </c>
      <c r="S104" s="775"/>
      <c r="T104" s="775">
        <f ca="1">SUMIF(CT_tram!$B$1004:$G$1097,B104,CT_tram!$G$1004:$G$1097)</f>
        <v>0</v>
      </c>
      <c r="U104" s="775"/>
      <c r="V104" s="775">
        <f ca="1">SUMIF(CT_tram!$B$1226:$G$1352,kl!B104,CT_tram!$G$1226:$G$1352)</f>
        <v>0</v>
      </c>
      <c r="W104" s="780">
        <f ca="1">SUMIF(CT_tram!$B$1105:$G$1219,kl!B104,CT_tram!$G$1105:$G$1219)</f>
        <v>0</v>
      </c>
      <c r="X104" s="775">
        <f ca="1">SUMIF(CT_tram!$B$1359:$G$1504,kl!B104,CT_tram!$G$1359:$G$1504)</f>
        <v>0</v>
      </c>
      <c r="Y104" s="775">
        <f ca="1">SUMIF(CT_tram!$B$1511:$G$1625,kl!B104,CT_tram!$G$1511:$G$1625)</f>
        <v>0</v>
      </c>
      <c r="Z104" s="775">
        <f ca="1">SUMIF(CT_tram!$B$1632:$G$2211,kl!B104,CT_tram!$G$1632:$G$2211)</f>
        <v>0</v>
      </c>
      <c r="AA104" s="775">
        <f ca="1">SUMIF(CT_tram!$B$2243:$G$2384,kl!B104,CT_tram!$G$2243:$G$2384)</f>
        <v>0</v>
      </c>
      <c r="AB104" s="775">
        <f ca="1">SUMIF(CT_tram!$B$2391:$G$2563,kl!B104,CT_tram!$G$2391:$G$2563)</f>
        <v>0</v>
      </c>
      <c r="AC104" s="775">
        <f ca="1">SUMIF(chitiet!$B$13:$N$2352,kl!$B104,chitiet!$I$13:$I$2352)</f>
        <v>0</v>
      </c>
      <c r="AD104" s="775">
        <f ca="1">SUMIF(chitiet!$B$13:$N$2352,kl!$B104,chitiet!$J$13:$J$2352)</f>
        <v>0</v>
      </c>
      <c r="AE104" s="775">
        <f ca="1">SUMIF(chitiet!$B$13:$N$2352,kl!$B104,chitiet!$K$13:$K$2352)</f>
        <v>0</v>
      </c>
      <c r="AF104" s="775">
        <f ca="1">SUMIF(chitiet!$B$13:$N$2352,kl!$B104,chitiet!$L$13:$L$2352)</f>
        <v>0</v>
      </c>
      <c r="AG104" s="775">
        <f ca="1">SUMIF(chitiet!$B$13:$N$2352,kl!$B104,chitiet!$M$13)</f>
        <v>0</v>
      </c>
      <c r="AH104" s="775">
        <f ca="1">SUMIF(chitiet!$B$13:$N$2352,kl!$B104,chitiet!$N$13:$N$2352)</f>
        <v>0</v>
      </c>
      <c r="AI104" s="775">
        <f ca="1">SUMIF(chitiet!$B$13:$N$2352,kl!$B104,chitiet!$O$13:$O$2352)</f>
        <v>0</v>
      </c>
      <c r="AJ104" s="775">
        <f ca="1">SUMIF('Cap ngam'!$B$631:$G$723,kl!$B104,'Cap ngam'!$G$631:$G$723)</f>
        <v>0</v>
      </c>
      <c r="AK104" s="775">
        <f ca="1">SUMIF('Cap ngam'!$B$403:$G$628,kl!$B104,'Cap ngam'!G$403:G$628)</f>
        <v>0</v>
      </c>
      <c r="AL104" s="775">
        <f ca="1">SUMIF('Cap ngam'!B$16:G$400,kl!$B104,'Cap ngam'!G$16:G$400)</f>
        <v>0</v>
      </c>
      <c r="AM104" s="776">
        <v>2.25</v>
      </c>
      <c r="AN104" s="775">
        <f t="shared" ca="1" si="46"/>
        <v>0</v>
      </c>
      <c r="AO104" s="775">
        <f t="shared" ca="1" si="47"/>
        <v>0</v>
      </c>
      <c r="AP104" s="775">
        <f t="shared" ca="1" si="48"/>
        <v>0</v>
      </c>
      <c r="AQ104" s="775">
        <f t="shared" ca="1" si="49"/>
        <v>0</v>
      </c>
      <c r="AR104" s="775">
        <f t="shared" ca="1" si="50"/>
        <v>0</v>
      </c>
      <c r="AS104" s="775">
        <f t="shared" ca="1" si="51"/>
        <v>0</v>
      </c>
      <c r="AT104" s="775">
        <f t="shared" ca="1" si="52"/>
        <v>0</v>
      </c>
      <c r="AU104" s="775">
        <f t="shared" ca="1" si="53"/>
        <v>0</v>
      </c>
      <c r="AV104" s="775">
        <f t="shared" ca="1" si="54"/>
        <v>0</v>
      </c>
      <c r="AW104" s="775">
        <f t="shared" ca="1" si="55"/>
        <v>0</v>
      </c>
      <c r="AX104" s="775">
        <f t="shared" si="56"/>
        <v>0</v>
      </c>
      <c r="AY104" s="775">
        <f t="shared" ca="1" si="57"/>
        <v>0</v>
      </c>
      <c r="AZ104" s="775">
        <f t="shared" si="58"/>
        <v>0</v>
      </c>
      <c r="BA104" s="775">
        <f t="shared" ca="1" si="39"/>
        <v>0</v>
      </c>
      <c r="BB104" s="775">
        <f t="shared" ca="1" si="40"/>
        <v>0</v>
      </c>
      <c r="BC104" s="775">
        <f t="shared" ca="1" si="41"/>
        <v>0</v>
      </c>
      <c r="BD104" s="775">
        <f t="shared" ca="1" si="42"/>
        <v>0</v>
      </c>
      <c r="BE104" s="775">
        <f t="shared" ca="1" si="43"/>
        <v>0</v>
      </c>
      <c r="BF104" s="775">
        <f t="shared" ca="1" si="44"/>
        <v>0</v>
      </c>
      <c r="BG104" s="775">
        <f t="shared" ca="1" si="45"/>
        <v>0</v>
      </c>
      <c r="BH104" s="775">
        <f t="shared" ca="1" si="59"/>
        <v>0</v>
      </c>
      <c r="BI104" s="775">
        <f t="shared" ca="1" si="60"/>
        <v>0</v>
      </c>
      <c r="BJ104" s="775">
        <f t="shared" ca="1" si="61"/>
        <v>0</v>
      </c>
      <c r="BK104" s="775">
        <f t="shared" ca="1" si="62"/>
        <v>0</v>
      </c>
      <c r="BL104" s="775">
        <f t="shared" ca="1" si="63"/>
        <v>0</v>
      </c>
      <c r="BM104" s="775">
        <f t="shared" ca="1" si="64"/>
        <v>0</v>
      </c>
      <c r="BN104" s="775">
        <f t="shared" ca="1" si="65"/>
        <v>0</v>
      </c>
      <c r="BO104" s="775">
        <f t="shared" ca="1" si="66"/>
        <v>0</v>
      </c>
      <c r="BP104" s="775">
        <f t="shared" ca="1" si="67"/>
        <v>0</v>
      </c>
      <c r="BQ104" s="775">
        <f t="shared" ca="1" si="10"/>
        <v>0</v>
      </c>
      <c r="BR104" s="775">
        <f t="shared" ca="1" si="68"/>
        <v>0</v>
      </c>
    </row>
    <row r="105" spans="1:70">
      <c r="A105" s="767" t="str">
        <f t="shared" ca="1" si="73"/>
        <v/>
      </c>
      <c r="B105" s="786" t="s">
        <v>1045</v>
      </c>
      <c r="C105" s="188" t="str">
        <f ca="1">IF(F105=0,"",COUNTIF($F$78:$F105,"&gt;0"))</f>
        <v/>
      </c>
      <c r="D105" s="778" t="str">
        <f>VLOOKUP($B105,dongia1,DG!$C$5,)</f>
        <v>Boulon 22x1000+ 2 long đền vuông D24-60x60x3/Zn</v>
      </c>
      <c r="E105" s="555" t="str">
        <f>VLOOKUP($B105,dongia1,DG!$D$5,)</f>
        <v>bộ</v>
      </c>
      <c r="F105" s="779">
        <f t="shared" ca="1" si="74"/>
        <v>0</v>
      </c>
      <c r="G105" s="775">
        <f t="shared" ca="1" si="14"/>
        <v>0</v>
      </c>
      <c r="H105" s="775">
        <f ca="1">SUMIF(CT_tram!$B$33:$G$3559,kl!B105,CT_tram!$G$33:$G$3559)</f>
        <v>0</v>
      </c>
      <c r="I105" s="775">
        <f ca="1">SUMIF(CT_tram!$B$34:$G$115,$B105,CT_tram!$G$34:$G$115)</f>
        <v>0</v>
      </c>
      <c r="J105" s="775">
        <f ca="1">SUMIF(CT_tram!$B$122:$G$204,$B105,CT_tram!$G$122:$G$204)</f>
        <v>0</v>
      </c>
      <c r="K105" s="775">
        <f ca="1">SUMIF(CT_tram!$B$211:$G$293,$B105,CT_tram!$G$211:$G$293)</f>
        <v>0</v>
      </c>
      <c r="L105" s="775">
        <f ca="1">SUMIF(CT_tram!$B$300:$G$374,$B105,CT_tram!$G$300:$G$374)</f>
        <v>0</v>
      </c>
      <c r="M105" s="775">
        <f ca="1">SUMIF(CT_tram!$B$381:$G$471,$B105,CT_tram!$G$381:$G$471)</f>
        <v>0</v>
      </c>
      <c r="N105" s="775">
        <f ca="1">SUMIF(CT_tram!$B$478:$G$560,$B105,CT_tram!$G$478:$G$560)</f>
        <v>0</v>
      </c>
      <c r="O105" s="775">
        <f ca="1">SUMIF(CT_tram!$B$567:$G$653,$B105,CT_tram!$G$567:$G$653)</f>
        <v>0</v>
      </c>
      <c r="P105" s="775">
        <f ca="1">SUMIF(CT_tram!$B$661:$G$738,$B105,CT_tram!$G$661:$G$738)</f>
        <v>0</v>
      </c>
      <c r="Q105" s="775">
        <f ca="1">SUMIF(CT_tram!$B$745:$G$899,$B105,CT_tram!$G$745:$G$899)</f>
        <v>0</v>
      </c>
      <c r="R105" s="775">
        <f ca="1">SUMIF(CT_tram!$B$907:$G$995,$B105,CT_tram!$G$907:$G$995)</f>
        <v>0</v>
      </c>
      <c r="S105" s="775"/>
      <c r="T105" s="775">
        <f ca="1">SUMIF(CT_tram!$B$1004:$G$1097,B105,CT_tram!$G$1004:$G$1097)</f>
        <v>0</v>
      </c>
      <c r="U105" s="775"/>
      <c r="V105" s="775">
        <f ca="1">SUMIF(CT_tram!$B$1226:$G$1352,kl!B105,CT_tram!$G$1226:$G$1352)</f>
        <v>0</v>
      </c>
      <c r="W105" s="780">
        <f ca="1">SUMIF(CT_tram!$B$1105:$G$1219,kl!B105,CT_tram!$G$1105:$G$1219)</f>
        <v>0</v>
      </c>
      <c r="X105" s="775">
        <f ca="1">SUMIF(CT_tram!$B$1359:$G$1504,kl!B105,CT_tram!$G$1359:$G$1504)</f>
        <v>0</v>
      </c>
      <c r="Y105" s="775">
        <f ca="1">SUMIF(CT_tram!$B$1511:$G$1625,kl!B105,CT_tram!$G$1511:$G$1625)</f>
        <v>0</v>
      </c>
      <c r="Z105" s="775">
        <f ca="1">SUMIF(CT_tram!$B$1632:$G$2211,kl!B105,CT_tram!$G$1632:$G$2211)</f>
        <v>0</v>
      </c>
      <c r="AA105" s="775">
        <f ca="1">SUMIF(CT_tram!$B$2243:$G$2384,kl!B105,CT_tram!$G$2243:$G$2384)</f>
        <v>0</v>
      </c>
      <c r="AB105" s="775">
        <f ca="1">SUMIF(CT_tram!$B$2391:$G$2563,kl!B105,CT_tram!$G$2391:$G$2563)</f>
        <v>0</v>
      </c>
      <c r="AC105" s="775">
        <f ca="1">SUMIF(chitiet!$B$13:$N$2352,kl!$B105,chitiet!$I$13:$I$2352)</f>
        <v>0</v>
      </c>
      <c r="AD105" s="775">
        <f ca="1">SUMIF(chitiet!$B$13:$N$2352,kl!$B105,chitiet!$J$13:$J$2352)</f>
        <v>0</v>
      </c>
      <c r="AE105" s="775">
        <f ca="1">SUMIF(chitiet!$B$13:$N$2352,kl!$B105,chitiet!$K$13:$K$2352)</f>
        <v>0</v>
      </c>
      <c r="AF105" s="775">
        <f ca="1">SUMIF(chitiet!$B$13:$N$2352,kl!$B105,chitiet!$L$13:$L$2352)</f>
        <v>0</v>
      </c>
      <c r="AG105" s="775">
        <f ca="1">SUMIF(chitiet!$B$13:$N$2352,kl!$B105,chitiet!$M$13)</f>
        <v>0</v>
      </c>
      <c r="AH105" s="775">
        <f ca="1">SUMIF(chitiet!$B$13:$N$2352,kl!$B105,chitiet!$N$13:$N$2352)</f>
        <v>0</v>
      </c>
      <c r="AI105" s="775">
        <f ca="1">SUMIF(chitiet!$B$13:$N$2352,kl!$B105,chitiet!$O$13:$O$2352)</f>
        <v>0</v>
      </c>
      <c r="AJ105" s="775">
        <f ca="1">SUMIF('Cap ngam'!$B$631:$G$723,kl!$B105,'Cap ngam'!$G$631:$G$723)</f>
        <v>0</v>
      </c>
      <c r="AK105" s="775">
        <f ca="1">SUMIF('Cap ngam'!$B$403:$G$628,kl!$B105,'Cap ngam'!G$403:G$628)</f>
        <v>0</v>
      </c>
      <c r="AL105" s="775">
        <f ca="1">SUMIF('Cap ngam'!B$16:G$400,kl!$B105,'Cap ngam'!G$16:G$400)</f>
        <v>0</v>
      </c>
      <c r="AM105" s="776">
        <v>2.5</v>
      </c>
      <c r="AN105" s="775">
        <f t="shared" ca="1" si="46"/>
        <v>0</v>
      </c>
      <c r="AO105" s="775">
        <f t="shared" ca="1" si="47"/>
        <v>0</v>
      </c>
      <c r="AP105" s="775">
        <f t="shared" ca="1" si="48"/>
        <v>0</v>
      </c>
      <c r="AQ105" s="775">
        <f t="shared" ca="1" si="49"/>
        <v>0</v>
      </c>
      <c r="AR105" s="775">
        <f t="shared" ca="1" si="50"/>
        <v>0</v>
      </c>
      <c r="AS105" s="775">
        <f t="shared" ca="1" si="51"/>
        <v>0</v>
      </c>
      <c r="AT105" s="775">
        <f t="shared" ca="1" si="52"/>
        <v>0</v>
      </c>
      <c r="AU105" s="775">
        <f t="shared" ca="1" si="53"/>
        <v>0</v>
      </c>
      <c r="AV105" s="775">
        <f t="shared" ca="1" si="54"/>
        <v>0</v>
      </c>
      <c r="AW105" s="775">
        <f t="shared" ca="1" si="55"/>
        <v>0</v>
      </c>
      <c r="AX105" s="775">
        <f t="shared" si="56"/>
        <v>0</v>
      </c>
      <c r="AY105" s="775">
        <f t="shared" ca="1" si="57"/>
        <v>0</v>
      </c>
      <c r="AZ105" s="775">
        <f t="shared" si="58"/>
        <v>0</v>
      </c>
      <c r="BA105" s="775">
        <f t="shared" ca="1" si="39"/>
        <v>0</v>
      </c>
      <c r="BB105" s="775">
        <f t="shared" ca="1" si="40"/>
        <v>0</v>
      </c>
      <c r="BC105" s="775">
        <f t="shared" ca="1" si="41"/>
        <v>0</v>
      </c>
      <c r="BD105" s="775">
        <f t="shared" ca="1" si="42"/>
        <v>0</v>
      </c>
      <c r="BE105" s="775">
        <f t="shared" ca="1" si="43"/>
        <v>0</v>
      </c>
      <c r="BF105" s="775">
        <f t="shared" ca="1" si="44"/>
        <v>0</v>
      </c>
      <c r="BG105" s="775">
        <f t="shared" ca="1" si="45"/>
        <v>0</v>
      </c>
      <c r="BH105" s="775">
        <f t="shared" ca="1" si="59"/>
        <v>0</v>
      </c>
      <c r="BI105" s="775">
        <f t="shared" ca="1" si="60"/>
        <v>0</v>
      </c>
      <c r="BJ105" s="775">
        <f t="shared" ca="1" si="61"/>
        <v>0</v>
      </c>
      <c r="BK105" s="775">
        <f t="shared" ca="1" si="62"/>
        <v>0</v>
      </c>
      <c r="BL105" s="775">
        <f t="shared" ca="1" si="63"/>
        <v>0</v>
      </c>
      <c r="BM105" s="775">
        <f t="shared" ca="1" si="64"/>
        <v>0</v>
      </c>
      <c r="BN105" s="775">
        <f t="shared" ca="1" si="65"/>
        <v>0</v>
      </c>
      <c r="BO105" s="775">
        <f t="shared" ca="1" si="66"/>
        <v>0</v>
      </c>
      <c r="BP105" s="775">
        <f t="shared" ca="1" si="67"/>
        <v>0</v>
      </c>
      <c r="BQ105" s="775">
        <f t="shared" ca="1" si="10"/>
        <v>0</v>
      </c>
      <c r="BR105" s="775">
        <f t="shared" ca="1" si="68"/>
        <v>0</v>
      </c>
    </row>
    <row r="106" spans="1:70">
      <c r="A106" s="767" t="str">
        <f t="shared" ca="1" si="73"/>
        <v/>
      </c>
      <c r="B106" s="789" t="s">
        <v>2019</v>
      </c>
      <c r="C106" s="188" t="str">
        <f ca="1">IF(F106=0,"",COUNTIF($F$78:$F106,"&gt;0"))</f>
        <v/>
      </c>
      <c r="D106" s="778" t="str">
        <f>VLOOKUP($B106,dongia1,DG!$C$5,)</f>
        <v>Boulon 22x500+ 2 long đền vuông D24-60x60x3/Zn</v>
      </c>
      <c r="E106" s="555" t="str">
        <f>VLOOKUP($B106,dongia1,DG!$D$5,)</f>
        <v>bộ</v>
      </c>
      <c r="F106" s="779">
        <f t="shared" ca="1" si="74"/>
        <v>0</v>
      </c>
      <c r="G106" s="775">
        <f t="shared" ca="1" si="14"/>
        <v>0</v>
      </c>
      <c r="H106" s="775">
        <f ca="1">SUMIF(CT_tram!$B$33:$G$3559,kl!B106,CT_tram!$G$33:$G$3559)</f>
        <v>0</v>
      </c>
      <c r="I106" s="775">
        <f ca="1">SUMIF(CT_tram!$B$34:$G$115,$B106,CT_tram!$G$34:$G$115)</f>
        <v>0</v>
      </c>
      <c r="J106" s="775">
        <f ca="1">SUMIF(CT_tram!$B$122:$G$204,$B106,CT_tram!$G$122:$G$204)</f>
        <v>0</v>
      </c>
      <c r="K106" s="775">
        <f ca="1">SUMIF(CT_tram!$B$211:$G$293,$B106,CT_tram!$G$211:$G$293)</f>
        <v>0</v>
      </c>
      <c r="L106" s="775">
        <f ca="1">SUMIF(CT_tram!$B$300:$G$374,$B106,CT_tram!$G$300:$G$374)</f>
        <v>0</v>
      </c>
      <c r="M106" s="775">
        <f ca="1">SUMIF(CT_tram!$B$381:$G$471,$B106,CT_tram!$G$381:$G$471)</f>
        <v>0</v>
      </c>
      <c r="N106" s="775">
        <f ca="1">SUMIF(CT_tram!$B$478:$G$560,$B106,CT_tram!$G$478:$G$560)</f>
        <v>0</v>
      </c>
      <c r="O106" s="775">
        <f ca="1">SUMIF(CT_tram!$B$567:$G$653,$B106,CT_tram!$G$567:$G$653)</f>
        <v>0</v>
      </c>
      <c r="P106" s="775">
        <f ca="1">SUMIF(CT_tram!$B$661:$G$738,$B106,CT_tram!$G$661:$G$738)</f>
        <v>0</v>
      </c>
      <c r="Q106" s="775">
        <f ca="1">SUMIF(CT_tram!$B$745:$G$899,$B106,CT_tram!$G$745:$G$899)</f>
        <v>0</v>
      </c>
      <c r="R106" s="775">
        <f ca="1">SUMIF(CT_tram!$B$907:$G$995,$B106,CT_tram!$G$907:$G$995)</f>
        <v>0</v>
      </c>
      <c r="S106" s="775"/>
      <c r="T106" s="775">
        <f ca="1">SUMIF(CT_tram!$B$1004:$G$1097,B106,CT_tram!$G$1004:$G$1097)</f>
        <v>0</v>
      </c>
      <c r="U106" s="775"/>
      <c r="V106" s="775">
        <f ca="1">SUMIF(CT_tram!$B$1226:$G$1352,kl!B106,CT_tram!$G$1226:$G$1352)</f>
        <v>0</v>
      </c>
      <c r="W106" s="780">
        <f ca="1">SUMIF(CT_tram!$B$1105:$G$1219,kl!B106,CT_tram!$G$1105:$G$1219)</f>
        <v>0</v>
      </c>
      <c r="X106" s="775">
        <f ca="1">SUMIF(CT_tram!$B$1359:$G$1504,kl!B106,CT_tram!$G$1359:$G$1504)</f>
        <v>0</v>
      </c>
      <c r="Y106" s="775">
        <f ca="1">SUMIF(CT_tram!$B$1511:$G$1625,kl!B106,CT_tram!$G$1511:$G$1625)</f>
        <v>0</v>
      </c>
      <c r="Z106" s="775">
        <f ca="1">SUMIF(CT_tram!$B$1632:$G$2211,kl!B106,CT_tram!$G$1632:$G$2211)</f>
        <v>0</v>
      </c>
      <c r="AA106" s="775">
        <f ca="1">SUMIF(CT_tram!$B$2243:$G$2384,kl!B106,CT_tram!$G$2243:$G$2384)</f>
        <v>0</v>
      </c>
      <c r="AB106" s="775">
        <f ca="1">SUMIF(CT_tram!$B$2391:$G$2563,kl!B106,CT_tram!$G$2391:$G$2563)</f>
        <v>0</v>
      </c>
      <c r="AC106" s="775">
        <f ca="1">SUMIF(chitiet!$B$13:$N$2352,kl!$B106,chitiet!$I$13:$I$2352)</f>
        <v>0</v>
      </c>
      <c r="AD106" s="775">
        <f ca="1">SUMIF(chitiet!$B$13:$N$2352,kl!$B106,chitiet!$J$13:$J$2352)</f>
        <v>0</v>
      </c>
      <c r="AE106" s="775">
        <f ca="1">SUMIF(chitiet!$B$13:$N$2352,kl!$B106,chitiet!$K$13:$K$2352)</f>
        <v>0</v>
      </c>
      <c r="AF106" s="775">
        <f ca="1">SUMIF(chitiet!$B$13:$N$2352,kl!$B106,chitiet!$L$13:$L$2352)</f>
        <v>0</v>
      </c>
      <c r="AG106" s="775">
        <f ca="1">SUMIF(chitiet!$B$13:$N$2352,kl!$B106,chitiet!$M$13)</f>
        <v>0</v>
      </c>
      <c r="AH106" s="775">
        <f ca="1">SUMIF(chitiet!$B$13:$N$2352,kl!$B106,chitiet!$N$13:$N$2352)</f>
        <v>0</v>
      </c>
      <c r="AI106" s="775">
        <f ca="1">SUMIF(chitiet!$B$13:$N$2352,kl!$B106,chitiet!$O$13:$O$2352)</f>
        <v>0</v>
      </c>
      <c r="AJ106" s="775">
        <f ca="1">SUMIF('Cap ngam'!$B$631:$G$723,kl!$B106,'Cap ngam'!$G$631:$G$723)</f>
        <v>0</v>
      </c>
      <c r="AK106" s="775">
        <f ca="1">SUMIF('Cap ngam'!$B$403:$G$628,kl!$B106,'Cap ngam'!G$403:G$628)</f>
        <v>0</v>
      </c>
      <c r="AL106" s="775">
        <f ca="1">SUMIF('Cap ngam'!B$16:G$400,kl!$B106,'Cap ngam'!G$16:G$400)</f>
        <v>0</v>
      </c>
      <c r="AM106" s="776">
        <v>0.6</v>
      </c>
      <c r="AN106" s="775">
        <f t="shared" ca="1" si="46"/>
        <v>0</v>
      </c>
      <c r="AO106" s="775">
        <f t="shared" ca="1" si="47"/>
        <v>0</v>
      </c>
      <c r="AP106" s="775">
        <f t="shared" ca="1" si="48"/>
        <v>0</v>
      </c>
      <c r="AQ106" s="775">
        <f t="shared" ca="1" si="49"/>
        <v>0</v>
      </c>
      <c r="AR106" s="775">
        <f t="shared" ca="1" si="50"/>
        <v>0</v>
      </c>
      <c r="AS106" s="775">
        <f t="shared" ca="1" si="51"/>
        <v>0</v>
      </c>
      <c r="AT106" s="775">
        <f t="shared" ca="1" si="52"/>
        <v>0</v>
      </c>
      <c r="AU106" s="775">
        <f t="shared" ca="1" si="53"/>
        <v>0</v>
      </c>
      <c r="AV106" s="775">
        <f t="shared" ca="1" si="54"/>
        <v>0</v>
      </c>
      <c r="AW106" s="775">
        <f t="shared" ca="1" si="55"/>
        <v>0</v>
      </c>
      <c r="AX106" s="775">
        <f t="shared" si="56"/>
        <v>0</v>
      </c>
      <c r="AY106" s="775">
        <f t="shared" ca="1" si="57"/>
        <v>0</v>
      </c>
      <c r="AZ106" s="775">
        <f t="shared" si="58"/>
        <v>0</v>
      </c>
      <c r="BA106" s="775">
        <f t="shared" ca="1" si="39"/>
        <v>0</v>
      </c>
      <c r="BB106" s="775">
        <f t="shared" ca="1" si="40"/>
        <v>0</v>
      </c>
      <c r="BC106" s="775">
        <f t="shared" ca="1" si="41"/>
        <v>0</v>
      </c>
      <c r="BD106" s="775">
        <f t="shared" ca="1" si="42"/>
        <v>0</v>
      </c>
      <c r="BE106" s="775">
        <f t="shared" ca="1" si="43"/>
        <v>0</v>
      </c>
      <c r="BF106" s="775">
        <f t="shared" ca="1" si="44"/>
        <v>0</v>
      </c>
      <c r="BG106" s="775">
        <f t="shared" ca="1" si="45"/>
        <v>0</v>
      </c>
      <c r="BH106" s="775">
        <f t="shared" ca="1" si="59"/>
        <v>0</v>
      </c>
      <c r="BI106" s="775">
        <f t="shared" ca="1" si="60"/>
        <v>0</v>
      </c>
      <c r="BJ106" s="775">
        <f t="shared" ca="1" si="61"/>
        <v>0</v>
      </c>
      <c r="BK106" s="775">
        <f t="shared" ca="1" si="62"/>
        <v>0</v>
      </c>
      <c r="BL106" s="775">
        <f t="shared" ca="1" si="63"/>
        <v>0</v>
      </c>
      <c r="BM106" s="775">
        <f t="shared" ca="1" si="64"/>
        <v>0</v>
      </c>
      <c r="BN106" s="775">
        <f t="shared" ca="1" si="65"/>
        <v>0</v>
      </c>
      <c r="BO106" s="775">
        <f t="shared" ca="1" si="66"/>
        <v>0</v>
      </c>
      <c r="BP106" s="775">
        <f t="shared" ca="1" si="67"/>
        <v>0</v>
      </c>
      <c r="BQ106" s="775">
        <f t="shared" ca="1" si="10"/>
        <v>0</v>
      </c>
      <c r="BR106" s="775">
        <f t="shared" ca="1" si="68"/>
        <v>0</v>
      </c>
    </row>
    <row r="107" spans="1:70">
      <c r="A107" s="767" t="str">
        <f t="shared" ca="1" si="73"/>
        <v/>
      </c>
      <c r="B107" s="789" t="s">
        <v>2020</v>
      </c>
      <c r="C107" s="188" t="str">
        <f ca="1">IF(F107=0,"",COUNTIF($F$78:$F107,"&gt;0"))</f>
        <v/>
      </c>
      <c r="D107" s="778" t="str">
        <f>VLOOKUP($B107,dongia1,DG!$C$5,)</f>
        <v>Boulon 22x550+ 2 long đền vuông D24-60x60x3/Zn</v>
      </c>
      <c r="E107" s="555" t="str">
        <f>VLOOKUP($B107,dongia1,DG!$D$5,)</f>
        <v>bộ</v>
      </c>
      <c r="F107" s="779">
        <f t="shared" ca="1" si="74"/>
        <v>0</v>
      </c>
      <c r="G107" s="775">
        <f t="shared" ca="1" si="14"/>
        <v>0</v>
      </c>
      <c r="H107" s="775">
        <f ca="1">SUMIF(CT_tram!$B$33:$G$3559,kl!B107,CT_tram!$G$33:$G$3559)</f>
        <v>0</v>
      </c>
      <c r="I107" s="775">
        <f ca="1">SUMIF(CT_tram!$B$34:$G$115,$B107,CT_tram!$G$34:$G$115)</f>
        <v>0</v>
      </c>
      <c r="J107" s="775">
        <f ca="1">SUMIF(CT_tram!$B$122:$G$204,$B107,CT_tram!$G$122:$G$204)</f>
        <v>0</v>
      </c>
      <c r="K107" s="775">
        <f ca="1">SUMIF(CT_tram!$B$211:$G$293,$B107,CT_tram!$G$211:$G$293)</f>
        <v>0</v>
      </c>
      <c r="L107" s="775">
        <f ca="1">SUMIF(CT_tram!$B$300:$G$374,$B107,CT_tram!$G$300:$G$374)</f>
        <v>0</v>
      </c>
      <c r="M107" s="775">
        <f ca="1">SUMIF(CT_tram!$B$381:$G$471,$B107,CT_tram!$G$381:$G$471)</f>
        <v>0</v>
      </c>
      <c r="N107" s="775">
        <f ca="1">SUMIF(CT_tram!$B$478:$G$560,$B107,CT_tram!$G$478:$G$560)</f>
        <v>0</v>
      </c>
      <c r="O107" s="775">
        <f ca="1">SUMIF(CT_tram!$B$567:$G$653,$B107,CT_tram!$G$567:$G$653)</f>
        <v>0</v>
      </c>
      <c r="P107" s="775">
        <f ca="1">SUMIF(CT_tram!$B$661:$G$738,$B107,CT_tram!$G$661:$G$738)</f>
        <v>0</v>
      </c>
      <c r="Q107" s="775">
        <f ca="1">SUMIF(CT_tram!$B$745:$G$899,$B107,CT_tram!$G$745:$G$899)</f>
        <v>0</v>
      </c>
      <c r="R107" s="775">
        <f ca="1">SUMIF(CT_tram!$B$907:$G$995,$B107,CT_tram!$G$907:$G$995)</f>
        <v>0</v>
      </c>
      <c r="S107" s="775"/>
      <c r="T107" s="775">
        <f ca="1">SUMIF(CT_tram!$B$1004:$G$1097,B107,CT_tram!$G$1004:$G$1097)</f>
        <v>0</v>
      </c>
      <c r="U107" s="775"/>
      <c r="V107" s="775">
        <f ca="1">SUMIF(CT_tram!$B$1226:$G$1352,kl!B107,CT_tram!$G$1226:$G$1352)</f>
        <v>0</v>
      </c>
      <c r="W107" s="780">
        <f ca="1">SUMIF(CT_tram!$B$1105:$G$1219,kl!B107,CT_tram!$G$1105:$G$1219)</f>
        <v>0</v>
      </c>
      <c r="X107" s="775">
        <f ca="1">SUMIF(CT_tram!$B$1359:$G$1504,kl!B107,CT_tram!$G$1359:$G$1504)</f>
        <v>0</v>
      </c>
      <c r="Y107" s="775">
        <f ca="1">SUMIF(CT_tram!$B$1511:$G$1625,kl!B107,CT_tram!$G$1511:$G$1625)</f>
        <v>0</v>
      </c>
      <c r="Z107" s="775">
        <f ca="1">SUMIF(CT_tram!$B$1632:$G$2211,kl!B107,CT_tram!$G$1632:$G$2211)</f>
        <v>0</v>
      </c>
      <c r="AA107" s="775">
        <f ca="1">SUMIF(CT_tram!$B$2243:$G$2384,kl!B107,CT_tram!$G$2243:$G$2384)</f>
        <v>0</v>
      </c>
      <c r="AB107" s="775">
        <f ca="1">SUMIF(CT_tram!$B$2391:$G$2563,kl!B107,CT_tram!$G$2391:$G$2563)</f>
        <v>0</v>
      </c>
      <c r="AC107" s="775">
        <f ca="1">SUMIF(chitiet!$B$13:$N$2352,kl!$B107,chitiet!$I$13:$I$2352)</f>
        <v>0</v>
      </c>
      <c r="AD107" s="775">
        <f ca="1">SUMIF(chitiet!$B$13:$N$2352,kl!$B107,chitiet!$J$13:$J$2352)</f>
        <v>0</v>
      </c>
      <c r="AE107" s="775">
        <f ca="1">SUMIF(chitiet!$B$13:$N$2352,kl!$B107,chitiet!$K$13:$K$2352)</f>
        <v>0</v>
      </c>
      <c r="AF107" s="775">
        <f ca="1">SUMIF(chitiet!$B$13:$N$2352,kl!$B107,chitiet!$L$13:$L$2352)</f>
        <v>0</v>
      </c>
      <c r="AG107" s="775">
        <f ca="1">SUMIF(chitiet!$B$13:$N$2352,kl!$B107,chitiet!$M$13)</f>
        <v>0</v>
      </c>
      <c r="AH107" s="775">
        <f ca="1">SUMIF(chitiet!$B$13:$N$2352,kl!$B107,chitiet!$N$13:$N$2352)</f>
        <v>0</v>
      </c>
      <c r="AI107" s="775">
        <f ca="1">SUMIF(chitiet!$B$13:$N$2352,kl!$B107,chitiet!$O$13:$O$2352)</f>
        <v>0</v>
      </c>
      <c r="AJ107" s="775">
        <f ca="1">SUMIF('Cap ngam'!$B$631:$G$723,kl!$B107,'Cap ngam'!$G$631:$G$723)</f>
        <v>0</v>
      </c>
      <c r="AK107" s="775">
        <f ca="1">SUMIF('Cap ngam'!$B$403:$G$628,kl!$B107,'Cap ngam'!G$403:G$628)</f>
        <v>0</v>
      </c>
      <c r="AL107" s="775">
        <f ca="1">SUMIF('Cap ngam'!B$16:G$400,kl!$B107,'Cap ngam'!G$16:G$400)</f>
        <v>0</v>
      </c>
      <c r="AM107" s="776">
        <v>0.5</v>
      </c>
      <c r="AN107" s="775">
        <f t="shared" ca="1" si="46"/>
        <v>0</v>
      </c>
      <c r="AO107" s="775">
        <f t="shared" ca="1" si="47"/>
        <v>0</v>
      </c>
      <c r="AP107" s="775">
        <f t="shared" ca="1" si="48"/>
        <v>0</v>
      </c>
      <c r="AQ107" s="775">
        <f t="shared" ca="1" si="49"/>
        <v>0</v>
      </c>
      <c r="AR107" s="775">
        <f t="shared" ca="1" si="50"/>
        <v>0</v>
      </c>
      <c r="AS107" s="775">
        <f t="shared" ca="1" si="51"/>
        <v>0</v>
      </c>
      <c r="AT107" s="775">
        <f t="shared" ca="1" si="52"/>
        <v>0</v>
      </c>
      <c r="AU107" s="775">
        <f t="shared" ca="1" si="53"/>
        <v>0</v>
      </c>
      <c r="AV107" s="775">
        <f t="shared" ca="1" si="54"/>
        <v>0</v>
      </c>
      <c r="AW107" s="775">
        <f t="shared" ca="1" si="55"/>
        <v>0</v>
      </c>
      <c r="AX107" s="775">
        <f t="shared" si="56"/>
        <v>0</v>
      </c>
      <c r="AY107" s="775">
        <f t="shared" ca="1" si="57"/>
        <v>0</v>
      </c>
      <c r="AZ107" s="775">
        <f t="shared" si="58"/>
        <v>0</v>
      </c>
      <c r="BA107" s="775">
        <f t="shared" ca="1" si="39"/>
        <v>0</v>
      </c>
      <c r="BB107" s="775">
        <f t="shared" ca="1" si="40"/>
        <v>0</v>
      </c>
      <c r="BC107" s="775">
        <f t="shared" ca="1" si="41"/>
        <v>0</v>
      </c>
      <c r="BD107" s="775">
        <f t="shared" ca="1" si="42"/>
        <v>0</v>
      </c>
      <c r="BE107" s="775">
        <f t="shared" ca="1" si="43"/>
        <v>0</v>
      </c>
      <c r="BF107" s="775">
        <f t="shared" ca="1" si="44"/>
        <v>0</v>
      </c>
      <c r="BG107" s="775">
        <f t="shared" ca="1" si="45"/>
        <v>0</v>
      </c>
      <c r="BH107" s="775">
        <f t="shared" ca="1" si="59"/>
        <v>0</v>
      </c>
      <c r="BI107" s="775">
        <f t="shared" ca="1" si="60"/>
        <v>0</v>
      </c>
      <c r="BJ107" s="775">
        <f t="shared" ca="1" si="61"/>
        <v>0</v>
      </c>
      <c r="BK107" s="775">
        <f t="shared" ca="1" si="62"/>
        <v>0</v>
      </c>
      <c r="BL107" s="775">
        <f t="shared" ca="1" si="63"/>
        <v>0</v>
      </c>
      <c r="BM107" s="775">
        <f t="shared" ca="1" si="64"/>
        <v>0</v>
      </c>
      <c r="BN107" s="775">
        <f t="shared" ca="1" si="65"/>
        <v>0</v>
      </c>
      <c r="BO107" s="775">
        <f t="shared" ca="1" si="66"/>
        <v>0</v>
      </c>
      <c r="BP107" s="775">
        <f t="shared" ca="1" si="67"/>
        <v>0</v>
      </c>
      <c r="BQ107" s="775">
        <f t="shared" ca="1" si="10"/>
        <v>0</v>
      </c>
      <c r="BR107" s="775">
        <f t="shared" ca="1" si="68"/>
        <v>0</v>
      </c>
    </row>
    <row r="108" spans="1:70">
      <c r="A108" s="767" t="str">
        <f t="shared" ca="1" si="73"/>
        <v/>
      </c>
      <c r="B108" s="786" t="s">
        <v>2021</v>
      </c>
      <c r="C108" s="188" t="str">
        <f ca="1">IF(F108=0,"",COUNTIF($F$78:$F108,"&gt;0"))</f>
        <v/>
      </c>
      <c r="D108" s="778" t="str">
        <f>VLOOKUP($B108,dongia1,DG!$C$5,)</f>
        <v>Boulon 22x650+ 2 long đền vuông D24-60x60x3/Zn</v>
      </c>
      <c r="E108" s="555" t="str">
        <f>VLOOKUP($B108,dongia1,DG!$D$5,)</f>
        <v>bộ</v>
      </c>
      <c r="F108" s="779">
        <f t="shared" ca="1" si="74"/>
        <v>0</v>
      </c>
      <c r="G108" s="775">
        <f t="shared" ca="1" si="14"/>
        <v>0</v>
      </c>
      <c r="H108" s="775">
        <f ca="1">SUMIF(CT_tram!$B$33:$G$3559,kl!B108,CT_tram!$G$33:$G$3559)</f>
        <v>0</v>
      </c>
      <c r="I108" s="775">
        <f ca="1">SUMIF(CT_tram!$B$34:$G$115,$B108,CT_tram!$G$34:$G$115)</f>
        <v>0</v>
      </c>
      <c r="J108" s="775">
        <f ca="1">SUMIF(CT_tram!$B$122:$G$204,$B108,CT_tram!$G$122:$G$204)</f>
        <v>0</v>
      </c>
      <c r="K108" s="775">
        <f ca="1">SUMIF(CT_tram!$B$211:$G$293,$B108,CT_tram!$G$211:$G$293)</f>
        <v>0</v>
      </c>
      <c r="L108" s="775">
        <f ca="1">SUMIF(CT_tram!$B$300:$G$374,$B108,CT_tram!$G$300:$G$374)</f>
        <v>0</v>
      </c>
      <c r="M108" s="775">
        <f ca="1">SUMIF(CT_tram!$B$381:$G$471,$B108,CT_tram!$G$381:$G$471)</f>
        <v>0</v>
      </c>
      <c r="N108" s="775">
        <f ca="1">SUMIF(CT_tram!$B$478:$G$560,$B108,CT_tram!$G$478:$G$560)</f>
        <v>0</v>
      </c>
      <c r="O108" s="775">
        <f ca="1">SUMIF(CT_tram!$B$567:$G$653,$B108,CT_tram!$G$567:$G$653)</f>
        <v>0</v>
      </c>
      <c r="P108" s="775">
        <f ca="1">SUMIF(CT_tram!$B$661:$G$738,$B108,CT_tram!$G$661:$G$738)</f>
        <v>0</v>
      </c>
      <c r="Q108" s="775">
        <f ca="1">SUMIF(CT_tram!$B$745:$G$899,$B108,CT_tram!$G$745:$G$899)</f>
        <v>0</v>
      </c>
      <c r="R108" s="775">
        <f ca="1">SUMIF(CT_tram!$B$907:$G$995,$B108,CT_tram!$G$907:$G$995)</f>
        <v>0</v>
      </c>
      <c r="S108" s="775"/>
      <c r="T108" s="775">
        <f ca="1">SUMIF(CT_tram!$B$1004:$G$1097,B108,CT_tram!$G$1004:$G$1097)</f>
        <v>0</v>
      </c>
      <c r="U108" s="775"/>
      <c r="V108" s="775">
        <f ca="1">SUMIF(CT_tram!$B$1226:$G$1352,kl!B108,CT_tram!$G$1226:$G$1352)</f>
        <v>0</v>
      </c>
      <c r="W108" s="780">
        <f ca="1">SUMIF(CT_tram!$B$1105:$G$1219,kl!B108,CT_tram!$G$1105:$G$1219)</f>
        <v>0</v>
      </c>
      <c r="X108" s="775">
        <f ca="1">SUMIF(CT_tram!$B$1359:$G$1504,kl!B108,CT_tram!$G$1359:$G$1504)</f>
        <v>0</v>
      </c>
      <c r="Y108" s="775">
        <f ca="1">SUMIF(CT_tram!$B$1511:$G$1625,kl!B108,CT_tram!$G$1511:$G$1625)</f>
        <v>0</v>
      </c>
      <c r="Z108" s="775">
        <f ca="1">SUMIF(CT_tram!$B$1632:$G$2211,kl!B108,CT_tram!$G$1632:$G$2211)</f>
        <v>0</v>
      </c>
      <c r="AA108" s="775">
        <f ca="1">SUMIF(CT_tram!$B$2243:$G$2384,kl!B108,CT_tram!$G$2243:$G$2384)</f>
        <v>0</v>
      </c>
      <c r="AB108" s="775">
        <f ca="1">SUMIF(CT_tram!$B$2391:$G$2563,kl!B108,CT_tram!$G$2391:$G$2563)</f>
        <v>0</v>
      </c>
      <c r="AC108" s="775">
        <f ca="1">SUMIF(chitiet!$B$13:$N$2352,kl!$B108,chitiet!$I$13:$I$2352)</f>
        <v>0</v>
      </c>
      <c r="AD108" s="775">
        <f ca="1">SUMIF(chitiet!$B$13:$N$2352,kl!$B108,chitiet!$J$13:$J$2352)</f>
        <v>0</v>
      </c>
      <c r="AE108" s="775">
        <f ca="1">SUMIF(chitiet!$B$13:$N$2352,kl!$B108,chitiet!$K$13:$K$2352)</f>
        <v>0</v>
      </c>
      <c r="AF108" s="775">
        <f ca="1">SUMIF(chitiet!$B$13:$N$2352,kl!$B108,chitiet!$L$13:$L$2352)</f>
        <v>0</v>
      </c>
      <c r="AG108" s="775">
        <f ca="1">SUMIF(chitiet!$B$13:$N$2352,kl!$B108,chitiet!$M$13)</f>
        <v>0</v>
      </c>
      <c r="AH108" s="775">
        <f ca="1">SUMIF(chitiet!$B$13:$N$2352,kl!$B108,chitiet!$N$13:$N$2352)</f>
        <v>0</v>
      </c>
      <c r="AI108" s="775">
        <f ca="1">SUMIF(chitiet!$B$13:$N$2352,kl!$B108,chitiet!$O$13:$O$2352)</f>
        <v>0</v>
      </c>
      <c r="AJ108" s="775">
        <f ca="1">SUMIF('Cap ngam'!$B$631:$G$723,kl!$B108,'Cap ngam'!$G$631:$G$723)</f>
        <v>0</v>
      </c>
      <c r="AK108" s="775">
        <f ca="1">SUMIF('Cap ngam'!$B$403:$G$628,kl!$B108,'Cap ngam'!G$403:G$628)</f>
        <v>0</v>
      </c>
      <c r="AL108" s="775">
        <f ca="1">SUMIF('Cap ngam'!B$16:G$400,kl!$B108,'Cap ngam'!G$16:G$400)</f>
        <v>0</v>
      </c>
      <c r="AM108" s="776">
        <v>0.6</v>
      </c>
      <c r="AN108" s="775">
        <f t="shared" ca="1" si="46"/>
        <v>0</v>
      </c>
      <c r="AO108" s="775">
        <f t="shared" ca="1" si="47"/>
        <v>0</v>
      </c>
      <c r="AP108" s="775">
        <f t="shared" ca="1" si="48"/>
        <v>0</v>
      </c>
      <c r="AQ108" s="775">
        <f t="shared" ca="1" si="49"/>
        <v>0</v>
      </c>
      <c r="AR108" s="775">
        <f t="shared" ca="1" si="50"/>
        <v>0</v>
      </c>
      <c r="AS108" s="775">
        <f t="shared" ca="1" si="51"/>
        <v>0</v>
      </c>
      <c r="AT108" s="775">
        <f t="shared" ca="1" si="52"/>
        <v>0</v>
      </c>
      <c r="AU108" s="775">
        <f t="shared" ca="1" si="53"/>
        <v>0</v>
      </c>
      <c r="AV108" s="775">
        <f t="shared" ca="1" si="54"/>
        <v>0</v>
      </c>
      <c r="AW108" s="775">
        <f t="shared" ca="1" si="55"/>
        <v>0</v>
      </c>
      <c r="AX108" s="775">
        <f t="shared" si="56"/>
        <v>0</v>
      </c>
      <c r="AY108" s="775">
        <f t="shared" ca="1" si="57"/>
        <v>0</v>
      </c>
      <c r="AZ108" s="775">
        <f t="shared" si="58"/>
        <v>0</v>
      </c>
      <c r="BA108" s="775">
        <f t="shared" ca="1" si="39"/>
        <v>0</v>
      </c>
      <c r="BB108" s="775">
        <f t="shared" ca="1" si="40"/>
        <v>0</v>
      </c>
      <c r="BC108" s="775">
        <f t="shared" ca="1" si="41"/>
        <v>0</v>
      </c>
      <c r="BD108" s="775">
        <f t="shared" ca="1" si="42"/>
        <v>0</v>
      </c>
      <c r="BE108" s="775">
        <f t="shared" ca="1" si="43"/>
        <v>0</v>
      </c>
      <c r="BF108" s="775">
        <f t="shared" ca="1" si="44"/>
        <v>0</v>
      </c>
      <c r="BG108" s="775">
        <f t="shared" ca="1" si="45"/>
        <v>0</v>
      </c>
      <c r="BH108" s="775">
        <f t="shared" ca="1" si="59"/>
        <v>0</v>
      </c>
      <c r="BI108" s="775">
        <f t="shared" ca="1" si="60"/>
        <v>0</v>
      </c>
      <c r="BJ108" s="775">
        <f t="shared" ca="1" si="61"/>
        <v>0</v>
      </c>
      <c r="BK108" s="775">
        <f t="shared" ca="1" si="62"/>
        <v>0</v>
      </c>
      <c r="BL108" s="775">
        <f t="shared" ca="1" si="63"/>
        <v>0</v>
      </c>
      <c r="BM108" s="775">
        <f t="shared" ca="1" si="64"/>
        <v>0</v>
      </c>
      <c r="BN108" s="775">
        <f t="shared" ca="1" si="65"/>
        <v>0</v>
      </c>
      <c r="BO108" s="775">
        <f t="shared" ca="1" si="66"/>
        <v>0</v>
      </c>
      <c r="BP108" s="775">
        <f t="shared" ca="1" si="67"/>
        <v>0</v>
      </c>
      <c r="BQ108" s="775">
        <f t="shared" ca="1" si="10"/>
        <v>0</v>
      </c>
      <c r="BR108" s="775">
        <f t="shared" ca="1" si="68"/>
        <v>0</v>
      </c>
    </row>
    <row r="109" spans="1:70">
      <c r="A109" s="767" t="str">
        <f t="shared" ca="1" si="73"/>
        <v/>
      </c>
      <c r="B109" s="786" t="s">
        <v>300</v>
      </c>
      <c r="C109" s="188" t="str">
        <f ca="1">IF(F109=0,"",COUNTIF($F$78:$F109,"&gt;0"))</f>
        <v/>
      </c>
      <c r="D109" s="778" t="str">
        <f>VLOOKUP($B109,dongia1,DG!$C$5,)</f>
        <v>Boulon 22x600+ 2 long đền vuông D24-60x60x3/Zn</v>
      </c>
      <c r="E109" s="555" t="str">
        <f>VLOOKUP($B109,dongia1,DG!$D$5,)</f>
        <v>bộ</v>
      </c>
      <c r="F109" s="779">
        <f t="shared" ca="1" si="74"/>
        <v>0</v>
      </c>
      <c r="G109" s="775">
        <f t="shared" ca="1" si="14"/>
        <v>0</v>
      </c>
      <c r="H109" s="775">
        <f ca="1">SUMIF(CT_tram!$B$33:$G$3559,kl!B109,CT_tram!$G$33:$G$3559)</f>
        <v>0</v>
      </c>
      <c r="I109" s="775">
        <f ca="1">SUMIF(CT_tram!$B$34:$G$115,$B109,CT_tram!$G$34:$G$115)</f>
        <v>0</v>
      </c>
      <c r="J109" s="775">
        <f ca="1">SUMIF(CT_tram!$B$122:$G$204,$B109,CT_tram!$G$122:$G$204)</f>
        <v>0</v>
      </c>
      <c r="K109" s="775">
        <f ca="1">SUMIF(CT_tram!$B$211:$G$293,$B109,CT_tram!$G$211:$G$293)</f>
        <v>0</v>
      </c>
      <c r="L109" s="775">
        <f ca="1">SUMIF(CT_tram!$B$300:$G$374,$B109,CT_tram!$G$300:$G$374)</f>
        <v>0</v>
      </c>
      <c r="M109" s="775">
        <f ca="1">SUMIF(CT_tram!$B$381:$G$471,$B109,CT_tram!$G$381:$G$471)</f>
        <v>0</v>
      </c>
      <c r="N109" s="775">
        <f ca="1">SUMIF(CT_tram!$B$478:$G$560,$B109,CT_tram!$G$478:$G$560)</f>
        <v>0</v>
      </c>
      <c r="O109" s="775">
        <f ca="1">SUMIF(CT_tram!$B$567:$G$653,$B109,CT_tram!$G$567:$G$653)</f>
        <v>0</v>
      </c>
      <c r="P109" s="775">
        <f ca="1">SUMIF(CT_tram!$B$661:$G$738,$B109,CT_tram!$G$661:$G$738)</f>
        <v>0</v>
      </c>
      <c r="Q109" s="775">
        <f ca="1">SUMIF(CT_tram!$B$745:$G$899,$B109,CT_tram!$G$745:$G$899)</f>
        <v>0</v>
      </c>
      <c r="R109" s="775">
        <f ca="1">SUMIF(CT_tram!$B$907:$G$995,$B109,CT_tram!$G$907:$G$995)</f>
        <v>0</v>
      </c>
      <c r="S109" s="775"/>
      <c r="T109" s="775">
        <f ca="1">SUMIF(CT_tram!$B$1004:$G$1097,B109,CT_tram!$G$1004:$G$1097)</f>
        <v>0</v>
      </c>
      <c r="U109" s="775"/>
      <c r="V109" s="775">
        <f ca="1">SUMIF(CT_tram!$B$1226:$G$1352,kl!B109,CT_tram!$G$1226:$G$1352)</f>
        <v>0</v>
      </c>
      <c r="W109" s="780">
        <f ca="1">SUMIF(CT_tram!$B$1105:$G$1219,kl!B109,CT_tram!$G$1105:$G$1219)</f>
        <v>0</v>
      </c>
      <c r="X109" s="775">
        <f ca="1">SUMIF(CT_tram!$B$1359:$G$1504,kl!B109,CT_tram!$G$1359:$G$1504)</f>
        <v>0</v>
      </c>
      <c r="Y109" s="775">
        <f ca="1">SUMIF(CT_tram!$B$1511:$G$1625,kl!B109,CT_tram!$G$1511:$G$1625)</f>
        <v>0</v>
      </c>
      <c r="Z109" s="775">
        <f ca="1">SUMIF(CT_tram!$B$1632:$G$2211,kl!B109,CT_tram!$G$1632:$G$2211)</f>
        <v>0</v>
      </c>
      <c r="AA109" s="775">
        <f ca="1">SUMIF(CT_tram!$B$2243:$G$2384,kl!B109,CT_tram!$G$2243:$G$2384)</f>
        <v>0</v>
      </c>
      <c r="AB109" s="775">
        <f ca="1">SUMIF(CT_tram!$B$2391:$G$2563,kl!B109,CT_tram!$G$2391:$G$2563)</f>
        <v>0</v>
      </c>
      <c r="AC109" s="775">
        <f ca="1">SUMIF(chitiet!$B$13:$N$2352,kl!$B109,chitiet!$I$13:$I$2352)</f>
        <v>0</v>
      </c>
      <c r="AD109" s="775">
        <f ca="1">SUMIF(chitiet!$B$13:$N$2352,kl!$B109,chitiet!$J$13:$J$2352)</f>
        <v>0</v>
      </c>
      <c r="AE109" s="775">
        <f ca="1">SUMIF(chitiet!$B$13:$N$2352,kl!$B109,chitiet!$K$13:$K$2352)</f>
        <v>0</v>
      </c>
      <c r="AF109" s="775">
        <f ca="1">SUMIF(chitiet!$B$13:$N$2352,kl!$B109,chitiet!$L$13:$L$2352)</f>
        <v>0</v>
      </c>
      <c r="AG109" s="775">
        <f ca="1">SUMIF(chitiet!$B$13:$N$2352,kl!$B109,chitiet!$M$13)</f>
        <v>0</v>
      </c>
      <c r="AH109" s="775">
        <f ca="1">SUMIF(chitiet!$B$13:$N$2352,kl!$B109,chitiet!$N$13:$N$2352)</f>
        <v>0</v>
      </c>
      <c r="AI109" s="775">
        <f ca="1">SUMIF(chitiet!$B$13:$N$2352,kl!$B109,chitiet!$O$13:$O$2352)</f>
        <v>0</v>
      </c>
      <c r="AJ109" s="775">
        <f ca="1">SUMIF('Cap ngam'!$B$631:$G$723,kl!$B109,'Cap ngam'!$G$631:$G$723)</f>
        <v>0</v>
      </c>
      <c r="AK109" s="775">
        <f ca="1">SUMIF('Cap ngam'!$B$403:$G$628,kl!$B109,'Cap ngam'!G$403:G$628)</f>
        <v>0</v>
      </c>
      <c r="AL109" s="775">
        <f ca="1">SUMIF('Cap ngam'!B$16:G$400,kl!$B109,'Cap ngam'!G$16:G$400)</f>
        <v>0</v>
      </c>
      <c r="AM109" s="776">
        <v>0.6</v>
      </c>
      <c r="AN109" s="775">
        <f t="shared" ca="1" si="46"/>
        <v>0</v>
      </c>
      <c r="AO109" s="775">
        <f t="shared" ca="1" si="47"/>
        <v>0</v>
      </c>
      <c r="AP109" s="775">
        <f t="shared" ca="1" si="48"/>
        <v>0</v>
      </c>
      <c r="AQ109" s="775">
        <f t="shared" ca="1" si="49"/>
        <v>0</v>
      </c>
      <c r="AR109" s="775">
        <f t="shared" ca="1" si="50"/>
        <v>0</v>
      </c>
      <c r="AS109" s="775">
        <f t="shared" ca="1" si="51"/>
        <v>0</v>
      </c>
      <c r="AT109" s="775">
        <f t="shared" ca="1" si="52"/>
        <v>0</v>
      </c>
      <c r="AU109" s="775">
        <f t="shared" ca="1" si="53"/>
        <v>0</v>
      </c>
      <c r="AV109" s="775">
        <f t="shared" ca="1" si="54"/>
        <v>0</v>
      </c>
      <c r="AW109" s="775">
        <f t="shared" ca="1" si="55"/>
        <v>0</v>
      </c>
      <c r="AX109" s="775">
        <f t="shared" si="56"/>
        <v>0</v>
      </c>
      <c r="AY109" s="775">
        <f t="shared" ca="1" si="57"/>
        <v>0</v>
      </c>
      <c r="AZ109" s="775">
        <f t="shared" si="58"/>
        <v>0</v>
      </c>
      <c r="BA109" s="775">
        <f t="shared" ca="1" si="39"/>
        <v>0</v>
      </c>
      <c r="BB109" s="775">
        <f t="shared" ca="1" si="40"/>
        <v>0</v>
      </c>
      <c r="BC109" s="775">
        <f t="shared" ca="1" si="41"/>
        <v>0</v>
      </c>
      <c r="BD109" s="775">
        <f t="shared" ca="1" si="42"/>
        <v>0</v>
      </c>
      <c r="BE109" s="775">
        <f t="shared" ca="1" si="43"/>
        <v>0</v>
      </c>
      <c r="BF109" s="775">
        <f t="shared" ca="1" si="44"/>
        <v>0</v>
      </c>
      <c r="BG109" s="775">
        <f t="shared" ca="1" si="45"/>
        <v>0</v>
      </c>
      <c r="BH109" s="775">
        <f t="shared" ca="1" si="59"/>
        <v>0</v>
      </c>
      <c r="BI109" s="775">
        <f t="shared" ca="1" si="60"/>
        <v>0</v>
      </c>
      <c r="BJ109" s="775">
        <f t="shared" ca="1" si="61"/>
        <v>0</v>
      </c>
      <c r="BK109" s="775">
        <f t="shared" ca="1" si="62"/>
        <v>0</v>
      </c>
      <c r="BL109" s="775">
        <f t="shared" ca="1" si="63"/>
        <v>0</v>
      </c>
      <c r="BM109" s="775">
        <f t="shared" ca="1" si="64"/>
        <v>0</v>
      </c>
      <c r="BN109" s="775">
        <f t="shared" ca="1" si="65"/>
        <v>0</v>
      </c>
      <c r="BO109" s="775">
        <f t="shared" ca="1" si="66"/>
        <v>0</v>
      </c>
      <c r="BP109" s="775">
        <f t="shared" ca="1" si="67"/>
        <v>0</v>
      </c>
      <c r="BQ109" s="775">
        <f t="shared" ca="1" si="10"/>
        <v>0</v>
      </c>
      <c r="BR109" s="775">
        <f t="shared" ca="1" si="68"/>
        <v>0</v>
      </c>
    </row>
    <row r="110" spans="1:70">
      <c r="A110" s="767" t="str">
        <f t="shared" ca="1" si="73"/>
        <v/>
      </c>
      <c r="B110" s="786" t="s">
        <v>301</v>
      </c>
      <c r="C110" s="188" t="str">
        <f ca="1">IF(F110=0,"",COUNTIF($F$78:$F110,"&gt;0"))</f>
        <v/>
      </c>
      <c r="D110" s="778" t="str">
        <f>VLOOKUP($B110,dongia1,DG!$C$5,)</f>
        <v>Boulon 22x800+ 2 long đền vuông D24-60x60x3/Zn</v>
      </c>
      <c r="E110" s="555" t="str">
        <f>VLOOKUP($B110,dongia1,DG!$D$5,)</f>
        <v>bộ</v>
      </c>
      <c r="F110" s="779">
        <f t="shared" ca="1" si="74"/>
        <v>0</v>
      </c>
      <c r="G110" s="775">
        <f t="shared" ca="1" si="14"/>
        <v>0</v>
      </c>
      <c r="H110" s="775">
        <f ca="1">SUMIF(CT_tram!$B$33:$G$3559,kl!B110,CT_tram!$G$33:$G$3559)</f>
        <v>0</v>
      </c>
      <c r="I110" s="775">
        <f ca="1">SUMIF(CT_tram!$B$34:$G$115,$B110,CT_tram!$G$34:$G$115)</f>
        <v>0</v>
      </c>
      <c r="J110" s="775">
        <f ca="1">SUMIF(CT_tram!$B$122:$G$204,$B110,CT_tram!$G$122:$G$204)</f>
        <v>0</v>
      </c>
      <c r="K110" s="775">
        <f ca="1">SUMIF(CT_tram!$B$211:$G$293,$B110,CT_tram!$G$211:$G$293)</f>
        <v>0</v>
      </c>
      <c r="L110" s="775">
        <f ca="1">SUMIF(CT_tram!$B$300:$G$374,$B110,CT_tram!$G$300:$G$374)</f>
        <v>0</v>
      </c>
      <c r="M110" s="775">
        <f ca="1">SUMIF(CT_tram!$B$381:$G$471,$B110,CT_tram!$G$381:$G$471)</f>
        <v>0</v>
      </c>
      <c r="N110" s="775">
        <f ca="1">SUMIF(CT_tram!$B$478:$G$560,$B110,CT_tram!$G$478:$G$560)</f>
        <v>0</v>
      </c>
      <c r="O110" s="775">
        <f ca="1">SUMIF(CT_tram!$B$567:$G$653,$B110,CT_tram!$G$567:$G$653)</f>
        <v>0</v>
      </c>
      <c r="P110" s="775">
        <f ca="1">SUMIF(CT_tram!$B$661:$G$738,$B110,CT_tram!$G$661:$G$738)</f>
        <v>0</v>
      </c>
      <c r="Q110" s="775">
        <f ca="1">SUMIF(CT_tram!$B$745:$G$899,$B110,CT_tram!$G$745:$G$899)</f>
        <v>0</v>
      </c>
      <c r="R110" s="775">
        <f ca="1">SUMIF(CT_tram!$B$907:$G$995,$B110,CT_tram!$G$907:$G$995)</f>
        <v>0</v>
      </c>
      <c r="S110" s="775"/>
      <c r="T110" s="775">
        <f ca="1">SUMIF(CT_tram!$B$1004:$G$1097,B110,CT_tram!$G$1004:$G$1097)</f>
        <v>0</v>
      </c>
      <c r="U110" s="775"/>
      <c r="V110" s="775">
        <f ca="1">SUMIF(CT_tram!$B$1226:$G$1352,kl!B110,CT_tram!$G$1226:$G$1352)</f>
        <v>0</v>
      </c>
      <c r="W110" s="780">
        <f ca="1">SUMIF(CT_tram!$B$1105:$G$1219,kl!B110,CT_tram!$G$1105:$G$1219)</f>
        <v>0</v>
      </c>
      <c r="X110" s="775">
        <f ca="1">SUMIF(CT_tram!$B$1359:$G$1504,kl!B110,CT_tram!$G$1359:$G$1504)</f>
        <v>0</v>
      </c>
      <c r="Y110" s="775">
        <f ca="1">SUMIF(CT_tram!$B$1511:$G$1625,kl!B110,CT_tram!$G$1511:$G$1625)</f>
        <v>0</v>
      </c>
      <c r="Z110" s="775">
        <f ca="1">SUMIF(CT_tram!$B$1632:$G$2211,kl!B110,CT_tram!$G$1632:$G$2211)</f>
        <v>0</v>
      </c>
      <c r="AA110" s="775">
        <f ca="1">SUMIF(CT_tram!$B$2243:$G$2384,kl!B110,CT_tram!$G$2243:$G$2384)</f>
        <v>0</v>
      </c>
      <c r="AB110" s="775">
        <f ca="1">SUMIF(CT_tram!$B$2391:$G$2563,kl!B110,CT_tram!$G$2391:$G$2563)</f>
        <v>0</v>
      </c>
      <c r="AC110" s="775">
        <f ca="1">SUMIF(chitiet!$B$13:$N$2352,kl!$B110,chitiet!$I$13:$I$2352)</f>
        <v>0</v>
      </c>
      <c r="AD110" s="775">
        <f ca="1">SUMIF(chitiet!$B$13:$N$2352,kl!$B110,chitiet!$J$13:$J$2352)</f>
        <v>0</v>
      </c>
      <c r="AE110" s="775">
        <f ca="1">SUMIF(chitiet!$B$13:$N$2352,kl!$B110,chitiet!$K$13:$K$2352)</f>
        <v>0</v>
      </c>
      <c r="AF110" s="775">
        <f ca="1">SUMIF(chitiet!$B$13:$N$2352,kl!$B110,chitiet!$L$13:$L$2352)</f>
        <v>0</v>
      </c>
      <c r="AG110" s="775">
        <f ca="1">SUMIF(chitiet!$B$13:$N$2352,kl!$B110,chitiet!$M$13)</f>
        <v>0</v>
      </c>
      <c r="AH110" s="775">
        <f ca="1">SUMIF(chitiet!$B$13:$N$2352,kl!$B110,chitiet!$N$13:$N$2352)</f>
        <v>0</v>
      </c>
      <c r="AI110" s="775">
        <f ca="1">SUMIF(chitiet!$B$13:$N$2352,kl!$B110,chitiet!$O$13:$O$2352)</f>
        <v>0</v>
      </c>
      <c r="AJ110" s="775">
        <f ca="1">SUMIF('Cap ngam'!$B$631:$G$723,kl!$B110,'Cap ngam'!$G$631:$G$723)</f>
        <v>0</v>
      </c>
      <c r="AK110" s="775">
        <f ca="1">SUMIF('Cap ngam'!$B$403:$G$628,kl!$B110,'Cap ngam'!G$403:G$628)</f>
        <v>0</v>
      </c>
      <c r="AL110" s="775">
        <f ca="1">SUMIF('Cap ngam'!B$16:G$400,kl!$B110,'Cap ngam'!G$16:G$400)</f>
        <v>0</v>
      </c>
      <c r="AM110" s="776">
        <v>1</v>
      </c>
      <c r="AN110" s="775">
        <f t="shared" ca="1" si="46"/>
        <v>0</v>
      </c>
      <c r="AO110" s="775">
        <f t="shared" ca="1" si="47"/>
        <v>0</v>
      </c>
      <c r="AP110" s="775">
        <f t="shared" ca="1" si="48"/>
        <v>0</v>
      </c>
      <c r="AQ110" s="775">
        <f t="shared" ca="1" si="49"/>
        <v>0</v>
      </c>
      <c r="AR110" s="775">
        <f t="shared" ca="1" si="50"/>
        <v>0</v>
      </c>
      <c r="AS110" s="775">
        <f t="shared" ca="1" si="51"/>
        <v>0</v>
      </c>
      <c r="AT110" s="775">
        <f t="shared" ca="1" si="52"/>
        <v>0</v>
      </c>
      <c r="AU110" s="775">
        <f t="shared" ca="1" si="53"/>
        <v>0</v>
      </c>
      <c r="AV110" s="775">
        <f t="shared" ca="1" si="54"/>
        <v>0</v>
      </c>
      <c r="AW110" s="775">
        <f t="shared" ca="1" si="55"/>
        <v>0</v>
      </c>
      <c r="AX110" s="775">
        <f t="shared" si="56"/>
        <v>0</v>
      </c>
      <c r="AY110" s="775">
        <f t="shared" ca="1" si="57"/>
        <v>0</v>
      </c>
      <c r="AZ110" s="775">
        <f t="shared" si="58"/>
        <v>0</v>
      </c>
      <c r="BA110" s="775">
        <f t="shared" ca="1" si="39"/>
        <v>0</v>
      </c>
      <c r="BB110" s="775">
        <f t="shared" ca="1" si="40"/>
        <v>0</v>
      </c>
      <c r="BC110" s="775">
        <f t="shared" ca="1" si="41"/>
        <v>0</v>
      </c>
      <c r="BD110" s="775">
        <f t="shared" ca="1" si="42"/>
        <v>0</v>
      </c>
      <c r="BE110" s="775">
        <f t="shared" ca="1" si="43"/>
        <v>0</v>
      </c>
      <c r="BF110" s="775">
        <f t="shared" ca="1" si="44"/>
        <v>0</v>
      </c>
      <c r="BG110" s="775">
        <f t="shared" ca="1" si="45"/>
        <v>0</v>
      </c>
      <c r="BH110" s="775">
        <f t="shared" ca="1" si="59"/>
        <v>0</v>
      </c>
      <c r="BI110" s="775">
        <f t="shared" ca="1" si="60"/>
        <v>0</v>
      </c>
      <c r="BJ110" s="775">
        <f t="shared" ca="1" si="61"/>
        <v>0</v>
      </c>
      <c r="BK110" s="775">
        <f t="shared" ca="1" si="62"/>
        <v>0</v>
      </c>
      <c r="BL110" s="775">
        <f t="shared" ca="1" si="63"/>
        <v>0</v>
      </c>
      <c r="BM110" s="775">
        <f t="shared" ca="1" si="64"/>
        <v>0</v>
      </c>
      <c r="BN110" s="775">
        <f t="shared" ca="1" si="65"/>
        <v>0</v>
      </c>
      <c r="BO110" s="775">
        <f t="shared" ca="1" si="66"/>
        <v>0</v>
      </c>
      <c r="BP110" s="775">
        <f t="shared" ca="1" si="67"/>
        <v>0</v>
      </c>
      <c r="BQ110" s="775">
        <f t="shared" ca="1" si="10"/>
        <v>0</v>
      </c>
      <c r="BR110" s="775">
        <f t="shared" ca="1" si="68"/>
        <v>0</v>
      </c>
    </row>
    <row r="111" spans="1:70">
      <c r="A111" s="767" t="str">
        <f t="shared" ca="1" si="73"/>
        <v/>
      </c>
      <c r="B111" s="786" t="s">
        <v>949</v>
      </c>
      <c r="C111" s="188" t="str">
        <f ca="1">IF(F111=0,"",COUNTIF($F$78:$F111,"&gt;0"))</f>
        <v/>
      </c>
      <c r="D111" s="778" t="str">
        <f>VLOOKUP($B111,dongia1,DG!$C$5,)</f>
        <v>Boulon 22x850+ 2 long đền vuông D24-60x60x3/Zn</v>
      </c>
      <c r="E111" s="555" t="str">
        <f>VLOOKUP($B111,dongia1,DG!$D$5,)</f>
        <v>bộ</v>
      </c>
      <c r="F111" s="779">
        <f t="shared" ca="1" si="74"/>
        <v>0</v>
      </c>
      <c r="G111" s="775">
        <f t="shared" ca="1" si="14"/>
        <v>0</v>
      </c>
      <c r="H111" s="775">
        <f ca="1">SUMIF(CT_tram!$B$33:$G$3559,kl!B111,CT_tram!$G$33:$G$3559)</f>
        <v>0</v>
      </c>
      <c r="I111" s="775">
        <f ca="1">SUMIF(CT_tram!$B$34:$G$115,$B111,CT_tram!$G$34:$G$115)</f>
        <v>0</v>
      </c>
      <c r="J111" s="775">
        <f ca="1">SUMIF(CT_tram!$B$122:$G$204,$B111,CT_tram!$G$122:$G$204)</f>
        <v>0</v>
      </c>
      <c r="K111" s="775">
        <f ca="1">SUMIF(CT_tram!$B$211:$G$293,$B111,CT_tram!$G$211:$G$293)</f>
        <v>0</v>
      </c>
      <c r="L111" s="775">
        <f ca="1">SUMIF(CT_tram!$B$300:$G$374,$B111,CT_tram!$G$300:$G$374)</f>
        <v>0</v>
      </c>
      <c r="M111" s="775">
        <f ca="1">SUMIF(CT_tram!$B$381:$G$471,$B111,CT_tram!$G$381:$G$471)</f>
        <v>0</v>
      </c>
      <c r="N111" s="775">
        <f ca="1">SUMIF(CT_tram!$B$478:$G$560,$B111,CT_tram!$G$478:$G$560)</f>
        <v>0</v>
      </c>
      <c r="O111" s="775">
        <f ca="1">SUMIF(CT_tram!$B$567:$G$653,$B111,CT_tram!$G$567:$G$653)</f>
        <v>0</v>
      </c>
      <c r="P111" s="775">
        <f ca="1">SUMIF(CT_tram!$B$661:$G$738,$B111,CT_tram!$G$661:$G$738)</f>
        <v>0</v>
      </c>
      <c r="Q111" s="775">
        <f ca="1">SUMIF(CT_tram!$B$745:$G$899,$B111,CT_tram!$G$745:$G$899)</f>
        <v>0</v>
      </c>
      <c r="R111" s="775">
        <f ca="1">SUMIF(CT_tram!$B$907:$G$995,$B111,CT_tram!$G$907:$G$995)</f>
        <v>0</v>
      </c>
      <c r="S111" s="775"/>
      <c r="T111" s="775">
        <f ca="1">SUMIF(CT_tram!$B$1004:$G$1097,B111,CT_tram!$G$1004:$G$1097)</f>
        <v>0</v>
      </c>
      <c r="U111" s="775"/>
      <c r="V111" s="775">
        <f ca="1">SUMIF(CT_tram!$B$1226:$G$1352,kl!B111,CT_tram!$G$1226:$G$1352)</f>
        <v>0</v>
      </c>
      <c r="W111" s="780">
        <f ca="1">SUMIF(CT_tram!$B$1105:$G$1219,kl!B111,CT_tram!$G$1105:$G$1219)</f>
        <v>0</v>
      </c>
      <c r="X111" s="775">
        <f ca="1">SUMIF(CT_tram!$B$1359:$G$1504,kl!B111,CT_tram!$G$1359:$G$1504)</f>
        <v>0</v>
      </c>
      <c r="Y111" s="775">
        <f ca="1">SUMIF(CT_tram!$B$1511:$G$1625,kl!B111,CT_tram!$G$1511:$G$1625)</f>
        <v>0</v>
      </c>
      <c r="Z111" s="775">
        <f ca="1">SUMIF(CT_tram!$B$1632:$G$2211,kl!B111,CT_tram!$G$1632:$G$2211)</f>
        <v>0</v>
      </c>
      <c r="AA111" s="775">
        <f ca="1">SUMIF(CT_tram!$B$2243:$G$2384,kl!B111,CT_tram!$G$2243:$G$2384)</f>
        <v>0</v>
      </c>
      <c r="AB111" s="775">
        <f ca="1">SUMIF(CT_tram!$B$2391:$G$2563,kl!B111,CT_tram!$G$2391:$G$2563)</f>
        <v>0</v>
      </c>
      <c r="AC111" s="775">
        <f ca="1">SUMIF(chitiet!$B$13:$N$2352,kl!$B111,chitiet!$I$13:$I$2352)</f>
        <v>0</v>
      </c>
      <c r="AD111" s="775">
        <f ca="1">SUMIF(chitiet!$B$13:$N$2352,kl!$B111,chitiet!$J$13:$J$2352)</f>
        <v>0</v>
      </c>
      <c r="AE111" s="775">
        <f ca="1">SUMIF(chitiet!$B$13:$N$2352,kl!$B111,chitiet!$K$13:$K$2352)</f>
        <v>0</v>
      </c>
      <c r="AF111" s="775">
        <f ca="1">SUMIF(chitiet!$B$13:$N$2352,kl!$B111,chitiet!$L$13:$L$2352)</f>
        <v>0</v>
      </c>
      <c r="AG111" s="775">
        <f ca="1">SUMIF(chitiet!$B$13:$N$2352,kl!$B111,chitiet!$M$13)</f>
        <v>0</v>
      </c>
      <c r="AH111" s="775">
        <f ca="1">SUMIF(chitiet!$B$13:$N$2352,kl!$B111,chitiet!$N$13:$N$2352)</f>
        <v>0</v>
      </c>
      <c r="AI111" s="775">
        <f ca="1">SUMIF(chitiet!$B$13:$N$2352,kl!$B111,chitiet!$O$13:$O$2352)</f>
        <v>0</v>
      </c>
      <c r="AJ111" s="775">
        <f ca="1">SUMIF('Cap ngam'!$B$631:$G$723,kl!$B111,'Cap ngam'!$G$631:$G$723)</f>
        <v>0</v>
      </c>
      <c r="AK111" s="775">
        <f ca="1">SUMIF('Cap ngam'!$B$403:$G$628,kl!$B111,'Cap ngam'!G$403:G$628)</f>
        <v>0</v>
      </c>
      <c r="AL111" s="775">
        <f ca="1">SUMIF('Cap ngam'!B$16:G$400,kl!$B111,'Cap ngam'!G$16:G$400)</f>
        <v>0</v>
      </c>
      <c r="AM111" s="776">
        <v>1.2</v>
      </c>
      <c r="AN111" s="775">
        <f t="shared" ca="1" si="46"/>
        <v>0</v>
      </c>
      <c r="AO111" s="775">
        <f t="shared" ca="1" si="47"/>
        <v>0</v>
      </c>
      <c r="AP111" s="775">
        <f t="shared" ca="1" si="48"/>
        <v>0</v>
      </c>
      <c r="AQ111" s="775">
        <f t="shared" ca="1" si="49"/>
        <v>0</v>
      </c>
      <c r="AR111" s="775">
        <f t="shared" ca="1" si="50"/>
        <v>0</v>
      </c>
      <c r="AS111" s="775">
        <f t="shared" ca="1" si="51"/>
        <v>0</v>
      </c>
      <c r="AT111" s="775">
        <f t="shared" ca="1" si="52"/>
        <v>0</v>
      </c>
      <c r="AU111" s="775">
        <f t="shared" ca="1" si="53"/>
        <v>0</v>
      </c>
      <c r="AV111" s="775">
        <f t="shared" ca="1" si="54"/>
        <v>0</v>
      </c>
      <c r="AW111" s="775">
        <f t="shared" ca="1" si="55"/>
        <v>0</v>
      </c>
      <c r="AX111" s="775">
        <f t="shared" si="56"/>
        <v>0</v>
      </c>
      <c r="AY111" s="775">
        <f t="shared" ca="1" si="57"/>
        <v>0</v>
      </c>
      <c r="AZ111" s="775">
        <f t="shared" si="58"/>
        <v>0</v>
      </c>
      <c r="BA111" s="775">
        <f t="shared" ca="1" si="39"/>
        <v>0</v>
      </c>
      <c r="BB111" s="775">
        <f t="shared" ca="1" si="40"/>
        <v>0</v>
      </c>
      <c r="BC111" s="775">
        <f t="shared" ca="1" si="41"/>
        <v>0</v>
      </c>
      <c r="BD111" s="775">
        <f t="shared" ca="1" si="42"/>
        <v>0</v>
      </c>
      <c r="BE111" s="775">
        <f t="shared" ca="1" si="43"/>
        <v>0</v>
      </c>
      <c r="BF111" s="775">
        <f t="shared" ca="1" si="44"/>
        <v>0</v>
      </c>
      <c r="BG111" s="775">
        <f t="shared" ca="1" si="45"/>
        <v>0</v>
      </c>
      <c r="BH111" s="775">
        <f t="shared" ca="1" si="59"/>
        <v>0</v>
      </c>
      <c r="BI111" s="775">
        <f t="shared" ca="1" si="60"/>
        <v>0</v>
      </c>
      <c r="BJ111" s="775">
        <f t="shared" ca="1" si="61"/>
        <v>0</v>
      </c>
      <c r="BK111" s="775">
        <f t="shared" ca="1" si="62"/>
        <v>0</v>
      </c>
      <c r="BL111" s="775">
        <f t="shared" ca="1" si="63"/>
        <v>0</v>
      </c>
      <c r="BM111" s="775">
        <f t="shared" ca="1" si="64"/>
        <v>0</v>
      </c>
      <c r="BN111" s="775">
        <f t="shared" ca="1" si="65"/>
        <v>0</v>
      </c>
      <c r="BO111" s="775">
        <f t="shared" ca="1" si="66"/>
        <v>0</v>
      </c>
      <c r="BP111" s="775">
        <f t="shared" ca="1" si="67"/>
        <v>0</v>
      </c>
      <c r="BQ111" s="775">
        <f t="shared" ca="1" si="10"/>
        <v>0</v>
      </c>
      <c r="BR111" s="775">
        <f t="shared" ca="1" si="68"/>
        <v>0</v>
      </c>
    </row>
    <row r="112" spans="1:70">
      <c r="A112" s="767" t="str">
        <f t="shared" ca="1" si="73"/>
        <v/>
      </c>
      <c r="B112" s="786" t="s">
        <v>950</v>
      </c>
      <c r="C112" s="188" t="str">
        <f ca="1">IF(F112=0,"",COUNTIF($F$78:$F112,"&gt;0"))</f>
        <v/>
      </c>
      <c r="D112" s="778" t="str">
        <f>VLOOKUP($B112,dongia1,DG!$C$5,)</f>
        <v>Boulon 30x800+ 2 long đền vuông D18-50x50x3/Zn</v>
      </c>
      <c r="E112" s="555" t="str">
        <f>VLOOKUP($B112,dongia1,DG!$D$5,)</f>
        <v>bộ</v>
      </c>
      <c r="F112" s="779">
        <f t="shared" ca="1" si="74"/>
        <v>0</v>
      </c>
      <c r="G112" s="775">
        <f t="shared" ca="1" si="14"/>
        <v>0</v>
      </c>
      <c r="H112" s="775">
        <f ca="1">SUMIF(CT_tram!$B$33:$G$3559,kl!B112,CT_tram!$G$33:$G$3559)</f>
        <v>0</v>
      </c>
      <c r="I112" s="775">
        <f ca="1">SUMIF(CT_tram!$B$34:$G$115,$B112,CT_tram!$G$34:$G$115)</f>
        <v>0</v>
      </c>
      <c r="J112" s="775">
        <f ca="1">SUMIF(CT_tram!$B$122:$G$204,$B112,CT_tram!$G$122:$G$204)</f>
        <v>0</v>
      </c>
      <c r="K112" s="775">
        <f ca="1">SUMIF(CT_tram!$B$211:$G$293,$B112,CT_tram!$G$211:$G$293)</f>
        <v>0</v>
      </c>
      <c r="L112" s="775">
        <f ca="1">SUMIF(CT_tram!$B$300:$G$374,$B112,CT_tram!$G$300:$G$374)</f>
        <v>0</v>
      </c>
      <c r="M112" s="775">
        <f ca="1">SUMIF(CT_tram!$B$381:$G$471,$B112,CT_tram!$G$381:$G$471)</f>
        <v>0</v>
      </c>
      <c r="N112" s="775">
        <f ca="1">SUMIF(CT_tram!$B$478:$G$560,$B112,CT_tram!$G$478:$G$560)</f>
        <v>0</v>
      </c>
      <c r="O112" s="775">
        <f ca="1">SUMIF(CT_tram!$B$567:$G$653,$B112,CT_tram!$G$567:$G$653)</f>
        <v>0</v>
      </c>
      <c r="P112" s="775">
        <f ca="1">SUMIF(CT_tram!$B$661:$G$738,$B112,CT_tram!$G$661:$G$738)</f>
        <v>0</v>
      </c>
      <c r="Q112" s="775">
        <f ca="1">SUMIF(CT_tram!$B$745:$G$899,$B112,CT_tram!$G$745:$G$899)</f>
        <v>0</v>
      </c>
      <c r="R112" s="775">
        <f ca="1">SUMIF(CT_tram!$B$907:$G$995,$B112,CT_tram!$G$907:$G$995)</f>
        <v>0</v>
      </c>
      <c r="S112" s="775"/>
      <c r="T112" s="775">
        <f ca="1">SUMIF(CT_tram!$B$1004:$G$1097,B112,CT_tram!$G$1004:$G$1097)</f>
        <v>0</v>
      </c>
      <c r="U112" s="775"/>
      <c r="V112" s="775">
        <f ca="1">SUMIF(CT_tram!$B$1226:$G$1352,kl!B112,CT_tram!$G$1226:$G$1352)</f>
        <v>0</v>
      </c>
      <c r="W112" s="780">
        <f ca="1">SUMIF(CT_tram!$B$1105:$G$1219,kl!B112,CT_tram!$G$1105:$G$1219)</f>
        <v>0</v>
      </c>
      <c r="X112" s="775">
        <f ca="1">SUMIF(CT_tram!$B$1359:$G$1504,kl!B112,CT_tram!$G$1359:$G$1504)</f>
        <v>0</v>
      </c>
      <c r="Y112" s="775">
        <f ca="1">SUMIF(CT_tram!$B$1511:$G$1625,kl!B112,CT_tram!$G$1511:$G$1625)</f>
        <v>0</v>
      </c>
      <c r="Z112" s="775">
        <f ca="1">SUMIF(CT_tram!$B$1632:$G$2211,kl!B112,CT_tram!$G$1632:$G$2211)</f>
        <v>0</v>
      </c>
      <c r="AA112" s="775">
        <f ca="1">SUMIF(CT_tram!$B$2243:$G$2384,kl!B112,CT_tram!$G$2243:$G$2384)</f>
        <v>0</v>
      </c>
      <c r="AB112" s="775">
        <f ca="1">SUMIF(CT_tram!$B$2391:$G$2563,kl!B112,CT_tram!$G$2391:$G$2563)</f>
        <v>0</v>
      </c>
      <c r="AC112" s="775">
        <f ca="1">SUMIF(chitiet!$B$13:$N$2352,kl!$B112,chitiet!$I$13:$I$2352)</f>
        <v>0</v>
      </c>
      <c r="AD112" s="775">
        <f ca="1">SUMIF(chitiet!$B$13:$N$2352,kl!$B112,chitiet!$J$13:$J$2352)</f>
        <v>0</v>
      </c>
      <c r="AE112" s="775">
        <f ca="1">SUMIF(chitiet!$B$13:$N$2352,kl!$B112,chitiet!$K$13:$K$2352)</f>
        <v>0</v>
      </c>
      <c r="AF112" s="775">
        <f ca="1">SUMIF(chitiet!$B$13:$N$2352,kl!$B112,chitiet!$L$13:$L$2352)</f>
        <v>0</v>
      </c>
      <c r="AG112" s="775">
        <f ca="1">SUMIF(chitiet!$B$13:$N$2352,kl!$B112,chitiet!$M$13)</f>
        <v>0</v>
      </c>
      <c r="AH112" s="775">
        <f ca="1">SUMIF(chitiet!$B$13:$N$2352,kl!$B112,chitiet!$N$13:$N$2352)</f>
        <v>0</v>
      </c>
      <c r="AI112" s="775">
        <f ca="1">SUMIF(chitiet!$B$13:$N$2352,kl!$B112,chitiet!$O$13:$O$2352)</f>
        <v>0</v>
      </c>
      <c r="AJ112" s="775">
        <f ca="1">SUMIF('Cap ngam'!$B$631:$G$723,kl!$B112,'Cap ngam'!$G$631:$G$723)</f>
        <v>0</v>
      </c>
      <c r="AK112" s="775">
        <f ca="1">SUMIF('Cap ngam'!$B$403:$G$628,kl!$B112,'Cap ngam'!G$403:G$628)</f>
        <v>0</v>
      </c>
      <c r="AL112" s="775">
        <f ca="1">SUMIF('Cap ngam'!B$16:G$400,kl!$B112,'Cap ngam'!G$16:G$400)</f>
        <v>0</v>
      </c>
      <c r="AM112" s="776">
        <v>2</v>
      </c>
      <c r="AN112" s="775">
        <f t="shared" ca="1" si="46"/>
        <v>0</v>
      </c>
      <c r="AO112" s="775">
        <f t="shared" ca="1" si="47"/>
        <v>0</v>
      </c>
      <c r="AP112" s="775">
        <f t="shared" ca="1" si="48"/>
        <v>0</v>
      </c>
      <c r="AQ112" s="775">
        <f t="shared" ca="1" si="49"/>
        <v>0</v>
      </c>
      <c r="AR112" s="775">
        <f t="shared" ca="1" si="50"/>
        <v>0</v>
      </c>
      <c r="AS112" s="775">
        <f t="shared" ca="1" si="51"/>
        <v>0</v>
      </c>
      <c r="AT112" s="775">
        <f t="shared" ca="1" si="52"/>
        <v>0</v>
      </c>
      <c r="AU112" s="775">
        <f t="shared" ca="1" si="53"/>
        <v>0</v>
      </c>
      <c r="AV112" s="775">
        <f t="shared" ca="1" si="54"/>
        <v>0</v>
      </c>
      <c r="AW112" s="775">
        <f t="shared" ca="1" si="55"/>
        <v>0</v>
      </c>
      <c r="AX112" s="775">
        <f t="shared" si="56"/>
        <v>0</v>
      </c>
      <c r="AY112" s="775">
        <f t="shared" ca="1" si="57"/>
        <v>0</v>
      </c>
      <c r="AZ112" s="775">
        <f t="shared" si="58"/>
        <v>0</v>
      </c>
      <c r="BA112" s="775">
        <f t="shared" ca="1" si="39"/>
        <v>0</v>
      </c>
      <c r="BB112" s="775">
        <f t="shared" ca="1" si="40"/>
        <v>0</v>
      </c>
      <c r="BC112" s="775">
        <f t="shared" ca="1" si="41"/>
        <v>0</v>
      </c>
      <c r="BD112" s="775">
        <f t="shared" ca="1" si="42"/>
        <v>0</v>
      </c>
      <c r="BE112" s="775">
        <f t="shared" ca="1" si="43"/>
        <v>0</v>
      </c>
      <c r="BF112" s="775">
        <f t="shared" ca="1" si="44"/>
        <v>0</v>
      </c>
      <c r="BG112" s="775">
        <f t="shared" ca="1" si="45"/>
        <v>0</v>
      </c>
      <c r="BH112" s="775">
        <f t="shared" ca="1" si="59"/>
        <v>0</v>
      </c>
      <c r="BI112" s="775">
        <f t="shared" ca="1" si="60"/>
        <v>0</v>
      </c>
      <c r="BJ112" s="775">
        <f t="shared" ca="1" si="61"/>
        <v>0</v>
      </c>
      <c r="BK112" s="775">
        <f t="shared" ca="1" si="62"/>
        <v>0</v>
      </c>
      <c r="BL112" s="775">
        <f t="shared" ca="1" si="63"/>
        <v>0</v>
      </c>
      <c r="BM112" s="775">
        <f t="shared" ca="1" si="64"/>
        <v>0</v>
      </c>
      <c r="BN112" s="775">
        <f t="shared" ca="1" si="65"/>
        <v>0</v>
      </c>
      <c r="BO112" s="775">
        <f t="shared" ca="1" si="66"/>
        <v>0</v>
      </c>
      <c r="BP112" s="775">
        <f t="shared" ca="1" si="67"/>
        <v>0</v>
      </c>
      <c r="BQ112" s="775">
        <f t="shared" ref="BQ112:BQ204" ca="1" si="75">$AL112*$AM112</f>
        <v>0</v>
      </c>
      <c r="BR112" s="775">
        <f t="shared" ca="1" si="68"/>
        <v>0</v>
      </c>
    </row>
    <row r="113" spans="1:70">
      <c r="A113" s="767" t="str">
        <f t="shared" ca="1" si="73"/>
        <v/>
      </c>
      <c r="B113" s="786" t="s">
        <v>2022</v>
      </c>
      <c r="C113" s="188" t="str">
        <f ca="1">IF(F113=0,"",COUNTIF($F$78:$F113,"&gt;0"))</f>
        <v/>
      </c>
      <c r="D113" s="778" t="str">
        <f>VLOOKUP($B113,dongia1,DG!$C$5,)</f>
        <v>Boulon mắt 16x230+ 1 long đền vuông D18-50x50x3/Zn</v>
      </c>
      <c r="E113" s="555" t="str">
        <f>VLOOKUP($B113,dongia1,DG!$D$5,)</f>
        <v>bộ</v>
      </c>
      <c r="F113" s="779">
        <f t="shared" ca="1" si="74"/>
        <v>0</v>
      </c>
      <c r="G113" s="775">
        <f t="shared" ref="G113:G201" ca="1" si="76">SUM(AC113:AL113)</f>
        <v>0</v>
      </c>
      <c r="H113" s="775">
        <f ca="1">SUMIF(CT_tram!$B$33:$G$3559,kl!B113,CT_tram!$G$33:$G$3559)</f>
        <v>0</v>
      </c>
      <c r="I113" s="775">
        <f ca="1">SUMIF(CT_tram!$B$34:$G$115,$B113,CT_tram!$G$34:$G$115)</f>
        <v>0</v>
      </c>
      <c r="J113" s="775">
        <f ca="1">SUMIF(CT_tram!$B$122:$G$204,$B113,CT_tram!$G$122:$G$204)</f>
        <v>0</v>
      </c>
      <c r="K113" s="775">
        <f ca="1">SUMIF(CT_tram!$B$211:$G$293,$B113,CT_tram!$G$211:$G$293)</f>
        <v>0</v>
      </c>
      <c r="L113" s="775">
        <f ca="1">SUMIF(CT_tram!$B$300:$G$374,$B113,CT_tram!$G$300:$G$374)</f>
        <v>0</v>
      </c>
      <c r="M113" s="775">
        <f ca="1">SUMIF(CT_tram!$B$381:$G$471,$B113,CT_tram!$G$381:$G$471)</f>
        <v>0</v>
      </c>
      <c r="N113" s="775">
        <f ca="1">SUMIF(CT_tram!$B$478:$G$560,$B113,CT_tram!$G$478:$G$560)</f>
        <v>0</v>
      </c>
      <c r="O113" s="775">
        <f ca="1">SUMIF(CT_tram!$B$567:$G$653,$B113,CT_tram!$G$567:$G$653)</f>
        <v>0</v>
      </c>
      <c r="P113" s="775">
        <f ca="1">SUMIF(CT_tram!$B$661:$G$738,$B113,CT_tram!$G$661:$G$738)</f>
        <v>0</v>
      </c>
      <c r="Q113" s="775">
        <f ca="1">SUMIF(CT_tram!$B$745:$G$899,$B113,CT_tram!$G$745:$G$899)</f>
        <v>0</v>
      </c>
      <c r="R113" s="775">
        <f ca="1">SUMIF(CT_tram!$B$907:$G$995,$B113,CT_tram!$G$907:$G$995)</f>
        <v>0</v>
      </c>
      <c r="S113" s="775"/>
      <c r="T113" s="775">
        <f ca="1">SUMIF(CT_tram!$B$1004:$G$1097,B113,CT_tram!$G$1004:$G$1097)</f>
        <v>0</v>
      </c>
      <c r="U113" s="775"/>
      <c r="V113" s="775">
        <f ca="1">SUMIF(CT_tram!$B$1226:$G$1352,kl!B113,CT_tram!$G$1226:$G$1352)</f>
        <v>0</v>
      </c>
      <c r="W113" s="780">
        <f ca="1">SUMIF(CT_tram!$B$1105:$G$1219,kl!B113,CT_tram!$G$1105:$G$1219)</f>
        <v>0</v>
      </c>
      <c r="X113" s="775">
        <f ca="1">SUMIF(CT_tram!$B$1359:$G$1504,kl!B113,CT_tram!$G$1359:$G$1504)</f>
        <v>0</v>
      </c>
      <c r="Y113" s="775">
        <f ca="1">SUMIF(CT_tram!$B$1511:$G$1625,kl!B113,CT_tram!$G$1511:$G$1625)</f>
        <v>0</v>
      </c>
      <c r="Z113" s="775">
        <f ca="1">SUMIF(CT_tram!$B$1632:$G$2211,kl!B113,CT_tram!$G$1632:$G$2211)</f>
        <v>0</v>
      </c>
      <c r="AA113" s="775">
        <f ca="1">SUMIF(CT_tram!$B$2243:$G$2384,kl!B113,CT_tram!$G$2243:$G$2384)</f>
        <v>0</v>
      </c>
      <c r="AB113" s="775">
        <f ca="1">SUMIF(CT_tram!$B$2391:$G$2563,kl!B113,CT_tram!$G$2391:$G$2563)</f>
        <v>0</v>
      </c>
      <c r="AC113" s="775">
        <f ca="1">SUMIF(chitiet!$B$13:$N$2352,kl!$B113,chitiet!$I$13:$I$2352)</f>
        <v>0</v>
      </c>
      <c r="AD113" s="775">
        <f ca="1">SUMIF(chitiet!$B$13:$N$2352,kl!$B113,chitiet!$J$13:$J$2352)</f>
        <v>0</v>
      </c>
      <c r="AE113" s="775">
        <f ca="1">SUMIF(chitiet!$B$13:$N$2352,kl!$B113,chitiet!$K$13:$K$2352)</f>
        <v>0</v>
      </c>
      <c r="AF113" s="775">
        <f ca="1">SUMIF(chitiet!$B$13:$N$2352,kl!$B113,chitiet!$L$13:$L$2352)</f>
        <v>0</v>
      </c>
      <c r="AG113" s="775">
        <f ca="1">SUMIF(chitiet!$B$13:$N$2352,kl!$B113,chitiet!$M$13)</f>
        <v>0</v>
      </c>
      <c r="AH113" s="775">
        <f ca="1">SUMIF(chitiet!$B$13:$N$2352,kl!$B113,chitiet!$N$13:$N$2352)</f>
        <v>0</v>
      </c>
      <c r="AI113" s="775">
        <f ca="1">SUMIF(chitiet!$B$13:$N$2352,kl!$B113,chitiet!$O$13:$O$2352)</f>
        <v>0</v>
      </c>
      <c r="AJ113" s="775">
        <f ca="1">SUMIF('Cap ngam'!$B$631:$G$723,kl!$B113,'Cap ngam'!$G$631:$G$723)</f>
        <v>0</v>
      </c>
      <c r="AK113" s="775">
        <f ca="1">SUMIF('Cap ngam'!$B$403:$G$628,kl!$B113,'Cap ngam'!G$403:G$628)</f>
        <v>0</v>
      </c>
      <c r="AL113" s="775">
        <f ca="1">SUMIF('Cap ngam'!B$16:G$400,kl!$B113,'Cap ngam'!G$16:G$400)</f>
        <v>0</v>
      </c>
      <c r="AM113" s="776">
        <v>0.4496</v>
      </c>
      <c r="AN113" s="775">
        <f t="shared" ca="1" si="46"/>
        <v>0</v>
      </c>
      <c r="AO113" s="775">
        <f t="shared" ca="1" si="47"/>
        <v>0</v>
      </c>
      <c r="AP113" s="775">
        <f t="shared" ca="1" si="48"/>
        <v>0</v>
      </c>
      <c r="AQ113" s="775">
        <f t="shared" ca="1" si="49"/>
        <v>0</v>
      </c>
      <c r="AR113" s="775">
        <f t="shared" ca="1" si="50"/>
        <v>0</v>
      </c>
      <c r="AS113" s="775">
        <f t="shared" ca="1" si="51"/>
        <v>0</v>
      </c>
      <c r="AT113" s="775">
        <f t="shared" ca="1" si="52"/>
        <v>0</v>
      </c>
      <c r="AU113" s="775">
        <f t="shared" ca="1" si="53"/>
        <v>0</v>
      </c>
      <c r="AV113" s="775">
        <f t="shared" ca="1" si="54"/>
        <v>0</v>
      </c>
      <c r="AW113" s="775">
        <f t="shared" ca="1" si="55"/>
        <v>0</v>
      </c>
      <c r="AX113" s="775">
        <f t="shared" si="56"/>
        <v>0</v>
      </c>
      <c r="AY113" s="775">
        <f t="shared" ca="1" si="57"/>
        <v>0</v>
      </c>
      <c r="AZ113" s="775">
        <f t="shared" si="58"/>
        <v>0</v>
      </c>
      <c r="BA113" s="775">
        <f t="shared" ca="1" si="39"/>
        <v>0</v>
      </c>
      <c r="BB113" s="775">
        <f t="shared" ca="1" si="40"/>
        <v>0</v>
      </c>
      <c r="BC113" s="775">
        <f t="shared" ca="1" si="41"/>
        <v>0</v>
      </c>
      <c r="BD113" s="775">
        <f t="shared" ca="1" si="42"/>
        <v>0</v>
      </c>
      <c r="BE113" s="775">
        <f t="shared" ca="1" si="43"/>
        <v>0</v>
      </c>
      <c r="BF113" s="775">
        <f t="shared" ca="1" si="44"/>
        <v>0</v>
      </c>
      <c r="BG113" s="775">
        <f t="shared" ca="1" si="45"/>
        <v>0</v>
      </c>
      <c r="BH113" s="775">
        <f t="shared" ca="1" si="59"/>
        <v>0</v>
      </c>
      <c r="BI113" s="775">
        <f t="shared" ca="1" si="60"/>
        <v>0</v>
      </c>
      <c r="BJ113" s="775">
        <f t="shared" ca="1" si="61"/>
        <v>0</v>
      </c>
      <c r="BK113" s="775">
        <f t="shared" ca="1" si="62"/>
        <v>0</v>
      </c>
      <c r="BL113" s="775">
        <f t="shared" ca="1" si="63"/>
        <v>0</v>
      </c>
      <c r="BM113" s="775">
        <f t="shared" ca="1" si="64"/>
        <v>0</v>
      </c>
      <c r="BN113" s="775">
        <f t="shared" ca="1" si="65"/>
        <v>0</v>
      </c>
      <c r="BO113" s="775">
        <f t="shared" ca="1" si="66"/>
        <v>0</v>
      </c>
      <c r="BP113" s="775">
        <f t="shared" ca="1" si="67"/>
        <v>0</v>
      </c>
      <c r="BQ113" s="775">
        <f t="shared" ca="1" si="75"/>
        <v>0</v>
      </c>
      <c r="BR113" s="775">
        <f t="shared" ca="1" si="68"/>
        <v>0</v>
      </c>
    </row>
    <row r="114" spans="1:70">
      <c r="A114" s="767" t="str">
        <f t="shared" ca="1" si="73"/>
        <v>X</v>
      </c>
      <c r="B114" s="786" t="s">
        <v>1432</v>
      </c>
      <c r="C114" s="188">
        <f ca="1">IF(F114=0,"",COUNTIF($F$78:$F114,"&gt;0"))</f>
        <v>8</v>
      </c>
      <c r="D114" s="778" t="str">
        <f>VLOOKUP($B114,dongia1,DG!$C$5,)</f>
        <v>Boulon mắt 16x250+ 1 long đền vuông D18-50x50x3/Zn</v>
      </c>
      <c r="E114" s="555" t="str">
        <f>VLOOKUP($B114,dongia1,DG!$D$5,)</f>
        <v>bộ</v>
      </c>
      <c r="F114" s="975">
        <f t="shared" ca="1" si="74"/>
        <v>2</v>
      </c>
      <c r="G114" s="976">
        <f t="shared" ca="1" si="76"/>
        <v>2</v>
      </c>
      <c r="H114" s="976">
        <f ca="1">SUMIF(CT_tram!$B$33:$G$3559,kl!B114,CT_tram!$G$33:$G$3559)</f>
        <v>0</v>
      </c>
      <c r="I114" s="775">
        <f ca="1">SUMIF(CT_tram!$B$34:$G$115,$B114,CT_tram!$G$34:$G$115)</f>
        <v>0</v>
      </c>
      <c r="J114" s="775">
        <f ca="1">SUMIF(CT_tram!$B$122:$G$204,$B114,CT_tram!$G$122:$G$204)</f>
        <v>0</v>
      </c>
      <c r="K114" s="775">
        <f ca="1">SUMIF(CT_tram!$B$211:$G$293,$B114,CT_tram!$G$211:$G$293)</f>
        <v>0</v>
      </c>
      <c r="L114" s="775">
        <f ca="1">SUMIF(CT_tram!$B$300:$G$374,$B114,CT_tram!$G$300:$G$374)</f>
        <v>0</v>
      </c>
      <c r="M114" s="775">
        <f ca="1">SUMIF(CT_tram!$B$381:$G$471,$B114,CT_tram!$G$381:$G$471)</f>
        <v>0</v>
      </c>
      <c r="N114" s="775">
        <f ca="1">SUMIF(CT_tram!$B$478:$G$560,$B114,CT_tram!$G$478:$G$560)</f>
        <v>0</v>
      </c>
      <c r="O114" s="775">
        <f ca="1">SUMIF(CT_tram!$B$567:$G$653,$B114,CT_tram!$G$567:$G$653)</f>
        <v>0</v>
      </c>
      <c r="P114" s="775">
        <f ca="1">SUMIF(CT_tram!$B$661:$G$738,$B114,CT_tram!$G$661:$G$738)</f>
        <v>0</v>
      </c>
      <c r="Q114" s="775">
        <f ca="1">SUMIF(CT_tram!$B$745:$G$899,$B114,CT_tram!$G$745:$G$899)</f>
        <v>0</v>
      </c>
      <c r="R114" s="775">
        <f ca="1">SUMIF(CT_tram!$B$907:$G$995,$B114,CT_tram!$G$907:$G$995)</f>
        <v>0</v>
      </c>
      <c r="S114" s="775"/>
      <c r="T114" s="775">
        <f ca="1">SUMIF(CT_tram!$B$1004:$G$1097,B114,CT_tram!$G$1004:$G$1097)</f>
        <v>0</v>
      </c>
      <c r="U114" s="775"/>
      <c r="V114" s="775">
        <f ca="1">SUMIF(CT_tram!$B$1226:$G$1352,kl!B114,CT_tram!$G$1226:$G$1352)</f>
        <v>0</v>
      </c>
      <c r="W114" s="780">
        <f ca="1">SUMIF(CT_tram!$B$1105:$G$1219,kl!B114,CT_tram!$G$1105:$G$1219)</f>
        <v>0</v>
      </c>
      <c r="X114" s="775">
        <f ca="1">SUMIF(CT_tram!$B$1359:$G$1504,kl!B114,CT_tram!$G$1359:$G$1504)</f>
        <v>0</v>
      </c>
      <c r="Y114" s="775">
        <f ca="1">SUMIF(CT_tram!$B$1511:$G$1625,kl!B114,CT_tram!$G$1511:$G$1625)</f>
        <v>0</v>
      </c>
      <c r="Z114" s="775">
        <f ca="1">SUMIF(CT_tram!$B$1632:$G$2211,kl!B114,CT_tram!$G$1632:$G$2211)</f>
        <v>0</v>
      </c>
      <c r="AA114" s="775">
        <f ca="1">SUMIF(CT_tram!$B$2243:$G$2384,kl!B114,CT_tram!$G$2243:$G$2384)</f>
        <v>0</v>
      </c>
      <c r="AB114" s="775">
        <f ca="1">SUMIF(CT_tram!$B$2391:$G$2563,kl!B114,CT_tram!$G$2391:$G$2563)</f>
        <v>0</v>
      </c>
      <c r="AC114" s="775">
        <f ca="1">SUMIF(chitiet!$B$13:$N$2352,kl!$B114,chitiet!$I$13:$I$2352)</f>
        <v>0</v>
      </c>
      <c r="AD114" s="775">
        <f ca="1">SUMIF(chitiet!$B$13:$N$2352,kl!$B114,chitiet!$J$13:$J$2352)</f>
        <v>0</v>
      </c>
      <c r="AE114" s="775">
        <f ca="1">SUMIF(chitiet!$B$13:$N$2352,kl!$B114,chitiet!$K$13:$K$2352)</f>
        <v>2</v>
      </c>
      <c r="AF114" s="775">
        <f ca="1">SUMIF(chitiet!$B$13:$N$2352,kl!$B114,chitiet!$L$13:$L$2352)</f>
        <v>0</v>
      </c>
      <c r="AG114" s="775">
        <f ca="1">SUMIF(chitiet!$B$13:$N$2352,kl!$B114,chitiet!$M$13)</f>
        <v>0</v>
      </c>
      <c r="AH114" s="775">
        <f ca="1">SUMIF(chitiet!$B$13:$N$2352,kl!$B114,chitiet!$N$13:$N$2352)</f>
        <v>0</v>
      </c>
      <c r="AI114" s="775">
        <f ca="1">SUMIF(chitiet!$B$13:$N$2352,kl!$B114,chitiet!$O$13:$O$2352)</f>
        <v>0</v>
      </c>
      <c r="AJ114" s="775">
        <f ca="1">SUMIF('Cap ngam'!$B$631:$G$723,kl!$B114,'Cap ngam'!$G$631:$G$723)</f>
        <v>0</v>
      </c>
      <c r="AK114" s="775">
        <f ca="1">SUMIF('Cap ngam'!$B$403:$G$628,kl!$B114,'Cap ngam'!G$403:G$628)</f>
        <v>0</v>
      </c>
      <c r="AL114" s="775">
        <f ca="1">SUMIF('Cap ngam'!B$16:G$400,kl!$B114,'Cap ngam'!G$16:G$400)</f>
        <v>0</v>
      </c>
      <c r="AM114" s="776">
        <v>0.4496</v>
      </c>
      <c r="AN114" s="775">
        <f t="shared" ca="1" si="46"/>
        <v>0</v>
      </c>
      <c r="AO114" s="775">
        <f t="shared" ca="1" si="47"/>
        <v>0</v>
      </c>
      <c r="AP114" s="775">
        <f t="shared" ca="1" si="48"/>
        <v>0</v>
      </c>
      <c r="AQ114" s="775">
        <f t="shared" ca="1" si="49"/>
        <v>0</v>
      </c>
      <c r="AR114" s="775">
        <f t="shared" ca="1" si="50"/>
        <v>0</v>
      </c>
      <c r="AS114" s="775">
        <f t="shared" ca="1" si="51"/>
        <v>0</v>
      </c>
      <c r="AT114" s="775">
        <f t="shared" ca="1" si="52"/>
        <v>0</v>
      </c>
      <c r="AU114" s="775">
        <f t="shared" ca="1" si="53"/>
        <v>0</v>
      </c>
      <c r="AV114" s="775">
        <f t="shared" ca="1" si="54"/>
        <v>0</v>
      </c>
      <c r="AW114" s="775">
        <f t="shared" ca="1" si="55"/>
        <v>0</v>
      </c>
      <c r="AX114" s="775">
        <f t="shared" si="56"/>
        <v>0</v>
      </c>
      <c r="AY114" s="775">
        <f t="shared" ca="1" si="57"/>
        <v>0</v>
      </c>
      <c r="AZ114" s="775">
        <f t="shared" si="58"/>
        <v>0</v>
      </c>
      <c r="BA114" s="775">
        <f t="shared" ca="1" si="39"/>
        <v>0</v>
      </c>
      <c r="BB114" s="775">
        <f t="shared" ca="1" si="40"/>
        <v>0</v>
      </c>
      <c r="BC114" s="775">
        <f t="shared" ca="1" si="41"/>
        <v>0</v>
      </c>
      <c r="BD114" s="775">
        <f t="shared" ca="1" si="42"/>
        <v>0</v>
      </c>
      <c r="BE114" s="775">
        <f t="shared" ca="1" si="43"/>
        <v>0</v>
      </c>
      <c r="BF114" s="775">
        <f t="shared" ca="1" si="44"/>
        <v>0</v>
      </c>
      <c r="BG114" s="775">
        <f t="shared" ca="1" si="45"/>
        <v>0</v>
      </c>
      <c r="BH114" s="775">
        <f t="shared" ca="1" si="59"/>
        <v>0</v>
      </c>
      <c r="BI114" s="775">
        <f t="shared" ca="1" si="60"/>
        <v>0</v>
      </c>
      <c r="BJ114" s="775">
        <f t="shared" ca="1" si="61"/>
        <v>0.8992</v>
      </c>
      <c r="BK114" s="775">
        <f t="shared" ca="1" si="62"/>
        <v>0</v>
      </c>
      <c r="BL114" s="775">
        <f t="shared" ca="1" si="63"/>
        <v>0</v>
      </c>
      <c r="BM114" s="775">
        <f t="shared" ca="1" si="64"/>
        <v>0</v>
      </c>
      <c r="BN114" s="775">
        <f t="shared" ca="1" si="65"/>
        <v>0</v>
      </c>
      <c r="BO114" s="775">
        <f t="shared" ca="1" si="66"/>
        <v>0</v>
      </c>
      <c r="BP114" s="775">
        <f t="shared" ca="1" si="67"/>
        <v>0</v>
      </c>
      <c r="BQ114" s="775">
        <f t="shared" ca="1" si="75"/>
        <v>0</v>
      </c>
      <c r="BR114" s="775">
        <f t="shared" ca="1" si="68"/>
        <v>0</v>
      </c>
    </row>
    <row r="115" spans="1:70">
      <c r="A115" s="767" t="str">
        <f t="shared" ca="1" si="73"/>
        <v>X</v>
      </c>
      <c r="B115" s="786" t="s">
        <v>366</v>
      </c>
      <c r="C115" s="188">
        <f ca="1">IF(F115=0,"",COUNTIF($F$78:$F115,"&gt;0"))</f>
        <v>9</v>
      </c>
      <c r="D115" s="778" t="str">
        <f>VLOOKUP($B115,dongia1,DG!$C$5,)</f>
        <v>Boulon mắt 16x300+ 1 long đền vuông D18-50x50x3/Zn</v>
      </c>
      <c r="E115" s="555" t="str">
        <f>VLOOKUP($B115,dongia1,DG!$D$5,)</f>
        <v>bộ</v>
      </c>
      <c r="F115" s="975">
        <f t="shared" ca="1" si="74"/>
        <v>2</v>
      </c>
      <c r="G115" s="976">
        <f t="shared" ca="1" si="76"/>
        <v>2</v>
      </c>
      <c r="H115" s="976">
        <f ca="1">SUMIF(CT_tram!$B$33:$G$3559,kl!B115,CT_tram!$G$33:$G$3559)</f>
        <v>0</v>
      </c>
      <c r="I115" s="775">
        <f ca="1">SUMIF(CT_tram!$B$34:$G$115,$B115,CT_tram!$G$34:$G$115)</f>
        <v>0</v>
      </c>
      <c r="J115" s="775">
        <f ca="1">SUMIF(CT_tram!$B$122:$G$204,$B115,CT_tram!$G$122:$G$204)</f>
        <v>0</v>
      </c>
      <c r="K115" s="775">
        <f ca="1">SUMIF(CT_tram!$B$211:$G$293,$B115,CT_tram!$G$211:$G$293)</f>
        <v>0</v>
      </c>
      <c r="L115" s="775">
        <f ca="1">SUMIF(CT_tram!$B$300:$G$374,$B115,CT_tram!$G$300:$G$374)</f>
        <v>0</v>
      </c>
      <c r="M115" s="775">
        <f ca="1">SUMIF(CT_tram!$B$381:$G$471,$B115,CT_tram!$G$381:$G$471)</f>
        <v>0</v>
      </c>
      <c r="N115" s="775">
        <f ca="1">SUMIF(CT_tram!$B$478:$G$560,$B115,CT_tram!$G$478:$G$560)</f>
        <v>0</v>
      </c>
      <c r="O115" s="775">
        <f ca="1">SUMIF(CT_tram!$B$567:$G$653,$B115,CT_tram!$G$567:$G$653)</f>
        <v>0</v>
      </c>
      <c r="P115" s="775">
        <f ca="1">SUMIF(CT_tram!$B$661:$G$738,$B115,CT_tram!$G$661:$G$738)</f>
        <v>0</v>
      </c>
      <c r="Q115" s="775">
        <f ca="1">SUMIF(CT_tram!$B$745:$G$899,$B115,CT_tram!$G$745:$G$899)</f>
        <v>0</v>
      </c>
      <c r="R115" s="775">
        <f ca="1">SUMIF(CT_tram!$B$907:$G$995,$B115,CT_tram!$G$907:$G$995)</f>
        <v>0</v>
      </c>
      <c r="S115" s="775"/>
      <c r="T115" s="775">
        <f ca="1">SUMIF(CT_tram!$B$1004:$G$1097,B115,CT_tram!$G$1004:$G$1097)</f>
        <v>0</v>
      </c>
      <c r="U115" s="775"/>
      <c r="V115" s="775">
        <f ca="1">SUMIF(CT_tram!$B$1226:$G$1352,kl!B115,CT_tram!$G$1226:$G$1352)</f>
        <v>0</v>
      </c>
      <c r="W115" s="780">
        <f ca="1">SUMIF(CT_tram!$B$1105:$G$1219,kl!B115,CT_tram!$G$1105:$G$1219)</f>
        <v>0</v>
      </c>
      <c r="X115" s="775">
        <f ca="1">SUMIF(CT_tram!$B$1359:$G$1504,kl!B115,CT_tram!$G$1359:$G$1504)</f>
        <v>0</v>
      </c>
      <c r="Y115" s="775">
        <f ca="1">SUMIF(CT_tram!$B$1511:$G$1625,kl!B115,CT_tram!$G$1511:$G$1625)</f>
        <v>0</v>
      </c>
      <c r="Z115" s="775">
        <f ca="1">SUMIF(CT_tram!$B$1632:$G$2211,kl!B115,CT_tram!$G$1632:$G$2211)</f>
        <v>0</v>
      </c>
      <c r="AA115" s="775">
        <f ca="1">SUMIF(CT_tram!$B$2243:$G$2384,kl!B115,CT_tram!$G$2243:$G$2384)</f>
        <v>0</v>
      </c>
      <c r="AB115" s="775">
        <f ca="1">SUMIF(CT_tram!$B$2391:$G$2563,kl!B115,CT_tram!$G$2391:$G$2563)</f>
        <v>0</v>
      </c>
      <c r="AC115" s="775">
        <f ca="1">SUMIF(chitiet!$B$13:$N$2352,kl!$B115,chitiet!$I$13:$I$2352)</f>
        <v>0</v>
      </c>
      <c r="AD115" s="775">
        <f ca="1">SUMIF(chitiet!$B$13:$N$2352,kl!$B115,chitiet!$J$13:$J$2352)</f>
        <v>0</v>
      </c>
      <c r="AE115" s="775">
        <f ca="1">SUMIF(chitiet!$B$13:$N$2352,kl!$B115,chitiet!$K$13:$K$2352)</f>
        <v>2</v>
      </c>
      <c r="AF115" s="775">
        <f ca="1">SUMIF(chitiet!$B$13:$N$2352,kl!$B115,chitiet!$L$13:$L$2352)</f>
        <v>0</v>
      </c>
      <c r="AG115" s="775">
        <f ca="1">SUMIF(chitiet!$B$13:$N$2352,kl!$B115,chitiet!$M$13)</f>
        <v>0</v>
      </c>
      <c r="AH115" s="775">
        <f ca="1">SUMIF(chitiet!$B$13:$N$2352,kl!$B115,chitiet!$N$13:$N$2352)</f>
        <v>0</v>
      </c>
      <c r="AI115" s="775">
        <f ca="1">SUMIF(chitiet!$B$13:$N$2352,kl!$B115,chitiet!$O$13:$O$2352)</f>
        <v>0</v>
      </c>
      <c r="AJ115" s="775">
        <f ca="1">SUMIF('Cap ngam'!$B$631:$G$723,kl!$B115,'Cap ngam'!$G$631:$G$723)</f>
        <v>0</v>
      </c>
      <c r="AK115" s="775">
        <f ca="1">SUMIF('Cap ngam'!$B$403:$G$628,kl!$B115,'Cap ngam'!G$403:G$628)</f>
        <v>0</v>
      </c>
      <c r="AL115" s="775">
        <f ca="1">SUMIF('Cap ngam'!B$16:G$400,kl!$B115,'Cap ngam'!G$16:G$400)</f>
        <v>0</v>
      </c>
      <c r="AM115" s="776">
        <v>0.57779999999999998</v>
      </c>
      <c r="AN115" s="775">
        <f t="shared" ca="1" si="46"/>
        <v>0</v>
      </c>
      <c r="AO115" s="775">
        <f t="shared" ca="1" si="47"/>
        <v>0</v>
      </c>
      <c r="AP115" s="775">
        <f t="shared" ca="1" si="48"/>
        <v>0</v>
      </c>
      <c r="AQ115" s="775">
        <f t="shared" ca="1" si="49"/>
        <v>0</v>
      </c>
      <c r="AR115" s="775">
        <f t="shared" ca="1" si="50"/>
        <v>0</v>
      </c>
      <c r="AS115" s="775">
        <f t="shared" ca="1" si="51"/>
        <v>0</v>
      </c>
      <c r="AT115" s="775">
        <f t="shared" ca="1" si="52"/>
        <v>0</v>
      </c>
      <c r="AU115" s="775">
        <f t="shared" ca="1" si="53"/>
        <v>0</v>
      </c>
      <c r="AV115" s="775">
        <f t="shared" ca="1" si="54"/>
        <v>0</v>
      </c>
      <c r="AW115" s="775">
        <f t="shared" ca="1" si="55"/>
        <v>0</v>
      </c>
      <c r="AX115" s="775">
        <f t="shared" si="56"/>
        <v>0</v>
      </c>
      <c r="AY115" s="775">
        <f t="shared" ca="1" si="57"/>
        <v>0</v>
      </c>
      <c r="AZ115" s="775">
        <f t="shared" si="58"/>
        <v>0</v>
      </c>
      <c r="BA115" s="775">
        <f t="shared" ca="1" si="39"/>
        <v>0</v>
      </c>
      <c r="BB115" s="775">
        <f t="shared" ca="1" si="40"/>
        <v>0</v>
      </c>
      <c r="BC115" s="775">
        <f t="shared" ca="1" si="41"/>
        <v>0</v>
      </c>
      <c r="BD115" s="775">
        <f t="shared" ca="1" si="42"/>
        <v>0</v>
      </c>
      <c r="BE115" s="775">
        <f t="shared" ca="1" si="43"/>
        <v>0</v>
      </c>
      <c r="BF115" s="775">
        <f t="shared" ca="1" si="44"/>
        <v>0</v>
      </c>
      <c r="BG115" s="775">
        <f t="shared" ca="1" si="45"/>
        <v>0</v>
      </c>
      <c r="BH115" s="775">
        <f t="shared" ca="1" si="59"/>
        <v>0</v>
      </c>
      <c r="BI115" s="775">
        <f t="shared" ca="1" si="60"/>
        <v>0</v>
      </c>
      <c r="BJ115" s="775">
        <f t="shared" ca="1" si="61"/>
        <v>1.1556</v>
      </c>
      <c r="BK115" s="775">
        <f t="shared" ca="1" si="62"/>
        <v>0</v>
      </c>
      <c r="BL115" s="775">
        <f t="shared" ca="1" si="63"/>
        <v>0</v>
      </c>
      <c r="BM115" s="775">
        <f t="shared" ca="1" si="64"/>
        <v>0</v>
      </c>
      <c r="BN115" s="775">
        <f t="shared" ca="1" si="65"/>
        <v>0</v>
      </c>
      <c r="BO115" s="775">
        <f t="shared" ca="1" si="66"/>
        <v>0</v>
      </c>
      <c r="BP115" s="775">
        <f t="shared" ca="1" si="67"/>
        <v>0</v>
      </c>
      <c r="BQ115" s="775">
        <f t="shared" ca="1" si="75"/>
        <v>0</v>
      </c>
      <c r="BR115" s="775">
        <f t="shared" ca="1" si="68"/>
        <v>0</v>
      </c>
    </row>
    <row r="116" spans="1:70">
      <c r="A116" s="767" t="str">
        <f t="shared" ca="1" si="73"/>
        <v/>
      </c>
      <c r="B116" s="786" t="s">
        <v>1071</v>
      </c>
      <c r="C116" s="188" t="str">
        <f ca="1">IF(F116=0,"",COUNTIF($F$78:$F116,"&gt;0"))</f>
        <v/>
      </c>
      <c r="D116" s="778" t="str">
        <f>VLOOKUP($B116,dongia1,DG!$C$5,)</f>
        <v>Cáp nhôm lõi thép AC-35/6,2</v>
      </c>
      <c r="E116" s="555" t="str">
        <f>VLOOKUP($B116,dongia1,DG!$D$5,)</f>
        <v>kg</v>
      </c>
      <c r="F116" s="779">
        <f t="shared" ca="1" si="74"/>
        <v>0</v>
      </c>
      <c r="G116" s="775">
        <f t="shared" ca="1" si="76"/>
        <v>0</v>
      </c>
      <c r="H116" s="775">
        <f ca="1">SUMIF(CT_tram!$B$33:$G$3559,kl!B116,CT_tram!$G$33:$G$3559)</f>
        <v>0</v>
      </c>
      <c r="I116" s="775">
        <f ca="1">SUMIF(CT_tram!$B$34:$G$115,$B116,CT_tram!$G$34:$G$115)</f>
        <v>0</v>
      </c>
      <c r="J116" s="775">
        <f ca="1">SUMIF(CT_tram!$B$122:$G$204,$B116,CT_tram!$G$122:$G$204)</f>
        <v>0</v>
      </c>
      <c r="K116" s="775">
        <f ca="1">SUMIF(CT_tram!$B$211:$G$293,$B116,CT_tram!$G$211:$G$293)</f>
        <v>0</v>
      </c>
      <c r="L116" s="775">
        <f ca="1">SUMIF(CT_tram!$B$300:$G$374,$B116,CT_tram!$G$300:$G$374)</f>
        <v>0</v>
      </c>
      <c r="M116" s="775">
        <f ca="1">SUMIF(CT_tram!$B$381:$G$471,$B116,CT_tram!$G$381:$G$471)</f>
        <v>0</v>
      </c>
      <c r="N116" s="775">
        <f ca="1">SUMIF(CT_tram!$B$478:$G$560,$B116,CT_tram!$G$478:$G$560)</f>
        <v>0</v>
      </c>
      <c r="O116" s="775">
        <f ca="1">SUMIF(CT_tram!$B$567:$G$653,$B116,CT_tram!$G$567:$G$653)</f>
        <v>0</v>
      </c>
      <c r="P116" s="775">
        <f ca="1">SUMIF(CT_tram!$B$661:$G$738,$B116,CT_tram!$G$661:$G$738)</f>
        <v>0</v>
      </c>
      <c r="Q116" s="775">
        <f ca="1">SUMIF(CT_tram!$B$745:$G$899,$B116,CT_tram!$G$745:$G$899)</f>
        <v>0</v>
      </c>
      <c r="R116" s="775">
        <f ca="1">SUMIF(CT_tram!$B$907:$G$995,$B116,CT_tram!$G$907:$G$995)</f>
        <v>0</v>
      </c>
      <c r="S116" s="775"/>
      <c r="T116" s="775">
        <f ca="1">SUMIF(CT_tram!$B$1004:$G$1097,B116,CT_tram!$G$1004:$G$1097)</f>
        <v>0</v>
      </c>
      <c r="U116" s="775"/>
      <c r="V116" s="775">
        <f ca="1">SUMIF(CT_tram!$B$1226:$G$1352,kl!B116,CT_tram!$G$1226:$G$1352)</f>
        <v>0</v>
      </c>
      <c r="W116" s="780">
        <f ca="1">SUMIF(CT_tram!$B$1105:$G$1219,kl!B116,CT_tram!$G$1105:$G$1219)</f>
        <v>0</v>
      </c>
      <c r="X116" s="775">
        <f ca="1">SUMIF(CT_tram!$B$1359:$G$1504,kl!B116,CT_tram!$G$1359:$G$1504)</f>
        <v>0</v>
      </c>
      <c r="Y116" s="775">
        <f ca="1">SUMIF(CT_tram!$B$1511:$G$1625,kl!B116,CT_tram!$G$1511:$G$1625)</f>
        <v>0</v>
      </c>
      <c r="Z116" s="775">
        <f ca="1">SUMIF(CT_tram!$B$1632:$G$2211,kl!B116,CT_tram!$G$1632:$G$2211)</f>
        <v>0</v>
      </c>
      <c r="AA116" s="775">
        <f ca="1">SUMIF(CT_tram!$B$2243:$G$2384,kl!B116,CT_tram!$G$2243:$G$2384)</f>
        <v>0</v>
      </c>
      <c r="AB116" s="775">
        <f ca="1">SUMIF(CT_tram!$B$2391:$G$2563,kl!B116,CT_tram!$G$2391:$G$2563)</f>
        <v>0</v>
      </c>
      <c r="AC116" s="775">
        <f ca="1">SUMIF(chitiet!$B$13:$N$2352,kl!$B116,chitiet!$I$13:$I$2352)</f>
        <v>0</v>
      </c>
      <c r="AD116" s="775">
        <f ca="1">SUMIF(chitiet!$B$13:$N$2352,kl!$B116,chitiet!$J$13:$J$2352)</f>
        <v>0</v>
      </c>
      <c r="AE116" s="775">
        <f ca="1">SUMIF(chitiet!$B$13:$N$2352,kl!$B116,chitiet!$K$13:$K$2352)</f>
        <v>0</v>
      </c>
      <c r="AF116" s="775">
        <f ca="1">SUMIF(chitiet!$B$13:$N$2352,kl!$B116,chitiet!$L$13:$L$2352)</f>
        <v>0</v>
      </c>
      <c r="AG116" s="775">
        <f ca="1">SUMIF(chitiet!$B$13:$N$2352,kl!$B116,chitiet!$M$13)</f>
        <v>0</v>
      </c>
      <c r="AH116" s="775">
        <f ca="1">SUMIF(chitiet!$B$13:$N$2352,kl!$B116,chitiet!$N$13:$N$2352)</f>
        <v>0</v>
      </c>
      <c r="AI116" s="775">
        <f ca="1">SUMIF(chitiet!$B$13:$N$2352,kl!$B116,chitiet!$O$13:$O$2352)</f>
        <v>0</v>
      </c>
      <c r="AJ116" s="775">
        <f ca="1">SUMIF('Cap ngam'!$B$631:$G$723,kl!$B116,'Cap ngam'!$G$631:$G$723)</f>
        <v>0</v>
      </c>
      <c r="AK116" s="775">
        <f ca="1">SUMIF('Cap ngam'!$B$403:$G$628,kl!$B116,'Cap ngam'!G$403:G$628)</f>
        <v>0</v>
      </c>
      <c r="AL116" s="775">
        <f ca="1">SUMIF('Cap ngam'!B$16:G$400,kl!$B116,'Cap ngam'!G$16:G$400)</f>
        <v>0</v>
      </c>
      <c r="AM116" s="776">
        <v>1</v>
      </c>
      <c r="AN116" s="775">
        <f t="shared" ca="1" si="46"/>
        <v>0</v>
      </c>
      <c r="AO116" s="775">
        <f t="shared" ca="1" si="47"/>
        <v>0</v>
      </c>
      <c r="AP116" s="775">
        <f t="shared" ca="1" si="48"/>
        <v>0</v>
      </c>
      <c r="AQ116" s="775">
        <f t="shared" ca="1" si="49"/>
        <v>0</v>
      </c>
      <c r="AR116" s="775">
        <f t="shared" ca="1" si="50"/>
        <v>0</v>
      </c>
      <c r="AS116" s="775">
        <f t="shared" ca="1" si="51"/>
        <v>0</v>
      </c>
      <c r="AT116" s="775">
        <f t="shared" ca="1" si="52"/>
        <v>0</v>
      </c>
      <c r="AU116" s="775">
        <f t="shared" ca="1" si="53"/>
        <v>0</v>
      </c>
      <c r="AV116" s="775">
        <f t="shared" ca="1" si="54"/>
        <v>0</v>
      </c>
      <c r="AW116" s="775">
        <f t="shared" ca="1" si="55"/>
        <v>0</v>
      </c>
      <c r="AX116" s="775">
        <f t="shared" si="56"/>
        <v>0</v>
      </c>
      <c r="AY116" s="775">
        <f t="shared" ca="1" si="57"/>
        <v>0</v>
      </c>
      <c r="AZ116" s="775">
        <f t="shared" si="58"/>
        <v>0</v>
      </c>
      <c r="BA116" s="775">
        <f t="shared" ca="1" si="39"/>
        <v>0</v>
      </c>
      <c r="BB116" s="775">
        <f t="shared" ca="1" si="40"/>
        <v>0</v>
      </c>
      <c r="BC116" s="775">
        <f t="shared" ca="1" si="41"/>
        <v>0</v>
      </c>
      <c r="BD116" s="775">
        <f t="shared" ca="1" si="42"/>
        <v>0</v>
      </c>
      <c r="BE116" s="775">
        <f t="shared" ca="1" si="43"/>
        <v>0</v>
      </c>
      <c r="BF116" s="775">
        <f t="shared" ca="1" si="44"/>
        <v>0</v>
      </c>
      <c r="BG116" s="775">
        <f t="shared" ca="1" si="45"/>
        <v>0</v>
      </c>
      <c r="BH116" s="775">
        <f t="shared" ca="1" si="59"/>
        <v>0</v>
      </c>
      <c r="BI116" s="775">
        <f t="shared" ca="1" si="60"/>
        <v>0</v>
      </c>
      <c r="BJ116" s="775">
        <f t="shared" ca="1" si="61"/>
        <v>0</v>
      </c>
      <c r="BK116" s="775">
        <f t="shared" ca="1" si="62"/>
        <v>0</v>
      </c>
      <c r="BL116" s="775">
        <f t="shared" ca="1" si="63"/>
        <v>0</v>
      </c>
      <c r="BM116" s="775">
        <f t="shared" ca="1" si="64"/>
        <v>0</v>
      </c>
      <c r="BN116" s="775">
        <f t="shared" ca="1" si="65"/>
        <v>0</v>
      </c>
      <c r="BO116" s="775">
        <f t="shared" ca="1" si="66"/>
        <v>0</v>
      </c>
      <c r="BP116" s="775">
        <f t="shared" ca="1" si="67"/>
        <v>0</v>
      </c>
      <c r="BQ116" s="775">
        <f t="shared" ca="1" si="75"/>
        <v>0</v>
      </c>
      <c r="BR116" s="775">
        <f t="shared" ca="1" si="68"/>
        <v>0</v>
      </c>
    </row>
    <row r="117" spans="1:70">
      <c r="A117" s="767" t="str">
        <f t="shared" ca="1" si="73"/>
        <v>X</v>
      </c>
      <c r="B117" s="786" t="s">
        <v>472</v>
      </c>
      <c r="C117" s="188">
        <f ca="1">IF(F117=0,"",COUNTIF($F$78:$F117,"&gt;0"))</f>
        <v>10</v>
      </c>
      <c r="D117" s="778" t="str">
        <f>VLOOKUP($B117,dongia1,DG!$C$5,)</f>
        <v>Cáp nhôm lõi thép AC-50/8</v>
      </c>
      <c r="E117" s="555" t="str">
        <f>VLOOKUP($B117,dongia1,DG!$D$5,)</f>
        <v>kg</v>
      </c>
      <c r="F117" s="975">
        <f t="shared" ca="1" si="74"/>
        <v>12.723480000000002</v>
      </c>
      <c r="G117" s="976">
        <f t="shared" ca="1" si="76"/>
        <v>12.723480000000002</v>
      </c>
      <c r="H117" s="976">
        <f ca="1">SUMIF(CT_tram!$B$33:$G$3559,kl!B117,CT_tram!$G$33:$G$3559)</f>
        <v>0</v>
      </c>
      <c r="I117" s="775">
        <f ca="1">SUMIF(CT_tram!$B$34:$G$115,$B117,CT_tram!$G$34:$G$115)</f>
        <v>0</v>
      </c>
      <c r="J117" s="775">
        <f ca="1">SUMIF(CT_tram!$B$122:$G$204,$B117,CT_tram!$G$122:$G$204)</f>
        <v>0</v>
      </c>
      <c r="K117" s="775">
        <f ca="1">SUMIF(CT_tram!$B$211:$G$293,$B117,CT_tram!$G$211:$G$293)</f>
        <v>0</v>
      </c>
      <c r="L117" s="775">
        <f ca="1">SUMIF(CT_tram!$B$300:$G$374,$B117,CT_tram!$G$300:$G$374)</f>
        <v>0</v>
      </c>
      <c r="M117" s="775">
        <f ca="1">SUMIF(CT_tram!$B$381:$G$471,$B117,CT_tram!$G$381:$G$471)</f>
        <v>0</v>
      </c>
      <c r="N117" s="775">
        <f ca="1">SUMIF(CT_tram!$B$478:$G$560,$B117,CT_tram!$G$478:$G$560)</f>
        <v>0</v>
      </c>
      <c r="O117" s="775">
        <f ca="1">SUMIF(CT_tram!$B$567:$G$653,$B117,CT_tram!$G$567:$G$653)</f>
        <v>0</v>
      </c>
      <c r="P117" s="775">
        <f ca="1">SUMIF(CT_tram!$B$661:$G$738,$B117,CT_tram!$G$661:$G$738)</f>
        <v>0</v>
      </c>
      <c r="Q117" s="775">
        <f ca="1">SUMIF(CT_tram!$B$745:$G$899,$B117,CT_tram!$G$745:$G$899)</f>
        <v>0</v>
      </c>
      <c r="R117" s="775">
        <f ca="1">SUMIF(CT_tram!$B$907:$G$995,$B117,CT_tram!$G$907:$G$995)</f>
        <v>0</v>
      </c>
      <c r="S117" s="775"/>
      <c r="T117" s="775">
        <f ca="1">SUMIF(CT_tram!$B$1004:$G$1097,B117,CT_tram!$G$1004:$G$1097)</f>
        <v>0</v>
      </c>
      <c r="U117" s="775"/>
      <c r="V117" s="775">
        <f ca="1">SUMIF(CT_tram!$B$1226:$G$1352,kl!B117,CT_tram!$G$1226:$G$1352)</f>
        <v>0</v>
      </c>
      <c r="W117" s="780">
        <f ca="1">SUMIF(CT_tram!$B$1105:$G$1219,kl!B117,CT_tram!$G$1105:$G$1219)</f>
        <v>0</v>
      </c>
      <c r="X117" s="775">
        <f ca="1">SUMIF(CT_tram!$B$1359:$G$1504,kl!B117,CT_tram!$G$1359:$G$1504)</f>
        <v>0</v>
      </c>
      <c r="Y117" s="775">
        <f ca="1">SUMIF(CT_tram!$B$1511:$G$1625,kl!B117,CT_tram!$G$1511:$G$1625)</f>
        <v>0</v>
      </c>
      <c r="Z117" s="775">
        <f ca="1">SUMIF(CT_tram!$B$1632:$G$2211,kl!B117,CT_tram!$G$1632:$G$2211)</f>
        <v>0</v>
      </c>
      <c r="AA117" s="775">
        <f ca="1">SUMIF(CT_tram!$B$2243:$G$2384,kl!B117,CT_tram!$G$2243:$G$2384)</f>
        <v>0</v>
      </c>
      <c r="AB117" s="775">
        <f ca="1">SUMIF(CT_tram!$B$2391:$G$2563,kl!B117,CT_tram!$G$2391:$G$2563)</f>
        <v>0</v>
      </c>
      <c r="AC117" s="775">
        <f ca="1">SUMIF(chitiet!$B$13:$N$2352,kl!$B117,chitiet!$I$13:$I$2352)</f>
        <v>0</v>
      </c>
      <c r="AD117" s="775">
        <f ca="1">SUMIF(chitiet!$B$13:$N$2352,kl!$B117,chitiet!$J$13:$J$2352)</f>
        <v>0</v>
      </c>
      <c r="AE117" s="775">
        <f ca="1">SUMIF(chitiet!$B$13:$N$2352,kl!$B117,chitiet!$K$13:$K$2352)</f>
        <v>12.723480000000002</v>
      </c>
      <c r="AF117" s="775">
        <f ca="1">SUMIF(chitiet!$B$13:$N$2352,kl!$B117,chitiet!$L$13:$L$2352)</f>
        <v>0</v>
      </c>
      <c r="AG117" s="775">
        <f ca="1">SUMIF(chitiet!$B$13:$N$2352,kl!$B117,chitiet!$M$13)</f>
        <v>0</v>
      </c>
      <c r="AH117" s="775">
        <f ca="1">SUMIF(chitiet!$B$13:$N$2352,kl!$B117,chitiet!$N$13:$N$2352)</f>
        <v>0</v>
      </c>
      <c r="AI117" s="775">
        <f ca="1">SUMIF(chitiet!$B$13:$N$2352,kl!$B117,chitiet!$O$13:$O$2352)</f>
        <v>0</v>
      </c>
      <c r="AJ117" s="775">
        <f ca="1">SUMIF('Cap ngam'!$B$631:$G$723,kl!$B117,'Cap ngam'!$G$631:$G$723)</f>
        <v>0</v>
      </c>
      <c r="AK117" s="775">
        <f ca="1">SUMIF('Cap ngam'!$B$403:$G$628,kl!$B117,'Cap ngam'!G$403:G$628)</f>
        <v>0</v>
      </c>
      <c r="AL117" s="775">
        <f ca="1">SUMIF('Cap ngam'!B$16:G$400,kl!$B117,'Cap ngam'!G$16:G$400)</f>
        <v>0</v>
      </c>
      <c r="AM117" s="776">
        <v>1</v>
      </c>
      <c r="AN117" s="775">
        <f t="shared" ca="1" si="46"/>
        <v>0</v>
      </c>
      <c r="AO117" s="775">
        <f t="shared" ca="1" si="47"/>
        <v>0</v>
      </c>
      <c r="AP117" s="775">
        <f t="shared" ca="1" si="48"/>
        <v>0</v>
      </c>
      <c r="AQ117" s="775">
        <f t="shared" ca="1" si="49"/>
        <v>0</v>
      </c>
      <c r="AR117" s="775">
        <f t="shared" ca="1" si="50"/>
        <v>0</v>
      </c>
      <c r="AS117" s="775">
        <f t="shared" ca="1" si="51"/>
        <v>0</v>
      </c>
      <c r="AT117" s="775">
        <f t="shared" ca="1" si="52"/>
        <v>0</v>
      </c>
      <c r="AU117" s="775">
        <f t="shared" ca="1" si="53"/>
        <v>0</v>
      </c>
      <c r="AV117" s="775">
        <f t="shared" ca="1" si="54"/>
        <v>0</v>
      </c>
      <c r="AW117" s="775">
        <f t="shared" ca="1" si="55"/>
        <v>0</v>
      </c>
      <c r="AX117" s="775">
        <f t="shared" si="56"/>
        <v>0</v>
      </c>
      <c r="AY117" s="775">
        <f t="shared" ca="1" si="57"/>
        <v>0</v>
      </c>
      <c r="AZ117" s="775">
        <f t="shared" si="58"/>
        <v>0</v>
      </c>
      <c r="BA117" s="775">
        <f t="shared" ca="1" si="39"/>
        <v>0</v>
      </c>
      <c r="BB117" s="775">
        <f t="shared" ca="1" si="40"/>
        <v>0</v>
      </c>
      <c r="BC117" s="775">
        <f t="shared" ca="1" si="41"/>
        <v>0</v>
      </c>
      <c r="BD117" s="775">
        <f t="shared" ca="1" si="42"/>
        <v>0</v>
      </c>
      <c r="BE117" s="775">
        <f t="shared" ca="1" si="43"/>
        <v>0</v>
      </c>
      <c r="BF117" s="775">
        <f t="shared" ca="1" si="44"/>
        <v>0</v>
      </c>
      <c r="BG117" s="775">
        <f t="shared" ca="1" si="45"/>
        <v>0</v>
      </c>
      <c r="BH117" s="775">
        <f t="shared" ca="1" si="59"/>
        <v>0</v>
      </c>
      <c r="BI117" s="775">
        <f t="shared" ca="1" si="60"/>
        <v>0</v>
      </c>
      <c r="BJ117" s="775">
        <f t="shared" ca="1" si="61"/>
        <v>12.723480000000002</v>
      </c>
      <c r="BK117" s="775">
        <f t="shared" ca="1" si="62"/>
        <v>0</v>
      </c>
      <c r="BL117" s="775">
        <f t="shared" ca="1" si="63"/>
        <v>0</v>
      </c>
      <c r="BM117" s="775">
        <f t="shared" ca="1" si="64"/>
        <v>0</v>
      </c>
      <c r="BN117" s="775">
        <f t="shared" ca="1" si="65"/>
        <v>0</v>
      </c>
      <c r="BO117" s="775">
        <f t="shared" ca="1" si="66"/>
        <v>0</v>
      </c>
      <c r="BP117" s="775">
        <f t="shared" ca="1" si="67"/>
        <v>0</v>
      </c>
      <c r="BQ117" s="775">
        <f t="shared" ca="1" si="75"/>
        <v>0</v>
      </c>
      <c r="BR117" s="775">
        <f t="shared" ca="1" si="68"/>
        <v>0</v>
      </c>
    </row>
    <row r="118" spans="1:70">
      <c r="A118" s="767" t="str">
        <f t="shared" ca="1" si="73"/>
        <v/>
      </c>
      <c r="B118" s="786" t="s">
        <v>876</v>
      </c>
      <c r="C118" s="188" t="str">
        <f ca="1">IF(F118=0,"",COUNTIF($F$78:$F118,"&gt;0"))</f>
        <v/>
      </c>
      <c r="D118" s="778" t="str">
        <f>VLOOKUP($B118,dongia1,DG!$C$5,)</f>
        <v>Cáp nhôm lõi thép AC-70/11</v>
      </c>
      <c r="E118" s="555" t="str">
        <f>VLOOKUP($B118,dongia1,DG!$D$5,)</f>
        <v>kg</v>
      </c>
      <c r="F118" s="779">
        <f ca="1">G118+H118</f>
        <v>0</v>
      </c>
      <c r="G118" s="775">
        <f t="shared" ca="1" si="76"/>
        <v>0</v>
      </c>
      <c r="H118" s="775">
        <f ca="1">SUMIF(CT_tram!$B$33:$G$3559,kl!B118,CT_tram!$G$33:$G$3559)</f>
        <v>0</v>
      </c>
      <c r="I118" s="775">
        <f ca="1">SUMIF(CT_tram!$B$34:$G$115,$B118,CT_tram!$G$34:$G$115)</f>
        <v>0</v>
      </c>
      <c r="J118" s="775">
        <f ca="1">SUMIF(CT_tram!$B$122:$G$204,$B118,CT_tram!$G$122:$G$204)</f>
        <v>0</v>
      </c>
      <c r="K118" s="775">
        <f ca="1">SUMIF(CT_tram!$B$211:$G$293,$B118,CT_tram!$G$211:$G$293)</f>
        <v>0</v>
      </c>
      <c r="L118" s="775">
        <f ca="1">SUMIF(CT_tram!$B$300:$G$374,$B118,CT_tram!$G$300:$G$374)</f>
        <v>0</v>
      </c>
      <c r="M118" s="775">
        <f ca="1">SUMIF(CT_tram!$B$381:$G$471,$B118,CT_tram!$G$381:$G$471)</f>
        <v>0</v>
      </c>
      <c r="N118" s="775">
        <f ca="1">SUMIF(CT_tram!$B$478:$G$560,$B118,CT_tram!$G$478:$G$560)</f>
        <v>0</v>
      </c>
      <c r="O118" s="775">
        <f ca="1">SUMIF(CT_tram!$B$567:$G$653,$B118,CT_tram!$G$567:$G$653)</f>
        <v>0</v>
      </c>
      <c r="P118" s="775">
        <f ca="1">SUMIF(CT_tram!$B$661:$G$738,$B118,CT_tram!$G$661:$G$738)</f>
        <v>0</v>
      </c>
      <c r="Q118" s="775">
        <f ca="1">SUMIF(CT_tram!$B$745:$G$899,$B118,CT_tram!$G$745:$G$899)</f>
        <v>0</v>
      </c>
      <c r="R118" s="775">
        <f ca="1">SUMIF(CT_tram!$B$907:$G$995,$B118,CT_tram!$G$907:$G$995)</f>
        <v>0</v>
      </c>
      <c r="S118" s="775"/>
      <c r="T118" s="775">
        <f ca="1">SUMIF(CT_tram!$B$1004:$G$1097,B118,CT_tram!$G$1004:$G$1097)</f>
        <v>0</v>
      </c>
      <c r="U118" s="775"/>
      <c r="V118" s="775">
        <f ca="1">SUMIF(CT_tram!$B$1226:$G$1352,kl!B118,CT_tram!$G$1226:$G$1352)</f>
        <v>0</v>
      </c>
      <c r="W118" s="780">
        <f ca="1">SUMIF(CT_tram!$B$1105:$G$1219,kl!B118,CT_tram!$G$1105:$G$1219)</f>
        <v>0</v>
      </c>
      <c r="X118" s="775">
        <f ca="1">SUMIF(CT_tram!$B$1359:$G$1504,kl!B118,CT_tram!$G$1359:$G$1504)</f>
        <v>0</v>
      </c>
      <c r="Y118" s="775">
        <f ca="1">SUMIF(CT_tram!$B$1511:$G$1625,kl!B118,CT_tram!$G$1511:$G$1625)</f>
        <v>0</v>
      </c>
      <c r="Z118" s="775">
        <f ca="1">SUMIF(CT_tram!$B$1632:$G$2211,kl!B118,CT_tram!$G$1632:$G$2211)</f>
        <v>0</v>
      </c>
      <c r="AA118" s="775">
        <f ca="1">SUMIF(CT_tram!$B$2243:$G$2384,kl!B118,CT_tram!$G$2243:$G$2384)</f>
        <v>0</v>
      </c>
      <c r="AB118" s="775">
        <f ca="1">SUMIF(CT_tram!$B$2391:$G$2563,kl!B118,CT_tram!$G$2391:$G$2563)</f>
        <v>0</v>
      </c>
      <c r="AC118" s="775">
        <f ca="1">SUMIF(chitiet!$B$13:$N$2352,kl!$B118,chitiet!$I$13:$I$2352)</f>
        <v>0</v>
      </c>
      <c r="AD118" s="775">
        <f ca="1">SUMIF(chitiet!$B$13:$N$2352,kl!$B118,chitiet!$J$13:$J$2352)</f>
        <v>0</v>
      </c>
      <c r="AE118" s="775">
        <f ca="1">SUMIF(chitiet!$B$13:$N$2352,kl!$B118,chitiet!$K$13:$K$2352)</f>
        <v>0</v>
      </c>
      <c r="AF118" s="775">
        <f ca="1">SUMIF(chitiet!$B$13:$N$2352,kl!$B118,chitiet!$L$13:$L$2352)</f>
        <v>0</v>
      </c>
      <c r="AG118" s="775">
        <f ca="1">SUMIF(chitiet!$B$13:$N$2352,kl!$B118,chitiet!$M$13)</f>
        <v>0</v>
      </c>
      <c r="AH118" s="775">
        <f ca="1">SUMIF(chitiet!$B$13:$N$2352,kl!$B118,chitiet!$N$13:$N$2352)</f>
        <v>0</v>
      </c>
      <c r="AI118" s="775">
        <f ca="1">SUMIF(chitiet!$B$13:$N$2352,kl!$B118,chitiet!$O$13:$O$2352)</f>
        <v>0</v>
      </c>
      <c r="AJ118" s="775">
        <f ca="1">SUMIF('Cap ngam'!$B$631:$G$723,kl!$B118,'Cap ngam'!$G$631:$G$723)</f>
        <v>0</v>
      </c>
      <c r="AK118" s="775">
        <f ca="1">SUMIF('Cap ngam'!$B$403:$G$628,kl!$B118,'Cap ngam'!G$403:G$628)</f>
        <v>0</v>
      </c>
      <c r="AL118" s="775">
        <f ca="1">SUMIF('Cap ngam'!B$16:G$400,kl!$B118,'Cap ngam'!G$16:G$400)</f>
        <v>0</v>
      </c>
      <c r="AM118" s="776">
        <v>1</v>
      </c>
      <c r="AN118" s="775">
        <f t="shared" ca="1" si="46"/>
        <v>0</v>
      </c>
      <c r="AO118" s="775">
        <f t="shared" ca="1" si="47"/>
        <v>0</v>
      </c>
      <c r="AP118" s="775">
        <f t="shared" ca="1" si="48"/>
        <v>0</v>
      </c>
      <c r="AQ118" s="775">
        <f t="shared" ca="1" si="49"/>
        <v>0</v>
      </c>
      <c r="AR118" s="775">
        <f t="shared" ca="1" si="50"/>
        <v>0</v>
      </c>
      <c r="AS118" s="775">
        <f t="shared" ca="1" si="51"/>
        <v>0</v>
      </c>
      <c r="AT118" s="775">
        <f t="shared" ca="1" si="52"/>
        <v>0</v>
      </c>
      <c r="AU118" s="775">
        <f t="shared" ca="1" si="53"/>
        <v>0</v>
      </c>
      <c r="AV118" s="775">
        <f t="shared" ca="1" si="54"/>
        <v>0</v>
      </c>
      <c r="AW118" s="775">
        <f t="shared" ca="1" si="55"/>
        <v>0</v>
      </c>
      <c r="AX118" s="775">
        <f t="shared" si="56"/>
        <v>0</v>
      </c>
      <c r="AY118" s="775">
        <f t="shared" ca="1" si="57"/>
        <v>0</v>
      </c>
      <c r="AZ118" s="775">
        <f t="shared" si="58"/>
        <v>0</v>
      </c>
      <c r="BA118" s="775">
        <f t="shared" ca="1" si="39"/>
        <v>0</v>
      </c>
      <c r="BB118" s="775">
        <f t="shared" ca="1" si="40"/>
        <v>0</v>
      </c>
      <c r="BC118" s="775">
        <f t="shared" ca="1" si="41"/>
        <v>0</v>
      </c>
      <c r="BD118" s="775">
        <f t="shared" ca="1" si="42"/>
        <v>0</v>
      </c>
      <c r="BE118" s="775">
        <f t="shared" ca="1" si="43"/>
        <v>0</v>
      </c>
      <c r="BF118" s="775">
        <f t="shared" ca="1" si="44"/>
        <v>0</v>
      </c>
      <c r="BG118" s="775">
        <f t="shared" ca="1" si="45"/>
        <v>0</v>
      </c>
      <c r="BH118" s="775">
        <f t="shared" ca="1" si="59"/>
        <v>0</v>
      </c>
      <c r="BI118" s="775">
        <f t="shared" ca="1" si="60"/>
        <v>0</v>
      </c>
      <c r="BJ118" s="775">
        <f t="shared" ca="1" si="61"/>
        <v>0</v>
      </c>
      <c r="BK118" s="775">
        <f t="shared" ca="1" si="62"/>
        <v>0</v>
      </c>
      <c r="BL118" s="775">
        <f t="shared" ca="1" si="63"/>
        <v>0</v>
      </c>
      <c r="BM118" s="775">
        <f t="shared" ca="1" si="64"/>
        <v>0</v>
      </c>
      <c r="BN118" s="775">
        <f t="shared" ca="1" si="65"/>
        <v>0</v>
      </c>
      <c r="BO118" s="775">
        <f t="shared" ca="1" si="66"/>
        <v>0</v>
      </c>
      <c r="BP118" s="775">
        <f t="shared" ca="1" si="67"/>
        <v>0</v>
      </c>
      <c r="BQ118" s="775">
        <f t="shared" ca="1" si="75"/>
        <v>0</v>
      </c>
      <c r="BR118" s="775">
        <f t="shared" ca="1" si="68"/>
        <v>0</v>
      </c>
    </row>
    <row r="119" spans="1:70">
      <c r="A119" s="767" t="str">
        <f t="shared" ca="1" si="73"/>
        <v/>
      </c>
      <c r="B119" s="786" t="s">
        <v>2069</v>
      </c>
      <c r="C119" s="188" t="str">
        <f ca="1">IF(F119=0,"",COUNTIF($F$78:$F119,"&gt;0"))</f>
        <v/>
      </c>
      <c r="D119" s="778" t="str">
        <f>VLOOKUP($B119,dongia1,DG!$C$5,)</f>
        <v>Cáp nhôm lõi thép AC-95/16</v>
      </c>
      <c r="E119" s="555" t="str">
        <f>VLOOKUP($B119,dongia1,DG!$D$5,)</f>
        <v>kg</v>
      </c>
      <c r="F119" s="779">
        <f ca="1">G119+H119</f>
        <v>0</v>
      </c>
      <c r="G119" s="775">
        <f t="shared" ca="1" si="76"/>
        <v>0</v>
      </c>
      <c r="H119" s="775">
        <f ca="1">SUMIF(CT_tram!$B$33:$G$3559,kl!B119,CT_tram!$G$33:$G$3559)</f>
        <v>0</v>
      </c>
      <c r="I119" s="775">
        <f ca="1">SUMIF(CT_tram!$B$34:$G$115,$B119,CT_tram!$G$34:$G$115)</f>
        <v>0</v>
      </c>
      <c r="J119" s="775">
        <f ca="1">SUMIF(CT_tram!$B$122:$G$204,$B119,CT_tram!$G$122:$G$204)</f>
        <v>0</v>
      </c>
      <c r="K119" s="775">
        <f ca="1">SUMIF(CT_tram!$B$211:$G$293,$B119,CT_tram!$G$211:$G$293)</f>
        <v>0</v>
      </c>
      <c r="L119" s="775">
        <f ca="1">SUMIF(CT_tram!$B$300:$G$374,$B119,CT_tram!$G$300:$G$374)</f>
        <v>0</v>
      </c>
      <c r="M119" s="775">
        <f ca="1">SUMIF(CT_tram!$B$381:$G$471,$B119,CT_tram!$G$381:$G$471)</f>
        <v>0</v>
      </c>
      <c r="N119" s="775">
        <f ca="1">SUMIF(CT_tram!$B$478:$G$560,$B119,CT_tram!$G$478:$G$560)</f>
        <v>0</v>
      </c>
      <c r="O119" s="775">
        <f ca="1">SUMIF(CT_tram!$B$567:$G$653,$B119,CT_tram!$G$567:$G$653)</f>
        <v>0</v>
      </c>
      <c r="P119" s="775">
        <f ca="1">SUMIF(CT_tram!$B$661:$G$738,$B119,CT_tram!$G$661:$G$738)</f>
        <v>0</v>
      </c>
      <c r="Q119" s="775">
        <f ca="1">SUMIF(CT_tram!$B$745:$G$899,$B119,CT_tram!$G$745:$G$899)</f>
        <v>0</v>
      </c>
      <c r="R119" s="775">
        <f ca="1">SUMIF(CT_tram!$B$907:$G$995,$B119,CT_tram!$G$907:$G$995)</f>
        <v>0</v>
      </c>
      <c r="S119" s="775"/>
      <c r="T119" s="775">
        <f ca="1">SUMIF(CT_tram!$B$1004:$G$1097,B119,CT_tram!$G$1004:$G$1097)</f>
        <v>0</v>
      </c>
      <c r="U119" s="775"/>
      <c r="V119" s="775">
        <f ca="1">SUMIF(CT_tram!$B$1226:$G$1352,kl!B119,CT_tram!$G$1226:$G$1352)</f>
        <v>0</v>
      </c>
      <c r="W119" s="780">
        <f ca="1">SUMIF(CT_tram!$B$1105:$G$1219,kl!B119,CT_tram!$G$1105:$G$1219)</f>
        <v>0</v>
      </c>
      <c r="X119" s="775">
        <f ca="1">SUMIF(CT_tram!$B$1359:$G$1504,kl!B119,CT_tram!$G$1359:$G$1504)</f>
        <v>0</v>
      </c>
      <c r="Y119" s="775">
        <f ca="1">SUMIF(CT_tram!$B$1511:$G$1625,kl!B119,CT_tram!$G$1511:$G$1625)</f>
        <v>0</v>
      </c>
      <c r="Z119" s="775">
        <f ca="1">SUMIF(CT_tram!$B$1632:$G$2211,kl!B119,CT_tram!$G$1632:$G$2211)</f>
        <v>0</v>
      </c>
      <c r="AA119" s="775">
        <f ca="1">SUMIF(CT_tram!$B$2243:$G$2384,kl!B119,CT_tram!$G$2243:$G$2384)</f>
        <v>0</v>
      </c>
      <c r="AB119" s="775">
        <f ca="1">SUMIF(CT_tram!$B$2391:$G$2563,kl!B119,CT_tram!$G$2391:$G$2563)</f>
        <v>0</v>
      </c>
      <c r="AC119" s="775">
        <f ca="1">SUMIF(chitiet!$B$13:$N$2352,kl!$B119,chitiet!$I$13:$I$2352)</f>
        <v>0</v>
      </c>
      <c r="AD119" s="775">
        <f ca="1">SUMIF(chitiet!$B$13:$N$2352,kl!$B119,chitiet!$J$13:$J$2352)</f>
        <v>0</v>
      </c>
      <c r="AE119" s="775">
        <f ca="1">SUMIF(chitiet!$B$13:$N$2352,kl!$B119,chitiet!$K$13:$K$2352)</f>
        <v>0</v>
      </c>
      <c r="AF119" s="775">
        <f ca="1">SUMIF(chitiet!$B$13:$N$2352,kl!$B119,chitiet!$L$13:$L$2352)</f>
        <v>0</v>
      </c>
      <c r="AG119" s="775">
        <f ca="1">SUMIF(chitiet!$B$13:$N$2352,kl!$B119,chitiet!$M$13)</f>
        <v>0</v>
      </c>
      <c r="AH119" s="775">
        <f ca="1">SUMIF(chitiet!$B$13:$N$2352,kl!$B119,chitiet!$N$13:$N$2352)</f>
        <v>0</v>
      </c>
      <c r="AI119" s="775">
        <f ca="1">SUMIF(chitiet!$B$13:$N$2352,kl!$B119,chitiet!$O$13:$O$2352)</f>
        <v>0</v>
      </c>
      <c r="AJ119" s="775">
        <f ca="1">SUMIF('Cap ngam'!$B$631:$G$723,kl!$B119,'Cap ngam'!$G$631:$G$723)</f>
        <v>0</v>
      </c>
      <c r="AK119" s="775">
        <f ca="1">SUMIF('Cap ngam'!$B$403:$G$628,kl!$B119,'Cap ngam'!G$403:G$628)</f>
        <v>0</v>
      </c>
      <c r="AL119" s="775">
        <f ca="1">SUMIF('Cap ngam'!B$16:G$400,kl!$B119,'Cap ngam'!G$16:G$400)</f>
        <v>0</v>
      </c>
      <c r="AM119" s="776">
        <v>1</v>
      </c>
      <c r="AN119" s="775">
        <f t="shared" ca="1" si="46"/>
        <v>0</v>
      </c>
      <c r="AO119" s="775">
        <f t="shared" ca="1" si="47"/>
        <v>0</v>
      </c>
      <c r="AP119" s="775">
        <f t="shared" ca="1" si="48"/>
        <v>0</v>
      </c>
      <c r="AQ119" s="775">
        <f t="shared" ca="1" si="49"/>
        <v>0</v>
      </c>
      <c r="AR119" s="775">
        <f t="shared" ca="1" si="50"/>
        <v>0</v>
      </c>
      <c r="AS119" s="775">
        <f t="shared" ca="1" si="51"/>
        <v>0</v>
      </c>
      <c r="AT119" s="775">
        <f t="shared" ca="1" si="52"/>
        <v>0</v>
      </c>
      <c r="AU119" s="775">
        <f t="shared" ca="1" si="53"/>
        <v>0</v>
      </c>
      <c r="AV119" s="775">
        <f t="shared" ca="1" si="54"/>
        <v>0</v>
      </c>
      <c r="AW119" s="775">
        <f t="shared" ca="1" si="55"/>
        <v>0</v>
      </c>
      <c r="AX119" s="775">
        <f t="shared" si="56"/>
        <v>0</v>
      </c>
      <c r="AY119" s="775">
        <f t="shared" ca="1" si="57"/>
        <v>0</v>
      </c>
      <c r="AZ119" s="775">
        <f t="shared" si="58"/>
        <v>0</v>
      </c>
      <c r="BA119" s="775">
        <f t="shared" ca="1" si="39"/>
        <v>0</v>
      </c>
      <c r="BB119" s="775">
        <f t="shared" ca="1" si="40"/>
        <v>0</v>
      </c>
      <c r="BC119" s="775">
        <f t="shared" ca="1" si="41"/>
        <v>0</v>
      </c>
      <c r="BD119" s="775">
        <f t="shared" ca="1" si="42"/>
        <v>0</v>
      </c>
      <c r="BE119" s="775">
        <f t="shared" ca="1" si="43"/>
        <v>0</v>
      </c>
      <c r="BF119" s="775">
        <f t="shared" ca="1" si="44"/>
        <v>0</v>
      </c>
      <c r="BG119" s="775">
        <f t="shared" ca="1" si="45"/>
        <v>0</v>
      </c>
      <c r="BH119" s="775">
        <f t="shared" ca="1" si="59"/>
        <v>0</v>
      </c>
      <c r="BI119" s="775">
        <f t="shared" ca="1" si="60"/>
        <v>0</v>
      </c>
      <c r="BJ119" s="775">
        <f t="shared" ca="1" si="61"/>
        <v>0</v>
      </c>
      <c r="BK119" s="775">
        <f t="shared" ca="1" si="62"/>
        <v>0</v>
      </c>
      <c r="BL119" s="775">
        <f t="shared" ca="1" si="63"/>
        <v>0</v>
      </c>
      <c r="BM119" s="775">
        <f t="shared" ca="1" si="64"/>
        <v>0</v>
      </c>
      <c r="BN119" s="775">
        <f t="shared" ca="1" si="65"/>
        <v>0</v>
      </c>
      <c r="BO119" s="775">
        <f t="shared" ca="1" si="66"/>
        <v>0</v>
      </c>
      <c r="BP119" s="775">
        <f t="shared" ca="1" si="67"/>
        <v>0</v>
      </c>
      <c r="BQ119" s="775">
        <f t="shared" ca="1" si="75"/>
        <v>0</v>
      </c>
      <c r="BR119" s="775">
        <f t="shared" ca="1" si="68"/>
        <v>0</v>
      </c>
    </row>
    <row r="120" spans="1:70">
      <c r="A120" s="767" t="str">
        <f t="shared" ca="1" si="73"/>
        <v/>
      </c>
      <c r="B120" s="786" t="s">
        <v>1070</v>
      </c>
      <c r="C120" s="188" t="str">
        <f ca="1">IF(F120=0,"",COUNTIF($F$78:$F120,"&gt;0"))</f>
        <v/>
      </c>
      <c r="D120" s="778" t="str">
        <f>VLOOKUP($B120,dongia1,DG!$C$5,)</f>
        <v>Cáp nhôm lõi thép AC-120/19</v>
      </c>
      <c r="E120" s="555" t="str">
        <f>VLOOKUP($B120,dongia1,DG!$D$5,)</f>
        <v>kg</v>
      </c>
      <c r="F120" s="779">
        <f t="shared" ca="1" si="74"/>
        <v>0</v>
      </c>
      <c r="G120" s="775">
        <f t="shared" ca="1" si="76"/>
        <v>0</v>
      </c>
      <c r="H120" s="775">
        <f ca="1">SUMIF(CT_tram!$B$33:$G$3559,kl!B120,CT_tram!$G$33:$G$3559)</f>
        <v>0</v>
      </c>
      <c r="I120" s="775">
        <f ca="1">SUMIF(CT_tram!$B$34:$G$115,$B120,CT_tram!$G$34:$G$115)</f>
        <v>0</v>
      </c>
      <c r="J120" s="775">
        <f ca="1">SUMIF(CT_tram!$B$122:$G$204,$B120,CT_tram!$G$122:$G$204)</f>
        <v>0</v>
      </c>
      <c r="K120" s="775">
        <f ca="1">SUMIF(CT_tram!$B$211:$G$293,$B120,CT_tram!$G$211:$G$293)</f>
        <v>0</v>
      </c>
      <c r="L120" s="775">
        <f ca="1">SUMIF(CT_tram!$B$300:$G$374,$B120,CT_tram!$G$300:$G$374)</f>
        <v>0</v>
      </c>
      <c r="M120" s="775">
        <f ca="1">SUMIF(CT_tram!$B$381:$G$471,$B120,CT_tram!$G$381:$G$471)</f>
        <v>0</v>
      </c>
      <c r="N120" s="775">
        <f ca="1">SUMIF(CT_tram!$B$478:$G$560,$B120,CT_tram!$G$478:$G$560)</f>
        <v>0</v>
      </c>
      <c r="O120" s="775">
        <f ca="1">SUMIF(CT_tram!$B$567:$G$653,$B120,CT_tram!$G$567:$G$653)</f>
        <v>0</v>
      </c>
      <c r="P120" s="775">
        <f ca="1">SUMIF(CT_tram!$B$661:$G$738,$B120,CT_tram!$G$661:$G$738)</f>
        <v>0</v>
      </c>
      <c r="Q120" s="775">
        <f ca="1">SUMIF(CT_tram!$B$745:$G$899,$B120,CT_tram!$G$745:$G$899)</f>
        <v>0</v>
      </c>
      <c r="R120" s="775">
        <f ca="1">SUMIF(CT_tram!$B$907:$G$995,$B120,CT_tram!$G$907:$G$995)</f>
        <v>0</v>
      </c>
      <c r="S120" s="775"/>
      <c r="T120" s="775">
        <f ca="1">SUMIF(CT_tram!$B$1004:$G$1097,B120,CT_tram!$G$1004:$G$1097)</f>
        <v>0</v>
      </c>
      <c r="U120" s="775"/>
      <c r="V120" s="775">
        <f ca="1">SUMIF(CT_tram!$B$1226:$G$1352,kl!B120,CT_tram!$G$1226:$G$1352)</f>
        <v>0</v>
      </c>
      <c r="W120" s="780">
        <f ca="1">SUMIF(CT_tram!$B$1105:$G$1219,kl!B120,CT_tram!$G$1105:$G$1219)</f>
        <v>0</v>
      </c>
      <c r="X120" s="775">
        <f ca="1">SUMIF(CT_tram!$B$1359:$G$1504,kl!B120,CT_tram!$G$1359:$G$1504)</f>
        <v>0</v>
      </c>
      <c r="Y120" s="775">
        <f ca="1">SUMIF(CT_tram!$B$1511:$G$1625,kl!B120,CT_tram!$G$1511:$G$1625)</f>
        <v>0</v>
      </c>
      <c r="Z120" s="775">
        <f ca="1">SUMIF(CT_tram!$B$1632:$G$2211,kl!B120,CT_tram!$G$1632:$G$2211)</f>
        <v>0</v>
      </c>
      <c r="AA120" s="775">
        <f ca="1">SUMIF(CT_tram!$B$2243:$G$2384,kl!B120,CT_tram!$G$2243:$G$2384)</f>
        <v>0</v>
      </c>
      <c r="AB120" s="775">
        <f ca="1">SUMIF(CT_tram!$B$2391:$G$2563,kl!B120,CT_tram!$G$2391:$G$2563)</f>
        <v>0</v>
      </c>
      <c r="AC120" s="775">
        <f ca="1">SUMIF(chitiet!$B$13:$N$2352,kl!$B120,chitiet!$I$13:$I$2352)</f>
        <v>0</v>
      </c>
      <c r="AD120" s="775">
        <f ca="1">SUMIF(chitiet!$B$13:$N$2352,kl!$B120,chitiet!$J$13:$J$2352)</f>
        <v>0</v>
      </c>
      <c r="AE120" s="775">
        <f ca="1">SUMIF(chitiet!$B$13:$N$2352,kl!$B120,chitiet!$K$13:$K$2352)</f>
        <v>0</v>
      </c>
      <c r="AF120" s="775">
        <f ca="1">SUMIF(chitiet!$B$13:$N$2352,kl!$B120,chitiet!$L$13:$L$2352)</f>
        <v>0</v>
      </c>
      <c r="AG120" s="775">
        <f ca="1">SUMIF(chitiet!$B$13:$N$2352,kl!$B120,chitiet!$M$13)</f>
        <v>0</v>
      </c>
      <c r="AH120" s="775">
        <f ca="1">SUMIF(chitiet!$B$13:$N$2352,kl!$B120,chitiet!$N$13:$N$2352)</f>
        <v>0</v>
      </c>
      <c r="AI120" s="775">
        <f ca="1">SUMIF(chitiet!$B$13:$N$2352,kl!$B120,chitiet!$O$13:$O$2352)</f>
        <v>0</v>
      </c>
      <c r="AJ120" s="775">
        <f ca="1">SUMIF('Cap ngam'!$B$631:$G$723,kl!$B120,'Cap ngam'!$G$631:$G$723)</f>
        <v>0</v>
      </c>
      <c r="AK120" s="775">
        <f ca="1">SUMIF('Cap ngam'!$B$403:$G$628,kl!$B120,'Cap ngam'!G$403:G$628)</f>
        <v>0</v>
      </c>
      <c r="AL120" s="775">
        <f ca="1">SUMIF('Cap ngam'!B$16:G$400,kl!$B120,'Cap ngam'!G$16:G$400)</f>
        <v>0</v>
      </c>
      <c r="AM120" s="776">
        <v>1</v>
      </c>
      <c r="AN120" s="775">
        <f t="shared" ca="1" si="46"/>
        <v>0</v>
      </c>
      <c r="AO120" s="775">
        <f t="shared" ca="1" si="47"/>
        <v>0</v>
      </c>
      <c r="AP120" s="775">
        <f t="shared" ca="1" si="48"/>
        <v>0</v>
      </c>
      <c r="AQ120" s="775">
        <f t="shared" ca="1" si="49"/>
        <v>0</v>
      </c>
      <c r="AR120" s="775">
        <f t="shared" ca="1" si="50"/>
        <v>0</v>
      </c>
      <c r="AS120" s="775">
        <f t="shared" ca="1" si="51"/>
        <v>0</v>
      </c>
      <c r="AT120" s="775">
        <f t="shared" ca="1" si="52"/>
        <v>0</v>
      </c>
      <c r="AU120" s="775">
        <f t="shared" ca="1" si="53"/>
        <v>0</v>
      </c>
      <c r="AV120" s="775">
        <f t="shared" ca="1" si="54"/>
        <v>0</v>
      </c>
      <c r="AW120" s="775">
        <f t="shared" ca="1" si="55"/>
        <v>0</v>
      </c>
      <c r="AX120" s="775">
        <f t="shared" si="56"/>
        <v>0</v>
      </c>
      <c r="AY120" s="775">
        <f t="shared" ca="1" si="57"/>
        <v>0</v>
      </c>
      <c r="AZ120" s="775">
        <f t="shared" si="58"/>
        <v>0</v>
      </c>
      <c r="BA120" s="775">
        <f t="shared" ca="1" si="39"/>
        <v>0</v>
      </c>
      <c r="BB120" s="775">
        <f t="shared" ca="1" si="40"/>
        <v>0</v>
      </c>
      <c r="BC120" s="775">
        <f t="shared" ca="1" si="41"/>
        <v>0</v>
      </c>
      <c r="BD120" s="775">
        <f t="shared" ca="1" si="42"/>
        <v>0</v>
      </c>
      <c r="BE120" s="775">
        <f t="shared" ca="1" si="43"/>
        <v>0</v>
      </c>
      <c r="BF120" s="775">
        <f t="shared" ca="1" si="44"/>
        <v>0</v>
      </c>
      <c r="BG120" s="775">
        <f t="shared" ca="1" si="45"/>
        <v>0</v>
      </c>
      <c r="BH120" s="775">
        <f t="shared" ca="1" si="59"/>
        <v>0</v>
      </c>
      <c r="BI120" s="775">
        <f t="shared" ca="1" si="60"/>
        <v>0</v>
      </c>
      <c r="BJ120" s="775">
        <f t="shared" ca="1" si="61"/>
        <v>0</v>
      </c>
      <c r="BK120" s="775">
        <f t="shared" ca="1" si="62"/>
        <v>0</v>
      </c>
      <c r="BL120" s="775">
        <f t="shared" ca="1" si="63"/>
        <v>0</v>
      </c>
      <c r="BM120" s="775">
        <f t="shared" ca="1" si="64"/>
        <v>0</v>
      </c>
      <c r="BN120" s="775">
        <f t="shared" ca="1" si="65"/>
        <v>0</v>
      </c>
      <c r="BO120" s="775">
        <f t="shared" ca="1" si="66"/>
        <v>0</v>
      </c>
      <c r="BP120" s="775">
        <f t="shared" ca="1" si="67"/>
        <v>0</v>
      </c>
      <c r="BQ120" s="775">
        <f t="shared" ca="1" si="75"/>
        <v>0</v>
      </c>
      <c r="BR120" s="775">
        <f t="shared" ca="1" si="68"/>
        <v>0</v>
      </c>
    </row>
    <row r="121" spans="1:70">
      <c r="A121" s="767" t="str">
        <f t="shared" ca="1" si="73"/>
        <v/>
      </c>
      <c r="B121" s="786" t="s">
        <v>1023</v>
      </c>
      <c r="C121" s="188" t="str">
        <f ca="1">IF(F121=0,"",COUNTIF($F$78:$F121,"&gt;0"))</f>
        <v/>
      </c>
      <c r="D121" s="778" t="str">
        <f>VLOOKUP($B121,dongia1,DG!$C$5,)</f>
        <v>Cáp nhôm lõi thép AC-150/19</v>
      </c>
      <c r="E121" s="555" t="str">
        <f>VLOOKUP($B121,dongia1,DG!$D$5,)</f>
        <v>kg</v>
      </c>
      <c r="F121" s="779">
        <f ca="1">G121+H121</f>
        <v>0</v>
      </c>
      <c r="G121" s="775">
        <f t="shared" ca="1" si="76"/>
        <v>0</v>
      </c>
      <c r="H121" s="775">
        <f ca="1">SUMIF(CT_tram!$B$33:$G$3559,kl!B121,CT_tram!$G$33:$G$3559)</f>
        <v>0</v>
      </c>
      <c r="I121" s="775">
        <f ca="1">SUMIF(CT_tram!$B$34:$G$115,$B121,CT_tram!$G$34:$G$115)</f>
        <v>0</v>
      </c>
      <c r="J121" s="775">
        <f ca="1">SUMIF(CT_tram!$B$122:$G$204,$B121,CT_tram!$G$122:$G$204)</f>
        <v>0</v>
      </c>
      <c r="K121" s="775">
        <f ca="1">SUMIF(CT_tram!$B$211:$G$293,$B121,CT_tram!$G$211:$G$293)</f>
        <v>0</v>
      </c>
      <c r="L121" s="775">
        <f ca="1">SUMIF(CT_tram!$B$300:$G$374,$B121,CT_tram!$G$300:$G$374)</f>
        <v>0</v>
      </c>
      <c r="M121" s="775">
        <f ca="1">SUMIF(CT_tram!$B$381:$G$471,$B121,CT_tram!$G$381:$G$471)</f>
        <v>0</v>
      </c>
      <c r="N121" s="775">
        <f ca="1">SUMIF(CT_tram!$B$478:$G$560,$B121,CT_tram!$G$478:$G$560)</f>
        <v>0</v>
      </c>
      <c r="O121" s="775">
        <f ca="1">SUMIF(CT_tram!$B$567:$G$653,$B121,CT_tram!$G$567:$G$653)</f>
        <v>0</v>
      </c>
      <c r="P121" s="775">
        <f ca="1">SUMIF(CT_tram!$B$661:$G$738,$B121,CT_tram!$G$661:$G$738)</f>
        <v>0</v>
      </c>
      <c r="Q121" s="775">
        <f ca="1">SUMIF(CT_tram!$B$745:$G$899,$B121,CT_tram!$G$745:$G$899)</f>
        <v>0</v>
      </c>
      <c r="R121" s="775">
        <f ca="1">SUMIF(CT_tram!$B$907:$G$995,$B121,CT_tram!$G$907:$G$995)</f>
        <v>0</v>
      </c>
      <c r="S121" s="775"/>
      <c r="T121" s="775">
        <f ca="1">SUMIF(CT_tram!$B$1004:$G$1097,B121,CT_tram!$G$1004:$G$1097)</f>
        <v>0</v>
      </c>
      <c r="U121" s="775"/>
      <c r="V121" s="775">
        <f ca="1">SUMIF(CT_tram!$B$1226:$G$1352,kl!B121,CT_tram!$G$1226:$G$1352)</f>
        <v>0</v>
      </c>
      <c r="W121" s="780">
        <f ca="1">SUMIF(CT_tram!$B$1105:$G$1219,kl!B121,CT_tram!$G$1105:$G$1219)</f>
        <v>0</v>
      </c>
      <c r="X121" s="775">
        <f ca="1">SUMIF(CT_tram!$B$1359:$G$1504,kl!B121,CT_tram!$G$1359:$G$1504)</f>
        <v>0</v>
      </c>
      <c r="Y121" s="775">
        <f ca="1">SUMIF(CT_tram!$B$1511:$G$1625,kl!B121,CT_tram!$G$1511:$G$1625)</f>
        <v>0</v>
      </c>
      <c r="Z121" s="775">
        <f ca="1">SUMIF(CT_tram!$B$1632:$G$2211,kl!B121,CT_tram!$G$1632:$G$2211)</f>
        <v>0</v>
      </c>
      <c r="AA121" s="775">
        <f ca="1">SUMIF(CT_tram!$B$2243:$G$2384,kl!B121,CT_tram!$G$2243:$G$2384)</f>
        <v>0</v>
      </c>
      <c r="AB121" s="775">
        <f ca="1">SUMIF(CT_tram!$B$2391:$G$2563,kl!B121,CT_tram!$G$2391:$G$2563)</f>
        <v>0</v>
      </c>
      <c r="AC121" s="775">
        <f ca="1">SUMIF(chitiet!$B$13:$N$2352,kl!$B121,chitiet!$I$13:$I$2352)</f>
        <v>0</v>
      </c>
      <c r="AD121" s="775">
        <f ca="1">SUMIF(chitiet!$B$13:$N$2352,kl!$B121,chitiet!$J$13:$J$2352)</f>
        <v>0</v>
      </c>
      <c r="AE121" s="775">
        <f ca="1">SUMIF(chitiet!$B$13:$N$2352,kl!$B121,chitiet!$K$13:$K$2352)</f>
        <v>0</v>
      </c>
      <c r="AF121" s="775">
        <f ca="1">SUMIF(chitiet!$B$13:$N$2352,kl!$B121,chitiet!$L$13:$L$2352)</f>
        <v>0</v>
      </c>
      <c r="AG121" s="775">
        <f ca="1">SUMIF(chitiet!$B$13:$N$2352,kl!$B121,chitiet!$M$13)</f>
        <v>0</v>
      </c>
      <c r="AH121" s="775">
        <f ca="1">SUMIF(chitiet!$B$13:$N$2352,kl!$B121,chitiet!$N$13:$N$2352)</f>
        <v>0</v>
      </c>
      <c r="AI121" s="775">
        <f ca="1">SUMIF(chitiet!$B$13:$N$2352,kl!$B121,chitiet!$O$13:$O$2352)</f>
        <v>0</v>
      </c>
      <c r="AJ121" s="775">
        <f ca="1">SUMIF('Cap ngam'!$B$631:$G$723,kl!$B121,'Cap ngam'!$G$631:$G$723)</f>
        <v>0</v>
      </c>
      <c r="AK121" s="775">
        <f ca="1">SUMIF('Cap ngam'!$B$403:$G$628,kl!$B121,'Cap ngam'!G$403:G$628)</f>
        <v>0</v>
      </c>
      <c r="AL121" s="775">
        <f ca="1">SUMIF('Cap ngam'!B$16:G$400,kl!$B121,'Cap ngam'!G$16:G$400)</f>
        <v>0</v>
      </c>
      <c r="AM121" s="776">
        <v>1</v>
      </c>
      <c r="AN121" s="775">
        <f t="shared" ca="1" si="46"/>
        <v>0</v>
      </c>
      <c r="AO121" s="775">
        <f t="shared" ca="1" si="47"/>
        <v>0</v>
      </c>
      <c r="AP121" s="775">
        <f t="shared" ca="1" si="48"/>
        <v>0</v>
      </c>
      <c r="AQ121" s="775">
        <f t="shared" ca="1" si="49"/>
        <v>0</v>
      </c>
      <c r="AR121" s="775">
        <f t="shared" ca="1" si="50"/>
        <v>0</v>
      </c>
      <c r="AS121" s="775">
        <f t="shared" ca="1" si="51"/>
        <v>0</v>
      </c>
      <c r="AT121" s="775">
        <f t="shared" ca="1" si="52"/>
        <v>0</v>
      </c>
      <c r="AU121" s="775">
        <f t="shared" ca="1" si="53"/>
        <v>0</v>
      </c>
      <c r="AV121" s="775">
        <f t="shared" ca="1" si="54"/>
        <v>0</v>
      </c>
      <c r="AW121" s="775">
        <f t="shared" ca="1" si="55"/>
        <v>0</v>
      </c>
      <c r="AX121" s="775">
        <f t="shared" si="56"/>
        <v>0</v>
      </c>
      <c r="AY121" s="775">
        <f t="shared" ca="1" si="57"/>
        <v>0</v>
      </c>
      <c r="AZ121" s="775">
        <f t="shared" si="58"/>
        <v>0</v>
      </c>
      <c r="BA121" s="775">
        <f t="shared" ca="1" si="39"/>
        <v>0</v>
      </c>
      <c r="BB121" s="775">
        <f t="shared" ca="1" si="40"/>
        <v>0</v>
      </c>
      <c r="BC121" s="775">
        <f t="shared" ca="1" si="41"/>
        <v>0</v>
      </c>
      <c r="BD121" s="775">
        <f t="shared" ca="1" si="42"/>
        <v>0</v>
      </c>
      <c r="BE121" s="775">
        <f t="shared" ca="1" si="43"/>
        <v>0</v>
      </c>
      <c r="BF121" s="775">
        <f t="shared" ca="1" si="44"/>
        <v>0</v>
      </c>
      <c r="BG121" s="775">
        <f t="shared" ca="1" si="45"/>
        <v>0</v>
      </c>
      <c r="BH121" s="775">
        <f t="shared" ca="1" si="59"/>
        <v>0</v>
      </c>
      <c r="BI121" s="775">
        <f t="shared" ca="1" si="60"/>
        <v>0</v>
      </c>
      <c r="BJ121" s="775">
        <f t="shared" ca="1" si="61"/>
        <v>0</v>
      </c>
      <c r="BK121" s="775">
        <f t="shared" ca="1" si="62"/>
        <v>0</v>
      </c>
      <c r="BL121" s="775">
        <f t="shared" ca="1" si="63"/>
        <v>0</v>
      </c>
      <c r="BM121" s="775">
        <f t="shared" ca="1" si="64"/>
        <v>0</v>
      </c>
      <c r="BN121" s="775">
        <f t="shared" ca="1" si="65"/>
        <v>0</v>
      </c>
      <c r="BO121" s="775">
        <f t="shared" ca="1" si="66"/>
        <v>0</v>
      </c>
      <c r="BP121" s="775">
        <f t="shared" ca="1" si="67"/>
        <v>0</v>
      </c>
      <c r="BQ121" s="775">
        <f t="shared" ca="1" si="75"/>
        <v>0</v>
      </c>
      <c r="BR121" s="775">
        <f t="shared" ca="1" si="68"/>
        <v>0</v>
      </c>
    </row>
    <row r="122" spans="1:70">
      <c r="A122" s="767" t="str">
        <f t="shared" ca="1" si="73"/>
        <v/>
      </c>
      <c r="B122" s="786" t="s">
        <v>191</v>
      </c>
      <c r="C122" s="188" t="str">
        <f ca="1">IF(F122=0,"",COUNTIF($F$78:$F122,"&gt;0"))</f>
        <v/>
      </c>
      <c r="D122" s="778" t="str">
        <f>VLOOKUP($B122,dongia1,DG!$C$5,)</f>
        <v>Cáp nhôm lõi thép AC-185/24</v>
      </c>
      <c r="E122" s="555" t="str">
        <f>VLOOKUP($B122,dongia1,DG!$D$5,)</f>
        <v>kg</v>
      </c>
      <c r="F122" s="779">
        <f ca="1">G122+H122</f>
        <v>0</v>
      </c>
      <c r="G122" s="775">
        <f t="shared" ca="1" si="76"/>
        <v>0</v>
      </c>
      <c r="H122" s="775">
        <f ca="1">SUMIF(CT_tram!$B$33:$G$3559,kl!B122,CT_tram!$G$33:$G$3559)</f>
        <v>0</v>
      </c>
      <c r="I122" s="775">
        <f ca="1">SUMIF(CT_tram!$B$34:$G$115,$B122,CT_tram!$G$34:$G$115)</f>
        <v>0</v>
      </c>
      <c r="J122" s="775">
        <f ca="1">SUMIF(CT_tram!$B$122:$G$204,$B122,CT_tram!$G$122:$G$204)</f>
        <v>0</v>
      </c>
      <c r="K122" s="775">
        <f ca="1">SUMIF(CT_tram!$B$211:$G$293,$B122,CT_tram!$G$211:$G$293)</f>
        <v>0</v>
      </c>
      <c r="L122" s="775">
        <f ca="1">SUMIF(CT_tram!$B$300:$G$374,$B122,CT_tram!$G$300:$G$374)</f>
        <v>0</v>
      </c>
      <c r="M122" s="775">
        <f ca="1">SUMIF(CT_tram!$B$381:$G$471,$B122,CT_tram!$G$381:$G$471)</f>
        <v>0</v>
      </c>
      <c r="N122" s="775">
        <f ca="1">SUMIF(CT_tram!$B$478:$G$560,$B122,CT_tram!$G$478:$G$560)</f>
        <v>0</v>
      </c>
      <c r="O122" s="775">
        <f ca="1">SUMIF(CT_tram!$B$567:$G$653,$B122,CT_tram!$G$567:$G$653)</f>
        <v>0</v>
      </c>
      <c r="P122" s="775">
        <f ca="1">SUMIF(CT_tram!$B$661:$G$738,$B122,CT_tram!$G$661:$G$738)</f>
        <v>0</v>
      </c>
      <c r="Q122" s="775">
        <f ca="1">SUMIF(CT_tram!$B$745:$G$899,$B122,CT_tram!$G$745:$G$899)</f>
        <v>0</v>
      </c>
      <c r="R122" s="775">
        <f ca="1">SUMIF(CT_tram!$B$907:$G$995,$B122,CT_tram!$G$907:$G$995)</f>
        <v>0</v>
      </c>
      <c r="S122" s="775"/>
      <c r="T122" s="775">
        <f ca="1">SUMIF(CT_tram!$B$1004:$G$1097,B122,CT_tram!$G$1004:$G$1097)</f>
        <v>0</v>
      </c>
      <c r="U122" s="775"/>
      <c r="V122" s="775">
        <f ca="1">SUMIF(CT_tram!$B$1226:$G$1352,kl!B122,CT_tram!$G$1226:$G$1352)</f>
        <v>0</v>
      </c>
      <c r="W122" s="780">
        <f ca="1">SUMIF(CT_tram!$B$1105:$G$1219,kl!B122,CT_tram!$G$1105:$G$1219)</f>
        <v>0</v>
      </c>
      <c r="X122" s="775">
        <f ca="1">SUMIF(CT_tram!$B$1359:$G$1504,kl!B122,CT_tram!$G$1359:$G$1504)</f>
        <v>0</v>
      </c>
      <c r="Y122" s="775">
        <f ca="1">SUMIF(CT_tram!$B$1511:$G$1625,kl!B122,CT_tram!$G$1511:$G$1625)</f>
        <v>0</v>
      </c>
      <c r="Z122" s="775">
        <f ca="1">SUMIF(CT_tram!$B$1632:$G$2211,kl!B122,CT_tram!$G$1632:$G$2211)</f>
        <v>0</v>
      </c>
      <c r="AA122" s="775">
        <f ca="1">SUMIF(CT_tram!$B$2243:$G$2384,kl!B122,CT_tram!$G$2243:$G$2384)</f>
        <v>0</v>
      </c>
      <c r="AB122" s="775">
        <f ca="1">SUMIF(CT_tram!$B$2391:$G$2563,kl!B122,CT_tram!$G$2391:$G$2563)</f>
        <v>0</v>
      </c>
      <c r="AC122" s="775">
        <f ca="1">SUMIF(chitiet!$B$13:$N$2352,kl!$B122,chitiet!$I$13:$I$2352)</f>
        <v>0</v>
      </c>
      <c r="AD122" s="775">
        <f ca="1">SUMIF(chitiet!$B$13:$N$2352,kl!$B122,chitiet!$J$13:$J$2352)</f>
        <v>0</v>
      </c>
      <c r="AE122" s="775">
        <f ca="1">SUMIF(chitiet!$B$13:$N$2352,kl!$B122,chitiet!$K$13:$K$2352)</f>
        <v>0</v>
      </c>
      <c r="AF122" s="775">
        <f ca="1">SUMIF(chitiet!$B$13:$N$2352,kl!$B122,chitiet!$L$13:$L$2352)</f>
        <v>0</v>
      </c>
      <c r="AG122" s="775">
        <f ca="1">SUMIF(chitiet!$B$13:$N$2352,kl!$B122,chitiet!$M$13)</f>
        <v>0</v>
      </c>
      <c r="AH122" s="775">
        <f ca="1">SUMIF(chitiet!$B$13:$N$2352,kl!$B122,chitiet!$N$13:$N$2352)</f>
        <v>0</v>
      </c>
      <c r="AI122" s="775">
        <f ca="1">SUMIF(chitiet!$B$13:$N$2352,kl!$B122,chitiet!$O$13:$O$2352)</f>
        <v>0</v>
      </c>
      <c r="AJ122" s="775">
        <f ca="1">SUMIF('Cap ngam'!$B$631:$G$723,kl!$B122,'Cap ngam'!$G$631:$G$723)</f>
        <v>0</v>
      </c>
      <c r="AK122" s="775">
        <f ca="1">SUMIF('Cap ngam'!$B$403:$G$628,kl!$B122,'Cap ngam'!G$403:G$628)</f>
        <v>0</v>
      </c>
      <c r="AL122" s="775">
        <f ca="1">SUMIF('Cap ngam'!B$16:G$400,kl!$B122,'Cap ngam'!G$16:G$400)</f>
        <v>0</v>
      </c>
      <c r="AM122" s="776">
        <v>1</v>
      </c>
      <c r="AN122" s="775">
        <f t="shared" ca="1" si="46"/>
        <v>0</v>
      </c>
      <c r="AO122" s="775">
        <f t="shared" ca="1" si="47"/>
        <v>0</v>
      </c>
      <c r="AP122" s="775">
        <f t="shared" ca="1" si="48"/>
        <v>0</v>
      </c>
      <c r="AQ122" s="775">
        <f t="shared" ca="1" si="49"/>
        <v>0</v>
      </c>
      <c r="AR122" s="775">
        <f t="shared" ca="1" si="50"/>
        <v>0</v>
      </c>
      <c r="AS122" s="775">
        <f t="shared" ca="1" si="51"/>
        <v>0</v>
      </c>
      <c r="AT122" s="775">
        <f t="shared" ca="1" si="52"/>
        <v>0</v>
      </c>
      <c r="AU122" s="775">
        <f t="shared" ca="1" si="53"/>
        <v>0</v>
      </c>
      <c r="AV122" s="775">
        <f t="shared" ca="1" si="54"/>
        <v>0</v>
      </c>
      <c r="AW122" s="775">
        <f t="shared" ca="1" si="55"/>
        <v>0</v>
      </c>
      <c r="AX122" s="775">
        <f t="shared" si="56"/>
        <v>0</v>
      </c>
      <c r="AY122" s="775">
        <f t="shared" ca="1" si="57"/>
        <v>0</v>
      </c>
      <c r="AZ122" s="775">
        <f t="shared" si="58"/>
        <v>0</v>
      </c>
      <c r="BA122" s="775">
        <f t="shared" ca="1" si="39"/>
        <v>0</v>
      </c>
      <c r="BB122" s="775">
        <f t="shared" ca="1" si="40"/>
        <v>0</v>
      </c>
      <c r="BC122" s="775">
        <f t="shared" ca="1" si="41"/>
        <v>0</v>
      </c>
      <c r="BD122" s="775">
        <f t="shared" ca="1" si="42"/>
        <v>0</v>
      </c>
      <c r="BE122" s="775">
        <f t="shared" ca="1" si="43"/>
        <v>0</v>
      </c>
      <c r="BF122" s="775">
        <f t="shared" ca="1" si="44"/>
        <v>0</v>
      </c>
      <c r="BG122" s="775">
        <f t="shared" ca="1" si="45"/>
        <v>0</v>
      </c>
      <c r="BH122" s="775">
        <f t="shared" ca="1" si="59"/>
        <v>0</v>
      </c>
      <c r="BI122" s="775">
        <f t="shared" ca="1" si="60"/>
        <v>0</v>
      </c>
      <c r="BJ122" s="775">
        <f t="shared" ca="1" si="61"/>
        <v>0</v>
      </c>
      <c r="BK122" s="775">
        <f t="shared" ca="1" si="62"/>
        <v>0</v>
      </c>
      <c r="BL122" s="775">
        <f t="shared" ca="1" si="63"/>
        <v>0</v>
      </c>
      <c r="BM122" s="775">
        <f t="shared" ca="1" si="64"/>
        <v>0</v>
      </c>
      <c r="BN122" s="775">
        <f t="shared" ca="1" si="65"/>
        <v>0</v>
      </c>
      <c r="BO122" s="775">
        <f t="shared" ca="1" si="66"/>
        <v>0</v>
      </c>
      <c r="BP122" s="775">
        <f t="shared" ca="1" si="67"/>
        <v>0</v>
      </c>
      <c r="BQ122" s="775">
        <f t="shared" ca="1" si="75"/>
        <v>0</v>
      </c>
      <c r="BR122" s="775">
        <f t="shared" ca="1" si="68"/>
        <v>0</v>
      </c>
    </row>
    <row r="123" spans="1:70">
      <c r="A123" s="767" t="str">
        <f t="shared" ca="1" si="73"/>
        <v/>
      </c>
      <c r="B123" s="789" t="s">
        <v>190</v>
      </c>
      <c r="C123" s="188" t="str">
        <f ca="1">IF(F123=0,"",COUNTIF($F$78:$F123,"&gt;0"))</f>
        <v/>
      </c>
      <c r="D123" s="778" t="str">
        <f>VLOOKUP($B123,dongia1,DG!$C$5,)</f>
        <v>Cáp nhôm lõi thép AC-240/32</v>
      </c>
      <c r="E123" s="555" t="str">
        <f>VLOOKUP($B123,dongia1,DG!$D$5,)</f>
        <v>kg</v>
      </c>
      <c r="F123" s="779">
        <f t="shared" ca="1" si="74"/>
        <v>0</v>
      </c>
      <c r="G123" s="775">
        <f t="shared" ca="1" si="76"/>
        <v>0</v>
      </c>
      <c r="H123" s="775">
        <f ca="1">SUMIF(CT_tram!$B$33:$G$3559,kl!B123,CT_tram!$G$33:$G$3559)</f>
        <v>0</v>
      </c>
      <c r="I123" s="775">
        <f ca="1">SUMIF(CT_tram!$B$34:$G$115,$B123,CT_tram!$G$34:$G$115)</f>
        <v>0</v>
      </c>
      <c r="J123" s="775">
        <f ca="1">SUMIF(CT_tram!$B$122:$G$204,$B123,CT_tram!$G$122:$G$204)</f>
        <v>0</v>
      </c>
      <c r="K123" s="775">
        <f ca="1">SUMIF(CT_tram!$B$211:$G$293,$B123,CT_tram!$G$211:$G$293)</f>
        <v>0</v>
      </c>
      <c r="L123" s="775">
        <f ca="1">SUMIF(CT_tram!$B$300:$G$374,$B123,CT_tram!$G$300:$G$374)</f>
        <v>0</v>
      </c>
      <c r="M123" s="775">
        <f ca="1">SUMIF(CT_tram!$B$381:$G$471,$B123,CT_tram!$G$381:$G$471)</f>
        <v>0</v>
      </c>
      <c r="N123" s="775">
        <f ca="1">SUMIF(CT_tram!$B$478:$G$560,$B123,CT_tram!$G$478:$G$560)</f>
        <v>0</v>
      </c>
      <c r="O123" s="775">
        <f ca="1">SUMIF(CT_tram!$B$567:$G$653,$B123,CT_tram!$G$567:$G$653)</f>
        <v>0</v>
      </c>
      <c r="P123" s="775">
        <f ca="1">SUMIF(CT_tram!$B$661:$G$738,$B123,CT_tram!$G$661:$G$738)</f>
        <v>0</v>
      </c>
      <c r="Q123" s="775">
        <f ca="1">SUMIF(CT_tram!$B$745:$G$899,$B123,CT_tram!$G$745:$G$899)</f>
        <v>0</v>
      </c>
      <c r="R123" s="775">
        <f ca="1">SUMIF(CT_tram!$B$907:$G$995,$B123,CT_tram!$G$907:$G$995)</f>
        <v>0</v>
      </c>
      <c r="S123" s="775"/>
      <c r="T123" s="775">
        <f ca="1">SUMIF(CT_tram!$B$1004:$G$1097,B123,CT_tram!$G$1004:$G$1097)</f>
        <v>0</v>
      </c>
      <c r="U123" s="775"/>
      <c r="V123" s="775">
        <f ca="1">SUMIF(CT_tram!$B$1226:$G$1352,kl!B123,CT_tram!$G$1226:$G$1352)</f>
        <v>0</v>
      </c>
      <c r="W123" s="780">
        <f ca="1">SUMIF(CT_tram!$B$1105:$G$1219,kl!B123,CT_tram!$G$1105:$G$1219)</f>
        <v>0</v>
      </c>
      <c r="X123" s="775">
        <f ca="1">SUMIF(CT_tram!$B$1359:$G$1504,kl!B123,CT_tram!$G$1359:$G$1504)</f>
        <v>0</v>
      </c>
      <c r="Y123" s="775">
        <f ca="1">SUMIF(CT_tram!$B$1511:$G$1625,kl!B123,CT_tram!$G$1511:$G$1625)</f>
        <v>0</v>
      </c>
      <c r="Z123" s="775">
        <f ca="1">SUMIF(CT_tram!$B$1632:$G$2211,kl!B123,CT_tram!$G$1632:$G$2211)</f>
        <v>0</v>
      </c>
      <c r="AA123" s="775">
        <f ca="1">SUMIF(CT_tram!$B$2243:$G$2384,kl!B123,CT_tram!$G$2243:$G$2384)</f>
        <v>0</v>
      </c>
      <c r="AB123" s="775">
        <f ca="1">SUMIF(CT_tram!$B$2391:$G$2563,kl!B123,CT_tram!$G$2391:$G$2563)</f>
        <v>0</v>
      </c>
      <c r="AC123" s="775">
        <f ca="1">SUMIF(chitiet!$B$13:$N$2352,kl!$B123,chitiet!$I$13:$I$2352)</f>
        <v>0</v>
      </c>
      <c r="AD123" s="775">
        <f ca="1">SUMIF(chitiet!$B$13:$N$2352,kl!$B123,chitiet!$J$13:$J$2352)</f>
        <v>0</v>
      </c>
      <c r="AE123" s="775">
        <f ca="1">SUMIF(chitiet!$B$13:$N$2352,kl!$B123,chitiet!$K$13:$K$2352)</f>
        <v>0</v>
      </c>
      <c r="AF123" s="775">
        <f ca="1">SUMIF(chitiet!$B$13:$N$2352,kl!$B123,chitiet!$L$13:$L$2352)</f>
        <v>0</v>
      </c>
      <c r="AG123" s="775">
        <f ca="1">SUMIF(chitiet!$B$13:$N$2352,kl!$B123,chitiet!$M$13)</f>
        <v>0</v>
      </c>
      <c r="AH123" s="775">
        <f ca="1">SUMIF(chitiet!$B$13:$N$2352,kl!$B123,chitiet!$N$13:$N$2352)</f>
        <v>0</v>
      </c>
      <c r="AI123" s="775">
        <f ca="1">SUMIF(chitiet!$B$13:$N$2352,kl!$B123,chitiet!$O$13:$O$2352)</f>
        <v>0</v>
      </c>
      <c r="AJ123" s="775">
        <f ca="1">SUMIF('Cap ngam'!$B$631:$G$723,kl!$B123,'Cap ngam'!$G$631:$G$723)</f>
        <v>0</v>
      </c>
      <c r="AK123" s="775">
        <f ca="1">SUMIF('Cap ngam'!$B$403:$G$628,kl!$B123,'Cap ngam'!G$403:G$628)</f>
        <v>0</v>
      </c>
      <c r="AL123" s="775">
        <f ca="1">SUMIF('Cap ngam'!B$16:G$400,kl!$B123,'Cap ngam'!G$16:G$400)</f>
        <v>0</v>
      </c>
      <c r="AM123" s="776">
        <v>1</v>
      </c>
      <c r="AN123" s="775">
        <f t="shared" ca="1" si="46"/>
        <v>0</v>
      </c>
      <c r="AO123" s="775">
        <f t="shared" ca="1" si="47"/>
        <v>0</v>
      </c>
      <c r="AP123" s="775">
        <f t="shared" ca="1" si="48"/>
        <v>0</v>
      </c>
      <c r="AQ123" s="775">
        <f t="shared" ca="1" si="49"/>
        <v>0</v>
      </c>
      <c r="AR123" s="775">
        <f t="shared" ca="1" si="50"/>
        <v>0</v>
      </c>
      <c r="AS123" s="775">
        <f t="shared" ca="1" si="51"/>
        <v>0</v>
      </c>
      <c r="AT123" s="775">
        <f t="shared" ca="1" si="52"/>
        <v>0</v>
      </c>
      <c r="AU123" s="775">
        <f t="shared" ca="1" si="53"/>
        <v>0</v>
      </c>
      <c r="AV123" s="775">
        <f t="shared" ca="1" si="54"/>
        <v>0</v>
      </c>
      <c r="AW123" s="775">
        <f t="shared" ca="1" si="55"/>
        <v>0</v>
      </c>
      <c r="AX123" s="775">
        <f t="shared" si="56"/>
        <v>0</v>
      </c>
      <c r="AY123" s="775">
        <f t="shared" ca="1" si="57"/>
        <v>0</v>
      </c>
      <c r="AZ123" s="775">
        <f t="shared" si="58"/>
        <v>0</v>
      </c>
      <c r="BA123" s="775">
        <f t="shared" ca="1" si="39"/>
        <v>0</v>
      </c>
      <c r="BB123" s="775">
        <f t="shared" ca="1" si="40"/>
        <v>0</v>
      </c>
      <c r="BC123" s="775">
        <f t="shared" ca="1" si="41"/>
        <v>0</v>
      </c>
      <c r="BD123" s="775">
        <f t="shared" ca="1" si="42"/>
        <v>0</v>
      </c>
      <c r="BE123" s="775">
        <f t="shared" ca="1" si="43"/>
        <v>0</v>
      </c>
      <c r="BF123" s="775">
        <f t="shared" ca="1" si="44"/>
        <v>0</v>
      </c>
      <c r="BG123" s="775">
        <f t="shared" ca="1" si="45"/>
        <v>0</v>
      </c>
      <c r="BH123" s="775">
        <f t="shared" ca="1" si="59"/>
        <v>0</v>
      </c>
      <c r="BI123" s="775">
        <f t="shared" ca="1" si="60"/>
        <v>0</v>
      </c>
      <c r="BJ123" s="775">
        <f t="shared" ca="1" si="61"/>
        <v>0</v>
      </c>
      <c r="BK123" s="775">
        <f t="shared" ca="1" si="62"/>
        <v>0</v>
      </c>
      <c r="BL123" s="775">
        <f t="shared" ca="1" si="63"/>
        <v>0</v>
      </c>
      <c r="BM123" s="775">
        <f t="shared" ca="1" si="64"/>
        <v>0</v>
      </c>
      <c r="BN123" s="775">
        <f t="shared" ca="1" si="65"/>
        <v>0</v>
      </c>
      <c r="BO123" s="775">
        <f t="shared" ca="1" si="66"/>
        <v>0</v>
      </c>
      <c r="BP123" s="775">
        <f t="shared" ca="1" si="67"/>
        <v>0</v>
      </c>
      <c r="BQ123" s="775">
        <f t="shared" ca="1" si="75"/>
        <v>0</v>
      </c>
      <c r="BR123" s="775">
        <f t="shared" ca="1" si="68"/>
        <v>0</v>
      </c>
    </row>
    <row r="124" spans="1:70">
      <c r="A124" s="767" t="str">
        <f t="shared" ca="1" si="73"/>
        <v/>
      </c>
      <c r="B124" s="131" t="s">
        <v>1930</v>
      </c>
      <c r="C124" s="188" t="str">
        <f ca="1">IF(F124=0,"",COUNTIF($F$78:$F124,"&gt;0"))</f>
        <v/>
      </c>
      <c r="D124" s="778" t="str">
        <f>VLOOKUP($B124,dongia1,DG!$C$5,)</f>
        <v>Cáp nhôm bọc AV35</v>
      </c>
      <c r="E124" s="555" t="str">
        <f>VLOOKUP($B124,dongia1,DG!$D$5,)</f>
        <v>mét</v>
      </c>
      <c r="F124" s="779">
        <f t="shared" ref="F124:F135" ca="1" si="77">G124+H124</f>
        <v>0</v>
      </c>
      <c r="G124" s="775">
        <f t="shared" ca="1" si="76"/>
        <v>0</v>
      </c>
      <c r="H124" s="775">
        <f ca="1">SUMIF(CT_tram!$B$33:$G$3559,kl!B124,CT_tram!$G$33:$G$3559)</f>
        <v>0</v>
      </c>
      <c r="I124" s="775">
        <f ca="1">SUMIF(CT_tram!$B$34:$G$115,$B124,CT_tram!$G$34:$G$115)</f>
        <v>0</v>
      </c>
      <c r="J124" s="775">
        <f ca="1">SUMIF(CT_tram!$B$122:$G$204,$B124,CT_tram!$G$122:$G$204)</f>
        <v>0</v>
      </c>
      <c r="K124" s="775">
        <f ca="1">SUMIF(CT_tram!$B$211:$G$293,$B124,CT_tram!$G$211:$G$293)</f>
        <v>0</v>
      </c>
      <c r="L124" s="775">
        <f ca="1">SUMIF(CT_tram!$B$300:$G$374,$B124,CT_tram!$G$300:$G$374)</f>
        <v>0</v>
      </c>
      <c r="M124" s="775">
        <f ca="1">SUMIF(CT_tram!$B$381:$G$471,$B124,CT_tram!$G$381:$G$471)</f>
        <v>0</v>
      </c>
      <c r="N124" s="775">
        <f ca="1">SUMIF(CT_tram!$B$478:$G$560,$B124,CT_tram!$G$478:$G$560)</f>
        <v>0</v>
      </c>
      <c r="O124" s="775">
        <f ca="1">SUMIF(CT_tram!$B$567:$G$653,$B124,CT_tram!$G$567:$G$653)</f>
        <v>0</v>
      </c>
      <c r="P124" s="775">
        <f ca="1">SUMIF(CT_tram!$B$661:$G$738,$B124,CT_tram!$G$661:$G$738)</f>
        <v>0</v>
      </c>
      <c r="Q124" s="775">
        <f ca="1">SUMIF(CT_tram!$B$745:$G$899,$B124,CT_tram!$G$745:$G$899)</f>
        <v>0</v>
      </c>
      <c r="R124" s="775">
        <f ca="1">SUMIF(CT_tram!$B$907:$G$995,$B124,CT_tram!$G$907:$G$995)</f>
        <v>0</v>
      </c>
      <c r="S124" s="775"/>
      <c r="T124" s="775">
        <f ca="1">SUMIF(CT_tram!$B$1004:$G$1097,B124,CT_tram!$G$1004:$G$1097)</f>
        <v>0</v>
      </c>
      <c r="U124" s="775"/>
      <c r="V124" s="775">
        <f ca="1">SUMIF(CT_tram!$B$1226:$G$1352,kl!B124,CT_tram!$G$1226:$G$1352)</f>
        <v>0</v>
      </c>
      <c r="W124" s="780">
        <f ca="1">SUMIF(CT_tram!$B$1105:$G$1219,kl!B124,CT_tram!$G$1105:$G$1219)</f>
        <v>0</v>
      </c>
      <c r="X124" s="775">
        <f ca="1">SUMIF(CT_tram!$B$1359:$G$1504,kl!B124,CT_tram!$G$1359:$G$1504)</f>
        <v>0</v>
      </c>
      <c r="Y124" s="775">
        <f ca="1">SUMIF(CT_tram!$B$1511:$G$1625,kl!B124,CT_tram!$G$1511:$G$1625)</f>
        <v>0</v>
      </c>
      <c r="Z124" s="775">
        <f ca="1">SUMIF(CT_tram!$B$1632:$G$2211,kl!B124,CT_tram!$G$1632:$G$2211)</f>
        <v>0</v>
      </c>
      <c r="AA124" s="775">
        <f ca="1">SUMIF(CT_tram!$B$2243:$G$2384,kl!B124,CT_tram!$G$2243:$G$2384)</f>
        <v>0</v>
      </c>
      <c r="AB124" s="775">
        <f ca="1">SUMIF(CT_tram!$B$2391:$G$2563,kl!B124,CT_tram!$G$2391:$G$2563)</f>
        <v>0</v>
      </c>
      <c r="AC124" s="775">
        <f ca="1">SUMIF(chitiet!$B$13:$N$2352,kl!$B124,chitiet!$I$13:$I$2352)</f>
        <v>0</v>
      </c>
      <c r="AD124" s="775">
        <f ca="1">SUMIF(chitiet!$B$13:$N$2352,kl!$B124,chitiet!$J$13:$J$2352)</f>
        <v>0</v>
      </c>
      <c r="AE124" s="775">
        <f ca="1">SUMIF(chitiet!$B$13:$N$2352,kl!$B124,chitiet!$K$13:$K$2352)</f>
        <v>0</v>
      </c>
      <c r="AF124" s="775">
        <f ca="1">SUMIF(chitiet!$B$13:$N$2352,kl!$B124,chitiet!$L$13:$L$2352)</f>
        <v>0</v>
      </c>
      <c r="AG124" s="775">
        <f ca="1">SUMIF(chitiet!$B$13:$N$2352,kl!$B124,chitiet!$M$13)</f>
        <v>0</v>
      </c>
      <c r="AH124" s="775">
        <f ca="1">SUMIF(chitiet!$B$13:$N$2352,kl!$B124,chitiet!$N$13:$N$2352)</f>
        <v>0</v>
      </c>
      <c r="AI124" s="775">
        <f ca="1">SUMIF(chitiet!$B$13:$N$2352,kl!$B124,chitiet!$O$13:$O$2352)</f>
        <v>0</v>
      </c>
      <c r="AJ124" s="775">
        <f ca="1">SUMIF('Cap ngam'!$B$631:$G$723,kl!$B124,'Cap ngam'!$G$631:$G$723)</f>
        <v>0</v>
      </c>
      <c r="AK124" s="775">
        <f ca="1">SUMIF('Cap ngam'!$B$403:$G$628,kl!$B124,'Cap ngam'!G$403:G$628)</f>
        <v>0</v>
      </c>
      <c r="AL124" s="775">
        <f ca="1">SUMIF('Cap ngam'!B$16:G$400,kl!$B124,'Cap ngam'!G$16:G$400)</f>
        <v>0</v>
      </c>
      <c r="AM124" s="776">
        <v>0.17599999999999999</v>
      </c>
      <c r="AN124" s="775">
        <f t="shared" ca="1" si="46"/>
        <v>0</v>
      </c>
      <c r="AO124" s="775">
        <f t="shared" ca="1" si="47"/>
        <v>0</v>
      </c>
      <c r="AP124" s="775">
        <f t="shared" ca="1" si="48"/>
        <v>0</v>
      </c>
      <c r="AQ124" s="775">
        <f t="shared" ca="1" si="49"/>
        <v>0</v>
      </c>
      <c r="AR124" s="775">
        <f t="shared" ca="1" si="50"/>
        <v>0</v>
      </c>
      <c r="AS124" s="775">
        <f t="shared" ca="1" si="51"/>
        <v>0</v>
      </c>
      <c r="AT124" s="775">
        <f t="shared" ca="1" si="52"/>
        <v>0</v>
      </c>
      <c r="AU124" s="775">
        <f t="shared" ca="1" si="53"/>
        <v>0</v>
      </c>
      <c r="AV124" s="775">
        <f t="shared" ca="1" si="54"/>
        <v>0</v>
      </c>
      <c r="AW124" s="775">
        <f t="shared" ca="1" si="55"/>
        <v>0</v>
      </c>
      <c r="AX124" s="775">
        <f t="shared" si="56"/>
        <v>0</v>
      </c>
      <c r="AY124" s="775">
        <f t="shared" ca="1" si="57"/>
        <v>0</v>
      </c>
      <c r="AZ124" s="775">
        <f t="shared" si="58"/>
        <v>0</v>
      </c>
      <c r="BA124" s="775">
        <f t="shared" ca="1" si="39"/>
        <v>0</v>
      </c>
      <c r="BB124" s="775">
        <f t="shared" ca="1" si="40"/>
        <v>0</v>
      </c>
      <c r="BC124" s="775">
        <f t="shared" ca="1" si="41"/>
        <v>0</v>
      </c>
      <c r="BD124" s="775">
        <f t="shared" ca="1" si="42"/>
        <v>0</v>
      </c>
      <c r="BE124" s="775">
        <f t="shared" ca="1" si="43"/>
        <v>0</v>
      </c>
      <c r="BF124" s="775">
        <f t="shared" ca="1" si="44"/>
        <v>0</v>
      </c>
      <c r="BG124" s="775">
        <f t="shared" ca="1" si="45"/>
        <v>0</v>
      </c>
      <c r="BH124" s="775">
        <f t="shared" ca="1" si="59"/>
        <v>0</v>
      </c>
      <c r="BI124" s="775">
        <f t="shared" ca="1" si="60"/>
        <v>0</v>
      </c>
      <c r="BJ124" s="775">
        <f t="shared" ca="1" si="61"/>
        <v>0</v>
      </c>
      <c r="BK124" s="775">
        <f t="shared" ca="1" si="62"/>
        <v>0</v>
      </c>
      <c r="BL124" s="775">
        <f t="shared" ca="1" si="63"/>
        <v>0</v>
      </c>
      <c r="BM124" s="775">
        <f t="shared" ca="1" si="64"/>
        <v>0</v>
      </c>
      <c r="BN124" s="775">
        <f t="shared" ca="1" si="65"/>
        <v>0</v>
      </c>
      <c r="BO124" s="775">
        <f t="shared" ca="1" si="66"/>
        <v>0</v>
      </c>
      <c r="BP124" s="775">
        <f t="shared" ca="1" si="67"/>
        <v>0</v>
      </c>
      <c r="BQ124" s="775">
        <f t="shared" ca="1" si="75"/>
        <v>0</v>
      </c>
      <c r="BR124" s="775">
        <f t="shared" ca="1" si="68"/>
        <v>0</v>
      </c>
    </row>
    <row r="125" spans="1:70">
      <c r="A125" s="767" t="str">
        <f t="shared" ca="1" si="73"/>
        <v/>
      </c>
      <c r="B125" s="131" t="s">
        <v>1290</v>
      </c>
      <c r="C125" s="188" t="str">
        <f ca="1">IF(F125=0,"",COUNTIF($F$78:$F125,"&gt;0"))</f>
        <v/>
      </c>
      <c r="D125" s="778" t="str">
        <f>VLOOKUP($B125,dongia1,DG!$C$5,)</f>
        <v>Cáp nhôm bọc AV50</v>
      </c>
      <c r="E125" s="555" t="str">
        <f>VLOOKUP($B125,dongia1,DG!$D$5,)</f>
        <v>mét</v>
      </c>
      <c r="F125" s="779">
        <f t="shared" ca="1" si="77"/>
        <v>0</v>
      </c>
      <c r="G125" s="775">
        <f t="shared" ca="1" si="76"/>
        <v>0</v>
      </c>
      <c r="H125" s="775">
        <f ca="1">SUMIF(CT_tram!$B$33:$G$3559,kl!B125,CT_tram!$G$33:$G$3559)</f>
        <v>0</v>
      </c>
      <c r="I125" s="775">
        <f ca="1">SUMIF(CT_tram!$B$34:$G$115,$B125,CT_tram!$G$34:$G$115)</f>
        <v>0</v>
      </c>
      <c r="J125" s="775">
        <f ca="1">SUMIF(CT_tram!$B$122:$G$204,$B125,CT_tram!$G$122:$G$204)</f>
        <v>0</v>
      </c>
      <c r="K125" s="775">
        <f ca="1">SUMIF(CT_tram!$B$211:$G$293,$B125,CT_tram!$G$211:$G$293)</f>
        <v>0</v>
      </c>
      <c r="L125" s="775">
        <f ca="1">SUMIF(CT_tram!$B$300:$G$374,$B125,CT_tram!$G$300:$G$374)</f>
        <v>0</v>
      </c>
      <c r="M125" s="775">
        <f ca="1">SUMIF(CT_tram!$B$381:$G$471,$B125,CT_tram!$G$381:$G$471)</f>
        <v>0</v>
      </c>
      <c r="N125" s="775">
        <f ca="1">SUMIF(CT_tram!$B$478:$G$560,$B125,CT_tram!$G$478:$G$560)</f>
        <v>0</v>
      </c>
      <c r="O125" s="775">
        <f ca="1">SUMIF(CT_tram!$B$567:$G$653,$B125,CT_tram!$G$567:$G$653)</f>
        <v>0</v>
      </c>
      <c r="P125" s="775">
        <f ca="1">SUMIF(CT_tram!$B$661:$G$738,$B125,CT_tram!$G$661:$G$738)</f>
        <v>0</v>
      </c>
      <c r="Q125" s="775">
        <f ca="1">SUMIF(CT_tram!$B$745:$G$899,$B125,CT_tram!$G$745:$G$899)</f>
        <v>0</v>
      </c>
      <c r="R125" s="775">
        <f ca="1">SUMIF(CT_tram!$B$907:$G$995,$B125,CT_tram!$G$907:$G$995)</f>
        <v>0</v>
      </c>
      <c r="S125" s="775"/>
      <c r="T125" s="775">
        <f ca="1">SUMIF(CT_tram!$B$1004:$G$1097,B125,CT_tram!$G$1004:$G$1097)</f>
        <v>0</v>
      </c>
      <c r="U125" s="775"/>
      <c r="V125" s="775">
        <f ca="1">SUMIF(CT_tram!$B$1226:$G$1352,kl!B125,CT_tram!$G$1226:$G$1352)</f>
        <v>0</v>
      </c>
      <c r="W125" s="780">
        <f ca="1">SUMIF(CT_tram!$B$1105:$G$1219,kl!B125,CT_tram!$G$1105:$G$1219)</f>
        <v>0</v>
      </c>
      <c r="X125" s="775">
        <f ca="1">SUMIF(CT_tram!$B$1359:$G$1504,kl!B125,CT_tram!$G$1359:$G$1504)</f>
        <v>0</v>
      </c>
      <c r="Y125" s="775">
        <f ca="1">SUMIF(CT_tram!$B$1511:$G$1625,kl!B125,CT_tram!$G$1511:$G$1625)</f>
        <v>0</v>
      </c>
      <c r="Z125" s="775">
        <f ca="1">SUMIF(CT_tram!$B$1632:$G$2211,kl!B125,CT_tram!$G$1632:$G$2211)</f>
        <v>0</v>
      </c>
      <c r="AA125" s="775">
        <f ca="1">SUMIF(CT_tram!$B$2243:$G$2384,kl!B125,CT_tram!$G$2243:$G$2384)</f>
        <v>0</v>
      </c>
      <c r="AB125" s="775">
        <f ca="1">SUMIF(CT_tram!$B$2391:$G$2563,kl!B125,CT_tram!$G$2391:$G$2563)</f>
        <v>0</v>
      </c>
      <c r="AC125" s="775">
        <f ca="1">SUMIF(chitiet!$B$13:$N$2352,kl!$B125,chitiet!$I$13:$I$2352)</f>
        <v>0</v>
      </c>
      <c r="AD125" s="775">
        <f ca="1">SUMIF(chitiet!$B$13:$N$2352,kl!$B125,chitiet!$J$13:$J$2352)</f>
        <v>0</v>
      </c>
      <c r="AE125" s="775">
        <f ca="1">SUMIF(chitiet!$B$13:$N$2352,kl!$B125,chitiet!$K$13:$K$2352)</f>
        <v>0</v>
      </c>
      <c r="AF125" s="775">
        <f ca="1">SUMIF(chitiet!$B$13:$N$2352,kl!$B125,chitiet!$L$13:$L$2352)</f>
        <v>0</v>
      </c>
      <c r="AG125" s="775">
        <f ca="1">SUMIF(chitiet!$B$13:$N$2352,kl!$B125,chitiet!$M$13)</f>
        <v>0</v>
      </c>
      <c r="AH125" s="775">
        <f ca="1">SUMIF(chitiet!$B$13:$N$2352,kl!$B125,chitiet!$N$13:$N$2352)</f>
        <v>0</v>
      </c>
      <c r="AI125" s="775">
        <f ca="1">SUMIF(chitiet!$B$13:$N$2352,kl!$B125,chitiet!$O$13:$O$2352)</f>
        <v>0</v>
      </c>
      <c r="AJ125" s="775">
        <f ca="1">SUMIF('Cap ngam'!$B$631:$G$723,kl!$B125,'Cap ngam'!$G$631:$G$723)</f>
        <v>0</v>
      </c>
      <c r="AK125" s="775">
        <f ca="1">SUMIF('Cap ngam'!$B$403:$G$628,kl!$B125,'Cap ngam'!G$403:G$628)</f>
        <v>0</v>
      </c>
      <c r="AL125" s="775">
        <f ca="1">SUMIF('Cap ngam'!B$16:G$400,kl!$B125,'Cap ngam'!G$16:G$400)</f>
        <v>0</v>
      </c>
      <c r="AM125" s="776">
        <v>0.22900000000000001</v>
      </c>
      <c r="AN125" s="775">
        <f t="shared" ca="1" si="46"/>
        <v>0</v>
      </c>
      <c r="AO125" s="775">
        <f t="shared" ca="1" si="47"/>
        <v>0</v>
      </c>
      <c r="AP125" s="775">
        <f t="shared" ca="1" si="48"/>
        <v>0</v>
      </c>
      <c r="AQ125" s="775">
        <f t="shared" ca="1" si="49"/>
        <v>0</v>
      </c>
      <c r="AR125" s="775">
        <f t="shared" ca="1" si="50"/>
        <v>0</v>
      </c>
      <c r="AS125" s="775">
        <f t="shared" ca="1" si="51"/>
        <v>0</v>
      </c>
      <c r="AT125" s="775">
        <f t="shared" ca="1" si="52"/>
        <v>0</v>
      </c>
      <c r="AU125" s="775">
        <f t="shared" ca="1" si="53"/>
        <v>0</v>
      </c>
      <c r="AV125" s="775">
        <f t="shared" ca="1" si="54"/>
        <v>0</v>
      </c>
      <c r="AW125" s="775">
        <f t="shared" ca="1" si="55"/>
        <v>0</v>
      </c>
      <c r="AX125" s="775">
        <f t="shared" si="56"/>
        <v>0</v>
      </c>
      <c r="AY125" s="775">
        <f t="shared" ca="1" si="57"/>
        <v>0</v>
      </c>
      <c r="AZ125" s="775">
        <f t="shared" si="58"/>
        <v>0</v>
      </c>
      <c r="BA125" s="775">
        <f t="shared" ca="1" si="39"/>
        <v>0</v>
      </c>
      <c r="BB125" s="775">
        <f t="shared" ca="1" si="40"/>
        <v>0</v>
      </c>
      <c r="BC125" s="775">
        <f t="shared" ca="1" si="41"/>
        <v>0</v>
      </c>
      <c r="BD125" s="775">
        <f t="shared" ca="1" si="42"/>
        <v>0</v>
      </c>
      <c r="BE125" s="775">
        <f t="shared" ca="1" si="43"/>
        <v>0</v>
      </c>
      <c r="BF125" s="775">
        <f t="shared" ca="1" si="44"/>
        <v>0</v>
      </c>
      <c r="BG125" s="775">
        <f t="shared" ca="1" si="45"/>
        <v>0</v>
      </c>
      <c r="BH125" s="775">
        <f t="shared" ca="1" si="59"/>
        <v>0</v>
      </c>
      <c r="BI125" s="775">
        <f t="shared" ca="1" si="60"/>
        <v>0</v>
      </c>
      <c r="BJ125" s="775">
        <f t="shared" ca="1" si="61"/>
        <v>0</v>
      </c>
      <c r="BK125" s="775">
        <f t="shared" ca="1" si="62"/>
        <v>0</v>
      </c>
      <c r="BL125" s="775">
        <f t="shared" ca="1" si="63"/>
        <v>0</v>
      </c>
      <c r="BM125" s="775">
        <f t="shared" ca="1" si="64"/>
        <v>0</v>
      </c>
      <c r="BN125" s="775">
        <f t="shared" ca="1" si="65"/>
        <v>0</v>
      </c>
      <c r="BO125" s="775">
        <f t="shared" ca="1" si="66"/>
        <v>0</v>
      </c>
      <c r="BP125" s="775">
        <f t="shared" ca="1" si="67"/>
        <v>0</v>
      </c>
      <c r="BQ125" s="775">
        <f t="shared" ca="1" si="75"/>
        <v>0</v>
      </c>
      <c r="BR125" s="775">
        <f t="shared" ca="1" si="68"/>
        <v>0</v>
      </c>
    </row>
    <row r="126" spans="1:70">
      <c r="A126" s="767" t="str">
        <f t="shared" ca="1" si="73"/>
        <v/>
      </c>
      <c r="B126" s="131" t="s">
        <v>1291</v>
      </c>
      <c r="C126" s="188" t="str">
        <f ca="1">IF(F126=0,"",COUNTIF($F$78:$F126,"&gt;0"))</f>
        <v/>
      </c>
      <c r="D126" s="778" t="str">
        <f>VLOOKUP($B126,dongia1,DG!$C$5,)</f>
        <v>Cáp nhôm bọc AV70</v>
      </c>
      <c r="E126" s="555" t="str">
        <f>VLOOKUP($B126,dongia1,DG!$D$5,)</f>
        <v>mét</v>
      </c>
      <c r="F126" s="779">
        <f t="shared" ca="1" si="77"/>
        <v>0</v>
      </c>
      <c r="G126" s="775">
        <f t="shared" ca="1" si="76"/>
        <v>0</v>
      </c>
      <c r="H126" s="775">
        <f ca="1">SUMIF(CT_tram!$B$33:$G$3559,kl!B126,CT_tram!$G$33:$G$3559)</f>
        <v>0</v>
      </c>
      <c r="I126" s="775">
        <f ca="1">SUMIF(CT_tram!$B$34:$G$115,$B126,CT_tram!$G$34:$G$115)</f>
        <v>0</v>
      </c>
      <c r="J126" s="775">
        <f ca="1">SUMIF(CT_tram!$B$122:$G$204,$B126,CT_tram!$G$122:$G$204)</f>
        <v>0</v>
      </c>
      <c r="K126" s="775">
        <f ca="1">SUMIF(CT_tram!$B$211:$G$293,$B126,CT_tram!$G$211:$G$293)</f>
        <v>0</v>
      </c>
      <c r="L126" s="775">
        <f ca="1">SUMIF(CT_tram!$B$300:$G$374,$B126,CT_tram!$G$300:$G$374)</f>
        <v>0</v>
      </c>
      <c r="M126" s="775">
        <f ca="1">SUMIF(CT_tram!$B$381:$G$471,$B126,CT_tram!$G$381:$G$471)</f>
        <v>0</v>
      </c>
      <c r="N126" s="775">
        <f ca="1">SUMIF(CT_tram!$B$478:$G$560,$B126,CT_tram!$G$478:$G$560)</f>
        <v>0</v>
      </c>
      <c r="O126" s="775">
        <f ca="1">SUMIF(CT_tram!$B$567:$G$653,$B126,CT_tram!$G$567:$G$653)</f>
        <v>0</v>
      </c>
      <c r="P126" s="775">
        <f ca="1">SUMIF(CT_tram!$B$661:$G$738,$B126,CT_tram!$G$661:$G$738)</f>
        <v>0</v>
      </c>
      <c r="Q126" s="775">
        <f ca="1">SUMIF(CT_tram!$B$745:$G$899,$B126,CT_tram!$G$745:$G$899)</f>
        <v>0</v>
      </c>
      <c r="R126" s="775">
        <f ca="1">SUMIF(CT_tram!$B$907:$G$995,$B126,CT_tram!$G$907:$G$995)</f>
        <v>0</v>
      </c>
      <c r="S126" s="775"/>
      <c r="T126" s="775">
        <f ca="1">SUMIF(CT_tram!$B$1004:$G$1097,B126,CT_tram!$G$1004:$G$1097)</f>
        <v>0</v>
      </c>
      <c r="U126" s="775"/>
      <c r="V126" s="775">
        <f ca="1">SUMIF(CT_tram!$B$1226:$G$1352,kl!B126,CT_tram!$G$1226:$G$1352)</f>
        <v>0</v>
      </c>
      <c r="W126" s="780">
        <f ca="1">SUMIF(CT_tram!$B$1105:$G$1219,kl!B126,CT_tram!$G$1105:$G$1219)</f>
        <v>0</v>
      </c>
      <c r="X126" s="775">
        <f ca="1">SUMIF(CT_tram!$B$1359:$G$1504,kl!B126,CT_tram!$G$1359:$G$1504)</f>
        <v>0</v>
      </c>
      <c r="Y126" s="775">
        <f ca="1">SUMIF(CT_tram!$B$1511:$G$1625,kl!B126,CT_tram!$G$1511:$G$1625)</f>
        <v>0</v>
      </c>
      <c r="Z126" s="775">
        <f ca="1">SUMIF(CT_tram!$B$1632:$G$2211,kl!B126,CT_tram!$G$1632:$G$2211)</f>
        <v>0</v>
      </c>
      <c r="AA126" s="775">
        <f ca="1">SUMIF(CT_tram!$B$2243:$G$2384,kl!B126,CT_tram!$G$2243:$G$2384)</f>
        <v>0</v>
      </c>
      <c r="AB126" s="775">
        <f ca="1">SUMIF(CT_tram!$B$2391:$G$2563,kl!B126,CT_tram!$G$2391:$G$2563)</f>
        <v>0</v>
      </c>
      <c r="AC126" s="775">
        <f ca="1">SUMIF(chitiet!$B$13:$N$2352,kl!$B126,chitiet!$I$13:$I$2352)</f>
        <v>0</v>
      </c>
      <c r="AD126" s="775">
        <f ca="1">SUMIF(chitiet!$B$13:$N$2352,kl!$B126,chitiet!$J$13:$J$2352)</f>
        <v>0</v>
      </c>
      <c r="AE126" s="775">
        <f ca="1">SUMIF(chitiet!$B$13:$N$2352,kl!$B126,chitiet!$K$13:$K$2352)</f>
        <v>0</v>
      </c>
      <c r="AF126" s="775">
        <f ca="1">SUMIF(chitiet!$B$13:$N$2352,kl!$B126,chitiet!$L$13:$L$2352)</f>
        <v>0</v>
      </c>
      <c r="AG126" s="775">
        <f ca="1">SUMIF(chitiet!$B$13:$N$2352,kl!$B126,chitiet!$M$13)</f>
        <v>0</v>
      </c>
      <c r="AH126" s="775">
        <f ca="1">SUMIF(chitiet!$B$13:$N$2352,kl!$B126,chitiet!$N$13:$N$2352)</f>
        <v>0</v>
      </c>
      <c r="AI126" s="775">
        <f ca="1">SUMIF(chitiet!$B$13:$N$2352,kl!$B126,chitiet!$O$13:$O$2352)</f>
        <v>0</v>
      </c>
      <c r="AJ126" s="775">
        <f ca="1">SUMIF('Cap ngam'!$B$631:$G$723,kl!$B126,'Cap ngam'!$G$631:$G$723)</f>
        <v>0</v>
      </c>
      <c r="AK126" s="775">
        <f ca="1">SUMIF('Cap ngam'!$B$403:$G$628,kl!$B126,'Cap ngam'!G$403:G$628)</f>
        <v>0</v>
      </c>
      <c r="AL126" s="775">
        <f ca="1">SUMIF('Cap ngam'!B$16:G$400,kl!$B126,'Cap ngam'!G$16:G$400)</f>
        <v>0</v>
      </c>
      <c r="AM126" s="776">
        <v>0.308</v>
      </c>
      <c r="AN126" s="775">
        <f t="shared" ca="1" si="46"/>
        <v>0</v>
      </c>
      <c r="AO126" s="775">
        <f t="shared" ca="1" si="47"/>
        <v>0</v>
      </c>
      <c r="AP126" s="775">
        <f t="shared" ca="1" si="48"/>
        <v>0</v>
      </c>
      <c r="AQ126" s="775">
        <f t="shared" ca="1" si="49"/>
        <v>0</v>
      </c>
      <c r="AR126" s="775">
        <f t="shared" ca="1" si="50"/>
        <v>0</v>
      </c>
      <c r="AS126" s="775">
        <f t="shared" ca="1" si="51"/>
        <v>0</v>
      </c>
      <c r="AT126" s="775">
        <f t="shared" ca="1" si="52"/>
        <v>0</v>
      </c>
      <c r="AU126" s="775">
        <f t="shared" ca="1" si="53"/>
        <v>0</v>
      </c>
      <c r="AV126" s="775">
        <f t="shared" ca="1" si="54"/>
        <v>0</v>
      </c>
      <c r="AW126" s="775">
        <f t="shared" ca="1" si="55"/>
        <v>0</v>
      </c>
      <c r="AX126" s="775">
        <f t="shared" si="56"/>
        <v>0</v>
      </c>
      <c r="AY126" s="775">
        <f t="shared" ca="1" si="57"/>
        <v>0</v>
      </c>
      <c r="AZ126" s="775">
        <f t="shared" si="58"/>
        <v>0</v>
      </c>
      <c r="BA126" s="775">
        <f t="shared" ca="1" si="39"/>
        <v>0</v>
      </c>
      <c r="BB126" s="775">
        <f t="shared" ca="1" si="40"/>
        <v>0</v>
      </c>
      <c r="BC126" s="775">
        <f t="shared" ca="1" si="41"/>
        <v>0</v>
      </c>
      <c r="BD126" s="775">
        <f t="shared" ca="1" si="42"/>
        <v>0</v>
      </c>
      <c r="BE126" s="775">
        <f t="shared" ca="1" si="43"/>
        <v>0</v>
      </c>
      <c r="BF126" s="775">
        <f t="shared" ca="1" si="44"/>
        <v>0</v>
      </c>
      <c r="BG126" s="775">
        <f t="shared" ca="1" si="45"/>
        <v>0</v>
      </c>
      <c r="BH126" s="775">
        <f t="shared" ca="1" si="59"/>
        <v>0</v>
      </c>
      <c r="BI126" s="775">
        <f t="shared" ca="1" si="60"/>
        <v>0</v>
      </c>
      <c r="BJ126" s="775">
        <f t="shared" ca="1" si="61"/>
        <v>0</v>
      </c>
      <c r="BK126" s="775">
        <f t="shared" ca="1" si="62"/>
        <v>0</v>
      </c>
      <c r="BL126" s="775">
        <f t="shared" ca="1" si="63"/>
        <v>0</v>
      </c>
      <c r="BM126" s="775">
        <f t="shared" ca="1" si="64"/>
        <v>0</v>
      </c>
      <c r="BN126" s="775">
        <f t="shared" ca="1" si="65"/>
        <v>0</v>
      </c>
      <c r="BO126" s="775">
        <f t="shared" ca="1" si="66"/>
        <v>0</v>
      </c>
      <c r="BP126" s="775">
        <f t="shared" ca="1" si="67"/>
        <v>0</v>
      </c>
      <c r="BQ126" s="775">
        <f t="shared" ca="1" si="75"/>
        <v>0</v>
      </c>
      <c r="BR126" s="775">
        <f t="shared" ca="1" si="68"/>
        <v>0</v>
      </c>
    </row>
    <row r="127" spans="1:70">
      <c r="A127" s="767" t="str">
        <f t="shared" ca="1" si="73"/>
        <v/>
      </c>
      <c r="B127" s="131" t="s">
        <v>49</v>
      </c>
      <c r="C127" s="188" t="str">
        <f ca="1">IF(F127=0,"",COUNTIF($F$78:$F127,"&gt;0"))</f>
        <v/>
      </c>
      <c r="D127" s="778" t="str">
        <f>VLOOKUP($B127,dongia1,DG!$C$5,)</f>
        <v>Cáp nhôm bọc AV95</v>
      </c>
      <c r="E127" s="555" t="str">
        <f>VLOOKUP($B127,dongia1,DG!$D$5,)</f>
        <v>mét</v>
      </c>
      <c r="F127" s="779">
        <f t="shared" ca="1" si="77"/>
        <v>0</v>
      </c>
      <c r="G127" s="775">
        <f t="shared" ca="1" si="76"/>
        <v>0</v>
      </c>
      <c r="H127" s="775">
        <f ca="1">SUMIF(CT_tram!$B$33:$G$3559,kl!B127,CT_tram!$G$33:$G$3559)</f>
        <v>0</v>
      </c>
      <c r="I127" s="775">
        <f ca="1">SUMIF(CT_tram!$B$34:$G$115,$B127,CT_tram!$G$34:$G$115)</f>
        <v>0</v>
      </c>
      <c r="J127" s="775">
        <f ca="1">SUMIF(CT_tram!$B$122:$G$204,$B127,CT_tram!$G$122:$G$204)</f>
        <v>0</v>
      </c>
      <c r="K127" s="775">
        <f ca="1">SUMIF(CT_tram!$B$211:$G$293,$B127,CT_tram!$G$211:$G$293)</f>
        <v>0</v>
      </c>
      <c r="L127" s="775">
        <f ca="1">SUMIF(CT_tram!$B$300:$G$374,$B127,CT_tram!$G$300:$G$374)</f>
        <v>0</v>
      </c>
      <c r="M127" s="775">
        <f ca="1">SUMIF(CT_tram!$B$381:$G$471,$B127,CT_tram!$G$381:$G$471)</f>
        <v>0</v>
      </c>
      <c r="N127" s="775">
        <f ca="1">SUMIF(CT_tram!$B$478:$G$560,$B127,CT_tram!$G$478:$G$560)</f>
        <v>0</v>
      </c>
      <c r="O127" s="775">
        <f ca="1">SUMIF(CT_tram!$B$567:$G$653,$B127,CT_tram!$G$567:$G$653)</f>
        <v>0</v>
      </c>
      <c r="P127" s="775">
        <f ca="1">SUMIF(CT_tram!$B$661:$G$738,$B127,CT_tram!$G$661:$G$738)</f>
        <v>0</v>
      </c>
      <c r="Q127" s="775">
        <f ca="1">SUMIF(CT_tram!$B$745:$G$899,$B127,CT_tram!$G$745:$G$899)</f>
        <v>0</v>
      </c>
      <c r="R127" s="775">
        <f ca="1">SUMIF(CT_tram!$B$907:$G$995,$B127,CT_tram!$G$907:$G$995)</f>
        <v>0</v>
      </c>
      <c r="S127" s="775"/>
      <c r="T127" s="775">
        <f ca="1">SUMIF(CT_tram!$B$1004:$G$1097,B127,CT_tram!$G$1004:$G$1097)</f>
        <v>0</v>
      </c>
      <c r="U127" s="775"/>
      <c r="V127" s="775">
        <f ca="1">SUMIF(CT_tram!$B$1226:$G$1352,kl!B127,CT_tram!$G$1226:$G$1352)</f>
        <v>0</v>
      </c>
      <c r="W127" s="780">
        <f ca="1">SUMIF(CT_tram!$B$1105:$G$1219,kl!B127,CT_tram!$G$1105:$G$1219)</f>
        <v>0</v>
      </c>
      <c r="X127" s="775">
        <f ca="1">SUMIF(CT_tram!$B$1359:$G$1504,kl!B127,CT_tram!$G$1359:$G$1504)</f>
        <v>0</v>
      </c>
      <c r="Y127" s="775">
        <f ca="1">SUMIF(CT_tram!$B$1511:$G$1625,kl!B127,CT_tram!$G$1511:$G$1625)</f>
        <v>0</v>
      </c>
      <c r="Z127" s="775">
        <f ca="1">SUMIF(CT_tram!$B$1632:$G$2211,kl!B127,CT_tram!$G$1632:$G$2211)</f>
        <v>0</v>
      </c>
      <c r="AA127" s="775">
        <f ca="1">SUMIF(CT_tram!$B$2243:$G$2384,kl!B127,CT_tram!$G$2243:$G$2384)</f>
        <v>0</v>
      </c>
      <c r="AB127" s="775">
        <f ca="1">SUMIF(CT_tram!$B$2391:$G$2563,kl!B127,CT_tram!$G$2391:$G$2563)</f>
        <v>0</v>
      </c>
      <c r="AC127" s="775">
        <f ca="1">SUMIF(chitiet!$B$13:$N$2352,kl!$B127,chitiet!$I$13:$I$2352)</f>
        <v>0</v>
      </c>
      <c r="AD127" s="775">
        <f ca="1">SUMIF(chitiet!$B$13:$N$2352,kl!$B127,chitiet!$J$13:$J$2352)</f>
        <v>0</v>
      </c>
      <c r="AE127" s="775">
        <f ca="1">SUMIF(chitiet!$B$13:$N$2352,kl!$B127,chitiet!$K$13:$K$2352)</f>
        <v>0</v>
      </c>
      <c r="AF127" s="775">
        <f ca="1">SUMIF(chitiet!$B$13:$N$2352,kl!$B127,chitiet!$L$13:$L$2352)</f>
        <v>0</v>
      </c>
      <c r="AG127" s="775">
        <f ca="1">SUMIF(chitiet!$B$13:$N$2352,kl!$B127,chitiet!$M$13)</f>
        <v>0</v>
      </c>
      <c r="AH127" s="775">
        <f ca="1">SUMIF(chitiet!$B$13:$N$2352,kl!$B127,chitiet!$N$13:$N$2352)</f>
        <v>0</v>
      </c>
      <c r="AI127" s="775">
        <f ca="1">SUMIF(chitiet!$B$13:$N$2352,kl!$B127,chitiet!$O$13:$O$2352)</f>
        <v>0</v>
      </c>
      <c r="AJ127" s="775">
        <f ca="1">SUMIF('Cap ngam'!$B$631:$G$723,kl!$B127,'Cap ngam'!$G$631:$G$723)</f>
        <v>0</v>
      </c>
      <c r="AK127" s="775">
        <f ca="1">SUMIF('Cap ngam'!$B$403:$G$628,kl!$B127,'Cap ngam'!G$403:G$628)</f>
        <v>0</v>
      </c>
      <c r="AL127" s="775">
        <f ca="1">SUMIF('Cap ngam'!B$16:G$400,kl!$B127,'Cap ngam'!G$16:G$400)</f>
        <v>0</v>
      </c>
      <c r="AM127" s="776">
        <v>0.41</v>
      </c>
      <c r="AN127" s="775">
        <f t="shared" ca="1" si="46"/>
        <v>0</v>
      </c>
      <c r="AO127" s="775">
        <f t="shared" ca="1" si="47"/>
        <v>0</v>
      </c>
      <c r="AP127" s="775">
        <f t="shared" ca="1" si="48"/>
        <v>0</v>
      </c>
      <c r="AQ127" s="775">
        <f t="shared" ca="1" si="49"/>
        <v>0</v>
      </c>
      <c r="AR127" s="775">
        <f t="shared" ca="1" si="50"/>
        <v>0</v>
      </c>
      <c r="AS127" s="775">
        <f t="shared" ca="1" si="51"/>
        <v>0</v>
      </c>
      <c r="AT127" s="775">
        <f t="shared" ca="1" si="52"/>
        <v>0</v>
      </c>
      <c r="AU127" s="775">
        <f t="shared" ca="1" si="53"/>
        <v>0</v>
      </c>
      <c r="AV127" s="775">
        <f t="shared" ca="1" si="54"/>
        <v>0</v>
      </c>
      <c r="AW127" s="775">
        <f t="shared" ca="1" si="55"/>
        <v>0</v>
      </c>
      <c r="AX127" s="775">
        <f t="shared" si="56"/>
        <v>0</v>
      </c>
      <c r="AY127" s="775">
        <f t="shared" ca="1" si="57"/>
        <v>0</v>
      </c>
      <c r="AZ127" s="775">
        <f t="shared" si="58"/>
        <v>0</v>
      </c>
      <c r="BA127" s="775">
        <f t="shared" ca="1" si="39"/>
        <v>0</v>
      </c>
      <c r="BB127" s="775">
        <f t="shared" ca="1" si="40"/>
        <v>0</v>
      </c>
      <c r="BC127" s="775">
        <f t="shared" ca="1" si="41"/>
        <v>0</v>
      </c>
      <c r="BD127" s="775">
        <f t="shared" ca="1" si="42"/>
        <v>0</v>
      </c>
      <c r="BE127" s="775">
        <f t="shared" ca="1" si="43"/>
        <v>0</v>
      </c>
      <c r="BF127" s="775">
        <f t="shared" ca="1" si="44"/>
        <v>0</v>
      </c>
      <c r="BG127" s="775">
        <f t="shared" ca="1" si="45"/>
        <v>0</v>
      </c>
      <c r="BH127" s="775">
        <f t="shared" ca="1" si="59"/>
        <v>0</v>
      </c>
      <c r="BI127" s="775">
        <f t="shared" ca="1" si="60"/>
        <v>0</v>
      </c>
      <c r="BJ127" s="775">
        <f t="shared" ca="1" si="61"/>
        <v>0</v>
      </c>
      <c r="BK127" s="775">
        <f t="shared" ca="1" si="62"/>
        <v>0</v>
      </c>
      <c r="BL127" s="775">
        <f t="shared" ca="1" si="63"/>
        <v>0</v>
      </c>
      <c r="BM127" s="775">
        <f t="shared" ca="1" si="64"/>
        <v>0</v>
      </c>
      <c r="BN127" s="775">
        <f t="shared" ca="1" si="65"/>
        <v>0</v>
      </c>
      <c r="BO127" s="775">
        <f t="shared" ca="1" si="66"/>
        <v>0</v>
      </c>
      <c r="BP127" s="775">
        <f t="shared" ca="1" si="67"/>
        <v>0</v>
      </c>
      <c r="BQ127" s="775">
        <f t="shared" ca="1" si="75"/>
        <v>0</v>
      </c>
      <c r="BR127" s="775">
        <f t="shared" ca="1" si="68"/>
        <v>0</v>
      </c>
    </row>
    <row r="128" spans="1:70">
      <c r="A128" s="767" t="str">
        <f t="shared" ca="1" si="73"/>
        <v/>
      </c>
      <c r="B128" s="131" t="s">
        <v>1392</v>
      </c>
      <c r="C128" s="188" t="str">
        <f ca="1">IF(F128=0,"",COUNTIF($F$78:$F128,"&gt;0"))</f>
        <v/>
      </c>
      <c r="D128" s="778" t="str">
        <f>VLOOKUP($B128,dongia1,DG!$C$5,)</f>
        <v>Cáp nhôm bọc AV120</v>
      </c>
      <c r="E128" s="555" t="str">
        <f>VLOOKUP($B128,dongia1,DG!$D$5,)</f>
        <v>mét</v>
      </c>
      <c r="F128" s="779">
        <f t="shared" ca="1" si="77"/>
        <v>0</v>
      </c>
      <c r="G128" s="775">
        <f t="shared" ca="1" si="76"/>
        <v>0</v>
      </c>
      <c r="H128" s="775">
        <f ca="1">SUMIF(CT_tram!$B$33:$G$3559,kl!B128,CT_tram!$G$33:$G$3559)</f>
        <v>0</v>
      </c>
      <c r="I128" s="775">
        <f ca="1">SUMIF(CT_tram!$B$34:$G$115,$B128,CT_tram!$G$34:$G$115)</f>
        <v>0</v>
      </c>
      <c r="J128" s="775">
        <f ca="1">SUMIF(CT_tram!$B$122:$G$204,$B128,CT_tram!$G$122:$G$204)</f>
        <v>0</v>
      </c>
      <c r="K128" s="775">
        <f ca="1">SUMIF(CT_tram!$B$211:$G$293,$B128,CT_tram!$G$211:$G$293)</f>
        <v>0</v>
      </c>
      <c r="L128" s="775">
        <f ca="1">SUMIF(CT_tram!$B$300:$G$374,$B128,CT_tram!$G$300:$G$374)</f>
        <v>0</v>
      </c>
      <c r="M128" s="775">
        <f ca="1">SUMIF(CT_tram!$B$381:$G$471,$B128,CT_tram!$G$381:$G$471)</f>
        <v>0</v>
      </c>
      <c r="N128" s="775">
        <f ca="1">SUMIF(CT_tram!$B$478:$G$560,$B128,CT_tram!$G$478:$G$560)</f>
        <v>0</v>
      </c>
      <c r="O128" s="775">
        <f ca="1">SUMIF(CT_tram!$B$567:$G$653,$B128,CT_tram!$G$567:$G$653)</f>
        <v>0</v>
      </c>
      <c r="P128" s="775">
        <f ca="1">SUMIF(CT_tram!$B$661:$G$738,$B128,CT_tram!$G$661:$G$738)</f>
        <v>0</v>
      </c>
      <c r="Q128" s="775">
        <f ca="1">SUMIF(CT_tram!$B$745:$G$899,$B128,CT_tram!$G$745:$G$899)</f>
        <v>0</v>
      </c>
      <c r="R128" s="775">
        <f ca="1">SUMIF(CT_tram!$B$907:$G$995,$B128,CT_tram!$G$907:$G$995)</f>
        <v>0</v>
      </c>
      <c r="S128" s="775"/>
      <c r="T128" s="775">
        <f ca="1">SUMIF(CT_tram!$B$1004:$G$1097,B128,CT_tram!$G$1004:$G$1097)</f>
        <v>0</v>
      </c>
      <c r="U128" s="775"/>
      <c r="V128" s="775">
        <f ca="1">SUMIF(CT_tram!$B$1226:$G$1352,kl!B128,CT_tram!$G$1226:$G$1352)</f>
        <v>0</v>
      </c>
      <c r="W128" s="780">
        <f ca="1">SUMIF(CT_tram!$B$1105:$G$1219,kl!B128,CT_tram!$G$1105:$G$1219)</f>
        <v>0</v>
      </c>
      <c r="X128" s="775">
        <f ca="1">SUMIF(CT_tram!$B$1359:$G$1504,kl!B128,CT_tram!$G$1359:$G$1504)</f>
        <v>0</v>
      </c>
      <c r="Y128" s="775">
        <f ca="1">SUMIF(CT_tram!$B$1511:$G$1625,kl!B128,CT_tram!$G$1511:$G$1625)</f>
        <v>0</v>
      </c>
      <c r="Z128" s="775">
        <f ca="1">SUMIF(CT_tram!$B$1632:$G$2211,kl!B128,CT_tram!$G$1632:$G$2211)</f>
        <v>0</v>
      </c>
      <c r="AA128" s="775">
        <f ca="1">SUMIF(CT_tram!$B$2243:$G$2384,kl!B128,CT_tram!$G$2243:$G$2384)</f>
        <v>0</v>
      </c>
      <c r="AB128" s="775">
        <f ca="1">SUMIF(CT_tram!$B$2391:$G$2563,kl!B128,CT_tram!$G$2391:$G$2563)</f>
        <v>0</v>
      </c>
      <c r="AC128" s="775">
        <f ca="1">SUMIF(chitiet!$B$13:$N$2352,kl!$B128,chitiet!$I$13:$I$2352)</f>
        <v>0</v>
      </c>
      <c r="AD128" s="775">
        <f ca="1">SUMIF(chitiet!$B$13:$N$2352,kl!$B128,chitiet!$J$13:$J$2352)</f>
        <v>0</v>
      </c>
      <c r="AE128" s="775">
        <f ca="1">SUMIF(chitiet!$B$13:$N$2352,kl!$B128,chitiet!$K$13:$K$2352)</f>
        <v>0</v>
      </c>
      <c r="AF128" s="775">
        <f ca="1">SUMIF(chitiet!$B$13:$N$2352,kl!$B128,chitiet!$L$13:$L$2352)</f>
        <v>0</v>
      </c>
      <c r="AG128" s="775">
        <f ca="1">SUMIF(chitiet!$B$13:$N$2352,kl!$B128,chitiet!$M$13)</f>
        <v>0</v>
      </c>
      <c r="AH128" s="775">
        <f ca="1">SUMIF(chitiet!$B$13:$N$2352,kl!$B128,chitiet!$N$13:$N$2352)</f>
        <v>0</v>
      </c>
      <c r="AI128" s="775">
        <f ca="1">SUMIF(chitiet!$B$13:$N$2352,kl!$B128,chitiet!$O$13:$O$2352)</f>
        <v>0</v>
      </c>
      <c r="AJ128" s="775">
        <f ca="1">SUMIF('Cap ngam'!$B$631:$G$723,kl!$B128,'Cap ngam'!$G$631:$G$723)</f>
        <v>0</v>
      </c>
      <c r="AK128" s="775">
        <f ca="1">SUMIF('Cap ngam'!$B$403:$G$628,kl!$B128,'Cap ngam'!G$403:G$628)</f>
        <v>0</v>
      </c>
      <c r="AL128" s="775">
        <f ca="1">SUMIF('Cap ngam'!B$16:G$400,kl!$B128,'Cap ngam'!G$16:G$400)</f>
        <v>0</v>
      </c>
      <c r="AM128" s="776">
        <v>0.496</v>
      </c>
      <c r="AN128" s="775">
        <f t="shared" ca="1" si="46"/>
        <v>0</v>
      </c>
      <c r="AO128" s="775">
        <f t="shared" ca="1" si="47"/>
        <v>0</v>
      </c>
      <c r="AP128" s="775">
        <f t="shared" ca="1" si="48"/>
        <v>0</v>
      </c>
      <c r="AQ128" s="775">
        <f t="shared" ca="1" si="49"/>
        <v>0</v>
      </c>
      <c r="AR128" s="775">
        <f t="shared" ca="1" si="50"/>
        <v>0</v>
      </c>
      <c r="AS128" s="775">
        <f t="shared" ca="1" si="51"/>
        <v>0</v>
      </c>
      <c r="AT128" s="775">
        <f t="shared" ca="1" si="52"/>
        <v>0</v>
      </c>
      <c r="AU128" s="775">
        <f t="shared" ca="1" si="53"/>
        <v>0</v>
      </c>
      <c r="AV128" s="775">
        <f t="shared" ca="1" si="54"/>
        <v>0</v>
      </c>
      <c r="AW128" s="775">
        <f t="shared" ca="1" si="55"/>
        <v>0</v>
      </c>
      <c r="AX128" s="775">
        <f t="shared" si="56"/>
        <v>0</v>
      </c>
      <c r="AY128" s="775">
        <f t="shared" ca="1" si="57"/>
        <v>0</v>
      </c>
      <c r="AZ128" s="775">
        <f t="shared" si="58"/>
        <v>0</v>
      </c>
      <c r="BA128" s="775">
        <f t="shared" ca="1" si="39"/>
        <v>0</v>
      </c>
      <c r="BB128" s="775">
        <f t="shared" ca="1" si="40"/>
        <v>0</v>
      </c>
      <c r="BC128" s="775">
        <f t="shared" ca="1" si="41"/>
        <v>0</v>
      </c>
      <c r="BD128" s="775">
        <f t="shared" ca="1" si="42"/>
        <v>0</v>
      </c>
      <c r="BE128" s="775">
        <f t="shared" ca="1" si="43"/>
        <v>0</v>
      </c>
      <c r="BF128" s="775">
        <f t="shared" ca="1" si="44"/>
        <v>0</v>
      </c>
      <c r="BG128" s="775">
        <f t="shared" ca="1" si="45"/>
        <v>0</v>
      </c>
      <c r="BH128" s="775">
        <f t="shared" ca="1" si="59"/>
        <v>0</v>
      </c>
      <c r="BI128" s="775">
        <f t="shared" ca="1" si="60"/>
        <v>0</v>
      </c>
      <c r="BJ128" s="775">
        <f t="shared" ca="1" si="61"/>
        <v>0</v>
      </c>
      <c r="BK128" s="775">
        <f t="shared" ca="1" si="62"/>
        <v>0</v>
      </c>
      <c r="BL128" s="775">
        <f t="shared" ca="1" si="63"/>
        <v>0</v>
      </c>
      <c r="BM128" s="775">
        <f t="shared" ca="1" si="64"/>
        <v>0</v>
      </c>
      <c r="BN128" s="775">
        <f t="shared" ca="1" si="65"/>
        <v>0</v>
      </c>
      <c r="BO128" s="775">
        <f t="shared" ca="1" si="66"/>
        <v>0</v>
      </c>
      <c r="BP128" s="775">
        <f t="shared" ca="1" si="67"/>
        <v>0</v>
      </c>
      <c r="BQ128" s="775">
        <f t="shared" ca="1" si="75"/>
        <v>0</v>
      </c>
      <c r="BR128" s="775">
        <f t="shared" ca="1" si="68"/>
        <v>0</v>
      </c>
    </row>
    <row r="129" spans="1:70">
      <c r="A129" s="767" t="str">
        <f t="shared" ca="1" si="73"/>
        <v/>
      </c>
      <c r="B129" s="131" t="s">
        <v>1354</v>
      </c>
      <c r="C129" s="188" t="str">
        <f ca="1">IF(F129=0,"",COUNTIF($F$78:$F129,"&gt;0"))</f>
        <v/>
      </c>
      <c r="D129" s="778" t="str">
        <f>VLOOKUP($B129,dongia1,DG!$C$5,)</f>
        <v>Cáp nhôm bọc AV150</v>
      </c>
      <c r="E129" s="555" t="str">
        <f>VLOOKUP($B129,dongia1,DG!$D$5,)</f>
        <v>mét</v>
      </c>
      <c r="F129" s="779">
        <f t="shared" ca="1" si="77"/>
        <v>0</v>
      </c>
      <c r="G129" s="775">
        <f t="shared" ca="1" si="76"/>
        <v>0</v>
      </c>
      <c r="H129" s="775">
        <f ca="1">SUMIF(CT_tram!$B$33:$G$3559,kl!B129,CT_tram!$G$33:$G$3559)</f>
        <v>0</v>
      </c>
      <c r="I129" s="775">
        <f ca="1">SUMIF(CT_tram!$B$34:$G$115,$B129,CT_tram!$G$34:$G$115)</f>
        <v>0</v>
      </c>
      <c r="J129" s="775">
        <f ca="1">SUMIF(CT_tram!$B$122:$G$204,$B129,CT_tram!$G$122:$G$204)</f>
        <v>0</v>
      </c>
      <c r="K129" s="775">
        <f ca="1">SUMIF(CT_tram!$B$211:$G$293,$B129,CT_tram!$G$211:$G$293)</f>
        <v>0</v>
      </c>
      <c r="L129" s="775">
        <f ca="1">SUMIF(CT_tram!$B$300:$G$374,$B129,CT_tram!$G$300:$G$374)</f>
        <v>0</v>
      </c>
      <c r="M129" s="775">
        <f ca="1">SUMIF(CT_tram!$B$381:$G$471,$B129,CT_tram!$G$381:$G$471)</f>
        <v>0</v>
      </c>
      <c r="N129" s="775">
        <f ca="1">SUMIF(CT_tram!$B$478:$G$560,$B129,CT_tram!$G$478:$G$560)</f>
        <v>0</v>
      </c>
      <c r="O129" s="775">
        <f ca="1">SUMIF(CT_tram!$B$567:$G$653,$B129,CT_tram!$G$567:$G$653)</f>
        <v>0</v>
      </c>
      <c r="P129" s="775">
        <f ca="1">SUMIF(CT_tram!$B$661:$G$738,$B129,CT_tram!$G$661:$G$738)</f>
        <v>0</v>
      </c>
      <c r="Q129" s="775">
        <f ca="1">SUMIF(CT_tram!$B$745:$G$899,$B129,CT_tram!$G$745:$G$899)</f>
        <v>0</v>
      </c>
      <c r="R129" s="775">
        <f ca="1">SUMIF(CT_tram!$B$907:$G$995,$B129,CT_tram!$G$907:$G$995)</f>
        <v>0</v>
      </c>
      <c r="S129" s="775"/>
      <c r="T129" s="775">
        <f ca="1">SUMIF(CT_tram!$B$1004:$G$1097,B129,CT_tram!$G$1004:$G$1097)</f>
        <v>0</v>
      </c>
      <c r="U129" s="775"/>
      <c r="V129" s="775">
        <f ca="1">SUMIF(CT_tram!$B$1226:$G$1352,kl!B129,CT_tram!$G$1226:$G$1352)</f>
        <v>0</v>
      </c>
      <c r="W129" s="780">
        <f ca="1">SUMIF(CT_tram!$B$1105:$G$1219,kl!B129,CT_tram!$G$1105:$G$1219)</f>
        <v>0</v>
      </c>
      <c r="X129" s="775">
        <f ca="1">SUMIF(CT_tram!$B$1359:$G$1504,kl!B129,CT_tram!$G$1359:$G$1504)</f>
        <v>0</v>
      </c>
      <c r="Y129" s="775">
        <f ca="1">SUMIF(CT_tram!$B$1511:$G$1625,kl!B129,CT_tram!$G$1511:$G$1625)</f>
        <v>0</v>
      </c>
      <c r="Z129" s="775">
        <f ca="1">SUMIF(CT_tram!$B$1632:$G$2211,kl!B129,CT_tram!$G$1632:$G$2211)</f>
        <v>0</v>
      </c>
      <c r="AA129" s="775">
        <f ca="1">SUMIF(CT_tram!$B$2243:$G$2384,kl!B129,CT_tram!$G$2243:$G$2384)</f>
        <v>0</v>
      </c>
      <c r="AB129" s="775">
        <f ca="1">SUMIF(CT_tram!$B$2391:$G$2563,kl!B129,CT_tram!$G$2391:$G$2563)</f>
        <v>0</v>
      </c>
      <c r="AC129" s="775">
        <f ca="1">SUMIF(chitiet!$B$13:$N$2352,kl!$B129,chitiet!$I$13:$I$2352)</f>
        <v>0</v>
      </c>
      <c r="AD129" s="775">
        <f ca="1">SUMIF(chitiet!$B$13:$N$2352,kl!$B129,chitiet!$J$13:$J$2352)</f>
        <v>0</v>
      </c>
      <c r="AE129" s="775">
        <f ca="1">SUMIF(chitiet!$B$13:$N$2352,kl!$B129,chitiet!$K$13:$K$2352)</f>
        <v>0</v>
      </c>
      <c r="AF129" s="775">
        <f ca="1">SUMIF(chitiet!$B$13:$N$2352,kl!$B129,chitiet!$L$13:$L$2352)</f>
        <v>0</v>
      </c>
      <c r="AG129" s="775">
        <f ca="1">SUMIF(chitiet!$B$13:$N$2352,kl!$B129,chitiet!$M$13)</f>
        <v>0</v>
      </c>
      <c r="AH129" s="775">
        <f ca="1">SUMIF(chitiet!$B$13:$N$2352,kl!$B129,chitiet!$N$13:$N$2352)</f>
        <v>0</v>
      </c>
      <c r="AI129" s="775">
        <f ca="1">SUMIF(chitiet!$B$13:$N$2352,kl!$B129,chitiet!$O$13:$O$2352)</f>
        <v>0</v>
      </c>
      <c r="AJ129" s="775">
        <f ca="1">SUMIF('Cap ngam'!$B$631:$G$723,kl!$B129,'Cap ngam'!$G$631:$G$723)</f>
        <v>0</v>
      </c>
      <c r="AK129" s="775">
        <f ca="1">SUMIF('Cap ngam'!$B$403:$G$628,kl!$B129,'Cap ngam'!G$403:G$628)</f>
        <v>0</v>
      </c>
      <c r="AL129" s="775">
        <f ca="1">SUMIF('Cap ngam'!B$16:G$400,kl!$B129,'Cap ngam'!G$16:G$400)</f>
        <v>0</v>
      </c>
      <c r="AM129" s="776">
        <v>0.628</v>
      </c>
      <c r="AN129" s="775">
        <f t="shared" ca="1" si="46"/>
        <v>0</v>
      </c>
      <c r="AO129" s="775">
        <f t="shared" ca="1" si="47"/>
        <v>0</v>
      </c>
      <c r="AP129" s="775">
        <f t="shared" ca="1" si="48"/>
        <v>0</v>
      </c>
      <c r="AQ129" s="775">
        <f t="shared" ca="1" si="49"/>
        <v>0</v>
      </c>
      <c r="AR129" s="775">
        <f t="shared" ca="1" si="50"/>
        <v>0</v>
      </c>
      <c r="AS129" s="775">
        <f t="shared" ca="1" si="51"/>
        <v>0</v>
      </c>
      <c r="AT129" s="775">
        <f t="shared" ca="1" si="52"/>
        <v>0</v>
      </c>
      <c r="AU129" s="775">
        <f t="shared" ca="1" si="53"/>
        <v>0</v>
      </c>
      <c r="AV129" s="775">
        <f t="shared" ca="1" si="54"/>
        <v>0</v>
      </c>
      <c r="AW129" s="775">
        <f t="shared" ca="1" si="55"/>
        <v>0</v>
      </c>
      <c r="AX129" s="775">
        <f t="shared" si="56"/>
        <v>0</v>
      </c>
      <c r="AY129" s="775">
        <f t="shared" ca="1" si="57"/>
        <v>0</v>
      </c>
      <c r="AZ129" s="775">
        <f t="shared" si="58"/>
        <v>0</v>
      </c>
      <c r="BA129" s="775">
        <f t="shared" ca="1" si="39"/>
        <v>0</v>
      </c>
      <c r="BB129" s="775">
        <f t="shared" ca="1" si="40"/>
        <v>0</v>
      </c>
      <c r="BC129" s="775">
        <f t="shared" ca="1" si="41"/>
        <v>0</v>
      </c>
      <c r="BD129" s="775">
        <f t="shared" ca="1" si="42"/>
        <v>0</v>
      </c>
      <c r="BE129" s="775">
        <f t="shared" ca="1" si="43"/>
        <v>0</v>
      </c>
      <c r="BF129" s="775">
        <f t="shared" ca="1" si="44"/>
        <v>0</v>
      </c>
      <c r="BG129" s="775">
        <f t="shared" ca="1" si="45"/>
        <v>0</v>
      </c>
      <c r="BH129" s="775">
        <f t="shared" ca="1" si="59"/>
        <v>0</v>
      </c>
      <c r="BI129" s="775">
        <f t="shared" ca="1" si="60"/>
        <v>0</v>
      </c>
      <c r="BJ129" s="775">
        <f t="shared" ca="1" si="61"/>
        <v>0</v>
      </c>
      <c r="BK129" s="775">
        <f t="shared" ca="1" si="62"/>
        <v>0</v>
      </c>
      <c r="BL129" s="775">
        <f t="shared" ca="1" si="63"/>
        <v>0</v>
      </c>
      <c r="BM129" s="775">
        <f t="shared" ca="1" si="64"/>
        <v>0</v>
      </c>
      <c r="BN129" s="775">
        <f t="shared" ca="1" si="65"/>
        <v>0</v>
      </c>
      <c r="BO129" s="775">
        <f t="shared" ca="1" si="66"/>
        <v>0</v>
      </c>
      <c r="BP129" s="775">
        <f t="shared" ca="1" si="67"/>
        <v>0</v>
      </c>
      <c r="BQ129" s="775">
        <f t="shared" ca="1" si="75"/>
        <v>0</v>
      </c>
      <c r="BR129" s="775">
        <f t="shared" ca="1" si="68"/>
        <v>0</v>
      </c>
    </row>
    <row r="130" spans="1:70">
      <c r="A130" s="767" t="str">
        <f t="shared" ca="1" si="73"/>
        <v/>
      </c>
      <c r="B130" s="131" t="s">
        <v>1802</v>
      </c>
      <c r="C130" s="188" t="str">
        <f ca="1">IF(F130=0,"",COUNTIF($F$78:$F130,"&gt;0"))</f>
        <v/>
      </c>
      <c r="D130" s="778" t="str">
        <f>VLOOKUP($B130,dongia1,DG!$C$5,)</f>
        <v>Cáp nhôm bọc AV185</v>
      </c>
      <c r="E130" s="555" t="str">
        <f>VLOOKUP($B130,dongia1,DG!$D$5,)</f>
        <v>mét</v>
      </c>
      <c r="F130" s="779">
        <f t="shared" ca="1" si="77"/>
        <v>0</v>
      </c>
      <c r="G130" s="775">
        <f t="shared" ca="1" si="76"/>
        <v>0</v>
      </c>
      <c r="H130" s="775">
        <f ca="1">SUMIF(CT_tram!$B$33:$G$3559,kl!B130,CT_tram!$G$33:$G$3559)</f>
        <v>0</v>
      </c>
      <c r="I130" s="775">
        <f ca="1">SUMIF(CT_tram!$B$34:$G$115,$B130,CT_tram!$G$34:$G$115)</f>
        <v>0</v>
      </c>
      <c r="J130" s="775">
        <f ca="1">SUMIF(CT_tram!$B$122:$G$204,$B130,CT_tram!$G$122:$G$204)</f>
        <v>0</v>
      </c>
      <c r="K130" s="775">
        <f ca="1">SUMIF(CT_tram!$B$211:$G$293,$B130,CT_tram!$G$211:$G$293)</f>
        <v>0</v>
      </c>
      <c r="L130" s="775">
        <f ca="1">SUMIF(CT_tram!$B$300:$G$374,$B130,CT_tram!$G$300:$G$374)</f>
        <v>0</v>
      </c>
      <c r="M130" s="775">
        <f ca="1">SUMIF(CT_tram!$B$381:$G$471,$B130,CT_tram!$G$381:$G$471)</f>
        <v>0</v>
      </c>
      <c r="N130" s="775">
        <f ca="1">SUMIF(CT_tram!$B$478:$G$560,$B130,CT_tram!$G$478:$G$560)</f>
        <v>0</v>
      </c>
      <c r="O130" s="775">
        <f ca="1">SUMIF(CT_tram!$B$567:$G$653,$B130,CT_tram!$G$567:$G$653)</f>
        <v>0</v>
      </c>
      <c r="P130" s="775">
        <f ca="1">SUMIF(CT_tram!$B$661:$G$738,$B130,CT_tram!$G$661:$G$738)</f>
        <v>0</v>
      </c>
      <c r="Q130" s="775">
        <f ca="1">SUMIF(CT_tram!$B$745:$G$899,$B130,CT_tram!$G$745:$G$899)</f>
        <v>0</v>
      </c>
      <c r="R130" s="775">
        <f ca="1">SUMIF(CT_tram!$B$907:$G$995,$B130,CT_tram!$G$907:$G$995)</f>
        <v>0</v>
      </c>
      <c r="S130" s="775"/>
      <c r="T130" s="775">
        <f ca="1">SUMIF(CT_tram!$B$1004:$G$1097,B130,CT_tram!$G$1004:$G$1097)</f>
        <v>0</v>
      </c>
      <c r="U130" s="775"/>
      <c r="V130" s="775">
        <f ca="1">SUMIF(CT_tram!$B$1226:$G$1352,kl!B130,CT_tram!$G$1226:$G$1352)</f>
        <v>0</v>
      </c>
      <c r="W130" s="780">
        <f ca="1">SUMIF(CT_tram!$B$1105:$G$1219,kl!B130,CT_tram!$G$1105:$G$1219)</f>
        <v>0</v>
      </c>
      <c r="X130" s="775">
        <f ca="1">SUMIF(CT_tram!$B$1359:$G$1504,kl!B130,CT_tram!$G$1359:$G$1504)</f>
        <v>0</v>
      </c>
      <c r="Y130" s="775">
        <f ca="1">SUMIF(CT_tram!$B$1511:$G$1625,kl!B130,CT_tram!$G$1511:$G$1625)</f>
        <v>0</v>
      </c>
      <c r="Z130" s="775">
        <f ca="1">SUMIF(CT_tram!$B$1632:$G$2211,kl!B130,CT_tram!$G$1632:$G$2211)</f>
        <v>0</v>
      </c>
      <c r="AA130" s="775">
        <f ca="1">SUMIF(CT_tram!$B$2243:$G$2384,kl!B130,CT_tram!$G$2243:$G$2384)</f>
        <v>0</v>
      </c>
      <c r="AB130" s="775">
        <f ca="1">SUMIF(CT_tram!$B$2391:$G$2563,kl!B130,CT_tram!$G$2391:$G$2563)</f>
        <v>0</v>
      </c>
      <c r="AC130" s="775">
        <f ca="1">SUMIF(chitiet!$B$13:$N$2352,kl!$B130,chitiet!$I$13:$I$2352)</f>
        <v>0</v>
      </c>
      <c r="AD130" s="775">
        <f ca="1">SUMIF(chitiet!$B$13:$N$2352,kl!$B130,chitiet!$J$13:$J$2352)</f>
        <v>0</v>
      </c>
      <c r="AE130" s="775">
        <f ca="1">SUMIF(chitiet!$B$13:$N$2352,kl!$B130,chitiet!$K$13:$K$2352)</f>
        <v>0</v>
      </c>
      <c r="AF130" s="775">
        <f ca="1">SUMIF(chitiet!$B$13:$N$2352,kl!$B130,chitiet!$L$13:$L$2352)</f>
        <v>0</v>
      </c>
      <c r="AG130" s="775">
        <f ca="1">SUMIF(chitiet!$B$13:$N$2352,kl!$B130,chitiet!$M$13)</f>
        <v>0</v>
      </c>
      <c r="AH130" s="775">
        <f ca="1">SUMIF(chitiet!$B$13:$N$2352,kl!$B130,chitiet!$N$13:$N$2352)</f>
        <v>0</v>
      </c>
      <c r="AI130" s="775">
        <f ca="1">SUMIF(chitiet!$B$13:$N$2352,kl!$B130,chitiet!$O$13:$O$2352)</f>
        <v>0</v>
      </c>
      <c r="AJ130" s="775">
        <f ca="1">SUMIF('Cap ngam'!$B$631:$G$723,kl!$B130,'Cap ngam'!$G$631:$G$723)</f>
        <v>0</v>
      </c>
      <c r="AK130" s="775">
        <f ca="1">SUMIF('Cap ngam'!$B$403:$G$628,kl!$B130,'Cap ngam'!G$403:G$628)</f>
        <v>0</v>
      </c>
      <c r="AL130" s="775">
        <f ca="1">SUMIF('Cap ngam'!B$16:G$400,kl!$B130,'Cap ngam'!G$16:G$400)</f>
        <v>0</v>
      </c>
      <c r="AM130" s="776">
        <v>0.74299999999999999</v>
      </c>
      <c r="AN130" s="775">
        <f t="shared" ca="1" si="46"/>
        <v>0</v>
      </c>
      <c r="AO130" s="775">
        <f t="shared" ca="1" si="47"/>
        <v>0</v>
      </c>
      <c r="AP130" s="775">
        <f t="shared" ca="1" si="48"/>
        <v>0</v>
      </c>
      <c r="AQ130" s="775">
        <f t="shared" ca="1" si="49"/>
        <v>0</v>
      </c>
      <c r="AR130" s="775">
        <f t="shared" ca="1" si="50"/>
        <v>0</v>
      </c>
      <c r="AS130" s="775">
        <f t="shared" ca="1" si="51"/>
        <v>0</v>
      </c>
      <c r="AT130" s="775">
        <f t="shared" ca="1" si="52"/>
        <v>0</v>
      </c>
      <c r="AU130" s="775">
        <f t="shared" ca="1" si="53"/>
        <v>0</v>
      </c>
      <c r="AV130" s="775">
        <f t="shared" ca="1" si="54"/>
        <v>0</v>
      </c>
      <c r="AW130" s="775">
        <f t="shared" ca="1" si="55"/>
        <v>0</v>
      </c>
      <c r="AX130" s="775">
        <f t="shared" si="56"/>
        <v>0</v>
      </c>
      <c r="AY130" s="775">
        <f t="shared" ca="1" si="57"/>
        <v>0</v>
      </c>
      <c r="AZ130" s="775">
        <f t="shared" si="58"/>
        <v>0</v>
      </c>
      <c r="BA130" s="775">
        <f t="shared" ca="1" si="39"/>
        <v>0</v>
      </c>
      <c r="BB130" s="775">
        <f t="shared" ca="1" si="40"/>
        <v>0</v>
      </c>
      <c r="BC130" s="775">
        <f t="shared" ca="1" si="41"/>
        <v>0</v>
      </c>
      <c r="BD130" s="775">
        <f t="shared" ca="1" si="42"/>
        <v>0</v>
      </c>
      <c r="BE130" s="775">
        <f t="shared" ca="1" si="43"/>
        <v>0</v>
      </c>
      <c r="BF130" s="775">
        <f t="shared" ca="1" si="44"/>
        <v>0</v>
      </c>
      <c r="BG130" s="775">
        <f t="shared" ca="1" si="45"/>
        <v>0</v>
      </c>
      <c r="BH130" s="775">
        <f t="shared" ca="1" si="59"/>
        <v>0</v>
      </c>
      <c r="BI130" s="775">
        <f t="shared" ca="1" si="60"/>
        <v>0</v>
      </c>
      <c r="BJ130" s="775">
        <f t="shared" ca="1" si="61"/>
        <v>0</v>
      </c>
      <c r="BK130" s="775">
        <f t="shared" ca="1" si="62"/>
        <v>0</v>
      </c>
      <c r="BL130" s="775">
        <f t="shared" ca="1" si="63"/>
        <v>0</v>
      </c>
      <c r="BM130" s="775">
        <f t="shared" ca="1" si="64"/>
        <v>0</v>
      </c>
      <c r="BN130" s="775">
        <f t="shared" ca="1" si="65"/>
        <v>0</v>
      </c>
      <c r="BO130" s="775">
        <f t="shared" ca="1" si="66"/>
        <v>0</v>
      </c>
      <c r="BP130" s="775">
        <f t="shared" ca="1" si="67"/>
        <v>0</v>
      </c>
      <c r="BQ130" s="775">
        <f t="shared" ca="1" si="75"/>
        <v>0</v>
      </c>
      <c r="BR130" s="775">
        <f t="shared" ca="1" si="68"/>
        <v>0</v>
      </c>
    </row>
    <row r="131" spans="1:70">
      <c r="A131" s="767" t="str">
        <f ca="1">IF(F131&lt;&gt;0,"X","")</f>
        <v/>
      </c>
      <c r="B131" s="131" t="s">
        <v>1323</v>
      </c>
      <c r="C131" s="188" t="str">
        <f ca="1">IF(F131=0,"",COUNTIF($F$78:$F133,"&gt;0"))</f>
        <v/>
      </c>
      <c r="D131" s="778" t="str">
        <f>VLOOKUP($B131,dongia1,DG!$C$5,)</f>
        <v xml:space="preserve">Cáp CVV 4x2,5mm2  </v>
      </c>
      <c r="E131" s="555" t="str">
        <f>VLOOKUP($B131,dongia1,DG!$D$5,)</f>
        <v>mét</v>
      </c>
      <c r="F131" s="779">
        <f ca="1">G131+H131</f>
        <v>0</v>
      </c>
      <c r="G131" s="775">
        <f ca="1">SUM(AC131:AL131)</f>
        <v>0</v>
      </c>
      <c r="H131" s="775">
        <f ca="1">SUMIF(CT_tram!$B$33:$G$3559,kl!B131,CT_tram!$G$33:$G$3559)</f>
        <v>0</v>
      </c>
      <c r="I131" s="775">
        <f ca="1">SUMIF(CT_tram!$B$34:$G$115,$B131,CT_tram!$G$34:$G$115)</f>
        <v>0</v>
      </c>
      <c r="J131" s="775">
        <f ca="1">SUMIF(CT_tram!$B$122:$G$204,$B131,CT_tram!$G$122:$G$204)</f>
        <v>0</v>
      </c>
      <c r="K131" s="775">
        <f ca="1">SUMIF(CT_tram!$B$211:$G$293,$B131,CT_tram!$G$211:$G$293)</f>
        <v>0</v>
      </c>
      <c r="L131" s="775">
        <f ca="1">SUMIF(CT_tram!$B$300:$G$374,$B131,CT_tram!$G$300:$G$374)</f>
        <v>0</v>
      </c>
      <c r="M131" s="775">
        <f ca="1">SUMIF(CT_tram!$B$381:$G$471,$B131,CT_tram!$G$381:$G$471)</f>
        <v>0</v>
      </c>
      <c r="N131" s="775">
        <f ca="1">SUMIF(CT_tram!$B$478:$G$560,$B131,CT_tram!$G$478:$G$560)</f>
        <v>0</v>
      </c>
      <c r="O131" s="775">
        <f ca="1">SUMIF(CT_tram!$B$567:$G$653,$B131,CT_tram!$G$567:$G$653)</f>
        <v>0</v>
      </c>
      <c r="P131" s="775">
        <f ca="1">SUMIF(CT_tram!$B$661:$G$738,$B131,CT_tram!$G$661:$G$738)</f>
        <v>0</v>
      </c>
      <c r="Q131" s="775">
        <f ca="1">SUMIF(CT_tram!$B$745:$G$899,$B131,CT_tram!$G$745:$G$899)</f>
        <v>0</v>
      </c>
      <c r="R131" s="775">
        <f ca="1">SUMIF(CT_tram!$B$907:$G$995,$B131,CT_tram!$G$907:$G$995)</f>
        <v>0</v>
      </c>
      <c r="S131" s="775"/>
      <c r="T131" s="775">
        <f ca="1">SUMIF(CT_tram!$B$1004:$G$1097,B131,CT_tram!$G$1004:$G$1097)</f>
        <v>0</v>
      </c>
      <c r="U131" s="775"/>
      <c r="V131" s="775">
        <f ca="1">SUMIF(CT_tram!$B$1226:$G$1352,kl!B131,CT_tram!$G$1226:$G$1352)</f>
        <v>0</v>
      </c>
      <c r="W131" s="780">
        <f ca="1">SUMIF(CT_tram!$B$1105:$G$1219,kl!B131,CT_tram!$G$1105:$G$1219)</f>
        <v>0</v>
      </c>
      <c r="X131" s="775">
        <f ca="1">SUMIF(CT_tram!$B$1359:$G$1504,kl!B131,CT_tram!$G$1359:$G$1504)</f>
        <v>0</v>
      </c>
      <c r="Y131" s="775">
        <f ca="1">SUMIF(CT_tram!$B$1511:$G$1625,kl!B131,CT_tram!$G$1511:$G$1625)</f>
        <v>0</v>
      </c>
      <c r="Z131" s="775">
        <f ca="1">SUMIF(CT_tram!$B$1632:$G$2211,kl!B131,CT_tram!$G$1632:$G$2211)</f>
        <v>0</v>
      </c>
      <c r="AA131" s="775">
        <f ca="1">SUMIF(CT_tram!$B$2243:$G$2384,kl!B131,CT_tram!$G$2243:$G$2384)</f>
        <v>0</v>
      </c>
      <c r="AB131" s="775">
        <f ca="1">SUMIF(CT_tram!$B$2391:$G$2563,kl!B131,CT_tram!$G$2391:$G$2563)</f>
        <v>0</v>
      </c>
      <c r="AC131" s="775">
        <f ca="1">SUMIF(chitiet!$B$13:$N$2352,kl!$B131,chitiet!$I$13:$I$2352)</f>
        <v>0</v>
      </c>
      <c r="AD131" s="775">
        <f ca="1">SUMIF(chitiet!$B$13:$N$2352,kl!$B131,chitiet!$J$13:$J$2352)</f>
        <v>0</v>
      </c>
      <c r="AE131" s="775">
        <f ca="1">SUMIF(chitiet!$B$13:$N$2352,kl!$B131,chitiet!$K$13:$K$2352)</f>
        <v>0</v>
      </c>
      <c r="AF131" s="775">
        <f ca="1">SUMIF(chitiet!$B$13:$N$2352,kl!$B131,chitiet!$L$13:$L$2352)</f>
        <v>0</v>
      </c>
      <c r="AG131" s="775">
        <f ca="1">SUMIF(chitiet!$B$13:$N$2352,kl!$B131,chitiet!$M$13)</f>
        <v>0</v>
      </c>
      <c r="AH131" s="775">
        <f ca="1">SUMIF(chitiet!$B$13:$N$2352,kl!$B131,chitiet!$N$13:$N$2352)</f>
        <v>0</v>
      </c>
      <c r="AI131" s="775">
        <f ca="1">SUMIF(chitiet!$B$13:$N$2352,kl!$B131,chitiet!$O$13:$O$2352)</f>
        <v>0</v>
      </c>
      <c r="AJ131" s="775">
        <f ca="1">SUMIF('Cap ngam'!$B$631:$G$723,kl!$B131,'Cap ngam'!$G$631:$G$723)</f>
        <v>0</v>
      </c>
      <c r="AK131" s="775">
        <f ca="1">SUMIF('Cap ngam'!$B$403:$G$628,kl!$B131,'Cap ngam'!G$403:G$628)</f>
        <v>0</v>
      </c>
      <c r="AL131" s="775">
        <f ca="1">SUMIF('Cap ngam'!B$16:G$400,kl!$B131,'Cap ngam'!G$16:G$400)</f>
        <v>0</v>
      </c>
      <c r="AM131" s="776">
        <v>0.13200000000000001</v>
      </c>
      <c r="AN131" s="775">
        <f t="shared" ca="1" si="46"/>
        <v>0</v>
      </c>
      <c r="AO131" s="775">
        <f t="shared" ca="1" si="47"/>
        <v>0</v>
      </c>
      <c r="AP131" s="775">
        <f t="shared" ca="1" si="48"/>
        <v>0</v>
      </c>
      <c r="AQ131" s="775">
        <f t="shared" ca="1" si="49"/>
        <v>0</v>
      </c>
      <c r="AR131" s="775">
        <f t="shared" ca="1" si="50"/>
        <v>0</v>
      </c>
      <c r="AS131" s="775">
        <f t="shared" ca="1" si="51"/>
        <v>0</v>
      </c>
      <c r="AT131" s="775">
        <f t="shared" ca="1" si="52"/>
        <v>0</v>
      </c>
      <c r="AU131" s="775">
        <f t="shared" ca="1" si="53"/>
        <v>0</v>
      </c>
      <c r="AV131" s="775">
        <f t="shared" ca="1" si="54"/>
        <v>0</v>
      </c>
      <c r="AW131" s="775">
        <f t="shared" ca="1" si="55"/>
        <v>0</v>
      </c>
      <c r="AX131" s="775">
        <f t="shared" si="56"/>
        <v>0</v>
      </c>
      <c r="AY131" s="775">
        <f t="shared" ca="1" si="57"/>
        <v>0</v>
      </c>
      <c r="AZ131" s="775">
        <f t="shared" si="58"/>
        <v>0</v>
      </c>
      <c r="BA131" s="775">
        <f t="shared" ca="1" si="39"/>
        <v>0</v>
      </c>
      <c r="BB131" s="775">
        <f t="shared" ca="1" si="40"/>
        <v>0</v>
      </c>
      <c r="BC131" s="775">
        <f t="shared" ca="1" si="41"/>
        <v>0</v>
      </c>
      <c r="BD131" s="775">
        <f t="shared" ca="1" si="42"/>
        <v>0</v>
      </c>
      <c r="BE131" s="775">
        <f t="shared" ca="1" si="43"/>
        <v>0</v>
      </c>
      <c r="BF131" s="775">
        <f t="shared" ca="1" si="44"/>
        <v>0</v>
      </c>
      <c r="BG131" s="775">
        <f t="shared" ca="1" si="45"/>
        <v>0</v>
      </c>
      <c r="BH131" s="775">
        <f t="shared" ca="1" si="59"/>
        <v>0</v>
      </c>
      <c r="BI131" s="775">
        <f t="shared" ca="1" si="60"/>
        <v>0</v>
      </c>
      <c r="BJ131" s="775">
        <f t="shared" ca="1" si="61"/>
        <v>0</v>
      </c>
      <c r="BK131" s="775">
        <f t="shared" ca="1" si="62"/>
        <v>0</v>
      </c>
      <c r="BL131" s="775">
        <f t="shared" ca="1" si="63"/>
        <v>0</v>
      </c>
      <c r="BM131" s="775">
        <f t="shared" ca="1" si="64"/>
        <v>0</v>
      </c>
      <c r="BN131" s="775">
        <f t="shared" ca="1" si="65"/>
        <v>0</v>
      </c>
      <c r="BO131" s="775">
        <f t="shared" ca="1" si="66"/>
        <v>0</v>
      </c>
      <c r="BP131" s="775">
        <f t="shared" ca="1" si="67"/>
        <v>0</v>
      </c>
      <c r="BQ131" s="775">
        <f ca="1">$AL131*$AM131</f>
        <v>0</v>
      </c>
      <c r="BR131" s="775">
        <f t="shared" ca="1" si="68"/>
        <v>0</v>
      </c>
    </row>
    <row r="132" spans="1:70">
      <c r="A132" s="767" t="str">
        <f ca="1">IF(F132&lt;&gt;0,"X","")</f>
        <v>X</v>
      </c>
      <c r="B132" s="131" t="s">
        <v>4806</v>
      </c>
      <c r="C132" s="188">
        <f ca="1">IF(F132=0,"",COUNTIF($F$78:$F134,"&gt;0"))</f>
        <v>11</v>
      </c>
      <c r="D132" s="778" t="str">
        <f>VLOOKUP($B132,dongia1,DG!$C$5,)</f>
        <v xml:space="preserve">Cáp CVV 4x4mm2  </v>
      </c>
      <c r="E132" s="555" t="str">
        <f>VLOOKUP($B132,dongia1,DG!$D$5,)</f>
        <v>mét</v>
      </c>
      <c r="F132" s="975">
        <f ca="1">G132+H132</f>
        <v>33</v>
      </c>
      <c r="G132" s="976">
        <f ca="1">SUM(AC132:AL132)</f>
        <v>0</v>
      </c>
      <c r="H132" s="976">
        <f ca="1">SUMIF(CT_tram!$B$33:$G$3559,kl!B132,CT_tram!$G$33:$G$3559)</f>
        <v>33</v>
      </c>
      <c r="I132" s="775">
        <f ca="1">SUMIF(CT_tram!$B$34:$G$115,$B132,CT_tram!$G$34:$G$115)</f>
        <v>0</v>
      </c>
      <c r="J132" s="775">
        <f ca="1">SUMIF(CT_tram!$B$122:$G$204,$B132,CT_tram!$G$122:$G$204)</f>
        <v>0</v>
      </c>
      <c r="K132" s="775">
        <f ca="1">SUMIF(CT_tram!$B$211:$G$293,$B132,CT_tram!$G$211:$G$293)</f>
        <v>0</v>
      </c>
      <c r="L132" s="775">
        <f ca="1">SUMIF(CT_tram!$B$300:$G$374,$B132,CT_tram!$G$300:$G$374)</f>
        <v>0</v>
      </c>
      <c r="M132" s="775">
        <f ca="1">SUMIF(CT_tram!$B$381:$G$471,$B132,CT_tram!$G$381:$G$471)</f>
        <v>0</v>
      </c>
      <c r="N132" s="775">
        <f ca="1">SUMIF(CT_tram!$B$478:$G$560,$B132,CT_tram!$G$478:$G$560)</f>
        <v>0</v>
      </c>
      <c r="O132" s="775">
        <f ca="1">SUMIF(CT_tram!$B$567:$G$653,$B132,CT_tram!$G$567:$G$653)</f>
        <v>0</v>
      </c>
      <c r="P132" s="775">
        <f ca="1">SUMIF(CT_tram!$B$661:$G$738,$B132,CT_tram!$G$661:$G$738)</f>
        <v>0</v>
      </c>
      <c r="Q132" s="775">
        <f ca="1">SUMIF(CT_tram!$B$745:$G$899,$B132,CT_tram!$G$745:$G$899)</f>
        <v>0</v>
      </c>
      <c r="R132" s="775">
        <f ca="1">SUMIF(CT_tram!$B$907:$G$995,$B132,CT_tram!$G$907:$G$995)</f>
        <v>0</v>
      </c>
      <c r="S132" s="775"/>
      <c r="T132" s="775">
        <f ca="1">SUMIF(CT_tram!$B$1004:$G$1097,B132,CT_tram!$G$1004:$G$1097)</f>
        <v>0</v>
      </c>
      <c r="U132" s="775"/>
      <c r="V132" s="775">
        <f ca="1">SUMIF(CT_tram!$B$1226:$G$1352,kl!B132,CT_tram!$G$1226:$G$1352)</f>
        <v>0</v>
      </c>
      <c r="W132" s="780">
        <f ca="1">SUMIF(CT_tram!$B$1105:$G$1219,kl!B132,CT_tram!$G$1105:$G$1219)</f>
        <v>0</v>
      </c>
      <c r="X132" s="775">
        <f ca="1">SUMIF(CT_tram!$B$1359:$G$1504,kl!B132,CT_tram!$G$1359:$G$1504)</f>
        <v>0</v>
      </c>
      <c r="Y132" s="775">
        <f ca="1">SUMIF(CT_tram!$B$1511:$G$1625,kl!B132,CT_tram!$G$1511:$G$1625)</f>
        <v>0</v>
      </c>
      <c r="Z132" s="775">
        <f ca="1">SUMIF(CT_tram!$B$1632:$G$2211,kl!B132,CT_tram!$G$1632:$G$2211)</f>
        <v>0</v>
      </c>
      <c r="AA132" s="775">
        <f ca="1">SUMIF(CT_tram!$B$2243:$G$2384,kl!B132,CT_tram!$G$2243:$G$2384)</f>
        <v>0</v>
      </c>
      <c r="AB132" s="775">
        <f ca="1">SUMIF(CT_tram!$B$2391:$G$2563,kl!B132,CT_tram!$G$2391:$G$2563)</f>
        <v>0</v>
      </c>
      <c r="AC132" s="775">
        <f ca="1">SUMIF(chitiet!$B$13:$N$2352,kl!$B132,chitiet!$I$13:$I$2352)</f>
        <v>0</v>
      </c>
      <c r="AD132" s="775">
        <f ca="1">SUMIF(chitiet!$B$13:$N$2352,kl!$B132,chitiet!$J$13:$J$2352)</f>
        <v>0</v>
      </c>
      <c r="AE132" s="775">
        <f ca="1">SUMIF(chitiet!$B$13:$N$2352,kl!$B132,chitiet!$K$13:$K$2352)</f>
        <v>0</v>
      </c>
      <c r="AF132" s="775">
        <f ca="1">SUMIF(chitiet!$B$13:$N$2352,kl!$B132,chitiet!$L$13:$L$2352)</f>
        <v>0</v>
      </c>
      <c r="AG132" s="775">
        <f ca="1">SUMIF(chitiet!$B$13:$N$2352,kl!$B132,chitiet!$M$13)</f>
        <v>0</v>
      </c>
      <c r="AH132" s="775">
        <f ca="1">SUMIF(chitiet!$B$13:$N$2352,kl!$B132,chitiet!$N$13:$N$2352)</f>
        <v>0</v>
      </c>
      <c r="AI132" s="775">
        <f ca="1">SUMIF(chitiet!$B$13:$N$2352,kl!$B132,chitiet!$O$13:$O$2352)</f>
        <v>0</v>
      </c>
      <c r="AJ132" s="775">
        <f ca="1">SUMIF('Cap ngam'!$B$631:$G$723,kl!$B132,'Cap ngam'!$G$631:$G$723)</f>
        <v>0</v>
      </c>
      <c r="AK132" s="775">
        <f ca="1">SUMIF('Cap ngam'!$B$403:$G$628,kl!$B132,'Cap ngam'!G$403:G$628)</f>
        <v>0</v>
      </c>
      <c r="AL132" s="775">
        <f ca="1">SUMIF('Cap ngam'!B$16:G$400,kl!$B132,'Cap ngam'!G$16:G$400)</f>
        <v>0</v>
      </c>
      <c r="AM132" s="776">
        <v>0.05</v>
      </c>
      <c r="AN132" s="775">
        <f t="shared" ref="AN132:BP132" ca="1" si="78">I132*$AM132</f>
        <v>0</v>
      </c>
      <c r="AO132" s="775">
        <f t="shared" ca="1" si="78"/>
        <v>0</v>
      </c>
      <c r="AP132" s="775">
        <f t="shared" ca="1" si="78"/>
        <v>0</v>
      </c>
      <c r="AQ132" s="775">
        <f t="shared" ca="1" si="78"/>
        <v>0</v>
      </c>
      <c r="AR132" s="775">
        <f t="shared" ca="1" si="78"/>
        <v>0</v>
      </c>
      <c r="AS132" s="775">
        <f t="shared" ca="1" si="78"/>
        <v>0</v>
      </c>
      <c r="AT132" s="775">
        <f t="shared" ca="1" si="78"/>
        <v>0</v>
      </c>
      <c r="AU132" s="775">
        <f t="shared" ca="1" si="78"/>
        <v>0</v>
      </c>
      <c r="AV132" s="775">
        <f t="shared" ca="1" si="78"/>
        <v>0</v>
      </c>
      <c r="AW132" s="775">
        <f t="shared" ca="1" si="78"/>
        <v>0</v>
      </c>
      <c r="AX132" s="775">
        <f t="shared" si="78"/>
        <v>0</v>
      </c>
      <c r="AY132" s="775">
        <f t="shared" ca="1" si="78"/>
        <v>0</v>
      </c>
      <c r="AZ132" s="775">
        <f t="shared" si="78"/>
        <v>0</v>
      </c>
      <c r="BA132" s="775">
        <f t="shared" ca="1" si="78"/>
        <v>0</v>
      </c>
      <c r="BB132" s="775">
        <f t="shared" ca="1" si="78"/>
        <v>0</v>
      </c>
      <c r="BC132" s="775">
        <f t="shared" ca="1" si="78"/>
        <v>0</v>
      </c>
      <c r="BD132" s="775">
        <f t="shared" ca="1" si="78"/>
        <v>0</v>
      </c>
      <c r="BE132" s="775">
        <f t="shared" ca="1" si="78"/>
        <v>0</v>
      </c>
      <c r="BF132" s="775">
        <f t="shared" ca="1" si="78"/>
        <v>0</v>
      </c>
      <c r="BG132" s="775">
        <f t="shared" ca="1" si="78"/>
        <v>0</v>
      </c>
      <c r="BH132" s="775">
        <f t="shared" ca="1" si="78"/>
        <v>0</v>
      </c>
      <c r="BI132" s="775">
        <f t="shared" ca="1" si="78"/>
        <v>0</v>
      </c>
      <c r="BJ132" s="775">
        <f t="shared" ca="1" si="78"/>
        <v>0</v>
      </c>
      <c r="BK132" s="775">
        <f t="shared" ca="1" si="78"/>
        <v>0</v>
      </c>
      <c r="BL132" s="775">
        <f t="shared" ca="1" si="78"/>
        <v>0</v>
      </c>
      <c r="BM132" s="775">
        <f t="shared" ca="1" si="78"/>
        <v>0</v>
      </c>
      <c r="BN132" s="775">
        <f t="shared" ca="1" si="78"/>
        <v>0</v>
      </c>
      <c r="BO132" s="775">
        <f t="shared" ca="1" si="78"/>
        <v>0</v>
      </c>
      <c r="BP132" s="775">
        <f t="shared" ca="1" si="78"/>
        <v>0</v>
      </c>
      <c r="BQ132" s="775">
        <f ca="1">$AL132*$AM132</f>
        <v>0</v>
      </c>
      <c r="BR132" s="775">
        <f t="shared" ca="1" si="68"/>
        <v>1.6500000000000001</v>
      </c>
    </row>
    <row r="133" spans="1:70">
      <c r="A133" s="767" t="str">
        <f t="shared" ca="1" si="73"/>
        <v/>
      </c>
      <c r="B133" s="131" t="s">
        <v>1805</v>
      </c>
      <c r="C133" s="188" t="str">
        <f ca="1">IF(F133=0,"",COUNTIF($F$78:$F133,"&gt;0"))</f>
        <v/>
      </c>
      <c r="D133" s="778" t="str">
        <f>VLOOKUP($B133,dongia1,DG!$C$5,)</f>
        <v>Cáp đồng bọc CV11</v>
      </c>
      <c r="E133" s="555" t="str">
        <f>VLOOKUP($B133,dongia1,DG!$D$5,)</f>
        <v>mét</v>
      </c>
      <c r="F133" s="779">
        <f t="shared" ca="1" si="77"/>
        <v>0</v>
      </c>
      <c r="G133" s="775">
        <f t="shared" ca="1" si="76"/>
        <v>0</v>
      </c>
      <c r="H133" s="775">
        <f ca="1">SUMIF(CT_tram!$B$33:$G$3559,kl!B133,CT_tram!$G$33:$G$3559)</f>
        <v>0</v>
      </c>
      <c r="I133" s="775">
        <f ca="1">SUMIF(CT_tram!$B$34:$G$115,$B133,CT_tram!$G$34:$G$115)</f>
        <v>0</v>
      </c>
      <c r="J133" s="775">
        <f ca="1">SUMIF(CT_tram!$B$122:$G$204,$B133,CT_tram!$G$122:$G$204)</f>
        <v>0</v>
      </c>
      <c r="K133" s="775">
        <f ca="1">SUMIF(CT_tram!$B$211:$G$293,$B133,CT_tram!$G$211:$G$293)</f>
        <v>0</v>
      </c>
      <c r="L133" s="775">
        <f ca="1">SUMIF(CT_tram!$B$300:$G$374,$B133,CT_tram!$G$300:$G$374)</f>
        <v>0</v>
      </c>
      <c r="M133" s="775">
        <f ca="1">SUMIF(CT_tram!$B$381:$G$471,$B133,CT_tram!$G$381:$G$471)</f>
        <v>0</v>
      </c>
      <c r="N133" s="775">
        <f ca="1">SUMIF(CT_tram!$B$478:$G$560,$B133,CT_tram!$G$478:$G$560)</f>
        <v>0</v>
      </c>
      <c r="O133" s="775">
        <f ca="1">SUMIF(CT_tram!$B$567:$G$653,$B133,CT_tram!$G$567:$G$653)</f>
        <v>0</v>
      </c>
      <c r="P133" s="775">
        <f ca="1">SUMIF(CT_tram!$B$661:$G$738,$B133,CT_tram!$G$661:$G$738)</f>
        <v>0</v>
      </c>
      <c r="Q133" s="775">
        <f ca="1">SUMIF(CT_tram!$B$745:$G$899,$B133,CT_tram!$G$745:$G$899)</f>
        <v>0</v>
      </c>
      <c r="R133" s="775">
        <f ca="1">SUMIF(CT_tram!$B$907:$G$995,$B133,CT_tram!$G$907:$G$995)</f>
        <v>0</v>
      </c>
      <c r="S133" s="775"/>
      <c r="T133" s="775">
        <f ca="1">SUMIF(CT_tram!$B$1004:$G$1097,B133,CT_tram!$G$1004:$G$1097)</f>
        <v>0</v>
      </c>
      <c r="U133" s="775"/>
      <c r="V133" s="775">
        <f ca="1">SUMIF(CT_tram!$B$1226:$G$1352,kl!B133,CT_tram!$G$1226:$G$1352)</f>
        <v>0</v>
      </c>
      <c r="W133" s="780">
        <f ca="1">SUMIF(CT_tram!$B$1105:$G$1219,kl!B133,CT_tram!$G$1105:$G$1219)</f>
        <v>0</v>
      </c>
      <c r="X133" s="775">
        <f ca="1">SUMIF(CT_tram!$B$1359:$G$1504,kl!B133,CT_tram!$G$1359:$G$1504)</f>
        <v>0</v>
      </c>
      <c r="Y133" s="775">
        <f ca="1">SUMIF(CT_tram!$B$1511:$G$1625,kl!B133,CT_tram!$G$1511:$G$1625)</f>
        <v>0</v>
      </c>
      <c r="Z133" s="775">
        <f ca="1">SUMIF(CT_tram!$B$1632:$G$2211,kl!B133,CT_tram!$G$1632:$G$2211)</f>
        <v>0</v>
      </c>
      <c r="AA133" s="775">
        <f ca="1">SUMIF(CT_tram!$B$2243:$G$2384,kl!B133,CT_tram!$G$2243:$G$2384)</f>
        <v>0</v>
      </c>
      <c r="AB133" s="775">
        <f ca="1">SUMIF(CT_tram!$B$2391:$G$2563,kl!B133,CT_tram!$G$2391:$G$2563)</f>
        <v>0</v>
      </c>
      <c r="AC133" s="775">
        <f ca="1">SUMIF(chitiet!$B$13:$N$2352,kl!$B133,chitiet!$I$13:$I$2352)</f>
        <v>0</v>
      </c>
      <c r="AD133" s="775">
        <f ca="1">SUMIF(chitiet!$B$13:$N$2352,kl!$B133,chitiet!$J$13:$J$2352)</f>
        <v>0</v>
      </c>
      <c r="AE133" s="775">
        <f ca="1">SUMIF(chitiet!$B$13:$N$2352,kl!$B133,chitiet!$K$13:$K$2352)</f>
        <v>0</v>
      </c>
      <c r="AF133" s="775">
        <f ca="1">SUMIF(chitiet!$B$13:$N$2352,kl!$B133,chitiet!$L$13:$L$2352)</f>
        <v>0</v>
      </c>
      <c r="AG133" s="775">
        <f ca="1">SUMIF(chitiet!$B$13:$N$2352,kl!$B133,chitiet!$M$13)</f>
        <v>0</v>
      </c>
      <c r="AH133" s="775">
        <f ca="1">SUMIF(chitiet!$B$13:$N$2352,kl!$B133,chitiet!$N$13:$N$2352)</f>
        <v>0</v>
      </c>
      <c r="AI133" s="775">
        <f ca="1">SUMIF(chitiet!$B$13:$N$2352,kl!$B133,chitiet!$O$13:$O$2352)</f>
        <v>0</v>
      </c>
      <c r="AJ133" s="775">
        <f ca="1">SUMIF('Cap ngam'!$B$631:$G$723,kl!$B133,'Cap ngam'!$G$631:$G$723)</f>
        <v>0</v>
      </c>
      <c r="AK133" s="775">
        <f ca="1">SUMIF('Cap ngam'!$B$403:$G$628,kl!$B133,'Cap ngam'!G$403:G$628)</f>
        <v>0</v>
      </c>
      <c r="AL133" s="775">
        <f ca="1">SUMIF('Cap ngam'!B$16:G$400,kl!$B133,'Cap ngam'!G$16:G$400)</f>
        <v>0</v>
      </c>
      <c r="AM133" s="776">
        <v>0.11700000000000001</v>
      </c>
      <c r="AN133" s="775">
        <f t="shared" ca="1" si="46"/>
        <v>0</v>
      </c>
      <c r="AO133" s="775">
        <f t="shared" ca="1" si="47"/>
        <v>0</v>
      </c>
      <c r="AP133" s="775">
        <f t="shared" ca="1" si="48"/>
        <v>0</v>
      </c>
      <c r="AQ133" s="775">
        <f t="shared" ca="1" si="49"/>
        <v>0</v>
      </c>
      <c r="AR133" s="775">
        <f t="shared" ca="1" si="50"/>
        <v>0</v>
      </c>
      <c r="AS133" s="775">
        <f t="shared" ca="1" si="51"/>
        <v>0</v>
      </c>
      <c r="AT133" s="775">
        <f t="shared" ca="1" si="52"/>
        <v>0</v>
      </c>
      <c r="AU133" s="775">
        <f t="shared" ca="1" si="53"/>
        <v>0</v>
      </c>
      <c r="AV133" s="775">
        <f t="shared" ca="1" si="54"/>
        <v>0</v>
      </c>
      <c r="AW133" s="775">
        <f t="shared" ca="1" si="55"/>
        <v>0</v>
      </c>
      <c r="AX133" s="775">
        <f t="shared" si="56"/>
        <v>0</v>
      </c>
      <c r="AY133" s="775">
        <f t="shared" ca="1" si="57"/>
        <v>0</v>
      </c>
      <c r="AZ133" s="775">
        <f t="shared" si="58"/>
        <v>0</v>
      </c>
      <c r="BA133" s="775">
        <f t="shared" ca="1" si="39"/>
        <v>0</v>
      </c>
      <c r="BB133" s="775">
        <f t="shared" ca="1" si="40"/>
        <v>0</v>
      </c>
      <c r="BC133" s="775">
        <f t="shared" ca="1" si="41"/>
        <v>0</v>
      </c>
      <c r="BD133" s="775">
        <f t="shared" ca="1" si="42"/>
        <v>0</v>
      </c>
      <c r="BE133" s="775">
        <f t="shared" ca="1" si="43"/>
        <v>0</v>
      </c>
      <c r="BF133" s="775">
        <f t="shared" ca="1" si="44"/>
        <v>0</v>
      </c>
      <c r="BG133" s="775">
        <f t="shared" ca="1" si="45"/>
        <v>0</v>
      </c>
      <c r="BH133" s="775">
        <f t="shared" ca="1" si="59"/>
        <v>0</v>
      </c>
      <c r="BI133" s="775">
        <f t="shared" ca="1" si="60"/>
        <v>0</v>
      </c>
      <c r="BJ133" s="775">
        <f t="shared" ca="1" si="61"/>
        <v>0</v>
      </c>
      <c r="BK133" s="775">
        <f t="shared" ca="1" si="62"/>
        <v>0</v>
      </c>
      <c r="BL133" s="775">
        <f t="shared" ca="1" si="63"/>
        <v>0</v>
      </c>
      <c r="BM133" s="775">
        <f t="shared" ca="1" si="64"/>
        <v>0</v>
      </c>
      <c r="BN133" s="775">
        <f t="shared" ca="1" si="65"/>
        <v>0</v>
      </c>
      <c r="BO133" s="775">
        <f t="shared" ca="1" si="66"/>
        <v>0</v>
      </c>
      <c r="BP133" s="775">
        <f t="shared" ca="1" si="67"/>
        <v>0</v>
      </c>
      <c r="BQ133" s="775">
        <f t="shared" ca="1" si="75"/>
        <v>0</v>
      </c>
      <c r="BR133" s="775">
        <f t="shared" ca="1" si="68"/>
        <v>0</v>
      </c>
    </row>
    <row r="134" spans="1:70">
      <c r="A134" s="767" t="str">
        <f t="shared" ca="1" si="73"/>
        <v/>
      </c>
      <c r="B134" s="131" t="s">
        <v>225</v>
      </c>
      <c r="C134" s="188" t="str">
        <f ca="1">IF(F134=0,"",COUNTIF($F$78:$F134,"&gt;0"))</f>
        <v/>
      </c>
      <c r="D134" s="778" t="str">
        <f>VLOOKUP($B134,dongia1,DG!$C$5,)</f>
        <v>Cáp đồng bọc CV25</v>
      </c>
      <c r="E134" s="555" t="str">
        <f>VLOOKUP($B134,dongia1,DG!$D$5,)</f>
        <v>mét</v>
      </c>
      <c r="F134" s="779">
        <f t="shared" ca="1" si="77"/>
        <v>0</v>
      </c>
      <c r="G134" s="775">
        <f t="shared" ca="1" si="76"/>
        <v>0</v>
      </c>
      <c r="H134" s="775">
        <f ca="1">SUMIF(CT_tram!$B$33:$G$3559,kl!B134,CT_tram!$G$33:$G$3559)</f>
        <v>0</v>
      </c>
      <c r="I134" s="775">
        <f ca="1">SUMIF(CT_tram!$B$34:$G$115,$B134,CT_tram!$G$34:$G$115)</f>
        <v>0</v>
      </c>
      <c r="J134" s="775">
        <f ca="1">SUMIF(CT_tram!$B$122:$G$204,$B134,CT_tram!$G$122:$G$204)</f>
        <v>0</v>
      </c>
      <c r="K134" s="775">
        <f ca="1">SUMIF(CT_tram!$B$211:$G$293,$B134,CT_tram!$G$211:$G$293)</f>
        <v>0</v>
      </c>
      <c r="L134" s="775">
        <f ca="1">SUMIF(CT_tram!$B$300:$G$374,$B134,CT_tram!$G$300:$G$374)</f>
        <v>0</v>
      </c>
      <c r="M134" s="775">
        <f ca="1">SUMIF(CT_tram!$B$381:$G$471,$B134,CT_tram!$G$381:$G$471)</f>
        <v>0</v>
      </c>
      <c r="N134" s="775">
        <f ca="1">SUMIF(CT_tram!$B$478:$G$560,$B134,CT_tram!$G$478:$G$560)</f>
        <v>0</v>
      </c>
      <c r="O134" s="775">
        <f ca="1">SUMIF(CT_tram!$B$567:$G$653,$B134,CT_tram!$G$567:$G$653)</f>
        <v>0</v>
      </c>
      <c r="P134" s="775">
        <f ca="1">SUMIF(CT_tram!$B$661:$G$738,$B134,CT_tram!$G$661:$G$738)</f>
        <v>0</v>
      </c>
      <c r="Q134" s="775">
        <f ca="1">SUMIF(CT_tram!$B$745:$G$899,$B134,CT_tram!$G$745:$G$899)</f>
        <v>0</v>
      </c>
      <c r="R134" s="775">
        <f ca="1">SUMIF(CT_tram!$B$907:$G$995,$B134,CT_tram!$G$907:$G$995)</f>
        <v>0</v>
      </c>
      <c r="S134" s="775"/>
      <c r="T134" s="775">
        <f ca="1">SUMIF(CT_tram!$B$1004:$G$1097,B134,CT_tram!$G$1004:$G$1097)</f>
        <v>0</v>
      </c>
      <c r="U134" s="775"/>
      <c r="V134" s="775">
        <f ca="1">SUMIF(CT_tram!$B$1226:$G$1352,kl!B134,CT_tram!$G$1226:$G$1352)</f>
        <v>0</v>
      </c>
      <c r="W134" s="780">
        <f ca="1">SUMIF(CT_tram!$B$1105:$G$1219,kl!B134,CT_tram!$G$1105:$G$1219)</f>
        <v>0</v>
      </c>
      <c r="X134" s="775">
        <f ca="1">SUMIF(CT_tram!$B$1359:$G$1504,kl!B134,CT_tram!$G$1359:$G$1504)</f>
        <v>0</v>
      </c>
      <c r="Y134" s="775">
        <f ca="1">SUMIF(CT_tram!$B$1511:$G$1625,kl!B134,CT_tram!$G$1511:$G$1625)</f>
        <v>0</v>
      </c>
      <c r="Z134" s="775">
        <f ca="1">SUMIF(CT_tram!$B$1632:$G$2211,kl!B134,CT_tram!$G$1632:$G$2211)</f>
        <v>0</v>
      </c>
      <c r="AA134" s="775">
        <f ca="1">SUMIF(CT_tram!$B$2243:$G$2384,kl!B134,CT_tram!$G$2243:$G$2384)</f>
        <v>0</v>
      </c>
      <c r="AB134" s="775">
        <f ca="1">SUMIF(CT_tram!$B$2391:$G$2563,kl!B134,CT_tram!$G$2391:$G$2563)</f>
        <v>0</v>
      </c>
      <c r="AC134" s="775">
        <f ca="1">SUMIF(chitiet!$B$13:$N$2352,kl!$B134,chitiet!$I$13:$I$2352)</f>
        <v>0</v>
      </c>
      <c r="AD134" s="775">
        <f ca="1">SUMIF(chitiet!$B$13:$N$2352,kl!$B134,chitiet!$J$13:$J$2352)</f>
        <v>0</v>
      </c>
      <c r="AE134" s="775">
        <f ca="1">SUMIF(chitiet!$B$13:$N$2352,kl!$B134,chitiet!$K$13:$K$2352)</f>
        <v>0</v>
      </c>
      <c r="AF134" s="775">
        <f ca="1">SUMIF(chitiet!$B$13:$N$2352,kl!$B134,chitiet!$L$13:$L$2352)</f>
        <v>0</v>
      </c>
      <c r="AG134" s="775">
        <f ca="1">SUMIF(chitiet!$B$13:$N$2352,kl!$B134,chitiet!$M$13)</f>
        <v>0</v>
      </c>
      <c r="AH134" s="775">
        <f ca="1">SUMIF(chitiet!$B$13:$N$2352,kl!$B134,chitiet!$N$13:$N$2352)</f>
        <v>0</v>
      </c>
      <c r="AI134" s="775">
        <f ca="1">SUMIF(chitiet!$B$13:$N$2352,kl!$B134,chitiet!$O$13:$O$2352)</f>
        <v>0</v>
      </c>
      <c r="AJ134" s="775">
        <f ca="1">SUMIF('Cap ngam'!$B$631:$G$723,kl!$B134,'Cap ngam'!$G$631:$G$723)</f>
        <v>0</v>
      </c>
      <c r="AK134" s="775">
        <f ca="1">SUMIF('Cap ngam'!$B$403:$G$628,kl!$B134,'Cap ngam'!G$403:G$628)</f>
        <v>0</v>
      </c>
      <c r="AL134" s="775">
        <f ca="1">SUMIF('Cap ngam'!B$16:G$400,kl!$B134,'Cap ngam'!G$16:G$400)</f>
        <v>0</v>
      </c>
      <c r="AM134" s="776">
        <v>0.26600000000000001</v>
      </c>
      <c r="AN134" s="775">
        <f t="shared" ca="1" si="46"/>
        <v>0</v>
      </c>
      <c r="AO134" s="775">
        <f t="shared" ca="1" si="47"/>
        <v>0</v>
      </c>
      <c r="AP134" s="775">
        <f t="shared" ca="1" si="48"/>
        <v>0</v>
      </c>
      <c r="AQ134" s="775">
        <f t="shared" ca="1" si="49"/>
        <v>0</v>
      </c>
      <c r="AR134" s="775">
        <f t="shared" ca="1" si="50"/>
        <v>0</v>
      </c>
      <c r="AS134" s="775">
        <f t="shared" ca="1" si="51"/>
        <v>0</v>
      </c>
      <c r="AT134" s="775">
        <f t="shared" ca="1" si="52"/>
        <v>0</v>
      </c>
      <c r="AU134" s="775">
        <f t="shared" ca="1" si="53"/>
        <v>0</v>
      </c>
      <c r="AV134" s="775">
        <f t="shared" ca="1" si="54"/>
        <v>0</v>
      </c>
      <c r="AW134" s="775">
        <f t="shared" ca="1" si="55"/>
        <v>0</v>
      </c>
      <c r="AX134" s="775">
        <f t="shared" si="56"/>
        <v>0</v>
      </c>
      <c r="AY134" s="775">
        <f t="shared" ca="1" si="57"/>
        <v>0</v>
      </c>
      <c r="AZ134" s="775">
        <f t="shared" si="58"/>
        <v>0</v>
      </c>
      <c r="BA134" s="775">
        <f t="shared" ca="1" si="39"/>
        <v>0</v>
      </c>
      <c r="BB134" s="775">
        <f t="shared" ca="1" si="40"/>
        <v>0</v>
      </c>
      <c r="BC134" s="775">
        <f t="shared" ca="1" si="41"/>
        <v>0</v>
      </c>
      <c r="BD134" s="775">
        <f t="shared" ca="1" si="42"/>
        <v>0</v>
      </c>
      <c r="BE134" s="775">
        <f t="shared" ca="1" si="43"/>
        <v>0</v>
      </c>
      <c r="BF134" s="775">
        <f t="shared" ca="1" si="44"/>
        <v>0</v>
      </c>
      <c r="BG134" s="775">
        <f t="shared" ca="1" si="45"/>
        <v>0</v>
      </c>
      <c r="BH134" s="775">
        <f t="shared" ca="1" si="59"/>
        <v>0</v>
      </c>
      <c r="BI134" s="775">
        <f t="shared" ca="1" si="60"/>
        <v>0</v>
      </c>
      <c r="BJ134" s="775">
        <f t="shared" ca="1" si="61"/>
        <v>0</v>
      </c>
      <c r="BK134" s="775">
        <f t="shared" ca="1" si="62"/>
        <v>0</v>
      </c>
      <c r="BL134" s="775">
        <f t="shared" ca="1" si="63"/>
        <v>0</v>
      </c>
      <c r="BM134" s="775">
        <f t="shared" ca="1" si="64"/>
        <v>0</v>
      </c>
      <c r="BN134" s="775">
        <f t="shared" ca="1" si="65"/>
        <v>0</v>
      </c>
      <c r="BO134" s="775">
        <f t="shared" ca="1" si="66"/>
        <v>0</v>
      </c>
      <c r="BP134" s="775">
        <f t="shared" ca="1" si="67"/>
        <v>0</v>
      </c>
      <c r="BQ134" s="775">
        <f t="shared" ca="1" si="75"/>
        <v>0</v>
      </c>
      <c r="BR134" s="775">
        <f t="shared" ca="1" si="68"/>
        <v>0</v>
      </c>
    </row>
    <row r="135" spans="1:70">
      <c r="A135" s="767" t="str">
        <f t="shared" ca="1" si="73"/>
        <v/>
      </c>
      <c r="B135" s="131" t="s">
        <v>272</v>
      </c>
      <c r="C135" s="188" t="str">
        <f ca="1">IF(F135=0,"",COUNTIF($F$78:$F135,"&gt;0"))</f>
        <v/>
      </c>
      <c r="D135" s="778" t="str">
        <f>VLOOKUP($B135,dongia1,DG!$C$5,)</f>
        <v>Cáp đồng bọc CV35</v>
      </c>
      <c r="E135" s="555" t="str">
        <f>VLOOKUP($B135,dongia1,DG!$D$5,)</f>
        <v>mét</v>
      </c>
      <c r="F135" s="779">
        <f t="shared" ca="1" si="77"/>
        <v>0</v>
      </c>
      <c r="G135" s="775">
        <f t="shared" ca="1" si="76"/>
        <v>0</v>
      </c>
      <c r="H135" s="775">
        <f ca="1">SUMIF(CT_tram!$B$33:$G$3559,kl!B135,CT_tram!$G$33:$G$3559)</f>
        <v>0</v>
      </c>
      <c r="I135" s="775">
        <f ca="1">SUMIF(CT_tram!$B$34:$G$115,$B135,CT_tram!$G$34:$G$115)</f>
        <v>0</v>
      </c>
      <c r="J135" s="775">
        <f ca="1">SUMIF(CT_tram!$B$122:$G$204,$B135,CT_tram!$G$122:$G$204)</f>
        <v>0</v>
      </c>
      <c r="K135" s="775">
        <f ca="1">SUMIF(CT_tram!$B$211:$G$293,$B135,CT_tram!$G$211:$G$293)</f>
        <v>0</v>
      </c>
      <c r="L135" s="775">
        <f ca="1">SUMIF(CT_tram!$B$300:$G$374,$B135,CT_tram!$G$300:$G$374)</f>
        <v>0</v>
      </c>
      <c r="M135" s="775">
        <f ca="1">SUMIF(CT_tram!$B$381:$G$471,$B135,CT_tram!$G$381:$G$471)</f>
        <v>0</v>
      </c>
      <c r="N135" s="775">
        <f ca="1">SUMIF(CT_tram!$B$478:$G$560,$B135,CT_tram!$G$478:$G$560)</f>
        <v>0</v>
      </c>
      <c r="O135" s="775">
        <f ca="1">SUMIF(CT_tram!$B$567:$G$653,$B135,CT_tram!$G$567:$G$653)</f>
        <v>0</v>
      </c>
      <c r="P135" s="775">
        <f ca="1">SUMIF(CT_tram!$B$661:$G$738,$B135,CT_tram!$G$661:$G$738)</f>
        <v>0</v>
      </c>
      <c r="Q135" s="775">
        <f ca="1">SUMIF(CT_tram!$B$745:$G$899,$B135,CT_tram!$G$745:$G$899)</f>
        <v>0</v>
      </c>
      <c r="R135" s="775">
        <f ca="1">SUMIF(CT_tram!$B$907:$G$995,$B135,CT_tram!$G$907:$G$995)</f>
        <v>0</v>
      </c>
      <c r="S135" s="775"/>
      <c r="T135" s="775">
        <f ca="1">SUMIF(CT_tram!$B$1004:$G$1097,B135,CT_tram!$G$1004:$G$1097)</f>
        <v>0</v>
      </c>
      <c r="U135" s="775"/>
      <c r="V135" s="775">
        <f ca="1">SUMIF(CT_tram!$B$1226:$G$1352,kl!B135,CT_tram!$G$1226:$G$1352)</f>
        <v>0</v>
      </c>
      <c r="W135" s="780">
        <f ca="1">SUMIF(CT_tram!$B$1105:$G$1219,kl!B135,CT_tram!$G$1105:$G$1219)</f>
        <v>0</v>
      </c>
      <c r="X135" s="775">
        <f ca="1">SUMIF(CT_tram!$B$1359:$G$1504,kl!B135,CT_tram!$G$1359:$G$1504)</f>
        <v>0</v>
      </c>
      <c r="Y135" s="775">
        <f ca="1">SUMIF(CT_tram!$B$1511:$G$1625,kl!B135,CT_tram!$G$1511:$G$1625)</f>
        <v>0</v>
      </c>
      <c r="Z135" s="775">
        <f ca="1">SUMIF(CT_tram!$B$1632:$G$2211,kl!B135,CT_tram!$G$1632:$G$2211)</f>
        <v>0</v>
      </c>
      <c r="AA135" s="775">
        <f ca="1">SUMIF(CT_tram!$B$2243:$G$2384,kl!B135,CT_tram!$G$2243:$G$2384)</f>
        <v>0</v>
      </c>
      <c r="AB135" s="775">
        <f ca="1">SUMIF(CT_tram!$B$2391:$G$2563,kl!B135,CT_tram!$G$2391:$G$2563)</f>
        <v>0</v>
      </c>
      <c r="AC135" s="775">
        <f ca="1">SUMIF(chitiet!$B$13:$N$2352,kl!$B135,chitiet!$I$13:$I$2352)</f>
        <v>0</v>
      </c>
      <c r="AD135" s="775">
        <f ca="1">SUMIF(chitiet!$B$13:$N$2352,kl!$B135,chitiet!$J$13:$J$2352)</f>
        <v>0</v>
      </c>
      <c r="AE135" s="775">
        <f ca="1">SUMIF(chitiet!$B$13:$N$2352,kl!$B135,chitiet!$K$13:$K$2352)</f>
        <v>0</v>
      </c>
      <c r="AF135" s="775">
        <f ca="1">SUMIF(chitiet!$B$13:$N$2352,kl!$B135,chitiet!$L$13:$L$2352)</f>
        <v>0</v>
      </c>
      <c r="AG135" s="775">
        <f ca="1">SUMIF(chitiet!$B$13:$N$2352,kl!$B135,chitiet!$M$13)</f>
        <v>0</v>
      </c>
      <c r="AH135" s="775">
        <f ca="1">SUMIF(chitiet!$B$13:$N$2352,kl!$B135,chitiet!$N$13:$N$2352)</f>
        <v>0</v>
      </c>
      <c r="AI135" s="775">
        <f ca="1">SUMIF(chitiet!$B$13:$N$2352,kl!$B135,chitiet!$O$13:$O$2352)</f>
        <v>0</v>
      </c>
      <c r="AJ135" s="775">
        <f ca="1">SUMIF('Cap ngam'!$B$631:$G$723,kl!$B135,'Cap ngam'!$G$631:$G$723)</f>
        <v>0</v>
      </c>
      <c r="AK135" s="775">
        <f ca="1">SUMIF('Cap ngam'!$B$403:$G$628,kl!$B135,'Cap ngam'!G$403:G$628)</f>
        <v>0</v>
      </c>
      <c r="AL135" s="775">
        <f ca="1">SUMIF('Cap ngam'!B$16:G$400,kl!$B135,'Cap ngam'!G$16:G$400)</f>
        <v>0</v>
      </c>
      <c r="AM135" s="776">
        <v>0.36</v>
      </c>
      <c r="AN135" s="775">
        <f t="shared" ca="1" si="46"/>
        <v>0</v>
      </c>
      <c r="AO135" s="775">
        <f t="shared" ca="1" si="47"/>
        <v>0</v>
      </c>
      <c r="AP135" s="775">
        <f t="shared" ca="1" si="48"/>
        <v>0</v>
      </c>
      <c r="AQ135" s="775">
        <f t="shared" ca="1" si="49"/>
        <v>0</v>
      </c>
      <c r="AR135" s="775">
        <f t="shared" ca="1" si="50"/>
        <v>0</v>
      </c>
      <c r="AS135" s="775">
        <f t="shared" ca="1" si="51"/>
        <v>0</v>
      </c>
      <c r="AT135" s="775">
        <f t="shared" ca="1" si="52"/>
        <v>0</v>
      </c>
      <c r="AU135" s="775">
        <f t="shared" ca="1" si="53"/>
        <v>0</v>
      </c>
      <c r="AV135" s="775">
        <f t="shared" ca="1" si="54"/>
        <v>0</v>
      </c>
      <c r="AW135" s="775">
        <f t="shared" ca="1" si="55"/>
        <v>0</v>
      </c>
      <c r="AX135" s="775">
        <f t="shared" si="56"/>
        <v>0</v>
      </c>
      <c r="AY135" s="775">
        <f t="shared" ca="1" si="57"/>
        <v>0</v>
      </c>
      <c r="AZ135" s="775">
        <f t="shared" si="58"/>
        <v>0</v>
      </c>
      <c r="BA135" s="775">
        <f t="shared" ca="1" si="39"/>
        <v>0</v>
      </c>
      <c r="BB135" s="775">
        <f t="shared" ca="1" si="40"/>
        <v>0</v>
      </c>
      <c r="BC135" s="775">
        <f t="shared" ca="1" si="41"/>
        <v>0</v>
      </c>
      <c r="BD135" s="775">
        <f t="shared" ca="1" si="42"/>
        <v>0</v>
      </c>
      <c r="BE135" s="775">
        <f t="shared" ca="1" si="43"/>
        <v>0</v>
      </c>
      <c r="BF135" s="775">
        <f t="shared" ca="1" si="44"/>
        <v>0</v>
      </c>
      <c r="BG135" s="775">
        <f t="shared" ca="1" si="45"/>
        <v>0</v>
      </c>
      <c r="BH135" s="775">
        <f t="shared" ca="1" si="59"/>
        <v>0</v>
      </c>
      <c r="BI135" s="775">
        <f t="shared" ca="1" si="60"/>
        <v>0</v>
      </c>
      <c r="BJ135" s="775">
        <f t="shared" ca="1" si="61"/>
        <v>0</v>
      </c>
      <c r="BK135" s="775">
        <f t="shared" ca="1" si="62"/>
        <v>0</v>
      </c>
      <c r="BL135" s="775">
        <f t="shared" ca="1" si="63"/>
        <v>0</v>
      </c>
      <c r="BM135" s="775">
        <f t="shared" ca="1" si="64"/>
        <v>0</v>
      </c>
      <c r="BN135" s="775">
        <f t="shared" ca="1" si="65"/>
        <v>0</v>
      </c>
      <c r="BO135" s="775">
        <f t="shared" ca="1" si="66"/>
        <v>0</v>
      </c>
      <c r="BP135" s="775">
        <f t="shared" ca="1" si="67"/>
        <v>0</v>
      </c>
      <c r="BQ135" s="775">
        <f t="shared" ca="1" si="75"/>
        <v>0</v>
      </c>
      <c r="BR135" s="775">
        <f t="shared" ca="1" si="68"/>
        <v>0</v>
      </c>
    </row>
    <row r="136" spans="1:70">
      <c r="A136" s="767" t="str">
        <f t="shared" ca="1" si="73"/>
        <v/>
      </c>
      <c r="B136" s="131" t="s">
        <v>2073</v>
      </c>
      <c r="C136" s="188" t="str">
        <f ca="1">IF(F136=0,"",COUNTIF($F$78:$F136,"&gt;0"))</f>
        <v/>
      </c>
      <c r="D136" s="778" t="str">
        <f>VLOOKUP($B136,dongia1,DG!$C$5,)</f>
        <v>Cáp đồng bọc CV50</v>
      </c>
      <c r="E136" s="555" t="str">
        <f>VLOOKUP($B136,dongia1,DG!$D$5,)</f>
        <v>mét</v>
      </c>
      <c r="F136" s="779">
        <f t="shared" ref="F136:F160" ca="1" si="79">G136+H136</f>
        <v>0</v>
      </c>
      <c r="G136" s="775">
        <f t="shared" ca="1" si="76"/>
        <v>0</v>
      </c>
      <c r="H136" s="775">
        <f ca="1">SUMIF(CT_tram!$B$33:$G$3559,kl!B136,CT_tram!$G$33:$G$3559)</f>
        <v>0</v>
      </c>
      <c r="I136" s="775">
        <f ca="1">SUMIF(CT_tram!$B$34:$G$115,$B136,CT_tram!$G$34:$G$115)</f>
        <v>0</v>
      </c>
      <c r="J136" s="775">
        <f ca="1">SUMIF(CT_tram!$B$122:$G$204,$B136,CT_tram!$G$122:$G$204)</f>
        <v>0</v>
      </c>
      <c r="K136" s="775">
        <f ca="1">SUMIF(CT_tram!$B$211:$G$293,$B136,CT_tram!$G$211:$G$293)</f>
        <v>0</v>
      </c>
      <c r="L136" s="775">
        <f ca="1">SUMIF(CT_tram!$B$300:$G$374,$B136,CT_tram!$G$300:$G$374)</f>
        <v>0</v>
      </c>
      <c r="M136" s="775">
        <f ca="1">SUMIF(CT_tram!$B$381:$G$471,$B136,CT_tram!$G$381:$G$471)</f>
        <v>0</v>
      </c>
      <c r="N136" s="775">
        <f ca="1">SUMIF(CT_tram!$B$478:$G$560,$B136,CT_tram!$G$478:$G$560)</f>
        <v>0</v>
      </c>
      <c r="O136" s="775">
        <f ca="1">SUMIF(CT_tram!$B$567:$G$653,$B136,CT_tram!$G$567:$G$653)</f>
        <v>0</v>
      </c>
      <c r="P136" s="775">
        <f ca="1">SUMIF(CT_tram!$B$661:$G$738,$B136,CT_tram!$G$661:$G$738)</f>
        <v>0</v>
      </c>
      <c r="Q136" s="775">
        <f ca="1">SUMIF(CT_tram!$B$745:$G$899,$B136,CT_tram!$G$745:$G$899)</f>
        <v>0</v>
      </c>
      <c r="R136" s="775">
        <f ca="1">SUMIF(CT_tram!$B$907:$G$995,$B136,CT_tram!$G$907:$G$995)</f>
        <v>0</v>
      </c>
      <c r="S136" s="775"/>
      <c r="T136" s="775">
        <f ca="1">SUMIF(CT_tram!$B$1004:$G$1097,B136,CT_tram!$G$1004:$G$1097)</f>
        <v>0</v>
      </c>
      <c r="U136" s="775"/>
      <c r="V136" s="775">
        <f ca="1">SUMIF(CT_tram!$B$1226:$G$1352,kl!B136,CT_tram!$G$1226:$G$1352)</f>
        <v>0</v>
      </c>
      <c r="W136" s="780">
        <f ca="1">SUMIF(CT_tram!$B$1105:$G$1219,kl!B136,CT_tram!$G$1105:$G$1219)</f>
        <v>0</v>
      </c>
      <c r="X136" s="775">
        <f ca="1">SUMIF(CT_tram!$B$1359:$G$1504,kl!B136,CT_tram!$G$1359:$G$1504)</f>
        <v>0</v>
      </c>
      <c r="Y136" s="775">
        <f ca="1">SUMIF(CT_tram!$B$1511:$G$1625,kl!B136,CT_tram!$G$1511:$G$1625)</f>
        <v>0</v>
      </c>
      <c r="Z136" s="775">
        <f ca="1">SUMIF(CT_tram!$B$1632:$G$2211,kl!B136,CT_tram!$G$1632:$G$2211)</f>
        <v>0</v>
      </c>
      <c r="AA136" s="775">
        <f ca="1">SUMIF(CT_tram!$B$2243:$G$2384,kl!B136,CT_tram!$G$2243:$G$2384)</f>
        <v>0</v>
      </c>
      <c r="AB136" s="775">
        <f ca="1">SUMIF(CT_tram!$B$2391:$G$2563,kl!B136,CT_tram!$G$2391:$G$2563)</f>
        <v>0</v>
      </c>
      <c r="AC136" s="775">
        <f ca="1">SUMIF(chitiet!$B$13:$N$2352,kl!$B136,chitiet!$I$13:$I$2352)</f>
        <v>0</v>
      </c>
      <c r="AD136" s="775">
        <f ca="1">SUMIF(chitiet!$B$13:$N$2352,kl!$B136,chitiet!$J$13:$J$2352)</f>
        <v>0</v>
      </c>
      <c r="AE136" s="775">
        <f ca="1">SUMIF(chitiet!$B$13:$N$2352,kl!$B136,chitiet!$K$13:$K$2352)</f>
        <v>0</v>
      </c>
      <c r="AF136" s="775">
        <f ca="1">SUMIF(chitiet!$B$13:$N$2352,kl!$B136,chitiet!$L$13:$L$2352)</f>
        <v>0</v>
      </c>
      <c r="AG136" s="775">
        <f ca="1">SUMIF(chitiet!$B$13:$N$2352,kl!$B136,chitiet!$M$13)</f>
        <v>0</v>
      </c>
      <c r="AH136" s="775">
        <f ca="1">SUMIF(chitiet!$B$13:$N$2352,kl!$B136,chitiet!$N$13:$N$2352)</f>
        <v>0</v>
      </c>
      <c r="AI136" s="775">
        <f ca="1">SUMIF(chitiet!$B$13:$N$2352,kl!$B136,chitiet!$O$13:$O$2352)</f>
        <v>0</v>
      </c>
      <c r="AJ136" s="775">
        <f ca="1">SUMIF('Cap ngam'!$B$631:$G$723,kl!$B136,'Cap ngam'!$G$631:$G$723)</f>
        <v>0</v>
      </c>
      <c r="AK136" s="775">
        <f ca="1">SUMIF('Cap ngam'!$B$403:$G$628,kl!$B136,'Cap ngam'!G$403:G$628)</f>
        <v>0</v>
      </c>
      <c r="AL136" s="775">
        <f ca="1">SUMIF('Cap ngam'!B$16:G$400,kl!$B136,'Cap ngam'!G$16:G$400)</f>
        <v>0</v>
      </c>
      <c r="AM136" s="776">
        <v>0.48799999999999999</v>
      </c>
      <c r="AN136" s="775">
        <f t="shared" ca="1" si="46"/>
        <v>0</v>
      </c>
      <c r="AO136" s="775">
        <f t="shared" ca="1" si="47"/>
        <v>0</v>
      </c>
      <c r="AP136" s="775">
        <f t="shared" ca="1" si="48"/>
        <v>0</v>
      </c>
      <c r="AQ136" s="775">
        <f t="shared" ca="1" si="49"/>
        <v>0</v>
      </c>
      <c r="AR136" s="775">
        <f t="shared" ca="1" si="50"/>
        <v>0</v>
      </c>
      <c r="AS136" s="775">
        <f t="shared" ca="1" si="51"/>
        <v>0</v>
      </c>
      <c r="AT136" s="775">
        <f t="shared" ca="1" si="52"/>
        <v>0</v>
      </c>
      <c r="AU136" s="775">
        <f t="shared" ca="1" si="53"/>
        <v>0</v>
      </c>
      <c r="AV136" s="775">
        <f t="shared" ca="1" si="54"/>
        <v>0</v>
      </c>
      <c r="AW136" s="775">
        <f t="shared" ca="1" si="55"/>
        <v>0</v>
      </c>
      <c r="AX136" s="775">
        <f t="shared" si="56"/>
        <v>0</v>
      </c>
      <c r="AY136" s="775">
        <f t="shared" ca="1" si="57"/>
        <v>0</v>
      </c>
      <c r="AZ136" s="775">
        <f t="shared" si="58"/>
        <v>0</v>
      </c>
      <c r="BA136" s="775">
        <f t="shared" ca="1" si="39"/>
        <v>0</v>
      </c>
      <c r="BB136" s="775">
        <f t="shared" ca="1" si="40"/>
        <v>0</v>
      </c>
      <c r="BC136" s="775">
        <f t="shared" ca="1" si="41"/>
        <v>0</v>
      </c>
      <c r="BD136" s="775">
        <f t="shared" ca="1" si="42"/>
        <v>0</v>
      </c>
      <c r="BE136" s="775">
        <f t="shared" ca="1" si="43"/>
        <v>0</v>
      </c>
      <c r="BF136" s="775">
        <f t="shared" ca="1" si="44"/>
        <v>0</v>
      </c>
      <c r="BG136" s="775">
        <f t="shared" ca="1" si="45"/>
        <v>0</v>
      </c>
      <c r="BH136" s="775">
        <f t="shared" ca="1" si="59"/>
        <v>0</v>
      </c>
      <c r="BI136" s="775">
        <f t="shared" ca="1" si="60"/>
        <v>0</v>
      </c>
      <c r="BJ136" s="775">
        <f t="shared" ca="1" si="61"/>
        <v>0</v>
      </c>
      <c r="BK136" s="775">
        <f t="shared" ca="1" si="62"/>
        <v>0</v>
      </c>
      <c r="BL136" s="775">
        <f t="shared" ca="1" si="63"/>
        <v>0</v>
      </c>
      <c r="BM136" s="775">
        <f t="shared" ca="1" si="64"/>
        <v>0</v>
      </c>
      <c r="BN136" s="775">
        <f t="shared" ca="1" si="65"/>
        <v>0</v>
      </c>
      <c r="BO136" s="775">
        <f t="shared" ca="1" si="66"/>
        <v>0</v>
      </c>
      <c r="BP136" s="775">
        <f t="shared" ca="1" si="67"/>
        <v>0</v>
      </c>
      <c r="BQ136" s="775">
        <f t="shared" ca="1" si="75"/>
        <v>0</v>
      </c>
      <c r="BR136" s="775">
        <f t="shared" ca="1" si="68"/>
        <v>0</v>
      </c>
    </row>
    <row r="137" spans="1:70">
      <c r="A137" s="767" t="str">
        <f t="shared" ca="1" si="73"/>
        <v/>
      </c>
      <c r="B137" s="131" t="s">
        <v>424</v>
      </c>
      <c r="C137" s="188" t="str">
        <f ca="1">IF(F137=0,"",COUNTIF($F$78:$F137,"&gt;0"))</f>
        <v/>
      </c>
      <c r="D137" s="778" t="str">
        <f>VLOOKUP($B137,dongia1,DG!$C$5,)</f>
        <v>Cáp đồng bọc CV70</v>
      </c>
      <c r="E137" s="555" t="str">
        <f>VLOOKUP($B137,dongia1,DG!$D$5,)</f>
        <v>mét</v>
      </c>
      <c r="F137" s="975">
        <f t="shared" ca="1" si="79"/>
        <v>0</v>
      </c>
      <c r="G137" s="976">
        <f t="shared" ca="1" si="76"/>
        <v>0</v>
      </c>
      <c r="H137" s="976">
        <f ca="1">SUMIF(CT_tram!$B$33:$G$3559,kl!B137,CT_tram!$G$33:$G$3559)</f>
        <v>0</v>
      </c>
      <c r="I137" s="775">
        <f ca="1">SUMIF(CT_tram!$B$34:$G$115,$B137,CT_tram!$G$34:$G$115)</f>
        <v>0</v>
      </c>
      <c r="J137" s="775">
        <f ca="1">SUMIF(CT_tram!$B$122:$G$204,$B137,CT_tram!$G$122:$G$204)</f>
        <v>0</v>
      </c>
      <c r="K137" s="775">
        <f ca="1">SUMIF(CT_tram!$B$211:$G$293,$B137,CT_tram!$G$211:$G$293)</f>
        <v>0</v>
      </c>
      <c r="L137" s="775">
        <f ca="1">SUMIF(CT_tram!$B$300:$G$374,$B137,CT_tram!$G$300:$G$374)</f>
        <v>0</v>
      </c>
      <c r="M137" s="775">
        <f ca="1">SUMIF(CT_tram!$B$381:$G$471,$B137,CT_tram!$G$381:$G$471)</f>
        <v>0</v>
      </c>
      <c r="N137" s="775">
        <f ca="1">SUMIF(CT_tram!$B$478:$G$560,$B137,CT_tram!$G$478:$G$560)</f>
        <v>0</v>
      </c>
      <c r="O137" s="775">
        <f ca="1">SUMIF(CT_tram!$B$567:$G$653,$B137,CT_tram!$G$567:$G$653)</f>
        <v>0</v>
      </c>
      <c r="P137" s="775">
        <f ca="1">SUMIF(CT_tram!$B$661:$G$738,$B137,CT_tram!$G$661:$G$738)</f>
        <v>0</v>
      </c>
      <c r="Q137" s="775">
        <f ca="1">SUMIF(CT_tram!$B$745:$G$899,$B137,CT_tram!$G$745:$G$899)</f>
        <v>0</v>
      </c>
      <c r="R137" s="775">
        <f ca="1">SUMIF(CT_tram!$B$907:$G$995,$B137,CT_tram!$G$907:$G$995)</f>
        <v>0</v>
      </c>
      <c r="S137" s="775"/>
      <c r="T137" s="775">
        <f ca="1">SUMIF(CT_tram!$B$1004:$G$1097,B137,CT_tram!$G$1004:$G$1097)</f>
        <v>0</v>
      </c>
      <c r="U137" s="775"/>
      <c r="V137" s="775">
        <f ca="1">SUMIF(CT_tram!$B$1226:$G$1352,kl!B137,CT_tram!$G$1226:$G$1352)</f>
        <v>0</v>
      </c>
      <c r="W137" s="780">
        <f ca="1">SUMIF(CT_tram!$B$1105:$G$1219,kl!B137,CT_tram!$G$1105:$G$1219)</f>
        <v>0</v>
      </c>
      <c r="X137" s="775">
        <f ca="1">SUMIF(CT_tram!$B$1359:$G$1504,kl!B137,CT_tram!$G$1359:$G$1504)</f>
        <v>0</v>
      </c>
      <c r="Y137" s="775">
        <f ca="1">SUMIF(CT_tram!$B$1511:$G$1625,kl!B137,CT_tram!$G$1511:$G$1625)</f>
        <v>0</v>
      </c>
      <c r="Z137" s="775">
        <f ca="1">SUMIF(CT_tram!$B$1632:$G$2211,kl!B137,CT_tram!$G$1632:$G$2211)</f>
        <v>0</v>
      </c>
      <c r="AA137" s="775">
        <f ca="1">SUMIF(CT_tram!$B$2243:$G$2384,kl!B137,CT_tram!$G$2243:$G$2384)</f>
        <v>0</v>
      </c>
      <c r="AB137" s="775">
        <f ca="1">SUMIF(CT_tram!$B$2391:$G$2563,kl!B137,CT_tram!$G$2391:$G$2563)</f>
        <v>0</v>
      </c>
      <c r="AC137" s="775">
        <f ca="1">SUMIF(chitiet!$B$13:$N$2352,kl!$B137,chitiet!$I$13:$I$2352)</f>
        <v>0</v>
      </c>
      <c r="AD137" s="775">
        <f ca="1">SUMIF(chitiet!$B$13:$N$2352,kl!$B137,chitiet!$J$13:$J$2352)</f>
        <v>0</v>
      </c>
      <c r="AE137" s="775">
        <f ca="1">SUMIF(chitiet!$B$13:$N$2352,kl!$B137,chitiet!$K$13:$K$2352)</f>
        <v>0</v>
      </c>
      <c r="AF137" s="775">
        <f ca="1">SUMIF(chitiet!$B$13:$N$2352,kl!$B137,chitiet!$L$13:$L$2352)</f>
        <v>0</v>
      </c>
      <c r="AG137" s="775">
        <f ca="1">SUMIF(chitiet!$B$13:$N$2352,kl!$B137,chitiet!$M$13)</f>
        <v>0</v>
      </c>
      <c r="AH137" s="775">
        <f ca="1">SUMIF(chitiet!$B$13:$N$2352,kl!$B137,chitiet!$N$13:$N$2352)</f>
        <v>0</v>
      </c>
      <c r="AI137" s="775">
        <f ca="1">SUMIF(chitiet!$B$13:$N$2352,kl!$B137,chitiet!$O$13:$O$2352)</f>
        <v>0</v>
      </c>
      <c r="AJ137" s="775">
        <f ca="1">SUMIF('Cap ngam'!$B$631:$G$723,kl!$B137,'Cap ngam'!$G$631:$G$723)</f>
        <v>0</v>
      </c>
      <c r="AK137" s="775">
        <f ca="1">SUMIF('Cap ngam'!$B$403:$G$628,kl!$B137,'Cap ngam'!G$403:G$628)</f>
        <v>0</v>
      </c>
      <c r="AL137" s="775">
        <f ca="1">SUMIF('Cap ngam'!B$16:G$400,kl!$B137,'Cap ngam'!G$16:G$400)</f>
        <v>0</v>
      </c>
      <c r="AM137" s="776">
        <v>0.68200000000000005</v>
      </c>
      <c r="AN137" s="775">
        <f t="shared" ca="1" si="46"/>
        <v>0</v>
      </c>
      <c r="AO137" s="775">
        <f t="shared" ca="1" si="47"/>
        <v>0</v>
      </c>
      <c r="AP137" s="775">
        <f t="shared" ca="1" si="48"/>
        <v>0</v>
      </c>
      <c r="AQ137" s="775">
        <f t="shared" ca="1" si="49"/>
        <v>0</v>
      </c>
      <c r="AR137" s="775">
        <f t="shared" ca="1" si="50"/>
        <v>0</v>
      </c>
      <c r="AS137" s="775">
        <f t="shared" ca="1" si="51"/>
        <v>0</v>
      </c>
      <c r="AT137" s="775">
        <f t="shared" ca="1" si="52"/>
        <v>0</v>
      </c>
      <c r="AU137" s="775">
        <f t="shared" ca="1" si="53"/>
        <v>0</v>
      </c>
      <c r="AV137" s="775">
        <f t="shared" ca="1" si="54"/>
        <v>0</v>
      </c>
      <c r="AW137" s="775">
        <f t="shared" ca="1" si="55"/>
        <v>0</v>
      </c>
      <c r="AX137" s="775">
        <f t="shared" si="56"/>
        <v>0</v>
      </c>
      <c r="AY137" s="775">
        <f t="shared" ca="1" si="57"/>
        <v>0</v>
      </c>
      <c r="AZ137" s="775">
        <f t="shared" si="58"/>
        <v>0</v>
      </c>
      <c r="BA137" s="775">
        <f t="shared" ca="1" si="39"/>
        <v>0</v>
      </c>
      <c r="BB137" s="775">
        <f t="shared" ca="1" si="40"/>
        <v>0</v>
      </c>
      <c r="BC137" s="775">
        <f t="shared" ca="1" si="41"/>
        <v>0</v>
      </c>
      <c r="BD137" s="775">
        <f t="shared" ca="1" si="42"/>
        <v>0</v>
      </c>
      <c r="BE137" s="775">
        <f t="shared" ca="1" si="43"/>
        <v>0</v>
      </c>
      <c r="BF137" s="775">
        <f t="shared" ca="1" si="44"/>
        <v>0</v>
      </c>
      <c r="BG137" s="775">
        <f t="shared" ca="1" si="45"/>
        <v>0</v>
      </c>
      <c r="BH137" s="775">
        <f t="shared" ca="1" si="59"/>
        <v>0</v>
      </c>
      <c r="BI137" s="775">
        <f t="shared" ca="1" si="60"/>
        <v>0</v>
      </c>
      <c r="BJ137" s="775">
        <f t="shared" ca="1" si="61"/>
        <v>0</v>
      </c>
      <c r="BK137" s="775">
        <f t="shared" ca="1" si="62"/>
        <v>0</v>
      </c>
      <c r="BL137" s="775">
        <f t="shared" ca="1" si="63"/>
        <v>0</v>
      </c>
      <c r="BM137" s="775">
        <f t="shared" ca="1" si="64"/>
        <v>0</v>
      </c>
      <c r="BN137" s="775">
        <f t="shared" ca="1" si="65"/>
        <v>0</v>
      </c>
      <c r="BO137" s="775">
        <f t="shared" ca="1" si="66"/>
        <v>0</v>
      </c>
      <c r="BP137" s="775">
        <f t="shared" ca="1" si="67"/>
        <v>0</v>
      </c>
      <c r="BQ137" s="775">
        <f t="shared" ca="1" si="75"/>
        <v>0</v>
      </c>
      <c r="BR137" s="775">
        <f t="shared" ca="1" si="68"/>
        <v>0</v>
      </c>
    </row>
    <row r="138" spans="1:70">
      <c r="A138" s="767" t="str">
        <f t="shared" ca="1" si="73"/>
        <v/>
      </c>
      <c r="B138" s="131" t="s">
        <v>2074</v>
      </c>
      <c r="C138" s="188" t="str">
        <f ca="1">IF(F138=0,"",COUNTIF($F$78:$F138,"&gt;0"))</f>
        <v/>
      </c>
      <c r="D138" s="778" t="str">
        <f>VLOOKUP($B138,dongia1,DG!$C$5,)</f>
        <v>Cáp đồng bọc CV95</v>
      </c>
      <c r="E138" s="555" t="str">
        <f>VLOOKUP($B138,dongia1,DG!$D$5,)</f>
        <v>mét</v>
      </c>
      <c r="F138" s="975">
        <f t="shared" ca="1" si="79"/>
        <v>0</v>
      </c>
      <c r="G138" s="976">
        <f t="shared" ca="1" si="76"/>
        <v>0</v>
      </c>
      <c r="H138" s="976">
        <f ca="1">SUMIF(CT_tram!$B$33:$G$3559,kl!B138,CT_tram!$G$33:$G$3559)</f>
        <v>0</v>
      </c>
      <c r="I138" s="775">
        <f ca="1">SUMIF(CT_tram!$B$34:$G$115,$B138,CT_tram!$G$34:$G$115)</f>
        <v>0</v>
      </c>
      <c r="J138" s="775">
        <f ca="1">SUMIF(CT_tram!$B$122:$G$204,$B138,CT_tram!$G$122:$G$204)</f>
        <v>0</v>
      </c>
      <c r="K138" s="775">
        <f ca="1">SUMIF(CT_tram!$B$211:$G$293,$B138,CT_tram!$G$211:$G$293)</f>
        <v>0</v>
      </c>
      <c r="L138" s="775">
        <f ca="1">SUMIF(CT_tram!$B$300:$G$374,$B138,CT_tram!$G$300:$G$374)</f>
        <v>0</v>
      </c>
      <c r="M138" s="775">
        <f ca="1">SUMIF(CT_tram!$B$381:$G$471,$B138,CT_tram!$G$381:$G$471)</f>
        <v>0</v>
      </c>
      <c r="N138" s="775">
        <f ca="1">SUMIF(CT_tram!$B$478:$G$560,$B138,CT_tram!$G$478:$G$560)</f>
        <v>0</v>
      </c>
      <c r="O138" s="775">
        <f ca="1">SUMIF(CT_tram!$B$567:$G$653,$B138,CT_tram!$G$567:$G$653)</f>
        <v>0</v>
      </c>
      <c r="P138" s="775">
        <f ca="1">SUMIF(CT_tram!$B$661:$G$738,$B138,CT_tram!$G$661:$G$738)</f>
        <v>0</v>
      </c>
      <c r="Q138" s="775">
        <f ca="1">SUMIF(CT_tram!$B$745:$G$899,$B138,CT_tram!$G$745:$G$899)</f>
        <v>0</v>
      </c>
      <c r="R138" s="775">
        <f ca="1">SUMIF(CT_tram!$B$907:$G$995,$B138,CT_tram!$G$907:$G$995)</f>
        <v>0</v>
      </c>
      <c r="S138" s="775"/>
      <c r="T138" s="775">
        <f ca="1">SUMIF(CT_tram!$B$1004:$G$1097,B138,CT_tram!$G$1004:$G$1097)</f>
        <v>0</v>
      </c>
      <c r="U138" s="775"/>
      <c r="V138" s="775">
        <f ca="1">SUMIF(CT_tram!$B$1226:$G$1352,kl!B138,CT_tram!$G$1226:$G$1352)</f>
        <v>0</v>
      </c>
      <c r="W138" s="780">
        <f ca="1">SUMIF(CT_tram!$B$1105:$G$1219,kl!B138,CT_tram!$G$1105:$G$1219)</f>
        <v>0</v>
      </c>
      <c r="X138" s="775">
        <f ca="1">SUMIF(CT_tram!$B$1359:$G$1504,kl!B138,CT_tram!$G$1359:$G$1504)</f>
        <v>0</v>
      </c>
      <c r="Y138" s="775">
        <f ca="1">SUMIF(CT_tram!$B$1511:$G$1625,kl!B138,CT_tram!$G$1511:$G$1625)</f>
        <v>0</v>
      </c>
      <c r="Z138" s="775">
        <f ca="1">SUMIF(CT_tram!$B$1632:$G$2211,kl!B138,CT_tram!$G$1632:$G$2211)</f>
        <v>0</v>
      </c>
      <c r="AA138" s="775">
        <f ca="1">SUMIF(CT_tram!$B$2243:$G$2384,kl!B138,CT_tram!$G$2243:$G$2384)</f>
        <v>0</v>
      </c>
      <c r="AB138" s="775">
        <f ca="1">SUMIF(CT_tram!$B$2391:$G$2563,kl!B138,CT_tram!$G$2391:$G$2563)</f>
        <v>0</v>
      </c>
      <c r="AC138" s="775">
        <f ca="1">SUMIF(chitiet!$B$13:$N$2352,kl!$B138,chitiet!$I$13:$I$2352)</f>
        <v>0</v>
      </c>
      <c r="AD138" s="775">
        <f ca="1">SUMIF(chitiet!$B$13:$N$2352,kl!$B138,chitiet!$J$13:$J$2352)</f>
        <v>0</v>
      </c>
      <c r="AE138" s="775">
        <f ca="1">SUMIF(chitiet!$B$13:$N$2352,kl!$B138,chitiet!$K$13:$K$2352)</f>
        <v>0</v>
      </c>
      <c r="AF138" s="775">
        <f ca="1">SUMIF(chitiet!$B$13:$N$2352,kl!$B138,chitiet!$L$13:$L$2352)</f>
        <v>0</v>
      </c>
      <c r="AG138" s="775">
        <f ca="1">SUMIF(chitiet!$B$13:$N$2352,kl!$B138,chitiet!$M$13)</f>
        <v>0</v>
      </c>
      <c r="AH138" s="775">
        <f ca="1">SUMIF(chitiet!$B$13:$N$2352,kl!$B138,chitiet!$N$13:$N$2352)</f>
        <v>0</v>
      </c>
      <c r="AI138" s="775">
        <f ca="1">SUMIF(chitiet!$B$13:$N$2352,kl!$B138,chitiet!$O$13:$O$2352)</f>
        <v>0</v>
      </c>
      <c r="AJ138" s="775">
        <f ca="1">SUMIF('Cap ngam'!$B$631:$G$723,kl!$B138,'Cap ngam'!$G$631:$G$723)</f>
        <v>0</v>
      </c>
      <c r="AK138" s="775">
        <f ca="1">SUMIF('Cap ngam'!$B$403:$G$628,kl!$B138,'Cap ngam'!G$403:G$628)</f>
        <v>0</v>
      </c>
      <c r="AL138" s="775">
        <f ca="1">SUMIF('Cap ngam'!B$16:G$400,kl!$B138,'Cap ngam'!G$16:G$400)</f>
        <v>0</v>
      </c>
      <c r="AM138" s="776">
        <v>0.94399999999999995</v>
      </c>
      <c r="AN138" s="775">
        <f t="shared" ca="1" si="46"/>
        <v>0</v>
      </c>
      <c r="AO138" s="775">
        <f t="shared" ca="1" si="47"/>
        <v>0</v>
      </c>
      <c r="AP138" s="775">
        <f t="shared" ca="1" si="48"/>
        <v>0</v>
      </c>
      <c r="AQ138" s="775">
        <f t="shared" ca="1" si="49"/>
        <v>0</v>
      </c>
      <c r="AR138" s="775">
        <f t="shared" ca="1" si="50"/>
        <v>0</v>
      </c>
      <c r="AS138" s="775">
        <f t="shared" ca="1" si="51"/>
        <v>0</v>
      </c>
      <c r="AT138" s="775">
        <f t="shared" ca="1" si="52"/>
        <v>0</v>
      </c>
      <c r="AU138" s="775">
        <f t="shared" ca="1" si="53"/>
        <v>0</v>
      </c>
      <c r="AV138" s="775">
        <f t="shared" ca="1" si="54"/>
        <v>0</v>
      </c>
      <c r="AW138" s="775">
        <f t="shared" ca="1" si="55"/>
        <v>0</v>
      </c>
      <c r="AX138" s="775">
        <f t="shared" si="56"/>
        <v>0</v>
      </c>
      <c r="AY138" s="775">
        <f t="shared" ca="1" si="57"/>
        <v>0</v>
      </c>
      <c r="AZ138" s="775">
        <f t="shared" si="58"/>
        <v>0</v>
      </c>
      <c r="BA138" s="775">
        <f t="shared" ca="1" si="39"/>
        <v>0</v>
      </c>
      <c r="BB138" s="775">
        <f t="shared" ca="1" si="40"/>
        <v>0</v>
      </c>
      <c r="BC138" s="775">
        <f t="shared" ca="1" si="41"/>
        <v>0</v>
      </c>
      <c r="BD138" s="775">
        <f t="shared" ca="1" si="42"/>
        <v>0</v>
      </c>
      <c r="BE138" s="775">
        <f t="shared" ca="1" si="43"/>
        <v>0</v>
      </c>
      <c r="BF138" s="775">
        <f t="shared" ca="1" si="44"/>
        <v>0</v>
      </c>
      <c r="BG138" s="775">
        <f t="shared" ca="1" si="45"/>
        <v>0</v>
      </c>
      <c r="BH138" s="775">
        <f t="shared" ca="1" si="59"/>
        <v>0</v>
      </c>
      <c r="BI138" s="775">
        <f t="shared" ca="1" si="60"/>
        <v>0</v>
      </c>
      <c r="BJ138" s="775">
        <f t="shared" ca="1" si="61"/>
        <v>0</v>
      </c>
      <c r="BK138" s="775">
        <f t="shared" ca="1" si="62"/>
        <v>0</v>
      </c>
      <c r="BL138" s="775">
        <f t="shared" ca="1" si="63"/>
        <v>0</v>
      </c>
      <c r="BM138" s="775">
        <f t="shared" ca="1" si="64"/>
        <v>0</v>
      </c>
      <c r="BN138" s="775">
        <f t="shared" ca="1" si="65"/>
        <v>0</v>
      </c>
      <c r="BO138" s="775">
        <f t="shared" ca="1" si="66"/>
        <v>0</v>
      </c>
      <c r="BP138" s="775">
        <f t="shared" ca="1" si="67"/>
        <v>0</v>
      </c>
      <c r="BQ138" s="775">
        <f t="shared" ca="1" si="75"/>
        <v>0</v>
      </c>
      <c r="BR138" s="775">
        <f t="shared" ca="1" si="68"/>
        <v>0</v>
      </c>
    </row>
    <row r="139" spans="1:70">
      <c r="A139" s="767" t="str">
        <f t="shared" ca="1" si="73"/>
        <v/>
      </c>
      <c r="B139" s="131" t="s">
        <v>1312</v>
      </c>
      <c r="C139" s="188" t="str">
        <f ca="1">IF(F139=0,"",COUNTIF($F$78:$F139,"&gt;0"))</f>
        <v/>
      </c>
      <c r="D139" s="778" t="str">
        <f>VLOOKUP($B139,dongia1,DG!$C$5,)</f>
        <v>Cáp đồng bọc CV120</v>
      </c>
      <c r="E139" s="555" t="str">
        <f>VLOOKUP($B139,dongia1,DG!$D$5,)</f>
        <v>mét</v>
      </c>
      <c r="F139" s="975">
        <f t="shared" ca="1" si="79"/>
        <v>0</v>
      </c>
      <c r="G139" s="976">
        <f t="shared" ca="1" si="76"/>
        <v>0</v>
      </c>
      <c r="H139" s="976">
        <f ca="1">SUMIF(CT_tram!$B$33:$G$3559,kl!B139,CT_tram!$G$33:$G$3559)</f>
        <v>0</v>
      </c>
      <c r="I139" s="775">
        <f ca="1">SUMIF(CT_tram!$B$34:$G$115,$B139,CT_tram!$G$34:$G$115)</f>
        <v>0</v>
      </c>
      <c r="J139" s="775">
        <f ca="1">SUMIF(CT_tram!$B$122:$G$204,$B139,CT_tram!$G$122:$G$204)</f>
        <v>0</v>
      </c>
      <c r="K139" s="775">
        <f ca="1">SUMIF(CT_tram!$B$211:$G$293,$B139,CT_tram!$G$211:$G$293)</f>
        <v>0</v>
      </c>
      <c r="L139" s="775">
        <f ca="1">SUMIF(CT_tram!$B$300:$G$374,$B139,CT_tram!$G$300:$G$374)</f>
        <v>0</v>
      </c>
      <c r="M139" s="775">
        <f ca="1">SUMIF(CT_tram!$B$381:$G$471,$B139,CT_tram!$G$381:$G$471)</f>
        <v>0</v>
      </c>
      <c r="N139" s="775">
        <f ca="1">SUMIF(CT_tram!$B$478:$G$560,$B139,CT_tram!$G$478:$G$560)</f>
        <v>0</v>
      </c>
      <c r="O139" s="775">
        <f ca="1">SUMIF(CT_tram!$B$567:$G$653,$B139,CT_tram!$G$567:$G$653)</f>
        <v>0</v>
      </c>
      <c r="P139" s="775">
        <f ca="1">SUMIF(CT_tram!$B$661:$G$738,$B139,CT_tram!$G$661:$G$738)</f>
        <v>0</v>
      </c>
      <c r="Q139" s="775">
        <f ca="1">SUMIF(CT_tram!$B$745:$G$899,$B139,CT_tram!$G$745:$G$899)</f>
        <v>0</v>
      </c>
      <c r="R139" s="775">
        <f ca="1">SUMIF(CT_tram!$B$907:$G$995,$B139,CT_tram!$G$907:$G$995)</f>
        <v>0</v>
      </c>
      <c r="S139" s="775"/>
      <c r="T139" s="775">
        <f ca="1">SUMIF(CT_tram!$B$1004:$G$1097,B139,CT_tram!$G$1004:$G$1097)</f>
        <v>0</v>
      </c>
      <c r="U139" s="775"/>
      <c r="V139" s="775">
        <f ca="1">SUMIF(CT_tram!$B$1226:$G$1352,kl!B139,CT_tram!$G$1226:$G$1352)</f>
        <v>0</v>
      </c>
      <c r="W139" s="780">
        <f ca="1">SUMIF(CT_tram!$B$1105:$G$1219,kl!B139,CT_tram!$G$1105:$G$1219)</f>
        <v>0</v>
      </c>
      <c r="X139" s="775">
        <f ca="1">SUMIF(CT_tram!$B$1359:$G$1504,kl!B139,CT_tram!$G$1359:$G$1504)</f>
        <v>0</v>
      </c>
      <c r="Y139" s="775">
        <f ca="1">SUMIF(CT_tram!$B$1511:$G$1625,kl!B139,CT_tram!$G$1511:$G$1625)</f>
        <v>0</v>
      </c>
      <c r="Z139" s="775">
        <f ca="1">SUMIF(CT_tram!$B$1632:$G$2211,kl!B139,CT_tram!$G$1632:$G$2211)</f>
        <v>0</v>
      </c>
      <c r="AA139" s="775">
        <f ca="1">SUMIF(CT_tram!$B$2243:$G$2384,kl!B139,CT_tram!$G$2243:$G$2384)</f>
        <v>0</v>
      </c>
      <c r="AB139" s="775">
        <f ca="1">SUMIF(CT_tram!$B$2391:$G$2563,kl!B139,CT_tram!$G$2391:$G$2563)</f>
        <v>0</v>
      </c>
      <c r="AC139" s="775">
        <f ca="1">SUMIF(chitiet!$B$13:$N$2352,kl!$B139,chitiet!$I$13:$I$2352)</f>
        <v>0</v>
      </c>
      <c r="AD139" s="775">
        <f ca="1">SUMIF(chitiet!$B$13:$N$2352,kl!$B139,chitiet!$J$13:$J$2352)</f>
        <v>0</v>
      </c>
      <c r="AE139" s="775">
        <f ca="1">SUMIF(chitiet!$B$13:$N$2352,kl!$B139,chitiet!$K$13:$K$2352)</f>
        <v>0</v>
      </c>
      <c r="AF139" s="775">
        <f ca="1">SUMIF(chitiet!$B$13:$N$2352,kl!$B139,chitiet!$L$13:$L$2352)</f>
        <v>0</v>
      </c>
      <c r="AG139" s="775">
        <f ca="1">SUMIF(chitiet!$B$13:$N$2352,kl!$B139,chitiet!$M$13)</f>
        <v>0</v>
      </c>
      <c r="AH139" s="775">
        <f ca="1">SUMIF(chitiet!$B$13:$N$2352,kl!$B139,chitiet!$N$13:$N$2352)</f>
        <v>0</v>
      </c>
      <c r="AI139" s="775">
        <f ca="1">SUMIF(chitiet!$B$13:$N$2352,kl!$B139,chitiet!$O$13:$O$2352)</f>
        <v>0</v>
      </c>
      <c r="AJ139" s="775">
        <f ca="1">SUMIF('Cap ngam'!$B$631:$G$723,kl!$B139,'Cap ngam'!$G$631:$G$723)</f>
        <v>0</v>
      </c>
      <c r="AK139" s="775">
        <f ca="1">SUMIF('Cap ngam'!$B$403:$G$628,kl!$B139,'Cap ngam'!G$403:G$628)</f>
        <v>0</v>
      </c>
      <c r="AL139" s="775">
        <f ca="1">SUMIF('Cap ngam'!B$16:G$400,kl!$B139,'Cap ngam'!G$16:G$400)</f>
        <v>0</v>
      </c>
      <c r="AM139" s="776">
        <v>1.1759999999999999</v>
      </c>
      <c r="AN139" s="775">
        <f t="shared" ca="1" si="46"/>
        <v>0</v>
      </c>
      <c r="AO139" s="775">
        <f t="shared" ca="1" si="47"/>
        <v>0</v>
      </c>
      <c r="AP139" s="775">
        <f t="shared" ca="1" si="48"/>
        <v>0</v>
      </c>
      <c r="AQ139" s="775">
        <f t="shared" ca="1" si="49"/>
        <v>0</v>
      </c>
      <c r="AR139" s="775">
        <f t="shared" ca="1" si="50"/>
        <v>0</v>
      </c>
      <c r="AS139" s="775">
        <f t="shared" ca="1" si="51"/>
        <v>0</v>
      </c>
      <c r="AT139" s="775">
        <f t="shared" ca="1" si="52"/>
        <v>0</v>
      </c>
      <c r="AU139" s="775">
        <f t="shared" ca="1" si="53"/>
        <v>0</v>
      </c>
      <c r="AV139" s="775">
        <f t="shared" ca="1" si="54"/>
        <v>0</v>
      </c>
      <c r="AW139" s="775">
        <f t="shared" ca="1" si="55"/>
        <v>0</v>
      </c>
      <c r="AX139" s="775">
        <f t="shared" si="56"/>
        <v>0</v>
      </c>
      <c r="AY139" s="775">
        <f t="shared" ca="1" si="57"/>
        <v>0</v>
      </c>
      <c r="AZ139" s="775">
        <f t="shared" si="58"/>
        <v>0</v>
      </c>
      <c r="BA139" s="775">
        <f t="shared" ca="1" si="39"/>
        <v>0</v>
      </c>
      <c r="BB139" s="775">
        <f t="shared" ca="1" si="40"/>
        <v>0</v>
      </c>
      <c r="BC139" s="775">
        <f t="shared" ca="1" si="41"/>
        <v>0</v>
      </c>
      <c r="BD139" s="775">
        <f t="shared" ca="1" si="42"/>
        <v>0</v>
      </c>
      <c r="BE139" s="775">
        <f t="shared" ca="1" si="43"/>
        <v>0</v>
      </c>
      <c r="BF139" s="775">
        <f t="shared" ca="1" si="44"/>
        <v>0</v>
      </c>
      <c r="BG139" s="775">
        <f t="shared" ca="1" si="45"/>
        <v>0</v>
      </c>
      <c r="BH139" s="775">
        <f t="shared" ca="1" si="59"/>
        <v>0</v>
      </c>
      <c r="BI139" s="775">
        <f t="shared" ca="1" si="60"/>
        <v>0</v>
      </c>
      <c r="BJ139" s="775">
        <f t="shared" ca="1" si="61"/>
        <v>0</v>
      </c>
      <c r="BK139" s="775">
        <f t="shared" ca="1" si="62"/>
        <v>0</v>
      </c>
      <c r="BL139" s="775">
        <f t="shared" ca="1" si="63"/>
        <v>0</v>
      </c>
      <c r="BM139" s="775">
        <f t="shared" ca="1" si="64"/>
        <v>0</v>
      </c>
      <c r="BN139" s="775">
        <f t="shared" ca="1" si="65"/>
        <v>0</v>
      </c>
      <c r="BO139" s="775">
        <f t="shared" ca="1" si="66"/>
        <v>0</v>
      </c>
      <c r="BP139" s="775">
        <f t="shared" ca="1" si="67"/>
        <v>0</v>
      </c>
      <c r="BQ139" s="775">
        <f t="shared" ca="1" si="75"/>
        <v>0</v>
      </c>
      <c r="BR139" s="775">
        <f t="shared" ca="1" si="68"/>
        <v>0</v>
      </c>
    </row>
    <row r="140" spans="1:70">
      <c r="A140" s="767" t="str">
        <f t="shared" ca="1" si="73"/>
        <v/>
      </c>
      <c r="B140" s="131" t="s">
        <v>1313</v>
      </c>
      <c r="C140" s="188" t="str">
        <f ca="1">IF(F140=0,"",COUNTIF($F$78:$F140,"&gt;0"))</f>
        <v/>
      </c>
      <c r="D140" s="778" t="str">
        <f>VLOOKUP($B140,dongia1,DG!$C$5,)</f>
        <v>Cáp đồng bọc CV150</v>
      </c>
      <c r="E140" s="555" t="str">
        <f>VLOOKUP($B140,dongia1,DG!$D$5,)</f>
        <v>mét</v>
      </c>
      <c r="F140" s="779">
        <f t="shared" ca="1" si="79"/>
        <v>0</v>
      </c>
      <c r="G140" s="775">
        <f t="shared" ca="1" si="76"/>
        <v>0</v>
      </c>
      <c r="H140" s="775">
        <f ca="1">SUMIF(CT_tram!$B$33:$G$3559,kl!B140,CT_tram!$G$33:$G$3559)</f>
        <v>0</v>
      </c>
      <c r="I140" s="775">
        <f ca="1">SUMIF(CT_tram!$B$34:$G$115,$B140,CT_tram!$G$34:$G$115)</f>
        <v>0</v>
      </c>
      <c r="J140" s="775">
        <f ca="1">SUMIF(CT_tram!$B$122:$G$204,$B140,CT_tram!$G$122:$G$204)</f>
        <v>0</v>
      </c>
      <c r="K140" s="775">
        <f ca="1">SUMIF(CT_tram!$B$211:$G$293,$B140,CT_tram!$G$211:$G$293)</f>
        <v>0</v>
      </c>
      <c r="L140" s="775">
        <f ca="1">SUMIF(CT_tram!$B$300:$G$374,$B140,CT_tram!$G$300:$G$374)</f>
        <v>0</v>
      </c>
      <c r="M140" s="775">
        <f ca="1">SUMIF(CT_tram!$B$381:$G$471,$B140,CT_tram!$G$381:$G$471)</f>
        <v>0</v>
      </c>
      <c r="N140" s="775">
        <f ca="1">SUMIF(CT_tram!$B$478:$G$560,$B140,CT_tram!$G$478:$G$560)</f>
        <v>0</v>
      </c>
      <c r="O140" s="775">
        <f ca="1">SUMIF(CT_tram!$B$567:$G$653,$B140,CT_tram!$G$567:$G$653)</f>
        <v>0</v>
      </c>
      <c r="P140" s="775">
        <f ca="1">SUMIF(CT_tram!$B$661:$G$738,$B140,CT_tram!$G$661:$G$738)</f>
        <v>0</v>
      </c>
      <c r="Q140" s="775">
        <f ca="1">SUMIF(CT_tram!$B$745:$G$899,$B140,CT_tram!$G$745:$G$899)</f>
        <v>0</v>
      </c>
      <c r="R140" s="775">
        <f ca="1">SUMIF(CT_tram!$B$907:$G$995,$B140,CT_tram!$G$907:$G$995)</f>
        <v>0</v>
      </c>
      <c r="S140" s="775"/>
      <c r="T140" s="775">
        <f ca="1">SUMIF(CT_tram!$B$1004:$G$1097,B140,CT_tram!$G$1004:$G$1097)</f>
        <v>0</v>
      </c>
      <c r="U140" s="775"/>
      <c r="V140" s="775">
        <f ca="1">SUMIF(CT_tram!$B$1226:$G$1352,kl!B140,CT_tram!$G$1226:$G$1352)</f>
        <v>0</v>
      </c>
      <c r="W140" s="780">
        <f ca="1">SUMIF(CT_tram!$B$1105:$G$1219,kl!B140,CT_tram!$G$1105:$G$1219)</f>
        <v>0</v>
      </c>
      <c r="X140" s="775">
        <f ca="1">SUMIF(CT_tram!$B$1359:$G$1504,kl!B140,CT_tram!$G$1359:$G$1504)</f>
        <v>0</v>
      </c>
      <c r="Y140" s="775">
        <f ca="1">SUMIF(CT_tram!$B$1511:$G$1625,kl!B140,CT_tram!$G$1511:$G$1625)</f>
        <v>0</v>
      </c>
      <c r="Z140" s="775">
        <f ca="1">SUMIF(CT_tram!$B$1632:$G$2211,kl!B140,CT_tram!$G$1632:$G$2211)</f>
        <v>0</v>
      </c>
      <c r="AA140" s="775">
        <f ca="1">SUMIF(CT_tram!$B$2243:$G$2384,kl!B140,CT_tram!$G$2243:$G$2384)</f>
        <v>0</v>
      </c>
      <c r="AB140" s="775">
        <f ca="1">SUMIF(CT_tram!$B$2391:$G$2563,kl!B140,CT_tram!$G$2391:$G$2563)</f>
        <v>0</v>
      </c>
      <c r="AC140" s="775">
        <f ca="1">SUMIF(chitiet!$B$13:$N$2352,kl!$B140,chitiet!$I$13:$I$2352)</f>
        <v>0</v>
      </c>
      <c r="AD140" s="775">
        <f ca="1">SUMIF(chitiet!$B$13:$N$2352,kl!$B140,chitiet!$J$13:$J$2352)</f>
        <v>0</v>
      </c>
      <c r="AE140" s="775">
        <f ca="1">SUMIF(chitiet!$B$13:$N$2352,kl!$B140,chitiet!$K$13:$K$2352)</f>
        <v>0</v>
      </c>
      <c r="AF140" s="775">
        <f ca="1">SUMIF(chitiet!$B$13:$N$2352,kl!$B140,chitiet!$L$13:$L$2352)</f>
        <v>0</v>
      </c>
      <c r="AG140" s="775">
        <f ca="1">SUMIF(chitiet!$B$13:$N$2352,kl!$B140,chitiet!$M$13)</f>
        <v>0</v>
      </c>
      <c r="AH140" s="775">
        <f ca="1">SUMIF(chitiet!$B$13:$N$2352,kl!$B140,chitiet!$N$13:$N$2352)</f>
        <v>0</v>
      </c>
      <c r="AI140" s="775">
        <f ca="1">SUMIF(chitiet!$B$13:$N$2352,kl!$B140,chitiet!$O$13:$O$2352)</f>
        <v>0</v>
      </c>
      <c r="AJ140" s="775">
        <f ca="1">SUMIF('Cap ngam'!$B$631:$G$723,kl!$B140,'Cap ngam'!$G$631:$G$723)</f>
        <v>0</v>
      </c>
      <c r="AK140" s="775">
        <f ca="1">SUMIF('Cap ngam'!$B$403:$G$628,kl!$B140,'Cap ngam'!G$403:G$628)</f>
        <v>0</v>
      </c>
      <c r="AL140" s="775">
        <f ca="1">SUMIF('Cap ngam'!B$16:G$400,kl!$B140,'Cap ngam'!G$16:G$400)</f>
        <v>0</v>
      </c>
      <c r="AM140" s="776">
        <v>1.454</v>
      </c>
      <c r="AN140" s="775">
        <f t="shared" ca="1" si="46"/>
        <v>0</v>
      </c>
      <c r="AO140" s="775">
        <f t="shared" ca="1" si="47"/>
        <v>0</v>
      </c>
      <c r="AP140" s="775">
        <f t="shared" ca="1" si="48"/>
        <v>0</v>
      </c>
      <c r="AQ140" s="775">
        <f t="shared" ca="1" si="49"/>
        <v>0</v>
      </c>
      <c r="AR140" s="775">
        <f t="shared" ca="1" si="50"/>
        <v>0</v>
      </c>
      <c r="AS140" s="775">
        <f t="shared" ca="1" si="51"/>
        <v>0</v>
      </c>
      <c r="AT140" s="775">
        <f t="shared" ca="1" si="52"/>
        <v>0</v>
      </c>
      <c r="AU140" s="775">
        <f t="shared" ca="1" si="53"/>
        <v>0</v>
      </c>
      <c r="AV140" s="775">
        <f t="shared" ca="1" si="54"/>
        <v>0</v>
      </c>
      <c r="AW140" s="775">
        <f t="shared" ca="1" si="55"/>
        <v>0</v>
      </c>
      <c r="AX140" s="775">
        <f t="shared" si="56"/>
        <v>0</v>
      </c>
      <c r="AY140" s="775">
        <f t="shared" ca="1" si="57"/>
        <v>0</v>
      </c>
      <c r="AZ140" s="775">
        <f t="shared" si="58"/>
        <v>0</v>
      </c>
      <c r="BA140" s="775">
        <f t="shared" ca="1" si="39"/>
        <v>0</v>
      </c>
      <c r="BB140" s="775">
        <f t="shared" ca="1" si="40"/>
        <v>0</v>
      </c>
      <c r="BC140" s="775">
        <f t="shared" ca="1" si="41"/>
        <v>0</v>
      </c>
      <c r="BD140" s="775">
        <f t="shared" ca="1" si="42"/>
        <v>0</v>
      </c>
      <c r="BE140" s="775">
        <f t="shared" ca="1" si="43"/>
        <v>0</v>
      </c>
      <c r="BF140" s="775">
        <f t="shared" ca="1" si="44"/>
        <v>0</v>
      </c>
      <c r="BG140" s="775">
        <f t="shared" ca="1" si="45"/>
        <v>0</v>
      </c>
      <c r="BH140" s="775">
        <f t="shared" ca="1" si="59"/>
        <v>0</v>
      </c>
      <c r="BI140" s="775">
        <f t="shared" ca="1" si="60"/>
        <v>0</v>
      </c>
      <c r="BJ140" s="775">
        <f t="shared" ca="1" si="61"/>
        <v>0</v>
      </c>
      <c r="BK140" s="775">
        <f t="shared" ca="1" si="62"/>
        <v>0</v>
      </c>
      <c r="BL140" s="775">
        <f t="shared" ca="1" si="63"/>
        <v>0</v>
      </c>
      <c r="BM140" s="775">
        <f t="shared" ca="1" si="64"/>
        <v>0</v>
      </c>
      <c r="BN140" s="775">
        <f t="shared" ca="1" si="65"/>
        <v>0</v>
      </c>
      <c r="BO140" s="775">
        <f t="shared" ca="1" si="66"/>
        <v>0</v>
      </c>
      <c r="BP140" s="775">
        <f t="shared" ca="1" si="67"/>
        <v>0</v>
      </c>
      <c r="BQ140" s="775">
        <f t="shared" ca="1" si="75"/>
        <v>0</v>
      </c>
      <c r="BR140" s="775">
        <f t="shared" ca="1" si="68"/>
        <v>0</v>
      </c>
    </row>
    <row r="141" spans="1:70">
      <c r="A141" s="767" t="str">
        <f t="shared" ca="1" si="73"/>
        <v/>
      </c>
      <c r="B141" s="131" t="s">
        <v>310</v>
      </c>
      <c r="C141" s="188" t="str">
        <f ca="1">IF(F141=0,"",COUNTIF($F$78:$F141,"&gt;0"))</f>
        <v/>
      </c>
      <c r="D141" s="778" t="str">
        <f>VLOOKUP($B141,dongia1,DG!$C$5,)</f>
        <v>Cáp đồng bọc CV185</v>
      </c>
      <c r="E141" s="555" t="str">
        <f>VLOOKUP($B141,dongia1,DG!$D$5,)</f>
        <v>mét</v>
      </c>
      <c r="F141" s="779">
        <f t="shared" ca="1" si="79"/>
        <v>0</v>
      </c>
      <c r="G141" s="775">
        <f t="shared" ca="1" si="76"/>
        <v>0</v>
      </c>
      <c r="H141" s="775">
        <f ca="1">SUMIF(CT_tram!$B$33:$G$3559,kl!B141,CT_tram!$G$33:$G$3559)</f>
        <v>0</v>
      </c>
      <c r="I141" s="775">
        <f ca="1">SUMIF(CT_tram!$B$34:$G$115,$B141,CT_tram!$G$34:$G$115)</f>
        <v>0</v>
      </c>
      <c r="J141" s="775">
        <f ca="1">SUMIF(CT_tram!$B$122:$G$204,$B141,CT_tram!$G$122:$G$204)</f>
        <v>0</v>
      </c>
      <c r="K141" s="775">
        <f ca="1">SUMIF(CT_tram!$B$211:$G$293,$B141,CT_tram!$G$211:$G$293)</f>
        <v>0</v>
      </c>
      <c r="L141" s="775">
        <f ca="1">SUMIF(CT_tram!$B$300:$G$374,$B141,CT_tram!$G$300:$G$374)</f>
        <v>0</v>
      </c>
      <c r="M141" s="775">
        <f ca="1">SUMIF(CT_tram!$B$381:$G$471,$B141,CT_tram!$G$381:$G$471)</f>
        <v>0</v>
      </c>
      <c r="N141" s="775">
        <f ca="1">SUMIF(CT_tram!$B$478:$G$560,$B141,CT_tram!$G$478:$G$560)</f>
        <v>0</v>
      </c>
      <c r="O141" s="775">
        <f ca="1">SUMIF(CT_tram!$B$567:$G$653,$B141,CT_tram!$G$567:$G$653)</f>
        <v>0</v>
      </c>
      <c r="P141" s="775">
        <f ca="1">SUMIF(CT_tram!$B$661:$G$738,$B141,CT_tram!$G$661:$G$738)</f>
        <v>0</v>
      </c>
      <c r="Q141" s="775">
        <f ca="1">SUMIF(CT_tram!$B$745:$G$899,$B141,CT_tram!$G$745:$G$899)</f>
        <v>0</v>
      </c>
      <c r="R141" s="775">
        <f ca="1">SUMIF(CT_tram!$B$907:$G$995,$B141,CT_tram!$G$907:$G$995)</f>
        <v>0</v>
      </c>
      <c r="S141" s="775"/>
      <c r="T141" s="775">
        <f ca="1">SUMIF(CT_tram!$B$1004:$G$1097,B141,CT_tram!$G$1004:$G$1097)</f>
        <v>0</v>
      </c>
      <c r="U141" s="775"/>
      <c r="V141" s="775">
        <f ca="1">SUMIF(CT_tram!$B$1226:$G$1352,kl!B141,CT_tram!$G$1226:$G$1352)</f>
        <v>0</v>
      </c>
      <c r="W141" s="780">
        <f ca="1">SUMIF(CT_tram!$B$1105:$G$1219,kl!B141,CT_tram!$G$1105:$G$1219)</f>
        <v>0</v>
      </c>
      <c r="X141" s="775">
        <f ca="1">SUMIF(CT_tram!$B$1359:$G$1504,kl!B141,CT_tram!$G$1359:$G$1504)</f>
        <v>0</v>
      </c>
      <c r="Y141" s="775">
        <f ca="1">SUMIF(CT_tram!$B$1511:$G$1625,kl!B141,CT_tram!$G$1511:$G$1625)</f>
        <v>0</v>
      </c>
      <c r="Z141" s="775">
        <f ca="1">SUMIF(CT_tram!$B$1632:$G$2211,kl!B141,CT_tram!$G$1632:$G$2211)</f>
        <v>0</v>
      </c>
      <c r="AA141" s="775">
        <f ca="1">SUMIF(CT_tram!$B$2243:$G$2384,kl!B141,CT_tram!$G$2243:$G$2384)</f>
        <v>0</v>
      </c>
      <c r="AB141" s="775">
        <f ca="1">SUMIF(CT_tram!$B$2391:$G$2563,kl!B141,CT_tram!$G$2391:$G$2563)</f>
        <v>0</v>
      </c>
      <c r="AC141" s="775">
        <f ca="1">SUMIF(chitiet!$B$13:$N$2352,kl!$B141,chitiet!$I$13:$I$2352)</f>
        <v>0</v>
      </c>
      <c r="AD141" s="775">
        <f ca="1">SUMIF(chitiet!$B$13:$N$2352,kl!$B141,chitiet!$J$13:$J$2352)</f>
        <v>0</v>
      </c>
      <c r="AE141" s="775">
        <f ca="1">SUMIF(chitiet!$B$13:$N$2352,kl!$B141,chitiet!$K$13:$K$2352)</f>
        <v>0</v>
      </c>
      <c r="AF141" s="775">
        <f ca="1">SUMIF(chitiet!$B$13:$N$2352,kl!$B141,chitiet!$L$13:$L$2352)</f>
        <v>0</v>
      </c>
      <c r="AG141" s="775">
        <f ca="1">SUMIF(chitiet!$B$13:$N$2352,kl!$B141,chitiet!$M$13)</f>
        <v>0</v>
      </c>
      <c r="AH141" s="775">
        <f ca="1">SUMIF(chitiet!$B$13:$N$2352,kl!$B141,chitiet!$N$13:$N$2352)</f>
        <v>0</v>
      </c>
      <c r="AI141" s="775">
        <f ca="1">SUMIF(chitiet!$B$13:$N$2352,kl!$B141,chitiet!$O$13:$O$2352)</f>
        <v>0</v>
      </c>
      <c r="AJ141" s="775">
        <f ca="1">SUMIF('Cap ngam'!$B$631:$G$723,kl!$B141,'Cap ngam'!$G$631:$G$723)</f>
        <v>0</v>
      </c>
      <c r="AK141" s="775">
        <f ca="1">SUMIF('Cap ngam'!$B$403:$G$628,kl!$B141,'Cap ngam'!G$403:G$628)</f>
        <v>0</v>
      </c>
      <c r="AL141" s="775">
        <f ca="1">SUMIF('Cap ngam'!B$16:G$400,kl!$B141,'Cap ngam'!G$16:G$400)</f>
        <v>0</v>
      </c>
      <c r="AM141" s="776">
        <v>1.8120000000000001</v>
      </c>
      <c r="AN141" s="775">
        <f t="shared" ca="1" si="46"/>
        <v>0</v>
      </c>
      <c r="AO141" s="775">
        <f t="shared" ca="1" si="47"/>
        <v>0</v>
      </c>
      <c r="AP141" s="775">
        <f t="shared" ca="1" si="48"/>
        <v>0</v>
      </c>
      <c r="AQ141" s="775">
        <f t="shared" ca="1" si="49"/>
        <v>0</v>
      </c>
      <c r="AR141" s="775">
        <f t="shared" ca="1" si="50"/>
        <v>0</v>
      </c>
      <c r="AS141" s="775">
        <f t="shared" ca="1" si="51"/>
        <v>0</v>
      </c>
      <c r="AT141" s="775">
        <f t="shared" ca="1" si="52"/>
        <v>0</v>
      </c>
      <c r="AU141" s="775">
        <f t="shared" ca="1" si="53"/>
        <v>0</v>
      </c>
      <c r="AV141" s="775">
        <f t="shared" ca="1" si="54"/>
        <v>0</v>
      </c>
      <c r="AW141" s="775">
        <f t="shared" ca="1" si="55"/>
        <v>0</v>
      </c>
      <c r="AX141" s="775">
        <f t="shared" si="56"/>
        <v>0</v>
      </c>
      <c r="AY141" s="775">
        <f t="shared" ca="1" si="57"/>
        <v>0</v>
      </c>
      <c r="AZ141" s="775">
        <f t="shared" si="58"/>
        <v>0</v>
      </c>
      <c r="BA141" s="775">
        <f t="shared" ca="1" si="39"/>
        <v>0</v>
      </c>
      <c r="BB141" s="775">
        <f t="shared" ca="1" si="40"/>
        <v>0</v>
      </c>
      <c r="BC141" s="775">
        <f t="shared" ca="1" si="41"/>
        <v>0</v>
      </c>
      <c r="BD141" s="775">
        <f t="shared" ca="1" si="42"/>
        <v>0</v>
      </c>
      <c r="BE141" s="775">
        <f t="shared" ca="1" si="43"/>
        <v>0</v>
      </c>
      <c r="BF141" s="775">
        <f t="shared" ca="1" si="44"/>
        <v>0</v>
      </c>
      <c r="BG141" s="775">
        <f t="shared" ca="1" si="45"/>
        <v>0</v>
      </c>
      <c r="BH141" s="775">
        <f t="shared" ca="1" si="59"/>
        <v>0</v>
      </c>
      <c r="BI141" s="775">
        <f t="shared" ca="1" si="60"/>
        <v>0</v>
      </c>
      <c r="BJ141" s="775">
        <f t="shared" ca="1" si="61"/>
        <v>0</v>
      </c>
      <c r="BK141" s="775">
        <f t="shared" ca="1" si="62"/>
        <v>0</v>
      </c>
      <c r="BL141" s="775">
        <f t="shared" ca="1" si="63"/>
        <v>0</v>
      </c>
      <c r="BM141" s="775">
        <f t="shared" ca="1" si="64"/>
        <v>0</v>
      </c>
      <c r="BN141" s="775">
        <f t="shared" ca="1" si="65"/>
        <v>0</v>
      </c>
      <c r="BO141" s="775">
        <f t="shared" ca="1" si="66"/>
        <v>0</v>
      </c>
      <c r="BP141" s="775">
        <f t="shared" ca="1" si="67"/>
        <v>0</v>
      </c>
      <c r="BQ141" s="775">
        <f t="shared" ca="1" si="75"/>
        <v>0</v>
      </c>
      <c r="BR141" s="775">
        <f t="shared" ca="1" si="68"/>
        <v>0</v>
      </c>
    </row>
    <row r="142" spans="1:70">
      <c r="A142" s="767" t="str">
        <f t="shared" ca="1" si="73"/>
        <v/>
      </c>
      <c r="B142" s="131" t="s">
        <v>1452</v>
      </c>
      <c r="C142" s="188" t="str">
        <f ca="1">IF(F142=0,"",COUNTIF($F$78:$F142,"&gt;0"))</f>
        <v/>
      </c>
      <c r="D142" s="778" t="str">
        <f>VLOOKUP($B142,dongia1,DG!$C$5,)</f>
        <v>Cáp đồng bọc CV200</v>
      </c>
      <c r="E142" s="555" t="str">
        <f>VLOOKUP($B142,dongia1,DG!$D$5,)</f>
        <v>mét</v>
      </c>
      <c r="F142" s="779">
        <f t="shared" ca="1" si="79"/>
        <v>0</v>
      </c>
      <c r="G142" s="775">
        <f t="shared" ca="1" si="76"/>
        <v>0</v>
      </c>
      <c r="H142" s="775">
        <f ca="1">SUMIF(CT_tram!$B$33:$G$3559,kl!B142,CT_tram!$G$33:$G$3559)</f>
        <v>0</v>
      </c>
      <c r="I142" s="775">
        <f ca="1">SUMIF(CT_tram!$B$34:$G$115,$B142,CT_tram!$G$34:$G$115)</f>
        <v>0</v>
      </c>
      <c r="J142" s="775">
        <f ca="1">SUMIF(CT_tram!$B$122:$G$204,$B142,CT_tram!$G$122:$G$204)</f>
        <v>0</v>
      </c>
      <c r="K142" s="775">
        <f ca="1">SUMIF(CT_tram!$B$211:$G$293,$B142,CT_tram!$G$211:$G$293)</f>
        <v>0</v>
      </c>
      <c r="L142" s="775">
        <f ca="1">SUMIF(CT_tram!$B$300:$G$374,$B142,CT_tram!$G$300:$G$374)</f>
        <v>0</v>
      </c>
      <c r="M142" s="775">
        <f ca="1">SUMIF(CT_tram!$B$381:$G$471,$B142,CT_tram!$G$381:$G$471)</f>
        <v>0</v>
      </c>
      <c r="N142" s="775">
        <f ca="1">SUMIF(CT_tram!$B$478:$G$560,$B142,CT_tram!$G$478:$G$560)</f>
        <v>0</v>
      </c>
      <c r="O142" s="775">
        <f ca="1">SUMIF(CT_tram!$B$567:$G$653,$B142,CT_tram!$G$567:$G$653)</f>
        <v>0</v>
      </c>
      <c r="P142" s="775">
        <f ca="1">SUMIF(CT_tram!$B$661:$G$738,$B142,CT_tram!$G$661:$G$738)</f>
        <v>0</v>
      </c>
      <c r="Q142" s="775">
        <f ca="1">SUMIF(CT_tram!$B$745:$G$899,$B142,CT_tram!$G$745:$G$899)</f>
        <v>0</v>
      </c>
      <c r="R142" s="775">
        <f ca="1">SUMIF(CT_tram!$B$907:$G$995,$B142,CT_tram!$G$907:$G$995)</f>
        <v>0</v>
      </c>
      <c r="S142" s="775"/>
      <c r="T142" s="775">
        <f ca="1">SUMIF(CT_tram!$B$1004:$G$1097,B142,CT_tram!$G$1004:$G$1097)</f>
        <v>0</v>
      </c>
      <c r="U142" s="775"/>
      <c r="V142" s="775">
        <f ca="1">SUMIF(CT_tram!$B$1226:$G$1352,kl!B142,CT_tram!$G$1226:$G$1352)</f>
        <v>0</v>
      </c>
      <c r="W142" s="780">
        <f ca="1">SUMIF(CT_tram!$B$1105:$G$1219,kl!B142,CT_tram!$G$1105:$G$1219)</f>
        <v>0</v>
      </c>
      <c r="X142" s="775">
        <f ca="1">SUMIF(CT_tram!$B$1359:$G$1504,kl!B142,CT_tram!$G$1359:$G$1504)</f>
        <v>0</v>
      </c>
      <c r="Y142" s="775">
        <f ca="1">SUMIF(CT_tram!$B$1511:$G$1625,kl!B142,CT_tram!$G$1511:$G$1625)</f>
        <v>0</v>
      </c>
      <c r="Z142" s="775">
        <f ca="1">SUMIF(CT_tram!$B$1632:$G$2211,kl!B142,CT_tram!$G$1632:$G$2211)</f>
        <v>0</v>
      </c>
      <c r="AA142" s="775">
        <f ca="1">SUMIF(CT_tram!$B$2243:$G$2384,kl!B142,CT_tram!$G$2243:$G$2384)</f>
        <v>0</v>
      </c>
      <c r="AB142" s="775">
        <f ca="1">SUMIF(CT_tram!$B$2391:$G$2563,kl!B142,CT_tram!$G$2391:$G$2563)</f>
        <v>0</v>
      </c>
      <c r="AC142" s="775">
        <f ca="1">SUMIF(chitiet!$B$13:$N$2352,kl!$B142,chitiet!$I$13:$I$2352)</f>
        <v>0</v>
      </c>
      <c r="AD142" s="775">
        <f ca="1">SUMIF(chitiet!$B$13:$N$2352,kl!$B142,chitiet!$J$13:$J$2352)</f>
        <v>0</v>
      </c>
      <c r="AE142" s="775">
        <f ca="1">SUMIF(chitiet!$B$13:$N$2352,kl!$B142,chitiet!$K$13:$K$2352)</f>
        <v>0</v>
      </c>
      <c r="AF142" s="775">
        <f ca="1">SUMIF(chitiet!$B$13:$N$2352,kl!$B142,chitiet!$L$13:$L$2352)</f>
        <v>0</v>
      </c>
      <c r="AG142" s="775">
        <f ca="1">SUMIF(chitiet!$B$13:$N$2352,kl!$B142,chitiet!$M$13)</f>
        <v>0</v>
      </c>
      <c r="AH142" s="775">
        <f ca="1">SUMIF(chitiet!$B$13:$N$2352,kl!$B142,chitiet!$N$13:$N$2352)</f>
        <v>0</v>
      </c>
      <c r="AI142" s="775">
        <f ca="1">SUMIF(chitiet!$B$13:$N$2352,kl!$B142,chitiet!$O$13:$O$2352)</f>
        <v>0</v>
      </c>
      <c r="AJ142" s="775">
        <f ca="1">SUMIF('Cap ngam'!$B$631:$G$723,kl!$B142,'Cap ngam'!$G$631:$G$723)</f>
        <v>0</v>
      </c>
      <c r="AK142" s="775">
        <f ca="1">SUMIF('Cap ngam'!$B$403:$G$628,kl!$B142,'Cap ngam'!G$403:G$628)</f>
        <v>0</v>
      </c>
      <c r="AL142" s="775">
        <f ca="1">SUMIF('Cap ngam'!B$16:G$400,kl!$B142,'Cap ngam'!G$16:G$400)</f>
        <v>0</v>
      </c>
      <c r="AM142" s="776">
        <f>AM141*200/185</f>
        <v>1.9589189189189191</v>
      </c>
      <c r="AN142" s="775">
        <f t="shared" ca="1" si="46"/>
        <v>0</v>
      </c>
      <c r="AO142" s="775">
        <f t="shared" ca="1" si="47"/>
        <v>0</v>
      </c>
      <c r="AP142" s="775">
        <f t="shared" ca="1" si="48"/>
        <v>0</v>
      </c>
      <c r="AQ142" s="775">
        <f t="shared" ca="1" si="49"/>
        <v>0</v>
      </c>
      <c r="AR142" s="775">
        <f t="shared" ca="1" si="50"/>
        <v>0</v>
      </c>
      <c r="AS142" s="775">
        <f t="shared" ca="1" si="51"/>
        <v>0</v>
      </c>
      <c r="AT142" s="775">
        <f t="shared" ca="1" si="52"/>
        <v>0</v>
      </c>
      <c r="AU142" s="775">
        <f t="shared" ca="1" si="53"/>
        <v>0</v>
      </c>
      <c r="AV142" s="775">
        <f t="shared" ca="1" si="54"/>
        <v>0</v>
      </c>
      <c r="AW142" s="775">
        <f t="shared" ca="1" si="55"/>
        <v>0</v>
      </c>
      <c r="AX142" s="775">
        <f t="shared" si="56"/>
        <v>0</v>
      </c>
      <c r="AY142" s="775">
        <f t="shared" ca="1" si="57"/>
        <v>0</v>
      </c>
      <c r="AZ142" s="775">
        <f t="shared" si="58"/>
        <v>0</v>
      </c>
      <c r="BA142" s="775">
        <f t="shared" ca="1" si="39"/>
        <v>0</v>
      </c>
      <c r="BB142" s="775">
        <f t="shared" ca="1" si="40"/>
        <v>0</v>
      </c>
      <c r="BC142" s="775">
        <f t="shared" ca="1" si="41"/>
        <v>0</v>
      </c>
      <c r="BD142" s="775">
        <f t="shared" ca="1" si="42"/>
        <v>0</v>
      </c>
      <c r="BE142" s="775">
        <f t="shared" ca="1" si="43"/>
        <v>0</v>
      </c>
      <c r="BF142" s="775">
        <f t="shared" ca="1" si="44"/>
        <v>0</v>
      </c>
      <c r="BG142" s="775">
        <f t="shared" ca="1" si="45"/>
        <v>0</v>
      </c>
      <c r="BH142" s="775">
        <f t="shared" ca="1" si="59"/>
        <v>0</v>
      </c>
      <c r="BI142" s="775">
        <f t="shared" ca="1" si="60"/>
        <v>0</v>
      </c>
      <c r="BJ142" s="775">
        <f t="shared" ca="1" si="61"/>
        <v>0</v>
      </c>
      <c r="BK142" s="775">
        <f t="shared" ca="1" si="62"/>
        <v>0</v>
      </c>
      <c r="BL142" s="775">
        <f t="shared" ca="1" si="63"/>
        <v>0</v>
      </c>
      <c r="BM142" s="775">
        <f t="shared" ca="1" si="64"/>
        <v>0</v>
      </c>
      <c r="BN142" s="775">
        <f t="shared" ca="1" si="65"/>
        <v>0</v>
      </c>
      <c r="BO142" s="775">
        <f t="shared" ca="1" si="66"/>
        <v>0</v>
      </c>
      <c r="BP142" s="775">
        <f t="shared" ca="1" si="67"/>
        <v>0</v>
      </c>
      <c r="BQ142" s="775">
        <f t="shared" ca="1" si="75"/>
        <v>0</v>
      </c>
      <c r="BR142" s="775">
        <f t="shared" ca="1" si="68"/>
        <v>0</v>
      </c>
    </row>
    <row r="143" spans="1:70">
      <c r="A143" s="767" t="str">
        <f t="shared" ca="1" si="73"/>
        <v>X</v>
      </c>
      <c r="B143" s="131" t="s">
        <v>1279</v>
      </c>
      <c r="C143" s="188">
        <f ca="1">IF(F143=0,"",COUNTIF($F$78:$F143,"&gt;0"))</f>
        <v>12</v>
      </c>
      <c r="D143" s="778" t="str">
        <f>VLOOKUP($B143,dongia1,DG!$C$5,)</f>
        <v>Cáp đồng bọc CV240</v>
      </c>
      <c r="E143" s="555" t="str">
        <f>VLOOKUP($B143,dongia1,DG!$D$5,)</f>
        <v>mét</v>
      </c>
      <c r="F143" s="975">
        <f t="shared" ca="1" si="79"/>
        <v>72</v>
      </c>
      <c r="G143" s="976">
        <f t="shared" ca="1" si="76"/>
        <v>0</v>
      </c>
      <c r="H143" s="976">
        <f ca="1">SUMIF(CT_tram!$B$33:$G$3559,kl!B143,CT_tram!$G$33:$G$3559)</f>
        <v>72</v>
      </c>
      <c r="I143" s="775">
        <f ca="1">SUMIF(CT_tram!$B$34:$G$115,$B143,CT_tram!$G$34:$G$115)</f>
        <v>0</v>
      </c>
      <c r="J143" s="775">
        <f ca="1">SUMIF(CT_tram!$B$122:$G$204,$B143,CT_tram!$G$122:$G$204)</f>
        <v>0</v>
      </c>
      <c r="K143" s="775">
        <f ca="1">SUMIF(CT_tram!$B$211:$G$293,$B143,CT_tram!$G$211:$G$293)</f>
        <v>0</v>
      </c>
      <c r="L143" s="775">
        <f ca="1">SUMIF(CT_tram!$B$300:$G$374,$B143,CT_tram!$G$300:$G$374)</f>
        <v>0</v>
      </c>
      <c r="M143" s="775">
        <f ca="1">SUMIF(CT_tram!$B$381:$G$471,$B143,CT_tram!$G$381:$G$471)</f>
        <v>0</v>
      </c>
      <c r="N143" s="775">
        <f ca="1">SUMIF(CT_tram!$B$478:$G$560,$B143,CT_tram!$G$478:$G$560)</f>
        <v>0</v>
      </c>
      <c r="O143" s="775">
        <f ca="1">SUMIF(CT_tram!$B$567:$G$653,$B143,CT_tram!$G$567:$G$653)</f>
        <v>0</v>
      </c>
      <c r="P143" s="775">
        <f ca="1">SUMIF(CT_tram!$B$661:$G$738,$B143,CT_tram!$G$661:$G$738)</f>
        <v>0</v>
      </c>
      <c r="Q143" s="775">
        <f ca="1">SUMIF(CT_tram!$B$745:$G$899,$B143,CT_tram!$G$745:$G$899)</f>
        <v>0</v>
      </c>
      <c r="R143" s="775">
        <f ca="1">SUMIF(CT_tram!$B$907:$G$995,$B143,CT_tram!$G$907:$G$995)</f>
        <v>0</v>
      </c>
      <c r="S143" s="775"/>
      <c r="T143" s="775">
        <f ca="1">SUMIF(CT_tram!$B$1004:$G$1097,B143,CT_tram!$G$1004:$G$1097)</f>
        <v>0</v>
      </c>
      <c r="U143" s="775"/>
      <c r="V143" s="775">
        <f ca="1">SUMIF(CT_tram!$B$1226:$G$1352,kl!B143,CT_tram!$G$1226:$G$1352)</f>
        <v>0</v>
      </c>
      <c r="W143" s="780">
        <f ca="1">SUMIF(CT_tram!$B$1105:$G$1219,kl!B143,CT_tram!$G$1105:$G$1219)</f>
        <v>0</v>
      </c>
      <c r="X143" s="775">
        <f ca="1">SUMIF(CT_tram!$B$1359:$G$1504,kl!B143,CT_tram!$G$1359:$G$1504)</f>
        <v>0</v>
      </c>
      <c r="Y143" s="775">
        <f ca="1">SUMIF(CT_tram!$B$1511:$G$1625,kl!B143,CT_tram!$G$1511:$G$1625)</f>
        <v>0</v>
      </c>
      <c r="Z143" s="775">
        <f ca="1">SUMIF(CT_tram!$B$1632:$G$2211,kl!B143,CT_tram!$G$1632:$G$2211)</f>
        <v>0</v>
      </c>
      <c r="AA143" s="775">
        <f ca="1">SUMIF(CT_tram!$B$2243:$G$2384,kl!B143,CT_tram!$G$2243:$G$2384)</f>
        <v>0</v>
      </c>
      <c r="AB143" s="775">
        <f ca="1">SUMIF(CT_tram!$B$2391:$G$2563,kl!B143,CT_tram!$G$2391:$G$2563)</f>
        <v>0</v>
      </c>
      <c r="AC143" s="775">
        <f ca="1">SUMIF(chitiet!$B$13:$N$2352,kl!$B143,chitiet!$I$13:$I$2352)</f>
        <v>0</v>
      </c>
      <c r="AD143" s="775">
        <f ca="1">SUMIF(chitiet!$B$13:$N$2352,kl!$B143,chitiet!$J$13:$J$2352)</f>
        <v>0</v>
      </c>
      <c r="AE143" s="775">
        <f ca="1">SUMIF(chitiet!$B$13:$N$2352,kl!$B143,chitiet!$K$13:$K$2352)</f>
        <v>0</v>
      </c>
      <c r="AF143" s="775">
        <f ca="1">SUMIF(chitiet!$B$13:$N$2352,kl!$B143,chitiet!$L$13:$L$2352)</f>
        <v>0</v>
      </c>
      <c r="AG143" s="775">
        <f ca="1">SUMIF(chitiet!$B$13:$N$2352,kl!$B143,chitiet!$M$13)</f>
        <v>0</v>
      </c>
      <c r="AH143" s="775">
        <f ca="1">SUMIF(chitiet!$B$13:$N$2352,kl!$B143,chitiet!$N$13:$N$2352)</f>
        <v>0</v>
      </c>
      <c r="AI143" s="775">
        <f ca="1">SUMIF(chitiet!$B$13:$N$2352,kl!$B143,chitiet!$O$13:$O$2352)</f>
        <v>0</v>
      </c>
      <c r="AJ143" s="775">
        <f ca="1">SUMIF('Cap ngam'!$B$631:$G$723,kl!$B143,'Cap ngam'!$G$631:$G$723)</f>
        <v>0</v>
      </c>
      <c r="AK143" s="775">
        <f ca="1">SUMIF('Cap ngam'!$B$403:$G$628,kl!$B143,'Cap ngam'!G$403:G$628)</f>
        <v>0</v>
      </c>
      <c r="AL143" s="775">
        <f ca="1">SUMIF('Cap ngam'!B$16:G$400,kl!$B143,'Cap ngam'!G$16:G$400)</f>
        <v>0</v>
      </c>
      <c r="AM143" s="776">
        <v>2.3690000000000002</v>
      </c>
      <c r="AN143" s="775">
        <f t="shared" ca="1" si="46"/>
        <v>0</v>
      </c>
      <c r="AO143" s="775">
        <f t="shared" ca="1" si="47"/>
        <v>0</v>
      </c>
      <c r="AP143" s="775">
        <f t="shared" ca="1" si="48"/>
        <v>0</v>
      </c>
      <c r="AQ143" s="775">
        <f t="shared" ca="1" si="49"/>
        <v>0</v>
      </c>
      <c r="AR143" s="775">
        <f t="shared" ca="1" si="50"/>
        <v>0</v>
      </c>
      <c r="AS143" s="775">
        <f t="shared" ca="1" si="51"/>
        <v>0</v>
      </c>
      <c r="AT143" s="775">
        <f t="shared" ca="1" si="52"/>
        <v>0</v>
      </c>
      <c r="AU143" s="775">
        <f t="shared" ca="1" si="53"/>
        <v>0</v>
      </c>
      <c r="AV143" s="775">
        <f t="shared" ca="1" si="54"/>
        <v>0</v>
      </c>
      <c r="AW143" s="775">
        <f t="shared" ca="1" si="55"/>
        <v>0</v>
      </c>
      <c r="AX143" s="775">
        <f t="shared" si="56"/>
        <v>0</v>
      </c>
      <c r="AY143" s="775">
        <f t="shared" ca="1" si="57"/>
        <v>0</v>
      </c>
      <c r="AZ143" s="775">
        <f t="shared" si="58"/>
        <v>0</v>
      </c>
      <c r="BA143" s="775">
        <f t="shared" ref="BA143:BA206" ca="1" si="80">V143*$AM143</f>
        <v>0</v>
      </c>
      <c r="BB143" s="775">
        <f t="shared" ref="BB143:BB206" ca="1" si="81">W143*$AM143</f>
        <v>0</v>
      </c>
      <c r="BC143" s="775">
        <f t="shared" ref="BC143:BC206" ca="1" si="82">X143*$AM143</f>
        <v>0</v>
      </c>
      <c r="BD143" s="775">
        <f t="shared" ref="BD143:BD206" ca="1" si="83">Y143*$AM143</f>
        <v>0</v>
      </c>
      <c r="BE143" s="775">
        <f t="shared" ref="BE143:BE206" ca="1" si="84">Z143*$AM143</f>
        <v>0</v>
      </c>
      <c r="BF143" s="775">
        <f t="shared" ref="BF143:BF206" ca="1" si="85">AA143*$AM143</f>
        <v>0</v>
      </c>
      <c r="BG143" s="775">
        <f t="shared" ref="BG143:BG206" ca="1" si="86">AB143*$AM143</f>
        <v>0</v>
      </c>
      <c r="BH143" s="775">
        <f t="shared" ca="1" si="59"/>
        <v>0</v>
      </c>
      <c r="BI143" s="775">
        <f t="shared" ca="1" si="60"/>
        <v>0</v>
      </c>
      <c r="BJ143" s="775">
        <f t="shared" ca="1" si="61"/>
        <v>0</v>
      </c>
      <c r="BK143" s="775">
        <f t="shared" ca="1" si="62"/>
        <v>0</v>
      </c>
      <c r="BL143" s="775">
        <f t="shared" ca="1" si="63"/>
        <v>0</v>
      </c>
      <c r="BM143" s="775">
        <f t="shared" ca="1" si="64"/>
        <v>0</v>
      </c>
      <c r="BN143" s="775">
        <f t="shared" ca="1" si="65"/>
        <v>0</v>
      </c>
      <c r="BO143" s="775">
        <f t="shared" ca="1" si="66"/>
        <v>0</v>
      </c>
      <c r="BP143" s="775">
        <f t="shared" ca="1" si="67"/>
        <v>0</v>
      </c>
      <c r="BQ143" s="775">
        <f t="shared" ca="1" si="75"/>
        <v>0</v>
      </c>
      <c r="BR143" s="775">
        <f t="shared" ca="1" si="68"/>
        <v>170.56800000000001</v>
      </c>
    </row>
    <row r="144" spans="1:70">
      <c r="A144" s="767" t="str">
        <f t="shared" ca="1" si="73"/>
        <v/>
      </c>
      <c r="B144" s="131" t="s">
        <v>473</v>
      </c>
      <c r="C144" s="188" t="str">
        <f ca="1">IF(F144=0,"",COUNTIF($F$78:$F144,"&gt;0"))</f>
        <v/>
      </c>
      <c r="D144" s="778" t="str">
        <f>VLOOKUP($B144,dongia1,DG!$C$5,)</f>
        <v>Cáp đồng bọc CV250</v>
      </c>
      <c r="E144" s="555" t="str">
        <f>VLOOKUP($B144,dongia1,DG!$D$5,)</f>
        <v>mét</v>
      </c>
      <c r="F144" s="779">
        <f t="shared" ca="1" si="79"/>
        <v>0</v>
      </c>
      <c r="G144" s="775">
        <f ca="1">SUM(AC144:AL144)</f>
        <v>0</v>
      </c>
      <c r="H144" s="775">
        <f ca="1">SUMIF(CT_tram!$B$33:$G$3559,kl!B144,CT_tram!$G$33:$G$3559)</f>
        <v>0</v>
      </c>
      <c r="I144" s="775">
        <f ca="1">SUMIF(CT_tram!$B$34:$G$115,$B144,CT_tram!$G$34:$G$115)</f>
        <v>0</v>
      </c>
      <c r="J144" s="775">
        <f ca="1">SUMIF(CT_tram!$B$122:$G$204,$B144,CT_tram!$G$122:$G$204)</f>
        <v>0</v>
      </c>
      <c r="K144" s="775">
        <f ca="1">SUMIF(CT_tram!$B$211:$G$293,$B144,CT_tram!$G$211:$G$293)</f>
        <v>0</v>
      </c>
      <c r="L144" s="775">
        <f ca="1">SUMIF(CT_tram!$B$300:$G$374,$B144,CT_tram!$G$300:$G$374)</f>
        <v>0</v>
      </c>
      <c r="M144" s="775">
        <f ca="1">SUMIF(CT_tram!$B$381:$G$471,$B144,CT_tram!$G$381:$G$471)</f>
        <v>0</v>
      </c>
      <c r="N144" s="775">
        <f ca="1">SUMIF(CT_tram!$B$478:$G$560,$B144,CT_tram!$G$478:$G$560)</f>
        <v>0</v>
      </c>
      <c r="O144" s="775">
        <f ca="1">SUMIF(CT_tram!$B$567:$G$653,$B144,CT_tram!$G$567:$G$653)</f>
        <v>0</v>
      </c>
      <c r="P144" s="775">
        <f ca="1">SUMIF(CT_tram!$B$661:$G$738,$B144,CT_tram!$G$661:$G$738)</f>
        <v>0</v>
      </c>
      <c r="Q144" s="775">
        <f ca="1">SUMIF(CT_tram!$B$745:$G$899,$B144,CT_tram!$G$745:$G$899)</f>
        <v>0</v>
      </c>
      <c r="R144" s="775">
        <f ca="1">SUMIF(CT_tram!$B$907:$G$995,$B144,CT_tram!$G$907:$G$995)</f>
        <v>0</v>
      </c>
      <c r="S144" s="775"/>
      <c r="T144" s="775">
        <f ca="1">SUMIF(CT_tram!$B$1004:$G$1097,B144,CT_tram!$G$1004:$G$1097)</f>
        <v>0</v>
      </c>
      <c r="U144" s="775"/>
      <c r="V144" s="775">
        <f ca="1">SUMIF(CT_tram!$B$1226:$G$1352,kl!B144,CT_tram!$G$1226:$G$1352)</f>
        <v>0</v>
      </c>
      <c r="W144" s="780">
        <f ca="1">SUMIF(CT_tram!$B$1105:$G$1219,kl!B144,CT_tram!$G$1105:$G$1219)</f>
        <v>0</v>
      </c>
      <c r="X144" s="775">
        <f ca="1">SUMIF(CT_tram!$B$1359:$G$1504,kl!B144,CT_tram!$G$1359:$G$1504)</f>
        <v>0</v>
      </c>
      <c r="Y144" s="775">
        <f ca="1">SUMIF(CT_tram!$B$1511:$G$1625,kl!B144,CT_tram!$G$1511:$G$1625)</f>
        <v>0</v>
      </c>
      <c r="Z144" s="775">
        <f ca="1">SUMIF(CT_tram!$B$1632:$G$2211,kl!B144,CT_tram!$G$1632:$G$2211)</f>
        <v>0</v>
      </c>
      <c r="AA144" s="775">
        <f ca="1">SUMIF(CT_tram!$B$2243:$G$2384,kl!B144,CT_tram!$G$2243:$G$2384)</f>
        <v>0</v>
      </c>
      <c r="AB144" s="775">
        <f ca="1">SUMIF(CT_tram!$B$2391:$G$2563,kl!B144,CT_tram!$G$2391:$G$2563)</f>
        <v>0</v>
      </c>
      <c r="AC144" s="775">
        <f ca="1">SUMIF(chitiet!$B$13:$N$2352,kl!$B144,chitiet!$I$13:$I$2352)</f>
        <v>0</v>
      </c>
      <c r="AD144" s="775">
        <f ca="1">SUMIF(chitiet!$B$13:$N$2352,kl!$B144,chitiet!$J$13:$J$2352)</f>
        <v>0</v>
      </c>
      <c r="AE144" s="775">
        <f ca="1">SUMIF(chitiet!$B$13:$N$2352,kl!$B144,chitiet!$K$13:$K$2352)</f>
        <v>0</v>
      </c>
      <c r="AF144" s="775">
        <f ca="1">SUMIF(chitiet!$B$13:$N$2352,kl!$B144,chitiet!$L$13:$L$2352)</f>
        <v>0</v>
      </c>
      <c r="AG144" s="775">
        <f ca="1">SUMIF(chitiet!$B$13:$N$2352,kl!$B144,chitiet!$M$13)</f>
        <v>0</v>
      </c>
      <c r="AH144" s="775">
        <f ca="1">SUMIF(chitiet!$B$13:$N$2352,kl!$B144,chitiet!$N$13:$N$2352)</f>
        <v>0</v>
      </c>
      <c r="AI144" s="775">
        <f ca="1">SUMIF(chitiet!$B$13:$N$2352,kl!$B144,chitiet!$O$13:$O$2352)</f>
        <v>0</v>
      </c>
      <c r="AJ144" s="775">
        <f ca="1">SUMIF('Cap ngam'!$B$631:$G$723,kl!$B144,'Cap ngam'!$G$631:$G$723)</f>
        <v>0</v>
      </c>
      <c r="AK144" s="775">
        <f ca="1">SUMIF('Cap ngam'!$B$403:$G$628,kl!$B144,'Cap ngam'!G$403:G$628)</f>
        <v>0</v>
      </c>
      <c r="AL144" s="775">
        <f ca="1">SUMIF('Cap ngam'!B$16:G$400,kl!$B144,'Cap ngam'!G$16:G$400)</f>
        <v>0</v>
      </c>
      <c r="AM144" s="776">
        <f>AM143*250/240</f>
        <v>2.4677083333333334</v>
      </c>
      <c r="AN144" s="775">
        <f t="shared" ref="AN144:AN207" ca="1" si="87">I144*$AM144</f>
        <v>0</v>
      </c>
      <c r="AO144" s="775">
        <f t="shared" ref="AO144:AO207" ca="1" si="88">J144*$AM144</f>
        <v>0</v>
      </c>
      <c r="AP144" s="775">
        <f t="shared" ref="AP144:AP207" ca="1" si="89">K144*$AM144</f>
        <v>0</v>
      </c>
      <c r="AQ144" s="775">
        <f t="shared" ref="AQ144:AQ207" ca="1" si="90">L144*$AM144</f>
        <v>0</v>
      </c>
      <c r="AR144" s="775">
        <f t="shared" ref="AR144:AR207" ca="1" si="91">M144*$AM144</f>
        <v>0</v>
      </c>
      <c r="AS144" s="775">
        <f t="shared" ref="AS144:AS207" ca="1" si="92">N144*$AM144</f>
        <v>0</v>
      </c>
      <c r="AT144" s="775">
        <f t="shared" ref="AT144:AT207" ca="1" si="93">O144*$AM144</f>
        <v>0</v>
      </c>
      <c r="AU144" s="775">
        <f t="shared" ref="AU144:AU207" ca="1" si="94">P144*$AM144</f>
        <v>0</v>
      </c>
      <c r="AV144" s="775">
        <f t="shared" ref="AV144:AV207" ca="1" si="95">Q144*$AM144</f>
        <v>0</v>
      </c>
      <c r="AW144" s="775">
        <f t="shared" ref="AW144:AW207" ca="1" si="96">R144*$AM144</f>
        <v>0</v>
      </c>
      <c r="AX144" s="775">
        <f t="shared" ref="AX144:AX207" si="97">S144*$AM144</f>
        <v>0</v>
      </c>
      <c r="AY144" s="775">
        <f t="shared" ref="AY144:AY207" ca="1" si="98">T144*$AM144</f>
        <v>0</v>
      </c>
      <c r="AZ144" s="775">
        <f t="shared" ref="AZ144:AZ207" si="99">U144*$AM144</f>
        <v>0</v>
      </c>
      <c r="BA144" s="775">
        <f t="shared" ca="1" si="80"/>
        <v>0</v>
      </c>
      <c r="BB144" s="775">
        <f t="shared" ca="1" si="81"/>
        <v>0</v>
      </c>
      <c r="BC144" s="775">
        <f t="shared" ca="1" si="82"/>
        <v>0</v>
      </c>
      <c r="BD144" s="775">
        <f t="shared" ca="1" si="83"/>
        <v>0</v>
      </c>
      <c r="BE144" s="775">
        <f t="shared" ca="1" si="84"/>
        <v>0</v>
      </c>
      <c r="BF144" s="775">
        <f t="shared" ca="1" si="85"/>
        <v>0</v>
      </c>
      <c r="BG144" s="775">
        <f t="shared" ca="1" si="86"/>
        <v>0</v>
      </c>
      <c r="BH144" s="775">
        <f t="shared" ca="1" si="59"/>
        <v>0</v>
      </c>
      <c r="BI144" s="775">
        <f t="shared" ca="1" si="60"/>
        <v>0</v>
      </c>
      <c r="BJ144" s="775">
        <f t="shared" ca="1" si="61"/>
        <v>0</v>
      </c>
      <c r="BK144" s="775">
        <f t="shared" ca="1" si="62"/>
        <v>0</v>
      </c>
      <c r="BL144" s="775">
        <f t="shared" ca="1" si="63"/>
        <v>0</v>
      </c>
      <c r="BM144" s="775">
        <f t="shared" ca="1" si="64"/>
        <v>0</v>
      </c>
      <c r="BN144" s="775">
        <f t="shared" ca="1" si="65"/>
        <v>0</v>
      </c>
      <c r="BO144" s="775">
        <f t="shared" ca="1" si="66"/>
        <v>0</v>
      </c>
      <c r="BP144" s="775">
        <f t="shared" ca="1" si="67"/>
        <v>0</v>
      </c>
      <c r="BQ144" s="775">
        <f t="shared" ca="1" si="75"/>
        <v>0</v>
      </c>
      <c r="BR144" s="775">
        <f t="shared" ca="1" si="68"/>
        <v>0</v>
      </c>
    </row>
    <row r="145" spans="1:70">
      <c r="A145" s="767" t="str">
        <f t="shared" ca="1" si="73"/>
        <v/>
      </c>
      <c r="B145" s="131" t="s">
        <v>1255</v>
      </c>
      <c r="C145" s="188" t="str">
        <f ca="1">IF(F145=0,"",COUNTIF($F$78:$F145,"&gt;0"))</f>
        <v/>
      </c>
      <c r="D145" s="778" t="str">
        <f>VLOOKUP($B145,dongia1,DG!$C$5,)</f>
        <v>Cáp đồng bọc CV300</v>
      </c>
      <c r="E145" s="555" t="str">
        <f>VLOOKUP($B145,dongia1,DG!$D$5,)</f>
        <v>mét</v>
      </c>
      <c r="F145" s="779">
        <f t="shared" ca="1" si="79"/>
        <v>0</v>
      </c>
      <c r="G145" s="775">
        <f t="shared" ca="1" si="76"/>
        <v>0</v>
      </c>
      <c r="H145" s="775">
        <f ca="1">SUMIF(CT_tram!$B$33:$G$3559,kl!B145,CT_tram!$G$33:$G$3559)</f>
        <v>0</v>
      </c>
      <c r="I145" s="775">
        <f ca="1">SUMIF(CT_tram!$B$34:$G$115,$B145,CT_tram!$G$34:$G$115)</f>
        <v>0</v>
      </c>
      <c r="J145" s="775">
        <f ca="1">SUMIF(CT_tram!$B$122:$G$204,$B145,CT_tram!$G$122:$G$204)</f>
        <v>0</v>
      </c>
      <c r="K145" s="775">
        <f ca="1">SUMIF(CT_tram!$B$211:$G$293,$B145,CT_tram!$G$211:$G$293)</f>
        <v>0</v>
      </c>
      <c r="L145" s="775">
        <f ca="1">SUMIF(CT_tram!$B$300:$G$374,$B145,CT_tram!$G$300:$G$374)</f>
        <v>0</v>
      </c>
      <c r="M145" s="775">
        <f ca="1">SUMIF(CT_tram!$B$381:$G$471,$B145,CT_tram!$G$381:$G$471)</f>
        <v>0</v>
      </c>
      <c r="N145" s="775">
        <f ca="1">SUMIF(CT_tram!$B$478:$G$560,$B145,CT_tram!$G$478:$G$560)</f>
        <v>0</v>
      </c>
      <c r="O145" s="775">
        <f ca="1">SUMIF(CT_tram!$B$567:$G$653,$B145,CT_tram!$G$567:$G$653)</f>
        <v>0</v>
      </c>
      <c r="P145" s="775">
        <f ca="1">SUMIF(CT_tram!$B$661:$G$738,$B145,CT_tram!$G$661:$G$738)</f>
        <v>0</v>
      </c>
      <c r="Q145" s="775">
        <f ca="1">SUMIF(CT_tram!$B$745:$G$899,$B145,CT_tram!$G$745:$G$899)</f>
        <v>0</v>
      </c>
      <c r="R145" s="775">
        <f ca="1">SUMIF(CT_tram!$B$907:$G$995,$B145,CT_tram!$G$907:$G$995)</f>
        <v>0</v>
      </c>
      <c r="S145" s="775"/>
      <c r="T145" s="775">
        <f ca="1">SUMIF(CT_tram!$B$1004:$G$1097,B145,CT_tram!$G$1004:$G$1097)</f>
        <v>0</v>
      </c>
      <c r="U145" s="775"/>
      <c r="V145" s="775">
        <f ca="1">SUMIF(CT_tram!$B$1226:$G$1352,kl!B145,CT_tram!$G$1226:$G$1352)</f>
        <v>0</v>
      </c>
      <c r="W145" s="780">
        <f ca="1">SUMIF(CT_tram!$B$1105:$G$1219,kl!B145,CT_tram!$G$1105:$G$1219)</f>
        <v>0</v>
      </c>
      <c r="X145" s="775">
        <f ca="1">SUMIF(CT_tram!$B$1359:$G$1504,kl!B145,CT_tram!$G$1359:$G$1504)</f>
        <v>0</v>
      </c>
      <c r="Y145" s="775">
        <f ca="1">SUMIF(CT_tram!$B$1511:$G$1625,kl!B145,CT_tram!$G$1511:$G$1625)</f>
        <v>0</v>
      </c>
      <c r="Z145" s="775">
        <f ca="1">SUMIF(CT_tram!$B$1632:$G$2211,kl!B145,CT_tram!$G$1632:$G$2211)</f>
        <v>0</v>
      </c>
      <c r="AA145" s="775">
        <f ca="1">SUMIF(CT_tram!$B$2243:$G$2384,kl!B145,CT_tram!$G$2243:$G$2384)</f>
        <v>0</v>
      </c>
      <c r="AB145" s="775">
        <f ca="1">SUMIF(CT_tram!$B$2391:$G$2563,kl!B145,CT_tram!$G$2391:$G$2563)</f>
        <v>0</v>
      </c>
      <c r="AC145" s="775">
        <f ca="1">SUMIF(chitiet!$B$13:$N$2352,kl!$B145,chitiet!$I$13:$I$2352)</f>
        <v>0</v>
      </c>
      <c r="AD145" s="775">
        <f ca="1">SUMIF(chitiet!$B$13:$N$2352,kl!$B145,chitiet!$J$13:$J$2352)</f>
        <v>0</v>
      </c>
      <c r="AE145" s="775">
        <f ca="1">SUMIF(chitiet!$B$13:$N$2352,kl!$B145,chitiet!$K$13:$K$2352)</f>
        <v>0</v>
      </c>
      <c r="AF145" s="775">
        <f ca="1">SUMIF(chitiet!$B$13:$N$2352,kl!$B145,chitiet!$L$13:$L$2352)</f>
        <v>0</v>
      </c>
      <c r="AG145" s="775">
        <f ca="1">SUMIF(chitiet!$B$13:$N$2352,kl!$B145,chitiet!$M$13)</f>
        <v>0</v>
      </c>
      <c r="AH145" s="775">
        <f ca="1">SUMIF(chitiet!$B$13:$N$2352,kl!$B145,chitiet!$N$13:$N$2352)</f>
        <v>0</v>
      </c>
      <c r="AI145" s="775">
        <f ca="1">SUMIF(chitiet!$B$13:$N$2352,kl!$B145,chitiet!$O$13:$O$2352)</f>
        <v>0</v>
      </c>
      <c r="AJ145" s="775">
        <f ca="1">SUMIF('Cap ngam'!$B$631:$G$723,kl!$B145,'Cap ngam'!$G$631:$G$723)</f>
        <v>0</v>
      </c>
      <c r="AK145" s="775">
        <f ca="1">SUMIF('Cap ngam'!$B$403:$G$628,kl!$B145,'Cap ngam'!G$403:G$628)</f>
        <v>0</v>
      </c>
      <c r="AL145" s="775">
        <f ca="1">SUMIF('Cap ngam'!B$16:G$400,kl!$B145,'Cap ngam'!G$16:G$400)</f>
        <v>0</v>
      </c>
      <c r="AM145" s="776">
        <v>2.968</v>
      </c>
      <c r="AN145" s="775">
        <f t="shared" ca="1" si="87"/>
        <v>0</v>
      </c>
      <c r="AO145" s="775">
        <f t="shared" ca="1" si="88"/>
        <v>0</v>
      </c>
      <c r="AP145" s="775">
        <f t="shared" ca="1" si="89"/>
        <v>0</v>
      </c>
      <c r="AQ145" s="775">
        <f t="shared" ca="1" si="90"/>
        <v>0</v>
      </c>
      <c r="AR145" s="775">
        <f t="shared" ca="1" si="91"/>
        <v>0</v>
      </c>
      <c r="AS145" s="775">
        <f t="shared" ca="1" si="92"/>
        <v>0</v>
      </c>
      <c r="AT145" s="775">
        <f t="shared" ca="1" si="93"/>
        <v>0</v>
      </c>
      <c r="AU145" s="775">
        <f t="shared" ca="1" si="94"/>
        <v>0</v>
      </c>
      <c r="AV145" s="775">
        <f t="shared" ca="1" si="95"/>
        <v>0</v>
      </c>
      <c r="AW145" s="775">
        <f t="shared" ca="1" si="96"/>
        <v>0</v>
      </c>
      <c r="AX145" s="775">
        <f t="shared" si="97"/>
        <v>0</v>
      </c>
      <c r="AY145" s="775">
        <f t="shared" ca="1" si="98"/>
        <v>0</v>
      </c>
      <c r="AZ145" s="775">
        <f t="shared" si="99"/>
        <v>0</v>
      </c>
      <c r="BA145" s="775">
        <f t="shared" ca="1" si="80"/>
        <v>0</v>
      </c>
      <c r="BB145" s="775">
        <f t="shared" ca="1" si="81"/>
        <v>0</v>
      </c>
      <c r="BC145" s="775">
        <f t="shared" ca="1" si="82"/>
        <v>0</v>
      </c>
      <c r="BD145" s="775">
        <f t="shared" ca="1" si="83"/>
        <v>0</v>
      </c>
      <c r="BE145" s="775">
        <f t="shared" ca="1" si="84"/>
        <v>0</v>
      </c>
      <c r="BF145" s="775">
        <f t="shared" ca="1" si="85"/>
        <v>0</v>
      </c>
      <c r="BG145" s="775">
        <f t="shared" ca="1" si="86"/>
        <v>0</v>
      </c>
      <c r="BH145" s="775">
        <f t="shared" ca="1" si="59"/>
        <v>0</v>
      </c>
      <c r="BI145" s="775">
        <f t="shared" ca="1" si="60"/>
        <v>0</v>
      </c>
      <c r="BJ145" s="775">
        <f t="shared" ca="1" si="61"/>
        <v>0</v>
      </c>
      <c r="BK145" s="775">
        <f t="shared" ca="1" si="62"/>
        <v>0</v>
      </c>
      <c r="BL145" s="775">
        <f t="shared" ca="1" si="63"/>
        <v>0</v>
      </c>
      <c r="BM145" s="775">
        <f t="shared" ca="1" si="64"/>
        <v>0</v>
      </c>
      <c r="BN145" s="775">
        <f t="shared" ca="1" si="65"/>
        <v>0</v>
      </c>
      <c r="BO145" s="775">
        <f t="shared" ca="1" si="66"/>
        <v>0</v>
      </c>
      <c r="BP145" s="775">
        <f t="shared" ca="1" si="67"/>
        <v>0</v>
      </c>
      <c r="BQ145" s="775">
        <f t="shared" ca="1" si="75"/>
        <v>0</v>
      </c>
      <c r="BR145" s="775">
        <f t="shared" ca="1" si="68"/>
        <v>0</v>
      </c>
    </row>
    <row r="146" spans="1:70">
      <c r="A146" s="767" t="str">
        <f t="shared" ca="1" si="73"/>
        <v/>
      </c>
      <c r="B146" s="789" t="s">
        <v>1556</v>
      </c>
      <c r="C146" s="188" t="str">
        <f ca="1">IF(F146=0,"",COUNTIF($F$78:$F146,"&gt;0"))</f>
        <v/>
      </c>
      <c r="D146" s="778" t="str">
        <f>VLOOKUP($B146,dongia1,DG!$C$5,)</f>
        <v>Cáp đồng trần M22mm2</v>
      </c>
      <c r="E146" s="555" t="str">
        <f>VLOOKUP($B146,dongia1,DG!$D$5,)</f>
        <v>kg</v>
      </c>
      <c r="F146" s="779">
        <f t="shared" ca="1" si="79"/>
        <v>0</v>
      </c>
      <c r="G146" s="775">
        <f t="shared" ca="1" si="76"/>
        <v>0</v>
      </c>
      <c r="H146" s="775">
        <f ca="1">SUMIF(CT_tram!$B$33:$G$3559,kl!B146,CT_tram!$G$33:$G$3559)</f>
        <v>0</v>
      </c>
      <c r="I146" s="775">
        <f ca="1">SUMIF(CT_tram!$B$34:$G$115,$B146,CT_tram!$G$34:$G$115)</f>
        <v>0</v>
      </c>
      <c r="J146" s="775">
        <f ca="1">SUMIF(CT_tram!$B$122:$G$204,$B146,CT_tram!$G$122:$G$204)</f>
        <v>0</v>
      </c>
      <c r="K146" s="775">
        <f ca="1">SUMIF(CT_tram!$B$211:$G$293,$B146,CT_tram!$G$211:$G$293)</f>
        <v>0</v>
      </c>
      <c r="L146" s="775">
        <f ca="1">SUMIF(CT_tram!$B$300:$G$374,$B146,CT_tram!$G$300:$G$374)</f>
        <v>0</v>
      </c>
      <c r="M146" s="775">
        <f ca="1">SUMIF(CT_tram!$B$381:$G$471,$B146,CT_tram!$G$381:$G$471)</f>
        <v>0</v>
      </c>
      <c r="N146" s="775">
        <f ca="1">SUMIF(CT_tram!$B$478:$G$560,$B146,CT_tram!$G$478:$G$560)</f>
        <v>0</v>
      </c>
      <c r="O146" s="775">
        <f ca="1">SUMIF(CT_tram!$B$567:$G$653,$B146,CT_tram!$G$567:$G$653)</f>
        <v>0</v>
      </c>
      <c r="P146" s="775">
        <f ca="1">SUMIF(CT_tram!$B$661:$G$738,$B146,CT_tram!$G$661:$G$738)</f>
        <v>0</v>
      </c>
      <c r="Q146" s="775">
        <f ca="1">SUMIF(CT_tram!$B$745:$G$899,$B146,CT_tram!$G$745:$G$899)</f>
        <v>0</v>
      </c>
      <c r="R146" s="775">
        <f ca="1">SUMIF(CT_tram!$B$907:$G$995,$B146,CT_tram!$G$907:$G$995)</f>
        <v>0</v>
      </c>
      <c r="S146" s="775"/>
      <c r="T146" s="775">
        <f ca="1">SUMIF(CT_tram!$B$1004:$G$1097,B146,CT_tram!$G$1004:$G$1097)</f>
        <v>0</v>
      </c>
      <c r="U146" s="775"/>
      <c r="V146" s="775">
        <f ca="1">SUMIF(CT_tram!$B$1226:$G$1352,kl!B146,CT_tram!$G$1226:$G$1352)</f>
        <v>0</v>
      </c>
      <c r="W146" s="780">
        <f ca="1">SUMIF(CT_tram!$B$1105:$G$1219,kl!B146,CT_tram!$G$1105:$G$1219)</f>
        <v>0</v>
      </c>
      <c r="X146" s="775">
        <f ca="1">SUMIF(CT_tram!$B$1359:$G$1504,kl!B146,CT_tram!$G$1359:$G$1504)</f>
        <v>0</v>
      </c>
      <c r="Y146" s="775">
        <f ca="1">SUMIF(CT_tram!$B$1511:$G$1625,kl!B146,CT_tram!$G$1511:$G$1625)</f>
        <v>0</v>
      </c>
      <c r="Z146" s="775">
        <f ca="1">SUMIF(CT_tram!$B$1632:$G$2211,kl!B146,CT_tram!$G$1632:$G$2211)</f>
        <v>0</v>
      </c>
      <c r="AA146" s="775">
        <f ca="1">SUMIF(CT_tram!$B$2243:$G$2384,kl!B146,CT_tram!$G$2243:$G$2384)</f>
        <v>0</v>
      </c>
      <c r="AB146" s="775">
        <f ca="1">SUMIF(CT_tram!$B$2391:$G$2563,kl!B146,CT_tram!$G$2391:$G$2563)</f>
        <v>0</v>
      </c>
      <c r="AC146" s="775">
        <f ca="1">SUMIF(chitiet!$B$13:$N$2352,kl!$B146,chitiet!$I$13:$I$2352)</f>
        <v>0</v>
      </c>
      <c r="AD146" s="775">
        <f ca="1">SUMIF(chitiet!$B$13:$N$2352,kl!$B146,chitiet!$J$13:$J$2352)</f>
        <v>0</v>
      </c>
      <c r="AE146" s="775">
        <f ca="1">SUMIF(chitiet!$B$13:$N$2352,kl!$B146,chitiet!$K$13:$K$2352)</f>
        <v>0</v>
      </c>
      <c r="AF146" s="775">
        <f ca="1">SUMIF(chitiet!$B$13:$N$2352,kl!$B146,chitiet!$L$13:$L$2352)</f>
        <v>0</v>
      </c>
      <c r="AG146" s="775">
        <f ca="1">SUMIF(chitiet!$B$13:$N$2352,kl!$B146,chitiet!$M$13)</f>
        <v>0</v>
      </c>
      <c r="AH146" s="775">
        <f ca="1">SUMIF(chitiet!$B$13:$N$2352,kl!$B146,chitiet!$N$13:$N$2352)</f>
        <v>0</v>
      </c>
      <c r="AI146" s="775">
        <f ca="1">SUMIF(chitiet!$B$13:$N$2352,kl!$B146,chitiet!$O$13:$O$2352)</f>
        <v>0</v>
      </c>
      <c r="AJ146" s="775">
        <f ca="1">SUMIF('Cap ngam'!$B$631:$G$723,kl!$B146,'Cap ngam'!$G$631:$G$723)</f>
        <v>0</v>
      </c>
      <c r="AK146" s="775">
        <f ca="1">SUMIF('Cap ngam'!$B$403:$G$628,kl!$B146,'Cap ngam'!G$403:G$628)</f>
        <v>0</v>
      </c>
      <c r="AL146" s="775">
        <f ca="1">SUMIF('Cap ngam'!B$16:G$400,kl!$B146,'Cap ngam'!G$16:G$400)</f>
        <v>0</v>
      </c>
      <c r="AM146" s="776">
        <v>1</v>
      </c>
      <c r="AN146" s="775">
        <f t="shared" ca="1" si="87"/>
        <v>0</v>
      </c>
      <c r="AO146" s="775">
        <f t="shared" ca="1" si="88"/>
        <v>0</v>
      </c>
      <c r="AP146" s="775">
        <f t="shared" ca="1" si="89"/>
        <v>0</v>
      </c>
      <c r="AQ146" s="775">
        <f t="shared" ca="1" si="90"/>
        <v>0</v>
      </c>
      <c r="AR146" s="775">
        <f t="shared" ca="1" si="91"/>
        <v>0</v>
      </c>
      <c r="AS146" s="775">
        <f t="shared" ca="1" si="92"/>
        <v>0</v>
      </c>
      <c r="AT146" s="775">
        <f t="shared" ca="1" si="93"/>
        <v>0</v>
      </c>
      <c r="AU146" s="775">
        <f t="shared" ca="1" si="94"/>
        <v>0</v>
      </c>
      <c r="AV146" s="775">
        <f t="shared" ca="1" si="95"/>
        <v>0</v>
      </c>
      <c r="AW146" s="775">
        <f t="shared" ca="1" si="96"/>
        <v>0</v>
      </c>
      <c r="AX146" s="775">
        <f t="shared" si="97"/>
        <v>0</v>
      </c>
      <c r="AY146" s="775">
        <f t="shared" ca="1" si="98"/>
        <v>0</v>
      </c>
      <c r="AZ146" s="775">
        <f t="shared" si="99"/>
        <v>0</v>
      </c>
      <c r="BA146" s="775">
        <f t="shared" ca="1" si="80"/>
        <v>0</v>
      </c>
      <c r="BB146" s="775">
        <f t="shared" ca="1" si="81"/>
        <v>0</v>
      </c>
      <c r="BC146" s="775">
        <f t="shared" ca="1" si="82"/>
        <v>0</v>
      </c>
      <c r="BD146" s="775">
        <f t="shared" ca="1" si="83"/>
        <v>0</v>
      </c>
      <c r="BE146" s="775">
        <f t="shared" ca="1" si="84"/>
        <v>0</v>
      </c>
      <c r="BF146" s="775">
        <f t="shared" ca="1" si="85"/>
        <v>0</v>
      </c>
      <c r="BG146" s="775">
        <f t="shared" ca="1" si="86"/>
        <v>0</v>
      </c>
      <c r="BH146" s="775">
        <f t="shared" ca="1" si="59"/>
        <v>0</v>
      </c>
      <c r="BI146" s="775">
        <f t="shared" ca="1" si="60"/>
        <v>0</v>
      </c>
      <c r="BJ146" s="775">
        <f t="shared" ca="1" si="61"/>
        <v>0</v>
      </c>
      <c r="BK146" s="775">
        <f t="shared" ca="1" si="62"/>
        <v>0</v>
      </c>
      <c r="BL146" s="775">
        <f t="shared" ca="1" si="63"/>
        <v>0</v>
      </c>
      <c r="BM146" s="775">
        <f t="shared" ca="1" si="64"/>
        <v>0</v>
      </c>
      <c r="BN146" s="775">
        <f t="shared" ca="1" si="65"/>
        <v>0</v>
      </c>
      <c r="BO146" s="775">
        <f t="shared" ca="1" si="66"/>
        <v>0</v>
      </c>
      <c r="BP146" s="775">
        <f t="shared" ca="1" si="67"/>
        <v>0</v>
      </c>
      <c r="BQ146" s="775">
        <f t="shared" ca="1" si="75"/>
        <v>0</v>
      </c>
      <c r="BR146" s="775">
        <f t="shared" ca="1" si="68"/>
        <v>0</v>
      </c>
    </row>
    <row r="147" spans="1:70">
      <c r="A147" s="767" t="e">
        <f t="shared" ca="1" si="73"/>
        <v>#REF!</v>
      </c>
      <c r="B147" s="789" t="s">
        <v>1200</v>
      </c>
      <c r="C147" s="188" t="e">
        <f ca="1">IF(F147=0,"",COUNTIF($F$78:$F147,"&gt;0"))</f>
        <v>#REF!</v>
      </c>
      <c r="D147" s="778" t="str">
        <f>VLOOKUP($B147,dongia1,DG!$C$5,)</f>
        <v>Cáp đồng trần M25mm2</v>
      </c>
      <c r="E147" s="555" t="str">
        <f>VLOOKUP($B147,dongia1,DG!$D$5,)</f>
        <v>kg</v>
      </c>
      <c r="F147" s="975" t="e">
        <f t="shared" ca="1" si="79"/>
        <v>#REF!</v>
      </c>
      <c r="G147" s="976" t="e">
        <f t="shared" ca="1" si="76"/>
        <v>#REF!</v>
      </c>
      <c r="H147" s="976">
        <f ca="1">SUMIF(CT_tram!$B$33:$G$3559,kl!B147,CT_tram!$G$33:$G$3559)</f>
        <v>11.872</v>
      </c>
      <c r="I147" s="775">
        <f ca="1">SUMIF(CT_tram!$B$34:$G$115,$B147,CT_tram!$G$34:$G$115)</f>
        <v>0</v>
      </c>
      <c r="J147" s="775">
        <f ca="1">SUMIF(CT_tram!$B$122:$G$204,$B147,CT_tram!$G$122:$G$204)</f>
        <v>0</v>
      </c>
      <c r="K147" s="775">
        <f ca="1">SUMIF(CT_tram!$B$211:$G$293,$B147,CT_tram!$G$211:$G$293)</f>
        <v>0</v>
      </c>
      <c r="L147" s="775">
        <f ca="1">SUMIF(CT_tram!$B$300:$G$374,$B147,CT_tram!$G$300:$G$374)</f>
        <v>0</v>
      </c>
      <c r="M147" s="775">
        <f ca="1">SUMIF(CT_tram!$B$381:$G$471,$B147,CT_tram!$G$381:$G$471)</f>
        <v>0</v>
      </c>
      <c r="N147" s="775">
        <f ca="1">SUMIF(CT_tram!$B$478:$G$560,$B147,CT_tram!$G$478:$G$560)</f>
        <v>0</v>
      </c>
      <c r="O147" s="775">
        <f ca="1">SUMIF(CT_tram!$B$567:$G$653,$B147,CT_tram!$G$567:$G$653)</f>
        <v>0</v>
      </c>
      <c r="P147" s="775">
        <f ca="1">SUMIF(CT_tram!$B$661:$G$738,$B147,CT_tram!$G$661:$G$738)</f>
        <v>0</v>
      </c>
      <c r="Q147" s="775">
        <f ca="1">SUMIF(CT_tram!$B$745:$G$899,$B147,CT_tram!$G$745:$G$899)</f>
        <v>0</v>
      </c>
      <c r="R147" s="775">
        <f ca="1">SUMIF(CT_tram!$B$907:$G$995,$B147,CT_tram!$G$907:$G$995)</f>
        <v>0</v>
      </c>
      <c r="S147" s="775"/>
      <c r="T147" s="775">
        <f ca="1">SUMIF(CT_tram!$B$1004:$G$1097,B147,CT_tram!$G$1004:$G$1097)</f>
        <v>0</v>
      </c>
      <c r="U147" s="775"/>
      <c r="V147" s="775">
        <f ca="1">SUMIF(CT_tram!$B$1226:$G$1352,kl!B147,CT_tram!$G$1226:$G$1352)</f>
        <v>0</v>
      </c>
      <c r="W147" s="780">
        <f ca="1">SUMIF(CT_tram!$B$1105:$G$1219,kl!B147,CT_tram!$G$1105:$G$1219)</f>
        <v>0</v>
      </c>
      <c r="X147" s="775">
        <f ca="1">SUMIF(CT_tram!$B$1359:$G$1504,kl!B147,CT_tram!$G$1359:$G$1504)</f>
        <v>0</v>
      </c>
      <c r="Y147" s="775">
        <f ca="1">SUMIF(CT_tram!$B$1511:$G$1625,kl!B147,CT_tram!$G$1511:$G$1625)</f>
        <v>0</v>
      </c>
      <c r="Z147" s="775">
        <f ca="1">SUMIF(CT_tram!$B$1632:$G$2211,kl!B147,CT_tram!$G$1632:$G$2211)</f>
        <v>0</v>
      </c>
      <c r="AA147" s="775">
        <f ca="1">SUMIF(CT_tram!$B$2243:$G$2384,kl!B147,CT_tram!$G$2243:$G$2384)</f>
        <v>0</v>
      </c>
      <c r="AB147" s="775">
        <f ca="1">SUMIF(CT_tram!$B$2391:$G$2563,kl!B147,CT_tram!$G$2391:$G$2563)</f>
        <v>0</v>
      </c>
      <c r="AC147" s="775">
        <f ca="1">SUMIF(chitiet!$B$13:$N$2352,kl!$B147,chitiet!$I$13:$I$2352)</f>
        <v>0</v>
      </c>
      <c r="AD147" s="775">
        <f ca="1">SUMIF(chitiet!$B$13:$N$2352,kl!$B147,chitiet!$J$13:$J$2352)</f>
        <v>0</v>
      </c>
      <c r="AE147" s="775">
        <f ca="1">SUMIF(chitiet!$B$13:$N$2352,kl!$B147,chitiet!$K$13:$K$2352)</f>
        <v>2.2400000000000002</v>
      </c>
      <c r="AF147" s="775">
        <f ca="1">SUMIF(chitiet!$B$13:$N$2352,kl!$B147,chitiet!$L$13:$L$2352)</f>
        <v>0</v>
      </c>
      <c r="AG147" s="775">
        <f ca="1">SUMIF(chitiet!$B$13:$N$2352,kl!$B147,chitiet!$M$13)</f>
        <v>0</v>
      </c>
      <c r="AH147" s="775">
        <f ca="1">SUMIF(chitiet!$B$13:$N$2352,kl!$B147,chitiet!$N$13:$N$2352)</f>
        <v>0</v>
      </c>
      <c r="AI147" s="775">
        <f ca="1">SUMIF(chitiet!$B$13:$N$2352,kl!$B147,chitiet!$O$13:$O$2352)</f>
        <v>0</v>
      </c>
      <c r="AJ147" s="775">
        <f ca="1">SUMIF('Cap ngam'!$B$631:$G$723,kl!$B147,'Cap ngam'!$G$631:$G$723)</f>
        <v>0</v>
      </c>
      <c r="AK147" s="775" t="e">
        <f ca="1">SUMIF('Cap ngam'!$B$403:$G$628,kl!$B147,'Cap ngam'!G$403:G$628)</f>
        <v>#REF!</v>
      </c>
      <c r="AL147" s="775">
        <f ca="1">SUMIF('Cap ngam'!B$16:G$400,kl!$B147,'Cap ngam'!G$16:G$400)</f>
        <v>0</v>
      </c>
      <c r="AM147" s="776">
        <v>1</v>
      </c>
      <c r="AN147" s="775">
        <f t="shared" ca="1" si="87"/>
        <v>0</v>
      </c>
      <c r="AO147" s="775">
        <f t="shared" ca="1" si="88"/>
        <v>0</v>
      </c>
      <c r="AP147" s="775">
        <f t="shared" ca="1" si="89"/>
        <v>0</v>
      </c>
      <c r="AQ147" s="775">
        <f t="shared" ca="1" si="90"/>
        <v>0</v>
      </c>
      <c r="AR147" s="775">
        <f t="shared" ca="1" si="91"/>
        <v>0</v>
      </c>
      <c r="AS147" s="775">
        <f t="shared" ca="1" si="92"/>
        <v>0</v>
      </c>
      <c r="AT147" s="775">
        <f t="shared" ca="1" si="93"/>
        <v>0</v>
      </c>
      <c r="AU147" s="775">
        <f t="shared" ca="1" si="94"/>
        <v>0</v>
      </c>
      <c r="AV147" s="775">
        <f t="shared" ca="1" si="95"/>
        <v>0</v>
      </c>
      <c r="AW147" s="775">
        <f t="shared" ca="1" si="96"/>
        <v>0</v>
      </c>
      <c r="AX147" s="775">
        <f t="shared" si="97"/>
        <v>0</v>
      </c>
      <c r="AY147" s="775">
        <f t="shared" ca="1" si="98"/>
        <v>0</v>
      </c>
      <c r="AZ147" s="775">
        <f t="shared" si="99"/>
        <v>0</v>
      </c>
      <c r="BA147" s="775">
        <f t="shared" ca="1" si="80"/>
        <v>0</v>
      </c>
      <c r="BB147" s="775">
        <f t="shared" ca="1" si="81"/>
        <v>0</v>
      </c>
      <c r="BC147" s="775">
        <f t="shared" ca="1" si="82"/>
        <v>0</v>
      </c>
      <c r="BD147" s="775">
        <f t="shared" ca="1" si="83"/>
        <v>0</v>
      </c>
      <c r="BE147" s="775">
        <f t="shared" ca="1" si="84"/>
        <v>0</v>
      </c>
      <c r="BF147" s="775">
        <f t="shared" ca="1" si="85"/>
        <v>0</v>
      </c>
      <c r="BG147" s="775">
        <f t="shared" ca="1" si="86"/>
        <v>0</v>
      </c>
      <c r="BH147" s="775">
        <f t="shared" ref="BH147:BH210" ca="1" si="100">AC147*$AM147</f>
        <v>0</v>
      </c>
      <c r="BI147" s="775">
        <f t="shared" ref="BI147:BI210" ca="1" si="101">AD147*$AM147</f>
        <v>0</v>
      </c>
      <c r="BJ147" s="775">
        <f t="shared" ref="BJ147:BJ210" ca="1" si="102">AE147*$AM147</f>
        <v>2.2400000000000002</v>
      </c>
      <c r="BK147" s="775">
        <f t="shared" ref="BK147:BK210" ca="1" si="103">AF147*$AM147</f>
        <v>0</v>
      </c>
      <c r="BL147" s="775">
        <f t="shared" ref="BL147:BL210" ca="1" si="104">AG147*$AM147</f>
        <v>0</v>
      </c>
      <c r="BM147" s="775">
        <f t="shared" ref="BM147:BM210" ca="1" si="105">AH147*$AM147</f>
        <v>0</v>
      </c>
      <c r="BN147" s="775">
        <f t="shared" ref="BN147:BN210" ca="1" si="106">AI147*$AM147</f>
        <v>0</v>
      </c>
      <c r="BO147" s="775">
        <f t="shared" ref="BO147:BO210" ca="1" si="107">AJ147*$AM147</f>
        <v>0</v>
      </c>
      <c r="BP147" s="775" t="e">
        <f t="shared" ref="BP147:BP210" ca="1" si="108">AK147*$AM147</f>
        <v>#REF!</v>
      </c>
      <c r="BQ147" s="775">
        <f t="shared" ca="1" si="75"/>
        <v>0</v>
      </c>
      <c r="BR147" s="775">
        <f t="shared" ref="BR147:BR210" ca="1" si="109">$H147*$AM147</f>
        <v>11.872</v>
      </c>
    </row>
    <row r="148" spans="1:70">
      <c r="A148" s="767" t="str">
        <f t="shared" ca="1" si="73"/>
        <v/>
      </c>
      <c r="B148" s="789" t="s">
        <v>1984</v>
      </c>
      <c r="C148" s="188" t="str">
        <f ca="1">IF(F148=0,"",COUNTIF($F$78:$F148,"&gt;0"))</f>
        <v/>
      </c>
      <c r="D148" s="778" t="str">
        <f>VLOOKUP($B148,dongia1,DG!$C$5,)</f>
        <v>Cáp đồng trần M38mm2</v>
      </c>
      <c r="E148" s="555" t="str">
        <f>VLOOKUP($B148,dongia1,DG!$D$5,)</f>
        <v>kg</v>
      </c>
      <c r="F148" s="779">
        <f t="shared" ca="1" si="79"/>
        <v>0</v>
      </c>
      <c r="G148" s="775">
        <f ca="1">SUM(AC148:AL148)</f>
        <v>0</v>
      </c>
      <c r="H148" s="775">
        <f ca="1">SUMIF(CT_tram!$B$33:$G$3559,kl!B148,CT_tram!$G$33:$G$3559)</f>
        <v>0</v>
      </c>
      <c r="I148" s="775">
        <f ca="1">SUMIF(CT_tram!$B$34:$G$115,$B148,CT_tram!$G$34:$G$115)</f>
        <v>0</v>
      </c>
      <c r="J148" s="775">
        <f ca="1">SUMIF(CT_tram!$B$122:$G$204,$B148,CT_tram!$G$122:$G$204)</f>
        <v>0</v>
      </c>
      <c r="K148" s="775">
        <f ca="1">SUMIF(CT_tram!$B$211:$G$293,$B148,CT_tram!$G$211:$G$293)</f>
        <v>0</v>
      </c>
      <c r="L148" s="775">
        <f ca="1">SUMIF(CT_tram!$B$300:$G$374,$B148,CT_tram!$G$300:$G$374)</f>
        <v>0</v>
      </c>
      <c r="M148" s="775">
        <f ca="1">SUMIF(CT_tram!$B$381:$G$471,$B148,CT_tram!$G$381:$G$471)</f>
        <v>0</v>
      </c>
      <c r="N148" s="775">
        <f ca="1">SUMIF(CT_tram!$B$478:$G$560,$B148,CT_tram!$G$478:$G$560)</f>
        <v>0</v>
      </c>
      <c r="O148" s="775">
        <f ca="1">SUMIF(CT_tram!$B$567:$G$653,$B148,CT_tram!$G$567:$G$653)</f>
        <v>0</v>
      </c>
      <c r="P148" s="775">
        <f ca="1">SUMIF(CT_tram!$B$661:$G$738,$B148,CT_tram!$G$661:$G$738)</f>
        <v>0</v>
      </c>
      <c r="Q148" s="775">
        <f ca="1">SUMIF(CT_tram!$B$745:$G$899,$B148,CT_tram!$G$745:$G$899)</f>
        <v>0</v>
      </c>
      <c r="R148" s="775">
        <f ca="1">SUMIF(CT_tram!$B$907:$G$995,$B148,CT_tram!$G$907:$G$995)</f>
        <v>0</v>
      </c>
      <c r="S148" s="775"/>
      <c r="T148" s="775">
        <f ca="1">SUMIF(CT_tram!$B$1004:$G$1097,B148,CT_tram!$G$1004:$G$1097)</f>
        <v>0</v>
      </c>
      <c r="U148" s="775"/>
      <c r="V148" s="775">
        <f ca="1">SUMIF(CT_tram!$B$1226:$G$1352,kl!B148,CT_tram!$G$1226:$G$1352)</f>
        <v>0</v>
      </c>
      <c r="W148" s="780">
        <f ca="1">SUMIF(CT_tram!$B$1105:$G$1219,kl!B148,CT_tram!$G$1105:$G$1219)</f>
        <v>0</v>
      </c>
      <c r="X148" s="775">
        <f ca="1">SUMIF(CT_tram!$B$1359:$G$1504,kl!B148,CT_tram!$G$1359:$G$1504)</f>
        <v>0</v>
      </c>
      <c r="Y148" s="775">
        <f ca="1">SUMIF(CT_tram!$B$1511:$G$1625,kl!B148,CT_tram!$G$1511:$G$1625)</f>
        <v>0</v>
      </c>
      <c r="Z148" s="775">
        <f ca="1">SUMIF(CT_tram!$B$1632:$G$2211,kl!B148,CT_tram!$G$1632:$G$2211)</f>
        <v>0</v>
      </c>
      <c r="AA148" s="775">
        <f ca="1">SUMIF(CT_tram!$B$2243:$G$2384,kl!B148,CT_tram!$G$2243:$G$2384)</f>
        <v>0</v>
      </c>
      <c r="AB148" s="775">
        <f ca="1">SUMIF(CT_tram!$B$2391:$G$2563,kl!B148,CT_tram!$G$2391:$G$2563)</f>
        <v>0</v>
      </c>
      <c r="AC148" s="775">
        <f ca="1">SUMIF(chitiet!$B$13:$N$2352,kl!$B148,chitiet!$I$13:$I$2352)</f>
        <v>0</v>
      </c>
      <c r="AD148" s="775">
        <f ca="1">SUMIF(chitiet!$B$13:$N$2352,kl!$B148,chitiet!$J$13:$J$2352)</f>
        <v>0</v>
      </c>
      <c r="AE148" s="775">
        <f ca="1">SUMIF(chitiet!$B$13:$N$2352,kl!$B148,chitiet!$K$13:$K$2352)</f>
        <v>0</v>
      </c>
      <c r="AF148" s="775">
        <f ca="1">SUMIF(chitiet!$B$13:$N$2352,kl!$B148,chitiet!$L$13:$L$2352)</f>
        <v>0</v>
      </c>
      <c r="AG148" s="775">
        <f ca="1">SUMIF(chitiet!$B$13:$N$2352,kl!$B148,chitiet!$M$13)</f>
        <v>0</v>
      </c>
      <c r="AH148" s="775">
        <f ca="1">SUMIF(chitiet!$B$13:$N$2352,kl!$B148,chitiet!$N$13:$N$2352)</f>
        <v>0</v>
      </c>
      <c r="AI148" s="775">
        <f ca="1">SUMIF(chitiet!$B$13:$N$2352,kl!$B148,chitiet!$O$13:$O$2352)</f>
        <v>0</v>
      </c>
      <c r="AJ148" s="775">
        <f ca="1">SUMIF('Cap ngam'!$B$631:$G$723,kl!$B148,'Cap ngam'!$G$631:$G$723)</f>
        <v>0</v>
      </c>
      <c r="AK148" s="775">
        <f ca="1">SUMIF('Cap ngam'!$B$403:$G$628,kl!$B148,'Cap ngam'!G$403:G$628)</f>
        <v>0</v>
      </c>
      <c r="AL148" s="775">
        <f ca="1">SUMIF('Cap ngam'!B$16:G$400,kl!$B148,'Cap ngam'!G$16:G$400)</f>
        <v>0</v>
      </c>
      <c r="AM148" s="776">
        <v>1</v>
      </c>
      <c r="AN148" s="775">
        <f t="shared" ca="1" si="87"/>
        <v>0</v>
      </c>
      <c r="AO148" s="775">
        <f t="shared" ca="1" si="88"/>
        <v>0</v>
      </c>
      <c r="AP148" s="775">
        <f t="shared" ca="1" si="89"/>
        <v>0</v>
      </c>
      <c r="AQ148" s="775">
        <f t="shared" ca="1" si="90"/>
        <v>0</v>
      </c>
      <c r="AR148" s="775">
        <f t="shared" ca="1" si="91"/>
        <v>0</v>
      </c>
      <c r="AS148" s="775">
        <f t="shared" ca="1" si="92"/>
        <v>0</v>
      </c>
      <c r="AT148" s="775">
        <f t="shared" ca="1" si="93"/>
        <v>0</v>
      </c>
      <c r="AU148" s="775">
        <f t="shared" ca="1" si="94"/>
        <v>0</v>
      </c>
      <c r="AV148" s="775">
        <f t="shared" ca="1" si="95"/>
        <v>0</v>
      </c>
      <c r="AW148" s="775">
        <f t="shared" ca="1" si="96"/>
        <v>0</v>
      </c>
      <c r="AX148" s="775">
        <f t="shared" si="97"/>
        <v>0</v>
      </c>
      <c r="AY148" s="775">
        <f t="shared" ca="1" si="98"/>
        <v>0</v>
      </c>
      <c r="AZ148" s="775">
        <f t="shared" si="99"/>
        <v>0</v>
      </c>
      <c r="BA148" s="775">
        <f t="shared" ca="1" si="80"/>
        <v>0</v>
      </c>
      <c r="BB148" s="775">
        <f t="shared" ca="1" si="81"/>
        <v>0</v>
      </c>
      <c r="BC148" s="775">
        <f t="shared" ca="1" si="82"/>
        <v>0</v>
      </c>
      <c r="BD148" s="775">
        <f t="shared" ca="1" si="83"/>
        <v>0</v>
      </c>
      <c r="BE148" s="775">
        <f t="shared" ca="1" si="84"/>
        <v>0</v>
      </c>
      <c r="BF148" s="775">
        <f t="shared" ca="1" si="85"/>
        <v>0</v>
      </c>
      <c r="BG148" s="775">
        <f t="shared" ca="1" si="86"/>
        <v>0</v>
      </c>
      <c r="BH148" s="775">
        <f t="shared" ca="1" si="100"/>
        <v>0</v>
      </c>
      <c r="BI148" s="775">
        <f t="shared" ca="1" si="101"/>
        <v>0</v>
      </c>
      <c r="BJ148" s="775">
        <f t="shared" ca="1" si="102"/>
        <v>0</v>
      </c>
      <c r="BK148" s="775">
        <f t="shared" ca="1" si="103"/>
        <v>0</v>
      </c>
      <c r="BL148" s="775">
        <f t="shared" ca="1" si="104"/>
        <v>0</v>
      </c>
      <c r="BM148" s="775">
        <f t="shared" ca="1" si="105"/>
        <v>0</v>
      </c>
      <c r="BN148" s="775">
        <f t="shared" ca="1" si="106"/>
        <v>0</v>
      </c>
      <c r="BO148" s="775">
        <f t="shared" ca="1" si="107"/>
        <v>0</v>
      </c>
      <c r="BP148" s="775">
        <f t="shared" ca="1" si="108"/>
        <v>0</v>
      </c>
      <c r="BQ148" s="775">
        <f t="shared" ca="1" si="75"/>
        <v>0</v>
      </c>
      <c r="BR148" s="775">
        <f t="shared" ca="1" si="109"/>
        <v>0</v>
      </c>
    </row>
    <row r="149" spans="1:70">
      <c r="A149" s="767" t="str">
        <f t="shared" ca="1" si="73"/>
        <v/>
      </c>
      <c r="B149" s="789" t="s">
        <v>1810</v>
      </c>
      <c r="C149" s="188" t="str">
        <f ca="1">IF(F149=0,"",COUNTIF($F$78:$F149,"&gt;0"))</f>
        <v/>
      </c>
      <c r="D149" s="778" t="str">
        <f>VLOOKUP($B149,dongia1,DG!$C$5,)</f>
        <v>Cáp đồng trần M50mm2</v>
      </c>
      <c r="E149" s="555" t="str">
        <f>VLOOKUP($B149,dongia1,DG!$D$5,)</f>
        <v>kg</v>
      </c>
      <c r="F149" s="779">
        <f t="shared" ca="1" si="79"/>
        <v>0</v>
      </c>
      <c r="G149" s="775">
        <f ca="1">SUM(AC149:AL149)</f>
        <v>0</v>
      </c>
      <c r="H149" s="775">
        <f ca="1">SUMIF(CT_tram!$B$33:$G$3559,kl!B149,CT_tram!$G$33:$G$3559)</f>
        <v>0</v>
      </c>
      <c r="I149" s="775">
        <f ca="1">SUMIF(CT_tram!$B$34:$G$115,$B149,CT_tram!$G$34:$G$115)</f>
        <v>0</v>
      </c>
      <c r="J149" s="775">
        <f ca="1">SUMIF(CT_tram!$B$122:$G$204,$B149,CT_tram!$G$122:$G$204)</f>
        <v>0</v>
      </c>
      <c r="K149" s="775">
        <f ca="1">SUMIF(CT_tram!$B$211:$G$293,$B149,CT_tram!$G$211:$G$293)</f>
        <v>0</v>
      </c>
      <c r="L149" s="775">
        <f ca="1">SUMIF(CT_tram!$B$300:$G$374,$B149,CT_tram!$G$300:$G$374)</f>
        <v>0</v>
      </c>
      <c r="M149" s="775">
        <f ca="1">SUMIF(CT_tram!$B$381:$G$471,$B149,CT_tram!$G$381:$G$471)</f>
        <v>0</v>
      </c>
      <c r="N149" s="775">
        <f ca="1">SUMIF(CT_tram!$B$478:$G$560,$B149,CT_tram!$G$478:$G$560)</f>
        <v>0</v>
      </c>
      <c r="O149" s="775">
        <f ca="1">SUMIF(CT_tram!$B$567:$G$653,$B149,CT_tram!$G$567:$G$653)</f>
        <v>0</v>
      </c>
      <c r="P149" s="775">
        <f ca="1">SUMIF(CT_tram!$B$661:$G$738,$B149,CT_tram!$G$661:$G$738)</f>
        <v>0</v>
      </c>
      <c r="Q149" s="775">
        <f ca="1">SUMIF(CT_tram!$B$745:$G$899,$B149,CT_tram!$G$745:$G$899)</f>
        <v>0</v>
      </c>
      <c r="R149" s="775">
        <f ca="1">SUMIF(CT_tram!$B$907:$G$995,$B149,CT_tram!$G$907:$G$995)</f>
        <v>0</v>
      </c>
      <c r="S149" s="775"/>
      <c r="T149" s="775">
        <f ca="1">SUMIF(CT_tram!$B$1004:$G$1097,B149,CT_tram!$G$1004:$G$1097)</f>
        <v>0</v>
      </c>
      <c r="U149" s="775"/>
      <c r="V149" s="775">
        <f ca="1">SUMIF(CT_tram!$B$1226:$G$1352,kl!B149,CT_tram!$G$1226:$G$1352)</f>
        <v>0</v>
      </c>
      <c r="W149" s="780">
        <f ca="1">SUMIF(CT_tram!$B$1105:$G$1219,kl!B149,CT_tram!$G$1105:$G$1219)</f>
        <v>0</v>
      </c>
      <c r="X149" s="775">
        <f ca="1">SUMIF(CT_tram!$B$1359:$G$1504,kl!B149,CT_tram!$G$1359:$G$1504)</f>
        <v>0</v>
      </c>
      <c r="Y149" s="775">
        <f ca="1">SUMIF(CT_tram!$B$1511:$G$1625,kl!B149,CT_tram!$G$1511:$G$1625)</f>
        <v>0</v>
      </c>
      <c r="Z149" s="775">
        <f ca="1">SUMIF(CT_tram!$B$1632:$G$2211,kl!B149,CT_tram!$G$1632:$G$2211)</f>
        <v>0</v>
      </c>
      <c r="AA149" s="775">
        <f ca="1">SUMIF(CT_tram!$B$2243:$G$2384,kl!B149,CT_tram!$G$2243:$G$2384)</f>
        <v>0</v>
      </c>
      <c r="AB149" s="775">
        <f ca="1">SUMIF(CT_tram!$B$2391:$G$2563,kl!B149,CT_tram!$G$2391:$G$2563)</f>
        <v>0</v>
      </c>
      <c r="AC149" s="775">
        <f ca="1">SUMIF(chitiet!$B$13:$N$2352,kl!$B149,chitiet!$I$13:$I$2352)</f>
        <v>0</v>
      </c>
      <c r="AD149" s="775">
        <f ca="1">SUMIF(chitiet!$B$13:$N$2352,kl!$B149,chitiet!$J$13:$J$2352)</f>
        <v>0</v>
      </c>
      <c r="AE149" s="775">
        <f ca="1">SUMIF(chitiet!$B$13:$N$2352,kl!$B149,chitiet!$K$13:$K$2352)</f>
        <v>0</v>
      </c>
      <c r="AF149" s="775">
        <f ca="1">SUMIF(chitiet!$B$13:$N$2352,kl!$B149,chitiet!$L$13:$L$2352)</f>
        <v>0</v>
      </c>
      <c r="AG149" s="775">
        <f ca="1">SUMIF(chitiet!$B$13:$N$2352,kl!$B149,chitiet!$M$13)</f>
        <v>0</v>
      </c>
      <c r="AH149" s="775">
        <f ca="1">SUMIF(chitiet!$B$13:$N$2352,kl!$B149,chitiet!$N$13:$N$2352)</f>
        <v>0</v>
      </c>
      <c r="AI149" s="775">
        <f ca="1">SUMIF(chitiet!$B$13:$N$2352,kl!$B149,chitiet!$O$13:$O$2352)</f>
        <v>0</v>
      </c>
      <c r="AJ149" s="775">
        <f ca="1">SUMIF('Cap ngam'!$B$631:$G$723,kl!$B149,'Cap ngam'!$G$631:$G$723)</f>
        <v>0</v>
      </c>
      <c r="AK149" s="775">
        <f ca="1">SUMIF('Cap ngam'!$B$403:$G$628,kl!$B149,'Cap ngam'!G$403:G$628)</f>
        <v>0</v>
      </c>
      <c r="AL149" s="775">
        <f ca="1">SUMIF('Cap ngam'!B$16:G$400,kl!$B149,'Cap ngam'!G$16:G$400)</f>
        <v>0</v>
      </c>
      <c r="AM149" s="776">
        <v>1</v>
      </c>
      <c r="AN149" s="775">
        <f t="shared" ca="1" si="87"/>
        <v>0</v>
      </c>
      <c r="AO149" s="775">
        <f t="shared" ca="1" si="88"/>
        <v>0</v>
      </c>
      <c r="AP149" s="775">
        <f t="shared" ca="1" si="89"/>
        <v>0</v>
      </c>
      <c r="AQ149" s="775">
        <f t="shared" ca="1" si="90"/>
        <v>0</v>
      </c>
      <c r="AR149" s="775">
        <f t="shared" ca="1" si="91"/>
        <v>0</v>
      </c>
      <c r="AS149" s="775">
        <f t="shared" ca="1" si="92"/>
        <v>0</v>
      </c>
      <c r="AT149" s="775">
        <f t="shared" ca="1" si="93"/>
        <v>0</v>
      </c>
      <c r="AU149" s="775">
        <f t="shared" ca="1" si="94"/>
        <v>0</v>
      </c>
      <c r="AV149" s="775">
        <f t="shared" ca="1" si="95"/>
        <v>0</v>
      </c>
      <c r="AW149" s="775">
        <f t="shared" ca="1" si="96"/>
        <v>0</v>
      </c>
      <c r="AX149" s="775">
        <f t="shared" si="97"/>
        <v>0</v>
      </c>
      <c r="AY149" s="775">
        <f t="shared" ca="1" si="98"/>
        <v>0</v>
      </c>
      <c r="AZ149" s="775">
        <f t="shared" si="99"/>
        <v>0</v>
      </c>
      <c r="BA149" s="775">
        <f t="shared" ca="1" si="80"/>
        <v>0</v>
      </c>
      <c r="BB149" s="775">
        <f t="shared" ca="1" si="81"/>
        <v>0</v>
      </c>
      <c r="BC149" s="775">
        <f t="shared" ca="1" si="82"/>
        <v>0</v>
      </c>
      <c r="BD149" s="775">
        <f t="shared" ca="1" si="83"/>
        <v>0</v>
      </c>
      <c r="BE149" s="775">
        <f t="shared" ca="1" si="84"/>
        <v>0</v>
      </c>
      <c r="BF149" s="775">
        <f t="shared" ca="1" si="85"/>
        <v>0</v>
      </c>
      <c r="BG149" s="775">
        <f t="shared" ca="1" si="86"/>
        <v>0</v>
      </c>
      <c r="BH149" s="775">
        <f t="shared" ca="1" si="100"/>
        <v>0</v>
      </c>
      <c r="BI149" s="775">
        <f t="shared" ca="1" si="101"/>
        <v>0</v>
      </c>
      <c r="BJ149" s="775">
        <f t="shared" ca="1" si="102"/>
        <v>0</v>
      </c>
      <c r="BK149" s="775">
        <f t="shared" ca="1" si="103"/>
        <v>0</v>
      </c>
      <c r="BL149" s="775">
        <f t="shared" ca="1" si="104"/>
        <v>0</v>
      </c>
      <c r="BM149" s="775">
        <f t="shared" ca="1" si="105"/>
        <v>0</v>
      </c>
      <c r="BN149" s="775">
        <f t="shared" ca="1" si="106"/>
        <v>0</v>
      </c>
      <c r="BO149" s="775">
        <f t="shared" ca="1" si="107"/>
        <v>0</v>
      </c>
      <c r="BP149" s="775">
        <f t="shared" ca="1" si="108"/>
        <v>0</v>
      </c>
      <c r="BQ149" s="775">
        <f t="shared" ca="1" si="75"/>
        <v>0</v>
      </c>
      <c r="BR149" s="775">
        <f t="shared" ca="1" si="109"/>
        <v>0</v>
      </c>
    </row>
    <row r="150" spans="1:70">
      <c r="A150" s="767" t="str">
        <f t="shared" ca="1" si="73"/>
        <v/>
      </c>
      <c r="B150" s="789" t="s">
        <v>268</v>
      </c>
      <c r="C150" s="188" t="str">
        <f ca="1">IF(F150=0,"",COUNTIF($F$78:$F150,"&gt;0"))</f>
        <v/>
      </c>
      <c r="D150" s="778" t="str">
        <f>VLOOKUP($B150,dongia1,DG!$C$5,)</f>
        <v>Cáp 24KV A/XLPE 50mm2</v>
      </c>
      <c r="E150" s="555" t="str">
        <f>VLOOKUP($B150,dongia1,DG!$D$5,)</f>
        <v>mét</v>
      </c>
      <c r="F150" s="779">
        <f t="shared" ca="1" si="79"/>
        <v>0</v>
      </c>
      <c r="G150" s="775">
        <f t="shared" ca="1" si="76"/>
        <v>0</v>
      </c>
      <c r="H150" s="775">
        <f ca="1">SUMIF(CT_tram!$B$33:$G$3559,kl!B150,CT_tram!$G$33:$G$3559)</f>
        <v>0</v>
      </c>
      <c r="I150" s="775">
        <f ca="1">SUMIF(CT_tram!$B$34:$G$115,$B150,CT_tram!$G$34:$G$115)</f>
        <v>0</v>
      </c>
      <c r="J150" s="775">
        <f ca="1">SUMIF(CT_tram!$B$122:$G$204,$B150,CT_tram!$G$122:$G$204)</f>
        <v>0</v>
      </c>
      <c r="K150" s="775">
        <f ca="1">SUMIF(CT_tram!$B$211:$G$293,$B150,CT_tram!$G$211:$G$293)</f>
        <v>0</v>
      </c>
      <c r="L150" s="775">
        <f ca="1">SUMIF(CT_tram!$B$300:$G$374,$B150,CT_tram!$G$300:$G$374)</f>
        <v>0</v>
      </c>
      <c r="M150" s="775">
        <f ca="1">SUMIF(CT_tram!$B$381:$G$471,$B150,CT_tram!$G$381:$G$471)</f>
        <v>0</v>
      </c>
      <c r="N150" s="775">
        <f ca="1">SUMIF(CT_tram!$B$478:$G$560,$B150,CT_tram!$G$478:$G$560)</f>
        <v>0</v>
      </c>
      <c r="O150" s="775">
        <f ca="1">SUMIF(CT_tram!$B$567:$G$653,$B150,CT_tram!$G$567:$G$653)</f>
        <v>0</v>
      </c>
      <c r="P150" s="775">
        <f ca="1">SUMIF(CT_tram!$B$661:$G$738,$B150,CT_tram!$G$661:$G$738)</f>
        <v>0</v>
      </c>
      <c r="Q150" s="775">
        <f ca="1">SUMIF(CT_tram!$B$745:$G$899,$B150,CT_tram!$G$745:$G$899)</f>
        <v>0</v>
      </c>
      <c r="R150" s="775">
        <f ca="1">SUMIF(CT_tram!$B$907:$G$995,$B150,CT_tram!$G$907:$G$995)</f>
        <v>0</v>
      </c>
      <c r="S150" s="775"/>
      <c r="T150" s="775">
        <f ca="1">SUMIF(CT_tram!$B$1004:$G$1097,B150,CT_tram!$G$1004:$G$1097)</f>
        <v>0</v>
      </c>
      <c r="U150" s="775"/>
      <c r="V150" s="775">
        <f ca="1">SUMIF(CT_tram!$B$1226:$G$1352,kl!B150,CT_tram!$G$1226:$G$1352)</f>
        <v>0</v>
      </c>
      <c r="W150" s="780">
        <f ca="1">SUMIF(CT_tram!$B$1105:$G$1219,kl!B150,CT_tram!$G$1105:$G$1219)</f>
        <v>0</v>
      </c>
      <c r="X150" s="775">
        <f ca="1">SUMIF(CT_tram!$B$1359:$G$1504,kl!B150,CT_tram!$G$1359:$G$1504)</f>
        <v>0</v>
      </c>
      <c r="Y150" s="775">
        <f ca="1">SUMIF(CT_tram!$B$1511:$G$1625,kl!B150,CT_tram!$G$1511:$G$1625)</f>
        <v>0</v>
      </c>
      <c r="Z150" s="775">
        <f ca="1">SUMIF(CT_tram!$B$1632:$G$2211,kl!B150,CT_tram!$G$1632:$G$2211)</f>
        <v>0</v>
      </c>
      <c r="AA150" s="775">
        <f ca="1">SUMIF(CT_tram!$B$2243:$G$2384,kl!B150,CT_tram!$G$2243:$G$2384)</f>
        <v>0</v>
      </c>
      <c r="AB150" s="775">
        <f ca="1">SUMIF(CT_tram!$B$2391:$G$2563,kl!B150,CT_tram!$G$2391:$G$2563)</f>
        <v>0</v>
      </c>
      <c r="AC150" s="775">
        <f ca="1">SUMIF(chitiet!$B$13:$N$2352,kl!$B150,chitiet!$I$13:$I$2352)</f>
        <v>0</v>
      </c>
      <c r="AD150" s="775">
        <f ca="1">SUMIF(chitiet!$B$13:$N$2352,kl!$B150,chitiet!$J$13:$J$2352)</f>
        <v>0</v>
      </c>
      <c r="AE150" s="775">
        <f ca="1">SUMIF(chitiet!$B$13:$N$2352,kl!$B150,chitiet!$K$13:$K$2352)</f>
        <v>0</v>
      </c>
      <c r="AF150" s="775">
        <f ca="1">SUMIF(chitiet!$B$13:$N$2352,kl!$B150,chitiet!$L$13:$L$2352)</f>
        <v>0</v>
      </c>
      <c r="AG150" s="775">
        <f ca="1">SUMIF(chitiet!$B$13:$N$2352,kl!$B150,chitiet!$M$13)</f>
        <v>0</v>
      </c>
      <c r="AH150" s="775">
        <f ca="1">SUMIF(chitiet!$B$13:$N$2352,kl!$B150,chitiet!$N$13:$N$2352)</f>
        <v>0</v>
      </c>
      <c r="AI150" s="775">
        <f ca="1">SUMIF(chitiet!$B$13:$N$2352,kl!$B150,chitiet!$O$13:$O$2352)</f>
        <v>0</v>
      </c>
      <c r="AJ150" s="775">
        <f ca="1">SUMIF('Cap ngam'!$B$631:$G$723,kl!$B150,'Cap ngam'!$G$631:$G$723)</f>
        <v>0</v>
      </c>
      <c r="AK150" s="775">
        <f ca="1">SUMIF('Cap ngam'!$B$403:$G$628,kl!$B150,'Cap ngam'!G$403:G$628)</f>
        <v>0</v>
      </c>
      <c r="AL150" s="775">
        <f ca="1">SUMIF('Cap ngam'!B$16:G$400,kl!$B150,'Cap ngam'!G$16:G$400)</f>
        <v>0</v>
      </c>
      <c r="AM150" s="776">
        <v>0.35799999999999998</v>
      </c>
      <c r="AN150" s="775">
        <f t="shared" ca="1" si="87"/>
        <v>0</v>
      </c>
      <c r="AO150" s="775">
        <f t="shared" ca="1" si="88"/>
        <v>0</v>
      </c>
      <c r="AP150" s="775">
        <f t="shared" ca="1" si="89"/>
        <v>0</v>
      </c>
      <c r="AQ150" s="775">
        <f t="shared" ca="1" si="90"/>
        <v>0</v>
      </c>
      <c r="AR150" s="775">
        <f t="shared" ca="1" si="91"/>
        <v>0</v>
      </c>
      <c r="AS150" s="775">
        <f t="shared" ca="1" si="92"/>
        <v>0</v>
      </c>
      <c r="AT150" s="775">
        <f t="shared" ca="1" si="93"/>
        <v>0</v>
      </c>
      <c r="AU150" s="775">
        <f t="shared" ca="1" si="94"/>
        <v>0</v>
      </c>
      <c r="AV150" s="775">
        <f t="shared" ca="1" si="95"/>
        <v>0</v>
      </c>
      <c r="AW150" s="775">
        <f t="shared" ca="1" si="96"/>
        <v>0</v>
      </c>
      <c r="AX150" s="775">
        <f t="shared" si="97"/>
        <v>0</v>
      </c>
      <c r="AY150" s="775">
        <f t="shared" ca="1" si="98"/>
        <v>0</v>
      </c>
      <c r="AZ150" s="775">
        <f t="shared" si="99"/>
        <v>0</v>
      </c>
      <c r="BA150" s="775">
        <f t="shared" ca="1" si="80"/>
        <v>0</v>
      </c>
      <c r="BB150" s="775">
        <f t="shared" ca="1" si="81"/>
        <v>0</v>
      </c>
      <c r="BC150" s="775">
        <f t="shared" ca="1" si="82"/>
        <v>0</v>
      </c>
      <c r="BD150" s="775">
        <f t="shared" ca="1" si="83"/>
        <v>0</v>
      </c>
      <c r="BE150" s="775">
        <f t="shared" ca="1" si="84"/>
        <v>0</v>
      </c>
      <c r="BF150" s="775">
        <f t="shared" ca="1" si="85"/>
        <v>0</v>
      </c>
      <c r="BG150" s="775">
        <f t="shared" ca="1" si="86"/>
        <v>0</v>
      </c>
      <c r="BH150" s="775">
        <f t="shared" ca="1" si="100"/>
        <v>0</v>
      </c>
      <c r="BI150" s="775">
        <f t="shared" ca="1" si="101"/>
        <v>0</v>
      </c>
      <c r="BJ150" s="775">
        <f t="shared" ca="1" si="102"/>
        <v>0</v>
      </c>
      <c r="BK150" s="775">
        <f t="shared" ca="1" si="103"/>
        <v>0</v>
      </c>
      <c r="BL150" s="775">
        <f t="shared" ca="1" si="104"/>
        <v>0</v>
      </c>
      <c r="BM150" s="775">
        <f t="shared" ca="1" si="105"/>
        <v>0</v>
      </c>
      <c r="BN150" s="775">
        <f t="shared" ca="1" si="106"/>
        <v>0</v>
      </c>
      <c r="BO150" s="775">
        <f t="shared" ca="1" si="107"/>
        <v>0</v>
      </c>
      <c r="BP150" s="775">
        <f t="shared" ca="1" si="108"/>
        <v>0</v>
      </c>
      <c r="BQ150" s="775">
        <f t="shared" ca="1" si="75"/>
        <v>0</v>
      </c>
      <c r="BR150" s="775">
        <f t="shared" ca="1" si="109"/>
        <v>0</v>
      </c>
    </row>
    <row r="151" spans="1:70">
      <c r="A151" s="767" t="str">
        <f t="shared" ca="1" si="73"/>
        <v/>
      </c>
      <c r="B151" s="789" t="s">
        <v>269</v>
      </c>
      <c r="C151" s="188" t="str">
        <f ca="1">IF(F151=0,"",COUNTIF($F$78:$F151,"&gt;0"))</f>
        <v/>
      </c>
      <c r="D151" s="778" t="str">
        <f>VLOOKUP($B151,dongia1,DG!$C$5,)</f>
        <v>Cáp 24KV A/XLPE 70mm2</v>
      </c>
      <c r="E151" s="555" t="str">
        <f>VLOOKUP($B151,dongia1,DG!$D$5,)</f>
        <v>mét</v>
      </c>
      <c r="F151" s="779">
        <f t="shared" ca="1" si="79"/>
        <v>0</v>
      </c>
      <c r="G151" s="775">
        <f t="shared" ca="1" si="76"/>
        <v>0</v>
      </c>
      <c r="H151" s="775">
        <f ca="1">SUMIF(CT_tram!$B$33:$G$3559,kl!B151,CT_tram!$G$33:$G$3559)</f>
        <v>0</v>
      </c>
      <c r="I151" s="775">
        <f ca="1">SUMIF(CT_tram!$B$34:$G$115,$B151,CT_tram!$G$34:$G$115)</f>
        <v>0</v>
      </c>
      <c r="J151" s="775">
        <f ca="1">SUMIF(CT_tram!$B$122:$G$204,$B151,CT_tram!$G$122:$G$204)</f>
        <v>0</v>
      </c>
      <c r="K151" s="775">
        <f ca="1">SUMIF(CT_tram!$B$211:$G$293,$B151,CT_tram!$G$211:$G$293)</f>
        <v>0</v>
      </c>
      <c r="L151" s="775">
        <f ca="1">SUMIF(CT_tram!$B$300:$G$374,$B151,CT_tram!$G$300:$G$374)</f>
        <v>0</v>
      </c>
      <c r="M151" s="775">
        <f ca="1">SUMIF(CT_tram!$B$381:$G$471,$B151,CT_tram!$G$381:$G$471)</f>
        <v>0</v>
      </c>
      <c r="N151" s="775">
        <f ca="1">SUMIF(CT_tram!$B$478:$G$560,$B151,CT_tram!$G$478:$G$560)</f>
        <v>0</v>
      </c>
      <c r="O151" s="775">
        <f ca="1">SUMIF(CT_tram!$B$567:$G$653,$B151,CT_tram!$G$567:$G$653)</f>
        <v>0</v>
      </c>
      <c r="P151" s="775">
        <f ca="1">SUMIF(CT_tram!$B$661:$G$738,$B151,CT_tram!$G$661:$G$738)</f>
        <v>0</v>
      </c>
      <c r="Q151" s="775">
        <f ca="1">SUMIF(CT_tram!$B$745:$G$899,$B151,CT_tram!$G$745:$G$899)</f>
        <v>0</v>
      </c>
      <c r="R151" s="775">
        <f ca="1">SUMIF(CT_tram!$B$907:$G$995,$B151,CT_tram!$G$907:$G$995)</f>
        <v>0</v>
      </c>
      <c r="S151" s="775"/>
      <c r="T151" s="775">
        <f ca="1">SUMIF(CT_tram!$B$1004:$G$1097,B151,CT_tram!$G$1004:$G$1097)</f>
        <v>0</v>
      </c>
      <c r="U151" s="775"/>
      <c r="V151" s="775">
        <f ca="1">SUMIF(CT_tram!$B$1226:$G$1352,kl!B151,CT_tram!$G$1226:$G$1352)</f>
        <v>0</v>
      </c>
      <c r="W151" s="780">
        <f ca="1">SUMIF(CT_tram!$B$1105:$G$1219,kl!B151,CT_tram!$G$1105:$G$1219)</f>
        <v>0</v>
      </c>
      <c r="X151" s="775">
        <f ca="1">SUMIF(CT_tram!$B$1359:$G$1504,kl!B151,CT_tram!$G$1359:$G$1504)</f>
        <v>0</v>
      </c>
      <c r="Y151" s="775">
        <f ca="1">SUMIF(CT_tram!$B$1511:$G$1625,kl!B151,CT_tram!$G$1511:$G$1625)</f>
        <v>0</v>
      </c>
      <c r="Z151" s="775">
        <f ca="1">SUMIF(CT_tram!$B$1632:$G$2211,kl!B151,CT_tram!$G$1632:$G$2211)</f>
        <v>0</v>
      </c>
      <c r="AA151" s="775">
        <f ca="1">SUMIF(CT_tram!$B$2243:$G$2384,kl!B151,CT_tram!$G$2243:$G$2384)</f>
        <v>0</v>
      </c>
      <c r="AB151" s="775">
        <f ca="1">SUMIF(CT_tram!$B$2391:$G$2563,kl!B151,CT_tram!$G$2391:$G$2563)</f>
        <v>0</v>
      </c>
      <c r="AC151" s="775">
        <f ca="1">SUMIF(chitiet!$B$13:$N$2352,kl!$B151,chitiet!$I$13:$I$2352)</f>
        <v>0</v>
      </c>
      <c r="AD151" s="775">
        <f ca="1">SUMIF(chitiet!$B$13:$N$2352,kl!$B151,chitiet!$J$13:$J$2352)</f>
        <v>0</v>
      </c>
      <c r="AE151" s="775">
        <f ca="1">SUMIF(chitiet!$B$13:$N$2352,kl!$B151,chitiet!$K$13:$K$2352)</f>
        <v>0</v>
      </c>
      <c r="AF151" s="775">
        <f ca="1">SUMIF(chitiet!$B$13:$N$2352,kl!$B151,chitiet!$L$13:$L$2352)</f>
        <v>0</v>
      </c>
      <c r="AG151" s="775">
        <f ca="1">SUMIF(chitiet!$B$13:$N$2352,kl!$B151,chitiet!$M$13)</f>
        <v>0</v>
      </c>
      <c r="AH151" s="775">
        <f ca="1">SUMIF(chitiet!$B$13:$N$2352,kl!$B151,chitiet!$N$13:$N$2352)</f>
        <v>0</v>
      </c>
      <c r="AI151" s="775">
        <f ca="1">SUMIF(chitiet!$B$13:$N$2352,kl!$B151,chitiet!$O$13:$O$2352)</f>
        <v>0</v>
      </c>
      <c r="AJ151" s="775">
        <f ca="1">SUMIF('Cap ngam'!$B$631:$G$723,kl!$B151,'Cap ngam'!$G$631:$G$723)</f>
        <v>0</v>
      </c>
      <c r="AK151" s="775">
        <f ca="1">SUMIF('Cap ngam'!$B$403:$G$628,kl!$B151,'Cap ngam'!G$403:G$628)</f>
        <v>0</v>
      </c>
      <c r="AL151" s="775">
        <f ca="1">SUMIF('Cap ngam'!B$16:G$400,kl!$B151,'Cap ngam'!G$16:G$400)</f>
        <v>0</v>
      </c>
      <c r="AM151" s="776">
        <v>0.44</v>
      </c>
      <c r="AN151" s="775">
        <f t="shared" ca="1" si="87"/>
        <v>0</v>
      </c>
      <c r="AO151" s="775">
        <f t="shared" ca="1" si="88"/>
        <v>0</v>
      </c>
      <c r="AP151" s="775">
        <f t="shared" ca="1" si="89"/>
        <v>0</v>
      </c>
      <c r="AQ151" s="775">
        <f t="shared" ca="1" si="90"/>
        <v>0</v>
      </c>
      <c r="AR151" s="775">
        <f t="shared" ca="1" si="91"/>
        <v>0</v>
      </c>
      <c r="AS151" s="775">
        <f t="shared" ca="1" si="92"/>
        <v>0</v>
      </c>
      <c r="AT151" s="775">
        <f t="shared" ca="1" si="93"/>
        <v>0</v>
      </c>
      <c r="AU151" s="775">
        <f t="shared" ca="1" si="94"/>
        <v>0</v>
      </c>
      <c r="AV151" s="775">
        <f t="shared" ca="1" si="95"/>
        <v>0</v>
      </c>
      <c r="AW151" s="775">
        <f t="shared" ca="1" si="96"/>
        <v>0</v>
      </c>
      <c r="AX151" s="775">
        <f t="shared" si="97"/>
        <v>0</v>
      </c>
      <c r="AY151" s="775">
        <f t="shared" ca="1" si="98"/>
        <v>0</v>
      </c>
      <c r="AZ151" s="775">
        <f t="shared" si="99"/>
        <v>0</v>
      </c>
      <c r="BA151" s="775">
        <f t="shared" ca="1" si="80"/>
        <v>0</v>
      </c>
      <c r="BB151" s="775">
        <f t="shared" ca="1" si="81"/>
        <v>0</v>
      </c>
      <c r="BC151" s="775">
        <f t="shared" ca="1" si="82"/>
        <v>0</v>
      </c>
      <c r="BD151" s="775">
        <f t="shared" ca="1" si="83"/>
        <v>0</v>
      </c>
      <c r="BE151" s="775">
        <f t="shared" ca="1" si="84"/>
        <v>0</v>
      </c>
      <c r="BF151" s="775">
        <f t="shared" ca="1" si="85"/>
        <v>0</v>
      </c>
      <c r="BG151" s="775">
        <f t="shared" ca="1" si="86"/>
        <v>0</v>
      </c>
      <c r="BH151" s="775">
        <f t="shared" ca="1" si="100"/>
        <v>0</v>
      </c>
      <c r="BI151" s="775">
        <f t="shared" ca="1" si="101"/>
        <v>0</v>
      </c>
      <c r="BJ151" s="775">
        <f t="shared" ca="1" si="102"/>
        <v>0</v>
      </c>
      <c r="BK151" s="775">
        <f t="shared" ca="1" si="103"/>
        <v>0</v>
      </c>
      <c r="BL151" s="775">
        <f t="shared" ca="1" si="104"/>
        <v>0</v>
      </c>
      <c r="BM151" s="775">
        <f t="shared" ca="1" si="105"/>
        <v>0</v>
      </c>
      <c r="BN151" s="775">
        <f t="shared" ca="1" si="106"/>
        <v>0</v>
      </c>
      <c r="BO151" s="775">
        <f t="shared" ca="1" si="107"/>
        <v>0</v>
      </c>
      <c r="BP151" s="775">
        <f t="shared" ca="1" si="108"/>
        <v>0</v>
      </c>
      <c r="BQ151" s="775">
        <f t="shared" ca="1" si="75"/>
        <v>0</v>
      </c>
      <c r="BR151" s="775">
        <f t="shared" ca="1" si="109"/>
        <v>0</v>
      </c>
    </row>
    <row r="152" spans="1:70">
      <c r="A152" s="767" t="str">
        <f t="shared" ca="1" si="73"/>
        <v/>
      </c>
      <c r="B152" s="789" t="s">
        <v>270</v>
      </c>
      <c r="C152" s="188" t="str">
        <f ca="1">IF(F152=0,"",COUNTIF($F$78:$F152,"&gt;0"))</f>
        <v/>
      </c>
      <c r="D152" s="778" t="str">
        <f>VLOOKUP($B152,dongia1,DG!$C$5,)</f>
        <v>Cáp 24KV A/XLPE/PVC 95mm2</v>
      </c>
      <c r="E152" s="555" t="str">
        <f>VLOOKUP($B152,dongia1,DG!$D$5,)</f>
        <v>mét</v>
      </c>
      <c r="F152" s="779">
        <f t="shared" ca="1" si="79"/>
        <v>0</v>
      </c>
      <c r="G152" s="775">
        <f t="shared" ca="1" si="76"/>
        <v>0</v>
      </c>
      <c r="H152" s="775">
        <f ca="1">SUMIF(CT_tram!$B$33:$G$3559,kl!B152,CT_tram!$G$33:$G$3559)</f>
        <v>0</v>
      </c>
      <c r="I152" s="775">
        <f ca="1">SUMIF(CT_tram!$B$34:$G$115,$B152,CT_tram!$G$34:$G$115)</f>
        <v>0</v>
      </c>
      <c r="J152" s="775">
        <f ca="1">SUMIF(CT_tram!$B$122:$G$204,$B152,CT_tram!$G$122:$G$204)</f>
        <v>0</v>
      </c>
      <c r="K152" s="775">
        <f ca="1">SUMIF(CT_tram!$B$211:$G$293,$B152,CT_tram!$G$211:$G$293)</f>
        <v>0</v>
      </c>
      <c r="L152" s="775">
        <f ca="1">SUMIF(CT_tram!$B$300:$G$374,$B152,CT_tram!$G$300:$G$374)</f>
        <v>0</v>
      </c>
      <c r="M152" s="775">
        <f ca="1">SUMIF(CT_tram!$B$381:$G$471,$B152,CT_tram!$G$381:$G$471)</f>
        <v>0</v>
      </c>
      <c r="N152" s="775">
        <f ca="1">SUMIF(CT_tram!$B$478:$G$560,$B152,CT_tram!$G$478:$G$560)</f>
        <v>0</v>
      </c>
      <c r="O152" s="775">
        <f ca="1">SUMIF(CT_tram!$B$567:$G$653,$B152,CT_tram!$G$567:$G$653)</f>
        <v>0</v>
      </c>
      <c r="P152" s="775">
        <f ca="1">SUMIF(CT_tram!$B$661:$G$738,$B152,CT_tram!$G$661:$G$738)</f>
        <v>0</v>
      </c>
      <c r="Q152" s="775">
        <f ca="1">SUMIF(CT_tram!$B$745:$G$899,$B152,CT_tram!$G$745:$G$899)</f>
        <v>0</v>
      </c>
      <c r="R152" s="775">
        <f ca="1">SUMIF(CT_tram!$B$907:$G$995,$B152,CT_tram!$G$907:$G$995)</f>
        <v>0</v>
      </c>
      <c r="S152" s="775"/>
      <c r="T152" s="775">
        <f ca="1">SUMIF(CT_tram!$B$1004:$G$1097,B152,CT_tram!$G$1004:$G$1097)</f>
        <v>0</v>
      </c>
      <c r="U152" s="775"/>
      <c r="V152" s="775">
        <f ca="1">SUMIF(CT_tram!$B$1226:$G$1352,kl!B152,CT_tram!$G$1226:$G$1352)</f>
        <v>0</v>
      </c>
      <c r="W152" s="780">
        <f ca="1">SUMIF(CT_tram!$B$1105:$G$1219,kl!B152,CT_tram!$G$1105:$G$1219)</f>
        <v>0</v>
      </c>
      <c r="X152" s="775">
        <f ca="1">SUMIF(CT_tram!$B$1359:$G$1504,kl!B152,CT_tram!$G$1359:$G$1504)</f>
        <v>0</v>
      </c>
      <c r="Y152" s="775">
        <f ca="1">SUMIF(CT_tram!$B$1511:$G$1625,kl!B152,CT_tram!$G$1511:$G$1625)</f>
        <v>0</v>
      </c>
      <c r="Z152" s="775">
        <f ca="1">SUMIF(CT_tram!$B$1632:$G$2211,kl!B152,CT_tram!$G$1632:$G$2211)</f>
        <v>0</v>
      </c>
      <c r="AA152" s="775">
        <f ca="1">SUMIF(CT_tram!$B$2243:$G$2384,kl!B152,CT_tram!$G$2243:$G$2384)</f>
        <v>0</v>
      </c>
      <c r="AB152" s="775">
        <f ca="1">SUMIF(CT_tram!$B$2391:$G$2563,kl!B152,CT_tram!$G$2391:$G$2563)</f>
        <v>0</v>
      </c>
      <c r="AC152" s="775">
        <f ca="1">SUMIF(chitiet!$B$13:$N$2352,kl!$B152,chitiet!$I$13:$I$2352)</f>
        <v>0</v>
      </c>
      <c r="AD152" s="775">
        <f ca="1">SUMIF(chitiet!$B$13:$N$2352,kl!$B152,chitiet!$J$13:$J$2352)</f>
        <v>0</v>
      </c>
      <c r="AE152" s="775">
        <f ca="1">SUMIF(chitiet!$B$13:$N$2352,kl!$B152,chitiet!$K$13:$K$2352)</f>
        <v>0</v>
      </c>
      <c r="AF152" s="775">
        <f ca="1">SUMIF(chitiet!$B$13:$N$2352,kl!$B152,chitiet!$L$13:$L$2352)</f>
        <v>0</v>
      </c>
      <c r="AG152" s="775">
        <f ca="1">SUMIF(chitiet!$B$13:$N$2352,kl!$B152,chitiet!$M$13)</f>
        <v>0</v>
      </c>
      <c r="AH152" s="775">
        <f ca="1">SUMIF(chitiet!$B$13:$N$2352,kl!$B152,chitiet!$N$13:$N$2352)</f>
        <v>0</v>
      </c>
      <c r="AI152" s="775">
        <f ca="1">SUMIF(chitiet!$B$13:$N$2352,kl!$B152,chitiet!$O$13:$O$2352)</f>
        <v>0</v>
      </c>
      <c r="AJ152" s="775">
        <f ca="1">SUMIF('Cap ngam'!$B$631:$G$723,kl!$B152,'Cap ngam'!$G$631:$G$723)</f>
        <v>0</v>
      </c>
      <c r="AK152" s="775">
        <f ca="1">SUMIF('Cap ngam'!$B$403:$G$628,kl!$B152,'Cap ngam'!G$403:G$628)</f>
        <v>0</v>
      </c>
      <c r="AL152" s="775">
        <f ca="1">SUMIF('Cap ngam'!B$16:G$400,kl!$B152,'Cap ngam'!G$16:G$400)</f>
        <v>0</v>
      </c>
      <c r="AM152" s="776">
        <v>0.54300000000000004</v>
      </c>
      <c r="AN152" s="775">
        <f t="shared" ca="1" si="87"/>
        <v>0</v>
      </c>
      <c r="AO152" s="775">
        <f t="shared" ca="1" si="88"/>
        <v>0</v>
      </c>
      <c r="AP152" s="775">
        <f t="shared" ca="1" si="89"/>
        <v>0</v>
      </c>
      <c r="AQ152" s="775">
        <f t="shared" ca="1" si="90"/>
        <v>0</v>
      </c>
      <c r="AR152" s="775">
        <f t="shared" ca="1" si="91"/>
        <v>0</v>
      </c>
      <c r="AS152" s="775">
        <f t="shared" ca="1" si="92"/>
        <v>0</v>
      </c>
      <c r="AT152" s="775">
        <f t="shared" ca="1" si="93"/>
        <v>0</v>
      </c>
      <c r="AU152" s="775">
        <f t="shared" ca="1" si="94"/>
        <v>0</v>
      </c>
      <c r="AV152" s="775">
        <f t="shared" ca="1" si="95"/>
        <v>0</v>
      </c>
      <c r="AW152" s="775">
        <f t="shared" ca="1" si="96"/>
        <v>0</v>
      </c>
      <c r="AX152" s="775">
        <f t="shared" si="97"/>
        <v>0</v>
      </c>
      <c r="AY152" s="775">
        <f t="shared" ca="1" si="98"/>
        <v>0</v>
      </c>
      <c r="AZ152" s="775">
        <f t="shared" si="99"/>
        <v>0</v>
      </c>
      <c r="BA152" s="775">
        <f t="shared" ca="1" si="80"/>
        <v>0</v>
      </c>
      <c r="BB152" s="775">
        <f t="shared" ca="1" si="81"/>
        <v>0</v>
      </c>
      <c r="BC152" s="775">
        <f t="shared" ca="1" si="82"/>
        <v>0</v>
      </c>
      <c r="BD152" s="775">
        <f t="shared" ca="1" si="83"/>
        <v>0</v>
      </c>
      <c r="BE152" s="775">
        <f t="shared" ca="1" si="84"/>
        <v>0</v>
      </c>
      <c r="BF152" s="775">
        <f t="shared" ca="1" si="85"/>
        <v>0</v>
      </c>
      <c r="BG152" s="775">
        <f t="shared" ca="1" si="86"/>
        <v>0</v>
      </c>
      <c r="BH152" s="775">
        <f t="shared" ca="1" si="100"/>
        <v>0</v>
      </c>
      <c r="BI152" s="775">
        <f t="shared" ca="1" si="101"/>
        <v>0</v>
      </c>
      <c r="BJ152" s="775">
        <f t="shared" ca="1" si="102"/>
        <v>0</v>
      </c>
      <c r="BK152" s="775">
        <f t="shared" ca="1" si="103"/>
        <v>0</v>
      </c>
      <c r="BL152" s="775">
        <f t="shared" ca="1" si="104"/>
        <v>0</v>
      </c>
      <c r="BM152" s="775">
        <f t="shared" ca="1" si="105"/>
        <v>0</v>
      </c>
      <c r="BN152" s="775">
        <f t="shared" ca="1" si="106"/>
        <v>0</v>
      </c>
      <c r="BO152" s="775">
        <f t="shared" ca="1" si="107"/>
        <v>0</v>
      </c>
      <c r="BP152" s="775">
        <f t="shared" ca="1" si="108"/>
        <v>0</v>
      </c>
      <c r="BQ152" s="775">
        <f t="shared" ca="1" si="75"/>
        <v>0</v>
      </c>
      <c r="BR152" s="775">
        <f t="shared" ca="1" si="109"/>
        <v>0</v>
      </c>
    </row>
    <row r="153" spans="1:70">
      <c r="A153" s="767" t="str">
        <f t="shared" ca="1" si="73"/>
        <v/>
      </c>
      <c r="B153" s="789" t="s">
        <v>1505</v>
      </c>
      <c r="C153" s="188" t="str">
        <f ca="1">IF(F153=0,"",COUNTIF($F$78:$F153,"&gt;0"))</f>
        <v/>
      </c>
      <c r="D153" s="778" t="str">
        <f>VLOOKUP($B153,dongia1,DG!$C$5,)</f>
        <v>Cáp 24KV A/XLPE/PVC 120mm2</v>
      </c>
      <c r="E153" s="555" t="str">
        <f>VLOOKUP($B153,dongia1,DG!$D$5,)</f>
        <v>mét</v>
      </c>
      <c r="F153" s="779">
        <f t="shared" ca="1" si="79"/>
        <v>0</v>
      </c>
      <c r="G153" s="775">
        <f t="shared" ca="1" si="76"/>
        <v>0</v>
      </c>
      <c r="H153" s="775">
        <f ca="1">SUMIF(CT_tram!$B$33:$G$3559,kl!B153,CT_tram!$G$33:$G$3559)</f>
        <v>0</v>
      </c>
      <c r="I153" s="775">
        <f ca="1">SUMIF(CT_tram!$B$34:$G$115,$B153,CT_tram!$G$34:$G$115)</f>
        <v>0</v>
      </c>
      <c r="J153" s="775">
        <f ca="1">SUMIF(CT_tram!$B$122:$G$204,$B153,CT_tram!$G$122:$G$204)</f>
        <v>0</v>
      </c>
      <c r="K153" s="775">
        <f ca="1">SUMIF(CT_tram!$B$211:$G$293,$B153,CT_tram!$G$211:$G$293)</f>
        <v>0</v>
      </c>
      <c r="L153" s="775">
        <f ca="1">SUMIF(CT_tram!$B$300:$G$374,$B153,CT_tram!$G$300:$G$374)</f>
        <v>0</v>
      </c>
      <c r="M153" s="775">
        <f ca="1">SUMIF(CT_tram!$B$381:$G$471,$B153,CT_tram!$G$381:$G$471)</f>
        <v>0</v>
      </c>
      <c r="N153" s="775">
        <f ca="1">SUMIF(CT_tram!$B$478:$G$560,$B153,CT_tram!$G$478:$G$560)</f>
        <v>0</v>
      </c>
      <c r="O153" s="775">
        <f ca="1">SUMIF(CT_tram!$B$567:$G$653,$B153,CT_tram!$G$567:$G$653)</f>
        <v>0</v>
      </c>
      <c r="P153" s="775">
        <f ca="1">SUMIF(CT_tram!$B$661:$G$738,$B153,CT_tram!$G$661:$G$738)</f>
        <v>0</v>
      </c>
      <c r="Q153" s="775">
        <f ca="1">SUMIF(CT_tram!$B$745:$G$899,$B153,CT_tram!$G$745:$G$899)</f>
        <v>0</v>
      </c>
      <c r="R153" s="775">
        <f ca="1">SUMIF(CT_tram!$B$907:$G$995,$B153,CT_tram!$G$907:$G$995)</f>
        <v>0</v>
      </c>
      <c r="S153" s="775"/>
      <c r="T153" s="775">
        <f ca="1">SUMIF(CT_tram!$B$1004:$G$1097,B153,CT_tram!$G$1004:$G$1097)</f>
        <v>0</v>
      </c>
      <c r="U153" s="775"/>
      <c r="V153" s="775">
        <f ca="1">SUMIF(CT_tram!$B$1226:$G$1352,kl!B153,CT_tram!$G$1226:$G$1352)</f>
        <v>0</v>
      </c>
      <c r="W153" s="780">
        <f ca="1">SUMIF(CT_tram!$B$1105:$G$1219,kl!B153,CT_tram!$G$1105:$G$1219)</f>
        <v>0</v>
      </c>
      <c r="X153" s="775">
        <f ca="1">SUMIF(CT_tram!$B$1359:$G$1504,kl!B153,CT_tram!$G$1359:$G$1504)</f>
        <v>0</v>
      </c>
      <c r="Y153" s="775">
        <f ca="1">SUMIF(CT_tram!$B$1511:$G$1625,kl!B153,CT_tram!$G$1511:$G$1625)</f>
        <v>0</v>
      </c>
      <c r="Z153" s="775">
        <f ca="1">SUMIF(CT_tram!$B$1632:$G$2211,kl!B153,CT_tram!$G$1632:$G$2211)</f>
        <v>0</v>
      </c>
      <c r="AA153" s="775">
        <f ca="1">SUMIF(CT_tram!$B$2243:$G$2384,kl!B153,CT_tram!$G$2243:$G$2384)</f>
        <v>0</v>
      </c>
      <c r="AB153" s="775">
        <f ca="1">SUMIF(CT_tram!$B$2391:$G$2563,kl!B153,CT_tram!$G$2391:$G$2563)</f>
        <v>0</v>
      </c>
      <c r="AC153" s="775">
        <f ca="1">SUMIF(chitiet!$B$13:$N$2352,kl!$B153,chitiet!$I$13:$I$2352)</f>
        <v>0</v>
      </c>
      <c r="AD153" s="775">
        <f ca="1">SUMIF(chitiet!$B$13:$N$2352,kl!$B153,chitiet!$J$13:$J$2352)</f>
        <v>0</v>
      </c>
      <c r="AE153" s="775">
        <f ca="1">SUMIF(chitiet!$B$13:$N$2352,kl!$B153,chitiet!$K$13:$K$2352)</f>
        <v>0</v>
      </c>
      <c r="AF153" s="775">
        <f ca="1">SUMIF(chitiet!$B$13:$N$2352,kl!$B153,chitiet!$L$13:$L$2352)</f>
        <v>0</v>
      </c>
      <c r="AG153" s="775">
        <f ca="1">SUMIF(chitiet!$B$13:$N$2352,kl!$B153,chitiet!$M$13)</f>
        <v>0</v>
      </c>
      <c r="AH153" s="775">
        <f ca="1">SUMIF(chitiet!$B$13:$N$2352,kl!$B153,chitiet!$N$13:$N$2352)</f>
        <v>0</v>
      </c>
      <c r="AI153" s="775">
        <f ca="1">SUMIF(chitiet!$B$13:$N$2352,kl!$B153,chitiet!$O$13:$O$2352)</f>
        <v>0</v>
      </c>
      <c r="AJ153" s="775">
        <f ca="1">SUMIF('Cap ngam'!$B$631:$G$723,kl!$B153,'Cap ngam'!$G$631:$G$723)</f>
        <v>0</v>
      </c>
      <c r="AK153" s="775">
        <f ca="1">SUMIF('Cap ngam'!$B$403:$G$628,kl!$B153,'Cap ngam'!G$403:G$628)</f>
        <v>0</v>
      </c>
      <c r="AL153" s="775">
        <f ca="1">SUMIF('Cap ngam'!B$16:G$400,kl!$B153,'Cap ngam'!G$16:G$400)</f>
        <v>0</v>
      </c>
      <c r="AM153" s="776">
        <v>0.627</v>
      </c>
      <c r="AN153" s="775">
        <f t="shared" ca="1" si="87"/>
        <v>0</v>
      </c>
      <c r="AO153" s="775">
        <f t="shared" ca="1" si="88"/>
        <v>0</v>
      </c>
      <c r="AP153" s="775">
        <f t="shared" ca="1" si="89"/>
        <v>0</v>
      </c>
      <c r="AQ153" s="775">
        <f t="shared" ca="1" si="90"/>
        <v>0</v>
      </c>
      <c r="AR153" s="775">
        <f t="shared" ca="1" si="91"/>
        <v>0</v>
      </c>
      <c r="AS153" s="775">
        <f t="shared" ca="1" si="92"/>
        <v>0</v>
      </c>
      <c r="AT153" s="775">
        <f t="shared" ca="1" si="93"/>
        <v>0</v>
      </c>
      <c r="AU153" s="775">
        <f t="shared" ca="1" si="94"/>
        <v>0</v>
      </c>
      <c r="AV153" s="775">
        <f t="shared" ca="1" si="95"/>
        <v>0</v>
      </c>
      <c r="AW153" s="775">
        <f t="shared" ca="1" si="96"/>
        <v>0</v>
      </c>
      <c r="AX153" s="775">
        <f t="shared" si="97"/>
        <v>0</v>
      </c>
      <c r="AY153" s="775">
        <f t="shared" ca="1" si="98"/>
        <v>0</v>
      </c>
      <c r="AZ153" s="775">
        <f t="shared" si="99"/>
        <v>0</v>
      </c>
      <c r="BA153" s="775">
        <f t="shared" ca="1" si="80"/>
        <v>0</v>
      </c>
      <c r="BB153" s="775">
        <f t="shared" ca="1" si="81"/>
        <v>0</v>
      </c>
      <c r="BC153" s="775">
        <f t="shared" ca="1" si="82"/>
        <v>0</v>
      </c>
      <c r="BD153" s="775">
        <f t="shared" ca="1" si="83"/>
        <v>0</v>
      </c>
      <c r="BE153" s="775">
        <f t="shared" ca="1" si="84"/>
        <v>0</v>
      </c>
      <c r="BF153" s="775">
        <f t="shared" ca="1" si="85"/>
        <v>0</v>
      </c>
      <c r="BG153" s="775">
        <f t="shared" ca="1" si="86"/>
        <v>0</v>
      </c>
      <c r="BH153" s="775">
        <f t="shared" ca="1" si="100"/>
        <v>0</v>
      </c>
      <c r="BI153" s="775">
        <f t="shared" ca="1" si="101"/>
        <v>0</v>
      </c>
      <c r="BJ153" s="775">
        <f t="shared" ca="1" si="102"/>
        <v>0</v>
      </c>
      <c r="BK153" s="775">
        <f t="shared" ca="1" si="103"/>
        <v>0</v>
      </c>
      <c r="BL153" s="775">
        <f t="shared" ca="1" si="104"/>
        <v>0</v>
      </c>
      <c r="BM153" s="775">
        <f t="shared" ca="1" si="105"/>
        <v>0</v>
      </c>
      <c r="BN153" s="775">
        <f t="shared" ca="1" si="106"/>
        <v>0</v>
      </c>
      <c r="BO153" s="775">
        <f t="shared" ca="1" si="107"/>
        <v>0</v>
      </c>
      <c r="BP153" s="775">
        <f t="shared" ca="1" si="108"/>
        <v>0</v>
      </c>
      <c r="BQ153" s="775">
        <f t="shared" ca="1" si="75"/>
        <v>0</v>
      </c>
      <c r="BR153" s="775">
        <f t="shared" ca="1" si="109"/>
        <v>0</v>
      </c>
    </row>
    <row r="154" spans="1:70">
      <c r="A154" s="767" t="str">
        <f t="shared" ca="1" si="73"/>
        <v/>
      </c>
      <c r="B154" s="789" t="s">
        <v>1199</v>
      </c>
      <c r="C154" s="188" t="str">
        <f ca="1">IF(F154=0,"",COUNTIF($F$78:$F154,"&gt;0"))</f>
        <v/>
      </c>
      <c r="D154" s="778" t="str">
        <f>VLOOKUP($B154,dongia1,DG!$C$5,)</f>
        <v>Cáp 24KV A/XLPE/PVC 150mm2</v>
      </c>
      <c r="E154" s="555" t="str">
        <f>VLOOKUP($B154,dongia1,DG!$D$5,)</f>
        <v>mét</v>
      </c>
      <c r="F154" s="779">
        <f t="shared" ca="1" si="79"/>
        <v>0</v>
      </c>
      <c r="G154" s="775">
        <f t="shared" ca="1" si="76"/>
        <v>0</v>
      </c>
      <c r="H154" s="775">
        <f ca="1">SUMIF(CT_tram!$B$33:$G$3559,kl!B154,CT_tram!$G$33:$G$3559)</f>
        <v>0</v>
      </c>
      <c r="I154" s="775">
        <f ca="1">SUMIF(CT_tram!$B$34:$G$115,$B154,CT_tram!$G$34:$G$115)</f>
        <v>0</v>
      </c>
      <c r="J154" s="775">
        <f ca="1">SUMIF(CT_tram!$B$122:$G$204,$B154,CT_tram!$G$122:$G$204)</f>
        <v>0</v>
      </c>
      <c r="K154" s="775">
        <f ca="1">SUMIF(CT_tram!$B$211:$G$293,$B154,CT_tram!$G$211:$G$293)</f>
        <v>0</v>
      </c>
      <c r="L154" s="775">
        <f ca="1">SUMIF(CT_tram!$B$300:$G$374,$B154,CT_tram!$G$300:$G$374)</f>
        <v>0</v>
      </c>
      <c r="M154" s="775">
        <f ca="1">SUMIF(CT_tram!$B$381:$G$471,$B154,CT_tram!$G$381:$G$471)</f>
        <v>0</v>
      </c>
      <c r="N154" s="775">
        <f ca="1">SUMIF(CT_tram!$B$478:$G$560,$B154,CT_tram!$G$478:$G$560)</f>
        <v>0</v>
      </c>
      <c r="O154" s="775">
        <f ca="1">SUMIF(CT_tram!$B$567:$G$653,$B154,CT_tram!$G$567:$G$653)</f>
        <v>0</v>
      </c>
      <c r="P154" s="775">
        <f ca="1">SUMIF(CT_tram!$B$661:$G$738,$B154,CT_tram!$G$661:$G$738)</f>
        <v>0</v>
      </c>
      <c r="Q154" s="775">
        <f ca="1">SUMIF(CT_tram!$B$745:$G$899,$B154,CT_tram!$G$745:$G$899)</f>
        <v>0</v>
      </c>
      <c r="R154" s="775">
        <f ca="1">SUMIF(CT_tram!$B$907:$G$995,$B154,CT_tram!$G$907:$G$995)</f>
        <v>0</v>
      </c>
      <c r="S154" s="775"/>
      <c r="T154" s="775">
        <f ca="1">SUMIF(CT_tram!$B$1004:$G$1097,B154,CT_tram!$G$1004:$G$1097)</f>
        <v>0</v>
      </c>
      <c r="U154" s="775"/>
      <c r="V154" s="775">
        <f ca="1">SUMIF(CT_tram!$B$1226:$G$1352,kl!B154,CT_tram!$G$1226:$G$1352)</f>
        <v>0</v>
      </c>
      <c r="W154" s="780">
        <f ca="1">SUMIF(CT_tram!$B$1105:$G$1219,kl!B154,CT_tram!$G$1105:$G$1219)</f>
        <v>0</v>
      </c>
      <c r="X154" s="775">
        <f ca="1">SUMIF(CT_tram!$B$1359:$G$1504,kl!B154,CT_tram!$G$1359:$G$1504)</f>
        <v>0</v>
      </c>
      <c r="Y154" s="775">
        <f ca="1">SUMIF(CT_tram!$B$1511:$G$1625,kl!B154,CT_tram!$G$1511:$G$1625)</f>
        <v>0</v>
      </c>
      <c r="Z154" s="775">
        <f ca="1">SUMIF(CT_tram!$B$1632:$G$2211,kl!B154,CT_tram!$G$1632:$G$2211)</f>
        <v>0</v>
      </c>
      <c r="AA154" s="775">
        <f ca="1">SUMIF(CT_tram!$B$2243:$G$2384,kl!B154,CT_tram!$G$2243:$G$2384)</f>
        <v>0</v>
      </c>
      <c r="AB154" s="775">
        <f ca="1">SUMIF(CT_tram!$B$2391:$G$2563,kl!B154,CT_tram!$G$2391:$G$2563)</f>
        <v>0</v>
      </c>
      <c r="AC154" s="775">
        <f ca="1">SUMIF(chitiet!$B$13:$N$2352,kl!$B154,chitiet!$I$13:$I$2352)</f>
        <v>0</v>
      </c>
      <c r="AD154" s="775">
        <f ca="1">SUMIF(chitiet!$B$13:$N$2352,kl!$B154,chitiet!$J$13:$J$2352)</f>
        <v>0</v>
      </c>
      <c r="AE154" s="775">
        <f ca="1">SUMIF(chitiet!$B$13:$N$2352,kl!$B154,chitiet!$K$13:$K$2352)</f>
        <v>0</v>
      </c>
      <c r="AF154" s="775">
        <f ca="1">SUMIF(chitiet!$B$13:$N$2352,kl!$B154,chitiet!$L$13:$L$2352)</f>
        <v>0</v>
      </c>
      <c r="AG154" s="775">
        <f ca="1">SUMIF(chitiet!$B$13:$N$2352,kl!$B154,chitiet!$M$13)</f>
        <v>0</v>
      </c>
      <c r="AH154" s="775">
        <f ca="1">SUMIF(chitiet!$B$13:$N$2352,kl!$B154,chitiet!$N$13:$N$2352)</f>
        <v>0</v>
      </c>
      <c r="AI154" s="775">
        <f ca="1">SUMIF(chitiet!$B$13:$N$2352,kl!$B154,chitiet!$O$13:$O$2352)</f>
        <v>0</v>
      </c>
      <c r="AJ154" s="775">
        <f ca="1">SUMIF('Cap ngam'!$B$631:$G$723,kl!$B154,'Cap ngam'!$G$631:$G$723)</f>
        <v>0</v>
      </c>
      <c r="AK154" s="775">
        <f ca="1">SUMIF('Cap ngam'!$B$403:$G$628,kl!$B154,'Cap ngam'!G$403:G$628)</f>
        <v>0</v>
      </c>
      <c r="AL154" s="775">
        <f ca="1">SUMIF('Cap ngam'!B$16:G$400,kl!$B154,'Cap ngam'!G$16:G$400)</f>
        <v>0</v>
      </c>
      <c r="AM154" s="776">
        <v>0.76</v>
      </c>
      <c r="AN154" s="775">
        <f t="shared" ca="1" si="87"/>
        <v>0</v>
      </c>
      <c r="AO154" s="775">
        <f t="shared" ca="1" si="88"/>
        <v>0</v>
      </c>
      <c r="AP154" s="775">
        <f t="shared" ca="1" si="89"/>
        <v>0</v>
      </c>
      <c r="AQ154" s="775">
        <f t="shared" ca="1" si="90"/>
        <v>0</v>
      </c>
      <c r="AR154" s="775">
        <f t="shared" ca="1" si="91"/>
        <v>0</v>
      </c>
      <c r="AS154" s="775">
        <f t="shared" ca="1" si="92"/>
        <v>0</v>
      </c>
      <c r="AT154" s="775">
        <f t="shared" ca="1" si="93"/>
        <v>0</v>
      </c>
      <c r="AU154" s="775">
        <f t="shared" ca="1" si="94"/>
        <v>0</v>
      </c>
      <c r="AV154" s="775">
        <f t="shared" ca="1" si="95"/>
        <v>0</v>
      </c>
      <c r="AW154" s="775">
        <f t="shared" ca="1" si="96"/>
        <v>0</v>
      </c>
      <c r="AX154" s="775">
        <f t="shared" si="97"/>
        <v>0</v>
      </c>
      <c r="AY154" s="775">
        <f t="shared" ca="1" si="98"/>
        <v>0</v>
      </c>
      <c r="AZ154" s="775">
        <f t="shared" si="99"/>
        <v>0</v>
      </c>
      <c r="BA154" s="775">
        <f t="shared" ca="1" si="80"/>
        <v>0</v>
      </c>
      <c r="BB154" s="775">
        <f t="shared" ca="1" si="81"/>
        <v>0</v>
      </c>
      <c r="BC154" s="775">
        <f t="shared" ca="1" si="82"/>
        <v>0</v>
      </c>
      <c r="BD154" s="775">
        <f t="shared" ca="1" si="83"/>
        <v>0</v>
      </c>
      <c r="BE154" s="775">
        <f t="shared" ca="1" si="84"/>
        <v>0</v>
      </c>
      <c r="BF154" s="775">
        <f t="shared" ca="1" si="85"/>
        <v>0</v>
      </c>
      <c r="BG154" s="775">
        <f t="shared" ca="1" si="86"/>
        <v>0</v>
      </c>
      <c r="BH154" s="775">
        <f t="shared" ca="1" si="100"/>
        <v>0</v>
      </c>
      <c r="BI154" s="775">
        <f t="shared" ca="1" si="101"/>
        <v>0</v>
      </c>
      <c r="BJ154" s="775">
        <f t="shared" ca="1" si="102"/>
        <v>0</v>
      </c>
      <c r="BK154" s="775">
        <f t="shared" ca="1" si="103"/>
        <v>0</v>
      </c>
      <c r="BL154" s="775">
        <f t="shared" ca="1" si="104"/>
        <v>0</v>
      </c>
      <c r="BM154" s="775">
        <f t="shared" ca="1" si="105"/>
        <v>0</v>
      </c>
      <c r="BN154" s="775">
        <f t="shared" ca="1" si="106"/>
        <v>0</v>
      </c>
      <c r="BO154" s="775">
        <f t="shared" ca="1" si="107"/>
        <v>0</v>
      </c>
      <c r="BP154" s="775">
        <f t="shared" ca="1" si="108"/>
        <v>0</v>
      </c>
      <c r="BQ154" s="775">
        <f t="shared" ca="1" si="75"/>
        <v>0</v>
      </c>
      <c r="BR154" s="775">
        <f t="shared" ca="1" si="109"/>
        <v>0</v>
      </c>
    </row>
    <row r="155" spans="1:70">
      <c r="A155" s="767" t="str">
        <f t="shared" ca="1" si="73"/>
        <v/>
      </c>
      <c r="B155" s="789" t="s">
        <v>1198</v>
      </c>
      <c r="C155" s="188" t="str">
        <f ca="1">IF(F155=0,"",COUNTIF($F$78:$F155,"&gt;0"))</f>
        <v/>
      </c>
      <c r="D155" s="778" t="str">
        <f>VLOOKUP($B155,dongia1,DG!$C$5,)</f>
        <v>Cáp 24KV A/XLPE/PVC 185mm2</v>
      </c>
      <c r="E155" s="555" t="str">
        <f>VLOOKUP($B155,dongia1,DG!$D$5,)</f>
        <v>mét</v>
      </c>
      <c r="F155" s="779">
        <f t="shared" ca="1" si="79"/>
        <v>0</v>
      </c>
      <c r="G155" s="775">
        <f t="shared" ca="1" si="76"/>
        <v>0</v>
      </c>
      <c r="H155" s="775">
        <f ca="1">SUMIF(CT_tram!$B$33:$G$3559,kl!B155,CT_tram!$G$33:$G$3559)</f>
        <v>0</v>
      </c>
      <c r="I155" s="775">
        <f ca="1">SUMIF(CT_tram!$B$34:$G$115,$B155,CT_tram!$G$34:$G$115)</f>
        <v>0</v>
      </c>
      <c r="J155" s="775">
        <f ca="1">SUMIF(CT_tram!$B$122:$G$204,$B155,CT_tram!$G$122:$G$204)</f>
        <v>0</v>
      </c>
      <c r="K155" s="775">
        <f ca="1">SUMIF(CT_tram!$B$211:$G$293,$B155,CT_tram!$G$211:$G$293)</f>
        <v>0</v>
      </c>
      <c r="L155" s="775">
        <f ca="1">SUMIF(CT_tram!$B$300:$G$374,$B155,CT_tram!$G$300:$G$374)</f>
        <v>0</v>
      </c>
      <c r="M155" s="775">
        <f ca="1">SUMIF(CT_tram!$B$381:$G$471,$B155,CT_tram!$G$381:$G$471)</f>
        <v>0</v>
      </c>
      <c r="N155" s="775">
        <f ca="1">SUMIF(CT_tram!$B$478:$G$560,$B155,CT_tram!$G$478:$G$560)</f>
        <v>0</v>
      </c>
      <c r="O155" s="775">
        <f ca="1">SUMIF(CT_tram!$B$567:$G$653,$B155,CT_tram!$G$567:$G$653)</f>
        <v>0</v>
      </c>
      <c r="P155" s="775">
        <f ca="1">SUMIF(CT_tram!$B$661:$G$738,$B155,CT_tram!$G$661:$G$738)</f>
        <v>0</v>
      </c>
      <c r="Q155" s="775">
        <f ca="1">SUMIF(CT_tram!$B$745:$G$899,$B155,CT_tram!$G$745:$G$899)</f>
        <v>0</v>
      </c>
      <c r="R155" s="775">
        <f ca="1">SUMIF(CT_tram!$B$907:$G$995,$B155,CT_tram!$G$907:$G$995)</f>
        <v>0</v>
      </c>
      <c r="S155" s="775"/>
      <c r="T155" s="775">
        <f ca="1">SUMIF(CT_tram!$B$1004:$G$1097,B155,CT_tram!$G$1004:$G$1097)</f>
        <v>0</v>
      </c>
      <c r="U155" s="775"/>
      <c r="V155" s="775">
        <f ca="1">SUMIF(CT_tram!$B$1226:$G$1352,kl!B155,CT_tram!$G$1226:$G$1352)</f>
        <v>0</v>
      </c>
      <c r="W155" s="780">
        <f ca="1">SUMIF(CT_tram!$B$1105:$G$1219,kl!B155,CT_tram!$G$1105:$G$1219)</f>
        <v>0</v>
      </c>
      <c r="X155" s="775">
        <f ca="1">SUMIF(CT_tram!$B$1359:$G$1504,kl!B155,CT_tram!$G$1359:$G$1504)</f>
        <v>0</v>
      </c>
      <c r="Y155" s="775">
        <f ca="1">SUMIF(CT_tram!$B$1511:$G$1625,kl!B155,CT_tram!$G$1511:$G$1625)</f>
        <v>0</v>
      </c>
      <c r="Z155" s="775">
        <f ca="1">SUMIF(CT_tram!$B$1632:$G$2211,kl!B155,CT_tram!$G$1632:$G$2211)</f>
        <v>0</v>
      </c>
      <c r="AA155" s="775">
        <f ca="1">SUMIF(CT_tram!$B$2243:$G$2384,kl!B155,CT_tram!$G$2243:$G$2384)</f>
        <v>0</v>
      </c>
      <c r="AB155" s="775">
        <f ca="1">SUMIF(CT_tram!$B$2391:$G$2563,kl!B155,CT_tram!$G$2391:$G$2563)</f>
        <v>0</v>
      </c>
      <c r="AC155" s="775">
        <f ca="1">SUMIF(chitiet!$B$13:$N$2352,kl!$B155,chitiet!$I$13:$I$2352)</f>
        <v>0</v>
      </c>
      <c r="AD155" s="775">
        <f ca="1">SUMIF(chitiet!$B$13:$N$2352,kl!$B155,chitiet!$J$13:$J$2352)</f>
        <v>0</v>
      </c>
      <c r="AE155" s="775">
        <f ca="1">SUMIF(chitiet!$B$13:$N$2352,kl!$B155,chitiet!$K$13:$K$2352)</f>
        <v>0</v>
      </c>
      <c r="AF155" s="775">
        <f ca="1">SUMIF(chitiet!$B$13:$N$2352,kl!$B155,chitiet!$L$13:$L$2352)</f>
        <v>0</v>
      </c>
      <c r="AG155" s="775">
        <f ca="1">SUMIF(chitiet!$B$13:$N$2352,kl!$B155,chitiet!$M$13)</f>
        <v>0</v>
      </c>
      <c r="AH155" s="775">
        <f ca="1">SUMIF(chitiet!$B$13:$N$2352,kl!$B155,chitiet!$N$13:$N$2352)</f>
        <v>0</v>
      </c>
      <c r="AI155" s="775">
        <f ca="1">SUMIF(chitiet!$B$13:$N$2352,kl!$B155,chitiet!$O$13:$O$2352)</f>
        <v>0</v>
      </c>
      <c r="AJ155" s="775">
        <f ca="1">SUMIF('Cap ngam'!$B$631:$G$723,kl!$B155,'Cap ngam'!$G$631:$G$723)</f>
        <v>0</v>
      </c>
      <c r="AK155" s="775">
        <f ca="1">SUMIF('Cap ngam'!$B$403:$G$628,kl!$B155,'Cap ngam'!G$403:G$628)</f>
        <v>0</v>
      </c>
      <c r="AL155" s="775">
        <f ca="1">SUMIF('Cap ngam'!B$16:G$400,kl!$B155,'Cap ngam'!G$16:G$400)</f>
        <v>0</v>
      </c>
      <c r="AM155" s="776">
        <v>0.87</v>
      </c>
      <c r="AN155" s="775">
        <f t="shared" ca="1" si="87"/>
        <v>0</v>
      </c>
      <c r="AO155" s="775">
        <f t="shared" ca="1" si="88"/>
        <v>0</v>
      </c>
      <c r="AP155" s="775">
        <f t="shared" ca="1" si="89"/>
        <v>0</v>
      </c>
      <c r="AQ155" s="775">
        <f t="shared" ca="1" si="90"/>
        <v>0</v>
      </c>
      <c r="AR155" s="775">
        <f t="shared" ca="1" si="91"/>
        <v>0</v>
      </c>
      <c r="AS155" s="775">
        <f t="shared" ca="1" si="92"/>
        <v>0</v>
      </c>
      <c r="AT155" s="775">
        <f t="shared" ca="1" si="93"/>
        <v>0</v>
      </c>
      <c r="AU155" s="775">
        <f t="shared" ca="1" si="94"/>
        <v>0</v>
      </c>
      <c r="AV155" s="775">
        <f t="shared" ca="1" si="95"/>
        <v>0</v>
      </c>
      <c r="AW155" s="775">
        <f t="shared" ca="1" si="96"/>
        <v>0</v>
      </c>
      <c r="AX155" s="775">
        <f t="shared" si="97"/>
        <v>0</v>
      </c>
      <c r="AY155" s="775">
        <f t="shared" ca="1" si="98"/>
        <v>0</v>
      </c>
      <c r="AZ155" s="775">
        <f t="shared" si="99"/>
        <v>0</v>
      </c>
      <c r="BA155" s="775">
        <f t="shared" ca="1" si="80"/>
        <v>0</v>
      </c>
      <c r="BB155" s="775">
        <f t="shared" ca="1" si="81"/>
        <v>0</v>
      </c>
      <c r="BC155" s="775">
        <f t="shared" ca="1" si="82"/>
        <v>0</v>
      </c>
      <c r="BD155" s="775">
        <f t="shared" ca="1" si="83"/>
        <v>0</v>
      </c>
      <c r="BE155" s="775">
        <f t="shared" ca="1" si="84"/>
        <v>0</v>
      </c>
      <c r="BF155" s="775">
        <f t="shared" ca="1" si="85"/>
        <v>0</v>
      </c>
      <c r="BG155" s="775">
        <f t="shared" ca="1" si="86"/>
        <v>0</v>
      </c>
      <c r="BH155" s="775">
        <f t="shared" ca="1" si="100"/>
        <v>0</v>
      </c>
      <c r="BI155" s="775">
        <f t="shared" ca="1" si="101"/>
        <v>0</v>
      </c>
      <c r="BJ155" s="775">
        <f t="shared" ca="1" si="102"/>
        <v>0</v>
      </c>
      <c r="BK155" s="775">
        <f t="shared" ca="1" si="103"/>
        <v>0</v>
      </c>
      <c r="BL155" s="775">
        <f t="shared" ca="1" si="104"/>
        <v>0</v>
      </c>
      <c r="BM155" s="775">
        <f t="shared" ca="1" si="105"/>
        <v>0</v>
      </c>
      <c r="BN155" s="775">
        <f t="shared" ca="1" si="106"/>
        <v>0</v>
      </c>
      <c r="BO155" s="775">
        <f t="shared" ca="1" si="107"/>
        <v>0</v>
      </c>
      <c r="BP155" s="775">
        <f t="shared" ca="1" si="108"/>
        <v>0</v>
      </c>
      <c r="BQ155" s="775">
        <f t="shared" ca="1" si="75"/>
        <v>0</v>
      </c>
      <c r="BR155" s="775">
        <f t="shared" ca="1" si="109"/>
        <v>0</v>
      </c>
    </row>
    <row r="156" spans="1:70">
      <c r="A156" s="767" t="str">
        <f t="shared" ref="A156:A239" ca="1" si="110">IF(F156&lt;&gt;0,"X","")</f>
        <v/>
      </c>
      <c r="B156" s="789" t="s">
        <v>1990</v>
      </c>
      <c r="C156" s="188" t="str">
        <f ca="1">IF(F156=0,"",COUNTIF($F$78:$F156,"&gt;0"))</f>
        <v/>
      </c>
      <c r="D156" s="778" t="str">
        <f>VLOOKUP($B156,dongia1,DG!$C$5,)</f>
        <v>Cáp 24KV A/XLPE/PVC 240mm2</v>
      </c>
      <c r="E156" s="555" t="str">
        <f>VLOOKUP($B156,dongia1,DG!$D$5,)</f>
        <v>mét</v>
      </c>
      <c r="F156" s="779">
        <f t="shared" ca="1" si="79"/>
        <v>0</v>
      </c>
      <c r="G156" s="775">
        <f t="shared" ca="1" si="76"/>
        <v>0</v>
      </c>
      <c r="H156" s="775">
        <f ca="1">SUMIF(CT_tram!$B$33:$G$3559,kl!B156,CT_tram!$G$33:$G$3559)</f>
        <v>0</v>
      </c>
      <c r="I156" s="775">
        <f ca="1">SUMIF(CT_tram!$B$34:$G$115,$B156,CT_tram!$G$34:$G$115)</f>
        <v>0</v>
      </c>
      <c r="J156" s="775">
        <f ca="1">SUMIF(CT_tram!$B$122:$G$204,$B156,CT_tram!$G$122:$G$204)</f>
        <v>0</v>
      </c>
      <c r="K156" s="775">
        <f ca="1">SUMIF(CT_tram!$B$211:$G$293,$B156,CT_tram!$G$211:$G$293)</f>
        <v>0</v>
      </c>
      <c r="L156" s="775">
        <f ca="1">SUMIF(CT_tram!$B$300:$G$374,$B156,CT_tram!$G$300:$G$374)</f>
        <v>0</v>
      </c>
      <c r="M156" s="775">
        <f ca="1">SUMIF(CT_tram!$B$381:$G$471,$B156,CT_tram!$G$381:$G$471)</f>
        <v>0</v>
      </c>
      <c r="N156" s="775">
        <f ca="1">SUMIF(CT_tram!$B$478:$G$560,$B156,CT_tram!$G$478:$G$560)</f>
        <v>0</v>
      </c>
      <c r="O156" s="775">
        <f ca="1">SUMIF(CT_tram!$B$567:$G$653,$B156,CT_tram!$G$567:$G$653)</f>
        <v>0</v>
      </c>
      <c r="P156" s="775">
        <f ca="1">SUMIF(CT_tram!$B$661:$G$738,$B156,CT_tram!$G$661:$G$738)</f>
        <v>0</v>
      </c>
      <c r="Q156" s="775">
        <f ca="1">SUMIF(CT_tram!$B$745:$G$899,$B156,CT_tram!$G$745:$G$899)</f>
        <v>0</v>
      </c>
      <c r="R156" s="775">
        <f ca="1">SUMIF(CT_tram!$B$907:$G$995,$B156,CT_tram!$G$907:$G$995)</f>
        <v>0</v>
      </c>
      <c r="S156" s="775"/>
      <c r="T156" s="775">
        <f ca="1">SUMIF(CT_tram!$B$1004:$G$1097,B156,CT_tram!$G$1004:$G$1097)</f>
        <v>0</v>
      </c>
      <c r="U156" s="775"/>
      <c r="V156" s="775">
        <f ca="1">SUMIF(CT_tram!$B$1226:$G$1352,kl!B156,CT_tram!$G$1226:$G$1352)</f>
        <v>0</v>
      </c>
      <c r="W156" s="780">
        <f ca="1">SUMIF(CT_tram!$B$1105:$G$1219,kl!B156,CT_tram!$G$1105:$G$1219)</f>
        <v>0</v>
      </c>
      <c r="X156" s="775">
        <f ca="1">SUMIF(CT_tram!$B$1359:$G$1504,kl!B156,CT_tram!$G$1359:$G$1504)</f>
        <v>0</v>
      </c>
      <c r="Y156" s="775">
        <f ca="1">SUMIF(CT_tram!$B$1511:$G$1625,kl!B156,CT_tram!$G$1511:$G$1625)</f>
        <v>0</v>
      </c>
      <c r="Z156" s="775">
        <f ca="1">SUMIF(CT_tram!$B$1632:$G$2211,kl!B156,CT_tram!$G$1632:$G$2211)</f>
        <v>0</v>
      </c>
      <c r="AA156" s="775">
        <f ca="1">SUMIF(CT_tram!$B$2243:$G$2384,kl!B156,CT_tram!$G$2243:$G$2384)</f>
        <v>0</v>
      </c>
      <c r="AB156" s="775">
        <f ca="1">SUMIF(CT_tram!$B$2391:$G$2563,kl!B156,CT_tram!$G$2391:$G$2563)</f>
        <v>0</v>
      </c>
      <c r="AC156" s="775">
        <f ca="1">SUMIF(chitiet!$B$13:$N$2352,kl!$B156,chitiet!$I$13:$I$2352)</f>
        <v>0</v>
      </c>
      <c r="AD156" s="775">
        <f ca="1">SUMIF(chitiet!$B$13:$N$2352,kl!$B156,chitiet!$J$13:$J$2352)</f>
        <v>0</v>
      </c>
      <c r="AE156" s="775">
        <f ca="1">SUMIF(chitiet!$B$13:$N$2352,kl!$B156,chitiet!$K$13:$K$2352)</f>
        <v>0</v>
      </c>
      <c r="AF156" s="775">
        <f ca="1">SUMIF(chitiet!$B$13:$N$2352,kl!$B156,chitiet!$L$13:$L$2352)</f>
        <v>0</v>
      </c>
      <c r="AG156" s="775">
        <f ca="1">SUMIF(chitiet!$B$13:$N$2352,kl!$B156,chitiet!$M$13)</f>
        <v>0</v>
      </c>
      <c r="AH156" s="775">
        <f ca="1">SUMIF(chitiet!$B$13:$N$2352,kl!$B156,chitiet!$N$13:$N$2352)</f>
        <v>0</v>
      </c>
      <c r="AI156" s="775">
        <f ca="1">SUMIF(chitiet!$B$13:$N$2352,kl!$B156,chitiet!$O$13:$O$2352)</f>
        <v>0</v>
      </c>
      <c r="AJ156" s="775">
        <f ca="1">SUMIF('Cap ngam'!$B$631:$G$723,kl!$B156,'Cap ngam'!$G$631:$G$723)</f>
        <v>0</v>
      </c>
      <c r="AK156" s="775">
        <f ca="1">SUMIF('Cap ngam'!$B$403:$G$628,kl!$B156,'Cap ngam'!G$403:G$628)</f>
        <v>0</v>
      </c>
      <c r="AL156" s="775">
        <f ca="1">SUMIF('Cap ngam'!B$16:G$400,kl!$B156,'Cap ngam'!G$16:G$400)</f>
        <v>0</v>
      </c>
      <c r="AM156" s="776">
        <v>1.069</v>
      </c>
      <c r="AN156" s="775">
        <f t="shared" ca="1" si="87"/>
        <v>0</v>
      </c>
      <c r="AO156" s="775">
        <f t="shared" ca="1" si="88"/>
        <v>0</v>
      </c>
      <c r="AP156" s="775">
        <f t="shared" ca="1" si="89"/>
        <v>0</v>
      </c>
      <c r="AQ156" s="775">
        <f t="shared" ca="1" si="90"/>
        <v>0</v>
      </c>
      <c r="AR156" s="775">
        <f t="shared" ca="1" si="91"/>
        <v>0</v>
      </c>
      <c r="AS156" s="775">
        <f t="shared" ca="1" si="92"/>
        <v>0</v>
      </c>
      <c r="AT156" s="775">
        <f t="shared" ca="1" si="93"/>
        <v>0</v>
      </c>
      <c r="AU156" s="775">
        <f t="shared" ca="1" si="94"/>
        <v>0</v>
      </c>
      <c r="AV156" s="775">
        <f t="shared" ca="1" si="95"/>
        <v>0</v>
      </c>
      <c r="AW156" s="775">
        <f t="shared" ca="1" si="96"/>
        <v>0</v>
      </c>
      <c r="AX156" s="775">
        <f t="shared" si="97"/>
        <v>0</v>
      </c>
      <c r="AY156" s="775">
        <f t="shared" ca="1" si="98"/>
        <v>0</v>
      </c>
      <c r="AZ156" s="775">
        <f t="shared" si="99"/>
        <v>0</v>
      </c>
      <c r="BA156" s="775">
        <f t="shared" ca="1" si="80"/>
        <v>0</v>
      </c>
      <c r="BB156" s="775">
        <f t="shared" ca="1" si="81"/>
        <v>0</v>
      </c>
      <c r="BC156" s="775">
        <f t="shared" ca="1" si="82"/>
        <v>0</v>
      </c>
      <c r="BD156" s="775">
        <f t="shared" ca="1" si="83"/>
        <v>0</v>
      </c>
      <c r="BE156" s="775">
        <f t="shared" ca="1" si="84"/>
        <v>0</v>
      </c>
      <c r="BF156" s="775">
        <f t="shared" ca="1" si="85"/>
        <v>0</v>
      </c>
      <c r="BG156" s="775">
        <f t="shared" ca="1" si="86"/>
        <v>0</v>
      </c>
      <c r="BH156" s="775">
        <f t="shared" ca="1" si="100"/>
        <v>0</v>
      </c>
      <c r="BI156" s="775">
        <f t="shared" ca="1" si="101"/>
        <v>0</v>
      </c>
      <c r="BJ156" s="775">
        <f t="shared" ca="1" si="102"/>
        <v>0</v>
      </c>
      <c r="BK156" s="775">
        <f t="shared" ca="1" si="103"/>
        <v>0</v>
      </c>
      <c r="BL156" s="775">
        <f t="shared" ca="1" si="104"/>
        <v>0</v>
      </c>
      <c r="BM156" s="775">
        <f t="shared" ca="1" si="105"/>
        <v>0</v>
      </c>
      <c r="BN156" s="775">
        <f t="shared" ca="1" si="106"/>
        <v>0</v>
      </c>
      <c r="BO156" s="775">
        <f t="shared" ca="1" si="107"/>
        <v>0</v>
      </c>
      <c r="BP156" s="775">
        <f t="shared" ca="1" si="108"/>
        <v>0</v>
      </c>
      <c r="BQ156" s="775">
        <f t="shared" ca="1" si="75"/>
        <v>0</v>
      </c>
      <c r="BR156" s="775">
        <f t="shared" ca="1" si="109"/>
        <v>0</v>
      </c>
    </row>
    <row r="157" spans="1:70" s="790" customFormat="1">
      <c r="A157" s="790" t="str">
        <f ca="1">IF(F157&lt;&gt;0,"X","")</f>
        <v/>
      </c>
      <c r="B157" s="791" t="s">
        <v>770</v>
      </c>
      <c r="C157" s="792" t="str">
        <f ca="1">IF(F157=0,"",COUNTIF($F$78:$F157,"&gt;0"))</f>
        <v/>
      </c>
      <c r="D157" s="793" t="str">
        <f>VLOOKUP($B157,dongia1,DG!$C$5,)</f>
        <v>Cáp 24KV AC/XLPE/PVC 50mm2</v>
      </c>
      <c r="E157" s="794" t="str">
        <f>VLOOKUP($B157,dongia1,DG!$D$5,)</f>
        <v>mét</v>
      </c>
      <c r="F157" s="795">
        <f t="shared" ca="1" si="79"/>
        <v>0</v>
      </c>
      <c r="G157" s="796">
        <f t="shared" ca="1" si="76"/>
        <v>0</v>
      </c>
      <c r="H157" s="796">
        <f ca="1">SUMIF(CT_tram!$B$33:$G$3559,kl!B157,CT_tram!$G$33:$G$3559)</f>
        <v>0</v>
      </c>
      <c r="I157" s="775">
        <f ca="1">SUMIF(CT_tram!$B$34:$G$115,$B157,CT_tram!$G$34:$G$115)</f>
        <v>0</v>
      </c>
      <c r="J157" s="775">
        <f ca="1">SUMIF(CT_tram!$B$122:$G$204,$B157,CT_tram!$G$122:$G$204)</f>
        <v>0</v>
      </c>
      <c r="K157" s="775">
        <f ca="1">SUMIF(CT_tram!$B$211:$G$293,$B157,CT_tram!$G$211:$G$293)</f>
        <v>0</v>
      </c>
      <c r="L157" s="775">
        <f ca="1">SUMIF(CT_tram!$B$300:$G$374,$B157,CT_tram!$G$300:$G$374)</f>
        <v>0</v>
      </c>
      <c r="M157" s="775">
        <f ca="1">SUMIF(CT_tram!$B$381:$G$471,$B157,CT_tram!$G$381:$G$471)</f>
        <v>0</v>
      </c>
      <c r="N157" s="775">
        <f ca="1">SUMIF(CT_tram!$B$478:$G$560,$B157,CT_tram!$G$478:$G$560)</f>
        <v>0</v>
      </c>
      <c r="O157" s="775">
        <f ca="1">SUMIF(CT_tram!$B$567:$G$653,$B157,CT_tram!$G$567:$G$653)</f>
        <v>0</v>
      </c>
      <c r="P157" s="775">
        <f ca="1">SUMIF(CT_tram!$B$661:$G$738,$B157,CT_tram!$G$661:$G$738)</f>
        <v>0</v>
      </c>
      <c r="Q157" s="775">
        <f ca="1">SUMIF(CT_tram!$B$745:$G$899,$B157,CT_tram!$G$745:$G$899)</f>
        <v>0</v>
      </c>
      <c r="R157" s="775">
        <f ca="1">SUMIF(CT_tram!$B$907:$G$995,$B157,CT_tram!$G$907:$G$995)</f>
        <v>0</v>
      </c>
      <c r="S157" s="775"/>
      <c r="T157" s="775">
        <f ca="1">SUMIF(CT_tram!$B$1004:$G$1097,B157,CT_tram!$G$1004:$G$1097)</f>
        <v>0</v>
      </c>
      <c r="U157" s="775"/>
      <c r="V157" s="796">
        <f ca="1">SUMIF(CT_tram!$B$1226:$G$1352,kl!B157,CT_tram!$G$1226:$G$1352)</f>
        <v>0</v>
      </c>
      <c r="W157" s="780">
        <f ca="1">SUMIF(CT_tram!$B$1105:$G$1219,kl!B157,CT_tram!$G$1105:$G$1219)</f>
        <v>0</v>
      </c>
      <c r="X157" s="796">
        <f ca="1">SUMIF(CT_tram!$B$1359:$G$1504,kl!B157,CT_tram!$G$1359:$G$1504)</f>
        <v>0</v>
      </c>
      <c r="Y157" s="796">
        <f ca="1">SUMIF(CT_tram!$B$1511:$G$1625,kl!B157,CT_tram!$G$1511:$G$1625)</f>
        <v>0</v>
      </c>
      <c r="Z157" s="775">
        <f ca="1">SUMIF(CT_tram!$B$1632:$G$2211,kl!B157,CT_tram!$G$1632:$G$2211)</f>
        <v>0</v>
      </c>
      <c r="AA157" s="796">
        <f ca="1">SUMIF(CT_tram!$B$2243:$G$2384,kl!B157,CT_tram!$G$2243:$G$2384)</f>
        <v>0</v>
      </c>
      <c r="AB157" s="796">
        <f ca="1">SUMIF(CT_tram!$B$2391:$G$2563,kl!B157,CT_tram!$G$2391:$G$2563)</f>
        <v>0</v>
      </c>
      <c r="AC157" s="796">
        <f ca="1">SUMIF(chitiet!$B$13:$N$2352,kl!$B157,chitiet!$I$13:$I$2352)</f>
        <v>0</v>
      </c>
      <c r="AD157" s="796">
        <f ca="1">SUMIF(chitiet!$B$13:$N$2352,kl!$B157,chitiet!$J$13:$J$2352)</f>
        <v>0</v>
      </c>
      <c r="AE157" s="796">
        <f ca="1">SUMIF(chitiet!$B$13:$N$2352,kl!$B157,chitiet!$K$13:$K$2352)</f>
        <v>0</v>
      </c>
      <c r="AF157" s="796">
        <f ca="1">SUMIF(chitiet!$B$13:$N$2352,kl!$B157,chitiet!$L$13:$L$2352)</f>
        <v>0</v>
      </c>
      <c r="AG157" s="796">
        <f ca="1">SUMIF(chitiet!$B$13:$N$2352,kl!$B157,chitiet!$M$13)</f>
        <v>0</v>
      </c>
      <c r="AH157" s="796">
        <f ca="1">SUMIF(chitiet!$B$13:$N$2352,kl!$B157,chitiet!$N$13:$N$2352)</f>
        <v>0</v>
      </c>
      <c r="AI157" s="796">
        <f ca="1">SUMIF(chitiet!$B$13:$N$2352,kl!$B157,chitiet!$O$13:$O$2352)</f>
        <v>0</v>
      </c>
      <c r="AJ157" s="796">
        <f ca="1">SUMIF('Cap ngam'!$B$631:$G$723,kl!$B157,'Cap ngam'!$G$631:$G$723)</f>
        <v>0</v>
      </c>
      <c r="AK157" s="796">
        <f ca="1">SUMIF('Cap ngam'!$B$403:$G$628,kl!$B157,'Cap ngam'!G$403:G$628)</f>
        <v>0</v>
      </c>
      <c r="AL157" s="796">
        <f ca="1">SUMIF('Cap ngam'!B$16:G$400,kl!$B157,'Cap ngam'!G$16:G$400)</f>
        <v>0</v>
      </c>
      <c r="AM157" s="797">
        <v>0.66500000000000004</v>
      </c>
      <c r="AN157" s="775">
        <f t="shared" ca="1" si="87"/>
        <v>0</v>
      </c>
      <c r="AO157" s="775">
        <f t="shared" ca="1" si="88"/>
        <v>0</v>
      </c>
      <c r="AP157" s="775">
        <f t="shared" ca="1" si="89"/>
        <v>0</v>
      </c>
      <c r="AQ157" s="775">
        <f t="shared" ca="1" si="90"/>
        <v>0</v>
      </c>
      <c r="AR157" s="775">
        <f t="shared" ca="1" si="91"/>
        <v>0</v>
      </c>
      <c r="AS157" s="775">
        <f t="shared" ca="1" si="92"/>
        <v>0</v>
      </c>
      <c r="AT157" s="775">
        <f t="shared" ca="1" si="93"/>
        <v>0</v>
      </c>
      <c r="AU157" s="775">
        <f t="shared" ca="1" si="94"/>
        <v>0</v>
      </c>
      <c r="AV157" s="775">
        <f t="shared" ca="1" si="95"/>
        <v>0</v>
      </c>
      <c r="AW157" s="775">
        <f t="shared" ca="1" si="96"/>
        <v>0</v>
      </c>
      <c r="AX157" s="775">
        <f t="shared" si="97"/>
        <v>0</v>
      </c>
      <c r="AY157" s="775">
        <f t="shared" ca="1" si="98"/>
        <v>0</v>
      </c>
      <c r="AZ157" s="775">
        <f t="shared" si="99"/>
        <v>0</v>
      </c>
      <c r="BA157" s="796">
        <f t="shared" ca="1" si="80"/>
        <v>0</v>
      </c>
      <c r="BB157" s="775">
        <f t="shared" ca="1" si="81"/>
        <v>0</v>
      </c>
      <c r="BC157" s="796">
        <f t="shared" ca="1" si="82"/>
        <v>0</v>
      </c>
      <c r="BD157" s="796">
        <f t="shared" ca="1" si="83"/>
        <v>0</v>
      </c>
      <c r="BE157" s="796">
        <f t="shared" ca="1" si="84"/>
        <v>0</v>
      </c>
      <c r="BF157" s="796">
        <f t="shared" ca="1" si="85"/>
        <v>0</v>
      </c>
      <c r="BG157" s="796">
        <f t="shared" ca="1" si="86"/>
        <v>0</v>
      </c>
      <c r="BH157" s="796">
        <f t="shared" ca="1" si="100"/>
        <v>0</v>
      </c>
      <c r="BI157" s="796">
        <f t="shared" ca="1" si="101"/>
        <v>0</v>
      </c>
      <c r="BJ157" s="796">
        <f t="shared" ca="1" si="102"/>
        <v>0</v>
      </c>
      <c r="BK157" s="796">
        <f t="shared" ca="1" si="103"/>
        <v>0</v>
      </c>
      <c r="BL157" s="796">
        <f t="shared" ca="1" si="104"/>
        <v>0</v>
      </c>
      <c r="BM157" s="796">
        <f t="shared" ca="1" si="105"/>
        <v>0</v>
      </c>
      <c r="BN157" s="796">
        <f t="shared" ca="1" si="106"/>
        <v>0</v>
      </c>
      <c r="BO157" s="796">
        <f t="shared" ca="1" si="107"/>
        <v>0</v>
      </c>
      <c r="BP157" s="796">
        <f t="shared" ca="1" si="108"/>
        <v>0</v>
      </c>
      <c r="BQ157" s="796">
        <f t="shared" ca="1" si="75"/>
        <v>0</v>
      </c>
      <c r="BR157" s="796">
        <f t="shared" ca="1" si="109"/>
        <v>0</v>
      </c>
    </row>
    <row r="158" spans="1:70" s="790" customFormat="1">
      <c r="A158" s="790" t="str">
        <f ca="1">IF(F158&lt;&gt;0,"X","")</f>
        <v/>
      </c>
      <c r="B158" s="791" t="s">
        <v>771</v>
      </c>
      <c r="C158" s="792" t="str">
        <f ca="1">IF(F158=0,"",COUNTIF($F$78:$F158,"&gt;0"))</f>
        <v/>
      </c>
      <c r="D158" s="793" t="str">
        <f>VLOOKUP($B158,dongia1,DG!$C$5,)</f>
        <v>Cáp 24KV AC/XLPE/PVC 70mm2</v>
      </c>
      <c r="E158" s="794" t="str">
        <f>VLOOKUP($B158,dongia1,DG!$D$5,)</f>
        <v>mét</v>
      </c>
      <c r="F158" s="795">
        <f t="shared" ca="1" si="79"/>
        <v>0</v>
      </c>
      <c r="G158" s="796">
        <f t="shared" ca="1" si="76"/>
        <v>0</v>
      </c>
      <c r="H158" s="796">
        <f ca="1">SUMIF(CT_tram!$B$33:$G$3559,kl!B158,CT_tram!$G$33:$G$3559)</f>
        <v>0</v>
      </c>
      <c r="I158" s="775">
        <f ca="1">SUMIF(CT_tram!$B$34:$G$115,$B158,CT_tram!$G$34:$G$115)</f>
        <v>0</v>
      </c>
      <c r="J158" s="775">
        <f ca="1">SUMIF(CT_tram!$B$122:$G$204,$B158,CT_tram!$G$122:$G$204)</f>
        <v>0</v>
      </c>
      <c r="K158" s="775">
        <f ca="1">SUMIF(CT_tram!$B$211:$G$293,$B158,CT_tram!$G$211:$G$293)</f>
        <v>0</v>
      </c>
      <c r="L158" s="775">
        <f ca="1">SUMIF(CT_tram!$B$300:$G$374,$B158,CT_tram!$G$300:$G$374)</f>
        <v>0</v>
      </c>
      <c r="M158" s="775">
        <f ca="1">SUMIF(CT_tram!$B$381:$G$471,$B158,CT_tram!$G$381:$G$471)</f>
        <v>0</v>
      </c>
      <c r="N158" s="775">
        <f ca="1">SUMIF(CT_tram!$B$478:$G$560,$B158,CT_tram!$G$478:$G$560)</f>
        <v>0</v>
      </c>
      <c r="O158" s="775">
        <f ca="1">SUMIF(CT_tram!$B$567:$G$653,$B158,CT_tram!$G$567:$G$653)</f>
        <v>0</v>
      </c>
      <c r="P158" s="775">
        <f ca="1">SUMIF(CT_tram!$B$661:$G$738,$B158,CT_tram!$G$661:$G$738)</f>
        <v>0</v>
      </c>
      <c r="Q158" s="775">
        <f ca="1">SUMIF(CT_tram!$B$745:$G$899,$B158,CT_tram!$G$745:$G$899)</f>
        <v>0</v>
      </c>
      <c r="R158" s="775">
        <f ca="1">SUMIF(CT_tram!$B$907:$G$995,$B158,CT_tram!$G$907:$G$995)</f>
        <v>0</v>
      </c>
      <c r="S158" s="775"/>
      <c r="T158" s="775">
        <f ca="1">SUMIF(CT_tram!$B$1004:$G$1097,B158,CT_tram!$G$1004:$G$1097)</f>
        <v>0</v>
      </c>
      <c r="U158" s="775"/>
      <c r="V158" s="796">
        <f ca="1">SUMIF(CT_tram!$B$1226:$G$1352,kl!B158,CT_tram!$G$1226:$G$1352)</f>
        <v>0</v>
      </c>
      <c r="W158" s="780">
        <f ca="1">SUMIF(CT_tram!$B$1105:$G$1219,kl!B158,CT_tram!$G$1105:$G$1219)</f>
        <v>0</v>
      </c>
      <c r="X158" s="796">
        <f ca="1">SUMIF(CT_tram!$B$1359:$G$1504,kl!B158,CT_tram!$G$1359:$G$1504)</f>
        <v>0</v>
      </c>
      <c r="Y158" s="796">
        <f ca="1">SUMIF(CT_tram!$B$1511:$G$1625,kl!B158,CT_tram!$G$1511:$G$1625)</f>
        <v>0</v>
      </c>
      <c r="Z158" s="775">
        <f ca="1">SUMIF(CT_tram!$B$1632:$G$2211,kl!B158,CT_tram!$G$1632:$G$2211)</f>
        <v>0</v>
      </c>
      <c r="AA158" s="796">
        <f ca="1">SUMIF(CT_tram!$B$2243:$G$2384,kl!B158,CT_tram!$G$2243:$G$2384)</f>
        <v>0</v>
      </c>
      <c r="AB158" s="796">
        <f ca="1">SUMIF(CT_tram!$B$2391:$G$2563,kl!B158,CT_tram!$G$2391:$G$2563)</f>
        <v>0</v>
      </c>
      <c r="AC158" s="796">
        <f ca="1">SUMIF(chitiet!$B$13:$N$2352,kl!$B158,chitiet!$I$13:$I$2352)</f>
        <v>0</v>
      </c>
      <c r="AD158" s="796">
        <f ca="1">SUMIF(chitiet!$B$13:$N$2352,kl!$B158,chitiet!$J$13:$J$2352)</f>
        <v>0</v>
      </c>
      <c r="AE158" s="796">
        <f ca="1">SUMIF(chitiet!$B$13:$N$2352,kl!$B158,chitiet!$K$13:$K$2352)</f>
        <v>0</v>
      </c>
      <c r="AF158" s="796">
        <f ca="1">SUMIF(chitiet!$B$13:$N$2352,kl!$B158,chitiet!$L$13:$L$2352)</f>
        <v>0</v>
      </c>
      <c r="AG158" s="796">
        <f ca="1">SUMIF(chitiet!$B$13:$N$2352,kl!$B158,chitiet!$M$13)</f>
        <v>0</v>
      </c>
      <c r="AH158" s="796">
        <f ca="1">SUMIF(chitiet!$B$13:$N$2352,kl!$B158,chitiet!$N$13:$N$2352)</f>
        <v>0</v>
      </c>
      <c r="AI158" s="796">
        <f ca="1">SUMIF(chitiet!$B$13:$N$2352,kl!$B158,chitiet!$O$13:$O$2352)</f>
        <v>0</v>
      </c>
      <c r="AJ158" s="796">
        <f ca="1">SUMIF('Cap ngam'!$B$631:$G$723,kl!$B158,'Cap ngam'!$G$631:$G$723)</f>
        <v>0</v>
      </c>
      <c r="AK158" s="796">
        <f ca="1">SUMIF('Cap ngam'!$B$403:$G$628,kl!$B158,'Cap ngam'!G$403:G$628)</f>
        <v>0</v>
      </c>
      <c r="AL158" s="796">
        <f ca="1">SUMIF('Cap ngam'!B$16:G$400,kl!$B158,'Cap ngam'!G$16:G$400)</f>
        <v>0</v>
      </c>
      <c r="AM158" s="797">
        <v>0.79200000000000004</v>
      </c>
      <c r="AN158" s="775">
        <f t="shared" ca="1" si="87"/>
        <v>0</v>
      </c>
      <c r="AO158" s="775">
        <f t="shared" ca="1" si="88"/>
        <v>0</v>
      </c>
      <c r="AP158" s="775">
        <f t="shared" ca="1" si="89"/>
        <v>0</v>
      </c>
      <c r="AQ158" s="775">
        <f t="shared" ca="1" si="90"/>
        <v>0</v>
      </c>
      <c r="AR158" s="775">
        <f t="shared" ca="1" si="91"/>
        <v>0</v>
      </c>
      <c r="AS158" s="775">
        <f t="shared" ca="1" si="92"/>
        <v>0</v>
      </c>
      <c r="AT158" s="775">
        <f t="shared" ca="1" si="93"/>
        <v>0</v>
      </c>
      <c r="AU158" s="775">
        <f t="shared" ca="1" si="94"/>
        <v>0</v>
      </c>
      <c r="AV158" s="775">
        <f t="shared" ca="1" si="95"/>
        <v>0</v>
      </c>
      <c r="AW158" s="775">
        <f t="shared" ca="1" si="96"/>
        <v>0</v>
      </c>
      <c r="AX158" s="775">
        <f t="shared" si="97"/>
        <v>0</v>
      </c>
      <c r="AY158" s="775">
        <f t="shared" ca="1" si="98"/>
        <v>0</v>
      </c>
      <c r="AZ158" s="775">
        <f t="shared" si="99"/>
        <v>0</v>
      </c>
      <c r="BA158" s="796">
        <f t="shared" ca="1" si="80"/>
        <v>0</v>
      </c>
      <c r="BB158" s="775">
        <f t="shared" ca="1" si="81"/>
        <v>0</v>
      </c>
      <c r="BC158" s="796">
        <f t="shared" ca="1" si="82"/>
        <v>0</v>
      </c>
      <c r="BD158" s="796">
        <f t="shared" ca="1" si="83"/>
        <v>0</v>
      </c>
      <c r="BE158" s="796">
        <f t="shared" ca="1" si="84"/>
        <v>0</v>
      </c>
      <c r="BF158" s="796">
        <f t="shared" ca="1" si="85"/>
        <v>0</v>
      </c>
      <c r="BG158" s="796">
        <f t="shared" ca="1" si="86"/>
        <v>0</v>
      </c>
      <c r="BH158" s="796">
        <f t="shared" ca="1" si="100"/>
        <v>0</v>
      </c>
      <c r="BI158" s="796">
        <f t="shared" ca="1" si="101"/>
        <v>0</v>
      </c>
      <c r="BJ158" s="796">
        <f t="shared" ca="1" si="102"/>
        <v>0</v>
      </c>
      <c r="BK158" s="796">
        <f t="shared" ca="1" si="103"/>
        <v>0</v>
      </c>
      <c r="BL158" s="796">
        <f t="shared" ca="1" si="104"/>
        <v>0</v>
      </c>
      <c r="BM158" s="796">
        <f t="shared" ca="1" si="105"/>
        <v>0</v>
      </c>
      <c r="BN158" s="796">
        <f t="shared" ca="1" si="106"/>
        <v>0</v>
      </c>
      <c r="BO158" s="796">
        <f t="shared" ca="1" si="107"/>
        <v>0</v>
      </c>
      <c r="BP158" s="796">
        <f t="shared" ca="1" si="108"/>
        <v>0</v>
      </c>
      <c r="BQ158" s="796">
        <f t="shared" ca="1" si="75"/>
        <v>0</v>
      </c>
      <c r="BR158" s="796">
        <f t="shared" ca="1" si="109"/>
        <v>0</v>
      </c>
    </row>
    <row r="159" spans="1:70" s="790" customFormat="1">
      <c r="A159" s="790" t="str">
        <f t="shared" ca="1" si="110"/>
        <v/>
      </c>
      <c r="B159" s="791" t="s">
        <v>772</v>
      </c>
      <c r="C159" s="792" t="str">
        <f ca="1">IF(F159=0,"",COUNTIF($F$78:$F159,"&gt;0"))</f>
        <v/>
      </c>
      <c r="D159" s="793" t="str">
        <f>VLOOKUP($B159,dongia1,DG!$C$5,)</f>
        <v>Cáp 24KV AC/XLPE/PVC 95mm2</v>
      </c>
      <c r="E159" s="794" t="str">
        <f>VLOOKUP($B159,dongia1,DG!$D$5,)</f>
        <v>mét</v>
      </c>
      <c r="F159" s="795">
        <f ca="1">G159+H159</f>
        <v>0</v>
      </c>
      <c r="G159" s="796">
        <f ca="1">SUM(AC159:AL159)</f>
        <v>0</v>
      </c>
      <c r="H159" s="796">
        <f ca="1">SUMIF(CT_tram!$B$33:$G$3559,kl!B159,CT_tram!$G$33:$G$3559)</f>
        <v>0</v>
      </c>
      <c r="I159" s="775">
        <f ca="1">SUMIF(CT_tram!$B$34:$G$115,$B159,CT_tram!$G$34:$G$115)</f>
        <v>0</v>
      </c>
      <c r="J159" s="775">
        <f ca="1">SUMIF(CT_tram!$B$122:$G$204,$B159,CT_tram!$G$122:$G$204)</f>
        <v>0</v>
      </c>
      <c r="K159" s="775">
        <f ca="1">SUMIF(CT_tram!$B$211:$G$293,$B159,CT_tram!$G$211:$G$293)</f>
        <v>0</v>
      </c>
      <c r="L159" s="775">
        <f ca="1">SUMIF(CT_tram!$B$300:$G$374,$B159,CT_tram!$G$300:$G$374)</f>
        <v>0</v>
      </c>
      <c r="M159" s="775">
        <f ca="1">SUMIF(CT_tram!$B$381:$G$471,$B159,CT_tram!$G$381:$G$471)</f>
        <v>0</v>
      </c>
      <c r="N159" s="775">
        <f ca="1">SUMIF(CT_tram!$B$478:$G$560,$B159,CT_tram!$G$478:$G$560)</f>
        <v>0</v>
      </c>
      <c r="O159" s="775">
        <f ca="1">SUMIF(CT_tram!$B$567:$G$653,$B159,CT_tram!$G$567:$G$653)</f>
        <v>0</v>
      </c>
      <c r="P159" s="775">
        <f ca="1">SUMIF(CT_tram!$B$661:$G$738,$B159,CT_tram!$G$661:$G$738)</f>
        <v>0</v>
      </c>
      <c r="Q159" s="775">
        <f ca="1">SUMIF(CT_tram!$B$745:$G$899,$B159,CT_tram!$G$745:$G$899)</f>
        <v>0</v>
      </c>
      <c r="R159" s="775">
        <f ca="1">SUMIF(CT_tram!$B$907:$G$995,$B159,CT_tram!$G$907:$G$995)</f>
        <v>0</v>
      </c>
      <c r="S159" s="775"/>
      <c r="T159" s="775">
        <f ca="1">SUMIF(CT_tram!$B$1004:$G$1097,B159,CT_tram!$G$1004:$G$1097)</f>
        <v>0</v>
      </c>
      <c r="U159" s="775"/>
      <c r="V159" s="796">
        <f ca="1">SUMIF(CT_tram!$B$1226:$G$1352,kl!B159,CT_tram!$G$1226:$G$1352)</f>
        <v>0</v>
      </c>
      <c r="W159" s="780">
        <f ca="1">SUMIF(CT_tram!$B$1105:$G$1219,kl!B159,CT_tram!$G$1105:$G$1219)</f>
        <v>0</v>
      </c>
      <c r="X159" s="796">
        <f ca="1">SUMIF(CT_tram!$B$1359:$G$1504,kl!B159,CT_tram!$G$1359:$G$1504)</f>
        <v>0</v>
      </c>
      <c r="Y159" s="796">
        <f ca="1">SUMIF(CT_tram!$B$1511:$G$1625,kl!B159,CT_tram!$G$1511:$G$1625)</f>
        <v>0</v>
      </c>
      <c r="Z159" s="775">
        <f ca="1">SUMIF(CT_tram!$B$1632:$G$2211,kl!B159,CT_tram!$G$1632:$G$2211)</f>
        <v>0</v>
      </c>
      <c r="AA159" s="796">
        <f ca="1">SUMIF(CT_tram!$B$2243:$G$2384,kl!B159,CT_tram!$G$2243:$G$2384)</f>
        <v>0</v>
      </c>
      <c r="AB159" s="796">
        <f ca="1">SUMIF(CT_tram!$B$2391:$G$2563,kl!B159,CT_tram!$G$2391:$G$2563)</f>
        <v>0</v>
      </c>
      <c r="AC159" s="796">
        <f ca="1">SUMIF(chitiet!$B$13:$N$2352,kl!$B159,chitiet!$I$13:$I$2352)</f>
        <v>0</v>
      </c>
      <c r="AD159" s="796">
        <f ca="1">SUMIF(chitiet!$B$13:$N$2352,kl!$B159,chitiet!$J$13:$J$2352)</f>
        <v>0</v>
      </c>
      <c r="AE159" s="796">
        <f ca="1">SUMIF(chitiet!$B$13:$N$2352,kl!$B159,chitiet!$K$13:$K$2352)</f>
        <v>0</v>
      </c>
      <c r="AF159" s="796">
        <f ca="1">SUMIF(chitiet!$B$13:$N$2352,kl!$B159,chitiet!$L$13:$L$2352)</f>
        <v>0</v>
      </c>
      <c r="AG159" s="796">
        <f ca="1">SUMIF(chitiet!$B$13:$N$2352,kl!$B159,chitiet!$M$13)</f>
        <v>0</v>
      </c>
      <c r="AH159" s="796">
        <f ca="1">SUMIF(chitiet!$B$13:$N$2352,kl!$B159,chitiet!$N$13:$N$2352)</f>
        <v>0</v>
      </c>
      <c r="AI159" s="796">
        <f ca="1">SUMIF(chitiet!$B$13:$N$2352,kl!$B159,chitiet!$O$13:$O$2352)</f>
        <v>0</v>
      </c>
      <c r="AJ159" s="796">
        <f ca="1">SUMIF('Cap ngam'!$B$631:$G$723,kl!$B159,'Cap ngam'!$G$631:$G$723)</f>
        <v>0</v>
      </c>
      <c r="AK159" s="796">
        <f ca="1">SUMIF('Cap ngam'!$B$403:$G$628,kl!$B159,'Cap ngam'!G$403:G$628)</f>
        <v>0</v>
      </c>
      <c r="AL159" s="796">
        <f ca="1">SUMIF('Cap ngam'!B$16:G$400,kl!$B159,'Cap ngam'!G$16:G$400)</f>
        <v>0</v>
      </c>
      <c r="AM159" s="797">
        <v>0.97099999999999997</v>
      </c>
      <c r="AN159" s="775">
        <f t="shared" ca="1" si="87"/>
        <v>0</v>
      </c>
      <c r="AO159" s="775">
        <f t="shared" ca="1" si="88"/>
        <v>0</v>
      </c>
      <c r="AP159" s="775">
        <f t="shared" ca="1" si="89"/>
        <v>0</v>
      </c>
      <c r="AQ159" s="775">
        <f t="shared" ca="1" si="90"/>
        <v>0</v>
      </c>
      <c r="AR159" s="775">
        <f t="shared" ca="1" si="91"/>
        <v>0</v>
      </c>
      <c r="AS159" s="775">
        <f t="shared" ca="1" si="92"/>
        <v>0</v>
      </c>
      <c r="AT159" s="775">
        <f t="shared" ca="1" si="93"/>
        <v>0</v>
      </c>
      <c r="AU159" s="775">
        <f t="shared" ca="1" si="94"/>
        <v>0</v>
      </c>
      <c r="AV159" s="775">
        <f t="shared" ca="1" si="95"/>
        <v>0</v>
      </c>
      <c r="AW159" s="775">
        <f t="shared" ca="1" si="96"/>
        <v>0</v>
      </c>
      <c r="AX159" s="775">
        <f t="shared" si="97"/>
        <v>0</v>
      </c>
      <c r="AY159" s="775">
        <f t="shared" ca="1" si="98"/>
        <v>0</v>
      </c>
      <c r="AZ159" s="775">
        <f t="shared" si="99"/>
        <v>0</v>
      </c>
      <c r="BA159" s="796">
        <f t="shared" ca="1" si="80"/>
        <v>0</v>
      </c>
      <c r="BB159" s="775">
        <f t="shared" ca="1" si="81"/>
        <v>0</v>
      </c>
      <c r="BC159" s="796">
        <f t="shared" ca="1" si="82"/>
        <v>0</v>
      </c>
      <c r="BD159" s="796">
        <f t="shared" ca="1" si="83"/>
        <v>0</v>
      </c>
      <c r="BE159" s="796">
        <f t="shared" ca="1" si="84"/>
        <v>0</v>
      </c>
      <c r="BF159" s="796">
        <f t="shared" ca="1" si="85"/>
        <v>0</v>
      </c>
      <c r="BG159" s="796">
        <f t="shared" ca="1" si="86"/>
        <v>0</v>
      </c>
      <c r="BH159" s="796">
        <f t="shared" ca="1" si="100"/>
        <v>0</v>
      </c>
      <c r="BI159" s="796">
        <f t="shared" ca="1" si="101"/>
        <v>0</v>
      </c>
      <c r="BJ159" s="796">
        <f t="shared" ca="1" si="102"/>
        <v>0</v>
      </c>
      <c r="BK159" s="796">
        <f t="shared" ca="1" si="103"/>
        <v>0</v>
      </c>
      <c r="BL159" s="796">
        <f t="shared" ca="1" si="104"/>
        <v>0</v>
      </c>
      <c r="BM159" s="796">
        <f t="shared" ca="1" si="105"/>
        <v>0</v>
      </c>
      <c r="BN159" s="796">
        <f t="shared" ca="1" si="106"/>
        <v>0</v>
      </c>
      <c r="BO159" s="796">
        <f t="shared" ca="1" si="107"/>
        <v>0</v>
      </c>
      <c r="BP159" s="796">
        <f t="shared" ca="1" si="108"/>
        <v>0</v>
      </c>
      <c r="BQ159" s="796">
        <f t="shared" ca="1" si="75"/>
        <v>0</v>
      </c>
      <c r="BR159" s="796">
        <f t="shared" ca="1" si="109"/>
        <v>0</v>
      </c>
    </row>
    <row r="160" spans="1:70" s="790" customFormat="1">
      <c r="A160" s="790" t="str">
        <f ca="1">IF(F160&lt;&gt;0,"X","")</f>
        <v/>
      </c>
      <c r="B160" s="791" t="s">
        <v>773</v>
      </c>
      <c r="C160" s="792" t="str">
        <f ca="1">IF(F160=0,"",COUNTIF($F$78:$F160,"&gt;0"))</f>
        <v/>
      </c>
      <c r="D160" s="793" t="str">
        <f>VLOOKUP($B160,dongia1,DG!$C$5,)</f>
        <v>Cáp 24KV AC/XLPE/PVC 120mm2</v>
      </c>
      <c r="E160" s="794" t="str">
        <f>VLOOKUP($B160,dongia1,DG!$D$5,)</f>
        <v>mét</v>
      </c>
      <c r="F160" s="795">
        <f t="shared" ca="1" si="79"/>
        <v>0</v>
      </c>
      <c r="G160" s="796">
        <f ca="1">SUM(AC160:AL160)</f>
        <v>0</v>
      </c>
      <c r="H160" s="796">
        <f ca="1">SUMIF(CT_tram!$B$33:$G$3559,kl!B160,CT_tram!$G$33:$G$3559)</f>
        <v>0</v>
      </c>
      <c r="I160" s="775">
        <f ca="1">SUMIF(CT_tram!$B$34:$G$115,$B160,CT_tram!$G$34:$G$115)</f>
        <v>0</v>
      </c>
      <c r="J160" s="775">
        <f ca="1">SUMIF(CT_tram!$B$122:$G$204,$B160,CT_tram!$G$122:$G$204)</f>
        <v>0</v>
      </c>
      <c r="K160" s="775">
        <f ca="1">SUMIF(CT_tram!$B$211:$G$293,$B160,CT_tram!$G$211:$G$293)</f>
        <v>0</v>
      </c>
      <c r="L160" s="775">
        <f ca="1">SUMIF(CT_tram!$B$300:$G$374,$B160,CT_tram!$G$300:$G$374)</f>
        <v>0</v>
      </c>
      <c r="M160" s="775">
        <f ca="1">SUMIF(CT_tram!$B$381:$G$471,$B160,CT_tram!$G$381:$G$471)</f>
        <v>0</v>
      </c>
      <c r="N160" s="775">
        <f ca="1">SUMIF(CT_tram!$B$478:$G$560,$B160,CT_tram!$G$478:$G$560)</f>
        <v>0</v>
      </c>
      <c r="O160" s="775">
        <f ca="1">SUMIF(CT_tram!$B$567:$G$653,$B160,CT_tram!$G$567:$G$653)</f>
        <v>0</v>
      </c>
      <c r="P160" s="775">
        <f ca="1">SUMIF(CT_tram!$B$661:$G$738,$B160,CT_tram!$G$661:$G$738)</f>
        <v>0</v>
      </c>
      <c r="Q160" s="775">
        <f ca="1">SUMIF(CT_tram!$B$745:$G$899,$B160,CT_tram!$G$745:$G$899)</f>
        <v>0</v>
      </c>
      <c r="R160" s="775">
        <f ca="1">SUMIF(CT_tram!$B$907:$G$995,$B160,CT_tram!$G$907:$G$995)</f>
        <v>0</v>
      </c>
      <c r="S160" s="775"/>
      <c r="T160" s="775">
        <f ca="1">SUMIF(CT_tram!$B$1004:$G$1097,B160,CT_tram!$G$1004:$G$1097)</f>
        <v>0</v>
      </c>
      <c r="U160" s="775"/>
      <c r="V160" s="796">
        <f ca="1">SUMIF(CT_tram!$B$1226:$G$1352,kl!B160,CT_tram!$G$1226:$G$1352)</f>
        <v>0</v>
      </c>
      <c r="W160" s="780">
        <f ca="1">SUMIF(CT_tram!$B$1105:$G$1219,kl!B160,CT_tram!$G$1105:$G$1219)</f>
        <v>0</v>
      </c>
      <c r="X160" s="796">
        <f ca="1">SUMIF(CT_tram!$B$1359:$G$1504,kl!B160,CT_tram!$G$1359:$G$1504)</f>
        <v>0</v>
      </c>
      <c r="Y160" s="796">
        <f ca="1">SUMIF(CT_tram!$B$1511:$G$1625,kl!B160,CT_tram!$G$1511:$G$1625)</f>
        <v>0</v>
      </c>
      <c r="Z160" s="775">
        <f ca="1">SUMIF(CT_tram!$B$1632:$G$2211,kl!B160,CT_tram!$G$1632:$G$2211)</f>
        <v>0</v>
      </c>
      <c r="AA160" s="796">
        <f ca="1">SUMIF(CT_tram!$B$2243:$G$2384,kl!B160,CT_tram!$G$2243:$G$2384)</f>
        <v>0</v>
      </c>
      <c r="AB160" s="796">
        <f ca="1">SUMIF(CT_tram!$B$2391:$G$2563,kl!B160,CT_tram!$G$2391:$G$2563)</f>
        <v>0</v>
      </c>
      <c r="AC160" s="796">
        <f ca="1">SUMIF(chitiet!$B$13:$N$2352,kl!$B160,chitiet!$I$13:$I$2352)</f>
        <v>0</v>
      </c>
      <c r="AD160" s="796">
        <f ca="1">SUMIF(chitiet!$B$13:$N$2352,kl!$B160,chitiet!$J$13:$J$2352)</f>
        <v>0</v>
      </c>
      <c r="AE160" s="796">
        <f ca="1">SUMIF(chitiet!$B$13:$N$2352,kl!$B160,chitiet!$K$13:$K$2352)</f>
        <v>0</v>
      </c>
      <c r="AF160" s="796">
        <f ca="1">SUMIF(chitiet!$B$13:$N$2352,kl!$B160,chitiet!$L$13:$L$2352)</f>
        <v>0</v>
      </c>
      <c r="AG160" s="796">
        <f ca="1">SUMIF(chitiet!$B$13:$N$2352,kl!$B160,chitiet!$M$13)</f>
        <v>0</v>
      </c>
      <c r="AH160" s="796">
        <f ca="1">SUMIF(chitiet!$B$13:$N$2352,kl!$B160,chitiet!$N$13:$N$2352)</f>
        <v>0</v>
      </c>
      <c r="AI160" s="796">
        <f ca="1">SUMIF(chitiet!$B$13:$N$2352,kl!$B160,chitiet!$O$13:$O$2352)</f>
        <v>0</v>
      </c>
      <c r="AJ160" s="796">
        <f ca="1">SUMIF('Cap ngam'!$B$631:$G$723,kl!$B160,'Cap ngam'!$G$631:$G$723)</f>
        <v>0</v>
      </c>
      <c r="AK160" s="796">
        <f ca="1">SUMIF('Cap ngam'!$B$403:$G$628,kl!$B160,'Cap ngam'!G$403:G$628)</f>
        <v>0</v>
      </c>
      <c r="AL160" s="796">
        <f ca="1">SUMIF('Cap ngam'!B$16:G$400,kl!$B160,'Cap ngam'!G$16:G$400)</f>
        <v>0</v>
      </c>
      <c r="AM160" s="797">
        <v>1.107</v>
      </c>
      <c r="AN160" s="775">
        <f t="shared" ca="1" si="87"/>
        <v>0</v>
      </c>
      <c r="AO160" s="775">
        <f t="shared" ca="1" si="88"/>
        <v>0</v>
      </c>
      <c r="AP160" s="775">
        <f t="shared" ca="1" si="89"/>
        <v>0</v>
      </c>
      <c r="AQ160" s="775">
        <f t="shared" ca="1" si="90"/>
        <v>0</v>
      </c>
      <c r="AR160" s="775">
        <f t="shared" ca="1" si="91"/>
        <v>0</v>
      </c>
      <c r="AS160" s="775">
        <f t="shared" ca="1" si="92"/>
        <v>0</v>
      </c>
      <c r="AT160" s="775">
        <f t="shared" ca="1" si="93"/>
        <v>0</v>
      </c>
      <c r="AU160" s="775">
        <f t="shared" ca="1" si="94"/>
        <v>0</v>
      </c>
      <c r="AV160" s="775">
        <f t="shared" ca="1" si="95"/>
        <v>0</v>
      </c>
      <c r="AW160" s="775">
        <f t="shared" ca="1" si="96"/>
        <v>0</v>
      </c>
      <c r="AX160" s="775">
        <f t="shared" si="97"/>
        <v>0</v>
      </c>
      <c r="AY160" s="775">
        <f t="shared" ca="1" si="98"/>
        <v>0</v>
      </c>
      <c r="AZ160" s="775">
        <f t="shared" si="99"/>
        <v>0</v>
      </c>
      <c r="BA160" s="796">
        <f t="shared" ca="1" si="80"/>
        <v>0</v>
      </c>
      <c r="BB160" s="775">
        <f t="shared" ca="1" si="81"/>
        <v>0</v>
      </c>
      <c r="BC160" s="796">
        <f t="shared" ca="1" si="82"/>
        <v>0</v>
      </c>
      <c r="BD160" s="796">
        <f t="shared" ca="1" si="83"/>
        <v>0</v>
      </c>
      <c r="BE160" s="796">
        <f t="shared" ca="1" si="84"/>
        <v>0</v>
      </c>
      <c r="BF160" s="796">
        <f t="shared" ca="1" si="85"/>
        <v>0</v>
      </c>
      <c r="BG160" s="796">
        <f t="shared" ca="1" si="86"/>
        <v>0</v>
      </c>
      <c r="BH160" s="796">
        <f t="shared" ca="1" si="100"/>
        <v>0</v>
      </c>
      <c r="BI160" s="796">
        <f t="shared" ca="1" si="101"/>
        <v>0</v>
      </c>
      <c r="BJ160" s="796">
        <f t="shared" ca="1" si="102"/>
        <v>0</v>
      </c>
      <c r="BK160" s="796">
        <f t="shared" ca="1" si="103"/>
        <v>0</v>
      </c>
      <c r="BL160" s="796">
        <f t="shared" ca="1" si="104"/>
        <v>0</v>
      </c>
      <c r="BM160" s="796">
        <f t="shared" ca="1" si="105"/>
        <v>0</v>
      </c>
      <c r="BN160" s="796">
        <f t="shared" ca="1" si="106"/>
        <v>0</v>
      </c>
      <c r="BO160" s="796">
        <f t="shared" ca="1" si="107"/>
        <v>0</v>
      </c>
      <c r="BP160" s="796">
        <f t="shared" ca="1" si="108"/>
        <v>0</v>
      </c>
      <c r="BQ160" s="796">
        <f t="shared" ca="1" si="75"/>
        <v>0</v>
      </c>
      <c r="BR160" s="796">
        <f t="shared" ca="1" si="109"/>
        <v>0</v>
      </c>
    </row>
    <row r="161" spans="1:70" s="790" customFormat="1">
      <c r="A161" s="790" t="str">
        <f t="shared" ref="A161:A170" ca="1" si="111">IF(F161&lt;&gt;0,"X","")</f>
        <v/>
      </c>
      <c r="B161" s="791" t="s">
        <v>774</v>
      </c>
      <c r="C161" s="792" t="str">
        <f ca="1">IF(F161=0,"",COUNTIF($F$78:$F161,"&gt;0"))</f>
        <v/>
      </c>
      <c r="D161" s="793" t="str">
        <f>VLOOKUP($B161,dongia1,DG!$C$5,)</f>
        <v>Cáp 24KV AC/XLPE/PVC 150mm2</v>
      </c>
      <c r="E161" s="794" t="str">
        <f>VLOOKUP($B161,dongia1,DG!$D$5,)</f>
        <v>mét</v>
      </c>
      <c r="F161" s="795">
        <f t="shared" ref="F161:F170" ca="1" si="112">G161+H161</f>
        <v>0</v>
      </c>
      <c r="G161" s="796">
        <f t="shared" ref="G161:G170" ca="1" si="113">SUM(AC161:AL161)</f>
        <v>0</v>
      </c>
      <c r="H161" s="796">
        <f ca="1">SUMIF(CT_tram!$B$33:$G$3559,kl!B161,CT_tram!$G$33:$G$3559)</f>
        <v>0</v>
      </c>
      <c r="I161" s="775">
        <f ca="1">SUMIF(CT_tram!$B$34:$G$115,$B161,CT_tram!$G$34:$G$115)</f>
        <v>0</v>
      </c>
      <c r="J161" s="775">
        <f ca="1">SUMIF(CT_tram!$B$122:$G$204,$B161,CT_tram!$G$122:$G$204)</f>
        <v>0</v>
      </c>
      <c r="K161" s="775">
        <f ca="1">SUMIF(CT_tram!$B$211:$G$293,$B161,CT_tram!$G$211:$G$293)</f>
        <v>0</v>
      </c>
      <c r="L161" s="775">
        <f ca="1">SUMIF(CT_tram!$B$300:$G$374,$B161,CT_tram!$G$300:$G$374)</f>
        <v>0</v>
      </c>
      <c r="M161" s="775">
        <f ca="1">SUMIF(CT_tram!$B$381:$G$471,$B161,CT_tram!$G$381:$G$471)</f>
        <v>0</v>
      </c>
      <c r="N161" s="775">
        <f ca="1">SUMIF(CT_tram!$B$478:$G$560,$B161,CT_tram!$G$478:$G$560)</f>
        <v>0</v>
      </c>
      <c r="O161" s="775">
        <f ca="1">SUMIF(CT_tram!$B$567:$G$653,$B161,CT_tram!$G$567:$G$653)</f>
        <v>0</v>
      </c>
      <c r="P161" s="775">
        <f ca="1">SUMIF(CT_tram!$B$661:$G$738,$B161,CT_tram!$G$661:$G$738)</f>
        <v>0</v>
      </c>
      <c r="Q161" s="775">
        <f ca="1">SUMIF(CT_tram!$B$745:$G$899,$B161,CT_tram!$G$745:$G$899)</f>
        <v>0</v>
      </c>
      <c r="R161" s="775">
        <f ca="1">SUMIF(CT_tram!$B$907:$G$995,$B161,CT_tram!$G$907:$G$995)</f>
        <v>0</v>
      </c>
      <c r="S161" s="775"/>
      <c r="T161" s="775">
        <f ca="1">SUMIF(CT_tram!$B$1004:$G$1097,B161,CT_tram!$G$1004:$G$1097)</f>
        <v>0</v>
      </c>
      <c r="U161" s="775"/>
      <c r="V161" s="796">
        <f ca="1">SUMIF(CT_tram!$B$1226:$G$1352,kl!B161,CT_tram!$G$1226:$G$1352)</f>
        <v>0</v>
      </c>
      <c r="W161" s="780">
        <f ca="1">SUMIF(CT_tram!$B$1105:$G$1219,kl!B161,CT_tram!$G$1105:$G$1219)</f>
        <v>0</v>
      </c>
      <c r="X161" s="796">
        <f ca="1">SUMIF(CT_tram!$B$1359:$G$1504,kl!B161,CT_tram!$G$1359:$G$1504)</f>
        <v>0</v>
      </c>
      <c r="Y161" s="796">
        <f ca="1">SUMIF(CT_tram!$B$1511:$G$1625,kl!B161,CT_tram!$G$1511:$G$1625)</f>
        <v>0</v>
      </c>
      <c r="Z161" s="775">
        <f ca="1">SUMIF(CT_tram!$B$1632:$G$2211,kl!B161,CT_tram!$G$1632:$G$2211)</f>
        <v>0</v>
      </c>
      <c r="AA161" s="796">
        <f ca="1">SUMIF(CT_tram!$B$2243:$G$2384,kl!B161,CT_tram!$G$2243:$G$2384)</f>
        <v>0</v>
      </c>
      <c r="AB161" s="796">
        <f ca="1">SUMIF(CT_tram!$B$2391:$G$2563,kl!B161,CT_tram!$G$2391:$G$2563)</f>
        <v>0</v>
      </c>
      <c r="AC161" s="796">
        <f ca="1">SUMIF(chitiet!$B$13:$N$2352,kl!$B161,chitiet!$I$13:$I$2352)</f>
        <v>0</v>
      </c>
      <c r="AD161" s="796">
        <f ca="1">SUMIF(chitiet!$B$13:$N$2352,kl!$B161,chitiet!$J$13:$J$2352)</f>
        <v>0</v>
      </c>
      <c r="AE161" s="796">
        <f ca="1">SUMIF(chitiet!$B$13:$N$2352,kl!$B161,chitiet!$K$13:$K$2352)</f>
        <v>0</v>
      </c>
      <c r="AF161" s="796">
        <f ca="1">SUMIF(chitiet!$B$13:$N$2352,kl!$B161,chitiet!$L$13:$L$2352)</f>
        <v>0</v>
      </c>
      <c r="AG161" s="796">
        <f ca="1">SUMIF(chitiet!$B$13:$N$2352,kl!$B161,chitiet!$M$13)</f>
        <v>0</v>
      </c>
      <c r="AH161" s="796">
        <f ca="1">SUMIF(chitiet!$B$13:$N$2352,kl!$B161,chitiet!$N$13:$N$2352)</f>
        <v>0</v>
      </c>
      <c r="AI161" s="796">
        <f ca="1">SUMIF(chitiet!$B$13:$N$2352,kl!$B161,chitiet!$O$13:$O$2352)</f>
        <v>0</v>
      </c>
      <c r="AJ161" s="796">
        <f ca="1">SUMIF('Cap ngam'!$B$631:$G$723,kl!$B161,'Cap ngam'!$G$631:$G$723)</f>
        <v>0</v>
      </c>
      <c r="AK161" s="796">
        <f ca="1">SUMIF('Cap ngam'!$B$403:$G$628,kl!$B161,'Cap ngam'!G$403:G$628)</f>
        <v>0</v>
      </c>
      <c r="AL161" s="796">
        <f ca="1">SUMIF('Cap ngam'!B$16:G$400,kl!$B161,'Cap ngam'!G$16:G$400)</f>
        <v>0</v>
      </c>
      <c r="AM161" s="797">
        <v>1.224</v>
      </c>
      <c r="AN161" s="775">
        <f t="shared" ca="1" si="87"/>
        <v>0</v>
      </c>
      <c r="AO161" s="775">
        <f t="shared" ca="1" si="88"/>
        <v>0</v>
      </c>
      <c r="AP161" s="775">
        <f t="shared" ca="1" si="89"/>
        <v>0</v>
      </c>
      <c r="AQ161" s="775">
        <f t="shared" ca="1" si="90"/>
        <v>0</v>
      </c>
      <c r="AR161" s="775">
        <f t="shared" ca="1" si="91"/>
        <v>0</v>
      </c>
      <c r="AS161" s="775">
        <f t="shared" ca="1" si="92"/>
        <v>0</v>
      </c>
      <c r="AT161" s="775">
        <f t="shared" ca="1" si="93"/>
        <v>0</v>
      </c>
      <c r="AU161" s="775">
        <f t="shared" ca="1" si="94"/>
        <v>0</v>
      </c>
      <c r="AV161" s="775">
        <f t="shared" ca="1" si="95"/>
        <v>0</v>
      </c>
      <c r="AW161" s="775">
        <f t="shared" ca="1" si="96"/>
        <v>0</v>
      </c>
      <c r="AX161" s="775">
        <f t="shared" si="97"/>
        <v>0</v>
      </c>
      <c r="AY161" s="775">
        <f t="shared" ca="1" si="98"/>
        <v>0</v>
      </c>
      <c r="AZ161" s="775">
        <f t="shared" si="99"/>
        <v>0</v>
      </c>
      <c r="BA161" s="796">
        <f t="shared" ca="1" si="80"/>
        <v>0</v>
      </c>
      <c r="BB161" s="775">
        <f t="shared" ca="1" si="81"/>
        <v>0</v>
      </c>
      <c r="BC161" s="796">
        <f t="shared" ca="1" si="82"/>
        <v>0</v>
      </c>
      <c r="BD161" s="796">
        <f t="shared" ca="1" si="83"/>
        <v>0</v>
      </c>
      <c r="BE161" s="796">
        <f t="shared" ca="1" si="84"/>
        <v>0</v>
      </c>
      <c r="BF161" s="796">
        <f t="shared" ca="1" si="85"/>
        <v>0</v>
      </c>
      <c r="BG161" s="796">
        <f t="shared" ca="1" si="86"/>
        <v>0</v>
      </c>
      <c r="BH161" s="796">
        <f t="shared" ca="1" si="100"/>
        <v>0</v>
      </c>
      <c r="BI161" s="796">
        <f t="shared" ca="1" si="101"/>
        <v>0</v>
      </c>
      <c r="BJ161" s="796">
        <f t="shared" ca="1" si="102"/>
        <v>0</v>
      </c>
      <c r="BK161" s="796">
        <f t="shared" ca="1" si="103"/>
        <v>0</v>
      </c>
      <c r="BL161" s="796">
        <f t="shared" ca="1" si="104"/>
        <v>0</v>
      </c>
      <c r="BM161" s="796">
        <f t="shared" ca="1" si="105"/>
        <v>0</v>
      </c>
      <c r="BN161" s="796">
        <f t="shared" ca="1" si="106"/>
        <v>0</v>
      </c>
      <c r="BO161" s="796">
        <f t="shared" ca="1" si="107"/>
        <v>0</v>
      </c>
      <c r="BP161" s="796">
        <f t="shared" ca="1" si="108"/>
        <v>0</v>
      </c>
      <c r="BQ161" s="796">
        <f t="shared" ca="1" si="75"/>
        <v>0</v>
      </c>
      <c r="BR161" s="796">
        <f t="shared" ca="1" si="109"/>
        <v>0</v>
      </c>
    </row>
    <row r="162" spans="1:70" s="790" customFormat="1">
      <c r="A162" s="790" t="str">
        <f t="shared" ca="1" si="111"/>
        <v/>
      </c>
      <c r="B162" s="791" t="s">
        <v>775</v>
      </c>
      <c r="C162" s="792" t="str">
        <f ca="1">IF(F162=0,"",COUNTIF($F$78:$F162,"&gt;0"))</f>
        <v/>
      </c>
      <c r="D162" s="793" t="str">
        <f>VLOOKUP($B162,dongia1,DG!$C$5,)</f>
        <v>Cáp 24KV AC/XLPE/PVC 185mm2</v>
      </c>
      <c r="E162" s="794" t="str">
        <f>VLOOKUP($B162,dongia1,DG!$D$5,)</f>
        <v>mét</v>
      </c>
      <c r="F162" s="795">
        <f t="shared" ca="1" si="112"/>
        <v>0</v>
      </c>
      <c r="G162" s="796">
        <f t="shared" ca="1" si="113"/>
        <v>0</v>
      </c>
      <c r="H162" s="796">
        <f ca="1">SUMIF(CT_tram!$B$33:$G$3559,kl!B162,CT_tram!$G$33:$G$3559)</f>
        <v>0</v>
      </c>
      <c r="I162" s="775">
        <f ca="1">SUMIF(CT_tram!$B$34:$G$115,$B162,CT_tram!$G$34:$G$115)</f>
        <v>0</v>
      </c>
      <c r="J162" s="775">
        <f ca="1">SUMIF(CT_tram!$B$122:$G$204,$B162,CT_tram!$G$122:$G$204)</f>
        <v>0</v>
      </c>
      <c r="K162" s="775">
        <f ca="1">SUMIF(CT_tram!$B$211:$G$293,$B162,CT_tram!$G$211:$G$293)</f>
        <v>0</v>
      </c>
      <c r="L162" s="775">
        <f ca="1">SUMIF(CT_tram!$B$300:$G$374,$B162,CT_tram!$G$300:$G$374)</f>
        <v>0</v>
      </c>
      <c r="M162" s="775">
        <f ca="1">SUMIF(CT_tram!$B$381:$G$471,$B162,CT_tram!$G$381:$G$471)</f>
        <v>0</v>
      </c>
      <c r="N162" s="775">
        <f ca="1">SUMIF(CT_tram!$B$478:$G$560,$B162,CT_tram!$G$478:$G$560)</f>
        <v>0</v>
      </c>
      <c r="O162" s="775">
        <f ca="1">SUMIF(CT_tram!$B$567:$G$653,$B162,CT_tram!$G$567:$G$653)</f>
        <v>0</v>
      </c>
      <c r="P162" s="775">
        <f ca="1">SUMIF(CT_tram!$B$661:$G$738,$B162,CT_tram!$G$661:$G$738)</f>
        <v>0</v>
      </c>
      <c r="Q162" s="775">
        <f ca="1">SUMIF(CT_tram!$B$745:$G$899,$B162,CT_tram!$G$745:$G$899)</f>
        <v>0</v>
      </c>
      <c r="R162" s="775">
        <f ca="1">SUMIF(CT_tram!$B$907:$G$995,$B162,CT_tram!$G$907:$G$995)</f>
        <v>0</v>
      </c>
      <c r="S162" s="775"/>
      <c r="T162" s="775">
        <f ca="1">SUMIF(CT_tram!$B$1004:$G$1097,B162,CT_tram!$G$1004:$G$1097)</f>
        <v>0</v>
      </c>
      <c r="U162" s="775"/>
      <c r="V162" s="796">
        <f ca="1">SUMIF(CT_tram!$B$1226:$G$1352,kl!B162,CT_tram!$G$1226:$G$1352)</f>
        <v>0</v>
      </c>
      <c r="W162" s="780">
        <f ca="1">SUMIF(CT_tram!$B$1105:$G$1219,kl!B162,CT_tram!$G$1105:$G$1219)</f>
        <v>0</v>
      </c>
      <c r="X162" s="796">
        <f ca="1">SUMIF(CT_tram!$B$1359:$G$1504,kl!B162,CT_tram!$G$1359:$G$1504)</f>
        <v>0</v>
      </c>
      <c r="Y162" s="796">
        <f ca="1">SUMIF(CT_tram!$B$1511:$G$1625,kl!B162,CT_tram!$G$1511:$G$1625)</f>
        <v>0</v>
      </c>
      <c r="Z162" s="775">
        <f ca="1">SUMIF(CT_tram!$B$1632:$G$2211,kl!B162,CT_tram!$G$1632:$G$2211)</f>
        <v>0</v>
      </c>
      <c r="AA162" s="796">
        <f ca="1">SUMIF(CT_tram!$B$2243:$G$2384,kl!B162,CT_tram!$G$2243:$G$2384)</f>
        <v>0</v>
      </c>
      <c r="AB162" s="796">
        <f ca="1">SUMIF(CT_tram!$B$2391:$G$2563,kl!B162,CT_tram!$G$2391:$G$2563)</f>
        <v>0</v>
      </c>
      <c r="AC162" s="796">
        <f ca="1">SUMIF(chitiet!$B$13:$N$2352,kl!$B162,chitiet!$I$13:$I$2352)</f>
        <v>0</v>
      </c>
      <c r="AD162" s="796">
        <f ca="1">SUMIF(chitiet!$B$13:$N$2352,kl!$B162,chitiet!$J$13:$J$2352)</f>
        <v>0</v>
      </c>
      <c r="AE162" s="796">
        <f ca="1">SUMIF(chitiet!$B$13:$N$2352,kl!$B162,chitiet!$K$13:$K$2352)</f>
        <v>0</v>
      </c>
      <c r="AF162" s="796">
        <f ca="1">SUMIF(chitiet!$B$13:$N$2352,kl!$B162,chitiet!$L$13:$L$2352)</f>
        <v>0</v>
      </c>
      <c r="AG162" s="796">
        <f ca="1">SUMIF(chitiet!$B$13:$N$2352,kl!$B162,chitiet!$M$13)</f>
        <v>0</v>
      </c>
      <c r="AH162" s="796">
        <f ca="1">SUMIF(chitiet!$B$13:$N$2352,kl!$B162,chitiet!$N$13:$N$2352)</f>
        <v>0</v>
      </c>
      <c r="AI162" s="796">
        <f ca="1">SUMIF(chitiet!$B$13:$N$2352,kl!$B162,chitiet!$O$13:$O$2352)</f>
        <v>0</v>
      </c>
      <c r="AJ162" s="796">
        <f ca="1">SUMIF('Cap ngam'!$B$631:$G$723,kl!$B162,'Cap ngam'!$G$631:$G$723)</f>
        <v>0</v>
      </c>
      <c r="AK162" s="796">
        <f ca="1">SUMIF('Cap ngam'!$B$403:$G$628,kl!$B162,'Cap ngam'!G$403:G$628)</f>
        <v>0</v>
      </c>
      <c r="AL162" s="796">
        <f ca="1">SUMIF('Cap ngam'!B$16:G$400,kl!$B162,'Cap ngam'!G$16:G$400)</f>
        <v>0</v>
      </c>
      <c r="AM162" s="797">
        <v>1.47</v>
      </c>
      <c r="AN162" s="775">
        <f t="shared" ca="1" si="87"/>
        <v>0</v>
      </c>
      <c r="AO162" s="775">
        <f t="shared" ca="1" si="88"/>
        <v>0</v>
      </c>
      <c r="AP162" s="775">
        <f t="shared" ca="1" si="89"/>
        <v>0</v>
      </c>
      <c r="AQ162" s="775">
        <f t="shared" ca="1" si="90"/>
        <v>0</v>
      </c>
      <c r="AR162" s="775">
        <f t="shared" ca="1" si="91"/>
        <v>0</v>
      </c>
      <c r="AS162" s="775">
        <f t="shared" ca="1" si="92"/>
        <v>0</v>
      </c>
      <c r="AT162" s="775">
        <f t="shared" ca="1" si="93"/>
        <v>0</v>
      </c>
      <c r="AU162" s="775">
        <f t="shared" ca="1" si="94"/>
        <v>0</v>
      </c>
      <c r="AV162" s="775">
        <f t="shared" ca="1" si="95"/>
        <v>0</v>
      </c>
      <c r="AW162" s="775">
        <f t="shared" ca="1" si="96"/>
        <v>0</v>
      </c>
      <c r="AX162" s="775">
        <f t="shared" si="97"/>
        <v>0</v>
      </c>
      <c r="AY162" s="775">
        <f t="shared" ca="1" si="98"/>
        <v>0</v>
      </c>
      <c r="AZ162" s="775">
        <f t="shared" si="99"/>
        <v>0</v>
      </c>
      <c r="BA162" s="796">
        <f t="shared" ca="1" si="80"/>
        <v>0</v>
      </c>
      <c r="BB162" s="775">
        <f t="shared" ca="1" si="81"/>
        <v>0</v>
      </c>
      <c r="BC162" s="796">
        <f t="shared" ca="1" si="82"/>
        <v>0</v>
      </c>
      <c r="BD162" s="796">
        <f t="shared" ca="1" si="83"/>
        <v>0</v>
      </c>
      <c r="BE162" s="796">
        <f t="shared" ca="1" si="84"/>
        <v>0</v>
      </c>
      <c r="BF162" s="796">
        <f t="shared" ca="1" si="85"/>
        <v>0</v>
      </c>
      <c r="BG162" s="796">
        <f t="shared" ca="1" si="86"/>
        <v>0</v>
      </c>
      <c r="BH162" s="796">
        <f t="shared" ca="1" si="100"/>
        <v>0</v>
      </c>
      <c r="BI162" s="796">
        <f t="shared" ca="1" si="101"/>
        <v>0</v>
      </c>
      <c r="BJ162" s="796">
        <f t="shared" ca="1" si="102"/>
        <v>0</v>
      </c>
      <c r="BK162" s="796">
        <f t="shared" ca="1" si="103"/>
        <v>0</v>
      </c>
      <c r="BL162" s="796">
        <f t="shared" ca="1" si="104"/>
        <v>0</v>
      </c>
      <c r="BM162" s="796">
        <f t="shared" ca="1" si="105"/>
        <v>0</v>
      </c>
      <c r="BN162" s="796">
        <f t="shared" ca="1" si="106"/>
        <v>0</v>
      </c>
      <c r="BO162" s="796">
        <f t="shared" ca="1" si="107"/>
        <v>0</v>
      </c>
      <c r="BP162" s="796">
        <f t="shared" ca="1" si="108"/>
        <v>0</v>
      </c>
      <c r="BQ162" s="796">
        <f t="shared" ca="1" si="75"/>
        <v>0</v>
      </c>
      <c r="BR162" s="796">
        <f t="shared" ca="1" si="109"/>
        <v>0</v>
      </c>
    </row>
    <row r="163" spans="1:70" s="790" customFormat="1">
      <c r="A163" s="790" t="str">
        <f t="shared" ca="1" si="111"/>
        <v/>
      </c>
      <c r="B163" s="791" t="s">
        <v>776</v>
      </c>
      <c r="C163" s="792" t="str">
        <f ca="1">IF(F163=0,"",COUNTIF($F$78:$F163,"&gt;0"))</f>
        <v/>
      </c>
      <c r="D163" s="793" t="str">
        <f>VLOOKUP($B163,dongia1,DG!$C$5,)</f>
        <v>Cáp 24KV AC/XLPE/PVC 240mm2</v>
      </c>
      <c r="E163" s="794" t="str">
        <f>VLOOKUP($B163,dongia1,DG!$D$5,)</f>
        <v>mét</v>
      </c>
      <c r="F163" s="795">
        <f t="shared" ca="1" si="112"/>
        <v>0</v>
      </c>
      <c r="G163" s="796">
        <f t="shared" ca="1" si="113"/>
        <v>0</v>
      </c>
      <c r="H163" s="796">
        <f ca="1">SUMIF(CT_tram!$B$33:$G$3559,kl!B163,CT_tram!$G$33:$G$3559)</f>
        <v>0</v>
      </c>
      <c r="I163" s="775">
        <f ca="1">SUMIF(CT_tram!$B$34:$G$115,$B163,CT_tram!$G$34:$G$115)</f>
        <v>0</v>
      </c>
      <c r="J163" s="775">
        <f ca="1">SUMIF(CT_tram!$B$122:$G$204,$B163,CT_tram!$G$122:$G$204)</f>
        <v>0</v>
      </c>
      <c r="K163" s="775">
        <f ca="1">SUMIF(CT_tram!$B$211:$G$293,$B163,CT_tram!$G$211:$G$293)</f>
        <v>0</v>
      </c>
      <c r="L163" s="775">
        <f ca="1">SUMIF(CT_tram!$B$300:$G$374,$B163,CT_tram!$G$300:$G$374)</f>
        <v>0</v>
      </c>
      <c r="M163" s="775">
        <f ca="1">SUMIF(CT_tram!$B$381:$G$471,$B163,CT_tram!$G$381:$G$471)</f>
        <v>0</v>
      </c>
      <c r="N163" s="775">
        <f ca="1">SUMIF(CT_tram!$B$478:$G$560,$B163,CT_tram!$G$478:$G$560)</f>
        <v>0</v>
      </c>
      <c r="O163" s="775">
        <f ca="1">SUMIF(CT_tram!$B$567:$G$653,$B163,CT_tram!$G$567:$G$653)</f>
        <v>0</v>
      </c>
      <c r="P163" s="775">
        <f ca="1">SUMIF(CT_tram!$B$661:$G$738,$B163,CT_tram!$G$661:$G$738)</f>
        <v>0</v>
      </c>
      <c r="Q163" s="775">
        <f ca="1">SUMIF(CT_tram!$B$745:$G$899,$B163,CT_tram!$G$745:$G$899)</f>
        <v>0</v>
      </c>
      <c r="R163" s="775">
        <f ca="1">SUMIF(CT_tram!$B$907:$G$995,$B163,CT_tram!$G$907:$G$995)</f>
        <v>0</v>
      </c>
      <c r="S163" s="775"/>
      <c r="T163" s="775">
        <f ca="1">SUMIF(CT_tram!$B$1004:$G$1097,B163,CT_tram!$G$1004:$G$1097)</f>
        <v>0</v>
      </c>
      <c r="U163" s="775"/>
      <c r="V163" s="796">
        <f ca="1">SUMIF(CT_tram!$B$1226:$G$1352,kl!B163,CT_tram!$G$1226:$G$1352)</f>
        <v>0</v>
      </c>
      <c r="W163" s="780">
        <f ca="1">SUMIF(CT_tram!$B$1105:$G$1219,kl!B163,CT_tram!$G$1105:$G$1219)</f>
        <v>0</v>
      </c>
      <c r="X163" s="796">
        <f ca="1">SUMIF(CT_tram!$B$1359:$G$1504,kl!B163,CT_tram!$G$1359:$G$1504)</f>
        <v>0</v>
      </c>
      <c r="Y163" s="796">
        <f ca="1">SUMIF(CT_tram!$B$1511:$G$1625,kl!B163,CT_tram!$G$1511:$G$1625)</f>
        <v>0</v>
      </c>
      <c r="Z163" s="775">
        <f ca="1">SUMIF(CT_tram!$B$1632:$G$2211,kl!B163,CT_tram!$G$1632:$G$2211)</f>
        <v>0</v>
      </c>
      <c r="AA163" s="796">
        <f ca="1">SUMIF(CT_tram!$B$2243:$G$2384,kl!B163,CT_tram!$G$2243:$G$2384)</f>
        <v>0</v>
      </c>
      <c r="AB163" s="796">
        <f ca="1">SUMIF(CT_tram!$B$2391:$G$2563,kl!B163,CT_tram!$G$2391:$G$2563)</f>
        <v>0</v>
      </c>
      <c r="AC163" s="796">
        <f ca="1">SUMIF(chitiet!$B$13:$N$2352,kl!$B163,chitiet!$I$13:$I$2352)</f>
        <v>0</v>
      </c>
      <c r="AD163" s="796">
        <f ca="1">SUMIF(chitiet!$B$13:$N$2352,kl!$B163,chitiet!$J$13:$J$2352)</f>
        <v>0</v>
      </c>
      <c r="AE163" s="796">
        <f ca="1">SUMIF(chitiet!$B$13:$N$2352,kl!$B163,chitiet!$K$13:$K$2352)</f>
        <v>0</v>
      </c>
      <c r="AF163" s="796">
        <f ca="1">SUMIF(chitiet!$B$13:$N$2352,kl!$B163,chitiet!$L$13:$L$2352)</f>
        <v>0</v>
      </c>
      <c r="AG163" s="796">
        <f ca="1">SUMIF(chitiet!$B$13:$N$2352,kl!$B163,chitiet!$M$13)</f>
        <v>0</v>
      </c>
      <c r="AH163" s="796">
        <f ca="1">SUMIF(chitiet!$B$13:$N$2352,kl!$B163,chitiet!$N$13:$N$2352)</f>
        <v>0</v>
      </c>
      <c r="AI163" s="796">
        <f ca="1">SUMIF(chitiet!$B$13:$N$2352,kl!$B163,chitiet!$O$13:$O$2352)</f>
        <v>0</v>
      </c>
      <c r="AJ163" s="796">
        <f ca="1">SUMIF('Cap ngam'!$B$631:$G$723,kl!$B163,'Cap ngam'!$G$631:$G$723)</f>
        <v>0</v>
      </c>
      <c r="AK163" s="796">
        <f ca="1">SUMIF('Cap ngam'!$B$403:$G$628,kl!$B163,'Cap ngam'!G$403:G$628)</f>
        <v>0</v>
      </c>
      <c r="AL163" s="796">
        <f ca="1">SUMIF('Cap ngam'!B$16:G$400,kl!$B163,'Cap ngam'!G$16:G$400)</f>
        <v>0</v>
      </c>
      <c r="AM163" s="797">
        <v>1.784</v>
      </c>
      <c r="AN163" s="775">
        <f t="shared" ca="1" si="87"/>
        <v>0</v>
      </c>
      <c r="AO163" s="775">
        <f t="shared" ca="1" si="88"/>
        <v>0</v>
      </c>
      <c r="AP163" s="775">
        <f t="shared" ca="1" si="89"/>
        <v>0</v>
      </c>
      <c r="AQ163" s="775">
        <f t="shared" ca="1" si="90"/>
        <v>0</v>
      </c>
      <c r="AR163" s="775">
        <f t="shared" ca="1" si="91"/>
        <v>0</v>
      </c>
      <c r="AS163" s="775">
        <f t="shared" ca="1" si="92"/>
        <v>0</v>
      </c>
      <c r="AT163" s="775">
        <f t="shared" ca="1" si="93"/>
        <v>0</v>
      </c>
      <c r="AU163" s="775">
        <f t="shared" ca="1" si="94"/>
        <v>0</v>
      </c>
      <c r="AV163" s="775">
        <f t="shared" ca="1" si="95"/>
        <v>0</v>
      </c>
      <c r="AW163" s="775">
        <f t="shared" ca="1" si="96"/>
        <v>0</v>
      </c>
      <c r="AX163" s="775">
        <f t="shared" si="97"/>
        <v>0</v>
      </c>
      <c r="AY163" s="775">
        <f t="shared" ca="1" si="98"/>
        <v>0</v>
      </c>
      <c r="AZ163" s="775">
        <f t="shared" si="99"/>
        <v>0</v>
      </c>
      <c r="BA163" s="796">
        <f t="shared" ca="1" si="80"/>
        <v>0</v>
      </c>
      <c r="BB163" s="775">
        <f t="shared" ca="1" si="81"/>
        <v>0</v>
      </c>
      <c r="BC163" s="796">
        <f t="shared" ca="1" si="82"/>
        <v>0</v>
      </c>
      <c r="BD163" s="796">
        <f t="shared" ca="1" si="83"/>
        <v>0</v>
      </c>
      <c r="BE163" s="796">
        <f t="shared" ca="1" si="84"/>
        <v>0</v>
      </c>
      <c r="BF163" s="796">
        <f t="shared" ca="1" si="85"/>
        <v>0</v>
      </c>
      <c r="BG163" s="796">
        <f t="shared" ca="1" si="86"/>
        <v>0</v>
      </c>
      <c r="BH163" s="796">
        <f t="shared" ca="1" si="100"/>
        <v>0</v>
      </c>
      <c r="BI163" s="796">
        <f t="shared" ca="1" si="101"/>
        <v>0</v>
      </c>
      <c r="BJ163" s="796">
        <f t="shared" ca="1" si="102"/>
        <v>0</v>
      </c>
      <c r="BK163" s="796">
        <f t="shared" ca="1" si="103"/>
        <v>0</v>
      </c>
      <c r="BL163" s="796">
        <f t="shared" ca="1" si="104"/>
        <v>0</v>
      </c>
      <c r="BM163" s="796">
        <f t="shared" ca="1" si="105"/>
        <v>0</v>
      </c>
      <c r="BN163" s="796">
        <f t="shared" ca="1" si="106"/>
        <v>0</v>
      </c>
      <c r="BO163" s="796">
        <f t="shared" ca="1" si="107"/>
        <v>0</v>
      </c>
      <c r="BP163" s="796">
        <f t="shared" ca="1" si="108"/>
        <v>0</v>
      </c>
      <c r="BQ163" s="796">
        <f t="shared" ca="1" si="75"/>
        <v>0</v>
      </c>
      <c r="BR163" s="796">
        <f t="shared" ca="1" si="109"/>
        <v>0</v>
      </c>
    </row>
    <row r="164" spans="1:70">
      <c r="A164" s="767" t="str">
        <f t="shared" ca="1" si="111"/>
        <v/>
      </c>
      <c r="B164" s="789" t="s">
        <v>3991</v>
      </c>
      <c r="C164" s="188" t="str">
        <f ca="1">IF(F164=0,"",COUNTIF($F$78:$F164,"&gt;0"))</f>
        <v/>
      </c>
      <c r="D164" s="778" t="str">
        <f>VLOOKUP($B164,dongia1,DG!$C$5,)</f>
        <v>Cáp 24KV AC/XLPE 50mm2</v>
      </c>
      <c r="E164" s="555" t="str">
        <f>VLOOKUP($B164,dongia1,DG!$D$5,)</f>
        <v>mét</v>
      </c>
      <c r="F164" s="975">
        <f t="shared" ca="1" si="112"/>
        <v>0</v>
      </c>
      <c r="G164" s="976">
        <f t="shared" ca="1" si="113"/>
        <v>0</v>
      </c>
      <c r="H164" s="976">
        <f ca="1">SUMIF(CT_tram!$B$33:$G$3559,kl!B164,CT_tram!$G$33:$G$3559)</f>
        <v>0</v>
      </c>
      <c r="I164" s="775">
        <f ca="1">SUMIF(CT_tram!$B$34:$G$115,$B164,CT_tram!$G$34:$G$115)</f>
        <v>0</v>
      </c>
      <c r="J164" s="775">
        <f ca="1">SUMIF(CT_tram!$B$122:$G$204,$B164,CT_tram!$G$122:$G$204)</f>
        <v>0</v>
      </c>
      <c r="K164" s="775">
        <f ca="1">SUMIF(CT_tram!$B$211:$G$293,$B164,CT_tram!$G$211:$G$293)</f>
        <v>0</v>
      </c>
      <c r="L164" s="775">
        <f ca="1">SUMIF(CT_tram!$B$300:$G$374,$B164,CT_tram!$G$300:$G$374)</f>
        <v>0</v>
      </c>
      <c r="M164" s="775">
        <f ca="1">SUMIF(CT_tram!$B$381:$G$471,$B164,CT_tram!$G$381:$G$471)</f>
        <v>0</v>
      </c>
      <c r="N164" s="775">
        <f ca="1">SUMIF(CT_tram!$B$478:$G$560,$B164,CT_tram!$G$478:$G$560)</f>
        <v>0</v>
      </c>
      <c r="O164" s="775">
        <f ca="1">SUMIF(CT_tram!$B$567:$G$653,$B164,CT_tram!$G$567:$G$653)</f>
        <v>0</v>
      </c>
      <c r="P164" s="775">
        <f ca="1">SUMIF(CT_tram!$B$661:$G$738,$B164,CT_tram!$G$661:$G$738)</f>
        <v>0</v>
      </c>
      <c r="Q164" s="775">
        <f ca="1">SUMIF(CT_tram!$B$745:$G$899,$B164,CT_tram!$G$745:$G$899)</f>
        <v>0</v>
      </c>
      <c r="R164" s="775">
        <f ca="1">SUMIF(CT_tram!$B$907:$G$995,$B164,CT_tram!$G$907:$G$995)</f>
        <v>0</v>
      </c>
      <c r="S164" s="775"/>
      <c r="T164" s="775">
        <f ca="1">SUMIF(CT_tram!$B$1004:$G$1097,B164,CT_tram!$G$1004:$G$1097)</f>
        <v>0</v>
      </c>
      <c r="U164" s="775"/>
      <c r="V164" s="796">
        <f ca="1">SUMIF(CT_tram!$B$1226:$G$1352,kl!B164,CT_tram!$G$1226:$G$1352)</f>
        <v>0</v>
      </c>
      <c r="W164" s="780">
        <f ca="1">SUMIF(CT_tram!$B$1105:$G$1219,kl!B164,CT_tram!$G$1105:$G$1219)</f>
        <v>0</v>
      </c>
      <c r="X164" s="796">
        <f ca="1">SUMIF(CT_tram!$B$1359:$G$1504,kl!B164,CT_tram!$G$1359:$G$1504)</f>
        <v>0</v>
      </c>
      <c r="Y164" s="796">
        <f ca="1">SUMIF(CT_tram!$B$1511:$G$1625,kl!B164,CT_tram!$G$1511:$G$1625)</f>
        <v>0</v>
      </c>
      <c r="Z164" s="775">
        <f ca="1">SUMIF(CT_tram!$B$1632:$G$2211,kl!B164,CT_tram!$G$1632:$G$2211)</f>
        <v>0</v>
      </c>
      <c r="AA164" s="796">
        <f ca="1">SUMIF(CT_tram!$B$2243:$G$2384,kl!B164,CT_tram!$G$2243:$G$2384)</f>
        <v>0</v>
      </c>
      <c r="AB164" s="796">
        <f ca="1">SUMIF(CT_tram!$B$2391:$G$2563,kl!B164,CT_tram!$G$2391:$G$2563)</f>
        <v>0</v>
      </c>
      <c r="AC164" s="796">
        <f ca="1">SUMIF(chitiet!$B$13:$N$2352,kl!$B164,chitiet!$I$13:$I$2352)</f>
        <v>0</v>
      </c>
      <c r="AD164" s="796">
        <f ca="1">SUMIF(chitiet!$B$13:$N$2352,kl!$B164,chitiet!$J$13:$J$2352)</f>
        <v>0</v>
      </c>
      <c r="AE164" s="796">
        <f ca="1">SUMIF(chitiet!$B$13:$N$2352,kl!$B164,chitiet!$K$13:$K$2352)</f>
        <v>0</v>
      </c>
      <c r="AF164" s="796">
        <f ca="1">SUMIF(chitiet!$B$13:$N$2352,kl!$B164,chitiet!$L$13:$L$2352)</f>
        <v>0</v>
      </c>
      <c r="AG164" s="796">
        <f ca="1">SUMIF(chitiet!$B$13:$N$2352,kl!$B164,chitiet!$M$13)</f>
        <v>0</v>
      </c>
      <c r="AH164" s="796">
        <f ca="1">SUMIF(chitiet!$B$13:$N$2352,kl!$B164,chitiet!$N$13:$N$2352)</f>
        <v>0</v>
      </c>
      <c r="AI164" s="796">
        <f ca="1">SUMIF(chitiet!$B$13:$N$2352,kl!$B164,chitiet!$O$13:$O$2352)</f>
        <v>0</v>
      </c>
      <c r="AJ164" s="796">
        <f ca="1">SUMIF('Cap ngam'!$B$631:$G$723,kl!$B164,'Cap ngam'!$G$631:$G$723)</f>
        <v>0</v>
      </c>
      <c r="AK164" s="796">
        <f ca="1">SUMIF('Cap ngam'!$B$403:$G$628,kl!$B164,'Cap ngam'!G$403:G$628)</f>
        <v>0</v>
      </c>
      <c r="AL164" s="796">
        <f ca="1">SUMIF('Cap ngam'!B$16:G$400,kl!$B164,'Cap ngam'!G$16:G$400)</f>
        <v>0</v>
      </c>
      <c r="AM164" s="972">
        <v>0.54</v>
      </c>
      <c r="AN164" s="775">
        <f t="shared" ca="1" si="87"/>
        <v>0</v>
      </c>
      <c r="AO164" s="775">
        <f t="shared" ca="1" si="88"/>
        <v>0</v>
      </c>
      <c r="AP164" s="775">
        <f t="shared" ca="1" si="89"/>
        <v>0</v>
      </c>
      <c r="AQ164" s="775">
        <f t="shared" ca="1" si="90"/>
        <v>0</v>
      </c>
      <c r="AR164" s="775">
        <f t="shared" ca="1" si="91"/>
        <v>0</v>
      </c>
      <c r="AS164" s="775">
        <f t="shared" ca="1" si="92"/>
        <v>0</v>
      </c>
      <c r="AT164" s="775">
        <f t="shared" ca="1" si="93"/>
        <v>0</v>
      </c>
      <c r="AU164" s="775">
        <f t="shared" ca="1" si="94"/>
        <v>0</v>
      </c>
      <c r="AV164" s="775">
        <f t="shared" ca="1" si="95"/>
        <v>0</v>
      </c>
      <c r="AW164" s="775">
        <f t="shared" ca="1" si="96"/>
        <v>0</v>
      </c>
      <c r="AX164" s="775">
        <f t="shared" si="97"/>
        <v>0</v>
      </c>
      <c r="AY164" s="775">
        <f t="shared" ca="1" si="98"/>
        <v>0</v>
      </c>
      <c r="AZ164" s="775">
        <f t="shared" si="99"/>
        <v>0</v>
      </c>
      <c r="BA164" s="796">
        <f t="shared" ca="1" si="80"/>
        <v>0</v>
      </c>
      <c r="BB164" s="775">
        <f t="shared" ca="1" si="81"/>
        <v>0</v>
      </c>
      <c r="BC164" s="796">
        <f t="shared" ca="1" si="82"/>
        <v>0</v>
      </c>
      <c r="BD164" s="796">
        <f t="shared" ca="1" si="83"/>
        <v>0</v>
      </c>
      <c r="BE164" s="796">
        <f t="shared" ca="1" si="84"/>
        <v>0</v>
      </c>
      <c r="BF164" s="796">
        <f t="shared" ca="1" si="85"/>
        <v>0</v>
      </c>
      <c r="BG164" s="796">
        <f t="shared" ca="1" si="86"/>
        <v>0</v>
      </c>
      <c r="BH164" s="796">
        <f t="shared" ca="1" si="100"/>
        <v>0</v>
      </c>
      <c r="BI164" s="796">
        <f t="shared" ca="1" si="101"/>
        <v>0</v>
      </c>
      <c r="BJ164" s="796">
        <f t="shared" ca="1" si="102"/>
        <v>0</v>
      </c>
      <c r="BK164" s="796">
        <f t="shared" ca="1" si="103"/>
        <v>0</v>
      </c>
      <c r="BL164" s="796">
        <f t="shared" ca="1" si="104"/>
        <v>0</v>
      </c>
      <c r="BM164" s="796">
        <f t="shared" ca="1" si="105"/>
        <v>0</v>
      </c>
      <c r="BN164" s="796">
        <f t="shared" ca="1" si="106"/>
        <v>0</v>
      </c>
      <c r="BO164" s="796">
        <f t="shared" ca="1" si="107"/>
        <v>0</v>
      </c>
      <c r="BP164" s="796">
        <f t="shared" ca="1" si="108"/>
        <v>0</v>
      </c>
      <c r="BQ164" s="796">
        <f t="shared" ca="1" si="75"/>
        <v>0</v>
      </c>
      <c r="BR164" s="796">
        <f t="shared" ca="1" si="109"/>
        <v>0</v>
      </c>
    </row>
    <row r="165" spans="1:70" s="790" customFormat="1">
      <c r="A165" s="790" t="str">
        <f t="shared" ca="1" si="111"/>
        <v/>
      </c>
      <c r="B165" s="791" t="s">
        <v>3992</v>
      </c>
      <c r="C165" s="792" t="str">
        <f ca="1">IF(F165=0,"",COUNTIF($F$78:$F165,"&gt;0"))</f>
        <v/>
      </c>
      <c r="D165" s="793" t="str">
        <f>VLOOKUP($B165,dongia1,DG!$C$5,)</f>
        <v>Cáp 24KV AC/XLPE 70mm2</v>
      </c>
      <c r="E165" s="794" t="str">
        <f>VLOOKUP($B165,dongia1,DG!$D$5,)</f>
        <v>mét</v>
      </c>
      <c r="F165" s="795">
        <f t="shared" ca="1" si="112"/>
        <v>0</v>
      </c>
      <c r="G165" s="796">
        <f t="shared" ca="1" si="113"/>
        <v>0</v>
      </c>
      <c r="H165" s="796">
        <f ca="1">SUMIF(CT_tram!$B$33:$G$3559,kl!B165,CT_tram!$G$33:$G$3559)</f>
        <v>0</v>
      </c>
      <c r="I165" s="775">
        <f ca="1">SUMIF(CT_tram!$B$34:$G$115,$B165,CT_tram!$G$34:$G$115)</f>
        <v>0</v>
      </c>
      <c r="J165" s="775">
        <f ca="1">SUMIF(CT_tram!$B$122:$G$204,$B165,CT_tram!$G$122:$G$204)</f>
        <v>0</v>
      </c>
      <c r="K165" s="775">
        <f ca="1">SUMIF(CT_tram!$B$211:$G$293,$B165,CT_tram!$G$211:$G$293)</f>
        <v>0</v>
      </c>
      <c r="L165" s="775">
        <f ca="1">SUMIF(CT_tram!$B$300:$G$374,$B165,CT_tram!$G$300:$G$374)</f>
        <v>0</v>
      </c>
      <c r="M165" s="775">
        <f ca="1">SUMIF(CT_tram!$B$381:$G$471,$B165,CT_tram!$G$381:$G$471)</f>
        <v>0</v>
      </c>
      <c r="N165" s="775">
        <f ca="1">SUMIF(CT_tram!$B$478:$G$560,$B165,CT_tram!$G$478:$G$560)</f>
        <v>0</v>
      </c>
      <c r="O165" s="775">
        <f ca="1">SUMIF(CT_tram!$B$567:$G$653,$B165,CT_tram!$G$567:$G$653)</f>
        <v>0</v>
      </c>
      <c r="P165" s="775">
        <f ca="1">SUMIF(CT_tram!$B$661:$G$738,$B165,CT_tram!$G$661:$G$738)</f>
        <v>0</v>
      </c>
      <c r="Q165" s="775">
        <f ca="1">SUMIF(CT_tram!$B$745:$G$899,$B165,CT_tram!$G$745:$G$899)</f>
        <v>0</v>
      </c>
      <c r="R165" s="775">
        <f ca="1">SUMIF(CT_tram!$B$907:$G$995,$B165,CT_tram!$G$907:$G$995)</f>
        <v>0</v>
      </c>
      <c r="S165" s="775"/>
      <c r="T165" s="775">
        <f ca="1">SUMIF(CT_tram!$B$1004:$G$1097,B165,CT_tram!$G$1004:$G$1097)</f>
        <v>0</v>
      </c>
      <c r="U165" s="775"/>
      <c r="V165" s="796">
        <f ca="1">SUMIF(CT_tram!$B$1226:$G$1352,kl!B165,CT_tram!$G$1226:$G$1352)</f>
        <v>0</v>
      </c>
      <c r="W165" s="780">
        <f ca="1">SUMIF(CT_tram!$B$1105:$G$1219,kl!B165,CT_tram!$G$1105:$G$1219)</f>
        <v>0</v>
      </c>
      <c r="X165" s="796">
        <f ca="1">SUMIF(CT_tram!$B$1359:$G$1504,kl!B165,CT_tram!$G$1359:$G$1504)</f>
        <v>0</v>
      </c>
      <c r="Y165" s="796">
        <f ca="1">SUMIF(CT_tram!$B$1511:$G$1625,kl!B165,CT_tram!$G$1511:$G$1625)</f>
        <v>0</v>
      </c>
      <c r="Z165" s="775">
        <f ca="1">SUMIF(CT_tram!$B$1632:$G$2211,kl!B165,CT_tram!$G$1632:$G$2211)</f>
        <v>0</v>
      </c>
      <c r="AA165" s="796">
        <f ca="1">SUMIF(CT_tram!$B$2243:$G$2384,kl!B165,CT_tram!$G$2243:$G$2384)</f>
        <v>0</v>
      </c>
      <c r="AB165" s="796">
        <f ca="1">SUMIF(CT_tram!$B$2391:$G$2563,kl!B165,CT_tram!$G$2391:$G$2563)</f>
        <v>0</v>
      </c>
      <c r="AC165" s="796">
        <f ca="1">SUMIF(chitiet!$B$13:$N$2352,kl!$B165,chitiet!$I$13:$I$2352)</f>
        <v>0</v>
      </c>
      <c r="AD165" s="796">
        <f ca="1">SUMIF(chitiet!$B$13:$N$2352,kl!$B165,chitiet!$J$13:$J$2352)</f>
        <v>0</v>
      </c>
      <c r="AE165" s="796">
        <f ca="1">SUMIF(chitiet!$B$13:$N$2352,kl!$B165,chitiet!$K$13:$K$2352)</f>
        <v>0</v>
      </c>
      <c r="AF165" s="796">
        <f ca="1">SUMIF(chitiet!$B$13:$N$2352,kl!$B165,chitiet!$L$13:$L$2352)</f>
        <v>0</v>
      </c>
      <c r="AG165" s="796">
        <f ca="1">SUMIF(chitiet!$B$13:$N$2352,kl!$B165,chitiet!$M$13)</f>
        <v>0</v>
      </c>
      <c r="AH165" s="796">
        <f ca="1">SUMIF(chitiet!$B$13:$N$2352,kl!$B165,chitiet!$N$13:$N$2352)</f>
        <v>0</v>
      </c>
      <c r="AI165" s="796">
        <f ca="1">SUMIF(chitiet!$B$13:$N$2352,kl!$B165,chitiet!$O$13:$O$2352)</f>
        <v>0</v>
      </c>
      <c r="AJ165" s="796">
        <f ca="1">SUMIF('Cap ngam'!$B$631:$G$723,kl!$B165,'Cap ngam'!$G$631:$G$723)</f>
        <v>0</v>
      </c>
      <c r="AK165" s="796">
        <f ca="1">SUMIF('Cap ngam'!$B$403:$G$628,kl!$B165,'Cap ngam'!G$403:G$628)</f>
        <v>0</v>
      </c>
      <c r="AL165" s="796">
        <f ca="1">SUMIF('Cap ngam'!B$16:G$400,kl!$B165,'Cap ngam'!G$16:G$400)</f>
        <v>0</v>
      </c>
      <c r="AM165" s="797">
        <v>0.66200000000000003</v>
      </c>
      <c r="AN165" s="775">
        <f t="shared" ca="1" si="87"/>
        <v>0</v>
      </c>
      <c r="AO165" s="775">
        <f t="shared" ca="1" si="88"/>
        <v>0</v>
      </c>
      <c r="AP165" s="775">
        <f t="shared" ca="1" si="89"/>
        <v>0</v>
      </c>
      <c r="AQ165" s="775">
        <f t="shared" ca="1" si="90"/>
        <v>0</v>
      </c>
      <c r="AR165" s="775">
        <f t="shared" ca="1" si="91"/>
        <v>0</v>
      </c>
      <c r="AS165" s="775">
        <f t="shared" ca="1" si="92"/>
        <v>0</v>
      </c>
      <c r="AT165" s="775">
        <f t="shared" ca="1" si="93"/>
        <v>0</v>
      </c>
      <c r="AU165" s="775">
        <f t="shared" ca="1" si="94"/>
        <v>0</v>
      </c>
      <c r="AV165" s="775">
        <f t="shared" ca="1" si="95"/>
        <v>0</v>
      </c>
      <c r="AW165" s="775">
        <f t="shared" ca="1" si="96"/>
        <v>0</v>
      </c>
      <c r="AX165" s="775">
        <f t="shared" si="97"/>
        <v>0</v>
      </c>
      <c r="AY165" s="775">
        <f t="shared" ca="1" si="98"/>
        <v>0</v>
      </c>
      <c r="AZ165" s="775">
        <f t="shared" si="99"/>
        <v>0</v>
      </c>
      <c r="BA165" s="796">
        <f t="shared" ca="1" si="80"/>
        <v>0</v>
      </c>
      <c r="BB165" s="775">
        <f t="shared" ca="1" si="81"/>
        <v>0</v>
      </c>
      <c r="BC165" s="796">
        <f t="shared" ca="1" si="82"/>
        <v>0</v>
      </c>
      <c r="BD165" s="796">
        <f t="shared" ca="1" si="83"/>
        <v>0</v>
      </c>
      <c r="BE165" s="796">
        <f t="shared" ca="1" si="84"/>
        <v>0</v>
      </c>
      <c r="BF165" s="796">
        <f t="shared" ca="1" si="85"/>
        <v>0</v>
      </c>
      <c r="BG165" s="796">
        <f t="shared" ca="1" si="86"/>
        <v>0</v>
      </c>
      <c r="BH165" s="796">
        <f t="shared" ca="1" si="100"/>
        <v>0</v>
      </c>
      <c r="BI165" s="796">
        <f t="shared" ca="1" si="101"/>
        <v>0</v>
      </c>
      <c r="BJ165" s="796">
        <f t="shared" ca="1" si="102"/>
        <v>0</v>
      </c>
      <c r="BK165" s="796">
        <f t="shared" ca="1" si="103"/>
        <v>0</v>
      </c>
      <c r="BL165" s="796">
        <f t="shared" ca="1" si="104"/>
        <v>0</v>
      </c>
      <c r="BM165" s="796">
        <f t="shared" ca="1" si="105"/>
        <v>0</v>
      </c>
      <c r="BN165" s="796">
        <f t="shared" ca="1" si="106"/>
        <v>0</v>
      </c>
      <c r="BO165" s="796">
        <f t="shared" ca="1" si="107"/>
        <v>0</v>
      </c>
      <c r="BP165" s="796">
        <f t="shared" ca="1" si="108"/>
        <v>0</v>
      </c>
      <c r="BQ165" s="796">
        <f t="shared" ca="1" si="75"/>
        <v>0</v>
      </c>
      <c r="BR165" s="796">
        <f t="shared" ca="1" si="109"/>
        <v>0</v>
      </c>
    </row>
    <row r="166" spans="1:70" s="790" customFormat="1">
      <c r="A166" s="790" t="str">
        <f t="shared" ca="1" si="111"/>
        <v/>
      </c>
      <c r="B166" s="791" t="s">
        <v>4205</v>
      </c>
      <c r="C166" s="792" t="str">
        <f ca="1">IF(F166=0,"",COUNTIF($F$78:$F166,"&gt;0"))</f>
        <v/>
      </c>
      <c r="D166" s="793" t="str">
        <f>VLOOKUP($B166,dongia1,DG!$C$5,)</f>
        <v>Cáp 24KV C/XLPE/PVC 95mm2</v>
      </c>
      <c r="E166" s="794" t="str">
        <f>VLOOKUP($B166,dongia1,DG!$D$5,)</f>
        <v>mét</v>
      </c>
      <c r="F166" s="795">
        <f t="shared" ca="1" si="112"/>
        <v>0</v>
      </c>
      <c r="G166" s="796">
        <f t="shared" ca="1" si="113"/>
        <v>0</v>
      </c>
      <c r="H166" s="796">
        <f ca="1">SUMIF(CT_tram!$B$33:$G$3559,kl!B166,CT_tram!$G$33:$G$3559)</f>
        <v>0</v>
      </c>
      <c r="I166" s="775">
        <f ca="1">SUMIF(CT_tram!$B$34:$G$115,$B166,CT_tram!$G$34:$G$115)</f>
        <v>0</v>
      </c>
      <c r="J166" s="775">
        <f ca="1">SUMIF(CT_tram!$B$122:$G$204,$B166,CT_tram!$G$122:$G$204)</f>
        <v>0</v>
      </c>
      <c r="K166" s="775">
        <f ca="1">SUMIF(CT_tram!$B$211:$G$293,$B166,CT_tram!$G$211:$G$293)</f>
        <v>0</v>
      </c>
      <c r="L166" s="775">
        <f ca="1">SUMIF(CT_tram!$B$300:$G$374,$B166,CT_tram!$G$300:$G$374)</f>
        <v>0</v>
      </c>
      <c r="M166" s="775">
        <f ca="1">SUMIF(CT_tram!$B$381:$G$471,$B166,CT_tram!$G$381:$G$471)</f>
        <v>0</v>
      </c>
      <c r="N166" s="775">
        <f ca="1">SUMIF(CT_tram!$B$478:$G$560,$B166,CT_tram!$G$478:$G$560)</f>
        <v>0</v>
      </c>
      <c r="O166" s="775">
        <f ca="1">SUMIF(CT_tram!$B$567:$G$653,$B166,CT_tram!$G$567:$G$653)</f>
        <v>0</v>
      </c>
      <c r="P166" s="775">
        <f ca="1">SUMIF(CT_tram!$B$661:$G$738,$B166,CT_tram!$G$661:$G$738)</f>
        <v>0</v>
      </c>
      <c r="Q166" s="775">
        <f ca="1">SUMIF(CT_tram!$B$745:$G$899,$B166,CT_tram!$G$745:$G$899)</f>
        <v>0</v>
      </c>
      <c r="R166" s="775">
        <f ca="1">SUMIF(CT_tram!$B$907:$G$995,$B166,CT_tram!$G$907:$G$995)</f>
        <v>0</v>
      </c>
      <c r="S166" s="775"/>
      <c r="T166" s="775">
        <f ca="1">SUMIF(CT_tram!$B$1004:$G$1097,B166,CT_tram!$G$1004:$G$1097)</f>
        <v>0</v>
      </c>
      <c r="U166" s="775"/>
      <c r="V166" s="796">
        <f ca="1">SUMIF(CT_tram!$B$1226:$G$1352,kl!B166,CT_tram!$G$1226:$G$1352)</f>
        <v>0</v>
      </c>
      <c r="W166" s="780">
        <f ca="1">SUMIF(CT_tram!$B$1105:$G$1219,kl!B166,CT_tram!$G$1105:$G$1219)</f>
        <v>0</v>
      </c>
      <c r="X166" s="796">
        <f ca="1">SUMIF(CT_tram!$B$1359:$G$1504,kl!B166,CT_tram!$G$1359:$G$1504)</f>
        <v>0</v>
      </c>
      <c r="Y166" s="796">
        <f ca="1">SUMIF(CT_tram!$B$1511:$G$1625,kl!B166,CT_tram!$G$1511:$G$1625)</f>
        <v>0</v>
      </c>
      <c r="Z166" s="775">
        <f ca="1">SUMIF(CT_tram!$B$1632:$G$2211,kl!B166,CT_tram!$G$1632:$G$2211)</f>
        <v>0</v>
      </c>
      <c r="AA166" s="796">
        <f ca="1">SUMIF(CT_tram!$B$2243:$G$2384,kl!B166,CT_tram!$G$2243:$G$2384)</f>
        <v>0</v>
      </c>
      <c r="AB166" s="796">
        <f ca="1">SUMIF(CT_tram!$B$2391:$G$2563,kl!B166,CT_tram!$G$2391:$G$2563)</f>
        <v>0</v>
      </c>
      <c r="AC166" s="796">
        <f ca="1">SUMIF(chitiet!$B$13:$N$2352,kl!$B166,chitiet!$I$13:$I$2352)</f>
        <v>0</v>
      </c>
      <c r="AD166" s="796">
        <f ca="1">SUMIF(chitiet!$B$13:$N$2352,kl!$B166,chitiet!$J$13:$J$2352)</f>
        <v>0</v>
      </c>
      <c r="AE166" s="796">
        <f ca="1">SUMIF(chitiet!$B$13:$N$2352,kl!$B166,chitiet!$K$13:$K$2352)</f>
        <v>0</v>
      </c>
      <c r="AF166" s="796">
        <f ca="1">SUMIF(chitiet!$B$13:$N$2352,kl!$B166,chitiet!$L$13:$L$2352)</f>
        <v>0</v>
      </c>
      <c r="AG166" s="796">
        <f ca="1">SUMIF(chitiet!$B$13:$N$2352,kl!$B166,chitiet!$M$13)</f>
        <v>0</v>
      </c>
      <c r="AH166" s="796">
        <f ca="1">SUMIF(chitiet!$B$13:$N$2352,kl!$B166,chitiet!$N$13:$N$2352)</f>
        <v>0</v>
      </c>
      <c r="AI166" s="796">
        <f ca="1">SUMIF(chitiet!$B$13:$N$2352,kl!$B166,chitiet!$O$13:$O$2352)</f>
        <v>0</v>
      </c>
      <c r="AJ166" s="796">
        <f ca="1">SUMIF('Cap ngam'!$B$631:$G$723,kl!$B166,'Cap ngam'!$G$631:$G$723)</f>
        <v>0</v>
      </c>
      <c r="AK166" s="796">
        <f ca="1">SUMIF('Cap ngam'!$B$403:$G$628,kl!$B166,'Cap ngam'!G$403:G$628)</f>
        <v>0</v>
      </c>
      <c r="AL166" s="796">
        <f ca="1">SUMIF('Cap ngam'!B$16:G$400,kl!$B166,'Cap ngam'!G$16:G$400)</f>
        <v>0</v>
      </c>
      <c r="AM166" s="797">
        <v>0.82299999999999995</v>
      </c>
      <c r="AN166" s="775">
        <f t="shared" ca="1" si="87"/>
        <v>0</v>
      </c>
      <c r="AO166" s="775">
        <f t="shared" ca="1" si="88"/>
        <v>0</v>
      </c>
      <c r="AP166" s="775">
        <f t="shared" ca="1" si="89"/>
        <v>0</v>
      </c>
      <c r="AQ166" s="775">
        <f t="shared" ca="1" si="90"/>
        <v>0</v>
      </c>
      <c r="AR166" s="775">
        <f t="shared" ca="1" si="91"/>
        <v>0</v>
      </c>
      <c r="AS166" s="775">
        <f t="shared" ca="1" si="92"/>
        <v>0</v>
      </c>
      <c r="AT166" s="775">
        <f t="shared" ca="1" si="93"/>
        <v>0</v>
      </c>
      <c r="AU166" s="775">
        <f t="shared" ca="1" si="94"/>
        <v>0</v>
      </c>
      <c r="AV166" s="775">
        <f t="shared" ca="1" si="95"/>
        <v>0</v>
      </c>
      <c r="AW166" s="775">
        <f t="shared" ca="1" si="96"/>
        <v>0</v>
      </c>
      <c r="AX166" s="775">
        <f t="shared" si="97"/>
        <v>0</v>
      </c>
      <c r="AY166" s="775">
        <f t="shared" ca="1" si="98"/>
        <v>0</v>
      </c>
      <c r="AZ166" s="775">
        <f t="shared" si="99"/>
        <v>0</v>
      </c>
      <c r="BA166" s="796">
        <f t="shared" ca="1" si="80"/>
        <v>0</v>
      </c>
      <c r="BB166" s="775">
        <f t="shared" ca="1" si="81"/>
        <v>0</v>
      </c>
      <c r="BC166" s="796">
        <f t="shared" ca="1" si="82"/>
        <v>0</v>
      </c>
      <c r="BD166" s="796">
        <f t="shared" ca="1" si="83"/>
        <v>0</v>
      </c>
      <c r="BE166" s="796">
        <f t="shared" ca="1" si="84"/>
        <v>0</v>
      </c>
      <c r="BF166" s="796">
        <f t="shared" ca="1" si="85"/>
        <v>0</v>
      </c>
      <c r="BG166" s="796">
        <f t="shared" ca="1" si="86"/>
        <v>0</v>
      </c>
      <c r="BH166" s="796">
        <f t="shared" ca="1" si="100"/>
        <v>0</v>
      </c>
      <c r="BI166" s="796">
        <f t="shared" ca="1" si="101"/>
        <v>0</v>
      </c>
      <c r="BJ166" s="796">
        <f t="shared" ca="1" si="102"/>
        <v>0</v>
      </c>
      <c r="BK166" s="796">
        <f t="shared" ca="1" si="103"/>
        <v>0</v>
      </c>
      <c r="BL166" s="796">
        <f t="shared" ca="1" si="104"/>
        <v>0</v>
      </c>
      <c r="BM166" s="796">
        <f t="shared" ca="1" si="105"/>
        <v>0</v>
      </c>
      <c r="BN166" s="796">
        <f t="shared" ca="1" si="106"/>
        <v>0</v>
      </c>
      <c r="BO166" s="796">
        <f t="shared" ca="1" si="107"/>
        <v>0</v>
      </c>
      <c r="BP166" s="796">
        <f t="shared" ca="1" si="108"/>
        <v>0</v>
      </c>
      <c r="BQ166" s="796">
        <f t="shared" ca="1" si="75"/>
        <v>0</v>
      </c>
      <c r="BR166" s="796">
        <f t="shared" ca="1" si="109"/>
        <v>0</v>
      </c>
    </row>
    <row r="167" spans="1:70" s="790" customFormat="1">
      <c r="A167" s="790" t="str">
        <f t="shared" ca="1" si="111"/>
        <v/>
      </c>
      <c r="B167" s="791" t="s">
        <v>4206</v>
      </c>
      <c r="C167" s="792" t="str">
        <f ca="1">IF(F167=0,"",COUNTIF($F$78:$F167,"&gt;0"))</f>
        <v/>
      </c>
      <c r="D167" s="793" t="str">
        <f>VLOOKUP($B167,dongia1,DG!$C$5,)</f>
        <v>Cáp 24KV AC/XLPE 120mm2</v>
      </c>
      <c r="E167" s="794" t="str">
        <f>VLOOKUP($B167,dongia1,DG!$D$5,)</f>
        <v>mét</v>
      </c>
      <c r="F167" s="795">
        <f t="shared" ca="1" si="112"/>
        <v>0</v>
      </c>
      <c r="G167" s="796">
        <f t="shared" ca="1" si="113"/>
        <v>0</v>
      </c>
      <c r="H167" s="796">
        <f ca="1">SUMIF(CT_tram!$B$33:$G$3559,kl!B167,CT_tram!$G$33:$G$3559)</f>
        <v>0</v>
      </c>
      <c r="I167" s="775">
        <f ca="1">SUMIF(CT_tram!$B$34:$G$115,$B167,CT_tram!$G$34:$G$115)</f>
        <v>0</v>
      </c>
      <c r="J167" s="775">
        <f ca="1">SUMIF(CT_tram!$B$122:$G$204,$B167,CT_tram!$G$122:$G$204)</f>
        <v>0</v>
      </c>
      <c r="K167" s="775">
        <f ca="1">SUMIF(CT_tram!$B$211:$G$293,$B167,CT_tram!$G$211:$G$293)</f>
        <v>0</v>
      </c>
      <c r="L167" s="775">
        <f ca="1">SUMIF(CT_tram!$B$300:$G$374,$B167,CT_tram!$G$300:$G$374)</f>
        <v>0</v>
      </c>
      <c r="M167" s="775">
        <f ca="1">SUMIF(CT_tram!$B$381:$G$471,$B167,CT_tram!$G$381:$G$471)</f>
        <v>0</v>
      </c>
      <c r="N167" s="775">
        <f ca="1">SUMIF(CT_tram!$B$478:$G$560,$B167,CT_tram!$G$478:$G$560)</f>
        <v>0</v>
      </c>
      <c r="O167" s="775">
        <f ca="1">SUMIF(CT_tram!$B$567:$G$653,$B167,CT_tram!$G$567:$G$653)</f>
        <v>0</v>
      </c>
      <c r="P167" s="775">
        <f ca="1">SUMIF(CT_tram!$B$661:$G$738,$B167,CT_tram!$G$661:$G$738)</f>
        <v>0</v>
      </c>
      <c r="Q167" s="775">
        <f ca="1">SUMIF(CT_tram!$B$745:$G$899,$B167,CT_tram!$G$745:$G$899)</f>
        <v>0</v>
      </c>
      <c r="R167" s="775">
        <f ca="1">SUMIF(CT_tram!$B$907:$G$995,$B167,CT_tram!$G$907:$G$995)</f>
        <v>0</v>
      </c>
      <c r="S167" s="775"/>
      <c r="T167" s="775">
        <f ca="1">SUMIF(CT_tram!$B$1004:$G$1097,B167,CT_tram!$G$1004:$G$1097)</f>
        <v>0</v>
      </c>
      <c r="U167" s="775"/>
      <c r="V167" s="796">
        <f ca="1">SUMIF(CT_tram!$B$1226:$G$1352,kl!B167,CT_tram!$G$1226:$G$1352)</f>
        <v>0</v>
      </c>
      <c r="W167" s="780">
        <f ca="1">SUMIF(CT_tram!$B$1105:$G$1219,kl!B167,CT_tram!$G$1105:$G$1219)</f>
        <v>0</v>
      </c>
      <c r="X167" s="796">
        <f ca="1">SUMIF(CT_tram!$B$1359:$G$1504,kl!B167,CT_tram!$G$1359:$G$1504)</f>
        <v>0</v>
      </c>
      <c r="Y167" s="796">
        <f ca="1">SUMIF(CT_tram!$B$1511:$G$1625,kl!B167,CT_tram!$G$1511:$G$1625)</f>
        <v>0</v>
      </c>
      <c r="Z167" s="775">
        <f ca="1">SUMIF(CT_tram!$B$1632:$G$2211,kl!B167,CT_tram!$G$1632:$G$2211)</f>
        <v>0</v>
      </c>
      <c r="AA167" s="796">
        <f ca="1">SUMIF(CT_tram!$B$2243:$G$2384,kl!B167,CT_tram!$G$2243:$G$2384)</f>
        <v>0</v>
      </c>
      <c r="AB167" s="796">
        <f ca="1">SUMIF(CT_tram!$B$2391:$G$2563,kl!B167,CT_tram!$G$2391:$G$2563)</f>
        <v>0</v>
      </c>
      <c r="AC167" s="796">
        <f ca="1">SUMIF(chitiet!$B$13:$N$2352,kl!$B167,chitiet!$I$13:$I$2352)</f>
        <v>0</v>
      </c>
      <c r="AD167" s="796">
        <f ca="1">SUMIF(chitiet!$B$13:$N$2352,kl!$B167,chitiet!$J$13:$J$2352)</f>
        <v>0</v>
      </c>
      <c r="AE167" s="796">
        <f ca="1">SUMIF(chitiet!$B$13:$N$2352,kl!$B167,chitiet!$K$13:$K$2352)</f>
        <v>0</v>
      </c>
      <c r="AF167" s="796">
        <f ca="1">SUMIF(chitiet!$B$13:$N$2352,kl!$B167,chitiet!$L$13:$L$2352)</f>
        <v>0</v>
      </c>
      <c r="AG167" s="796">
        <f ca="1">SUMIF(chitiet!$B$13:$N$2352,kl!$B167,chitiet!$M$13)</f>
        <v>0</v>
      </c>
      <c r="AH167" s="796">
        <f ca="1">SUMIF(chitiet!$B$13:$N$2352,kl!$B167,chitiet!$N$13:$N$2352)</f>
        <v>0</v>
      </c>
      <c r="AI167" s="796">
        <f ca="1">SUMIF(chitiet!$B$13:$N$2352,kl!$B167,chitiet!$O$13:$O$2352)</f>
        <v>0</v>
      </c>
      <c r="AJ167" s="796">
        <f ca="1">SUMIF('Cap ngam'!$B$631:$G$723,kl!$B167,'Cap ngam'!$G$631:$G$723)</f>
        <v>0</v>
      </c>
      <c r="AK167" s="796">
        <f ca="1">SUMIF('Cap ngam'!$B$403:$G$628,kl!$B167,'Cap ngam'!G$403:G$628)</f>
        <v>0</v>
      </c>
      <c r="AL167" s="796">
        <f ca="1">SUMIF('Cap ngam'!B$16:G$400,kl!$B167,'Cap ngam'!G$16:G$400)</f>
        <v>0</v>
      </c>
      <c r="AM167" s="797">
        <v>0.94299999999999995</v>
      </c>
      <c r="AN167" s="775">
        <f t="shared" ca="1" si="87"/>
        <v>0</v>
      </c>
      <c r="AO167" s="775">
        <f t="shared" ca="1" si="88"/>
        <v>0</v>
      </c>
      <c r="AP167" s="775">
        <f t="shared" ca="1" si="89"/>
        <v>0</v>
      </c>
      <c r="AQ167" s="775">
        <f t="shared" ca="1" si="90"/>
        <v>0</v>
      </c>
      <c r="AR167" s="775">
        <f t="shared" ca="1" si="91"/>
        <v>0</v>
      </c>
      <c r="AS167" s="775">
        <f t="shared" ca="1" si="92"/>
        <v>0</v>
      </c>
      <c r="AT167" s="775">
        <f t="shared" ca="1" si="93"/>
        <v>0</v>
      </c>
      <c r="AU167" s="775">
        <f t="shared" ca="1" si="94"/>
        <v>0</v>
      </c>
      <c r="AV167" s="775">
        <f t="shared" ca="1" si="95"/>
        <v>0</v>
      </c>
      <c r="AW167" s="775">
        <f t="shared" ca="1" si="96"/>
        <v>0</v>
      </c>
      <c r="AX167" s="775">
        <f t="shared" si="97"/>
        <v>0</v>
      </c>
      <c r="AY167" s="775">
        <f t="shared" ca="1" si="98"/>
        <v>0</v>
      </c>
      <c r="AZ167" s="775">
        <f t="shared" si="99"/>
        <v>0</v>
      </c>
      <c r="BA167" s="796">
        <f t="shared" ca="1" si="80"/>
        <v>0</v>
      </c>
      <c r="BB167" s="775">
        <f t="shared" ca="1" si="81"/>
        <v>0</v>
      </c>
      <c r="BC167" s="796">
        <f t="shared" ca="1" si="82"/>
        <v>0</v>
      </c>
      <c r="BD167" s="796">
        <f t="shared" ca="1" si="83"/>
        <v>0</v>
      </c>
      <c r="BE167" s="796">
        <f t="shared" ca="1" si="84"/>
        <v>0</v>
      </c>
      <c r="BF167" s="796">
        <f t="shared" ca="1" si="85"/>
        <v>0</v>
      </c>
      <c r="BG167" s="796">
        <f t="shared" ca="1" si="86"/>
        <v>0</v>
      </c>
      <c r="BH167" s="796">
        <f t="shared" ca="1" si="100"/>
        <v>0</v>
      </c>
      <c r="BI167" s="796">
        <f t="shared" ca="1" si="101"/>
        <v>0</v>
      </c>
      <c r="BJ167" s="796">
        <f t="shared" ca="1" si="102"/>
        <v>0</v>
      </c>
      <c r="BK167" s="796">
        <f t="shared" ca="1" si="103"/>
        <v>0</v>
      </c>
      <c r="BL167" s="796">
        <f t="shared" ca="1" si="104"/>
        <v>0</v>
      </c>
      <c r="BM167" s="796">
        <f t="shared" ca="1" si="105"/>
        <v>0</v>
      </c>
      <c r="BN167" s="796">
        <f t="shared" ca="1" si="106"/>
        <v>0</v>
      </c>
      <c r="BO167" s="796">
        <f t="shared" ca="1" si="107"/>
        <v>0</v>
      </c>
      <c r="BP167" s="796">
        <f t="shared" ca="1" si="108"/>
        <v>0</v>
      </c>
      <c r="BQ167" s="796">
        <f t="shared" ca="1" si="75"/>
        <v>0</v>
      </c>
      <c r="BR167" s="796">
        <f t="shared" ca="1" si="109"/>
        <v>0</v>
      </c>
    </row>
    <row r="168" spans="1:70" s="790" customFormat="1">
      <c r="A168" s="790" t="str">
        <f t="shared" ca="1" si="111"/>
        <v/>
      </c>
      <c r="B168" s="791" t="s">
        <v>4207</v>
      </c>
      <c r="C168" s="792" t="str">
        <f ca="1">IF(F168=0,"",COUNTIF($F$78:$F168,"&gt;0"))</f>
        <v/>
      </c>
      <c r="D168" s="793" t="str">
        <f>VLOOKUP($B168,dongia1,DG!$C$5,)</f>
        <v>Cáp 24KV AC/XLPE 150mm2</v>
      </c>
      <c r="E168" s="794" t="str">
        <f>VLOOKUP($B168,dongia1,DG!$D$5,)</f>
        <v>mét</v>
      </c>
      <c r="F168" s="795">
        <f t="shared" ca="1" si="112"/>
        <v>0</v>
      </c>
      <c r="G168" s="796">
        <f t="shared" ca="1" si="113"/>
        <v>0</v>
      </c>
      <c r="H168" s="796">
        <f ca="1">SUMIF(CT_tram!$B$33:$G$3559,kl!B168,CT_tram!$G$33:$G$3559)</f>
        <v>0</v>
      </c>
      <c r="I168" s="775">
        <f ca="1">SUMIF(CT_tram!$B$34:$G$115,$B168,CT_tram!$G$34:$G$115)</f>
        <v>0</v>
      </c>
      <c r="J168" s="775">
        <f ca="1">SUMIF(CT_tram!$B$122:$G$204,$B168,CT_tram!$G$122:$G$204)</f>
        <v>0</v>
      </c>
      <c r="K168" s="775">
        <f ca="1">SUMIF(CT_tram!$B$211:$G$293,$B168,CT_tram!$G$211:$G$293)</f>
        <v>0</v>
      </c>
      <c r="L168" s="775">
        <f ca="1">SUMIF(CT_tram!$B$300:$G$374,$B168,CT_tram!$G$300:$G$374)</f>
        <v>0</v>
      </c>
      <c r="M168" s="775">
        <f ca="1">SUMIF(CT_tram!$B$381:$G$471,$B168,CT_tram!$G$381:$G$471)</f>
        <v>0</v>
      </c>
      <c r="N168" s="775">
        <f ca="1">SUMIF(CT_tram!$B$478:$G$560,$B168,CT_tram!$G$478:$G$560)</f>
        <v>0</v>
      </c>
      <c r="O168" s="775">
        <f ca="1">SUMIF(CT_tram!$B$567:$G$653,$B168,CT_tram!$G$567:$G$653)</f>
        <v>0</v>
      </c>
      <c r="P168" s="775">
        <f ca="1">SUMIF(CT_tram!$B$661:$G$738,$B168,CT_tram!$G$661:$G$738)</f>
        <v>0</v>
      </c>
      <c r="Q168" s="775">
        <f ca="1">SUMIF(CT_tram!$B$745:$G$899,$B168,CT_tram!$G$745:$G$899)</f>
        <v>0</v>
      </c>
      <c r="R168" s="775">
        <f ca="1">SUMIF(CT_tram!$B$907:$G$995,$B168,CT_tram!$G$907:$G$995)</f>
        <v>0</v>
      </c>
      <c r="S168" s="775"/>
      <c r="T168" s="775">
        <f ca="1">SUMIF(CT_tram!$B$1004:$G$1097,B168,CT_tram!$G$1004:$G$1097)</f>
        <v>0</v>
      </c>
      <c r="U168" s="775"/>
      <c r="V168" s="796">
        <f ca="1">SUMIF(CT_tram!$B$1226:$G$1352,kl!B168,CT_tram!$G$1226:$G$1352)</f>
        <v>0</v>
      </c>
      <c r="W168" s="780">
        <f ca="1">SUMIF(CT_tram!$B$1105:$G$1219,kl!B168,CT_tram!$G$1105:$G$1219)</f>
        <v>0</v>
      </c>
      <c r="X168" s="796">
        <f ca="1">SUMIF(CT_tram!$B$1359:$G$1504,kl!B168,CT_tram!$G$1359:$G$1504)</f>
        <v>0</v>
      </c>
      <c r="Y168" s="796">
        <f ca="1">SUMIF(CT_tram!$B$1511:$G$1625,kl!B168,CT_tram!$G$1511:$G$1625)</f>
        <v>0</v>
      </c>
      <c r="Z168" s="775">
        <f ca="1">SUMIF(CT_tram!$B$1632:$G$2211,kl!B168,CT_tram!$G$1632:$G$2211)</f>
        <v>0</v>
      </c>
      <c r="AA168" s="796">
        <f ca="1">SUMIF(CT_tram!$B$2243:$G$2384,kl!B168,CT_tram!$G$2243:$G$2384)</f>
        <v>0</v>
      </c>
      <c r="AB168" s="796">
        <f ca="1">SUMIF(CT_tram!$B$2391:$G$2563,kl!B168,CT_tram!$G$2391:$G$2563)</f>
        <v>0</v>
      </c>
      <c r="AC168" s="796">
        <f ca="1">SUMIF(chitiet!$B$13:$N$2352,kl!$B168,chitiet!$I$13:$I$2352)</f>
        <v>0</v>
      </c>
      <c r="AD168" s="796">
        <f ca="1">SUMIF(chitiet!$B$13:$N$2352,kl!$B168,chitiet!$J$13:$J$2352)</f>
        <v>0</v>
      </c>
      <c r="AE168" s="796">
        <f ca="1">SUMIF(chitiet!$B$13:$N$2352,kl!$B168,chitiet!$K$13:$K$2352)</f>
        <v>0</v>
      </c>
      <c r="AF168" s="796">
        <f ca="1">SUMIF(chitiet!$B$13:$N$2352,kl!$B168,chitiet!$L$13:$L$2352)</f>
        <v>0</v>
      </c>
      <c r="AG168" s="796">
        <f ca="1">SUMIF(chitiet!$B$13:$N$2352,kl!$B168,chitiet!$M$13)</f>
        <v>0</v>
      </c>
      <c r="AH168" s="796">
        <f ca="1">SUMIF(chitiet!$B$13:$N$2352,kl!$B168,chitiet!$N$13:$N$2352)</f>
        <v>0</v>
      </c>
      <c r="AI168" s="796">
        <f ca="1">SUMIF(chitiet!$B$13:$N$2352,kl!$B168,chitiet!$O$13:$O$2352)</f>
        <v>0</v>
      </c>
      <c r="AJ168" s="796">
        <f ca="1">SUMIF('Cap ngam'!$B$631:$G$723,kl!$B168,'Cap ngam'!$G$631:$G$723)</f>
        <v>0</v>
      </c>
      <c r="AK168" s="796">
        <f ca="1">SUMIF('Cap ngam'!$B$403:$G$628,kl!$B168,'Cap ngam'!G$403:G$628)</f>
        <v>0</v>
      </c>
      <c r="AL168" s="796">
        <f ca="1">SUMIF('Cap ngam'!B$16:G$400,kl!$B168,'Cap ngam'!G$16:G$400)</f>
        <v>0</v>
      </c>
      <c r="AM168" s="797">
        <v>1.0649999999999999</v>
      </c>
      <c r="AN168" s="775">
        <f t="shared" ca="1" si="87"/>
        <v>0</v>
      </c>
      <c r="AO168" s="775">
        <f t="shared" ca="1" si="88"/>
        <v>0</v>
      </c>
      <c r="AP168" s="775">
        <f t="shared" ca="1" si="89"/>
        <v>0</v>
      </c>
      <c r="AQ168" s="775">
        <f t="shared" ca="1" si="90"/>
        <v>0</v>
      </c>
      <c r="AR168" s="775">
        <f t="shared" ca="1" si="91"/>
        <v>0</v>
      </c>
      <c r="AS168" s="775">
        <f t="shared" ca="1" si="92"/>
        <v>0</v>
      </c>
      <c r="AT168" s="775">
        <f t="shared" ca="1" si="93"/>
        <v>0</v>
      </c>
      <c r="AU168" s="775">
        <f t="shared" ca="1" si="94"/>
        <v>0</v>
      </c>
      <c r="AV168" s="775">
        <f t="shared" ca="1" si="95"/>
        <v>0</v>
      </c>
      <c r="AW168" s="775">
        <f t="shared" ca="1" si="96"/>
        <v>0</v>
      </c>
      <c r="AX168" s="775">
        <f t="shared" si="97"/>
        <v>0</v>
      </c>
      <c r="AY168" s="775">
        <f t="shared" ca="1" si="98"/>
        <v>0</v>
      </c>
      <c r="AZ168" s="775">
        <f t="shared" si="99"/>
        <v>0</v>
      </c>
      <c r="BA168" s="796">
        <f t="shared" ca="1" si="80"/>
        <v>0</v>
      </c>
      <c r="BB168" s="775">
        <f t="shared" ca="1" si="81"/>
        <v>0</v>
      </c>
      <c r="BC168" s="796">
        <f t="shared" ca="1" si="82"/>
        <v>0</v>
      </c>
      <c r="BD168" s="796">
        <f t="shared" ca="1" si="83"/>
        <v>0</v>
      </c>
      <c r="BE168" s="796">
        <f t="shared" ca="1" si="84"/>
        <v>0</v>
      </c>
      <c r="BF168" s="796">
        <f t="shared" ca="1" si="85"/>
        <v>0</v>
      </c>
      <c r="BG168" s="796">
        <f t="shared" ca="1" si="86"/>
        <v>0</v>
      </c>
      <c r="BH168" s="796">
        <f t="shared" ca="1" si="100"/>
        <v>0</v>
      </c>
      <c r="BI168" s="796">
        <f t="shared" ca="1" si="101"/>
        <v>0</v>
      </c>
      <c r="BJ168" s="796">
        <f t="shared" ca="1" si="102"/>
        <v>0</v>
      </c>
      <c r="BK168" s="796">
        <f t="shared" ca="1" si="103"/>
        <v>0</v>
      </c>
      <c r="BL168" s="796">
        <f t="shared" ca="1" si="104"/>
        <v>0</v>
      </c>
      <c r="BM168" s="796">
        <f t="shared" ca="1" si="105"/>
        <v>0</v>
      </c>
      <c r="BN168" s="796">
        <f t="shared" ca="1" si="106"/>
        <v>0</v>
      </c>
      <c r="BO168" s="796">
        <f t="shared" ca="1" si="107"/>
        <v>0</v>
      </c>
      <c r="BP168" s="796">
        <f t="shared" ca="1" si="108"/>
        <v>0</v>
      </c>
      <c r="BQ168" s="796">
        <f t="shared" ca="1" si="75"/>
        <v>0</v>
      </c>
      <c r="BR168" s="796">
        <f t="shared" ca="1" si="109"/>
        <v>0</v>
      </c>
    </row>
    <row r="169" spans="1:70" s="790" customFormat="1">
      <c r="A169" s="790" t="str">
        <f t="shared" ca="1" si="111"/>
        <v/>
      </c>
      <c r="B169" s="791" t="s">
        <v>4208</v>
      </c>
      <c r="C169" s="792" t="str">
        <f ca="1">IF(F169=0,"",COUNTIF($F$78:$F169,"&gt;0"))</f>
        <v/>
      </c>
      <c r="D169" s="793" t="str">
        <f>VLOOKUP($B169,dongia1,DG!$C$5,)</f>
        <v>Cáp 24KV AC/XLPE 185mm2</v>
      </c>
      <c r="E169" s="794" t="str">
        <f>VLOOKUP($B169,dongia1,DG!$D$5,)</f>
        <v>mét</v>
      </c>
      <c r="F169" s="795">
        <f t="shared" ca="1" si="112"/>
        <v>0</v>
      </c>
      <c r="G169" s="796">
        <f t="shared" ca="1" si="113"/>
        <v>0</v>
      </c>
      <c r="H169" s="796">
        <f ca="1">SUMIF(CT_tram!$B$33:$G$3559,kl!B169,CT_tram!$G$33:$G$3559)</f>
        <v>0</v>
      </c>
      <c r="I169" s="775">
        <f ca="1">SUMIF(CT_tram!$B$34:$G$115,$B169,CT_tram!$G$34:$G$115)</f>
        <v>0</v>
      </c>
      <c r="J169" s="775">
        <f ca="1">SUMIF(CT_tram!$B$122:$G$204,$B169,CT_tram!$G$122:$G$204)</f>
        <v>0</v>
      </c>
      <c r="K169" s="775">
        <f ca="1">SUMIF(CT_tram!$B$211:$G$293,$B169,CT_tram!$G$211:$G$293)</f>
        <v>0</v>
      </c>
      <c r="L169" s="775">
        <f ca="1">SUMIF(CT_tram!$B$300:$G$374,$B169,CT_tram!$G$300:$G$374)</f>
        <v>0</v>
      </c>
      <c r="M169" s="775">
        <f ca="1">SUMIF(CT_tram!$B$381:$G$471,$B169,CT_tram!$G$381:$G$471)</f>
        <v>0</v>
      </c>
      <c r="N169" s="775">
        <f ca="1">SUMIF(CT_tram!$B$478:$G$560,$B169,CT_tram!$G$478:$G$560)</f>
        <v>0</v>
      </c>
      <c r="O169" s="775">
        <f ca="1">SUMIF(CT_tram!$B$567:$G$653,$B169,CT_tram!$G$567:$G$653)</f>
        <v>0</v>
      </c>
      <c r="P169" s="775">
        <f ca="1">SUMIF(CT_tram!$B$661:$G$738,$B169,CT_tram!$G$661:$G$738)</f>
        <v>0</v>
      </c>
      <c r="Q169" s="775">
        <f ca="1">SUMIF(CT_tram!$B$745:$G$899,$B169,CT_tram!$G$745:$G$899)</f>
        <v>0</v>
      </c>
      <c r="R169" s="775">
        <f ca="1">SUMIF(CT_tram!$B$907:$G$995,$B169,CT_tram!$G$907:$G$995)</f>
        <v>0</v>
      </c>
      <c r="S169" s="775"/>
      <c r="T169" s="775">
        <f ca="1">SUMIF(CT_tram!$B$1004:$G$1097,B169,CT_tram!$G$1004:$G$1097)</f>
        <v>0</v>
      </c>
      <c r="U169" s="775"/>
      <c r="V169" s="796">
        <f ca="1">SUMIF(CT_tram!$B$1226:$G$1352,kl!B169,CT_tram!$G$1226:$G$1352)</f>
        <v>0</v>
      </c>
      <c r="W169" s="780">
        <f ca="1">SUMIF(CT_tram!$B$1105:$G$1219,kl!B169,CT_tram!$G$1105:$G$1219)</f>
        <v>0</v>
      </c>
      <c r="X169" s="796">
        <f ca="1">SUMIF(CT_tram!$B$1359:$G$1504,kl!B169,CT_tram!$G$1359:$G$1504)</f>
        <v>0</v>
      </c>
      <c r="Y169" s="796">
        <f ca="1">SUMIF(CT_tram!$B$1511:$G$1625,kl!B169,CT_tram!$G$1511:$G$1625)</f>
        <v>0</v>
      </c>
      <c r="Z169" s="775">
        <f ca="1">SUMIF(CT_tram!$B$1632:$G$2211,kl!B169,CT_tram!$G$1632:$G$2211)</f>
        <v>0</v>
      </c>
      <c r="AA169" s="796">
        <f ca="1">SUMIF(CT_tram!$B$2243:$G$2384,kl!B169,CT_tram!$G$2243:$G$2384)</f>
        <v>0</v>
      </c>
      <c r="AB169" s="796">
        <f ca="1">SUMIF(CT_tram!$B$2391:$G$2563,kl!B169,CT_tram!$G$2391:$G$2563)</f>
        <v>0</v>
      </c>
      <c r="AC169" s="796">
        <f ca="1">SUMIF(chitiet!$B$13:$N$2352,kl!$B169,chitiet!$I$13:$I$2352)</f>
        <v>0</v>
      </c>
      <c r="AD169" s="796">
        <f ca="1">SUMIF(chitiet!$B$13:$N$2352,kl!$B169,chitiet!$J$13:$J$2352)</f>
        <v>0</v>
      </c>
      <c r="AE169" s="796">
        <f ca="1">SUMIF(chitiet!$B$13:$N$2352,kl!$B169,chitiet!$K$13:$K$2352)</f>
        <v>0</v>
      </c>
      <c r="AF169" s="796">
        <f ca="1">SUMIF(chitiet!$B$13:$N$2352,kl!$B169,chitiet!$L$13:$L$2352)</f>
        <v>0</v>
      </c>
      <c r="AG169" s="796">
        <f ca="1">SUMIF(chitiet!$B$13:$N$2352,kl!$B169,chitiet!$M$13)</f>
        <v>0</v>
      </c>
      <c r="AH169" s="796">
        <f ca="1">SUMIF(chitiet!$B$13:$N$2352,kl!$B169,chitiet!$N$13:$N$2352)</f>
        <v>0</v>
      </c>
      <c r="AI169" s="796">
        <f ca="1">SUMIF(chitiet!$B$13:$N$2352,kl!$B169,chitiet!$O$13:$O$2352)</f>
        <v>0</v>
      </c>
      <c r="AJ169" s="796">
        <f ca="1">SUMIF('Cap ngam'!$B$631:$G$723,kl!$B169,'Cap ngam'!$G$631:$G$723)</f>
        <v>0</v>
      </c>
      <c r="AK169" s="796">
        <f ca="1">SUMIF('Cap ngam'!$B$403:$G$628,kl!$B169,'Cap ngam'!G$403:G$628)</f>
        <v>0</v>
      </c>
      <c r="AL169" s="796">
        <f ca="1">SUMIF('Cap ngam'!B$16:G$400,kl!$B169,'Cap ngam'!G$16:G$400)</f>
        <v>0</v>
      </c>
      <c r="AM169" s="797">
        <v>1.2689999999999999</v>
      </c>
      <c r="AN169" s="775">
        <f t="shared" ca="1" si="87"/>
        <v>0</v>
      </c>
      <c r="AO169" s="775">
        <f t="shared" ca="1" si="88"/>
        <v>0</v>
      </c>
      <c r="AP169" s="775">
        <f t="shared" ca="1" si="89"/>
        <v>0</v>
      </c>
      <c r="AQ169" s="775">
        <f t="shared" ca="1" si="90"/>
        <v>0</v>
      </c>
      <c r="AR169" s="775">
        <f t="shared" ca="1" si="91"/>
        <v>0</v>
      </c>
      <c r="AS169" s="775">
        <f t="shared" ca="1" si="92"/>
        <v>0</v>
      </c>
      <c r="AT169" s="775">
        <f t="shared" ca="1" si="93"/>
        <v>0</v>
      </c>
      <c r="AU169" s="775">
        <f t="shared" ca="1" si="94"/>
        <v>0</v>
      </c>
      <c r="AV169" s="775">
        <f t="shared" ca="1" si="95"/>
        <v>0</v>
      </c>
      <c r="AW169" s="775">
        <f t="shared" ca="1" si="96"/>
        <v>0</v>
      </c>
      <c r="AX169" s="775">
        <f t="shared" si="97"/>
        <v>0</v>
      </c>
      <c r="AY169" s="775">
        <f t="shared" ca="1" si="98"/>
        <v>0</v>
      </c>
      <c r="AZ169" s="775">
        <f t="shared" si="99"/>
        <v>0</v>
      </c>
      <c r="BA169" s="796">
        <f t="shared" ca="1" si="80"/>
        <v>0</v>
      </c>
      <c r="BB169" s="775">
        <f t="shared" ca="1" si="81"/>
        <v>0</v>
      </c>
      <c r="BC169" s="796">
        <f t="shared" ca="1" si="82"/>
        <v>0</v>
      </c>
      <c r="BD169" s="796">
        <f t="shared" ca="1" si="83"/>
        <v>0</v>
      </c>
      <c r="BE169" s="796">
        <f t="shared" ca="1" si="84"/>
        <v>0</v>
      </c>
      <c r="BF169" s="796">
        <f t="shared" ca="1" si="85"/>
        <v>0</v>
      </c>
      <c r="BG169" s="796">
        <f t="shared" ca="1" si="86"/>
        <v>0</v>
      </c>
      <c r="BH169" s="796">
        <f t="shared" ca="1" si="100"/>
        <v>0</v>
      </c>
      <c r="BI169" s="796">
        <f t="shared" ca="1" si="101"/>
        <v>0</v>
      </c>
      <c r="BJ169" s="796">
        <f t="shared" ca="1" si="102"/>
        <v>0</v>
      </c>
      <c r="BK169" s="796">
        <f t="shared" ca="1" si="103"/>
        <v>0</v>
      </c>
      <c r="BL169" s="796">
        <f t="shared" ca="1" si="104"/>
        <v>0</v>
      </c>
      <c r="BM169" s="796">
        <f t="shared" ca="1" si="105"/>
        <v>0</v>
      </c>
      <c r="BN169" s="796">
        <f t="shared" ca="1" si="106"/>
        <v>0</v>
      </c>
      <c r="BO169" s="796">
        <f t="shared" ca="1" si="107"/>
        <v>0</v>
      </c>
      <c r="BP169" s="796">
        <f t="shared" ca="1" si="108"/>
        <v>0</v>
      </c>
      <c r="BQ169" s="796">
        <f t="shared" ca="1" si="75"/>
        <v>0</v>
      </c>
      <c r="BR169" s="796">
        <f t="shared" ca="1" si="109"/>
        <v>0</v>
      </c>
    </row>
    <row r="170" spans="1:70" s="790" customFormat="1">
      <c r="A170" s="790" t="str">
        <f t="shared" ca="1" si="111"/>
        <v/>
      </c>
      <c r="B170" s="791" t="s">
        <v>4209</v>
      </c>
      <c r="C170" s="792" t="str">
        <f ca="1">IF(F170=0,"",COUNTIF($F$78:$F170,"&gt;0"))</f>
        <v/>
      </c>
      <c r="D170" s="793" t="str">
        <f>VLOOKUP($B170,dongia1,DG!$C$5,)</f>
        <v>Cáp 24KV AC/XLPE 240mm2</v>
      </c>
      <c r="E170" s="794" t="str">
        <f>VLOOKUP($B170,dongia1,DG!$D$5,)</f>
        <v>mét</v>
      </c>
      <c r="F170" s="795">
        <f t="shared" ca="1" si="112"/>
        <v>0</v>
      </c>
      <c r="G170" s="796">
        <f t="shared" ca="1" si="113"/>
        <v>0</v>
      </c>
      <c r="H170" s="796">
        <f ca="1">SUMIF(CT_tram!$B$33:$G$3559,kl!B170,CT_tram!$G$33:$G$3559)</f>
        <v>0</v>
      </c>
      <c r="I170" s="775">
        <f ca="1">SUMIF(CT_tram!$B$34:$G$115,$B170,CT_tram!$G$34:$G$115)</f>
        <v>0</v>
      </c>
      <c r="J170" s="775">
        <f ca="1">SUMIF(CT_tram!$B$122:$G$204,$B170,CT_tram!$G$122:$G$204)</f>
        <v>0</v>
      </c>
      <c r="K170" s="775">
        <f ca="1">SUMIF(CT_tram!$B$211:$G$293,$B170,CT_tram!$G$211:$G$293)</f>
        <v>0</v>
      </c>
      <c r="L170" s="775">
        <f ca="1">SUMIF(CT_tram!$B$300:$G$374,$B170,CT_tram!$G$300:$G$374)</f>
        <v>0</v>
      </c>
      <c r="M170" s="775">
        <f ca="1">SUMIF(CT_tram!$B$381:$G$471,$B170,CT_tram!$G$381:$G$471)</f>
        <v>0</v>
      </c>
      <c r="N170" s="775">
        <f ca="1">SUMIF(CT_tram!$B$478:$G$560,$B170,CT_tram!$G$478:$G$560)</f>
        <v>0</v>
      </c>
      <c r="O170" s="775">
        <f ca="1">SUMIF(CT_tram!$B$567:$G$653,$B170,CT_tram!$G$567:$G$653)</f>
        <v>0</v>
      </c>
      <c r="P170" s="775">
        <f ca="1">SUMIF(CT_tram!$B$661:$G$738,$B170,CT_tram!$G$661:$G$738)</f>
        <v>0</v>
      </c>
      <c r="Q170" s="775">
        <f ca="1">SUMIF(CT_tram!$B$745:$G$899,$B170,CT_tram!$G$745:$G$899)</f>
        <v>0</v>
      </c>
      <c r="R170" s="775">
        <f ca="1">SUMIF(CT_tram!$B$907:$G$995,$B170,CT_tram!$G$907:$G$995)</f>
        <v>0</v>
      </c>
      <c r="S170" s="775"/>
      <c r="T170" s="775">
        <f ca="1">SUMIF(CT_tram!$B$1004:$G$1097,B170,CT_tram!$G$1004:$G$1097)</f>
        <v>0</v>
      </c>
      <c r="U170" s="775"/>
      <c r="V170" s="796">
        <f ca="1">SUMIF(CT_tram!$B$1226:$G$1352,kl!B170,CT_tram!$G$1226:$G$1352)</f>
        <v>0</v>
      </c>
      <c r="W170" s="780">
        <f ca="1">SUMIF(CT_tram!$B$1105:$G$1219,kl!B170,CT_tram!$G$1105:$G$1219)</f>
        <v>0</v>
      </c>
      <c r="X170" s="796">
        <f ca="1">SUMIF(CT_tram!$B$1359:$G$1504,kl!B170,CT_tram!$G$1359:$G$1504)</f>
        <v>0</v>
      </c>
      <c r="Y170" s="796">
        <f ca="1">SUMIF(CT_tram!$B$1511:$G$1625,kl!B170,CT_tram!$G$1511:$G$1625)</f>
        <v>0</v>
      </c>
      <c r="Z170" s="775">
        <f ca="1">SUMIF(CT_tram!$B$1632:$G$2211,kl!B170,CT_tram!$G$1632:$G$2211)</f>
        <v>0</v>
      </c>
      <c r="AA170" s="796">
        <f ca="1">SUMIF(CT_tram!$B$2243:$G$2384,kl!B170,CT_tram!$G$2243:$G$2384)</f>
        <v>0</v>
      </c>
      <c r="AB170" s="796">
        <f ca="1">SUMIF(CT_tram!$B$2391:$G$2563,kl!B170,CT_tram!$G$2391:$G$2563)</f>
        <v>0</v>
      </c>
      <c r="AC170" s="796">
        <f ca="1">SUMIF(chitiet!$B$13:$N$2352,kl!$B170,chitiet!$I$13:$I$2352)</f>
        <v>0</v>
      </c>
      <c r="AD170" s="796">
        <f ca="1">SUMIF(chitiet!$B$13:$N$2352,kl!$B170,chitiet!$J$13:$J$2352)</f>
        <v>0</v>
      </c>
      <c r="AE170" s="796">
        <f ca="1">SUMIF(chitiet!$B$13:$N$2352,kl!$B170,chitiet!$K$13:$K$2352)</f>
        <v>0</v>
      </c>
      <c r="AF170" s="796">
        <f ca="1">SUMIF(chitiet!$B$13:$N$2352,kl!$B170,chitiet!$L$13:$L$2352)</f>
        <v>0</v>
      </c>
      <c r="AG170" s="796">
        <f ca="1">SUMIF(chitiet!$B$13:$N$2352,kl!$B170,chitiet!$M$13)</f>
        <v>0</v>
      </c>
      <c r="AH170" s="796">
        <f ca="1">SUMIF(chitiet!$B$13:$N$2352,kl!$B170,chitiet!$N$13:$N$2352)</f>
        <v>0</v>
      </c>
      <c r="AI170" s="796">
        <f ca="1">SUMIF(chitiet!$B$13:$N$2352,kl!$B170,chitiet!$O$13:$O$2352)</f>
        <v>0</v>
      </c>
      <c r="AJ170" s="796">
        <f ca="1">SUMIF('Cap ngam'!$B$631:$G$723,kl!$B170,'Cap ngam'!$G$631:$G$723)</f>
        <v>0</v>
      </c>
      <c r="AK170" s="796">
        <f ca="1">SUMIF('Cap ngam'!$B$403:$G$628,kl!$B170,'Cap ngam'!G$403:G$628)</f>
        <v>0</v>
      </c>
      <c r="AL170" s="796">
        <f ca="1">SUMIF('Cap ngam'!B$16:G$400,kl!$B170,'Cap ngam'!G$16:G$400)</f>
        <v>0</v>
      </c>
      <c r="AM170" s="797">
        <v>1.552</v>
      </c>
      <c r="AN170" s="775">
        <f t="shared" ca="1" si="87"/>
        <v>0</v>
      </c>
      <c r="AO170" s="775">
        <f t="shared" ca="1" si="88"/>
        <v>0</v>
      </c>
      <c r="AP170" s="775">
        <f t="shared" ca="1" si="89"/>
        <v>0</v>
      </c>
      <c r="AQ170" s="775">
        <f t="shared" ca="1" si="90"/>
        <v>0</v>
      </c>
      <c r="AR170" s="775">
        <f t="shared" ca="1" si="91"/>
        <v>0</v>
      </c>
      <c r="AS170" s="775">
        <f t="shared" ca="1" si="92"/>
        <v>0</v>
      </c>
      <c r="AT170" s="775">
        <f t="shared" ca="1" si="93"/>
        <v>0</v>
      </c>
      <c r="AU170" s="775">
        <f t="shared" ca="1" si="94"/>
        <v>0</v>
      </c>
      <c r="AV170" s="775">
        <f t="shared" ca="1" si="95"/>
        <v>0</v>
      </c>
      <c r="AW170" s="775">
        <f t="shared" ca="1" si="96"/>
        <v>0</v>
      </c>
      <c r="AX170" s="775">
        <f t="shared" si="97"/>
        <v>0</v>
      </c>
      <c r="AY170" s="775">
        <f t="shared" ca="1" si="98"/>
        <v>0</v>
      </c>
      <c r="AZ170" s="775">
        <f t="shared" si="99"/>
        <v>0</v>
      </c>
      <c r="BA170" s="796">
        <f t="shared" ca="1" si="80"/>
        <v>0</v>
      </c>
      <c r="BB170" s="775">
        <f t="shared" ca="1" si="81"/>
        <v>0</v>
      </c>
      <c r="BC170" s="796">
        <f t="shared" ca="1" si="82"/>
        <v>0</v>
      </c>
      <c r="BD170" s="796">
        <f t="shared" ca="1" si="83"/>
        <v>0</v>
      </c>
      <c r="BE170" s="796">
        <f t="shared" ca="1" si="84"/>
        <v>0</v>
      </c>
      <c r="BF170" s="796">
        <f t="shared" ca="1" si="85"/>
        <v>0</v>
      </c>
      <c r="BG170" s="796">
        <f t="shared" ca="1" si="86"/>
        <v>0</v>
      </c>
      <c r="BH170" s="796">
        <f t="shared" ca="1" si="100"/>
        <v>0</v>
      </c>
      <c r="BI170" s="796">
        <f t="shared" ca="1" si="101"/>
        <v>0</v>
      </c>
      <c r="BJ170" s="796">
        <f t="shared" ca="1" si="102"/>
        <v>0</v>
      </c>
      <c r="BK170" s="796">
        <f t="shared" ca="1" si="103"/>
        <v>0</v>
      </c>
      <c r="BL170" s="796">
        <f t="shared" ca="1" si="104"/>
        <v>0</v>
      </c>
      <c r="BM170" s="796">
        <f t="shared" ca="1" si="105"/>
        <v>0</v>
      </c>
      <c r="BN170" s="796">
        <f t="shared" ca="1" si="106"/>
        <v>0</v>
      </c>
      <c r="BO170" s="796">
        <f t="shared" ca="1" si="107"/>
        <v>0</v>
      </c>
      <c r="BP170" s="796">
        <f t="shared" ca="1" si="108"/>
        <v>0</v>
      </c>
      <c r="BQ170" s="796">
        <f t="shared" ca="1" si="75"/>
        <v>0</v>
      </c>
      <c r="BR170" s="796">
        <f t="shared" ca="1" si="109"/>
        <v>0</v>
      </c>
    </row>
    <row r="171" spans="1:70">
      <c r="A171" s="767" t="str">
        <f t="shared" ca="1" si="110"/>
        <v/>
      </c>
      <c r="B171" s="789" t="s">
        <v>2072</v>
      </c>
      <c r="C171" s="188" t="str">
        <f ca="1">IF(F171=0,"",COUNTIF($F$78:$F171,"&gt;0"))</f>
        <v/>
      </c>
      <c r="D171" s="778" t="str">
        <f>VLOOKUP($B171,dongia1,DG!$C$5,)</f>
        <v>Cáp 24KV C/XLPE/PVC 22mm2</v>
      </c>
      <c r="E171" s="555" t="str">
        <f>VLOOKUP($B171,dongia1,DG!$D$5,)</f>
        <v>mét</v>
      </c>
      <c r="F171" s="779">
        <f t="shared" ref="F171:F179" ca="1" si="114">G171+H171</f>
        <v>0</v>
      </c>
      <c r="G171" s="775">
        <f t="shared" ca="1" si="76"/>
        <v>0</v>
      </c>
      <c r="H171" s="775">
        <f ca="1">SUMIF(CT_tram!$B$33:$G$3559,kl!B171,CT_tram!$G$33:$G$3559)</f>
        <v>0</v>
      </c>
      <c r="I171" s="775">
        <f ca="1">SUMIF(CT_tram!$B$34:$G$115,$B171,CT_tram!$G$34:$G$115)</f>
        <v>0</v>
      </c>
      <c r="J171" s="775">
        <f ca="1">SUMIF(CT_tram!$B$122:$G$204,$B171,CT_tram!$G$122:$G$204)</f>
        <v>0</v>
      </c>
      <c r="K171" s="775">
        <f ca="1">SUMIF(CT_tram!$B$211:$G$293,$B171,CT_tram!$G$211:$G$293)</f>
        <v>0</v>
      </c>
      <c r="L171" s="775">
        <f ca="1">SUMIF(CT_tram!$B$300:$G$374,$B171,CT_tram!$G$300:$G$374)</f>
        <v>0</v>
      </c>
      <c r="M171" s="775">
        <f ca="1">SUMIF(CT_tram!$B$381:$G$471,$B171,CT_tram!$G$381:$G$471)</f>
        <v>0</v>
      </c>
      <c r="N171" s="775">
        <f ca="1">SUMIF(CT_tram!$B$478:$G$560,$B171,CT_tram!$G$478:$G$560)</f>
        <v>0</v>
      </c>
      <c r="O171" s="775">
        <f ca="1">SUMIF(CT_tram!$B$567:$G$653,$B171,CT_tram!$G$567:$G$653)</f>
        <v>0</v>
      </c>
      <c r="P171" s="775">
        <f ca="1">SUMIF(CT_tram!$B$661:$G$738,$B171,CT_tram!$G$661:$G$738)</f>
        <v>0</v>
      </c>
      <c r="Q171" s="775">
        <f ca="1">SUMIF(CT_tram!$B$745:$G$899,$B171,CT_tram!$G$745:$G$899)</f>
        <v>0</v>
      </c>
      <c r="R171" s="775">
        <f ca="1">SUMIF(CT_tram!$B$907:$G$995,$B171,CT_tram!$G$907:$G$995)</f>
        <v>0</v>
      </c>
      <c r="S171" s="775"/>
      <c r="T171" s="775">
        <f ca="1">SUMIF(CT_tram!$B$1004:$G$1097,B171,CT_tram!$G$1004:$G$1097)</f>
        <v>0</v>
      </c>
      <c r="U171" s="775"/>
      <c r="V171" s="775">
        <f ca="1">SUMIF(CT_tram!$B$1226:$G$1352,kl!B171,CT_tram!$G$1226:$G$1352)</f>
        <v>0</v>
      </c>
      <c r="W171" s="780">
        <f ca="1">SUMIF(CT_tram!$B$1105:$G$1219,kl!B171,CT_tram!$G$1105:$G$1219)</f>
        <v>0</v>
      </c>
      <c r="X171" s="775">
        <f ca="1">SUMIF(CT_tram!$B$1359:$G$1504,kl!B171,CT_tram!$G$1359:$G$1504)</f>
        <v>0</v>
      </c>
      <c r="Y171" s="775">
        <f ca="1">SUMIF(CT_tram!$B$1511:$G$1625,kl!B171,CT_tram!$G$1511:$G$1625)</f>
        <v>0</v>
      </c>
      <c r="Z171" s="775">
        <f ca="1">SUMIF(CT_tram!$B$1632:$G$2211,kl!B171,CT_tram!$G$1632:$G$2211)</f>
        <v>0</v>
      </c>
      <c r="AA171" s="775">
        <f ca="1">SUMIF(CT_tram!$B$2243:$G$2384,kl!B171,CT_tram!$G$2243:$G$2384)</f>
        <v>0</v>
      </c>
      <c r="AB171" s="775">
        <f ca="1">SUMIF(CT_tram!$B$2391:$G$2563,kl!B171,CT_tram!$G$2391:$G$2563)</f>
        <v>0</v>
      </c>
      <c r="AC171" s="775">
        <f ca="1">SUMIF(chitiet!$B$13:$N$2352,kl!$B171,chitiet!$I$13:$I$2352)</f>
        <v>0</v>
      </c>
      <c r="AD171" s="775">
        <f ca="1">SUMIF(chitiet!$B$13:$N$2352,kl!$B171,chitiet!$J$13:$J$2352)</f>
        <v>0</v>
      </c>
      <c r="AE171" s="775">
        <f ca="1">SUMIF(chitiet!$B$13:$N$2352,kl!$B171,chitiet!$K$13:$K$2352)</f>
        <v>0</v>
      </c>
      <c r="AF171" s="775">
        <f ca="1">SUMIF(chitiet!$B$13:$N$2352,kl!$B171,chitiet!$L$13:$L$2352)</f>
        <v>0</v>
      </c>
      <c r="AG171" s="775">
        <f ca="1">SUMIF(chitiet!$B$13:$N$2352,kl!$B171,chitiet!$M$13)</f>
        <v>0</v>
      </c>
      <c r="AH171" s="775">
        <f ca="1">SUMIF(chitiet!$B$13:$N$2352,kl!$B171,chitiet!$N$13:$N$2352)</f>
        <v>0</v>
      </c>
      <c r="AI171" s="775">
        <f ca="1">SUMIF(chitiet!$B$13:$N$2352,kl!$B171,chitiet!$O$13:$O$2352)</f>
        <v>0</v>
      </c>
      <c r="AJ171" s="775">
        <f ca="1">SUMIF('Cap ngam'!$B$631:$G$723,kl!$B171,'Cap ngam'!$G$631:$G$723)</f>
        <v>0</v>
      </c>
      <c r="AK171" s="775">
        <f ca="1">SUMIF('Cap ngam'!$B$403:$G$628,kl!$B171,'Cap ngam'!G$403:G$628)</f>
        <v>0</v>
      </c>
      <c r="AL171" s="775">
        <f ca="1">SUMIF('Cap ngam'!B$16:G$400,kl!$B171,'Cap ngam'!G$16:G$400)</f>
        <v>0</v>
      </c>
      <c r="AM171" s="776">
        <f>AM172/25*22</f>
        <v>0.44377142857142854</v>
      </c>
      <c r="AN171" s="775">
        <f t="shared" ca="1" si="87"/>
        <v>0</v>
      </c>
      <c r="AO171" s="775">
        <f t="shared" ca="1" si="88"/>
        <v>0</v>
      </c>
      <c r="AP171" s="775">
        <f t="shared" ca="1" si="89"/>
        <v>0</v>
      </c>
      <c r="AQ171" s="775">
        <f t="shared" ca="1" si="90"/>
        <v>0</v>
      </c>
      <c r="AR171" s="775">
        <f t="shared" ca="1" si="91"/>
        <v>0</v>
      </c>
      <c r="AS171" s="775">
        <f t="shared" ca="1" si="92"/>
        <v>0</v>
      </c>
      <c r="AT171" s="775">
        <f t="shared" ca="1" si="93"/>
        <v>0</v>
      </c>
      <c r="AU171" s="775">
        <f t="shared" ca="1" si="94"/>
        <v>0</v>
      </c>
      <c r="AV171" s="775">
        <f t="shared" ca="1" si="95"/>
        <v>0</v>
      </c>
      <c r="AW171" s="775">
        <f t="shared" ca="1" si="96"/>
        <v>0</v>
      </c>
      <c r="AX171" s="775">
        <f t="shared" si="97"/>
        <v>0</v>
      </c>
      <c r="AY171" s="775">
        <f t="shared" ca="1" si="98"/>
        <v>0</v>
      </c>
      <c r="AZ171" s="775">
        <f t="shared" si="99"/>
        <v>0</v>
      </c>
      <c r="BA171" s="775">
        <f t="shared" ca="1" si="80"/>
        <v>0</v>
      </c>
      <c r="BB171" s="775">
        <f t="shared" ca="1" si="81"/>
        <v>0</v>
      </c>
      <c r="BC171" s="775">
        <f t="shared" ca="1" si="82"/>
        <v>0</v>
      </c>
      <c r="BD171" s="775">
        <f t="shared" ca="1" si="83"/>
        <v>0</v>
      </c>
      <c r="BE171" s="775">
        <f t="shared" ca="1" si="84"/>
        <v>0</v>
      </c>
      <c r="BF171" s="775">
        <f t="shared" ca="1" si="85"/>
        <v>0</v>
      </c>
      <c r="BG171" s="775">
        <f t="shared" ca="1" si="86"/>
        <v>0</v>
      </c>
      <c r="BH171" s="775">
        <f t="shared" ca="1" si="100"/>
        <v>0</v>
      </c>
      <c r="BI171" s="775">
        <f t="shared" ca="1" si="101"/>
        <v>0</v>
      </c>
      <c r="BJ171" s="775">
        <f t="shared" ca="1" si="102"/>
        <v>0</v>
      </c>
      <c r="BK171" s="775">
        <f t="shared" ca="1" si="103"/>
        <v>0</v>
      </c>
      <c r="BL171" s="775">
        <f t="shared" ca="1" si="104"/>
        <v>0</v>
      </c>
      <c r="BM171" s="775">
        <f t="shared" ca="1" si="105"/>
        <v>0</v>
      </c>
      <c r="BN171" s="775">
        <f t="shared" ca="1" si="106"/>
        <v>0</v>
      </c>
      <c r="BO171" s="775">
        <f t="shared" ca="1" si="107"/>
        <v>0</v>
      </c>
      <c r="BP171" s="775">
        <f t="shared" ca="1" si="108"/>
        <v>0</v>
      </c>
      <c r="BQ171" s="775">
        <f t="shared" ca="1" si="75"/>
        <v>0</v>
      </c>
      <c r="BR171" s="775">
        <f t="shared" ca="1" si="109"/>
        <v>0</v>
      </c>
    </row>
    <row r="172" spans="1:70">
      <c r="A172" s="767" t="str">
        <f t="shared" ca="1" si="110"/>
        <v/>
      </c>
      <c r="B172" s="789" t="s">
        <v>648</v>
      </c>
      <c r="C172" s="188" t="str">
        <f ca="1">IF(F172=0,"",COUNTIF($F$78:$F172,"&gt;0"))</f>
        <v/>
      </c>
      <c r="D172" s="778" t="str">
        <f>VLOOKUP($B172,dongia1,DG!$C$5,)</f>
        <v>Cáp 24KV C/XLPE/PVC- 25mm2</v>
      </c>
      <c r="E172" s="555" t="str">
        <f>VLOOKUP($B172,dongia1,DG!$D$5,)</f>
        <v>mét</v>
      </c>
      <c r="F172" s="975">
        <f t="shared" ca="1" si="114"/>
        <v>0</v>
      </c>
      <c r="G172" s="976">
        <f t="shared" ca="1" si="76"/>
        <v>0</v>
      </c>
      <c r="H172" s="976">
        <f ca="1">SUMIF(CT_tram!$B$33:$G$3559,kl!B172,CT_tram!$G$33:$G$3559)</f>
        <v>0</v>
      </c>
      <c r="I172" s="775">
        <f ca="1">SUMIF(CT_tram!$B$34:$G$115,$B172,CT_tram!$G$34:$G$115)</f>
        <v>0</v>
      </c>
      <c r="J172" s="775">
        <f ca="1">SUMIF(CT_tram!$B$122:$G$204,$B172,CT_tram!$G$122:$G$204)</f>
        <v>0</v>
      </c>
      <c r="K172" s="775">
        <f ca="1">SUMIF(CT_tram!$B$211:$G$293,$B172,CT_tram!$G$211:$G$293)</f>
        <v>0</v>
      </c>
      <c r="L172" s="775">
        <f ca="1">SUMIF(CT_tram!$B$300:$G$374,$B172,CT_tram!$G$300:$G$374)</f>
        <v>0</v>
      </c>
      <c r="M172" s="775">
        <f ca="1">SUMIF(CT_tram!$B$381:$G$471,$B172,CT_tram!$G$381:$G$471)</f>
        <v>0</v>
      </c>
      <c r="N172" s="775">
        <f ca="1">SUMIF(CT_tram!$B$478:$G$560,$B172,CT_tram!$G$478:$G$560)</f>
        <v>0</v>
      </c>
      <c r="O172" s="775">
        <f ca="1">SUMIF(CT_tram!$B$567:$G$653,$B172,CT_tram!$G$567:$G$653)</f>
        <v>0</v>
      </c>
      <c r="P172" s="775">
        <f ca="1">SUMIF(CT_tram!$B$661:$G$738,$B172,CT_tram!$G$661:$G$738)</f>
        <v>0</v>
      </c>
      <c r="Q172" s="775">
        <f ca="1">SUMIF(CT_tram!$B$745:$G$899,$B172,CT_tram!$G$745:$G$899)</f>
        <v>0</v>
      </c>
      <c r="R172" s="775">
        <f ca="1">SUMIF(CT_tram!$B$907:$G$995,$B172,CT_tram!$G$907:$G$995)</f>
        <v>0</v>
      </c>
      <c r="S172" s="775"/>
      <c r="T172" s="775">
        <f ca="1">SUMIF(CT_tram!$B$1004:$G$1097,B172,CT_tram!$G$1004:$G$1097)</f>
        <v>0</v>
      </c>
      <c r="U172" s="775"/>
      <c r="V172" s="775">
        <f ca="1">SUMIF(CT_tram!$B$1226:$G$1352,kl!B172,CT_tram!$G$1226:$G$1352)</f>
        <v>0</v>
      </c>
      <c r="W172" s="780">
        <f ca="1">SUMIF(CT_tram!$B$1105:$G$1219,kl!B172,CT_tram!$G$1105:$G$1219)</f>
        <v>0</v>
      </c>
      <c r="X172" s="775">
        <f ca="1">SUMIF(CT_tram!$B$1359:$G$1504,kl!B172,CT_tram!$G$1359:$G$1504)</f>
        <v>0</v>
      </c>
      <c r="Y172" s="775">
        <f ca="1">SUMIF(CT_tram!$B$1511:$G$1625,kl!B172,CT_tram!$G$1511:$G$1625)</f>
        <v>0</v>
      </c>
      <c r="Z172" s="775">
        <f ca="1">SUMIF(CT_tram!$B$1632:$G$2211,kl!B172,CT_tram!$G$1632:$G$2211)</f>
        <v>0</v>
      </c>
      <c r="AA172" s="775">
        <f ca="1">SUMIF(CT_tram!$B$2243:$G$2384,kl!B172,CT_tram!$G$2243:$G$2384)</f>
        <v>0</v>
      </c>
      <c r="AB172" s="775">
        <f ca="1">SUMIF(CT_tram!$B$2391:$G$2563,kl!B172,CT_tram!$G$2391:$G$2563)</f>
        <v>0</v>
      </c>
      <c r="AC172" s="775">
        <f ca="1">SUMIF(chitiet!$B$13:$N$2352,kl!$B172,chitiet!$I$13:$I$2352)</f>
        <v>0</v>
      </c>
      <c r="AD172" s="775">
        <f ca="1">SUMIF(chitiet!$B$13:$N$2352,kl!$B172,chitiet!$J$13:$J$2352)</f>
        <v>0</v>
      </c>
      <c r="AE172" s="775">
        <f ca="1">SUMIF(chitiet!$B$13:$N$2352,kl!$B172,chitiet!$K$13:$K$2352)*0</f>
        <v>0</v>
      </c>
      <c r="AF172" s="775">
        <f ca="1">SUMIF(chitiet!$B$13:$N$2352,kl!$B172,chitiet!$L$13:$L$2352)</f>
        <v>0</v>
      </c>
      <c r="AG172" s="775">
        <f ca="1">SUMIF(chitiet!$B$13:$N$2352,kl!$B172,chitiet!$M$13)</f>
        <v>0</v>
      </c>
      <c r="AH172" s="775">
        <f ca="1">SUMIF(chitiet!$B$13:$N$2352,kl!$B172,chitiet!$N$13:$N$2352)</f>
        <v>0</v>
      </c>
      <c r="AI172" s="775">
        <f ca="1">SUMIF(chitiet!$B$13:$N$2352,kl!$B172,chitiet!$O$13:$O$2352)</f>
        <v>0</v>
      </c>
      <c r="AJ172" s="775">
        <f ca="1">SUMIF('Cap ngam'!$B$631:$G$723,kl!$B172,'Cap ngam'!$G$631:$G$723)</f>
        <v>0</v>
      </c>
      <c r="AK172" s="775">
        <f ca="1">SUMIF('Cap ngam'!$B$403:$G$628,kl!$B172,'Cap ngam'!G$403:G$628)</f>
        <v>0</v>
      </c>
      <c r="AL172" s="775">
        <f ca="1">SUMIF('Cap ngam'!B$16:G$400,kl!$B172,'Cap ngam'!G$16:G$400)</f>
        <v>0</v>
      </c>
      <c r="AM172" s="776">
        <f>0.706*25/35</f>
        <v>0.50428571428571423</v>
      </c>
      <c r="AN172" s="775">
        <f t="shared" ca="1" si="87"/>
        <v>0</v>
      </c>
      <c r="AO172" s="775">
        <f t="shared" ca="1" si="88"/>
        <v>0</v>
      </c>
      <c r="AP172" s="775">
        <f t="shared" ca="1" si="89"/>
        <v>0</v>
      </c>
      <c r="AQ172" s="775">
        <f t="shared" ca="1" si="90"/>
        <v>0</v>
      </c>
      <c r="AR172" s="775">
        <f t="shared" ca="1" si="91"/>
        <v>0</v>
      </c>
      <c r="AS172" s="775">
        <f t="shared" ca="1" si="92"/>
        <v>0</v>
      </c>
      <c r="AT172" s="775">
        <f t="shared" ca="1" si="93"/>
        <v>0</v>
      </c>
      <c r="AU172" s="775">
        <f t="shared" ca="1" si="94"/>
        <v>0</v>
      </c>
      <c r="AV172" s="775">
        <f t="shared" ca="1" si="95"/>
        <v>0</v>
      </c>
      <c r="AW172" s="775">
        <f t="shared" ca="1" si="96"/>
        <v>0</v>
      </c>
      <c r="AX172" s="775">
        <f t="shared" si="97"/>
        <v>0</v>
      </c>
      <c r="AY172" s="775">
        <f t="shared" ca="1" si="98"/>
        <v>0</v>
      </c>
      <c r="AZ172" s="775">
        <f t="shared" si="99"/>
        <v>0</v>
      </c>
      <c r="BA172" s="775">
        <f t="shared" ca="1" si="80"/>
        <v>0</v>
      </c>
      <c r="BB172" s="775">
        <f t="shared" ca="1" si="81"/>
        <v>0</v>
      </c>
      <c r="BC172" s="775">
        <f t="shared" ca="1" si="82"/>
        <v>0</v>
      </c>
      <c r="BD172" s="775">
        <f t="shared" ca="1" si="83"/>
        <v>0</v>
      </c>
      <c r="BE172" s="775">
        <f t="shared" ca="1" si="84"/>
        <v>0</v>
      </c>
      <c r="BF172" s="775">
        <f t="shared" ca="1" si="85"/>
        <v>0</v>
      </c>
      <c r="BG172" s="775">
        <f t="shared" ca="1" si="86"/>
        <v>0</v>
      </c>
      <c r="BH172" s="775">
        <f t="shared" ca="1" si="100"/>
        <v>0</v>
      </c>
      <c r="BI172" s="775">
        <f t="shared" ca="1" si="101"/>
        <v>0</v>
      </c>
      <c r="BJ172" s="775">
        <f t="shared" ca="1" si="102"/>
        <v>0</v>
      </c>
      <c r="BK172" s="775">
        <f t="shared" ca="1" si="103"/>
        <v>0</v>
      </c>
      <c r="BL172" s="775">
        <f t="shared" ca="1" si="104"/>
        <v>0</v>
      </c>
      <c r="BM172" s="775">
        <f t="shared" ca="1" si="105"/>
        <v>0</v>
      </c>
      <c r="BN172" s="775">
        <f t="shared" ca="1" si="106"/>
        <v>0</v>
      </c>
      <c r="BO172" s="775">
        <f t="shared" ca="1" si="107"/>
        <v>0</v>
      </c>
      <c r="BP172" s="775">
        <f t="shared" ca="1" si="108"/>
        <v>0</v>
      </c>
      <c r="BQ172" s="775">
        <f t="shared" ca="1" si="75"/>
        <v>0</v>
      </c>
      <c r="BR172" s="775">
        <f t="shared" ca="1" si="109"/>
        <v>0</v>
      </c>
    </row>
    <row r="173" spans="1:70">
      <c r="A173" s="767" t="str">
        <f t="shared" ca="1" si="110"/>
        <v/>
      </c>
      <c r="B173" s="789" t="s">
        <v>2071</v>
      </c>
      <c r="C173" s="188" t="str">
        <f ca="1">IF(F173=0,"",COUNTIF($F$78:$F173,"&gt;0"))</f>
        <v/>
      </c>
      <c r="D173" s="778" t="str">
        <f>VLOOKUP($B173,dongia1,DG!$C$5,)</f>
        <v>Cáp 24KV C/XLPE/PVC 50mm2</v>
      </c>
      <c r="E173" s="555" t="str">
        <f>VLOOKUP($B173,dongia1,DG!$D$5,)</f>
        <v>mét</v>
      </c>
      <c r="F173" s="779">
        <f t="shared" ca="1" si="114"/>
        <v>0</v>
      </c>
      <c r="G173" s="775">
        <f t="shared" ca="1" si="76"/>
        <v>0</v>
      </c>
      <c r="H173" s="775">
        <f ca="1">SUMIF(CT_tram!$B$33:$G$3559,kl!B173,CT_tram!$G$33:$G$3559)</f>
        <v>0</v>
      </c>
      <c r="I173" s="775">
        <f ca="1">SUMIF(CT_tram!$B$34:$G$115,$B173,CT_tram!$G$34:$G$115)</f>
        <v>0</v>
      </c>
      <c r="J173" s="775">
        <f ca="1">SUMIF(CT_tram!$B$122:$G$204,$B173,CT_tram!$G$122:$G$204)</f>
        <v>0</v>
      </c>
      <c r="K173" s="775">
        <f ca="1">SUMIF(CT_tram!$B$211:$G$293,$B173,CT_tram!$G$211:$G$293)</f>
        <v>0</v>
      </c>
      <c r="L173" s="775">
        <f ca="1">SUMIF(CT_tram!$B$300:$G$374,$B173,CT_tram!$G$300:$G$374)</f>
        <v>0</v>
      </c>
      <c r="M173" s="775">
        <f ca="1">SUMIF(CT_tram!$B$381:$G$471,$B173,CT_tram!$G$381:$G$471)</f>
        <v>0</v>
      </c>
      <c r="N173" s="775">
        <f ca="1">SUMIF(CT_tram!$B$478:$G$560,$B173,CT_tram!$G$478:$G$560)</f>
        <v>0</v>
      </c>
      <c r="O173" s="775">
        <f ca="1">SUMIF(CT_tram!$B$567:$G$653,$B173,CT_tram!$G$567:$G$653)</f>
        <v>0</v>
      </c>
      <c r="P173" s="775">
        <f ca="1">SUMIF(CT_tram!$B$661:$G$738,$B173,CT_tram!$G$661:$G$738)</f>
        <v>0</v>
      </c>
      <c r="Q173" s="775">
        <f ca="1">SUMIF(CT_tram!$B$745:$G$899,$B173,CT_tram!$G$745:$G$899)</f>
        <v>0</v>
      </c>
      <c r="R173" s="775">
        <f ca="1">SUMIF(CT_tram!$B$907:$G$995,$B173,CT_tram!$G$907:$G$995)</f>
        <v>0</v>
      </c>
      <c r="S173" s="775"/>
      <c r="T173" s="775">
        <f ca="1">SUMIF(CT_tram!$B$1004:$G$1097,B173,CT_tram!$G$1004:$G$1097)</f>
        <v>0</v>
      </c>
      <c r="U173" s="775"/>
      <c r="V173" s="775">
        <f ca="1">SUMIF(CT_tram!$B$1226:$G$1352,kl!B173,CT_tram!$G$1226:$G$1352)</f>
        <v>0</v>
      </c>
      <c r="W173" s="780">
        <f ca="1">SUMIF(CT_tram!$B$1105:$G$1219,kl!B173,CT_tram!$G$1105:$G$1219)</f>
        <v>0</v>
      </c>
      <c r="X173" s="775">
        <f ca="1">SUMIF(CT_tram!$B$1359:$G$1504,kl!B173,CT_tram!$G$1359:$G$1504)</f>
        <v>0</v>
      </c>
      <c r="Y173" s="775">
        <f ca="1">SUMIF(CT_tram!$B$1511:$G$1625,kl!B173,CT_tram!$G$1511:$G$1625)</f>
        <v>0</v>
      </c>
      <c r="Z173" s="775">
        <f ca="1">SUMIF(CT_tram!$B$1632:$G$2211,kl!B173,CT_tram!$G$1632:$G$2211)</f>
        <v>0</v>
      </c>
      <c r="AA173" s="775">
        <f ca="1">SUMIF(CT_tram!$B$2243:$G$2384,kl!B173,CT_tram!$G$2243:$G$2384)</f>
        <v>0</v>
      </c>
      <c r="AB173" s="775">
        <f ca="1">SUMIF(CT_tram!$B$2391:$G$2563,kl!B173,CT_tram!$G$2391:$G$2563)</f>
        <v>0</v>
      </c>
      <c r="AC173" s="775">
        <f ca="1">SUMIF(chitiet!$B$13:$N$2352,kl!$B173,chitiet!$I$13:$I$2352)</f>
        <v>0</v>
      </c>
      <c r="AD173" s="775">
        <f ca="1">SUMIF(chitiet!$B$13:$N$2352,kl!$B173,chitiet!$J$13:$J$2352)</f>
        <v>0</v>
      </c>
      <c r="AE173" s="775">
        <f ca="1">SUMIF(chitiet!$B$13:$N$2352,kl!$B173,chitiet!$K$13:$K$2352)</f>
        <v>0</v>
      </c>
      <c r="AF173" s="775">
        <f ca="1">SUMIF(chitiet!$B$13:$N$2352,kl!$B173,chitiet!$L$13:$L$2352)</f>
        <v>0</v>
      </c>
      <c r="AG173" s="775">
        <f ca="1">SUMIF(chitiet!$B$13:$N$2352,kl!$B173,chitiet!$M$13)</f>
        <v>0</v>
      </c>
      <c r="AH173" s="775">
        <f ca="1">SUMIF(chitiet!$B$13:$N$2352,kl!$B173,chitiet!$N$13:$N$2352)</f>
        <v>0</v>
      </c>
      <c r="AI173" s="775">
        <f ca="1">SUMIF(chitiet!$B$13:$N$2352,kl!$B173,chitiet!$O$13:$O$2352)</f>
        <v>0</v>
      </c>
      <c r="AJ173" s="775">
        <f ca="1">SUMIF('Cap ngam'!$B$631:$G$723,kl!$B173,'Cap ngam'!$G$631:$G$723)</f>
        <v>0</v>
      </c>
      <c r="AK173" s="775">
        <f ca="1">SUMIF('Cap ngam'!$B$403:$G$628,kl!$B173,'Cap ngam'!G$403:G$628)</f>
        <v>0</v>
      </c>
      <c r="AL173" s="775">
        <f ca="1">SUMIF('Cap ngam'!B$16:G$400,kl!$B173,'Cap ngam'!G$16:G$400)</f>
        <v>0</v>
      </c>
      <c r="AM173" s="776">
        <v>0.85799999999999998</v>
      </c>
      <c r="AN173" s="775">
        <f t="shared" ca="1" si="87"/>
        <v>0</v>
      </c>
      <c r="AO173" s="775">
        <f t="shared" ca="1" si="88"/>
        <v>0</v>
      </c>
      <c r="AP173" s="775">
        <f t="shared" ca="1" si="89"/>
        <v>0</v>
      </c>
      <c r="AQ173" s="775">
        <f t="shared" ca="1" si="90"/>
        <v>0</v>
      </c>
      <c r="AR173" s="775">
        <f t="shared" ca="1" si="91"/>
        <v>0</v>
      </c>
      <c r="AS173" s="775">
        <f t="shared" ca="1" si="92"/>
        <v>0</v>
      </c>
      <c r="AT173" s="775">
        <f t="shared" ca="1" si="93"/>
        <v>0</v>
      </c>
      <c r="AU173" s="775">
        <f t="shared" ca="1" si="94"/>
        <v>0</v>
      </c>
      <c r="AV173" s="775">
        <f t="shared" ca="1" si="95"/>
        <v>0</v>
      </c>
      <c r="AW173" s="775">
        <f t="shared" ca="1" si="96"/>
        <v>0</v>
      </c>
      <c r="AX173" s="775">
        <f t="shared" si="97"/>
        <v>0</v>
      </c>
      <c r="AY173" s="775">
        <f t="shared" ca="1" si="98"/>
        <v>0</v>
      </c>
      <c r="AZ173" s="775">
        <f t="shared" si="99"/>
        <v>0</v>
      </c>
      <c r="BA173" s="775">
        <f t="shared" ca="1" si="80"/>
        <v>0</v>
      </c>
      <c r="BB173" s="775">
        <f t="shared" ca="1" si="81"/>
        <v>0</v>
      </c>
      <c r="BC173" s="775">
        <f t="shared" ca="1" si="82"/>
        <v>0</v>
      </c>
      <c r="BD173" s="775">
        <f t="shared" ca="1" si="83"/>
        <v>0</v>
      </c>
      <c r="BE173" s="775">
        <f t="shared" ca="1" si="84"/>
        <v>0</v>
      </c>
      <c r="BF173" s="775">
        <f t="shared" ca="1" si="85"/>
        <v>0</v>
      </c>
      <c r="BG173" s="775">
        <f t="shared" ca="1" si="86"/>
        <v>0</v>
      </c>
      <c r="BH173" s="775">
        <f t="shared" ca="1" si="100"/>
        <v>0</v>
      </c>
      <c r="BI173" s="775">
        <f t="shared" ca="1" si="101"/>
        <v>0</v>
      </c>
      <c r="BJ173" s="775">
        <f t="shared" ca="1" si="102"/>
        <v>0</v>
      </c>
      <c r="BK173" s="775">
        <f t="shared" ca="1" si="103"/>
        <v>0</v>
      </c>
      <c r="BL173" s="775">
        <f t="shared" ca="1" si="104"/>
        <v>0</v>
      </c>
      <c r="BM173" s="775">
        <f t="shared" ca="1" si="105"/>
        <v>0</v>
      </c>
      <c r="BN173" s="775">
        <f t="shared" ca="1" si="106"/>
        <v>0</v>
      </c>
      <c r="BO173" s="775">
        <f t="shared" ca="1" si="107"/>
        <v>0</v>
      </c>
      <c r="BP173" s="775">
        <f t="shared" ca="1" si="108"/>
        <v>0</v>
      </c>
      <c r="BQ173" s="775">
        <f t="shared" ca="1" si="75"/>
        <v>0</v>
      </c>
      <c r="BR173" s="775">
        <f t="shared" ca="1" si="109"/>
        <v>0</v>
      </c>
    </row>
    <row r="174" spans="1:70">
      <c r="A174" s="767" t="str">
        <f t="shared" ca="1" si="110"/>
        <v/>
      </c>
      <c r="B174" s="789" t="s">
        <v>2070</v>
      </c>
      <c r="C174" s="188" t="str">
        <f ca="1">IF(F174=0,"",COUNTIF($F$78:$F174,"&gt;0"))</f>
        <v/>
      </c>
      <c r="D174" s="778" t="str">
        <f>VLOOKUP($B174,dongia1,DG!$C$5,)</f>
        <v>Cáp 24KV C/XLPE/PVC 70mm2</v>
      </c>
      <c r="E174" s="555" t="str">
        <f>VLOOKUP($B174,dongia1,DG!$D$5,)</f>
        <v>mét</v>
      </c>
      <c r="F174" s="779">
        <f t="shared" ca="1" si="114"/>
        <v>0</v>
      </c>
      <c r="G174" s="775">
        <f t="shared" ca="1" si="76"/>
        <v>0</v>
      </c>
      <c r="H174" s="775">
        <f ca="1">SUMIF(CT_tram!$B$33:$G$3559,kl!B174,CT_tram!$G$33:$G$3559)</f>
        <v>0</v>
      </c>
      <c r="I174" s="775">
        <f ca="1">SUMIF(CT_tram!$B$34:$G$115,$B174,CT_tram!$G$34:$G$115)</f>
        <v>0</v>
      </c>
      <c r="J174" s="775">
        <f ca="1">SUMIF(CT_tram!$B$122:$G$204,$B174,CT_tram!$G$122:$G$204)</f>
        <v>0</v>
      </c>
      <c r="K174" s="775">
        <f ca="1">SUMIF(CT_tram!$B$211:$G$293,$B174,CT_tram!$G$211:$G$293)</f>
        <v>0</v>
      </c>
      <c r="L174" s="775">
        <f ca="1">SUMIF(CT_tram!$B$300:$G$374,$B174,CT_tram!$G$300:$G$374)</f>
        <v>0</v>
      </c>
      <c r="M174" s="775">
        <f ca="1">SUMIF(CT_tram!$B$381:$G$471,$B174,CT_tram!$G$381:$G$471)</f>
        <v>0</v>
      </c>
      <c r="N174" s="775">
        <f ca="1">SUMIF(CT_tram!$B$478:$G$560,$B174,CT_tram!$G$478:$G$560)</f>
        <v>0</v>
      </c>
      <c r="O174" s="775">
        <f ca="1">SUMIF(CT_tram!$B$567:$G$653,$B174,CT_tram!$G$567:$G$653)</f>
        <v>0</v>
      </c>
      <c r="P174" s="775">
        <f ca="1">SUMIF(CT_tram!$B$661:$G$738,$B174,CT_tram!$G$661:$G$738)</f>
        <v>0</v>
      </c>
      <c r="Q174" s="775">
        <f ca="1">SUMIF(CT_tram!$B$745:$G$899,$B174,CT_tram!$G$745:$G$899)</f>
        <v>0</v>
      </c>
      <c r="R174" s="775">
        <f ca="1">SUMIF(CT_tram!$B$907:$G$995,$B174,CT_tram!$G$907:$G$995)</f>
        <v>0</v>
      </c>
      <c r="S174" s="775"/>
      <c r="T174" s="775">
        <f ca="1">SUMIF(CT_tram!$B$1004:$G$1097,B174,CT_tram!$G$1004:$G$1097)</f>
        <v>0</v>
      </c>
      <c r="U174" s="775"/>
      <c r="V174" s="775">
        <f ca="1">SUMIF(CT_tram!$B$1226:$G$1352,kl!B174,CT_tram!$G$1226:$G$1352)</f>
        <v>0</v>
      </c>
      <c r="W174" s="780">
        <f ca="1">SUMIF(CT_tram!$B$1105:$G$1219,kl!B174,CT_tram!$G$1105:$G$1219)</f>
        <v>0</v>
      </c>
      <c r="X174" s="775">
        <f ca="1">SUMIF(CT_tram!$B$1359:$G$1504,kl!B174,CT_tram!$G$1359:$G$1504)</f>
        <v>0</v>
      </c>
      <c r="Y174" s="775">
        <f ca="1">SUMIF(CT_tram!$B$1511:$G$1625,kl!B174,CT_tram!$G$1511:$G$1625)</f>
        <v>0</v>
      </c>
      <c r="Z174" s="775">
        <f ca="1">SUMIF(CT_tram!$B$1632:$G$2211,kl!B174,CT_tram!$G$1632:$G$2211)</f>
        <v>0</v>
      </c>
      <c r="AA174" s="775">
        <f ca="1">SUMIF(CT_tram!$B$2243:$G$2384,kl!B174,CT_tram!$G$2243:$G$2384)</f>
        <v>0</v>
      </c>
      <c r="AB174" s="775">
        <f ca="1">SUMIF(CT_tram!$B$2391:$G$2563,kl!B174,CT_tram!$G$2391:$G$2563)</f>
        <v>0</v>
      </c>
      <c r="AC174" s="775">
        <f ca="1">SUMIF(chitiet!$B$13:$N$2352,kl!$B174,chitiet!$I$13:$I$2352)</f>
        <v>0</v>
      </c>
      <c r="AD174" s="775">
        <f ca="1">SUMIF(chitiet!$B$13:$N$2352,kl!$B174,chitiet!$J$13:$J$2352)</f>
        <v>0</v>
      </c>
      <c r="AE174" s="775">
        <f ca="1">SUMIF(chitiet!$B$13:$N$2352,kl!$B174,chitiet!$K$13:$K$2352)</f>
        <v>0</v>
      </c>
      <c r="AF174" s="775">
        <f ca="1">SUMIF(chitiet!$B$13:$N$2352,kl!$B174,chitiet!$L$13:$L$2352)</f>
        <v>0</v>
      </c>
      <c r="AG174" s="775">
        <f ca="1">SUMIF(chitiet!$B$13:$N$2352,kl!$B174,chitiet!$M$13)</f>
        <v>0</v>
      </c>
      <c r="AH174" s="775">
        <f ca="1">SUMIF(chitiet!$B$13:$N$2352,kl!$B174,chitiet!$N$13:$N$2352)</f>
        <v>0</v>
      </c>
      <c r="AI174" s="775">
        <f ca="1">SUMIF(chitiet!$B$13:$N$2352,kl!$B174,chitiet!$O$13:$O$2352)</f>
        <v>0</v>
      </c>
      <c r="AJ174" s="775">
        <f ca="1">SUMIF('Cap ngam'!$B$631:$G$723,kl!$B174,'Cap ngam'!$G$631:$G$723)</f>
        <v>0</v>
      </c>
      <c r="AK174" s="775">
        <f ca="1">SUMIF('Cap ngam'!$B$403:$G$628,kl!$B174,'Cap ngam'!G$403:G$628)</f>
        <v>0</v>
      </c>
      <c r="AL174" s="775">
        <f ca="1">SUMIF('Cap ngam'!B$16:G$400,kl!$B174,'Cap ngam'!G$16:G$400)</f>
        <v>0</v>
      </c>
      <c r="AM174" s="776">
        <v>1.1020000000000001</v>
      </c>
      <c r="AN174" s="775">
        <f t="shared" ca="1" si="87"/>
        <v>0</v>
      </c>
      <c r="AO174" s="775">
        <f t="shared" ca="1" si="88"/>
        <v>0</v>
      </c>
      <c r="AP174" s="775">
        <f t="shared" ca="1" si="89"/>
        <v>0</v>
      </c>
      <c r="AQ174" s="775">
        <f t="shared" ca="1" si="90"/>
        <v>0</v>
      </c>
      <c r="AR174" s="775">
        <f t="shared" ca="1" si="91"/>
        <v>0</v>
      </c>
      <c r="AS174" s="775">
        <f t="shared" ca="1" si="92"/>
        <v>0</v>
      </c>
      <c r="AT174" s="775">
        <f t="shared" ca="1" si="93"/>
        <v>0</v>
      </c>
      <c r="AU174" s="775">
        <f t="shared" ca="1" si="94"/>
        <v>0</v>
      </c>
      <c r="AV174" s="775">
        <f t="shared" ca="1" si="95"/>
        <v>0</v>
      </c>
      <c r="AW174" s="775">
        <f t="shared" ca="1" si="96"/>
        <v>0</v>
      </c>
      <c r="AX174" s="775">
        <f t="shared" si="97"/>
        <v>0</v>
      </c>
      <c r="AY174" s="775">
        <f t="shared" ca="1" si="98"/>
        <v>0</v>
      </c>
      <c r="AZ174" s="775">
        <f t="shared" si="99"/>
        <v>0</v>
      </c>
      <c r="BA174" s="775">
        <f t="shared" ca="1" si="80"/>
        <v>0</v>
      </c>
      <c r="BB174" s="775">
        <f t="shared" ca="1" si="81"/>
        <v>0</v>
      </c>
      <c r="BC174" s="775">
        <f t="shared" ca="1" si="82"/>
        <v>0</v>
      </c>
      <c r="BD174" s="775">
        <f t="shared" ca="1" si="83"/>
        <v>0</v>
      </c>
      <c r="BE174" s="775">
        <f t="shared" ca="1" si="84"/>
        <v>0</v>
      </c>
      <c r="BF174" s="775">
        <f t="shared" ca="1" si="85"/>
        <v>0</v>
      </c>
      <c r="BG174" s="775">
        <f t="shared" ca="1" si="86"/>
        <v>0</v>
      </c>
      <c r="BH174" s="775">
        <f t="shared" ca="1" si="100"/>
        <v>0</v>
      </c>
      <c r="BI174" s="775">
        <f t="shared" ca="1" si="101"/>
        <v>0</v>
      </c>
      <c r="BJ174" s="775">
        <f t="shared" ca="1" si="102"/>
        <v>0</v>
      </c>
      <c r="BK174" s="775">
        <f t="shared" ca="1" si="103"/>
        <v>0</v>
      </c>
      <c r="BL174" s="775">
        <f t="shared" ca="1" si="104"/>
        <v>0</v>
      </c>
      <c r="BM174" s="775">
        <f t="shared" ca="1" si="105"/>
        <v>0</v>
      </c>
      <c r="BN174" s="775">
        <f t="shared" ca="1" si="106"/>
        <v>0</v>
      </c>
      <c r="BO174" s="775">
        <f t="shared" ca="1" si="107"/>
        <v>0</v>
      </c>
      <c r="BP174" s="775">
        <f t="shared" ca="1" si="108"/>
        <v>0</v>
      </c>
      <c r="BQ174" s="775">
        <f t="shared" ca="1" si="75"/>
        <v>0</v>
      </c>
      <c r="BR174" s="775">
        <f t="shared" ca="1" si="109"/>
        <v>0</v>
      </c>
    </row>
    <row r="175" spans="1:70">
      <c r="A175" s="767" t="str">
        <f t="shared" ca="1" si="110"/>
        <v/>
      </c>
      <c r="B175" s="789" t="s">
        <v>1365</v>
      </c>
      <c r="C175" s="188" t="str">
        <f ca="1">IF(F175=0,"",COUNTIF($F$78:$F175,"&gt;0"))</f>
        <v/>
      </c>
      <c r="D175" s="778" t="str">
        <f>VLOOKUP($B175,dongia1,DG!$C$5,)</f>
        <v>Cáp 24KV C/XLPE/PVC 95mm2</v>
      </c>
      <c r="E175" s="555" t="str">
        <f>VLOOKUP($B175,dongia1,DG!$D$5,)</f>
        <v>mét</v>
      </c>
      <c r="F175" s="779">
        <f t="shared" ca="1" si="114"/>
        <v>0</v>
      </c>
      <c r="G175" s="775">
        <f t="shared" ca="1" si="76"/>
        <v>0</v>
      </c>
      <c r="H175" s="775">
        <f ca="1">SUMIF(CT_tram!$B$33:$G$3559,kl!B175,CT_tram!$G$33:$G$3559)</f>
        <v>0</v>
      </c>
      <c r="I175" s="775">
        <f ca="1">SUMIF(CT_tram!$B$34:$G$115,$B175,CT_tram!$G$34:$G$115)</f>
        <v>0</v>
      </c>
      <c r="J175" s="775">
        <f ca="1">SUMIF(CT_tram!$B$122:$G$204,$B175,CT_tram!$G$122:$G$204)</f>
        <v>0</v>
      </c>
      <c r="K175" s="775">
        <f ca="1">SUMIF(CT_tram!$B$211:$G$293,$B175,CT_tram!$G$211:$G$293)</f>
        <v>0</v>
      </c>
      <c r="L175" s="775">
        <f ca="1">SUMIF(CT_tram!$B$300:$G$374,$B175,CT_tram!$G$300:$G$374)</f>
        <v>0</v>
      </c>
      <c r="M175" s="775">
        <f ca="1">SUMIF(CT_tram!$B$381:$G$471,$B175,CT_tram!$G$381:$G$471)</f>
        <v>0</v>
      </c>
      <c r="N175" s="775">
        <f ca="1">SUMIF(CT_tram!$B$478:$G$560,$B175,CT_tram!$G$478:$G$560)</f>
        <v>0</v>
      </c>
      <c r="O175" s="775">
        <f ca="1">SUMIF(CT_tram!$B$567:$G$653,$B175,CT_tram!$G$567:$G$653)</f>
        <v>0</v>
      </c>
      <c r="P175" s="775">
        <f ca="1">SUMIF(CT_tram!$B$661:$G$738,$B175,CT_tram!$G$661:$G$738)</f>
        <v>0</v>
      </c>
      <c r="Q175" s="775">
        <f ca="1">SUMIF(CT_tram!$B$745:$G$899,$B175,CT_tram!$G$745:$G$899)</f>
        <v>0</v>
      </c>
      <c r="R175" s="775">
        <f ca="1">SUMIF(CT_tram!$B$907:$G$995,$B175,CT_tram!$G$907:$G$995)</f>
        <v>0</v>
      </c>
      <c r="S175" s="775"/>
      <c r="T175" s="775">
        <f ca="1">SUMIF(CT_tram!$B$1004:$G$1097,B175,CT_tram!$G$1004:$G$1097)</f>
        <v>0</v>
      </c>
      <c r="U175" s="775"/>
      <c r="V175" s="775">
        <f ca="1">SUMIF(CT_tram!$B$1226:$G$1352,kl!B175,CT_tram!$G$1226:$G$1352)</f>
        <v>0</v>
      </c>
      <c r="W175" s="780">
        <f ca="1">SUMIF(CT_tram!$B$1105:$G$1219,kl!B175,CT_tram!$G$1105:$G$1219)</f>
        <v>0</v>
      </c>
      <c r="X175" s="775">
        <f ca="1">SUMIF(CT_tram!$B$1359:$G$1504,kl!B175,CT_tram!$G$1359:$G$1504)</f>
        <v>0</v>
      </c>
      <c r="Y175" s="775">
        <f ca="1">SUMIF(CT_tram!$B$1511:$G$1625,kl!B175,CT_tram!$G$1511:$G$1625)</f>
        <v>0</v>
      </c>
      <c r="Z175" s="775">
        <f ca="1">SUMIF(CT_tram!$B$1632:$G$2211,kl!B175,CT_tram!$G$1632:$G$2211)</f>
        <v>0</v>
      </c>
      <c r="AA175" s="775">
        <f ca="1">SUMIF(CT_tram!$B$2243:$G$2384,kl!B175,CT_tram!$G$2243:$G$2384)</f>
        <v>0</v>
      </c>
      <c r="AB175" s="775">
        <f ca="1">SUMIF(CT_tram!$B$2391:$G$2563,kl!B175,CT_tram!$G$2391:$G$2563)</f>
        <v>0</v>
      </c>
      <c r="AC175" s="775">
        <f ca="1">SUMIF(chitiet!$B$13:$N$2352,kl!$B175,chitiet!$I$13:$I$2352)</f>
        <v>0</v>
      </c>
      <c r="AD175" s="775">
        <f ca="1">SUMIF(chitiet!$B$13:$N$2352,kl!$B175,chitiet!$J$13:$J$2352)</f>
        <v>0</v>
      </c>
      <c r="AE175" s="775">
        <f ca="1">SUMIF(chitiet!$B$13:$N$2352,kl!$B175,chitiet!$K$13:$K$2352)</f>
        <v>0</v>
      </c>
      <c r="AF175" s="775">
        <f ca="1">SUMIF(chitiet!$B$13:$N$2352,kl!$B175,chitiet!$L$13:$L$2352)</f>
        <v>0</v>
      </c>
      <c r="AG175" s="775">
        <f ca="1">SUMIF(chitiet!$B$13:$N$2352,kl!$B175,chitiet!$M$13)</f>
        <v>0</v>
      </c>
      <c r="AH175" s="775">
        <f ca="1">SUMIF(chitiet!$B$13:$N$2352,kl!$B175,chitiet!$N$13:$N$2352)</f>
        <v>0</v>
      </c>
      <c r="AI175" s="775">
        <f ca="1">SUMIF(chitiet!$B$13:$N$2352,kl!$B175,chitiet!$O$13:$O$2352)</f>
        <v>0</v>
      </c>
      <c r="AJ175" s="775">
        <f ca="1">SUMIF('Cap ngam'!$B$631:$G$723,kl!$B175,'Cap ngam'!$G$631:$G$723)</f>
        <v>0</v>
      </c>
      <c r="AK175" s="775">
        <f ca="1">SUMIF('Cap ngam'!$B$403:$G$628,kl!$B175,'Cap ngam'!G$403:G$628)</f>
        <v>0</v>
      </c>
      <c r="AL175" s="775">
        <f ca="1">SUMIF('Cap ngam'!B$16:G$400,kl!$B175,'Cap ngam'!G$16:G$400)</f>
        <v>0</v>
      </c>
      <c r="AM175" s="776">
        <v>1.4</v>
      </c>
      <c r="AN175" s="775">
        <f t="shared" ca="1" si="87"/>
        <v>0</v>
      </c>
      <c r="AO175" s="775">
        <f t="shared" ca="1" si="88"/>
        <v>0</v>
      </c>
      <c r="AP175" s="775">
        <f t="shared" ca="1" si="89"/>
        <v>0</v>
      </c>
      <c r="AQ175" s="775">
        <f t="shared" ca="1" si="90"/>
        <v>0</v>
      </c>
      <c r="AR175" s="775">
        <f t="shared" ca="1" si="91"/>
        <v>0</v>
      </c>
      <c r="AS175" s="775">
        <f t="shared" ca="1" si="92"/>
        <v>0</v>
      </c>
      <c r="AT175" s="775">
        <f t="shared" ca="1" si="93"/>
        <v>0</v>
      </c>
      <c r="AU175" s="775">
        <f t="shared" ca="1" si="94"/>
        <v>0</v>
      </c>
      <c r="AV175" s="775">
        <f t="shared" ca="1" si="95"/>
        <v>0</v>
      </c>
      <c r="AW175" s="775">
        <f t="shared" ca="1" si="96"/>
        <v>0</v>
      </c>
      <c r="AX175" s="775">
        <f t="shared" si="97"/>
        <v>0</v>
      </c>
      <c r="AY175" s="775">
        <f t="shared" ca="1" si="98"/>
        <v>0</v>
      </c>
      <c r="AZ175" s="775">
        <f t="shared" si="99"/>
        <v>0</v>
      </c>
      <c r="BA175" s="775">
        <f t="shared" ca="1" si="80"/>
        <v>0</v>
      </c>
      <c r="BB175" s="775">
        <f t="shared" ca="1" si="81"/>
        <v>0</v>
      </c>
      <c r="BC175" s="775">
        <f t="shared" ca="1" si="82"/>
        <v>0</v>
      </c>
      <c r="BD175" s="775">
        <f t="shared" ca="1" si="83"/>
        <v>0</v>
      </c>
      <c r="BE175" s="775">
        <f t="shared" ca="1" si="84"/>
        <v>0</v>
      </c>
      <c r="BF175" s="775">
        <f t="shared" ca="1" si="85"/>
        <v>0</v>
      </c>
      <c r="BG175" s="775">
        <f t="shared" ca="1" si="86"/>
        <v>0</v>
      </c>
      <c r="BH175" s="775">
        <f t="shared" ca="1" si="100"/>
        <v>0</v>
      </c>
      <c r="BI175" s="775">
        <f t="shared" ca="1" si="101"/>
        <v>0</v>
      </c>
      <c r="BJ175" s="775">
        <f t="shared" ca="1" si="102"/>
        <v>0</v>
      </c>
      <c r="BK175" s="775">
        <f t="shared" ca="1" si="103"/>
        <v>0</v>
      </c>
      <c r="BL175" s="775">
        <f t="shared" ca="1" si="104"/>
        <v>0</v>
      </c>
      <c r="BM175" s="775">
        <f t="shared" ca="1" si="105"/>
        <v>0</v>
      </c>
      <c r="BN175" s="775">
        <f t="shared" ca="1" si="106"/>
        <v>0</v>
      </c>
      <c r="BO175" s="775">
        <f t="shared" ca="1" si="107"/>
        <v>0</v>
      </c>
      <c r="BP175" s="775">
        <f t="shared" ca="1" si="108"/>
        <v>0</v>
      </c>
      <c r="BQ175" s="775">
        <f t="shared" ca="1" si="75"/>
        <v>0</v>
      </c>
      <c r="BR175" s="775">
        <f t="shared" ca="1" si="109"/>
        <v>0</v>
      </c>
    </row>
    <row r="176" spans="1:70">
      <c r="A176" s="767" t="str">
        <f t="shared" ca="1" si="110"/>
        <v/>
      </c>
      <c r="B176" s="789" t="s">
        <v>823</v>
      </c>
      <c r="C176" s="188" t="str">
        <f ca="1">IF(F176=0,"",COUNTIF($F$78:$F176,"&gt;0"))</f>
        <v/>
      </c>
      <c r="D176" s="778" t="str">
        <f>VLOOKUP($B176,dongia1,DG!$C$5,)</f>
        <v>Cáp 24KV C/XLPE/PVC 120mm2</v>
      </c>
      <c r="E176" s="555" t="str">
        <f>VLOOKUP($B176,dongia1,DG!$D$5,)</f>
        <v>mét</v>
      </c>
      <c r="F176" s="779">
        <f t="shared" ca="1" si="114"/>
        <v>0</v>
      </c>
      <c r="G176" s="775">
        <f t="shared" ca="1" si="76"/>
        <v>0</v>
      </c>
      <c r="H176" s="775">
        <f ca="1">SUMIF(CT_tram!$B$33:$G$3559,kl!B176,CT_tram!$G$33:$G$3559)</f>
        <v>0</v>
      </c>
      <c r="I176" s="775">
        <f ca="1">SUMIF(CT_tram!$B$34:$G$115,$B176,CT_tram!$G$34:$G$115)</f>
        <v>0</v>
      </c>
      <c r="J176" s="775">
        <f ca="1">SUMIF(CT_tram!$B$122:$G$204,$B176,CT_tram!$G$122:$G$204)</f>
        <v>0</v>
      </c>
      <c r="K176" s="775">
        <f ca="1">SUMIF(CT_tram!$B$211:$G$293,$B176,CT_tram!$G$211:$G$293)</f>
        <v>0</v>
      </c>
      <c r="L176" s="775">
        <f ca="1">SUMIF(CT_tram!$B$300:$G$374,$B176,CT_tram!$G$300:$G$374)</f>
        <v>0</v>
      </c>
      <c r="M176" s="775">
        <f ca="1">SUMIF(CT_tram!$B$381:$G$471,$B176,CT_tram!$G$381:$G$471)</f>
        <v>0</v>
      </c>
      <c r="N176" s="775">
        <f ca="1">SUMIF(CT_tram!$B$478:$G$560,$B176,CT_tram!$G$478:$G$560)</f>
        <v>0</v>
      </c>
      <c r="O176" s="775">
        <f ca="1">SUMIF(CT_tram!$B$567:$G$653,$B176,CT_tram!$G$567:$G$653)</f>
        <v>0</v>
      </c>
      <c r="P176" s="775">
        <f ca="1">SUMIF(CT_tram!$B$661:$G$738,$B176,CT_tram!$G$661:$G$738)</f>
        <v>0</v>
      </c>
      <c r="Q176" s="775">
        <f ca="1">SUMIF(CT_tram!$B$745:$G$899,$B176,CT_tram!$G$745:$G$899)</f>
        <v>0</v>
      </c>
      <c r="R176" s="775">
        <f ca="1">SUMIF(CT_tram!$B$907:$G$995,$B176,CT_tram!$G$907:$G$995)</f>
        <v>0</v>
      </c>
      <c r="S176" s="775"/>
      <c r="T176" s="775">
        <f ca="1">SUMIF(CT_tram!$B$1004:$G$1097,B176,CT_tram!$G$1004:$G$1097)</f>
        <v>0</v>
      </c>
      <c r="U176" s="775"/>
      <c r="V176" s="775">
        <f ca="1">SUMIF(CT_tram!$B$1226:$G$1352,kl!B176,CT_tram!$G$1226:$G$1352)</f>
        <v>0</v>
      </c>
      <c r="W176" s="780">
        <f ca="1">SUMIF(CT_tram!$B$1105:$G$1219,kl!B176,CT_tram!$G$1105:$G$1219)</f>
        <v>0</v>
      </c>
      <c r="X176" s="775">
        <f ca="1">SUMIF(CT_tram!$B$1359:$G$1504,kl!B176,CT_tram!$G$1359:$G$1504)</f>
        <v>0</v>
      </c>
      <c r="Y176" s="775">
        <f ca="1">SUMIF(CT_tram!$B$1511:$G$1625,kl!B176,CT_tram!$G$1511:$G$1625)</f>
        <v>0</v>
      </c>
      <c r="Z176" s="775">
        <f ca="1">SUMIF(CT_tram!$B$1632:$G$2211,kl!B176,CT_tram!$G$1632:$G$2211)</f>
        <v>0</v>
      </c>
      <c r="AA176" s="775">
        <f ca="1">SUMIF(CT_tram!$B$2243:$G$2384,kl!B176,CT_tram!$G$2243:$G$2384)</f>
        <v>0</v>
      </c>
      <c r="AB176" s="775">
        <f ca="1">SUMIF(CT_tram!$B$2391:$G$2563,kl!B176,CT_tram!$G$2391:$G$2563)</f>
        <v>0</v>
      </c>
      <c r="AC176" s="775">
        <f ca="1">SUMIF(chitiet!$B$13:$N$2352,kl!$B176,chitiet!$I$13:$I$2352)</f>
        <v>0</v>
      </c>
      <c r="AD176" s="775">
        <f ca="1">SUMIF(chitiet!$B$13:$N$2352,kl!$B176,chitiet!$J$13:$J$2352)</f>
        <v>0</v>
      </c>
      <c r="AE176" s="775">
        <f ca="1">SUMIF(chitiet!$B$13:$N$2352,kl!$B176,chitiet!$K$13:$K$2352)</f>
        <v>0</v>
      </c>
      <c r="AF176" s="775">
        <f ca="1">SUMIF(chitiet!$B$13:$N$2352,kl!$B176,chitiet!$L$13:$L$2352)</f>
        <v>0</v>
      </c>
      <c r="AG176" s="775">
        <f ca="1">SUMIF(chitiet!$B$13:$N$2352,kl!$B176,chitiet!$M$13)</f>
        <v>0</v>
      </c>
      <c r="AH176" s="775">
        <f ca="1">SUMIF(chitiet!$B$13:$N$2352,kl!$B176,chitiet!$N$13:$N$2352)</f>
        <v>0</v>
      </c>
      <c r="AI176" s="775">
        <f ca="1">SUMIF(chitiet!$B$13:$N$2352,kl!$B176,chitiet!$O$13:$O$2352)</f>
        <v>0</v>
      </c>
      <c r="AJ176" s="775">
        <f ca="1">SUMIF('Cap ngam'!$B$631:$G$723,kl!$B176,'Cap ngam'!$G$631:$G$723)</f>
        <v>0</v>
      </c>
      <c r="AK176" s="775">
        <f ca="1">SUMIF('Cap ngam'!$B$403:$G$628,kl!$B176,'Cap ngam'!G$403:G$628)</f>
        <v>0</v>
      </c>
      <c r="AL176" s="775">
        <f ca="1">SUMIF('Cap ngam'!B$16:G$400,kl!$B176,'Cap ngam'!G$16:G$400)</f>
        <v>0</v>
      </c>
      <c r="AM176" s="776">
        <v>1.6779999999999999</v>
      </c>
      <c r="AN176" s="775">
        <f t="shared" ca="1" si="87"/>
        <v>0</v>
      </c>
      <c r="AO176" s="775">
        <f t="shared" ca="1" si="88"/>
        <v>0</v>
      </c>
      <c r="AP176" s="775">
        <f t="shared" ca="1" si="89"/>
        <v>0</v>
      </c>
      <c r="AQ176" s="775">
        <f t="shared" ca="1" si="90"/>
        <v>0</v>
      </c>
      <c r="AR176" s="775">
        <f t="shared" ca="1" si="91"/>
        <v>0</v>
      </c>
      <c r="AS176" s="775">
        <f t="shared" ca="1" si="92"/>
        <v>0</v>
      </c>
      <c r="AT176" s="775">
        <f t="shared" ca="1" si="93"/>
        <v>0</v>
      </c>
      <c r="AU176" s="775">
        <f t="shared" ca="1" si="94"/>
        <v>0</v>
      </c>
      <c r="AV176" s="775">
        <f t="shared" ca="1" si="95"/>
        <v>0</v>
      </c>
      <c r="AW176" s="775">
        <f t="shared" ca="1" si="96"/>
        <v>0</v>
      </c>
      <c r="AX176" s="775">
        <f t="shared" si="97"/>
        <v>0</v>
      </c>
      <c r="AY176" s="775">
        <f t="shared" ca="1" si="98"/>
        <v>0</v>
      </c>
      <c r="AZ176" s="775">
        <f t="shared" si="99"/>
        <v>0</v>
      </c>
      <c r="BA176" s="775">
        <f t="shared" ca="1" si="80"/>
        <v>0</v>
      </c>
      <c r="BB176" s="775">
        <f t="shared" ca="1" si="81"/>
        <v>0</v>
      </c>
      <c r="BC176" s="775">
        <f t="shared" ca="1" si="82"/>
        <v>0</v>
      </c>
      <c r="BD176" s="775">
        <f t="shared" ca="1" si="83"/>
        <v>0</v>
      </c>
      <c r="BE176" s="775">
        <f t="shared" ca="1" si="84"/>
        <v>0</v>
      </c>
      <c r="BF176" s="775">
        <f t="shared" ca="1" si="85"/>
        <v>0</v>
      </c>
      <c r="BG176" s="775">
        <f t="shared" ca="1" si="86"/>
        <v>0</v>
      </c>
      <c r="BH176" s="775">
        <f t="shared" ca="1" si="100"/>
        <v>0</v>
      </c>
      <c r="BI176" s="775">
        <f t="shared" ca="1" si="101"/>
        <v>0</v>
      </c>
      <c r="BJ176" s="775">
        <f t="shared" ca="1" si="102"/>
        <v>0</v>
      </c>
      <c r="BK176" s="775">
        <f t="shared" ca="1" si="103"/>
        <v>0</v>
      </c>
      <c r="BL176" s="775">
        <f t="shared" ca="1" si="104"/>
        <v>0</v>
      </c>
      <c r="BM176" s="775">
        <f t="shared" ca="1" si="105"/>
        <v>0</v>
      </c>
      <c r="BN176" s="775">
        <f t="shared" ca="1" si="106"/>
        <v>0</v>
      </c>
      <c r="BO176" s="775">
        <f t="shared" ca="1" si="107"/>
        <v>0</v>
      </c>
      <c r="BP176" s="775">
        <f t="shared" ca="1" si="108"/>
        <v>0</v>
      </c>
      <c r="BQ176" s="775">
        <f t="shared" ca="1" si="75"/>
        <v>0</v>
      </c>
      <c r="BR176" s="775">
        <f t="shared" ca="1" si="109"/>
        <v>0</v>
      </c>
    </row>
    <row r="177" spans="1:70">
      <c r="A177" s="767" t="str">
        <f t="shared" ca="1" si="110"/>
        <v/>
      </c>
      <c r="B177" s="789" t="s">
        <v>324</v>
      </c>
      <c r="C177" s="188" t="str">
        <f ca="1">IF(F177=0,"",COUNTIF($F$78:$F177,"&gt;0"))</f>
        <v/>
      </c>
      <c r="D177" s="778" t="str">
        <f>VLOOKUP($B177,dongia1,DG!$C$5,)</f>
        <v>Cáp 24KV C/XLPE/PVC 150mm2</v>
      </c>
      <c r="E177" s="555" t="str">
        <f>VLOOKUP($B177,dongia1,DG!$D$5,)</f>
        <v>mét</v>
      </c>
      <c r="F177" s="779">
        <f t="shared" ca="1" si="114"/>
        <v>0</v>
      </c>
      <c r="G177" s="775">
        <f t="shared" ca="1" si="76"/>
        <v>0</v>
      </c>
      <c r="H177" s="775">
        <f ca="1">SUMIF(CT_tram!$B$33:$G$3559,kl!B177,CT_tram!$G$33:$G$3559)</f>
        <v>0</v>
      </c>
      <c r="I177" s="775">
        <f ca="1">SUMIF(CT_tram!$B$34:$G$115,$B177,CT_tram!$G$34:$G$115)</f>
        <v>0</v>
      </c>
      <c r="J177" s="775">
        <f ca="1">SUMIF(CT_tram!$B$122:$G$204,$B177,CT_tram!$G$122:$G$204)</f>
        <v>0</v>
      </c>
      <c r="K177" s="775">
        <f ca="1">SUMIF(CT_tram!$B$211:$G$293,$B177,CT_tram!$G$211:$G$293)</f>
        <v>0</v>
      </c>
      <c r="L177" s="775">
        <f ca="1">SUMIF(CT_tram!$B$300:$G$374,$B177,CT_tram!$G$300:$G$374)</f>
        <v>0</v>
      </c>
      <c r="M177" s="775">
        <f ca="1">SUMIF(CT_tram!$B$381:$G$471,$B177,CT_tram!$G$381:$G$471)</f>
        <v>0</v>
      </c>
      <c r="N177" s="775">
        <f ca="1">SUMIF(CT_tram!$B$478:$G$560,$B177,CT_tram!$G$478:$G$560)</f>
        <v>0</v>
      </c>
      <c r="O177" s="775">
        <f ca="1">SUMIF(CT_tram!$B$567:$G$653,$B177,CT_tram!$G$567:$G$653)</f>
        <v>0</v>
      </c>
      <c r="P177" s="775">
        <f ca="1">SUMIF(CT_tram!$B$661:$G$738,$B177,CT_tram!$G$661:$G$738)</f>
        <v>0</v>
      </c>
      <c r="Q177" s="775">
        <f ca="1">SUMIF(CT_tram!$B$745:$G$899,$B177,CT_tram!$G$745:$G$899)</f>
        <v>0</v>
      </c>
      <c r="R177" s="775">
        <f ca="1">SUMIF(CT_tram!$B$907:$G$995,$B177,CT_tram!$G$907:$G$995)</f>
        <v>0</v>
      </c>
      <c r="S177" s="775"/>
      <c r="T177" s="775">
        <f ca="1">SUMIF(CT_tram!$B$1004:$G$1097,B177,CT_tram!$G$1004:$G$1097)</f>
        <v>0</v>
      </c>
      <c r="U177" s="775"/>
      <c r="V177" s="775">
        <f ca="1">SUMIF(CT_tram!$B$1226:$G$1352,kl!B177,CT_tram!$G$1226:$G$1352)</f>
        <v>0</v>
      </c>
      <c r="W177" s="780">
        <f ca="1">SUMIF(CT_tram!$B$1105:$G$1219,kl!B177,CT_tram!$G$1105:$G$1219)</f>
        <v>0</v>
      </c>
      <c r="X177" s="775">
        <f ca="1">SUMIF(CT_tram!$B$1359:$G$1504,kl!B177,CT_tram!$G$1359:$G$1504)</f>
        <v>0</v>
      </c>
      <c r="Y177" s="775">
        <f ca="1">SUMIF(CT_tram!$B$1511:$G$1625,kl!B177,CT_tram!$G$1511:$G$1625)</f>
        <v>0</v>
      </c>
      <c r="Z177" s="775">
        <f ca="1">SUMIF(CT_tram!$B$1632:$G$2211,kl!B177,CT_tram!$G$1632:$G$2211)</f>
        <v>0</v>
      </c>
      <c r="AA177" s="775">
        <f ca="1">SUMIF(CT_tram!$B$2243:$G$2384,kl!B177,CT_tram!$G$2243:$G$2384)</f>
        <v>0</v>
      </c>
      <c r="AB177" s="775">
        <f ca="1">SUMIF(CT_tram!$B$2391:$G$2563,kl!B177,CT_tram!$G$2391:$G$2563)</f>
        <v>0</v>
      </c>
      <c r="AC177" s="775">
        <f ca="1">SUMIF(chitiet!$B$13:$N$2352,kl!$B177,chitiet!$I$13:$I$2352)</f>
        <v>0</v>
      </c>
      <c r="AD177" s="775">
        <f ca="1">SUMIF(chitiet!$B$13:$N$2352,kl!$B177,chitiet!$J$13:$J$2352)</f>
        <v>0</v>
      </c>
      <c r="AE177" s="775">
        <f ca="1">SUMIF(chitiet!$B$13:$N$2352,kl!$B177,chitiet!$K$13:$K$2352)</f>
        <v>0</v>
      </c>
      <c r="AF177" s="775">
        <f ca="1">SUMIF(chitiet!$B$13:$N$2352,kl!$B177,chitiet!$L$13:$L$2352)</f>
        <v>0</v>
      </c>
      <c r="AG177" s="775">
        <f ca="1">SUMIF(chitiet!$B$13:$N$2352,kl!$B177,chitiet!$M$13)</f>
        <v>0</v>
      </c>
      <c r="AH177" s="775">
        <f ca="1">SUMIF(chitiet!$B$13:$N$2352,kl!$B177,chitiet!$N$13:$N$2352)</f>
        <v>0</v>
      </c>
      <c r="AI177" s="775">
        <f ca="1">SUMIF(chitiet!$B$13:$N$2352,kl!$B177,chitiet!$O$13:$O$2352)</f>
        <v>0</v>
      </c>
      <c r="AJ177" s="775">
        <f ca="1">SUMIF('Cap ngam'!$B$631:$G$723,kl!$B177,'Cap ngam'!$G$631:$G$723)</f>
        <v>0</v>
      </c>
      <c r="AK177" s="775">
        <f ca="1">SUMIF('Cap ngam'!$B$403:$G$628,kl!$B177,'Cap ngam'!G$403:G$628)</f>
        <v>0</v>
      </c>
      <c r="AL177" s="775">
        <f ca="1">SUMIF('Cap ngam'!B$16:G$400,kl!$B177,'Cap ngam'!G$16:G$400)</f>
        <v>0</v>
      </c>
      <c r="AM177" s="776">
        <v>1.976</v>
      </c>
      <c r="AN177" s="775">
        <f t="shared" ca="1" si="87"/>
        <v>0</v>
      </c>
      <c r="AO177" s="775">
        <f t="shared" ca="1" si="88"/>
        <v>0</v>
      </c>
      <c r="AP177" s="775">
        <f t="shared" ca="1" si="89"/>
        <v>0</v>
      </c>
      <c r="AQ177" s="775">
        <f t="shared" ca="1" si="90"/>
        <v>0</v>
      </c>
      <c r="AR177" s="775">
        <f t="shared" ca="1" si="91"/>
        <v>0</v>
      </c>
      <c r="AS177" s="775">
        <f t="shared" ca="1" si="92"/>
        <v>0</v>
      </c>
      <c r="AT177" s="775">
        <f t="shared" ca="1" si="93"/>
        <v>0</v>
      </c>
      <c r="AU177" s="775">
        <f t="shared" ca="1" si="94"/>
        <v>0</v>
      </c>
      <c r="AV177" s="775">
        <f t="shared" ca="1" si="95"/>
        <v>0</v>
      </c>
      <c r="AW177" s="775">
        <f t="shared" ca="1" si="96"/>
        <v>0</v>
      </c>
      <c r="AX177" s="775">
        <f t="shared" si="97"/>
        <v>0</v>
      </c>
      <c r="AY177" s="775">
        <f t="shared" ca="1" si="98"/>
        <v>0</v>
      </c>
      <c r="AZ177" s="775">
        <f t="shared" si="99"/>
        <v>0</v>
      </c>
      <c r="BA177" s="775">
        <f t="shared" ca="1" si="80"/>
        <v>0</v>
      </c>
      <c r="BB177" s="775">
        <f t="shared" ca="1" si="81"/>
        <v>0</v>
      </c>
      <c r="BC177" s="775">
        <f t="shared" ca="1" si="82"/>
        <v>0</v>
      </c>
      <c r="BD177" s="775">
        <f t="shared" ca="1" si="83"/>
        <v>0</v>
      </c>
      <c r="BE177" s="775">
        <f t="shared" ca="1" si="84"/>
        <v>0</v>
      </c>
      <c r="BF177" s="775">
        <f t="shared" ca="1" si="85"/>
        <v>0</v>
      </c>
      <c r="BG177" s="775">
        <f t="shared" ca="1" si="86"/>
        <v>0</v>
      </c>
      <c r="BH177" s="775">
        <f t="shared" ca="1" si="100"/>
        <v>0</v>
      </c>
      <c r="BI177" s="775">
        <f t="shared" ca="1" si="101"/>
        <v>0</v>
      </c>
      <c r="BJ177" s="775">
        <f t="shared" ca="1" si="102"/>
        <v>0</v>
      </c>
      <c r="BK177" s="775">
        <f t="shared" ca="1" si="103"/>
        <v>0</v>
      </c>
      <c r="BL177" s="775">
        <f t="shared" ca="1" si="104"/>
        <v>0</v>
      </c>
      <c r="BM177" s="775">
        <f t="shared" ca="1" si="105"/>
        <v>0</v>
      </c>
      <c r="BN177" s="775">
        <f t="shared" ca="1" si="106"/>
        <v>0</v>
      </c>
      <c r="BO177" s="775">
        <f t="shared" ca="1" si="107"/>
        <v>0</v>
      </c>
      <c r="BP177" s="775">
        <f t="shared" ca="1" si="108"/>
        <v>0</v>
      </c>
      <c r="BQ177" s="775">
        <f t="shared" ca="1" si="75"/>
        <v>0</v>
      </c>
      <c r="BR177" s="775">
        <f t="shared" ca="1" si="109"/>
        <v>0</v>
      </c>
    </row>
    <row r="178" spans="1:70">
      <c r="A178" s="767" t="str">
        <f t="shared" ca="1" si="110"/>
        <v/>
      </c>
      <c r="B178" s="789" t="s">
        <v>576</v>
      </c>
      <c r="C178" s="188" t="str">
        <f ca="1">IF(F178=0,"",COUNTIF($F$78:$F178,"&gt;0"))</f>
        <v/>
      </c>
      <c r="D178" s="778" t="str">
        <f>VLOOKUP($B178,dongia1,DG!$C$5,)</f>
        <v>Cáp 24KV C/XLPE/PVC 185mm2</v>
      </c>
      <c r="E178" s="555" t="str">
        <f>VLOOKUP($B178,dongia1,DG!$D$5,)</f>
        <v>mét</v>
      </c>
      <c r="F178" s="779">
        <f t="shared" ca="1" si="114"/>
        <v>0</v>
      </c>
      <c r="G178" s="775">
        <f t="shared" ca="1" si="76"/>
        <v>0</v>
      </c>
      <c r="H178" s="775">
        <f ca="1">SUMIF(CT_tram!$B$33:$G$3559,kl!B178,CT_tram!$G$33:$G$3559)</f>
        <v>0</v>
      </c>
      <c r="I178" s="775">
        <f ca="1">SUMIF(CT_tram!$B$34:$G$115,$B178,CT_tram!$G$34:$G$115)</f>
        <v>0</v>
      </c>
      <c r="J178" s="775">
        <f ca="1">SUMIF(CT_tram!$B$122:$G$204,$B178,CT_tram!$G$122:$G$204)</f>
        <v>0</v>
      </c>
      <c r="K178" s="775">
        <f ca="1">SUMIF(CT_tram!$B$211:$G$293,$B178,CT_tram!$G$211:$G$293)</f>
        <v>0</v>
      </c>
      <c r="L178" s="775">
        <f ca="1">SUMIF(CT_tram!$B$300:$G$374,$B178,CT_tram!$G$300:$G$374)</f>
        <v>0</v>
      </c>
      <c r="M178" s="775">
        <f ca="1">SUMIF(CT_tram!$B$381:$G$471,$B178,CT_tram!$G$381:$G$471)</f>
        <v>0</v>
      </c>
      <c r="N178" s="775">
        <f ca="1">SUMIF(CT_tram!$B$478:$G$560,$B178,CT_tram!$G$478:$G$560)</f>
        <v>0</v>
      </c>
      <c r="O178" s="775">
        <f ca="1">SUMIF(CT_tram!$B$567:$G$653,$B178,CT_tram!$G$567:$G$653)</f>
        <v>0</v>
      </c>
      <c r="P178" s="775">
        <f ca="1">SUMIF(CT_tram!$B$661:$G$738,$B178,CT_tram!$G$661:$G$738)</f>
        <v>0</v>
      </c>
      <c r="Q178" s="775">
        <f ca="1">SUMIF(CT_tram!$B$745:$G$899,$B178,CT_tram!$G$745:$G$899)</f>
        <v>0</v>
      </c>
      <c r="R178" s="775">
        <f ca="1">SUMIF(CT_tram!$B$907:$G$995,$B178,CT_tram!$G$907:$G$995)</f>
        <v>0</v>
      </c>
      <c r="S178" s="775"/>
      <c r="T178" s="775">
        <f ca="1">SUMIF(CT_tram!$B$1004:$G$1097,B178,CT_tram!$G$1004:$G$1097)</f>
        <v>0</v>
      </c>
      <c r="U178" s="775"/>
      <c r="V178" s="775">
        <f ca="1">SUMIF(CT_tram!$B$1226:$G$1352,kl!B178,CT_tram!$G$1226:$G$1352)</f>
        <v>0</v>
      </c>
      <c r="W178" s="780">
        <f ca="1">SUMIF(CT_tram!$B$1105:$G$1219,kl!B178,CT_tram!$G$1105:$G$1219)</f>
        <v>0</v>
      </c>
      <c r="X178" s="775">
        <f ca="1">SUMIF(CT_tram!$B$1359:$G$1504,kl!B178,CT_tram!$G$1359:$G$1504)</f>
        <v>0</v>
      </c>
      <c r="Y178" s="775">
        <f ca="1">SUMIF(CT_tram!$B$1511:$G$1625,kl!B178,CT_tram!$G$1511:$G$1625)</f>
        <v>0</v>
      </c>
      <c r="Z178" s="775">
        <f ca="1">SUMIF(CT_tram!$B$1632:$G$2211,kl!B178,CT_tram!$G$1632:$G$2211)</f>
        <v>0</v>
      </c>
      <c r="AA178" s="775">
        <f ca="1">SUMIF(CT_tram!$B$2243:$G$2384,kl!B178,CT_tram!$G$2243:$G$2384)</f>
        <v>0</v>
      </c>
      <c r="AB178" s="775">
        <f ca="1">SUMIF(CT_tram!$B$2391:$G$2563,kl!B178,CT_tram!$G$2391:$G$2563)</f>
        <v>0</v>
      </c>
      <c r="AC178" s="775">
        <f ca="1">SUMIF(chitiet!$B$13:$N$2352,kl!$B178,chitiet!$I$13:$I$2352)</f>
        <v>0</v>
      </c>
      <c r="AD178" s="775">
        <f ca="1">SUMIF(chitiet!$B$13:$N$2352,kl!$B178,chitiet!$J$13:$J$2352)</f>
        <v>0</v>
      </c>
      <c r="AE178" s="775">
        <f ca="1">SUMIF(chitiet!$B$13:$N$2352,kl!$B178,chitiet!$K$13:$K$2352)</f>
        <v>0</v>
      </c>
      <c r="AF178" s="775">
        <f ca="1">SUMIF(chitiet!$B$13:$N$2352,kl!$B178,chitiet!$L$13:$L$2352)</f>
        <v>0</v>
      </c>
      <c r="AG178" s="775">
        <f ca="1">SUMIF(chitiet!$B$13:$N$2352,kl!$B178,chitiet!$M$13)</f>
        <v>0</v>
      </c>
      <c r="AH178" s="775">
        <f ca="1">SUMIF(chitiet!$B$13:$N$2352,kl!$B178,chitiet!$N$13:$N$2352)</f>
        <v>0</v>
      </c>
      <c r="AI178" s="775">
        <f ca="1">SUMIF(chitiet!$B$13:$N$2352,kl!$B178,chitiet!$O$13:$O$2352)</f>
        <v>0</v>
      </c>
      <c r="AJ178" s="775">
        <f ca="1">SUMIF('Cap ngam'!$B$631:$G$723,kl!$B178,'Cap ngam'!$G$631:$G$723)</f>
        <v>0</v>
      </c>
      <c r="AK178" s="775">
        <f ca="1">SUMIF('Cap ngam'!$B$403:$G$628,kl!$B178,'Cap ngam'!G$403:G$628)</f>
        <v>0</v>
      </c>
      <c r="AL178" s="775">
        <f ca="1">SUMIF('Cap ngam'!B$16:G$400,kl!$B178,'Cap ngam'!G$16:G$400)</f>
        <v>0</v>
      </c>
      <c r="AM178" s="776">
        <v>2.3769999999999998</v>
      </c>
      <c r="AN178" s="775">
        <f t="shared" ca="1" si="87"/>
        <v>0</v>
      </c>
      <c r="AO178" s="775">
        <f t="shared" ca="1" si="88"/>
        <v>0</v>
      </c>
      <c r="AP178" s="775">
        <f t="shared" ca="1" si="89"/>
        <v>0</v>
      </c>
      <c r="AQ178" s="775">
        <f t="shared" ca="1" si="90"/>
        <v>0</v>
      </c>
      <c r="AR178" s="775">
        <f t="shared" ca="1" si="91"/>
        <v>0</v>
      </c>
      <c r="AS178" s="775">
        <f t="shared" ca="1" si="92"/>
        <v>0</v>
      </c>
      <c r="AT178" s="775">
        <f t="shared" ca="1" si="93"/>
        <v>0</v>
      </c>
      <c r="AU178" s="775">
        <f t="shared" ca="1" si="94"/>
        <v>0</v>
      </c>
      <c r="AV178" s="775">
        <f t="shared" ca="1" si="95"/>
        <v>0</v>
      </c>
      <c r="AW178" s="775">
        <f t="shared" ca="1" si="96"/>
        <v>0</v>
      </c>
      <c r="AX178" s="775">
        <f t="shared" si="97"/>
        <v>0</v>
      </c>
      <c r="AY178" s="775">
        <f t="shared" ca="1" si="98"/>
        <v>0</v>
      </c>
      <c r="AZ178" s="775">
        <f t="shared" si="99"/>
        <v>0</v>
      </c>
      <c r="BA178" s="775">
        <f t="shared" ca="1" si="80"/>
        <v>0</v>
      </c>
      <c r="BB178" s="775">
        <f t="shared" ca="1" si="81"/>
        <v>0</v>
      </c>
      <c r="BC178" s="775">
        <f t="shared" ca="1" si="82"/>
        <v>0</v>
      </c>
      <c r="BD178" s="775">
        <f t="shared" ca="1" si="83"/>
        <v>0</v>
      </c>
      <c r="BE178" s="775">
        <f t="shared" ca="1" si="84"/>
        <v>0</v>
      </c>
      <c r="BF178" s="775">
        <f t="shared" ca="1" si="85"/>
        <v>0</v>
      </c>
      <c r="BG178" s="775">
        <f t="shared" ca="1" si="86"/>
        <v>0</v>
      </c>
      <c r="BH178" s="775">
        <f t="shared" ca="1" si="100"/>
        <v>0</v>
      </c>
      <c r="BI178" s="775">
        <f t="shared" ca="1" si="101"/>
        <v>0</v>
      </c>
      <c r="BJ178" s="775">
        <f t="shared" ca="1" si="102"/>
        <v>0</v>
      </c>
      <c r="BK178" s="775">
        <f t="shared" ca="1" si="103"/>
        <v>0</v>
      </c>
      <c r="BL178" s="775">
        <f t="shared" ca="1" si="104"/>
        <v>0</v>
      </c>
      <c r="BM178" s="775">
        <f t="shared" ca="1" si="105"/>
        <v>0</v>
      </c>
      <c r="BN178" s="775">
        <f t="shared" ca="1" si="106"/>
        <v>0</v>
      </c>
      <c r="BO178" s="775">
        <f t="shared" ca="1" si="107"/>
        <v>0</v>
      </c>
      <c r="BP178" s="775">
        <f t="shared" ca="1" si="108"/>
        <v>0</v>
      </c>
      <c r="BQ178" s="775">
        <f t="shared" ca="1" si="75"/>
        <v>0</v>
      </c>
      <c r="BR178" s="775">
        <f t="shared" ca="1" si="109"/>
        <v>0</v>
      </c>
    </row>
    <row r="179" spans="1:70">
      <c r="A179" s="767" t="str">
        <f t="shared" ca="1" si="110"/>
        <v/>
      </c>
      <c r="B179" s="789" t="s">
        <v>2049</v>
      </c>
      <c r="C179" s="188" t="str">
        <f ca="1">IF(F179=0,"",COUNTIF($F$78:$F179,"&gt;0"))</f>
        <v/>
      </c>
      <c r="D179" s="778" t="str">
        <f>VLOOKUP($B179,dongia1,DG!$C$5,)</f>
        <v>Cáp 24KV C/XLPE/PVC 240mm2</v>
      </c>
      <c r="E179" s="555" t="str">
        <f>VLOOKUP($B179,dongia1,DG!$D$5,)</f>
        <v>mét</v>
      </c>
      <c r="F179" s="779">
        <f t="shared" ca="1" si="114"/>
        <v>0</v>
      </c>
      <c r="G179" s="775">
        <f t="shared" ca="1" si="76"/>
        <v>0</v>
      </c>
      <c r="H179" s="775">
        <f ca="1">SUMIF(CT_tram!$B$33:$G$3559,kl!B179,CT_tram!$G$33:$G$3559)</f>
        <v>0</v>
      </c>
      <c r="I179" s="775">
        <f ca="1">SUMIF(CT_tram!$B$34:$G$115,$B179,CT_tram!$G$34:$G$115)</f>
        <v>0</v>
      </c>
      <c r="J179" s="775">
        <f ca="1">SUMIF(CT_tram!$B$122:$G$204,$B179,CT_tram!$G$122:$G$204)</f>
        <v>0</v>
      </c>
      <c r="K179" s="775">
        <f ca="1">SUMIF(CT_tram!$B$211:$G$293,$B179,CT_tram!$G$211:$G$293)</f>
        <v>0</v>
      </c>
      <c r="L179" s="775">
        <f ca="1">SUMIF(CT_tram!$B$300:$G$374,$B179,CT_tram!$G$300:$G$374)</f>
        <v>0</v>
      </c>
      <c r="M179" s="775">
        <f ca="1">SUMIF(CT_tram!$B$381:$G$471,$B179,CT_tram!$G$381:$G$471)</f>
        <v>0</v>
      </c>
      <c r="N179" s="775">
        <f ca="1">SUMIF(CT_tram!$B$478:$G$560,$B179,CT_tram!$G$478:$G$560)</f>
        <v>0</v>
      </c>
      <c r="O179" s="775">
        <f ca="1">SUMIF(CT_tram!$B$567:$G$653,$B179,CT_tram!$G$567:$G$653)</f>
        <v>0</v>
      </c>
      <c r="P179" s="775">
        <f ca="1">SUMIF(CT_tram!$B$661:$G$738,$B179,CT_tram!$G$661:$G$738)</f>
        <v>0</v>
      </c>
      <c r="Q179" s="775">
        <f ca="1">SUMIF(CT_tram!$B$745:$G$899,$B179,CT_tram!$G$745:$G$899)</f>
        <v>0</v>
      </c>
      <c r="R179" s="775">
        <f ca="1">SUMIF(CT_tram!$B$907:$G$995,$B179,CT_tram!$G$907:$G$995)</f>
        <v>0</v>
      </c>
      <c r="S179" s="775"/>
      <c r="T179" s="775">
        <f ca="1">SUMIF(CT_tram!$B$1004:$G$1097,B179,CT_tram!$G$1004:$G$1097)</f>
        <v>0</v>
      </c>
      <c r="U179" s="775"/>
      <c r="V179" s="775">
        <f ca="1">SUMIF(CT_tram!$B$1226:$G$1352,kl!B179,CT_tram!$G$1226:$G$1352)</f>
        <v>0</v>
      </c>
      <c r="W179" s="780">
        <f ca="1">SUMIF(CT_tram!$B$1105:$G$1219,kl!B179,CT_tram!$G$1105:$G$1219)</f>
        <v>0</v>
      </c>
      <c r="X179" s="775">
        <f ca="1">SUMIF(CT_tram!$B$1359:$G$1504,kl!B179,CT_tram!$G$1359:$G$1504)</f>
        <v>0</v>
      </c>
      <c r="Y179" s="775">
        <f ca="1">SUMIF(CT_tram!$B$1511:$G$1625,kl!B179,CT_tram!$G$1511:$G$1625)</f>
        <v>0</v>
      </c>
      <c r="Z179" s="775">
        <f ca="1">SUMIF(CT_tram!$B$1632:$G$2211,kl!B179,CT_tram!$G$1632:$G$2211)</f>
        <v>0</v>
      </c>
      <c r="AA179" s="775">
        <f ca="1">SUMIF(CT_tram!$B$2243:$G$2384,kl!B179,CT_tram!$G$2243:$G$2384)</f>
        <v>0</v>
      </c>
      <c r="AB179" s="775">
        <f ca="1">SUMIF(CT_tram!$B$2391:$G$2563,kl!B179,CT_tram!$G$2391:$G$2563)</f>
        <v>0</v>
      </c>
      <c r="AC179" s="775">
        <f ca="1">SUMIF(chitiet!$B$13:$N$2352,kl!$B179,chitiet!$I$13:$I$2352)</f>
        <v>0</v>
      </c>
      <c r="AD179" s="775">
        <f ca="1">SUMIF(chitiet!$B$13:$N$2352,kl!$B179,chitiet!$J$13:$J$2352)</f>
        <v>0</v>
      </c>
      <c r="AE179" s="775">
        <f ca="1">SUMIF(chitiet!$B$13:$N$2352,kl!$B179,chitiet!$K$13:$K$2352)</f>
        <v>0</v>
      </c>
      <c r="AF179" s="775">
        <f ca="1">SUMIF(chitiet!$B$13:$N$2352,kl!$B179,chitiet!$L$13:$L$2352)</f>
        <v>0</v>
      </c>
      <c r="AG179" s="775">
        <f ca="1">SUMIF(chitiet!$B$13:$N$2352,kl!$B179,chitiet!$M$13)</f>
        <v>0</v>
      </c>
      <c r="AH179" s="775">
        <f ca="1">SUMIF(chitiet!$B$13:$N$2352,kl!$B179,chitiet!$N$13:$N$2352)</f>
        <v>0</v>
      </c>
      <c r="AI179" s="775">
        <f ca="1">SUMIF(chitiet!$B$13:$N$2352,kl!$B179,chitiet!$O$13:$O$2352)</f>
        <v>0</v>
      </c>
      <c r="AJ179" s="775">
        <f ca="1">SUMIF('Cap ngam'!$B$631:$G$723,kl!$B179,'Cap ngam'!$G$631:$G$723)</f>
        <v>0</v>
      </c>
      <c r="AK179" s="775">
        <f ca="1">SUMIF('Cap ngam'!$B$403:$G$628,kl!$B179,'Cap ngam'!G$403:G$628)</f>
        <v>0</v>
      </c>
      <c r="AL179" s="775">
        <f ca="1">SUMIF('Cap ngam'!B$16:G$400,kl!$B179,'Cap ngam'!G$16:G$400)</f>
        <v>0</v>
      </c>
      <c r="AM179" s="776">
        <v>2.992</v>
      </c>
      <c r="AN179" s="775">
        <f t="shared" ca="1" si="87"/>
        <v>0</v>
      </c>
      <c r="AO179" s="775">
        <f t="shared" ca="1" si="88"/>
        <v>0</v>
      </c>
      <c r="AP179" s="775">
        <f t="shared" ca="1" si="89"/>
        <v>0</v>
      </c>
      <c r="AQ179" s="775">
        <f t="shared" ca="1" si="90"/>
        <v>0</v>
      </c>
      <c r="AR179" s="775">
        <f t="shared" ca="1" si="91"/>
        <v>0</v>
      </c>
      <c r="AS179" s="775">
        <f t="shared" ca="1" si="92"/>
        <v>0</v>
      </c>
      <c r="AT179" s="775">
        <f t="shared" ca="1" si="93"/>
        <v>0</v>
      </c>
      <c r="AU179" s="775">
        <f t="shared" ca="1" si="94"/>
        <v>0</v>
      </c>
      <c r="AV179" s="775">
        <f t="shared" ca="1" si="95"/>
        <v>0</v>
      </c>
      <c r="AW179" s="775">
        <f t="shared" ca="1" si="96"/>
        <v>0</v>
      </c>
      <c r="AX179" s="775">
        <f t="shared" si="97"/>
        <v>0</v>
      </c>
      <c r="AY179" s="775">
        <f t="shared" ca="1" si="98"/>
        <v>0</v>
      </c>
      <c r="AZ179" s="775">
        <f t="shared" si="99"/>
        <v>0</v>
      </c>
      <c r="BA179" s="775">
        <f t="shared" ca="1" si="80"/>
        <v>0</v>
      </c>
      <c r="BB179" s="775">
        <f t="shared" ca="1" si="81"/>
        <v>0</v>
      </c>
      <c r="BC179" s="775">
        <f t="shared" ca="1" si="82"/>
        <v>0</v>
      </c>
      <c r="BD179" s="775">
        <f t="shared" ca="1" si="83"/>
        <v>0</v>
      </c>
      <c r="BE179" s="775">
        <f t="shared" ca="1" si="84"/>
        <v>0</v>
      </c>
      <c r="BF179" s="775">
        <f t="shared" ca="1" si="85"/>
        <v>0</v>
      </c>
      <c r="BG179" s="775">
        <f t="shared" ca="1" si="86"/>
        <v>0</v>
      </c>
      <c r="BH179" s="775">
        <f t="shared" ca="1" si="100"/>
        <v>0</v>
      </c>
      <c r="BI179" s="775">
        <f t="shared" ca="1" si="101"/>
        <v>0</v>
      </c>
      <c r="BJ179" s="775">
        <f t="shared" ca="1" si="102"/>
        <v>0</v>
      </c>
      <c r="BK179" s="775">
        <f t="shared" ca="1" si="103"/>
        <v>0</v>
      </c>
      <c r="BL179" s="775">
        <f t="shared" ca="1" si="104"/>
        <v>0</v>
      </c>
      <c r="BM179" s="775">
        <f t="shared" ca="1" si="105"/>
        <v>0</v>
      </c>
      <c r="BN179" s="775">
        <f t="shared" ca="1" si="106"/>
        <v>0</v>
      </c>
      <c r="BO179" s="775">
        <f t="shared" ca="1" si="107"/>
        <v>0</v>
      </c>
      <c r="BP179" s="775">
        <f t="shared" ca="1" si="108"/>
        <v>0</v>
      </c>
      <c r="BQ179" s="775">
        <f t="shared" ca="1" si="75"/>
        <v>0</v>
      </c>
      <c r="BR179" s="775">
        <f t="shared" ca="1" si="109"/>
        <v>0</v>
      </c>
    </row>
    <row r="180" spans="1:70">
      <c r="A180" s="767" t="str">
        <f t="shared" ref="A180:A188" ca="1" si="115">IF(F180&lt;&gt;0,"X","")</f>
        <v/>
      </c>
      <c r="B180" s="789" t="s">
        <v>22</v>
      </c>
      <c r="C180" s="188" t="str">
        <f ca="1">IF(F180=0,"",COUNTIF($F$78:$F180,"&gt;0"))</f>
        <v/>
      </c>
      <c r="D180" s="778" t="str">
        <f>VLOOKUP($B180,dongia1,DG!$C$5,)</f>
        <v>Cáp 24kV C/XLPE/DSTA/PVC3x50</v>
      </c>
      <c r="E180" s="555" t="str">
        <f>VLOOKUP($B180,dongia1,DG!$D$5,)</f>
        <v>mét</v>
      </c>
      <c r="F180" s="779">
        <f t="shared" ref="F180:F196" ca="1" si="116">G180+H180</f>
        <v>0</v>
      </c>
      <c r="G180" s="775">
        <f t="shared" ref="G180:G188" ca="1" si="117">SUM(AC180:AL180)</f>
        <v>0</v>
      </c>
      <c r="H180" s="775">
        <f ca="1">SUMIF(CT_tram!$B$33:$G$3559,kl!B180,CT_tram!$G$33:$G$3559)</f>
        <v>0</v>
      </c>
      <c r="I180" s="775">
        <f ca="1">SUMIF(CT_tram!$B$34:$G$115,$B180,CT_tram!$G$34:$G$115)</f>
        <v>0</v>
      </c>
      <c r="J180" s="775">
        <f ca="1">SUMIF(CT_tram!$B$122:$G$204,$B180,CT_tram!$G$122:$G$204)</f>
        <v>0</v>
      </c>
      <c r="K180" s="775">
        <f ca="1">SUMIF(CT_tram!$B$211:$G$293,$B180,CT_tram!$G$211:$G$293)</f>
        <v>0</v>
      </c>
      <c r="L180" s="775">
        <f ca="1">SUMIF(CT_tram!$B$300:$G$374,$B180,CT_tram!$G$300:$G$374)</f>
        <v>0</v>
      </c>
      <c r="M180" s="775">
        <f ca="1">SUMIF(CT_tram!$B$381:$G$471,$B180,CT_tram!$G$381:$G$471)</f>
        <v>0</v>
      </c>
      <c r="N180" s="775">
        <f ca="1">SUMIF(CT_tram!$B$478:$G$560,$B180,CT_tram!$G$478:$G$560)</f>
        <v>0</v>
      </c>
      <c r="O180" s="775">
        <f ca="1">SUMIF(CT_tram!$B$567:$G$653,$B180,CT_tram!$G$567:$G$653)</f>
        <v>0</v>
      </c>
      <c r="P180" s="775">
        <f ca="1">SUMIF(CT_tram!$B$661:$G$738,$B180,CT_tram!$G$661:$G$738)</f>
        <v>0</v>
      </c>
      <c r="Q180" s="775">
        <f ca="1">SUMIF(CT_tram!$B$745:$G$899,$B180,CT_tram!$G$745:$G$899)</f>
        <v>0</v>
      </c>
      <c r="R180" s="775">
        <f ca="1">SUMIF(CT_tram!$B$907:$G$995,$B180,CT_tram!$G$907:$G$995)</f>
        <v>0</v>
      </c>
      <c r="S180" s="775"/>
      <c r="T180" s="775">
        <f ca="1">SUMIF(CT_tram!$B$1004:$G$1097,B180,CT_tram!$G$1004:$G$1097)</f>
        <v>0</v>
      </c>
      <c r="U180" s="775"/>
      <c r="V180" s="775">
        <f ca="1">SUMIF(CT_tram!$B$1226:$G$1352,kl!B180,CT_tram!$G$1226:$G$1352)</f>
        <v>0</v>
      </c>
      <c r="W180" s="780">
        <f ca="1">SUMIF(CT_tram!$B$1105:$G$1219,kl!B180,CT_tram!$G$1105:$G$1219)</f>
        <v>0</v>
      </c>
      <c r="X180" s="775">
        <f ca="1">SUMIF(CT_tram!$B$1359:$G$1504,kl!B180,CT_tram!$G$1359:$G$1504)</f>
        <v>0</v>
      </c>
      <c r="Y180" s="775">
        <f ca="1">SUMIF(CT_tram!$B$1511:$G$1625,kl!B180,CT_tram!$G$1511:$G$1625)</f>
        <v>0</v>
      </c>
      <c r="Z180" s="775">
        <f ca="1">SUMIF(CT_tram!$B$1632:$G$2211,kl!B180,CT_tram!$G$1632:$G$2211)</f>
        <v>0</v>
      </c>
      <c r="AA180" s="775">
        <f ca="1">SUMIF(CT_tram!$B$2243:$G$2384,kl!B180,CT_tram!$G$2243:$G$2384)</f>
        <v>0</v>
      </c>
      <c r="AB180" s="775">
        <f ca="1">SUMIF(CT_tram!$B$2391:$G$2563,kl!B180,CT_tram!$G$2391:$G$2563)</f>
        <v>0</v>
      </c>
      <c r="AC180" s="775">
        <f ca="1">SUMIF(chitiet!$B$13:$N$2352,kl!$B180,chitiet!$I$13:$I$2352)</f>
        <v>0</v>
      </c>
      <c r="AD180" s="775">
        <f ca="1">SUMIF(chitiet!$B$13:$N$2352,kl!$B180,chitiet!$J$13:$J$2352)</f>
        <v>0</v>
      </c>
      <c r="AE180" s="775">
        <f ca="1">SUMIF(chitiet!$B$13:$N$2352,kl!$B180,chitiet!$K$13:$K$2352)</f>
        <v>0</v>
      </c>
      <c r="AF180" s="775">
        <f ca="1">SUMIF(chitiet!$B$13:$N$2352,kl!$B180,chitiet!$L$13:$L$2352)</f>
        <v>0</v>
      </c>
      <c r="AG180" s="775">
        <f ca="1">SUMIF(chitiet!$B$13:$N$2352,kl!$B180,chitiet!$M$13)</f>
        <v>0</v>
      </c>
      <c r="AH180" s="775">
        <f ca="1">SUMIF(chitiet!$B$13:$N$2352,kl!$B180,chitiet!$N$13:$N$2352)</f>
        <v>0</v>
      </c>
      <c r="AI180" s="775">
        <f ca="1">SUMIF(chitiet!$B$13:$N$2352,kl!$B180,chitiet!$O$13:$O$2352)</f>
        <v>0</v>
      </c>
      <c r="AJ180" s="775">
        <f ca="1">SUMIF('Cap ngam'!$B$631:$G$723,kl!$B180,'Cap ngam'!$G$631:$G$723)</f>
        <v>0</v>
      </c>
      <c r="AK180" s="775">
        <f ca="1">SUMIF('Cap ngam'!$B$403:$G$628,kl!$B180,'Cap ngam'!G$403:G$628)</f>
        <v>0</v>
      </c>
      <c r="AL180" s="775">
        <f ca="1">SUMIF('Cap ngam'!B$16:G$400,kl!$B180,'Cap ngam'!G$16:G$400)</f>
        <v>0</v>
      </c>
      <c r="AM180" s="776">
        <v>5.6079999999999997</v>
      </c>
      <c r="AN180" s="775">
        <f t="shared" ca="1" si="87"/>
        <v>0</v>
      </c>
      <c r="AO180" s="775">
        <f t="shared" ca="1" si="88"/>
        <v>0</v>
      </c>
      <c r="AP180" s="775">
        <f t="shared" ca="1" si="89"/>
        <v>0</v>
      </c>
      <c r="AQ180" s="775">
        <f t="shared" ca="1" si="90"/>
        <v>0</v>
      </c>
      <c r="AR180" s="775">
        <f t="shared" ca="1" si="91"/>
        <v>0</v>
      </c>
      <c r="AS180" s="775">
        <f t="shared" ca="1" si="92"/>
        <v>0</v>
      </c>
      <c r="AT180" s="775">
        <f t="shared" ca="1" si="93"/>
        <v>0</v>
      </c>
      <c r="AU180" s="775">
        <f t="shared" ca="1" si="94"/>
        <v>0</v>
      </c>
      <c r="AV180" s="775">
        <f t="shared" ca="1" si="95"/>
        <v>0</v>
      </c>
      <c r="AW180" s="775">
        <f t="shared" ca="1" si="96"/>
        <v>0</v>
      </c>
      <c r="AX180" s="775">
        <f t="shared" si="97"/>
        <v>0</v>
      </c>
      <c r="AY180" s="775">
        <f t="shared" ca="1" si="98"/>
        <v>0</v>
      </c>
      <c r="AZ180" s="775">
        <f t="shared" si="99"/>
        <v>0</v>
      </c>
      <c r="BA180" s="775">
        <f t="shared" ca="1" si="80"/>
        <v>0</v>
      </c>
      <c r="BB180" s="775">
        <f t="shared" ca="1" si="81"/>
        <v>0</v>
      </c>
      <c r="BC180" s="775">
        <f t="shared" ca="1" si="82"/>
        <v>0</v>
      </c>
      <c r="BD180" s="775">
        <f t="shared" ca="1" si="83"/>
        <v>0</v>
      </c>
      <c r="BE180" s="775">
        <f t="shared" ca="1" si="84"/>
        <v>0</v>
      </c>
      <c r="BF180" s="775">
        <f t="shared" ca="1" si="85"/>
        <v>0</v>
      </c>
      <c r="BG180" s="775">
        <f t="shared" ca="1" si="86"/>
        <v>0</v>
      </c>
      <c r="BH180" s="775">
        <f t="shared" ca="1" si="100"/>
        <v>0</v>
      </c>
      <c r="BI180" s="775">
        <f t="shared" ca="1" si="101"/>
        <v>0</v>
      </c>
      <c r="BJ180" s="775">
        <f t="shared" ca="1" si="102"/>
        <v>0</v>
      </c>
      <c r="BK180" s="775">
        <f t="shared" ca="1" si="103"/>
        <v>0</v>
      </c>
      <c r="BL180" s="775">
        <f t="shared" ca="1" si="104"/>
        <v>0</v>
      </c>
      <c r="BM180" s="775">
        <f t="shared" ca="1" si="105"/>
        <v>0</v>
      </c>
      <c r="BN180" s="775">
        <f t="shared" ca="1" si="106"/>
        <v>0</v>
      </c>
      <c r="BO180" s="775">
        <f t="shared" ca="1" si="107"/>
        <v>0</v>
      </c>
      <c r="BP180" s="775">
        <f t="shared" ca="1" si="108"/>
        <v>0</v>
      </c>
      <c r="BQ180" s="775">
        <f t="shared" ref="BQ180:BQ186" ca="1" si="118">$AL180*$AM180</f>
        <v>0</v>
      </c>
      <c r="BR180" s="775">
        <f t="shared" ca="1" si="109"/>
        <v>0</v>
      </c>
    </row>
    <row r="181" spans="1:70">
      <c r="A181" s="767" t="str">
        <f t="shared" ca="1" si="115"/>
        <v/>
      </c>
      <c r="B181" s="789" t="s">
        <v>176</v>
      </c>
      <c r="C181" s="188" t="str">
        <f ca="1">IF(F181=0,"",COUNTIF($F$78:$F181,"&gt;0"))</f>
        <v/>
      </c>
      <c r="D181" s="778" t="str">
        <f>VLOOKUP($B181,dongia1,DG!$C$5,)</f>
        <v>Cáp 24kV C/XLPE/DSTA/PVC3x70mm2</v>
      </c>
      <c r="E181" s="555" t="str">
        <f>VLOOKUP($B181,dongia1,DG!$D$5,)</f>
        <v>mét</v>
      </c>
      <c r="F181" s="779">
        <f t="shared" ca="1" si="116"/>
        <v>0</v>
      </c>
      <c r="G181" s="775">
        <f t="shared" ca="1" si="117"/>
        <v>0</v>
      </c>
      <c r="H181" s="775">
        <f ca="1">SUMIF(CT_tram!$B$33:$G$3559,kl!B181,CT_tram!$G$33:$G$3559)</f>
        <v>0</v>
      </c>
      <c r="I181" s="775">
        <f ca="1">SUMIF(CT_tram!$B$34:$G$115,$B181,CT_tram!$G$34:$G$115)</f>
        <v>0</v>
      </c>
      <c r="J181" s="775">
        <f ca="1">SUMIF(CT_tram!$B$122:$G$204,$B181,CT_tram!$G$122:$G$204)</f>
        <v>0</v>
      </c>
      <c r="K181" s="775">
        <f ca="1">SUMIF(CT_tram!$B$211:$G$293,$B181,CT_tram!$G$211:$G$293)</f>
        <v>0</v>
      </c>
      <c r="L181" s="775">
        <f ca="1">SUMIF(CT_tram!$B$300:$G$374,$B181,CT_tram!$G$300:$G$374)</f>
        <v>0</v>
      </c>
      <c r="M181" s="775">
        <f ca="1">SUMIF(CT_tram!$B$381:$G$471,$B181,CT_tram!$G$381:$G$471)</f>
        <v>0</v>
      </c>
      <c r="N181" s="775">
        <f ca="1">SUMIF(CT_tram!$B$478:$G$560,$B181,CT_tram!$G$478:$G$560)</f>
        <v>0</v>
      </c>
      <c r="O181" s="775">
        <f ca="1">SUMIF(CT_tram!$B$567:$G$653,$B181,CT_tram!$G$567:$G$653)</f>
        <v>0</v>
      </c>
      <c r="P181" s="775">
        <f ca="1">SUMIF(CT_tram!$B$661:$G$738,$B181,CT_tram!$G$661:$G$738)</f>
        <v>0</v>
      </c>
      <c r="Q181" s="775">
        <f ca="1">SUMIF(CT_tram!$B$745:$G$899,$B181,CT_tram!$G$745:$G$899)</f>
        <v>0</v>
      </c>
      <c r="R181" s="775">
        <f ca="1">SUMIF(CT_tram!$B$907:$G$995,$B181,CT_tram!$G$907:$G$995)</f>
        <v>0</v>
      </c>
      <c r="S181" s="775"/>
      <c r="T181" s="775">
        <f ca="1">SUMIF(CT_tram!$B$1004:$G$1097,B181,CT_tram!$G$1004:$G$1097)</f>
        <v>0</v>
      </c>
      <c r="U181" s="775"/>
      <c r="V181" s="775">
        <f ca="1">SUMIF(CT_tram!$B$1226:$G$1352,kl!B181,CT_tram!$G$1226:$G$1352)</f>
        <v>0</v>
      </c>
      <c r="W181" s="780">
        <f ca="1">SUMIF(CT_tram!$B$1105:$G$1219,kl!B181,CT_tram!$G$1105:$G$1219)</f>
        <v>0</v>
      </c>
      <c r="X181" s="775">
        <f ca="1">SUMIF(CT_tram!$B$1359:$G$1504,kl!B181,CT_tram!$G$1359:$G$1504)</f>
        <v>0</v>
      </c>
      <c r="Y181" s="775">
        <f ca="1">SUMIF(CT_tram!$B$1511:$G$1625,kl!B181,CT_tram!$G$1511:$G$1625)</f>
        <v>0</v>
      </c>
      <c r="Z181" s="775">
        <f ca="1">SUMIF(CT_tram!$B$1632:$G$2211,kl!B181,CT_tram!$G$1632:$G$2211)</f>
        <v>0</v>
      </c>
      <c r="AA181" s="775">
        <f ca="1">SUMIF(CT_tram!$B$2243:$G$2384,kl!B181,CT_tram!$G$2243:$G$2384)</f>
        <v>0</v>
      </c>
      <c r="AB181" s="775">
        <f ca="1">SUMIF(CT_tram!$B$2391:$G$2563,kl!B181,CT_tram!$G$2391:$G$2563)</f>
        <v>0</v>
      </c>
      <c r="AC181" s="775">
        <f ca="1">SUMIF(chitiet!$B$13:$N$2352,kl!$B181,chitiet!$I$13:$I$2352)</f>
        <v>0</v>
      </c>
      <c r="AD181" s="775">
        <f ca="1">SUMIF(chitiet!$B$13:$N$2352,kl!$B181,chitiet!$J$13:$J$2352)</f>
        <v>0</v>
      </c>
      <c r="AE181" s="775">
        <f ca="1">SUMIF(chitiet!$B$13:$N$2352,kl!$B181,chitiet!$K$13:$K$2352)</f>
        <v>0</v>
      </c>
      <c r="AF181" s="775">
        <f ca="1">SUMIF(chitiet!$B$13:$N$2352,kl!$B181,chitiet!$L$13:$L$2352)</f>
        <v>0</v>
      </c>
      <c r="AG181" s="775">
        <f ca="1">SUMIF(chitiet!$B$13:$N$2352,kl!$B181,chitiet!$M$13)</f>
        <v>0</v>
      </c>
      <c r="AH181" s="775">
        <f ca="1">SUMIF(chitiet!$B$13:$N$2352,kl!$B181,chitiet!$N$13:$N$2352)</f>
        <v>0</v>
      </c>
      <c r="AI181" s="775">
        <f ca="1">SUMIF(chitiet!$B$13:$N$2352,kl!$B181,chitiet!$O$13:$O$2352)</f>
        <v>0</v>
      </c>
      <c r="AJ181" s="775">
        <f ca="1">SUMIF('Cap ngam'!$B$631:$G$723,kl!$B181,'Cap ngam'!$G$631:$G$723)</f>
        <v>0</v>
      </c>
      <c r="AK181" s="775">
        <f ca="1">SUMIF('Cap ngam'!$B$403:$G$628,kl!$B181,'Cap ngam'!G$403:G$628)</f>
        <v>0</v>
      </c>
      <c r="AL181" s="775">
        <f ca="1">SUMIF('Cap ngam'!B$16:G$400,kl!$B181,'Cap ngam'!G$16:G$400)</f>
        <v>0</v>
      </c>
      <c r="AM181" s="776">
        <v>6.5819999999999999</v>
      </c>
      <c r="AN181" s="775">
        <f t="shared" ca="1" si="87"/>
        <v>0</v>
      </c>
      <c r="AO181" s="775">
        <f t="shared" ca="1" si="88"/>
        <v>0</v>
      </c>
      <c r="AP181" s="775">
        <f t="shared" ca="1" si="89"/>
        <v>0</v>
      </c>
      <c r="AQ181" s="775">
        <f t="shared" ca="1" si="90"/>
        <v>0</v>
      </c>
      <c r="AR181" s="775">
        <f t="shared" ca="1" si="91"/>
        <v>0</v>
      </c>
      <c r="AS181" s="775">
        <f t="shared" ca="1" si="92"/>
        <v>0</v>
      </c>
      <c r="AT181" s="775">
        <f t="shared" ca="1" si="93"/>
        <v>0</v>
      </c>
      <c r="AU181" s="775">
        <f t="shared" ca="1" si="94"/>
        <v>0</v>
      </c>
      <c r="AV181" s="775">
        <f t="shared" ca="1" si="95"/>
        <v>0</v>
      </c>
      <c r="AW181" s="775">
        <f t="shared" ca="1" si="96"/>
        <v>0</v>
      </c>
      <c r="AX181" s="775">
        <f t="shared" si="97"/>
        <v>0</v>
      </c>
      <c r="AY181" s="775">
        <f t="shared" ca="1" si="98"/>
        <v>0</v>
      </c>
      <c r="AZ181" s="775">
        <f t="shared" si="99"/>
        <v>0</v>
      </c>
      <c r="BA181" s="775">
        <f t="shared" ca="1" si="80"/>
        <v>0</v>
      </c>
      <c r="BB181" s="775">
        <f t="shared" ca="1" si="81"/>
        <v>0</v>
      </c>
      <c r="BC181" s="775">
        <f t="shared" ca="1" si="82"/>
        <v>0</v>
      </c>
      <c r="BD181" s="775">
        <f t="shared" ca="1" si="83"/>
        <v>0</v>
      </c>
      <c r="BE181" s="775">
        <f t="shared" ca="1" si="84"/>
        <v>0</v>
      </c>
      <c r="BF181" s="775">
        <f t="shared" ca="1" si="85"/>
        <v>0</v>
      </c>
      <c r="BG181" s="775">
        <f t="shared" ca="1" si="86"/>
        <v>0</v>
      </c>
      <c r="BH181" s="775">
        <f t="shared" ca="1" si="100"/>
        <v>0</v>
      </c>
      <c r="BI181" s="775">
        <f t="shared" ca="1" si="101"/>
        <v>0</v>
      </c>
      <c r="BJ181" s="775">
        <f t="shared" ca="1" si="102"/>
        <v>0</v>
      </c>
      <c r="BK181" s="775">
        <f t="shared" ca="1" si="103"/>
        <v>0</v>
      </c>
      <c r="BL181" s="775">
        <f t="shared" ca="1" si="104"/>
        <v>0</v>
      </c>
      <c r="BM181" s="775">
        <f t="shared" ca="1" si="105"/>
        <v>0</v>
      </c>
      <c r="BN181" s="775">
        <f t="shared" ca="1" si="106"/>
        <v>0</v>
      </c>
      <c r="BO181" s="775">
        <f t="shared" ca="1" si="107"/>
        <v>0</v>
      </c>
      <c r="BP181" s="775">
        <f t="shared" ca="1" si="108"/>
        <v>0</v>
      </c>
      <c r="BQ181" s="775">
        <f t="shared" ca="1" si="118"/>
        <v>0</v>
      </c>
      <c r="BR181" s="775">
        <f t="shared" ca="1" si="109"/>
        <v>0</v>
      </c>
    </row>
    <row r="182" spans="1:70">
      <c r="A182" s="767" t="str">
        <f t="shared" ca="1" si="115"/>
        <v/>
      </c>
      <c r="B182" s="789" t="s">
        <v>177</v>
      </c>
      <c r="C182" s="188" t="str">
        <f ca="1">IF(F182=0,"",COUNTIF($F$78:$F182,"&gt;0"))</f>
        <v/>
      </c>
      <c r="D182" s="778" t="str">
        <f>VLOOKUP($B182,dongia1,DG!$C$5,)</f>
        <v>Cáp 24kV C/XLPE/DSTA/PVC3x95mm2</v>
      </c>
      <c r="E182" s="555" t="str">
        <f>VLOOKUP($B182,dongia1,DG!$D$5,)</f>
        <v>mét</v>
      </c>
      <c r="F182" s="779">
        <f t="shared" ca="1" si="116"/>
        <v>0</v>
      </c>
      <c r="G182" s="775">
        <f t="shared" ca="1" si="117"/>
        <v>0</v>
      </c>
      <c r="H182" s="775">
        <f ca="1">SUMIF(CT_tram!$B$33:$G$3559,kl!B182,CT_tram!$G$33:$G$3559)</f>
        <v>0</v>
      </c>
      <c r="I182" s="775">
        <f ca="1">SUMIF(CT_tram!$B$34:$G$115,$B182,CT_tram!$G$34:$G$115)</f>
        <v>0</v>
      </c>
      <c r="J182" s="775">
        <f ca="1">SUMIF(CT_tram!$B$122:$G$204,$B182,CT_tram!$G$122:$G$204)</f>
        <v>0</v>
      </c>
      <c r="K182" s="775">
        <f ca="1">SUMIF(CT_tram!$B$211:$G$293,$B182,CT_tram!$G$211:$G$293)</f>
        <v>0</v>
      </c>
      <c r="L182" s="775">
        <f ca="1">SUMIF(CT_tram!$B$300:$G$374,$B182,CT_tram!$G$300:$G$374)</f>
        <v>0</v>
      </c>
      <c r="M182" s="775">
        <f ca="1">SUMIF(CT_tram!$B$381:$G$471,$B182,CT_tram!$G$381:$G$471)</f>
        <v>0</v>
      </c>
      <c r="N182" s="775">
        <f ca="1">SUMIF(CT_tram!$B$478:$G$560,$B182,CT_tram!$G$478:$G$560)</f>
        <v>0</v>
      </c>
      <c r="O182" s="775">
        <f ca="1">SUMIF(CT_tram!$B$567:$G$653,$B182,CT_tram!$G$567:$G$653)</f>
        <v>0</v>
      </c>
      <c r="P182" s="775">
        <f ca="1">SUMIF(CT_tram!$B$661:$G$738,$B182,CT_tram!$G$661:$G$738)</f>
        <v>0</v>
      </c>
      <c r="Q182" s="775">
        <f ca="1">SUMIF(CT_tram!$B$745:$G$899,$B182,CT_tram!$G$745:$G$899)</f>
        <v>0</v>
      </c>
      <c r="R182" s="775">
        <f ca="1">SUMIF(CT_tram!$B$907:$G$995,$B182,CT_tram!$G$907:$G$995)</f>
        <v>0</v>
      </c>
      <c r="S182" s="775"/>
      <c r="T182" s="775">
        <f ca="1">SUMIF(CT_tram!$B$1004:$G$1097,B182,CT_tram!$G$1004:$G$1097)</f>
        <v>0</v>
      </c>
      <c r="U182" s="775"/>
      <c r="V182" s="775">
        <f ca="1">SUMIF(CT_tram!$B$1226:$G$1352,kl!B182,CT_tram!$G$1226:$G$1352)</f>
        <v>0</v>
      </c>
      <c r="W182" s="780">
        <f ca="1">SUMIF(CT_tram!$B$1105:$G$1219,kl!B182,CT_tram!$G$1105:$G$1219)</f>
        <v>0</v>
      </c>
      <c r="X182" s="775">
        <f ca="1">SUMIF(CT_tram!$B$1359:$G$1504,kl!B182,CT_tram!$G$1359:$G$1504)</f>
        <v>0</v>
      </c>
      <c r="Y182" s="775">
        <f ca="1">SUMIF(CT_tram!$B$1511:$G$1625,kl!B182,CT_tram!$G$1511:$G$1625)</f>
        <v>0</v>
      </c>
      <c r="Z182" s="775">
        <f ca="1">SUMIF(CT_tram!$B$1632:$G$2211,kl!B182,CT_tram!$G$1632:$G$2211)</f>
        <v>0</v>
      </c>
      <c r="AA182" s="775">
        <f ca="1">SUMIF(CT_tram!$B$2243:$G$2384,kl!B182,CT_tram!$G$2243:$G$2384)</f>
        <v>0</v>
      </c>
      <c r="AB182" s="775">
        <f ca="1">SUMIF(CT_tram!$B$2391:$G$2563,kl!B182,CT_tram!$G$2391:$G$2563)</f>
        <v>0</v>
      </c>
      <c r="AC182" s="775">
        <f ca="1">SUMIF(chitiet!$B$13:$N$2352,kl!$B182,chitiet!$I$13:$I$2352)</f>
        <v>0</v>
      </c>
      <c r="AD182" s="775">
        <f ca="1">SUMIF(chitiet!$B$13:$N$2352,kl!$B182,chitiet!$J$13:$J$2352)</f>
        <v>0</v>
      </c>
      <c r="AE182" s="775">
        <f ca="1">SUMIF(chitiet!$B$13:$N$2352,kl!$B182,chitiet!$K$13:$K$2352)</f>
        <v>0</v>
      </c>
      <c r="AF182" s="775">
        <f ca="1">SUMIF(chitiet!$B$13:$N$2352,kl!$B182,chitiet!$L$13:$L$2352)</f>
        <v>0</v>
      </c>
      <c r="AG182" s="775">
        <f ca="1">SUMIF(chitiet!$B$13:$N$2352,kl!$B182,chitiet!$M$13)</f>
        <v>0</v>
      </c>
      <c r="AH182" s="775">
        <f ca="1">SUMIF(chitiet!$B$13:$N$2352,kl!$B182,chitiet!$N$13:$N$2352)</f>
        <v>0</v>
      </c>
      <c r="AI182" s="775">
        <f ca="1">SUMIF(chitiet!$B$13:$N$2352,kl!$B182,chitiet!$O$13:$O$2352)</f>
        <v>0</v>
      </c>
      <c r="AJ182" s="775">
        <f ca="1">SUMIF('Cap ngam'!$B$631:$G$723,kl!$B182,'Cap ngam'!$G$631:$G$723)</f>
        <v>0</v>
      </c>
      <c r="AK182" s="775">
        <f ca="1">SUMIF('Cap ngam'!$B$403:$G$628,kl!$B182,'Cap ngam'!G$403:G$628)</f>
        <v>0</v>
      </c>
      <c r="AL182" s="775">
        <f ca="1">SUMIF('Cap ngam'!B$16:G$400,kl!$B182,'Cap ngam'!G$16:G$400)</f>
        <v>0</v>
      </c>
      <c r="AM182" s="776">
        <v>7.6989999999999998</v>
      </c>
      <c r="AN182" s="775">
        <f t="shared" ca="1" si="87"/>
        <v>0</v>
      </c>
      <c r="AO182" s="775">
        <f t="shared" ca="1" si="88"/>
        <v>0</v>
      </c>
      <c r="AP182" s="775">
        <f t="shared" ca="1" si="89"/>
        <v>0</v>
      </c>
      <c r="AQ182" s="775">
        <f t="shared" ca="1" si="90"/>
        <v>0</v>
      </c>
      <c r="AR182" s="775">
        <f t="shared" ca="1" si="91"/>
        <v>0</v>
      </c>
      <c r="AS182" s="775">
        <f t="shared" ca="1" si="92"/>
        <v>0</v>
      </c>
      <c r="AT182" s="775">
        <f t="shared" ca="1" si="93"/>
        <v>0</v>
      </c>
      <c r="AU182" s="775">
        <f t="shared" ca="1" si="94"/>
        <v>0</v>
      </c>
      <c r="AV182" s="775">
        <f t="shared" ca="1" si="95"/>
        <v>0</v>
      </c>
      <c r="AW182" s="775">
        <f t="shared" ca="1" si="96"/>
        <v>0</v>
      </c>
      <c r="AX182" s="775">
        <f t="shared" si="97"/>
        <v>0</v>
      </c>
      <c r="AY182" s="775">
        <f t="shared" ca="1" si="98"/>
        <v>0</v>
      </c>
      <c r="AZ182" s="775">
        <f t="shared" si="99"/>
        <v>0</v>
      </c>
      <c r="BA182" s="775">
        <f t="shared" ca="1" si="80"/>
        <v>0</v>
      </c>
      <c r="BB182" s="775">
        <f t="shared" ca="1" si="81"/>
        <v>0</v>
      </c>
      <c r="BC182" s="775">
        <f t="shared" ca="1" si="82"/>
        <v>0</v>
      </c>
      <c r="BD182" s="775">
        <f t="shared" ca="1" si="83"/>
        <v>0</v>
      </c>
      <c r="BE182" s="775">
        <f t="shared" ca="1" si="84"/>
        <v>0</v>
      </c>
      <c r="BF182" s="775">
        <f t="shared" ca="1" si="85"/>
        <v>0</v>
      </c>
      <c r="BG182" s="775">
        <f t="shared" ca="1" si="86"/>
        <v>0</v>
      </c>
      <c r="BH182" s="775">
        <f t="shared" ca="1" si="100"/>
        <v>0</v>
      </c>
      <c r="BI182" s="775">
        <f t="shared" ca="1" si="101"/>
        <v>0</v>
      </c>
      <c r="BJ182" s="775">
        <f t="shared" ca="1" si="102"/>
        <v>0</v>
      </c>
      <c r="BK182" s="775">
        <f t="shared" ca="1" si="103"/>
        <v>0</v>
      </c>
      <c r="BL182" s="775">
        <f t="shared" ca="1" si="104"/>
        <v>0</v>
      </c>
      <c r="BM182" s="775">
        <f t="shared" ca="1" si="105"/>
        <v>0</v>
      </c>
      <c r="BN182" s="775">
        <f t="shared" ca="1" si="106"/>
        <v>0</v>
      </c>
      <c r="BO182" s="775">
        <f t="shared" ca="1" si="107"/>
        <v>0</v>
      </c>
      <c r="BP182" s="775">
        <f t="shared" ca="1" si="108"/>
        <v>0</v>
      </c>
      <c r="BQ182" s="775">
        <f t="shared" ca="1" si="118"/>
        <v>0</v>
      </c>
      <c r="BR182" s="775">
        <f t="shared" ca="1" si="109"/>
        <v>0</v>
      </c>
    </row>
    <row r="183" spans="1:70">
      <c r="A183" s="767" t="str">
        <f t="shared" ca="1" si="115"/>
        <v/>
      </c>
      <c r="B183" s="789" t="s">
        <v>182</v>
      </c>
      <c r="C183" s="188" t="str">
        <f ca="1">IF(F183=0,"",COUNTIF($F$78:$F183,"&gt;0"))</f>
        <v/>
      </c>
      <c r="D183" s="778" t="str">
        <f>VLOOKUP($B183,dongia1,DG!$C$5,)</f>
        <v>Cáp 24kV C/XLPE/DSTA/PVC3x120mm2</v>
      </c>
      <c r="E183" s="555" t="str">
        <f>VLOOKUP($B183,dongia1,DG!$D$5,)</f>
        <v>mét</v>
      </c>
      <c r="F183" s="779">
        <f t="shared" ca="1" si="116"/>
        <v>0</v>
      </c>
      <c r="G183" s="775">
        <f t="shared" ca="1" si="117"/>
        <v>0</v>
      </c>
      <c r="H183" s="775">
        <f ca="1">SUMIF(CT_tram!$B$33:$G$3559,kl!B183,CT_tram!$G$33:$G$3559)</f>
        <v>0</v>
      </c>
      <c r="I183" s="775">
        <f ca="1">SUMIF(CT_tram!$B$34:$G$115,$B183,CT_tram!$G$34:$G$115)</f>
        <v>0</v>
      </c>
      <c r="J183" s="775">
        <f ca="1">SUMIF(CT_tram!$B$122:$G$204,$B183,CT_tram!$G$122:$G$204)</f>
        <v>0</v>
      </c>
      <c r="K183" s="775">
        <f ca="1">SUMIF(CT_tram!$B$211:$G$293,$B183,CT_tram!$G$211:$G$293)</f>
        <v>0</v>
      </c>
      <c r="L183" s="775">
        <f ca="1">SUMIF(CT_tram!$B$300:$G$374,$B183,CT_tram!$G$300:$G$374)</f>
        <v>0</v>
      </c>
      <c r="M183" s="775">
        <f ca="1">SUMIF(CT_tram!$B$381:$G$471,$B183,CT_tram!$G$381:$G$471)</f>
        <v>0</v>
      </c>
      <c r="N183" s="775">
        <f ca="1">SUMIF(CT_tram!$B$478:$G$560,$B183,CT_tram!$G$478:$G$560)</f>
        <v>0</v>
      </c>
      <c r="O183" s="775">
        <f ca="1">SUMIF(CT_tram!$B$567:$G$653,$B183,CT_tram!$G$567:$G$653)</f>
        <v>0</v>
      </c>
      <c r="P183" s="775">
        <f ca="1">SUMIF(CT_tram!$B$661:$G$738,$B183,CT_tram!$G$661:$G$738)</f>
        <v>0</v>
      </c>
      <c r="Q183" s="775">
        <f ca="1">SUMIF(CT_tram!$B$745:$G$899,$B183,CT_tram!$G$745:$G$899)</f>
        <v>0</v>
      </c>
      <c r="R183" s="775">
        <f ca="1">SUMIF(CT_tram!$B$907:$G$995,$B183,CT_tram!$G$907:$G$995)</f>
        <v>0</v>
      </c>
      <c r="S183" s="775"/>
      <c r="T183" s="775">
        <f ca="1">SUMIF(CT_tram!$B$1004:$G$1097,B183,CT_tram!$G$1004:$G$1097)</f>
        <v>0</v>
      </c>
      <c r="U183" s="775"/>
      <c r="V183" s="775">
        <f ca="1">SUMIF(CT_tram!$B$1226:$G$1352,kl!B183,CT_tram!$G$1226:$G$1352)</f>
        <v>0</v>
      </c>
      <c r="W183" s="780">
        <f ca="1">SUMIF(CT_tram!$B$1105:$G$1219,kl!B183,CT_tram!$G$1105:$G$1219)</f>
        <v>0</v>
      </c>
      <c r="X183" s="775">
        <f ca="1">SUMIF(CT_tram!$B$1359:$G$1504,kl!B183,CT_tram!$G$1359:$G$1504)</f>
        <v>0</v>
      </c>
      <c r="Y183" s="775">
        <f ca="1">SUMIF(CT_tram!$B$1511:$G$1625,kl!B183,CT_tram!$G$1511:$G$1625)</f>
        <v>0</v>
      </c>
      <c r="Z183" s="775">
        <f ca="1">SUMIF(CT_tram!$B$1632:$G$2211,kl!B183,CT_tram!$G$1632:$G$2211)</f>
        <v>0</v>
      </c>
      <c r="AA183" s="775">
        <f ca="1">SUMIF(CT_tram!$B$2243:$G$2384,kl!B183,CT_tram!$G$2243:$G$2384)</f>
        <v>0</v>
      </c>
      <c r="AB183" s="775">
        <f ca="1">SUMIF(CT_tram!$B$2391:$G$2563,kl!B183,CT_tram!$G$2391:$G$2563)</f>
        <v>0</v>
      </c>
      <c r="AC183" s="775">
        <f ca="1">SUMIF(chitiet!$B$13:$N$2352,kl!$B183,chitiet!$I$13:$I$2352)</f>
        <v>0</v>
      </c>
      <c r="AD183" s="775">
        <f ca="1">SUMIF(chitiet!$B$13:$N$2352,kl!$B183,chitiet!$J$13:$J$2352)</f>
        <v>0</v>
      </c>
      <c r="AE183" s="775">
        <f ca="1">SUMIF(chitiet!$B$13:$N$2352,kl!$B183,chitiet!$K$13:$K$2352)</f>
        <v>0</v>
      </c>
      <c r="AF183" s="775">
        <f ca="1">SUMIF(chitiet!$B$13:$N$2352,kl!$B183,chitiet!$L$13:$L$2352)</f>
        <v>0</v>
      </c>
      <c r="AG183" s="775">
        <f ca="1">SUMIF(chitiet!$B$13:$N$2352,kl!$B183,chitiet!$M$13)</f>
        <v>0</v>
      </c>
      <c r="AH183" s="775">
        <f ca="1">SUMIF(chitiet!$B$13:$N$2352,kl!$B183,chitiet!$N$13:$N$2352)</f>
        <v>0</v>
      </c>
      <c r="AI183" s="775">
        <f ca="1">SUMIF(chitiet!$B$13:$N$2352,kl!$B183,chitiet!$O$13:$O$2352)</f>
        <v>0</v>
      </c>
      <c r="AJ183" s="775">
        <f ca="1">SUMIF('Cap ngam'!$B$631:$G$723,kl!$B183,'Cap ngam'!$G$631:$G$723)</f>
        <v>0</v>
      </c>
      <c r="AK183" s="775">
        <f ca="1">SUMIF('Cap ngam'!$B$403:$G$628,kl!$B183,'Cap ngam'!G$403:G$628)</f>
        <v>0</v>
      </c>
      <c r="AL183" s="775">
        <f ca="1">SUMIF('Cap ngam'!B$16:G$400,kl!$B183,'Cap ngam'!G$16:G$400)</f>
        <v>0</v>
      </c>
      <c r="AM183" s="776">
        <v>8.7149999999999999</v>
      </c>
      <c r="AN183" s="775">
        <f t="shared" ca="1" si="87"/>
        <v>0</v>
      </c>
      <c r="AO183" s="775">
        <f t="shared" ca="1" si="88"/>
        <v>0</v>
      </c>
      <c r="AP183" s="775">
        <f t="shared" ca="1" si="89"/>
        <v>0</v>
      </c>
      <c r="AQ183" s="775">
        <f t="shared" ca="1" si="90"/>
        <v>0</v>
      </c>
      <c r="AR183" s="775">
        <f t="shared" ca="1" si="91"/>
        <v>0</v>
      </c>
      <c r="AS183" s="775">
        <f t="shared" ca="1" si="92"/>
        <v>0</v>
      </c>
      <c r="AT183" s="775">
        <f t="shared" ca="1" si="93"/>
        <v>0</v>
      </c>
      <c r="AU183" s="775">
        <f t="shared" ca="1" si="94"/>
        <v>0</v>
      </c>
      <c r="AV183" s="775">
        <f t="shared" ca="1" si="95"/>
        <v>0</v>
      </c>
      <c r="AW183" s="775">
        <f t="shared" ca="1" si="96"/>
        <v>0</v>
      </c>
      <c r="AX183" s="775">
        <f t="shared" si="97"/>
        <v>0</v>
      </c>
      <c r="AY183" s="775">
        <f t="shared" ca="1" si="98"/>
        <v>0</v>
      </c>
      <c r="AZ183" s="775">
        <f t="shared" si="99"/>
        <v>0</v>
      </c>
      <c r="BA183" s="775">
        <f t="shared" ca="1" si="80"/>
        <v>0</v>
      </c>
      <c r="BB183" s="775">
        <f t="shared" ca="1" si="81"/>
        <v>0</v>
      </c>
      <c r="BC183" s="775">
        <f t="shared" ca="1" si="82"/>
        <v>0</v>
      </c>
      <c r="BD183" s="775">
        <f t="shared" ca="1" si="83"/>
        <v>0</v>
      </c>
      <c r="BE183" s="775">
        <f t="shared" ca="1" si="84"/>
        <v>0</v>
      </c>
      <c r="BF183" s="775">
        <f t="shared" ca="1" si="85"/>
        <v>0</v>
      </c>
      <c r="BG183" s="775">
        <f t="shared" ca="1" si="86"/>
        <v>0</v>
      </c>
      <c r="BH183" s="775">
        <f t="shared" ca="1" si="100"/>
        <v>0</v>
      </c>
      <c r="BI183" s="775">
        <f t="shared" ca="1" si="101"/>
        <v>0</v>
      </c>
      <c r="BJ183" s="775">
        <f t="shared" ca="1" si="102"/>
        <v>0</v>
      </c>
      <c r="BK183" s="775">
        <f t="shared" ca="1" si="103"/>
        <v>0</v>
      </c>
      <c r="BL183" s="775">
        <f t="shared" ca="1" si="104"/>
        <v>0</v>
      </c>
      <c r="BM183" s="775">
        <f t="shared" ca="1" si="105"/>
        <v>0</v>
      </c>
      <c r="BN183" s="775">
        <f t="shared" ca="1" si="106"/>
        <v>0</v>
      </c>
      <c r="BO183" s="775">
        <f t="shared" ca="1" si="107"/>
        <v>0</v>
      </c>
      <c r="BP183" s="775">
        <f t="shared" ca="1" si="108"/>
        <v>0</v>
      </c>
      <c r="BQ183" s="775">
        <f t="shared" ca="1" si="118"/>
        <v>0</v>
      </c>
      <c r="BR183" s="775">
        <f t="shared" ca="1" si="109"/>
        <v>0</v>
      </c>
    </row>
    <row r="184" spans="1:70">
      <c r="A184" s="767" t="str">
        <f t="shared" ca="1" si="115"/>
        <v/>
      </c>
      <c r="B184" s="789" t="s">
        <v>180</v>
      </c>
      <c r="C184" s="188" t="str">
        <f ca="1">IF(F184=0,"",COUNTIF($F$78:$F184,"&gt;0"))</f>
        <v/>
      </c>
      <c r="D184" s="778" t="str">
        <f>VLOOKUP($B184,dongia1,DG!$C$5,)</f>
        <v>Cáp 24kV C/XLPE/DSTA/PVC3x150mm2</v>
      </c>
      <c r="E184" s="555" t="str">
        <f>VLOOKUP($B184,dongia1,DG!$D$5,)</f>
        <v>mét</v>
      </c>
      <c r="F184" s="779">
        <f t="shared" ca="1" si="116"/>
        <v>0</v>
      </c>
      <c r="G184" s="775">
        <f t="shared" ca="1" si="117"/>
        <v>0</v>
      </c>
      <c r="H184" s="775">
        <f ca="1">SUMIF(CT_tram!$B$33:$G$3559,kl!B184,CT_tram!$G$33:$G$3559)</f>
        <v>0</v>
      </c>
      <c r="I184" s="775">
        <f ca="1">SUMIF(CT_tram!$B$34:$G$115,$B184,CT_tram!$G$34:$G$115)</f>
        <v>0</v>
      </c>
      <c r="J184" s="775">
        <f ca="1">SUMIF(CT_tram!$B$122:$G$204,$B184,CT_tram!$G$122:$G$204)</f>
        <v>0</v>
      </c>
      <c r="K184" s="775">
        <f ca="1">SUMIF(CT_tram!$B$211:$G$293,$B184,CT_tram!$G$211:$G$293)</f>
        <v>0</v>
      </c>
      <c r="L184" s="775">
        <f ca="1">SUMIF(CT_tram!$B$300:$G$374,$B184,CT_tram!$G$300:$G$374)</f>
        <v>0</v>
      </c>
      <c r="M184" s="775">
        <f ca="1">SUMIF(CT_tram!$B$381:$G$471,$B184,CT_tram!$G$381:$G$471)</f>
        <v>0</v>
      </c>
      <c r="N184" s="775">
        <f ca="1">SUMIF(CT_tram!$B$478:$G$560,$B184,CT_tram!$G$478:$G$560)</f>
        <v>0</v>
      </c>
      <c r="O184" s="775">
        <f ca="1">SUMIF(CT_tram!$B$567:$G$653,$B184,CT_tram!$G$567:$G$653)</f>
        <v>0</v>
      </c>
      <c r="P184" s="775">
        <f ca="1">SUMIF(CT_tram!$B$661:$G$738,$B184,CT_tram!$G$661:$G$738)</f>
        <v>0</v>
      </c>
      <c r="Q184" s="775">
        <f ca="1">SUMIF(CT_tram!$B$745:$G$899,$B184,CT_tram!$G$745:$G$899)</f>
        <v>0</v>
      </c>
      <c r="R184" s="775">
        <f ca="1">SUMIF(CT_tram!$B$907:$G$995,$B184,CT_tram!$G$907:$G$995)</f>
        <v>0</v>
      </c>
      <c r="S184" s="775"/>
      <c r="T184" s="775">
        <f ca="1">SUMIF(CT_tram!$B$1004:$G$1097,B184,CT_tram!$G$1004:$G$1097)</f>
        <v>0</v>
      </c>
      <c r="U184" s="775"/>
      <c r="V184" s="775">
        <f ca="1">SUMIF(CT_tram!$B$1226:$G$1352,kl!B184,CT_tram!$G$1226:$G$1352)</f>
        <v>0</v>
      </c>
      <c r="W184" s="780">
        <f ca="1">SUMIF(CT_tram!$B$1105:$G$1219,kl!B184,CT_tram!$G$1105:$G$1219)</f>
        <v>0</v>
      </c>
      <c r="X184" s="775">
        <f ca="1">SUMIF(CT_tram!$B$1359:$G$1504,kl!B184,CT_tram!$G$1359:$G$1504)</f>
        <v>0</v>
      </c>
      <c r="Y184" s="775">
        <f ca="1">SUMIF(CT_tram!$B$1511:$G$1625,kl!B184,CT_tram!$G$1511:$G$1625)</f>
        <v>0</v>
      </c>
      <c r="Z184" s="775">
        <f ca="1">SUMIF(CT_tram!$B$1632:$G$2211,kl!B184,CT_tram!$G$1632:$G$2211)</f>
        <v>0</v>
      </c>
      <c r="AA184" s="775">
        <f ca="1">SUMIF(CT_tram!$B$2243:$G$2384,kl!B184,CT_tram!$G$2243:$G$2384)</f>
        <v>0</v>
      </c>
      <c r="AB184" s="775">
        <f ca="1">SUMIF(CT_tram!$B$2391:$G$2563,kl!B184,CT_tram!$G$2391:$G$2563)</f>
        <v>0</v>
      </c>
      <c r="AC184" s="775">
        <f ca="1">SUMIF(chitiet!$B$13:$N$2352,kl!$B184,chitiet!$I$13:$I$2352)</f>
        <v>0</v>
      </c>
      <c r="AD184" s="775">
        <f ca="1">SUMIF(chitiet!$B$13:$N$2352,kl!$B184,chitiet!$J$13:$J$2352)</f>
        <v>0</v>
      </c>
      <c r="AE184" s="775">
        <f ca="1">SUMIF(chitiet!$B$13:$N$2352,kl!$B184,chitiet!$K$13:$K$2352)</f>
        <v>0</v>
      </c>
      <c r="AF184" s="775">
        <f ca="1">SUMIF(chitiet!$B$13:$N$2352,kl!$B184,chitiet!$L$13:$L$2352)</f>
        <v>0</v>
      </c>
      <c r="AG184" s="775">
        <f ca="1">SUMIF(chitiet!$B$13:$N$2352,kl!$B184,chitiet!$M$13)</f>
        <v>0</v>
      </c>
      <c r="AH184" s="775">
        <f ca="1">SUMIF(chitiet!$B$13:$N$2352,kl!$B184,chitiet!$N$13:$N$2352)</f>
        <v>0</v>
      </c>
      <c r="AI184" s="775">
        <f ca="1">SUMIF(chitiet!$B$13:$N$2352,kl!$B184,chitiet!$O$13:$O$2352)</f>
        <v>0</v>
      </c>
      <c r="AJ184" s="775">
        <f ca="1">SUMIF('Cap ngam'!$B$631:$G$723,kl!$B184,'Cap ngam'!$G$631:$G$723)</f>
        <v>0</v>
      </c>
      <c r="AK184" s="775">
        <f ca="1">SUMIF('Cap ngam'!$B$403:$G$628,kl!$B184,'Cap ngam'!G$403:G$628)</f>
        <v>0</v>
      </c>
      <c r="AL184" s="775">
        <f ca="1">SUMIF('Cap ngam'!B$16:G$400,kl!$B184,'Cap ngam'!G$16:G$400)</f>
        <v>0</v>
      </c>
      <c r="AM184" s="776">
        <v>9.9260000000000002</v>
      </c>
      <c r="AN184" s="775">
        <f t="shared" ca="1" si="87"/>
        <v>0</v>
      </c>
      <c r="AO184" s="775">
        <f t="shared" ca="1" si="88"/>
        <v>0</v>
      </c>
      <c r="AP184" s="775">
        <f t="shared" ca="1" si="89"/>
        <v>0</v>
      </c>
      <c r="AQ184" s="775">
        <f t="shared" ca="1" si="90"/>
        <v>0</v>
      </c>
      <c r="AR184" s="775">
        <f t="shared" ca="1" si="91"/>
        <v>0</v>
      </c>
      <c r="AS184" s="775">
        <f t="shared" ca="1" si="92"/>
        <v>0</v>
      </c>
      <c r="AT184" s="775">
        <f t="shared" ca="1" si="93"/>
        <v>0</v>
      </c>
      <c r="AU184" s="775">
        <f t="shared" ca="1" si="94"/>
        <v>0</v>
      </c>
      <c r="AV184" s="775">
        <f t="shared" ca="1" si="95"/>
        <v>0</v>
      </c>
      <c r="AW184" s="775">
        <f t="shared" ca="1" si="96"/>
        <v>0</v>
      </c>
      <c r="AX184" s="775">
        <f t="shared" si="97"/>
        <v>0</v>
      </c>
      <c r="AY184" s="775">
        <f t="shared" ca="1" si="98"/>
        <v>0</v>
      </c>
      <c r="AZ184" s="775">
        <f t="shared" si="99"/>
        <v>0</v>
      </c>
      <c r="BA184" s="775">
        <f t="shared" ca="1" si="80"/>
        <v>0</v>
      </c>
      <c r="BB184" s="775">
        <f t="shared" ca="1" si="81"/>
        <v>0</v>
      </c>
      <c r="BC184" s="775">
        <f t="shared" ca="1" si="82"/>
        <v>0</v>
      </c>
      <c r="BD184" s="775">
        <f t="shared" ca="1" si="83"/>
        <v>0</v>
      </c>
      <c r="BE184" s="775">
        <f t="shared" ca="1" si="84"/>
        <v>0</v>
      </c>
      <c r="BF184" s="775">
        <f t="shared" ca="1" si="85"/>
        <v>0</v>
      </c>
      <c r="BG184" s="775">
        <f t="shared" ca="1" si="86"/>
        <v>0</v>
      </c>
      <c r="BH184" s="775">
        <f t="shared" ca="1" si="100"/>
        <v>0</v>
      </c>
      <c r="BI184" s="775">
        <f t="shared" ca="1" si="101"/>
        <v>0</v>
      </c>
      <c r="BJ184" s="775">
        <f t="shared" ca="1" si="102"/>
        <v>0</v>
      </c>
      <c r="BK184" s="775">
        <f t="shared" ca="1" si="103"/>
        <v>0</v>
      </c>
      <c r="BL184" s="775">
        <f t="shared" ca="1" si="104"/>
        <v>0</v>
      </c>
      <c r="BM184" s="775">
        <f t="shared" ca="1" si="105"/>
        <v>0</v>
      </c>
      <c r="BN184" s="775">
        <f t="shared" ca="1" si="106"/>
        <v>0</v>
      </c>
      <c r="BO184" s="775">
        <f t="shared" ca="1" si="107"/>
        <v>0</v>
      </c>
      <c r="BP184" s="775">
        <f t="shared" ca="1" si="108"/>
        <v>0</v>
      </c>
      <c r="BQ184" s="775">
        <f t="shared" ca="1" si="118"/>
        <v>0</v>
      </c>
      <c r="BR184" s="775">
        <f t="shared" ca="1" si="109"/>
        <v>0</v>
      </c>
    </row>
    <row r="185" spans="1:70">
      <c r="A185" s="767" t="str">
        <f ca="1">IF(F185&lt;&gt;0,"X","")</f>
        <v/>
      </c>
      <c r="B185" s="789" t="s">
        <v>179</v>
      </c>
      <c r="C185" s="188" t="str">
        <f ca="1">IF(F185=0,"",COUNTIF($F$78:$F185,"&gt;0"))</f>
        <v/>
      </c>
      <c r="D185" s="778" t="str">
        <f>VLOOKUP($B185,dongia1,DG!$C$5,)</f>
        <v>Cáp 24kV C/XLPE/DSTA/PVC3x185mm2</v>
      </c>
      <c r="E185" s="555" t="str">
        <f>VLOOKUP($B185,dongia1,DG!$D$5,)</f>
        <v>mét</v>
      </c>
      <c r="F185" s="779">
        <f ca="1">G185+H185</f>
        <v>0</v>
      </c>
      <c r="G185" s="775">
        <f ca="1">SUM(AC185:AL185)</f>
        <v>0</v>
      </c>
      <c r="H185" s="775">
        <f ca="1">SUMIF(CT_tram!$B$33:$G$3559,kl!B185,CT_tram!$G$33:$G$3559)</f>
        <v>0</v>
      </c>
      <c r="I185" s="775">
        <f ca="1">SUMIF(CT_tram!$B$34:$G$115,$B185,CT_tram!$G$34:$G$115)</f>
        <v>0</v>
      </c>
      <c r="J185" s="775">
        <f ca="1">SUMIF(CT_tram!$B$122:$G$204,$B185,CT_tram!$G$122:$G$204)</f>
        <v>0</v>
      </c>
      <c r="K185" s="775">
        <f ca="1">SUMIF(CT_tram!$B$211:$G$293,$B185,CT_tram!$G$211:$G$293)</f>
        <v>0</v>
      </c>
      <c r="L185" s="775">
        <f ca="1">SUMIF(CT_tram!$B$300:$G$374,$B185,CT_tram!$G$300:$G$374)</f>
        <v>0</v>
      </c>
      <c r="M185" s="775">
        <f ca="1">SUMIF(CT_tram!$B$381:$G$471,$B185,CT_tram!$G$381:$G$471)</f>
        <v>0</v>
      </c>
      <c r="N185" s="775">
        <f ca="1">SUMIF(CT_tram!$B$478:$G$560,$B185,CT_tram!$G$478:$G$560)</f>
        <v>0</v>
      </c>
      <c r="O185" s="775">
        <f ca="1">SUMIF(CT_tram!$B$567:$G$653,$B185,CT_tram!$G$567:$G$653)</f>
        <v>0</v>
      </c>
      <c r="P185" s="775">
        <f ca="1">SUMIF(CT_tram!$B$661:$G$738,$B185,CT_tram!$G$661:$G$738)</f>
        <v>0</v>
      </c>
      <c r="Q185" s="775">
        <f ca="1">SUMIF(CT_tram!$B$745:$G$899,$B185,CT_tram!$G$745:$G$899)</f>
        <v>0</v>
      </c>
      <c r="R185" s="775">
        <f ca="1">SUMIF(CT_tram!$B$907:$G$995,$B185,CT_tram!$G$907:$G$995)</f>
        <v>0</v>
      </c>
      <c r="S185" s="775"/>
      <c r="T185" s="775">
        <f ca="1">SUMIF(CT_tram!$B$1004:$G$1097,B185,CT_tram!$G$1004:$G$1097)</f>
        <v>0</v>
      </c>
      <c r="U185" s="775"/>
      <c r="V185" s="775">
        <f ca="1">SUMIF(CT_tram!$B$1226:$G$1352,kl!B185,CT_tram!$G$1226:$G$1352)</f>
        <v>0</v>
      </c>
      <c r="W185" s="780">
        <f ca="1">SUMIF(CT_tram!$B$1105:$G$1219,kl!B185,CT_tram!$G$1105:$G$1219)</f>
        <v>0</v>
      </c>
      <c r="X185" s="775">
        <f ca="1">SUMIF(CT_tram!$B$1359:$G$1504,kl!B185,CT_tram!$G$1359:$G$1504)</f>
        <v>0</v>
      </c>
      <c r="Y185" s="775">
        <f ca="1">SUMIF(CT_tram!$B$1511:$G$1625,kl!B185,CT_tram!$G$1511:$G$1625)</f>
        <v>0</v>
      </c>
      <c r="Z185" s="775">
        <f ca="1">SUMIF(CT_tram!$B$1632:$G$2211,kl!B185,CT_tram!$G$1632:$G$2211)</f>
        <v>0</v>
      </c>
      <c r="AA185" s="775">
        <f ca="1">SUMIF(CT_tram!$B$2243:$G$2384,kl!B185,CT_tram!$G$2243:$G$2384)</f>
        <v>0</v>
      </c>
      <c r="AB185" s="775">
        <f ca="1">SUMIF(CT_tram!$B$2391:$G$2563,kl!B185,CT_tram!$G$2391:$G$2563)</f>
        <v>0</v>
      </c>
      <c r="AC185" s="775">
        <f ca="1">SUMIF(chitiet!$B$13:$N$2352,kl!$B185,chitiet!$I$13:$I$2352)</f>
        <v>0</v>
      </c>
      <c r="AD185" s="775">
        <f ca="1">SUMIF(chitiet!$B$13:$N$2352,kl!$B185,chitiet!$J$13:$J$2352)</f>
        <v>0</v>
      </c>
      <c r="AE185" s="775">
        <f ca="1">SUMIF(chitiet!$B$13:$N$2352,kl!$B185,chitiet!$K$13:$K$2352)</f>
        <v>0</v>
      </c>
      <c r="AF185" s="775">
        <f ca="1">SUMIF(chitiet!$B$13:$N$2352,kl!$B185,chitiet!$L$13:$L$2352)</f>
        <v>0</v>
      </c>
      <c r="AG185" s="775">
        <f ca="1">SUMIF(chitiet!$B$13:$N$2352,kl!$B185,chitiet!$M$13)</f>
        <v>0</v>
      </c>
      <c r="AH185" s="775">
        <f ca="1">SUMIF(chitiet!$B$13:$N$2352,kl!$B185,chitiet!$N$13:$N$2352)</f>
        <v>0</v>
      </c>
      <c r="AI185" s="775">
        <f ca="1">SUMIF(chitiet!$B$13:$N$2352,kl!$B185,chitiet!$O$13:$O$2352)</f>
        <v>0</v>
      </c>
      <c r="AJ185" s="775">
        <f ca="1">SUMIF('Cap ngam'!$B$631:$G$723,kl!$B185,'Cap ngam'!$G$631:$G$723)</f>
        <v>0</v>
      </c>
      <c r="AK185" s="775">
        <f ca="1">SUMIF('Cap ngam'!$B$403:$G$628,kl!$B185,'Cap ngam'!G$403:G$628)</f>
        <v>0</v>
      </c>
      <c r="AL185" s="775">
        <f ca="1">SUMIF('Cap ngam'!B$16:G$400,kl!$B185,'Cap ngam'!G$16:G$400)</f>
        <v>0</v>
      </c>
      <c r="AM185" s="776">
        <v>11.393000000000001</v>
      </c>
      <c r="AN185" s="775">
        <f t="shared" ca="1" si="87"/>
        <v>0</v>
      </c>
      <c r="AO185" s="775">
        <f t="shared" ca="1" si="88"/>
        <v>0</v>
      </c>
      <c r="AP185" s="775">
        <f t="shared" ca="1" si="89"/>
        <v>0</v>
      </c>
      <c r="AQ185" s="775">
        <f t="shared" ca="1" si="90"/>
        <v>0</v>
      </c>
      <c r="AR185" s="775">
        <f t="shared" ca="1" si="91"/>
        <v>0</v>
      </c>
      <c r="AS185" s="775">
        <f t="shared" ca="1" si="92"/>
        <v>0</v>
      </c>
      <c r="AT185" s="775">
        <f t="shared" ca="1" si="93"/>
        <v>0</v>
      </c>
      <c r="AU185" s="775">
        <f t="shared" ca="1" si="94"/>
        <v>0</v>
      </c>
      <c r="AV185" s="775">
        <f t="shared" ca="1" si="95"/>
        <v>0</v>
      </c>
      <c r="AW185" s="775">
        <f t="shared" ca="1" si="96"/>
        <v>0</v>
      </c>
      <c r="AX185" s="775">
        <f t="shared" si="97"/>
        <v>0</v>
      </c>
      <c r="AY185" s="775">
        <f t="shared" ca="1" si="98"/>
        <v>0</v>
      </c>
      <c r="AZ185" s="775">
        <f t="shared" si="99"/>
        <v>0</v>
      </c>
      <c r="BA185" s="775">
        <f t="shared" ca="1" si="80"/>
        <v>0</v>
      </c>
      <c r="BB185" s="775">
        <f t="shared" ca="1" si="81"/>
        <v>0</v>
      </c>
      <c r="BC185" s="775">
        <f t="shared" ca="1" si="82"/>
        <v>0</v>
      </c>
      <c r="BD185" s="775">
        <f t="shared" ca="1" si="83"/>
        <v>0</v>
      </c>
      <c r="BE185" s="775">
        <f t="shared" ca="1" si="84"/>
        <v>0</v>
      </c>
      <c r="BF185" s="775">
        <f t="shared" ca="1" si="85"/>
        <v>0</v>
      </c>
      <c r="BG185" s="775">
        <f t="shared" ca="1" si="86"/>
        <v>0</v>
      </c>
      <c r="BH185" s="775">
        <f t="shared" ca="1" si="100"/>
        <v>0</v>
      </c>
      <c r="BI185" s="775">
        <f t="shared" ca="1" si="101"/>
        <v>0</v>
      </c>
      <c r="BJ185" s="775">
        <f t="shared" ca="1" si="102"/>
        <v>0</v>
      </c>
      <c r="BK185" s="775">
        <f t="shared" ca="1" si="103"/>
        <v>0</v>
      </c>
      <c r="BL185" s="775">
        <f t="shared" ca="1" si="104"/>
        <v>0</v>
      </c>
      <c r="BM185" s="775">
        <f t="shared" ca="1" si="105"/>
        <v>0</v>
      </c>
      <c r="BN185" s="775">
        <f t="shared" ca="1" si="106"/>
        <v>0</v>
      </c>
      <c r="BO185" s="775">
        <f t="shared" ca="1" si="107"/>
        <v>0</v>
      </c>
      <c r="BP185" s="775">
        <f t="shared" ca="1" si="108"/>
        <v>0</v>
      </c>
      <c r="BQ185" s="775">
        <f t="shared" ca="1" si="118"/>
        <v>0</v>
      </c>
      <c r="BR185" s="775">
        <f t="shared" ca="1" si="109"/>
        <v>0</v>
      </c>
    </row>
    <row r="186" spans="1:70">
      <c r="A186" s="767" t="str">
        <f ca="1">IF(F186&lt;&gt;0,"X","")</f>
        <v/>
      </c>
      <c r="B186" s="789" t="s">
        <v>181</v>
      </c>
      <c r="C186" s="188" t="str">
        <f ca="1">IF(F186=0,"",COUNTIF($F$78:$F186,"&gt;0"))</f>
        <v/>
      </c>
      <c r="D186" s="778" t="str">
        <f>VLOOKUP($B186,dongia1,DG!$C$5,)</f>
        <v>Cáp 24kV C/XLPE/DSTA/PVC3x240mm2</v>
      </c>
      <c r="E186" s="555" t="str">
        <f>VLOOKUP($B186,dongia1,DG!$D$5,)</f>
        <v>mét</v>
      </c>
      <c r="F186" s="779">
        <f ca="1">G186+H186</f>
        <v>0</v>
      </c>
      <c r="G186" s="775">
        <f ca="1">SUM(AC186:AL186)</f>
        <v>0</v>
      </c>
      <c r="H186" s="775">
        <f ca="1">SUMIF(CT_tram!$B$33:$G$3559,kl!B186,CT_tram!$G$33:$G$3559)</f>
        <v>0</v>
      </c>
      <c r="I186" s="775">
        <f ca="1">SUMIF(CT_tram!$B$34:$G$115,$B186,CT_tram!$G$34:$G$115)</f>
        <v>0</v>
      </c>
      <c r="J186" s="775">
        <f ca="1">SUMIF(CT_tram!$B$122:$G$204,$B186,CT_tram!$G$122:$G$204)</f>
        <v>0</v>
      </c>
      <c r="K186" s="775">
        <f ca="1">SUMIF(CT_tram!$B$211:$G$293,$B186,CT_tram!$G$211:$G$293)</f>
        <v>0</v>
      </c>
      <c r="L186" s="775">
        <f ca="1">SUMIF(CT_tram!$B$300:$G$374,$B186,CT_tram!$G$300:$G$374)</f>
        <v>0</v>
      </c>
      <c r="M186" s="775">
        <f ca="1">SUMIF(CT_tram!$B$381:$G$471,$B186,CT_tram!$G$381:$G$471)</f>
        <v>0</v>
      </c>
      <c r="N186" s="775">
        <f ca="1">SUMIF(CT_tram!$B$478:$G$560,$B186,CT_tram!$G$478:$G$560)</f>
        <v>0</v>
      </c>
      <c r="O186" s="775">
        <f ca="1">SUMIF(CT_tram!$B$567:$G$653,$B186,CT_tram!$G$567:$G$653)</f>
        <v>0</v>
      </c>
      <c r="P186" s="775">
        <f ca="1">SUMIF(CT_tram!$B$661:$G$738,$B186,CT_tram!$G$661:$G$738)</f>
        <v>0</v>
      </c>
      <c r="Q186" s="775">
        <f ca="1">SUMIF(CT_tram!$B$745:$G$899,$B186,CT_tram!$G$745:$G$899)</f>
        <v>0</v>
      </c>
      <c r="R186" s="775">
        <f ca="1">SUMIF(CT_tram!$B$907:$G$995,$B186,CT_tram!$G$907:$G$995)</f>
        <v>0</v>
      </c>
      <c r="S186" s="775"/>
      <c r="T186" s="775">
        <f ca="1">SUMIF(CT_tram!$B$1004:$G$1097,B186,CT_tram!$G$1004:$G$1097)</f>
        <v>0</v>
      </c>
      <c r="U186" s="775"/>
      <c r="V186" s="775">
        <f ca="1">SUMIF(CT_tram!$B$1226:$G$1352,kl!B186,CT_tram!$G$1226:$G$1352)</f>
        <v>0</v>
      </c>
      <c r="W186" s="780">
        <f ca="1">SUMIF(CT_tram!$B$1105:$G$1219,kl!B186,CT_tram!$G$1105:$G$1219)</f>
        <v>0</v>
      </c>
      <c r="X186" s="775">
        <f ca="1">SUMIF(CT_tram!$B$1359:$G$1504,kl!B186,CT_tram!$G$1359:$G$1504)</f>
        <v>0</v>
      </c>
      <c r="Y186" s="775">
        <f ca="1">SUMIF(CT_tram!$B$1511:$G$1625,kl!B186,CT_tram!$G$1511:$G$1625)</f>
        <v>0</v>
      </c>
      <c r="Z186" s="775">
        <f ca="1">SUMIF(CT_tram!$B$1632:$G$2211,kl!B186,CT_tram!$G$1632:$G$2211)</f>
        <v>0</v>
      </c>
      <c r="AA186" s="775">
        <f ca="1">SUMIF(CT_tram!$B$2243:$G$2384,kl!B186,CT_tram!$G$2243:$G$2384)</f>
        <v>0</v>
      </c>
      <c r="AB186" s="775">
        <f ca="1">SUMIF(CT_tram!$B$2391:$G$2563,kl!B186,CT_tram!$G$2391:$G$2563)</f>
        <v>0</v>
      </c>
      <c r="AC186" s="775">
        <f ca="1">SUMIF(chitiet!$B$13:$N$2352,kl!$B186,chitiet!$I$13:$I$2352)</f>
        <v>0</v>
      </c>
      <c r="AD186" s="775">
        <f ca="1">SUMIF(chitiet!$B$13:$N$2352,kl!$B186,chitiet!$J$13:$J$2352)</f>
        <v>0</v>
      </c>
      <c r="AE186" s="775">
        <f ca="1">SUMIF(chitiet!$B$13:$N$2352,kl!$B186,chitiet!$K$13:$K$2352)</f>
        <v>0</v>
      </c>
      <c r="AF186" s="775">
        <f ca="1">SUMIF(chitiet!$B$13:$N$2352,kl!$B186,chitiet!$L$13:$L$2352)</f>
        <v>0</v>
      </c>
      <c r="AG186" s="775">
        <f ca="1">SUMIF(chitiet!$B$13:$N$2352,kl!$B186,chitiet!$M$13)</f>
        <v>0</v>
      </c>
      <c r="AH186" s="775">
        <f ca="1">SUMIF(chitiet!$B$13:$N$2352,kl!$B186,chitiet!$N$13:$N$2352)</f>
        <v>0</v>
      </c>
      <c r="AI186" s="775">
        <f ca="1">SUMIF(chitiet!$B$13:$N$2352,kl!$B186,chitiet!$O$13:$O$2352)</f>
        <v>0</v>
      </c>
      <c r="AJ186" s="775">
        <f ca="1">SUMIF('Cap ngam'!$B$631:$G$723,kl!$B186,'Cap ngam'!$G$631:$G$723)</f>
        <v>0</v>
      </c>
      <c r="AK186" s="775">
        <f ca="1">SUMIF('Cap ngam'!$B$403:$G$628,kl!$B186,'Cap ngam'!G$403:G$628)</f>
        <v>0</v>
      </c>
      <c r="AL186" s="775">
        <f ca="1">SUMIF('Cap ngam'!B$16:G$400,kl!$B186,'Cap ngam'!G$16:G$400)</f>
        <v>0</v>
      </c>
      <c r="AM186" s="776">
        <v>14.56</v>
      </c>
      <c r="AN186" s="775">
        <f t="shared" ca="1" si="87"/>
        <v>0</v>
      </c>
      <c r="AO186" s="775">
        <f t="shared" ca="1" si="88"/>
        <v>0</v>
      </c>
      <c r="AP186" s="775">
        <f t="shared" ca="1" si="89"/>
        <v>0</v>
      </c>
      <c r="AQ186" s="775">
        <f t="shared" ca="1" si="90"/>
        <v>0</v>
      </c>
      <c r="AR186" s="775">
        <f t="shared" ca="1" si="91"/>
        <v>0</v>
      </c>
      <c r="AS186" s="775">
        <f t="shared" ca="1" si="92"/>
        <v>0</v>
      </c>
      <c r="AT186" s="775">
        <f t="shared" ca="1" si="93"/>
        <v>0</v>
      </c>
      <c r="AU186" s="775">
        <f t="shared" ca="1" si="94"/>
        <v>0</v>
      </c>
      <c r="AV186" s="775">
        <f t="shared" ca="1" si="95"/>
        <v>0</v>
      </c>
      <c r="AW186" s="775">
        <f t="shared" ca="1" si="96"/>
        <v>0</v>
      </c>
      <c r="AX186" s="775">
        <f t="shared" si="97"/>
        <v>0</v>
      </c>
      <c r="AY186" s="775">
        <f t="shared" ca="1" si="98"/>
        <v>0</v>
      </c>
      <c r="AZ186" s="775">
        <f t="shared" si="99"/>
        <v>0</v>
      </c>
      <c r="BA186" s="775">
        <f t="shared" ca="1" si="80"/>
        <v>0</v>
      </c>
      <c r="BB186" s="775">
        <f t="shared" ca="1" si="81"/>
        <v>0</v>
      </c>
      <c r="BC186" s="775">
        <f t="shared" ca="1" si="82"/>
        <v>0</v>
      </c>
      <c r="BD186" s="775">
        <f t="shared" ca="1" si="83"/>
        <v>0</v>
      </c>
      <c r="BE186" s="775">
        <f t="shared" ca="1" si="84"/>
        <v>0</v>
      </c>
      <c r="BF186" s="775">
        <f t="shared" ca="1" si="85"/>
        <v>0</v>
      </c>
      <c r="BG186" s="775">
        <f t="shared" ca="1" si="86"/>
        <v>0</v>
      </c>
      <c r="BH186" s="775">
        <f t="shared" ca="1" si="100"/>
        <v>0</v>
      </c>
      <c r="BI186" s="775">
        <f t="shared" ca="1" si="101"/>
        <v>0</v>
      </c>
      <c r="BJ186" s="775">
        <f t="shared" ca="1" si="102"/>
        <v>0</v>
      </c>
      <c r="BK186" s="775">
        <f t="shared" ca="1" si="103"/>
        <v>0</v>
      </c>
      <c r="BL186" s="775">
        <f t="shared" ca="1" si="104"/>
        <v>0</v>
      </c>
      <c r="BM186" s="775">
        <f t="shared" ca="1" si="105"/>
        <v>0</v>
      </c>
      <c r="BN186" s="775">
        <f t="shared" ca="1" si="106"/>
        <v>0</v>
      </c>
      <c r="BO186" s="775">
        <f t="shared" ca="1" si="107"/>
        <v>0</v>
      </c>
      <c r="BP186" s="775">
        <f t="shared" ca="1" si="108"/>
        <v>0</v>
      </c>
      <c r="BQ186" s="775">
        <f t="shared" ca="1" si="118"/>
        <v>0</v>
      </c>
      <c r="BR186" s="775">
        <f t="shared" ca="1" si="109"/>
        <v>0</v>
      </c>
    </row>
    <row r="187" spans="1:70">
      <c r="A187" s="767" t="str">
        <f ca="1">IF(F187&lt;&gt;0,"X","")</f>
        <v/>
      </c>
      <c r="B187" s="789" t="s">
        <v>786</v>
      </c>
      <c r="C187" s="188" t="str">
        <f ca="1">IF(F187=0,"",COUNTIF($F$78:$F187,"&gt;0"))</f>
        <v/>
      </c>
      <c r="D187" s="778" t="str">
        <f>VLOOKUP($B187,dongia1,DG!$C$5,)</f>
        <v>Cáp 24kV C/XLPE/DSTA/PVC3x300mm2</v>
      </c>
      <c r="E187" s="555" t="str">
        <f>VLOOKUP($B187,dongia1,DG!$D$5,)</f>
        <v>mét</v>
      </c>
      <c r="F187" s="779">
        <f ca="1">G187+H187</f>
        <v>0</v>
      </c>
      <c r="G187" s="775">
        <f ca="1">SUM(AC187:AL187)</f>
        <v>0</v>
      </c>
      <c r="H187" s="775">
        <f ca="1">SUMIF(CT_tram!$B$33:$G$3559,kl!B187,CT_tram!$G$33:$G$3559)</f>
        <v>0</v>
      </c>
      <c r="I187" s="775">
        <f ca="1">SUMIF(CT_tram!$B$34:$G$115,$B187,CT_tram!$G$34:$G$115)</f>
        <v>0</v>
      </c>
      <c r="J187" s="775">
        <f ca="1">SUMIF(CT_tram!$B$122:$G$204,$B187,CT_tram!$G$122:$G$204)</f>
        <v>0</v>
      </c>
      <c r="K187" s="775">
        <f ca="1">SUMIF(CT_tram!$B$211:$G$293,$B187,CT_tram!$G$211:$G$293)</f>
        <v>0</v>
      </c>
      <c r="L187" s="775">
        <f ca="1">SUMIF(CT_tram!$B$300:$G$374,$B187,CT_tram!$G$300:$G$374)</f>
        <v>0</v>
      </c>
      <c r="M187" s="775">
        <f ca="1">SUMIF(CT_tram!$B$381:$G$471,$B187,CT_tram!$G$381:$G$471)</f>
        <v>0</v>
      </c>
      <c r="N187" s="775">
        <f ca="1">SUMIF(CT_tram!$B$478:$G$560,$B187,CT_tram!$G$478:$G$560)</f>
        <v>0</v>
      </c>
      <c r="O187" s="775">
        <f ca="1">SUMIF(CT_tram!$B$567:$G$653,$B187,CT_tram!$G$567:$G$653)</f>
        <v>0</v>
      </c>
      <c r="P187" s="775">
        <f ca="1">SUMIF(CT_tram!$B$661:$G$738,$B187,CT_tram!$G$661:$G$738)</f>
        <v>0</v>
      </c>
      <c r="Q187" s="775">
        <f ca="1">SUMIF(CT_tram!$B$745:$G$899,$B187,CT_tram!$G$745:$G$899)</f>
        <v>0</v>
      </c>
      <c r="R187" s="775">
        <f ca="1">SUMIF(CT_tram!$B$907:$G$995,$B187,CT_tram!$G$907:$G$995)</f>
        <v>0</v>
      </c>
      <c r="S187" s="775"/>
      <c r="T187" s="775">
        <f ca="1">SUMIF(CT_tram!$B$1004:$G$1097,B187,CT_tram!$G$1004:$G$1097)</f>
        <v>0</v>
      </c>
      <c r="U187" s="775"/>
      <c r="V187" s="775">
        <f ca="1">SUMIF(CT_tram!$B$1226:$G$1352,kl!B187,CT_tram!$G$1226:$G$1352)</f>
        <v>0</v>
      </c>
      <c r="W187" s="780">
        <f ca="1">SUMIF(CT_tram!$B$1105:$G$1219,kl!B187,CT_tram!$G$1105:$G$1219)</f>
        <v>0</v>
      </c>
      <c r="X187" s="775">
        <f ca="1">SUMIF(CT_tram!$B$1359:$G$1504,kl!B187,CT_tram!$G$1359:$G$1504)</f>
        <v>0</v>
      </c>
      <c r="Y187" s="775">
        <f ca="1">SUMIF(CT_tram!$B$1511:$G$1625,kl!B187,CT_tram!$G$1511:$G$1625)</f>
        <v>0</v>
      </c>
      <c r="Z187" s="775">
        <f ca="1">SUMIF(CT_tram!$B$1632:$G$2211,kl!B187,CT_tram!$G$1632:$G$2211)</f>
        <v>0</v>
      </c>
      <c r="AA187" s="775">
        <f ca="1">SUMIF(CT_tram!$B$2243:$G$2384,kl!B187,CT_tram!$G$2243:$G$2384)</f>
        <v>0</v>
      </c>
      <c r="AB187" s="775">
        <f ca="1">SUMIF(CT_tram!$B$2391:$G$2563,kl!B187,CT_tram!$G$2391:$G$2563)</f>
        <v>0</v>
      </c>
      <c r="AC187" s="775">
        <f ca="1">SUMIF(chitiet!$B$13:$N$2352,kl!$B187,chitiet!$I$13:$I$2352)</f>
        <v>0</v>
      </c>
      <c r="AD187" s="775">
        <f ca="1">SUMIF(chitiet!$B$13:$N$2352,kl!$B187,chitiet!$J$13:$J$2352)</f>
        <v>0</v>
      </c>
      <c r="AE187" s="775">
        <f ca="1">SUMIF(chitiet!$B$13:$N$2352,kl!$B187,chitiet!$K$13:$K$2352)</f>
        <v>0</v>
      </c>
      <c r="AF187" s="775">
        <f ca="1">SUMIF(chitiet!$B$13:$N$2352,kl!$B187,chitiet!$L$13:$L$2352)</f>
        <v>0</v>
      </c>
      <c r="AG187" s="775">
        <f ca="1">SUMIF(chitiet!$B$13:$N$2352,kl!$B187,chitiet!$M$13)</f>
        <v>0</v>
      </c>
      <c r="AH187" s="775">
        <f ca="1">SUMIF(chitiet!$B$13:$N$2352,kl!$B187,chitiet!$N$13:$N$2352)</f>
        <v>0</v>
      </c>
      <c r="AI187" s="775">
        <f ca="1">SUMIF(chitiet!$B$13:$N$2352,kl!$B187,chitiet!$O$13:$O$2352)</f>
        <v>0</v>
      </c>
      <c r="AJ187" s="775">
        <f ca="1">SUMIF('Cap ngam'!$B$631:$G$723,kl!$B187,'Cap ngam'!$G$631:$G$723)</f>
        <v>0</v>
      </c>
      <c r="AK187" s="775">
        <f ca="1">SUMIF('Cap ngam'!$B$403:$G$628,kl!$B187,'Cap ngam'!G$403:G$628)</f>
        <v>0</v>
      </c>
      <c r="AL187" s="775">
        <f ca="1">SUMIF('Cap ngam'!B$16:G$400,kl!$B187,'Cap ngam'!G$16:G$400)</f>
        <v>0</v>
      </c>
      <c r="AM187" s="776">
        <v>16.701000000000001</v>
      </c>
      <c r="AN187" s="775">
        <f t="shared" ca="1" si="87"/>
        <v>0</v>
      </c>
      <c r="AO187" s="775">
        <f t="shared" ca="1" si="88"/>
        <v>0</v>
      </c>
      <c r="AP187" s="775">
        <f t="shared" ca="1" si="89"/>
        <v>0</v>
      </c>
      <c r="AQ187" s="775">
        <f t="shared" ca="1" si="90"/>
        <v>0</v>
      </c>
      <c r="AR187" s="775">
        <f t="shared" ca="1" si="91"/>
        <v>0</v>
      </c>
      <c r="AS187" s="775">
        <f t="shared" ca="1" si="92"/>
        <v>0</v>
      </c>
      <c r="AT187" s="775">
        <f t="shared" ca="1" si="93"/>
        <v>0</v>
      </c>
      <c r="AU187" s="775">
        <f t="shared" ca="1" si="94"/>
        <v>0</v>
      </c>
      <c r="AV187" s="775">
        <f t="shared" ca="1" si="95"/>
        <v>0</v>
      </c>
      <c r="AW187" s="775">
        <f t="shared" ca="1" si="96"/>
        <v>0</v>
      </c>
      <c r="AX187" s="775">
        <f t="shared" si="97"/>
        <v>0</v>
      </c>
      <c r="AY187" s="775">
        <f t="shared" ca="1" si="98"/>
        <v>0</v>
      </c>
      <c r="AZ187" s="775">
        <f t="shared" si="99"/>
        <v>0</v>
      </c>
      <c r="BA187" s="775">
        <f t="shared" ca="1" si="80"/>
        <v>0</v>
      </c>
      <c r="BB187" s="775">
        <f t="shared" ca="1" si="81"/>
        <v>0</v>
      </c>
      <c r="BC187" s="775">
        <f t="shared" ca="1" si="82"/>
        <v>0</v>
      </c>
      <c r="BD187" s="775">
        <f t="shared" ca="1" si="83"/>
        <v>0</v>
      </c>
      <c r="BE187" s="775">
        <f t="shared" ca="1" si="84"/>
        <v>0</v>
      </c>
      <c r="BF187" s="775">
        <f t="shared" ca="1" si="85"/>
        <v>0</v>
      </c>
      <c r="BG187" s="775">
        <f t="shared" ca="1" si="86"/>
        <v>0</v>
      </c>
      <c r="BH187" s="775">
        <f t="shared" ca="1" si="100"/>
        <v>0</v>
      </c>
      <c r="BI187" s="775">
        <f t="shared" ca="1" si="101"/>
        <v>0</v>
      </c>
      <c r="BJ187" s="775">
        <f t="shared" ca="1" si="102"/>
        <v>0</v>
      </c>
      <c r="BK187" s="775">
        <f t="shared" ca="1" si="103"/>
        <v>0</v>
      </c>
      <c r="BL187" s="775">
        <f t="shared" ca="1" si="104"/>
        <v>0</v>
      </c>
      <c r="BM187" s="775">
        <f t="shared" ca="1" si="105"/>
        <v>0</v>
      </c>
      <c r="BN187" s="775">
        <f t="shared" ca="1" si="106"/>
        <v>0</v>
      </c>
      <c r="BO187" s="775">
        <f t="shared" ca="1" si="107"/>
        <v>0</v>
      </c>
      <c r="BP187" s="775">
        <f t="shared" ca="1" si="108"/>
        <v>0</v>
      </c>
      <c r="BQ187" s="775">
        <f ca="1">$AL187*$AM187</f>
        <v>0</v>
      </c>
      <c r="BR187" s="775">
        <f t="shared" ca="1" si="109"/>
        <v>0</v>
      </c>
    </row>
    <row r="188" spans="1:70">
      <c r="A188" s="767" t="str">
        <f t="shared" ca="1" si="115"/>
        <v/>
      </c>
      <c r="B188" s="789" t="s">
        <v>218</v>
      </c>
      <c r="C188" s="188" t="str">
        <f ca="1">IF(F188=0,"",COUNTIF($F$78:$F188,"&gt;0"))</f>
        <v/>
      </c>
      <c r="D188" s="778" t="str">
        <f>VLOOKUP($B188,dongia1,DG!$C$5,)</f>
        <v>Cáp 0,6/1KV C/XLPE/PVC 200mm2</v>
      </c>
      <c r="E188" s="555" t="str">
        <f>VLOOKUP($B188,dongia1,DG!$D$5,)</f>
        <v>mét</v>
      </c>
      <c r="F188" s="779">
        <f ca="1">G188+H188</f>
        <v>0</v>
      </c>
      <c r="G188" s="775">
        <f t="shared" ca="1" si="117"/>
        <v>0</v>
      </c>
      <c r="H188" s="775">
        <f ca="1">SUMIF(CT_tram!$B$33:$G$3559,kl!B188,CT_tram!$G$33:$G$3559)</f>
        <v>0</v>
      </c>
      <c r="I188" s="775">
        <f ca="1">SUMIF(CT_tram!$B$34:$G$115,$B188,CT_tram!$G$34:$G$115)</f>
        <v>0</v>
      </c>
      <c r="J188" s="775">
        <f ca="1">SUMIF(CT_tram!$B$122:$G$204,$B188,CT_tram!$G$122:$G$204)</f>
        <v>0</v>
      </c>
      <c r="K188" s="775">
        <f ca="1">SUMIF(CT_tram!$B$211:$G$293,$B188,CT_tram!$G$211:$G$293)</f>
        <v>0</v>
      </c>
      <c r="L188" s="775">
        <f ca="1">SUMIF(CT_tram!$B$300:$G$374,$B188,CT_tram!$G$300:$G$374)</f>
        <v>0</v>
      </c>
      <c r="M188" s="775">
        <f ca="1">SUMIF(CT_tram!$B$381:$G$471,$B188,CT_tram!$G$381:$G$471)</f>
        <v>0</v>
      </c>
      <c r="N188" s="775">
        <f ca="1">SUMIF(CT_tram!$B$478:$G$560,$B188,CT_tram!$G$478:$G$560)</f>
        <v>0</v>
      </c>
      <c r="O188" s="775">
        <f ca="1">SUMIF(CT_tram!$B$567:$G$653,$B188,CT_tram!$G$567:$G$653)</f>
        <v>0</v>
      </c>
      <c r="P188" s="775">
        <f ca="1">SUMIF(CT_tram!$B$661:$G$738,$B188,CT_tram!$G$661:$G$738)</f>
        <v>0</v>
      </c>
      <c r="Q188" s="775">
        <f ca="1">SUMIF(CT_tram!$B$745:$G$899,$B188,CT_tram!$G$745:$G$899)</f>
        <v>0</v>
      </c>
      <c r="R188" s="775">
        <f ca="1">SUMIF(CT_tram!$B$907:$G$995,$B188,CT_tram!$G$907:$G$995)</f>
        <v>0</v>
      </c>
      <c r="S188" s="775"/>
      <c r="T188" s="775">
        <f ca="1">SUMIF(CT_tram!$B$1004:$G$1097,B188,CT_tram!$G$1004:$G$1097)</f>
        <v>0</v>
      </c>
      <c r="U188" s="775"/>
      <c r="V188" s="775">
        <f ca="1">SUMIF(CT_tram!$B$1226:$G$1352,kl!B188,CT_tram!$G$1226:$G$1352)</f>
        <v>0</v>
      </c>
      <c r="W188" s="780">
        <f ca="1">SUMIF(CT_tram!$B$1105:$G$1219,kl!B188,CT_tram!$G$1105:$G$1219)</f>
        <v>0</v>
      </c>
      <c r="X188" s="775">
        <f ca="1">SUMIF(CT_tram!$B$1359:$G$1504,kl!B188,CT_tram!$G$1359:$G$1504)</f>
        <v>0</v>
      </c>
      <c r="Y188" s="775">
        <f ca="1">SUMIF(CT_tram!$B$1511:$G$1625,kl!B188,CT_tram!$G$1511:$G$1625)</f>
        <v>0</v>
      </c>
      <c r="Z188" s="775">
        <f ca="1">SUMIF(CT_tram!$B$1632:$G$2211,kl!B188,CT_tram!$G$1632:$G$2211)</f>
        <v>0</v>
      </c>
      <c r="AA188" s="775">
        <f ca="1">SUMIF(CT_tram!$B$2243:$G$2384,kl!B188,CT_tram!$G$2243:$G$2384)</f>
        <v>0</v>
      </c>
      <c r="AB188" s="775">
        <f ca="1">SUMIF(CT_tram!$B$2391:$G$2563,kl!B188,CT_tram!$G$2391:$G$2563)</f>
        <v>0</v>
      </c>
      <c r="AC188" s="775">
        <f ca="1">SUMIF(chitiet!$B$13:$N$2352,kl!$B188,chitiet!$I$13:$I$2352)</f>
        <v>0</v>
      </c>
      <c r="AD188" s="775">
        <f ca="1">SUMIF(chitiet!$B$13:$N$2352,kl!$B188,chitiet!$J$13:$J$2352)</f>
        <v>0</v>
      </c>
      <c r="AE188" s="775">
        <f ca="1">SUMIF(chitiet!$B$13:$N$2352,kl!$B188,chitiet!$K$13:$K$2352)</f>
        <v>0</v>
      </c>
      <c r="AF188" s="775">
        <f ca="1">SUMIF(chitiet!$B$13:$N$2352,kl!$B188,chitiet!$L$13:$L$2352)</f>
        <v>0</v>
      </c>
      <c r="AG188" s="775">
        <f ca="1">SUMIF(chitiet!$B$13:$N$2352,kl!$B188,chitiet!$M$13)</f>
        <v>0</v>
      </c>
      <c r="AH188" s="775">
        <f ca="1">SUMIF(chitiet!$B$13:$N$2352,kl!$B188,chitiet!$N$13:$N$2352)</f>
        <v>0</v>
      </c>
      <c r="AI188" s="775">
        <f ca="1">SUMIF(chitiet!$B$13:$N$2352,kl!$B188,chitiet!$O$13:$O$2352)</f>
        <v>0</v>
      </c>
      <c r="AJ188" s="775">
        <f ca="1">SUMIF('Cap ngam'!$B$631:$G$723,kl!$B188,'Cap ngam'!$G$631:$G$723)</f>
        <v>0</v>
      </c>
      <c r="AK188" s="775">
        <f ca="1">SUMIF('Cap ngam'!$B$403:$G$628,kl!$B188,'Cap ngam'!G$403:G$628)</f>
        <v>0</v>
      </c>
      <c r="AL188" s="775">
        <f ca="1">SUMIF('Cap ngam'!B$16:G$400,kl!$B188,'Cap ngam'!G$16:G$400)</f>
        <v>0</v>
      </c>
      <c r="AM188" s="776">
        <v>2.0649999999999999</v>
      </c>
      <c r="AN188" s="775">
        <f t="shared" ca="1" si="87"/>
        <v>0</v>
      </c>
      <c r="AO188" s="775">
        <f t="shared" ca="1" si="88"/>
        <v>0</v>
      </c>
      <c r="AP188" s="775">
        <f t="shared" ca="1" si="89"/>
        <v>0</v>
      </c>
      <c r="AQ188" s="775">
        <f t="shared" ca="1" si="90"/>
        <v>0</v>
      </c>
      <c r="AR188" s="775">
        <f t="shared" ca="1" si="91"/>
        <v>0</v>
      </c>
      <c r="AS188" s="775">
        <f t="shared" ca="1" si="92"/>
        <v>0</v>
      </c>
      <c r="AT188" s="775">
        <f t="shared" ca="1" si="93"/>
        <v>0</v>
      </c>
      <c r="AU188" s="775">
        <f t="shared" ca="1" si="94"/>
        <v>0</v>
      </c>
      <c r="AV188" s="775">
        <f t="shared" ca="1" si="95"/>
        <v>0</v>
      </c>
      <c r="AW188" s="775">
        <f t="shared" ca="1" si="96"/>
        <v>0</v>
      </c>
      <c r="AX188" s="775">
        <f t="shared" si="97"/>
        <v>0</v>
      </c>
      <c r="AY188" s="775">
        <f t="shared" ca="1" si="98"/>
        <v>0</v>
      </c>
      <c r="AZ188" s="775">
        <f t="shared" si="99"/>
        <v>0</v>
      </c>
      <c r="BA188" s="775">
        <f t="shared" ca="1" si="80"/>
        <v>0</v>
      </c>
      <c r="BB188" s="775">
        <f t="shared" ca="1" si="81"/>
        <v>0</v>
      </c>
      <c r="BC188" s="775">
        <f t="shared" ca="1" si="82"/>
        <v>0</v>
      </c>
      <c r="BD188" s="775">
        <f t="shared" ca="1" si="83"/>
        <v>0</v>
      </c>
      <c r="BE188" s="775">
        <f t="shared" ca="1" si="84"/>
        <v>0</v>
      </c>
      <c r="BF188" s="775">
        <f t="shared" ca="1" si="85"/>
        <v>0</v>
      </c>
      <c r="BG188" s="775">
        <f t="shared" ca="1" si="86"/>
        <v>0</v>
      </c>
      <c r="BH188" s="775">
        <f t="shared" ca="1" si="100"/>
        <v>0</v>
      </c>
      <c r="BI188" s="775">
        <f t="shared" ca="1" si="101"/>
        <v>0</v>
      </c>
      <c r="BJ188" s="775">
        <f t="shared" ca="1" si="102"/>
        <v>0</v>
      </c>
      <c r="BK188" s="775">
        <f t="shared" ca="1" si="103"/>
        <v>0</v>
      </c>
      <c r="BL188" s="775">
        <f t="shared" ca="1" si="104"/>
        <v>0</v>
      </c>
      <c r="BM188" s="775">
        <f t="shared" ca="1" si="105"/>
        <v>0</v>
      </c>
      <c r="BN188" s="775">
        <f t="shared" ca="1" si="106"/>
        <v>0</v>
      </c>
      <c r="BO188" s="775">
        <f t="shared" ca="1" si="107"/>
        <v>0</v>
      </c>
      <c r="BP188" s="775">
        <f t="shared" ca="1" si="108"/>
        <v>0</v>
      </c>
      <c r="BQ188" s="775">
        <f t="shared" ca="1" si="75"/>
        <v>0</v>
      </c>
      <c r="BR188" s="775">
        <f t="shared" ca="1" si="109"/>
        <v>0</v>
      </c>
    </row>
    <row r="189" spans="1:70">
      <c r="A189" s="767" t="str">
        <f t="shared" ca="1" si="110"/>
        <v/>
      </c>
      <c r="B189" s="789" t="s">
        <v>403</v>
      </c>
      <c r="C189" s="188" t="str">
        <f ca="1">IF(F189=0,"",COUNTIF($F$78:$F189,"&gt;0"))</f>
        <v/>
      </c>
      <c r="D189" s="778" t="str">
        <f>VLOOKUP($B189,dongia1,DG!$C$5,)</f>
        <v>Cáp 0,6/1KV C/XLPE/PVC 240mm2</v>
      </c>
      <c r="E189" s="555" t="str">
        <f>VLOOKUP($B189,dongia1,DG!$D$5,)</f>
        <v>mét</v>
      </c>
      <c r="F189" s="779">
        <f t="shared" ca="1" si="116"/>
        <v>0</v>
      </c>
      <c r="G189" s="775">
        <f t="shared" ref="G189:G195" ca="1" si="119">SUM(AC189:AL189)</f>
        <v>0</v>
      </c>
      <c r="H189" s="775">
        <f ca="1">SUMIF(CT_tram!$B$33:$G$3559,kl!B189,CT_tram!$G$33:$G$3559)</f>
        <v>0</v>
      </c>
      <c r="I189" s="775">
        <f ca="1">SUMIF(CT_tram!$B$34:$G$115,$B189,CT_tram!$G$34:$G$115)</f>
        <v>0</v>
      </c>
      <c r="J189" s="775">
        <f ca="1">SUMIF(CT_tram!$B$122:$G$204,$B189,CT_tram!$G$122:$G$204)</f>
        <v>0</v>
      </c>
      <c r="K189" s="775">
        <f ca="1">SUMIF(CT_tram!$B$211:$G$293,$B189,CT_tram!$G$211:$G$293)</f>
        <v>0</v>
      </c>
      <c r="L189" s="775">
        <f ca="1">SUMIF(CT_tram!$B$300:$G$374,$B189,CT_tram!$G$300:$G$374)</f>
        <v>0</v>
      </c>
      <c r="M189" s="775">
        <f ca="1">SUMIF(CT_tram!$B$381:$G$471,$B189,CT_tram!$G$381:$G$471)</f>
        <v>0</v>
      </c>
      <c r="N189" s="775">
        <f ca="1">SUMIF(CT_tram!$B$478:$G$560,$B189,CT_tram!$G$478:$G$560)</f>
        <v>0</v>
      </c>
      <c r="O189" s="775">
        <f ca="1">SUMIF(CT_tram!$B$567:$G$653,$B189,CT_tram!$G$567:$G$653)</f>
        <v>0</v>
      </c>
      <c r="P189" s="775">
        <f ca="1">SUMIF(CT_tram!$B$661:$G$738,$B189,CT_tram!$G$661:$G$738)</f>
        <v>0</v>
      </c>
      <c r="Q189" s="775">
        <f ca="1">SUMIF(CT_tram!$B$745:$G$899,$B189,CT_tram!$G$745:$G$899)</f>
        <v>0</v>
      </c>
      <c r="R189" s="775">
        <f ca="1">SUMIF(CT_tram!$B$907:$G$995,$B189,CT_tram!$G$907:$G$995)</f>
        <v>0</v>
      </c>
      <c r="S189" s="775"/>
      <c r="T189" s="775">
        <f ca="1">SUMIF(CT_tram!$B$1004:$G$1097,B189,CT_tram!$G$1004:$G$1097)</f>
        <v>0</v>
      </c>
      <c r="U189" s="775"/>
      <c r="V189" s="775">
        <f ca="1">SUMIF(CT_tram!$B$1226:$G$1352,kl!B189,CT_tram!$G$1226:$G$1352)</f>
        <v>0</v>
      </c>
      <c r="W189" s="780">
        <f ca="1">SUMIF(CT_tram!$B$1105:$G$1219,kl!B189,CT_tram!$G$1105:$G$1219)</f>
        <v>0</v>
      </c>
      <c r="X189" s="775">
        <f ca="1">SUMIF(CT_tram!$B$1359:$G$1504,kl!B189,CT_tram!$G$1359:$G$1504)</f>
        <v>0</v>
      </c>
      <c r="Y189" s="775">
        <f ca="1">SUMIF(CT_tram!$B$1511:$G$1625,kl!B189,CT_tram!$G$1511:$G$1625)</f>
        <v>0</v>
      </c>
      <c r="Z189" s="775">
        <f ca="1">SUMIF(CT_tram!$B$1632:$G$2211,kl!B189,CT_tram!$G$1632:$G$2211)</f>
        <v>0</v>
      </c>
      <c r="AA189" s="775">
        <f ca="1">SUMIF(CT_tram!$B$2243:$G$2384,kl!B189,CT_tram!$G$2243:$G$2384)</f>
        <v>0</v>
      </c>
      <c r="AB189" s="775">
        <f ca="1">SUMIF(CT_tram!$B$2391:$G$2563,kl!B189,CT_tram!$G$2391:$G$2563)</f>
        <v>0</v>
      </c>
      <c r="AC189" s="775">
        <f ca="1">SUMIF(chitiet!$B$13:$N$2352,kl!$B189,chitiet!$I$13:$I$2352)</f>
        <v>0</v>
      </c>
      <c r="AD189" s="775">
        <f ca="1">SUMIF(chitiet!$B$13:$N$2352,kl!$B189,chitiet!$J$13:$J$2352)</f>
        <v>0</v>
      </c>
      <c r="AE189" s="775">
        <f ca="1">SUMIF(chitiet!$B$13:$N$2352,kl!$B189,chitiet!$K$13:$K$2352)</f>
        <v>0</v>
      </c>
      <c r="AF189" s="775">
        <f ca="1">SUMIF(chitiet!$B$13:$N$2352,kl!$B189,chitiet!$L$13:$L$2352)</f>
        <v>0</v>
      </c>
      <c r="AG189" s="775">
        <f ca="1">SUMIF(chitiet!$B$13:$N$2352,kl!$B189,chitiet!$M$13)</f>
        <v>0</v>
      </c>
      <c r="AH189" s="775">
        <f ca="1">SUMIF(chitiet!$B$13:$N$2352,kl!$B189,chitiet!$N$13:$N$2352)</f>
        <v>0</v>
      </c>
      <c r="AI189" s="775">
        <f ca="1">SUMIF(chitiet!$B$13:$N$2352,kl!$B189,chitiet!$O$13:$O$2352)</f>
        <v>0</v>
      </c>
      <c r="AJ189" s="775">
        <f ca="1">SUMIF('Cap ngam'!$B$631:$G$723,kl!$B189,'Cap ngam'!$G$631:$G$723)</f>
        <v>0</v>
      </c>
      <c r="AK189" s="775">
        <f ca="1">SUMIF('Cap ngam'!$B$403:$G$628,kl!$B189,'Cap ngam'!G$403:G$628)</f>
        <v>0</v>
      </c>
      <c r="AL189" s="775">
        <f ca="1">SUMIF('Cap ngam'!B$16:G$400,kl!$B189,'Cap ngam'!G$16:G$400)</f>
        <v>0</v>
      </c>
      <c r="AM189" s="776">
        <v>2.528</v>
      </c>
      <c r="AN189" s="775">
        <f t="shared" ca="1" si="87"/>
        <v>0</v>
      </c>
      <c r="AO189" s="775">
        <f t="shared" ca="1" si="88"/>
        <v>0</v>
      </c>
      <c r="AP189" s="775">
        <f t="shared" ca="1" si="89"/>
        <v>0</v>
      </c>
      <c r="AQ189" s="775">
        <f t="shared" ca="1" si="90"/>
        <v>0</v>
      </c>
      <c r="AR189" s="775">
        <f t="shared" ca="1" si="91"/>
        <v>0</v>
      </c>
      <c r="AS189" s="775">
        <f t="shared" ca="1" si="92"/>
        <v>0</v>
      </c>
      <c r="AT189" s="775">
        <f t="shared" ca="1" si="93"/>
        <v>0</v>
      </c>
      <c r="AU189" s="775">
        <f t="shared" ca="1" si="94"/>
        <v>0</v>
      </c>
      <c r="AV189" s="775">
        <f t="shared" ca="1" si="95"/>
        <v>0</v>
      </c>
      <c r="AW189" s="775">
        <f t="shared" ca="1" si="96"/>
        <v>0</v>
      </c>
      <c r="AX189" s="775">
        <f t="shared" si="97"/>
        <v>0</v>
      </c>
      <c r="AY189" s="775">
        <f t="shared" ca="1" si="98"/>
        <v>0</v>
      </c>
      <c r="AZ189" s="775">
        <f t="shared" si="99"/>
        <v>0</v>
      </c>
      <c r="BA189" s="775">
        <f t="shared" ca="1" si="80"/>
        <v>0</v>
      </c>
      <c r="BB189" s="775">
        <f t="shared" ca="1" si="81"/>
        <v>0</v>
      </c>
      <c r="BC189" s="775">
        <f t="shared" ca="1" si="82"/>
        <v>0</v>
      </c>
      <c r="BD189" s="775">
        <f t="shared" ca="1" si="83"/>
        <v>0</v>
      </c>
      <c r="BE189" s="775">
        <f t="shared" ca="1" si="84"/>
        <v>0</v>
      </c>
      <c r="BF189" s="775">
        <f t="shared" ca="1" si="85"/>
        <v>0</v>
      </c>
      <c r="BG189" s="775">
        <f t="shared" ca="1" si="86"/>
        <v>0</v>
      </c>
      <c r="BH189" s="775">
        <f t="shared" ca="1" si="100"/>
        <v>0</v>
      </c>
      <c r="BI189" s="775">
        <f t="shared" ca="1" si="101"/>
        <v>0</v>
      </c>
      <c r="BJ189" s="775">
        <f t="shared" ca="1" si="102"/>
        <v>0</v>
      </c>
      <c r="BK189" s="775">
        <f t="shared" ca="1" si="103"/>
        <v>0</v>
      </c>
      <c r="BL189" s="775">
        <f t="shared" ca="1" si="104"/>
        <v>0</v>
      </c>
      <c r="BM189" s="775">
        <f t="shared" ca="1" si="105"/>
        <v>0</v>
      </c>
      <c r="BN189" s="775">
        <f t="shared" ca="1" si="106"/>
        <v>0</v>
      </c>
      <c r="BO189" s="775">
        <f t="shared" ca="1" si="107"/>
        <v>0</v>
      </c>
      <c r="BP189" s="775">
        <f t="shared" ca="1" si="108"/>
        <v>0</v>
      </c>
      <c r="BQ189" s="775">
        <f t="shared" ca="1" si="75"/>
        <v>0</v>
      </c>
      <c r="BR189" s="775">
        <f t="shared" ca="1" si="109"/>
        <v>0</v>
      </c>
    </row>
    <row r="190" spans="1:70">
      <c r="A190" s="767" t="str">
        <f t="shared" ca="1" si="110"/>
        <v/>
      </c>
      <c r="B190" s="789" t="s">
        <v>404</v>
      </c>
      <c r="C190" s="188" t="str">
        <f ca="1">IF(F190=0,"",COUNTIF($F$78:$F190,"&gt;0"))</f>
        <v/>
      </c>
      <c r="D190" s="778" t="str">
        <f>VLOOKUP($B190,dongia1,DG!$C$5,)</f>
        <v>Cáp 0,6/1KV C/XLPE/PVC 250mm2</v>
      </c>
      <c r="E190" s="555" t="str">
        <f>VLOOKUP($B190,dongia1,DG!$D$5,)</f>
        <v>mét</v>
      </c>
      <c r="F190" s="779">
        <f t="shared" ca="1" si="116"/>
        <v>0</v>
      </c>
      <c r="G190" s="775">
        <f t="shared" ca="1" si="119"/>
        <v>0</v>
      </c>
      <c r="H190" s="775">
        <f ca="1">SUMIF(CT_tram!$B$33:$G$3559,kl!B190,CT_tram!$G$33:$G$3559)</f>
        <v>0</v>
      </c>
      <c r="I190" s="775">
        <f ca="1">SUMIF(CT_tram!$B$34:$G$115,$B190,CT_tram!$G$34:$G$115)</f>
        <v>0</v>
      </c>
      <c r="J190" s="775">
        <f ca="1">SUMIF(CT_tram!$B$122:$G$204,$B190,CT_tram!$G$122:$G$204)</f>
        <v>0</v>
      </c>
      <c r="K190" s="775">
        <f ca="1">SUMIF(CT_tram!$B$211:$G$293,$B190,CT_tram!$G$211:$G$293)</f>
        <v>0</v>
      </c>
      <c r="L190" s="775">
        <f ca="1">SUMIF(CT_tram!$B$300:$G$374,$B190,CT_tram!$G$300:$G$374)</f>
        <v>0</v>
      </c>
      <c r="M190" s="775">
        <f ca="1">SUMIF(CT_tram!$B$381:$G$471,$B190,CT_tram!$G$381:$G$471)</f>
        <v>0</v>
      </c>
      <c r="N190" s="775">
        <f ca="1">SUMIF(CT_tram!$B$478:$G$560,$B190,CT_tram!$G$478:$G$560)</f>
        <v>0</v>
      </c>
      <c r="O190" s="775">
        <f ca="1">SUMIF(CT_tram!$B$567:$G$653,$B190,CT_tram!$G$567:$G$653)</f>
        <v>0</v>
      </c>
      <c r="P190" s="775">
        <f ca="1">SUMIF(CT_tram!$B$661:$G$738,$B190,CT_tram!$G$661:$G$738)</f>
        <v>0</v>
      </c>
      <c r="Q190" s="775">
        <f ca="1">SUMIF(CT_tram!$B$745:$G$899,$B190,CT_tram!$G$745:$G$899)</f>
        <v>0</v>
      </c>
      <c r="R190" s="775">
        <f ca="1">SUMIF(CT_tram!$B$907:$G$995,$B190,CT_tram!$G$907:$G$995)</f>
        <v>0</v>
      </c>
      <c r="S190" s="775"/>
      <c r="T190" s="775">
        <f ca="1">SUMIF(CT_tram!$B$1004:$G$1097,B190,CT_tram!$G$1004:$G$1097)</f>
        <v>0</v>
      </c>
      <c r="U190" s="775"/>
      <c r="V190" s="775">
        <f ca="1">SUMIF(CT_tram!$B$1226:$G$1352,kl!B190,CT_tram!$G$1226:$G$1352)</f>
        <v>0</v>
      </c>
      <c r="W190" s="780">
        <f ca="1">SUMIF(CT_tram!$B$1105:$G$1219,kl!B190,CT_tram!$G$1105:$G$1219)</f>
        <v>0</v>
      </c>
      <c r="X190" s="775">
        <f ca="1">SUMIF(CT_tram!$B$1359:$G$1504,kl!B190,CT_tram!$G$1359:$G$1504)</f>
        <v>0</v>
      </c>
      <c r="Y190" s="775">
        <f ca="1">SUMIF(CT_tram!$B$1511:$G$1625,kl!B190,CT_tram!$G$1511:$G$1625)</f>
        <v>0</v>
      </c>
      <c r="Z190" s="775">
        <f ca="1">SUMIF(CT_tram!$B$1632:$G$2211,kl!B190,CT_tram!$G$1632:$G$2211)</f>
        <v>0</v>
      </c>
      <c r="AA190" s="775">
        <f ca="1">SUMIF(CT_tram!$B$2243:$G$2384,kl!B190,CT_tram!$G$2243:$G$2384)</f>
        <v>0</v>
      </c>
      <c r="AB190" s="775">
        <f ca="1">SUMIF(CT_tram!$B$2391:$G$2563,kl!B190,CT_tram!$G$2391:$G$2563)</f>
        <v>0</v>
      </c>
      <c r="AC190" s="775">
        <f ca="1">SUMIF(chitiet!$B$13:$N$2352,kl!$B190,chitiet!$I$13:$I$2352)</f>
        <v>0</v>
      </c>
      <c r="AD190" s="775">
        <f ca="1">SUMIF(chitiet!$B$13:$N$2352,kl!$B190,chitiet!$J$13:$J$2352)</f>
        <v>0</v>
      </c>
      <c r="AE190" s="775">
        <f ca="1">SUMIF(chitiet!$B$13:$N$2352,kl!$B190,chitiet!$K$13:$K$2352)</f>
        <v>0</v>
      </c>
      <c r="AF190" s="775">
        <f ca="1">SUMIF(chitiet!$B$13:$N$2352,kl!$B190,chitiet!$L$13:$L$2352)</f>
        <v>0</v>
      </c>
      <c r="AG190" s="775">
        <f ca="1">SUMIF(chitiet!$B$13:$N$2352,kl!$B190,chitiet!$M$13)</f>
        <v>0</v>
      </c>
      <c r="AH190" s="775">
        <f ca="1">SUMIF(chitiet!$B$13:$N$2352,kl!$B190,chitiet!$N$13:$N$2352)</f>
        <v>0</v>
      </c>
      <c r="AI190" s="775">
        <f ca="1">SUMIF(chitiet!$B$13:$N$2352,kl!$B190,chitiet!$O$13:$O$2352)</f>
        <v>0</v>
      </c>
      <c r="AJ190" s="775">
        <f ca="1">SUMIF('Cap ngam'!$B$631:$G$723,kl!$B190,'Cap ngam'!$G$631:$G$723)</f>
        <v>0</v>
      </c>
      <c r="AK190" s="775">
        <f ca="1">SUMIF('Cap ngam'!$B$403:$G$628,kl!$B190,'Cap ngam'!G$403:G$628)</f>
        <v>0</v>
      </c>
      <c r="AL190" s="775">
        <f ca="1">SUMIF('Cap ngam'!B$16:G$400,kl!$B190,'Cap ngam'!G$16:G$400)</f>
        <v>0</v>
      </c>
      <c r="AM190" s="776">
        <v>2.6339999999999999</v>
      </c>
      <c r="AN190" s="775">
        <f t="shared" ca="1" si="87"/>
        <v>0</v>
      </c>
      <c r="AO190" s="775">
        <f t="shared" ca="1" si="88"/>
        <v>0</v>
      </c>
      <c r="AP190" s="775">
        <f t="shared" ca="1" si="89"/>
        <v>0</v>
      </c>
      <c r="AQ190" s="775">
        <f t="shared" ca="1" si="90"/>
        <v>0</v>
      </c>
      <c r="AR190" s="775">
        <f t="shared" ca="1" si="91"/>
        <v>0</v>
      </c>
      <c r="AS190" s="775">
        <f t="shared" ca="1" si="92"/>
        <v>0</v>
      </c>
      <c r="AT190" s="775">
        <f t="shared" ca="1" si="93"/>
        <v>0</v>
      </c>
      <c r="AU190" s="775">
        <f t="shared" ca="1" si="94"/>
        <v>0</v>
      </c>
      <c r="AV190" s="775">
        <f t="shared" ca="1" si="95"/>
        <v>0</v>
      </c>
      <c r="AW190" s="775">
        <f t="shared" ca="1" si="96"/>
        <v>0</v>
      </c>
      <c r="AX190" s="775">
        <f t="shared" si="97"/>
        <v>0</v>
      </c>
      <c r="AY190" s="775">
        <f t="shared" ca="1" si="98"/>
        <v>0</v>
      </c>
      <c r="AZ190" s="775">
        <f t="shared" si="99"/>
        <v>0</v>
      </c>
      <c r="BA190" s="775">
        <f t="shared" ca="1" si="80"/>
        <v>0</v>
      </c>
      <c r="BB190" s="775">
        <f t="shared" ca="1" si="81"/>
        <v>0</v>
      </c>
      <c r="BC190" s="775">
        <f t="shared" ca="1" si="82"/>
        <v>0</v>
      </c>
      <c r="BD190" s="775">
        <f t="shared" ca="1" si="83"/>
        <v>0</v>
      </c>
      <c r="BE190" s="775">
        <f t="shared" ca="1" si="84"/>
        <v>0</v>
      </c>
      <c r="BF190" s="775">
        <f t="shared" ca="1" si="85"/>
        <v>0</v>
      </c>
      <c r="BG190" s="775">
        <f t="shared" ca="1" si="86"/>
        <v>0</v>
      </c>
      <c r="BH190" s="775">
        <f t="shared" ca="1" si="100"/>
        <v>0</v>
      </c>
      <c r="BI190" s="775">
        <f t="shared" ca="1" si="101"/>
        <v>0</v>
      </c>
      <c r="BJ190" s="775">
        <f t="shared" ca="1" si="102"/>
        <v>0</v>
      </c>
      <c r="BK190" s="775">
        <f t="shared" ca="1" si="103"/>
        <v>0</v>
      </c>
      <c r="BL190" s="775">
        <f t="shared" ca="1" si="104"/>
        <v>0</v>
      </c>
      <c r="BM190" s="775">
        <f t="shared" ca="1" si="105"/>
        <v>0</v>
      </c>
      <c r="BN190" s="775">
        <f t="shared" ca="1" si="106"/>
        <v>0</v>
      </c>
      <c r="BO190" s="775">
        <f t="shared" ca="1" si="107"/>
        <v>0</v>
      </c>
      <c r="BP190" s="775">
        <f t="shared" ca="1" si="108"/>
        <v>0</v>
      </c>
      <c r="BQ190" s="775">
        <f t="shared" ca="1" si="75"/>
        <v>0</v>
      </c>
      <c r="BR190" s="775">
        <f t="shared" ca="1" si="109"/>
        <v>0</v>
      </c>
    </row>
    <row r="191" spans="1:70">
      <c r="A191" s="767" t="str">
        <f ca="1">IF(F191&lt;&gt;0,"X","")</f>
        <v/>
      </c>
      <c r="B191" s="789" t="s">
        <v>925</v>
      </c>
      <c r="C191" s="188" t="str">
        <f ca="1">IF(F191=0,"",COUNTIF($F$78:$F191,"&gt;0"))</f>
        <v/>
      </c>
      <c r="D191" s="778" t="str">
        <f>VLOOKUP($B191,dongia1,DG!$C$5,)</f>
        <v>Cáp 0,6/1KV C/XLPE/PVC 300mm2</v>
      </c>
      <c r="E191" s="555" t="str">
        <f>VLOOKUP($B191,dongia1,DG!$D$5,)</f>
        <v>mét</v>
      </c>
      <c r="F191" s="779">
        <f ca="1">G191+H191</f>
        <v>0</v>
      </c>
      <c r="G191" s="775">
        <f ca="1">SUM(AC191:AL191)</f>
        <v>0</v>
      </c>
      <c r="H191" s="775">
        <f ca="1">SUMIF(CT_tram!$B$33:$G$3559,kl!B191,CT_tram!$G$33:$G$3559)</f>
        <v>0</v>
      </c>
      <c r="I191" s="775">
        <f ca="1">SUMIF(CT_tram!$B$34:$G$115,$B191,CT_tram!$G$34:$G$115)</f>
        <v>0</v>
      </c>
      <c r="J191" s="775">
        <f ca="1">SUMIF(CT_tram!$B$122:$G$204,$B191,CT_tram!$G$122:$G$204)</f>
        <v>0</v>
      </c>
      <c r="K191" s="775">
        <f ca="1">SUMIF(CT_tram!$B$211:$G$293,$B191,CT_tram!$G$211:$G$293)</f>
        <v>0</v>
      </c>
      <c r="L191" s="775">
        <f ca="1">SUMIF(CT_tram!$B$300:$G$374,$B191,CT_tram!$G$300:$G$374)</f>
        <v>0</v>
      </c>
      <c r="M191" s="775">
        <f ca="1">SUMIF(CT_tram!$B$381:$G$471,$B191,CT_tram!$G$381:$G$471)</f>
        <v>0</v>
      </c>
      <c r="N191" s="775">
        <f ca="1">SUMIF(CT_tram!$B$478:$G$560,$B191,CT_tram!$G$478:$G$560)</f>
        <v>0</v>
      </c>
      <c r="O191" s="775">
        <f ca="1">SUMIF(CT_tram!$B$567:$G$653,$B191,CT_tram!$G$567:$G$653)</f>
        <v>0</v>
      </c>
      <c r="P191" s="775">
        <f ca="1">SUMIF(CT_tram!$B$661:$G$738,$B191,CT_tram!$G$661:$G$738)</f>
        <v>0</v>
      </c>
      <c r="Q191" s="775">
        <f ca="1">SUMIF(CT_tram!$B$745:$G$899,$B191,CT_tram!$G$745:$G$899)</f>
        <v>0</v>
      </c>
      <c r="R191" s="775">
        <f ca="1">SUMIF(CT_tram!$B$907:$G$995,$B191,CT_tram!$G$907:$G$995)</f>
        <v>0</v>
      </c>
      <c r="S191" s="775"/>
      <c r="T191" s="775">
        <f ca="1">SUMIF(CT_tram!$B$1004:$G$1097,B191,CT_tram!$G$1004:$G$1097)</f>
        <v>0</v>
      </c>
      <c r="U191" s="775"/>
      <c r="V191" s="775">
        <f ca="1">SUMIF(CT_tram!$B$1226:$G$1352,kl!B191,CT_tram!$G$1226:$G$1352)</f>
        <v>0</v>
      </c>
      <c r="W191" s="780">
        <f ca="1">SUMIF(CT_tram!$B$1105:$G$1219,kl!B191,CT_tram!$G$1105:$G$1219)</f>
        <v>0</v>
      </c>
      <c r="X191" s="775">
        <f ca="1">SUMIF(CT_tram!$B$1359:$G$1504,kl!B191,CT_tram!$G$1359:$G$1504)</f>
        <v>0</v>
      </c>
      <c r="Y191" s="775">
        <f ca="1">SUMIF(CT_tram!$B$1511:$G$1625,kl!B191,CT_tram!$G$1511:$G$1625)</f>
        <v>0</v>
      </c>
      <c r="Z191" s="775">
        <f ca="1">SUMIF(CT_tram!$B$1632:$G$2211,kl!B191,CT_tram!$G$1632:$G$2211)</f>
        <v>0</v>
      </c>
      <c r="AA191" s="775">
        <f ca="1">SUMIF(CT_tram!$B$2243:$G$2384,kl!B191,CT_tram!$G$2243:$G$2384)</f>
        <v>0</v>
      </c>
      <c r="AB191" s="775">
        <f ca="1">SUMIF(CT_tram!$B$2391:$G$2563,kl!B191,CT_tram!$G$2391:$G$2563)</f>
        <v>0</v>
      </c>
      <c r="AC191" s="775">
        <f ca="1">SUMIF(chitiet!$B$13:$N$2352,kl!$B191,chitiet!$I$13:$I$2352)</f>
        <v>0</v>
      </c>
      <c r="AD191" s="775">
        <f ca="1">SUMIF(chitiet!$B$13:$N$2352,kl!$B191,chitiet!$J$13:$J$2352)</f>
        <v>0</v>
      </c>
      <c r="AE191" s="775">
        <f ca="1">SUMIF(chitiet!$B$13:$N$2352,kl!$B191,chitiet!$K$13:$K$2352)</f>
        <v>0</v>
      </c>
      <c r="AF191" s="775">
        <f ca="1">SUMIF(chitiet!$B$13:$N$2352,kl!$B191,chitiet!$L$13:$L$2352)</f>
        <v>0</v>
      </c>
      <c r="AG191" s="775">
        <f ca="1">SUMIF(chitiet!$B$13:$N$2352,kl!$B191,chitiet!$M$13)</f>
        <v>0</v>
      </c>
      <c r="AH191" s="775">
        <f ca="1">SUMIF(chitiet!$B$13:$N$2352,kl!$B191,chitiet!$N$13:$N$2352)</f>
        <v>0</v>
      </c>
      <c r="AI191" s="775">
        <f ca="1">SUMIF(chitiet!$B$13:$N$2352,kl!$B191,chitiet!$O$13:$O$2352)</f>
        <v>0</v>
      </c>
      <c r="AJ191" s="775">
        <f ca="1">SUMIF('Cap ngam'!$B$631:$G$723,kl!$B191,'Cap ngam'!$G$631:$G$723)</f>
        <v>0</v>
      </c>
      <c r="AK191" s="775">
        <f ca="1">SUMIF('Cap ngam'!$B$403:$G$628,kl!$B191,'Cap ngam'!G$403:G$628)</f>
        <v>0</v>
      </c>
      <c r="AL191" s="775">
        <f ca="1">SUMIF('Cap ngam'!B$16:G$400,kl!$B191,'Cap ngam'!G$16:G$400)</f>
        <v>0</v>
      </c>
      <c r="AM191" s="776">
        <v>3.1469999999999998</v>
      </c>
      <c r="AN191" s="775">
        <f t="shared" ca="1" si="87"/>
        <v>0</v>
      </c>
      <c r="AO191" s="775">
        <f t="shared" ca="1" si="88"/>
        <v>0</v>
      </c>
      <c r="AP191" s="775">
        <f t="shared" ca="1" si="89"/>
        <v>0</v>
      </c>
      <c r="AQ191" s="775">
        <f t="shared" ca="1" si="90"/>
        <v>0</v>
      </c>
      <c r="AR191" s="775">
        <f t="shared" ca="1" si="91"/>
        <v>0</v>
      </c>
      <c r="AS191" s="775">
        <f t="shared" ca="1" si="92"/>
        <v>0</v>
      </c>
      <c r="AT191" s="775">
        <f t="shared" ca="1" si="93"/>
        <v>0</v>
      </c>
      <c r="AU191" s="775">
        <f t="shared" ca="1" si="94"/>
        <v>0</v>
      </c>
      <c r="AV191" s="775">
        <f t="shared" ca="1" si="95"/>
        <v>0</v>
      </c>
      <c r="AW191" s="775">
        <f t="shared" ca="1" si="96"/>
        <v>0</v>
      </c>
      <c r="AX191" s="775">
        <f t="shared" si="97"/>
        <v>0</v>
      </c>
      <c r="AY191" s="775">
        <f t="shared" ca="1" si="98"/>
        <v>0</v>
      </c>
      <c r="AZ191" s="775">
        <f t="shared" si="99"/>
        <v>0</v>
      </c>
      <c r="BA191" s="775">
        <f t="shared" ca="1" si="80"/>
        <v>0</v>
      </c>
      <c r="BB191" s="775">
        <f t="shared" ca="1" si="81"/>
        <v>0</v>
      </c>
      <c r="BC191" s="775">
        <f t="shared" ca="1" si="82"/>
        <v>0</v>
      </c>
      <c r="BD191" s="775">
        <f t="shared" ca="1" si="83"/>
        <v>0</v>
      </c>
      <c r="BE191" s="775">
        <f t="shared" ca="1" si="84"/>
        <v>0</v>
      </c>
      <c r="BF191" s="775">
        <f t="shared" ca="1" si="85"/>
        <v>0</v>
      </c>
      <c r="BG191" s="775">
        <f t="shared" ca="1" si="86"/>
        <v>0</v>
      </c>
      <c r="BH191" s="775">
        <f t="shared" ca="1" si="100"/>
        <v>0</v>
      </c>
      <c r="BI191" s="775">
        <f t="shared" ca="1" si="101"/>
        <v>0</v>
      </c>
      <c r="BJ191" s="775">
        <f t="shared" ca="1" si="102"/>
        <v>0</v>
      </c>
      <c r="BK191" s="775">
        <f t="shared" ca="1" si="103"/>
        <v>0</v>
      </c>
      <c r="BL191" s="775">
        <f t="shared" ca="1" si="104"/>
        <v>0</v>
      </c>
      <c r="BM191" s="775">
        <f t="shared" ca="1" si="105"/>
        <v>0</v>
      </c>
      <c r="BN191" s="775">
        <f t="shared" ca="1" si="106"/>
        <v>0</v>
      </c>
      <c r="BO191" s="775">
        <f t="shared" ca="1" si="107"/>
        <v>0</v>
      </c>
      <c r="BP191" s="775">
        <f t="shared" ca="1" si="108"/>
        <v>0</v>
      </c>
      <c r="BQ191" s="775">
        <f t="shared" ca="1" si="75"/>
        <v>0</v>
      </c>
      <c r="BR191" s="775">
        <f t="shared" ca="1" si="109"/>
        <v>0</v>
      </c>
    </row>
    <row r="192" spans="1:70">
      <c r="A192" s="767" t="str">
        <f t="shared" ca="1" si="110"/>
        <v/>
      </c>
      <c r="B192" s="789" t="s">
        <v>359</v>
      </c>
      <c r="C192" s="188" t="str">
        <f ca="1">IF(F192=0,"",COUNTIF($F$78:$F192,"&gt;0"))</f>
        <v/>
      </c>
      <c r="D192" s="778" t="str">
        <f>VLOOKUP($B192,dongia1,DG!$C$5,)</f>
        <v>Cáp C/XLPE/PVC -0.6/1kV-3x120+70mm2</v>
      </c>
      <c r="E192" s="555" t="str">
        <f>VLOOKUP($B192,dongia1,DG!$D$5,)</f>
        <v>mét</v>
      </c>
      <c r="F192" s="779">
        <f t="shared" ca="1" si="116"/>
        <v>0</v>
      </c>
      <c r="G192" s="775">
        <f t="shared" ca="1" si="119"/>
        <v>0</v>
      </c>
      <c r="H192" s="775">
        <f ca="1">SUMIF(CT_tram!$B$33:$G$3559,kl!B192,CT_tram!$G$33:$G$3559)</f>
        <v>0</v>
      </c>
      <c r="I192" s="775">
        <f ca="1">SUMIF(CT_tram!$B$34:$G$115,$B192,CT_tram!$G$34:$G$115)</f>
        <v>0</v>
      </c>
      <c r="J192" s="775">
        <f ca="1">SUMIF(CT_tram!$B$122:$G$204,$B192,CT_tram!$G$122:$G$204)</f>
        <v>0</v>
      </c>
      <c r="K192" s="775">
        <f ca="1">SUMIF(CT_tram!$B$211:$G$293,$B192,CT_tram!$G$211:$G$293)</f>
        <v>0</v>
      </c>
      <c r="L192" s="775">
        <f ca="1">SUMIF(CT_tram!$B$300:$G$374,$B192,CT_tram!$G$300:$G$374)</f>
        <v>0</v>
      </c>
      <c r="M192" s="775">
        <f ca="1">SUMIF(CT_tram!$B$381:$G$471,$B192,CT_tram!$G$381:$G$471)</f>
        <v>0</v>
      </c>
      <c r="N192" s="775">
        <f ca="1">SUMIF(CT_tram!$B$478:$G$560,$B192,CT_tram!$G$478:$G$560)</f>
        <v>0</v>
      </c>
      <c r="O192" s="775">
        <f ca="1">SUMIF(CT_tram!$B$567:$G$653,$B192,CT_tram!$G$567:$G$653)</f>
        <v>0</v>
      </c>
      <c r="P192" s="775">
        <f ca="1">SUMIF(CT_tram!$B$661:$G$738,$B192,CT_tram!$G$661:$G$738)</f>
        <v>0</v>
      </c>
      <c r="Q192" s="775">
        <f ca="1">SUMIF(CT_tram!$B$745:$G$899,$B192,CT_tram!$G$745:$G$899)</f>
        <v>0</v>
      </c>
      <c r="R192" s="775">
        <f ca="1">SUMIF(CT_tram!$B$907:$G$995,$B192,CT_tram!$G$907:$G$995)</f>
        <v>0</v>
      </c>
      <c r="S192" s="775"/>
      <c r="T192" s="775">
        <f ca="1">SUMIF(CT_tram!$B$1004:$G$1097,B192,CT_tram!$G$1004:$G$1097)</f>
        <v>0</v>
      </c>
      <c r="U192" s="775"/>
      <c r="V192" s="775">
        <f ca="1">SUMIF(CT_tram!$B$1226:$G$1352,kl!B192,CT_tram!$G$1226:$G$1352)</f>
        <v>0</v>
      </c>
      <c r="W192" s="780">
        <f ca="1">SUMIF(CT_tram!$B$1105:$G$1219,kl!B192,CT_tram!$G$1105:$G$1219)</f>
        <v>0</v>
      </c>
      <c r="X192" s="775">
        <f ca="1">SUMIF(CT_tram!$B$1359:$G$1504,kl!B192,CT_tram!$G$1359:$G$1504)</f>
        <v>0</v>
      </c>
      <c r="Y192" s="775">
        <f ca="1">SUMIF(CT_tram!$B$1511:$G$1625,kl!B192,CT_tram!$G$1511:$G$1625)</f>
        <v>0</v>
      </c>
      <c r="Z192" s="775">
        <f ca="1">SUMIF(CT_tram!$B$1632:$G$2211,kl!B192,CT_tram!$G$1632:$G$2211)</f>
        <v>0</v>
      </c>
      <c r="AA192" s="775">
        <f ca="1">SUMIF(CT_tram!$B$2243:$G$2384,kl!B192,CT_tram!$G$2243:$G$2384)</f>
        <v>0</v>
      </c>
      <c r="AB192" s="775">
        <f ca="1">SUMIF(CT_tram!$B$2391:$G$2563,kl!B192,CT_tram!$G$2391:$G$2563)</f>
        <v>0</v>
      </c>
      <c r="AC192" s="775">
        <f ca="1">SUMIF(chitiet!$B$13:$N$2352,kl!$B192,chitiet!$I$13:$I$2352)</f>
        <v>0</v>
      </c>
      <c r="AD192" s="775">
        <f ca="1">SUMIF(chitiet!$B$13:$N$2352,kl!$B192,chitiet!$J$13:$J$2352)</f>
        <v>0</v>
      </c>
      <c r="AE192" s="775">
        <f ca="1">SUMIF(chitiet!$B$13:$N$2352,kl!$B192,chitiet!$K$13:$K$2352)</f>
        <v>0</v>
      </c>
      <c r="AF192" s="775">
        <f ca="1">SUMIF(chitiet!$B$13:$N$2352,kl!$B192,chitiet!$L$13:$L$2352)</f>
        <v>0</v>
      </c>
      <c r="AG192" s="775">
        <f ca="1">SUMIF(chitiet!$B$13:$N$2352,kl!$B192,chitiet!$M$13)</f>
        <v>0</v>
      </c>
      <c r="AH192" s="775">
        <f ca="1">SUMIF(chitiet!$B$13:$N$2352,kl!$B192,chitiet!$N$13:$N$2352)</f>
        <v>0</v>
      </c>
      <c r="AI192" s="775">
        <f ca="1">SUMIF(chitiet!$B$13:$N$2352,kl!$B192,chitiet!$O$13:$O$2352)</f>
        <v>0</v>
      </c>
      <c r="AJ192" s="775">
        <f ca="1">SUMIF('Cap ngam'!$B$631:$G$723,kl!$B192,'Cap ngam'!$G$631:$G$723)</f>
        <v>0</v>
      </c>
      <c r="AK192" s="775">
        <f ca="1">SUMIF('Cap ngam'!$B$403:$G$628,kl!$B192,'Cap ngam'!G$403:G$628)</f>
        <v>0</v>
      </c>
      <c r="AL192" s="775">
        <f ca="1">SUMIF('Cap ngam'!B$16:G$400,kl!$B192,'Cap ngam'!G$16:G$400)</f>
        <v>0</v>
      </c>
      <c r="AM192" s="776">
        <v>4.6900000000000004</v>
      </c>
      <c r="AN192" s="775">
        <f t="shared" ca="1" si="87"/>
        <v>0</v>
      </c>
      <c r="AO192" s="775">
        <f t="shared" ca="1" si="88"/>
        <v>0</v>
      </c>
      <c r="AP192" s="775">
        <f t="shared" ca="1" si="89"/>
        <v>0</v>
      </c>
      <c r="AQ192" s="775">
        <f t="shared" ca="1" si="90"/>
        <v>0</v>
      </c>
      <c r="AR192" s="775">
        <f t="shared" ca="1" si="91"/>
        <v>0</v>
      </c>
      <c r="AS192" s="775">
        <f t="shared" ca="1" si="92"/>
        <v>0</v>
      </c>
      <c r="AT192" s="775">
        <f t="shared" ca="1" si="93"/>
        <v>0</v>
      </c>
      <c r="AU192" s="775">
        <f t="shared" ca="1" si="94"/>
        <v>0</v>
      </c>
      <c r="AV192" s="775">
        <f t="shared" ca="1" si="95"/>
        <v>0</v>
      </c>
      <c r="AW192" s="775">
        <f t="shared" ca="1" si="96"/>
        <v>0</v>
      </c>
      <c r="AX192" s="775">
        <f t="shared" si="97"/>
        <v>0</v>
      </c>
      <c r="AY192" s="775">
        <f t="shared" ca="1" si="98"/>
        <v>0</v>
      </c>
      <c r="AZ192" s="775">
        <f t="shared" si="99"/>
        <v>0</v>
      </c>
      <c r="BA192" s="775">
        <f t="shared" ca="1" si="80"/>
        <v>0</v>
      </c>
      <c r="BB192" s="775">
        <f t="shared" ca="1" si="81"/>
        <v>0</v>
      </c>
      <c r="BC192" s="775">
        <f t="shared" ca="1" si="82"/>
        <v>0</v>
      </c>
      <c r="BD192" s="775">
        <f t="shared" ca="1" si="83"/>
        <v>0</v>
      </c>
      <c r="BE192" s="775">
        <f t="shared" ca="1" si="84"/>
        <v>0</v>
      </c>
      <c r="BF192" s="775">
        <f t="shared" ca="1" si="85"/>
        <v>0</v>
      </c>
      <c r="BG192" s="775">
        <f t="shared" ca="1" si="86"/>
        <v>0</v>
      </c>
      <c r="BH192" s="775">
        <f t="shared" ca="1" si="100"/>
        <v>0</v>
      </c>
      <c r="BI192" s="775">
        <f t="shared" ca="1" si="101"/>
        <v>0</v>
      </c>
      <c r="BJ192" s="775">
        <f t="shared" ca="1" si="102"/>
        <v>0</v>
      </c>
      <c r="BK192" s="775">
        <f t="shared" ca="1" si="103"/>
        <v>0</v>
      </c>
      <c r="BL192" s="775">
        <f t="shared" ca="1" si="104"/>
        <v>0</v>
      </c>
      <c r="BM192" s="775">
        <f t="shared" ca="1" si="105"/>
        <v>0</v>
      </c>
      <c r="BN192" s="775">
        <f t="shared" ca="1" si="106"/>
        <v>0</v>
      </c>
      <c r="BO192" s="775">
        <f t="shared" ca="1" si="107"/>
        <v>0</v>
      </c>
      <c r="BP192" s="775">
        <f t="shared" ca="1" si="108"/>
        <v>0</v>
      </c>
      <c r="BQ192" s="775">
        <f t="shared" ca="1" si="75"/>
        <v>0</v>
      </c>
      <c r="BR192" s="775">
        <f t="shared" ca="1" si="109"/>
        <v>0</v>
      </c>
    </row>
    <row r="193" spans="1:70">
      <c r="A193" s="767" t="str">
        <f t="shared" ca="1" si="110"/>
        <v/>
      </c>
      <c r="B193" s="789" t="s">
        <v>358</v>
      </c>
      <c r="C193" s="188" t="str">
        <f ca="1">IF(F193=0,"",COUNTIF($F$78:$F193,"&gt;0"))</f>
        <v/>
      </c>
      <c r="D193" s="778" t="str">
        <f>VLOOKUP($B193,dongia1,DG!$C$5,)</f>
        <v>Cáp C/XLPE/PVC -0.6/1kV-3x95+50mm2</v>
      </c>
      <c r="E193" s="555" t="str">
        <f>VLOOKUP($B193,dongia1,DG!$D$5,)</f>
        <v>mét</v>
      </c>
      <c r="F193" s="779">
        <f t="shared" ca="1" si="116"/>
        <v>0</v>
      </c>
      <c r="G193" s="775">
        <f t="shared" ca="1" si="119"/>
        <v>0</v>
      </c>
      <c r="H193" s="775">
        <f ca="1">SUMIF(CT_tram!$B$33:$G$3559,kl!B193,CT_tram!$G$33:$G$3559)</f>
        <v>0</v>
      </c>
      <c r="I193" s="775">
        <f ca="1">SUMIF(CT_tram!$B$34:$G$115,$B193,CT_tram!$G$34:$G$115)</f>
        <v>0</v>
      </c>
      <c r="J193" s="775">
        <f ca="1">SUMIF(CT_tram!$B$122:$G$204,$B193,CT_tram!$G$122:$G$204)</f>
        <v>0</v>
      </c>
      <c r="K193" s="775">
        <f ca="1">SUMIF(CT_tram!$B$211:$G$293,$B193,CT_tram!$G$211:$G$293)</f>
        <v>0</v>
      </c>
      <c r="L193" s="775">
        <f ca="1">SUMIF(CT_tram!$B$300:$G$374,$B193,CT_tram!$G$300:$G$374)</f>
        <v>0</v>
      </c>
      <c r="M193" s="775">
        <f ca="1">SUMIF(CT_tram!$B$381:$G$471,$B193,CT_tram!$G$381:$G$471)</f>
        <v>0</v>
      </c>
      <c r="N193" s="775">
        <f ca="1">SUMIF(CT_tram!$B$478:$G$560,$B193,CT_tram!$G$478:$G$560)</f>
        <v>0</v>
      </c>
      <c r="O193" s="775">
        <f ca="1">SUMIF(CT_tram!$B$567:$G$653,$B193,CT_tram!$G$567:$G$653)</f>
        <v>0</v>
      </c>
      <c r="P193" s="775">
        <f ca="1">SUMIF(CT_tram!$B$661:$G$738,$B193,CT_tram!$G$661:$G$738)</f>
        <v>0</v>
      </c>
      <c r="Q193" s="775">
        <f ca="1">SUMIF(CT_tram!$B$745:$G$899,$B193,CT_tram!$G$745:$G$899)</f>
        <v>0</v>
      </c>
      <c r="R193" s="775">
        <f ca="1">SUMIF(CT_tram!$B$907:$G$995,$B193,CT_tram!$G$907:$G$995)</f>
        <v>0</v>
      </c>
      <c r="S193" s="775"/>
      <c r="T193" s="775">
        <f ca="1">SUMIF(CT_tram!$B$1004:$G$1097,B193,CT_tram!$G$1004:$G$1097)</f>
        <v>0</v>
      </c>
      <c r="U193" s="775"/>
      <c r="V193" s="775">
        <f ca="1">SUMIF(CT_tram!$B$1226:$G$1352,kl!B193,CT_tram!$G$1226:$G$1352)</f>
        <v>0</v>
      </c>
      <c r="W193" s="780">
        <f ca="1">SUMIF(CT_tram!$B$1105:$G$1219,kl!B193,CT_tram!$G$1105:$G$1219)</f>
        <v>0</v>
      </c>
      <c r="X193" s="775">
        <f ca="1">SUMIF(CT_tram!$B$1359:$G$1504,kl!B193,CT_tram!$G$1359:$G$1504)</f>
        <v>0</v>
      </c>
      <c r="Y193" s="775">
        <f ca="1">SUMIF(CT_tram!$B$1511:$G$1625,kl!B193,CT_tram!$G$1511:$G$1625)</f>
        <v>0</v>
      </c>
      <c r="Z193" s="775">
        <f ca="1">SUMIF(CT_tram!$B$1632:$G$2211,kl!B193,CT_tram!$G$1632:$G$2211)</f>
        <v>0</v>
      </c>
      <c r="AA193" s="775">
        <f ca="1">SUMIF(CT_tram!$B$2243:$G$2384,kl!B193,CT_tram!$G$2243:$G$2384)</f>
        <v>0</v>
      </c>
      <c r="AB193" s="775">
        <f ca="1">SUMIF(CT_tram!$B$2391:$G$2563,kl!B193,CT_tram!$G$2391:$G$2563)</f>
        <v>0</v>
      </c>
      <c r="AC193" s="775">
        <f ca="1">SUMIF(chitiet!$B$13:$N$2352,kl!$B193,chitiet!$I$13:$I$2352)</f>
        <v>0</v>
      </c>
      <c r="AD193" s="775">
        <f ca="1">SUMIF(chitiet!$B$13:$N$2352,kl!$B193,chitiet!$J$13:$J$2352)</f>
        <v>0</v>
      </c>
      <c r="AE193" s="775">
        <f ca="1">SUMIF(chitiet!$B$13:$N$2352,kl!$B193,chitiet!$K$13:$K$2352)</f>
        <v>0</v>
      </c>
      <c r="AF193" s="775">
        <f ca="1">SUMIF(chitiet!$B$13:$N$2352,kl!$B193,chitiet!$L$13:$L$2352)</f>
        <v>0</v>
      </c>
      <c r="AG193" s="775">
        <f ca="1">SUMIF(chitiet!$B$13:$N$2352,kl!$B193,chitiet!$M$13)</f>
        <v>0</v>
      </c>
      <c r="AH193" s="775">
        <f ca="1">SUMIF(chitiet!$B$13:$N$2352,kl!$B193,chitiet!$N$13:$N$2352)</f>
        <v>0</v>
      </c>
      <c r="AI193" s="775">
        <f ca="1">SUMIF(chitiet!$B$13:$N$2352,kl!$B193,chitiet!$O$13:$O$2352)</f>
        <v>0</v>
      </c>
      <c r="AJ193" s="775">
        <f ca="1">SUMIF('Cap ngam'!$B$631:$G$723,kl!$B193,'Cap ngam'!$G$631:$G$723)</f>
        <v>0</v>
      </c>
      <c r="AK193" s="775">
        <f ca="1">SUMIF('Cap ngam'!$B$403:$G$628,kl!$B193,'Cap ngam'!G$403:G$628)</f>
        <v>0</v>
      </c>
      <c r="AL193" s="775">
        <f ca="1">SUMIF('Cap ngam'!B$16:G$400,kl!$B193,'Cap ngam'!G$16:G$400)</f>
        <v>0</v>
      </c>
      <c r="AM193" s="776">
        <v>3.742</v>
      </c>
      <c r="AN193" s="775">
        <f t="shared" ca="1" si="87"/>
        <v>0</v>
      </c>
      <c r="AO193" s="775">
        <f t="shared" ca="1" si="88"/>
        <v>0</v>
      </c>
      <c r="AP193" s="775">
        <f t="shared" ca="1" si="89"/>
        <v>0</v>
      </c>
      <c r="AQ193" s="775">
        <f t="shared" ca="1" si="90"/>
        <v>0</v>
      </c>
      <c r="AR193" s="775">
        <f t="shared" ca="1" si="91"/>
        <v>0</v>
      </c>
      <c r="AS193" s="775">
        <f t="shared" ca="1" si="92"/>
        <v>0</v>
      </c>
      <c r="AT193" s="775">
        <f t="shared" ca="1" si="93"/>
        <v>0</v>
      </c>
      <c r="AU193" s="775">
        <f t="shared" ca="1" si="94"/>
        <v>0</v>
      </c>
      <c r="AV193" s="775">
        <f t="shared" ca="1" si="95"/>
        <v>0</v>
      </c>
      <c r="AW193" s="775">
        <f t="shared" ca="1" si="96"/>
        <v>0</v>
      </c>
      <c r="AX193" s="775">
        <f t="shared" si="97"/>
        <v>0</v>
      </c>
      <c r="AY193" s="775">
        <f t="shared" ca="1" si="98"/>
        <v>0</v>
      </c>
      <c r="AZ193" s="775">
        <f t="shared" si="99"/>
        <v>0</v>
      </c>
      <c r="BA193" s="775">
        <f t="shared" ca="1" si="80"/>
        <v>0</v>
      </c>
      <c r="BB193" s="775">
        <f t="shared" ca="1" si="81"/>
        <v>0</v>
      </c>
      <c r="BC193" s="775">
        <f t="shared" ca="1" si="82"/>
        <v>0</v>
      </c>
      <c r="BD193" s="775">
        <f t="shared" ca="1" si="83"/>
        <v>0</v>
      </c>
      <c r="BE193" s="775">
        <f t="shared" ca="1" si="84"/>
        <v>0</v>
      </c>
      <c r="BF193" s="775">
        <f t="shared" ca="1" si="85"/>
        <v>0</v>
      </c>
      <c r="BG193" s="775">
        <f t="shared" ca="1" si="86"/>
        <v>0</v>
      </c>
      <c r="BH193" s="775">
        <f t="shared" ca="1" si="100"/>
        <v>0</v>
      </c>
      <c r="BI193" s="775">
        <f t="shared" ca="1" si="101"/>
        <v>0</v>
      </c>
      <c r="BJ193" s="775">
        <f t="shared" ca="1" si="102"/>
        <v>0</v>
      </c>
      <c r="BK193" s="775">
        <f t="shared" ca="1" si="103"/>
        <v>0</v>
      </c>
      <c r="BL193" s="775">
        <f t="shared" ca="1" si="104"/>
        <v>0</v>
      </c>
      <c r="BM193" s="775">
        <f t="shared" ca="1" si="105"/>
        <v>0</v>
      </c>
      <c r="BN193" s="775">
        <f t="shared" ca="1" si="106"/>
        <v>0</v>
      </c>
      <c r="BO193" s="775">
        <f t="shared" ca="1" si="107"/>
        <v>0</v>
      </c>
      <c r="BP193" s="775">
        <f t="shared" ca="1" si="108"/>
        <v>0</v>
      </c>
      <c r="BQ193" s="775">
        <f t="shared" ca="1" si="75"/>
        <v>0</v>
      </c>
      <c r="BR193" s="775">
        <f t="shared" ca="1" si="109"/>
        <v>0</v>
      </c>
    </row>
    <row r="194" spans="1:70">
      <c r="A194" s="767" t="str">
        <f t="shared" ca="1" si="110"/>
        <v/>
      </c>
      <c r="B194" s="789" t="s">
        <v>357</v>
      </c>
      <c r="C194" s="188" t="str">
        <f ca="1">IF(F194=0,"",COUNTIF($F$78:$F194,"&gt;0"))</f>
        <v/>
      </c>
      <c r="D194" s="778" t="str">
        <f>VLOOKUP($B194,dongia1,DG!$C$5,)</f>
        <v>Cáp C/XLPE/PVC -0.6/1kV-3x70+50mm2</v>
      </c>
      <c r="E194" s="555" t="str">
        <f>VLOOKUP($B194,dongia1,DG!$D$5,)</f>
        <v>mét</v>
      </c>
      <c r="F194" s="779">
        <f t="shared" ca="1" si="116"/>
        <v>0</v>
      </c>
      <c r="G194" s="775">
        <f t="shared" ca="1" si="119"/>
        <v>0</v>
      </c>
      <c r="H194" s="775">
        <f ca="1">SUMIF(CT_tram!$B$33:$G$3559,kl!B194,CT_tram!$G$33:$G$3559)</f>
        <v>0</v>
      </c>
      <c r="I194" s="775">
        <f ca="1">SUMIF(CT_tram!$B$34:$G$115,$B194,CT_tram!$G$34:$G$115)</f>
        <v>0</v>
      </c>
      <c r="J194" s="775">
        <f ca="1">SUMIF(CT_tram!$B$122:$G$204,$B194,CT_tram!$G$122:$G$204)</f>
        <v>0</v>
      </c>
      <c r="K194" s="775">
        <f ca="1">SUMIF(CT_tram!$B$211:$G$293,$B194,CT_tram!$G$211:$G$293)</f>
        <v>0</v>
      </c>
      <c r="L194" s="775">
        <f ca="1">SUMIF(CT_tram!$B$300:$G$374,$B194,CT_tram!$G$300:$G$374)</f>
        <v>0</v>
      </c>
      <c r="M194" s="775">
        <f ca="1">SUMIF(CT_tram!$B$381:$G$471,$B194,CT_tram!$G$381:$G$471)</f>
        <v>0</v>
      </c>
      <c r="N194" s="775">
        <f ca="1">SUMIF(CT_tram!$B$478:$G$560,$B194,CT_tram!$G$478:$G$560)</f>
        <v>0</v>
      </c>
      <c r="O194" s="775">
        <f ca="1">SUMIF(CT_tram!$B$567:$G$653,$B194,CT_tram!$G$567:$G$653)</f>
        <v>0</v>
      </c>
      <c r="P194" s="775">
        <f ca="1">SUMIF(CT_tram!$B$661:$G$738,$B194,CT_tram!$G$661:$G$738)</f>
        <v>0</v>
      </c>
      <c r="Q194" s="775">
        <f ca="1">SUMIF(CT_tram!$B$745:$G$899,$B194,CT_tram!$G$745:$G$899)</f>
        <v>0</v>
      </c>
      <c r="R194" s="775">
        <f ca="1">SUMIF(CT_tram!$B$907:$G$995,$B194,CT_tram!$G$907:$G$995)</f>
        <v>0</v>
      </c>
      <c r="S194" s="775"/>
      <c r="T194" s="775">
        <f ca="1">SUMIF(CT_tram!$B$1004:$G$1097,B194,CT_tram!$G$1004:$G$1097)</f>
        <v>0</v>
      </c>
      <c r="U194" s="775"/>
      <c r="V194" s="775">
        <f ca="1">SUMIF(CT_tram!$B$1226:$G$1352,kl!B194,CT_tram!$G$1226:$G$1352)</f>
        <v>0</v>
      </c>
      <c r="W194" s="780">
        <f ca="1">SUMIF(CT_tram!$B$1105:$G$1219,kl!B194,CT_tram!$G$1105:$G$1219)</f>
        <v>0</v>
      </c>
      <c r="X194" s="775">
        <f ca="1">SUMIF(CT_tram!$B$1359:$G$1504,kl!B194,CT_tram!$G$1359:$G$1504)</f>
        <v>0</v>
      </c>
      <c r="Y194" s="775">
        <f ca="1">SUMIF(CT_tram!$B$1511:$G$1625,kl!B194,CT_tram!$G$1511:$G$1625)</f>
        <v>0</v>
      </c>
      <c r="Z194" s="775">
        <f ca="1">SUMIF(CT_tram!$B$1632:$G$2211,kl!B194,CT_tram!$G$1632:$G$2211)</f>
        <v>0</v>
      </c>
      <c r="AA194" s="775">
        <f ca="1">SUMIF(CT_tram!$B$2243:$G$2384,kl!B194,CT_tram!$G$2243:$G$2384)</f>
        <v>0</v>
      </c>
      <c r="AB194" s="775">
        <f ca="1">SUMIF(CT_tram!$B$2391:$G$2563,kl!B194,CT_tram!$G$2391:$G$2563)</f>
        <v>0</v>
      </c>
      <c r="AC194" s="775">
        <f ca="1">SUMIF(chitiet!$B$13:$N$2352,kl!$B194,chitiet!$I$13:$I$2352)</f>
        <v>0</v>
      </c>
      <c r="AD194" s="775">
        <f ca="1">SUMIF(chitiet!$B$13:$N$2352,kl!$B194,chitiet!$J$13:$J$2352)</f>
        <v>0</v>
      </c>
      <c r="AE194" s="775">
        <f ca="1">SUMIF(chitiet!$B$13:$N$2352,kl!$B194,chitiet!$K$13:$K$2352)</f>
        <v>0</v>
      </c>
      <c r="AF194" s="775">
        <f ca="1">SUMIF(chitiet!$B$13:$N$2352,kl!$B194,chitiet!$L$13:$L$2352)</f>
        <v>0</v>
      </c>
      <c r="AG194" s="775">
        <f ca="1">SUMIF(chitiet!$B$13:$N$2352,kl!$B194,chitiet!$M$13)</f>
        <v>0</v>
      </c>
      <c r="AH194" s="775">
        <f ca="1">SUMIF(chitiet!$B$13:$N$2352,kl!$B194,chitiet!$N$13:$N$2352)</f>
        <v>0</v>
      </c>
      <c r="AI194" s="775">
        <f ca="1">SUMIF(chitiet!$B$13:$N$2352,kl!$B194,chitiet!$O$13:$O$2352)</f>
        <v>0</v>
      </c>
      <c r="AJ194" s="775">
        <f ca="1">SUMIF('Cap ngam'!$B$631:$G$723,kl!$B194,'Cap ngam'!$G$631:$G$723)</f>
        <v>0</v>
      </c>
      <c r="AK194" s="775">
        <f ca="1">SUMIF('Cap ngam'!$B$403:$G$628,kl!$B194,'Cap ngam'!G$403:G$628)</f>
        <v>0</v>
      </c>
      <c r="AL194" s="775">
        <f ca="1">SUMIF('Cap ngam'!B$16:G$400,kl!$B194,'Cap ngam'!G$16:G$400)</f>
        <v>0</v>
      </c>
      <c r="AM194" s="776">
        <v>3.8879999999999999</v>
      </c>
      <c r="AN194" s="775">
        <f t="shared" ca="1" si="87"/>
        <v>0</v>
      </c>
      <c r="AO194" s="775">
        <f t="shared" ca="1" si="88"/>
        <v>0</v>
      </c>
      <c r="AP194" s="775">
        <f t="shared" ca="1" si="89"/>
        <v>0</v>
      </c>
      <c r="AQ194" s="775">
        <f t="shared" ca="1" si="90"/>
        <v>0</v>
      </c>
      <c r="AR194" s="775">
        <f t="shared" ca="1" si="91"/>
        <v>0</v>
      </c>
      <c r="AS194" s="775">
        <f t="shared" ca="1" si="92"/>
        <v>0</v>
      </c>
      <c r="AT194" s="775">
        <f t="shared" ca="1" si="93"/>
        <v>0</v>
      </c>
      <c r="AU194" s="775">
        <f t="shared" ca="1" si="94"/>
        <v>0</v>
      </c>
      <c r="AV194" s="775">
        <f t="shared" ca="1" si="95"/>
        <v>0</v>
      </c>
      <c r="AW194" s="775">
        <f t="shared" ca="1" si="96"/>
        <v>0</v>
      </c>
      <c r="AX194" s="775">
        <f t="shared" si="97"/>
        <v>0</v>
      </c>
      <c r="AY194" s="775">
        <f t="shared" ca="1" si="98"/>
        <v>0</v>
      </c>
      <c r="AZ194" s="775">
        <f t="shared" si="99"/>
        <v>0</v>
      </c>
      <c r="BA194" s="775">
        <f t="shared" ca="1" si="80"/>
        <v>0</v>
      </c>
      <c r="BB194" s="775">
        <f t="shared" ca="1" si="81"/>
        <v>0</v>
      </c>
      <c r="BC194" s="775">
        <f t="shared" ca="1" si="82"/>
        <v>0</v>
      </c>
      <c r="BD194" s="775">
        <f t="shared" ca="1" si="83"/>
        <v>0</v>
      </c>
      <c r="BE194" s="775">
        <f t="shared" ca="1" si="84"/>
        <v>0</v>
      </c>
      <c r="BF194" s="775">
        <f t="shared" ca="1" si="85"/>
        <v>0</v>
      </c>
      <c r="BG194" s="775">
        <f t="shared" ca="1" si="86"/>
        <v>0</v>
      </c>
      <c r="BH194" s="775">
        <f t="shared" ca="1" si="100"/>
        <v>0</v>
      </c>
      <c r="BI194" s="775">
        <f t="shared" ca="1" si="101"/>
        <v>0</v>
      </c>
      <c r="BJ194" s="775">
        <f t="shared" ca="1" si="102"/>
        <v>0</v>
      </c>
      <c r="BK194" s="775">
        <f t="shared" ca="1" si="103"/>
        <v>0</v>
      </c>
      <c r="BL194" s="775">
        <f t="shared" ca="1" si="104"/>
        <v>0</v>
      </c>
      <c r="BM194" s="775">
        <f t="shared" ca="1" si="105"/>
        <v>0</v>
      </c>
      <c r="BN194" s="775">
        <f t="shared" ca="1" si="106"/>
        <v>0</v>
      </c>
      <c r="BO194" s="775">
        <f t="shared" ca="1" si="107"/>
        <v>0</v>
      </c>
      <c r="BP194" s="775">
        <f t="shared" ca="1" si="108"/>
        <v>0</v>
      </c>
      <c r="BQ194" s="775">
        <f t="shared" ca="1" si="75"/>
        <v>0</v>
      </c>
      <c r="BR194" s="775">
        <f t="shared" ca="1" si="109"/>
        <v>0</v>
      </c>
    </row>
    <row r="195" spans="1:70">
      <c r="A195" s="767" t="str">
        <f t="shared" ca="1" si="110"/>
        <v/>
      </c>
      <c r="B195" s="789" t="s">
        <v>2094</v>
      </c>
      <c r="C195" s="188" t="str">
        <f ca="1">IF(F195=0,"",COUNTIF($F$78:$F195,"&gt;0"))</f>
        <v/>
      </c>
      <c r="D195" s="778" t="str">
        <f>VLOOKUP($B195,dongia1,DG!$C$5,)</f>
        <v>Cáp C/XLPE/DSTA/PVC -0.6/1kV-3x50+35mm2</v>
      </c>
      <c r="E195" s="555" t="str">
        <f>VLOOKUP($B195,dongia1,DG!$D$5,)</f>
        <v>mét</v>
      </c>
      <c r="F195" s="779">
        <f t="shared" ca="1" si="116"/>
        <v>0</v>
      </c>
      <c r="G195" s="775">
        <f t="shared" ca="1" si="119"/>
        <v>0</v>
      </c>
      <c r="H195" s="775">
        <f ca="1">SUMIF(CT_tram!$B$33:$G$3559,kl!B195,CT_tram!$G$33:$G$3559)</f>
        <v>0</v>
      </c>
      <c r="I195" s="775">
        <f ca="1">SUMIF(CT_tram!$B$34:$G$115,$B195,CT_tram!$G$34:$G$115)</f>
        <v>0</v>
      </c>
      <c r="J195" s="775">
        <f ca="1">SUMIF(CT_tram!$B$122:$G$204,$B195,CT_tram!$G$122:$G$204)</f>
        <v>0</v>
      </c>
      <c r="K195" s="775">
        <f ca="1">SUMIF(CT_tram!$B$211:$G$293,$B195,CT_tram!$G$211:$G$293)</f>
        <v>0</v>
      </c>
      <c r="L195" s="775">
        <f ca="1">SUMIF(CT_tram!$B$300:$G$374,$B195,CT_tram!$G$300:$G$374)</f>
        <v>0</v>
      </c>
      <c r="M195" s="775">
        <f ca="1">SUMIF(CT_tram!$B$381:$G$471,$B195,CT_tram!$G$381:$G$471)</f>
        <v>0</v>
      </c>
      <c r="N195" s="775">
        <f ca="1">SUMIF(CT_tram!$B$478:$G$560,$B195,CT_tram!$G$478:$G$560)</f>
        <v>0</v>
      </c>
      <c r="O195" s="775">
        <f ca="1">SUMIF(CT_tram!$B$567:$G$653,$B195,CT_tram!$G$567:$G$653)</f>
        <v>0</v>
      </c>
      <c r="P195" s="775">
        <f ca="1">SUMIF(CT_tram!$B$661:$G$738,$B195,CT_tram!$G$661:$G$738)</f>
        <v>0</v>
      </c>
      <c r="Q195" s="775">
        <f ca="1">SUMIF(CT_tram!$B$745:$G$899,$B195,CT_tram!$G$745:$G$899)</f>
        <v>0</v>
      </c>
      <c r="R195" s="775">
        <f ca="1">SUMIF(CT_tram!$B$907:$G$995,$B195,CT_tram!$G$907:$G$995)</f>
        <v>0</v>
      </c>
      <c r="S195" s="775"/>
      <c r="T195" s="775">
        <f ca="1">SUMIF(CT_tram!$B$1004:$G$1097,B195,CT_tram!$G$1004:$G$1097)</f>
        <v>0</v>
      </c>
      <c r="U195" s="775"/>
      <c r="V195" s="775">
        <f ca="1">SUMIF(CT_tram!$B$1226:$G$1352,kl!B195,CT_tram!$G$1226:$G$1352)</f>
        <v>0</v>
      </c>
      <c r="W195" s="780">
        <f ca="1">SUMIF(CT_tram!$B$1105:$G$1219,kl!B195,CT_tram!$G$1105:$G$1219)</f>
        <v>0</v>
      </c>
      <c r="X195" s="775">
        <f ca="1">SUMIF(CT_tram!$B$1359:$G$1504,kl!B195,CT_tram!$G$1359:$G$1504)</f>
        <v>0</v>
      </c>
      <c r="Y195" s="775">
        <f ca="1">SUMIF(CT_tram!$B$1511:$G$1625,kl!B195,CT_tram!$G$1511:$G$1625)</f>
        <v>0</v>
      </c>
      <c r="Z195" s="775">
        <f ca="1">SUMIF(CT_tram!$B$1632:$G$2211,kl!B195,CT_tram!$G$1632:$G$2211)</f>
        <v>0</v>
      </c>
      <c r="AA195" s="775">
        <f ca="1">SUMIF(CT_tram!$B$2243:$G$2384,kl!B195,CT_tram!$G$2243:$G$2384)</f>
        <v>0</v>
      </c>
      <c r="AB195" s="775">
        <f ca="1">SUMIF(CT_tram!$B$2391:$G$2563,kl!B195,CT_tram!$G$2391:$G$2563)</f>
        <v>0</v>
      </c>
      <c r="AC195" s="775">
        <f ca="1">SUMIF(chitiet!$B$13:$N$2352,kl!$B195,chitiet!$I$13:$I$2352)</f>
        <v>0</v>
      </c>
      <c r="AD195" s="775">
        <f ca="1">SUMIF(chitiet!$B$13:$N$2352,kl!$B195,chitiet!$J$13:$J$2352)</f>
        <v>0</v>
      </c>
      <c r="AE195" s="775">
        <f ca="1">SUMIF(chitiet!$B$13:$N$2352,kl!$B195,chitiet!$K$13:$K$2352)</f>
        <v>0</v>
      </c>
      <c r="AF195" s="775">
        <f ca="1">SUMIF(chitiet!$B$13:$N$2352,kl!$B195,chitiet!$L$13:$L$2352)</f>
        <v>0</v>
      </c>
      <c r="AG195" s="775">
        <f ca="1">SUMIF(chitiet!$B$13:$N$2352,kl!$B195,chitiet!$M$13)</f>
        <v>0</v>
      </c>
      <c r="AH195" s="775">
        <f ca="1">SUMIF(chitiet!$B$13:$N$2352,kl!$B195,chitiet!$N$13:$N$2352)</f>
        <v>0</v>
      </c>
      <c r="AI195" s="775">
        <f ca="1">SUMIF(chitiet!$B$13:$N$2352,kl!$B195,chitiet!$O$13:$O$2352)</f>
        <v>0</v>
      </c>
      <c r="AJ195" s="775">
        <f ca="1">SUMIF('Cap ngam'!$B$631:$G$723,kl!$B195,'Cap ngam'!$G$631:$G$723)</f>
        <v>0</v>
      </c>
      <c r="AK195" s="775">
        <f ca="1">SUMIF('Cap ngam'!$B$403:$G$628,kl!$B195,'Cap ngam'!G$403:G$628)</f>
        <v>0</v>
      </c>
      <c r="AL195" s="775">
        <f ca="1">SUMIF('Cap ngam'!B$16:G$400,kl!$B195,'Cap ngam'!G$16:G$400)</f>
        <v>0</v>
      </c>
      <c r="AM195" s="776">
        <v>2.54</v>
      </c>
      <c r="AN195" s="775">
        <f t="shared" ca="1" si="87"/>
        <v>0</v>
      </c>
      <c r="AO195" s="775">
        <f t="shared" ca="1" si="88"/>
        <v>0</v>
      </c>
      <c r="AP195" s="775">
        <f t="shared" ca="1" si="89"/>
        <v>0</v>
      </c>
      <c r="AQ195" s="775">
        <f t="shared" ca="1" si="90"/>
        <v>0</v>
      </c>
      <c r="AR195" s="775">
        <f t="shared" ca="1" si="91"/>
        <v>0</v>
      </c>
      <c r="AS195" s="775">
        <f t="shared" ca="1" si="92"/>
        <v>0</v>
      </c>
      <c r="AT195" s="775">
        <f t="shared" ca="1" si="93"/>
        <v>0</v>
      </c>
      <c r="AU195" s="775">
        <f t="shared" ca="1" si="94"/>
        <v>0</v>
      </c>
      <c r="AV195" s="775">
        <f t="shared" ca="1" si="95"/>
        <v>0</v>
      </c>
      <c r="AW195" s="775">
        <f t="shared" ca="1" si="96"/>
        <v>0</v>
      </c>
      <c r="AX195" s="775">
        <f t="shared" si="97"/>
        <v>0</v>
      </c>
      <c r="AY195" s="775">
        <f t="shared" ca="1" si="98"/>
        <v>0</v>
      </c>
      <c r="AZ195" s="775">
        <f t="shared" si="99"/>
        <v>0</v>
      </c>
      <c r="BA195" s="775">
        <f t="shared" ca="1" si="80"/>
        <v>0</v>
      </c>
      <c r="BB195" s="775">
        <f t="shared" ca="1" si="81"/>
        <v>0</v>
      </c>
      <c r="BC195" s="775">
        <f t="shared" ca="1" si="82"/>
        <v>0</v>
      </c>
      <c r="BD195" s="775">
        <f t="shared" ca="1" si="83"/>
        <v>0</v>
      </c>
      <c r="BE195" s="775">
        <f t="shared" ca="1" si="84"/>
        <v>0</v>
      </c>
      <c r="BF195" s="775">
        <f t="shared" ca="1" si="85"/>
        <v>0</v>
      </c>
      <c r="BG195" s="775">
        <f t="shared" ca="1" si="86"/>
        <v>0</v>
      </c>
      <c r="BH195" s="775">
        <f t="shared" ca="1" si="100"/>
        <v>0</v>
      </c>
      <c r="BI195" s="775">
        <f t="shared" ca="1" si="101"/>
        <v>0</v>
      </c>
      <c r="BJ195" s="775">
        <f t="shared" ca="1" si="102"/>
        <v>0</v>
      </c>
      <c r="BK195" s="775">
        <f t="shared" ca="1" si="103"/>
        <v>0</v>
      </c>
      <c r="BL195" s="775">
        <f t="shared" ca="1" si="104"/>
        <v>0</v>
      </c>
      <c r="BM195" s="775">
        <f t="shared" ca="1" si="105"/>
        <v>0</v>
      </c>
      <c r="BN195" s="775">
        <f t="shared" ca="1" si="106"/>
        <v>0</v>
      </c>
      <c r="BO195" s="775">
        <f t="shared" ca="1" si="107"/>
        <v>0</v>
      </c>
      <c r="BP195" s="775">
        <f t="shared" ca="1" si="108"/>
        <v>0</v>
      </c>
      <c r="BQ195" s="775">
        <f t="shared" ca="1" si="75"/>
        <v>0</v>
      </c>
      <c r="BR195" s="775">
        <f t="shared" ca="1" si="109"/>
        <v>0</v>
      </c>
    </row>
    <row r="196" spans="1:70">
      <c r="A196" s="767" t="str">
        <f ca="1">IF(F196&lt;&gt;0,"X","")</f>
        <v/>
      </c>
      <c r="B196" s="789" t="s">
        <v>1618</v>
      </c>
      <c r="C196" s="188" t="str">
        <f ca="1">IF(F196=0,"",COUNTIF($F$78:$F196,"&gt;0"))</f>
        <v/>
      </c>
      <c r="D196" s="778" t="str">
        <f>VLOOKUP($B196,dongia1,DG!$C$5,)</f>
        <v>Cáp C/XLPE/PVC -0.6/1kV-4x16mm2</v>
      </c>
      <c r="E196" s="555" t="str">
        <f>VLOOKUP($B196,dongia1,DG!$D$5,)</f>
        <v>mét</v>
      </c>
      <c r="F196" s="779">
        <f t="shared" ca="1" si="116"/>
        <v>0</v>
      </c>
      <c r="G196" s="775">
        <f ca="1">SUM(AC196:AL196)</f>
        <v>0</v>
      </c>
      <c r="H196" s="775">
        <f ca="1">SUMIF(CT_tram!$B$33:$G$3559,kl!B196,CT_tram!$G$33:$G$3559)</f>
        <v>0</v>
      </c>
      <c r="I196" s="775">
        <f ca="1">SUMIF(CT_tram!$B$34:$G$115,$B196,CT_tram!$G$34:$G$115)</f>
        <v>0</v>
      </c>
      <c r="J196" s="775">
        <f ca="1">SUMIF(CT_tram!$B$122:$G$204,$B196,CT_tram!$G$122:$G$204)</f>
        <v>0</v>
      </c>
      <c r="K196" s="775">
        <f ca="1">SUMIF(CT_tram!$B$211:$G$293,$B196,CT_tram!$G$211:$G$293)</f>
        <v>0</v>
      </c>
      <c r="L196" s="775">
        <f ca="1">SUMIF(CT_tram!$B$300:$G$374,$B196,CT_tram!$G$300:$G$374)</f>
        <v>0</v>
      </c>
      <c r="M196" s="775">
        <f ca="1">SUMIF(CT_tram!$B$381:$G$471,$B196,CT_tram!$G$381:$G$471)</f>
        <v>0</v>
      </c>
      <c r="N196" s="775">
        <f ca="1">SUMIF(CT_tram!$B$478:$G$560,$B196,CT_tram!$G$478:$G$560)</f>
        <v>0</v>
      </c>
      <c r="O196" s="775">
        <f ca="1">SUMIF(CT_tram!$B$567:$G$653,$B196,CT_tram!$G$567:$G$653)</f>
        <v>0</v>
      </c>
      <c r="P196" s="775">
        <f ca="1">SUMIF(CT_tram!$B$661:$G$738,$B196,CT_tram!$G$661:$G$738)</f>
        <v>0</v>
      </c>
      <c r="Q196" s="775">
        <f ca="1">SUMIF(CT_tram!$B$745:$G$899,$B196,CT_tram!$G$745:$G$899)</f>
        <v>0</v>
      </c>
      <c r="R196" s="775">
        <f ca="1">SUMIF(CT_tram!$B$907:$G$995,$B196,CT_tram!$G$907:$G$995)</f>
        <v>0</v>
      </c>
      <c r="S196" s="775"/>
      <c r="T196" s="775">
        <f ca="1">SUMIF(CT_tram!$B$1004:$G$1097,B196,CT_tram!$G$1004:$G$1097)</f>
        <v>0</v>
      </c>
      <c r="U196" s="775"/>
      <c r="V196" s="775">
        <f ca="1">SUMIF(CT_tram!$B$1226:$G$1352,kl!B196,CT_tram!$G$1226:$G$1352)</f>
        <v>0</v>
      </c>
      <c r="W196" s="780">
        <f ca="1">SUMIF(CT_tram!$B$1105:$G$1219,kl!B196,CT_tram!$G$1105:$G$1219)</f>
        <v>0</v>
      </c>
      <c r="X196" s="775">
        <f ca="1">SUMIF(CT_tram!$B$1359:$G$1504,kl!B196,CT_tram!$G$1359:$G$1504)</f>
        <v>0</v>
      </c>
      <c r="Y196" s="775">
        <f ca="1">SUMIF(CT_tram!$B$1511:$G$1625,kl!B196,CT_tram!$G$1511:$G$1625)</f>
        <v>0</v>
      </c>
      <c r="Z196" s="775">
        <f ca="1">SUMIF(CT_tram!$B$1632:$G$2211,kl!B196,CT_tram!$G$1632:$G$2211)</f>
        <v>0</v>
      </c>
      <c r="AA196" s="775">
        <f ca="1">SUMIF(CT_tram!$B$2243:$G$2384,kl!B196,CT_tram!$G$2243:$G$2384)</f>
        <v>0</v>
      </c>
      <c r="AB196" s="775">
        <f ca="1">SUMIF(CT_tram!$B$2391:$G$2563,kl!B196,CT_tram!$G$2391:$G$2563)</f>
        <v>0</v>
      </c>
      <c r="AC196" s="775">
        <f ca="1">SUMIF(chitiet!$B$13:$N$2352,kl!$B196,chitiet!$I$13:$I$2352)</f>
        <v>0</v>
      </c>
      <c r="AD196" s="775">
        <f ca="1">SUMIF(chitiet!$B$13:$N$2352,kl!$B196,chitiet!$J$13:$J$2352)</f>
        <v>0</v>
      </c>
      <c r="AE196" s="775">
        <f ca="1">SUMIF(chitiet!$B$13:$N$2352,kl!$B196,chitiet!$K$13:$K$2352)</f>
        <v>0</v>
      </c>
      <c r="AF196" s="775">
        <f ca="1">SUMIF(chitiet!$B$13:$N$2352,kl!$B196,chitiet!$L$13:$L$2352)</f>
        <v>0</v>
      </c>
      <c r="AG196" s="775">
        <f ca="1">SUMIF(chitiet!$B$13:$N$2352,kl!$B196,chitiet!$M$13)</f>
        <v>0</v>
      </c>
      <c r="AH196" s="775">
        <f ca="1">SUMIF(chitiet!$B$13:$N$2352,kl!$B196,chitiet!$N$13:$N$2352)</f>
        <v>0</v>
      </c>
      <c r="AI196" s="775">
        <f ca="1">SUMIF(chitiet!$B$13:$N$2352,kl!$B196,chitiet!$O$13:$O$2352)</f>
        <v>0</v>
      </c>
      <c r="AJ196" s="775">
        <f ca="1">SUMIF('Cap ngam'!$B$631:$G$723,kl!$B196,'Cap ngam'!$G$631:$G$723)</f>
        <v>0</v>
      </c>
      <c r="AK196" s="775">
        <f ca="1">SUMIF('Cap ngam'!$B$403:$G$628,kl!$B196,'Cap ngam'!G$403:G$628)</f>
        <v>0</v>
      </c>
      <c r="AL196" s="775">
        <f ca="1">SUMIF('Cap ngam'!B$16:G$400,kl!$B196,'Cap ngam'!G$16:G$400)</f>
        <v>0</v>
      </c>
      <c r="AM196" s="776">
        <v>0.81499999999999995</v>
      </c>
      <c r="AN196" s="775">
        <f t="shared" ca="1" si="87"/>
        <v>0</v>
      </c>
      <c r="AO196" s="775">
        <f t="shared" ca="1" si="88"/>
        <v>0</v>
      </c>
      <c r="AP196" s="775">
        <f t="shared" ca="1" si="89"/>
        <v>0</v>
      </c>
      <c r="AQ196" s="775">
        <f t="shared" ca="1" si="90"/>
        <v>0</v>
      </c>
      <c r="AR196" s="775">
        <f t="shared" ca="1" si="91"/>
        <v>0</v>
      </c>
      <c r="AS196" s="775">
        <f t="shared" ca="1" si="92"/>
        <v>0</v>
      </c>
      <c r="AT196" s="775">
        <f t="shared" ca="1" si="93"/>
        <v>0</v>
      </c>
      <c r="AU196" s="775">
        <f t="shared" ca="1" si="94"/>
        <v>0</v>
      </c>
      <c r="AV196" s="775">
        <f t="shared" ca="1" si="95"/>
        <v>0</v>
      </c>
      <c r="AW196" s="775">
        <f t="shared" ca="1" si="96"/>
        <v>0</v>
      </c>
      <c r="AX196" s="775">
        <f t="shared" si="97"/>
        <v>0</v>
      </c>
      <c r="AY196" s="775">
        <f t="shared" ca="1" si="98"/>
        <v>0</v>
      </c>
      <c r="AZ196" s="775">
        <f t="shared" si="99"/>
        <v>0</v>
      </c>
      <c r="BA196" s="775">
        <f t="shared" ca="1" si="80"/>
        <v>0</v>
      </c>
      <c r="BB196" s="775">
        <f t="shared" ca="1" si="81"/>
        <v>0</v>
      </c>
      <c r="BC196" s="775">
        <f t="shared" ca="1" si="82"/>
        <v>0</v>
      </c>
      <c r="BD196" s="775">
        <f t="shared" ca="1" si="83"/>
        <v>0</v>
      </c>
      <c r="BE196" s="775">
        <f t="shared" ca="1" si="84"/>
        <v>0</v>
      </c>
      <c r="BF196" s="775">
        <f t="shared" ca="1" si="85"/>
        <v>0</v>
      </c>
      <c r="BG196" s="775">
        <f t="shared" ca="1" si="86"/>
        <v>0</v>
      </c>
      <c r="BH196" s="775">
        <f t="shared" ca="1" si="100"/>
        <v>0</v>
      </c>
      <c r="BI196" s="775">
        <f t="shared" ca="1" si="101"/>
        <v>0</v>
      </c>
      <c r="BJ196" s="775">
        <f t="shared" ca="1" si="102"/>
        <v>0</v>
      </c>
      <c r="BK196" s="775">
        <f t="shared" ca="1" si="103"/>
        <v>0</v>
      </c>
      <c r="BL196" s="775">
        <f t="shared" ca="1" si="104"/>
        <v>0</v>
      </c>
      <c r="BM196" s="775">
        <f t="shared" ca="1" si="105"/>
        <v>0</v>
      </c>
      <c r="BN196" s="775">
        <f t="shared" ca="1" si="106"/>
        <v>0</v>
      </c>
      <c r="BO196" s="775">
        <f t="shared" ca="1" si="107"/>
        <v>0</v>
      </c>
      <c r="BP196" s="775">
        <f t="shared" ca="1" si="108"/>
        <v>0</v>
      </c>
      <c r="BQ196" s="775">
        <f t="shared" ca="1" si="75"/>
        <v>0</v>
      </c>
      <c r="BR196" s="775">
        <f t="shared" ca="1" si="109"/>
        <v>0</v>
      </c>
    </row>
    <row r="197" spans="1:70">
      <c r="A197" s="767" t="str">
        <f t="shared" ca="1" si="110"/>
        <v/>
      </c>
      <c r="B197" s="786" t="s">
        <v>959</v>
      </c>
      <c r="C197" s="188" t="str">
        <f ca="1">IF(F197=0,"",COUNTIF($F$78:$F197,"&gt;0"))</f>
        <v/>
      </c>
      <c r="D197" s="778" t="str">
        <f>VLOOKUP($B197,dongia1,DG!$C$5,)</f>
        <v>Cáp nhôm A-35</v>
      </c>
      <c r="E197" s="555" t="str">
        <f>VLOOKUP($B197,dongia1,DG!$D$5,)</f>
        <v>kg</v>
      </c>
      <c r="F197" s="779">
        <f t="shared" ref="F197:F203" ca="1" si="120">G197+H197</f>
        <v>0</v>
      </c>
      <c r="G197" s="775">
        <f t="shared" ca="1" si="76"/>
        <v>0</v>
      </c>
      <c r="H197" s="775">
        <f ca="1">SUMIF(CT_tram!$B$33:$G$3559,kl!B197,CT_tram!$G$33:$G$3559)</f>
        <v>0</v>
      </c>
      <c r="I197" s="775">
        <f ca="1">SUMIF(CT_tram!$B$34:$G$115,$B197,CT_tram!$G$34:$G$115)</f>
        <v>0</v>
      </c>
      <c r="J197" s="775">
        <f ca="1">SUMIF(CT_tram!$B$122:$G$204,$B197,CT_tram!$G$122:$G$204)</f>
        <v>0</v>
      </c>
      <c r="K197" s="775">
        <f ca="1">SUMIF(CT_tram!$B$211:$G$293,$B197,CT_tram!$G$211:$G$293)</f>
        <v>0</v>
      </c>
      <c r="L197" s="775">
        <f ca="1">SUMIF(CT_tram!$B$300:$G$374,$B197,CT_tram!$G$300:$G$374)</f>
        <v>0</v>
      </c>
      <c r="M197" s="775">
        <f ca="1">SUMIF(CT_tram!$B$381:$G$471,$B197,CT_tram!$G$381:$G$471)</f>
        <v>0</v>
      </c>
      <c r="N197" s="775">
        <f ca="1">SUMIF(CT_tram!$B$478:$G$560,$B197,CT_tram!$G$478:$G$560)</f>
        <v>0</v>
      </c>
      <c r="O197" s="775">
        <f ca="1">SUMIF(CT_tram!$B$567:$G$653,$B197,CT_tram!$G$567:$G$653)</f>
        <v>0</v>
      </c>
      <c r="P197" s="775">
        <f ca="1">SUMIF(CT_tram!$B$661:$G$738,$B197,CT_tram!$G$661:$G$738)</f>
        <v>0</v>
      </c>
      <c r="Q197" s="775">
        <f ca="1">SUMIF(CT_tram!$B$745:$G$899,$B197,CT_tram!$G$745:$G$899)</f>
        <v>0</v>
      </c>
      <c r="R197" s="775">
        <f ca="1">SUMIF(CT_tram!$B$907:$G$995,$B197,CT_tram!$G$907:$G$995)</f>
        <v>0</v>
      </c>
      <c r="S197" s="775"/>
      <c r="T197" s="775">
        <f ca="1">SUMIF(CT_tram!$B$1004:$G$1097,B197,CT_tram!$G$1004:$G$1097)</f>
        <v>0</v>
      </c>
      <c r="U197" s="775"/>
      <c r="V197" s="775">
        <f ca="1">SUMIF(CT_tram!$B$1226:$G$1352,kl!B197,CT_tram!$G$1226:$G$1352)</f>
        <v>0</v>
      </c>
      <c r="W197" s="780">
        <f ca="1">SUMIF(CT_tram!$B$1105:$G$1219,kl!B197,CT_tram!$G$1105:$G$1219)</f>
        <v>0</v>
      </c>
      <c r="X197" s="775">
        <f ca="1">SUMIF(CT_tram!$B$1359:$G$1504,kl!B197,CT_tram!$G$1359:$G$1504)</f>
        <v>0</v>
      </c>
      <c r="Y197" s="775">
        <f ca="1">SUMIF(CT_tram!$B$1511:$G$1625,kl!B197,CT_tram!$G$1511:$G$1625)</f>
        <v>0</v>
      </c>
      <c r="Z197" s="775">
        <f ca="1">SUMIF(CT_tram!$B$1632:$G$2211,kl!B197,CT_tram!$G$1632:$G$2211)</f>
        <v>0</v>
      </c>
      <c r="AA197" s="775">
        <f ca="1">SUMIF(CT_tram!$B$2243:$G$2384,kl!B197,CT_tram!$G$2243:$G$2384)</f>
        <v>0</v>
      </c>
      <c r="AB197" s="775">
        <f ca="1">SUMIF(CT_tram!$B$2391:$G$2563,kl!B197,CT_tram!$G$2391:$G$2563)</f>
        <v>0</v>
      </c>
      <c r="AC197" s="775">
        <f ca="1">SUMIF(chitiet!$B$13:$N$2352,kl!$B197,chitiet!$I$13:$I$2352)</f>
        <v>0</v>
      </c>
      <c r="AD197" s="775">
        <f ca="1">SUMIF(chitiet!$B$13:$N$2352,kl!$B197,chitiet!$J$13:$J$2352)</f>
        <v>0</v>
      </c>
      <c r="AE197" s="775">
        <f ca="1">SUMIF(chitiet!$B$13:$N$2352,kl!$B197,chitiet!$K$13:$K$2352)</f>
        <v>0</v>
      </c>
      <c r="AF197" s="775">
        <f ca="1">SUMIF(chitiet!$B$13:$N$2352,kl!$B197,chitiet!$L$13:$L$2352)</f>
        <v>0</v>
      </c>
      <c r="AG197" s="775">
        <f ca="1">SUMIF(chitiet!$B$13:$N$2352,kl!$B197,chitiet!$M$13)</f>
        <v>0</v>
      </c>
      <c r="AH197" s="775">
        <f ca="1">SUMIF(chitiet!$B$13:$N$2352,kl!$B197,chitiet!$N$13:$N$2352)</f>
        <v>0</v>
      </c>
      <c r="AI197" s="775">
        <f ca="1">SUMIF(chitiet!$B$13:$N$2352,kl!$B197,chitiet!$O$13:$O$2352)</f>
        <v>0</v>
      </c>
      <c r="AJ197" s="775">
        <f ca="1">SUMIF('Cap ngam'!$B$631:$G$723,kl!$B197,'Cap ngam'!$G$631:$G$723)</f>
        <v>0</v>
      </c>
      <c r="AK197" s="775">
        <f ca="1">SUMIF('Cap ngam'!$B$403:$G$628,kl!$B197,'Cap ngam'!G$403:G$628)</f>
        <v>0</v>
      </c>
      <c r="AL197" s="775">
        <f ca="1">SUMIF('Cap ngam'!B$16:G$400,kl!$B197,'Cap ngam'!G$16:G$400)</f>
        <v>0</v>
      </c>
      <c r="AM197" s="776">
        <v>9.4E-2</v>
      </c>
      <c r="AN197" s="775">
        <f t="shared" ca="1" si="87"/>
        <v>0</v>
      </c>
      <c r="AO197" s="775">
        <f t="shared" ca="1" si="88"/>
        <v>0</v>
      </c>
      <c r="AP197" s="775">
        <f t="shared" ca="1" si="89"/>
        <v>0</v>
      </c>
      <c r="AQ197" s="775">
        <f t="shared" ca="1" si="90"/>
        <v>0</v>
      </c>
      <c r="AR197" s="775">
        <f t="shared" ca="1" si="91"/>
        <v>0</v>
      </c>
      <c r="AS197" s="775">
        <f t="shared" ca="1" si="92"/>
        <v>0</v>
      </c>
      <c r="AT197" s="775">
        <f t="shared" ca="1" si="93"/>
        <v>0</v>
      </c>
      <c r="AU197" s="775">
        <f t="shared" ca="1" si="94"/>
        <v>0</v>
      </c>
      <c r="AV197" s="775">
        <f t="shared" ca="1" si="95"/>
        <v>0</v>
      </c>
      <c r="AW197" s="775">
        <f t="shared" ca="1" si="96"/>
        <v>0</v>
      </c>
      <c r="AX197" s="775">
        <f t="shared" si="97"/>
        <v>0</v>
      </c>
      <c r="AY197" s="775">
        <f t="shared" ca="1" si="98"/>
        <v>0</v>
      </c>
      <c r="AZ197" s="775">
        <f t="shared" si="99"/>
        <v>0</v>
      </c>
      <c r="BA197" s="775">
        <f t="shared" ca="1" si="80"/>
        <v>0</v>
      </c>
      <c r="BB197" s="775">
        <f t="shared" ca="1" si="81"/>
        <v>0</v>
      </c>
      <c r="BC197" s="775">
        <f t="shared" ca="1" si="82"/>
        <v>0</v>
      </c>
      <c r="BD197" s="775">
        <f t="shared" ca="1" si="83"/>
        <v>0</v>
      </c>
      <c r="BE197" s="775">
        <f t="shared" ca="1" si="84"/>
        <v>0</v>
      </c>
      <c r="BF197" s="775">
        <f t="shared" ca="1" si="85"/>
        <v>0</v>
      </c>
      <c r="BG197" s="775">
        <f t="shared" ca="1" si="86"/>
        <v>0</v>
      </c>
      <c r="BH197" s="775">
        <f t="shared" ca="1" si="100"/>
        <v>0</v>
      </c>
      <c r="BI197" s="775">
        <f t="shared" ca="1" si="101"/>
        <v>0</v>
      </c>
      <c r="BJ197" s="775">
        <f t="shared" ca="1" si="102"/>
        <v>0</v>
      </c>
      <c r="BK197" s="775">
        <f t="shared" ca="1" si="103"/>
        <v>0</v>
      </c>
      <c r="BL197" s="775">
        <f t="shared" ca="1" si="104"/>
        <v>0</v>
      </c>
      <c r="BM197" s="775">
        <f t="shared" ca="1" si="105"/>
        <v>0</v>
      </c>
      <c r="BN197" s="775">
        <f t="shared" ca="1" si="106"/>
        <v>0</v>
      </c>
      <c r="BO197" s="775">
        <f t="shared" ca="1" si="107"/>
        <v>0</v>
      </c>
      <c r="BP197" s="775">
        <f t="shared" ca="1" si="108"/>
        <v>0</v>
      </c>
      <c r="BQ197" s="775">
        <f t="shared" ca="1" si="75"/>
        <v>0</v>
      </c>
      <c r="BR197" s="775">
        <f t="shared" ca="1" si="109"/>
        <v>0</v>
      </c>
    </row>
    <row r="198" spans="1:70">
      <c r="A198" s="767" t="str">
        <f t="shared" ca="1" si="110"/>
        <v/>
      </c>
      <c r="B198" s="786" t="s">
        <v>1966</v>
      </c>
      <c r="C198" s="188" t="str">
        <f ca="1">IF(F198=0,"",COUNTIF($F$78:$F198,"&gt;0"))</f>
        <v/>
      </c>
      <c r="D198" s="778" t="str">
        <f>VLOOKUP($B198,dongia1,DG!$C$5,)</f>
        <v>Cáp nhôm A-50</v>
      </c>
      <c r="E198" s="555" t="str">
        <f>VLOOKUP($B198,dongia1,DG!$D$5,)</f>
        <v>kg</v>
      </c>
      <c r="F198" s="779">
        <f t="shared" ca="1" si="120"/>
        <v>0</v>
      </c>
      <c r="G198" s="775">
        <f t="shared" ca="1" si="76"/>
        <v>0</v>
      </c>
      <c r="H198" s="775">
        <f ca="1">SUMIF(CT_tram!$B$33:$G$3559,kl!B198,CT_tram!$G$33:$G$3559)</f>
        <v>0</v>
      </c>
      <c r="I198" s="775">
        <f ca="1">SUMIF(CT_tram!$B$34:$G$115,$B198,CT_tram!$G$34:$G$115)</f>
        <v>0</v>
      </c>
      <c r="J198" s="775">
        <f ca="1">SUMIF(CT_tram!$B$122:$G$204,$B198,CT_tram!$G$122:$G$204)</f>
        <v>0</v>
      </c>
      <c r="K198" s="775">
        <f ca="1">SUMIF(CT_tram!$B$211:$G$293,$B198,CT_tram!$G$211:$G$293)</f>
        <v>0</v>
      </c>
      <c r="L198" s="775">
        <f ca="1">SUMIF(CT_tram!$B$300:$G$374,$B198,CT_tram!$G$300:$G$374)</f>
        <v>0</v>
      </c>
      <c r="M198" s="775">
        <f ca="1">SUMIF(CT_tram!$B$381:$G$471,$B198,CT_tram!$G$381:$G$471)</f>
        <v>0</v>
      </c>
      <c r="N198" s="775">
        <f ca="1">SUMIF(CT_tram!$B$478:$G$560,$B198,CT_tram!$G$478:$G$560)</f>
        <v>0</v>
      </c>
      <c r="O198" s="775">
        <f ca="1">SUMIF(CT_tram!$B$567:$G$653,$B198,CT_tram!$G$567:$G$653)</f>
        <v>0</v>
      </c>
      <c r="P198" s="775">
        <f ca="1">SUMIF(CT_tram!$B$661:$G$738,$B198,CT_tram!$G$661:$G$738)</f>
        <v>0</v>
      </c>
      <c r="Q198" s="775">
        <f ca="1">SUMIF(CT_tram!$B$745:$G$899,$B198,CT_tram!$G$745:$G$899)</f>
        <v>0</v>
      </c>
      <c r="R198" s="775">
        <f ca="1">SUMIF(CT_tram!$B$907:$G$995,$B198,CT_tram!$G$907:$G$995)</f>
        <v>0</v>
      </c>
      <c r="S198" s="775"/>
      <c r="T198" s="775">
        <f ca="1">SUMIF(CT_tram!$B$1004:$G$1097,B198,CT_tram!$G$1004:$G$1097)</f>
        <v>0</v>
      </c>
      <c r="U198" s="775"/>
      <c r="V198" s="775">
        <f ca="1">SUMIF(CT_tram!$B$1226:$G$1352,kl!B198,CT_tram!$G$1226:$G$1352)</f>
        <v>0</v>
      </c>
      <c r="W198" s="780">
        <f ca="1">SUMIF(CT_tram!$B$1105:$G$1219,kl!B198,CT_tram!$G$1105:$G$1219)</f>
        <v>0</v>
      </c>
      <c r="X198" s="775">
        <f ca="1">SUMIF(CT_tram!$B$1359:$G$1504,kl!B198,CT_tram!$G$1359:$G$1504)</f>
        <v>0</v>
      </c>
      <c r="Y198" s="775">
        <f ca="1">SUMIF(CT_tram!$B$1511:$G$1625,kl!B198,CT_tram!$G$1511:$G$1625)</f>
        <v>0</v>
      </c>
      <c r="Z198" s="775">
        <f ca="1">SUMIF(CT_tram!$B$1632:$G$2211,kl!B198,CT_tram!$G$1632:$G$2211)</f>
        <v>0</v>
      </c>
      <c r="AA198" s="775">
        <f ca="1">SUMIF(CT_tram!$B$2243:$G$2384,kl!B198,CT_tram!$G$2243:$G$2384)</f>
        <v>0</v>
      </c>
      <c r="AB198" s="775">
        <f ca="1">SUMIF(CT_tram!$B$2391:$G$2563,kl!B198,CT_tram!$G$2391:$G$2563)</f>
        <v>0</v>
      </c>
      <c r="AC198" s="775">
        <f ca="1">SUMIF(chitiet!$B$13:$N$2352,kl!$B198,chitiet!$I$13:$I$2352)</f>
        <v>0</v>
      </c>
      <c r="AD198" s="775">
        <f ca="1">SUMIF(chitiet!$B$13:$N$2352,kl!$B198,chitiet!$J$13:$J$2352)</f>
        <v>0</v>
      </c>
      <c r="AE198" s="775">
        <f ca="1">SUMIF(chitiet!$B$13:$N$2352,kl!$B198,chitiet!$K$13:$K$2352)</f>
        <v>0</v>
      </c>
      <c r="AF198" s="775">
        <f ca="1">SUMIF(chitiet!$B$13:$N$2352,kl!$B198,chitiet!$L$13:$L$2352)</f>
        <v>0</v>
      </c>
      <c r="AG198" s="775">
        <f ca="1">SUMIF(chitiet!$B$13:$N$2352,kl!$B198,chitiet!$M$13)</f>
        <v>0</v>
      </c>
      <c r="AH198" s="775">
        <f ca="1">SUMIF(chitiet!$B$13:$N$2352,kl!$B198,chitiet!$N$13:$N$2352)</f>
        <v>0</v>
      </c>
      <c r="AI198" s="775">
        <f ca="1">SUMIF(chitiet!$B$13:$N$2352,kl!$B198,chitiet!$O$13:$O$2352)</f>
        <v>0</v>
      </c>
      <c r="AJ198" s="775">
        <f ca="1">SUMIF('Cap ngam'!$B$631:$G$723,kl!$B198,'Cap ngam'!$G$631:$G$723)</f>
        <v>0</v>
      </c>
      <c r="AK198" s="775">
        <f ca="1">SUMIF('Cap ngam'!$B$403:$G$628,kl!$B198,'Cap ngam'!G$403:G$628)</f>
        <v>0</v>
      </c>
      <c r="AL198" s="775">
        <f ca="1">SUMIF('Cap ngam'!B$16:G$400,kl!$B198,'Cap ngam'!G$16:G$400)</f>
        <v>0</v>
      </c>
      <c r="AM198" s="776">
        <v>0.13500000000000001</v>
      </c>
      <c r="AN198" s="775">
        <f t="shared" ca="1" si="87"/>
        <v>0</v>
      </c>
      <c r="AO198" s="775">
        <f t="shared" ca="1" si="88"/>
        <v>0</v>
      </c>
      <c r="AP198" s="775">
        <f t="shared" ca="1" si="89"/>
        <v>0</v>
      </c>
      <c r="AQ198" s="775">
        <f t="shared" ca="1" si="90"/>
        <v>0</v>
      </c>
      <c r="AR198" s="775">
        <f t="shared" ca="1" si="91"/>
        <v>0</v>
      </c>
      <c r="AS198" s="775">
        <f t="shared" ca="1" si="92"/>
        <v>0</v>
      </c>
      <c r="AT198" s="775">
        <f t="shared" ca="1" si="93"/>
        <v>0</v>
      </c>
      <c r="AU198" s="775">
        <f t="shared" ca="1" si="94"/>
        <v>0</v>
      </c>
      <c r="AV198" s="775">
        <f t="shared" ca="1" si="95"/>
        <v>0</v>
      </c>
      <c r="AW198" s="775">
        <f t="shared" ca="1" si="96"/>
        <v>0</v>
      </c>
      <c r="AX198" s="775">
        <f t="shared" si="97"/>
        <v>0</v>
      </c>
      <c r="AY198" s="775">
        <f t="shared" ca="1" si="98"/>
        <v>0</v>
      </c>
      <c r="AZ198" s="775">
        <f t="shared" si="99"/>
        <v>0</v>
      </c>
      <c r="BA198" s="775">
        <f t="shared" ca="1" si="80"/>
        <v>0</v>
      </c>
      <c r="BB198" s="775">
        <f t="shared" ca="1" si="81"/>
        <v>0</v>
      </c>
      <c r="BC198" s="775">
        <f t="shared" ca="1" si="82"/>
        <v>0</v>
      </c>
      <c r="BD198" s="775">
        <f t="shared" ca="1" si="83"/>
        <v>0</v>
      </c>
      <c r="BE198" s="775">
        <f t="shared" ca="1" si="84"/>
        <v>0</v>
      </c>
      <c r="BF198" s="775">
        <f t="shared" ca="1" si="85"/>
        <v>0</v>
      </c>
      <c r="BG198" s="775">
        <f t="shared" ca="1" si="86"/>
        <v>0</v>
      </c>
      <c r="BH198" s="775">
        <f t="shared" ca="1" si="100"/>
        <v>0</v>
      </c>
      <c r="BI198" s="775">
        <f t="shared" ca="1" si="101"/>
        <v>0</v>
      </c>
      <c r="BJ198" s="775">
        <f t="shared" ca="1" si="102"/>
        <v>0</v>
      </c>
      <c r="BK198" s="775">
        <f t="shared" ca="1" si="103"/>
        <v>0</v>
      </c>
      <c r="BL198" s="775">
        <f t="shared" ca="1" si="104"/>
        <v>0</v>
      </c>
      <c r="BM198" s="775">
        <f t="shared" ca="1" si="105"/>
        <v>0</v>
      </c>
      <c r="BN198" s="775">
        <f t="shared" ca="1" si="106"/>
        <v>0</v>
      </c>
      <c r="BO198" s="775">
        <f t="shared" ca="1" si="107"/>
        <v>0</v>
      </c>
      <c r="BP198" s="775">
        <f t="shared" ca="1" si="108"/>
        <v>0</v>
      </c>
      <c r="BQ198" s="775">
        <f t="shared" ca="1" si="75"/>
        <v>0</v>
      </c>
      <c r="BR198" s="775">
        <f t="shared" ca="1" si="109"/>
        <v>0</v>
      </c>
    </row>
    <row r="199" spans="1:70">
      <c r="A199" s="767" t="str">
        <f t="shared" ca="1" si="110"/>
        <v/>
      </c>
      <c r="B199" s="786" t="s">
        <v>1507</v>
      </c>
      <c r="C199" s="188" t="str">
        <f ca="1">IF(F199=0,"",COUNTIF($F$78:$F199,"&gt;0"))</f>
        <v/>
      </c>
      <c r="D199" s="778" t="str">
        <f>VLOOKUP($B199,dongia1,DG!$C$5,)</f>
        <v>Cáp nhôm A-70</v>
      </c>
      <c r="E199" s="555" t="str">
        <f>VLOOKUP($B199,dongia1,DG!$D$5,)</f>
        <v>kg</v>
      </c>
      <c r="F199" s="779">
        <f t="shared" ca="1" si="120"/>
        <v>0</v>
      </c>
      <c r="G199" s="775">
        <f t="shared" ca="1" si="76"/>
        <v>0</v>
      </c>
      <c r="H199" s="775">
        <f ca="1">SUMIF(CT_tram!$B$33:$G$3559,kl!B199,CT_tram!$G$33:$G$3559)</f>
        <v>0</v>
      </c>
      <c r="I199" s="775">
        <f ca="1">SUMIF(CT_tram!$B$34:$G$115,$B199,CT_tram!$G$34:$G$115)</f>
        <v>0</v>
      </c>
      <c r="J199" s="775">
        <f ca="1">SUMIF(CT_tram!$B$122:$G$204,$B199,CT_tram!$G$122:$G$204)</f>
        <v>0</v>
      </c>
      <c r="K199" s="775">
        <f ca="1">SUMIF(CT_tram!$B$211:$G$293,$B199,CT_tram!$G$211:$G$293)</f>
        <v>0</v>
      </c>
      <c r="L199" s="775">
        <f ca="1">SUMIF(CT_tram!$B$300:$G$374,$B199,CT_tram!$G$300:$G$374)</f>
        <v>0</v>
      </c>
      <c r="M199" s="775">
        <f ca="1">SUMIF(CT_tram!$B$381:$G$471,$B199,CT_tram!$G$381:$G$471)</f>
        <v>0</v>
      </c>
      <c r="N199" s="775">
        <f ca="1">SUMIF(CT_tram!$B$478:$G$560,$B199,CT_tram!$G$478:$G$560)</f>
        <v>0</v>
      </c>
      <c r="O199" s="775">
        <f ca="1">SUMIF(CT_tram!$B$567:$G$653,$B199,CT_tram!$G$567:$G$653)</f>
        <v>0</v>
      </c>
      <c r="P199" s="775">
        <f ca="1">SUMIF(CT_tram!$B$661:$G$738,$B199,CT_tram!$G$661:$G$738)</f>
        <v>0</v>
      </c>
      <c r="Q199" s="775">
        <f ca="1">SUMIF(CT_tram!$B$745:$G$899,$B199,CT_tram!$G$745:$G$899)</f>
        <v>0</v>
      </c>
      <c r="R199" s="775">
        <f ca="1">SUMIF(CT_tram!$B$907:$G$995,$B199,CT_tram!$G$907:$G$995)</f>
        <v>0</v>
      </c>
      <c r="S199" s="775"/>
      <c r="T199" s="775">
        <f ca="1">SUMIF(CT_tram!$B$1004:$G$1097,B199,CT_tram!$G$1004:$G$1097)</f>
        <v>0</v>
      </c>
      <c r="U199" s="775"/>
      <c r="V199" s="775">
        <f ca="1">SUMIF(CT_tram!$B$1226:$G$1352,kl!B199,CT_tram!$G$1226:$G$1352)</f>
        <v>0</v>
      </c>
      <c r="W199" s="780">
        <f ca="1">SUMIF(CT_tram!$B$1105:$G$1219,kl!B199,CT_tram!$G$1105:$G$1219)</f>
        <v>0</v>
      </c>
      <c r="X199" s="775">
        <f ca="1">SUMIF(CT_tram!$B$1359:$G$1504,kl!B199,CT_tram!$G$1359:$G$1504)</f>
        <v>0</v>
      </c>
      <c r="Y199" s="775">
        <f ca="1">SUMIF(CT_tram!$B$1511:$G$1625,kl!B199,CT_tram!$G$1511:$G$1625)</f>
        <v>0</v>
      </c>
      <c r="Z199" s="775">
        <f ca="1">SUMIF(CT_tram!$B$1632:$G$2211,kl!B199,CT_tram!$G$1632:$G$2211)</f>
        <v>0</v>
      </c>
      <c r="AA199" s="775">
        <f ca="1">SUMIF(CT_tram!$B$2243:$G$2384,kl!B199,CT_tram!$G$2243:$G$2384)</f>
        <v>0</v>
      </c>
      <c r="AB199" s="775">
        <f ca="1">SUMIF(CT_tram!$B$2391:$G$2563,kl!B199,CT_tram!$G$2391:$G$2563)</f>
        <v>0</v>
      </c>
      <c r="AC199" s="775">
        <f ca="1">SUMIF(chitiet!$B$13:$N$2352,kl!$B199,chitiet!$I$13:$I$2352)</f>
        <v>0</v>
      </c>
      <c r="AD199" s="775">
        <f ca="1">SUMIF(chitiet!$B$13:$N$2352,kl!$B199,chitiet!$J$13:$J$2352)</f>
        <v>0</v>
      </c>
      <c r="AE199" s="775">
        <f ca="1">SUMIF(chitiet!$B$13:$N$2352,kl!$B199,chitiet!$K$13:$K$2352)</f>
        <v>0</v>
      </c>
      <c r="AF199" s="775">
        <f ca="1">SUMIF(chitiet!$B$13:$N$2352,kl!$B199,chitiet!$L$13:$L$2352)</f>
        <v>0</v>
      </c>
      <c r="AG199" s="775">
        <f ca="1">SUMIF(chitiet!$B$13:$N$2352,kl!$B199,chitiet!$M$13)</f>
        <v>0</v>
      </c>
      <c r="AH199" s="775">
        <f ca="1">SUMIF(chitiet!$B$13:$N$2352,kl!$B199,chitiet!$N$13:$N$2352)</f>
        <v>0</v>
      </c>
      <c r="AI199" s="775">
        <f ca="1">SUMIF(chitiet!$B$13:$N$2352,kl!$B199,chitiet!$O$13:$O$2352)</f>
        <v>0</v>
      </c>
      <c r="AJ199" s="775">
        <f ca="1">SUMIF('Cap ngam'!$B$631:$G$723,kl!$B199,'Cap ngam'!$G$631:$G$723)</f>
        <v>0</v>
      </c>
      <c r="AK199" s="775">
        <f ca="1">SUMIF('Cap ngam'!$B$403:$G$628,kl!$B199,'Cap ngam'!G$403:G$628)</f>
        <v>0</v>
      </c>
      <c r="AL199" s="775">
        <f ca="1">SUMIF('Cap ngam'!B$16:G$400,kl!$B199,'Cap ngam'!G$16:G$400)</f>
        <v>0</v>
      </c>
      <c r="AM199" s="776">
        <v>0.189</v>
      </c>
      <c r="AN199" s="775">
        <f t="shared" ca="1" si="87"/>
        <v>0</v>
      </c>
      <c r="AO199" s="775">
        <f t="shared" ca="1" si="88"/>
        <v>0</v>
      </c>
      <c r="AP199" s="775">
        <f t="shared" ca="1" si="89"/>
        <v>0</v>
      </c>
      <c r="AQ199" s="775">
        <f t="shared" ca="1" si="90"/>
        <v>0</v>
      </c>
      <c r="AR199" s="775">
        <f t="shared" ca="1" si="91"/>
        <v>0</v>
      </c>
      <c r="AS199" s="775">
        <f t="shared" ca="1" si="92"/>
        <v>0</v>
      </c>
      <c r="AT199" s="775">
        <f t="shared" ca="1" si="93"/>
        <v>0</v>
      </c>
      <c r="AU199" s="775">
        <f t="shared" ca="1" si="94"/>
        <v>0</v>
      </c>
      <c r="AV199" s="775">
        <f t="shared" ca="1" si="95"/>
        <v>0</v>
      </c>
      <c r="AW199" s="775">
        <f t="shared" ca="1" si="96"/>
        <v>0</v>
      </c>
      <c r="AX199" s="775">
        <f t="shared" si="97"/>
        <v>0</v>
      </c>
      <c r="AY199" s="775">
        <f t="shared" ca="1" si="98"/>
        <v>0</v>
      </c>
      <c r="AZ199" s="775">
        <f t="shared" si="99"/>
        <v>0</v>
      </c>
      <c r="BA199" s="775">
        <f t="shared" ca="1" si="80"/>
        <v>0</v>
      </c>
      <c r="BB199" s="775">
        <f t="shared" ca="1" si="81"/>
        <v>0</v>
      </c>
      <c r="BC199" s="775">
        <f t="shared" ca="1" si="82"/>
        <v>0</v>
      </c>
      <c r="BD199" s="775">
        <f t="shared" ca="1" si="83"/>
        <v>0</v>
      </c>
      <c r="BE199" s="775">
        <f t="shared" ca="1" si="84"/>
        <v>0</v>
      </c>
      <c r="BF199" s="775">
        <f t="shared" ca="1" si="85"/>
        <v>0</v>
      </c>
      <c r="BG199" s="775">
        <f t="shared" ca="1" si="86"/>
        <v>0</v>
      </c>
      <c r="BH199" s="775">
        <f t="shared" ca="1" si="100"/>
        <v>0</v>
      </c>
      <c r="BI199" s="775">
        <f t="shared" ca="1" si="101"/>
        <v>0</v>
      </c>
      <c r="BJ199" s="775">
        <f t="shared" ca="1" si="102"/>
        <v>0</v>
      </c>
      <c r="BK199" s="775">
        <f t="shared" ca="1" si="103"/>
        <v>0</v>
      </c>
      <c r="BL199" s="775">
        <f t="shared" ca="1" si="104"/>
        <v>0</v>
      </c>
      <c r="BM199" s="775">
        <f t="shared" ca="1" si="105"/>
        <v>0</v>
      </c>
      <c r="BN199" s="775">
        <f t="shared" ca="1" si="106"/>
        <v>0</v>
      </c>
      <c r="BO199" s="775">
        <f t="shared" ca="1" si="107"/>
        <v>0</v>
      </c>
      <c r="BP199" s="775">
        <f t="shared" ca="1" si="108"/>
        <v>0</v>
      </c>
      <c r="BQ199" s="775">
        <f t="shared" ca="1" si="75"/>
        <v>0</v>
      </c>
      <c r="BR199" s="775">
        <f t="shared" ca="1" si="109"/>
        <v>0</v>
      </c>
    </row>
    <row r="200" spans="1:70">
      <c r="A200" s="767" t="str">
        <f t="shared" ca="1" si="110"/>
        <v/>
      </c>
      <c r="B200" s="786" t="s">
        <v>1508</v>
      </c>
      <c r="C200" s="188" t="str">
        <f ca="1">IF(F200=0,"",COUNTIF($F$78:$F200,"&gt;0"))</f>
        <v/>
      </c>
      <c r="D200" s="778" t="str">
        <f>VLOOKUP($B200,dongia1,DG!$C$5,)</f>
        <v>Cáp nhôm A-95</v>
      </c>
      <c r="E200" s="555" t="str">
        <f>VLOOKUP($B200,dongia1,DG!$D$5,)</f>
        <v>kg</v>
      </c>
      <c r="F200" s="779">
        <f t="shared" ca="1" si="120"/>
        <v>0</v>
      </c>
      <c r="G200" s="775">
        <f t="shared" ca="1" si="76"/>
        <v>0</v>
      </c>
      <c r="H200" s="775">
        <f ca="1">SUMIF(CT_tram!$B$33:$G$3559,kl!B200,CT_tram!$G$33:$G$3559)</f>
        <v>0</v>
      </c>
      <c r="I200" s="775">
        <f ca="1">SUMIF(CT_tram!$B$34:$G$115,$B200,CT_tram!$G$34:$G$115)</f>
        <v>0</v>
      </c>
      <c r="J200" s="775">
        <f ca="1">SUMIF(CT_tram!$B$122:$G$204,$B200,CT_tram!$G$122:$G$204)</f>
        <v>0</v>
      </c>
      <c r="K200" s="775">
        <f ca="1">SUMIF(CT_tram!$B$211:$G$293,$B200,CT_tram!$G$211:$G$293)</f>
        <v>0</v>
      </c>
      <c r="L200" s="775">
        <f ca="1">SUMIF(CT_tram!$B$300:$G$374,$B200,CT_tram!$G$300:$G$374)</f>
        <v>0</v>
      </c>
      <c r="M200" s="775">
        <f ca="1">SUMIF(CT_tram!$B$381:$G$471,$B200,CT_tram!$G$381:$G$471)</f>
        <v>0</v>
      </c>
      <c r="N200" s="775">
        <f ca="1">SUMIF(CT_tram!$B$478:$G$560,$B200,CT_tram!$G$478:$G$560)</f>
        <v>0</v>
      </c>
      <c r="O200" s="775">
        <f ca="1">SUMIF(CT_tram!$B$567:$G$653,$B200,CT_tram!$G$567:$G$653)</f>
        <v>0</v>
      </c>
      <c r="P200" s="775">
        <f ca="1">SUMIF(CT_tram!$B$661:$G$738,$B200,CT_tram!$G$661:$G$738)</f>
        <v>0</v>
      </c>
      <c r="Q200" s="775">
        <f ca="1">SUMIF(CT_tram!$B$745:$G$899,$B200,CT_tram!$G$745:$G$899)</f>
        <v>0</v>
      </c>
      <c r="R200" s="775">
        <f ca="1">SUMIF(CT_tram!$B$907:$G$995,$B200,CT_tram!$G$907:$G$995)</f>
        <v>0</v>
      </c>
      <c r="S200" s="775"/>
      <c r="T200" s="775">
        <f ca="1">SUMIF(CT_tram!$B$1004:$G$1097,B200,CT_tram!$G$1004:$G$1097)</f>
        <v>0</v>
      </c>
      <c r="U200" s="775"/>
      <c r="V200" s="775">
        <f ca="1">SUMIF(CT_tram!$B$1226:$G$1352,kl!B200,CT_tram!$G$1226:$G$1352)</f>
        <v>0</v>
      </c>
      <c r="W200" s="780">
        <f ca="1">SUMIF(CT_tram!$B$1105:$G$1219,kl!B200,CT_tram!$G$1105:$G$1219)</f>
        <v>0</v>
      </c>
      <c r="X200" s="775">
        <f ca="1">SUMIF(CT_tram!$B$1359:$G$1504,kl!B200,CT_tram!$G$1359:$G$1504)</f>
        <v>0</v>
      </c>
      <c r="Y200" s="775">
        <f ca="1">SUMIF(CT_tram!$B$1511:$G$1625,kl!B200,CT_tram!$G$1511:$G$1625)</f>
        <v>0</v>
      </c>
      <c r="Z200" s="775">
        <f ca="1">SUMIF(CT_tram!$B$1632:$G$2211,kl!B200,CT_tram!$G$1632:$G$2211)</f>
        <v>0</v>
      </c>
      <c r="AA200" s="775">
        <f ca="1">SUMIF(CT_tram!$B$2243:$G$2384,kl!B200,CT_tram!$G$2243:$G$2384)</f>
        <v>0</v>
      </c>
      <c r="AB200" s="775">
        <f ca="1">SUMIF(CT_tram!$B$2391:$G$2563,kl!B200,CT_tram!$G$2391:$G$2563)</f>
        <v>0</v>
      </c>
      <c r="AC200" s="775">
        <f ca="1">SUMIF(chitiet!$B$13:$N$2352,kl!$B200,chitiet!$I$13:$I$2352)</f>
        <v>0</v>
      </c>
      <c r="AD200" s="775">
        <f ca="1">SUMIF(chitiet!$B$13:$N$2352,kl!$B200,chitiet!$J$13:$J$2352)</f>
        <v>0</v>
      </c>
      <c r="AE200" s="775">
        <f ca="1">SUMIF(chitiet!$B$13:$N$2352,kl!$B200,chitiet!$K$13:$K$2352)</f>
        <v>0</v>
      </c>
      <c r="AF200" s="775">
        <f ca="1">SUMIF(chitiet!$B$13:$N$2352,kl!$B200,chitiet!$L$13:$L$2352)</f>
        <v>0</v>
      </c>
      <c r="AG200" s="775">
        <f ca="1">SUMIF(chitiet!$B$13:$N$2352,kl!$B200,chitiet!$M$13)</f>
        <v>0</v>
      </c>
      <c r="AH200" s="775">
        <f ca="1">SUMIF(chitiet!$B$13:$N$2352,kl!$B200,chitiet!$N$13:$N$2352)</f>
        <v>0</v>
      </c>
      <c r="AI200" s="775">
        <f ca="1">SUMIF(chitiet!$B$13:$N$2352,kl!$B200,chitiet!$O$13:$O$2352)</f>
        <v>0</v>
      </c>
      <c r="AJ200" s="775">
        <f ca="1">SUMIF('Cap ngam'!$B$631:$G$723,kl!$B200,'Cap ngam'!$G$631:$G$723)</f>
        <v>0</v>
      </c>
      <c r="AK200" s="775">
        <f ca="1">SUMIF('Cap ngam'!$B$403:$G$628,kl!$B200,'Cap ngam'!G$403:G$628)</f>
        <v>0</v>
      </c>
      <c r="AL200" s="775">
        <f ca="1">SUMIF('Cap ngam'!B$16:G$400,kl!$B200,'Cap ngam'!G$16:G$400)</f>
        <v>0</v>
      </c>
      <c r="AM200" s="776">
        <v>0.252</v>
      </c>
      <c r="AN200" s="775">
        <f t="shared" ca="1" si="87"/>
        <v>0</v>
      </c>
      <c r="AO200" s="775">
        <f t="shared" ca="1" si="88"/>
        <v>0</v>
      </c>
      <c r="AP200" s="775">
        <f t="shared" ca="1" si="89"/>
        <v>0</v>
      </c>
      <c r="AQ200" s="775">
        <f t="shared" ca="1" si="90"/>
        <v>0</v>
      </c>
      <c r="AR200" s="775">
        <f t="shared" ca="1" si="91"/>
        <v>0</v>
      </c>
      <c r="AS200" s="775">
        <f t="shared" ca="1" si="92"/>
        <v>0</v>
      </c>
      <c r="AT200" s="775">
        <f t="shared" ca="1" si="93"/>
        <v>0</v>
      </c>
      <c r="AU200" s="775">
        <f t="shared" ca="1" si="94"/>
        <v>0</v>
      </c>
      <c r="AV200" s="775">
        <f t="shared" ca="1" si="95"/>
        <v>0</v>
      </c>
      <c r="AW200" s="775">
        <f t="shared" ca="1" si="96"/>
        <v>0</v>
      </c>
      <c r="AX200" s="775">
        <f t="shared" si="97"/>
        <v>0</v>
      </c>
      <c r="AY200" s="775">
        <f t="shared" ca="1" si="98"/>
        <v>0</v>
      </c>
      <c r="AZ200" s="775">
        <f t="shared" si="99"/>
        <v>0</v>
      </c>
      <c r="BA200" s="775">
        <f t="shared" ca="1" si="80"/>
        <v>0</v>
      </c>
      <c r="BB200" s="775">
        <f t="shared" ca="1" si="81"/>
        <v>0</v>
      </c>
      <c r="BC200" s="775">
        <f t="shared" ca="1" si="82"/>
        <v>0</v>
      </c>
      <c r="BD200" s="775">
        <f t="shared" ca="1" si="83"/>
        <v>0</v>
      </c>
      <c r="BE200" s="775">
        <f t="shared" ca="1" si="84"/>
        <v>0</v>
      </c>
      <c r="BF200" s="775">
        <f t="shared" ca="1" si="85"/>
        <v>0</v>
      </c>
      <c r="BG200" s="775">
        <f t="shared" ca="1" si="86"/>
        <v>0</v>
      </c>
      <c r="BH200" s="775">
        <f t="shared" ca="1" si="100"/>
        <v>0</v>
      </c>
      <c r="BI200" s="775">
        <f t="shared" ca="1" si="101"/>
        <v>0</v>
      </c>
      <c r="BJ200" s="775">
        <f t="shared" ca="1" si="102"/>
        <v>0</v>
      </c>
      <c r="BK200" s="775">
        <f t="shared" ca="1" si="103"/>
        <v>0</v>
      </c>
      <c r="BL200" s="775">
        <f t="shared" ca="1" si="104"/>
        <v>0</v>
      </c>
      <c r="BM200" s="775">
        <f t="shared" ca="1" si="105"/>
        <v>0</v>
      </c>
      <c r="BN200" s="775">
        <f t="shared" ca="1" si="106"/>
        <v>0</v>
      </c>
      <c r="BO200" s="775">
        <f t="shared" ca="1" si="107"/>
        <v>0</v>
      </c>
      <c r="BP200" s="775">
        <f t="shared" ca="1" si="108"/>
        <v>0</v>
      </c>
      <c r="BQ200" s="775">
        <f t="shared" ca="1" si="75"/>
        <v>0</v>
      </c>
      <c r="BR200" s="775">
        <f t="shared" ca="1" si="109"/>
        <v>0</v>
      </c>
    </row>
    <row r="201" spans="1:70">
      <c r="A201" s="767" t="str">
        <f t="shared" ca="1" si="110"/>
        <v/>
      </c>
      <c r="B201" s="786" t="s">
        <v>1509</v>
      </c>
      <c r="C201" s="188" t="str">
        <f ca="1">IF(F201=0,"",COUNTIF($F$78:$F201,"&gt;0"))</f>
        <v/>
      </c>
      <c r="D201" s="778" t="str">
        <f>VLOOKUP($B201,dongia1,DG!$C$5,)</f>
        <v>Cáp nhôm A-120</v>
      </c>
      <c r="E201" s="555" t="str">
        <f>VLOOKUP($B201,dongia1,DG!$D$5,)</f>
        <v>kg</v>
      </c>
      <c r="F201" s="779">
        <f t="shared" ca="1" si="120"/>
        <v>0</v>
      </c>
      <c r="G201" s="775">
        <f t="shared" ca="1" si="76"/>
        <v>0</v>
      </c>
      <c r="H201" s="775">
        <f ca="1">SUMIF(CT_tram!$B$33:$G$3559,kl!B201,CT_tram!$G$33:$G$3559)</f>
        <v>0</v>
      </c>
      <c r="I201" s="775">
        <f ca="1">SUMIF(CT_tram!$B$34:$G$115,$B201,CT_tram!$G$34:$G$115)</f>
        <v>0</v>
      </c>
      <c r="J201" s="775">
        <f ca="1">SUMIF(CT_tram!$B$122:$G$204,$B201,CT_tram!$G$122:$G$204)</f>
        <v>0</v>
      </c>
      <c r="K201" s="775">
        <f ca="1">SUMIF(CT_tram!$B$211:$G$293,$B201,CT_tram!$G$211:$G$293)</f>
        <v>0</v>
      </c>
      <c r="L201" s="775">
        <f ca="1">SUMIF(CT_tram!$B$300:$G$374,$B201,CT_tram!$G$300:$G$374)</f>
        <v>0</v>
      </c>
      <c r="M201" s="775">
        <f ca="1">SUMIF(CT_tram!$B$381:$G$471,$B201,CT_tram!$G$381:$G$471)</f>
        <v>0</v>
      </c>
      <c r="N201" s="775">
        <f ca="1">SUMIF(CT_tram!$B$478:$G$560,$B201,CT_tram!$G$478:$G$560)</f>
        <v>0</v>
      </c>
      <c r="O201" s="775">
        <f ca="1">SUMIF(CT_tram!$B$567:$G$653,$B201,CT_tram!$G$567:$G$653)</f>
        <v>0</v>
      </c>
      <c r="P201" s="775">
        <f ca="1">SUMIF(CT_tram!$B$661:$G$738,$B201,CT_tram!$G$661:$G$738)</f>
        <v>0</v>
      </c>
      <c r="Q201" s="775">
        <f ca="1">SUMIF(CT_tram!$B$745:$G$899,$B201,CT_tram!$G$745:$G$899)</f>
        <v>0</v>
      </c>
      <c r="R201" s="775">
        <f ca="1">SUMIF(CT_tram!$B$907:$G$995,$B201,CT_tram!$G$907:$G$995)</f>
        <v>0</v>
      </c>
      <c r="S201" s="775"/>
      <c r="T201" s="775">
        <f ca="1">SUMIF(CT_tram!$B$1004:$G$1097,B201,CT_tram!$G$1004:$G$1097)</f>
        <v>0</v>
      </c>
      <c r="U201" s="775"/>
      <c r="V201" s="775">
        <f ca="1">SUMIF(CT_tram!$B$1226:$G$1352,kl!B201,CT_tram!$G$1226:$G$1352)</f>
        <v>0</v>
      </c>
      <c r="W201" s="780">
        <f ca="1">SUMIF(CT_tram!$B$1105:$G$1219,kl!B201,CT_tram!$G$1105:$G$1219)</f>
        <v>0</v>
      </c>
      <c r="X201" s="775">
        <f ca="1">SUMIF(CT_tram!$B$1359:$G$1504,kl!B201,CT_tram!$G$1359:$G$1504)</f>
        <v>0</v>
      </c>
      <c r="Y201" s="775">
        <f ca="1">SUMIF(CT_tram!$B$1511:$G$1625,kl!B201,CT_tram!$G$1511:$G$1625)</f>
        <v>0</v>
      </c>
      <c r="Z201" s="775">
        <f ca="1">SUMIF(CT_tram!$B$1632:$G$2211,kl!B201,CT_tram!$G$1632:$G$2211)</f>
        <v>0</v>
      </c>
      <c r="AA201" s="775">
        <f ca="1">SUMIF(CT_tram!$B$2243:$G$2384,kl!B201,CT_tram!$G$2243:$G$2384)</f>
        <v>0</v>
      </c>
      <c r="AB201" s="775">
        <f ca="1">SUMIF(CT_tram!$B$2391:$G$2563,kl!B201,CT_tram!$G$2391:$G$2563)</f>
        <v>0</v>
      </c>
      <c r="AC201" s="775">
        <f ca="1">SUMIF(chitiet!$B$13:$N$2352,kl!$B201,chitiet!$I$13:$I$2352)</f>
        <v>0</v>
      </c>
      <c r="AD201" s="775">
        <f ca="1">SUMIF(chitiet!$B$13:$N$2352,kl!$B201,chitiet!$J$13:$J$2352)</f>
        <v>0</v>
      </c>
      <c r="AE201" s="775">
        <f ca="1">SUMIF(chitiet!$B$13:$N$2352,kl!$B201,chitiet!$K$13:$K$2352)</f>
        <v>0</v>
      </c>
      <c r="AF201" s="775">
        <f ca="1">SUMIF(chitiet!$B$13:$N$2352,kl!$B201,chitiet!$L$13:$L$2352)</f>
        <v>0</v>
      </c>
      <c r="AG201" s="775">
        <f ca="1">SUMIF(chitiet!$B$13:$N$2352,kl!$B201,chitiet!$M$13)</f>
        <v>0</v>
      </c>
      <c r="AH201" s="775">
        <f ca="1">SUMIF(chitiet!$B$13:$N$2352,kl!$B201,chitiet!$N$13:$N$2352)</f>
        <v>0</v>
      </c>
      <c r="AI201" s="775">
        <f ca="1">SUMIF(chitiet!$B$13:$N$2352,kl!$B201,chitiet!$O$13:$O$2352)</f>
        <v>0</v>
      </c>
      <c r="AJ201" s="775">
        <f ca="1">SUMIF('Cap ngam'!$B$631:$G$723,kl!$B201,'Cap ngam'!$G$631:$G$723)</f>
        <v>0</v>
      </c>
      <c r="AK201" s="775">
        <f ca="1">SUMIF('Cap ngam'!$B$403:$G$628,kl!$B201,'Cap ngam'!G$403:G$628)</f>
        <v>0</v>
      </c>
      <c r="AL201" s="775">
        <f ca="1">SUMIF('Cap ngam'!B$16:G$400,kl!$B201,'Cap ngam'!G$16:G$400)</f>
        <v>0</v>
      </c>
      <c r="AM201" s="776">
        <v>0.32100000000000001</v>
      </c>
      <c r="AN201" s="775">
        <f t="shared" ca="1" si="87"/>
        <v>0</v>
      </c>
      <c r="AO201" s="775">
        <f t="shared" ca="1" si="88"/>
        <v>0</v>
      </c>
      <c r="AP201" s="775">
        <f t="shared" ca="1" si="89"/>
        <v>0</v>
      </c>
      <c r="AQ201" s="775">
        <f t="shared" ca="1" si="90"/>
        <v>0</v>
      </c>
      <c r="AR201" s="775">
        <f t="shared" ca="1" si="91"/>
        <v>0</v>
      </c>
      <c r="AS201" s="775">
        <f t="shared" ca="1" si="92"/>
        <v>0</v>
      </c>
      <c r="AT201" s="775">
        <f t="shared" ca="1" si="93"/>
        <v>0</v>
      </c>
      <c r="AU201" s="775">
        <f t="shared" ca="1" si="94"/>
        <v>0</v>
      </c>
      <c r="AV201" s="775">
        <f t="shared" ca="1" si="95"/>
        <v>0</v>
      </c>
      <c r="AW201" s="775">
        <f t="shared" ca="1" si="96"/>
        <v>0</v>
      </c>
      <c r="AX201" s="775">
        <f t="shared" si="97"/>
        <v>0</v>
      </c>
      <c r="AY201" s="775">
        <f t="shared" ca="1" si="98"/>
        <v>0</v>
      </c>
      <c r="AZ201" s="775">
        <f t="shared" si="99"/>
        <v>0</v>
      </c>
      <c r="BA201" s="775">
        <f t="shared" ca="1" si="80"/>
        <v>0</v>
      </c>
      <c r="BB201" s="775">
        <f t="shared" ca="1" si="81"/>
        <v>0</v>
      </c>
      <c r="BC201" s="775">
        <f t="shared" ca="1" si="82"/>
        <v>0</v>
      </c>
      <c r="BD201" s="775">
        <f t="shared" ca="1" si="83"/>
        <v>0</v>
      </c>
      <c r="BE201" s="775">
        <f t="shared" ca="1" si="84"/>
        <v>0</v>
      </c>
      <c r="BF201" s="775">
        <f t="shared" ca="1" si="85"/>
        <v>0</v>
      </c>
      <c r="BG201" s="775">
        <f t="shared" ca="1" si="86"/>
        <v>0</v>
      </c>
      <c r="BH201" s="775">
        <f t="shared" ca="1" si="100"/>
        <v>0</v>
      </c>
      <c r="BI201" s="775">
        <f t="shared" ca="1" si="101"/>
        <v>0</v>
      </c>
      <c r="BJ201" s="775">
        <f t="shared" ca="1" si="102"/>
        <v>0</v>
      </c>
      <c r="BK201" s="775">
        <f t="shared" ca="1" si="103"/>
        <v>0</v>
      </c>
      <c r="BL201" s="775">
        <f t="shared" ca="1" si="104"/>
        <v>0</v>
      </c>
      <c r="BM201" s="775">
        <f t="shared" ca="1" si="105"/>
        <v>0</v>
      </c>
      <c r="BN201" s="775">
        <f t="shared" ca="1" si="106"/>
        <v>0</v>
      </c>
      <c r="BO201" s="775">
        <f t="shared" ca="1" si="107"/>
        <v>0</v>
      </c>
      <c r="BP201" s="775">
        <f t="shared" ca="1" si="108"/>
        <v>0</v>
      </c>
      <c r="BQ201" s="775">
        <f t="shared" ca="1" si="75"/>
        <v>0</v>
      </c>
      <c r="BR201" s="775">
        <f t="shared" ca="1" si="109"/>
        <v>0</v>
      </c>
    </row>
    <row r="202" spans="1:70">
      <c r="A202" s="767" t="str">
        <f t="shared" ca="1" si="110"/>
        <v/>
      </c>
      <c r="B202" s="786" t="s">
        <v>38</v>
      </c>
      <c r="C202" s="188" t="str">
        <f ca="1">IF(F202=0,"",COUNTIF($F$78:$F202,"&gt;0"))</f>
        <v/>
      </c>
      <c r="D202" s="778" t="str">
        <f>VLOOKUP($B202,dongia1,DG!$C$5,)</f>
        <v>Cáp nhôm A-185</v>
      </c>
      <c r="E202" s="555" t="str">
        <f>VLOOKUP($B202,dongia1,DG!$D$5,)</f>
        <v>kg</v>
      </c>
      <c r="F202" s="779">
        <f t="shared" ca="1" si="120"/>
        <v>0</v>
      </c>
      <c r="G202" s="775">
        <f t="shared" ref="G202:G267" ca="1" si="121">SUM(AC202:AL202)</f>
        <v>0</v>
      </c>
      <c r="H202" s="775">
        <f ca="1">SUMIF(CT_tram!$B$33:$G$3559,kl!B202,CT_tram!$G$33:$G$3559)</f>
        <v>0</v>
      </c>
      <c r="I202" s="775">
        <f ca="1">SUMIF(CT_tram!$B$34:$G$115,$B202,CT_tram!$G$34:$G$115)</f>
        <v>0</v>
      </c>
      <c r="J202" s="775">
        <f ca="1">SUMIF(CT_tram!$B$122:$G$204,$B202,CT_tram!$G$122:$G$204)</f>
        <v>0</v>
      </c>
      <c r="K202" s="775">
        <f ca="1">SUMIF(CT_tram!$B$211:$G$293,$B202,CT_tram!$G$211:$G$293)</f>
        <v>0</v>
      </c>
      <c r="L202" s="775">
        <f ca="1">SUMIF(CT_tram!$B$300:$G$374,$B202,CT_tram!$G$300:$G$374)</f>
        <v>0</v>
      </c>
      <c r="M202" s="775">
        <f ca="1">SUMIF(CT_tram!$B$381:$G$471,$B202,CT_tram!$G$381:$G$471)</f>
        <v>0</v>
      </c>
      <c r="N202" s="775">
        <f ca="1">SUMIF(CT_tram!$B$478:$G$560,$B202,CT_tram!$G$478:$G$560)</f>
        <v>0</v>
      </c>
      <c r="O202" s="775">
        <f ca="1">SUMIF(CT_tram!$B$567:$G$653,$B202,CT_tram!$G$567:$G$653)</f>
        <v>0</v>
      </c>
      <c r="P202" s="775">
        <f ca="1">SUMIF(CT_tram!$B$661:$G$738,$B202,CT_tram!$G$661:$G$738)</f>
        <v>0</v>
      </c>
      <c r="Q202" s="775">
        <f ca="1">SUMIF(CT_tram!$B$745:$G$899,$B202,CT_tram!$G$745:$G$899)</f>
        <v>0</v>
      </c>
      <c r="R202" s="775">
        <f ca="1">SUMIF(CT_tram!$B$907:$G$995,$B202,CT_tram!$G$907:$G$995)</f>
        <v>0</v>
      </c>
      <c r="S202" s="775"/>
      <c r="T202" s="775">
        <f ca="1">SUMIF(CT_tram!$B$1004:$G$1097,B202,CT_tram!$G$1004:$G$1097)</f>
        <v>0</v>
      </c>
      <c r="U202" s="775"/>
      <c r="V202" s="775">
        <f ca="1">SUMIF(CT_tram!$B$1226:$G$1352,kl!B202,CT_tram!$G$1226:$G$1352)</f>
        <v>0</v>
      </c>
      <c r="W202" s="780">
        <f ca="1">SUMIF(CT_tram!$B$1105:$G$1219,kl!B202,CT_tram!$G$1105:$G$1219)</f>
        <v>0</v>
      </c>
      <c r="X202" s="775">
        <f ca="1">SUMIF(CT_tram!$B$1359:$G$1504,kl!B202,CT_tram!$G$1359:$G$1504)</f>
        <v>0</v>
      </c>
      <c r="Y202" s="775">
        <f ca="1">SUMIF(CT_tram!$B$1511:$G$1625,kl!B202,CT_tram!$G$1511:$G$1625)</f>
        <v>0</v>
      </c>
      <c r="Z202" s="775">
        <f ca="1">SUMIF(CT_tram!$B$1632:$G$2211,kl!B202,CT_tram!$G$1632:$G$2211)</f>
        <v>0</v>
      </c>
      <c r="AA202" s="775">
        <f ca="1">SUMIF(CT_tram!$B$2243:$G$2384,kl!B202,CT_tram!$G$2243:$G$2384)</f>
        <v>0</v>
      </c>
      <c r="AB202" s="775">
        <f ca="1">SUMIF(CT_tram!$B$2391:$G$2563,kl!B202,CT_tram!$G$2391:$G$2563)</f>
        <v>0</v>
      </c>
      <c r="AC202" s="775">
        <f ca="1">SUMIF(chitiet!$B$13:$N$2352,kl!$B202,chitiet!$I$13:$I$2352)</f>
        <v>0</v>
      </c>
      <c r="AD202" s="775">
        <f ca="1">SUMIF(chitiet!$B$13:$N$2352,kl!$B202,chitiet!$J$13:$J$2352)</f>
        <v>0</v>
      </c>
      <c r="AE202" s="775">
        <f ca="1">SUMIF(chitiet!$B$13:$N$2352,kl!$B202,chitiet!$K$13:$K$2352)</f>
        <v>0</v>
      </c>
      <c r="AF202" s="775">
        <f ca="1">SUMIF(chitiet!$B$13:$N$2352,kl!$B202,chitiet!$L$13:$L$2352)</f>
        <v>0</v>
      </c>
      <c r="AG202" s="775">
        <f ca="1">SUMIF(chitiet!$B$13:$N$2352,kl!$B202,chitiet!$M$13)</f>
        <v>0</v>
      </c>
      <c r="AH202" s="775">
        <f ca="1">SUMIF(chitiet!$B$13:$N$2352,kl!$B202,chitiet!$N$13:$N$2352)</f>
        <v>0</v>
      </c>
      <c r="AI202" s="775">
        <f ca="1">SUMIF(chitiet!$B$13:$N$2352,kl!$B202,chitiet!$O$13:$O$2352)</f>
        <v>0</v>
      </c>
      <c r="AJ202" s="775">
        <f ca="1">SUMIF('Cap ngam'!$B$631:$G$723,kl!$B202,'Cap ngam'!$G$631:$G$723)</f>
        <v>0</v>
      </c>
      <c r="AK202" s="775">
        <f ca="1">SUMIF('Cap ngam'!$B$403:$G$628,kl!$B202,'Cap ngam'!G$403:G$628)</f>
        <v>0</v>
      </c>
      <c r="AL202" s="775">
        <f ca="1">SUMIF('Cap ngam'!B$16:G$400,kl!$B202,'Cap ngam'!G$16:G$400)</f>
        <v>0</v>
      </c>
      <c r="AM202" s="776">
        <v>0.502</v>
      </c>
      <c r="AN202" s="775">
        <f t="shared" ca="1" si="87"/>
        <v>0</v>
      </c>
      <c r="AO202" s="775">
        <f t="shared" ca="1" si="88"/>
        <v>0</v>
      </c>
      <c r="AP202" s="775">
        <f t="shared" ca="1" si="89"/>
        <v>0</v>
      </c>
      <c r="AQ202" s="775">
        <f t="shared" ca="1" si="90"/>
        <v>0</v>
      </c>
      <c r="AR202" s="775">
        <f t="shared" ca="1" si="91"/>
        <v>0</v>
      </c>
      <c r="AS202" s="775">
        <f t="shared" ca="1" si="92"/>
        <v>0</v>
      </c>
      <c r="AT202" s="775">
        <f t="shared" ca="1" si="93"/>
        <v>0</v>
      </c>
      <c r="AU202" s="775">
        <f t="shared" ca="1" si="94"/>
        <v>0</v>
      </c>
      <c r="AV202" s="775">
        <f t="shared" ca="1" si="95"/>
        <v>0</v>
      </c>
      <c r="AW202" s="775">
        <f t="shared" ca="1" si="96"/>
        <v>0</v>
      </c>
      <c r="AX202" s="775">
        <f t="shared" si="97"/>
        <v>0</v>
      </c>
      <c r="AY202" s="775">
        <f t="shared" ca="1" si="98"/>
        <v>0</v>
      </c>
      <c r="AZ202" s="775">
        <f t="shared" si="99"/>
        <v>0</v>
      </c>
      <c r="BA202" s="775">
        <f t="shared" ca="1" si="80"/>
        <v>0</v>
      </c>
      <c r="BB202" s="775">
        <f t="shared" ca="1" si="81"/>
        <v>0</v>
      </c>
      <c r="BC202" s="775">
        <f t="shared" ca="1" si="82"/>
        <v>0</v>
      </c>
      <c r="BD202" s="775">
        <f t="shared" ca="1" si="83"/>
        <v>0</v>
      </c>
      <c r="BE202" s="775">
        <f t="shared" ca="1" si="84"/>
        <v>0</v>
      </c>
      <c r="BF202" s="775">
        <f t="shared" ca="1" si="85"/>
        <v>0</v>
      </c>
      <c r="BG202" s="775">
        <f t="shared" ca="1" si="86"/>
        <v>0</v>
      </c>
      <c r="BH202" s="775">
        <f t="shared" ca="1" si="100"/>
        <v>0</v>
      </c>
      <c r="BI202" s="775">
        <f t="shared" ca="1" si="101"/>
        <v>0</v>
      </c>
      <c r="BJ202" s="775">
        <f t="shared" ca="1" si="102"/>
        <v>0</v>
      </c>
      <c r="BK202" s="775">
        <f t="shared" ca="1" si="103"/>
        <v>0</v>
      </c>
      <c r="BL202" s="775">
        <f t="shared" ca="1" si="104"/>
        <v>0</v>
      </c>
      <c r="BM202" s="775">
        <f t="shared" ca="1" si="105"/>
        <v>0</v>
      </c>
      <c r="BN202" s="775">
        <f t="shared" ca="1" si="106"/>
        <v>0</v>
      </c>
      <c r="BO202" s="775">
        <f t="shared" ca="1" si="107"/>
        <v>0</v>
      </c>
      <c r="BP202" s="775">
        <f t="shared" ca="1" si="108"/>
        <v>0</v>
      </c>
      <c r="BQ202" s="775">
        <f t="shared" ca="1" si="75"/>
        <v>0</v>
      </c>
      <c r="BR202" s="775">
        <f t="shared" ca="1" si="109"/>
        <v>0</v>
      </c>
    </row>
    <row r="203" spans="1:70">
      <c r="A203" s="767" t="str">
        <f t="shared" ca="1" si="110"/>
        <v/>
      </c>
      <c r="B203" s="786" t="s">
        <v>39</v>
      </c>
      <c r="C203" s="188" t="str">
        <f ca="1">IF(F203=0,"",COUNTIF($F$78:$F203,"&gt;0"))</f>
        <v/>
      </c>
      <c r="D203" s="778" t="str">
        <f>VLOOKUP($B203,dongia1,DG!$C$5,)</f>
        <v>Cáp nhôm A-240</v>
      </c>
      <c r="E203" s="555" t="str">
        <f>VLOOKUP($B203,dongia1,DG!$D$5,)</f>
        <v>kg</v>
      </c>
      <c r="F203" s="779">
        <f t="shared" ca="1" si="120"/>
        <v>0</v>
      </c>
      <c r="G203" s="775">
        <f t="shared" ca="1" si="121"/>
        <v>0</v>
      </c>
      <c r="H203" s="775">
        <f ca="1">SUMIF(CT_tram!$B$33:$G$3559,kl!B203,CT_tram!$G$33:$G$3559)</f>
        <v>0</v>
      </c>
      <c r="I203" s="775">
        <f ca="1">SUMIF(CT_tram!$B$34:$G$115,$B203,CT_tram!$G$34:$G$115)</f>
        <v>0</v>
      </c>
      <c r="J203" s="775">
        <f ca="1">SUMIF(CT_tram!$B$122:$G$204,$B203,CT_tram!$G$122:$G$204)</f>
        <v>0</v>
      </c>
      <c r="K203" s="775">
        <f ca="1">SUMIF(CT_tram!$B$211:$G$293,$B203,CT_tram!$G$211:$G$293)</f>
        <v>0</v>
      </c>
      <c r="L203" s="775">
        <f ca="1">SUMIF(CT_tram!$B$300:$G$374,$B203,CT_tram!$G$300:$G$374)</f>
        <v>0</v>
      </c>
      <c r="M203" s="775">
        <f ca="1">SUMIF(CT_tram!$B$381:$G$471,$B203,CT_tram!$G$381:$G$471)</f>
        <v>0</v>
      </c>
      <c r="N203" s="775">
        <f ca="1">SUMIF(CT_tram!$B$478:$G$560,$B203,CT_tram!$G$478:$G$560)</f>
        <v>0</v>
      </c>
      <c r="O203" s="775">
        <f ca="1">SUMIF(CT_tram!$B$567:$G$653,$B203,CT_tram!$G$567:$G$653)</f>
        <v>0</v>
      </c>
      <c r="P203" s="775">
        <f ca="1">SUMIF(CT_tram!$B$661:$G$738,$B203,CT_tram!$G$661:$G$738)</f>
        <v>0</v>
      </c>
      <c r="Q203" s="775">
        <f ca="1">SUMIF(CT_tram!$B$745:$G$899,$B203,CT_tram!$G$745:$G$899)</f>
        <v>0</v>
      </c>
      <c r="R203" s="775">
        <f ca="1">SUMIF(CT_tram!$B$907:$G$995,$B203,CT_tram!$G$907:$G$995)</f>
        <v>0</v>
      </c>
      <c r="S203" s="775"/>
      <c r="T203" s="775">
        <f ca="1">SUMIF(CT_tram!$B$1004:$G$1097,B203,CT_tram!$G$1004:$G$1097)</f>
        <v>0</v>
      </c>
      <c r="U203" s="775"/>
      <c r="V203" s="775">
        <f ca="1">SUMIF(CT_tram!$B$1226:$G$1352,kl!B203,CT_tram!$G$1226:$G$1352)</f>
        <v>0</v>
      </c>
      <c r="W203" s="780">
        <f ca="1">SUMIF(CT_tram!$B$1105:$G$1219,kl!B203,CT_tram!$G$1105:$G$1219)</f>
        <v>0</v>
      </c>
      <c r="X203" s="775">
        <f ca="1">SUMIF(CT_tram!$B$1359:$G$1504,kl!B203,CT_tram!$G$1359:$G$1504)</f>
        <v>0</v>
      </c>
      <c r="Y203" s="775">
        <f ca="1">SUMIF(CT_tram!$B$1511:$G$1625,kl!B203,CT_tram!$G$1511:$G$1625)</f>
        <v>0</v>
      </c>
      <c r="Z203" s="775">
        <f ca="1">SUMIF(CT_tram!$B$1632:$G$2211,kl!B203,CT_tram!$G$1632:$G$2211)</f>
        <v>0</v>
      </c>
      <c r="AA203" s="775">
        <f ca="1">SUMIF(CT_tram!$B$2243:$G$2384,kl!B203,CT_tram!$G$2243:$G$2384)</f>
        <v>0</v>
      </c>
      <c r="AB203" s="775">
        <f ca="1">SUMIF(CT_tram!$B$2391:$G$2563,kl!B203,CT_tram!$G$2391:$G$2563)</f>
        <v>0</v>
      </c>
      <c r="AC203" s="775">
        <f ca="1">SUMIF(chitiet!$B$13:$N$2352,kl!$B203,chitiet!$I$13:$I$2352)</f>
        <v>0</v>
      </c>
      <c r="AD203" s="775">
        <f ca="1">SUMIF(chitiet!$B$13:$N$2352,kl!$B203,chitiet!$J$13:$J$2352)</f>
        <v>0</v>
      </c>
      <c r="AE203" s="775">
        <f ca="1">SUMIF(chitiet!$B$13:$N$2352,kl!$B203,chitiet!$K$13:$K$2352)</f>
        <v>0</v>
      </c>
      <c r="AF203" s="775">
        <f ca="1">SUMIF(chitiet!$B$13:$N$2352,kl!$B203,chitiet!$L$13:$L$2352)</f>
        <v>0</v>
      </c>
      <c r="AG203" s="775">
        <f ca="1">SUMIF(chitiet!$B$13:$N$2352,kl!$B203,chitiet!$M$13)</f>
        <v>0</v>
      </c>
      <c r="AH203" s="775">
        <f ca="1">SUMIF(chitiet!$B$13:$N$2352,kl!$B203,chitiet!$N$13:$N$2352)</f>
        <v>0</v>
      </c>
      <c r="AI203" s="775">
        <f ca="1">SUMIF(chitiet!$B$13:$N$2352,kl!$B203,chitiet!$O$13:$O$2352)</f>
        <v>0</v>
      </c>
      <c r="AJ203" s="775">
        <f ca="1">SUMIF('Cap ngam'!$B$631:$G$723,kl!$B203,'Cap ngam'!$G$631:$G$723)</f>
        <v>0</v>
      </c>
      <c r="AK203" s="775">
        <f ca="1">SUMIF('Cap ngam'!$B$403:$G$628,kl!$B203,'Cap ngam'!G$403:G$628)</f>
        <v>0</v>
      </c>
      <c r="AL203" s="775">
        <f ca="1">SUMIF('Cap ngam'!B$16:G$400,kl!$B203,'Cap ngam'!G$16:G$400)</f>
        <v>0</v>
      </c>
      <c r="AM203" s="776">
        <v>0.65500000000000003</v>
      </c>
      <c r="AN203" s="775">
        <f t="shared" ca="1" si="87"/>
        <v>0</v>
      </c>
      <c r="AO203" s="775">
        <f t="shared" ca="1" si="88"/>
        <v>0</v>
      </c>
      <c r="AP203" s="775">
        <f t="shared" ca="1" si="89"/>
        <v>0</v>
      </c>
      <c r="AQ203" s="775">
        <f t="shared" ca="1" si="90"/>
        <v>0</v>
      </c>
      <c r="AR203" s="775">
        <f t="shared" ca="1" si="91"/>
        <v>0</v>
      </c>
      <c r="AS203" s="775">
        <f t="shared" ca="1" si="92"/>
        <v>0</v>
      </c>
      <c r="AT203" s="775">
        <f t="shared" ca="1" si="93"/>
        <v>0</v>
      </c>
      <c r="AU203" s="775">
        <f t="shared" ca="1" si="94"/>
        <v>0</v>
      </c>
      <c r="AV203" s="775">
        <f t="shared" ca="1" si="95"/>
        <v>0</v>
      </c>
      <c r="AW203" s="775">
        <f t="shared" ca="1" si="96"/>
        <v>0</v>
      </c>
      <c r="AX203" s="775">
        <f t="shared" si="97"/>
        <v>0</v>
      </c>
      <c r="AY203" s="775">
        <f t="shared" ca="1" si="98"/>
        <v>0</v>
      </c>
      <c r="AZ203" s="775">
        <f t="shared" si="99"/>
        <v>0</v>
      </c>
      <c r="BA203" s="775">
        <f t="shared" ca="1" si="80"/>
        <v>0</v>
      </c>
      <c r="BB203" s="775">
        <f t="shared" ca="1" si="81"/>
        <v>0</v>
      </c>
      <c r="BC203" s="775">
        <f t="shared" ca="1" si="82"/>
        <v>0</v>
      </c>
      <c r="BD203" s="775">
        <f t="shared" ca="1" si="83"/>
        <v>0</v>
      </c>
      <c r="BE203" s="775">
        <f t="shared" ca="1" si="84"/>
        <v>0</v>
      </c>
      <c r="BF203" s="775">
        <f t="shared" ca="1" si="85"/>
        <v>0</v>
      </c>
      <c r="BG203" s="775">
        <f t="shared" ca="1" si="86"/>
        <v>0</v>
      </c>
      <c r="BH203" s="775">
        <f t="shared" ca="1" si="100"/>
        <v>0</v>
      </c>
      <c r="BI203" s="775">
        <f t="shared" ca="1" si="101"/>
        <v>0</v>
      </c>
      <c r="BJ203" s="775">
        <f t="shared" ca="1" si="102"/>
        <v>0</v>
      </c>
      <c r="BK203" s="775">
        <f t="shared" ca="1" si="103"/>
        <v>0</v>
      </c>
      <c r="BL203" s="775">
        <f t="shared" ca="1" si="104"/>
        <v>0</v>
      </c>
      <c r="BM203" s="775">
        <f t="shared" ca="1" si="105"/>
        <v>0</v>
      </c>
      <c r="BN203" s="775">
        <f t="shared" ca="1" si="106"/>
        <v>0</v>
      </c>
      <c r="BO203" s="775">
        <f t="shared" ca="1" si="107"/>
        <v>0</v>
      </c>
      <c r="BP203" s="775">
        <f t="shared" ca="1" si="108"/>
        <v>0</v>
      </c>
      <c r="BQ203" s="775">
        <f t="shared" ca="1" si="75"/>
        <v>0</v>
      </c>
      <c r="BR203" s="775">
        <f t="shared" ca="1" si="109"/>
        <v>0</v>
      </c>
    </row>
    <row r="204" spans="1:70">
      <c r="A204" s="767" t="str">
        <f t="shared" ref="A204:A212" ca="1" si="122">IF(F204&lt;&gt;0,"X","")</f>
        <v/>
      </c>
      <c r="B204" s="786" t="s">
        <v>1013</v>
      </c>
      <c r="C204" s="188" t="str">
        <f ca="1">IF(F204=0,"",COUNTIF($F$78:$F204,"&gt;0"))</f>
        <v/>
      </c>
      <c r="D204" s="778" t="str">
        <f>VLOOKUP($B204,dongia1,DG!$C$5,)</f>
        <v>Cáp nhôm ABC 4x150mm2</v>
      </c>
      <c r="E204" s="555" t="str">
        <f>VLOOKUP($B204,dongia1,DG!$D$5,)</f>
        <v>mét</v>
      </c>
      <c r="F204" s="779">
        <f t="shared" ref="F204:F212" ca="1" si="123">G204+H204</f>
        <v>0</v>
      </c>
      <c r="G204" s="775">
        <f t="shared" ref="G204:G212" ca="1" si="124">SUM(AC204:AL204)</f>
        <v>0</v>
      </c>
      <c r="H204" s="775">
        <f ca="1">SUMIF(CT_tram!$B$33:$G$3559,kl!B204,CT_tram!$G$33:$G$3559)</f>
        <v>0</v>
      </c>
      <c r="I204" s="775">
        <f ca="1">SUMIF(CT_tram!$B$34:$G$115,$B204,CT_tram!$G$34:$G$115)</f>
        <v>0</v>
      </c>
      <c r="J204" s="775">
        <f ca="1">SUMIF(CT_tram!$B$122:$G$204,$B204,CT_tram!$G$122:$G$204)</f>
        <v>0</v>
      </c>
      <c r="K204" s="775">
        <f ca="1">SUMIF(CT_tram!$B$211:$G$293,$B204,CT_tram!$G$211:$G$293)</f>
        <v>0</v>
      </c>
      <c r="L204" s="775">
        <f ca="1">SUMIF(CT_tram!$B$300:$G$374,$B204,CT_tram!$G$300:$G$374)</f>
        <v>0</v>
      </c>
      <c r="M204" s="775">
        <f ca="1">SUMIF(CT_tram!$B$381:$G$471,$B204,CT_tram!$G$381:$G$471)</f>
        <v>0</v>
      </c>
      <c r="N204" s="775">
        <f ca="1">SUMIF(CT_tram!$B$478:$G$560,$B204,CT_tram!$G$478:$G$560)</f>
        <v>0</v>
      </c>
      <c r="O204" s="775">
        <f ca="1">SUMIF(CT_tram!$B$567:$G$653,$B204,CT_tram!$G$567:$G$653)</f>
        <v>0</v>
      </c>
      <c r="P204" s="775">
        <f ca="1">SUMIF(CT_tram!$B$661:$G$738,$B204,CT_tram!$G$661:$G$738)</f>
        <v>0</v>
      </c>
      <c r="Q204" s="775">
        <f ca="1">SUMIF(CT_tram!$B$745:$G$899,$B204,CT_tram!$G$745:$G$899)</f>
        <v>0</v>
      </c>
      <c r="R204" s="775">
        <f ca="1">SUMIF(CT_tram!$B$907:$G$995,$B204,CT_tram!$G$907:$G$995)</f>
        <v>0</v>
      </c>
      <c r="S204" s="775"/>
      <c r="T204" s="775">
        <f ca="1">SUMIF(CT_tram!$B$1004:$G$1097,B204,CT_tram!$G$1004:$G$1097)</f>
        <v>0</v>
      </c>
      <c r="U204" s="775"/>
      <c r="V204" s="775">
        <f ca="1">SUMIF(CT_tram!$B$1226:$G$1352,kl!B204,CT_tram!$G$1226:$G$1352)</f>
        <v>0</v>
      </c>
      <c r="W204" s="780">
        <f ca="1">SUMIF(CT_tram!$B$1105:$G$1219,kl!B204,CT_tram!$G$1105:$G$1219)</f>
        <v>0</v>
      </c>
      <c r="X204" s="775">
        <f ca="1">SUMIF(CT_tram!$B$1359:$G$1504,kl!B204,CT_tram!$G$1359:$G$1504)</f>
        <v>0</v>
      </c>
      <c r="Y204" s="775">
        <f ca="1">SUMIF(CT_tram!$B$1511:$G$1625,kl!B204,CT_tram!$G$1511:$G$1625)</f>
        <v>0</v>
      </c>
      <c r="Z204" s="775">
        <f ca="1">SUMIF(CT_tram!$B$1632:$G$2211,kl!B204,CT_tram!$G$1632:$G$2211)</f>
        <v>0</v>
      </c>
      <c r="AA204" s="775">
        <f ca="1">SUMIF(CT_tram!$B$2243:$G$2384,kl!B204,CT_tram!$G$2243:$G$2384)</f>
        <v>0</v>
      </c>
      <c r="AB204" s="775">
        <f ca="1">SUMIF(CT_tram!$B$2391:$G$2563,kl!B204,CT_tram!$G$2391:$G$2563)</f>
        <v>0</v>
      </c>
      <c r="AC204" s="775">
        <f ca="1">SUMIF(chitiet!$B$13:$N$2352,kl!$B204,chitiet!$I$13:$I$2352)</f>
        <v>0</v>
      </c>
      <c r="AD204" s="775">
        <f ca="1">SUMIF(chitiet!$B$13:$N$2352,kl!$B204,chitiet!$J$13:$J$2352)</f>
        <v>0</v>
      </c>
      <c r="AE204" s="775">
        <f ca="1">SUMIF(chitiet!$B$13:$N$2352,kl!$B204,chitiet!$K$13:$K$2352)</f>
        <v>0</v>
      </c>
      <c r="AF204" s="775">
        <f ca="1">SUMIF(chitiet!$B$13:$N$2352,kl!$B204,chitiet!$L$13:$L$2352)</f>
        <v>0</v>
      </c>
      <c r="AG204" s="775">
        <f ca="1">SUMIF(chitiet!$B$13:$N$2352,kl!$B204,chitiet!$M$13)</f>
        <v>0</v>
      </c>
      <c r="AH204" s="775">
        <f ca="1">SUMIF(chitiet!$B$13:$N$2352,kl!$B204,chitiet!$N$13:$N$2352)</f>
        <v>0</v>
      </c>
      <c r="AI204" s="775">
        <f ca="1">SUMIF(chitiet!$B$13:$N$2352,kl!$B204,chitiet!$O$13:$O$2352)</f>
        <v>0</v>
      </c>
      <c r="AJ204" s="775">
        <f ca="1">SUMIF('Cap ngam'!$B$631:$G$723,kl!$B204,'Cap ngam'!$G$631:$G$723)</f>
        <v>0</v>
      </c>
      <c r="AK204" s="775">
        <f ca="1">SUMIF('Cap ngam'!$B$403:$G$628,kl!$B204,'Cap ngam'!G$403:G$628)</f>
        <v>0</v>
      </c>
      <c r="AL204" s="775">
        <f ca="1">SUMIF('Cap ngam'!B$16:G$400,kl!$B204,'Cap ngam'!G$16:G$400)</f>
        <v>0</v>
      </c>
      <c r="AM204" s="776">
        <v>2.0739999999999998</v>
      </c>
      <c r="AN204" s="775">
        <f t="shared" ca="1" si="87"/>
        <v>0</v>
      </c>
      <c r="AO204" s="775">
        <f t="shared" ca="1" si="88"/>
        <v>0</v>
      </c>
      <c r="AP204" s="775">
        <f t="shared" ca="1" si="89"/>
        <v>0</v>
      </c>
      <c r="AQ204" s="775">
        <f t="shared" ca="1" si="90"/>
        <v>0</v>
      </c>
      <c r="AR204" s="775">
        <f t="shared" ca="1" si="91"/>
        <v>0</v>
      </c>
      <c r="AS204" s="775">
        <f t="shared" ca="1" si="92"/>
        <v>0</v>
      </c>
      <c r="AT204" s="775">
        <f t="shared" ca="1" si="93"/>
        <v>0</v>
      </c>
      <c r="AU204" s="775">
        <f t="shared" ca="1" si="94"/>
        <v>0</v>
      </c>
      <c r="AV204" s="775">
        <f t="shared" ca="1" si="95"/>
        <v>0</v>
      </c>
      <c r="AW204" s="775">
        <f t="shared" ca="1" si="96"/>
        <v>0</v>
      </c>
      <c r="AX204" s="775">
        <f t="shared" si="97"/>
        <v>0</v>
      </c>
      <c r="AY204" s="775">
        <f t="shared" ca="1" si="98"/>
        <v>0</v>
      </c>
      <c r="AZ204" s="775">
        <f t="shared" si="99"/>
        <v>0</v>
      </c>
      <c r="BA204" s="775">
        <f t="shared" ca="1" si="80"/>
        <v>0</v>
      </c>
      <c r="BB204" s="775">
        <f t="shared" ca="1" si="81"/>
        <v>0</v>
      </c>
      <c r="BC204" s="775">
        <f t="shared" ca="1" si="82"/>
        <v>0</v>
      </c>
      <c r="BD204" s="775">
        <f t="shared" ca="1" si="83"/>
        <v>0</v>
      </c>
      <c r="BE204" s="775">
        <f t="shared" ca="1" si="84"/>
        <v>0</v>
      </c>
      <c r="BF204" s="775">
        <f t="shared" ca="1" si="85"/>
        <v>0</v>
      </c>
      <c r="BG204" s="775">
        <f t="shared" ca="1" si="86"/>
        <v>0</v>
      </c>
      <c r="BH204" s="775">
        <f t="shared" ca="1" si="100"/>
        <v>0</v>
      </c>
      <c r="BI204" s="775">
        <f t="shared" ca="1" si="101"/>
        <v>0</v>
      </c>
      <c r="BJ204" s="775">
        <f t="shared" ca="1" si="102"/>
        <v>0</v>
      </c>
      <c r="BK204" s="775">
        <f t="shared" ca="1" si="103"/>
        <v>0</v>
      </c>
      <c r="BL204" s="775">
        <f t="shared" ca="1" si="104"/>
        <v>0</v>
      </c>
      <c r="BM204" s="775">
        <f t="shared" ca="1" si="105"/>
        <v>0</v>
      </c>
      <c r="BN204" s="775">
        <f t="shared" ca="1" si="106"/>
        <v>0</v>
      </c>
      <c r="BO204" s="775">
        <f t="shared" ca="1" si="107"/>
        <v>0</v>
      </c>
      <c r="BP204" s="775">
        <f t="shared" ca="1" si="108"/>
        <v>0</v>
      </c>
      <c r="BQ204" s="775">
        <f t="shared" ca="1" si="75"/>
        <v>0</v>
      </c>
      <c r="BR204" s="775">
        <f t="shared" ca="1" si="109"/>
        <v>0</v>
      </c>
    </row>
    <row r="205" spans="1:70">
      <c r="A205" s="767" t="str">
        <f t="shared" ca="1" si="122"/>
        <v/>
      </c>
      <c r="B205" s="786" t="s">
        <v>1087</v>
      </c>
      <c r="C205" s="188" t="str">
        <f ca="1">IF(F205=0,"",COUNTIF($F$78:$F205,"&gt;0"))</f>
        <v/>
      </c>
      <c r="D205" s="778" t="str">
        <f>VLOOKUP($B205,dongia1,DG!$C$5,)</f>
        <v>Cáp nhôm ABC 4x120mm2</v>
      </c>
      <c r="E205" s="555" t="str">
        <f>VLOOKUP($B205,dongia1,DG!$D$5,)</f>
        <v>mét</v>
      </c>
      <c r="F205" s="779">
        <f t="shared" ca="1" si="123"/>
        <v>0</v>
      </c>
      <c r="G205" s="775">
        <f t="shared" ca="1" si="124"/>
        <v>0</v>
      </c>
      <c r="H205" s="775">
        <f ca="1">SUMIF(CT_tram!$B$33:$G$3559,kl!B205,CT_tram!$G$33:$G$3559)</f>
        <v>0</v>
      </c>
      <c r="I205" s="775">
        <f ca="1">SUMIF(CT_tram!$B$34:$G$115,$B205,CT_tram!$G$34:$G$115)</f>
        <v>0</v>
      </c>
      <c r="J205" s="775">
        <f ca="1">SUMIF(CT_tram!$B$122:$G$204,$B205,CT_tram!$G$122:$G$204)</f>
        <v>0</v>
      </c>
      <c r="K205" s="775">
        <f ca="1">SUMIF(CT_tram!$B$211:$G$293,$B205,CT_tram!$G$211:$G$293)</f>
        <v>0</v>
      </c>
      <c r="L205" s="775">
        <f ca="1">SUMIF(CT_tram!$B$300:$G$374,$B205,CT_tram!$G$300:$G$374)</f>
        <v>0</v>
      </c>
      <c r="M205" s="775">
        <f ca="1">SUMIF(CT_tram!$B$381:$G$471,$B205,CT_tram!$G$381:$G$471)</f>
        <v>0</v>
      </c>
      <c r="N205" s="775">
        <f ca="1">SUMIF(CT_tram!$B$478:$G$560,$B205,CT_tram!$G$478:$G$560)</f>
        <v>0</v>
      </c>
      <c r="O205" s="775">
        <f ca="1">SUMIF(CT_tram!$B$567:$G$653,$B205,CT_tram!$G$567:$G$653)</f>
        <v>0</v>
      </c>
      <c r="P205" s="775">
        <f ca="1">SUMIF(CT_tram!$B$661:$G$738,$B205,CT_tram!$G$661:$G$738)</f>
        <v>0</v>
      </c>
      <c r="Q205" s="775">
        <f ca="1">SUMIF(CT_tram!$B$745:$G$899,$B205,CT_tram!$G$745:$G$899)</f>
        <v>0</v>
      </c>
      <c r="R205" s="775">
        <f ca="1">SUMIF(CT_tram!$B$907:$G$995,$B205,CT_tram!$G$907:$G$995)</f>
        <v>0</v>
      </c>
      <c r="S205" s="775"/>
      <c r="T205" s="775">
        <f ca="1">SUMIF(CT_tram!$B$1004:$G$1097,B205,CT_tram!$G$1004:$G$1097)</f>
        <v>0</v>
      </c>
      <c r="U205" s="775"/>
      <c r="V205" s="775">
        <f ca="1">SUMIF(CT_tram!$B$1226:$G$1352,kl!B205,CT_tram!$G$1226:$G$1352)</f>
        <v>0</v>
      </c>
      <c r="W205" s="780">
        <f ca="1">SUMIF(CT_tram!$B$1105:$G$1219,kl!B205,CT_tram!$G$1105:$G$1219)</f>
        <v>0</v>
      </c>
      <c r="X205" s="775">
        <f ca="1">SUMIF(CT_tram!$B$1359:$G$1504,kl!B205,CT_tram!$G$1359:$G$1504)</f>
        <v>0</v>
      </c>
      <c r="Y205" s="775">
        <f ca="1">SUMIF(CT_tram!$B$1511:$G$1625,kl!B205,CT_tram!$G$1511:$G$1625)</f>
        <v>0</v>
      </c>
      <c r="Z205" s="775">
        <f ca="1">SUMIF(CT_tram!$B$1632:$G$2211,kl!B205,CT_tram!$G$1632:$G$2211)</f>
        <v>0</v>
      </c>
      <c r="AA205" s="775">
        <f ca="1">SUMIF(CT_tram!$B$2243:$G$2384,kl!B205,CT_tram!$G$2243:$G$2384)</f>
        <v>0</v>
      </c>
      <c r="AB205" s="775">
        <f ca="1">SUMIF(CT_tram!$B$2391:$G$2563,kl!B205,CT_tram!$G$2391:$G$2563)</f>
        <v>0</v>
      </c>
      <c r="AC205" s="775">
        <f ca="1">SUMIF(chitiet!$B$13:$N$2352,kl!$B205,chitiet!$I$13:$I$2352)</f>
        <v>0</v>
      </c>
      <c r="AD205" s="775">
        <f ca="1">SUMIF(chitiet!$B$13:$N$2352,kl!$B205,chitiet!$J$13:$J$2352)</f>
        <v>0</v>
      </c>
      <c r="AE205" s="775">
        <f ca="1">SUMIF(chitiet!$B$13:$N$2352,kl!$B205,chitiet!$K$13:$K$2352)</f>
        <v>0</v>
      </c>
      <c r="AF205" s="775">
        <f ca="1">SUMIF(chitiet!$B$13:$N$2352,kl!$B205,chitiet!$L$13:$L$2352)</f>
        <v>0</v>
      </c>
      <c r="AG205" s="775">
        <f ca="1">SUMIF(chitiet!$B$13:$N$2352,kl!$B205,chitiet!$M$13)</f>
        <v>0</v>
      </c>
      <c r="AH205" s="775">
        <f ca="1">SUMIF(chitiet!$B$13:$N$2352,kl!$B205,chitiet!$N$13:$N$2352)</f>
        <v>0</v>
      </c>
      <c r="AI205" s="775">
        <f ca="1">SUMIF(chitiet!$B$13:$N$2352,kl!$B205,chitiet!$O$13:$O$2352)</f>
        <v>0</v>
      </c>
      <c r="AJ205" s="775">
        <f ca="1">SUMIF('Cap ngam'!$B$631:$G$723,kl!$B205,'Cap ngam'!$G$631:$G$723)</f>
        <v>0</v>
      </c>
      <c r="AK205" s="775">
        <f ca="1">SUMIF('Cap ngam'!$B$403:$G$628,kl!$B205,'Cap ngam'!G$403:G$628)</f>
        <v>0</v>
      </c>
      <c r="AL205" s="775">
        <f ca="1">SUMIF('Cap ngam'!B$16:G$400,kl!$B205,'Cap ngam'!G$16:G$400)</f>
        <v>0</v>
      </c>
      <c r="AM205" s="776">
        <v>1.6279999999999999</v>
      </c>
      <c r="AN205" s="775">
        <f t="shared" ca="1" si="87"/>
        <v>0</v>
      </c>
      <c r="AO205" s="775">
        <f t="shared" ca="1" si="88"/>
        <v>0</v>
      </c>
      <c r="AP205" s="775">
        <f t="shared" ca="1" si="89"/>
        <v>0</v>
      </c>
      <c r="AQ205" s="775">
        <f t="shared" ca="1" si="90"/>
        <v>0</v>
      </c>
      <c r="AR205" s="775">
        <f t="shared" ca="1" si="91"/>
        <v>0</v>
      </c>
      <c r="AS205" s="775">
        <f t="shared" ca="1" si="92"/>
        <v>0</v>
      </c>
      <c r="AT205" s="775">
        <f t="shared" ca="1" si="93"/>
        <v>0</v>
      </c>
      <c r="AU205" s="775">
        <f t="shared" ca="1" si="94"/>
        <v>0</v>
      </c>
      <c r="AV205" s="775">
        <f t="shared" ca="1" si="95"/>
        <v>0</v>
      </c>
      <c r="AW205" s="775">
        <f t="shared" ca="1" si="96"/>
        <v>0</v>
      </c>
      <c r="AX205" s="775">
        <f t="shared" si="97"/>
        <v>0</v>
      </c>
      <c r="AY205" s="775">
        <f t="shared" ca="1" si="98"/>
        <v>0</v>
      </c>
      <c r="AZ205" s="775">
        <f t="shared" si="99"/>
        <v>0</v>
      </c>
      <c r="BA205" s="775">
        <f t="shared" ca="1" si="80"/>
        <v>0</v>
      </c>
      <c r="BB205" s="775">
        <f t="shared" ca="1" si="81"/>
        <v>0</v>
      </c>
      <c r="BC205" s="775">
        <f t="shared" ca="1" si="82"/>
        <v>0</v>
      </c>
      <c r="BD205" s="775">
        <f t="shared" ca="1" si="83"/>
        <v>0</v>
      </c>
      <c r="BE205" s="775">
        <f t="shared" ca="1" si="84"/>
        <v>0</v>
      </c>
      <c r="BF205" s="775">
        <f t="shared" ca="1" si="85"/>
        <v>0</v>
      </c>
      <c r="BG205" s="775">
        <f t="shared" ca="1" si="86"/>
        <v>0</v>
      </c>
      <c r="BH205" s="775">
        <f t="shared" ca="1" si="100"/>
        <v>0</v>
      </c>
      <c r="BI205" s="775">
        <f t="shared" ca="1" si="101"/>
        <v>0</v>
      </c>
      <c r="BJ205" s="775">
        <f t="shared" ca="1" si="102"/>
        <v>0</v>
      </c>
      <c r="BK205" s="775">
        <f t="shared" ca="1" si="103"/>
        <v>0</v>
      </c>
      <c r="BL205" s="775">
        <f t="shared" ca="1" si="104"/>
        <v>0</v>
      </c>
      <c r="BM205" s="775">
        <f t="shared" ca="1" si="105"/>
        <v>0</v>
      </c>
      <c r="BN205" s="775">
        <f t="shared" ca="1" si="106"/>
        <v>0</v>
      </c>
      <c r="BO205" s="775">
        <f t="shared" ca="1" si="107"/>
        <v>0</v>
      </c>
      <c r="BP205" s="775">
        <f t="shared" ca="1" si="108"/>
        <v>0</v>
      </c>
      <c r="BQ205" s="775">
        <f t="shared" ref="BQ205:BQ212" ca="1" si="125">$AL205*$AM205</f>
        <v>0</v>
      </c>
      <c r="BR205" s="775">
        <f t="shared" ca="1" si="109"/>
        <v>0</v>
      </c>
    </row>
    <row r="206" spans="1:70">
      <c r="A206" s="767" t="str">
        <f t="shared" ca="1" si="122"/>
        <v/>
      </c>
      <c r="B206" s="786" t="s">
        <v>1086</v>
      </c>
      <c r="C206" s="188" t="str">
        <f ca="1">IF(F206=0,"",COUNTIF($F$78:$F206,"&gt;0"))</f>
        <v/>
      </c>
      <c r="D206" s="778" t="str">
        <f>VLOOKUP($B206,dongia1,DG!$C$5,)</f>
        <v>Cáp nhôm ABC 4x95mm2</v>
      </c>
      <c r="E206" s="555" t="str">
        <f>VLOOKUP($B206,dongia1,DG!$D$5,)</f>
        <v>mét</v>
      </c>
      <c r="F206" s="779">
        <f t="shared" ca="1" si="123"/>
        <v>0</v>
      </c>
      <c r="G206" s="775">
        <f t="shared" ca="1" si="124"/>
        <v>0</v>
      </c>
      <c r="H206" s="775">
        <f ca="1">SUMIF(CT_tram!$B$33:$G$3559,kl!B206,CT_tram!$G$33:$G$3559)</f>
        <v>0</v>
      </c>
      <c r="I206" s="775">
        <f ca="1">SUMIF(CT_tram!$B$34:$G$115,$B206,CT_tram!$G$34:$G$115)</f>
        <v>0</v>
      </c>
      <c r="J206" s="775">
        <f ca="1">SUMIF(CT_tram!$B$122:$G$204,$B206,CT_tram!$G$122:$G$204)</f>
        <v>0</v>
      </c>
      <c r="K206" s="775">
        <f ca="1">SUMIF(CT_tram!$B$211:$G$293,$B206,CT_tram!$G$211:$G$293)</f>
        <v>0</v>
      </c>
      <c r="L206" s="775">
        <f ca="1">SUMIF(CT_tram!$B$300:$G$374,$B206,CT_tram!$G$300:$G$374)</f>
        <v>0</v>
      </c>
      <c r="M206" s="775">
        <f ca="1">SUMIF(CT_tram!$B$381:$G$471,$B206,CT_tram!$G$381:$G$471)</f>
        <v>0</v>
      </c>
      <c r="N206" s="775">
        <f ca="1">SUMIF(CT_tram!$B$478:$G$560,$B206,CT_tram!$G$478:$G$560)</f>
        <v>0</v>
      </c>
      <c r="O206" s="775">
        <f ca="1">SUMIF(CT_tram!$B$567:$G$653,$B206,CT_tram!$G$567:$G$653)</f>
        <v>0</v>
      </c>
      <c r="P206" s="775">
        <f ca="1">SUMIF(CT_tram!$B$661:$G$738,$B206,CT_tram!$G$661:$G$738)</f>
        <v>0</v>
      </c>
      <c r="Q206" s="775">
        <f ca="1">SUMIF(CT_tram!$B$745:$G$899,$B206,CT_tram!$G$745:$G$899)</f>
        <v>0</v>
      </c>
      <c r="R206" s="775">
        <f ca="1">SUMIF(CT_tram!$B$907:$G$995,$B206,CT_tram!$G$907:$G$995)</f>
        <v>0</v>
      </c>
      <c r="S206" s="775"/>
      <c r="T206" s="775">
        <f ca="1">SUMIF(CT_tram!$B$1004:$G$1097,B206,CT_tram!$G$1004:$G$1097)</f>
        <v>0</v>
      </c>
      <c r="U206" s="775"/>
      <c r="V206" s="775">
        <f ca="1">SUMIF(CT_tram!$B$1226:$G$1352,kl!B206,CT_tram!$G$1226:$G$1352)</f>
        <v>0</v>
      </c>
      <c r="W206" s="780">
        <f ca="1">SUMIF(CT_tram!$B$1105:$G$1219,kl!B206,CT_tram!$G$1105:$G$1219)</f>
        <v>0</v>
      </c>
      <c r="X206" s="775">
        <f ca="1">SUMIF(CT_tram!$B$1359:$G$1504,kl!B206,CT_tram!$G$1359:$G$1504)</f>
        <v>0</v>
      </c>
      <c r="Y206" s="775">
        <f ca="1">SUMIF(CT_tram!$B$1511:$G$1625,kl!B206,CT_tram!$G$1511:$G$1625)</f>
        <v>0</v>
      </c>
      <c r="Z206" s="775">
        <f ca="1">SUMIF(CT_tram!$B$1632:$G$2211,kl!B206,CT_tram!$G$1632:$G$2211)</f>
        <v>0</v>
      </c>
      <c r="AA206" s="775">
        <f ca="1">SUMIF(CT_tram!$B$2243:$G$2384,kl!B206,CT_tram!$G$2243:$G$2384)</f>
        <v>0</v>
      </c>
      <c r="AB206" s="775">
        <f ca="1">SUMIF(CT_tram!$B$2391:$G$2563,kl!B206,CT_tram!$G$2391:$G$2563)</f>
        <v>0</v>
      </c>
      <c r="AC206" s="775">
        <f ca="1">SUMIF(chitiet!$B$13:$N$2352,kl!$B206,chitiet!$I$13:$I$2352)</f>
        <v>0</v>
      </c>
      <c r="AD206" s="775">
        <f ca="1">SUMIF(chitiet!$B$13:$N$2352,kl!$B206,chitiet!$J$13:$J$2352)</f>
        <v>0</v>
      </c>
      <c r="AE206" s="775">
        <f ca="1">SUMIF(chitiet!$B$13:$N$2352,kl!$B206,chitiet!$K$13:$K$2352)</f>
        <v>0</v>
      </c>
      <c r="AF206" s="775">
        <f ca="1">SUMIF(chitiet!$B$13:$N$2352,kl!$B206,chitiet!$L$13:$L$2352)</f>
        <v>0</v>
      </c>
      <c r="AG206" s="775">
        <f ca="1">SUMIF(chitiet!$B$13:$N$2352,kl!$B206,chitiet!$M$13)</f>
        <v>0</v>
      </c>
      <c r="AH206" s="775">
        <f ca="1">SUMIF(chitiet!$B$13:$N$2352,kl!$B206,chitiet!$N$13:$N$2352)</f>
        <v>0</v>
      </c>
      <c r="AI206" s="775">
        <f ca="1">SUMIF(chitiet!$B$13:$N$2352,kl!$B206,chitiet!$O$13:$O$2352)</f>
        <v>0</v>
      </c>
      <c r="AJ206" s="775">
        <f ca="1">SUMIF('Cap ngam'!$B$631:$G$723,kl!$B206,'Cap ngam'!$G$631:$G$723)</f>
        <v>0</v>
      </c>
      <c r="AK206" s="775">
        <f ca="1">SUMIF('Cap ngam'!$B$403:$G$628,kl!$B206,'Cap ngam'!G$403:G$628)</f>
        <v>0</v>
      </c>
      <c r="AL206" s="775">
        <f ca="1">SUMIF('Cap ngam'!B$16:G$400,kl!$B206,'Cap ngam'!G$16:G$400)</f>
        <v>0</v>
      </c>
      <c r="AM206" s="776">
        <v>1.3480000000000001</v>
      </c>
      <c r="AN206" s="775">
        <f t="shared" ca="1" si="87"/>
        <v>0</v>
      </c>
      <c r="AO206" s="775">
        <f t="shared" ca="1" si="88"/>
        <v>0</v>
      </c>
      <c r="AP206" s="775">
        <f t="shared" ca="1" si="89"/>
        <v>0</v>
      </c>
      <c r="AQ206" s="775">
        <f t="shared" ca="1" si="90"/>
        <v>0</v>
      </c>
      <c r="AR206" s="775">
        <f t="shared" ca="1" si="91"/>
        <v>0</v>
      </c>
      <c r="AS206" s="775">
        <f t="shared" ca="1" si="92"/>
        <v>0</v>
      </c>
      <c r="AT206" s="775">
        <f t="shared" ca="1" si="93"/>
        <v>0</v>
      </c>
      <c r="AU206" s="775">
        <f t="shared" ca="1" si="94"/>
        <v>0</v>
      </c>
      <c r="AV206" s="775">
        <f t="shared" ca="1" si="95"/>
        <v>0</v>
      </c>
      <c r="AW206" s="775">
        <f t="shared" ca="1" si="96"/>
        <v>0</v>
      </c>
      <c r="AX206" s="775">
        <f t="shared" si="97"/>
        <v>0</v>
      </c>
      <c r="AY206" s="775">
        <f t="shared" ca="1" si="98"/>
        <v>0</v>
      </c>
      <c r="AZ206" s="775">
        <f t="shared" si="99"/>
        <v>0</v>
      </c>
      <c r="BA206" s="775">
        <f t="shared" ca="1" si="80"/>
        <v>0</v>
      </c>
      <c r="BB206" s="775">
        <f t="shared" ca="1" si="81"/>
        <v>0</v>
      </c>
      <c r="BC206" s="775">
        <f t="shared" ca="1" si="82"/>
        <v>0</v>
      </c>
      <c r="BD206" s="775">
        <f t="shared" ca="1" si="83"/>
        <v>0</v>
      </c>
      <c r="BE206" s="775">
        <f t="shared" ca="1" si="84"/>
        <v>0</v>
      </c>
      <c r="BF206" s="775">
        <f t="shared" ca="1" si="85"/>
        <v>0</v>
      </c>
      <c r="BG206" s="775">
        <f t="shared" ca="1" si="86"/>
        <v>0</v>
      </c>
      <c r="BH206" s="775">
        <f t="shared" ca="1" si="100"/>
        <v>0</v>
      </c>
      <c r="BI206" s="775">
        <f t="shared" ca="1" si="101"/>
        <v>0</v>
      </c>
      <c r="BJ206" s="775">
        <f t="shared" ca="1" si="102"/>
        <v>0</v>
      </c>
      <c r="BK206" s="775">
        <f t="shared" ca="1" si="103"/>
        <v>0</v>
      </c>
      <c r="BL206" s="775">
        <f t="shared" ca="1" si="104"/>
        <v>0</v>
      </c>
      <c r="BM206" s="775">
        <f t="shared" ca="1" si="105"/>
        <v>0</v>
      </c>
      <c r="BN206" s="775">
        <f t="shared" ca="1" si="106"/>
        <v>0</v>
      </c>
      <c r="BO206" s="775">
        <f t="shared" ca="1" si="107"/>
        <v>0</v>
      </c>
      <c r="BP206" s="775">
        <f t="shared" ca="1" si="108"/>
        <v>0</v>
      </c>
      <c r="BQ206" s="775">
        <f t="shared" ca="1" si="125"/>
        <v>0</v>
      </c>
      <c r="BR206" s="775">
        <f t="shared" ca="1" si="109"/>
        <v>0</v>
      </c>
    </row>
    <row r="207" spans="1:70">
      <c r="A207" s="767" t="str">
        <f t="shared" ca="1" si="122"/>
        <v/>
      </c>
      <c r="B207" s="786" t="s">
        <v>1085</v>
      </c>
      <c r="C207" s="188" t="str">
        <f ca="1">IF(F207=0,"",COUNTIF($F$78:$F207,"&gt;0"))</f>
        <v/>
      </c>
      <c r="D207" s="778" t="str">
        <f>VLOOKUP($B207,dongia1,DG!$C$5,)</f>
        <v>Cáp nhôm ABC 4x70mm2</v>
      </c>
      <c r="E207" s="555" t="str">
        <f>VLOOKUP($B207,dongia1,DG!$D$5,)</f>
        <v>mét</v>
      </c>
      <c r="F207" s="779">
        <f t="shared" ca="1" si="123"/>
        <v>0</v>
      </c>
      <c r="G207" s="775">
        <f t="shared" ca="1" si="124"/>
        <v>0</v>
      </c>
      <c r="H207" s="775">
        <f ca="1">SUMIF(CT_tram!$B$33:$G$3559,kl!B207,CT_tram!$G$33:$G$3559)</f>
        <v>0</v>
      </c>
      <c r="I207" s="775">
        <f ca="1">SUMIF(CT_tram!$B$34:$G$115,$B207,CT_tram!$G$34:$G$115)</f>
        <v>0</v>
      </c>
      <c r="J207" s="775">
        <f ca="1">SUMIF(CT_tram!$B$122:$G$204,$B207,CT_tram!$G$122:$G$204)</f>
        <v>0</v>
      </c>
      <c r="K207" s="775">
        <f ca="1">SUMIF(CT_tram!$B$211:$G$293,$B207,CT_tram!$G$211:$G$293)</f>
        <v>0</v>
      </c>
      <c r="L207" s="775">
        <f ca="1">SUMIF(CT_tram!$B$300:$G$374,$B207,CT_tram!$G$300:$G$374)</f>
        <v>0</v>
      </c>
      <c r="M207" s="775">
        <f ca="1">SUMIF(CT_tram!$B$381:$G$471,$B207,CT_tram!$G$381:$G$471)</f>
        <v>0</v>
      </c>
      <c r="N207" s="775">
        <f ca="1">SUMIF(CT_tram!$B$478:$G$560,$B207,CT_tram!$G$478:$G$560)</f>
        <v>0</v>
      </c>
      <c r="O207" s="775">
        <f ca="1">SUMIF(CT_tram!$B$567:$G$653,$B207,CT_tram!$G$567:$G$653)</f>
        <v>0</v>
      </c>
      <c r="P207" s="775">
        <f ca="1">SUMIF(CT_tram!$B$661:$G$738,$B207,CT_tram!$G$661:$G$738)</f>
        <v>0</v>
      </c>
      <c r="Q207" s="775">
        <f ca="1">SUMIF(CT_tram!$B$745:$G$899,$B207,CT_tram!$G$745:$G$899)</f>
        <v>0</v>
      </c>
      <c r="R207" s="775">
        <f ca="1">SUMIF(CT_tram!$B$907:$G$995,$B207,CT_tram!$G$907:$G$995)</f>
        <v>0</v>
      </c>
      <c r="S207" s="775"/>
      <c r="T207" s="775">
        <f ca="1">SUMIF(CT_tram!$B$1004:$G$1097,B207,CT_tram!$G$1004:$G$1097)</f>
        <v>0</v>
      </c>
      <c r="U207" s="775"/>
      <c r="V207" s="775">
        <f ca="1">SUMIF(CT_tram!$B$1226:$G$1352,kl!B207,CT_tram!$G$1226:$G$1352)</f>
        <v>0</v>
      </c>
      <c r="W207" s="780">
        <f ca="1">SUMIF(CT_tram!$B$1105:$G$1219,kl!B207,CT_tram!$G$1105:$G$1219)</f>
        <v>0</v>
      </c>
      <c r="X207" s="775">
        <f ca="1">SUMIF(CT_tram!$B$1359:$G$1504,kl!B207,CT_tram!$G$1359:$G$1504)</f>
        <v>0</v>
      </c>
      <c r="Y207" s="775">
        <f ca="1">SUMIF(CT_tram!$B$1511:$G$1625,kl!B207,CT_tram!$G$1511:$G$1625)</f>
        <v>0</v>
      </c>
      <c r="Z207" s="775">
        <f ca="1">SUMIF(CT_tram!$B$1632:$G$2211,kl!B207,CT_tram!$G$1632:$G$2211)</f>
        <v>0</v>
      </c>
      <c r="AA207" s="775">
        <f ca="1">SUMIF(CT_tram!$B$2243:$G$2384,kl!B207,CT_tram!$G$2243:$G$2384)</f>
        <v>0</v>
      </c>
      <c r="AB207" s="775">
        <f ca="1">SUMIF(CT_tram!$B$2391:$G$2563,kl!B207,CT_tram!$G$2391:$G$2563)</f>
        <v>0</v>
      </c>
      <c r="AC207" s="775">
        <f ca="1">SUMIF(chitiet!$B$13:$N$2352,kl!$B207,chitiet!$I$13:$I$2352)</f>
        <v>0</v>
      </c>
      <c r="AD207" s="775">
        <f ca="1">SUMIF(chitiet!$B$13:$N$2352,kl!$B207,chitiet!$J$13:$J$2352)</f>
        <v>0</v>
      </c>
      <c r="AE207" s="775">
        <f ca="1">SUMIF(chitiet!$B$13:$N$2352,kl!$B207,chitiet!$K$13:$K$2352)</f>
        <v>0</v>
      </c>
      <c r="AF207" s="775">
        <f ca="1">SUMIF(chitiet!$B$13:$N$2352,kl!$B207,chitiet!$L$13:$L$2352)</f>
        <v>0</v>
      </c>
      <c r="AG207" s="775">
        <f ca="1">SUMIF(chitiet!$B$13:$N$2352,kl!$B207,chitiet!$M$13)</f>
        <v>0</v>
      </c>
      <c r="AH207" s="775">
        <f ca="1">SUMIF(chitiet!$B$13:$N$2352,kl!$B207,chitiet!$N$13:$N$2352)</f>
        <v>0</v>
      </c>
      <c r="AI207" s="775">
        <f ca="1">SUMIF(chitiet!$B$13:$N$2352,kl!$B207,chitiet!$O$13:$O$2352)</f>
        <v>0</v>
      </c>
      <c r="AJ207" s="775">
        <f ca="1">SUMIF('Cap ngam'!$B$631:$G$723,kl!$B207,'Cap ngam'!$G$631:$G$723)</f>
        <v>0</v>
      </c>
      <c r="AK207" s="775">
        <f ca="1">SUMIF('Cap ngam'!$B$403:$G$628,kl!$B207,'Cap ngam'!G$403:G$628)</f>
        <v>0</v>
      </c>
      <c r="AL207" s="775">
        <f ca="1">SUMIF('Cap ngam'!B$16:G$400,kl!$B207,'Cap ngam'!G$16:G$400)</f>
        <v>0</v>
      </c>
      <c r="AM207" s="776">
        <v>0.98</v>
      </c>
      <c r="AN207" s="775">
        <f t="shared" ca="1" si="87"/>
        <v>0</v>
      </c>
      <c r="AO207" s="775">
        <f t="shared" ca="1" si="88"/>
        <v>0</v>
      </c>
      <c r="AP207" s="775">
        <f t="shared" ca="1" si="89"/>
        <v>0</v>
      </c>
      <c r="AQ207" s="775">
        <f t="shared" ca="1" si="90"/>
        <v>0</v>
      </c>
      <c r="AR207" s="775">
        <f t="shared" ca="1" si="91"/>
        <v>0</v>
      </c>
      <c r="AS207" s="775">
        <f t="shared" ca="1" si="92"/>
        <v>0</v>
      </c>
      <c r="AT207" s="775">
        <f t="shared" ca="1" si="93"/>
        <v>0</v>
      </c>
      <c r="AU207" s="775">
        <f t="shared" ca="1" si="94"/>
        <v>0</v>
      </c>
      <c r="AV207" s="775">
        <f t="shared" ca="1" si="95"/>
        <v>0</v>
      </c>
      <c r="AW207" s="775">
        <f t="shared" ca="1" si="96"/>
        <v>0</v>
      </c>
      <c r="AX207" s="775">
        <f t="shared" si="97"/>
        <v>0</v>
      </c>
      <c r="AY207" s="775">
        <f t="shared" ca="1" si="98"/>
        <v>0</v>
      </c>
      <c r="AZ207" s="775">
        <f t="shared" si="99"/>
        <v>0</v>
      </c>
      <c r="BA207" s="775">
        <f t="shared" ref="BA207:BA273" ca="1" si="126">V207*$AM207</f>
        <v>0</v>
      </c>
      <c r="BB207" s="775">
        <f t="shared" ref="BB207:BB273" ca="1" si="127">W207*$AM207</f>
        <v>0</v>
      </c>
      <c r="BC207" s="775">
        <f t="shared" ref="BC207:BC273" ca="1" si="128">X207*$AM207</f>
        <v>0</v>
      </c>
      <c r="BD207" s="775">
        <f t="shared" ref="BD207:BD273" ca="1" si="129">Y207*$AM207</f>
        <v>0</v>
      </c>
      <c r="BE207" s="775">
        <f t="shared" ref="BE207:BE273" ca="1" si="130">Z207*$AM207</f>
        <v>0</v>
      </c>
      <c r="BF207" s="775">
        <f t="shared" ref="BF207:BF273" ca="1" si="131">AA207*$AM207</f>
        <v>0</v>
      </c>
      <c r="BG207" s="775">
        <f t="shared" ref="BG207:BG273" ca="1" si="132">AB207*$AM207</f>
        <v>0</v>
      </c>
      <c r="BH207" s="775">
        <f t="shared" ca="1" si="100"/>
        <v>0</v>
      </c>
      <c r="BI207" s="775">
        <f t="shared" ca="1" si="101"/>
        <v>0</v>
      </c>
      <c r="BJ207" s="775">
        <f t="shared" ca="1" si="102"/>
        <v>0</v>
      </c>
      <c r="BK207" s="775">
        <f t="shared" ca="1" si="103"/>
        <v>0</v>
      </c>
      <c r="BL207" s="775">
        <f t="shared" ca="1" si="104"/>
        <v>0</v>
      </c>
      <c r="BM207" s="775">
        <f t="shared" ca="1" si="105"/>
        <v>0</v>
      </c>
      <c r="BN207" s="775">
        <f t="shared" ca="1" si="106"/>
        <v>0</v>
      </c>
      <c r="BO207" s="775">
        <f t="shared" ca="1" si="107"/>
        <v>0</v>
      </c>
      <c r="BP207" s="775">
        <f t="shared" ca="1" si="108"/>
        <v>0</v>
      </c>
      <c r="BQ207" s="775">
        <f t="shared" ca="1" si="125"/>
        <v>0</v>
      </c>
      <c r="BR207" s="775">
        <f t="shared" ca="1" si="109"/>
        <v>0</v>
      </c>
    </row>
    <row r="208" spans="1:70">
      <c r="A208" s="767" t="str">
        <f t="shared" ca="1" si="122"/>
        <v/>
      </c>
      <c r="B208" s="786" t="s">
        <v>1084</v>
      </c>
      <c r="C208" s="188" t="str">
        <f ca="1">IF(F208=0,"",COUNTIF($F$78:$F208,"&gt;0"))</f>
        <v/>
      </c>
      <c r="D208" s="778" t="str">
        <f>VLOOKUP($B208,dongia1,DG!$C$5,)</f>
        <v>Cáp nhôm ABC 4x50mm2</v>
      </c>
      <c r="E208" s="555" t="str">
        <f>VLOOKUP($B208,dongia1,DG!$D$5,)</f>
        <v>mét</v>
      </c>
      <c r="F208" s="779">
        <f t="shared" ca="1" si="123"/>
        <v>0</v>
      </c>
      <c r="G208" s="775">
        <f t="shared" ca="1" si="124"/>
        <v>0</v>
      </c>
      <c r="H208" s="775">
        <f ca="1">SUMIF(CT_tram!$B$33:$G$3559,kl!B208,CT_tram!$G$33:$G$3559)</f>
        <v>0</v>
      </c>
      <c r="I208" s="775">
        <f ca="1">SUMIF(CT_tram!$B$34:$G$115,$B208,CT_tram!$G$34:$G$115)</f>
        <v>0</v>
      </c>
      <c r="J208" s="775">
        <f ca="1">SUMIF(CT_tram!$B$122:$G$204,$B208,CT_tram!$G$122:$G$204)</f>
        <v>0</v>
      </c>
      <c r="K208" s="775">
        <f ca="1">SUMIF(CT_tram!$B$211:$G$293,$B208,CT_tram!$G$211:$G$293)</f>
        <v>0</v>
      </c>
      <c r="L208" s="775">
        <f ca="1">SUMIF(CT_tram!$B$300:$G$374,$B208,CT_tram!$G$300:$G$374)</f>
        <v>0</v>
      </c>
      <c r="M208" s="775">
        <f ca="1">SUMIF(CT_tram!$B$381:$G$471,$B208,CT_tram!$G$381:$G$471)</f>
        <v>0</v>
      </c>
      <c r="N208" s="775">
        <f ca="1">SUMIF(CT_tram!$B$478:$G$560,$B208,CT_tram!$G$478:$G$560)</f>
        <v>0</v>
      </c>
      <c r="O208" s="775">
        <f ca="1">SUMIF(CT_tram!$B$567:$G$653,$B208,CT_tram!$G$567:$G$653)</f>
        <v>0</v>
      </c>
      <c r="P208" s="775">
        <f ca="1">SUMIF(CT_tram!$B$661:$G$738,$B208,CT_tram!$G$661:$G$738)</f>
        <v>0</v>
      </c>
      <c r="Q208" s="775">
        <f ca="1">SUMIF(CT_tram!$B$745:$G$899,$B208,CT_tram!$G$745:$G$899)</f>
        <v>0</v>
      </c>
      <c r="R208" s="775">
        <f ca="1">SUMIF(CT_tram!$B$907:$G$995,$B208,CT_tram!$G$907:$G$995)</f>
        <v>0</v>
      </c>
      <c r="S208" s="775"/>
      <c r="T208" s="775">
        <f ca="1">SUMIF(CT_tram!$B$1004:$G$1097,B208,CT_tram!$G$1004:$G$1097)</f>
        <v>0</v>
      </c>
      <c r="U208" s="775"/>
      <c r="V208" s="775">
        <f ca="1">SUMIF(CT_tram!$B$1226:$G$1352,kl!B208,CT_tram!$G$1226:$G$1352)</f>
        <v>0</v>
      </c>
      <c r="W208" s="780">
        <f ca="1">SUMIF(CT_tram!$B$1105:$G$1219,kl!B208,CT_tram!$G$1105:$G$1219)</f>
        <v>0</v>
      </c>
      <c r="X208" s="775">
        <f ca="1">SUMIF(CT_tram!$B$1359:$G$1504,kl!B208,CT_tram!$G$1359:$G$1504)</f>
        <v>0</v>
      </c>
      <c r="Y208" s="775">
        <f ca="1">SUMIF(CT_tram!$B$1511:$G$1625,kl!B208,CT_tram!$G$1511:$G$1625)</f>
        <v>0</v>
      </c>
      <c r="Z208" s="775">
        <f ca="1">SUMIF(CT_tram!$B$1632:$G$2211,kl!B208,CT_tram!$G$1632:$G$2211)</f>
        <v>0</v>
      </c>
      <c r="AA208" s="775">
        <f ca="1">SUMIF(CT_tram!$B$2243:$G$2384,kl!B208,CT_tram!$G$2243:$G$2384)</f>
        <v>0</v>
      </c>
      <c r="AB208" s="775">
        <f ca="1">SUMIF(CT_tram!$B$2391:$G$2563,kl!B208,CT_tram!$G$2391:$G$2563)</f>
        <v>0</v>
      </c>
      <c r="AC208" s="775">
        <f ca="1">SUMIF(chitiet!$B$13:$N$2352,kl!$B208,chitiet!$I$13:$I$2352)</f>
        <v>0</v>
      </c>
      <c r="AD208" s="775">
        <f ca="1">SUMIF(chitiet!$B$13:$N$2352,kl!$B208,chitiet!$J$13:$J$2352)</f>
        <v>0</v>
      </c>
      <c r="AE208" s="775">
        <f ca="1">SUMIF(chitiet!$B$13:$N$2352,kl!$B208,chitiet!$K$13:$K$2352)</f>
        <v>0</v>
      </c>
      <c r="AF208" s="775">
        <f ca="1">SUMIF(chitiet!$B$13:$N$2352,kl!$B208,chitiet!$L$13:$L$2352)</f>
        <v>0</v>
      </c>
      <c r="AG208" s="775">
        <f ca="1">SUMIF(chitiet!$B$13:$N$2352,kl!$B208,chitiet!$M$13)</f>
        <v>0</v>
      </c>
      <c r="AH208" s="775">
        <f ca="1">SUMIF(chitiet!$B$13:$N$2352,kl!$B208,chitiet!$N$13:$N$2352)</f>
        <v>0</v>
      </c>
      <c r="AI208" s="775">
        <f ca="1">SUMIF(chitiet!$B$13:$N$2352,kl!$B208,chitiet!$O$13:$O$2352)</f>
        <v>0</v>
      </c>
      <c r="AJ208" s="775">
        <f ca="1">SUMIF('Cap ngam'!$B$631:$G$723,kl!$B208,'Cap ngam'!$G$631:$G$723)</f>
        <v>0</v>
      </c>
      <c r="AK208" s="775">
        <f ca="1">SUMIF('Cap ngam'!$B$403:$G$628,kl!$B208,'Cap ngam'!G$403:G$628)</f>
        <v>0</v>
      </c>
      <c r="AL208" s="775">
        <f ca="1">SUMIF('Cap ngam'!B$16:G$400,kl!$B208,'Cap ngam'!G$16:G$400)</f>
        <v>0</v>
      </c>
      <c r="AM208" s="776">
        <v>0.72</v>
      </c>
      <c r="AN208" s="775">
        <f t="shared" ref="AN208:AN274" ca="1" si="133">I208*$AM208</f>
        <v>0</v>
      </c>
      <c r="AO208" s="775">
        <f t="shared" ref="AO208:AO274" ca="1" si="134">J208*$AM208</f>
        <v>0</v>
      </c>
      <c r="AP208" s="775">
        <f t="shared" ref="AP208:AP274" ca="1" si="135">K208*$AM208</f>
        <v>0</v>
      </c>
      <c r="AQ208" s="775">
        <f t="shared" ref="AQ208:AQ274" ca="1" si="136">L208*$AM208</f>
        <v>0</v>
      </c>
      <c r="AR208" s="775">
        <f t="shared" ref="AR208:AR274" ca="1" si="137">M208*$AM208</f>
        <v>0</v>
      </c>
      <c r="AS208" s="775">
        <f t="shared" ref="AS208:AS274" ca="1" si="138">N208*$AM208</f>
        <v>0</v>
      </c>
      <c r="AT208" s="775">
        <f t="shared" ref="AT208:AT274" ca="1" si="139">O208*$AM208</f>
        <v>0</v>
      </c>
      <c r="AU208" s="775">
        <f t="shared" ref="AU208:AU274" ca="1" si="140">P208*$AM208</f>
        <v>0</v>
      </c>
      <c r="AV208" s="775">
        <f t="shared" ref="AV208:AV274" ca="1" si="141">Q208*$AM208</f>
        <v>0</v>
      </c>
      <c r="AW208" s="775">
        <f t="shared" ref="AW208:AW274" ca="1" si="142">R208*$AM208</f>
        <v>0</v>
      </c>
      <c r="AX208" s="775">
        <f t="shared" ref="AX208:AX274" si="143">S208*$AM208</f>
        <v>0</v>
      </c>
      <c r="AY208" s="775">
        <f t="shared" ref="AY208:AY274" ca="1" si="144">T208*$AM208</f>
        <v>0</v>
      </c>
      <c r="AZ208" s="775">
        <f t="shared" ref="AZ208:AZ274" si="145">U208*$AM208</f>
        <v>0</v>
      </c>
      <c r="BA208" s="775">
        <f t="shared" ca="1" si="126"/>
        <v>0</v>
      </c>
      <c r="BB208" s="775">
        <f t="shared" ca="1" si="127"/>
        <v>0</v>
      </c>
      <c r="BC208" s="775">
        <f t="shared" ca="1" si="128"/>
        <v>0</v>
      </c>
      <c r="BD208" s="775">
        <f t="shared" ca="1" si="129"/>
        <v>0</v>
      </c>
      <c r="BE208" s="775">
        <f t="shared" ca="1" si="130"/>
        <v>0</v>
      </c>
      <c r="BF208" s="775">
        <f t="shared" ca="1" si="131"/>
        <v>0</v>
      </c>
      <c r="BG208" s="775">
        <f t="shared" ca="1" si="132"/>
        <v>0</v>
      </c>
      <c r="BH208" s="775">
        <f t="shared" ca="1" si="100"/>
        <v>0</v>
      </c>
      <c r="BI208" s="775">
        <f t="shared" ca="1" si="101"/>
        <v>0</v>
      </c>
      <c r="BJ208" s="775">
        <f t="shared" ca="1" si="102"/>
        <v>0</v>
      </c>
      <c r="BK208" s="775">
        <f t="shared" ca="1" si="103"/>
        <v>0</v>
      </c>
      <c r="BL208" s="775">
        <f t="shared" ca="1" si="104"/>
        <v>0</v>
      </c>
      <c r="BM208" s="775">
        <f t="shared" ca="1" si="105"/>
        <v>0</v>
      </c>
      <c r="BN208" s="775">
        <f t="shared" ca="1" si="106"/>
        <v>0</v>
      </c>
      <c r="BO208" s="775">
        <f t="shared" ca="1" si="107"/>
        <v>0</v>
      </c>
      <c r="BP208" s="775">
        <f t="shared" ca="1" si="108"/>
        <v>0</v>
      </c>
      <c r="BQ208" s="775">
        <f t="shared" ca="1" si="125"/>
        <v>0</v>
      </c>
      <c r="BR208" s="775">
        <f t="shared" ca="1" si="109"/>
        <v>0</v>
      </c>
    </row>
    <row r="209" spans="1:70">
      <c r="A209" s="767" t="str">
        <f t="shared" ca="1" si="122"/>
        <v/>
      </c>
      <c r="B209" s="786" t="s">
        <v>4388</v>
      </c>
      <c r="C209" s="188" t="str">
        <f ca="1">IF(F209=0,"",COUNTIF($F$78:$F209,"&gt;0"))</f>
        <v/>
      </c>
      <c r="D209" s="778" t="str">
        <f>VLOOKUP($B209,dongia1,DG!$C$5,)</f>
        <v>Cáp nhôm ABC 3x120mm2</v>
      </c>
      <c r="E209" s="555" t="str">
        <f>VLOOKUP($B209,dongia1,DG!$D$5,)</f>
        <v>mét</v>
      </c>
      <c r="F209" s="779">
        <f t="shared" ca="1" si="123"/>
        <v>0</v>
      </c>
      <c r="G209" s="775">
        <f t="shared" ca="1" si="124"/>
        <v>0</v>
      </c>
      <c r="H209" s="775">
        <f ca="1">SUMIF(CT_tram!$B$33:$G$3559,kl!B209,CT_tram!$G$33:$G$3559)</f>
        <v>0</v>
      </c>
      <c r="I209" s="775">
        <f ca="1">SUMIF(CT_tram!$B$34:$G$115,$B209,CT_tram!$G$34:$G$115)</f>
        <v>0</v>
      </c>
      <c r="J209" s="775">
        <f ca="1">SUMIF(CT_tram!$B$122:$G$204,$B209,CT_tram!$G$122:$G$204)</f>
        <v>0</v>
      </c>
      <c r="K209" s="775">
        <f ca="1">SUMIF(CT_tram!$B$211:$G$293,$B209,CT_tram!$G$211:$G$293)</f>
        <v>0</v>
      </c>
      <c r="L209" s="775">
        <f ca="1">SUMIF(CT_tram!$B$300:$G$374,$B209,CT_tram!$G$300:$G$374)</f>
        <v>0</v>
      </c>
      <c r="M209" s="775">
        <f ca="1">SUMIF(CT_tram!$B$381:$G$471,$B209,CT_tram!$G$381:$G$471)</f>
        <v>0</v>
      </c>
      <c r="N209" s="775">
        <f ca="1">SUMIF(CT_tram!$B$478:$G$560,$B209,CT_tram!$G$478:$G$560)</f>
        <v>0</v>
      </c>
      <c r="O209" s="775">
        <f ca="1">SUMIF(CT_tram!$B$567:$G$653,$B209,CT_tram!$G$567:$G$653)</f>
        <v>0</v>
      </c>
      <c r="P209" s="775">
        <f ca="1">SUMIF(CT_tram!$B$661:$G$738,$B209,CT_tram!$G$661:$G$738)</f>
        <v>0</v>
      </c>
      <c r="Q209" s="775">
        <f ca="1">SUMIF(CT_tram!$B$745:$G$899,$B209,CT_tram!$G$745:$G$899)</f>
        <v>0</v>
      </c>
      <c r="R209" s="775">
        <f ca="1">SUMIF(CT_tram!$B$907:$G$995,$B209,CT_tram!$G$907:$G$995)</f>
        <v>0</v>
      </c>
      <c r="S209" s="775"/>
      <c r="T209" s="775">
        <f ca="1">SUMIF(CT_tram!$B$1004:$G$1097,B209,CT_tram!$G$1004:$G$1097)</f>
        <v>0</v>
      </c>
      <c r="U209" s="775"/>
      <c r="V209" s="775">
        <f ca="1">SUMIF(CT_tram!$B$1226:$G$1352,kl!B209,CT_tram!$G$1226:$G$1352)</f>
        <v>0</v>
      </c>
      <c r="W209" s="780">
        <f ca="1">SUMIF(CT_tram!$B$1105:$G$1219,kl!B209,CT_tram!$G$1105:$G$1219)</f>
        <v>0</v>
      </c>
      <c r="X209" s="775">
        <f ca="1">SUMIF(CT_tram!$B$1359:$G$1504,kl!B209,CT_tram!$G$1359:$G$1504)</f>
        <v>0</v>
      </c>
      <c r="Y209" s="775">
        <f ca="1">SUMIF(CT_tram!$B$1511:$G$1625,kl!B209,CT_tram!$G$1511:$G$1625)</f>
        <v>0</v>
      </c>
      <c r="Z209" s="775">
        <f ca="1">SUMIF(CT_tram!$B$1632:$G$2211,kl!B209,CT_tram!$G$1632:$G$2211)</f>
        <v>0</v>
      </c>
      <c r="AA209" s="775">
        <f ca="1">SUMIF(CT_tram!$B$2243:$G$2384,kl!B209,CT_tram!$G$2243:$G$2384)</f>
        <v>0</v>
      </c>
      <c r="AB209" s="775">
        <f ca="1">SUMIF(CT_tram!$B$2391:$G$2563,kl!B209,CT_tram!$G$2391:$G$2563)</f>
        <v>0</v>
      </c>
      <c r="AC209" s="775">
        <f ca="1">SUMIF(chitiet!$B$13:$N$2352,kl!$B209,chitiet!$I$13:$I$2352)</f>
        <v>0</v>
      </c>
      <c r="AD209" s="775">
        <f ca="1">SUMIF(chitiet!$B$13:$N$2352,kl!$B209,chitiet!$J$13:$J$2352)</f>
        <v>0</v>
      </c>
      <c r="AE209" s="775">
        <f ca="1">SUMIF(chitiet!$B$13:$N$2352,kl!$B209,chitiet!$K$13:$K$2352)</f>
        <v>0</v>
      </c>
      <c r="AF209" s="775">
        <f ca="1">SUMIF(chitiet!$B$13:$N$2352,kl!$B209,chitiet!$L$13:$L$2352)</f>
        <v>0</v>
      </c>
      <c r="AG209" s="775">
        <f ca="1">SUMIF(chitiet!$B$13:$N$2352,kl!$B209,chitiet!$M$13)</f>
        <v>0</v>
      </c>
      <c r="AH209" s="775">
        <f ca="1">SUMIF(chitiet!$B$13:$N$2352,kl!$B209,chitiet!$N$13:$N$2352)</f>
        <v>0</v>
      </c>
      <c r="AI209" s="775">
        <f ca="1">SUMIF(chitiet!$B$13:$N$2352,kl!$B209,chitiet!$O$13:$O$2352)</f>
        <v>0</v>
      </c>
      <c r="AJ209" s="775">
        <f ca="1">SUMIF('Cap ngam'!$B$631:$G$723,kl!$B209,'Cap ngam'!$G$631:$G$723)</f>
        <v>0</v>
      </c>
      <c r="AK209" s="775">
        <f ca="1">SUMIF('Cap ngam'!$B$403:$G$628,kl!$B209,'Cap ngam'!G$403:G$628)</f>
        <v>0</v>
      </c>
      <c r="AL209" s="775">
        <f ca="1">SUMIF('Cap ngam'!B$16:G$400,kl!$B209,'Cap ngam'!G$16:G$400)</f>
        <v>0</v>
      </c>
      <c r="AM209" s="776">
        <v>1.2209999999999999</v>
      </c>
      <c r="AN209" s="775">
        <f t="shared" ca="1" si="133"/>
        <v>0</v>
      </c>
      <c r="AO209" s="775">
        <f t="shared" ca="1" si="134"/>
        <v>0</v>
      </c>
      <c r="AP209" s="775">
        <f t="shared" ca="1" si="135"/>
        <v>0</v>
      </c>
      <c r="AQ209" s="775">
        <f t="shared" ca="1" si="136"/>
        <v>0</v>
      </c>
      <c r="AR209" s="775">
        <f t="shared" ca="1" si="137"/>
        <v>0</v>
      </c>
      <c r="AS209" s="775">
        <f t="shared" ca="1" si="138"/>
        <v>0</v>
      </c>
      <c r="AT209" s="775">
        <f t="shared" ca="1" si="139"/>
        <v>0</v>
      </c>
      <c r="AU209" s="775">
        <f t="shared" ca="1" si="140"/>
        <v>0</v>
      </c>
      <c r="AV209" s="775">
        <f t="shared" ca="1" si="141"/>
        <v>0</v>
      </c>
      <c r="AW209" s="775">
        <f t="shared" ca="1" si="142"/>
        <v>0</v>
      </c>
      <c r="AX209" s="775">
        <f t="shared" si="143"/>
        <v>0</v>
      </c>
      <c r="AY209" s="775">
        <f t="shared" ca="1" si="144"/>
        <v>0</v>
      </c>
      <c r="AZ209" s="775">
        <f t="shared" si="145"/>
        <v>0</v>
      </c>
      <c r="BA209" s="775">
        <f t="shared" ca="1" si="126"/>
        <v>0</v>
      </c>
      <c r="BB209" s="775">
        <f t="shared" ca="1" si="127"/>
        <v>0</v>
      </c>
      <c r="BC209" s="775">
        <f t="shared" ca="1" si="128"/>
        <v>0</v>
      </c>
      <c r="BD209" s="775">
        <f t="shared" ca="1" si="129"/>
        <v>0</v>
      </c>
      <c r="BE209" s="775">
        <f t="shared" ca="1" si="130"/>
        <v>0</v>
      </c>
      <c r="BF209" s="775">
        <f t="shared" ca="1" si="131"/>
        <v>0</v>
      </c>
      <c r="BG209" s="775">
        <f t="shared" ca="1" si="132"/>
        <v>0</v>
      </c>
      <c r="BH209" s="775">
        <f t="shared" ca="1" si="100"/>
        <v>0</v>
      </c>
      <c r="BI209" s="775">
        <f t="shared" ca="1" si="101"/>
        <v>0</v>
      </c>
      <c r="BJ209" s="775">
        <f t="shared" ca="1" si="102"/>
        <v>0</v>
      </c>
      <c r="BK209" s="775">
        <f t="shared" ca="1" si="103"/>
        <v>0</v>
      </c>
      <c r="BL209" s="775">
        <f t="shared" ca="1" si="104"/>
        <v>0</v>
      </c>
      <c r="BM209" s="775">
        <f t="shared" ca="1" si="105"/>
        <v>0</v>
      </c>
      <c r="BN209" s="775">
        <f t="shared" ca="1" si="106"/>
        <v>0</v>
      </c>
      <c r="BO209" s="775">
        <f t="shared" ca="1" si="107"/>
        <v>0</v>
      </c>
      <c r="BP209" s="775">
        <f t="shared" ca="1" si="108"/>
        <v>0</v>
      </c>
      <c r="BQ209" s="775">
        <f t="shared" ca="1" si="125"/>
        <v>0</v>
      </c>
      <c r="BR209" s="775">
        <f t="shared" ca="1" si="109"/>
        <v>0</v>
      </c>
    </row>
    <row r="210" spans="1:70">
      <c r="A210" s="767" t="str">
        <f t="shared" ca="1" si="122"/>
        <v/>
      </c>
      <c r="B210" s="786" t="s">
        <v>4389</v>
      </c>
      <c r="C210" s="188" t="str">
        <f ca="1">IF(F210=0,"",COUNTIF($F$78:$F210,"&gt;0"))</f>
        <v/>
      </c>
      <c r="D210" s="778" t="str">
        <f>VLOOKUP($B210,dongia1,DG!$C$5,)</f>
        <v>Cáp nhôm ABC 3x95mm2</v>
      </c>
      <c r="E210" s="555" t="str">
        <f>VLOOKUP($B210,dongia1,DG!$D$5,)</f>
        <v>mét</v>
      </c>
      <c r="F210" s="779">
        <f t="shared" ca="1" si="123"/>
        <v>0</v>
      </c>
      <c r="G210" s="775">
        <f t="shared" ca="1" si="124"/>
        <v>0</v>
      </c>
      <c r="H210" s="775">
        <f ca="1">SUMIF(CT_tram!$B$33:$G$3559,kl!B210,CT_tram!$G$33:$G$3559)</f>
        <v>0</v>
      </c>
      <c r="I210" s="775">
        <f ca="1">SUMIF(CT_tram!$B$34:$G$115,$B210,CT_tram!$G$34:$G$115)</f>
        <v>0</v>
      </c>
      <c r="J210" s="775">
        <f ca="1">SUMIF(CT_tram!$B$122:$G$204,$B210,CT_tram!$G$122:$G$204)</f>
        <v>0</v>
      </c>
      <c r="K210" s="775">
        <f ca="1">SUMIF(CT_tram!$B$211:$G$293,$B210,CT_tram!$G$211:$G$293)</f>
        <v>0</v>
      </c>
      <c r="L210" s="775">
        <f ca="1">SUMIF(CT_tram!$B$300:$G$374,$B210,CT_tram!$G$300:$G$374)</f>
        <v>0</v>
      </c>
      <c r="M210" s="775">
        <f ca="1">SUMIF(CT_tram!$B$381:$G$471,$B210,CT_tram!$G$381:$G$471)</f>
        <v>0</v>
      </c>
      <c r="N210" s="775">
        <f ca="1">SUMIF(CT_tram!$B$478:$G$560,$B210,CT_tram!$G$478:$G$560)</f>
        <v>0</v>
      </c>
      <c r="O210" s="775">
        <f ca="1">SUMIF(CT_tram!$B$567:$G$653,$B210,CT_tram!$G$567:$G$653)</f>
        <v>0</v>
      </c>
      <c r="P210" s="775">
        <f ca="1">SUMIF(CT_tram!$B$661:$G$738,$B210,CT_tram!$G$661:$G$738)</f>
        <v>0</v>
      </c>
      <c r="Q210" s="775">
        <f ca="1">SUMIF(CT_tram!$B$745:$G$899,$B210,CT_tram!$G$745:$G$899)</f>
        <v>0</v>
      </c>
      <c r="R210" s="775">
        <f ca="1">SUMIF(CT_tram!$B$907:$G$995,$B210,CT_tram!$G$907:$G$995)</f>
        <v>0</v>
      </c>
      <c r="S210" s="775"/>
      <c r="T210" s="775">
        <f ca="1">SUMIF(CT_tram!$B$1004:$G$1097,B210,CT_tram!$G$1004:$G$1097)</f>
        <v>0</v>
      </c>
      <c r="U210" s="775"/>
      <c r="V210" s="775">
        <f ca="1">SUMIF(CT_tram!$B$1226:$G$1352,kl!B210,CT_tram!$G$1226:$G$1352)</f>
        <v>0</v>
      </c>
      <c r="W210" s="780">
        <f ca="1">SUMIF(CT_tram!$B$1105:$G$1219,kl!B210,CT_tram!$G$1105:$G$1219)</f>
        <v>0</v>
      </c>
      <c r="X210" s="775">
        <f ca="1">SUMIF(CT_tram!$B$1359:$G$1504,kl!B210,CT_tram!$G$1359:$G$1504)</f>
        <v>0</v>
      </c>
      <c r="Y210" s="775">
        <f ca="1">SUMIF(CT_tram!$B$1511:$G$1625,kl!B210,CT_tram!$G$1511:$G$1625)</f>
        <v>0</v>
      </c>
      <c r="Z210" s="775">
        <f ca="1">SUMIF(CT_tram!$B$1632:$G$2211,kl!B210,CT_tram!$G$1632:$G$2211)</f>
        <v>0</v>
      </c>
      <c r="AA210" s="775">
        <f ca="1">SUMIF(CT_tram!$B$2243:$G$2384,kl!B210,CT_tram!$G$2243:$G$2384)</f>
        <v>0</v>
      </c>
      <c r="AB210" s="775">
        <f ca="1">SUMIF(CT_tram!$B$2391:$G$2563,kl!B210,CT_tram!$G$2391:$G$2563)</f>
        <v>0</v>
      </c>
      <c r="AC210" s="775">
        <f ca="1">SUMIF(chitiet!$B$13:$N$2352,kl!$B210,chitiet!$I$13:$I$2352)</f>
        <v>0</v>
      </c>
      <c r="AD210" s="775">
        <f ca="1">SUMIF(chitiet!$B$13:$N$2352,kl!$B210,chitiet!$J$13:$J$2352)</f>
        <v>0</v>
      </c>
      <c r="AE210" s="775">
        <f ca="1">SUMIF(chitiet!$B$13:$N$2352,kl!$B210,chitiet!$K$13:$K$2352)</f>
        <v>0</v>
      </c>
      <c r="AF210" s="775">
        <f ca="1">SUMIF(chitiet!$B$13:$N$2352,kl!$B210,chitiet!$L$13:$L$2352)</f>
        <v>0</v>
      </c>
      <c r="AG210" s="775">
        <f ca="1">SUMIF(chitiet!$B$13:$N$2352,kl!$B210,chitiet!$M$13)</f>
        <v>0</v>
      </c>
      <c r="AH210" s="775">
        <f ca="1">SUMIF(chitiet!$B$13:$N$2352,kl!$B210,chitiet!$N$13:$N$2352)</f>
        <v>0</v>
      </c>
      <c r="AI210" s="775">
        <f ca="1">SUMIF(chitiet!$B$13:$N$2352,kl!$B210,chitiet!$O$13:$O$2352)</f>
        <v>0</v>
      </c>
      <c r="AJ210" s="775">
        <f ca="1">SUMIF('Cap ngam'!$B$631:$G$723,kl!$B210,'Cap ngam'!$G$631:$G$723)</f>
        <v>0</v>
      </c>
      <c r="AK210" s="775">
        <f ca="1">SUMIF('Cap ngam'!$B$403:$G$628,kl!$B210,'Cap ngam'!G$403:G$628)</f>
        <v>0</v>
      </c>
      <c r="AL210" s="775">
        <f ca="1">SUMIF('Cap ngam'!B$16:G$400,kl!$B210,'Cap ngam'!G$16:G$400)</f>
        <v>0</v>
      </c>
      <c r="AM210" s="776">
        <v>1.0110000000000001</v>
      </c>
      <c r="AN210" s="775">
        <f t="shared" ca="1" si="133"/>
        <v>0</v>
      </c>
      <c r="AO210" s="775">
        <f t="shared" ca="1" si="134"/>
        <v>0</v>
      </c>
      <c r="AP210" s="775">
        <f t="shared" ca="1" si="135"/>
        <v>0</v>
      </c>
      <c r="AQ210" s="775">
        <f t="shared" ca="1" si="136"/>
        <v>0</v>
      </c>
      <c r="AR210" s="775">
        <f t="shared" ca="1" si="137"/>
        <v>0</v>
      </c>
      <c r="AS210" s="775">
        <f t="shared" ca="1" si="138"/>
        <v>0</v>
      </c>
      <c r="AT210" s="775">
        <f t="shared" ca="1" si="139"/>
        <v>0</v>
      </c>
      <c r="AU210" s="775">
        <f t="shared" ca="1" si="140"/>
        <v>0</v>
      </c>
      <c r="AV210" s="775">
        <f t="shared" ca="1" si="141"/>
        <v>0</v>
      </c>
      <c r="AW210" s="775">
        <f t="shared" ca="1" si="142"/>
        <v>0</v>
      </c>
      <c r="AX210" s="775">
        <f t="shared" si="143"/>
        <v>0</v>
      </c>
      <c r="AY210" s="775">
        <f t="shared" ca="1" si="144"/>
        <v>0</v>
      </c>
      <c r="AZ210" s="775">
        <f t="shared" si="145"/>
        <v>0</v>
      </c>
      <c r="BA210" s="775">
        <f t="shared" ca="1" si="126"/>
        <v>0</v>
      </c>
      <c r="BB210" s="775">
        <f t="shared" ca="1" si="127"/>
        <v>0</v>
      </c>
      <c r="BC210" s="775">
        <f t="shared" ca="1" si="128"/>
        <v>0</v>
      </c>
      <c r="BD210" s="775">
        <f t="shared" ca="1" si="129"/>
        <v>0</v>
      </c>
      <c r="BE210" s="775">
        <f t="shared" ca="1" si="130"/>
        <v>0</v>
      </c>
      <c r="BF210" s="775">
        <f t="shared" ca="1" si="131"/>
        <v>0</v>
      </c>
      <c r="BG210" s="775">
        <f t="shared" ca="1" si="132"/>
        <v>0</v>
      </c>
      <c r="BH210" s="775">
        <f t="shared" ca="1" si="100"/>
        <v>0</v>
      </c>
      <c r="BI210" s="775">
        <f t="shared" ca="1" si="101"/>
        <v>0</v>
      </c>
      <c r="BJ210" s="775">
        <f t="shared" ca="1" si="102"/>
        <v>0</v>
      </c>
      <c r="BK210" s="775">
        <f t="shared" ca="1" si="103"/>
        <v>0</v>
      </c>
      <c r="BL210" s="775">
        <f t="shared" ca="1" si="104"/>
        <v>0</v>
      </c>
      <c r="BM210" s="775">
        <f t="shared" ca="1" si="105"/>
        <v>0</v>
      </c>
      <c r="BN210" s="775">
        <f t="shared" ca="1" si="106"/>
        <v>0</v>
      </c>
      <c r="BO210" s="775">
        <f t="shared" ca="1" si="107"/>
        <v>0</v>
      </c>
      <c r="BP210" s="775">
        <f t="shared" ca="1" si="108"/>
        <v>0</v>
      </c>
      <c r="BQ210" s="775">
        <f t="shared" ca="1" si="125"/>
        <v>0</v>
      </c>
      <c r="BR210" s="775">
        <f t="shared" ca="1" si="109"/>
        <v>0</v>
      </c>
    </row>
    <row r="211" spans="1:70">
      <c r="A211" s="767" t="str">
        <f t="shared" ca="1" si="122"/>
        <v/>
      </c>
      <c r="B211" s="786" t="s">
        <v>1654</v>
      </c>
      <c r="C211" s="188" t="str">
        <f ca="1">IF(F211=0,"",COUNTIF($F$78:$F211,"&gt;0"))</f>
        <v/>
      </c>
      <c r="D211" s="778" t="str">
        <f>VLOOKUP($B211,dongia1,DG!$C$5,)</f>
        <v>Cáp nhôm ABC 3x70mm2</v>
      </c>
      <c r="E211" s="555" t="str">
        <f>VLOOKUP($B211,dongia1,DG!$D$5,)</f>
        <v>mét</v>
      </c>
      <c r="F211" s="779">
        <f t="shared" ca="1" si="123"/>
        <v>0</v>
      </c>
      <c r="G211" s="775">
        <f t="shared" ca="1" si="124"/>
        <v>0</v>
      </c>
      <c r="H211" s="775">
        <f ca="1">SUMIF(CT_tram!$B$33:$G$3559,kl!B211,CT_tram!$G$33:$G$3559)</f>
        <v>0</v>
      </c>
      <c r="I211" s="775">
        <f ca="1">SUMIF(CT_tram!$B$34:$G$115,$B211,CT_tram!$G$34:$G$115)</f>
        <v>0</v>
      </c>
      <c r="J211" s="775">
        <f ca="1">SUMIF(CT_tram!$B$122:$G$204,$B211,CT_tram!$G$122:$G$204)</f>
        <v>0</v>
      </c>
      <c r="K211" s="775">
        <f ca="1">SUMIF(CT_tram!$B$211:$G$293,$B211,CT_tram!$G$211:$G$293)</f>
        <v>0</v>
      </c>
      <c r="L211" s="775">
        <f ca="1">SUMIF(CT_tram!$B$300:$G$374,$B211,CT_tram!$G$300:$G$374)</f>
        <v>0</v>
      </c>
      <c r="M211" s="775">
        <f ca="1">SUMIF(CT_tram!$B$381:$G$471,$B211,CT_tram!$G$381:$G$471)</f>
        <v>0</v>
      </c>
      <c r="N211" s="775">
        <f ca="1">SUMIF(CT_tram!$B$478:$G$560,$B211,CT_tram!$G$478:$G$560)</f>
        <v>0</v>
      </c>
      <c r="O211" s="775">
        <f ca="1">SUMIF(CT_tram!$B$567:$G$653,$B211,CT_tram!$G$567:$G$653)</f>
        <v>0</v>
      </c>
      <c r="P211" s="775">
        <f ca="1">SUMIF(CT_tram!$B$661:$G$738,$B211,CT_tram!$G$661:$G$738)</f>
        <v>0</v>
      </c>
      <c r="Q211" s="775">
        <f ca="1">SUMIF(CT_tram!$B$745:$G$899,$B211,CT_tram!$G$745:$G$899)</f>
        <v>0</v>
      </c>
      <c r="R211" s="775">
        <f ca="1">SUMIF(CT_tram!$B$907:$G$995,$B211,CT_tram!$G$907:$G$995)</f>
        <v>0</v>
      </c>
      <c r="S211" s="775"/>
      <c r="T211" s="775">
        <f ca="1">SUMIF(CT_tram!$B$1004:$G$1097,B211,CT_tram!$G$1004:$G$1097)</f>
        <v>0</v>
      </c>
      <c r="U211" s="775"/>
      <c r="V211" s="775">
        <f ca="1">SUMIF(CT_tram!$B$1226:$G$1352,kl!B211,CT_tram!$G$1226:$G$1352)</f>
        <v>0</v>
      </c>
      <c r="W211" s="780">
        <f ca="1">SUMIF(CT_tram!$B$1105:$G$1219,kl!B211,CT_tram!$G$1105:$G$1219)</f>
        <v>0</v>
      </c>
      <c r="X211" s="775">
        <f ca="1">SUMIF(CT_tram!$B$1359:$G$1504,kl!B211,CT_tram!$G$1359:$G$1504)</f>
        <v>0</v>
      </c>
      <c r="Y211" s="775">
        <f ca="1">SUMIF(CT_tram!$B$1511:$G$1625,kl!B211,CT_tram!$G$1511:$G$1625)</f>
        <v>0</v>
      </c>
      <c r="Z211" s="775">
        <f ca="1">SUMIF(CT_tram!$B$1632:$G$2211,kl!B211,CT_tram!$G$1632:$G$2211)</f>
        <v>0</v>
      </c>
      <c r="AA211" s="775">
        <f ca="1">SUMIF(CT_tram!$B$2243:$G$2384,kl!B211,CT_tram!$G$2243:$G$2384)</f>
        <v>0</v>
      </c>
      <c r="AB211" s="775">
        <f ca="1">SUMIF(CT_tram!$B$2391:$G$2563,kl!B211,CT_tram!$G$2391:$G$2563)</f>
        <v>0</v>
      </c>
      <c r="AC211" s="775">
        <f ca="1">SUMIF(chitiet!$B$13:$N$2352,kl!$B211,chitiet!$I$13:$I$2352)</f>
        <v>0</v>
      </c>
      <c r="AD211" s="775">
        <f ca="1">SUMIF(chitiet!$B$13:$N$2352,kl!$B211,chitiet!$J$13:$J$2352)</f>
        <v>0</v>
      </c>
      <c r="AE211" s="775">
        <f ca="1">SUMIF(chitiet!$B$13:$N$2352,kl!$B211,chitiet!$K$13:$K$2352)</f>
        <v>0</v>
      </c>
      <c r="AF211" s="775">
        <f ca="1">SUMIF(chitiet!$B$13:$N$2352,kl!$B211,chitiet!$L$13:$L$2352)</f>
        <v>0</v>
      </c>
      <c r="AG211" s="775">
        <f ca="1">SUMIF(chitiet!$B$13:$N$2352,kl!$B211,chitiet!$M$13)</f>
        <v>0</v>
      </c>
      <c r="AH211" s="775">
        <f ca="1">SUMIF(chitiet!$B$13:$N$2352,kl!$B211,chitiet!$N$13:$N$2352)</f>
        <v>0</v>
      </c>
      <c r="AI211" s="775">
        <f ca="1">SUMIF(chitiet!$B$13:$N$2352,kl!$B211,chitiet!$O$13:$O$2352)</f>
        <v>0</v>
      </c>
      <c r="AJ211" s="775">
        <f ca="1">SUMIF('Cap ngam'!$B$631:$G$723,kl!$B211,'Cap ngam'!$G$631:$G$723)</f>
        <v>0</v>
      </c>
      <c r="AK211" s="775">
        <f ca="1">SUMIF('Cap ngam'!$B$403:$G$628,kl!$B211,'Cap ngam'!G$403:G$628)</f>
        <v>0</v>
      </c>
      <c r="AL211" s="775">
        <f ca="1">SUMIF('Cap ngam'!B$16:G$400,kl!$B211,'Cap ngam'!G$16:G$400)</f>
        <v>0</v>
      </c>
      <c r="AM211" s="776">
        <v>0.73499999999999999</v>
      </c>
      <c r="AN211" s="775">
        <f t="shared" ca="1" si="133"/>
        <v>0</v>
      </c>
      <c r="AO211" s="775">
        <f t="shared" ca="1" si="134"/>
        <v>0</v>
      </c>
      <c r="AP211" s="775">
        <f t="shared" ca="1" si="135"/>
        <v>0</v>
      </c>
      <c r="AQ211" s="775">
        <f t="shared" ca="1" si="136"/>
        <v>0</v>
      </c>
      <c r="AR211" s="775">
        <f t="shared" ca="1" si="137"/>
        <v>0</v>
      </c>
      <c r="AS211" s="775">
        <f t="shared" ca="1" si="138"/>
        <v>0</v>
      </c>
      <c r="AT211" s="775">
        <f t="shared" ca="1" si="139"/>
        <v>0</v>
      </c>
      <c r="AU211" s="775">
        <f t="shared" ca="1" si="140"/>
        <v>0</v>
      </c>
      <c r="AV211" s="775">
        <f t="shared" ca="1" si="141"/>
        <v>0</v>
      </c>
      <c r="AW211" s="775">
        <f t="shared" ca="1" si="142"/>
        <v>0</v>
      </c>
      <c r="AX211" s="775">
        <f t="shared" si="143"/>
        <v>0</v>
      </c>
      <c r="AY211" s="775">
        <f t="shared" ca="1" si="144"/>
        <v>0</v>
      </c>
      <c r="AZ211" s="775">
        <f t="shared" si="145"/>
        <v>0</v>
      </c>
      <c r="BA211" s="775">
        <f t="shared" ca="1" si="126"/>
        <v>0</v>
      </c>
      <c r="BB211" s="775">
        <f t="shared" ca="1" si="127"/>
        <v>0</v>
      </c>
      <c r="BC211" s="775">
        <f t="shared" ca="1" si="128"/>
        <v>0</v>
      </c>
      <c r="BD211" s="775">
        <f t="shared" ca="1" si="129"/>
        <v>0</v>
      </c>
      <c r="BE211" s="775">
        <f t="shared" ca="1" si="130"/>
        <v>0</v>
      </c>
      <c r="BF211" s="775">
        <f t="shared" ca="1" si="131"/>
        <v>0</v>
      </c>
      <c r="BG211" s="775">
        <f t="shared" ca="1" si="132"/>
        <v>0</v>
      </c>
      <c r="BH211" s="775">
        <f t="shared" ref="BH211:BH282" ca="1" si="146">AC211*$AM211</f>
        <v>0</v>
      </c>
      <c r="BI211" s="775">
        <f t="shared" ref="BI211:BI282" ca="1" si="147">AD211*$AM211</f>
        <v>0</v>
      </c>
      <c r="BJ211" s="775">
        <f t="shared" ref="BJ211:BJ282" ca="1" si="148">AE211*$AM211</f>
        <v>0</v>
      </c>
      <c r="BK211" s="775">
        <f t="shared" ref="BK211:BK282" ca="1" si="149">AF211*$AM211</f>
        <v>0</v>
      </c>
      <c r="BL211" s="775">
        <f t="shared" ref="BL211:BL282" ca="1" si="150">AG211*$AM211</f>
        <v>0</v>
      </c>
      <c r="BM211" s="775">
        <f t="shared" ref="BM211:BM282" ca="1" si="151">AH211*$AM211</f>
        <v>0</v>
      </c>
      <c r="BN211" s="775">
        <f t="shared" ref="BN211:BN282" ca="1" si="152">AI211*$AM211</f>
        <v>0</v>
      </c>
      <c r="BO211" s="775">
        <f t="shared" ref="BO211:BO282" ca="1" si="153">AJ211*$AM211</f>
        <v>0</v>
      </c>
      <c r="BP211" s="775">
        <f t="shared" ref="BP211:BP282" ca="1" si="154">AK211*$AM211</f>
        <v>0</v>
      </c>
      <c r="BQ211" s="775">
        <f t="shared" ca="1" si="125"/>
        <v>0</v>
      </c>
      <c r="BR211" s="775">
        <f t="shared" ref="BR211:BR282" ca="1" si="155">$H211*$AM211</f>
        <v>0</v>
      </c>
    </row>
    <row r="212" spans="1:70">
      <c r="A212" s="767" t="str">
        <f t="shared" ca="1" si="122"/>
        <v/>
      </c>
      <c r="B212" s="786" t="s">
        <v>1653</v>
      </c>
      <c r="C212" s="188" t="str">
        <f ca="1">IF(F212=0,"",COUNTIF($F$78:$F212,"&gt;0"))</f>
        <v/>
      </c>
      <c r="D212" s="778" t="str">
        <f>VLOOKUP($B212,dongia1,DG!$C$5,)</f>
        <v>Cáp nhôm ABC 3x50mm2</v>
      </c>
      <c r="E212" s="555" t="str">
        <f>VLOOKUP($B212,dongia1,DG!$D$5,)</f>
        <v>mét</v>
      </c>
      <c r="F212" s="779">
        <f t="shared" ca="1" si="123"/>
        <v>0</v>
      </c>
      <c r="G212" s="775">
        <f t="shared" ca="1" si="124"/>
        <v>0</v>
      </c>
      <c r="H212" s="775">
        <f ca="1">SUMIF(CT_tram!$B$33:$G$3559,kl!B212,CT_tram!$G$33:$G$3559)</f>
        <v>0</v>
      </c>
      <c r="I212" s="775">
        <f ca="1">SUMIF(CT_tram!$B$34:$G$115,$B212,CT_tram!$G$34:$G$115)</f>
        <v>0</v>
      </c>
      <c r="J212" s="775">
        <f ca="1">SUMIF(CT_tram!$B$122:$G$204,$B212,CT_tram!$G$122:$G$204)</f>
        <v>0</v>
      </c>
      <c r="K212" s="775">
        <f ca="1">SUMIF(CT_tram!$B$211:$G$293,$B212,CT_tram!$G$211:$G$293)</f>
        <v>0</v>
      </c>
      <c r="L212" s="775">
        <f ca="1">SUMIF(CT_tram!$B$300:$G$374,$B212,CT_tram!$G$300:$G$374)</f>
        <v>0</v>
      </c>
      <c r="M212" s="775">
        <f ca="1">SUMIF(CT_tram!$B$381:$G$471,$B212,CT_tram!$G$381:$G$471)</f>
        <v>0</v>
      </c>
      <c r="N212" s="775">
        <f ca="1">SUMIF(CT_tram!$B$478:$G$560,$B212,CT_tram!$G$478:$G$560)</f>
        <v>0</v>
      </c>
      <c r="O212" s="775">
        <f ca="1">SUMIF(CT_tram!$B$567:$G$653,$B212,CT_tram!$G$567:$G$653)</f>
        <v>0</v>
      </c>
      <c r="P212" s="775">
        <f ca="1">SUMIF(CT_tram!$B$661:$G$738,$B212,CT_tram!$G$661:$G$738)</f>
        <v>0</v>
      </c>
      <c r="Q212" s="775">
        <f ca="1">SUMIF(CT_tram!$B$745:$G$899,$B212,CT_tram!$G$745:$G$899)</f>
        <v>0</v>
      </c>
      <c r="R212" s="775">
        <f ca="1">SUMIF(CT_tram!$B$907:$G$995,$B212,CT_tram!$G$907:$G$995)</f>
        <v>0</v>
      </c>
      <c r="S212" s="775"/>
      <c r="T212" s="775">
        <f ca="1">SUMIF(CT_tram!$B$1004:$G$1097,B212,CT_tram!$G$1004:$G$1097)</f>
        <v>0</v>
      </c>
      <c r="U212" s="775"/>
      <c r="V212" s="775">
        <f ca="1">SUMIF(CT_tram!$B$1226:$G$1352,kl!B212,CT_tram!$G$1226:$G$1352)</f>
        <v>0</v>
      </c>
      <c r="W212" s="780">
        <f ca="1">SUMIF(CT_tram!$B$1105:$G$1219,kl!B212,CT_tram!$G$1105:$G$1219)</f>
        <v>0</v>
      </c>
      <c r="X212" s="775">
        <f ca="1">SUMIF(CT_tram!$B$1359:$G$1504,kl!B212,CT_tram!$G$1359:$G$1504)</f>
        <v>0</v>
      </c>
      <c r="Y212" s="775">
        <f ca="1">SUMIF(CT_tram!$B$1511:$G$1625,kl!B212,CT_tram!$G$1511:$G$1625)</f>
        <v>0</v>
      </c>
      <c r="Z212" s="775">
        <f ca="1">SUMIF(CT_tram!$B$1632:$G$2211,kl!B212,CT_tram!$G$1632:$G$2211)</f>
        <v>0</v>
      </c>
      <c r="AA212" s="775">
        <f ca="1">SUMIF(CT_tram!$B$2243:$G$2384,kl!B212,CT_tram!$G$2243:$G$2384)</f>
        <v>0</v>
      </c>
      <c r="AB212" s="775">
        <f ca="1">SUMIF(CT_tram!$B$2391:$G$2563,kl!B212,CT_tram!$G$2391:$G$2563)</f>
        <v>0</v>
      </c>
      <c r="AC212" s="775">
        <f ca="1">SUMIF(chitiet!$B$13:$N$2352,kl!$B212,chitiet!$I$13:$I$2352)</f>
        <v>0</v>
      </c>
      <c r="AD212" s="775">
        <f ca="1">SUMIF(chitiet!$B$13:$N$2352,kl!$B212,chitiet!$J$13:$J$2352)</f>
        <v>0</v>
      </c>
      <c r="AE212" s="775">
        <f ca="1">SUMIF(chitiet!$B$13:$N$2352,kl!$B212,chitiet!$K$13:$K$2352)</f>
        <v>0</v>
      </c>
      <c r="AF212" s="775">
        <f ca="1">SUMIF(chitiet!$B$13:$N$2352,kl!$B212,chitiet!$L$13:$L$2352)</f>
        <v>0</v>
      </c>
      <c r="AG212" s="775">
        <f ca="1">SUMIF(chitiet!$B$13:$N$2352,kl!$B212,chitiet!$M$13)</f>
        <v>0</v>
      </c>
      <c r="AH212" s="775">
        <f ca="1">SUMIF(chitiet!$B$13:$N$2352,kl!$B212,chitiet!$N$13:$N$2352)</f>
        <v>0</v>
      </c>
      <c r="AI212" s="775">
        <f ca="1">SUMIF(chitiet!$B$13:$N$2352,kl!$B212,chitiet!$O$13:$O$2352)</f>
        <v>0</v>
      </c>
      <c r="AJ212" s="775">
        <f ca="1">SUMIF('Cap ngam'!$B$631:$G$723,kl!$B212,'Cap ngam'!$G$631:$G$723)</f>
        <v>0</v>
      </c>
      <c r="AK212" s="775">
        <f ca="1">SUMIF('Cap ngam'!$B$403:$G$628,kl!$B212,'Cap ngam'!G$403:G$628)</f>
        <v>0</v>
      </c>
      <c r="AL212" s="775">
        <f ca="1">SUMIF('Cap ngam'!B$16:G$400,kl!$B212,'Cap ngam'!G$16:G$400)</f>
        <v>0</v>
      </c>
      <c r="AM212" s="776">
        <v>0.54</v>
      </c>
      <c r="AN212" s="775">
        <f t="shared" ca="1" si="133"/>
        <v>0</v>
      </c>
      <c r="AO212" s="775">
        <f t="shared" ca="1" si="134"/>
        <v>0</v>
      </c>
      <c r="AP212" s="775">
        <f t="shared" ca="1" si="135"/>
        <v>0</v>
      </c>
      <c r="AQ212" s="775">
        <f t="shared" ca="1" si="136"/>
        <v>0</v>
      </c>
      <c r="AR212" s="775">
        <f t="shared" ca="1" si="137"/>
        <v>0</v>
      </c>
      <c r="AS212" s="775">
        <f t="shared" ca="1" si="138"/>
        <v>0</v>
      </c>
      <c r="AT212" s="775">
        <f t="shared" ca="1" si="139"/>
        <v>0</v>
      </c>
      <c r="AU212" s="775">
        <f t="shared" ca="1" si="140"/>
        <v>0</v>
      </c>
      <c r="AV212" s="775">
        <f t="shared" ca="1" si="141"/>
        <v>0</v>
      </c>
      <c r="AW212" s="775">
        <f t="shared" ca="1" si="142"/>
        <v>0</v>
      </c>
      <c r="AX212" s="775">
        <f t="shared" si="143"/>
        <v>0</v>
      </c>
      <c r="AY212" s="775">
        <f t="shared" ca="1" si="144"/>
        <v>0</v>
      </c>
      <c r="AZ212" s="775">
        <f t="shared" si="145"/>
        <v>0</v>
      </c>
      <c r="BA212" s="775">
        <f t="shared" ca="1" si="126"/>
        <v>0</v>
      </c>
      <c r="BB212" s="775">
        <f t="shared" ca="1" si="127"/>
        <v>0</v>
      </c>
      <c r="BC212" s="775">
        <f t="shared" ca="1" si="128"/>
        <v>0</v>
      </c>
      <c r="BD212" s="775">
        <f t="shared" ca="1" si="129"/>
        <v>0</v>
      </c>
      <c r="BE212" s="775">
        <f t="shared" ca="1" si="130"/>
        <v>0</v>
      </c>
      <c r="BF212" s="775">
        <f t="shared" ca="1" si="131"/>
        <v>0</v>
      </c>
      <c r="BG212" s="775">
        <f t="shared" ca="1" si="132"/>
        <v>0</v>
      </c>
      <c r="BH212" s="775">
        <f t="shared" ca="1" si="146"/>
        <v>0</v>
      </c>
      <c r="BI212" s="775">
        <f t="shared" ca="1" si="147"/>
        <v>0</v>
      </c>
      <c r="BJ212" s="775">
        <f t="shared" ca="1" si="148"/>
        <v>0</v>
      </c>
      <c r="BK212" s="775">
        <f t="shared" ca="1" si="149"/>
        <v>0</v>
      </c>
      <c r="BL212" s="775">
        <f t="shared" ca="1" si="150"/>
        <v>0</v>
      </c>
      <c r="BM212" s="775">
        <f t="shared" ca="1" si="151"/>
        <v>0</v>
      </c>
      <c r="BN212" s="775">
        <f t="shared" ca="1" si="152"/>
        <v>0</v>
      </c>
      <c r="BO212" s="775">
        <f t="shared" ca="1" si="153"/>
        <v>0</v>
      </c>
      <c r="BP212" s="775">
        <f t="shared" ca="1" si="154"/>
        <v>0</v>
      </c>
      <c r="BQ212" s="775">
        <f t="shared" ca="1" si="125"/>
        <v>0</v>
      </c>
      <c r="BR212" s="775">
        <f t="shared" ca="1" si="155"/>
        <v>0</v>
      </c>
    </row>
    <row r="213" spans="1:70">
      <c r="A213" s="767" t="str">
        <f t="shared" ca="1" si="110"/>
        <v>X</v>
      </c>
      <c r="B213" s="798" t="s">
        <v>2075</v>
      </c>
      <c r="C213" s="188">
        <f ca="1">IF(F213=0,"",COUNTIF($F$78:$F213,"&gt;0"))</f>
        <v>13</v>
      </c>
      <c r="D213" s="778" t="str">
        <f>VLOOKUP($B213,dongia1,DG!$C$5,)</f>
        <v>Cáp thép 3/8"</v>
      </c>
      <c r="E213" s="555" t="str">
        <f>VLOOKUP($B213,dongia1,DG!$D$5,)</f>
        <v>kg</v>
      </c>
      <c r="F213" s="975">
        <f t="shared" ref="F213:F222" ca="1" si="156">G213+H213</f>
        <v>10.199999999999999</v>
      </c>
      <c r="G213" s="976">
        <f t="shared" ca="1" si="121"/>
        <v>10.199999999999999</v>
      </c>
      <c r="H213" s="976">
        <f ca="1">SUMIF(CT_tram!$B$33:$G$3559,kl!B213,CT_tram!$G$33:$G$3559)</f>
        <v>0</v>
      </c>
      <c r="I213" s="775">
        <f ca="1">SUMIF(CT_tram!$B$34:$G$115,$B213,CT_tram!$G$34:$G$115)</f>
        <v>0</v>
      </c>
      <c r="J213" s="775">
        <f ca="1">SUMIF(CT_tram!$B$122:$G$204,$B213,CT_tram!$G$122:$G$204)</f>
        <v>0</v>
      </c>
      <c r="K213" s="775">
        <f ca="1">SUMIF(CT_tram!$B$211:$G$293,$B213,CT_tram!$G$211:$G$293)</f>
        <v>0</v>
      </c>
      <c r="L213" s="775">
        <f ca="1">SUMIF(CT_tram!$B$300:$G$374,$B213,CT_tram!$G$300:$G$374)</f>
        <v>0</v>
      </c>
      <c r="M213" s="775">
        <f ca="1">SUMIF(CT_tram!$B$381:$G$471,$B213,CT_tram!$G$381:$G$471)</f>
        <v>0</v>
      </c>
      <c r="N213" s="775">
        <f ca="1">SUMIF(CT_tram!$B$478:$G$560,$B213,CT_tram!$G$478:$G$560)</f>
        <v>0</v>
      </c>
      <c r="O213" s="775">
        <f ca="1">SUMIF(CT_tram!$B$567:$G$653,$B213,CT_tram!$G$567:$G$653)</f>
        <v>0</v>
      </c>
      <c r="P213" s="775">
        <f ca="1">SUMIF(CT_tram!$B$661:$G$738,$B213,CT_tram!$G$661:$G$738)</f>
        <v>0</v>
      </c>
      <c r="Q213" s="775">
        <f ca="1">SUMIF(CT_tram!$B$745:$G$899,$B213,CT_tram!$G$745:$G$899)</f>
        <v>0</v>
      </c>
      <c r="R213" s="775">
        <f ca="1">SUMIF(CT_tram!$B$907:$G$995,$B213,CT_tram!$G$907:$G$995)</f>
        <v>0</v>
      </c>
      <c r="S213" s="775"/>
      <c r="T213" s="775">
        <f ca="1">SUMIF(CT_tram!$B$1004:$G$1097,B213,CT_tram!$G$1004:$G$1097)</f>
        <v>0</v>
      </c>
      <c r="U213" s="775"/>
      <c r="V213" s="775">
        <f ca="1">SUMIF(CT_tram!$B$1226:$G$1352,kl!B213,CT_tram!$G$1226:$G$1352)</f>
        <v>0</v>
      </c>
      <c r="W213" s="780">
        <f ca="1">SUMIF(CT_tram!$B$1105:$G$1219,kl!B213,CT_tram!$G$1105:$G$1219)</f>
        <v>0</v>
      </c>
      <c r="X213" s="775">
        <f ca="1">SUMIF(CT_tram!$B$1359:$G$1504,kl!B213,CT_tram!$G$1359:$G$1504)</f>
        <v>0</v>
      </c>
      <c r="Y213" s="775">
        <f ca="1">SUMIF(CT_tram!$B$1511:$G$1625,kl!B213,CT_tram!$G$1511:$G$1625)</f>
        <v>0</v>
      </c>
      <c r="Z213" s="775">
        <f ca="1">SUMIF(CT_tram!$B$1632:$G$2211,kl!B213,CT_tram!$G$1632:$G$2211)</f>
        <v>0</v>
      </c>
      <c r="AA213" s="775">
        <f ca="1">SUMIF(CT_tram!$B$2243:$G$2384,kl!B213,CT_tram!$G$2243:$G$2384)</f>
        <v>0</v>
      </c>
      <c r="AB213" s="775">
        <f ca="1">SUMIF(CT_tram!$B$2391:$G$2563,kl!B213,CT_tram!$G$2391:$G$2563)</f>
        <v>0</v>
      </c>
      <c r="AC213" s="775">
        <f ca="1">SUMIF(chitiet!$B$13:$N$2352,kl!$B213,chitiet!$I$13:$I$2352)</f>
        <v>0</v>
      </c>
      <c r="AD213" s="775">
        <f ca="1">SUMIF(chitiet!$B$13:$N$2352,kl!$B213,chitiet!$J$13:$J$2352)</f>
        <v>0</v>
      </c>
      <c r="AE213" s="775">
        <f ca="1">SUMIF(chitiet!$B$13:$N$2352,kl!$B213,chitiet!$K$13:$K$2352)</f>
        <v>10.199999999999999</v>
      </c>
      <c r="AF213" s="775">
        <f ca="1">SUMIF(chitiet!$B$13:$N$2352,kl!$B213,chitiet!$L$13:$L$2352)</f>
        <v>0</v>
      </c>
      <c r="AG213" s="775">
        <f ca="1">SUMIF(chitiet!$B$13:$N$2352,kl!$B213,chitiet!$M$13)</f>
        <v>0</v>
      </c>
      <c r="AH213" s="775">
        <f ca="1">SUMIF(chitiet!$B$13:$N$2352,kl!$B213,chitiet!$N$13:$N$2352)</f>
        <v>0</v>
      </c>
      <c r="AI213" s="775">
        <f ca="1">SUMIF(chitiet!$B$13:$N$2352,kl!$B213,chitiet!$O$13:$O$2352)</f>
        <v>0</v>
      </c>
      <c r="AJ213" s="775">
        <f ca="1">SUMIF('Cap ngam'!$B$631:$G$723,kl!$B213,'Cap ngam'!$G$631:$G$723)</f>
        <v>0</v>
      </c>
      <c r="AK213" s="775">
        <f ca="1">SUMIF('Cap ngam'!$B$403:$G$628,kl!$B213,'Cap ngam'!G$403:G$628)</f>
        <v>0</v>
      </c>
      <c r="AL213" s="775">
        <f ca="1">SUMIF('Cap ngam'!B$16:G$400,kl!$B213,'Cap ngam'!G$16:G$400)</f>
        <v>0</v>
      </c>
      <c r="AM213" s="776">
        <v>0.378</v>
      </c>
      <c r="AN213" s="775">
        <f t="shared" ca="1" si="133"/>
        <v>0</v>
      </c>
      <c r="AO213" s="775">
        <f t="shared" ca="1" si="134"/>
        <v>0</v>
      </c>
      <c r="AP213" s="775">
        <f t="shared" ca="1" si="135"/>
        <v>0</v>
      </c>
      <c r="AQ213" s="775">
        <f t="shared" ca="1" si="136"/>
        <v>0</v>
      </c>
      <c r="AR213" s="775">
        <f t="shared" ca="1" si="137"/>
        <v>0</v>
      </c>
      <c r="AS213" s="775">
        <f t="shared" ca="1" si="138"/>
        <v>0</v>
      </c>
      <c r="AT213" s="775">
        <f t="shared" ca="1" si="139"/>
        <v>0</v>
      </c>
      <c r="AU213" s="775">
        <f t="shared" ca="1" si="140"/>
        <v>0</v>
      </c>
      <c r="AV213" s="775">
        <f t="shared" ca="1" si="141"/>
        <v>0</v>
      </c>
      <c r="AW213" s="775">
        <f t="shared" ca="1" si="142"/>
        <v>0</v>
      </c>
      <c r="AX213" s="775">
        <f t="shared" si="143"/>
        <v>0</v>
      </c>
      <c r="AY213" s="775">
        <f t="shared" ca="1" si="144"/>
        <v>0</v>
      </c>
      <c r="AZ213" s="775">
        <f t="shared" si="145"/>
        <v>0</v>
      </c>
      <c r="BA213" s="775">
        <f t="shared" ca="1" si="126"/>
        <v>0</v>
      </c>
      <c r="BB213" s="775">
        <f t="shared" ca="1" si="127"/>
        <v>0</v>
      </c>
      <c r="BC213" s="775">
        <f t="shared" ca="1" si="128"/>
        <v>0</v>
      </c>
      <c r="BD213" s="775">
        <f t="shared" ca="1" si="129"/>
        <v>0</v>
      </c>
      <c r="BE213" s="775">
        <f t="shared" ca="1" si="130"/>
        <v>0</v>
      </c>
      <c r="BF213" s="775">
        <f t="shared" ca="1" si="131"/>
        <v>0</v>
      </c>
      <c r="BG213" s="775">
        <f t="shared" ca="1" si="132"/>
        <v>0</v>
      </c>
      <c r="BH213" s="775">
        <f t="shared" ca="1" si="146"/>
        <v>0</v>
      </c>
      <c r="BI213" s="775">
        <f t="shared" ca="1" si="147"/>
        <v>0</v>
      </c>
      <c r="BJ213" s="775">
        <f t="shared" ca="1" si="148"/>
        <v>3.8555999999999999</v>
      </c>
      <c r="BK213" s="775">
        <f t="shared" ca="1" si="149"/>
        <v>0</v>
      </c>
      <c r="BL213" s="775">
        <f t="shared" ca="1" si="150"/>
        <v>0</v>
      </c>
      <c r="BM213" s="775">
        <f t="shared" ca="1" si="151"/>
        <v>0</v>
      </c>
      <c r="BN213" s="775">
        <f t="shared" ca="1" si="152"/>
        <v>0</v>
      </c>
      <c r="BO213" s="775">
        <f t="shared" ca="1" si="153"/>
        <v>0</v>
      </c>
      <c r="BP213" s="775">
        <f t="shared" ca="1" si="154"/>
        <v>0</v>
      </c>
      <c r="BQ213" s="775">
        <f t="shared" ref="BQ213:BQ267" ca="1" si="157">$AL213*$AM213</f>
        <v>0</v>
      </c>
      <c r="BR213" s="775">
        <f t="shared" ca="1" si="155"/>
        <v>0</v>
      </c>
    </row>
    <row r="214" spans="1:70">
      <c r="A214" s="767" t="str">
        <f t="shared" ca="1" si="110"/>
        <v/>
      </c>
      <c r="B214" s="798" t="s">
        <v>374</v>
      </c>
      <c r="C214" s="188" t="str">
        <f ca="1">IF(F214=0,"",COUNTIF($F$78:$F214,"&gt;0"))</f>
        <v/>
      </c>
      <c r="D214" s="778" t="str">
        <f>VLOOKUP($B214,dongia1,DG!$C$5,)</f>
        <v>Cáp thép 5/8"</v>
      </c>
      <c r="E214" s="555" t="str">
        <f>VLOOKUP($B214,dongia1,DG!$D$5,)</f>
        <v>kg</v>
      </c>
      <c r="F214" s="975">
        <f t="shared" ca="1" si="156"/>
        <v>0</v>
      </c>
      <c r="G214" s="976">
        <f t="shared" ca="1" si="121"/>
        <v>0</v>
      </c>
      <c r="H214" s="976">
        <f ca="1">SUMIF(CT_tram!$B$33:$G$3559,kl!B214,CT_tram!$G$33:$G$3559)</f>
        <v>0</v>
      </c>
      <c r="I214" s="775">
        <f ca="1">SUMIF(CT_tram!$B$34:$G$115,$B214,CT_tram!$G$34:$G$115)</f>
        <v>0</v>
      </c>
      <c r="J214" s="775">
        <f ca="1">SUMIF(CT_tram!$B$122:$G$204,$B214,CT_tram!$G$122:$G$204)</f>
        <v>0</v>
      </c>
      <c r="K214" s="775">
        <f ca="1">SUMIF(CT_tram!$B$211:$G$293,$B214,CT_tram!$G$211:$G$293)</f>
        <v>0</v>
      </c>
      <c r="L214" s="775">
        <f ca="1">SUMIF(CT_tram!$B$300:$G$374,$B214,CT_tram!$G$300:$G$374)</f>
        <v>0</v>
      </c>
      <c r="M214" s="775">
        <f ca="1">SUMIF(CT_tram!$B$381:$G$471,$B214,CT_tram!$G$381:$G$471)</f>
        <v>0</v>
      </c>
      <c r="N214" s="775">
        <f ca="1">SUMIF(CT_tram!$B$478:$G$560,$B214,CT_tram!$G$478:$G$560)</f>
        <v>0</v>
      </c>
      <c r="O214" s="775">
        <f ca="1">SUMIF(CT_tram!$B$567:$G$653,$B214,CT_tram!$G$567:$G$653)</f>
        <v>0</v>
      </c>
      <c r="P214" s="775">
        <f ca="1">SUMIF(CT_tram!$B$661:$G$738,$B214,CT_tram!$G$661:$G$738)</f>
        <v>0</v>
      </c>
      <c r="Q214" s="775">
        <f ca="1">SUMIF(CT_tram!$B$745:$G$899,$B214,CT_tram!$G$745:$G$899)</f>
        <v>0</v>
      </c>
      <c r="R214" s="775">
        <f ca="1">SUMIF(CT_tram!$B$907:$G$995,$B214,CT_tram!$G$907:$G$995)</f>
        <v>0</v>
      </c>
      <c r="S214" s="775"/>
      <c r="T214" s="775">
        <f ca="1">SUMIF(CT_tram!$B$1004:$G$1097,B214,CT_tram!$G$1004:$G$1097)</f>
        <v>0</v>
      </c>
      <c r="U214" s="775"/>
      <c r="V214" s="775">
        <f ca="1">SUMIF(CT_tram!$B$1226:$G$1352,kl!B214,CT_tram!$G$1226:$G$1352)</f>
        <v>0</v>
      </c>
      <c r="W214" s="780">
        <f ca="1">SUMIF(CT_tram!$B$1105:$G$1219,kl!B214,CT_tram!$G$1105:$G$1219)</f>
        <v>0</v>
      </c>
      <c r="X214" s="775">
        <f ca="1">SUMIF(CT_tram!$B$1359:$G$1504,kl!B214,CT_tram!$G$1359:$G$1504)</f>
        <v>0</v>
      </c>
      <c r="Y214" s="775">
        <f ca="1">SUMIF(CT_tram!$B$1511:$G$1625,kl!B214,CT_tram!$G$1511:$G$1625)</f>
        <v>0</v>
      </c>
      <c r="Z214" s="775">
        <f ca="1">SUMIF(CT_tram!$B$1632:$G$2211,kl!B214,CT_tram!$G$1632:$G$2211)</f>
        <v>0</v>
      </c>
      <c r="AA214" s="775">
        <f ca="1">SUMIF(CT_tram!$B$2243:$G$2384,kl!B214,CT_tram!$G$2243:$G$2384)</f>
        <v>0</v>
      </c>
      <c r="AB214" s="775">
        <f ca="1">SUMIF(CT_tram!$B$2391:$G$2563,kl!B214,CT_tram!$G$2391:$G$2563)</f>
        <v>0</v>
      </c>
      <c r="AC214" s="775">
        <f ca="1">SUMIF(chitiet!$B$13:$N$2352,kl!$B214,chitiet!$I$13:$I$2352)</f>
        <v>0</v>
      </c>
      <c r="AD214" s="775">
        <f ca="1">SUMIF(chitiet!$B$13:$N$2352,kl!$B214,chitiet!$J$13:$J$2352)</f>
        <v>0</v>
      </c>
      <c r="AE214" s="775">
        <f ca="1">SUMIF(chitiet!$B$13:$N$2352,kl!$B214,chitiet!$K$13:$K$2352)</f>
        <v>0</v>
      </c>
      <c r="AF214" s="775">
        <f ca="1">SUMIF(chitiet!$B$13:$N$2352,kl!$B214,chitiet!$L$13:$L$2352)</f>
        <v>0</v>
      </c>
      <c r="AG214" s="775">
        <f ca="1">SUMIF(chitiet!$B$13:$N$2352,kl!$B214,chitiet!$M$13)</f>
        <v>0</v>
      </c>
      <c r="AH214" s="775">
        <f ca="1">SUMIF(chitiet!$B$13:$N$2352,kl!$B214,chitiet!$N$13:$N$2352)</f>
        <v>0</v>
      </c>
      <c r="AI214" s="775">
        <f ca="1">SUMIF(chitiet!$B$13:$N$2352,kl!$B214,chitiet!$O$13:$O$2352)</f>
        <v>0</v>
      </c>
      <c r="AJ214" s="775">
        <f ca="1">SUMIF('Cap ngam'!$B$631:$G$723,kl!$B214,'Cap ngam'!$G$631:$G$723)</f>
        <v>0</v>
      </c>
      <c r="AK214" s="775">
        <f ca="1">SUMIF('Cap ngam'!$B$403:$G$628,kl!$B214,'Cap ngam'!G$403:G$628)</f>
        <v>0</v>
      </c>
      <c r="AL214" s="775">
        <f ca="1">SUMIF('Cap ngam'!B$16:G$400,kl!$B214,'Cap ngam'!G$16:G$400)</f>
        <v>0</v>
      </c>
      <c r="AM214" s="776">
        <v>0.72</v>
      </c>
      <c r="AN214" s="775">
        <f t="shared" ca="1" si="133"/>
        <v>0</v>
      </c>
      <c r="AO214" s="775">
        <f t="shared" ca="1" si="134"/>
        <v>0</v>
      </c>
      <c r="AP214" s="775">
        <f t="shared" ca="1" si="135"/>
        <v>0</v>
      </c>
      <c r="AQ214" s="775">
        <f t="shared" ca="1" si="136"/>
        <v>0</v>
      </c>
      <c r="AR214" s="775">
        <f t="shared" ca="1" si="137"/>
        <v>0</v>
      </c>
      <c r="AS214" s="775">
        <f t="shared" ca="1" si="138"/>
        <v>0</v>
      </c>
      <c r="AT214" s="775">
        <f t="shared" ca="1" si="139"/>
        <v>0</v>
      </c>
      <c r="AU214" s="775">
        <f t="shared" ca="1" si="140"/>
        <v>0</v>
      </c>
      <c r="AV214" s="775">
        <f t="shared" ca="1" si="141"/>
        <v>0</v>
      </c>
      <c r="AW214" s="775">
        <f t="shared" ca="1" si="142"/>
        <v>0</v>
      </c>
      <c r="AX214" s="775">
        <f t="shared" si="143"/>
        <v>0</v>
      </c>
      <c r="AY214" s="775">
        <f t="shared" ca="1" si="144"/>
        <v>0</v>
      </c>
      <c r="AZ214" s="775">
        <f t="shared" si="145"/>
        <v>0</v>
      </c>
      <c r="BA214" s="775">
        <f t="shared" ca="1" si="126"/>
        <v>0</v>
      </c>
      <c r="BB214" s="775">
        <f t="shared" ca="1" si="127"/>
        <v>0</v>
      </c>
      <c r="BC214" s="775">
        <f t="shared" ca="1" si="128"/>
        <v>0</v>
      </c>
      <c r="BD214" s="775">
        <f t="shared" ca="1" si="129"/>
        <v>0</v>
      </c>
      <c r="BE214" s="775">
        <f t="shared" ca="1" si="130"/>
        <v>0</v>
      </c>
      <c r="BF214" s="775">
        <f t="shared" ca="1" si="131"/>
        <v>0</v>
      </c>
      <c r="BG214" s="775">
        <f t="shared" ca="1" si="132"/>
        <v>0</v>
      </c>
      <c r="BH214" s="775">
        <f t="shared" ca="1" si="146"/>
        <v>0</v>
      </c>
      <c r="BI214" s="775">
        <f t="shared" ca="1" si="147"/>
        <v>0</v>
      </c>
      <c r="BJ214" s="775">
        <f t="shared" ca="1" si="148"/>
        <v>0</v>
      </c>
      <c r="BK214" s="775">
        <f t="shared" ca="1" si="149"/>
        <v>0</v>
      </c>
      <c r="BL214" s="775">
        <f t="shared" ca="1" si="150"/>
        <v>0</v>
      </c>
      <c r="BM214" s="775">
        <f t="shared" ca="1" si="151"/>
        <v>0</v>
      </c>
      <c r="BN214" s="775">
        <f t="shared" ca="1" si="152"/>
        <v>0</v>
      </c>
      <c r="BO214" s="775">
        <f t="shared" ca="1" si="153"/>
        <v>0</v>
      </c>
      <c r="BP214" s="775">
        <f t="shared" ca="1" si="154"/>
        <v>0</v>
      </c>
      <c r="BQ214" s="775">
        <f t="shared" ca="1" si="157"/>
        <v>0</v>
      </c>
      <c r="BR214" s="775">
        <f t="shared" ca="1" si="155"/>
        <v>0</v>
      </c>
    </row>
    <row r="215" spans="1:70">
      <c r="A215" s="767" t="str">
        <f t="shared" ca="1" si="110"/>
        <v/>
      </c>
      <c r="B215" s="786" t="s">
        <v>1570</v>
      </c>
      <c r="C215" s="188" t="str">
        <f ca="1">IF(F215=0,"",COUNTIF($F$78:$F215,"&gt;0"))</f>
        <v/>
      </c>
      <c r="D215" s="778" t="str">
        <f>VLOOKUP($B215,dongia1,DG!$C$5,)</f>
        <v>Cừ tràm 3m</v>
      </c>
      <c r="E215" s="555" t="str">
        <f>VLOOKUP($B215,dongia1,DG!$D$5,)</f>
        <v>cây</v>
      </c>
      <c r="F215" s="779">
        <f t="shared" ca="1" si="156"/>
        <v>0</v>
      </c>
      <c r="G215" s="775">
        <f t="shared" ca="1" si="121"/>
        <v>0</v>
      </c>
      <c r="H215" s="775">
        <f ca="1">SUMIF(CT_tram!$B$33:$G$3559,kl!B215,CT_tram!$G$33:$G$3559)</f>
        <v>0</v>
      </c>
      <c r="I215" s="775">
        <f ca="1">SUMIF(CT_tram!$B$34:$G$115,$B215,CT_tram!$G$34:$G$115)</f>
        <v>0</v>
      </c>
      <c r="J215" s="775">
        <f ca="1">SUMIF(CT_tram!$B$122:$G$204,$B215,CT_tram!$G$122:$G$204)</f>
        <v>0</v>
      </c>
      <c r="K215" s="775">
        <f ca="1">SUMIF(CT_tram!$B$211:$G$293,$B215,CT_tram!$G$211:$G$293)</f>
        <v>0</v>
      </c>
      <c r="L215" s="775">
        <f ca="1">SUMIF(CT_tram!$B$300:$G$374,$B215,CT_tram!$G$300:$G$374)</f>
        <v>0</v>
      </c>
      <c r="M215" s="775">
        <f ca="1">SUMIF(CT_tram!$B$381:$G$471,$B215,CT_tram!$G$381:$G$471)</f>
        <v>0</v>
      </c>
      <c r="N215" s="775">
        <f ca="1">SUMIF(CT_tram!$B$478:$G$560,$B215,CT_tram!$G$478:$G$560)</f>
        <v>0</v>
      </c>
      <c r="O215" s="775">
        <f ca="1">SUMIF(CT_tram!$B$567:$G$653,$B215,CT_tram!$G$567:$G$653)</f>
        <v>0</v>
      </c>
      <c r="P215" s="775">
        <f ca="1">SUMIF(CT_tram!$B$661:$G$738,$B215,CT_tram!$G$661:$G$738)</f>
        <v>0</v>
      </c>
      <c r="Q215" s="775">
        <f ca="1">SUMIF(CT_tram!$B$745:$G$899,$B215,CT_tram!$G$745:$G$899)</f>
        <v>0</v>
      </c>
      <c r="R215" s="775">
        <f ca="1">SUMIF(CT_tram!$B$907:$G$995,$B215,CT_tram!$G$907:$G$995)</f>
        <v>0</v>
      </c>
      <c r="S215" s="775"/>
      <c r="T215" s="775">
        <f ca="1">SUMIF(CT_tram!$B$1004:$G$1097,B215,CT_tram!$G$1004:$G$1097)</f>
        <v>0</v>
      </c>
      <c r="U215" s="775"/>
      <c r="V215" s="775">
        <f ca="1">SUMIF(CT_tram!$B$1226:$G$1352,kl!B215,CT_tram!$G$1226:$G$1352)</f>
        <v>0</v>
      </c>
      <c r="W215" s="780">
        <f ca="1">SUMIF(CT_tram!$B$1105:$G$1219,kl!B215,CT_tram!$G$1105:$G$1219)</f>
        <v>0</v>
      </c>
      <c r="X215" s="775">
        <f ca="1">SUMIF(CT_tram!$B$1359:$G$1504,kl!B215,CT_tram!$G$1359:$G$1504)</f>
        <v>0</v>
      </c>
      <c r="Y215" s="775">
        <f ca="1">SUMIF(CT_tram!$B$1511:$G$1625,kl!B215,CT_tram!$G$1511:$G$1625)</f>
        <v>0</v>
      </c>
      <c r="Z215" s="775">
        <f ca="1">SUMIF(CT_tram!$B$1632:$G$2211,kl!B215,CT_tram!$G$1632:$G$2211)</f>
        <v>0</v>
      </c>
      <c r="AA215" s="775">
        <f ca="1">SUMIF(CT_tram!$B$2243:$G$2384,kl!B215,CT_tram!$G$2243:$G$2384)</f>
        <v>0</v>
      </c>
      <c r="AB215" s="775">
        <f ca="1">SUMIF(CT_tram!$B$2391:$G$2563,kl!B215,CT_tram!$G$2391:$G$2563)</f>
        <v>0</v>
      </c>
      <c r="AC215" s="775">
        <f ca="1">SUMIF(chitiet!$B$13:$N$2352,kl!$B215,chitiet!$I$13:$I$2352)</f>
        <v>0</v>
      </c>
      <c r="AD215" s="775">
        <f ca="1">SUMIF(chitiet!$B$13:$N$2352,kl!$B215,chitiet!$J$13:$J$2352)</f>
        <v>0</v>
      </c>
      <c r="AE215" s="775">
        <f ca="1">SUMIF(chitiet!$B$13:$N$2352,kl!$B215,chitiet!$K$13:$K$2352)</f>
        <v>0</v>
      </c>
      <c r="AF215" s="775">
        <f ca="1">SUMIF(chitiet!$B$13:$N$2352,kl!$B215,chitiet!$L$13:$L$2352)</f>
        <v>0</v>
      </c>
      <c r="AG215" s="775">
        <f ca="1">SUMIF(chitiet!$B$13:$N$2352,kl!$B215,chitiet!$M$13)</f>
        <v>0</v>
      </c>
      <c r="AH215" s="775">
        <f ca="1">SUMIF(chitiet!$B$13:$N$2352,kl!$B215,chitiet!$N$13:$N$2352)</f>
        <v>0</v>
      </c>
      <c r="AI215" s="775">
        <f ca="1">SUMIF(chitiet!$B$13:$N$2352,kl!$B215,chitiet!$O$13:$O$2352)</f>
        <v>0</v>
      </c>
      <c r="AJ215" s="775">
        <f ca="1">SUMIF('Cap ngam'!$B$631:$G$723,kl!$B215,'Cap ngam'!$G$631:$G$723)</f>
        <v>0</v>
      </c>
      <c r="AK215" s="775">
        <f ca="1">SUMIF('Cap ngam'!$B$403:$G$628,kl!$B215,'Cap ngam'!G$403:G$628)</f>
        <v>0</v>
      </c>
      <c r="AL215" s="775">
        <f ca="1">SUMIF('Cap ngam'!B$16:G$400,kl!$B215,'Cap ngam'!G$16:G$400)</f>
        <v>0</v>
      </c>
      <c r="AM215" s="776">
        <v>10</v>
      </c>
      <c r="AN215" s="775">
        <f t="shared" ca="1" si="133"/>
        <v>0</v>
      </c>
      <c r="AO215" s="775">
        <f t="shared" ca="1" si="134"/>
        <v>0</v>
      </c>
      <c r="AP215" s="775">
        <f t="shared" ca="1" si="135"/>
        <v>0</v>
      </c>
      <c r="AQ215" s="775">
        <f t="shared" ca="1" si="136"/>
        <v>0</v>
      </c>
      <c r="AR215" s="775">
        <f t="shared" ca="1" si="137"/>
        <v>0</v>
      </c>
      <c r="AS215" s="775">
        <f t="shared" ca="1" si="138"/>
        <v>0</v>
      </c>
      <c r="AT215" s="775">
        <f t="shared" ca="1" si="139"/>
        <v>0</v>
      </c>
      <c r="AU215" s="775">
        <f t="shared" ca="1" si="140"/>
        <v>0</v>
      </c>
      <c r="AV215" s="775">
        <f t="shared" ca="1" si="141"/>
        <v>0</v>
      </c>
      <c r="AW215" s="775">
        <f t="shared" ca="1" si="142"/>
        <v>0</v>
      </c>
      <c r="AX215" s="775">
        <f t="shared" si="143"/>
        <v>0</v>
      </c>
      <c r="AY215" s="775">
        <f t="shared" ca="1" si="144"/>
        <v>0</v>
      </c>
      <c r="AZ215" s="775">
        <f t="shared" si="145"/>
        <v>0</v>
      </c>
      <c r="BA215" s="775">
        <f t="shared" ca="1" si="126"/>
        <v>0</v>
      </c>
      <c r="BB215" s="775">
        <f t="shared" ca="1" si="127"/>
        <v>0</v>
      </c>
      <c r="BC215" s="775">
        <f t="shared" ca="1" si="128"/>
        <v>0</v>
      </c>
      <c r="BD215" s="775">
        <f t="shared" ca="1" si="129"/>
        <v>0</v>
      </c>
      <c r="BE215" s="775">
        <f t="shared" ca="1" si="130"/>
        <v>0</v>
      </c>
      <c r="BF215" s="775">
        <f t="shared" ca="1" si="131"/>
        <v>0</v>
      </c>
      <c r="BG215" s="775">
        <f t="shared" ca="1" si="132"/>
        <v>0</v>
      </c>
      <c r="BH215" s="775">
        <f t="shared" ca="1" si="146"/>
        <v>0</v>
      </c>
      <c r="BI215" s="775">
        <f t="shared" ca="1" si="147"/>
        <v>0</v>
      </c>
      <c r="BJ215" s="775">
        <f t="shared" ca="1" si="148"/>
        <v>0</v>
      </c>
      <c r="BK215" s="775">
        <f t="shared" ca="1" si="149"/>
        <v>0</v>
      </c>
      <c r="BL215" s="775">
        <f t="shared" ca="1" si="150"/>
        <v>0</v>
      </c>
      <c r="BM215" s="775">
        <f t="shared" ca="1" si="151"/>
        <v>0</v>
      </c>
      <c r="BN215" s="775">
        <f t="shared" ca="1" si="152"/>
        <v>0</v>
      </c>
      <c r="BO215" s="775">
        <f t="shared" ca="1" si="153"/>
        <v>0</v>
      </c>
      <c r="BP215" s="775">
        <f t="shared" ca="1" si="154"/>
        <v>0</v>
      </c>
      <c r="BQ215" s="775">
        <f t="shared" ca="1" si="157"/>
        <v>0</v>
      </c>
      <c r="BR215" s="775">
        <f t="shared" ca="1" si="155"/>
        <v>0</v>
      </c>
    </row>
    <row r="216" spans="1:70">
      <c r="A216" s="767" t="str">
        <f t="shared" ca="1" si="110"/>
        <v/>
      </c>
      <c r="B216" s="799" t="s">
        <v>993</v>
      </c>
      <c r="C216" s="188" t="str">
        <f ca="1">IF(F216=0,"",COUNTIF($F$78:$F216,"&gt;0"))</f>
        <v/>
      </c>
      <c r="D216" s="778" t="str">
        <f>VLOOKUP($B216,dongia1,DG!$C$5,)</f>
        <v>Cừ tràm 5m</v>
      </c>
      <c r="E216" s="555" t="str">
        <f>VLOOKUP($B216,dongia1,DG!$D$5,)</f>
        <v>cây</v>
      </c>
      <c r="F216" s="779">
        <f t="shared" ca="1" si="156"/>
        <v>0</v>
      </c>
      <c r="G216" s="775">
        <f t="shared" ca="1" si="121"/>
        <v>0</v>
      </c>
      <c r="H216" s="775">
        <f ca="1">SUMIF(CT_tram!$B$33:$G$3559,kl!B216,CT_tram!$G$33:$G$3559)</f>
        <v>0</v>
      </c>
      <c r="I216" s="775">
        <f ca="1">SUMIF(CT_tram!$B$34:$G$115,$B216,CT_tram!$G$34:$G$115)</f>
        <v>0</v>
      </c>
      <c r="J216" s="775">
        <f ca="1">SUMIF(CT_tram!$B$122:$G$204,$B216,CT_tram!$G$122:$G$204)</f>
        <v>0</v>
      </c>
      <c r="K216" s="775">
        <f ca="1">SUMIF(CT_tram!$B$211:$G$293,$B216,CT_tram!$G$211:$G$293)</f>
        <v>0</v>
      </c>
      <c r="L216" s="775">
        <f ca="1">SUMIF(CT_tram!$B$300:$G$374,$B216,CT_tram!$G$300:$G$374)</f>
        <v>0</v>
      </c>
      <c r="M216" s="775">
        <f ca="1">SUMIF(CT_tram!$B$381:$G$471,$B216,CT_tram!$G$381:$G$471)</f>
        <v>0</v>
      </c>
      <c r="N216" s="775">
        <f ca="1">SUMIF(CT_tram!$B$478:$G$560,$B216,CT_tram!$G$478:$G$560)</f>
        <v>0</v>
      </c>
      <c r="O216" s="775">
        <f ca="1">SUMIF(CT_tram!$B$567:$G$653,$B216,CT_tram!$G$567:$G$653)</f>
        <v>0</v>
      </c>
      <c r="P216" s="775">
        <f ca="1">SUMIF(CT_tram!$B$661:$G$738,$B216,CT_tram!$G$661:$G$738)</f>
        <v>0</v>
      </c>
      <c r="Q216" s="775">
        <f ca="1">SUMIF(CT_tram!$B$745:$G$899,$B216,CT_tram!$G$745:$G$899)</f>
        <v>0</v>
      </c>
      <c r="R216" s="775">
        <f ca="1">SUMIF(CT_tram!$B$907:$G$995,$B216,CT_tram!$G$907:$G$995)</f>
        <v>0</v>
      </c>
      <c r="S216" s="775"/>
      <c r="T216" s="775">
        <f ca="1">SUMIF(CT_tram!$B$1004:$G$1097,B216,CT_tram!$G$1004:$G$1097)</f>
        <v>0</v>
      </c>
      <c r="U216" s="775"/>
      <c r="V216" s="775">
        <f ca="1">SUMIF(CT_tram!$B$1226:$G$1352,kl!B216,CT_tram!$G$1226:$G$1352)</f>
        <v>0</v>
      </c>
      <c r="W216" s="780">
        <f ca="1">SUMIF(CT_tram!$B$1105:$G$1219,kl!B216,CT_tram!$G$1105:$G$1219)</f>
        <v>0</v>
      </c>
      <c r="X216" s="775">
        <f ca="1">SUMIF(CT_tram!$B$1359:$G$1504,kl!B216,CT_tram!$G$1359:$G$1504)</f>
        <v>0</v>
      </c>
      <c r="Y216" s="775">
        <f ca="1">SUMIF(CT_tram!$B$1511:$G$1625,kl!B216,CT_tram!$G$1511:$G$1625)</f>
        <v>0</v>
      </c>
      <c r="Z216" s="775">
        <f ca="1">SUMIF(CT_tram!$B$1632:$G$2211,kl!B216,CT_tram!$G$1632:$G$2211)</f>
        <v>0</v>
      </c>
      <c r="AA216" s="775">
        <f ca="1">SUMIF(CT_tram!$B$2243:$G$2384,kl!B216,CT_tram!$G$2243:$G$2384)</f>
        <v>0</v>
      </c>
      <c r="AB216" s="775">
        <f ca="1">SUMIF(CT_tram!$B$2391:$G$2563,kl!B216,CT_tram!$G$2391:$G$2563)</f>
        <v>0</v>
      </c>
      <c r="AC216" s="775">
        <f ca="1">SUMIF(chitiet!$B$13:$N$2352,kl!$B216,chitiet!$I$13:$I$2352)</f>
        <v>0</v>
      </c>
      <c r="AD216" s="775">
        <f ca="1">SUMIF(chitiet!$B$13:$N$2352,kl!$B216,chitiet!$J$13:$J$2352)</f>
        <v>0</v>
      </c>
      <c r="AE216" s="775">
        <f ca="1">SUMIF(chitiet!$B$13:$N$2352,kl!$B216,chitiet!$K$13:$K$2352)</f>
        <v>0</v>
      </c>
      <c r="AF216" s="775">
        <f ca="1">SUMIF(chitiet!$B$13:$N$2352,kl!$B216,chitiet!$L$13:$L$2352)</f>
        <v>0</v>
      </c>
      <c r="AG216" s="775">
        <f ca="1">SUMIF(chitiet!$B$13:$N$2352,kl!$B216,chitiet!$M$13)</f>
        <v>0</v>
      </c>
      <c r="AH216" s="775">
        <f ca="1">SUMIF(chitiet!$B$13:$N$2352,kl!$B216,chitiet!$N$13:$N$2352)</f>
        <v>0</v>
      </c>
      <c r="AI216" s="775">
        <f ca="1">SUMIF(chitiet!$B$13:$N$2352,kl!$B216,chitiet!$O$13:$O$2352)</f>
        <v>0</v>
      </c>
      <c r="AJ216" s="775">
        <f ca="1">SUMIF('Cap ngam'!$B$631:$G$723,kl!$B216,'Cap ngam'!$G$631:$G$723)</f>
        <v>0</v>
      </c>
      <c r="AK216" s="775">
        <f ca="1">SUMIF('Cap ngam'!$B$403:$G$628,kl!$B216,'Cap ngam'!G$403:G$628)</f>
        <v>0</v>
      </c>
      <c r="AL216" s="775">
        <f ca="1">SUMIF('Cap ngam'!B$16:G$400,kl!$B216,'Cap ngam'!G$16:G$400)</f>
        <v>0</v>
      </c>
      <c r="AM216" s="776">
        <v>15</v>
      </c>
      <c r="AN216" s="775">
        <f t="shared" ca="1" si="133"/>
        <v>0</v>
      </c>
      <c r="AO216" s="775">
        <f t="shared" ca="1" si="134"/>
        <v>0</v>
      </c>
      <c r="AP216" s="775">
        <f t="shared" ca="1" si="135"/>
        <v>0</v>
      </c>
      <c r="AQ216" s="775">
        <f t="shared" ca="1" si="136"/>
        <v>0</v>
      </c>
      <c r="AR216" s="775">
        <f t="shared" ca="1" si="137"/>
        <v>0</v>
      </c>
      <c r="AS216" s="775">
        <f t="shared" ca="1" si="138"/>
        <v>0</v>
      </c>
      <c r="AT216" s="775">
        <f t="shared" ca="1" si="139"/>
        <v>0</v>
      </c>
      <c r="AU216" s="775">
        <f t="shared" ca="1" si="140"/>
        <v>0</v>
      </c>
      <c r="AV216" s="775">
        <f t="shared" ca="1" si="141"/>
        <v>0</v>
      </c>
      <c r="AW216" s="775">
        <f t="shared" ca="1" si="142"/>
        <v>0</v>
      </c>
      <c r="AX216" s="775">
        <f t="shared" si="143"/>
        <v>0</v>
      </c>
      <c r="AY216" s="775">
        <f t="shared" ca="1" si="144"/>
        <v>0</v>
      </c>
      <c r="AZ216" s="775">
        <f t="shared" si="145"/>
        <v>0</v>
      </c>
      <c r="BA216" s="775">
        <f t="shared" ca="1" si="126"/>
        <v>0</v>
      </c>
      <c r="BB216" s="775">
        <f t="shared" ca="1" si="127"/>
        <v>0</v>
      </c>
      <c r="BC216" s="775">
        <f t="shared" ca="1" si="128"/>
        <v>0</v>
      </c>
      <c r="BD216" s="775">
        <f t="shared" ca="1" si="129"/>
        <v>0</v>
      </c>
      <c r="BE216" s="775">
        <f t="shared" ca="1" si="130"/>
        <v>0</v>
      </c>
      <c r="BF216" s="775">
        <f t="shared" ca="1" si="131"/>
        <v>0</v>
      </c>
      <c r="BG216" s="775">
        <f t="shared" ca="1" si="132"/>
        <v>0</v>
      </c>
      <c r="BH216" s="775">
        <f t="shared" ca="1" si="146"/>
        <v>0</v>
      </c>
      <c r="BI216" s="775">
        <f t="shared" ca="1" si="147"/>
        <v>0</v>
      </c>
      <c r="BJ216" s="775">
        <f t="shared" ca="1" si="148"/>
        <v>0</v>
      </c>
      <c r="BK216" s="775">
        <f t="shared" ca="1" si="149"/>
        <v>0</v>
      </c>
      <c r="BL216" s="775">
        <f t="shared" ca="1" si="150"/>
        <v>0</v>
      </c>
      <c r="BM216" s="775">
        <f t="shared" ca="1" si="151"/>
        <v>0</v>
      </c>
      <c r="BN216" s="775">
        <f t="shared" ca="1" si="152"/>
        <v>0</v>
      </c>
      <c r="BO216" s="775">
        <f t="shared" ca="1" si="153"/>
        <v>0</v>
      </c>
      <c r="BP216" s="775">
        <f t="shared" ca="1" si="154"/>
        <v>0</v>
      </c>
      <c r="BQ216" s="775">
        <f t="shared" ca="1" si="157"/>
        <v>0</v>
      </c>
      <c r="BR216" s="775">
        <f t="shared" ca="1" si="155"/>
        <v>0</v>
      </c>
    </row>
    <row r="217" spans="1:70">
      <c r="A217" s="767" t="str">
        <f t="shared" ca="1" si="110"/>
        <v/>
      </c>
      <c r="B217" s="799" t="s">
        <v>995</v>
      </c>
      <c r="C217" s="188" t="str">
        <f ca="1">IF(F217=0,"",COUNTIF($F$78:$F217,"&gt;0"))</f>
        <v/>
      </c>
      <c r="D217" s="778" t="str">
        <f>VLOOKUP($B217,dongia1,DG!$C$5,)</f>
        <v>Côllier 30x3 (290-320)</v>
      </c>
      <c r="E217" s="555" t="str">
        <f>VLOOKUP($B217,dongia1,DG!$D$5,)</f>
        <v>bộ</v>
      </c>
      <c r="F217" s="779">
        <f t="shared" ca="1" si="156"/>
        <v>0</v>
      </c>
      <c r="G217" s="775">
        <f t="shared" ca="1" si="121"/>
        <v>0</v>
      </c>
      <c r="H217" s="775">
        <f ca="1">SUMIF(CT_tram!$B$33:$G$3559,kl!B217,CT_tram!$G$33:$G$3559)</f>
        <v>0</v>
      </c>
      <c r="I217" s="775">
        <f ca="1">SUMIF(CT_tram!$B$34:$G$115,$B217,CT_tram!$G$34:$G$115)</f>
        <v>0</v>
      </c>
      <c r="J217" s="775">
        <f ca="1">SUMIF(CT_tram!$B$122:$G$204,$B217,CT_tram!$G$122:$G$204)</f>
        <v>0</v>
      </c>
      <c r="K217" s="775">
        <f ca="1">SUMIF(CT_tram!$B$211:$G$293,$B217,CT_tram!$G$211:$G$293)</f>
        <v>0</v>
      </c>
      <c r="L217" s="775">
        <f ca="1">SUMIF(CT_tram!$B$300:$G$374,$B217,CT_tram!$G$300:$G$374)</f>
        <v>0</v>
      </c>
      <c r="M217" s="775">
        <f ca="1">SUMIF(CT_tram!$B$381:$G$471,$B217,CT_tram!$G$381:$G$471)</f>
        <v>0</v>
      </c>
      <c r="N217" s="775">
        <f ca="1">SUMIF(CT_tram!$B$478:$G$560,$B217,CT_tram!$G$478:$G$560)</f>
        <v>0</v>
      </c>
      <c r="O217" s="775">
        <f ca="1">SUMIF(CT_tram!$B$567:$G$653,$B217,CT_tram!$G$567:$G$653)</f>
        <v>0</v>
      </c>
      <c r="P217" s="775">
        <f ca="1">SUMIF(CT_tram!$B$661:$G$738,$B217,CT_tram!$G$661:$G$738)</f>
        <v>0</v>
      </c>
      <c r="Q217" s="775">
        <f ca="1">SUMIF(CT_tram!$B$745:$G$899,$B217,CT_tram!$G$745:$G$899)</f>
        <v>0</v>
      </c>
      <c r="R217" s="775">
        <f ca="1">SUMIF(CT_tram!$B$907:$G$995,$B217,CT_tram!$G$907:$G$995)</f>
        <v>0</v>
      </c>
      <c r="S217" s="775"/>
      <c r="T217" s="775">
        <f ca="1">SUMIF(CT_tram!$B$1004:$G$1097,B217,CT_tram!$G$1004:$G$1097)</f>
        <v>0</v>
      </c>
      <c r="U217" s="775"/>
      <c r="V217" s="775">
        <f ca="1">SUMIF(CT_tram!$B$1226:$G$1352,kl!B217,CT_tram!$G$1226:$G$1352)</f>
        <v>0</v>
      </c>
      <c r="W217" s="780">
        <f ca="1">SUMIF(CT_tram!$B$1105:$G$1219,kl!B217,CT_tram!$G$1105:$G$1219)</f>
        <v>0</v>
      </c>
      <c r="X217" s="775">
        <f ca="1">SUMIF(CT_tram!$B$1359:$G$1504,kl!B217,CT_tram!$G$1359:$G$1504)</f>
        <v>0</v>
      </c>
      <c r="Y217" s="775">
        <f ca="1">SUMIF(CT_tram!$B$1511:$G$1625,kl!B217,CT_tram!$G$1511:$G$1625)</f>
        <v>0</v>
      </c>
      <c r="Z217" s="775">
        <f ca="1">SUMIF(CT_tram!$B$1632:$G$2211,kl!B217,CT_tram!$G$1632:$G$2211)</f>
        <v>0</v>
      </c>
      <c r="AA217" s="775">
        <f ca="1">SUMIF(CT_tram!$B$2243:$G$2384,kl!B217,CT_tram!$G$2243:$G$2384)</f>
        <v>0</v>
      </c>
      <c r="AB217" s="775">
        <f ca="1">SUMIF(CT_tram!$B$2391:$G$2563,kl!B217,CT_tram!$G$2391:$G$2563)</f>
        <v>0</v>
      </c>
      <c r="AC217" s="775">
        <f ca="1">SUMIF(chitiet!$B$13:$N$2352,kl!$B217,chitiet!$I$13:$I$2352)</f>
        <v>0</v>
      </c>
      <c r="AD217" s="775">
        <f ca="1">SUMIF(chitiet!$B$13:$N$2352,kl!$B217,chitiet!$J$13:$J$2352)</f>
        <v>0</v>
      </c>
      <c r="AE217" s="775">
        <f ca="1">SUMIF(chitiet!$B$13:$N$2352,kl!$B217,chitiet!$K$13:$K$2352)</f>
        <v>0</v>
      </c>
      <c r="AF217" s="775">
        <f ca="1">SUMIF(chitiet!$B$13:$N$2352,kl!$B217,chitiet!$L$13:$L$2352)</f>
        <v>0</v>
      </c>
      <c r="AG217" s="775">
        <f ca="1">SUMIF(chitiet!$B$13:$N$2352,kl!$B217,chitiet!$M$13)</f>
        <v>0</v>
      </c>
      <c r="AH217" s="775">
        <f ca="1">SUMIF(chitiet!$B$13:$N$2352,kl!$B217,chitiet!$N$13:$N$2352)</f>
        <v>0</v>
      </c>
      <c r="AI217" s="775">
        <f ca="1">SUMIF(chitiet!$B$13:$N$2352,kl!$B217,chitiet!$O$13:$O$2352)</f>
        <v>0</v>
      </c>
      <c r="AJ217" s="775">
        <f ca="1">SUMIF('Cap ngam'!$B$631:$G$723,kl!$B217,'Cap ngam'!$G$631:$G$723)</f>
        <v>0</v>
      </c>
      <c r="AK217" s="775">
        <f ca="1">SUMIF('Cap ngam'!$B$403:$G$628,kl!$B217,'Cap ngam'!G$403:G$628)</f>
        <v>0</v>
      </c>
      <c r="AL217" s="775">
        <f ca="1">SUMIF('Cap ngam'!B$16:G$400,kl!$B217,'Cap ngam'!G$16:G$400)</f>
        <v>0</v>
      </c>
      <c r="AM217" s="776">
        <v>0.3</v>
      </c>
      <c r="AN217" s="775">
        <f t="shared" ca="1" si="133"/>
        <v>0</v>
      </c>
      <c r="AO217" s="775">
        <f t="shared" ca="1" si="134"/>
        <v>0</v>
      </c>
      <c r="AP217" s="775">
        <f t="shared" ca="1" si="135"/>
        <v>0</v>
      </c>
      <c r="AQ217" s="775">
        <f t="shared" ca="1" si="136"/>
        <v>0</v>
      </c>
      <c r="AR217" s="775">
        <f t="shared" ca="1" si="137"/>
        <v>0</v>
      </c>
      <c r="AS217" s="775">
        <f t="shared" ca="1" si="138"/>
        <v>0</v>
      </c>
      <c r="AT217" s="775">
        <f t="shared" ca="1" si="139"/>
        <v>0</v>
      </c>
      <c r="AU217" s="775">
        <f t="shared" ca="1" si="140"/>
        <v>0</v>
      </c>
      <c r="AV217" s="775">
        <f t="shared" ca="1" si="141"/>
        <v>0</v>
      </c>
      <c r="AW217" s="775">
        <f t="shared" ca="1" si="142"/>
        <v>0</v>
      </c>
      <c r="AX217" s="775">
        <f t="shared" si="143"/>
        <v>0</v>
      </c>
      <c r="AY217" s="775">
        <f t="shared" ca="1" si="144"/>
        <v>0</v>
      </c>
      <c r="AZ217" s="775">
        <f t="shared" si="145"/>
        <v>0</v>
      </c>
      <c r="BA217" s="775">
        <f t="shared" ca="1" si="126"/>
        <v>0</v>
      </c>
      <c r="BB217" s="775">
        <f t="shared" ca="1" si="127"/>
        <v>0</v>
      </c>
      <c r="BC217" s="775">
        <f t="shared" ca="1" si="128"/>
        <v>0</v>
      </c>
      <c r="BD217" s="775">
        <f t="shared" ca="1" si="129"/>
        <v>0</v>
      </c>
      <c r="BE217" s="775">
        <f t="shared" ca="1" si="130"/>
        <v>0</v>
      </c>
      <c r="BF217" s="775">
        <f t="shared" ca="1" si="131"/>
        <v>0</v>
      </c>
      <c r="BG217" s="775">
        <f t="shared" ca="1" si="132"/>
        <v>0</v>
      </c>
      <c r="BH217" s="775">
        <f t="shared" ca="1" si="146"/>
        <v>0</v>
      </c>
      <c r="BI217" s="775">
        <f t="shared" ca="1" si="147"/>
        <v>0</v>
      </c>
      <c r="BJ217" s="775">
        <f t="shared" ca="1" si="148"/>
        <v>0</v>
      </c>
      <c r="BK217" s="775">
        <f t="shared" ca="1" si="149"/>
        <v>0</v>
      </c>
      <c r="BL217" s="775">
        <f t="shared" ca="1" si="150"/>
        <v>0</v>
      </c>
      <c r="BM217" s="775">
        <f t="shared" ca="1" si="151"/>
        <v>0</v>
      </c>
      <c r="BN217" s="775">
        <f t="shared" ca="1" si="152"/>
        <v>0</v>
      </c>
      <c r="BO217" s="775">
        <f t="shared" ca="1" si="153"/>
        <v>0</v>
      </c>
      <c r="BP217" s="775">
        <f t="shared" ca="1" si="154"/>
        <v>0</v>
      </c>
      <c r="BQ217" s="775">
        <f t="shared" ca="1" si="157"/>
        <v>0</v>
      </c>
      <c r="BR217" s="775">
        <f t="shared" ca="1" si="155"/>
        <v>0</v>
      </c>
    </row>
    <row r="218" spans="1:70">
      <c r="A218" s="767" t="str">
        <f t="shared" ca="1" si="110"/>
        <v/>
      </c>
      <c r="B218" s="799" t="s">
        <v>996</v>
      </c>
      <c r="C218" s="188" t="str">
        <f ca="1">IF(F218=0,"",COUNTIF($F$78:$F218,"&gt;0"))</f>
        <v/>
      </c>
      <c r="D218" s="778" t="str">
        <f>VLOOKUP($B218,dongia1,DG!$C$5,)</f>
        <v>Côllier 25x2</v>
      </c>
      <c r="E218" s="555" t="str">
        <f>VLOOKUP($B218,dongia1,DG!$D$5,)</f>
        <v>bộ</v>
      </c>
      <c r="F218" s="779">
        <f t="shared" ca="1" si="156"/>
        <v>0</v>
      </c>
      <c r="G218" s="775">
        <f t="shared" ca="1" si="121"/>
        <v>0</v>
      </c>
      <c r="H218" s="775">
        <f ca="1">SUMIF(CT_tram!$B$33:$G$3559,kl!B218,CT_tram!$G$33:$G$3559)</f>
        <v>0</v>
      </c>
      <c r="I218" s="775">
        <f ca="1">SUMIF(CT_tram!$B$34:$G$115,$B218,CT_tram!$G$34:$G$115)</f>
        <v>0</v>
      </c>
      <c r="J218" s="775">
        <f ca="1">SUMIF(CT_tram!$B$122:$G$204,$B218,CT_tram!$G$122:$G$204)</f>
        <v>0</v>
      </c>
      <c r="K218" s="775">
        <f ca="1">SUMIF(CT_tram!$B$211:$G$293,$B218,CT_tram!$G$211:$G$293)</f>
        <v>0</v>
      </c>
      <c r="L218" s="775">
        <f ca="1">SUMIF(CT_tram!$B$300:$G$374,$B218,CT_tram!$G$300:$G$374)</f>
        <v>0</v>
      </c>
      <c r="M218" s="775">
        <f ca="1">SUMIF(CT_tram!$B$381:$G$471,$B218,CT_tram!$G$381:$G$471)</f>
        <v>0</v>
      </c>
      <c r="N218" s="775">
        <f ca="1">SUMIF(CT_tram!$B$478:$G$560,$B218,CT_tram!$G$478:$G$560)</f>
        <v>0</v>
      </c>
      <c r="O218" s="775">
        <f ca="1">SUMIF(CT_tram!$B$567:$G$653,$B218,CT_tram!$G$567:$G$653)</f>
        <v>0</v>
      </c>
      <c r="P218" s="775">
        <f ca="1">SUMIF(CT_tram!$B$661:$G$738,$B218,CT_tram!$G$661:$G$738)</f>
        <v>0</v>
      </c>
      <c r="Q218" s="775">
        <f ca="1">SUMIF(CT_tram!$B$745:$G$899,$B218,CT_tram!$G$745:$G$899)</f>
        <v>0</v>
      </c>
      <c r="R218" s="775">
        <f ca="1">SUMIF(CT_tram!$B$907:$G$995,$B218,CT_tram!$G$907:$G$995)</f>
        <v>0</v>
      </c>
      <c r="S218" s="775"/>
      <c r="T218" s="775">
        <f ca="1">SUMIF(CT_tram!$B$1004:$G$1097,B218,CT_tram!$G$1004:$G$1097)</f>
        <v>0</v>
      </c>
      <c r="U218" s="775"/>
      <c r="V218" s="775">
        <f ca="1">SUMIF(CT_tram!$B$1226:$G$1352,kl!B218,CT_tram!$G$1226:$G$1352)</f>
        <v>0</v>
      </c>
      <c r="W218" s="780">
        <f ca="1">SUMIF(CT_tram!$B$1105:$G$1219,kl!B218,CT_tram!$G$1105:$G$1219)</f>
        <v>0</v>
      </c>
      <c r="X218" s="775">
        <f ca="1">SUMIF(CT_tram!$B$1359:$G$1504,kl!B218,CT_tram!$G$1359:$G$1504)</f>
        <v>0</v>
      </c>
      <c r="Y218" s="775">
        <f ca="1">SUMIF(CT_tram!$B$1511:$G$1625,kl!B218,CT_tram!$G$1511:$G$1625)</f>
        <v>0</v>
      </c>
      <c r="Z218" s="775">
        <f ca="1">SUMIF(CT_tram!$B$1632:$G$2211,kl!B218,CT_tram!$G$1632:$G$2211)</f>
        <v>0</v>
      </c>
      <c r="AA218" s="775">
        <f ca="1">SUMIF(CT_tram!$B$2243:$G$2384,kl!B218,CT_tram!$G$2243:$G$2384)</f>
        <v>0</v>
      </c>
      <c r="AB218" s="775">
        <f ca="1">SUMIF(CT_tram!$B$2391:$G$2563,kl!B218,CT_tram!$G$2391:$G$2563)</f>
        <v>0</v>
      </c>
      <c r="AC218" s="775">
        <f ca="1">SUMIF(chitiet!$B$13:$N$2352,kl!$B218,chitiet!$I$13:$I$2352)</f>
        <v>0</v>
      </c>
      <c r="AD218" s="775">
        <f ca="1">SUMIF(chitiet!$B$13:$N$2352,kl!$B218,chitiet!$J$13:$J$2352)</f>
        <v>0</v>
      </c>
      <c r="AE218" s="775">
        <f ca="1">SUMIF(chitiet!$B$13:$N$2352,kl!$B218,chitiet!$K$13:$K$2352)</f>
        <v>0</v>
      </c>
      <c r="AF218" s="775">
        <f ca="1">SUMIF(chitiet!$B$13:$N$2352,kl!$B218,chitiet!$L$13:$L$2352)</f>
        <v>0</v>
      </c>
      <c r="AG218" s="775">
        <f ca="1">SUMIF(chitiet!$B$13:$N$2352,kl!$B218,chitiet!$M$13)</f>
        <v>0</v>
      </c>
      <c r="AH218" s="775">
        <f ca="1">SUMIF(chitiet!$B$13:$N$2352,kl!$B218,chitiet!$N$13:$N$2352)</f>
        <v>0</v>
      </c>
      <c r="AI218" s="775">
        <f ca="1">SUMIF(chitiet!$B$13:$N$2352,kl!$B218,chitiet!$O$13:$O$2352)</f>
        <v>0</v>
      </c>
      <c r="AJ218" s="775">
        <f ca="1">SUMIF('Cap ngam'!$B$631:$G$723,kl!$B218,'Cap ngam'!$G$631:$G$723)</f>
        <v>0</v>
      </c>
      <c r="AK218" s="775">
        <f ca="1">SUMIF('Cap ngam'!$B$403:$G$628,kl!$B218,'Cap ngam'!G$403:G$628)</f>
        <v>0</v>
      </c>
      <c r="AL218" s="775">
        <f ca="1">SUMIF('Cap ngam'!B$16:G$400,kl!$B218,'Cap ngam'!G$16:G$400)</f>
        <v>0</v>
      </c>
      <c r="AM218" s="776">
        <v>0.2</v>
      </c>
      <c r="AN218" s="775">
        <f t="shared" ca="1" si="133"/>
        <v>0</v>
      </c>
      <c r="AO218" s="775">
        <f t="shared" ca="1" si="134"/>
        <v>0</v>
      </c>
      <c r="AP218" s="775">
        <f t="shared" ca="1" si="135"/>
        <v>0</v>
      </c>
      <c r="AQ218" s="775">
        <f t="shared" ca="1" si="136"/>
        <v>0</v>
      </c>
      <c r="AR218" s="775">
        <f t="shared" ca="1" si="137"/>
        <v>0</v>
      </c>
      <c r="AS218" s="775">
        <f t="shared" ca="1" si="138"/>
        <v>0</v>
      </c>
      <c r="AT218" s="775">
        <f t="shared" ca="1" si="139"/>
        <v>0</v>
      </c>
      <c r="AU218" s="775">
        <f t="shared" ca="1" si="140"/>
        <v>0</v>
      </c>
      <c r="AV218" s="775">
        <f t="shared" ca="1" si="141"/>
        <v>0</v>
      </c>
      <c r="AW218" s="775">
        <f t="shared" ca="1" si="142"/>
        <v>0</v>
      </c>
      <c r="AX218" s="775">
        <f t="shared" si="143"/>
        <v>0</v>
      </c>
      <c r="AY218" s="775">
        <f t="shared" ca="1" si="144"/>
        <v>0</v>
      </c>
      <c r="AZ218" s="775">
        <f t="shared" si="145"/>
        <v>0</v>
      </c>
      <c r="BA218" s="775">
        <f t="shared" ca="1" si="126"/>
        <v>0</v>
      </c>
      <c r="BB218" s="775">
        <f t="shared" ca="1" si="127"/>
        <v>0</v>
      </c>
      <c r="BC218" s="775">
        <f t="shared" ca="1" si="128"/>
        <v>0</v>
      </c>
      <c r="BD218" s="775">
        <f t="shared" ca="1" si="129"/>
        <v>0</v>
      </c>
      <c r="BE218" s="775">
        <f t="shared" ca="1" si="130"/>
        <v>0</v>
      </c>
      <c r="BF218" s="775">
        <f t="shared" ca="1" si="131"/>
        <v>0</v>
      </c>
      <c r="BG218" s="775">
        <f t="shared" ca="1" si="132"/>
        <v>0</v>
      </c>
      <c r="BH218" s="775">
        <f t="shared" ca="1" si="146"/>
        <v>0</v>
      </c>
      <c r="BI218" s="775">
        <f t="shared" ca="1" si="147"/>
        <v>0</v>
      </c>
      <c r="BJ218" s="775">
        <f t="shared" ca="1" si="148"/>
        <v>0</v>
      </c>
      <c r="BK218" s="775">
        <f t="shared" ca="1" si="149"/>
        <v>0</v>
      </c>
      <c r="BL218" s="775">
        <f t="shared" ca="1" si="150"/>
        <v>0</v>
      </c>
      <c r="BM218" s="775">
        <f t="shared" ca="1" si="151"/>
        <v>0</v>
      </c>
      <c r="BN218" s="775">
        <f t="shared" ca="1" si="152"/>
        <v>0</v>
      </c>
      <c r="BO218" s="775">
        <f t="shared" ca="1" si="153"/>
        <v>0</v>
      </c>
      <c r="BP218" s="775">
        <f t="shared" ca="1" si="154"/>
        <v>0</v>
      </c>
      <c r="BQ218" s="775">
        <f t="shared" ca="1" si="157"/>
        <v>0</v>
      </c>
      <c r="BR218" s="775">
        <f t="shared" ca="1" si="155"/>
        <v>0</v>
      </c>
    </row>
    <row r="219" spans="1:70">
      <c r="A219" s="767" t="e">
        <f t="shared" ca="1" si="110"/>
        <v>#REF!</v>
      </c>
      <c r="B219" s="767" t="s">
        <v>1079</v>
      </c>
      <c r="C219" s="188" t="e">
        <f ca="1">IF(F219=0,"",COUNTIF($F$78:$F219,"&gt;0"))</f>
        <v>#REF!</v>
      </c>
      <c r="D219" s="778" t="str">
        <f>VLOOKUP($B219,dongia1,DG!$C$5,)</f>
        <v>Cọc tiếp đất Þ 16- 2,4m + kẹp cọc</v>
      </c>
      <c r="E219" s="555" t="str">
        <f>VLOOKUP($B219,dongia1,DG!$D$5,)</f>
        <v>bộ</v>
      </c>
      <c r="F219" s="975" t="e">
        <f t="shared" ca="1" si="156"/>
        <v>#REF!</v>
      </c>
      <c r="G219" s="976" t="e">
        <f t="shared" ca="1" si="121"/>
        <v>#REF!</v>
      </c>
      <c r="H219" s="976">
        <f ca="1">SUMIF(CT_tram!$B$33:$G$3559,kl!B219,CT_tram!$G$33:$G$3559)</f>
        <v>9</v>
      </c>
      <c r="I219" s="775">
        <f ca="1">SUMIF(CT_tram!$B$34:$G$115,$B219,CT_tram!$G$34:$G$115)</f>
        <v>0</v>
      </c>
      <c r="J219" s="775">
        <f ca="1">SUMIF(CT_tram!$B$122:$G$204,$B219,CT_tram!$G$122:$G$204)</f>
        <v>0</v>
      </c>
      <c r="K219" s="775">
        <f ca="1">SUMIF(CT_tram!$B$211:$G$293,$B219,CT_tram!$G$211:$G$293)</f>
        <v>0</v>
      </c>
      <c r="L219" s="775">
        <f ca="1">SUMIF(CT_tram!$B$300:$G$374,$B219,CT_tram!$G$300:$G$374)</f>
        <v>0</v>
      </c>
      <c r="M219" s="775">
        <f ca="1">SUMIF(CT_tram!$B$381:$G$471,$B219,CT_tram!$G$381:$G$471)</f>
        <v>0</v>
      </c>
      <c r="N219" s="775">
        <f ca="1">SUMIF(CT_tram!$B$478:$G$560,$B219,CT_tram!$G$478:$G$560)</f>
        <v>0</v>
      </c>
      <c r="O219" s="775">
        <f ca="1">SUMIF(CT_tram!$B$567:$G$653,$B219,CT_tram!$G$567:$G$653)</f>
        <v>0</v>
      </c>
      <c r="P219" s="775">
        <f ca="1">SUMIF(CT_tram!$B$661:$G$738,$B219,CT_tram!$G$661:$G$738)</f>
        <v>0</v>
      </c>
      <c r="Q219" s="775">
        <f ca="1">SUMIF(CT_tram!$B$745:$G$899,$B219,CT_tram!$G$745:$G$899)</f>
        <v>0</v>
      </c>
      <c r="R219" s="775">
        <f ca="1">SUMIF(CT_tram!$B$907:$G$995,$B219,CT_tram!$G$907:$G$995)</f>
        <v>0</v>
      </c>
      <c r="S219" s="775"/>
      <c r="T219" s="775">
        <f ca="1">SUMIF(CT_tram!$B$1004:$G$1097,B219,CT_tram!$G$1004:$G$1097)</f>
        <v>0</v>
      </c>
      <c r="U219" s="775"/>
      <c r="V219" s="775">
        <f ca="1">SUMIF(CT_tram!$B$1226:$G$1352,kl!B219,CT_tram!$G$1226:$G$1352)</f>
        <v>0</v>
      </c>
      <c r="W219" s="780">
        <f ca="1">SUMIF(CT_tram!$B$1105:$G$1219,kl!B219,CT_tram!$G$1105:$G$1219)</f>
        <v>0</v>
      </c>
      <c r="X219" s="775">
        <f ca="1">SUMIF(CT_tram!$B$1359:$G$1504,kl!B219,CT_tram!$G$1359:$G$1504)</f>
        <v>0</v>
      </c>
      <c r="Y219" s="775">
        <f ca="1">SUMIF(CT_tram!$B$1511:$G$1625,kl!B219,CT_tram!$G$1511:$G$1625)</f>
        <v>0</v>
      </c>
      <c r="Z219" s="775">
        <f ca="1">SUMIF(CT_tram!$B$1632:$G$2211,kl!B219,CT_tram!$G$1632:$G$2211)</f>
        <v>0</v>
      </c>
      <c r="AA219" s="775">
        <f ca="1">SUMIF(CT_tram!$B$2243:$G$2384,kl!B219,CT_tram!$G$2243:$G$2384)</f>
        <v>0</v>
      </c>
      <c r="AB219" s="775">
        <f ca="1">SUMIF(CT_tram!$B$2391:$G$2563,kl!B219,CT_tram!$G$2391:$G$2563)</f>
        <v>0</v>
      </c>
      <c r="AC219" s="775">
        <f ca="1">SUMIF(chitiet!$B$13:$N$2352,kl!$B219,chitiet!$I$13:$I$2352)</f>
        <v>0</v>
      </c>
      <c r="AD219" s="775">
        <f ca="1">SUMIF(chitiet!$B$13:$N$2352,kl!$B219,chitiet!$J$13:$J$2352)</f>
        <v>0</v>
      </c>
      <c r="AE219" s="775">
        <f ca="1">SUMIF(chitiet!$B$13:$N$2352,kl!$B219,chitiet!$K$13:$K$2352)</f>
        <v>1</v>
      </c>
      <c r="AF219" s="775">
        <f ca="1">SUMIF(chitiet!$B$13:$N$2352,kl!$B219,chitiet!$L$13:$L$2352)</f>
        <v>0</v>
      </c>
      <c r="AG219" s="775">
        <f ca="1">SUMIF(chitiet!$B$13:$N$2352,kl!$B219,chitiet!$M$13)</f>
        <v>0</v>
      </c>
      <c r="AH219" s="775">
        <f ca="1">SUMIF(chitiet!$B$13:$N$2352,kl!$B219,chitiet!$N$13:$N$2352)</f>
        <v>0</v>
      </c>
      <c r="AI219" s="775">
        <f ca="1">SUMIF(chitiet!$B$13:$N$2352,kl!$B219,chitiet!$O$13:$O$2352)</f>
        <v>0</v>
      </c>
      <c r="AJ219" s="775">
        <f ca="1">SUMIF('Cap ngam'!$B$631:$G$723,kl!$B219,'Cap ngam'!$G$631:$G$723)</f>
        <v>0</v>
      </c>
      <c r="AK219" s="775" t="e">
        <f ca="1">SUMIF('Cap ngam'!$B$403:$G$628,kl!$B219,'Cap ngam'!G$403:G$628)</f>
        <v>#REF!</v>
      </c>
      <c r="AL219" s="775">
        <f ca="1">SUMIF('Cap ngam'!B$16:G$400,kl!$B219,'Cap ngam'!G$16:G$400)</f>
        <v>0</v>
      </c>
      <c r="AM219" s="776">
        <v>3.8</v>
      </c>
      <c r="AN219" s="775">
        <f t="shared" ca="1" si="133"/>
        <v>0</v>
      </c>
      <c r="AO219" s="775">
        <f t="shared" ca="1" si="134"/>
        <v>0</v>
      </c>
      <c r="AP219" s="775">
        <f t="shared" ca="1" si="135"/>
        <v>0</v>
      </c>
      <c r="AQ219" s="775">
        <f t="shared" ca="1" si="136"/>
        <v>0</v>
      </c>
      <c r="AR219" s="775">
        <f t="shared" ca="1" si="137"/>
        <v>0</v>
      </c>
      <c r="AS219" s="775">
        <f t="shared" ca="1" si="138"/>
        <v>0</v>
      </c>
      <c r="AT219" s="775">
        <f t="shared" ca="1" si="139"/>
        <v>0</v>
      </c>
      <c r="AU219" s="775">
        <f t="shared" ca="1" si="140"/>
        <v>0</v>
      </c>
      <c r="AV219" s="775">
        <f t="shared" ca="1" si="141"/>
        <v>0</v>
      </c>
      <c r="AW219" s="775">
        <f t="shared" ca="1" si="142"/>
        <v>0</v>
      </c>
      <c r="AX219" s="775">
        <f t="shared" si="143"/>
        <v>0</v>
      </c>
      <c r="AY219" s="775">
        <f t="shared" ca="1" si="144"/>
        <v>0</v>
      </c>
      <c r="AZ219" s="775">
        <f t="shared" si="145"/>
        <v>0</v>
      </c>
      <c r="BA219" s="775">
        <f t="shared" ca="1" si="126"/>
        <v>0</v>
      </c>
      <c r="BB219" s="775">
        <f t="shared" ca="1" si="127"/>
        <v>0</v>
      </c>
      <c r="BC219" s="775">
        <f t="shared" ca="1" si="128"/>
        <v>0</v>
      </c>
      <c r="BD219" s="775">
        <f t="shared" ca="1" si="129"/>
        <v>0</v>
      </c>
      <c r="BE219" s="775">
        <f t="shared" ca="1" si="130"/>
        <v>0</v>
      </c>
      <c r="BF219" s="775">
        <f t="shared" ca="1" si="131"/>
        <v>0</v>
      </c>
      <c r="BG219" s="775">
        <f t="shared" ca="1" si="132"/>
        <v>0</v>
      </c>
      <c r="BH219" s="775">
        <f t="shared" ca="1" si="146"/>
        <v>0</v>
      </c>
      <c r="BI219" s="775">
        <f t="shared" ca="1" si="147"/>
        <v>0</v>
      </c>
      <c r="BJ219" s="775">
        <f t="shared" ca="1" si="148"/>
        <v>3.8</v>
      </c>
      <c r="BK219" s="775">
        <f t="shared" ca="1" si="149"/>
        <v>0</v>
      </c>
      <c r="BL219" s="775">
        <f t="shared" ca="1" si="150"/>
        <v>0</v>
      </c>
      <c r="BM219" s="775">
        <f t="shared" ca="1" si="151"/>
        <v>0</v>
      </c>
      <c r="BN219" s="775">
        <f t="shared" ca="1" si="152"/>
        <v>0</v>
      </c>
      <c r="BO219" s="775">
        <f t="shared" ca="1" si="153"/>
        <v>0</v>
      </c>
      <c r="BP219" s="775" t="e">
        <f t="shared" ca="1" si="154"/>
        <v>#REF!</v>
      </c>
      <c r="BQ219" s="775">
        <f t="shared" ca="1" si="157"/>
        <v>0</v>
      </c>
      <c r="BR219" s="775">
        <f t="shared" ca="1" si="155"/>
        <v>34.199999999999996</v>
      </c>
    </row>
    <row r="220" spans="1:70">
      <c r="A220" s="767" t="e">
        <f ca="1">IF(F220&lt;&gt;0,"X","")</f>
        <v>#REF!</v>
      </c>
      <c r="B220" s="767" t="s">
        <v>1433</v>
      </c>
      <c r="C220" s="188" t="e">
        <f ca="1">IF(F220=0,"",COUNTIF($F$78:$F220,"&gt;0"))</f>
        <v>#REF!</v>
      </c>
      <c r="D220" s="778" t="str">
        <f>VLOOKUP($B220,dongia1,DG!$C$5,)</f>
        <v>Ốc xiết cáp cỡ 25mm2</v>
      </c>
      <c r="E220" s="555" t="str">
        <f>VLOOKUP($B220,dongia1,DG!$D$5,)</f>
        <v>cái</v>
      </c>
      <c r="F220" s="779" t="e">
        <f t="shared" ca="1" si="156"/>
        <v>#REF!</v>
      </c>
      <c r="G220" s="775" t="e">
        <f ca="1">SUM(AC220:AL220)</f>
        <v>#REF!</v>
      </c>
      <c r="H220" s="775">
        <f ca="1">SUMIF(CT_tram!$B$33:$G$3559,kl!B220,CT_tram!$G$33:$G$3559)</f>
        <v>11</v>
      </c>
      <c r="I220" s="775">
        <f ca="1">SUMIF(CT_tram!$B$34:$G$115,$B220,CT_tram!$G$34:$G$115)</f>
        <v>0</v>
      </c>
      <c r="J220" s="775">
        <f ca="1">SUMIF(CT_tram!$B$122:$G$204,$B220,CT_tram!$G$122:$G$204)</f>
        <v>0</v>
      </c>
      <c r="K220" s="775">
        <f ca="1">SUMIF(CT_tram!$B$211:$G$293,$B220,CT_tram!$G$211:$G$293)</f>
        <v>0</v>
      </c>
      <c r="L220" s="775">
        <f ca="1">SUMIF(CT_tram!$B$300:$G$374,$B220,CT_tram!$G$300:$G$374)</f>
        <v>0</v>
      </c>
      <c r="M220" s="775">
        <f ca="1">SUMIF(CT_tram!$B$381:$G$471,$B220,CT_tram!$G$381:$G$471)</f>
        <v>0</v>
      </c>
      <c r="N220" s="775">
        <f ca="1">SUMIF(CT_tram!$B$478:$G$560,$B220,CT_tram!$G$478:$G$560)</f>
        <v>0</v>
      </c>
      <c r="O220" s="775">
        <f ca="1">SUMIF(CT_tram!$B$567:$G$653,$B220,CT_tram!$G$567:$G$653)</f>
        <v>0</v>
      </c>
      <c r="P220" s="775">
        <f ca="1">SUMIF(CT_tram!$B$661:$G$738,$B220,CT_tram!$G$661:$G$738)</f>
        <v>0</v>
      </c>
      <c r="Q220" s="775">
        <f ca="1">SUMIF(CT_tram!$B$745:$G$899,$B220,CT_tram!$G$745:$G$899)</f>
        <v>0</v>
      </c>
      <c r="R220" s="775">
        <f ca="1">SUMIF(CT_tram!$B$907:$G$995,$B220,CT_tram!$G$907:$G$995)</f>
        <v>0</v>
      </c>
      <c r="S220" s="775"/>
      <c r="T220" s="775">
        <f ca="1">SUMIF(CT_tram!$B$1004:$G$1097,B220,CT_tram!$G$1004:$G$1097)</f>
        <v>0</v>
      </c>
      <c r="U220" s="775"/>
      <c r="V220" s="775">
        <f ca="1">SUMIF(CT_tram!$B$1226:$G$1352,kl!B220,CT_tram!$G$1226:$G$1352)</f>
        <v>0</v>
      </c>
      <c r="W220" s="780">
        <f ca="1">SUMIF(CT_tram!$B$1105:$G$1219,kl!B220,CT_tram!$G$1105:$G$1219)</f>
        <v>0</v>
      </c>
      <c r="X220" s="775">
        <f ca="1">SUMIF(CT_tram!$B$1359:$G$1504,kl!B220,CT_tram!$G$1359:$G$1504)</f>
        <v>0</v>
      </c>
      <c r="Y220" s="775">
        <f ca="1">SUMIF(CT_tram!$B$1511:$G$1625,kl!B220,CT_tram!$G$1511:$G$1625)</f>
        <v>0</v>
      </c>
      <c r="Z220" s="775">
        <f ca="1">SUMIF(CT_tram!$B$1632:$G$2211,kl!B220,CT_tram!$G$1632:$G$2211)</f>
        <v>0</v>
      </c>
      <c r="AA220" s="775">
        <f ca="1">SUMIF(CT_tram!$B$2243:$G$2384,kl!B220,CT_tram!$G$2243:$G$2384)</f>
        <v>0</v>
      </c>
      <c r="AB220" s="775">
        <f ca="1">SUMIF(CT_tram!$B$2391:$G$2563,kl!B220,CT_tram!$G$2391:$G$2563)</f>
        <v>0</v>
      </c>
      <c r="AC220" s="775">
        <f ca="1">SUMIF(chitiet!$B$13:$N$2352,kl!$B220,chitiet!$I$13:$I$2352)</f>
        <v>0</v>
      </c>
      <c r="AD220" s="775">
        <f ca="1">SUMIF(chitiet!$B$13:$N$2352,kl!$B220,chitiet!$J$13:$J$2352)</f>
        <v>0</v>
      </c>
      <c r="AE220" s="775">
        <f ca="1">SUMIF(chitiet!$B$13:$N$2352,kl!$B220,chitiet!$K$13:$K$2352)</f>
        <v>2</v>
      </c>
      <c r="AF220" s="775">
        <f ca="1">SUMIF(chitiet!$B$13:$N$2352,kl!$B220,chitiet!$L$13:$L$2352)</f>
        <v>0</v>
      </c>
      <c r="AG220" s="775">
        <f ca="1">SUMIF(chitiet!$B$13:$N$2352,kl!$B220,chitiet!$M$13)</f>
        <v>0</v>
      </c>
      <c r="AH220" s="775">
        <f ca="1">SUMIF(chitiet!$B$13:$N$2352,kl!$B220,chitiet!$N$13:$N$2352)</f>
        <v>0</v>
      </c>
      <c r="AI220" s="775">
        <f ca="1">SUMIF(chitiet!$B$13:$N$2352,kl!$B220,chitiet!$O$13:$O$2352)</f>
        <v>0</v>
      </c>
      <c r="AJ220" s="775">
        <f ca="1">SUMIF('Cap ngam'!$B$631:$G$723,kl!$B220,'Cap ngam'!$G$631:$G$723)</f>
        <v>0</v>
      </c>
      <c r="AK220" s="775" t="e">
        <f ca="1">SUMIF('Cap ngam'!$B$403:$G$628,kl!$B220,'Cap ngam'!G$403:G$628)</f>
        <v>#REF!</v>
      </c>
      <c r="AL220" s="775">
        <f ca="1">SUMIF('Cap ngam'!B$16:G$400,kl!$B220,'Cap ngam'!G$16:G$400)</f>
        <v>0</v>
      </c>
      <c r="AM220" s="776">
        <v>0.1</v>
      </c>
      <c r="AN220" s="775">
        <f t="shared" ref="AN220:BP220" ca="1" si="158">I220*$AM220</f>
        <v>0</v>
      </c>
      <c r="AO220" s="775">
        <f t="shared" ca="1" si="158"/>
        <v>0</v>
      </c>
      <c r="AP220" s="775">
        <f t="shared" ca="1" si="158"/>
        <v>0</v>
      </c>
      <c r="AQ220" s="775">
        <f t="shared" ca="1" si="158"/>
        <v>0</v>
      </c>
      <c r="AR220" s="775">
        <f t="shared" ca="1" si="158"/>
        <v>0</v>
      </c>
      <c r="AS220" s="775">
        <f t="shared" ca="1" si="158"/>
        <v>0</v>
      </c>
      <c r="AT220" s="775">
        <f t="shared" ca="1" si="158"/>
        <v>0</v>
      </c>
      <c r="AU220" s="775">
        <f t="shared" ca="1" si="158"/>
        <v>0</v>
      </c>
      <c r="AV220" s="775">
        <f t="shared" ca="1" si="158"/>
        <v>0</v>
      </c>
      <c r="AW220" s="775">
        <f t="shared" ca="1" si="158"/>
        <v>0</v>
      </c>
      <c r="AX220" s="775">
        <f t="shared" si="158"/>
        <v>0</v>
      </c>
      <c r="AY220" s="775">
        <f t="shared" ca="1" si="158"/>
        <v>0</v>
      </c>
      <c r="AZ220" s="775">
        <f t="shared" si="158"/>
        <v>0</v>
      </c>
      <c r="BA220" s="775">
        <f t="shared" ca="1" si="158"/>
        <v>0</v>
      </c>
      <c r="BB220" s="775">
        <f t="shared" ca="1" si="158"/>
        <v>0</v>
      </c>
      <c r="BC220" s="775">
        <f t="shared" ca="1" si="158"/>
        <v>0</v>
      </c>
      <c r="BD220" s="775">
        <f t="shared" ca="1" si="158"/>
        <v>0</v>
      </c>
      <c r="BE220" s="775">
        <f t="shared" ca="1" si="158"/>
        <v>0</v>
      </c>
      <c r="BF220" s="775">
        <f t="shared" ca="1" si="158"/>
        <v>0</v>
      </c>
      <c r="BG220" s="775">
        <f t="shared" ca="1" si="158"/>
        <v>0</v>
      </c>
      <c r="BH220" s="775">
        <f t="shared" ca="1" si="158"/>
        <v>0</v>
      </c>
      <c r="BI220" s="775">
        <f t="shared" ca="1" si="158"/>
        <v>0</v>
      </c>
      <c r="BJ220" s="775">
        <f t="shared" ca="1" si="158"/>
        <v>0.2</v>
      </c>
      <c r="BK220" s="775">
        <f t="shared" ca="1" si="158"/>
        <v>0</v>
      </c>
      <c r="BL220" s="775">
        <f t="shared" ca="1" si="158"/>
        <v>0</v>
      </c>
      <c r="BM220" s="775">
        <f t="shared" ca="1" si="158"/>
        <v>0</v>
      </c>
      <c r="BN220" s="775">
        <f t="shared" ca="1" si="158"/>
        <v>0</v>
      </c>
      <c r="BO220" s="775">
        <f t="shared" ca="1" si="158"/>
        <v>0</v>
      </c>
      <c r="BP220" s="775" t="e">
        <f t="shared" ca="1" si="158"/>
        <v>#REF!</v>
      </c>
      <c r="BQ220" s="775">
        <f t="shared" ca="1" si="157"/>
        <v>0</v>
      </c>
      <c r="BR220" s="775">
        <f t="shared" ca="1" si="155"/>
        <v>1.1000000000000001</v>
      </c>
    </row>
    <row r="221" spans="1:70">
      <c r="A221" s="767" t="e">
        <f t="shared" ca="1" si="110"/>
        <v>#REF!</v>
      </c>
      <c r="B221" s="767" t="s">
        <v>41</v>
      </c>
      <c r="C221" s="188" t="e">
        <f ca="1">IF(F221=0,"",COUNTIF($F$78:$F221,"&gt;0"))</f>
        <v>#REF!</v>
      </c>
      <c r="D221" s="778" t="str">
        <f>VLOOKUP($B221,dongia1,DG!$C$5,)</f>
        <v>Đầu cosse ép Cu 25mm2</v>
      </c>
      <c r="E221" s="555" t="str">
        <f>VLOOKUP($B221,dongia1,DG!$D$5,)</f>
        <v>cái</v>
      </c>
      <c r="F221" s="779" t="e">
        <f t="shared" ca="1" si="156"/>
        <v>#REF!</v>
      </c>
      <c r="G221" s="775" t="e">
        <f t="shared" ca="1" si="121"/>
        <v>#REF!</v>
      </c>
      <c r="H221" s="775">
        <f ca="1">SUMIF(CT_tram!$B$33:$G$3559,kl!B221,CT_tram!$G$33:$G$3559)</f>
        <v>0</v>
      </c>
      <c r="I221" s="775">
        <f ca="1">SUMIF(CT_tram!$B$34:$G$115,$B221,CT_tram!$G$34:$G$115)</f>
        <v>0</v>
      </c>
      <c r="J221" s="775">
        <f ca="1">SUMIF(CT_tram!$B$122:$G$204,$B221,CT_tram!$G$122:$G$204)</f>
        <v>0</v>
      </c>
      <c r="K221" s="775">
        <f ca="1">SUMIF(CT_tram!$B$211:$G$293,$B221,CT_tram!$G$211:$G$293)</f>
        <v>0</v>
      </c>
      <c r="L221" s="775">
        <f ca="1">SUMIF(CT_tram!$B$300:$G$374,$B221,CT_tram!$G$300:$G$374)</f>
        <v>0</v>
      </c>
      <c r="M221" s="775">
        <f ca="1">SUMIF(CT_tram!$B$381:$G$471,$B221,CT_tram!$G$381:$G$471)</f>
        <v>0</v>
      </c>
      <c r="N221" s="775">
        <f ca="1">SUMIF(CT_tram!$B$478:$G$560,$B221,CT_tram!$G$478:$G$560)</f>
        <v>0</v>
      </c>
      <c r="O221" s="775">
        <f ca="1">SUMIF(CT_tram!$B$567:$G$653,$B221,CT_tram!$G$567:$G$653)</f>
        <v>0</v>
      </c>
      <c r="P221" s="775">
        <f ca="1">SUMIF(CT_tram!$B$661:$G$738,$B221,CT_tram!$G$661:$G$738)</f>
        <v>0</v>
      </c>
      <c r="Q221" s="775">
        <f ca="1">SUMIF(CT_tram!$B$745:$G$899,$B221,CT_tram!$G$745:$G$899)</f>
        <v>0</v>
      </c>
      <c r="R221" s="775">
        <f ca="1">SUMIF(CT_tram!$B$907:$G$995,$B221,CT_tram!$G$907:$G$995)</f>
        <v>0</v>
      </c>
      <c r="S221" s="775"/>
      <c r="T221" s="775">
        <f ca="1">SUMIF(CT_tram!$B$1004:$G$1097,B221,CT_tram!$G$1004:$G$1097)</f>
        <v>0</v>
      </c>
      <c r="U221" s="775"/>
      <c r="V221" s="775">
        <f ca="1">SUMIF(CT_tram!$B$1226:$G$1352,kl!B221,CT_tram!$G$1226:$G$1352)</f>
        <v>0</v>
      </c>
      <c r="W221" s="780">
        <f ca="1">SUMIF(CT_tram!$B$1105:$G$1219,kl!B221,CT_tram!$G$1105:$G$1219)</f>
        <v>0</v>
      </c>
      <c r="X221" s="775">
        <f ca="1">SUMIF(CT_tram!$B$1359:$G$1504,kl!B221,CT_tram!$G$1359:$G$1504)</f>
        <v>0</v>
      </c>
      <c r="Y221" s="775">
        <f ca="1">SUMIF(CT_tram!$B$1511:$G$1625,kl!B221,CT_tram!$G$1511:$G$1625)</f>
        <v>0</v>
      </c>
      <c r="Z221" s="775">
        <f ca="1">SUMIF(CT_tram!$B$1632:$G$2211,kl!B221,CT_tram!$G$1632:$G$2211)</f>
        <v>0</v>
      </c>
      <c r="AA221" s="775">
        <f ca="1">SUMIF(CT_tram!$B$2243:$G$2384,kl!B221,CT_tram!$G$2243:$G$2384)</f>
        <v>0</v>
      </c>
      <c r="AB221" s="775">
        <f ca="1">SUMIF(CT_tram!$B$2391:$G$2563,kl!B221,CT_tram!$G$2391:$G$2563)</f>
        <v>0</v>
      </c>
      <c r="AC221" s="775">
        <f ca="1">SUMIF(chitiet!$B$13:$N$2352,kl!$B221,chitiet!$I$13:$I$2352)</f>
        <v>0</v>
      </c>
      <c r="AD221" s="775">
        <f ca="1">SUMIF(chitiet!$B$13:$N$2352,kl!$B221,chitiet!$J$13:$J$2352)</f>
        <v>0</v>
      </c>
      <c r="AE221" s="775">
        <f ca="1">SUMIF(chitiet!$B$13:$N$2352,kl!$B221,chitiet!$K$13:$K$2352)</f>
        <v>0</v>
      </c>
      <c r="AF221" s="775">
        <f ca="1">SUMIF(chitiet!$B$13:$N$2352,kl!$B221,chitiet!$L$13:$L$2352)</f>
        <v>0</v>
      </c>
      <c r="AG221" s="775">
        <f ca="1">SUMIF(chitiet!$B$13:$N$2352,kl!$B221,chitiet!$M$13)</f>
        <v>0</v>
      </c>
      <c r="AH221" s="775">
        <f ca="1">SUMIF(chitiet!$B$13:$N$2352,kl!$B221,chitiet!$N$13:$N$2352)</f>
        <v>0</v>
      </c>
      <c r="AI221" s="775">
        <f ca="1">SUMIF(chitiet!$B$13:$N$2352,kl!$B221,chitiet!$O$13:$O$2352)</f>
        <v>0</v>
      </c>
      <c r="AJ221" s="775">
        <f ca="1">SUMIF('Cap ngam'!$B$631:$G$723,kl!$B221,'Cap ngam'!$G$631:$G$723)</f>
        <v>0</v>
      </c>
      <c r="AK221" s="775" t="e">
        <f ca="1">SUMIF('Cap ngam'!$B$403:$G$628,kl!$B221,'Cap ngam'!G$403:G$628)</f>
        <v>#REF!</v>
      </c>
      <c r="AL221" s="775">
        <f ca="1">SUMIF('Cap ngam'!B$16:G$400,kl!$B221,'Cap ngam'!G$16:G$400)</f>
        <v>0</v>
      </c>
      <c r="AM221" s="776">
        <v>0.1</v>
      </c>
      <c r="AN221" s="775">
        <f t="shared" ca="1" si="133"/>
        <v>0</v>
      </c>
      <c r="AO221" s="775">
        <f t="shared" ca="1" si="134"/>
        <v>0</v>
      </c>
      <c r="AP221" s="775">
        <f t="shared" ca="1" si="135"/>
        <v>0</v>
      </c>
      <c r="AQ221" s="775">
        <f t="shared" ca="1" si="136"/>
        <v>0</v>
      </c>
      <c r="AR221" s="775">
        <f t="shared" ca="1" si="137"/>
        <v>0</v>
      </c>
      <c r="AS221" s="775">
        <f t="shared" ca="1" si="138"/>
        <v>0</v>
      </c>
      <c r="AT221" s="775">
        <f t="shared" ca="1" si="139"/>
        <v>0</v>
      </c>
      <c r="AU221" s="775">
        <f t="shared" ca="1" si="140"/>
        <v>0</v>
      </c>
      <c r="AV221" s="775">
        <f t="shared" ca="1" si="141"/>
        <v>0</v>
      </c>
      <c r="AW221" s="775">
        <f t="shared" ca="1" si="142"/>
        <v>0</v>
      </c>
      <c r="AX221" s="775">
        <f t="shared" si="143"/>
        <v>0</v>
      </c>
      <c r="AY221" s="775">
        <f t="shared" ca="1" si="144"/>
        <v>0</v>
      </c>
      <c r="AZ221" s="775">
        <f t="shared" si="145"/>
        <v>0</v>
      </c>
      <c r="BA221" s="775">
        <f t="shared" ca="1" si="126"/>
        <v>0</v>
      </c>
      <c r="BB221" s="775">
        <f t="shared" ca="1" si="127"/>
        <v>0</v>
      </c>
      <c r="BC221" s="775">
        <f t="shared" ca="1" si="128"/>
        <v>0</v>
      </c>
      <c r="BD221" s="775">
        <f t="shared" ca="1" si="129"/>
        <v>0</v>
      </c>
      <c r="BE221" s="775">
        <f t="shared" ca="1" si="130"/>
        <v>0</v>
      </c>
      <c r="BF221" s="775">
        <f t="shared" ca="1" si="131"/>
        <v>0</v>
      </c>
      <c r="BG221" s="775">
        <f t="shared" ca="1" si="132"/>
        <v>0</v>
      </c>
      <c r="BH221" s="775">
        <f t="shared" ca="1" si="146"/>
        <v>0</v>
      </c>
      <c r="BI221" s="775">
        <f t="shared" ca="1" si="147"/>
        <v>0</v>
      </c>
      <c r="BJ221" s="775">
        <f t="shared" ca="1" si="148"/>
        <v>0</v>
      </c>
      <c r="BK221" s="775">
        <f t="shared" ca="1" si="149"/>
        <v>0</v>
      </c>
      <c r="BL221" s="775">
        <f t="shared" ca="1" si="150"/>
        <v>0</v>
      </c>
      <c r="BM221" s="775">
        <f t="shared" ca="1" si="151"/>
        <v>0</v>
      </c>
      <c r="BN221" s="775">
        <f t="shared" ca="1" si="152"/>
        <v>0</v>
      </c>
      <c r="BO221" s="775">
        <f t="shared" ca="1" si="153"/>
        <v>0</v>
      </c>
      <c r="BP221" s="775" t="e">
        <f t="shared" ca="1" si="154"/>
        <v>#REF!</v>
      </c>
      <c r="BQ221" s="775">
        <f t="shared" ca="1" si="157"/>
        <v>0</v>
      </c>
      <c r="BR221" s="775">
        <f t="shared" ca="1" si="155"/>
        <v>0</v>
      </c>
    </row>
    <row r="222" spans="1:70">
      <c r="A222" s="767" t="str">
        <f ca="1">IF(F222&lt;&gt;0,"X","")</f>
        <v/>
      </c>
      <c r="B222" s="767" t="s">
        <v>4859</v>
      </c>
      <c r="C222" s="188" t="str">
        <f ca="1">IF(F222=0,"",COUNTIF($F$78:$F222,"&gt;0"))</f>
        <v/>
      </c>
      <c r="D222" s="778" t="str">
        <f>VLOOKUP($B222,dongia1,DG!$C$5,)</f>
        <v>Đầu cosse ép Cu 35mm2</v>
      </c>
      <c r="E222" s="555" t="str">
        <f>VLOOKUP($B222,dongia1,DG!$D$5,)</f>
        <v>cái</v>
      </c>
      <c r="F222" s="779">
        <f t="shared" ca="1" si="156"/>
        <v>0</v>
      </c>
      <c r="G222" s="775">
        <f ca="1">SUM(AC222:AL222)</f>
        <v>0</v>
      </c>
      <c r="H222" s="775">
        <f ca="1">SUMIF(CT_tram!$B$33:$G$3559,kl!B222,CT_tram!$G$33:$G$3559)</f>
        <v>0</v>
      </c>
      <c r="I222" s="775">
        <f ca="1">SUMIF(CT_tram!$B$34:$G$115,$B222,CT_tram!$G$34:$G$115)</f>
        <v>0</v>
      </c>
      <c r="J222" s="775">
        <f ca="1">SUMIF(CT_tram!$B$122:$G$204,$B222,CT_tram!$G$122:$G$204)</f>
        <v>0</v>
      </c>
      <c r="K222" s="775">
        <f ca="1">SUMIF(CT_tram!$B$211:$G$293,$B222,CT_tram!$G$211:$G$293)</f>
        <v>0</v>
      </c>
      <c r="L222" s="775">
        <f ca="1">SUMIF(CT_tram!$B$300:$G$374,$B222,CT_tram!$G$300:$G$374)</f>
        <v>0</v>
      </c>
      <c r="M222" s="775">
        <f ca="1">SUMIF(CT_tram!$B$381:$G$471,$B222,CT_tram!$G$381:$G$471)</f>
        <v>0</v>
      </c>
      <c r="N222" s="775">
        <f ca="1">SUMIF(CT_tram!$B$478:$G$560,$B222,CT_tram!$G$478:$G$560)</f>
        <v>0</v>
      </c>
      <c r="O222" s="775">
        <f ca="1">SUMIF(CT_tram!$B$567:$G$653,$B222,CT_tram!$G$567:$G$653)</f>
        <v>0</v>
      </c>
      <c r="P222" s="775">
        <f ca="1">SUMIF(CT_tram!$B$661:$G$738,$B222,CT_tram!$G$661:$G$738)</f>
        <v>0</v>
      </c>
      <c r="Q222" s="775">
        <f ca="1">SUMIF(CT_tram!$B$745:$G$899,$B222,CT_tram!$G$745:$G$899)</f>
        <v>0</v>
      </c>
      <c r="R222" s="775">
        <f ca="1">SUMIF(CT_tram!$B$907:$G$995,$B222,CT_tram!$G$907:$G$995)</f>
        <v>0</v>
      </c>
      <c r="S222" s="775"/>
      <c r="T222" s="775">
        <f ca="1">SUMIF(CT_tram!$B$1004:$G$1097,B222,CT_tram!$G$1004:$G$1097)</f>
        <v>0</v>
      </c>
      <c r="U222" s="775"/>
      <c r="V222" s="775">
        <f ca="1">SUMIF(CT_tram!$B$1226:$G$1352,kl!B222,CT_tram!$G$1226:$G$1352)</f>
        <v>0</v>
      </c>
      <c r="W222" s="780">
        <f ca="1">SUMIF(CT_tram!$B$1105:$G$1219,kl!B222,CT_tram!$G$1105:$G$1219)</f>
        <v>0</v>
      </c>
      <c r="X222" s="775">
        <f ca="1">SUMIF(CT_tram!$B$1359:$G$1504,kl!B222,CT_tram!$G$1359:$G$1504)</f>
        <v>0</v>
      </c>
      <c r="Y222" s="775">
        <f ca="1">SUMIF(CT_tram!$B$1511:$G$1625,kl!B222,CT_tram!$G$1511:$G$1625)</f>
        <v>0</v>
      </c>
      <c r="Z222" s="775">
        <f ca="1">SUMIF(CT_tram!$B$1632:$G$2211,kl!B222,CT_tram!$G$1632:$G$2211)</f>
        <v>0</v>
      </c>
      <c r="AA222" s="775">
        <f ca="1">SUMIF(CT_tram!$B$2243:$G$2384,kl!B222,CT_tram!$G$2243:$G$2384)</f>
        <v>0</v>
      </c>
      <c r="AB222" s="775">
        <f ca="1">SUMIF(CT_tram!$B$2391:$G$2563,kl!B222,CT_tram!$G$2391:$G$2563)</f>
        <v>0</v>
      </c>
      <c r="AC222" s="775">
        <f ca="1">SUMIF(chitiet!$B$13:$N$2352,kl!$B222,chitiet!$I$13:$I$2352)</f>
        <v>0</v>
      </c>
      <c r="AD222" s="775">
        <f ca="1">SUMIF(chitiet!$B$13:$N$2352,kl!$B222,chitiet!$J$13:$J$2352)</f>
        <v>0</v>
      </c>
      <c r="AE222" s="775">
        <f ca="1">SUMIF(chitiet!$B$13:$N$2352,kl!$B222,chitiet!$K$13:$K$2352)</f>
        <v>0</v>
      </c>
      <c r="AF222" s="775">
        <f ca="1">SUMIF(chitiet!$B$13:$N$2352,kl!$B222,chitiet!$L$13:$L$2352)</f>
        <v>0</v>
      </c>
      <c r="AG222" s="775">
        <f ca="1">SUMIF(chitiet!$B$13:$N$2352,kl!$B222,chitiet!$M$13)</f>
        <v>0</v>
      </c>
      <c r="AH222" s="775">
        <f ca="1">SUMIF(chitiet!$B$13:$N$2352,kl!$B222,chitiet!$N$13:$N$2352)</f>
        <v>0</v>
      </c>
      <c r="AI222" s="775">
        <f ca="1">SUMIF(chitiet!$B$13:$N$2352,kl!$B222,chitiet!$O$13:$O$2352)</f>
        <v>0</v>
      </c>
      <c r="AJ222" s="775">
        <f ca="1">SUMIF('Cap ngam'!$B$631:$G$723,kl!$B222,'Cap ngam'!$G$631:$G$723)</f>
        <v>0</v>
      </c>
      <c r="AK222" s="775">
        <f ca="1">SUMIF('Cap ngam'!$B$403:$G$628,kl!$B222,'Cap ngam'!G$403:G$628)</f>
        <v>0</v>
      </c>
      <c r="AL222" s="775">
        <f ca="1">SUMIF('Cap ngam'!B$16:G$400,kl!$B222,'Cap ngam'!G$16:G$400)</f>
        <v>0</v>
      </c>
      <c r="AM222" s="776">
        <v>0.1</v>
      </c>
      <c r="AN222" s="775">
        <f t="shared" ref="AN222:BP222" ca="1" si="159">I222*$AM222</f>
        <v>0</v>
      </c>
      <c r="AO222" s="775">
        <f t="shared" ca="1" si="159"/>
        <v>0</v>
      </c>
      <c r="AP222" s="775">
        <f t="shared" ca="1" si="159"/>
        <v>0</v>
      </c>
      <c r="AQ222" s="775">
        <f t="shared" ca="1" si="159"/>
        <v>0</v>
      </c>
      <c r="AR222" s="775">
        <f t="shared" ca="1" si="159"/>
        <v>0</v>
      </c>
      <c r="AS222" s="775">
        <f t="shared" ca="1" si="159"/>
        <v>0</v>
      </c>
      <c r="AT222" s="775">
        <f t="shared" ca="1" si="159"/>
        <v>0</v>
      </c>
      <c r="AU222" s="775">
        <f t="shared" ca="1" si="159"/>
        <v>0</v>
      </c>
      <c r="AV222" s="775">
        <f t="shared" ca="1" si="159"/>
        <v>0</v>
      </c>
      <c r="AW222" s="775">
        <f t="shared" ca="1" si="159"/>
        <v>0</v>
      </c>
      <c r="AX222" s="775">
        <f t="shared" si="159"/>
        <v>0</v>
      </c>
      <c r="AY222" s="775">
        <f t="shared" ca="1" si="159"/>
        <v>0</v>
      </c>
      <c r="AZ222" s="775">
        <f t="shared" si="159"/>
        <v>0</v>
      </c>
      <c r="BA222" s="775">
        <f t="shared" ca="1" si="159"/>
        <v>0</v>
      </c>
      <c r="BB222" s="775">
        <f t="shared" ca="1" si="159"/>
        <v>0</v>
      </c>
      <c r="BC222" s="775">
        <f t="shared" ca="1" si="159"/>
        <v>0</v>
      </c>
      <c r="BD222" s="775">
        <f t="shared" ca="1" si="159"/>
        <v>0</v>
      </c>
      <c r="BE222" s="775">
        <f t="shared" ca="1" si="159"/>
        <v>0</v>
      </c>
      <c r="BF222" s="775">
        <f t="shared" ca="1" si="159"/>
        <v>0</v>
      </c>
      <c r="BG222" s="775">
        <f t="shared" ca="1" si="159"/>
        <v>0</v>
      </c>
      <c r="BH222" s="775">
        <f t="shared" ca="1" si="159"/>
        <v>0</v>
      </c>
      <c r="BI222" s="775">
        <f t="shared" ca="1" si="159"/>
        <v>0</v>
      </c>
      <c r="BJ222" s="775">
        <f t="shared" ca="1" si="159"/>
        <v>0</v>
      </c>
      <c r="BK222" s="775">
        <f t="shared" ca="1" si="159"/>
        <v>0</v>
      </c>
      <c r="BL222" s="775">
        <f t="shared" ca="1" si="159"/>
        <v>0</v>
      </c>
      <c r="BM222" s="775">
        <f t="shared" ca="1" si="159"/>
        <v>0</v>
      </c>
      <c r="BN222" s="775">
        <f t="shared" ca="1" si="159"/>
        <v>0</v>
      </c>
      <c r="BO222" s="775">
        <f t="shared" ca="1" si="159"/>
        <v>0</v>
      </c>
      <c r="BP222" s="775">
        <f t="shared" ca="1" si="159"/>
        <v>0</v>
      </c>
      <c r="BQ222" s="775">
        <f t="shared" ca="1" si="157"/>
        <v>0</v>
      </c>
      <c r="BR222" s="775">
        <f t="shared" ca="1" si="155"/>
        <v>0</v>
      </c>
    </row>
    <row r="223" spans="1:70">
      <c r="A223" s="767" t="e">
        <f t="shared" ca="1" si="110"/>
        <v>#REF!</v>
      </c>
      <c r="B223" s="767" t="s">
        <v>42</v>
      </c>
      <c r="C223" s="188" t="e">
        <f ca="1">IF(F223=0,"",COUNTIF($F$78:$F223,"&gt;0"))</f>
        <v>#REF!</v>
      </c>
      <c r="D223" s="778" t="str">
        <f>VLOOKUP($B223,dongia1,DG!$C$5,)</f>
        <v>Đầu cosse ép Cu 50mm2</v>
      </c>
      <c r="E223" s="555" t="str">
        <f>VLOOKUP($B223,dongia1,DG!$D$5,)</f>
        <v>cái</v>
      </c>
      <c r="F223" s="779" t="e">
        <f t="shared" ref="F223:F228" ca="1" si="160">G223+H223</f>
        <v>#REF!</v>
      </c>
      <c r="G223" s="775" t="e">
        <f t="shared" ca="1" si="121"/>
        <v>#REF!</v>
      </c>
      <c r="H223" s="775">
        <f ca="1">SUMIF(CT_tram!$B$33:$G$3559,kl!B223,CT_tram!$G$33:$G$3559)</f>
        <v>0</v>
      </c>
      <c r="I223" s="775">
        <f ca="1">SUMIF(CT_tram!$B$34:$G$115,$B223,CT_tram!$G$34:$G$115)</f>
        <v>0</v>
      </c>
      <c r="J223" s="775">
        <f ca="1">SUMIF(CT_tram!$B$122:$G$204,$B223,CT_tram!$G$122:$G$204)</f>
        <v>0</v>
      </c>
      <c r="K223" s="775">
        <f ca="1">SUMIF(CT_tram!$B$211:$G$293,$B223,CT_tram!$G$211:$G$293)</f>
        <v>0</v>
      </c>
      <c r="L223" s="775">
        <f ca="1">SUMIF(CT_tram!$B$300:$G$374,$B223,CT_tram!$G$300:$G$374)</f>
        <v>0</v>
      </c>
      <c r="M223" s="775">
        <f ca="1">SUMIF(CT_tram!$B$381:$G$471,$B223,CT_tram!$G$381:$G$471)</f>
        <v>0</v>
      </c>
      <c r="N223" s="775">
        <f ca="1">SUMIF(CT_tram!$B$478:$G$560,$B223,CT_tram!$G$478:$G$560)</f>
        <v>0</v>
      </c>
      <c r="O223" s="775">
        <f ca="1">SUMIF(CT_tram!$B$567:$G$653,$B223,CT_tram!$G$567:$G$653)</f>
        <v>0</v>
      </c>
      <c r="P223" s="775">
        <f ca="1">SUMIF(CT_tram!$B$661:$G$738,$B223,CT_tram!$G$661:$G$738)</f>
        <v>0</v>
      </c>
      <c r="Q223" s="775">
        <f ca="1">SUMIF(CT_tram!$B$745:$G$899,$B223,CT_tram!$G$745:$G$899)</f>
        <v>0</v>
      </c>
      <c r="R223" s="775">
        <f ca="1">SUMIF(CT_tram!$B$907:$G$995,$B223,CT_tram!$G$907:$G$995)</f>
        <v>0</v>
      </c>
      <c r="S223" s="775"/>
      <c r="T223" s="775">
        <f ca="1">SUMIF(CT_tram!$B$1004:$G$1097,B223,CT_tram!$G$1004:$G$1097)</f>
        <v>0</v>
      </c>
      <c r="U223" s="775"/>
      <c r="V223" s="775">
        <f ca="1">SUMIF(CT_tram!$B$1226:$G$1352,kl!B223,CT_tram!$G$1226:$G$1352)</f>
        <v>0</v>
      </c>
      <c r="W223" s="780">
        <f ca="1">SUMIF(CT_tram!$B$1105:$G$1219,kl!B223,CT_tram!$G$1105:$G$1219)</f>
        <v>0</v>
      </c>
      <c r="X223" s="775">
        <f ca="1">SUMIF(CT_tram!$B$1359:$G$1504,kl!B223,CT_tram!$G$1359:$G$1504)</f>
        <v>0</v>
      </c>
      <c r="Y223" s="775">
        <f ca="1">SUMIF(CT_tram!$B$1511:$G$1625,kl!B223,CT_tram!$G$1511:$G$1625)</f>
        <v>0</v>
      </c>
      <c r="Z223" s="775">
        <f ca="1">SUMIF(CT_tram!$B$1632:$G$2211,kl!B223,CT_tram!$G$1632:$G$2211)</f>
        <v>0</v>
      </c>
      <c r="AA223" s="775">
        <f ca="1">SUMIF(CT_tram!$B$2243:$G$2384,kl!B223,CT_tram!$G$2243:$G$2384)</f>
        <v>0</v>
      </c>
      <c r="AB223" s="775">
        <f ca="1">SUMIF(CT_tram!$B$2391:$G$2563,kl!B223,CT_tram!$G$2391:$G$2563)</f>
        <v>0</v>
      </c>
      <c r="AC223" s="775">
        <f ca="1">SUMIF(chitiet!$B$13:$N$2352,kl!$B223,chitiet!$I$13:$I$2352)</f>
        <v>0</v>
      </c>
      <c r="AD223" s="775">
        <f ca="1">SUMIF(chitiet!$B$13:$N$2352,kl!$B223,chitiet!$J$13:$J$2352)</f>
        <v>0</v>
      </c>
      <c r="AE223" s="775">
        <f ca="1">SUMIF(chitiet!$B$13:$N$2352,kl!$B223,chitiet!$K$13:$K$2352)</f>
        <v>0</v>
      </c>
      <c r="AF223" s="775">
        <f ca="1">SUMIF(chitiet!$B$13:$N$2352,kl!$B223,chitiet!$L$13:$L$2352)</f>
        <v>0</v>
      </c>
      <c r="AG223" s="775">
        <f ca="1">SUMIF(chitiet!$B$13:$N$2352,kl!$B223,chitiet!$M$13)</f>
        <v>0</v>
      </c>
      <c r="AH223" s="775">
        <f ca="1">SUMIF(chitiet!$B$13:$N$2352,kl!$B223,chitiet!$N$13:$N$2352)</f>
        <v>0</v>
      </c>
      <c r="AI223" s="775">
        <f ca="1">SUMIF(chitiet!$B$13:$N$2352,kl!$B223,chitiet!$O$13:$O$2352)</f>
        <v>0</v>
      </c>
      <c r="AJ223" s="775">
        <f ca="1">SUMIF('Cap ngam'!$B$631:$G$723,kl!$B223,'Cap ngam'!$G$631:$G$723)</f>
        <v>0</v>
      </c>
      <c r="AK223" s="775" t="e">
        <f ca="1">SUMIF('Cap ngam'!$B$403:$G$628,kl!$B223,'Cap ngam'!G$403:G$628)</f>
        <v>#REF!</v>
      </c>
      <c r="AL223" s="775">
        <f ca="1">SUMIF('Cap ngam'!B$16:G$400,kl!$B223,'Cap ngam'!G$16:G$400)</f>
        <v>0</v>
      </c>
      <c r="AM223" s="776">
        <v>0.1</v>
      </c>
      <c r="AN223" s="775">
        <f t="shared" ca="1" si="133"/>
        <v>0</v>
      </c>
      <c r="AO223" s="775">
        <f t="shared" ca="1" si="134"/>
        <v>0</v>
      </c>
      <c r="AP223" s="775">
        <f t="shared" ca="1" si="135"/>
        <v>0</v>
      </c>
      <c r="AQ223" s="775">
        <f t="shared" ca="1" si="136"/>
        <v>0</v>
      </c>
      <c r="AR223" s="775">
        <f t="shared" ca="1" si="137"/>
        <v>0</v>
      </c>
      <c r="AS223" s="775">
        <f t="shared" ca="1" si="138"/>
        <v>0</v>
      </c>
      <c r="AT223" s="775">
        <f t="shared" ca="1" si="139"/>
        <v>0</v>
      </c>
      <c r="AU223" s="775">
        <f t="shared" ca="1" si="140"/>
        <v>0</v>
      </c>
      <c r="AV223" s="775">
        <f t="shared" ca="1" si="141"/>
        <v>0</v>
      </c>
      <c r="AW223" s="775">
        <f t="shared" ca="1" si="142"/>
        <v>0</v>
      </c>
      <c r="AX223" s="775">
        <f t="shared" si="143"/>
        <v>0</v>
      </c>
      <c r="AY223" s="775">
        <f t="shared" ca="1" si="144"/>
        <v>0</v>
      </c>
      <c r="AZ223" s="775">
        <f t="shared" si="145"/>
        <v>0</v>
      </c>
      <c r="BA223" s="775">
        <f t="shared" ca="1" si="126"/>
        <v>0</v>
      </c>
      <c r="BB223" s="775">
        <f t="shared" ca="1" si="127"/>
        <v>0</v>
      </c>
      <c r="BC223" s="775">
        <f t="shared" ca="1" si="128"/>
        <v>0</v>
      </c>
      <c r="BD223" s="775">
        <f t="shared" ca="1" si="129"/>
        <v>0</v>
      </c>
      <c r="BE223" s="775">
        <f t="shared" ca="1" si="130"/>
        <v>0</v>
      </c>
      <c r="BF223" s="775">
        <f t="shared" ca="1" si="131"/>
        <v>0</v>
      </c>
      <c r="BG223" s="775">
        <f t="shared" ca="1" si="132"/>
        <v>0</v>
      </c>
      <c r="BH223" s="775">
        <f t="shared" ca="1" si="146"/>
        <v>0</v>
      </c>
      <c r="BI223" s="775">
        <f t="shared" ca="1" si="147"/>
        <v>0</v>
      </c>
      <c r="BJ223" s="775">
        <f t="shared" ca="1" si="148"/>
        <v>0</v>
      </c>
      <c r="BK223" s="775">
        <f t="shared" ca="1" si="149"/>
        <v>0</v>
      </c>
      <c r="BL223" s="775">
        <f t="shared" ca="1" si="150"/>
        <v>0</v>
      </c>
      <c r="BM223" s="775">
        <f t="shared" ca="1" si="151"/>
        <v>0</v>
      </c>
      <c r="BN223" s="775">
        <f t="shared" ca="1" si="152"/>
        <v>0</v>
      </c>
      <c r="BO223" s="775">
        <f t="shared" ca="1" si="153"/>
        <v>0</v>
      </c>
      <c r="BP223" s="775" t="e">
        <f t="shared" ca="1" si="154"/>
        <v>#REF!</v>
      </c>
      <c r="BQ223" s="775">
        <f t="shared" ca="1" si="157"/>
        <v>0</v>
      </c>
      <c r="BR223" s="775">
        <f t="shared" ca="1" si="155"/>
        <v>0</v>
      </c>
    </row>
    <row r="224" spans="1:70">
      <c r="A224" s="767" t="e">
        <f t="shared" ca="1" si="110"/>
        <v>#REF!</v>
      </c>
      <c r="B224" s="767" t="s">
        <v>43</v>
      </c>
      <c r="C224" s="188" t="e">
        <f ca="1">IF(F224=0,"",COUNTIF($F$78:$F224,"&gt;0"))</f>
        <v>#REF!</v>
      </c>
      <c r="D224" s="778" t="str">
        <f>VLOOKUP($B224,dongia1,DG!$C$5,)</f>
        <v>Đầu cosse ép Cu 70mm2</v>
      </c>
      <c r="E224" s="555" t="str">
        <f>VLOOKUP($B224,dongia1,DG!$D$5,)</f>
        <v>cái</v>
      </c>
      <c r="F224" s="975" t="e">
        <f t="shared" ca="1" si="160"/>
        <v>#REF!</v>
      </c>
      <c r="G224" s="976" t="e">
        <f t="shared" ca="1" si="121"/>
        <v>#REF!</v>
      </c>
      <c r="H224" s="976">
        <f ca="1">SUMIF(CT_tram!$B$33:$G$3559,kl!B224,CT_tram!$G$33:$G$3559)</f>
        <v>0</v>
      </c>
      <c r="I224" s="775">
        <f ca="1">SUMIF(CT_tram!$B$34:$G$115,$B224,CT_tram!$G$34:$G$115)</f>
        <v>0</v>
      </c>
      <c r="J224" s="775">
        <f ca="1">SUMIF(CT_tram!$B$122:$G$204,$B224,CT_tram!$G$122:$G$204)</f>
        <v>0</v>
      </c>
      <c r="K224" s="775">
        <f ca="1">SUMIF(CT_tram!$B$211:$G$293,$B224,CT_tram!$G$211:$G$293)</f>
        <v>0</v>
      </c>
      <c r="L224" s="775">
        <f ca="1">SUMIF(CT_tram!$B$300:$G$374,$B224,CT_tram!$G$300:$G$374)</f>
        <v>0</v>
      </c>
      <c r="M224" s="775">
        <f ca="1">SUMIF(CT_tram!$B$381:$G$471,$B224,CT_tram!$G$381:$G$471)</f>
        <v>0</v>
      </c>
      <c r="N224" s="775">
        <f ca="1">SUMIF(CT_tram!$B$478:$G$560,$B224,CT_tram!$G$478:$G$560)</f>
        <v>0</v>
      </c>
      <c r="O224" s="775">
        <f ca="1">SUMIF(CT_tram!$B$567:$G$653,$B224,CT_tram!$G$567:$G$653)</f>
        <v>0</v>
      </c>
      <c r="P224" s="775">
        <f ca="1">SUMIF(CT_tram!$B$661:$G$738,$B224,CT_tram!$G$661:$G$738)</f>
        <v>0</v>
      </c>
      <c r="Q224" s="775">
        <f ca="1">SUMIF(CT_tram!$B$745:$G$899,$B224,CT_tram!$G$745:$G$899)</f>
        <v>0</v>
      </c>
      <c r="R224" s="775">
        <f ca="1">SUMIF(CT_tram!$B$907:$G$995,$B224,CT_tram!$G$907:$G$995)</f>
        <v>0</v>
      </c>
      <c r="S224" s="775"/>
      <c r="T224" s="775">
        <f ca="1">SUMIF(CT_tram!$B$1004:$G$1097,B224,CT_tram!$G$1004:$G$1097)</f>
        <v>0</v>
      </c>
      <c r="U224" s="775"/>
      <c r="V224" s="775">
        <f ca="1">SUMIF(CT_tram!$B$1226:$G$1352,kl!B224,CT_tram!$G$1226:$G$1352)</f>
        <v>0</v>
      </c>
      <c r="W224" s="780">
        <f ca="1">SUMIF(CT_tram!$B$1105:$G$1219,kl!B224,CT_tram!$G$1105:$G$1219)</f>
        <v>0</v>
      </c>
      <c r="X224" s="775">
        <f ca="1">SUMIF(CT_tram!$B$1359:$G$1504,kl!B224,CT_tram!$G$1359:$G$1504)</f>
        <v>0</v>
      </c>
      <c r="Y224" s="775">
        <f ca="1">SUMIF(CT_tram!$B$1511:$G$1625,kl!B224,CT_tram!$G$1511:$G$1625)</f>
        <v>0</v>
      </c>
      <c r="Z224" s="775">
        <f ca="1">SUMIF(CT_tram!$B$1632:$G$2211,kl!B224,CT_tram!$G$1632:$G$2211)</f>
        <v>0</v>
      </c>
      <c r="AA224" s="775">
        <f ca="1">SUMIF(CT_tram!$B$2243:$G$2384,kl!B224,CT_tram!$G$2243:$G$2384)</f>
        <v>0</v>
      </c>
      <c r="AB224" s="775">
        <f ca="1">SUMIF(CT_tram!$B$2391:$G$2563,kl!B224,CT_tram!$G$2391:$G$2563)</f>
        <v>0</v>
      </c>
      <c r="AC224" s="775">
        <f ca="1">SUMIF(chitiet!$B$13:$N$2352,kl!$B224,chitiet!$I$13:$I$2352)</f>
        <v>0</v>
      </c>
      <c r="AD224" s="775">
        <f ca="1">SUMIF(chitiet!$B$13:$N$2352,kl!$B224,chitiet!$J$13:$J$2352)</f>
        <v>0</v>
      </c>
      <c r="AE224" s="775">
        <f ca="1">SUMIF(chitiet!$B$13:$N$2352,kl!$B224,chitiet!$K$13:$K$2352)</f>
        <v>0</v>
      </c>
      <c r="AF224" s="775">
        <f ca="1">SUMIF(chitiet!$B$13:$N$2352,kl!$B224,chitiet!$L$13:$L$2352)</f>
        <v>0</v>
      </c>
      <c r="AG224" s="775">
        <f ca="1">SUMIF(chitiet!$B$13:$N$2352,kl!$B224,chitiet!$M$13)</f>
        <v>0</v>
      </c>
      <c r="AH224" s="775">
        <f ca="1">SUMIF(chitiet!$B$13:$N$2352,kl!$B224,chitiet!$N$13:$N$2352)</f>
        <v>0</v>
      </c>
      <c r="AI224" s="775">
        <f ca="1">SUMIF(chitiet!$B$13:$N$2352,kl!$B224,chitiet!$O$13:$O$2352)</f>
        <v>0</v>
      </c>
      <c r="AJ224" s="775">
        <f ca="1">SUMIF('Cap ngam'!$B$631:$G$723,kl!$B224,'Cap ngam'!$G$631:$G$723)</f>
        <v>0</v>
      </c>
      <c r="AK224" s="775" t="e">
        <f ca="1">SUMIF('Cap ngam'!$B$403:$G$628,kl!$B224,'Cap ngam'!G$403:G$628)</f>
        <v>#REF!</v>
      </c>
      <c r="AL224" s="775">
        <f ca="1">SUMIF('Cap ngam'!B$16:G$400,kl!$B224,'Cap ngam'!G$16:G$400)</f>
        <v>0</v>
      </c>
      <c r="AM224" s="776">
        <v>0.1</v>
      </c>
      <c r="AN224" s="775">
        <f t="shared" ca="1" si="133"/>
        <v>0</v>
      </c>
      <c r="AO224" s="775">
        <f t="shared" ca="1" si="134"/>
        <v>0</v>
      </c>
      <c r="AP224" s="775">
        <f t="shared" ca="1" si="135"/>
        <v>0</v>
      </c>
      <c r="AQ224" s="775">
        <f t="shared" ca="1" si="136"/>
        <v>0</v>
      </c>
      <c r="AR224" s="775">
        <f t="shared" ca="1" si="137"/>
        <v>0</v>
      </c>
      <c r="AS224" s="775">
        <f t="shared" ca="1" si="138"/>
        <v>0</v>
      </c>
      <c r="AT224" s="775">
        <f t="shared" ca="1" si="139"/>
        <v>0</v>
      </c>
      <c r="AU224" s="775">
        <f t="shared" ca="1" si="140"/>
        <v>0</v>
      </c>
      <c r="AV224" s="775">
        <f t="shared" ca="1" si="141"/>
        <v>0</v>
      </c>
      <c r="AW224" s="775">
        <f t="shared" ca="1" si="142"/>
        <v>0</v>
      </c>
      <c r="AX224" s="775">
        <f t="shared" si="143"/>
        <v>0</v>
      </c>
      <c r="AY224" s="775">
        <f t="shared" ca="1" si="144"/>
        <v>0</v>
      </c>
      <c r="AZ224" s="775">
        <f t="shared" si="145"/>
        <v>0</v>
      </c>
      <c r="BA224" s="775">
        <f t="shared" ca="1" si="126"/>
        <v>0</v>
      </c>
      <c r="BB224" s="775">
        <f t="shared" ca="1" si="127"/>
        <v>0</v>
      </c>
      <c r="BC224" s="775">
        <f t="shared" ca="1" si="128"/>
        <v>0</v>
      </c>
      <c r="BD224" s="775">
        <f t="shared" ca="1" si="129"/>
        <v>0</v>
      </c>
      <c r="BE224" s="775">
        <f t="shared" ca="1" si="130"/>
        <v>0</v>
      </c>
      <c r="BF224" s="775">
        <f t="shared" ca="1" si="131"/>
        <v>0</v>
      </c>
      <c r="BG224" s="775">
        <f t="shared" ca="1" si="132"/>
        <v>0</v>
      </c>
      <c r="BH224" s="775">
        <f t="shared" ca="1" si="146"/>
        <v>0</v>
      </c>
      <c r="BI224" s="775">
        <f t="shared" ca="1" si="147"/>
        <v>0</v>
      </c>
      <c r="BJ224" s="775">
        <f t="shared" ca="1" si="148"/>
        <v>0</v>
      </c>
      <c r="BK224" s="775">
        <f t="shared" ca="1" si="149"/>
        <v>0</v>
      </c>
      <c r="BL224" s="775">
        <f t="shared" ca="1" si="150"/>
        <v>0</v>
      </c>
      <c r="BM224" s="775">
        <f t="shared" ca="1" si="151"/>
        <v>0</v>
      </c>
      <c r="BN224" s="775">
        <f t="shared" ca="1" si="152"/>
        <v>0</v>
      </c>
      <c r="BO224" s="775">
        <f t="shared" ca="1" si="153"/>
        <v>0</v>
      </c>
      <c r="BP224" s="775" t="e">
        <f t="shared" ca="1" si="154"/>
        <v>#REF!</v>
      </c>
      <c r="BQ224" s="775">
        <f t="shared" ca="1" si="157"/>
        <v>0</v>
      </c>
      <c r="BR224" s="775">
        <f t="shared" ca="1" si="155"/>
        <v>0</v>
      </c>
    </row>
    <row r="225" spans="1:73">
      <c r="A225" s="767" t="e">
        <f t="shared" ca="1" si="110"/>
        <v>#REF!</v>
      </c>
      <c r="B225" s="767" t="s">
        <v>44</v>
      </c>
      <c r="C225" s="188" t="e">
        <f ca="1">IF(F225=0,"",COUNTIF($F$78:$F225,"&gt;0"))</f>
        <v>#REF!</v>
      </c>
      <c r="D225" s="778" t="str">
        <f>VLOOKUP($B225,dongia1,DG!$C$5,)</f>
        <v>Đầu cosse ép Cu 95mm2</v>
      </c>
      <c r="E225" s="555" t="str">
        <f>VLOOKUP($B225,dongia1,DG!$D$5,)</f>
        <v>cái</v>
      </c>
      <c r="F225" s="975" t="e">
        <f t="shared" ca="1" si="160"/>
        <v>#REF!</v>
      </c>
      <c r="G225" s="976" t="e">
        <f t="shared" ca="1" si="121"/>
        <v>#REF!</v>
      </c>
      <c r="H225" s="976">
        <f ca="1">SUMIF(CT_tram!$B$33:$G$3559,kl!B225,CT_tram!$G$33:$G$3559)</f>
        <v>0</v>
      </c>
      <c r="I225" s="775">
        <f ca="1">SUMIF(CT_tram!$B$34:$G$115,$B225,CT_tram!$G$34:$G$115)</f>
        <v>0</v>
      </c>
      <c r="J225" s="775">
        <f ca="1">SUMIF(CT_tram!$B$122:$G$204,$B225,CT_tram!$G$122:$G$204)</f>
        <v>0</v>
      </c>
      <c r="K225" s="775">
        <f ca="1">SUMIF(CT_tram!$B$211:$G$293,$B225,CT_tram!$G$211:$G$293)</f>
        <v>0</v>
      </c>
      <c r="L225" s="775">
        <f ca="1">SUMIF(CT_tram!$B$300:$G$374,$B225,CT_tram!$G$300:$G$374)</f>
        <v>0</v>
      </c>
      <c r="M225" s="775">
        <f ca="1">SUMIF(CT_tram!$B$381:$G$471,$B225,CT_tram!$G$381:$G$471)</f>
        <v>0</v>
      </c>
      <c r="N225" s="775">
        <f ca="1">SUMIF(CT_tram!$B$478:$G$560,$B225,CT_tram!$G$478:$G$560)</f>
        <v>0</v>
      </c>
      <c r="O225" s="775">
        <f ca="1">SUMIF(CT_tram!$B$567:$G$653,$B225,CT_tram!$G$567:$G$653)</f>
        <v>0</v>
      </c>
      <c r="P225" s="775">
        <f ca="1">SUMIF(CT_tram!$B$661:$G$738,$B225,CT_tram!$G$661:$G$738)</f>
        <v>0</v>
      </c>
      <c r="Q225" s="775">
        <f ca="1">SUMIF(CT_tram!$B$745:$G$899,$B225,CT_tram!$G$745:$G$899)</f>
        <v>0</v>
      </c>
      <c r="R225" s="775">
        <f ca="1">SUMIF(CT_tram!$B$907:$G$995,$B225,CT_tram!$G$907:$G$995)</f>
        <v>0</v>
      </c>
      <c r="S225" s="775"/>
      <c r="T225" s="775">
        <f ca="1">SUMIF(CT_tram!$B$1004:$G$1097,B225,CT_tram!$G$1004:$G$1097)</f>
        <v>0</v>
      </c>
      <c r="U225" s="775"/>
      <c r="V225" s="775">
        <f ca="1">SUMIF(CT_tram!$B$1226:$G$1352,kl!B225,CT_tram!$G$1226:$G$1352)</f>
        <v>0</v>
      </c>
      <c r="W225" s="780">
        <f ca="1">SUMIF(CT_tram!$B$1105:$G$1219,kl!B225,CT_tram!$G$1105:$G$1219)</f>
        <v>0</v>
      </c>
      <c r="X225" s="775">
        <f ca="1">SUMIF(CT_tram!$B$1359:$G$1504,kl!B225,CT_tram!$G$1359:$G$1504)</f>
        <v>0</v>
      </c>
      <c r="Y225" s="775">
        <f ca="1">SUMIF(CT_tram!$B$1511:$G$1625,kl!B225,CT_tram!$G$1511:$G$1625)</f>
        <v>0</v>
      </c>
      <c r="Z225" s="775">
        <f ca="1">SUMIF(CT_tram!$B$1632:$G$2211,kl!B225,CT_tram!$G$1632:$G$2211)</f>
        <v>0</v>
      </c>
      <c r="AA225" s="775">
        <f ca="1">SUMIF(CT_tram!$B$2243:$G$2384,kl!B225,CT_tram!$G$2243:$G$2384)</f>
        <v>0</v>
      </c>
      <c r="AB225" s="775">
        <f ca="1">SUMIF(CT_tram!$B$2391:$G$2563,kl!B225,CT_tram!$G$2391:$G$2563)</f>
        <v>0</v>
      </c>
      <c r="AC225" s="775">
        <f ca="1">SUMIF(chitiet!$B$13:$N$2352,kl!$B225,chitiet!$I$13:$I$2352)</f>
        <v>0</v>
      </c>
      <c r="AD225" s="775">
        <f ca="1">SUMIF(chitiet!$B$13:$N$2352,kl!$B225,chitiet!$J$13:$J$2352)</f>
        <v>0</v>
      </c>
      <c r="AE225" s="775">
        <f ca="1">SUMIF(chitiet!$B$13:$N$2352,kl!$B225,chitiet!$K$13:$K$2352)</f>
        <v>0</v>
      </c>
      <c r="AF225" s="775">
        <f ca="1">SUMIF(chitiet!$B$13:$N$2352,kl!$B225,chitiet!$L$13:$L$2352)</f>
        <v>0</v>
      </c>
      <c r="AG225" s="775">
        <f ca="1">SUMIF(chitiet!$B$13:$N$2352,kl!$B225,chitiet!$M$13)</f>
        <v>0</v>
      </c>
      <c r="AH225" s="775">
        <f ca="1">SUMIF(chitiet!$B$13:$N$2352,kl!$B225,chitiet!$N$13:$N$2352)</f>
        <v>0</v>
      </c>
      <c r="AI225" s="775">
        <f ca="1">SUMIF(chitiet!$B$13:$N$2352,kl!$B225,chitiet!$O$13:$O$2352)</f>
        <v>0</v>
      </c>
      <c r="AJ225" s="775">
        <f ca="1">SUMIF('Cap ngam'!$B$631:$G$723,kl!$B225,'Cap ngam'!$G$631:$G$723)</f>
        <v>0</v>
      </c>
      <c r="AK225" s="775" t="e">
        <f ca="1">SUMIF('Cap ngam'!$B$403:$G$628,kl!$B225,'Cap ngam'!G$403:G$628)</f>
        <v>#REF!</v>
      </c>
      <c r="AL225" s="775">
        <f ca="1">SUMIF('Cap ngam'!B$16:G$400,kl!$B225,'Cap ngam'!G$16:G$400)</f>
        <v>0</v>
      </c>
      <c r="AM225" s="776">
        <v>0.2</v>
      </c>
      <c r="AN225" s="775">
        <f t="shared" ca="1" si="133"/>
        <v>0</v>
      </c>
      <c r="AO225" s="775">
        <f t="shared" ca="1" si="134"/>
        <v>0</v>
      </c>
      <c r="AP225" s="775">
        <f t="shared" ca="1" si="135"/>
        <v>0</v>
      </c>
      <c r="AQ225" s="775">
        <f t="shared" ca="1" si="136"/>
        <v>0</v>
      </c>
      <c r="AR225" s="775">
        <f t="shared" ca="1" si="137"/>
        <v>0</v>
      </c>
      <c r="AS225" s="775">
        <f t="shared" ca="1" si="138"/>
        <v>0</v>
      </c>
      <c r="AT225" s="775">
        <f t="shared" ca="1" si="139"/>
        <v>0</v>
      </c>
      <c r="AU225" s="775">
        <f t="shared" ca="1" si="140"/>
        <v>0</v>
      </c>
      <c r="AV225" s="775">
        <f t="shared" ca="1" si="141"/>
        <v>0</v>
      </c>
      <c r="AW225" s="775">
        <f t="shared" ca="1" si="142"/>
        <v>0</v>
      </c>
      <c r="AX225" s="775">
        <f t="shared" si="143"/>
        <v>0</v>
      </c>
      <c r="AY225" s="775">
        <f t="shared" ca="1" si="144"/>
        <v>0</v>
      </c>
      <c r="AZ225" s="775">
        <f t="shared" si="145"/>
        <v>0</v>
      </c>
      <c r="BA225" s="775">
        <f t="shared" ca="1" si="126"/>
        <v>0</v>
      </c>
      <c r="BB225" s="775">
        <f t="shared" ca="1" si="127"/>
        <v>0</v>
      </c>
      <c r="BC225" s="775">
        <f t="shared" ca="1" si="128"/>
        <v>0</v>
      </c>
      <c r="BD225" s="775">
        <f t="shared" ca="1" si="129"/>
        <v>0</v>
      </c>
      <c r="BE225" s="775">
        <f t="shared" ca="1" si="130"/>
        <v>0</v>
      </c>
      <c r="BF225" s="775">
        <f t="shared" ca="1" si="131"/>
        <v>0</v>
      </c>
      <c r="BG225" s="775">
        <f t="shared" ca="1" si="132"/>
        <v>0</v>
      </c>
      <c r="BH225" s="775">
        <f t="shared" ca="1" si="146"/>
        <v>0</v>
      </c>
      <c r="BI225" s="775">
        <f t="shared" ca="1" si="147"/>
        <v>0</v>
      </c>
      <c r="BJ225" s="775">
        <f t="shared" ca="1" si="148"/>
        <v>0</v>
      </c>
      <c r="BK225" s="775">
        <f t="shared" ca="1" si="149"/>
        <v>0</v>
      </c>
      <c r="BL225" s="775">
        <f t="shared" ca="1" si="150"/>
        <v>0</v>
      </c>
      <c r="BM225" s="775">
        <f t="shared" ca="1" si="151"/>
        <v>0</v>
      </c>
      <c r="BN225" s="775">
        <f t="shared" ca="1" si="152"/>
        <v>0</v>
      </c>
      <c r="BO225" s="775">
        <f t="shared" ca="1" si="153"/>
        <v>0</v>
      </c>
      <c r="BP225" s="775" t="e">
        <f t="shared" ca="1" si="154"/>
        <v>#REF!</v>
      </c>
      <c r="BQ225" s="775">
        <f t="shared" ca="1" si="157"/>
        <v>0</v>
      </c>
      <c r="BR225" s="775">
        <f t="shared" ca="1" si="155"/>
        <v>0</v>
      </c>
    </row>
    <row r="226" spans="1:73">
      <c r="A226" s="767" t="e">
        <f t="shared" ca="1" si="110"/>
        <v>#REF!</v>
      </c>
      <c r="B226" s="767" t="s">
        <v>264</v>
      </c>
      <c r="C226" s="188" t="e">
        <f ca="1">IF(F226=0,"",COUNTIF($F$78:$F226,"&gt;0"))</f>
        <v>#REF!</v>
      </c>
      <c r="D226" s="778" t="str">
        <f>VLOOKUP($B226,dongia1,DG!$C$5,)</f>
        <v>Đầu cosse ép Cu 120mm2</v>
      </c>
      <c r="E226" s="555" t="str">
        <f>VLOOKUP($B226,dongia1,DG!$D$5,)</f>
        <v>cái</v>
      </c>
      <c r="F226" s="975" t="e">
        <f t="shared" ca="1" si="160"/>
        <v>#REF!</v>
      </c>
      <c r="G226" s="976" t="e">
        <f t="shared" ca="1" si="121"/>
        <v>#REF!</v>
      </c>
      <c r="H226" s="976">
        <f ca="1">SUMIF(CT_tram!$B$33:$G$3559,kl!B226,CT_tram!$G$33:$G$3559)</f>
        <v>0</v>
      </c>
      <c r="I226" s="775">
        <f ca="1">SUMIF(CT_tram!$B$34:$G$115,$B226,CT_tram!$G$34:$G$115)</f>
        <v>0</v>
      </c>
      <c r="J226" s="775">
        <f ca="1">SUMIF(CT_tram!$B$122:$G$204,$B226,CT_tram!$G$122:$G$204)</f>
        <v>0</v>
      </c>
      <c r="K226" s="775">
        <f ca="1">SUMIF(CT_tram!$B$211:$G$293,$B226,CT_tram!$G$211:$G$293)</f>
        <v>0</v>
      </c>
      <c r="L226" s="775">
        <f ca="1">SUMIF(CT_tram!$B$300:$G$374,$B226,CT_tram!$G$300:$G$374)</f>
        <v>0</v>
      </c>
      <c r="M226" s="775">
        <f ca="1">SUMIF(CT_tram!$B$381:$G$471,$B226,CT_tram!$G$381:$G$471)</f>
        <v>0</v>
      </c>
      <c r="N226" s="775">
        <f ca="1">SUMIF(CT_tram!$B$478:$G$560,$B226,CT_tram!$G$478:$G$560)</f>
        <v>0</v>
      </c>
      <c r="O226" s="775">
        <f ca="1">SUMIF(CT_tram!$B$567:$G$653,$B226,CT_tram!$G$567:$G$653)</f>
        <v>0</v>
      </c>
      <c r="P226" s="775">
        <f ca="1">SUMIF(CT_tram!$B$661:$G$738,$B226,CT_tram!$G$661:$G$738)</f>
        <v>0</v>
      </c>
      <c r="Q226" s="775">
        <f ca="1">SUMIF(CT_tram!$B$745:$G$899,$B226,CT_tram!$G$745:$G$899)</f>
        <v>0</v>
      </c>
      <c r="R226" s="775">
        <f ca="1">SUMIF(CT_tram!$B$907:$G$995,$B226,CT_tram!$G$907:$G$995)</f>
        <v>0</v>
      </c>
      <c r="S226" s="775"/>
      <c r="T226" s="775">
        <f ca="1">SUMIF(CT_tram!$B$1004:$G$1097,B226,CT_tram!$G$1004:$G$1097)</f>
        <v>0</v>
      </c>
      <c r="U226" s="775"/>
      <c r="V226" s="775">
        <f ca="1">SUMIF(CT_tram!$B$1226:$G$1352,kl!B226,CT_tram!$G$1226:$G$1352)</f>
        <v>0</v>
      </c>
      <c r="W226" s="780">
        <f ca="1">SUMIF(CT_tram!$B$1105:$G$1219,kl!B226,CT_tram!$G$1105:$G$1219)</f>
        <v>0</v>
      </c>
      <c r="X226" s="775">
        <f ca="1">SUMIF(CT_tram!$B$1359:$G$1504,kl!B226,CT_tram!$G$1359:$G$1504)</f>
        <v>0</v>
      </c>
      <c r="Y226" s="775">
        <f ca="1">SUMIF(CT_tram!$B$1511:$G$1625,kl!B226,CT_tram!$G$1511:$G$1625)</f>
        <v>0</v>
      </c>
      <c r="Z226" s="775">
        <f ca="1">SUMIF(CT_tram!$B$1632:$G$2211,kl!B226,CT_tram!$G$1632:$G$2211)</f>
        <v>0</v>
      </c>
      <c r="AA226" s="775">
        <f ca="1">SUMIF(CT_tram!$B$2243:$G$2384,kl!B226,CT_tram!$G$2243:$G$2384)</f>
        <v>0</v>
      </c>
      <c r="AB226" s="775">
        <f ca="1">SUMIF(CT_tram!$B$2391:$G$2563,kl!B226,CT_tram!$G$2391:$G$2563)</f>
        <v>0</v>
      </c>
      <c r="AC226" s="775">
        <f ca="1">SUMIF(chitiet!$B$13:$N$2352,kl!$B226,chitiet!$I$13:$I$2352)</f>
        <v>0</v>
      </c>
      <c r="AD226" s="775">
        <f ca="1">SUMIF(chitiet!$B$13:$N$2352,kl!$B226,chitiet!$J$13:$J$2352)</f>
        <v>0</v>
      </c>
      <c r="AE226" s="775">
        <f ca="1">SUMIF(chitiet!$B$13:$N$2352,kl!$B226,chitiet!$K$13:$K$2352)</f>
        <v>0</v>
      </c>
      <c r="AF226" s="775">
        <f ca="1">SUMIF(chitiet!$B$13:$N$2352,kl!$B226,chitiet!$L$13:$L$2352)</f>
        <v>0</v>
      </c>
      <c r="AG226" s="775">
        <f ca="1">SUMIF(chitiet!$B$13:$N$2352,kl!$B226,chitiet!$M$13)</f>
        <v>0</v>
      </c>
      <c r="AH226" s="775">
        <f ca="1">SUMIF(chitiet!$B$13:$N$2352,kl!$B226,chitiet!$N$13:$N$2352)</f>
        <v>0</v>
      </c>
      <c r="AI226" s="775">
        <f ca="1">SUMIF(chitiet!$B$13:$N$2352,kl!$B226,chitiet!$O$13:$O$2352)</f>
        <v>0</v>
      </c>
      <c r="AJ226" s="775">
        <f ca="1">SUMIF('Cap ngam'!$B$631:$G$723,kl!$B226,'Cap ngam'!$G$631:$G$723)</f>
        <v>0</v>
      </c>
      <c r="AK226" s="775" t="e">
        <f ca="1">SUMIF('Cap ngam'!$B$403:$G$628,kl!$B226,'Cap ngam'!G$403:G$628)</f>
        <v>#REF!</v>
      </c>
      <c r="AL226" s="775">
        <f ca="1">SUMIF('Cap ngam'!B$16:G$400,kl!$B226,'Cap ngam'!G$16:G$400)</f>
        <v>0</v>
      </c>
      <c r="AM226" s="776">
        <v>0.2</v>
      </c>
      <c r="AN226" s="775">
        <f t="shared" ca="1" si="133"/>
        <v>0</v>
      </c>
      <c r="AO226" s="775">
        <f t="shared" ca="1" si="134"/>
        <v>0</v>
      </c>
      <c r="AP226" s="775">
        <f t="shared" ca="1" si="135"/>
        <v>0</v>
      </c>
      <c r="AQ226" s="775">
        <f t="shared" ca="1" si="136"/>
        <v>0</v>
      </c>
      <c r="AR226" s="775">
        <f t="shared" ca="1" si="137"/>
        <v>0</v>
      </c>
      <c r="AS226" s="775">
        <f t="shared" ca="1" si="138"/>
        <v>0</v>
      </c>
      <c r="AT226" s="775">
        <f t="shared" ca="1" si="139"/>
        <v>0</v>
      </c>
      <c r="AU226" s="775">
        <f t="shared" ca="1" si="140"/>
        <v>0</v>
      </c>
      <c r="AV226" s="775">
        <f t="shared" ca="1" si="141"/>
        <v>0</v>
      </c>
      <c r="AW226" s="775">
        <f t="shared" ca="1" si="142"/>
        <v>0</v>
      </c>
      <c r="AX226" s="775">
        <f t="shared" si="143"/>
        <v>0</v>
      </c>
      <c r="AY226" s="775">
        <f t="shared" ca="1" si="144"/>
        <v>0</v>
      </c>
      <c r="AZ226" s="775">
        <f t="shared" si="145"/>
        <v>0</v>
      </c>
      <c r="BA226" s="775">
        <f t="shared" ca="1" si="126"/>
        <v>0</v>
      </c>
      <c r="BB226" s="775">
        <f t="shared" ca="1" si="127"/>
        <v>0</v>
      </c>
      <c r="BC226" s="775">
        <f t="shared" ca="1" si="128"/>
        <v>0</v>
      </c>
      <c r="BD226" s="775">
        <f t="shared" ca="1" si="129"/>
        <v>0</v>
      </c>
      <c r="BE226" s="775">
        <f t="shared" ca="1" si="130"/>
        <v>0</v>
      </c>
      <c r="BF226" s="775">
        <f t="shared" ca="1" si="131"/>
        <v>0</v>
      </c>
      <c r="BG226" s="775">
        <f t="shared" ca="1" si="132"/>
        <v>0</v>
      </c>
      <c r="BH226" s="775">
        <f t="shared" ca="1" si="146"/>
        <v>0</v>
      </c>
      <c r="BI226" s="775">
        <f t="shared" ca="1" si="147"/>
        <v>0</v>
      </c>
      <c r="BJ226" s="775">
        <f t="shared" ca="1" si="148"/>
        <v>0</v>
      </c>
      <c r="BK226" s="775">
        <f t="shared" ca="1" si="149"/>
        <v>0</v>
      </c>
      <c r="BL226" s="775">
        <f t="shared" ca="1" si="150"/>
        <v>0</v>
      </c>
      <c r="BM226" s="775">
        <f t="shared" ca="1" si="151"/>
        <v>0</v>
      </c>
      <c r="BN226" s="775">
        <f t="shared" ca="1" si="152"/>
        <v>0</v>
      </c>
      <c r="BO226" s="775">
        <f t="shared" ca="1" si="153"/>
        <v>0</v>
      </c>
      <c r="BP226" s="775" t="e">
        <f t="shared" ca="1" si="154"/>
        <v>#REF!</v>
      </c>
      <c r="BQ226" s="775">
        <f t="shared" ca="1" si="157"/>
        <v>0</v>
      </c>
      <c r="BR226" s="775">
        <f t="shared" ca="1" si="155"/>
        <v>0</v>
      </c>
      <c r="BU226" s="800" t="s">
        <v>2143</v>
      </c>
    </row>
    <row r="227" spans="1:73">
      <c r="A227" s="767" t="e">
        <f t="shared" ca="1" si="110"/>
        <v>#REF!</v>
      </c>
      <c r="B227" s="767" t="s">
        <v>1578</v>
      </c>
      <c r="C227" s="188" t="e">
        <f ca="1">IF(F227=0,"",COUNTIF($F$78:$F227,"&gt;0"))</f>
        <v>#REF!</v>
      </c>
      <c r="D227" s="778" t="str">
        <f>VLOOKUP($B227,dongia1,DG!$C$5,)</f>
        <v>Đầu cosse ép Cu 150mm2</v>
      </c>
      <c r="E227" s="555" t="str">
        <f>VLOOKUP($B227,dongia1,DG!$D$5,)</f>
        <v>cái</v>
      </c>
      <c r="F227" s="779" t="e">
        <f t="shared" ca="1" si="160"/>
        <v>#REF!</v>
      </c>
      <c r="G227" s="775" t="e">
        <f t="shared" ca="1" si="121"/>
        <v>#REF!</v>
      </c>
      <c r="H227" s="775">
        <f ca="1">SUMIF(CT_tram!$B$33:$G$3559,kl!B227,CT_tram!$G$33:$G$3559)</f>
        <v>0</v>
      </c>
      <c r="I227" s="775">
        <f ca="1">SUMIF(CT_tram!$B$34:$G$115,$B227,CT_tram!$G$34:$G$115)</f>
        <v>0</v>
      </c>
      <c r="J227" s="775">
        <f ca="1">SUMIF(CT_tram!$B$122:$G$204,$B227,CT_tram!$G$122:$G$204)</f>
        <v>0</v>
      </c>
      <c r="K227" s="775">
        <f ca="1">SUMIF(CT_tram!$B$211:$G$293,$B227,CT_tram!$G$211:$G$293)</f>
        <v>0</v>
      </c>
      <c r="L227" s="775">
        <f ca="1">SUMIF(CT_tram!$B$300:$G$374,$B227,CT_tram!$G$300:$G$374)</f>
        <v>0</v>
      </c>
      <c r="M227" s="775">
        <f ca="1">SUMIF(CT_tram!$B$381:$G$471,$B227,CT_tram!$G$381:$G$471)</f>
        <v>0</v>
      </c>
      <c r="N227" s="775">
        <f ca="1">SUMIF(CT_tram!$B$478:$G$560,$B227,CT_tram!$G$478:$G$560)</f>
        <v>0</v>
      </c>
      <c r="O227" s="775">
        <f ca="1">SUMIF(CT_tram!$B$567:$G$653,$B227,CT_tram!$G$567:$G$653)</f>
        <v>0</v>
      </c>
      <c r="P227" s="775">
        <f ca="1">SUMIF(CT_tram!$B$661:$G$738,$B227,CT_tram!$G$661:$G$738)</f>
        <v>0</v>
      </c>
      <c r="Q227" s="775">
        <f ca="1">SUMIF(CT_tram!$B$745:$G$899,$B227,CT_tram!$G$745:$G$899)</f>
        <v>0</v>
      </c>
      <c r="R227" s="775">
        <f ca="1">SUMIF(CT_tram!$B$907:$G$995,$B227,CT_tram!$G$907:$G$995)</f>
        <v>0</v>
      </c>
      <c r="S227" s="775"/>
      <c r="T227" s="775">
        <f ca="1">SUMIF(CT_tram!$B$1004:$G$1097,B227,CT_tram!$G$1004:$G$1097)</f>
        <v>0</v>
      </c>
      <c r="U227" s="775"/>
      <c r="V227" s="775">
        <f ca="1">SUMIF(CT_tram!$B$1226:$G$1352,kl!B227,CT_tram!$G$1226:$G$1352)</f>
        <v>0</v>
      </c>
      <c r="W227" s="780">
        <f ca="1">SUMIF(CT_tram!$B$1105:$G$1219,kl!B227,CT_tram!$G$1105:$G$1219)</f>
        <v>0</v>
      </c>
      <c r="X227" s="775">
        <f ca="1">SUMIF(CT_tram!$B$1359:$G$1504,kl!B227,CT_tram!$G$1359:$G$1504)</f>
        <v>0</v>
      </c>
      <c r="Y227" s="775">
        <f ca="1">SUMIF(CT_tram!$B$1511:$G$1625,kl!B227,CT_tram!$G$1511:$G$1625)</f>
        <v>0</v>
      </c>
      <c r="Z227" s="775">
        <f ca="1">SUMIF(CT_tram!$B$1632:$G$2211,kl!B227,CT_tram!$G$1632:$G$2211)</f>
        <v>0</v>
      </c>
      <c r="AA227" s="775">
        <f ca="1">SUMIF(CT_tram!$B$2243:$G$2384,kl!B227,CT_tram!$G$2243:$G$2384)</f>
        <v>0</v>
      </c>
      <c r="AB227" s="775">
        <f ca="1">SUMIF(CT_tram!$B$2391:$G$2563,kl!B227,CT_tram!$G$2391:$G$2563)</f>
        <v>0</v>
      </c>
      <c r="AC227" s="775">
        <f ca="1">SUMIF(chitiet!$B$13:$N$2352,kl!$B227,chitiet!$I$13:$I$2352)</f>
        <v>0</v>
      </c>
      <c r="AD227" s="775">
        <f ca="1">SUMIF(chitiet!$B$13:$N$2352,kl!$B227,chitiet!$J$13:$J$2352)</f>
        <v>0</v>
      </c>
      <c r="AE227" s="775">
        <f ca="1">SUMIF(chitiet!$B$13:$N$2352,kl!$B227,chitiet!$K$13:$K$2352)</f>
        <v>0</v>
      </c>
      <c r="AF227" s="775">
        <f ca="1">SUMIF(chitiet!$B$13:$N$2352,kl!$B227,chitiet!$L$13:$L$2352)</f>
        <v>0</v>
      </c>
      <c r="AG227" s="775">
        <f ca="1">SUMIF(chitiet!$B$13:$N$2352,kl!$B227,chitiet!$M$13)</f>
        <v>0</v>
      </c>
      <c r="AH227" s="775">
        <f ca="1">SUMIF(chitiet!$B$13:$N$2352,kl!$B227,chitiet!$N$13:$N$2352)</f>
        <v>0</v>
      </c>
      <c r="AI227" s="775">
        <f ca="1">SUMIF(chitiet!$B$13:$N$2352,kl!$B227,chitiet!$O$13:$O$2352)</f>
        <v>0</v>
      </c>
      <c r="AJ227" s="775">
        <f ca="1">SUMIF('Cap ngam'!$B$631:$G$723,kl!$B227,'Cap ngam'!$G$631:$G$723)</f>
        <v>0</v>
      </c>
      <c r="AK227" s="775" t="e">
        <f ca="1">SUMIF('Cap ngam'!$B$403:$G$628,kl!$B227,'Cap ngam'!G$403:G$628)</f>
        <v>#REF!</v>
      </c>
      <c r="AL227" s="775">
        <f ca="1">SUMIF('Cap ngam'!B$16:G$400,kl!$B227,'Cap ngam'!G$16:G$400)</f>
        <v>0</v>
      </c>
      <c r="AM227" s="776">
        <v>0.2</v>
      </c>
      <c r="AN227" s="775">
        <f t="shared" ca="1" si="133"/>
        <v>0</v>
      </c>
      <c r="AO227" s="775">
        <f t="shared" ca="1" si="134"/>
        <v>0</v>
      </c>
      <c r="AP227" s="775">
        <f t="shared" ca="1" si="135"/>
        <v>0</v>
      </c>
      <c r="AQ227" s="775">
        <f t="shared" ca="1" si="136"/>
        <v>0</v>
      </c>
      <c r="AR227" s="775">
        <f t="shared" ca="1" si="137"/>
        <v>0</v>
      </c>
      <c r="AS227" s="775">
        <f t="shared" ca="1" si="138"/>
        <v>0</v>
      </c>
      <c r="AT227" s="775">
        <f t="shared" ca="1" si="139"/>
        <v>0</v>
      </c>
      <c r="AU227" s="775">
        <f t="shared" ca="1" si="140"/>
        <v>0</v>
      </c>
      <c r="AV227" s="775">
        <f t="shared" ca="1" si="141"/>
        <v>0</v>
      </c>
      <c r="AW227" s="775">
        <f t="shared" ca="1" si="142"/>
        <v>0</v>
      </c>
      <c r="AX227" s="775">
        <f t="shared" si="143"/>
        <v>0</v>
      </c>
      <c r="AY227" s="775">
        <f t="shared" ca="1" si="144"/>
        <v>0</v>
      </c>
      <c r="AZ227" s="775">
        <f t="shared" si="145"/>
        <v>0</v>
      </c>
      <c r="BA227" s="775">
        <f t="shared" ca="1" si="126"/>
        <v>0</v>
      </c>
      <c r="BB227" s="775">
        <f t="shared" ca="1" si="127"/>
        <v>0</v>
      </c>
      <c r="BC227" s="775">
        <f t="shared" ca="1" si="128"/>
        <v>0</v>
      </c>
      <c r="BD227" s="775">
        <f t="shared" ca="1" si="129"/>
        <v>0</v>
      </c>
      <c r="BE227" s="775">
        <f t="shared" ca="1" si="130"/>
        <v>0</v>
      </c>
      <c r="BF227" s="775">
        <f t="shared" ca="1" si="131"/>
        <v>0</v>
      </c>
      <c r="BG227" s="775">
        <f t="shared" ca="1" si="132"/>
        <v>0</v>
      </c>
      <c r="BH227" s="775">
        <f t="shared" ca="1" si="146"/>
        <v>0</v>
      </c>
      <c r="BI227" s="775">
        <f t="shared" ca="1" si="147"/>
        <v>0</v>
      </c>
      <c r="BJ227" s="775">
        <f t="shared" ca="1" si="148"/>
        <v>0</v>
      </c>
      <c r="BK227" s="775">
        <f t="shared" ca="1" si="149"/>
        <v>0</v>
      </c>
      <c r="BL227" s="775">
        <f t="shared" ca="1" si="150"/>
        <v>0</v>
      </c>
      <c r="BM227" s="775">
        <f t="shared" ca="1" si="151"/>
        <v>0</v>
      </c>
      <c r="BN227" s="775">
        <f t="shared" ca="1" si="152"/>
        <v>0</v>
      </c>
      <c r="BO227" s="775">
        <f t="shared" ca="1" si="153"/>
        <v>0</v>
      </c>
      <c r="BP227" s="775" t="e">
        <f t="shared" ca="1" si="154"/>
        <v>#REF!</v>
      </c>
      <c r="BQ227" s="775">
        <f t="shared" ca="1" si="157"/>
        <v>0</v>
      </c>
      <c r="BR227" s="775">
        <f t="shared" ca="1" si="155"/>
        <v>0</v>
      </c>
    </row>
    <row r="228" spans="1:73">
      <c r="A228" s="767" t="str">
        <f t="shared" ca="1" si="110"/>
        <v>X</v>
      </c>
      <c r="B228" s="767" t="s">
        <v>1837</v>
      </c>
      <c r="C228" s="188">
        <f ca="1">IF(F228=0,"",COUNTIF($F$78:$F228,"&gt;0"))</f>
        <v>14</v>
      </c>
      <c r="D228" s="778" t="str">
        <f>VLOOKUP($B228,dongia1,DG!$C$5,)</f>
        <v>Đầu cosse ép Cu 240mm2</v>
      </c>
      <c r="E228" s="555" t="str">
        <f>VLOOKUP($B228,dongia1,DG!$D$5,)</f>
        <v>cái</v>
      </c>
      <c r="F228" s="975">
        <f t="shared" ca="1" si="160"/>
        <v>28</v>
      </c>
      <c r="G228" s="976">
        <f t="shared" ca="1" si="121"/>
        <v>0</v>
      </c>
      <c r="H228" s="976">
        <f ca="1">SUMIF(CT_tram!$B$33:$G$3559,kl!B228,CT_tram!$G$33:$G$3559)</f>
        <v>28</v>
      </c>
      <c r="I228" s="775">
        <f ca="1">SUMIF(CT_tram!$B$34:$G$115,$B228,CT_tram!$G$34:$G$115)</f>
        <v>0</v>
      </c>
      <c r="J228" s="775">
        <f ca="1">SUMIF(CT_tram!$B$122:$G$204,$B228,CT_tram!$G$122:$G$204)</f>
        <v>0</v>
      </c>
      <c r="K228" s="775">
        <f ca="1">SUMIF(CT_tram!$B$211:$G$293,$B228,CT_tram!$G$211:$G$293)</f>
        <v>0</v>
      </c>
      <c r="L228" s="775">
        <f ca="1">SUMIF(CT_tram!$B$300:$G$374,$B228,CT_tram!$G$300:$G$374)</f>
        <v>0</v>
      </c>
      <c r="M228" s="775">
        <f ca="1">SUMIF(CT_tram!$B$381:$G$471,$B228,CT_tram!$G$381:$G$471)</f>
        <v>0</v>
      </c>
      <c r="N228" s="775">
        <f ca="1">SUMIF(CT_tram!$B$478:$G$560,$B228,CT_tram!$G$478:$G$560)</f>
        <v>0</v>
      </c>
      <c r="O228" s="775">
        <f ca="1">SUMIF(CT_tram!$B$567:$G$653,$B228,CT_tram!$G$567:$G$653)</f>
        <v>0</v>
      </c>
      <c r="P228" s="775">
        <f ca="1">SUMIF(CT_tram!$B$661:$G$738,$B228,CT_tram!$G$661:$G$738)</f>
        <v>0</v>
      </c>
      <c r="Q228" s="775">
        <f ca="1">SUMIF(CT_tram!$B$745:$G$899,$B228,CT_tram!$G$745:$G$899)</f>
        <v>0</v>
      </c>
      <c r="R228" s="775">
        <f ca="1">SUMIF(CT_tram!$B$907:$G$995,$B228,CT_tram!$G$907:$G$995)</f>
        <v>0</v>
      </c>
      <c r="S228" s="775"/>
      <c r="T228" s="775">
        <f ca="1">SUMIF(CT_tram!$B$1004:$G$1097,B228,CT_tram!$G$1004:$G$1097)</f>
        <v>0</v>
      </c>
      <c r="U228" s="775"/>
      <c r="V228" s="775">
        <f ca="1">SUMIF(CT_tram!$B$1226:$G$1352,kl!B228,CT_tram!$G$1226:$G$1352)</f>
        <v>0</v>
      </c>
      <c r="W228" s="780">
        <f ca="1">SUMIF(CT_tram!$B$1105:$G$1219,kl!B228,CT_tram!$G$1105:$G$1219)</f>
        <v>0</v>
      </c>
      <c r="X228" s="775">
        <f ca="1">SUMIF(CT_tram!$B$1359:$G$1504,kl!B228,CT_tram!$G$1359:$G$1504)</f>
        <v>0</v>
      </c>
      <c r="Y228" s="775">
        <f ca="1">SUMIF(CT_tram!$B$1511:$G$1625,kl!B228,CT_tram!$G$1511:$G$1625)</f>
        <v>0</v>
      </c>
      <c r="Z228" s="775">
        <f ca="1">SUMIF(CT_tram!$B$1632:$G$2211,kl!B228,CT_tram!$G$1632:$G$2211)</f>
        <v>0</v>
      </c>
      <c r="AA228" s="775">
        <f ca="1">SUMIF(CT_tram!$B$2243:$G$2384,kl!B228,CT_tram!$G$2243:$G$2384)</f>
        <v>0</v>
      </c>
      <c r="AB228" s="775">
        <f ca="1">SUMIF(CT_tram!$B$2391:$G$2563,kl!B228,CT_tram!$G$2391:$G$2563)</f>
        <v>0</v>
      </c>
      <c r="AC228" s="775">
        <f ca="1">SUMIF(chitiet!$B$13:$N$2352,kl!$B228,chitiet!$I$13:$I$2352)</f>
        <v>0</v>
      </c>
      <c r="AD228" s="775">
        <f ca="1">SUMIF(chitiet!$B$13:$N$2352,kl!$B228,chitiet!$J$13:$J$2352)</f>
        <v>0</v>
      </c>
      <c r="AE228" s="775">
        <f ca="1">SUMIF(chitiet!$B$13:$N$2352,kl!$B228,chitiet!$K$13:$K$2352)</f>
        <v>0</v>
      </c>
      <c r="AF228" s="775">
        <f ca="1">SUMIF(chitiet!$B$13:$N$2352,kl!$B228,chitiet!$L$13:$L$2352)</f>
        <v>0</v>
      </c>
      <c r="AG228" s="775">
        <f ca="1">SUMIF(chitiet!$B$13:$N$2352,kl!$B228,chitiet!$M$13)</f>
        <v>0</v>
      </c>
      <c r="AH228" s="775">
        <f ca="1">SUMIF(chitiet!$B$13:$N$2352,kl!$B228,chitiet!$N$13:$N$2352)</f>
        <v>0</v>
      </c>
      <c r="AI228" s="775">
        <f ca="1">SUMIF(chitiet!$B$13:$N$2352,kl!$B228,chitiet!$O$13:$O$2352)</f>
        <v>0</v>
      </c>
      <c r="AJ228" s="775">
        <f ca="1">SUMIF('Cap ngam'!$B$631:$G$723,kl!$B228,'Cap ngam'!$G$631:$G$723)</f>
        <v>0</v>
      </c>
      <c r="AK228" s="775">
        <f ca="1">SUMIF('Cap ngam'!$B$403:$G$628,kl!$B228,'Cap ngam'!G$403:G$628)</f>
        <v>0</v>
      </c>
      <c r="AL228" s="775">
        <f ca="1">SUMIF('Cap ngam'!B$16:G$400,kl!$B228,'Cap ngam'!G$16:G$400)</f>
        <v>0</v>
      </c>
      <c r="AM228" s="776">
        <v>0.4</v>
      </c>
      <c r="AN228" s="775">
        <f t="shared" ca="1" si="133"/>
        <v>0</v>
      </c>
      <c r="AO228" s="775">
        <f t="shared" ca="1" si="134"/>
        <v>0</v>
      </c>
      <c r="AP228" s="775">
        <f t="shared" ca="1" si="135"/>
        <v>0</v>
      </c>
      <c r="AQ228" s="775">
        <f t="shared" ca="1" si="136"/>
        <v>0</v>
      </c>
      <c r="AR228" s="775">
        <f t="shared" ca="1" si="137"/>
        <v>0</v>
      </c>
      <c r="AS228" s="775">
        <f t="shared" ca="1" si="138"/>
        <v>0</v>
      </c>
      <c r="AT228" s="775">
        <f t="shared" ca="1" si="139"/>
        <v>0</v>
      </c>
      <c r="AU228" s="775">
        <f t="shared" ca="1" si="140"/>
        <v>0</v>
      </c>
      <c r="AV228" s="775">
        <f t="shared" ca="1" si="141"/>
        <v>0</v>
      </c>
      <c r="AW228" s="775">
        <f t="shared" ca="1" si="142"/>
        <v>0</v>
      </c>
      <c r="AX228" s="775">
        <f t="shared" si="143"/>
        <v>0</v>
      </c>
      <c r="AY228" s="775">
        <f t="shared" ca="1" si="144"/>
        <v>0</v>
      </c>
      <c r="AZ228" s="775">
        <f t="shared" si="145"/>
        <v>0</v>
      </c>
      <c r="BA228" s="775">
        <f t="shared" ca="1" si="126"/>
        <v>0</v>
      </c>
      <c r="BB228" s="775">
        <f t="shared" ca="1" si="127"/>
        <v>0</v>
      </c>
      <c r="BC228" s="775">
        <f t="shared" ca="1" si="128"/>
        <v>0</v>
      </c>
      <c r="BD228" s="775">
        <f t="shared" ca="1" si="129"/>
        <v>0</v>
      </c>
      <c r="BE228" s="775">
        <f t="shared" ca="1" si="130"/>
        <v>0</v>
      </c>
      <c r="BF228" s="775">
        <f t="shared" ca="1" si="131"/>
        <v>0</v>
      </c>
      <c r="BG228" s="775">
        <f t="shared" ca="1" si="132"/>
        <v>0</v>
      </c>
      <c r="BH228" s="775">
        <f t="shared" ca="1" si="146"/>
        <v>0</v>
      </c>
      <c r="BI228" s="775">
        <f t="shared" ca="1" si="147"/>
        <v>0</v>
      </c>
      <c r="BJ228" s="775">
        <f t="shared" ca="1" si="148"/>
        <v>0</v>
      </c>
      <c r="BK228" s="775">
        <f t="shared" ca="1" si="149"/>
        <v>0</v>
      </c>
      <c r="BL228" s="775">
        <f t="shared" ca="1" si="150"/>
        <v>0</v>
      </c>
      <c r="BM228" s="775">
        <f t="shared" ca="1" si="151"/>
        <v>0</v>
      </c>
      <c r="BN228" s="775">
        <f t="shared" ca="1" si="152"/>
        <v>0</v>
      </c>
      <c r="BO228" s="775">
        <f t="shared" ca="1" si="153"/>
        <v>0</v>
      </c>
      <c r="BP228" s="775">
        <f t="shared" ca="1" si="154"/>
        <v>0</v>
      </c>
      <c r="BQ228" s="775">
        <f t="shared" ca="1" si="157"/>
        <v>0</v>
      </c>
      <c r="BR228" s="775">
        <f t="shared" ca="1" si="155"/>
        <v>11.200000000000001</v>
      </c>
    </row>
    <row r="229" spans="1:73">
      <c r="A229" s="767" t="str">
        <f t="shared" ca="1" si="110"/>
        <v/>
      </c>
      <c r="B229" s="767" t="s">
        <v>734</v>
      </c>
      <c r="C229" s="188" t="str">
        <f ca="1">IF(F229=0,"",COUNTIF($F$78:$F229,"&gt;0"))</f>
        <v/>
      </c>
      <c r="D229" s="778" t="str">
        <f>VLOOKUP($B229,dongia1,DG!$C$5,)</f>
        <v>Đầu cosse ép Cu 250mm2</v>
      </c>
      <c r="E229" s="555" t="str">
        <f>VLOOKUP($B229,dongia1,DG!$D$5,)</f>
        <v>cái</v>
      </c>
      <c r="F229" s="779">
        <f ca="1">G229+H229</f>
        <v>0</v>
      </c>
      <c r="G229" s="775">
        <f ca="1">SUM(AC229:AL229)</f>
        <v>0</v>
      </c>
      <c r="H229" s="775">
        <f ca="1">SUMIF(CT_tram!$B$33:$G$3559,kl!B229,CT_tram!$G$33:$G$3559)</f>
        <v>0</v>
      </c>
      <c r="I229" s="775">
        <f ca="1">SUMIF(CT_tram!$B$34:$G$115,$B229,CT_tram!$G$34:$G$115)</f>
        <v>0</v>
      </c>
      <c r="J229" s="775">
        <f ca="1">SUMIF(CT_tram!$B$122:$G$204,$B229,CT_tram!$G$122:$G$204)</f>
        <v>0</v>
      </c>
      <c r="K229" s="775">
        <f ca="1">SUMIF(CT_tram!$B$211:$G$293,$B229,CT_tram!$G$211:$G$293)</f>
        <v>0</v>
      </c>
      <c r="L229" s="775">
        <f ca="1">SUMIF(CT_tram!$B$300:$G$374,$B229,CT_tram!$G$300:$G$374)</f>
        <v>0</v>
      </c>
      <c r="M229" s="775">
        <f ca="1">SUMIF(CT_tram!$B$381:$G$471,$B229,CT_tram!$G$381:$G$471)</f>
        <v>0</v>
      </c>
      <c r="N229" s="775">
        <f ca="1">SUMIF(CT_tram!$B$478:$G$560,$B229,CT_tram!$G$478:$G$560)</f>
        <v>0</v>
      </c>
      <c r="O229" s="775">
        <f ca="1">SUMIF(CT_tram!$B$567:$G$653,$B229,CT_tram!$G$567:$G$653)</f>
        <v>0</v>
      </c>
      <c r="P229" s="775">
        <f ca="1">SUMIF(CT_tram!$B$661:$G$738,$B229,CT_tram!$G$661:$G$738)</f>
        <v>0</v>
      </c>
      <c r="Q229" s="775">
        <f ca="1">SUMIF(CT_tram!$B$745:$G$899,$B229,CT_tram!$G$745:$G$899)</f>
        <v>0</v>
      </c>
      <c r="R229" s="775">
        <f ca="1">SUMIF(CT_tram!$B$907:$G$995,$B229,CT_tram!$G$907:$G$995)</f>
        <v>0</v>
      </c>
      <c r="S229" s="775"/>
      <c r="T229" s="775">
        <f ca="1">SUMIF(CT_tram!$B$1004:$G$1097,B229,CT_tram!$G$1004:$G$1097)</f>
        <v>0</v>
      </c>
      <c r="U229" s="775"/>
      <c r="V229" s="775">
        <f ca="1">SUMIF(CT_tram!$B$1226:$G$1352,kl!B229,CT_tram!$G$1226:$G$1352)</f>
        <v>0</v>
      </c>
      <c r="W229" s="780">
        <f ca="1">SUMIF(CT_tram!$B$1105:$G$1219,kl!B229,CT_tram!$G$1105:$G$1219)</f>
        <v>0</v>
      </c>
      <c r="X229" s="775">
        <f ca="1">SUMIF(CT_tram!$B$1359:$G$1504,kl!B229,CT_tram!$G$1359:$G$1504)</f>
        <v>0</v>
      </c>
      <c r="Y229" s="775">
        <f ca="1">SUMIF(CT_tram!$B$1511:$G$1625,kl!B229,CT_tram!$G$1511:$G$1625)</f>
        <v>0</v>
      </c>
      <c r="Z229" s="775">
        <f ca="1">SUMIF(CT_tram!$B$1632:$G$2211,kl!B229,CT_tram!$G$1632:$G$2211)</f>
        <v>0</v>
      </c>
      <c r="AA229" s="775">
        <f ca="1">SUMIF(CT_tram!$B$2243:$G$2384,kl!B229,CT_tram!$G$2243:$G$2384)</f>
        <v>0</v>
      </c>
      <c r="AB229" s="775">
        <f ca="1">SUMIF(CT_tram!$B$2391:$G$2563,kl!B229,CT_tram!$G$2391:$G$2563)</f>
        <v>0</v>
      </c>
      <c r="AC229" s="775">
        <f ca="1">SUMIF(chitiet!$B$13:$N$2352,kl!$B229,chitiet!$I$13:$I$2352)</f>
        <v>0</v>
      </c>
      <c r="AD229" s="775">
        <f ca="1">SUMIF(chitiet!$B$13:$N$2352,kl!$B229,chitiet!$J$13:$J$2352)</f>
        <v>0</v>
      </c>
      <c r="AE229" s="775">
        <f ca="1">SUMIF(chitiet!$B$13:$N$2352,kl!$B229,chitiet!$K$13:$K$2352)</f>
        <v>0</v>
      </c>
      <c r="AF229" s="775">
        <f ca="1">SUMIF(chitiet!$B$13:$N$2352,kl!$B229,chitiet!$L$13:$L$2352)</f>
        <v>0</v>
      </c>
      <c r="AG229" s="775">
        <f ca="1">SUMIF(chitiet!$B$13:$N$2352,kl!$B229,chitiet!$M$13)</f>
        <v>0</v>
      </c>
      <c r="AH229" s="775">
        <f ca="1">SUMIF(chitiet!$B$13:$N$2352,kl!$B229,chitiet!$N$13:$N$2352)</f>
        <v>0</v>
      </c>
      <c r="AI229" s="775">
        <f ca="1">SUMIF(chitiet!$B$13:$N$2352,kl!$B229,chitiet!$O$13:$O$2352)</f>
        <v>0</v>
      </c>
      <c r="AJ229" s="775">
        <f ca="1">SUMIF('Cap ngam'!$B$631:$G$723,kl!$B229,'Cap ngam'!$G$631:$G$723)</f>
        <v>0</v>
      </c>
      <c r="AK229" s="775">
        <f ca="1">SUMIF('Cap ngam'!$B$403:$G$628,kl!$B229,'Cap ngam'!G$403:G$628)</f>
        <v>0</v>
      </c>
      <c r="AL229" s="775">
        <f ca="1">SUMIF('Cap ngam'!B$16:G$400,kl!$B229,'Cap ngam'!G$16:G$400)</f>
        <v>0</v>
      </c>
      <c r="AM229" s="776">
        <v>0.2</v>
      </c>
      <c r="AN229" s="775">
        <f t="shared" ca="1" si="133"/>
        <v>0</v>
      </c>
      <c r="AO229" s="775">
        <f t="shared" ca="1" si="134"/>
        <v>0</v>
      </c>
      <c r="AP229" s="775">
        <f t="shared" ca="1" si="135"/>
        <v>0</v>
      </c>
      <c r="AQ229" s="775">
        <f t="shared" ca="1" si="136"/>
        <v>0</v>
      </c>
      <c r="AR229" s="775">
        <f t="shared" ca="1" si="137"/>
        <v>0</v>
      </c>
      <c r="AS229" s="775">
        <f t="shared" ca="1" si="138"/>
        <v>0</v>
      </c>
      <c r="AT229" s="775">
        <f t="shared" ca="1" si="139"/>
        <v>0</v>
      </c>
      <c r="AU229" s="775">
        <f t="shared" ca="1" si="140"/>
        <v>0</v>
      </c>
      <c r="AV229" s="775">
        <f t="shared" ca="1" si="141"/>
        <v>0</v>
      </c>
      <c r="AW229" s="775">
        <f t="shared" ca="1" si="142"/>
        <v>0</v>
      </c>
      <c r="AX229" s="775">
        <f t="shared" si="143"/>
        <v>0</v>
      </c>
      <c r="AY229" s="775">
        <f t="shared" ca="1" si="144"/>
        <v>0</v>
      </c>
      <c r="AZ229" s="775">
        <f t="shared" si="145"/>
        <v>0</v>
      </c>
      <c r="BA229" s="775">
        <f t="shared" ca="1" si="126"/>
        <v>0</v>
      </c>
      <c r="BB229" s="775">
        <f t="shared" ca="1" si="127"/>
        <v>0</v>
      </c>
      <c r="BC229" s="775">
        <f t="shared" ca="1" si="128"/>
        <v>0</v>
      </c>
      <c r="BD229" s="775">
        <f t="shared" ca="1" si="129"/>
        <v>0</v>
      </c>
      <c r="BE229" s="775">
        <f t="shared" ca="1" si="130"/>
        <v>0</v>
      </c>
      <c r="BF229" s="775">
        <f t="shared" ca="1" si="131"/>
        <v>0</v>
      </c>
      <c r="BG229" s="775">
        <f t="shared" ca="1" si="132"/>
        <v>0</v>
      </c>
      <c r="BH229" s="775">
        <f t="shared" ca="1" si="146"/>
        <v>0</v>
      </c>
      <c r="BI229" s="775">
        <f t="shared" ca="1" si="147"/>
        <v>0</v>
      </c>
      <c r="BJ229" s="775">
        <f t="shared" ca="1" si="148"/>
        <v>0</v>
      </c>
      <c r="BK229" s="775">
        <f t="shared" ca="1" si="149"/>
        <v>0</v>
      </c>
      <c r="BL229" s="775">
        <f t="shared" ca="1" si="150"/>
        <v>0</v>
      </c>
      <c r="BM229" s="775">
        <f t="shared" ca="1" si="151"/>
        <v>0</v>
      </c>
      <c r="BN229" s="775">
        <f t="shared" ca="1" si="152"/>
        <v>0</v>
      </c>
      <c r="BO229" s="775">
        <f t="shared" ca="1" si="153"/>
        <v>0</v>
      </c>
      <c r="BP229" s="775">
        <f t="shared" ca="1" si="154"/>
        <v>0</v>
      </c>
      <c r="BQ229" s="775">
        <f t="shared" ca="1" si="157"/>
        <v>0</v>
      </c>
      <c r="BR229" s="775">
        <f t="shared" ca="1" si="155"/>
        <v>0</v>
      </c>
    </row>
    <row r="230" spans="1:73">
      <c r="A230" s="767" t="str">
        <f t="shared" ca="1" si="110"/>
        <v/>
      </c>
      <c r="B230" s="767" t="s">
        <v>735</v>
      </c>
      <c r="C230" s="188" t="str">
        <f ca="1">IF(F230=0,"",COUNTIF($F$78:$F230,"&gt;0"))</f>
        <v/>
      </c>
      <c r="D230" s="778" t="str">
        <f>VLOOKUP($B230,dongia1,DG!$C$5,)</f>
        <v>Giá chữ "T" lắp FCO, LA (V50x50x5)</v>
      </c>
      <c r="E230" s="555" t="str">
        <f>VLOOKUP($B230,dongia1,DG!$D$5,)</f>
        <v>bộ</v>
      </c>
      <c r="F230" s="779">
        <f t="shared" ref="F230:F244" ca="1" si="161">G230+H230</f>
        <v>0</v>
      </c>
      <c r="G230" s="775">
        <f t="shared" ca="1" si="121"/>
        <v>0</v>
      </c>
      <c r="H230" s="775">
        <f ca="1">SUMIF(CT_tram!$B$33:$G$3559,kl!B230,CT_tram!$G$33:$G$3559)</f>
        <v>0</v>
      </c>
      <c r="I230" s="775">
        <f ca="1">SUMIF(CT_tram!$B$34:$G$115,$B230,CT_tram!$G$34:$G$115)</f>
        <v>0</v>
      </c>
      <c r="J230" s="775">
        <f ca="1">SUMIF(CT_tram!$B$122:$G$204,$B230,CT_tram!$G$122:$G$204)</f>
        <v>0</v>
      </c>
      <c r="K230" s="775">
        <f ca="1">SUMIF(CT_tram!$B$211:$G$293,$B230,CT_tram!$G$211:$G$293)</f>
        <v>0</v>
      </c>
      <c r="L230" s="775">
        <f ca="1">SUMIF(CT_tram!$B$300:$G$374,$B230,CT_tram!$G$300:$G$374)</f>
        <v>0</v>
      </c>
      <c r="M230" s="775">
        <f ca="1">SUMIF(CT_tram!$B$381:$G$471,$B230,CT_tram!$G$381:$G$471)</f>
        <v>0</v>
      </c>
      <c r="N230" s="775">
        <f ca="1">SUMIF(CT_tram!$B$478:$G$560,$B230,CT_tram!$G$478:$G$560)</f>
        <v>0</v>
      </c>
      <c r="O230" s="775">
        <f ca="1">SUMIF(CT_tram!$B$567:$G$653,$B230,CT_tram!$G$567:$G$653)</f>
        <v>0</v>
      </c>
      <c r="P230" s="775">
        <f ca="1">SUMIF(CT_tram!$B$661:$G$738,$B230,CT_tram!$G$661:$G$738)</f>
        <v>0</v>
      </c>
      <c r="Q230" s="775">
        <f ca="1">SUMIF(CT_tram!$B$745:$G$899,$B230,CT_tram!$G$745:$G$899)</f>
        <v>0</v>
      </c>
      <c r="R230" s="775">
        <f ca="1">SUMIF(CT_tram!$B$907:$G$995,$B230,CT_tram!$G$907:$G$995)</f>
        <v>0</v>
      </c>
      <c r="S230" s="775"/>
      <c r="T230" s="775">
        <f ca="1">SUMIF(CT_tram!$B$1004:$G$1097,B230,CT_tram!$G$1004:$G$1097)</f>
        <v>0</v>
      </c>
      <c r="U230" s="775"/>
      <c r="V230" s="775">
        <f ca="1">SUMIF(CT_tram!$B$1226:$G$1352,kl!B230,CT_tram!$G$1226:$G$1352)</f>
        <v>0</v>
      </c>
      <c r="W230" s="780">
        <f ca="1">SUMIF(CT_tram!$B$1105:$G$1219,kl!B230,CT_tram!$G$1105:$G$1219)</f>
        <v>0</v>
      </c>
      <c r="X230" s="775">
        <f ca="1">SUMIF(CT_tram!$B$1359:$G$1504,kl!B230,CT_tram!$G$1359:$G$1504)</f>
        <v>0</v>
      </c>
      <c r="Y230" s="775">
        <f ca="1">SUMIF(CT_tram!$B$1511:$G$1625,kl!B230,CT_tram!$G$1511:$G$1625)</f>
        <v>0</v>
      </c>
      <c r="Z230" s="775">
        <f ca="1">SUMIF(CT_tram!$B$1632:$G$2211,kl!B230,CT_tram!$G$1632:$G$2211)</f>
        <v>0</v>
      </c>
      <c r="AA230" s="775">
        <f ca="1">SUMIF(CT_tram!$B$2243:$G$2384,kl!B230,CT_tram!$G$2243:$G$2384)</f>
        <v>0</v>
      </c>
      <c r="AB230" s="775">
        <f ca="1">SUMIF(CT_tram!$B$2391:$G$2563,kl!B230,CT_tram!$G$2391:$G$2563)</f>
        <v>0</v>
      </c>
      <c r="AC230" s="775">
        <f ca="1">SUMIF(chitiet!$B$13:$N$2352,kl!$B230,chitiet!$I$13:$I$2352)</f>
        <v>0</v>
      </c>
      <c r="AD230" s="775">
        <f ca="1">SUMIF(chitiet!$B$13:$N$2352,kl!$B230,chitiet!$J$13:$J$2352)</f>
        <v>0</v>
      </c>
      <c r="AE230" s="775">
        <f ca="1">SUMIF(chitiet!$B$13:$N$2352,kl!$B230,chitiet!$K$13:$K$2352)</f>
        <v>0</v>
      </c>
      <c r="AF230" s="775">
        <f ca="1">SUMIF(chitiet!$B$13:$N$2352,kl!$B230,chitiet!$L$13:$L$2352)</f>
        <v>0</v>
      </c>
      <c r="AG230" s="775">
        <f ca="1">SUMIF(chitiet!$B$13:$N$2352,kl!$B230,chitiet!$M$13)</f>
        <v>0</v>
      </c>
      <c r="AH230" s="775">
        <f ca="1">SUMIF(chitiet!$B$13:$N$2352,kl!$B230,chitiet!$N$13:$N$2352)</f>
        <v>0</v>
      </c>
      <c r="AI230" s="775">
        <f ca="1">SUMIF(chitiet!$B$13:$N$2352,kl!$B230,chitiet!$O$13:$O$2352)</f>
        <v>0</v>
      </c>
      <c r="AJ230" s="775">
        <f ca="1">SUMIF('Cap ngam'!$B$631:$G$723,kl!$B230,'Cap ngam'!$G$631:$G$723)</f>
        <v>0</v>
      </c>
      <c r="AK230" s="775">
        <f ca="1">SUMIF('Cap ngam'!$B$403:$G$628,kl!$B230,'Cap ngam'!G$403:G$628)</f>
        <v>0</v>
      </c>
      <c r="AL230" s="775">
        <f ca="1">SUMIF('Cap ngam'!B$16:G$400,kl!$B230,'Cap ngam'!G$16:G$400)</f>
        <v>0</v>
      </c>
      <c r="AM230" s="776">
        <v>3</v>
      </c>
      <c r="AN230" s="775">
        <f t="shared" ca="1" si="133"/>
        <v>0</v>
      </c>
      <c r="AO230" s="775">
        <f t="shared" ca="1" si="134"/>
        <v>0</v>
      </c>
      <c r="AP230" s="775">
        <f t="shared" ca="1" si="135"/>
        <v>0</v>
      </c>
      <c r="AQ230" s="775">
        <f t="shared" ca="1" si="136"/>
        <v>0</v>
      </c>
      <c r="AR230" s="775">
        <f t="shared" ca="1" si="137"/>
        <v>0</v>
      </c>
      <c r="AS230" s="775">
        <f t="shared" ca="1" si="138"/>
        <v>0</v>
      </c>
      <c r="AT230" s="775">
        <f t="shared" ca="1" si="139"/>
        <v>0</v>
      </c>
      <c r="AU230" s="775">
        <f t="shared" ca="1" si="140"/>
        <v>0</v>
      </c>
      <c r="AV230" s="775">
        <f t="shared" ca="1" si="141"/>
        <v>0</v>
      </c>
      <c r="AW230" s="775">
        <f t="shared" ca="1" si="142"/>
        <v>0</v>
      </c>
      <c r="AX230" s="775">
        <f t="shared" si="143"/>
        <v>0</v>
      </c>
      <c r="AY230" s="775">
        <f t="shared" ca="1" si="144"/>
        <v>0</v>
      </c>
      <c r="AZ230" s="775">
        <f t="shared" si="145"/>
        <v>0</v>
      </c>
      <c r="BA230" s="775">
        <f t="shared" ca="1" si="126"/>
        <v>0</v>
      </c>
      <c r="BB230" s="775">
        <f t="shared" ca="1" si="127"/>
        <v>0</v>
      </c>
      <c r="BC230" s="775">
        <f t="shared" ca="1" si="128"/>
        <v>0</v>
      </c>
      <c r="BD230" s="775">
        <f t="shared" ca="1" si="129"/>
        <v>0</v>
      </c>
      <c r="BE230" s="775">
        <f t="shared" ca="1" si="130"/>
        <v>0</v>
      </c>
      <c r="BF230" s="775">
        <f t="shared" ca="1" si="131"/>
        <v>0</v>
      </c>
      <c r="BG230" s="775">
        <f t="shared" ca="1" si="132"/>
        <v>0</v>
      </c>
      <c r="BH230" s="775">
        <f t="shared" ca="1" si="146"/>
        <v>0</v>
      </c>
      <c r="BI230" s="775">
        <f t="shared" ca="1" si="147"/>
        <v>0</v>
      </c>
      <c r="BJ230" s="775">
        <f t="shared" ca="1" si="148"/>
        <v>0</v>
      </c>
      <c r="BK230" s="775">
        <f t="shared" ca="1" si="149"/>
        <v>0</v>
      </c>
      <c r="BL230" s="775">
        <f t="shared" ca="1" si="150"/>
        <v>0</v>
      </c>
      <c r="BM230" s="775">
        <f t="shared" ca="1" si="151"/>
        <v>0</v>
      </c>
      <c r="BN230" s="775">
        <f t="shared" ca="1" si="152"/>
        <v>0</v>
      </c>
      <c r="BO230" s="775">
        <f t="shared" ca="1" si="153"/>
        <v>0</v>
      </c>
      <c r="BP230" s="775">
        <f t="shared" ca="1" si="154"/>
        <v>0</v>
      </c>
      <c r="BQ230" s="775">
        <f t="shared" ca="1" si="157"/>
        <v>0</v>
      </c>
      <c r="BR230" s="775">
        <f t="shared" ca="1" si="155"/>
        <v>0</v>
      </c>
    </row>
    <row r="231" spans="1:73">
      <c r="A231" s="767" t="str">
        <f t="shared" ca="1" si="110"/>
        <v>X</v>
      </c>
      <c r="B231" s="767" t="s">
        <v>204</v>
      </c>
      <c r="C231" s="188">
        <f ca="1">IF(F231=0,"",COUNTIF($F$78:$F231,"&gt;0"))</f>
        <v>15</v>
      </c>
      <c r="D231" s="778" t="str">
        <f>VLOOKUP($B231,dongia1,DG!$C$5,)</f>
        <v>Kẹp cáp 3 boulon</v>
      </c>
      <c r="E231" s="555" t="str">
        <f>VLOOKUP($B231,dongia1,DG!$D$5,)</f>
        <v>cái</v>
      </c>
      <c r="F231" s="975">
        <f ca="1">G231+H231</f>
        <v>16</v>
      </c>
      <c r="G231" s="976">
        <f ca="1">SUM(AC231:AL231)</f>
        <v>16</v>
      </c>
      <c r="H231" s="976">
        <f ca="1">SUMIF(CT_tram!$B$33:$G$3559,kl!B231,CT_tram!$G$33:$G$3559)</f>
        <v>0</v>
      </c>
      <c r="I231" s="775">
        <f ca="1">SUMIF(CT_tram!$B$34:$G$115,$B231,CT_tram!$G$34:$G$115)</f>
        <v>0</v>
      </c>
      <c r="J231" s="775">
        <f ca="1">SUMIF(CT_tram!$B$122:$G$204,$B231,CT_tram!$G$122:$G$204)</f>
        <v>0</v>
      </c>
      <c r="K231" s="775">
        <f ca="1">SUMIF(CT_tram!$B$211:$G$293,$B231,CT_tram!$G$211:$G$293)</f>
        <v>0</v>
      </c>
      <c r="L231" s="775">
        <f ca="1">SUMIF(CT_tram!$B$300:$G$374,$B231,CT_tram!$G$300:$G$374)</f>
        <v>0</v>
      </c>
      <c r="M231" s="775">
        <f ca="1">SUMIF(CT_tram!$B$381:$G$471,$B231,CT_tram!$G$381:$G$471)</f>
        <v>0</v>
      </c>
      <c r="N231" s="775">
        <f ca="1">SUMIF(CT_tram!$B$478:$G$560,$B231,CT_tram!$G$478:$G$560)</f>
        <v>0</v>
      </c>
      <c r="O231" s="775">
        <f ca="1">SUMIF(CT_tram!$B$567:$G$653,$B231,CT_tram!$G$567:$G$653)</f>
        <v>0</v>
      </c>
      <c r="P231" s="775">
        <f ca="1">SUMIF(CT_tram!$B$661:$G$738,$B231,CT_tram!$G$661:$G$738)</f>
        <v>0</v>
      </c>
      <c r="Q231" s="775">
        <f ca="1">SUMIF(CT_tram!$B$745:$G$899,$B231,CT_tram!$G$745:$G$899)</f>
        <v>0</v>
      </c>
      <c r="R231" s="775">
        <f ca="1">SUMIF(CT_tram!$B$907:$G$995,$B231,CT_tram!$G$907:$G$995)</f>
        <v>0</v>
      </c>
      <c r="S231" s="775"/>
      <c r="T231" s="775">
        <f ca="1">SUMIF(CT_tram!$B$1004:$G$1097,B231,CT_tram!$G$1004:$G$1097)</f>
        <v>0</v>
      </c>
      <c r="U231" s="775"/>
      <c r="V231" s="775">
        <f ca="1">SUMIF(CT_tram!$B$1226:$G$1352,kl!B231,CT_tram!$G$1226:$G$1352)</f>
        <v>0</v>
      </c>
      <c r="W231" s="780">
        <f ca="1">SUMIF(CT_tram!$B$1105:$G$1219,kl!B231,CT_tram!$G$1105:$G$1219)</f>
        <v>0</v>
      </c>
      <c r="X231" s="775">
        <f ca="1">SUMIF(CT_tram!$B$1359:$G$1504,kl!B231,CT_tram!$G$1359:$G$1504)</f>
        <v>0</v>
      </c>
      <c r="Y231" s="775">
        <f ca="1">SUMIF(CT_tram!$B$1511:$G$1625,kl!B231,CT_tram!$G$1511:$G$1625)</f>
        <v>0</v>
      </c>
      <c r="Z231" s="775">
        <f ca="1">SUMIF(CT_tram!$B$1632:$G$2211,kl!B231,CT_tram!$G$1632:$G$2211)</f>
        <v>0</v>
      </c>
      <c r="AA231" s="775">
        <f ca="1">SUMIF(CT_tram!$B$2243:$G$2384,kl!B231,CT_tram!$G$2243:$G$2384)</f>
        <v>0</v>
      </c>
      <c r="AB231" s="775">
        <f ca="1">SUMIF(CT_tram!$B$2391:$G$2563,kl!B231,CT_tram!$G$2391:$G$2563)</f>
        <v>0</v>
      </c>
      <c r="AC231" s="775">
        <f ca="1">SUMIF(chitiet!$B$13:$N$2352,kl!$B231,chitiet!$I$13:$I$2352)</f>
        <v>0</v>
      </c>
      <c r="AD231" s="775">
        <f ca="1">SUMIF(chitiet!$B$13:$N$2352,kl!$B231,chitiet!$J$13:$J$2352)</f>
        <v>0</v>
      </c>
      <c r="AE231" s="775">
        <f ca="1">SUMIF(chitiet!$B$13:$N$2352,kl!$B231,chitiet!$K$13:$K$2352)</f>
        <v>16</v>
      </c>
      <c r="AF231" s="775">
        <f ca="1">SUMIF(chitiet!$B$13:$N$2352,kl!$B231,chitiet!$L$13:$L$2352)</f>
        <v>0</v>
      </c>
      <c r="AG231" s="775">
        <f ca="1">SUMIF(chitiet!$B$13:$N$2352,kl!$B231,chitiet!$M$13)</f>
        <v>0</v>
      </c>
      <c r="AH231" s="775">
        <f ca="1">SUMIF(chitiet!$B$13:$N$2352,kl!$B231,chitiet!$N$13:$N$2352)</f>
        <v>0</v>
      </c>
      <c r="AI231" s="775">
        <f ca="1">SUMIF(chitiet!$B$13:$N$2352,kl!$B231,chitiet!$O$13:$O$2352)</f>
        <v>0</v>
      </c>
      <c r="AJ231" s="775">
        <f ca="1">SUMIF('Cap ngam'!$B$631:$G$723,kl!$B231,'Cap ngam'!$G$631:$G$723)</f>
        <v>0</v>
      </c>
      <c r="AK231" s="775">
        <f ca="1">SUMIF('Cap ngam'!$B$403:$G$628,kl!$B231,'Cap ngam'!G$403:G$628)</f>
        <v>0</v>
      </c>
      <c r="AL231" s="775">
        <f ca="1">SUMIF('Cap ngam'!B$16:G$400,kl!$B231,'Cap ngam'!G$16:G$400)</f>
        <v>0</v>
      </c>
      <c r="AM231" s="776">
        <v>0.2</v>
      </c>
      <c r="AN231" s="775">
        <f t="shared" ca="1" si="133"/>
        <v>0</v>
      </c>
      <c r="AO231" s="775">
        <f t="shared" ca="1" si="134"/>
        <v>0</v>
      </c>
      <c r="AP231" s="775">
        <f t="shared" ca="1" si="135"/>
        <v>0</v>
      </c>
      <c r="AQ231" s="775">
        <f t="shared" ca="1" si="136"/>
        <v>0</v>
      </c>
      <c r="AR231" s="775">
        <f t="shared" ca="1" si="137"/>
        <v>0</v>
      </c>
      <c r="AS231" s="775">
        <f t="shared" ca="1" si="138"/>
        <v>0</v>
      </c>
      <c r="AT231" s="775">
        <f t="shared" ca="1" si="139"/>
        <v>0</v>
      </c>
      <c r="AU231" s="775">
        <f t="shared" ca="1" si="140"/>
        <v>0</v>
      </c>
      <c r="AV231" s="775">
        <f t="shared" ca="1" si="141"/>
        <v>0</v>
      </c>
      <c r="AW231" s="775">
        <f t="shared" ca="1" si="142"/>
        <v>0</v>
      </c>
      <c r="AX231" s="775">
        <f t="shared" si="143"/>
        <v>0</v>
      </c>
      <c r="AY231" s="775">
        <f t="shared" ca="1" si="144"/>
        <v>0</v>
      </c>
      <c r="AZ231" s="775">
        <f t="shared" si="145"/>
        <v>0</v>
      </c>
      <c r="BA231" s="775">
        <f t="shared" ca="1" si="126"/>
        <v>0</v>
      </c>
      <c r="BB231" s="775">
        <f t="shared" ca="1" si="127"/>
        <v>0</v>
      </c>
      <c r="BC231" s="775">
        <f t="shared" ca="1" si="128"/>
        <v>0</v>
      </c>
      <c r="BD231" s="775">
        <f t="shared" ca="1" si="129"/>
        <v>0</v>
      </c>
      <c r="BE231" s="775">
        <f t="shared" ca="1" si="130"/>
        <v>0</v>
      </c>
      <c r="BF231" s="775">
        <f t="shared" ca="1" si="131"/>
        <v>0</v>
      </c>
      <c r="BG231" s="775">
        <f t="shared" ca="1" si="132"/>
        <v>0</v>
      </c>
      <c r="BH231" s="775">
        <f t="shared" ca="1" si="146"/>
        <v>0</v>
      </c>
      <c r="BI231" s="775">
        <f t="shared" ca="1" si="147"/>
        <v>0</v>
      </c>
      <c r="BJ231" s="775">
        <f t="shared" ca="1" si="148"/>
        <v>3.2</v>
      </c>
      <c r="BK231" s="775">
        <f t="shared" ca="1" si="149"/>
        <v>0</v>
      </c>
      <c r="BL231" s="775">
        <f t="shared" ca="1" si="150"/>
        <v>0</v>
      </c>
      <c r="BM231" s="775">
        <f t="shared" ca="1" si="151"/>
        <v>0</v>
      </c>
      <c r="BN231" s="775">
        <f t="shared" ca="1" si="152"/>
        <v>0</v>
      </c>
      <c r="BO231" s="775">
        <f t="shared" ca="1" si="153"/>
        <v>0</v>
      </c>
      <c r="BP231" s="775">
        <f t="shared" ca="1" si="154"/>
        <v>0</v>
      </c>
      <c r="BQ231" s="775">
        <f t="shared" ca="1" si="157"/>
        <v>0</v>
      </c>
      <c r="BR231" s="775">
        <f t="shared" ca="1" si="155"/>
        <v>0</v>
      </c>
    </row>
    <row r="232" spans="1:73">
      <c r="A232" s="767" t="str">
        <f t="shared" ca="1" si="110"/>
        <v/>
      </c>
      <c r="B232" s="234" t="s">
        <v>914</v>
      </c>
      <c r="C232" s="188" t="str">
        <f ca="1">IF(F232=0,"",COUNTIF($F$78:$F232,"&gt;0"))</f>
        <v/>
      </c>
      <c r="D232" s="778" t="str">
        <f>VLOOKUP($B232,dongia1,DG!$C$5,)</f>
        <v>Kẹp ép cỡ dây 25mm2</v>
      </c>
      <c r="E232" s="555" t="str">
        <f>VLOOKUP($B232,dongia1,DG!$D$5,)</f>
        <v>cái</v>
      </c>
      <c r="F232" s="779">
        <f ca="1">G232+H232</f>
        <v>0</v>
      </c>
      <c r="G232" s="775">
        <f t="shared" ca="1" si="121"/>
        <v>0</v>
      </c>
      <c r="H232" s="775">
        <f ca="1">SUMIF(CT_tram!$B$33:$G$3559,kl!B232,CT_tram!$G$33:$G$3559)</f>
        <v>0</v>
      </c>
      <c r="I232" s="775">
        <f ca="1">SUMIF(CT_tram!$B$34:$G$115,$B232,CT_tram!$G$34:$G$115)</f>
        <v>0</v>
      </c>
      <c r="J232" s="775">
        <f ca="1">SUMIF(CT_tram!$B$122:$G$204,$B232,CT_tram!$G$122:$G$204)</f>
        <v>0</v>
      </c>
      <c r="K232" s="775">
        <f ca="1">SUMIF(CT_tram!$B$211:$G$293,$B232,CT_tram!$G$211:$G$293)</f>
        <v>0</v>
      </c>
      <c r="L232" s="775">
        <f ca="1">SUMIF(CT_tram!$B$300:$G$374,$B232,CT_tram!$G$300:$G$374)</f>
        <v>0</v>
      </c>
      <c r="M232" s="775">
        <f ca="1">SUMIF(CT_tram!$B$381:$G$471,$B232,CT_tram!$G$381:$G$471)</f>
        <v>0</v>
      </c>
      <c r="N232" s="775">
        <f ca="1">SUMIF(CT_tram!$B$478:$G$560,$B232,CT_tram!$G$478:$G$560)</f>
        <v>0</v>
      </c>
      <c r="O232" s="775">
        <f ca="1">SUMIF(CT_tram!$B$567:$G$653,$B232,CT_tram!$G$567:$G$653)</f>
        <v>0</v>
      </c>
      <c r="P232" s="775">
        <f ca="1">SUMIF(CT_tram!$B$661:$G$738,$B232,CT_tram!$G$661:$G$738)</f>
        <v>0</v>
      </c>
      <c r="Q232" s="775">
        <f ca="1">SUMIF(CT_tram!$B$745:$G$899,$B232,CT_tram!$G$745:$G$899)</f>
        <v>0</v>
      </c>
      <c r="R232" s="775">
        <f ca="1">SUMIF(CT_tram!$B$907:$G$995,$B232,CT_tram!$G$907:$G$995)</f>
        <v>0</v>
      </c>
      <c r="S232" s="775"/>
      <c r="T232" s="775">
        <f ca="1">SUMIF(CT_tram!$B$1004:$G$1097,B232,CT_tram!$G$1004:$G$1097)</f>
        <v>0</v>
      </c>
      <c r="U232" s="775"/>
      <c r="V232" s="775">
        <f ca="1">SUMIF(CT_tram!$B$1226:$G$1352,kl!B232,CT_tram!$G$1226:$G$1352)</f>
        <v>0</v>
      </c>
      <c r="W232" s="780">
        <f ca="1">SUMIF(CT_tram!$B$1105:$G$1219,kl!B232,CT_tram!$G$1105:$G$1219)</f>
        <v>0</v>
      </c>
      <c r="X232" s="775">
        <f ca="1">SUMIF(CT_tram!$B$1359:$G$1504,kl!B232,CT_tram!$G$1359:$G$1504)</f>
        <v>0</v>
      </c>
      <c r="Y232" s="775">
        <f ca="1">SUMIF(CT_tram!$B$1511:$G$1625,kl!B232,CT_tram!$G$1511:$G$1625)</f>
        <v>0</v>
      </c>
      <c r="Z232" s="775">
        <f ca="1">SUMIF(CT_tram!$B$1632:$G$2211,kl!B232,CT_tram!$G$1632:$G$2211)</f>
        <v>0</v>
      </c>
      <c r="AA232" s="775">
        <f ca="1">SUMIF(CT_tram!$B$2243:$G$2384,kl!B232,CT_tram!$G$2243:$G$2384)</f>
        <v>0</v>
      </c>
      <c r="AB232" s="775">
        <f ca="1">SUMIF(CT_tram!$B$2391:$G$2563,kl!B232,CT_tram!$G$2391:$G$2563)</f>
        <v>0</v>
      </c>
      <c r="AC232" s="775">
        <f ca="1">SUMIF(chitiet!$B$13:$N$2352,kl!$B232,chitiet!$I$13:$I$2352)</f>
        <v>0</v>
      </c>
      <c r="AD232" s="775">
        <f ca="1">SUMIF(chitiet!$B$13:$N$2352,kl!$B232,chitiet!$J$13:$J$2352)</f>
        <v>0</v>
      </c>
      <c r="AE232" s="775">
        <f ca="1">SUMIF(chitiet!$B$13:$N$2352,kl!$B232,chitiet!$K$13:$K$2352)</f>
        <v>0</v>
      </c>
      <c r="AF232" s="775">
        <f ca="1">SUMIF(chitiet!$B$13:$N$2352,kl!$B232,chitiet!$L$13:$L$2352)</f>
        <v>0</v>
      </c>
      <c r="AG232" s="775">
        <f ca="1">SUMIF(chitiet!$B$13:$N$2352,kl!$B232,chitiet!$M$13)</f>
        <v>0</v>
      </c>
      <c r="AH232" s="775">
        <f ca="1">SUMIF(chitiet!$B$13:$N$2352,kl!$B232,chitiet!$N$13:$N$2352)</f>
        <v>0</v>
      </c>
      <c r="AI232" s="775">
        <f ca="1">SUMIF(chitiet!$B$13:$N$2352,kl!$B232,chitiet!$O$13:$O$2352)</f>
        <v>0</v>
      </c>
      <c r="AJ232" s="775">
        <f ca="1">SUMIF('Cap ngam'!$B$631:$G$723,kl!$B232,'Cap ngam'!$G$631:$G$723)</f>
        <v>0</v>
      </c>
      <c r="AK232" s="775">
        <f ca="1">SUMIF('Cap ngam'!$B$403:$G$628,kl!$B232,'Cap ngam'!G$403:G$628)</f>
        <v>0</v>
      </c>
      <c r="AL232" s="775">
        <f ca="1">SUMIF('Cap ngam'!B$16:G$400,kl!$B232,'Cap ngam'!G$16:G$400)</f>
        <v>0</v>
      </c>
      <c r="AM232" s="776">
        <v>0.2</v>
      </c>
      <c r="AN232" s="775">
        <f t="shared" ca="1" si="133"/>
        <v>0</v>
      </c>
      <c r="AO232" s="775">
        <f t="shared" ca="1" si="134"/>
        <v>0</v>
      </c>
      <c r="AP232" s="775">
        <f t="shared" ca="1" si="135"/>
        <v>0</v>
      </c>
      <c r="AQ232" s="775">
        <f t="shared" ca="1" si="136"/>
        <v>0</v>
      </c>
      <c r="AR232" s="775">
        <f t="shared" ca="1" si="137"/>
        <v>0</v>
      </c>
      <c r="AS232" s="775">
        <f t="shared" ca="1" si="138"/>
        <v>0</v>
      </c>
      <c r="AT232" s="775">
        <f t="shared" ca="1" si="139"/>
        <v>0</v>
      </c>
      <c r="AU232" s="775">
        <f t="shared" ca="1" si="140"/>
        <v>0</v>
      </c>
      <c r="AV232" s="775">
        <f t="shared" ca="1" si="141"/>
        <v>0</v>
      </c>
      <c r="AW232" s="775">
        <f t="shared" ca="1" si="142"/>
        <v>0</v>
      </c>
      <c r="AX232" s="775">
        <f t="shared" si="143"/>
        <v>0</v>
      </c>
      <c r="AY232" s="775">
        <f t="shared" ca="1" si="144"/>
        <v>0</v>
      </c>
      <c r="AZ232" s="775">
        <f t="shared" si="145"/>
        <v>0</v>
      </c>
      <c r="BA232" s="775">
        <f t="shared" ca="1" si="126"/>
        <v>0</v>
      </c>
      <c r="BB232" s="775">
        <f t="shared" ca="1" si="127"/>
        <v>0</v>
      </c>
      <c r="BC232" s="775">
        <f t="shared" ca="1" si="128"/>
        <v>0</v>
      </c>
      <c r="BD232" s="775">
        <f t="shared" ca="1" si="129"/>
        <v>0</v>
      </c>
      <c r="BE232" s="775">
        <f t="shared" ca="1" si="130"/>
        <v>0</v>
      </c>
      <c r="BF232" s="775">
        <f t="shared" ca="1" si="131"/>
        <v>0</v>
      </c>
      <c r="BG232" s="775">
        <f t="shared" ca="1" si="132"/>
        <v>0</v>
      </c>
      <c r="BH232" s="775">
        <f t="shared" ca="1" si="146"/>
        <v>0</v>
      </c>
      <c r="BI232" s="775">
        <f t="shared" ca="1" si="147"/>
        <v>0</v>
      </c>
      <c r="BJ232" s="775">
        <f t="shared" ca="1" si="148"/>
        <v>0</v>
      </c>
      <c r="BK232" s="775">
        <f t="shared" ca="1" si="149"/>
        <v>0</v>
      </c>
      <c r="BL232" s="775">
        <f t="shared" ca="1" si="150"/>
        <v>0</v>
      </c>
      <c r="BM232" s="775">
        <f t="shared" ca="1" si="151"/>
        <v>0</v>
      </c>
      <c r="BN232" s="775">
        <f t="shared" ca="1" si="152"/>
        <v>0</v>
      </c>
      <c r="BO232" s="775">
        <f t="shared" ca="1" si="153"/>
        <v>0</v>
      </c>
      <c r="BP232" s="775">
        <f t="shared" ca="1" si="154"/>
        <v>0</v>
      </c>
      <c r="BQ232" s="775">
        <f t="shared" ca="1" si="157"/>
        <v>0</v>
      </c>
      <c r="BR232" s="775">
        <f t="shared" ca="1" si="155"/>
        <v>0</v>
      </c>
    </row>
    <row r="233" spans="1:73">
      <c r="A233" s="767" t="str">
        <f ca="1">IF(F233&lt;&gt;0,"X","")</f>
        <v/>
      </c>
      <c r="B233" s="234" t="s">
        <v>642</v>
      </c>
      <c r="C233" s="188" t="str">
        <f ca="1">IF(F233=0,"",COUNTIF($F$78:$F233,"&gt;0"))</f>
        <v/>
      </c>
      <c r="D233" s="778" t="str">
        <f>VLOOKUP($B233,dongia1,DG!$C$5,)</f>
        <v>Kẹp ép WR cỡ dây 35mm2</v>
      </c>
      <c r="E233" s="555" t="str">
        <f>VLOOKUP($B233,dongia1,DG!$D$5,)</f>
        <v>cái</v>
      </c>
      <c r="F233" s="779">
        <f ca="1">G233+H233</f>
        <v>0</v>
      </c>
      <c r="G233" s="775">
        <f ca="1">SUM(AC233:AL233)</f>
        <v>0</v>
      </c>
      <c r="H233" s="775">
        <f ca="1">SUMIF(CT_tram!$B$33:$G$3559,kl!B233,CT_tram!$G$33:$G$3559)</f>
        <v>0</v>
      </c>
      <c r="I233" s="775">
        <f ca="1">SUMIF(CT_tram!$B$34:$G$115,$B233,CT_tram!$G$34:$G$115)</f>
        <v>0</v>
      </c>
      <c r="J233" s="775">
        <f ca="1">SUMIF(CT_tram!$B$122:$G$204,$B233,CT_tram!$G$122:$G$204)</f>
        <v>0</v>
      </c>
      <c r="K233" s="775">
        <f ca="1">SUMIF(CT_tram!$B$211:$G$293,$B233,CT_tram!$G$211:$G$293)</f>
        <v>0</v>
      </c>
      <c r="L233" s="775">
        <f ca="1">SUMIF(CT_tram!$B$300:$G$374,$B233,CT_tram!$G$300:$G$374)</f>
        <v>0</v>
      </c>
      <c r="M233" s="775">
        <f ca="1">SUMIF(CT_tram!$B$381:$G$471,$B233,CT_tram!$G$381:$G$471)</f>
        <v>0</v>
      </c>
      <c r="N233" s="775">
        <f ca="1">SUMIF(CT_tram!$B$478:$G$560,$B233,CT_tram!$G$478:$G$560)</f>
        <v>0</v>
      </c>
      <c r="O233" s="775">
        <f ca="1">SUMIF(CT_tram!$B$567:$G$653,$B233,CT_tram!$G$567:$G$653)</f>
        <v>0</v>
      </c>
      <c r="P233" s="775">
        <f ca="1">SUMIF(CT_tram!$B$661:$G$738,$B233,CT_tram!$G$661:$G$738)</f>
        <v>0</v>
      </c>
      <c r="Q233" s="775">
        <f ca="1">SUMIF(CT_tram!$B$745:$G$899,$B233,CT_tram!$G$745:$G$899)</f>
        <v>0</v>
      </c>
      <c r="R233" s="775">
        <f ca="1">SUMIF(CT_tram!$B$907:$G$995,$B233,CT_tram!$G$907:$G$995)</f>
        <v>0</v>
      </c>
      <c r="S233" s="775"/>
      <c r="T233" s="775">
        <f ca="1">SUMIF(CT_tram!$B$1004:$G$1097,B233,CT_tram!$G$1004:$G$1097)</f>
        <v>0</v>
      </c>
      <c r="U233" s="775"/>
      <c r="V233" s="775">
        <f ca="1">SUMIF(CT_tram!$B$1226:$G$1352,kl!B233,CT_tram!$G$1226:$G$1352)</f>
        <v>0</v>
      </c>
      <c r="W233" s="780">
        <f ca="1">SUMIF(CT_tram!$B$1105:$G$1219,kl!B233,CT_tram!$G$1105:$G$1219)</f>
        <v>0</v>
      </c>
      <c r="X233" s="775">
        <f ca="1">SUMIF(CT_tram!$B$1359:$G$1504,kl!B233,CT_tram!$G$1359:$G$1504)</f>
        <v>0</v>
      </c>
      <c r="Y233" s="775">
        <f ca="1">SUMIF(CT_tram!$B$1511:$G$1625,kl!B233,CT_tram!$G$1511:$G$1625)</f>
        <v>0</v>
      </c>
      <c r="Z233" s="775">
        <f ca="1">SUMIF(CT_tram!$B$1632:$G$2211,kl!B233,CT_tram!$G$1632:$G$2211)</f>
        <v>0</v>
      </c>
      <c r="AA233" s="775">
        <f ca="1">SUMIF(CT_tram!$B$2243:$G$2384,kl!B233,CT_tram!$G$2243:$G$2384)</f>
        <v>0</v>
      </c>
      <c r="AB233" s="775">
        <f ca="1">SUMIF(CT_tram!$B$2391:$G$2563,kl!B233,CT_tram!$G$2391:$G$2563)</f>
        <v>0</v>
      </c>
      <c r="AC233" s="775">
        <f ca="1">SUMIF(chitiet!$B$13:$N$2352,kl!$B233,chitiet!$I$13:$I$2352)</f>
        <v>0</v>
      </c>
      <c r="AD233" s="775">
        <f ca="1">SUMIF(chitiet!$B$13:$N$2352,kl!$B233,chitiet!$J$13:$J$2352)</f>
        <v>0</v>
      </c>
      <c r="AE233" s="775">
        <f ca="1">SUMIF(chitiet!$B$13:$N$2352,kl!$B233,chitiet!$K$13:$K$2352)</f>
        <v>0</v>
      </c>
      <c r="AF233" s="775">
        <f ca="1">SUMIF(chitiet!$B$13:$N$2352,kl!$B233,chitiet!$L$13:$L$2352)</f>
        <v>0</v>
      </c>
      <c r="AG233" s="775">
        <f ca="1">SUMIF(chitiet!$B$13:$N$2352,kl!$B233,chitiet!$M$13)</f>
        <v>0</v>
      </c>
      <c r="AH233" s="775">
        <f ca="1">SUMIF(chitiet!$B$13:$N$2352,kl!$B233,chitiet!$N$13:$N$2352)</f>
        <v>0</v>
      </c>
      <c r="AI233" s="775">
        <f ca="1">SUMIF(chitiet!$B$13:$N$2352,kl!$B233,chitiet!$O$13:$O$2352)</f>
        <v>0</v>
      </c>
      <c r="AJ233" s="775">
        <f ca="1">SUMIF('Cap ngam'!$B$631:$G$723,kl!$B233,'Cap ngam'!$G$631:$G$723)</f>
        <v>0</v>
      </c>
      <c r="AK233" s="775">
        <f ca="1">SUMIF('Cap ngam'!$B$403:$G$628,kl!$B233,'Cap ngam'!G$403:G$628)</f>
        <v>0</v>
      </c>
      <c r="AL233" s="775">
        <f ca="1">SUMIF('Cap ngam'!B$16:G$400,kl!$B233,'Cap ngam'!G$16:G$400)</f>
        <v>0</v>
      </c>
      <c r="AM233" s="776">
        <v>0.2</v>
      </c>
      <c r="AN233" s="775">
        <f t="shared" ca="1" si="133"/>
        <v>0</v>
      </c>
      <c r="AO233" s="775">
        <f t="shared" ca="1" si="134"/>
        <v>0</v>
      </c>
      <c r="AP233" s="775">
        <f t="shared" ca="1" si="135"/>
        <v>0</v>
      </c>
      <c r="AQ233" s="775">
        <f t="shared" ca="1" si="136"/>
        <v>0</v>
      </c>
      <c r="AR233" s="775">
        <f t="shared" ca="1" si="137"/>
        <v>0</v>
      </c>
      <c r="AS233" s="775">
        <f t="shared" ca="1" si="138"/>
        <v>0</v>
      </c>
      <c r="AT233" s="775">
        <f t="shared" ca="1" si="139"/>
        <v>0</v>
      </c>
      <c r="AU233" s="775">
        <f t="shared" ca="1" si="140"/>
        <v>0</v>
      </c>
      <c r="AV233" s="775">
        <f t="shared" ca="1" si="141"/>
        <v>0</v>
      </c>
      <c r="AW233" s="775">
        <f t="shared" ca="1" si="142"/>
        <v>0</v>
      </c>
      <c r="AX233" s="775">
        <f t="shared" si="143"/>
        <v>0</v>
      </c>
      <c r="AY233" s="775">
        <f t="shared" ca="1" si="144"/>
        <v>0</v>
      </c>
      <c r="AZ233" s="775">
        <f t="shared" si="145"/>
        <v>0</v>
      </c>
      <c r="BA233" s="775">
        <f t="shared" ca="1" si="126"/>
        <v>0</v>
      </c>
      <c r="BB233" s="775">
        <f t="shared" ca="1" si="127"/>
        <v>0</v>
      </c>
      <c r="BC233" s="775">
        <f t="shared" ca="1" si="128"/>
        <v>0</v>
      </c>
      <c r="BD233" s="775">
        <f t="shared" ca="1" si="129"/>
        <v>0</v>
      </c>
      <c r="BE233" s="775">
        <f t="shared" ca="1" si="130"/>
        <v>0</v>
      </c>
      <c r="BF233" s="775">
        <f t="shared" ca="1" si="131"/>
        <v>0</v>
      </c>
      <c r="BG233" s="775">
        <f t="shared" ca="1" si="132"/>
        <v>0</v>
      </c>
      <c r="BH233" s="775">
        <f t="shared" ca="1" si="146"/>
        <v>0</v>
      </c>
      <c r="BI233" s="775">
        <f t="shared" ca="1" si="147"/>
        <v>0</v>
      </c>
      <c r="BJ233" s="775">
        <f t="shared" ca="1" si="148"/>
        <v>0</v>
      </c>
      <c r="BK233" s="775">
        <f t="shared" ca="1" si="149"/>
        <v>0</v>
      </c>
      <c r="BL233" s="775">
        <f t="shared" ca="1" si="150"/>
        <v>0</v>
      </c>
      <c r="BM233" s="775">
        <f t="shared" ca="1" si="151"/>
        <v>0</v>
      </c>
      <c r="BN233" s="775">
        <f t="shared" ca="1" si="152"/>
        <v>0</v>
      </c>
      <c r="BO233" s="775">
        <f t="shared" ca="1" si="153"/>
        <v>0</v>
      </c>
      <c r="BP233" s="775">
        <f t="shared" ca="1" si="154"/>
        <v>0</v>
      </c>
      <c r="BQ233" s="775">
        <f t="shared" ca="1" si="157"/>
        <v>0</v>
      </c>
      <c r="BR233" s="775">
        <f t="shared" ca="1" si="155"/>
        <v>0</v>
      </c>
    </row>
    <row r="234" spans="1:73">
      <c r="A234" s="767" t="str">
        <f t="shared" ca="1" si="110"/>
        <v>X</v>
      </c>
      <c r="B234" s="234" t="s">
        <v>205</v>
      </c>
      <c r="C234" s="188">
        <f ca="1">IF(F234=0,"",COUNTIF($F$78:$F234,"&gt;0"))</f>
        <v>16</v>
      </c>
      <c r="D234" s="778" t="str">
        <f>VLOOKUP($B234,dongia1,DG!$C$5,)</f>
        <v>Kẹp ép WR cỡ dây 50mm2</v>
      </c>
      <c r="E234" s="555" t="str">
        <f>VLOOKUP($B234,dongia1,DG!$D$5,)</f>
        <v>cái</v>
      </c>
      <c r="F234" s="975">
        <f t="shared" ca="1" si="161"/>
        <v>8</v>
      </c>
      <c r="G234" s="976">
        <f t="shared" ca="1" si="121"/>
        <v>6</v>
      </c>
      <c r="H234" s="976">
        <f ca="1">SUMIF(CT_tram!$B$33:$G$3559,kl!B234,CT_tram!$G$33:$G$3559)</f>
        <v>2</v>
      </c>
      <c r="I234" s="775">
        <f ca="1">SUMIF(CT_tram!$B$34:$G$115,$B234,CT_tram!$G$34:$G$115)</f>
        <v>0</v>
      </c>
      <c r="J234" s="775">
        <f ca="1">SUMIF(CT_tram!$B$122:$G$204,$B234,CT_tram!$G$122:$G$204)</f>
        <v>0</v>
      </c>
      <c r="K234" s="775">
        <f ca="1">SUMIF(CT_tram!$B$211:$G$293,$B234,CT_tram!$G$211:$G$293)</f>
        <v>0</v>
      </c>
      <c r="L234" s="775">
        <f ca="1">SUMIF(CT_tram!$B$300:$G$374,$B234,CT_tram!$G$300:$G$374)</f>
        <v>0</v>
      </c>
      <c r="M234" s="775">
        <f ca="1">SUMIF(CT_tram!$B$381:$G$471,$B234,CT_tram!$G$381:$G$471)</f>
        <v>0</v>
      </c>
      <c r="N234" s="775">
        <f ca="1">SUMIF(CT_tram!$B$478:$G$560,$B234,CT_tram!$G$478:$G$560)</f>
        <v>0</v>
      </c>
      <c r="O234" s="775">
        <f ca="1">SUMIF(CT_tram!$B$567:$G$653,$B234,CT_tram!$G$567:$G$653)</f>
        <v>0</v>
      </c>
      <c r="P234" s="775">
        <f ca="1">SUMIF(CT_tram!$B$661:$G$738,$B234,CT_tram!$G$661:$G$738)</f>
        <v>0</v>
      </c>
      <c r="Q234" s="775">
        <f ca="1">SUMIF(CT_tram!$B$745:$G$899,$B234,CT_tram!$G$745:$G$899)</f>
        <v>0</v>
      </c>
      <c r="R234" s="775">
        <f ca="1">SUMIF(CT_tram!$B$907:$G$995,$B234,CT_tram!$G$907:$G$995)</f>
        <v>0</v>
      </c>
      <c r="S234" s="775"/>
      <c r="T234" s="775">
        <f ca="1">SUMIF(CT_tram!$B$1004:$G$1097,B234,CT_tram!$G$1004:$G$1097)</f>
        <v>0</v>
      </c>
      <c r="U234" s="775"/>
      <c r="V234" s="775">
        <f ca="1">SUMIF(CT_tram!$B$1226:$G$1352,kl!B234,CT_tram!$G$1226:$G$1352)</f>
        <v>0</v>
      </c>
      <c r="W234" s="780">
        <f ca="1">SUMIF(CT_tram!$B$1105:$G$1219,kl!B234,CT_tram!$G$1105:$G$1219)</f>
        <v>0</v>
      </c>
      <c r="X234" s="775">
        <f ca="1">SUMIF(CT_tram!$B$1359:$G$1504,kl!B234,CT_tram!$G$1359:$G$1504)</f>
        <v>0</v>
      </c>
      <c r="Y234" s="775">
        <f ca="1">SUMIF(CT_tram!$B$1511:$G$1625,kl!B234,CT_tram!$G$1511:$G$1625)</f>
        <v>0</v>
      </c>
      <c r="Z234" s="775">
        <f ca="1">SUMIF(CT_tram!$B$1632:$G$2211,kl!B234,CT_tram!$G$1632:$G$2211)</f>
        <v>0</v>
      </c>
      <c r="AA234" s="775">
        <f ca="1">SUMIF(CT_tram!$B$2243:$G$2384,kl!B234,CT_tram!$G$2243:$G$2384)</f>
        <v>0</v>
      </c>
      <c r="AB234" s="775">
        <f ca="1">SUMIF(CT_tram!$B$2391:$G$2563,kl!B234,CT_tram!$G$2391:$G$2563)</f>
        <v>0</v>
      </c>
      <c r="AC234" s="775">
        <f ca="1">SUMIF(chitiet!$B$13:$N$2352,kl!$B234,chitiet!$I$13:$I$2352)</f>
        <v>0</v>
      </c>
      <c r="AD234" s="775">
        <f ca="1">SUMIF(chitiet!$B$13:$N$2352,kl!$B234,chitiet!$J$13:$J$2352)</f>
        <v>0</v>
      </c>
      <c r="AE234" s="775">
        <f ca="1">SUMIF(chitiet!$B$13:$N$2352,kl!$B234,chitiet!$K$13:$K$2352)</f>
        <v>6</v>
      </c>
      <c r="AF234" s="775">
        <f ca="1">SUMIF(chitiet!$B$13:$N$2352,kl!$B234,chitiet!$L$13:$L$2352)</f>
        <v>0</v>
      </c>
      <c r="AG234" s="775">
        <f ca="1">SUMIF(chitiet!$B$13:$N$2352,kl!$B234,chitiet!$M$13)</f>
        <v>0</v>
      </c>
      <c r="AH234" s="775">
        <f ca="1">SUMIF(chitiet!$B$13:$N$2352,kl!$B234,chitiet!$N$13:$N$2352)</f>
        <v>0</v>
      </c>
      <c r="AI234" s="775">
        <f ca="1">SUMIF(chitiet!$B$13:$N$2352,kl!$B234,chitiet!$O$13:$O$2352)</f>
        <v>0</v>
      </c>
      <c r="AJ234" s="775">
        <f ca="1">SUMIF('Cap ngam'!$B$631:$G$723,kl!$B234,'Cap ngam'!$G$631:$G$723)</f>
        <v>0</v>
      </c>
      <c r="AK234" s="775">
        <f ca="1">SUMIF('Cap ngam'!$B$403:$G$628,kl!$B234,'Cap ngam'!G$403:G$628)</f>
        <v>0</v>
      </c>
      <c r="AL234" s="775">
        <f ca="1">SUMIF('Cap ngam'!B$16:G$400,kl!$B234,'Cap ngam'!G$16:G$400)</f>
        <v>0</v>
      </c>
      <c r="AM234" s="776">
        <v>0.2</v>
      </c>
      <c r="AN234" s="775">
        <f t="shared" ca="1" si="133"/>
        <v>0</v>
      </c>
      <c r="AO234" s="775">
        <f t="shared" ca="1" si="134"/>
        <v>0</v>
      </c>
      <c r="AP234" s="775">
        <f t="shared" ca="1" si="135"/>
        <v>0</v>
      </c>
      <c r="AQ234" s="775">
        <f t="shared" ca="1" si="136"/>
        <v>0</v>
      </c>
      <c r="AR234" s="775">
        <f t="shared" ca="1" si="137"/>
        <v>0</v>
      </c>
      <c r="AS234" s="775">
        <f t="shared" ca="1" si="138"/>
        <v>0</v>
      </c>
      <c r="AT234" s="775">
        <f t="shared" ca="1" si="139"/>
        <v>0</v>
      </c>
      <c r="AU234" s="775">
        <f t="shared" ca="1" si="140"/>
        <v>0</v>
      </c>
      <c r="AV234" s="775">
        <f t="shared" ca="1" si="141"/>
        <v>0</v>
      </c>
      <c r="AW234" s="775">
        <f t="shared" ca="1" si="142"/>
        <v>0</v>
      </c>
      <c r="AX234" s="775">
        <f t="shared" si="143"/>
        <v>0</v>
      </c>
      <c r="AY234" s="775">
        <f t="shared" ca="1" si="144"/>
        <v>0</v>
      </c>
      <c r="AZ234" s="775">
        <f t="shared" si="145"/>
        <v>0</v>
      </c>
      <c r="BA234" s="775">
        <f t="shared" ca="1" si="126"/>
        <v>0</v>
      </c>
      <c r="BB234" s="775">
        <f t="shared" ca="1" si="127"/>
        <v>0</v>
      </c>
      <c r="BC234" s="775">
        <f t="shared" ca="1" si="128"/>
        <v>0</v>
      </c>
      <c r="BD234" s="775">
        <f t="shared" ca="1" si="129"/>
        <v>0</v>
      </c>
      <c r="BE234" s="775">
        <f t="shared" ca="1" si="130"/>
        <v>0</v>
      </c>
      <c r="BF234" s="775">
        <f t="shared" ca="1" si="131"/>
        <v>0</v>
      </c>
      <c r="BG234" s="775">
        <f t="shared" ca="1" si="132"/>
        <v>0</v>
      </c>
      <c r="BH234" s="775">
        <f t="shared" ca="1" si="146"/>
        <v>0</v>
      </c>
      <c r="BI234" s="775">
        <f t="shared" ca="1" si="147"/>
        <v>0</v>
      </c>
      <c r="BJ234" s="775">
        <f t="shared" ca="1" si="148"/>
        <v>1.2000000000000002</v>
      </c>
      <c r="BK234" s="775">
        <f t="shared" ca="1" si="149"/>
        <v>0</v>
      </c>
      <c r="BL234" s="775">
        <f t="shared" ca="1" si="150"/>
        <v>0</v>
      </c>
      <c r="BM234" s="775">
        <f t="shared" ca="1" si="151"/>
        <v>0</v>
      </c>
      <c r="BN234" s="775">
        <f t="shared" ca="1" si="152"/>
        <v>0</v>
      </c>
      <c r="BO234" s="775">
        <f t="shared" ca="1" si="153"/>
        <v>0</v>
      </c>
      <c r="BP234" s="775">
        <f t="shared" ca="1" si="154"/>
        <v>0</v>
      </c>
      <c r="BQ234" s="775">
        <f t="shared" ca="1" si="157"/>
        <v>0</v>
      </c>
      <c r="BR234" s="775">
        <f t="shared" ca="1" si="155"/>
        <v>0.4</v>
      </c>
    </row>
    <row r="235" spans="1:73">
      <c r="A235" s="767" t="str">
        <f t="shared" ca="1" si="110"/>
        <v/>
      </c>
      <c r="B235" s="234" t="s">
        <v>206</v>
      </c>
      <c r="C235" s="188" t="str">
        <f ca="1">IF(F235=0,"",COUNTIF($F$78:$F235,"&gt;0"))</f>
        <v/>
      </c>
      <c r="D235" s="778" t="str">
        <f>VLOOKUP($B235,dongia1,DG!$C$5,)</f>
        <v>Kẹp ép WR cỡ dây 70mm2</v>
      </c>
      <c r="E235" s="555" t="str">
        <f>VLOOKUP($B235,dongia1,DG!$D$5,)</f>
        <v>cái</v>
      </c>
      <c r="F235" s="975">
        <f t="shared" ca="1" si="161"/>
        <v>0</v>
      </c>
      <c r="G235" s="976">
        <f t="shared" ca="1" si="121"/>
        <v>0</v>
      </c>
      <c r="H235" s="976">
        <f ca="1">SUMIF(CT_tram!$B$33:$G$3559,kl!B235,CT_tram!$G$33:$G$3559)</f>
        <v>0</v>
      </c>
      <c r="I235" s="775">
        <f ca="1">SUMIF(CT_tram!$B$34:$G$115,$B235,CT_tram!$G$34:$G$115)</f>
        <v>0</v>
      </c>
      <c r="J235" s="775">
        <f ca="1">SUMIF(CT_tram!$B$122:$G$204,$B235,CT_tram!$G$122:$G$204)</f>
        <v>0</v>
      </c>
      <c r="K235" s="775">
        <f ca="1">SUMIF(CT_tram!$B$211:$G$293,$B235,CT_tram!$G$211:$G$293)</f>
        <v>0</v>
      </c>
      <c r="L235" s="775">
        <f ca="1">SUMIF(CT_tram!$B$300:$G$374,$B235,CT_tram!$G$300:$G$374)</f>
        <v>0</v>
      </c>
      <c r="M235" s="775">
        <f ca="1">SUMIF(CT_tram!$B$381:$G$471,$B235,CT_tram!$G$381:$G$471)</f>
        <v>0</v>
      </c>
      <c r="N235" s="775">
        <f ca="1">SUMIF(CT_tram!$B$478:$G$560,$B235,CT_tram!$G$478:$G$560)</f>
        <v>0</v>
      </c>
      <c r="O235" s="775">
        <f ca="1">SUMIF(CT_tram!$B$567:$G$653,$B235,CT_tram!$G$567:$G$653)</f>
        <v>0</v>
      </c>
      <c r="P235" s="775">
        <f ca="1">SUMIF(CT_tram!$B$661:$G$738,$B235,CT_tram!$G$661:$G$738)</f>
        <v>0</v>
      </c>
      <c r="Q235" s="775">
        <f ca="1">SUMIF(CT_tram!$B$745:$G$899,$B235,CT_tram!$G$745:$G$899)</f>
        <v>0</v>
      </c>
      <c r="R235" s="775">
        <f ca="1">SUMIF(CT_tram!$B$907:$G$995,$B235,CT_tram!$G$907:$G$995)</f>
        <v>0</v>
      </c>
      <c r="S235" s="775"/>
      <c r="T235" s="775">
        <f ca="1">SUMIF(CT_tram!$B$1004:$G$1097,B235,CT_tram!$G$1004:$G$1097)</f>
        <v>0</v>
      </c>
      <c r="U235" s="775"/>
      <c r="V235" s="775">
        <f ca="1">SUMIF(CT_tram!$B$1226:$G$1352,kl!B235,CT_tram!$G$1226:$G$1352)</f>
        <v>0</v>
      </c>
      <c r="W235" s="780">
        <f ca="1">SUMIF(CT_tram!$B$1105:$G$1219,kl!B235,CT_tram!$G$1105:$G$1219)</f>
        <v>0</v>
      </c>
      <c r="X235" s="775">
        <f ca="1">SUMIF(CT_tram!$B$1359:$G$1504,kl!B235,CT_tram!$G$1359:$G$1504)</f>
        <v>0</v>
      </c>
      <c r="Y235" s="775">
        <f ca="1">SUMIF(CT_tram!$B$1511:$G$1625,kl!B235,CT_tram!$G$1511:$G$1625)</f>
        <v>0</v>
      </c>
      <c r="Z235" s="775">
        <f ca="1">SUMIF(CT_tram!$B$1632:$G$2211,kl!B235,CT_tram!$G$1632:$G$2211)</f>
        <v>0</v>
      </c>
      <c r="AA235" s="775">
        <f ca="1">SUMIF(CT_tram!$B$2243:$G$2384,kl!B235,CT_tram!$G$2243:$G$2384)</f>
        <v>0</v>
      </c>
      <c r="AB235" s="775">
        <f ca="1">SUMIF(CT_tram!$B$2391:$G$2563,kl!B235,CT_tram!$G$2391:$G$2563)</f>
        <v>0</v>
      </c>
      <c r="AC235" s="775">
        <f ca="1">SUMIF(chitiet!$B$13:$N$2352,kl!$B235,chitiet!$I$13:$I$2352)</f>
        <v>0</v>
      </c>
      <c r="AD235" s="775">
        <f ca="1">SUMIF(chitiet!$B$13:$N$2352,kl!$B235,chitiet!$J$13:$J$2352)</f>
        <v>0</v>
      </c>
      <c r="AE235" s="775">
        <f ca="1">SUMIF(chitiet!$B$13:$N$2352,kl!$B235,chitiet!$K$13:$K$2352)</f>
        <v>0</v>
      </c>
      <c r="AF235" s="775">
        <f ca="1">SUMIF(chitiet!$B$13:$N$2352,kl!$B235,chitiet!$L$13:$L$2352)</f>
        <v>0</v>
      </c>
      <c r="AG235" s="775">
        <f ca="1">SUMIF(chitiet!$B$13:$N$2352,kl!$B235,chitiet!$M$13)</f>
        <v>0</v>
      </c>
      <c r="AH235" s="775">
        <f ca="1">SUMIF(chitiet!$B$13:$N$2352,kl!$B235,chitiet!$N$13:$N$2352)</f>
        <v>0</v>
      </c>
      <c r="AI235" s="775">
        <f ca="1">SUMIF(chitiet!$B$13:$N$2352,kl!$B235,chitiet!$O$13:$O$2352)</f>
        <v>0</v>
      </c>
      <c r="AJ235" s="775">
        <f ca="1">SUMIF('Cap ngam'!$B$631:$G$723,kl!$B235,'Cap ngam'!$G$631:$G$723)</f>
        <v>0</v>
      </c>
      <c r="AK235" s="775">
        <f ca="1">SUMIF('Cap ngam'!$B$403:$G$628,kl!$B235,'Cap ngam'!G$403:G$628)</f>
        <v>0</v>
      </c>
      <c r="AL235" s="775">
        <f ca="1">SUMIF('Cap ngam'!B$16:G$400,kl!$B235,'Cap ngam'!G$16:G$400)</f>
        <v>0</v>
      </c>
      <c r="AM235" s="776">
        <v>0.2</v>
      </c>
      <c r="AN235" s="775">
        <f t="shared" ca="1" si="133"/>
        <v>0</v>
      </c>
      <c r="AO235" s="775">
        <f t="shared" ca="1" si="134"/>
        <v>0</v>
      </c>
      <c r="AP235" s="775">
        <f t="shared" ca="1" si="135"/>
        <v>0</v>
      </c>
      <c r="AQ235" s="775">
        <f t="shared" ca="1" si="136"/>
        <v>0</v>
      </c>
      <c r="AR235" s="775">
        <f t="shared" ca="1" si="137"/>
        <v>0</v>
      </c>
      <c r="AS235" s="775">
        <f t="shared" ca="1" si="138"/>
        <v>0</v>
      </c>
      <c r="AT235" s="775">
        <f t="shared" ca="1" si="139"/>
        <v>0</v>
      </c>
      <c r="AU235" s="775">
        <f t="shared" ca="1" si="140"/>
        <v>0</v>
      </c>
      <c r="AV235" s="775">
        <f t="shared" ca="1" si="141"/>
        <v>0</v>
      </c>
      <c r="AW235" s="775">
        <f t="shared" ca="1" si="142"/>
        <v>0</v>
      </c>
      <c r="AX235" s="775">
        <f t="shared" si="143"/>
        <v>0</v>
      </c>
      <c r="AY235" s="775">
        <f t="shared" ca="1" si="144"/>
        <v>0</v>
      </c>
      <c r="AZ235" s="775">
        <f t="shared" si="145"/>
        <v>0</v>
      </c>
      <c r="BA235" s="775">
        <f t="shared" ca="1" si="126"/>
        <v>0</v>
      </c>
      <c r="BB235" s="775">
        <f t="shared" ca="1" si="127"/>
        <v>0</v>
      </c>
      <c r="BC235" s="775">
        <f t="shared" ca="1" si="128"/>
        <v>0</v>
      </c>
      <c r="BD235" s="775">
        <f t="shared" ca="1" si="129"/>
        <v>0</v>
      </c>
      <c r="BE235" s="775">
        <f t="shared" ca="1" si="130"/>
        <v>0</v>
      </c>
      <c r="BF235" s="775">
        <f t="shared" ca="1" si="131"/>
        <v>0</v>
      </c>
      <c r="BG235" s="775">
        <f t="shared" ca="1" si="132"/>
        <v>0</v>
      </c>
      <c r="BH235" s="775">
        <f t="shared" ca="1" si="146"/>
        <v>0</v>
      </c>
      <c r="BI235" s="775">
        <f t="shared" ca="1" si="147"/>
        <v>0</v>
      </c>
      <c r="BJ235" s="775">
        <f t="shared" ca="1" si="148"/>
        <v>0</v>
      </c>
      <c r="BK235" s="775">
        <f t="shared" ca="1" si="149"/>
        <v>0</v>
      </c>
      <c r="BL235" s="775">
        <f t="shared" ca="1" si="150"/>
        <v>0</v>
      </c>
      <c r="BM235" s="775">
        <f t="shared" ca="1" si="151"/>
        <v>0</v>
      </c>
      <c r="BN235" s="775">
        <f t="shared" ca="1" si="152"/>
        <v>0</v>
      </c>
      <c r="BO235" s="775">
        <f t="shared" ca="1" si="153"/>
        <v>0</v>
      </c>
      <c r="BP235" s="775">
        <f t="shared" ca="1" si="154"/>
        <v>0</v>
      </c>
      <c r="BQ235" s="775">
        <f t="shared" ca="1" si="157"/>
        <v>0</v>
      </c>
      <c r="BR235" s="775">
        <f t="shared" ca="1" si="155"/>
        <v>0</v>
      </c>
    </row>
    <row r="236" spans="1:73">
      <c r="A236" s="767" t="str">
        <f t="shared" ca="1" si="110"/>
        <v>X</v>
      </c>
      <c r="B236" s="234" t="s">
        <v>643</v>
      </c>
      <c r="C236" s="188">
        <f ca="1">IF(F236=0,"",COUNTIF($F$78:$F236,"&gt;0"))</f>
        <v>17</v>
      </c>
      <c r="D236" s="778" t="str">
        <f>VLOOKUP($B236,dongia1,DG!$C$5,)</f>
        <v>Kẹp ép WR cỡ dây 95mm2</v>
      </c>
      <c r="E236" s="555" t="str">
        <f>VLOOKUP($B236,dongia1,DG!$D$5,)</f>
        <v>cái</v>
      </c>
      <c r="F236" s="779">
        <f t="shared" ca="1" si="161"/>
        <v>6</v>
      </c>
      <c r="G236" s="775">
        <f t="shared" ca="1" si="121"/>
        <v>6</v>
      </c>
      <c r="H236" s="775">
        <f ca="1">SUMIF(CT_tram!$B$33:$G$3559,kl!B236,CT_tram!$G$33:$G$3559)</f>
        <v>0</v>
      </c>
      <c r="I236" s="775">
        <f ca="1">SUMIF(CT_tram!$B$34:$G$115,$B236,CT_tram!$G$34:$G$115)</f>
        <v>0</v>
      </c>
      <c r="J236" s="775">
        <f ca="1">SUMIF(CT_tram!$B$122:$G$204,$B236,CT_tram!$G$122:$G$204)</f>
        <v>0</v>
      </c>
      <c r="K236" s="775">
        <f ca="1">SUMIF(CT_tram!$B$211:$G$293,$B236,CT_tram!$G$211:$G$293)</f>
        <v>0</v>
      </c>
      <c r="L236" s="775">
        <f ca="1">SUMIF(CT_tram!$B$300:$G$374,$B236,CT_tram!$G$300:$G$374)</f>
        <v>0</v>
      </c>
      <c r="M236" s="775">
        <f ca="1">SUMIF(CT_tram!$B$381:$G$471,$B236,CT_tram!$G$381:$G$471)</f>
        <v>0</v>
      </c>
      <c r="N236" s="775">
        <f ca="1">SUMIF(CT_tram!$B$478:$G$560,$B236,CT_tram!$G$478:$G$560)</f>
        <v>0</v>
      </c>
      <c r="O236" s="775">
        <f ca="1">SUMIF(CT_tram!$B$567:$G$653,$B236,CT_tram!$G$567:$G$653)</f>
        <v>0</v>
      </c>
      <c r="P236" s="775">
        <f ca="1">SUMIF(CT_tram!$B$661:$G$738,$B236,CT_tram!$G$661:$G$738)</f>
        <v>0</v>
      </c>
      <c r="Q236" s="775">
        <f ca="1">SUMIF(CT_tram!$B$745:$G$899,$B236,CT_tram!$G$745:$G$899)</f>
        <v>0</v>
      </c>
      <c r="R236" s="775">
        <f ca="1">SUMIF(CT_tram!$B$907:$G$995,$B236,CT_tram!$G$907:$G$995)</f>
        <v>0</v>
      </c>
      <c r="S236" s="775"/>
      <c r="T236" s="775">
        <f ca="1">SUMIF(CT_tram!$B$1004:$G$1097,B236,CT_tram!$G$1004:$G$1097)</f>
        <v>0</v>
      </c>
      <c r="U236" s="775"/>
      <c r="V236" s="775">
        <f ca="1">SUMIF(CT_tram!$B$1226:$G$1352,kl!B236,CT_tram!$G$1226:$G$1352)</f>
        <v>0</v>
      </c>
      <c r="W236" s="780">
        <f ca="1">SUMIF(CT_tram!$B$1105:$G$1219,kl!B236,CT_tram!$G$1105:$G$1219)</f>
        <v>0</v>
      </c>
      <c r="X236" s="775">
        <f ca="1">SUMIF(CT_tram!$B$1359:$G$1504,kl!B236,CT_tram!$G$1359:$G$1504)</f>
        <v>0</v>
      </c>
      <c r="Y236" s="775">
        <f ca="1">SUMIF(CT_tram!$B$1511:$G$1625,kl!B236,CT_tram!$G$1511:$G$1625)</f>
        <v>0</v>
      </c>
      <c r="Z236" s="775">
        <f ca="1">SUMIF(CT_tram!$B$1632:$G$2211,kl!B236,CT_tram!$G$1632:$G$2211)</f>
        <v>0</v>
      </c>
      <c r="AA236" s="775">
        <f ca="1">SUMIF(CT_tram!$B$2243:$G$2384,kl!B236,CT_tram!$G$2243:$G$2384)</f>
        <v>0</v>
      </c>
      <c r="AB236" s="775">
        <f ca="1">SUMIF(CT_tram!$B$2391:$G$2563,kl!B236,CT_tram!$G$2391:$G$2563)</f>
        <v>0</v>
      </c>
      <c r="AC236" s="775">
        <f ca="1">SUMIF(chitiet!$B$13:$N$2352,kl!$B236,chitiet!$I$13:$I$2352)</f>
        <v>0</v>
      </c>
      <c r="AD236" s="775">
        <f ca="1">SUMIF(chitiet!$B$13:$N$2352,kl!$B236,chitiet!$J$13:$J$2352)</f>
        <v>0</v>
      </c>
      <c r="AE236" s="775">
        <f ca="1">SUMIF(chitiet!$B$13:$N$2352,kl!$B236,chitiet!$K$13:$K$2352)</f>
        <v>6</v>
      </c>
      <c r="AF236" s="775">
        <f ca="1">SUMIF(chitiet!$B$13:$N$2352,kl!$B236,chitiet!$L$13:$L$2352)</f>
        <v>0</v>
      </c>
      <c r="AG236" s="775">
        <f ca="1">SUMIF(chitiet!$B$13:$N$2352,kl!$B236,chitiet!$M$13)</f>
        <v>0</v>
      </c>
      <c r="AH236" s="775">
        <f ca="1">SUMIF(chitiet!$B$13:$N$2352,kl!$B236,chitiet!$N$13:$N$2352)</f>
        <v>0</v>
      </c>
      <c r="AI236" s="775">
        <f ca="1">SUMIF(chitiet!$B$13:$N$2352,kl!$B236,chitiet!$O$13:$O$2352)</f>
        <v>0</v>
      </c>
      <c r="AJ236" s="775">
        <f ca="1">SUMIF('Cap ngam'!$B$631:$G$723,kl!$B236,'Cap ngam'!$G$631:$G$723)</f>
        <v>0</v>
      </c>
      <c r="AK236" s="775">
        <f ca="1">SUMIF('Cap ngam'!$B$403:$G$628,kl!$B236,'Cap ngam'!G$403:G$628)</f>
        <v>0</v>
      </c>
      <c r="AL236" s="775">
        <f ca="1">SUMIF('Cap ngam'!B$16:G$400,kl!$B236,'Cap ngam'!G$16:G$400)</f>
        <v>0</v>
      </c>
      <c r="AM236" s="776">
        <v>0.2</v>
      </c>
      <c r="AN236" s="775">
        <f t="shared" ca="1" si="133"/>
        <v>0</v>
      </c>
      <c r="AO236" s="775">
        <f t="shared" ca="1" si="134"/>
        <v>0</v>
      </c>
      <c r="AP236" s="775">
        <f t="shared" ca="1" si="135"/>
        <v>0</v>
      </c>
      <c r="AQ236" s="775">
        <f t="shared" ca="1" si="136"/>
        <v>0</v>
      </c>
      <c r="AR236" s="775">
        <f t="shared" ca="1" si="137"/>
        <v>0</v>
      </c>
      <c r="AS236" s="775">
        <f t="shared" ca="1" si="138"/>
        <v>0</v>
      </c>
      <c r="AT236" s="775">
        <f t="shared" ca="1" si="139"/>
        <v>0</v>
      </c>
      <c r="AU236" s="775">
        <f t="shared" ca="1" si="140"/>
        <v>0</v>
      </c>
      <c r="AV236" s="775">
        <f t="shared" ca="1" si="141"/>
        <v>0</v>
      </c>
      <c r="AW236" s="775">
        <f t="shared" ca="1" si="142"/>
        <v>0</v>
      </c>
      <c r="AX236" s="775">
        <f t="shared" si="143"/>
        <v>0</v>
      </c>
      <c r="AY236" s="775">
        <f t="shared" ca="1" si="144"/>
        <v>0</v>
      </c>
      <c r="AZ236" s="775">
        <f t="shared" si="145"/>
        <v>0</v>
      </c>
      <c r="BA236" s="775">
        <f t="shared" ca="1" si="126"/>
        <v>0</v>
      </c>
      <c r="BB236" s="775">
        <f t="shared" ca="1" si="127"/>
        <v>0</v>
      </c>
      <c r="BC236" s="775">
        <f t="shared" ca="1" si="128"/>
        <v>0</v>
      </c>
      <c r="BD236" s="775">
        <f t="shared" ca="1" si="129"/>
        <v>0</v>
      </c>
      <c r="BE236" s="775">
        <f t="shared" ca="1" si="130"/>
        <v>0</v>
      </c>
      <c r="BF236" s="775">
        <f t="shared" ca="1" si="131"/>
        <v>0</v>
      </c>
      <c r="BG236" s="775">
        <f t="shared" ca="1" si="132"/>
        <v>0</v>
      </c>
      <c r="BH236" s="775">
        <f t="shared" ca="1" si="146"/>
        <v>0</v>
      </c>
      <c r="BI236" s="775">
        <f t="shared" ca="1" si="147"/>
        <v>0</v>
      </c>
      <c r="BJ236" s="775">
        <f t="shared" ca="1" si="148"/>
        <v>1.2000000000000002</v>
      </c>
      <c r="BK236" s="775">
        <f t="shared" ca="1" si="149"/>
        <v>0</v>
      </c>
      <c r="BL236" s="775">
        <f t="shared" ca="1" si="150"/>
        <v>0</v>
      </c>
      <c r="BM236" s="775">
        <f t="shared" ca="1" si="151"/>
        <v>0</v>
      </c>
      <c r="BN236" s="775">
        <f t="shared" ca="1" si="152"/>
        <v>0</v>
      </c>
      <c r="BO236" s="775">
        <f t="shared" ca="1" si="153"/>
        <v>0</v>
      </c>
      <c r="BP236" s="775">
        <f t="shared" ca="1" si="154"/>
        <v>0</v>
      </c>
      <c r="BQ236" s="775">
        <f t="shared" ca="1" si="157"/>
        <v>0</v>
      </c>
      <c r="BR236" s="775">
        <f t="shared" ca="1" si="155"/>
        <v>0</v>
      </c>
    </row>
    <row r="237" spans="1:73">
      <c r="A237" s="767" t="str">
        <f ca="1">IF(F237&lt;&gt;0,"X","")</f>
        <v/>
      </c>
      <c r="B237" s="767" t="s">
        <v>1698</v>
      </c>
      <c r="C237" s="188" t="str">
        <f ca="1">IF(F237=0,"",COUNTIF($F$78:$F243,"&gt;0"))</f>
        <v/>
      </c>
      <c r="D237" s="778" t="str">
        <f>VLOOKUP($B237,dongia1,DG!$C$5,)</f>
        <v>Kẹp ép WR cỡ dây 120mm2</v>
      </c>
      <c r="E237" s="555" t="str">
        <f>VLOOKUP($B237,dongia1,DG!$D$5,)</f>
        <v>cái</v>
      </c>
      <c r="F237" s="975">
        <f ca="1">G237+H237</f>
        <v>0</v>
      </c>
      <c r="G237" s="976">
        <f ca="1">SUM(AC237:AL237)</f>
        <v>0</v>
      </c>
      <c r="H237" s="976">
        <f ca="1">SUMIF(CT_tram!$B$33:$G$3559,kl!B237,CT_tram!$G$33:$G$3559)</f>
        <v>0</v>
      </c>
      <c r="I237" s="775">
        <f ca="1">SUMIF(CT_tram!$B$34:$G$115,$B237,CT_tram!$G$34:$G$115)</f>
        <v>0</v>
      </c>
      <c r="J237" s="775">
        <f ca="1">SUMIF(CT_tram!$B$122:$G$204,$B237,CT_tram!$G$122:$G$204)</f>
        <v>0</v>
      </c>
      <c r="K237" s="775">
        <f ca="1">SUMIF(CT_tram!$B$211:$G$293,$B237,CT_tram!$G$211:$G$293)</f>
        <v>0</v>
      </c>
      <c r="L237" s="775">
        <f ca="1">SUMIF(CT_tram!$B$300:$G$374,$B237,CT_tram!$G$300:$G$374)</f>
        <v>0</v>
      </c>
      <c r="M237" s="775">
        <f ca="1">SUMIF(CT_tram!$B$381:$G$471,$B237,CT_tram!$G$381:$G$471)</f>
        <v>0</v>
      </c>
      <c r="N237" s="775">
        <f ca="1">SUMIF(CT_tram!$B$478:$G$560,$B237,CT_tram!$G$478:$G$560)</f>
        <v>0</v>
      </c>
      <c r="O237" s="775">
        <f ca="1">SUMIF(CT_tram!$B$567:$G$653,$B237,CT_tram!$G$567:$G$653)</f>
        <v>0</v>
      </c>
      <c r="P237" s="775">
        <f ca="1">SUMIF(CT_tram!$B$661:$G$738,$B237,CT_tram!$G$661:$G$738)</f>
        <v>0</v>
      </c>
      <c r="Q237" s="775">
        <f ca="1">SUMIF(CT_tram!$B$745:$G$899,$B237,CT_tram!$G$745:$G$899)</f>
        <v>0</v>
      </c>
      <c r="R237" s="775">
        <f ca="1">SUMIF(CT_tram!$B$907:$G$995,$B237,CT_tram!$G$907:$G$995)</f>
        <v>0</v>
      </c>
      <c r="S237" s="775"/>
      <c r="T237" s="775">
        <f ca="1">SUMIF(CT_tram!$B$1004:$G$1097,B237,CT_tram!$G$1004:$G$1097)</f>
        <v>0</v>
      </c>
      <c r="U237" s="775"/>
      <c r="V237" s="775">
        <f ca="1">SUMIF(CT_tram!$B$1226:$G$1352,kl!B237,CT_tram!$G$1226:$G$1352)</f>
        <v>0</v>
      </c>
      <c r="W237" s="780">
        <f ca="1">SUMIF(CT_tram!$B$1105:$G$1219,kl!B237,CT_tram!$G$1105:$G$1219)</f>
        <v>0</v>
      </c>
      <c r="X237" s="775">
        <f ca="1">SUMIF(CT_tram!$B$1359:$G$1504,kl!B237,CT_tram!$G$1359:$G$1504)</f>
        <v>0</v>
      </c>
      <c r="Y237" s="775">
        <f ca="1">SUMIF(CT_tram!$B$1511:$G$1625,kl!B237,CT_tram!$G$1511:$G$1625)</f>
        <v>0</v>
      </c>
      <c r="Z237" s="775">
        <f ca="1">SUMIF(CT_tram!$B$1632:$G$2211,kl!B237,CT_tram!$G$1632:$G$2211)</f>
        <v>0</v>
      </c>
      <c r="AA237" s="775">
        <f ca="1">SUMIF(CT_tram!$B$2243:$G$2384,kl!B237,CT_tram!$G$2243:$G$2384)</f>
        <v>0</v>
      </c>
      <c r="AB237" s="775">
        <f ca="1">SUMIF(CT_tram!$B$2391:$G$2563,kl!B237,CT_tram!$G$2391:$G$2563)</f>
        <v>0</v>
      </c>
      <c r="AC237" s="775">
        <f ca="1">SUMIF(chitiet!$B$13:$N$2352,kl!$B237,chitiet!$I$13:$I$2352)</f>
        <v>0</v>
      </c>
      <c r="AD237" s="775">
        <f ca="1">SUMIF(chitiet!$B$13:$N$2352,kl!$B237,chitiet!$J$13:$J$2352)</f>
        <v>0</v>
      </c>
      <c r="AE237" s="775">
        <f ca="1">SUMIF(chitiet!$B$13:$N$2352,kl!$B237,chitiet!$K$13:$K$2352)</f>
        <v>0</v>
      </c>
      <c r="AF237" s="775">
        <f ca="1">SUMIF(chitiet!$B$13:$N$2352,kl!$B237,chitiet!$L$13:$L$2352)</f>
        <v>0</v>
      </c>
      <c r="AG237" s="775">
        <f ca="1">SUMIF(chitiet!$B$13:$N$2352,kl!$B237,chitiet!$M$13)</f>
        <v>0</v>
      </c>
      <c r="AH237" s="775">
        <f ca="1">SUMIF(chitiet!$B$13:$N$2352,kl!$B237,chitiet!$N$13:$N$2352)</f>
        <v>0</v>
      </c>
      <c r="AI237" s="775">
        <f ca="1">SUMIF(chitiet!$B$13:$N$2352,kl!$B237,chitiet!$O$13:$O$2352)</f>
        <v>0</v>
      </c>
      <c r="AJ237" s="775">
        <f ca="1">SUMIF('Cap ngam'!$B$631:$G$723,kl!$B237,'Cap ngam'!$G$631:$G$723)</f>
        <v>0</v>
      </c>
      <c r="AK237" s="775">
        <f ca="1">SUMIF('Cap ngam'!$B$403:$G$628,kl!$B237,'Cap ngam'!G$403:G$628)</f>
        <v>0</v>
      </c>
      <c r="AL237" s="775">
        <f ca="1">SUMIF('Cap ngam'!B$16:G$400,kl!$B237,'Cap ngam'!G$16:G$400)</f>
        <v>0</v>
      </c>
      <c r="AM237" s="776">
        <v>0.2</v>
      </c>
      <c r="AN237" s="775">
        <f t="shared" ca="1" si="133"/>
        <v>0</v>
      </c>
      <c r="AO237" s="775">
        <f t="shared" ca="1" si="134"/>
        <v>0</v>
      </c>
      <c r="AP237" s="775">
        <f t="shared" ca="1" si="135"/>
        <v>0</v>
      </c>
      <c r="AQ237" s="775">
        <f t="shared" ca="1" si="136"/>
        <v>0</v>
      </c>
      <c r="AR237" s="775">
        <f t="shared" ca="1" si="137"/>
        <v>0</v>
      </c>
      <c r="AS237" s="775">
        <f t="shared" ca="1" si="138"/>
        <v>0</v>
      </c>
      <c r="AT237" s="775">
        <f t="shared" ca="1" si="139"/>
        <v>0</v>
      </c>
      <c r="AU237" s="775">
        <f t="shared" ca="1" si="140"/>
        <v>0</v>
      </c>
      <c r="AV237" s="775">
        <f t="shared" ca="1" si="141"/>
        <v>0</v>
      </c>
      <c r="AW237" s="775">
        <f t="shared" ca="1" si="142"/>
        <v>0</v>
      </c>
      <c r="AX237" s="775">
        <f t="shared" si="143"/>
        <v>0</v>
      </c>
      <c r="AY237" s="775">
        <f t="shared" ca="1" si="144"/>
        <v>0</v>
      </c>
      <c r="AZ237" s="775">
        <f t="shared" si="145"/>
        <v>0</v>
      </c>
      <c r="BA237" s="775">
        <f t="shared" ca="1" si="126"/>
        <v>0</v>
      </c>
      <c r="BB237" s="775">
        <f t="shared" ca="1" si="127"/>
        <v>0</v>
      </c>
      <c r="BC237" s="775">
        <f t="shared" ca="1" si="128"/>
        <v>0</v>
      </c>
      <c r="BD237" s="775">
        <f t="shared" ca="1" si="129"/>
        <v>0</v>
      </c>
      <c r="BE237" s="775">
        <f t="shared" ca="1" si="130"/>
        <v>0</v>
      </c>
      <c r="BF237" s="775">
        <f t="shared" ca="1" si="131"/>
        <v>0</v>
      </c>
      <c r="BG237" s="775">
        <f t="shared" ca="1" si="132"/>
        <v>0</v>
      </c>
      <c r="BH237" s="775">
        <f t="shared" ca="1" si="146"/>
        <v>0</v>
      </c>
      <c r="BI237" s="775">
        <f t="shared" ca="1" si="147"/>
        <v>0</v>
      </c>
      <c r="BJ237" s="775">
        <f t="shared" ca="1" si="148"/>
        <v>0</v>
      </c>
      <c r="BK237" s="775">
        <f t="shared" ca="1" si="149"/>
        <v>0</v>
      </c>
      <c r="BL237" s="775">
        <f t="shared" ca="1" si="150"/>
        <v>0</v>
      </c>
      <c r="BM237" s="775">
        <f t="shared" ca="1" si="151"/>
        <v>0</v>
      </c>
      <c r="BN237" s="775">
        <f t="shared" ca="1" si="152"/>
        <v>0</v>
      </c>
      <c r="BO237" s="775">
        <f t="shared" ca="1" si="153"/>
        <v>0</v>
      </c>
      <c r="BP237" s="775">
        <f t="shared" ca="1" si="154"/>
        <v>0</v>
      </c>
      <c r="BQ237" s="775">
        <f ca="1">$AL237*$AM237</f>
        <v>0</v>
      </c>
      <c r="BR237" s="775">
        <f t="shared" ca="1" si="155"/>
        <v>0</v>
      </c>
    </row>
    <row r="238" spans="1:73">
      <c r="A238" s="767" t="str">
        <f t="shared" ca="1" si="110"/>
        <v/>
      </c>
      <c r="B238" s="234" t="s">
        <v>56</v>
      </c>
      <c r="C238" s="188" t="str">
        <f ca="1">IF(F238=0,"",COUNTIF($F$78:$F238,"&gt;0"))</f>
        <v/>
      </c>
      <c r="D238" s="778" t="str">
        <f>VLOOKUP($B238,dongia1,DG!$C$5,)</f>
        <v>Kẹp ép WR cỡ dây 150mm2</v>
      </c>
      <c r="E238" s="555" t="str">
        <f>VLOOKUP($B238,dongia1,DG!$D$5,)</f>
        <v>cái</v>
      </c>
      <c r="F238" s="779">
        <f t="shared" ca="1" si="161"/>
        <v>0</v>
      </c>
      <c r="G238" s="775">
        <f t="shared" ca="1" si="121"/>
        <v>0</v>
      </c>
      <c r="H238" s="775">
        <f ca="1">SUMIF(CT_tram!$B$33:$G$3559,kl!B238,CT_tram!$G$33:$G$3559)</f>
        <v>0</v>
      </c>
      <c r="I238" s="775">
        <f ca="1">SUMIF(CT_tram!$B$34:$G$115,$B238,CT_tram!$G$34:$G$115)</f>
        <v>0</v>
      </c>
      <c r="J238" s="775">
        <f ca="1">SUMIF(CT_tram!$B$122:$G$204,$B238,CT_tram!$G$122:$G$204)</f>
        <v>0</v>
      </c>
      <c r="K238" s="775">
        <f ca="1">SUMIF(CT_tram!$B$211:$G$293,$B238,CT_tram!$G$211:$G$293)</f>
        <v>0</v>
      </c>
      <c r="L238" s="775">
        <f ca="1">SUMIF(CT_tram!$B$300:$G$374,$B238,CT_tram!$G$300:$G$374)</f>
        <v>0</v>
      </c>
      <c r="M238" s="775">
        <f ca="1">SUMIF(CT_tram!$B$381:$G$471,$B238,CT_tram!$G$381:$G$471)</f>
        <v>0</v>
      </c>
      <c r="N238" s="775">
        <f ca="1">SUMIF(CT_tram!$B$478:$G$560,$B238,CT_tram!$G$478:$G$560)</f>
        <v>0</v>
      </c>
      <c r="O238" s="775">
        <f ca="1">SUMIF(CT_tram!$B$567:$G$653,$B238,CT_tram!$G$567:$G$653)</f>
        <v>0</v>
      </c>
      <c r="P238" s="775">
        <f ca="1">SUMIF(CT_tram!$B$661:$G$738,$B238,CT_tram!$G$661:$G$738)</f>
        <v>0</v>
      </c>
      <c r="Q238" s="775">
        <f ca="1">SUMIF(CT_tram!$B$745:$G$899,$B238,CT_tram!$G$745:$G$899)</f>
        <v>0</v>
      </c>
      <c r="R238" s="775">
        <f ca="1">SUMIF(CT_tram!$B$907:$G$995,$B238,CT_tram!$G$907:$G$995)</f>
        <v>0</v>
      </c>
      <c r="S238" s="775"/>
      <c r="T238" s="775">
        <f ca="1">SUMIF(CT_tram!$B$1004:$G$1097,B238,CT_tram!$G$1004:$G$1097)</f>
        <v>0</v>
      </c>
      <c r="U238" s="775"/>
      <c r="V238" s="775">
        <f ca="1">SUMIF(CT_tram!$B$1226:$G$1352,kl!B238,CT_tram!$G$1226:$G$1352)</f>
        <v>0</v>
      </c>
      <c r="W238" s="780">
        <f ca="1">SUMIF(CT_tram!$B$1105:$G$1219,kl!B238,CT_tram!$G$1105:$G$1219)</f>
        <v>0</v>
      </c>
      <c r="X238" s="775">
        <f ca="1">SUMIF(CT_tram!$B$1359:$G$1504,kl!B238,CT_tram!$G$1359:$G$1504)</f>
        <v>0</v>
      </c>
      <c r="Y238" s="775">
        <f ca="1">SUMIF(CT_tram!$B$1511:$G$1625,kl!B238,CT_tram!$G$1511:$G$1625)</f>
        <v>0</v>
      </c>
      <c r="Z238" s="775">
        <f ca="1">SUMIF(CT_tram!$B$1632:$G$2211,kl!B238,CT_tram!$G$1632:$G$2211)</f>
        <v>0</v>
      </c>
      <c r="AA238" s="775">
        <f ca="1">SUMIF(CT_tram!$B$2243:$G$2384,kl!B238,CT_tram!$G$2243:$G$2384)</f>
        <v>0</v>
      </c>
      <c r="AB238" s="775">
        <f ca="1">SUMIF(CT_tram!$B$2391:$G$2563,kl!B238,CT_tram!$G$2391:$G$2563)</f>
        <v>0</v>
      </c>
      <c r="AC238" s="775">
        <f ca="1">SUMIF(chitiet!$B$13:$N$2352,kl!$B238,chitiet!$I$13:$I$2352)</f>
        <v>0</v>
      </c>
      <c r="AD238" s="775">
        <f ca="1">SUMIF(chitiet!$B$13:$N$2352,kl!$B238,chitiet!$J$13:$J$2352)</f>
        <v>0</v>
      </c>
      <c r="AE238" s="775">
        <f ca="1">SUMIF(chitiet!$B$13:$N$2352,kl!$B238,chitiet!$K$13:$K$2352)</f>
        <v>0</v>
      </c>
      <c r="AF238" s="775">
        <f ca="1">SUMIF(chitiet!$B$13:$N$2352,kl!$B238,chitiet!$L$13:$L$2352)</f>
        <v>0</v>
      </c>
      <c r="AG238" s="775">
        <f ca="1">SUMIF(chitiet!$B$13:$N$2352,kl!$B238,chitiet!$M$13)</f>
        <v>0</v>
      </c>
      <c r="AH238" s="775">
        <f ca="1">SUMIF(chitiet!$B$13:$N$2352,kl!$B238,chitiet!$N$13:$N$2352)</f>
        <v>0</v>
      </c>
      <c r="AI238" s="775">
        <f ca="1">SUMIF(chitiet!$B$13:$N$2352,kl!$B238,chitiet!$O$13:$O$2352)</f>
        <v>0</v>
      </c>
      <c r="AJ238" s="775">
        <f ca="1">SUMIF('Cap ngam'!$B$631:$G$723,kl!$B238,'Cap ngam'!$G$631:$G$723)</f>
        <v>0</v>
      </c>
      <c r="AK238" s="775">
        <f ca="1">SUMIF('Cap ngam'!$B$403:$G$628,kl!$B238,'Cap ngam'!G$403:G$628)</f>
        <v>0</v>
      </c>
      <c r="AL238" s="775">
        <f ca="1">SUMIF('Cap ngam'!B$16:G$400,kl!$B238,'Cap ngam'!G$16:G$400)</f>
        <v>0</v>
      </c>
      <c r="AM238" s="776">
        <v>0.2</v>
      </c>
      <c r="AN238" s="775">
        <f t="shared" ca="1" si="133"/>
        <v>0</v>
      </c>
      <c r="AO238" s="775">
        <f t="shared" ca="1" si="134"/>
        <v>0</v>
      </c>
      <c r="AP238" s="775">
        <f t="shared" ca="1" si="135"/>
        <v>0</v>
      </c>
      <c r="AQ238" s="775">
        <f t="shared" ca="1" si="136"/>
        <v>0</v>
      </c>
      <c r="AR238" s="775">
        <f t="shared" ca="1" si="137"/>
        <v>0</v>
      </c>
      <c r="AS238" s="775">
        <f t="shared" ca="1" si="138"/>
        <v>0</v>
      </c>
      <c r="AT238" s="775">
        <f t="shared" ca="1" si="139"/>
        <v>0</v>
      </c>
      <c r="AU238" s="775">
        <f t="shared" ca="1" si="140"/>
        <v>0</v>
      </c>
      <c r="AV238" s="775">
        <f t="shared" ca="1" si="141"/>
        <v>0</v>
      </c>
      <c r="AW238" s="775">
        <f t="shared" ca="1" si="142"/>
        <v>0</v>
      </c>
      <c r="AX238" s="775">
        <f t="shared" si="143"/>
        <v>0</v>
      </c>
      <c r="AY238" s="775">
        <f t="shared" ca="1" si="144"/>
        <v>0</v>
      </c>
      <c r="AZ238" s="775">
        <f t="shared" si="145"/>
        <v>0</v>
      </c>
      <c r="BA238" s="775">
        <f t="shared" ca="1" si="126"/>
        <v>0</v>
      </c>
      <c r="BB238" s="775">
        <f t="shared" ca="1" si="127"/>
        <v>0</v>
      </c>
      <c r="BC238" s="775">
        <f t="shared" ca="1" si="128"/>
        <v>0</v>
      </c>
      <c r="BD238" s="775">
        <f t="shared" ca="1" si="129"/>
        <v>0</v>
      </c>
      <c r="BE238" s="775">
        <f t="shared" ca="1" si="130"/>
        <v>0</v>
      </c>
      <c r="BF238" s="775">
        <f t="shared" ca="1" si="131"/>
        <v>0</v>
      </c>
      <c r="BG238" s="775">
        <f t="shared" ca="1" si="132"/>
        <v>0</v>
      </c>
      <c r="BH238" s="775">
        <f t="shared" ca="1" si="146"/>
        <v>0</v>
      </c>
      <c r="BI238" s="775">
        <f t="shared" ca="1" si="147"/>
        <v>0</v>
      </c>
      <c r="BJ238" s="775">
        <f t="shared" ca="1" si="148"/>
        <v>0</v>
      </c>
      <c r="BK238" s="775">
        <f t="shared" ca="1" si="149"/>
        <v>0</v>
      </c>
      <c r="BL238" s="775">
        <f t="shared" ca="1" si="150"/>
        <v>0</v>
      </c>
      <c r="BM238" s="775">
        <f t="shared" ca="1" si="151"/>
        <v>0</v>
      </c>
      <c r="BN238" s="775">
        <f t="shared" ca="1" si="152"/>
        <v>0</v>
      </c>
      <c r="BO238" s="775">
        <f t="shared" ca="1" si="153"/>
        <v>0</v>
      </c>
      <c r="BP238" s="775">
        <f t="shared" ca="1" si="154"/>
        <v>0</v>
      </c>
      <c r="BQ238" s="775">
        <f t="shared" ca="1" si="157"/>
        <v>0</v>
      </c>
      <c r="BR238" s="775">
        <f t="shared" ca="1" si="155"/>
        <v>0</v>
      </c>
    </row>
    <row r="239" spans="1:73">
      <c r="A239" s="767" t="str">
        <f t="shared" ca="1" si="110"/>
        <v/>
      </c>
      <c r="B239" s="234" t="s">
        <v>658</v>
      </c>
      <c r="C239" s="188" t="str">
        <f ca="1">IF(F239=0,"",COUNTIF($F$78:$F239,"&gt;0"))</f>
        <v/>
      </c>
      <c r="D239" s="778" t="str">
        <f>VLOOKUP($B239,dongia1,DG!$C$5,)</f>
        <v>Kẹp ép WR cỡ dây 185mm2</v>
      </c>
      <c r="E239" s="555" t="str">
        <f>VLOOKUP($B239,dongia1,DG!$D$5,)</f>
        <v>cái</v>
      </c>
      <c r="F239" s="975">
        <f t="shared" ca="1" si="161"/>
        <v>0</v>
      </c>
      <c r="G239" s="976">
        <f t="shared" ca="1" si="121"/>
        <v>0</v>
      </c>
      <c r="H239" s="976">
        <f ca="1">SUMIF(CT_tram!$B$33:$G$3559,kl!B239,CT_tram!$G$33:$G$3559)</f>
        <v>0</v>
      </c>
      <c r="I239" s="775">
        <f ca="1">SUMIF(CT_tram!$B$34:$G$115,$B239,CT_tram!$G$34:$G$115)</f>
        <v>0</v>
      </c>
      <c r="J239" s="775">
        <f ca="1">SUMIF(CT_tram!$B$122:$G$204,$B239,CT_tram!$G$122:$G$204)</f>
        <v>0</v>
      </c>
      <c r="K239" s="775">
        <f ca="1">SUMIF(CT_tram!$B$211:$G$293,$B239,CT_tram!$G$211:$G$293)</f>
        <v>0</v>
      </c>
      <c r="L239" s="775">
        <f ca="1">SUMIF(CT_tram!$B$300:$G$374,$B239,CT_tram!$G$300:$G$374)</f>
        <v>0</v>
      </c>
      <c r="M239" s="775">
        <f ca="1">SUMIF(CT_tram!$B$381:$G$471,$B239,CT_tram!$G$381:$G$471)</f>
        <v>0</v>
      </c>
      <c r="N239" s="775">
        <f ca="1">SUMIF(CT_tram!$B$478:$G$560,$B239,CT_tram!$G$478:$G$560)</f>
        <v>0</v>
      </c>
      <c r="O239" s="775">
        <f ca="1">SUMIF(CT_tram!$B$567:$G$653,$B239,CT_tram!$G$567:$G$653)</f>
        <v>0</v>
      </c>
      <c r="P239" s="775">
        <f ca="1">SUMIF(CT_tram!$B$661:$G$738,$B239,CT_tram!$G$661:$G$738)</f>
        <v>0</v>
      </c>
      <c r="Q239" s="775">
        <f ca="1">SUMIF(CT_tram!$B$745:$G$899,$B239,CT_tram!$G$745:$G$899)</f>
        <v>0</v>
      </c>
      <c r="R239" s="775">
        <f ca="1">SUMIF(CT_tram!$B$907:$G$995,$B239,CT_tram!$G$907:$G$995)</f>
        <v>0</v>
      </c>
      <c r="S239" s="775"/>
      <c r="T239" s="775">
        <f ca="1">SUMIF(CT_tram!$B$1004:$G$1097,B239,CT_tram!$G$1004:$G$1097)</f>
        <v>0</v>
      </c>
      <c r="U239" s="775"/>
      <c r="V239" s="775">
        <f ca="1">SUMIF(CT_tram!$B$1226:$G$1352,kl!B239,CT_tram!$G$1226:$G$1352)</f>
        <v>0</v>
      </c>
      <c r="W239" s="780">
        <f ca="1">SUMIF(CT_tram!$B$1105:$G$1219,kl!B239,CT_tram!$G$1105:$G$1219)</f>
        <v>0</v>
      </c>
      <c r="X239" s="775">
        <f ca="1">SUMIF(CT_tram!$B$1359:$G$1504,kl!B239,CT_tram!$G$1359:$G$1504)</f>
        <v>0</v>
      </c>
      <c r="Y239" s="775">
        <f ca="1">SUMIF(CT_tram!$B$1511:$G$1625,kl!B239,CT_tram!$G$1511:$G$1625)</f>
        <v>0</v>
      </c>
      <c r="Z239" s="775">
        <f ca="1">SUMIF(CT_tram!$B$1632:$G$2211,kl!B239,CT_tram!$G$1632:$G$2211)</f>
        <v>0</v>
      </c>
      <c r="AA239" s="775">
        <f ca="1">SUMIF(CT_tram!$B$2243:$G$2384,kl!B239,CT_tram!$G$2243:$G$2384)</f>
        <v>0</v>
      </c>
      <c r="AB239" s="775">
        <f ca="1">SUMIF(CT_tram!$B$2391:$G$2563,kl!B239,CT_tram!$G$2391:$G$2563)</f>
        <v>0</v>
      </c>
      <c r="AC239" s="775">
        <f ca="1">SUMIF(chitiet!$B$13:$N$2352,kl!$B239,chitiet!$I$13:$I$2352)</f>
        <v>0</v>
      </c>
      <c r="AD239" s="775">
        <f ca="1">SUMIF(chitiet!$B$13:$N$2352,kl!$B239,chitiet!$J$13:$J$2352)</f>
        <v>0</v>
      </c>
      <c r="AE239" s="775">
        <f ca="1">SUMIF(chitiet!$B$13:$N$2352,kl!$B239,chitiet!$K$13:$K$2352)</f>
        <v>0</v>
      </c>
      <c r="AF239" s="775">
        <f ca="1">SUMIF(chitiet!$B$13:$N$2352,kl!$B239,chitiet!$L$13:$L$2352)</f>
        <v>0</v>
      </c>
      <c r="AG239" s="775">
        <f ca="1">SUMIF(chitiet!$B$13:$N$2352,kl!$B239,chitiet!$M$13)</f>
        <v>0</v>
      </c>
      <c r="AH239" s="775">
        <f ca="1">SUMIF(chitiet!$B$13:$N$2352,kl!$B239,chitiet!$N$13:$N$2352)</f>
        <v>0</v>
      </c>
      <c r="AI239" s="775">
        <f ca="1">SUMIF(chitiet!$B$13:$N$2352,kl!$B239,chitiet!$O$13:$O$2352)</f>
        <v>0</v>
      </c>
      <c r="AJ239" s="775">
        <f ca="1">SUMIF('Cap ngam'!$B$631:$G$723,kl!$B239,'Cap ngam'!$G$631:$G$723)</f>
        <v>0</v>
      </c>
      <c r="AK239" s="775">
        <f ca="1">SUMIF('Cap ngam'!$B$403:$G$628,kl!$B239,'Cap ngam'!G$403:G$628)</f>
        <v>0</v>
      </c>
      <c r="AL239" s="775">
        <f ca="1">SUMIF('Cap ngam'!B$16:G$400,kl!$B239,'Cap ngam'!G$16:G$400)</f>
        <v>0</v>
      </c>
      <c r="AM239" s="776">
        <v>0.2</v>
      </c>
      <c r="AN239" s="775">
        <f t="shared" ca="1" si="133"/>
        <v>0</v>
      </c>
      <c r="AO239" s="775">
        <f t="shared" ca="1" si="134"/>
        <v>0</v>
      </c>
      <c r="AP239" s="775">
        <f t="shared" ca="1" si="135"/>
        <v>0</v>
      </c>
      <c r="AQ239" s="775">
        <f t="shared" ca="1" si="136"/>
        <v>0</v>
      </c>
      <c r="AR239" s="775">
        <f t="shared" ca="1" si="137"/>
        <v>0</v>
      </c>
      <c r="AS239" s="775">
        <f t="shared" ca="1" si="138"/>
        <v>0</v>
      </c>
      <c r="AT239" s="775">
        <f t="shared" ca="1" si="139"/>
        <v>0</v>
      </c>
      <c r="AU239" s="775">
        <f t="shared" ca="1" si="140"/>
        <v>0</v>
      </c>
      <c r="AV239" s="775">
        <f t="shared" ca="1" si="141"/>
        <v>0</v>
      </c>
      <c r="AW239" s="775">
        <f t="shared" ca="1" si="142"/>
        <v>0</v>
      </c>
      <c r="AX239" s="775">
        <f t="shared" si="143"/>
        <v>0</v>
      </c>
      <c r="AY239" s="775">
        <f t="shared" ca="1" si="144"/>
        <v>0</v>
      </c>
      <c r="AZ239" s="775">
        <f t="shared" si="145"/>
        <v>0</v>
      </c>
      <c r="BA239" s="775">
        <f t="shared" ca="1" si="126"/>
        <v>0</v>
      </c>
      <c r="BB239" s="775">
        <f t="shared" ca="1" si="127"/>
        <v>0</v>
      </c>
      <c r="BC239" s="775">
        <f t="shared" ca="1" si="128"/>
        <v>0</v>
      </c>
      <c r="BD239" s="775">
        <f t="shared" ca="1" si="129"/>
        <v>0</v>
      </c>
      <c r="BE239" s="775">
        <f t="shared" ca="1" si="130"/>
        <v>0</v>
      </c>
      <c r="BF239" s="775">
        <f t="shared" ca="1" si="131"/>
        <v>0</v>
      </c>
      <c r="BG239" s="775">
        <f t="shared" ca="1" si="132"/>
        <v>0</v>
      </c>
      <c r="BH239" s="775">
        <f t="shared" ca="1" si="146"/>
        <v>0</v>
      </c>
      <c r="BI239" s="775">
        <f t="shared" ca="1" si="147"/>
        <v>0</v>
      </c>
      <c r="BJ239" s="775">
        <f t="shared" ca="1" si="148"/>
        <v>0</v>
      </c>
      <c r="BK239" s="775">
        <f t="shared" ca="1" si="149"/>
        <v>0</v>
      </c>
      <c r="BL239" s="775">
        <f t="shared" ca="1" si="150"/>
        <v>0</v>
      </c>
      <c r="BM239" s="775">
        <f t="shared" ca="1" si="151"/>
        <v>0</v>
      </c>
      <c r="BN239" s="775">
        <f t="shared" ca="1" si="152"/>
        <v>0</v>
      </c>
      <c r="BO239" s="775">
        <f t="shared" ca="1" si="153"/>
        <v>0</v>
      </c>
      <c r="BP239" s="775">
        <f t="shared" ca="1" si="154"/>
        <v>0</v>
      </c>
      <c r="BQ239" s="775">
        <f t="shared" ca="1" si="157"/>
        <v>0</v>
      </c>
      <c r="BR239" s="775">
        <f t="shared" ca="1" si="155"/>
        <v>0</v>
      </c>
    </row>
    <row r="240" spans="1:73">
      <c r="A240" s="767" t="str">
        <f t="shared" ref="A240:A339" ca="1" si="162">IF(F240&lt;&gt;0,"X","")</f>
        <v/>
      </c>
      <c r="B240" s="234" t="s">
        <v>659</v>
      </c>
      <c r="C240" s="188" t="str">
        <f ca="1">IF(F240=0,"",COUNTIF($F$78:$F240,"&gt;0"))</f>
        <v/>
      </c>
      <c r="D240" s="778" t="str">
        <f>VLOOKUP($B240,dongia1,DG!$C$5,)</f>
        <v>Kẹp ép WR cỡ dây 240mm2</v>
      </c>
      <c r="E240" s="555" t="str">
        <f>VLOOKUP($B240,dongia1,DG!$D$5,)</f>
        <v>cái</v>
      </c>
      <c r="F240" s="975">
        <f t="shared" ca="1" si="161"/>
        <v>0</v>
      </c>
      <c r="G240" s="976">
        <f t="shared" ca="1" si="121"/>
        <v>0</v>
      </c>
      <c r="H240" s="976">
        <f ca="1">SUMIF(CT_tram!$B$33:$G$3559,kl!B240,CT_tram!$G$33:$G$3559)</f>
        <v>0</v>
      </c>
      <c r="I240" s="775">
        <f ca="1">SUMIF(CT_tram!$B$34:$G$115,$B240,CT_tram!$G$34:$G$115)</f>
        <v>0</v>
      </c>
      <c r="J240" s="775">
        <f ca="1">SUMIF(CT_tram!$B$122:$G$204,$B240,CT_tram!$G$122:$G$204)</f>
        <v>0</v>
      </c>
      <c r="K240" s="775">
        <f ca="1">SUMIF(CT_tram!$B$211:$G$293,$B240,CT_tram!$G$211:$G$293)</f>
        <v>0</v>
      </c>
      <c r="L240" s="775">
        <f ca="1">SUMIF(CT_tram!$B$300:$G$374,$B240,CT_tram!$G$300:$G$374)</f>
        <v>0</v>
      </c>
      <c r="M240" s="775">
        <f ca="1">SUMIF(CT_tram!$B$381:$G$471,$B240,CT_tram!$G$381:$G$471)</f>
        <v>0</v>
      </c>
      <c r="N240" s="775">
        <f ca="1">SUMIF(CT_tram!$B$478:$G$560,$B240,CT_tram!$G$478:$G$560)</f>
        <v>0</v>
      </c>
      <c r="O240" s="775">
        <f ca="1">SUMIF(CT_tram!$B$567:$G$653,$B240,CT_tram!$G$567:$G$653)</f>
        <v>0</v>
      </c>
      <c r="P240" s="775">
        <f ca="1">SUMIF(CT_tram!$B$661:$G$738,$B240,CT_tram!$G$661:$G$738)</f>
        <v>0</v>
      </c>
      <c r="Q240" s="775">
        <f ca="1">SUMIF(CT_tram!$B$745:$G$899,$B240,CT_tram!$G$745:$G$899)</f>
        <v>0</v>
      </c>
      <c r="R240" s="775">
        <f ca="1">SUMIF(CT_tram!$B$907:$G$995,$B240,CT_tram!$G$907:$G$995)</f>
        <v>0</v>
      </c>
      <c r="S240" s="775"/>
      <c r="T240" s="775">
        <f ca="1">SUMIF(CT_tram!$B$1004:$G$1097,B240,CT_tram!$G$1004:$G$1097)</f>
        <v>0</v>
      </c>
      <c r="U240" s="775"/>
      <c r="V240" s="775">
        <f ca="1">SUMIF(CT_tram!$B$1226:$G$1352,kl!B240,CT_tram!$G$1226:$G$1352)</f>
        <v>0</v>
      </c>
      <c r="W240" s="780">
        <f ca="1">SUMIF(CT_tram!$B$1105:$G$1219,kl!B240,CT_tram!$G$1105:$G$1219)</f>
        <v>0</v>
      </c>
      <c r="X240" s="775">
        <f ca="1">SUMIF(CT_tram!$B$1359:$G$1504,kl!B240,CT_tram!$G$1359:$G$1504)</f>
        <v>0</v>
      </c>
      <c r="Y240" s="775">
        <f ca="1">SUMIF(CT_tram!$B$1511:$G$1625,kl!B240,CT_tram!$G$1511:$G$1625)</f>
        <v>0</v>
      </c>
      <c r="Z240" s="775">
        <f ca="1">SUMIF(CT_tram!$B$1632:$G$2211,kl!B240,CT_tram!$G$1632:$G$2211)</f>
        <v>0</v>
      </c>
      <c r="AA240" s="775">
        <f ca="1">SUMIF(CT_tram!$B$2243:$G$2384,kl!B240,CT_tram!$G$2243:$G$2384)</f>
        <v>0</v>
      </c>
      <c r="AB240" s="775">
        <f ca="1">SUMIF(CT_tram!$B$2391:$G$2563,kl!B240,CT_tram!$G$2391:$G$2563)</f>
        <v>0</v>
      </c>
      <c r="AC240" s="775">
        <f ca="1">SUMIF(chitiet!$B$13:$N$2352,kl!$B240,chitiet!$I$13:$I$2352)</f>
        <v>0</v>
      </c>
      <c r="AD240" s="775">
        <f ca="1">SUMIF(chitiet!$B$13:$N$2352,kl!$B240,chitiet!$J$13:$J$2352)</f>
        <v>0</v>
      </c>
      <c r="AE240" s="775">
        <f ca="1">SUMIF(chitiet!$B$13:$N$2352,kl!$B240,chitiet!$K$13:$K$2352)</f>
        <v>0</v>
      </c>
      <c r="AF240" s="775">
        <f ca="1">SUMIF(chitiet!$B$13:$N$2352,kl!$B240,chitiet!$L$13:$L$2352)</f>
        <v>0</v>
      </c>
      <c r="AG240" s="775">
        <f ca="1">SUMIF(chitiet!$B$13:$N$2352,kl!$B240,chitiet!$M$13)</f>
        <v>0</v>
      </c>
      <c r="AH240" s="775">
        <f ca="1">SUMIF(chitiet!$B$13:$N$2352,kl!$B240,chitiet!$N$13:$N$2352)</f>
        <v>0</v>
      </c>
      <c r="AI240" s="775">
        <f ca="1">SUMIF(chitiet!$B$13:$N$2352,kl!$B240,chitiet!$O$13:$O$2352)</f>
        <v>0</v>
      </c>
      <c r="AJ240" s="775">
        <f ca="1">SUMIF('Cap ngam'!$B$631:$G$723,kl!$B240,'Cap ngam'!$G$631:$G$723)</f>
        <v>0</v>
      </c>
      <c r="AK240" s="775">
        <f ca="1">SUMIF('Cap ngam'!$B$403:$G$628,kl!$B240,'Cap ngam'!G$403:G$628)</f>
        <v>0</v>
      </c>
      <c r="AL240" s="775">
        <f ca="1">SUMIF('Cap ngam'!B$16:G$400,kl!$B240,'Cap ngam'!G$16:G$400)</f>
        <v>0</v>
      </c>
      <c r="AM240" s="776">
        <v>0.2</v>
      </c>
      <c r="AN240" s="775">
        <f t="shared" ca="1" si="133"/>
        <v>0</v>
      </c>
      <c r="AO240" s="775">
        <f t="shared" ca="1" si="134"/>
        <v>0</v>
      </c>
      <c r="AP240" s="775">
        <f t="shared" ca="1" si="135"/>
        <v>0</v>
      </c>
      <c r="AQ240" s="775">
        <f t="shared" ca="1" si="136"/>
        <v>0</v>
      </c>
      <c r="AR240" s="775">
        <f t="shared" ca="1" si="137"/>
        <v>0</v>
      </c>
      <c r="AS240" s="775">
        <f t="shared" ca="1" si="138"/>
        <v>0</v>
      </c>
      <c r="AT240" s="775">
        <f t="shared" ca="1" si="139"/>
        <v>0</v>
      </c>
      <c r="AU240" s="775">
        <f t="shared" ca="1" si="140"/>
        <v>0</v>
      </c>
      <c r="AV240" s="775">
        <f t="shared" ca="1" si="141"/>
        <v>0</v>
      </c>
      <c r="AW240" s="775">
        <f t="shared" ca="1" si="142"/>
        <v>0</v>
      </c>
      <c r="AX240" s="775">
        <f t="shared" si="143"/>
        <v>0</v>
      </c>
      <c r="AY240" s="775">
        <f t="shared" ca="1" si="144"/>
        <v>0</v>
      </c>
      <c r="AZ240" s="775">
        <f t="shared" si="145"/>
        <v>0</v>
      </c>
      <c r="BA240" s="775">
        <f t="shared" ca="1" si="126"/>
        <v>0</v>
      </c>
      <c r="BB240" s="775">
        <f t="shared" ca="1" si="127"/>
        <v>0</v>
      </c>
      <c r="BC240" s="775">
        <f t="shared" ca="1" si="128"/>
        <v>0</v>
      </c>
      <c r="BD240" s="775">
        <f t="shared" ca="1" si="129"/>
        <v>0</v>
      </c>
      <c r="BE240" s="775">
        <f t="shared" ca="1" si="130"/>
        <v>0</v>
      </c>
      <c r="BF240" s="775">
        <f t="shared" ca="1" si="131"/>
        <v>0</v>
      </c>
      <c r="BG240" s="775">
        <f t="shared" ca="1" si="132"/>
        <v>0</v>
      </c>
      <c r="BH240" s="775">
        <f t="shared" ca="1" si="146"/>
        <v>0</v>
      </c>
      <c r="BI240" s="775">
        <f t="shared" ca="1" si="147"/>
        <v>0</v>
      </c>
      <c r="BJ240" s="775">
        <f t="shared" ca="1" si="148"/>
        <v>0</v>
      </c>
      <c r="BK240" s="775">
        <f t="shared" ca="1" si="149"/>
        <v>0</v>
      </c>
      <c r="BL240" s="775">
        <f t="shared" ca="1" si="150"/>
        <v>0</v>
      </c>
      <c r="BM240" s="775">
        <f t="shared" ca="1" si="151"/>
        <v>0</v>
      </c>
      <c r="BN240" s="775">
        <f t="shared" ca="1" si="152"/>
        <v>0</v>
      </c>
      <c r="BO240" s="775">
        <f t="shared" ca="1" si="153"/>
        <v>0</v>
      </c>
      <c r="BP240" s="775">
        <f t="shared" ca="1" si="154"/>
        <v>0</v>
      </c>
      <c r="BQ240" s="775">
        <f t="shared" ca="1" si="157"/>
        <v>0</v>
      </c>
      <c r="BR240" s="775">
        <f t="shared" ca="1" si="155"/>
        <v>0</v>
      </c>
    </row>
    <row r="241" spans="1:70">
      <c r="A241" s="767" t="str">
        <f t="shared" ca="1" si="162"/>
        <v/>
      </c>
      <c r="B241" s="801" t="s">
        <v>208</v>
      </c>
      <c r="C241" s="188" t="str">
        <f ca="1">IF(F241=0,"",COUNTIF($F$78:$F241,"&gt;0"))</f>
        <v/>
      </c>
      <c r="D241" s="778" t="str">
        <f>VLOOKUP($B241,dongia1,DG!$C$5,)</f>
        <v>Kẹp 2 rãnh (APC) cỡ dây 50mm2</v>
      </c>
      <c r="E241" s="555" t="str">
        <f>VLOOKUP($B241,dongia1,DG!$D$5,)</f>
        <v>cái</v>
      </c>
      <c r="F241" s="779">
        <f t="shared" ca="1" si="161"/>
        <v>0</v>
      </c>
      <c r="G241" s="775">
        <f t="shared" ca="1" si="121"/>
        <v>0</v>
      </c>
      <c r="H241" s="775">
        <f ca="1">SUMIF(CT_tram!$B$33:$G$3559,kl!B241,CT_tram!$G$33:$G$3559)</f>
        <v>0</v>
      </c>
      <c r="I241" s="775">
        <f ca="1">SUMIF(CT_tram!$B$34:$G$115,$B241,CT_tram!$G$34:$G$115)</f>
        <v>0</v>
      </c>
      <c r="J241" s="775">
        <f ca="1">SUMIF(CT_tram!$B$122:$G$204,$B241,CT_tram!$G$122:$G$204)</f>
        <v>0</v>
      </c>
      <c r="K241" s="775">
        <f ca="1">SUMIF(CT_tram!$B$211:$G$293,$B241,CT_tram!$G$211:$G$293)</f>
        <v>0</v>
      </c>
      <c r="L241" s="775">
        <f ca="1">SUMIF(CT_tram!$B$300:$G$374,$B241,CT_tram!$G$300:$G$374)</f>
        <v>0</v>
      </c>
      <c r="M241" s="775">
        <f ca="1">SUMIF(CT_tram!$B$381:$G$471,$B241,CT_tram!$G$381:$G$471)</f>
        <v>0</v>
      </c>
      <c r="N241" s="775">
        <f ca="1">SUMIF(CT_tram!$B$478:$G$560,$B241,CT_tram!$G$478:$G$560)</f>
        <v>0</v>
      </c>
      <c r="O241" s="775">
        <f ca="1">SUMIF(CT_tram!$B$567:$G$653,$B241,CT_tram!$G$567:$G$653)</f>
        <v>0</v>
      </c>
      <c r="P241" s="775">
        <f ca="1">SUMIF(CT_tram!$B$661:$G$738,$B241,CT_tram!$G$661:$G$738)</f>
        <v>0</v>
      </c>
      <c r="Q241" s="775">
        <f ca="1">SUMIF(CT_tram!$B$745:$G$899,$B241,CT_tram!$G$745:$G$899)</f>
        <v>0</v>
      </c>
      <c r="R241" s="775">
        <f ca="1">SUMIF(CT_tram!$B$907:$G$995,$B241,CT_tram!$G$907:$G$995)</f>
        <v>0</v>
      </c>
      <c r="S241" s="775"/>
      <c r="T241" s="775">
        <f ca="1">SUMIF(CT_tram!$B$1004:$G$1097,B241,CT_tram!$G$1004:$G$1097)</f>
        <v>0</v>
      </c>
      <c r="U241" s="775"/>
      <c r="V241" s="775">
        <f ca="1">SUMIF(CT_tram!$B$1226:$G$1352,kl!B241,CT_tram!$G$1226:$G$1352)</f>
        <v>0</v>
      </c>
      <c r="W241" s="780">
        <f ca="1">SUMIF(CT_tram!$B$1105:$G$1219,kl!B241,CT_tram!$G$1105:$G$1219)</f>
        <v>0</v>
      </c>
      <c r="X241" s="775">
        <f ca="1">SUMIF(CT_tram!$B$1359:$G$1504,kl!B241,CT_tram!$G$1359:$G$1504)</f>
        <v>0</v>
      </c>
      <c r="Y241" s="775">
        <f ca="1">SUMIF(CT_tram!$B$1511:$G$1625,kl!B241,CT_tram!$G$1511:$G$1625)</f>
        <v>0</v>
      </c>
      <c r="Z241" s="775">
        <f ca="1">SUMIF(CT_tram!$B$1632:$G$2211,kl!B241,CT_tram!$G$1632:$G$2211)</f>
        <v>0</v>
      </c>
      <c r="AA241" s="775">
        <f ca="1">SUMIF(CT_tram!$B$2243:$G$2384,kl!B241,CT_tram!$G$2243:$G$2384)</f>
        <v>0</v>
      </c>
      <c r="AB241" s="775">
        <f ca="1">SUMIF(CT_tram!$B$2391:$G$2563,kl!B241,CT_tram!$G$2391:$G$2563)</f>
        <v>0</v>
      </c>
      <c r="AC241" s="775">
        <f ca="1">SUMIF(chitiet!$B$13:$N$2352,kl!$B241,chitiet!$I$13:$I$2352)</f>
        <v>0</v>
      </c>
      <c r="AD241" s="775">
        <f ca="1">SUMIF(chitiet!$B$13:$N$2352,kl!$B241,chitiet!$J$13:$J$2352)</f>
        <v>0</v>
      </c>
      <c r="AE241" s="775">
        <f ca="1">SUMIF(chitiet!$B$13:$N$2352,kl!$B241,chitiet!$K$13:$K$2352)</f>
        <v>0</v>
      </c>
      <c r="AF241" s="775">
        <f ca="1">SUMIF(chitiet!$B$13:$N$2352,kl!$B241,chitiet!$L$13:$L$2352)</f>
        <v>0</v>
      </c>
      <c r="AG241" s="775">
        <f ca="1">SUMIF(chitiet!$B$13:$N$2352,kl!$B241,chitiet!$M$13)</f>
        <v>0</v>
      </c>
      <c r="AH241" s="775">
        <f ca="1">SUMIF(chitiet!$B$13:$N$2352,kl!$B241,chitiet!$N$13:$N$2352)</f>
        <v>0</v>
      </c>
      <c r="AI241" s="775">
        <f ca="1">SUMIF(chitiet!$B$13:$N$2352,kl!$B241,chitiet!$O$13:$O$2352)</f>
        <v>0</v>
      </c>
      <c r="AJ241" s="775">
        <f ca="1">SUMIF('Cap ngam'!$B$631:$G$723,kl!$B241,'Cap ngam'!$G$631:$G$723)</f>
        <v>0</v>
      </c>
      <c r="AK241" s="775">
        <f ca="1">SUMIF('Cap ngam'!$B$403:$G$628,kl!$B241,'Cap ngam'!G$403:G$628)</f>
        <v>0</v>
      </c>
      <c r="AL241" s="775">
        <f ca="1">SUMIF('Cap ngam'!B$16:G$400,kl!$B241,'Cap ngam'!G$16:G$400)</f>
        <v>0</v>
      </c>
      <c r="AM241" s="776">
        <v>0.2</v>
      </c>
      <c r="AN241" s="775">
        <f t="shared" ca="1" si="133"/>
        <v>0</v>
      </c>
      <c r="AO241" s="775">
        <f t="shared" ca="1" si="134"/>
        <v>0</v>
      </c>
      <c r="AP241" s="775">
        <f t="shared" ca="1" si="135"/>
        <v>0</v>
      </c>
      <c r="AQ241" s="775">
        <f t="shared" ca="1" si="136"/>
        <v>0</v>
      </c>
      <c r="AR241" s="775">
        <f t="shared" ca="1" si="137"/>
        <v>0</v>
      </c>
      <c r="AS241" s="775">
        <f t="shared" ca="1" si="138"/>
        <v>0</v>
      </c>
      <c r="AT241" s="775">
        <f t="shared" ca="1" si="139"/>
        <v>0</v>
      </c>
      <c r="AU241" s="775">
        <f t="shared" ca="1" si="140"/>
        <v>0</v>
      </c>
      <c r="AV241" s="775">
        <f t="shared" ca="1" si="141"/>
        <v>0</v>
      </c>
      <c r="AW241" s="775">
        <f t="shared" ca="1" si="142"/>
        <v>0</v>
      </c>
      <c r="AX241" s="775">
        <f t="shared" si="143"/>
        <v>0</v>
      </c>
      <c r="AY241" s="775">
        <f t="shared" ca="1" si="144"/>
        <v>0</v>
      </c>
      <c r="AZ241" s="775">
        <f t="shared" si="145"/>
        <v>0</v>
      </c>
      <c r="BA241" s="775">
        <f t="shared" ca="1" si="126"/>
        <v>0</v>
      </c>
      <c r="BB241" s="775">
        <f t="shared" ca="1" si="127"/>
        <v>0</v>
      </c>
      <c r="BC241" s="775">
        <f t="shared" ca="1" si="128"/>
        <v>0</v>
      </c>
      <c r="BD241" s="775">
        <f t="shared" ca="1" si="129"/>
        <v>0</v>
      </c>
      <c r="BE241" s="775">
        <f t="shared" ca="1" si="130"/>
        <v>0</v>
      </c>
      <c r="BF241" s="775">
        <f t="shared" ca="1" si="131"/>
        <v>0</v>
      </c>
      <c r="BG241" s="775">
        <f t="shared" ca="1" si="132"/>
        <v>0</v>
      </c>
      <c r="BH241" s="775">
        <f t="shared" ca="1" si="146"/>
        <v>0</v>
      </c>
      <c r="BI241" s="775">
        <f t="shared" ca="1" si="147"/>
        <v>0</v>
      </c>
      <c r="BJ241" s="775">
        <f t="shared" ca="1" si="148"/>
        <v>0</v>
      </c>
      <c r="BK241" s="775">
        <f t="shared" ca="1" si="149"/>
        <v>0</v>
      </c>
      <c r="BL241" s="775">
        <f t="shared" ca="1" si="150"/>
        <v>0</v>
      </c>
      <c r="BM241" s="775">
        <f t="shared" ca="1" si="151"/>
        <v>0</v>
      </c>
      <c r="BN241" s="775">
        <f t="shared" ca="1" si="152"/>
        <v>0</v>
      </c>
      <c r="BO241" s="775">
        <f t="shared" ca="1" si="153"/>
        <v>0</v>
      </c>
      <c r="BP241" s="775">
        <f t="shared" ca="1" si="154"/>
        <v>0</v>
      </c>
      <c r="BQ241" s="775">
        <f t="shared" ca="1" si="157"/>
        <v>0</v>
      </c>
      <c r="BR241" s="775">
        <f t="shared" ca="1" si="155"/>
        <v>0</v>
      </c>
    </row>
    <row r="242" spans="1:70">
      <c r="A242" s="767" t="str">
        <f t="shared" ca="1" si="162"/>
        <v/>
      </c>
      <c r="B242" s="767" t="s">
        <v>207</v>
      </c>
      <c r="C242" s="188" t="str">
        <f ca="1">IF(F242=0,"",COUNTIF($F$78:$F242,"&gt;0"))</f>
        <v/>
      </c>
      <c r="D242" s="778" t="str">
        <f>VLOOKUP($B242,dongia1,DG!$C$5,)</f>
        <v>Kẹp 2 rãnh (APC) cỡ dây 70mm2</v>
      </c>
      <c r="E242" s="555" t="str">
        <f>VLOOKUP($B242,dongia1,DG!$D$5,)</f>
        <v>cái</v>
      </c>
      <c r="F242" s="779">
        <f t="shared" ca="1" si="161"/>
        <v>0</v>
      </c>
      <c r="G242" s="775">
        <f t="shared" ca="1" si="121"/>
        <v>0</v>
      </c>
      <c r="H242" s="775">
        <f ca="1">SUMIF(CT_tram!$B$33:$G$3559,kl!B242,CT_tram!$G$33:$G$3559)</f>
        <v>0</v>
      </c>
      <c r="I242" s="775">
        <f ca="1">SUMIF(CT_tram!$B$34:$G$115,$B242,CT_tram!$G$34:$G$115)</f>
        <v>0</v>
      </c>
      <c r="J242" s="775">
        <f ca="1">SUMIF(CT_tram!$B$122:$G$204,$B242,CT_tram!$G$122:$G$204)</f>
        <v>0</v>
      </c>
      <c r="K242" s="775">
        <f ca="1">SUMIF(CT_tram!$B$211:$G$293,$B242,CT_tram!$G$211:$G$293)</f>
        <v>0</v>
      </c>
      <c r="L242" s="775">
        <f ca="1">SUMIF(CT_tram!$B$300:$G$374,$B242,CT_tram!$G$300:$G$374)</f>
        <v>0</v>
      </c>
      <c r="M242" s="775">
        <f ca="1">SUMIF(CT_tram!$B$381:$G$471,$B242,CT_tram!$G$381:$G$471)</f>
        <v>0</v>
      </c>
      <c r="N242" s="775">
        <f ca="1">SUMIF(CT_tram!$B$478:$G$560,$B242,CT_tram!$G$478:$G$560)</f>
        <v>0</v>
      </c>
      <c r="O242" s="775">
        <f ca="1">SUMIF(CT_tram!$B$567:$G$653,$B242,CT_tram!$G$567:$G$653)</f>
        <v>0</v>
      </c>
      <c r="P242" s="775">
        <f ca="1">SUMIF(CT_tram!$B$661:$G$738,$B242,CT_tram!$G$661:$G$738)</f>
        <v>0</v>
      </c>
      <c r="Q242" s="775">
        <f ca="1">SUMIF(CT_tram!$B$745:$G$899,$B242,CT_tram!$G$745:$G$899)</f>
        <v>0</v>
      </c>
      <c r="R242" s="775">
        <f ca="1">SUMIF(CT_tram!$B$907:$G$995,$B242,CT_tram!$G$907:$G$995)</f>
        <v>0</v>
      </c>
      <c r="S242" s="775"/>
      <c r="T242" s="775">
        <f ca="1">SUMIF(CT_tram!$B$1004:$G$1097,B242,CT_tram!$G$1004:$G$1097)</f>
        <v>0</v>
      </c>
      <c r="U242" s="775"/>
      <c r="V242" s="775">
        <f ca="1">SUMIF(CT_tram!$B$1226:$G$1352,kl!B242,CT_tram!$G$1226:$G$1352)</f>
        <v>0</v>
      </c>
      <c r="W242" s="780">
        <f ca="1">SUMIF(CT_tram!$B$1105:$G$1219,kl!B242,CT_tram!$G$1105:$G$1219)</f>
        <v>0</v>
      </c>
      <c r="X242" s="775">
        <f ca="1">SUMIF(CT_tram!$B$1359:$G$1504,kl!B242,CT_tram!$G$1359:$G$1504)</f>
        <v>0</v>
      </c>
      <c r="Y242" s="775">
        <f ca="1">SUMIF(CT_tram!$B$1511:$G$1625,kl!B242,CT_tram!$G$1511:$G$1625)</f>
        <v>0</v>
      </c>
      <c r="Z242" s="775">
        <f ca="1">SUMIF(CT_tram!$B$1632:$G$2211,kl!B242,CT_tram!$G$1632:$G$2211)</f>
        <v>0</v>
      </c>
      <c r="AA242" s="775">
        <f ca="1">SUMIF(CT_tram!$B$2243:$G$2384,kl!B242,CT_tram!$G$2243:$G$2384)</f>
        <v>0</v>
      </c>
      <c r="AB242" s="775">
        <f ca="1">SUMIF(CT_tram!$B$2391:$G$2563,kl!B242,CT_tram!$G$2391:$G$2563)</f>
        <v>0</v>
      </c>
      <c r="AC242" s="775">
        <f ca="1">SUMIF(chitiet!$B$13:$N$2352,kl!$B242,chitiet!$I$13:$I$2352)</f>
        <v>0</v>
      </c>
      <c r="AD242" s="775">
        <f ca="1">SUMIF(chitiet!$B$13:$N$2352,kl!$B242,chitiet!$J$13:$J$2352)</f>
        <v>0</v>
      </c>
      <c r="AE242" s="775">
        <f ca="1">SUMIF(chitiet!$B$13:$N$2352,kl!$B242,chitiet!$K$13:$K$2352)</f>
        <v>0</v>
      </c>
      <c r="AF242" s="775">
        <f ca="1">SUMIF(chitiet!$B$13:$N$2352,kl!$B242,chitiet!$L$13:$L$2352)</f>
        <v>0</v>
      </c>
      <c r="AG242" s="775">
        <f ca="1">SUMIF(chitiet!$B$13:$N$2352,kl!$B242,chitiet!$M$13)</f>
        <v>0</v>
      </c>
      <c r="AH242" s="775">
        <f ca="1">SUMIF(chitiet!$B$13:$N$2352,kl!$B242,chitiet!$N$13:$N$2352)</f>
        <v>0</v>
      </c>
      <c r="AI242" s="775">
        <f ca="1">SUMIF(chitiet!$B$13:$N$2352,kl!$B242,chitiet!$O$13:$O$2352)</f>
        <v>0</v>
      </c>
      <c r="AJ242" s="775">
        <f ca="1">SUMIF('Cap ngam'!$B$631:$G$723,kl!$B242,'Cap ngam'!$G$631:$G$723)</f>
        <v>0</v>
      </c>
      <c r="AK242" s="775">
        <f ca="1">SUMIF('Cap ngam'!$B$403:$G$628,kl!$B242,'Cap ngam'!G$403:G$628)</f>
        <v>0</v>
      </c>
      <c r="AL242" s="775">
        <f ca="1">SUMIF('Cap ngam'!B$16:G$400,kl!$B242,'Cap ngam'!G$16:G$400)</f>
        <v>0</v>
      </c>
      <c r="AM242" s="776">
        <v>0.2</v>
      </c>
      <c r="AN242" s="775">
        <f t="shared" ca="1" si="133"/>
        <v>0</v>
      </c>
      <c r="AO242" s="775">
        <f t="shared" ca="1" si="134"/>
        <v>0</v>
      </c>
      <c r="AP242" s="775">
        <f t="shared" ca="1" si="135"/>
        <v>0</v>
      </c>
      <c r="AQ242" s="775">
        <f t="shared" ca="1" si="136"/>
        <v>0</v>
      </c>
      <c r="AR242" s="775">
        <f t="shared" ca="1" si="137"/>
        <v>0</v>
      </c>
      <c r="AS242" s="775">
        <f t="shared" ca="1" si="138"/>
        <v>0</v>
      </c>
      <c r="AT242" s="775">
        <f t="shared" ca="1" si="139"/>
        <v>0</v>
      </c>
      <c r="AU242" s="775">
        <f t="shared" ca="1" si="140"/>
        <v>0</v>
      </c>
      <c r="AV242" s="775">
        <f t="shared" ca="1" si="141"/>
        <v>0</v>
      </c>
      <c r="AW242" s="775">
        <f t="shared" ca="1" si="142"/>
        <v>0</v>
      </c>
      <c r="AX242" s="775">
        <f t="shared" si="143"/>
        <v>0</v>
      </c>
      <c r="AY242" s="775">
        <f t="shared" ca="1" si="144"/>
        <v>0</v>
      </c>
      <c r="AZ242" s="775">
        <f t="shared" si="145"/>
        <v>0</v>
      </c>
      <c r="BA242" s="775">
        <f t="shared" ca="1" si="126"/>
        <v>0</v>
      </c>
      <c r="BB242" s="775">
        <f t="shared" ca="1" si="127"/>
        <v>0</v>
      </c>
      <c r="BC242" s="775">
        <f t="shared" ca="1" si="128"/>
        <v>0</v>
      </c>
      <c r="BD242" s="775">
        <f t="shared" ca="1" si="129"/>
        <v>0</v>
      </c>
      <c r="BE242" s="775">
        <f t="shared" ca="1" si="130"/>
        <v>0</v>
      </c>
      <c r="BF242" s="775">
        <f t="shared" ca="1" si="131"/>
        <v>0</v>
      </c>
      <c r="BG242" s="775">
        <f t="shared" ca="1" si="132"/>
        <v>0</v>
      </c>
      <c r="BH242" s="775">
        <f t="shared" ca="1" si="146"/>
        <v>0</v>
      </c>
      <c r="BI242" s="775">
        <f t="shared" ca="1" si="147"/>
        <v>0</v>
      </c>
      <c r="BJ242" s="775">
        <f t="shared" ca="1" si="148"/>
        <v>0</v>
      </c>
      <c r="BK242" s="775">
        <f t="shared" ca="1" si="149"/>
        <v>0</v>
      </c>
      <c r="BL242" s="775">
        <f t="shared" ca="1" si="150"/>
        <v>0</v>
      </c>
      <c r="BM242" s="775">
        <f t="shared" ca="1" si="151"/>
        <v>0</v>
      </c>
      <c r="BN242" s="775">
        <f t="shared" ca="1" si="152"/>
        <v>0</v>
      </c>
      <c r="BO242" s="775">
        <f t="shared" ca="1" si="153"/>
        <v>0</v>
      </c>
      <c r="BP242" s="775">
        <f t="shared" ca="1" si="154"/>
        <v>0</v>
      </c>
      <c r="BQ242" s="775">
        <f t="shared" ca="1" si="157"/>
        <v>0</v>
      </c>
      <c r="BR242" s="775">
        <f t="shared" ca="1" si="155"/>
        <v>0</v>
      </c>
    </row>
    <row r="243" spans="1:70">
      <c r="A243" s="767" t="str">
        <f t="shared" ca="1" si="162"/>
        <v/>
      </c>
      <c r="B243" s="767" t="s">
        <v>713</v>
      </c>
      <c r="C243" s="188" t="str">
        <f ca="1">IF(F243=0,"",COUNTIF($F$78:$F243,"&gt;0"))</f>
        <v/>
      </c>
      <c r="D243" s="778" t="str">
        <f>VLOOKUP($B243,dongia1,DG!$C$5,)</f>
        <v>Kẹp 2 rãnh (APC) cỡ dây 95mm2</v>
      </c>
      <c r="E243" s="555" t="str">
        <f>VLOOKUP($B243,dongia1,DG!$D$5,)</f>
        <v>cái</v>
      </c>
      <c r="F243" s="779">
        <f t="shared" ca="1" si="161"/>
        <v>0</v>
      </c>
      <c r="G243" s="775">
        <f t="shared" ca="1" si="121"/>
        <v>0</v>
      </c>
      <c r="H243" s="775">
        <f ca="1">SUMIF(CT_tram!$B$33:$G$3559,kl!B243,CT_tram!$G$33:$G$3559)</f>
        <v>0</v>
      </c>
      <c r="I243" s="775">
        <f ca="1">SUMIF(CT_tram!$B$34:$G$115,$B243,CT_tram!$G$34:$G$115)</f>
        <v>0</v>
      </c>
      <c r="J243" s="775">
        <f ca="1">SUMIF(CT_tram!$B$122:$G$204,$B243,CT_tram!$G$122:$G$204)</f>
        <v>0</v>
      </c>
      <c r="K243" s="775">
        <f ca="1">SUMIF(CT_tram!$B$211:$G$293,$B243,CT_tram!$G$211:$G$293)</f>
        <v>0</v>
      </c>
      <c r="L243" s="775">
        <f ca="1">SUMIF(CT_tram!$B$300:$G$374,$B243,CT_tram!$G$300:$G$374)</f>
        <v>0</v>
      </c>
      <c r="M243" s="775">
        <f ca="1">SUMIF(CT_tram!$B$381:$G$471,$B243,CT_tram!$G$381:$G$471)</f>
        <v>0</v>
      </c>
      <c r="N243" s="775">
        <f ca="1">SUMIF(CT_tram!$B$478:$G$560,$B243,CT_tram!$G$478:$G$560)</f>
        <v>0</v>
      </c>
      <c r="O243" s="775">
        <f ca="1">SUMIF(CT_tram!$B$567:$G$653,$B243,CT_tram!$G$567:$G$653)</f>
        <v>0</v>
      </c>
      <c r="P243" s="775">
        <f ca="1">SUMIF(CT_tram!$B$661:$G$738,$B243,CT_tram!$G$661:$G$738)</f>
        <v>0</v>
      </c>
      <c r="Q243" s="775">
        <f ca="1">SUMIF(CT_tram!$B$745:$G$899,$B243,CT_tram!$G$745:$G$899)</f>
        <v>0</v>
      </c>
      <c r="R243" s="775">
        <f ca="1">SUMIF(CT_tram!$B$907:$G$995,$B243,CT_tram!$G$907:$G$995)</f>
        <v>0</v>
      </c>
      <c r="S243" s="775"/>
      <c r="T243" s="775">
        <f ca="1">SUMIF(CT_tram!$B$1004:$G$1097,B243,CT_tram!$G$1004:$G$1097)</f>
        <v>0</v>
      </c>
      <c r="U243" s="775"/>
      <c r="V243" s="775">
        <f ca="1">SUMIF(CT_tram!$B$1226:$G$1352,kl!B243,CT_tram!$G$1226:$G$1352)</f>
        <v>0</v>
      </c>
      <c r="W243" s="780">
        <f ca="1">SUMIF(CT_tram!$B$1105:$G$1219,kl!B243,CT_tram!$G$1105:$G$1219)</f>
        <v>0</v>
      </c>
      <c r="X243" s="775">
        <f ca="1">SUMIF(CT_tram!$B$1359:$G$1504,kl!B243,CT_tram!$G$1359:$G$1504)</f>
        <v>0</v>
      </c>
      <c r="Y243" s="775">
        <f ca="1">SUMIF(CT_tram!$B$1511:$G$1625,kl!B243,CT_tram!$G$1511:$G$1625)</f>
        <v>0</v>
      </c>
      <c r="Z243" s="775">
        <f ca="1">SUMIF(CT_tram!$B$1632:$G$2211,kl!B243,CT_tram!$G$1632:$G$2211)</f>
        <v>0</v>
      </c>
      <c r="AA243" s="775">
        <f ca="1">SUMIF(CT_tram!$B$2243:$G$2384,kl!B243,CT_tram!$G$2243:$G$2384)</f>
        <v>0</v>
      </c>
      <c r="AB243" s="775">
        <f ca="1">SUMIF(CT_tram!$B$2391:$G$2563,kl!B243,CT_tram!$G$2391:$G$2563)</f>
        <v>0</v>
      </c>
      <c r="AC243" s="775">
        <f ca="1">SUMIF(chitiet!$B$13:$N$2352,kl!$B243,chitiet!$I$13:$I$2352)</f>
        <v>0</v>
      </c>
      <c r="AD243" s="775">
        <f ca="1">SUMIF(chitiet!$B$13:$N$2352,kl!$B243,chitiet!$J$13:$J$2352)</f>
        <v>0</v>
      </c>
      <c r="AE243" s="775">
        <f ca="1">SUMIF(chitiet!$B$13:$N$2352,kl!$B243,chitiet!$K$13:$K$2352)</f>
        <v>0</v>
      </c>
      <c r="AF243" s="775">
        <f ca="1">SUMIF(chitiet!$B$13:$N$2352,kl!$B243,chitiet!$L$13:$L$2352)</f>
        <v>0</v>
      </c>
      <c r="AG243" s="775">
        <f ca="1">SUMIF(chitiet!$B$13:$N$2352,kl!$B243,chitiet!$M$13)</f>
        <v>0</v>
      </c>
      <c r="AH243" s="775">
        <f ca="1">SUMIF(chitiet!$B$13:$N$2352,kl!$B243,chitiet!$N$13:$N$2352)</f>
        <v>0</v>
      </c>
      <c r="AI243" s="775">
        <f ca="1">SUMIF(chitiet!$B$13:$N$2352,kl!$B243,chitiet!$O$13:$O$2352)</f>
        <v>0</v>
      </c>
      <c r="AJ243" s="775">
        <f ca="1">SUMIF('Cap ngam'!$B$631:$G$723,kl!$B243,'Cap ngam'!$G$631:$G$723)</f>
        <v>0</v>
      </c>
      <c r="AK243" s="775">
        <f ca="1">SUMIF('Cap ngam'!$B$403:$G$628,kl!$B243,'Cap ngam'!G$403:G$628)</f>
        <v>0</v>
      </c>
      <c r="AL243" s="775">
        <f ca="1">SUMIF('Cap ngam'!B$16:G$400,kl!$B243,'Cap ngam'!G$16:G$400)</f>
        <v>0</v>
      </c>
      <c r="AM243" s="776">
        <v>0.2</v>
      </c>
      <c r="AN243" s="775">
        <f t="shared" ca="1" si="133"/>
        <v>0</v>
      </c>
      <c r="AO243" s="775">
        <f t="shared" ca="1" si="134"/>
        <v>0</v>
      </c>
      <c r="AP243" s="775">
        <f t="shared" ca="1" si="135"/>
        <v>0</v>
      </c>
      <c r="AQ243" s="775">
        <f t="shared" ca="1" si="136"/>
        <v>0</v>
      </c>
      <c r="AR243" s="775">
        <f t="shared" ca="1" si="137"/>
        <v>0</v>
      </c>
      <c r="AS243" s="775">
        <f t="shared" ca="1" si="138"/>
        <v>0</v>
      </c>
      <c r="AT243" s="775">
        <f t="shared" ca="1" si="139"/>
        <v>0</v>
      </c>
      <c r="AU243" s="775">
        <f t="shared" ca="1" si="140"/>
        <v>0</v>
      </c>
      <c r="AV243" s="775">
        <f t="shared" ca="1" si="141"/>
        <v>0</v>
      </c>
      <c r="AW243" s="775">
        <f t="shared" ca="1" si="142"/>
        <v>0</v>
      </c>
      <c r="AX243" s="775">
        <f t="shared" si="143"/>
        <v>0</v>
      </c>
      <c r="AY243" s="775">
        <f t="shared" ca="1" si="144"/>
        <v>0</v>
      </c>
      <c r="AZ243" s="775">
        <f t="shared" si="145"/>
        <v>0</v>
      </c>
      <c r="BA243" s="775">
        <f t="shared" ca="1" si="126"/>
        <v>0</v>
      </c>
      <c r="BB243" s="775">
        <f t="shared" ca="1" si="127"/>
        <v>0</v>
      </c>
      <c r="BC243" s="775">
        <f t="shared" ca="1" si="128"/>
        <v>0</v>
      </c>
      <c r="BD243" s="775">
        <f t="shared" ca="1" si="129"/>
        <v>0</v>
      </c>
      <c r="BE243" s="775">
        <f t="shared" ca="1" si="130"/>
        <v>0</v>
      </c>
      <c r="BF243" s="775">
        <f t="shared" ca="1" si="131"/>
        <v>0</v>
      </c>
      <c r="BG243" s="775">
        <f t="shared" ca="1" si="132"/>
        <v>0</v>
      </c>
      <c r="BH243" s="775">
        <f t="shared" ca="1" si="146"/>
        <v>0</v>
      </c>
      <c r="BI243" s="775">
        <f t="shared" ca="1" si="147"/>
        <v>0</v>
      </c>
      <c r="BJ243" s="775">
        <f t="shared" ca="1" si="148"/>
        <v>0</v>
      </c>
      <c r="BK243" s="775">
        <f t="shared" ca="1" si="149"/>
        <v>0</v>
      </c>
      <c r="BL243" s="775">
        <f t="shared" ca="1" si="150"/>
        <v>0</v>
      </c>
      <c r="BM243" s="775">
        <f t="shared" ca="1" si="151"/>
        <v>0</v>
      </c>
      <c r="BN243" s="775">
        <f t="shared" ca="1" si="152"/>
        <v>0</v>
      </c>
      <c r="BO243" s="775">
        <f t="shared" ca="1" si="153"/>
        <v>0</v>
      </c>
      <c r="BP243" s="775">
        <f t="shared" ca="1" si="154"/>
        <v>0</v>
      </c>
      <c r="BQ243" s="775">
        <f t="shared" ca="1" si="157"/>
        <v>0</v>
      </c>
      <c r="BR243" s="775">
        <f t="shared" ca="1" si="155"/>
        <v>0</v>
      </c>
    </row>
    <row r="244" spans="1:70">
      <c r="A244" s="767" t="str">
        <f t="shared" ca="1" si="162"/>
        <v/>
      </c>
      <c r="B244" s="767" t="s">
        <v>790</v>
      </c>
      <c r="C244" s="188" t="str">
        <f ca="1">IF(F244=0,"",COUNTIF($F$78:$F244,"&gt;0"))</f>
        <v/>
      </c>
      <c r="D244" s="778" t="str">
        <f>VLOOKUP($B244,dongia1,DG!$C$5,)</f>
        <v>Kẹp 2 rãnh (APC) cỡ dây 150mm2</v>
      </c>
      <c r="E244" s="555" t="str">
        <f>VLOOKUP($B244,dongia1,DG!$D$5,)</f>
        <v>cái</v>
      </c>
      <c r="F244" s="779">
        <f t="shared" ca="1" si="161"/>
        <v>0</v>
      </c>
      <c r="G244" s="775">
        <f t="shared" ca="1" si="121"/>
        <v>0</v>
      </c>
      <c r="H244" s="775">
        <f ca="1">SUMIF(CT_tram!$B$33:$G$3559,kl!B244,CT_tram!$G$33:$G$3559)</f>
        <v>0</v>
      </c>
      <c r="I244" s="775">
        <f ca="1">SUMIF(CT_tram!$B$34:$G$115,$B244,CT_tram!$G$34:$G$115)</f>
        <v>0</v>
      </c>
      <c r="J244" s="775">
        <f ca="1">SUMIF(CT_tram!$B$122:$G$204,$B244,CT_tram!$G$122:$G$204)</f>
        <v>0</v>
      </c>
      <c r="K244" s="775">
        <f ca="1">SUMIF(CT_tram!$B$211:$G$293,$B244,CT_tram!$G$211:$G$293)</f>
        <v>0</v>
      </c>
      <c r="L244" s="775">
        <f ca="1">SUMIF(CT_tram!$B$300:$G$374,$B244,CT_tram!$G$300:$G$374)</f>
        <v>0</v>
      </c>
      <c r="M244" s="775">
        <f ca="1">SUMIF(CT_tram!$B$381:$G$471,$B244,CT_tram!$G$381:$G$471)</f>
        <v>0</v>
      </c>
      <c r="N244" s="775">
        <f ca="1">SUMIF(CT_tram!$B$478:$G$560,$B244,CT_tram!$G$478:$G$560)</f>
        <v>0</v>
      </c>
      <c r="O244" s="775">
        <f ca="1">SUMIF(CT_tram!$B$567:$G$653,$B244,CT_tram!$G$567:$G$653)</f>
        <v>0</v>
      </c>
      <c r="P244" s="775">
        <f ca="1">SUMIF(CT_tram!$B$661:$G$738,$B244,CT_tram!$G$661:$G$738)</f>
        <v>0</v>
      </c>
      <c r="Q244" s="775">
        <f ca="1">SUMIF(CT_tram!$B$745:$G$899,$B244,CT_tram!$G$745:$G$899)</f>
        <v>0</v>
      </c>
      <c r="R244" s="775">
        <f ca="1">SUMIF(CT_tram!$B$907:$G$995,$B244,CT_tram!$G$907:$G$995)</f>
        <v>0</v>
      </c>
      <c r="S244" s="775"/>
      <c r="T244" s="775">
        <f ca="1">SUMIF(CT_tram!$B$1004:$G$1097,B244,CT_tram!$G$1004:$G$1097)</f>
        <v>0</v>
      </c>
      <c r="U244" s="775"/>
      <c r="V244" s="775">
        <f ca="1">SUMIF(CT_tram!$B$1226:$G$1352,kl!B244,CT_tram!$G$1226:$G$1352)</f>
        <v>0</v>
      </c>
      <c r="W244" s="780">
        <f ca="1">SUMIF(CT_tram!$B$1105:$G$1219,kl!B244,CT_tram!$G$1105:$G$1219)</f>
        <v>0</v>
      </c>
      <c r="X244" s="775">
        <f ca="1">SUMIF(CT_tram!$B$1359:$G$1504,kl!B244,CT_tram!$G$1359:$G$1504)</f>
        <v>0</v>
      </c>
      <c r="Y244" s="775">
        <f ca="1">SUMIF(CT_tram!$B$1511:$G$1625,kl!B244,CT_tram!$G$1511:$G$1625)</f>
        <v>0</v>
      </c>
      <c r="Z244" s="775">
        <f ca="1">SUMIF(CT_tram!$B$1632:$G$2211,kl!B244,CT_tram!$G$1632:$G$2211)</f>
        <v>0</v>
      </c>
      <c r="AA244" s="775">
        <f ca="1">SUMIF(CT_tram!$B$2243:$G$2384,kl!B244,CT_tram!$G$2243:$G$2384)</f>
        <v>0</v>
      </c>
      <c r="AB244" s="775">
        <f ca="1">SUMIF(CT_tram!$B$2391:$G$2563,kl!B244,CT_tram!$G$2391:$G$2563)</f>
        <v>0</v>
      </c>
      <c r="AC244" s="775">
        <f ca="1">SUMIF(chitiet!$B$13:$N$2352,kl!$B244,chitiet!$I$13:$I$2352)</f>
        <v>0</v>
      </c>
      <c r="AD244" s="775">
        <f ca="1">SUMIF(chitiet!$B$13:$N$2352,kl!$B244,chitiet!$J$13:$J$2352)</f>
        <v>0</v>
      </c>
      <c r="AE244" s="775">
        <f ca="1">SUMIF(chitiet!$B$13:$N$2352,kl!$B244,chitiet!$K$13:$K$2352)</f>
        <v>0</v>
      </c>
      <c r="AF244" s="775">
        <f ca="1">SUMIF(chitiet!$B$13:$N$2352,kl!$B244,chitiet!$L$13:$L$2352)</f>
        <v>0</v>
      </c>
      <c r="AG244" s="775">
        <f ca="1">SUMIF(chitiet!$B$13:$N$2352,kl!$B244,chitiet!$M$13)</f>
        <v>0</v>
      </c>
      <c r="AH244" s="775">
        <f ca="1">SUMIF(chitiet!$B$13:$N$2352,kl!$B244,chitiet!$N$13:$N$2352)</f>
        <v>0</v>
      </c>
      <c r="AI244" s="775">
        <f ca="1">SUMIF(chitiet!$B$13:$N$2352,kl!$B244,chitiet!$O$13:$O$2352)</f>
        <v>0</v>
      </c>
      <c r="AJ244" s="775">
        <f ca="1">SUMIF('Cap ngam'!$B$631:$G$723,kl!$B244,'Cap ngam'!$G$631:$G$723)</f>
        <v>0</v>
      </c>
      <c r="AK244" s="775">
        <f ca="1">SUMIF('Cap ngam'!$B$403:$G$628,kl!$B244,'Cap ngam'!G$403:G$628)</f>
        <v>0</v>
      </c>
      <c r="AL244" s="775">
        <f ca="1">SUMIF('Cap ngam'!B$16:G$400,kl!$B244,'Cap ngam'!G$16:G$400)</f>
        <v>0</v>
      </c>
      <c r="AM244" s="776">
        <v>0.2</v>
      </c>
      <c r="AN244" s="775">
        <f t="shared" ca="1" si="133"/>
        <v>0</v>
      </c>
      <c r="AO244" s="775">
        <f t="shared" ca="1" si="134"/>
        <v>0</v>
      </c>
      <c r="AP244" s="775">
        <f t="shared" ca="1" si="135"/>
        <v>0</v>
      </c>
      <c r="AQ244" s="775">
        <f t="shared" ca="1" si="136"/>
        <v>0</v>
      </c>
      <c r="AR244" s="775">
        <f t="shared" ca="1" si="137"/>
        <v>0</v>
      </c>
      <c r="AS244" s="775">
        <f t="shared" ca="1" si="138"/>
        <v>0</v>
      </c>
      <c r="AT244" s="775">
        <f t="shared" ca="1" si="139"/>
        <v>0</v>
      </c>
      <c r="AU244" s="775">
        <f t="shared" ca="1" si="140"/>
        <v>0</v>
      </c>
      <c r="AV244" s="775">
        <f t="shared" ca="1" si="141"/>
        <v>0</v>
      </c>
      <c r="AW244" s="775">
        <f t="shared" ca="1" si="142"/>
        <v>0</v>
      </c>
      <c r="AX244" s="775">
        <f t="shared" si="143"/>
        <v>0</v>
      </c>
      <c r="AY244" s="775">
        <f t="shared" ca="1" si="144"/>
        <v>0</v>
      </c>
      <c r="AZ244" s="775">
        <f t="shared" si="145"/>
        <v>0</v>
      </c>
      <c r="BA244" s="775">
        <f t="shared" ca="1" si="126"/>
        <v>0</v>
      </c>
      <c r="BB244" s="775">
        <f t="shared" ca="1" si="127"/>
        <v>0</v>
      </c>
      <c r="BC244" s="775">
        <f t="shared" ca="1" si="128"/>
        <v>0</v>
      </c>
      <c r="BD244" s="775">
        <f t="shared" ca="1" si="129"/>
        <v>0</v>
      </c>
      <c r="BE244" s="775">
        <f t="shared" ca="1" si="130"/>
        <v>0</v>
      </c>
      <c r="BF244" s="775">
        <f t="shared" ca="1" si="131"/>
        <v>0</v>
      </c>
      <c r="BG244" s="775">
        <f t="shared" ca="1" si="132"/>
        <v>0</v>
      </c>
      <c r="BH244" s="775">
        <f t="shared" ca="1" si="146"/>
        <v>0</v>
      </c>
      <c r="BI244" s="775">
        <f t="shared" ca="1" si="147"/>
        <v>0</v>
      </c>
      <c r="BJ244" s="775">
        <f t="shared" ca="1" si="148"/>
        <v>0</v>
      </c>
      <c r="BK244" s="775">
        <f t="shared" ca="1" si="149"/>
        <v>0</v>
      </c>
      <c r="BL244" s="775">
        <f t="shared" ca="1" si="150"/>
        <v>0</v>
      </c>
      <c r="BM244" s="775">
        <f t="shared" ca="1" si="151"/>
        <v>0</v>
      </c>
      <c r="BN244" s="775">
        <f t="shared" ca="1" si="152"/>
        <v>0</v>
      </c>
      <c r="BO244" s="775">
        <f t="shared" ca="1" si="153"/>
        <v>0</v>
      </c>
      <c r="BP244" s="775">
        <f t="shared" ca="1" si="154"/>
        <v>0</v>
      </c>
      <c r="BQ244" s="775">
        <f t="shared" ca="1" si="157"/>
        <v>0</v>
      </c>
      <c r="BR244" s="775">
        <f t="shared" ca="1" si="155"/>
        <v>0</v>
      </c>
    </row>
    <row r="245" spans="1:70">
      <c r="A245" s="767" t="str">
        <f ca="1">IF(F245&lt;&gt;0,"X","")</f>
        <v>X</v>
      </c>
      <c r="B245" s="801" t="s">
        <v>76</v>
      </c>
      <c r="C245" s="188">
        <f ca="1">IF(F245=0,"",COUNTIF($F$78:$F245,"&gt;0"))</f>
        <v>18</v>
      </c>
      <c r="D245" s="778" t="str">
        <f>VLOOKUP($B245,dongia1,DG!$C$5,)</f>
        <v>Đầu cosse ép Cu-Al 50mm2</v>
      </c>
      <c r="E245" s="555" t="str">
        <f>VLOOKUP($B245,dongia1,DG!$D$5,)</f>
        <v>cái</v>
      </c>
      <c r="F245" s="779">
        <f ca="1">G245+H245</f>
        <v>6</v>
      </c>
      <c r="G245" s="775">
        <f ca="1">SUM(AC245:AL245)</f>
        <v>6</v>
      </c>
      <c r="H245" s="775">
        <f ca="1">SUMIF(CT_tram!$B$33:$G$3559,kl!B245,CT_tram!$G$33:$G$3559)</f>
        <v>0</v>
      </c>
      <c r="I245" s="775">
        <f ca="1">SUMIF(CT_tram!$B$34:$G$115,$B245,CT_tram!$G$34:$G$115)</f>
        <v>0</v>
      </c>
      <c r="J245" s="775">
        <f ca="1">SUMIF(CT_tram!$B$122:$G$204,$B245,CT_tram!$G$122:$G$204)</f>
        <v>0</v>
      </c>
      <c r="K245" s="775">
        <f ca="1">SUMIF(CT_tram!$B$211:$G$293,$B245,CT_tram!$G$211:$G$293)</f>
        <v>0</v>
      </c>
      <c r="L245" s="775">
        <f ca="1">SUMIF(CT_tram!$B$300:$G$374,$B245,CT_tram!$G$300:$G$374)</f>
        <v>0</v>
      </c>
      <c r="M245" s="775">
        <f ca="1">SUMIF(CT_tram!$B$381:$G$471,$B245,CT_tram!$G$381:$G$471)</f>
        <v>0</v>
      </c>
      <c r="N245" s="775">
        <f ca="1">SUMIF(CT_tram!$B$478:$G$560,$B245,CT_tram!$G$478:$G$560)</f>
        <v>0</v>
      </c>
      <c r="O245" s="775">
        <f ca="1">SUMIF(CT_tram!$B$567:$G$653,$B245,CT_tram!$G$567:$G$653)</f>
        <v>0</v>
      </c>
      <c r="P245" s="775">
        <f ca="1">SUMIF(CT_tram!$B$661:$G$738,$B245,CT_tram!$G$661:$G$738)</f>
        <v>0</v>
      </c>
      <c r="Q245" s="775">
        <f ca="1">SUMIF(CT_tram!$B$745:$G$899,$B245,CT_tram!$G$745:$G$899)</f>
        <v>0</v>
      </c>
      <c r="R245" s="775">
        <f ca="1">SUMIF(CT_tram!$B$907:$G$995,$B245,CT_tram!$G$907:$G$995)</f>
        <v>0</v>
      </c>
      <c r="S245" s="775"/>
      <c r="T245" s="775">
        <f ca="1">SUMIF(CT_tram!$B$1004:$G$1097,B245,CT_tram!$G$1004:$G$1097)</f>
        <v>0</v>
      </c>
      <c r="U245" s="775"/>
      <c r="V245" s="775">
        <f ca="1">SUMIF(CT_tram!$B$1226:$G$1352,kl!B245,CT_tram!$G$1226:$G$1352)</f>
        <v>0</v>
      </c>
      <c r="W245" s="780">
        <f ca="1">SUMIF(CT_tram!$B$1105:$G$1219,kl!B245,CT_tram!$G$1105:$G$1219)</f>
        <v>0</v>
      </c>
      <c r="X245" s="775">
        <f ca="1">SUMIF(CT_tram!$B$1359:$G$1504,kl!B245,CT_tram!$G$1359:$G$1504)</f>
        <v>0</v>
      </c>
      <c r="Y245" s="775">
        <f ca="1">SUMIF(CT_tram!$B$1511:$G$1625,kl!B245,CT_tram!$G$1511:$G$1625)</f>
        <v>0</v>
      </c>
      <c r="Z245" s="775">
        <f ca="1">SUMIF(CT_tram!$B$1632:$G$2211,kl!B245,CT_tram!$G$1632:$G$2211)</f>
        <v>0</v>
      </c>
      <c r="AA245" s="775">
        <f ca="1">SUMIF(CT_tram!$B$2243:$G$2384,kl!B245,CT_tram!$G$2243:$G$2384)</f>
        <v>0</v>
      </c>
      <c r="AB245" s="775">
        <f ca="1">SUMIF(CT_tram!$B$2391:$G$2563,kl!B245,CT_tram!$G$2391:$G$2563)</f>
        <v>0</v>
      </c>
      <c r="AC245" s="775">
        <f ca="1">SUMIF(chitiet!$B$13:$N$2352,kl!$B245,chitiet!$I$13:$I$2352)</f>
        <v>0</v>
      </c>
      <c r="AD245" s="775">
        <f ca="1">SUMIF(chitiet!$B$13:$N$2352,kl!$B245,chitiet!$J$13:$J$2352)</f>
        <v>0</v>
      </c>
      <c r="AE245" s="775">
        <f ca="1">SUMIF(chitiet!$B$13:$N$2352,kl!$B245,chitiet!$K$13:$K$2352)</f>
        <v>6</v>
      </c>
      <c r="AF245" s="775">
        <f ca="1">SUMIF(chitiet!$B$13:$N$2352,kl!$B245,chitiet!$L$13:$L$2352)</f>
        <v>0</v>
      </c>
      <c r="AG245" s="775">
        <f ca="1">SUMIF(chitiet!$B$13:$N$2352,kl!$B245,chitiet!$M$13)</f>
        <v>0</v>
      </c>
      <c r="AH245" s="775">
        <f ca="1">SUMIF(chitiet!$B$13:$N$2352,kl!$B245,chitiet!$N$13:$N$2352)</f>
        <v>0</v>
      </c>
      <c r="AI245" s="775">
        <f ca="1">SUMIF(chitiet!$B$13:$N$2352,kl!$B245,chitiet!$O$13:$O$2352)</f>
        <v>0</v>
      </c>
      <c r="AJ245" s="775">
        <f ca="1">SUMIF('Cap ngam'!$B$631:$G$723,kl!$B245,'Cap ngam'!$G$631:$G$723)</f>
        <v>0</v>
      </c>
      <c r="AK245" s="775">
        <f ca="1">SUMIF('Cap ngam'!$B$403:$G$628,kl!$B245,'Cap ngam'!G$403:G$628)</f>
        <v>0</v>
      </c>
      <c r="AL245" s="775">
        <f ca="1">SUMIF('Cap ngam'!B$16:G$400,kl!$B245,'Cap ngam'!G$16:G$400)</f>
        <v>0</v>
      </c>
      <c r="AM245" s="776">
        <v>0.2</v>
      </c>
      <c r="AN245" s="775">
        <f t="shared" ref="AN245:BP245" ca="1" si="163">I245*$AM245</f>
        <v>0</v>
      </c>
      <c r="AO245" s="775">
        <f t="shared" ca="1" si="163"/>
        <v>0</v>
      </c>
      <c r="AP245" s="775">
        <f t="shared" ca="1" si="163"/>
        <v>0</v>
      </c>
      <c r="AQ245" s="775">
        <f t="shared" ca="1" si="163"/>
        <v>0</v>
      </c>
      <c r="AR245" s="775">
        <f t="shared" ca="1" si="163"/>
        <v>0</v>
      </c>
      <c r="AS245" s="775">
        <f t="shared" ca="1" si="163"/>
        <v>0</v>
      </c>
      <c r="AT245" s="775">
        <f t="shared" ca="1" si="163"/>
        <v>0</v>
      </c>
      <c r="AU245" s="775">
        <f t="shared" ca="1" si="163"/>
        <v>0</v>
      </c>
      <c r="AV245" s="775">
        <f t="shared" ca="1" si="163"/>
        <v>0</v>
      </c>
      <c r="AW245" s="775">
        <f t="shared" ca="1" si="163"/>
        <v>0</v>
      </c>
      <c r="AX245" s="775">
        <f t="shared" si="163"/>
        <v>0</v>
      </c>
      <c r="AY245" s="775">
        <f t="shared" ca="1" si="163"/>
        <v>0</v>
      </c>
      <c r="AZ245" s="775">
        <f t="shared" si="163"/>
        <v>0</v>
      </c>
      <c r="BA245" s="775">
        <f t="shared" ca="1" si="163"/>
        <v>0</v>
      </c>
      <c r="BB245" s="775">
        <f t="shared" ca="1" si="163"/>
        <v>0</v>
      </c>
      <c r="BC245" s="775">
        <f t="shared" ca="1" si="163"/>
        <v>0</v>
      </c>
      <c r="BD245" s="775">
        <f t="shared" ca="1" si="163"/>
        <v>0</v>
      </c>
      <c r="BE245" s="775">
        <f t="shared" ca="1" si="163"/>
        <v>0</v>
      </c>
      <c r="BF245" s="775">
        <f t="shared" ca="1" si="163"/>
        <v>0</v>
      </c>
      <c r="BG245" s="775">
        <f t="shared" ca="1" si="163"/>
        <v>0</v>
      </c>
      <c r="BH245" s="775">
        <f t="shared" ca="1" si="163"/>
        <v>0</v>
      </c>
      <c r="BI245" s="775">
        <f t="shared" ca="1" si="163"/>
        <v>0</v>
      </c>
      <c r="BJ245" s="775">
        <f t="shared" ca="1" si="163"/>
        <v>1.2000000000000002</v>
      </c>
      <c r="BK245" s="775">
        <f t="shared" ca="1" si="163"/>
        <v>0</v>
      </c>
      <c r="BL245" s="775">
        <f t="shared" ca="1" si="163"/>
        <v>0</v>
      </c>
      <c r="BM245" s="775">
        <f t="shared" ca="1" si="163"/>
        <v>0</v>
      </c>
      <c r="BN245" s="775">
        <f t="shared" ca="1" si="163"/>
        <v>0</v>
      </c>
      <c r="BO245" s="775">
        <f t="shared" ca="1" si="163"/>
        <v>0</v>
      </c>
      <c r="BP245" s="775">
        <f t="shared" ca="1" si="163"/>
        <v>0</v>
      </c>
      <c r="BQ245" s="775">
        <f t="shared" ca="1" si="157"/>
        <v>0</v>
      </c>
      <c r="BR245" s="775">
        <f t="shared" ca="1" si="155"/>
        <v>0</v>
      </c>
    </row>
    <row r="246" spans="1:70">
      <c r="A246" s="767" t="str">
        <f t="shared" ca="1" si="162"/>
        <v/>
      </c>
      <c r="B246" s="801" t="s">
        <v>1766</v>
      </c>
      <c r="C246" s="188" t="str">
        <f ca="1">IF(F246=0,"",COUNTIF($F$78:$F246,"&gt;0"))</f>
        <v/>
      </c>
      <c r="D246" s="778" t="str">
        <f>VLOOKUP($B246,dongia1,DG!$C$5,)</f>
        <v>Đầu cosse ép Cu-Al 70mm2</v>
      </c>
      <c r="E246" s="555" t="str">
        <f>VLOOKUP($B246,dongia1,DG!$D$5,)</f>
        <v>cái</v>
      </c>
      <c r="F246" s="779">
        <f ca="1">G246+H246</f>
        <v>0</v>
      </c>
      <c r="G246" s="775">
        <f t="shared" ca="1" si="121"/>
        <v>0</v>
      </c>
      <c r="H246" s="775">
        <f ca="1">SUMIF(CT_tram!$B$33:$G$3559,kl!B246,CT_tram!$G$33:$G$3559)</f>
        <v>0</v>
      </c>
      <c r="I246" s="775">
        <f ca="1">SUMIF(CT_tram!$B$34:$G$115,$B246,CT_tram!$G$34:$G$115)</f>
        <v>0</v>
      </c>
      <c r="J246" s="775">
        <f ca="1">SUMIF(CT_tram!$B$122:$G$204,$B246,CT_tram!$G$122:$G$204)</f>
        <v>0</v>
      </c>
      <c r="K246" s="775">
        <f ca="1">SUMIF(CT_tram!$B$211:$G$293,$B246,CT_tram!$G$211:$G$293)</f>
        <v>0</v>
      </c>
      <c r="L246" s="775">
        <f ca="1">SUMIF(CT_tram!$B$300:$G$374,$B246,CT_tram!$G$300:$G$374)</f>
        <v>0</v>
      </c>
      <c r="M246" s="775">
        <f ca="1">SUMIF(CT_tram!$B$381:$G$471,$B246,CT_tram!$G$381:$G$471)</f>
        <v>0</v>
      </c>
      <c r="N246" s="775">
        <f ca="1">SUMIF(CT_tram!$B$478:$G$560,$B246,CT_tram!$G$478:$G$560)</f>
        <v>0</v>
      </c>
      <c r="O246" s="775">
        <f ca="1">SUMIF(CT_tram!$B$567:$G$653,$B246,CT_tram!$G$567:$G$653)</f>
        <v>0</v>
      </c>
      <c r="P246" s="775">
        <f ca="1">SUMIF(CT_tram!$B$661:$G$738,$B246,CT_tram!$G$661:$G$738)</f>
        <v>0</v>
      </c>
      <c r="Q246" s="775">
        <f ca="1">SUMIF(CT_tram!$B$745:$G$899,$B246,CT_tram!$G$745:$G$899)</f>
        <v>0</v>
      </c>
      <c r="R246" s="775">
        <f ca="1">SUMIF(CT_tram!$B$907:$G$995,$B246,CT_tram!$G$907:$G$995)</f>
        <v>0</v>
      </c>
      <c r="S246" s="775"/>
      <c r="T246" s="775">
        <f ca="1">SUMIF(CT_tram!$B$1004:$G$1097,B246,CT_tram!$G$1004:$G$1097)</f>
        <v>0</v>
      </c>
      <c r="U246" s="775"/>
      <c r="V246" s="775">
        <f ca="1">SUMIF(CT_tram!$B$1226:$G$1352,kl!B246,CT_tram!$G$1226:$G$1352)</f>
        <v>0</v>
      </c>
      <c r="W246" s="780">
        <f ca="1">SUMIF(CT_tram!$B$1105:$G$1219,kl!B246,CT_tram!$G$1105:$G$1219)</f>
        <v>0</v>
      </c>
      <c r="X246" s="775">
        <f ca="1">SUMIF(CT_tram!$B$1359:$G$1504,kl!B246,CT_tram!$G$1359:$G$1504)</f>
        <v>0</v>
      </c>
      <c r="Y246" s="775">
        <f ca="1">SUMIF(CT_tram!$B$1511:$G$1625,kl!B246,CT_tram!$G$1511:$G$1625)</f>
        <v>0</v>
      </c>
      <c r="Z246" s="775">
        <f ca="1">SUMIF(CT_tram!$B$1632:$G$2211,kl!B246,CT_tram!$G$1632:$G$2211)</f>
        <v>0</v>
      </c>
      <c r="AA246" s="775">
        <f ca="1">SUMIF(CT_tram!$B$2243:$G$2384,kl!B246,CT_tram!$G$2243:$G$2384)</f>
        <v>0</v>
      </c>
      <c r="AB246" s="775">
        <f ca="1">SUMIF(CT_tram!$B$2391:$G$2563,kl!B246,CT_tram!$G$2391:$G$2563)</f>
        <v>0</v>
      </c>
      <c r="AC246" s="775">
        <f ca="1">SUMIF(chitiet!$B$13:$N$2352,kl!$B246,chitiet!$I$13:$I$2352)</f>
        <v>0</v>
      </c>
      <c r="AD246" s="775">
        <f ca="1">SUMIF(chitiet!$B$13:$N$2352,kl!$B246,chitiet!$J$13:$J$2352)</f>
        <v>0</v>
      </c>
      <c r="AE246" s="775">
        <f ca="1">SUMIF(chitiet!$B$13:$N$2352,kl!$B246,chitiet!$K$13:$K$2352)</f>
        <v>0</v>
      </c>
      <c r="AF246" s="775">
        <f ca="1">SUMIF(chitiet!$B$13:$N$2352,kl!$B246,chitiet!$L$13:$L$2352)</f>
        <v>0</v>
      </c>
      <c r="AG246" s="775">
        <f ca="1">SUMIF(chitiet!$B$13:$N$2352,kl!$B246,chitiet!$M$13)</f>
        <v>0</v>
      </c>
      <c r="AH246" s="775">
        <f ca="1">SUMIF(chitiet!$B$13:$N$2352,kl!$B246,chitiet!$N$13:$N$2352)</f>
        <v>0</v>
      </c>
      <c r="AI246" s="775">
        <f ca="1">SUMIF(chitiet!$B$13:$N$2352,kl!$B246,chitiet!$O$13:$O$2352)</f>
        <v>0</v>
      </c>
      <c r="AJ246" s="775">
        <f ca="1">SUMIF('Cap ngam'!$B$631:$G$723,kl!$B246,'Cap ngam'!$G$631:$G$723)</f>
        <v>0</v>
      </c>
      <c r="AK246" s="775">
        <f ca="1">SUMIF('Cap ngam'!$B$403:$G$628,kl!$B246,'Cap ngam'!G$403:G$628)</f>
        <v>0</v>
      </c>
      <c r="AL246" s="775">
        <f ca="1">SUMIF('Cap ngam'!B$16:G$400,kl!$B246,'Cap ngam'!G$16:G$400)</f>
        <v>0</v>
      </c>
      <c r="AM246" s="776">
        <v>0.2</v>
      </c>
      <c r="AN246" s="775">
        <f t="shared" ca="1" si="133"/>
        <v>0</v>
      </c>
      <c r="AO246" s="775">
        <f t="shared" ca="1" si="134"/>
        <v>0</v>
      </c>
      <c r="AP246" s="775">
        <f t="shared" ca="1" si="135"/>
        <v>0</v>
      </c>
      <c r="AQ246" s="775">
        <f t="shared" ca="1" si="136"/>
        <v>0</v>
      </c>
      <c r="AR246" s="775">
        <f t="shared" ca="1" si="137"/>
        <v>0</v>
      </c>
      <c r="AS246" s="775">
        <f t="shared" ca="1" si="138"/>
        <v>0</v>
      </c>
      <c r="AT246" s="775">
        <f t="shared" ca="1" si="139"/>
        <v>0</v>
      </c>
      <c r="AU246" s="775">
        <f t="shared" ca="1" si="140"/>
        <v>0</v>
      </c>
      <c r="AV246" s="775">
        <f t="shared" ca="1" si="141"/>
        <v>0</v>
      </c>
      <c r="AW246" s="775">
        <f t="shared" ca="1" si="142"/>
        <v>0</v>
      </c>
      <c r="AX246" s="775">
        <f t="shared" si="143"/>
        <v>0</v>
      </c>
      <c r="AY246" s="775">
        <f t="shared" ca="1" si="144"/>
        <v>0</v>
      </c>
      <c r="AZ246" s="775">
        <f t="shared" si="145"/>
        <v>0</v>
      </c>
      <c r="BA246" s="775">
        <f t="shared" ca="1" si="126"/>
        <v>0</v>
      </c>
      <c r="BB246" s="775">
        <f t="shared" ca="1" si="127"/>
        <v>0</v>
      </c>
      <c r="BC246" s="775">
        <f t="shared" ca="1" si="128"/>
        <v>0</v>
      </c>
      <c r="BD246" s="775">
        <f t="shared" ca="1" si="129"/>
        <v>0</v>
      </c>
      <c r="BE246" s="775">
        <f t="shared" ca="1" si="130"/>
        <v>0</v>
      </c>
      <c r="BF246" s="775">
        <f t="shared" ca="1" si="131"/>
        <v>0</v>
      </c>
      <c r="BG246" s="775">
        <f t="shared" ca="1" si="132"/>
        <v>0</v>
      </c>
      <c r="BH246" s="775">
        <f t="shared" ca="1" si="146"/>
        <v>0</v>
      </c>
      <c r="BI246" s="775">
        <f t="shared" ca="1" si="147"/>
        <v>0</v>
      </c>
      <c r="BJ246" s="775">
        <f t="shared" ca="1" si="148"/>
        <v>0</v>
      </c>
      <c r="BK246" s="775">
        <f t="shared" ca="1" si="149"/>
        <v>0</v>
      </c>
      <c r="BL246" s="775">
        <f t="shared" ca="1" si="150"/>
        <v>0</v>
      </c>
      <c r="BM246" s="775">
        <f t="shared" ca="1" si="151"/>
        <v>0</v>
      </c>
      <c r="BN246" s="775">
        <f t="shared" ca="1" si="152"/>
        <v>0</v>
      </c>
      <c r="BO246" s="775">
        <f t="shared" ca="1" si="153"/>
        <v>0</v>
      </c>
      <c r="BP246" s="775">
        <f t="shared" ca="1" si="154"/>
        <v>0</v>
      </c>
      <c r="BQ246" s="775">
        <f t="shared" ca="1" si="157"/>
        <v>0</v>
      </c>
      <c r="BR246" s="775">
        <f t="shared" ca="1" si="155"/>
        <v>0</v>
      </c>
    </row>
    <row r="247" spans="1:70">
      <c r="A247" s="767" t="str">
        <f t="shared" ca="1" si="162"/>
        <v/>
      </c>
      <c r="B247" s="801" t="s">
        <v>1767</v>
      </c>
      <c r="C247" s="188" t="str">
        <f ca="1">IF(F247=0,"",COUNTIF($F$78:$F247,"&gt;0"))</f>
        <v/>
      </c>
      <c r="D247" s="778" t="str">
        <f>VLOOKUP($B247,dongia1,DG!$C$5,)</f>
        <v>Đầu cosse ép Cu-Al 95mm2</v>
      </c>
      <c r="E247" s="555" t="str">
        <f>VLOOKUP($B247,dongia1,DG!$D$5,)</f>
        <v>cái</v>
      </c>
      <c r="F247" s="779">
        <f ca="1">G247+H247</f>
        <v>0</v>
      </c>
      <c r="G247" s="775">
        <f t="shared" ca="1" si="121"/>
        <v>0</v>
      </c>
      <c r="H247" s="775">
        <f ca="1">SUMIF(CT_tram!$B$33:$G$3559,kl!B247,CT_tram!$G$33:$G$3559)</f>
        <v>0</v>
      </c>
      <c r="I247" s="775">
        <f ca="1">SUMIF(CT_tram!$B$34:$G$115,$B247,CT_tram!$G$34:$G$115)</f>
        <v>0</v>
      </c>
      <c r="J247" s="775">
        <f ca="1">SUMIF(CT_tram!$B$122:$G$204,$B247,CT_tram!$G$122:$G$204)</f>
        <v>0</v>
      </c>
      <c r="K247" s="775">
        <f ca="1">SUMIF(CT_tram!$B$211:$G$293,$B247,CT_tram!$G$211:$G$293)</f>
        <v>0</v>
      </c>
      <c r="L247" s="775">
        <f ca="1">SUMIF(CT_tram!$B$300:$G$374,$B247,CT_tram!$G$300:$G$374)</f>
        <v>0</v>
      </c>
      <c r="M247" s="775">
        <f ca="1">SUMIF(CT_tram!$B$381:$G$471,$B247,CT_tram!$G$381:$G$471)</f>
        <v>0</v>
      </c>
      <c r="N247" s="775">
        <f ca="1">SUMIF(CT_tram!$B$478:$G$560,$B247,CT_tram!$G$478:$G$560)</f>
        <v>0</v>
      </c>
      <c r="O247" s="775">
        <f ca="1">SUMIF(CT_tram!$B$567:$G$653,$B247,CT_tram!$G$567:$G$653)</f>
        <v>0</v>
      </c>
      <c r="P247" s="775">
        <f ca="1">SUMIF(CT_tram!$B$661:$G$738,$B247,CT_tram!$G$661:$G$738)</f>
        <v>0</v>
      </c>
      <c r="Q247" s="775">
        <f ca="1">SUMIF(CT_tram!$B$745:$G$899,$B247,CT_tram!$G$745:$G$899)</f>
        <v>0</v>
      </c>
      <c r="R247" s="775">
        <f ca="1">SUMIF(CT_tram!$B$907:$G$995,$B247,CT_tram!$G$907:$G$995)</f>
        <v>0</v>
      </c>
      <c r="S247" s="775"/>
      <c r="T247" s="775">
        <f ca="1">SUMIF(CT_tram!$B$1004:$G$1097,B247,CT_tram!$G$1004:$G$1097)</f>
        <v>0</v>
      </c>
      <c r="U247" s="775"/>
      <c r="V247" s="775">
        <f ca="1">SUMIF(CT_tram!$B$1226:$G$1352,kl!B247,CT_tram!$G$1226:$G$1352)</f>
        <v>0</v>
      </c>
      <c r="W247" s="780">
        <f ca="1">SUMIF(CT_tram!$B$1105:$G$1219,kl!B247,CT_tram!$G$1105:$G$1219)</f>
        <v>0</v>
      </c>
      <c r="X247" s="775">
        <f ca="1">SUMIF(CT_tram!$B$1359:$G$1504,kl!B247,CT_tram!$G$1359:$G$1504)</f>
        <v>0</v>
      </c>
      <c r="Y247" s="775">
        <f ca="1">SUMIF(CT_tram!$B$1511:$G$1625,kl!B247,CT_tram!$G$1511:$G$1625)</f>
        <v>0</v>
      </c>
      <c r="Z247" s="775">
        <f ca="1">SUMIF(CT_tram!$B$1632:$G$2211,kl!B247,CT_tram!$G$1632:$G$2211)</f>
        <v>0</v>
      </c>
      <c r="AA247" s="775">
        <f ca="1">SUMIF(CT_tram!$B$2243:$G$2384,kl!B247,CT_tram!$G$2243:$G$2384)</f>
        <v>0</v>
      </c>
      <c r="AB247" s="775">
        <f ca="1">SUMIF(CT_tram!$B$2391:$G$2563,kl!B247,CT_tram!$G$2391:$G$2563)</f>
        <v>0</v>
      </c>
      <c r="AC247" s="775">
        <f ca="1">SUMIF(chitiet!$B$13:$N$2352,kl!$B247,chitiet!$I$13:$I$2352)</f>
        <v>0</v>
      </c>
      <c r="AD247" s="775">
        <f ca="1">SUMIF(chitiet!$B$13:$N$2352,kl!$B247,chitiet!$J$13:$J$2352)</f>
        <v>0</v>
      </c>
      <c r="AE247" s="775">
        <f ca="1">SUMIF(chitiet!$B$13:$N$2352,kl!$B247,chitiet!$K$13:$K$2352)</f>
        <v>0</v>
      </c>
      <c r="AF247" s="775">
        <f ca="1">SUMIF(chitiet!$B$13:$N$2352,kl!$B247,chitiet!$L$13:$L$2352)</f>
        <v>0</v>
      </c>
      <c r="AG247" s="775">
        <f ca="1">SUMIF(chitiet!$B$13:$N$2352,kl!$B247,chitiet!$M$13)</f>
        <v>0</v>
      </c>
      <c r="AH247" s="775">
        <f ca="1">SUMIF(chitiet!$B$13:$N$2352,kl!$B247,chitiet!$N$13:$N$2352)</f>
        <v>0</v>
      </c>
      <c r="AI247" s="775">
        <f ca="1">SUMIF(chitiet!$B$13:$N$2352,kl!$B247,chitiet!$O$13:$O$2352)</f>
        <v>0</v>
      </c>
      <c r="AJ247" s="775">
        <f ca="1">SUMIF('Cap ngam'!$B$631:$G$723,kl!$B247,'Cap ngam'!$G$631:$G$723)</f>
        <v>0</v>
      </c>
      <c r="AK247" s="775">
        <f ca="1">SUMIF('Cap ngam'!$B$403:$G$628,kl!$B247,'Cap ngam'!G$403:G$628)</f>
        <v>0</v>
      </c>
      <c r="AL247" s="775">
        <f ca="1">SUMIF('Cap ngam'!B$16:G$400,kl!$B247,'Cap ngam'!G$16:G$400)</f>
        <v>0</v>
      </c>
      <c r="AM247" s="776">
        <v>0.2</v>
      </c>
      <c r="AN247" s="775">
        <f t="shared" ca="1" si="133"/>
        <v>0</v>
      </c>
      <c r="AO247" s="775">
        <f t="shared" ca="1" si="134"/>
        <v>0</v>
      </c>
      <c r="AP247" s="775">
        <f t="shared" ca="1" si="135"/>
        <v>0</v>
      </c>
      <c r="AQ247" s="775">
        <f t="shared" ca="1" si="136"/>
        <v>0</v>
      </c>
      <c r="AR247" s="775">
        <f t="shared" ca="1" si="137"/>
        <v>0</v>
      </c>
      <c r="AS247" s="775">
        <f t="shared" ca="1" si="138"/>
        <v>0</v>
      </c>
      <c r="AT247" s="775">
        <f t="shared" ca="1" si="139"/>
        <v>0</v>
      </c>
      <c r="AU247" s="775">
        <f t="shared" ca="1" si="140"/>
        <v>0</v>
      </c>
      <c r="AV247" s="775">
        <f t="shared" ca="1" si="141"/>
        <v>0</v>
      </c>
      <c r="AW247" s="775">
        <f t="shared" ca="1" si="142"/>
        <v>0</v>
      </c>
      <c r="AX247" s="775">
        <f t="shared" si="143"/>
        <v>0</v>
      </c>
      <c r="AY247" s="775">
        <f t="shared" ca="1" si="144"/>
        <v>0</v>
      </c>
      <c r="AZ247" s="775">
        <f t="shared" si="145"/>
        <v>0</v>
      </c>
      <c r="BA247" s="775">
        <f t="shared" ca="1" si="126"/>
        <v>0</v>
      </c>
      <c r="BB247" s="775">
        <f t="shared" ca="1" si="127"/>
        <v>0</v>
      </c>
      <c r="BC247" s="775">
        <f t="shared" ca="1" si="128"/>
        <v>0</v>
      </c>
      <c r="BD247" s="775">
        <f t="shared" ca="1" si="129"/>
        <v>0</v>
      </c>
      <c r="BE247" s="775">
        <f t="shared" ca="1" si="130"/>
        <v>0</v>
      </c>
      <c r="BF247" s="775">
        <f t="shared" ca="1" si="131"/>
        <v>0</v>
      </c>
      <c r="BG247" s="775">
        <f t="shared" ca="1" si="132"/>
        <v>0</v>
      </c>
      <c r="BH247" s="775">
        <f t="shared" ca="1" si="146"/>
        <v>0</v>
      </c>
      <c r="BI247" s="775">
        <f t="shared" ca="1" si="147"/>
        <v>0</v>
      </c>
      <c r="BJ247" s="775">
        <f t="shared" ca="1" si="148"/>
        <v>0</v>
      </c>
      <c r="BK247" s="775">
        <f t="shared" ca="1" si="149"/>
        <v>0</v>
      </c>
      <c r="BL247" s="775">
        <f t="shared" ca="1" si="150"/>
        <v>0</v>
      </c>
      <c r="BM247" s="775">
        <f t="shared" ca="1" si="151"/>
        <v>0</v>
      </c>
      <c r="BN247" s="775">
        <f t="shared" ca="1" si="152"/>
        <v>0</v>
      </c>
      <c r="BO247" s="775">
        <f t="shared" ca="1" si="153"/>
        <v>0</v>
      </c>
      <c r="BP247" s="775">
        <f t="shared" ca="1" si="154"/>
        <v>0</v>
      </c>
      <c r="BQ247" s="775">
        <f t="shared" ca="1" si="157"/>
        <v>0</v>
      </c>
      <c r="BR247" s="775">
        <f t="shared" ca="1" si="155"/>
        <v>0</v>
      </c>
    </row>
    <row r="248" spans="1:70">
      <c r="A248" s="767" t="str">
        <f t="shared" ca="1" si="162"/>
        <v/>
      </c>
      <c r="B248" s="801" t="s">
        <v>1768</v>
      </c>
      <c r="C248" s="188" t="str">
        <f ca="1">IF(F248=0,"",COUNTIF($F$78:$F248,"&gt;0"))</f>
        <v/>
      </c>
      <c r="D248" s="778" t="str">
        <f>VLOOKUP($B248,dongia1,DG!$C$5,)</f>
        <v>Đầu cosse ép Cu-Al 120mm2</v>
      </c>
      <c r="E248" s="555" t="str">
        <f>VLOOKUP($B248,dongia1,DG!$D$5,)</f>
        <v>cái</v>
      </c>
      <c r="F248" s="779">
        <f ca="1">G248+H248</f>
        <v>0</v>
      </c>
      <c r="G248" s="775">
        <f t="shared" ca="1" si="121"/>
        <v>0</v>
      </c>
      <c r="H248" s="775">
        <f ca="1">SUMIF(CT_tram!$B$33:$G$3559,kl!B248,CT_tram!$G$33:$G$3559)</f>
        <v>0</v>
      </c>
      <c r="I248" s="775">
        <f ca="1">SUMIF(CT_tram!$B$34:$G$115,$B248,CT_tram!$G$34:$G$115)</f>
        <v>0</v>
      </c>
      <c r="J248" s="775">
        <f ca="1">SUMIF(CT_tram!$B$122:$G$204,$B248,CT_tram!$G$122:$G$204)</f>
        <v>0</v>
      </c>
      <c r="K248" s="775">
        <f ca="1">SUMIF(CT_tram!$B$211:$G$293,$B248,CT_tram!$G$211:$G$293)</f>
        <v>0</v>
      </c>
      <c r="L248" s="775">
        <f ca="1">SUMIF(CT_tram!$B$300:$G$374,$B248,CT_tram!$G$300:$G$374)</f>
        <v>0</v>
      </c>
      <c r="M248" s="775">
        <f ca="1">SUMIF(CT_tram!$B$381:$G$471,$B248,CT_tram!$G$381:$G$471)</f>
        <v>0</v>
      </c>
      <c r="N248" s="775">
        <f ca="1">SUMIF(CT_tram!$B$478:$G$560,$B248,CT_tram!$G$478:$G$560)</f>
        <v>0</v>
      </c>
      <c r="O248" s="775">
        <f ca="1">SUMIF(CT_tram!$B$567:$G$653,$B248,CT_tram!$G$567:$G$653)</f>
        <v>0</v>
      </c>
      <c r="P248" s="775">
        <f ca="1">SUMIF(CT_tram!$B$661:$G$738,$B248,CT_tram!$G$661:$G$738)</f>
        <v>0</v>
      </c>
      <c r="Q248" s="775">
        <f ca="1">SUMIF(CT_tram!$B$745:$G$899,$B248,CT_tram!$G$745:$G$899)</f>
        <v>0</v>
      </c>
      <c r="R248" s="775">
        <f ca="1">SUMIF(CT_tram!$B$907:$G$995,$B248,CT_tram!$G$907:$G$995)</f>
        <v>0</v>
      </c>
      <c r="S248" s="775"/>
      <c r="T248" s="775">
        <f ca="1">SUMIF(CT_tram!$B$1004:$G$1097,B248,CT_tram!$G$1004:$G$1097)</f>
        <v>0</v>
      </c>
      <c r="U248" s="775"/>
      <c r="V248" s="775">
        <f ca="1">SUMIF(CT_tram!$B$1226:$G$1352,kl!B248,CT_tram!$G$1226:$G$1352)</f>
        <v>0</v>
      </c>
      <c r="W248" s="780">
        <f ca="1">SUMIF(CT_tram!$B$1105:$G$1219,kl!B248,CT_tram!$G$1105:$G$1219)</f>
        <v>0</v>
      </c>
      <c r="X248" s="775">
        <f ca="1">SUMIF(CT_tram!$B$1359:$G$1504,kl!B248,CT_tram!$G$1359:$G$1504)</f>
        <v>0</v>
      </c>
      <c r="Y248" s="775">
        <f ca="1">SUMIF(CT_tram!$B$1511:$G$1625,kl!B248,CT_tram!$G$1511:$G$1625)</f>
        <v>0</v>
      </c>
      <c r="Z248" s="775">
        <f ca="1">SUMIF(CT_tram!$B$1632:$G$2211,kl!B248,CT_tram!$G$1632:$G$2211)</f>
        <v>0</v>
      </c>
      <c r="AA248" s="775">
        <f ca="1">SUMIF(CT_tram!$B$2243:$G$2384,kl!B248,CT_tram!$G$2243:$G$2384)</f>
        <v>0</v>
      </c>
      <c r="AB248" s="775">
        <f ca="1">SUMIF(CT_tram!$B$2391:$G$2563,kl!B248,CT_tram!$G$2391:$G$2563)</f>
        <v>0</v>
      </c>
      <c r="AC248" s="775">
        <f ca="1">SUMIF(chitiet!$B$13:$N$2352,kl!$B248,chitiet!$I$13:$I$2352)</f>
        <v>0</v>
      </c>
      <c r="AD248" s="775">
        <f ca="1">SUMIF(chitiet!$B$13:$N$2352,kl!$B248,chitiet!$J$13:$J$2352)</f>
        <v>0</v>
      </c>
      <c r="AE248" s="775">
        <f ca="1">SUMIF(chitiet!$B$13:$N$2352,kl!$B248,chitiet!$K$13:$K$2352)</f>
        <v>0</v>
      </c>
      <c r="AF248" s="775">
        <f ca="1">SUMIF(chitiet!$B$13:$N$2352,kl!$B248,chitiet!$L$13:$L$2352)</f>
        <v>0</v>
      </c>
      <c r="AG248" s="775">
        <f ca="1">SUMIF(chitiet!$B$13:$N$2352,kl!$B248,chitiet!$M$13)</f>
        <v>0</v>
      </c>
      <c r="AH248" s="775">
        <f ca="1">SUMIF(chitiet!$B$13:$N$2352,kl!$B248,chitiet!$N$13:$N$2352)</f>
        <v>0</v>
      </c>
      <c r="AI248" s="775">
        <f ca="1">SUMIF(chitiet!$B$13:$N$2352,kl!$B248,chitiet!$O$13:$O$2352)</f>
        <v>0</v>
      </c>
      <c r="AJ248" s="775">
        <f ca="1">SUMIF('Cap ngam'!$B$631:$G$723,kl!$B248,'Cap ngam'!$G$631:$G$723)</f>
        <v>0</v>
      </c>
      <c r="AK248" s="775">
        <f ca="1">SUMIF('Cap ngam'!$B$403:$G$628,kl!$B248,'Cap ngam'!G$403:G$628)</f>
        <v>0</v>
      </c>
      <c r="AL248" s="775">
        <f ca="1">SUMIF('Cap ngam'!B$16:G$400,kl!$B248,'Cap ngam'!G$16:G$400)</f>
        <v>0</v>
      </c>
      <c r="AM248" s="776">
        <v>0.2</v>
      </c>
      <c r="AN248" s="775">
        <f t="shared" ca="1" si="133"/>
        <v>0</v>
      </c>
      <c r="AO248" s="775">
        <f t="shared" ca="1" si="134"/>
        <v>0</v>
      </c>
      <c r="AP248" s="775">
        <f t="shared" ca="1" si="135"/>
        <v>0</v>
      </c>
      <c r="AQ248" s="775">
        <f t="shared" ca="1" si="136"/>
        <v>0</v>
      </c>
      <c r="AR248" s="775">
        <f t="shared" ca="1" si="137"/>
        <v>0</v>
      </c>
      <c r="AS248" s="775">
        <f t="shared" ca="1" si="138"/>
        <v>0</v>
      </c>
      <c r="AT248" s="775">
        <f t="shared" ca="1" si="139"/>
        <v>0</v>
      </c>
      <c r="AU248" s="775">
        <f t="shared" ca="1" si="140"/>
        <v>0</v>
      </c>
      <c r="AV248" s="775">
        <f t="shared" ca="1" si="141"/>
        <v>0</v>
      </c>
      <c r="AW248" s="775">
        <f t="shared" ca="1" si="142"/>
        <v>0</v>
      </c>
      <c r="AX248" s="775">
        <f t="shared" si="143"/>
        <v>0</v>
      </c>
      <c r="AY248" s="775">
        <f t="shared" ca="1" si="144"/>
        <v>0</v>
      </c>
      <c r="AZ248" s="775">
        <f t="shared" si="145"/>
        <v>0</v>
      </c>
      <c r="BA248" s="775">
        <f t="shared" ca="1" si="126"/>
        <v>0</v>
      </c>
      <c r="BB248" s="775">
        <f t="shared" ca="1" si="127"/>
        <v>0</v>
      </c>
      <c r="BC248" s="775">
        <f t="shared" ca="1" si="128"/>
        <v>0</v>
      </c>
      <c r="BD248" s="775">
        <f t="shared" ca="1" si="129"/>
        <v>0</v>
      </c>
      <c r="BE248" s="775">
        <f t="shared" ca="1" si="130"/>
        <v>0</v>
      </c>
      <c r="BF248" s="775">
        <f t="shared" ca="1" si="131"/>
        <v>0</v>
      </c>
      <c r="BG248" s="775">
        <f t="shared" ca="1" si="132"/>
        <v>0</v>
      </c>
      <c r="BH248" s="775">
        <f t="shared" ca="1" si="146"/>
        <v>0</v>
      </c>
      <c r="BI248" s="775">
        <f t="shared" ca="1" si="147"/>
        <v>0</v>
      </c>
      <c r="BJ248" s="775">
        <f t="shared" ca="1" si="148"/>
        <v>0</v>
      </c>
      <c r="BK248" s="775">
        <f t="shared" ca="1" si="149"/>
        <v>0</v>
      </c>
      <c r="BL248" s="775">
        <f t="shared" ca="1" si="150"/>
        <v>0</v>
      </c>
      <c r="BM248" s="775">
        <f t="shared" ca="1" si="151"/>
        <v>0</v>
      </c>
      <c r="BN248" s="775">
        <f t="shared" ca="1" si="152"/>
        <v>0</v>
      </c>
      <c r="BO248" s="775">
        <f t="shared" ca="1" si="153"/>
        <v>0</v>
      </c>
      <c r="BP248" s="775">
        <f t="shared" ca="1" si="154"/>
        <v>0</v>
      </c>
      <c r="BQ248" s="775">
        <f t="shared" ca="1" si="157"/>
        <v>0</v>
      </c>
      <c r="BR248" s="775">
        <f t="shared" ca="1" si="155"/>
        <v>0</v>
      </c>
    </row>
    <row r="249" spans="1:70">
      <c r="A249" s="767" t="str">
        <f t="shared" ca="1" si="162"/>
        <v/>
      </c>
      <c r="B249" s="801" t="s">
        <v>318</v>
      </c>
      <c r="C249" s="188" t="str">
        <f ca="1">IF(F249=0,"",COUNTIF($F$78:$F249,"&gt;0"))</f>
        <v/>
      </c>
      <c r="D249" s="778" t="str">
        <f>VLOOKUP($B249,dongia1,DG!$C$5,)</f>
        <v>Đầu cosse ép Cu-Al 150mm2</v>
      </c>
      <c r="E249" s="555" t="str">
        <f>VLOOKUP($B249,dongia1,DG!$D$5,)</f>
        <v>cái</v>
      </c>
      <c r="F249" s="779">
        <f t="shared" ref="F249:F256" ca="1" si="164">G249+H249</f>
        <v>0</v>
      </c>
      <c r="G249" s="775">
        <f t="shared" ca="1" si="121"/>
        <v>0</v>
      </c>
      <c r="H249" s="775">
        <f ca="1">SUMIF(CT_tram!$B$33:$G$3559,kl!B249,CT_tram!$G$33:$G$3559)</f>
        <v>0</v>
      </c>
      <c r="I249" s="775">
        <f ca="1">SUMIF(CT_tram!$B$34:$G$115,$B249,CT_tram!$G$34:$G$115)</f>
        <v>0</v>
      </c>
      <c r="J249" s="775">
        <f ca="1">SUMIF(CT_tram!$B$122:$G$204,$B249,CT_tram!$G$122:$G$204)</f>
        <v>0</v>
      </c>
      <c r="K249" s="775">
        <f ca="1">SUMIF(CT_tram!$B$211:$G$293,$B249,CT_tram!$G$211:$G$293)</f>
        <v>0</v>
      </c>
      <c r="L249" s="775">
        <f ca="1">SUMIF(CT_tram!$B$300:$G$374,$B249,CT_tram!$G$300:$G$374)</f>
        <v>0</v>
      </c>
      <c r="M249" s="775">
        <f ca="1">SUMIF(CT_tram!$B$381:$G$471,$B249,CT_tram!$G$381:$G$471)</f>
        <v>0</v>
      </c>
      <c r="N249" s="775">
        <f ca="1">SUMIF(CT_tram!$B$478:$G$560,$B249,CT_tram!$G$478:$G$560)</f>
        <v>0</v>
      </c>
      <c r="O249" s="775">
        <f ca="1">SUMIF(CT_tram!$B$567:$G$653,$B249,CT_tram!$G$567:$G$653)</f>
        <v>0</v>
      </c>
      <c r="P249" s="775">
        <f ca="1">SUMIF(CT_tram!$B$661:$G$738,$B249,CT_tram!$G$661:$G$738)</f>
        <v>0</v>
      </c>
      <c r="Q249" s="775">
        <f ca="1">SUMIF(CT_tram!$B$745:$G$899,$B249,CT_tram!$G$745:$G$899)</f>
        <v>0</v>
      </c>
      <c r="R249" s="775">
        <f ca="1">SUMIF(CT_tram!$B$907:$G$995,$B249,CT_tram!$G$907:$G$995)</f>
        <v>0</v>
      </c>
      <c r="S249" s="775"/>
      <c r="T249" s="775">
        <f ca="1">SUMIF(CT_tram!$B$1004:$G$1097,B249,CT_tram!$G$1004:$G$1097)</f>
        <v>0</v>
      </c>
      <c r="U249" s="775"/>
      <c r="V249" s="775">
        <f ca="1">SUMIF(CT_tram!$B$1226:$G$1352,kl!B249,CT_tram!$G$1226:$G$1352)</f>
        <v>0</v>
      </c>
      <c r="W249" s="780">
        <f ca="1">SUMIF(CT_tram!$B$1105:$G$1219,kl!B249,CT_tram!$G$1105:$G$1219)</f>
        <v>0</v>
      </c>
      <c r="X249" s="775">
        <f ca="1">SUMIF(CT_tram!$B$1359:$G$1504,kl!B249,CT_tram!$G$1359:$G$1504)</f>
        <v>0</v>
      </c>
      <c r="Y249" s="775">
        <f ca="1">SUMIF(CT_tram!$B$1511:$G$1625,kl!B249,CT_tram!$G$1511:$G$1625)</f>
        <v>0</v>
      </c>
      <c r="Z249" s="775">
        <f ca="1">SUMIF(CT_tram!$B$1632:$G$2211,kl!B249,CT_tram!$G$1632:$G$2211)</f>
        <v>0</v>
      </c>
      <c r="AA249" s="775">
        <f ca="1">SUMIF(CT_tram!$B$2243:$G$2384,kl!B249,CT_tram!$G$2243:$G$2384)</f>
        <v>0</v>
      </c>
      <c r="AB249" s="775">
        <f ca="1">SUMIF(CT_tram!$B$2391:$G$2563,kl!B249,CT_tram!$G$2391:$G$2563)</f>
        <v>0</v>
      </c>
      <c r="AC249" s="775">
        <f ca="1">SUMIF(chitiet!$B$13:$N$2352,kl!$B249,chitiet!$I$13:$I$2352)</f>
        <v>0</v>
      </c>
      <c r="AD249" s="775">
        <f ca="1">SUMIF(chitiet!$B$13:$N$2352,kl!$B249,chitiet!$J$13:$J$2352)</f>
        <v>0</v>
      </c>
      <c r="AE249" s="775">
        <f ca="1">SUMIF(chitiet!$B$13:$N$2352,kl!$B249,chitiet!$K$13:$K$2352)</f>
        <v>0</v>
      </c>
      <c r="AF249" s="775">
        <f ca="1">SUMIF(chitiet!$B$13:$N$2352,kl!$B249,chitiet!$L$13:$L$2352)</f>
        <v>0</v>
      </c>
      <c r="AG249" s="775">
        <f ca="1">SUMIF(chitiet!$B$13:$N$2352,kl!$B249,chitiet!$M$13)</f>
        <v>0</v>
      </c>
      <c r="AH249" s="775">
        <f ca="1">SUMIF(chitiet!$B$13:$N$2352,kl!$B249,chitiet!$N$13:$N$2352)</f>
        <v>0</v>
      </c>
      <c r="AI249" s="775">
        <f ca="1">SUMIF(chitiet!$B$13:$N$2352,kl!$B249,chitiet!$O$13:$O$2352)</f>
        <v>0</v>
      </c>
      <c r="AJ249" s="775">
        <f ca="1">SUMIF('Cap ngam'!$B$631:$G$723,kl!$B249,'Cap ngam'!$G$631:$G$723)</f>
        <v>0</v>
      </c>
      <c r="AK249" s="775">
        <f ca="1">SUMIF('Cap ngam'!$B$403:$G$628,kl!$B249,'Cap ngam'!G$403:G$628)</f>
        <v>0</v>
      </c>
      <c r="AL249" s="775">
        <f ca="1">SUMIF('Cap ngam'!B$16:G$400,kl!$B249,'Cap ngam'!G$16:G$400)</f>
        <v>0</v>
      </c>
      <c r="AM249" s="776">
        <v>0.2</v>
      </c>
      <c r="AN249" s="775">
        <f t="shared" ca="1" si="133"/>
        <v>0</v>
      </c>
      <c r="AO249" s="775">
        <f t="shared" ca="1" si="134"/>
        <v>0</v>
      </c>
      <c r="AP249" s="775">
        <f t="shared" ca="1" si="135"/>
        <v>0</v>
      </c>
      <c r="AQ249" s="775">
        <f t="shared" ca="1" si="136"/>
        <v>0</v>
      </c>
      <c r="AR249" s="775">
        <f t="shared" ca="1" si="137"/>
        <v>0</v>
      </c>
      <c r="AS249" s="775">
        <f t="shared" ca="1" si="138"/>
        <v>0</v>
      </c>
      <c r="AT249" s="775">
        <f t="shared" ca="1" si="139"/>
        <v>0</v>
      </c>
      <c r="AU249" s="775">
        <f t="shared" ca="1" si="140"/>
        <v>0</v>
      </c>
      <c r="AV249" s="775">
        <f t="shared" ca="1" si="141"/>
        <v>0</v>
      </c>
      <c r="AW249" s="775">
        <f t="shared" ca="1" si="142"/>
        <v>0</v>
      </c>
      <c r="AX249" s="775">
        <f t="shared" si="143"/>
        <v>0</v>
      </c>
      <c r="AY249" s="775">
        <f t="shared" ca="1" si="144"/>
        <v>0</v>
      </c>
      <c r="AZ249" s="775">
        <f t="shared" si="145"/>
        <v>0</v>
      </c>
      <c r="BA249" s="775">
        <f t="shared" ca="1" si="126"/>
        <v>0</v>
      </c>
      <c r="BB249" s="775">
        <f t="shared" ca="1" si="127"/>
        <v>0</v>
      </c>
      <c r="BC249" s="775">
        <f t="shared" ca="1" si="128"/>
        <v>0</v>
      </c>
      <c r="BD249" s="775">
        <f t="shared" ca="1" si="129"/>
        <v>0</v>
      </c>
      <c r="BE249" s="775">
        <f t="shared" ca="1" si="130"/>
        <v>0</v>
      </c>
      <c r="BF249" s="775">
        <f t="shared" ca="1" si="131"/>
        <v>0</v>
      </c>
      <c r="BG249" s="775">
        <f t="shared" ca="1" si="132"/>
        <v>0</v>
      </c>
      <c r="BH249" s="775">
        <f t="shared" ca="1" si="146"/>
        <v>0</v>
      </c>
      <c r="BI249" s="775">
        <f t="shared" ca="1" si="147"/>
        <v>0</v>
      </c>
      <c r="BJ249" s="775">
        <f t="shared" ca="1" si="148"/>
        <v>0</v>
      </c>
      <c r="BK249" s="775">
        <f t="shared" ca="1" si="149"/>
        <v>0</v>
      </c>
      <c r="BL249" s="775">
        <f t="shared" ca="1" si="150"/>
        <v>0</v>
      </c>
      <c r="BM249" s="775">
        <f t="shared" ca="1" si="151"/>
        <v>0</v>
      </c>
      <c r="BN249" s="775">
        <f t="shared" ca="1" si="152"/>
        <v>0</v>
      </c>
      <c r="BO249" s="775">
        <f t="shared" ca="1" si="153"/>
        <v>0</v>
      </c>
      <c r="BP249" s="775">
        <f t="shared" ca="1" si="154"/>
        <v>0</v>
      </c>
      <c r="BQ249" s="775">
        <f t="shared" ca="1" si="157"/>
        <v>0</v>
      </c>
      <c r="BR249" s="775">
        <f t="shared" ca="1" si="155"/>
        <v>0</v>
      </c>
    </row>
    <row r="250" spans="1:70">
      <c r="A250" s="767" t="str">
        <f t="shared" ca="1" si="162"/>
        <v/>
      </c>
      <c r="B250" s="801" t="s">
        <v>319</v>
      </c>
      <c r="C250" s="188" t="str">
        <f ca="1">IF(F250=0,"",COUNTIF($F$78:$F250,"&gt;0"))</f>
        <v/>
      </c>
      <c r="D250" s="778" t="str">
        <f>VLOOKUP($B250,dongia1,DG!$C$5,)</f>
        <v>Đầu cosse ép Cu-Al 185mm2</v>
      </c>
      <c r="E250" s="555" t="str">
        <f>VLOOKUP($B250,dongia1,DG!$D$5,)</f>
        <v>cái</v>
      </c>
      <c r="F250" s="779">
        <f t="shared" ca="1" si="164"/>
        <v>0</v>
      </c>
      <c r="G250" s="775">
        <f t="shared" ca="1" si="121"/>
        <v>0</v>
      </c>
      <c r="H250" s="775">
        <f ca="1">SUMIF(CT_tram!$B$33:$G$3559,kl!B250,CT_tram!$G$33:$G$3559)</f>
        <v>0</v>
      </c>
      <c r="I250" s="775">
        <f ca="1">SUMIF(CT_tram!$B$34:$G$115,$B250,CT_tram!$G$34:$G$115)</f>
        <v>0</v>
      </c>
      <c r="J250" s="775">
        <f ca="1">SUMIF(CT_tram!$B$122:$G$204,$B250,CT_tram!$G$122:$G$204)</f>
        <v>0</v>
      </c>
      <c r="K250" s="775">
        <f ca="1">SUMIF(CT_tram!$B$211:$G$293,$B250,CT_tram!$G$211:$G$293)</f>
        <v>0</v>
      </c>
      <c r="L250" s="775">
        <f ca="1">SUMIF(CT_tram!$B$300:$G$374,$B250,CT_tram!$G$300:$G$374)</f>
        <v>0</v>
      </c>
      <c r="M250" s="775">
        <f ca="1">SUMIF(CT_tram!$B$381:$G$471,$B250,CT_tram!$G$381:$G$471)</f>
        <v>0</v>
      </c>
      <c r="N250" s="775">
        <f ca="1">SUMIF(CT_tram!$B$478:$G$560,$B250,CT_tram!$G$478:$G$560)</f>
        <v>0</v>
      </c>
      <c r="O250" s="775">
        <f ca="1">SUMIF(CT_tram!$B$567:$G$653,$B250,CT_tram!$G$567:$G$653)</f>
        <v>0</v>
      </c>
      <c r="P250" s="775">
        <f ca="1">SUMIF(CT_tram!$B$661:$G$738,$B250,CT_tram!$G$661:$G$738)</f>
        <v>0</v>
      </c>
      <c r="Q250" s="775">
        <f ca="1">SUMIF(CT_tram!$B$745:$G$899,$B250,CT_tram!$G$745:$G$899)</f>
        <v>0</v>
      </c>
      <c r="R250" s="775">
        <f ca="1">SUMIF(CT_tram!$B$907:$G$995,$B250,CT_tram!$G$907:$G$995)</f>
        <v>0</v>
      </c>
      <c r="S250" s="775"/>
      <c r="T250" s="775">
        <f ca="1">SUMIF(CT_tram!$B$1004:$G$1097,B250,CT_tram!$G$1004:$G$1097)</f>
        <v>0</v>
      </c>
      <c r="U250" s="775"/>
      <c r="V250" s="775">
        <f ca="1">SUMIF(CT_tram!$B$1226:$G$1352,kl!B250,CT_tram!$G$1226:$G$1352)</f>
        <v>0</v>
      </c>
      <c r="W250" s="780">
        <f ca="1">SUMIF(CT_tram!$B$1105:$G$1219,kl!B250,CT_tram!$G$1105:$G$1219)</f>
        <v>0</v>
      </c>
      <c r="X250" s="775">
        <f ca="1">SUMIF(CT_tram!$B$1359:$G$1504,kl!B250,CT_tram!$G$1359:$G$1504)</f>
        <v>0</v>
      </c>
      <c r="Y250" s="775">
        <f ca="1">SUMIF(CT_tram!$B$1511:$G$1625,kl!B250,CT_tram!$G$1511:$G$1625)</f>
        <v>0</v>
      </c>
      <c r="Z250" s="775">
        <f ca="1">SUMIF(CT_tram!$B$1632:$G$2211,kl!B250,CT_tram!$G$1632:$G$2211)</f>
        <v>0</v>
      </c>
      <c r="AA250" s="775">
        <f ca="1">SUMIF(CT_tram!$B$2243:$G$2384,kl!B250,CT_tram!$G$2243:$G$2384)</f>
        <v>0</v>
      </c>
      <c r="AB250" s="775">
        <f ca="1">SUMIF(CT_tram!$B$2391:$G$2563,kl!B250,CT_tram!$G$2391:$G$2563)</f>
        <v>0</v>
      </c>
      <c r="AC250" s="775">
        <f ca="1">SUMIF(chitiet!$B$13:$N$2352,kl!$B250,chitiet!$I$13:$I$2352)</f>
        <v>0</v>
      </c>
      <c r="AD250" s="775">
        <f ca="1">SUMIF(chitiet!$B$13:$N$2352,kl!$B250,chitiet!$J$13:$J$2352)</f>
        <v>0</v>
      </c>
      <c r="AE250" s="775">
        <f ca="1">SUMIF(chitiet!$B$13:$N$2352,kl!$B250,chitiet!$K$13:$K$2352)</f>
        <v>0</v>
      </c>
      <c r="AF250" s="775">
        <f ca="1">SUMIF(chitiet!$B$13:$N$2352,kl!$B250,chitiet!$L$13:$L$2352)</f>
        <v>0</v>
      </c>
      <c r="AG250" s="775">
        <f ca="1">SUMIF(chitiet!$B$13:$N$2352,kl!$B250,chitiet!$M$13)</f>
        <v>0</v>
      </c>
      <c r="AH250" s="775">
        <f ca="1">SUMIF(chitiet!$B$13:$N$2352,kl!$B250,chitiet!$N$13:$N$2352)</f>
        <v>0</v>
      </c>
      <c r="AI250" s="775">
        <f ca="1">SUMIF(chitiet!$B$13:$N$2352,kl!$B250,chitiet!$O$13:$O$2352)</f>
        <v>0</v>
      </c>
      <c r="AJ250" s="775">
        <f ca="1">SUMIF('Cap ngam'!$B$631:$G$723,kl!$B250,'Cap ngam'!$G$631:$G$723)</f>
        <v>0</v>
      </c>
      <c r="AK250" s="775">
        <f ca="1">SUMIF('Cap ngam'!$B$403:$G$628,kl!$B250,'Cap ngam'!G$403:G$628)</f>
        <v>0</v>
      </c>
      <c r="AL250" s="775">
        <f ca="1">SUMIF('Cap ngam'!B$16:G$400,kl!$B250,'Cap ngam'!G$16:G$400)</f>
        <v>0</v>
      </c>
      <c r="AM250" s="776">
        <v>0.2</v>
      </c>
      <c r="AN250" s="775">
        <f t="shared" ca="1" si="133"/>
        <v>0</v>
      </c>
      <c r="AO250" s="775">
        <f t="shared" ca="1" si="134"/>
        <v>0</v>
      </c>
      <c r="AP250" s="775">
        <f t="shared" ca="1" si="135"/>
        <v>0</v>
      </c>
      <c r="AQ250" s="775">
        <f t="shared" ca="1" si="136"/>
        <v>0</v>
      </c>
      <c r="AR250" s="775">
        <f t="shared" ca="1" si="137"/>
        <v>0</v>
      </c>
      <c r="AS250" s="775">
        <f t="shared" ca="1" si="138"/>
        <v>0</v>
      </c>
      <c r="AT250" s="775">
        <f t="shared" ca="1" si="139"/>
        <v>0</v>
      </c>
      <c r="AU250" s="775">
        <f t="shared" ca="1" si="140"/>
        <v>0</v>
      </c>
      <c r="AV250" s="775">
        <f t="shared" ca="1" si="141"/>
        <v>0</v>
      </c>
      <c r="AW250" s="775">
        <f t="shared" ca="1" si="142"/>
        <v>0</v>
      </c>
      <c r="AX250" s="775">
        <f t="shared" si="143"/>
        <v>0</v>
      </c>
      <c r="AY250" s="775">
        <f t="shared" ca="1" si="144"/>
        <v>0</v>
      </c>
      <c r="AZ250" s="775">
        <f t="shared" si="145"/>
        <v>0</v>
      </c>
      <c r="BA250" s="775">
        <f t="shared" ca="1" si="126"/>
        <v>0</v>
      </c>
      <c r="BB250" s="775">
        <f t="shared" ca="1" si="127"/>
        <v>0</v>
      </c>
      <c r="BC250" s="775">
        <f t="shared" ca="1" si="128"/>
        <v>0</v>
      </c>
      <c r="BD250" s="775">
        <f t="shared" ca="1" si="129"/>
        <v>0</v>
      </c>
      <c r="BE250" s="775">
        <f t="shared" ca="1" si="130"/>
        <v>0</v>
      </c>
      <c r="BF250" s="775">
        <f t="shared" ca="1" si="131"/>
        <v>0</v>
      </c>
      <c r="BG250" s="775">
        <f t="shared" ca="1" si="132"/>
        <v>0</v>
      </c>
      <c r="BH250" s="775">
        <f t="shared" ca="1" si="146"/>
        <v>0</v>
      </c>
      <c r="BI250" s="775">
        <f t="shared" ca="1" si="147"/>
        <v>0</v>
      </c>
      <c r="BJ250" s="775">
        <f t="shared" ca="1" si="148"/>
        <v>0</v>
      </c>
      <c r="BK250" s="775">
        <f t="shared" ca="1" si="149"/>
        <v>0</v>
      </c>
      <c r="BL250" s="775">
        <f t="shared" ca="1" si="150"/>
        <v>0</v>
      </c>
      <c r="BM250" s="775">
        <f t="shared" ca="1" si="151"/>
        <v>0</v>
      </c>
      <c r="BN250" s="775">
        <f t="shared" ca="1" si="152"/>
        <v>0</v>
      </c>
      <c r="BO250" s="775">
        <f t="shared" ca="1" si="153"/>
        <v>0</v>
      </c>
      <c r="BP250" s="775">
        <f t="shared" ca="1" si="154"/>
        <v>0</v>
      </c>
      <c r="BQ250" s="775">
        <f t="shared" ca="1" si="157"/>
        <v>0</v>
      </c>
      <c r="BR250" s="775">
        <f t="shared" ca="1" si="155"/>
        <v>0</v>
      </c>
    </row>
    <row r="251" spans="1:70" ht="16.5" customHeight="1">
      <c r="A251" s="767" t="str">
        <f t="shared" ca="1" si="162"/>
        <v/>
      </c>
      <c r="B251" s="801" t="s">
        <v>1364</v>
      </c>
      <c r="C251" s="188" t="str">
        <f ca="1">IF(F251=0,"",COUNTIF($F$78:$F251,"&gt;0"))</f>
        <v/>
      </c>
      <c r="D251" s="778" t="str">
        <f>VLOOKUP($B251,dongia1,DG!$C$5,)</f>
        <v>Đầu cosse ép Cu-Al 240mm2</v>
      </c>
      <c r="E251" s="555" t="str">
        <f>VLOOKUP($B251,dongia1,DG!$D$5,)</f>
        <v>cái</v>
      </c>
      <c r="F251" s="779">
        <f t="shared" ca="1" si="164"/>
        <v>0</v>
      </c>
      <c r="G251" s="775">
        <f t="shared" ca="1" si="121"/>
        <v>0</v>
      </c>
      <c r="H251" s="775">
        <f ca="1">SUMIF(CT_tram!$B$33:$G$3559,kl!B251,CT_tram!$G$33:$G$3559)</f>
        <v>0</v>
      </c>
      <c r="I251" s="775">
        <f ca="1">SUMIF(CT_tram!$B$34:$G$115,$B251,CT_tram!$G$34:$G$115)</f>
        <v>0</v>
      </c>
      <c r="J251" s="775">
        <f ca="1">SUMIF(CT_tram!$B$122:$G$204,$B251,CT_tram!$G$122:$G$204)</f>
        <v>0</v>
      </c>
      <c r="K251" s="775">
        <f ca="1">SUMIF(CT_tram!$B$211:$G$293,$B251,CT_tram!$G$211:$G$293)</f>
        <v>0</v>
      </c>
      <c r="L251" s="775">
        <f ca="1">SUMIF(CT_tram!$B$300:$G$374,$B251,CT_tram!$G$300:$G$374)</f>
        <v>0</v>
      </c>
      <c r="M251" s="775">
        <f ca="1">SUMIF(CT_tram!$B$381:$G$471,$B251,CT_tram!$G$381:$G$471)</f>
        <v>0</v>
      </c>
      <c r="N251" s="775">
        <f ca="1">SUMIF(CT_tram!$B$478:$G$560,$B251,CT_tram!$G$478:$G$560)</f>
        <v>0</v>
      </c>
      <c r="O251" s="775">
        <f ca="1">SUMIF(CT_tram!$B$567:$G$653,$B251,CT_tram!$G$567:$G$653)</f>
        <v>0</v>
      </c>
      <c r="P251" s="775">
        <f ca="1">SUMIF(CT_tram!$B$661:$G$738,$B251,CT_tram!$G$661:$G$738)</f>
        <v>0</v>
      </c>
      <c r="Q251" s="775">
        <f ca="1">SUMIF(CT_tram!$B$745:$G$899,$B251,CT_tram!$G$745:$G$899)</f>
        <v>0</v>
      </c>
      <c r="R251" s="775">
        <f ca="1">SUMIF(CT_tram!$B$907:$G$995,$B251,CT_tram!$G$907:$G$995)</f>
        <v>0</v>
      </c>
      <c r="S251" s="775"/>
      <c r="T251" s="775">
        <f ca="1">SUMIF(CT_tram!$B$1004:$G$1097,B251,CT_tram!$G$1004:$G$1097)</f>
        <v>0</v>
      </c>
      <c r="U251" s="775"/>
      <c r="V251" s="775">
        <f ca="1">SUMIF(CT_tram!$B$1226:$G$1352,kl!B251,CT_tram!$G$1226:$G$1352)</f>
        <v>0</v>
      </c>
      <c r="W251" s="780">
        <f ca="1">SUMIF(CT_tram!$B$1105:$G$1219,kl!B251,CT_tram!$G$1105:$G$1219)</f>
        <v>0</v>
      </c>
      <c r="X251" s="775">
        <f ca="1">SUMIF(CT_tram!$B$1359:$G$1504,kl!B251,CT_tram!$G$1359:$G$1504)</f>
        <v>0</v>
      </c>
      <c r="Y251" s="775">
        <f ca="1">SUMIF(CT_tram!$B$1511:$G$1625,kl!B251,CT_tram!$G$1511:$G$1625)</f>
        <v>0</v>
      </c>
      <c r="Z251" s="775">
        <f ca="1">SUMIF(CT_tram!$B$1632:$G$2211,kl!B251,CT_tram!$G$1632:$G$2211)</f>
        <v>0</v>
      </c>
      <c r="AA251" s="775">
        <f ca="1">SUMIF(CT_tram!$B$2243:$G$2384,kl!B251,CT_tram!$G$2243:$G$2384)</f>
        <v>0</v>
      </c>
      <c r="AB251" s="775">
        <f ca="1">SUMIF(CT_tram!$B$2391:$G$2563,kl!B251,CT_tram!$G$2391:$G$2563)</f>
        <v>0</v>
      </c>
      <c r="AC251" s="775">
        <f ca="1">SUMIF(chitiet!$B$13:$N$2352,kl!$B251,chitiet!$I$13:$I$2352)</f>
        <v>0</v>
      </c>
      <c r="AD251" s="775">
        <f ca="1">SUMIF(chitiet!$B$13:$N$2352,kl!$B251,chitiet!$J$13:$J$2352)</f>
        <v>0</v>
      </c>
      <c r="AE251" s="775">
        <f ca="1">SUMIF(chitiet!$B$13:$N$2352,kl!$B251,chitiet!$K$13:$K$2352)</f>
        <v>0</v>
      </c>
      <c r="AF251" s="775">
        <f ca="1">SUMIF(chitiet!$B$13:$N$2352,kl!$B251,chitiet!$L$13:$L$2352)</f>
        <v>0</v>
      </c>
      <c r="AG251" s="775">
        <f ca="1">SUMIF(chitiet!$B$13:$N$2352,kl!$B251,chitiet!$M$13)</f>
        <v>0</v>
      </c>
      <c r="AH251" s="775">
        <f ca="1">SUMIF(chitiet!$B$13:$N$2352,kl!$B251,chitiet!$N$13:$N$2352)</f>
        <v>0</v>
      </c>
      <c r="AI251" s="775">
        <f ca="1">SUMIF(chitiet!$B$13:$N$2352,kl!$B251,chitiet!$O$13:$O$2352)</f>
        <v>0</v>
      </c>
      <c r="AJ251" s="775">
        <f ca="1">SUMIF('Cap ngam'!$B$631:$G$723,kl!$B251,'Cap ngam'!$G$631:$G$723)</f>
        <v>0</v>
      </c>
      <c r="AK251" s="775">
        <f ca="1">SUMIF('Cap ngam'!$B$403:$G$628,kl!$B251,'Cap ngam'!G$403:G$628)</f>
        <v>0</v>
      </c>
      <c r="AL251" s="775">
        <f ca="1">SUMIF('Cap ngam'!B$16:G$400,kl!$B251,'Cap ngam'!G$16:G$400)</f>
        <v>0</v>
      </c>
      <c r="AM251" s="776">
        <v>0.2</v>
      </c>
      <c r="AN251" s="775">
        <f t="shared" ca="1" si="133"/>
        <v>0</v>
      </c>
      <c r="AO251" s="775">
        <f t="shared" ca="1" si="134"/>
        <v>0</v>
      </c>
      <c r="AP251" s="775">
        <f t="shared" ca="1" si="135"/>
        <v>0</v>
      </c>
      <c r="AQ251" s="775">
        <f t="shared" ca="1" si="136"/>
        <v>0</v>
      </c>
      <c r="AR251" s="775">
        <f t="shared" ca="1" si="137"/>
        <v>0</v>
      </c>
      <c r="AS251" s="775">
        <f t="shared" ca="1" si="138"/>
        <v>0</v>
      </c>
      <c r="AT251" s="775">
        <f t="shared" ca="1" si="139"/>
        <v>0</v>
      </c>
      <c r="AU251" s="775">
        <f t="shared" ca="1" si="140"/>
        <v>0</v>
      </c>
      <c r="AV251" s="775">
        <f t="shared" ca="1" si="141"/>
        <v>0</v>
      </c>
      <c r="AW251" s="775">
        <f t="shared" ca="1" si="142"/>
        <v>0</v>
      </c>
      <c r="AX251" s="775">
        <f t="shared" si="143"/>
        <v>0</v>
      </c>
      <c r="AY251" s="775">
        <f t="shared" ca="1" si="144"/>
        <v>0</v>
      </c>
      <c r="AZ251" s="775">
        <f t="shared" si="145"/>
        <v>0</v>
      </c>
      <c r="BA251" s="775">
        <f t="shared" ca="1" si="126"/>
        <v>0</v>
      </c>
      <c r="BB251" s="775">
        <f t="shared" ca="1" si="127"/>
        <v>0</v>
      </c>
      <c r="BC251" s="775">
        <f t="shared" ca="1" si="128"/>
        <v>0</v>
      </c>
      <c r="BD251" s="775">
        <f t="shared" ca="1" si="129"/>
        <v>0</v>
      </c>
      <c r="BE251" s="775">
        <f t="shared" ca="1" si="130"/>
        <v>0</v>
      </c>
      <c r="BF251" s="775">
        <f t="shared" ca="1" si="131"/>
        <v>0</v>
      </c>
      <c r="BG251" s="775">
        <f t="shared" ca="1" si="132"/>
        <v>0</v>
      </c>
      <c r="BH251" s="775">
        <f t="shared" ca="1" si="146"/>
        <v>0</v>
      </c>
      <c r="BI251" s="775">
        <f t="shared" ca="1" si="147"/>
        <v>0</v>
      </c>
      <c r="BJ251" s="775">
        <f t="shared" ca="1" si="148"/>
        <v>0</v>
      </c>
      <c r="BK251" s="775">
        <f t="shared" ca="1" si="149"/>
        <v>0</v>
      </c>
      <c r="BL251" s="775">
        <f t="shared" ca="1" si="150"/>
        <v>0</v>
      </c>
      <c r="BM251" s="775">
        <f t="shared" ca="1" si="151"/>
        <v>0</v>
      </c>
      <c r="BN251" s="775">
        <f t="shared" ca="1" si="152"/>
        <v>0</v>
      </c>
      <c r="BO251" s="775">
        <f t="shared" ca="1" si="153"/>
        <v>0</v>
      </c>
      <c r="BP251" s="775">
        <f t="shared" ca="1" si="154"/>
        <v>0</v>
      </c>
      <c r="BQ251" s="775">
        <f t="shared" ca="1" si="157"/>
        <v>0</v>
      </c>
      <c r="BR251" s="775">
        <f t="shared" ca="1" si="155"/>
        <v>0</v>
      </c>
    </row>
    <row r="252" spans="1:70" ht="16.5" customHeight="1">
      <c r="A252" s="767" t="str">
        <f t="shared" ca="1" si="162"/>
        <v/>
      </c>
      <c r="B252" s="801" t="s">
        <v>48</v>
      </c>
      <c r="C252" s="188" t="str">
        <f ca="1">IF(F252=0,"",COUNTIF($F$78:$F252,"&gt;0"))</f>
        <v/>
      </c>
      <c r="D252" s="778" t="str">
        <f>VLOOKUP($B252,dongia1,DG!$C$5,)</f>
        <v>Đầu cosse ép Cu-Al 300mm2</v>
      </c>
      <c r="E252" s="555" t="str">
        <f>VLOOKUP($B252,dongia1,DG!$D$5,)</f>
        <v>cái</v>
      </c>
      <c r="F252" s="779">
        <f ca="1">G252+H252</f>
        <v>0</v>
      </c>
      <c r="G252" s="775">
        <f t="shared" ca="1" si="121"/>
        <v>0</v>
      </c>
      <c r="H252" s="775">
        <f ca="1">SUMIF(CT_tram!$B$33:$G$3559,kl!B252,CT_tram!$G$33:$G$3559)</f>
        <v>0</v>
      </c>
      <c r="I252" s="775">
        <f ca="1">SUMIF(CT_tram!$B$34:$G$115,$B252,CT_tram!$G$34:$G$115)</f>
        <v>0</v>
      </c>
      <c r="J252" s="775">
        <f ca="1">SUMIF(CT_tram!$B$122:$G$204,$B252,CT_tram!$G$122:$G$204)</f>
        <v>0</v>
      </c>
      <c r="K252" s="775">
        <f ca="1">SUMIF(CT_tram!$B$211:$G$293,$B252,CT_tram!$G$211:$G$293)</f>
        <v>0</v>
      </c>
      <c r="L252" s="775">
        <f ca="1">SUMIF(CT_tram!$B$300:$G$374,$B252,CT_tram!$G$300:$G$374)</f>
        <v>0</v>
      </c>
      <c r="M252" s="775">
        <f ca="1">SUMIF(CT_tram!$B$381:$G$471,$B252,CT_tram!$G$381:$G$471)</f>
        <v>0</v>
      </c>
      <c r="N252" s="775">
        <f ca="1">SUMIF(CT_tram!$B$478:$G$560,$B252,CT_tram!$G$478:$G$560)</f>
        <v>0</v>
      </c>
      <c r="O252" s="775">
        <f ca="1">SUMIF(CT_tram!$B$567:$G$653,$B252,CT_tram!$G$567:$G$653)</f>
        <v>0</v>
      </c>
      <c r="P252" s="775">
        <f ca="1">SUMIF(CT_tram!$B$661:$G$738,$B252,CT_tram!$G$661:$G$738)</f>
        <v>0</v>
      </c>
      <c r="Q252" s="775">
        <f ca="1">SUMIF(CT_tram!$B$745:$G$899,$B252,CT_tram!$G$745:$G$899)</f>
        <v>0</v>
      </c>
      <c r="R252" s="775">
        <f ca="1">SUMIF(CT_tram!$B$907:$G$995,$B252,CT_tram!$G$907:$G$995)</f>
        <v>0</v>
      </c>
      <c r="S252" s="775"/>
      <c r="T252" s="775">
        <f ca="1">SUMIF(CT_tram!$B$1004:$G$1097,B252,CT_tram!$G$1004:$G$1097)</f>
        <v>0</v>
      </c>
      <c r="U252" s="775"/>
      <c r="V252" s="775">
        <f ca="1">SUMIF(CT_tram!$B$1226:$G$1352,kl!B252,CT_tram!$G$1226:$G$1352)</f>
        <v>0</v>
      </c>
      <c r="W252" s="780">
        <f ca="1">SUMIF(CT_tram!$B$1105:$G$1219,kl!B252,CT_tram!$G$1105:$G$1219)</f>
        <v>0</v>
      </c>
      <c r="X252" s="775">
        <f ca="1">SUMIF(CT_tram!$B$1359:$G$1504,kl!B252,CT_tram!$G$1359:$G$1504)</f>
        <v>0</v>
      </c>
      <c r="Y252" s="775">
        <f ca="1">SUMIF(CT_tram!$B$1511:$G$1625,kl!B252,CT_tram!$G$1511:$G$1625)</f>
        <v>0</v>
      </c>
      <c r="Z252" s="775">
        <f ca="1">SUMIF(CT_tram!$B$1632:$G$2211,kl!B252,CT_tram!$G$1632:$G$2211)</f>
        <v>0</v>
      </c>
      <c r="AA252" s="775">
        <f ca="1">SUMIF(CT_tram!$B$2243:$G$2384,kl!B252,CT_tram!$G$2243:$G$2384)</f>
        <v>0</v>
      </c>
      <c r="AB252" s="775">
        <f ca="1">SUMIF(CT_tram!$B$2391:$G$2563,kl!B252,CT_tram!$G$2391:$G$2563)</f>
        <v>0</v>
      </c>
      <c r="AC252" s="775">
        <f ca="1">SUMIF(chitiet!$B$13:$N$2352,kl!$B252,chitiet!$I$13:$I$2352)</f>
        <v>0</v>
      </c>
      <c r="AD252" s="775">
        <f ca="1">SUMIF(chitiet!$B$13:$N$2352,kl!$B252,chitiet!$J$13:$J$2352)</f>
        <v>0</v>
      </c>
      <c r="AE252" s="775">
        <f ca="1">SUMIF(chitiet!$B$13:$N$2352,kl!$B252,chitiet!$K$13:$K$2352)</f>
        <v>0</v>
      </c>
      <c r="AF252" s="775">
        <f ca="1">SUMIF(chitiet!$B$13:$N$2352,kl!$B252,chitiet!$L$13:$L$2352)</f>
        <v>0</v>
      </c>
      <c r="AG252" s="775">
        <f ca="1">SUMIF(chitiet!$B$13:$N$2352,kl!$B252,chitiet!$M$13)</f>
        <v>0</v>
      </c>
      <c r="AH252" s="775">
        <f ca="1">SUMIF(chitiet!$B$13:$N$2352,kl!$B252,chitiet!$N$13:$N$2352)</f>
        <v>0</v>
      </c>
      <c r="AI252" s="775">
        <f ca="1">SUMIF(chitiet!$B$13:$N$2352,kl!$B252,chitiet!$O$13:$O$2352)</f>
        <v>0</v>
      </c>
      <c r="AJ252" s="775">
        <f ca="1">SUMIF('Cap ngam'!$B$631:$G$723,kl!$B252,'Cap ngam'!$G$631:$G$723)</f>
        <v>0</v>
      </c>
      <c r="AK252" s="775">
        <f ca="1">SUMIF('Cap ngam'!$B$403:$G$628,kl!$B252,'Cap ngam'!G$403:G$628)</f>
        <v>0</v>
      </c>
      <c r="AL252" s="775">
        <f ca="1">SUMIF('Cap ngam'!B$16:G$400,kl!$B252,'Cap ngam'!G$16:G$400)</f>
        <v>0</v>
      </c>
      <c r="AM252" s="776">
        <v>0.2</v>
      </c>
      <c r="AN252" s="775">
        <f t="shared" ca="1" si="133"/>
        <v>0</v>
      </c>
      <c r="AO252" s="775">
        <f t="shared" ca="1" si="134"/>
        <v>0</v>
      </c>
      <c r="AP252" s="775">
        <f t="shared" ca="1" si="135"/>
        <v>0</v>
      </c>
      <c r="AQ252" s="775">
        <f t="shared" ca="1" si="136"/>
        <v>0</v>
      </c>
      <c r="AR252" s="775">
        <f t="shared" ca="1" si="137"/>
        <v>0</v>
      </c>
      <c r="AS252" s="775">
        <f t="shared" ca="1" si="138"/>
        <v>0</v>
      </c>
      <c r="AT252" s="775">
        <f t="shared" ca="1" si="139"/>
        <v>0</v>
      </c>
      <c r="AU252" s="775">
        <f t="shared" ca="1" si="140"/>
        <v>0</v>
      </c>
      <c r="AV252" s="775">
        <f t="shared" ca="1" si="141"/>
        <v>0</v>
      </c>
      <c r="AW252" s="775">
        <f t="shared" ca="1" si="142"/>
        <v>0</v>
      </c>
      <c r="AX252" s="775">
        <f t="shared" si="143"/>
        <v>0</v>
      </c>
      <c r="AY252" s="775">
        <f t="shared" ca="1" si="144"/>
        <v>0</v>
      </c>
      <c r="AZ252" s="775">
        <f t="shared" si="145"/>
        <v>0</v>
      </c>
      <c r="BA252" s="775">
        <f t="shared" ca="1" si="126"/>
        <v>0</v>
      </c>
      <c r="BB252" s="775">
        <f t="shared" ca="1" si="127"/>
        <v>0</v>
      </c>
      <c r="BC252" s="775">
        <f t="shared" ca="1" si="128"/>
        <v>0</v>
      </c>
      <c r="BD252" s="775">
        <f t="shared" ca="1" si="129"/>
        <v>0</v>
      </c>
      <c r="BE252" s="775">
        <f t="shared" ca="1" si="130"/>
        <v>0</v>
      </c>
      <c r="BF252" s="775">
        <f t="shared" ca="1" si="131"/>
        <v>0</v>
      </c>
      <c r="BG252" s="775">
        <f t="shared" ca="1" si="132"/>
        <v>0</v>
      </c>
      <c r="BH252" s="775">
        <f t="shared" ca="1" si="146"/>
        <v>0</v>
      </c>
      <c r="BI252" s="775">
        <f t="shared" ca="1" si="147"/>
        <v>0</v>
      </c>
      <c r="BJ252" s="775">
        <f t="shared" ca="1" si="148"/>
        <v>0</v>
      </c>
      <c r="BK252" s="775">
        <f t="shared" ca="1" si="149"/>
        <v>0</v>
      </c>
      <c r="BL252" s="775">
        <f t="shared" ca="1" si="150"/>
        <v>0</v>
      </c>
      <c r="BM252" s="775">
        <f t="shared" ca="1" si="151"/>
        <v>0</v>
      </c>
      <c r="BN252" s="775">
        <f t="shared" ca="1" si="152"/>
        <v>0</v>
      </c>
      <c r="BO252" s="775">
        <f t="shared" ca="1" si="153"/>
        <v>0</v>
      </c>
      <c r="BP252" s="775">
        <f t="shared" ca="1" si="154"/>
        <v>0</v>
      </c>
      <c r="BQ252" s="775">
        <f t="shared" ca="1" si="157"/>
        <v>0</v>
      </c>
      <c r="BR252" s="775">
        <f t="shared" ca="1" si="155"/>
        <v>0</v>
      </c>
    </row>
    <row r="253" spans="1:70">
      <c r="A253" s="767" t="str">
        <f t="shared" ca="1" si="162"/>
        <v>X</v>
      </c>
      <c r="B253" s="767" t="s">
        <v>2026</v>
      </c>
      <c r="C253" s="188">
        <f ca="1">IF(F253=0,"",COUNTIF($F$78:$F253,"&gt;0"))</f>
        <v>19</v>
      </c>
      <c r="D253" s="778" t="str">
        <f>VLOOKUP($B253,dongia1,DG!$C$5,)</f>
        <v>Kẹp hotline 2/0</v>
      </c>
      <c r="E253" s="555" t="str">
        <f>VLOOKUP($B253,dongia1,DG!$D$5,)</f>
        <v>cái</v>
      </c>
      <c r="F253" s="975">
        <f t="shared" ca="1" si="164"/>
        <v>3</v>
      </c>
      <c r="G253" s="976">
        <f t="shared" ca="1" si="121"/>
        <v>0</v>
      </c>
      <c r="H253" s="976">
        <f ca="1">SUMIF(CT_tram!$B$33:$G$3559,kl!B253,CT_tram!$G$33:$G$3559)</f>
        <v>3</v>
      </c>
      <c r="I253" s="775">
        <f ca="1">SUMIF(CT_tram!$B$34:$G$115,$B253,CT_tram!$G$34:$G$115)</f>
        <v>0</v>
      </c>
      <c r="J253" s="775">
        <f ca="1">SUMIF(CT_tram!$B$122:$G$204,$B253,CT_tram!$G$122:$G$204)</f>
        <v>0</v>
      </c>
      <c r="K253" s="775">
        <f ca="1">SUMIF(CT_tram!$B$211:$G$293,$B253,CT_tram!$G$211:$G$293)</f>
        <v>0</v>
      </c>
      <c r="L253" s="775">
        <f ca="1">SUMIF(CT_tram!$B$300:$G$374,$B253,CT_tram!$G$300:$G$374)</f>
        <v>0</v>
      </c>
      <c r="M253" s="775">
        <f ca="1">SUMIF(CT_tram!$B$381:$G$471,$B253,CT_tram!$G$381:$G$471)</f>
        <v>0</v>
      </c>
      <c r="N253" s="775">
        <f ca="1">SUMIF(CT_tram!$B$478:$G$560,$B253,CT_tram!$G$478:$G$560)</f>
        <v>0</v>
      </c>
      <c r="O253" s="775">
        <f ca="1">SUMIF(CT_tram!$B$567:$G$653,$B253,CT_tram!$G$567:$G$653)</f>
        <v>0</v>
      </c>
      <c r="P253" s="775">
        <f ca="1">SUMIF(CT_tram!$B$661:$G$738,$B253,CT_tram!$G$661:$G$738)</f>
        <v>0</v>
      </c>
      <c r="Q253" s="775">
        <f ca="1">SUMIF(CT_tram!$B$745:$G$899,$B253,CT_tram!$G$745:$G$899)</f>
        <v>0</v>
      </c>
      <c r="R253" s="775">
        <f ca="1">SUMIF(CT_tram!$B$907:$G$995,$B253,CT_tram!$G$907:$G$995)</f>
        <v>0</v>
      </c>
      <c r="S253" s="775"/>
      <c r="T253" s="775">
        <f ca="1">SUMIF(CT_tram!$B$1004:$G$1097,B253,CT_tram!$G$1004:$G$1097)</f>
        <v>0</v>
      </c>
      <c r="U253" s="775"/>
      <c r="V253" s="775">
        <f ca="1">SUMIF(CT_tram!$B$1226:$G$1352,kl!B253,CT_tram!$G$1226:$G$1352)</f>
        <v>0</v>
      </c>
      <c r="W253" s="780">
        <f ca="1">SUMIF(CT_tram!$B$1105:$G$1219,kl!B253,CT_tram!$G$1105:$G$1219)</f>
        <v>0</v>
      </c>
      <c r="X253" s="775">
        <f ca="1">SUMIF(CT_tram!$B$1359:$G$1504,kl!B253,CT_tram!$G$1359:$G$1504)</f>
        <v>0</v>
      </c>
      <c r="Y253" s="775">
        <f ca="1">SUMIF(CT_tram!$B$1511:$G$1625,kl!B253,CT_tram!$G$1511:$G$1625)</f>
        <v>0</v>
      </c>
      <c r="Z253" s="775">
        <f ca="1">SUMIF(CT_tram!$B$1632:$G$2211,kl!B253,CT_tram!$G$1632:$G$2211)</f>
        <v>0</v>
      </c>
      <c r="AA253" s="775">
        <f ca="1">SUMIF(CT_tram!$B$2243:$G$2384,kl!B253,CT_tram!$G$2243:$G$2384)</f>
        <v>0</v>
      </c>
      <c r="AB253" s="775">
        <f ca="1">SUMIF(CT_tram!$B$2391:$G$2563,kl!B253,CT_tram!$G$2391:$G$2563)</f>
        <v>0</v>
      </c>
      <c r="AC253" s="775">
        <f ca="1">SUMIF(chitiet!$B$13:$N$2352,kl!$B253,chitiet!$I$13:$I$2352)</f>
        <v>0</v>
      </c>
      <c r="AD253" s="775">
        <f ca="1">SUMIF(chitiet!$B$13:$N$2352,kl!$B253,chitiet!$J$13:$J$2352)</f>
        <v>0</v>
      </c>
      <c r="AE253" s="775">
        <f ca="1">SUMIF(chitiet!$B$13:$N$2352,kl!$B253,chitiet!$K$13:$K$2352)</f>
        <v>0</v>
      </c>
      <c r="AF253" s="775">
        <f ca="1">SUMIF(chitiet!$B$13:$N$2352,kl!$B253,chitiet!$L$13:$L$2352)</f>
        <v>0</v>
      </c>
      <c r="AG253" s="775">
        <f ca="1">SUMIF(chitiet!$B$13:$N$2352,kl!$B253,chitiet!$M$13)</f>
        <v>0</v>
      </c>
      <c r="AH253" s="775">
        <f ca="1">SUMIF(chitiet!$B$13:$N$2352,kl!$B253,chitiet!$N$13:$N$2352)</f>
        <v>0</v>
      </c>
      <c r="AI253" s="775">
        <f ca="1">SUMIF(chitiet!$B$13:$N$2352,kl!$B253,chitiet!$O$13:$O$2352)</f>
        <v>0</v>
      </c>
      <c r="AJ253" s="775">
        <f ca="1">SUMIF('Cap ngam'!$B$631:$G$723,kl!$B253,'Cap ngam'!$G$631:$G$723)</f>
        <v>0</v>
      </c>
      <c r="AK253" s="775">
        <f ca="1">SUMIF('Cap ngam'!$B$403:$G$628,kl!$B253,'Cap ngam'!G$403:G$628)</f>
        <v>0</v>
      </c>
      <c r="AL253" s="775">
        <f ca="1">SUMIF('Cap ngam'!B$16:G$400,kl!$B253,'Cap ngam'!G$16:G$400)</f>
        <v>0</v>
      </c>
      <c r="AM253" s="776">
        <v>0.1</v>
      </c>
      <c r="AN253" s="775">
        <f t="shared" ca="1" si="133"/>
        <v>0</v>
      </c>
      <c r="AO253" s="775">
        <f t="shared" ca="1" si="134"/>
        <v>0</v>
      </c>
      <c r="AP253" s="775">
        <f t="shared" ca="1" si="135"/>
        <v>0</v>
      </c>
      <c r="AQ253" s="775">
        <f t="shared" ca="1" si="136"/>
        <v>0</v>
      </c>
      <c r="AR253" s="775">
        <f t="shared" ca="1" si="137"/>
        <v>0</v>
      </c>
      <c r="AS253" s="775">
        <f t="shared" ca="1" si="138"/>
        <v>0</v>
      </c>
      <c r="AT253" s="775">
        <f t="shared" ca="1" si="139"/>
        <v>0</v>
      </c>
      <c r="AU253" s="775">
        <f t="shared" ca="1" si="140"/>
        <v>0</v>
      </c>
      <c r="AV253" s="775">
        <f t="shared" ca="1" si="141"/>
        <v>0</v>
      </c>
      <c r="AW253" s="775">
        <f t="shared" ca="1" si="142"/>
        <v>0</v>
      </c>
      <c r="AX253" s="775">
        <f t="shared" si="143"/>
        <v>0</v>
      </c>
      <c r="AY253" s="775">
        <f t="shared" ca="1" si="144"/>
        <v>0</v>
      </c>
      <c r="AZ253" s="775">
        <f t="shared" si="145"/>
        <v>0</v>
      </c>
      <c r="BA253" s="775">
        <f t="shared" ca="1" si="126"/>
        <v>0</v>
      </c>
      <c r="BB253" s="775">
        <f t="shared" ca="1" si="127"/>
        <v>0</v>
      </c>
      <c r="BC253" s="775">
        <f t="shared" ca="1" si="128"/>
        <v>0</v>
      </c>
      <c r="BD253" s="775">
        <f t="shared" ca="1" si="129"/>
        <v>0</v>
      </c>
      <c r="BE253" s="775">
        <f t="shared" ca="1" si="130"/>
        <v>0</v>
      </c>
      <c r="BF253" s="775">
        <f t="shared" ca="1" si="131"/>
        <v>0</v>
      </c>
      <c r="BG253" s="775">
        <f t="shared" ca="1" si="132"/>
        <v>0</v>
      </c>
      <c r="BH253" s="775">
        <f t="shared" ca="1" si="146"/>
        <v>0</v>
      </c>
      <c r="BI253" s="775">
        <f t="shared" ca="1" si="147"/>
        <v>0</v>
      </c>
      <c r="BJ253" s="775">
        <f t="shared" ca="1" si="148"/>
        <v>0</v>
      </c>
      <c r="BK253" s="775">
        <f t="shared" ca="1" si="149"/>
        <v>0</v>
      </c>
      <c r="BL253" s="775">
        <f t="shared" ca="1" si="150"/>
        <v>0</v>
      </c>
      <c r="BM253" s="775">
        <f t="shared" ca="1" si="151"/>
        <v>0</v>
      </c>
      <c r="BN253" s="775">
        <f t="shared" ca="1" si="152"/>
        <v>0</v>
      </c>
      <c r="BO253" s="775">
        <f t="shared" ca="1" si="153"/>
        <v>0</v>
      </c>
      <c r="BP253" s="775">
        <f t="shared" ca="1" si="154"/>
        <v>0</v>
      </c>
      <c r="BQ253" s="775">
        <f t="shared" ca="1" si="157"/>
        <v>0</v>
      </c>
      <c r="BR253" s="775">
        <f t="shared" ca="1" si="155"/>
        <v>0.30000000000000004</v>
      </c>
    </row>
    <row r="254" spans="1:70">
      <c r="A254" s="767" t="str">
        <f t="shared" ca="1" si="162"/>
        <v>X</v>
      </c>
      <c r="B254" s="767" t="s">
        <v>2028</v>
      </c>
      <c r="C254" s="188">
        <f ca="1">IF(F254=0,"",COUNTIF($F$78:$F254,"&gt;0"))</f>
        <v>20</v>
      </c>
      <c r="D254" s="778" t="str">
        <f>VLOOKUP($B254,dongia1,DG!$C$5,)</f>
        <v>Kẹp quai 2/0</v>
      </c>
      <c r="E254" s="555" t="str">
        <f>VLOOKUP($B254,dongia1,DG!$D$5,)</f>
        <v>cái</v>
      </c>
      <c r="F254" s="975">
        <f t="shared" ca="1" si="164"/>
        <v>3</v>
      </c>
      <c r="G254" s="976">
        <f t="shared" ca="1" si="121"/>
        <v>0</v>
      </c>
      <c r="H254" s="976">
        <f ca="1">SUMIF(CT_tram!$B$33:$G$3559,kl!B254,CT_tram!$G$33:$G$3559)</f>
        <v>3</v>
      </c>
      <c r="I254" s="775">
        <f ca="1">SUMIF(CT_tram!$B$34:$G$115,$B254,CT_tram!$G$34:$G$115)</f>
        <v>0</v>
      </c>
      <c r="J254" s="775">
        <f ca="1">SUMIF(CT_tram!$B$122:$G$204,$B254,CT_tram!$G$122:$G$204)</f>
        <v>0</v>
      </c>
      <c r="K254" s="775">
        <f ca="1">SUMIF(CT_tram!$B$211:$G$293,$B254,CT_tram!$G$211:$G$293)</f>
        <v>0</v>
      </c>
      <c r="L254" s="775">
        <f ca="1">SUMIF(CT_tram!$B$300:$G$374,$B254,CT_tram!$G$300:$G$374)</f>
        <v>0</v>
      </c>
      <c r="M254" s="775">
        <f ca="1">SUMIF(CT_tram!$B$381:$G$471,$B254,CT_tram!$G$381:$G$471)</f>
        <v>0</v>
      </c>
      <c r="N254" s="775">
        <f ca="1">SUMIF(CT_tram!$B$478:$G$560,$B254,CT_tram!$G$478:$G$560)</f>
        <v>0</v>
      </c>
      <c r="O254" s="775">
        <f ca="1">SUMIF(CT_tram!$B$567:$G$653,$B254,CT_tram!$G$567:$G$653)</f>
        <v>0</v>
      </c>
      <c r="P254" s="775">
        <f ca="1">SUMIF(CT_tram!$B$661:$G$738,$B254,CT_tram!$G$661:$G$738)</f>
        <v>0</v>
      </c>
      <c r="Q254" s="775">
        <f ca="1">SUMIF(CT_tram!$B$745:$G$899,$B254,CT_tram!$G$745:$G$899)</f>
        <v>0</v>
      </c>
      <c r="R254" s="775">
        <f ca="1">SUMIF(CT_tram!$B$907:$G$995,$B254,CT_tram!$G$907:$G$995)</f>
        <v>0</v>
      </c>
      <c r="S254" s="775"/>
      <c r="T254" s="775">
        <f ca="1">SUMIF(CT_tram!$B$1004:$G$1097,B254,CT_tram!$G$1004:$G$1097)</f>
        <v>0</v>
      </c>
      <c r="U254" s="775"/>
      <c r="V254" s="775">
        <f ca="1">SUMIF(CT_tram!$B$1226:$G$1352,kl!B254,CT_tram!$G$1226:$G$1352)</f>
        <v>0</v>
      </c>
      <c r="W254" s="780">
        <f ca="1">SUMIF(CT_tram!$B$1105:$G$1219,kl!B254,CT_tram!$G$1105:$G$1219)</f>
        <v>0</v>
      </c>
      <c r="X254" s="775">
        <f ca="1">SUMIF(CT_tram!$B$1359:$G$1504,kl!B254,CT_tram!$G$1359:$G$1504)</f>
        <v>0</v>
      </c>
      <c r="Y254" s="775">
        <f ca="1">SUMIF(CT_tram!$B$1511:$G$1625,kl!B254,CT_tram!$G$1511:$G$1625)</f>
        <v>0</v>
      </c>
      <c r="Z254" s="775">
        <f ca="1">SUMIF(CT_tram!$B$1632:$G$2211,kl!B254,CT_tram!$G$1632:$G$2211)</f>
        <v>0</v>
      </c>
      <c r="AA254" s="775">
        <f ca="1">SUMIF(CT_tram!$B$2243:$G$2384,kl!B254,CT_tram!$G$2243:$G$2384)</f>
        <v>0</v>
      </c>
      <c r="AB254" s="775">
        <f ca="1">SUMIF(CT_tram!$B$2391:$G$2563,kl!B254,CT_tram!$G$2391:$G$2563)</f>
        <v>0</v>
      </c>
      <c r="AC254" s="775">
        <f ca="1">SUMIF(chitiet!$B$13:$N$2352,kl!$B254,chitiet!$I$13:$I$2352)</f>
        <v>0</v>
      </c>
      <c r="AD254" s="775">
        <f ca="1">SUMIF(chitiet!$B$13:$N$2352,kl!$B254,chitiet!$J$13:$J$2352)</f>
        <v>0</v>
      </c>
      <c r="AE254" s="775">
        <f ca="1">SUMIF(chitiet!$B$13:$N$2352,kl!$B254,chitiet!$K$13:$K$2352)</f>
        <v>0</v>
      </c>
      <c r="AF254" s="775">
        <f ca="1">SUMIF(chitiet!$B$13:$N$2352,kl!$B254,chitiet!$L$13:$L$2352)</f>
        <v>0</v>
      </c>
      <c r="AG254" s="775">
        <f ca="1">SUMIF(chitiet!$B$13:$N$2352,kl!$B254,chitiet!$M$13)</f>
        <v>0</v>
      </c>
      <c r="AH254" s="775">
        <f ca="1">SUMIF(chitiet!$B$13:$N$2352,kl!$B254,chitiet!$N$13:$N$2352)</f>
        <v>0</v>
      </c>
      <c r="AI254" s="775">
        <f ca="1">SUMIF(chitiet!$B$13:$N$2352,kl!$B254,chitiet!$O$13:$O$2352)</f>
        <v>0</v>
      </c>
      <c r="AJ254" s="775">
        <f ca="1">SUMIF('Cap ngam'!$B$631:$G$723,kl!$B254,'Cap ngam'!$G$631:$G$723)</f>
        <v>0</v>
      </c>
      <c r="AK254" s="775">
        <f ca="1">SUMIF('Cap ngam'!$B$403:$G$628,kl!$B254,'Cap ngam'!G$403:G$628)</f>
        <v>0</v>
      </c>
      <c r="AL254" s="775">
        <f ca="1">SUMIF('Cap ngam'!B$16:G$400,kl!$B254,'Cap ngam'!G$16:G$400)</f>
        <v>0</v>
      </c>
      <c r="AM254" s="776">
        <v>0.1</v>
      </c>
      <c r="AN254" s="775">
        <f t="shared" ca="1" si="133"/>
        <v>0</v>
      </c>
      <c r="AO254" s="775">
        <f t="shared" ca="1" si="134"/>
        <v>0</v>
      </c>
      <c r="AP254" s="775">
        <f t="shared" ca="1" si="135"/>
        <v>0</v>
      </c>
      <c r="AQ254" s="775">
        <f t="shared" ca="1" si="136"/>
        <v>0</v>
      </c>
      <c r="AR254" s="775">
        <f t="shared" ca="1" si="137"/>
        <v>0</v>
      </c>
      <c r="AS254" s="775">
        <f t="shared" ca="1" si="138"/>
        <v>0</v>
      </c>
      <c r="AT254" s="775">
        <f t="shared" ca="1" si="139"/>
        <v>0</v>
      </c>
      <c r="AU254" s="775">
        <f t="shared" ca="1" si="140"/>
        <v>0</v>
      </c>
      <c r="AV254" s="775">
        <f t="shared" ca="1" si="141"/>
        <v>0</v>
      </c>
      <c r="AW254" s="775">
        <f t="shared" ca="1" si="142"/>
        <v>0</v>
      </c>
      <c r="AX254" s="775">
        <f t="shared" si="143"/>
        <v>0</v>
      </c>
      <c r="AY254" s="775">
        <f t="shared" ca="1" si="144"/>
        <v>0</v>
      </c>
      <c r="AZ254" s="775">
        <f t="shared" si="145"/>
        <v>0</v>
      </c>
      <c r="BA254" s="775">
        <f t="shared" ca="1" si="126"/>
        <v>0</v>
      </c>
      <c r="BB254" s="775">
        <f t="shared" ca="1" si="127"/>
        <v>0</v>
      </c>
      <c r="BC254" s="775">
        <f t="shared" ca="1" si="128"/>
        <v>0</v>
      </c>
      <c r="BD254" s="775">
        <f t="shared" ca="1" si="129"/>
        <v>0</v>
      </c>
      <c r="BE254" s="775">
        <f t="shared" ca="1" si="130"/>
        <v>0</v>
      </c>
      <c r="BF254" s="775">
        <f t="shared" ca="1" si="131"/>
        <v>0</v>
      </c>
      <c r="BG254" s="775">
        <f t="shared" ca="1" si="132"/>
        <v>0</v>
      </c>
      <c r="BH254" s="775">
        <f t="shared" ca="1" si="146"/>
        <v>0</v>
      </c>
      <c r="BI254" s="775">
        <f t="shared" ca="1" si="147"/>
        <v>0</v>
      </c>
      <c r="BJ254" s="775">
        <f t="shared" ca="1" si="148"/>
        <v>0</v>
      </c>
      <c r="BK254" s="775">
        <f t="shared" ca="1" si="149"/>
        <v>0</v>
      </c>
      <c r="BL254" s="775">
        <f t="shared" ca="1" si="150"/>
        <v>0</v>
      </c>
      <c r="BM254" s="775">
        <f t="shared" ca="1" si="151"/>
        <v>0</v>
      </c>
      <c r="BN254" s="775">
        <f t="shared" ca="1" si="152"/>
        <v>0</v>
      </c>
      <c r="BO254" s="775">
        <f t="shared" ca="1" si="153"/>
        <v>0</v>
      </c>
      <c r="BP254" s="775">
        <f t="shared" ca="1" si="154"/>
        <v>0</v>
      </c>
      <c r="BQ254" s="775">
        <f t="shared" ca="1" si="157"/>
        <v>0</v>
      </c>
      <c r="BR254" s="775">
        <f t="shared" ca="1" si="155"/>
        <v>0.30000000000000004</v>
      </c>
    </row>
    <row r="255" spans="1:70">
      <c r="A255" s="767" t="str">
        <f t="shared" ca="1" si="162"/>
        <v/>
      </c>
      <c r="B255" s="767" t="s">
        <v>898</v>
      </c>
      <c r="C255" s="188" t="str">
        <f ca="1">IF(F255=0,"",COUNTIF($F$78:$F255,"&gt;0"))</f>
        <v/>
      </c>
      <c r="D255" s="778" t="str">
        <f>VLOOKUP($B255,dongia1,DG!$C$5,)</f>
        <v>Kẹp quai 4/0</v>
      </c>
      <c r="E255" s="555" t="str">
        <f>VLOOKUP($B255,dongia1,DG!$D$5,)</f>
        <v>cái</v>
      </c>
      <c r="F255" s="779">
        <f t="shared" ca="1" si="164"/>
        <v>0</v>
      </c>
      <c r="G255" s="775">
        <f t="shared" ca="1" si="121"/>
        <v>0</v>
      </c>
      <c r="H255" s="775">
        <f ca="1">SUMIF(CT_tram!$B$33:$G$3559,kl!B255,CT_tram!$G$33:$G$3559)</f>
        <v>0</v>
      </c>
      <c r="I255" s="775">
        <f ca="1">SUMIF(CT_tram!$B$34:$G$115,$B255,CT_tram!$G$34:$G$115)</f>
        <v>0</v>
      </c>
      <c r="J255" s="775">
        <f ca="1">SUMIF(CT_tram!$B$122:$G$204,$B255,CT_tram!$G$122:$G$204)</f>
        <v>0</v>
      </c>
      <c r="K255" s="775">
        <f ca="1">SUMIF(CT_tram!$B$211:$G$293,$B255,CT_tram!$G$211:$G$293)</f>
        <v>0</v>
      </c>
      <c r="L255" s="775">
        <f ca="1">SUMIF(CT_tram!$B$300:$G$374,$B255,CT_tram!$G$300:$G$374)</f>
        <v>0</v>
      </c>
      <c r="M255" s="775">
        <f ca="1">SUMIF(CT_tram!$B$381:$G$471,$B255,CT_tram!$G$381:$G$471)</f>
        <v>0</v>
      </c>
      <c r="N255" s="775">
        <f ca="1">SUMIF(CT_tram!$B$478:$G$560,$B255,CT_tram!$G$478:$G$560)</f>
        <v>0</v>
      </c>
      <c r="O255" s="775">
        <f ca="1">SUMIF(CT_tram!$B$567:$G$653,$B255,CT_tram!$G$567:$G$653)</f>
        <v>0</v>
      </c>
      <c r="P255" s="775">
        <f ca="1">SUMIF(CT_tram!$B$661:$G$738,$B255,CT_tram!$G$661:$G$738)</f>
        <v>0</v>
      </c>
      <c r="Q255" s="775">
        <f ca="1">SUMIF(CT_tram!$B$745:$G$899,$B255,CT_tram!$G$745:$G$899)</f>
        <v>0</v>
      </c>
      <c r="R255" s="775">
        <f ca="1">SUMIF(CT_tram!$B$907:$G$995,$B255,CT_tram!$G$907:$G$995)</f>
        <v>0</v>
      </c>
      <c r="S255" s="775"/>
      <c r="T255" s="775">
        <f ca="1">SUMIF(CT_tram!$B$1004:$G$1097,B255,CT_tram!$G$1004:$G$1097)</f>
        <v>0</v>
      </c>
      <c r="U255" s="775"/>
      <c r="V255" s="775">
        <f ca="1">SUMIF(CT_tram!$B$1226:$G$1352,kl!B255,CT_tram!$G$1226:$G$1352)</f>
        <v>0</v>
      </c>
      <c r="W255" s="780">
        <f ca="1">SUMIF(CT_tram!$B$1105:$G$1219,kl!B255,CT_tram!$G$1105:$G$1219)</f>
        <v>0</v>
      </c>
      <c r="X255" s="775">
        <f ca="1">SUMIF(CT_tram!$B$1359:$G$1504,kl!B255,CT_tram!$G$1359:$G$1504)</f>
        <v>0</v>
      </c>
      <c r="Y255" s="775">
        <f ca="1">SUMIF(CT_tram!$B$1511:$G$1625,kl!B255,CT_tram!$G$1511:$G$1625)</f>
        <v>0</v>
      </c>
      <c r="Z255" s="775">
        <f ca="1">SUMIF(CT_tram!$B$1632:$G$2211,kl!B255,CT_tram!$G$1632:$G$2211)</f>
        <v>0</v>
      </c>
      <c r="AA255" s="775">
        <f ca="1">SUMIF(CT_tram!$B$2243:$G$2384,kl!B255,CT_tram!$G$2243:$G$2384)</f>
        <v>0</v>
      </c>
      <c r="AB255" s="775">
        <f ca="1">SUMIF(CT_tram!$B$2391:$G$2563,kl!B255,CT_tram!$G$2391:$G$2563)</f>
        <v>0</v>
      </c>
      <c r="AC255" s="775">
        <f ca="1">SUMIF(chitiet!$B$13:$N$2352,kl!$B255,chitiet!$I$13:$I$2352)</f>
        <v>0</v>
      </c>
      <c r="AD255" s="775">
        <f ca="1">SUMIF(chitiet!$B$13:$N$2352,kl!$B255,chitiet!$J$13:$J$2352)</f>
        <v>0</v>
      </c>
      <c r="AE255" s="775">
        <f ca="1">SUMIF(chitiet!$B$13:$N$2352,kl!$B255,chitiet!$K$13:$K$2352)</f>
        <v>0</v>
      </c>
      <c r="AF255" s="775">
        <f ca="1">SUMIF(chitiet!$B$13:$N$2352,kl!$B255,chitiet!$L$13:$L$2352)</f>
        <v>0</v>
      </c>
      <c r="AG255" s="775">
        <f ca="1">SUMIF(chitiet!$B$13:$N$2352,kl!$B255,chitiet!$M$13)</f>
        <v>0</v>
      </c>
      <c r="AH255" s="775">
        <f ca="1">SUMIF(chitiet!$B$13:$N$2352,kl!$B255,chitiet!$N$13:$N$2352)</f>
        <v>0</v>
      </c>
      <c r="AI255" s="775">
        <f ca="1">SUMIF(chitiet!$B$13:$N$2352,kl!$B255,chitiet!$O$13:$O$2352)</f>
        <v>0</v>
      </c>
      <c r="AJ255" s="775">
        <f ca="1">SUMIF('Cap ngam'!$B$631:$G$723,kl!$B255,'Cap ngam'!$G$631:$G$723)</f>
        <v>0</v>
      </c>
      <c r="AK255" s="775">
        <f ca="1">SUMIF('Cap ngam'!$B$403:$G$628,kl!$B255,'Cap ngam'!G$403:G$628)</f>
        <v>0</v>
      </c>
      <c r="AL255" s="775">
        <f ca="1">SUMIF('Cap ngam'!B$16:G$400,kl!$B255,'Cap ngam'!G$16:G$400)</f>
        <v>0</v>
      </c>
      <c r="AM255" s="776">
        <v>0.1</v>
      </c>
      <c r="AN255" s="775">
        <f t="shared" ca="1" si="133"/>
        <v>0</v>
      </c>
      <c r="AO255" s="775">
        <f t="shared" ca="1" si="134"/>
        <v>0</v>
      </c>
      <c r="AP255" s="775">
        <f t="shared" ca="1" si="135"/>
        <v>0</v>
      </c>
      <c r="AQ255" s="775">
        <f t="shared" ca="1" si="136"/>
        <v>0</v>
      </c>
      <c r="AR255" s="775">
        <f t="shared" ca="1" si="137"/>
        <v>0</v>
      </c>
      <c r="AS255" s="775">
        <f t="shared" ca="1" si="138"/>
        <v>0</v>
      </c>
      <c r="AT255" s="775">
        <f t="shared" ca="1" si="139"/>
        <v>0</v>
      </c>
      <c r="AU255" s="775">
        <f t="shared" ca="1" si="140"/>
        <v>0</v>
      </c>
      <c r="AV255" s="775">
        <f t="shared" ca="1" si="141"/>
        <v>0</v>
      </c>
      <c r="AW255" s="775">
        <f t="shared" ca="1" si="142"/>
        <v>0</v>
      </c>
      <c r="AX255" s="775">
        <f t="shared" si="143"/>
        <v>0</v>
      </c>
      <c r="AY255" s="775">
        <f t="shared" ca="1" si="144"/>
        <v>0</v>
      </c>
      <c r="AZ255" s="775">
        <f t="shared" si="145"/>
        <v>0</v>
      </c>
      <c r="BA255" s="775">
        <f t="shared" ca="1" si="126"/>
        <v>0</v>
      </c>
      <c r="BB255" s="775">
        <f t="shared" ca="1" si="127"/>
        <v>0</v>
      </c>
      <c r="BC255" s="775">
        <f t="shared" ca="1" si="128"/>
        <v>0</v>
      </c>
      <c r="BD255" s="775">
        <f t="shared" ca="1" si="129"/>
        <v>0</v>
      </c>
      <c r="BE255" s="775">
        <f t="shared" ca="1" si="130"/>
        <v>0</v>
      </c>
      <c r="BF255" s="775">
        <f t="shared" ca="1" si="131"/>
        <v>0</v>
      </c>
      <c r="BG255" s="775">
        <f t="shared" ca="1" si="132"/>
        <v>0</v>
      </c>
      <c r="BH255" s="775">
        <f t="shared" ca="1" si="146"/>
        <v>0</v>
      </c>
      <c r="BI255" s="775">
        <f t="shared" ca="1" si="147"/>
        <v>0</v>
      </c>
      <c r="BJ255" s="775">
        <f t="shared" ca="1" si="148"/>
        <v>0</v>
      </c>
      <c r="BK255" s="775">
        <f t="shared" ca="1" si="149"/>
        <v>0</v>
      </c>
      <c r="BL255" s="775">
        <f t="shared" ca="1" si="150"/>
        <v>0</v>
      </c>
      <c r="BM255" s="775">
        <f t="shared" ca="1" si="151"/>
        <v>0</v>
      </c>
      <c r="BN255" s="775">
        <f t="shared" ca="1" si="152"/>
        <v>0</v>
      </c>
      <c r="BO255" s="775">
        <f t="shared" ca="1" si="153"/>
        <v>0</v>
      </c>
      <c r="BP255" s="775">
        <f t="shared" ca="1" si="154"/>
        <v>0</v>
      </c>
      <c r="BQ255" s="775">
        <f t="shared" ca="1" si="157"/>
        <v>0</v>
      </c>
      <c r="BR255" s="775">
        <f t="shared" ca="1" si="155"/>
        <v>0</v>
      </c>
    </row>
    <row r="256" spans="1:70">
      <c r="A256" s="767" t="str">
        <f t="shared" ca="1" si="162"/>
        <v/>
      </c>
      <c r="B256" s="767" t="s">
        <v>968</v>
      </c>
      <c r="C256" s="188" t="str">
        <f ca="1">IF(F256=0,"",COUNTIF($F$78:$F256,"&gt;0"))</f>
        <v/>
      </c>
      <c r="D256" s="778" t="str">
        <f>VLOOKUP($B256,dongia1,DG!$C$5,)</f>
        <v>Kẹp hotline 4/0</v>
      </c>
      <c r="E256" s="555" t="str">
        <f>VLOOKUP($B256,dongia1,DG!$D$5,)</f>
        <v>cái</v>
      </c>
      <c r="F256" s="779">
        <f t="shared" ca="1" si="164"/>
        <v>0</v>
      </c>
      <c r="G256" s="775">
        <f t="shared" ca="1" si="121"/>
        <v>0</v>
      </c>
      <c r="H256" s="775">
        <f ca="1">SUMIF(CT_tram!$B$33:$G$3559,kl!B256,CT_tram!$G$33:$G$3559)</f>
        <v>0</v>
      </c>
      <c r="I256" s="775">
        <f ca="1">SUMIF(CT_tram!$B$34:$G$115,$B256,CT_tram!$G$34:$G$115)</f>
        <v>0</v>
      </c>
      <c r="J256" s="775">
        <f ca="1">SUMIF(CT_tram!$B$122:$G$204,$B256,CT_tram!$G$122:$G$204)</f>
        <v>0</v>
      </c>
      <c r="K256" s="775">
        <f ca="1">SUMIF(CT_tram!$B$211:$G$293,$B256,CT_tram!$G$211:$G$293)</f>
        <v>0</v>
      </c>
      <c r="L256" s="775">
        <f ca="1">SUMIF(CT_tram!$B$300:$G$374,$B256,CT_tram!$G$300:$G$374)</f>
        <v>0</v>
      </c>
      <c r="M256" s="775">
        <f ca="1">SUMIF(CT_tram!$B$381:$G$471,$B256,CT_tram!$G$381:$G$471)</f>
        <v>0</v>
      </c>
      <c r="N256" s="775">
        <f ca="1">SUMIF(CT_tram!$B$478:$G$560,$B256,CT_tram!$G$478:$G$560)</f>
        <v>0</v>
      </c>
      <c r="O256" s="775">
        <f ca="1">SUMIF(CT_tram!$B$567:$G$653,$B256,CT_tram!$G$567:$G$653)</f>
        <v>0</v>
      </c>
      <c r="P256" s="775">
        <f ca="1">SUMIF(CT_tram!$B$661:$G$738,$B256,CT_tram!$G$661:$G$738)</f>
        <v>0</v>
      </c>
      <c r="Q256" s="775">
        <f ca="1">SUMIF(CT_tram!$B$745:$G$899,$B256,CT_tram!$G$745:$G$899)</f>
        <v>0</v>
      </c>
      <c r="R256" s="775">
        <f ca="1">SUMIF(CT_tram!$B$907:$G$995,$B256,CT_tram!$G$907:$G$995)</f>
        <v>0</v>
      </c>
      <c r="S256" s="775"/>
      <c r="T256" s="775">
        <f ca="1">SUMIF(CT_tram!$B$1004:$G$1097,B256,CT_tram!$G$1004:$G$1097)</f>
        <v>0</v>
      </c>
      <c r="U256" s="775"/>
      <c r="V256" s="775">
        <f ca="1">SUMIF(CT_tram!$B$1226:$G$1352,kl!B256,CT_tram!$G$1226:$G$1352)</f>
        <v>0</v>
      </c>
      <c r="W256" s="780">
        <f ca="1">SUMIF(CT_tram!$B$1105:$G$1219,kl!B256,CT_tram!$G$1105:$G$1219)</f>
        <v>0</v>
      </c>
      <c r="X256" s="775">
        <f ca="1">SUMIF(CT_tram!$B$1359:$G$1504,kl!B256,CT_tram!$G$1359:$G$1504)</f>
        <v>0</v>
      </c>
      <c r="Y256" s="775">
        <f ca="1">SUMIF(CT_tram!$B$1511:$G$1625,kl!B256,CT_tram!$G$1511:$G$1625)</f>
        <v>0</v>
      </c>
      <c r="Z256" s="775">
        <f ca="1">SUMIF(CT_tram!$B$1632:$G$2211,kl!B256,CT_tram!$G$1632:$G$2211)</f>
        <v>0</v>
      </c>
      <c r="AA256" s="775">
        <f ca="1">SUMIF(CT_tram!$B$2243:$G$2384,kl!B256,CT_tram!$G$2243:$G$2384)</f>
        <v>0</v>
      </c>
      <c r="AB256" s="775">
        <f ca="1">SUMIF(CT_tram!$B$2391:$G$2563,kl!B256,CT_tram!$G$2391:$G$2563)</f>
        <v>0</v>
      </c>
      <c r="AC256" s="775">
        <f ca="1">SUMIF(chitiet!$B$13:$N$2352,kl!$B256,chitiet!$I$13:$I$2352)</f>
        <v>0</v>
      </c>
      <c r="AD256" s="775">
        <f ca="1">SUMIF(chitiet!$B$13:$N$2352,kl!$B256,chitiet!$J$13:$J$2352)</f>
        <v>0</v>
      </c>
      <c r="AE256" s="775">
        <f ca="1">SUMIF(chitiet!$B$13:$N$2352,kl!$B256,chitiet!$K$13:$K$2352)</f>
        <v>0</v>
      </c>
      <c r="AF256" s="775">
        <f ca="1">SUMIF(chitiet!$B$13:$N$2352,kl!$B256,chitiet!$L$13:$L$2352)</f>
        <v>0</v>
      </c>
      <c r="AG256" s="775">
        <f ca="1">SUMIF(chitiet!$B$13:$N$2352,kl!$B256,chitiet!$M$13)</f>
        <v>0</v>
      </c>
      <c r="AH256" s="775">
        <f ca="1">SUMIF(chitiet!$B$13:$N$2352,kl!$B256,chitiet!$N$13:$N$2352)</f>
        <v>0</v>
      </c>
      <c r="AI256" s="775">
        <f ca="1">SUMIF(chitiet!$B$13:$N$2352,kl!$B256,chitiet!$O$13:$O$2352)</f>
        <v>0</v>
      </c>
      <c r="AJ256" s="775">
        <f ca="1">SUMIF('Cap ngam'!$B$631:$G$723,kl!$B256,'Cap ngam'!$G$631:$G$723)</f>
        <v>0</v>
      </c>
      <c r="AK256" s="775">
        <f ca="1">SUMIF('Cap ngam'!$B$403:$G$628,kl!$B256,'Cap ngam'!G$403:G$628)</f>
        <v>0</v>
      </c>
      <c r="AL256" s="775">
        <f ca="1">SUMIF('Cap ngam'!B$16:G$400,kl!$B256,'Cap ngam'!G$16:G$400)</f>
        <v>0</v>
      </c>
      <c r="AM256" s="776">
        <v>0.1</v>
      </c>
      <c r="AN256" s="775">
        <f t="shared" ca="1" si="133"/>
        <v>0</v>
      </c>
      <c r="AO256" s="775">
        <f t="shared" ca="1" si="134"/>
        <v>0</v>
      </c>
      <c r="AP256" s="775">
        <f t="shared" ca="1" si="135"/>
        <v>0</v>
      </c>
      <c r="AQ256" s="775">
        <f t="shared" ca="1" si="136"/>
        <v>0</v>
      </c>
      <c r="AR256" s="775">
        <f t="shared" ca="1" si="137"/>
        <v>0</v>
      </c>
      <c r="AS256" s="775">
        <f t="shared" ca="1" si="138"/>
        <v>0</v>
      </c>
      <c r="AT256" s="775">
        <f t="shared" ca="1" si="139"/>
        <v>0</v>
      </c>
      <c r="AU256" s="775">
        <f t="shared" ca="1" si="140"/>
        <v>0</v>
      </c>
      <c r="AV256" s="775">
        <f t="shared" ca="1" si="141"/>
        <v>0</v>
      </c>
      <c r="AW256" s="775">
        <f t="shared" ca="1" si="142"/>
        <v>0</v>
      </c>
      <c r="AX256" s="775">
        <f t="shared" si="143"/>
        <v>0</v>
      </c>
      <c r="AY256" s="775">
        <f t="shared" ca="1" si="144"/>
        <v>0</v>
      </c>
      <c r="AZ256" s="775">
        <f t="shared" si="145"/>
        <v>0</v>
      </c>
      <c r="BA256" s="775">
        <f t="shared" ca="1" si="126"/>
        <v>0</v>
      </c>
      <c r="BB256" s="775">
        <f t="shared" ca="1" si="127"/>
        <v>0</v>
      </c>
      <c r="BC256" s="775">
        <f t="shared" ca="1" si="128"/>
        <v>0</v>
      </c>
      <c r="BD256" s="775">
        <f t="shared" ca="1" si="129"/>
        <v>0</v>
      </c>
      <c r="BE256" s="775">
        <f t="shared" ca="1" si="130"/>
        <v>0</v>
      </c>
      <c r="BF256" s="775">
        <f t="shared" ca="1" si="131"/>
        <v>0</v>
      </c>
      <c r="BG256" s="775">
        <f t="shared" ca="1" si="132"/>
        <v>0</v>
      </c>
      <c r="BH256" s="775">
        <f t="shared" ca="1" si="146"/>
        <v>0</v>
      </c>
      <c r="BI256" s="775">
        <f t="shared" ca="1" si="147"/>
        <v>0</v>
      </c>
      <c r="BJ256" s="775">
        <f t="shared" ca="1" si="148"/>
        <v>0</v>
      </c>
      <c r="BK256" s="775">
        <f t="shared" ca="1" si="149"/>
        <v>0</v>
      </c>
      <c r="BL256" s="775">
        <f t="shared" ca="1" si="150"/>
        <v>0</v>
      </c>
      <c r="BM256" s="775">
        <f t="shared" ca="1" si="151"/>
        <v>0</v>
      </c>
      <c r="BN256" s="775">
        <f t="shared" ca="1" si="152"/>
        <v>0</v>
      </c>
      <c r="BO256" s="775">
        <f t="shared" ca="1" si="153"/>
        <v>0</v>
      </c>
      <c r="BP256" s="775">
        <f t="shared" ca="1" si="154"/>
        <v>0</v>
      </c>
      <c r="BQ256" s="775">
        <f t="shared" ca="1" si="157"/>
        <v>0</v>
      </c>
      <c r="BR256" s="775">
        <f t="shared" ca="1" si="155"/>
        <v>0</v>
      </c>
    </row>
    <row r="257" spans="1:70">
      <c r="A257" s="767" t="str">
        <f t="shared" ca="1" si="162"/>
        <v>X</v>
      </c>
      <c r="B257" s="767" t="s">
        <v>2031</v>
      </c>
      <c r="C257" s="188">
        <f ca="1">IF(F257=0,"",COUNTIF($F$78:$F257,"&gt;0"))</f>
        <v>21</v>
      </c>
      <c r="D257" s="778" t="str">
        <f>VLOOKUP($B257,dongia1,DG!$C$5,)</f>
        <v>Khóa néo dây cỡ dây 50(kẹp dừng dây 3U-3mm)</v>
      </c>
      <c r="E257" s="555" t="str">
        <f>VLOOKUP($B257,dongia1,DG!$D$5,)</f>
        <v>cái</v>
      </c>
      <c r="F257" s="975">
        <f t="shared" ref="F257:F271" ca="1" si="165">G257+H257</f>
        <v>2</v>
      </c>
      <c r="G257" s="976">
        <f t="shared" ca="1" si="121"/>
        <v>2</v>
      </c>
      <c r="H257" s="976">
        <f ca="1">SUMIF(CT_tram!$B$33:$G$3559,kl!B257,CT_tram!$G$33:$G$3559)</f>
        <v>0</v>
      </c>
      <c r="I257" s="775">
        <f ca="1">SUMIF(CT_tram!$B$34:$G$115,$B257,CT_tram!$G$34:$G$115)</f>
        <v>0</v>
      </c>
      <c r="J257" s="775">
        <f ca="1">SUMIF(CT_tram!$B$122:$G$204,$B257,CT_tram!$G$122:$G$204)</f>
        <v>0</v>
      </c>
      <c r="K257" s="775">
        <f ca="1">SUMIF(CT_tram!$B$211:$G$293,$B257,CT_tram!$G$211:$G$293)</f>
        <v>0</v>
      </c>
      <c r="L257" s="775">
        <f ca="1">SUMIF(CT_tram!$B$300:$G$374,$B257,CT_tram!$G$300:$G$374)</f>
        <v>0</v>
      </c>
      <c r="M257" s="775">
        <f ca="1">SUMIF(CT_tram!$B$381:$G$471,$B257,CT_tram!$G$381:$G$471)</f>
        <v>0</v>
      </c>
      <c r="N257" s="775">
        <f ca="1">SUMIF(CT_tram!$B$478:$G$560,$B257,CT_tram!$G$478:$G$560)</f>
        <v>0</v>
      </c>
      <c r="O257" s="775">
        <f ca="1">SUMIF(CT_tram!$B$567:$G$653,$B257,CT_tram!$G$567:$G$653)</f>
        <v>0</v>
      </c>
      <c r="P257" s="775">
        <f ca="1">SUMIF(CT_tram!$B$661:$G$738,$B257,CT_tram!$G$661:$G$738)</f>
        <v>0</v>
      </c>
      <c r="Q257" s="775">
        <f ca="1">SUMIF(CT_tram!$B$745:$G$899,$B257,CT_tram!$G$745:$G$899)</f>
        <v>0</v>
      </c>
      <c r="R257" s="775">
        <f ca="1">SUMIF(CT_tram!$B$907:$G$995,$B257,CT_tram!$G$907:$G$995)</f>
        <v>0</v>
      </c>
      <c r="S257" s="775"/>
      <c r="T257" s="775">
        <f ca="1">SUMIF(CT_tram!$B$1004:$G$1097,B257,CT_tram!$G$1004:$G$1097)</f>
        <v>0</v>
      </c>
      <c r="U257" s="775"/>
      <c r="V257" s="775">
        <f ca="1">SUMIF(CT_tram!$B$1226:$G$1352,kl!B257,CT_tram!$G$1226:$G$1352)</f>
        <v>0</v>
      </c>
      <c r="W257" s="780">
        <f ca="1">SUMIF(CT_tram!$B$1105:$G$1219,kl!B257,CT_tram!$G$1105:$G$1219)</f>
        <v>0</v>
      </c>
      <c r="X257" s="775">
        <f ca="1">SUMIF(CT_tram!$B$1359:$G$1504,kl!B257,CT_tram!$G$1359:$G$1504)</f>
        <v>0</v>
      </c>
      <c r="Y257" s="775">
        <f ca="1">SUMIF(CT_tram!$B$1511:$G$1625,kl!B257,CT_tram!$G$1511:$G$1625)</f>
        <v>0</v>
      </c>
      <c r="Z257" s="775">
        <f ca="1">SUMIF(CT_tram!$B$1632:$G$2211,kl!B257,CT_tram!$G$1632:$G$2211)</f>
        <v>0</v>
      </c>
      <c r="AA257" s="775">
        <f ca="1">SUMIF(CT_tram!$B$2243:$G$2384,kl!B257,CT_tram!$G$2243:$G$2384)</f>
        <v>0</v>
      </c>
      <c r="AB257" s="775">
        <f ca="1">SUMIF(CT_tram!$B$2391:$G$2563,kl!B257,CT_tram!$G$2391:$G$2563)</f>
        <v>0</v>
      </c>
      <c r="AC257" s="775">
        <f ca="1">SUMIF(chitiet!$B$13:$N$2352,kl!$B257,chitiet!$I$13:$I$2352)</f>
        <v>0</v>
      </c>
      <c r="AD257" s="775">
        <f ca="1">SUMIF(chitiet!$B$13:$N$2352,kl!$B257,chitiet!$J$13:$J$2352)</f>
        <v>0</v>
      </c>
      <c r="AE257" s="775">
        <f ca="1">SUMIF(chitiet!$B$13:$N$2352,kl!$B257,chitiet!$K$13:$K$2352)</f>
        <v>2</v>
      </c>
      <c r="AF257" s="775">
        <f ca="1">SUMIF(chitiet!$B$13:$N$2352,kl!$B257,chitiet!$L$13:$L$2352)</f>
        <v>0</v>
      </c>
      <c r="AG257" s="775">
        <f ca="1">SUMIF(chitiet!$B$13:$N$2352,kl!$B257,chitiet!$M$13)</f>
        <v>0</v>
      </c>
      <c r="AH257" s="775">
        <f ca="1">SUMIF(chitiet!$B$13:$N$2352,kl!$B257,chitiet!$N$13:$N$2352)</f>
        <v>0</v>
      </c>
      <c r="AI257" s="775">
        <f ca="1">SUMIF(chitiet!$B$13:$N$2352,kl!$B257,chitiet!$O$13:$O$2352)</f>
        <v>0</v>
      </c>
      <c r="AJ257" s="775">
        <f ca="1">SUMIF('Cap ngam'!$B$631:$G$723,kl!$B257,'Cap ngam'!$G$631:$G$723)</f>
        <v>0</v>
      </c>
      <c r="AK257" s="775">
        <f ca="1">SUMIF('Cap ngam'!$B$403:$G$628,kl!$B257,'Cap ngam'!G$403:G$628)</f>
        <v>0</v>
      </c>
      <c r="AL257" s="775">
        <f ca="1">SUMIF('Cap ngam'!B$16:G$400,kl!$B257,'Cap ngam'!G$16:G$400)</f>
        <v>0</v>
      </c>
      <c r="AM257" s="776">
        <v>0.5</v>
      </c>
      <c r="AN257" s="775">
        <f t="shared" ca="1" si="133"/>
        <v>0</v>
      </c>
      <c r="AO257" s="775">
        <f t="shared" ca="1" si="134"/>
        <v>0</v>
      </c>
      <c r="AP257" s="775">
        <f t="shared" ca="1" si="135"/>
        <v>0</v>
      </c>
      <c r="AQ257" s="775">
        <f t="shared" ca="1" si="136"/>
        <v>0</v>
      </c>
      <c r="AR257" s="775">
        <f t="shared" ca="1" si="137"/>
        <v>0</v>
      </c>
      <c r="AS257" s="775">
        <f t="shared" ca="1" si="138"/>
        <v>0</v>
      </c>
      <c r="AT257" s="775">
        <f t="shared" ca="1" si="139"/>
        <v>0</v>
      </c>
      <c r="AU257" s="775">
        <f t="shared" ca="1" si="140"/>
        <v>0</v>
      </c>
      <c r="AV257" s="775">
        <f t="shared" ca="1" si="141"/>
        <v>0</v>
      </c>
      <c r="AW257" s="775">
        <f t="shared" ca="1" si="142"/>
        <v>0</v>
      </c>
      <c r="AX257" s="775">
        <f t="shared" si="143"/>
        <v>0</v>
      </c>
      <c r="AY257" s="775">
        <f t="shared" ca="1" si="144"/>
        <v>0</v>
      </c>
      <c r="AZ257" s="775">
        <f t="shared" si="145"/>
        <v>0</v>
      </c>
      <c r="BA257" s="775">
        <f t="shared" ca="1" si="126"/>
        <v>0</v>
      </c>
      <c r="BB257" s="775">
        <f t="shared" ca="1" si="127"/>
        <v>0</v>
      </c>
      <c r="BC257" s="775">
        <f t="shared" ca="1" si="128"/>
        <v>0</v>
      </c>
      <c r="BD257" s="775">
        <f t="shared" ca="1" si="129"/>
        <v>0</v>
      </c>
      <c r="BE257" s="775">
        <f t="shared" ca="1" si="130"/>
        <v>0</v>
      </c>
      <c r="BF257" s="775">
        <f t="shared" ca="1" si="131"/>
        <v>0</v>
      </c>
      <c r="BG257" s="775">
        <f t="shared" ca="1" si="132"/>
        <v>0</v>
      </c>
      <c r="BH257" s="775">
        <f t="shared" ca="1" si="146"/>
        <v>0</v>
      </c>
      <c r="BI257" s="775">
        <f t="shared" ca="1" si="147"/>
        <v>0</v>
      </c>
      <c r="BJ257" s="775">
        <f t="shared" ca="1" si="148"/>
        <v>1</v>
      </c>
      <c r="BK257" s="775">
        <f t="shared" ca="1" si="149"/>
        <v>0</v>
      </c>
      <c r="BL257" s="775">
        <f t="shared" ca="1" si="150"/>
        <v>0</v>
      </c>
      <c r="BM257" s="775">
        <f t="shared" ca="1" si="151"/>
        <v>0</v>
      </c>
      <c r="BN257" s="775">
        <f t="shared" ca="1" si="152"/>
        <v>0</v>
      </c>
      <c r="BO257" s="775">
        <f t="shared" ca="1" si="153"/>
        <v>0</v>
      </c>
      <c r="BP257" s="775">
        <f t="shared" ca="1" si="154"/>
        <v>0</v>
      </c>
      <c r="BQ257" s="775">
        <f t="shared" ca="1" si="157"/>
        <v>0</v>
      </c>
      <c r="BR257" s="775">
        <f t="shared" ca="1" si="155"/>
        <v>0</v>
      </c>
    </row>
    <row r="258" spans="1:70">
      <c r="A258" s="767" t="str">
        <f t="shared" ref="A258:A263" ca="1" si="166">IF(F258&lt;&gt;0,"X","")</f>
        <v/>
      </c>
      <c r="B258" s="767" t="s">
        <v>1246</v>
      </c>
      <c r="C258" s="188" t="str">
        <f ca="1">IF(F258=0,"",COUNTIF($F$78:$F264,"&gt;0"))</f>
        <v/>
      </c>
      <c r="D258" s="778" t="str">
        <f>VLOOKUP($B258,dongia1,DG!$C$5,)</f>
        <v>Khóa néo dây cỡ dây 70(kẹp dừng dây 3U-3mm)</v>
      </c>
      <c r="E258" s="555" t="str">
        <f>VLOOKUP($B258,dongia1,DG!$D$5,)</f>
        <v>cái</v>
      </c>
      <c r="F258" s="779">
        <f t="shared" ca="1" si="165"/>
        <v>0</v>
      </c>
      <c r="G258" s="775">
        <f t="shared" ref="G258:G263" ca="1" si="167">SUM(AC258:AL258)</f>
        <v>0</v>
      </c>
      <c r="H258" s="775">
        <f ca="1">SUMIF(CT_tram!$B$33:$G$3559,kl!B258,CT_tram!$G$33:$G$3559)</f>
        <v>0</v>
      </c>
      <c r="I258" s="775">
        <f ca="1">SUMIF(CT_tram!$B$34:$G$115,$B258,CT_tram!$G$34:$G$115)</f>
        <v>0</v>
      </c>
      <c r="J258" s="775">
        <f ca="1">SUMIF(CT_tram!$B$122:$G$204,$B258,CT_tram!$G$122:$G$204)</f>
        <v>0</v>
      </c>
      <c r="K258" s="775">
        <f ca="1">SUMIF(CT_tram!$B$211:$G$293,$B258,CT_tram!$G$211:$G$293)</f>
        <v>0</v>
      </c>
      <c r="L258" s="775">
        <f ca="1">SUMIF(CT_tram!$B$300:$G$374,$B258,CT_tram!$G$300:$G$374)</f>
        <v>0</v>
      </c>
      <c r="M258" s="775">
        <f ca="1">SUMIF(CT_tram!$B$381:$G$471,$B258,CT_tram!$G$381:$G$471)</f>
        <v>0</v>
      </c>
      <c r="N258" s="775">
        <f ca="1">SUMIF(CT_tram!$B$478:$G$560,$B258,CT_tram!$G$478:$G$560)</f>
        <v>0</v>
      </c>
      <c r="O258" s="775">
        <f ca="1">SUMIF(CT_tram!$B$567:$G$653,$B258,CT_tram!$G$567:$G$653)</f>
        <v>0</v>
      </c>
      <c r="P258" s="775">
        <f ca="1">SUMIF(CT_tram!$B$661:$G$738,$B258,CT_tram!$G$661:$G$738)</f>
        <v>0</v>
      </c>
      <c r="Q258" s="775">
        <f ca="1">SUMIF(CT_tram!$B$745:$G$899,$B258,CT_tram!$G$745:$G$899)</f>
        <v>0</v>
      </c>
      <c r="R258" s="775">
        <f ca="1">SUMIF(CT_tram!$B$907:$G$995,$B258,CT_tram!$G$907:$G$995)</f>
        <v>0</v>
      </c>
      <c r="S258" s="775"/>
      <c r="T258" s="775">
        <f ca="1">SUMIF(CT_tram!$B$1004:$G$1097,B258,CT_tram!$G$1004:$G$1097)</f>
        <v>0</v>
      </c>
      <c r="U258" s="775"/>
      <c r="V258" s="775">
        <f ca="1">SUMIF(CT_tram!$B$1226:$G$1352,kl!B258,CT_tram!$G$1226:$G$1352)</f>
        <v>0</v>
      </c>
      <c r="W258" s="780">
        <f ca="1">SUMIF(CT_tram!$B$1105:$G$1219,kl!B258,CT_tram!$G$1105:$G$1219)</f>
        <v>0</v>
      </c>
      <c r="X258" s="775">
        <f ca="1">SUMIF(CT_tram!$B$1359:$G$1504,kl!B258,CT_tram!$G$1359:$G$1504)</f>
        <v>0</v>
      </c>
      <c r="Y258" s="775">
        <f ca="1">SUMIF(CT_tram!$B$1511:$G$1625,kl!B258,CT_tram!$G$1511:$G$1625)</f>
        <v>0</v>
      </c>
      <c r="Z258" s="775">
        <f ca="1">SUMIF(CT_tram!$B$1632:$G$2211,kl!B258,CT_tram!$G$1632:$G$2211)</f>
        <v>0</v>
      </c>
      <c r="AA258" s="775">
        <f ca="1">SUMIF(CT_tram!$B$2243:$G$2384,kl!B258,CT_tram!$G$2243:$G$2384)</f>
        <v>0</v>
      </c>
      <c r="AB258" s="775">
        <f ca="1">SUMIF(CT_tram!$B$2391:$G$2563,kl!B258,CT_tram!$G$2391:$G$2563)</f>
        <v>0</v>
      </c>
      <c r="AC258" s="775">
        <f ca="1">SUMIF(chitiet!$B$13:$N$2352,kl!$B258,chitiet!$I$13:$I$2352)</f>
        <v>0</v>
      </c>
      <c r="AD258" s="775">
        <f ca="1">SUMIF(chitiet!$B$13:$N$2352,kl!$B258,chitiet!$J$13:$J$2352)</f>
        <v>0</v>
      </c>
      <c r="AE258" s="775">
        <f ca="1">SUMIF(chitiet!$B$13:$N$2352,kl!$B258,chitiet!$K$13:$K$2352)</f>
        <v>0</v>
      </c>
      <c r="AF258" s="775">
        <f ca="1">SUMIF(chitiet!$B$13:$N$2352,kl!$B258,chitiet!$L$13:$L$2352)</f>
        <v>0</v>
      </c>
      <c r="AG258" s="775">
        <f ca="1">SUMIF(chitiet!$B$13:$N$2352,kl!$B258,chitiet!$M$13)</f>
        <v>0</v>
      </c>
      <c r="AH258" s="775">
        <f ca="1">SUMIF(chitiet!$B$13:$N$2352,kl!$B258,chitiet!$N$13:$N$2352)</f>
        <v>0</v>
      </c>
      <c r="AI258" s="775">
        <f ca="1">SUMIF(chitiet!$B$13:$N$2352,kl!$B258,chitiet!$O$13:$O$2352)</f>
        <v>0</v>
      </c>
      <c r="AJ258" s="775">
        <f ca="1">SUMIF('Cap ngam'!$B$631:$G$723,kl!$B258,'Cap ngam'!$G$631:$G$723)</f>
        <v>0</v>
      </c>
      <c r="AK258" s="775">
        <f ca="1">SUMIF('Cap ngam'!$B$403:$G$628,kl!$B258,'Cap ngam'!G$403:G$628)</f>
        <v>0</v>
      </c>
      <c r="AL258" s="775">
        <f ca="1">SUMIF('Cap ngam'!B$16:G$400,kl!$B258,'Cap ngam'!G$16:G$400)</f>
        <v>0</v>
      </c>
      <c r="AM258" s="776">
        <v>0.5</v>
      </c>
      <c r="AN258" s="775">
        <f t="shared" ca="1" si="133"/>
        <v>0</v>
      </c>
      <c r="AO258" s="775">
        <f t="shared" ca="1" si="134"/>
        <v>0</v>
      </c>
      <c r="AP258" s="775">
        <f t="shared" ca="1" si="135"/>
        <v>0</v>
      </c>
      <c r="AQ258" s="775">
        <f t="shared" ca="1" si="136"/>
        <v>0</v>
      </c>
      <c r="AR258" s="775">
        <f t="shared" ca="1" si="137"/>
        <v>0</v>
      </c>
      <c r="AS258" s="775">
        <f t="shared" ca="1" si="138"/>
        <v>0</v>
      </c>
      <c r="AT258" s="775">
        <f t="shared" ca="1" si="139"/>
        <v>0</v>
      </c>
      <c r="AU258" s="775">
        <f t="shared" ca="1" si="140"/>
        <v>0</v>
      </c>
      <c r="AV258" s="775">
        <f t="shared" ca="1" si="141"/>
        <v>0</v>
      </c>
      <c r="AW258" s="775">
        <f t="shared" ca="1" si="142"/>
        <v>0</v>
      </c>
      <c r="AX258" s="775">
        <f t="shared" si="143"/>
        <v>0</v>
      </c>
      <c r="AY258" s="775">
        <f t="shared" ca="1" si="144"/>
        <v>0</v>
      </c>
      <c r="AZ258" s="775">
        <f t="shared" si="145"/>
        <v>0</v>
      </c>
      <c r="BA258" s="775">
        <f t="shared" ca="1" si="126"/>
        <v>0</v>
      </c>
      <c r="BB258" s="775">
        <f t="shared" ca="1" si="127"/>
        <v>0</v>
      </c>
      <c r="BC258" s="775">
        <f t="shared" ca="1" si="128"/>
        <v>0</v>
      </c>
      <c r="BD258" s="775">
        <f t="shared" ca="1" si="129"/>
        <v>0</v>
      </c>
      <c r="BE258" s="775">
        <f t="shared" ca="1" si="130"/>
        <v>0</v>
      </c>
      <c r="BF258" s="775">
        <f t="shared" ca="1" si="131"/>
        <v>0</v>
      </c>
      <c r="BG258" s="775">
        <f t="shared" ca="1" si="132"/>
        <v>0</v>
      </c>
      <c r="BH258" s="775">
        <f t="shared" ca="1" si="146"/>
        <v>0</v>
      </c>
      <c r="BI258" s="775">
        <f t="shared" ca="1" si="147"/>
        <v>0</v>
      </c>
      <c r="BJ258" s="775">
        <f t="shared" ca="1" si="148"/>
        <v>0</v>
      </c>
      <c r="BK258" s="775">
        <f t="shared" ca="1" si="149"/>
        <v>0</v>
      </c>
      <c r="BL258" s="775">
        <f t="shared" ca="1" si="150"/>
        <v>0</v>
      </c>
      <c r="BM258" s="775">
        <f t="shared" ca="1" si="151"/>
        <v>0</v>
      </c>
      <c r="BN258" s="775">
        <f t="shared" ca="1" si="152"/>
        <v>0</v>
      </c>
      <c r="BO258" s="775">
        <f t="shared" ca="1" si="153"/>
        <v>0</v>
      </c>
      <c r="BP258" s="775">
        <f t="shared" ca="1" si="154"/>
        <v>0</v>
      </c>
      <c r="BQ258" s="775">
        <f t="shared" ref="BQ258:BQ263" ca="1" si="168">$AL258*$AM258</f>
        <v>0</v>
      </c>
      <c r="BR258" s="775">
        <f t="shared" ca="1" si="155"/>
        <v>0</v>
      </c>
    </row>
    <row r="259" spans="1:70">
      <c r="A259" s="767" t="str">
        <f t="shared" ca="1" si="166"/>
        <v/>
      </c>
      <c r="B259" s="767" t="s">
        <v>1851</v>
      </c>
      <c r="C259" s="188" t="str">
        <f ca="1">IF(F259=0,"",COUNTIF($F$78:$F265,"&gt;0"))</f>
        <v/>
      </c>
      <c r="D259" s="778" t="str">
        <f>VLOOKUP($B259,dongia1,DG!$C$5,)</f>
        <v>Khóa néo dây cỡ dây 95 (dây bọc 50): kẹp dừng dây 5U-3mm</v>
      </c>
      <c r="E259" s="555" t="str">
        <f>VLOOKUP($B259,dongia1,DG!$D$5,)</f>
        <v>cái</v>
      </c>
      <c r="F259" s="975">
        <f t="shared" ca="1" si="165"/>
        <v>0</v>
      </c>
      <c r="G259" s="976">
        <f t="shared" ca="1" si="167"/>
        <v>0</v>
      </c>
      <c r="H259" s="976">
        <f ca="1">SUMIF(CT_tram!$B$33:$G$3559,kl!B259,CT_tram!$G$33:$G$3559)</f>
        <v>0</v>
      </c>
      <c r="I259" s="775">
        <f ca="1">SUMIF(CT_tram!$B$34:$G$115,$B259,CT_tram!$G$34:$G$115)</f>
        <v>0</v>
      </c>
      <c r="J259" s="775">
        <f ca="1">SUMIF(CT_tram!$B$122:$G$204,$B259,CT_tram!$G$122:$G$204)</f>
        <v>0</v>
      </c>
      <c r="K259" s="775">
        <f ca="1">SUMIF(CT_tram!$B$211:$G$293,$B259,CT_tram!$G$211:$G$293)</f>
        <v>0</v>
      </c>
      <c r="L259" s="775">
        <f ca="1">SUMIF(CT_tram!$B$300:$G$374,$B259,CT_tram!$G$300:$G$374)</f>
        <v>0</v>
      </c>
      <c r="M259" s="775">
        <f ca="1">SUMIF(CT_tram!$B$381:$G$471,$B259,CT_tram!$G$381:$G$471)</f>
        <v>0</v>
      </c>
      <c r="N259" s="775">
        <f ca="1">SUMIF(CT_tram!$B$478:$G$560,$B259,CT_tram!$G$478:$G$560)</f>
        <v>0</v>
      </c>
      <c r="O259" s="775">
        <f ca="1">SUMIF(CT_tram!$B$567:$G$653,$B259,CT_tram!$G$567:$G$653)</f>
        <v>0</v>
      </c>
      <c r="P259" s="775">
        <f ca="1">SUMIF(CT_tram!$B$661:$G$738,$B259,CT_tram!$G$661:$G$738)</f>
        <v>0</v>
      </c>
      <c r="Q259" s="775">
        <f ca="1">SUMIF(CT_tram!$B$745:$G$899,$B259,CT_tram!$G$745:$G$899)</f>
        <v>0</v>
      </c>
      <c r="R259" s="775">
        <f ca="1">SUMIF(CT_tram!$B$907:$G$995,$B259,CT_tram!$G$907:$G$995)</f>
        <v>0</v>
      </c>
      <c r="S259" s="775"/>
      <c r="T259" s="775">
        <f ca="1">SUMIF(CT_tram!$B$1004:$G$1097,B259,CT_tram!$G$1004:$G$1097)</f>
        <v>0</v>
      </c>
      <c r="U259" s="775"/>
      <c r="V259" s="775">
        <f ca="1">SUMIF(CT_tram!$B$1226:$G$1352,kl!B259,CT_tram!$G$1226:$G$1352)</f>
        <v>0</v>
      </c>
      <c r="W259" s="780">
        <f ca="1">SUMIF(CT_tram!$B$1105:$G$1219,kl!B259,CT_tram!$G$1105:$G$1219)</f>
        <v>0</v>
      </c>
      <c r="X259" s="775">
        <f ca="1">SUMIF(CT_tram!$B$1359:$G$1504,kl!B259,CT_tram!$G$1359:$G$1504)</f>
        <v>0</v>
      </c>
      <c r="Y259" s="775">
        <f ca="1">SUMIF(CT_tram!$B$1511:$G$1625,kl!B259,CT_tram!$G$1511:$G$1625)</f>
        <v>0</v>
      </c>
      <c r="Z259" s="775">
        <f ca="1">SUMIF(CT_tram!$B$1632:$G$2211,kl!B259,CT_tram!$G$1632:$G$2211)</f>
        <v>0</v>
      </c>
      <c r="AA259" s="775">
        <f ca="1">SUMIF(CT_tram!$B$2243:$G$2384,kl!B259,CT_tram!$G$2243:$G$2384)</f>
        <v>0</v>
      </c>
      <c r="AB259" s="775">
        <f ca="1">SUMIF(CT_tram!$B$2391:$G$2563,kl!B259,CT_tram!$G$2391:$G$2563)</f>
        <v>0</v>
      </c>
      <c r="AC259" s="775">
        <f ca="1">SUMIF(chitiet!$B$13:$N$2352,kl!$B259,chitiet!$I$13:$I$2352)</f>
        <v>0</v>
      </c>
      <c r="AD259" s="775">
        <f ca="1">SUMIF(chitiet!$B$13:$N$2352,kl!$B259,chitiet!$J$13:$J$2352)</f>
        <v>0</v>
      </c>
      <c r="AE259" s="775">
        <f ca="1">SUMIF(chitiet!$B$13:$N$2352,kl!$B259,chitiet!$K$13:$K$2352)</f>
        <v>0</v>
      </c>
      <c r="AF259" s="775">
        <f ca="1">SUMIF(chitiet!$B$13:$N$2352,kl!$B259,chitiet!$L$13:$L$2352)</f>
        <v>0</v>
      </c>
      <c r="AG259" s="775">
        <f ca="1">SUMIF(chitiet!$B$13:$N$2352,kl!$B259,chitiet!$M$13)</f>
        <v>0</v>
      </c>
      <c r="AH259" s="775">
        <f ca="1">SUMIF(chitiet!$B$13:$N$2352,kl!$B259,chitiet!$N$13:$N$2352)</f>
        <v>0</v>
      </c>
      <c r="AI259" s="775">
        <f ca="1">SUMIF(chitiet!$B$13:$N$2352,kl!$B259,chitiet!$O$13:$O$2352)</f>
        <v>0</v>
      </c>
      <c r="AJ259" s="775">
        <f ca="1">SUMIF('Cap ngam'!$B$631:$G$723,kl!$B259,'Cap ngam'!$G$631:$G$723)</f>
        <v>0</v>
      </c>
      <c r="AK259" s="775">
        <f ca="1">SUMIF('Cap ngam'!$B$403:$G$628,kl!$B259,'Cap ngam'!G$403:G$628)</f>
        <v>0</v>
      </c>
      <c r="AL259" s="775">
        <f ca="1">SUMIF('Cap ngam'!B$16:G$400,kl!$B259,'Cap ngam'!G$16:G$400)</f>
        <v>0</v>
      </c>
      <c r="AM259" s="776">
        <v>0.5</v>
      </c>
      <c r="AN259" s="775">
        <f t="shared" ca="1" si="133"/>
        <v>0</v>
      </c>
      <c r="AO259" s="775">
        <f t="shared" ca="1" si="134"/>
        <v>0</v>
      </c>
      <c r="AP259" s="775">
        <f t="shared" ca="1" si="135"/>
        <v>0</v>
      </c>
      <c r="AQ259" s="775">
        <f t="shared" ca="1" si="136"/>
        <v>0</v>
      </c>
      <c r="AR259" s="775">
        <f t="shared" ca="1" si="137"/>
        <v>0</v>
      </c>
      <c r="AS259" s="775">
        <f t="shared" ca="1" si="138"/>
        <v>0</v>
      </c>
      <c r="AT259" s="775">
        <f t="shared" ca="1" si="139"/>
        <v>0</v>
      </c>
      <c r="AU259" s="775">
        <f t="shared" ca="1" si="140"/>
        <v>0</v>
      </c>
      <c r="AV259" s="775">
        <f t="shared" ca="1" si="141"/>
        <v>0</v>
      </c>
      <c r="AW259" s="775">
        <f t="shared" ca="1" si="142"/>
        <v>0</v>
      </c>
      <c r="AX259" s="775">
        <f t="shared" si="143"/>
        <v>0</v>
      </c>
      <c r="AY259" s="775">
        <f t="shared" ca="1" si="144"/>
        <v>0</v>
      </c>
      <c r="AZ259" s="775">
        <f t="shared" si="145"/>
        <v>0</v>
      </c>
      <c r="BA259" s="775">
        <f t="shared" ca="1" si="126"/>
        <v>0</v>
      </c>
      <c r="BB259" s="775">
        <f t="shared" ca="1" si="127"/>
        <v>0</v>
      </c>
      <c r="BC259" s="775">
        <f t="shared" ca="1" si="128"/>
        <v>0</v>
      </c>
      <c r="BD259" s="775">
        <f t="shared" ca="1" si="129"/>
        <v>0</v>
      </c>
      <c r="BE259" s="775">
        <f t="shared" ca="1" si="130"/>
        <v>0</v>
      </c>
      <c r="BF259" s="775">
        <f t="shared" ca="1" si="131"/>
        <v>0</v>
      </c>
      <c r="BG259" s="775">
        <f t="shared" ca="1" si="132"/>
        <v>0</v>
      </c>
      <c r="BH259" s="775">
        <f t="shared" ca="1" si="146"/>
        <v>0</v>
      </c>
      <c r="BI259" s="775">
        <f t="shared" ca="1" si="147"/>
        <v>0</v>
      </c>
      <c r="BJ259" s="775">
        <f t="shared" ca="1" si="148"/>
        <v>0</v>
      </c>
      <c r="BK259" s="775">
        <f t="shared" ca="1" si="149"/>
        <v>0</v>
      </c>
      <c r="BL259" s="775">
        <f t="shared" ca="1" si="150"/>
        <v>0</v>
      </c>
      <c r="BM259" s="775">
        <f t="shared" ca="1" si="151"/>
        <v>0</v>
      </c>
      <c r="BN259" s="775">
        <f t="shared" ca="1" si="152"/>
        <v>0</v>
      </c>
      <c r="BO259" s="775">
        <f t="shared" ca="1" si="153"/>
        <v>0</v>
      </c>
      <c r="BP259" s="775">
        <f t="shared" ca="1" si="154"/>
        <v>0</v>
      </c>
      <c r="BQ259" s="775">
        <f t="shared" ca="1" si="168"/>
        <v>0</v>
      </c>
      <c r="BR259" s="775">
        <f t="shared" ca="1" si="155"/>
        <v>0</v>
      </c>
    </row>
    <row r="260" spans="1:70">
      <c r="A260" s="767" t="str">
        <f t="shared" ca="1" si="166"/>
        <v/>
      </c>
      <c r="B260" s="767" t="s">
        <v>1402</v>
      </c>
      <c r="C260" s="188" t="str">
        <f ca="1">IF(F260=0,"",COUNTIF($F$78:$F266,"&gt;0"))</f>
        <v/>
      </c>
      <c r="D260" s="778" t="str">
        <f>VLOOKUP($B260,dongia1,DG!$C$5,)</f>
        <v>Khóa néo dây 5U-4mm (95-120mm2)</v>
      </c>
      <c r="E260" s="555" t="str">
        <f>VLOOKUP($B260,dongia1,DG!$D$5,)</f>
        <v>cái</v>
      </c>
      <c r="F260" s="779">
        <f t="shared" ca="1" si="165"/>
        <v>0</v>
      </c>
      <c r="G260" s="775">
        <f t="shared" ca="1" si="167"/>
        <v>0</v>
      </c>
      <c r="H260" s="775">
        <f ca="1">SUMIF(CT_tram!$B$33:$G$3559,kl!B260,CT_tram!$G$33:$G$3559)</f>
        <v>0</v>
      </c>
      <c r="I260" s="775">
        <f ca="1">SUMIF(CT_tram!$B$34:$G$115,$B260,CT_tram!$G$34:$G$115)</f>
        <v>0</v>
      </c>
      <c r="J260" s="775">
        <f ca="1">SUMIF(CT_tram!$B$122:$G$204,$B260,CT_tram!$G$122:$G$204)</f>
        <v>0</v>
      </c>
      <c r="K260" s="775">
        <f ca="1">SUMIF(CT_tram!$B$211:$G$293,$B260,CT_tram!$G$211:$G$293)</f>
        <v>0</v>
      </c>
      <c r="L260" s="775">
        <f ca="1">SUMIF(CT_tram!$B$300:$G$374,$B260,CT_tram!$G$300:$G$374)</f>
        <v>0</v>
      </c>
      <c r="M260" s="775">
        <f ca="1">SUMIF(CT_tram!$B$381:$G$471,$B260,CT_tram!$G$381:$G$471)</f>
        <v>0</v>
      </c>
      <c r="N260" s="775">
        <f ca="1">SUMIF(CT_tram!$B$478:$G$560,$B260,CT_tram!$G$478:$G$560)</f>
        <v>0</v>
      </c>
      <c r="O260" s="775">
        <f ca="1">SUMIF(CT_tram!$B$567:$G$653,$B260,CT_tram!$G$567:$G$653)</f>
        <v>0</v>
      </c>
      <c r="P260" s="775">
        <f ca="1">SUMIF(CT_tram!$B$661:$G$738,$B260,CT_tram!$G$661:$G$738)</f>
        <v>0</v>
      </c>
      <c r="Q260" s="775">
        <f ca="1">SUMIF(CT_tram!$B$745:$G$899,$B260,CT_tram!$G$745:$G$899)</f>
        <v>0</v>
      </c>
      <c r="R260" s="775">
        <f ca="1">SUMIF(CT_tram!$B$907:$G$995,$B260,CT_tram!$G$907:$G$995)</f>
        <v>0</v>
      </c>
      <c r="S260" s="775"/>
      <c r="T260" s="775">
        <f ca="1">SUMIF(CT_tram!$B$1004:$G$1097,B260,CT_tram!$G$1004:$G$1097)</f>
        <v>0</v>
      </c>
      <c r="U260" s="775"/>
      <c r="V260" s="775">
        <f ca="1">SUMIF(CT_tram!$B$1226:$G$1352,kl!B260,CT_tram!$G$1226:$G$1352)</f>
        <v>0</v>
      </c>
      <c r="W260" s="780">
        <f ca="1">SUMIF(CT_tram!$B$1105:$G$1219,kl!B260,CT_tram!$G$1105:$G$1219)</f>
        <v>0</v>
      </c>
      <c r="X260" s="775">
        <f ca="1">SUMIF(CT_tram!$B$1359:$G$1504,kl!B260,CT_tram!$G$1359:$G$1504)</f>
        <v>0</v>
      </c>
      <c r="Y260" s="775">
        <f ca="1">SUMIF(CT_tram!$B$1511:$G$1625,kl!B260,CT_tram!$G$1511:$G$1625)</f>
        <v>0</v>
      </c>
      <c r="Z260" s="775">
        <f ca="1">SUMIF(CT_tram!$B$1632:$G$2211,kl!B260,CT_tram!$G$1632:$G$2211)</f>
        <v>0</v>
      </c>
      <c r="AA260" s="775">
        <f ca="1">SUMIF(CT_tram!$B$2243:$G$2384,kl!B260,CT_tram!$G$2243:$G$2384)</f>
        <v>0</v>
      </c>
      <c r="AB260" s="775">
        <f ca="1">SUMIF(CT_tram!$B$2391:$G$2563,kl!B260,CT_tram!$G$2391:$G$2563)</f>
        <v>0</v>
      </c>
      <c r="AC260" s="775">
        <f ca="1">SUMIF(chitiet!$B$13:$N$2352,kl!$B260,chitiet!$I$13:$I$2352)</f>
        <v>0</v>
      </c>
      <c r="AD260" s="775">
        <f ca="1">SUMIF(chitiet!$B$13:$N$2352,kl!$B260,chitiet!$J$13:$J$2352)</f>
        <v>0</v>
      </c>
      <c r="AE260" s="775">
        <f ca="1">SUMIF(chitiet!$B$13:$N$2352,kl!$B260,chitiet!$K$13:$K$2352)</f>
        <v>0</v>
      </c>
      <c r="AF260" s="775">
        <f ca="1">SUMIF(chitiet!$B$13:$N$2352,kl!$B260,chitiet!$L$13:$L$2352)</f>
        <v>0</v>
      </c>
      <c r="AG260" s="775">
        <f ca="1">SUMIF(chitiet!$B$13:$N$2352,kl!$B260,chitiet!$M$13)</f>
        <v>0</v>
      </c>
      <c r="AH260" s="775">
        <f ca="1">SUMIF(chitiet!$B$13:$N$2352,kl!$B260,chitiet!$N$13:$N$2352)</f>
        <v>0</v>
      </c>
      <c r="AI260" s="775">
        <f ca="1">SUMIF(chitiet!$B$13:$N$2352,kl!$B260,chitiet!$O$13:$O$2352)</f>
        <v>0</v>
      </c>
      <c r="AJ260" s="775">
        <f ca="1">SUMIF('Cap ngam'!$B$631:$G$723,kl!$B260,'Cap ngam'!$G$631:$G$723)</f>
        <v>0</v>
      </c>
      <c r="AK260" s="775">
        <f ca="1">SUMIF('Cap ngam'!$B$403:$G$628,kl!$B260,'Cap ngam'!G$403:G$628)</f>
        <v>0</v>
      </c>
      <c r="AL260" s="775">
        <f ca="1">SUMIF('Cap ngam'!B$16:G$400,kl!$B260,'Cap ngam'!G$16:G$400)</f>
        <v>0</v>
      </c>
      <c r="AM260" s="776">
        <v>1</v>
      </c>
      <c r="AN260" s="775">
        <f t="shared" ca="1" si="133"/>
        <v>0</v>
      </c>
      <c r="AO260" s="775">
        <f t="shared" ca="1" si="134"/>
        <v>0</v>
      </c>
      <c r="AP260" s="775">
        <f t="shared" ca="1" si="135"/>
        <v>0</v>
      </c>
      <c r="AQ260" s="775">
        <f t="shared" ca="1" si="136"/>
        <v>0</v>
      </c>
      <c r="AR260" s="775">
        <f t="shared" ca="1" si="137"/>
        <v>0</v>
      </c>
      <c r="AS260" s="775">
        <f t="shared" ca="1" si="138"/>
        <v>0</v>
      </c>
      <c r="AT260" s="775">
        <f t="shared" ca="1" si="139"/>
        <v>0</v>
      </c>
      <c r="AU260" s="775">
        <f t="shared" ca="1" si="140"/>
        <v>0</v>
      </c>
      <c r="AV260" s="775">
        <f t="shared" ca="1" si="141"/>
        <v>0</v>
      </c>
      <c r="AW260" s="775">
        <f t="shared" ca="1" si="142"/>
        <v>0</v>
      </c>
      <c r="AX260" s="775">
        <f t="shared" si="143"/>
        <v>0</v>
      </c>
      <c r="AY260" s="775">
        <f t="shared" ca="1" si="144"/>
        <v>0</v>
      </c>
      <c r="AZ260" s="775">
        <f t="shared" si="145"/>
        <v>0</v>
      </c>
      <c r="BA260" s="775">
        <f t="shared" ca="1" si="126"/>
        <v>0</v>
      </c>
      <c r="BB260" s="775">
        <f t="shared" ca="1" si="127"/>
        <v>0</v>
      </c>
      <c r="BC260" s="775">
        <f t="shared" ca="1" si="128"/>
        <v>0</v>
      </c>
      <c r="BD260" s="775">
        <f t="shared" ca="1" si="129"/>
        <v>0</v>
      </c>
      <c r="BE260" s="775">
        <f t="shared" ca="1" si="130"/>
        <v>0</v>
      </c>
      <c r="BF260" s="775">
        <f t="shared" ca="1" si="131"/>
        <v>0</v>
      </c>
      <c r="BG260" s="775">
        <f t="shared" ca="1" si="132"/>
        <v>0</v>
      </c>
      <c r="BH260" s="775">
        <f t="shared" ca="1" si="146"/>
        <v>0</v>
      </c>
      <c r="BI260" s="775">
        <f t="shared" ca="1" si="147"/>
        <v>0</v>
      </c>
      <c r="BJ260" s="775">
        <f t="shared" ca="1" si="148"/>
        <v>0</v>
      </c>
      <c r="BK260" s="775">
        <f t="shared" ca="1" si="149"/>
        <v>0</v>
      </c>
      <c r="BL260" s="775">
        <f t="shared" ca="1" si="150"/>
        <v>0</v>
      </c>
      <c r="BM260" s="775">
        <f t="shared" ca="1" si="151"/>
        <v>0</v>
      </c>
      <c r="BN260" s="775">
        <f t="shared" ca="1" si="152"/>
        <v>0</v>
      </c>
      <c r="BO260" s="775">
        <f t="shared" ca="1" si="153"/>
        <v>0</v>
      </c>
      <c r="BP260" s="775">
        <f t="shared" ca="1" si="154"/>
        <v>0</v>
      </c>
      <c r="BQ260" s="775">
        <f t="shared" ca="1" si="168"/>
        <v>0</v>
      </c>
      <c r="BR260" s="775">
        <f t="shared" ca="1" si="155"/>
        <v>0</v>
      </c>
    </row>
    <row r="261" spans="1:70">
      <c r="A261" s="767" t="str">
        <f t="shared" ca="1" si="166"/>
        <v/>
      </c>
      <c r="B261" s="767" t="s">
        <v>1925</v>
      </c>
      <c r="C261" s="188" t="str">
        <f ca="1">IF(F261=0,"",COUNTIF($F$78:$F267,"&gt;0"))</f>
        <v/>
      </c>
      <c r="D261" s="778" t="str">
        <f>VLOOKUP($B261,dongia1,DG!$C$5,)</f>
        <v>Khóa néo dây 5U 150mm2</v>
      </c>
      <c r="E261" s="555" t="str">
        <f>VLOOKUP($B261,dongia1,DG!$D$5,)</f>
        <v>cái</v>
      </c>
      <c r="F261" s="779">
        <f t="shared" ca="1" si="165"/>
        <v>0</v>
      </c>
      <c r="G261" s="775">
        <f t="shared" ca="1" si="167"/>
        <v>0</v>
      </c>
      <c r="H261" s="775">
        <f ca="1">SUMIF(CT_tram!$B$33:$G$3559,kl!B261,CT_tram!$G$33:$G$3559)</f>
        <v>0</v>
      </c>
      <c r="I261" s="775">
        <f ca="1">SUMIF(CT_tram!$B$34:$G$115,$B261,CT_tram!$G$34:$G$115)</f>
        <v>0</v>
      </c>
      <c r="J261" s="775">
        <f ca="1">SUMIF(CT_tram!$B$122:$G$204,$B261,CT_tram!$G$122:$G$204)</f>
        <v>0</v>
      </c>
      <c r="K261" s="775">
        <f ca="1">SUMIF(CT_tram!$B$211:$G$293,$B261,CT_tram!$G$211:$G$293)</f>
        <v>0</v>
      </c>
      <c r="L261" s="775">
        <f ca="1">SUMIF(CT_tram!$B$300:$G$374,$B261,CT_tram!$G$300:$G$374)</f>
        <v>0</v>
      </c>
      <c r="M261" s="775">
        <f ca="1">SUMIF(CT_tram!$B$381:$G$471,$B261,CT_tram!$G$381:$G$471)</f>
        <v>0</v>
      </c>
      <c r="N261" s="775">
        <f ca="1">SUMIF(CT_tram!$B$478:$G$560,$B261,CT_tram!$G$478:$G$560)</f>
        <v>0</v>
      </c>
      <c r="O261" s="775">
        <f ca="1">SUMIF(CT_tram!$B$567:$G$653,$B261,CT_tram!$G$567:$G$653)</f>
        <v>0</v>
      </c>
      <c r="P261" s="775">
        <f ca="1">SUMIF(CT_tram!$B$661:$G$738,$B261,CT_tram!$G$661:$G$738)</f>
        <v>0</v>
      </c>
      <c r="Q261" s="775">
        <f ca="1">SUMIF(CT_tram!$B$745:$G$899,$B261,CT_tram!$G$745:$G$899)</f>
        <v>0</v>
      </c>
      <c r="R261" s="775">
        <f ca="1">SUMIF(CT_tram!$B$907:$G$995,$B261,CT_tram!$G$907:$G$995)</f>
        <v>0</v>
      </c>
      <c r="S261" s="775"/>
      <c r="T261" s="775">
        <f ca="1">SUMIF(CT_tram!$B$1004:$G$1097,B261,CT_tram!$G$1004:$G$1097)</f>
        <v>0</v>
      </c>
      <c r="U261" s="775"/>
      <c r="V261" s="775">
        <f ca="1">SUMIF(CT_tram!$B$1226:$G$1352,kl!B261,CT_tram!$G$1226:$G$1352)</f>
        <v>0</v>
      </c>
      <c r="W261" s="780">
        <f ca="1">SUMIF(CT_tram!$B$1105:$G$1219,kl!B261,CT_tram!$G$1105:$G$1219)</f>
        <v>0</v>
      </c>
      <c r="X261" s="775">
        <f ca="1">SUMIF(CT_tram!$B$1359:$G$1504,kl!B261,CT_tram!$G$1359:$G$1504)</f>
        <v>0</v>
      </c>
      <c r="Y261" s="775">
        <f ca="1">SUMIF(CT_tram!$B$1511:$G$1625,kl!B261,CT_tram!$G$1511:$G$1625)</f>
        <v>0</v>
      </c>
      <c r="Z261" s="775">
        <f ca="1">SUMIF(CT_tram!$B$1632:$G$2211,kl!B261,CT_tram!$G$1632:$G$2211)</f>
        <v>0</v>
      </c>
      <c r="AA261" s="775">
        <f ca="1">SUMIF(CT_tram!$B$2243:$G$2384,kl!B261,CT_tram!$G$2243:$G$2384)</f>
        <v>0</v>
      </c>
      <c r="AB261" s="775">
        <f ca="1">SUMIF(CT_tram!$B$2391:$G$2563,kl!B261,CT_tram!$G$2391:$G$2563)</f>
        <v>0</v>
      </c>
      <c r="AC261" s="775">
        <f ca="1">SUMIF(chitiet!$B$13:$N$2352,kl!$B261,chitiet!$I$13:$I$2352)</f>
        <v>0</v>
      </c>
      <c r="AD261" s="775">
        <f ca="1">SUMIF(chitiet!$B$13:$N$2352,kl!$B261,chitiet!$J$13:$J$2352)</f>
        <v>0</v>
      </c>
      <c r="AE261" s="775">
        <f ca="1">SUMIF(chitiet!$B$13:$N$2352,kl!$B261,chitiet!$K$13:$K$2352)</f>
        <v>0</v>
      </c>
      <c r="AF261" s="775">
        <f ca="1">SUMIF(chitiet!$B$13:$N$2352,kl!$B261,chitiet!$L$13:$L$2352)</f>
        <v>0</v>
      </c>
      <c r="AG261" s="775">
        <f ca="1">SUMIF(chitiet!$B$13:$N$2352,kl!$B261,chitiet!$M$13)</f>
        <v>0</v>
      </c>
      <c r="AH261" s="775">
        <f ca="1">SUMIF(chitiet!$B$13:$N$2352,kl!$B261,chitiet!$N$13:$N$2352)</f>
        <v>0</v>
      </c>
      <c r="AI261" s="775">
        <f ca="1">SUMIF(chitiet!$B$13:$N$2352,kl!$B261,chitiet!$O$13:$O$2352)</f>
        <v>0</v>
      </c>
      <c r="AJ261" s="775">
        <f ca="1">SUMIF('Cap ngam'!$B$631:$G$723,kl!$B261,'Cap ngam'!$G$631:$G$723)</f>
        <v>0</v>
      </c>
      <c r="AK261" s="775">
        <f ca="1">SUMIF('Cap ngam'!$B$403:$G$628,kl!$B261,'Cap ngam'!G$403:G$628)</f>
        <v>0</v>
      </c>
      <c r="AL261" s="775">
        <f ca="1">SUMIF('Cap ngam'!B$16:G$400,kl!$B261,'Cap ngam'!G$16:G$400)</f>
        <v>0</v>
      </c>
      <c r="AM261" s="776">
        <v>1</v>
      </c>
      <c r="AN261" s="775">
        <f t="shared" ca="1" si="133"/>
        <v>0</v>
      </c>
      <c r="AO261" s="775">
        <f t="shared" ca="1" si="134"/>
        <v>0</v>
      </c>
      <c r="AP261" s="775">
        <f t="shared" ca="1" si="135"/>
        <v>0</v>
      </c>
      <c r="AQ261" s="775">
        <f t="shared" ca="1" si="136"/>
        <v>0</v>
      </c>
      <c r="AR261" s="775">
        <f t="shared" ca="1" si="137"/>
        <v>0</v>
      </c>
      <c r="AS261" s="775">
        <f t="shared" ca="1" si="138"/>
        <v>0</v>
      </c>
      <c r="AT261" s="775">
        <f t="shared" ca="1" si="139"/>
        <v>0</v>
      </c>
      <c r="AU261" s="775">
        <f t="shared" ca="1" si="140"/>
        <v>0</v>
      </c>
      <c r="AV261" s="775">
        <f t="shared" ca="1" si="141"/>
        <v>0</v>
      </c>
      <c r="AW261" s="775">
        <f t="shared" ca="1" si="142"/>
        <v>0</v>
      </c>
      <c r="AX261" s="775">
        <f t="shared" si="143"/>
        <v>0</v>
      </c>
      <c r="AY261" s="775">
        <f t="shared" ca="1" si="144"/>
        <v>0</v>
      </c>
      <c r="AZ261" s="775">
        <f t="shared" si="145"/>
        <v>0</v>
      </c>
      <c r="BA261" s="775">
        <f t="shared" ca="1" si="126"/>
        <v>0</v>
      </c>
      <c r="BB261" s="775">
        <f t="shared" ca="1" si="127"/>
        <v>0</v>
      </c>
      <c r="BC261" s="775">
        <f t="shared" ca="1" si="128"/>
        <v>0</v>
      </c>
      <c r="BD261" s="775">
        <f t="shared" ca="1" si="129"/>
        <v>0</v>
      </c>
      <c r="BE261" s="775">
        <f t="shared" ca="1" si="130"/>
        <v>0</v>
      </c>
      <c r="BF261" s="775">
        <f t="shared" ca="1" si="131"/>
        <v>0</v>
      </c>
      <c r="BG261" s="775">
        <f t="shared" ca="1" si="132"/>
        <v>0</v>
      </c>
      <c r="BH261" s="775">
        <f t="shared" ca="1" si="146"/>
        <v>0</v>
      </c>
      <c r="BI261" s="775">
        <f t="shared" ca="1" si="147"/>
        <v>0</v>
      </c>
      <c r="BJ261" s="775">
        <f t="shared" ca="1" si="148"/>
        <v>0</v>
      </c>
      <c r="BK261" s="775">
        <f t="shared" ca="1" si="149"/>
        <v>0</v>
      </c>
      <c r="BL261" s="775">
        <f t="shared" ca="1" si="150"/>
        <v>0</v>
      </c>
      <c r="BM261" s="775">
        <f t="shared" ca="1" si="151"/>
        <v>0</v>
      </c>
      <c r="BN261" s="775">
        <f t="shared" ca="1" si="152"/>
        <v>0</v>
      </c>
      <c r="BO261" s="775">
        <f t="shared" ca="1" si="153"/>
        <v>0</v>
      </c>
      <c r="BP261" s="775">
        <f t="shared" ca="1" si="154"/>
        <v>0</v>
      </c>
      <c r="BQ261" s="775">
        <f t="shared" ca="1" si="168"/>
        <v>0</v>
      </c>
      <c r="BR261" s="775">
        <f t="shared" ca="1" si="155"/>
        <v>0</v>
      </c>
    </row>
    <row r="262" spans="1:70">
      <c r="A262" s="767" t="str">
        <f t="shared" ca="1" si="166"/>
        <v/>
      </c>
      <c r="B262" s="767" t="s">
        <v>1285</v>
      </c>
      <c r="C262" s="188" t="str">
        <f ca="1">IF(F262=0,"",COUNTIF($F$78:$F268,"&gt;0"))</f>
        <v/>
      </c>
      <c r="D262" s="778" t="str">
        <f>VLOOKUP($B262,dongia1,DG!$C$5,)</f>
        <v>Khóa néo dây 5U-4mm (185-240mm2)</v>
      </c>
      <c r="E262" s="555" t="str">
        <f>VLOOKUP($B262,dongia1,DG!$D$5,)</f>
        <v>cái</v>
      </c>
      <c r="F262" s="779">
        <f t="shared" ca="1" si="165"/>
        <v>0</v>
      </c>
      <c r="G262" s="775">
        <f t="shared" ca="1" si="167"/>
        <v>0</v>
      </c>
      <c r="H262" s="775">
        <f ca="1">SUMIF(CT_tram!$B$33:$G$3559,kl!B262,CT_tram!$G$33:$G$3559)</f>
        <v>0</v>
      </c>
      <c r="I262" s="775">
        <f ca="1">SUMIF(CT_tram!$B$34:$G$115,$B262,CT_tram!$G$34:$G$115)</f>
        <v>0</v>
      </c>
      <c r="J262" s="775">
        <f ca="1">SUMIF(CT_tram!$B$122:$G$204,$B262,CT_tram!$G$122:$G$204)</f>
        <v>0</v>
      </c>
      <c r="K262" s="775">
        <f ca="1">SUMIF(CT_tram!$B$211:$G$293,$B262,CT_tram!$G$211:$G$293)</f>
        <v>0</v>
      </c>
      <c r="L262" s="775">
        <f ca="1">SUMIF(CT_tram!$B$300:$G$374,$B262,CT_tram!$G$300:$G$374)</f>
        <v>0</v>
      </c>
      <c r="M262" s="775">
        <f ca="1">SUMIF(CT_tram!$B$381:$G$471,$B262,CT_tram!$G$381:$G$471)</f>
        <v>0</v>
      </c>
      <c r="N262" s="775">
        <f ca="1">SUMIF(CT_tram!$B$478:$G$560,$B262,CT_tram!$G$478:$G$560)</f>
        <v>0</v>
      </c>
      <c r="O262" s="775">
        <f ca="1">SUMIF(CT_tram!$B$567:$G$653,$B262,CT_tram!$G$567:$G$653)</f>
        <v>0</v>
      </c>
      <c r="P262" s="775">
        <f ca="1">SUMIF(CT_tram!$B$661:$G$738,$B262,CT_tram!$G$661:$G$738)</f>
        <v>0</v>
      </c>
      <c r="Q262" s="775">
        <f ca="1">SUMIF(CT_tram!$B$745:$G$899,$B262,CT_tram!$G$745:$G$899)</f>
        <v>0</v>
      </c>
      <c r="R262" s="775">
        <f ca="1">SUMIF(CT_tram!$B$907:$G$995,$B262,CT_tram!$G$907:$G$995)</f>
        <v>0</v>
      </c>
      <c r="S262" s="775"/>
      <c r="T262" s="775">
        <f ca="1">SUMIF(CT_tram!$B$1004:$G$1097,B262,CT_tram!$G$1004:$G$1097)</f>
        <v>0</v>
      </c>
      <c r="U262" s="775"/>
      <c r="V262" s="775">
        <f ca="1">SUMIF(CT_tram!$B$1226:$G$1352,kl!B262,CT_tram!$G$1226:$G$1352)</f>
        <v>0</v>
      </c>
      <c r="W262" s="780">
        <f ca="1">SUMIF(CT_tram!$B$1105:$G$1219,kl!B262,CT_tram!$G$1105:$G$1219)</f>
        <v>0</v>
      </c>
      <c r="X262" s="775">
        <f ca="1">SUMIF(CT_tram!$B$1359:$G$1504,kl!B262,CT_tram!$G$1359:$G$1504)</f>
        <v>0</v>
      </c>
      <c r="Y262" s="775">
        <f ca="1">SUMIF(CT_tram!$B$1511:$G$1625,kl!B262,CT_tram!$G$1511:$G$1625)</f>
        <v>0</v>
      </c>
      <c r="Z262" s="775">
        <f ca="1">SUMIF(CT_tram!$B$1632:$G$2211,kl!B262,CT_tram!$G$1632:$G$2211)</f>
        <v>0</v>
      </c>
      <c r="AA262" s="775">
        <f ca="1">SUMIF(CT_tram!$B$2243:$G$2384,kl!B262,CT_tram!$G$2243:$G$2384)</f>
        <v>0</v>
      </c>
      <c r="AB262" s="775">
        <f ca="1">SUMIF(CT_tram!$B$2391:$G$2563,kl!B262,CT_tram!$G$2391:$G$2563)</f>
        <v>0</v>
      </c>
      <c r="AC262" s="775">
        <f ca="1">SUMIF(chitiet!$B$13:$N$2352,kl!$B262,chitiet!$I$13:$I$2352)</f>
        <v>0</v>
      </c>
      <c r="AD262" s="775">
        <f ca="1">SUMIF(chitiet!$B$13:$N$2352,kl!$B262,chitiet!$J$13:$J$2352)</f>
        <v>0</v>
      </c>
      <c r="AE262" s="775">
        <f ca="1">SUMIF(chitiet!$B$13:$N$2352,kl!$B262,chitiet!$K$13:$K$2352)</f>
        <v>0</v>
      </c>
      <c r="AF262" s="775">
        <f ca="1">SUMIF(chitiet!$B$13:$N$2352,kl!$B262,chitiet!$L$13:$L$2352)</f>
        <v>0</v>
      </c>
      <c r="AG262" s="775">
        <f ca="1">SUMIF(chitiet!$B$13:$N$2352,kl!$B262,chitiet!$M$13)</f>
        <v>0</v>
      </c>
      <c r="AH262" s="775">
        <f ca="1">SUMIF(chitiet!$B$13:$N$2352,kl!$B262,chitiet!$N$13:$N$2352)</f>
        <v>0</v>
      </c>
      <c r="AI262" s="775">
        <f ca="1">SUMIF(chitiet!$B$13:$N$2352,kl!$B262,chitiet!$O$13:$O$2352)</f>
        <v>0</v>
      </c>
      <c r="AJ262" s="775">
        <f ca="1">SUMIF('Cap ngam'!$B$631:$G$723,kl!$B262,'Cap ngam'!$G$631:$G$723)</f>
        <v>0</v>
      </c>
      <c r="AK262" s="775">
        <f ca="1">SUMIF('Cap ngam'!$B$403:$G$628,kl!$B262,'Cap ngam'!G$403:G$628)</f>
        <v>0</v>
      </c>
      <c r="AL262" s="775">
        <f ca="1">SUMIF('Cap ngam'!B$16:G$400,kl!$B262,'Cap ngam'!G$16:G$400)</f>
        <v>0</v>
      </c>
      <c r="AM262" s="776">
        <v>1</v>
      </c>
      <c r="AN262" s="775">
        <f t="shared" ca="1" si="133"/>
        <v>0</v>
      </c>
      <c r="AO262" s="775">
        <f t="shared" ca="1" si="134"/>
        <v>0</v>
      </c>
      <c r="AP262" s="775">
        <f t="shared" ca="1" si="135"/>
        <v>0</v>
      </c>
      <c r="AQ262" s="775">
        <f t="shared" ca="1" si="136"/>
        <v>0</v>
      </c>
      <c r="AR262" s="775">
        <f t="shared" ca="1" si="137"/>
        <v>0</v>
      </c>
      <c r="AS262" s="775">
        <f t="shared" ca="1" si="138"/>
        <v>0</v>
      </c>
      <c r="AT262" s="775">
        <f t="shared" ca="1" si="139"/>
        <v>0</v>
      </c>
      <c r="AU262" s="775">
        <f t="shared" ca="1" si="140"/>
        <v>0</v>
      </c>
      <c r="AV262" s="775">
        <f t="shared" ca="1" si="141"/>
        <v>0</v>
      </c>
      <c r="AW262" s="775">
        <f t="shared" ca="1" si="142"/>
        <v>0</v>
      </c>
      <c r="AX262" s="775">
        <f t="shared" si="143"/>
        <v>0</v>
      </c>
      <c r="AY262" s="775">
        <f t="shared" ca="1" si="144"/>
        <v>0</v>
      </c>
      <c r="AZ262" s="775">
        <f t="shared" si="145"/>
        <v>0</v>
      </c>
      <c r="BA262" s="775">
        <f t="shared" ca="1" si="126"/>
        <v>0</v>
      </c>
      <c r="BB262" s="775">
        <f t="shared" ca="1" si="127"/>
        <v>0</v>
      </c>
      <c r="BC262" s="775">
        <f t="shared" ca="1" si="128"/>
        <v>0</v>
      </c>
      <c r="BD262" s="775">
        <f t="shared" ca="1" si="129"/>
        <v>0</v>
      </c>
      <c r="BE262" s="775">
        <f t="shared" ca="1" si="130"/>
        <v>0</v>
      </c>
      <c r="BF262" s="775">
        <f t="shared" ca="1" si="131"/>
        <v>0</v>
      </c>
      <c r="BG262" s="775">
        <f t="shared" ca="1" si="132"/>
        <v>0</v>
      </c>
      <c r="BH262" s="775">
        <f t="shared" ca="1" si="146"/>
        <v>0</v>
      </c>
      <c r="BI262" s="775">
        <f t="shared" ca="1" si="147"/>
        <v>0</v>
      </c>
      <c r="BJ262" s="775">
        <f t="shared" ca="1" si="148"/>
        <v>0</v>
      </c>
      <c r="BK262" s="775">
        <f t="shared" ca="1" si="149"/>
        <v>0</v>
      </c>
      <c r="BL262" s="775">
        <f t="shared" ca="1" si="150"/>
        <v>0</v>
      </c>
      <c r="BM262" s="775">
        <f t="shared" ca="1" si="151"/>
        <v>0</v>
      </c>
      <c r="BN262" s="775">
        <f t="shared" ca="1" si="152"/>
        <v>0</v>
      </c>
      <c r="BO262" s="775">
        <f t="shared" ca="1" si="153"/>
        <v>0</v>
      </c>
      <c r="BP262" s="775">
        <f t="shared" ca="1" si="154"/>
        <v>0</v>
      </c>
      <c r="BQ262" s="775">
        <f t="shared" ca="1" si="168"/>
        <v>0</v>
      </c>
      <c r="BR262" s="775">
        <f t="shared" ca="1" si="155"/>
        <v>0</v>
      </c>
    </row>
    <row r="263" spans="1:70">
      <c r="A263" s="767" t="str">
        <f t="shared" ca="1" si="166"/>
        <v/>
      </c>
      <c r="B263" s="767" t="s">
        <v>1284</v>
      </c>
      <c r="C263" s="188" t="str">
        <f ca="1">IF(F263=0,"",COUNTIF($F$78:$F269,"&gt;0"))</f>
        <v/>
      </c>
      <c r="D263" s="778" t="str">
        <f>VLOOKUP($B263,dongia1,DG!$C$5,)</f>
        <v>Khóa néo dây cỡ dây 240</v>
      </c>
      <c r="E263" s="555" t="str">
        <f>VLOOKUP($B263,dongia1,DG!$D$5,)</f>
        <v>cái</v>
      </c>
      <c r="F263" s="779">
        <f t="shared" ca="1" si="165"/>
        <v>0</v>
      </c>
      <c r="G263" s="775">
        <f t="shared" ca="1" si="167"/>
        <v>0</v>
      </c>
      <c r="H263" s="775">
        <f ca="1">SUMIF(CT_tram!$B$33:$G$3559,kl!B263,CT_tram!$G$33:$G$3559)</f>
        <v>0</v>
      </c>
      <c r="I263" s="775">
        <f ca="1">SUMIF(CT_tram!$B$34:$G$115,$B263,CT_tram!$G$34:$G$115)</f>
        <v>0</v>
      </c>
      <c r="J263" s="775">
        <f ca="1">SUMIF(CT_tram!$B$122:$G$204,$B263,CT_tram!$G$122:$G$204)</f>
        <v>0</v>
      </c>
      <c r="K263" s="775">
        <f ca="1">SUMIF(CT_tram!$B$211:$G$293,$B263,CT_tram!$G$211:$G$293)</f>
        <v>0</v>
      </c>
      <c r="L263" s="775">
        <f ca="1">SUMIF(CT_tram!$B$300:$G$374,$B263,CT_tram!$G$300:$G$374)</f>
        <v>0</v>
      </c>
      <c r="M263" s="775">
        <f ca="1">SUMIF(CT_tram!$B$381:$G$471,$B263,CT_tram!$G$381:$G$471)</f>
        <v>0</v>
      </c>
      <c r="N263" s="775">
        <f ca="1">SUMIF(CT_tram!$B$478:$G$560,$B263,CT_tram!$G$478:$G$560)</f>
        <v>0</v>
      </c>
      <c r="O263" s="775">
        <f ca="1">SUMIF(CT_tram!$B$567:$G$653,$B263,CT_tram!$G$567:$G$653)</f>
        <v>0</v>
      </c>
      <c r="P263" s="775">
        <f ca="1">SUMIF(CT_tram!$B$661:$G$738,$B263,CT_tram!$G$661:$G$738)</f>
        <v>0</v>
      </c>
      <c r="Q263" s="775">
        <f ca="1">SUMIF(CT_tram!$B$745:$G$899,$B263,CT_tram!$G$745:$G$899)</f>
        <v>0</v>
      </c>
      <c r="R263" s="775">
        <f ca="1">SUMIF(CT_tram!$B$907:$G$995,$B263,CT_tram!$G$907:$G$995)</f>
        <v>0</v>
      </c>
      <c r="S263" s="775"/>
      <c r="T263" s="775">
        <f ca="1">SUMIF(CT_tram!$B$1004:$G$1097,B263,CT_tram!$G$1004:$G$1097)</f>
        <v>0</v>
      </c>
      <c r="U263" s="775"/>
      <c r="V263" s="775">
        <f ca="1">SUMIF(CT_tram!$B$1226:$G$1352,kl!B263,CT_tram!$G$1226:$G$1352)</f>
        <v>0</v>
      </c>
      <c r="W263" s="780">
        <f ca="1">SUMIF(CT_tram!$B$1105:$G$1219,kl!B263,CT_tram!$G$1105:$G$1219)</f>
        <v>0</v>
      </c>
      <c r="X263" s="775">
        <f ca="1">SUMIF(CT_tram!$B$1359:$G$1504,kl!B263,CT_tram!$G$1359:$G$1504)</f>
        <v>0</v>
      </c>
      <c r="Y263" s="775">
        <f ca="1">SUMIF(CT_tram!$B$1511:$G$1625,kl!B263,CT_tram!$G$1511:$G$1625)</f>
        <v>0</v>
      </c>
      <c r="Z263" s="775">
        <f ca="1">SUMIF(CT_tram!$B$1632:$G$2211,kl!B263,CT_tram!$G$1632:$G$2211)</f>
        <v>0</v>
      </c>
      <c r="AA263" s="775">
        <f ca="1">SUMIF(CT_tram!$B$2243:$G$2384,kl!B263,CT_tram!$G$2243:$G$2384)</f>
        <v>0</v>
      </c>
      <c r="AB263" s="775">
        <f ca="1">SUMIF(CT_tram!$B$2391:$G$2563,kl!B263,CT_tram!$G$2391:$G$2563)</f>
        <v>0</v>
      </c>
      <c r="AC263" s="775">
        <f ca="1">SUMIF(chitiet!$B$13:$N$2352,kl!$B263,chitiet!$I$13:$I$2352)</f>
        <v>0</v>
      </c>
      <c r="AD263" s="775">
        <f ca="1">SUMIF(chitiet!$B$13:$N$2352,kl!$B263,chitiet!$J$13:$J$2352)</f>
        <v>0</v>
      </c>
      <c r="AE263" s="775">
        <f ca="1">SUMIF(chitiet!$B$13:$N$2352,kl!$B263,chitiet!$K$13:$K$2352)</f>
        <v>0</v>
      </c>
      <c r="AF263" s="775">
        <f ca="1">SUMIF(chitiet!$B$13:$N$2352,kl!$B263,chitiet!$L$13:$L$2352)</f>
        <v>0</v>
      </c>
      <c r="AG263" s="775">
        <f ca="1">SUMIF(chitiet!$B$13:$N$2352,kl!$B263,chitiet!$M$13)</f>
        <v>0</v>
      </c>
      <c r="AH263" s="775">
        <f ca="1">SUMIF(chitiet!$B$13:$N$2352,kl!$B263,chitiet!$N$13:$N$2352)</f>
        <v>0</v>
      </c>
      <c r="AI263" s="775">
        <f ca="1">SUMIF(chitiet!$B$13:$N$2352,kl!$B263,chitiet!$O$13:$O$2352)</f>
        <v>0</v>
      </c>
      <c r="AJ263" s="775">
        <f ca="1">SUMIF('Cap ngam'!$B$631:$G$723,kl!$B263,'Cap ngam'!$G$631:$G$723)</f>
        <v>0</v>
      </c>
      <c r="AK263" s="775">
        <f ca="1">SUMIF('Cap ngam'!$B$403:$G$628,kl!$B263,'Cap ngam'!G$403:G$628)</f>
        <v>0</v>
      </c>
      <c r="AL263" s="775">
        <f ca="1">SUMIF('Cap ngam'!B$16:G$400,kl!$B263,'Cap ngam'!G$16:G$400)</f>
        <v>0</v>
      </c>
      <c r="AM263" s="776">
        <v>1</v>
      </c>
      <c r="AN263" s="775">
        <f t="shared" ca="1" si="133"/>
        <v>0</v>
      </c>
      <c r="AO263" s="775">
        <f t="shared" ca="1" si="134"/>
        <v>0</v>
      </c>
      <c r="AP263" s="775">
        <f t="shared" ca="1" si="135"/>
        <v>0</v>
      </c>
      <c r="AQ263" s="775">
        <f t="shared" ca="1" si="136"/>
        <v>0</v>
      </c>
      <c r="AR263" s="775">
        <f t="shared" ca="1" si="137"/>
        <v>0</v>
      </c>
      <c r="AS263" s="775">
        <f t="shared" ca="1" si="138"/>
        <v>0</v>
      </c>
      <c r="AT263" s="775">
        <f t="shared" ca="1" si="139"/>
        <v>0</v>
      </c>
      <c r="AU263" s="775">
        <f t="shared" ca="1" si="140"/>
        <v>0</v>
      </c>
      <c r="AV263" s="775">
        <f t="shared" ca="1" si="141"/>
        <v>0</v>
      </c>
      <c r="AW263" s="775">
        <f t="shared" ca="1" si="142"/>
        <v>0</v>
      </c>
      <c r="AX263" s="775">
        <f t="shared" si="143"/>
        <v>0</v>
      </c>
      <c r="AY263" s="775">
        <f t="shared" ca="1" si="144"/>
        <v>0</v>
      </c>
      <c r="AZ263" s="775">
        <f t="shared" si="145"/>
        <v>0</v>
      </c>
      <c r="BA263" s="775">
        <f t="shared" ca="1" si="126"/>
        <v>0</v>
      </c>
      <c r="BB263" s="775">
        <f t="shared" ca="1" si="127"/>
        <v>0</v>
      </c>
      <c r="BC263" s="775">
        <f t="shared" ca="1" si="128"/>
        <v>0</v>
      </c>
      <c r="BD263" s="775">
        <f t="shared" ca="1" si="129"/>
        <v>0</v>
      </c>
      <c r="BE263" s="775">
        <f t="shared" ca="1" si="130"/>
        <v>0</v>
      </c>
      <c r="BF263" s="775">
        <f t="shared" ca="1" si="131"/>
        <v>0</v>
      </c>
      <c r="BG263" s="775">
        <f t="shared" ca="1" si="132"/>
        <v>0</v>
      </c>
      <c r="BH263" s="775">
        <f t="shared" ca="1" si="146"/>
        <v>0</v>
      </c>
      <c r="BI263" s="775">
        <f t="shared" ca="1" si="147"/>
        <v>0</v>
      </c>
      <c r="BJ263" s="775">
        <f t="shared" ca="1" si="148"/>
        <v>0</v>
      </c>
      <c r="BK263" s="775">
        <f t="shared" ca="1" si="149"/>
        <v>0</v>
      </c>
      <c r="BL263" s="775">
        <f t="shared" ca="1" si="150"/>
        <v>0</v>
      </c>
      <c r="BM263" s="775">
        <f t="shared" ca="1" si="151"/>
        <v>0</v>
      </c>
      <c r="BN263" s="775">
        <f t="shared" ca="1" si="152"/>
        <v>0</v>
      </c>
      <c r="BO263" s="775">
        <f t="shared" ca="1" si="153"/>
        <v>0</v>
      </c>
      <c r="BP263" s="775">
        <f t="shared" ca="1" si="154"/>
        <v>0</v>
      </c>
      <c r="BQ263" s="775">
        <f t="shared" ca="1" si="168"/>
        <v>0</v>
      </c>
      <c r="BR263" s="775">
        <f t="shared" ca="1" si="155"/>
        <v>0</v>
      </c>
    </row>
    <row r="264" spans="1:70">
      <c r="A264" s="767" t="str">
        <f t="shared" ca="1" si="162"/>
        <v/>
      </c>
      <c r="B264" s="767" t="s">
        <v>1154</v>
      </c>
      <c r="C264" s="188" t="str">
        <f ca="1">IF(F264=0,"",COUNTIF($F$78:$F264,"&gt;0"))</f>
        <v/>
      </c>
      <c r="D264" s="778" t="str">
        <f>VLOOKUP($B264,dongia1,DG!$C$5,)</f>
        <v>Khóa đỡ dây cỡ dây 50</v>
      </c>
      <c r="E264" s="555" t="str">
        <f>VLOOKUP($B264,dongia1,DG!$D$5,)</f>
        <v>cái</v>
      </c>
      <c r="F264" s="779">
        <f t="shared" ca="1" si="165"/>
        <v>0</v>
      </c>
      <c r="G264" s="775">
        <f t="shared" ca="1" si="121"/>
        <v>0</v>
      </c>
      <c r="H264" s="775">
        <f ca="1">SUMIF(CT_tram!$B$33:$G$3559,kl!B264,CT_tram!$G$33:$G$3559)</f>
        <v>0</v>
      </c>
      <c r="I264" s="775">
        <f ca="1">SUMIF(CT_tram!$B$34:$G$115,$B264,CT_tram!$G$34:$G$115)</f>
        <v>0</v>
      </c>
      <c r="J264" s="775">
        <f ca="1">SUMIF(CT_tram!$B$122:$G$204,$B264,CT_tram!$G$122:$G$204)</f>
        <v>0</v>
      </c>
      <c r="K264" s="775">
        <f ca="1">SUMIF(CT_tram!$B$211:$G$293,$B264,CT_tram!$G$211:$G$293)</f>
        <v>0</v>
      </c>
      <c r="L264" s="775">
        <f ca="1">SUMIF(CT_tram!$B$300:$G$374,$B264,CT_tram!$G$300:$G$374)</f>
        <v>0</v>
      </c>
      <c r="M264" s="775">
        <f ca="1">SUMIF(CT_tram!$B$381:$G$471,$B264,CT_tram!$G$381:$G$471)</f>
        <v>0</v>
      </c>
      <c r="N264" s="775">
        <f ca="1">SUMIF(CT_tram!$B$478:$G$560,$B264,CT_tram!$G$478:$G$560)</f>
        <v>0</v>
      </c>
      <c r="O264" s="775">
        <f ca="1">SUMIF(CT_tram!$B$567:$G$653,$B264,CT_tram!$G$567:$G$653)</f>
        <v>0</v>
      </c>
      <c r="P264" s="775">
        <f ca="1">SUMIF(CT_tram!$B$661:$G$738,$B264,CT_tram!$G$661:$G$738)</f>
        <v>0</v>
      </c>
      <c r="Q264" s="775">
        <f ca="1">SUMIF(CT_tram!$B$745:$G$899,$B264,CT_tram!$G$745:$G$899)</f>
        <v>0</v>
      </c>
      <c r="R264" s="775">
        <f ca="1">SUMIF(CT_tram!$B$907:$G$995,$B264,CT_tram!$G$907:$G$995)</f>
        <v>0</v>
      </c>
      <c r="S264" s="775"/>
      <c r="T264" s="775">
        <f ca="1">SUMIF(CT_tram!$B$1004:$G$1097,B264,CT_tram!$G$1004:$G$1097)</f>
        <v>0</v>
      </c>
      <c r="U264" s="775"/>
      <c r="V264" s="775">
        <f ca="1">SUMIF(CT_tram!$B$1226:$G$1352,kl!B264,CT_tram!$G$1226:$G$1352)</f>
        <v>0</v>
      </c>
      <c r="W264" s="780">
        <f ca="1">SUMIF(CT_tram!$B$1105:$G$1219,kl!B264,CT_tram!$G$1105:$G$1219)</f>
        <v>0</v>
      </c>
      <c r="X264" s="775">
        <f ca="1">SUMIF(CT_tram!$B$1359:$G$1504,kl!B264,CT_tram!$G$1359:$G$1504)</f>
        <v>0</v>
      </c>
      <c r="Y264" s="775">
        <f ca="1">SUMIF(CT_tram!$B$1511:$G$1625,kl!B264,CT_tram!$G$1511:$G$1625)</f>
        <v>0</v>
      </c>
      <c r="Z264" s="775">
        <f ca="1">SUMIF(CT_tram!$B$1632:$G$2211,kl!B264,CT_tram!$G$1632:$G$2211)</f>
        <v>0</v>
      </c>
      <c r="AA264" s="775">
        <f ca="1">SUMIF(CT_tram!$B$2243:$G$2384,kl!B264,CT_tram!$G$2243:$G$2384)</f>
        <v>0</v>
      </c>
      <c r="AB264" s="775">
        <f ca="1">SUMIF(CT_tram!$B$2391:$G$2563,kl!B264,CT_tram!$G$2391:$G$2563)</f>
        <v>0</v>
      </c>
      <c r="AC264" s="775">
        <f ca="1">SUMIF(chitiet!$B$13:$N$2352,kl!$B264,chitiet!$I$13:$I$2352)</f>
        <v>0</v>
      </c>
      <c r="AD264" s="775">
        <f ca="1">SUMIF(chitiet!$B$13:$N$2352,kl!$B264,chitiet!$J$13:$J$2352)</f>
        <v>0</v>
      </c>
      <c r="AE264" s="775">
        <f ca="1">SUMIF(chitiet!$B$13:$N$2352,kl!$B264,chitiet!$K$13:$K$2352)</f>
        <v>0</v>
      </c>
      <c r="AF264" s="775">
        <f ca="1">SUMIF(chitiet!$B$13:$N$2352,kl!$B264,chitiet!$L$13:$L$2352)</f>
        <v>0</v>
      </c>
      <c r="AG264" s="775">
        <f ca="1">SUMIF(chitiet!$B$13:$N$2352,kl!$B264,chitiet!$M$13)</f>
        <v>0</v>
      </c>
      <c r="AH264" s="775">
        <f ca="1">SUMIF(chitiet!$B$13:$N$2352,kl!$B264,chitiet!$N$13:$N$2352)</f>
        <v>0</v>
      </c>
      <c r="AI264" s="775">
        <f ca="1">SUMIF(chitiet!$B$13:$N$2352,kl!$B264,chitiet!$O$13:$O$2352)</f>
        <v>0</v>
      </c>
      <c r="AJ264" s="775">
        <f ca="1">SUMIF('Cap ngam'!$B$631:$G$723,kl!$B264,'Cap ngam'!$G$631:$G$723)</f>
        <v>0</v>
      </c>
      <c r="AK264" s="775">
        <f ca="1">SUMIF('Cap ngam'!$B$403:$G$628,kl!$B264,'Cap ngam'!G$403:G$628)</f>
        <v>0</v>
      </c>
      <c r="AL264" s="775">
        <f ca="1">SUMIF('Cap ngam'!B$16:G$400,kl!$B264,'Cap ngam'!G$16:G$400)</f>
        <v>0</v>
      </c>
      <c r="AM264" s="776">
        <v>0.5</v>
      </c>
      <c r="AN264" s="775">
        <f t="shared" ca="1" si="133"/>
        <v>0</v>
      </c>
      <c r="AO264" s="775">
        <f t="shared" ca="1" si="134"/>
        <v>0</v>
      </c>
      <c r="AP264" s="775">
        <f t="shared" ca="1" si="135"/>
        <v>0</v>
      </c>
      <c r="AQ264" s="775">
        <f t="shared" ca="1" si="136"/>
        <v>0</v>
      </c>
      <c r="AR264" s="775">
        <f t="shared" ca="1" si="137"/>
        <v>0</v>
      </c>
      <c r="AS264" s="775">
        <f t="shared" ca="1" si="138"/>
        <v>0</v>
      </c>
      <c r="AT264" s="775">
        <f t="shared" ca="1" si="139"/>
        <v>0</v>
      </c>
      <c r="AU264" s="775">
        <f t="shared" ca="1" si="140"/>
        <v>0</v>
      </c>
      <c r="AV264" s="775">
        <f t="shared" ca="1" si="141"/>
        <v>0</v>
      </c>
      <c r="AW264" s="775">
        <f t="shared" ca="1" si="142"/>
        <v>0</v>
      </c>
      <c r="AX264" s="775">
        <f t="shared" si="143"/>
        <v>0</v>
      </c>
      <c r="AY264" s="775">
        <f t="shared" ca="1" si="144"/>
        <v>0</v>
      </c>
      <c r="AZ264" s="775">
        <f t="shared" si="145"/>
        <v>0</v>
      </c>
      <c r="BA264" s="775">
        <f t="shared" ca="1" si="126"/>
        <v>0</v>
      </c>
      <c r="BB264" s="775">
        <f t="shared" ca="1" si="127"/>
        <v>0</v>
      </c>
      <c r="BC264" s="775">
        <f t="shared" ca="1" si="128"/>
        <v>0</v>
      </c>
      <c r="BD264" s="775">
        <f t="shared" ca="1" si="129"/>
        <v>0</v>
      </c>
      <c r="BE264" s="775">
        <f t="shared" ca="1" si="130"/>
        <v>0</v>
      </c>
      <c r="BF264" s="775">
        <f t="shared" ca="1" si="131"/>
        <v>0</v>
      </c>
      <c r="BG264" s="775">
        <f t="shared" ca="1" si="132"/>
        <v>0</v>
      </c>
      <c r="BH264" s="775">
        <f t="shared" ca="1" si="146"/>
        <v>0</v>
      </c>
      <c r="BI264" s="775">
        <f t="shared" ca="1" si="147"/>
        <v>0</v>
      </c>
      <c r="BJ264" s="775">
        <f t="shared" ca="1" si="148"/>
        <v>0</v>
      </c>
      <c r="BK264" s="775">
        <f t="shared" ca="1" si="149"/>
        <v>0</v>
      </c>
      <c r="BL264" s="775">
        <f t="shared" ca="1" si="150"/>
        <v>0</v>
      </c>
      <c r="BM264" s="775">
        <f t="shared" ca="1" si="151"/>
        <v>0</v>
      </c>
      <c r="BN264" s="775">
        <f t="shared" ca="1" si="152"/>
        <v>0</v>
      </c>
      <c r="BO264" s="775">
        <f t="shared" ca="1" si="153"/>
        <v>0</v>
      </c>
      <c r="BP264" s="775">
        <f t="shared" ca="1" si="154"/>
        <v>0</v>
      </c>
      <c r="BQ264" s="775">
        <f t="shared" ca="1" si="157"/>
        <v>0</v>
      </c>
      <c r="BR264" s="775">
        <f t="shared" ca="1" si="155"/>
        <v>0</v>
      </c>
    </row>
    <row r="265" spans="1:70">
      <c r="A265" s="767" t="str">
        <f t="shared" ca="1" si="162"/>
        <v/>
      </c>
      <c r="B265" s="767" t="s">
        <v>2030</v>
      </c>
      <c r="C265" s="188" t="str">
        <f ca="1">IF(F265=0,"",COUNTIF($F$78:$F265,"&gt;0"))</f>
        <v/>
      </c>
      <c r="D265" s="778" t="str">
        <f>VLOOKUP($B265,dongia1,DG!$C$5,)</f>
        <v>Khóa đỡ dây cỡ dây 70</v>
      </c>
      <c r="E265" s="555" t="str">
        <f>VLOOKUP($B265,dongia1,DG!$D$5,)</f>
        <v>cái</v>
      </c>
      <c r="F265" s="779">
        <f t="shared" ca="1" si="165"/>
        <v>0</v>
      </c>
      <c r="G265" s="775">
        <f t="shared" ca="1" si="121"/>
        <v>0</v>
      </c>
      <c r="H265" s="775">
        <f ca="1">SUMIF(CT_tram!$B$33:$G$3559,kl!B265,CT_tram!$G$33:$G$3559)</f>
        <v>0</v>
      </c>
      <c r="I265" s="775">
        <f ca="1">SUMIF(CT_tram!$B$34:$G$115,$B265,CT_tram!$G$34:$G$115)</f>
        <v>0</v>
      </c>
      <c r="J265" s="775">
        <f ca="1">SUMIF(CT_tram!$B$122:$G$204,$B265,CT_tram!$G$122:$G$204)</f>
        <v>0</v>
      </c>
      <c r="K265" s="775">
        <f ca="1">SUMIF(CT_tram!$B$211:$G$293,$B265,CT_tram!$G$211:$G$293)</f>
        <v>0</v>
      </c>
      <c r="L265" s="775">
        <f ca="1">SUMIF(CT_tram!$B$300:$G$374,$B265,CT_tram!$G$300:$G$374)</f>
        <v>0</v>
      </c>
      <c r="M265" s="775">
        <f ca="1">SUMIF(CT_tram!$B$381:$G$471,$B265,CT_tram!$G$381:$G$471)</f>
        <v>0</v>
      </c>
      <c r="N265" s="775">
        <f ca="1">SUMIF(CT_tram!$B$478:$G$560,$B265,CT_tram!$G$478:$G$560)</f>
        <v>0</v>
      </c>
      <c r="O265" s="775">
        <f ca="1">SUMIF(CT_tram!$B$567:$G$653,$B265,CT_tram!$G$567:$G$653)</f>
        <v>0</v>
      </c>
      <c r="P265" s="775">
        <f ca="1">SUMIF(CT_tram!$B$661:$G$738,$B265,CT_tram!$G$661:$G$738)</f>
        <v>0</v>
      </c>
      <c r="Q265" s="775">
        <f ca="1">SUMIF(CT_tram!$B$745:$G$899,$B265,CT_tram!$G$745:$G$899)</f>
        <v>0</v>
      </c>
      <c r="R265" s="775">
        <f ca="1">SUMIF(CT_tram!$B$907:$G$995,$B265,CT_tram!$G$907:$G$995)</f>
        <v>0</v>
      </c>
      <c r="S265" s="775"/>
      <c r="T265" s="775">
        <f ca="1">SUMIF(CT_tram!$B$1004:$G$1097,B265,CT_tram!$G$1004:$G$1097)</f>
        <v>0</v>
      </c>
      <c r="U265" s="775"/>
      <c r="V265" s="775">
        <f ca="1">SUMIF(CT_tram!$B$1226:$G$1352,kl!B265,CT_tram!$G$1226:$G$1352)</f>
        <v>0</v>
      </c>
      <c r="W265" s="780">
        <f ca="1">SUMIF(CT_tram!$B$1105:$G$1219,kl!B265,CT_tram!$G$1105:$G$1219)</f>
        <v>0</v>
      </c>
      <c r="X265" s="775">
        <f ca="1">SUMIF(CT_tram!$B$1359:$G$1504,kl!B265,CT_tram!$G$1359:$G$1504)</f>
        <v>0</v>
      </c>
      <c r="Y265" s="775">
        <f ca="1">SUMIF(CT_tram!$B$1511:$G$1625,kl!B265,CT_tram!$G$1511:$G$1625)</f>
        <v>0</v>
      </c>
      <c r="Z265" s="775">
        <f ca="1">SUMIF(CT_tram!$B$1632:$G$2211,kl!B265,CT_tram!$G$1632:$G$2211)</f>
        <v>0</v>
      </c>
      <c r="AA265" s="775">
        <f ca="1">SUMIF(CT_tram!$B$2243:$G$2384,kl!B265,CT_tram!$G$2243:$G$2384)</f>
        <v>0</v>
      </c>
      <c r="AB265" s="775">
        <f ca="1">SUMIF(CT_tram!$B$2391:$G$2563,kl!B265,CT_tram!$G$2391:$G$2563)</f>
        <v>0</v>
      </c>
      <c r="AC265" s="775">
        <f ca="1">SUMIF(chitiet!$B$13:$N$2352,kl!$B265,chitiet!$I$13:$I$2352)</f>
        <v>0</v>
      </c>
      <c r="AD265" s="775">
        <f ca="1">SUMIF(chitiet!$B$13:$N$2352,kl!$B265,chitiet!$J$13:$J$2352)</f>
        <v>0</v>
      </c>
      <c r="AE265" s="775">
        <f ca="1">SUMIF(chitiet!$B$13:$N$2352,kl!$B265,chitiet!$K$13:$K$2352)</f>
        <v>0</v>
      </c>
      <c r="AF265" s="775">
        <f ca="1">SUMIF(chitiet!$B$13:$N$2352,kl!$B265,chitiet!$L$13:$L$2352)</f>
        <v>0</v>
      </c>
      <c r="AG265" s="775">
        <f ca="1">SUMIF(chitiet!$B$13:$N$2352,kl!$B265,chitiet!$M$13)</f>
        <v>0</v>
      </c>
      <c r="AH265" s="775">
        <f ca="1">SUMIF(chitiet!$B$13:$N$2352,kl!$B265,chitiet!$N$13:$N$2352)</f>
        <v>0</v>
      </c>
      <c r="AI265" s="775">
        <f ca="1">SUMIF(chitiet!$B$13:$N$2352,kl!$B265,chitiet!$O$13:$O$2352)</f>
        <v>0</v>
      </c>
      <c r="AJ265" s="775">
        <f ca="1">SUMIF('Cap ngam'!$B$631:$G$723,kl!$B265,'Cap ngam'!$G$631:$G$723)</f>
        <v>0</v>
      </c>
      <c r="AK265" s="775">
        <f ca="1">SUMIF('Cap ngam'!$B$403:$G$628,kl!$B265,'Cap ngam'!G$403:G$628)</f>
        <v>0</v>
      </c>
      <c r="AL265" s="775">
        <f ca="1">SUMIF('Cap ngam'!B$16:G$400,kl!$B265,'Cap ngam'!G$16:G$400)</f>
        <v>0</v>
      </c>
      <c r="AM265" s="776">
        <v>0.5</v>
      </c>
      <c r="AN265" s="775">
        <f t="shared" ca="1" si="133"/>
        <v>0</v>
      </c>
      <c r="AO265" s="775">
        <f t="shared" ca="1" si="134"/>
        <v>0</v>
      </c>
      <c r="AP265" s="775">
        <f t="shared" ca="1" si="135"/>
        <v>0</v>
      </c>
      <c r="AQ265" s="775">
        <f t="shared" ca="1" si="136"/>
        <v>0</v>
      </c>
      <c r="AR265" s="775">
        <f t="shared" ca="1" si="137"/>
        <v>0</v>
      </c>
      <c r="AS265" s="775">
        <f t="shared" ca="1" si="138"/>
        <v>0</v>
      </c>
      <c r="AT265" s="775">
        <f t="shared" ca="1" si="139"/>
        <v>0</v>
      </c>
      <c r="AU265" s="775">
        <f t="shared" ca="1" si="140"/>
        <v>0</v>
      </c>
      <c r="AV265" s="775">
        <f t="shared" ca="1" si="141"/>
        <v>0</v>
      </c>
      <c r="AW265" s="775">
        <f t="shared" ca="1" si="142"/>
        <v>0</v>
      </c>
      <c r="AX265" s="775">
        <f t="shared" si="143"/>
        <v>0</v>
      </c>
      <c r="AY265" s="775">
        <f t="shared" ca="1" si="144"/>
        <v>0</v>
      </c>
      <c r="AZ265" s="775">
        <f t="shared" si="145"/>
        <v>0</v>
      </c>
      <c r="BA265" s="775">
        <f t="shared" ca="1" si="126"/>
        <v>0</v>
      </c>
      <c r="BB265" s="775">
        <f t="shared" ca="1" si="127"/>
        <v>0</v>
      </c>
      <c r="BC265" s="775">
        <f t="shared" ca="1" si="128"/>
        <v>0</v>
      </c>
      <c r="BD265" s="775">
        <f t="shared" ca="1" si="129"/>
        <v>0</v>
      </c>
      <c r="BE265" s="775">
        <f t="shared" ca="1" si="130"/>
        <v>0</v>
      </c>
      <c r="BF265" s="775">
        <f t="shared" ca="1" si="131"/>
        <v>0</v>
      </c>
      <c r="BG265" s="775">
        <f t="shared" ca="1" si="132"/>
        <v>0</v>
      </c>
      <c r="BH265" s="775">
        <f t="shared" ca="1" si="146"/>
        <v>0</v>
      </c>
      <c r="BI265" s="775">
        <f t="shared" ca="1" si="147"/>
        <v>0</v>
      </c>
      <c r="BJ265" s="775">
        <f t="shared" ca="1" si="148"/>
        <v>0</v>
      </c>
      <c r="BK265" s="775">
        <f t="shared" ca="1" si="149"/>
        <v>0</v>
      </c>
      <c r="BL265" s="775">
        <f t="shared" ca="1" si="150"/>
        <v>0</v>
      </c>
      <c r="BM265" s="775">
        <f t="shared" ca="1" si="151"/>
        <v>0</v>
      </c>
      <c r="BN265" s="775">
        <f t="shared" ca="1" si="152"/>
        <v>0</v>
      </c>
      <c r="BO265" s="775">
        <f t="shared" ca="1" si="153"/>
        <v>0</v>
      </c>
      <c r="BP265" s="775">
        <f t="shared" ca="1" si="154"/>
        <v>0</v>
      </c>
      <c r="BQ265" s="775">
        <f t="shared" ca="1" si="157"/>
        <v>0</v>
      </c>
      <c r="BR265" s="775">
        <f t="shared" ca="1" si="155"/>
        <v>0</v>
      </c>
    </row>
    <row r="266" spans="1:70">
      <c r="A266" s="767" t="str">
        <f t="shared" ca="1" si="162"/>
        <v/>
      </c>
      <c r="B266" s="767" t="s">
        <v>484</v>
      </c>
      <c r="C266" s="188" t="str">
        <f ca="1">IF(F266=0,"",COUNTIF($F$78:$F266,"&gt;0"))</f>
        <v/>
      </c>
      <c r="D266" s="778" t="str">
        <f>VLOOKUP($B266,dongia1,DG!$C$5,)</f>
        <v>Khóa đỡ dây cỡ dây 95</v>
      </c>
      <c r="E266" s="555" t="str">
        <f>VLOOKUP($B266,dongia1,DG!$D$5,)</f>
        <v>cái</v>
      </c>
      <c r="F266" s="779">
        <f t="shared" ca="1" si="165"/>
        <v>0</v>
      </c>
      <c r="G266" s="775">
        <f t="shared" ca="1" si="121"/>
        <v>0</v>
      </c>
      <c r="H266" s="775">
        <f ca="1">SUMIF(CT_tram!$B$33:$G$3559,kl!B266,CT_tram!$G$33:$G$3559)</f>
        <v>0</v>
      </c>
      <c r="I266" s="775">
        <f ca="1">SUMIF(CT_tram!$B$34:$G$115,$B266,CT_tram!$G$34:$G$115)</f>
        <v>0</v>
      </c>
      <c r="J266" s="775">
        <f ca="1">SUMIF(CT_tram!$B$122:$G$204,$B266,CT_tram!$G$122:$G$204)</f>
        <v>0</v>
      </c>
      <c r="K266" s="775">
        <f ca="1">SUMIF(CT_tram!$B$211:$G$293,$B266,CT_tram!$G$211:$G$293)</f>
        <v>0</v>
      </c>
      <c r="L266" s="775">
        <f ca="1">SUMIF(CT_tram!$B$300:$G$374,$B266,CT_tram!$G$300:$G$374)</f>
        <v>0</v>
      </c>
      <c r="M266" s="775">
        <f ca="1">SUMIF(CT_tram!$B$381:$G$471,$B266,CT_tram!$G$381:$G$471)</f>
        <v>0</v>
      </c>
      <c r="N266" s="775">
        <f ca="1">SUMIF(CT_tram!$B$478:$G$560,$B266,CT_tram!$G$478:$G$560)</f>
        <v>0</v>
      </c>
      <c r="O266" s="775">
        <f ca="1">SUMIF(CT_tram!$B$567:$G$653,$B266,CT_tram!$G$567:$G$653)</f>
        <v>0</v>
      </c>
      <c r="P266" s="775">
        <f ca="1">SUMIF(CT_tram!$B$661:$G$738,$B266,CT_tram!$G$661:$G$738)</f>
        <v>0</v>
      </c>
      <c r="Q266" s="775">
        <f ca="1">SUMIF(CT_tram!$B$745:$G$899,$B266,CT_tram!$G$745:$G$899)</f>
        <v>0</v>
      </c>
      <c r="R266" s="775">
        <f ca="1">SUMIF(CT_tram!$B$907:$G$995,$B266,CT_tram!$G$907:$G$995)</f>
        <v>0</v>
      </c>
      <c r="S266" s="775"/>
      <c r="T266" s="775">
        <f ca="1">SUMIF(CT_tram!$B$1004:$G$1097,B266,CT_tram!$G$1004:$G$1097)</f>
        <v>0</v>
      </c>
      <c r="U266" s="775"/>
      <c r="V266" s="775">
        <f ca="1">SUMIF(CT_tram!$B$1226:$G$1352,kl!B266,CT_tram!$G$1226:$G$1352)</f>
        <v>0</v>
      </c>
      <c r="W266" s="780">
        <f ca="1">SUMIF(CT_tram!$B$1105:$G$1219,kl!B266,CT_tram!$G$1105:$G$1219)</f>
        <v>0</v>
      </c>
      <c r="X266" s="775">
        <f ca="1">SUMIF(CT_tram!$B$1359:$G$1504,kl!B266,CT_tram!$G$1359:$G$1504)</f>
        <v>0</v>
      </c>
      <c r="Y266" s="775">
        <f ca="1">SUMIF(CT_tram!$B$1511:$G$1625,kl!B266,CT_tram!$G$1511:$G$1625)</f>
        <v>0</v>
      </c>
      <c r="Z266" s="775">
        <f ca="1">SUMIF(CT_tram!$B$1632:$G$2211,kl!B266,CT_tram!$G$1632:$G$2211)</f>
        <v>0</v>
      </c>
      <c r="AA266" s="775">
        <f ca="1">SUMIF(CT_tram!$B$2243:$G$2384,kl!B266,CT_tram!$G$2243:$G$2384)</f>
        <v>0</v>
      </c>
      <c r="AB266" s="775">
        <f ca="1">SUMIF(CT_tram!$B$2391:$G$2563,kl!B266,CT_tram!$G$2391:$G$2563)</f>
        <v>0</v>
      </c>
      <c r="AC266" s="775">
        <f ca="1">SUMIF(chitiet!$B$13:$N$2352,kl!$B266,chitiet!$I$13:$I$2352)</f>
        <v>0</v>
      </c>
      <c r="AD266" s="775">
        <f ca="1">SUMIF(chitiet!$B$13:$N$2352,kl!$B266,chitiet!$J$13:$J$2352)</f>
        <v>0</v>
      </c>
      <c r="AE266" s="775">
        <f ca="1">SUMIF(chitiet!$B$13:$N$2352,kl!$B266,chitiet!$K$13:$K$2352)</f>
        <v>0</v>
      </c>
      <c r="AF266" s="775">
        <f ca="1">SUMIF(chitiet!$B$13:$N$2352,kl!$B266,chitiet!$L$13:$L$2352)</f>
        <v>0</v>
      </c>
      <c r="AG266" s="775">
        <f ca="1">SUMIF(chitiet!$B$13:$N$2352,kl!$B266,chitiet!$M$13)</f>
        <v>0</v>
      </c>
      <c r="AH266" s="775">
        <f ca="1">SUMIF(chitiet!$B$13:$N$2352,kl!$B266,chitiet!$N$13:$N$2352)</f>
        <v>0</v>
      </c>
      <c r="AI266" s="775">
        <f ca="1">SUMIF(chitiet!$B$13:$N$2352,kl!$B266,chitiet!$O$13:$O$2352)</f>
        <v>0</v>
      </c>
      <c r="AJ266" s="775">
        <f ca="1">SUMIF('Cap ngam'!$B$631:$G$723,kl!$B266,'Cap ngam'!$G$631:$G$723)</f>
        <v>0</v>
      </c>
      <c r="AK266" s="775">
        <f ca="1">SUMIF('Cap ngam'!$B$403:$G$628,kl!$B266,'Cap ngam'!G$403:G$628)</f>
        <v>0</v>
      </c>
      <c r="AL266" s="775">
        <f ca="1">SUMIF('Cap ngam'!B$16:G$400,kl!$B266,'Cap ngam'!G$16:G$400)</f>
        <v>0</v>
      </c>
      <c r="AM266" s="776">
        <v>0.5</v>
      </c>
      <c r="AN266" s="775">
        <f t="shared" ca="1" si="133"/>
        <v>0</v>
      </c>
      <c r="AO266" s="775">
        <f t="shared" ca="1" si="134"/>
        <v>0</v>
      </c>
      <c r="AP266" s="775">
        <f t="shared" ca="1" si="135"/>
        <v>0</v>
      </c>
      <c r="AQ266" s="775">
        <f t="shared" ca="1" si="136"/>
        <v>0</v>
      </c>
      <c r="AR266" s="775">
        <f t="shared" ca="1" si="137"/>
        <v>0</v>
      </c>
      <c r="AS266" s="775">
        <f t="shared" ca="1" si="138"/>
        <v>0</v>
      </c>
      <c r="AT266" s="775">
        <f t="shared" ca="1" si="139"/>
        <v>0</v>
      </c>
      <c r="AU266" s="775">
        <f t="shared" ca="1" si="140"/>
        <v>0</v>
      </c>
      <c r="AV266" s="775">
        <f t="shared" ca="1" si="141"/>
        <v>0</v>
      </c>
      <c r="AW266" s="775">
        <f t="shared" ca="1" si="142"/>
        <v>0</v>
      </c>
      <c r="AX266" s="775">
        <f t="shared" si="143"/>
        <v>0</v>
      </c>
      <c r="AY266" s="775">
        <f t="shared" ca="1" si="144"/>
        <v>0</v>
      </c>
      <c r="AZ266" s="775">
        <f t="shared" si="145"/>
        <v>0</v>
      </c>
      <c r="BA266" s="775">
        <f t="shared" ca="1" si="126"/>
        <v>0</v>
      </c>
      <c r="BB266" s="775">
        <f t="shared" ca="1" si="127"/>
        <v>0</v>
      </c>
      <c r="BC266" s="775">
        <f t="shared" ca="1" si="128"/>
        <v>0</v>
      </c>
      <c r="BD266" s="775">
        <f t="shared" ca="1" si="129"/>
        <v>0</v>
      </c>
      <c r="BE266" s="775">
        <f t="shared" ca="1" si="130"/>
        <v>0</v>
      </c>
      <c r="BF266" s="775">
        <f t="shared" ca="1" si="131"/>
        <v>0</v>
      </c>
      <c r="BG266" s="775">
        <f t="shared" ca="1" si="132"/>
        <v>0</v>
      </c>
      <c r="BH266" s="775">
        <f t="shared" ca="1" si="146"/>
        <v>0</v>
      </c>
      <c r="BI266" s="775">
        <f t="shared" ca="1" si="147"/>
        <v>0</v>
      </c>
      <c r="BJ266" s="775">
        <f t="shared" ca="1" si="148"/>
        <v>0</v>
      </c>
      <c r="BK266" s="775">
        <f t="shared" ca="1" si="149"/>
        <v>0</v>
      </c>
      <c r="BL266" s="775">
        <f t="shared" ca="1" si="150"/>
        <v>0</v>
      </c>
      <c r="BM266" s="775">
        <f t="shared" ca="1" si="151"/>
        <v>0</v>
      </c>
      <c r="BN266" s="775">
        <f t="shared" ca="1" si="152"/>
        <v>0</v>
      </c>
      <c r="BO266" s="775">
        <f t="shared" ca="1" si="153"/>
        <v>0</v>
      </c>
      <c r="BP266" s="775">
        <f t="shared" ca="1" si="154"/>
        <v>0</v>
      </c>
      <c r="BQ266" s="775">
        <f t="shared" ca="1" si="157"/>
        <v>0</v>
      </c>
      <c r="BR266" s="775">
        <f t="shared" ca="1" si="155"/>
        <v>0</v>
      </c>
    </row>
    <row r="267" spans="1:70">
      <c r="A267" s="767" t="str">
        <f t="shared" ca="1" si="162"/>
        <v/>
      </c>
      <c r="B267" s="767" t="s">
        <v>485</v>
      </c>
      <c r="C267" s="188" t="str">
        <f ca="1">IF(F267=0,"",COUNTIF($F$78:$F267,"&gt;0"))</f>
        <v/>
      </c>
      <c r="D267" s="778" t="str">
        <f>VLOOKUP($B267,dongia1,DG!$C$5,)</f>
        <v>Khóa đỡ dây cỡ dây 120</v>
      </c>
      <c r="E267" s="555" t="str">
        <f>VLOOKUP($B267,dongia1,DG!$D$5,)</f>
        <v>cái</v>
      </c>
      <c r="F267" s="779">
        <f t="shared" ca="1" si="165"/>
        <v>0</v>
      </c>
      <c r="G267" s="775">
        <f t="shared" ca="1" si="121"/>
        <v>0</v>
      </c>
      <c r="H267" s="775">
        <f ca="1">SUMIF(CT_tram!$B$33:$G$3559,kl!B267,CT_tram!$G$33:$G$3559)</f>
        <v>0</v>
      </c>
      <c r="I267" s="775">
        <f ca="1">SUMIF(CT_tram!$B$34:$G$115,$B267,CT_tram!$G$34:$G$115)</f>
        <v>0</v>
      </c>
      <c r="J267" s="775">
        <f ca="1">SUMIF(CT_tram!$B$122:$G$204,$B267,CT_tram!$G$122:$G$204)</f>
        <v>0</v>
      </c>
      <c r="K267" s="775">
        <f ca="1">SUMIF(CT_tram!$B$211:$G$293,$B267,CT_tram!$G$211:$G$293)</f>
        <v>0</v>
      </c>
      <c r="L267" s="775">
        <f ca="1">SUMIF(CT_tram!$B$300:$G$374,$B267,CT_tram!$G$300:$G$374)</f>
        <v>0</v>
      </c>
      <c r="M267" s="775">
        <f ca="1">SUMIF(CT_tram!$B$381:$G$471,$B267,CT_tram!$G$381:$G$471)</f>
        <v>0</v>
      </c>
      <c r="N267" s="775">
        <f ca="1">SUMIF(CT_tram!$B$478:$G$560,$B267,CT_tram!$G$478:$G$560)</f>
        <v>0</v>
      </c>
      <c r="O267" s="775">
        <f ca="1">SUMIF(CT_tram!$B$567:$G$653,$B267,CT_tram!$G$567:$G$653)</f>
        <v>0</v>
      </c>
      <c r="P267" s="775">
        <f ca="1">SUMIF(CT_tram!$B$661:$G$738,$B267,CT_tram!$G$661:$G$738)</f>
        <v>0</v>
      </c>
      <c r="Q267" s="775">
        <f ca="1">SUMIF(CT_tram!$B$745:$G$899,$B267,CT_tram!$G$745:$G$899)</f>
        <v>0</v>
      </c>
      <c r="R267" s="775">
        <f ca="1">SUMIF(CT_tram!$B$907:$G$995,$B267,CT_tram!$G$907:$G$995)</f>
        <v>0</v>
      </c>
      <c r="S267" s="775"/>
      <c r="T267" s="775">
        <f ca="1">SUMIF(CT_tram!$B$1004:$G$1097,B267,CT_tram!$G$1004:$G$1097)</f>
        <v>0</v>
      </c>
      <c r="U267" s="775"/>
      <c r="V267" s="775">
        <f ca="1">SUMIF(CT_tram!$B$1226:$G$1352,kl!B267,CT_tram!$G$1226:$G$1352)</f>
        <v>0</v>
      </c>
      <c r="W267" s="780">
        <f ca="1">SUMIF(CT_tram!$B$1105:$G$1219,kl!B267,CT_tram!$G$1105:$G$1219)</f>
        <v>0</v>
      </c>
      <c r="X267" s="775">
        <f ca="1">SUMIF(CT_tram!$B$1359:$G$1504,kl!B267,CT_tram!$G$1359:$G$1504)</f>
        <v>0</v>
      </c>
      <c r="Y267" s="775">
        <f ca="1">SUMIF(CT_tram!$B$1511:$G$1625,kl!B267,CT_tram!$G$1511:$G$1625)</f>
        <v>0</v>
      </c>
      <c r="Z267" s="775">
        <f ca="1">SUMIF(CT_tram!$B$1632:$G$2211,kl!B267,CT_tram!$G$1632:$G$2211)</f>
        <v>0</v>
      </c>
      <c r="AA267" s="775">
        <f ca="1">SUMIF(CT_tram!$B$2243:$G$2384,kl!B267,CT_tram!$G$2243:$G$2384)</f>
        <v>0</v>
      </c>
      <c r="AB267" s="775">
        <f ca="1">SUMIF(CT_tram!$B$2391:$G$2563,kl!B267,CT_tram!$G$2391:$G$2563)</f>
        <v>0</v>
      </c>
      <c r="AC267" s="775">
        <f ca="1">SUMIF(chitiet!$B$13:$N$2352,kl!$B267,chitiet!$I$13:$I$2352)</f>
        <v>0</v>
      </c>
      <c r="AD267" s="775">
        <f ca="1">SUMIF(chitiet!$B$13:$N$2352,kl!$B267,chitiet!$J$13:$J$2352)</f>
        <v>0</v>
      </c>
      <c r="AE267" s="775">
        <f ca="1">SUMIF(chitiet!$B$13:$N$2352,kl!$B267,chitiet!$K$13:$K$2352)</f>
        <v>0</v>
      </c>
      <c r="AF267" s="775">
        <f ca="1">SUMIF(chitiet!$B$13:$N$2352,kl!$B267,chitiet!$L$13:$L$2352)</f>
        <v>0</v>
      </c>
      <c r="AG267" s="775">
        <f ca="1">SUMIF(chitiet!$B$13:$N$2352,kl!$B267,chitiet!$M$13)</f>
        <v>0</v>
      </c>
      <c r="AH267" s="775">
        <f ca="1">SUMIF(chitiet!$B$13:$N$2352,kl!$B267,chitiet!$N$13:$N$2352)</f>
        <v>0</v>
      </c>
      <c r="AI267" s="775">
        <f ca="1">SUMIF(chitiet!$B$13:$N$2352,kl!$B267,chitiet!$O$13:$O$2352)</f>
        <v>0</v>
      </c>
      <c r="AJ267" s="775">
        <f ca="1">SUMIF('Cap ngam'!$B$631:$G$723,kl!$B267,'Cap ngam'!$G$631:$G$723)</f>
        <v>0</v>
      </c>
      <c r="AK267" s="775">
        <f ca="1">SUMIF('Cap ngam'!$B$403:$G$628,kl!$B267,'Cap ngam'!G$403:G$628)</f>
        <v>0</v>
      </c>
      <c r="AL267" s="775">
        <f ca="1">SUMIF('Cap ngam'!B$16:G$400,kl!$B267,'Cap ngam'!G$16:G$400)</f>
        <v>0</v>
      </c>
      <c r="AM267" s="776">
        <v>0.5</v>
      </c>
      <c r="AN267" s="775">
        <f t="shared" ca="1" si="133"/>
        <v>0</v>
      </c>
      <c r="AO267" s="775">
        <f t="shared" ca="1" si="134"/>
        <v>0</v>
      </c>
      <c r="AP267" s="775">
        <f t="shared" ca="1" si="135"/>
        <v>0</v>
      </c>
      <c r="AQ267" s="775">
        <f t="shared" ca="1" si="136"/>
        <v>0</v>
      </c>
      <c r="AR267" s="775">
        <f t="shared" ca="1" si="137"/>
        <v>0</v>
      </c>
      <c r="AS267" s="775">
        <f t="shared" ca="1" si="138"/>
        <v>0</v>
      </c>
      <c r="AT267" s="775">
        <f t="shared" ca="1" si="139"/>
        <v>0</v>
      </c>
      <c r="AU267" s="775">
        <f t="shared" ca="1" si="140"/>
        <v>0</v>
      </c>
      <c r="AV267" s="775">
        <f t="shared" ca="1" si="141"/>
        <v>0</v>
      </c>
      <c r="AW267" s="775">
        <f t="shared" ca="1" si="142"/>
        <v>0</v>
      </c>
      <c r="AX267" s="775">
        <f t="shared" si="143"/>
        <v>0</v>
      </c>
      <c r="AY267" s="775">
        <f t="shared" ca="1" si="144"/>
        <v>0</v>
      </c>
      <c r="AZ267" s="775">
        <f t="shared" si="145"/>
        <v>0</v>
      </c>
      <c r="BA267" s="775">
        <f t="shared" ca="1" si="126"/>
        <v>0</v>
      </c>
      <c r="BB267" s="775">
        <f t="shared" ca="1" si="127"/>
        <v>0</v>
      </c>
      <c r="BC267" s="775">
        <f t="shared" ca="1" si="128"/>
        <v>0</v>
      </c>
      <c r="BD267" s="775">
        <f t="shared" ca="1" si="129"/>
        <v>0</v>
      </c>
      <c r="BE267" s="775">
        <f t="shared" ca="1" si="130"/>
        <v>0</v>
      </c>
      <c r="BF267" s="775">
        <f t="shared" ca="1" si="131"/>
        <v>0</v>
      </c>
      <c r="BG267" s="775">
        <f t="shared" ca="1" si="132"/>
        <v>0</v>
      </c>
      <c r="BH267" s="775">
        <f t="shared" ca="1" si="146"/>
        <v>0</v>
      </c>
      <c r="BI267" s="775">
        <f t="shared" ca="1" si="147"/>
        <v>0</v>
      </c>
      <c r="BJ267" s="775">
        <f t="shared" ca="1" si="148"/>
        <v>0</v>
      </c>
      <c r="BK267" s="775">
        <f t="shared" ca="1" si="149"/>
        <v>0</v>
      </c>
      <c r="BL267" s="775">
        <f t="shared" ca="1" si="150"/>
        <v>0</v>
      </c>
      <c r="BM267" s="775">
        <f t="shared" ca="1" si="151"/>
        <v>0</v>
      </c>
      <c r="BN267" s="775">
        <f t="shared" ca="1" si="152"/>
        <v>0</v>
      </c>
      <c r="BO267" s="775">
        <f t="shared" ca="1" si="153"/>
        <v>0</v>
      </c>
      <c r="BP267" s="775">
        <f t="shared" ca="1" si="154"/>
        <v>0</v>
      </c>
      <c r="BQ267" s="775">
        <f t="shared" ca="1" si="157"/>
        <v>0</v>
      </c>
      <c r="BR267" s="775">
        <f t="shared" ca="1" si="155"/>
        <v>0</v>
      </c>
    </row>
    <row r="268" spans="1:70">
      <c r="A268" s="767" t="str">
        <f t="shared" ca="1" si="162"/>
        <v/>
      </c>
      <c r="B268" s="767" t="s">
        <v>486</v>
      </c>
      <c r="C268" s="188" t="str">
        <f ca="1">IF(F268=0,"",COUNTIF($F$78:$F268,"&gt;0"))</f>
        <v/>
      </c>
      <c r="D268" s="778" t="str">
        <f>VLOOKUP($B268,dongia1,DG!$C$5,)</f>
        <v>Khóa đỡ dây cỡ dây 150</v>
      </c>
      <c r="E268" s="555" t="str">
        <f>VLOOKUP($B268,dongia1,DG!$D$5,)</f>
        <v>cái</v>
      </c>
      <c r="F268" s="779">
        <f t="shared" ca="1" si="165"/>
        <v>0</v>
      </c>
      <c r="G268" s="775">
        <f t="shared" ref="G268:G316" ca="1" si="169">SUM(AC268:AL268)</f>
        <v>0</v>
      </c>
      <c r="H268" s="775">
        <f ca="1">SUMIF(CT_tram!$B$33:$G$3559,kl!B268,CT_tram!$G$33:$G$3559)</f>
        <v>0</v>
      </c>
      <c r="I268" s="775">
        <f ca="1">SUMIF(CT_tram!$B$34:$G$115,$B268,CT_tram!$G$34:$G$115)</f>
        <v>0</v>
      </c>
      <c r="J268" s="775">
        <f ca="1">SUMIF(CT_tram!$B$122:$G$204,$B268,CT_tram!$G$122:$G$204)</f>
        <v>0</v>
      </c>
      <c r="K268" s="775">
        <f ca="1">SUMIF(CT_tram!$B$211:$G$293,$B268,CT_tram!$G$211:$G$293)</f>
        <v>0</v>
      </c>
      <c r="L268" s="775">
        <f ca="1">SUMIF(CT_tram!$B$300:$G$374,$B268,CT_tram!$G$300:$G$374)</f>
        <v>0</v>
      </c>
      <c r="M268" s="775">
        <f ca="1">SUMIF(CT_tram!$B$381:$G$471,$B268,CT_tram!$G$381:$G$471)</f>
        <v>0</v>
      </c>
      <c r="N268" s="775">
        <f ca="1">SUMIF(CT_tram!$B$478:$G$560,$B268,CT_tram!$G$478:$G$560)</f>
        <v>0</v>
      </c>
      <c r="O268" s="775">
        <f ca="1">SUMIF(CT_tram!$B$567:$G$653,$B268,CT_tram!$G$567:$G$653)</f>
        <v>0</v>
      </c>
      <c r="P268" s="775">
        <f ca="1">SUMIF(CT_tram!$B$661:$G$738,$B268,CT_tram!$G$661:$G$738)</f>
        <v>0</v>
      </c>
      <c r="Q268" s="775">
        <f ca="1">SUMIF(CT_tram!$B$745:$G$899,$B268,CT_tram!$G$745:$G$899)</f>
        <v>0</v>
      </c>
      <c r="R268" s="775">
        <f ca="1">SUMIF(CT_tram!$B$907:$G$995,$B268,CT_tram!$G$907:$G$995)</f>
        <v>0</v>
      </c>
      <c r="S268" s="775"/>
      <c r="T268" s="775">
        <f ca="1">SUMIF(CT_tram!$B$1004:$G$1097,B268,CT_tram!$G$1004:$G$1097)</f>
        <v>0</v>
      </c>
      <c r="U268" s="775"/>
      <c r="V268" s="775">
        <f ca="1">SUMIF(CT_tram!$B$1226:$G$1352,kl!B268,CT_tram!$G$1226:$G$1352)</f>
        <v>0</v>
      </c>
      <c r="W268" s="780">
        <f ca="1">SUMIF(CT_tram!$B$1105:$G$1219,kl!B268,CT_tram!$G$1105:$G$1219)</f>
        <v>0</v>
      </c>
      <c r="X268" s="775">
        <f ca="1">SUMIF(CT_tram!$B$1359:$G$1504,kl!B268,CT_tram!$G$1359:$G$1504)</f>
        <v>0</v>
      </c>
      <c r="Y268" s="775">
        <f ca="1">SUMIF(CT_tram!$B$1511:$G$1625,kl!B268,CT_tram!$G$1511:$G$1625)</f>
        <v>0</v>
      </c>
      <c r="Z268" s="775">
        <f ca="1">SUMIF(CT_tram!$B$1632:$G$2211,kl!B268,CT_tram!$G$1632:$G$2211)</f>
        <v>0</v>
      </c>
      <c r="AA268" s="775">
        <f ca="1">SUMIF(CT_tram!$B$2243:$G$2384,kl!B268,CT_tram!$G$2243:$G$2384)</f>
        <v>0</v>
      </c>
      <c r="AB268" s="775">
        <f ca="1">SUMIF(CT_tram!$B$2391:$G$2563,kl!B268,CT_tram!$G$2391:$G$2563)</f>
        <v>0</v>
      </c>
      <c r="AC268" s="775">
        <f ca="1">SUMIF(chitiet!$B$13:$N$2352,kl!$B268,chitiet!$I$13:$I$2352)</f>
        <v>0</v>
      </c>
      <c r="AD268" s="775">
        <f ca="1">SUMIF(chitiet!$B$13:$N$2352,kl!$B268,chitiet!$J$13:$J$2352)</f>
        <v>0</v>
      </c>
      <c r="AE268" s="775">
        <f ca="1">SUMIF(chitiet!$B$13:$N$2352,kl!$B268,chitiet!$K$13:$K$2352)</f>
        <v>0</v>
      </c>
      <c r="AF268" s="775">
        <f ca="1">SUMIF(chitiet!$B$13:$N$2352,kl!$B268,chitiet!$L$13:$L$2352)</f>
        <v>0</v>
      </c>
      <c r="AG268" s="775">
        <f ca="1">SUMIF(chitiet!$B$13:$N$2352,kl!$B268,chitiet!$M$13)</f>
        <v>0</v>
      </c>
      <c r="AH268" s="775">
        <f ca="1">SUMIF(chitiet!$B$13:$N$2352,kl!$B268,chitiet!$N$13:$N$2352)</f>
        <v>0</v>
      </c>
      <c r="AI268" s="775">
        <f ca="1">SUMIF(chitiet!$B$13:$N$2352,kl!$B268,chitiet!$O$13:$O$2352)</f>
        <v>0</v>
      </c>
      <c r="AJ268" s="775">
        <f ca="1">SUMIF('Cap ngam'!$B$631:$G$723,kl!$B268,'Cap ngam'!$G$631:$G$723)</f>
        <v>0</v>
      </c>
      <c r="AK268" s="775">
        <f ca="1">SUMIF('Cap ngam'!$B$403:$G$628,kl!$B268,'Cap ngam'!G$403:G$628)</f>
        <v>0</v>
      </c>
      <c r="AL268" s="775">
        <f ca="1">SUMIF('Cap ngam'!B$16:G$400,kl!$B268,'Cap ngam'!G$16:G$400)</f>
        <v>0</v>
      </c>
      <c r="AM268" s="776">
        <v>0.5</v>
      </c>
      <c r="AN268" s="775">
        <f t="shared" ca="1" si="133"/>
        <v>0</v>
      </c>
      <c r="AO268" s="775">
        <f t="shared" ca="1" si="134"/>
        <v>0</v>
      </c>
      <c r="AP268" s="775">
        <f t="shared" ca="1" si="135"/>
        <v>0</v>
      </c>
      <c r="AQ268" s="775">
        <f t="shared" ca="1" si="136"/>
        <v>0</v>
      </c>
      <c r="AR268" s="775">
        <f t="shared" ca="1" si="137"/>
        <v>0</v>
      </c>
      <c r="AS268" s="775">
        <f t="shared" ca="1" si="138"/>
        <v>0</v>
      </c>
      <c r="AT268" s="775">
        <f t="shared" ca="1" si="139"/>
        <v>0</v>
      </c>
      <c r="AU268" s="775">
        <f t="shared" ca="1" si="140"/>
        <v>0</v>
      </c>
      <c r="AV268" s="775">
        <f t="shared" ca="1" si="141"/>
        <v>0</v>
      </c>
      <c r="AW268" s="775">
        <f t="shared" ca="1" si="142"/>
        <v>0</v>
      </c>
      <c r="AX268" s="775">
        <f t="shared" si="143"/>
        <v>0</v>
      </c>
      <c r="AY268" s="775">
        <f t="shared" ca="1" si="144"/>
        <v>0</v>
      </c>
      <c r="AZ268" s="775">
        <f t="shared" si="145"/>
        <v>0</v>
      </c>
      <c r="BA268" s="775">
        <f t="shared" ca="1" si="126"/>
        <v>0</v>
      </c>
      <c r="BB268" s="775">
        <f t="shared" ca="1" si="127"/>
        <v>0</v>
      </c>
      <c r="BC268" s="775">
        <f t="shared" ca="1" si="128"/>
        <v>0</v>
      </c>
      <c r="BD268" s="775">
        <f t="shared" ca="1" si="129"/>
        <v>0</v>
      </c>
      <c r="BE268" s="775">
        <f t="shared" ca="1" si="130"/>
        <v>0</v>
      </c>
      <c r="BF268" s="775">
        <f t="shared" ca="1" si="131"/>
        <v>0</v>
      </c>
      <c r="BG268" s="775">
        <f t="shared" ca="1" si="132"/>
        <v>0</v>
      </c>
      <c r="BH268" s="775">
        <f t="shared" ca="1" si="146"/>
        <v>0</v>
      </c>
      <c r="BI268" s="775">
        <f t="shared" ca="1" si="147"/>
        <v>0</v>
      </c>
      <c r="BJ268" s="775">
        <f t="shared" ca="1" si="148"/>
        <v>0</v>
      </c>
      <c r="BK268" s="775">
        <f t="shared" ca="1" si="149"/>
        <v>0</v>
      </c>
      <c r="BL268" s="775">
        <f t="shared" ca="1" si="150"/>
        <v>0</v>
      </c>
      <c r="BM268" s="775">
        <f t="shared" ca="1" si="151"/>
        <v>0</v>
      </c>
      <c r="BN268" s="775">
        <f t="shared" ca="1" si="152"/>
        <v>0</v>
      </c>
      <c r="BO268" s="775">
        <f t="shared" ca="1" si="153"/>
        <v>0</v>
      </c>
      <c r="BP268" s="775">
        <f t="shared" ca="1" si="154"/>
        <v>0</v>
      </c>
      <c r="BQ268" s="775">
        <f t="shared" ref="BQ268:BQ384" ca="1" si="170">$AL268*$AM268</f>
        <v>0</v>
      </c>
      <c r="BR268" s="775">
        <f t="shared" ca="1" si="155"/>
        <v>0</v>
      </c>
    </row>
    <row r="269" spans="1:70">
      <c r="A269" s="767" t="str">
        <f t="shared" ca="1" si="162"/>
        <v/>
      </c>
      <c r="B269" s="767" t="s">
        <v>487</v>
      </c>
      <c r="C269" s="188" t="str">
        <f ca="1">IF(F269=0,"",COUNTIF($F$78:$F269,"&gt;0"))</f>
        <v/>
      </c>
      <c r="D269" s="778" t="str">
        <f>VLOOKUP($B269,dongia1,DG!$C$5,)</f>
        <v>Khóa đỡ dây cỡ dây 185</v>
      </c>
      <c r="E269" s="555" t="str">
        <f>VLOOKUP($B269,dongia1,DG!$D$5,)</f>
        <v>cái</v>
      </c>
      <c r="F269" s="779">
        <f t="shared" ca="1" si="165"/>
        <v>0</v>
      </c>
      <c r="G269" s="775">
        <f t="shared" ca="1" si="169"/>
        <v>0</v>
      </c>
      <c r="H269" s="775">
        <f ca="1">SUMIF(CT_tram!$B$33:$G$3559,kl!B269,CT_tram!$G$33:$G$3559)</f>
        <v>0</v>
      </c>
      <c r="I269" s="775">
        <f ca="1">SUMIF(CT_tram!$B$34:$G$115,$B269,CT_tram!$G$34:$G$115)</f>
        <v>0</v>
      </c>
      <c r="J269" s="775">
        <f ca="1">SUMIF(CT_tram!$B$122:$G$204,$B269,CT_tram!$G$122:$G$204)</f>
        <v>0</v>
      </c>
      <c r="K269" s="775">
        <f ca="1">SUMIF(CT_tram!$B$211:$G$293,$B269,CT_tram!$G$211:$G$293)</f>
        <v>0</v>
      </c>
      <c r="L269" s="775">
        <f ca="1">SUMIF(CT_tram!$B$300:$G$374,$B269,CT_tram!$G$300:$G$374)</f>
        <v>0</v>
      </c>
      <c r="M269" s="775">
        <f ca="1">SUMIF(CT_tram!$B$381:$G$471,$B269,CT_tram!$G$381:$G$471)</f>
        <v>0</v>
      </c>
      <c r="N269" s="775">
        <f ca="1">SUMIF(CT_tram!$B$478:$G$560,$B269,CT_tram!$G$478:$G$560)</f>
        <v>0</v>
      </c>
      <c r="O269" s="775">
        <f ca="1">SUMIF(CT_tram!$B$567:$G$653,$B269,CT_tram!$G$567:$G$653)</f>
        <v>0</v>
      </c>
      <c r="P269" s="775">
        <f ca="1">SUMIF(CT_tram!$B$661:$G$738,$B269,CT_tram!$G$661:$G$738)</f>
        <v>0</v>
      </c>
      <c r="Q269" s="775">
        <f ca="1">SUMIF(CT_tram!$B$745:$G$899,$B269,CT_tram!$G$745:$G$899)</f>
        <v>0</v>
      </c>
      <c r="R269" s="775">
        <f ca="1">SUMIF(CT_tram!$B$907:$G$995,$B269,CT_tram!$G$907:$G$995)</f>
        <v>0</v>
      </c>
      <c r="S269" s="775"/>
      <c r="T269" s="775">
        <f ca="1">SUMIF(CT_tram!$B$1004:$G$1097,B269,CT_tram!$G$1004:$G$1097)</f>
        <v>0</v>
      </c>
      <c r="U269" s="775"/>
      <c r="V269" s="775">
        <f ca="1">SUMIF(CT_tram!$B$1226:$G$1352,kl!B269,CT_tram!$G$1226:$G$1352)</f>
        <v>0</v>
      </c>
      <c r="W269" s="780">
        <f ca="1">SUMIF(CT_tram!$B$1105:$G$1219,kl!B269,CT_tram!$G$1105:$G$1219)</f>
        <v>0</v>
      </c>
      <c r="X269" s="775">
        <f ca="1">SUMIF(CT_tram!$B$1359:$G$1504,kl!B269,CT_tram!$G$1359:$G$1504)</f>
        <v>0</v>
      </c>
      <c r="Y269" s="775">
        <f ca="1">SUMIF(CT_tram!$B$1511:$G$1625,kl!B269,CT_tram!$G$1511:$G$1625)</f>
        <v>0</v>
      </c>
      <c r="Z269" s="775">
        <f ca="1">SUMIF(CT_tram!$B$1632:$G$2211,kl!B269,CT_tram!$G$1632:$G$2211)</f>
        <v>0</v>
      </c>
      <c r="AA269" s="775">
        <f ca="1">SUMIF(CT_tram!$B$2243:$G$2384,kl!B269,CT_tram!$G$2243:$G$2384)</f>
        <v>0</v>
      </c>
      <c r="AB269" s="775">
        <f ca="1">SUMIF(CT_tram!$B$2391:$G$2563,kl!B269,CT_tram!$G$2391:$G$2563)</f>
        <v>0</v>
      </c>
      <c r="AC269" s="775">
        <f ca="1">SUMIF(chitiet!$B$13:$N$2352,kl!$B269,chitiet!$I$13:$I$2352)</f>
        <v>0</v>
      </c>
      <c r="AD269" s="775">
        <f ca="1">SUMIF(chitiet!$B$13:$N$2352,kl!$B269,chitiet!$J$13:$J$2352)</f>
        <v>0</v>
      </c>
      <c r="AE269" s="775">
        <f ca="1">SUMIF(chitiet!$B$13:$N$2352,kl!$B269,chitiet!$K$13:$K$2352)</f>
        <v>0</v>
      </c>
      <c r="AF269" s="775">
        <f ca="1">SUMIF(chitiet!$B$13:$N$2352,kl!$B269,chitiet!$L$13:$L$2352)</f>
        <v>0</v>
      </c>
      <c r="AG269" s="775">
        <f ca="1">SUMIF(chitiet!$B$13:$N$2352,kl!$B269,chitiet!$M$13)</f>
        <v>0</v>
      </c>
      <c r="AH269" s="775">
        <f ca="1">SUMIF(chitiet!$B$13:$N$2352,kl!$B269,chitiet!$N$13:$N$2352)</f>
        <v>0</v>
      </c>
      <c r="AI269" s="775">
        <f ca="1">SUMIF(chitiet!$B$13:$N$2352,kl!$B269,chitiet!$O$13:$O$2352)</f>
        <v>0</v>
      </c>
      <c r="AJ269" s="775">
        <f ca="1">SUMIF('Cap ngam'!$B$631:$G$723,kl!$B269,'Cap ngam'!$G$631:$G$723)</f>
        <v>0</v>
      </c>
      <c r="AK269" s="775">
        <f ca="1">SUMIF('Cap ngam'!$B$403:$G$628,kl!$B269,'Cap ngam'!G$403:G$628)</f>
        <v>0</v>
      </c>
      <c r="AL269" s="775">
        <f ca="1">SUMIF('Cap ngam'!B$16:G$400,kl!$B269,'Cap ngam'!G$16:G$400)</f>
        <v>0</v>
      </c>
      <c r="AM269" s="776">
        <v>0.5</v>
      </c>
      <c r="AN269" s="775">
        <f t="shared" ca="1" si="133"/>
        <v>0</v>
      </c>
      <c r="AO269" s="775">
        <f t="shared" ca="1" si="134"/>
        <v>0</v>
      </c>
      <c r="AP269" s="775">
        <f t="shared" ca="1" si="135"/>
        <v>0</v>
      </c>
      <c r="AQ269" s="775">
        <f t="shared" ca="1" si="136"/>
        <v>0</v>
      </c>
      <c r="AR269" s="775">
        <f t="shared" ca="1" si="137"/>
        <v>0</v>
      </c>
      <c r="AS269" s="775">
        <f t="shared" ca="1" si="138"/>
        <v>0</v>
      </c>
      <c r="AT269" s="775">
        <f t="shared" ca="1" si="139"/>
        <v>0</v>
      </c>
      <c r="AU269" s="775">
        <f t="shared" ca="1" si="140"/>
        <v>0</v>
      </c>
      <c r="AV269" s="775">
        <f t="shared" ca="1" si="141"/>
        <v>0</v>
      </c>
      <c r="AW269" s="775">
        <f t="shared" ca="1" si="142"/>
        <v>0</v>
      </c>
      <c r="AX269" s="775">
        <f t="shared" si="143"/>
        <v>0</v>
      </c>
      <c r="AY269" s="775">
        <f t="shared" ca="1" si="144"/>
        <v>0</v>
      </c>
      <c r="AZ269" s="775">
        <f t="shared" si="145"/>
        <v>0</v>
      </c>
      <c r="BA269" s="775">
        <f t="shared" ca="1" si="126"/>
        <v>0</v>
      </c>
      <c r="BB269" s="775">
        <f t="shared" ca="1" si="127"/>
        <v>0</v>
      </c>
      <c r="BC269" s="775">
        <f t="shared" ca="1" si="128"/>
        <v>0</v>
      </c>
      <c r="BD269" s="775">
        <f t="shared" ca="1" si="129"/>
        <v>0</v>
      </c>
      <c r="BE269" s="775">
        <f t="shared" ca="1" si="130"/>
        <v>0</v>
      </c>
      <c r="BF269" s="775">
        <f t="shared" ca="1" si="131"/>
        <v>0</v>
      </c>
      <c r="BG269" s="775">
        <f t="shared" ca="1" si="132"/>
        <v>0</v>
      </c>
      <c r="BH269" s="775">
        <f t="shared" ca="1" si="146"/>
        <v>0</v>
      </c>
      <c r="BI269" s="775">
        <f t="shared" ca="1" si="147"/>
        <v>0</v>
      </c>
      <c r="BJ269" s="775">
        <f t="shared" ca="1" si="148"/>
        <v>0</v>
      </c>
      <c r="BK269" s="775">
        <f t="shared" ca="1" si="149"/>
        <v>0</v>
      </c>
      <c r="BL269" s="775">
        <f t="shared" ca="1" si="150"/>
        <v>0</v>
      </c>
      <c r="BM269" s="775">
        <f t="shared" ca="1" si="151"/>
        <v>0</v>
      </c>
      <c r="BN269" s="775">
        <f t="shared" ca="1" si="152"/>
        <v>0</v>
      </c>
      <c r="BO269" s="775">
        <f t="shared" ca="1" si="153"/>
        <v>0</v>
      </c>
      <c r="BP269" s="775">
        <f t="shared" ca="1" si="154"/>
        <v>0</v>
      </c>
      <c r="BQ269" s="775">
        <f t="shared" ca="1" si="170"/>
        <v>0</v>
      </c>
      <c r="BR269" s="775">
        <f t="shared" ca="1" si="155"/>
        <v>0</v>
      </c>
    </row>
    <row r="270" spans="1:70">
      <c r="A270" s="767" t="str">
        <f t="shared" ca="1" si="162"/>
        <v/>
      </c>
      <c r="B270" s="767" t="s">
        <v>488</v>
      </c>
      <c r="C270" s="188" t="str">
        <f ca="1">IF(F270=0,"",COUNTIF($F$78:$F270,"&gt;0"))</f>
        <v/>
      </c>
      <c r="D270" s="778" t="str">
        <f>VLOOKUP($B270,dongia1,DG!$C$5,)</f>
        <v>Khóa đỡ dây cỡ dây 240</v>
      </c>
      <c r="E270" s="555" t="str">
        <f>VLOOKUP($B270,dongia1,DG!$D$5,)</f>
        <v>cái</v>
      </c>
      <c r="F270" s="779">
        <f t="shared" ca="1" si="165"/>
        <v>0</v>
      </c>
      <c r="G270" s="775">
        <f t="shared" ca="1" si="169"/>
        <v>0</v>
      </c>
      <c r="H270" s="775">
        <f ca="1">SUMIF(CT_tram!$B$33:$G$3559,kl!B270,CT_tram!$G$33:$G$3559)</f>
        <v>0</v>
      </c>
      <c r="I270" s="775">
        <f ca="1">SUMIF(CT_tram!$B$34:$G$115,$B270,CT_tram!$G$34:$G$115)</f>
        <v>0</v>
      </c>
      <c r="J270" s="775">
        <f ca="1">SUMIF(CT_tram!$B$122:$G$204,$B270,CT_tram!$G$122:$G$204)</f>
        <v>0</v>
      </c>
      <c r="K270" s="775">
        <f ca="1">SUMIF(CT_tram!$B$211:$G$293,$B270,CT_tram!$G$211:$G$293)</f>
        <v>0</v>
      </c>
      <c r="L270" s="775">
        <f ca="1">SUMIF(CT_tram!$B$300:$G$374,$B270,CT_tram!$G$300:$G$374)</f>
        <v>0</v>
      </c>
      <c r="M270" s="775">
        <f ca="1">SUMIF(CT_tram!$B$381:$G$471,$B270,CT_tram!$G$381:$G$471)</f>
        <v>0</v>
      </c>
      <c r="N270" s="775">
        <f ca="1">SUMIF(CT_tram!$B$478:$G$560,$B270,CT_tram!$G$478:$G$560)</f>
        <v>0</v>
      </c>
      <c r="O270" s="775">
        <f ca="1">SUMIF(CT_tram!$B$567:$G$653,$B270,CT_tram!$G$567:$G$653)</f>
        <v>0</v>
      </c>
      <c r="P270" s="775">
        <f ca="1">SUMIF(CT_tram!$B$661:$G$738,$B270,CT_tram!$G$661:$G$738)</f>
        <v>0</v>
      </c>
      <c r="Q270" s="775">
        <f ca="1">SUMIF(CT_tram!$B$745:$G$899,$B270,CT_tram!$G$745:$G$899)</f>
        <v>0</v>
      </c>
      <c r="R270" s="775">
        <f ca="1">SUMIF(CT_tram!$B$907:$G$995,$B270,CT_tram!$G$907:$G$995)</f>
        <v>0</v>
      </c>
      <c r="S270" s="775"/>
      <c r="T270" s="775">
        <f ca="1">SUMIF(CT_tram!$B$1004:$G$1097,B270,CT_tram!$G$1004:$G$1097)</f>
        <v>0</v>
      </c>
      <c r="U270" s="775"/>
      <c r="V270" s="775">
        <f ca="1">SUMIF(CT_tram!$B$1226:$G$1352,kl!B270,CT_tram!$G$1226:$G$1352)</f>
        <v>0</v>
      </c>
      <c r="W270" s="780">
        <f ca="1">SUMIF(CT_tram!$B$1105:$G$1219,kl!B270,CT_tram!$G$1105:$G$1219)</f>
        <v>0</v>
      </c>
      <c r="X270" s="775">
        <f ca="1">SUMIF(CT_tram!$B$1359:$G$1504,kl!B270,CT_tram!$G$1359:$G$1504)</f>
        <v>0</v>
      </c>
      <c r="Y270" s="775">
        <f ca="1">SUMIF(CT_tram!$B$1511:$G$1625,kl!B270,CT_tram!$G$1511:$G$1625)</f>
        <v>0</v>
      </c>
      <c r="Z270" s="775">
        <f ca="1">SUMIF(CT_tram!$B$1632:$G$2211,kl!B270,CT_tram!$G$1632:$G$2211)</f>
        <v>0</v>
      </c>
      <c r="AA270" s="775">
        <f ca="1">SUMIF(CT_tram!$B$2243:$G$2384,kl!B270,CT_tram!$G$2243:$G$2384)</f>
        <v>0</v>
      </c>
      <c r="AB270" s="775">
        <f ca="1">SUMIF(CT_tram!$B$2391:$G$2563,kl!B270,CT_tram!$G$2391:$G$2563)</f>
        <v>0</v>
      </c>
      <c r="AC270" s="775">
        <f ca="1">SUMIF(chitiet!$B$13:$N$2352,kl!$B270,chitiet!$I$13:$I$2352)</f>
        <v>0</v>
      </c>
      <c r="AD270" s="775">
        <f ca="1">SUMIF(chitiet!$B$13:$N$2352,kl!$B270,chitiet!$J$13:$J$2352)</f>
        <v>0</v>
      </c>
      <c r="AE270" s="775">
        <f ca="1">SUMIF(chitiet!$B$13:$N$2352,kl!$B270,chitiet!$K$13:$K$2352)</f>
        <v>0</v>
      </c>
      <c r="AF270" s="775">
        <f ca="1">SUMIF(chitiet!$B$13:$N$2352,kl!$B270,chitiet!$L$13:$L$2352)</f>
        <v>0</v>
      </c>
      <c r="AG270" s="775">
        <f ca="1">SUMIF(chitiet!$B$13:$N$2352,kl!$B270,chitiet!$M$13)</f>
        <v>0</v>
      </c>
      <c r="AH270" s="775">
        <f ca="1">SUMIF(chitiet!$B$13:$N$2352,kl!$B270,chitiet!$N$13:$N$2352)</f>
        <v>0</v>
      </c>
      <c r="AI270" s="775">
        <f ca="1">SUMIF(chitiet!$B$13:$N$2352,kl!$B270,chitiet!$O$13:$O$2352)</f>
        <v>0</v>
      </c>
      <c r="AJ270" s="775">
        <f ca="1">SUMIF('Cap ngam'!$B$631:$G$723,kl!$B270,'Cap ngam'!$G$631:$G$723)</f>
        <v>0</v>
      </c>
      <c r="AK270" s="775">
        <f ca="1">SUMIF('Cap ngam'!$B$403:$G$628,kl!$B270,'Cap ngam'!G$403:G$628)</f>
        <v>0</v>
      </c>
      <c r="AL270" s="775">
        <f ca="1">SUMIF('Cap ngam'!B$16:G$400,kl!$B270,'Cap ngam'!G$16:G$400)</f>
        <v>0</v>
      </c>
      <c r="AM270" s="776">
        <v>0.5</v>
      </c>
      <c r="AN270" s="775">
        <f t="shared" ca="1" si="133"/>
        <v>0</v>
      </c>
      <c r="AO270" s="775">
        <f t="shared" ca="1" si="134"/>
        <v>0</v>
      </c>
      <c r="AP270" s="775">
        <f t="shared" ca="1" si="135"/>
        <v>0</v>
      </c>
      <c r="AQ270" s="775">
        <f t="shared" ca="1" si="136"/>
        <v>0</v>
      </c>
      <c r="AR270" s="775">
        <f t="shared" ca="1" si="137"/>
        <v>0</v>
      </c>
      <c r="AS270" s="775">
        <f t="shared" ca="1" si="138"/>
        <v>0</v>
      </c>
      <c r="AT270" s="775">
        <f t="shared" ca="1" si="139"/>
        <v>0</v>
      </c>
      <c r="AU270" s="775">
        <f t="shared" ca="1" si="140"/>
        <v>0</v>
      </c>
      <c r="AV270" s="775">
        <f t="shared" ca="1" si="141"/>
        <v>0</v>
      </c>
      <c r="AW270" s="775">
        <f t="shared" ca="1" si="142"/>
        <v>0</v>
      </c>
      <c r="AX270" s="775">
        <f t="shared" si="143"/>
        <v>0</v>
      </c>
      <c r="AY270" s="775">
        <f t="shared" ca="1" si="144"/>
        <v>0</v>
      </c>
      <c r="AZ270" s="775">
        <f t="shared" si="145"/>
        <v>0</v>
      </c>
      <c r="BA270" s="775">
        <f t="shared" ca="1" si="126"/>
        <v>0</v>
      </c>
      <c r="BB270" s="775">
        <f t="shared" ca="1" si="127"/>
        <v>0</v>
      </c>
      <c r="BC270" s="775">
        <f t="shared" ca="1" si="128"/>
        <v>0</v>
      </c>
      <c r="BD270" s="775">
        <f t="shared" ca="1" si="129"/>
        <v>0</v>
      </c>
      <c r="BE270" s="775">
        <f t="shared" ca="1" si="130"/>
        <v>0</v>
      </c>
      <c r="BF270" s="775">
        <f t="shared" ca="1" si="131"/>
        <v>0</v>
      </c>
      <c r="BG270" s="775">
        <f t="shared" ca="1" si="132"/>
        <v>0</v>
      </c>
      <c r="BH270" s="775">
        <f t="shared" ca="1" si="146"/>
        <v>0</v>
      </c>
      <c r="BI270" s="775">
        <f t="shared" ca="1" si="147"/>
        <v>0</v>
      </c>
      <c r="BJ270" s="775">
        <f t="shared" ca="1" si="148"/>
        <v>0</v>
      </c>
      <c r="BK270" s="775">
        <f t="shared" ca="1" si="149"/>
        <v>0</v>
      </c>
      <c r="BL270" s="775">
        <f t="shared" ca="1" si="150"/>
        <v>0</v>
      </c>
      <c r="BM270" s="775">
        <f t="shared" ca="1" si="151"/>
        <v>0</v>
      </c>
      <c r="BN270" s="775">
        <f t="shared" ca="1" si="152"/>
        <v>0</v>
      </c>
      <c r="BO270" s="775">
        <f t="shared" ca="1" si="153"/>
        <v>0</v>
      </c>
      <c r="BP270" s="775">
        <f t="shared" ca="1" si="154"/>
        <v>0</v>
      </c>
      <c r="BQ270" s="775">
        <f t="shared" ca="1" si="170"/>
        <v>0</v>
      </c>
      <c r="BR270" s="775">
        <f t="shared" ca="1" si="155"/>
        <v>0</v>
      </c>
    </row>
    <row r="271" spans="1:70">
      <c r="A271" s="767" t="str">
        <f t="shared" ca="1" si="162"/>
        <v/>
      </c>
      <c r="B271" s="767" t="s">
        <v>2033</v>
      </c>
      <c r="C271" s="188" t="str">
        <f ca="1">IF(F271=0,"",COUNTIF($F$78:$F271,"&gt;0"))</f>
        <v/>
      </c>
      <c r="D271" s="778" t="str">
        <f>VLOOKUP($B271,dongia1,DG!$C$5,)</f>
        <v>Mắt nối đơn</v>
      </c>
      <c r="E271" s="555" t="str">
        <f>VLOOKUP($B271,dongia1,DG!$D$5,)</f>
        <v>cái</v>
      </c>
      <c r="F271" s="779">
        <f t="shared" ca="1" si="165"/>
        <v>0</v>
      </c>
      <c r="G271" s="775">
        <f t="shared" ca="1" si="169"/>
        <v>0</v>
      </c>
      <c r="H271" s="775">
        <f ca="1">SUMIF(CT_tram!$B$33:$G$3559,kl!B271,CT_tram!$G$33:$G$3559)</f>
        <v>0</v>
      </c>
      <c r="I271" s="775">
        <f ca="1">SUMIF(CT_tram!$B$34:$G$115,$B271,CT_tram!$G$34:$G$115)</f>
        <v>0</v>
      </c>
      <c r="J271" s="775">
        <f ca="1">SUMIF(CT_tram!$B$122:$G$204,$B271,CT_tram!$G$122:$G$204)</f>
        <v>0</v>
      </c>
      <c r="K271" s="775">
        <f ca="1">SUMIF(CT_tram!$B$211:$G$293,$B271,CT_tram!$G$211:$G$293)</f>
        <v>0</v>
      </c>
      <c r="L271" s="775">
        <f ca="1">SUMIF(CT_tram!$B$300:$G$374,$B271,CT_tram!$G$300:$G$374)</f>
        <v>0</v>
      </c>
      <c r="M271" s="775">
        <f ca="1">SUMIF(CT_tram!$B$381:$G$471,$B271,CT_tram!$G$381:$G$471)</f>
        <v>0</v>
      </c>
      <c r="N271" s="775">
        <f ca="1">SUMIF(CT_tram!$B$478:$G$560,$B271,CT_tram!$G$478:$G$560)</f>
        <v>0</v>
      </c>
      <c r="O271" s="775">
        <f ca="1">SUMIF(CT_tram!$B$567:$G$653,$B271,CT_tram!$G$567:$G$653)</f>
        <v>0</v>
      </c>
      <c r="P271" s="775">
        <f ca="1">SUMIF(CT_tram!$B$661:$G$738,$B271,CT_tram!$G$661:$G$738)</f>
        <v>0</v>
      </c>
      <c r="Q271" s="775">
        <f ca="1">SUMIF(CT_tram!$B$745:$G$899,$B271,CT_tram!$G$745:$G$899)</f>
        <v>0</v>
      </c>
      <c r="R271" s="775">
        <f ca="1">SUMIF(CT_tram!$B$907:$G$995,$B271,CT_tram!$G$907:$G$995)</f>
        <v>0</v>
      </c>
      <c r="S271" s="775"/>
      <c r="T271" s="775">
        <f ca="1">SUMIF(CT_tram!$B$1004:$G$1097,B271,CT_tram!$G$1004:$G$1097)</f>
        <v>0</v>
      </c>
      <c r="U271" s="775"/>
      <c r="V271" s="775">
        <f ca="1">SUMIF(CT_tram!$B$1226:$G$1352,kl!B271,CT_tram!$G$1226:$G$1352)</f>
        <v>0</v>
      </c>
      <c r="W271" s="780">
        <f ca="1">SUMIF(CT_tram!$B$1105:$G$1219,kl!B271,CT_tram!$G$1105:$G$1219)</f>
        <v>0</v>
      </c>
      <c r="X271" s="775">
        <f ca="1">SUMIF(CT_tram!$B$1359:$G$1504,kl!B271,CT_tram!$G$1359:$G$1504)</f>
        <v>0</v>
      </c>
      <c r="Y271" s="775">
        <f ca="1">SUMIF(CT_tram!$B$1511:$G$1625,kl!B271,CT_tram!$G$1511:$G$1625)</f>
        <v>0</v>
      </c>
      <c r="Z271" s="775">
        <f ca="1">SUMIF(CT_tram!$B$1632:$G$2211,kl!B271,CT_tram!$G$1632:$G$2211)</f>
        <v>0</v>
      </c>
      <c r="AA271" s="775">
        <f ca="1">SUMIF(CT_tram!$B$2243:$G$2384,kl!B271,CT_tram!$G$2243:$G$2384)</f>
        <v>0</v>
      </c>
      <c r="AB271" s="775">
        <f ca="1">SUMIF(CT_tram!$B$2391:$G$2563,kl!B271,CT_tram!$G$2391:$G$2563)</f>
        <v>0</v>
      </c>
      <c r="AC271" s="775">
        <f ca="1">SUMIF(chitiet!$B$13:$N$2352,kl!$B271,chitiet!$I$13:$I$2352)</f>
        <v>0</v>
      </c>
      <c r="AD271" s="775">
        <f ca="1">SUMIF(chitiet!$B$13:$N$2352,kl!$B271,chitiet!$J$13:$J$2352)</f>
        <v>0</v>
      </c>
      <c r="AE271" s="775">
        <f ca="1">SUMIF(chitiet!$B$13:$N$2352,kl!$B271,chitiet!$K$13:$K$2352)</f>
        <v>0</v>
      </c>
      <c r="AF271" s="775">
        <f ca="1">SUMIF(chitiet!$B$13:$N$2352,kl!$B271,chitiet!$L$13:$L$2352)</f>
        <v>0</v>
      </c>
      <c r="AG271" s="775">
        <f ca="1">SUMIF(chitiet!$B$13:$N$2352,kl!$B271,chitiet!$M$13)</f>
        <v>0</v>
      </c>
      <c r="AH271" s="775">
        <f ca="1">SUMIF(chitiet!$B$13:$N$2352,kl!$B271,chitiet!$N$13:$N$2352)</f>
        <v>0</v>
      </c>
      <c r="AI271" s="775">
        <f ca="1">SUMIF(chitiet!$B$13:$N$2352,kl!$B271,chitiet!$O$13:$O$2352)</f>
        <v>0</v>
      </c>
      <c r="AJ271" s="775">
        <f ca="1">SUMIF('Cap ngam'!$B$631:$G$723,kl!$B271,'Cap ngam'!$G$631:$G$723)</f>
        <v>0</v>
      </c>
      <c r="AK271" s="775">
        <f ca="1">SUMIF('Cap ngam'!$B$403:$G$628,kl!$B271,'Cap ngam'!G$403:G$628)</f>
        <v>0</v>
      </c>
      <c r="AL271" s="775">
        <f ca="1">SUMIF('Cap ngam'!B$16:G$400,kl!$B271,'Cap ngam'!G$16:G$400)</f>
        <v>0</v>
      </c>
      <c r="AM271" s="776">
        <v>0.5</v>
      </c>
      <c r="AN271" s="775">
        <f t="shared" ca="1" si="133"/>
        <v>0</v>
      </c>
      <c r="AO271" s="775">
        <f t="shared" ca="1" si="134"/>
        <v>0</v>
      </c>
      <c r="AP271" s="775">
        <f t="shared" ca="1" si="135"/>
        <v>0</v>
      </c>
      <c r="AQ271" s="775">
        <f t="shared" ca="1" si="136"/>
        <v>0</v>
      </c>
      <c r="AR271" s="775">
        <f t="shared" ca="1" si="137"/>
        <v>0</v>
      </c>
      <c r="AS271" s="775">
        <f t="shared" ca="1" si="138"/>
        <v>0</v>
      </c>
      <c r="AT271" s="775">
        <f t="shared" ca="1" si="139"/>
        <v>0</v>
      </c>
      <c r="AU271" s="775">
        <f t="shared" ca="1" si="140"/>
        <v>0</v>
      </c>
      <c r="AV271" s="775">
        <f t="shared" ca="1" si="141"/>
        <v>0</v>
      </c>
      <c r="AW271" s="775">
        <f t="shared" ca="1" si="142"/>
        <v>0</v>
      </c>
      <c r="AX271" s="775">
        <f t="shared" si="143"/>
        <v>0</v>
      </c>
      <c r="AY271" s="775">
        <f t="shared" ca="1" si="144"/>
        <v>0</v>
      </c>
      <c r="AZ271" s="775">
        <f t="shared" si="145"/>
        <v>0</v>
      </c>
      <c r="BA271" s="775">
        <f t="shared" ca="1" si="126"/>
        <v>0</v>
      </c>
      <c r="BB271" s="775">
        <f t="shared" ca="1" si="127"/>
        <v>0</v>
      </c>
      <c r="BC271" s="775">
        <f t="shared" ca="1" si="128"/>
        <v>0</v>
      </c>
      <c r="BD271" s="775">
        <f t="shared" ca="1" si="129"/>
        <v>0</v>
      </c>
      <c r="BE271" s="775">
        <f t="shared" ca="1" si="130"/>
        <v>0</v>
      </c>
      <c r="BF271" s="775">
        <f t="shared" ca="1" si="131"/>
        <v>0</v>
      </c>
      <c r="BG271" s="775">
        <f t="shared" ca="1" si="132"/>
        <v>0</v>
      </c>
      <c r="BH271" s="775">
        <f t="shared" ca="1" si="146"/>
        <v>0</v>
      </c>
      <c r="BI271" s="775">
        <f t="shared" ca="1" si="147"/>
        <v>0</v>
      </c>
      <c r="BJ271" s="775">
        <f t="shared" ca="1" si="148"/>
        <v>0</v>
      </c>
      <c r="BK271" s="775">
        <f t="shared" ca="1" si="149"/>
        <v>0</v>
      </c>
      <c r="BL271" s="775">
        <f t="shared" ca="1" si="150"/>
        <v>0</v>
      </c>
      <c r="BM271" s="775">
        <f t="shared" ca="1" si="151"/>
        <v>0</v>
      </c>
      <c r="BN271" s="775">
        <f t="shared" ca="1" si="152"/>
        <v>0</v>
      </c>
      <c r="BO271" s="775">
        <f t="shared" ca="1" si="153"/>
        <v>0</v>
      </c>
      <c r="BP271" s="775">
        <f t="shared" ca="1" si="154"/>
        <v>0</v>
      </c>
      <c r="BQ271" s="775">
        <f t="shared" ca="1" si="170"/>
        <v>0</v>
      </c>
      <c r="BR271" s="775">
        <f t="shared" ca="1" si="155"/>
        <v>0</v>
      </c>
    </row>
    <row r="272" spans="1:70">
      <c r="A272" s="767" t="str">
        <f t="shared" ca="1" si="162"/>
        <v/>
      </c>
      <c r="B272" s="767" t="s">
        <v>2034</v>
      </c>
      <c r="C272" s="188" t="str">
        <f ca="1">IF(F272=0,"",COUNTIF($F$78:$F272,"&gt;0"))</f>
        <v/>
      </c>
      <c r="D272" s="778" t="str">
        <f>VLOOKUP($B272,dongia1,DG!$C$5,)</f>
        <v xml:space="preserve">Mắt nối t/ gian </v>
      </c>
      <c r="E272" s="555" t="str">
        <f>VLOOKUP($B272,dongia1,DG!$D$5,)</f>
        <v>cái</v>
      </c>
      <c r="F272" s="779">
        <f t="shared" ref="F272:F326" ca="1" si="171">G272+H272</f>
        <v>0</v>
      </c>
      <c r="G272" s="775">
        <f t="shared" ca="1" si="169"/>
        <v>0</v>
      </c>
      <c r="H272" s="775">
        <f ca="1">SUMIF(CT_tram!$B$33:$G$3559,kl!B272,CT_tram!$G$33:$G$3559)</f>
        <v>0</v>
      </c>
      <c r="I272" s="775">
        <f ca="1">SUMIF(CT_tram!$B$34:$G$115,$B272,CT_tram!$G$34:$G$115)</f>
        <v>0</v>
      </c>
      <c r="J272" s="775">
        <f ca="1">SUMIF(CT_tram!$B$122:$G$204,$B272,CT_tram!$G$122:$G$204)</f>
        <v>0</v>
      </c>
      <c r="K272" s="775">
        <f ca="1">SUMIF(CT_tram!$B$211:$G$293,$B272,CT_tram!$G$211:$G$293)</f>
        <v>0</v>
      </c>
      <c r="L272" s="775">
        <f ca="1">SUMIF(CT_tram!$B$300:$G$374,$B272,CT_tram!$G$300:$G$374)</f>
        <v>0</v>
      </c>
      <c r="M272" s="775">
        <f ca="1">SUMIF(CT_tram!$B$381:$G$471,$B272,CT_tram!$G$381:$G$471)</f>
        <v>0</v>
      </c>
      <c r="N272" s="775">
        <f ca="1">SUMIF(CT_tram!$B$478:$G$560,$B272,CT_tram!$G$478:$G$560)</f>
        <v>0</v>
      </c>
      <c r="O272" s="775">
        <f ca="1">SUMIF(CT_tram!$B$567:$G$653,$B272,CT_tram!$G$567:$G$653)</f>
        <v>0</v>
      </c>
      <c r="P272" s="775">
        <f ca="1">SUMIF(CT_tram!$B$661:$G$738,$B272,CT_tram!$G$661:$G$738)</f>
        <v>0</v>
      </c>
      <c r="Q272" s="775">
        <f ca="1">SUMIF(CT_tram!$B$745:$G$899,$B272,CT_tram!$G$745:$G$899)</f>
        <v>0</v>
      </c>
      <c r="R272" s="775">
        <f ca="1">SUMIF(CT_tram!$B$907:$G$995,$B272,CT_tram!$G$907:$G$995)</f>
        <v>0</v>
      </c>
      <c r="S272" s="775"/>
      <c r="T272" s="775">
        <f ca="1">SUMIF(CT_tram!$B$1004:$G$1097,B272,CT_tram!$G$1004:$G$1097)</f>
        <v>0</v>
      </c>
      <c r="U272" s="775"/>
      <c r="V272" s="775">
        <f ca="1">SUMIF(CT_tram!$B$1226:$G$1352,kl!B272,CT_tram!$G$1226:$G$1352)</f>
        <v>0</v>
      </c>
      <c r="W272" s="780">
        <f ca="1">SUMIF(CT_tram!$B$1105:$G$1219,kl!B272,CT_tram!$G$1105:$G$1219)</f>
        <v>0</v>
      </c>
      <c r="X272" s="775">
        <f ca="1">SUMIF(CT_tram!$B$1359:$G$1504,kl!B272,CT_tram!$G$1359:$G$1504)</f>
        <v>0</v>
      </c>
      <c r="Y272" s="775">
        <f ca="1">SUMIF(CT_tram!$B$1511:$G$1625,kl!B272,CT_tram!$G$1511:$G$1625)</f>
        <v>0</v>
      </c>
      <c r="Z272" s="775">
        <f ca="1">SUMIF(CT_tram!$B$1632:$G$2211,kl!B272,CT_tram!$G$1632:$G$2211)</f>
        <v>0</v>
      </c>
      <c r="AA272" s="775">
        <f ca="1">SUMIF(CT_tram!$B$2243:$G$2384,kl!B272,CT_tram!$G$2243:$G$2384)</f>
        <v>0</v>
      </c>
      <c r="AB272" s="775">
        <f ca="1">SUMIF(CT_tram!$B$2391:$G$2563,kl!B272,CT_tram!$G$2391:$G$2563)</f>
        <v>0</v>
      </c>
      <c r="AC272" s="775">
        <f ca="1">SUMIF(chitiet!$B$13:$N$2352,kl!$B272,chitiet!$I$13:$I$2352)</f>
        <v>0</v>
      </c>
      <c r="AD272" s="775">
        <f ca="1">SUMIF(chitiet!$B$13:$N$2352,kl!$B272,chitiet!$J$13:$J$2352)</f>
        <v>0</v>
      </c>
      <c r="AE272" s="775">
        <f ca="1">SUMIF(chitiet!$B$13:$N$2352,kl!$B272,chitiet!$K$13:$K$2352)</f>
        <v>0</v>
      </c>
      <c r="AF272" s="775">
        <f ca="1">SUMIF(chitiet!$B$13:$N$2352,kl!$B272,chitiet!$L$13:$L$2352)</f>
        <v>0</v>
      </c>
      <c r="AG272" s="775">
        <f ca="1">SUMIF(chitiet!$B$13:$N$2352,kl!$B272,chitiet!$M$13)</f>
        <v>0</v>
      </c>
      <c r="AH272" s="775">
        <f ca="1">SUMIF(chitiet!$B$13:$N$2352,kl!$B272,chitiet!$N$13:$N$2352)</f>
        <v>0</v>
      </c>
      <c r="AI272" s="775">
        <f ca="1">SUMIF(chitiet!$B$13:$N$2352,kl!$B272,chitiet!$O$13:$O$2352)</f>
        <v>0</v>
      </c>
      <c r="AJ272" s="775">
        <f ca="1">SUMIF('Cap ngam'!$B$631:$G$723,kl!$B272,'Cap ngam'!$G$631:$G$723)</f>
        <v>0</v>
      </c>
      <c r="AK272" s="775">
        <f ca="1">SUMIF('Cap ngam'!$B$403:$G$628,kl!$B272,'Cap ngam'!G$403:G$628)</f>
        <v>0</v>
      </c>
      <c r="AL272" s="775">
        <f ca="1">SUMIF('Cap ngam'!B$16:G$400,kl!$B272,'Cap ngam'!G$16:G$400)</f>
        <v>0</v>
      </c>
      <c r="AM272" s="776">
        <v>0.5</v>
      </c>
      <c r="AN272" s="775">
        <f t="shared" ca="1" si="133"/>
        <v>0</v>
      </c>
      <c r="AO272" s="775">
        <f t="shared" ca="1" si="134"/>
        <v>0</v>
      </c>
      <c r="AP272" s="775">
        <f t="shared" ca="1" si="135"/>
        <v>0</v>
      </c>
      <c r="AQ272" s="775">
        <f t="shared" ca="1" si="136"/>
        <v>0</v>
      </c>
      <c r="AR272" s="775">
        <f t="shared" ca="1" si="137"/>
        <v>0</v>
      </c>
      <c r="AS272" s="775">
        <f t="shared" ca="1" si="138"/>
        <v>0</v>
      </c>
      <c r="AT272" s="775">
        <f t="shared" ca="1" si="139"/>
        <v>0</v>
      </c>
      <c r="AU272" s="775">
        <f t="shared" ca="1" si="140"/>
        <v>0</v>
      </c>
      <c r="AV272" s="775">
        <f t="shared" ca="1" si="141"/>
        <v>0</v>
      </c>
      <c r="AW272" s="775">
        <f t="shared" ca="1" si="142"/>
        <v>0</v>
      </c>
      <c r="AX272" s="775">
        <f t="shared" si="143"/>
        <v>0</v>
      </c>
      <c r="AY272" s="775">
        <f t="shared" ca="1" si="144"/>
        <v>0</v>
      </c>
      <c r="AZ272" s="775">
        <f t="shared" si="145"/>
        <v>0</v>
      </c>
      <c r="BA272" s="775">
        <f t="shared" ca="1" si="126"/>
        <v>0</v>
      </c>
      <c r="BB272" s="775">
        <f t="shared" ca="1" si="127"/>
        <v>0</v>
      </c>
      <c r="BC272" s="775">
        <f t="shared" ca="1" si="128"/>
        <v>0</v>
      </c>
      <c r="BD272" s="775">
        <f t="shared" ca="1" si="129"/>
        <v>0</v>
      </c>
      <c r="BE272" s="775">
        <f t="shared" ca="1" si="130"/>
        <v>0</v>
      </c>
      <c r="BF272" s="775">
        <f t="shared" ca="1" si="131"/>
        <v>0</v>
      </c>
      <c r="BG272" s="775">
        <f t="shared" ca="1" si="132"/>
        <v>0</v>
      </c>
      <c r="BH272" s="775">
        <f t="shared" ca="1" si="146"/>
        <v>0</v>
      </c>
      <c r="BI272" s="775">
        <f t="shared" ca="1" si="147"/>
        <v>0</v>
      </c>
      <c r="BJ272" s="775">
        <f t="shared" ca="1" si="148"/>
        <v>0</v>
      </c>
      <c r="BK272" s="775">
        <f t="shared" ca="1" si="149"/>
        <v>0</v>
      </c>
      <c r="BL272" s="775">
        <f t="shared" ca="1" si="150"/>
        <v>0</v>
      </c>
      <c r="BM272" s="775">
        <f t="shared" ca="1" si="151"/>
        <v>0</v>
      </c>
      <c r="BN272" s="775">
        <f t="shared" ca="1" si="152"/>
        <v>0</v>
      </c>
      <c r="BO272" s="775">
        <f t="shared" ca="1" si="153"/>
        <v>0</v>
      </c>
      <c r="BP272" s="775">
        <f t="shared" ca="1" si="154"/>
        <v>0</v>
      </c>
      <c r="BQ272" s="775">
        <f t="shared" ca="1" si="170"/>
        <v>0</v>
      </c>
      <c r="BR272" s="775">
        <f t="shared" ca="1" si="155"/>
        <v>0</v>
      </c>
    </row>
    <row r="273" spans="1:70">
      <c r="A273" s="767" t="str">
        <f t="shared" ca="1" si="162"/>
        <v>X</v>
      </c>
      <c r="B273" s="799" t="s">
        <v>2035</v>
      </c>
      <c r="C273" s="188">
        <f ca="1">IF(F273=0,"",COUNTIF($F$78:$F273,"&gt;0"))</f>
        <v>22</v>
      </c>
      <c r="D273" s="778" t="str">
        <f>VLOOKUP($B273,dongia1,DG!$C$5,)</f>
        <v xml:space="preserve">Móc treo chữ U F16 dài </v>
      </c>
      <c r="E273" s="555" t="str">
        <f>VLOOKUP($B273,dongia1,DG!$D$5,)</f>
        <v>cái</v>
      </c>
      <c r="F273" s="975">
        <f t="shared" ca="1" si="171"/>
        <v>12</v>
      </c>
      <c r="G273" s="976">
        <f t="shared" ca="1" si="169"/>
        <v>12</v>
      </c>
      <c r="H273" s="976">
        <f ca="1">SUMIF(CT_tram!$B$33:$G$3559,kl!B273,CT_tram!$G$33:$G$3559)</f>
        <v>0</v>
      </c>
      <c r="I273" s="775">
        <f ca="1">SUMIF(CT_tram!$B$34:$G$115,$B273,CT_tram!$G$34:$G$115)</f>
        <v>0</v>
      </c>
      <c r="J273" s="775">
        <f ca="1">SUMIF(CT_tram!$B$122:$G$204,$B273,CT_tram!$G$122:$G$204)</f>
        <v>0</v>
      </c>
      <c r="K273" s="775">
        <f ca="1">SUMIF(CT_tram!$B$211:$G$293,$B273,CT_tram!$G$211:$G$293)</f>
        <v>0</v>
      </c>
      <c r="L273" s="775">
        <f ca="1">SUMIF(CT_tram!$B$300:$G$374,$B273,CT_tram!$G$300:$G$374)</f>
        <v>0</v>
      </c>
      <c r="M273" s="775">
        <f ca="1">SUMIF(CT_tram!$B$381:$G$471,$B273,CT_tram!$G$381:$G$471)</f>
        <v>0</v>
      </c>
      <c r="N273" s="775">
        <f ca="1">SUMIF(CT_tram!$B$478:$G$560,$B273,CT_tram!$G$478:$G$560)</f>
        <v>0</v>
      </c>
      <c r="O273" s="775">
        <f ca="1">SUMIF(CT_tram!$B$567:$G$653,$B273,CT_tram!$G$567:$G$653)</f>
        <v>0</v>
      </c>
      <c r="P273" s="775">
        <f ca="1">SUMIF(CT_tram!$B$661:$G$738,$B273,CT_tram!$G$661:$G$738)</f>
        <v>0</v>
      </c>
      <c r="Q273" s="775">
        <f ca="1">SUMIF(CT_tram!$B$745:$G$899,$B273,CT_tram!$G$745:$G$899)</f>
        <v>0</v>
      </c>
      <c r="R273" s="775">
        <f ca="1">SUMIF(CT_tram!$B$907:$G$995,$B273,CT_tram!$G$907:$G$995)</f>
        <v>0</v>
      </c>
      <c r="S273" s="775"/>
      <c r="T273" s="775">
        <f ca="1">SUMIF(CT_tram!$B$1004:$G$1097,B273,CT_tram!$G$1004:$G$1097)</f>
        <v>0</v>
      </c>
      <c r="U273" s="775"/>
      <c r="V273" s="775">
        <f ca="1">SUMIF(CT_tram!$B$1226:$G$1352,kl!B273,CT_tram!$G$1226:$G$1352)</f>
        <v>0</v>
      </c>
      <c r="W273" s="780">
        <f ca="1">SUMIF(CT_tram!$B$1105:$G$1219,kl!B273,CT_tram!$G$1105:$G$1219)</f>
        <v>0</v>
      </c>
      <c r="X273" s="775">
        <f ca="1">SUMIF(CT_tram!$B$1359:$G$1504,kl!B273,CT_tram!$G$1359:$G$1504)</f>
        <v>0</v>
      </c>
      <c r="Y273" s="775">
        <f ca="1">SUMIF(CT_tram!$B$1511:$G$1625,kl!B273,CT_tram!$G$1511:$G$1625)</f>
        <v>0</v>
      </c>
      <c r="Z273" s="775">
        <f ca="1">SUMIF(CT_tram!$B$1632:$G$2211,kl!B273,CT_tram!$G$1632:$G$2211)</f>
        <v>0</v>
      </c>
      <c r="AA273" s="775">
        <f ca="1">SUMIF(CT_tram!$B$2243:$G$2384,kl!B273,CT_tram!$G$2243:$G$2384)</f>
        <v>0</v>
      </c>
      <c r="AB273" s="775">
        <f ca="1">SUMIF(CT_tram!$B$2391:$G$2563,kl!B273,CT_tram!$G$2391:$G$2563)</f>
        <v>0</v>
      </c>
      <c r="AC273" s="775">
        <f ca="1">SUMIF(chitiet!$B$13:$N$2352,kl!$B273,chitiet!$I$13:$I$2352)</f>
        <v>0</v>
      </c>
      <c r="AD273" s="775">
        <f ca="1">SUMIF(chitiet!$B$13:$N$2352,kl!$B273,chitiet!$J$13:$J$2352)</f>
        <v>0</v>
      </c>
      <c r="AE273" s="775">
        <f ca="1">SUMIF(chitiet!$B$13:$N$2352,kl!$B273,chitiet!$K$13:$K$2352)</f>
        <v>12</v>
      </c>
      <c r="AF273" s="775">
        <f ca="1">SUMIF(chitiet!$B$13:$N$2352,kl!$B273,chitiet!$L$13:$L$2352)</f>
        <v>0</v>
      </c>
      <c r="AG273" s="775">
        <f ca="1">SUMIF(chitiet!$B$13:$N$2352,kl!$B273,chitiet!$M$13)</f>
        <v>0</v>
      </c>
      <c r="AH273" s="775">
        <f ca="1">SUMIF(chitiet!$B$13:$N$2352,kl!$B273,chitiet!$N$13:$N$2352)</f>
        <v>0</v>
      </c>
      <c r="AI273" s="775">
        <f ca="1">SUMIF(chitiet!$B$13:$N$2352,kl!$B273,chitiet!$O$13:$O$2352)</f>
        <v>0</v>
      </c>
      <c r="AJ273" s="775">
        <f ca="1">SUMIF('Cap ngam'!$B$631:$G$723,kl!$B273,'Cap ngam'!$G$631:$G$723)</f>
        <v>0</v>
      </c>
      <c r="AK273" s="775">
        <f ca="1">SUMIF('Cap ngam'!$B$403:$G$628,kl!$B273,'Cap ngam'!G$403:G$628)</f>
        <v>0</v>
      </c>
      <c r="AL273" s="775">
        <f ca="1">SUMIF('Cap ngam'!B$16:G$400,kl!$B273,'Cap ngam'!G$16:G$400)</f>
        <v>0</v>
      </c>
      <c r="AM273" s="776">
        <v>0.5</v>
      </c>
      <c r="AN273" s="775">
        <f t="shared" ca="1" si="133"/>
        <v>0</v>
      </c>
      <c r="AO273" s="775">
        <f t="shared" ca="1" si="134"/>
        <v>0</v>
      </c>
      <c r="AP273" s="775">
        <f t="shared" ca="1" si="135"/>
        <v>0</v>
      </c>
      <c r="AQ273" s="775">
        <f t="shared" ca="1" si="136"/>
        <v>0</v>
      </c>
      <c r="AR273" s="775">
        <f t="shared" ca="1" si="137"/>
        <v>0</v>
      </c>
      <c r="AS273" s="775">
        <f t="shared" ca="1" si="138"/>
        <v>0</v>
      </c>
      <c r="AT273" s="775">
        <f t="shared" ca="1" si="139"/>
        <v>0</v>
      </c>
      <c r="AU273" s="775">
        <f t="shared" ca="1" si="140"/>
        <v>0</v>
      </c>
      <c r="AV273" s="775">
        <f t="shared" ca="1" si="141"/>
        <v>0</v>
      </c>
      <c r="AW273" s="775">
        <f t="shared" ca="1" si="142"/>
        <v>0</v>
      </c>
      <c r="AX273" s="775">
        <f t="shared" si="143"/>
        <v>0</v>
      </c>
      <c r="AY273" s="775">
        <f t="shared" ca="1" si="144"/>
        <v>0</v>
      </c>
      <c r="AZ273" s="775">
        <f t="shared" si="145"/>
        <v>0</v>
      </c>
      <c r="BA273" s="775">
        <f t="shared" ca="1" si="126"/>
        <v>0</v>
      </c>
      <c r="BB273" s="775">
        <f t="shared" ca="1" si="127"/>
        <v>0</v>
      </c>
      <c r="BC273" s="775">
        <f t="shared" ca="1" si="128"/>
        <v>0</v>
      </c>
      <c r="BD273" s="775">
        <f t="shared" ca="1" si="129"/>
        <v>0</v>
      </c>
      <c r="BE273" s="775">
        <f t="shared" ca="1" si="130"/>
        <v>0</v>
      </c>
      <c r="BF273" s="775">
        <f t="shared" ca="1" si="131"/>
        <v>0</v>
      </c>
      <c r="BG273" s="775">
        <f t="shared" ca="1" si="132"/>
        <v>0</v>
      </c>
      <c r="BH273" s="775">
        <f t="shared" ca="1" si="146"/>
        <v>0</v>
      </c>
      <c r="BI273" s="775">
        <f t="shared" ca="1" si="147"/>
        <v>0</v>
      </c>
      <c r="BJ273" s="775">
        <f t="shared" ca="1" si="148"/>
        <v>6</v>
      </c>
      <c r="BK273" s="775">
        <f t="shared" ca="1" si="149"/>
        <v>0</v>
      </c>
      <c r="BL273" s="775">
        <f t="shared" ca="1" si="150"/>
        <v>0</v>
      </c>
      <c r="BM273" s="775">
        <f t="shared" ca="1" si="151"/>
        <v>0</v>
      </c>
      <c r="BN273" s="775">
        <f t="shared" ca="1" si="152"/>
        <v>0</v>
      </c>
      <c r="BO273" s="775">
        <f t="shared" ca="1" si="153"/>
        <v>0</v>
      </c>
      <c r="BP273" s="775">
        <f t="shared" ca="1" si="154"/>
        <v>0</v>
      </c>
      <c r="BQ273" s="775">
        <f t="shared" ca="1" si="170"/>
        <v>0</v>
      </c>
      <c r="BR273" s="775">
        <f t="shared" ca="1" si="155"/>
        <v>0</v>
      </c>
    </row>
    <row r="274" spans="1:70">
      <c r="A274" s="767" t="str">
        <f t="shared" ca="1" si="162"/>
        <v/>
      </c>
      <c r="B274" s="799" t="s">
        <v>1277</v>
      </c>
      <c r="C274" s="188" t="str">
        <f ca="1">IF(F274=0,"",COUNTIF($F$78:$F274,"&gt;0"))</f>
        <v/>
      </c>
      <c r="D274" s="778" t="str">
        <f>VLOOKUP($B274,dongia1,DG!$C$5,)</f>
        <v>Vòng treo đầu tròn</v>
      </c>
      <c r="E274" s="555" t="str">
        <f>VLOOKUP($B274,dongia1,DG!$D$5,)</f>
        <v>cái</v>
      </c>
      <c r="F274" s="779">
        <f t="shared" ca="1" si="171"/>
        <v>0</v>
      </c>
      <c r="G274" s="775">
        <f t="shared" ca="1" si="169"/>
        <v>0</v>
      </c>
      <c r="H274" s="775">
        <f ca="1">SUMIF(CT_tram!$B$33:$G$3559,kl!B274,CT_tram!$G$33:$G$3559)</f>
        <v>0</v>
      </c>
      <c r="I274" s="775">
        <f ca="1">SUMIF(CT_tram!$B$34:$G$115,$B274,CT_tram!$G$34:$G$115)</f>
        <v>0</v>
      </c>
      <c r="J274" s="775">
        <f ca="1">SUMIF(CT_tram!$B$122:$G$204,$B274,CT_tram!$G$122:$G$204)</f>
        <v>0</v>
      </c>
      <c r="K274" s="775">
        <f ca="1">SUMIF(CT_tram!$B$211:$G$293,$B274,CT_tram!$G$211:$G$293)</f>
        <v>0</v>
      </c>
      <c r="L274" s="775">
        <f ca="1">SUMIF(CT_tram!$B$300:$G$374,$B274,CT_tram!$G$300:$G$374)</f>
        <v>0</v>
      </c>
      <c r="M274" s="775">
        <f ca="1">SUMIF(CT_tram!$B$381:$G$471,$B274,CT_tram!$G$381:$G$471)</f>
        <v>0</v>
      </c>
      <c r="N274" s="775">
        <f ca="1">SUMIF(CT_tram!$B$478:$G$560,$B274,CT_tram!$G$478:$G$560)</f>
        <v>0</v>
      </c>
      <c r="O274" s="775">
        <f ca="1">SUMIF(CT_tram!$B$567:$G$653,$B274,CT_tram!$G$567:$G$653)</f>
        <v>0</v>
      </c>
      <c r="P274" s="775">
        <f ca="1">SUMIF(CT_tram!$B$661:$G$738,$B274,CT_tram!$G$661:$G$738)</f>
        <v>0</v>
      </c>
      <c r="Q274" s="775">
        <f ca="1">SUMIF(CT_tram!$B$745:$G$899,$B274,CT_tram!$G$745:$G$899)</f>
        <v>0</v>
      </c>
      <c r="R274" s="775">
        <f ca="1">SUMIF(CT_tram!$B$907:$G$995,$B274,CT_tram!$G$907:$G$995)</f>
        <v>0</v>
      </c>
      <c r="S274" s="775"/>
      <c r="T274" s="775">
        <f ca="1">SUMIF(CT_tram!$B$1004:$G$1097,B274,CT_tram!$G$1004:$G$1097)</f>
        <v>0</v>
      </c>
      <c r="U274" s="775"/>
      <c r="V274" s="775">
        <f ca="1">SUMIF(CT_tram!$B$1226:$G$1352,kl!B274,CT_tram!$G$1226:$G$1352)</f>
        <v>0</v>
      </c>
      <c r="W274" s="780">
        <f ca="1">SUMIF(CT_tram!$B$1105:$G$1219,kl!B274,CT_tram!$G$1105:$G$1219)</f>
        <v>0</v>
      </c>
      <c r="X274" s="775">
        <f ca="1">SUMIF(CT_tram!$B$1359:$G$1504,kl!B274,CT_tram!$G$1359:$G$1504)</f>
        <v>0</v>
      </c>
      <c r="Y274" s="775">
        <f ca="1">SUMIF(CT_tram!$B$1511:$G$1625,kl!B274,CT_tram!$G$1511:$G$1625)</f>
        <v>0</v>
      </c>
      <c r="Z274" s="775">
        <f ca="1">SUMIF(CT_tram!$B$1632:$G$2211,kl!B274,CT_tram!$G$1632:$G$2211)</f>
        <v>0</v>
      </c>
      <c r="AA274" s="775">
        <f ca="1">SUMIF(CT_tram!$B$2243:$G$2384,kl!B274,CT_tram!$G$2243:$G$2384)</f>
        <v>0</v>
      </c>
      <c r="AB274" s="775">
        <f ca="1">SUMIF(CT_tram!$B$2391:$G$2563,kl!B274,CT_tram!$G$2391:$G$2563)</f>
        <v>0</v>
      </c>
      <c r="AC274" s="775">
        <f ca="1">SUMIF(chitiet!$B$13:$N$2352,kl!$B274,chitiet!$I$13:$I$2352)</f>
        <v>0</v>
      </c>
      <c r="AD274" s="775">
        <f ca="1">SUMIF(chitiet!$B$13:$N$2352,kl!$B274,chitiet!$J$13:$J$2352)</f>
        <v>0</v>
      </c>
      <c r="AE274" s="775">
        <f ca="1">SUMIF(chitiet!$B$13:$N$2352,kl!$B274,chitiet!$K$13:$K$2352)</f>
        <v>0</v>
      </c>
      <c r="AF274" s="775">
        <f ca="1">SUMIF(chitiet!$B$13:$N$2352,kl!$B274,chitiet!$L$13:$L$2352)</f>
        <v>0</v>
      </c>
      <c r="AG274" s="775">
        <f ca="1">SUMIF(chitiet!$B$13:$N$2352,kl!$B274,chitiet!$M$13)</f>
        <v>0</v>
      </c>
      <c r="AH274" s="775">
        <f ca="1">SUMIF(chitiet!$B$13:$N$2352,kl!$B274,chitiet!$N$13:$N$2352)</f>
        <v>0</v>
      </c>
      <c r="AI274" s="775">
        <f ca="1">SUMIF(chitiet!$B$13:$N$2352,kl!$B274,chitiet!$O$13:$O$2352)</f>
        <v>0</v>
      </c>
      <c r="AJ274" s="775">
        <f ca="1">SUMIF('Cap ngam'!$B$631:$G$723,kl!$B274,'Cap ngam'!$G$631:$G$723)</f>
        <v>0</v>
      </c>
      <c r="AK274" s="775">
        <f ca="1">SUMIF('Cap ngam'!$B$403:$G$628,kl!$B274,'Cap ngam'!G$403:G$628)</f>
        <v>0</v>
      </c>
      <c r="AL274" s="775">
        <f ca="1">SUMIF('Cap ngam'!B$16:G$400,kl!$B274,'Cap ngam'!G$16:G$400)</f>
        <v>0</v>
      </c>
      <c r="AM274" s="776">
        <v>0.5</v>
      </c>
      <c r="AN274" s="775">
        <f t="shared" ca="1" si="133"/>
        <v>0</v>
      </c>
      <c r="AO274" s="775">
        <f t="shared" ca="1" si="134"/>
        <v>0</v>
      </c>
      <c r="AP274" s="775">
        <f t="shared" ca="1" si="135"/>
        <v>0</v>
      </c>
      <c r="AQ274" s="775">
        <f t="shared" ca="1" si="136"/>
        <v>0</v>
      </c>
      <c r="AR274" s="775">
        <f t="shared" ca="1" si="137"/>
        <v>0</v>
      </c>
      <c r="AS274" s="775">
        <f t="shared" ca="1" si="138"/>
        <v>0</v>
      </c>
      <c r="AT274" s="775">
        <f t="shared" ca="1" si="139"/>
        <v>0</v>
      </c>
      <c r="AU274" s="775">
        <f t="shared" ca="1" si="140"/>
        <v>0</v>
      </c>
      <c r="AV274" s="775">
        <f t="shared" ca="1" si="141"/>
        <v>0</v>
      </c>
      <c r="AW274" s="775">
        <f t="shared" ca="1" si="142"/>
        <v>0</v>
      </c>
      <c r="AX274" s="775">
        <f t="shared" si="143"/>
        <v>0</v>
      </c>
      <c r="AY274" s="775">
        <f t="shared" ca="1" si="144"/>
        <v>0</v>
      </c>
      <c r="AZ274" s="775">
        <f t="shared" si="145"/>
        <v>0</v>
      </c>
      <c r="BA274" s="775">
        <f t="shared" ref="BA274:BA358" ca="1" si="172">V274*$AM274</f>
        <v>0</v>
      </c>
      <c r="BB274" s="775">
        <f t="shared" ref="BB274:BB358" ca="1" si="173">W274*$AM274</f>
        <v>0</v>
      </c>
      <c r="BC274" s="775">
        <f t="shared" ref="BC274:BC358" ca="1" si="174">X274*$AM274</f>
        <v>0</v>
      </c>
      <c r="BD274" s="775">
        <f t="shared" ref="BD274:BD358" ca="1" si="175">Y274*$AM274</f>
        <v>0</v>
      </c>
      <c r="BE274" s="775">
        <f t="shared" ref="BE274:BE358" ca="1" si="176">Z274*$AM274</f>
        <v>0</v>
      </c>
      <c r="BF274" s="775">
        <f t="shared" ref="BF274:BF358" ca="1" si="177">AA274*$AM274</f>
        <v>0</v>
      </c>
      <c r="BG274" s="775">
        <f t="shared" ref="BG274:BG358" ca="1" si="178">AB274*$AM274</f>
        <v>0</v>
      </c>
      <c r="BH274" s="775">
        <f t="shared" ca="1" si="146"/>
        <v>0</v>
      </c>
      <c r="BI274" s="775">
        <f t="shared" ca="1" si="147"/>
        <v>0</v>
      </c>
      <c r="BJ274" s="775">
        <f t="shared" ca="1" si="148"/>
        <v>0</v>
      </c>
      <c r="BK274" s="775">
        <f t="shared" ca="1" si="149"/>
        <v>0</v>
      </c>
      <c r="BL274" s="775">
        <f t="shared" ca="1" si="150"/>
        <v>0</v>
      </c>
      <c r="BM274" s="775">
        <f t="shared" ca="1" si="151"/>
        <v>0</v>
      </c>
      <c r="BN274" s="775">
        <f t="shared" ca="1" si="152"/>
        <v>0</v>
      </c>
      <c r="BO274" s="775">
        <f t="shared" ca="1" si="153"/>
        <v>0</v>
      </c>
      <c r="BP274" s="775">
        <f t="shared" ca="1" si="154"/>
        <v>0</v>
      </c>
      <c r="BQ274" s="775">
        <f t="shared" ca="1" si="170"/>
        <v>0</v>
      </c>
      <c r="BR274" s="775">
        <f t="shared" ca="1" si="155"/>
        <v>0</v>
      </c>
    </row>
    <row r="275" spans="1:70">
      <c r="A275" s="767" t="str">
        <f ca="1">IF(F275&lt;&gt;0,"X","")</f>
        <v>X</v>
      </c>
      <c r="B275" s="799" t="s">
        <v>4612</v>
      </c>
      <c r="C275" s="188">
        <f ca="1">IF(F275=0,"",COUNTIF($F$78:$F275,"&gt;0"))</f>
        <v>23</v>
      </c>
      <c r="D275" s="778" t="str">
        <f>VLOOKUP($B275,dongia1,DG!$C$5,)</f>
        <v>Ông Co nhiệt Ø 60(65)</v>
      </c>
      <c r="E275" s="555" t="str">
        <f>VLOOKUP($B275,dongia1,DG!$D$5,)</f>
        <v>m</v>
      </c>
      <c r="F275" s="975">
        <f t="shared" ca="1" si="171"/>
        <v>1</v>
      </c>
      <c r="G275" s="976">
        <f t="shared" ca="1" si="169"/>
        <v>1</v>
      </c>
      <c r="H275" s="976">
        <f ca="1">SUMIF(CT_tram!$B$33:$G$3559,kl!B275,CT_tram!$G$33:$G$3559)</f>
        <v>0</v>
      </c>
      <c r="I275" s="775">
        <f ca="1">SUMIF(CT_tram!$B$34:$G$115,$B275,CT_tram!$G$34:$G$115)</f>
        <v>0</v>
      </c>
      <c r="J275" s="775">
        <f ca="1">SUMIF(CT_tram!$B$122:$G$204,$B275,CT_tram!$G$122:$G$204)</f>
        <v>0</v>
      </c>
      <c r="K275" s="775">
        <f ca="1">SUMIF(CT_tram!$B$211:$G$293,$B275,CT_tram!$G$211:$G$293)</f>
        <v>0</v>
      </c>
      <c r="L275" s="775">
        <f ca="1">SUMIF(CT_tram!$B$300:$G$374,$B275,CT_tram!$G$300:$G$374)</f>
        <v>0</v>
      </c>
      <c r="M275" s="775">
        <f ca="1">SUMIF(CT_tram!$B$381:$G$471,$B275,CT_tram!$G$381:$G$471)</f>
        <v>0</v>
      </c>
      <c r="N275" s="775">
        <f ca="1">SUMIF(CT_tram!$B$478:$G$560,$B275,CT_tram!$G$478:$G$560)</f>
        <v>0</v>
      </c>
      <c r="O275" s="775">
        <f ca="1">SUMIF(CT_tram!$B$567:$G$653,$B275,CT_tram!$G$567:$G$653)</f>
        <v>0</v>
      </c>
      <c r="P275" s="775">
        <f ca="1">SUMIF(CT_tram!$B$661:$G$738,$B275,CT_tram!$G$661:$G$738)</f>
        <v>0</v>
      </c>
      <c r="Q275" s="775">
        <f ca="1">SUMIF(CT_tram!$B$745:$G$899,$B275,CT_tram!$G$745:$G$899)</f>
        <v>0</v>
      </c>
      <c r="R275" s="775">
        <f ca="1">SUMIF(CT_tram!$B$907:$G$995,$B275,CT_tram!$G$907:$G$995)</f>
        <v>0</v>
      </c>
      <c r="S275" s="775"/>
      <c r="T275" s="775">
        <f ca="1">SUMIF(CT_tram!$B$1004:$G$1097,B275,CT_tram!$G$1004:$G$1097)</f>
        <v>0</v>
      </c>
      <c r="U275" s="775"/>
      <c r="V275" s="775">
        <f ca="1">SUMIF(CT_tram!$B$1226:$G$1352,kl!B275,CT_tram!$G$1226:$G$1352)</f>
        <v>0</v>
      </c>
      <c r="W275" s="780">
        <f ca="1">SUMIF(CT_tram!$B$1105:$G$1219,kl!B275,CT_tram!$G$1105:$G$1219)</f>
        <v>0</v>
      </c>
      <c r="X275" s="775">
        <f ca="1">SUMIF(CT_tram!$B$1359:$G$1504,kl!B275,CT_tram!$G$1359:$G$1504)</f>
        <v>0</v>
      </c>
      <c r="Y275" s="775">
        <f ca="1">SUMIF(CT_tram!$B$1511:$G$1625,kl!B275,CT_tram!$G$1511:$G$1625)</f>
        <v>0</v>
      </c>
      <c r="Z275" s="775">
        <f ca="1">SUMIF(CT_tram!$B$1632:$G$2211,kl!B275,CT_tram!$G$1632:$G$2211)</f>
        <v>0</v>
      </c>
      <c r="AA275" s="775">
        <f ca="1">SUMIF(CT_tram!$B$2243:$G$2384,kl!B275,CT_tram!$G$2243:$G$2384)</f>
        <v>0</v>
      </c>
      <c r="AB275" s="775">
        <f ca="1">SUMIF(CT_tram!$B$2391:$G$2563,kl!B275,CT_tram!$G$2391:$G$2563)</f>
        <v>0</v>
      </c>
      <c r="AC275" s="775">
        <f ca="1">SUMIF(chitiet!$B$13:$N$2352,kl!$B275,chitiet!$I$13:$I$2352)</f>
        <v>0</v>
      </c>
      <c r="AD275" s="775">
        <f ca="1">SUMIF(chitiet!$B$13:$N$2352,kl!$B275,chitiet!$J$13:$J$2352)</f>
        <v>0</v>
      </c>
      <c r="AE275" s="775">
        <f ca="1">SUMIF(chitiet!$B$13:$N$2352,kl!$B275,chitiet!$K$13:$K$2352)</f>
        <v>1</v>
      </c>
      <c r="AF275" s="775">
        <f ca="1">SUMIF(chitiet!$B$13:$N$2352,kl!$B275,chitiet!$L$13:$L$2352)</f>
        <v>0</v>
      </c>
      <c r="AG275" s="775">
        <f ca="1">SUMIF(chitiet!$B$13:$N$2352,kl!$B275,chitiet!$M$13)</f>
        <v>0</v>
      </c>
      <c r="AH275" s="775">
        <f ca="1">SUMIF(chitiet!$B$13:$N$2352,kl!$B275,chitiet!$N$13:$N$2352)</f>
        <v>0</v>
      </c>
      <c r="AI275" s="775">
        <f ca="1">SUMIF(chitiet!$B$13:$N$2352,kl!$B275,chitiet!$O$13:$O$2352)</f>
        <v>0</v>
      </c>
      <c r="AJ275" s="775">
        <f ca="1">SUMIF('Cap ngam'!$B$631:$G$723,kl!$B275,'Cap ngam'!$G$631:$G$723)</f>
        <v>0</v>
      </c>
      <c r="AK275" s="775">
        <f ca="1">SUMIF('Cap ngam'!$B$403:$G$628,kl!$B275,'Cap ngam'!G$403:G$628)</f>
        <v>0</v>
      </c>
      <c r="AL275" s="775">
        <f ca="1">SUMIF('Cap ngam'!B$16:G$400,kl!$B275,'Cap ngam'!G$16:G$400)</f>
        <v>0</v>
      </c>
      <c r="AM275" s="776">
        <v>2</v>
      </c>
      <c r="AN275" s="775">
        <f t="shared" ref="AN275:AW279" ca="1" si="179">I275*$AM275</f>
        <v>0</v>
      </c>
      <c r="AO275" s="775">
        <f t="shared" ca="1" si="179"/>
        <v>0</v>
      </c>
      <c r="AP275" s="775">
        <f t="shared" ca="1" si="179"/>
        <v>0</v>
      </c>
      <c r="AQ275" s="775">
        <f t="shared" ca="1" si="179"/>
        <v>0</v>
      </c>
      <c r="AR275" s="775">
        <f t="shared" ca="1" si="179"/>
        <v>0</v>
      </c>
      <c r="AS275" s="775">
        <f t="shared" ca="1" si="179"/>
        <v>0</v>
      </c>
      <c r="AT275" s="775">
        <f t="shared" ca="1" si="179"/>
        <v>0</v>
      </c>
      <c r="AU275" s="775">
        <f t="shared" ca="1" si="179"/>
        <v>0</v>
      </c>
      <c r="AV275" s="775">
        <f t="shared" ca="1" si="179"/>
        <v>0</v>
      </c>
      <c r="AW275" s="775">
        <f t="shared" ca="1" si="179"/>
        <v>0</v>
      </c>
      <c r="AX275" s="775">
        <f t="shared" ref="AX275:BG279" si="180">S275*$AM275</f>
        <v>0</v>
      </c>
      <c r="AY275" s="775">
        <f t="shared" ca="1" si="180"/>
        <v>0</v>
      </c>
      <c r="AZ275" s="775">
        <f t="shared" si="180"/>
        <v>0</v>
      </c>
      <c r="BA275" s="775">
        <f t="shared" ca="1" si="180"/>
        <v>0</v>
      </c>
      <c r="BB275" s="775">
        <f t="shared" ca="1" si="180"/>
        <v>0</v>
      </c>
      <c r="BC275" s="775">
        <f t="shared" ca="1" si="180"/>
        <v>0</v>
      </c>
      <c r="BD275" s="775">
        <f t="shared" ca="1" si="180"/>
        <v>0</v>
      </c>
      <c r="BE275" s="775">
        <f t="shared" ca="1" si="180"/>
        <v>0</v>
      </c>
      <c r="BF275" s="775">
        <f t="shared" ca="1" si="180"/>
        <v>0</v>
      </c>
      <c r="BG275" s="775">
        <f t="shared" ca="1" si="180"/>
        <v>0</v>
      </c>
      <c r="BH275" s="775">
        <f t="shared" ca="1" si="146"/>
        <v>0</v>
      </c>
      <c r="BI275" s="775">
        <f t="shared" ca="1" si="147"/>
        <v>0</v>
      </c>
      <c r="BJ275" s="775">
        <f t="shared" ca="1" si="148"/>
        <v>2</v>
      </c>
      <c r="BK275" s="775">
        <f t="shared" ca="1" si="149"/>
        <v>0</v>
      </c>
      <c r="BL275" s="775">
        <f t="shared" ca="1" si="150"/>
        <v>0</v>
      </c>
      <c r="BM275" s="775">
        <f t="shared" ca="1" si="151"/>
        <v>0</v>
      </c>
      <c r="BN275" s="775">
        <f t="shared" ca="1" si="152"/>
        <v>0</v>
      </c>
      <c r="BO275" s="775">
        <f t="shared" ca="1" si="153"/>
        <v>0</v>
      </c>
      <c r="BP275" s="775">
        <f t="shared" ca="1" si="154"/>
        <v>0</v>
      </c>
      <c r="BQ275" s="775">
        <f t="shared" ca="1" si="170"/>
        <v>0</v>
      </c>
      <c r="BR275" s="775">
        <f t="shared" ca="1" si="155"/>
        <v>0</v>
      </c>
    </row>
    <row r="276" spans="1:70">
      <c r="A276" s="767" t="str">
        <f ca="1">IF(F276&lt;&gt;0,"X","")</f>
        <v>X</v>
      </c>
      <c r="B276" s="799" t="s">
        <v>4860</v>
      </c>
      <c r="C276" s="188">
        <f ca="1">IF(F276=0,"",COUNTIF($F$78:$F276,"&gt;0"))</f>
        <v>24</v>
      </c>
      <c r="D276" s="778" t="str">
        <f>VLOOKUP($B276,dongia1,DG!$C$5,)</f>
        <v>Nắp che đầu cực FCO</v>
      </c>
      <c r="E276" s="555" t="str">
        <f>VLOOKUP($B276,dongia1,DG!$D$5,)</f>
        <v>cái</v>
      </c>
      <c r="F276" s="975">
        <f t="shared" ca="1" si="171"/>
        <v>6</v>
      </c>
      <c r="G276" s="976">
        <f t="shared" ca="1" si="169"/>
        <v>3</v>
      </c>
      <c r="H276" s="976">
        <f ca="1">SUMIF(CT_tram!$B$33:$G$3559,kl!B276,CT_tram!$G$33:$G$3559)</f>
        <v>3</v>
      </c>
      <c r="I276" s="775">
        <f ca="1">SUMIF(CT_tram!$B$34:$G$115,$B276,CT_tram!$G$34:$G$115)</f>
        <v>0</v>
      </c>
      <c r="J276" s="775">
        <f ca="1">SUMIF(CT_tram!$B$122:$G$204,$B276,CT_tram!$G$122:$G$204)</f>
        <v>0</v>
      </c>
      <c r="K276" s="775">
        <f ca="1">SUMIF(CT_tram!$B$211:$G$293,$B276,CT_tram!$G$211:$G$293)</f>
        <v>0</v>
      </c>
      <c r="L276" s="775">
        <f ca="1">SUMIF(CT_tram!$B$300:$G$374,$B276,CT_tram!$G$300:$G$374)</f>
        <v>0</v>
      </c>
      <c r="M276" s="775">
        <f ca="1">SUMIF(CT_tram!$B$381:$G$471,$B276,CT_tram!$G$381:$G$471)</f>
        <v>0</v>
      </c>
      <c r="N276" s="775">
        <f ca="1">SUMIF(CT_tram!$B$478:$G$560,$B276,CT_tram!$G$478:$G$560)</f>
        <v>0</v>
      </c>
      <c r="O276" s="775">
        <f ca="1">SUMIF(CT_tram!$B$567:$G$653,$B276,CT_tram!$G$567:$G$653)</f>
        <v>0</v>
      </c>
      <c r="P276" s="775">
        <f ca="1">SUMIF(CT_tram!$B$661:$G$738,$B276,CT_tram!$G$661:$G$738)</f>
        <v>0</v>
      </c>
      <c r="Q276" s="775">
        <f ca="1">SUMIF(CT_tram!$B$745:$G$899,$B276,CT_tram!$G$745:$G$899)</f>
        <v>0</v>
      </c>
      <c r="R276" s="775">
        <f ca="1">SUMIF(CT_tram!$B$907:$G$995,$B276,CT_tram!$G$907:$G$995)</f>
        <v>0</v>
      </c>
      <c r="S276" s="775"/>
      <c r="T276" s="775">
        <f ca="1">SUMIF(CT_tram!$B$1004:$G$1097,B276,CT_tram!$G$1004:$G$1097)</f>
        <v>0</v>
      </c>
      <c r="U276" s="775"/>
      <c r="V276" s="775">
        <f ca="1">SUMIF(CT_tram!$B$1226:$G$1352,kl!B276,CT_tram!$G$1226:$G$1352)</f>
        <v>0</v>
      </c>
      <c r="W276" s="780">
        <f ca="1">SUMIF(CT_tram!$B$1105:$G$1219,kl!B276,CT_tram!$G$1105:$G$1219)</f>
        <v>0</v>
      </c>
      <c r="X276" s="775">
        <f ca="1">SUMIF(CT_tram!$B$1359:$G$1504,kl!B276,CT_tram!$G$1359:$G$1504)</f>
        <v>0</v>
      </c>
      <c r="Y276" s="775">
        <f ca="1">SUMIF(CT_tram!$B$1511:$G$1625,kl!B276,CT_tram!$G$1511:$G$1625)</f>
        <v>0</v>
      </c>
      <c r="Z276" s="775">
        <f ca="1">SUMIF(CT_tram!$B$1632:$G$2211,kl!B276,CT_tram!$G$1632:$G$2211)</f>
        <v>0</v>
      </c>
      <c r="AA276" s="775">
        <f ca="1">SUMIF(CT_tram!$B$2243:$G$2384,kl!B276,CT_tram!$G$2243:$G$2384)</f>
        <v>0</v>
      </c>
      <c r="AB276" s="775">
        <f ca="1">SUMIF(CT_tram!$B$2391:$G$2563,kl!B276,CT_tram!$G$2391:$G$2563)</f>
        <v>0</v>
      </c>
      <c r="AC276" s="775">
        <f ca="1">SUMIF(chitiet!$B$13:$N$2352,kl!$B276,chitiet!$I$13:$I$2352)</f>
        <v>0</v>
      </c>
      <c r="AD276" s="775">
        <f ca="1">SUMIF(chitiet!$B$13:$N$2352,kl!$B276,chitiet!$J$13:$J$2352)</f>
        <v>0</v>
      </c>
      <c r="AE276" s="775">
        <f ca="1">SUMIF(chitiet!$B$13:$N$2352,kl!$B276,chitiet!$K$13:$K$2352)</f>
        <v>3</v>
      </c>
      <c r="AF276" s="775">
        <f ca="1">SUMIF(chitiet!$B$13:$N$2352,kl!$B276,chitiet!$L$13:$L$2352)</f>
        <v>0</v>
      </c>
      <c r="AG276" s="775">
        <f ca="1">SUMIF(chitiet!$B$13:$N$2352,kl!$B276,chitiet!$M$13)</f>
        <v>0</v>
      </c>
      <c r="AH276" s="775">
        <f ca="1">SUMIF(chitiet!$B$13:$N$2352,kl!$B276,chitiet!$N$13:$N$2352)</f>
        <v>0</v>
      </c>
      <c r="AI276" s="775">
        <f ca="1">SUMIF(chitiet!$B$13:$N$2352,kl!$B276,chitiet!$O$13:$O$2352)</f>
        <v>0</v>
      </c>
      <c r="AJ276" s="775">
        <f ca="1">SUMIF('Cap ngam'!$B$631:$G$723,kl!$B276,'Cap ngam'!$G$631:$G$723)</f>
        <v>0</v>
      </c>
      <c r="AK276" s="775">
        <f ca="1">SUMIF('Cap ngam'!$B$403:$G$628,kl!$B276,'Cap ngam'!G$403:G$628)</f>
        <v>0</v>
      </c>
      <c r="AL276" s="775">
        <f ca="1">SUMIF('Cap ngam'!B$16:G$400,kl!$B276,'Cap ngam'!G$16:G$400)</f>
        <v>0</v>
      </c>
      <c r="AM276" s="776">
        <v>2</v>
      </c>
      <c r="AN276" s="775">
        <f t="shared" ca="1" si="179"/>
        <v>0</v>
      </c>
      <c r="AO276" s="775">
        <f t="shared" ca="1" si="179"/>
        <v>0</v>
      </c>
      <c r="AP276" s="775">
        <f t="shared" ca="1" si="179"/>
        <v>0</v>
      </c>
      <c r="AQ276" s="775">
        <f t="shared" ca="1" si="179"/>
        <v>0</v>
      </c>
      <c r="AR276" s="775">
        <f t="shared" ca="1" si="179"/>
        <v>0</v>
      </c>
      <c r="AS276" s="775">
        <f t="shared" ca="1" si="179"/>
        <v>0</v>
      </c>
      <c r="AT276" s="775">
        <f t="shared" ca="1" si="179"/>
        <v>0</v>
      </c>
      <c r="AU276" s="775">
        <f t="shared" ca="1" si="179"/>
        <v>0</v>
      </c>
      <c r="AV276" s="775">
        <f t="shared" ca="1" si="179"/>
        <v>0</v>
      </c>
      <c r="AW276" s="775">
        <f t="shared" ca="1" si="179"/>
        <v>0</v>
      </c>
      <c r="AX276" s="775">
        <f t="shared" si="180"/>
        <v>0</v>
      </c>
      <c r="AY276" s="775">
        <f t="shared" ca="1" si="180"/>
        <v>0</v>
      </c>
      <c r="AZ276" s="775">
        <f t="shared" si="180"/>
        <v>0</v>
      </c>
      <c r="BA276" s="775">
        <f t="shared" ca="1" si="180"/>
        <v>0</v>
      </c>
      <c r="BB276" s="775">
        <f t="shared" ca="1" si="180"/>
        <v>0</v>
      </c>
      <c r="BC276" s="775">
        <f t="shared" ca="1" si="180"/>
        <v>0</v>
      </c>
      <c r="BD276" s="775">
        <f t="shared" ca="1" si="180"/>
        <v>0</v>
      </c>
      <c r="BE276" s="775">
        <f t="shared" ca="1" si="180"/>
        <v>0</v>
      </c>
      <c r="BF276" s="775">
        <f t="shared" ca="1" si="180"/>
        <v>0</v>
      </c>
      <c r="BG276" s="775">
        <f t="shared" ca="1" si="180"/>
        <v>0</v>
      </c>
      <c r="BH276" s="775">
        <f t="shared" ca="1" si="146"/>
        <v>0</v>
      </c>
      <c r="BI276" s="775">
        <f t="shared" ca="1" si="147"/>
        <v>0</v>
      </c>
      <c r="BJ276" s="775">
        <f t="shared" ca="1" si="148"/>
        <v>6</v>
      </c>
      <c r="BK276" s="775">
        <f t="shared" ca="1" si="149"/>
        <v>0</v>
      </c>
      <c r="BL276" s="775">
        <f t="shared" ca="1" si="150"/>
        <v>0</v>
      </c>
      <c r="BM276" s="775">
        <f t="shared" ca="1" si="151"/>
        <v>0</v>
      </c>
      <c r="BN276" s="775">
        <f t="shared" ca="1" si="152"/>
        <v>0</v>
      </c>
      <c r="BO276" s="775">
        <f t="shared" ca="1" si="153"/>
        <v>0</v>
      </c>
      <c r="BP276" s="775">
        <f t="shared" ca="1" si="154"/>
        <v>0</v>
      </c>
      <c r="BQ276" s="775">
        <f t="shared" ca="1" si="170"/>
        <v>0</v>
      </c>
      <c r="BR276" s="775">
        <f t="shared" ca="1" si="155"/>
        <v>6</v>
      </c>
    </row>
    <row r="277" spans="1:70">
      <c r="A277" s="767" t="str">
        <f ca="1">IF(F277&lt;&gt;0,"X","")</f>
        <v/>
      </c>
      <c r="B277" s="799" t="s">
        <v>4861</v>
      </c>
      <c r="C277" s="188" t="str">
        <f ca="1">IF(F277=0,"",COUNTIF($F$78:$F277,"&gt;0"))</f>
        <v/>
      </c>
      <c r="D277" s="778" t="str">
        <f>VLOOKUP($B277,dongia1,DG!$C$5,)</f>
        <v>Chụp cách điện kẹp quai</v>
      </c>
      <c r="E277" s="555" t="str">
        <f>VLOOKUP($B277,dongia1,DG!$D$5,)</f>
        <v>Cái</v>
      </c>
      <c r="F277" s="975">
        <f t="shared" ca="1" si="171"/>
        <v>0</v>
      </c>
      <c r="G277" s="976">
        <f t="shared" ca="1" si="169"/>
        <v>0</v>
      </c>
      <c r="H277" s="976">
        <f ca="1">SUMIF(CT_tram!$B$33:$G$3559,kl!B277,CT_tram!$G$33:$G$3559)</f>
        <v>0</v>
      </c>
      <c r="I277" s="775">
        <f ca="1">SUMIF(CT_tram!$B$34:$G$115,$B277,CT_tram!$G$34:$G$115)</f>
        <v>0</v>
      </c>
      <c r="J277" s="775">
        <f ca="1">SUMIF(CT_tram!$B$122:$G$204,$B277,CT_tram!$G$122:$G$204)</f>
        <v>0</v>
      </c>
      <c r="K277" s="775">
        <f ca="1">SUMIF(CT_tram!$B$211:$G$293,$B277,CT_tram!$G$211:$G$293)</f>
        <v>0</v>
      </c>
      <c r="L277" s="775">
        <f ca="1">SUMIF(CT_tram!$B$300:$G$374,$B277,CT_tram!$G$300:$G$374)</f>
        <v>0</v>
      </c>
      <c r="M277" s="775">
        <f ca="1">SUMIF(CT_tram!$B$381:$G$471,$B277,CT_tram!$G$381:$G$471)</f>
        <v>0</v>
      </c>
      <c r="N277" s="775">
        <f ca="1">SUMIF(CT_tram!$B$478:$G$560,$B277,CT_tram!$G$478:$G$560)</f>
        <v>0</v>
      </c>
      <c r="O277" s="775">
        <f ca="1">SUMIF(CT_tram!$B$567:$G$653,$B277,CT_tram!$G$567:$G$653)</f>
        <v>0</v>
      </c>
      <c r="P277" s="775">
        <f ca="1">SUMIF(CT_tram!$B$661:$G$738,$B277,CT_tram!$G$661:$G$738)</f>
        <v>0</v>
      </c>
      <c r="Q277" s="775">
        <f ca="1">SUMIF(CT_tram!$B$745:$G$899,$B277,CT_tram!$G$745:$G$899)</f>
        <v>0</v>
      </c>
      <c r="R277" s="775">
        <f ca="1">SUMIF(CT_tram!$B$907:$G$995,$B277,CT_tram!$G$907:$G$995)</f>
        <v>0</v>
      </c>
      <c r="S277" s="775"/>
      <c r="T277" s="775">
        <f ca="1">SUMIF(CT_tram!$B$1004:$G$1097,B277,CT_tram!$G$1004:$G$1097)</f>
        <v>0</v>
      </c>
      <c r="U277" s="775"/>
      <c r="V277" s="775">
        <f ca="1">SUMIF(CT_tram!$B$1226:$G$1352,kl!B277,CT_tram!$G$1226:$G$1352)</f>
        <v>0</v>
      </c>
      <c r="W277" s="780">
        <f ca="1">SUMIF(CT_tram!$B$1105:$G$1219,kl!B277,CT_tram!$G$1105:$G$1219)</f>
        <v>0</v>
      </c>
      <c r="X277" s="775">
        <f ca="1">SUMIF(CT_tram!$B$1359:$G$1504,kl!B277,CT_tram!$G$1359:$G$1504)</f>
        <v>0</v>
      </c>
      <c r="Y277" s="775">
        <f ca="1">SUMIF(CT_tram!$B$1511:$G$1625,kl!B277,CT_tram!$G$1511:$G$1625)</f>
        <v>0</v>
      </c>
      <c r="Z277" s="775">
        <f ca="1">SUMIF(CT_tram!$B$1632:$G$2211,kl!B277,CT_tram!$G$1632:$G$2211)</f>
        <v>0</v>
      </c>
      <c r="AA277" s="775">
        <f ca="1">SUMIF(CT_tram!$B$2243:$G$2384,kl!B277,CT_tram!$G$2243:$G$2384)</f>
        <v>0</v>
      </c>
      <c r="AB277" s="775">
        <f ca="1">SUMIF(CT_tram!$B$2391:$G$2563,kl!B277,CT_tram!$G$2391:$G$2563)</f>
        <v>0</v>
      </c>
      <c r="AC277" s="775">
        <f ca="1">SUMIF(chitiet!$B$13:$N$2352,kl!$B277,chitiet!$I$13:$I$2352)</f>
        <v>0</v>
      </c>
      <c r="AD277" s="775">
        <f ca="1">SUMIF(chitiet!$B$13:$N$2352,kl!$B277,chitiet!$J$13:$J$2352)</f>
        <v>0</v>
      </c>
      <c r="AE277" s="775">
        <f ca="1">SUMIF(chitiet!$B$13:$N$2352,kl!$B277,chitiet!$K$13:$K$2352)</f>
        <v>0</v>
      </c>
      <c r="AF277" s="775">
        <f ca="1">SUMIF(chitiet!$B$13:$N$2352,kl!$B277,chitiet!$L$13:$L$2352)</f>
        <v>0</v>
      </c>
      <c r="AG277" s="775">
        <f ca="1">SUMIF(chitiet!$B$13:$N$2352,kl!$B277,chitiet!$M$13)</f>
        <v>0</v>
      </c>
      <c r="AH277" s="775">
        <f ca="1">SUMIF(chitiet!$B$13:$N$2352,kl!$B277,chitiet!$N$13:$N$2352)</f>
        <v>0</v>
      </c>
      <c r="AI277" s="775">
        <f ca="1">SUMIF(chitiet!$B$13:$N$2352,kl!$B277,chitiet!$O$13:$O$2352)</f>
        <v>0</v>
      </c>
      <c r="AJ277" s="775">
        <f ca="1">SUMIF('Cap ngam'!$B$631:$G$723,kl!$B277,'Cap ngam'!$G$631:$G$723)</f>
        <v>0</v>
      </c>
      <c r="AK277" s="775">
        <f ca="1">SUMIF('Cap ngam'!$B$403:$G$628,kl!$B277,'Cap ngam'!G$403:G$628)</f>
        <v>0</v>
      </c>
      <c r="AL277" s="775">
        <f ca="1">SUMIF('Cap ngam'!B$16:G$400,kl!$B277,'Cap ngam'!G$16:G$400)</f>
        <v>0</v>
      </c>
      <c r="AM277" s="776">
        <v>2</v>
      </c>
      <c r="AN277" s="775">
        <f t="shared" ca="1" si="179"/>
        <v>0</v>
      </c>
      <c r="AO277" s="775">
        <f t="shared" ca="1" si="179"/>
        <v>0</v>
      </c>
      <c r="AP277" s="775">
        <f t="shared" ca="1" si="179"/>
        <v>0</v>
      </c>
      <c r="AQ277" s="775">
        <f t="shared" ca="1" si="179"/>
        <v>0</v>
      </c>
      <c r="AR277" s="775">
        <f t="shared" ca="1" si="179"/>
        <v>0</v>
      </c>
      <c r="AS277" s="775">
        <f t="shared" ca="1" si="179"/>
        <v>0</v>
      </c>
      <c r="AT277" s="775">
        <f t="shared" ca="1" si="179"/>
        <v>0</v>
      </c>
      <c r="AU277" s="775">
        <f t="shared" ca="1" si="179"/>
        <v>0</v>
      </c>
      <c r="AV277" s="775">
        <f t="shared" ca="1" si="179"/>
        <v>0</v>
      </c>
      <c r="AW277" s="775">
        <f t="shared" ca="1" si="179"/>
        <v>0</v>
      </c>
      <c r="AX277" s="775">
        <f t="shared" si="180"/>
        <v>0</v>
      </c>
      <c r="AY277" s="775">
        <f t="shared" ca="1" si="180"/>
        <v>0</v>
      </c>
      <c r="AZ277" s="775">
        <f t="shared" si="180"/>
        <v>0</v>
      </c>
      <c r="BA277" s="775">
        <f t="shared" ca="1" si="180"/>
        <v>0</v>
      </c>
      <c r="BB277" s="775">
        <f t="shared" ca="1" si="180"/>
        <v>0</v>
      </c>
      <c r="BC277" s="775">
        <f t="shared" ca="1" si="180"/>
        <v>0</v>
      </c>
      <c r="BD277" s="775">
        <f t="shared" ca="1" si="180"/>
        <v>0</v>
      </c>
      <c r="BE277" s="775">
        <f t="shared" ca="1" si="180"/>
        <v>0</v>
      </c>
      <c r="BF277" s="775">
        <f t="shared" ca="1" si="180"/>
        <v>0</v>
      </c>
      <c r="BG277" s="775">
        <f t="shared" ca="1" si="180"/>
        <v>0</v>
      </c>
      <c r="BH277" s="775">
        <f t="shared" ca="1" si="146"/>
        <v>0</v>
      </c>
      <c r="BI277" s="775">
        <f t="shared" ca="1" si="147"/>
        <v>0</v>
      </c>
      <c r="BJ277" s="775">
        <f t="shared" ca="1" si="148"/>
        <v>0</v>
      </c>
      <c r="BK277" s="775">
        <f t="shared" ca="1" si="149"/>
        <v>0</v>
      </c>
      <c r="BL277" s="775">
        <f t="shared" ca="1" si="150"/>
        <v>0</v>
      </c>
      <c r="BM277" s="775">
        <f t="shared" ca="1" si="151"/>
        <v>0</v>
      </c>
      <c r="BN277" s="775">
        <f t="shared" ca="1" si="152"/>
        <v>0</v>
      </c>
      <c r="BO277" s="775">
        <f t="shared" ca="1" si="153"/>
        <v>0</v>
      </c>
      <c r="BP277" s="775">
        <f t="shared" ca="1" si="154"/>
        <v>0</v>
      </c>
      <c r="BQ277" s="775">
        <f t="shared" ca="1" si="170"/>
        <v>0</v>
      </c>
      <c r="BR277" s="775">
        <f t="shared" ca="1" si="155"/>
        <v>0</v>
      </c>
    </row>
    <row r="278" spans="1:70">
      <c r="A278" s="767" t="str">
        <f ca="1">IF(F278&lt;&gt;0,"X","")</f>
        <v>X</v>
      </c>
      <c r="B278" s="799" t="s">
        <v>4862</v>
      </c>
      <c r="C278" s="188">
        <f ca="1">IF(F278=0,"",COUNTIF($F$78:$F278,"&gt;0"))</f>
        <v>25</v>
      </c>
      <c r="D278" s="778" t="str">
        <f>VLOOKUP($B278,dongia1,DG!$C$5,)</f>
        <v>Nắp che đầu cực LA</v>
      </c>
      <c r="E278" s="555" t="str">
        <f>VLOOKUP($B278,dongia1,DG!$D$5,)</f>
        <v>cái</v>
      </c>
      <c r="F278" s="975">
        <f t="shared" ca="1" si="171"/>
        <v>6</v>
      </c>
      <c r="G278" s="976">
        <f t="shared" ca="1" si="169"/>
        <v>3</v>
      </c>
      <c r="H278" s="976">
        <f ca="1">SUMIF(CT_tram!$B$33:$G$3559,kl!B278,CT_tram!$G$33:$G$3559)</f>
        <v>3</v>
      </c>
      <c r="I278" s="775">
        <f ca="1">SUMIF(CT_tram!$B$34:$G$115,$B278,CT_tram!$G$34:$G$115)</f>
        <v>0</v>
      </c>
      <c r="J278" s="775">
        <f ca="1">SUMIF(CT_tram!$B$122:$G$204,$B278,CT_tram!$G$122:$G$204)</f>
        <v>0</v>
      </c>
      <c r="K278" s="775">
        <f ca="1">SUMIF(CT_tram!$B$211:$G$293,$B278,CT_tram!$G$211:$G$293)</f>
        <v>0</v>
      </c>
      <c r="L278" s="775">
        <f ca="1">SUMIF(CT_tram!$B$300:$G$374,$B278,CT_tram!$G$300:$G$374)</f>
        <v>0</v>
      </c>
      <c r="M278" s="775">
        <f ca="1">SUMIF(CT_tram!$B$381:$G$471,$B278,CT_tram!$G$381:$G$471)</f>
        <v>0</v>
      </c>
      <c r="N278" s="775">
        <f ca="1">SUMIF(CT_tram!$B$478:$G$560,$B278,CT_tram!$G$478:$G$560)</f>
        <v>0</v>
      </c>
      <c r="O278" s="775">
        <f ca="1">SUMIF(CT_tram!$B$567:$G$653,$B278,CT_tram!$G$567:$G$653)</f>
        <v>0</v>
      </c>
      <c r="P278" s="775">
        <f ca="1">SUMIF(CT_tram!$B$661:$G$738,$B278,CT_tram!$G$661:$G$738)</f>
        <v>0</v>
      </c>
      <c r="Q278" s="775">
        <f ca="1">SUMIF(CT_tram!$B$745:$G$899,$B278,CT_tram!$G$745:$G$899)</f>
        <v>0</v>
      </c>
      <c r="R278" s="775">
        <f ca="1">SUMIF(CT_tram!$B$907:$G$995,$B278,CT_tram!$G$907:$G$995)</f>
        <v>0</v>
      </c>
      <c r="S278" s="775"/>
      <c r="T278" s="775">
        <f ca="1">SUMIF(CT_tram!$B$1004:$G$1097,B278,CT_tram!$G$1004:$G$1097)</f>
        <v>0</v>
      </c>
      <c r="U278" s="775"/>
      <c r="V278" s="775">
        <f ca="1">SUMIF(CT_tram!$B$1226:$G$1352,kl!B278,CT_tram!$G$1226:$G$1352)</f>
        <v>0</v>
      </c>
      <c r="W278" s="780">
        <f ca="1">SUMIF(CT_tram!$B$1105:$G$1219,kl!B278,CT_tram!$G$1105:$G$1219)</f>
        <v>0</v>
      </c>
      <c r="X278" s="775">
        <f ca="1">SUMIF(CT_tram!$B$1359:$G$1504,kl!B278,CT_tram!$G$1359:$G$1504)</f>
        <v>0</v>
      </c>
      <c r="Y278" s="775">
        <f ca="1">SUMIF(CT_tram!$B$1511:$G$1625,kl!B278,CT_tram!$G$1511:$G$1625)</f>
        <v>0</v>
      </c>
      <c r="Z278" s="775">
        <f ca="1">SUMIF(CT_tram!$B$1632:$G$2211,kl!B278,CT_tram!$G$1632:$G$2211)</f>
        <v>0</v>
      </c>
      <c r="AA278" s="775">
        <f ca="1">SUMIF(CT_tram!$B$2243:$G$2384,kl!B278,CT_tram!$G$2243:$G$2384)</f>
        <v>0</v>
      </c>
      <c r="AB278" s="775">
        <f ca="1">SUMIF(CT_tram!$B$2391:$G$2563,kl!B278,CT_tram!$G$2391:$G$2563)</f>
        <v>0</v>
      </c>
      <c r="AC278" s="775">
        <f ca="1">SUMIF(chitiet!$B$13:$N$2352,kl!$B278,chitiet!$I$13:$I$2352)</f>
        <v>0</v>
      </c>
      <c r="AD278" s="775">
        <f ca="1">SUMIF(chitiet!$B$13:$N$2352,kl!$B278,chitiet!$J$13:$J$2352)</f>
        <v>0</v>
      </c>
      <c r="AE278" s="775">
        <f ca="1">SUMIF(chitiet!$B$13:$N$2352,kl!$B278,chitiet!$K$13:$K$2352)</f>
        <v>3</v>
      </c>
      <c r="AF278" s="775">
        <f ca="1">SUMIF(chitiet!$B$13:$N$2352,kl!$B278,chitiet!$L$13:$L$2352)</f>
        <v>0</v>
      </c>
      <c r="AG278" s="775">
        <f ca="1">SUMIF(chitiet!$B$13:$N$2352,kl!$B278,chitiet!$M$13)</f>
        <v>0</v>
      </c>
      <c r="AH278" s="775">
        <f ca="1">SUMIF(chitiet!$B$13:$N$2352,kl!$B278,chitiet!$N$13:$N$2352)</f>
        <v>0</v>
      </c>
      <c r="AI278" s="775">
        <f ca="1">SUMIF(chitiet!$B$13:$N$2352,kl!$B278,chitiet!$O$13:$O$2352)</f>
        <v>0</v>
      </c>
      <c r="AJ278" s="775">
        <f ca="1">SUMIF('Cap ngam'!$B$631:$G$723,kl!$B278,'Cap ngam'!$G$631:$G$723)</f>
        <v>0</v>
      </c>
      <c r="AK278" s="775">
        <f ca="1">SUMIF('Cap ngam'!$B$403:$G$628,kl!$B278,'Cap ngam'!G$403:G$628)</f>
        <v>0</v>
      </c>
      <c r="AL278" s="775">
        <f ca="1">SUMIF('Cap ngam'!B$16:G$400,kl!$B278,'Cap ngam'!G$16:G$400)</f>
        <v>0</v>
      </c>
      <c r="AM278" s="776">
        <v>2</v>
      </c>
      <c r="AN278" s="775">
        <f t="shared" ca="1" si="179"/>
        <v>0</v>
      </c>
      <c r="AO278" s="775">
        <f t="shared" ca="1" si="179"/>
        <v>0</v>
      </c>
      <c r="AP278" s="775">
        <f t="shared" ca="1" si="179"/>
        <v>0</v>
      </c>
      <c r="AQ278" s="775">
        <f t="shared" ca="1" si="179"/>
        <v>0</v>
      </c>
      <c r="AR278" s="775">
        <f t="shared" ca="1" si="179"/>
        <v>0</v>
      </c>
      <c r="AS278" s="775">
        <f t="shared" ca="1" si="179"/>
        <v>0</v>
      </c>
      <c r="AT278" s="775">
        <f t="shared" ca="1" si="179"/>
        <v>0</v>
      </c>
      <c r="AU278" s="775">
        <f t="shared" ca="1" si="179"/>
        <v>0</v>
      </c>
      <c r="AV278" s="775">
        <f t="shared" ca="1" si="179"/>
        <v>0</v>
      </c>
      <c r="AW278" s="775">
        <f t="shared" ca="1" si="179"/>
        <v>0</v>
      </c>
      <c r="AX278" s="775">
        <f t="shared" si="180"/>
        <v>0</v>
      </c>
      <c r="AY278" s="775">
        <f t="shared" ca="1" si="180"/>
        <v>0</v>
      </c>
      <c r="AZ278" s="775">
        <f t="shared" si="180"/>
        <v>0</v>
      </c>
      <c r="BA278" s="775">
        <f t="shared" ca="1" si="180"/>
        <v>0</v>
      </c>
      <c r="BB278" s="775">
        <f t="shared" ca="1" si="180"/>
        <v>0</v>
      </c>
      <c r="BC278" s="775">
        <f t="shared" ca="1" si="180"/>
        <v>0</v>
      </c>
      <c r="BD278" s="775">
        <f t="shared" ca="1" si="180"/>
        <v>0</v>
      </c>
      <c r="BE278" s="775">
        <f t="shared" ca="1" si="180"/>
        <v>0</v>
      </c>
      <c r="BF278" s="775">
        <f t="shared" ca="1" si="180"/>
        <v>0</v>
      </c>
      <c r="BG278" s="775">
        <f t="shared" ca="1" si="180"/>
        <v>0</v>
      </c>
      <c r="BH278" s="775">
        <f t="shared" ca="1" si="146"/>
        <v>0</v>
      </c>
      <c r="BI278" s="775">
        <f t="shared" ca="1" si="147"/>
        <v>0</v>
      </c>
      <c r="BJ278" s="775">
        <f t="shared" ca="1" si="148"/>
        <v>6</v>
      </c>
      <c r="BK278" s="775">
        <f t="shared" ca="1" si="149"/>
        <v>0</v>
      </c>
      <c r="BL278" s="775">
        <f t="shared" ca="1" si="150"/>
        <v>0</v>
      </c>
      <c r="BM278" s="775">
        <f t="shared" ca="1" si="151"/>
        <v>0</v>
      </c>
      <c r="BN278" s="775">
        <f t="shared" ca="1" si="152"/>
        <v>0</v>
      </c>
      <c r="BO278" s="775">
        <f t="shared" ca="1" si="153"/>
        <v>0</v>
      </c>
      <c r="BP278" s="775">
        <f t="shared" ca="1" si="154"/>
        <v>0</v>
      </c>
      <c r="BQ278" s="775">
        <f t="shared" ca="1" si="170"/>
        <v>0</v>
      </c>
      <c r="BR278" s="775">
        <f t="shared" ca="1" si="155"/>
        <v>6</v>
      </c>
    </row>
    <row r="279" spans="1:70">
      <c r="A279" s="767" t="str">
        <f ca="1">IF(F279&lt;&gt;0,"X","")</f>
        <v>X</v>
      </c>
      <c r="B279" s="799" t="s">
        <v>4863</v>
      </c>
      <c r="C279" s="188">
        <f ca="1">IF(F279=0,"",COUNTIF($F$78:$F279,"&gt;0"))</f>
        <v>26</v>
      </c>
      <c r="D279" s="778" t="str">
        <f>VLOOKUP($B279,dongia1,DG!$C$5,)</f>
        <v>Nắp che đầu sứ MBA</v>
      </c>
      <c r="E279" s="555" t="str">
        <f>VLOOKUP($B279,dongia1,DG!$D$5,)</f>
        <v>cái</v>
      </c>
      <c r="F279" s="975">
        <f t="shared" ca="1" si="171"/>
        <v>3</v>
      </c>
      <c r="G279" s="976">
        <f t="shared" ca="1" si="169"/>
        <v>0</v>
      </c>
      <c r="H279" s="976">
        <f ca="1">SUMIF(CT_tram!$B$33:$G$3559,kl!B279,CT_tram!$G$33:$G$3559)</f>
        <v>3</v>
      </c>
      <c r="I279" s="775">
        <f ca="1">SUMIF(CT_tram!$B$34:$G$115,$B279,CT_tram!$G$34:$G$115)</f>
        <v>0</v>
      </c>
      <c r="J279" s="775">
        <f ca="1">SUMIF(CT_tram!$B$122:$G$204,$B279,CT_tram!$G$122:$G$204)</f>
        <v>0</v>
      </c>
      <c r="K279" s="775">
        <f ca="1">SUMIF(CT_tram!$B$211:$G$293,$B279,CT_tram!$G$211:$G$293)</f>
        <v>0</v>
      </c>
      <c r="L279" s="775">
        <f ca="1">SUMIF(CT_tram!$B$300:$G$374,$B279,CT_tram!$G$300:$G$374)</f>
        <v>0</v>
      </c>
      <c r="M279" s="775">
        <f ca="1">SUMIF(CT_tram!$B$381:$G$471,$B279,CT_tram!$G$381:$G$471)</f>
        <v>0</v>
      </c>
      <c r="N279" s="775">
        <f ca="1">SUMIF(CT_tram!$B$478:$G$560,$B279,CT_tram!$G$478:$G$560)</f>
        <v>0</v>
      </c>
      <c r="O279" s="775">
        <f ca="1">SUMIF(CT_tram!$B$567:$G$653,$B279,CT_tram!$G$567:$G$653)</f>
        <v>0</v>
      </c>
      <c r="P279" s="775">
        <f ca="1">SUMIF(CT_tram!$B$661:$G$738,$B279,CT_tram!$G$661:$G$738)</f>
        <v>0</v>
      </c>
      <c r="Q279" s="775">
        <f ca="1">SUMIF(CT_tram!$B$745:$G$899,$B279,CT_tram!$G$745:$G$899)</f>
        <v>0</v>
      </c>
      <c r="R279" s="775">
        <f ca="1">SUMIF(CT_tram!$B$907:$G$995,$B279,CT_tram!$G$907:$G$995)</f>
        <v>0</v>
      </c>
      <c r="S279" s="775"/>
      <c r="T279" s="775">
        <f ca="1">SUMIF(CT_tram!$B$1004:$G$1097,B279,CT_tram!$G$1004:$G$1097)</f>
        <v>0</v>
      </c>
      <c r="U279" s="775"/>
      <c r="V279" s="775">
        <f ca="1">SUMIF(CT_tram!$B$1226:$G$1352,kl!B279,CT_tram!$G$1226:$G$1352)</f>
        <v>0</v>
      </c>
      <c r="W279" s="780">
        <f ca="1">SUMIF(CT_tram!$B$1105:$G$1219,kl!B279,CT_tram!$G$1105:$G$1219)</f>
        <v>0</v>
      </c>
      <c r="X279" s="775">
        <f ca="1">SUMIF(CT_tram!$B$1359:$G$1504,kl!B279,CT_tram!$G$1359:$G$1504)</f>
        <v>0</v>
      </c>
      <c r="Y279" s="775">
        <f ca="1">SUMIF(CT_tram!$B$1511:$G$1625,kl!B279,CT_tram!$G$1511:$G$1625)</f>
        <v>0</v>
      </c>
      <c r="Z279" s="775">
        <f ca="1">SUMIF(CT_tram!$B$1632:$G$2211,kl!B279,CT_tram!$G$1632:$G$2211)</f>
        <v>0</v>
      </c>
      <c r="AA279" s="775">
        <f ca="1">SUMIF(CT_tram!$B$2243:$G$2384,kl!B279,CT_tram!$G$2243:$G$2384)</f>
        <v>0</v>
      </c>
      <c r="AB279" s="775">
        <f ca="1">SUMIF(CT_tram!$B$2391:$G$2563,kl!B279,CT_tram!$G$2391:$G$2563)</f>
        <v>0</v>
      </c>
      <c r="AC279" s="775">
        <f ca="1">SUMIF(chitiet!$B$13:$N$2352,kl!$B279,chitiet!$I$13:$I$2352)</f>
        <v>0</v>
      </c>
      <c r="AD279" s="775">
        <f ca="1">SUMIF(chitiet!$B$13:$N$2352,kl!$B279,chitiet!$J$13:$J$2352)</f>
        <v>0</v>
      </c>
      <c r="AE279" s="775">
        <f ca="1">SUMIF(chitiet!$B$13:$N$2352,kl!$B279,chitiet!$K$13:$K$2352)</f>
        <v>0</v>
      </c>
      <c r="AF279" s="775">
        <f ca="1">SUMIF(chitiet!$B$13:$N$2352,kl!$B279,chitiet!$L$13:$L$2352)</f>
        <v>0</v>
      </c>
      <c r="AG279" s="775">
        <f ca="1">SUMIF(chitiet!$B$13:$N$2352,kl!$B279,chitiet!$M$13)</f>
        <v>0</v>
      </c>
      <c r="AH279" s="775">
        <f ca="1">SUMIF(chitiet!$B$13:$N$2352,kl!$B279,chitiet!$N$13:$N$2352)</f>
        <v>0</v>
      </c>
      <c r="AI279" s="775">
        <f ca="1">SUMIF(chitiet!$B$13:$N$2352,kl!$B279,chitiet!$O$13:$O$2352)</f>
        <v>0</v>
      </c>
      <c r="AJ279" s="775">
        <f ca="1">SUMIF('Cap ngam'!$B$631:$G$723,kl!$B279,'Cap ngam'!$G$631:$G$723)</f>
        <v>0</v>
      </c>
      <c r="AK279" s="775">
        <f ca="1">SUMIF('Cap ngam'!$B$403:$G$628,kl!$B279,'Cap ngam'!G$403:G$628)</f>
        <v>0</v>
      </c>
      <c r="AL279" s="775">
        <f ca="1">SUMIF('Cap ngam'!B$16:G$400,kl!$B279,'Cap ngam'!G$16:G$400)</f>
        <v>0</v>
      </c>
      <c r="AM279" s="776">
        <v>2</v>
      </c>
      <c r="AN279" s="775">
        <f t="shared" ca="1" si="179"/>
        <v>0</v>
      </c>
      <c r="AO279" s="775">
        <f t="shared" ca="1" si="179"/>
        <v>0</v>
      </c>
      <c r="AP279" s="775">
        <f t="shared" ca="1" si="179"/>
        <v>0</v>
      </c>
      <c r="AQ279" s="775">
        <f t="shared" ca="1" si="179"/>
        <v>0</v>
      </c>
      <c r="AR279" s="775">
        <f t="shared" ca="1" si="179"/>
        <v>0</v>
      </c>
      <c r="AS279" s="775">
        <f t="shared" ca="1" si="179"/>
        <v>0</v>
      </c>
      <c r="AT279" s="775">
        <f t="shared" ca="1" si="179"/>
        <v>0</v>
      </c>
      <c r="AU279" s="775">
        <f t="shared" ca="1" si="179"/>
        <v>0</v>
      </c>
      <c r="AV279" s="775">
        <f t="shared" ca="1" si="179"/>
        <v>0</v>
      </c>
      <c r="AW279" s="775">
        <f t="shared" ca="1" si="179"/>
        <v>0</v>
      </c>
      <c r="AX279" s="775">
        <f t="shared" si="180"/>
        <v>0</v>
      </c>
      <c r="AY279" s="775">
        <f t="shared" ca="1" si="180"/>
        <v>0</v>
      </c>
      <c r="AZ279" s="775">
        <f t="shared" si="180"/>
        <v>0</v>
      </c>
      <c r="BA279" s="775">
        <f t="shared" ca="1" si="180"/>
        <v>0</v>
      </c>
      <c r="BB279" s="775">
        <f t="shared" ca="1" si="180"/>
        <v>0</v>
      </c>
      <c r="BC279" s="775">
        <f t="shared" ca="1" si="180"/>
        <v>0</v>
      </c>
      <c r="BD279" s="775">
        <f t="shared" ca="1" si="180"/>
        <v>0</v>
      </c>
      <c r="BE279" s="775">
        <f t="shared" ca="1" si="180"/>
        <v>0</v>
      </c>
      <c r="BF279" s="775">
        <f t="shared" ca="1" si="180"/>
        <v>0</v>
      </c>
      <c r="BG279" s="775">
        <f t="shared" ca="1" si="180"/>
        <v>0</v>
      </c>
      <c r="BH279" s="775">
        <f t="shared" ca="1" si="146"/>
        <v>0</v>
      </c>
      <c r="BI279" s="775">
        <f t="shared" ca="1" si="147"/>
        <v>0</v>
      </c>
      <c r="BJ279" s="775">
        <f t="shared" ca="1" si="148"/>
        <v>0</v>
      </c>
      <c r="BK279" s="775">
        <f t="shared" ca="1" si="149"/>
        <v>0</v>
      </c>
      <c r="BL279" s="775">
        <f t="shared" ca="1" si="150"/>
        <v>0</v>
      </c>
      <c r="BM279" s="775">
        <f t="shared" ca="1" si="151"/>
        <v>0</v>
      </c>
      <c r="BN279" s="775">
        <f t="shared" ca="1" si="152"/>
        <v>0</v>
      </c>
      <c r="BO279" s="775">
        <f t="shared" ca="1" si="153"/>
        <v>0</v>
      </c>
      <c r="BP279" s="775">
        <f t="shared" ca="1" si="154"/>
        <v>0</v>
      </c>
      <c r="BQ279" s="775">
        <f t="shared" ca="1" si="170"/>
        <v>0</v>
      </c>
      <c r="BR279" s="775">
        <f t="shared" ca="1" si="155"/>
        <v>6</v>
      </c>
    </row>
    <row r="280" spans="1:70">
      <c r="A280" s="767" t="str">
        <f t="shared" ca="1" si="162"/>
        <v/>
      </c>
      <c r="B280" s="799" t="s">
        <v>2036</v>
      </c>
      <c r="C280" s="188" t="str">
        <f ca="1">IF(F280=0,"",COUNTIF($F$78:$F280,"&gt;0"))</f>
        <v/>
      </c>
      <c r="D280" s="778" t="str">
        <f>VLOOKUP($B280,dongia1,DG!$C$5,)</f>
        <v>Ống nối dây cỡ 50mm2 (có lõi thép)</v>
      </c>
      <c r="E280" s="555" t="str">
        <f>VLOOKUP($B280,dongia1,DG!$D$5,)</f>
        <v>cái</v>
      </c>
      <c r="F280" s="975">
        <f t="shared" ca="1" si="171"/>
        <v>0</v>
      </c>
      <c r="G280" s="976">
        <f t="shared" ca="1" si="169"/>
        <v>0</v>
      </c>
      <c r="H280" s="976">
        <f ca="1">SUMIF(CT_tram!$B$33:$G$3559,kl!B280,CT_tram!$G$33:$G$3559)</f>
        <v>0</v>
      </c>
      <c r="I280" s="775">
        <f ca="1">SUMIF(CT_tram!$B$34:$G$115,$B280,CT_tram!$G$34:$G$115)</f>
        <v>0</v>
      </c>
      <c r="J280" s="775">
        <f ca="1">SUMIF(CT_tram!$B$122:$G$204,$B280,CT_tram!$G$122:$G$204)</f>
        <v>0</v>
      </c>
      <c r="K280" s="775">
        <f ca="1">SUMIF(CT_tram!$B$211:$G$293,$B280,CT_tram!$G$211:$G$293)</f>
        <v>0</v>
      </c>
      <c r="L280" s="775">
        <f ca="1">SUMIF(CT_tram!$B$300:$G$374,$B280,CT_tram!$G$300:$G$374)</f>
        <v>0</v>
      </c>
      <c r="M280" s="775">
        <f ca="1">SUMIF(CT_tram!$B$381:$G$471,$B280,CT_tram!$G$381:$G$471)</f>
        <v>0</v>
      </c>
      <c r="N280" s="775">
        <f ca="1">SUMIF(CT_tram!$B$478:$G$560,$B280,CT_tram!$G$478:$G$560)</f>
        <v>0</v>
      </c>
      <c r="O280" s="775">
        <f ca="1">SUMIF(CT_tram!$B$567:$G$653,$B280,CT_tram!$G$567:$G$653)</f>
        <v>0</v>
      </c>
      <c r="P280" s="775">
        <f ca="1">SUMIF(CT_tram!$B$661:$G$738,$B280,CT_tram!$G$661:$G$738)</f>
        <v>0</v>
      </c>
      <c r="Q280" s="775">
        <f ca="1">SUMIF(CT_tram!$B$745:$G$899,$B280,CT_tram!$G$745:$G$899)</f>
        <v>0</v>
      </c>
      <c r="R280" s="775">
        <f ca="1">SUMIF(CT_tram!$B$907:$G$995,$B280,CT_tram!$G$907:$G$995)</f>
        <v>0</v>
      </c>
      <c r="S280" s="775"/>
      <c r="T280" s="775">
        <f ca="1">SUMIF(CT_tram!$B$1004:$G$1097,B280,CT_tram!$G$1004:$G$1097)</f>
        <v>0</v>
      </c>
      <c r="U280" s="775"/>
      <c r="V280" s="775">
        <f ca="1">SUMIF(CT_tram!$B$1226:$G$1352,kl!B280,CT_tram!$G$1226:$G$1352)</f>
        <v>0</v>
      </c>
      <c r="W280" s="780">
        <f ca="1">SUMIF(CT_tram!$B$1105:$G$1219,kl!B280,CT_tram!$G$1105:$G$1219)</f>
        <v>0</v>
      </c>
      <c r="X280" s="775">
        <f ca="1">SUMIF(CT_tram!$B$1359:$G$1504,kl!B280,CT_tram!$G$1359:$G$1504)</f>
        <v>0</v>
      </c>
      <c r="Y280" s="775">
        <f ca="1">SUMIF(CT_tram!$B$1511:$G$1625,kl!B280,CT_tram!$G$1511:$G$1625)</f>
        <v>0</v>
      </c>
      <c r="Z280" s="775">
        <f ca="1">SUMIF(CT_tram!$B$1632:$G$2211,kl!B280,CT_tram!$G$1632:$G$2211)</f>
        <v>0</v>
      </c>
      <c r="AA280" s="775">
        <f ca="1">SUMIF(CT_tram!$B$2243:$G$2384,kl!B280,CT_tram!$G$2243:$G$2384)</f>
        <v>0</v>
      </c>
      <c r="AB280" s="775">
        <f ca="1">SUMIF(CT_tram!$B$2391:$G$2563,kl!B280,CT_tram!$G$2391:$G$2563)</f>
        <v>0</v>
      </c>
      <c r="AC280" s="775">
        <f ca="1">SUMIF(chitiet!$B$13:$N$2352,kl!$B280,chitiet!$I$13:$I$2352)</f>
        <v>0</v>
      </c>
      <c r="AD280" s="775">
        <f ca="1">SUMIF(chitiet!$B$13:$N$2352,kl!$B280,chitiet!$J$13:$J$2352)</f>
        <v>0</v>
      </c>
      <c r="AE280" s="775">
        <f ca="1">SUMIF(chitiet!$B$13:$N$2352,kl!$B280,chitiet!$K$13:$K$2352)</f>
        <v>0</v>
      </c>
      <c r="AF280" s="775">
        <f ca="1">SUMIF(chitiet!$B$13:$N$2352,kl!$B280,chitiet!$L$13:$L$2352)</f>
        <v>0</v>
      </c>
      <c r="AG280" s="775">
        <f ca="1">SUMIF(chitiet!$B$13:$N$2352,kl!$B280,chitiet!$M$13)</f>
        <v>0</v>
      </c>
      <c r="AH280" s="775">
        <f ca="1">SUMIF(chitiet!$B$13:$N$2352,kl!$B280,chitiet!$N$13:$N$2352)</f>
        <v>0</v>
      </c>
      <c r="AI280" s="775">
        <f ca="1">SUMIF(chitiet!$B$13:$N$2352,kl!$B280,chitiet!$O$13:$O$2352)</f>
        <v>0</v>
      </c>
      <c r="AJ280" s="775">
        <f ca="1">SUMIF('Cap ngam'!$B$631:$G$723,kl!$B280,'Cap ngam'!$G$631:$G$723)</f>
        <v>0</v>
      </c>
      <c r="AK280" s="775">
        <f ca="1">SUMIF('Cap ngam'!$B$403:$G$628,kl!$B280,'Cap ngam'!G$403:G$628)</f>
        <v>0</v>
      </c>
      <c r="AL280" s="775">
        <f ca="1">SUMIF('Cap ngam'!B$16:G$400,kl!$B280,'Cap ngam'!G$16:G$400)</f>
        <v>0</v>
      </c>
      <c r="AM280" s="776">
        <v>2</v>
      </c>
      <c r="AN280" s="775">
        <f t="shared" ref="AN280:AN359" ca="1" si="181">I280*$AM280</f>
        <v>0</v>
      </c>
      <c r="AO280" s="775">
        <f t="shared" ref="AO280:AO359" ca="1" si="182">J280*$AM280</f>
        <v>0</v>
      </c>
      <c r="AP280" s="775">
        <f t="shared" ref="AP280:AP359" ca="1" si="183">K280*$AM280</f>
        <v>0</v>
      </c>
      <c r="AQ280" s="775">
        <f t="shared" ref="AQ280:AQ359" ca="1" si="184">L280*$AM280</f>
        <v>0</v>
      </c>
      <c r="AR280" s="775">
        <f t="shared" ref="AR280:AR359" ca="1" si="185">M280*$AM280</f>
        <v>0</v>
      </c>
      <c r="AS280" s="775">
        <f t="shared" ref="AS280:AS359" ca="1" si="186">N280*$AM280</f>
        <v>0</v>
      </c>
      <c r="AT280" s="775">
        <f t="shared" ref="AT280:AT359" ca="1" si="187">O280*$AM280</f>
        <v>0</v>
      </c>
      <c r="AU280" s="775">
        <f t="shared" ref="AU280:AU359" ca="1" si="188">P280*$AM280</f>
        <v>0</v>
      </c>
      <c r="AV280" s="775">
        <f t="shared" ref="AV280:AV359" ca="1" si="189">Q280*$AM280</f>
        <v>0</v>
      </c>
      <c r="AW280" s="775">
        <f t="shared" ref="AW280:AW359" ca="1" si="190">R280*$AM280</f>
        <v>0</v>
      </c>
      <c r="AX280" s="775">
        <f t="shared" ref="AX280:AX359" si="191">S280*$AM280</f>
        <v>0</v>
      </c>
      <c r="AY280" s="775">
        <f t="shared" ref="AY280:AY359" ca="1" si="192">T280*$AM280</f>
        <v>0</v>
      </c>
      <c r="AZ280" s="775">
        <f t="shared" ref="AZ280:AZ359" si="193">U280*$AM280</f>
        <v>0</v>
      </c>
      <c r="BA280" s="775">
        <f t="shared" ca="1" si="172"/>
        <v>0</v>
      </c>
      <c r="BB280" s="775">
        <f t="shared" ca="1" si="173"/>
        <v>0</v>
      </c>
      <c r="BC280" s="775">
        <f t="shared" ca="1" si="174"/>
        <v>0</v>
      </c>
      <c r="BD280" s="775">
        <f t="shared" ca="1" si="175"/>
        <v>0</v>
      </c>
      <c r="BE280" s="775">
        <f t="shared" ca="1" si="176"/>
        <v>0</v>
      </c>
      <c r="BF280" s="775">
        <f t="shared" ca="1" si="177"/>
        <v>0</v>
      </c>
      <c r="BG280" s="775">
        <f t="shared" ca="1" si="178"/>
        <v>0</v>
      </c>
      <c r="BH280" s="775">
        <f t="shared" ca="1" si="146"/>
        <v>0</v>
      </c>
      <c r="BI280" s="775">
        <f t="shared" ca="1" si="147"/>
        <v>0</v>
      </c>
      <c r="BJ280" s="775">
        <f t="shared" ca="1" si="148"/>
        <v>0</v>
      </c>
      <c r="BK280" s="775">
        <f t="shared" ca="1" si="149"/>
        <v>0</v>
      </c>
      <c r="BL280" s="775">
        <f t="shared" ca="1" si="150"/>
        <v>0</v>
      </c>
      <c r="BM280" s="775">
        <f t="shared" ca="1" si="151"/>
        <v>0</v>
      </c>
      <c r="BN280" s="775">
        <f t="shared" ca="1" si="152"/>
        <v>0</v>
      </c>
      <c r="BO280" s="775">
        <f t="shared" ca="1" si="153"/>
        <v>0</v>
      </c>
      <c r="BP280" s="775">
        <f t="shared" ca="1" si="154"/>
        <v>0</v>
      </c>
      <c r="BQ280" s="775">
        <f t="shared" ca="1" si="170"/>
        <v>0</v>
      </c>
      <c r="BR280" s="775">
        <f t="shared" ca="1" si="155"/>
        <v>0</v>
      </c>
    </row>
    <row r="281" spans="1:70">
      <c r="A281" s="767" t="str">
        <f t="shared" ca="1" si="162"/>
        <v/>
      </c>
      <c r="B281" s="799" t="s">
        <v>2037</v>
      </c>
      <c r="C281" s="188" t="str">
        <f ca="1">IF(F281=0,"",COUNTIF($F$78:$F281,"&gt;0"))</f>
        <v/>
      </c>
      <c r="D281" s="778" t="str">
        <f>VLOOKUP($B281,dongia1,DG!$C$5,)</f>
        <v>Ống nối dây cỡ 70mm2</v>
      </c>
      <c r="E281" s="555" t="str">
        <f>VLOOKUP($B281,dongia1,DG!$D$5,)</f>
        <v>cái</v>
      </c>
      <c r="F281" s="779">
        <f t="shared" ca="1" si="171"/>
        <v>0</v>
      </c>
      <c r="G281" s="775">
        <f t="shared" ca="1" si="169"/>
        <v>0</v>
      </c>
      <c r="H281" s="775">
        <f ca="1">SUMIF(CT_tram!$B$33:$G$3559,kl!B281,CT_tram!$G$33:$G$3559)</f>
        <v>0</v>
      </c>
      <c r="I281" s="775">
        <f ca="1">SUMIF(CT_tram!$B$34:$G$115,$B281,CT_tram!$G$34:$G$115)</f>
        <v>0</v>
      </c>
      <c r="J281" s="775">
        <f ca="1">SUMIF(CT_tram!$B$122:$G$204,$B281,CT_tram!$G$122:$G$204)</f>
        <v>0</v>
      </c>
      <c r="K281" s="775">
        <f ca="1">SUMIF(CT_tram!$B$211:$G$293,$B281,CT_tram!$G$211:$G$293)</f>
        <v>0</v>
      </c>
      <c r="L281" s="775">
        <f ca="1">SUMIF(CT_tram!$B$300:$G$374,$B281,CT_tram!$G$300:$G$374)</f>
        <v>0</v>
      </c>
      <c r="M281" s="775">
        <f ca="1">SUMIF(CT_tram!$B$381:$G$471,$B281,CT_tram!$G$381:$G$471)</f>
        <v>0</v>
      </c>
      <c r="N281" s="775">
        <f ca="1">SUMIF(CT_tram!$B$478:$G$560,$B281,CT_tram!$G$478:$G$560)</f>
        <v>0</v>
      </c>
      <c r="O281" s="775">
        <f ca="1">SUMIF(CT_tram!$B$567:$G$653,$B281,CT_tram!$G$567:$G$653)</f>
        <v>0</v>
      </c>
      <c r="P281" s="775">
        <f ca="1">SUMIF(CT_tram!$B$661:$G$738,$B281,CT_tram!$G$661:$G$738)</f>
        <v>0</v>
      </c>
      <c r="Q281" s="775">
        <f ca="1">SUMIF(CT_tram!$B$745:$G$899,$B281,CT_tram!$G$745:$G$899)</f>
        <v>0</v>
      </c>
      <c r="R281" s="775">
        <f ca="1">SUMIF(CT_tram!$B$907:$G$995,$B281,CT_tram!$G$907:$G$995)</f>
        <v>0</v>
      </c>
      <c r="S281" s="775"/>
      <c r="T281" s="775">
        <f ca="1">SUMIF(CT_tram!$B$1004:$G$1097,B281,CT_tram!$G$1004:$G$1097)</f>
        <v>0</v>
      </c>
      <c r="U281" s="775"/>
      <c r="V281" s="775">
        <f ca="1">SUMIF(CT_tram!$B$1226:$G$1352,kl!B281,CT_tram!$G$1226:$G$1352)</f>
        <v>0</v>
      </c>
      <c r="W281" s="780">
        <f ca="1">SUMIF(CT_tram!$B$1105:$G$1219,kl!B281,CT_tram!$G$1105:$G$1219)</f>
        <v>0</v>
      </c>
      <c r="X281" s="775">
        <f ca="1">SUMIF(CT_tram!$B$1359:$G$1504,kl!B281,CT_tram!$G$1359:$G$1504)</f>
        <v>0</v>
      </c>
      <c r="Y281" s="775">
        <f ca="1">SUMIF(CT_tram!$B$1511:$G$1625,kl!B281,CT_tram!$G$1511:$G$1625)</f>
        <v>0</v>
      </c>
      <c r="Z281" s="775">
        <f ca="1">SUMIF(CT_tram!$B$1632:$G$2211,kl!B281,CT_tram!$G$1632:$G$2211)</f>
        <v>0</v>
      </c>
      <c r="AA281" s="775">
        <f ca="1">SUMIF(CT_tram!$B$2243:$G$2384,kl!B281,CT_tram!$G$2243:$G$2384)</f>
        <v>0</v>
      </c>
      <c r="AB281" s="775">
        <f ca="1">SUMIF(CT_tram!$B$2391:$G$2563,kl!B281,CT_tram!$G$2391:$G$2563)</f>
        <v>0</v>
      </c>
      <c r="AC281" s="775">
        <f ca="1">SUMIF(chitiet!$B$13:$N$2352,kl!$B281,chitiet!$I$13:$I$2352)</f>
        <v>0</v>
      </c>
      <c r="AD281" s="775">
        <f ca="1">SUMIF(chitiet!$B$13:$N$2352,kl!$B281,chitiet!$J$13:$J$2352)</f>
        <v>0</v>
      </c>
      <c r="AE281" s="775">
        <f ca="1">SUMIF(chitiet!$B$13:$N$2352,kl!$B281,chitiet!$K$13:$K$2352)</f>
        <v>0</v>
      </c>
      <c r="AF281" s="775">
        <f ca="1">SUMIF(chitiet!$B$13:$N$2352,kl!$B281,chitiet!$L$13:$L$2352)</f>
        <v>0</v>
      </c>
      <c r="AG281" s="775">
        <f ca="1">SUMIF(chitiet!$B$13:$N$2352,kl!$B281,chitiet!$M$13)</f>
        <v>0</v>
      </c>
      <c r="AH281" s="775">
        <f ca="1">SUMIF(chitiet!$B$13:$N$2352,kl!$B281,chitiet!$N$13:$N$2352)</f>
        <v>0</v>
      </c>
      <c r="AI281" s="775">
        <f ca="1">SUMIF(chitiet!$B$13:$N$2352,kl!$B281,chitiet!$O$13:$O$2352)</f>
        <v>0</v>
      </c>
      <c r="AJ281" s="775">
        <f ca="1">SUMIF('Cap ngam'!$B$631:$G$723,kl!$B281,'Cap ngam'!$G$631:$G$723)</f>
        <v>0</v>
      </c>
      <c r="AK281" s="775">
        <f ca="1">SUMIF('Cap ngam'!$B$403:$G$628,kl!$B281,'Cap ngam'!G$403:G$628)</f>
        <v>0</v>
      </c>
      <c r="AL281" s="775">
        <f ca="1">SUMIF('Cap ngam'!B$16:G$400,kl!$B281,'Cap ngam'!G$16:G$400)</f>
        <v>0</v>
      </c>
      <c r="AM281" s="776">
        <v>2</v>
      </c>
      <c r="AN281" s="775">
        <f t="shared" ca="1" si="181"/>
        <v>0</v>
      </c>
      <c r="AO281" s="775">
        <f t="shared" ca="1" si="182"/>
        <v>0</v>
      </c>
      <c r="AP281" s="775">
        <f t="shared" ca="1" si="183"/>
        <v>0</v>
      </c>
      <c r="AQ281" s="775">
        <f t="shared" ca="1" si="184"/>
        <v>0</v>
      </c>
      <c r="AR281" s="775">
        <f t="shared" ca="1" si="185"/>
        <v>0</v>
      </c>
      <c r="AS281" s="775">
        <f t="shared" ca="1" si="186"/>
        <v>0</v>
      </c>
      <c r="AT281" s="775">
        <f t="shared" ca="1" si="187"/>
        <v>0</v>
      </c>
      <c r="AU281" s="775">
        <f t="shared" ca="1" si="188"/>
        <v>0</v>
      </c>
      <c r="AV281" s="775">
        <f t="shared" ca="1" si="189"/>
        <v>0</v>
      </c>
      <c r="AW281" s="775">
        <f t="shared" ca="1" si="190"/>
        <v>0</v>
      </c>
      <c r="AX281" s="775">
        <f t="shared" si="191"/>
        <v>0</v>
      </c>
      <c r="AY281" s="775">
        <f t="shared" ca="1" si="192"/>
        <v>0</v>
      </c>
      <c r="AZ281" s="775">
        <f t="shared" si="193"/>
        <v>0</v>
      </c>
      <c r="BA281" s="775">
        <f t="shared" ca="1" si="172"/>
        <v>0</v>
      </c>
      <c r="BB281" s="775">
        <f t="shared" ca="1" si="173"/>
        <v>0</v>
      </c>
      <c r="BC281" s="775">
        <f t="shared" ca="1" si="174"/>
        <v>0</v>
      </c>
      <c r="BD281" s="775">
        <f t="shared" ca="1" si="175"/>
        <v>0</v>
      </c>
      <c r="BE281" s="775">
        <f t="shared" ca="1" si="176"/>
        <v>0</v>
      </c>
      <c r="BF281" s="775">
        <f t="shared" ca="1" si="177"/>
        <v>0</v>
      </c>
      <c r="BG281" s="775">
        <f t="shared" ca="1" si="178"/>
        <v>0</v>
      </c>
      <c r="BH281" s="775">
        <f t="shared" ca="1" si="146"/>
        <v>0</v>
      </c>
      <c r="BI281" s="775">
        <f t="shared" ca="1" si="147"/>
        <v>0</v>
      </c>
      <c r="BJ281" s="775">
        <f t="shared" ca="1" si="148"/>
        <v>0</v>
      </c>
      <c r="BK281" s="775">
        <f t="shared" ca="1" si="149"/>
        <v>0</v>
      </c>
      <c r="BL281" s="775">
        <f t="shared" ca="1" si="150"/>
        <v>0</v>
      </c>
      <c r="BM281" s="775">
        <f t="shared" ca="1" si="151"/>
        <v>0</v>
      </c>
      <c r="BN281" s="775">
        <f t="shared" ca="1" si="152"/>
        <v>0</v>
      </c>
      <c r="BO281" s="775">
        <f t="shared" ca="1" si="153"/>
        <v>0</v>
      </c>
      <c r="BP281" s="775">
        <f t="shared" ca="1" si="154"/>
        <v>0</v>
      </c>
      <c r="BQ281" s="775">
        <f t="shared" ca="1" si="170"/>
        <v>0</v>
      </c>
      <c r="BR281" s="775">
        <f t="shared" ca="1" si="155"/>
        <v>0</v>
      </c>
    </row>
    <row r="282" spans="1:70">
      <c r="A282" s="767" t="str">
        <f t="shared" ca="1" si="162"/>
        <v/>
      </c>
      <c r="B282" s="799" t="s">
        <v>1403</v>
      </c>
      <c r="C282" s="188" t="str">
        <f ca="1">IF(F282=0,"",COUNTIF($F$78:$F282,"&gt;0"))</f>
        <v/>
      </c>
      <c r="D282" s="778" t="str">
        <f>VLOOKUP($B282,dongia1,DG!$C$5,)</f>
        <v>Ống nối dây cỡ 95mm2</v>
      </c>
      <c r="E282" s="555" t="str">
        <f>VLOOKUP($B282,dongia1,DG!$D$5,)</f>
        <v>cái</v>
      </c>
      <c r="F282" s="779">
        <f t="shared" ca="1" si="171"/>
        <v>0</v>
      </c>
      <c r="G282" s="775">
        <f t="shared" ca="1" si="169"/>
        <v>0</v>
      </c>
      <c r="H282" s="775">
        <f ca="1">SUMIF(CT_tram!$B$33:$G$3559,kl!B282,CT_tram!$G$33:$G$3559)</f>
        <v>0</v>
      </c>
      <c r="I282" s="775">
        <f ca="1">SUMIF(CT_tram!$B$34:$G$115,$B282,CT_tram!$G$34:$G$115)</f>
        <v>0</v>
      </c>
      <c r="J282" s="775">
        <f ca="1">SUMIF(CT_tram!$B$122:$G$204,$B282,CT_tram!$G$122:$G$204)</f>
        <v>0</v>
      </c>
      <c r="K282" s="775">
        <f ca="1">SUMIF(CT_tram!$B$211:$G$293,$B282,CT_tram!$G$211:$G$293)</f>
        <v>0</v>
      </c>
      <c r="L282" s="775">
        <f ca="1">SUMIF(CT_tram!$B$300:$G$374,$B282,CT_tram!$G$300:$G$374)</f>
        <v>0</v>
      </c>
      <c r="M282" s="775">
        <f ca="1">SUMIF(CT_tram!$B$381:$G$471,$B282,CT_tram!$G$381:$G$471)</f>
        <v>0</v>
      </c>
      <c r="N282" s="775">
        <f ca="1">SUMIF(CT_tram!$B$478:$G$560,$B282,CT_tram!$G$478:$G$560)</f>
        <v>0</v>
      </c>
      <c r="O282" s="775">
        <f ca="1">SUMIF(CT_tram!$B$567:$G$653,$B282,CT_tram!$G$567:$G$653)</f>
        <v>0</v>
      </c>
      <c r="P282" s="775">
        <f ca="1">SUMIF(CT_tram!$B$661:$G$738,$B282,CT_tram!$G$661:$G$738)</f>
        <v>0</v>
      </c>
      <c r="Q282" s="775">
        <f ca="1">SUMIF(CT_tram!$B$745:$G$899,$B282,CT_tram!$G$745:$G$899)</f>
        <v>0</v>
      </c>
      <c r="R282" s="775">
        <f ca="1">SUMIF(CT_tram!$B$907:$G$995,$B282,CT_tram!$G$907:$G$995)</f>
        <v>0</v>
      </c>
      <c r="S282" s="775"/>
      <c r="T282" s="775">
        <f ca="1">SUMIF(CT_tram!$B$1004:$G$1097,B282,CT_tram!$G$1004:$G$1097)</f>
        <v>0</v>
      </c>
      <c r="U282" s="775"/>
      <c r="V282" s="775">
        <f ca="1">SUMIF(CT_tram!$B$1226:$G$1352,kl!B282,CT_tram!$G$1226:$G$1352)</f>
        <v>0</v>
      </c>
      <c r="W282" s="780">
        <f ca="1">SUMIF(CT_tram!$B$1105:$G$1219,kl!B282,CT_tram!$G$1105:$G$1219)</f>
        <v>0</v>
      </c>
      <c r="X282" s="775">
        <f ca="1">SUMIF(CT_tram!$B$1359:$G$1504,kl!B282,CT_tram!$G$1359:$G$1504)</f>
        <v>0</v>
      </c>
      <c r="Y282" s="775">
        <f ca="1">SUMIF(CT_tram!$B$1511:$G$1625,kl!B282,CT_tram!$G$1511:$G$1625)</f>
        <v>0</v>
      </c>
      <c r="Z282" s="775">
        <f ca="1">SUMIF(CT_tram!$B$1632:$G$2211,kl!B282,CT_tram!$G$1632:$G$2211)</f>
        <v>0</v>
      </c>
      <c r="AA282" s="775">
        <f ca="1">SUMIF(CT_tram!$B$2243:$G$2384,kl!B282,CT_tram!$G$2243:$G$2384)</f>
        <v>0</v>
      </c>
      <c r="AB282" s="775">
        <f ca="1">SUMIF(CT_tram!$B$2391:$G$2563,kl!B282,CT_tram!$G$2391:$G$2563)</f>
        <v>0</v>
      </c>
      <c r="AC282" s="775">
        <f ca="1">SUMIF(chitiet!$B$13:$N$2352,kl!$B282,chitiet!$I$13:$I$2352)</f>
        <v>0</v>
      </c>
      <c r="AD282" s="775">
        <f ca="1">SUMIF(chitiet!$B$13:$N$2352,kl!$B282,chitiet!$J$13:$J$2352)</f>
        <v>0</v>
      </c>
      <c r="AE282" s="775">
        <f ca="1">SUMIF(chitiet!$B$13:$N$2352,kl!$B282,chitiet!$K$13:$K$2352)</f>
        <v>0</v>
      </c>
      <c r="AF282" s="775">
        <f ca="1">SUMIF(chitiet!$B$13:$N$2352,kl!$B282,chitiet!$L$13:$L$2352)</f>
        <v>0</v>
      </c>
      <c r="AG282" s="775">
        <f ca="1">SUMIF(chitiet!$B$13:$N$2352,kl!$B282,chitiet!$M$13)</f>
        <v>0</v>
      </c>
      <c r="AH282" s="775">
        <f ca="1">SUMIF(chitiet!$B$13:$N$2352,kl!$B282,chitiet!$N$13:$N$2352)</f>
        <v>0</v>
      </c>
      <c r="AI282" s="775">
        <f ca="1">SUMIF(chitiet!$B$13:$N$2352,kl!$B282,chitiet!$O$13:$O$2352)</f>
        <v>0</v>
      </c>
      <c r="AJ282" s="775">
        <f ca="1">SUMIF('Cap ngam'!$B$631:$G$723,kl!$B282,'Cap ngam'!$G$631:$G$723)</f>
        <v>0</v>
      </c>
      <c r="AK282" s="775">
        <f ca="1">SUMIF('Cap ngam'!$B$403:$G$628,kl!$B282,'Cap ngam'!G$403:G$628)</f>
        <v>0</v>
      </c>
      <c r="AL282" s="775">
        <f ca="1">SUMIF('Cap ngam'!B$16:G$400,kl!$B282,'Cap ngam'!G$16:G$400)</f>
        <v>0</v>
      </c>
      <c r="AM282" s="776">
        <v>2.5</v>
      </c>
      <c r="AN282" s="775">
        <f t="shared" ca="1" si="181"/>
        <v>0</v>
      </c>
      <c r="AO282" s="775">
        <f t="shared" ca="1" si="182"/>
        <v>0</v>
      </c>
      <c r="AP282" s="775">
        <f t="shared" ca="1" si="183"/>
        <v>0</v>
      </c>
      <c r="AQ282" s="775">
        <f t="shared" ca="1" si="184"/>
        <v>0</v>
      </c>
      <c r="AR282" s="775">
        <f t="shared" ca="1" si="185"/>
        <v>0</v>
      </c>
      <c r="AS282" s="775">
        <f t="shared" ca="1" si="186"/>
        <v>0</v>
      </c>
      <c r="AT282" s="775">
        <f t="shared" ca="1" si="187"/>
        <v>0</v>
      </c>
      <c r="AU282" s="775">
        <f t="shared" ca="1" si="188"/>
        <v>0</v>
      </c>
      <c r="AV282" s="775">
        <f t="shared" ca="1" si="189"/>
        <v>0</v>
      </c>
      <c r="AW282" s="775">
        <f t="shared" ca="1" si="190"/>
        <v>0</v>
      </c>
      <c r="AX282" s="775">
        <f t="shared" si="191"/>
        <v>0</v>
      </c>
      <c r="AY282" s="775">
        <f t="shared" ca="1" si="192"/>
        <v>0</v>
      </c>
      <c r="AZ282" s="775">
        <f t="shared" si="193"/>
        <v>0</v>
      </c>
      <c r="BA282" s="775">
        <f t="shared" ca="1" si="172"/>
        <v>0</v>
      </c>
      <c r="BB282" s="775">
        <f t="shared" ca="1" si="173"/>
        <v>0</v>
      </c>
      <c r="BC282" s="775">
        <f t="shared" ca="1" si="174"/>
        <v>0</v>
      </c>
      <c r="BD282" s="775">
        <f t="shared" ca="1" si="175"/>
        <v>0</v>
      </c>
      <c r="BE282" s="775">
        <f t="shared" ca="1" si="176"/>
        <v>0</v>
      </c>
      <c r="BF282" s="775">
        <f t="shared" ca="1" si="177"/>
        <v>0</v>
      </c>
      <c r="BG282" s="775">
        <f t="shared" ca="1" si="178"/>
        <v>0</v>
      </c>
      <c r="BH282" s="775">
        <f t="shared" ca="1" si="146"/>
        <v>0</v>
      </c>
      <c r="BI282" s="775">
        <f t="shared" ca="1" si="147"/>
        <v>0</v>
      </c>
      <c r="BJ282" s="775">
        <f t="shared" ca="1" si="148"/>
        <v>0</v>
      </c>
      <c r="BK282" s="775">
        <f t="shared" ca="1" si="149"/>
        <v>0</v>
      </c>
      <c r="BL282" s="775">
        <f t="shared" ca="1" si="150"/>
        <v>0</v>
      </c>
      <c r="BM282" s="775">
        <f t="shared" ca="1" si="151"/>
        <v>0</v>
      </c>
      <c r="BN282" s="775">
        <f t="shared" ca="1" si="152"/>
        <v>0</v>
      </c>
      <c r="BO282" s="775">
        <f t="shared" ca="1" si="153"/>
        <v>0</v>
      </c>
      <c r="BP282" s="775">
        <f t="shared" ca="1" si="154"/>
        <v>0</v>
      </c>
      <c r="BQ282" s="775">
        <f t="shared" ca="1" si="170"/>
        <v>0</v>
      </c>
      <c r="BR282" s="775">
        <f t="shared" ca="1" si="155"/>
        <v>0</v>
      </c>
    </row>
    <row r="283" spans="1:70">
      <c r="A283" s="767" t="str">
        <f t="shared" ca="1" si="162"/>
        <v/>
      </c>
      <c r="B283" s="799" t="s">
        <v>260</v>
      </c>
      <c r="C283" s="188" t="str">
        <f ca="1">IF(F283=0,"",COUNTIF($F$78:$F283,"&gt;0"))</f>
        <v/>
      </c>
      <c r="D283" s="778" t="str">
        <f>VLOOKUP($B283,dongia1,DG!$C$5,)</f>
        <v>Ống nối dây cỡ 120mm2</v>
      </c>
      <c r="E283" s="555" t="str">
        <f>VLOOKUP($B283,dongia1,DG!$D$5,)</f>
        <v>cái</v>
      </c>
      <c r="F283" s="779">
        <f t="shared" ca="1" si="171"/>
        <v>0</v>
      </c>
      <c r="G283" s="775">
        <f t="shared" ca="1" si="169"/>
        <v>0</v>
      </c>
      <c r="H283" s="775">
        <f ca="1">SUMIF(CT_tram!$B$33:$G$3559,kl!B283,CT_tram!$G$33:$G$3559)</f>
        <v>0</v>
      </c>
      <c r="I283" s="775">
        <f ca="1">SUMIF(CT_tram!$B$34:$G$115,$B283,CT_tram!$G$34:$G$115)</f>
        <v>0</v>
      </c>
      <c r="J283" s="775">
        <f ca="1">SUMIF(CT_tram!$B$122:$G$204,$B283,CT_tram!$G$122:$G$204)</f>
        <v>0</v>
      </c>
      <c r="K283" s="775">
        <f ca="1">SUMIF(CT_tram!$B$211:$G$293,$B283,CT_tram!$G$211:$G$293)</f>
        <v>0</v>
      </c>
      <c r="L283" s="775">
        <f ca="1">SUMIF(CT_tram!$B$300:$G$374,$B283,CT_tram!$G$300:$G$374)</f>
        <v>0</v>
      </c>
      <c r="M283" s="775">
        <f ca="1">SUMIF(CT_tram!$B$381:$G$471,$B283,CT_tram!$G$381:$G$471)</f>
        <v>0</v>
      </c>
      <c r="N283" s="775">
        <f ca="1">SUMIF(CT_tram!$B$478:$G$560,$B283,CT_tram!$G$478:$G$560)</f>
        <v>0</v>
      </c>
      <c r="O283" s="775">
        <f ca="1">SUMIF(CT_tram!$B$567:$G$653,$B283,CT_tram!$G$567:$G$653)</f>
        <v>0</v>
      </c>
      <c r="P283" s="775">
        <f ca="1">SUMIF(CT_tram!$B$661:$G$738,$B283,CT_tram!$G$661:$G$738)</f>
        <v>0</v>
      </c>
      <c r="Q283" s="775">
        <f ca="1">SUMIF(CT_tram!$B$745:$G$899,$B283,CT_tram!$G$745:$G$899)</f>
        <v>0</v>
      </c>
      <c r="R283" s="775">
        <f ca="1">SUMIF(CT_tram!$B$907:$G$995,$B283,CT_tram!$G$907:$G$995)</f>
        <v>0</v>
      </c>
      <c r="S283" s="775"/>
      <c r="T283" s="775">
        <f ca="1">SUMIF(CT_tram!$B$1004:$G$1097,B283,CT_tram!$G$1004:$G$1097)</f>
        <v>0</v>
      </c>
      <c r="U283" s="775"/>
      <c r="V283" s="775">
        <f ca="1">SUMIF(CT_tram!$B$1226:$G$1352,kl!B283,CT_tram!$G$1226:$G$1352)</f>
        <v>0</v>
      </c>
      <c r="W283" s="780">
        <f ca="1">SUMIF(CT_tram!$B$1105:$G$1219,kl!B283,CT_tram!$G$1105:$G$1219)</f>
        <v>0</v>
      </c>
      <c r="X283" s="775">
        <f ca="1">SUMIF(CT_tram!$B$1359:$G$1504,kl!B283,CT_tram!$G$1359:$G$1504)</f>
        <v>0</v>
      </c>
      <c r="Y283" s="775">
        <f ca="1">SUMIF(CT_tram!$B$1511:$G$1625,kl!B283,CT_tram!$G$1511:$G$1625)</f>
        <v>0</v>
      </c>
      <c r="Z283" s="775">
        <f ca="1">SUMIF(CT_tram!$B$1632:$G$2211,kl!B283,CT_tram!$G$1632:$G$2211)</f>
        <v>0</v>
      </c>
      <c r="AA283" s="775">
        <f ca="1">SUMIF(CT_tram!$B$2243:$G$2384,kl!B283,CT_tram!$G$2243:$G$2384)</f>
        <v>0</v>
      </c>
      <c r="AB283" s="775">
        <f ca="1">SUMIF(CT_tram!$B$2391:$G$2563,kl!B283,CT_tram!$G$2391:$G$2563)</f>
        <v>0</v>
      </c>
      <c r="AC283" s="775">
        <f ca="1">SUMIF(chitiet!$B$13:$N$2352,kl!$B283,chitiet!$I$13:$I$2352)</f>
        <v>0</v>
      </c>
      <c r="AD283" s="775">
        <f ca="1">SUMIF(chitiet!$B$13:$N$2352,kl!$B283,chitiet!$J$13:$J$2352)</f>
        <v>0</v>
      </c>
      <c r="AE283" s="775">
        <f ca="1">SUMIF(chitiet!$B$13:$N$2352,kl!$B283,chitiet!$K$13:$K$2352)</f>
        <v>0</v>
      </c>
      <c r="AF283" s="775">
        <f ca="1">SUMIF(chitiet!$B$13:$N$2352,kl!$B283,chitiet!$L$13:$L$2352)</f>
        <v>0</v>
      </c>
      <c r="AG283" s="775">
        <f ca="1">SUMIF(chitiet!$B$13:$N$2352,kl!$B283,chitiet!$M$13)</f>
        <v>0</v>
      </c>
      <c r="AH283" s="775">
        <f ca="1">SUMIF(chitiet!$B$13:$N$2352,kl!$B283,chitiet!$N$13:$N$2352)</f>
        <v>0</v>
      </c>
      <c r="AI283" s="775">
        <f ca="1">SUMIF(chitiet!$B$13:$N$2352,kl!$B283,chitiet!$O$13:$O$2352)</f>
        <v>0</v>
      </c>
      <c r="AJ283" s="775">
        <f ca="1">SUMIF('Cap ngam'!$B$631:$G$723,kl!$B283,'Cap ngam'!$G$631:$G$723)</f>
        <v>0</v>
      </c>
      <c r="AK283" s="775">
        <f ca="1">SUMIF('Cap ngam'!$B$403:$G$628,kl!$B283,'Cap ngam'!G$403:G$628)</f>
        <v>0</v>
      </c>
      <c r="AL283" s="775">
        <f ca="1">SUMIF('Cap ngam'!B$16:G$400,kl!$B283,'Cap ngam'!G$16:G$400)</f>
        <v>0</v>
      </c>
      <c r="AM283" s="776">
        <v>2</v>
      </c>
      <c r="AN283" s="775">
        <f t="shared" ca="1" si="181"/>
        <v>0</v>
      </c>
      <c r="AO283" s="775">
        <f t="shared" ca="1" si="182"/>
        <v>0</v>
      </c>
      <c r="AP283" s="775">
        <f t="shared" ca="1" si="183"/>
        <v>0</v>
      </c>
      <c r="AQ283" s="775">
        <f t="shared" ca="1" si="184"/>
        <v>0</v>
      </c>
      <c r="AR283" s="775">
        <f t="shared" ca="1" si="185"/>
        <v>0</v>
      </c>
      <c r="AS283" s="775">
        <f t="shared" ca="1" si="186"/>
        <v>0</v>
      </c>
      <c r="AT283" s="775">
        <f t="shared" ca="1" si="187"/>
        <v>0</v>
      </c>
      <c r="AU283" s="775">
        <f t="shared" ca="1" si="188"/>
        <v>0</v>
      </c>
      <c r="AV283" s="775">
        <f t="shared" ca="1" si="189"/>
        <v>0</v>
      </c>
      <c r="AW283" s="775">
        <f t="shared" ca="1" si="190"/>
        <v>0</v>
      </c>
      <c r="AX283" s="775">
        <f t="shared" si="191"/>
        <v>0</v>
      </c>
      <c r="AY283" s="775">
        <f t="shared" ca="1" si="192"/>
        <v>0</v>
      </c>
      <c r="AZ283" s="775">
        <f t="shared" si="193"/>
        <v>0</v>
      </c>
      <c r="BA283" s="775">
        <f t="shared" ca="1" si="172"/>
        <v>0</v>
      </c>
      <c r="BB283" s="775">
        <f t="shared" ca="1" si="173"/>
        <v>0</v>
      </c>
      <c r="BC283" s="775">
        <f t="shared" ca="1" si="174"/>
        <v>0</v>
      </c>
      <c r="BD283" s="775">
        <f t="shared" ca="1" si="175"/>
        <v>0</v>
      </c>
      <c r="BE283" s="775">
        <f t="shared" ca="1" si="176"/>
        <v>0</v>
      </c>
      <c r="BF283" s="775">
        <f t="shared" ca="1" si="177"/>
        <v>0</v>
      </c>
      <c r="BG283" s="775">
        <f t="shared" ca="1" si="178"/>
        <v>0</v>
      </c>
      <c r="BH283" s="775">
        <f t="shared" ref="BH283:BH362" ca="1" si="194">AC283*$AM283</f>
        <v>0</v>
      </c>
      <c r="BI283" s="775">
        <f t="shared" ref="BI283:BI362" ca="1" si="195">AD283*$AM283</f>
        <v>0</v>
      </c>
      <c r="BJ283" s="775">
        <f t="shared" ref="BJ283:BJ362" ca="1" si="196">AE283*$AM283</f>
        <v>0</v>
      </c>
      <c r="BK283" s="775">
        <f t="shared" ref="BK283:BK362" ca="1" si="197">AF283*$AM283</f>
        <v>0</v>
      </c>
      <c r="BL283" s="775">
        <f t="shared" ref="BL283:BL362" ca="1" si="198">AG283*$AM283</f>
        <v>0</v>
      </c>
      <c r="BM283" s="775">
        <f t="shared" ref="BM283:BM362" ca="1" si="199">AH283*$AM283</f>
        <v>0</v>
      </c>
      <c r="BN283" s="775">
        <f t="shared" ref="BN283:BN362" ca="1" si="200">AI283*$AM283</f>
        <v>0</v>
      </c>
      <c r="BO283" s="775">
        <f t="shared" ref="BO283:BO362" ca="1" si="201">AJ283*$AM283</f>
        <v>0</v>
      </c>
      <c r="BP283" s="775">
        <f t="shared" ref="BP283:BP362" ca="1" si="202">AK283*$AM283</f>
        <v>0</v>
      </c>
      <c r="BQ283" s="775">
        <f t="shared" ca="1" si="170"/>
        <v>0</v>
      </c>
      <c r="BR283" s="775">
        <f t="shared" ref="BR283:BR362" ca="1" si="203">$H283*$AM283</f>
        <v>0</v>
      </c>
    </row>
    <row r="284" spans="1:70">
      <c r="A284" s="767" t="str">
        <f t="shared" ca="1" si="162"/>
        <v/>
      </c>
      <c r="B284" s="799" t="s">
        <v>712</v>
      </c>
      <c r="C284" s="188" t="str">
        <f ca="1">IF(F284=0,"",COUNTIF($F$78:$F284,"&gt;0"))</f>
        <v/>
      </c>
      <c r="D284" s="778" t="str">
        <f>VLOOKUP($B284,dongia1,DG!$C$5,)</f>
        <v>Ống nối dây cỡ 150mm2</v>
      </c>
      <c r="E284" s="555" t="str">
        <f>VLOOKUP($B284,dongia1,DG!$D$5,)</f>
        <v>cái</v>
      </c>
      <c r="F284" s="779">
        <f t="shared" ca="1" si="171"/>
        <v>0</v>
      </c>
      <c r="G284" s="775">
        <f t="shared" ca="1" si="169"/>
        <v>0</v>
      </c>
      <c r="H284" s="775">
        <f ca="1">SUMIF(CT_tram!$B$33:$G$3559,kl!B284,CT_tram!$G$33:$G$3559)</f>
        <v>0</v>
      </c>
      <c r="I284" s="775">
        <f ca="1">SUMIF(CT_tram!$B$34:$G$115,$B284,CT_tram!$G$34:$G$115)</f>
        <v>0</v>
      </c>
      <c r="J284" s="775">
        <f ca="1">SUMIF(CT_tram!$B$122:$G$204,$B284,CT_tram!$G$122:$G$204)</f>
        <v>0</v>
      </c>
      <c r="K284" s="775">
        <f ca="1">SUMIF(CT_tram!$B$211:$G$293,$B284,CT_tram!$G$211:$G$293)</f>
        <v>0</v>
      </c>
      <c r="L284" s="775">
        <f ca="1">SUMIF(CT_tram!$B$300:$G$374,$B284,CT_tram!$G$300:$G$374)</f>
        <v>0</v>
      </c>
      <c r="M284" s="775">
        <f ca="1">SUMIF(CT_tram!$B$381:$G$471,$B284,CT_tram!$G$381:$G$471)</f>
        <v>0</v>
      </c>
      <c r="N284" s="775">
        <f ca="1">SUMIF(CT_tram!$B$478:$G$560,$B284,CT_tram!$G$478:$G$560)</f>
        <v>0</v>
      </c>
      <c r="O284" s="775">
        <f ca="1">SUMIF(CT_tram!$B$567:$G$653,$B284,CT_tram!$G$567:$G$653)</f>
        <v>0</v>
      </c>
      <c r="P284" s="775">
        <f ca="1">SUMIF(CT_tram!$B$661:$G$738,$B284,CT_tram!$G$661:$G$738)</f>
        <v>0</v>
      </c>
      <c r="Q284" s="775">
        <f ca="1">SUMIF(CT_tram!$B$745:$G$899,$B284,CT_tram!$G$745:$G$899)</f>
        <v>0</v>
      </c>
      <c r="R284" s="775">
        <f ca="1">SUMIF(CT_tram!$B$907:$G$995,$B284,CT_tram!$G$907:$G$995)</f>
        <v>0</v>
      </c>
      <c r="S284" s="775"/>
      <c r="T284" s="775">
        <f ca="1">SUMIF(CT_tram!$B$1004:$G$1097,B284,CT_tram!$G$1004:$G$1097)</f>
        <v>0</v>
      </c>
      <c r="U284" s="775"/>
      <c r="V284" s="775">
        <f ca="1">SUMIF(CT_tram!$B$1226:$G$1352,kl!B284,CT_tram!$G$1226:$G$1352)</f>
        <v>0</v>
      </c>
      <c r="W284" s="780">
        <f ca="1">SUMIF(CT_tram!$B$1105:$G$1219,kl!B284,CT_tram!$G$1105:$G$1219)</f>
        <v>0</v>
      </c>
      <c r="X284" s="775">
        <f ca="1">SUMIF(CT_tram!$B$1359:$G$1504,kl!B284,CT_tram!$G$1359:$G$1504)</f>
        <v>0</v>
      </c>
      <c r="Y284" s="775">
        <f ca="1">SUMIF(CT_tram!$B$1511:$G$1625,kl!B284,CT_tram!$G$1511:$G$1625)</f>
        <v>0</v>
      </c>
      <c r="Z284" s="775">
        <f ca="1">SUMIF(CT_tram!$B$1632:$G$2211,kl!B284,CT_tram!$G$1632:$G$2211)</f>
        <v>0</v>
      </c>
      <c r="AA284" s="775">
        <f ca="1">SUMIF(CT_tram!$B$2243:$G$2384,kl!B284,CT_tram!$G$2243:$G$2384)</f>
        <v>0</v>
      </c>
      <c r="AB284" s="775">
        <f ca="1">SUMIF(CT_tram!$B$2391:$G$2563,kl!B284,CT_tram!$G$2391:$G$2563)</f>
        <v>0</v>
      </c>
      <c r="AC284" s="775">
        <f ca="1">SUMIF(chitiet!$B$13:$N$2352,kl!$B284,chitiet!$I$13:$I$2352)</f>
        <v>0</v>
      </c>
      <c r="AD284" s="775">
        <f ca="1">SUMIF(chitiet!$B$13:$N$2352,kl!$B284,chitiet!$J$13:$J$2352)</f>
        <v>0</v>
      </c>
      <c r="AE284" s="775">
        <f ca="1">SUMIF(chitiet!$B$13:$N$2352,kl!$B284,chitiet!$K$13:$K$2352)</f>
        <v>0</v>
      </c>
      <c r="AF284" s="775">
        <f ca="1">SUMIF(chitiet!$B$13:$N$2352,kl!$B284,chitiet!$L$13:$L$2352)</f>
        <v>0</v>
      </c>
      <c r="AG284" s="775">
        <f ca="1">SUMIF(chitiet!$B$13:$N$2352,kl!$B284,chitiet!$M$13)</f>
        <v>0</v>
      </c>
      <c r="AH284" s="775">
        <f ca="1">SUMIF(chitiet!$B$13:$N$2352,kl!$B284,chitiet!$N$13:$N$2352)</f>
        <v>0</v>
      </c>
      <c r="AI284" s="775">
        <f ca="1">SUMIF(chitiet!$B$13:$N$2352,kl!$B284,chitiet!$O$13:$O$2352)</f>
        <v>0</v>
      </c>
      <c r="AJ284" s="775">
        <f ca="1">SUMIF('Cap ngam'!$B$631:$G$723,kl!$B284,'Cap ngam'!$G$631:$G$723)</f>
        <v>0</v>
      </c>
      <c r="AK284" s="775">
        <f ca="1">SUMIF('Cap ngam'!$B$403:$G$628,kl!$B284,'Cap ngam'!G$403:G$628)</f>
        <v>0</v>
      </c>
      <c r="AL284" s="775">
        <f ca="1">SUMIF('Cap ngam'!B$16:G$400,kl!$B284,'Cap ngam'!G$16:G$400)</f>
        <v>0</v>
      </c>
      <c r="AM284" s="776">
        <v>2</v>
      </c>
      <c r="AN284" s="775">
        <f t="shared" ca="1" si="181"/>
        <v>0</v>
      </c>
      <c r="AO284" s="775">
        <f t="shared" ca="1" si="182"/>
        <v>0</v>
      </c>
      <c r="AP284" s="775">
        <f t="shared" ca="1" si="183"/>
        <v>0</v>
      </c>
      <c r="AQ284" s="775">
        <f t="shared" ca="1" si="184"/>
        <v>0</v>
      </c>
      <c r="AR284" s="775">
        <f t="shared" ca="1" si="185"/>
        <v>0</v>
      </c>
      <c r="AS284" s="775">
        <f t="shared" ca="1" si="186"/>
        <v>0</v>
      </c>
      <c r="AT284" s="775">
        <f t="shared" ca="1" si="187"/>
        <v>0</v>
      </c>
      <c r="AU284" s="775">
        <f t="shared" ca="1" si="188"/>
        <v>0</v>
      </c>
      <c r="AV284" s="775">
        <f t="shared" ca="1" si="189"/>
        <v>0</v>
      </c>
      <c r="AW284" s="775">
        <f t="shared" ca="1" si="190"/>
        <v>0</v>
      </c>
      <c r="AX284" s="775">
        <f t="shared" si="191"/>
        <v>0</v>
      </c>
      <c r="AY284" s="775">
        <f t="shared" ca="1" si="192"/>
        <v>0</v>
      </c>
      <c r="AZ284" s="775">
        <f t="shared" si="193"/>
        <v>0</v>
      </c>
      <c r="BA284" s="775">
        <f t="shared" ca="1" si="172"/>
        <v>0</v>
      </c>
      <c r="BB284" s="775">
        <f t="shared" ca="1" si="173"/>
        <v>0</v>
      </c>
      <c r="BC284" s="775">
        <f t="shared" ca="1" si="174"/>
        <v>0</v>
      </c>
      <c r="BD284" s="775">
        <f t="shared" ca="1" si="175"/>
        <v>0</v>
      </c>
      <c r="BE284" s="775">
        <f t="shared" ca="1" si="176"/>
        <v>0</v>
      </c>
      <c r="BF284" s="775">
        <f t="shared" ca="1" si="177"/>
        <v>0</v>
      </c>
      <c r="BG284" s="775">
        <f t="shared" ca="1" si="178"/>
        <v>0</v>
      </c>
      <c r="BH284" s="775">
        <f t="shared" ca="1" si="194"/>
        <v>0</v>
      </c>
      <c r="BI284" s="775">
        <f t="shared" ca="1" si="195"/>
        <v>0</v>
      </c>
      <c r="BJ284" s="775">
        <f t="shared" ca="1" si="196"/>
        <v>0</v>
      </c>
      <c r="BK284" s="775">
        <f t="shared" ca="1" si="197"/>
        <v>0</v>
      </c>
      <c r="BL284" s="775">
        <f t="shared" ca="1" si="198"/>
        <v>0</v>
      </c>
      <c r="BM284" s="775">
        <f t="shared" ca="1" si="199"/>
        <v>0</v>
      </c>
      <c r="BN284" s="775">
        <f t="shared" ca="1" si="200"/>
        <v>0</v>
      </c>
      <c r="BO284" s="775">
        <f t="shared" ca="1" si="201"/>
        <v>0</v>
      </c>
      <c r="BP284" s="775">
        <f t="shared" ca="1" si="202"/>
        <v>0</v>
      </c>
      <c r="BQ284" s="775">
        <f t="shared" ca="1" si="170"/>
        <v>0</v>
      </c>
      <c r="BR284" s="775">
        <f t="shared" ca="1" si="203"/>
        <v>0</v>
      </c>
    </row>
    <row r="285" spans="1:70">
      <c r="A285" s="767" t="str">
        <f t="shared" ca="1" si="162"/>
        <v/>
      </c>
      <c r="B285" s="799" t="s">
        <v>259</v>
      </c>
      <c r="C285" s="188" t="str">
        <f ca="1">IF(F285=0,"",COUNTIF($F$78:$F285,"&gt;0"))</f>
        <v/>
      </c>
      <c r="D285" s="778" t="str">
        <f>VLOOKUP($B285,dongia1,DG!$C$5,)</f>
        <v>Ống nối dây cỡ 185mm2</v>
      </c>
      <c r="E285" s="555" t="str">
        <f>VLOOKUP($B285,dongia1,DG!$D$5,)</f>
        <v>cái</v>
      </c>
      <c r="F285" s="779">
        <f t="shared" ca="1" si="171"/>
        <v>0</v>
      </c>
      <c r="G285" s="775">
        <f t="shared" ca="1" si="169"/>
        <v>0</v>
      </c>
      <c r="H285" s="775">
        <f ca="1">SUMIF(CT_tram!$B$33:$G$3559,kl!B285,CT_tram!$G$33:$G$3559)</f>
        <v>0</v>
      </c>
      <c r="I285" s="775">
        <f ca="1">SUMIF(CT_tram!$B$34:$G$115,$B285,CT_tram!$G$34:$G$115)</f>
        <v>0</v>
      </c>
      <c r="J285" s="775">
        <f ca="1">SUMIF(CT_tram!$B$122:$G$204,$B285,CT_tram!$G$122:$G$204)</f>
        <v>0</v>
      </c>
      <c r="K285" s="775">
        <f ca="1">SUMIF(CT_tram!$B$211:$G$293,$B285,CT_tram!$G$211:$G$293)</f>
        <v>0</v>
      </c>
      <c r="L285" s="775">
        <f ca="1">SUMIF(CT_tram!$B$300:$G$374,$B285,CT_tram!$G$300:$G$374)</f>
        <v>0</v>
      </c>
      <c r="M285" s="775">
        <f ca="1">SUMIF(CT_tram!$B$381:$G$471,$B285,CT_tram!$G$381:$G$471)</f>
        <v>0</v>
      </c>
      <c r="N285" s="775">
        <f ca="1">SUMIF(CT_tram!$B$478:$G$560,$B285,CT_tram!$G$478:$G$560)</f>
        <v>0</v>
      </c>
      <c r="O285" s="775">
        <f ca="1">SUMIF(CT_tram!$B$567:$G$653,$B285,CT_tram!$G$567:$G$653)</f>
        <v>0</v>
      </c>
      <c r="P285" s="775">
        <f ca="1">SUMIF(CT_tram!$B$661:$G$738,$B285,CT_tram!$G$661:$G$738)</f>
        <v>0</v>
      </c>
      <c r="Q285" s="775">
        <f ca="1">SUMIF(CT_tram!$B$745:$G$899,$B285,CT_tram!$G$745:$G$899)</f>
        <v>0</v>
      </c>
      <c r="R285" s="775">
        <f ca="1">SUMIF(CT_tram!$B$907:$G$995,$B285,CT_tram!$G$907:$G$995)</f>
        <v>0</v>
      </c>
      <c r="S285" s="775"/>
      <c r="T285" s="775">
        <f ca="1">SUMIF(CT_tram!$B$1004:$G$1097,B285,CT_tram!$G$1004:$G$1097)</f>
        <v>0</v>
      </c>
      <c r="U285" s="775"/>
      <c r="V285" s="775">
        <f ca="1">SUMIF(CT_tram!$B$1226:$G$1352,kl!B285,CT_tram!$G$1226:$G$1352)</f>
        <v>0</v>
      </c>
      <c r="W285" s="780">
        <f ca="1">SUMIF(CT_tram!$B$1105:$G$1219,kl!B285,CT_tram!$G$1105:$G$1219)</f>
        <v>0</v>
      </c>
      <c r="X285" s="775">
        <f ca="1">SUMIF(CT_tram!$B$1359:$G$1504,kl!B285,CT_tram!$G$1359:$G$1504)</f>
        <v>0</v>
      </c>
      <c r="Y285" s="775">
        <f ca="1">SUMIF(CT_tram!$B$1511:$G$1625,kl!B285,CT_tram!$G$1511:$G$1625)</f>
        <v>0</v>
      </c>
      <c r="Z285" s="775">
        <f ca="1">SUMIF(CT_tram!$B$1632:$G$2211,kl!B285,CT_tram!$G$1632:$G$2211)</f>
        <v>0</v>
      </c>
      <c r="AA285" s="775">
        <f ca="1">SUMIF(CT_tram!$B$2243:$G$2384,kl!B285,CT_tram!$G$2243:$G$2384)</f>
        <v>0</v>
      </c>
      <c r="AB285" s="775">
        <f ca="1">SUMIF(CT_tram!$B$2391:$G$2563,kl!B285,CT_tram!$G$2391:$G$2563)</f>
        <v>0</v>
      </c>
      <c r="AC285" s="775">
        <f ca="1">SUMIF(chitiet!$B$13:$N$2352,kl!$B285,chitiet!$I$13:$I$2352)</f>
        <v>0</v>
      </c>
      <c r="AD285" s="775">
        <f ca="1">SUMIF(chitiet!$B$13:$N$2352,kl!$B285,chitiet!$J$13:$J$2352)</f>
        <v>0</v>
      </c>
      <c r="AE285" s="775">
        <f ca="1">SUMIF(chitiet!$B$13:$N$2352,kl!$B285,chitiet!$K$13:$K$2352)</f>
        <v>0</v>
      </c>
      <c r="AF285" s="775">
        <f ca="1">SUMIF(chitiet!$B$13:$N$2352,kl!$B285,chitiet!$L$13:$L$2352)</f>
        <v>0</v>
      </c>
      <c r="AG285" s="775">
        <f ca="1">SUMIF(chitiet!$B$13:$N$2352,kl!$B285,chitiet!$M$13)</f>
        <v>0</v>
      </c>
      <c r="AH285" s="775">
        <f ca="1">SUMIF(chitiet!$B$13:$N$2352,kl!$B285,chitiet!$N$13:$N$2352)</f>
        <v>0</v>
      </c>
      <c r="AI285" s="775">
        <f ca="1">SUMIF(chitiet!$B$13:$N$2352,kl!$B285,chitiet!$O$13:$O$2352)</f>
        <v>0</v>
      </c>
      <c r="AJ285" s="775">
        <f ca="1">SUMIF('Cap ngam'!$B$631:$G$723,kl!$B285,'Cap ngam'!$G$631:$G$723)</f>
        <v>0</v>
      </c>
      <c r="AK285" s="775">
        <f ca="1">SUMIF('Cap ngam'!$B$403:$G$628,kl!$B285,'Cap ngam'!G$403:G$628)</f>
        <v>0</v>
      </c>
      <c r="AL285" s="775">
        <f ca="1">SUMIF('Cap ngam'!B$16:G$400,kl!$B285,'Cap ngam'!G$16:G$400)</f>
        <v>0</v>
      </c>
      <c r="AM285" s="776">
        <v>2.5</v>
      </c>
      <c r="AN285" s="775">
        <f t="shared" ca="1" si="181"/>
        <v>0</v>
      </c>
      <c r="AO285" s="775">
        <f t="shared" ca="1" si="182"/>
        <v>0</v>
      </c>
      <c r="AP285" s="775">
        <f t="shared" ca="1" si="183"/>
        <v>0</v>
      </c>
      <c r="AQ285" s="775">
        <f t="shared" ca="1" si="184"/>
        <v>0</v>
      </c>
      <c r="AR285" s="775">
        <f t="shared" ca="1" si="185"/>
        <v>0</v>
      </c>
      <c r="AS285" s="775">
        <f t="shared" ca="1" si="186"/>
        <v>0</v>
      </c>
      <c r="AT285" s="775">
        <f t="shared" ca="1" si="187"/>
        <v>0</v>
      </c>
      <c r="AU285" s="775">
        <f t="shared" ca="1" si="188"/>
        <v>0</v>
      </c>
      <c r="AV285" s="775">
        <f t="shared" ca="1" si="189"/>
        <v>0</v>
      </c>
      <c r="AW285" s="775">
        <f t="shared" ca="1" si="190"/>
        <v>0</v>
      </c>
      <c r="AX285" s="775">
        <f t="shared" si="191"/>
        <v>0</v>
      </c>
      <c r="AY285" s="775">
        <f t="shared" ca="1" si="192"/>
        <v>0</v>
      </c>
      <c r="AZ285" s="775">
        <f t="shared" si="193"/>
        <v>0</v>
      </c>
      <c r="BA285" s="775">
        <f t="shared" ca="1" si="172"/>
        <v>0</v>
      </c>
      <c r="BB285" s="775">
        <f t="shared" ca="1" si="173"/>
        <v>0</v>
      </c>
      <c r="BC285" s="775">
        <f t="shared" ca="1" si="174"/>
        <v>0</v>
      </c>
      <c r="BD285" s="775">
        <f t="shared" ca="1" si="175"/>
        <v>0</v>
      </c>
      <c r="BE285" s="775">
        <f t="shared" ca="1" si="176"/>
        <v>0</v>
      </c>
      <c r="BF285" s="775">
        <f t="shared" ca="1" si="177"/>
        <v>0</v>
      </c>
      <c r="BG285" s="775">
        <f t="shared" ca="1" si="178"/>
        <v>0</v>
      </c>
      <c r="BH285" s="775">
        <f t="shared" ca="1" si="194"/>
        <v>0</v>
      </c>
      <c r="BI285" s="775">
        <f t="shared" ca="1" si="195"/>
        <v>0</v>
      </c>
      <c r="BJ285" s="775">
        <f t="shared" ca="1" si="196"/>
        <v>0</v>
      </c>
      <c r="BK285" s="775">
        <f t="shared" ca="1" si="197"/>
        <v>0</v>
      </c>
      <c r="BL285" s="775">
        <f t="shared" ca="1" si="198"/>
        <v>0</v>
      </c>
      <c r="BM285" s="775">
        <f t="shared" ca="1" si="199"/>
        <v>0</v>
      </c>
      <c r="BN285" s="775">
        <f t="shared" ca="1" si="200"/>
        <v>0</v>
      </c>
      <c r="BO285" s="775">
        <f t="shared" ca="1" si="201"/>
        <v>0</v>
      </c>
      <c r="BP285" s="775">
        <f t="shared" ca="1" si="202"/>
        <v>0</v>
      </c>
      <c r="BQ285" s="775">
        <f t="shared" ca="1" si="170"/>
        <v>0</v>
      </c>
      <c r="BR285" s="775">
        <f t="shared" ca="1" si="203"/>
        <v>0</v>
      </c>
    </row>
    <row r="286" spans="1:70">
      <c r="A286" s="767" t="str">
        <f t="shared" ca="1" si="162"/>
        <v/>
      </c>
      <c r="B286" s="799" t="s">
        <v>258</v>
      </c>
      <c r="C286" s="188" t="str">
        <f ca="1">IF(F286=0,"",COUNTIF($F$78:$F286,"&gt;0"))</f>
        <v/>
      </c>
      <c r="D286" s="778" t="str">
        <f>VLOOKUP($B286,dongia1,DG!$C$5,)</f>
        <v>Ống nối dây cỡ 240mm2</v>
      </c>
      <c r="E286" s="555" t="str">
        <f>VLOOKUP($B286,dongia1,DG!$D$5,)</f>
        <v>cái</v>
      </c>
      <c r="F286" s="779">
        <f t="shared" ca="1" si="171"/>
        <v>0</v>
      </c>
      <c r="G286" s="775">
        <f t="shared" ca="1" si="169"/>
        <v>0</v>
      </c>
      <c r="H286" s="775">
        <f ca="1">SUMIF(CT_tram!$B$33:$G$3559,kl!B286,CT_tram!$G$33:$G$3559)</f>
        <v>0</v>
      </c>
      <c r="I286" s="775">
        <f ca="1">SUMIF(CT_tram!$B$34:$G$115,$B286,CT_tram!$G$34:$G$115)</f>
        <v>0</v>
      </c>
      <c r="J286" s="775">
        <f ca="1">SUMIF(CT_tram!$B$122:$G$204,$B286,CT_tram!$G$122:$G$204)</f>
        <v>0</v>
      </c>
      <c r="K286" s="775">
        <f ca="1">SUMIF(CT_tram!$B$211:$G$293,$B286,CT_tram!$G$211:$G$293)</f>
        <v>0</v>
      </c>
      <c r="L286" s="775">
        <f ca="1">SUMIF(CT_tram!$B$300:$G$374,$B286,CT_tram!$G$300:$G$374)</f>
        <v>0</v>
      </c>
      <c r="M286" s="775">
        <f ca="1">SUMIF(CT_tram!$B$381:$G$471,$B286,CT_tram!$G$381:$G$471)</f>
        <v>0</v>
      </c>
      <c r="N286" s="775">
        <f ca="1">SUMIF(CT_tram!$B$478:$G$560,$B286,CT_tram!$G$478:$G$560)</f>
        <v>0</v>
      </c>
      <c r="O286" s="775">
        <f ca="1">SUMIF(CT_tram!$B$567:$G$653,$B286,CT_tram!$G$567:$G$653)</f>
        <v>0</v>
      </c>
      <c r="P286" s="775">
        <f ca="1">SUMIF(CT_tram!$B$661:$G$738,$B286,CT_tram!$G$661:$G$738)</f>
        <v>0</v>
      </c>
      <c r="Q286" s="775">
        <f ca="1">SUMIF(CT_tram!$B$745:$G$899,$B286,CT_tram!$G$745:$G$899)</f>
        <v>0</v>
      </c>
      <c r="R286" s="775">
        <f ca="1">SUMIF(CT_tram!$B$907:$G$995,$B286,CT_tram!$G$907:$G$995)</f>
        <v>0</v>
      </c>
      <c r="S286" s="775"/>
      <c r="T286" s="775">
        <f ca="1">SUMIF(CT_tram!$B$1004:$G$1097,B286,CT_tram!$G$1004:$G$1097)</f>
        <v>0</v>
      </c>
      <c r="U286" s="775"/>
      <c r="V286" s="775">
        <f ca="1">SUMIF(CT_tram!$B$1226:$G$1352,kl!B286,CT_tram!$G$1226:$G$1352)</f>
        <v>0</v>
      </c>
      <c r="W286" s="780">
        <f ca="1">SUMIF(CT_tram!$B$1105:$G$1219,kl!B286,CT_tram!$G$1105:$G$1219)</f>
        <v>0</v>
      </c>
      <c r="X286" s="775">
        <f ca="1">SUMIF(CT_tram!$B$1359:$G$1504,kl!B286,CT_tram!$G$1359:$G$1504)</f>
        <v>0</v>
      </c>
      <c r="Y286" s="775">
        <f ca="1">SUMIF(CT_tram!$B$1511:$G$1625,kl!B286,CT_tram!$G$1511:$G$1625)</f>
        <v>0</v>
      </c>
      <c r="Z286" s="775">
        <f ca="1">SUMIF(CT_tram!$B$1632:$G$2211,kl!B286,CT_tram!$G$1632:$G$2211)</f>
        <v>0</v>
      </c>
      <c r="AA286" s="775">
        <f ca="1">SUMIF(CT_tram!$B$2243:$G$2384,kl!B286,CT_tram!$G$2243:$G$2384)</f>
        <v>0</v>
      </c>
      <c r="AB286" s="775">
        <f ca="1">SUMIF(CT_tram!$B$2391:$G$2563,kl!B286,CT_tram!$G$2391:$G$2563)</f>
        <v>0</v>
      </c>
      <c r="AC286" s="775">
        <f ca="1">SUMIF(chitiet!$B$13:$N$2352,kl!$B286,chitiet!$I$13:$I$2352)</f>
        <v>0</v>
      </c>
      <c r="AD286" s="775">
        <f ca="1">SUMIF(chitiet!$B$13:$N$2352,kl!$B286,chitiet!$J$13:$J$2352)</f>
        <v>0</v>
      </c>
      <c r="AE286" s="775">
        <f ca="1">SUMIF(chitiet!$B$13:$N$2352,kl!$B286,chitiet!$K$13:$K$2352)</f>
        <v>0</v>
      </c>
      <c r="AF286" s="775">
        <f ca="1">SUMIF(chitiet!$B$13:$N$2352,kl!$B286,chitiet!$L$13:$L$2352)</f>
        <v>0</v>
      </c>
      <c r="AG286" s="775">
        <f ca="1">SUMIF(chitiet!$B$13:$N$2352,kl!$B286,chitiet!$M$13)</f>
        <v>0</v>
      </c>
      <c r="AH286" s="775">
        <f ca="1">SUMIF(chitiet!$B$13:$N$2352,kl!$B286,chitiet!$N$13:$N$2352)</f>
        <v>0</v>
      </c>
      <c r="AI286" s="775">
        <f ca="1">SUMIF(chitiet!$B$13:$N$2352,kl!$B286,chitiet!$O$13:$O$2352)</f>
        <v>0</v>
      </c>
      <c r="AJ286" s="775">
        <f ca="1">SUMIF('Cap ngam'!$B$631:$G$723,kl!$B286,'Cap ngam'!$G$631:$G$723)</f>
        <v>0</v>
      </c>
      <c r="AK286" s="775">
        <f ca="1">SUMIF('Cap ngam'!$B$403:$G$628,kl!$B286,'Cap ngam'!G$403:G$628)</f>
        <v>0</v>
      </c>
      <c r="AL286" s="775">
        <f ca="1">SUMIF('Cap ngam'!B$16:G$400,kl!$B286,'Cap ngam'!G$16:G$400)</f>
        <v>0</v>
      </c>
      <c r="AM286" s="776">
        <v>2.5</v>
      </c>
      <c r="AN286" s="775">
        <f t="shared" ca="1" si="181"/>
        <v>0</v>
      </c>
      <c r="AO286" s="775">
        <f t="shared" ca="1" si="182"/>
        <v>0</v>
      </c>
      <c r="AP286" s="775">
        <f t="shared" ca="1" si="183"/>
        <v>0</v>
      </c>
      <c r="AQ286" s="775">
        <f t="shared" ca="1" si="184"/>
        <v>0</v>
      </c>
      <c r="AR286" s="775">
        <f t="shared" ca="1" si="185"/>
        <v>0</v>
      </c>
      <c r="AS286" s="775">
        <f t="shared" ca="1" si="186"/>
        <v>0</v>
      </c>
      <c r="AT286" s="775">
        <f t="shared" ca="1" si="187"/>
        <v>0</v>
      </c>
      <c r="AU286" s="775">
        <f t="shared" ca="1" si="188"/>
        <v>0</v>
      </c>
      <c r="AV286" s="775">
        <f t="shared" ca="1" si="189"/>
        <v>0</v>
      </c>
      <c r="AW286" s="775">
        <f t="shared" ca="1" si="190"/>
        <v>0</v>
      </c>
      <c r="AX286" s="775">
        <f t="shared" si="191"/>
        <v>0</v>
      </c>
      <c r="AY286" s="775">
        <f t="shared" ca="1" si="192"/>
        <v>0</v>
      </c>
      <c r="AZ286" s="775">
        <f t="shared" si="193"/>
        <v>0</v>
      </c>
      <c r="BA286" s="775">
        <f t="shared" ca="1" si="172"/>
        <v>0</v>
      </c>
      <c r="BB286" s="775">
        <f t="shared" ca="1" si="173"/>
        <v>0</v>
      </c>
      <c r="BC286" s="775">
        <f t="shared" ca="1" si="174"/>
        <v>0</v>
      </c>
      <c r="BD286" s="775">
        <f t="shared" ca="1" si="175"/>
        <v>0</v>
      </c>
      <c r="BE286" s="775">
        <f t="shared" ca="1" si="176"/>
        <v>0</v>
      </c>
      <c r="BF286" s="775">
        <f t="shared" ca="1" si="177"/>
        <v>0</v>
      </c>
      <c r="BG286" s="775">
        <f t="shared" ca="1" si="178"/>
        <v>0</v>
      </c>
      <c r="BH286" s="775">
        <f t="shared" ca="1" si="194"/>
        <v>0</v>
      </c>
      <c r="BI286" s="775">
        <f t="shared" ca="1" si="195"/>
        <v>0</v>
      </c>
      <c r="BJ286" s="775">
        <f t="shared" ca="1" si="196"/>
        <v>0</v>
      </c>
      <c r="BK286" s="775">
        <f t="shared" ca="1" si="197"/>
        <v>0</v>
      </c>
      <c r="BL286" s="775">
        <f t="shared" ca="1" si="198"/>
        <v>0</v>
      </c>
      <c r="BM286" s="775">
        <f t="shared" ca="1" si="199"/>
        <v>0</v>
      </c>
      <c r="BN286" s="775">
        <f t="shared" ca="1" si="200"/>
        <v>0</v>
      </c>
      <c r="BO286" s="775">
        <f t="shared" ca="1" si="201"/>
        <v>0</v>
      </c>
      <c r="BP286" s="775">
        <f t="shared" ca="1" si="202"/>
        <v>0</v>
      </c>
      <c r="BQ286" s="775">
        <f t="shared" ca="1" si="170"/>
        <v>0</v>
      </c>
      <c r="BR286" s="775">
        <f t="shared" ca="1" si="203"/>
        <v>0</v>
      </c>
    </row>
    <row r="287" spans="1:70">
      <c r="A287" s="767" t="str">
        <f t="shared" ca="1" si="162"/>
        <v/>
      </c>
      <c r="B287" s="799" t="s">
        <v>2038</v>
      </c>
      <c r="C287" s="188" t="str">
        <f ca="1">IF(F287=0,"",COUNTIF($F$78:$F287,"&gt;0"))</f>
        <v/>
      </c>
      <c r="D287" s="778" t="str">
        <f>VLOOKUP($B287,dongia1,DG!$C$5,)</f>
        <v>Ống nối dây chịu sức căng cỡ 50mm2</v>
      </c>
      <c r="E287" s="555" t="str">
        <f>VLOOKUP($B287,dongia1,DG!$D$5,)</f>
        <v>cái</v>
      </c>
      <c r="F287" s="779">
        <f t="shared" ca="1" si="171"/>
        <v>0</v>
      </c>
      <c r="G287" s="775">
        <f t="shared" ca="1" si="169"/>
        <v>0</v>
      </c>
      <c r="H287" s="775">
        <f ca="1">SUMIF(CT_tram!$B$33:$G$3559,kl!B287,CT_tram!$G$33:$G$3559)</f>
        <v>0</v>
      </c>
      <c r="I287" s="775">
        <f ca="1">SUMIF(CT_tram!$B$34:$G$115,$B287,CT_tram!$G$34:$G$115)</f>
        <v>0</v>
      </c>
      <c r="J287" s="775">
        <f ca="1">SUMIF(CT_tram!$B$122:$G$204,$B287,CT_tram!$G$122:$G$204)</f>
        <v>0</v>
      </c>
      <c r="K287" s="775">
        <f ca="1">SUMIF(CT_tram!$B$211:$G$293,$B287,CT_tram!$G$211:$G$293)</f>
        <v>0</v>
      </c>
      <c r="L287" s="775">
        <f ca="1">SUMIF(CT_tram!$B$300:$G$374,$B287,CT_tram!$G$300:$G$374)</f>
        <v>0</v>
      </c>
      <c r="M287" s="775">
        <f ca="1">SUMIF(CT_tram!$B$381:$G$471,$B287,CT_tram!$G$381:$G$471)</f>
        <v>0</v>
      </c>
      <c r="N287" s="775">
        <f ca="1">SUMIF(CT_tram!$B$478:$G$560,$B287,CT_tram!$G$478:$G$560)</f>
        <v>0</v>
      </c>
      <c r="O287" s="775">
        <f ca="1">SUMIF(CT_tram!$B$567:$G$653,$B287,CT_tram!$G$567:$G$653)</f>
        <v>0</v>
      </c>
      <c r="P287" s="775">
        <f ca="1">SUMIF(CT_tram!$B$661:$G$738,$B287,CT_tram!$G$661:$G$738)</f>
        <v>0</v>
      </c>
      <c r="Q287" s="775">
        <f ca="1">SUMIF(CT_tram!$B$745:$G$899,$B287,CT_tram!$G$745:$G$899)</f>
        <v>0</v>
      </c>
      <c r="R287" s="775">
        <f ca="1">SUMIF(CT_tram!$B$907:$G$995,$B287,CT_tram!$G$907:$G$995)</f>
        <v>0</v>
      </c>
      <c r="S287" s="775"/>
      <c r="T287" s="775">
        <f ca="1">SUMIF(CT_tram!$B$1004:$G$1097,B287,CT_tram!$G$1004:$G$1097)</f>
        <v>0</v>
      </c>
      <c r="U287" s="775"/>
      <c r="V287" s="775">
        <f ca="1">SUMIF(CT_tram!$B$1226:$G$1352,kl!B287,CT_tram!$G$1226:$G$1352)</f>
        <v>0</v>
      </c>
      <c r="W287" s="780">
        <f ca="1">SUMIF(CT_tram!$B$1105:$G$1219,kl!B287,CT_tram!$G$1105:$G$1219)</f>
        <v>0</v>
      </c>
      <c r="X287" s="775">
        <f ca="1">SUMIF(CT_tram!$B$1359:$G$1504,kl!B287,CT_tram!$G$1359:$G$1504)</f>
        <v>0</v>
      </c>
      <c r="Y287" s="775">
        <f ca="1">SUMIF(CT_tram!$B$1511:$G$1625,kl!B287,CT_tram!$G$1511:$G$1625)</f>
        <v>0</v>
      </c>
      <c r="Z287" s="775">
        <f ca="1">SUMIF(CT_tram!$B$1632:$G$2211,kl!B287,CT_tram!$G$1632:$G$2211)</f>
        <v>0</v>
      </c>
      <c r="AA287" s="775">
        <f ca="1">SUMIF(CT_tram!$B$2243:$G$2384,kl!B287,CT_tram!$G$2243:$G$2384)</f>
        <v>0</v>
      </c>
      <c r="AB287" s="775">
        <f ca="1">SUMIF(CT_tram!$B$2391:$G$2563,kl!B287,CT_tram!$G$2391:$G$2563)</f>
        <v>0</v>
      </c>
      <c r="AC287" s="775">
        <f ca="1">SUMIF(chitiet!$B$13:$N$2352,kl!$B287,chitiet!$I$13:$I$2352)</f>
        <v>0</v>
      </c>
      <c r="AD287" s="775">
        <f ca="1">SUMIF(chitiet!$B$13:$N$2352,kl!$B287,chitiet!$J$13:$J$2352)</f>
        <v>0</v>
      </c>
      <c r="AE287" s="775">
        <f ca="1">SUMIF(chitiet!$B$13:$N$2352,kl!$B287,chitiet!$K$13:$K$2352)</f>
        <v>0</v>
      </c>
      <c r="AF287" s="775">
        <f ca="1">SUMIF(chitiet!$B$13:$N$2352,kl!$B287,chitiet!$L$13:$L$2352)</f>
        <v>0</v>
      </c>
      <c r="AG287" s="775">
        <f ca="1">SUMIF(chitiet!$B$13:$N$2352,kl!$B287,chitiet!$M$13)</f>
        <v>0</v>
      </c>
      <c r="AH287" s="775">
        <f ca="1">SUMIF(chitiet!$B$13:$N$2352,kl!$B287,chitiet!$N$13:$N$2352)</f>
        <v>0</v>
      </c>
      <c r="AI287" s="775">
        <f ca="1">SUMIF(chitiet!$B$13:$N$2352,kl!$B287,chitiet!$O$13:$O$2352)</f>
        <v>0</v>
      </c>
      <c r="AJ287" s="775">
        <f ca="1">SUMIF('Cap ngam'!$B$631:$G$723,kl!$B287,'Cap ngam'!$G$631:$G$723)</f>
        <v>0</v>
      </c>
      <c r="AK287" s="775">
        <f ca="1">SUMIF('Cap ngam'!$B$403:$G$628,kl!$B287,'Cap ngam'!G$403:G$628)</f>
        <v>0</v>
      </c>
      <c r="AL287" s="775">
        <f ca="1">SUMIF('Cap ngam'!B$16:G$400,kl!$B287,'Cap ngam'!G$16:G$400)</f>
        <v>0</v>
      </c>
      <c r="AM287" s="776">
        <v>3</v>
      </c>
      <c r="AN287" s="775">
        <f t="shared" ca="1" si="181"/>
        <v>0</v>
      </c>
      <c r="AO287" s="775">
        <f t="shared" ca="1" si="182"/>
        <v>0</v>
      </c>
      <c r="AP287" s="775">
        <f t="shared" ca="1" si="183"/>
        <v>0</v>
      </c>
      <c r="AQ287" s="775">
        <f t="shared" ca="1" si="184"/>
        <v>0</v>
      </c>
      <c r="AR287" s="775">
        <f t="shared" ca="1" si="185"/>
        <v>0</v>
      </c>
      <c r="AS287" s="775">
        <f t="shared" ca="1" si="186"/>
        <v>0</v>
      </c>
      <c r="AT287" s="775">
        <f t="shared" ca="1" si="187"/>
        <v>0</v>
      </c>
      <c r="AU287" s="775">
        <f t="shared" ca="1" si="188"/>
        <v>0</v>
      </c>
      <c r="AV287" s="775">
        <f t="shared" ca="1" si="189"/>
        <v>0</v>
      </c>
      <c r="AW287" s="775">
        <f t="shared" ca="1" si="190"/>
        <v>0</v>
      </c>
      <c r="AX287" s="775">
        <f t="shared" si="191"/>
        <v>0</v>
      </c>
      <c r="AY287" s="775">
        <f t="shared" ca="1" si="192"/>
        <v>0</v>
      </c>
      <c r="AZ287" s="775">
        <f t="shared" si="193"/>
        <v>0</v>
      </c>
      <c r="BA287" s="775">
        <f t="shared" ca="1" si="172"/>
        <v>0</v>
      </c>
      <c r="BB287" s="775">
        <f t="shared" ca="1" si="173"/>
        <v>0</v>
      </c>
      <c r="BC287" s="775">
        <f t="shared" ca="1" si="174"/>
        <v>0</v>
      </c>
      <c r="BD287" s="775">
        <f t="shared" ca="1" si="175"/>
        <v>0</v>
      </c>
      <c r="BE287" s="775">
        <f t="shared" ca="1" si="176"/>
        <v>0</v>
      </c>
      <c r="BF287" s="775">
        <f t="shared" ca="1" si="177"/>
        <v>0</v>
      </c>
      <c r="BG287" s="775">
        <f t="shared" ca="1" si="178"/>
        <v>0</v>
      </c>
      <c r="BH287" s="775">
        <f t="shared" ca="1" si="194"/>
        <v>0</v>
      </c>
      <c r="BI287" s="775">
        <f t="shared" ca="1" si="195"/>
        <v>0</v>
      </c>
      <c r="BJ287" s="775">
        <f t="shared" ca="1" si="196"/>
        <v>0</v>
      </c>
      <c r="BK287" s="775">
        <f t="shared" ca="1" si="197"/>
        <v>0</v>
      </c>
      <c r="BL287" s="775">
        <f t="shared" ca="1" si="198"/>
        <v>0</v>
      </c>
      <c r="BM287" s="775">
        <f t="shared" ca="1" si="199"/>
        <v>0</v>
      </c>
      <c r="BN287" s="775">
        <f t="shared" ca="1" si="200"/>
        <v>0</v>
      </c>
      <c r="BO287" s="775">
        <f t="shared" ca="1" si="201"/>
        <v>0</v>
      </c>
      <c r="BP287" s="775">
        <f t="shared" ca="1" si="202"/>
        <v>0</v>
      </c>
      <c r="BQ287" s="775">
        <f t="shared" ca="1" si="170"/>
        <v>0</v>
      </c>
      <c r="BR287" s="775">
        <f t="shared" ca="1" si="203"/>
        <v>0</v>
      </c>
    </row>
    <row r="288" spans="1:70">
      <c r="A288" s="767" t="str">
        <f ca="1">IF(F288&lt;&gt;0,"X","")</f>
        <v/>
      </c>
      <c r="B288" s="799" t="s">
        <v>2040</v>
      </c>
      <c r="C288" s="188" t="str">
        <f ca="1">IF(F288=0,"",COUNTIF($F$78:$F293,"&gt;0"))</f>
        <v/>
      </c>
      <c r="D288" s="778" t="str">
        <f>VLOOKUP($B288,dongia1,DG!$C$5,)</f>
        <v xml:space="preserve">Ống PVC D21x1,6mm </v>
      </c>
      <c r="E288" s="555" t="str">
        <f>VLOOKUP($B288,dongia1,DG!$D$5,)</f>
        <v>m</v>
      </c>
      <c r="F288" s="779">
        <f t="shared" ca="1" si="171"/>
        <v>0</v>
      </c>
      <c r="G288" s="775">
        <f t="shared" ca="1" si="169"/>
        <v>0</v>
      </c>
      <c r="H288" s="775">
        <f ca="1">SUMIF(CT_tram!$B$33:$G$3559,kl!B288,CT_tram!$G$33:$G$3559)</f>
        <v>0</v>
      </c>
      <c r="I288" s="775">
        <f ca="1">SUMIF(CT_tram!$B$34:$G$115,$B288,CT_tram!$G$34:$G$115)</f>
        <v>0</v>
      </c>
      <c r="J288" s="775">
        <f ca="1">SUMIF(CT_tram!$B$122:$G$204,$B288,CT_tram!$G$122:$G$204)</f>
        <v>0</v>
      </c>
      <c r="K288" s="775">
        <f ca="1">SUMIF(CT_tram!$B$211:$G$293,$B288,CT_tram!$G$211:$G$293)</f>
        <v>0</v>
      </c>
      <c r="L288" s="775">
        <f ca="1">SUMIF(CT_tram!$B$300:$G$374,$B288,CT_tram!$G$300:$G$374)</f>
        <v>0</v>
      </c>
      <c r="M288" s="775">
        <f ca="1">SUMIF(CT_tram!$B$381:$G$471,$B288,CT_tram!$G$381:$G$471)</f>
        <v>0</v>
      </c>
      <c r="N288" s="775">
        <f ca="1">SUMIF(CT_tram!$B$478:$G$560,$B288,CT_tram!$G$478:$G$560)</f>
        <v>0</v>
      </c>
      <c r="O288" s="775">
        <f ca="1">SUMIF(CT_tram!$B$567:$G$653,$B288,CT_tram!$G$567:$G$653)</f>
        <v>0</v>
      </c>
      <c r="P288" s="775">
        <f ca="1">SUMIF(CT_tram!$B$661:$G$738,$B288,CT_tram!$G$661:$G$738)</f>
        <v>0</v>
      </c>
      <c r="Q288" s="775">
        <f ca="1">SUMIF(CT_tram!$B$745:$G$899,$B288,CT_tram!$G$745:$G$899)</f>
        <v>0</v>
      </c>
      <c r="R288" s="775">
        <f ca="1">SUMIF(CT_tram!$B$907:$G$995,$B288,CT_tram!$G$907:$G$995)</f>
        <v>0</v>
      </c>
      <c r="S288" s="775"/>
      <c r="T288" s="775">
        <f ca="1">SUMIF(CT_tram!$B$1004:$G$1097,B288,CT_tram!$G$1004:$G$1097)</f>
        <v>0</v>
      </c>
      <c r="U288" s="775"/>
      <c r="V288" s="775">
        <f ca="1">SUMIF(CT_tram!$B$1226:$G$1352,kl!B288,CT_tram!$G$1226:$G$1352)</f>
        <v>0</v>
      </c>
      <c r="W288" s="780">
        <f ca="1">SUMIF(CT_tram!$B$1105:$G$1219,kl!B288,CT_tram!$G$1105:$G$1219)</f>
        <v>0</v>
      </c>
      <c r="X288" s="775">
        <f ca="1">SUMIF(CT_tram!$B$1359:$G$1504,kl!B288,CT_tram!$G$1359:$G$1504)</f>
        <v>0</v>
      </c>
      <c r="Y288" s="775">
        <f ca="1">SUMIF(CT_tram!$B$1511:$G$1625,kl!B288,CT_tram!$G$1511:$G$1625)</f>
        <v>0</v>
      </c>
      <c r="Z288" s="775">
        <f ca="1">SUMIF(CT_tram!$B$1632:$G$2211,kl!B288,CT_tram!$G$1632:$G$2211)</f>
        <v>0</v>
      </c>
      <c r="AA288" s="775">
        <f ca="1">SUMIF(CT_tram!$B$2243:$G$2384,kl!B288,CT_tram!$G$2243:$G$2384)</f>
        <v>0</v>
      </c>
      <c r="AB288" s="775">
        <f ca="1">SUMIF(CT_tram!$B$2391:$G$2563,kl!B288,CT_tram!$G$2391:$G$2563)</f>
        <v>0</v>
      </c>
      <c r="AC288" s="775">
        <f ca="1">SUMIF(chitiet!$B$13:$N$2352,kl!$B288,chitiet!$I$13:$I$2352)</f>
        <v>0</v>
      </c>
      <c r="AD288" s="775">
        <f ca="1">SUMIF(chitiet!$B$13:$N$2352,kl!$B288,chitiet!$J$13:$J$2352)</f>
        <v>0</v>
      </c>
      <c r="AE288" s="775">
        <f ca="1">SUMIF(chitiet!$B$13:$N$2352,kl!$B288,chitiet!$K$13:$K$2352)</f>
        <v>0</v>
      </c>
      <c r="AF288" s="775">
        <f ca="1">SUMIF(chitiet!$B$13:$N$2352,kl!$B288,chitiet!$L$13:$L$2352)</f>
        <v>0</v>
      </c>
      <c r="AG288" s="775">
        <f ca="1">SUMIF(chitiet!$B$13:$N$2352,kl!$B288,chitiet!$M$13)</f>
        <v>0</v>
      </c>
      <c r="AH288" s="775">
        <f ca="1">SUMIF(chitiet!$B$13:$N$2352,kl!$B288,chitiet!$N$13:$N$2352)</f>
        <v>0</v>
      </c>
      <c r="AI288" s="775">
        <f ca="1">SUMIF(chitiet!$B$13:$N$2352,kl!$B288,chitiet!$O$13:$O$2352)</f>
        <v>0</v>
      </c>
      <c r="AJ288" s="775">
        <f ca="1">SUMIF('Cap ngam'!$B$631:$G$723,kl!$B288,'Cap ngam'!$G$631:$G$723)</f>
        <v>0</v>
      </c>
      <c r="AK288" s="775">
        <f ca="1">SUMIF('Cap ngam'!$B$403:$G$628,kl!$B288,'Cap ngam'!G$403:G$628)</f>
        <v>0</v>
      </c>
      <c r="AL288" s="775">
        <f ca="1">SUMIF('Cap ngam'!B$16:G$400,kl!$B288,'Cap ngam'!G$16:G$400)</f>
        <v>0</v>
      </c>
      <c r="AM288" s="776">
        <v>1</v>
      </c>
      <c r="AN288" s="775">
        <f t="shared" ca="1" si="181"/>
        <v>0</v>
      </c>
      <c r="AO288" s="775">
        <f t="shared" ca="1" si="182"/>
        <v>0</v>
      </c>
      <c r="AP288" s="775">
        <f t="shared" ca="1" si="183"/>
        <v>0</v>
      </c>
      <c r="AQ288" s="775">
        <f t="shared" ca="1" si="184"/>
        <v>0</v>
      </c>
      <c r="AR288" s="775">
        <f t="shared" ca="1" si="185"/>
        <v>0</v>
      </c>
      <c r="AS288" s="775">
        <f t="shared" ca="1" si="186"/>
        <v>0</v>
      </c>
      <c r="AT288" s="775">
        <f t="shared" ca="1" si="187"/>
        <v>0</v>
      </c>
      <c r="AU288" s="775">
        <f t="shared" ca="1" si="188"/>
        <v>0</v>
      </c>
      <c r="AV288" s="775">
        <f t="shared" ca="1" si="189"/>
        <v>0</v>
      </c>
      <c r="AW288" s="775">
        <f t="shared" ca="1" si="190"/>
        <v>0</v>
      </c>
      <c r="AX288" s="775">
        <f t="shared" si="191"/>
        <v>0</v>
      </c>
      <c r="AY288" s="775">
        <f t="shared" ca="1" si="192"/>
        <v>0</v>
      </c>
      <c r="AZ288" s="775">
        <f t="shared" si="193"/>
        <v>0</v>
      </c>
      <c r="BA288" s="775">
        <f t="shared" ca="1" si="172"/>
        <v>0</v>
      </c>
      <c r="BB288" s="775">
        <f t="shared" ca="1" si="173"/>
        <v>0</v>
      </c>
      <c r="BC288" s="775">
        <f t="shared" ca="1" si="174"/>
        <v>0</v>
      </c>
      <c r="BD288" s="775">
        <f t="shared" ca="1" si="175"/>
        <v>0</v>
      </c>
      <c r="BE288" s="775">
        <f t="shared" ca="1" si="176"/>
        <v>0</v>
      </c>
      <c r="BF288" s="775">
        <f t="shared" ca="1" si="177"/>
        <v>0</v>
      </c>
      <c r="BG288" s="775">
        <f t="shared" ca="1" si="178"/>
        <v>0</v>
      </c>
      <c r="BH288" s="775">
        <f t="shared" ca="1" si="194"/>
        <v>0</v>
      </c>
      <c r="BI288" s="775">
        <f t="shared" ca="1" si="195"/>
        <v>0</v>
      </c>
      <c r="BJ288" s="775">
        <f t="shared" ca="1" si="196"/>
        <v>0</v>
      </c>
      <c r="BK288" s="775">
        <f t="shared" ca="1" si="197"/>
        <v>0</v>
      </c>
      <c r="BL288" s="775">
        <f t="shared" ca="1" si="198"/>
        <v>0</v>
      </c>
      <c r="BM288" s="775">
        <f t="shared" ca="1" si="199"/>
        <v>0</v>
      </c>
      <c r="BN288" s="775">
        <f t="shared" ca="1" si="200"/>
        <v>0</v>
      </c>
      <c r="BO288" s="775">
        <f t="shared" ca="1" si="201"/>
        <v>0</v>
      </c>
      <c r="BP288" s="775">
        <f t="shared" ca="1" si="202"/>
        <v>0</v>
      </c>
      <c r="BQ288" s="775">
        <f ca="1">$AL288*$AM288</f>
        <v>0</v>
      </c>
      <c r="BR288" s="775">
        <f t="shared" ca="1" si="203"/>
        <v>0</v>
      </c>
    </row>
    <row r="289" spans="1:70">
      <c r="A289" s="767" t="str">
        <f ca="1">IF(F289&lt;&gt;0,"X","")</f>
        <v>X</v>
      </c>
      <c r="B289" s="799" t="s">
        <v>1867</v>
      </c>
      <c r="C289" s="188">
        <f ca="1">IF(F289=0,"",COUNTIF($F$78:$F293,"&gt;0"))</f>
        <v>27</v>
      </c>
      <c r="D289" s="778" t="str">
        <f>VLOOKUP($B289,dongia1,DG!$C$5,)</f>
        <v>Ống PVC D42x2,1mm</v>
      </c>
      <c r="E289" s="555" t="str">
        <f>VLOOKUP($B289,dongia1,DG!$D$5,)</f>
        <v>m</v>
      </c>
      <c r="F289" s="779">
        <f t="shared" ca="1" si="171"/>
        <v>18</v>
      </c>
      <c r="G289" s="775">
        <f t="shared" ca="1" si="169"/>
        <v>0</v>
      </c>
      <c r="H289" s="775">
        <f ca="1">SUMIF(CT_tram!$B$33:$G$3559,kl!B289,CT_tram!$G$33:$G$3559)</f>
        <v>18</v>
      </c>
      <c r="I289" s="775">
        <f ca="1">SUMIF(CT_tram!$B$34:$G$115,$B289,CT_tram!$G$34:$G$115)</f>
        <v>0</v>
      </c>
      <c r="J289" s="775">
        <f ca="1">SUMIF(CT_tram!$B$122:$G$204,$B289,CT_tram!$G$122:$G$204)</f>
        <v>0</v>
      </c>
      <c r="K289" s="775">
        <f ca="1">SUMIF(CT_tram!$B$211:$G$293,$B289,CT_tram!$G$211:$G$293)</f>
        <v>0</v>
      </c>
      <c r="L289" s="775">
        <f ca="1">SUMIF(CT_tram!$B$300:$G$374,$B289,CT_tram!$G$300:$G$374)</f>
        <v>0</v>
      </c>
      <c r="M289" s="775">
        <f ca="1">SUMIF(CT_tram!$B$381:$G$471,$B289,CT_tram!$G$381:$G$471)</f>
        <v>0</v>
      </c>
      <c r="N289" s="775">
        <f ca="1">SUMIF(CT_tram!$B$478:$G$560,$B289,CT_tram!$G$478:$G$560)</f>
        <v>0</v>
      </c>
      <c r="O289" s="775">
        <f ca="1">SUMIF(CT_tram!$B$567:$G$653,$B289,CT_tram!$G$567:$G$653)</f>
        <v>0</v>
      </c>
      <c r="P289" s="775">
        <f ca="1">SUMIF(CT_tram!$B$661:$G$738,$B289,CT_tram!$G$661:$G$738)</f>
        <v>0</v>
      </c>
      <c r="Q289" s="775">
        <f ca="1">SUMIF(CT_tram!$B$745:$G$899,$B289,CT_tram!$G$745:$G$899)</f>
        <v>0</v>
      </c>
      <c r="R289" s="775">
        <f ca="1">SUMIF(CT_tram!$B$907:$G$995,$B289,CT_tram!$G$907:$G$995)</f>
        <v>0</v>
      </c>
      <c r="S289" s="775"/>
      <c r="T289" s="775">
        <f ca="1">SUMIF(CT_tram!$B$1004:$G$1097,B289,CT_tram!$G$1004:$G$1097)</f>
        <v>0</v>
      </c>
      <c r="U289" s="775"/>
      <c r="V289" s="775">
        <f ca="1">SUMIF(CT_tram!$B$1226:$G$1352,kl!B289,CT_tram!$G$1226:$G$1352)</f>
        <v>0</v>
      </c>
      <c r="W289" s="780">
        <f ca="1">SUMIF(CT_tram!$B$1105:$G$1219,kl!B289,CT_tram!$G$1105:$G$1219)</f>
        <v>0</v>
      </c>
      <c r="X289" s="775">
        <f ca="1">SUMIF(CT_tram!$B$1359:$G$1504,kl!B289,CT_tram!$G$1359:$G$1504)</f>
        <v>0</v>
      </c>
      <c r="Y289" s="775">
        <f ca="1">SUMIF(CT_tram!$B$1511:$G$1625,kl!B289,CT_tram!$G$1511:$G$1625)</f>
        <v>0</v>
      </c>
      <c r="Z289" s="775">
        <f ca="1">SUMIF(CT_tram!$B$1632:$G$2211,kl!B289,CT_tram!$G$1632:$G$2211)</f>
        <v>0</v>
      </c>
      <c r="AA289" s="775">
        <f ca="1">SUMIF(CT_tram!$B$2243:$G$2384,kl!B289,CT_tram!$G$2243:$G$2384)</f>
        <v>0</v>
      </c>
      <c r="AB289" s="775">
        <f ca="1">SUMIF(CT_tram!$B$2391:$G$2563,kl!B289,CT_tram!$G$2391:$G$2563)</f>
        <v>0</v>
      </c>
      <c r="AC289" s="775">
        <f ca="1">SUMIF(chitiet!$B$13:$N$2352,kl!$B289,chitiet!$I$13:$I$2352)</f>
        <v>0</v>
      </c>
      <c r="AD289" s="775">
        <f ca="1">SUMIF(chitiet!$B$13:$N$2352,kl!$B289,chitiet!$J$13:$J$2352)</f>
        <v>0</v>
      </c>
      <c r="AE289" s="775">
        <f ca="1">SUMIF(chitiet!$B$13:$N$2352,kl!$B289,chitiet!$K$13:$K$2352)</f>
        <v>0</v>
      </c>
      <c r="AF289" s="775">
        <f ca="1">SUMIF(chitiet!$B$13:$N$2352,kl!$B289,chitiet!$L$13:$L$2352)</f>
        <v>0</v>
      </c>
      <c r="AG289" s="775">
        <f ca="1">SUMIF(chitiet!$B$13:$N$2352,kl!$B289,chitiet!$M$13)</f>
        <v>0</v>
      </c>
      <c r="AH289" s="775">
        <f ca="1">SUMIF(chitiet!$B$13:$N$2352,kl!$B289,chitiet!$N$13:$N$2352)</f>
        <v>0</v>
      </c>
      <c r="AI289" s="775">
        <f ca="1">SUMIF(chitiet!$B$13:$N$2352,kl!$B289,chitiet!$O$13:$O$2352)</f>
        <v>0</v>
      </c>
      <c r="AJ289" s="775">
        <f ca="1">SUMIF('Cap ngam'!$B$631:$G$723,kl!$B289,'Cap ngam'!$G$631:$G$723)</f>
        <v>0</v>
      </c>
      <c r="AK289" s="775">
        <f ca="1">SUMIF('Cap ngam'!$B$403:$G$628,kl!$B289,'Cap ngam'!G$403:G$628)</f>
        <v>0</v>
      </c>
      <c r="AL289" s="775">
        <f ca="1">SUMIF('Cap ngam'!B$16:G$400,kl!$B289,'Cap ngam'!G$16:G$400)</f>
        <v>0</v>
      </c>
      <c r="AM289" s="776">
        <v>1</v>
      </c>
      <c r="AN289" s="775">
        <f t="shared" ca="1" si="181"/>
        <v>0</v>
      </c>
      <c r="AO289" s="775">
        <f t="shared" ca="1" si="182"/>
        <v>0</v>
      </c>
      <c r="AP289" s="775">
        <f t="shared" ca="1" si="183"/>
        <v>0</v>
      </c>
      <c r="AQ289" s="775">
        <f t="shared" ca="1" si="184"/>
        <v>0</v>
      </c>
      <c r="AR289" s="775">
        <f t="shared" ca="1" si="185"/>
        <v>0</v>
      </c>
      <c r="AS289" s="775">
        <f t="shared" ca="1" si="186"/>
        <v>0</v>
      </c>
      <c r="AT289" s="775">
        <f t="shared" ca="1" si="187"/>
        <v>0</v>
      </c>
      <c r="AU289" s="775">
        <f t="shared" ca="1" si="188"/>
        <v>0</v>
      </c>
      <c r="AV289" s="775">
        <f t="shared" ca="1" si="189"/>
        <v>0</v>
      </c>
      <c r="AW289" s="775">
        <f t="shared" ca="1" si="190"/>
        <v>0</v>
      </c>
      <c r="AX289" s="775">
        <f t="shared" si="191"/>
        <v>0</v>
      </c>
      <c r="AY289" s="775">
        <f t="shared" ca="1" si="192"/>
        <v>0</v>
      </c>
      <c r="AZ289" s="775">
        <f t="shared" si="193"/>
        <v>0</v>
      </c>
      <c r="BA289" s="775">
        <f t="shared" ca="1" si="172"/>
        <v>0</v>
      </c>
      <c r="BB289" s="775">
        <f t="shared" ca="1" si="173"/>
        <v>0</v>
      </c>
      <c r="BC289" s="775">
        <f t="shared" ca="1" si="174"/>
        <v>0</v>
      </c>
      <c r="BD289" s="775">
        <f t="shared" ca="1" si="175"/>
        <v>0</v>
      </c>
      <c r="BE289" s="775">
        <f t="shared" ca="1" si="176"/>
        <v>0</v>
      </c>
      <c r="BF289" s="775">
        <f t="shared" ca="1" si="177"/>
        <v>0</v>
      </c>
      <c r="BG289" s="775">
        <f t="shared" ca="1" si="178"/>
        <v>0</v>
      </c>
      <c r="BH289" s="775">
        <f t="shared" ca="1" si="194"/>
        <v>0</v>
      </c>
      <c r="BI289" s="775">
        <f t="shared" ca="1" si="195"/>
        <v>0</v>
      </c>
      <c r="BJ289" s="775">
        <f t="shared" ca="1" si="196"/>
        <v>0</v>
      </c>
      <c r="BK289" s="775">
        <f t="shared" ca="1" si="197"/>
        <v>0</v>
      </c>
      <c r="BL289" s="775">
        <f t="shared" ca="1" si="198"/>
        <v>0</v>
      </c>
      <c r="BM289" s="775">
        <f t="shared" ca="1" si="199"/>
        <v>0</v>
      </c>
      <c r="BN289" s="775">
        <f t="shared" ca="1" si="200"/>
        <v>0</v>
      </c>
      <c r="BO289" s="775">
        <f t="shared" ca="1" si="201"/>
        <v>0</v>
      </c>
      <c r="BP289" s="775">
        <f t="shared" ca="1" si="202"/>
        <v>0</v>
      </c>
      <c r="BQ289" s="775">
        <f ca="1">$AL289*$AM289</f>
        <v>0</v>
      </c>
      <c r="BR289" s="775">
        <f t="shared" ca="1" si="203"/>
        <v>18</v>
      </c>
    </row>
    <row r="290" spans="1:70">
      <c r="A290" s="767" t="str">
        <f ca="1">IF(F290&lt;&gt;0,"X","")</f>
        <v/>
      </c>
      <c r="B290" s="799" t="s">
        <v>2087</v>
      </c>
      <c r="C290" s="188" t="str">
        <f ca="1">IF(F290=0,"",COUNTIF($F$78:$F290,"&gt;0"))</f>
        <v/>
      </c>
      <c r="D290" s="778" t="str">
        <f>VLOOKUP($B290,dongia1,DG!$C$5,)</f>
        <v>Ống PVC D60x2,8mm</v>
      </c>
      <c r="E290" s="555" t="str">
        <f>VLOOKUP($B290,dongia1,DG!$D$5,)</f>
        <v>m</v>
      </c>
      <c r="F290" s="779">
        <f t="shared" ca="1" si="171"/>
        <v>0</v>
      </c>
      <c r="G290" s="775">
        <f t="shared" ca="1" si="169"/>
        <v>0</v>
      </c>
      <c r="H290" s="775">
        <f ca="1">SUMIF(CT_tram!$B$33:$G$3559,kl!B290,CT_tram!$G$33:$G$3559)</f>
        <v>0</v>
      </c>
      <c r="I290" s="775">
        <f ca="1">SUMIF(CT_tram!$B$34:$G$115,$B290,CT_tram!$G$34:$G$115)</f>
        <v>0</v>
      </c>
      <c r="J290" s="775">
        <f ca="1">SUMIF(CT_tram!$B$122:$G$204,$B290,CT_tram!$G$122:$G$204)</f>
        <v>0</v>
      </c>
      <c r="K290" s="775">
        <f ca="1">SUMIF(CT_tram!$B$211:$G$293,$B290,CT_tram!$G$211:$G$293)</f>
        <v>0</v>
      </c>
      <c r="L290" s="775">
        <f ca="1">SUMIF(CT_tram!$B$300:$G$374,$B290,CT_tram!$G$300:$G$374)</f>
        <v>0</v>
      </c>
      <c r="M290" s="775">
        <f ca="1">SUMIF(CT_tram!$B$381:$G$471,$B290,CT_tram!$G$381:$G$471)</f>
        <v>0</v>
      </c>
      <c r="N290" s="775">
        <f ca="1">SUMIF(CT_tram!$B$478:$G$560,$B290,CT_tram!$G$478:$G$560)</f>
        <v>0</v>
      </c>
      <c r="O290" s="775">
        <f ca="1">SUMIF(CT_tram!$B$567:$G$653,$B290,CT_tram!$G$567:$G$653)</f>
        <v>0</v>
      </c>
      <c r="P290" s="775">
        <f ca="1">SUMIF(CT_tram!$B$661:$G$738,$B290,CT_tram!$G$661:$G$738)</f>
        <v>0</v>
      </c>
      <c r="Q290" s="775">
        <f ca="1">SUMIF(CT_tram!$B$745:$G$899,$B290,CT_tram!$G$745:$G$899)</f>
        <v>0</v>
      </c>
      <c r="R290" s="775">
        <f ca="1">SUMIF(CT_tram!$B$907:$G$995,$B290,CT_tram!$G$907:$G$995)</f>
        <v>0</v>
      </c>
      <c r="S290" s="775"/>
      <c r="T290" s="775">
        <f ca="1">SUMIF(CT_tram!$B$1004:$G$1097,B290,CT_tram!$G$1004:$G$1097)</f>
        <v>0</v>
      </c>
      <c r="U290" s="775"/>
      <c r="V290" s="775">
        <f ca="1">SUMIF(CT_tram!$B$1226:$G$1352,kl!B290,CT_tram!$G$1226:$G$1352)</f>
        <v>0</v>
      </c>
      <c r="W290" s="780">
        <f ca="1">SUMIF(CT_tram!$B$1105:$G$1219,kl!B290,CT_tram!$G$1105:$G$1219)</f>
        <v>0</v>
      </c>
      <c r="X290" s="775">
        <f ca="1">SUMIF(CT_tram!$B$1359:$G$1504,kl!B290,CT_tram!$G$1359:$G$1504)</f>
        <v>0</v>
      </c>
      <c r="Y290" s="775">
        <f ca="1">SUMIF(CT_tram!$B$1511:$G$1625,kl!B290,CT_tram!$G$1511:$G$1625)</f>
        <v>0</v>
      </c>
      <c r="Z290" s="775">
        <f ca="1">SUMIF(CT_tram!$B$1632:$G$2211,kl!B290,CT_tram!$G$1632:$G$2211)</f>
        <v>0</v>
      </c>
      <c r="AA290" s="775">
        <f ca="1">SUMIF(CT_tram!$B$2243:$G$2384,kl!B290,CT_tram!$G$2243:$G$2384)</f>
        <v>0</v>
      </c>
      <c r="AB290" s="775">
        <f ca="1">SUMIF(CT_tram!$B$2391:$G$2563,kl!B290,CT_tram!$G$2391:$G$2563)</f>
        <v>0</v>
      </c>
      <c r="AC290" s="775">
        <f ca="1">SUMIF(chitiet!$B$13:$N$2352,kl!$B290,chitiet!$I$13:$I$2352)</f>
        <v>0</v>
      </c>
      <c r="AD290" s="775">
        <f ca="1">SUMIF(chitiet!$B$13:$N$2352,kl!$B290,chitiet!$J$13:$J$2352)</f>
        <v>0</v>
      </c>
      <c r="AE290" s="775">
        <f ca="1">SUMIF(chitiet!$B$13:$N$2352,kl!$B290,chitiet!$K$13:$K$2352)</f>
        <v>0</v>
      </c>
      <c r="AF290" s="775">
        <f ca="1">SUMIF(chitiet!$B$13:$N$2352,kl!$B290,chitiet!$L$13:$L$2352)</f>
        <v>0</v>
      </c>
      <c r="AG290" s="775">
        <f ca="1">SUMIF(chitiet!$B$13:$N$2352,kl!$B290,chitiet!$M$13)</f>
        <v>0</v>
      </c>
      <c r="AH290" s="775">
        <f ca="1">SUMIF(chitiet!$B$13:$N$2352,kl!$B290,chitiet!$N$13:$N$2352)</f>
        <v>0</v>
      </c>
      <c r="AI290" s="775">
        <f ca="1">SUMIF(chitiet!$B$13:$N$2352,kl!$B290,chitiet!$O$13:$O$2352)</f>
        <v>0</v>
      </c>
      <c r="AJ290" s="775">
        <f ca="1">SUMIF('Cap ngam'!$B$631:$G$723,kl!$B290,'Cap ngam'!$G$631:$G$723)</f>
        <v>0</v>
      </c>
      <c r="AK290" s="775">
        <f ca="1">SUMIF('Cap ngam'!$B$403:$G$628,kl!$B290,'Cap ngam'!G$403:G$628)</f>
        <v>0</v>
      </c>
      <c r="AL290" s="775">
        <f ca="1">SUMIF('Cap ngam'!B$16:G$400,kl!$B290,'Cap ngam'!G$16:G$400)</f>
        <v>0</v>
      </c>
      <c r="AM290" s="776">
        <v>1.5</v>
      </c>
      <c r="AN290" s="775">
        <f t="shared" ca="1" si="181"/>
        <v>0</v>
      </c>
      <c r="AO290" s="775">
        <f t="shared" ca="1" si="182"/>
        <v>0</v>
      </c>
      <c r="AP290" s="775">
        <f t="shared" ca="1" si="183"/>
        <v>0</v>
      </c>
      <c r="AQ290" s="775">
        <f t="shared" ca="1" si="184"/>
        <v>0</v>
      </c>
      <c r="AR290" s="775">
        <f t="shared" ca="1" si="185"/>
        <v>0</v>
      </c>
      <c r="AS290" s="775">
        <f t="shared" ca="1" si="186"/>
        <v>0</v>
      </c>
      <c r="AT290" s="775">
        <f t="shared" ca="1" si="187"/>
        <v>0</v>
      </c>
      <c r="AU290" s="775">
        <f t="shared" ca="1" si="188"/>
        <v>0</v>
      </c>
      <c r="AV290" s="775">
        <f t="shared" ca="1" si="189"/>
        <v>0</v>
      </c>
      <c r="AW290" s="775">
        <f t="shared" ca="1" si="190"/>
        <v>0</v>
      </c>
      <c r="AX290" s="775">
        <f t="shared" si="191"/>
        <v>0</v>
      </c>
      <c r="AY290" s="775">
        <f t="shared" ca="1" si="192"/>
        <v>0</v>
      </c>
      <c r="AZ290" s="775">
        <f t="shared" si="193"/>
        <v>0</v>
      </c>
      <c r="BA290" s="775">
        <f t="shared" ca="1" si="172"/>
        <v>0</v>
      </c>
      <c r="BB290" s="775">
        <f t="shared" ca="1" si="173"/>
        <v>0</v>
      </c>
      <c r="BC290" s="775">
        <f t="shared" ca="1" si="174"/>
        <v>0</v>
      </c>
      <c r="BD290" s="775">
        <f t="shared" ca="1" si="175"/>
        <v>0</v>
      </c>
      <c r="BE290" s="775">
        <f t="shared" ca="1" si="176"/>
        <v>0</v>
      </c>
      <c r="BF290" s="775">
        <f t="shared" ca="1" si="177"/>
        <v>0</v>
      </c>
      <c r="BG290" s="775">
        <f t="shared" ca="1" si="178"/>
        <v>0</v>
      </c>
      <c r="BH290" s="775">
        <f t="shared" ca="1" si="194"/>
        <v>0</v>
      </c>
      <c r="BI290" s="775">
        <f t="shared" ca="1" si="195"/>
        <v>0</v>
      </c>
      <c r="BJ290" s="775">
        <f t="shared" ca="1" si="196"/>
        <v>0</v>
      </c>
      <c r="BK290" s="775">
        <f t="shared" ca="1" si="197"/>
        <v>0</v>
      </c>
      <c r="BL290" s="775">
        <f t="shared" ca="1" si="198"/>
        <v>0</v>
      </c>
      <c r="BM290" s="775">
        <f t="shared" ca="1" si="199"/>
        <v>0</v>
      </c>
      <c r="BN290" s="775">
        <f t="shared" ca="1" si="200"/>
        <v>0</v>
      </c>
      <c r="BO290" s="775">
        <f t="shared" ca="1" si="201"/>
        <v>0</v>
      </c>
      <c r="BP290" s="775">
        <f t="shared" ca="1" si="202"/>
        <v>0</v>
      </c>
      <c r="BQ290" s="775">
        <f t="shared" ca="1" si="170"/>
        <v>0</v>
      </c>
      <c r="BR290" s="775">
        <f t="shared" ca="1" si="203"/>
        <v>0</v>
      </c>
    </row>
    <row r="291" spans="1:70">
      <c r="A291" s="767" t="str">
        <f t="shared" ca="1" si="162"/>
        <v/>
      </c>
      <c r="B291" s="799" t="s">
        <v>2039</v>
      </c>
      <c r="C291" s="188" t="str">
        <f ca="1">IF(F291=0,"",COUNTIF($F$78:$F291,"&gt;0"))</f>
        <v/>
      </c>
      <c r="D291" s="778" t="str">
        <f>VLOOKUP($B291,dongia1,DG!$C$5,)</f>
        <v xml:space="preserve">Ống PVC D90x3,8mm </v>
      </c>
      <c r="E291" s="555" t="str">
        <f>VLOOKUP($B291,dongia1,DG!$D$5,)</f>
        <v>m</v>
      </c>
      <c r="F291" s="975">
        <f t="shared" ca="1" si="171"/>
        <v>0</v>
      </c>
      <c r="G291" s="976">
        <f t="shared" ca="1" si="169"/>
        <v>0</v>
      </c>
      <c r="H291" s="976">
        <f ca="1">SUMIF(CT_tram!$B$33:$G$3559,kl!B291,CT_tram!$G$33:$G$3559)</f>
        <v>0</v>
      </c>
      <c r="I291" s="775">
        <f ca="1">SUMIF(CT_tram!$B$34:$G$115,$B291,CT_tram!$G$34:$G$115)</f>
        <v>0</v>
      </c>
      <c r="J291" s="775">
        <f ca="1">SUMIF(CT_tram!$B$122:$G$204,$B291,CT_tram!$G$122:$G$204)</f>
        <v>0</v>
      </c>
      <c r="K291" s="775">
        <f ca="1">SUMIF(CT_tram!$B$211:$G$293,$B291,CT_tram!$G$211:$G$293)</f>
        <v>0</v>
      </c>
      <c r="L291" s="775">
        <f ca="1">SUMIF(CT_tram!$B$300:$G$374,$B291,CT_tram!$G$300:$G$374)</f>
        <v>0</v>
      </c>
      <c r="M291" s="775">
        <f ca="1">SUMIF(CT_tram!$B$381:$G$471,$B291,CT_tram!$G$381:$G$471)</f>
        <v>0</v>
      </c>
      <c r="N291" s="775">
        <f ca="1">SUMIF(CT_tram!$B$478:$G$560,$B291,CT_tram!$G$478:$G$560)</f>
        <v>0</v>
      </c>
      <c r="O291" s="775">
        <f ca="1">SUMIF(CT_tram!$B$567:$G$653,$B291,CT_tram!$G$567:$G$653)</f>
        <v>0</v>
      </c>
      <c r="P291" s="775">
        <f ca="1">SUMIF(CT_tram!$B$661:$G$738,$B291,CT_tram!$G$661:$G$738)</f>
        <v>0</v>
      </c>
      <c r="Q291" s="775">
        <f ca="1">SUMIF(CT_tram!$B$745:$G$899,$B291,CT_tram!$G$745:$G$899)</f>
        <v>0</v>
      </c>
      <c r="R291" s="775">
        <f ca="1">SUMIF(CT_tram!$B$907:$G$995,$B291,CT_tram!$G$907:$G$995)</f>
        <v>0</v>
      </c>
      <c r="S291" s="775"/>
      <c r="T291" s="775">
        <f ca="1">SUMIF(CT_tram!$B$1004:$G$1097,B291,CT_tram!$G$1004:$G$1097)</f>
        <v>0</v>
      </c>
      <c r="U291" s="775"/>
      <c r="V291" s="775">
        <f ca="1">SUMIF(CT_tram!$B$1226:$G$1352,kl!B291,CT_tram!$G$1226:$G$1352)</f>
        <v>0</v>
      </c>
      <c r="W291" s="780">
        <f ca="1">SUMIF(CT_tram!$B$1105:$G$1219,kl!B291,CT_tram!$G$1105:$G$1219)</f>
        <v>0</v>
      </c>
      <c r="X291" s="775">
        <f ca="1">SUMIF(CT_tram!$B$1359:$G$1504,kl!B291,CT_tram!$G$1359:$G$1504)</f>
        <v>0</v>
      </c>
      <c r="Y291" s="775">
        <f ca="1">SUMIF(CT_tram!$B$1511:$G$1625,kl!B291,CT_tram!$G$1511:$G$1625)</f>
        <v>0</v>
      </c>
      <c r="Z291" s="775">
        <f ca="1">SUMIF(CT_tram!$B$1632:$G$2211,kl!B291,CT_tram!$G$1632:$G$2211)</f>
        <v>0</v>
      </c>
      <c r="AA291" s="775">
        <f ca="1">SUMIF(CT_tram!$B$2243:$G$2384,kl!B291,CT_tram!$G$2243:$G$2384)</f>
        <v>0</v>
      </c>
      <c r="AB291" s="775">
        <f ca="1">SUMIF(CT_tram!$B$2391:$G$2563,kl!B291,CT_tram!$G$2391:$G$2563)</f>
        <v>0</v>
      </c>
      <c r="AC291" s="775">
        <f ca="1">SUMIF(chitiet!$B$13:$N$2352,kl!$B291,chitiet!$I$13:$I$2352)</f>
        <v>0</v>
      </c>
      <c r="AD291" s="775">
        <f ca="1">SUMIF(chitiet!$B$13:$N$2352,kl!$B291,chitiet!$J$13:$J$2352)</f>
        <v>0</v>
      </c>
      <c r="AE291" s="775">
        <f ca="1">SUMIF(chitiet!$B$13:$N$2352,kl!$B291,chitiet!$K$13:$K$2352)</f>
        <v>0</v>
      </c>
      <c r="AF291" s="775">
        <f ca="1">SUMIF(chitiet!$B$13:$N$2352,kl!$B291,chitiet!$L$13:$L$2352)</f>
        <v>0</v>
      </c>
      <c r="AG291" s="775">
        <f ca="1">SUMIF(chitiet!$B$13:$N$2352,kl!$B291,chitiet!$M$13)</f>
        <v>0</v>
      </c>
      <c r="AH291" s="775">
        <f ca="1">SUMIF(chitiet!$B$13:$N$2352,kl!$B291,chitiet!$N$13:$N$2352)</f>
        <v>0</v>
      </c>
      <c r="AI291" s="775">
        <f ca="1">SUMIF(chitiet!$B$13:$N$2352,kl!$B291,chitiet!$O$13:$O$2352)</f>
        <v>0</v>
      </c>
      <c r="AJ291" s="775">
        <f ca="1">SUMIF('Cap ngam'!$B$631:$G$723,kl!$B291,'Cap ngam'!$G$631:$G$723)</f>
        <v>0</v>
      </c>
      <c r="AK291" s="775">
        <f ca="1">SUMIF('Cap ngam'!$B$403:$G$628,kl!$B291,'Cap ngam'!G$403:G$628)</f>
        <v>0</v>
      </c>
      <c r="AL291" s="775">
        <f ca="1">SUMIF('Cap ngam'!B$16:G$400,kl!$B291,'Cap ngam'!G$16:G$400)</f>
        <v>0</v>
      </c>
      <c r="AM291" s="776">
        <v>2</v>
      </c>
      <c r="AN291" s="775">
        <f t="shared" ca="1" si="181"/>
        <v>0</v>
      </c>
      <c r="AO291" s="775">
        <f t="shared" ca="1" si="182"/>
        <v>0</v>
      </c>
      <c r="AP291" s="775">
        <f t="shared" ca="1" si="183"/>
        <v>0</v>
      </c>
      <c r="AQ291" s="775">
        <f t="shared" ca="1" si="184"/>
        <v>0</v>
      </c>
      <c r="AR291" s="775">
        <f t="shared" ca="1" si="185"/>
        <v>0</v>
      </c>
      <c r="AS291" s="775">
        <f t="shared" ca="1" si="186"/>
        <v>0</v>
      </c>
      <c r="AT291" s="775">
        <f t="shared" ca="1" si="187"/>
        <v>0</v>
      </c>
      <c r="AU291" s="775">
        <f t="shared" ca="1" si="188"/>
        <v>0</v>
      </c>
      <c r="AV291" s="775">
        <f t="shared" ca="1" si="189"/>
        <v>0</v>
      </c>
      <c r="AW291" s="775">
        <f t="shared" ca="1" si="190"/>
        <v>0</v>
      </c>
      <c r="AX291" s="775">
        <f t="shared" si="191"/>
        <v>0</v>
      </c>
      <c r="AY291" s="775">
        <f t="shared" ca="1" si="192"/>
        <v>0</v>
      </c>
      <c r="AZ291" s="775">
        <f t="shared" si="193"/>
        <v>0</v>
      </c>
      <c r="BA291" s="775">
        <f t="shared" ca="1" si="172"/>
        <v>0</v>
      </c>
      <c r="BB291" s="775">
        <f t="shared" ca="1" si="173"/>
        <v>0</v>
      </c>
      <c r="BC291" s="775">
        <f t="shared" ca="1" si="174"/>
        <v>0</v>
      </c>
      <c r="BD291" s="775">
        <f t="shared" ca="1" si="175"/>
        <v>0</v>
      </c>
      <c r="BE291" s="775">
        <f t="shared" ca="1" si="176"/>
        <v>0</v>
      </c>
      <c r="BF291" s="775">
        <f t="shared" ca="1" si="177"/>
        <v>0</v>
      </c>
      <c r="BG291" s="775">
        <f t="shared" ca="1" si="178"/>
        <v>0</v>
      </c>
      <c r="BH291" s="775">
        <f t="shared" ca="1" si="194"/>
        <v>0</v>
      </c>
      <c r="BI291" s="775">
        <f t="shared" ca="1" si="195"/>
        <v>0</v>
      </c>
      <c r="BJ291" s="775">
        <f t="shared" ca="1" si="196"/>
        <v>0</v>
      </c>
      <c r="BK291" s="775">
        <f t="shared" ca="1" si="197"/>
        <v>0</v>
      </c>
      <c r="BL291" s="775">
        <f t="shared" ca="1" si="198"/>
        <v>0</v>
      </c>
      <c r="BM291" s="775">
        <f t="shared" ca="1" si="199"/>
        <v>0</v>
      </c>
      <c r="BN291" s="775">
        <f t="shared" ca="1" si="200"/>
        <v>0</v>
      </c>
      <c r="BO291" s="775">
        <f t="shared" ca="1" si="201"/>
        <v>0</v>
      </c>
      <c r="BP291" s="775">
        <f t="shared" ca="1" si="202"/>
        <v>0</v>
      </c>
      <c r="BQ291" s="775">
        <f t="shared" ca="1" si="170"/>
        <v>0</v>
      </c>
      <c r="BR291" s="775">
        <f t="shared" ca="1" si="203"/>
        <v>0</v>
      </c>
    </row>
    <row r="292" spans="1:70">
      <c r="A292" s="767" t="e">
        <f t="shared" ca="1" si="162"/>
        <v>#REF!</v>
      </c>
      <c r="B292" s="799" t="s">
        <v>47</v>
      </c>
      <c r="C292" s="188" t="e">
        <f ca="1">IF(F292=0,"",COUNTIF($F$78:$F292,"&gt;0"))</f>
        <v>#REF!</v>
      </c>
      <c r="D292" s="778" t="str">
        <f>VLOOKUP($B292,dongia1,DG!$C$5,)</f>
        <v>Ống PVC D140x6,7mm</v>
      </c>
      <c r="E292" s="555" t="str">
        <f>VLOOKUP($B292,dongia1,DG!$D$5,)</f>
        <v>m</v>
      </c>
      <c r="F292" s="779" t="e">
        <f t="shared" ca="1" si="171"/>
        <v>#REF!</v>
      </c>
      <c r="G292" s="775" t="e">
        <f t="shared" ca="1" si="169"/>
        <v>#REF!</v>
      </c>
      <c r="H292" s="775">
        <f ca="1">SUMIF(CT_tram!$B$33:$G$3559,kl!B292,CT_tram!$G$33:$G$3559)</f>
        <v>0</v>
      </c>
      <c r="I292" s="775">
        <f ca="1">SUMIF(CT_tram!$B$34:$G$115,$B292,CT_tram!$G$34:$G$115)</f>
        <v>0</v>
      </c>
      <c r="J292" s="775">
        <f ca="1">SUMIF(CT_tram!$B$122:$G$204,$B292,CT_tram!$G$122:$G$204)</f>
        <v>0</v>
      </c>
      <c r="K292" s="775">
        <f ca="1">SUMIF(CT_tram!$B$211:$G$293,$B292,CT_tram!$G$211:$G$293)</f>
        <v>0</v>
      </c>
      <c r="L292" s="775">
        <f ca="1">SUMIF(CT_tram!$B$300:$G$374,$B292,CT_tram!$G$300:$G$374)</f>
        <v>0</v>
      </c>
      <c r="M292" s="775">
        <f ca="1">SUMIF(CT_tram!$B$381:$G$471,$B292,CT_tram!$G$381:$G$471)</f>
        <v>0</v>
      </c>
      <c r="N292" s="775">
        <f ca="1">SUMIF(CT_tram!$B$478:$G$560,$B292,CT_tram!$G$478:$G$560)</f>
        <v>0</v>
      </c>
      <c r="O292" s="775">
        <f ca="1">SUMIF(CT_tram!$B$567:$G$653,$B292,CT_tram!$G$567:$G$653)</f>
        <v>0</v>
      </c>
      <c r="P292" s="775">
        <f ca="1">SUMIF(CT_tram!$B$661:$G$738,$B292,CT_tram!$G$661:$G$738)</f>
        <v>0</v>
      </c>
      <c r="Q292" s="775">
        <f ca="1">SUMIF(CT_tram!$B$745:$G$899,$B292,CT_tram!$G$745:$G$899)</f>
        <v>0</v>
      </c>
      <c r="R292" s="775">
        <f ca="1">SUMIF(CT_tram!$B$907:$G$995,$B292,CT_tram!$G$907:$G$995)</f>
        <v>0</v>
      </c>
      <c r="S292" s="775"/>
      <c r="T292" s="775">
        <f ca="1">SUMIF(CT_tram!$B$1004:$G$1097,B292,CT_tram!$G$1004:$G$1097)</f>
        <v>0</v>
      </c>
      <c r="U292" s="775"/>
      <c r="V292" s="775">
        <f ca="1">SUMIF(CT_tram!$B$1226:$G$1352,kl!B292,CT_tram!$G$1226:$G$1352)</f>
        <v>0</v>
      </c>
      <c r="W292" s="780">
        <f ca="1">SUMIF(CT_tram!$B$1105:$G$1219,kl!B292,CT_tram!$G$1105:$G$1219)</f>
        <v>0</v>
      </c>
      <c r="X292" s="775">
        <f ca="1">SUMIF(CT_tram!$B$1359:$G$1504,kl!B292,CT_tram!$G$1359:$G$1504)</f>
        <v>0</v>
      </c>
      <c r="Y292" s="775">
        <f ca="1">SUMIF(CT_tram!$B$1511:$G$1625,kl!B292,CT_tram!$G$1511:$G$1625)</f>
        <v>0</v>
      </c>
      <c r="Z292" s="775">
        <f ca="1">SUMIF(CT_tram!$B$1632:$G$2211,kl!B292,CT_tram!$G$1632:$G$2211)</f>
        <v>0</v>
      </c>
      <c r="AA292" s="775">
        <f ca="1">SUMIF(CT_tram!$B$2243:$G$2384,kl!B292,CT_tram!$G$2243:$G$2384)</f>
        <v>0</v>
      </c>
      <c r="AB292" s="775">
        <f ca="1">SUMIF(CT_tram!$B$2391:$G$2563,kl!B292,CT_tram!$G$2391:$G$2563)</f>
        <v>0</v>
      </c>
      <c r="AC292" s="775">
        <f ca="1">SUMIF(chitiet!$B$13:$N$2352,kl!$B292,chitiet!$I$13:$I$2352)</f>
        <v>0</v>
      </c>
      <c r="AD292" s="775">
        <f ca="1">SUMIF(chitiet!$B$13:$N$2352,kl!$B292,chitiet!$J$13:$J$2352)</f>
        <v>0</v>
      </c>
      <c r="AE292" s="775">
        <f ca="1">SUMIF(chitiet!$B$13:$N$2352,kl!$B292,chitiet!$K$13:$K$2352)</f>
        <v>0</v>
      </c>
      <c r="AF292" s="775">
        <f ca="1">SUMIF(chitiet!$B$13:$N$2352,kl!$B292,chitiet!$L$13:$L$2352)</f>
        <v>0</v>
      </c>
      <c r="AG292" s="775">
        <f ca="1">SUMIF(chitiet!$B$13:$N$2352,kl!$B292,chitiet!$M$13)</f>
        <v>0</v>
      </c>
      <c r="AH292" s="775">
        <f ca="1">SUMIF(chitiet!$B$13:$N$2352,kl!$B292,chitiet!$N$13:$N$2352)</f>
        <v>0</v>
      </c>
      <c r="AI292" s="775">
        <f ca="1">SUMIF(chitiet!$B$13:$N$2352,kl!$B292,chitiet!$O$13:$O$2352)</f>
        <v>0</v>
      </c>
      <c r="AJ292" s="775">
        <f ca="1">SUMIF('Cap ngam'!$B$631:$G$723,kl!$B292,'Cap ngam'!$G$631:$G$723)</f>
        <v>0</v>
      </c>
      <c r="AK292" s="775" t="e">
        <f ca="1">SUMIF('Cap ngam'!$B$403:$G$628,kl!$B292,'Cap ngam'!G$403:G$628)</f>
        <v>#REF!</v>
      </c>
      <c r="AL292" s="775">
        <f ca="1">SUMIF('Cap ngam'!B$16:G$400,kl!$B292,'Cap ngam'!G$16:G$400)</f>
        <v>0</v>
      </c>
      <c r="AM292" s="776">
        <v>2</v>
      </c>
      <c r="AN292" s="775">
        <f t="shared" ca="1" si="181"/>
        <v>0</v>
      </c>
      <c r="AO292" s="775">
        <f t="shared" ca="1" si="182"/>
        <v>0</v>
      </c>
      <c r="AP292" s="775">
        <f t="shared" ca="1" si="183"/>
        <v>0</v>
      </c>
      <c r="AQ292" s="775">
        <f t="shared" ca="1" si="184"/>
        <v>0</v>
      </c>
      <c r="AR292" s="775">
        <f t="shared" ca="1" si="185"/>
        <v>0</v>
      </c>
      <c r="AS292" s="775">
        <f t="shared" ca="1" si="186"/>
        <v>0</v>
      </c>
      <c r="AT292" s="775">
        <f t="shared" ca="1" si="187"/>
        <v>0</v>
      </c>
      <c r="AU292" s="775">
        <f t="shared" ca="1" si="188"/>
        <v>0</v>
      </c>
      <c r="AV292" s="775">
        <f t="shared" ca="1" si="189"/>
        <v>0</v>
      </c>
      <c r="AW292" s="775">
        <f t="shared" ca="1" si="190"/>
        <v>0</v>
      </c>
      <c r="AX292" s="775">
        <f t="shared" si="191"/>
        <v>0</v>
      </c>
      <c r="AY292" s="775">
        <f t="shared" ca="1" si="192"/>
        <v>0</v>
      </c>
      <c r="AZ292" s="775">
        <f t="shared" si="193"/>
        <v>0</v>
      </c>
      <c r="BA292" s="775">
        <f t="shared" ca="1" si="172"/>
        <v>0</v>
      </c>
      <c r="BB292" s="775">
        <f t="shared" ca="1" si="173"/>
        <v>0</v>
      </c>
      <c r="BC292" s="775">
        <f t="shared" ca="1" si="174"/>
        <v>0</v>
      </c>
      <c r="BD292" s="775">
        <f t="shared" ca="1" si="175"/>
        <v>0</v>
      </c>
      <c r="BE292" s="775">
        <f t="shared" ca="1" si="176"/>
        <v>0</v>
      </c>
      <c r="BF292" s="775">
        <f t="shared" ca="1" si="177"/>
        <v>0</v>
      </c>
      <c r="BG292" s="775">
        <f t="shared" ca="1" si="178"/>
        <v>0</v>
      </c>
      <c r="BH292" s="775">
        <f t="shared" ca="1" si="194"/>
        <v>0</v>
      </c>
      <c r="BI292" s="775">
        <f t="shared" ca="1" si="195"/>
        <v>0</v>
      </c>
      <c r="BJ292" s="775">
        <f t="shared" ca="1" si="196"/>
        <v>0</v>
      </c>
      <c r="BK292" s="775">
        <f t="shared" ca="1" si="197"/>
        <v>0</v>
      </c>
      <c r="BL292" s="775">
        <f t="shared" ca="1" si="198"/>
        <v>0</v>
      </c>
      <c r="BM292" s="775">
        <f t="shared" ca="1" si="199"/>
        <v>0</v>
      </c>
      <c r="BN292" s="775">
        <f t="shared" ca="1" si="200"/>
        <v>0</v>
      </c>
      <c r="BO292" s="775">
        <f t="shared" ca="1" si="201"/>
        <v>0</v>
      </c>
      <c r="BP292" s="775" t="e">
        <f t="shared" ca="1" si="202"/>
        <v>#REF!</v>
      </c>
      <c r="BQ292" s="775">
        <f t="shared" ca="1" si="170"/>
        <v>0</v>
      </c>
      <c r="BR292" s="775">
        <f t="shared" ca="1" si="203"/>
        <v>0</v>
      </c>
    </row>
    <row r="293" spans="1:70">
      <c r="A293" s="767" t="e">
        <f t="shared" ca="1" si="162"/>
        <v>#REF!</v>
      </c>
      <c r="B293" s="799" t="s">
        <v>1868</v>
      </c>
      <c r="C293" s="188" t="e">
        <f ca="1">IF(F293=0,"",COUNTIF($F$78:$F293,"&gt;0"))</f>
        <v>#REF!</v>
      </c>
      <c r="D293" s="778" t="str">
        <f>VLOOKUP($B293,dongia1,DG!$C$5,)</f>
        <v xml:space="preserve">Ống PVC D114x4,9mm </v>
      </c>
      <c r="E293" s="555" t="str">
        <f>VLOOKUP($B293,dongia1,DG!$D$5,)</f>
        <v>m</v>
      </c>
      <c r="F293" s="975" t="e">
        <f t="shared" ca="1" si="171"/>
        <v>#REF!</v>
      </c>
      <c r="G293" s="976" t="e">
        <f t="shared" ca="1" si="169"/>
        <v>#REF!</v>
      </c>
      <c r="H293" s="976">
        <f ca="1">SUMIF(CT_tram!$B$33:$G$3559,kl!B293,CT_tram!$G$33:$G$3559)</f>
        <v>8</v>
      </c>
      <c r="I293" s="775">
        <f ca="1">SUMIF(CT_tram!$B$34:$G$115,$B293,CT_tram!$G$34:$G$115)</f>
        <v>0</v>
      </c>
      <c r="J293" s="775">
        <f ca="1">SUMIF(CT_tram!$B$122:$G$204,$B293,CT_tram!$G$122:$G$204)</f>
        <v>0</v>
      </c>
      <c r="K293" s="775">
        <f ca="1">SUMIF(CT_tram!$B$211:$G$293,$B293,CT_tram!$G$211:$G$293)</f>
        <v>0</v>
      </c>
      <c r="L293" s="775">
        <f ca="1">SUMIF(CT_tram!$B$300:$G$374,$B293,CT_tram!$G$300:$G$374)</f>
        <v>0</v>
      </c>
      <c r="M293" s="775">
        <f ca="1">SUMIF(CT_tram!$B$381:$G$471,$B293,CT_tram!$G$381:$G$471)</f>
        <v>0</v>
      </c>
      <c r="N293" s="775">
        <f ca="1">SUMIF(CT_tram!$B$478:$G$560,$B293,CT_tram!$G$478:$G$560)</f>
        <v>0</v>
      </c>
      <c r="O293" s="775">
        <f ca="1">SUMIF(CT_tram!$B$567:$G$653,$B293,CT_tram!$G$567:$G$653)</f>
        <v>0</v>
      </c>
      <c r="P293" s="775">
        <f ca="1">SUMIF(CT_tram!$B$661:$G$738,$B293,CT_tram!$G$661:$G$738)</f>
        <v>0</v>
      </c>
      <c r="Q293" s="775">
        <f ca="1">SUMIF(CT_tram!$B$745:$G$899,$B293,CT_tram!$G$745:$G$899)</f>
        <v>0</v>
      </c>
      <c r="R293" s="775">
        <f ca="1">SUMIF(CT_tram!$B$907:$G$995,$B293,CT_tram!$G$907:$G$995)</f>
        <v>0</v>
      </c>
      <c r="S293" s="775"/>
      <c r="T293" s="775">
        <f ca="1">SUMIF(CT_tram!$B$1004:$G$1097,B293,CT_tram!$G$1004:$G$1097)</f>
        <v>0</v>
      </c>
      <c r="U293" s="775"/>
      <c r="V293" s="775">
        <f ca="1">SUMIF(CT_tram!$B$1226:$G$1352,kl!B293,CT_tram!$G$1226:$G$1352)</f>
        <v>0</v>
      </c>
      <c r="W293" s="780">
        <f ca="1">SUMIF(CT_tram!$B$1105:$G$1219,kl!B293,CT_tram!$G$1105:$G$1219)</f>
        <v>0</v>
      </c>
      <c r="X293" s="775">
        <f ca="1">SUMIF(CT_tram!$B$1359:$G$1504,kl!B293,CT_tram!$G$1359:$G$1504)</f>
        <v>0</v>
      </c>
      <c r="Y293" s="775">
        <f ca="1">SUMIF(CT_tram!$B$1511:$G$1625,kl!B293,CT_tram!$G$1511:$G$1625)</f>
        <v>0</v>
      </c>
      <c r="Z293" s="775">
        <f ca="1">SUMIF(CT_tram!$B$1632:$G$2211,kl!B293,CT_tram!$G$1632:$G$2211)</f>
        <v>0</v>
      </c>
      <c r="AA293" s="775">
        <f ca="1">SUMIF(CT_tram!$B$2243:$G$2384,kl!B293,CT_tram!$G$2243:$G$2384)</f>
        <v>0</v>
      </c>
      <c r="AB293" s="775">
        <f ca="1">SUMIF(CT_tram!$B$2391:$G$2563,kl!B293,CT_tram!$G$2391:$G$2563)</f>
        <v>0</v>
      </c>
      <c r="AC293" s="775">
        <f ca="1">SUMIF(chitiet!$B$13:$N$2352,kl!$B293,chitiet!$I$13:$I$2352)</f>
        <v>0</v>
      </c>
      <c r="AD293" s="775">
        <f ca="1">SUMIF(chitiet!$B$13:$N$2352,kl!$B293,chitiet!$J$13:$J$2352)</f>
        <v>0</v>
      </c>
      <c r="AE293" s="775">
        <f ca="1">SUMIF(chitiet!$B$13:$N$2352,kl!$B293,chitiet!$K$13:$K$2352)</f>
        <v>0</v>
      </c>
      <c r="AF293" s="775">
        <f ca="1">SUMIF(chitiet!$B$13:$N$2352,kl!$B293,chitiet!$L$13:$L$2352)</f>
        <v>0</v>
      </c>
      <c r="AG293" s="775">
        <f ca="1">SUMIF(chitiet!$B$13:$N$2352,kl!$B293,chitiet!$M$13)</f>
        <v>0</v>
      </c>
      <c r="AH293" s="775">
        <f ca="1">SUMIF(chitiet!$B$13:$N$2352,kl!$B293,chitiet!$N$13:$N$2352)</f>
        <v>0</v>
      </c>
      <c r="AI293" s="775">
        <f ca="1">SUMIF(chitiet!$B$13:$N$2352,kl!$B293,chitiet!$O$13:$O$2352)</f>
        <v>0</v>
      </c>
      <c r="AJ293" s="775">
        <f ca="1">SUMIF('Cap ngam'!$B$631:$G$723,kl!$B293,'Cap ngam'!$G$631:$G$723)</f>
        <v>0</v>
      </c>
      <c r="AK293" s="775" t="e">
        <f ca="1">SUMIF('Cap ngam'!$B$403:$G$628,kl!$B293,'Cap ngam'!G$403:G$628)</f>
        <v>#REF!</v>
      </c>
      <c r="AL293" s="775">
        <f ca="1">SUMIF('Cap ngam'!B$16:G$400,kl!$B293,'Cap ngam'!G$16:G$400)</f>
        <v>0</v>
      </c>
      <c r="AM293" s="776">
        <v>2</v>
      </c>
      <c r="AN293" s="775">
        <f t="shared" ca="1" si="181"/>
        <v>0</v>
      </c>
      <c r="AO293" s="775">
        <f t="shared" ca="1" si="182"/>
        <v>0</v>
      </c>
      <c r="AP293" s="775">
        <f t="shared" ca="1" si="183"/>
        <v>0</v>
      </c>
      <c r="AQ293" s="775">
        <f t="shared" ca="1" si="184"/>
        <v>0</v>
      </c>
      <c r="AR293" s="775">
        <f t="shared" ca="1" si="185"/>
        <v>0</v>
      </c>
      <c r="AS293" s="775">
        <f t="shared" ca="1" si="186"/>
        <v>0</v>
      </c>
      <c r="AT293" s="775">
        <f t="shared" ca="1" si="187"/>
        <v>0</v>
      </c>
      <c r="AU293" s="775">
        <f t="shared" ca="1" si="188"/>
        <v>0</v>
      </c>
      <c r="AV293" s="775">
        <f t="shared" ca="1" si="189"/>
        <v>0</v>
      </c>
      <c r="AW293" s="775">
        <f t="shared" ca="1" si="190"/>
        <v>0</v>
      </c>
      <c r="AX293" s="775">
        <f t="shared" si="191"/>
        <v>0</v>
      </c>
      <c r="AY293" s="775">
        <f t="shared" ca="1" si="192"/>
        <v>0</v>
      </c>
      <c r="AZ293" s="775">
        <f t="shared" si="193"/>
        <v>0</v>
      </c>
      <c r="BA293" s="775">
        <f t="shared" ca="1" si="172"/>
        <v>0</v>
      </c>
      <c r="BB293" s="775">
        <f t="shared" ca="1" si="173"/>
        <v>0</v>
      </c>
      <c r="BC293" s="775">
        <f t="shared" ca="1" si="174"/>
        <v>0</v>
      </c>
      <c r="BD293" s="775">
        <f t="shared" ca="1" si="175"/>
        <v>0</v>
      </c>
      <c r="BE293" s="775">
        <f t="shared" ca="1" si="176"/>
        <v>0</v>
      </c>
      <c r="BF293" s="775">
        <f t="shared" ca="1" si="177"/>
        <v>0</v>
      </c>
      <c r="BG293" s="775">
        <f t="shared" ca="1" si="178"/>
        <v>0</v>
      </c>
      <c r="BH293" s="775">
        <f t="shared" ca="1" si="194"/>
        <v>0</v>
      </c>
      <c r="BI293" s="775">
        <f t="shared" ca="1" si="195"/>
        <v>0</v>
      </c>
      <c r="BJ293" s="775">
        <f t="shared" ca="1" si="196"/>
        <v>0</v>
      </c>
      <c r="BK293" s="775">
        <f t="shared" ca="1" si="197"/>
        <v>0</v>
      </c>
      <c r="BL293" s="775">
        <f t="shared" ca="1" si="198"/>
        <v>0</v>
      </c>
      <c r="BM293" s="775">
        <f t="shared" ca="1" si="199"/>
        <v>0</v>
      </c>
      <c r="BN293" s="775">
        <f t="shared" ca="1" si="200"/>
        <v>0</v>
      </c>
      <c r="BO293" s="775">
        <f t="shared" ca="1" si="201"/>
        <v>0</v>
      </c>
      <c r="BP293" s="775" t="e">
        <f t="shared" ca="1" si="202"/>
        <v>#REF!</v>
      </c>
      <c r="BQ293" s="775">
        <f t="shared" ca="1" si="170"/>
        <v>0</v>
      </c>
      <c r="BR293" s="775">
        <f t="shared" ca="1" si="203"/>
        <v>16</v>
      </c>
    </row>
    <row r="294" spans="1:70">
      <c r="A294" s="767" t="str">
        <f ca="1">IF(F294&lt;&gt;0,"X","")</f>
        <v/>
      </c>
      <c r="B294" s="799" t="s">
        <v>4850</v>
      </c>
      <c r="C294" s="188" t="str">
        <f ca="1">IF(F294=0,"",COUNTIF($F$78:$F294,"&gt;0"))</f>
        <v/>
      </c>
      <c r="D294" s="778" t="str">
        <f>VLOOKUP($B294,dongia1,DG!$C$5,)</f>
        <v>Ông sắt tráng kẽm D21</v>
      </c>
      <c r="E294" s="555" t="str">
        <f>VLOOKUP($B294,dongia1,DG!$D$5,)</f>
        <v>mét</v>
      </c>
      <c r="F294" s="779">
        <f t="shared" ca="1" si="171"/>
        <v>0</v>
      </c>
      <c r="G294" s="775">
        <f t="shared" ca="1" si="169"/>
        <v>0</v>
      </c>
      <c r="H294" s="775">
        <f ca="1">SUMIF(CT_tram!$B$33:$G$3559,kl!B294,CT_tram!$G$33:$G$3559)</f>
        <v>0</v>
      </c>
      <c r="I294" s="775">
        <f ca="1">SUMIF(CT_tram!$B$34:$G$115,$B294,CT_tram!$G$34:$G$115)</f>
        <v>0</v>
      </c>
      <c r="J294" s="775">
        <f ca="1">SUMIF(CT_tram!$B$122:$G$204,$B294,CT_tram!$G$122:$G$204)</f>
        <v>0</v>
      </c>
      <c r="K294" s="775">
        <f ca="1">SUMIF(CT_tram!$B$211:$G$293,$B294,CT_tram!$G$211:$G$293)</f>
        <v>0</v>
      </c>
      <c r="L294" s="775">
        <f ca="1">SUMIF(CT_tram!$B$300:$G$374,$B294,CT_tram!$G$300:$G$374)</f>
        <v>0</v>
      </c>
      <c r="M294" s="775">
        <f ca="1">SUMIF(CT_tram!$B$381:$G$471,$B294,CT_tram!$G$381:$G$471)</f>
        <v>0</v>
      </c>
      <c r="N294" s="775">
        <f ca="1">SUMIF(CT_tram!$B$478:$G$560,$B294,CT_tram!$G$478:$G$560)</f>
        <v>0</v>
      </c>
      <c r="O294" s="775">
        <f ca="1">SUMIF(CT_tram!$B$567:$G$653,$B294,CT_tram!$G$567:$G$653)</f>
        <v>0</v>
      </c>
      <c r="P294" s="775">
        <f ca="1">SUMIF(CT_tram!$B$661:$G$738,$B294,CT_tram!$G$661:$G$738)</f>
        <v>0</v>
      </c>
      <c r="Q294" s="775">
        <f ca="1">SUMIF(CT_tram!$B$745:$G$899,$B294,CT_tram!$G$745:$G$899)</f>
        <v>0</v>
      </c>
      <c r="R294" s="775">
        <f ca="1">SUMIF(CT_tram!$B$907:$G$995,$B294,CT_tram!$G$907:$G$995)</f>
        <v>0</v>
      </c>
      <c r="S294" s="775"/>
      <c r="T294" s="775">
        <f ca="1">SUMIF(CT_tram!$B$1004:$G$1097,B294,CT_tram!$G$1004:$G$1097)</f>
        <v>0</v>
      </c>
      <c r="U294" s="775"/>
      <c r="V294" s="775">
        <f ca="1">SUMIF(CT_tram!$B$1226:$G$1352,kl!B294,CT_tram!$G$1226:$G$1352)</f>
        <v>0</v>
      </c>
      <c r="W294" s="780">
        <f ca="1">SUMIF(CT_tram!$B$1105:$G$1219,kl!B294,CT_tram!$G$1105:$G$1219)</f>
        <v>0</v>
      </c>
      <c r="X294" s="775">
        <f ca="1">SUMIF(CT_tram!$B$1359:$G$1504,kl!B294,CT_tram!$G$1359:$G$1504)</f>
        <v>0</v>
      </c>
      <c r="Y294" s="775">
        <f ca="1">SUMIF(CT_tram!$B$1511:$G$1625,kl!B294,CT_tram!$G$1511:$G$1625)</f>
        <v>0</v>
      </c>
      <c r="Z294" s="775">
        <f ca="1">SUMIF(CT_tram!$B$1632:$G$2211,kl!B294,CT_tram!$G$1632:$G$2211)</f>
        <v>0</v>
      </c>
      <c r="AA294" s="775">
        <f ca="1">SUMIF(CT_tram!$B$2243:$G$2384,kl!B294,CT_tram!$G$2243:$G$2384)</f>
        <v>0</v>
      </c>
      <c r="AB294" s="775">
        <f ca="1">SUMIF(CT_tram!$B$2391:$G$2563,kl!B294,CT_tram!$G$2391:$G$2563)</f>
        <v>0</v>
      </c>
      <c r="AC294" s="775">
        <f ca="1">SUMIF(chitiet!$B$13:$N$2352,kl!$B294,chitiet!$I$13:$I$2352)</f>
        <v>0</v>
      </c>
      <c r="AD294" s="775">
        <f ca="1">SUMIF(chitiet!$B$13:$N$2352,kl!$B294,chitiet!$J$13:$J$2352)</f>
        <v>0</v>
      </c>
      <c r="AE294" s="775">
        <f ca="1">SUMIF(chitiet!$B$13:$N$2352,kl!$B294,chitiet!$K$13:$K$2352)</f>
        <v>0</v>
      </c>
      <c r="AF294" s="775">
        <f ca="1">SUMIF(chitiet!$B$13:$N$2352,kl!$B294,chitiet!$L$13:$L$2352)</f>
        <v>0</v>
      </c>
      <c r="AG294" s="775">
        <f ca="1">SUMIF(chitiet!$B$13:$N$2352,kl!$B294,chitiet!$M$13)</f>
        <v>0</v>
      </c>
      <c r="AH294" s="775">
        <f ca="1">SUMIF(chitiet!$B$13:$N$2352,kl!$B294,chitiet!$N$13:$N$2352)</f>
        <v>0</v>
      </c>
      <c r="AI294" s="775">
        <f ca="1">SUMIF(chitiet!$B$13:$N$2352,kl!$B294,chitiet!$O$13:$O$2352)</f>
        <v>0</v>
      </c>
      <c r="AJ294" s="775">
        <f ca="1">SUMIF('Cap ngam'!$B$631:$G$723,kl!$B294,'Cap ngam'!$G$631:$G$723)</f>
        <v>0</v>
      </c>
      <c r="AK294" s="775">
        <f ca="1">SUMIF('Cap ngam'!$B$403:$G$628,kl!$B294,'Cap ngam'!G$403:G$628)</f>
        <v>0</v>
      </c>
      <c r="AL294" s="775">
        <f ca="1">SUMIF('Cap ngam'!B$16:G$400,kl!$B294,'Cap ngam'!G$16:G$400)</f>
        <v>0</v>
      </c>
      <c r="AM294" s="776">
        <v>1</v>
      </c>
      <c r="AN294" s="775">
        <f t="shared" ref="AN294:BP294" ca="1" si="204">I294*$AM294</f>
        <v>0</v>
      </c>
      <c r="AO294" s="775">
        <f t="shared" ca="1" si="204"/>
        <v>0</v>
      </c>
      <c r="AP294" s="775">
        <f t="shared" ca="1" si="204"/>
        <v>0</v>
      </c>
      <c r="AQ294" s="775">
        <f t="shared" ca="1" si="204"/>
        <v>0</v>
      </c>
      <c r="AR294" s="775">
        <f t="shared" ca="1" si="204"/>
        <v>0</v>
      </c>
      <c r="AS294" s="775">
        <f t="shared" ca="1" si="204"/>
        <v>0</v>
      </c>
      <c r="AT294" s="775">
        <f t="shared" ca="1" si="204"/>
        <v>0</v>
      </c>
      <c r="AU294" s="775">
        <f t="shared" ca="1" si="204"/>
        <v>0</v>
      </c>
      <c r="AV294" s="775">
        <f t="shared" ca="1" si="204"/>
        <v>0</v>
      </c>
      <c r="AW294" s="775">
        <f t="shared" ca="1" si="204"/>
        <v>0</v>
      </c>
      <c r="AX294" s="775">
        <f t="shared" si="204"/>
        <v>0</v>
      </c>
      <c r="AY294" s="775">
        <f t="shared" ca="1" si="204"/>
        <v>0</v>
      </c>
      <c r="AZ294" s="775">
        <f t="shared" si="204"/>
        <v>0</v>
      </c>
      <c r="BA294" s="775">
        <f t="shared" ca="1" si="204"/>
        <v>0</v>
      </c>
      <c r="BB294" s="775">
        <f t="shared" ca="1" si="204"/>
        <v>0</v>
      </c>
      <c r="BC294" s="775">
        <f t="shared" ca="1" si="204"/>
        <v>0</v>
      </c>
      <c r="BD294" s="775">
        <f t="shared" ca="1" si="204"/>
        <v>0</v>
      </c>
      <c r="BE294" s="775">
        <f t="shared" ca="1" si="204"/>
        <v>0</v>
      </c>
      <c r="BF294" s="775">
        <f t="shared" ca="1" si="204"/>
        <v>0</v>
      </c>
      <c r="BG294" s="775">
        <f t="shared" ca="1" si="204"/>
        <v>0</v>
      </c>
      <c r="BH294" s="775">
        <f t="shared" ca="1" si="204"/>
        <v>0</v>
      </c>
      <c r="BI294" s="775">
        <f t="shared" ca="1" si="204"/>
        <v>0</v>
      </c>
      <c r="BJ294" s="775">
        <f t="shared" ca="1" si="204"/>
        <v>0</v>
      </c>
      <c r="BK294" s="775">
        <f t="shared" ca="1" si="204"/>
        <v>0</v>
      </c>
      <c r="BL294" s="775">
        <f t="shared" ca="1" si="204"/>
        <v>0</v>
      </c>
      <c r="BM294" s="775">
        <f t="shared" ca="1" si="204"/>
        <v>0</v>
      </c>
      <c r="BN294" s="775">
        <f t="shared" ca="1" si="204"/>
        <v>0</v>
      </c>
      <c r="BO294" s="775">
        <f t="shared" ca="1" si="204"/>
        <v>0</v>
      </c>
      <c r="BP294" s="775">
        <f t="shared" ca="1" si="204"/>
        <v>0</v>
      </c>
      <c r="BQ294" s="775">
        <f t="shared" ca="1" si="170"/>
        <v>0</v>
      </c>
      <c r="BR294" s="775">
        <f t="shared" ca="1" si="203"/>
        <v>0</v>
      </c>
    </row>
    <row r="295" spans="1:70">
      <c r="A295" s="767" t="str">
        <f ca="1">IF(F295&lt;&gt;0,"X","")</f>
        <v/>
      </c>
      <c r="B295" s="799" t="s">
        <v>115</v>
      </c>
      <c r="C295" s="188" t="str">
        <f ca="1">IF(F295=0,"",COUNTIF($F$78:$F295,"&gt;0"))</f>
        <v/>
      </c>
      <c r="D295" s="778" t="str">
        <f>VLOOKUP($B295,dongia1,DG!$C$5,)</f>
        <v>Ông sắt tráng kẽm D60</v>
      </c>
      <c r="E295" s="555" t="str">
        <f>VLOOKUP($B295,dongia1,DG!$D$5,)</f>
        <v>mét</v>
      </c>
      <c r="F295" s="779">
        <f t="shared" ca="1" si="171"/>
        <v>0</v>
      </c>
      <c r="G295" s="775">
        <f t="shared" ca="1" si="169"/>
        <v>0</v>
      </c>
      <c r="H295" s="775">
        <f ca="1">SUMIF(CT_tram!$B$33:$G$3559,kl!B295,CT_tram!$G$33:$G$3559)</f>
        <v>0</v>
      </c>
      <c r="I295" s="775">
        <f ca="1">SUMIF(CT_tram!$B$34:$G$115,$B295,CT_tram!$G$34:$G$115)</f>
        <v>0</v>
      </c>
      <c r="J295" s="775">
        <f ca="1">SUMIF(CT_tram!$B$122:$G$204,$B295,CT_tram!$G$122:$G$204)</f>
        <v>0</v>
      </c>
      <c r="K295" s="775">
        <f ca="1">SUMIF(CT_tram!$B$211:$G$293,$B295,CT_tram!$G$211:$G$293)</f>
        <v>0</v>
      </c>
      <c r="L295" s="775">
        <f ca="1">SUMIF(CT_tram!$B$300:$G$374,$B295,CT_tram!$G$300:$G$374)</f>
        <v>0</v>
      </c>
      <c r="M295" s="775">
        <f ca="1">SUMIF(CT_tram!$B$381:$G$471,$B295,CT_tram!$G$381:$G$471)</f>
        <v>0</v>
      </c>
      <c r="N295" s="775">
        <f ca="1">SUMIF(CT_tram!$B$478:$G$560,$B295,CT_tram!$G$478:$G$560)</f>
        <v>0</v>
      </c>
      <c r="O295" s="775">
        <f ca="1">SUMIF(CT_tram!$B$567:$G$653,$B295,CT_tram!$G$567:$G$653)</f>
        <v>0</v>
      </c>
      <c r="P295" s="775">
        <f ca="1">SUMIF(CT_tram!$B$661:$G$738,$B295,CT_tram!$G$661:$G$738)</f>
        <v>0</v>
      </c>
      <c r="Q295" s="775">
        <f ca="1">SUMIF(CT_tram!$B$745:$G$899,$B295,CT_tram!$G$745:$G$899)</f>
        <v>0</v>
      </c>
      <c r="R295" s="775">
        <f ca="1">SUMIF(CT_tram!$B$907:$G$995,$B295,CT_tram!$G$907:$G$995)</f>
        <v>0</v>
      </c>
      <c r="S295" s="775"/>
      <c r="T295" s="775">
        <f ca="1">SUMIF(CT_tram!$B$1004:$G$1097,B295,CT_tram!$G$1004:$G$1097)</f>
        <v>0</v>
      </c>
      <c r="U295" s="775"/>
      <c r="V295" s="775">
        <f ca="1">SUMIF(CT_tram!$B$1226:$G$1352,kl!B295,CT_tram!$G$1226:$G$1352)</f>
        <v>0</v>
      </c>
      <c r="W295" s="780">
        <f ca="1">SUMIF(CT_tram!$B$1105:$G$1219,kl!B295,CT_tram!$G$1105:$G$1219)</f>
        <v>0</v>
      </c>
      <c r="X295" s="775">
        <f ca="1">SUMIF(CT_tram!$B$1359:$G$1504,kl!B295,CT_tram!$G$1359:$G$1504)</f>
        <v>0</v>
      </c>
      <c r="Y295" s="775">
        <f ca="1">SUMIF(CT_tram!$B$1511:$G$1625,kl!B295,CT_tram!$G$1511:$G$1625)</f>
        <v>0</v>
      </c>
      <c r="Z295" s="775">
        <f ca="1">SUMIF(CT_tram!$B$1632:$G$2211,kl!B295,CT_tram!$G$1632:$G$2211)</f>
        <v>0</v>
      </c>
      <c r="AA295" s="775">
        <f ca="1">SUMIF(CT_tram!$B$2243:$G$2384,kl!B295,CT_tram!$G$2243:$G$2384)</f>
        <v>0</v>
      </c>
      <c r="AB295" s="775">
        <f ca="1">SUMIF(CT_tram!$B$2391:$G$2563,kl!B295,CT_tram!$G$2391:$G$2563)</f>
        <v>0</v>
      </c>
      <c r="AC295" s="775">
        <f ca="1">SUMIF(chitiet!$B$13:$N$2352,kl!$B295,chitiet!$I$13:$I$2352)</f>
        <v>0</v>
      </c>
      <c r="AD295" s="775">
        <f ca="1">SUMIF(chitiet!$B$13:$N$2352,kl!$B295,chitiet!$J$13:$J$2352)</f>
        <v>0</v>
      </c>
      <c r="AE295" s="775">
        <f ca="1">SUMIF(chitiet!$B$13:$N$2352,kl!$B295,chitiet!$K$13:$K$2352)</f>
        <v>0</v>
      </c>
      <c r="AF295" s="775">
        <f ca="1">SUMIF(chitiet!$B$13:$N$2352,kl!$B295,chitiet!$L$13:$L$2352)</f>
        <v>0</v>
      </c>
      <c r="AG295" s="775">
        <f ca="1">SUMIF(chitiet!$B$13:$N$2352,kl!$B295,chitiet!$M$13)</f>
        <v>0</v>
      </c>
      <c r="AH295" s="775">
        <f ca="1">SUMIF(chitiet!$B$13:$N$2352,kl!$B295,chitiet!$N$13:$N$2352)</f>
        <v>0</v>
      </c>
      <c r="AI295" s="775">
        <f ca="1">SUMIF(chitiet!$B$13:$N$2352,kl!$B295,chitiet!$O$13:$O$2352)</f>
        <v>0</v>
      </c>
      <c r="AJ295" s="775">
        <f ca="1">SUMIF('Cap ngam'!$B$631:$G$723,kl!$B295,'Cap ngam'!$G$631:$G$723)</f>
        <v>0</v>
      </c>
      <c r="AK295" s="775">
        <f ca="1">SUMIF('Cap ngam'!$B$403:$G$628,kl!$B295,'Cap ngam'!G$403:G$628)</f>
        <v>0</v>
      </c>
      <c r="AL295" s="775">
        <f ca="1">SUMIF('Cap ngam'!B$16:G$400,kl!$B295,'Cap ngam'!G$16:G$400)</f>
        <v>0</v>
      </c>
      <c r="AM295" s="776">
        <v>1</v>
      </c>
      <c r="AN295" s="775">
        <f t="shared" ca="1" si="181"/>
        <v>0</v>
      </c>
      <c r="AO295" s="775">
        <f t="shared" ca="1" si="182"/>
        <v>0</v>
      </c>
      <c r="AP295" s="775">
        <f t="shared" ca="1" si="183"/>
        <v>0</v>
      </c>
      <c r="AQ295" s="775">
        <f t="shared" ca="1" si="184"/>
        <v>0</v>
      </c>
      <c r="AR295" s="775">
        <f t="shared" ca="1" si="185"/>
        <v>0</v>
      </c>
      <c r="AS295" s="775">
        <f t="shared" ca="1" si="186"/>
        <v>0</v>
      </c>
      <c r="AT295" s="775">
        <f t="shared" ca="1" si="187"/>
        <v>0</v>
      </c>
      <c r="AU295" s="775">
        <f t="shared" ca="1" si="188"/>
        <v>0</v>
      </c>
      <c r="AV295" s="775">
        <f t="shared" ca="1" si="189"/>
        <v>0</v>
      </c>
      <c r="AW295" s="775">
        <f t="shared" ca="1" si="190"/>
        <v>0</v>
      </c>
      <c r="AX295" s="775">
        <f t="shared" si="191"/>
        <v>0</v>
      </c>
      <c r="AY295" s="775">
        <f t="shared" ca="1" si="192"/>
        <v>0</v>
      </c>
      <c r="AZ295" s="775">
        <f t="shared" si="193"/>
        <v>0</v>
      </c>
      <c r="BA295" s="775">
        <f t="shared" ca="1" si="172"/>
        <v>0</v>
      </c>
      <c r="BB295" s="775">
        <f t="shared" ca="1" si="173"/>
        <v>0</v>
      </c>
      <c r="BC295" s="775">
        <f t="shared" ca="1" si="174"/>
        <v>0</v>
      </c>
      <c r="BD295" s="775">
        <f t="shared" ca="1" si="175"/>
        <v>0</v>
      </c>
      <c r="BE295" s="775">
        <f t="shared" ca="1" si="176"/>
        <v>0</v>
      </c>
      <c r="BF295" s="775">
        <f t="shared" ca="1" si="177"/>
        <v>0</v>
      </c>
      <c r="BG295" s="775">
        <f t="shared" ca="1" si="178"/>
        <v>0</v>
      </c>
      <c r="BH295" s="775">
        <f t="shared" ca="1" si="194"/>
        <v>0</v>
      </c>
      <c r="BI295" s="775">
        <f t="shared" ca="1" si="195"/>
        <v>0</v>
      </c>
      <c r="BJ295" s="775">
        <f t="shared" ca="1" si="196"/>
        <v>0</v>
      </c>
      <c r="BK295" s="775">
        <f t="shared" ca="1" si="197"/>
        <v>0</v>
      </c>
      <c r="BL295" s="775">
        <f t="shared" ca="1" si="198"/>
        <v>0</v>
      </c>
      <c r="BM295" s="775">
        <f t="shared" ca="1" si="199"/>
        <v>0</v>
      </c>
      <c r="BN295" s="775">
        <f t="shared" ca="1" si="200"/>
        <v>0</v>
      </c>
      <c r="BO295" s="775">
        <f t="shared" ca="1" si="201"/>
        <v>0</v>
      </c>
      <c r="BP295" s="775">
        <f t="shared" ca="1" si="202"/>
        <v>0</v>
      </c>
      <c r="BQ295" s="775">
        <f t="shared" ca="1" si="170"/>
        <v>0</v>
      </c>
      <c r="BR295" s="775">
        <f t="shared" ca="1" si="203"/>
        <v>0</v>
      </c>
    </row>
    <row r="296" spans="1:70">
      <c r="A296" s="767" t="str">
        <f ca="1">IF(F296&lt;&gt;0,"X","")</f>
        <v/>
      </c>
      <c r="B296" s="799" t="s">
        <v>316</v>
      </c>
      <c r="C296" s="188" t="str">
        <f ca="1">IF(F296=0,"",COUNTIF($F$78:$F296,"&gt;0"))</f>
        <v/>
      </c>
      <c r="D296" s="778" t="str">
        <f>VLOOKUP($B296,dongia1,DG!$C$5,)</f>
        <v>Ông sắt tráng kẽm D90</v>
      </c>
      <c r="E296" s="555" t="str">
        <f>VLOOKUP($B296,dongia1,DG!$D$5,)</f>
        <v>mét</v>
      </c>
      <c r="F296" s="779">
        <f t="shared" ca="1" si="171"/>
        <v>0</v>
      </c>
      <c r="G296" s="775">
        <f t="shared" ca="1" si="169"/>
        <v>0</v>
      </c>
      <c r="H296" s="775">
        <f ca="1">SUMIF(CT_tram!$B$33:$G$3559,kl!B296,CT_tram!$G$33:$G$3559)</f>
        <v>0</v>
      </c>
      <c r="I296" s="775">
        <f ca="1">SUMIF(CT_tram!$B$34:$G$115,$B296,CT_tram!$G$34:$G$115)</f>
        <v>0</v>
      </c>
      <c r="J296" s="775">
        <f ca="1">SUMIF(CT_tram!$B$122:$G$204,$B296,CT_tram!$G$122:$G$204)</f>
        <v>0</v>
      </c>
      <c r="K296" s="775">
        <f ca="1">SUMIF(CT_tram!$B$211:$G$293,$B296,CT_tram!$G$211:$G$293)</f>
        <v>0</v>
      </c>
      <c r="L296" s="775">
        <f ca="1">SUMIF(CT_tram!$B$300:$G$374,$B296,CT_tram!$G$300:$G$374)</f>
        <v>0</v>
      </c>
      <c r="M296" s="775">
        <f ca="1">SUMIF(CT_tram!$B$381:$G$471,$B296,CT_tram!$G$381:$G$471)</f>
        <v>0</v>
      </c>
      <c r="N296" s="775">
        <f ca="1">SUMIF(CT_tram!$B$478:$G$560,$B296,CT_tram!$G$478:$G$560)</f>
        <v>0</v>
      </c>
      <c r="O296" s="775">
        <f ca="1">SUMIF(CT_tram!$B$567:$G$653,$B296,CT_tram!$G$567:$G$653)</f>
        <v>0</v>
      </c>
      <c r="P296" s="775">
        <f ca="1">SUMIF(CT_tram!$B$661:$G$738,$B296,CT_tram!$G$661:$G$738)</f>
        <v>0</v>
      </c>
      <c r="Q296" s="775">
        <f ca="1">SUMIF(CT_tram!$B$745:$G$899,$B296,CT_tram!$G$745:$G$899)</f>
        <v>0</v>
      </c>
      <c r="R296" s="775">
        <f ca="1">SUMIF(CT_tram!$B$907:$G$995,$B296,CT_tram!$G$907:$G$995)</f>
        <v>0</v>
      </c>
      <c r="S296" s="775"/>
      <c r="T296" s="775">
        <f ca="1">SUMIF(CT_tram!$B$1004:$G$1097,B296,CT_tram!$G$1004:$G$1097)</f>
        <v>0</v>
      </c>
      <c r="U296" s="775"/>
      <c r="V296" s="775">
        <f ca="1">SUMIF(CT_tram!$B$1226:$G$1352,kl!B296,CT_tram!$G$1226:$G$1352)</f>
        <v>0</v>
      </c>
      <c r="W296" s="780">
        <f ca="1">SUMIF(CT_tram!$B$1105:$G$1219,kl!B296,CT_tram!$G$1105:$G$1219)</f>
        <v>0</v>
      </c>
      <c r="X296" s="775">
        <f ca="1">SUMIF(CT_tram!$B$1359:$G$1504,kl!B296,CT_tram!$G$1359:$G$1504)</f>
        <v>0</v>
      </c>
      <c r="Y296" s="775">
        <f ca="1">SUMIF(CT_tram!$B$1511:$G$1625,kl!B296,CT_tram!$G$1511:$G$1625)</f>
        <v>0</v>
      </c>
      <c r="Z296" s="775">
        <f ca="1">SUMIF(CT_tram!$B$1632:$G$2211,kl!B296,CT_tram!$G$1632:$G$2211)</f>
        <v>0</v>
      </c>
      <c r="AA296" s="775">
        <f ca="1">SUMIF(CT_tram!$B$2243:$G$2384,kl!B296,CT_tram!$G$2243:$G$2384)</f>
        <v>0</v>
      </c>
      <c r="AB296" s="775">
        <f ca="1">SUMIF(CT_tram!$B$2391:$G$2563,kl!B296,CT_tram!$G$2391:$G$2563)</f>
        <v>0</v>
      </c>
      <c r="AC296" s="775">
        <f ca="1">SUMIF(chitiet!$B$13:$N$2352,kl!$B296,chitiet!$I$13:$I$2352)</f>
        <v>0</v>
      </c>
      <c r="AD296" s="775">
        <f ca="1">SUMIF(chitiet!$B$13:$N$2352,kl!$B296,chitiet!$J$13:$J$2352)</f>
        <v>0</v>
      </c>
      <c r="AE296" s="775">
        <f ca="1">SUMIF(chitiet!$B$13:$N$2352,kl!$B296,chitiet!$K$13:$K$2352)</f>
        <v>0</v>
      </c>
      <c r="AF296" s="775">
        <f ca="1">SUMIF(chitiet!$B$13:$N$2352,kl!$B296,chitiet!$L$13:$L$2352)</f>
        <v>0</v>
      </c>
      <c r="AG296" s="775">
        <f ca="1">SUMIF(chitiet!$B$13:$N$2352,kl!$B296,chitiet!$M$13)</f>
        <v>0</v>
      </c>
      <c r="AH296" s="775">
        <f ca="1">SUMIF(chitiet!$B$13:$N$2352,kl!$B296,chitiet!$N$13:$N$2352)</f>
        <v>0</v>
      </c>
      <c r="AI296" s="775">
        <f ca="1">SUMIF(chitiet!$B$13:$N$2352,kl!$B296,chitiet!$O$13:$O$2352)</f>
        <v>0</v>
      </c>
      <c r="AJ296" s="775">
        <f ca="1">SUMIF('Cap ngam'!$B$631:$G$723,kl!$B296,'Cap ngam'!$G$631:$G$723)</f>
        <v>0</v>
      </c>
      <c r="AK296" s="775">
        <f ca="1">SUMIF('Cap ngam'!$B$403:$G$628,kl!$B296,'Cap ngam'!G$403:G$628)</f>
        <v>0</v>
      </c>
      <c r="AL296" s="775">
        <f ca="1">SUMIF('Cap ngam'!B$16:G$400,kl!$B296,'Cap ngam'!G$16:G$400)</f>
        <v>0</v>
      </c>
      <c r="AM296" s="776">
        <v>1</v>
      </c>
      <c r="AN296" s="775">
        <f t="shared" ca="1" si="181"/>
        <v>0</v>
      </c>
      <c r="AO296" s="775">
        <f t="shared" ca="1" si="182"/>
        <v>0</v>
      </c>
      <c r="AP296" s="775">
        <f t="shared" ca="1" si="183"/>
        <v>0</v>
      </c>
      <c r="AQ296" s="775">
        <f t="shared" ca="1" si="184"/>
        <v>0</v>
      </c>
      <c r="AR296" s="775">
        <f t="shared" ca="1" si="185"/>
        <v>0</v>
      </c>
      <c r="AS296" s="775">
        <f t="shared" ca="1" si="186"/>
        <v>0</v>
      </c>
      <c r="AT296" s="775">
        <f t="shared" ca="1" si="187"/>
        <v>0</v>
      </c>
      <c r="AU296" s="775">
        <f t="shared" ca="1" si="188"/>
        <v>0</v>
      </c>
      <c r="AV296" s="775">
        <f t="shared" ca="1" si="189"/>
        <v>0</v>
      </c>
      <c r="AW296" s="775">
        <f t="shared" ca="1" si="190"/>
        <v>0</v>
      </c>
      <c r="AX296" s="775">
        <f t="shared" si="191"/>
        <v>0</v>
      </c>
      <c r="AY296" s="775">
        <f t="shared" ca="1" si="192"/>
        <v>0</v>
      </c>
      <c r="AZ296" s="775">
        <f t="shared" si="193"/>
        <v>0</v>
      </c>
      <c r="BA296" s="775">
        <f t="shared" ca="1" si="172"/>
        <v>0</v>
      </c>
      <c r="BB296" s="775">
        <f t="shared" ca="1" si="173"/>
        <v>0</v>
      </c>
      <c r="BC296" s="775">
        <f t="shared" ca="1" si="174"/>
        <v>0</v>
      </c>
      <c r="BD296" s="775">
        <f t="shared" ca="1" si="175"/>
        <v>0</v>
      </c>
      <c r="BE296" s="775">
        <f t="shared" ca="1" si="176"/>
        <v>0</v>
      </c>
      <c r="BF296" s="775">
        <f t="shared" ca="1" si="177"/>
        <v>0</v>
      </c>
      <c r="BG296" s="775">
        <f t="shared" ca="1" si="178"/>
        <v>0</v>
      </c>
      <c r="BH296" s="775">
        <f t="shared" ca="1" si="194"/>
        <v>0</v>
      </c>
      <c r="BI296" s="775">
        <f t="shared" ca="1" si="195"/>
        <v>0</v>
      </c>
      <c r="BJ296" s="775">
        <f t="shared" ca="1" si="196"/>
        <v>0</v>
      </c>
      <c r="BK296" s="775">
        <f t="shared" ca="1" si="197"/>
        <v>0</v>
      </c>
      <c r="BL296" s="775">
        <f t="shared" ca="1" si="198"/>
        <v>0</v>
      </c>
      <c r="BM296" s="775">
        <f t="shared" ca="1" si="199"/>
        <v>0</v>
      </c>
      <c r="BN296" s="775">
        <f t="shared" ca="1" si="200"/>
        <v>0</v>
      </c>
      <c r="BO296" s="775">
        <f t="shared" ca="1" si="201"/>
        <v>0</v>
      </c>
      <c r="BP296" s="775">
        <f t="shared" ca="1" si="202"/>
        <v>0</v>
      </c>
      <c r="BQ296" s="775">
        <f t="shared" ca="1" si="170"/>
        <v>0</v>
      </c>
      <c r="BR296" s="775">
        <f t="shared" ca="1" si="203"/>
        <v>0</v>
      </c>
    </row>
    <row r="297" spans="1:70">
      <c r="A297" s="767" t="str">
        <f ca="1">IF(F297&lt;&gt;0,"X","")</f>
        <v/>
      </c>
      <c r="B297" s="799" t="s">
        <v>1568</v>
      </c>
      <c r="C297" s="188" t="str">
        <f ca="1">IF(F297=0,"",COUNTIF($F$78:$F297,"&gt;0"))</f>
        <v/>
      </c>
      <c r="D297" s="778" t="str">
        <f>VLOOKUP($B297,dongia1,DG!$C$5,)</f>
        <v>Ông sắt tráng kẽm D140</v>
      </c>
      <c r="E297" s="555" t="str">
        <f>VLOOKUP($B297,dongia1,DG!$D$5,)</f>
        <v>mét</v>
      </c>
      <c r="F297" s="779">
        <f t="shared" ca="1" si="171"/>
        <v>0</v>
      </c>
      <c r="G297" s="775">
        <f t="shared" ca="1" si="169"/>
        <v>0</v>
      </c>
      <c r="H297" s="775">
        <f ca="1">SUMIF(CT_tram!$B$33:$G$3559,kl!B297,CT_tram!$G$33:$G$3559)</f>
        <v>0</v>
      </c>
      <c r="I297" s="775">
        <f ca="1">SUMIF(CT_tram!$B$34:$G$115,$B297,CT_tram!$G$34:$G$115)</f>
        <v>0</v>
      </c>
      <c r="J297" s="775">
        <f ca="1">SUMIF(CT_tram!$B$122:$G$204,$B297,CT_tram!$G$122:$G$204)</f>
        <v>0</v>
      </c>
      <c r="K297" s="775">
        <f ca="1">SUMIF(CT_tram!$B$211:$G$293,$B297,CT_tram!$G$211:$G$293)</f>
        <v>0</v>
      </c>
      <c r="L297" s="775">
        <f ca="1">SUMIF(CT_tram!$B$300:$G$374,$B297,CT_tram!$G$300:$G$374)</f>
        <v>0</v>
      </c>
      <c r="M297" s="775">
        <f ca="1">SUMIF(CT_tram!$B$381:$G$471,$B297,CT_tram!$G$381:$G$471)</f>
        <v>0</v>
      </c>
      <c r="N297" s="775">
        <f ca="1">SUMIF(CT_tram!$B$478:$G$560,$B297,CT_tram!$G$478:$G$560)</f>
        <v>0</v>
      </c>
      <c r="O297" s="775">
        <f ca="1">SUMIF(CT_tram!$B$567:$G$653,$B297,CT_tram!$G$567:$G$653)</f>
        <v>0</v>
      </c>
      <c r="P297" s="775">
        <f ca="1">SUMIF(CT_tram!$B$661:$G$738,$B297,CT_tram!$G$661:$G$738)</f>
        <v>0</v>
      </c>
      <c r="Q297" s="775">
        <f ca="1">SUMIF(CT_tram!$B$745:$G$899,$B297,CT_tram!$G$745:$G$899)</f>
        <v>0</v>
      </c>
      <c r="R297" s="775">
        <f ca="1">SUMIF(CT_tram!$B$907:$G$995,$B297,CT_tram!$G$907:$G$995)</f>
        <v>0</v>
      </c>
      <c r="S297" s="775"/>
      <c r="T297" s="775">
        <f ca="1">SUMIF(CT_tram!$B$1004:$G$1097,B297,CT_tram!$G$1004:$G$1097)</f>
        <v>0</v>
      </c>
      <c r="U297" s="775"/>
      <c r="V297" s="775">
        <f ca="1">SUMIF(CT_tram!$B$1226:$G$1352,kl!B297,CT_tram!$G$1226:$G$1352)</f>
        <v>0</v>
      </c>
      <c r="W297" s="780">
        <f ca="1">SUMIF(CT_tram!$B$1105:$G$1219,kl!B297,CT_tram!$G$1105:$G$1219)</f>
        <v>0</v>
      </c>
      <c r="X297" s="775">
        <f ca="1">SUMIF(CT_tram!$B$1359:$G$1504,kl!B297,CT_tram!$G$1359:$G$1504)</f>
        <v>0</v>
      </c>
      <c r="Y297" s="775">
        <f ca="1">SUMIF(CT_tram!$B$1511:$G$1625,kl!B297,CT_tram!$G$1511:$G$1625)</f>
        <v>0</v>
      </c>
      <c r="Z297" s="775">
        <f ca="1">SUMIF(CT_tram!$B$1632:$G$2211,kl!B297,CT_tram!$G$1632:$G$2211)</f>
        <v>0</v>
      </c>
      <c r="AA297" s="775">
        <f ca="1">SUMIF(CT_tram!$B$2243:$G$2384,kl!B297,CT_tram!$G$2243:$G$2384)</f>
        <v>0</v>
      </c>
      <c r="AB297" s="775">
        <f ca="1">SUMIF(CT_tram!$B$2391:$G$2563,kl!B297,CT_tram!$G$2391:$G$2563)</f>
        <v>0</v>
      </c>
      <c r="AC297" s="775">
        <f ca="1">SUMIF(chitiet!$B$13:$N$2352,kl!$B297,chitiet!$I$13:$I$2352)</f>
        <v>0</v>
      </c>
      <c r="AD297" s="775">
        <f ca="1">SUMIF(chitiet!$B$13:$N$2352,kl!$B297,chitiet!$J$13:$J$2352)</f>
        <v>0</v>
      </c>
      <c r="AE297" s="775">
        <f ca="1">SUMIF(chitiet!$B$13:$N$2352,kl!$B297,chitiet!$K$13:$K$2352)</f>
        <v>0</v>
      </c>
      <c r="AF297" s="775">
        <f ca="1">SUMIF(chitiet!$B$13:$N$2352,kl!$B297,chitiet!$L$13:$L$2352)</f>
        <v>0</v>
      </c>
      <c r="AG297" s="775">
        <f ca="1">SUMIF(chitiet!$B$13:$N$2352,kl!$B297,chitiet!$M$13)</f>
        <v>0</v>
      </c>
      <c r="AH297" s="775">
        <f ca="1">SUMIF(chitiet!$B$13:$N$2352,kl!$B297,chitiet!$N$13:$N$2352)</f>
        <v>0</v>
      </c>
      <c r="AI297" s="775">
        <f ca="1">SUMIF(chitiet!$B$13:$N$2352,kl!$B297,chitiet!$O$13:$O$2352)</f>
        <v>0</v>
      </c>
      <c r="AJ297" s="775">
        <f ca="1">SUMIF('Cap ngam'!$B$631:$G$723,kl!$B297,'Cap ngam'!$G$631:$G$723)</f>
        <v>0</v>
      </c>
      <c r="AK297" s="775">
        <f ca="1">SUMIF('Cap ngam'!$B$403:$G$628,kl!$B297,'Cap ngam'!G$403:G$628)</f>
        <v>0</v>
      </c>
      <c r="AL297" s="775">
        <f ca="1">SUMIF('Cap ngam'!B$16:G$400,kl!$B297,'Cap ngam'!G$16:G$400)</f>
        <v>0</v>
      </c>
      <c r="AM297" s="776">
        <v>1</v>
      </c>
      <c r="AN297" s="775">
        <f t="shared" ca="1" si="181"/>
        <v>0</v>
      </c>
      <c r="AO297" s="775">
        <f t="shared" ca="1" si="182"/>
        <v>0</v>
      </c>
      <c r="AP297" s="775">
        <f t="shared" ca="1" si="183"/>
        <v>0</v>
      </c>
      <c r="AQ297" s="775">
        <f t="shared" ca="1" si="184"/>
        <v>0</v>
      </c>
      <c r="AR297" s="775">
        <f t="shared" ca="1" si="185"/>
        <v>0</v>
      </c>
      <c r="AS297" s="775">
        <f t="shared" ca="1" si="186"/>
        <v>0</v>
      </c>
      <c r="AT297" s="775">
        <f t="shared" ca="1" si="187"/>
        <v>0</v>
      </c>
      <c r="AU297" s="775">
        <f t="shared" ca="1" si="188"/>
        <v>0</v>
      </c>
      <c r="AV297" s="775">
        <f t="shared" ca="1" si="189"/>
        <v>0</v>
      </c>
      <c r="AW297" s="775">
        <f t="shared" ca="1" si="190"/>
        <v>0</v>
      </c>
      <c r="AX297" s="775">
        <f t="shared" si="191"/>
        <v>0</v>
      </c>
      <c r="AY297" s="775">
        <f t="shared" ca="1" si="192"/>
        <v>0</v>
      </c>
      <c r="AZ297" s="775">
        <f t="shared" si="193"/>
        <v>0</v>
      </c>
      <c r="BA297" s="775">
        <f t="shared" ca="1" si="172"/>
        <v>0</v>
      </c>
      <c r="BB297" s="775">
        <f t="shared" ca="1" si="173"/>
        <v>0</v>
      </c>
      <c r="BC297" s="775">
        <f t="shared" ca="1" si="174"/>
        <v>0</v>
      </c>
      <c r="BD297" s="775">
        <f t="shared" ca="1" si="175"/>
        <v>0</v>
      </c>
      <c r="BE297" s="775">
        <f t="shared" ca="1" si="176"/>
        <v>0</v>
      </c>
      <c r="BF297" s="775">
        <f t="shared" ca="1" si="177"/>
        <v>0</v>
      </c>
      <c r="BG297" s="775">
        <f t="shared" ca="1" si="178"/>
        <v>0</v>
      </c>
      <c r="BH297" s="775">
        <f t="shared" ca="1" si="194"/>
        <v>0</v>
      </c>
      <c r="BI297" s="775">
        <f t="shared" ca="1" si="195"/>
        <v>0</v>
      </c>
      <c r="BJ297" s="775">
        <f t="shared" ca="1" si="196"/>
        <v>0</v>
      </c>
      <c r="BK297" s="775">
        <f t="shared" ca="1" si="197"/>
        <v>0</v>
      </c>
      <c r="BL297" s="775">
        <f t="shared" ca="1" si="198"/>
        <v>0</v>
      </c>
      <c r="BM297" s="775">
        <f t="shared" ca="1" si="199"/>
        <v>0</v>
      </c>
      <c r="BN297" s="775">
        <f t="shared" ca="1" si="200"/>
        <v>0</v>
      </c>
      <c r="BO297" s="775">
        <f t="shared" ca="1" si="201"/>
        <v>0</v>
      </c>
      <c r="BP297" s="775">
        <f t="shared" ca="1" si="202"/>
        <v>0</v>
      </c>
      <c r="BQ297" s="775">
        <f ca="1">$AL297*$AM297</f>
        <v>0</v>
      </c>
      <c r="BR297" s="775">
        <f t="shared" ca="1" si="203"/>
        <v>0</v>
      </c>
    </row>
    <row r="298" spans="1:70">
      <c r="A298" s="767" t="str">
        <f ca="1">IF(F298&lt;&gt;0,"X","")</f>
        <v/>
      </c>
      <c r="B298" s="799" t="s">
        <v>1781</v>
      </c>
      <c r="C298" s="188" t="str">
        <f ca="1">IF(F298=0,"",COUNTIF($F$78:$F298,"&gt;0"))</f>
        <v/>
      </c>
      <c r="D298" s="778" t="str">
        <f>VLOOKUP($B298,dongia1,DG!$C$5,)</f>
        <v>Ông sắt tráng kẽm D168</v>
      </c>
      <c r="E298" s="555" t="str">
        <f>VLOOKUP($B298,dongia1,DG!$D$5,)</f>
        <v>mét</v>
      </c>
      <c r="F298" s="779">
        <f t="shared" ca="1" si="171"/>
        <v>0</v>
      </c>
      <c r="G298" s="775">
        <f t="shared" ca="1" si="169"/>
        <v>0</v>
      </c>
      <c r="H298" s="775">
        <f ca="1">SUMIF(CT_tram!$B$33:$G$3559,kl!B298,CT_tram!$G$33:$G$3559)</f>
        <v>0</v>
      </c>
      <c r="I298" s="775">
        <f ca="1">SUMIF(CT_tram!$B$34:$G$115,$B298,CT_tram!$G$34:$G$115)</f>
        <v>0</v>
      </c>
      <c r="J298" s="775">
        <f ca="1">SUMIF(CT_tram!$B$122:$G$204,$B298,CT_tram!$G$122:$G$204)</f>
        <v>0</v>
      </c>
      <c r="K298" s="775">
        <f ca="1">SUMIF(CT_tram!$B$211:$G$293,$B298,CT_tram!$G$211:$G$293)</f>
        <v>0</v>
      </c>
      <c r="L298" s="775">
        <f ca="1">SUMIF(CT_tram!$B$300:$G$374,$B298,CT_tram!$G$300:$G$374)</f>
        <v>0</v>
      </c>
      <c r="M298" s="775">
        <f ca="1">SUMIF(CT_tram!$B$381:$G$471,$B298,CT_tram!$G$381:$G$471)</f>
        <v>0</v>
      </c>
      <c r="N298" s="775">
        <f ca="1">SUMIF(CT_tram!$B$478:$G$560,$B298,CT_tram!$G$478:$G$560)</f>
        <v>0</v>
      </c>
      <c r="O298" s="775">
        <f ca="1">SUMIF(CT_tram!$B$567:$G$653,$B298,CT_tram!$G$567:$G$653)</f>
        <v>0</v>
      </c>
      <c r="P298" s="775">
        <f ca="1">SUMIF(CT_tram!$B$661:$G$738,$B298,CT_tram!$G$661:$G$738)</f>
        <v>0</v>
      </c>
      <c r="Q298" s="775">
        <f ca="1">SUMIF(CT_tram!$B$745:$G$899,$B298,CT_tram!$G$745:$G$899)</f>
        <v>0</v>
      </c>
      <c r="R298" s="775">
        <f ca="1">SUMIF(CT_tram!$B$907:$G$995,$B298,CT_tram!$G$907:$G$995)</f>
        <v>0</v>
      </c>
      <c r="S298" s="775"/>
      <c r="T298" s="775">
        <f ca="1">SUMIF(CT_tram!$B$1004:$G$1097,B298,CT_tram!$G$1004:$G$1097)</f>
        <v>0</v>
      </c>
      <c r="U298" s="775"/>
      <c r="V298" s="775">
        <f ca="1">SUMIF(CT_tram!$B$1226:$G$1352,kl!B298,CT_tram!$G$1226:$G$1352)</f>
        <v>0</v>
      </c>
      <c r="W298" s="780">
        <f ca="1">SUMIF(CT_tram!$B$1105:$G$1219,kl!B298,CT_tram!$G$1105:$G$1219)</f>
        <v>0</v>
      </c>
      <c r="X298" s="775">
        <f ca="1">SUMIF(CT_tram!$B$1359:$G$1504,kl!B298,CT_tram!$G$1359:$G$1504)</f>
        <v>0</v>
      </c>
      <c r="Y298" s="775">
        <f ca="1">SUMIF(CT_tram!$B$1511:$G$1625,kl!B298,CT_tram!$G$1511:$G$1625)</f>
        <v>0</v>
      </c>
      <c r="Z298" s="775">
        <f ca="1">SUMIF(CT_tram!$B$1632:$G$2211,kl!B298,CT_tram!$G$1632:$G$2211)</f>
        <v>0</v>
      </c>
      <c r="AA298" s="775">
        <f ca="1">SUMIF(CT_tram!$B$2243:$G$2384,kl!B298,CT_tram!$G$2243:$G$2384)</f>
        <v>0</v>
      </c>
      <c r="AB298" s="775">
        <f ca="1">SUMIF(CT_tram!$B$2391:$G$2563,kl!B298,CT_tram!$G$2391:$G$2563)</f>
        <v>0</v>
      </c>
      <c r="AC298" s="775">
        <f ca="1">SUMIF(chitiet!$B$13:$N$2352,kl!$B298,chitiet!$I$13:$I$2352)</f>
        <v>0</v>
      </c>
      <c r="AD298" s="775">
        <f ca="1">SUMIF(chitiet!$B$13:$N$2352,kl!$B298,chitiet!$J$13:$J$2352)</f>
        <v>0</v>
      </c>
      <c r="AE298" s="775">
        <f ca="1">SUMIF(chitiet!$B$13:$N$2352,kl!$B298,chitiet!$K$13:$K$2352)</f>
        <v>0</v>
      </c>
      <c r="AF298" s="775">
        <f ca="1">SUMIF(chitiet!$B$13:$N$2352,kl!$B298,chitiet!$L$13:$L$2352)</f>
        <v>0</v>
      </c>
      <c r="AG298" s="775">
        <f ca="1">SUMIF(chitiet!$B$13:$N$2352,kl!$B298,chitiet!$M$13)</f>
        <v>0</v>
      </c>
      <c r="AH298" s="775">
        <f ca="1">SUMIF(chitiet!$B$13:$N$2352,kl!$B298,chitiet!$N$13:$N$2352)</f>
        <v>0</v>
      </c>
      <c r="AI298" s="775">
        <f ca="1">SUMIF(chitiet!$B$13:$N$2352,kl!$B298,chitiet!$O$13:$O$2352)</f>
        <v>0</v>
      </c>
      <c r="AJ298" s="775">
        <f ca="1">SUMIF('Cap ngam'!$B$631:$G$723,kl!$B298,'Cap ngam'!$G$631:$G$723)</f>
        <v>0</v>
      </c>
      <c r="AK298" s="775">
        <f ca="1">SUMIF('Cap ngam'!$B$403:$G$628,kl!$B298,'Cap ngam'!G$403:G$628)</f>
        <v>0</v>
      </c>
      <c r="AL298" s="775">
        <f ca="1">SUMIF('Cap ngam'!B$16:G$400,kl!$B298,'Cap ngam'!G$16:G$400)/2</f>
        <v>0</v>
      </c>
      <c r="AM298" s="776">
        <v>10</v>
      </c>
      <c r="AN298" s="775">
        <f t="shared" ca="1" si="181"/>
        <v>0</v>
      </c>
      <c r="AO298" s="775">
        <f t="shared" ca="1" si="182"/>
        <v>0</v>
      </c>
      <c r="AP298" s="775">
        <f t="shared" ca="1" si="183"/>
        <v>0</v>
      </c>
      <c r="AQ298" s="775">
        <f t="shared" ca="1" si="184"/>
        <v>0</v>
      </c>
      <c r="AR298" s="775">
        <f t="shared" ca="1" si="185"/>
        <v>0</v>
      </c>
      <c r="AS298" s="775">
        <f t="shared" ca="1" si="186"/>
        <v>0</v>
      </c>
      <c r="AT298" s="775">
        <f t="shared" ca="1" si="187"/>
        <v>0</v>
      </c>
      <c r="AU298" s="775">
        <f t="shared" ca="1" si="188"/>
        <v>0</v>
      </c>
      <c r="AV298" s="775">
        <f t="shared" ca="1" si="189"/>
        <v>0</v>
      </c>
      <c r="AW298" s="775">
        <f t="shared" ca="1" si="190"/>
        <v>0</v>
      </c>
      <c r="AX298" s="775">
        <f t="shared" si="191"/>
        <v>0</v>
      </c>
      <c r="AY298" s="775">
        <f t="shared" ca="1" si="192"/>
        <v>0</v>
      </c>
      <c r="AZ298" s="775">
        <f t="shared" si="193"/>
        <v>0</v>
      </c>
      <c r="BA298" s="775">
        <f t="shared" ca="1" si="172"/>
        <v>0</v>
      </c>
      <c r="BB298" s="775">
        <f t="shared" ca="1" si="173"/>
        <v>0</v>
      </c>
      <c r="BC298" s="775">
        <f t="shared" ca="1" si="174"/>
        <v>0</v>
      </c>
      <c r="BD298" s="775">
        <f t="shared" ca="1" si="175"/>
        <v>0</v>
      </c>
      <c r="BE298" s="775">
        <f t="shared" ca="1" si="176"/>
        <v>0</v>
      </c>
      <c r="BF298" s="775">
        <f t="shared" ca="1" si="177"/>
        <v>0</v>
      </c>
      <c r="BG298" s="775">
        <f t="shared" ca="1" si="178"/>
        <v>0</v>
      </c>
      <c r="BH298" s="775">
        <f t="shared" ca="1" si="194"/>
        <v>0</v>
      </c>
      <c r="BI298" s="775">
        <f t="shared" ca="1" si="195"/>
        <v>0</v>
      </c>
      <c r="BJ298" s="775">
        <f t="shared" ca="1" si="196"/>
        <v>0</v>
      </c>
      <c r="BK298" s="775">
        <f t="shared" ca="1" si="197"/>
        <v>0</v>
      </c>
      <c r="BL298" s="775">
        <f t="shared" ca="1" si="198"/>
        <v>0</v>
      </c>
      <c r="BM298" s="775">
        <f t="shared" ca="1" si="199"/>
        <v>0</v>
      </c>
      <c r="BN298" s="775">
        <f t="shared" ca="1" si="200"/>
        <v>0</v>
      </c>
      <c r="BO298" s="775">
        <f t="shared" ca="1" si="201"/>
        <v>0</v>
      </c>
      <c r="BP298" s="775">
        <f t="shared" ca="1" si="202"/>
        <v>0</v>
      </c>
      <c r="BQ298" s="775">
        <f ca="1">$AL298*$AM298</f>
        <v>0</v>
      </c>
      <c r="BR298" s="775">
        <f t="shared" ca="1" si="203"/>
        <v>0</v>
      </c>
    </row>
    <row r="299" spans="1:70">
      <c r="A299" s="767" t="str">
        <f t="shared" ca="1" si="162"/>
        <v>X</v>
      </c>
      <c r="B299" s="799" t="s">
        <v>1276</v>
      </c>
      <c r="C299" s="188">
        <f ca="1">IF(F299=0,"",COUNTIF($F$78:$F299,"&gt;0"))</f>
        <v>28</v>
      </c>
      <c r="D299" s="778" t="str">
        <f>VLOOKUP($B299,dongia1,DG!$C$5,)</f>
        <v>Uclevis (loại gân)+ sứ ống chỉ</v>
      </c>
      <c r="E299" s="555" t="str">
        <f>VLOOKUP($B299,dongia1,DG!$D$5,)</f>
        <v>bộ</v>
      </c>
      <c r="F299" s="975">
        <f t="shared" ca="1" si="171"/>
        <v>1</v>
      </c>
      <c r="G299" s="976">
        <f t="shared" ca="1" si="169"/>
        <v>1</v>
      </c>
      <c r="H299" s="976">
        <f ca="1">SUMIF(CT_tram!$B$33:$G$3559,kl!B299,CT_tram!$G$33:$G$3559)</f>
        <v>0</v>
      </c>
      <c r="I299" s="775">
        <f ca="1">SUMIF(CT_tram!$B$34:$G$115,$B299,CT_tram!$G$34:$G$115)</f>
        <v>0</v>
      </c>
      <c r="J299" s="775">
        <f ca="1">SUMIF(CT_tram!$B$122:$G$204,$B299,CT_tram!$G$122:$G$204)</f>
        <v>0</v>
      </c>
      <c r="K299" s="775">
        <f ca="1">SUMIF(CT_tram!$B$211:$G$293,$B299,CT_tram!$G$211:$G$293)</f>
        <v>0</v>
      </c>
      <c r="L299" s="775">
        <f ca="1">SUMIF(CT_tram!$B$300:$G$374,$B299,CT_tram!$G$300:$G$374)</f>
        <v>0</v>
      </c>
      <c r="M299" s="775">
        <f ca="1">SUMIF(CT_tram!$B$381:$G$471,$B299,CT_tram!$G$381:$G$471)</f>
        <v>0</v>
      </c>
      <c r="N299" s="775">
        <f ca="1">SUMIF(CT_tram!$B$478:$G$560,$B299,CT_tram!$G$478:$G$560)</f>
        <v>0</v>
      </c>
      <c r="O299" s="775">
        <f ca="1">SUMIF(CT_tram!$B$567:$G$653,$B299,CT_tram!$G$567:$G$653)</f>
        <v>0</v>
      </c>
      <c r="P299" s="775">
        <f ca="1">SUMIF(CT_tram!$B$661:$G$738,$B299,CT_tram!$G$661:$G$738)</f>
        <v>0</v>
      </c>
      <c r="Q299" s="775">
        <f ca="1">SUMIF(CT_tram!$B$745:$G$899,$B299,CT_tram!$G$745:$G$899)</f>
        <v>0</v>
      </c>
      <c r="R299" s="775">
        <f ca="1">SUMIF(CT_tram!$B$907:$G$995,$B299,CT_tram!$G$907:$G$995)</f>
        <v>0</v>
      </c>
      <c r="S299" s="775"/>
      <c r="T299" s="775">
        <f ca="1">SUMIF(CT_tram!$B$1004:$G$1097,B299,CT_tram!$G$1004:$G$1097)</f>
        <v>0</v>
      </c>
      <c r="U299" s="775"/>
      <c r="V299" s="775">
        <f ca="1">SUMIF(CT_tram!$B$1226:$G$1352,kl!B299,CT_tram!$G$1226:$G$1352)</f>
        <v>0</v>
      </c>
      <c r="W299" s="780">
        <f ca="1">SUMIF(CT_tram!$B$1105:$G$1219,kl!B299,CT_tram!$G$1105:$G$1219)</f>
        <v>0</v>
      </c>
      <c r="X299" s="775">
        <f ca="1">SUMIF(CT_tram!$B$1359:$G$1504,kl!B299,CT_tram!$G$1359:$G$1504)</f>
        <v>0</v>
      </c>
      <c r="Y299" s="775">
        <f ca="1">SUMIF(CT_tram!$B$1511:$G$1625,kl!B299,CT_tram!$G$1511:$G$1625)</f>
        <v>0</v>
      </c>
      <c r="Z299" s="775">
        <f ca="1">SUMIF(CT_tram!$B$1632:$G$2211,kl!B299,CT_tram!$G$1632:$G$2211)</f>
        <v>0</v>
      </c>
      <c r="AA299" s="775">
        <f ca="1">SUMIF(CT_tram!$B$2243:$G$2384,kl!B299,CT_tram!$G$2243:$G$2384)</f>
        <v>0</v>
      </c>
      <c r="AB299" s="775">
        <f ca="1">SUMIF(CT_tram!$B$2391:$G$2563,kl!B299,CT_tram!$G$2391:$G$2563)</f>
        <v>0</v>
      </c>
      <c r="AC299" s="775">
        <f ca="1">SUMIF(chitiet!$B$13:$N$2352,kl!$B299,chitiet!$I$13:$I$2352)</f>
        <v>0</v>
      </c>
      <c r="AD299" s="775">
        <f ca="1">SUMIF(chitiet!$B$13:$N$2352,kl!$B299,chitiet!$J$13:$J$2352)</f>
        <v>0</v>
      </c>
      <c r="AE299" s="775">
        <f ca="1">SUMIF(chitiet!$B$13:$N$2352,kl!$B299,chitiet!$K$13:$K$2352)</f>
        <v>1</v>
      </c>
      <c r="AF299" s="775">
        <f ca="1">SUMIF(chitiet!$B$13:$N$2352,kl!$B299,chitiet!$L$13:$L$2352)</f>
        <v>0</v>
      </c>
      <c r="AG299" s="775">
        <f ca="1">SUMIF(chitiet!$B$13:$N$2352,kl!$B299,chitiet!$M$13)</f>
        <v>0</v>
      </c>
      <c r="AH299" s="775">
        <f ca="1">SUMIF(chitiet!$B$13:$N$2352,kl!$B299,chitiet!$N$13:$N$2352)</f>
        <v>0</v>
      </c>
      <c r="AI299" s="775">
        <f ca="1">SUMIF(chitiet!$B$13:$N$2352,kl!$B299,chitiet!$O$13:$O$2352)</f>
        <v>0</v>
      </c>
      <c r="AJ299" s="775">
        <f ca="1">SUMIF('Cap ngam'!$B$631:$G$723,kl!$B299,'Cap ngam'!$G$631:$G$723)</f>
        <v>0</v>
      </c>
      <c r="AK299" s="775">
        <f ca="1">SUMIF('Cap ngam'!$B$403:$G$628,kl!$B299,'Cap ngam'!G$403:G$628)</f>
        <v>0</v>
      </c>
      <c r="AL299" s="775">
        <f ca="1">SUMIF('Cap ngam'!B$16:G$400,kl!$B299,'Cap ngam'!G$16:G$400)</f>
        <v>0</v>
      </c>
      <c r="AM299" s="776">
        <v>2.5</v>
      </c>
      <c r="AN299" s="775">
        <f t="shared" ca="1" si="181"/>
        <v>0</v>
      </c>
      <c r="AO299" s="775">
        <f t="shared" ca="1" si="182"/>
        <v>0</v>
      </c>
      <c r="AP299" s="775">
        <f t="shared" ca="1" si="183"/>
        <v>0</v>
      </c>
      <c r="AQ299" s="775">
        <f t="shared" ca="1" si="184"/>
        <v>0</v>
      </c>
      <c r="AR299" s="775">
        <f t="shared" ca="1" si="185"/>
        <v>0</v>
      </c>
      <c r="AS299" s="775">
        <f t="shared" ca="1" si="186"/>
        <v>0</v>
      </c>
      <c r="AT299" s="775">
        <f t="shared" ca="1" si="187"/>
        <v>0</v>
      </c>
      <c r="AU299" s="775">
        <f t="shared" ca="1" si="188"/>
        <v>0</v>
      </c>
      <c r="AV299" s="775">
        <f t="shared" ca="1" si="189"/>
        <v>0</v>
      </c>
      <c r="AW299" s="775">
        <f t="shared" ca="1" si="190"/>
        <v>0</v>
      </c>
      <c r="AX299" s="775">
        <f t="shared" si="191"/>
        <v>0</v>
      </c>
      <c r="AY299" s="775">
        <f t="shared" ca="1" si="192"/>
        <v>0</v>
      </c>
      <c r="AZ299" s="775">
        <f t="shared" si="193"/>
        <v>0</v>
      </c>
      <c r="BA299" s="775">
        <f t="shared" ca="1" si="172"/>
        <v>0</v>
      </c>
      <c r="BB299" s="775">
        <f t="shared" ca="1" si="173"/>
        <v>0</v>
      </c>
      <c r="BC299" s="775">
        <f t="shared" ca="1" si="174"/>
        <v>0</v>
      </c>
      <c r="BD299" s="775">
        <f t="shared" ca="1" si="175"/>
        <v>0</v>
      </c>
      <c r="BE299" s="775">
        <f t="shared" ca="1" si="176"/>
        <v>0</v>
      </c>
      <c r="BF299" s="775">
        <f t="shared" ca="1" si="177"/>
        <v>0</v>
      </c>
      <c r="BG299" s="775">
        <f t="shared" ca="1" si="178"/>
        <v>0</v>
      </c>
      <c r="BH299" s="775">
        <f t="shared" ca="1" si="194"/>
        <v>0</v>
      </c>
      <c r="BI299" s="775">
        <f t="shared" ca="1" si="195"/>
        <v>0</v>
      </c>
      <c r="BJ299" s="775">
        <f t="shared" ca="1" si="196"/>
        <v>2.5</v>
      </c>
      <c r="BK299" s="775">
        <f t="shared" ca="1" si="197"/>
        <v>0</v>
      </c>
      <c r="BL299" s="775">
        <f t="shared" ca="1" si="198"/>
        <v>0</v>
      </c>
      <c r="BM299" s="775">
        <f t="shared" ca="1" si="199"/>
        <v>0</v>
      </c>
      <c r="BN299" s="775">
        <f t="shared" ca="1" si="200"/>
        <v>0</v>
      </c>
      <c r="BO299" s="775">
        <f t="shared" ca="1" si="201"/>
        <v>0</v>
      </c>
      <c r="BP299" s="775">
        <f t="shared" ca="1" si="202"/>
        <v>0</v>
      </c>
      <c r="BQ299" s="775">
        <f t="shared" ca="1" si="170"/>
        <v>0</v>
      </c>
      <c r="BR299" s="775">
        <f t="shared" ca="1" si="203"/>
        <v>0</v>
      </c>
    </row>
    <row r="300" spans="1:70">
      <c r="A300" s="767" t="str">
        <f t="shared" ca="1" si="162"/>
        <v/>
      </c>
      <c r="B300" s="799" t="s">
        <v>2041</v>
      </c>
      <c r="C300" s="188" t="str">
        <f ca="1">IF(F300=0,"",COUNTIF($F$78:$F300,"&gt;0"))</f>
        <v/>
      </c>
      <c r="D300" s="778" t="str">
        <f>VLOOKUP($B300,dongia1,DG!$C$5,)</f>
        <v>Rack 2 sứ + sứ ống chỉ</v>
      </c>
      <c r="E300" s="555" t="str">
        <f>VLOOKUP($B300,dongia1,DG!$D$5,)</f>
        <v>bộ</v>
      </c>
      <c r="F300" s="779">
        <f t="shared" ca="1" si="171"/>
        <v>0</v>
      </c>
      <c r="G300" s="775">
        <f t="shared" ca="1" si="169"/>
        <v>0</v>
      </c>
      <c r="H300" s="775">
        <f ca="1">SUMIF(CT_tram!$B$33:$G$3559,kl!B300,CT_tram!$G$33:$G$3559)</f>
        <v>0</v>
      </c>
      <c r="I300" s="775">
        <f ca="1">SUMIF(CT_tram!$B$34:$G$115,$B300,CT_tram!$G$34:$G$115)</f>
        <v>0</v>
      </c>
      <c r="J300" s="775">
        <f ca="1">SUMIF(CT_tram!$B$122:$G$204,$B300,CT_tram!$G$122:$G$204)</f>
        <v>0</v>
      </c>
      <c r="K300" s="775">
        <f ca="1">SUMIF(CT_tram!$B$211:$G$293,$B300,CT_tram!$G$211:$G$293)</f>
        <v>0</v>
      </c>
      <c r="L300" s="775">
        <f ca="1">SUMIF(CT_tram!$B$300:$G$374,$B300,CT_tram!$G$300:$G$374)</f>
        <v>0</v>
      </c>
      <c r="M300" s="775">
        <f ca="1">SUMIF(CT_tram!$B$381:$G$471,$B300,CT_tram!$G$381:$G$471)</f>
        <v>0</v>
      </c>
      <c r="N300" s="775">
        <f ca="1">SUMIF(CT_tram!$B$478:$G$560,$B300,CT_tram!$G$478:$G$560)</f>
        <v>0</v>
      </c>
      <c r="O300" s="775">
        <f ca="1">SUMIF(CT_tram!$B$567:$G$653,$B300,CT_tram!$G$567:$G$653)</f>
        <v>0</v>
      </c>
      <c r="P300" s="775">
        <f ca="1">SUMIF(CT_tram!$B$661:$G$738,$B300,CT_tram!$G$661:$G$738)</f>
        <v>0</v>
      </c>
      <c r="Q300" s="775">
        <f ca="1">SUMIF(CT_tram!$B$745:$G$899,$B300,CT_tram!$G$745:$G$899)</f>
        <v>0</v>
      </c>
      <c r="R300" s="775">
        <f ca="1">SUMIF(CT_tram!$B$907:$G$995,$B300,CT_tram!$G$907:$G$995)</f>
        <v>0</v>
      </c>
      <c r="S300" s="775"/>
      <c r="T300" s="775">
        <f ca="1">SUMIF(CT_tram!$B$1004:$G$1097,B300,CT_tram!$G$1004:$G$1097)</f>
        <v>0</v>
      </c>
      <c r="U300" s="775"/>
      <c r="V300" s="775">
        <f ca="1">SUMIF(CT_tram!$B$1226:$G$1352,kl!B300,CT_tram!$G$1226:$G$1352)</f>
        <v>0</v>
      </c>
      <c r="W300" s="780">
        <f ca="1">SUMIF(CT_tram!$B$1105:$G$1219,kl!B300,CT_tram!$G$1105:$G$1219)</f>
        <v>0</v>
      </c>
      <c r="X300" s="775">
        <f ca="1">SUMIF(CT_tram!$B$1359:$G$1504,kl!B300,CT_tram!$G$1359:$G$1504)</f>
        <v>0</v>
      </c>
      <c r="Y300" s="775">
        <f ca="1">SUMIF(CT_tram!$B$1511:$G$1625,kl!B300,CT_tram!$G$1511:$G$1625)</f>
        <v>0</v>
      </c>
      <c r="Z300" s="775">
        <f ca="1">SUMIF(CT_tram!$B$1632:$G$2211,kl!B300,CT_tram!$G$1632:$G$2211)</f>
        <v>0</v>
      </c>
      <c r="AA300" s="775">
        <f ca="1">SUMIF(CT_tram!$B$2243:$G$2384,kl!B300,CT_tram!$G$2243:$G$2384)</f>
        <v>0</v>
      </c>
      <c r="AB300" s="775">
        <f ca="1">SUMIF(CT_tram!$B$2391:$G$2563,kl!B300,CT_tram!$G$2391:$G$2563)</f>
        <v>0</v>
      </c>
      <c r="AC300" s="775">
        <f ca="1">SUMIF(chitiet!$B$13:$N$2352,kl!$B300,chitiet!$I$13:$I$2352)</f>
        <v>0</v>
      </c>
      <c r="AD300" s="775">
        <f ca="1">SUMIF(chitiet!$B$13:$N$2352,kl!$B300,chitiet!$J$13:$J$2352)</f>
        <v>0</v>
      </c>
      <c r="AE300" s="775">
        <f ca="1">SUMIF(chitiet!$B$13:$N$2352,kl!$B300,chitiet!$K$13:$K$2352)</f>
        <v>0</v>
      </c>
      <c r="AF300" s="775">
        <f ca="1">SUMIF(chitiet!$B$13:$N$2352,kl!$B300,chitiet!$L$13:$L$2352)</f>
        <v>0</v>
      </c>
      <c r="AG300" s="775">
        <f ca="1">SUMIF(chitiet!$B$13:$N$2352,kl!$B300,chitiet!$M$13)</f>
        <v>0</v>
      </c>
      <c r="AH300" s="775">
        <f ca="1">SUMIF(chitiet!$B$13:$N$2352,kl!$B300,chitiet!$N$13:$N$2352)</f>
        <v>0</v>
      </c>
      <c r="AI300" s="775">
        <f ca="1">SUMIF(chitiet!$B$13:$N$2352,kl!$B300,chitiet!$O$13:$O$2352)</f>
        <v>0</v>
      </c>
      <c r="AJ300" s="775">
        <f ca="1">SUMIF('Cap ngam'!$B$631:$G$723,kl!$B300,'Cap ngam'!$G$631:$G$723)</f>
        <v>0</v>
      </c>
      <c r="AK300" s="775">
        <f ca="1">SUMIF('Cap ngam'!$B$403:$G$628,kl!$B300,'Cap ngam'!G$403:G$628)</f>
        <v>0</v>
      </c>
      <c r="AL300" s="775">
        <f ca="1">SUMIF('Cap ngam'!B$16:G$400,kl!$B300,'Cap ngam'!G$16:G$400)</f>
        <v>0</v>
      </c>
      <c r="AM300" s="776">
        <v>3</v>
      </c>
      <c r="AN300" s="775">
        <f t="shared" ca="1" si="181"/>
        <v>0</v>
      </c>
      <c r="AO300" s="775">
        <f t="shared" ca="1" si="182"/>
        <v>0</v>
      </c>
      <c r="AP300" s="775">
        <f t="shared" ca="1" si="183"/>
        <v>0</v>
      </c>
      <c r="AQ300" s="775">
        <f t="shared" ca="1" si="184"/>
        <v>0</v>
      </c>
      <c r="AR300" s="775">
        <f t="shared" ca="1" si="185"/>
        <v>0</v>
      </c>
      <c r="AS300" s="775">
        <f t="shared" ca="1" si="186"/>
        <v>0</v>
      </c>
      <c r="AT300" s="775">
        <f t="shared" ca="1" si="187"/>
        <v>0</v>
      </c>
      <c r="AU300" s="775">
        <f t="shared" ca="1" si="188"/>
        <v>0</v>
      </c>
      <c r="AV300" s="775">
        <f t="shared" ca="1" si="189"/>
        <v>0</v>
      </c>
      <c r="AW300" s="775">
        <f t="shared" ca="1" si="190"/>
        <v>0</v>
      </c>
      <c r="AX300" s="775">
        <f t="shared" si="191"/>
        <v>0</v>
      </c>
      <c r="AY300" s="775">
        <f t="shared" ca="1" si="192"/>
        <v>0</v>
      </c>
      <c r="AZ300" s="775">
        <f t="shared" si="193"/>
        <v>0</v>
      </c>
      <c r="BA300" s="775">
        <f t="shared" ca="1" si="172"/>
        <v>0</v>
      </c>
      <c r="BB300" s="775">
        <f t="shared" ca="1" si="173"/>
        <v>0</v>
      </c>
      <c r="BC300" s="775">
        <f t="shared" ca="1" si="174"/>
        <v>0</v>
      </c>
      <c r="BD300" s="775">
        <f t="shared" ca="1" si="175"/>
        <v>0</v>
      </c>
      <c r="BE300" s="775">
        <f t="shared" ca="1" si="176"/>
        <v>0</v>
      </c>
      <c r="BF300" s="775">
        <f t="shared" ca="1" si="177"/>
        <v>0</v>
      </c>
      <c r="BG300" s="775">
        <f t="shared" ca="1" si="178"/>
        <v>0</v>
      </c>
      <c r="BH300" s="775">
        <f t="shared" ca="1" si="194"/>
        <v>0</v>
      </c>
      <c r="BI300" s="775">
        <f t="shared" ca="1" si="195"/>
        <v>0</v>
      </c>
      <c r="BJ300" s="775">
        <f t="shared" ca="1" si="196"/>
        <v>0</v>
      </c>
      <c r="BK300" s="775">
        <f t="shared" ca="1" si="197"/>
        <v>0</v>
      </c>
      <c r="BL300" s="775">
        <f t="shared" ca="1" si="198"/>
        <v>0</v>
      </c>
      <c r="BM300" s="775">
        <f t="shared" ca="1" si="199"/>
        <v>0</v>
      </c>
      <c r="BN300" s="775">
        <f t="shared" ca="1" si="200"/>
        <v>0</v>
      </c>
      <c r="BO300" s="775">
        <f t="shared" ca="1" si="201"/>
        <v>0</v>
      </c>
      <c r="BP300" s="775">
        <f t="shared" ca="1" si="202"/>
        <v>0</v>
      </c>
      <c r="BQ300" s="775">
        <f t="shared" ca="1" si="170"/>
        <v>0</v>
      </c>
      <c r="BR300" s="775">
        <f t="shared" ca="1" si="203"/>
        <v>0</v>
      </c>
    </row>
    <row r="301" spans="1:70">
      <c r="A301" s="767" t="str">
        <f t="shared" ca="1" si="162"/>
        <v/>
      </c>
      <c r="B301" s="799" t="s">
        <v>592</v>
      </c>
      <c r="C301" s="188" t="str">
        <f ca="1">IF(F301=0,"",COUNTIF($F$78:$F301,"&gt;0"))</f>
        <v/>
      </c>
      <c r="D301" s="778" t="str">
        <f>VLOOKUP($B301,dongia1,DG!$C$5,)</f>
        <v>Rack 3 sứ + sứ ống chỉ</v>
      </c>
      <c r="E301" s="555" t="str">
        <f>VLOOKUP($B301,dongia1,DG!$D$5,)</f>
        <v>bộ</v>
      </c>
      <c r="F301" s="779">
        <f t="shared" ca="1" si="171"/>
        <v>0</v>
      </c>
      <c r="G301" s="775">
        <f t="shared" ca="1" si="169"/>
        <v>0</v>
      </c>
      <c r="H301" s="775">
        <f ca="1">SUMIF(CT_tram!$B$33:$G$3559,kl!B301,CT_tram!$G$33:$G$3559)</f>
        <v>0</v>
      </c>
      <c r="I301" s="775">
        <f ca="1">SUMIF(CT_tram!$B$34:$G$115,$B301,CT_tram!$G$34:$G$115)</f>
        <v>0</v>
      </c>
      <c r="J301" s="775">
        <f ca="1">SUMIF(CT_tram!$B$122:$G$204,$B301,CT_tram!$G$122:$G$204)</f>
        <v>0</v>
      </c>
      <c r="K301" s="775">
        <f ca="1">SUMIF(CT_tram!$B$211:$G$293,$B301,CT_tram!$G$211:$G$293)</f>
        <v>0</v>
      </c>
      <c r="L301" s="775">
        <f ca="1">SUMIF(CT_tram!$B$300:$G$374,$B301,CT_tram!$G$300:$G$374)</f>
        <v>0</v>
      </c>
      <c r="M301" s="775">
        <f ca="1">SUMIF(CT_tram!$B$381:$G$471,$B301,CT_tram!$G$381:$G$471)</f>
        <v>0</v>
      </c>
      <c r="N301" s="775">
        <f ca="1">SUMIF(CT_tram!$B$478:$G$560,$B301,CT_tram!$G$478:$G$560)</f>
        <v>0</v>
      </c>
      <c r="O301" s="775">
        <f ca="1">SUMIF(CT_tram!$B$567:$G$653,$B301,CT_tram!$G$567:$G$653)</f>
        <v>0</v>
      </c>
      <c r="P301" s="775">
        <f ca="1">SUMIF(CT_tram!$B$661:$G$738,$B301,CT_tram!$G$661:$G$738)</f>
        <v>0</v>
      </c>
      <c r="Q301" s="775">
        <f ca="1">SUMIF(CT_tram!$B$745:$G$899,$B301,CT_tram!$G$745:$G$899)</f>
        <v>0</v>
      </c>
      <c r="R301" s="775">
        <f ca="1">SUMIF(CT_tram!$B$907:$G$995,$B301,CT_tram!$G$907:$G$995)</f>
        <v>0</v>
      </c>
      <c r="S301" s="775"/>
      <c r="T301" s="775">
        <f ca="1">SUMIF(CT_tram!$B$1004:$G$1097,B301,CT_tram!$G$1004:$G$1097)</f>
        <v>0</v>
      </c>
      <c r="U301" s="775"/>
      <c r="V301" s="775">
        <f ca="1">SUMIF(CT_tram!$B$1226:$G$1352,kl!B301,CT_tram!$G$1226:$G$1352)</f>
        <v>0</v>
      </c>
      <c r="W301" s="780">
        <f ca="1">SUMIF(CT_tram!$B$1105:$G$1219,kl!B301,CT_tram!$G$1105:$G$1219)</f>
        <v>0</v>
      </c>
      <c r="X301" s="775">
        <f ca="1">SUMIF(CT_tram!$B$1359:$G$1504,kl!B301,CT_tram!$G$1359:$G$1504)</f>
        <v>0</v>
      </c>
      <c r="Y301" s="775">
        <f ca="1">SUMIF(CT_tram!$B$1511:$G$1625,kl!B301,CT_tram!$G$1511:$G$1625)</f>
        <v>0</v>
      </c>
      <c r="Z301" s="775">
        <f ca="1">SUMIF(CT_tram!$B$1632:$G$2211,kl!B301,CT_tram!$G$1632:$G$2211)</f>
        <v>0</v>
      </c>
      <c r="AA301" s="775">
        <f ca="1">SUMIF(CT_tram!$B$2243:$G$2384,kl!B301,CT_tram!$G$2243:$G$2384)</f>
        <v>0</v>
      </c>
      <c r="AB301" s="775">
        <f ca="1">SUMIF(CT_tram!$B$2391:$G$2563,kl!B301,CT_tram!$G$2391:$G$2563)</f>
        <v>0</v>
      </c>
      <c r="AC301" s="775">
        <f ca="1">SUMIF(chitiet!$B$13:$N$2352,kl!$B301,chitiet!$I$13:$I$2352)</f>
        <v>0</v>
      </c>
      <c r="AD301" s="775">
        <f ca="1">SUMIF(chitiet!$B$13:$N$2352,kl!$B301,chitiet!$J$13:$J$2352)</f>
        <v>0</v>
      </c>
      <c r="AE301" s="775">
        <f ca="1">SUMIF(chitiet!$B$13:$N$2352,kl!$B301,chitiet!$K$13:$K$2352)</f>
        <v>0</v>
      </c>
      <c r="AF301" s="775">
        <f ca="1">SUMIF(chitiet!$B$13:$N$2352,kl!$B301,chitiet!$L$13:$L$2352)</f>
        <v>0</v>
      </c>
      <c r="AG301" s="775">
        <f ca="1">SUMIF(chitiet!$B$13:$N$2352,kl!$B301,chitiet!$M$13)</f>
        <v>0</v>
      </c>
      <c r="AH301" s="775">
        <f ca="1">SUMIF(chitiet!$B$13:$N$2352,kl!$B301,chitiet!$N$13:$N$2352)</f>
        <v>0</v>
      </c>
      <c r="AI301" s="775">
        <f ca="1">SUMIF(chitiet!$B$13:$N$2352,kl!$B301,chitiet!$O$13:$O$2352)</f>
        <v>0</v>
      </c>
      <c r="AJ301" s="775">
        <f ca="1">SUMIF('Cap ngam'!$B$631:$G$723,kl!$B301,'Cap ngam'!$G$631:$G$723)</f>
        <v>0</v>
      </c>
      <c r="AK301" s="775">
        <f ca="1">SUMIF('Cap ngam'!$B$403:$G$628,kl!$B301,'Cap ngam'!G$403:G$628)</f>
        <v>0</v>
      </c>
      <c r="AL301" s="775">
        <f ca="1">SUMIF('Cap ngam'!B$16:G$400,kl!$B301,'Cap ngam'!G$16:G$400)</f>
        <v>0</v>
      </c>
      <c r="AM301" s="776">
        <v>3.5</v>
      </c>
      <c r="AN301" s="775">
        <f t="shared" ca="1" si="181"/>
        <v>0</v>
      </c>
      <c r="AO301" s="775">
        <f t="shared" ca="1" si="182"/>
        <v>0</v>
      </c>
      <c r="AP301" s="775">
        <f t="shared" ca="1" si="183"/>
        <v>0</v>
      </c>
      <c r="AQ301" s="775">
        <f t="shared" ca="1" si="184"/>
        <v>0</v>
      </c>
      <c r="AR301" s="775">
        <f t="shared" ca="1" si="185"/>
        <v>0</v>
      </c>
      <c r="AS301" s="775">
        <f t="shared" ca="1" si="186"/>
        <v>0</v>
      </c>
      <c r="AT301" s="775">
        <f t="shared" ca="1" si="187"/>
        <v>0</v>
      </c>
      <c r="AU301" s="775">
        <f t="shared" ca="1" si="188"/>
        <v>0</v>
      </c>
      <c r="AV301" s="775">
        <f t="shared" ca="1" si="189"/>
        <v>0</v>
      </c>
      <c r="AW301" s="775">
        <f t="shared" ca="1" si="190"/>
        <v>0</v>
      </c>
      <c r="AX301" s="775">
        <f t="shared" si="191"/>
        <v>0</v>
      </c>
      <c r="AY301" s="775">
        <f t="shared" ca="1" si="192"/>
        <v>0</v>
      </c>
      <c r="AZ301" s="775">
        <f t="shared" si="193"/>
        <v>0</v>
      </c>
      <c r="BA301" s="775">
        <f t="shared" ca="1" si="172"/>
        <v>0</v>
      </c>
      <c r="BB301" s="775">
        <f t="shared" ca="1" si="173"/>
        <v>0</v>
      </c>
      <c r="BC301" s="775">
        <f t="shared" ca="1" si="174"/>
        <v>0</v>
      </c>
      <c r="BD301" s="775">
        <f t="shared" ca="1" si="175"/>
        <v>0</v>
      </c>
      <c r="BE301" s="775">
        <f t="shared" ca="1" si="176"/>
        <v>0</v>
      </c>
      <c r="BF301" s="775">
        <f t="shared" ca="1" si="177"/>
        <v>0</v>
      </c>
      <c r="BG301" s="775">
        <f t="shared" ca="1" si="178"/>
        <v>0</v>
      </c>
      <c r="BH301" s="775">
        <f t="shared" ca="1" si="194"/>
        <v>0</v>
      </c>
      <c r="BI301" s="775">
        <f t="shared" ca="1" si="195"/>
        <v>0</v>
      </c>
      <c r="BJ301" s="775">
        <f t="shared" ca="1" si="196"/>
        <v>0</v>
      </c>
      <c r="BK301" s="775">
        <f t="shared" ca="1" si="197"/>
        <v>0</v>
      </c>
      <c r="BL301" s="775">
        <f t="shared" ca="1" si="198"/>
        <v>0</v>
      </c>
      <c r="BM301" s="775">
        <f t="shared" ca="1" si="199"/>
        <v>0</v>
      </c>
      <c r="BN301" s="775">
        <f t="shared" ca="1" si="200"/>
        <v>0</v>
      </c>
      <c r="BO301" s="775">
        <f t="shared" ca="1" si="201"/>
        <v>0</v>
      </c>
      <c r="BP301" s="775">
        <f t="shared" ca="1" si="202"/>
        <v>0</v>
      </c>
      <c r="BQ301" s="775">
        <f t="shared" ca="1" si="170"/>
        <v>0</v>
      </c>
      <c r="BR301" s="775">
        <f t="shared" ca="1" si="203"/>
        <v>0</v>
      </c>
    </row>
    <row r="302" spans="1:70">
      <c r="A302" s="767" t="str">
        <f t="shared" ca="1" si="162"/>
        <v/>
      </c>
      <c r="B302" s="799" t="s">
        <v>649</v>
      </c>
      <c r="C302" s="188" t="str">
        <f ca="1">IF(F302=0,"",COUNTIF($F$78:$F302,"&gt;0"))</f>
        <v/>
      </c>
      <c r="D302" s="778" t="str">
        <f>VLOOKUP($B302,dongia1,DG!$C$5,)</f>
        <v>Rack 4 sứ + sứ ống chỉ</v>
      </c>
      <c r="E302" s="555" t="str">
        <f>VLOOKUP($B302,dongia1,DG!$D$5,)</f>
        <v>bộ</v>
      </c>
      <c r="F302" s="779">
        <f t="shared" ca="1" si="171"/>
        <v>0</v>
      </c>
      <c r="G302" s="775">
        <f t="shared" ca="1" si="169"/>
        <v>0</v>
      </c>
      <c r="H302" s="775">
        <f ca="1">SUMIF(CT_tram!$B$33:$G$3559,kl!B302,CT_tram!$G$33:$G$3559)</f>
        <v>0</v>
      </c>
      <c r="I302" s="775">
        <f ca="1">SUMIF(CT_tram!$B$34:$G$115,$B302,CT_tram!$G$34:$G$115)</f>
        <v>0</v>
      </c>
      <c r="J302" s="775">
        <f ca="1">SUMIF(CT_tram!$B$122:$G$204,$B302,CT_tram!$G$122:$G$204)</f>
        <v>0</v>
      </c>
      <c r="K302" s="775">
        <f ca="1">SUMIF(CT_tram!$B$211:$G$293,$B302,CT_tram!$G$211:$G$293)</f>
        <v>0</v>
      </c>
      <c r="L302" s="775">
        <f ca="1">SUMIF(CT_tram!$B$300:$G$374,$B302,CT_tram!$G$300:$G$374)</f>
        <v>0</v>
      </c>
      <c r="M302" s="775">
        <f ca="1">SUMIF(CT_tram!$B$381:$G$471,$B302,CT_tram!$G$381:$G$471)</f>
        <v>0</v>
      </c>
      <c r="N302" s="775">
        <f ca="1">SUMIF(CT_tram!$B$478:$G$560,$B302,CT_tram!$G$478:$G$560)</f>
        <v>0</v>
      </c>
      <c r="O302" s="775">
        <f ca="1">SUMIF(CT_tram!$B$567:$G$653,$B302,CT_tram!$G$567:$G$653)</f>
        <v>0</v>
      </c>
      <c r="P302" s="775">
        <f ca="1">SUMIF(CT_tram!$B$661:$G$738,$B302,CT_tram!$G$661:$G$738)</f>
        <v>0</v>
      </c>
      <c r="Q302" s="775">
        <f ca="1">SUMIF(CT_tram!$B$745:$G$899,$B302,CT_tram!$G$745:$G$899)</f>
        <v>0</v>
      </c>
      <c r="R302" s="775">
        <f ca="1">SUMIF(CT_tram!$B$907:$G$995,$B302,CT_tram!$G$907:$G$995)</f>
        <v>0</v>
      </c>
      <c r="S302" s="775"/>
      <c r="T302" s="775">
        <f ca="1">SUMIF(CT_tram!$B$1004:$G$1097,B302,CT_tram!$G$1004:$G$1097)</f>
        <v>0</v>
      </c>
      <c r="U302" s="775"/>
      <c r="V302" s="775">
        <f ca="1">SUMIF(CT_tram!$B$1226:$G$1352,kl!B302,CT_tram!$G$1226:$G$1352)</f>
        <v>0</v>
      </c>
      <c r="W302" s="780">
        <f ca="1">SUMIF(CT_tram!$B$1105:$G$1219,kl!B302,CT_tram!$G$1105:$G$1219)</f>
        <v>0</v>
      </c>
      <c r="X302" s="775">
        <f ca="1">SUMIF(CT_tram!$B$1359:$G$1504,kl!B302,CT_tram!$G$1359:$G$1504)</f>
        <v>0</v>
      </c>
      <c r="Y302" s="775">
        <f ca="1">SUMIF(CT_tram!$B$1511:$G$1625,kl!B302,CT_tram!$G$1511:$G$1625)</f>
        <v>0</v>
      </c>
      <c r="Z302" s="775">
        <f ca="1">SUMIF(CT_tram!$B$1632:$G$2211,kl!B302,CT_tram!$G$1632:$G$2211)</f>
        <v>0</v>
      </c>
      <c r="AA302" s="775">
        <f ca="1">SUMIF(CT_tram!$B$2243:$G$2384,kl!B302,CT_tram!$G$2243:$G$2384)</f>
        <v>0</v>
      </c>
      <c r="AB302" s="775">
        <f ca="1">SUMIF(CT_tram!$B$2391:$G$2563,kl!B302,CT_tram!$G$2391:$G$2563)</f>
        <v>0</v>
      </c>
      <c r="AC302" s="775">
        <f ca="1">SUMIF(chitiet!$B$13:$N$2352,kl!$B302,chitiet!$I$13:$I$2352)</f>
        <v>0</v>
      </c>
      <c r="AD302" s="775">
        <f ca="1">SUMIF(chitiet!$B$13:$N$2352,kl!$B302,chitiet!$J$13:$J$2352)</f>
        <v>0</v>
      </c>
      <c r="AE302" s="775">
        <f ca="1">SUMIF(chitiet!$B$13:$N$2352,kl!$B302,chitiet!$K$13:$K$2352)</f>
        <v>0</v>
      </c>
      <c r="AF302" s="775">
        <f ca="1">SUMIF(chitiet!$B$13:$N$2352,kl!$B302,chitiet!$L$13:$L$2352)</f>
        <v>0</v>
      </c>
      <c r="AG302" s="775">
        <f ca="1">SUMIF(chitiet!$B$13:$N$2352,kl!$B302,chitiet!$M$13)</f>
        <v>0</v>
      </c>
      <c r="AH302" s="775">
        <f ca="1">SUMIF(chitiet!$B$13:$N$2352,kl!$B302,chitiet!$N$13:$N$2352)</f>
        <v>0</v>
      </c>
      <c r="AI302" s="775">
        <f ca="1">SUMIF(chitiet!$B$13:$N$2352,kl!$B302,chitiet!$O$13:$O$2352)</f>
        <v>0</v>
      </c>
      <c r="AJ302" s="775">
        <f ca="1">SUMIF('Cap ngam'!$B$631:$G$723,kl!$B302,'Cap ngam'!$G$631:$G$723)</f>
        <v>0</v>
      </c>
      <c r="AK302" s="775">
        <f ca="1">SUMIF('Cap ngam'!$B$403:$G$628,kl!$B302,'Cap ngam'!G$403:G$628)</f>
        <v>0</v>
      </c>
      <c r="AL302" s="775">
        <f ca="1">SUMIF('Cap ngam'!B$16:G$400,kl!$B302,'Cap ngam'!G$16:G$400)</f>
        <v>0</v>
      </c>
      <c r="AM302" s="776">
        <v>3.5</v>
      </c>
      <c r="AN302" s="775">
        <f t="shared" ca="1" si="181"/>
        <v>0</v>
      </c>
      <c r="AO302" s="775">
        <f t="shared" ca="1" si="182"/>
        <v>0</v>
      </c>
      <c r="AP302" s="775">
        <f t="shared" ca="1" si="183"/>
        <v>0</v>
      </c>
      <c r="AQ302" s="775">
        <f t="shared" ca="1" si="184"/>
        <v>0</v>
      </c>
      <c r="AR302" s="775">
        <f t="shared" ca="1" si="185"/>
        <v>0</v>
      </c>
      <c r="AS302" s="775">
        <f t="shared" ca="1" si="186"/>
        <v>0</v>
      </c>
      <c r="AT302" s="775">
        <f t="shared" ca="1" si="187"/>
        <v>0</v>
      </c>
      <c r="AU302" s="775">
        <f t="shared" ca="1" si="188"/>
        <v>0</v>
      </c>
      <c r="AV302" s="775">
        <f t="shared" ca="1" si="189"/>
        <v>0</v>
      </c>
      <c r="AW302" s="775">
        <f t="shared" ca="1" si="190"/>
        <v>0</v>
      </c>
      <c r="AX302" s="775">
        <f t="shared" si="191"/>
        <v>0</v>
      </c>
      <c r="AY302" s="775">
        <f t="shared" ca="1" si="192"/>
        <v>0</v>
      </c>
      <c r="AZ302" s="775">
        <f t="shared" si="193"/>
        <v>0</v>
      </c>
      <c r="BA302" s="775">
        <f t="shared" ca="1" si="172"/>
        <v>0</v>
      </c>
      <c r="BB302" s="775">
        <f t="shared" ca="1" si="173"/>
        <v>0</v>
      </c>
      <c r="BC302" s="775">
        <f t="shared" ca="1" si="174"/>
        <v>0</v>
      </c>
      <c r="BD302" s="775">
        <f t="shared" ca="1" si="175"/>
        <v>0</v>
      </c>
      <c r="BE302" s="775">
        <f t="shared" ca="1" si="176"/>
        <v>0</v>
      </c>
      <c r="BF302" s="775">
        <f t="shared" ca="1" si="177"/>
        <v>0</v>
      </c>
      <c r="BG302" s="775">
        <f t="shared" ca="1" si="178"/>
        <v>0</v>
      </c>
      <c r="BH302" s="775">
        <f t="shared" ca="1" si="194"/>
        <v>0</v>
      </c>
      <c r="BI302" s="775">
        <f t="shared" ca="1" si="195"/>
        <v>0</v>
      </c>
      <c r="BJ302" s="775">
        <f t="shared" ca="1" si="196"/>
        <v>0</v>
      </c>
      <c r="BK302" s="775">
        <f t="shared" ca="1" si="197"/>
        <v>0</v>
      </c>
      <c r="BL302" s="775">
        <f t="shared" ca="1" si="198"/>
        <v>0</v>
      </c>
      <c r="BM302" s="775">
        <f t="shared" ca="1" si="199"/>
        <v>0</v>
      </c>
      <c r="BN302" s="775">
        <f t="shared" ca="1" si="200"/>
        <v>0</v>
      </c>
      <c r="BO302" s="775">
        <f t="shared" ca="1" si="201"/>
        <v>0</v>
      </c>
      <c r="BP302" s="775">
        <f t="shared" ca="1" si="202"/>
        <v>0</v>
      </c>
      <c r="BQ302" s="775">
        <f t="shared" ca="1" si="170"/>
        <v>0</v>
      </c>
      <c r="BR302" s="775">
        <f t="shared" ca="1" si="203"/>
        <v>0</v>
      </c>
    </row>
    <row r="303" spans="1:70">
      <c r="A303" s="767" t="str">
        <f t="shared" ref="A303:A309" ca="1" si="205">IF(F303&lt;&gt;0,"X","")</f>
        <v>X</v>
      </c>
      <c r="B303" s="696" t="s">
        <v>2115</v>
      </c>
      <c r="C303" s="188">
        <f ca="1">IF(F303=0,"",COUNTIF($F$78:$F303,"&gt;0"))</f>
        <v>29</v>
      </c>
      <c r="D303" s="778" t="str">
        <f>VLOOKUP($B303,dongia1,DG!$C$5,)</f>
        <v>Đà Composite 110x80x5x2400</v>
      </c>
      <c r="E303" s="555" t="str">
        <f>VLOOKUP($B303,dongia1,DG!$D$5,)</f>
        <v>cây</v>
      </c>
      <c r="F303" s="779">
        <f t="shared" ca="1" si="171"/>
        <v>1</v>
      </c>
      <c r="G303" s="775">
        <f t="shared" ca="1" si="169"/>
        <v>0</v>
      </c>
      <c r="H303" s="775">
        <f ca="1">SUMIF(CT_tram!$B$33:$G$3559,kl!B303,CT_tram!$G$33:$G$3559)</f>
        <v>1</v>
      </c>
      <c r="I303" s="775">
        <f ca="1">SUMIF(CT_tram!$B$34:$G$115,$B303,CT_tram!$G$34:$G$115)</f>
        <v>0</v>
      </c>
      <c r="J303" s="775">
        <f ca="1">SUMIF(CT_tram!$B$122:$G$204,$B303,CT_tram!$G$122:$G$204)</f>
        <v>0</v>
      </c>
      <c r="K303" s="775">
        <f ca="1">SUMIF(CT_tram!$B$211:$G$293,$B303,CT_tram!$G$211:$G$293)</f>
        <v>0</v>
      </c>
      <c r="L303" s="775">
        <f ca="1">SUMIF(CT_tram!$B$300:$G$374,$B303,CT_tram!$G$300:$G$374)</f>
        <v>0</v>
      </c>
      <c r="M303" s="775">
        <f ca="1">SUMIF(CT_tram!$B$381:$G$471,$B303,CT_tram!$G$381:$G$471)</f>
        <v>0</v>
      </c>
      <c r="N303" s="775">
        <f ca="1">SUMIF(CT_tram!$B$478:$G$560,$B303,CT_tram!$G$478:$G$560)</f>
        <v>0</v>
      </c>
      <c r="O303" s="775">
        <f ca="1">SUMIF(CT_tram!$B$567:$G$653,$B303,CT_tram!$G$567:$G$653)</f>
        <v>0</v>
      </c>
      <c r="P303" s="775">
        <f ca="1">SUMIF(CT_tram!$B$661:$G$738,$B303,CT_tram!$G$661:$G$738)</f>
        <v>0</v>
      </c>
      <c r="Q303" s="775">
        <f ca="1">SUMIF(CT_tram!$B$745:$G$899,$B303,CT_tram!$G$745:$G$899)</f>
        <v>0</v>
      </c>
      <c r="R303" s="775">
        <f ca="1">SUMIF(CT_tram!$B$907:$G$995,$B303,CT_tram!$G$907:$G$995)</f>
        <v>0</v>
      </c>
      <c r="S303" s="775"/>
      <c r="T303" s="775">
        <f ca="1">SUMIF(CT_tram!$B$1004:$G$1097,B303,CT_tram!$G$1004:$G$1097)</f>
        <v>0</v>
      </c>
      <c r="U303" s="775"/>
      <c r="V303" s="775">
        <f ca="1">SUMIF(CT_tram!$B$1226:$G$1352,kl!B303,CT_tram!$G$1226:$G$1352)</f>
        <v>0</v>
      </c>
      <c r="W303" s="780">
        <f ca="1">SUMIF(CT_tram!$B$1105:$G$1219,kl!B303,CT_tram!$G$1105:$G$1219)</f>
        <v>0</v>
      </c>
      <c r="X303" s="775">
        <f ca="1">SUMIF(CT_tram!$B$1359:$G$1504,kl!B303,CT_tram!$G$1359:$G$1504)</f>
        <v>0</v>
      </c>
      <c r="Y303" s="775">
        <f ca="1">SUMIF(CT_tram!$B$1511:$G$1625,kl!B303,CT_tram!$G$1511:$G$1625)</f>
        <v>0</v>
      </c>
      <c r="Z303" s="775">
        <f ca="1">SUMIF(CT_tram!$B$1632:$G$2211,kl!B303,CT_tram!$G$1632:$G$2211)</f>
        <v>0</v>
      </c>
      <c r="AA303" s="775">
        <f ca="1">SUMIF(CT_tram!$B$2243:$G$2384,kl!B303,CT_tram!$G$2243:$G$2384)</f>
        <v>0</v>
      </c>
      <c r="AB303" s="775">
        <f ca="1">SUMIF(CT_tram!$B$2391:$G$2563,kl!B303,CT_tram!$G$2391:$G$2563)</f>
        <v>0</v>
      </c>
      <c r="AC303" s="775">
        <f ca="1">SUMIF(chitiet!$B$13:$N$2352,kl!$B303,chitiet!$I$13:$I$2352)</f>
        <v>0</v>
      </c>
      <c r="AD303" s="775">
        <f ca="1">SUMIF(chitiet!$B$13:$N$2352,kl!$B303,chitiet!$J$13:$J$2352)</f>
        <v>0</v>
      </c>
      <c r="AE303" s="775">
        <f ca="1">SUMIF(chitiet!$B$13:$N$2352,kl!$B303,chitiet!$K$13:$K$2352)</f>
        <v>0</v>
      </c>
      <c r="AF303" s="775">
        <f ca="1">SUMIF(chitiet!$B$13:$N$2352,kl!$B303,chitiet!$L$13:$L$2352)</f>
        <v>0</v>
      </c>
      <c r="AG303" s="775">
        <f ca="1">SUMIF(chitiet!$B$13:$N$2352,kl!$B303,chitiet!$M$13)</f>
        <v>0</v>
      </c>
      <c r="AH303" s="775">
        <f ca="1">SUMIF(chitiet!$B$13:$N$2352,kl!$B303,chitiet!$N$13:$N$2352)</f>
        <v>0</v>
      </c>
      <c r="AI303" s="775">
        <f ca="1">SUMIF(chitiet!$B$13:$N$2352,kl!$B303,chitiet!$O$13:$O$2352)</f>
        <v>0</v>
      </c>
      <c r="AJ303" s="775">
        <f ca="1">SUMIF('Cap ngam'!$B$631:$G$723,kl!$B303,'Cap ngam'!$G$631:$G$723)</f>
        <v>0</v>
      </c>
      <c r="AK303" s="775">
        <f ca="1">SUMIF('Cap ngam'!$B$403:$G$628,kl!$B303,'Cap ngam'!G$403:G$628)</f>
        <v>0</v>
      </c>
      <c r="AL303" s="775">
        <f ca="1">SUMIF('Cap ngam'!B$16:G$400,kl!$B303,'Cap ngam'!G$16:G$400)</f>
        <v>0</v>
      </c>
      <c r="AM303" s="776">
        <v>3.5</v>
      </c>
      <c r="AN303" s="775">
        <f t="shared" ref="AN303:AW309" ca="1" si="206">I303*$AM303</f>
        <v>0</v>
      </c>
      <c r="AO303" s="775">
        <f t="shared" ca="1" si="206"/>
        <v>0</v>
      </c>
      <c r="AP303" s="775">
        <f t="shared" ca="1" si="206"/>
        <v>0</v>
      </c>
      <c r="AQ303" s="775">
        <f t="shared" ca="1" si="206"/>
        <v>0</v>
      </c>
      <c r="AR303" s="775">
        <f t="shared" ca="1" si="206"/>
        <v>0</v>
      </c>
      <c r="AS303" s="775">
        <f t="shared" ca="1" si="206"/>
        <v>0</v>
      </c>
      <c r="AT303" s="775">
        <f t="shared" ca="1" si="206"/>
        <v>0</v>
      </c>
      <c r="AU303" s="775">
        <f t="shared" ca="1" si="206"/>
        <v>0</v>
      </c>
      <c r="AV303" s="775">
        <f t="shared" ca="1" si="206"/>
        <v>0</v>
      </c>
      <c r="AW303" s="775">
        <f t="shared" ca="1" si="206"/>
        <v>0</v>
      </c>
      <c r="AX303" s="775">
        <f t="shared" si="191"/>
        <v>0</v>
      </c>
      <c r="AY303" s="775">
        <f t="shared" ca="1" si="192"/>
        <v>0</v>
      </c>
      <c r="AZ303" s="775">
        <f t="shared" si="193"/>
        <v>0</v>
      </c>
      <c r="BA303" s="775">
        <f t="shared" ca="1" si="172"/>
        <v>0</v>
      </c>
      <c r="BB303" s="775">
        <f t="shared" ca="1" si="173"/>
        <v>0</v>
      </c>
      <c r="BC303" s="775">
        <f t="shared" ca="1" si="174"/>
        <v>0</v>
      </c>
      <c r="BD303" s="775">
        <f t="shared" ca="1" si="175"/>
        <v>0</v>
      </c>
      <c r="BE303" s="775">
        <f t="shared" ca="1" si="176"/>
        <v>0</v>
      </c>
      <c r="BF303" s="775">
        <f t="shared" ca="1" si="177"/>
        <v>0</v>
      </c>
      <c r="BG303" s="775">
        <f t="shared" ca="1" si="178"/>
        <v>0</v>
      </c>
      <c r="BH303" s="775">
        <f t="shared" ca="1" si="194"/>
        <v>0</v>
      </c>
      <c r="BI303" s="775">
        <f t="shared" ca="1" si="195"/>
        <v>0</v>
      </c>
      <c r="BJ303" s="775">
        <f t="shared" ca="1" si="196"/>
        <v>0</v>
      </c>
      <c r="BK303" s="775">
        <f t="shared" ca="1" si="197"/>
        <v>0</v>
      </c>
      <c r="BL303" s="775">
        <f t="shared" ca="1" si="198"/>
        <v>0</v>
      </c>
      <c r="BM303" s="775">
        <f t="shared" ca="1" si="199"/>
        <v>0</v>
      </c>
      <c r="BN303" s="775">
        <f t="shared" ca="1" si="200"/>
        <v>0</v>
      </c>
      <c r="BO303" s="775">
        <f t="shared" ca="1" si="201"/>
        <v>0</v>
      </c>
      <c r="BP303" s="775">
        <f t="shared" ca="1" si="202"/>
        <v>0</v>
      </c>
      <c r="BQ303" s="775">
        <f t="shared" ca="1" si="170"/>
        <v>0</v>
      </c>
      <c r="BR303" s="775">
        <f t="shared" ca="1" si="203"/>
        <v>3.5</v>
      </c>
    </row>
    <row r="304" spans="1:70">
      <c r="A304" s="767" t="str">
        <f t="shared" ca="1" si="205"/>
        <v>X</v>
      </c>
      <c r="B304" s="696" t="s">
        <v>2106</v>
      </c>
      <c r="C304" s="188">
        <f ca="1">IF(F304=0,"",COUNTIF($F$78:$F304,"&gt;0"))</f>
        <v>30</v>
      </c>
      <c r="D304" s="778" t="str">
        <f>VLOOKUP($B304,dongia1,DG!$C$5,)</f>
        <v>Chống Composite 40x10x920</v>
      </c>
      <c r="E304" s="555" t="str">
        <f>VLOOKUP($B304,dongia1,DG!$D$5,)</f>
        <v>Thanh</v>
      </c>
      <c r="F304" s="779">
        <f t="shared" ca="1" si="171"/>
        <v>2</v>
      </c>
      <c r="G304" s="775">
        <f t="shared" ca="1" si="169"/>
        <v>0</v>
      </c>
      <c r="H304" s="775">
        <f ca="1">SUMIF(CT_tram!$B$33:$G$3559,kl!B304,CT_tram!$G$33:$G$3559)</f>
        <v>2</v>
      </c>
      <c r="I304" s="775">
        <f ca="1">SUMIF(CT_tram!$B$34:$G$115,$B304,CT_tram!$G$34:$G$115)</f>
        <v>0</v>
      </c>
      <c r="J304" s="775">
        <f ca="1">SUMIF(CT_tram!$B$122:$G$204,$B304,CT_tram!$G$122:$G$204)</f>
        <v>0</v>
      </c>
      <c r="K304" s="775">
        <f ca="1">SUMIF(CT_tram!$B$211:$G$293,$B304,CT_tram!$G$211:$G$293)</f>
        <v>0</v>
      </c>
      <c r="L304" s="775">
        <f ca="1">SUMIF(CT_tram!$B$300:$G$374,$B304,CT_tram!$G$300:$G$374)</f>
        <v>0</v>
      </c>
      <c r="M304" s="775">
        <f ca="1">SUMIF(CT_tram!$B$381:$G$471,$B304,CT_tram!$G$381:$G$471)</f>
        <v>0</v>
      </c>
      <c r="N304" s="775">
        <f ca="1">SUMIF(CT_tram!$B$478:$G$560,$B304,CT_tram!$G$478:$G$560)</f>
        <v>0</v>
      </c>
      <c r="O304" s="775">
        <f ca="1">SUMIF(CT_tram!$B$567:$G$653,$B304,CT_tram!$G$567:$G$653)</f>
        <v>0</v>
      </c>
      <c r="P304" s="775">
        <f ca="1">SUMIF(CT_tram!$B$661:$G$738,$B304,CT_tram!$G$661:$G$738)</f>
        <v>0</v>
      </c>
      <c r="Q304" s="775">
        <f ca="1">SUMIF(CT_tram!$B$745:$G$899,$B304,CT_tram!$G$745:$G$899)</f>
        <v>0</v>
      </c>
      <c r="R304" s="775">
        <f ca="1">SUMIF(CT_tram!$B$907:$G$995,$B304,CT_tram!$G$907:$G$995)</f>
        <v>0</v>
      </c>
      <c r="S304" s="775"/>
      <c r="T304" s="775">
        <f ca="1">SUMIF(CT_tram!$B$1004:$G$1097,B304,CT_tram!$G$1004:$G$1097)</f>
        <v>0</v>
      </c>
      <c r="U304" s="775"/>
      <c r="V304" s="775">
        <f ca="1">SUMIF(CT_tram!$B$1226:$G$1352,kl!B304,CT_tram!$G$1226:$G$1352)</f>
        <v>0</v>
      </c>
      <c r="W304" s="780">
        <f ca="1">SUMIF(CT_tram!$B$1105:$G$1219,kl!B304,CT_tram!$G$1105:$G$1219)</f>
        <v>0</v>
      </c>
      <c r="X304" s="775">
        <f ca="1">SUMIF(CT_tram!$B$1359:$G$1504,kl!B304,CT_tram!$G$1359:$G$1504)</f>
        <v>0</v>
      </c>
      <c r="Y304" s="775">
        <f ca="1">SUMIF(CT_tram!$B$1511:$G$1625,kl!B304,CT_tram!$G$1511:$G$1625)</f>
        <v>0</v>
      </c>
      <c r="Z304" s="775">
        <f ca="1">SUMIF(CT_tram!$B$1632:$G$2211,kl!B304,CT_tram!$G$1632:$G$2211)</f>
        <v>0</v>
      </c>
      <c r="AA304" s="775">
        <f ca="1">SUMIF(CT_tram!$B$2243:$G$2384,kl!B304,CT_tram!$G$2243:$G$2384)</f>
        <v>0</v>
      </c>
      <c r="AB304" s="775">
        <f ca="1">SUMIF(CT_tram!$B$2391:$G$2563,kl!B304,CT_tram!$G$2391:$G$2563)</f>
        <v>0</v>
      </c>
      <c r="AC304" s="775">
        <f ca="1">SUMIF(chitiet!$B$13:$N$2352,kl!$B304,chitiet!$I$13:$I$2352)</f>
        <v>0</v>
      </c>
      <c r="AD304" s="775">
        <f ca="1">SUMIF(chitiet!$B$13:$N$2352,kl!$B304,chitiet!$J$13:$J$2352)</f>
        <v>0</v>
      </c>
      <c r="AE304" s="775">
        <f ca="1">SUMIF(chitiet!$B$13:$N$2352,kl!$B304,chitiet!$K$13:$K$2352)</f>
        <v>0</v>
      </c>
      <c r="AF304" s="775">
        <f ca="1">SUMIF(chitiet!$B$13:$N$2352,kl!$B304,chitiet!$L$13:$L$2352)</f>
        <v>0</v>
      </c>
      <c r="AG304" s="775">
        <f ca="1">SUMIF(chitiet!$B$13:$N$2352,kl!$B304,chitiet!$M$13)</f>
        <v>0</v>
      </c>
      <c r="AH304" s="775">
        <f ca="1">SUMIF(chitiet!$B$13:$N$2352,kl!$B304,chitiet!$N$13:$N$2352)</f>
        <v>0</v>
      </c>
      <c r="AI304" s="775">
        <f ca="1">SUMIF(chitiet!$B$13:$N$2352,kl!$B304,chitiet!$O$13:$O$2352)</f>
        <v>0</v>
      </c>
      <c r="AJ304" s="775">
        <f ca="1">SUMIF('Cap ngam'!$B$631:$G$723,kl!$B304,'Cap ngam'!$G$631:$G$723)</f>
        <v>0</v>
      </c>
      <c r="AK304" s="775">
        <f ca="1">SUMIF('Cap ngam'!$B$403:$G$628,kl!$B304,'Cap ngam'!G$403:G$628)</f>
        <v>0</v>
      </c>
      <c r="AL304" s="775">
        <f ca="1">SUMIF('Cap ngam'!B$16:G$400,kl!$B304,'Cap ngam'!G$16:G$400)</f>
        <v>0</v>
      </c>
      <c r="AM304" s="776">
        <v>3.5</v>
      </c>
      <c r="AN304" s="775">
        <f t="shared" ca="1" si="206"/>
        <v>0</v>
      </c>
      <c r="AO304" s="775">
        <f t="shared" ca="1" si="206"/>
        <v>0</v>
      </c>
      <c r="AP304" s="775">
        <f t="shared" ca="1" si="206"/>
        <v>0</v>
      </c>
      <c r="AQ304" s="775">
        <f t="shared" ca="1" si="206"/>
        <v>0</v>
      </c>
      <c r="AR304" s="775">
        <f t="shared" ca="1" si="206"/>
        <v>0</v>
      </c>
      <c r="AS304" s="775">
        <f t="shared" ca="1" si="206"/>
        <v>0</v>
      </c>
      <c r="AT304" s="775">
        <f t="shared" ca="1" si="206"/>
        <v>0</v>
      </c>
      <c r="AU304" s="775">
        <f t="shared" ca="1" si="206"/>
        <v>0</v>
      </c>
      <c r="AV304" s="775">
        <f t="shared" ca="1" si="206"/>
        <v>0</v>
      </c>
      <c r="AW304" s="775">
        <f t="shared" ca="1" si="206"/>
        <v>0</v>
      </c>
      <c r="AX304" s="775">
        <f t="shared" si="191"/>
        <v>0</v>
      </c>
      <c r="AY304" s="775">
        <f t="shared" ca="1" si="192"/>
        <v>0</v>
      </c>
      <c r="AZ304" s="775">
        <f t="shared" si="193"/>
        <v>0</v>
      </c>
      <c r="BA304" s="775">
        <f t="shared" ca="1" si="172"/>
        <v>0</v>
      </c>
      <c r="BB304" s="775">
        <f t="shared" ca="1" si="173"/>
        <v>0</v>
      </c>
      <c r="BC304" s="775">
        <f t="shared" ca="1" si="174"/>
        <v>0</v>
      </c>
      <c r="BD304" s="775">
        <f t="shared" ca="1" si="175"/>
        <v>0</v>
      </c>
      <c r="BE304" s="775">
        <f t="shared" ca="1" si="176"/>
        <v>0</v>
      </c>
      <c r="BF304" s="775">
        <f t="shared" ca="1" si="177"/>
        <v>0</v>
      </c>
      <c r="BG304" s="775">
        <f t="shared" ca="1" si="178"/>
        <v>0</v>
      </c>
      <c r="BH304" s="775">
        <f t="shared" ca="1" si="194"/>
        <v>0</v>
      </c>
      <c r="BI304" s="775">
        <f t="shared" ca="1" si="195"/>
        <v>0</v>
      </c>
      <c r="BJ304" s="775">
        <f t="shared" ca="1" si="196"/>
        <v>0</v>
      </c>
      <c r="BK304" s="775">
        <f t="shared" ca="1" si="197"/>
        <v>0</v>
      </c>
      <c r="BL304" s="775">
        <f t="shared" ca="1" si="198"/>
        <v>0</v>
      </c>
      <c r="BM304" s="775">
        <f t="shared" ca="1" si="199"/>
        <v>0</v>
      </c>
      <c r="BN304" s="775">
        <f t="shared" ca="1" si="200"/>
        <v>0</v>
      </c>
      <c r="BO304" s="775">
        <f t="shared" ca="1" si="201"/>
        <v>0</v>
      </c>
      <c r="BP304" s="775">
        <f t="shared" ca="1" si="202"/>
        <v>0</v>
      </c>
      <c r="BQ304" s="775">
        <f t="shared" ca="1" si="170"/>
        <v>0</v>
      </c>
      <c r="BR304" s="775">
        <f t="shared" ca="1" si="203"/>
        <v>7</v>
      </c>
    </row>
    <row r="305" spans="1:70">
      <c r="A305" s="767" t="str">
        <f t="shared" ca="1" si="205"/>
        <v/>
      </c>
      <c r="B305" s="696" t="s">
        <v>2116</v>
      </c>
      <c r="C305" s="188" t="str">
        <f ca="1">IF(F305=0,"",COUNTIF($F$78:$F305,"&gt;0"))</f>
        <v/>
      </c>
      <c r="D305" s="778" t="str">
        <f>VLOOKUP($B305,dongia1,DG!$C$5,)</f>
        <v>Đà Composite 110x80x5x800</v>
      </c>
      <c r="E305" s="555" t="str">
        <f>VLOOKUP($B305,dongia1,DG!$D$5,)</f>
        <v>cây</v>
      </c>
      <c r="F305" s="779">
        <f t="shared" ca="1" si="171"/>
        <v>0</v>
      </c>
      <c r="G305" s="775">
        <f t="shared" ca="1" si="169"/>
        <v>0</v>
      </c>
      <c r="H305" s="775">
        <f ca="1">SUMIF(CT_tram!$B$33:$G$3559,kl!B305,CT_tram!$G$33:$G$3559)</f>
        <v>0</v>
      </c>
      <c r="I305" s="775">
        <f ca="1">SUMIF(CT_tram!$B$34:$G$115,$B305,CT_tram!$G$34:$G$115)</f>
        <v>0</v>
      </c>
      <c r="J305" s="775">
        <f ca="1">SUMIF(CT_tram!$B$122:$G$204,$B305,CT_tram!$G$122:$G$204)</f>
        <v>0</v>
      </c>
      <c r="K305" s="775">
        <f ca="1">SUMIF(CT_tram!$B$211:$G$293,$B305,CT_tram!$G$211:$G$293)</f>
        <v>0</v>
      </c>
      <c r="L305" s="775">
        <f ca="1">SUMIF(CT_tram!$B$300:$G$374,$B305,CT_tram!$G$300:$G$374)</f>
        <v>0</v>
      </c>
      <c r="M305" s="775">
        <f ca="1">SUMIF(CT_tram!$B$381:$G$471,$B305,CT_tram!$G$381:$G$471)</f>
        <v>0</v>
      </c>
      <c r="N305" s="775">
        <f ca="1">SUMIF(CT_tram!$B$478:$G$560,$B305,CT_tram!$G$478:$G$560)</f>
        <v>0</v>
      </c>
      <c r="O305" s="775">
        <f ca="1">SUMIF(CT_tram!$B$567:$G$653,$B305,CT_tram!$G$567:$G$653)</f>
        <v>0</v>
      </c>
      <c r="P305" s="775">
        <f ca="1">SUMIF(CT_tram!$B$661:$G$738,$B305,CT_tram!$G$661:$G$738)</f>
        <v>0</v>
      </c>
      <c r="Q305" s="775">
        <f ca="1">SUMIF(CT_tram!$B$745:$G$899,$B305,CT_tram!$G$745:$G$899)</f>
        <v>0</v>
      </c>
      <c r="R305" s="775">
        <f ca="1">SUMIF(CT_tram!$B$907:$G$995,$B305,CT_tram!$G$907:$G$995)</f>
        <v>0</v>
      </c>
      <c r="S305" s="775"/>
      <c r="T305" s="775">
        <f ca="1">SUMIF(CT_tram!$B$1004:$G$1097,B305,CT_tram!$G$1004:$G$1097)</f>
        <v>0</v>
      </c>
      <c r="U305" s="775"/>
      <c r="V305" s="775">
        <f ca="1">SUMIF(CT_tram!$B$1226:$G$1352,kl!B305,CT_tram!$G$1226:$G$1352)</f>
        <v>0</v>
      </c>
      <c r="W305" s="780">
        <f ca="1">SUMIF(CT_tram!$B$1105:$G$1219,kl!B305,CT_tram!$G$1105:$G$1219)</f>
        <v>0</v>
      </c>
      <c r="X305" s="775">
        <f ca="1">SUMIF(CT_tram!$B$1359:$G$1504,kl!B305,CT_tram!$G$1359:$G$1504)</f>
        <v>0</v>
      </c>
      <c r="Y305" s="775">
        <f ca="1">SUMIF(CT_tram!$B$1511:$G$1625,kl!B305,CT_tram!$G$1511:$G$1625)</f>
        <v>0</v>
      </c>
      <c r="Z305" s="775">
        <f ca="1">SUMIF(CT_tram!$B$1632:$G$2211,kl!B305,CT_tram!$G$1632:$G$2211)</f>
        <v>0</v>
      </c>
      <c r="AA305" s="775">
        <f ca="1">SUMIF(CT_tram!$B$2243:$G$2384,kl!B305,CT_tram!$G$2243:$G$2384)</f>
        <v>0</v>
      </c>
      <c r="AB305" s="775">
        <f ca="1">SUMIF(CT_tram!$B$2391:$G$2563,kl!B305,CT_tram!$G$2391:$G$2563)</f>
        <v>0</v>
      </c>
      <c r="AC305" s="775">
        <f ca="1">SUMIF(chitiet!$B$13:$N$2352,kl!$B305,chitiet!$I$13:$I$2352)</f>
        <v>0</v>
      </c>
      <c r="AD305" s="775">
        <f ca="1">SUMIF(chitiet!$B$13:$N$2352,kl!$B305,chitiet!$J$13:$J$2352)</f>
        <v>0</v>
      </c>
      <c r="AE305" s="775">
        <f ca="1">SUMIF(chitiet!$B$13:$N$2352,kl!$B305,chitiet!$K$13:$K$2352)</f>
        <v>0</v>
      </c>
      <c r="AF305" s="775">
        <f ca="1">SUMIF(chitiet!$B$13:$N$2352,kl!$B305,chitiet!$L$13:$L$2352)</f>
        <v>0</v>
      </c>
      <c r="AG305" s="775">
        <f ca="1">SUMIF(chitiet!$B$13:$N$2352,kl!$B305,chitiet!$M$13)</f>
        <v>0</v>
      </c>
      <c r="AH305" s="775">
        <f ca="1">SUMIF(chitiet!$B$13:$N$2352,kl!$B305,chitiet!$N$13:$N$2352)</f>
        <v>0</v>
      </c>
      <c r="AI305" s="775">
        <f ca="1">SUMIF(chitiet!$B$13:$N$2352,kl!$B305,chitiet!$O$13:$O$2352)</f>
        <v>0</v>
      </c>
      <c r="AJ305" s="775">
        <f ca="1">SUMIF('Cap ngam'!$B$631:$G$723,kl!$B305,'Cap ngam'!$G$631:$G$723)</f>
        <v>0</v>
      </c>
      <c r="AK305" s="775">
        <f ca="1">SUMIF('Cap ngam'!$B$403:$G$628,kl!$B305,'Cap ngam'!G$403:G$628)</f>
        <v>0</v>
      </c>
      <c r="AL305" s="775">
        <f ca="1">SUMIF('Cap ngam'!B$16:G$400,kl!$B305,'Cap ngam'!G$16:G$400)</f>
        <v>0</v>
      </c>
      <c r="AM305" s="776">
        <v>3.5</v>
      </c>
      <c r="AN305" s="775">
        <f t="shared" ca="1" si="206"/>
        <v>0</v>
      </c>
      <c r="AO305" s="775">
        <f t="shared" ca="1" si="206"/>
        <v>0</v>
      </c>
      <c r="AP305" s="775">
        <f t="shared" ca="1" si="206"/>
        <v>0</v>
      </c>
      <c r="AQ305" s="775">
        <f t="shared" ca="1" si="206"/>
        <v>0</v>
      </c>
      <c r="AR305" s="775">
        <f t="shared" ca="1" si="206"/>
        <v>0</v>
      </c>
      <c r="AS305" s="775">
        <f t="shared" ca="1" si="206"/>
        <v>0</v>
      </c>
      <c r="AT305" s="775">
        <f t="shared" ca="1" si="206"/>
        <v>0</v>
      </c>
      <c r="AU305" s="775">
        <f t="shared" ca="1" si="206"/>
        <v>0</v>
      </c>
      <c r="AV305" s="775">
        <f t="shared" ca="1" si="206"/>
        <v>0</v>
      </c>
      <c r="AW305" s="775">
        <f t="shared" ca="1" si="206"/>
        <v>0</v>
      </c>
      <c r="AX305" s="775">
        <f t="shared" si="191"/>
        <v>0</v>
      </c>
      <c r="AY305" s="775">
        <f t="shared" ca="1" si="192"/>
        <v>0</v>
      </c>
      <c r="AZ305" s="775">
        <f t="shared" si="193"/>
        <v>0</v>
      </c>
      <c r="BA305" s="775">
        <f t="shared" ca="1" si="172"/>
        <v>0</v>
      </c>
      <c r="BB305" s="775">
        <f t="shared" ca="1" si="173"/>
        <v>0</v>
      </c>
      <c r="BC305" s="775">
        <f t="shared" ca="1" si="174"/>
        <v>0</v>
      </c>
      <c r="BD305" s="775">
        <f t="shared" ca="1" si="175"/>
        <v>0</v>
      </c>
      <c r="BE305" s="775">
        <f t="shared" ca="1" si="176"/>
        <v>0</v>
      </c>
      <c r="BF305" s="775">
        <f t="shared" ca="1" si="177"/>
        <v>0</v>
      </c>
      <c r="BG305" s="775">
        <f t="shared" ca="1" si="178"/>
        <v>0</v>
      </c>
      <c r="BH305" s="775">
        <f t="shared" ca="1" si="194"/>
        <v>0</v>
      </c>
      <c r="BI305" s="775">
        <f t="shared" ca="1" si="195"/>
        <v>0</v>
      </c>
      <c r="BJ305" s="775">
        <f t="shared" ca="1" si="196"/>
        <v>0</v>
      </c>
      <c r="BK305" s="775">
        <f t="shared" ca="1" si="197"/>
        <v>0</v>
      </c>
      <c r="BL305" s="775">
        <f t="shared" ca="1" si="198"/>
        <v>0</v>
      </c>
      <c r="BM305" s="775">
        <f t="shared" ca="1" si="199"/>
        <v>0</v>
      </c>
      <c r="BN305" s="775">
        <f t="shared" ca="1" si="200"/>
        <v>0</v>
      </c>
      <c r="BO305" s="775">
        <f t="shared" ca="1" si="201"/>
        <v>0</v>
      </c>
      <c r="BP305" s="775">
        <f t="shared" ca="1" si="202"/>
        <v>0</v>
      </c>
      <c r="BQ305" s="775">
        <f t="shared" ca="1" si="170"/>
        <v>0</v>
      </c>
      <c r="BR305" s="775">
        <f t="shared" ca="1" si="203"/>
        <v>0</v>
      </c>
    </row>
    <row r="306" spans="1:70">
      <c r="A306" s="767" t="str">
        <f t="shared" ca="1" si="205"/>
        <v/>
      </c>
      <c r="B306" s="696" t="s">
        <v>2109</v>
      </c>
      <c r="C306" s="188" t="str">
        <f ca="1">IF(F306=0,"",COUNTIF($F$78:$F306,"&gt;0"))</f>
        <v/>
      </c>
      <c r="D306" s="778" t="str">
        <f>VLOOKUP($B306,dongia1,DG!$C$5,)</f>
        <v>Chống Composite 40x10x710</v>
      </c>
      <c r="E306" s="555" t="str">
        <f>VLOOKUP($B306,dongia1,DG!$D$5,)</f>
        <v>Thanh</v>
      </c>
      <c r="F306" s="779">
        <f t="shared" ca="1" si="171"/>
        <v>0</v>
      </c>
      <c r="G306" s="775">
        <f t="shared" ca="1" si="169"/>
        <v>0</v>
      </c>
      <c r="H306" s="775">
        <f ca="1">SUMIF(CT_tram!$B$33:$G$3559,kl!B306,CT_tram!$G$33:$G$3559)</f>
        <v>0</v>
      </c>
      <c r="I306" s="775">
        <f ca="1">SUMIF(CT_tram!$B$34:$G$115,$B306,CT_tram!$G$34:$G$115)</f>
        <v>0</v>
      </c>
      <c r="J306" s="775">
        <f ca="1">SUMIF(CT_tram!$B$122:$G$204,$B306,CT_tram!$G$122:$G$204)</f>
        <v>0</v>
      </c>
      <c r="K306" s="775">
        <f ca="1">SUMIF(CT_tram!$B$211:$G$293,$B306,CT_tram!$G$211:$G$293)</f>
        <v>0</v>
      </c>
      <c r="L306" s="775">
        <f ca="1">SUMIF(CT_tram!$B$300:$G$374,$B306,CT_tram!$G$300:$G$374)</f>
        <v>0</v>
      </c>
      <c r="M306" s="775">
        <f ca="1">SUMIF(CT_tram!$B$381:$G$471,$B306,CT_tram!$G$381:$G$471)</f>
        <v>0</v>
      </c>
      <c r="N306" s="775">
        <f ca="1">SUMIF(CT_tram!$B$478:$G$560,$B306,CT_tram!$G$478:$G$560)</f>
        <v>0</v>
      </c>
      <c r="O306" s="775">
        <f ca="1">SUMIF(CT_tram!$B$567:$G$653,$B306,CT_tram!$G$567:$G$653)</f>
        <v>0</v>
      </c>
      <c r="P306" s="775">
        <f ca="1">SUMIF(CT_tram!$B$661:$G$738,$B306,CT_tram!$G$661:$G$738)</f>
        <v>0</v>
      </c>
      <c r="Q306" s="775">
        <f ca="1">SUMIF(CT_tram!$B$745:$G$899,$B306,CT_tram!$G$745:$G$899)</f>
        <v>0</v>
      </c>
      <c r="R306" s="775">
        <f ca="1">SUMIF(CT_tram!$B$907:$G$995,$B306,CT_tram!$G$907:$G$995)</f>
        <v>0</v>
      </c>
      <c r="S306" s="775"/>
      <c r="T306" s="775">
        <f ca="1">SUMIF(CT_tram!$B$1004:$G$1097,B306,CT_tram!$G$1004:$G$1097)</f>
        <v>0</v>
      </c>
      <c r="U306" s="775"/>
      <c r="V306" s="775">
        <f ca="1">SUMIF(CT_tram!$B$1226:$G$1352,kl!B306,CT_tram!$G$1226:$G$1352)</f>
        <v>0</v>
      </c>
      <c r="W306" s="780">
        <f ca="1">SUMIF(CT_tram!$B$1105:$G$1219,kl!B306,CT_tram!$G$1105:$G$1219)</f>
        <v>0</v>
      </c>
      <c r="X306" s="775">
        <f ca="1">SUMIF(CT_tram!$B$1359:$G$1504,kl!B306,CT_tram!$G$1359:$G$1504)</f>
        <v>0</v>
      </c>
      <c r="Y306" s="775">
        <f ca="1">SUMIF(CT_tram!$B$1511:$G$1625,kl!B306,CT_tram!$G$1511:$G$1625)</f>
        <v>0</v>
      </c>
      <c r="Z306" s="775">
        <f ca="1">SUMIF(CT_tram!$B$1632:$G$2211,kl!B306,CT_tram!$G$1632:$G$2211)</f>
        <v>0</v>
      </c>
      <c r="AA306" s="775">
        <f ca="1">SUMIF(CT_tram!$B$2243:$G$2384,kl!B306,CT_tram!$G$2243:$G$2384)</f>
        <v>0</v>
      </c>
      <c r="AB306" s="775">
        <f ca="1">SUMIF(CT_tram!$B$2391:$G$2563,kl!B306,CT_tram!$G$2391:$G$2563)</f>
        <v>0</v>
      </c>
      <c r="AC306" s="775">
        <f ca="1">SUMIF(chitiet!$B$13:$N$2352,kl!$B306,chitiet!$I$13:$I$2352)</f>
        <v>0</v>
      </c>
      <c r="AD306" s="775">
        <f ca="1">SUMIF(chitiet!$B$13:$N$2352,kl!$B306,chitiet!$J$13:$J$2352)</f>
        <v>0</v>
      </c>
      <c r="AE306" s="775">
        <f ca="1">SUMIF(chitiet!$B$13:$N$2352,kl!$B306,chitiet!$K$13:$K$2352)</f>
        <v>0</v>
      </c>
      <c r="AF306" s="775">
        <f ca="1">SUMIF(chitiet!$B$13:$N$2352,kl!$B306,chitiet!$L$13:$L$2352)</f>
        <v>0</v>
      </c>
      <c r="AG306" s="775">
        <f ca="1">SUMIF(chitiet!$B$13:$N$2352,kl!$B306,chitiet!$M$13)</f>
        <v>0</v>
      </c>
      <c r="AH306" s="775">
        <f ca="1">SUMIF(chitiet!$B$13:$N$2352,kl!$B306,chitiet!$N$13:$N$2352)</f>
        <v>0</v>
      </c>
      <c r="AI306" s="775">
        <f ca="1">SUMIF(chitiet!$B$13:$N$2352,kl!$B306,chitiet!$O$13:$O$2352)</f>
        <v>0</v>
      </c>
      <c r="AJ306" s="775">
        <f ca="1">SUMIF('Cap ngam'!$B$631:$G$723,kl!$B306,'Cap ngam'!$G$631:$G$723)</f>
        <v>0</v>
      </c>
      <c r="AK306" s="775">
        <f ca="1">SUMIF('Cap ngam'!$B$403:$G$628,kl!$B306,'Cap ngam'!G$403:G$628)</f>
        <v>0</v>
      </c>
      <c r="AL306" s="775">
        <f ca="1">SUMIF('Cap ngam'!B$16:G$400,kl!$B306,'Cap ngam'!G$16:G$400)</f>
        <v>0</v>
      </c>
      <c r="AM306" s="776">
        <v>3.5</v>
      </c>
      <c r="AN306" s="775">
        <f t="shared" ca="1" si="206"/>
        <v>0</v>
      </c>
      <c r="AO306" s="775">
        <f t="shared" ca="1" si="206"/>
        <v>0</v>
      </c>
      <c r="AP306" s="775">
        <f t="shared" ca="1" si="206"/>
        <v>0</v>
      </c>
      <c r="AQ306" s="775">
        <f t="shared" ca="1" si="206"/>
        <v>0</v>
      </c>
      <c r="AR306" s="775">
        <f t="shared" ca="1" si="206"/>
        <v>0</v>
      </c>
      <c r="AS306" s="775">
        <f t="shared" ca="1" si="206"/>
        <v>0</v>
      </c>
      <c r="AT306" s="775">
        <f t="shared" ca="1" si="206"/>
        <v>0</v>
      </c>
      <c r="AU306" s="775">
        <f t="shared" ca="1" si="206"/>
        <v>0</v>
      </c>
      <c r="AV306" s="775">
        <f t="shared" ca="1" si="206"/>
        <v>0</v>
      </c>
      <c r="AW306" s="775">
        <f t="shared" ca="1" si="206"/>
        <v>0</v>
      </c>
      <c r="AX306" s="775">
        <f t="shared" si="191"/>
        <v>0</v>
      </c>
      <c r="AY306" s="775">
        <f t="shared" ca="1" si="192"/>
        <v>0</v>
      </c>
      <c r="AZ306" s="775">
        <f t="shared" si="193"/>
        <v>0</v>
      </c>
      <c r="BA306" s="775">
        <f t="shared" ca="1" si="172"/>
        <v>0</v>
      </c>
      <c r="BB306" s="775">
        <f t="shared" ca="1" si="173"/>
        <v>0</v>
      </c>
      <c r="BC306" s="775">
        <f t="shared" ca="1" si="174"/>
        <v>0</v>
      </c>
      <c r="BD306" s="775">
        <f t="shared" ca="1" si="175"/>
        <v>0</v>
      </c>
      <c r="BE306" s="775">
        <f t="shared" ca="1" si="176"/>
        <v>0</v>
      </c>
      <c r="BF306" s="775">
        <f t="shared" ca="1" si="177"/>
        <v>0</v>
      </c>
      <c r="BG306" s="775">
        <f t="shared" ca="1" si="178"/>
        <v>0</v>
      </c>
      <c r="BH306" s="775">
        <f t="shared" ca="1" si="194"/>
        <v>0</v>
      </c>
      <c r="BI306" s="775">
        <f t="shared" ca="1" si="195"/>
        <v>0</v>
      </c>
      <c r="BJ306" s="775">
        <f t="shared" ca="1" si="196"/>
        <v>0</v>
      </c>
      <c r="BK306" s="775">
        <f t="shared" ca="1" si="197"/>
        <v>0</v>
      </c>
      <c r="BL306" s="775">
        <f t="shared" ca="1" si="198"/>
        <v>0</v>
      </c>
      <c r="BM306" s="775">
        <f t="shared" ca="1" si="199"/>
        <v>0</v>
      </c>
      <c r="BN306" s="775">
        <f t="shared" ca="1" si="200"/>
        <v>0</v>
      </c>
      <c r="BO306" s="775">
        <f t="shared" ca="1" si="201"/>
        <v>0</v>
      </c>
      <c r="BP306" s="775">
        <f t="shared" ca="1" si="202"/>
        <v>0</v>
      </c>
      <c r="BQ306" s="775">
        <f t="shared" ca="1" si="170"/>
        <v>0</v>
      </c>
      <c r="BR306" s="775">
        <f t="shared" ca="1" si="203"/>
        <v>0</v>
      </c>
    </row>
    <row r="307" spans="1:70">
      <c r="A307" s="767" t="str">
        <f t="shared" ca="1" si="205"/>
        <v>X</v>
      </c>
      <c r="B307" s="799" t="s">
        <v>2</v>
      </c>
      <c r="C307" s="188">
        <f ca="1">IF(F307=0,"",COUNTIF($F$78:$F307,"&gt;0"))</f>
        <v>31</v>
      </c>
      <c r="D307" s="778" t="str">
        <f>VLOOKUP($B307,dongia1,DG!$C$5,)</f>
        <v>Sắt góc L50 x50 x5</v>
      </c>
      <c r="E307" s="555" t="str">
        <f>VLOOKUP($B307,dongia1,DG!$D$5,)</f>
        <v>kg</v>
      </c>
      <c r="F307" s="975">
        <f ca="1">G307+H307</f>
        <v>59.265100000000004</v>
      </c>
      <c r="G307" s="976">
        <f ca="1">SUM(AC307:AL307)</f>
        <v>28.735499999999998</v>
      </c>
      <c r="H307" s="976">
        <f ca="1">SUMIF(CT_tram!$B$33:$G$3559,kl!B307,CT_tram!$G$33:$G$3559)</f>
        <v>30.529600000000002</v>
      </c>
      <c r="I307" s="775">
        <f ca="1">SUMIF(CT_tram!$B$34:$G$115,$B307,CT_tram!$G$34:$G$115)</f>
        <v>0</v>
      </c>
      <c r="J307" s="775">
        <f ca="1">SUMIF(CT_tram!$B$122:$G$204,$B307,CT_tram!$G$122:$G$204)</f>
        <v>0</v>
      </c>
      <c r="K307" s="775">
        <f ca="1">SUMIF(CT_tram!$B$211:$G$293,$B307,CT_tram!$G$211:$G$293)</f>
        <v>0</v>
      </c>
      <c r="L307" s="775">
        <f ca="1">SUMIF(CT_tram!$B$300:$G$374,$B307,CT_tram!$G$300:$G$374)</f>
        <v>0</v>
      </c>
      <c r="M307" s="775">
        <f ca="1">SUMIF(CT_tram!$B$381:$G$471,$B307,CT_tram!$G$381:$G$471)</f>
        <v>0</v>
      </c>
      <c r="N307" s="775">
        <f ca="1">SUMIF(CT_tram!$B$478:$G$560,$B307,CT_tram!$G$478:$G$560)</f>
        <v>0</v>
      </c>
      <c r="O307" s="775">
        <f ca="1">SUMIF(CT_tram!$B$567:$G$653,$B307,CT_tram!$G$567:$G$653)</f>
        <v>0</v>
      </c>
      <c r="P307" s="775">
        <f ca="1">SUMIF(CT_tram!$B$661:$G$738,$B307,CT_tram!$G$661:$G$738)</f>
        <v>0</v>
      </c>
      <c r="Q307" s="775">
        <f ca="1">SUMIF(CT_tram!$B$745:$G$899,$B307,CT_tram!$G$745:$G$899)</f>
        <v>0</v>
      </c>
      <c r="R307" s="775">
        <f ca="1">SUMIF(CT_tram!$B$907:$G$995,$B307,CT_tram!$G$907:$G$995)</f>
        <v>0</v>
      </c>
      <c r="S307" s="775"/>
      <c r="T307" s="775">
        <f ca="1">SUMIF(CT_tram!$B$1004:$G$1097,B307,CT_tram!$G$1004:$G$1097)</f>
        <v>0</v>
      </c>
      <c r="U307" s="775"/>
      <c r="V307" s="775">
        <f ca="1">SUMIF(CT_tram!$B$1226:$G$1352,kl!B307,CT_tram!$G$1226:$G$1352)</f>
        <v>0</v>
      </c>
      <c r="W307" s="780">
        <f ca="1">SUMIF(CT_tram!$B$1105:$G$1219,kl!B307,CT_tram!$G$1105:$G$1219)</f>
        <v>0</v>
      </c>
      <c r="X307" s="775">
        <f ca="1">SUMIF(CT_tram!$B$1359:$G$1504,kl!B307,CT_tram!$G$1359:$G$1504)</f>
        <v>0</v>
      </c>
      <c r="Y307" s="775">
        <f ca="1">SUMIF(CT_tram!$B$1511:$G$1625,kl!B307,CT_tram!$G$1511:$G$1625)</f>
        <v>0</v>
      </c>
      <c r="Z307" s="775">
        <f ca="1">SUMIF(CT_tram!$B$1632:$G$2211,kl!B307,CT_tram!$G$1632:$G$2211)</f>
        <v>0</v>
      </c>
      <c r="AA307" s="775">
        <f ca="1">SUMIF(CT_tram!$B$2243:$G$2384,kl!B307,CT_tram!$G$2243:$G$2384)</f>
        <v>0</v>
      </c>
      <c r="AB307" s="775">
        <f ca="1">SUMIF(CT_tram!$B$2391:$G$2563,kl!B307,CT_tram!$G$2391:$G$2563)</f>
        <v>0</v>
      </c>
      <c r="AC307" s="775">
        <f ca="1">SUMIF(chitiet!$B$13:$N$2352,kl!$B307,chitiet!$I$13:$I$2352)</f>
        <v>0</v>
      </c>
      <c r="AD307" s="775">
        <f ca="1">SUMIF(chitiet!$B$13:$N$2352,kl!$B307,chitiet!$J$13:$J$2352)</f>
        <v>0</v>
      </c>
      <c r="AE307" s="775">
        <f ca="1">SUMIF(chitiet!$B$13:$N$2352,kl!$B307,chitiet!$K$13:$K$2352)</f>
        <v>28.735499999999998</v>
      </c>
      <c r="AF307" s="775">
        <f ca="1">SUMIF(chitiet!$B$13:$N$2352,kl!$B307,chitiet!$L$13:$L$2352)</f>
        <v>0</v>
      </c>
      <c r="AG307" s="775">
        <f ca="1">SUMIF(chitiet!$B$13:$N$2352,kl!$B307,chitiet!$M$13)</f>
        <v>0</v>
      </c>
      <c r="AH307" s="775">
        <f ca="1">SUMIF(chitiet!$B$13:$N$2352,kl!$B307,chitiet!$N$13:$N$2352)</f>
        <v>0</v>
      </c>
      <c r="AI307" s="775">
        <f ca="1">SUMIF(chitiet!$B$13:$N$2352,kl!$B307,chitiet!$O$13:$O$2352)</f>
        <v>0</v>
      </c>
      <c r="AJ307" s="775">
        <f ca="1">SUMIF('Cap ngam'!$B$631:$G$723,kl!$B307,'Cap ngam'!$G$631:$G$723)</f>
        <v>0</v>
      </c>
      <c r="AK307" s="775">
        <f ca="1">SUMIF('Cap ngam'!$B$403:$G$628,kl!$B307,'Cap ngam'!G$403:G$628)</f>
        <v>0</v>
      </c>
      <c r="AL307" s="775">
        <f ca="1">SUMIF('Cap ngam'!B$16:G$400,kl!$B307,'Cap ngam'!G$16:G$400)</f>
        <v>0</v>
      </c>
      <c r="AM307" s="776">
        <v>1</v>
      </c>
      <c r="AN307" s="775">
        <f t="shared" ca="1" si="206"/>
        <v>0</v>
      </c>
      <c r="AO307" s="775">
        <f t="shared" ca="1" si="206"/>
        <v>0</v>
      </c>
      <c r="AP307" s="775">
        <f t="shared" ca="1" si="206"/>
        <v>0</v>
      </c>
      <c r="AQ307" s="775">
        <f t="shared" ca="1" si="206"/>
        <v>0</v>
      </c>
      <c r="AR307" s="775">
        <f t="shared" ca="1" si="206"/>
        <v>0</v>
      </c>
      <c r="AS307" s="775">
        <f t="shared" ca="1" si="206"/>
        <v>0</v>
      </c>
      <c r="AT307" s="775">
        <f t="shared" ca="1" si="206"/>
        <v>0</v>
      </c>
      <c r="AU307" s="775">
        <f t="shared" ca="1" si="206"/>
        <v>0</v>
      </c>
      <c r="AV307" s="775">
        <f t="shared" ca="1" si="206"/>
        <v>0</v>
      </c>
      <c r="AW307" s="775">
        <f t="shared" ca="1" si="206"/>
        <v>0</v>
      </c>
      <c r="AX307" s="775">
        <f t="shared" ref="AX307:BG309" si="207">S307*$AM307</f>
        <v>0</v>
      </c>
      <c r="AY307" s="775">
        <f t="shared" ca="1" si="207"/>
        <v>0</v>
      </c>
      <c r="AZ307" s="775">
        <f t="shared" si="207"/>
        <v>0</v>
      </c>
      <c r="BA307" s="775">
        <f t="shared" ca="1" si="207"/>
        <v>0</v>
      </c>
      <c r="BB307" s="775">
        <f t="shared" ca="1" si="207"/>
        <v>0</v>
      </c>
      <c r="BC307" s="775">
        <f t="shared" ca="1" si="207"/>
        <v>0</v>
      </c>
      <c r="BD307" s="775">
        <f t="shared" ca="1" si="207"/>
        <v>0</v>
      </c>
      <c r="BE307" s="775">
        <f t="shared" ca="1" si="207"/>
        <v>0</v>
      </c>
      <c r="BF307" s="775">
        <f t="shared" ca="1" si="207"/>
        <v>0</v>
      </c>
      <c r="BG307" s="775">
        <f t="shared" ca="1" si="207"/>
        <v>0</v>
      </c>
      <c r="BH307" s="775">
        <f t="shared" ca="1" si="194"/>
        <v>0</v>
      </c>
      <c r="BI307" s="775">
        <f t="shared" ca="1" si="195"/>
        <v>0</v>
      </c>
      <c r="BJ307" s="775">
        <f t="shared" ca="1" si="196"/>
        <v>28.735499999999998</v>
      </c>
      <c r="BK307" s="775">
        <f t="shared" ca="1" si="197"/>
        <v>0</v>
      </c>
      <c r="BL307" s="775">
        <f t="shared" ca="1" si="198"/>
        <v>0</v>
      </c>
      <c r="BM307" s="775">
        <f t="shared" ca="1" si="199"/>
        <v>0</v>
      </c>
      <c r="BN307" s="775">
        <f t="shared" ca="1" si="200"/>
        <v>0</v>
      </c>
      <c r="BO307" s="775">
        <f t="shared" ca="1" si="201"/>
        <v>0</v>
      </c>
      <c r="BP307" s="775">
        <f t="shared" ca="1" si="202"/>
        <v>0</v>
      </c>
      <c r="BQ307" s="775">
        <f t="shared" ca="1" si="170"/>
        <v>0</v>
      </c>
      <c r="BR307" s="775">
        <f t="shared" ca="1" si="203"/>
        <v>30.529600000000002</v>
      </c>
    </row>
    <row r="308" spans="1:70">
      <c r="A308" s="767" t="str">
        <f t="shared" ca="1" si="205"/>
        <v/>
      </c>
      <c r="B308" s="799" t="s">
        <v>4930</v>
      </c>
      <c r="C308" s="188" t="str">
        <f ca="1">IF(F308=0,"",COUNTIF($F$78:$F308,"&gt;0"))</f>
        <v/>
      </c>
      <c r="D308" s="778" t="str">
        <f>VLOOKUP($B308,dongia1,DG!$C$5,)</f>
        <v>Sắt góc L50 x50 x5x810</v>
      </c>
      <c r="E308" s="555" t="str">
        <f>VLOOKUP($B308,dongia1,DG!$D$5,)</f>
        <v xml:space="preserve">thanh </v>
      </c>
      <c r="F308" s="975">
        <f ca="1">G308+H308</f>
        <v>0</v>
      </c>
      <c r="G308" s="976">
        <f ca="1">SUM(AC308:AL308)</f>
        <v>0</v>
      </c>
      <c r="H308" s="976">
        <f ca="1">SUMIF(CT_tram!$B$33:$G$3559,kl!B308,CT_tram!$G$33:$G$3559)</f>
        <v>0</v>
      </c>
      <c r="I308" s="775">
        <f ca="1">SUMIF(CT_tram!$B$34:$G$115,$B308,CT_tram!$G$34:$G$115)</f>
        <v>0</v>
      </c>
      <c r="J308" s="775">
        <f ca="1">SUMIF(CT_tram!$B$122:$G$204,$B308,CT_tram!$G$122:$G$204)</f>
        <v>0</v>
      </c>
      <c r="K308" s="775">
        <f ca="1">SUMIF(CT_tram!$B$211:$G$293,$B308,CT_tram!$G$211:$G$293)</f>
        <v>0</v>
      </c>
      <c r="L308" s="775">
        <f ca="1">SUMIF(CT_tram!$B$300:$G$374,$B308,CT_tram!$G$300:$G$374)</f>
        <v>0</v>
      </c>
      <c r="M308" s="775">
        <f ca="1">SUMIF(CT_tram!$B$381:$G$471,$B308,CT_tram!$G$381:$G$471)</f>
        <v>0</v>
      </c>
      <c r="N308" s="775">
        <f ca="1">SUMIF(CT_tram!$B$478:$G$560,$B308,CT_tram!$G$478:$G$560)</f>
        <v>0</v>
      </c>
      <c r="O308" s="775">
        <f ca="1">SUMIF(CT_tram!$B$567:$G$653,$B308,CT_tram!$G$567:$G$653)</f>
        <v>0</v>
      </c>
      <c r="P308" s="775">
        <f ca="1">SUMIF(CT_tram!$B$661:$G$738,$B308,CT_tram!$G$661:$G$738)</f>
        <v>0</v>
      </c>
      <c r="Q308" s="775">
        <f ca="1">SUMIF(CT_tram!$B$745:$G$899,$B308,CT_tram!$G$745:$G$899)</f>
        <v>0</v>
      </c>
      <c r="R308" s="775">
        <f ca="1">SUMIF(CT_tram!$B$907:$G$995,$B308,CT_tram!$G$907:$G$995)</f>
        <v>0</v>
      </c>
      <c r="S308" s="775"/>
      <c r="T308" s="775">
        <f ca="1">SUMIF(CT_tram!$B$1004:$G$1097,B308,CT_tram!$G$1004:$G$1097)</f>
        <v>0</v>
      </c>
      <c r="U308" s="775"/>
      <c r="V308" s="775">
        <f ca="1">SUMIF(CT_tram!$B$1226:$G$1352,kl!B308,CT_tram!$G$1226:$G$1352)</f>
        <v>0</v>
      </c>
      <c r="W308" s="780">
        <f ca="1">SUMIF(CT_tram!$B$1105:$G$1219,kl!B308,CT_tram!$G$1105:$G$1219)</f>
        <v>0</v>
      </c>
      <c r="X308" s="775">
        <f ca="1">SUMIF(CT_tram!$B$1359:$G$1504,kl!B308,CT_tram!$G$1359:$G$1504)</f>
        <v>0</v>
      </c>
      <c r="Y308" s="775">
        <f ca="1">SUMIF(CT_tram!$B$1511:$G$1625,kl!B308,CT_tram!$G$1511:$G$1625)</f>
        <v>0</v>
      </c>
      <c r="Z308" s="775">
        <f ca="1">SUMIF(CT_tram!$B$1632:$G$2211,kl!B308,CT_tram!$G$1632:$G$2211)</f>
        <v>0</v>
      </c>
      <c r="AA308" s="775">
        <f ca="1">SUMIF(CT_tram!$B$2243:$G$2384,kl!B308,CT_tram!$G$2243:$G$2384)</f>
        <v>0</v>
      </c>
      <c r="AB308" s="775">
        <f ca="1">SUMIF(CT_tram!$B$2391:$G$2563,kl!B308,CT_tram!$G$2391:$G$2563)</f>
        <v>0</v>
      </c>
      <c r="AC308" s="775">
        <f ca="1">SUMIF(chitiet!$B$13:$N$2352,kl!$B308,chitiet!$I$13:$I$2352)</f>
        <v>0</v>
      </c>
      <c r="AD308" s="775">
        <f ca="1">SUMIF(chitiet!$B$13:$N$2352,kl!$B308,chitiet!$J$13:$J$2352)</f>
        <v>0</v>
      </c>
      <c r="AE308" s="775">
        <f ca="1">SUMIF(chitiet!$B$13:$N$2352,kl!$B308,chitiet!$K$13:$K$2352)</f>
        <v>0</v>
      </c>
      <c r="AF308" s="775">
        <f ca="1">SUMIF(chitiet!$B$13:$N$2352,kl!$B308,chitiet!$L$13:$L$2352)</f>
        <v>0</v>
      </c>
      <c r="AG308" s="775">
        <f ca="1">SUMIF(chitiet!$B$13:$N$2352,kl!$B308,chitiet!$M$13)</f>
        <v>0</v>
      </c>
      <c r="AH308" s="775">
        <f ca="1">SUMIF(chitiet!$B$13:$N$2352,kl!$B308,chitiet!$N$13:$N$2352)</f>
        <v>0</v>
      </c>
      <c r="AI308" s="775">
        <f ca="1">SUMIF(chitiet!$B$13:$N$2352,kl!$B308,chitiet!$O$13:$O$2352)</f>
        <v>0</v>
      </c>
      <c r="AJ308" s="775">
        <f ca="1">SUMIF('Cap ngam'!$B$631:$G$723,kl!$B308,'Cap ngam'!$G$631:$G$723)</f>
        <v>0</v>
      </c>
      <c r="AK308" s="775">
        <f ca="1">SUMIF('Cap ngam'!$B$403:$G$628,kl!$B308,'Cap ngam'!G$403:G$628)</f>
        <v>0</v>
      </c>
      <c r="AL308" s="775">
        <f ca="1">SUMIF('Cap ngam'!B$16:G$400,kl!$B308,'Cap ngam'!G$16:G$400)</f>
        <v>0</v>
      </c>
      <c r="AM308" s="776">
        <f>3.77*0.81</f>
        <v>3.0537000000000001</v>
      </c>
      <c r="AN308" s="775">
        <f t="shared" ref="AN308:AW308" ca="1" si="208">I308*$AM308</f>
        <v>0</v>
      </c>
      <c r="AO308" s="775">
        <f t="shared" ca="1" si="208"/>
        <v>0</v>
      </c>
      <c r="AP308" s="775">
        <f t="shared" ca="1" si="208"/>
        <v>0</v>
      </c>
      <c r="AQ308" s="775">
        <f t="shared" ca="1" si="208"/>
        <v>0</v>
      </c>
      <c r="AR308" s="775">
        <f t="shared" ca="1" si="208"/>
        <v>0</v>
      </c>
      <c r="AS308" s="775">
        <f t="shared" ca="1" si="208"/>
        <v>0</v>
      </c>
      <c r="AT308" s="775">
        <f t="shared" ca="1" si="208"/>
        <v>0</v>
      </c>
      <c r="AU308" s="775">
        <f t="shared" ca="1" si="208"/>
        <v>0</v>
      </c>
      <c r="AV308" s="775">
        <f t="shared" ca="1" si="208"/>
        <v>0</v>
      </c>
      <c r="AW308" s="775">
        <f t="shared" ca="1" si="208"/>
        <v>0</v>
      </c>
      <c r="AX308" s="775">
        <f t="shared" si="207"/>
        <v>0</v>
      </c>
      <c r="AY308" s="775">
        <f t="shared" ca="1" si="207"/>
        <v>0</v>
      </c>
      <c r="AZ308" s="775">
        <f t="shared" si="207"/>
        <v>0</v>
      </c>
      <c r="BA308" s="775">
        <f t="shared" ca="1" si="207"/>
        <v>0</v>
      </c>
      <c r="BB308" s="775">
        <f t="shared" ca="1" si="207"/>
        <v>0</v>
      </c>
      <c r="BC308" s="775">
        <f t="shared" ca="1" si="207"/>
        <v>0</v>
      </c>
      <c r="BD308" s="775">
        <f t="shared" ca="1" si="207"/>
        <v>0</v>
      </c>
      <c r="BE308" s="775">
        <f t="shared" ca="1" si="207"/>
        <v>0</v>
      </c>
      <c r="BF308" s="775">
        <f t="shared" ca="1" si="207"/>
        <v>0</v>
      </c>
      <c r="BG308" s="775">
        <f t="shared" ca="1" si="207"/>
        <v>0</v>
      </c>
      <c r="BH308" s="775">
        <f t="shared" ca="1" si="194"/>
        <v>0</v>
      </c>
      <c r="BI308" s="775">
        <f t="shared" ca="1" si="195"/>
        <v>0</v>
      </c>
      <c r="BJ308" s="775">
        <f t="shared" ca="1" si="196"/>
        <v>0</v>
      </c>
      <c r="BK308" s="775">
        <f t="shared" ca="1" si="197"/>
        <v>0</v>
      </c>
      <c r="BL308" s="775">
        <f t="shared" ca="1" si="198"/>
        <v>0</v>
      </c>
      <c r="BM308" s="775">
        <f t="shared" ca="1" si="199"/>
        <v>0</v>
      </c>
      <c r="BN308" s="775">
        <f t="shared" ca="1" si="200"/>
        <v>0</v>
      </c>
      <c r="BO308" s="775">
        <f t="shared" ca="1" si="201"/>
        <v>0</v>
      </c>
      <c r="BP308" s="775">
        <f t="shared" ca="1" si="202"/>
        <v>0</v>
      </c>
      <c r="BQ308" s="775">
        <f t="shared" ca="1" si="170"/>
        <v>0</v>
      </c>
      <c r="BR308" s="775">
        <f t="shared" ca="1" si="203"/>
        <v>0</v>
      </c>
    </row>
    <row r="309" spans="1:70">
      <c r="A309" s="767" t="str">
        <f t="shared" ca="1" si="205"/>
        <v/>
      </c>
      <c r="B309" s="799" t="s">
        <v>4932</v>
      </c>
      <c r="C309" s="188" t="str">
        <f ca="1">IF(F309=0,"",COUNTIF($F$78:$F309,"&gt;0"))</f>
        <v/>
      </c>
      <c r="D309" s="778" t="str">
        <f>VLOOKUP($B309,dongia1,DG!$C$5,)</f>
        <v>Sắt góc L50 x50 x5x1150</v>
      </c>
      <c r="E309" s="555" t="str">
        <f>VLOOKUP($B309,dongia1,DG!$D$5,)</f>
        <v xml:space="preserve">thanh </v>
      </c>
      <c r="F309" s="975">
        <f ca="1">G309+H309</f>
        <v>0</v>
      </c>
      <c r="G309" s="976">
        <f ca="1">SUM(AC309:AL309)</f>
        <v>0</v>
      </c>
      <c r="H309" s="976">
        <f ca="1">SUMIF(CT_tram!$B$33:$G$3559,kl!B309,CT_tram!$G$33:$G$3559)</f>
        <v>0</v>
      </c>
      <c r="I309" s="775">
        <f ca="1">SUMIF(CT_tram!$B$34:$G$115,$B309,CT_tram!$G$34:$G$115)</f>
        <v>0</v>
      </c>
      <c r="J309" s="775">
        <f ca="1">SUMIF(CT_tram!$B$122:$G$204,$B309,CT_tram!$G$122:$G$204)</f>
        <v>0</v>
      </c>
      <c r="K309" s="775">
        <f ca="1">SUMIF(CT_tram!$B$211:$G$293,$B309,CT_tram!$G$211:$G$293)</f>
        <v>0</v>
      </c>
      <c r="L309" s="775">
        <f ca="1">SUMIF(CT_tram!$B$300:$G$374,$B309,CT_tram!$G$300:$G$374)</f>
        <v>0</v>
      </c>
      <c r="M309" s="775">
        <f ca="1">SUMIF(CT_tram!$B$381:$G$471,$B309,CT_tram!$G$381:$G$471)</f>
        <v>0</v>
      </c>
      <c r="N309" s="775">
        <f ca="1">SUMIF(CT_tram!$B$478:$G$560,$B309,CT_tram!$G$478:$G$560)</f>
        <v>0</v>
      </c>
      <c r="O309" s="775">
        <f ca="1">SUMIF(CT_tram!$B$567:$G$653,$B309,CT_tram!$G$567:$G$653)</f>
        <v>0</v>
      </c>
      <c r="P309" s="775">
        <f ca="1">SUMIF(CT_tram!$B$661:$G$738,$B309,CT_tram!$G$661:$G$738)</f>
        <v>0</v>
      </c>
      <c r="Q309" s="775">
        <f ca="1">SUMIF(CT_tram!$B$745:$G$899,$B309,CT_tram!$G$745:$G$899)</f>
        <v>0</v>
      </c>
      <c r="R309" s="775">
        <f ca="1">SUMIF(CT_tram!$B$907:$G$995,$B309,CT_tram!$G$907:$G$995)</f>
        <v>0</v>
      </c>
      <c r="S309" s="775"/>
      <c r="T309" s="775">
        <f ca="1">SUMIF(CT_tram!$B$1004:$G$1097,B309,CT_tram!$G$1004:$G$1097)</f>
        <v>0</v>
      </c>
      <c r="U309" s="775"/>
      <c r="V309" s="775">
        <f ca="1">SUMIF(CT_tram!$B$1226:$G$1352,kl!B309,CT_tram!$G$1226:$G$1352)</f>
        <v>0</v>
      </c>
      <c r="W309" s="780">
        <f ca="1">SUMIF(CT_tram!$B$1105:$G$1219,kl!B309,CT_tram!$G$1105:$G$1219)</f>
        <v>0</v>
      </c>
      <c r="X309" s="775">
        <f ca="1">SUMIF(CT_tram!$B$1359:$G$1504,kl!B309,CT_tram!$G$1359:$G$1504)</f>
        <v>0</v>
      </c>
      <c r="Y309" s="775">
        <f ca="1">SUMIF(CT_tram!$B$1511:$G$1625,kl!B309,CT_tram!$G$1511:$G$1625)</f>
        <v>0</v>
      </c>
      <c r="Z309" s="775">
        <f ca="1">SUMIF(CT_tram!$B$1632:$G$2211,kl!B309,CT_tram!$G$1632:$G$2211)</f>
        <v>0</v>
      </c>
      <c r="AA309" s="775">
        <f ca="1">SUMIF(CT_tram!$B$2243:$G$2384,kl!B309,CT_tram!$G$2243:$G$2384)</f>
        <v>0</v>
      </c>
      <c r="AB309" s="775">
        <f ca="1">SUMIF(CT_tram!$B$2391:$G$2563,kl!B309,CT_tram!$G$2391:$G$2563)</f>
        <v>0</v>
      </c>
      <c r="AC309" s="775">
        <f ca="1">SUMIF(chitiet!$B$13:$N$2352,kl!$B309,chitiet!$I$13:$I$2352)</f>
        <v>0</v>
      </c>
      <c r="AD309" s="775">
        <f ca="1">SUMIF(chitiet!$B$13:$N$2352,kl!$B309,chitiet!$J$13:$J$2352)</f>
        <v>0</v>
      </c>
      <c r="AE309" s="775">
        <f ca="1">SUMIF(chitiet!$B$13:$N$2352,kl!$B309,chitiet!$K$13:$K$2352)</f>
        <v>0</v>
      </c>
      <c r="AF309" s="775">
        <f ca="1">SUMIF(chitiet!$B$13:$N$2352,kl!$B309,chitiet!$L$13:$L$2352)</f>
        <v>0</v>
      </c>
      <c r="AG309" s="775">
        <f ca="1">SUMIF(chitiet!$B$13:$N$2352,kl!$B309,chitiet!$M$13)</f>
        <v>0</v>
      </c>
      <c r="AH309" s="775">
        <f ca="1">SUMIF(chitiet!$B$13:$N$2352,kl!$B309,chitiet!$N$13:$N$2352)</f>
        <v>0</v>
      </c>
      <c r="AI309" s="775">
        <f ca="1">SUMIF(chitiet!$B$13:$N$2352,kl!$B309,chitiet!$O$13:$O$2352)</f>
        <v>0</v>
      </c>
      <c r="AJ309" s="775">
        <f ca="1">SUMIF('Cap ngam'!$B$631:$G$723,kl!$B309,'Cap ngam'!$G$631:$G$723)</f>
        <v>0</v>
      </c>
      <c r="AK309" s="775">
        <f ca="1">SUMIF('Cap ngam'!$B$403:$G$628,kl!$B309,'Cap ngam'!G$403:G$628)</f>
        <v>0</v>
      </c>
      <c r="AL309" s="775">
        <f ca="1">SUMIF('Cap ngam'!B$16:G$400,kl!$B309,'Cap ngam'!G$16:G$400)</f>
        <v>0</v>
      </c>
      <c r="AM309" s="776">
        <f>3.77*1.15</f>
        <v>4.3354999999999997</v>
      </c>
      <c r="AN309" s="775">
        <f t="shared" ca="1" si="206"/>
        <v>0</v>
      </c>
      <c r="AO309" s="775">
        <f t="shared" ca="1" si="206"/>
        <v>0</v>
      </c>
      <c r="AP309" s="775">
        <f t="shared" ca="1" si="206"/>
        <v>0</v>
      </c>
      <c r="AQ309" s="775">
        <f t="shared" ca="1" si="206"/>
        <v>0</v>
      </c>
      <c r="AR309" s="775">
        <f t="shared" ca="1" si="206"/>
        <v>0</v>
      </c>
      <c r="AS309" s="775">
        <f t="shared" ca="1" si="206"/>
        <v>0</v>
      </c>
      <c r="AT309" s="775">
        <f t="shared" ca="1" si="206"/>
        <v>0</v>
      </c>
      <c r="AU309" s="775">
        <f t="shared" ca="1" si="206"/>
        <v>0</v>
      </c>
      <c r="AV309" s="775">
        <f t="shared" ca="1" si="206"/>
        <v>0</v>
      </c>
      <c r="AW309" s="775">
        <f t="shared" ca="1" si="206"/>
        <v>0</v>
      </c>
      <c r="AX309" s="775">
        <f t="shared" si="207"/>
        <v>0</v>
      </c>
      <c r="AY309" s="775">
        <f t="shared" ca="1" si="207"/>
        <v>0</v>
      </c>
      <c r="AZ309" s="775">
        <f t="shared" si="207"/>
        <v>0</v>
      </c>
      <c r="BA309" s="775">
        <f t="shared" ca="1" si="207"/>
        <v>0</v>
      </c>
      <c r="BB309" s="775">
        <f t="shared" ca="1" si="207"/>
        <v>0</v>
      </c>
      <c r="BC309" s="775">
        <f t="shared" ca="1" si="207"/>
        <v>0</v>
      </c>
      <c r="BD309" s="775">
        <f t="shared" ca="1" si="207"/>
        <v>0</v>
      </c>
      <c r="BE309" s="775">
        <f t="shared" ca="1" si="207"/>
        <v>0</v>
      </c>
      <c r="BF309" s="775">
        <f t="shared" ca="1" si="207"/>
        <v>0</v>
      </c>
      <c r="BG309" s="775">
        <f t="shared" ca="1" si="207"/>
        <v>0</v>
      </c>
      <c r="BH309" s="775">
        <f t="shared" ca="1" si="194"/>
        <v>0</v>
      </c>
      <c r="BI309" s="775">
        <f t="shared" ca="1" si="195"/>
        <v>0</v>
      </c>
      <c r="BJ309" s="775">
        <f t="shared" ca="1" si="196"/>
        <v>0</v>
      </c>
      <c r="BK309" s="775">
        <f t="shared" ca="1" si="197"/>
        <v>0</v>
      </c>
      <c r="BL309" s="775">
        <f t="shared" ca="1" si="198"/>
        <v>0</v>
      </c>
      <c r="BM309" s="775">
        <f t="shared" ca="1" si="199"/>
        <v>0</v>
      </c>
      <c r="BN309" s="775">
        <f t="shared" ca="1" si="200"/>
        <v>0</v>
      </c>
      <c r="BO309" s="775">
        <f t="shared" ca="1" si="201"/>
        <v>0</v>
      </c>
      <c r="BP309" s="775">
        <f t="shared" ca="1" si="202"/>
        <v>0</v>
      </c>
      <c r="BQ309" s="775">
        <f t="shared" ca="1" si="170"/>
        <v>0</v>
      </c>
      <c r="BR309" s="775">
        <f t="shared" ca="1" si="203"/>
        <v>0</v>
      </c>
    </row>
    <row r="310" spans="1:70">
      <c r="A310" s="767" t="str">
        <f t="shared" ca="1" si="162"/>
        <v/>
      </c>
      <c r="B310" s="799" t="s">
        <v>4934</v>
      </c>
      <c r="C310" s="188" t="str">
        <f ca="1">IF(F310=0,"",COUNTIF($F$78:$F310,"&gt;0"))</f>
        <v/>
      </c>
      <c r="D310" s="778" t="str">
        <f>VLOOKUP($B310,dongia1,DG!$C$5,)</f>
        <v>Sắt góc L50 x50 x5x1990</v>
      </c>
      <c r="E310" s="555" t="str">
        <f>VLOOKUP($B310,dongia1,DG!$D$5,)</f>
        <v xml:space="preserve">thanh </v>
      </c>
      <c r="F310" s="975">
        <f t="shared" ca="1" si="171"/>
        <v>0</v>
      </c>
      <c r="G310" s="976">
        <f t="shared" ca="1" si="169"/>
        <v>0</v>
      </c>
      <c r="H310" s="976">
        <f ca="1">SUMIF(CT_tram!$B$33:$G$3559,kl!B310,CT_tram!$G$33:$G$3559)</f>
        <v>0</v>
      </c>
      <c r="I310" s="775">
        <f ca="1">SUMIF(CT_tram!$B$34:$G$115,$B310,CT_tram!$G$34:$G$115)</f>
        <v>0</v>
      </c>
      <c r="J310" s="775">
        <f ca="1">SUMIF(CT_tram!$B$122:$G$204,$B310,CT_tram!$G$122:$G$204)</f>
        <v>0</v>
      </c>
      <c r="K310" s="775">
        <f ca="1">SUMIF(CT_tram!$B$211:$G$293,$B310,CT_tram!$G$211:$G$293)</f>
        <v>0</v>
      </c>
      <c r="L310" s="775">
        <f ca="1">SUMIF(CT_tram!$B$300:$G$374,$B310,CT_tram!$G$300:$G$374)</f>
        <v>0</v>
      </c>
      <c r="M310" s="775">
        <f ca="1">SUMIF(CT_tram!$B$381:$G$471,$B310,CT_tram!$G$381:$G$471)</f>
        <v>0</v>
      </c>
      <c r="N310" s="775">
        <f ca="1">SUMIF(CT_tram!$B$478:$G$560,$B310,CT_tram!$G$478:$G$560)</f>
        <v>0</v>
      </c>
      <c r="O310" s="775">
        <f ca="1">SUMIF(CT_tram!$B$567:$G$653,$B310,CT_tram!$G$567:$G$653)</f>
        <v>0</v>
      </c>
      <c r="P310" s="775">
        <f ca="1">SUMIF(CT_tram!$B$661:$G$738,$B310,CT_tram!$G$661:$G$738)</f>
        <v>0</v>
      </c>
      <c r="Q310" s="775">
        <f ca="1">SUMIF(CT_tram!$B$745:$G$899,$B310,CT_tram!$G$745:$G$899)</f>
        <v>0</v>
      </c>
      <c r="R310" s="775">
        <f ca="1">SUMIF(CT_tram!$B$907:$G$995,$B310,CT_tram!$G$907:$G$995)</f>
        <v>0</v>
      </c>
      <c r="S310" s="775"/>
      <c r="T310" s="775">
        <f ca="1">SUMIF(CT_tram!$B$1004:$G$1097,B310,CT_tram!$G$1004:$G$1097)</f>
        <v>0</v>
      </c>
      <c r="U310" s="775"/>
      <c r="V310" s="775">
        <f ca="1">SUMIF(CT_tram!$B$1226:$G$1352,kl!B310,CT_tram!$G$1226:$G$1352)</f>
        <v>0</v>
      </c>
      <c r="W310" s="780">
        <f ca="1">SUMIF(CT_tram!$B$1105:$G$1219,kl!B310,CT_tram!$G$1105:$G$1219)</f>
        <v>0</v>
      </c>
      <c r="X310" s="775">
        <f ca="1">SUMIF(CT_tram!$B$1359:$G$1504,kl!B310,CT_tram!$G$1359:$G$1504)</f>
        <v>0</v>
      </c>
      <c r="Y310" s="775">
        <f ca="1">SUMIF(CT_tram!$B$1511:$G$1625,kl!B310,CT_tram!$G$1511:$G$1625)</f>
        <v>0</v>
      </c>
      <c r="Z310" s="775">
        <f ca="1">SUMIF(CT_tram!$B$1632:$G$2211,kl!B310,CT_tram!$G$1632:$G$2211)</f>
        <v>0</v>
      </c>
      <c r="AA310" s="775">
        <f ca="1">SUMIF(CT_tram!$B$2243:$G$2384,kl!B310,CT_tram!$G$2243:$G$2384)</f>
        <v>0</v>
      </c>
      <c r="AB310" s="775">
        <f ca="1">SUMIF(CT_tram!$B$2391:$G$2563,kl!B310,CT_tram!$G$2391:$G$2563)</f>
        <v>0</v>
      </c>
      <c r="AC310" s="775">
        <f ca="1">SUMIF(chitiet!$B$13:$N$2352,kl!$B310,chitiet!$I$13:$I$2352)</f>
        <v>0</v>
      </c>
      <c r="AD310" s="775">
        <f ca="1">SUMIF(chitiet!$B$13:$N$2352,kl!$B310,chitiet!$J$13:$J$2352)</f>
        <v>0</v>
      </c>
      <c r="AE310" s="775">
        <f ca="1">SUMIF(chitiet!$B$13:$N$2352,kl!$B310,chitiet!$K$13:$K$2352)</f>
        <v>0</v>
      </c>
      <c r="AF310" s="775">
        <f ca="1">SUMIF(chitiet!$B$13:$N$2352,kl!$B310,chitiet!$L$13:$L$2352)</f>
        <v>0</v>
      </c>
      <c r="AG310" s="775">
        <f ca="1">SUMIF(chitiet!$B$13:$N$2352,kl!$B310,chitiet!$M$13)</f>
        <v>0</v>
      </c>
      <c r="AH310" s="775">
        <f ca="1">SUMIF(chitiet!$B$13:$N$2352,kl!$B310,chitiet!$N$13:$N$2352)</f>
        <v>0</v>
      </c>
      <c r="AI310" s="775">
        <f ca="1">SUMIF(chitiet!$B$13:$N$2352,kl!$B310,chitiet!$O$13:$O$2352)</f>
        <v>0</v>
      </c>
      <c r="AJ310" s="775">
        <f ca="1">SUMIF('Cap ngam'!$B$631:$G$723,kl!$B310,'Cap ngam'!$G$631:$G$723)</f>
        <v>0</v>
      </c>
      <c r="AK310" s="775">
        <f ca="1">SUMIF('Cap ngam'!$B$403:$G$628,kl!$B310,'Cap ngam'!G$403:G$628)</f>
        <v>0</v>
      </c>
      <c r="AL310" s="775">
        <f ca="1">SUMIF('Cap ngam'!B$16:G$400,kl!$B310,'Cap ngam'!G$16:G$400)</f>
        <v>0</v>
      </c>
      <c r="AM310" s="776">
        <f>3.77*1.99</f>
        <v>7.5023</v>
      </c>
      <c r="AN310" s="775">
        <f t="shared" ca="1" si="181"/>
        <v>0</v>
      </c>
      <c r="AO310" s="775">
        <f t="shared" ca="1" si="182"/>
        <v>0</v>
      </c>
      <c r="AP310" s="775">
        <f t="shared" ca="1" si="183"/>
        <v>0</v>
      </c>
      <c r="AQ310" s="775">
        <f t="shared" ca="1" si="184"/>
        <v>0</v>
      </c>
      <c r="AR310" s="775">
        <f t="shared" ca="1" si="185"/>
        <v>0</v>
      </c>
      <c r="AS310" s="775">
        <f t="shared" ca="1" si="186"/>
        <v>0</v>
      </c>
      <c r="AT310" s="775">
        <f t="shared" ca="1" si="187"/>
        <v>0</v>
      </c>
      <c r="AU310" s="775">
        <f t="shared" ca="1" si="188"/>
        <v>0</v>
      </c>
      <c r="AV310" s="775">
        <f t="shared" ca="1" si="189"/>
        <v>0</v>
      </c>
      <c r="AW310" s="775">
        <f t="shared" ca="1" si="190"/>
        <v>0</v>
      </c>
      <c r="AX310" s="775">
        <f t="shared" si="191"/>
        <v>0</v>
      </c>
      <c r="AY310" s="775">
        <f t="shared" ca="1" si="192"/>
        <v>0</v>
      </c>
      <c r="AZ310" s="775">
        <f t="shared" si="193"/>
        <v>0</v>
      </c>
      <c r="BA310" s="775">
        <f t="shared" ca="1" si="172"/>
        <v>0</v>
      </c>
      <c r="BB310" s="775">
        <f t="shared" ca="1" si="173"/>
        <v>0</v>
      </c>
      <c r="BC310" s="775">
        <f t="shared" ca="1" si="174"/>
        <v>0</v>
      </c>
      <c r="BD310" s="775">
        <f t="shared" ca="1" si="175"/>
        <v>0</v>
      </c>
      <c r="BE310" s="775">
        <f t="shared" ca="1" si="176"/>
        <v>0</v>
      </c>
      <c r="BF310" s="775">
        <f t="shared" ca="1" si="177"/>
        <v>0</v>
      </c>
      <c r="BG310" s="775">
        <f t="shared" ca="1" si="178"/>
        <v>0</v>
      </c>
      <c r="BH310" s="775">
        <f t="shared" ca="1" si="194"/>
        <v>0</v>
      </c>
      <c r="BI310" s="775">
        <f t="shared" ca="1" si="195"/>
        <v>0</v>
      </c>
      <c r="BJ310" s="775">
        <f t="shared" ca="1" si="196"/>
        <v>0</v>
      </c>
      <c r="BK310" s="775">
        <f t="shared" ca="1" si="197"/>
        <v>0</v>
      </c>
      <c r="BL310" s="775">
        <f t="shared" ca="1" si="198"/>
        <v>0</v>
      </c>
      <c r="BM310" s="775">
        <f t="shared" ca="1" si="199"/>
        <v>0</v>
      </c>
      <c r="BN310" s="775">
        <f t="shared" ca="1" si="200"/>
        <v>0</v>
      </c>
      <c r="BO310" s="775">
        <f t="shared" ca="1" si="201"/>
        <v>0</v>
      </c>
      <c r="BP310" s="775">
        <f t="shared" ca="1" si="202"/>
        <v>0</v>
      </c>
      <c r="BQ310" s="775">
        <f t="shared" ca="1" si="170"/>
        <v>0</v>
      </c>
      <c r="BR310" s="775">
        <f t="shared" ca="1" si="203"/>
        <v>0</v>
      </c>
    </row>
    <row r="311" spans="1:70">
      <c r="A311" s="767" t="str">
        <f ca="1">IF(F311&lt;&gt;0,"X","")</f>
        <v>X</v>
      </c>
      <c r="B311" s="799" t="s">
        <v>386</v>
      </c>
      <c r="C311" s="188">
        <f ca="1">IF(F311=0,"",COUNTIF($F$78:$F311,"&gt;0"))</f>
        <v>32</v>
      </c>
      <c r="D311" s="778" t="str">
        <f>VLOOKUP($B311,dongia1,DG!$C$5,)</f>
        <v>Sắt góc L75 x75 x8</v>
      </c>
      <c r="E311" s="555" t="str">
        <f>VLOOKUP($B311,dongia1,DG!$D$5,)</f>
        <v>kg</v>
      </c>
      <c r="F311" s="975">
        <f ca="1">G311+H311</f>
        <v>228.42859999999999</v>
      </c>
      <c r="G311" s="976">
        <f ca="1">SUM(AC311:AL311)</f>
        <v>109.3742</v>
      </c>
      <c r="H311" s="976">
        <f ca="1">SUMIF(CT_tram!$B$33:$G$3559,kl!B311,CT_tram!$G$33:$G$3559)</f>
        <v>119.05439999999999</v>
      </c>
      <c r="I311" s="775">
        <f ca="1">SUMIF(CT_tram!$B$34:$G$115,$B311,CT_tram!$G$34:$G$115)</f>
        <v>0</v>
      </c>
      <c r="J311" s="775">
        <f ca="1">SUMIF(CT_tram!$B$122:$G$204,$B311,CT_tram!$G$122:$G$204)</f>
        <v>0</v>
      </c>
      <c r="K311" s="775">
        <f ca="1">SUMIF(CT_tram!$B$211:$G$293,$B311,CT_tram!$G$211:$G$293)</f>
        <v>0</v>
      </c>
      <c r="L311" s="775">
        <f ca="1">SUMIF(CT_tram!$B$300:$G$374,$B311,CT_tram!$G$300:$G$374)</f>
        <v>0</v>
      </c>
      <c r="M311" s="775">
        <f ca="1">SUMIF(CT_tram!$B$381:$G$471,$B311,CT_tram!$G$381:$G$471)</f>
        <v>0</v>
      </c>
      <c r="N311" s="775">
        <f ca="1">SUMIF(CT_tram!$B$478:$G$560,$B311,CT_tram!$G$478:$G$560)</f>
        <v>0</v>
      </c>
      <c r="O311" s="775">
        <f ca="1">SUMIF(CT_tram!$B$567:$G$653,$B311,CT_tram!$G$567:$G$653)</f>
        <v>0</v>
      </c>
      <c r="P311" s="775">
        <f ca="1">SUMIF(CT_tram!$B$661:$G$738,$B311,CT_tram!$G$661:$G$738)</f>
        <v>0</v>
      </c>
      <c r="Q311" s="775">
        <f ca="1">SUMIF(CT_tram!$B$745:$G$899,$B311,CT_tram!$G$745:$G$899)</f>
        <v>0</v>
      </c>
      <c r="R311" s="775">
        <f ca="1">SUMIF(CT_tram!$B$907:$G$995,$B311,CT_tram!$G$907:$G$995)</f>
        <v>0</v>
      </c>
      <c r="S311" s="775"/>
      <c r="T311" s="775">
        <f ca="1">SUMIF(CT_tram!$B$1004:$G$1097,B311,CT_tram!$G$1004:$G$1097)</f>
        <v>0</v>
      </c>
      <c r="U311" s="775"/>
      <c r="V311" s="775">
        <f ca="1">SUMIF(CT_tram!$B$1226:$G$1352,kl!B311,CT_tram!$G$1226:$G$1352)</f>
        <v>0</v>
      </c>
      <c r="W311" s="780">
        <f ca="1">SUMIF(CT_tram!$B$1105:$G$1219,kl!B311,CT_tram!$G$1105:$G$1219)</f>
        <v>0</v>
      </c>
      <c r="X311" s="775">
        <f ca="1">SUMIF(CT_tram!$B$1359:$G$1504,kl!B311,CT_tram!$G$1359:$G$1504)</f>
        <v>0</v>
      </c>
      <c r="Y311" s="775">
        <f ca="1">SUMIF(CT_tram!$B$1511:$G$1625,kl!B311,CT_tram!$G$1511:$G$1625)</f>
        <v>0</v>
      </c>
      <c r="Z311" s="775">
        <f ca="1">SUMIF(CT_tram!$B$1632:$G$2211,kl!B311,CT_tram!$G$1632:$G$2211)</f>
        <v>0</v>
      </c>
      <c r="AA311" s="775">
        <f ca="1">SUMIF(CT_tram!$B$2243:$G$2384,kl!B311,CT_tram!$G$2243:$G$2384)</f>
        <v>0</v>
      </c>
      <c r="AB311" s="775">
        <f ca="1">SUMIF(CT_tram!$B$2391:$G$2563,kl!B311,CT_tram!$G$2391:$G$2563)</f>
        <v>0</v>
      </c>
      <c r="AC311" s="775">
        <f ca="1">SUMIF(chitiet!$B$13:$N$2352,kl!$B311,chitiet!$I$13:$I$2352)</f>
        <v>0</v>
      </c>
      <c r="AD311" s="775">
        <f ca="1">SUMIF(chitiet!$B$13:$N$2352,kl!$B311,chitiet!$J$13:$J$2352)</f>
        <v>0</v>
      </c>
      <c r="AE311" s="775">
        <f ca="1">SUMIF(chitiet!$B$13:$N$2352,kl!$B311,chitiet!$K$13:$K$2352)</f>
        <v>109.3742</v>
      </c>
      <c r="AF311" s="775">
        <f ca="1">SUMIF(chitiet!$B$13:$N$2352,kl!$B311,chitiet!$L$13:$L$2352)</f>
        <v>0</v>
      </c>
      <c r="AG311" s="775">
        <f ca="1">SUMIF(chitiet!$B$13:$N$2352,kl!$B311,chitiet!$M$13)</f>
        <v>0</v>
      </c>
      <c r="AH311" s="775">
        <f ca="1">SUMIF(chitiet!$B$13:$N$2352,kl!$B311,chitiet!$N$13:$N$2352)</f>
        <v>0</v>
      </c>
      <c r="AI311" s="775">
        <f ca="1">SUMIF(chitiet!$B$13:$N$2352,kl!$B311,chitiet!$O$13:$O$2352)</f>
        <v>0</v>
      </c>
      <c r="AJ311" s="775">
        <f ca="1">SUMIF('Cap ngam'!$B$631:$G$723,kl!$B311,'Cap ngam'!$G$631:$G$723)</f>
        <v>0</v>
      </c>
      <c r="AK311" s="775">
        <f ca="1">SUMIF('Cap ngam'!$B$403:$G$628,kl!$B311,'Cap ngam'!G$403:G$628)</f>
        <v>0</v>
      </c>
      <c r="AL311" s="775">
        <f ca="1">SUMIF('Cap ngam'!B$16:G$400,kl!$B311,'Cap ngam'!G$16:G$400)</f>
        <v>0</v>
      </c>
      <c r="AM311" s="776">
        <v>1</v>
      </c>
      <c r="AN311" s="775">
        <f t="shared" ref="AN311:BP311" ca="1" si="209">I311*$AM311</f>
        <v>0</v>
      </c>
      <c r="AO311" s="775">
        <f t="shared" ca="1" si="209"/>
        <v>0</v>
      </c>
      <c r="AP311" s="775">
        <f t="shared" ca="1" si="209"/>
        <v>0</v>
      </c>
      <c r="AQ311" s="775">
        <f t="shared" ca="1" si="209"/>
        <v>0</v>
      </c>
      <c r="AR311" s="775">
        <f t="shared" ca="1" si="209"/>
        <v>0</v>
      </c>
      <c r="AS311" s="775">
        <f t="shared" ca="1" si="209"/>
        <v>0</v>
      </c>
      <c r="AT311" s="775">
        <f t="shared" ca="1" si="209"/>
        <v>0</v>
      </c>
      <c r="AU311" s="775">
        <f t="shared" ca="1" si="209"/>
        <v>0</v>
      </c>
      <c r="AV311" s="775">
        <f t="shared" ca="1" si="209"/>
        <v>0</v>
      </c>
      <c r="AW311" s="775">
        <f t="shared" ca="1" si="209"/>
        <v>0</v>
      </c>
      <c r="AX311" s="775">
        <f t="shared" si="209"/>
        <v>0</v>
      </c>
      <c r="AY311" s="775">
        <f t="shared" ca="1" si="209"/>
        <v>0</v>
      </c>
      <c r="AZ311" s="775">
        <f t="shared" si="209"/>
        <v>0</v>
      </c>
      <c r="BA311" s="775">
        <f t="shared" ca="1" si="209"/>
        <v>0</v>
      </c>
      <c r="BB311" s="775">
        <f t="shared" ca="1" si="209"/>
        <v>0</v>
      </c>
      <c r="BC311" s="775">
        <f t="shared" ca="1" si="209"/>
        <v>0</v>
      </c>
      <c r="BD311" s="775">
        <f t="shared" ca="1" si="209"/>
        <v>0</v>
      </c>
      <c r="BE311" s="775">
        <f t="shared" ca="1" si="209"/>
        <v>0</v>
      </c>
      <c r="BF311" s="775">
        <f t="shared" ca="1" si="209"/>
        <v>0</v>
      </c>
      <c r="BG311" s="775">
        <f t="shared" ca="1" si="209"/>
        <v>0</v>
      </c>
      <c r="BH311" s="775">
        <f t="shared" ca="1" si="209"/>
        <v>0</v>
      </c>
      <c r="BI311" s="775">
        <f t="shared" ca="1" si="209"/>
        <v>0</v>
      </c>
      <c r="BJ311" s="775">
        <f t="shared" ca="1" si="209"/>
        <v>109.3742</v>
      </c>
      <c r="BK311" s="775">
        <f t="shared" ca="1" si="209"/>
        <v>0</v>
      </c>
      <c r="BL311" s="775">
        <f t="shared" ca="1" si="209"/>
        <v>0</v>
      </c>
      <c r="BM311" s="775">
        <f t="shared" ca="1" si="209"/>
        <v>0</v>
      </c>
      <c r="BN311" s="775">
        <f t="shared" ca="1" si="209"/>
        <v>0</v>
      </c>
      <c r="BO311" s="775">
        <f t="shared" ca="1" si="209"/>
        <v>0</v>
      </c>
      <c r="BP311" s="775">
        <f t="shared" ca="1" si="209"/>
        <v>0</v>
      </c>
      <c r="BQ311" s="775">
        <f t="shared" ca="1" si="170"/>
        <v>0</v>
      </c>
      <c r="BR311" s="775">
        <f t="shared" ca="1" si="203"/>
        <v>119.05439999999999</v>
      </c>
    </row>
    <row r="312" spans="1:70">
      <c r="A312" s="767" t="str">
        <f t="shared" ca="1" si="162"/>
        <v/>
      </c>
      <c r="B312" s="799" t="s">
        <v>4936</v>
      </c>
      <c r="C312" s="188" t="str">
        <f ca="1">IF(F312=0,"",COUNTIF($F$78:$F312,"&gt;0"))</f>
        <v/>
      </c>
      <c r="D312" s="778" t="str">
        <f>VLOOKUP($B312,dongia1,DG!$C$5,)</f>
        <v>Sắt góc L75 x75 x8x1660 (2 ốp)</v>
      </c>
      <c r="E312" s="555" t="str">
        <f>VLOOKUP($B312,dongia1,DG!$D$5,)</f>
        <v xml:space="preserve">thanh </v>
      </c>
      <c r="F312" s="975">
        <f t="shared" ca="1" si="171"/>
        <v>0</v>
      </c>
      <c r="G312" s="976">
        <f t="shared" ca="1" si="169"/>
        <v>0</v>
      </c>
      <c r="H312" s="976">
        <f ca="1">SUMIF(CT_tram!$B$33:$G$3559,kl!B312,CT_tram!$G$33:$G$3559)</f>
        <v>0</v>
      </c>
      <c r="I312" s="775">
        <f ca="1">SUMIF(CT_tram!$B$34:$G$115,$B312,CT_tram!$G$34:$G$115)</f>
        <v>0</v>
      </c>
      <c r="J312" s="775">
        <f ca="1">SUMIF(CT_tram!$B$122:$G$204,$B312,CT_tram!$G$122:$G$204)</f>
        <v>0</v>
      </c>
      <c r="K312" s="775">
        <f ca="1">SUMIF(CT_tram!$B$211:$G$293,$B312,CT_tram!$G$211:$G$293)</f>
        <v>0</v>
      </c>
      <c r="L312" s="775">
        <f ca="1">SUMIF(CT_tram!$B$300:$G$374,$B312,CT_tram!$G$300:$G$374)</f>
        <v>0</v>
      </c>
      <c r="M312" s="775">
        <f ca="1">SUMIF(CT_tram!$B$381:$G$471,$B312,CT_tram!$G$381:$G$471)</f>
        <v>0</v>
      </c>
      <c r="N312" s="775">
        <f ca="1">SUMIF(CT_tram!$B$478:$G$560,$B312,CT_tram!$G$478:$G$560)</f>
        <v>0</v>
      </c>
      <c r="O312" s="775">
        <f ca="1">SUMIF(CT_tram!$B$567:$G$653,$B312,CT_tram!$G$567:$G$653)</f>
        <v>0</v>
      </c>
      <c r="P312" s="775">
        <f ca="1">SUMIF(CT_tram!$B$661:$G$738,$B312,CT_tram!$G$661:$G$738)</f>
        <v>0</v>
      </c>
      <c r="Q312" s="775">
        <f ca="1">SUMIF(CT_tram!$B$745:$G$899,$B312,CT_tram!$G$745:$G$899)</f>
        <v>0</v>
      </c>
      <c r="R312" s="775">
        <f ca="1">SUMIF(CT_tram!$B$907:$G$995,$B312,CT_tram!$G$907:$G$995)</f>
        <v>0</v>
      </c>
      <c r="S312" s="775"/>
      <c r="T312" s="775">
        <f ca="1">SUMIF(CT_tram!$B$1004:$G$1097,B312,CT_tram!$G$1004:$G$1097)</f>
        <v>0</v>
      </c>
      <c r="U312" s="775"/>
      <c r="V312" s="775">
        <f ca="1">SUMIF(CT_tram!$B$1226:$G$1352,kl!B312,CT_tram!$G$1226:$G$1352)</f>
        <v>0</v>
      </c>
      <c r="W312" s="780">
        <f ca="1">SUMIF(CT_tram!$B$1105:$G$1219,kl!B312,CT_tram!$G$1105:$G$1219)</f>
        <v>0</v>
      </c>
      <c r="X312" s="775">
        <f ca="1">SUMIF(CT_tram!$B$1359:$G$1504,kl!B312,CT_tram!$G$1359:$G$1504)</f>
        <v>0</v>
      </c>
      <c r="Y312" s="775">
        <f ca="1">SUMIF(CT_tram!$B$1511:$G$1625,kl!B312,CT_tram!$G$1511:$G$1625)</f>
        <v>0</v>
      </c>
      <c r="Z312" s="775">
        <f ca="1">SUMIF(CT_tram!$B$1632:$G$2211,kl!B312,CT_tram!$G$1632:$G$2211)</f>
        <v>0</v>
      </c>
      <c r="AA312" s="775">
        <f ca="1">SUMIF(CT_tram!$B$2243:$G$2384,kl!B312,CT_tram!$G$2243:$G$2384)</f>
        <v>0</v>
      </c>
      <c r="AB312" s="775">
        <f ca="1">SUMIF(CT_tram!$B$2391:$G$2563,kl!B312,CT_tram!$G$2391:$G$2563)</f>
        <v>0</v>
      </c>
      <c r="AC312" s="775">
        <f ca="1">SUMIF(chitiet!$B$13:$N$2352,kl!$B312,chitiet!$I$13:$I$2352)</f>
        <v>0</v>
      </c>
      <c r="AD312" s="775">
        <f ca="1">SUMIF(chitiet!$B$13:$N$2352,kl!$B312,chitiet!$J$13:$J$2352)</f>
        <v>0</v>
      </c>
      <c r="AE312" s="775">
        <f ca="1">SUMIF(chitiet!$B$13:$N$2352,kl!$B312,chitiet!$K$13:$K$2352)</f>
        <v>0</v>
      </c>
      <c r="AF312" s="775">
        <f ca="1">SUMIF(chitiet!$B$13:$N$2352,kl!$B312,chitiet!$L$13:$L$2352)</f>
        <v>0</v>
      </c>
      <c r="AG312" s="775">
        <f ca="1">SUMIF(chitiet!$B$13:$N$2352,kl!$B312,chitiet!$M$13)</f>
        <v>0</v>
      </c>
      <c r="AH312" s="775">
        <f ca="1">SUMIF(chitiet!$B$13:$N$2352,kl!$B312,chitiet!$N$13:$N$2352)</f>
        <v>0</v>
      </c>
      <c r="AI312" s="775">
        <f ca="1">SUMIF(chitiet!$B$13:$N$2352,kl!$B312,chitiet!$O$13:$O$2352)</f>
        <v>0</v>
      </c>
      <c r="AJ312" s="775">
        <f ca="1">SUMIF('Cap ngam'!$B$631:$G$723,kl!$B312,'Cap ngam'!$G$631:$G$723)</f>
        <v>0</v>
      </c>
      <c r="AK312" s="775">
        <f ca="1">SUMIF('Cap ngam'!$B$403:$G$628,kl!$B312,'Cap ngam'!G$403:G$628)</f>
        <v>0</v>
      </c>
      <c r="AL312" s="775">
        <f ca="1">SUMIF('Cap ngam'!B$16:G$400,kl!$B312,'Cap ngam'!G$16:G$400)</f>
        <v>0</v>
      </c>
      <c r="AM312" s="776">
        <f>9.02*(1.66+2*0.07)</f>
        <v>16.235999999999997</v>
      </c>
      <c r="AN312" s="775">
        <f t="shared" ca="1" si="181"/>
        <v>0</v>
      </c>
      <c r="AO312" s="775">
        <f t="shared" ca="1" si="182"/>
        <v>0</v>
      </c>
      <c r="AP312" s="775">
        <f t="shared" ca="1" si="183"/>
        <v>0</v>
      </c>
      <c r="AQ312" s="775">
        <f t="shared" ca="1" si="184"/>
        <v>0</v>
      </c>
      <c r="AR312" s="775">
        <f t="shared" ca="1" si="185"/>
        <v>0</v>
      </c>
      <c r="AS312" s="775">
        <f t="shared" ca="1" si="186"/>
        <v>0</v>
      </c>
      <c r="AT312" s="775">
        <f t="shared" ca="1" si="187"/>
        <v>0</v>
      </c>
      <c r="AU312" s="775">
        <f t="shared" ca="1" si="188"/>
        <v>0</v>
      </c>
      <c r="AV312" s="775">
        <f t="shared" ca="1" si="189"/>
        <v>0</v>
      </c>
      <c r="AW312" s="775">
        <f t="shared" ca="1" si="190"/>
        <v>0</v>
      </c>
      <c r="AX312" s="775">
        <f t="shared" si="191"/>
        <v>0</v>
      </c>
      <c r="AY312" s="775">
        <f t="shared" ca="1" si="192"/>
        <v>0</v>
      </c>
      <c r="AZ312" s="775">
        <f t="shared" si="193"/>
        <v>0</v>
      </c>
      <c r="BA312" s="775">
        <f t="shared" ca="1" si="172"/>
        <v>0</v>
      </c>
      <c r="BB312" s="775">
        <f t="shared" ca="1" si="173"/>
        <v>0</v>
      </c>
      <c r="BC312" s="775">
        <f t="shared" ca="1" si="174"/>
        <v>0</v>
      </c>
      <c r="BD312" s="775">
        <f t="shared" ca="1" si="175"/>
        <v>0</v>
      </c>
      <c r="BE312" s="775">
        <f t="shared" ca="1" si="176"/>
        <v>0</v>
      </c>
      <c r="BF312" s="775">
        <f t="shared" ca="1" si="177"/>
        <v>0</v>
      </c>
      <c r="BG312" s="775">
        <f t="shared" ca="1" si="178"/>
        <v>0</v>
      </c>
      <c r="BH312" s="775">
        <f t="shared" ca="1" si="194"/>
        <v>0</v>
      </c>
      <c r="BI312" s="775">
        <f t="shared" ca="1" si="195"/>
        <v>0</v>
      </c>
      <c r="BJ312" s="775">
        <f t="shared" ca="1" si="196"/>
        <v>0</v>
      </c>
      <c r="BK312" s="775">
        <f t="shared" ca="1" si="197"/>
        <v>0</v>
      </c>
      <c r="BL312" s="775">
        <f t="shared" ca="1" si="198"/>
        <v>0</v>
      </c>
      <c r="BM312" s="775">
        <f t="shared" ca="1" si="199"/>
        <v>0</v>
      </c>
      <c r="BN312" s="775">
        <f t="shared" ca="1" si="200"/>
        <v>0</v>
      </c>
      <c r="BO312" s="775">
        <f t="shared" ca="1" si="201"/>
        <v>0</v>
      </c>
      <c r="BP312" s="775">
        <f t="shared" ca="1" si="202"/>
        <v>0</v>
      </c>
      <c r="BQ312" s="775">
        <f t="shared" ca="1" si="170"/>
        <v>0</v>
      </c>
      <c r="BR312" s="775">
        <f t="shared" ca="1" si="203"/>
        <v>0</v>
      </c>
    </row>
    <row r="313" spans="1:70">
      <c r="A313" s="767" t="str">
        <f ca="1">IF(F313&lt;&gt;0,"X","")</f>
        <v/>
      </c>
      <c r="B313" s="799" t="s">
        <v>4938</v>
      </c>
      <c r="C313" s="188" t="str">
        <f ca="1">IF(F313=0,"",COUNTIF($F$78:$F313,"&gt;0"))</f>
        <v/>
      </c>
      <c r="D313" s="778" t="str">
        <f>VLOOKUP($B313,dongia1,DG!$C$5,)</f>
        <v>Sắt góc L75 x75 x8x2200 (4 ốp)</v>
      </c>
      <c r="E313" s="555" t="str">
        <f>VLOOKUP($B313,dongia1,DG!$D$5,)</f>
        <v xml:space="preserve">thanh </v>
      </c>
      <c r="F313" s="975">
        <f ca="1">G313+H313</f>
        <v>0</v>
      </c>
      <c r="G313" s="976">
        <f ca="1">SUM(AC313:AL313)</f>
        <v>0</v>
      </c>
      <c r="H313" s="976">
        <f ca="1">SUMIF(CT_tram!$B$33:$G$3559,kl!B313,CT_tram!$G$33:$G$3559)</f>
        <v>0</v>
      </c>
      <c r="I313" s="775">
        <f ca="1">SUMIF(CT_tram!$B$34:$G$115,$B313,CT_tram!$G$34:$G$115)</f>
        <v>0</v>
      </c>
      <c r="J313" s="775">
        <f ca="1">SUMIF(CT_tram!$B$122:$G$204,$B313,CT_tram!$G$122:$G$204)</f>
        <v>0</v>
      </c>
      <c r="K313" s="775">
        <f ca="1">SUMIF(CT_tram!$B$211:$G$293,$B313,CT_tram!$G$211:$G$293)</f>
        <v>0</v>
      </c>
      <c r="L313" s="775">
        <f ca="1">SUMIF(CT_tram!$B$300:$G$374,$B313,CT_tram!$G$300:$G$374)</f>
        <v>0</v>
      </c>
      <c r="M313" s="775">
        <f ca="1">SUMIF(CT_tram!$B$381:$G$471,$B313,CT_tram!$G$381:$G$471)</f>
        <v>0</v>
      </c>
      <c r="N313" s="775">
        <f ca="1">SUMIF(CT_tram!$B$478:$G$560,$B313,CT_tram!$G$478:$G$560)</f>
        <v>0</v>
      </c>
      <c r="O313" s="775">
        <f ca="1">SUMIF(CT_tram!$B$567:$G$653,$B313,CT_tram!$G$567:$G$653)</f>
        <v>0</v>
      </c>
      <c r="P313" s="775">
        <f ca="1">SUMIF(CT_tram!$B$661:$G$738,$B313,CT_tram!$G$661:$G$738)</f>
        <v>0</v>
      </c>
      <c r="Q313" s="775">
        <f ca="1">SUMIF(CT_tram!$B$745:$G$899,$B313,CT_tram!$G$745:$G$899)</f>
        <v>0</v>
      </c>
      <c r="R313" s="775">
        <f ca="1">SUMIF(CT_tram!$B$907:$G$995,$B313,CT_tram!$G$907:$G$995)</f>
        <v>0</v>
      </c>
      <c r="S313" s="775"/>
      <c r="T313" s="775">
        <f ca="1">SUMIF(CT_tram!$B$1004:$G$1097,B313,CT_tram!$G$1004:$G$1097)</f>
        <v>0</v>
      </c>
      <c r="U313" s="775"/>
      <c r="V313" s="775">
        <f ca="1">SUMIF(CT_tram!$B$1226:$G$1352,kl!B313,CT_tram!$G$1226:$G$1352)</f>
        <v>0</v>
      </c>
      <c r="W313" s="780">
        <f ca="1">SUMIF(CT_tram!$B$1105:$G$1219,kl!B313,CT_tram!$G$1105:$G$1219)</f>
        <v>0</v>
      </c>
      <c r="X313" s="775">
        <f ca="1">SUMIF(CT_tram!$B$1359:$G$1504,kl!B313,CT_tram!$G$1359:$G$1504)</f>
        <v>0</v>
      </c>
      <c r="Y313" s="775">
        <f ca="1">SUMIF(CT_tram!$B$1511:$G$1625,kl!B313,CT_tram!$G$1511:$G$1625)</f>
        <v>0</v>
      </c>
      <c r="Z313" s="775">
        <f ca="1">SUMIF(CT_tram!$B$1632:$G$2211,kl!B313,CT_tram!$G$1632:$G$2211)</f>
        <v>0</v>
      </c>
      <c r="AA313" s="775">
        <f ca="1">SUMIF(CT_tram!$B$2243:$G$2384,kl!B313,CT_tram!$G$2243:$G$2384)</f>
        <v>0</v>
      </c>
      <c r="AB313" s="775">
        <f ca="1">SUMIF(CT_tram!$B$2391:$G$2563,kl!B313,CT_tram!$G$2391:$G$2563)</f>
        <v>0</v>
      </c>
      <c r="AC313" s="775">
        <f ca="1">SUMIF(chitiet!$B$13:$N$2352,kl!$B313,chitiet!$I$13:$I$2352)</f>
        <v>0</v>
      </c>
      <c r="AD313" s="775">
        <f ca="1">SUMIF(chitiet!$B$13:$N$2352,kl!$B313,chitiet!$J$13:$J$2352)</f>
        <v>0</v>
      </c>
      <c r="AE313" s="775">
        <f ca="1">SUMIF(chitiet!$B$13:$N$2352,kl!$B313,chitiet!$K$13:$K$2352)</f>
        <v>0</v>
      </c>
      <c r="AF313" s="775">
        <f ca="1">SUMIF(chitiet!$B$13:$N$2352,kl!$B313,chitiet!$L$13:$L$2352)</f>
        <v>0</v>
      </c>
      <c r="AG313" s="775">
        <f ca="1">SUMIF(chitiet!$B$13:$N$2352,kl!$B313,chitiet!$M$13)</f>
        <v>0</v>
      </c>
      <c r="AH313" s="775">
        <f ca="1">SUMIF(chitiet!$B$13:$N$2352,kl!$B313,chitiet!$N$13:$N$2352)</f>
        <v>0</v>
      </c>
      <c r="AI313" s="775">
        <f ca="1">SUMIF(chitiet!$B$13:$N$2352,kl!$B313,chitiet!$O$13:$O$2352)</f>
        <v>0</v>
      </c>
      <c r="AJ313" s="775">
        <f ca="1">SUMIF('Cap ngam'!$B$631:$G$723,kl!$B313,'Cap ngam'!$G$631:$G$723)</f>
        <v>0</v>
      </c>
      <c r="AK313" s="775">
        <f ca="1">SUMIF('Cap ngam'!$B$403:$G$628,kl!$B313,'Cap ngam'!G$403:G$628)</f>
        <v>0</v>
      </c>
      <c r="AL313" s="775">
        <f ca="1">SUMIF('Cap ngam'!B$16:G$400,kl!$B313,'Cap ngam'!G$16:G$400)</f>
        <v>0</v>
      </c>
      <c r="AM313" s="776">
        <f>9.02*(2.2+4*0.07)</f>
        <v>22.369600000000002</v>
      </c>
      <c r="AN313" s="775">
        <f t="shared" ref="AN313:AW315" ca="1" si="210">I313*$AM313</f>
        <v>0</v>
      </c>
      <c r="AO313" s="775">
        <f t="shared" ca="1" si="210"/>
        <v>0</v>
      </c>
      <c r="AP313" s="775">
        <f t="shared" ca="1" si="210"/>
        <v>0</v>
      </c>
      <c r="AQ313" s="775">
        <f t="shared" ca="1" si="210"/>
        <v>0</v>
      </c>
      <c r="AR313" s="775">
        <f t="shared" ca="1" si="210"/>
        <v>0</v>
      </c>
      <c r="AS313" s="775">
        <f t="shared" ca="1" si="210"/>
        <v>0</v>
      </c>
      <c r="AT313" s="775">
        <f t="shared" ca="1" si="210"/>
        <v>0</v>
      </c>
      <c r="AU313" s="775">
        <f t="shared" ca="1" si="210"/>
        <v>0</v>
      </c>
      <c r="AV313" s="775">
        <f t="shared" ca="1" si="210"/>
        <v>0</v>
      </c>
      <c r="AW313" s="775">
        <f t="shared" ca="1" si="210"/>
        <v>0</v>
      </c>
      <c r="AX313" s="775">
        <f t="shared" si="191"/>
        <v>0</v>
      </c>
      <c r="AY313" s="775">
        <f t="shared" ca="1" si="192"/>
        <v>0</v>
      </c>
      <c r="AZ313" s="775">
        <f t="shared" si="193"/>
        <v>0</v>
      </c>
      <c r="BA313" s="775">
        <f t="shared" ca="1" si="172"/>
        <v>0</v>
      </c>
      <c r="BB313" s="775">
        <f t="shared" ca="1" si="173"/>
        <v>0</v>
      </c>
      <c r="BC313" s="775">
        <f t="shared" ca="1" si="174"/>
        <v>0</v>
      </c>
      <c r="BD313" s="775">
        <f t="shared" ca="1" si="175"/>
        <v>0</v>
      </c>
      <c r="BE313" s="775">
        <f t="shared" ca="1" si="176"/>
        <v>0</v>
      </c>
      <c r="BF313" s="775">
        <f t="shared" ca="1" si="177"/>
        <v>0</v>
      </c>
      <c r="BG313" s="775">
        <f t="shared" ca="1" si="178"/>
        <v>0</v>
      </c>
      <c r="BH313" s="775">
        <f t="shared" ca="1" si="194"/>
        <v>0</v>
      </c>
      <c r="BI313" s="775">
        <f t="shared" ca="1" si="195"/>
        <v>0</v>
      </c>
      <c r="BJ313" s="775">
        <f t="shared" ca="1" si="196"/>
        <v>0</v>
      </c>
      <c r="BK313" s="775">
        <f t="shared" ca="1" si="197"/>
        <v>0</v>
      </c>
      <c r="BL313" s="775">
        <f t="shared" ca="1" si="198"/>
        <v>0</v>
      </c>
      <c r="BM313" s="775">
        <f t="shared" ca="1" si="199"/>
        <v>0</v>
      </c>
      <c r="BN313" s="775">
        <f t="shared" ca="1" si="200"/>
        <v>0</v>
      </c>
      <c r="BO313" s="775">
        <f t="shared" ca="1" si="201"/>
        <v>0</v>
      </c>
      <c r="BP313" s="775">
        <f t="shared" ca="1" si="202"/>
        <v>0</v>
      </c>
      <c r="BQ313" s="775">
        <f t="shared" ca="1" si="170"/>
        <v>0</v>
      </c>
      <c r="BR313" s="775">
        <f t="shared" ca="1" si="203"/>
        <v>0</v>
      </c>
    </row>
    <row r="314" spans="1:70">
      <c r="A314" s="767" t="str">
        <f ca="1">IF(F314&lt;&gt;0,"X","")</f>
        <v/>
      </c>
      <c r="B314" s="799" t="s">
        <v>4940</v>
      </c>
      <c r="C314" s="188" t="str">
        <f ca="1">IF(F314=0,"",COUNTIF($F$78:$F314,"&gt;0"))</f>
        <v/>
      </c>
      <c r="D314" s="778" t="str">
        <f>VLOOKUP($B314,dongia1,DG!$C$5,)</f>
        <v>Sắt góc L75 x75 x8 x2000 (3 ốp)</v>
      </c>
      <c r="E314" s="555" t="str">
        <f>VLOOKUP($B314,dongia1,DG!$D$5,)</f>
        <v xml:space="preserve">thanh </v>
      </c>
      <c r="F314" s="975">
        <f ca="1">G314+H314</f>
        <v>0</v>
      </c>
      <c r="G314" s="976">
        <f ca="1">SUM(AC314:AL314)</f>
        <v>0</v>
      </c>
      <c r="H314" s="976">
        <f ca="1">SUMIF(CT_tram!$B$33:$G$3559,kl!B314,CT_tram!$G$33:$G$3559)</f>
        <v>0</v>
      </c>
      <c r="I314" s="775">
        <f ca="1">SUMIF(CT_tram!$B$34:$G$115,$B314,CT_tram!$G$34:$G$115)</f>
        <v>0</v>
      </c>
      <c r="J314" s="775">
        <f ca="1">SUMIF(CT_tram!$B$122:$G$204,$B314,CT_tram!$G$122:$G$204)</f>
        <v>0</v>
      </c>
      <c r="K314" s="775">
        <f ca="1">SUMIF(CT_tram!$B$211:$G$293,$B314,CT_tram!$G$211:$G$293)</f>
        <v>0</v>
      </c>
      <c r="L314" s="775">
        <f ca="1">SUMIF(CT_tram!$B$300:$G$374,$B314,CT_tram!$G$300:$G$374)</f>
        <v>0</v>
      </c>
      <c r="M314" s="775">
        <f ca="1">SUMIF(CT_tram!$B$381:$G$471,$B314,CT_tram!$G$381:$G$471)</f>
        <v>0</v>
      </c>
      <c r="N314" s="775">
        <f ca="1">SUMIF(CT_tram!$B$478:$G$560,$B314,CT_tram!$G$478:$G$560)</f>
        <v>0</v>
      </c>
      <c r="O314" s="775">
        <f ca="1">SUMIF(CT_tram!$B$567:$G$653,$B314,CT_tram!$G$567:$G$653)</f>
        <v>0</v>
      </c>
      <c r="P314" s="775">
        <f ca="1">SUMIF(CT_tram!$B$661:$G$738,$B314,CT_tram!$G$661:$G$738)</f>
        <v>0</v>
      </c>
      <c r="Q314" s="775">
        <f ca="1">SUMIF(CT_tram!$B$745:$G$899,$B314,CT_tram!$G$745:$G$899)</f>
        <v>0</v>
      </c>
      <c r="R314" s="775">
        <f ca="1">SUMIF(CT_tram!$B$907:$G$995,$B314,CT_tram!$G$907:$G$995)</f>
        <v>0</v>
      </c>
      <c r="S314" s="775"/>
      <c r="T314" s="775">
        <f ca="1">SUMIF(CT_tram!$B$1004:$G$1097,B314,CT_tram!$G$1004:$G$1097)</f>
        <v>0</v>
      </c>
      <c r="U314" s="775"/>
      <c r="V314" s="775">
        <f ca="1">SUMIF(CT_tram!$B$1226:$G$1352,kl!B314,CT_tram!$G$1226:$G$1352)</f>
        <v>0</v>
      </c>
      <c r="W314" s="780">
        <f ca="1">SUMIF(CT_tram!$B$1105:$G$1219,kl!B314,CT_tram!$G$1105:$G$1219)</f>
        <v>0</v>
      </c>
      <c r="X314" s="775">
        <f ca="1">SUMIF(CT_tram!$B$1359:$G$1504,kl!B314,CT_tram!$G$1359:$G$1504)</f>
        <v>0</v>
      </c>
      <c r="Y314" s="775">
        <f ca="1">SUMIF(CT_tram!$B$1511:$G$1625,kl!B314,CT_tram!$G$1511:$G$1625)</f>
        <v>0</v>
      </c>
      <c r="Z314" s="775">
        <f ca="1">SUMIF(CT_tram!$B$1632:$G$2211,kl!B314,CT_tram!$G$1632:$G$2211)</f>
        <v>0</v>
      </c>
      <c r="AA314" s="775">
        <f ca="1">SUMIF(CT_tram!$B$2243:$G$2384,kl!B314,CT_tram!$G$2243:$G$2384)</f>
        <v>0</v>
      </c>
      <c r="AB314" s="775">
        <f ca="1">SUMIF(CT_tram!$B$2391:$G$2563,kl!B314,CT_tram!$G$2391:$G$2563)</f>
        <v>0</v>
      </c>
      <c r="AC314" s="775">
        <f ca="1">SUMIF(chitiet!$B$13:$N$2352,kl!$B314,chitiet!$I$13:$I$2352)</f>
        <v>0</v>
      </c>
      <c r="AD314" s="775">
        <f ca="1">SUMIF(chitiet!$B$13:$N$2352,kl!$B314,chitiet!$J$13:$J$2352)</f>
        <v>0</v>
      </c>
      <c r="AE314" s="775">
        <f ca="1">SUMIF(chitiet!$B$13:$N$2352,kl!$B314,chitiet!$K$13:$K$2352)</f>
        <v>0</v>
      </c>
      <c r="AF314" s="775">
        <f ca="1">SUMIF(chitiet!$B$13:$N$2352,kl!$B314,chitiet!$L$13:$L$2352)</f>
        <v>0</v>
      </c>
      <c r="AG314" s="775">
        <f ca="1">SUMIF(chitiet!$B$13:$N$2352,kl!$B314,chitiet!$M$13)</f>
        <v>0</v>
      </c>
      <c r="AH314" s="775">
        <f ca="1">SUMIF(chitiet!$B$13:$N$2352,kl!$B314,chitiet!$N$13:$N$2352)</f>
        <v>0</v>
      </c>
      <c r="AI314" s="775">
        <f ca="1">SUMIF(chitiet!$B$13:$N$2352,kl!$B314,chitiet!$O$13:$O$2352)</f>
        <v>0</v>
      </c>
      <c r="AJ314" s="775">
        <f ca="1">SUMIF('Cap ngam'!$B$631:$G$723,kl!$B314,'Cap ngam'!$G$631:$G$723)</f>
        <v>0</v>
      </c>
      <c r="AK314" s="775">
        <f ca="1">SUMIF('Cap ngam'!$B$403:$G$628,kl!$B314,'Cap ngam'!G$403:G$628)</f>
        <v>0</v>
      </c>
      <c r="AL314" s="775">
        <f ca="1">SUMIF('Cap ngam'!B$16:G$400,kl!$B314,'Cap ngam'!G$16:G$400)</f>
        <v>0</v>
      </c>
      <c r="AM314" s="776">
        <f>9.02*(2+3*0.07)</f>
        <v>19.934199999999997</v>
      </c>
      <c r="AN314" s="775">
        <f t="shared" ca="1" si="210"/>
        <v>0</v>
      </c>
      <c r="AO314" s="775">
        <f t="shared" ca="1" si="210"/>
        <v>0</v>
      </c>
      <c r="AP314" s="775">
        <f t="shared" ca="1" si="210"/>
        <v>0</v>
      </c>
      <c r="AQ314" s="775">
        <f t="shared" ca="1" si="210"/>
        <v>0</v>
      </c>
      <c r="AR314" s="775">
        <f t="shared" ca="1" si="210"/>
        <v>0</v>
      </c>
      <c r="AS314" s="775">
        <f t="shared" ca="1" si="210"/>
        <v>0</v>
      </c>
      <c r="AT314" s="775">
        <f t="shared" ca="1" si="210"/>
        <v>0</v>
      </c>
      <c r="AU314" s="775">
        <f t="shared" ca="1" si="210"/>
        <v>0</v>
      </c>
      <c r="AV314" s="775">
        <f t="shared" ca="1" si="210"/>
        <v>0</v>
      </c>
      <c r="AW314" s="775">
        <f t="shared" ca="1" si="210"/>
        <v>0</v>
      </c>
      <c r="AX314" s="775">
        <f t="shared" si="191"/>
        <v>0</v>
      </c>
      <c r="AY314" s="775">
        <f t="shared" ca="1" si="192"/>
        <v>0</v>
      </c>
      <c r="AZ314" s="775">
        <f t="shared" si="193"/>
        <v>0</v>
      </c>
      <c r="BA314" s="775">
        <f t="shared" ca="1" si="172"/>
        <v>0</v>
      </c>
      <c r="BB314" s="775">
        <f t="shared" ca="1" si="173"/>
        <v>0</v>
      </c>
      <c r="BC314" s="775">
        <f t="shared" ca="1" si="174"/>
        <v>0</v>
      </c>
      <c r="BD314" s="775">
        <f t="shared" ca="1" si="175"/>
        <v>0</v>
      </c>
      <c r="BE314" s="775">
        <f t="shared" ca="1" si="176"/>
        <v>0</v>
      </c>
      <c r="BF314" s="775">
        <f t="shared" ca="1" si="177"/>
        <v>0</v>
      </c>
      <c r="BG314" s="775">
        <f t="shared" ca="1" si="178"/>
        <v>0</v>
      </c>
      <c r="BH314" s="775">
        <f t="shared" ca="1" si="194"/>
        <v>0</v>
      </c>
      <c r="BI314" s="775">
        <f t="shared" ca="1" si="195"/>
        <v>0</v>
      </c>
      <c r="BJ314" s="775">
        <f t="shared" ca="1" si="196"/>
        <v>0</v>
      </c>
      <c r="BK314" s="775">
        <f t="shared" ca="1" si="197"/>
        <v>0</v>
      </c>
      <c r="BL314" s="775">
        <f t="shared" ca="1" si="198"/>
        <v>0</v>
      </c>
      <c r="BM314" s="775">
        <f t="shared" ca="1" si="199"/>
        <v>0</v>
      </c>
      <c r="BN314" s="775">
        <f t="shared" ca="1" si="200"/>
        <v>0</v>
      </c>
      <c r="BO314" s="775">
        <f t="shared" ca="1" si="201"/>
        <v>0</v>
      </c>
      <c r="BP314" s="775">
        <f t="shared" ca="1" si="202"/>
        <v>0</v>
      </c>
      <c r="BQ314" s="775">
        <f t="shared" ca="1" si="170"/>
        <v>0</v>
      </c>
      <c r="BR314" s="775">
        <f t="shared" ca="1" si="203"/>
        <v>0</v>
      </c>
    </row>
    <row r="315" spans="1:70">
      <c r="A315" s="767" t="str">
        <f ca="1">IF(F315&lt;&gt;0,"X","")</f>
        <v/>
      </c>
      <c r="B315" s="799" t="s">
        <v>4942</v>
      </c>
      <c r="C315" s="188" t="str">
        <f ca="1">IF(F315=0,"",COUNTIF($F$78:$F315,"&gt;0"))</f>
        <v/>
      </c>
      <c r="D315" s="778" t="str">
        <f>VLOOKUP($B315,dongia1,DG!$C$5,)</f>
        <v>Sắt góc L75 x75 x8x2600 (3 ốp)</v>
      </c>
      <c r="E315" s="555" t="str">
        <f>VLOOKUP($B315,dongia1,DG!$D$5,)</f>
        <v xml:space="preserve">thanh </v>
      </c>
      <c r="F315" s="975">
        <f ca="1">G315+H315</f>
        <v>0</v>
      </c>
      <c r="G315" s="976">
        <f ca="1">SUM(AC315:AL315)</f>
        <v>0</v>
      </c>
      <c r="H315" s="976">
        <f ca="1">SUMIF(CT_tram!$B$33:$G$3559,kl!B315,CT_tram!$G$33:$G$3559)</f>
        <v>0</v>
      </c>
      <c r="I315" s="775">
        <f ca="1">SUMIF(CT_tram!$B$34:$G$115,$B315,CT_tram!$G$34:$G$115)</f>
        <v>0</v>
      </c>
      <c r="J315" s="775">
        <f ca="1">SUMIF(CT_tram!$B$122:$G$204,$B315,CT_tram!$G$122:$G$204)</f>
        <v>0</v>
      </c>
      <c r="K315" s="775">
        <f ca="1">SUMIF(CT_tram!$B$211:$G$293,$B315,CT_tram!$G$211:$G$293)</f>
        <v>0</v>
      </c>
      <c r="L315" s="775">
        <f ca="1">SUMIF(CT_tram!$B$300:$G$374,$B315,CT_tram!$G$300:$G$374)</f>
        <v>0</v>
      </c>
      <c r="M315" s="775">
        <f ca="1">SUMIF(CT_tram!$B$381:$G$471,$B315,CT_tram!$G$381:$G$471)</f>
        <v>0</v>
      </c>
      <c r="N315" s="775">
        <f ca="1">SUMIF(CT_tram!$B$478:$G$560,$B315,CT_tram!$G$478:$G$560)</f>
        <v>0</v>
      </c>
      <c r="O315" s="775">
        <f ca="1">SUMIF(CT_tram!$B$567:$G$653,$B315,CT_tram!$G$567:$G$653)</f>
        <v>0</v>
      </c>
      <c r="P315" s="775">
        <f ca="1">SUMIF(CT_tram!$B$661:$G$738,$B315,CT_tram!$G$661:$G$738)</f>
        <v>0</v>
      </c>
      <c r="Q315" s="775">
        <f ca="1">SUMIF(CT_tram!$B$745:$G$899,$B315,CT_tram!$G$745:$G$899)</f>
        <v>0</v>
      </c>
      <c r="R315" s="775">
        <f ca="1">SUMIF(CT_tram!$B$907:$G$995,$B315,CT_tram!$G$907:$G$995)</f>
        <v>0</v>
      </c>
      <c r="S315" s="775"/>
      <c r="T315" s="775">
        <f ca="1">SUMIF(CT_tram!$B$1004:$G$1097,B315,CT_tram!$G$1004:$G$1097)</f>
        <v>0</v>
      </c>
      <c r="U315" s="775"/>
      <c r="V315" s="775">
        <f ca="1">SUMIF(CT_tram!$B$1226:$G$1352,kl!B315,CT_tram!$G$1226:$G$1352)</f>
        <v>0</v>
      </c>
      <c r="W315" s="780">
        <f ca="1">SUMIF(CT_tram!$B$1105:$G$1219,kl!B315,CT_tram!$G$1105:$G$1219)</f>
        <v>0</v>
      </c>
      <c r="X315" s="775">
        <f ca="1">SUMIF(CT_tram!$B$1359:$G$1504,kl!B315,CT_tram!$G$1359:$G$1504)</f>
        <v>0</v>
      </c>
      <c r="Y315" s="775">
        <f ca="1">SUMIF(CT_tram!$B$1511:$G$1625,kl!B315,CT_tram!$G$1511:$G$1625)</f>
        <v>0</v>
      </c>
      <c r="Z315" s="775">
        <f ca="1">SUMIF(CT_tram!$B$1632:$G$2211,kl!B315,CT_tram!$G$1632:$G$2211)</f>
        <v>0</v>
      </c>
      <c r="AA315" s="775">
        <f ca="1">SUMIF(CT_tram!$B$2243:$G$2384,kl!B315,CT_tram!$G$2243:$G$2384)</f>
        <v>0</v>
      </c>
      <c r="AB315" s="775">
        <f ca="1">SUMIF(CT_tram!$B$2391:$G$2563,kl!B315,CT_tram!$G$2391:$G$2563)</f>
        <v>0</v>
      </c>
      <c r="AC315" s="775">
        <f ca="1">SUMIF(chitiet!$B$13:$N$2352,kl!$B315,chitiet!$I$13:$I$2352)</f>
        <v>0</v>
      </c>
      <c r="AD315" s="775">
        <f ca="1">SUMIF(chitiet!$B$13:$N$2352,kl!$B315,chitiet!$J$13:$J$2352)</f>
        <v>0</v>
      </c>
      <c r="AE315" s="775">
        <f ca="1">SUMIF(chitiet!$B$13:$N$2352,kl!$B315,chitiet!$K$13:$K$2352)</f>
        <v>0</v>
      </c>
      <c r="AF315" s="775">
        <f ca="1">SUMIF(chitiet!$B$13:$N$2352,kl!$B315,chitiet!$L$13:$L$2352)</f>
        <v>0</v>
      </c>
      <c r="AG315" s="775">
        <f ca="1">SUMIF(chitiet!$B$13:$N$2352,kl!$B315,chitiet!$M$13)</f>
        <v>0</v>
      </c>
      <c r="AH315" s="775">
        <f ca="1">SUMIF(chitiet!$B$13:$N$2352,kl!$B315,chitiet!$N$13:$N$2352)</f>
        <v>0</v>
      </c>
      <c r="AI315" s="775">
        <f ca="1">SUMIF(chitiet!$B$13:$N$2352,kl!$B315,chitiet!$O$13:$O$2352)</f>
        <v>0</v>
      </c>
      <c r="AJ315" s="775">
        <f ca="1">SUMIF('Cap ngam'!$B$631:$G$723,kl!$B315,'Cap ngam'!$G$631:$G$723)</f>
        <v>0</v>
      </c>
      <c r="AK315" s="775">
        <f ca="1">SUMIF('Cap ngam'!$B$403:$G$628,kl!$B315,'Cap ngam'!G$403:G$628)</f>
        <v>0</v>
      </c>
      <c r="AL315" s="775">
        <f ca="1">SUMIF('Cap ngam'!B$16:G$400,kl!$B315,'Cap ngam'!G$16:G$400)</f>
        <v>0</v>
      </c>
      <c r="AM315" s="776">
        <f>9.02*(2.6+3*0.07)</f>
        <v>25.3462</v>
      </c>
      <c r="AN315" s="775">
        <f t="shared" ca="1" si="210"/>
        <v>0</v>
      </c>
      <c r="AO315" s="775">
        <f t="shared" ca="1" si="210"/>
        <v>0</v>
      </c>
      <c r="AP315" s="775">
        <f t="shared" ca="1" si="210"/>
        <v>0</v>
      </c>
      <c r="AQ315" s="775">
        <f t="shared" ca="1" si="210"/>
        <v>0</v>
      </c>
      <c r="AR315" s="775">
        <f t="shared" ca="1" si="210"/>
        <v>0</v>
      </c>
      <c r="AS315" s="775">
        <f t="shared" ca="1" si="210"/>
        <v>0</v>
      </c>
      <c r="AT315" s="775">
        <f t="shared" ca="1" si="210"/>
        <v>0</v>
      </c>
      <c r="AU315" s="775">
        <f t="shared" ca="1" si="210"/>
        <v>0</v>
      </c>
      <c r="AV315" s="775">
        <f t="shared" ca="1" si="210"/>
        <v>0</v>
      </c>
      <c r="AW315" s="775">
        <f t="shared" ca="1" si="210"/>
        <v>0</v>
      </c>
      <c r="AX315" s="775">
        <f t="shared" si="191"/>
        <v>0</v>
      </c>
      <c r="AY315" s="775">
        <f t="shared" ca="1" si="192"/>
        <v>0</v>
      </c>
      <c r="AZ315" s="775">
        <f t="shared" si="193"/>
        <v>0</v>
      </c>
      <c r="BA315" s="775">
        <f t="shared" ca="1" si="172"/>
        <v>0</v>
      </c>
      <c r="BB315" s="775">
        <f t="shared" ca="1" si="173"/>
        <v>0</v>
      </c>
      <c r="BC315" s="775">
        <f t="shared" ca="1" si="174"/>
        <v>0</v>
      </c>
      <c r="BD315" s="775">
        <f t="shared" ca="1" si="175"/>
        <v>0</v>
      </c>
      <c r="BE315" s="775">
        <f t="shared" ca="1" si="176"/>
        <v>0</v>
      </c>
      <c r="BF315" s="775">
        <f t="shared" ca="1" si="177"/>
        <v>0</v>
      </c>
      <c r="BG315" s="775">
        <f t="shared" ca="1" si="178"/>
        <v>0</v>
      </c>
      <c r="BH315" s="775">
        <f t="shared" ca="1" si="194"/>
        <v>0</v>
      </c>
      <c r="BI315" s="775">
        <f t="shared" ca="1" si="195"/>
        <v>0</v>
      </c>
      <c r="BJ315" s="775">
        <f t="shared" ca="1" si="196"/>
        <v>0</v>
      </c>
      <c r="BK315" s="775">
        <f t="shared" ca="1" si="197"/>
        <v>0</v>
      </c>
      <c r="BL315" s="775">
        <f t="shared" ca="1" si="198"/>
        <v>0</v>
      </c>
      <c r="BM315" s="775">
        <f t="shared" ca="1" si="199"/>
        <v>0</v>
      </c>
      <c r="BN315" s="775">
        <f t="shared" ca="1" si="200"/>
        <v>0</v>
      </c>
      <c r="BO315" s="775">
        <f t="shared" ca="1" si="201"/>
        <v>0</v>
      </c>
      <c r="BP315" s="775">
        <f t="shared" ca="1" si="202"/>
        <v>0</v>
      </c>
      <c r="BQ315" s="775">
        <f t="shared" ca="1" si="170"/>
        <v>0</v>
      </c>
      <c r="BR315" s="775">
        <f t="shared" ca="1" si="203"/>
        <v>0</v>
      </c>
    </row>
    <row r="316" spans="1:70">
      <c r="A316" s="767" t="str">
        <f t="shared" ca="1" si="162"/>
        <v/>
      </c>
      <c r="B316" s="799" t="s">
        <v>4970</v>
      </c>
      <c r="C316" s="188" t="str">
        <f ca="1">IF(F316=0,"",COUNTIF($F$78:$F316,"&gt;0"))</f>
        <v/>
      </c>
      <c r="D316" s="778" t="str">
        <f>VLOOKUP($B316,dongia1,DG!$C$5,)</f>
        <v>Sắt góc L75 x75 x8x2100 (3 ốp)</v>
      </c>
      <c r="E316" s="555" t="str">
        <f>VLOOKUP($B316,dongia1,DG!$D$5,)</f>
        <v xml:space="preserve">thanh </v>
      </c>
      <c r="F316" s="975">
        <f t="shared" ca="1" si="171"/>
        <v>0</v>
      </c>
      <c r="G316" s="976">
        <f t="shared" ca="1" si="169"/>
        <v>0</v>
      </c>
      <c r="H316" s="976">
        <f ca="1">SUMIF(CT_tram!$B$33:$G$3559,kl!B316,CT_tram!$G$33:$G$3559)</f>
        <v>0</v>
      </c>
      <c r="I316" s="775">
        <f ca="1">SUMIF(CT_tram!$B$34:$G$115,$B316,CT_tram!$G$34:$G$115)</f>
        <v>0</v>
      </c>
      <c r="J316" s="775">
        <f ca="1">SUMIF(CT_tram!$B$122:$G$204,$B316,CT_tram!$G$122:$G$204)</f>
        <v>0</v>
      </c>
      <c r="K316" s="775">
        <f ca="1">SUMIF(CT_tram!$B$211:$G$293,$B316,CT_tram!$G$211:$G$293)</f>
        <v>0</v>
      </c>
      <c r="L316" s="775">
        <f ca="1">SUMIF(CT_tram!$B$300:$G$374,$B316,CT_tram!$G$300:$G$374)</f>
        <v>0</v>
      </c>
      <c r="M316" s="775">
        <f ca="1">SUMIF(CT_tram!$B$381:$G$471,$B316,CT_tram!$G$381:$G$471)</f>
        <v>0</v>
      </c>
      <c r="N316" s="775">
        <f ca="1">SUMIF(CT_tram!$B$478:$G$560,$B316,CT_tram!$G$478:$G$560)</f>
        <v>0</v>
      </c>
      <c r="O316" s="775">
        <f ca="1">SUMIF(CT_tram!$B$567:$G$653,$B316,CT_tram!$G$567:$G$653)</f>
        <v>0</v>
      </c>
      <c r="P316" s="775">
        <f ca="1">SUMIF(CT_tram!$B$661:$G$738,$B316,CT_tram!$G$661:$G$738)</f>
        <v>0</v>
      </c>
      <c r="Q316" s="775">
        <f ca="1">SUMIF(CT_tram!$B$745:$G$899,$B316,CT_tram!$G$745:$G$899)</f>
        <v>0</v>
      </c>
      <c r="R316" s="775">
        <f ca="1">SUMIF(CT_tram!$B$907:$G$995,$B316,CT_tram!$G$907:$G$995)</f>
        <v>0</v>
      </c>
      <c r="S316" s="775"/>
      <c r="T316" s="775">
        <f ca="1">SUMIF(CT_tram!$B$1004:$G$1097,B316,CT_tram!$G$1004:$G$1097)</f>
        <v>0</v>
      </c>
      <c r="U316" s="775"/>
      <c r="V316" s="775">
        <f ca="1">SUMIF(CT_tram!$B$1226:$G$1352,kl!B316,CT_tram!$G$1226:$G$1352)</f>
        <v>0</v>
      </c>
      <c r="W316" s="780">
        <f ca="1">SUMIF(CT_tram!$B$1105:$G$1219,kl!B316,CT_tram!$G$1105:$G$1219)</f>
        <v>0</v>
      </c>
      <c r="X316" s="775">
        <f ca="1">SUMIF(CT_tram!$B$1359:$G$1504,kl!B316,CT_tram!$G$1359:$G$1504)</f>
        <v>0</v>
      </c>
      <c r="Y316" s="775">
        <f ca="1">SUMIF(CT_tram!$B$1511:$G$1625,kl!B316,CT_tram!$G$1511:$G$1625)</f>
        <v>0</v>
      </c>
      <c r="Z316" s="775">
        <f ca="1">SUMIF(CT_tram!$B$1632:$G$2211,kl!B316,CT_tram!$G$1632:$G$2211)</f>
        <v>0</v>
      </c>
      <c r="AA316" s="775">
        <f ca="1">SUMIF(CT_tram!$B$2243:$G$2384,kl!B316,CT_tram!$G$2243:$G$2384)</f>
        <v>0</v>
      </c>
      <c r="AB316" s="775">
        <f ca="1">SUMIF(CT_tram!$B$2391:$G$2563,kl!B316,CT_tram!$G$2391:$G$2563)</f>
        <v>0</v>
      </c>
      <c r="AC316" s="775">
        <f ca="1">SUMIF(chitiet!$B$13:$N$2352,kl!$B316,chitiet!$I$13:$I$2352)</f>
        <v>0</v>
      </c>
      <c r="AD316" s="775">
        <f ca="1">SUMIF(chitiet!$B$13:$N$2352,kl!$B316,chitiet!$J$13:$J$2352)</f>
        <v>0</v>
      </c>
      <c r="AE316" s="775">
        <f ca="1">SUMIF(chitiet!$B$13:$N$2352,kl!$B316,chitiet!$K$13:$K$2352)</f>
        <v>0</v>
      </c>
      <c r="AF316" s="775">
        <f ca="1">SUMIF(chitiet!$B$13:$N$2352,kl!$B316,chitiet!$L$13:$L$2352)</f>
        <v>0</v>
      </c>
      <c r="AG316" s="775">
        <f ca="1">SUMIF(chitiet!$B$13:$N$2352,kl!$B316,chitiet!$M$13)</f>
        <v>0</v>
      </c>
      <c r="AH316" s="775">
        <f ca="1">SUMIF(chitiet!$B$13:$N$2352,kl!$B316,chitiet!$N$13:$N$2352)</f>
        <v>0</v>
      </c>
      <c r="AI316" s="775">
        <f ca="1">SUMIF(chitiet!$B$13:$N$2352,kl!$B316,chitiet!$O$13:$O$2352)</f>
        <v>0</v>
      </c>
      <c r="AJ316" s="775">
        <f ca="1">SUMIF('Cap ngam'!$B$631:$G$723,kl!$B316,'Cap ngam'!$G$631:$G$723)</f>
        <v>0</v>
      </c>
      <c r="AK316" s="775">
        <f ca="1">SUMIF('Cap ngam'!$B$403:$G$628,kl!$B316,'Cap ngam'!G$403:G$628)</f>
        <v>0</v>
      </c>
      <c r="AL316" s="775">
        <f ca="1">SUMIF('Cap ngam'!B$16:G$400,kl!$B316,'Cap ngam'!G$16:G$400)</f>
        <v>0</v>
      </c>
      <c r="AM316" s="776">
        <f>9.02*(2.1+3*0.07)</f>
        <v>20.836199999999998</v>
      </c>
      <c r="AN316" s="775">
        <f t="shared" ca="1" si="181"/>
        <v>0</v>
      </c>
      <c r="AO316" s="775">
        <f t="shared" ca="1" si="182"/>
        <v>0</v>
      </c>
      <c r="AP316" s="775">
        <f t="shared" ca="1" si="183"/>
        <v>0</v>
      </c>
      <c r="AQ316" s="775">
        <f t="shared" ca="1" si="184"/>
        <v>0</v>
      </c>
      <c r="AR316" s="775">
        <f t="shared" ca="1" si="185"/>
        <v>0</v>
      </c>
      <c r="AS316" s="775">
        <f t="shared" ca="1" si="186"/>
        <v>0</v>
      </c>
      <c r="AT316" s="775">
        <f t="shared" ca="1" si="187"/>
        <v>0</v>
      </c>
      <c r="AU316" s="775">
        <f t="shared" ca="1" si="188"/>
        <v>0</v>
      </c>
      <c r="AV316" s="775">
        <f t="shared" ca="1" si="189"/>
        <v>0</v>
      </c>
      <c r="AW316" s="775">
        <f t="shared" ca="1" si="190"/>
        <v>0</v>
      </c>
      <c r="AX316" s="775">
        <f t="shared" si="191"/>
        <v>0</v>
      </c>
      <c r="AY316" s="775">
        <f t="shared" ca="1" si="192"/>
        <v>0</v>
      </c>
      <c r="AZ316" s="775">
        <f t="shared" si="193"/>
        <v>0</v>
      </c>
      <c r="BA316" s="775">
        <f t="shared" ca="1" si="172"/>
        <v>0</v>
      </c>
      <c r="BB316" s="775">
        <f t="shared" ca="1" si="173"/>
        <v>0</v>
      </c>
      <c r="BC316" s="775">
        <f t="shared" ca="1" si="174"/>
        <v>0</v>
      </c>
      <c r="BD316" s="775">
        <f t="shared" ca="1" si="175"/>
        <v>0</v>
      </c>
      <c r="BE316" s="775">
        <f t="shared" ca="1" si="176"/>
        <v>0</v>
      </c>
      <c r="BF316" s="775">
        <f t="shared" ca="1" si="177"/>
        <v>0</v>
      </c>
      <c r="BG316" s="775">
        <f t="shared" ca="1" si="178"/>
        <v>0</v>
      </c>
      <c r="BH316" s="775">
        <f t="shared" ca="1" si="194"/>
        <v>0</v>
      </c>
      <c r="BI316" s="775">
        <f t="shared" ca="1" si="195"/>
        <v>0</v>
      </c>
      <c r="BJ316" s="775">
        <f t="shared" ca="1" si="196"/>
        <v>0</v>
      </c>
      <c r="BK316" s="775">
        <f t="shared" ca="1" si="197"/>
        <v>0</v>
      </c>
      <c r="BL316" s="775">
        <f t="shared" ca="1" si="198"/>
        <v>0</v>
      </c>
      <c r="BM316" s="775">
        <f t="shared" ca="1" si="199"/>
        <v>0</v>
      </c>
      <c r="BN316" s="775">
        <f t="shared" ca="1" si="200"/>
        <v>0</v>
      </c>
      <c r="BO316" s="775">
        <f t="shared" ca="1" si="201"/>
        <v>0</v>
      </c>
      <c r="BP316" s="775">
        <f t="shared" ca="1" si="202"/>
        <v>0</v>
      </c>
      <c r="BQ316" s="775">
        <f t="shared" ca="1" si="170"/>
        <v>0</v>
      </c>
      <c r="BR316" s="775">
        <f t="shared" ca="1" si="203"/>
        <v>0</v>
      </c>
    </row>
    <row r="317" spans="1:70">
      <c r="A317" s="767" t="str">
        <f t="shared" ref="A317:A323" ca="1" si="211">IF(F317&lt;&gt;0,"X","")</f>
        <v/>
      </c>
      <c r="B317" s="799" t="s">
        <v>1804</v>
      </c>
      <c r="C317" s="188" t="str">
        <f ca="1">IF(F317=0,"",COUNTIF($F$78:$F317,"&gt;0"))</f>
        <v/>
      </c>
      <c r="D317" s="778" t="str">
        <f>VLOOKUP($B317,dongia1,DG!$C$5,)</f>
        <v>Sắt dẹt 50 x 5</v>
      </c>
      <c r="E317" s="555" t="str">
        <f>VLOOKUP($B317,dongia1,DG!$D$5,)</f>
        <v>kg</v>
      </c>
      <c r="F317" s="779">
        <f t="shared" ca="1" si="171"/>
        <v>0</v>
      </c>
      <c r="G317" s="775">
        <f t="shared" ref="G317:G326" ca="1" si="212">SUM(AC317:AL317)</f>
        <v>0</v>
      </c>
      <c r="H317" s="775">
        <f ca="1">SUMIF(CT_tram!$B$33:$G$3559,kl!B317,CT_tram!$G$33:$G$3559)</f>
        <v>0</v>
      </c>
      <c r="I317" s="775">
        <f ca="1">SUMIF(CT_tram!$B$34:$G$115,$B317,CT_tram!$G$34:$G$115)</f>
        <v>0</v>
      </c>
      <c r="J317" s="775">
        <f ca="1">SUMIF(CT_tram!$B$122:$G$204,$B317,CT_tram!$G$122:$G$204)</f>
        <v>0</v>
      </c>
      <c r="K317" s="775">
        <f ca="1">SUMIF(CT_tram!$B$211:$G$293,$B317,CT_tram!$G$211:$G$293)</f>
        <v>0</v>
      </c>
      <c r="L317" s="775">
        <f ca="1">SUMIF(CT_tram!$B$300:$G$374,$B317,CT_tram!$G$300:$G$374)</f>
        <v>0</v>
      </c>
      <c r="M317" s="775">
        <f ca="1">SUMIF(CT_tram!$B$381:$G$471,$B317,CT_tram!$G$381:$G$471)</f>
        <v>0</v>
      </c>
      <c r="N317" s="775">
        <f ca="1">SUMIF(CT_tram!$B$478:$G$560,$B317,CT_tram!$G$478:$G$560)</f>
        <v>0</v>
      </c>
      <c r="O317" s="775">
        <f ca="1">SUMIF(CT_tram!$B$567:$G$653,$B317,CT_tram!$G$567:$G$653)</f>
        <v>0</v>
      </c>
      <c r="P317" s="775">
        <f ca="1">SUMIF(CT_tram!$B$661:$G$738,$B317,CT_tram!$G$661:$G$738)</f>
        <v>0</v>
      </c>
      <c r="Q317" s="775">
        <f ca="1">SUMIF(CT_tram!$B$745:$G$899,$B317,CT_tram!$G$745:$G$899)</f>
        <v>0</v>
      </c>
      <c r="R317" s="775">
        <f ca="1">SUMIF(CT_tram!$B$907:$G$995,$B317,CT_tram!$G$907:$G$995)</f>
        <v>0</v>
      </c>
      <c r="S317" s="775"/>
      <c r="T317" s="775">
        <f ca="1">SUMIF(CT_tram!$B$1004:$G$1097,B317,CT_tram!$G$1004:$G$1097)</f>
        <v>0</v>
      </c>
      <c r="U317" s="775"/>
      <c r="V317" s="775">
        <f ca="1">SUMIF(CT_tram!$B$1226:$G$1352,kl!B317,CT_tram!$G$1226:$G$1352)</f>
        <v>0</v>
      </c>
      <c r="W317" s="780">
        <f ca="1">SUMIF(CT_tram!$B$1105:$G$1219,kl!B317,CT_tram!$G$1105:$G$1219)</f>
        <v>0</v>
      </c>
      <c r="X317" s="775">
        <f ca="1">SUMIF(CT_tram!$B$1359:$G$1504,kl!B317,CT_tram!$G$1359:$G$1504)</f>
        <v>0</v>
      </c>
      <c r="Y317" s="775">
        <f ca="1">SUMIF(CT_tram!$B$1511:$G$1625,kl!B317,CT_tram!$G$1511:$G$1625)</f>
        <v>0</v>
      </c>
      <c r="Z317" s="775">
        <f ca="1">SUMIF(CT_tram!$B$1632:$G$2211,kl!B317,CT_tram!$G$1632:$G$2211)</f>
        <v>0</v>
      </c>
      <c r="AA317" s="775">
        <f ca="1">SUMIF(CT_tram!$B$2243:$G$2384,kl!B317,CT_tram!$G$2243:$G$2384)</f>
        <v>0</v>
      </c>
      <c r="AB317" s="775">
        <f ca="1">SUMIF(CT_tram!$B$2391:$G$2563,kl!B317,CT_tram!$G$2391:$G$2563)</f>
        <v>0</v>
      </c>
      <c r="AC317" s="775">
        <f ca="1">SUMIF(chitiet!$B$13:$N$2352,kl!$B317,chitiet!$I$13:$I$2352)</f>
        <v>0</v>
      </c>
      <c r="AD317" s="775">
        <f ca="1">SUMIF(chitiet!$B$13:$N$2352,kl!$B317,chitiet!$J$13:$J$2352)</f>
        <v>0</v>
      </c>
      <c r="AE317" s="775">
        <f ca="1">SUMIF(chitiet!$B$13:$N$2352,kl!$B317,chitiet!$K$13:$K$2352)</f>
        <v>0</v>
      </c>
      <c r="AF317" s="775">
        <f ca="1">SUMIF(chitiet!$B$13:$N$2352,kl!$B317,chitiet!$L$13:$L$2352)</f>
        <v>0</v>
      </c>
      <c r="AG317" s="775">
        <f ca="1">SUMIF(chitiet!$B$13:$N$2352,kl!$B317,chitiet!$M$13)</f>
        <v>0</v>
      </c>
      <c r="AH317" s="775">
        <f ca="1">SUMIF(chitiet!$B$13:$N$2352,kl!$B317,chitiet!$N$13:$N$2352)</f>
        <v>0</v>
      </c>
      <c r="AI317" s="775">
        <f ca="1">SUMIF(chitiet!$B$13:$N$2352,kl!$B317,chitiet!$O$13:$O$2352)</f>
        <v>0</v>
      </c>
      <c r="AJ317" s="775">
        <f ca="1">SUMIF('Cap ngam'!$B$631:$G$723,kl!$B317,'Cap ngam'!$G$631:$G$723)</f>
        <v>0</v>
      </c>
      <c r="AK317" s="775">
        <f ca="1">SUMIF('Cap ngam'!$B$403:$G$628,kl!$B317,'Cap ngam'!G$403:G$628)</f>
        <v>0</v>
      </c>
      <c r="AL317" s="775">
        <f ca="1">SUMIF('Cap ngam'!B$16:G$400,kl!$B317,'Cap ngam'!G$16:G$400)</f>
        <v>0</v>
      </c>
      <c r="AM317" s="776">
        <v>1</v>
      </c>
      <c r="AN317" s="775">
        <f t="shared" ca="1" si="181"/>
        <v>0</v>
      </c>
      <c r="AO317" s="775">
        <f t="shared" ca="1" si="182"/>
        <v>0</v>
      </c>
      <c r="AP317" s="775">
        <f t="shared" ca="1" si="183"/>
        <v>0</v>
      </c>
      <c r="AQ317" s="775">
        <f t="shared" ca="1" si="184"/>
        <v>0</v>
      </c>
      <c r="AR317" s="775">
        <f t="shared" ca="1" si="185"/>
        <v>0</v>
      </c>
      <c r="AS317" s="775">
        <f t="shared" ca="1" si="186"/>
        <v>0</v>
      </c>
      <c r="AT317" s="775">
        <f t="shared" ca="1" si="187"/>
        <v>0</v>
      </c>
      <c r="AU317" s="775">
        <f t="shared" ca="1" si="188"/>
        <v>0</v>
      </c>
      <c r="AV317" s="775">
        <f t="shared" ca="1" si="189"/>
        <v>0</v>
      </c>
      <c r="AW317" s="775">
        <f t="shared" ca="1" si="190"/>
        <v>0</v>
      </c>
      <c r="AX317" s="775">
        <f t="shared" si="191"/>
        <v>0</v>
      </c>
      <c r="AY317" s="775">
        <f t="shared" ca="1" si="192"/>
        <v>0</v>
      </c>
      <c r="AZ317" s="775">
        <f t="shared" si="193"/>
        <v>0</v>
      </c>
      <c r="BA317" s="775">
        <f t="shared" ca="1" si="172"/>
        <v>0</v>
      </c>
      <c r="BB317" s="775">
        <f t="shared" ca="1" si="173"/>
        <v>0</v>
      </c>
      <c r="BC317" s="775">
        <f t="shared" ca="1" si="174"/>
        <v>0</v>
      </c>
      <c r="BD317" s="775">
        <f t="shared" ca="1" si="175"/>
        <v>0</v>
      </c>
      <c r="BE317" s="775">
        <f t="shared" ca="1" si="176"/>
        <v>0</v>
      </c>
      <c r="BF317" s="775">
        <f t="shared" ca="1" si="177"/>
        <v>0</v>
      </c>
      <c r="BG317" s="775">
        <f t="shared" ca="1" si="178"/>
        <v>0</v>
      </c>
      <c r="BH317" s="775">
        <f t="shared" ca="1" si="194"/>
        <v>0</v>
      </c>
      <c r="BI317" s="775">
        <f t="shared" ca="1" si="195"/>
        <v>0</v>
      </c>
      <c r="BJ317" s="775">
        <f t="shared" ca="1" si="196"/>
        <v>0</v>
      </c>
      <c r="BK317" s="775">
        <f t="shared" ca="1" si="197"/>
        <v>0</v>
      </c>
      <c r="BL317" s="775">
        <f t="shared" ca="1" si="198"/>
        <v>0</v>
      </c>
      <c r="BM317" s="775">
        <f t="shared" ca="1" si="199"/>
        <v>0</v>
      </c>
      <c r="BN317" s="775">
        <f t="shared" ca="1" si="200"/>
        <v>0</v>
      </c>
      <c r="BO317" s="775">
        <f t="shared" ca="1" si="201"/>
        <v>0</v>
      </c>
      <c r="BP317" s="775">
        <f t="shared" ca="1" si="202"/>
        <v>0</v>
      </c>
      <c r="BQ317" s="775">
        <f ca="1">$AL317*$AM317</f>
        <v>0</v>
      </c>
      <c r="BR317" s="775">
        <f t="shared" ca="1" si="203"/>
        <v>0</v>
      </c>
    </row>
    <row r="318" spans="1:70">
      <c r="A318" s="767" t="str">
        <f t="shared" ca="1" si="211"/>
        <v>X</v>
      </c>
      <c r="B318" s="799" t="s">
        <v>593</v>
      </c>
      <c r="C318" s="188">
        <f ca="1">IF(F318=0,"",COUNTIF($F$78:$F318,"&gt;0"))</f>
        <v>33</v>
      </c>
      <c r="D318" s="778" t="str">
        <f>VLOOKUP($B318,dongia1,DG!$C$5,)</f>
        <v>Sắt dẹt 60 x 6</v>
      </c>
      <c r="E318" s="555" t="str">
        <f>VLOOKUP($B318,dongia1,DG!$D$5,)</f>
        <v>kg</v>
      </c>
      <c r="F318" s="779">
        <f t="shared" ca="1" si="171"/>
        <v>3</v>
      </c>
      <c r="G318" s="775">
        <f t="shared" ca="1" si="212"/>
        <v>0</v>
      </c>
      <c r="H318" s="775">
        <f ca="1">SUMIF(CT_tram!$B$33:$G$3559,kl!B318,CT_tram!$G$33:$G$3559)</f>
        <v>3</v>
      </c>
      <c r="I318" s="775">
        <f ca="1">SUMIF(CT_tram!$B$34:$G$115,$B318,CT_tram!$G$34:$G$115)</f>
        <v>0</v>
      </c>
      <c r="J318" s="775">
        <f ca="1">SUMIF(CT_tram!$B$122:$G$204,$B318,CT_tram!$G$122:$G$204)</f>
        <v>0</v>
      </c>
      <c r="K318" s="775">
        <f ca="1">SUMIF(CT_tram!$B$211:$G$293,$B318,CT_tram!$G$211:$G$293)</f>
        <v>0</v>
      </c>
      <c r="L318" s="775">
        <f ca="1">SUMIF(CT_tram!$B$300:$G$374,$B318,CT_tram!$G$300:$G$374)</f>
        <v>0</v>
      </c>
      <c r="M318" s="775">
        <f ca="1">SUMIF(CT_tram!$B$381:$G$471,$B318,CT_tram!$G$381:$G$471)</f>
        <v>0</v>
      </c>
      <c r="N318" s="775">
        <f ca="1">SUMIF(CT_tram!$B$478:$G$560,$B318,CT_tram!$G$478:$G$560)</f>
        <v>0</v>
      </c>
      <c r="O318" s="775">
        <f ca="1">SUMIF(CT_tram!$B$567:$G$653,$B318,CT_tram!$G$567:$G$653)</f>
        <v>0</v>
      </c>
      <c r="P318" s="775">
        <f ca="1">SUMIF(CT_tram!$B$661:$G$738,$B318,CT_tram!$G$661:$G$738)</f>
        <v>0</v>
      </c>
      <c r="Q318" s="775">
        <f ca="1">SUMIF(CT_tram!$B$745:$G$899,$B318,CT_tram!$G$745:$G$899)</f>
        <v>0</v>
      </c>
      <c r="R318" s="775">
        <f ca="1">SUMIF(CT_tram!$B$907:$G$995,$B318,CT_tram!$G$907:$G$995)</f>
        <v>0</v>
      </c>
      <c r="S318" s="775"/>
      <c r="T318" s="775">
        <f ca="1">SUMIF(CT_tram!$B$1004:$G$1097,B318,CT_tram!$G$1004:$G$1097)</f>
        <v>0</v>
      </c>
      <c r="U318" s="775"/>
      <c r="V318" s="775">
        <f ca="1">SUMIF(CT_tram!$B$1226:$G$1352,kl!B318,CT_tram!$G$1226:$G$1352)</f>
        <v>0</v>
      </c>
      <c r="W318" s="780">
        <f ca="1">SUMIF(CT_tram!$B$1105:$G$1219,kl!B318,CT_tram!$G$1105:$G$1219)</f>
        <v>0</v>
      </c>
      <c r="X318" s="775">
        <f ca="1">SUMIF(CT_tram!$B$1359:$G$1504,kl!B318,CT_tram!$G$1359:$G$1504)</f>
        <v>0</v>
      </c>
      <c r="Y318" s="775">
        <f ca="1">SUMIF(CT_tram!$B$1511:$G$1625,kl!B318,CT_tram!$G$1511:$G$1625)</f>
        <v>0</v>
      </c>
      <c r="Z318" s="775">
        <f ca="1">SUMIF(CT_tram!$B$1632:$G$2211,kl!B318,CT_tram!$G$1632:$G$2211)</f>
        <v>0</v>
      </c>
      <c r="AA318" s="775">
        <f ca="1">SUMIF(CT_tram!$B$2243:$G$2384,kl!B318,CT_tram!$G$2243:$G$2384)</f>
        <v>0</v>
      </c>
      <c r="AB318" s="775">
        <f ca="1">SUMIF(CT_tram!$B$2391:$G$2563,kl!B318,CT_tram!$G$2391:$G$2563)</f>
        <v>0</v>
      </c>
      <c r="AC318" s="775">
        <f ca="1">SUMIF(chitiet!$B$13:$N$2352,kl!$B318,chitiet!$I$13:$I$2352)</f>
        <v>0</v>
      </c>
      <c r="AD318" s="775">
        <f ca="1">SUMIF(chitiet!$B$13:$N$2352,kl!$B318,chitiet!$J$13:$J$2352)</f>
        <v>0</v>
      </c>
      <c r="AE318" s="775">
        <f ca="1">SUMIF(chitiet!$B$13:$N$2352,kl!$B318,chitiet!$K$13:$K$2352)</f>
        <v>0</v>
      </c>
      <c r="AF318" s="775">
        <f ca="1">SUMIF(chitiet!$B$13:$N$2352,kl!$B318,chitiet!$L$13:$L$2352)</f>
        <v>0</v>
      </c>
      <c r="AG318" s="775">
        <f ca="1">SUMIF(chitiet!$B$13:$N$2352,kl!$B318,chitiet!$M$13)</f>
        <v>0</v>
      </c>
      <c r="AH318" s="775">
        <f ca="1">SUMIF(chitiet!$B$13:$N$2352,kl!$B318,chitiet!$N$13:$N$2352)</f>
        <v>0</v>
      </c>
      <c r="AI318" s="775">
        <f ca="1">SUMIF(chitiet!$B$13:$N$2352,kl!$B318,chitiet!$O$13:$O$2352)</f>
        <v>0</v>
      </c>
      <c r="AJ318" s="775">
        <f ca="1">SUMIF('Cap ngam'!$B$631:$G$723,kl!$B318,'Cap ngam'!$G$631:$G$723)</f>
        <v>0</v>
      </c>
      <c r="AK318" s="775">
        <f ca="1">SUMIF('Cap ngam'!$B$403:$G$628,kl!$B318,'Cap ngam'!G$403:G$628)</f>
        <v>0</v>
      </c>
      <c r="AL318" s="775">
        <f ca="1">SUMIF('Cap ngam'!B$16:G$400,kl!$B318,'Cap ngam'!G$16:G$400)</f>
        <v>0</v>
      </c>
      <c r="AM318" s="776">
        <v>1</v>
      </c>
      <c r="AN318" s="775">
        <f t="shared" ca="1" si="181"/>
        <v>0</v>
      </c>
      <c r="AO318" s="775">
        <f t="shared" ca="1" si="182"/>
        <v>0</v>
      </c>
      <c r="AP318" s="775">
        <f t="shared" ca="1" si="183"/>
        <v>0</v>
      </c>
      <c r="AQ318" s="775">
        <f t="shared" ca="1" si="184"/>
        <v>0</v>
      </c>
      <c r="AR318" s="775">
        <f t="shared" ca="1" si="185"/>
        <v>0</v>
      </c>
      <c r="AS318" s="775">
        <f t="shared" ca="1" si="186"/>
        <v>0</v>
      </c>
      <c r="AT318" s="775">
        <f t="shared" ca="1" si="187"/>
        <v>0</v>
      </c>
      <c r="AU318" s="775">
        <f t="shared" ca="1" si="188"/>
        <v>0</v>
      </c>
      <c r="AV318" s="775">
        <f t="shared" ca="1" si="189"/>
        <v>0</v>
      </c>
      <c r="AW318" s="775">
        <f t="shared" ca="1" si="190"/>
        <v>0</v>
      </c>
      <c r="AX318" s="775">
        <f t="shared" si="191"/>
        <v>0</v>
      </c>
      <c r="AY318" s="775">
        <f t="shared" ca="1" si="192"/>
        <v>0</v>
      </c>
      <c r="AZ318" s="775">
        <f t="shared" si="193"/>
        <v>0</v>
      </c>
      <c r="BA318" s="775">
        <f t="shared" ca="1" si="172"/>
        <v>0</v>
      </c>
      <c r="BB318" s="775">
        <f t="shared" ca="1" si="173"/>
        <v>0</v>
      </c>
      <c r="BC318" s="775">
        <f t="shared" ca="1" si="174"/>
        <v>0</v>
      </c>
      <c r="BD318" s="775">
        <f t="shared" ca="1" si="175"/>
        <v>0</v>
      </c>
      <c r="BE318" s="775">
        <f t="shared" ca="1" si="176"/>
        <v>0</v>
      </c>
      <c r="BF318" s="775">
        <f t="shared" ca="1" si="177"/>
        <v>0</v>
      </c>
      <c r="BG318" s="775">
        <f t="shared" ca="1" si="178"/>
        <v>0</v>
      </c>
      <c r="BH318" s="775">
        <f t="shared" ca="1" si="194"/>
        <v>0</v>
      </c>
      <c r="BI318" s="775">
        <f t="shared" ca="1" si="195"/>
        <v>0</v>
      </c>
      <c r="BJ318" s="775">
        <f t="shared" ca="1" si="196"/>
        <v>0</v>
      </c>
      <c r="BK318" s="775">
        <f t="shared" ca="1" si="197"/>
        <v>0</v>
      </c>
      <c r="BL318" s="775">
        <f t="shared" ca="1" si="198"/>
        <v>0</v>
      </c>
      <c r="BM318" s="775">
        <f t="shared" ca="1" si="199"/>
        <v>0</v>
      </c>
      <c r="BN318" s="775">
        <f t="shared" ca="1" si="200"/>
        <v>0</v>
      </c>
      <c r="BO318" s="775">
        <f t="shared" ca="1" si="201"/>
        <v>0</v>
      </c>
      <c r="BP318" s="775">
        <f t="shared" ca="1" si="202"/>
        <v>0</v>
      </c>
      <c r="BQ318" s="775">
        <f ca="1">$AL318*$AM318</f>
        <v>0</v>
      </c>
      <c r="BR318" s="775">
        <f t="shared" ca="1" si="203"/>
        <v>3</v>
      </c>
    </row>
    <row r="319" spans="1:70">
      <c r="A319" s="767" t="e">
        <f t="shared" ca="1" si="211"/>
        <v>#REF!</v>
      </c>
      <c r="B319" s="799" t="s">
        <v>59</v>
      </c>
      <c r="C319" s="188" t="e">
        <f ca="1">IF(F319=0,"",COUNTIF($F$78:$F319,"&gt;0"))</f>
        <v>#REF!</v>
      </c>
      <c r="D319" s="778" t="str">
        <f>VLOOKUP($B319,dongia1,DG!$C$5,)</f>
        <v>Sắt   Þ8</v>
      </c>
      <c r="E319" s="555" t="str">
        <f>VLOOKUP($B319,dongia1,DG!$D$5,)</f>
        <v>kg</v>
      </c>
      <c r="F319" s="779" t="e">
        <f t="shared" ca="1" si="171"/>
        <v>#REF!</v>
      </c>
      <c r="G319" s="775" t="e">
        <f t="shared" ca="1" si="212"/>
        <v>#REF!</v>
      </c>
      <c r="H319" s="775">
        <f ca="1">SUMIF(CT_tram!$B$33:$G$3559,kl!B319,CT_tram!$G$33:$G$3559)</f>
        <v>16</v>
      </c>
      <c r="I319" s="775">
        <f ca="1">SUMIF(CT_tram!$B$34:$G$115,$B319,CT_tram!$G$34:$G$115)</f>
        <v>0</v>
      </c>
      <c r="J319" s="775">
        <f ca="1">SUMIF(CT_tram!$B$122:$G$204,$B319,CT_tram!$G$122:$G$204)</f>
        <v>0</v>
      </c>
      <c r="K319" s="775">
        <f ca="1">SUMIF(CT_tram!$B$211:$G$293,$B319,CT_tram!$G$211:$G$293)</f>
        <v>0</v>
      </c>
      <c r="L319" s="775">
        <f ca="1">SUMIF(CT_tram!$B$300:$G$374,$B319,CT_tram!$G$300:$G$374)</f>
        <v>0</v>
      </c>
      <c r="M319" s="775">
        <f ca="1">SUMIF(CT_tram!$B$381:$G$471,$B319,CT_tram!$G$381:$G$471)</f>
        <v>0</v>
      </c>
      <c r="N319" s="775">
        <f ca="1">SUMIF(CT_tram!$B$478:$G$560,$B319,CT_tram!$G$478:$G$560)</f>
        <v>0</v>
      </c>
      <c r="O319" s="775">
        <f ca="1">SUMIF(CT_tram!$B$567:$G$653,$B319,CT_tram!$G$567:$G$653)</f>
        <v>0</v>
      </c>
      <c r="P319" s="775">
        <f ca="1">SUMIF(CT_tram!$B$661:$G$738,$B319,CT_tram!$G$661:$G$738)</f>
        <v>0</v>
      </c>
      <c r="Q319" s="775">
        <f ca="1">SUMIF(CT_tram!$B$745:$G$899,$B319,CT_tram!$G$745:$G$899)</f>
        <v>0</v>
      </c>
      <c r="R319" s="775">
        <f ca="1">SUMIF(CT_tram!$B$907:$G$995,$B319,CT_tram!$G$907:$G$995)</f>
        <v>0</v>
      </c>
      <c r="S319" s="775"/>
      <c r="T319" s="775">
        <f ca="1">SUMIF(CT_tram!$B$1004:$G$1097,B319,CT_tram!$G$1004:$G$1097)</f>
        <v>0</v>
      </c>
      <c r="U319" s="775"/>
      <c r="V319" s="775">
        <f ca="1">SUMIF(CT_tram!$B$1226:$G$1352,kl!B319,CT_tram!$G$1226:$G$1352)</f>
        <v>0</v>
      </c>
      <c r="W319" s="780">
        <f ca="1">SUMIF(CT_tram!$B$1105:$G$1219,kl!B319,CT_tram!$G$1105:$G$1219)</f>
        <v>0</v>
      </c>
      <c r="X319" s="775">
        <f ca="1">SUMIF(CT_tram!$B$1359:$G$1504,kl!B319,CT_tram!$G$1359:$G$1504)</f>
        <v>0</v>
      </c>
      <c r="Y319" s="775">
        <f ca="1">SUMIF(CT_tram!$B$1511:$G$1625,kl!B319,CT_tram!$G$1511:$G$1625)</f>
        <v>0</v>
      </c>
      <c r="Z319" s="775">
        <f ca="1">SUMIF(CT_tram!$B$1632:$G$2211,kl!B319,CT_tram!$G$1632:$G$2211)</f>
        <v>0</v>
      </c>
      <c r="AA319" s="775">
        <f ca="1">SUMIF(CT_tram!$B$2243:$G$2384,kl!B319,CT_tram!$G$2243:$G$2384)</f>
        <v>0</v>
      </c>
      <c r="AB319" s="775">
        <f ca="1">SUMIF(CT_tram!$B$2391:$G$2563,kl!B319,CT_tram!$G$2391:$G$2563)</f>
        <v>0</v>
      </c>
      <c r="AC319" s="775">
        <f ca="1">SUMIF(chitiet!$B$13:$N$2352,kl!$B319,chitiet!$I$13:$I$2352)</f>
        <v>0</v>
      </c>
      <c r="AD319" s="775">
        <f ca="1">SUMIF(chitiet!$B$13:$N$2352,kl!$B319,chitiet!$J$13:$J$2352)</f>
        <v>0</v>
      </c>
      <c r="AE319" s="775">
        <f ca="1">SUMIF(chitiet!$B$13:$N$2352,kl!$B319,chitiet!$K$13:$K$2352)</f>
        <v>0</v>
      </c>
      <c r="AF319" s="775">
        <f ca="1">SUMIF(chitiet!$B$13:$N$2352,kl!$B319,chitiet!$L$13:$L$2352)</f>
        <v>0</v>
      </c>
      <c r="AG319" s="775">
        <f ca="1">SUMIF(chitiet!$B$13:$N$2352,kl!$B319,chitiet!$M$13)</f>
        <v>0</v>
      </c>
      <c r="AH319" s="775">
        <f ca="1">SUMIF(chitiet!$B$13:$N$2352,kl!$B319,chitiet!$N$13:$N$2352)</f>
        <v>0</v>
      </c>
      <c r="AI319" s="775">
        <f ca="1">SUMIF(chitiet!$B$13:$N$2352,kl!$B319,chitiet!$O$13:$O$2352)</f>
        <v>0</v>
      </c>
      <c r="AJ319" s="775">
        <f ca="1">SUMIF('Cap ngam'!$B$631:$G$723,kl!$B319,'Cap ngam'!$G$631:$G$723)</f>
        <v>0</v>
      </c>
      <c r="AK319" s="775" t="e">
        <f ca="1">SUMIF('Cap ngam'!$B$403:$G$628,kl!$B319,'Cap ngam'!G$403:G$628)</f>
        <v>#REF!</v>
      </c>
      <c r="AL319" s="775">
        <f ca="1">SUMIF('Cap ngam'!B$16:G$400,kl!$B319,'Cap ngam'!G$16:G$400)</f>
        <v>0</v>
      </c>
      <c r="AM319" s="776">
        <v>1</v>
      </c>
      <c r="AN319" s="775">
        <f t="shared" ca="1" si="181"/>
        <v>0</v>
      </c>
      <c r="AO319" s="775">
        <f t="shared" ca="1" si="182"/>
        <v>0</v>
      </c>
      <c r="AP319" s="775">
        <f t="shared" ca="1" si="183"/>
        <v>0</v>
      </c>
      <c r="AQ319" s="775">
        <f t="shared" ca="1" si="184"/>
        <v>0</v>
      </c>
      <c r="AR319" s="775">
        <f t="shared" ca="1" si="185"/>
        <v>0</v>
      </c>
      <c r="AS319" s="775">
        <f t="shared" ca="1" si="186"/>
        <v>0</v>
      </c>
      <c r="AT319" s="775">
        <f t="shared" ca="1" si="187"/>
        <v>0</v>
      </c>
      <c r="AU319" s="775">
        <f t="shared" ca="1" si="188"/>
        <v>0</v>
      </c>
      <c r="AV319" s="775">
        <f t="shared" ca="1" si="189"/>
        <v>0</v>
      </c>
      <c r="AW319" s="775">
        <f t="shared" ca="1" si="190"/>
        <v>0</v>
      </c>
      <c r="AX319" s="775">
        <f t="shared" si="191"/>
        <v>0</v>
      </c>
      <c r="AY319" s="775">
        <f t="shared" ca="1" si="192"/>
        <v>0</v>
      </c>
      <c r="AZ319" s="775">
        <f t="shared" si="193"/>
        <v>0</v>
      </c>
      <c r="BA319" s="775">
        <f t="shared" ca="1" si="172"/>
        <v>0</v>
      </c>
      <c r="BB319" s="775">
        <f t="shared" ca="1" si="173"/>
        <v>0</v>
      </c>
      <c r="BC319" s="775">
        <f t="shared" ca="1" si="174"/>
        <v>0</v>
      </c>
      <c r="BD319" s="775">
        <f t="shared" ca="1" si="175"/>
        <v>0</v>
      </c>
      <c r="BE319" s="775">
        <f t="shared" ca="1" si="176"/>
        <v>0</v>
      </c>
      <c r="BF319" s="775">
        <f t="shared" ca="1" si="177"/>
        <v>0</v>
      </c>
      <c r="BG319" s="775">
        <f t="shared" ca="1" si="178"/>
        <v>0</v>
      </c>
      <c r="BH319" s="775">
        <f t="shared" ca="1" si="194"/>
        <v>0</v>
      </c>
      <c r="BI319" s="775">
        <f t="shared" ca="1" si="195"/>
        <v>0</v>
      </c>
      <c r="BJ319" s="775">
        <f t="shared" ca="1" si="196"/>
        <v>0</v>
      </c>
      <c r="BK319" s="775">
        <f t="shared" ca="1" si="197"/>
        <v>0</v>
      </c>
      <c r="BL319" s="775">
        <f t="shared" ca="1" si="198"/>
        <v>0</v>
      </c>
      <c r="BM319" s="775">
        <f t="shared" ca="1" si="199"/>
        <v>0</v>
      </c>
      <c r="BN319" s="775">
        <f t="shared" ca="1" si="200"/>
        <v>0</v>
      </c>
      <c r="BO319" s="775">
        <f t="shared" ca="1" si="201"/>
        <v>0</v>
      </c>
      <c r="BP319" s="775" t="e">
        <f t="shared" ca="1" si="202"/>
        <v>#REF!</v>
      </c>
      <c r="BQ319" s="775">
        <f ca="1">$AL319*$AM319</f>
        <v>0</v>
      </c>
      <c r="BR319" s="775">
        <f t="shared" ca="1" si="203"/>
        <v>16</v>
      </c>
    </row>
    <row r="320" spans="1:70">
      <c r="A320" s="767" t="str">
        <f t="shared" ca="1" si="211"/>
        <v>X</v>
      </c>
      <c r="B320" s="799" t="s">
        <v>62</v>
      </c>
      <c r="C320" s="188">
        <f ca="1">IF(F320=0,"",COUNTIF($F$78:$F320,"&gt;0"))</f>
        <v>34</v>
      </c>
      <c r="D320" s="778" t="str">
        <f>VLOOKUP($B320,dongia1,DG!$C$5,)</f>
        <v>Sắt   Þ10</v>
      </c>
      <c r="E320" s="555" t="str">
        <f>VLOOKUP($B320,dongia1,DG!$D$5,)</f>
        <v>kg</v>
      </c>
      <c r="F320" s="975">
        <f t="shared" ca="1" si="171"/>
        <v>1.1434800000000003</v>
      </c>
      <c r="G320" s="976">
        <f t="shared" ca="1" si="212"/>
        <v>0</v>
      </c>
      <c r="H320" s="976">
        <f ca="1">SUMIF(CT_tram!$B$33:$G$3559,kl!B320,CT_tram!$G$33:$G$3559)</f>
        <v>1.1434800000000003</v>
      </c>
      <c r="I320" s="775">
        <f ca="1">SUMIF(CT_tram!$B$34:$G$115,$B320,CT_tram!$G$34:$G$115)</f>
        <v>0</v>
      </c>
      <c r="J320" s="775">
        <f ca="1">SUMIF(CT_tram!$B$122:$G$204,$B320,CT_tram!$G$122:$G$204)</f>
        <v>0</v>
      </c>
      <c r="K320" s="775">
        <f ca="1">SUMIF(CT_tram!$B$211:$G$293,$B320,CT_tram!$G$211:$G$293)</f>
        <v>0</v>
      </c>
      <c r="L320" s="775">
        <f ca="1">SUMIF(CT_tram!$B$300:$G$374,$B320,CT_tram!$G$300:$G$374)</f>
        <v>0</v>
      </c>
      <c r="M320" s="775">
        <f ca="1">SUMIF(CT_tram!$B$381:$G$471,$B320,CT_tram!$G$381:$G$471)</f>
        <v>0</v>
      </c>
      <c r="N320" s="775">
        <f ca="1">SUMIF(CT_tram!$B$478:$G$560,$B320,CT_tram!$G$478:$G$560)</f>
        <v>0</v>
      </c>
      <c r="O320" s="775">
        <f ca="1">SUMIF(CT_tram!$B$567:$G$653,$B320,CT_tram!$G$567:$G$653)</f>
        <v>0</v>
      </c>
      <c r="P320" s="775">
        <f ca="1">SUMIF(CT_tram!$B$661:$G$738,$B320,CT_tram!$G$661:$G$738)</f>
        <v>0</v>
      </c>
      <c r="Q320" s="775">
        <f ca="1">SUMIF(CT_tram!$B$745:$G$899,$B320,CT_tram!$G$745:$G$899)</f>
        <v>0</v>
      </c>
      <c r="R320" s="775">
        <f ca="1">SUMIF(CT_tram!$B$907:$G$995,$B320,CT_tram!$G$907:$G$995)</f>
        <v>0</v>
      </c>
      <c r="S320" s="775"/>
      <c r="T320" s="775">
        <f ca="1">SUMIF(CT_tram!$B$1004:$G$1097,B320,CT_tram!$G$1004:$G$1097)</f>
        <v>0</v>
      </c>
      <c r="U320" s="775"/>
      <c r="V320" s="775">
        <f ca="1">SUMIF(CT_tram!$B$1226:$G$1352,kl!B320,CT_tram!$G$1226:$G$1352)</f>
        <v>0</v>
      </c>
      <c r="W320" s="780">
        <f ca="1">SUMIF(CT_tram!$B$1105:$G$1219,kl!B320,CT_tram!$G$1105:$G$1219)</f>
        <v>0</v>
      </c>
      <c r="X320" s="775">
        <f ca="1">SUMIF(CT_tram!$B$1359:$G$1504,kl!B320,CT_tram!$G$1359:$G$1504)</f>
        <v>0</v>
      </c>
      <c r="Y320" s="775">
        <f ca="1">SUMIF(CT_tram!$B$1511:$G$1625,kl!B320,CT_tram!$G$1511:$G$1625)</f>
        <v>0</v>
      </c>
      <c r="Z320" s="775">
        <f ca="1">SUMIF(CT_tram!$B$1632:$G$2211,kl!B320,CT_tram!$G$1632:$G$2211)</f>
        <v>0</v>
      </c>
      <c r="AA320" s="775">
        <f ca="1">SUMIF(CT_tram!$B$2243:$G$2384,kl!B320,CT_tram!$G$2243:$G$2384)</f>
        <v>0</v>
      </c>
      <c r="AB320" s="775">
        <f ca="1">SUMIF(CT_tram!$B$2391:$G$2563,kl!B320,CT_tram!$G$2391:$G$2563)</f>
        <v>0</v>
      </c>
      <c r="AC320" s="775">
        <f ca="1">SUMIF(chitiet!$B$13:$N$2352,kl!$B320,chitiet!$I$13:$I$2352)</f>
        <v>0</v>
      </c>
      <c r="AD320" s="775">
        <f ca="1">SUMIF(chitiet!$B$13:$N$2352,kl!$B320,chitiet!$J$13:$J$2352)</f>
        <v>0</v>
      </c>
      <c r="AE320" s="775">
        <f ca="1">SUMIF(chitiet!$B$13:$N$2352,kl!$B320,chitiet!$K$13:$K$2352)</f>
        <v>0</v>
      </c>
      <c r="AF320" s="775">
        <f ca="1">SUMIF(chitiet!$B$13:$N$2352,kl!$B320,chitiet!$L$13:$L$2352)</f>
        <v>0</v>
      </c>
      <c r="AG320" s="775">
        <f ca="1">SUMIF(chitiet!$B$13:$N$2352,kl!$B320,chitiet!$M$13)</f>
        <v>0</v>
      </c>
      <c r="AH320" s="775">
        <f ca="1">SUMIF(chitiet!$B$13:$N$2352,kl!$B320,chitiet!$N$13:$N$2352)</f>
        <v>0</v>
      </c>
      <c r="AI320" s="775">
        <f ca="1">SUMIF(chitiet!$B$13:$N$2352,kl!$B320,chitiet!$O$13:$O$2352)</f>
        <v>0</v>
      </c>
      <c r="AJ320" s="775">
        <f ca="1">SUMIF('Cap ngam'!$B$631:$G$723,kl!$B320,'Cap ngam'!$G$631:$G$723)</f>
        <v>0</v>
      </c>
      <c r="AK320" s="775">
        <f ca="1">SUMIF('Cap ngam'!$B$403:$G$628,kl!$B320,'Cap ngam'!G$403:G$628)</f>
        <v>0</v>
      </c>
      <c r="AL320" s="775">
        <f ca="1">SUMIF('Cap ngam'!B$16:G$400,kl!$B320,'Cap ngam'!G$16:G$400)</f>
        <v>0</v>
      </c>
      <c r="AM320" s="776">
        <v>1</v>
      </c>
      <c r="AN320" s="775">
        <f t="shared" ca="1" si="181"/>
        <v>0</v>
      </c>
      <c r="AO320" s="775">
        <f t="shared" ca="1" si="182"/>
        <v>0</v>
      </c>
      <c r="AP320" s="775">
        <f t="shared" ca="1" si="183"/>
        <v>0</v>
      </c>
      <c r="AQ320" s="775">
        <f t="shared" ca="1" si="184"/>
        <v>0</v>
      </c>
      <c r="AR320" s="775">
        <f t="shared" ca="1" si="185"/>
        <v>0</v>
      </c>
      <c r="AS320" s="775">
        <f t="shared" ca="1" si="186"/>
        <v>0</v>
      </c>
      <c r="AT320" s="775">
        <f t="shared" ca="1" si="187"/>
        <v>0</v>
      </c>
      <c r="AU320" s="775">
        <f t="shared" ca="1" si="188"/>
        <v>0</v>
      </c>
      <c r="AV320" s="775">
        <f t="shared" ca="1" si="189"/>
        <v>0</v>
      </c>
      <c r="AW320" s="775">
        <f t="shared" ca="1" si="190"/>
        <v>0</v>
      </c>
      <c r="AX320" s="775">
        <f t="shared" si="191"/>
        <v>0</v>
      </c>
      <c r="AY320" s="775">
        <f t="shared" ca="1" si="192"/>
        <v>0</v>
      </c>
      <c r="AZ320" s="775">
        <f t="shared" si="193"/>
        <v>0</v>
      </c>
      <c r="BA320" s="775">
        <f t="shared" ca="1" si="172"/>
        <v>0</v>
      </c>
      <c r="BB320" s="775">
        <f t="shared" ca="1" si="173"/>
        <v>0</v>
      </c>
      <c r="BC320" s="775">
        <f t="shared" ca="1" si="174"/>
        <v>0</v>
      </c>
      <c r="BD320" s="775">
        <f t="shared" ca="1" si="175"/>
        <v>0</v>
      </c>
      <c r="BE320" s="775">
        <f t="shared" ca="1" si="176"/>
        <v>0</v>
      </c>
      <c r="BF320" s="775">
        <f t="shared" ca="1" si="177"/>
        <v>0</v>
      </c>
      <c r="BG320" s="775">
        <f t="shared" ca="1" si="178"/>
        <v>0</v>
      </c>
      <c r="BH320" s="775">
        <f t="shared" ca="1" si="194"/>
        <v>0</v>
      </c>
      <c r="BI320" s="775">
        <f t="shared" ca="1" si="195"/>
        <v>0</v>
      </c>
      <c r="BJ320" s="775">
        <f t="shared" ca="1" si="196"/>
        <v>0</v>
      </c>
      <c r="BK320" s="775">
        <f t="shared" ca="1" si="197"/>
        <v>0</v>
      </c>
      <c r="BL320" s="775">
        <f t="shared" ca="1" si="198"/>
        <v>0</v>
      </c>
      <c r="BM320" s="775">
        <f t="shared" ca="1" si="199"/>
        <v>0</v>
      </c>
      <c r="BN320" s="775">
        <f t="shared" ca="1" si="200"/>
        <v>0</v>
      </c>
      <c r="BO320" s="775">
        <f t="shared" ca="1" si="201"/>
        <v>0</v>
      </c>
      <c r="BP320" s="775">
        <f t="shared" ca="1" si="202"/>
        <v>0</v>
      </c>
      <c r="BQ320" s="775">
        <f ca="1">$AL320*$AM320</f>
        <v>0</v>
      </c>
      <c r="BR320" s="775">
        <f t="shared" ca="1" si="203"/>
        <v>1.1434800000000003</v>
      </c>
    </row>
    <row r="321" spans="1:70">
      <c r="A321" s="767" t="str">
        <f t="shared" ca="1" si="211"/>
        <v/>
      </c>
      <c r="B321" s="622" t="s">
        <v>4813</v>
      </c>
      <c r="C321" s="188" t="str">
        <f ca="1">IF(F321=0,"",COUNTIF($F$78:$F321,"&gt;0"))</f>
        <v/>
      </c>
      <c r="D321" s="778" t="str">
        <f>VLOOKUP($B321,dongia1,DG!$C$5,)</f>
        <v>Đà U120x52x4,8x2850mm</v>
      </c>
      <c r="E321" s="555" t="str">
        <f>VLOOKUP($B321,dongia1,DG!$D$5,)</f>
        <v>kg</v>
      </c>
      <c r="F321" s="975">
        <f t="shared" ca="1" si="171"/>
        <v>0</v>
      </c>
      <c r="G321" s="976">
        <f ca="1">SUM(AC321:AL321)</f>
        <v>0</v>
      </c>
      <c r="H321" s="976">
        <f ca="1">SUMIF(CT_tram!$B$33:$G$3559,kl!B321,CT_tram!$G$33:$G$3559)</f>
        <v>0</v>
      </c>
      <c r="I321" s="775">
        <f ca="1">SUMIF(CT_tram!$B$34:$G$115,$B321,CT_tram!$G$34:$G$115)</f>
        <v>0</v>
      </c>
      <c r="J321" s="775">
        <f ca="1">SUMIF(CT_tram!$B$122:$G$204,$B321,CT_tram!$G$122:$G$204)</f>
        <v>0</v>
      </c>
      <c r="K321" s="775">
        <f ca="1">SUMIF(CT_tram!$B$211:$G$293,$B321,CT_tram!$G$211:$G$293)</f>
        <v>0</v>
      </c>
      <c r="L321" s="775">
        <f ca="1">SUMIF(CT_tram!$B$300:$G$374,$B321,CT_tram!$G$300:$G$374)</f>
        <v>0</v>
      </c>
      <c r="M321" s="775">
        <f ca="1">SUMIF(CT_tram!$B$381:$G$471,$B321,CT_tram!$G$381:$G$471)</f>
        <v>0</v>
      </c>
      <c r="N321" s="775">
        <f ca="1">SUMIF(CT_tram!$B$478:$G$560,$B321,CT_tram!$G$478:$G$560)</f>
        <v>0</v>
      </c>
      <c r="O321" s="775">
        <f ca="1">SUMIF(CT_tram!$B$567:$G$653,$B321,CT_tram!$G$567:$G$653)</f>
        <v>0</v>
      </c>
      <c r="P321" s="775">
        <f ca="1">SUMIF(CT_tram!$B$661:$G$738,$B321,CT_tram!$G$661:$G$738)</f>
        <v>0</v>
      </c>
      <c r="Q321" s="775">
        <f ca="1">SUMIF(CT_tram!$B$745:$G$899,$B321,CT_tram!$G$745:$G$899)</f>
        <v>0</v>
      </c>
      <c r="R321" s="775">
        <f ca="1">SUMIF(CT_tram!$B$907:$G$995,$B321,CT_tram!$G$907:$G$995)</f>
        <v>0</v>
      </c>
      <c r="S321" s="775"/>
      <c r="T321" s="775">
        <f ca="1">SUMIF(CT_tram!$B$1004:$G$1097,B321,CT_tram!$G$1004:$G$1097)</f>
        <v>0</v>
      </c>
      <c r="U321" s="775"/>
      <c r="V321" s="775">
        <f ca="1">SUMIF(CT_tram!$B$1226:$G$1352,kl!B321,CT_tram!$G$1226:$G$1352)</f>
        <v>0</v>
      </c>
      <c r="W321" s="780">
        <f ca="1">SUMIF(CT_tram!$B$1105:$G$1219,kl!B321,CT_tram!$G$1105:$G$1219)</f>
        <v>0</v>
      </c>
      <c r="X321" s="775">
        <f ca="1">SUMIF(CT_tram!$B$1359:$G$1504,kl!B321,CT_tram!$G$1359:$G$1504)</f>
        <v>0</v>
      </c>
      <c r="Y321" s="775">
        <f ca="1">SUMIF(CT_tram!$B$1511:$G$1625,kl!B321,CT_tram!$G$1511:$G$1625)</f>
        <v>0</v>
      </c>
      <c r="Z321" s="775">
        <f ca="1">SUMIF(CT_tram!$B$1632:$G$2211,kl!B321,CT_tram!$G$1632:$G$2211)</f>
        <v>0</v>
      </c>
      <c r="AA321" s="775">
        <f ca="1">SUMIF(CT_tram!$B$2243:$G$2384,kl!B321,CT_tram!$G$2243:$G$2384)</f>
        <v>0</v>
      </c>
      <c r="AB321" s="775">
        <f ca="1">SUMIF(CT_tram!$B$2391:$G$2563,kl!B321,CT_tram!$G$2391:$G$2563)</f>
        <v>0</v>
      </c>
      <c r="AC321" s="775">
        <f ca="1">SUMIF(chitiet!$B$13:$N$2352,kl!$B321,chitiet!$I$13:$I$2352)</f>
        <v>0</v>
      </c>
      <c r="AD321" s="775">
        <f ca="1">SUMIF(chitiet!$B$13:$N$2352,kl!$B321,chitiet!$J$13:$J$2352)</f>
        <v>0</v>
      </c>
      <c r="AE321" s="775">
        <f ca="1">SUMIF(chitiet!$B$13:$N$2352,kl!$B321,chitiet!$K$13:$K$2352)</f>
        <v>0</v>
      </c>
      <c r="AF321" s="775">
        <f ca="1">SUMIF(chitiet!$B$13:$N$2352,kl!$B321,chitiet!$L$13:$L$2352)</f>
        <v>0</v>
      </c>
      <c r="AG321" s="775">
        <f ca="1">SUMIF(chitiet!$B$13:$N$2352,kl!$B321,chitiet!$M$13)</f>
        <v>0</v>
      </c>
      <c r="AH321" s="775">
        <f ca="1">SUMIF(chitiet!$B$13:$N$2352,kl!$B321,chitiet!$N$13:$N$2352)</f>
        <v>0</v>
      </c>
      <c r="AI321" s="775">
        <f ca="1">SUMIF(chitiet!$B$13:$N$2352,kl!$B321,chitiet!$O$13:$O$2352)</f>
        <v>0</v>
      </c>
      <c r="AJ321" s="775">
        <f ca="1">SUMIF('Cap ngam'!$B$631:$G$723,kl!$B321,'Cap ngam'!$G$631:$G$723)</f>
        <v>0</v>
      </c>
      <c r="AK321" s="775">
        <f ca="1">SUMIF('Cap ngam'!$B$403:$G$628,kl!$B321,'Cap ngam'!G$403:G$628)</f>
        <v>0</v>
      </c>
      <c r="AL321" s="775">
        <f ca="1">SUMIF('Cap ngam'!B$16:G$400,kl!$B321,'Cap ngam'!G$16:G$400)</f>
        <v>0</v>
      </c>
      <c r="AM321" s="776">
        <v>1</v>
      </c>
      <c r="AN321" s="775">
        <f t="shared" ref="AN321:AW322" ca="1" si="213">I321*$AM321</f>
        <v>0</v>
      </c>
      <c r="AO321" s="775">
        <f t="shared" ca="1" si="213"/>
        <v>0</v>
      </c>
      <c r="AP321" s="775">
        <f t="shared" ca="1" si="213"/>
        <v>0</v>
      </c>
      <c r="AQ321" s="775">
        <f t="shared" ca="1" si="213"/>
        <v>0</v>
      </c>
      <c r="AR321" s="775">
        <f t="shared" ca="1" si="213"/>
        <v>0</v>
      </c>
      <c r="AS321" s="775">
        <f t="shared" ca="1" si="213"/>
        <v>0</v>
      </c>
      <c r="AT321" s="775">
        <f t="shared" ca="1" si="213"/>
        <v>0</v>
      </c>
      <c r="AU321" s="775">
        <f t="shared" ca="1" si="213"/>
        <v>0</v>
      </c>
      <c r="AV321" s="775">
        <f t="shared" ca="1" si="213"/>
        <v>0</v>
      </c>
      <c r="AW321" s="775">
        <f t="shared" ca="1" si="213"/>
        <v>0</v>
      </c>
      <c r="AX321" s="775">
        <f t="shared" si="191"/>
        <v>0</v>
      </c>
      <c r="AY321" s="775">
        <f t="shared" ca="1" si="192"/>
        <v>0</v>
      </c>
      <c r="AZ321" s="775">
        <f t="shared" si="193"/>
        <v>0</v>
      </c>
      <c r="BA321" s="775">
        <f t="shared" ca="1" si="172"/>
        <v>0</v>
      </c>
      <c r="BB321" s="775">
        <f t="shared" ca="1" si="173"/>
        <v>0</v>
      </c>
      <c r="BC321" s="775">
        <f t="shared" ca="1" si="174"/>
        <v>0</v>
      </c>
      <c r="BD321" s="775">
        <f t="shared" ca="1" si="175"/>
        <v>0</v>
      </c>
      <c r="BE321" s="775">
        <f t="shared" ca="1" si="176"/>
        <v>0</v>
      </c>
      <c r="BF321" s="775">
        <f t="shared" ca="1" si="177"/>
        <v>0</v>
      </c>
      <c r="BG321" s="775">
        <f t="shared" ca="1" si="178"/>
        <v>0</v>
      </c>
      <c r="BH321" s="775">
        <f t="shared" ca="1" si="194"/>
        <v>0</v>
      </c>
      <c r="BI321" s="775">
        <f t="shared" ca="1" si="195"/>
        <v>0</v>
      </c>
      <c r="BJ321" s="775">
        <f t="shared" ca="1" si="196"/>
        <v>0</v>
      </c>
      <c r="BK321" s="775">
        <f t="shared" ca="1" si="197"/>
        <v>0</v>
      </c>
      <c r="BL321" s="775">
        <f t="shared" ca="1" si="198"/>
        <v>0</v>
      </c>
      <c r="BM321" s="775">
        <f t="shared" ca="1" si="199"/>
        <v>0</v>
      </c>
      <c r="BN321" s="775">
        <f t="shared" ca="1" si="200"/>
        <v>0</v>
      </c>
      <c r="BO321" s="775">
        <f t="shared" ca="1" si="201"/>
        <v>0</v>
      </c>
      <c r="BP321" s="775">
        <f t="shared" ca="1" si="202"/>
        <v>0</v>
      </c>
      <c r="BQ321" s="775">
        <f t="shared" ca="1" si="170"/>
        <v>0</v>
      </c>
      <c r="BR321" s="775">
        <f t="shared" ca="1" si="203"/>
        <v>0</v>
      </c>
    </row>
    <row r="322" spans="1:70">
      <c r="A322" s="767" t="str">
        <f t="shared" ca="1" si="211"/>
        <v/>
      </c>
      <c r="B322" s="622" t="s">
        <v>651</v>
      </c>
      <c r="C322" s="188" t="str">
        <f ca="1">IF(F322=0,"",COUNTIF($F$78:$F322,"&gt;0"))</f>
        <v/>
      </c>
      <c r="D322" s="778" t="str">
        <f>VLOOKUP($B322,dongia1,DG!$C$5,)</f>
        <v>Thép tấm 5mm</v>
      </c>
      <c r="E322" s="555" t="str">
        <f>VLOOKUP($B322,dongia1,DG!$D$5,)</f>
        <v>kg</v>
      </c>
      <c r="F322" s="975">
        <f t="shared" ca="1" si="171"/>
        <v>0</v>
      </c>
      <c r="G322" s="976">
        <f ca="1">SUM(AC322:AL322)</f>
        <v>0</v>
      </c>
      <c r="H322" s="976">
        <f ca="1">SUMIF(CT_tram!$B$33:$G$3559,kl!B322,CT_tram!$G$33:$G$3559)</f>
        <v>0</v>
      </c>
      <c r="I322" s="775">
        <f ca="1">SUMIF(CT_tram!$B$34:$G$115,$B322,CT_tram!$G$34:$G$115)</f>
        <v>0</v>
      </c>
      <c r="J322" s="775">
        <f ca="1">SUMIF(CT_tram!$B$122:$G$204,$B322,CT_tram!$G$122:$G$204)</f>
        <v>0</v>
      </c>
      <c r="K322" s="775">
        <f ca="1">SUMIF(CT_tram!$B$211:$G$293,$B322,CT_tram!$G$211:$G$293)</f>
        <v>0</v>
      </c>
      <c r="L322" s="775">
        <f ca="1">SUMIF(CT_tram!$B$300:$G$374,$B322,CT_tram!$G$300:$G$374)</f>
        <v>0</v>
      </c>
      <c r="M322" s="775">
        <f ca="1">SUMIF(CT_tram!$B$381:$G$471,$B322,CT_tram!$G$381:$G$471)</f>
        <v>0</v>
      </c>
      <c r="N322" s="775">
        <f ca="1">SUMIF(CT_tram!$B$478:$G$560,$B322,CT_tram!$G$478:$G$560)</f>
        <v>0</v>
      </c>
      <c r="O322" s="775">
        <f ca="1">SUMIF(CT_tram!$B$567:$G$653,$B322,CT_tram!$G$567:$G$653)</f>
        <v>0</v>
      </c>
      <c r="P322" s="775">
        <f ca="1">SUMIF(CT_tram!$B$661:$G$738,$B322,CT_tram!$G$661:$G$738)</f>
        <v>0</v>
      </c>
      <c r="Q322" s="775">
        <f ca="1">SUMIF(CT_tram!$B$745:$G$899,$B322,CT_tram!$G$745:$G$899)</f>
        <v>0</v>
      </c>
      <c r="R322" s="775">
        <f ca="1">SUMIF(CT_tram!$B$907:$G$995,$B322,CT_tram!$G$907:$G$995)</f>
        <v>0</v>
      </c>
      <c r="S322" s="775"/>
      <c r="T322" s="775">
        <f ca="1">SUMIF(CT_tram!$B$1004:$G$1097,B322,CT_tram!$G$1004:$G$1097)</f>
        <v>0</v>
      </c>
      <c r="U322" s="775"/>
      <c r="V322" s="775">
        <f ca="1">SUMIF(CT_tram!$B$1226:$G$1352,kl!B322,CT_tram!$G$1226:$G$1352)</f>
        <v>0</v>
      </c>
      <c r="W322" s="780">
        <f ca="1">SUMIF(CT_tram!$B$1105:$G$1219,kl!B322,CT_tram!$G$1105:$G$1219)</f>
        <v>0</v>
      </c>
      <c r="X322" s="775">
        <f ca="1">SUMIF(CT_tram!$B$1359:$G$1504,kl!B322,CT_tram!$G$1359:$G$1504)</f>
        <v>0</v>
      </c>
      <c r="Y322" s="775">
        <f ca="1">SUMIF(CT_tram!$B$1511:$G$1625,kl!B322,CT_tram!$G$1511:$G$1625)</f>
        <v>0</v>
      </c>
      <c r="Z322" s="775">
        <f ca="1">SUMIF(CT_tram!$B$1632:$G$2211,kl!B322,CT_tram!$G$1632:$G$2211)</f>
        <v>0</v>
      </c>
      <c r="AA322" s="775">
        <f ca="1">SUMIF(CT_tram!$B$2243:$G$2384,kl!B322,CT_tram!$G$2243:$G$2384)</f>
        <v>0</v>
      </c>
      <c r="AB322" s="775">
        <f ca="1">SUMIF(CT_tram!$B$2391:$G$2563,kl!B322,CT_tram!$G$2391:$G$2563)</f>
        <v>0</v>
      </c>
      <c r="AC322" s="775">
        <f ca="1">SUMIF(chitiet!$B$13:$N$2352,kl!$B322,chitiet!$I$13:$I$2352)</f>
        <v>0</v>
      </c>
      <c r="AD322" s="775">
        <f ca="1">SUMIF(chitiet!$B$13:$N$2352,kl!$B322,chitiet!$J$13:$J$2352)</f>
        <v>0</v>
      </c>
      <c r="AE322" s="775">
        <f ca="1">SUMIF(chitiet!$B$13:$N$2352,kl!$B322,chitiet!$K$13:$K$2352)</f>
        <v>0</v>
      </c>
      <c r="AF322" s="775">
        <f ca="1">SUMIF(chitiet!$B$13:$N$2352,kl!$B322,chitiet!$L$13:$L$2352)</f>
        <v>0</v>
      </c>
      <c r="AG322" s="775">
        <f ca="1">SUMIF(chitiet!$B$13:$N$2352,kl!$B322,chitiet!$M$13)</f>
        <v>0</v>
      </c>
      <c r="AH322" s="775">
        <f ca="1">SUMIF(chitiet!$B$13:$N$2352,kl!$B322,chitiet!$N$13:$N$2352)</f>
        <v>0</v>
      </c>
      <c r="AI322" s="775">
        <f ca="1">SUMIF(chitiet!$B$13:$N$2352,kl!$B322,chitiet!$O$13:$O$2352)</f>
        <v>0</v>
      </c>
      <c r="AJ322" s="775">
        <f ca="1">SUMIF('Cap ngam'!$B$631:$G$723,kl!$B322,'Cap ngam'!$G$631:$G$723)</f>
        <v>0</v>
      </c>
      <c r="AK322" s="775">
        <f ca="1">SUMIF('Cap ngam'!$B$403:$G$628,kl!$B322,'Cap ngam'!G$403:G$628)</f>
        <v>0</v>
      </c>
      <c r="AL322" s="775">
        <f ca="1">SUMIF('Cap ngam'!B$16:G$400,kl!$B322,'Cap ngam'!G$16:G$400)</f>
        <v>0</v>
      </c>
      <c r="AM322" s="776">
        <v>1</v>
      </c>
      <c r="AN322" s="775">
        <f t="shared" ca="1" si="213"/>
        <v>0</v>
      </c>
      <c r="AO322" s="775">
        <f t="shared" ca="1" si="213"/>
        <v>0</v>
      </c>
      <c r="AP322" s="775">
        <f t="shared" ca="1" si="213"/>
        <v>0</v>
      </c>
      <c r="AQ322" s="775">
        <f t="shared" ca="1" si="213"/>
        <v>0</v>
      </c>
      <c r="AR322" s="775">
        <f t="shared" ca="1" si="213"/>
        <v>0</v>
      </c>
      <c r="AS322" s="775">
        <f t="shared" ca="1" si="213"/>
        <v>0</v>
      </c>
      <c r="AT322" s="775">
        <f t="shared" ca="1" si="213"/>
        <v>0</v>
      </c>
      <c r="AU322" s="775">
        <f t="shared" ca="1" si="213"/>
        <v>0</v>
      </c>
      <c r="AV322" s="775">
        <f t="shared" ca="1" si="213"/>
        <v>0</v>
      </c>
      <c r="AW322" s="775">
        <f t="shared" ca="1" si="213"/>
        <v>0</v>
      </c>
      <c r="AX322" s="775">
        <f t="shared" si="191"/>
        <v>0</v>
      </c>
      <c r="AY322" s="775">
        <f t="shared" ca="1" si="192"/>
        <v>0</v>
      </c>
      <c r="AZ322" s="775">
        <f t="shared" si="193"/>
        <v>0</v>
      </c>
      <c r="BA322" s="775">
        <f t="shared" ca="1" si="172"/>
        <v>0</v>
      </c>
      <c r="BB322" s="775">
        <f t="shared" ca="1" si="173"/>
        <v>0</v>
      </c>
      <c r="BC322" s="775">
        <f t="shared" ca="1" si="174"/>
        <v>0</v>
      </c>
      <c r="BD322" s="775">
        <f t="shared" ca="1" si="175"/>
        <v>0</v>
      </c>
      <c r="BE322" s="775">
        <f t="shared" ca="1" si="176"/>
        <v>0</v>
      </c>
      <c r="BF322" s="775">
        <f t="shared" ca="1" si="177"/>
        <v>0</v>
      </c>
      <c r="BG322" s="775">
        <f t="shared" ca="1" si="178"/>
        <v>0</v>
      </c>
      <c r="BH322" s="775">
        <f t="shared" ca="1" si="194"/>
        <v>0</v>
      </c>
      <c r="BI322" s="775">
        <f t="shared" ca="1" si="195"/>
        <v>0</v>
      </c>
      <c r="BJ322" s="775">
        <f t="shared" ca="1" si="196"/>
        <v>0</v>
      </c>
      <c r="BK322" s="775">
        <f t="shared" ca="1" si="197"/>
        <v>0</v>
      </c>
      <c r="BL322" s="775">
        <f t="shared" ca="1" si="198"/>
        <v>0</v>
      </c>
      <c r="BM322" s="775">
        <f t="shared" ca="1" si="199"/>
        <v>0</v>
      </c>
      <c r="BN322" s="775">
        <f t="shared" ca="1" si="200"/>
        <v>0</v>
      </c>
      <c r="BO322" s="775">
        <f t="shared" ca="1" si="201"/>
        <v>0</v>
      </c>
      <c r="BP322" s="775">
        <f t="shared" ca="1" si="202"/>
        <v>0</v>
      </c>
      <c r="BQ322" s="775">
        <f t="shared" ca="1" si="170"/>
        <v>0</v>
      </c>
      <c r="BR322" s="775">
        <f t="shared" ca="1" si="203"/>
        <v>0</v>
      </c>
    </row>
    <row r="323" spans="1:70">
      <c r="A323" s="767" t="str">
        <f t="shared" ca="1" si="211"/>
        <v/>
      </c>
      <c r="B323" s="131" t="s">
        <v>440</v>
      </c>
      <c r="C323" s="188" t="str">
        <f ca="1">IF(F323=0,"",COUNTIF($F$78:$F323,"&gt;0"))</f>
        <v/>
      </c>
      <c r="D323" s="778" t="str">
        <f>VLOOKUP($B323,dongia1,DG!$C$5,)</f>
        <v>Đà U200x80x5x2800 đỡ MBA</v>
      </c>
      <c r="E323" s="555" t="str">
        <f>VLOOKUP($B323,dongia1,DG!$D$5,)</f>
        <v>kg</v>
      </c>
      <c r="F323" s="975">
        <f t="shared" ca="1" si="171"/>
        <v>0</v>
      </c>
      <c r="G323" s="976">
        <f ca="1">SUM(AC323:AL323)</f>
        <v>0</v>
      </c>
      <c r="H323" s="976">
        <f ca="1">SUMIF(CT_tram!$B$33:$G$3559,kl!B323,CT_tram!$G$33:$G$3559)</f>
        <v>0</v>
      </c>
      <c r="I323" s="775">
        <f ca="1">SUMIF(CT_tram!$B$34:$G$115,$B323,CT_tram!$G$34:$G$115)</f>
        <v>0</v>
      </c>
      <c r="J323" s="775">
        <f ca="1">SUMIF(CT_tram!$B$122:$G$204,$B323,CT_tram!$G$122:$G$204)</f>
        <v>0</v>
      </c>
      <c r="K323" s="775">
        <f ca="1">SUMIF(CT_tram!$B$211:$G$293,$B323,CT_tram!$G$211:$G$293)</f>
        <v>0</v>
      </c>
      <c r="L323" s="775">
        <f ca="1">SUMIF(CT_tram!$B$300:$G$374,$B323,CT_tram!$G$300:$G$374)</f>
        <v>0</v>
      </c>
      <c r="M323" s="775">
        <f ca="1">SUMIF(CT_tram!$B$381:$G$471,$B323,CT_tram!$G$381:$G$471)</f>
        <v>0</v>
      </c>
      <c r="N323" s="775">
        <f ca="1">SUMIF(CT_tram!$B$478:$G$560,$B323,CT_tram!$G$478:$G$560)</f>
        <v>0</v>
      </c>
      <c r="O323" s="775">
        <f ca="1">SUMIF(CT_tram!$B$567:$G$653,$B323,CT_tram!$G$567:$G$653)</f>
        <v>0</v>
      </c>
      <c r="P323" s="775">
        <f ca="1">SUMIF(CT_tram!$B$661:$G$738,$B323,CT_tram!$G$661:$G$738)</f>
        <v>0</v>
      </c>
      <c r="Q323" s="775">
        <f ca="1">SUMIF(CT_tram!$B$745:$G$899,$B323,CT_tram!$G$745:$G$899)</f>
        <v>0</v>
      </c>
      <c r="R323" s="775">
        <f ca="1">SUMIF(CT_tram!$B$907:$G$995,$B323,CT_tram!$G$907:$G$995)</f>
        <v>0</v>
      </c>
      <c r="S323" s="775"/>
      <c r="T323" s="775">
        <f ca="1">SUMIF(CT_tram!$B$1004:$G$1097,B323,CT_tram!$G$1004:$G$1097)</f>
        <v>0</v>
      </c>
      <c r="U323" s="775"/>
      <c r="V323" s="775">
        <f ca="1">SUMIF(CT_tram!$B$1226:$G$1352,kl!B323,CT_tram!$G$1226:$G$1352)</f>
        <v>0</v>
      </c>
      <c r="W323" s="780">
        <f ca="1">SUMIF(CT_tram!$B$1105:$G$1219,kl!B323,CT_tram!$G$1105:$G$1219)</f>
        <v>0</v>
      </c>
      <c r="X323" s="775">
        <f ca="1">SUMIF(CT_tram!$B$1359:$G$1504,kl!B323,CT_tram!$G$1359:$G$1504)</f>
        <v>0</v>
      </c>
      <c r="Y323" s="775">
        <f ca="1">SUMIF(CT_tram!$B$1511:$G$1625,kl!B323,CT_tram!$G$1511:$G$1625)</f>
        <v>0</v>
      </c>
      <c r="Z323" s="775">
        <f ca="1">SUMIF(CT_tram!$B$1632:$G$2211,kl!B323,CT_tram!$G$1632:$G$2211)</f>
        <v>0</v>
      </c>
      <c r="AA323" s="775">
        <f ca="1">SUMIF(CT_tram!$B$2243:$G$2384,kl!B323,CT_tram!$G$2243:$G$2384)</f>
        <v>0</v>
      </c>
      <c r="AB323" s="775">
        <f ca="1">SUMIF(CT_tram!$B$2391:$G$2563,kl!B323,CT_tram!$G$2391:$G$2563)</f>
        <v>0</v>
      </c>
      <c r="AC323" s="775">
        <f ca="1">SUMIF(chitiet!$B$13:$N$2352,kl!$B323,chitiet!$I$13:$I$2352)</f>
        <v>0</v>
      </c>
      <c r="AD323" s="775">
        <f ca="1">SUMIF(chitiet!$B$13:$N$2352,kl!$B323,chitiet!$J$13:$J$2352)</f>
        <v>0</v>
      </c>
      <c r="AE323" s="775">
        <f ca="1">SUMIF(chitiet!$B$13:$N$2352,kl!$B323,chitiet!$K$13:$K$2352)</f>
        <v>0</v>
      </c>
      <c r="AF323" s="775">
        <f ca="1">SUMIF(chitiet!$B$13:$N$2352,kl!$B323,chitiet!$L$13:$L$2352)</f>
        <v>0</v>
      </c>
      <c r="AG323" s="775">
        <f ca="1">SUMIF(chitiet!$B$13:$N$2352,kl!$B323,chitiet!$M$13)</f>
        <v>0</v>
      </c>
      <c r="AH323" s="775">
        <f ca="1">SUMIF(chitiet!$B$13:$N$2352,kl!$B323,chitiet!$N$13:$N$2352)</f>
        <v>0</v>
      </c>
      <c r="AI323" s="775">
        <f ca="1">SUMIF(chitiet!$B$13:$N$2352,kl!$B323,chitiet!$O$13:$O$2352)</f>
        <v>0</v>
      </c>
      <c r="AJ323" s="775">
        <f ca="1">SUMIF('Cap ngam'!$B$631:$G$723,kl!$B323,'Cap ngam'!$G$631:$G$723)</f>
        <v>0</v>
      </c>
      <c r="AK323" s="775">
        <f ca="1">SUMIF('Cap ngam'!$B$403:$G$628,kl!$B323,'Cap ngam'!G$403:G$628)</f>
        <v>0</v>
      </c>
      <c r="AL323" s="775">
        <f ca="1">SUMIF('Cap ngam'!B$16:G$400,kl!$B323,'Cap ngam'!G$16:G$400)</f>
        <v>0</v>
      </c>
      <c r="AM323" s="776">
        <v>1</v>
      </c>
      <c r="AN323" s="775">
        <f t="shared" ca="1" si="181"/>
        <v>0</v>
      </c>
      <c r="AO323" s="775">
        <f t="shared" ca="1" si="182"/>
        <v>0</v>
      </c>
      <c r="AP323" s="775">
        <f t="shared" ca="1" si="183"/>
        <v>0</v>
      </c>
      <c r="AQ323" s="775">
        <f t="shared" ca="1" si="184"/>
        <v>0</v>
      </c>
      <c r="AR323" s="775">
        <f t="shared" ca="1" si="185"/>
        <v>0</v>
      </c>
      <c r="AS323" s="775">
        <f t="shared" ca="1" si="186"/>
        <v>0</v>
      </c>
      <c r="AT323" s="775">
        <f t="shared" ca="1" si="187"/>
        <v>0</v>
      </c>
      <c r="AU323" s="775">
        <f t="shared" ca="1" si="188"/>
        <v>0</v>
      </c>
      <c r="AV323" s="775">
        <f t="shared" ca="1" si="189"/>
        <v>0</v>
      </c>
      <c r="AW323" s="775">
        <f t="shared" ca="1" si="190"/>
        <v>0</v>
      </c>
      <c r="AX323" s="775">
        <f t="shared" si="191"/>
        <v>0</v>
      </c>
      <c r="AY323" s="775">
        <f t="shared" ca="1" si="192"/>
        <v>0</v>
      </c>
      <c r="AZ323" s="775">
        <f t="shared" si="193"/>
        <v>0</v>
      </c>
      <c r="BA323" s="775">
        <f t="shared" ca="1" si="172"/>
        <v>0</v>
      </c>
      <c r="BB323" s="775">
        <f t="shared" ca="1" si="173"/>
        <v>0</v>
      </c>
      <c r="BC323" s="775">
        <f t="shared" ca="1" si="174"/>
        <v>0</v>
      </c>
      <c r="BD323" s="775">
        <f t="shared" ca="1" si="175"/>
        <v>0</v>
      </c>
      <c r="BE323" s="775">
        <f t="shared" ca="1" si="176"/>
        <v>0</v>
      </c>
      <c r="BF323" s="775">
        <f t="shared" ca="1" si="177"/>
        <v>0</v>
      </c>
      <c r="BG323" s="775">
        <f t="shared" ca="1" si="178"/>
        <v>0</v>
      </c>
      <c r="BH323" s="775">
        <f t="shared" ca="1" si="194"/>
        <v>0</v>
      </c>
      <c r="BI323" s="775">
        <f t="shared" ca="1" si="195"/>
        <v>0</v>
      </c>
      <c r="BJ323" s="775">
        <f t="shared" ca="1" si="196"/>
        <v>0</v>
      </c>
      <c r="BK323" s="775">
        <f t="shared" ca="1" si="197"/>
        <v>0</v>
      </c>
      <c r="BL323" s="775">
        <f t="shared" ca="1" si="198"/>
        <v>0</v>
      </c>
      <c r="BM323" s="775">
        <f t="shared" ca="1" si="199"/>
        <v>0</v>
      </c>
      <c r="BN323" s="775">
        <f t="shared" ca="1" si="200"/>
        <v>0</v>
      </c>
      <c r="BO323" s="775">
        <f t="shared" ca="1" si="201"/>
        <v>0</v>
      </c>
      <c r="BP323" s="775">
        <f t="shared" ca="1" si="202"/>
        <v>0</v>
      </c>
      <c r="BQ323" s="775">
        <f t="shared" ca="1" si="170"/>
        <v>0</v>
      </c>
      <c r="BR323" s="775">
        <f t="shared" ca="1" si="203"/>
        <v>0</v>
      </c>
    </row>
    <row r="324" spans="1:70">
      <c r="A324" s="767" t="str">
        <f t="shared" ca="1" si="162"/>
        <v/>
      </c>
      <c r="B324" s="131" t="s">
        <v>1307</v>
      </c>
      <c r="C324" s="188" t="str">
        <f ca="1">IF(F324=0,"",COUNTIF($F$78:$F324,"&gt;0"))</f>
        <v/>
      </c>
      <c r="D324" s="778" t="str">
        <f>VLOOKUP($B324,dongia1,DG!$C$5,)</f>
        <v>Đà U160x68x5x2800 đỡ MBA</v>
      </c>
      <c r="E324" s="555" t="str">
        <f>VLOOKUP($B324,dongia1,DG!$D$5,)</f>
        <v>kg</v>
      </c>
      <c r="F324" s="975">
        <f t="shared" ca="1" si="171"/>
        <v>0</v>
      </c>
      <c r="G324" s="976">
        <f t="shared" ca="1" si="212"/>
        <v>0</v>
      </c>
      <c r="H324" s="976">
        <f ca="1">SUMIF(CT_tram!$B$33:$G$3559,kl!B324,CT_tram!$G$33:$G$3559)</f>
        <v>0</v>
      </c>
      <c r="I324" s="775">
        <f ca="1">SUMIF(CT_tram!$B$34:$G$115,$B324,CT_tram!$G$34:$G$115)</f>
        <v>0</v>
      </c>
      <c r="J324" s="775">
        <f ca="1">SUMIF(CT_tram!$B$122:$G$204,$B324,CT_tram!$G$122:$G$204)</f>
        <v>0</v>
      </c>
      <c r="K324" s="775">
        <f ca="1">SUMIF(CT_tram!$B$211:$G$293,$B324,CT_tram!$G$211:$G$293)</f>
        <v>0</v>
      </c>
      <c r="L324" s="775">
        <f ca="1">SUMIF(CT_tram!$B$300:$G$374,$B324,CT_tram!$G$300:$G$374)</f>
        <v>0</v>
      </c>
      <c r="M324" s="775">
        <f ca="1">SUMIF(CT_tram!$B$381:$G$471,$B324,CT_tram!$G$381:$G$471)</f>
        <v>0</v>
      </c>
      <c r="N324" s="775">
        <f ca="1">SUMIF(CT_tram!$B$478:$G$560,$B324,CT_tram!$G$478:$G$560)</f>
        <v>0</v>
      </c>
      <c r="O324" s="775">
        <f ca="1">SUMIF(CT_tram!$B$567:$G$653,$B324,CT_tram!$G$567:$G$653)</f>
        <v>0</v>
      </c>
      <c r="P324" s="775">
        <f ca="1">SUMIF(CT_tram!$B$661:$G$738,$B324,CT_tram!$G$661:$G$738)</f>
        <v>0</v>
      </c>
      <c r="Q324" s="775">
        <f ca="1">SUMIF(CT_tram!$B$745:$G$899,$B324,CT_tram!$G$745:$G$899)</f>
        <v>0</v>
      </c>
      <c r="R324" s="775">
        <f ca="1">SUMIF(CT_tram!$B$907:$G$995,$B324,CT_tram!$G$907:$G$995)</f>
        <v>0</v>
      </c>
      <c r="S324" s="775"/>
      <c r="T324" s="775">
        <f ca="1">SUMIF(CT_tram!$B$1004:$G$1097,B324,CT_tram!$G$1004:$G$1097)</f>
        <v>0</v>
      </c>
      <c r="U324" s="775"/>
      <c r="V324" s="775">
        <f ca="1">SUMIF(CT_tram!$B$1226:$G$1352,kl!B324,CT_tram!$G$1226:$G$1352)</f>
        <v>0</v>
      </c>
      <c r="W324" s="780">
        <f ca="1">SUMIF(CT_tram!$B$1105:$G$1219,kl!B324,CT_tram!$G$1105:$G$1219)</f>
        <v>0</v>
      </c>
      <c r="X324" s="775">
        <f ca="1">SUMIF(CT_tram!$B$1359:$G$1504,kl!B324,CT_tram!$G$1359:$G$1504)</f>
        <v>0</v>
      </c>
      <c r="Y324" s="775">
        <f ca="1">SUMIF(CT_tram!$B$1511:$G$1625,kl!B324,CT_tram!$G$1511:$G$1625)</f>
        <v>0</v>
      </c>
      <c r="Z324" s="775">
        <f ca="1">SUMIF(CT_tram!$B$1632:$G$2211,kl!B324,CT_tram!$G$1632:$G$2211)</f>
        <v>0</v>
      </c>
      <c r="AA324" s="775">
        <f ca="1">SUMIF(CT_tram!$B$2243:$G$2384,kl!B324,CT_tram!$G$2243:$G$2384)</f>
        <v>0</v>
      </c>
      <c r="AB324" s="775">
        <f ca="1">SUMIF(CT_tram!$B$2391:$G$2563,kl!B324,CT_tram!$G$2391:$G$2563)</f>
        <v>0</v>
      </c>
      <c r="AC324" s="775">
        <f ca="1">SUMIF(chitiet!$B$13:$N$2352,kl!$B324,chitiet!$I$13:$I$2352)</f>
        <v>0</v>
      </c>
      <c r="AD324" s="775">
        <f ca="1">SUMIF(chitiet!$B$13:$N$2352,kl!$B324,chitiet!$J$13:$J$2352)</f>
        <v>0</v>
      </c>
      <c r="AE324" s="775">
        <f ca="1">SUMIF(chitiet!$B$13:$N$2352,kl!$B324,chitiet!$K$13:$K$2352)</f>
        <v>0</v>
      </c>
      <c r="AF324" s="775">
        <f ca="1">SUMIF(chitiet!$B$13:$N$2352,kl!$B324,chitiet!$L$13:$L$2352)</f>
        <v>0</v>
      </c>
      <c r="AG324" s="775">
        <f ca="1">SUMIF(chitiet!$B$13:$N$2352,kl!$B324,chitiet!$M$13)</f>
        <v>0</v>
      </c>
      <c r="AH324" s="775">
        <f ca="1">SUMIF(chitiet!$B$13:$N$2352,kl!$B324,chitiet!$N$13:$N$2352)</f>
        <v>0</v>
      </c>
      <c r="AI324" s="775">
        <f ca="1">SUMIF(chitiet!$B$13:$N$2352,kl!$B324,chitiet!$O$13:$O$2352)</f>
        <v>0</v>
      </c>
      <c r="AJ324" s="775">
        <f ca="1">SUMIF('Cap ngam'!$B$631:$G$723,kl!$B324,'Cap ngam'!$G$631:$G$723)</f>
        <v>0</v>
      </c>
      <c r="AK324" s="775">
        <f ca="1">SUMIF('Cap ngam'!$B$403:$G$628,kl!$B324,'Cap ngam'!G$403:G$628)</f>
        <v>0</v>
      </c>
      <c r="AL324" s="775">
        <f ca="1">SUMIF('Cap ngam'!B$16:G$400,kl!$B324,'Cap ngam'!G$16:G$400)</f>
        <v>0</v>
      </c>
      <c r="AM324" s="776">
        <v>1</v>
      </c>
      <c r="AN324" s="775">
        <f t="shared" ca="1" si="181"/>
        <v>0</v>
      </c>
      <c r="AO324" s="775">
        <f t="shared" ca="1" si="182"/>
        <v>0</v>
      </c>
      <c r="AP324" s="775">
        <f t="shared" ca="1" si="183"/>
        <v>0</v>
      </c>
      <c r="AQ324" s="775">
        <f t="shared" ca="1" si="184"/>
        <v>0</v>
      </c>
      <c r="AR324" s="775">
        <f t="shared" ca="1" si="185"/>
        <v>0</v>
      </c>
      <c r="AS324" s="775">
        <f t="shared" ca="1" si="186"/>
        <v>0</v>
      </c>
      <c r="AT324" s="775">
        <f t="shared" ca="1" si="187"/>
        <v>0</v>
      </c>
      <c r="AU324" s="775">
        <f t="shared" ca="1" si="188"/>
        <v>0</v>
      </c>
      <c r="AV324" s="775">
        <f t="shared" ca="1" si="189"/>
        <v>0</v>
      </c>
      <c r="AW324" s="775">
        <f t="shared" ca="1" si="190"/>
        <v>0</v>
      </c>
      <c r="AX324" s="775">
        <f t="shared" si="191"/>
        <v>0</v>
      </c>
      <c r="AY324" s="775">
        <f t="shared" ca="1" si="192"/>
        <v>0</v>
      </c>
      <c r="AZ324" s="775">
        <f t="shared" si="193"/>
        <v>0</v>
      </c>
      <c r="BA324" s="775">
        <f t="shared" ca="1" si="172"/>
        <v>0</v>
      </c>
      <c r="BB324" s="775">
        <f t="shared" ca="1" si="173"/>
        <v>0</v>
      </c>
      <c r="BC324" s="775">
        <f t="shared" ca="1" si="174"/>
        <v>0</v>
      </c>
      <c r="BD324" s="775">
        <f t="shared" ca="1" si="175"/>
        <v>0</v>
      </c>
      <c r="BE324" s="775">
        <f t="shared" ca="1" si="176"/>
        <v>0</v>
      </c>
      <c r="BF324" s="775">
        <f t="shared" ca="1" si="177"/>
        <v>0</v>
      </c>
      <c r="BG324" s="775">
        <f t="shared" ca="1" si="178"/>
        <v>0</v>
      </c>
      <c r="BH324" s="775">
        <f t="shared" ca="1" si="194"/>
        <v>0</v>
      </c>
      <c r="BI324" s="775">
        <f t="shared" ca="1" si="195"/>
        <v>0</v>
      </c>
      <c r="BJ324" s="775">
        <f t="shared" ca="1" si="196"/>
        <v>0</v>
      </c>
      <c r="BK324" s="775">
        <f t="shared" ca="1" si="197"/>
        <v>0</v>
      </c>
      <c r="BL324" s="775">
        <f t="shared" ca="1" si="198"/>
        <v>0</v>
      </c>
      <c r="BM324" s="775">
        <f t="shared" ca="1" si="199"/>
        <v>0</v>
      </c>
      <c r="BN324" s="775">
        <f t="shared" ca="1" si="200"/>
        <v>0</v>
      </c>
      <c r="BO324" s="775">
        <f t="shared" ca="1" si="201"/>
        <v>0</v>
      </c>
      <c r="BP324" s="775">
        <f t="shared" ca="1" si="202"/>
        <v>0</v>
      </c>
      <c r="BQ324" s="775">
        <f t="shared" ca="1" si="170"/>
        <v>0</v>
      </c>
      <c r="BR324" s="775">
        <f t="shared" ca="1" si="203"/>
        <v>0</v>
      </c>
    </row>
    <row r="325" spans="1:70">
      <c r="A325" s="767" t="str">
        <f t="shared" ca="1" si="162"/>
        <v/>
      </c>
      <c r="B325" s="234" t="s">
        <v>1308</v>
      </c>
      <c r="C325" s="188" t="str">
        <f ca="1">IF(F325=0,"",COUNTIF($F$78:$F325,"&gt;0"))</f>
        <v/>
      </c>
      <c r="D325" s="778" t="str">
        <f>VLOOKUP($B325,dongia1,DG!$C$5,)</f>
        <v xml:space="preserve">Đà U100x46x4,5x400 </v>
      </c>
      <c r="E325" s="555" t="str">
        <f>VLOOKUP($B325,dongia1,DG!$D$5,)</f>
        <v>kg</v>
      </c>
      <c r="F325" s="975">
        <f t="shared" ca="1" si="171"/>
        <v>0</v>
      </c>
      <c r="G325" s="976">
        <f t="shared" ca="1" si="212"/>
        <v>0</v>
      </c>
      <c r="H325" s="976">
        <f ca="1">SUMIF(CT_tram!$B$33:$G$3559,kl!B325,CT_tram!$G$33:$G$3559)</f>
        <v>0</v>
      </c>
      <c r="I325" s="775">
        <f ca="1">SUMIF(CT_tram!$B$34:$G$115,$B325,CT_tram!$G$34:$G$115)</f>
        <v>0</v>
      </c>
      <c r="J325" s="775">
        <f ca="1">SUMIF(CT_tram!$B$122:$G$204,$B325,CT_tram!$G$122:$G$204)</f>
        <v>0</v>
      </c>
      <c r="K325" s="775">
        <f ca="1">SUMIF(CT_tram!$B$211:$G$293,$B325,CT_tram!$G$211:$G$293)</f>
        <v>0</v>
      </c>
      <c r="L325" s="775">
        <f ca="1">SUMIF(CT_tram!$B$300:$G$374,$B325,CT_tram!$G$300:$G$374)</f>
        <v>0</v>
      </c>
      <c r="M325" s="775">
        <f ca="1">SUMIF(CT_tram!$B$381:$G$471,$B325,CT_tram!$G$381:$G$471)</f>
        <v>0</v>
      </c>
      <c r="N325" s="775">
        <f ca="1">SUMIF(CT_tram!$B$478:$G$560,$B325,CT_tram!$G$478:$G$560)</f>
        <v>0</v>
      </c>
      <c r="O325" s="775">
        <f ca="1">SUMIF(CT_tram!$B$567:$G$653,$B325,CT_tram!$G$567:$G$653)</f>
        <v>0</v>
      </c>
      <c r="P325" s="775">
        <f ca="1">SUMIF(CT_tram!$B$661:$G$738,$B325,CT_tram!$G$661:$G$738)</f>
        <v>0</v>
      </c>
      <c r="Q325" s="775">
        <f ca="1">SUMIF(CT_tram!$B$745:$G$899,$B325,CT_tram!$G$745:$G$899)</f>
        <v>0</v>
      </c>
      <c r="R325" s="775">
        <f ca="1">SUMIF(CT_tram!$B$907:$G$995,$B325,CT_tram!$G$907:$G$995)</f>
        <v>0</v>
      </c>
      <c r="S325" s="775"/>
      <c r="T325" s="775">
        <f ca="1">SUMIF(CT_tram!$B$1004:$G$1097,B325,CT_tram!$G$1004:$G$1097)</f>
        <v>0</v>
      </c>
      <c r="U325" s="775"/>
      <c r="V325" s="775">
        <f ca="1">SUMIF(CT_tram!$B$1226:$G$1352,kl!B325,CT_tram!$G$1226:$G$1352)</f>
        <v>0</v>
      </c>
      <c r="W325" s="780">
        <f ca="1">SUMIF(CT_tram!$B$1105:$G$1219,kl!B325,CT_tram!$G$1105:$G$1219)</f>
        <v>0</v>
      </c>
      <c r="X325" s="775">
        <f ca="1">SUMIF(CT_tram!$B$1359:$G$1504,kl!B325,CT_tram!$G$1359:$G$1504)</f>
        <v>0</v>
      </c>
      <c r="Y325" s="775">
        <f ca="1">SUMIF(CT_tram!$B$1511:$G$1625,kl!B325,CT_tram!$G$1511:$G$1625)</f>
        <v>0</v>
      </c>
      <c r="Z325" s="775">
        <f ca="1">SUMIF(CT_tram!$B$1632:$G$2211,kl!B325,CT_tram!$G$1632:$G$2211)</f>
        <v>0</v>
      </c>
      <c r="AA325" s="775">
        <f ca="1">SUMIF(CT_tram!$B$2243:$G$2384,kl!B325,CT_tram!$G$2243:$G$2384)</f>
        <v>0</v>
      </c>
      <c r="AB325" s="775">
        <f ca="1">SUMIF(CT_tram!$B$2391:$G$2563,kl!B325,CT_tram!$G$2391:$G$2563)</f>
        <v>0</v>
      </c>
      <c r="AC325" s="775">
        <f ca="1">SUMIF(chitiet!$B$13:$N$2352,kl!$B325,chitiet!$I$13:$I$2352)</f>
        <v>0</v>
      </c>
      <c r="AD325" s="775">
        <f ca="1">SUMIF(chitiet!$B$13:$N$2352,kl!$B325,chitiet!$J$13:$J$2352)</f>
        <v>0</v>
      </c>
      <c r="AE325" s="775">
        <f ca="1">SUMIF(chitiet!$B$13:$N$2352,kl!$B325,chitiet!$K$13:$K$2352)</f>
        <v>0</v>
      </c>
      <c r="AF325" s="775">
        <f ca="1">SUMIF(chitiet!$B$13:$N$2352,kl!$B325,chitiet!$L$13:$L$2352)</f>
        <v>0</v>
      </c>
      <c r="AG325" s="775">
        <f ca="1">SUMIF(chitiet!$B$13:$N$2352,kl!$B325,chitiet!$M$13)</f>
        <v>0</v>
      </c>
      <c r="AH325" s="775">
        <f ca="1">SUMIF(chitiet!$B$13:$N$2352,kl!$B325,chitiet!$N$13:$N$2352)</f>
        <v>0</v>
      </c>
      <c r="AI325" s="775">
        <f ca="1">SUMIF(chitiet!$B$13:$N$2352,kl!$B325,chitiet!$O$13:$O$2352)</f>
        <v>0</v>
      </c>
      <c r="AJ325" s="775">
        <f ca="1">SUMIF('Cap ngam'!$B$631:$G$723,kl!$B325,'Cap ngam'!$G$631:$G$723)</f>
        <v>0</v>
      </c>
      <c r="AK325" s="775">
        <f ca="1">SUMIF('Cap ngam'!$B$403:$G$628,kl!$B325,'Cap ngam'!G$403:G$628)</f>
        <v>0</v>
      </c>
      <c r="AL325" s="775">
        <f ca="1">SUMIF('Cap ngam'!B$16:G$400,kl!$B325,'Cap ngam'!G$16:G$400)</f>
        <v>0</v>
      </c>
      <c r="AM325" s="776">
        <v>1</v>
      </c>
      <c r="AN325" s="775">
        <f t="shared" ca="1" si="181"/>
        <v>0</v>
      </c>
      <c r="AO325" s="775">
        <f t="shared" ca="1" si="182"/>
        <v>0</v>
      </c>
      <c r="AP325" s="775">
        <f t="shared" ca="1" si="183"/>
        <v>0</v>
      </c>
      <c r="AQ325" s="775">
        <f t="shared" ca="1" si="184"/>
        <v>0</v>
      </c>
      <c r="AR325" s="775">
        <f t="shared" ca="1" si="185"/>
        <v>0</v>
      </c>
      <c r="AS325" s="775">
        <f t="shared" ca="1" si="186"/>
        <v>0</v>
      </c>
      <c r="AT325" s="775">
        <f t="shared" ca="1" si="187"/>
        <v>0</v>
      </c>
      <c r="AU325" s="775">
        <f t="shared" ca="1" si="188"/>
        <v>0</v>
      </c>
      <c r="AV325" s="775">
        <f t="shared" ca="1" si="189"/>
        <v>0</v>
      </c>
      <c r="AW325" s="775">
        <f t="shared" ca="1" si="190"/>
        <v>0</v>
      </c>
      <c r="AX325" s="775">
        <f t="shared" si="191"/>
        <v>0</v>
      </c>
      <c r="AY325" s="775">
        <f t="shared" ca="1" si="192"/>
        <v>0</v>
      </c>
      <c r="AZ325" s="775">
        <f t="shared" si="193"/>
        <v>0</v>
      </c>
      <c r="BA325" s="775">
        <f t="shared" ca="1" si="172"/>
        <v>0</v>
      </c>
      <c r="BB325" s="775">
        <f t="shared" ca="1" si="173"/>
        <v>0</v>
      </c>
      <c r="BC325" s="775">
        <f t="shared" ca="1" si="174"/>
        <v>0</v>
      </c>
      <c r="BD325" s="775">
        <f t="shared" ca="1" si="175"/>
        <v>0</v>
      </c>
      <c r="BE325" s="775">
        <f t="shared" ca="1" si="176"/>
        <v>0</v>
      </c>
      <c r="BF325" s="775">
        <f t="shared" ca="1" si="177"/>
        <v>0</v>
      </c>
      <c r="BG325" s="775">
        <f t="shared" ca="1" si="178"/>
        <v>0</v>
      </c>
      <c r="BH325" s="775">
        <f t="shared" ca="1" si="194"/>
        <v>0</v>
      </c>
      <c r="BI325" s="775">
        <f t="shared" ca="1" si="195"/>
        <v>0</v>
      </c>
      <c r="BJ325" s="775">
        <f t="shared" ca="1" si="196"/>
        <v>0</v>
      </c>
      <c r="BK325" s="775">
        <f t="shared" ca="1" si="197"/>
        <v>0</v>
      </c>
      <c r="BL325" s="775">
        <f t="shared" ca="1" si="198"/>
        <v>0</v>
      </c>
      <c r="BM325" s="775">
        <f t="shared" ca="1" si="199"/>
        <v>0</v>
      </c>
      <c r="BN325" s="775">
        <f t="shared" ca="1" si="200"/>
        <v>0</v>
      </c>
      <c r="BO325" s="775">
        <f t="shared" ca="1" si="201"/>
        <v>0</v>
      </c>
      <c r="BP325" s="775">
        <f t="shared" ca="1" si="202"/>
        <v>0</v>
      </c>
      <c r="BQ325" s="775">
        <f t="shared" ca="1" si="170"/>
        <v>0</v>
      </c>
      <c r="BR325" s="775">
        <f t="shared" ca="1" si="203"/>
        <v>0</v>
      </c>
    </row>
    <row r="326" spans="1:70">
      <c r="A326" s="767" t="str">
        <f t="shared" ca="1" si="162"/>
        <v/>
      </c>
      <c r="B326" s="234" t="s">
        <v>1309</v>
      </c>
      <c r="C326" s="188" t="str">
        <f ca="1">IF(F326=0,"",COUNTIF($F$78:$F326,"&gt;0"))</f>
        <v/>
      </c>
      <c r="D326" s="778" t="str">
        <f>VLOOKUP($B326,dongia1,DG!$C$5,)</f>
        <v xml:space="preserve">Đà U100x46x4,5x800 </v>
      </c>
      <c r="E326" s="555" t="str">
        <f>VLOOKUP($B326,dongia1,DG!$D$5,)</f>
        <v>kg</v>
      </c>
      <c r="F326" s="975">
        <f t="shared" ca="1" si="171"/>
        <v>0</v>
      </c>
      <c r="G326" s="976">
        <f t="shared" ca="1" si="212"/>
        <v>0</v>
      </c>
      <c r="H326" s="976">
        <f ca="1">SUMIF(CT_tram!$B$33:$G$3559,kl!B326,CT_tram!$G$33:$G$3559)</f>
        <v>0</v>
      </c>
      <c r="I326" s="775">
        <f ca="1">SUMIF(CT_tram!$B$34:$G$115,$B326,CT_tram!$G$34:$G$115)</f>
        <v>0</v>
      </c>
      <c r="J326" s="775">
        <f ca="1">SUMIF(CT_tram!$B$122:$G$204,$B326,CT_tram!$G$122:$G$204)</f>
        <v>0</v>
      </c>
      <c r="K326" s="775">
        <f ca="1">SUMIF(CT_tram!$B$211:$G$293,$B326,CT_tram!$G$211:$G$293)</f>
        <v>0</v>
      </c>
      <c r="L326" s="775">
        <f ca="1">SUMIF(CT_tram!$B$300:$G$374,$B326,CT_tram!$G$300:$G$374)</f>
        <v>0</v>
      </c>
      <c r="M326" s="775">
        <f ca="1">SUMIF(CT_tram!$B$381:$G$471,$B326,CT_tram!$G$381:$G$471)</f>
        <v>0</v>
      </c>
      <c r="N326" s="775">
        <f ca="1">SUMIF(CT_tram!$B$478:$G$560,$B326,CT_tram!$G$478:$G$560)</f>
        <v>0</v>
      </c>
      <c r="O326" s="775">
        <f ca="1">SUMIF(CT_tram!$B$567:$G$653,$B326,CT_tram!$G$567:$G$653)</f>
        <v>0</v>
      </c>
      <c r="P326" s="775">
        <f ca="1">SUMIF(CT_tram!$B$661:$G$738,$B326,CT_tram!$G$661:$G$738)</f>
        <v>0</v>
      </c>
      <c r="Q326" s="775">
        <f ca="1">SUMIF(CT_tram!$B$745:$G$899,$B326,CT_tram!$G$745:$G$899)</f>
        <v>0</v>
      </c>
      <c r="R326" s="775">
        <f ca="1">SUMIF(CT_tram!$B$907:$G$995,$B326,CT_tram!$G$907:$G$995)</f>
        <v>0</v>
      </c>
      <c r="S326" s="775"/>
      <c r="T326" s="775">
        <f ca="1">SUMIF(CT_tram!$B$1004:$G$1097,B326,CT_tram!$G$1004:$G$1097)</f>
        <v>0</v>
      </c>
      <c r="U326" s="775"/>
      <c r="V326" s="775">
        <f ca="1">SUMIF(CT_tram!$B$1226:$G$1352,kl!B326,CT_tram!$G$1226:$G$1352)</f>
        <v>0</v>
      </c>
      <c r="W326" s="780">
        <f ca="1">SUMIF(CT_tram!$B$1105:$G$1219,kl!B326,CT_tram!$G$1105:$G$1219)</f>
        <v>0</v>
      </c>
      <c r="X326" s="775">
        <f ca="1">SUMIF(CT_tram!$B$1359:$G$1504,kl!B326,CT_tram!$G$1359:$G$1504)</f>
        <v>0</v>
      </c>
      <c r="Y326" s="775">
        <f ca="1">SUMIF(CT_tram!$B$1511:$G$1625,kl!B326,CT_tram!$G$1511:$G$1625)</f>
        <v>0</v>
      </c>
      <c r="Z326" s="775">
        <f ca="1">SUMIF(CT_tram!$B$1632:$G$2211,kl!B326,CT_tram!$G$1632:$G$2211)</f>
        <v>0</v>
      </c>
      <c r="AA326" s="775">
        <f ca="1">SUMIF(CT_tram!$B$2243:$G$2384,kl!B326,CT_tram!$G$2243:$G$2384)</f>
        <v>0</v>
      </c>
      <c r="AB326" s="775">
        <f ca="1">SUMIF(CT_tram!$B$2391:$G$2563,kl!B326,CT_tram!$G$2391:$G$2563)</f>
        <v>0</v>
      </c>
      <c r="AC326" s="775">
        <f ca="1">SUMIF(chitiet!$B$13:$N$2352,kl!$B326,chitiet!$I$13:$I$2352)</f>
        <v>0</v>
      </c>
      <c r="AD326" s="775">
        <f ca="1">SUMIF(chitiet!$B$13:$N$2352,kl!$B326,chitiet!$J$13:$J$2352)</f>
        <v>0</v>
      </c>
      <c r="AE326" s="775">
        <f ca="1">SUMIF(chitiet!$B$13:$N$2352,kl!$B326,chitiet!$K$13:$K$2352)</f>
        <v>0</v>
      </c>
      <c r="AF326" s="775">
        <f ca="1">SUMIF(chitiet!$B$13:$N$2352,kl!$B326,chitiet!$L$13:$L$2352)</f>
        <v>0</v>
      </c>
      <c r="AG326" s="775">
        <f ca="1">SUMIF(chitiet!$B$13:$N$2352,kl!$B326,chitiet!$M$13)</f>
        <v>0</v>
      </c>
      <c r="AH326" s="775">
        <f ca="1">SUMIF(chitiet!$B$13:$N$2352,kl!$B326,chitiet!$N$13:$N$2352)</f>
        <v>0</v>
      </c>
      <c r="AI326" s="775">
        <f ca="1">SUMIF(chitiet!$B$13:$N$2352,kl!$B326,chitiet!$O$13:$O$2352)</f>
        <v>0</v>
      </c>
      <c r="AJ326" s="775">
        <f ca="1">SUMIF('Cap ngam'!$B$631:$G$723,kl!$B326,'Cap ngam'!$G$631:$G$723)</f>
        <v>0</v>
      </c>
      <c r="AK326" s="775">
        <f ca="1">SUMIF('Cap ngam'!$B$403:$G$628,kl!$B326,'Cap ngam'!G$403:G$628)</f>
        <v>0</v>
      </c>
      <c r="AL326" s="775">
        <f ca="1">SUMIF('Cap ngam'!B$16:G$400,kl!$B326,'Cap ngam'!G$16:G$400)</f>
        <v>0</v>
      </c>
      <c r="AM326" s="776">
        <v>1</v>
      </c>
      <c r="AN326" s="775">
        <f t="shared" ca="1" si="181"/>
        <v>0</v>
      </c>
      <c r="AO326" s="775">
        <f t="shared" ca="1" si="182"/>
        <v>0</v>
      </c>
      <c r="AP326" s="775">
        <f t="shared" ca="1" si="183"/>
        <v>0</v>
      </c>
      <c r="AQ326" s="775">
        <f t="shared" ca="1" si="184"/>
        <v>0</v>
      </c>
      <c r="AR326" s="775">
        <f t="shared" ca="1" si="185"/>
        <v>0</v>
      </c>
      <c r="AS326" s="775">
        <f t="shared" ca="1" si="186"/>
        <v>0</v>
      </c>
      <c r="AT326" s="775">
        <f t="shared" ca="1" si="187"/>
        <v>0</v>
      </c>
      <c r="AU326" s="775">
        <f t="shared" ca="1" si="188"/>
        <v>0</v>
      </c>
      <c r="AV326" s="775">
        <f t="shared" ca="1" si="189"/>
        <v>0</v>
      </c>
      <c r="AW326" s="775">
        <f t="shared" ca="1" si="190"/>
        <v>0</v>
      </c>
      <c r="AX326" s="775">
        <f t="shared" si="191"/>
        <v>0</v>
      </c>
      <c r="AY326" s="775">
        <f t="shared" ca="1" si="192"/>
        <v>0</v>
      </c>
      <c r="AZ326" s="775">
        <f t="shared" si="193"/>
        <v>0</v>
      </c>
      <c r="BA326" s="775">
        <f t="shared" ca="1" si="172"/>
        <v>0</v>
      </c>
      <c r="BB326" s="775">
        <f t="shared" ca="1" si="173"/>
        <v>0</v>
      </c>
      <c r="BC326" s="775">
        <f t="shared" ca="1" si="174"/>
        <v>0</v>
      </c>
      <c r="BD326" s="775">
        <f t="shared" ca="1" si="175"/>
        <v>0</v>
      </c>
      <c r="BE326" s="775">
        <f t="shared" ca="1" si="176"/>
        <v>0</v>
      </c>
      <c r="BF326" s="775">
        <f t="shared" ca="1" si="177"/>
        <v>0</v>
      </c>
      <c r="BG326" s="775">
        <f t="shared" ca="1" si="178"/>
        <v>0</v>
      </c>
      <c r="BH326" s="775">
        <f t="shared" ca="1" si="194"/>
        <v>0</v>
      </c>
      <c r="BI326" s="775">
        <f t="shared" ca="1" si="195"/>
        <v>0</v>
      </c>
      <c r="BJ326" s="775">
        <f t="shared" ca="1" si="196"/>
        <v>0</v>
      </c>
      <c r="BK326" s="775">
        <f t="shared" ca="1" si="197"/>
        <v>0</v>
      </c>
      <c r="BL326" s="775">
        <f t="shared" ca="1" si="198"/>
        <v>0</v>
      </c>
      <c r="BM326" s="775">
        <f t="shared" ca="1" si="199"/>
        <v>0</v>
      </c>
      <c r="BN326" s="775">
        <f t="shared" ca="1" si="200"/>
        <v>0</v>
      </c>
      <c r="BO326" s="775">
        <f t="shared" ca="1" si="201"/>
        <v>0</v>
      </c>
      <c r="BP326" s="775">
        <f t="shared" ca="1" si="202"/>
        <v>0</v>
      </c>
      <c r="BQ326" s="775">
        <f t="shared" ca="1" si="170"/>
        <v>0</v>
      </c>
      <c r="BR326" s="775">
        <f t="shared" ca="1" si="203"/>
        <v>0</v>
      </c>
    </row>
    <row r="327" spans="1:70">
      <c r="A327" s="767" t="str">
        <f t="shared" ref="A327:A336" ca="1" si="214">IF(F327&lt;&gt;0,"X","")</f>
        <v/>
      </c>
      <c r="B327" s="234" t="s">
        <v>4636</v>
      </c>
      <c r="C327" s="188" t="str">
        <f ca="1">IF(F327=0,"",COUNTIF($F$78:$F327,"&gt;0"))</f>
        <v/>
      </c>
      <c r="D327" s="778" t="str">
        <f>VLOOKUP($B327,dongia1,DG!$C$5,)</f>
        <v>Đà U200x76x5,2x2033 chống MBA : 2 thanh</v>
      </c>
      <c r="E327" s="555" t="str">
        <f>VLOOKUP($B327,dongia1,DG!$D$5,)</f>
        <v>kg</v>
      </c>
      <c r="F327" s="779">
        <f t="shared" ref="F327:F336" ca="1" si="215">G327+H327</f>
        <v>0</v>
      </c>
      <c r="G327" s="775">
        <f t="shared" ref="G327:G336" ca="1" si="216">SUM(AC327:AL327)</f>
        <v>0</v>
      </c>
      <c r="H327" s="775">
        <f ca="1">SUMIF(CT_tram!$B$33:$G$3559,kl!B327,CT_tram!$G$33:$G$3559)</f>
        <v>0</v>
      </c>
      <c r="I327" s="775">
        <f ca="1">SUMIF(CT_tram!$B$34:$G$115,$B327,CT_tram!$G$34:$G$115)</f>
        <v>0</v>
      </c>
      <c r="J327" s="775">
        <f ca="1">SUMIF(CT_tram!$B$122:$G$204,$B327,CT_tram!$G$122:$G$204)</f>
        <v>0</v>
      </c>
      <c r="K327" s="775">
        <f ca="1">SUMIF(CT_tram!$B$211:$G$293,$B327,CT_tram!$G$211:$G$293)</f>
        <v>0</v>
      </c>
      <c r="L327" s="775">
        <f ca="1">SUMIF(CT_tram!$B$300:$G$374,$B327,CT_tram!$G$300:$G$374)</f>
        <v>0</v>
      </c>
      <c r="M327" s="775">
        <f ca="1">SUMIF(CT_tram!$B$381:$G$471,$B327,CT_tram!$G$381:$G$471)</f>
        <v>0</v>
      </c>
      <c r="N327" s="775">
        <f ca="1">SUMIF(CT_tram!$B$478:$G$560,$B327,CT_tram!$G$478:$G$560)</f>
        <v>0</v>
      </c>
      <c r="O327" s="775">
        <f ca="1">SUMIF(CT_tram!$B$567:$G$653,$B327,CT_tram!$G$567:$G$653)</f>
        <v>0</v>
      </c>
      <c r="P327" s="775">
        <f ca="1">SUMIF(CT_tram!$B$661:$G$738,$B327,CT_tram!$G$661:$G$738)</f>
        <v>0</v>
      </c>
      <c r="Q327" s="775">
        <f ca="1">SUMIF(CT_tram!$B$745:$G$899,$B327,CT_tram!$G$745:$G$899)</f>
        <v>0</v>
      </c>
      <c r="R327" s="775">
        <f ca="1">SUMIF(CT_tram!$B$907:$G$995,$B327,CT_tram!$G$907:$G$995)</f>
        <v>0</v>
      </c>
      <c r="S327" s="775"/>
      <c r="T327" s="775">
        <f ca="1">SUMIF(CT_tram!$B$1004:$G$1097,B327,CT_tram!$G$1004:$G$1097)</f>
        <v>0</v>
      </c>
      <c r="U327" s="775"/>
      <c r="V327" s="775">
        <f ca="1">SUMIF(CT_tram!$B$1226:$G$1352,kl!B327,CT_tram!$G$1226:$G$1352)</f>
        <v>0</v>
      </c>
      <c r="W327" s="780">
        <f ca="1">SUMIF(CT_tram!$B$1105:$G$1219,kl!B327,CT_tram!$G$1105:$G$1219)</f>
        <v>0</v>
      </c>
      <c r="X327" s="775">
        <f ca="1">SUMIF(CT_tram!$B$1359:$G$1504,kl!B327,CT_tram!$G$1359:$G$1504)</f>
        <v>0</v>
      </c>
      <c r="Y327" s="775">
        <f ca="1">SUMIF(CT_tram!$B$1511:$G$1625,kl!B327,CT_tram!$G$1511:$G$1625)</f>
        <v>0</v>
      </c>
      <c r="Z327" s="775">
        <f ca="1">SUMIF(CT_tram!$B$1632:$G$2211,kl!B327,CT_tram!$G$1632:$G$2211)</f>
        <v>0</v>
      </c>
      <c r="AA327" s="775">
        <f ca="1">SUMIF(CT_tram!$B$2243:$G$2384,kl!B327,CT_tram!$G$2243:$G$2384)</f>
        <v>0</v>
      </c>
      <c r="AB327" s="775">
        <f ca="1">SUMIF(CT_tram!$B$2391:$G$2563,kl!B327,CT_tram!$G$2391:$G$2563)</f>
        <v>0</v>
      </c>
      <c r="AC327" s="775">
        <f ca="1">SUMIF(chitiet!$B$13:$N$2352,kl!$B327,chitiet!$I$13:$I$2352)</f>
        <v>0</v>
      </c>
      <c r="AD327" s="775">
        <f ca="1">SUMIF(chitiet!$B$13:$N$2352,kl!$B327,chitiet!$J$13:$J$2352)</f>
        <v>0</v>
      </c>
      <c r="AE327" s="775">
        <f ca="1">SUMIF(chitiet!$B$13:$N$2352,kl!$B327,chitiet!$K$13:$K$2352)</f>
        <v>0</v>
      </c>
      <c r="AF327" s="775">
        <f ca="1">SUMIF(chitiet!$B$13:$N$2352,kl!$B327,chitiet!$L$13:$L$2352)</f>
        <v>0</v>
      </c>
      <c r="AG327" s="775">
        <f ca="1">SUMIF(chitiet!$B$13:$N$2352,kl!$B327,chitiet!$M$13)</f>
        <v>0</v>
      </c>
      <c r="AH327" s="775">
        <f ca="1">SUMIF(chitiet!$B$13:$N$2352,kl!$B327,chitiet!$N$13:$N$2352)</f>
        <v>0</v>
      </c>
      <c r="AI327" s="775">
        <f ca="1">SUMIF(chitiet!$B$13:$N$2352,kl!$B327,chitiet!$O$13:$O$2352)</f>
        <v>0</v>
      </c>
      <c r="AJ327" s="775">
        <f ca="1">SUMIF('Cap ngam'!$B$631:$G$723,kl!$B327,'Cap ngam'!$G$631:$G$723)</f>
        <v>0</v>
      </c>
      <c r="AK327" s="775">
        <f ca="1">SUMIF('Cap ngam'!$B$403:$G$628,kl!$B327,'Cap ngam'!G$403:G$628)</f>
        <v>0</v>
      </c>
      <c r="AL327" s="775">
        <f ca="1">SUMIF('Cap ngam'!B$16:G$400,kl!$B327,'Cap ngam'!G$16:G$400)</f>
        <v>0</v>
      </c>
      <c r="AM327" s="776">
        <v>1</v>
      </c>
      <c r="AN327" s="775">
        <f t="shared" ca="1" si="181"/>
        <v>0</v>
      </c>
      <c r="AO327" s="775">
        <f t="shared" ca="1" si="182"/>
        <v>0</v>
      </c>
      <c r="AP327" s="775">
        <f t="shared" ca="1" si="183"/>
        <v>0</v>
      </c>
      <c r="AQ327" s="775">
        <f t="shared" ca="1" si="184"/>
        <v>0</v>
      </c>
      <c r="AR327" s="775">
        <f t="shared" ca="1" si="185"/>
        <v>0</v>
      </c>
      <c r="AS327" s="775">
        <f t="shared" ca="1" si="186"/>
        <v>0</v>
      </c>
      <c r="AT327" s="775">
        <f t="shared" ca="1" si="187"/>
        <v>0</v>
      </c>
      <c r="AU327" s="775">
        <f t="shared" ca="1" si="188"/>
        <v>0</v>
      </c>
      <c r="AV327" s="775">
        <f t="shared" ca="1" si="189"/>
        <v>0</v>
      </c>
      <c r="AW327" s="775">
        <f t="shared" ca="1" si="190"/>
        <v>0</v>
      </c>
      <c r="AX327" s="775">
        <f t="shared" si="191"/>
        <v>0</v>
      </c>
      <c r="AY327" s="775">
        <f t="shared" ca="1" si="192"/>
        <v>0</v>
      </c>
      <c r="AZ327" s="775">
        <f t="shared" si="193"/>
        <v>0</v>
      </c>
      <c r="BA327" s="775">
        <f t="shared" ca="1" si="172"/>
        <v>0</v>
      </c>
      <c r="BB327" s="775">
        <f t="shared" ca="1" si="173"/>
        <v>0</v>
      </c>
      <c r="BC327" s="775">
        <f t="shared" ca="1" si="174"/>
        <v>0</v>
      </c>
      <c r="BD327" s="775">
        <f t="shared" ca="1" si="175"/>
        <v>0</v>
      </c>
      <c r="BE327" s="775">
        <f t="shared" ca="1" si="176"/>
        <v>0</v>
      </c>
      <c r="BF327" s="775">
        <f t="shared" ca="1" si="177"/>
        <v>0</v>
      </c>
      <c r="BG327" s="775">
        <f t="shared" ca="1" si="178"/>
        <v>0</v>
      </c>
      <c r="BH327" s="775">
        <f t="shared" ca="1" si="194"/>
        <v>0</v>
      </c>
      <c r="BI327" s="775">
        <f t="shared" ca="1" si="195"/>
        <v>0</v>
      </c>
      <c r="BJ327" s="775">
        <f t="shared" ca="1" si="196"/>
        <v>0</v>
      </c>
      <c r="BK327" s="775">
        <f t="shared" ca="1" si="197"/>
        <v>0</v>
      </c>
      <c r="BL327" s="775">
        <f t="shared" ca="1" si="198"/>
        <v>0</v>
      </c>
      <c r="BM327" s="775">
        <f t="shared" ca="1" si="199"/>
        <v>0</v>
      </c>
      <c r="BN327" s="775">
        <f t="shared" ca="1" si="200"/>
        <v>0</v>
      </c>
      <c r="BO327" s="775">
        <f t="shared" ca="1" si="201"/>
        <v>0</v>
      </c>
      <c r="BP327" s="775">
        <f t="shared" ca="1" si="202"/>
        <v>0</v>
      </c>
      <c r="BQ327" s="775">
        <f t="shared" ca="1" si="170"/>
        <v>0</v>
      </c>
      <c r="BR327" s="775">
        <f t="shared" ca="1" si="203"/>
        <v>0</v>
      </c>
    </row>
    <row r="328" spans="1:70">
      <c r="A328" s="767" t="str">
        <f t="shared" ca="1" si="214"/>
        <v/>
      </c>
      <c r="B328" s="234" t="s">
        <v>4637</v>
      </c>
      <c r="C328" s="188" t="str">
        <f ca="1">IF(F328=0,"",COUNTIF($F$78:$F328,"&gt;0"))</f>
        <v/>
      </c>
      <c r="D328" s="778" t="str">
        <f>VLOOKUP($B328,dongia1,DG!$C$5,)</f>
        <v>Đà U100x46x4,5x400 ốp đà chống : 2 thanh</v>
      </c>
      <c r="E328" s="555" t="str">
        <f>VLOOKUP($B328,dongia1,DG!$D$5,)</f>
        <v>kg</v>
      </c>
      <c r="F328" s="779">
        <f t="shared" ca="1" si="215"/>
        <v>0</v>
      </c>
      <c r="G328" s="775">
        <f t="shared" ca="1" si="216"/>
        <v>0</v>
      </c>
      <c r="H328" s="775">
        <f ca="1">SUMIF(CT_tram!$B$33:$G$3559,kl!B328,CT_tram!$G$33:$G$3559)</f>
        <v>0</v>
      </c>
      <c r="I328" s="775">
        <f ca="1">SUMIF(CT_tram!$B$34:$G$115,$B328,CT_tram!$G$34:$G$115)</f>
        <v>0</v>
      </c>
      <c r="J328" s="775">
        <f ca="1">SUMIF(CT_tram!$B$122:$G$204,$B328,CT_tram!$G$122:$G$204)</f>
        <v>0</v>
      </c>
      <c r="K328" s="775">
        <f ca="1">SUMIF(CT_tram!$B$211:$G$293,$B328,CT_tram!$G$211:$G$293)</f>
        <v>0</v>
      </c>
      <c r="L328" s="775">
        <f ca="1">SUMIF(CT_tram!$B$300:$G$374,$B328,CT_tram!$G$300:$G$374)</f>
        <v>0</v>
      </c>
      <c r="M328" s="775">
        <f ca="1">SUMIF(CT_tram!$B$381:$G$471,$B328,CT_tram!$G$381:$G$471)</f>
        <v>0</v>
      </c>
      <c r="N328" s="775">
        <f ca="1">SUMIF(CT_tram!$B$478:$G$560,$B328,CT_tram!$G$478:$G$560)</f>
        <v>0</v>
      </c>
      <c r="O328" s="775">
        <f ca="1">SUMIF(CT_tram!$B$567:$G$653,$B328,CT_tram!$G$567:$G$653)</f>
        <v>0</v>
      </c>
      <c r="P328" s="775">
        <f ca="1">SUMIF(CT_tram!$B$661:$G$738,$B328,CT_tram!$G$661:$G$738)</f>
        <v>0</v>
      </c>
      <c r="Q328" s="775">
        <f ca="1">SUMIF(CT_tram!$B$745:$G$899,$B328,CT_tram!$G$745:$G$899)</f>
        <v>0</v>
      </c>
      <c r="R328" s="775">
        <f ca="1">SUMIF(CT_tram!$B$907:$G$995,$B328,CT_tram!$G$907:$G$995)</f>
        <v>0</v>
      </c>
      <c r="S328" s="775"/>
      <c r="T328" s="775">
        <f ca="1">SUMIF(CT_tram!$B$1004:$G$1097,B328,CT_tram!$G$1004:$G$1097)</f>
        <v>0</v>
      </c>
      <c r="U328" s="775"/>
      <c r="V328" s="775">
        <f ca="1">SUMIF(CT_tram!$B$1226:$G$1352,kl!B328,CT_tram!$G$1226:$G$1352)</f>
        <v>0</v>
      </c>
      <c r="W328" s="780">
        <f ca="1">SUMIF(CT_tram!$B$1105:$G$1219,kl!B328,CT_tram!$G$1105:$G$1219)</f>
        <v>0</v>
      </c>
      <c r="X328" s="775">
        <f ca="1">SUMIF(CT_tram!$B$1359:$G$1504,kl!B328,CT_tram!$G$1359:$G$1504)</f>
        <v>0</v>
      </c>
      <c r="Y328" s="775">
        <f ca="1">SUMIF(CT_tram!$B$1511:$G$1625,kl!B328,CT_tram!$G$1511:$G$1625)</f>
        <v>0</v>
      </c>
      <c r="Z328" s="775">
        <f ca="1">SUMIF(CT_tram!$B$1632:$G$2211,kl!B328,CT_tram!$G$1632:$G$2211)</f>
        <v>0</v>
      </c>
      <c r="AA328" s="775">
        <f ca="1">SUMIF(CT_tram!$B$2243:$G$2384,kl!B328,CT_tram!$G$2243:$G$2384)</f>
        <v>0</v>
      </c>
      <c r="AB328" s="775">
        <f ca="1">SUMIF(CT_tram!$B$2391:$G$2563,kl!B328,CT_tram!$G$2391:$G$2563)</f>
        <v>0</v>
      </c>
      <c r="AC328" s="775">
        <f ca="1">SUMIF(chitiet!$B$13:$N$2352,kl!$B328,chitiet!$I$13:$I$2352)</f>
        <v>0</v>
      </c>
      <c r="AD328" s="775">
        <f ca="1">SUMIF(chitiet!$B$13:$N$2352,kl!$B328,chitiet!$J$13:$J$2352)</f>
        <v>0</v>
      </c>
      <c r="AE328" s="775">
        <f ca="1">SUMIF(chitiet!$B$13:$N$2352,kl!$B328,chitiet!$K$13:$K$2352)</f>
        <v>0</v>
      </c>
      <c r="AF328" s="775">
        <f ca="1">SUMIF(chitiet!$B$13:$N$2352,kl!$B328,chitiet!$L$13:$L$2352)</f>
        <v>0</v>
      </c>
      <c r="AG328" s="775">
        <f ca="1">SUMIF(chitiet!$B$13:$N$2352,kl!$B328,chitiet!$M$13)</f>
        <v>0</v>
      </c>
      <c r="AH328" s="775">
        <f ca="1">SUMIF(chitiet!$B$13:$N$2352,kl!$B328,chitiet!$N$13:$N$2352)</f>
        <v>0</v>
      </c>
      <c r="AI328" s="775">
        <f ca="1">SUMIF(chitiet!$B$13:$N$2352,kl!$B328,chitiet!$O$13:$O$2352)</f>
        <v>0</v>
      </c>
      <c r="AJ328" s="775">
        <f ca="1">SUMIF('Cap ngam'!$B$631:$G$723,kl!$B328,'Cap ngam'!$G$631:$G$723)</f>
        <v>0</v>
      </c>
      <c r="AK328" s="775">
        <f ca="1">SUMIF('Cap ngam'!$B$403:$G$628,kl!$B328,'Cap ngam'!G$403:G$628)</f>
        <v>0</v>
      </c>
      <c r="AL328" s="775">
        <f ca="1">SUMIF('Cap ngam'!B$16:G$400,kl!$B328,'Cap ngam'!G$16:G$400)</f>
        <v>0</v>
      </c>
      <c r="AM328" s="776">
        <v>1</v>
      </c>
      <c r="AN328" s="775">
        <f t="shared" ca="1" si="181"/>
        <v>0</v>
      </c>
      <c r="AO328" s="775">
        <f t="shared" ca="1" si="182"/>
        <v>0</v>
      </c>
      <c r="AP328" s="775">
        <f t="shared" ca="1" si="183"/>
        <v>0</v>
      </c>
      <c r="AQ328" s="775">
        <f t="shared" ca="1" si="184"/>
        <v>0</v>
      </c>
      <c r="AR328" s="775">
        <f t="shared" ca="1" si="185"/>
        <v>0</v>
      </c>
      <c r="AS328" s="775">
        <f t="shared" ca="1" si="186"/>
        <v>0</v>
      </c>
      <c r="AT328" s="775">
        <f t="shared" ca="1" si="187"/>
        <v>0</v>
      </c>
      <c r="AU328" s="775">
        <f t="shared" ca="1" si="188"/>
        <v>0</v>
      </c>
      <c r="AV328" s="775">
        <f t="shared" ca="1" si="189"/>
        <v>0</v>
      </c>
      <c r="AW328" s="775">
        <f t="shared" ca="1" si="190"/>
        <v>0</v>
      </c>
      <c r="AX328" s="775">
        <f t="shared" si="191"/>
        <v>0</v>
      </c>
      <c r="AY328" s="775">
        <f t="shared" ca="1" si="192"/>
        <v>0</v>
      </c>
      <c r="AZ328" s="775">
        <f t="shared" si="193"/>
        <v>0</v>
      </c>
      <c r="BA328" s="775">
        <f t="shared" ca="1" si="172"/>
        <v>0</v>
      </c>
      <c r="BB328" s="775">
        <f t="shared" ca="1" si="173"/>
        <v>0</v>
      </c>
      <c r="BC328" s="775">
        <f t="shared" ca="1" si="174"/>
        <v>0</v>
      </c>
      <c r="BD328" s="775">
        <f t="shared" ca="1" si="175"/>
        <v>0</v>
      </c>
      <c r="BE328" s="775">
        <f t="shared" ca="1" si="176"/>
        <v>0</v>
      </c>
      <c r="BF328" s="775">
        <f t="shared" ca="1" si="177"/>
        <v>0</v>
      </c>
      <c r="BG328" s="775">
        <f t="shared" ca="1" si="178"/>
        <v>0</v>
      </c>
      <c r="BH328" s="775">
        <f t="shared" ca="1" si="194"/>
        <v>0</v>
      </c>
      <c r="BI328" s="775">
        <f t="shared" ca="1" si="195"/>
        <v>0</v>
      </c>
      <c r="BJ328" s="775">
        <f t="shared" ca="1" si="196"/>
        <v>0</v>
      </c>
      <c r="BK328" s="775">
        <f t="shared" ca="1" si="197"/>
        <v>0</v>
      </c>
      <c r="BL328" s="775">
        <f t="shared" ca="1" si="198"/>
        <v>0</v>
      </c>
      <c r="BM328" s="775">
        <f t="shared" ca="1" si="199"/>
        <v>0</v>
      </c>
      <c r="BN328" s="775">
        <f t="shared" ca="1" si="200"/>
        <v>0</v>
      </c>
      <c r="BO328" s="775">
        <f t="shared" ca="1" si="201"/>
        <v>0</v>
      </c>
      <c r="BP328" s="775">
        <f t="shared" ca="1" si="202"/>
        <v>0</v>
      </c>
      <c r="BQ328" s="775">
        <f t="shared" ca="1" si="170"/>
        <v>0</v>
      </c>
      <c r="BR328" s="775">
        <f t="shared" ca="1" si="203"/>
        <v>0</v>
      </c>
    </row>
    <row r="329" spans="1:70">
      <c r="A329" s="767" t="str">
        <f t="shared" ca="1" si="214"/>
        <v/>
      </c>
      <c r="B329" s="234" t="s">
        <v>4638</v>
      </c>
      <c r="C329" s="188" t="str">
        <f ca="1">IF(F329=0,"",COUNTIF($F$78:$F329,"&gt;0"))</f>
        <v/>
      </c>
      <c r="D329" s="778" t="str">
        <f>VLOOKUP($B329,dongia1,DG!$C$5,)</f>
        <v>Đà U200x76x5,2x1428 Chống ngoài bắt MBA : 1 thanh</v>
      </c>
      <c r="E329" s="555" t="str">
        <f>VLOOKUP($B329,dongia1,DG!$D$5,)</f>
        <v>kg</v>
      </c>
      <c r="F329" s="779">
        <f t="shared" ca="1" si="215"/>
        <v>0</v>
      </c>
      <c r="G329" s="775">
        <f t="shared" ca="1" si="216"/>
        <v>0</v>
      </c>
      <c r="H329" s="775">
        <f ca="1">SUMIF(CT_tram!$B$33:$G$3559,kl!B329,CT_tram!$G$33:$G$3559)</f>
        <v>0</v>
      </c>
      <c r="I329" s="775">
        <f ca="1">SUMIF(CT_tram!$B$34:$G$115,$B329,CT_tram!$G$34:$G$115)</f>
        <v>0</v>
      </c>
      <c r="J329" s="775">
        <f ca="1">SUMIF(CT_tram!$B$122:$G$204,$B329,CT_tram!$G$122:$G$204)</f>
        <v>0</v>
      </c>
      <c r="K329" s="775">
        <f ca="1">SUMIF(CT_tram!$B$211:$G$293,$B329,CT_tram!$G$211:$G$293)</f>
        <v>0</v>
      </c>
      <c r="L329" s="775">
        <f ca="1">SUMIF(CT_tram!$B$300:$G$374,$B329,CT_tram!$G$300:$G$374)</f>
        <v>0</v>
      </c>
      <c r="M329" s="775">
        <f ca="1">SUMIF(CT_tram!$B$381:$G$471,$B329,CT_tram!$G$381:$G$471)</f>
        <v>0</v>
      </c>
      <c r="N329" s="775">
        <f ca="1">SUMIF(CT_tram!$B$478:$G$560,$B329,CT_tram!$G$478:$G$560)</f>
        <v>0</v>
      </c>
      <c r="O329" s="775">
        <f ca="1">SUMIF(CT_tram!$B$567:$G$653,$B329,CT_tram!$G$567:$G$653)</f>
        <v>0</v>
      </c>
      <c r="P329" s="775">
        <f ca="1">SUMIF(CT_tram!$B$661:$G$738,$B329,CT_tram!$G$661:$G$738)</f>
        <v>0</v>
      </c>
      <c r="Q329" s="775">
        <f ca="1">SUMIF(CT_tram!$B$745:$G$899,$B329,CT_tram!$G$745:$G$899)</f>
        <v>0</v>
      </c>
      <c r="R329" s="775">
        <f ca="1">SUMIF(CT_tram!$B$907:$G$995,$B329,CT_tram!$G$907:$G$995)</f>
        <v>0</v>
      </c>
      <c r="S329" s="775"/>
      <c r="T329" s="775">
        <f ca="1">SUMIF(CT_tram!$B$1004:$G$1097,B329,CT_tram!$G$1004:$G$1097)</f>
        <v>0</v>
      </c>
      <c r="U329" s="775"/>
      <c r="V329" s="775">
        <f ca="1">SUMIF(CT_tram!$B$1226:$G$1352,kl!B329,CT_tram!$G$1226:$G$1352)</f>
        <v>0</v>
      </c>
      <c r="W329" s="780">
        <f ca="1">SUMIF(CT_tram!$B$1105:$G$1219,kl!B329,CT_tram!$G$1105:$G$1219)</f>
        <v>0</v>
      </c>
      <c r="X329" s="775">
        <f ca="1">SUMIF(CT_tram!$B$1359:$G$1504,kl!B329,CT_tram!$G$1359:$G$1504)</f>
        <v>0</v>
      </c>
      <c r="Y329" s="775">
        <f ca="1">SUMIF(CT_tram!$B$1511:$G$1625,kl!B329,CT_tram!$G$1511:$G$1625)</f>
        <v>0</v>
      </c>
      <c r="Z329" s="775">
        <f ca="1">SUMIF(CT_tram!$B$1632:$G$2211,kl!B329,CT_tram!$G$1632:$G$2211)</f>
        <v>0</v>
      </c>
      <c r="AA329" s="775">
        <f ca="1">SUMIF(CT_tram!$B$2243:$G$2384,kl!B329,CT_tram!$G$2243:$G$2384)</f>
        <v>0</v>
      </c>
      <c r="AB329" s="775">
        <f ca="1">SUMIF(CT_tram!$B$2391:$G$2563,kl!B329,CT_tram!$G$2391:$G$2563)</f>
        <v>0</v>
      </c>
      <c r="AC329" s="775">
        <f ca="1">SUMIF(chitiet!$B$13:$N$2352,kl!$B329,chitiet!$I$13:$I$2352)</f>
        <v>0</v>
      </c>
      <c r="AD329" s="775">
        <f ca="1">SUMIF(chitiet!$B$13:$N$2352,kl!$B329,chitiet!$J$13:$J$2352)</f>
        <v>0</v>
      </c>
      <c r="AE329" s="775">
        <f ca="1">SUMIF(chitiet!$B$13:$N$2352,kl!$B329,chitiet!$K$13:$K$2352)</f>
        <v>0</v>
      </c>
      <c r="AF329" s="775">
        <f ca="1">SUMIF(chitiet!$B$13:$N$2352,kl!$B329,chitiet!$L$13:$L$2352)</f>
        <v>0</v>
      </c>
      <c r="AG329" s="775">
        <f ca="1">SUMIF(chitiet!$B$13:$N$2352,kl!$B329,chitiet!$M$13)</f>
        <v>0</v>
      </c>
      <c r="AH329" s="775">
        <f ca="1">SUMIF(chitiet!$B$13:$N$2352,kl!$B329,chitiet!$N$13:$N$2352)</f>
        <v>0</v>
      </c>
      <c r="AI329" s="775">
        <f ca="1">SUMIF(chitiet!$B$13:$N$2352,kl!$B329,chitiet!$O$13:$O$2352)</f>
        <v>0</v>
      </c>
      <c r="AJ329" s="775">
        <f ca="1">SUMIF('Cap ngam'!$B$631:$G$723,kl!$B329,'Cap ngam'!$G$631:$G$723)</f>
        <v>0</v>
      </c>
      <c r="AK329" s="775">
        <f ca="1">SUMIF('Cap ngam'!$B$403:$G$628,kl!$B329,'Cap ngam'!G$403:G$628)</f>
        <v>0</v>
      </c>
      <c r="AL329" s="775">
        <f ca="1">SUMIF('Cap ngam'!B$16:G$400,kl!$B329,'Cap ngam'!G$16:G$400)</f>
        <v>0</v>
      </c>
      <c r="AM329" s="776">
        <v>1</v>
      </c>
      <c r="AN329" s="775">
        <f t="shared" ca="1" si="181"/>
        <v>0</v>
      </c>
      <c r="AO329" s="775">
        <f t="shared" ca="1" si="182"/>
        <v>0</v>
      </c>
      <c r="AP329" s="775">
        <f t="shared" ca="1" si="183"/>
        <v>0</v>
      </c>
      <c r="AQ329" s="775">
        <f t="shared" ca="1" si="184"/>
        <v>0</v>
      </c>
      <c r="AR329" s="775">
        <f t="shared" ca="1" si="185"/>
        <v>0</v>
      </c>
      <c r="AS329" s="775">
        <f t="shared" ca="1" si="186"/>
        <v>0</v>
      </c>
      <c r="AT329" s="775">
        <f t="shared" ca="1" si="187"/>
        <v>0</v>
      </c>
      <c r="AU329" s="775">
        <f t="shared" ca="1" si="188"/>
        <v>0</v>
      </c>
      <c r="AV329" s="775">
        <f t="shared" ca="1" si="189"/>
        <v>0</v>
      </c>
      <c r="AW329" s="775">
        <f t="shared" ca="1" si="190"/>
        <v>0</v>
      </c>
      <c r="AX329" s="775">
        <f t="shared" si="191"/>
        <v>0</v>
      </c>
      <c r="AY329" s="775">
        <f t="shared" ca="1" si="192"/>
        <v>0</v>
      </c>
      <c r="AZ329" s="775">
        <f t="shared" si="193"/>
        <v>0</v>
      </c>
      <c r="BA329" s="775">
        <f t="shared" ca="1" si="172"/>
        <v>0</v>
      </c>
      <c r="BB329" s="775">
        <f t="shared" ca="1" si="173"/>
        <v>0</v>
      </c>
      <c r="BC329" s="775">
        <f t="shared" ca="1" si="174"/>
        <v>0</v>
      </c>
      <c r="BD329" s="775">
        <f t="shared" ca="1" si="175"/>
        <v>0</v>
      </c>
      <c r="BE329" s="775">
        <f t="shared" ca="1" si="176"/>
        <v>0</v>
      </c>
      <c r="BF329" s="775">
        <f t="shared" ca="1" si="177"/>
        <v>0</v>
      </c>
      <c r="BG329" s="775">
        <f t="shared" ca="1" si="178"/>
        <v>0</v>
      </c>
      <c r="BH329" s="775">
        <f t="shared" ca="1" si="194"/>
        <v>0</v>
      </c>
      <c r="BI329" s="775">
        <f t="shared" ca="1" si="195"/>
        <v>0</v>
      </c>
      <c r="BJ329" s="775">
        <f t="shared" ca="1" si="196"/>
        <v>0</v>
      </c>
      <c r="BK329" s="775">
        <f t="shared" ca="1" si="197"/>
        <v>0</v>
      </c>
      <c r="BL329" s="775">
        <f t="shared" ca="1" si="198"/>
        <v>0</v>
      </c>
      <c r="BM329" s="775">
        <f t="shared" ca="1" si="199"/>
        <v>0</v>
      </c>
      <c r="BN329" s="775">
        <f t="shared" ca="1" si="200"/>
        <v>0</v>
      </c>
      <c r="BO329" s="775">
        <f t="shared" ca="1" si="201"/>
        <v>0</v>
      </c>
      <c r="BP329" s="775">
        <f t="shared" ca="1" si="202"/>
        <v>0</v>
      </c>
      <c r="BQ329" s="775">
        <f t="shared" ca="1" si="170"/>
        <v>0</v>
      </c>
      <c r="BR329" s="775">
        <f t="shared" ca="1" si="203"/>
        <v>0</v>
      </c>
    </row>
    <row r="330" spans="1:70">
      <c r="A330" s="767" t="str">
        <f t="shared" ca="1" si="214"/>
        <v/>
      </c>
      <c r="B330" s="234" t="s">
        <v>4639</v>
      </c>
      <c r="C330" s="188" t="str">
        <f ca="1">IF(F330=0,"",COUNTIF($F$78:$F330,"&gt;0"))</f>
        <v/>
      </c>
      <c r="D330" s="778" t="str">
        <f>VLOOKUP($B330,dongia1,DG!$C$5,)</f>
        <v>Đà U100x46x4,5x750 ốp Chống ngoài bắt MBA : 1 thanh</v>
      </c>
      <c r="E330" s="555" t="str">
        <f>VLOOKUP($B330,dongia1,DG!$D$5,)</f>
        <v>kg</v>
      </c>
      <c r="F330" s="779">
        <f t="shared" ca="1" si="215"/>
        <v>0</v>
      </c>
      <c r="G330" s="775">
        <f t="shared" ca="1" si="216"/>
        <v>0</v>
      </c>
      <c r="H330" s="775">
        <f ca="1">SUMIF(CT_tram!$B$33:$G$3559,kl!B330,CT_tram!$G$33:$G$3559)</f>
        <v>0</v>
      </c>
      <c r="I330" s="775">
        <f ca="1">SUMIF(CT_tram!$B$34:$G$115,$B330,CT_tram!$G$34:$G$115)</f>
        <v>0</v>
      </c>
      <c r="J330" s="775">
        <f ca="1">SUMIF(CT_tram!$B$122:$G$204,$B330,CT_tram!$G$122:$G$204)</f>
        <v>0</v>
      </c>
      <c r="K330" s="775">
        <f ca="1">SUMIF(CT_tram!$B$211:$G$293,$B330,CT_tram!$G$211:$G$293)</f>
        <v>0</v>
      </c>
      <c r="L330" s="775">
        <f ca="1">SUMIF(CT_tram!$B$300:$G$374,$B330,CT_tram!$G$300:$G$374)</f>
        <v>0</v>
      </c>
      <c r="M330" s="775">
        <f ca="1">SUMIF(CT_tram!$B$381:$G$471,$B330,CT_tram!$G$381:$G$471)</f>
        <v>0</v>
      </c>
      <c r="N330" s="775">
        <f ca="1">SUMIF(CT_tram!$B$478:$G$560,$B330,CT_tram!$G$478:$G$560)</f>
        <v>0</v>
      </c>
      <c r="O330" s="775">
        <f ca="1">SUMIF(CT_tram!$B$567:$G$653,$B330,CT_tram!$G$567:$G$653)</f>
        <v>0</v>
      </c>
      <c r="P330" s="775">
        <f ca="1">SUMIF(CT_tram!$B$661:$G$738,$B330,CT_tram!$G$661:$G$738)</f>
        <v>0</v>
      </c>
      <c r="Q330" s="775">
        <f ca="1">SUMIF(CT_tram!$B$745:$G$899,$B330,CT_tram!$G$745:$G$899)</f>
        <v>0</v>
      </c>
      <c r="R330" s="775">
        <f ca="1">SUMIF(CT_tram!$B$907:$G$995,$B330,CT_tram!$G$907:$G$995)</f>
        <v>0</v>
      </c>
      <c r="S330" s="775"/>
      <c r="T330" s="775">
        <f ca="1">SUMIF(CT_tram!$B$1004:$G$1097,B330,CT_tram!$G$1004:$G$1097)</f>
        <v>0</v>
      </c>
      <c r="U330" s="775"/>
      <c r="V330" s="775">
        <f ca="1">SUMIF(CT_tram!$B$1226:$G$1352,kl!B330,CT_tram!$G$1226:$G$1352)</f>
        <v>0</v>
      </c>
      <c r="W330" s="780">
        <f ca="1">SUMIF(CT_tram!$B$1105:$G$1219,kl!B330,CT_tram!$G$1105:$G$1219)</f>
        <v>0</v>
      </c>
      <c r="X330" s="775">
        <f ca="1">SUMIF(CT_tram!$B$1359:$G$1504,kl!B330,CT_tram!$G$1359:$G$1504)</f>
        <v>0</v>
      </c>
      <c r="Y330" s="775">
        <f ca="1">SUMIF(CT_tram!$B$1511:$G$1625,kl!B330,CT_tram!$G$1511:$G$1625)</f>
        <v>0</v>
      </c>
      <c r="Z330" s="775">
        <f ca="1">SUMIF(CT_tram!$B$1632:$G$2211,kl!B330,CT_tram!$G$1632:$G$2211)</f>
        <v>0</v>
      </c>
      <c r="AA330" s="775">
        <f ca="1">SUMIF(CT_tram!$B$2243:$G$2384,kl!B330,CT_tram!$G$2243:$G$2384)</f>
        <v>0</v>
      </c>
      <c r="AB330" s="775">
        <f ca="1">SUMIF(CT_tram!$B$2391:$G$2563,kl!B330,CT_tram!$G$2391:$G$2563)</f>
        <v>0</v>
      </c>
      <c r="AC330" s="775">
        <f ca="1">SUMIF(chitiet!$B$13:$N$2352,kl!$B330,chitiet!$I$13:$I$2352)</f>
        <v>0</v>
      </c>
      <c r="AD330" s="775">
        <f ca="1">SUMIF(chitiet!$B$13:$N$2352,kl!$B330,chitiet!$J$13:$J$2352)</f>
        <v>0</v>
      </c>
      <c r="AE330" s="775">
        <f ca="1">SUMIF(chitiet!$B$13:$N$2352,kl!$B330,chitiet!$K$13:$K$2352)</f>
        <v>0</v>
      </c>
      <c r="AF330" s="775">
        <f ca="1">SUMIF(chitiet!$B$13:$N$2352,kl!$B330,chitiet!$L$13:$L$2352)</f>
        <v>0</v>
      </c>
      <c r="AG330" s="775">
        <f ca="1">SUMIF(chitiet!$B$13:$N$2352,kl!$B330,chitiet!$M$13)</f>
        <v>0</v>
      </c>
      <c r="AH330" s="775">
        <f ca="1">SUMIF(chitiet!$B$13:$N$2352,kl!$B330,chitiet!$N$13:$N$2352)</f>
        <v>0</v>
      </c>
      <c r="AI330" s="775">
        <f ca="1">SUMIF(chitiet!$B$13:$N$2352,kl!$B330,chitiet!$O$13:$O$2352)</f>
        <v>0</v>
      </c>
      <c r="AJ330" s="775">
        <f ca="1">SUMIF('Cap ngam'!$B$631:$G$723,kl!$B330,'Cap ngam'!$G$631:$G$723)</f>
        <v>0</v>
      </c>
      <c r="AK330" s="775">
        <f ca="1">SUMIF('Cap ngam'!$B$403:$G$628,kl!$B330,'Cap ngam'!G$403:G$628)</f>
        <v>0</v>
      </c>
      <c r="AL330" s="775">
        <f ca="1">SUMIF('Cap ngam'!B$16:G$400,kl!$B330,'Cap ngam'!G$16:G$400)</f>
        <v>0</v>
      </c>
      <c r="AM330" s="776">
        <v>1</v>
      </c>
      <c r="AN330" s="775">
        <f t="shared" ca="1" si="181"/>
        <v>0</v>
      </c>
      <c r="AO330" s="775">
        <f t="shared" ca="1" si="182"/>
        <v>0</v>
      </c>
      <c r="AP330" s="775">
        <f t="shared" ca="1" si="183"/>
        <v>0</v>
      </c>
      <c r="AQ330" s="775">
        <f t="shared" ca="1" si="184"/>
        <v>0</v>
      </c>
      <c r="AR330" s="775">
        <f t="shared" ca="1" si="185"/>
        <v>0</v>
      </c>
      <c r="AS330" s="775">
        <f t="shared" ca="1" si="186"/>
        <v>0</v>
      </c>
      <c r="AT330" s="775">
        <f t="shared" ca="1" si="187"/>
        <v>0</v>
      </c>
      <c r="AU330" s="775">
        <f t="shared" ca="1" si="188"/>
        <v>0</v>
      </c>
      <c r="AV330" s="775">
        <f t="shared" ca="1" si="189"/>
        <v>0</v>
      </c>
      <c r="AW330" s="775">
        <f t="shared" ca="1" si="190"/>
        <v>0</v>
      </c>
      <c r="AX330" s="775">
        <f t="shared" si="191"/>
        <v>0</v>
      </c>
      <c r="AY330" s="775">
        <f t="shared" ca="1" si="192"/>
        <v>0</v>
      </c>
      <c r="AZ330" s="775">
        <f t="shared" si="193"/>
        <v>0</v>
      </c>
      <c r="BA330" s="775">
        <f t="shared" ca="1" si="172"/>
        <v>0</v>
      </c>
      <c r="BB330" s="775">
        <f t="shared" ca="1" si="173"/>
        <v>0</v>
      </c>
      <c r="BC330" s="775">
        <f t="shared" ca="1" si="174"/>
        <v>0</v>
      </c>
      <c r="BD330" s="775">
        <f t="shared" ca="1" si="175"/>
        <v>0</v>
      </c>
      <c r="BE330" s="775">
        <f t="shared" ca="1" si="176"/>
        <v>0</v>
      </c>
      <c r="BF330" s="775">
        <f t="shared" ca="1" si="177"/>
        <v>0</v>
      </c>
      <c r="BG330" s="775">
        <f t="shared" ca="1" si="178"/>
        <v>0</v>
      </c>
      <c r="BH330" s="775">
        <f t="shared" ca="1" si="194"/>
        <v>0</v>
      </c>
      <c r="BI330" s="775">
        <f t="shared" ca="1" si="195"/>
        <v>0</v>
      </c>
      <c r="BJ330" s="775">
        <f t="shared" ca="1" si="196"/>
        <v>0</v>
      </c>
      <c r="BK330" s="775">
        <f t="shared" ca="1" si="197"/>
        <v>0</v>
      </c>
      <c r="BL330" s="775">
        <f t="shared" ca="1" si="198"/>
        <v>0</v>
      </c>
      <c r="BM330" s="775">
        <f t="shared" ca="1" si="199"/>
        <v>0</v>
      </c>
      <c r="BN330" s="775">
        <f t="shared" ca="1" si="200"/>
        <v>0</v>
      </c>
      <c r="BO330" s="775">
        <f t="shared" ca="1" si="201"/>
        <v>0</v>
      </c>
      <c r="BP330" s="775">
        <f t="shared" ca="1" si="202"/>
        <v>0</v>
      </c>
      <c r="BQ330" s="775">
        <f t="shared" ca="1" si="170"/>
        <v>0</v>
      </c>
      <c r="BR330" s="775">
        <f t="shared" ca="1" si="203"/>
        <v>0</v>
      </c>
    </row>
    <row r="331" spans="1:70">
      <c r="A331" s="767" t="str">
        <f t="shared" ca="1" si="214"/>
        <v/>
      </c>
      <c r="B331" s="234" t="s">
        <v>4640</v>
      </c>
      <c r="C331" s="188" t="str">
        <f ca="1">IF(F331=0,"",COUNTIF($F$78:$F331,"&gt;0"))</f>
        <v/>
      </c>
      <c r="D331" s="778" t="str">
        <f>VLOOKUP($B331,dongia1,DG!$C$5,)</f>
        <v>Đà U100x46x4,5x750 Chống ngoài đỡ MBA : 1 thanh</v>
      </c>
      <c r="E331" s="555" t="str">
        <f>VLOOKUP($B331,dongia1,DG!$D$5,)</f>
        <v>kg</v>
      </c>
      <c r="F331" s="779">
        <f t="shared" ca="1" si="215"/>
        <v>0</v>
      </c>
      <c r="G331" s="775">
        <f t="shared" ca="1" si="216"/>
        <v>0</v>
      </c>
      <c r="H331" s="775">
        <f ca="1">SUMIF(CT_tram!$B$33:$G$3559,kl!B331,CT_tram!$G$33:$G$3559)</f>
        <v>0</v>
      </c>
      <c r="I331" s="775">
        <f ca="1">SUMIF(CT_tram!$B$34:$G$115,$B331,CT_tram!$G$34:$G$115)</f>
        <v>0</v>
      </c>
      <c r="J331" s="775">
        <f ca="1">SUMIF(CT_tram!$B$122:$G$204,$B331,CT_tram!$G$122:$G$204)</f>
        <v>0</v>
      </c>
      <c r="K331" s="775">
        <f ca="1">SUMIF(CT_tram!$B$211:$G$293,$B331,CT_tram!$G$211:$G$293)</f>
        <v>0</v>
      </c>
      <c r="L331" s="775">
        <f ca="1">SUMIF(CT_tram!$B$300:$G$374,$B331,CT_tram!$G$300:$G$374)</f>
        <v>0</v>
      </c>
      <c r="M331" s="775">
        <f ca="1">SUMIF(CT_tram!$B$381:$G$471,$B331,CT_tram!$G$381:$G$471)</f>
        <v>0</v>
      </c>
      <c r="N331" s="775">
        <f ca="1">SUMIF(CT_tram!$B$478:$G$560,$B331,CT_tram!$G$478:$G$560)</f>
        <v>0</v>
      </c>
      <c r="O331" s="775">
        <f ca="1">SUMIF(CT_tram!$B$567:$G$653,$B331,CT_tram!$G$567:$G$653)</f>
        <v>0</v>
      </c>
      <c r="P331" s="775">
        <f ca="1">SUMIF(CT_tram!$B$661:$G$738,$B331,CT_tram!$G$661:$G$738)</f>
        <v>0</v>
      </c>
      <c r="Q331" s="775">
        <f ca="1">SUMIF(CT_tram!$B$745:$G$899,$B331,CT_tram!$G$745:$G$899)</f>
        <v>0</v>
      </c>
      <c r="R331" s="775">
        <f ca="1">SUMIF(CT_tram!$B$907:$G$995,$B331,CT_tram!$G$907:$G$995)</f>
        <v>0</v>
      </c>
      <c r="S331" s="775"/>
      <c r="T331" s="775">
        <f ca="1">SUMIF(CT_tram!$B$1004:$G$1097,B331,CT_tram!$G$1004:$G$1097)</f>
        <v>0</v>
      </c>
      <c r="U331" s="775"/>
      <c r="V331" s="775">
        <f ca="1">SUMIF(CT_tram!$B$1226:$G$1352,kl!B331,CT_tram!$G$1226:$G$1352)</f>
        <v>0</v>
      </c>
      <c r="W331" s="780">
        <f ca="1">SUMIF(CT_tram!$B$1105:$G$1219,kl!B331,CT_tram!$G$1105:$G$1219)</f>
        <v>0</v>
      </c>
      <c r="X331" s="775">
        <f ca="1">SUMIF(CT_tram!$B$1359:$G$1504,kl!B331,CT_tram!$G$1359:$G$1504)</f>
        <v>0</v>
      </c>
      <c r="Y331" s="775">
        <f ca="1">SUMIF(CT_tram!$B$1511:$G$1625,kl!B331,CT_tram!$G$1511:$G$1625)</f>
        <v>0</v>
      </c>
      <c r="Z331" s="775">
        <f ca="1">SUMIF(CT_tram!$B$1632:$G$2211,kl!B331,CT_tram!$G$1632:$G$2211)</f>
        <v>0</v>
      </c>
      <c r="AA331" s="775">
        <f ca="1">SUMIF(CT_tram!$B$2243:$G$2384,kl!B331,CT_tram!$G$2243:$G$2384)</f>
        <v>0</v>
      </c>
      <c r="AB331" s="775">
        <f ca="1">SUMIF(CT_tram!$B$2391:$G$2563,kl!B331,CT_tram!$G$2391:$G$2563)</f>
        <v>0</v>
      </c>
      <c r="AC331" s="775">
        <f ca="1">SUMIF(chitiet!$B$13:$N$2352,kl!$B331,chitiet!$I$13:$I$2352)</f>
        <v>0</v>
      </c>
      <c r="AD331" s="775">
        <f ca="1">SUMIF(chitiet!$B$13:$N$2352,kl!$B331,chitiet!$J$13:$J$2352)</f>
        <v>0</v>
      </c>
      <c r="AE331" s="775">
        <f ca="1">SUMIF(chitiet!$B$13:$N$2352,kl!$B331,chitiet!$K$13:$K$2352)</f>
        <v>0</v>
      </c>
      <c r="AF331" s="775">
        <f ca="1">SUMIF(chitiet!$B$13:$N$2352,kl!$B331,chitiet!$L$13:$L$2352)</f>
        <v>0</v>
      </c>
      <c r="AG331" s="775">
        <f ca="1">SUMIF(chitiet!$B$13:$N$2352,kl!$B331,chitiet!$M$13)</f>
        <v>0</v>
      </c>
      <c r="AH331" s="775">
        <f ca="1">SUMIF(chitiet!$B$13:$N$2352,kl!$B331,chitiet!$N$13:$N$2352)</f>
        <v>0</v>
      </c>
      <c r="AI331" s="775">
        <f ca="1">SUMIF(chitiet!$B$13:$N$2352,kl!$B331,chitiet!$O$13:$O$2352)</f>
        <v>0</v>
      </c>
      <c r="AJ331" s="775">
        <f ca="1">SUMIF('Cap ngam'!$B$631:$G$723,kl!$B331,'Cap ngam'!$G$631:$G$723)</f>
        <v>0</v>
      </c>
      <c r="AK331" s="775">
        <f ca="1">SUMIF('Cap ngam'!$B$403:$G$628,kl!$B331,'Cap ngam'!G$403:G$628)</f>
        <v>0</v>
      </c>
      <c r="AL331" s="775">
        <f ca="1">SUMIF('Cap ngam'!B$16:G$400,kl!$B331,'Cap ngam'!G$16:G$400)</f>
        <v>0</v>
      </c>
      <c r="AM331" s="776">
        <v>1</v>
      </c>
      <c r="AN331" s="775">
        <f t="shared" ca="1" si="181"/>
        <v>0</v>
      </c>
      <c r="AO331" s="775">
        <f t="shared" ca="1" si="182"/>
        <v>0</v>
      </c>
      <c r="AP331" s="775">
        <f t="shared" ca="1" si="183"/>
        <v>0</v>
      </c>
      <c r="AQ331" s="775">
        <f t="shared" ca="1" si="184"/>
        <v>0</v>
      </c>
      <c r="AR331" s="775">
        <f t="shared" ca="1" si="185"/>
        <v>0</v>
      </c>
      <c r="AS331" s="775">
        <f t="shared" ca="1" si="186"/>
        <v>0</v>
      </c>
      <c r="AT331" s="775">
        <f t="shared" ca="1" si="187"/>
        <v>0</v>
      </c>
      <c r="AU331" s="775">
        <f t="shared" ca="1" si="188"/>
        <v>0</v>
      </c>
      <c r="AV331" s="775">
        <f t="shared" ca="1" si="189"/>
        <v>0</v>
      </c>
      <c r="AW331" s="775">
        <f t="shared" ca="1" si="190"/>
        <v>0</v>
      </c>
      <c r="AX331" s="775">
        <f t="shared" si="191"/>
        <v>0</v>
      </c>
      <c r="AY331" s="775">
        <f t="shared" ca="1" si="192"/>
        <v>0</v>
      </c>
      <c r="AZ331" s="775">
        <f t="shared" si="193"/>
        <v>0</v>
      </c>
      <c r="BA331" s="775">
        <f t="shared" ca="1" si="172"/>
        <v>0</v>
      </c>
      <c r="BB331" s="775">
        <f t="shared" ca="1" si="173"/>
        <v>0</v>
      </c>
      <c r="BC331" s="775">
        <f t="shared" ca="1" si="174"/>
        <v>0</v>
      </c>
      <c r="BD331" s="775">
        <f t="shared" ca="1" si="175"/>
        <v>0</v>
      </c>
      <c r="BE331" s="775">
        <f t="shared" ca="1" si="176"/>
        <v>0</v>
      </c>
      <c r="BF331" s="775">
        <f t="shared" ca="1" si="177"/>
        <v>0</v>
      </c>
      <c r="BG331" s="775">
        <f t="shared" ca="1" si="178"/>
        <v>0</v>
      </c>
      <c r="BH331" s="775">
        <f t="shared" ca="1" si="194"/>
        <v>0</v>
      </c>
      <c r="BI331" s="775">
        <f t="shared" ca="1" si="195"/>
        <v>0</v>
      </c>
      <c r="BJ331" s="775">
        <f t="shared" ca="1" si="196"/>
        <v>0</v>
      </c>
      <c r="BK331" s="775">
        <f t="shared" ca="1" si="197"/>
        <v>0</v>
      </c>
      <c r="BL331" s="775">
        <f t="shared" ca="1" si="198"/>
        <v>0</v>
      </c>
      <c r="BM331" s="775">
        <f t="shared" ca="1" si="199"/>
        <v>0</v>
      </c>
      <c r="BN331" s="775">
        <f t="shared" ca="1" si="200"/>
        <v>0</v>
      </c>
      <c r="BO331" s="775">
        <f t="shared" ca="1" si="201"/>
        <v>0</v>
      </c>
      <c r="BP331" s="775">
        <f t="shared" ca="1" si="202"/>
        <v>0</v>
      </c>
      <c r="BQ331" s="775">
        <f t="shared" ca="1" si="170"/>
        <v>0</v>
      </c>
      <c r="BR331" s="775">
        <f t="shared" ca="1" si="203"/>
        <v>0</v>
      </c>
    </row>
    <row r="332" spans="1:70">
      <c r="A332" s="767" t="str">
        <f t="shared" ca="1" si="214"/>
        <v/>
      </c>
      <c r="B332" s="234" t="s">
        <v>4641</v>
      </c>
      <c r="C332" s="188" t="str">
        <f ca="1">IF(F332=0,"",COUNTIF($F$78:$F332,"&gt;0"))</f>
        <v/>
      </c>
      <c r="D332" s="778" t="str">
        <f>VLOOKUP($B332,dongia1,DG!$C$5,)</f>
        <v>Đà U200x76x5,2x1500 đỡ MBA : 2 thanh</v>
      </c>
      <c r="E332" s="555" t="str">
        <f>VLOOKUP($B332,dongia1,DG!$D$5,)</f>
        <v>kg</v>
      </c>
      <c r="F332" s="779">
        <f t="shared" ca="1" si="215"/>
        <v>0</v>
      </c>
      <c r="G332" s="775">
        <f t="shared" ca="1" si="216"/>
        <v>0</v>
      </c>
      <c r="H332" s="775">
        <f ca="1">SUMIF(CT_tram!$B$33:$G$3559,kl!B332,CT_tram!$G$33:$G$3559)</f>
        <v>0</v>
      </c>
      <c r="I332" s="775">
        <f ca="1">SUMIF(CT_tram!$B$34:$G$115,$B332,CT_tram!$G$34:$G$115)</f>
        <v>0</v>
      </c>
      <c r="J332" s="775">
        <f ca="1">SUMIF(CT_tram!$B$122:$G$204,$B332,CT_tram!$G$122:$G$204)</f>
        <v>0</v>
      </c>
      <c r="K332" s="775">
        <f ca="1">SUMIF(CT_tram!$B$211:$G$293,$B332,CT_tram!$G$211:$G$293)</f>
        <v>0</v>
      </c>
      <c r="L332" s="775">
        <f ca="1">SUMIF(CT_tram!$B$300:$G$374,$B332,CT_tram!$G$300:$G$374)</f>
        <v>0</v>
      </c>
      <c r="M332" s="775">
        <f ca="1">SUMIF(CT_tram!$B$381:$G$471,$B332,CT_tram!$G$381:$G$471)</f>
        <v>0</v>
      </c>
      <c r="N332" s="775">
        <f ca="1">SUMIF(CT_tram!$B$478:$G$560,$B332,CT_tram!$G$478:$G$560)</f>
        <v>0</v>
      </c>
      <c r="O332" s="775">
        <f ca="1">SUMIF(CT_tram!$B$567:$G$653,$B332,CT_tram!$G$567:$G$653)</f>
        <v>0</v>
      </c>
      <c r="P332" s="775">
        <f ca="1">SUMIF(CT_tram!$B$661:$G$738,$B332,CT_tram!$G$661:$G$738)</f>
        <v>0</v>
      </c>
      <c r="Q332" s="775">
        <f ca="1">SUMIF(CT_tram!$B$745:$G$899,$B332,CT_tram!$G$745:$G$899)</f>
        <v>0</v>
      </c>
      <c r="R332" s="775">
        <f ca="1">SUMIF(CT_tram!$B$907:$G$995,$B332,CT_tram!$G$907:$G$995)</f>
        <v>0</v>
      </c>
      <c r="S332" s="775"/>
      <c r="T332" s="775">
        <f ca="1">SUMIF(CT_tram!$B$1004:$G$1097,B332,CT_tram!$G$1004:$G$1097)</f>
        <v>0</v>
      </c>
      <c r="U332" s="775"/>
      <c r="V332" s="775">
        <f ca="1">SUMIF(CT_tram!$B$1226:$G$1352,kl!B332,CT_tram!$G$1226:$G$1352)</f>
        <v>0</v>
      </c>
      <c r="W332" s="780">
        <f ca="1">SUMIF(CT_tram!$B$1105:$G$1219,kl!B332,CT_tram!$G$1105:$G$1219)</f>
        <v>0</v>
      </c>
      <c r="X332" s="775">
        <f ca="1">SUMIF(CT_tram!$B$1359:$G$1504,kl!B332,CT_tram!$G$1359:$G$1504)</f>
        <v>0</v>
      </c>
      <c r="Y332" s="775">
        <f ca="1">SUMIF(CT_tram!$B$1511:$G$1625,kl!B332,CT_tram!$G$1511:$G$1625)</f>
        <v>0</v>
      </c>
      <c r="Z332" s="775">
        <f ca="1">SUMIF(CT_tram!$B$1632:$G$2211,kl!B332,CT_tram!$G$1632:$G$2211)</f>
        <v>0</v>
      </c>
      <c r="AA332" s="775">
        <f ca="1">SUMIF(CT_tram!$B$2243:$G$2384,kl!B332,CT_tram!$G$2243:$G$2384)</f>
        <v>0</v>
      </c>
      <c r="AB332" s="775">
        <f ca="1">SUMIF(CT_tram!$B$2391:$G$2563,kl!B332,CT_tram!$G$2391:$G$2563)</f>
        <v>0</v>
      </c>
      <c r="AC332" s="775">
        <f ca="1">SUMIF(chitiet!$B$13:$N$2352,kl!$B332,chitiet!$I$13:$I$2352)</f>
        <v>0</v>
      </c>
      <c r="AD332" s="775">
        <f ca="1">SUMIF(chitiet!$B$13:$N$2352,kl!$B332,chitiet!$J$13:$J$2352)</f>
        <v>0</v>
      </c>
      <c r="AE332" s="775">
        <f ca="1">SUMIF(chitiet!$B$13:$N$2352,kl!$B332,chitiet!$K$13:$K$2352)</f>
        <v>0</v>
      </c>
      <c r="AF332" s="775">
        <f ca="1">SUMIF(chitiet!$B$13:$N$2352,kl!$B332,chitiet!$L$13:$L$2352)</f>
        <v>0</v>
      </c>
      <c r="AG332" s="775">
        <f ca="1">SUMIF(chitiet!$B$13:$N$2352,kl!$B332,chitiet!$M$13)</f>
        <v>0</v>
      </c>
      <c r="AH332" s="775">
        <f ca="1">SUMIF(chitiet!$B$13:$N$2352,kl!$B332,chitiet!$N$13:$N$2352)</f>
        <v>0</v>
      </c>
      <c r="AI332" s="775">
        <f ca="1">SUMIF(chitiet!$B$13:$N$2352,kl!$B332,chitiet!$O$13:$O$2352)</f>
        <v>0</v>
      </c>
      <c r="AJ332" s="775">
        <f ca="1">SUMIF('Cap ngam'!$B$631:$G$723,kl!$B332,'Cap ngam'!$G$631:$G$723)</f>
        <v>0</v>
      </c>
      <c r="AK332" s="775">
        <f ca="1">SUMIF('Cap ngam'!$B$403:$G$628,kl!$B332,'Cap ngam'!G$403:G$628)</f>
        <v>0</v>
      </c>
      <c r="AL332" s="775">
        <f ca="1">SUMIF('Cap ngam'!B$16:G$400,kl!$B332,'Cap ngam'!G$16:G$400)</f>
        <v>0</v>
      </c>
      <c r="AM332" s="776">
        <v>1</v>
      </c>
      <c r="AN332" s="775">
        <f t="shared" ca="1" si="181"/>
        <v>0</v>
      </c>
      <c r="AO332" s="775">
        <f t="shared" ca="1" si="182"/>
        <v>0</v>
      </c>
      <c r="AP332" s="775">
        <f t="shared" ca="1" si="183"/>
        <v>0</v>
      </c>
      <c r="AQ332" s="775">
        <f t="shared" ca="1" si="184"/>
        <v>0</v>
      </c>
      <c r="AR332" s="775">
        <f t="shared" ca="1" si="185"/>
        <v>0</v>
      </c>
      <c r="AS332" s="775">
        <f t="shared" ca="1" si="186"/>
        <v>0</v>
      </c>
      <c r="AT332" s="775">
        <f t="shared" ca="1" si="187"/>
        <v>0</v>
      </c>
      <c r="AU332" s="775">
        <f t="shared" ca="1" si="188"/>
        <v>0</v>
      </c>
      <c r="AV332" s="775">
        <f t="shared" ca="1" si="189"/>
        <v>0</v>
      </c>
      <c r="AW332" s="775">
        <f t="shared" ca="1" si="190"/>
        <v>0</v>
      </c>
      <c r="AX332" s="775">
        <f t="shared" si="191"/>
        <v>0</v>
      </c>
      <c r="AY332" s="775">
        <f t="shared" ca="1" si="192"/>
        <v>0</v>
      </c>
      <c r="AZ332" s="775">
        <f t="shared" si="193"/>
        <v>0</v>
      </c>
      <c r="BA332" s="775">
        <f t="shared" ca="1" si="172"/>
        <v>0</v>
      </c>
      <c r="BB332" s="775">
        <f t="shared" ca="1" si="173"/>
        <v>0</v>
      </c>
      <c r="BC332" s="775">
        <f t="shared" ca="1" si="174"/>
        <v>0</v>
      </c>
      <c r="BD332" s="775">
        <f t="shared" ca="1" si="175"/>
        <v>0</v>
      </c>
      <c r="BE332" s="775">
        <f t="shared" ca="1" si="176"/>
        <v>0</v>
      </c>
      <c r="BF332" s="775">
        <f t="shared" ca="1" si="177"/>
        <v>0</v>
      </c>
      <c r="BG332" s="775">
        <f t="shared" ca="1" si="178"/>
        <v>0</v>
      </c>
      <c r="BH332" s="775">
        <f t="shared" ca="1" si="194"/>
        <v>0</v>
      </c>
      <c r="BI332" s="775">
        <f t="shared" ca="1" si="195"/>
        <v>0</v>
      </c>
      <c r="BJ332" s="775">
        <f t="shared" ca="1" si="196"/>
        <v>0</v>
      </c>
      <c r="BK332" s="775">
        <f t="shared" ca="1" si="197"/>
        <v>0</v>
      </c>
      <c r="BL332" s="775">
        <f t="shared" ca="1" si="198"/>
        <v>0</v>
      </c>
      <c r="BM332" s="775">
        <f t="shared" ca="1" si="199"/>
        <v>0</v>
      </c>
      <c r="BN332" s="775">
        <f t="shared" ca="1" si="200"/>
        <v>0</v>
      </c>
      <c r="BO332" s="775">
        <f t="shared" ca="1" si="201"/>
        <v>0</v>
      </c>
      <c r="BP332" s="775">
        <f t="shared" ca="1" si="202"/>
        <v>0</v>
      </c>
      <c r="BQ332" s="775">
        <f t="shared" ca="1" si="170"/>
        <v>0</v>
      </c>
      <c r="BR332" s="775">
        <f t="shared" ca="1" si="203"/>
        <v>0</v>
      </c>
    </row>
    <row r="333" spans="1:70">
      <c r="A333" s="767" t="str">
        <f t="shared" ca="1" si="214"/>
        <v/>
      </c>
      <c r="B333" s="234" t="s">
        <v>4642</v>
      </c>
      <c r="C333" s="188" t="str">
        <f ca="1">IF(F333=0,"",COUNTIF($F$78:$F333,"&gt;0"))</f>
        <v/>
      </c>
      <c r="D333" s="778" t="str">
        <f>VLOOKUP($B333,dongia1,DG!$C$5,)</f>
        <v>Đà U100x46x4,5x700 ốp đà  đỡ MBA : 2 thanh</v>
      </c>
      <c r="E333" s="555" t="str">
        <f>VLOOKUP($B333,dongia1,DG!$D$5,)</f>
        <v>kg</v>
      </c>
      <c r="F333" s="779">
        <f t="shared" ca="1" si="215"/>
        <v>0</v>
      </c>
      <c r="G333" s="775">
        <f t="shared" ca="1" si="216"/>
        <v>0</v>
      </c>
      <c r="H333" s="775">
        <f ca="1">SUMIF(CT_tram!$B$33:$G$3559,kl!B333,CT_tram!$G$33:$G$3559)</f>
        <v>0</v>
      </c>
      <c r="I333" s="775">
        <f ca="1">SUMIF(CT_tram!$B$34:$G$115,$B333,CT_tram!$G$34:$G$115)</f>
        <v>0</v>
      </c>
      <c r="J333" s="775">
        <f ca="1">SUMIF(CT_tram!$B$122:$G$204,$B333,CT_tram!$G$122:$G$204)</f>
        <v>0</v>
      </c>
      <c r="K333" s="775">
        <f ca="1">SUMIF(CT_tram!$B$211:$G$293,$B333,CT_tram!$G$211:$G$293)</f>
        <v>0</v>
      </c>
      <c r="L333" s="775">
        <f ca="1">SUMIF(CT_tram!$B$300:$G$374,$B333,CT_tram!$G$300:$G$374)</f>
        <v>0</v>
      </c>
      <c r="M333" s="775">
        <f ca="1">SUMIF(CT_tram!$B$381:$G$471,$B333,CT_tram!$G$381:$G$471)</f>
        <v>0</v>
      </c>
      <c r="N333" s="775">
        <f ca="1">SUMIF(CT_tram!$B$478:$G$560,$B333,CT_tram!$G$478:$G$560)</f>
        <v>0</v>
      </c>
      <c r="O333" s="775">
        <f ca="1">SUMIF(CT_tram!$B$567:$G$653,$B333,CT_tram!$G$567:$G$653)</f>
        <v>0</v>
      </c>
      <c r="P333" s="775">
        <f ca="1">SUMIF(CT_tram!$B$661:$G$738,$B333,CT_tram!$G$661:$G$738)</f>
        <v>0</v>
      </c>
      <c r="Q333" s="775">
        <f ca="1">SUMIF(CT_tram!$B$745:$G$899,$B333,CT_tram!$G$745:$G$899)</f>
        <v>0</v>
      </c>
      <c r="R333" s="775">
        <f ca="1">SUMIF(CT_tram!$B$907:$G$995,$B333,CT_tram!$G$907:$G$995)</f>
        <v>0</v>
      </c>
      <c r="S333" s="775"/>
      <c r="T333" s="775">
        <f ca="1">SUMIF(CT_tram!$B$1004:$G$1097,B333,CT_tram!$G$1004:$G$1097)</f>
        <v>0</v>
      </c>
      <c r="U333" s="775"/>
      <c r="V333" s="775">
        <f ca="1">SUMIF(CT_tram!$B$1226:$G$1352,kl!B333,CT_tram!$G$1226:$G$1352)</f>
        <v>0</v>
      </c>
      <c r="W333" s="780">
        <f ca="1">SUMIF(CT_tram!$B$1105:$G$1219,kl!B333,CT_tram!$G$1105:$G$1219)</f>
        <v>0</v>
      </c>
      <c r="X333" s="775">
        <f ca="1">SUMIF(CT_tram!$B$1359:$G$1504,kl!B333,CT_tram!$G$1359:$G$1504)</f>
        <v>0</v>
      </c>
      <c r="Y333" s="775">
        <f ca="1">SUMIF(CT_tram!$B$1511:$G$1625,kl!B333,CT_tram!$G$1511:$G$1625)</f>
        <v>0</v>
      </c>
      <c r="Z333" s="775">
        <f ca="1">SUMIF(CT_tram!$B$1632:$G$2211,kl!B333,CT_tram!$G$1632:$G$2211)</f>
        <v>0</v>
      </c>
      <c r="AA333" s="775">
        <f ca="1">SUMIF(CT_tram!$B$2243:$G$2384,kl!B333,CT_tram!$G$2243:$G$2384)</f>
        <v>0</v>
      </c>
      <c r="AB333" s="775">
        <f ca="1">SUMIF(CT_tram!$B$2391:$G$2563,kl!B333,CT_tram!$G$2391:$G$2563)</f>
        <v>0</v>
      </c>
      <c r="AC333" s="775">
        <f ca="1">SUMIF(chitiet!$B$13:$N$2352,kl!$B333,chitiet!$I$13:$I$2352)</f>
        <v>0</v>
      </c>
      <c r="AD333" s="775">
        <f ca="1">SUMIF(chitiet!$B$13:$N$2352,kl!$B333,chitiet!$J$13:$J$2352)</f>
        <v>0</v>
      </c>
      <c r="AE333" s="775">
        <f ca="1">SUMIF(chitiet!$B$13:$N$2352,kl!$B333,chitiet!$K$13:$K$2352)</f>
        <v>0</v>
      </c>
      <c r="AF333" s="775">
        <f ca="1">SUMIF(chitiet!$B$13:$N$2352,kl!$B333,chitiet!$L$13:$L$2352)</f>
        <v>0</v>
      </c>
      <c r="AG333" s="775">
        <f ca="1">SUMIF(chitiet!$B$13:$N$2352,kl!$B333,chitiet!$M$13)</f>
        <v>0</v>
      </c>
      <c r="AH333" s="775">
        <f ca="1">SUMIF(chitiet!$B$13:$N$2352,kl!$B333,chitiet!$N$13:$N$2352)</f>
        <v>0</v>
      </c>
      <c r="AI333" s="775">
        <f ca="1">SUMIF(chitiet!$B$13:$N$2352,kl!$B333,chitiet!$O$13:$O$2352)</f>
        <v>0</v>
      </c>
      <c r="AJ333" s="775">
        <f ca="1">SUMIF('Cap ngam'!$B$631:$G$723,kl!$B333,'Cap ngam'!$G$631:$G$723)</f>
        <v>0</v>
      </c>
      <c r="AK333" s="775">
        <f ca="1">SUMIF('Cap ngam'!$B$403:$G$628,kl!$B333,'Cap ngam'!G$403:G$628)</f>
        <v>0</v>
      </c>
      <c r="AL333" s="775">
        <f ca="1">SUMIF('Cap ngam'!B$16:G$400,kl!$B333,'Cap ngam'!G$16:G$400)</f>
        <v>0</v>
      </c>
      <c r="AM333" s="776">
        <v>1</v>
      </c>
      <c r="AN333" s="775">
        <f t="shared" ca="1" si="181"/>
        <v>0</v>
      </c>
      <c r="AO333" s="775">
        <f t="shared" ca="1" si="182"/>
        <v>0</v>
      </c>
      <c r="AP333" s="775">
        <f t="shared" ca="1" si="183"/>
        <v>0</v>
      </c>
      <c r="AQ333" s="775">
        <f t="shared" ca="1" si="184"/>
        <v>0</v>
      </c>
      <c r="AR333" s="775">
        <f t="shared" ca="1" si="185"/>
        <v>0</v>
      </c>
      <c r="AS333" s="775">
        <f t="shared" ca="1" si="186"/>
        <v>0</v>
      </c>
      <c r="AT333" s="775">
        <f t="shared" ca="1" si="187"/>
        <v>0</v>
      </c>
      <c r="AU333" s="775">
        <f t="shared" ca="1" si="188"/>
        <v>0</v>
      </c>
      <c r="AV333" s="775">
        <f t="shared" ca="1" si="189"/>
        <v>0</v>
      </c>
      <c r="AW333" s="775">
        <f t="shared" ca="1" si="190"/>
        <v>0</v>
      </c>
      <c r="AX333" s="775">
        <f t="shared" si="191"/>
        <v>0</v>
      </c>
      <c r="AY333" s="775">
        <f t="shared" ca="1" si="192"/>
        <v>0</v>
      </c>
      <c r="AZ333" s="775">
        <f t="shared" si="193"/>
        <v>0</v>
      </c>
      <c r="BA333" s="775">
        <f t="shared" ca="1" si="172"/>
        <v>0</v>
      </c>
      <c r="BB333" s="775">
        <f t="shared" ca="1" si="173"/>
        <v>0</v>
      </c>
      <c r="BC333" s="775">
        <f t="shared" ca="1" si="174"/>
        <v>0</v>
      </c>
      <c r="BD333" s="775">
        <f t="shared" ca="1" si="175"/>
        <v>0</v>
      </c>
      <c r="BE333" s="775">
        <f t="shared" ca="1" si="176"/>
        <v>0</v>
      </c>
      <c r="BF333" s="775">
        <f t="shared" ca="1" si="177"/>
        <v>0</v>
      </c>
      <c r="BG333" s="775">
        <f t="shared" ca="1" si="178"/>
        <v>0</v>
      </c>
      <c r="BH333" s="775">
        <f t="shared" ca="1" si="194"/>
        <v>0</v>
      </c>
      <c r="BI333" s="775">
        <f t="shared" ca="1" si="195"/>
        <v>0</v>
      </c>
      <c r="BJ333" s="775">
        <f t="shared" ca="1" si="196"/>
        <v>0</v>
      </c>
      <c r="BK333" s="775">
        <f t="shared" ca="1" si="197"/>
        <v>0</v>
      </c>
      <c r="BL333" s="775">
        <f t="shared" ca="1" si="198"/>
        <v>0</v>
      </c>
      <c r="BM333" s="775">
        <f t="shared" ca="1" si="199"/>
        <v>0</v>
      </c>
      <c r="BN333" s="775">
        <f t="shared" ca="1" si="200"/>
        <v>0</v>
      </c>
      <c r="BO333" s="775">
        <f t="shared" ca="1" si="201"/>
        <v>0</v>
      </c>
      <c r="BP333" s="775">
        <f t="shared" ca="1" si="202"/>
        <v>0</v>
      </c>
      <c r="BQ333" s="775">
        <f t="shared" ca="1" si="170"/>
        <v>0</v>
      </c>
      <c r="BR333" s="775">
        <f t="shared" ca="1" si="203"/>
        <v>0</v>
      </c>
    </row>
    <row r="334" spans="1:70">
      <c r="A334" s="767" t="str">
        <f t="shared" ca="1" si="214"/>
        <v/>
      </c>
      <c r="B334" s="234" t="s">
        <v>4643</v>
      </c>
      <c r="C334" s="188" t="str">
        <f ca="1">IF(F334=0,"",COUNTIF($F$78:$F334,"&gt;0"))</f>
        <v/>
      </c>
      <c r="D334" s="778" t="str">
        <f>VLOOKUP($B334,dongia1,DG!$C$5,)</f>
        <v>Đà U200x76x5,2x800 trong bắt MBA : 1 thanh</v>
      </c>
      <c r="E334" s="555" t="str">
        <f>VLOOKUP($B334,dongia1,DG!$D$5,)</f>
        <v>kg</v>
      </c>
      <c r="F334" s="779">
        <f t="shared" ca="1" si="215"/>
        <v>0</v>
      </c>
      <c r="G334" s="775">
        <f t="shared" ca="1" si="216"/>
        <v>0</v>
      </c>
      <c r="H334" s="775">
        <f ca="1">SUMIF(CT_tram!$B$33:$G$3559,kl!B334,CT_tram!$G$33:$G$3559)</f>
        <v>0</v>
      </c>
      <c r="I334" s="775">
        <f ca="1">SUMIF(CT_tram!$B$34:$G$115,$B334,CT_tram!$G$34:$G$115)</f>
        <v>0</v>
      </c>
      <c r="J334" s="775">
        <f ca="1">SUMIF(CT_tram!$B$122:$G$204,$B334,CT_tram!$G$122:$G$204)</f>
        <v>0</v>
      </c>
      <c r="K334" s="775">
        <f ca="1">SUMIF(CT_tram!$B$211:$G$293,$B334,CT_tram!$G$211:$G$293)</f>
        <v>0</v>
      </c>
      <c r="L334" s="775">
        <f ca="1">SUMIF(CT_tram!$B$300:$G$374,$B334,CT_tram!$G$300:$G$374)</f>
        <v>0</v>
      </c>
      <c r="M334" s="775">
        <f ca="1">SUMIF(CT_tram!$B$381:$G$471,$B334,CT_tram!$G$381:$G$471)</f>
        <v>0</v>
      </c>
      <c r="N334" s="775">
        <f ca="1">SUMIF(CT_tram!$B$478:$G$560,$B334,CT_tram!$G$478:$G$560)</f>
        <v>0</v>
      </c>
      <c r="O334" s="775">
        <f ca="1">SUMIF(CT_tram!$B$567:$G$653,$B334,CT_tram!$G$567:$G$653)</f>
        <v>0</v>
      </c>
      <c r="P334" s="775">
        <f ca="1">SUMIF(CT_tram!$B$661:$G$738,$B334,CT_tram!$G$661:$G$738)</f>
        <v>0</v>
      </c>
      <c r="Q334" s="775">
        <f ca="1">SUMIF(CT_tram!$B$745:$G$899,$B334,CT_tram!$G$745:$G$899)</f>
        <v>0</v>
      </c>
      <c r="R334" s="775">
        <f ca="1">SUMIF(CT_tram!$B$907:$G$995,$B334,CT_tram!$G$907:$G$995)</f>
        <v>0</v>
      </c>
      <c r="S334" s="775"/>
      <c r="T334" s="775">
        <f ca="1">SUMIF(CT_tram!$B$1004:$G$1097,B334,CT_tram!$G$1004:$G$1097)</f>
        <v>0</v>
      </c>
      <c r="U334" s="775"/>
      <c r="V334" s="775">
        <f ca="1">SUMIF(CT_tram!$B$1226:$G$1352,kl!B334,CT_tram!$G$1226:$G$1352)</f>
        <v>0</v>
      </c>
      <c r="W334" s="780">
        <f ca="1">SUMIF(CT_tram!$B$1105:$G$1219,kl!B334,CT_tram!$G$1105:$G$1219)</f>
        <v>0</v>
      </c>
      <c r="X334" s="775">
        <f ca="1">SUMIF(CT_tram!$B$1359:$G$1504,kl!B334,CT_tram!$G$1359:$G$1504)</f>
        <v>0</v>
      </c>
      <c r="Y334" s="775">
        <f ca="1">SUMIF(CT_tram!$B$1511:$G$1625,kl!B334,CT_tram!$G$1511:$G$1625)</f>
        <v>0</v>
      </c>
      <c r="Z334" s="775">
        <f ca="1">SUMIF(CT_tram!$B$1632:$G$2211,kl!B334,CT_tram!$G$1632:$G$2211)</f>
        <v>0</v>
      </c>
      <c r="AA334" s="775">
        <f ca="1">SUMIF(CT_tram!$B$2243:$G$2384,kl!B334,CT_tram!$G$2243:$G$2384)</f>
        <v>0</v>
      </c>
      <c r="AB334" s="775">
        <f ca="1">SUMIF(CT_tram!$B$2391:$G$2563,kl!B334,CT_tram!$G$2391:$G$2563)</f>
        <v>0</v>
      </c>
      <c r="AC334" s="775">
        <f ca="1">SUMIF(chitiet!$B$13:$N$2352,kl!$B334,chitiet!$I$13:$I$2352)</f>
        <v>0</v>
      </c>
      <c r="AD334" s="775">
        <f ca="1">SUMIF(chitiet!$B$13:$N$2352,kl!$B334,chitiet!$J$13:$J$2352)</f>
        <v>0</v>
      </c>
      <c r="AE334" s="775">
        <f ca="1">SUMIF(chitiet!$B$13:$N$2352,kl!$B334,chitiet!$K$13:$K$2352)</f>
        <v>0</v>
      </c>
      <c r="AF334" s="775">
        <f ca="1">SUMIF(chitiet!$B$13:$N$2352,kl!$B334,chitiet!$L$13:$L$2352)</f>
        <v>0</v>
      </c>
      <c r="AG334" s="775">
        <f ca="1">SUMIF(chitiet!$B$13:$N$2352,kl!$B334,chitiet!$M$13)</f>
        <v>0</v>
      </c>
      <c r="AH334" s="775">
        <f ca="1">SUMIF(chitiet!$B$13:$N$2352,kl!$B334,chitiet!$N$13:$N$2352)</f>
        <v>0</v>
      </c>
      <c r="AI334" s="775">
        <f ca="1">SUMIF(chitiet!$B$13:$N$2352,kl!$B334,chitiet!$O$13:$O$2352)</f>
        <v>0</v>
      </c>
      <c r="AJ334" s="775">
        <f ca="1">SUMIF('Cap ngam'!$B$631:$G$723,kl!$B334,'Cap ngam'!$G$631:$G$723)</f>
        <v>0</v>
      </c>
      <c r="AK334" s="775">
        <f ca="1">SUMIF('Cap ngam'!$B$403:$G$628,kl!$B334,'Cap ngam'!G$403:G$628)</f>
        <v>0</v>
      </c>
      <c r="AL334" s="775">
        <f ca="1">SUMIF('Cap ngam'!B$16:G$400,kl!$B334,'Cap ngam'!G$16:G$400)</f>
        <v>0</v>
      </c>
      <c r="AM334" s="776">
        <v>1</v>
      </c>
      <c r="AN334" s="775">
        <f t="shared" ca="1" si="181"/>
        <v>0</v>
      </c>
      <c r="AO334" s="775">
        <f t="shared" ca="1" si="182"/>
        <v>0</v>
      </c>
      <c r="AP334" s="775">
        <f t="shared" ca="1" si="183"/>
        <v>0</v>
      </c>
      <c r="AQ334" s="775">
        <f t="shared" ca="1" si="184"/>
        <v>0</v>
      </c>
      <c r="AR334" s="775">
        <f t="shared" ca="1" si="185"/>
        <v>0</v>
      </c>
      <c r="AS334" s="775">
        <f t="shared" ca="1" si="186"/>
        <v>0</v>
      </c>
      <c r="AT334" s="775">
        <f t="shared" ca="1" si="187"/>
        <v>0</v>
      </c>
      <c r="AU334" s="775">
        <f t="shared" ca="1" si="188"/>
        <v>0</v>
      </c>
      <c r="AV334" s="775">
        <f t="shared" ca="1" si="189"/>
        <v>0</v>
      </c>
      <c r="AW334" s="775">
        <f t="shared" ca="1" si="190"/>
        <v>0</v>
      </c>
      <c r="AX334" s="775">
        <f t="shared" si="191"/>
        <v>0</v>
      </c>
      <c r="AY334" s="775">
        <f t="shared" ca="1" si="192"/>
        <v>0</v>
      </c>
      <c r="AZ334" s="775">
        <f t="shared" si="193"/>
        <v>0</v>
      </c>
      <c r="BA334" s="775">
        <f t="shared" ca="1" si="172"/>
        <v>0</v>
      </c>
      <c r="BB334" s="775">
        <f t="shared" ca="1" si="173"/>
        <v>0</v>
      </c>
      <c r="BC334" s="775">
        <f t="shared" ca="1" si="174"/>
        <v>0</v>
      </c>
      <c r="BD334" s="775">
        <f t="shared" ca="1" si="175"/>
        <v>0</v>
      </c>
      <c r="BE334" s="775">
        <f t="shared" ca="1" si="176"/>
        <v>0</v>
      </c>
      <c r="BF334" s="775">
        <f t="shared" ca="1" si="177"/>
        <v>0</v>
      </c>
      <c r="BG334" s="775">
        <f t="shared" ca="1" si="178"/>
        <v>0</v>
      </c>
      <c r="BH334" s="775">
        <f t="shared" ca="1" si="194"/>
        <v>0</v>
      </c>
      <c r="BI334" s="775">
        <f t="shared" ca="1" si="195"/>
        <v>0</v>
      </c>
      <c r="BJ334" s="775">
        <f t="shared" ca="1" si="196"/>
        <v>0</v>
      </c>
      <c r="BK334" s="775">
        <f t="shared" ca="1" si="197"/>
        <v>0</v>
      </c>
      <c r="BL334" s="775">
        <f t="shared" ca="1" si="198"/>
        <v>0</v>
      </c>
      <c r="BM334" s="775">
        <f t="shared" ca="1" si="199"/>
        <v>0</v>
      </c>
      <c r="BN334" s="775">
        <f t="shared" ca="1" si="200"/>
        <v>0</v>
      </c>
      <c r="BO334" s="775">
        <f t="shared" ca="1" si="201"/>
        <v>0</v>
      </c>
      <c r="BP334" s="775">
        <f t="shared" ca="1" si="202"/>
        <v>0</v>
      </c>
      <c r="BQ334" s="775">
        <f t="shared" ca="1" si="170"/>
        <v>0</v>
      </c>
      <c r="BR334" s="775">
        <f t="shared" ca="1" si="203"/>
        <v>0</v>
      </c>
    </row>
    <row r="335" spans="1:70">
      <c r="A335" s="767" t="str">
        <f t="shared" ca="1" si="214"/>
        <v/>
      </c>
      <c r="B335" s="234" t="s">
        <v>4644</v>
      </c>
      <c r="C335" s="188" t="str">
        <f ca="1">IF(F335=0,"",COUNTIF($F$78:$F335,"&gt;0"))</f>
        <v/>
      </c>
      <c r="D335" s="778" t="str">
        <f>VLOOKUP($B335,dongia1,DG!$C$5,)</f>
        <v>Đà U100x46x4,5x700 kẹp bắt MBA : 1 thanh</v>
      </c>
      <c r="E335" s="555" t="str">
        <f>VLOOKUP($B335,dongia1,DG!$D$5,)</f>
        <v>kg</v>
      </c>
      <c r="F335" s="779">
        <f t="shared" ca="1" si="215"/>
        <v>0</v>
      </c>
      <c r="G335" s="775">
        <f t="shared" ca="1" si="216"/>
        <v>0</v>
      </c>
      <c r="H335" s="775">
        <f ca="1">SUMIF(CT_tram!$B$33:$G$3559,kl!B335,CT_tram!$G$33:$G$3559)</f>
        <v>0</v>
      </c>
      <c r="I335" s="775">
        <f ca="1">SUMIF(CT_tram!$B$34:$G$115,$B335,CT_tram!$G$34:$G$115)</f>
        <v>0</v>
      </c>
      <c r="J335" s="775">
        <f ca="1">SUMIF(CT_tram!$B$122:$G$204,$B335,CT_tram!$G$122:$G$204)</f>
        <v>0</v>
      </c>
      <c r="K335" s="775">
        <f ca="1">SUMIF(CT_tram!$B$211:$G$293,$B335,CT_tram!$G$211:$G$293)</f>
        <v>0</v>
      </c>
      <c r="L335" s="775">
        <f ca="1">SUMIF(CT_tram!$B$300:$G$374,$B335,CT_tram!$G$300:$G$374)</f>
        <v>0</v>
      </c>
      <c r="M335" s="775">
        <f ca="1">SUMIF(CT_tram!$B$381:$G$471,$B335,CT_tram!$G$381:$G$471)</f>
        <v>0</v>
      </c>
      <c r="N335" s="775">
        <f ca="1">SUMIF(CT_tram!$B$478:$G$560,$B335,CT_tram!$G$478:$G$560)</f>
        <v>0</v>
      </c>
      <c r="O335" s="775">
        <f ca="1">SUMIF(CT_tram!$B$567:$G$653,$B335,CT_tram!$G$567:$G$653)</f>
        <v>0</v>
      </c>
      <c r="P335" s="775">
        <f ca="1">SUMIF(CT_tram!$B$661:$G$738,$B335,CT_tram!$G$661:$G$738)</f>
        <v>0</v>
      </c>
      <c r="Q335" s="775">
        <f ca="1">SUMIF(CT_tram!$B$745:$G$899,$B335,CT_tram!$G$745:$G$899)</f>
        <v>0</v>
      </c>
      <c r="R335" s="775">
        <f ca="1">SUMIF(CT_tram!$B$907:$G$995,$B335,CT_tram!$G$907:$G$995)</f>
        <v>0</v>
      </c>
      <c r="S335" s="775"/>
      <c r="T335" s="775">
        <f ca="1">SUMIF(CT_tram!$B$1004:$G$1097,B335,CT_tram!$G$1004:$G$1097)</f>
        <v>0</v>
      </c>
      <c r="U335" s="775"/>
      <c r="V335" s="775">
        <f ca="1">SUMIF(CT_tram!$B$1226:$G$1352,kl!B335,CT_tram!$G$1226:$G$1352)</f>
        <v>0</v>
      </c>
      <c r="W335" s="780">
        <f ca="1">SUMIF(CT_tram!$B$1105:$G$1219,kl!B335,CT_tram!$G$1105:$G$1219)</f>
        <v>0</v>
      </c>
      <c r="X335" s="775">
        <f ca="1">SUMIF(CT_tram!$B$1359:$G$1504,kl!B335,CT_tram!$G$1359:$G$1504)</f>
        <v>0</v>
      </c>
      <c r="Y335" s="775">
        <f ca="1">SUMIF(CT_tram!$B$1511:$G$1625,kl!B335,CT_tram!$G$1511:$G$1625)</f>
        <v>0</v>
      </c>
      <c r="Z335" s="775">
        <f ca="1">SUMIF(CT_tram!$B$1632:$G$2211,kl!B335,CT_tram!$G$1632:$G$2211)</f>
        <v>0</v>
      </c>
      <c r="AA335" s="775">
        <f ca="1">SUMIF(CT_tram!$B$2243:$G$2384,kl!B335,CT_tram!$G$2243:$G$2384)</f>
        <v>0</v>
      </c>
      <c r="AB335" s="775">
        <f ca="1">SUMIF(CT_tram!$B$2391:$G$2563,kl!B335,CT_tram!$G$2391:$G$2563)</f>
        <v>0</v>
      </c>
      <c r="AC335" s="775">
        <f ca="1">SUMIF(chitiet!$B$13:$N$2352,kl!$B335,chitiet!$I$13:$I$2352)</f>
        <v>0</v>
      </c>
      <c r="AD335" s="775">
        <f ca="1">SUMIF(chitiet!$B$13:$N$2352,kl!$B335,chitiet!$J$13:$J$2352)</f>
        <v>0</v>
      </c>
      <c r="AE335" s="775">
        <f ca="1">SUMIF(chitiet!$B$13:$N$2352,kl!$B335,chitiet!$K$13:$K$2352)</f>
        <v>0</v>
      </c>
      <c r="AF335" s="775">
        <f ca="1">SUMIF(chitiet!$B$13:$N$2352,kl!$B335,chitiet!$L$13:$L$2352)</f>
        <v>0</v>
      </c>
      <c r="AG335" s="775">
        <f ca="1">SUMIF(chitiet!$B$13:$N$2352,kl!$B335,chitiet!$M$13)</f>
        <v>0</v>
      </c>
      <c r="AH335" s="775">
        <f ca="1">SUMIF(chitiet!$B$13:$N$2352,kl!$B335,chitiet!$N$13:$N$2352)</f>
        <v>0</v>
      </c>
      <c r="AI335" s="775">
        <f ca="1">SUMIF(chitiet!$B$13:$N$2352,kl!$B335,chitiet!$O$13:$O$2352)</f>
        <v>0</v>
      </c>
      <c r="AJ335" s="775">
        <f ca="1">SUMIF('Cap ngam'!$B$631:$G$723,kl!$B335,'Cap ngam'!$G$631:$G$723)</f>
        <v>0</v>
      </c>
      <c r="AK335" s="775">
        <f ca="1">SUMIF('Cap ngam'!$B$403:$G$628,kl!$B335,'Cap ngam'!G$403:G$628)</f>
        <v>0</v>
      </c>
      <c r="AL335" s="775">
        <f ca="1">SUMIF('Cap ngam'!B$16:G$400,kl!$B335,'Cap ngam'!G$16:G$400)</f>
        <v>0</v>
      </c>
      <c r="AM335" s="776">
        <v>1</v>
      </c>
      <c r="AN335" s="775">
        <f t="shared" ca="1" si="181"/>
        <v>0</v>
      </c>
      <c r="AO335" s="775">
        <f t="shared" ca="1" si="182"/>
        <v>0</v>
      </c>
      <c r="AP335" s="775">
        <f t="shared" ca="1" si="183"/>
        <v>0</v>
      </c>
      <c r="AQ335" s="775">
        <f t="shared" ca="1" si="184"/>
        <v>0</v>
      </c>
      <c r="AR335" s="775">
        <f t="shared" ca="1" si="185"/>
        <v>0</v>
      </c>
      <c r="AS335" s="775">
        <f t="shared" ca="1" si="186"/>
        <v>0</v>
      </c>
      <c r="AT335" s="775">
        <f t="shared" ca="1" si="187"/>
        <v>0</v>
      </c>
      <c r="AU335" s="775">
        <f t="shared" ca="1" si="188"/>
        <v>0</v>
      </c>
      <c r="AV335" s="775">
        <f t="shared" ca="1" si="189"/>
        <v>0</v>
      </c>
      <c r="AW335" s="775">
        <f t="shared" ca="1" si="190"/>
        <v>0</v>
      </c>
      <c r="AX335" s="775">
        <f t="shared" si="191"/>
        <v>0</v>
      </c>
      <c r="AY335" s="775">
        <f t="shared" ca="1" si="192"/>
        <v>0</v>
      </c>
      <c r="AZ335" s="775">
        <f t="shared" si="193"/>
        <v>0</v>
      </c>
      <c r="BA335" s="775">
        <f t="shared" ca="1" si="172"/>
        <v>0</v>
      </c>
      <c r="BB335" s="775">
        <f t="shared" ca="1" si="173"/>
        <v>0</v>
      </c>
      <c r="BC335" s="775">
        <f t="shared" ca="1" si="174"/>
        <v>0</v>
      </c>
      <c r="BD335" s="775">
        <f t="shared" ca="1" si="175"/>
        <v>0</v>
      </c>
      <c r="BE335" s="775">
        <f t="shared" ca="1" si="176"/>
        <v>0</v>
      </c>
      <c r="BF335" s="775">
        <f t="shared" ca="1" si="177"/>
        <v>0</v>
      </c>
      <c r="BG335" s="775">
        <f t="shared" ca="1" si="178"/>
        <v>0</v>
      </c>
      <c r="BH335" s="775">
        <f t="shared" ca="1" si="194"/>
        <v>0</v>
      </c>
      <c r="BI335" s="775">
        <f t="shared" ca="1" si="195"/>
        <v>0</v>
      </c>
      <c r="BJ335" s="775">
        <f t="shared" ca="1" si="196"/>
        <v>0</v>
      </c>
      <c r="BK335" s="775">
        <f t="shared" ca="1" si="197"/>
        <v>0</v>
      </c>
      <c r="BL335" s="775">
        <f t="shared" ca="1" si="198"/>
        <v>0</v>
      </c>
      <c r="BM335" s="775">
        <f t="shared" ca="1" si="199"/>
        <v>0</v>
      </c>
      <c r="BN335" s="775">
        <f t="shared" ca="1" si="200"/>
        <v>0</v>
      </c>
      <c r="BO335" s="775">
        <f t="shared" ca="1" si="201"/>
        <v>0</v>
      </c>
      <c r="BP335" s="775">
        <f t="shared" ca="1" si="202"/>
        <v>0</v>
      </c>
      <c r="BQ335" s="775">
        <f t="shared" ca="1" si="170"/>
        <v>0</v>
      </c>
      <c r="BR335" s="775">
        <f t="shared" ca="1" si="203"/>
        <v>0</v>
      </c>
    </row>
    <row r="336" spans="1:70">
      <c r="A336" s="767" t="str">
        <f t="shared" ca="1" si="214"/>
        <v/>
      </c>
      <c r="B336" s="234" t="s">
        <v>4645</v>
      </c>
      <c r="C336" s="188" t="str">
        <f ca="1">IF(F336=0,"",COUNTIF($F$78:$F336,"&gt;0"))</f>
        <v/>
      </c>
      <c r="D336" s="778" t="str">
        <f>VLOOKUP($B336,dongia1,DG!$C$5,)</f>
        <v>Đà U200x76x5,2x800 ngoài bắt MBA : 1 thanh</v>
      </c>
      <c r="E336" s="555" t="str">
        <f>VLOOKUP($B336,dongia1,DG!$D$5,)</f>
        <v>kg</v>
      </c>
      <c r="F336" s="779">
        <f t="shared" ca="1" si="215"/>
        <v>0</v>
      </c>
      <c r="G336" s="775">
        <f t="shared" ca="1" si="216"/>
        <v>0</v>
      </c>
      <c r="H336" s="775">
        <f ca="1">SUMIF(CT_tram!$B$33:$G$3559,kl!B336,CT_tram!$G$33:$G$3559)</f>
        <v>0</v>
      </c>
      <c r="I336" s="775">
        <f ca="1">SUMIF(CT_tram!$B$34:$G$115,$B336,CT_tram!$G$34:$G$115)</f>
        <v>0</v>
      </c>
      <c r="J336" s="775">
        <f ca="1">SUMIF(CT_tram!$B$122:$G$204,$B336,CT_tram!$G$122:$G$204)</f>
        <v>0</v>
      </c>
      <c r="K336" s="775">
        <f ca="1">SUMIF(CT_tram!$B$211:$G$293,$B336,CT_tram!$G$211:$G$293)</f>
        <v>0</v>
      </c>
      <c r="L336" s="775">
        <f ca="1">SUMIF(CT_tram!$B$300:$G$374,$B336,CT_tram!$G$300:$G$374)</f>
        <v>0</v>
      </c>
      <c r="M336" s="775">
        <f ca="1">SUMIF(CT_tram!$B$381:$G$471,$B336,CT_tram!$G$381:$G$471)</f>
        <v>0</v>
      </c>
      <c r="N336" s="775">
        <f ca="1">SUMIF(CT_tram!$B$478:$G$560,$B336,CT_tram!$G$478:$G$560)</f>
        <v>0</v>
      </c>
      <c r="O336" s="775">
        <f ca="1">SUMIF(CT_tram!$B$567:$G$653,$B336,CT_tram!$G$567:$G$653)</f>
        <v>0</v>
      </c>
      <c r="P336" s="775">
        <f ca="1">SUMIF(CT_tram!$B$661:$G$738,$B336,CT_tram!$G$661:$G$738)</f>
        <v>0</v>
      </c>
      <c r="Q336" s="775">
        <f ca="1">SUMIF(CT_tram!$B$745:$G$899,$B336,CT_tram!$G$745:$G$899)</f>
        <v>0</v>
      </c>
      <c r="R336" s="775">
        <f ca="1">SUMIF(CT_tram!$B$907:$G$995,$B336,CT_tram!$G$907:$G$995)</f>
        <v>0</v>
      </c>
      <c r="S336" s="775"/>
      <c r="T336" s="775">
        <f ca="1">SUMIF(CT_tram!$B$1004:$G$1097,B336,CT_tram!$G$1004:$G$1097)</f>
        <v>0</v>
      </c>
      <c r="U336" s="775"/>
      <c r="V336" s="775">
        <f ca="1">SUMIF(CT_tram!$B$1226:$G$1352,kl!B336,CT_tram!$G$1226:$G$1352)</f>
        <v>0</v>
      </c>
      <c r="W336" s="780">
        <f ca="1">SUMIF(CT_tram!$B$1105:$G$1219,kl!B336,CT_tram!$G$1105:$G$1219)</f>
        <v>0</v>
      </c>
      <c r="X336" s="775">
        <f ca="1">SUMIF(CT_tram!$B$1359:$G$1504,kl!B336,CT_tram!$G$1359:$G$1504)</f>
        <v>0</v>
      </c>
      <c r="Y336" s="775">
        <f ca="1">SUMIF(CT_tram!$B$1511:$G$1625,kl!B336,CT_tram!$G$1511:$G$1625)</f>
        <v>0</v>
      </c>
      <c r="Z336" s="775">
        <f ca="1">SUMIF(CT_tram!$B$1632:$G$2211,kl!B336,CT_tram!$G$1632:$G$2211)</f>
        <v>0</v>
      </c>
      <c r="AA336" s="775">
        <f ca="1">SUMIF(CT_tram!$B$2243:$G$2384,kl!B336,CT_tram!$G$2243:$G$2384)</f>
        <v>0</v>
      </c>
      <c r="AB336" s="775">
        <f ca="1">SUMIF(CT_tram!$B$2391:$G$2563,kl!B336,CT_tram!$G$2391:$G$2563)</f>
        <v>0</v>
      </c>
      <c r="AC336" s="775">
        <f ca="1">SUMIF(chitiet!$B$13:$N$2352,kl!$B336,chitiet!$I$13:$I$2352)</f>
        <v>0</v>
      </c>
      <c r="AD336" s="775">
        <f ca="1">SUMIF(chitiet!$B$13:$N$2352,kl!$B336,chitiet!$J$13:$J$2352)</f>
        <v>0</v>
      </c>
      <c r="AE336" s="775">
        <f ca="1">SUMIF(chitiet!$B$13:$N$2352,kl!$B336,chitiet!$K$13:$K$2352)</f>
        <v>0</v>
      </c>
      <c r="AF336" s="775">
        <f ca="1">SUMIF(chitiet!$B$13:$N$2352,kl!$B336,chitiet!$L$13:$L$2352)</f>
        <v>0</v>
      </c>
      <c r="AG336" s="775">
        <f ca="1">SUMIF(chitiet!$B$13:$N$2352,kl!$B336,chitiet!$M$13)</f>
        <v>0</v>
      </c>
      <c r="AH336" s="775">
        <f ca="1">SUMIF(chitiet!$B$13:$N$2352,kl!$B336,chitiet!$N$13:$N$2352)</f>
        <v>0</v>
      </c>
      <c r="AI336" s="775">
        <f ca="1">SUMIF(chitiet!$B$13:$N$2352,kl!$B336,chitiet!$O$13:$O$2352)</f>
        <v>0</v>
      </c>
      <c r="AJ336" s="775">
        <f ca="1">SUMIF('Cap ngam'!$B$631:$G$723,kl!$B336,'Cap ngam'!$G$631:$G$723)</f>
        <v>0</v>
      </c>
      <c r="AK336" s="775">
        <f ca="1">SUMIF('Cap ngam'!$B$403:$G$628,kl!$B336,'Cap ngam'!G$403:G$628)</f>
        <v>0</v>
      </c>
      <c r="AL336" s="775">
        <f ca="1">SUMIF('Cap ngam'!B$16:G$400,kl!$B336,'Cap ngam'!G$16:G$400)</f>
        <v>0</v>
      </c>
      <c r="AM336" s="776">
        <v>1</v>
      </c>
      <c r="AN336" s="775">
        <f t="shared" ca="1" si="181"/>
        <v>0</v>
      </c>
      <c r="AO336" s="775">
        <f t="shared" ca="1" si="182"/>
        <v>0</v>
      </c>
      <c r="AP336" s="775">
        <f t="shared" ca="1" si="183"/>
        <v>0</v>
      </c>
      <c r="AQ336" s="775">
        <f t="shared" ca="1" si="184"/>
        <v>0</v>
      </c>
      <c r="AR336" s="775">
        <f t="shared" ca="1" si="185"/>
        <v>0</v>
      </c>
      <c r="AS336" s="775">
        <f t="shared" ca="1" si="186"/>
        <v>0</v>
      </c>
      <c r="AT336" s="775">
        <f t="shared" ca="1" si="187"/>
        <v>0</v>
      </c>
      <c r="AU336" s="775">
        <f t="shared" ca="1" si="188"/>
        <v>0</v>
      </c>
      <c r="AV336" s="775">
        <f t="shared" ca="1" si="189"/>
        <v>0</v>
      </c>
      <c r="AW336" s="775">
        <f t="shared" ca="1" si="190"/>
        <v>0</v>
      </c>
      <c r="AX336" s="775">
        <f t="shared" si="191"/>
        <v>0</v>
      </c>
      <c r="AY336" s="775">
        <f t="shared" ca="1" si="192"/>
        <v>0</v>
      </c>
      <c r="AZ336" s="775">
        <f t="shared" si="193"/>
        <v>0</v>
      </c>
      <c r="BA336" s="775">
        <f t="shared" ca="1" si="172"/>
        <v>0</v>
      </c>
      <c r="BB336" s="775">
        <f t="shared" ca="1" si="173"/>
        <v>0</v>
      </c>
      <c r="BC336" s="775">
        <f t="shared" ca="1" si="174"/>
        <v>0</v>
      </c>
      <c r="BD336" s="775">
        <f t="shared" ca="1" si="175"/>
        <v>0</v>
      </c>
      <c r="BE336" s="775">
        <f t="shared" ca="1" si="176"/>
        <v>0</v>
      </c>
      <c r="BF336" s="775">
        <f t="shared" ca="1" si="177"/>
        <v>0</v>
      </c>
      <c r="BG336" s="775">
        <f t="shared" ca="1" si="178"/>
        <v>0</v>
      </c>
      <c r="BH336" s="775">
        <f t="shared" ca="1" si="194"/>
        <v>0</v>
      </c>
      <c r="BI336" s="775">
        <f t="shared" ca="1" si="195"/>
        <v>0</v>
      </c>
      <c r="BJ336" s="775">
        <f t="shared" ca="1" si="196"/>
        <v>0</v>
      </c>
      <c r="BK336" s="775">
        <f t="shared" ca="1" si="197"/>
        <v>0</v>
      </c>
      <c r="BL336" s="775">
        <f t="shared" ca="1" si="198"/>
        <v>0</v>
      </c>
      <c r="BM336" s="775">
        <f t="shared" ca="1" si="199"/>
        <v>0</v>
      </c>
      <c r="BN336" s="775">
        <f t="shared" ca="1" si="200"/>
        <v>0</v>
      </c>
      <c r="BO336" s="775">
        <f t="shared" ca="1" si="201"/>
        <v>0</v>
      </c>
      <c r="BP336" s="775">
        <f t="shared" ca="1" si="202"/>
        <v>0</v>
      </c>
      <c r="BQ336" s="775">
        <f t="shared" ca="1" si="170"/>
        <v>0</v>
      </c>
      <c r="BR336" s="775">
        <f t="shared" ca="1" si="203"/>
        <v>0</v>
      </c>
    </row>
    <row r="337" spans="1:70">
      <c r="A337" s="767" t="str">
        <f t="shared" ca="1" si="162"/>
        <v>X</v>
      </c>
      <c r="B337" s="767" t="s">
        <v>1005</v>
      </c>
      <c r="C337" s="188">
        <f ca="1">IF(F337=0,"",COUNTIF($F$78:$F337,"&gt;0"))</f>
        <v>35</v>
      </c>
      <c r="D337" s="778" t="str">
        <f>VLOOKUP($B337,dongia1,DG!$C$5,)</f>
        <v>Sứ chằng</v>
      </c>
      <c r="E337" s="555" t="str">
        <f>VLOOKUP($B337,dongia1,DG!$D$5,)</f>
        <v>cái</v>
      </c>
      <c r="F337" s="975">
        <f ca="1">G337+H337</f>
        <v>2</v>
      </c>
      <c r="G337" s="976">
        <f t="shared" ref="G337:G352" ca="1" si="217">SUM(AC337:AL337)</f>
        <v>2</v>
      </c>
      <c r="H337" s="976">
        <f ca="1">SUMIF(CT_tram!$B$33:$G$3559,kl!B337,CT_tram!$G$33:$G$3559)</f>
        <v>0</v>
      </c>
      <c r="I337" s="775">
        <f ca="1">SUMIF(CT_tram!$B$34:$G$115,$B337,CT_tram!$G$34:$G$115)</f>
        <v>0</v>
      </c>
      <c r="J337" s="775">
        <f ca="1">SUMIF(CT_tram!$B$122:$G$204,$B337,CT_tram!$G$122:$G$204)</f>
        <v>0</v>
      </c>
      <c r="K337" s="775">
        <f ca="1">SUMIF(CT_tram!$B$211:$G$293,$B337,CT_tram!$G$211:$G$293)</f>
        <v>0</v>
      </c>
      <c r="L337" s="775">
        <f ca="1">SUMIF(CT_tram!$B$300:$G$374,$B337,CT_tram!$G$300:$G$374)</f>
        <v>0</v>
      </c>
      <c r="M337" s="775">
        <f ca="1">SUMIF(CT_tram!$B$381:$G$471,$B337,CT_tram!$G$381:$G$471)</f>
        <v>0</v>
      </c>
      <c r="N337" s="775">
        <f ca="1">SUMIF(CT_tram!$B$478:$G$560,$B337,CT_tram!$G$478:$G$560)</f>
        <v>0</v>
      </c>
      <c r="O337" s="775">
        <f ca="1">SUMIF(CT_tram!$B$567:$G$653,$B337,CT_tram!$G$567:$G$653)</f>
        <v>0</v>
      </c>
      <c r="P337" s="775">
        <f ca="1">SUMIF(CT_tram!$B$661:$G$738,$B337,CT_tram!$G$661:$G$738)</f>
        <v>0</v>
      </c>
      <c r="Q337" s="775">
        <f ca="1">SUMIF(CT_tram!$B$745:$G$899,$B337,CT_tram!$G$745:$G$899)</f>
        <v>0</v>
      </c>
      <c r="R337" s="775">
        <f ca="1">SUMIF(CT_tram!$B$907:$G$995,$B337,CT_tram!$G$907:$G$995)</f>
        <v>0</v>
      </c>
      <c r="S337" s="775"/>
      <c r="T337" s="775">
        <f ca="1">SUMIF(CT_tram!$B$1004:$G$1097,B337,CT_tram!$G$1004:$G$1097)</f>
        <v>0</v>
      </c>
      <c r="U337" s="775"/>
      <c r="V337" s="775">
        <f ca="1">SUMIF(CT_tram!$B$1226:$G$1352,kl!B337,CT_tram!$G$1226:$G$1352)</f>
        <v>0</v>
      </c>
      <c r="W337" s="780">
        <f ca="1">SUMIF(CT_tram!$B$1105:$G$1219,kl!B337,CT_tram!$G$1105:$G$1219)</f>
        <v>0</v>
      </c>
      <c r="X337" s="775">
        <f ca="1">SUMIF(CT_tram!$B$1359:$G$1504,kl!B337,CT_tram!$G$1359:$G$1504)</f>
        <v>0</v>
      </c>
      <c r="Y337" s="775">
        <f ca="1">SUMIF(CT_tram!$B$1511:$G$1625,kl!B337,CT_tram!$G$1511:$G$1625)</f>
        <v>0</v>
      </c>
      <c r="Z337" s="775">
        <f ca="1">SUMIF(CT_tram!$B$1632:$G$2211,kl!B337,CT_tram!$G$1632:$G$2211)</f>
        <v>0</v>
      </c>
      <c r="AA337" s="775">
        <f ca="1">SUMIF(CT_tram!$B$2243:$G$2384,kl!B337,CT_tram!$G$2243:$G$2384)</f>
        <v>0</v>
      </c>
      <c r="AB337" s="775">
        <f ca="1">SUMIF(CT_tram!$B$2391:$G$2563,kl!B337,CT_tram!$G$2391:$G$2563)</f>
        <v>0</v>
      </c>
      <c r="AC337" s="775">
        <f ca="1">SUMIF(chitiet!$B$13:$N$2352,kl!$B337,chitiet!$I$13:$I$2352)</f>
        <v>0</v>
      </c>
      <c r="AD337" s="775">
        <f ca="1">SUMIF(chitiet!$B$13:$N$2352,kl!$B337,chitiet!$J$13:$J$2352)</f>
        <v>0</v>
      </c>
      <c r="AE337" s="775">
        <f ca="1">SUMIF(chitiet!$B$13:$N$2352,kl!$B337,chitiet!$K$13:$K$2352)</f>
        <v>2</v>
      </c>
      <c r="AF337" s="775">
        <f ca="1">SUMIF(chitiet!$B$13:$N$2352,kl!$B337,chitiet!$L$13:$L$2352)</f>
        <v>0</v>
      </c>
      <c r="AG337" s="775">
        <f ca="1">SUMIF(chitiet!$B$13:$N$2352,kl!$B337,chitiet!$M$13)</f>
        <v>0</v>
      </c>
      <c r="AH337" s="775">
        <f ca="1">SUMIF(chitiet!$B$13:$N$2352,kl!$B337,chitiet!$N$13:$N$2352)</f>
        <v>0</v>
      </c>
      <c r="AI337" s="775">
        <f ca="1">SUMIF(chitiet!$B$13:$N$2352,kl!$B337,chitiet!$O$13:$O$2352)</f>
        <v>0</v>
      </c>
      <c r="AJ337" s="775">
        <f ca="1">SUMIF('Cap ngam'!$B$631:$G$723,kl!$B337,'Cap ngam'!$G$631:$G$723)</f>
        <v>0</v>
      </c>
      <c r="AK337" s="775">
        <f ca="1">SUMIF('Cap ngam'!$B$403:$G$628,kl!$B337,'Cap ngam'!G$403:G$628)</f>
        <v>0</v>
      </c>
      <c r="AL337" s="775">
        <f ca="1">SUMIF('Cap ngam'!B$16:G$400,kl!$B337,'Cap ngam'!G$16:G$400)</f>
        <v>0</v>
      </c>
      <c r="AM337" s="776">
        <v>0.3</v>
      </c>
      <c r="AN337" s="775">
        <f t="shared" ca="1" si="181"/>
        <v>0</v>
      </c>
      <c r="AO337" s="775">
        <f t="shared" ca="1" si="182"/>
        <v>0</v>
      </c>
      <c r="AP337" s="775">
        <f t="shared" ca="1" si="183"/>
        <v>0</v>
      </c>
      <c r="AQ337" s="775">
        <f t="shared" ca="1" si="184"/>
        <v>0</v>
      </c>
      <c r="AR337" s="775">
        <f t="shared" ca="1" si="185"/>
        <v>0</v>
      </c>
      <c r="AS337" s="775">
        <f t="shared" ca="1" si="186"/>
        <v>0</v>
      </c>
      <c r="AT337" s="775">
        <f t="shared" ca="1" si="187"/>
        <v>0</v>
      </c>
      <c r="AU337" s="775">
        <f t="shared" ca="1" si="188"/>
        <v>0</v>
      </c>
      <c r="AV337" s="775">
        <f t="shared" ca="1" si="189"/>
        <v>0</v>
      </c>
      <c r="AW337" s="775">
        <f t="shared" ca="1" si="190"/>
        <v>0</v>
      </c>
      <c r="AX337" s="775">
        <f t="shared" si="191"/>
        <v>0</v>
      </c>
      <c r="AY337" s="775">
        <f t="shared" ca="1" si="192"/>
        <v>0</v>
      </c>
      <c r="AZ337" s="775">
        <f t="shared" si="193"/>
        <v>0</v>
      </c>
      <c r="BA337" s="775">
        <f t="shared" ca="1" si="172"/>
        <v>0</v>
      </c>
      <c r="BB337" s="775">
        <f t="shared" ca="1" si="173"/>
        <v>0</v>
      </c>
      <c r="BC337" s="775">
        <f t="shared" ca="1" si="174"/>
        <v>0</v>
      </c>
      <c r="BD337" s="775">
        <f t="shared" ca="1" si="175"/>
        <v>0</v>
      </c>
      <c r="BE337" s="775">
        <f t="shared" ca="1" si="176"/>
        <v>0</v>
      </c>
      <c r="BF337" s="775">
        <f t="shared" ca="1" si="177"/>
        <v>0</v>
      </c>
      <c r="BG337" s="775">
        <f t="shared" ca="1" si="178"/>
        <v>0</v>
      </c>
      <c r="BH337" s="775">
        <f t="shared" ca="1" si="194"/>
        <v>0</v>
      </c>
      <c r="BI337" s="775">
        <f t="shared" ca="1" si="195"/>
        <v>0</v>
      </c>
      <c r="BJ337" s="775">
        <f t="shared" ca="1" si="196"/>
        <v>0.6</v>
      </c>
      <c r="BK337" s="775">
        <f t="shared" ca="1" si="197"/>
        <v>0</v>
      </c>
      <c r="BL337" s="775">
        <f t="shared" ca="1" si="198"/>
        <v>0</v>
      </c>
      <c r="BM337" s="775">
        <f t="shared" ca="1" si="199"/>
        <v>0</v>
      </c>
      <c r="BN337" s="775">
        <f t="shared" ca="1" si="200"/>
        <v>0</v>
      </c>
      <c r="BO337" s="775">
        <f t="shared" ca="1" si="201"/>
        <v>0</v>
      </c>
      <c r="BP337" s="775">
        <f t="shared" ca="1" si="202"/>
        <v>0</v>
      </c>
      <c r="BQ337" s="775">
        <f t="shared" ca="1" si="170"/>
        <v>0</v>
      </c>
      <c r="BR337" s="775">
        <f t="shared" ca="1" si="203"/>
        <v>0</v>
      </c>
    </row>
    <row r="338" spans="1:70">
      <c r="A338" s="767" t="str">
        <f t="shared" ca="1" si="162"/>
        <v>X</v>
      </c>
      <c r="B338" s="767" t="s">
        <v>647</v>
      </c>
      <c r="C338" s="188">
        <f ca="1">IF(F338=0,"",COUNTIF($F$78:$F338,"&gt;0"))</f>
        <v>36</v>
      </c>
      <c r="D338" s="778" t="str">
        <f>VLOOKUP($B338,dongia1,DG!$C$5,)</f>
        <v xml:space="preserve">Sứ đứng 24KV </v>
      </c>
      <c r="E338" s="555" t="str">
        <f>VLOOKUP($B338,dongia1,DG!$D$5,)</f>
        <v>cái</v>
      </c>
      <c r="F338" s="975">
        <f ca="1">G338+H338</f>
        <v>17</v>
      </c>
      <c r="G338" s="976">
        <f t="shared" ca="1" si="217"/>
        <v>8</v>
      </c>
      <c r="H338" s="976">
        <f ca="1">SUMIF(CT_tram!$B$33:$G$3559,kl!B338,CT_tram!$G$33:$G$3559)</f>
        <v>9</v>
      </c>
      <c r="I338" s="775">
        <f ca="1">SUMIF(CT_tram!$B$34:$G$115,$B338,CT_tram!$G$34:$G$115)</f>
        <v>0</v>
      </c>
      <c r="J338" s="775">
        <f ca="1">SUMIF(CT_tram!$B$122:$G$204,$B338,CT_tram!$G$122:$G$204)</f>
        <v>0</v>
      </c>
      <c r="K338" s="775">
        <f ca="1">SUMIF(CT_tram!$B$211:$G$293,$B338,CT_tram!$G$211:$G$293)</f>
        <v>0</v>
      </c>
      <c r="L338" s="775">
        <f ca="1">SUMIF(CT_tram!$B$300:$G$374,$B338,CT_tram!$G$300:$G$374)</f>
        <v>0</v>
      </c>
      <c r="M338" s="775">
        <f ca="1">SUMIF(CT_tram!$B$381:$G$471,$B338,CT_tram!$G$381:$G$471)</f>
        <v>0</v>
      </c>
      <c r="N338" s="775">
        <f ca="1">SUMIF(CT_tram!$B$478:$G$560,$B338,CT_tram!$G$478:$G$560)</f>
        <v>0</v>
      </c>
      <c r="O338" s="775">
        <f ca="1">SUMIF(CT_tram!$B$567:$G$653,$B338,CT_tram!$G$567:$G$653)</f>
        <v>0</v>
      </c>
      <c r="P338" s="775">
        <f ca="1">SUMIF(CT_tram!$B$661:$G$738,$B338,CT_tram!$G$661:$G$738)</f>
        <v>0</v>
      </c>
      <c r="Q338" s="775">
        <f ca="1">SUMIF(CT_tram!$B$745:$G$899,$B338,CT_tram!$G$745:$G$899)</f>
        <v>0</v>
      </c>
      <c r="R338" s="775">
        <f ca="1">SUMIF(CT_tram!$B$907:$G$995,$B338,CT_tram!$G$907:$G$995)</f>
        <v>0</v>
      </c>
      <c r="S338" s="775"/>
      <c r="T338" s="775">
        <f ca="1">SUMIF(CT_tram!$B$1004:$G$1097,B338,CT_tram!$G$1004:$G$1097)</f>
        <v>0</v>
      </c>
      <c r="U338" s="775"/>
      <c r="V338" s="775">
        <f ca="1">SUMIF(CT_tram!$B$1226:$G$1352,kl!B338,CT_tram!$G$1226:$G$1352)</f>
        <v>0</v>
      </c>
      <c r="W338" s="780">
        <f ca="1">SUMIF(CT_tram!$B$1105:$G$1219,kl!B338,CT_tram!$G$1105:$G$1219)</f>
        <v>0</v>
      </c>
      <c r="X338" s="775">
        <f ca="1">SUMIF(CT_tram!$B$1359:$G$1504,kl!B338,CT_tram!$G$1359:$G$1504)</f>
        <v>0</v>
      </c>
      <c r="Y338" s="775">
        <f ca="1">SUMIF(CT_tram!$B$1511:$G$1625,kl!B338,CT_tram!$G$1511:$G$1625)</f>
        <v>0</v>
      </c>
      <c r="Z338" s="775">
        <f ca="1">SUMIF(CT_tram!$B$1632:$G$2211,kl!B338,CT_tram!$G$1632:$G$2211)</f>
        <v>0</v>
      </c>
      <c r="AA338" s="775">
        <f ca="1">SUMIF(CT_tram!$B$2243:$G$2384,kl!B338,CT_tram!$G$2243:$G$2384)</f>
        <v>0</v>
      </c>
      <c r="AB338" s="775">
        <f ca="1">SUMIF(CT_tram!$B$2391:$G$2563,kl!B338,CT_tram!$G$2391:$G$2563)</f>
        <v>0</v>
      </c>
      <c r="AC338" s="775">
        <f ca="1">SUMIF(chitiet!$B$13:$N$2352,kl!$B338,chitiet!$I$13:$I$2352)</f>
        <v>0</v>
      </c>
      <c r="AD338" s="775">
        <f ca="1">SUMIF(chitiet!$B$13:$N$2352,kl!$B338,chitiet!$J$13:$J$2352)</f>
        <v>0</v>
      </c>
      <c r="AE338" s="775">
        <f ca="1">SUMIF(chitiet!$B$13:$N$2352,kl!$B338,chitiet!$K$13:$K$2352)</f>
        <v>8</v>
      </c>
      <c r="AF338" s="775">
        <f ca="1">SUMIF(chitiet!$B$13:$N$2352,kl!$B338,chitiet!$L$13:$L$2352)</f>
        <v>0</v>
      </c>
      <c r="AG338" s="775">
        <f ca="1">SUMIF(chitiet!$B$13:$N$2352,kl!$B338,chitiet!$M$13)</f>
        <v>0</v>
      </c>
      <c r="AH338" s="775">
        <f ca="1">SUMIF(chitiet!$B$13:$N$2352,kl!$B338,chitiet!$N$13:$N$2352)</f>
        <v>0</v>
      </c>
      <c r="AI338" s="775">
        <f ca="1">SUMIF(chitiet!$B$13:$N$2352,kl!$B338,chitiet!$O$13:$O$2352)</f>
        <v>0</v>
      </c>
      <c r="AJ338" s="775">
        <f ca="1">SUMIF('Cap ngam'!$B$631:$G$723,kl!$B338,'Cap ngam'!$G$631:$G$723)</f>
        <v>0</v>
      </c>
      <c r="AK338" s="775">
        <f ca="1">SUMIF('Cap ngam'!$B$403:$G$628,kl!$B338,'Cap ngam'!G$403:G$628)</f>
        <v>0</v>
      </c>
      <c r="AL338" s="775">
        <f ca="1">SUMIF('Cap ngam'!B$16:G$400,kl!$B338,'Cap ngam'!G$16:G$400)</f>
        <v>0</v>
      </c>
      <c r="AM338" s="776">
        <v>4</v>
      </c>
      <c r="AN338" s="775">
        <f t="shared" ca="1" si="181"/>
        <v>0</v>
      </c>
      <c r="AO338" s="775">
        <f t="shared" ca="1" si="182"/>
        <v>0</v>
      </c>
      <c r="AP338" s="775">
        <f t="shared" ca="1" si="183"/>
        <v>0</v>
      </c>
      <c r="AQ338" s="775">
        <f t="shared" ca="1" si="184"/>
        <v>0</v>
      </c>
      <c r="AR338" s="775">
        <f t="shared" ca="1" si="185"/>
        <v>0</v>
      </c>
      <c r="AS338" s="775">
        <f t="shared" ca="1" si="186"/>
        <v>0</v>
      </c>
      <c r="AT338" s="775">
        <f t="shared" ca="1" si="187"/>
        <v>0</v>
      </c>
      <c r="AU338" s="775">
        <f t="shared" ca="1" si="188"/>
        <v>0</v>
      </c>
      <c r="AV338" s="775">
        <f t="shared" ca="1" si="189"/>
        <v>0</v>
      </c>
      <c r="AW338" s="775">
        <f t="shared" ca="1" si="190"/>
        <v>0</v>
      </c>
      <c r="AX338" s="775">
        <f t="shared" si="191"/>
        <v>0</v>
      </c>
      <c r="AY338" s="775">
        <f t="shared" ca="1" si="192"/>
        <v>0</v>
      </c>
      <c r="AZ338" s="775">
        <f t="shared" si="193"/>
        <v>0</v>
      </c>
      <c r="BA338" s="775">
        <f t="shared" ca="1" si="172"/>
        <v>0</v>
      </c>
      <c r="BB338" s="775">
        <f t="shared" ca="1" si="173"/>
        <v>0</v>
      </c>
      <c r="BC338" s="775">
        <f t="shared" ca="1" si="174"/>
        <v>0</v>
      </c>
      <c r="BD338" s="775">
        <f t="shared" ca="1" si="175"/>
        <v>0</v>
      </c>
      <c r="BE338" s="775">
        <f t="shared" ca="1" si="176"/>
        <v>0</v>
      </c>
      <c r="BF338" s="775">
        <f t="shared" ca="1" si="177"/>
        <v>0</v>
      </c>
      <c r="BG338" s="775">
        <f t="shared" ca="1" si="178"/>
        <v>0</v>
      </c>
      <c r="BH338" s="775">
        <f t="shared" ca="1" si="194"/>
        <v>0</v>
      </c>
      <c r="BI338" s="775">
        <f t="shared" ca="1" si="195"/>
        <v>0</v>
      </c>
      <c r="BJ338" s="775">
        <f t="shared" ca="1" si="196"/>
        <v>32</v>
      </c>
      <c r="BK338" s="775">
        <f t="shared" ca="1" si="197"/>
        <v>0</v>
      </c>
      <c r="BL338" s="775">
        <f t="shared" ca="1" si="198"/>
        <v>0</v>
      </c>
      <c r="BM338" s="775">
        <f t="shared" ca="1" si="199"/>
        <v>0</v>
      </c>
      <c r="BN338" s="775">
        <f t="shared" ca="1" si="200"/>
        <v>0</v>
      </c>
      <c r="BO338" s="775">
        <f t="shared" ca="1" si="201"/>
        <v>0</v>
      </c>
      <c r="BP338" s="775">
        <f t="shared" ca="1" si="202"/>
        <v>0</v>
      </c>
      <c r="BQ338" s="775">
        <f t="shared" ca="1" si="170"/>
        <v>0</v>
      </c>
      <c r="BR338" s="775">
        <f t="shared" ca="1" si="203"/>
        <v>36</v>
      </c>
    </row>
    <row r="339" spans="1:70">
      <c r="A339" s="767" t="str">
        <f t="shared" ca="1" si="162"/>
        <v>X</v>
      </c>
      <c r="B339" s="767" t="s">
        <v>1006</v>
      </c>
      <c r="C339" s="188">
        <f ca="1">IF(F339=0,"",COUNTIF($F$78:$F339,"&gt;0"))</f>
        <v>37</v>
      </c>
      <c r="D339" s="778" t="str">
        <f>VLOOKUP($B339,dongia1,DG!$C$5,)</f>
        <v>Chân sứ đứng D20</v>
      </c>
      <c r="E339" s="555" t="str">
        <f>VLOOKUP($B339,dongia1,DG!$D$5,)</f>
        <v>cái</v>
      </c>
      <c r="F339" s="975">
        <f t="shared" ref="F339:F348" ca="1" si="218">G339+H339</f>
        <v>17</v>
      </c>
      <c r="G339" s="976">
        <f t="shared" ca="1" si="217"/>
        <v>8</v>
      </c>
      <c r="H339" s="976">
        <f ca="1">SUMIF(CT_tram!$B$33:$G$3559,kl!B339,CT_tram!$G$33:$G$3559)</f>
        <v>9</v>
      </c>
      <c r="I339" s="775">
        <f ca="1">SUMIF(CT_tram!$B$34:$G$115,$B339,CT_tram!$G$34:$G$115)</f>
        <v>0</v>
      </c>
      <c r="J339" s="775">
        <f ca="1">SUMIF(CT_tram!$B$122:$G$204,$B339,CT_tram!$G$122:$G$204)</f>
        <v>0</v>
      </c>
      <c r="K339" s="775">
        <f ca="1">SUMIF(CT_tram!$B$211:$G$293,$B339,CT_tram!$G$211:$G$293)</f>
        <v>0</v>
      </c>
      <c r="L339" s="775">
        <f ca="1">SUMIF(CT_tram!$B$300:$G$374,$B339,CT_tram!$G$300:$G$374)</f>
        <v>0</v>
      </c>
      <c r="M339" s="775">
        <f ca="1">SUMIF(CT_tram!$B$381:$G$471,$B339,CT_tram!$G$381:$G$471)</f>
        <v>0</v>
      </c>
      <c r="N339" s="775">
        <f ca="1">SUMIF(CT_tram!$B$478:$G$560,$B339,CT_tram!$G$478:$G$560)</f>
        <v>0</v>
      </c>
      <c r="O339" s="775">
        <f ca="1">SUMIF(CT_tram!$B$567:$G$653,$B339,CT_tram!$G$567:$G$653)</f>
        <v>0</v>
      </c>
      <c r="P339" s="775">
        <f ca="1">SUMIF(CT_tram!$B$661:$G$738,$B339,CT_tram!$G$661:$G$738)</f>
        <v>0</v>
      </c>
      <c r="Q339" s="775">
        <f ca="1">SUMIF(CT_tram!$B$745:$G$899,$B339,CT_tram!$G$745:$G$899)</f>
        <v>0</v>
      </c>
      <c r="R339" s="775">
        <f ca="1">SUMIF(CT_tram!$B$907:$G$995,$B339,CT_tram!$G$907:$G$995)</f>
        <v>0</v>
      </c>
      <c r="S339" s="775"/>
      <c r="T339" s="775">
        <f ca="1">SUMIF(CT_tram!$B$1004:$G$1097,B339,CT_tram!$G$1004:$G$1097)</f>
        <v>0</v>
      </c>
      <c r="U339" s="775"/>
      <c r="V339" s="775">
        <f ca="1">SUMIF(CT_tram!$B$1226:$G$1352,kl!B339,CT_tram!$G$1226:$G$1352)</f>
        <v>0</v>
      </c>
      <c r="W339" s="780">
        <f ca="1">SUMIF(CT_tram!$B$1105:$G$1219,kl!B339,CT_tram!$G$1105:$G$1219)</f>
        <v>0</v>
      </c>
      <c r="X339" s="775">
        <f ca="1">SUMIF(CT_tram!$B$1359:$G$1504,kl!B339,CT_tram!$G$1359:$G$1504)</f>
        <v>0</v>
      </c>
      <c r="Y339" s="775">
        <f ca="1">SUMIF(CT_tram!$B$1511:$G$1625,kl!B339,CT_tram!$G$1511:$G$1625)</f>
        <v>0</v>
      </c>
      <c r="Z339" s="775">
        <f ca="1">SUMIF(CT_tram!$B$1632:$G$2211,kl!B339,CT_tram!$G$1632:$G$2211)</f>
        <v>0</v>
      </c>
      <c r="AA339" s="775">
        <f ca="1">SUMIF(CT_tram!$B$2243:$G$2384,kl!B339,CT_tram!$G$2243:$G$2384)</f>
        <v>0</v>
      </c>
      <c r="AB339" s="775">
        <f ca="1">SUMIF(CT_tram!$B$2391:$G$2563,kl!B339,CT_tram!$G$2391:$G$2563)</f>
        <v>0</v>
      </c>
      <c r="AC339" s="775">
        <f ca="1">SUMIF(chitiet!$B$13:$N$2352,kl!$B339,chitiet!$I$13:$I$2352)</f>
        <v>0</v>
      </c>
      <c r="AD339" s="775">
        <f ca="1">SUMIF(chitiet!$B$13:$N$2352,kl!$B339,chitiet!$J$13:$J$2352)</f>
        <v>0</v>
      </c>
      <c r="AE339" s="775">
        <f ca="1">SUMIF(chitiet!$B$13:$N$2352,kl!$B339,chitiet!$K$13:$K$2352)</f>
        <v>8</v>
      </c>
      <c r="AF339" s="775">
        <f ca="1">SUMIF(chitiet!$B$13:$N$2352,kl!$B339,chitiet!$L$13:$L$2352)</f>
        <v>0</v>
      </c>
      <c r="AG339" s="775">
        <f ca="1">SUMIF(chitiet!$B$13:$N$2352,kl!$B339,chitiet!$M$13)</f>
        <v>0</v>
      </c>
      <c r="AH339" s="775">
        <f ca="1">SUMIF(chitiet!$B$13:$N$2352,kl!$B339,chitiet!$N$13:$N$2352)</f>
        <v>0</v>
      </c>
      <c r="AI339" s="775">
        <f ca="1">SUMIF(chitiet!$B$13:$N$2352,kl!$B339,chitiet!$O$13:$O$2352)</f>
        <v>0</v>
      </c>
      <c r="AJ339" s="775">
        <f ca="1">SUMIF('Cap ngam'!$B$631:$G$723,kl!$B339,'Cap ngam'!$G$631:$G$723)</f>
        <v>0</v>
      </c>
      <c r="AK339" s="775">
        <f ca="1">SUMIF('Cap ngam'!$B$403:$G$628,kl!$B339,'Cap ngam'!G$403:G$628)</f>
        <v>0</v>
      </c>
      <c r="AL339" s="775">
        <f ca="1">SUMIF('Cap ngam'!B$16:G$400,kl!$B339,'Cap ngam'!G$16:G$400)</f>
        <v>0</v>
      </c>
      <c r="AM339" s="776">
        <v>3</v>
      </c>
      <c r="AN339" s="775">
        <f t="shared" ca="1" si="181"/>
        <v>0</v>
      </c>
      <c r="AO339" s="775">
        <f t="shared" ca="1" si="182"/>
        <v>0</v>
      </c>
      <c r="AP339" s="775">
        <f t="shared" ca="1" si="183"/>
        <v>0</v>
      </c>
      <c r="AQ339" s="775">
        <f t="shared" ca="1" si="184"/>
        <v>0</v>
      </c>
      <c r="AR339" s="775">
        <f t="shared" ca="1" si="185"/>
        <v>0</v>
      </c>
      <c r="AS339" s="775">
        <f t="shared" ca="1" si="186"/>
        <v>0</v>
      </c>
      <c r="AT339" s="775">
        <f t="shared" ca="1" si="187"/>
        <v>0</v>
      </c>
      <c r="AU339" s="775">
        <f t="shared" ca="1" si="188"/>
        <v>0</v>
      </c>
      <c r="AV339" s="775">
        <f t="shared" ca="1" si="189"/>
        <v>0</v>
      </c>
      <c r="AW339" s="775">
        <f t="shared" ca="1" si="190"/>
        <v>0</v>
      </c>
      <c r="AX339" s="775">
        <f t="shared" si="191"/>
        <v>0</v>
      </c>
      <c r="AY339" s="775">
        <f t="shared" ca="1" si="192"/>
        <v>0</v>
      </c>
      <c r="AZ339" s="775">
        <f t="shared" si="193"/>
        <v>0</v>
      </c>
      <c r="BA339" s="775">
        <f t="shared" ca="1" si="172"/>
        <v>0</v>
      </c>
      <c r="BB339" s="775">
        <f t="shared" ca="1" si="173"/>
        <v>0</v>
      </c>
      <c r="BC339" s="775">
        <f t="shared" ca="1" si="174"/>
        <v>0</v>
      </c>
      <c r="BD339" s="775">
        <f t="shared" ca="1" si="175"/>
        <v>0</v>
      </c>
      <c r="BE339" s="775">
        <f t="shared" ca="1" si="176"/>
        <v>0</v>
      </c>
      <c r="BF339" s="775">
        <f t="shared" ca="1" si="177"/>
        <v>0</v>
      </c>
      <c r="BG339" s="775">
        <f t="shared" ca="1" si="178"/>
        <v>0</v>
      </c>
      <c r="BH339" s="775">
        <f t="shared" ca="1" si="194"/>
        <v>0</v>
      </c>
      <c r="BI339" s="775">
        <f t="shared" ca="1" si="195"/>
        <v>0</v>
      </c>
      <c r="BJ339" s="775">
        <f t="shared" ca="1" si="196"/>
        <v>24</v>
      </c>
      <c r="BK339" s="775">
        <f t="shared" ca="1" si="197"/>
        <v>0</v>
      </c>
      <c r="BL339" s="775">
        <f t="shared" ca="1" si="198"/>
        <v>0</v>
      </c>
      <c r="BM339" s="775">
        <f t="shared" ca="1" si="199"/>
        <v>0</v>
      </c>
      <c r="BN339" s="775">
        <f t="shared" ca="1" si="200"/>
        <v>0</v>
      </c>
      <c r="BO339" s="775">
        <f t="shared" ca="1" si="201"/>
        <v>0</v>
      </c>
      <c r="BP339" s="775">
        <f t="shared" ca="1" si="202"/>
        <v>0</v>
      </c>
      <c r="BQ339" s="775">
        <f t="shared" ca="1" si="170"/>
        <v>0</v>
      </c>
      <c r="BR339" s="775">
        <f t="shared" ca="1" si="203"/>
        <v>27</v>
      </c>
    </row>
    <row r="340" spans="1:70">
      <c r="A340" s="767" t="str">
        <f t="shared" ref="A340:A384" ca="1" si="219">IF(F340&lt;&gt;0,"X","")</f>
        <v/>
      </c>
      <c r="B340" s="767" t="s">
        <v>1007</v>
      </c>
      <c r="C340" s="188" t="str">
        <f ca="1">IF(F340=0,"",COUNTIF($F$78:$F340,"&gt;0"))</f>
        <v/>
      </c>
      <c r="D340" s="778" t="str">
        <f>VLOOKUP($B340,dongia1,DG!$C$5,)</f>
        <v>Chân sứ đỉnh thẳng dài 870mm</v>
      </c>
      <c r="E340" s="555" t="str">
        <f>VLOOKUP($B340,dongia1,DG!$D$5,)</f>
        <v>cái</v>
      </c>
      <c r="F340" s="975">
        <f t="shared" ca="1" si="218"/>
        <v>0</v>
      </c>
      <c r="G340" s="976">
        <f t="shared" ca="1" si="217"/>
        <v>0</v>
      </c>
      <c r="H340" s="976">
        <f ca="1">SUMIF(CT_tram!$B$33:$G$3559,kl!B340,CT_tram!$G$33:$G$3559)</f>
        <v>0</v>
      </c>
      <c r="I340" s="775">
        <f ca="1">SUMIF(CT_tram!$B$34:$G$115,$B340,CT_tram!$G$34:$G$115)</f>
        <v>0</v>
      </c>
      <c r="J340" s="775">
        <f ca="1">SUMIF(CT_tram!$B$122:$G$204,$B340,CT_tram!$G$122:$G$204)</f>
        <v>0</v>
      </c>
      <c r="K340" s="775">
        <f ca="1">SUMIF(CT_tram!$B$211:$G$293,$B340,CT_tram!$G$211:$G$293)</f>
        <v>0</v>
      </c>
      <c r="L340" s="775">
        <f ca="1">SUMIF(CT_tram!$B$300:$G$374,$B340,CT_tram!$G$300:$G$374)</f>
        <v>0</v>
      </c>
      <c r="M340" s="775">
        <f ca="1">SUMIF(CT_tram!$B$381:$G$471,$B340,CT_tram!$G$381:$G$471)</f>
        <v>0</v>
      </c>
      <c r="N340" s="775">
        <f ca="1">SUMIF(CT_tram!$B$478:$G$560,$B340,CT_tram!$G$478:$G$560)</f>
        <v>0</v>
      </c>
      <c r="O340" s="775">
        <f ca="1">SUMIF(CT_tram!$B$567:$G$653,$B340,CT_tram!$G$567:$G$653)</f>
        <v>0</v>
      </c>
      <c r="P340" s="775">
        <f ca="1">SUMIF(CT_tram!$B$661:$G$738,$B340,CT_tram!$G$661:$G$738)</f>
        <v>0</v>
      </c>
      <c r="Q340" s="775">
        <f ca="1">SUMIF(CT_tram!$B$745:$G$899,$B340,CT_tram!$G$745:$G$899)</f>
        <v>0</v>
      </c>
      <c r="R340" s="775">
        <f ca="1">SUMIF(CT_tram!$B$907:$G$995,$B340,CT_tram!$G$907:$G$995)</f>
        <v>0</v>
      </c>
      <c r="S340" s="775"/>
      <c r="T340" s="775">
        <f ca="1">SUMIF(CT_tram!$B$1004:$G$1097,B340,CT_tram!$G$1004:$G$1097)</f>
        <v>0</v>
      </c>
      <c r="U340" s="775"/>
      <c r="V340" s="775">
        <f ca="1">SUMIF(CT_tram!$B$1226:$G$1352,kl!B340,CT_tram!$G$1226:$G$1352)</f>
        <v>0</v>
      </c>
      <c r="W340" s="780">
        <f ca="1">SUMIF(CT_tram!$B$1105:$G$1219,kl!B340,CT_tram!$G$1105:$G$1219)</f>
        <v>0</v>
      </c>
      <c r="X340" s="775">
        <f ca="1">SUMIF(CT_tram!$B$1359:$G$1504,kl!B340,CT_tram!$G$1359:$G$1504)</f>
        <v>0</v>
      </c>
      <c r="Y340" s="775">
        <f ca="1">SUMIF(CT_tram!$B$1511:$G$1625,kl!B340,CT_tram!$G$1511:$G$1625)</f>
        <v>0</v>
      </c>
      <c r="Z340" s="775">
        <f ca="1">SUMIF(CT_tram!$B$1632:$G$2211,kl!B340,CT_tram!$G$1632:$G$2211)</f>
        <v>0</v>
      </c>
      <c r="AA340" s="775">
        <f ca="1">SUMIF(CT_tram!$B$2243:$G$2384,kl!B340,CT_tram!$G$2243:$G$2384)</f>
        <v>0</v>
      </c>
      <c r="AB340" s="775">
        <f ca="1">SUMIF(CT_tram!$B$2391:$G$2563,kl!B340,CT_tram!$G$2391:$G$2563)</f>
        <v>0</v>
      </c>
      <c r="AC340" s="775">
        <f ca="1">SUMIF(chitiet!$B$13:$N$2352,kl!$B340,chitiet!$I$13:$I$2352)</f>
        <v>0</v>
      </c>
      <c r="AD340" s="775">
        <f ca="1">SUMIF(chitiet!$B$13:$N$2352,kl!$B340,chitiet!$J$13:$J$2352)</f>
        <v>0</v>
      </c>
      <c r="AE340" s="775">
        <f ca="1">SUMIF(chitiet!$B$13:$N$2352,kl!$B340,chitiet!$K$13:$K$2352)</f>
        <v>0</v>
      </c>
      <c r="AF340" s="775">
        <f ca="1">SUMIF(chitiet!$B$13:$N$2352,kl!$B340,chitiet!$L$13:$L$2352)</f>
        <v>0</v>
      </c>
      <c r="AG340" s="775">
        <f ca="1">SUMIF(chitiet!$B$13:$N$2352,kl!$B340,chitiet!$M$13)</f>
        <v>0</v>
      </c>
      <c r="AH340" s="775">
        <f ca="1">SUMIF(chitiet!$B$13:$N$2352,kl!$B340,chitiet!$N$13:$N$2352)</f>
        <v>0</v>
      </c>
      <c r="AI340" s="775">
        <f ca="1">SUMIF(chitiet!$B$13:$N$2352,kl!$B340,chitiet!$O$13:$O$2352)</f>
        <v>0</v>
      </c>
      <c r="AJ340" s="775">
        <f ca="1">SUMIF('Cap ngam'!$B$631:$G$723,kl!$B340,'Cap ngam'!$G$631:$G$723)</f>
        <v>0</v>
      </c>
      <c r="AK340" s="775">
        <f ca="1">SUMIF('Cap ngam'!$B$403:$G$628,kl!$B340,'Cap ngam'!G$403:G$628)</f>
        <v>0</v>
      </c>
      <c r="AL340" s="775">
        <f ca="1">SUMIF('Cap ngam'!B$16:G$400,kl!$B340,'Cap ngam'!G$16:G$400)</f>
        <v>0</v>
      </c>
      <c r="AM340" s="776">
        <v>5</v>
      </c>
      <c r="AN340" s="775">
        <f t="shared" ca="1" si="181"/>
        <v>0</v>
      </c>
      <c r="AO340" s="775">
        <f t="shared" ca="1" si="182"/>
        <v>0</v>
      </c>
      <c r="AP340" s="775">
        <f t="shared" ca="1" si="183"/>
        <v>0</v>
      </c>
      <c r="AQ340" s="775">
        <f t="shared" ca="1" si="184"/>
        <v>0</v>
      </c>
      <c r="AR340" s="775">
        <f t="shared" ca="1" si="185"/>
        <v>0</v>
      </c>
      <c r="AS340" s="775">
        <f t="shared" ca="1" si="186"/>
        <v>0</v>
      </c>
      <c r="AT340" s="775">
        <f t="shared" ca="1" si="187"/>
        <v>0</v>
      </c>
      <c r="AU340" s="775">
        <f t="shared" ca="1" si="188"/>
        <v>0</v>
      </c>
      <c r="AV340" s="775">
        <f t="shared" ca="1" si="189"/>
        <v>0</v>
      </c>
      <c r="AW340" s="775">
        <f t="shared" ca="1" si="190"/>
        <v>0</v>
      </c>
      <c r="AX340" s="775">
        <f t="shared" si="191"/>
        <v>0</v>
      </c>
      <c r="AY340" s="775">
        <f t="shared" ca="1" si="192"/>
        <v>0</v>
      </c>
      <c r="AZ340" s="775">
        <f t="shared" si="193"/>
        <v>0</v>
      </c>
      <c r="BA340" s="775">
        <f t="shared" ca="1" si="172"/>
        <v>0</v>
      </c>
      <c r="BB340" s="775">
        <f t="shared" ca="1" si="173"/>
        <v>0</v>
      </c>
      <c r="BC340" s="775">
        <f t="shared" ca="1" si="174"/>
        <v>0</v>
      </c>
      <c r="BD340" s="775">
        <f t="shared" ca="1" si="175"/>
        <v>0</v>
      </c>
      <c r="BE340" s="775">
        <f t="shared" ca="1" si="176"/>
        <v>0</v>
      </c>
      <c r="BF340" s="775">
        <f t="shared" ca="1" si="177"/>
        <v>0</v>
      </c>
      <c r="BG340" s="775">
        <f t="shared" ca="1" si="178"/>
        <v>0</v>
      </c>
      <c r="BH340" s="775">
        <f t="shared" ca="1" si="194"/>
        <v>0</v>
      </c>
      <c r="BI340" s="775">
        <f t="shared" ca="1" si="195"/>
        <v>0</v>
      </c>
      <c r="BJ340" s="775">
        <f t="shared" ca="1" si="196"/>
        <v>0</v>
      </c>
      <c r="BK340" s="775">
        <f t="shared" ca="1" si="197"/>
        <v>0</v>
      </c>
      <c r="BL340" s="775">
        <f t="shared" ca="1" si="198"/>
        <v>0</v>
      </c>
      <c r="BM340" s="775">
        <f t="shared" ca="1" si="199"/>
        <v>0</v>
      </c>
      <c r="BN340" s="775">
        <f t="shared" ca="1" si="200"/>
        <v>0</v>
      </c>
      <c r="BO340" s="775">
        <f t="shared" ca="1" si="201"/>
        <v>0</v>
      </c>
      <c r="BP340" s="775">
        <f t="shared" ca="1" si="202"/>
        <v>0</v>
      </c>
      <c r="BQ340" s="775">
        <f t="shared" ca="1" si="170"/>
        <v>0</v>
      </c>
      <c r="BR340" s="775">
        <f t="shared" ca="1" si="203"/>
        <v>0</v>
      </c>
    </row>
    <row r="341" spans="1:70">
      <c r="A341" s="767" t="str">
        <f t="shared" ca="1" si="219"/>
        <v/>
      </c>
      <c r="B341" s="767" t="s">
        <v>1968</v>
      </c>
      <c r="C341" s="188" t="str">
        <f ca="1">IF(F341=0,"",COUNTIF($F$78:$F341,"&gt;0"))</f>
        <v/>
      </c>
      <c r="D341" s="778" t="str">
        <f>VLOOKUP($B341,dongia1,DG!$C$5,)</f>
        <v>Chân sứ đỉnh đỡ góc dài 870mm</v>
      </c>
      <c r="E341" s="555" t="str">
        <f>VLOOKUP($B341,dongia1,DG!$D$5,)</f>
        <v>cái</v>
      </c>
      <c r="F341" s="975">
        <f t="shared" ca="1" si="218"/>
        <v>0</v>
      </c>
      <c r="G341" s="976">
        <f t="shared" ca="1" si="217"/>
        <v>0</v>
      </c>
      <c r="H341" s="976">
        <f ca="1">SUMIF(CT_tram!$B$33:$G$3559,kl!B341,CT_tram!$G$33:$G$3559)</f>
        <v>0</v>
      </c>
      <c r="I341" s="775">
        <f ca="1">SUMIF(CT_tram!$B$34:$G$115,$B341,CT_tram!$G$34:$G$115)</f>
        <v>0</v>
      </c>
      <c r="J341" s="775">
        <f ca="1">SUMIF(CT_tram!$B$122:$G$204,$B341,CT_tram!$G$122:$G$204)</f>
        <v>0</v>
      </c>
      <c r="K341" s="775">
        <f ca="1">SUMIF(CT_tram!$B$211:$G$293,$B341,CT_tram!$G$211:$G$293)</f>
        <v>0</v>
      </c>
      <c r="L341" s="775">
        <f ca="1">SUMIF(CT_tram!$B$300:$G$374,$B341,CT_tram!$G$300:$G$374)</f>
        <v>0</v>
      </c>
      <c r="M341" s="775">
        <f ca="1">SUMIF(CT_tram!$B$381:$G$471,$B341,CT_tram!$G$381:$G$471)</f>
        <v>0</v>
      </c>
      <c r="N341" s="775">
        <f ca="1">SUMIF(CT_tram!$B$478:$G$560,$B341,CT_tram!$G$478:$G$560)</f>
        <v>0</v>
      </c>
      <c r="O341" s="775">
        <f ca="1">SUMIF(CT_tram!$B$567:$G$653,$B341,CT_tram!$G$567:$G$653)</f>
        <v>0</v>
      </c>
      <c r="P341" s="775">
        <f ca="1">SUMIF(CT_tram!$B$661:$G$738,$B341,CT_tram!$G$661:$G$738)</f>
        <v>0</v>
      </c>
      <c r="Q341" s="775">
        <f ca="1">SUMIF(CT_tram!$B$745:$G$899,$B341,CT_tram!$G$745:$G$899)</f>
        <v>0</v>
      </c>
      <c r="R341" s="775">
        <f ca="1">SUMIF(CT_tram!$B$907:$G$995,$B341,CT_tram!$G$907:$G$995)</f>
        <v>0</v>
      </c>
      <c r="S341" s="775"/>
      <c r="T341" s="775">
        <f ca="1">SUMIF(CT_tram!$B$1004:$G$1097,B341,CT_tram!$G$1004:$G$1097)</f>
        <v>0</v>
      </c>
      <c r="U341" s="775"/>
      <c r="V341" s="775">
        <f ca="1">SUMIF(CT_tram!$B$1226:$G$1352,kl!B341,CT_tram!$G$1226:$G$1352)</f>
        <v>0</v>
      </c>
      <c r="W341" s="780">
        <f ca="1">SUMIF(CT_tram!$B$1105:$G$1219,kl!B341,CT_tram!$G$1105:$G$1219)</f>
        <v>0</v>
      </c>
      <c r="X341" s="775">
        <f ca="1">SUMIF(CT_tram!$B$1359:$G$1504,kl!B341,CT_tram!$G$1359:$G$1504)</f>
        <v>0</v>
      </c>
      <c r="Y341" s="775">
        <f ca="1">SUMIF(CT_tram!$B$1511:$G$1625,kl!B341,CT_tram!$G$1511:$G$1625)</f>
        <v>0</v>
      </c>
      <c r="Z341" s="775">
        <f ca="1">SUMIF(CT_tram!$B$1632:$G$2211,kl!B341,CT_tram!$G$1632:$G$2211)</f>
        <v>0</v>
      </c>
      <c r="AA341" s="775">
        <f ca="1">SUMIF(CT_tram!$B$2243:$G$2384,kl!B341,CT_tram!$G$2243:$G$2384)</f>
        <v>0</v>
      </c>
      <c r="AB341" s="775">
        <f ca="1">SUMIF(CT_tram!$B$2391:$G$2563,kl!B341,CT_tram!$G$2391:$G$2563)</f>
        <v>0</v>
      </c>
      <c r="AC341" s="775">
        <f ca="1">SUMIF(chitiet!$B$13:$N$2352,kl!$B341,chitiet!$I$13:$I$2352)</f>
        <v>0</v>
      </c>
      <c r="AD341" s="775">
        <f ca="1">SUMIF(chitiet!$B$13:$N$2352,kl!$B341,chitiet!$J$13:$J$2352)</f>
        <v>0</v>
      </c>
      <c r="AE341" s="775">
        <f ca="1">SUMIF(chitiet!$B$13:$N$2352,kl!$B341,chitiet!$K$13:$K$2352)</f>
        <v>0</v>
      </c>
      <c r="AF341" s="775">
        <f ca="1">SUMIF(chitiet!$B$13:$N$2352,kl!$B341,chitiet!$L$13:$L$2352)</f>
        <v>0</v>
      </c>
      <c r="AG341" s="775">
        <f ca="1">SUMIF(chitiet!$B$13:$N$2352,kl!$B341,chitiet!$M$13)</f>
        <v>0</v>
      </c>
      <c r="AH341" s="775">
        <f ca="1">SUMIF(chitiet!$B$13:$N$2352,kl!$B341,chitiet!$N$13:$N$2352)</f>
        <v>0</v>
      </c>
      <c r="AI341" s="775">
        <f ca="1">SUMIF(chitiet!$B$13:$N$2352,kl!$B341,chitiet!$O$13:$O$2352)</f>
        <v>0</v>
      </c>
      <c r="AJ341" s="775">
        <f ca="1">SUMIF('Cap ngam'!$B$631:$G$723,kl!$B341,'Cap ngam'!$G$631:$G$723)</f>
        <v>0</v>
      </c>
      <c r="AK341" s="775">
        <f ca="1">SUMIF('Cap ngam'!$B$403:$G$628,kl!$B341,'Cap ngam'!G$403:G$628)</f>
        <v>0</v>
      </c>
      <c r="AL341" s="775">
        <f ca="1">SUMIF('Cap ngam'!B$16:G$400,kl!$B341,'Cap ngam'!G$16:G$400)</f>
        <v>0</v>
      </c>
      <c r="AM341" s="776">
        <v>5</v>
      </c>
      <c r="AN341" s="775">
        <f t="shared" ca="1" si="181"/>
        <v>0</v>
      </c>
      <c r="AO341" s="775">
        <f t="shared" ca="1" si="182"/>
        <v>0</v>
      </c>
      <c r="AP341" s="775">
        <f t="shared" ca="1" si="183"/>
        <v>0</v>
      </c>
      <c r="AQ341" s="775">
        <f t="shared" ca="1" si="184"/>
        <v>0</v>
      </c>
      <c r="AR341" s="775">
        <f t="shared" ca="1" si="185"/>
        <v>0</v>
      </c>
      <c r="AS341" s="775">
        <f t="shared" ca="1" si="186"/>
        <v>0</v>
      </c>
      <c r="AT341" s="775">
        <f t="shared" ca="1" si="187"/>
        <v>0</v>
      </c>
      <c r="AU341" s="775">
        <f t="shared" ca="1" si="188"/>
        <v>0</v>
      </c>
      <c r="AV341" s="775">
        <f t="shared" ca="1" si="189"/>
        <v>0</v>
      </c>
      <c r="AW341" s="775">
        <f t="shared" ca="1" si="190"/>
        <v>0</v>
      </c>
      <c r="AX341" s="775">
        <f t="shared" si="191"/>
        <v>0</v>
      </c>
      <c r="AY341" s="775">
        <f t="shared" ca="1" si="192"/>
        <v>0</v>
      </c>
      <c r="AZ341" s="775">
        <f t="shared" si="193"/>
        <v>0</v>
      </c>
      <c r="BA341" s="775">
        <f t="shared" ca="1" si="172"/>
        <v>0</v>
      </c>
      <c r="BB341" s="775">
        <f t="shared" ca="1" si="173"/>
        <v>0</v>
      </c>
      <c r="BC341" s="775">
        <f t="shared" ca="1" si="174"/>
        <v>0</v>
      </c>
      <c r="BD341" s="775">
        <f t="shared" ca="1" si="175"/>
        <v>0</v>
      </c>
      <c r="BE341" s="775">
        <f t="shared" ca="1" si="176"/>
        <v>0</v>
      </c>
      <c r="BF341" s="775">
        <f t="shared" ca="1" si="177"/>
        <v>0</v>
      </c>
      <c r="BG341" s="775">
        <f t="shared" ca="1" si="178"/>
        <v>0</v>
      </c>
      <c r="BH341" s="775">
        <f t="shared" ca="1" si="194"/>
        <v>0</v>
      </c>
      <c r="BI341" s="775">
        <f t="shared" ca="1" si="195"/>
        <v>0</v>
      </c>
      <c r="BJ341" s="775">
        <f t="shared" ca="1" si="196"/>
        <v>0</v>
      </c>
      <c r="BK341" s="775">
        <f t="shared" ca="1" si="197"/>
        <v>0</v>
      </c>
      <c r="BL341" s="775">
        <f t="shared" ca="1" si="198"/>
        <v>0</v>
      </c>
      <c r="BM341" s="775">
        <f t="shared" ca="1" si="199"/>
        <v>0</v>
      </c>
      <c r="BN341" s="775">
        <f t="shared" ca="1" si="200"/>
        <v>0</v>
      </c>
      <c r="BO341" s="775">
        <f t="shared" ca="1" si="201"/>
        <v>0</v>
      </c>
      <c r="BP341" s="775">
        <f t="shared" ca="1" si="202"/>
        <v>0</v>
      </c>
      <c r="BQ341" s="775">
        <f t="shared" ca="1" si="170"/>
        <v>0</v>
      </c>
      <c r="BR341" s="775">
        <f t="shared" ca="1" si="203"/>
        <v>0</v>
      </c>
    </row>
    <row r="342" spans="1:70">
      <c r="A342" s="767" t="str">
        <f t="shared" ca="1" si="219"/>
        <v/>
      </c>
      <c r="B342" s="767" t="s">
        <v>1008</v>
      </c>
      <c r="C342" s="188" t="str">
        <f ca="1">IF(F342=0,"",COUNTIF($F$78:$F342,"&gt;0"))</f>
        <v/>
      </c>
      <c r="D342" s="778" t="str">
        <f>VLOOKUP($B342,dongia1,DG!$C$5,)</f>
        <v>Sứ treo loại 70kN</v>
      </c>
      <c r="E342" s="555" t="str">
        <f>VLOOKUP($B342,dongia1,DG!$D$5,)</f>
        <v>bát</v>
      </c>
      <c r="F342" s="779">
        <f t="shared" ca="1" si="218"/>
        <v>0</v>
      </c>
      <c r="G342" s="775">
        <f t="shared" ca="1" si="217"/>
        <v>0</v>
      </c>
      <c r="H342" s="775">
        <f ca="1">SUMIF(CT_tram!$B$33:$G$3559,kl!B342,CT_tram!$G$33:$G$3559)</f>
        <v>0</v>
      </c>
      <c r="I342" s="775">
        <f ca="1">SUMIF(CT_tram!$B$34:$G$115,$B342,CT_tram!$G$34:$G$115)</f>
        <v>0</v>
      </c>
      <c r="J342" s="775">
        <f ca="1">SUMIF(CT_tram!$B$122:$G$204,$B342,CT_tram!$G$122:$G$204)</f>
        <v>0</v>
      </c>
      <c r="K342" s="775">
        <f ca="1">SUMIF(CT_tram!$B$211:$G$293,$B342,CT_tram!$G$211:$G$293)</f>
        <v>0</v>
      </c>
      <c r="L342" s="775">
        <f ca="1">SUMIF(CT_tram!$B$300:$G$374,$B342,CT_tram!$G$300:$G$374)</f>
        <v>0</v>
      </c>
      <c r="M342" s="775">
        <f ca="1">SUMIF(CT_tram!$B$381:$G$471,$B342,CT_tram!$G$381:$G$471)</f>
        <v>0</v>
      </c>
      <c r="N342" s="775">
        <f ca="1">SUMIF(CT_tram!$B$478:$G$560,$B342,CT_tram!$G$478:$G$560)</f>
        <v>0</v>
      </c>
      <c r="O342" s="775">
        <f ca="1">SUMIF(CT_tram!$B$567:$G$653,$B342,CT_tram!$G$567:$G$653)</f>
        <v>0</v>
      </c>
      <c r="P342" s="775">
        <f ca="1">SUMIF(CT_tram!$B$661:$G$738,$B342,CT_tram!$G$661:$G$738)</f>
        <v>0</v>
      </c>
      <c r="Q342" s="775">
        <f ca="1">SUMIF(CT_tram!$B$745:$G$899,$B342,CT_tram!$G$745:$G$899)</f>
        <v>0</v>
      </c>
      <c r="R342" s="775">
        <f ca="1">SUMIF(CT_tram!$B$907:$G$995,$B342,CT_tram!$G$907:$G$995)</f>
        <v>0</v>
      </c>
      <c r="S342" s="775"/>
      <c r="T342" s="775">
        <f ca="1">SUMIF(CT_tram!$B$1004:$G$1097,B342,CT_tram!$G$1004:$G$1097)</f>
        <v>0</v>
      </c>
      <c r="U342" s="775"/>
      <c r="V342" s="775">
        <f ca="1">SUMIF(CT_tram!$B$1226:$G$1352,kl!B342,CT_tram!$G$1226:$G$1352)</f>
        <v>0</v>
      </c>
      <c r="W342" s="780">
        <f ca="1">SUMIF(CT_tram!$B$1105:$G$1219,kl!B342,CT_tram!$G$1105:$G$1219)</f>
        <v>0</v>
      </c>
      <c r="X342" s="775">
        <f ca="1">SUMIF(CT_tram!$B$1359:$G$1504,kl!B342,CT_tram!$G$1359:$G$1504)</f>
        <v>0</v>
      </c>
      <c r="Y342" s="775">
        <f ca="1">SUMIF(CT_tram!$B$1511:$G$1625,kl!B342,CT_tram!$G$1511:$G$1625)</f>
        <v>0</v>
      </c>
      <c r="Z342" s="775">
        <f ca="1">SUMIF(CT_tram!$B$1632:$G$2211,kl!B342,CT_tram!$G$1632:$G$2211)</f>
        <v>0</v>
      </c>
      <c r="AA342" s="775">
        <f ca="1">SUMIF(CT_tram!$B$2243:$G$2384,kl!B342,CT_tram!$G$2243:$G$2384)</f>
        <v>0</v>
      </c>
      <c r="AB342" s="775">
        <f ca="1">SUMIF(CT_tram!$B$2391:$G$2563,kl!B342,CT_tram!$G$2391:$G$2563)</f>
        <v>0</v>
      </c>
      <c r="AC342" s="775">
        <f ca="1">SUMIF(chitiet!$B$13:$N$2352,kl!$B342,chitiet!$I$13:$I$2352)</f>
        <v>0</v>
      </c>
      <c r="AD342" s="775">
        <f ca="1">SUMIF(chitiet!$B$13:$N$2352,kl!$B342,chitiet!$J$13:$J$2352)</f>
        <v>0</v>
      </c>
      <c r="AE342" s="775">
        <f ca="1">SUMIF(chitiet!$B$13:$N$2352,kl!$B342,chitiet!$K$13:$K$2352)</f>
        <v>0</v>
      </c>
      <c r="AF342" s="775">
        <f ca="1">SUMIF(chitiet!$B$13:$N$2352,kl!$B342,chitiet!$L$13:$L$2352)</f>
        <v>0</v>
      </c>
      <c r="AG342" s="775">
        <f ca="1">SUMIF(chitiet!$B$13:$N$2352,kl!$B342,chitiet!$M$13)</f>
        <v>0</v>
      </c>
      <c r="AH342" s="775">
        <f ca="1">SUMIF(chitiet!$B$13:$N$2352,kl!$B342,chitiet!$N$13:$N$2352)</f>
        <v>0</v>
      </c>
      <c r="AI342" s="775">
        <f ca="1">SUMIF(chitiet!$B$13:$N$2352,kl!$B342,chitiet!$O$13:$O$2352)</f>
        <v>0</v>
      </c>
      <c r="AJ342" s="775">
        <f ca="1">SUMIF('Cap ngam'!$B$631:$G$723,kl!$B342,'Cap ngam'!$G$631:$G$723)</f>
        <v>0</v>
      </c>
      <c r="AK342" s="775">
        <f ca="1">SUMIF('Cap ngam'!$B$403:$G$628,kl!$B342,'Cap ngam'!G$403:G$628)</f>
        <v>0</v>
      </c>
      <c r="AL342" s="775">
        <f ca="1">SUMIF('Cap ngam'!B$16:G$400,kl!$B342,'Cap ngam'!G$16:G$400)</f>
        <v>0</v>
      </c>
      <c r="AM342" s="776">
        <v>5</v>
      </c>
      <c r="AN342" s="775">
        <f t="shared" ca="1" si="181"/>
        <v>0</v>
      </c>
      <c r="AO342" s="775">
        <f t="shared" ca="1" si="182"/>
        <v>0</v>
      </c>
      <c r="AP342" s="775">
        <f t="shared" ca="1" si="183"/>
        <v>0</v>
      </c>
      <c r="AQ342" s="775">
        <f t="shared" ca="1" si="184"/>
        <v>0</v>
      </c>
      <c r="AR342" s="775">
        <f t="shared" ca="1" si="185"/>
        <v>0</v>
      </c>
      <c r="AS342" s="775">
        <f t="shared" ca="1" si="186"/>
        <v>0</v>
      </c>
      <c r="AT342" s="775">
        <f t="shared" ca="1" si="187"/>
        <v>0</v>
      </c>
      <c r="AU342" s="775">
        <f t="shared" ca="1" si="188"/>
        <v>0</v>
      </c>
      <c r="AV342" s="775">
        <f t="shared" ca="1" si="189"/>
        <v>0</v>
      </c>
      <c r="AW342" s="775">
        <f t="shared" ca="1" si="190"/>
        <v>0</v>
      </c>
      <c r="AX342" s="775">
        <f t="shared" si="191"/>
        <v>0</v>
      </c>
      <c r="AY342" s="775">
        <f t="shared" ca="1" si="192"/>
        <v>0</v>
      </c>
      <c r="AZ342" s="775">
        <f t="shared" si="193"/>
        <v>0</v>
      </c>
      <c r="BA342" s="775">
        <f t="shared" ca="1" si="172"/>
        <v>0</v>
      </c>
      <c r="BB342" s="775">
        <f t="shared" ca="1" si="173"/>
        <v>0</v>
      </c>
      <c r="BC342" s="775">
        <f t="shared" ca="1" si="174"/>
        <v>0</v>
      </c>
      <c r="BD342" s="775">
        <f t="shared" ca="1" si="175"/>
        <v>0</v>
      </c>
      <c r="BE342" s="775">
        <f t="shared" ca="1" si="176"/>
        <v>0</v>
      </c>
      <c r="BF342" s="775">
        <f t="shared" ca="1" si="177"/>
        <v>0</v>
      </c>
      <c r="BG342" s="775">
        <f t="shared" ca="1" si="178"/>
        <v>0</v>
      </c>
      <c r="BH342" s="775">
        <f t="shared" ca="1" si="194"/>
        <v>0</v>
      </c>
      <c r="BI342" s="775">
        <f t="shared" ca="1" si="195"/>
        <v>0</v>
      </c>
      <c r="BJ342" s="775">
        <f t="shared" ca="1" si="196"/>
        <v>0</v>
      </c>
      <c r="BK342" s="775">
        <f t="shared" ca="1" si="197"/>
        <v>0</v>
      </c>
      <c r="BL342" s="775">
        <f t="shared" ca="1" si="198"/>
        <v>0</v>
      </c>
      <c r="BM342" s="775">
        <f t="shared" ca="1" si="199"/>
        <v>0</v>
      </c>
      <c r="BN342" s="775">
        <f t="shared" ca="1" si="200"/>
        <v>0</v>
      </c>
      <c r="BO342" s="775">
        <f t="shared" ca="1" si="201"/>
        <v>0</v>
      </c>
      <c r="BP342" s="775">
        <f t="shared" ca="1" si="202"/>
        <v>0</v>
      </c>
      <c r="BQ342" s="775">
        <f t="shared" ca="1" si="170"/>
        <v>0</v>
      </c>
      <c r="BR342" s="775">
        <f t="shared" ca="1" si="203"/>
        <v>0</v>
      </c>
    </row>
    <row r="343" spans="1:70">
      <c r="A343" s="767" t="str">
        <f t="shared" ca="1" si="219"/>
        <v/>
      </c>
      <c r="B343" s="799" t="s">
        <v>1378</v>
      </c>
      <c r="C343" s="188" t="str">
        <f ca="1">IF(F343=0,"",COUNTIF($F$78:$F343,"&gt;0"))</f>
        <v/>
      </c>
      <c r="D343" s="778" t="str">
        <f>VLOOKUP($B343,dongia1,DG!$C$5,)</f>
        <v>Ty neo Þ16x1800</v>
      </c>
      <c r="E343" s="555" t="str">
        <f>VLOOKUP($B343,dongia1,DG!$D$5,)</f>
        <v>cái</v>
      </c>
      <c r="F343" s="779">
        <f t="shared" ca="1" si="218"/>
        <v>0</v>
      </c>
      <c r="G343" s="775">
        <f t="shared" ca="1" si="217"/>
        <v>0</v>
      </c>
      <c r="H343" s="775">
        <f ca="1">SUMIF(CT_tram!$B$33:$G$3559,kl!B343,CT_tram!$G$33:$G$3559)</f>
        <v>0</v>
      </c>
      <c r="I343" s="775">
        <f ca="1">SUMIF(CT_tram!$B$34:$G$115,$B343,CT_tram!$G$34:$G$115)</f>
        <v>0</v>
      </c>
      <c r="J343" s="775">
        <f ca="1">SUMIF(CT_tram!$B$122:$G$204,$B343,CT_tram!$G$122:$G$204)</f>
        <v>0</v>
      </c>
      <c r="K343" s="775">
        <f ca="1">SUMIF(CT_tram!$B$211:$G$293,$B343,CT_tram!$G$211:$G$293)</f>
        <v>0</v>
      </c>
      <c r="L343" s="775">
        <f ca="1">SUMIF(CT_tram!$B$300:$G$374,$B343,CT_tram!$G$300:$G$374)</f>
        <v>0</v>
      </c>
      <c r="M343" s="775">
        <f ca="1">SUMIF(CT_tram!$B$381:$G$471,$B343,CT_tram!$G$381:$G$471)</f>
        <v>0</v>
      </c>
      <c r="N343" s="775">
        <f ca="1">SUMIF(CT_tram!$B$478:$G$560,$B343,CT_tram!$G$478:$G$560)</f>
        <v>0</v>
      </c>
      <c r="O343" s="775">
        <f ca="1">SUMIF(CT_tram!$B$567:$G$653,$B343,CT_tram!$G$567:$G$653)</f>
        <v>0</v>
      </c>
      <c r="P343" s="775">
        <f ca="1">SUMIF(CT_tram!$B$661:$G$738,$B343,CT_tram!$G$661:$G$738)</f>
        <v>0</v>
      </c>
      <c r="Q343" s="775">
        <f ca="1">SUMIF(CT_tram!$B$745:$G$899,$B343,CT_tram!$G$745:$G$899)</f>
        <v>0</v>
      </c>
      <c r="R343" s="775">
        <f ca="1">SUMIF(CT_tram!$B$907:$G$995,$B343,CT_tram!$G$907:$G$995)</f>
        <v>0</v>
      </c>
      <c r="S343" s="775"/>
      <c r="T343" s="775">
        <f ca="1">SUMIF(CT_tram!$B$1004:$G$1097,B343,CT_tram!$G$1004:$G$1097)</f>
        <v>0</v>
      </c>
      <c r="U343" s="775"/>
      <c r="V343" s="775">
        <f ca="1">SUMIF(CT_tram!$B$1226:$G$1352,kl!B343,CT_tram!$G$1226:$G$1352)</f>
        <v>0</v>
      </c>
      <c r="W343" s="780">
        <f ca="1">SUMIF(CT_tram!$B$1105:$G$1219,kl!B343,CT_tram!$G$1105:$G$1219)</f>
        <v>0</v>
      </c>
      <c r="X343" s="775">
        <f ca="1">SUMIF(CT_tram!$B$1359:$G$1504,kl!B343,CT_tram!$G$1359:$G$1504)</f>
        <v>0</v>
      </c>
      <c r="Y343" s="775">
        <f ca="1">SUMIF(CT_tram!$B$1511:$G$1625,kl!B343,CT_tram!$G$1511:$G$1625)</f>
        <v>0</v>
      </c>
      <c r="Z343" s="775">
        <f ca="1">SUMIF(CT_tram!$B$1632:$G$2211,kl!B343,CT_tram!$G$1632:$G$2211)</f>
        <v>0</v>
      </c>
      <c r="AA343" s="775">
        <f ca="1">SUMIF(CT_tram!$B$2243:$G$2384,kl!B343,CT_tram!$G$2243:$G$2384)</f>
        <v>0</v>
      </c>
      <c r="AB343" s="775">
        <f ca="1">SUMIF(CT_tram!$B$2391:$G$2563,kl!B343,CT_tram!$G$2391:$G$2563)</f>
        <v>0</v>
      </c>
      <c r="AC343" s="775">
        <f ca="1">SUMIF(chitiet!$B$13:$N$2352,kl!$B343,chitiet!$I$13:$I$2352)</f>
        <v>0</v>
      </c>
      <c r="AD343" s="775">
        <f ca="1">SUMIF(chitiet!$B$13:$N$2352,kl!$B343,chitiet!$J$13:$J$2352)</f>
        <v>0</v>
      </c>
      <c r="AE343" s="775">
        <f ca="1">SUMIF(chitiet!$B$13:$N$2352,kl!$B343,chitiet!$K$13:$K$2352)</f>
        <v>0</v>
      </c>
      <c r="AF343" s="775">
        <f ca="1">SUMIF(chitiet!$B$13:$N$2352,kl!$B343,chitiet!$L$13:$L$2352)</f>
        <v>0</v>
      </c>
      <c r="AG343" s="775">
        <f ca="1">SUMIF(chitiet!$B$13:$N$2352,kl!$B343,chitiet!$M$13)</f>
        <v>0</v>
      </c>
      <c r="AH343" s="775">
        <f ca="1">SUMIF(chitiet!$B$13:$N$2352,kl!$B343,chitiet!$N$13:$N$2352)</f>
        <v>0</v>
      </c>
      <c r="AI343" s="775">
        <f ca="1">SUMIF(chitiet!$B$13:$N$2352,kl!$B343,chitiet!$O$13:$O$2352)</f>
        <v>0</v>
      </c>
      <c r="AJ343" s="775">
        <f ca="1">SUMIF('Cap ngam'!$B$631:$G$723,kl!$B343,'Cap ngam'!$G$631:$G$723)</f>
        <v>0</v>
      </c>
      <c r="AK343" s="775">
        <f ca="1">SUMIF('Cap ngam'!$B$403:$G$628,kl!$B343,'Cap ngam'!G$403:G$628)</f>
        <v>0</v>
      </c>
      <c r="AL343" s="775">
        <f ca="1">SUMIF('Cap ngam'!B$16:G$400,kl!$B343,'Cap ngam'!G$16:G$400)</f>
        <v>0</v>
      </c>
      <c r="AM343" s="776">
        <v>3.5</v>
      </c>
      <c r="AN343" s="775">
        <f t="shared" ca="1" si="181"/>
        <v>0</v>
      </c>
      <c r="AO343" s="775">
        <f t="shared" ca="1" si="182"/>
        <v>0</v>
      </c>
      <c r="AP343" s="775">
        <f t="shared" ca="1" si="183"/>
        <v>0</v>
      </c>
      <c r="AQ343" s="775">
        <f t="shared" ca="1" si="184"/>
        <v>0</v>
      </c>
      <c r="AR343" s="775">
        <f t="shared" ca="1" si="185"/>
        <v>0</v>
      </c>
      <c r="AS343" s="775">
        <f t="shared" ca="1" si="186"/>
        <v>0</v>
      </c>
      <c r="AT343" s="775">
        <f t="shared" ca="1" si="187"/>
        <v>0</v>
      </c>
      <c r="AU343" s="775">
        <f t="shared" ca="1" si="188"/>
        <v>0</v>
      </c>
      <c r="AV343" s="775">
        <f t="shared" ca="1" si="189"/>
        <v>0</v>
      </c>
      <c r="AW343" s="775">
        <f t="shared" ca="1" si="190"/>
        <v>0</v>
      </c>
      <c r="AX343" s="775">
        <f t="shared" si="191"/>
        <v>0</v>
      </c>
      <c r="AY343" s="775">
        <f t="shared" ca="1" si="192"/>
        <v>0</v>
      </c>
      <c r="AZ343" s="775">
        <f t="shared" si="193"/>
        <v>0</v>
      </c>
      <c r="BA343" s="775">
        <f t="shared" ca="1" si="172"/>
        <v>0</v>
      </c>
      <c r="BB343" s="775">
        <f t="shared" ca="1" si="173"/>
        <v>0</v>
      </c>
      <c r="BC343" s="775">
        <f t="shared" ca="1" si="174"/>
        <v>0</v>
      </c>
      <c r="BD343" s="775">
        <f t="shared" ca="1" si="175"/>
        <v>0</v>
      </c>
      <c r="BE343" s="775">
        <f t="shared" ca="1" si="176"/>
        <v>0</v>
      </c>
      <c r="BF343" s="775">
        <f t="shared" ca="1" si="177"/>
        <v>0</v>
      </c>
      <c r="BG343" s="775">
        <f t="shared" ca="1" si="178"/>
        <v>0</v>
      </c>
      <c r="BH343" s="775">
        <f t="shared" ca="1" si="194"/>
        <v>0</v>
      </c>
      <c r="BI343" s="775">
        <f t="shared" ca="1" si="195"/>
        <v>0</v>
      </c>
      <c r="BJ343" s="775">
        <f t="shared" ca="1" si="196"/>
        <v>0</v>
      </c>
      <c r="BK343" s="775">
        <f t="shared" ca="1" si="197"/>
        <v>0</v>
      </c>
      <c r="BL343" s="775">
        <f t="shared" ca="1" si="198"/>
        <v>0</v>
      </c>
      <c r="BM343" s="775">
        <f t="shared" ca="1" si="199"/>
        <v>0</v>
      </c>
      <c r="BN343" s="775">
        <f t="shared" ca="1" si="200"/>
        <v>0</v>
      </c>
      <c r="BO343" s="775">
        <f t="shared" ca="1" si="201"/>
        <v>0</v>
      </c>
      <c r="BP343" s="775">
        <f t="shared" ca="1" si="202"/>
        <v>0</v>
      </c>
      <c r="BQ343" s="775">
        <f t="shared" ca="1" si="170"/>
        <v>0</v>
      </c>
      <c r="BR343" s="775">
        <f t="shared" ca="1" si="203"/>
        <v>0</v>
      </c>
    </row>
    <row r="344" spans="1:70">
      <c r="A344" s="767" t="str">
        <f t="shared" ca="1" si="219"/>
        <v/>
      </c>
      <c r="B344" s="799" t="s">
        <v>1723</v>
      </c>
      <c r="C344" s="188" t="str">
        <f ca="1">IF(F344=0,"",COUNTIF($F$78:$F344,"&gt;0"))</f>
        <v/>
      </c>
      <c r="D344" s="778" t="str">
        <f>VLOOKUP($B344,dongia1,DG!$C$5,)</f>
        <v>Ty neo Þ16x2400</v>
      </c>
      <c r="E344" s="555" t="str">
        <f>VLOOKUP($B344,dongia1,DG!$D$5,)</f>
        <v>cái</v>
      </c>
      <c r="F344" s="779">
        <f t="shared" ca="1" si="218"/>
        <v>0</v>
      </c>
      <c r="G344" s="775">
        <f t="shared" ca="1" si="217"/>
        <v>0</v>
      </c>
      <c r="H344" s="775">
        <f ca="1">SUMIF(CT_tram!$B$33:$G$3559,kl!B344,CT_tram!$G$33:$G$3559)</f>
        <v>0</v>
      </c>
      <c r="I344" s="775">
        <f ca="1">SUMIF(CT_tram!$B$34:$G$115,$B344,CT_tram!$G$34:$G$115)</f>
        <v>0</v>
      </c>
      <c r="J344" s="775">
        <f ca="1">SUMIF(CT_tram!$B$122:$G$204,$B344,CT_tram!$G$122:$G$204)</f>
        <v>0</v>
      </c>
      <c r="K344" s="775">
        <f ca="1">SUMIF(CT_tram!$B$211:$G$293,$B344,CT_tram!$G$211:$G$293)</f>
        <v>0</v>
      </c>
      <c r="L344" s="775">
        <f ca="1">SUMIF(CT_tram!$B$300:$G$374,$B344,CT_tram!$G$300:$G$374)</f>
        <v>0</v>
      </c>
      <c r="M344" s="775">
        <f ca="1">SUMIF(CT_tram!$B$381:$G$471,$B344,CT_tram!$G$381:$G$471)</f>
        <v>0</v>
      </c>
      <c r="N344" s="775">
        <f ca="1">SUMIF(CT_tram!$B$478:$G$560,$B344,CT_tram!$G$478:$G$560)</f>
        <v>0</v>
      </c>
      <c r="O344" s="775">
        <f ca="1">SUMIF(CT_tram!$B$567:$G$653,$B344,CT_tram!$G$567:$G$653)</f>
        <v>0</v>
      </c>
      <c r="P344" s="775">
        <f ca="1">SUMIF(CT_tram!$B$661:$G$738,$B344,CT_tram!$G$661:$G$738)</f>
        <v>0</v>
      </c>
      <c r="Q344" s="775">
        <f ca="1">SUMIF(CT_tram!$B$745:$G$899,$B344,CT_tram!$G$745:$G$899)</f>
        <v>0</v>
      </c>
      <c r="R344" s="775">
        <f ca="1">SUMIF(CT_tram!$B$907:$G$995,$B344,CT_tram!$G$907:$G$995)</f>
        <v>0</v>
      </c>
      <c r="S344" s="775"/>
      <c r="T344" s="775">
        <f ca="1">SUMIF(CT_tram!$B$1004:$G$1097,B344,CT_tram!$G$1004:$G$1097)</f>
        <v>0</v>
      </c>
      <c r="U344" s="775"/>
      <c r="V344" s="775">
        <f ca="1">SUMIF(CT_tram!$B$1226:$G$1352,kl!B344,CT_tram!$G$1226:$G$1352)</f>
        <v>0</v>
      </c>
      <c r="W344" s="780">
        <f ca="1">SUMIF(CT_tram!$B$1105:$G$1219,kl!B344,CT_tram!$G$1105:$G$1219)</f>
        <v>0</v>
      </c>
      <c r="X344" s="775">
        <f ca="1">SUMIF(CT_tram!$B$1359:$G$1504,kl!B344,CT_tram!$G$1359:$G$1504)</f>
        <v>0</v>
      </c>
      <c r="Y344" s="775">
        <f ca="1">SUMIF(CT_tram!$B$1511:$G$1625,kl!B344,CT_tram!$G$1511:$G$1625)</f>
        <v>0</v>
      </c>
      <c r="Z344" s="775">
        <f ca="1">SUMIF(CT_tram!$B$1632:$G$2211,kl!B344,CT_tram!$G$1632:$G$2211)</f>
        <v>0</v>
      </c>
      <c r="AA344" s="775">
        <f ca="1">SUMIF(CT_tram!$B$2243:$G$2384,kl!B344,CT_tram!$G$2243:$G$2384)</f>
        <v>0</v>
      </c>
      <c r="AB344" s="775">
        <f ca="1">SUMIF(CT_tram!$B$2391:$G$2563,kl!B344,CT_tram!$G$2391:$G$2563)</f>
        <v>0</v>
      </c>
      <c r="AC344" s="775">
        <f ca="1">SUMIF(chitiet!$B$13:$N$2352,kl!$B344,chitiet!$I$13:$I$2352)</f>
        <v>0</v>
      </c>
      <c r="AD344" s="775">
        <f ca="1">SUMIF(chitiet!$B$13:$N$2352,kl!$B344,chitiet!$J$13:$J$2352)</f>
        <v>0</v>
      </c>
      <c r="AE344" s="775">
        <f ca="1">SUMIF(chitiet!$B$13:$N$2352,kl!$B344,chitiet!$K$13:$K$2352)</f>
        <v>0</v>
      </c>
      <c r="AF344" s="775">
        <f ca="1">SUMIF(chitiet!$B$13:$N$2352,kl!$B344,chitiet!$L$13:$L$2352)</f>
        <v>0</v>
      </c>
      <c r="AG344" s="775">
        <f ca="1">SUMIF(chitiet!$B$13:$N$2352,kl!$B344,chitiet!$M$13)</f>
        <v>0</v>
      </c>
      <c r="AH344" s="775">
        <f ca="1">SUMIF(chitiet!$B$13:$N$2352,kl!$B344,chitiet!$N$13:$N$2352)</f>
        <v>0</v>
      </c>
      <c r="AI344" s="775">
        <f ca="1">SUMIF(chitiet!$B$13:$N$2352,kl!$B344,chitiet!$O$13:$O$2352)</f>
        <v>0</v>
      </c>
      <c r="AJ344" s="775">
        <f ca="1">SUMIF('Cap ngam'!$B$631:$G$723,kl!$B344,'Cap ngam'!$G$631:$G$723)</f>
        <v>0</v>
      </c>
      <c r="AK344" s="775">
        <f ca="1">SUMIF('Cap ngam'!$B$403:$G$628,kl!$B344,'Cap ngam'!G$403:G$628)</f>
        <v>0</v>
      </c>
      <c r="AL344" s="775">
        <f ca="1">SUMIF('Cap ngam'!B$16:G$400,kl!$B344,'Cap ngam'!G$16:G$400)</f>
        <v>0</v>
      </c>
      <c r="AM344" s="776">
        <v>3.5</v>
      </c>
      <c r="AN344" s="775">
        <f t="shared" ca="1" si="181"/>
        <v>0</v>
      </c>
      <c r="AO344" s="775">
        <f t="shared" ca="1" si="182"/>
        <v>0</v>
      </c>
      <c r="AP344" s="775">
        <f t="shared" ca="1" si="183"/>
        <v>0</v>
      </c>
      <c r="AQ344" s="775">
        <f t="shared" ca="1" si="184"/>
        <v>0</v>
      </c>
      <c r="AR344" s="775">
        <f t="shared" ca="1" si="185"/>
        <v>0</v>
      </c>
      <c r="AS344" s="775">
        <f t="shared" ca="1" si="186"/>
        <v>0</v>
      </c>
      <c r="AT344" s="775">
        <f t="shared" ca="1" si="187"/>
        <v>0</v>
      </c>
      <c r="AU344" s="775">
        <f t="shared" ca="1" si="188"/>
        <v>0</v>
      </c>
      <c r="AV344" s="775">
        <f t="shared" ca="1" si="189"/>
        <v>0</v>
      </c>
      <c r="AW344" s="775">
        <f t="shared" ca="1" si="190"/>
        <v>0</v>
      </c>
      <c r="AX344" s="775">
        <f t="shared" si="191"/>
        <v>0</v>
      </c>
      <c r="AY344" s="775">
        <f t="shared" ca="1" si="192"/>
        <v>0</v>
      </c>
      <c r="AZ344" s="775">
        <f t="shared" si="193"/>
        <v>0</v>
      </c>
      <c r="BA344" s="775">
        <f t="shared" ca="1" si="172"/>
        <v>0</v>
      </c>
      <c r="BB344" s="775">
        <f t="shared" ca="1" si="173"/>
        <v>0</v>
      </c>
      <c r="BC344" s="775">
        <f t="shared" ca="1" si="174"/>
        <v>0</v>
      </c>
      <c r="BD344" s="775">
        <f t="shared" ca="1" si="175"/>
        <v>0</v>
      </c>
      <c r="BE344" s="775">
        <f t="shared" ca="1" si="176"/>
        <v>0</v>
      </c>
      <c r="BF344" s="775">
        <f t="shared" ca="1" si="177"/>
        <v>0</v>
      </c>
      <c r="BG344" s="775">
        <f t="shared" ca="1" si="178"/>
        <v>0</v>
      </c>
      <c r="BH344" s="775">
        <f t="shared" ca="1" si="194"/>
        <v>0</v>
      </c>
      <c r="BI344" s="775">
        <f t="shared" ca="1" si="195"/>
        <v>0</v>
      </c>
      <c r="BJ344" s="775">
        <f t="shared" ca="1" si="196"/>
        <v>0</v>
      </c>
      <c r="BK344" s="775">
        <f t="shared" ca="1" si="197"/>
        <v>0</v>
      </c>
      <c r="BL344" s="775">
        <f t="shared" ca="1" si="198"/>
        <v>0</v>
      </c>
      <c r="BM344" s="775">
        <f t="shared" ca="1" si="199"/>
        <v>0</v>
      </c>
      <c r="BN344" s="775">
        <f t="shared" ca="1" si="200"/>
        <v>0</v>
      </c>
      <c r="BO344" s="775">
        <f t="shared" ca="1" si="201"/>
        <v>0</v>
      </c>
      <c r="BP344" s="775">
        <f t="shared" ca="1" si="202"/>
        <v>0</v>
      </c>
      <c r="BQ344" s="775">
        <f t="shared" ca="1" si="170"/>
        <v>0</v>
      </c>
      <c r="BR344" s="775">
        <f t="shared" ca="1" si="203"/>
        <v>0</v>
      </c>
    </row>
    <row r="345" spans="1:70">
      <c r="A345" s="767" t="str">
        <f ca="1">IF(F345&lt;&gt;0,"X","")</f>
        <v/>
      </c>
      <c r="B345" s="799" t="s">
        <v>689</v>
      </c>
      <c r="C345" s="188" t="str">
        <f ca="1">IF(F345=0,"",COUNTIF($F$78:$F345,"&gt;0"))</f>
        <v/>
      </c>
      <c r="D345" s="778" t="str">
        <f>VLOOKUP($B345,dongia1,DG!$C$5,)</f>
        <v>Ty neo Þ18x2400</v>
      </c>
      <c r="E345" s="555" t="str">
        <f>VLOOKUP($B345,dongia1,DG!$D$5,)</f>
        <v>cái</v>
      </c>
      <c r="F345" s="975">
        <f ca="1">G345+H345</f>
        <v>0</v>
      </c>
      <c r="G345" s="976">
        <f t="shared" ca="1" si="217"/>
        <v>0</v>
      </c>
      <c r="H345" s="976">
        <f ca="1">SUMIF(CT_tram!$B$33:$G$3559,kl!B345,CT_tram!$G$33:$G$3559)</f>
        <v>0</v>
      </c>
      <c r="I345" s="775">
        <f ca="1">SUMIF(CT_tram!$B$34:$G$115,$B345,CT_tram!$G$34:$G$115)</f>
        <v>0</v>
      </c>
      <c r="J345" s="775">
        <f ca="1">SUMIF(CT_tram!$B$122:$G$204,$B345,CT_tram!$G$122:$G$204)</f>
        <v>0</v>
      </c>
      <c r="K345" s="775">
        <f ca="1">SUMIF(CT_tram!$B$211:$G$293,$B345,CT_tram!$G$211:$G$293)</f>
        <v>0</v>
      </c>
      <c r="L345" s="775">
        <f ca="1">SUMIF(CT_tram!$B$300:$G$374,$B345,CT_tram!$G$300:$G$374)</f>
        <v>0</v>
      </c>
      <c r="M345" s="775">
        <f ca="1">SUMIF(CT_tram!$B$381:$G$471,$B345,CT_tram!$G$381:$G$471)</f>
        <v>0</v>
      </c>
      <c r="N345" s="775">
        <f ca="1">SUMIF(CT_tram!$B$478:$G$560,$B345,CT_tram!$G$478:$G$560)</f>
        <v>0</v>
      </c>
      <c r="O345" s="775">
        <f ca="1">SUMIF(CT_tram!$B$567:$G$653,$B345,CT_tram!$G$567:$G$653)</f>
        <v>0</v>
      </c>
      <c r="P345" s="775">
        <f ca="1">SUMIF(CT_tram!$B$661:$G$738,$B345,CT_tram!$G$661:$G$738)</f>
        <v>0</v>
      </c>
      <c r="Q345" s="775">
        <f ca="1">SUMIF(CT_tram!$B$745:$G$899,$B345,CT_tram!$G$745:$G$899)</f>
        <v>0</v>
      </c>
      <c r="R345" s="775">
        <f ca="1">SUMIF(CT_tram!$B$907:$G$995,$B345,CT_tram!$G$907:$G$995)</f>
        <v>0</v>
      </c>
      <c r="S345" s="775"/>
      <c r="T345" s="775">
        <f ca="1">SUMIF(CT_tram!$B$1004:$G$1097,B345,CT_tram!$G$1004:$G$1097)</f>
        <v>0</v>
      </c>
      <c r="U345" s="775"/>
      <c r="V345" s="775">
        <f ca="1">SUMIF(CT_tram!$B$1226:$G$1352,kl!B345,CT_tram!$G$1226:$G$1352)</f>
        <v>0</v>
      </c>
      <c r="W345" s="780">
        <f ca="1">SUMIF(CT_tram!$B$1105:$G$1219,kl!B345,CT_tram!$G$1105:$G$1219)</f>
        <v>0</v>
      </c>
      <c r="X345" s="775">
        <f ca="1">SUMIF(CT_tram!$B$1359:$G$1504,kl!B345,CT_tram!$G$1359:$G$1504)</f>
        <v>0</v>
      </c>
      <c r="Y345" s="775">
        <f ca="1">SUMIF(CT_tram!$B$1511:$G$1625,kl!B345,CT_tram!$G$1511:$G$1625)</f>
        <v>0</v>
      </c>
      <c r="Z345" s="775">
        <f ca="1">SUMIF(CT_tram!$B$1632:$G$2211,kl!B345,CT_tram!$G$1632:$G$2211)</f>
        <v>0</v>
      </c>
      <c r="AA345" s="775">
        <f ca="1">SUMIF(CT_tram!$B$2243:$G$2384,kl!B345,CT_tram!$G$2243:$G$2384)</f>
        <v>0</v>
      </c>
      <c r="AB345" s="775">
        <f ca="1">SUMIF(CT_tram!$B$2391:$G$2563,kl!B345,CT_tram!$G$2391:$G$2563)</f>
        <v>0</v>
      </c>
      <c r="AC345" s="775">
        <f ca="1">SUMIF(chitiet!$B$13:$N$2352,kl!$B345,chitiet!$I$13:$I$2352)</f>
        <v>0</v>
      </c>
      <c r="AD345" s="775">
        <f ca="1">SUMIF(chitiet!$B$13:$N$2352,kl!$B345,chitiet!$J$13:$J$2352)</f>
        <v>0</v>
      </c>
      <c r="AE345" s="775">
        <f ca="1">SUMIF(chitiet!$B$13:$N$2352,kl!$B345,chitiet!$K$13:$K$2352)</f>
        <v>0</v>
      </c>
      <c r="AF345" s="775">
        <f ca="1">SUMIF(chitiet!$B$13:$N$2352,kl!$B345,chitiet!$L$13:$L$2352)</f>
        <v>0</v>
      </c>
      <c r="AG345" s="775">
        <f ca="1">SUMIF(chitiet!$B$13:$N$2352,kl!$B345,chitiet!$M$13)</f>
        <v>0</v>
      </c>
      <c r="AH345" s="775">
        <f ca="1">SUMIF(chitiet!$B$13:$N$2352,kl!$B345,chitiet!$N$13:$N$2352)</f>
        <v>0</v>
      </c>
      <c r="AI345" s="775">
        <f ca="1">SUMIF(chitiet!$B$13:$N$2352,kl!$B345,chitiet!$O$13:$O$2352)</f>
        <v>0</v>
      </c>
      <c r="AJ345" s="775">
        <f ca="1">SUMIF('Cap ngam'!$B$631:$G$723,kl!$B345,'Cap ngam'!$G$631:$G$723)</f>
        <v>0</v>
      </c>
      <c r="AK345" s="775">
        <f ca="1">SUMIF('Cap ngam'!$B$403:$G$628,kl!$B345,'Cap ngam'!G$403:G$628)</f>
        <v>0</v>
      </c>
      <c r="AL345" s="775">
        <f ca="1">SUMIF('Cap ngam'!B$16:G$400,kl!$B345,'Cap ngam'!G$16:G$400)</f>
        <v>0</v>
      </c>
      <c r="AM345" s="776">
        <v>3.5</v>
      </c>
      <c r="AN345" s="775">
        <f t="shared" ca="1" si="181"/>
        <v>0</v>
      </c>
      <c r="AO345" s="775">
        <f t="shared" ca="1" si="182"/>
        <v>0</v>
      </c>
      <c r="AP345" s="775">
        <f t="shared" ca="1" si="183"/>
        <v>0</v>
      </c>
      <c r="AQ345" s="775">
        <f t="shared" ca="1" si="184"/>
        <v>0</v>
      </c>
      <c r="AR345" s="775">
        <f t="shared" ca="1" si="185"/>
        <v>0</v>
      </c>
      <c r="AS345" s="775">
        <f t="shared" ca="1" si="186"/>
        <v>0</v>
      </c>
      <c r="AT345" s="775">
        <f t="shared" ca="1" si="187"/>
        <v>0</v>
      </c>
      <c r="AU345" s="775">
        <f t="shared" ca="1" si="188"/>
        <v>0</v>
      </c>
      <c r="AV345" s="775">
        <f t="shared" ca="1" si="189"/>
        <v>0</v>
      </c>
      <c r="AW345" s="775">
        <f t="shared" ca="1" si="190"/>
        <v>0</v>
      </c>
      <c r="AX345" s="775">
        <f t="shared" si="191"/>
        <v>0</v>
      </c>
      <c r="AY345" s="775">
        <f t="shared" ca="1" si="192"/>
        <v>0</v>
      </c>
      <c r="AZ345" s="775">
        <f t="shared" si="193"/>
        <v>0</v>
      </c>
      <c r="BA345" s="775">
        <f t="shared" ca="1" si="172"/>
        <v>0</v>
      </c>
      <c r="BB345" s="775">
        <f t="shared" ca="1" si="173"/>
        <v>0</v>
      </c>
      <c r="BC345" s="775">
        <f t="shared" ca="1" si="174"/>
        <v>0</v>
      </c>
      <c r="BD345" s="775">
        <f t="shared" ca="1" si="175"/>
        <v>0</v>
      </c>
      <c r="BE345" s="775">
        <f t="shared" ca="1" si="176"/>
        <v>0</v>
      </c>
      <c r="BF345" s="775">
        <f t="shared" ca="1" si="177"/>
        <v>0</v>
      </c>
      <c r="BG345" s="775">
        <f t="shared" ca="1" si="178"/>
        <v>0</v>
      </c>
      <c r="BH345" s="775">
        <f t="shared" ca="1" si="194"/>
        <v>0</v>
      </c>
      <c r="BI345" s="775">
        <f t="shared" ca="1" si="195"/>
        <v>0</v>
      </c>
      <c r="BJ345" s="775">
        <f t="shared" ca="1" si="196"/>
        <v>0</v>
      </c>
      <c r="BK345" s="775">
        <f t="shared" ca="1" si="197"/>
        <v>0</v>
      </c>
      <c r="BL345" s="775">
        <f t="shared" ca="1" si="198"/>
        <v>0</v>
      </c>
      <c r="BM345" s="775">
        <f t="shared" ca="1" si="199"/>
        <v>0</v>
      </c>
      <c r="BN345" s="775">
        <f t="shared" ca="1" si="200"/>
        <v>0</v>
      </c>
      <c r="BO345" s="775">
        <f t="shared" ca="1" si="201"/>
        <v>0</v>
      </c>
      <c r="BP345" s="775">
        <f t="shared" ca="1" si="202"/>
        <v>0</v>
      </c>
      <c r="BQ345" s="775">
        <f t="shared" ca="1" si="170"/>
        <v>0</v>
      </c>
      <c r="BR345" s="775">
        <f t="shared" ca="1" si="203"/>
        <v>0</v>
      </c>
    </row>
    <row r="346" spans="1:70">
      <c r="A346" s="767" t="str">
        <f t="shared" ca="1" si="219"/>
        <v/>
      </c>
      <c r="B346" s="799" t="s">
        <v>536</v>
      </c>
      <c r="C346" s="188" t="str">
        <f ca="1">IF(F346=0,"",COUNTIF($F$78:$F346,"&gt;0"))</f>
        <v/>
      </c>
      <c r="D346" s="778" t="str">
        <f>VLOOKUP($B346,dongia1,DG!$C$5,)</f>
        <v>Ty neo Þ22x3000</v>
      </c>
      <c r="E346" s="555" t="str">
        <f>VLOOKUP($B346,dongia1,DG!$D$5,)</f>
        <v>cái</v>
      </c>
      <c r="F346" s="975">
        <f t="shared" ca="1" si="218"/>
        <v>0</v>
      </c>
      <c r="G346" s="976">
        <f t="shared" ca="1" si="217"/>
        <v>0</v>
      </c>
      <c r="H346" s="976">
        <f ca="1">SUMIF(CT_tram!$B$33:$G$3559,kl!B346,CT_tram!$G$33:$G$3559)</f>
        <v>0</v>
      </c>
      <c r="I346" s="775">
        <f ca="1">SUMIF(CT_tram!$B$34:$G$115,$B346,CT_tram!$G$34:$G$115)</f>
        <v>0</v>
      </c>
      <c r="J346" s="775">
        <f ca="1">SUMIF(CT_tram!$B$122:$G$204,$B346,CT_tram!$G$122:$G$204)</f>
        <v>0</v>
      </c>
      <c r="K346" s="775">
        <f ca="1">SUMIF(CT_tram!$B$211:$G$293,$B346,CT_tram!$G$211:$G$293)</f>
        <v>0</v>
      </c>
      <c r="L346" s="775">
        <f ca="1">SUMIF(CT_tram!$B$300:$G$374,$B346,CT_tram!$G$300:$G$374)</f>
        <v>0</v>
      </c>
      <c r="M346" s="775">
        <f ca="1">SUMIF(CT_tram!$B$381:$G$471,$B346,CT_tram!$G$381:$G$471)</f>
        <v>0</v>
      </c>
      <c r="N346" s="775">
        <f ca="1">SUMIF(CT_tram!$B$478:$G$560,$B346,CT_tram!$G$478:$G$560)</f>
        <v>0</v>
      </c>
      <c r="O346" s="775">
        <f ca="1">SUMIF(CT_tram!$B$567:$G$653,$B346,CT_tram!$G$567:$G$653)</f>
        <v>0</v>
      </c>
      <c r="P346" s="775">
        <f ca="1">SUMIF(CT_tram!$B$661:$G$738,$B346,CT_tram!$G$661:$G$738)</f>
        <v>0</v>
      </c>
      <c r="Q346" s="775">
        <f ca="1">SUMIF(CT_tram!$B$745:$G$899,$B346,CT_tram!$G$745:$G$899)</f>
        <v>0</v>
      </c>
      <c r="R346" s="775">
        <f ca="1">SUMIF(CT_tram!$B$907:$G$995,$B346,CT_tram!$G$907:$G$995)</f>
        <v>0</v>
      </c>
      <c r="S346" s="775"/>
      <c r="T346" s="775">
        <f ca="1">SUMIF(CT_tram!$B$1004:$G$1097,B346,CT_tram!$G$1004:$G$1097)</f>
        <v>0</v>
      </c>
      <c r="U346" s="775"/>
      <c r="V346" s="775">
        <f ca="1">SUMIF(CT_tram!$B$1226:$G$1352,kl!B346,CT_tram!$G$1226:$G$1352)</f>
        <v>0</v>
      </c>
      <c r="W346" s="780">
        <f ca="1">SUMIF(CT_tram!$B$1105:$G$1219,kl!B346,CT_tram!$G$1105:$G$1219)</f>
        <v>0</v>
      </c>
      <c r="X346" s="775">
        <f ca="1">SUMIF(CT_tram!$B$1359:$G$1504,kl!B346,CT_tram!$G$1359:$G$1504)</f>
        <v>0</v>
      </c>
      <c r="Y346" s="775">
        <f ca="1">SUMIF(CT_tram!$B$1511:$G$1625,kl!B346,CT_tram!$G$1511:$G$1625)</f>
        <v>0</v>
      </c>
      <c r="Z346" s="775">
        <f ca="1">SUMIF(CT_tram!$B$1632:$G$2211,kl!B346,CT_tram!$G$1632:$G$2211)</f>
        <v>0</v>
      </c>
      <c r="AA346" s="775">
        <f ca="1">SUMIF(CT_tram!$B$2243:$G$2384,kl!B346,CT_tram!$G$2243:$G$2384)</f>
        <v>0</v>
      </c>
      <c r="AB346" s="775">
        <f ca="1">SUMIF(CT_tram!$B$2391:$G$2563,kl!B346,CT_tram!$G$2391:$G$2563)</f>
        <v>0</v>
      </c>
      <c r="AC346" s="775">
        <f ca="1">SUMIF(chitiet!$B$13:$N$2352,kl!$B346,chitiet!$I$13:$I$2352)</f>
        <v>0</v>
      </c>
      <c r="AD346" s="775">
        <f ca="1">SUMIF(chitiet!$B$13:$N$2352,kl!$B346,chitiet!$J$13:$J$2352)</f>
        <v>0</v>
      </c>
      <c r="AE346" s="775">
        <f ca="1">SUMIF(chitiet!$B$13:$N$2352,kl!$B346,chitiet!$K$13:$K$2352)</f>
        <v>0</v>
      </c>
      <c r="AF346" s="775">
        <f ca="1">SUMIF(chitiet!$B$13:$N$2352,kl!$B346,chitiet!$L$13:$L$2352)</f>
        <v>0</v>
      </c>
      <c r="AG346" s="775">
        <f ca="1">SUMIF(chitiet!$B$13:$N$2352,kl!$B346,chitiet!$M$13)</f>
        <v>0</v>
      </c>
      <c r="AH346" s="775">
        <f ca="1">SUMIF(chitiet!$B$13:$N$2352,kl!$B346,chitiet!$N$13:$N$2352)</f>
        <v>0</v>
      </c>
      <c r="AI346" s="775">
        <f ca="1">SUMIF(chitiet!$B$13:$N$2352,kl!$B346,chitiet!$O$13:$O$2352)</f>
        <v>0</v>
      </c>
      <c r="AJ346" s="775">
        <f ca="1">SUMIF('Cap ngam'!$B$631:$G$723,kl!$B346,'Cap ngam'!$G$631:$G$723)</f>
        <v>0</v>
      </c>
      <c r="AK346" s="775">
        <f ca="1">SUMIF('Cap ngam'!$B$403:$G$628,kl!$B346,'Cap ngam'!G$403:G$628)</f>
        <v>0</v>
      </c>
      <c r="AL346" s="775">
        <f ca="1">SUMIF('Cap ngam'!B$16:G$400,kl!$B346,'Cap ngam'!G$16:G$400)</f>
        <v>0</v>
      </c>
      <c r="AM346" s="776">
        <v>3.5</v>
      </c>
      <c r="AN346" s="775">
        <f t="shared" ca="1" si="181"/>
        <v>0</v>
      </c>
      <c r="AO346" s="775">
        <f t="shared" ca="1" si="182"/>
        <v>0</v>
      </c>
      <c r="AP346" s="775">
        <f t="shared" ca="1" si="183"/>
        <v>0</v>
      </c>
      <c r="AQ346" s="775">
        <f t="shared" ca="1" si="184"/>
        <v>0</v>
      </c>
      <c r="AR346" s="775">
        <f t="shared" ca="1" si="185"/>
        <v>0</v>
      </c>
      <c r="AS346" s="775">
        <f t="shared" ca="1" si="186"/>
        <v>0</v>
      </c>
      <c r="AT346" s="775">
        <f t="shared" ca="1" si="187"/>
        <v>0</v>
      </c>
      <c r="AU346" s="775">
        <f t="shared" ca="1" si="188"/>
        <v>0</v>
      </c>
      <c r="AV346" s="775">
        <f t="shared" ca="1" si="189"/>
        <v>0</v>
      </c>
      <c r="AW346" s="775">
        <f t="shared" ca="1" si="190"/>
        <v>0</v>
      </c>
      <c r="AX346" s="775">
        <f t="shared" si="191"/>
        <v>0</v>
      </c>
      <c r="AY346" s="775">
        <f t="shared" ca="1" si="192"/>
        <v>0</v>
      </c>
      <c r="AZ346" s="775">
        <f t="shared" si="193"/>
        <v>0</v>
      </c>
      <c r="BA346" s="775">
        <f t="shared" ca="1" si="172"/>
        <v>0</v>
      </c>
      <c r="BB346" s="775">
        <f t="shared" ca="1" si="173"/>
        <v>0</v>
      </c>
      <c r="BC346" s="775">
        <f t="shared" ca="1" si="174"/>
        <v>0</v>
      </c>
      <c r="BD346" s="775">
        <f t="shared" ca="1" si="175"/>
        <v>0</v>
      </c>
      <c r="BE346" s="775">
        <f t="shared" ca="1" si="176"/>
        <v>0</v>
      </c>
      <c r="BF346" s="775">
        <f t="shared" ca="1" si="177"/>
        <v>0</v>
      </c>
      <c r="BG346" s="775">
        <f t="shared" ca="1" si="178"/>
        <v>0</v>
      </c>
      <c r="BH346" s="775">
        <f t="shared" ca="1" si="194"/>
        <v>0</v>
      </c>
      <c r="BI346" s="775">
        <f t="shared" ca="1" si="195"/>
        <v>0</v>
      </c>
      <c r="BJ346" s="775">
        <f t="shared" ca="1" si="196"/>
        <v>0</v>
      </c>
      <c r="BK346" s="775">
        <f t="shared" ca="1" si="197"/>
        <v>0</v>
      </c>
      <c r="BL346" s="775">
        <f t="shared" ca="1" si="198"/>
        <v>0</v>
      </c>
      <c r="BM346" s="775">
        <f t="shared" ca="1" si="199"/>
        <v>0</v>
      </c>
      <c r="BN346" s="775">
        <f t="shared" ca="1" si="200"/>
        <v>0</v>
      </c>
      <c r="BO346" s="775">
        <f t="shared" ca="1" si="201"/>
        <v>0</v>
      </c>
      <c r="BP346" s="775">
        <f t="shared" ca="1" si="202"/>
        <v>0</v>
      </c>
      <c r="BQ346" s="775">
        <f t="shared" ca="1" si="170"/>
        <v>0</v>
      </c>
      <c r="BR346" s="775">
        <f t="shared" ca="1" si="203"/>
        <v>0</v>
      </c>
    </row>
    <row r="347" spans="1:70">
      <c r="A347" s="767" t="str">
        <f t="shared" ca="1" si="219"/>
        <v/>
      </c>
      <c r="B347" s="767" t="s">
        <v>1009</v>
      </c>
      <c r="C347" s="188" t="str">
        <f ca="1">IF(F347=0,"",COUNTIF($F$78:$F347,"&gt;0"))</f>
        <v/>
      </c>
      <c r="D347" s="778" t="str">
        <f>VLOOKUP($B347,dongia1,DG!$C$5,)</f>
        <v>Ty neo Þ22x3700</v>
      </c>
      <c r="E347" s="555" t="str">
        <f>VLOOKUP($B347,dongia1,DG!$D$5,)</f>
        <v>cái</v>
      </c>
      <c r="F347" s="779">
        <f t="shared" ca="1" si="218"/>
        <v>0</v>
      </c>
      <c r="G347" s="775">
        <f t="shared" ca="1" si="217"/>
        <v>0</v>
      </c>
      <c r="H347" s="775">
        <f ca="1">SUMIF(CT_tram!$B$33:$G$3559,kl!B347,CT_tram!$G$33:$G$3559)</f>
        <v>0</v>
      </c>
      <c r="I347" s="775">
        <f ca="1">SUMIF(CT_tram!$B$34:$G$115,$B347,CT_tram!$G$34:$G$115)</f>
        <v>0</v>
      </c>
      <c r="J347" s="775">
        <f ca="1">SUMIF(CT_tram!$B$122:$G$204,$B347,CT_tram!$G$122:$G$204)</f>
        <v>0</v>
      </c>
      <c r="K347" s="775">
        <f ca="1">SUMIF(CT_tram!$B$211:$G$293,$B347,CT_tram!$G$211:$G$293)</f>
        <v>0</v>
      </c>
      <c r="L347" s="775">
        <f ca="1">SUMIF(CT_tram!$B$300:$G$374,$B347,CT_tram!$G$300:$G$374)</f>
        <v>0</v>
      </c>
      <c r="M347" s="775">
        <f ca="1">SUMIF(CT_tram!$B$381:$G$471,$B347,CT_tram!$G$381:$G$471)</f>
        <v>0</v>
      </c>
      <c r="N347" s="775">
        <f ca="1">SUMIF(CT_tram!$B$478:$G$560,$B347,CT_tram!$G$478:$G$560)</f>
        <v>0</v>
      </c>
      <c r="O347" s="775">
        <f ca="1">SUMIF(CT_tram!$B$567:$G$653,$B347,CT_tram!$G$567:$G$653)</f>
        <v>0</v>
      </c>
      <c r="P347" s="775">
        <f ca="1">SUMIF(CT_tram!$B$661:$G$738,$B347,CT_tram!$G$661:$G$738)</f>
        <v>0</v>
      </c>
      <c r="Q347" s="775">
        <f ca="1">SUMIF(CT_tram!$B$745:$G$899,$B347,CT_tram!$G$745:$G$899)</f>
        <v>0</v>
      </c>
      <c r="R347" s="775">
        <f ca="1">SUMIF(CT_tram!$B$907:$G$995,$B347,CT_tram!$G$907:$G$995)</f>
        <v>0</v>
      </c>
      <c r="S347" s="775"/>
      <c r="T347" s="775">
        <f ca="1">SUMIF(CT_tram!$B$1004:$G$1097,B347,CT_tram!$G$1004:$G$1097)</f>
        <v>0</v>
      </c>
      <c r="U347" s="775"/>
      <c r="V347" s="775">
        <f ca="1">SUMIF(CT_tram!$B$1226:$G$1352,kl!B347,CT_tram!$G$1226:$G$1352)</f>
        <v>0</v>
      </c>
      <c r="W347" s="780">
        <f ca="1">SUMIF(CT_tram!$B$1105:$G$1219,kl!B347,CT_tram!$G$1105:$G$1219)</f>
        <v>0</v>
      </c>
      <c r="X347" s="775">
        <f ca="1">SUMIF(CT_tram!$B$1359:$G$1504,kl!B347,CT_tram!$G$1359:$G$1504)</f>
        <v>0</v>
      </c>
      <c r="Y347" s="775">
        <f ca="1">SUMIF(CT_tram!$B$1511:$G$1625,kl!B347,CT_tram!$G$1511:$G$1625)</f>
        <v>0</v>
      </c>
      <c r="Z347" s="775">
        <f ca="1">SUMIF(CT_tram!$B$1632:$G$2211,kl!B347,CT_tram!$G$1632:$G$2211)</f>
        <v>0</v>
      </c>
      <c r="AA347" s="775">
        <f ca="1">SUMIF(CT_tram!$B$2243:$G$2384,kl!B347,CT_tram!$G$2243:$G$2384)</f>
        <v>0</v>
      </c>
      <c r="AB347" s="775">
        <f ca="1">SUMIF(CT_tram!$B$2391:$G$2563,kl!B347,CT_tram!$G$2391:$G$2563)</f>
        <v>0</v>
      </c>
      <c r="AC347" s="775">
        <f ca="1">SUMIF(chitiet!$B$13:$N$2352,kl!$B347,chitiet!$I$13:$I$2352)</f>
        <v>0</v>
      </c>
      <c r="AD347" s="775">
        <f ca="1">SUMIF(chitiet!$B$13:$N$2352,kl!$B347,chitiet!$J$13:$J$2352)</f>
        <v>0</v>
      </c>
      <c r="AE347" s="775">
        <f ca="1">SUMIF(chitiet!$B$13:$N$2352,kl!$B347,chitiet!$K$13:$K$2352)</f>
        <v>0</v>
      </c>
      <c r="AF347" s="775">
        <f ca="1">SUMIF(chitiet!$B$13:$N$2352,kl!$B347,chitiet!$L$13:$L$2352)</f>
        <v>0</v>
      </c>
      <c r="AG347" s="775">
        <f ca="1">SUMIF(chitiet!$B$13:$N$2352,kl!$B347,chitiet!$M$13)</f>
        <v>0</v>
      </c>
      <c r="AH347" s="775">
        <f ca="1">SUMIF(chitiet!$B$13:$N$2352,kl!$B347,chitiet!$N$13:$N$2352)</f>
        <v>0</v>
      </c>
      <c r="AI347" s="775">
        <f ca="1">SUMIF(chitiet!$B$13:$N$2352,kl!$B347,chitiet!$O$13:$O$2352)</f>
        <v>0</v>
      </c>
      <c r="AJ347" s="775">
        <f ca="1">SUMIF('Cap ngam'!$B$631:$G$723,kl!$B347,'Cap ngam'!$G$631:$G$723)</f>
        <v>0</v>
      </c>
      <c r="AK347" s="775">
        <f ca="1">SUMIF('Cap ngam'!$B$403:$G$628,kl!$B347,'Cap ngam'!G$403:G$628)</f>
        <v>0</v>
      </c>
      <c r="AL347" s="775">
        <f ca="1">SUMIF('Cap ngam'!B$16:G$400,kl!$B347,'Cap ngam'!G$16:G$400)</f>
        <v>0</v>
      </c>
      <c r="AM347" s="776">
        <v>6</v>
      </c>
      <c r="AN347" s="775">
        <f t="shared" ca="1" si="181"/>
        <v>0</v>
      </c>
      <c r="AO347" s="775">
        <f t="shared" ca="1" si="182"/>
        <v>0</v>
      </c>
      <c r="AP347" s="775">
        <f t="shared" ca="1" si="183"/>
        <v>0</v>
      </c>
      <c r="AQ347" s="775">
        <f t="shared" ca="1" si="184"/>
        <v>0</v>
      </c>
      <c r="AR347" s="775">
        <f t="shared" ca="1" si="185"/>
        <v>0</v>
      </c>
      <c r="AS347" s="775">
        <f t="shared" ca="1" si="186"/>
        <v>0</v>
      </c>
      <c r="AT347" s="775">
        <f t="shared" ca="1" si="187"/>
        <v>0</v>
      </c>
      <c r="AU347" s="775">
        <f t="shared" ca="1" si="188"/>
        <v>0</v>
      </c>
      <c r="AV347" s="775">
        <f t="shared" ca="1" si="189"/>
        <v>0</v>
      </c>
      <c r="AW347" s="775">
        <f t="shared" ca="1" si="190"/>
        <v>0</v>
      </c>
      <c r="AX347" s="775">
        <f t="shared" si="191"/>
        <v>0</v>
      </c>
      <c r="AY347" s="775">
        <f t="shared" ca="1" si="192"/>
        <v>0</v>
      </c>
      <c r="AZ347" s="775">
        <f t="shared" si="193"/>
        <v>0</v>
      </c>
      <c r="BA347" s="775">
        <f t="shared" ca="1" si="172"/>
        <v>0</v>
      </c>
      <c r="BB347" s="775">
        <f t="shared" ca="1" si="173"/>
        <v>0</v>
      </c>
      <c r="BC347" s="775">
        <f t="shared" ca="1" si="174"/>
        <v>0</v>
      </c>
      <c r="BD347" s="775">
        <f t="shared" ca="1" si="175"/>
        <v>0</v>
      </c>
      <c r="BE347" s="775">
        <f t="shared" ca="1" si="176"/>
        <v>0</v>
      </c>
      <c r="BF347" s="775">
        <f t="shared" ca="1" si="177"/>
        <v>0</v>
      </c>
      <c r="BG347" s="775">
        <f t="shared" ca="1" si="178"/>
        <v>0</v>
      </c>
      <c r="BH347" s="775">
        <f t="shared" ca="1" si="194"/>
        <v>0</v>
      </c>
      <c r="BI347" s="775">
        <f t="shared" ca="1" si="195"/>
        <v>0</v>
      </c>
      <c r="BJ347" s="775">
        <f t="shared" ca="1" si="196"/>
        <v>0</v>
      </c>
      <c r="BK347" s="775">
        <f t="shared" ca="1" si="197"/>
        <v>0</v>
      </c>
      <c r="BL347" s="775">
        <f t="shared" ca="1" si="198"/>
        <v>0</v>
      </c>
      <c r="BM347" s="775">
        <f t="shared" ca="1" si="199"/>
        <v>0</v>
      </c>
      <c r="BN347" s="775">
        <f t="shared" ca="1" si="200"/>
        <v>0</v>
      </c>
      <c r="BO347" s="775">
        <f t="shared" ca="1" si="201"/>
        <v>0</v>
      </c>
      <c r="BP347" s="775">
        <f t="shared" ca="1" si="202"/>
        <v>0</v>
      </c>
      <c r="BQ347" s="775">
        <f t="shared" ca="1" si="170"/>
        <v>0</v>
      </c>
      <c r="BR347" s="775">
        <f t="shared" ca="1" si="203"/>
        <v>0</v>
      </c>
    </row>
    <row r="348" spans="1:70">
      <c r="A348" s="767" t="str">
        <f ca="1">IF(F348&lt;&gt;0,"X","")</f>
        <v/>
      </c>
      <c r="B348" s="131" t="s">
        <v>715</v>
      </c>
      <c r="C348" s="188" t="str">
        <f ca="1">IF(F348=0,"",COUNTIF($F$78:$F348,"&gt;0"))</f>
        <v/>
      </c>
      <c r="D348" s="778" t="str">
        <f>VLOOKUP($B348,dongia1,DG!$C$5,)</f>
        <v>Tủ CB trạm 1 pha + khóa + boulon</v>
      </c>
      <c r="E348" s="555" t="str">
        <f>VLOOKUP($B348,dongia1,DG!$D$5,)</f>
        <v>cái</v>
      </c>
      <c r="F348" s="779">
        <f t="shared" ca="1" si="218"/>
        <v>0</v>
      </c>
      <c r="G348" s="775">
        <f t="shared" ca="1" si="217"/>
        <v>0</v>
      </c>
      <c r="H348" s="775">
        <f ca="1">SUMIF(CT_tram!$B$33:$G$3559,kl!B348,CT_tram!$G$33:$G$3559)</f>
        <v>0</v>
      </c>
      <c r="I348" s="775">
        <f ca="1">SUMIF(CT_tram!$B$34:$G$115,$B348,CT_tram!$G$34:$G$115)</f>
        <v>0</v>
      </c>
      <c r="J348" s="775">
        <f ca="1">SUMIF(CT_tram!$B$122:$G$204,$B348,CT_tram!$G$122:$G$204)</f>
        <v>0</v>
      </c>
      <c r="K348" s="775">
        <f ca="1">SUMIF(CT_tram!$B$211:$G$293,$B348,CT_tram!$G$211:$G$293)</f>
        <v>0</v>
      </c>
      <c r="L348" s="775">
        <f ca="1">SUMIF(CT_tram!$B$300:$G$374,$B348,CT_tram!$G$300:$G$374)</f>
        <v>0</v>
      </c>
      <c r="M348" s="775">
        <f ca="1">SUMIF(CT_tram!$B$381:$G$471,$B348,CT_tram!$G$381:$G$471)</f>
        <v>0</v>
      </c>
      <c r="N348" s="775">
        <f ca="1">SUMIF(CT_tram!$B$478:$G$560,$B348,CT_tram!$G$478:$G$560)</f>
        <v>0</v>
      </c>
      <c r="O348" s="775">
        <f ca="1">SUMIF(CT_tram!$B$567:$G$653,$B348,CT_tram!$G$567:$G$653)</f>
        <v>0</v>
      </c>
      <c r="P348" s="775">
        <f ca="1">SUMIF(CT_tram!$B$661:$G$738,$B348,CT_tram!$G$661:$G$738)</f>
        <v>0</v>
      </c>
      <c r="Q348" s="775">
        <f ca="1">SUMIF(CT_tram!$B$745:$G$899,$B348,CT_tram!$G$745:$G$899)</f>
        <v>0</v>
      </c>
      <c r="R348" s="775">
        <f ca="1">SUMIF(CT_tram!$B$907:$G$995,$B348,CT_tram!$G$907:$G$995)</f>
        <v>0</v>
      </c>
      <c r="S348" s="775"/>
      <c r="T348" s="775">
        <f ca="1">SUMIF(CT_tram!$B$1004:$G$1097,B348,CT_tram!$G$1004:$G$1097)</f>
        <v>0</v>
      </c>
      <c r="U348" s="775"/>
      <c r="V348" s="775">
        <f ca="1">SUMIF(CT_tram!$B$1226:$G$1352,kl!B348,CT_tram!$G$1226:$G$1352)</f>
        <v>0</v>
      </c>
      <c r="W348" s="780">
        <f ca="1">SUMIF(CT_tram!$B$1105:$G$1219,kl!B348,CT_tram!$G$1105:$G$1219)</f>
        <v>0</v>
      </c>
      <c r="X348" s="775">
        <f ca="1">SUMIF(CT_tram!$B$1359:$G$1504,kl!B348,CT_tram!$G$1359:$G$1504)</f>
        <v>0</v>
      </c>
      <c r="Y348" s="775">
        <f ca="1">SUMIF(CT_tram!$B$1511:$G$1625,kl!B348,CT_tram!$G$1511:$G$1625)</f>
        <v>0</v>
      </c>
      <c r="Z348" s="775">
        <f ca="1">SUMIF(CT_tram!$B$1632:$G$2211,kl!B348,CT_tram!$G$1632:$G$2211)</f>
        <v>0</v>
      </c>
      <c r="AA348" s="775">
        <f ca="1">SUMIF(CT_tram!$B$2243:$G$2384,kl!B348,CT_tram!$G$2243:$G$2384)</f>
        <v>0</v>
      </c>
      <c r="AB348" s="775">
        <f ca="1">SUMIF(CT_tram!$B$2391:$G$2563,kl!B348,CT_tram!$G$2391:$G$2563)</f>
        <v>0</v>
      </c>
      <c r="AC348" s="775">
        <f ca="1">SUMIF(chitiet!$B$13:$N$2352,kl!$B348,chitiet!$I$13:$I$2352)</f>
        <v>0</v>
      </c>
      <c r="AD348" s="775">
        <f ca="1">SUMIF(chitiet!$B$13:$N$2352,kl!$B348,chitiet!$J$13:$J$2352)</f>
        <v>0</v>
      </c>
      <c r="AE348" s="775">
        <f ca="1">SUMIF(chitiet!$B$13:$N$2352,kl!$B348,chitiet!$K$13:$K$2352)</f>
        <v>0</v>
      </c>
      <c r="AF348" s="775">
        <f ca="1">SUMIF(chitiet!$B$13:$N$2352,kl!$B348,chitiet!$L$13:$L$2352)</f>
        <v>0</v>
      </c>
      <c r="AG348" s="775">
        <f ca="1">SUMIF(chitiet!$B$13:$N$2352,kl!$B348,chitiet!$M$13)</f>
        <v>0</v>
      </c>
      <c r="AH348" s="775">
        <f ca="1">SUMIF(chitiet!$B$13:$N$2352,kl!$B348,chitiet!$N$13:$N$2352)</f>
        <v>0</v>
      </c>
      <c r="AI348" s="775">
        <f ca="1">SUMIF(chitiet!$B$13:$N$2352,kl!$B348,chitiet!$O$13:$O$2352)</f>
        <v>0</v>
      </c>
      <c r="AJ348" s="775">
        <f ca="1">SUMIF('Cap ngam'!$B$631:$G$723,kl!$B348,'Cap ngam'!$G$631:$G$723)</f>
        <v>0</v>
      </c>
      <c r="AK348" s="775">
        <f ca="1">SUMIF('Cap ngam'!$B$403:$G$628,kl!$B348,'Cap ngam'!G$403:G$628)</f>
        <v>0</v>
      </c>
      <c r="AL348" s="775">
        <f ca="1">SUMIF('Cap ngam'!B$16:G$400,kl!$B348,'Cap ngam'!G$16:G$400)</f>
        <v>0</v>
      </c>
      <c r="AM348" s="776">
        <v>15</v>
      </c>
      <c r="AN348" s="775">
        <f t="shared" ca="1" si="181"/>
        <v>0</v>
      </c>
      <c r="AO348" s="775">
        <f t="shared" ca="1" si="182"/>
        <v>0</v>
      </c>
      <c r="AP348" s="775">
        <f t="shared" ca="1" si="183"/>
        <v>0</v>
      </c>
      <c r="AQ348" s="775">
        <f t="shared" ca="1" si="184"/>
        <v>0</v>
      </c>
      <c r="AR348" s="775">
        <f t="shared" ca="1" si="185"/>
        <v>0</v>
      </c>
      <c r="AS348" s="775">
        <f t="shared" ca="1" si="186"/>
        <v>0</v>
      </c>
      <c r="AT348" s="775">
        <f t="shared" ca="1" si="187"/>
        <v>0</v>
      </c>
      <c r="AU348" s="775">
        <f t="shared" ca="1" si="188"/>
        <v>0</v>
      </c>
      <c r="AV348" s="775">
        <f t="shared" ca="1" si="189"/>
        <v>0</v>
      </c>
      <c r="AW348" s="775">
        <f t="shared" ca="1" si="190"/>
        <v>0</v>
      </c>
      <c r="AX348" s="775">
        <f t="shared" si="191"/>
        <v>0</v>
      </c>
      <c r="AY348" s="775">
        <f t="shared" ca="1" si="192"/>
        <v>0</v>
      </c>
      <c r="AZ348" s="775">
        <f t="shared" si="193"/>
        <v>0</v>
      </c>
      <c r="BA348" s="775">
        <f t="shared" ca="1" si="172"/>
        <v>0</v>
      </c>
      <c r="BB348" s="775">
        <f t="shared" ca="1" si="173"/>
        <v>0</v>
      </c>
      <c r="BC348" s="775">
        <f t="shared" ca="1" si="174"/>
        <v>0</v>
      </c>
      <c r="BD348" s="775">
        <f t="shared" ca="1" si="175"/>
        <v>0</v>
      </c>
      <c r="BE348" s="775">
        <f t="shared" ca="1" si="176"/>
        <v>0</v>
      </c>
      <c r="BF348" s="775">
        <f t="shared" ca="1" si="177"/>
        <v>0</v>
      </c>
      <c r="BG348" s="775">
        <f t="shared" ca="1" si="178"/>
        <v>0</v>
      </c>
      <c r="BH348" s="775">
        <f t="shared" ca="1" si="194"/>
        <v>0</v>
      </c>
      <c r="BI348" s="775">
        <f t="shared" ca="1" si="195"/>
        <v>0</v>
      </c>
      <c r="BJ348" s="775">
        <f t="shared" ca="1" si="196"/>
        <v>0</v>
      </c>
      <c r="BK348" s="775">
        <f t="shared" ca="1" si="197"/>
        <v>0</v>
      </c>
      <c r="BL348" s="775">
        <f t="shared" ca="1" si="198"/>
        <v>0</v>
      </c>
      <c r="BM348" s="775">
        <f t="shared" ca="1" si="199"/>
        <v>0</v>
      </c>
      <c r="BN348" s="775">
        <f t="shared" ca="1" si="200"/>
        <v>0</v>
      </c>
      <c r="BO348" s="775">
        <f t="shared" ca="1" si="201"/>
        <v>0</v>
      </c>
      <c r="BP348" s="775">
        <f t="shared" ca="1" si="202"/>
        <v>0</v>
      </c>
      <c r="BQ348" s="775">
        <f t="shared" ca="1" si="170"/>
        <v>0</v>
      </c>
      <c r="BR348" s="775">
        <f t="shared" ca="1" si="203"/>
        <v>0</v>
      </c>
    </row>
    <row r="349" spans="1:70">
      <c r="A349" s="767" t="str">
        <f t="shared" ca="1" si="219"/>
        <v/>
      </c>
      <c r="B349" s="131" t="s">
        <v>717</v>
      </c>
      <c r="C349" s="188" t="str">
        <f ca="1">IF(F349=0,"",COUNTIF($F$78:$F349,"&gt;0"))</f>
        <v/>
      </c>
      <c r="D349" s="778" t="str">
        <f>VLOOKUP($B349,dongia1,DG!$C$5,)</f>
        <v>Vỏ tủ + khóa tủ</v>
      </c>
      <c r="E349" s="555" t="str">
        <f>VLOOKUP($B349,dongia1,DG!$D$5,)</f>
        <v>cái</v>
      </c>
      <c r="F349" s="975">
        <f t="shared" ref="F349:F359" ca="1" si="220">G349+H349</f>
        <v>0</v>
      </c>
      <c r="G349" s="976">
        <f t="shared" ca="1" si="217"/>
        <v>0</v>
      </c>
      <c r="H349" s="976">
        <f ca="1">SUMIF(CT_tram!$B$33:$G$3559,kl!B349,CT_tram!$G$33:$G$3559)</f>
        <v>0</v>
      </c>
      <c r="I349" s="775">
        <f ca="1">SUMIF(CT_tram!$B$34:$G$115,$B349,CT_tram!$G$34:$G$115)</f>
        <v>0</v>
      </c>
      <c r="J349" s="775">
        <f ca="1">SUMIF(CT_tram!$B$122:$G$204,$B349,CT_tram!$G$122:$G$204)</f>
        <v>0</v>
      </c>
      <c r="K349" s="775">
        <f ca="1">SUMIF(CT_tram!$B$211:$G$293,$B349,CT_tram!$G$211:$G$293)</f>
        <v>0</v>
      </c>
      <c r="L349" s="775">
        <f ca="1">SUMIF(CT_tram!$B$300:$G$374,$B349,CT_tram!$G$300:$G$374)</f>
        <v>0</v>
      </c>
      <c r="M349" s="775">
        <f ca="1">SUMIF(CT_tram!$B$381:$G$471,$B349,CT_tram!$G$381:$G$471)</f>
        <v>0</v>
      </c>
      <c r="N349" s="775">
        <f ca="1">SUMIF(CT_tram!$B$478:$G$560,$B349,CT_tram!$G$478:$G$560)</f>
        <v>0</v>
      </c>
      <c r="O349" s="775">
        <f ca="1">SUMIF(CT_tram!$B$567:$G$653,$B349,CT_tram!$G$567:$G$653)</f>
        <v>0</v>
      </c>
      <c r="P349" s="775">
        <f ca="1">SUMIF(CT_tram!$B$661:$G$738,$B349,CT_tram!$G$661:$G$738)</f>
        <v>0</v>
      </c>
      <c r="Q349" s="775">
        <f ca="1">SUMIF(CT_tram!$B$745:$G$899,$B349,CT_tram!$G$745:$G$899)</f>
        <v>0</v>
      </c>
      <c r="R349" s="775">
        <f ca="1">SUMIF(CT_tram!$B$907:$G$995,$B349,CT_tram!$G$907:$G$995)</f>
        <v>0</v>
      </c>
      <c r="S349" s="775"/>
      <c r="T349" s="775">
        <f ca="1">SUMIF(CT_tram!$B$1004:$G$1097,B349,CT_tram!$G$1004:$G$1097)</f>
        <v>0</v>
      </c>
      <c r="U349" s="775"/>
      <c r="V349" s="775">
        <f ca="1">SUMIF(CT_tram!$B$1226:$G$1352,kl!B349,CT_tram!$G$1226:$G$1352)</f>
        <v>0</v>
      </c>
      <c r="W349" s="780">
        <f ca="1">SUMIF(CT_tram!$B$1105:$G$1219,kl!B349,CT_tram!$G$1105:$G$1219)</f>
        <v>0</v>
      </c>
      <c r="X349" s="775">
        <f ca="1">SUMIF(CT_tram!$B$1359:$G$1504,kl!B349,CT_tram!$G$1359:$G$1504)</f>
        <v>0</v>
      </c>
      <c r="Y349" s="775">
        <f ca="1">SUMIF(CT_tram!$B$1511:$G$1625,kl!B349,CT_tram!$G$1511:$G$1625)</f>
        <v>0</v>
      </c>
      <c r="Z349" s="775">
        <f ca="1">SUMIF(CT_tram!$B$1632:$G$2211,kl!B349,CT_tram!$G$1632:$G$2211)</f>
        <v>0</v>
      </c>
      <c r="AA349" s="775">
        <f ca="1">SUMIF(CT_tram!$B$2243:$G$2384,kl!B349,CT_tram!$G$2243:$G$2384)</f>
        <v>0</v>
      </c>
      <c r="AB349" s="775">
        <f ca="1">SUMIF(CT_tram!$B$2391:$G$2563,kl!B349,CT_tram!$G$2391:$G$2563)</f>
        <v>0</v>
      </c>
      <c r="AC349" s="775">
        <f ca="1">SUMIF(chitiet!$B$13:$N$2352,kl!$B349,chitiet!$I$13:$I$2352)</f>
        <v>0</v>
      </c>
      <c r="AD349" s="775">
        <f ca="1">SUMIF(chitiet!$B$13:$N$2352,kl!$B349,chitiet!$J$13:$J$2352)</f>
        <v>0</v>
      </c>
      <c r="AE349" s="775">
        <f ca="1">SUMIF(chitiet!$B$13:$N$2352,kl!$B349,chitiet!$K$13:$K$2352)</f>
        <v>0</v>
      </c>
      <c r="AF349" s="775">
        <f ca="1">SUMIF(chitiet!$B$13:$N$2352,kl!$B349,chitiet!$L$13:$L$2352)</f>
        <v>0</v>
      </c>
      <c r="AG349" s="775">
        <f ca="1">SUMIF(chitiet!$B$13:$N$2352,kl!$B349,chitiet!$M$13)</f>
        <v>0</v>
      </c>
      <c r="AH349" s="775">
        <f ca="1">SUMIF(chitiet!$B$13:$N$2352,kl!$B349,chitiet!$N$13:$N$2352)</f>
        <v>0</v>
      </c>
      <c r="AI349" s="775">
        <f ca="1">SUMIF(chitiet!$B$13:$N$2352,kl!$B349,chitiet!$O$13:$O$2352)</f>
        <v>0</v>
      </c>
      <c r="AJ349" s="775">
        <f ca="1">SUMIF('Cap ngam'!$B$631:$G$723,kl!$B349,'Cap ngam'!$G$631:$G$723)</f>
        <v>0</v>
      </c>
      <c r="AK349" s="775">
        <f ca="1">SUMIF('Cap ngam'!$B$403:$G$628,kl!$B349,'Cap ngam'!G$403:G$628)</f>
        <v>0</v>
      </c>
      <c r="AL349" s="775">
        <f ca="1">SUMIF('Cap ngam'!B$16:G$400,kl!$B349,'Cap ngam'!G$16:G$400)</f>
        <v>0</v>
      </c>
      <c r="AM349" s="776">
        <v>15</v>
      </c>
      <c r="AN349" s="775">
        <f t="shared" ca="1" si="181"/>
        <v>0</v>
      </c>
      <c r="AO349" s="775">
        <f t="shared" ca="1" si="182"/>
        <v>0</v>
      </c>
      <c r="AP349" s="775">
        <f t="shared" ca="1" si="183"/>
        <v>0</v>
      </c>
      <c r="AQ349" s="775">
        <f t="shared" ca="1" si="184"/>
        <v>0</v>
      </c>
      <c r="AR349" s="775">
        <f t="shared" ca="1" si="185"/>
        <v>0</v>
      </c>
      <c r="AS349" s="775">
        <f t="shared" ca="1" si="186"/>
        <v>0</v>
      </c>
      <c r="AT349" s="775">
        <f t="shared" ca="1" si="187"/>
        <v>0</v>
      </c>
      <c r="AU349" s="775">
        <f t="shared" ca="1" si="188"/>
        <v>0</v>
      </c>
      <c r="AV349" s="775">
        <f t="shared" ca="1" si="189"/>
        <v>0</v>
      </c>
      <c r="AW349" s="775">
        <f t="shared" ca="1" si="190"/>
        <v>0</v>
      </c>
      <c r="AX349" s="775">
        <f t="shared" si="191"/>
        <v>0</v>
      </c>
      <c r="AY349" s="775">
        <f t="shared" ca="1" si="192"/>
        <v>0</v>
      </c>
      <c r="AZ349" s="775">
        <f t="shared" si="193"/>
        <v>0</v>
      </c>
      <c r="BA349" s="775">
        <f t="shared" ca="1" si="172"/>
        <v>0</v>
      </c>
      <c r="BB349" s="775">
        <f t="shared" ca="1" si="173"/>
        <v>0</v>
      </c>
      <c r="BC349" s="775">
        <f t="shared" ca="1" si="174"/>
        <v>0</v>
      </c>
      <c r="BD349" s="775">
        <f t="shared" ca="1" si="175"/>
        <v>0</v>
      </c>
      <c r="BE349" s="775">
        <f t="shared" ca="1" si="176"/>
        <v>0</v>
      </c>
      <c r="BF349" s="775">
        <f t="shared" ca="1" si="177"/>
        <v>0</v>
      </c>
      <c r="BG349" s="775">
        <f t="shared" ca="1" si="178"/>
        <v>0</v>
      </c>
      <c r="BH349" s="775">
        <f t="shared" ca="1" si="194"/>
        <v>0</v>
      </c>
      <c r="BI349" s="775">
        <f t="shared" ca="1" si="195"/>
        <v>0</v>
      </c>
      <c r="BJ349" s="775">
        <f t="shared" ca="1" si="196"/>
        <v>0</v>
      </c>
      <c r="BK349" s="775">
        <f t="shared" ca="1" si="197"/>
        <v>0</v>
      </c>
      <c r="BL349" s="775">
        <f t="shared" ca="1" si="198"/>
        <v>0</v>
      </c>
      <c r="BM349" s="775">
        <f t="shared" ca="1" si="199"/>
        <v>0</v>
      </c>
      <c r="BN349" s="775">
        <f t="shared" ca="1" si="200"/>
        <v>0</v>
      </c>
      <c r="BO349" s="775">
        <f t="shared" ca="1" si="201"/>
        <v>0</v>
      </c>
      <c r="BP349" s="775">
        <f t="shared" ca="1" si="202"/>
        <v>0</v>
      </c>
      <c r="BQ349" s="775">
        <f t="shared" ca="1" si="170"/>
        <v>0</v>
      </c>
      <c r="BR349" s="775">
        <f t="shared" ca="1" si="203"/>
        <v>0</v>
      </c>
    </row>
    <row r="350" spans="1:70">
      <c r="A350" s="767" t="str">
        <f t="shared" ca="1" si="219"/>
        <v/>
      </c>
      <c r="B350" s="131" t="s">
        <v>1095</v>
      </c>
      <c r="C350" s="188" t="str">
        <f ca="1">IF(F350=0,"",COUNTIF($F$78:$F350,"&gt;0"))</f>
        <v/>
      </c>
      <c r="D350" s="778" t="str">
        <f>VLOOKUP($B350,dongia1,DG!$C$5,)</f>
        <v>Vỏ tủ trạm giàn 2 ngăn + khóa tủ</v>
      </c>
      <c r="E350" s="555" t="str">
        <f>VLOOKUP($B350,dongia1,DG!$D$5,)</f>
        <v>cái</v>
      </c>
      <c r="F350" s="779">
        <f t="shared" ca="1" si="220"/>
        <v>0</v>
      </c>
      <c r="G350" s="775">
        <f t="shared" ca="1" si="217"/>
        <v>0</v>
      </c>
      <c r="H350" s="775">
        <f ca="1">SUMIF(CT_tram!$B$33:$G$3559,kl!B350,CT_tram!$G$33:$G$3559)</f>
        <v>0</v>
      </c>
      <c r="I350" s="775">
        <f ca="1">SUMIF(CT_tram!$B$34:$G$115,$B350,CT_tram!$G$34:$G$115)</f>
        <v>0</v>
      </c>
      <c r="J350" s="775">
        <f ca="1">SUMIF(CT_tram!$B$122:$G$204,$B350,CT_tram!$G$122:$G$204)</f>
        <v>0</v>
      </c>
      <c r="K350" s="775">
        <f ca="1">SUMIF(CT_tram!$B$211:$G$293,$B350,CT_tram!$G$211:$G$293)</f>
        <v>0</v>
      </c>
      <c r="L350" s="775">
        <f ca="1">SUMIF(CT_tram!$B$300:$G$374,$B350,CT_tram!$G$300:$G$374)</f>
        <v>0</v>
      </c>
      <c r="M350" s="775">
        <f ca="1">SUMIF(CT_tram!$B$381:$G$471,$B350,CT_tram!$G$381:$G$471)</f>
        <v>0</v>
      </c>
      <c r="N350" s="775">
        <f ca="1">SUMIF(CT_tram!$B$478:$G$560,$B350,CT_tram!$G$478:$G$560)</f>
        <v>0</v>
      </c>
      <c r="O350" s="775">
        <f ca="1">SUMIF(CT_tram!$B$567:$G$653,$B350,CT_tram!$G$567:$G$653)</f>
        <v>0</v>
      </c>
      <c r="P350" s="775">
        <f ca="1">SUMIF(CT_tram!$B$661:$G$738,$B350,CT_tram!$G$661:$G$738)</f>
        <v>0</v>
      </c>
      <c r="Q350" s="775">
        <f ca="1">SUMIF(CT_tram!$B$745:$G$899,$B350,CT_tram!$G$745:$G$899)</f>
        <v>0</v>
      </c>
      <c r="R350" s="775">
        <f ca="1">SUMIF(CT_tram!$B$907:$G$995,$B350,CT_tram!$G$907:$G$995)</f>
        <v>0</v>
      </c>
      <c r="S350" s="775"/>
      <c r="T350" s="775">
        <f ca="1">SUMIF(CT_tram!$B$1004:$G$1097,B350,CT_tram!$G$1004:$G$1097)</f>
        <v>0</v>
      </c>
      <c r="U350" s="775"/>
      <c r="V350" s="775">
        <f ca="1">SUMIF(CT_tram!$B$1226:$G$1352,kl!B350,CT_tram!$G$1226:$G$1352)</f>
        <v>0</v>
      </c>
      <c r="W350" s="780">
        <f ca="1">SUMIF(CT_tram!$B$1105:$G$1219,kl!B350,CT_tram!$G$1105:$G$1219)</f>
        <v>0</v>
      </c>
      <c r="X350" s="775">
        <f ca="1">SUMIF(CT_tram!$B$1359:$G$1504,kl!B350,CT_tram!$G$1359:$G$1504)</f>
        <v>0</v>
      </c>
      <c r="Y350" s="775">
        <f ca="1">SUMIF(CT_tram!$B$1511:$G$1625,kl!B350,CT_tram!$G$1511:$G$1625)</f>
        <v>0</v>
      </c>
      <c r="Z350" s="775">
        <f ca="1">SUMIF(CT_tram!$B$1632:$G$2211,kl!B350,CT_tram!$G$1632:$G$2211)</f>
        <v>0</v>
      </c>
      <c r="AA350" s="775">
        <f ca="1">SUMIF(CT_tram!$B$2243:$G$2384,kl!B350,CT_tram!$G$2243:$G$2384)</f>
        <v>0</v>
      </c>
      <c r="AB350" s="775">
        <f ca="1">SUMIF(CT_tram!$B$2391:$G$2563,kl!B350,CT_tram!$G$2391:$G$2563)</f>
        <v>0</v>
      </c>
      <c r="AC350" s="775">
        <f ca="1">SUMIF(chitiet!$B$13:$N$2352,kl!$B350,chitiet!$I$13:$I$2352)</f>
        <v>0</v>
      </c>
      <c r="AD350" s="775">
        <f ca="1">SUMIF(chitiet!$B$13:$N$2352,kl!$B350,chitiet!$J$13:$J$2352)</f>
        <v>0</v>
      </c>
      <c r="AE350" s="775">
        <f ca="1">SUMIF(chitiet!$B$13:$N$2352,kl!$B350,chitiet!$K$13:$K$2352)</f>
        <v>0</v>
      </c>
      <c r="AF350" s="775">
        <f ca="1">SUMIF(chitiet!$B$13:$N$2352,kl!$B350,chitiet!$L$13:$L$2352)</f>
        <v>0</v>
      </c>
      <c r="AG350" s="775">
        <f ca="1">SUMIF(chitiet!$B$13:$N$2352,kl!$B350,chitiet!$M$13)</f>
        <v>0</v>
      </c>
      <c r="AH350" s="775">
        <f ca="1">SUMIF(chitiet!$B$13:$N$2352,kl!$B350,chitiet!$N$13:$N$2352)</f>
        <v>0</v>
      </c>
      <c r="AI350" s="775">
        <f ca="1">SUMIF(chitiet!$B$13:$N$2352,kl!$B350,chitiet!$O$13:$O$2352)</f>
        <v>0</v>
      </c>
      <c r="AJ350" s="775">
        <f ca="1">SUMIF('Cap ngam'!$B$631:$G$723,kl!$B350,'Cap ngam'!$G$631:$G$723)</f>
        <v>0</v>
      </c>
      <c r="AK350" s="775">
        <f ca="1">SUMIF('Cap ngam'!$B$403:$G$628,kl!$B350,'Cap ngam'!G$403:G$628)</f>
        <v>0</v>
      </c>
      <c r="AL350" s="775">
        <f ca="1">SUMIF('Cap ngam'!B$16:G$400,kl!$B350,'Cap ngam'!G$16:G$400)</f>
        <v>0</v>
      </c>
      <c r="AM350" s="776">
        <v>25</v>
      </c>
      <c r="AN350" s="775">
        <f t="shared" ca="1" si="181"/>
        <v>0</v>
      </c>
      <c r="AO350" s="775">
        <f t="shared" ca="1" si="182"/>
        <v>0</v>
      </c>
      <c r="AP350" s="775">
        <f t="shared" ca="1" si="183"/>
        <v>0</v>
      </c>
      <c r="AQ350" s="775">
        <f t="shared" ca="1" si="184"/>
        <v>0</v>
      </c>
      <c r="AR350" s="775">
        <f t="shared" ca="1" si="185"/>
        <v>0</v>
      </c>
      <c r="AS350" s="775">
        <f t="shared" ca="1" si="186"/>
        <v>0</v>
      </c>
      <c r="AT350" s="775">
        <f t="shared" ca="1" si="187"/>
        <v>0</v>
      </c>
      <c r="AU350" s="775">
        <f t="shared" ca="1" si="188"/>
        <v>0</v>
      </c>
      <c r="AV350" s="775">
        <f t="shared" ca="1" si="189"/>
        <v>0</v>
      </c>
      <c r="AW350" s="775">
        <f t="shared" ca="1" si="190"/>
        <v>0</v>
      </c>
      <c r="AX350" s="775">
        <f t="shared" si="191"/>
        <v>0</v>
      </c>
      <c r="AY350" s="775">
        <f t="shared" ca="1" si="192"/>
        <v>0</v>
      </c>
      <c r="AZ350" s="775">
        <f t="shared" si="193"/>
        <v>0</v>
      </c>
      <c r="BA350" s="775">
        <f t="shared" ca="1" si="172"/>
        <v>0</v>
      </c>
      <c r="BB350" s="775">
        <f t="shared" ca="1" si="173"/>
        <v>0</v>
      </c>
      <c r="BC350" s="775">
        <f t="shared" ca="1" si="174"/>
        <v>0</v>
      </c>
      <c r="BD350" s="775">
        <f t="shared" ca="1" si="175"/>
        <v>0</v>
      </c>
      <c r="BE350" s="775">
        <f t="shared" ca="1" si="176"/>
        <v>0</v>
      </c>
      <c r="BF350" s="775">
        <f t="shared" ca="1" si="177"/>
        <v>0</v>
      </c>
      <c r="BG350" s="775">
        <f t="shared" ca="1" si="178"/>
        <v>0</v>
      </c>
      <c r="BH350" s="775">
        <f t="shared" ca="1" si="194"/>
        <v>0</v>
      </c>
      <c r="BI350" s="775">
        <f t="shared" ca="1" si="195"/>
        <v>0</v>
      </c>
      <c r="BJ350" s="775">
        <f t="shared" ca="1" si="196"/>
        <v>0</v>
      </c>
      <c r="BK350" s="775">
        <f t="shared" ca="1" si="197"/>
        <v>0</v>
      </c>
      <c r="BL350" s="775">
        <f t="shared" ca="1" si="198"/>
        <v>0</v>
      </c>
      <c r="BM350" s="775">
        <f t="shared" ca="1" si="199"/>
        <v>0</v>
      </c>
      <c r="BN350" s="775">
        <f t="shared" ca="1" si="200"/>
        <v>0</v>
      </c>
      <c r="BO350" s="775">
        <f t="shared" ca="1" si="201"/>
        <v>0</v>
      </c>
      <c r="BP350" s="775">
        <f t="shared" ca="1" si="202"/>
        <v>0</v>
      </c>
      <c r="BQ350" s="775">
        <f t="shared" ca="1" si="170"/>
        <v>0</v>
      </c>
      <c r="BR350" s="775">
        <f t="shared" ca="1" si="203"/>
        <v>0</v>
      </c>
    </row>
    <row r="351" spans="1:70">
      <c r="A351" s="767" t="str">
        <f ca="1">IF(F351&lt;&gt;0,"X","")</f>
        <v/>
      </c>
      <c r="B351" s="131" t="s">
        <v>332</v>
      </c>
      <c r="C351" s="188" t="str">
        <f ca="1">IF(F351=0,"",COUNTIF($F$78:$F351,"&gt;0"))</f>
        <v/>
      </c>
      <c r="D351" s="778" t="str">
        <f>VLOOKUP($B351,dongia1,DG!$C$5,)</f>
        <v>Tủ MCCB trạm giàn 2 ngăn</v>
      </c>
      <c r="E351" s="555" t="str">
        <f>VLOOKUP($B351,dongia1,DG!$D$5,)</f>
        <v>cái</v>
      </c>
      <c r="F351" s="975">
        <f ca="1">G351+H351</f>
        <v>0</v>
      </c>
      <c r="G351" s="976">
        <f t="shared" ca="1" si="217"/>
        <v>0</v>
      </c>
      <c r="H351" s="976">
        <f ca="1">SUMIF(CT_tram!$B$33:$G$3559,kl!B351,CT_tram!$G$33:$G$3559)</f>
        <v>0</v>
      </c>
      <c r="I351" s="775">
        <f ca="1">SUMIF(CT_tram!$B$34:$G$115,$B351,CT_tram!$G$34:$G$115)</f>
        <v>0</v>
      </c>
      <c r="J351" s="775">
        <f ca="1">SUMIF(CT_tram!$B$122:$G$204,$B351,CT_tram!$G$122:$G$204)</f>
        <v>0</v>
      </c>
      <c r="K351" s="775">
        <f ca="1">SUMIF(CT_tram!$B$211:$G$293,$B351,CT_tram!$G$211:$G$293)</f>
        <v>0</v>
      </c>
      <c r="L351" s="775">
        <f ca="1">SUMIF(CT_tram!$B$300:$G$374,$B351,CT_tram!$G$300:$G$374)</f>
        <v>0</v>
      </c>
      <c r="M351" s="775">
        <f ca="1">SUMIF(CT_tram!$B$381:$G$471,$B351,CT_tram!$G$381:$G$471)</f>
        <v>0</v>
      </c>
      <c r="N351" s="775">
        <f ca="1">SUMIF(CT_tram!$B$478:$G$560,$B351,CT_tram!$G$478:$G$560)</f>
        <v>0</v>
      </c>
      <c r="O351" s="775">
        <f ca="1">SUMIF(CT_tram!$B$567:$G$653,$B351,CT_tram!$G$567:$G$653)</f>
        <v>0</v>
      </c>
      <c r="P351" s="775">
        <f ca="1">SUMIF(CT_tram!$B$661:$G$738,$B351,CT_tram!$G$661:$G$738)</f>
        <v>0</v>
      </c>
      <c r="Q351" s="775">
        <f ca="1">SUMIF(CT_tram!$B$745:$G$899,$B351,CT_tram!$G$745:$G$899)</f>
        <v>0</v>
      </c>
      <c r="R351" s="775">
        <f ca="1">SUMIF(CT_tram!$B$907:$G$995,$B351,CT_tram!$G$907:$G$995)</f>
        <v>0</v>
      </c>
      <c r="S351" s="775"/>
      <c r="T351" s="775">
        <f ca="1">SUMIF(CT_tram!$B$1004:$G$1097,B351,CT_tram!$G$1004:$G$1097)</f>
        <v>0</v>
      </c>
      <c r="U351" s="775"/>
      <c r="V351" s="775">
        <f ca="1">SUMIF(CT_tram!$B$1226:$G$1352,kl!B351,CT_tram!$G$1226:$G$1352)</f>
        <v>0</v>
      </c>
      <c r="W351" s="780">
        <f ca="1">SUMIF(CT_tram!$B$1105:$G$1219,kl!B351,CT_tram!$G$1105:$G$1219)</f>
        <v>0</v>
      </c>
      <c r="X351" s="775">
        <f ca="1">SUMIF(CT_tram!$B$1359:$G$1504,kl!B351,CT_tram!$G$1359:$G$1504)</f>
        <v>0</v>
      </c>
      <c r="Y351" s="775">
        <f ca="1">SUMIF(CT_tram!$B$1511:$G$1625,kl!B351,CT_tram!$G$1511:$G$1625)</f>
        <v>0</v>
      </c>
      <c r="Z351" s="775">
        <f ca="1">SUMIF(CT_tram!$B$1632:$G$2211,kl!B351,CT_tram!$G$1632:$G$2211)</f>
        <v>0</v>
      </c>
      <c r="AA351" s="775">
        <f ca="1">SUMIF(CT_tram!$B$2243:$G$2384,kl!B351,CT_tram!$G$2243:$G$2384)</f>
        <v>0</v>
      </c>
      <c r="AB351" s="775">
        <f ca="1">SUMIF(CT_tram!$B$2391:$G$2563,kl!B351,CT_tram!$G$2391:$G$2563)</f>
        <v>0</v>
      </c>
      <c r="AC351" s="775">
        <f ca="1">SUMIF(chitiet!$B$13:$N$2352,kl!$B351,chitiet!$I$13:$I$2352)</f>
        <v>0</v>
      </c>
      <c r="AD351" s="775">
        <f ca="1">SUMIF(chitiet!$B$13:$N$2352,kl!$B351,chitiet!$J$13:$J$2352)</f>
        <v>0</v>
      </c>
      <c r="AE351" s="775">
        <f ca="1">SUMIF(chitiet!$B$13:$N$2352,kl!$B351,chitiet!$K$13:$K$2352)</f>
        <v>0</v>
      </c>
      <c r="AF351" s="775">
        <f ca="1">SUMIF(chitiet!$B$13:$N$2352,kl!$B351,chitiet!$L$13:$L$2352)</f>
        <v>0</v>
      </c>
      <c r="AG351" s="775">
        <f ca="1">SUMIF(chitiet!$B$13:$N$2352,kl!$B351,chitiet!$M$13)</f>
        <v>0</v>
      </c>
      <c r="AH351" s="775">
        <f ca="1">SUMIF(chitiet!$B$13:$N$2352,kl!$B351,chitiet!$N$13:$N$2352)</f>
        <v>0</v>
      </c>
      <c r="AI351" s="775">
        <f ca="1">SUMIF(chitiet!$B$13:$N$2352,kl!$B351,chitiet!$O$13:$O$2352)</f>
        <v>0</v>
      </c>
      <c r="AJ351" s="775">
        <f ca="1">SUMIF('Cap ngam'!$B$631:$G$723,kl!$B351,'Cap ngam'!$G$631:$G$723)</f>
        <v>0</v>
      </c>
      <c r="AK351" s="775">
        <f ca="1">SUMIF('Cap ngam'!$B$403:$G$628,kl!$B351,'Cap ngam'!G$403:G$628)</f>
        <v>0</v>
      </c>
      <c r="AL351" s="775">
        <f ca="1">SUMIF('Cap ngam'!B$16:G$400,kl!$B351,'Cap ngam'!G$16:G$400)</f>
        <v>0</v>
      </c>
      <c r="AM351" s="776">
        <v>26</v>
      </c>
      <c r="AN351" s="775">
        <f t="shared" ref="AN351:BP351" ca="1" si="221">I351*$AM351</f>
        <v>0</v>
      </c>
      <c r="AO351" s="775">
        <f t="shared" ca="1" si="221"/>
        <v>0</v>
      </c>
      <c r="AP351" s="775">
        <f t="shared" ca="1" si="221"/>
        <v>0</v>
      </c>
      <c r="AQ351" s="775">
        <f t="shared" ca="1" si="221"/>
        <v>0</v>
      </c>
      <c r="AR351" s="775">
        <f t="shared" ca="1" si="221"/>
        <v>0</v>
      </c>
      <c r="AS351" s="775">
        <f t="shared" ca="1" si="221"/>
        <v>0</v>
      </c>
      <c r="AT351" s="775">
        <f t="shared" ca="1" si="221"/>
        <v>0</v>
      </c>
      <c r="AU351" s="775">
        <f t="shared" ca="1" si="221"/>
        <v>0</v>
      </c>
      <c r="AV351" s="775">
        <f t="shared" ca="1" si="221"/>
        <v>0</v>
      </c>
      <c r="AW351" s="775">
        <f t="shared" ca="1" si="221"/>
        <v>0</v>
      </c>
      <c r="AX351" s="775">
        <f t="shared" si="221"/>
        <v>0</v>
      </c>
      <c r="AY351" s="775">
        <f t="shared" ca="1" si="221"/>
        <v>0</v>
      </c>
      <c r="AZ351" s="775">
        <f t="shared" si="221"/>
        <v>0</v>
      </c>
      <c r="BA351" s="775">
        <f t="shared" ca="1" si="221"/>
        <v>0</v>
      </c>
      <c r="BB351" s="775">
        <f t="shared" ca="1" si="221"/>
        <v>0</v>
      </c>
      <c r="BC351" s="775">
        <f t="shared" ca="1" si="221"/>
        <v>0</v>
      </c>
      <c r="BD351" s="775">
        <f t="shared" ca="1" si="221"/>
        <v>0</v>
      </c>
      <c r="BE351" s="775">
        <f t="shared" ca="1" si="221"/>
        <v>0</v>
      </c>
      <c r="BF351" s="775">
        <f t="shared" ca="1" si="221"/>
        <v>0</v>
      </c>
      <c r="BG351" s="775">
        <f t="shared" ca="1" si="221"/>
        <v>0</v>
      </c>
      <c r="BH351" s="775">
        <f t="shared" ca="1" si="221"/>
        <v>0</v>
      </c>
      <c r="BI351" s="775">
        <f t="shared" ca="1" si="221"/>
        <v>0</v>
      </c>
      <c r="BJ351" s="775">
        <f t="shared" ca="1" si="221"/>
        <v>0</v>
      </c>
      <c r="BK351" s="775">
        <f t="shared" ca="1" si="221"/>
        <v>0</v>
      </c>
      <c r="BL351" s="775">
        <f t="shared" ca="1" si="221"/>
        <v>0</v>
      </c>
      <c r="BM351" s="775">
        <f t="shared" ca="1" si="221"/>
        <v>0</v>
      </c>
      <c r="BN351" s="775">
        <f t="shared" ca="1" si="221"/>
        <v>0</v>
      </c>
      <c r="BO351" s="775">
        <f t="shared" ca="1" si="221"/>
        <v>0</v>
      </c>
      <c r="BP351" s="775">
        <f t="shared" ca="1" si="221"/>
        <v>0</v>
      </c>
      <c r="BQ351" s="775">
        <f t="shared" ca="1" si="170"/>
        <v>0</v>
      </c>
      <c r="BR351" s="775">
        <f t="shared" ca="1" si="203"/>
        <v>0</v>
      </c>
    </row>
    <row r="352" spans="1:70">
      <c r="A352" s="767" t="str">
        <f ca="1">IF(F352&lt;&gt;0,"X","")</f>
        <v/>
      </c>
      <c r="B352" s="131" t="s">
        <v>878</v>
      </c>
      <c r="C352" s="188" t="str">
        <f ca="1">IF(F352=0,"",COUNTIF($F$78:$F352,"&gt;0"))</f>
        <v/>
      </c>
      <c r="D352" s="778" t="str">
        <f>VLOOKUP($B352,dongia1,DG!$C$5,)</f>
        <v>Tủ CB trạm 3 pha + khoá + bulon</v>
      </c>
      <c r="E352" s="555" t="str">
        <f>VLOOKUP($B352,dongia1,DG!$D$5,)</f>
        <v>cái</v>
      </c>
      <c r="F352" s="779">
        <f ca="1">G352+H352</f>
        <v>0</v>
      </c>
      <c r="G352" s="775">
        <f t="shared" ca="1" si="217"/>
        <v>0</v>
      </c>
      <c r="H352" s="775">
        <f ca="1">SUMIF(CT_tram!$B$33:$G$3559,kl!B352,CT_tram!$G$33:$G$3559)</f>
        <v>0</v>
      </c>
      <c r="I352" s="775">
        <f ca="1">SUMIF(CT_tram!$B$34:$G$115,$B352,CT_tram!$G$34:$G$115)</f>
        <v>0</v>
      </c>
      <c r="J352" s="775">
        <f ca="1">SUMIF(CT_tram!$B$122:$G$204,$B352,CT_tram!$G$122:$G$204)</f>
        <v>0</v>
      </c>
      <c r="K352" s="775">
        <f ca="1">SUMIF(CT_tram!$B$211:$G$293,$B352,CT_tram!$G$211:$G$293)</f>
        <v>0</v>
      </c>
      <c r="L352" s="775">
        <f ca="1">SUMIF(CT_tram!$B$300:$G$374,$B352,CT_tram!$G$300:$G$374)</f>
        <v>0</v>
      </c>
      <c r="M352" s="775">
        <f ca="1">SUMIF(CT_tram!$B$381:$G$471,$B352,CT_tram!$G$381:$G$471)</f>
        <v>0</v>
      </c>
      <c r="N352" s="775">
        <f ca="1">SUMIF(CT_tram!$B$478:$G$560,$B352,CT_tram!$G$478:$G$560)</f>
        <v>0</v>
      </c>
      <c r="O352" s="775">
        <f ca="1">SUMIF(CT_tram!$B$567:$G$653,$B352,CT_tram!$G$567:$G$653)</f>
        <v>0</v>
      </c>
      <c r="P352" s="775">
        <f ca="1">SUMIF(CT_tram!$B$661:$G$738,$B352,CT_tram!$G$661:$G$738)</f>
        <v>0</v>
      </c>
      <c r="Q352" s="775">
        <f ca="1">SUMIF(CT_tram!$B$745:$G$899,$B352,CT_tram!$G$745:$G$899)</f>
        <v>0</v>
      </c>
      <c r="R352" s="775">
        <f ca="1">SUMIF(CT_tram!$B$907:$G$995,$B352,CT_tram!$G$907:$G$995)</f>
        <v>0</v>
      </c>
      <c r="S352" s="775"/>
      <c r="T352" s="775">
        <f ca="1">SUMIF(CT_tram!$B$1004:$G$1097,B352,CT_tram!$G$1004:$G$1097)</f>
        <v>0</v>
      </c>
      <c r="U352" s="775"/>
      <c r="V352" s="775">
        <f ca="1">SUMIF(CT_tram!$B$1226:$G$1352,kl!B352,CT_tram!$G$1226:$G$1352)</f>
        <v>0</v>
      </c>
      <c r="W352" s="780">
        <f ca="1">SUMIF(CT_tram!$B$1105:$G$1219,kl!B352,CT_tram!$G$1105:$G$1219)</f>
        <v>0</v>
      </c>
      <c r="X352" s="775">
        <f ca="1">SUMIF(CT_tram!$B$1359:$G$1504,kl!B352,CT_tram!$G$1359:$G$1504)</f>
        <v>0</v>
      </c>
      <c r="Y352" s="775">
        <f ca="1">SUMIF(CT_tram!$B$1511:$G$1625,kl!B352,CT_tram!$G$1511:$G$1625)</f>
        <v>0</v>
      </c>
      <c r="Z352" s="775">
        <f ca="1">SUMIF(CT_tram!$B$1632:$G$2211,kl!B352,CT_tram!$G$1632:$G$2211)</f>
        <v>0</v>
      </c>
      <c r="AA352" s="775">
        <f ca="1">SUMIF(CT_tram!$B$2243:$G$2384,kl!B352,CT_tram!$G$2243:$G$2384)</f>
        <v>0</v>
      </c>
      <c r="AB352" s="775">
        <f ca="1">SUMIF(CT_tram!$B$2391:$G$2563,kl!B352,CT_tram!$G$2391:$G$2563)</f>
        <v>0</v>
      </c>
      <c r="AC352" s="775">
        <f ca="1">SUMIF(chitiet!$B$13:$N$2352,kl!$B352,chitiet!$I$13:$I$2352)</f>
        <v>0</v>
      </c>
      <c r="AD352" s="775">
        <f ca="1">SUMIF(chitiet!$B$13:$N$2352,kl!$B352,chitiet!$J$13:$J$2352)</f>
        <v>0</v>
      </c>
      <c r="AE352" s="775">
        <f ca="1">SUMIF(chitiet!$B$13:$N$2352,kl!$B352,chitiet!$K$13:$K$2352)</f>
        <v>0</v>
      </c>
      <c r="AF352" s="775">
        <f ca="1">SUMIF(chitiet!$B$13:$N$2352,kl!$B352,chitiet!$L$13:$L$2352)</f>
        <v>0</v>
      </c>
      <c r="AG352" s="775">
        <f ca="1">SUMIF(chitiet!$B$13:$N$2352,kl!$B352,chitiet!$M$13)</f>
        <v>0</v>
      </c>
      <c r="AH352" s="775">
        <f ca="1">SUMIF(chitiet!$B$13:$N$2352,kl!$B352,chitiet!$N$13:$N$2352)</f>
        <v>0</v>
      </c>
      <c r="AI352" s="775">
        <f ca="1">SUMIF(chitiet!$B$13:$N$2352,kl!$B352,chitiet!$O$13:$O$2352)</f>
        <v>0</v>
      </c>
      <c r="AJ352" s="775">
        <f ca="1">SUMIF('Cap ngam'!$B$631:$G$723,kl!$B352,'Cap ngam'!$G$631:$G$723)</f>
        <v>0</v>
      </c>
      <c r="AK352" s="775">
        <f ca="1">SUMIF('Cap ngam'!$B$403:$G$628,kl!$B352,'Cap ngam'!G$403:G$628)</f>
        <v>0</v>
      </c>
      <c r="AL352" s="775">
        <f ca="1">SUMIF('Cap ngam'!B$16:G$400,kl!$B352,'Cap ngam'!G$16:G$400)</f>
        <v>0</v>
      </c>
      <c r="AM352" s="776">
        <v>25</v>
      </c>
      <c r="AN352" s="775">
        <f t="shared" ca="1" si="181"/>
        <v>0</v>
      </c>
      <c r="AO352" s="775">
        <f t="shared" ca="1" si="182"/>
        <v>0</v>
      </c>
      <c r="AP352" s="775">
        <f t="shared" ca="1" si="183"/>
        <v>0</v>
      </c>
      <c r="AQ352" s="775">
        <f t="shared" ca="1" si="184"/>
        <v>0</v>
      </c>
      <c r="AR352" s="775">
        <f t="shared" ca="1" si="185"/>
        <v>0</v>
      </c>
      <c r="AS352" s="775">
        <f t="shared" ca="1" si="186"/>
        <v>0</v>
      </c>
      <c r="AT352" s="775">
        <f t="shared" ca="1" si="187"/>
        <v>0</v>
      </c>
      <c r="AU352" s="775">
        <f t="shared" ca="1" si="188"/>
        <v>0</v>
      </c>
      <c r="AV352" s="775">
        <f t="shared" ca="1" si="189"/>
        <v>0</v>
      </c>
      <c r="AW352" s="775">
        <f t="shared" ca="1" si="190"/>
        <v>0</v>
      </c>
      <c r="AX352" s="775">
        <f t="shared" si="191"/>
        <v>0</v>
      </c>
      <c r="AY352" s="775">
        <f t="shared" ca="1" si="192"/>
        <v>0</v>
      </c>
      <c r="AZ352" s="775">
        <f t="shared" si="193"/>
        <v>0</v>
      </c>
      <c r="BA352" s="775">
        <f t="shared" ca="1" si="172"/>
        <v>0</v>
      </c>
      <c r="BB352" s="775">
        <f t="shared" ca="1" si="173"/>
        <v>0</v>
      </c>
      <c r="BC352" s="775">
        <f t="shared" ca="1" si="174"/>
        <v>0</v>
      </c>
      <c r="BD352" s="775">
        <f t="shared" ca="1" si="175"/>
        <v>0</v>
      </c>
      <c r="BE352" s="775">
        <f t="shared" ca="1" si="176"/>
        <v>0</v>
      </c>
      <c r="BF352" s="775">
        <f t="shared" ca="1" si="177"/>
        <v>0</v>
      </c>
      <c r="BG352" s="775">
        <f t="shared" ca="1" si="178"/>
        <v>0</v>
      </c>
      <c r="BH352" s="775">
        <f t="shared" ca="1" si="194"/>
        <v>0</v>
      </c>
      <c r="BI352" s="775">
        <f t="shared" ca="1" si="195"/>
        <v>0</v>
      </c>
      <c r="BJ352" s="775">
        <f t="shared" ca="1" si="196"/>
        <v>0</v>
      </c>
      <c r="BK352" s="775">
        <f t="shared" ca="1" si="197"/>
        <v>0</v>
      </c>
      <c r="BL352" s="775">
        <f t="shared" ca="1" si="198"/>
        <v>0</v>
      </c>
      <c r="BM352" s="775">
        <f t="shared" ca="1" si="199"/>
        <v>0</v>
      </c>
      <c r="BN352" s="775">
        <f t="shared" ca="1" si="200"/>
        <v>0</v>
      </c>
      <c r="BO352" s="775">
        <f t="shared" ca="1" si="201"/>
        <v>0</v>
      </c>
      <c r="BP352" s="775">
        <f t="shared" ca="1" si="202"/>
        <v>0</v>
      </c>
      <c r="BQ352" s="775">
        <f t="shared" ca="1" si="170"/>
        <v>0</v>
      </c>
      <c r="BR352" s="775">
        <f t="shared" ca="1" si="203"/>
        <v>0</v>
      </c>
    </row>
    <row r="353" spans="1:70">
      <c r="A353" s="767" t="e">
        <f ca="1">IF(F353&lt;&gt;0,"X","")</f>
        <v>#REF!</v>
      </c>
      <c r="B353" s="131" t="s">
        <v>680</v>
      </c>
      <c r="C353" s="188" t="e">
        <f ca="1">IF(F353=0,"",COUNTIF($F$78:$F353,"&gt;0"))</f>
        <v>#REF!</v>
      </c>
      <c r="D353" s="778" t="str">
        <f>VLOOKUP($B353,dongia1,DG!$C$5,)</f>
        <v>p</v>
      </c>
      <c r="E353" s="555" t="str">
        <f>VLOOKUP($B353,dongia1,DG!$D$5,)</f>
        <v>cái</v>
      </c>
      <c r="F353" s="779" t="e">
        <f ca="1">G353+H353</f>
        <v>#REF!</v>
      </c>
      <c r="G353" s="775" t="e">
        <f t="shared" ref="G353:G359" ca="1" si="222">SUM(AC353:AL353)</f>
        <v>#REF!</v>
      </c>
      <c r="H353" s="775">
        <f ca="1">SUMIF(CT_tram!$B$33:$G$3559,kl!B353,CT_tram!$G$33:$G$3559)</f>
        <v>0</v>
      </c>
      <c r="I353" s="775">
        <f ca="1">SUMIF(CT_tram!$B$34:$G$115,$B353,CT_tram!$G$34:$G$115)</f>
        <v>0</v>
      </c>
      <c r="J353" s="775">
        <f ca="1">SUMIF(CT_tram!$B$122:$G$204,$B353,CT_tram!$G$122:$G$204)</f>
        <v>0</v>
      </c>
      <c r="K353" s="775">
        <f ca="1">SUMIF(CT_tram!$B$211:$G$293,$B353,CT_tram!$G$211:$G$293)</f>
        <v>0</v>
      </c>
      <c r="L353" s="775">
        <f ca="1">SUMIF(CT_tram!$B$300:$G$374,$B353,CT_tram!$G$300:$G$374)</f>
        <v>0</v>
      </c>
      <c r="M353" s="775">
        <f ca="1">SUMIF(CT_tram!$B$381:$G$471,$B353,CT_tram!$G$381:$G$471)</f>
        <v>0</v>
      </c>
      <c r="N353" s="775">
        <f ca="1">SUMIF(CT_tram!$B$478:$G$560,$B353,CT_tram!$G$478:$G$560)</f>
        <v>0</v>
      </c>
      <c r="O353" s="775">
        <f ca="1">SUMIF(CT_tram!$B$567:$G$653,$B353,CT_tram!$G$567:$G$653)</f>
        <v>0</v>
      </c>
      <c r="P353" s="775">
        <f ca="1">SUMIF(CT_tram!$B$661:$G$738,$B353,CT_tram!$G$661:$G$738)</f>
        <v>0</v>
      </c>
      <c r="Q353" s="775">
        <f ca="1">SUMIF(CT_tram!$B$745:$G$899,$B353,CT_tram!$G$745:$G$899)</f>
        <v>0</v>
      </c>
      <c r="R353" s="775">
        <f ca="1">SUMIF(CT_tram!$B$907:$G$995,$B353,CT_tram!$G$907:$G$995)</f>
        <v>0</v>
      </c>
      <c r="S353" s="775"/>
      <c r="T353" s="775">
        <f ca="1">SUMIF(CT_tram!$B$1004:$G$1097,B353,CT_tram!$G$1004:$G$1097)</f>
        <v>0</v>
      </c>
      <c r="U353" s="775"/>
      <c r="V353" s="775">
        <f ca="1">SUMIF(CT_tram!$B$1226:$G$1352,kl!B353,CT_tram!$G$1226:$G$1352)</f>
        <v>0</v>
      </c>
      <c r="W353" s="780">
        <f ca="1">SUMIF(CT_tram!$B$1105:$G$1219,kl!B353,CT_tram!$G$1105:$G$1219)</f>
        <v>0</v>
      </c>
      <c r="X353" s="775">
        <f ca="1">SUMIF(CT_tram!$B$1359:$G$1504,kl!B353,CT_tram!$G$1359:$G$1504)</f>
        <v>0</v>
      </c>
      <c r="Y353" s="775">
        <f ca="1">SUMIF(CT_tram!$B$1511:$G$1625,kl!B353,CT_tram!$G$1511:$G$1625)</f>
        <v>0</v>
      </c>
      <c r="Z353" s="775">
        <f ca="1">SUMIF(CT_tram!$B$1632:$G$2211,kl!B353,CT_tram!$G$1632:$G$2211)</f>
        <v>0</v>
      </c>
      <c r="AA353" s="775">
        <f ca="1">SUMIF(CT_tram!$B$2243:$G$2384,kl!B353,CT_tram!$G$2243:$G$2384)</f>
        <v>0</v>
      </c>
      <c r="AB353" s="775">
        <f ca="1">SUMIF(CT_tram!$B$2391:$G$2563,kl!B353,CT_tram!$G$2391:$G$2563)</f>
        <v>0</v>
      </c>
      <c r="AC353" s="775">
        <f ca="1">SUMIF(chitiet!$B$13:$N$2352,kl!$B353,chitiet!$I$13:$I$2352)</f>
        <v>0</v>
      </c>
      <c r="AD353" s="775">
        <f ca="1">SUMIF(chitiet!$B$13:$N$2352,kl!$B353,chitiet!$J$13:$J$2352)</f>
        <v>0</v>
      </c>
      <c r="AE353" s="775">
        <f ca="1">SUMIF(chitiet!$B$13:$N$2352,kl!$B353,chitiet!$K$13:$K$2352)</f>
        <v>0</v>
      </c>
      <c r="AF353" s="775">
        <f ca="1">SUMIF(chitiet!$B$13:$N$2352,kl!$B353,chitiet!$L$13:$L$2352)</f>
        <v>0</v>
      </c>
      <c r="AG353" s="775">
        <f ca="1">SUMIF(chitiet!$B$13:$N$2352,kl!$B353,chitiet!$M$13)</f>
        <v>0</v>
      </c>
      <c r="AH353" s="775">
        <f ca="1">SUMIF(chitiet!$B$13:$N$2352,kl!$B353,chitiet!$N$13:$N$2352)</f>
        <v>0</v>
      </c>
      <c r="AI353" s="775">
        <f ca="1">SUMIF(chitiet!$B$13:$N$2352,kl!$B353,chitiet!$O$13:$O$2352)</f>
        <v>0</v>
      </c>
      <c r="AJ353" s="775">
        <f ca="1">SUMIF('Cap ngam'!$B$631:$G$723,kl!$B353,'Cap ngam'!$G$631:$G$723)</f>
        <v>0</v>
      </c>
      <c r="AK353" s="775" t="e">
        <f ca="1">SUMIF('Cap ngam'!$B$403:$G$628,kl!$B353,'Cap ngam'!G$403:G$628)</f>
        <v>#REF!</v>
      </c>
      <c r="AL353" s="775">
        <f ca="1">SUMIF('Cap ngam'!B$16:G$400,kl!$B353,'Cap ngam'!G$16:G$400)</f>
        <v>0</v>
      </c>
      <c r="AM353" s="776">
        <v>40</v>
      </c>
      <c r="AN353" s="775">
        <f t="shared" ca="1" si="181"/>
        <v>0</v>
      </c>
      <c r="AO353" s="775">
        <f t="shared" ca="1" si="182"/>
        <v>0</v>
      </c>
      <c r="AP353" s="775">
        <f t="shared" ca="1" si="183"/>
        <v>0</v>
      </c>
      <c r="AQ353" s="775">
        <f t="shared" ca="1" si="184"/>
        <v>0</v>
      </c>
      <c r="AR353" s="775">
        <f t="shared" ca="1" si="185"/>
        <v>0</v>
      </c>
      <c r="AS353" s="775">
        <f t="shared" ca="1" si="186"/>
        <v>0</v>
      </c>
      <c r="AT353" s="775">
        <f t="shared" ca="1" si="187"/>
        <v>0</v>
      </c>
      <c r="AU353" s="775">
        <f t="shared" ca="1" si="188"/>
        <v>0</v>
      </c>
      <c r="AV353" s="775">
        <f t="shared" ca="1" si="189"/>
        <v>0</v>
      </c>
      <c r="AW353" s="775">
        <f t="shared" ca="1" si="190"/>
        <v>0</v>
      </c>
      <c r="AX353" s="775">
        <f t="shared" si="191"/>
        <v>0</v>
      </c>
      <c r="AY353" s="775">
        <f t="shared" ca="1" si="192"/>
        <v>0</v>
      </c>
      <c r="AZ353" s="775">
        <f t="shared" si="193"/>
        <v>0</v>
      </c>
      <c r="BA353" s="775">
        <f t="shared" ca="1" si="172"/>
        <v>0</v>
      </c>
      <c r="BB353" s="775">
        <f t="shared" ca="1" si="173"/>
        <v>0</v>
      </c>
      <c r="BC353" s="775">
        <f t="shared" ca="1" si="174"/>
        <v>0</v>
      </c>
      <c r="BD353" s="775">
        <f t="shared" ca="1" si="175"/>
        <v>0</v>
      </c>
      <c r="BE353" s="775">
        <f t="shared" ca="1" si="176"/>
        <v>0</v>
      </c>
      <c r="BF353" s="775">
        <f t="shared" ca="1" si="177"/>
        <v>0</v>
      </c>
      <c r="BG353" s="775">
        <f t="shared" ca="1" si="178"/>
        <v>0</v>
      </c>
      <c r="BH353" s="775">
        <f t="shared" ca="1" si="194"/>
        <v>0</v>
      </c>
      <c r="BI353" s="775">
        <f t="shared" ca="1" si="195"/>
        <v>0</v>
      </c>
      <c r="BJ353" s="775">
        <f t="shared" ca="1" si="196"/>
        <v>0</v>
      </c>
      <c r="BK353" s="775">
        <f t="shared" ca="1" si="197"/>
        <v>0</v>
      </c>
      <c r="BL353" s="775">
        <f t="shared" ca="1" si="198"/>
        <v>0</v>
      </c>
      <c r="BM353" s="775">
        <f t="shared" ca="1" si="199"/>
        <v>0</v>
      </c>
      <c r="BN353" s="775">
        <f t="shared" ca="1" si="200"/>
        <v>0</v>
      </c>
      <c r="BO353" s="775">
        <f t="shared" ca="1" si="201"/>
        <v>0</v>
      </c>
      <c r="BP353" s="775" t="e">
        <f t="shared" ca="1" si="202"/>
        <v>#REF!</v>
      </c>
      <c r="BQ353" s="775">
        <f t="shared" ca="1" si="170"/>
        <v>0</v>
      </c>
      <c r="BR353" s="775">
        <f t="shared" ca="1" si="203"/>
        <v>0</v>
      </c>
    </row>
    <row r="354" spans="1:70">
      <c r="A354" s="767" t="str">
        <f ca="1">IF(F354&lt;&gt;0,"X","")</f>
        <v/>
      </c>
      <c r="B354" s="131" t="s">
        <v>1437</v>
      </c>
      <c r="C354" s="188" t="str">
        <f ca="1">IF(F354=0,"",COUNTIF($F$78:$F354,"&gt;0"))</f>
        <v/>
      </c>
      <c r="D354" s="778" t="str">
        <f>VLOOKUP($B354,dongia1,DG!$C$5,)</f>
        <v>Tủ điều khiển chiếu sáng</v>
      </c>
      <c r="E354" s="555" t="str">
        <f>VLOOKUP($B354,dongia1,DG!$D$5,)</f>
        <v>cái</v>
      </c>
      <c r="F354" s="779">
        <f ca="1">G354+H354</f>
        <v>0</v>
      </c>
      <c r="G354" s="775">
        <f t="shared" ca="1" si="222"/>
        <v>0</v>
      </c>
      <c r="H354" s="775">
        <f ca="1">SUMIF(CT_tram!$B$33:$G$3559,kl!B354,CT_tram!$G$33:$G$3559)</f>
        <v>0</v>
      </c>
      <c r="I354" s="775">
        <f ca="1">SUMIF(CT_tram!$B$34:$G$115,$B354,CT_tram!$G$34:$G$115)</f>
        <v>0</v>
      </c>
      <c r="J354" s="775">
        <f ca="1">SUMIF(CT_tram!$B$122:$G$204,$B354,CT_tram!$G$122:$G$204)</f>
        <v>0</v>
      </c>
      <c r="K354" s="775">
        <f ca="1">SUMIF(CT_tram!$B$211:$G$293,$B354,CT_tram!$G$211:$G$293)</f>
        <v>0</v>
      </c>
      <c r="L354" s="775">
        <f ca="1">SUMIF(CT_tram!$B$300:$G$374,$B354,CT_tram!$G$300:$G$374)</f>
        <v>0</v>
      </c>
      <c r="M354" s="775">
        <f ca="1">SUMIF(CT_tram!$B$381:$G$471,$B354,CT_tram!$G$381:$G$471)</f>
        <v>0</v>
      </c>
      <c r="N354" s="775">
        <f ca="1">SUMIF(CT_tram!$B$478:$G$560,$B354,CT_tram!$G$478:$G$560)</f>
        <v>0</v>
      </c>
      <c r="O354" s="775">
        <f ca="1">SUMIF(CT_tram!$B$567:$G$653,$B354,CT_tram!$G$567:$G$653)</f>
        <v>0</v>
      </c>
      <c r="P354" s="775">
        <f ca="1">SUMIF(CT_tram!$B$661:$G$738,$B354,CT_tram!$G$661:$G$738)</f>
        <v>0</v>
      </c>
      <c r="Q354" s="775">
        <f ca="1">SUMIF(CT_tram!$B$745:$G$899,$B354,CT_tram!$G$745:$G$899)</f>
        <v>0</v>
      </c>
      <c r="R354" s="775">
        <f ca="1">SUMIF(CT_tram!$B$907:$G$995,$B354,CT_tram!$G$907:$G$995)</f>
        <v>0</v>
      </c>
      <c r="S354" s="775"/>
      <c r="T354" s="775">
        <f ca="1">SUMIF(CT_tram!$B$1004:$G$1097,B354,CT_tram!$G$1004:$G$1097)</f>
        <v>0</v>
      </c>
      <c r="U354" s="775"/>
      <c r="V354" s="775">
        <f ca="1">SUMIF(CT_tram!$B$1226:$G$1352,kl!B354,CT_tram!$G$1226:$G$1352)</f>
        <v>0</v>
      </c>
      <c r="W354" s="780">
        <f ca="1">SUMIF(CT_tram!$B$1105:$G$1219,kl!B354,CT_tram!$G$1105:$G$1219)</f>
        <v>0</v>
      </c>
      <c r="X354" s="775">
        <f ca="1">SUMIF(CT_tram!$B$1359:$G$1504,kl!B354,CT_tram!$G$1359:$G$1504)</f>
        <v>0</v>
      </c>
      <c r="Y354" s="775">
        <f ca="1">SUMIF(CT_tram!$B$1511:$G$1625,kl!B354,CT_tram!$G$1511:$G$1625)</f>
        <v>0</v>
      </c>
      <c r="Z354" s="775">
        <f ca="1">SUMIF(CT_tram!$B$1632:$G$2211,kl!B354,CT_tram!$G$1632:$G$2211)</f>
        <v>0</v>
      </c>
      <c r="AA354" s="775">
        <f ca="1">SUMIF(CT_tram!$B$2243:$G$2384,kl!B354,CT_tram!$G$2243:$G$2384)</f>
        <v>0</v>
      </c>
      <c r="AB354" s="775">
        <f ca="1">SUMIF(CT_tram!$B$2391:$G$2563,kl!B354,CT_tram!$G$2391:$G$2563)</f>
        <v>0</v>
      </c>
      <c r="AC354" s="775">
        <f ca="1">SUMIF(chitiet!$B$13:$N$2352,kl!$B354,chitiet!$I$13:$I$2352)</f>
        <v>0</v>
      </c>
      <c r="AD354" s="775">
        <f ca="1">SUMIF(chitiet!$B$13:$N$2352,kl!$B354,chitiet!$J$13:$J$2352)</f>
        <v>0</v>
      </c>
      <c r="AE354" s="775">
        <f ca="1">SUMIF(chitiet!$B$13:$N$2352,kl!$B354,chitiet!$K$13:$K$2352)</f>
        <v>0</v>
      </c>
      <c r="AF354" s="775">
        <f ca="1">SUMIF(chitiet!$B$13:$N$2352,kl!$B354,chitiet!$L$13:$L$2352)</f>
        <v>0</v>
      </c>
      <c r="AG354" s="775">
        <f ca="1">SUMIF(chitiet!$B$13:$N$2352,kl!$B354,chitiet!$M$13)</f>
        <v>0</v>
      </c>
      <c r="AH354" s="775">
        <f ca="1">SUMIF(chitiet!$B$13:$N$2352,kl!$B354,chitiet!$N$13:$N$2352)</f>
        <v>0</v>
      </c>
      <c r="AI354" s="775">
        <f ca="1">SUMIF(chitiet!$B$13:$N$2352,kl!$B354,chitiet!$O$13:$O$2352)</f>
        <v>0</v>
      </c>
      <c r="AJ354" s="775">
        <f ca="1">SUMIF('Cap ngam'!$B$631:$G$723,kl!$B354,'Cap ngam'!$G$631:$G$723)</f>
        <v>0</v>
      </c>
      <c r="AK354" s="775">
        <f ca="1">SUMIF('Cap ngam'!$B$403:$G$628,kl!$B354,'Cap ngam'!G$403:G$628)</f>
        <v>0</v>
      </c>
      <c r="AL354" s="775">
        <f ca="1">SUMIF('Cap ngam'!B$16:G$400,kl!$B354,'Cap ngam'!G$16:G$400)</f>
        <v>0</v>
      </c>
      <c r="AM354" s="776">
        <v>40</v>
      </c>
      <c r="AN354" s="775">
        <f t="shared" ca="1" si="181"/>
        <v>0</v>
      </c>
      <c r="AO354" s="775">
        <f t="shared" ca="1" si="182"/>
        <v>0</v>
      </c>
      <c r="AP354" s="775">
        <f t="shared" ca="1" si="183"/>
        <v>0</v>
      </c>
      <c r="AQ354" s="775">
        <f t="shared" ca="1" si="184"/>
        <v>0</v>
      </c>
      <c r="AR354" s="775">
        <f t="shared" ca="1" si="185"/>
        <v>0</v>
      </c>
      <c r="AS354" s="775">
        <f t="shared" ca="1" si="186"/>
        <v>0</v>
      </c>
      <c r="AT354" s="775">
        <f t="shared" ca="1" si="187"/>
        <v>0</v>
      </c>
      <c r="AU354" s="775">
        <f t="shared" ca="1" si="188"/>
        <v>0</v>
      </c>
      <c r="AV354" s="775">
        <f t="shared" ca="1" si="189"/>
        <v>0</v>
      </c>
      <c r="AW354" s="775">
        <f t="shared" ca="1" si="190"/>
        <v>0</v>
      </c>
      <c r="AX354" s="775">
        <f t="shared" si="191"/>
        <v>0</v>
      </c>
      <c r="AY354" s="775">
        <f t="shared" ca="1" si="192"/>
        <v>0</v>
      </c>
      <c r="AZ354" s="775">
        <f t="shared" si="193"/>
        <v>0</v>
      </c>
      <c r="BA354" s="775">
        <f t="shared" ca="1" si="172"/>
        <v>0</v>
      </c>
      <c r="BB354" s="775">
        <f t="shared" ca="1" si="173"/>
        <v>0</v>
      </c>
      <c r="BC354" s="775">
        <f t="shared" ca="1" si="174"/>
        <v>0</v>
      </c>
      <c r="BD354" s="775">
        <f t="shared" ca="1" si="175"/>
        <v>0</v>
      </c>
      <c r="BE354" s="775">
        <f t="shared" ca="1" si="176"/>
        <v>0</v>
      </c>
      <c r="BF354" s="775">
        <f t="shared" ca="1" si="177"/>
        <v>0</v>
      </c>
      <c r="BG354" s="775">
        <f t="shared" ca="1" si="178"/>
        <v>0</v>
      </c>
      <c r="BH354" s="775">
        <f t="shared" ca="1" si="194"/>
        <v>0</v>
      </c>
      <c r="BI354" s="775">
        <f t="shared" ca="1" si="195"/>
        <v>0</v>
      </c>
      <c r="BJ354" s="775">
        <f t="shared" ca="1" si="196"/>
        <v>0</v>
      </c>
      <c r="BK354" s="775">
        <f t="shared" ca="1" si="197"/>
        <v>0</v>
      </c>
      <c r="BL354" s="775">
        <f t="shared" ca="1" si="198"/>
        <v>0</v>
      </c>
      <c r="BM354" s="775">
        <f t="shared" ca="1" si="199"/>
        <v>0</v>
      </c>
      <c r="BN354" s="775">
        <f t="shared" ca="1" si="200"/>
        <v>0</v>
      </c>
      <c r="BO354" s="775">
        <f t="shared" ca="1" si="201"/>
        <v>0</v>
      </c>
      <c r="BP354" s="775">
        <f t="shared" ca="1" si="202"/>
        <v>0</v>
      </c>
      <c r="BQ354" s="775">
        <f t="shared" ca="1" si="170"/>
        <v>0</v>
      </c>
      <c r="BR354" s="775">
        <f t="shared" ca="1" si="203"/>
        <v>0</v>
      </c>
    </row>
    <row r="355" spans="1:70">
      <c r="A355" s="767" t="str">
        <f t="shared" ca="1" si="219"/>
        <v/>
      </c>
      <c r="B355" s="623" t="s">
        <v>979</v>
      </c>
      <c r="C355" s="188" t="str">
        <f ca="1">IF(F355=0,"",COUNTIF($F$78:$F355,"&gt;0"))</f>
        <v/>
      </c>
      <c r="D355" s="778" t="str">
        <f>VLOOKUP($B355,dongia1,DG!$C$5,)</f>
        <v>Giá đỡ cáp trung thế</v>
      </c>
      <c r="E355" s="555" t="str">
        <f>VLOOKUP($B355,dongia1,DG!$D$5,)</f>
        <v>bộ</v>
      </c>
      <c r="F355" s="779">
        <f t="shared" ca="1" si="220"/>
        <v>0</v>
      </c>
      <c r="G355" s="775">
        <f t="shared" ca="1" si="222"/>
        <v>0</v>
      </c>
      <c r="H355" s="775">
        <f ca="1">SUMIF(CT_tram!$B$33:$G$3559,kl!B355,CT_tram!$G$33:$G$3559)</f>
        <v>0</v>
      </c>
      <c r="I355" s="775">
        <f ca="1">SUMIF(CT_tram!$B$34:$G$115,$B355,CT_tram!$G$34:$G$115)</f>
        <v>0</v>
      </c>
      <c r="J355" s="775">
        <f ca="1">SUMIF(CT_tram!$B$122:$G$204,$B355,CT_tram!$G$122:$G$204)</f>
        <v>0</v>
      </c>
      <c r="K355" s="775">
        <f ca="1">SUMIF(CT_tram!$B$211:$G$293,$B355,CT_tram!$G$211:$G$293)</f>
        <v>0</v>
      </c>
      <c r="L355" s="775">
        <f ca="1">SUMIF(CT_tram!$B$300:$G$374,$B355,CT_tram!$G$300:$G$374)</f>
        <v>0</v>
      </c>
      <c r="M355" s="775">
        <f ca="1">SUMIF(CT_tram!$B$381:$G$471,$B355,CT_tram!$G$381:$G$471)</f>
        <v>0</v>
      </c>
      <c r="N355" s="775">
        <f ca="1">SUMIF(CT_tram!$B$478:$G$560,$B355,CT_tram!$G$478:$G$560)</f>
        <v>0</v>
      </c>
      <c r="O355" s="775">
        <f ca="1">SUMIF(CT_tram!$B$567:$G$653,$B355,CT_tram!$G$567:$G$653)</f>
        <v>0</v>
      </c>
      <c r="P355" s="775">
        <f ca="1">SUMIF(CT_tram!$B$661:$G$738,$B355,CT_tram!$G$661:$G$738)</f>
        <v>0</v>
      </c>
      <c r="Q355" s="775">
        <f ca="1">SUMIF(CT_tram!$B$745:$G$899,$B355,CT_tram!$G$745:$G$899)</f>
        <v>0</v>
      </c>
      <c r="R355" s="775">
        <f ca="1">SUMIF(CT_tram!$B$907:$G$995,$B355,CT_tram!$G$907:$G$995)</f>
        <v>0</v>
      </c>
      <c r="S355" s="775"/>
      <c r="T355" s="775">
        <f ca="1">SUMIF(CT_tram!$B$1004:$G$1097,B355,CT_tram!$G$1004:$G$1097)</f>
        <v>0</v>
      </c>
      <c r="U355" s="775"/>
      <c r="V355" s="775">
        <f ca="1">SUMIF(CT_tram!$B$1226:$G$1352,kl!B355,CT_tram!$G$1226:$G$1352)</f>
        <v>0</v>
      </c>
      <c r="W355" s="780">
        <f ca="1">SUMIF(CT_tram!$B$1105:$G$1219,kl!B355,CT_tram!$G$1105:$G$1219)</f>
        <v>0</v>
      </c>
      <c r="X355" s="775">
        <f ca="1">SUMIF(CT_tram!$B$1359:$G$1504,kl!B355,CT_tram!$G$1359:$G$1504)</f>
        <v>0</v>
      </c>
      <c r="Y355" s="775">
        <f ca="1">SUMIF(CT_tram!$B$1511:$G$1625,kl!B355,CT_tram!$G$1511:$G$1625)</f>
        <v>0</v>
      </c>
      <c r="Z355" s="775">
        <f ca="1">SUMIF(CT_tram!$B$1632:$G$2211,kl!B355,CT_tram!$G$1632:$G$2211)</f>
        <v>0</v>
      </c>
      <c r="AA355" s="775">
        <f ca="1">SUMIF(CT_tram!$B$2243:$G$2384,kl!B355,CT_tram!$G$2243:$G$2384)</f>
        <v>0</v>
      </c>
      <c r="AB355" s="775">
        <f ca="1">SUMIF(CT_tram!$B$2391:$G$2563,kl!B355,CT_tram!$G$2391:$G$2563)</f>
        <v>0</v>
      </c>
      <c r="AC355" s="775">
        <f ca="1">SUMIF(chitiet!$B$13:$N$2352,kl!$B355,chitiet!$I$13:$I$2352)</f>
        <v>0</v>
      </c>
      <c r="AD355" s="775">
        <f ca="1">SUMIF(chitiet!$B$13:$N$2352,kl!$B355,chitiet!$J$13:$J$2352)</f>
        <v>0</v>
      </c>
      <c r="AE355" s="775">
        <f ca="1">SUMIF(chitiet!$B$13:$N$2352,kl!$B355,chitiet!$K$13:$K$2352)</f>
        <v>0</v>
      </c>
      <c r="AF355" s="775">
        <f ca="1">SUMIF(chitiet!$B$13:$N$2352,kl!$B355,chitiet!$L$13:$L$2352)</f>
        <v>0</v>
      </c>
      <c r="AG355" s="775">
        <f ca="1">SUMIF(chitiet!$B$13:$N$2352,kl!$B355,chitiet!$M$13)</f>
        <v>0</v>
      </c>
      <c r="AH355" s="775">
        <f ca="1">SUMIF(chitiet!$B$13:$N$2352,kl!$B355,chitiet!$N$13:$N$2352)</f>
        <v>0</v>
      </c>
      <c r="AI355" s="775">
        <f ca="1">SUMIF(chitiet!$B$13:$N$2352,kl!$B355,chitiet!$O$13:$O$2352)</f>
        <v>0</v>
      </c>
      <c r="AJ355" s="775">
        <f ca="1">SUMIF('Cap ngam'!$B$631:$G$723,kl!$B355,'Cap ngam'!$G$631:$G$723)</f>
        <v>0</v>
      </c>
      <c r="AK355" s="775">
        <f ca="1">SUMIF('Cap ngam'!$B$403:$G$628,kl!$B355,'Cap ngam'!G$403:G$628)</f>
        <v>0</v>
      </c>
      <c r="AL355" s="775">
        <f ca="1">SUMIF('Cap ngam'!B$16:G$400,kl!$B355,'Cap ngam'!G$16:G$400)</f>
        <v>0</v>
      </c>
      <c r="AM355" s="776">
        <v>108</v>
      </c>
      <c r="AN355" s="775">
        <f t="shared" ca="1" si="181"/>
        <v>0</v>
      </c>
      <c r="AO355" s="775">
        <f t="shared" ca="1" si="182"/>
        <v>0</v>
      </c>
      <c r="AP355" s="775">
        <f t="shared" ca="1" si="183"/>
        <v>0</v>
      </c>
      <c r="AQ355" s="775">
        <f t="shared" ca="1" si="184"/>
        <v>0</v>
      </c>
      <c r="AR355" s="775">
        <f t="shared" ca="1" si="185"/>
        <v>0</v>
      </c>
      <c r="AS355" s="775">
        <f t="shared" ca="1" si="186"/>
        <v>0</v>
      </c>
      <c r="AT355" s="775">
        <f t="shared" ca="1" si="187"/>
        <v>0</v>
      </c>
      <c r="AU355" s="775">
        <f t="shared" ca="1" si="188"/>
        <v>0</v>
      </c>
      <c r="AV355" s="775">
        <f t="shared" ca="1" si="189"/>
        <v>0</v>
      </c>
      <c r="AW355" s="775">
        <f t="shared" ca="1" si="190"/>
        <v>0</v>
      </c>
      <c r="AX355" s="775">
        <f t="shared" si="191"/>
        <v>0</v>
      </c>
      <c r="AY355" s="775">
        <f t="shared" ca="1" si="192"/>
        <v>0</v>
      </c>
      <c r="AZ355" s="775">
        <f t="shared" si="193"/>
        <v>0</v>
      </c>
      <c r="BA355" s="775">
        <f t="shared" ca="1" si="172"/>
        <v>0</v>
      </c>
      <c r="BB355" s="775">
        <f t="shared" ca="1" si="173"/>
        <v>0</v>
      </c>
      <c r="BC355" s="775">
        <f t="shared" ca="1" si="174"/>
        <v>0</v>
      </c>
      <c r="BD355" s="775">
        <f t="shared" ca="1" si="175"/>
        <v>0</v>
      </c>
      <c r="BE355" s="775">
        <f t="shared" ca="1" si="176"/>
        <v>0</v>
      </c>
      <c r="BF355" s="775">
        <f t="shared" ca="1" si="177"/>
        <v>0</v>
      </c>
      <c r="BG355" s="775">
        <f t="shared" ca="1" si="178"/>
        <v>0</v>
      </c>
      <c r="BH355" s="775">
        <f t="shared" ca="1" si="194"/>
        <v>0</v>
      </c>
      <c r="BI355" s="775">
        <f t="shared" ca="1" si="195"/>
        <v>0</v>
      </c>
      <c r="BJ355" s="775">
        <f t="shared" ca="1" si="196"/>
        <v>0</v>
      </c>
      <c r="BK355" s="775">
        <f t="shared" ca="1" si="197"/>
        <v>0</v>
      </c>
      <c r="BL355" s="775">
        <f t="shared" ca="1" si="198"/>
        <v>0</v>
      </c>
      <c r="BM355" s="775">
        <f t="shared" ca="1" si="199"/>
        <v>0</v>
      </c>
      <c r="BN355" s="775">
        <f t="shared" ca="1" si="200"/>
        <v>0</v>
      </c>
      <c r="BO355" s="775">
        <f t="shared" ca="1" si="201"/>
        <v>0</v>
      </c>
      <c r="BP355" s="775">
        <f t="shared" ca="1" si="202"/>
        <v>0</v>
      </c>
      <c r="BQ355" s="775">
        <f t="shared" ca="1" si="170"/>
        <v>0</v>
      </c>
      <c r="BR355" s="775">
        <f t="shared" ca="1" si="203"/>
        <v>0</v>
      </c>
    </row>
    <row r="356" spans="1:70">
      <c r="A356" s="767" t="str">
        <f t="shared" ca="1" si="219"/>
        <v/>
      </c>
      <c r="B356" s="623" t="s">
        <v>947</v>
      </c>
      <c r="C356" s="188" t="str">
        <f ca="1">IF(F356=0,"",COUNTIF($F$78:$F356,"&gt;0"))</f>
        <v/>
      </c>
      <c r="D356" s="778" t="str">
        <f>VLOOKUP($B356,dongia1,DG!$C$5,)</f>
        <v>Giá đỡ cáp trung thế</v>
      </c>
      <c r="E356" s="555" t="str">
        <f>VLOOKUP($B356,dongia1,DG!$D$5,)</f>
        <v>bộ</v>
      </c>
      <c r="F356" s="779">
        <f t="shared" ca="1" si="220"/>
        <v>0</v>
      </c>
      <c r="G356" s="775">
        <f t="shared" ca="1" si="222"/>
        <v>0</v>
      </c>
      <c r="H356" s="775">
        <f ca="1">SUMIF(CT_tram!$B$33:$G$3559,kl!B356,CT_tram!$G$33:$G$3559)</f>
        <v>0</v>
      </c>
      <c r="I356" s="775">
        <f ca="1">SUMIF(CT_tram!$B$34:$G$115,$B356,CT_tram!$G$34:$G$115)</f>
        <v>0</v>
      </c>
      <c r="J356" s="775">
        <f ca="1">SUMIF(CT_tram!$B$122:$G$204,$B356,CT_tram!$G$122:$G$204)</f>
        <v>0</v>
      </c>
      <c r="K356" s="775">
        <f ca="1">SUMIF(CT_tram!$B$211:$G$293,$B356,CT_tram!$G$211:$G$293)</f>
        <v>0</v>
      </c>
      <c r="L356" s="775">
        <f ca="1">SUMIF(CT_tram!$B$300:$G$374,$B356,CT_tram!$G$300:$G$374)</f>
        <v>0</v>
      </c>
      <c r="M356" s="775">
        <f ca="1">SUMIF(CT_tram!$B$381:$G$471,$B356,CT_tram!$G$381:$G$471)</f>
        <v>0</v>
      </c>
      <c r="N356" s="775">
        <f ca="1">SUMIF(CT_tram!$B$478:$G$560,$B356,CT_tram!$G$478:$G$560)</f>
        <v>0</v>
      </c>
      <c r="O356" s="775">
        <f ca="1">SUMIF(CT_tram!$B$567:$G$653,$B356,CT_tram!$G$567:$G$653)</f>
        <v>0</v>
      </c>
      <c r="P356" s="775">
        <f ca="1">SUMIF(CT_tram!$B$661:$G$738,$B356,CT_tram!$G$661:$G$738)</f>
        <v>0</v>
      </c>
      <c r="Q356" s="775">
        <f ca="1">SUMIF(CT_tram!$B$745:$G$899,$B356,CT_tram!$G$745:$G$899)</f>
        <v>0</v>
      </c>
      <c r="R356" s="775">
        <f ca="1">SUMIF(CT_tram!$B$907:$G$995,$B356,CT_tram!$G$907:$G$995)</f>
        <v>0</v>
      </c>
      <c r="S356" s="775"/>
      <c r="T356" s="775">
        <f ca="1">SUMIF(CT_tram!$B$1004:$G$1097,B356,CT_tram!$G$1004:$G$1097)</f>
        <v>0</v>
      </c>
      <c r="U356" s="775"/>
      <c r="V356" s="775">
        <f ca="1">SUMIF(CT_tram!$B$1226:$G$1352,kl!B356,CT_tram!$G$1226:$G$1352)</f>
        <v>0</v>
      </c>
      <c r="W356" s="780">
        <f ca="1">SUMIF(CT_tram!$B$1105:$G$1219,kl!B356,CT_tram!$G$1105:$G$1219)</f>
        <v>0</v>
      </c>
      <c r="X356" s="775">
        <f ca="1">SUMIF(CT_tram!$B$1359:$G$1504,kl!B356,CT_tram!$G$1359:$G$1504)</f>
        <v>0</v>
      </c>
      <c r="Y356" s="775">
        <f ca="1">SUMIF(CT_tram!$B$1511:$G$1625,kl!B356,CT_tram!$G$1511:$G$1625)</f>
        <v>0</v>
      </c>
      <c r="Z356" s="775">
        <f ca="1">SUMIF(CT_tram!$B$1632:$G$2211,kl!B356,CT_tram!$G$1632:$G$2211)</f>
        <v>0</v>
      </c>
      <c r="AA356" s="775">
        <f ca="1">SUMIF(CT_tram!$B$2243:$G$2384,kl!B356,CT_tram!$G$2243:$G$2384)</f>
        <v>0</v>
      </c>
      <c r="AB356" s="775">
        <f ca="1">SUMIF(CT_tram!$B$2391:$G$2563,kl!B356,CT_tram!$G$2391:$G$2563)</f>
        <v>0</v>
      </c>
      <c r="AC356" s="775">
        <f ca="1">SUMIF(chitiet!$B$13:$N$2352,kl!$B356,chitiet!$I$13:$I$2352)</f>
        <v>0</v>
      </c>
      <c r="AD356" s="775">
        <f ca="1">SUMIF(chitiet!$B$13:$N$2352,kl!$B356,chitiet!$J$13:$J$2352)</f>
        <v>0</v>
      </c>
      <c r="AE356" s="775">
        <f ca="1">SUMIF(chitiet!$B$13:$N$2352,kl!$B356,chitiet!$K$13:$K$2352)</f>
        <v>0</v>
      </c>
      <c r="AF356" s="775">
        <f ca="1">SUMIF(chitiet!$B$13:$N$2352,kl!$B356,chitiet!$L$13:$L$2352)</f>
        <v>0</v>
      </c>
      <c r="AG356" s="775">
        <f ca="1">SUMIF(chitiet!$B$13:$N$2352,kl!$B356,chitiet!$M$13)</f>
        <v>0</v>
      </c>
      <c r="AH356" s="775">
        <f ca="1">SUMIF(chitiet!$B$13:$N$2352,kl!$B356,chitiet!$N$13:$N$2352)</f>
        <v>0</v>
      </c>
      <c r="AI356" s="775">
        <f ca="1">SUMIF(chitiet!$B$13:$N$2352,kl!$B356,chitiet!$O$13:$O$2352)</f>
        <v>0</v>
      </c>
      <c r="AJ356" s="775">
        <f ca="1">SUMIF('Cap ngam'!$B$631:$G$723,kl!$B356,'Cap ngam'!$G$631:$G$723)</f>
        <v>0</v>
      </c>
      <c r="AK356" s="775">
        <f ca="1">SUMIF('Cap ngam'!$B$403:$G$628,kl!$B356,'Cap ngam'!G$403:G$628)</f>
        <v>0</v>
      </c>
      <c r="AL356" s="775">
        <f ca="1">SUMIF('Cap ngam'!B$16:G$400,kl!$B356,'Cap ngam'!G$16:G$400)</f>
        <v>0</v>
      </c>
      <c r="AM356" s="776">
        <v>108</v>
      </c>
      <c r="AN356" s="775">
        <f t="shared" ca="1" si="181"/>
        <v>0</v>
      </c>
      <c r="AO356" s="775">
        <f t="shared" ca="1" si="182"/>
        <v>0</v>
      </c>
      <c r="AP356" s="775">
        <f t="shared" ca="1" si="183"/>
        <v>0</v>
      </c>
      <c r="AQ356" s="775">
        <f t="shared" ca="1" si="184"/>
        <v>0</v>
      </c>
      <c r="AR356" s="775">
        <f t="shared" ca="1" si="185"/>
        <v>0</v>
      </c>
      <c r="AS356" s="775">
        <f t="shared" ca="1" si="186"/>
        <v>0</v>
      </c>
      <c r="AT356" s="775">
        <f t="shared" ca="1" si="187"/>
        <v>0</v>
      </c>
      <c r="AU356" s="775">
        <f t="shared" ca="1" si="188"/>
        <v>0</v>
      </c>
      <c r="AV356" s="775">
        <f t="shared" ca="1" si="189"/>
        <v>0</v>
      </c>
      <c r="AW356" s="775">
        <f t="shared" ca="1" si="190"/>
        <v>0</v>
      </c>
      <c r="AX356" s="775">
        <f t="shared" si="191"/>
        <v>0</v>
      </c>
      <c r="AY356" s="775">
        <f t="shared" ca="1" si="192"/>
        <v>0</v>
      </c>
      <c r="AZ356" s="775">
        <f t="shared" si="193"/>
        <v>0</v>
      </c>
      <c r="BA356" s="775">
        <f t="shared" ca="1" si="172"/>
        <v>0</v>
      </c>
      <c r="BB356" s="775">
        <f t="shared" ca="1" si="173"/>
        <v>0</v>
      </c>
      <c r="BC356" s="775">
        <f t="shared" ca="1" si="174"/>
        <v>0</v>
      </c>
      <c r="BD356" s="775">
        <f t="shared" ca="1" si="175"/>
        <v>0</v>
      </c>
      <c r="BE356" s="775">
        <f t="shared" ca="1" si="176"/>
        <v>0</v>
      </c>
      <c r="BF356" s="775">
        <f t="shared" ca="1" si="177"/>
        <v>0</v>
      </c>
      <c r="BG356" s="775">
        <f t="shared" ca="1" si="178"/>
        <v>0</v>
      </c>
      <c r="BH356" s="775">
        <f t="shared" ca="1" si="194"/>
        <v>0</v>
      </c>
      <c r="BI356" s="775">
        <f t="shared" ca="1" si="195"/>
        <v>0</v>
      </c>
      <c r="BJ356" s="775">
        <f t="shared" ca="1" si="196"/>
        <v>0</v>
      </c>
      <c r="BK356" s="775">
        <f t="shared" ca="1" si="197"/>
        <v>0</v>
      </c>
      <c r="BL356" s="775">
        <f t="shared" ca="1" si="198"/>
        <v>0</v>
      </c>
      <c r="BM356" s="775">
        <f t="shared" ca="1" si="199"/>
        <v>0</v>
      </c>
      <c r="BN356" s="775">
        <f t="shared" ca="1" si="200"/>
        <v>0</v>
      </c>
      <c r="BO356" s="775">
        <f t="shared" ca="1" si="201"/>
        <v>0</v>
      </c>
      <c r="BP356" s="775">
        <f t="shared" ca="1" si="202"/>
        <v>0</v>
      </c>
      <c r="BQ356" s="775">
        <f t="shared" ca="1" si="170"/>
        <v>0</v>
      </c>
      <c r="BR356" s="775">
        <f t="shared" ca="1" si="203"/>
        <v>0</v>
      </c>
    </row>
    <row r="357" spans="1:70">
      <c r="A357" s="767" t="str">
        <f t="shared" ca="1" si="219"/>
        <v/>
      </c>
      <c r="B357" s="623" t="s">
        <v>1314</v>
      </c>
      <c r="C357" s="188" t="str">
        <f ca="1">IF(F357=0,"",COUNTIF($F$78:$F357,"&gt;0"))</f>
        <v/>
      </c>
      <c r="D357" s="778" t="str">
        <f>VLOOKUP($B357,dongia1,DG!$C$5,)</f>
        <v xml:space="preserve">Giá đỡ cáp hạ thế </v>
      </c>
      <c r="E357" s="555" t="str">
        <f>VLOOKUP($B357,dongia1,DG!$D$5,)</f>
        <v>bộ</v>
      </c>
      <c r="F357" s="779">
        <f t="shared" ca="1" si="220"/>
        <v>0</v>
      </c>
      <c r="G357" s="775">
        <f t="shared" ca="1" si="222"/>
        <v>0</v>
      </c>
      <c r="H357" s="775">
        <f ca="1">SUMIF(CT_tram!$B$33:$G$3559,kl!B357,CT_tram!$G$33:$G$3559)</f>
        <v>0</v>
      </c>
      <c r="I357" s="775">
        <f ca="1">SUMIF(CT_tram!$B$34:$G$115,$B357,CT_tram!$G$34:$G$115)</f>
        <v>0</v>
      </c>
      <c r="J357" s="775">
        <f ca="1">SUMIF(CT_tram!$B$122:$G$204,$B357,CT_tram!$G$122:$G$204)</f>
        <v>0</v>
      </c>
      <c r="K357" s="775">
        <f ca="1">SUMIF(CT_tram!$B$211:$G$293,$B357,CT_tram!$G$211:$G$293)</f>
        <v>0</v>
      </c>
      <c r="L357" s="775">
        <f ca="1">SUMIF(CT_tram!$B$300:$G$374,$B357,CT_tram!$G$300:$G$374)</f>
        <v>0</v>
      </c>
      <c r="M357" s="775">
        <f ca="1">SUMIF(CT_tram!$B$381:$G$471,$B357,CT_tram!$G$381:$G$471)</f>
        <v>0</v>
      </c>
      <c r="N357" s="775">
        <f ca="1">SUMIF(CT_tram!$B$478:$G$560,$B357,CT_tram!$G$478:$G$560)</f>
        <v>0</v>
      </c>
      <c r="O357" s="775">
        <f ca="1">SUMIF(CT_tram!$B$567:$G$653,$B357,CT_tram!$G$567:$G$653)</f>
        <v>0</v>
      </c>
      <c r="P357" s="775">
        <f ca="1">SUMIF(CT_tram!$B$661:$G$738,$B357,CT_tram!$G$661:$G$738)</f>
        <v>0</v>
      </c>
      <c r="Q357" s="775">
        <f ca="1">SUMIF(CT_tram!$B$745:$G$899,$B357,CT_tram!$G$745:$G$899)</f>
        <v>0</v>
      </c>
      <c r="R357" s="775">
        <f ca="1">SUMIF(CT_tram!$B$907:$G$995,$B357,CT_tram!$G$907:$G$995)</f>
        <v>0</v>
      </c>
      <c r="S357" s="775"/>
      <c r="T357" s="775">
        <f ca="1">SUMIF(CT_tram!$B$1004:$G$1097,B357,CT_tram!$G$1004:$G$1097)</f>
        <v>0</v>
      </c>
      <c r="U357" s="775"/>
      <c r="V357" s="775">
        <f ca="1">SUMIF(CT_tram!$B$1226:$G$1352,kl!B357,CT_tram!$G$1226:$G$1352)</f>
        <v>0</v>
      </c>
      <c r="W357" s="780">
        <f ca="1">SUMIF(CT_tram!$B$1105:$G$1219,kl!B357,CT_tram!$G$1105:$G$1219)</f>
        <v>0</v>
      </c>
      <c r="X357" s="775">
        <f ca="1">SUMIF(CT_tram!$B$1359:$G$1504,kl!B357,CT_tram!$G$1359:$G$1504)</f>
        <v>0</v>
      </c>
      <c r="Y357" s="775">
        <f ca="1">SUMIF(CT_tram!$B$1511:$G$1625,kl!B357,CT_tram!$G$1511:$G$1625)</f>
        <v>0</v>
      </c>
      <c r="Z357" s="775">
        <f ca="1">SUMIF(CT_tram!$B$1632:$G$2211,kl!B357,CT_tram!$G$1632:$G$2211)</f>
        <v>0</v>
      </c>
      <c r="AA357" s="775">
        <f ca="1">SUMIF(CT_tram!$B$2243:$G$2384,kl!B357,CT_tram!$G$2243:$G$2384)</f>
        <v>0</v>
      </c>
      <c r="AB357" s="775">
        <f ca="1">SUMIF(CT_tram!$B$2391:$G$2563,kl!B357,CT_tram!$G$2391:$G$2563)</f>
        <v>0</v>
      </c>
      <c r="AC357" s="775">
        <f ca="1">SUMIF(chitiet!$B$13:$N$2352,kl!$B357,chitiet!$I$13:$I$2352)</f>
        <v>0</v>
      </c>
      <c r="AD357" s="775">
        <f ca="1">SUMIF(chitiet!$B$13:$N$2352,kl!$B357,chitiet!$J$13:$J$2352)</f>
        <v>0</v>
      </c>
      <c r="AE357" s="775">
        <f ca="1">SUMIF(chitiet!$B$13:$N$2352,kl!$B357,chitiet!$K$13:$K$2352)</f>
        <v>0</v>
      </c>
      <c r="AF357" s="775">
        <f ca="1">SUMIF(chitiet!$B$13:$N$2352,kl!$B357,chitiet!$L$13:$L$2352)</f>
        <v>0</v>
      </c>
      <c r="AG357" s="775">
        <f ca="1">SUMIF(chitiet!$B$13:$N$2352,kl!$B357,chitiet!$M$13)</f>
        <v>0</v>
      </c>
      <c r="AH357" s="775">
        <f ca="1">SUMIF(chitiet!$B$13:$N$2352,kl!$B357,chitiet!$N$13:$N$2352)</f>
        <v>0</v>
      </c>
      <c r="AI357" s="775">
        <f ca="1">SUMIF(chitiet!$B$13:$N$2352,kl!$B357,chitiet!$O$13:$O$2352)</f>
        <v>0</v>
      </c>
      <c r="AJ357" s="775">
        <f ca="1">SUMIF('Cap ngam'!$B$631:$G$723,kl!$B357,'Cap ngam'!$G$631:$G$723)</f>
        <v>0</v>
      </c>
      <c r="AK357" s="775">
        <f ca="1">SUMIF('Cap ngam'!$B$403:$G$628,kl!$B357,'Cap ngam'!G$403:G$628)</f>
        <v>0</v>
      </c>
      <c r="AL357" s="775">
        <f ca="1">SUMIF('Cap ngam'!B$16:G$400,kl!$B357,'Cap ngam'!G$16:G$400)</f>
        <v>0</v>
      </c>
      <c r="AM357" s="776">
        <v>40</v>
      </c>
      <c r="AN357" s="775">
        <f t="shared" ca="1" si="181"/>
        <v>0</v>
      </c>
      <c r="AO357" s="775">
        <f t="shared" ca="1" si="182"/>
        <v>0</v>
      </c>
      <c r="AP357" s="775">
        <f t="shared" ca="1" si="183"/>
        <v>0</v>
      </c>
      <c r="AQ357" s="775">
        <f t="shared" ca="1" si="184"/>
        <v>0</v>
      </c>
      <c r="AR357" s="775">
        <f t="shared" ca="1" si="185"/>
        <v>0</v>
      </c>
      <c r="AS357" s="775">
        <f t="shared" ca="1" si="186"/>
        <v>0</v>
      </c>
      <c r="AT357" s="775">
        <f t="shared" ca="1" si="187"/>
        <v>0</v>
      </c>
      <c r="AU357" s="775">
        <f t="shared" ca="1" si="188"/>
        <v>0</v>
      </c>
      <c r="AV357" s="775">
        <f t="shared" ca="1" si="189"/>
        <v>0</v>
      </c>
      <c r="AW357" s="775">
        <f t="shared" ca="1" si="190"/>
        <v>0</v>
      </c>
      <c r="AX357" s="775">
        <f t="shared" si="191"/>
        <v>0</v>
      </c>
      <c r="AY357" s="775">
        <f t="shared" ca="1" si="192"/>
        <v>0</v>
      </c>
      <c r="AZ357" s="775">
        <f t="shared" si="193"/>
        <v>0</v>
      </c>
      <c r="BA357" s="775">
        <f t="shared" ca="1" si="172"/>
        <v>0</v>
      </c>
      <c r="BB357" s="775">
        <f t="shared" ca="1" si="173"/>
        <v>0</v>
      </c>
      <c r="BC357" s="775">
        <f t="shared" ca="1" si="174"/>
        <v>0</v>
      </c>
      <c r="BD357" s="775">
        <f t="shared" ca="1" si="175"/>
        <v>0</v>
      </c>
      <c r="BE357" s="775">
        <f t="shared" ca="1" si="176"/>
        <v>0</v>
      </c>
      <c r="BF357" s="775">
        <f t="shared" ca="1" si="177"/>
        <v>0</v>
      </c>
      <c r="BG357" s="775">
        <f t="shared" ca="1" si="178"/>
        <v>0</v>
      </c>
      <c r="BH357" s="775">
        <f t="shared" ca="1" si="194"/>
        <v>0</v>
      </c>
      <c r="BI357" s="775">
        <f t="shared" ca="1" si="195"/>
        <v>0</v>
      </c>
      <c r="BJ357" s="775">
        <f t="shared" ca="1" si="196"/>
        <v>0</v>
      </c>
      <c r="BK357" s="775">
        <f t="shared" ca="1" si="197"/>
        <v>0</v>
      </c>
      <c r="BL357" s="775">
        <f t="shared" ca="1" si="198"/>
        <v>0</v>
      </c>
      <c r="BM357" s="775">
        <f t="shared" ca="1" si="199"/>
        <v>0</v>
      </c>
      <c r="BN357" s="775">
        <f t="shared" ca="1" si="200"/>
        <v>0</v>
      </c>
      <c r="BO357" s="775">
        <f t="shared" ca="1" si="201"/>
        <v>0</v>
      </c>
      <c r="BP357" s="775">
        <f t="shared" ca="1" si="202"/>
        <v>0</v>
      </c>
      <c r="BQ357" s="775">
        <f t="shared" ca="1" si="170"/>
        <v>0</v>
      </c>
      <c r="BR357" s="775">
        <f t="shared" ca="1" si="203"/>
        <v>0</v>
      </c>
    </row>
    <row r="358" spans="1:70">
      <c r="A358" s="767" t="str">
        <f t="shared" ca="1" si="219"/>
        <v/>
      </c>
      <c r="B358" s="623" t="s">
        <v>1315</v>
      </c>
      <c r="C358" s="188" t="str">
        <f ca="1">IF(F358=0,"",COUNTIF($F$78:$F358,"&gt;0"))</f>
        <v/>
      </c>
      <c r="D358" s="778" t="str">
        <f>VLOOKUP($B358,dongia1,DG!$C$5,)</f>
        <v xml:space="preserve">Giá đỡ cáp hạ thế </v>
      </c>
      <c r="E358" s="555" t="str">
        <f>VLOOKUP($B358,dongia1,DG!$D$5,)</f>
        <v>bộ</v>
      </c>
      <c r="F358" s="779">
        <f t="shared" ca="1" si="220"/>
        <v>0</v>
      </c>
      <c r="G358" s="775">
        <f t="shared" ca="1" si="222"/>
        <v>0</v>
      </c>
      <c r="H358" s="775">
        <f ca="1">SUMIF(CT_tram!$B$33:$G$3559,kl!B358,CT_tram!$G$33:$G$3559)</f>
        <v>0</v>
      </c>
      <c r="I358" s="775">
        <f ca="1">SUMIF(CT_tram!$B$34:$G$115,$B358,CT_tram!$G$34:$G$115)</f>
        <v>0</v>
      </c>
      <c r="J358" s="775">
        <f ca="1">SUMIF(CT_tram!$B$122:$G$204,$B358,CT_tram!$G$122:$G$204)</f>
        <v>0</v>
      </c>
      <c r="K358" s="775">
        <f ca="1">SUMIF(CT_tram!$B$211:$G$293,$B358,CT_tram!$G$211:$G$293)</f>
        <v>0</v>
      </c>
      <c r="L358" s="775">
        <f ca="1">SUMIF(CT_tram!$B$300:$G$374,$B358,CT_tram!$G$300:$G$374)</f>
        <v>0</v>
      </c>
      <c r="M358" s="775">
        <f ca="1">SUMIF(CT_tram!$B$381:$G$471,$B358,CT_tram!$G$381:$G$471)</f>
        <v>0</v>
      </c>
      <c r="N358" s="775">
        <f ca="1">SUMIF(CT_tram!$B$478:$G$560,$B358,CT_tram!$G$478:$G$560)</f>
        <v>0</v>
      </c>
      <c r="O358" s="775">
        <f ca="1">SUMIF(CT_tram!$B$567:$G$653,$B358,CT_tram!$G$567:$G$653)</f>
        <v>0</v>
      </c>
      <c r="P358" s="775">
        <f ca="1">SUMIF(CT_tram!$B$661:$G$738,$B358,CT_tram!$G$661:$G$738)</f>
        <v>0</v>
      </c>
      <c r="Q358" s="775">
        <f ca="1">SUMIF(CT_tram!$B$745:$G$899,$B358,CT_tram!$G$745:$G$899)</f>
        <v>0</v>
      </c>
      <c r="R358" s="775">
        <f ca="1">SUMIF(CT_tram!$B$907:$G$995,$B358,CT_tram!$G$907:$G$995)</f>
        <v>0</v>
      </c>
      <c r="S358" s="775"/>
      <c r="T358" s="775">
        <f ca="1">SUMIF(CT_tram!$B$1004:$G$1097,B358,CT_tram!$G$1004:$G$1097)</f>
        <v>0</v>
      </c>
      <c r="U358" s="775"/>
      <c r="V358" s="775">
        <f ca="1">SUMIF(CT_tram!$B$1226:$G$1352,kl!B358,CT_tram!$G$1226:$G$1352)</f>
        <v>0</v>
      </c>
      <c r="W358" s="780">
        <f ca="1">SUMIF(CT_tram!$B$1105:$G$1219,kl!B358,CT_tram!$G$1105:$G$1219)</f>
        <v>0</v>
      </c>
      <c r="X358" s="775">
        <f ca="1">SUMIF(CT_tram!$B$1359:$G$1504,kl!B358,CT_tram!$G$1359:$G$1504)</f>
        <v>0</v>
      </c>
      <c r="Y358" s="775">
        <f ca="1">SUMIF(CT_tram!$B$1511:$G$1625,kl!B358,CT_tram!$G$1511:$G$1625)</f>
        <v>0</v>
      </c>
      <c r="Z358" s="775">
        <f ca="1">SUMIF(CT_tram!$B$1632:$G$2211,kl!B358,CT_tram!$G$1632:$G$2211)</f>
        <v>0</v>
      </c>
      <c r="AA358" s="775">
        <f ca="1">SUMIF(CT_tram!$B$2243:$G$2384,kl!B358,CT_tram!$G$2243:$G$2384)</f>
        <v>0</v>
      </c>
      <c r="AB358" s="775">
        <f ca="1">SUMIF(CT_tram!$B$2391:$G$2563,kl!B358,CT_tram!$G$2391:$G$2563)</f>
        <v>0</v>
      </c>
      <c r="AC358" s="775">
        <f ca="1">SUMIF(chitiet!$B$13:$N$2352,kl!$B358,chitiet!$I$13:$I$2352)</f>
        <v>0</v>
      </c>
      <c r="AD358" s="775">
        <f ca="1">SUMIF(chitiet!$B$13:$N$2352,kl!$B358,chitiet!$J$13:$J$2352)</f>
        <v>0</v>
      </c>
      <c r="AE358" s="775">
        <f ca="1">SUMIF(chitiet!$B$13:$N$2352,kl!$B358,chitiet!$K$13:$K$2352)</f>
        <v>0</v>
      </c>
      <c r="AF358" s="775">
        <f ca="1">SUMIF(chitiet!$B$13:$N$2352,kl!$B358,chitiet!$L$13:$L$2352)</f>
        <v>0</v>
      </c>
      <c r="AG358" s="775">
        <f ca="1">SUMIF(chitiet!$B$13:$N$2352,kl!$B358,chitiet!$M$13)</f>
        <v>0</v>
      </c>
      <c r="AH358" s="775">
        <f ca="1">SUMIF(chitiet!$B$13:$N$2352,kl!$B358,chitiet!$N$13:$N$2352)</f>
        <v>0</v>
      </c>
      <c r="AI358" s="775">
        <f ca="1">SUMIF(chitiet!$B$13:$N$2352,kl!$B358,chitiet!$O$13:$O$2352)</f>
        <v>0</v>
      </c>
      <c r="AJ358" s="775">
        <f ca="1">SUMIF('Cap ngam'!$B$631:$G$723,kl!$B358,'Cap ngam'!$G$631:$G$723)</f>
        <v>0</v>
      </c>
      <c r="AK358" s="775">
        <f ca="1">SUMIF('Cap ngam'!$B$403:$G$628,kl!$B358,'Cap ngam'!G$403:G$628)</f>
        <v>0</v>
      </c>
      <c r="AL358" s="775">
        <f ca="1">SUMIF('Cap ngam'!B$16:G$400,kl!$B358,'Cap ngam'!G$16:G$400)</f>
        <v>0</v>
      </c>
      <c r="AM358" s="776">
        <v>45.8</v>
      </c>
      <c r="AN358" s="775">
        <f t="shared" ca="1" si="181"/>
        <v>0</v>
      </c>
      <c r="AO358" s="775">
        <f t="shared" ca="1" si="182"/>
        <v>0</v>
      </c>
      <c r="AP358" s="775">
        <f t="shared" ca="1" si="183"/>
        <v>0</v>
      </c>
      <c r="AQ358" s="775">
        <f t="shared" ca="1" si="184"/>
        <v>0</v>
      </c>
      <c r="AR358" s="775">
        <f t="shared" ca="1" si="185"/>
        <v>0</v>
      </c>
      <c r="AS358" s="775">
        <f t="shared" ca="1" si="186"/>
        <v>0</v>
      </c>
      <c r="AT358" s="775">
        <f t="shared" ca="1" si="187"/>
        <v>0</v>
      </c>
      <c r="AU358" s="775">
        <f t="shared" ca="1" si="188"/>
        <v>0</v>
      </c>
      <c r="AV358" s="775">
        <f t="shared" ca="1" si="189"/>
        <v>0</v>
      </c>
      <c r="AW358" s="775">
        <f t="shared" ca="1" si="190"/>
        <v>0</v>
      </c>
      <c r="AX358" s="775">
        <f t="shared" si="191"/>
        <v>0</v>
      </c>
      <c r="AY358" s="775">
        <f t="shared" ca="1" si="192"/>
        <v>0</v>
      </c>
      <c r="AZ358" s="775">
        <f t="shared" si="193"/>
        <v>0</v>
      </c>
      <c r="BA358" s="775">
        <f t="shared" ca="1" si="172"/>
        <v>0</v>
      </c>
      <c r="BB358" s="775">
        <f t="shared" ca="1" si="173"/>
        <v>0</v>
      </c>
      <c r="BC358" s="775">
        <f t="shared" ca="1" si="174"/>
        <v>0</v>
      </c>
      <c r="BD358" s="775">
        <f t="shared" ca="1" si="175"/>
        <v>0</v>
      </c>
      <c r="BE358" s="775">
        <f t="shared" ca="1" si="176"/>
        <v>0</v>
      </c>
      <c r="BF358" s="775">
        <f t="shared" ca="1" si="177"/>
        <v>0</v>
      </c>
      <c r="BG358" s="775">
        <f t="shared" ca="1" si="178"/>
        <v>0</v>
      </c>
      <c r="BH358" s="775">
        <f t="shared" ca="1" si="194"/>
        <v>0</v>
      </c>
      <c r="BI358" s="775">
        <f t="shared" ca="1" si="195"/>
        <v>0</v>
      </c>
      <c r="BJ358" s="775">
        <f t="shared" ca="1" si="196"/>
        <v>0</v>
      </c>
      <c r="BK358" s="775">
        <f t="shared" ca="1" si="197"/>
        <v>0</v>
      </c>
      <c r="BL358" s="775">
        <f t="shared" ca="1" si="198"/>
        <v>0</v>
      </c>
      <c r="BM358" s="775">
        <f t="shared" ca="1" si="199"/>
        <v>0</v>
      </c>
      <c r="BN358" s="775">
        <f t="shared" ca="1" si="200"/>
        <v>0</v>
      </c>
      <c r="BO358" s="775">
        <f t="shared" ca="1" si="201"/>
        <v>0</v>
      </c>
      <c r="BP358" s="775">
        <f t="shared" ca="1" si="202"/>
        <v>0</v>
      </c>
      <c r="BQ358" s="775">
        <f t="shared" ca="1" si="170"/>
        <v>0</v>
      </c>
      <c r="BR358" s="775">
        <f t="shared" ca="1" si="203"/>
        <v>0</v>
      </c>
    </row>
    <row r="359" spans="1:70">
      <c r="A359" s="767" t="str">
        <f t="shared" ca="1" si="219"/>
        <v/>
      </c>
      <c r="B359" s="623" t="s">
        <v>402</v>
      </c>
      <c r="C359" s="188" t="str">
        <f ca="1">IF(F359=0,"",COUNTIF($F$78:$F359,"&gt;0"))</f>
        <v/>
      </c>
      <c r="D359" s="778" t="str">
        <f>VLOOKUP($B359,dongia1,DG!$C$5,)</f>
        <v xml:space="preserve">Giá đỡ cáp hạ thế </v>
      </c>
      <c r="E359" s="555" t="str">
        <f>VLOOKUP($B359,dongia1,DG!$D$5,)</f>
        <v>bộ</v>
      </c>
      <c r="F359" s="779">
        <f t="shared" ca="1" si="220"/>
        <v>0</v>
      </c>
      <c r="G359" s="775">
        <f t="shared" ca="1" si="222"/>
        <v>0</v>
      </c>
      <c r="H359" s="775">
        <f ca="1">SUMIF(CT_tram!$B$33:$G$3559,kl!B359,CT_tram!$G$33:$G$3559)</f>
        <v>0</v>
      </c>
      <c r="I359" s="775">
        <f ca="1">SUMIF(CT_tram!$B$34:$G$115,$B359,CT_tram!$G$34:$G$115)</f>
        <v>0</v>
      </c>
      <c r="J359" s="775">
        <f ca="1">SUMIF(CT_tram!$B$122:$G$204,$B359,CT_tram!$G$122:$G$204)</f>
        <v>0</v>
      </c>
      <c r="K359" s="775">
        <f ca="1">SUMIF(CT_tram!$B$211:$G$293,$B359,CT_tram!$G$211:$G$293)</f>
        <v>0</v>
      </c>
      <c r="L359" s="775">
        <f ca="1">SUMIF(CT_tram!$B$300:$G$374,$B359,CT_tram!$G$300:$G$374)</f>
        <v>0</v>
      </c>
      <c r="M359" s="775">
        <f ca="1">SUMIF(CT_tram!$B$381:$G$471,$B359,CT_tram!$G$381:$G$471)</f>
        <v>0</v>
      </c>
      <c r="N359" s="775">
        <f ca="1">SUMIF(CT_tram!$B$478:$G$560,$B359,CT_tram!$G$478:$G$560)</f>
        <v>0</v>
      </c>
      <c r="O359" s="775">
        <f ca="1">SUMIF(CT_tram!$B$567:$G$653,$B359,CT_tram!$G$567:$G$653)</f>
        <v>0</v>
      </c>
      <c r="P359" s="775">
        <f ca="1">SUMIF(CT_tram!$B$661:$G$738,$B359,CT_tram!$G$661:$G$738)</f>
        <v>0</v>
      </c>
      <c r="Q359" s="775">
        <f ca="1">SUMIF(CT_tram!$B$745:$G$899,$B359,CT_tram!$G$745:$G$899)</f>
        <v>0</v>
      </c>
      <c r="R359" s="775">
        <f ca="1">SUMIF(CT_tram!$B$907:$G$995,$B359,CT_tram!$G$907:$G$995)</f>
        <v>0</v>
      </c>
      <c r="S359" s="775"/>
      <c r="T359" s="775">
        <f ca="1">SUMIF(CT_tram!$B$1004:$G$1097,B359,CT_tram!$G$1004:$G$1097)</f>
        <v>0</v>
      </c>
      <c r="U359" s="775"/>
      <c r="V359" s="775">
        <f ca="1">SUMIF(CT_tram!$B$1226:$G$1352,kl!B359,CT_tram!$G$1226:$G$1352)</f>
        <v>0</v>
      </c>
      <c r="W359" s="780">
        <f ca="1">SUMIF(CT_tram!$B$1105:$G$1219,kl!B359,CT_tram!$G$1105:$G$1219)</f>
        <v>0</v>
      </c>
      <c r="X359" s="775">
        <f ca="1">SUMIF(CT_tram!$B$1359:$G$1504,kl!B359,CT_tram!$G$1359:$G$1504)</f>
        <v>0</v>
      </c>
      <c r="Y359" s="775">
        <f ca="1">SUMIF(CT_tram!$B$1511:$G$1625,kl!B359,CT_tram!$G$1511:$G$1625)</f>
        <v>0</v>
      </c>
      <c r="Z359" s="775">
        <f ca="1">SUMIF(CT_tram!$B$1632:$G$2211,kl!B359,CT_tram!$G$1632:$G$2211)</f>
        <v>0</v>
      </c>
      <c r="AA359" s="775">
        <f ca="1">SUMIF(CT_tram!$B$2243:$G$2384,kl!B359,CT_tram!$G$2243:$G$2384)</f>
        <v>0</v>
      </c>
      <c r="AB359" s="775">
        <f ca="1">SUMIF(CT_tram!$B$2391:$G$2563,kl!B359,CT_tram!$G$2391:$G$2563)</f>
        <v>0</v>
      </c>
      <c r="AC359" s="775">
        <f ca="1">SUMIF(chitiet!$B$13:$N$2352,kl!$B359,chitiet!$I$13:$I$2352)</f>
        <v>0</v>
      </c>
      <c r="AD359" s="775">
        <f ca="1">SUMIF(chitiet!$B$13:$N$2352,kl!$B359,chitiet!$J$13:$J$2352)</f>
        <v>0</v>
      </c>
      <c r="AE359" s="775">
        <f ca="1">SUMIF(chitiet!$B$13:$N$2352,kl!$B359,chitiet!$K$13:$K$2352)</f>
        <v>0</v>
      </c>
      <c r="AF359" s="775">
        <f ca="1">SUMIF(chitiet!$B$13:$N$2352,kl!$B359,chitiet!$L$13:$L$2352)</f>
        <v>0</v>
      </c>
      <c r="AG359" s="775">
        <f ca="1">SUMIF(chitiet!$B$13:$N$2352,kl!$B359,chitiet!$M$13)</f>
        <v>0</v>
      </c>
      <c r="AH359" s="775">
        <f ca="1">SUMIF(chitiet!$B$13:$N$2352,kl!$B359,chitiet!$N$13:$N$2352)</f>
        <v>0</v>
      </c>
      <c r="AI359" s="775">
        <f ca="1">SUMIF(chitiet!$B$13:$N$2352,kl!$B359,chitiet!$O$13:$O$2352)</f>
        <v>0</v>
      </c>
      <c r="AJ359" s="775">
        <f ca="1">SUMIF('Cap ngam'!$B$631:$G$723,kl!$B359,'Cap ngam'!$G$631:$G$723)</f>
        <v>0</v>
      </c>
      <c r="AK359" s="775">
        <f ca="1">SUMIF('Cap ngam'!$B$403:$G$628,kl!$B359,'Cap ngam'!G$403:G$628)</f>
        <v>0</v>
      </c>
      <c r="AL359" s="775">
        <f ca="1">SUMIF('Cap ngam'!B$16:G$400,kl!$B359,'Cap ngam'!G$16:G$400)</f>
        <v>0</v>
      </c>
      <c r="AM359" s="776">
        <v>527</v>
      </c>
      <c r="AN359" s="775">
        <f t="shared" ca="1" si="181"/>
        <v>0</v>
      </c>
      <c r="AO359" s="775">
        <f t="shared" ca="1" si="182"/>
        <v>0</v>
      </c>
      <c r="AP359" s="775">
        <f t="shared" ca="1" si="183"/>
        <v>0</v>
      </c>
      <c r="AQ359" s="775">
        <f t="shared" ca="1" si="184"/>
        <v>0</v>
      </c>
      <c r="AR359" s="775">
        <f t="shared" ca="1" si="185"/>
        <v>0</v>
      </c>
      <c r="AS359" s="775">
        <f t="shared" ca="1" si="186"/>
        <v>0</v>
      </c>
      <c r="AT359" s="775">
        <f t="shared" ca="1" si="187"/>
        <v>0</v>
      </c>
      <c r="AU359" s="775">
        <f t="shared" ca="1" si="188"/>
        <v>0</v>
      </c>
      <c r="AV359" s="775">
        <f t="shared" ca="1" si="189"/>
        <v>0</v>
      </c>
      <c r="AW359" s="775">
        <f t="shared" ca="1" si="190"/>
        <v>0</v>
      </c>
      <c r="AX359" s="775">
        <f t="shared" si="191"/>
        <v>0</v>
      </c>
      <c r="AY359" s="775">
        <f t="shared" ca="1" si="192"/>
        <v>0</v>
      </c>
      <c r="AZ359" s="775">
        <f t="shared" si="193"/>
        <v>0</v>
      </c>
      <c r="BA359" s="775">
        <f t="shared" ref="BA359:BA384" ca="1" si="223">V359*$AM359</f>
        <v>0</v>
      </c>
      <c r="BB359" s="775">
        <f t="shared" ref="BB359:BB384" ca="1" si="224">W359*$AM359</f>
        <v>0</v>
      </c>
      <c r="BC359" s="775">
        <f t="shared" ref="BC359:BC384" ca="1" si="225">X359*$AM359</f>
        <v>0</v>
      </c>
      <c r="BD359" s="775">
        <f t="shared" ref="BD359:BD384" ca="1" si="226">Y359*$AM359</f>
        <v>0</v>
      </c>
      <c r="BE359" s="775">
        <f t="shared" ref="BE359:BE384" ca="1" si="227">Z359*$AM359</f>
        <v>0</v>
      </c>
      <c r="BF359" s="775">
        <f t="shared" ref="BF359:BF384" ca="1" si="228">AA359*$AM359</f>
        <v>0</v>
      </c>
      <c r="BG359" s="775">
        <f t="shared" ref="BG359:BG384" ca="1" si="229">AB359*$AM359</f>
        <v>0</v>
      </c>
      <c r="BH359" s="775">
        <f t="shared" ca="1" si="194"/>
        <v>0</v>
      </c>
      <c r="BI359" s="775">
        <f t="shared" ca="1" si="195"/>
        <v>0</v>
      </c>
      <c r="BJ359" s="775">
        <f t="shared" ca="1" si="196"/>
        <v>0</v>
      </c>
      <c r="BK359" s="775">
        <f t="shared" ca="1" si="197"/>
        <v>0</v>
      </c>
      <c r="BL359" s="775">
        <f t="shared" ca="1" si="198"/>
        <v>0</v>
      </c>
      <c r="BM359" s="775">
        <f t="shared" ca="1" si="199"/>
        <v>0</v>
      </c>
      <c r="BN359" s="775">
        <f t="shared" ca="1" si="200"/>
        <v>0</v>
      </c>
      <c r="BO359" s="775">
        <f t="shared" ca="1" si="201"/>
        <v>0</v>
      </c>
      <c r="BP359" s="775">
        <f t="shared" ca="1" si="202"/>
        <v>0</v>
      </c>
      <c r="BQ359" s="775">
        <f t="shared" ca="1" si="170"/>
        <v>0</v>
      </c>
      <c r="BR359" s="775">
        <f t="shared" ca="1" si="203"/>
        <v>0</v>
      </c>
    </row>
    <row r="360" spans="1:70">
      <c r="A360" s="767" t="str">
        <f t="shared" ref="A360:A365" ca="1" si="230">IF(F360&lt;&gt;0,"X","")</f>
        <v/>
      </c>
      <c r="B360" s="767" t="s">
        <v>999</v>
      </c>
      <c r="C360" s="188" t="str">
        <f ca="1">IF(F360=0,"",COUNTIF($F$78:$F360,"&gt;0"))</f>
        <v/>
      </c>
      <c r="D360" s="778" t="str">
        <f>VLOOKUP($B360,dongia1,DG!$C$5,)</f>
        <v>Đà cản BTCT 1,2m</v>
      </c>
      <c r="E360" s="555" t="str">
        <f>VLOOKUP($B360,dongia1,DG!$D$5,)</f>
        <v>cái</v>
      </c>
      <c r="F360" s="779">
        <f t="shared" ref="F360:F372" ca="1" si="231">G360+H360</f>
        <v>0</v>
      </c>
      <c r="G360" s="775">
        <f t="shared" ref="G360:G365" ca="1" si="232">SUM(AC360:AL360)</f>
        <v>0</v>
      </c>
      <c r="H360" s="775">
        <f ca="1">SUMIF(CT_tram!$B$33:$G$3559,kl!B360,CT_tram!$G$33:$G$3559)</f>
        <v>0</v>
      </c>
      <c r="I360" s="775">
        <f ca="1">SUMIF(CT_tram!$B$34:$G$115,$B360,CT_tram!$G$34:$G$115)</f>
        <v>0</v>
      </c>
      <c r="J360" s="775">
        <f ca="1">SUMIF(CT_tram!$B$122:$G$204,$B360,CT_tram!$G$122:$G$204)</f>
        <v>0</v>
      </c>
      <c r="K360" s="775">
        <f ca="1">SUMIF(CT_tram!$B$211:$G$293,$B360,CT_tram!$G$211:$G$293)</f>
        <v>0</v>
      </c>
      <c r="L360" s="775">
        <f ca="1">SUMIF(CT_tram!$B$300:$G$374,$B360,CT_tram!$G$300:$G$374)</f>
        <v>0</v>
      </c>
      <c r="M360" s="775">
        <f ca="1">SUMIF(CT_tram!$B$381:$G$471,$B360,CT_tram!$G$381:$G$471)</f>
        <v>0</v>
      </c>
      <c r="N360" s="775">
        <f ca="1">SUMIF(CT_tram!$B$478:$G$560,$B360,CT_tram!$G$478:$G$560)</f>
        <v>0</v>
      </c>
      <c r="O360" s="775">
        <f ca="1">SUMIF(CT_tram!$B$567:$G$653,$B360,CT_tram!$G$567:$G$653)</f>
        <v>0</v>
      </c>
      <c r="P360" s="775">
        <f ca="1">SUMIF(CT_tram!$B$661:$G$738,$B360,CT_tram!$G$661:$G$738)</f>
        <v>0</v>
      </c>
      <c r="Q360" s="775">
        <f ca="1">SUMIF(CT_tram!$B$745:$G$899,$B360,CT_tram!$G$745:$G$899)</f>
        <v>0</v>
      </c>
      <c r="R360" s="775">
        <f ca="1">SUMIF(CT_tram!$B$907:$G$995,$B360,CT_tram!$G$907:$G$995)</f>
        <v>0</v>
      </c>
      <c r="S360" s="775"/>
      <c r="T360" s="775">
        <f ca="1">SUMIF(CT_tram!$B$1004:$G$1097,B360,CT_tram!$G$1004:$G$1097)</f>
        <v>0</v>
      </c>
      <c r="U360" s="775"/>
      <c r="V360" s="775">
        <f ca="1">SUMIF(CT_tram!$B$1226:$G$1352,kl!B360,CT_tram!$G$1226:$G$1352)</f>
        <v>0</v>
      </c>
      <c r="W360" s="780">
        <f ca="1">SUMIF(CT_tram!$B$1105:$G$1219,kl!B360,CT_tram!$G$1105:$G$1219)</f>
        <v>0</v>
      </c>
      <c r="X360" s="775">
        <f ca="1">SUMIF(CT_tram!$B$1359:$G$1504,kl!B360,CT_tram!$G$1359:$G$1504)</f>
        <v>0</v>
      </c>
      <c r="Y360" s="775">
        <f ca="1">SUMIF(CT_tram!$B$1511:$G$1625,kl!B360,CT_tram!$G$1511:$G$1625)</f>
        <v>0</v>
      </c>
      <c r="Z360" s="775">
        <f ca="1">SUMIF(CT_tram!$B$1632:$G$2211,kl!B360,CT_tram!$G$1632:$G$2211)</f>
        <v>0</v>
      </c>
      <c r="AA360" s="775">
        <f ca="1">SUMIF(CT_tram!$B$2243:$G$2384,kl!B360,CT_tram!$G$2243:$G$2384)</f>
        <v>0</v>
      </c>
      <c r="AB360" s="775">
        <f ca="1">SUMIF(CT_tram!$B$2391:$G$2563,kl!B360,CT_tram!$G$2391:$G$2563)</f>
        <v>0</v>
      </c>
      <c r="AC360" s="775">
        <f ca="1">SUMIF(chitiet!$B$13:$N$2352,kl!$B360,chitiet!$I$13:$I$2352)</f>
        <v>0</v>
      </c>
      <c r="AD360" s="775">
        <f ca="1">SUMIF(chitiet!$B$13:$N$2352,kl!$B360,chitiet!$J$13:$J$2352)</f>
        <v>0</v>
      </c>
      <c r="AE360" s="775">
        <f ca="1">SUMIF(chitiet!$B$13:$N$2352,kl!$B360,chitiet!$K$13:$K$2352)</f>
        <v>0</v>
      </c>
      <c r="AF360" s="775">
        <f ca="1">SUMIF(chitiet!$B$13:$N$2352,kl!$B360,chitiet!$L$13:$L$2352)</f>
        <v>0</v>
      </c>
      <c r="AG360" s="775">
        <f ca="1">SUMIF(chitiet!$B$13:$N$2352,kl!$B360,chitiet!$M$13)</f>
        <v>0</v>
      </c>
      <c r="AH360" s="775">
        <f ca="1">SUMIF(chitiet!$B$13:$N$2352,kl!$B360,chitiet!$N$13:$N$2352)</f>
        <v>0</v>
      </c>
      <c r="AI360" s="775">
        <f ca="1">SUMIF(chitiet!$B$13:$N$2352,kl!$B360,chitiet!$O$13:$O$2352)</f>
        <v>0</v>
      </c>
      <c r="AJ360" s="775">
        <f ca="1">SUMIF('Cap ngam'!$B$631:$G$723,kl!$B360,'Cap ngam'!$G$631:$G$723)</f>
        <v>0</v>
      </c>
      <c r="AK360" s="775">
        <f ca="1">SUMIF('Cap ngam'!$B$403:$G$628,kl!$B360,'Cap ngam'!G$403:G$628)</f>
        <v>0</v>
      </c>
      <c r="AL360" s="775">
        <f ca="1">SUMIF('Cap ngam'!B$16:G$400,kl!$B360,'Cap ngam'!G$16:G$400)</f>
        <v>0</v>
      </c>
      <c r="AM360" s="776">
        <v>80</v>
      </c>
      <c r="AN360" s="775">
        <f t="shared" ref="AN360:AN383" ca="1" si="233">I360*$AM360</f>
        <v>0</v>
      </c>
      <c r="AO360" s="775">
        <f t="shared" ref="AO360:AO384" ca="1" si="234">J360*$AM360</f>
        <v>0</v>
      </c>
      <c r="AP360" s="775">
        <f t="shared" ref="AP360:AP384" ca="1" si="235">K360*$AM360</f>
        <v>0</v>
      </c>
      <c r="AQ360" s="775">
        <f t="shared" ref="AQ360:AQ384" ca="1" si="236">L360*$AM360</f>
        <v>0</v>
      </c>
      <c r="AR360" s="775">
        <f t="shared" ref="AR360:AR384" ca="1" si="237">M360*$AM360</f>
        <v>0</v>
      </c>
      <c r="AS360" s="775">
        <f t="shared" ref="AS360:AS384" ca="1" si="238">N360*$AM360</f>
        <v>0</v>
      </c>
      <c r="AT360" s="775">
        <f t="shared" ref="AT360:AT384" ca="1" si="239">O360*$AM360</f>
        <v>0</v>
      </c>
      <c r="AU360" s="775">
        <f t="shared" ref="AU360:AU384" ca="1" si="240">P360*$AM360</f>
        <v>0</v>
      </c>
      <c r="AV360" s="775">
        <f t="shared" ref="AV360:AV384" ca="1" si="241">Q360*$AM360</f>
        <v>0</v>
      </c>
      <c r="AW360" s="775">
        <f t="shared" ref="AW360:AW384" ca="1" si="242">R360*$AM360</f>
        <v>0</v>
      </c>
      <c r="AX360" s="775">
        <f t="shared" ref="AX360:AX384" si="243">S360*$AM360</f>
        <v>0</v>
      </c>
      <c r="AY360" s="775">
        <f t="shared" ref="AY360:AY384" ca="1" si="244">T360*$AM360</f>
        <v>0</v>
      </c>
      <c r="AZ360" s="775">
        <f t="shared" ref="AZ360:AZ384" si="245">U360*$AM360</f>
        <v>0</v>
      </c>
      <c r="BA360" s="775">
        <f t="shared" ca="1" si="223"/>
        <v>0</v>
      </c>
      <c r="BB360" s="775">
        <f t="shared" ca="1" si="224"/>
        <v>0</v>
      </c>
      <c r="BC360" s="775">
        <f t="shared" ca="1" si="225"/>
        <v>0</v>
      </c>
      <c r="BD360" s="775">
        <f t="shared" ca="1" si="226"/>
        <v>0</v>
      </c>
      <c r="BE360" s="775">
        <f t="shared" ca="1" si="227"/>
        <v>0</v>
      </c>
      <c r="BF360" s="775">
        <f t="shared" ca="1" si="228"/>
        <v>0</v>
      </c>
      <c r="BG360" s="775">
        <f t="shared" ca="1" si="229"/>
        <v>0</v>
      </c>
      <c r="BH360" s="775">
        <f t="shared" ca="1" si="194"/>
        <v>0</v>
      </c>
      <c r="BI360" s="775">
        <f t="shared" ca="1" si="195"/>
        <v>0</v>
      </c>
      <c r="BJ360" s="775">
        <f t="shared" ca="1" si="196"/>
        <v>0</v>
      </c>
      <c r="BK360" s="775">
        <f t="shared" ca="1" si="197"/>
        <v>0</v>
      </c>
      <c r="BL360" s="775">
        <f t="shared" ca="1" si="198"/>
        <v>0</v>
      </c>
      <c r="BM360" s="775">
        <f t="shared" ca="1" si="199"/>
        <v>0</v>
      </c>
      <c r="BN360" s="775">
        <f t="shared" ca="1" si="200"/>
        <v>0</v>
      </c>
      <c r="BO360" s="775">
        <f t="shared" ca="1" si="201"/>
        <v>0</v>
      </c>
      <c r="BP360" s="775">
        <f t="shared" ca="1" si="202"/>
        <v>0</v>
      </c>
      <c r="BQ360" s="775">
        <f t="shared" ref="BQ360:BQ365" ca="1" si="246">$AL360*$AM360</f>
        <v>0</v>
      </c>
      <c r="BR360" s="775">
        <f t="shared" ca="1" si="203"/>
        <v>0</v>
      </c>
    </row>
    <row r="361" spans="1:70">
      <c r="A361" s="767" t="str">
        <f t="shared" ca="1" si="230"/>
        <v/>
      </c>
      <c r="B361" s="767" t="s">
        <v>1000</v>
      </c>
      <c r="C361" s="188" t="str">
        <f ca="1">IF(F361=0,"",COUNTIF($F$78:$F361,"&gt;0"))</f>
        <v/>
      </c>
      <c r="D361" s="778" t="str">
        <f>VLOOKUP($B361,dongia1,DG!$C$5,)</f>
        <v>Đà cản BTCT 1,5m</v>
      </c>
      <c r="E361" s="555" t="str">
        <f>VLOOKUP($B361,dongia1,DG!$D$5,)</f>
        <v>cái</v>
      </c>
      <c r="F361" s="779">
        <f t="shared" ca="1" si="231"/>
        <v>0</v>
      </c>
      <c r="G361" s="775">
        <f t="shared" ca="1" si="232"/>
        <v>0</v>
      </c>
      <c r="H361" s="775">
        <f ca="1">SUMIF(CT_tram!$B$33:$G$3559,kl!B361,CT_tram!$G$33:$G$3559)</f>
        <v>0</v>
      </c>
      <c r="I361" s="775">
        <f ca="1">SUMIF(CT_tram!$B$34:$G$115,$B361,CT_tram!$G$34:$G$115)</f>
        <v>0</v>
      </c>
      <c r="J361" s="775">
        <f ca="1">SUMIF(CT_tram!$B$122:$G$204,$B361,CT_tram!$G$122:$G$204)</f>
        <v>0</v>
      </c>
      <c r="K361" s="775">
        <f ca="1">SUMIF(CT_tram!$B$211:$G$293,$B361,CT_tram!$G$211:$G$293)</f>
        <v>0</v>
      </c>
      <c r="L361" s="775">
        <f ca="1">SUMIF(CT_tram!$B$300:$G$374,$B361,CT_tram!$G$300:$G$374)</f>
        <v>0</v>
      </c>
      <c r="M361" s="775">
        <f ca="1">SUMIF(CT_tram!$B$381:$G$471,$B361,CT_tram!$G$381:$G$471)</f>
        <v>0</v>
      </c>
      <c r="N361" s="775">
        <f ca="1">SUMIF(CT_tram!$B$478:$G$560,$B361,CT_tram!$G$478:$G$560)</f>
        <v>0</v>
      </c>
      <c r="O361" s="775">
        <f ca="1">SUMIF(CT_tram!$B$567:$G$653,$B361,CT_tram!$G$567:$G$653)</f>
        <v>0</v>
      </c>
      <c r="P361" s="775">
        <f ca="1">SUMIF(CT_tram!$B$661:$G$738,$B361,CT_tram!$G$661:$G$738)</f>
        <v>0</v>
      </c>
      <c r="Q361" s="775">
        <f ca="1">SUMIF(CT_tram!$B$745:$G$899,$B361,CT_tram!$G$745:$G$899)</f>
        <v>0</v>
      </c>
      <c r="R361" s="775">
        <f ca="1">SUMIF(CT_tram!$B$907:$G$995,$B361,CT_tram!$G$907:$G$995)</f>
        <v>0</v>
      </c>
      <c r="S361" s="775"/>
      <c r="T361" s="775">
        <f ca="1">SUMIF(CT_tram!$B$1004:$G$1097,B361,CT_tram!$G$1004:$G$1097)</f>
        <v>0</v>
      </c>
      <c r="U361" s="775"/>
      <c r="V361" s="775">
        <f ca="1">SUMIF(CT_tram!$B$1226:$G$1352,kl!B361,CT_tram!$G$1226:$G$1352)</f>
        <v>0</v>
      </c>
      <c r="W361" s="780">
        <f ca="1">SUMIF(CT_tram!$B$1105:$G$1219,kl!B361,CT_tram!$G$1105:$G$1219)</f>
        <v>0</v>
      </c>
      <c r="X361" s="775">
        <f ca="1">SUMIF(CT_tram!$B$1359:$G$1504,kl!B361,CT_tram!$G$1359:$G$1504)</f>
        <v>0</v>
      </c>
      <c r="Y361" s="775">
        <f ca="1">SUMIF(CT_tram!$B$1511:$G$1625,kl!B361,CT_tram!$G$1511:$G$1625)</f>
        <v>0</v>
      </c>
      <c r="Z361" s="775">
        <f ca="1">SUMIF(CT_tram!$B$1632:$G$2211,kl!B361,CT_tram!$G$1632:$G$2211)</f>
        <v>0</v>
      </c>
      <c r="AA361" s="775">
        <f ca="1">SUMIF(CT_tram!$B$2243:$G$2384,kl!B361,CT_tram!$G$2243:$G$2384)</f>
        <v>0</v>
      </c>
      <c r="AB361" s="775">
        <f ca="1">SUMIF(CT_tram!$B$2391:$G$2563,kl!B361,CT_tram!$G$2391:$G$2563)</f>
        <v>0</v>
      </c>
      <c r="AC361" s="775">
        <f ca="1">SUMIF(chitiet!$B$13:$N$2352,kl!$B361,chitiet!$I$13:$I$2352)</f>
        <v>0</v>
      </c>
      <c r="AD361" s="775">
        <f ca="1">SUMIF(chitiet!$B$13:$N$2352,kl!$B361,chitiet!$J$13:$J$2352)</f>
        <v>0</v>
      </c>
      <c r="AE361" s="775"/>
      <c r="AF361" s="775">
        <f ca="1">SUMIF(chitiet!$B$13:$N$2352,kl!$B361,chitiet!$L$13:$L$2352)</f>
        <v>0</v>
      </c>
      <c r="AG361" s="775">
        <f ca="1">SUMIF(chitiet!$B$13:$N$2352,kl!$B361,chitiet!$M$13)</f>
        <v>0</v>
      </c>
      <c r="AH361" s="775">
        <f ca="1">SUMIF(chitiet!$B$13:$N$2352,kl!$B361,chitiet!$N$13:$N$2352)</f>
        <v>0</v>
      </c>
      <c r="AI361" s="775">
        <f ca="1">SUMIF(chitiet!$B$13:$N$2352,kl!$B361,chitiet!$O$13:$O$2352)</f>
        <v>0</v>
      </c>
      <c r="AJ361" s="775">
        <f ca="1">SUMIF('Cap ngam'!$B$631:$G$723,kl!$B361,'Cap ngam'!$G$631:$G$723)</f>
        <v>0</v>
      </c>
      <c r="AK361" s="775">
        <f ca="1">SUMIF('Cap ngam'!$B$403:$G$628,kl!$B361,'Cap ngam'!G$403:G$628)</f>
        <v>0</v>
      </c>
      <c r="AL361" s="775">
        <f ca="1">SUMIF('Cap ngam'!B$16:G$400,kl!$B361,'Cap ngam'!G$16:G$400)</f>
        <v>0</v>
      </c>
      <c r="AM361" s="776">
        <v>250</v>
      </c>
      <c r="AN361" s="775">
        <f t="shared" ca="1" si="233"/>
        <v>0</v>
      </c>
      <c r="AO361" s="775">
        <f t="shared" ca="1" si="234"/>
        <v>0</v>
      </c>
      <c r="AP361" s="775">
        <f t="shared" ca="1" si="235"/>
        <v>0</v>
      </c>
      <c r="AQ361" s="775">
        <f t="shared" ca="1" si="236"/>
        <v>0</v>
      </c>
      <c r="AR361" s="775">
        <f t="shared" ca="1" si="237"/>
        <v>0</v>
      </c>
      <c r="AS361" s="775">
        <f t="shared" ca="1" si="238"/>
        <v>0</v>
      </c>
      <c r="AT361" s="775">
        <f t="shared" ca="1" si="239"/>
        <v>0</v>
      </c>
      <c r="AU361" s="775">
        <f t="shared" ca="1" si="240"/>
        <v>0</v>
      </c>
      <c r="AV361" s="775">
        <f t="shared" ca="1" si="241"/>
        <v>0</v>
      </c>
      <c r="AW361" s="775">
        <f t="shared" ca="1" si="242"/>
        <v>0</v>
      </c>
      <c r="AX361" s="775">
        <f t="shared" si="243"/>
        <v>0</v>
      </c>
      <c r="AY361" s="775">
        <f t="shared" ca="1" si="244"/>
        <v>0</v>
      </c>
      <c r="AZ361" s="775">
        <f t="shared" si="245"/>
        <v>0</v>
      </c>
      <c r="BA361" s="775">
        <f t="shared" ca="1" si="223"/>
        <v>0</v>
      </c>
      <c r="BB361" s="775">
        <f t="shared" ca="1" si="224"/>
        <v>0</v>
      </c>
      <c r="BC361" s="775">
        <f t="shared" ca="1" si="225"/>
        <v>0</v>
      </c>
      <c r="BD361" s="775">
        <f t="shared" ca="1" si="226"/>
        <v>0</v>
      </c>
      <c r="BE361" s="775">
        <f t="shared" ca="1" si="227"/>
        <v>0</v>
      </c>
      <c r="BF361" s="775">
        <f t="shared" ca="1" si="228"/>
        <v>0</v>
      </c>
      <c r="BG361" s="775">
        <f t="shared" ca="1" si="229"/>
        <v>0</v>
      </c>
      <c r="BH361" s="775">
        <f t="shared" ca="1" si="194"/>
        <v>0</v>
      </c>
      <c r="BI361" s="775">
        <f t="shared" ca="1" si="195"/>
        <v>0</v>
      </c>
      <c r="BJ361" s="775">
        <f t="shared" si="196"/>
        <v>0</v>
      </c>
      <c r="BK361" s="775">
        <f t="shared" ca="1" si="197"/>
        <v>0</v>
      </c>
      <c r="BL361" s="775">
        <f t="shared" ca="1" si="198"/>
        <v>0</v>
      </c>
      <c r="BM361" s="775">
        <f t="shared" ca="1" si="199"/>
        <v>0</v>
      </c>
      <c r="BN361" s="775">
        <f t="shared" ca="1" si="200"/>
        <v>0</v>
      </c>
      <c r="BO361" s="775">
        <f t="shared" ca="1" si="201"/>
        <v>0</v>
      </c>
      <c r="BP361" s="775">
        <f t="shared" ca="1" si="202"/>
        <v>0</v>
      </c>
      <c r="BQ361" s="775">
        <f t="shared" ca="1" si="246"/>
        <v>0</v>
      </c>
      <c r="BR361" s="775">
        <f t="shared" ca="1" si="203"/>
        <v>0</v>
      </c>
    </row>
    <row r="362" spans="1:70">
      <c r="A362" s="767" t="str">
        <f t="shared" ca="1" si="230"/>
        <v/>
      </c>
      <c r="B362" s="767" t="s">
        <v>1852</v>
      </c>
      <c r="C362" s="188" t="str">
        <f ca="1">IF(F362=0,"",COUNTIF($F$78:$F362,"&gt;0"))</f>
        <v/>
      </c>
      <c r="D362" s="778" t="str">
        <f>VLOOKUP($B362,dongia1,DG!$C$5,)</f>
        <v>Đế neo BTCT 200x1200</v>
      </c>
      <c r="E362" s="555" t="str">
        <f>VLOOKUP($B362,dongia1,DG!$D$5,)</f>
        <v>cái</v>
      </c>
      <c r="F362" s="975">
        <f t="shared" ca="1" si="231"/>
        <v>0</v>
      </c>
      <c r="G362" s="976">
        <f t="shared" ca="1" si="232"/>
        <v>0</v>
      </c>
      <c r="H362" s="976">
        <f ca="1">SUMIF(CT_tram!$B$33:$G$3559,kl!B362,CT_tram!$G$33:$G$3559)</f>
        <v>0</v>
      </c>
      <c r="I362" s="775">
        <f ca="1">SUMIF(CT_tram!$B$34:$G$115,$B362,CT_tram!$G$34:$G$115)</f>
        <v>0</v>
      </c>
      <c r="J362" s="775">
        <f ca="1">SUMIF(CT_tram!$B$122:$G$204,$B362,CT_tram!$G$122:$G$204)</f>
        <v>0</v>
      </c>
      <c r="K362" s="775">
        <f ca="1">SUMIF(CT_tram!$B$211:$G$293,$B362,CT_tram!$G$211:$G$293)</f>
        <v>0</v>
      </c>
      <c r="L362" s="775">
        <f ca="1">SUMIF(CT_tram!$B$300:$G$374,$B362,CT_tram!$G$300:$G$374)</f>
        <v>0</v>
      </c>
      <c r="M362" s="775">
        <f ca="1">SUMIF(CT_tram!$B$381:$G$471,$B362,CT_tram!$G$381:$G$471)</f>
        <v>0</v>
      </c>
      <c r="N362" s="775">
        <f ca="1">SUMIF(CT_tram!$B$478:$G$560,$B362,CT_tram!$G$478:$G$560)</f>
        <v>0</v>
      </c>
      <c r="O362" s="775">
        <f ca="1">SUMIF(CT_tram!$B$567:$G$653,$B362,CT_tram!$G$567:$G$653)</f>
        <v>0</v>
      </c>
      <c r="P362" s="775">
        <f ca="1">SUMIF(CT_tram!$B$661:$G$738,$B362,CT_tram!$G$661:$G$738)</f>
        <v>0</v>
      </c>
      <c r="Q362" s="775">
        <f ca="1">SUMIF(CT_tram!$B$745:$G$899,$B362,CT_tram!$G$745:$G$899)</f>
        <v>0</v>
      </c>
      <c r="R362" s="775">
        <f ca="1">SUMIF(CT_tram!$B$907:$G$995,$B362,CT_tram!$G$907:$G$995)</f>
        <v>0</v>
      </c>
      <c r="S362" s="775"/>
      <c r="T362" s="775">
        <f ca="1">SUMIF(CT_tram!$B$1004:$G$1097,B362,CT_tram!$G$1004:$G$1097)</f>
        <v>0</v>
      </c>
      <c r="U362" s="775"/>
      <c r="V362" s="775">
        <f ca="1">SUMIF(CT_tram!$B$1226:$G$1352,kl!B362,CT_tram!$G$1226:$G$1352)</f>
        <v>0</v>
      </c>
      <c r="W362" s="780">
        <f ca="1">SUMIF(CT_tram!$B$1105:$G$1219,kl!B362,CT_tram!$G$1105:$G$1219)</f>
        <v>0</v>
      </c>
      <c r="X362" s="775">
        <f ca="1">SUMIF(CT_tram!$B$1359:$G$1504,kl!B362,CT_tram!$G$1359:$G$1504)</f>
        <v>0</v>
      </c>
      <c r="Y362" s="775">
        <f ca="1">SUMIF(CT_tram!$B$1511:$G$1625,kl!B362,CT_tram!$G$1511:$G$1625)</f>
        <v>0</v>
      </c>
      <c r="Z362" s="775">
        <f ca="1">SUMIF(CT_tram!$B$1632:$G$2211,kl!B362,CT_tram!$G$1632:$G$2211)</f>
        <v>0</v>
      </c>
      <c r="AA362" s="775">
        <f ca="1">SUMIF(CT_tram!$B$2243:$G$2384,kl!B362,CT_tram!$G$2243:$G$2384)</f>
        <v>0</v>
      </c>
      <c r="AB362" s="775">
        <f ca="1">SUMIF(CT_tram!$B$2391:$G$2563,kl!B362,CT_tram!$G$2391:$G$2563)</f>
        <v>0</v>
      </c>
      <c r="AC362" s="775">
        <f ca="1">SUMIF(chitiet!$B$13:$N$2352,kl!$B362,chitiet!$I$13:$I$2352)</f>
        <v>0</v>
      </c>
      <c r="AD362" s="775">
        <f ca="1">SUMIF(chitiet!$B$13:$N$2352,kl!$B362,chitiet!$J$13:$J$2352)</f>
        <v>0</v>
      </c>
      <c r="AE362" s="775">
        <f ca="1">SUMIF(chitiet!$B$13:$N$2352,kl!$B362,chitiet!$K$13:$K$2352)</f>
        <v>0</v>
      </c>
      <c r="AF362" s="775">
        <f ca="1">SUMIF(chitiet!$B$13:$N$2352,kl!$B362,chitiet!$L$13:$L$2352)</f>
        <v>0</v>
      </c>
      <c r="AG362" s="775">
        <f ca="1">SUMIF(chitiet!$B$13:$N$2352,kl!$B362,chitiet!$M$13)</f>
        <v>0</v>
      </c>
      <c r="AH362" s="775">
        <f ca="1">SUMIF(chitiet!$B$13:$N$2352,kl!$B362,chitiet!$N$13:$N$2352)</f>
        <v>0</v>
      </c>
      <c r="AI362" s="775">
        <f ca="1">SUMIF(chitiet!$B$13:$N$2352,kl!$B362,chitiet!$O$13:$O$2352)</f>
        <v>0</v>
      </c>
      <c r="AJ362" s="775">
        <f ca="1">SUMIF('Cap ngam'!$B$631:$G$723,kl!$B362,'Cap ngam'!$G$631:$G$723)</f>
        <v>0</v>
      </c>
      <c r="AK362" s="775">
        <f ca="1">SUMIF('Cap ngam'!$B$403:$G$628,kl!$B362,'Cap ngam'!G$403:G$628)</f>
        <v>0</v>
      </c>
      <c r="AL362" s="775">
        <f ca="1">SUMIF('Cap ngam'!B$16:G$400,kl!$B362,'Cap ngam'!G$16:G$400)</f>
        <v>0</v>
      </c>
      <c r="AM362" s="776">
        <v>90</v>
      </c>
      <c r="AN362" s="775">
        <f t="shared" ca="1" si="233"/>
        <v>0</v>
      </c>
      <c r="AO362" s="775">
        <f t="shared" ca="1" si="234"/>
        <v>0</v>
      </c>
      <c r="AP362" s="775">
        <f t="shared" ca="1" si="235"/>
        <v>0</v>
      </c>
      <c r="AQ362" s="775">
        <f t="shared" ca="1" si="236"/>
        <v>0</v>
      </c>
      <c r="AR362" s="775">
        <f t="shared" ca="1" si="237"/>
        <v>0</v>
      </c>
      <c r="AS362" s="775">
        <f t="shared" ca="1" si="238"/>
        <v>0</v>
      </c>
      <c r="AT362" s="775">
        <f t="shared" ca="1" si="239"/>
        <v>0</v>
      </c>
      <c r="AU362" s="775">
        <f t="shared" ca="1" si="240"/>
        <v>0</v>
      </c>
      <c r="AV362" s="775">
        <f t="shared" ca="1" si="241"/>
        <v>0</v>
      </c>
      <c r="AW362" s="775">
        <f t="shared" ca="1" si="242"/>
        <v>0</v>
      </c>
      <c r="AX362" s="775">
        <f t="shared" si="243"/>
        <v>0</v>
      </c>
      <c r="AY362" s="775">
        <f t="shared" ca="1" si="244"/>
        <v>0</v>
      </c>
      <c r="AZ362" s="775">
        <f t="shared" si="245"/>
        <v>0</v>
      </c>
      <c r="BA362" s="775">
        <f t="shared" ca="1" si="223"/>
        <v>0</v>
      </c>
      <c r="BB362" s="775">
        <f t="shared" ca="1" si="224"/>
        <v>0</v>
      </c>
      <c r="BC362" s="775">
        <f t="shared" ca="1" si="225"/>
        <v>0</v>
      </c>
      <c r="BD362" s="775">
        <f t="shared" ca="1" si="226"/>
        <v>0</v>
      </c>
      <c r="BE362" s="775">
        <f t="shared" ca="1" si="227"/>
        <v>0</v>
      </c>
      <c r="BF362" s="775">
        <f t="shared" ca="1" si="228"/>
        <v>0</v>
      </c>
      <c r="BG362" s="775">
        <f t="shared" ca="1" si="229"/>
        <v>0</v>
      </c>
      <c r="BH362" s="775">
        <f t="shared" ca="1" si="194"/>
        <v>0</v>
      </c>
      <c r="BI362" s="775">
        <f t="shared" ca="1" si="195"/>
        <v>0</v>
      </c>
      <c r="BJ362" s="775">
        <f t="shared" ca="1" si="196"/>
        <v>0</v>
      </c>
      <c r="BK362" s="775">
        <f t="shared" ca="1" si="197"/>
        <v>0</v>
      </c>
      <c r="BL362" s="775">
        <f t="shared" ca="1" si="198"/>
        <v>0</v>
      </c>
      <c r="BM362" s="775">
        <f t="shared" ca="1" si="199"/>
        <v>0</v>
      </c>
      <c r="BN362" s="775">
        <f t="shared" ca="1" si="200"/>
        <v>0</v>
      </c>
      <c r="BO362" s="775">
        <f t="shared" ca="1" si="201"/>
        <v>0</v>
      </c>
      <c r="BP362" s="775">
        <f t="shared" ca="1" si="202"/>
        <v>0</v>
      </c>
      <c r="BQ362" s="775">
        <f t="shared" ca="1" si="246"/>
        <v>0</v>
      </c>
      <c r="BR362" s="775">
        <f t="shared" ca="1" si="203"/>
        <v>0</v>
      </c>
    </row>
    <row r="363" spans="1:70">
      <c r="A363" s="767" t="str">
        <f t="shared" ca="1" si="230"/>
        <v/>
      </c>
      <c r="B363" s="767" t="s">
        <v>77</v>
      </c>
      <c r="C363" s="188" t="str">
        <f ca="1">IF(F363=0,"",COUNTIF($F$78:$F363,"&gt;0"))</f>
        <v/>
      </c>
      <c r="D363" s="778" t="str">
        <f>VLOOKUP($B363,dongia1,DG!$C$5,)</f>
        <v>Đế neo BTCT 400x1200</v>
      </c>
      <c r="E363" s="555" t="str">
        <f>VLOOKUP($B363,dongia1,DG!$D$5,)</f>
        <v>cái</v>
      </c>
      <c r="F363" s="779">
        <f t="shared" ca="1" si="231"/>
        <v>0</v>
      </c>
      <c r="G363" s="775">
        <f t="shared" ca="1" si="232"/>
        <v>0</v>
      </c>
      <c r="H363" s="775">
        <f ca="1">SUMIF(CT_tram!$B$33:$G$3559,kl!B363,CT_tram!$G$33:$G$3559)</f>
        <v>0</v>
      </c>
      <c r="I363" s="775">
        <f ca="1">SUMIF(CT_tram!$B$34:$G$115,$B363,CT_tram!$G$34:$G$115)</f>
        <v>0</v>
      </c>
      <c r="J363" s="775">
        <f ca="1">SUMIF(CT_tram!$B$122:$G$204,$B363,CT_tram!$G$122:$G$204)</f>
        <v>0</v>
      </c>
      <c r="K363" s="775">
        <f ca="1">SUMIF(CT_tram!$B$211:$G$293,$B363,CT_tram!$G$211:$G$293)</f>
        <v>0</v>
      </c>
      <c r="L363" s="775">
        <f ca="1">SUMIF(CT_tram!$B$300:$G$374,$B363,CT_tram!$G$300:$G$374)</f>
        <v>0</v>
      </c>
      <c r="M363" s="775">
        <f ca="1">SUMIF(CT_tram!$B$381:$G$471,$B363,CT_tram!$G$381:$G$471)</f>
        <v>0</v>
      </c>
      <c r="N363" s="775">
        <f ca="1">SUMIF(CT_tram!$B$478:$G$560,$B363,CT_tram!$G$478:$G$560)</f>
        <v>0</v>
      </c>
      <c r="O363" s="775">
        <f ca="1">SUMIF(CT_tram!$B$567:$G$653,$B363,CT_tram!$G$567:$G$653)</f>
        <v>0</v>
      </c>
      <c r="P363" s="775">
        <f ca="1">SUMIF(CT_tram!$B$661:$G$738,$B363,CT_tram!$G$661:$G$738)</f>
        <v>0</v>
      </c>
      <c r="Q363" s="775">
        <f ca="1">SUMIF(CT_tram!$B$745:$G$899,$B363,CT_tram!$G$745:$G$899)</f>
        <v>0</v>
      </c>
      <c r="R363" s="775">
        <f ca="1">SUMIF(CT_tram!$B$907:$G$995,$B363,CT_tram!$G$907:$G$995)</f>
        <v>0</v>
      </c>
      <c r="S363" s="775"/>
      <c r="T363" s="775">
        <f ca="1">SUMIF(CT_tram!$B$1004:$G$1097,B363,CT_tram!$G$1004:$G$1097)</f>
        <v>0</v>
      </c>
      <c r="U363" s="775"/>
      <c r="V363" s="775">
        <f ca="1">SUMIF(CT_tram!$B$1226:$G$1352,kl!B363,CT_tram!$G$1226:$G$1352)</f>
        <v>0</v>
      </c>
      <c r="W363" s="780">
        <f ca="1">SUMIF(CT_tram!$B$1105:$G$1219,kl!B363,CT_tram!$G$1105:$G$1219)</f>
        <v>0</v>
      </c>
      <c r="X363" s="775">
        <f ca="1">SUMIF(CT_tram!$B$1359:$G$1504,kl!B363,CT_tram!$G$1359:$G$1504)</f>
        <v>0</v>
      </c>
      <c r="Y363" s="775">
        <f ca="1">SUMIF(CT_tram!$B$1511:$G$1625,kl!B363,CT_tram!$G$1511:$G$1625)</f>
        <v>0</v>
      </c>
      <c r="Z363" s="775">
        <f ca="1">SUMIF(CT_tram!$B$1632:$G$2211,kl!B363,CT_tram!$G$1632:$G$2211)</f>
        <v>0</v>
      </c>
      <c r="AA363" s="775">
        <f ca="1">SUMIF(CT_tram!$B$2243:$G$2384,kl!B363,CT_tram!$G$2243:$G$2384)</f>
        <v>0</v>
      </c>
      <c r="AB363" s="775">
        <f ca="1">SUMIF(CT_tram!$B$2391:$G$2563,kl!B363,CT_tram!$G$2391:$G$2563)</f>
        <v>0</v>
      </c>
      <c r="AC363" s="775">
        <f ca="1">SUMIF(chitiet!$B$13:$N$2352,kl!$B363,chitiet!$I$13:$I$2352)</f>
        <v>0</v>
      </c>
      <c r="AD363" s="775">
        <f ca="1">SUMIF(chitiet!$B$13:$N$2352,kl!$B363,chitiet!$J$13:$J$2352)</f>
        <v>0</v>
      </c>
      <c r="AE363" s="775">
        <f ca="1">SUMIF(chitiet!$B$13:$N$2352,kl!$B363,chitiet!$K$13:$K$2352)</f>
        <v>0</v>
      </c>
      <c r="AF363" s="775">
        <f ca="1">SUMIF(chitiet!$B$13:$N$2352,kl!$B363,chitiet!$L$13:$L$2352)</f>
        <v>0</v>
      </c>
      <c r="AG363" s="775">
        <f ca="1">SUMIF(chitiet!$B$13:$N$2352,kl!$B363,chitiet!$M$13)</f>
        <v>0</v>
      </c>
      <c r="AH363" s="775">
        <f ca="1">SUMIF(chitiet!$B$13:$N$2352,kl!$B363,chitiet!$N$13:$N$2352)</f>
        <v>0</v>
      </c>
      <c r="AI363" s="775">
        <f ca="1">SUMIF(chitiet!$B$13:$N$2352,kl!$B363,chitiet!$O$13:$O$2352)</f>
        <v>0</v>
      </c>
      <c r="AJ363" s="775">
        <f ca="1">SUMIF('Cap ngam'!$B$631:$G$723,kl!$B363,'Cap ngam'!$G$631:$G$723)</f>
        <v>0</v>
      </c>
      <c r="AK363" s="775">
        <f ca="1">SUMIF('Cap ngam'!$B$403:$G$628,kl!$B363,'Cap ngam'!G$403:G$628)</f>
        <v>0</v>
      </c>
      <c r="AL363" s="775">
        <f ca="1">SUMIF('Cap ngam'!B$16:G$400,kl!$B363,'Cap ngam'!G$16:G$400)</f>
        <v>0</v>
      </c>
      <c r="AM363" s="776">
        <v>170</v>
      </c>
      <c r="AN363" s="775">
        <f t="shared" ca="1" si="233"/>
        <v>0</v>
      </c>
      <c r="AO363" s="775">
        <f t="shared" ca="1" si="234"/>
        <v>0</v>
      </c>
      <c r="AP363" s="775">
        <f t="shared" ca="1" si="235"/>
        <v>0</v>
      </c>
      <c r="AQ363" s="775">
        <f t="shared" ca="1" si="236"/>
        <v>0</v>
      </c>
      <c r="AR363" s="775">
        <f t="shared" ca="1" si="237"/>
        <v>0</v>
      </c>
      <c r="AS363" s="775">
        <f t="shared" ca="1" si="238"/>
        <v>0</v>
      </c>
      <c r="AT363" s="775">
        <f t="shared" ca="1" si="239"/>
        <v>0</v>
      </c>
      <c r="AU363" s="775">
        <f t="shared" ca="1" si="240"/>
        <v>0</v>
      </c>
      <c r="AV363" s="775">
        <f t="shared" ca="1" si="241"/>
        <v>0</v>
      </c>
      <c r="AW363" s="775">
        <f t="shared" ca="1" si="242"/>
        <v>0</v>
      </c>
      <c r="AX363" s="775">
        <f t="shared" si="243"/>
        <v>0</v>
      </c>
      <c r="AY363" s="775">
        <f t="shared" ca="1" si="244"/>
        <v>0</v>
      </c>
      <c r="AZ363" s="775">
        <f t="shared" si="245"/>
        <v>0</v>
      </c>
      <c r="BA363" s="775">
        <f t="shared" ca="1" si="223"/>
        <v>0</v>
      </c>
      <c r="BB363" s="775">
        <f t="shared" ca="1" si="224"/>
        <v>0</v>
      </c>
      <c r="BC363" s="775">
        <f t="shared" ca="1" si="225"/>
        <v>0</v>
      </c>
      <c r="BD363" s="775">
        <f t="shared" ca="1" si="226"/>
        <v>0</v>
      </c>
      <c r="BE363" s="775">
        <f t="shared" ca="1" si="227"/>
        <v>0</v>
      </c>
      <c r="BF363" s="775">
        <f t="shared" ca="1" si="228"/>
        <v>0</v>
      </c>
      <c r="BG363" s="775">
        <f t="shared" ca="1" si="229"/>
        <v>0</v>
      </c>
      <c r="BH363" s="775">
        <f t="shared" ref="BH363:BH384" ca="1" si="247">AC363*$AM363</f>
        <v>0</v>
      </c>
      <c r="BI363" s="775">
        <f t="shared" ref="BI363:BI384" ca="1" si="248">AD363*$AM363</f>
        <v>0</v>
      </c>
      <c r="BJ363" s="775">
        <f t="shared" ref="BJ363:BJ384" ca="1" si="249">AE363*$AM363</f>
        <v>0</v>
      </c>
      <c r="BK363" s="775">
        <f t="shared" ref="BK363:BK384" ca="1" si="250">AF363*$AM363</f>
        <v>0</v>
      </c>
      <c r="BL363" s="775">
        <f t="shared" ref="BL363:BL384" ca="1" si="251">AG363*$AM363</f>
        <v>0</v>
      </c>
      <c r="BM363" s="775">
        <f t="shared" ref="BM363:BM384" ca="1" si="252">AH363*$AM363</f>
        <v>0</v>
      </c>
      <c r="BN363" s="775">
        <f t="shared" ref="BN363:BN384" ca="1" si="253">AI363*$AM363</f>
        <v>0</v>
      </c>
      <c r="BO363" s="775">
        <f t="shared" ref="BO363:BO384" ca="1" si="254">AJ363*$AM363</f>
        <v>0</v>
      </c>
      <c r="BP363" s="775">
        <f t="shared" ref="BP363:BP384" ca="1" si="255">AK363*$AM363</f>
        <v>0</v>
      </c>
      <c r="BQ363" s="775">
        <f t="shared" ca="1" si="246"/>
        <v>0</v>
      </c>
      <c r="BR363" s="775">
        <f t="shared" ref="BR363:BR384" ca="1" si="256">$H363*$AM363</f>
        <v>0</v>
      </c>
    </row>
    <row r="364" spans="1:70">
      <c r="A364" s="767" t="str">
        <f t="shared" ca="1" si="230"/>
        <v/>
      </c>
      <c r="B364" s="767" t="s">
        <v>1530</v>
      </c>
      <c r="C364" s="188" t="str">
        <f ca="1">IF(F364=0,"",COUNTIF($F$78:$F364,"&gt;0"))</f>
        <v/>
      </c>
      <c r="D364" s="778" t="str">
        <f>VLOOKUP($B364,dongia1,DG!$C$5,)</f>
        <v>Đế neo BTCT 400x1500</v>
      </c>
      <c r="E364" s="555" t="str">
        <f>VLOOKUP($B364,dongia1,DG!$D$5,)</f>
        <v>cái</v>
      </c>
      <c r="F364" s="779">
        <f t="shared" ca="1" si="231"/>
        <v>0</v>
      </c>
      <c r="G364" s="775">
        <f t="shared" ca="1" si="232"/>
        <v>0</v>
      </c>
      <c r="H364" s="775">
        <f ca="1">SUMIF(CT_tram!$B$33:$G$3559,kl!B364,CT_tram!$G$33:$G$3559)</f>
        <v>0</v>
      </c>
      <c r="I364" s="775">
        <f ca="1">SUMIF(CT_tram!$B$34:$G$115,$B364,CT_tram!$G$34:$G$115)</f>
        <v>0</v>
      </c>
      <c r="J364" s="775">
        <f ca="1">SUMIF(CT_tram!$B$122:$G$204,$B364,CT_tram!$G$122:$G$204)</f>
        <v>0</v>
      </c>
      <c r="K364" s="775">
        <f ca="1">SUMIF(CT_tram!$B$211:$G$293,$B364,CT_tram!$G$211:$G$293)</f>
        <v>0</v>
      </c>
      <c r="L364" s="775">
        <f ca="1">SUMIF(CT_tram!$B$300:$G$374,$B364,CT_tram!$G$300:$G$374)</f>
        <v>0</v>
      </c>
      <c r="M364" s="775">
        <f ca="1">SUMIF(CT_tram!$B$381:$G$471,$B364,CT_tram!$G$381:$G$471)</f>
        <v>0</v>
      </c>
      <c r="N364" s="775">
        <f ca="1">SUMIF(CT_tram!$B$478:$G$560,$B364,CT_tram!$G$478:$G$560)</f>
        <v>0</v>
      </c>
      <c r="O364" s="775">
        <f ca="1">SUMIF(CT_tram!$B$567:$G$653,$B364,CT_tram!$G$567:$G$653)</f>
        <v>0</v>
      </c>
      <c r="P364" s="775">
        <f ca="1">SUMIF(CT_tram!$B$661:$G$738,$B364,CT_tram!$G$661:$G$738)</f>
        <v>0</v>
      </c>
      <c r="Q364" s="775">
        <f ca="1">SUMIF(CT_tram!$B$745:$G$899,$B364,CT_tram!$G$745:$G$899)</f>
        <v>0</v>
      </c>
      <c r="R364" s="775">
        <f ca="1">SUMIF(CT_tram!$B$907:$G$995,$B364,CT_tram!$G$907:$G$995)</f>
        <v>0</v>
      </c>
      <c r="S364" s="775"/>
      <c r="T364" s="775">
        <f ca="1">SUMIF(CT_tram!$B$1004:$G$1097,B364,CT_tram!$G$1004:$G$1097)</f>
        <v>0</v>
      </c>
      <c r="U364" s="775"/>
      <c r="V364" s="775">
        <f ca="1">SUMIF(CT_tram!$B$1226:$G$1352,kl!B364,CT_tram!$G$1226:$G$1352)</f>
        <v>0</v>
      </c>
      <c r="W364" s="780">
        <f ca="1">SUMIF(CT_tram!$B$1105:$G$1219,kl!B364,CT_tram!$G$1105:$G$1219)</f>
        <v>0</v>
      </c>
      <c r="X364" s="775">
        <f ca="1">SUMIF(CT_tram!$B$1359:$G$1504,kl!B364,CT_tram!$G$1359:$G$1504)</f>
        <v>0</v>
      </c>
      <c r="Y364" s="775">
        <f ca="1">SUMIF(CT_tram!$B$1511:$G$1625,kl!B364,CT_tram!$G$1511:$G$1625)</f>
        <v>0</v>
      </c>
      <c r="Z364" s="775">
        <f ca="1">SUMIF(CT_tram!$B$1632:$G$2211,kl!B364,CT_tram!$G$1632:$G$2211)</f>
        <v>0</v>
      </c>
      <c r="AA364" s="775">
        <f ca="1">SUMIF(CT_tram!$B$2243:$G$2384,kl!B364,CT_tram!$G$2243:$G$2384)</f>
        <v>0</v>
      </c>
      <c r="AB364" s="775">
        <f ca="1">SUMIF(CT_tram!$B$2391:$G$2563,kl!B364,CT_tram!$G$2391:$G$2563)</f>
        <v>0</v>
      </c>
      <c r="AC364" s="775">
        <f ca="1">SUMIF(chitiet!$B$13:$N$2352,kl!$B364,chitiet!$I$13:$I$2352)</f>
        <v>0</v>
      </c>
      <c r="AD364" s="775">
        <f ca="1">SUMIF(chitiet!$B$13:$N$2352,kl!$B364,chitiet!$J$13:$J$2352)</f>
        <v>0</v>
      </c>
      <c r="AE364" s="775">
        <f ca="1">SUMIF(chitiet!$B$13:$N$2352,kl!$B364,chitiet!$K$13:$K$2352)</f>
        <v>0</v>
      </c>
      <c r="AF364" s="775">
        <f ca="1">SUMIF(chitiet!$B$13:$N$2352,kl!$B364,chitiet!$L$13:$L$2352)</f>
        <v>0</v>
      </c>
      <c r="AG364" s="775">
        <f ca="1">SUMIF(chitiet!$B$13:$N$2352,kl!$B364,chitiet!$M$13)</f>
        <v>0</v>
      </c>
      <c r="AH364" s="775">
        <f ca="1">SUMIF(chitiet!$B$13:$N$2352,kl!$B364,chitiet!$N$13:$N$2352)</f>
        <v>0</v>
      </c>
      <c r="AI364" s="775">
        <f ca="1">SUMIF(chitiet!$B$13:$N$2352,kl!$B364,chitiet!$O$13:$O$2352)</f>
        <v>0</v>
      </c>
      <c r="AJ364" s="775">
        <f ca="1">SUMIF('Cap ngam'!$B$631:$G$723,kl!$B364,'Cap ngam'!$G$631:$G$723)</f>
        <v>0</v>
      </c>
      <c r="AK364" s="775">
        <f ca="1">SUMIF('Cap ngam'!$B$403:$G$628,kl!$B364,'Cap ngam'!G$403:G$628)</f>
        <v>0</v>
      </c>
      <c r="AL364" s="775">
        <f ca="1">SUMIF('Cap ngam'!B$16:G$400,kl!$B364,'Cap ngam'!G$16:G$400)</f>
        <v>0</v>
      </c>
      <c r="AM364" s="776">
        <v>270</v>
      </c>
      <c r="AN364" s="775">
        <f t="shared" ca="1" si="233"/>
        <v>0</v>
      </c>
      <c r="AO364" s="775">
        <f t="shared" ca="1" si="234"/>
        <v>0</v>
      </c>
      <c r="AP364" s="775">
        <f t="shared" ca="1" si="235"/>
        <v>0</v>
      </c>
      <c r="AQ364" s="775">
        <f t="shared" ca="1" si="236"/>
        <v>0</v>
      </c>
      <c r="AR364" s="775">
        <f t="shared" ca="1" si="237"/>
        <v>0</v>
      </c>
      <c r="AS364" s="775">
        <f t="shared" ca="1" si="238"/>
        <v>0</v>
      </c>
      <c r="AT364" s="775">
        <f t="shared" ca="1" si="239"/>
        <v>0</v>
      </c>
      <c r="AU364" s="775">
        <f t="shared" ca="1" si="240"/>
        <v>0</v>
      </c>
      <c r="AV364" s="775">
        <f t="shared" ca="1" si="241"/>
        <v>0</v>
      </c>
      <c r="AW364" s="775">
        <f t="shared" ca="1" si="242"/>
        <v>0</v>
      </c>
      <c r="AX364" s="775">
        <f t="shared" si="243"/>
        <v>0</v>
      </c>
      <c r="AY364" s="775">
        <f t="shared" ca="1" si="244"/>
        <v>0</v>
      </c>
      <c r="AZ364" s="775">
        <f t="shared" si="245"/>
        <v>0</v>
      </c>
      <c r="BA364" s="775">
        <f t="shared" ca="1" si="223"/>
        <v>0</v>
      </c>
      <c r="BB364" s="775">
        <f t="shared" ca="1" si="224"/>
        <v>0</v>
      </c>
      <c r="BC364" s="775">
        <f t="shared" ca="1" si="225"/>
        <v>0</v>
      </c>
      <c r="BD364" s="775">
        <f t="shared" ca="1" si="226"/>
        <v>0</v>
      </c>
      <c r="BE364" s="775">
        <f t="shared" ca="1" si="227"/>
        <v>0</v>
      </c>
      <c r="BF364" s="775">
        <f t="shared" ca="1" si="228"/>
        <v>0</v>
      </c>
      <c r="BG364" s="775">
        <f t="shared" ca="1" si="229"/>
        <v>0</v>
      </c>
      <c r="BH364" s="775">
        <f t="shared" ca="1" si="247"/>
        <v>0</v>
      </c>
      <c r="BI364" s="775">
        <f t="shared" ca="1" si="248"/>
        <v>0</v>
      </c>
      <c r="BJ364" s="775">
        <f t="shared" ca="1" si="249"/>
        <v>0</v>
      </c>
      <c r="BK364" s="775">
        <f t="shared" ca="1" si="250"/>
        <v>0</v>
      </c>
      <c r="BL364" s="775">
        <f t="shared" ca="1" si="251"/>
        <v>0</v>
      </c>
      <c r="BM364" s="775">
        <f t="shared" ca="1" si="252"/>
        <v>0</v>
      </c>
      <c r="BN364" s="775">
        <f t="shared" ca="1" si="253"/>
        <v>0</v>
      </c>
      <c r="BO364" s="775">
        <f t="shared" ca="1" si="254"/>
        <v>0</v>
      </c>
      <c r="BP364" s="775">
        <f t="shared" ca="1" si="255"/>
        <v>0</v>
      </c>
      <c r="BQ364" s="775">
        <f t="shared" ca="1" si="246"/>
        <v>0</v>
      </c>
      <c r="BR364" s="775">
        <f t="shared" ca="1" si="256"/>
        <v>0</v>
      </c>
    </row>
    <row r="365" spans="1:70">
      <c r="A365" s="767" t="str">
        <f t="shared" ca="1" si="230"/>
        <v/>
      </c>
      <c r="B365" s="767" t="s">
        <v>1531</v>
      </c>
      <c r="C365" s="188" t="str">
        <f ca="1">IF(F365=0,"",COUNTIF($F$78:$F365,"&gt;0"))</f>
        <v/>
      </c>
      <c r="D365" s="778" t="str">
        <f>VLOOKUP($B365,dongia1,DG!$C$5,)</f>
        <v>Đế neo BTCT 600x1500</v>
      </c>
      <c r="E365" s="555" t="str">
        <f>VLOOKUP($B365,dongia1,DG!$D$5,)</f>
        <v>cái</v>
      </c>
      <c r="F365" s="779">
        <f t="shared" ca="1" si="231"/>
        <v>0</v>
      </c>
      <c r="G365" s="775">
        <f t="shared" ca="1" si="232"/>
        <v>0</v>
      </c>
      <c r="H365" s="775">
        <f ca="1">SUMIF(CT_tram!$B$33:$G$3559,kl!B365,CT_tram!$G$33:$G$3559)</f>
        <v>0</v>
      </c>
      <c r="I365" s="775">
        <f ca="1">SUMIF(CT_tram!$B$34:$G$115,$B365,CT_tram!$G$34:$G$115)</f>
        <v>0</v>
      </c>
      <c r="J365" s="775">
        <f ca="1">SUMIF(CT_tram!$B$122:$G$204,$B365,CT_tram!$G$122:$G$204)</f>
        <v>0</v>
      </c>
      <c r="K365" s="775">
        <f ca="1">SUMIF(CT_tram!$B$211:$G$293,$B365,CT_tram!$G$211:$G$293)</f>
        <v>0</v>
      </c>
      <c r="L365" s="775">
        <f ca="1">SUMIF(CT_tram!$B$300:$G$374,$B365,CT_tram!$G$300:$G$374)</f>
        <v>0</v>
      </c>
      <c r="M365" s="775">
        <f ca="1">SUMIF(CT_tram!$B$381:$G$471,$B365,CT_tram!$G$381:$G$471)</f>
        <v>0</v>
      </c>
      <c r="N365" s="775">
        <f ca="1">SUMIF(CT_tram!$B$478:$G$560,$B365,CT_tram!$G$478:$G$560)</f>
        <v>0</v>
      </c>
      <c r="O365" s="775">
        <f ca="1">SUMIF(CT_tram!$B$567:$G$653,$B365,CT_tram!$G$567:$G$653)</f>
        <v>0</v>
      </c>
      <c r="P365" s="775">
        <f ca="1">SUMIF(CT_tram!$B$661:$G$738,$B365,CT_tram!$G$661:$G$738)</f>
        <v>0</v>
      </c>
      <c r="Q365" s="775">
        <f ca="1">SUMIF(CT_tram!$B$745:$G$899,$B365,CT_tram!$G$745:$G$899)</f>
        <v>0</v>
      </c>
      <c r="R365" s="775">
        <f ca="1">SUMIF(CT_tram!$B$907:$G$995,$B365,CT_tram!$G$907:$G$995)</f>
        <v>0</v>
      </c>
      <c r="S365" s="775"/>
      <c r="T365" s="775">
        <f ca="1">SUMIF(CT_tram!$B$1004:$G$1097,B365,CT_tram!$G$1004:$G$1097)</f>
        <v>0</v>
      </c>
      <c r="U365" s="775"/>
      <c r="V365" s="775">
        <f ca="1">SUMIF(CT_tram!$B$1226:$G$1352,kl!B365,CT_tram!$G$1226:$G$1352)</f>
        <v>0</v>
      </c>
      <c r="W365" s="780">
        <f ca="1">SUMIF(CT_tram!$B$1105:$G$1219,kl!B365,CT_tram!$G$1105:$G$1219)</f>
        <v>0</v>
      </c>
      <c r="X365" s="775">
        <f ca="1">SUMIF(CT_tram!$B$1359:$G$1504,kl!B365,CT_tram!$G$1359:$G$1504)</f>
        <v>0</v>
      </c>
      <c r="Y365" s="775">
        <f ca="1">SUMIF(CT_tram!$B$1511:$G$1625,kl!B365,CT_tram!$G$1511:$G$1625)</f>
        <v>0</v>
      </c>
      <c r="Z365" s="775">
        <f ca="1">SUMIF(CT_tram!$B$1632:$G$2211,kl!B365,CT_tram!$G$1632:$G$2211)</f>
        <v>0</v>
      </c>
      <c r="AA365" s="775">
        <f ca="1">SUMIF(CT_tram!$B$2243:$G$2384,kl!B365,CT_tram!$G$2243:$G$2384)</f>
        <v>0</v>
      </c>
      <c r="AB365" s="775">
        <f ca="1">SUMIF(CT_tram!$B$2391:$G$2563,kl!B365,CT_tram!$G$2391:$G$2563)</f>
        <v>0</v>
      </c>
      <c r="AC365" s="775">
        <f ca="1">SUMIF(chitiet!$B$13:$N$2352,kl!$B365,chitiet!$I$13:$I$2352)</f>
        <v>0</v>
      </c>
      <c r="AD365" s="775">
        <f ca="1">SUMIF(chitiet!$B$13:$N$2352,kl!$B365,chitiet!$J$13:$J$2352)</f>
        <v>0</v>
      </c>
      <c r="AE365" s="775">
        <f ca="1">SUMIF(chitiet!$B$13:$N$2352,kl!$B365,chitiet!$K$13:$K$2352)</f>
        <v>0</v>
      </c>
      <c r="AF365" s="775">
        <f ca="1">SUMIF(chitiet!$B$13:$N$2352,kl!$B365,chitiet!$L$13:$L$2352)</f>
        <v>0</v>
      </c>
      <c r="AG365" s="775">
        <f ca="1">SUMIF(chitiet!$B$13:$N$2352,kl!$B365,chitiet!$M$13)</f>
        <v>0</v>
      </c>
      <c r="AH365" s="775">
        <f ca="1">SUMIF(chitiet!$B$13:$N$2352,kl!$B365,chitiet!$N$13:$N$2352)</f>
        <v>0</v>
      </c>
      <c r="AI365" s="775">
        <f ca="1">SUMIF(chitiet!$B$13:$N$2352,kl!$B365,chitiet!$O$13:$O$2352)</f>
        <v>0</v>
      </c>
      <c r="AJ365" s="775">
        <f ca="1">SUMIF('Cap ngam'!$B$631:$G$723,kl!$B365,'Cap ngam'!$G$631:$G$723)</f>
        <v>0</v>
      </c>
      <c r="AK365" s="775">
        <f ca="1">SUMIF('Cap ngam'!$B$403:$G$628,kl!$B365,'Cap ngam'!G$403:G$628)</f>
        <v>0</v>
      </c>
      <c r="AL365" s="775">
        <f ca="1">SUMIF('Cap ngam'!B$16:G$400,kl!$B365,'Cap ngam'!G$16:G$400)</f>
        <v>0</v>
      </c>
      <c r="AM365" s="776">
        <v>400</v>
      </c>
      <c r="AN365" s="775">
        <f t="shared" ca="1" si="233"/>
        <v>0</v>
      </c>
      <c r="AO365" s="775">
        <f t="shared" ca="1" si="234"/>
        <v>0</v>
      </c>
      <c r="AP365" s="775">
        <f t="shared" ca="1" si="235"/>
        <v>0</v>
      </c>
      <c r="AQ365" s="775">
        <f t="shared" ca="1" si="236"/>
        <v>0</v>
      </c>
      <c r="AR365" s="775">
        <f t="shared" ca="1" si="237"/>
        <v>0</v>
      </c>
      <c r="AS365" s="775">
        <f t="shared" ca="1" si="238"/>
        <v>0</v>
      </c>
      <c r="AT365" s="775">
        <f t="shared" ca="1" si="239"/>
        <v>0</v>
      </c>
      <c r="AU365" s="775">
        <f t="shared" ca="1" si="240"/>
        <v>0</v>
      </c>
      <c r="AV365" s="775">
        <f t="shared" ca="1" si="241"/>
        <v>0</v>
      </c>
      <c r="AW365" s="775">
        <f t="shared" ca="1" si="242"/>
        <v>0</v>
      </c>
      <c r="AX365" s="775">
        <f t="shared" si="243"/>
        <v>0</v>
      </c>
      <c r="AY365" s="775">
        <f t="shared" ca="1" si="244"/>
        <v>0</v>
      </c>
      <c r="AZ365" s="775">
        <f t="shared" si="245"/>
        <v>0</v>
      </c>
      <c r="BA365" s="775">
        <f t="shared" ca="1" si="223"/>
        <v>0</v>
      </c>
      <c r="BB365" s="775">
        <f t="shared" ca="1" si="224"/>
        <v>0</v>
      </c>
      <c r="BC365" s="775">
        <f t="shared" ca="1" si="225"/>
        <v>0</v>
      </c>
      <c r="BD365" s="775">
        <f t="shared" ca="1" si="226"/>
        <v>0</v>
      </c>
      <c r="BE365" s="775">
        <f t="shared" ca="1" si="227"/>
        <v>0</v>
      </c>
      <c r="BF365" s="775">
        <f t="shared" ca="1" si="228"/>
        <v>0</v>
      </c>
      <c r="BG365" s="775">
        <f t="shared" ca="1" si="229"/>
        <v>0</v>
      </c>
      <c r="BH365" s="775">
        <f t="shared" ca="1" si="247"/>
        <v>0</v>
      </c>
      <c r="BI365" s="775">
        <f t="shared" ca="1" si="248"/>
        <v>0</v>
      </c>
      <c r="BJ365" s="775">
        <f t="shared" ca="1" si="249"/>
        <v>0</v>
      </c>
      <c r="BK365" s="775">
        <f t="shared" ca="1" si="250"/>
        <v>0</v>
      </c>
      <c r="BL365" s="775">
        <f t="shared" ca="1" si="251"/>
        <v>0</v>
      </c>
      <c r="BM365" s="775">
        <f t="shared" ca="1" si="252"/>
        <v>0</v>
      </c>
      <c r="BN365" s="775">
        <f t="shared" ca="1" si="253"/>
        <v>0</v>
      </c>
      <c r="BO365" s="775">
        <f t="shared" ca="1" si="254"/>
        <v>0</v>
      </c>
      <c r="BP365" s="775">
        <f t="shared" ca="1" si="255"/>
        <v>0</v>
      </c>
      <c r="BQ365" s="775">
        <f t="shared" ca="1" si="246"/>
        <v>0</v>
      </c>
      <c r="BR365" s="775">
        <f t="shared" ca="1" si="256"/>
        <v>0</v>
      </c>
    </row>
    <row r="366" spans="1:70">
      <c r="A366" s="767" t="str">
        <f t="shared" ca="1" si="219"/>
        <v/>
      </c>
      <c r="B366" s="767" t="s">
        <v>1010</v>
      </c>
      <c r="C366" s="188" t="str">
        <f ca="1">IF(F366=0,"",COUNTIF($F$78:$F366,"&gt;0"))</f>
        <v/>
      </c>
      <c r="D366" s="778" t="str">
        <f>VLOOKUP($B366,dongia1,DG!$C$5,)</f>
        <v>Trụ BTLT 7,5m F200 dự ứng lực</v>
      </c>
      <c r="E366" s="555" t="str">
        <f>VLOOKUP($B366,dongia1,DG!$D$5,)</f>
        <v>trụ</v>
      </c>
      <c r="F366" s="779">
        <f t="shared" ca="1" si="231"/>
        <v>0</v>
      </c>
      <c r="G366" s="775">
        <f t="shared" ref="G366:G384" ca="1" si="257">SUM(AC366:AL366)</f>
        <v>0</v>
      </c>
      <c r="H366" s="775">
        <f ca="1">SUMIF(CT_tram!$B$33:$G$3559,kl!B366,CT_tram!$G$33:$G$3559)</f>
        <v>0</v>
      </c>
      <c r="I366" s="775">
        <f ca="1">SUMIF(CT_tram!$B$34:$G$115,$B366,CT_tram!$G$34:$G$115)</f>
        <v>0</v>
      </c>
      <c r="J366" s="775">
        <f ca="1">SUMIF(CT_tram!$B$122:$G$204,$B366,CT_tram!$G$122:$G$204)</f>
        <v>0</v>
      </c>
      <c r="K366" s="775">
        <f ca="1">SUMIF(CT_tram!$B$211:$G$293,$B366,CT_tram!$G$211:$G$293)</f>
        <v>0</v>
      </c>
      <c r="L366" s="775">
        <f ca="1">SUMIF(CT_tram!$B$300:$G$374,$B366,CT_tram!$G$300:$G$374)</f>
        <v>0</v>
      </c>
      <c r="M366" s="775">
        <f ca="1">SUMIF(CT_tram!$B$381:$G$471,$B366,CT_tram!$G$381:$G$471)</f>
        <v>0</v>
      </c>
      <c r="N366" s="775">
        <f ca="1">SUMIF(CT_tram!$B$478:$G$560,$B366,CT_tram!$G$478:$G$560)</f>
        <v>0</v>
      </c>
      <c r="O366" s="775">
        <f ca="1">SUMIF(CT_tram!$B$567:$G$653,$B366,CT_tram!$G$567:$G$653)</f>
        <v>0</v>
      </c>
      <c r="P366" s="775">
        <f ca="1">SUMIF(CT_tram!$B$661:$G$738,$B366,CT_tram!$G$661:$G$738)</f>
        <v>0</v>
      </c>
      <c r="Q366" s="775">
        <f ca="1">SUMIF(CT_tram!$B$745:$G$899,$B366,CT_tram!$G$745:$G$899)</f>
        <v>0</v>
      </c>
      <c r="R366" s="775">
        <f ca="1">SUMIF(CT_tram!$B$907:$G$995,$B366,CT_tram!$G$907:$G$995)</f>
        <v>0</v>
      </c>
      <c r="S366" s="775"/>
      <c r="T366" s="775">
        <f ca="1">SUMIF(CT_tram!$B$1004:$G$1097,B366,CT_tram!$G$1004:$G$1097)</f>
        <v>0</v>
      </c>
      <c r="U366" s="775"/>
      <c r="V366" s="775">
        <f ca="1">SUMIF(CT_tram!$B$1226:$G$1352,kl!B366,CT_tram!$G$1226:$G$1352)</f>
        <v>0</v>
      </c>
      <c r="W366" s="780">
        <f ca="1">SUMIF(CT_tram!$B$1105:$G$1219,kl!B366,CT_tram!$G$1105:$G$1219)</f>
        <v>0</v>
      </c>
      <c r="X366" s="775">
        <f ca="1">SUMIF(CT_tram!$B$1359:$G$1504,kl!B366,CT_tram!$G$1359:$G$1504)</f>
        <v>0</v>
      </c>
      <c r="Y366" s="775">
        <f ca="1">SUMIF(CT_tram!$B$1511:$G$1625,kl!B366,CT_tram!$G$1511:$G$1625)</f>
        <v>0</v>
      </c>
      <c r="Z366" s="775">
        <f ca="1">SUMIF(CT_tram!$B$1632:$G$2211,kl!B366,CT_tram!$G$1632:$G$2211)</f>
        <v>0</v>
      </c>
      <c r="AA366" s="775">
        <f ca="1">SUMIF(CT_tram!$B$2243:$G$2384,kl!B366,CT_tram!$G$2243:$G$2384)</f>
        <v>0</v>
      </c>
      <c r="AB366" s="775">
        <f ca="1">SUMIF(CT_tram!$B$2391:$G$2563,kl!B366,CT_tram!$G$2391:$G$2563)</f>
        <v>0</v>
      </c>
      <c r="AC366" s="775">
        <f ca="1">SUMIF(chitiet!$B$13:$N$2352,kl!$B366,chitiet!$I$13:$I$2352)</f>
        <v>0</v>
      </c>
      <c r="AD366" s="775">
        <f ca="1">SUMIF(chitiet!$B$13:$N$2352,kl!$B366,chitiet!$J$13:$J$2352)</f>
        <v>0</v>
      </c>
      <c r="AE366" s="775">
        <f ca="1">SUMIF(chitiet!$B$13:$N$2352,kl!$B366,chitiet!$K$13:$K$2352)</f>
        <v>0</v>
      </c>
      <c r="AF366" s="775">
        <f ca="1">SUMIF(chitiet!$B$13:$N$2352,kl!$B366,chitiet!$L$13:$L$2352)</f>
        <v>0</v>
      </c>
      <c r="AG366" s="775">
        <f ca="1">SUMIF(chitiet!$B$13:$N$2352,kl!$B366,chitiet!$M$13:$M$2352)</f>
        <v>0</v>
      </c>
      <c r="AH366" s="775">
        <f ca="1">SUMIF(chitiet!$B$13:$N$2352,kl!$B366,chitiet!$N$13:$N$2352)</f>
        <v>0</v>
      </c>
      <c r="AI366" s="775">
        <f ca="1">SUMIF(chitiet!$B$13:$N$2352,kl!$B366,chitiet!$O$13:$O$2352)</f>
        <v>0</v>
      </c>
      <c r="AJ366" s="775">
        <f ca="1">SUMIF('Cap ngam'!$B$631:$G$723,kl!$B366,'Cap ngam'!$G$631:$G$723)</f>
        <v>0</v>
      </c>
      <c r="AK366" s="775">
        <f ca="1">SUMIF('Cap ngam'!$B$403:$G$628,kl!$B366,'Cap ngam'!G$403:G$628)</f>
        <v>0</v>
      </c>
      <c r="AL366" s="775">
        <f ca="1">SUMIF('Cap ngam'!B$16:G$400,kl!$B366,'Cap ngam'!G$16:G$400)</f>
        <v>0</v>
      </c>
      <c r="AM366" s="776">
        <v>410</v>
      </c>
      <c r="AN366" s="775">
        <f t="shared" ca="1" si="233"/>
        <v>0</v>
      </c>
      <c r="AO366" s="775">
        <f t="shared" ca="1" si="234"/>
        <v>0</v>
      </c>
      <c r="AP366" s="775">
        <f t="shared" ca="1" si="235"/>
        <v>0</v>
      </c>
      <c r="AQ366" s="775">
        <f t="shared" ca="1" si="236"/>
        <v>0</v>
      </c>
      <c r="AR366" s="775">
        <f t="shared" ca="1" si="237"/>
        <v>0</v>
      </c>
      <c r="AS366" s="775">
        <f t="shared" ca="1" si="238"/>
        <v>0</v>
      </c>
      <c r="AT366" s="775">
        <f t="shared" ca="1" si="239"/>
        <v>0</v>
      </c>
      <c r="AU366" s="775">
        <f t="shared" ca="1" si="240"/>
        <v>0</v>
      </c>
      <c r="AV366" s="775">
        <f t="shared" ca="1" si="241"/>
        <v>0</v>
      </c>
      <c r="AW366" s="775">
        <f t="shared" ca="1" si="242"/>
        <v>0</v>
      </c>
      <c r="AX366" s="775">
        <f t="shared" si="243"/>
        <v>0</v>
      </c>
      <c r="AY366" s="775">
        <f t="shared" ca="1" si="244"/>
        <v>0</v>
      </c>
      <c r="AZ366" s="775">
        <f t="shared" si="245"/>
        <v>0</v>
      </c>
      <c r="BA366" s="775">
        <f t="shared" ca="1" si="223"/>
        <v>0</v>
      </c>
      <c r="BB366" s="775">
        <f t="shared" ca="1" si="224"/>
        <v>0</v>
      </c>
      <c r="BC366" s="775">
        <f t="shared" ca="1" si="225"/>
        <v>0</v>
      </c>
      <c r="BD366" s="775">
        <f t="shared" ca="1" si="226"/>
        <v>0</v>
      </c>
      <c r="BE366" s="775">
        <f t="shared" ca="1" si="227"/>
        <v>0</v>
      </c>
      <c r="BF366" s="775">
        <f t="shared" ca="1" si="228"/>
        <v>0</v>
      </c>
      <c r="BG366" s="775">
        <f t="shared" ca="1" si="229"/>
        <v>0</v>
      </c>
      <c r="BH366" s="775">
        <f t="shared" ca="1" si="247"/>
        <v>0</v>
      </c>
      <c r="BI366" s="775">
        <f t="shared" ca="1" si="248"/>
        <v>0</v>
      </c>
      <c r="BJ366" s="775">
        <f t="shared" ca="1" si="249"/>
        <v>0</v>
      </c>
      <c r="BK366" s="775">
        <f t="shared" ca="1" si="250"/>
        <v>0</v>
      </c>
      <c r="BL366" s="775">
        <f t="shared" ca="1" si="251"/>
        <v>0</v>
      </c>
      <c r="BM366" s="775">
        <f t="shared" ca="1" si="252"/>
        <v>0</v>
      </c>
      <c r="BN366" s="775">
        <f t="shared" ca="1" si="253"/>
        <v>0</v>
      </c>
      <c r="BO366" s="775">
        <f t="shared" ca="1" si="254"/>
        <v>0</v>
      </c>
      <c r="BP366" s="775">
        <f t="shared" ca="1" si="255"/>
        <v>0</v>
      </c>
      <c r="BQ366" s="775">
        <f t="shared" ca="1" si="170"/>
        <v>0</v>
      </c>
      <c r="BR366" s="775">
        <f t="shared" ca="1" si="256"/>
        <v>0</v>
      </c>
    </row>
    <row r="367" spans="1:70">
      <c r="A367" s="767" t="str">
        <f ca="1">IF(F367&lt;&gt;0,"X","")</f>
        <v/>
      </c>
      <c r="B367" s="767" t="s">
        <v>4585</v>
      </c>
      <c r="C367" s="188" t="str">
        <f ca="1">IF(F367=0,"",COUNTIF($F$78:$F367,"&gt;0"))</f>
        <v/>
      </c>
      <c r="D367" s="778" t="str">
        <f>VLOOKUP($B367,dongia1,DG!$C$5,)</f>
        <v>Trụ BTLT 8,5m F300 dự ứng lực</v>
      </c>
      <c r="E367" s="555" t="str">
        <f>VLOOKUP($B367,dongia1,DG!$D$5,)</f>
        <v>trụ</v>
      </c>
      <c r="F367" s="779">
        <f ca="1">G367+H367</f>
        <v>0</v>
      </c>
      <c r="G367" s="775">
        <f t="shared" ca="1" si="257"/>
        <v>0</v>
      </c>
      <c r="H367" s="775">
        <f ca="1">SUMIF(CT_tram!$B$33:$G$3559,kl!B367,CT_tram!$G$33:$G$3559)</f>
        <v>0</v>
      </c>
      <c r="I367" s="775">
        <f ca="1">SUMIF(CT_tram!$B$34:$G$115,$B367,CT_tram!$G$34:$G$115)</f>
        <v>0</v>
      </c>
      <c r="J367" s="775">
        <f ca="1">SUMIF(CT_tram!$B$122:$G$204,$B367,CT_tram!$G$122:$G$204)</f>
        <v>0</v>
      </c>
      <c r="K367" s="775">
        <f ca="1">SUMIF(CT_tram!$B$211:$G$293,$B367,CT_tram!$G$211:$G$293)</f>
        <v>0</v>
      </c>
      <c r="L367" s="775">
        <f ca="1">SUMIF(CT_tram!$B$300:$G$374,$B367,CT_tram!$G$300:$G$374)</f>
        <v>0</v>
      </c>
      <c r="M367" s="775">
        <f ca="1">SUMIF(CT_tram!$B$381:$G$471,$B367,CT_tram!$G$381:$G$471)</f>
        <v>0</v>
      </c>
      <c r="N367" s="775">
        <f ca="1">SUMIF(CT_tram!$B$478:$G$560,$B367,CT_tram!$G$478:$G$560)</f>
        <v>0</v>
      </c>
      <c r="O367" s="775">
        <f ca="1">SUMIF(CT_tram!$B$567:$G$653,$B367,CT_tram!$G$567:$G$653)</f>
        <v>0</v>
      </c>
      <c r="P367" s="775">
        <f ca="1">SUMIF(CT_tram!$B$661:$G$738,$B367,CT_tram!$G$661:$G$738)</f>
        <v>0</v>
      </c>
      <c r="Q367" s="775">
        <f ca="1">SUMIF(CT_tram!$B$745:$G$899,$B367,CT_tram!$G$745:$G$899)</f>
        <v>0</v>
      </c>
      <c r="R367" s="775">
        <f ca="1">SUMIF(CT_tram!$B$907:$G$995,$B367,CT_tram!$G$907:$G$995)</f>
        <v>0</v>
      </c>
      <c r="S367" s="775"/>
      <c r="T367" s="775">
        <f ca="1">SUMIF(CT_tram!$B$1004:$G$1097,B367,CT_tram!$G$1004:$G$1097)</f>
        <v>0</v>
      </c>
      <c r="U367" s="775"/>
      <c r="V367" s="775">
        <f ca="1">SUMIF(CT_tram!$B$1226:$G$1352,kl!B367,CT_tram!$G$1226:$G$1352)</f>
        <v>0</v>
      </c>
      <c r="W367" s="780">
        <f ca="1">SUMIF(CT_tram!$B$1105:$G$1219,kl!B367,CT_tram!$G$1105:$G$1219)</f>
        <v>0</v>
      </c>
      <c r="X367" s="775">
        <f ca="1">SUMIF(CT_tram!$B$1359:$G$1504,kl!B367,CT_tram!$G$1359:$G$1504)</f>
        <v>0</v>
      </c>
      <c r="Y367" s="775">
        <f ca="1">SUMIF(CT_tram!$B$1511:$G$1625,kl!B367,CT_tram!$G$1511:$G$1625)</f>
        <v>0</v>
      </c>
      <c r="Z367" s="775">
        <f ca="1">SUMIF(CT_tram!$B$1632:$G$2211,kl!B367,CT_tram!$G$1632:$G$2211)</f>
        <v>0</v>
      </c>
      <c r="AA367" s="775">
        <f ca="1">SUMIF(CT_tram!$B$2243:$G$2384,kl!B367,CT_tram!$G$2243:$G$2384)</f>
        <v>0</v>
      </c>
      <c r="AB367" s="775">
        <f ca="1">SUMIF(CT_tram!$B$2391:$G$2563,kl!B367,CT_tram!$G$2391:$G$2563)</f>
        <v>0</v>
      </c>
      <c r="AC367" s="775">
        <f ca="1">SUMIF(chitiet!$B$13:$N$2352,kl!$B367,chitiet!$I$13:$I$2352)</f>
        <v>0</v>
      </c>
      <c r="AD367" s="775">
        <f ca="1">SUMIF(chitiet!$B$13:$N$2352,kl!$B367,chitiet!$J$13:$J$2352)</f>
        <v>0</v>
      </c>
      <c r="AE367" s="775">
        <f ca="1">SUMIF(chitiet!$B$13:$N$2352,kl!$B367,chitiet!$K$13:$K$2352)</f>
        <v>0</v>
      </c>
      <c r="AF367" s="775">
        <f ca="1">SUMIF(chitiet!$B$13:$N$2352,kl!$B367,chitiet!$L$13:$L$2352)</f>
        <v>0</v>
      </c>
      <c r="AG367" s="775">
        <f ca="1">SUMIF(chitiet!$B$13:$N$2352,kl!$B367,chitiet!$M$13:$M$2352)</f>
        <v>0</v>
      </c>
      <c r="AH367" s="775">
        <f ca="1">SUMIF(chitiet!$B$13:$N$2352,kl!$B367,chitiet!$N$13:$N$2352)</f>
        <v>0</v>
      </c>
      <c r="AI367" s="775">
        <f ca="1">SUMIF(chitiet!$B$13:$N$2352,kl!$B367,chitiet!$O$13:$O$2352)</f>
        <v>0</v>
      </c>
      <c r="AJ367" s="775">
        <f ca="1">SUMIF('Cap ngam'!$B$631:$G$723,kl!$B367,'Cap ngam'!$G$631:$G$723)</f>
        <v>0</v>
      </c>
      <c r="AK367" s="775">
        <f ca="1">SUMIF('Cap ngam'!$B$403:$G$628,kl!$B367,'Cap ngam'!G$403:G$628)</f>
        <v>0</v>
      </c>
      <c r="AL367" s="775">
        <f ca="1">SUMIF('Cap ngam'!B$16:G$400,kl!$B367,'Cap ngam'!G$16:G$400)</f>
        <v>0</v>
      </c>
      <c r="AM367" s="776">
        <v>411</v>
      </c>
      <c r="AN367" s="775">
        <f t="shared" ca="1" si="233"/>
        <v>0</v>
      </c>
      <c r="AO367" s="775">
        <f t="shared" ca="1" si="234"/>
        <v>0</v>
      </c>
      <c r="AP367" s="775">
        <f t="shared" ca="1" si="235"/>
        <v>0</v>
      </c>
      <c r="AQ367" s="775">
        <f t="shared" ca="1" si="236"/>
        <v>0</v>
      </c>
      <c r="AR367" s="775">
        <f t="shared" ca="1" si="237"/>
        <v>0</v>
      </c>
      <c r="AS367" s="775">
        <f t="shared" ca="1" si="238"/>
        <v>0</v>
      </c>
      <c r="AT367" s="775">
        <f t="shared" ca="1" si="239"/>
        <v>0</v>
      </c>
      <c r="AU367" s="775">
        <f t="shared" ca="1" si="240"/>
        <v>0</v>
      </c>
      <c r="AV367" s="775">
        <f t="shared" ca="1" si="241"/>
        <v>0</v>
      </c>
      <c r="AW367" s="775">
        <f t="shared" ca="1" si="242"/>
        <v>0</v>
      </c>
      <c r="AX367" s="775">
        <f t="shared" si="243"/>
        <v>0</v>
      </c>
      <c r="AY367" s="775">
        <f t="shared" ca="1" si="244"/>
        <v>0</v>
      </c>
      <c r="AZ367" s="775">
        <f t="shared" si="245"/>
        <v>0</v>
      </c>
      <c r="BA367" s="775">
        <f t="shared" ca="1" si="223"/>
        <v>0</v>
      </c>
      <c r="BB367" s="775">
        <f t="shared" ca="1" si="224"/>
        <v>0</v>
      </c>
      <c r="BC367" s="775">
        <f t="shared" ca="1" si="225"/>
        <v>0</v>
      </c>
      <c r="BD367" s="775">
        <f t="shared" ca="1" si="226"/>
        <v>0</v>
      </c>
      <c r="BE367" s="775">
        <f t="shared" ca="1" si="227"/>
        <v>0</v>
      </c>
      <c r="BF367" s="775">
        <f t="shared" ca="1" si="228"/>
        <v>0</v>
      </c>
      <c r="BG367" s="775">
        <f t="shared" ca="1" si="229"/>
        <v>0</v>
      </c>
      <c r="BH367" s="775">
        <f t="shared" ca="1" si="247"/>
        <v>0</v>
      </c>
      <c r="BI367" s="775">
        <f t="shared" ca="1" si="248"/>
        <v>0</v>
      </c>
      <c r="BJ367" s="775">
        <f t="shared" ca="1" si="249"/>
        <v>0</v>
      </c>
      <c r="BK367" s="775">
        <f t="shared" ca="1" si="250"/>
        <v>0</v>
      </c>
      <c r="BL367" s="775">
        <f t="shared" ca="1" si="251"/>
        <v>0</v>
      </c>
      <c r="BM367" s="775">
        <f t="shared" ca="1" si="252"/>
        <v>0</v>
      </c>
      <c r="BN367" s="775">
        <f t="shared" ca="1" si="253"/>
        <v>0</v>
      </c>
      <c r="BO367" s="775">
        <f t="shared" ca="1" si="254"/>
        <v>0</v>
      </c>
      <c r="BP367" s="775">
        <f t="shared" ca="1" si="255"/>
        <v>0</v>
      </c>
      <c r="BQ367" s="775">
        <f t="shared" ca="1" si="170"/>
        <v>0</v>
      </c>
      <c r="BR367" s="775">
        <f t="shared" ca="1" si="256"/>
        <v>0</v>
      </c>
    </row>
    <row r="368" spans="1:70">
      <c r="A368" s="767" t="str">
        <f t="shared" ca="1" si="219"/>
        <v/>
      </c>
      <c r="B368" s="767" t="s">
        <v>749</v>
      </c>
      <c r="C368" s="188" t="str">
        <f ca="1">IF(F368=0,"",COUNTIF($F$78:$F368,"&gt;0"))</f>
        <v/>
      </c>
      <c r="D368" s="778" t="str">
        <f>VLOOKUP($B368,dongia1,DG!$C$5,)</f>
        <v>Trụ BTLT 8,5m F200 dự ứng lực</v>
      </c>
      <c r="E368" s="555" t="str">
        <f>VLOOKUP($B368,dongia1,DG!$D$5,)</f>
        <v>trụ</v>
      </c>
      <c r="F368" s="779">
        <f t="shared" ca="1" si="231"/>
        <v>0</v>
      </c>
      <c r="G368" s="775">
        <f t="shared" ca="1" si="257"/>
        <v>0</v>
      </c>
      <c r="H368" s="775">
        <f ca="1">SUMIF(CT_tram!$B$33:$G$3559,kl!B368,CT_tram!$G$33:$G$3559)</f>
        <v>0</v>
      </c>
      <c r="I368" s="775">
        <f ca="1">SUMIF(CT_tram!$B$34:$G$115,$B368,CT_tram!$G$34:$G$115)</f>
        <v>0</v>
      </c>
      <c r="J368" s="775">
        <f ca="1">SUMIF(CT_tram!$B$122:$G$204,$B368,CT_tram!$G$122:$G$204)</f>
        <v>0</v>
      </c>
      <c r="K368" s="775">
        <f ca="1">SUMIF(CT_tram!$B$211:$G$293,$B368,CT_tram!$G$211:$G$293)</f>
        <v>0</v>
      </c>
      <c r="L368" s="775">
        <f ca="1">SUMIF(CT_tram!$B$300:$G$374,$B368,CT_tram!$G$300:$G$374)</f>
        <v>0</v>
      </c>
      <c r="M368" s="775">
        <f ca="1">SUMIF(CT_tram!$B$381:$G$471,$B368,CT_tram!$G$381:$G$471)</f>
        <v>0</v>
      </c>
      <c r="N368" s="775">
        <f ca="1">SUMIF(CT_tram!$B$478:$G$560,$B368,CT_tram!$G$478:$G$560)</f>
        <v>0</v>
      </c>
      <c r="O368" s="775">
        <f ca="1">SUMIF(CT_tram!$B$567:$G$653,$B368,CT_tram!$G$567:$G$653)</f>
        <v>0</v>
      </c>
      <c r="P368" s="775">
        <f ca="1">SUMIF(CT_tram!$B$661:$G$738,$B368,CT_tram!$G$661:$G$738)</f>
        <v>0</v>
      </c>
      <c r="Q368" s="775">
        <f ca="1">SUMIF(CT_tram!$B$745:$G$899,$B368,CT_tram!$G$745:$G$899)</f>
        <v>0</v>
      </c>
      <c r="R368" s="775">
        <f ca="1">SUMIF(CT_tram!$B$907:$G$995,$B368,CT_tram!$G$907:$G$995)</f>
        <v>0</v>
      </c>
      <c r="S368" s="775"/>
      <c r="T368" s="775">
        <f ca="1">SUMIF(CT_tram!$B$1004:$G$1097,B368,CT_tram!$G$1004:$G$1097)</f>
        <v>0</v>
      </c>
      <c r="U368" s="775"/>
      <c r="V368" s="775">
        <f ca="1">SUMIF(CT_tram!$B$1226:$G$1352,kl!B368,CT_tram!$G$1226:$G$1352)</f>
        <v>0</v>
      </c>
      <c r="W368" s="780">
        <f ca="1">SUMIF(CT_tram!$B$1105:$G$1219,kl!B368,CT_tram!$G$1105:$G$1219)</f>
        <v>0</v>
      </c>
      <c r="X368" s="775">
        <f ca="1">SUMIF(CT_tram!$B$1359:$G$1504,kl!B368,CT_tram!$G$1359:$G$1504)</f>
        <v>0</v>
      </c>
      <c r="Y368" s="775">
        <f ca="1">SUMIF(CT_tram!$B$1511:$G$1625,kl!B368,CT_tram!$G$1511:$G$1625)</f>
        <v>0</v>
      </c>
      <c r="Z368" s="775">
        <f ca="1">SUMIF(CT_tram!$B$1632:$G$2211,kl!B368,CT_tram!$G$1632:$G$2211)</f>
        <v>0</v>
      </c>
      <c r="AA368" s="775">
        <f ca="1">SUMIF(CT_tram!$B$2243:$G$2384,kl!B368,CT_tram!$G$2243:$G$2384)</f>
        <v>0</v>
      </c>
      <c r="AB368" s="775">
        <f ca="1">SUMIF(CT_tram!$B$2391:$G$2563,kl!B368,CT_tram!$G$2391:$G$2563)</f>
        <v>0</v>
      </c>
      <c r="AC368" s="775">
        <f ca="1">SUMIF(chitiet!$B$13:$N$2352,kl!$B368,chitiet!$I$13:$I$2352)</f>
        <v>0</v>
      </c>
      <c r="AD368" s="775">
        <f ca="1">SUMIF(chitiet!$B$13:$N$2352,kl!$B368,chitiet!$J$13:$J$2352)</f>
        <v>0</v>
      </c>
      <c r="AE368" s="775">
        <f ca="1">SUMIF(chitiet!$B$13:$N$2352,kl!$B368,chitiet!$K$13:$K$2352)</f>
        <v>0</v>
      </c>
      <c r="AF368" s="775">
        <f ca="1">SUMIF(chitiet!$B$13:$N$2352,kl!$B368,chitiet!$L$13:$L$2352)</f>
        <v>0</v>
      </c>
      <c r="AG368" s="775">
        <f ca="1">SUMIF(chitiet!$B$13:$N$2352,kl!$B368,chitiet!$M$13:$M$2352)</f>
        <v>0</v>
      </c>
      <c r="AH368" s="775">
        <f ca="1">SUMIF(chitiet!$B$13:$N$2352,kl!$B368,chitiet!$N$13:$N$2352)</f>
        <v>0</v>
      </c>
      <c r="AI368" s="775">
        <f ca="1">SUMIF(chitiet!$B$13:$N$2352,kl!$B368,chitiet!$O$13:$O$2352)</f>
        <v>0</v>
      </c>
      <c r="AJ368" s="775">
        <f ca="1">SUMIF('Cap ngam'!$B$631:$G$723,kl!$B368,'Cap ngam'!$G$631:$G$723)</f>
        <v>0</v>
      </c>
      <c r="AK368" s="775">
        <f ca="1">SUMIF('Cap ngam'!$B$403:$G$628,kl!$B368,'Cap ngam'!G$403:G$628)</f>
        <v>0</v>
      </c>
      <c r="AL368" s="775">
        <f ca="1">SUMIF('Cap ngam'!B$16:G$400,kl!$B368,'Cap ngam'!G$16:G$400)</f>
        <v>0</v>
      </c>
      <c r="AM368" s="776">
        <v>500</v>
      </c>
      <c r="AN368" s="775">
        <f t="shared" ca="1" si="233"/>
        <v>0</v>
      </c>
      <c r="AO368" s="775">
        <f t="shared" ca="1" si="234"/>
        <v>0</v>
      </c>
      <c r="AP368" s="775">
        <f t="shared" ca="1" si="235"/>
        <v>0</v>
      </c>
      <c r="AQ368" s="775">
        <f t="shared" ca="1" si="236"/>
        <v>0</v>
      </c>
      <c r="AR368" s="775">
        <f t="shared" ca="1" si="237"/>
        <v>0</v>
      </c>
      <c r="AS368" s="775">
        <f t="shared" ca="1" si="238"/>
        <v>0</v>
      </c>
      <c r="AT368" s="775">
        <f t="shared" ca="1" si="239"/>
        <v>0</v>
      </c>
      <c r="AU368" s="775">
        <f t="shared" ca="1" si="240"/>
        <v>0</v>
      </c>
      <c r="AV368" s="775">
        <f t="shared" ca="1" si="241"/>
        <v>0</v>
      </c>
      <c r="AW368" s="775">
        <f t="shared" ca="1" si="242"/>
        <v>0</v>
      </c>
      <c r="AX368" s="775">
        <f t="shared" si="243"/>
        <v>0</v>
      </c>
      <c r="AY368" s="775">
        <f t="shared" ca="1" si="244"/>
        <v>0</v>
      </c>
      <c r="AZ368" s="775">
        <f t="shared" si="245"/>
        <v>0</v>
      </c>
      <c r="BA368" s="775">
        <f t="shared" ca="1" si="223"/>
        <v>0</v>
      </c>
      <c r="BB368" s="775">
        <f t="shared" ca="1" si="224"/>
        <v>0</v>
      </c>
      <c r="BC368" s="775">
        <f t="shared" ca="1" si="225"/>
        <v>0</v>
      </c>
      <c r="BD368" s="775">
        <f t="shared" ca="1" si="226"/>
        <v>0</v>
      </c>
      <c r="BE368" s="775">
        <f t="shared" ca="1" si="227"/>
        <v>0</v>
      </c>
      <c r="BF368" s="775">
        <f t="shared" ca="1" si="228"/>
        <v>0</v>
      </c>
      <c r="BG368" s="775">
        <f t="shared" ca="1" si="229"/>
        <v>0</v>
      </c>
      <c r="BH368" s="775">
        <f t="shared" ca="1" si="247"/>
        <v>0</v>
      </c>
      <c r="BI368" s="775">
        <f t="shared" ca="1" si="248"/>
        <v>0</v>
      </c>
      <c r="BJ368" s="775">
        <f t="shared" ca="1" si="249"/>
        <v>0</v>
      </c>
      <c r="BK368" s="775">
        <f t="shared" ca="1" si="250"/>
        <v>0</v>
      </c>
      <c r="BL368" s="775">
        <f t="shared" ca="1" si="251"/>
        <v>0</v>
      </c>
      <c r="BM368" s="775">
        <f t="shared" ca="1" si="252"/>
        <v>0</v>
      </c>
      <c r="BN368" s="775">
        <f t="shared" ca="1" si="253"/>
        <v>0</v>
      </c>
      <c r="BO368" s="775">
        <f t="shared" ca="1" si="254"/>
        <v>0</v>
      </c>
      <c r="BP368" s="775">
        <f t="shared" ca="1" si="255"/>
        <v>0</v>
      </c>
      <c r="BQ368" s="775">
        <f t="shared" ca="1" si="170"/>
        <v>0</v>
      </c>
      <c r="BR368" s="775">
        <f t="shared" ca="1" si="256"/>
        <v>0</v>
      </c>
    </row>
    <row r="369" spans="1:70">
      <c r="A369" s="767" t="str">
        <f ca="1">IF(F369&lt;&gt;0,"X","")</f>
        <v/>
      </c>
      <c r="B369" s="767" t="s">
        <v>4586</v>
      </c>
      <c r="C369" s="188" t="str">
        <f ca="1">IF(F369=0,"",COUNTIF($F$78:$F369,"&gt;0"))</f>
        <v/>
      </c>
      <c r="D369" s="778" t="str">
        <f>VLOOKUP($B369,dongia1,DG!$C$5,)</f>
        <v>Trụ BTLT 10,5m F480 dự ứng lực</v>
      </c>
      <c r="E369" s="555" t="str">
        <f>VLOOKUP($B369,dongia1,DG!$D$5,)</f>
        <v>trụ</v>
      </c>
      <c r="F369" s="779">
        <f ca="1">G369+H369</f>
        <v>0</v>
      </c>
      <c r="G369" s="775">
        <f t="shared" ca="1" si="257"/>
        <v>0</v>
      </c>
      <c r="H369" s="775">
        <f ca="1">SUMIF(CT_tram!$B$33:$G$3559,kl!B369,CT_tram!$G$33:$G$3559)</f>
        <v>0</v>
      </c>
      <c r="I369" s="775">
        <f ca="1">SUMIF(CT_tram!$B$34:$G$115,$B369,CT_tram!$G$34:$G$115)</f>
        <v>0</v>
      </c>
      <c r="J369" s="775">
        <f ca="1">SUMIF(CT_tram!$B$122:$G$204,$B369,CT_tram!$G$122:$G$204)</f>
        <v>0</v>
      </c>
      <c r="K369" s="775">
        <f ca="1">SUMIF(CT_tram!$B$211:$G$293,$B369,CT_tram!$G$211:$G$293)</f>
        <v>0</v>
      </c>
      <c r="L369" s="775">
        <f ca="1">SUMIF(CT_tram!$B$300:$G$374,$B369,CT_tram!$G$300:$G$374)</f>
        <v>0</v>
      </c>
      <c r="M369" s="775">
        <f ca="1">SUMIF(CT_tram!$B$381:$G$471,$B369,CT_tram!$G$381:$G$471)</f>
        <v>0</v>
      </c>
      <c r="N369" s="775">
        <f ca="1">SUMIF(CT_tram!$B$478:$G$560,$B369,CT_tram!$G$478:$G$560)</f>
        <v>0</v>
      </c>
      <c r="O369" s="775">
        <f ca="1">SUMIF(CT_tram!$B$567:$G$653,$B369,CT_tram!$G$567:$G$653)</f>
        <v>0</v>
      </c>
      <c r="P369" s="775">
        <f ca="1">SUMIF(CT_tram!$B$661:$G$738,$B369,CT_tram!$G$661:$G$738)</f>
        <v>0</v>
      </c>
      <c r="Q369" s="775">
        <f ca="1">SUMIF(CT_tram!$B$745:$G$899,$B369,CT_tram!$G$745:$G$899)</f>
        <v>0</v>
      </c>
      <c r="R369" s="775">
        <f ca="1">SUMIF(CT_tram!$B$907:$G$995,$B369,CT_tram!$G$907:$G$995)</f>
        <v>0</v>
      </c>
      <c r="S369" s="775"/>
      <c r="T369" s="775">
        <f ca="1">SUMIF(CT_tram!$B$1004:$G$1097,B369,CT_tram!$G$1004:$G$1097)</f>
        <v>0</v>
      </c>
      <c r="U369" s="775"/>
      <c r="V369" s="775">
        <f ca="1">SUMIF(CT_tram!$B$1226:$G$1352,kl!B369,CT_tram!$G$1226:$G$1352)</f>
        <v>0</v>
      </c>
      <c r="W369" s="780">
        <f ca="1">SUMIF(CT_tram!$B$1105:$G$1219,kl!B369,CT_tram!$G$1105:$G$1219)</f>
        <v>0</v>
      </c>
      <c r="X369" s="775">
        <f ca="1">SUMIF(CT_tram!$B$1359:$G$1504,kl!B369,CT_tram!$G$1359:$G$1504)</f>
        <v>0</v>
      </c>
      <c r="Y369" s="775">
        <f ca="1">SUMIF(CT_tram!$B$1511:$G$1625,kl!B369,CT_tram!$G$1511:$G$1625)</f>
        <v>0</v>
      </c>
      <c r="Z369" s="775">
        <f ca="1">SUMIF(CT_tram!$B$1632:$G$2211,kl!B369,CT_tram!$G$1632:$G$2211)</f>
        <v>0</v>
      </c>
      <c r="AA369" s="775">
        <f ca="1">SUMIF(CT_tram!$B$2243:$G$2384,kl!B369,CT_tram!$G$2243:$G$2384)</f>
        <v>0</v>
      </c>
      <c r="AB369" s="775">
        <f ca="1">SUMIF(CT_tram!$B$2391:$G$2563,kl!B369,CT_tram!$G$2391:$G$2563)</f>
        <v>0</v>
      </c>
      <c r="AC369" s="775">
        <f ca="1">SUMIF(chitiet!$B$13:$N$2352,kl!$B369,chitiet!$I$13:$I$2352)</f>
        <v>0</v>
      </c>
      <c r="AD369" s="775">
        <f ca="1">SUMIF(chitiet!$B$13:$N$2352,kl!$B369,chitiet!$J$13:$J$2352)</f>
        <v>0</v>
      </c>
      <c r="AE369" s="775">
        <f ca="1">SUMIF(chitiet!$B$13:$N$2352,kl!$B369,chitiet!$K$13:$K$2352)</f>
        <v>0</v>
      </c>
      <c r="AF369" s="775">
        <f ca="1">SUMIF(chitiet!$B$13:$N$2352,kl!$B369,chitiet!$L$13:$L$2352)</f>
        <v>0</v>
      </c>
      <c r="AG369" s="775">
        <f ca="1">SUMIF(chitiet!$B$13:$N$2352,kl!$B369,chitiet!$M$13:$M$2352)</f>
        <v>0</v>
      </c>
      <c r="AH369" s="775">
        <f ca="1">SUMIF(chitiet!$B$13:$N$2352,kl!$B369,chitiet!$N$13:$N$2352)</f>
        <v>0</v>
      </c>
      <c r="AI369" s="775">
        <f ca="1">SUMIF(chitiet!$B$13:$N$2352,kl!$B369,chitiet!$O$13:$O$2352)</f>
        <v>0</v>
      </c>
      <c r="AJ369" s="775">
        <f ca="1">SUMIF('Cap ngam'!$B$631:$G$723,kl!$B369,'Cap ngam'!$G$631:$G$723)</f>
        <v>0</v>
      </c>
      <c r="AK369" s="775">
        <f ca="1">SUMIF('Cap ngam'!$B$403:$G$628,kl!$B369,'Cap ngam'!G$403:G$628)</f>
        <v>0</v>
      </c>
      <c r="AL369" s="775">
        <f ca="1">SUMIF('Cap ngam'!B$16:G$400,kl!$B369,'Cap ngam'!G$16:G$400)</f>
        <v>0</v>
      </c>
      <c r="AM369" s="776">
        <v>501</v>
      </c>
      <c r="AN369" s="775">
        <f t="shared" ca="1" si="233"/>
        <v>0</v>
      </c>
      <c r="AO369" s="775">
        <f t="shared" ca="1" si="234"/>
        <v>0</v>
      </c>
      <c r="AP369" s="775">
        <f t="shared" ca="1" si="235"/>
        <v>0</v>
      </c>
      <c r="AQ369" s="775">
        <f t="shared" ca="1" si="236"/>
        <v>0</v>
      </c>
      <c r="AR369" s="775">
        <f t="shared" ca="1" si="237"/>
        <v>0</v>
      </c>
      <c r="AS369" s="775">
        <f t="shared" ca="1" si="238"/>
        <v>0</v>
      </c>
      <c r="AT369" s="775">
        <f t="shared" ca="1" si="239"/>
        <v>0</v>
      </c>
      <c r="AU369" s="775">
        <f t="shared" ca="1" si="240"/>
        <v>0</v>
      </c>
      <c r="AV369" s="775">
        <f t="shared" ca="1" si="241"/>
        <v>0</v>
      </c>
      <c r="AW369" s="775">
        <f t="shared" ca="1" si="242"/>
        <v>0</v>
      </c>
      <c r="AX369" s="775">
        <f t="shared" si="243"/>
        <v>0</v>
      </c>
      <c r="AY369" s="775">
        <f t="shared" ca="1" si="244"/>
        <v>0</v>
      </c>
      <c r="AZ369" s="775">
        <f t="shared" si="245"/>
        <v>0</v>
      </c>
      <c r="BA369" s="775">
        <f t="shared" ca="1" si="223"/>
        <v>0</v>
      </c>
      <c r="BB369" s="775">
        <f t="shared" ca="1" si="224"/>
        <v>0</v>
      </c>
      <c r="BC369" s="775">
        <f t="shared" ca="1" si="225"/>
        <v>0</v>
      </c>
      <c r="BD369" s="775">
        <f t="shared" ca="1" si="226"/>
        <v>0</v>
      </c>
      <c r="BE369" s="775">
        <f t="shared" ca="1" si="227"/>
        <v>0</v>
      </c>
      <c r="BF369" s="775">
        <f t="shared" ca="1" si="228"/>
        <v>0</v>
      </c>
      <c r="BG369" s="775">
        <f t="shared" ca="1" si="229"/>
        <v>0</v>
      </c>
      <c r="BH369" s="775">
        <f t="shared" ca="1" si="247"/>
        <v>0</v>
      </c>
      <c r="BI369" s="775">
        <f t="shared" ca="1" si="248"/>
        <v>0</v>
      </c>
      <c r="BJ369" s="775">
        <f t="shared" ca="1" si="249"/>
        <v>0</v>
      </c>
      <c r="BK369" s="775">
        <f t="shared" ca="1" si="250"/>
        <v>0</v>
      </c>
      <c r="BL369" s="775">
        <f t="shared" ca="1" si="251"/>
        <v>0</v>
      </c>
      <c r="BM369" s="775">
        <f t="shared" ca="1" si="252"/>
        <v>0</v>
      </c>
      <c r="BN369" s="775">
        <f t="shared" ca="1" si="253"/>
        <v>0</v>
      </c>
      <c r="BO369" s="775">
        <f t="shared" ca="1" si="254"/>
        <v>0</v>
      </c>
      <c r="BP369" s="775">
        <f t="shared" ca="1" si="255"/>
        <v>0</v>
      </c>
      <c r="BQ369" s="775">
        <f t="shared" ca="1" si="170"/>
        <v>0</v>
      </c>
      <c r="BR369" s="775">
        <f t="shared" ca="1" si="256"/>
        <v>0</v>
      </c>
    </row>
    <row r="370" spans="1:70">
      <c r="A370" s="767" t="str">
        <f t="shared" ca="1" si="219"/>
        <v/>
      </c>
      <c r="B370" s="767" t="s">
        <v>1011</v>
      </c>
      <c r="C370" s="188" t="str">
        <f ca="1">IF(F370=0,"",COUNTIF($F$78:$F370,"&gt;0"))</f>
        <v/>
      </c>
      <c r="D370" s="778" t="str">
        <f>VLOOKUP($B370,dongia1,DG!$C$5,)</f>
        <v>Trụ BTLT 10,5m F350 dự ứng lực</v>
      </c>
      <c r="E370" s="555" t="str">
        <f>VLOOKUP($B370,dongia1,DG!$D$5,)</f>
        <v>trụ</v>
      </c>
      <c r="F370" s="779">
        <f t="shared" ca="1" si="231"/>
        <v>0</v>
      </c>
      <c r="G370" s="775">
        <f t="shared" ca="1" si="257"/>
        <v>0</v>
      </c>
      <c r="H370" s="775">
        <f ca="1">SUMIF(CT_tram!$B$33:$G$3559,kl!B370,CT_tram!$G$33:$G$3559)</f>
        <v>0</v>
      </c>
      <c r="I370" s="775">
        <f ca="1">SUMIF(CT_tram!$B$34:$G$115,$B370,CT_tram!$G$34:$G$115)</f>
        <v>0</v>
      </c>
      <c r="J370" s="775">
        <f ca="1">SUMIF(CT_tram!$B$122:$G$204,$B370,CT_tram!$G$122:$G$204)</f>
        <v>0</v>
      </c>
      <c r="K370" s="775">
        <f ca="1">SUMIF(CT_tram!$B$211:$G$293,$B370,CT_tram!$G$211:$G$293)</f>
        <v>0</v>
      </c>
      <c r="L370" s="775">
        <f ca="1">SUMIF(CT_tram!$B$300:$G$374,$B370,CT_tram!$G$300:$G$374)</f>
        <v>0</v>
      </c>
      <c r="M370" s="775">
        <f ca="1">SUMIF(CT_tram!$B$381:$G$471,$B370,CT_tram!$G$381:$G$471)</f>
        <v>0</v>
      </c>
      <c r="N370" s="775">
        <f ca="1">SUMIF(CT_tram!$B$478:$G$560,$B370,CT_tram!$G$478:$G$560)</f>
        <v>0</v>
      </c>
      <c r="O370" s="775">
        <f ca="1">SUMIF(CT_tram!$B$567:$G$653,$B370,CT_tram!$G$567:$G$653)</f>
        <v>0</v>
      </c>
      <c r="P370" s="775">
        <f ca="1">SUMIF(CT_tram!$B$661:$G$738,$B370,CT_tram!$G$661:$G$738)</f>
        <v>0</v>
      </c>
      <c r="Q370" s="775">
        <f ca="1">SUMIF(CT_tram!$B$745:$G$899,$B370,CT_tram!$G$745:$G$899)</f>
        <v>0</v>
      </c>
      <c r="R370" s="775">
        <f ca="1">SUMIF(CT_tram!$B$907:$G$995,$B370,CT_tram!$G$907:$G$995)</f>
        <v>0</v>
      </c>
      <c r="S370" s="775"/>
      <c r="T370" s="775">
        <f ca="1">SUMIF(CT_tram!$B$1004:$G$1097,B370,CT_tram!$G$1004:$G$1097)</f>
        <v>0</v>
      </c>
      <c r="U370" s="775"/>
      <c r="V370" s="775">
        <f ca="1">SUMIF(CT_tram!$B$1226:$G$1352,kl!B370,CT_tram!$G$1226:$G$1352)</f>
        <v>0</v>
      </c>
      <c r="W370" s="780">
        <f ca="1">SUMIF(CT_tram!$B$1105:$G$1219,kl!B370,CT_tram!$G$1105:$G$1219)</f>
        <v>0</v>
      </c>
      <c r="X370" s="775">
        <f ca="1">SUMIF(CT_tram!$B$1359:$G$1504,kl!B370,CT_tram!$G$1359:$G$1504)</f>
        <v>0</v>
      </c>
      <c r="Y370" s="775">
        <f ca="1">SUMIF(CT_tram!$B$1511:$G$1625,kl!B370,CT_tram!$G$1511:$G$1625)</f>
        <v>0</v>
      </c>
      <c r="Z370" s="775">
        <f ca="1">SUMIF(CT_tram!$B$1632:$G$2211,kl!B370,CT_tram!$G$1632:$G$2211)</f>
        <v>0</v>
      </c>
      <c r="AA370" s="775">
        <f ca="1">SUMIF(CT_tram!$B$2243:$G$2384,kl!B370,CT_tram!$G$2243:$G$2384)</f>
        <v>0</v>
      </c>
      <c r="AB370" s="775">
        <f ca="1">SUMIF(CT_tram!$B$2391:$G$2563,kl!B370,CT_tram!$G$2391:$G$2563)</f>
        <v>0</v>
      </c>
      <c r="AC370" s="775">
        <f ca="1">SUMIF(chitiet!$B$13:$N$2352,kl!$B370,chitiet!$I$13:$I$2352)</f>
        <v>0</v>
      </c>
      <c r="AD370" s="775">
        <f ca="1">SUMIF(chitiet!$B$13:$N$2352,kl!$B370,chitiet!$J$13:$J$2352)</f>
        <v>0</v>
      </c>
      <c r="AE370" s="775">
        <f ca="1">SUMIF(chitiet!$B$13:$N$2352,kl!$B370,chitiet!$K$13:$K$2352)</f>
        <v>0</v>
      </c>
      <c r="AF370" s="775">
        <f ca="1">SUMIF(chitiet!$B$13:$N$2352,kl!$B370,chitiet!$L$13:$L$2352)</f>
        <v>0</v>
      </c>
      <c r="AG370" s="775">
        <f ca="1">SUMIF(chitiet!$B$13:$N$2352,kl!$B370,chitiet!$M$13:$M$2352)</f>
        <v>0</v>
      </c>
      <c r="AH370" s="775">
        <f ca="1">SUMIF(chitiet!$B$13:$N$2352,kl!$B370,chitiet!$N$13:$N$2352)</f>
        <v>0</v>
      </c>
      <c r="AI370" s="775">
        <f ca="1">SUMIF(chitiet!$B$13:$N$2352,kl!$B370,chitiet!$O$13:$O$2352)</f>
        <v>0</v>
      </c>
      <c r="AJ370" s="775">
        <f ca="1">SUMIF('Cap ngam'!$B$631:$G$723,kl!$B370,'Cap ngam'!$G$631:$G$723)</f>
        <v>0</v>
      </c>
      <c r="AK370" s="775">
        <f ca="1">SUMIF('Cap ngam'!$B$403:$G$628,kl!$B370,'Cap ngam'!G$403:G$628)</f>
        <v>0</v>
      </c>
      <c r="AL370" s="775">
        <f ca="1">SUMIF('Cap ngam'!B$16:G$400,kl!$B370,'Cap ngam'!G$16:G$400)</f>
        <v>0</v>
      </c>
      <c r="AM370" s="776">
        <v>900</v>
      </c>
      <c r="AN370" s="775">
        <f t="shared" ca="1" si="233"/>
        <v>0</v>
      </c>
      <c r="AO370" s="775">
        <f t="shared" ca="1" si="234"/>
        <v>0</v>
      </c>
      <c r="AP370" s="775">
        <f t="shared" ca="1" si="235"/>
        <v>0</v>
      </c>
      <c r="AQ370" s="775">
        <f t="shared" ca="1" si="236"/>
        <v>0</v>
      </c>
      <c r="AR370" s="775">
        <f t="shared" ca="1" si="237"/>
        <v>0</v>
      </c>
      <c r="AS370" s="775">
        <f t="shared" ca="1" si="238"/>
        <v>0</v>
      </c>
      <c r="AT370" s="775">
        <f t="shared" ca="1" si="239"/>
        <v>0</v>
      </c>
      <c r="AU370" s="775">
        <f t="shared" ca="1" si="240"/>
        <v>0</v>
      </c>
      <c r="AV370" s="775">
        <f t="shared" ca="1" si="241"/>
        <v>0</v>
      </c>
      <c r="AW370" s="775">
        <f t="shared" ca="1" si="242"/>
        <v>0</v>
      </c>
      <c r="AX370" s="775">
        <f t="shared" si="243"/>
        <v>0</v>
      </c>
      <c r="AY370" s="775">
        <f t="shared" ca="1" si="244"/>
        <v>0</v>
      </c>
      <c r="AZ370" s="775">
        <f t="shared" si="245"/>
        <v>0</v>
      </c>
      <c r="BA370" s="775">
        <f t="shared" ca="1" si="223"/>
        <v>0</v>
      </c>
      <c r="BB370" s="775">
        <f t="shared" ca="1" si="224"/>
        <v>0</v>
      </c>
      <c r="BC370" s="775">
        <f t="shared" ca="1" si="225"/>
        <v>0</v>
      </c>
      <c r="BD370" s="775">
        <f t="shared" ca="1" si="226"/>
        <v>0</v>
      </c>
      <c r="BE370" s="775">
        <f t="shared" ca="1" si="227"/>
        <v>0</v>
      </c>
      <c r="BF370" s="775">
        <f t="shared" ca="1" si="228"/>
        <v>0</v>
      </c>
      <c r="BG370" s="775">
        <f t="shared" ca="1" si="229"/>
        <v>0</v>
      </c>
      <c r="BH370" s="775">
        <f t="shared" ca="1" si="247"/>
        <v>0</v>
      </c>
      <c r="BI370" s="775">
        <f t="shared" ca="1" si="248"/>
        <v>0</v>
      </c>
      <c r="BJ370" s="775">
        <f t="shared" ca="1" si="249"/>
        <v>0</v>
      </c>
      <c r="BK370" s="775">
        <f t="shared" ca="1" si="250"/>
        <v>0</v>
      </c>
      <c r="BL370" s="775">
        <f t="shared" ca="1" si="251"/>
        <v>0</v>
      </c>
      <c r="BM370" s="775">
        <f t="shared" ca="1" si="252"/>
        <v>0</v>
      </c>
      <c r="BN370" s="775">
        <f t="shared" ca="1" si="253"/>
        <v>0</v>
      </c>
      <c r="BO370" s="775">
        <f t="shared" ca="1" si="254"/>
        <v>0</v>
      </c>
      <c r="BP370" s="775">
        <f t="shared" ca="1" si="255"/>
        <v>0</v>
      </c>
      <c r="BQ370" s="775">
        <f t="shared" ca="1" si="170"/>
        <v>0</v>
      </c>
      <c r="BR370" s="775">
        <f t="shared" ca="1" si="256"/>
        <v>0</v>
      </c>
    </row>
    <row r="371" spans="1:70">
      <c r="A371" s="767" t="str">
        <f t="shared" ca="1" si="219"/>
        <v/>
      </c>
      <c r="B371" s="767" t="s">
        <v>4969</v>
      </c>
      <c r="C371" s="188" t="str">
        <f ca="1">IF(F371=0,"",COUNTIF($F$78:$F371,"&gt;0"))</f>
        <v/>
      </c>
      <c r="D371" s="778" t="str">
        <f>VLOOKUP($B371,dongia1,DG!$C$5,)</f>
        <v>Trụ BTLT 12m F350 dự ứng lực có dây tiếp địa trong thân trụ</v>
      </c>
      <c r="E371" s="555" t="str">
        <f>VLOOKUP($B371,dongia1,DG!$D$5,)</f>
        <v>trụ</v>
      </c>
      <c r="F371" s="779">
        <f t="shared" ca="1" si="231"/>
        <v>0</v>
      </c>
      <c r="G371" s="775">
        <f t="shared" ca="1" si="257"/>
        <v>0</v>
      </c>
      <c r="H371" s="775">
        <f ca="1">SUMIF(CT_tram!$B$33:$G$3559,kl!B371,CT_tram!$G$33:$G$3559)</f>
        <v>0</v>
      </c>
      <c r="I371" s="775">
        <f ca="1">SUMIF(CT_tram!$B$34:$G$115,$B371,CT_tram!$G$34:$G$115)</f>
        <v>0</v>
      </c>
      <c r="J371" s="775">
        <f ca="1">SUMIF(CT_tram!$B$122:$G$204,$B371,CT_tram!$G$122:$G$204)</f>
        <v>0</v>
      </c>
      <c r="K371" s="775">
        <f ca="1">SUMIF(CT_tram!$B$211:$G$293,$B371,CT_tram!$G$211:$G$293)</f>
        <v>0</v>
      </c>
      <c r="L371" s="775">
        <f ca="1">SUMIF(CT_tram!$B$300:$G$374,$B371,CT_tram!$G$300:$G$374)</f>
        <v>0</v>
      </c>
      <c r="M371" s="775">
        <f ca="1">SUMIF(CT_tram!$B$381:$G$471,$B371,CT_tram!$G$381:$G$471)</f>
        <v>0</v>
      </c>
      <c r="N371" s="775">
        <f ca="1">SUMIF(CT_tram!$B$478:$G$560,$B371,CT_tram!$G$478:$G$560)</f>
        <v>0</v>
      </c>
      <c r="O371" s="775">
        <f ca="1">SUMIF(CT_tram!$B$567:$G$653,$B371,CT_tram!$G$567:$G$653)</f>
        <v>0</v>
      </c>
      <c r="P371" s="775">
        <f ca="1">SUMIF(CT_tram!$B$661:$G$738,$B371,CT_tram!$G$661:$G$738)</f>
        <v>0</v>
      </c>
      <c r="Q371" s="775">
        <f ca="1">SUMIF(CT_tram!$B$745:$G$899,$B371,CT_tram!$G$745:$G$899)</f>
        <v>0</v>
      </c>
      <c r="R371" s="775">
        <f ca="1">SUMIF(CT_tram!$B$907:$G$995,$B371,CT_tram!$G$907:$G$995)</f>
        <v>0</v>
      </c>
      <c r="S371" s="775"/>
      <c r="T371" s="775">
        <f ca="1">SUMIF(CT_tram!$B$1004:$G$1097,B371,CT_tram!$G$1004:$G$1097)</f>
        <v>0</v>
      </c>
      <c r="U371" s="775"/>
      <c r="V371" s="775">
        <f ca="1">SUMIF(CT_tram!$B$1226:$G$1352,kl!B371,CT_tram!$G$1226:$G$1352)</f>
        <v>0</v>
      </c>
      <c r="W371" s="780">
        <f ca="1">SUMIF(CT_tram!$B$1105:$G$1219,kl!B371,CT_tram!$G$1105:$G$1219)</f>
        <v>0</v>
      </c>
      <c r="X371" s="775">
        <f ca="1">SUMIF(CT_tram!$B$1359:$G$1504,kl!B371,CT_tram!$G$1359:$G$1504)</f>
        <v>0</v>
      </c>
      <c r="Y371" s="775">
        <f ca="1">SUMIF(CT_tram!$B$1511:$G$1625,kl!B371,CT_tram!$G$1511:$G$1625)</f>
        <v>0</v>
      </c>
      <c r="Z371" s="775">
        <f ca="1">SUMIF(CT_tram!$B$1632:$G$2211,kl!B371,CT_tram!$G$1632:$G$2211)</f>
        <v>0</v>
      </c>
      <c r="AA371" s="775">
        <f ca="1">SUMIF(CT_tram!$B$2243:$G$2384,kl!B371,CT_tram!$G$2243:$G$2384)</f>
        <v>0</v>
      </c>
      <c r="AB371" s="775">
        <f ca="1">SUMIF(CT_tram!$B$2391:$G$2563,kl!B371,CT_tram!$G$2391:$G$2563)</f>
        <v>0</v>
      </c>
      <c r="AC371" s="775">
        <f ca="1">SUMIF(chitiet!$B$13:$N$2352,kl!$B371,chitiet!$I$13:$I$2352)</f>
        <v>0</v>
      </c>
      <c r="AD371" s="775">
        <f ca="1">SUMIF(chitiet!$B$13:$N$2352,kl!$B371,chitiet!$J$13:$J$2352)</f>
        <v>0</v>
      </c>
      <c r="AE371" s="775">
        <f ca="1">SUMIF(chitiet!$B$13:$N$2352,kl!$B371,chitiet!$K$13:$K$2352)</f>
        <v>0</v>
      </c>
      <c r="AF371" s="775">
        <f ca="1">SUMIF(chitiet!$B$13:$N$2352,kl!$B371,chitiet!$L$13:$L$2352)</f>
        <v>0</v>
      </c>
      <c r="AG371" s="775">
        <f ca="1">SUMIF(chitiet!$B$13:$N$2352,kl!$B371,chitiet!$M$13)</f>
        <v>0</v>
      </c>
      <c r="AH371" s="775">
        <f ca="1">SUMIF(chitiet!$B$13:$N$2352,kl!$B371,chitiet!$N$13:$N$2352)</f>
        <v>0</v>
      </c>
      <c r="AI371" s="775">
        <f ca="1">SUMIF(chitiet!$B$13:$N$2352,kl!$B371,chitiet!$O$13:$O$2352)</f>
        <v>0</v>
      </c>
      <c r="AJ371" s="775">
        <f ca="1">SUMIF('Cap ngam'!$B$631:$G$723,kl!$B371,'Cap ngam'!$G$631:$G$723)</f>
        <v>0</v>
      </c>
      <c r="AK371" s="775">
        <f ca="1">SUMIF('Cap ngam'!$B$403:$G$628,kl!$B371,'Cap ngam'!G$403:G$628)</f>
        <v>0</v>
      </c>
      <c r="AL371" s="775">
        <f ca="1">SUMIF('Cap ngam'!B$16:G$400,kl!$B371,'Cap ngam'!G$16:G$400)</f>
        <v>0</v>
      </c>
      <c r="AM371" s="776">
        <v>1200</v>
      </c>
      <c r="AN371" s="775">
        <f t="shared" ca="1" si="233"/>
        <v>0</v>
      </c>
      <c r="AO371" s="775">
        <f t="shared" ca="1" si="234"/>
        <v>0</v>
      </c>
      <c r="AP371" s="775">
        <f t="shared" ca="1" si="235"/>
        <v>0</v>
      </c>
      <c r="AQ371" s="775">
        <f t="shared" ca="1" si="236"/>
        <v>0</v>
      </c>
      <c r="AR371" s="775">
        <f t="shared" ca="1" si="237"/>
        <v>0</v>
      </c>
      <c r="AS371" s="775">
        <f t="shared" ca="1" si="238"/>
        <v>0</v>
      </c>
      <c r="AT371" s="775">
        <f t="shared" ca="1" si="239"/>
        <v>0</v>
      </c>
      <c r="AU371" s="775">
        <f t="shared" ca="1" si="240"/>
        <v>0</v>
      </c>
      <c r="AV371" s="775">
        <f t="shared" ca="1" si="241"/>
        <v>0</v>
      </c>
      <c r="AW371" s="775">
        <f t="shared" ca="1" si="242"/>
        <v>0</v>
      </c>
      <c r="AX371" s="775">
        <f t="shared" si="243"/>
        <v>0</v>
      </c>
      <c r="AY371" s="775">
        <f t="shared" ca="1" si="244"/>
        <v>0</v>
      </c>
      <c r="AZ371" s="775">
        <f t="shared" si="245"/>
        <v>0</v>
      </c>
      <c r="BA371" s="775">
        <f t="shared" ca="1" si="223"/>
        <v>0</v>
      </c>
      <c r="BB371" s="775">
        <f t="shared" ca="1" si="224"/>
        <v>0</v>
      </c>
      <c r="BC371" s="775">
        <f t="shared" ca="1" si="225"/>
        <v>0</v>
      </c>
      <c r="BD371" s="775">
        <f t="shared" ca="1" si="226"/>
        <v>0</v>
      </c>
      <c r="BE371" s="775">
        <f t="shared" ca="1" si="227"/>
        <v>0</v>
      </c>
      <c r="BF371" s="775">
        <f t="shared" ca="1" si="228"/>
        <v>0</v>
      </c>
      <c r="BG371" s="775">
        <f t="shared" ca="1" si="229"/>
        <v>0</v>
      </c>
      <c r="BH371" s="775">
        <f t="shared" ca="1" si="247"/>
        <v>0</v>
      </c>
      <c r="BI371" s="775">
        <f t="shared" ca="1" si="248"/>
        <v>0</v>
      </c>
      <c r="BJ371" s="775">
        <f t="shared" ca="1" si="249"/>
        <v>0</v>
      </c>
      <c r="BK371" s="775">
        <f t="shared" ca="1" si="250"/>
        <v>0</v>
      </c>
      <c r="BL371" s="775">
        <f t="shared" ca="1" si="251"/>
        <v>0</v>
      </c>
      <c r="BM371" s="775">
        <f t="shared" ca="1" si="252"/>
        <v>0</v>
      </c>
      <c r="BN371" s="775">
        <f t="shared" ca="1" si="253"/>
        <v>0</v>
      </c>
      <c r="BO371" s="775">
        <f t="shared" ca="1" si="254"/>
        <v>0</v>
      </c>
      <c r="BP371" s="775">
        <f t="shared" ca="1" si="255"/>
        <v>0</v>
      </c>
      <c r="BQ371" s="775">
        <f t="shared" ca="1" si="170"/>
        <v>0</v>
      </c>
      <c r="BR371" s="775">
        <f t="shared" ca="1" si="256"/>
        <v>0</v>
      </c>
    </row>
    <row r="372" spans="1:70">
      <c r="A372" s="767" t="str">
        <f t="shared" ca="1" si="219"/>
        <v/>
      </c>
      <c r="B372" s="767" t="s">
        <v>1012</v>
      </c>
      <c r="C372" s="188" t="str">
        <f ca="1">IF(F372=0,"",COUNTIF($F$78:$F372,"&gt;0"))</f>
        <v/>
      </c>
      <c r="D372" s="778" t="str">
        <f>VLOOKUP($B372,dongia1,DG!$C$5,)</f>
        <v>Trụ BTLT 12m F350 dự ứng lực</v>
      </c>
      <c r="E372" s="555" t="str">
        <f>VLOOKUP($B372,dongia1,DG!$D$5,)</f>
        <v>trụ</v>
      </c>
      <c r="F372" s="975">
        <f t="shared" ca="1" si="231"/>
        <v>0</v>
      </c>
      <c r="G372" s="976">
        <f t="shared" ca="1" si="257"/>
        <v>0</v>
      </c>
      <c r="H372" s="976">
        <f ca="1">SUMIF(CT_tram!$B$33:$G$3559,kl!B372,CT_tram!$G$33:$G$3559)</f>
        <v>0</v>
      </c>
      <c r="I372" s="775">
        <f ca="1">SUMIF(CT_tram!$B$34:$G$115,$B372,CT_tram!$G$34:$G$115)</f>
        <v>0</v>
      </c>
      <c r="J372" s="775">
        <f ca="1">SUMIF(CT_tram!$B$122:$G$204,$B372,CT_tram!$G$122:$G$204)</f>
        <v>0</v>
      </c>
      <c r="K372" s="775">
        <f ca="1">SUMIF(CT_tram!$B$211:$G$293,$B372,CT_tram!$G$211:$G$293)</f>
        <v>0</v>
      </c>
      <c r="L372" s="775">
        <f ca="1">SUMIF(CT_tram!$B$300:$G$374,$B372,CT_tram!$G$300:$G$374)</f>
        <v>0</v>
      </c>
      <c r="M372" s="775">
        <f ca="1">SUMIF(CT_tram!$B$381:$G$471,$B372,CT_tram!$G$381:$G$471)</f>
        <v>0</v>
      </c>
      <c r="N372" s="775">
        <f ca="1">SUMIF(CT_tram!$B$478:$G$560,$B372,CT_tram!$G$478:$G$560)</f>
        <v>0</v>
      </c>
      <c r="O372" s="775">
        <f ca="1">SUMIF(CT_tram!$B$567:$G$653,$B372,CT_tram!$G$567:$G$653)</f>
        <v>0</v>
      </c>
      <c r="P372" s="775">
        <f ca="1">SUMIF(CT_tram!$B$661:$G$738,$B372,CT_tram!$G$661:$G$738)</f>
        <v>0</v>
      </c>
      <c r="Q372" s="775">
        <f ca="1">SUMIF(CT_tram!$B$745:$G$899,$B372,CT_tram!$G$745:$G$899)</f>
        <v>0</v>
      </c>
      <c r="R372" s="775">
        <f ca="1">SUMIF(CT_tram!$B$907:$G$995,$B372,CT_tram!$G$907:$G$995)</f>
        <v>0</v>
      </c>
      <c r="S372" s="775"/>
      <c r="T372" s="775">
        <f ca="1">SUMIF(CT_tram!$B$1004:$G$1097,B372,CT_tram!$G$1004:$G$1097)</f>
        <v>0</v>
      </c>
      <c r="U372" s="775"/>
      <c r="V372" s="775">
        <f ca="1">SUMIF(CT_tram!$B$1226:$G$1352,kl!B372,CT_tram!$G$1226:$G$1352)</f>
        <v>0</v>
      </c>
      <c r="W372" s="780">
        <f ca="1">SUMIF(CT_tram!$B$1105:$G$1219,kl!B372,CT_tram!$G$1105:$G$1219)</f>
        <v>0</v>
      </c>
      <c r="X372" s="775">
        <f ca="1">SUMIF(CT_tram!$B$1359:$G$1504,kl!B372,CT_tram!$G$1359:$G$1504)</f>
        <v>0</v>
      </c>
      <c r="Y372" s="775">
        <f ca="1">SUMIF(CT_tram!$B$1511:$G$1625,kl!B372,CT_tram!$G$1511:$G$1625)</f>
        <v>0</v>
      </c>
      <c r="Z372" s="775">
        <f ca="1">SUMIF(CT_tram!$B$1632:$G$2211,kl!B372,CT_tram!$G$1632:$G$2211)</f>
        <v>0</v>
      </c>
      <c r="AA372" s="775">
        <f ca="1">SUMIF(CT_tram!$B$2243:$G$2384,kl!B372,CT_tram!$G$2243:$G$2384)</f>
        <v>0</v>
      </c>
      <c r="AB372" s="775">
        <f ca="1">SUMIF(CT_tram!$B$2391:$G$2563,kl!B372,CT_tram!$G$2391:$G$2563)</f>
        <v>0</v>
      </c>
      <c r="AC372" s="775">
        <f ca="1">SUMIF(chitiet!$B$13:$N$2352,kl!$B372,chitiet!$I$13:$I$2352)</f>
        <v>0</v>
      </c>
      <c r="AD372" s="775">
        <f ca="1">SUMIF(chitiet!$B$13:$N$2352,kl!$B372,chitiet!$J$13:$J$2352)</f>
        <v>0</v>
      </c>
      <c r="AE372" s="775">
        <f ca="1">SUMIF(chitiet!$B$13:$N$2352,kl!$B372,chitiet!$K$13:$K$2352)</f>
        <v>0</v>
      </c>
      <c r="AF372" s="775">
        <f ca="1">SUMIF(chitiet!$B$13:$N$2352,kl!$B372,chitiet!$L$13:$L$2352)</f>
        <v>0</v>
      </c>
      <c r="AG372" s="775">
        <f ca="1">SUMIF(chitiet!$B$13:$N$2352,kl!$B372,chitiet!$M$13)</f>
        <v>0</v>
      </c>
      <c r="AH372" s="775">
        <f ca="1">SUMIF(chitiet!$B$13:$N$2352,kl!$B372,chitiet!$N$13:$N$2352)</f>
        <v>0</v>
      </c>
      <c r="AI372" s="775">
        <f ca="1">SUMIF(chitiet!$B$13:$N$2352,kl!$B372,chitiet!$O$13:$O$2352)</f>
        <v>0</v>
      </c>
      <c r="AJ372" s="775">
        <f ca="1">SUMIF('Cap ngam'!$B$631:$G$723,kl!$B372,'Cap ngam'!$G$631:$G$723)</f>
        <v>0</v>
      </c>
      <c r="AK372" s="775">
        <f ca="1">SUMIF('Cap ngam'!$B$403:$G$628,kl!$B372,'Cap ngam'!G$403:G$628)</f>
        <v>0</v>
      </c>
      <c r="AL372" s="775">
        <f ca="1">SUMIF('Cap ngam'!B$16:G$400,kl!$B372,'Cap ngam'!G$16:G$400)</f>
        <v>0</v>
      </c>
      <c r="AM372" s="776">
        <v>1200</v>
      </c>
      <c r="AN372" s="775">
        <f t="shared" ref="AN372:BP372" ca="1" si="258">I372*$AM372</f>
        <v>0</v>
      </c>
      <c r="AO372" s="775">
        <f t="shared" ca="1" si="258"/>
        <v>0</v>
      </c>
      <c r="AP372" s="775">
        <f t="shared" ca="1" si="258"/>
        <v>0</v>
      </c>
      <c r="AQ372" s="775">
        <f t="shared" ca="1" si="258"/>
        <v>0</v>
      </c>
      <c r="AR372" s="775">
        <f t="shared" ca="1" si="258"/>
        <v>0</v>
      </c>
      <c r="AS372" s="775">
        <f t="shared" ca="1" si="258"/>
        <v>0</v>
      </c>
      <c r="AT372" s="775">
        <f t="shared" ca="1" si="258"/>
        <v>0</v>
      </c>
      <c r="AU372" s="775">
        <f t="shared" ca="1" si="258"/>
        <v>0</v>
      </c>
      <c r="AV372" s="775">
        <f t="shared" ca="1" si="258"/>
        <v>0</v>
      </c>
      <c r="AW372" s="775">
        <f t="shared" ca="1" si="258"/>
        <v>0</v>
      </c>
      <c r="AX372" s="775">
        <f t="shared" si="258"/>
        <v>0</v>
      </c>
      <c r="AY372" s="775">
        <f t="shared" ca="1" si="258"/>
        <v>0</v>
      </c>
      <c r="AZ372" s="775">
        <f t="shared" si="258"/>
        <v>0</v>
      </c>
      <c r="BA372" s="775">
        <f t="shared" ca="1" si="258"/>
        <v>0</v>
      </c>
      <c r="BB372" s="775">
        <f t="shared" ca="1" si="258"/>
        <v>0</v>
      </c>
      <c r="BC372" s="775">
        <f t="shared" ca="1" si="258"/>
        <v>0</v>
      </c>
      <c r="BD372" s="775">
        <f t="shared" ca="1" si="258"/>
        <v>0</v>
      </c>
      <c r="BE372" s="775">
        <f t="shared" ca="1" si="258"/>
        <v>0</v>
      </c>
      <c r="BF372" s="775">
        <f t="shared" ca="1" si="258"/>
        <v>0</v>
      </c>
      <c r="BG372" s="775">
        <f t="shared" ca="1" si="258"/>
        <v>0</v>
      </c>
      <c r="BH372" s="775">
        <f t="shared" ca="1" si="258"/>
        <v>0</v>
      </c>
      <c r="BI372" s="775">
        <f t="shared" ca="1" si="258"/>
        <v>0</v>
      </c>
      <c r="BJ372" s="775">
        <f t="shared" ca="1" si="258"/>
        <v>0</v>
      </c>
      <c r="BK372" s="775">
        <f t="shared" ca="1" si="258"/>
        <v>0</v>
      </c>
      <c r="BL372" s="775">
        <f t="shared" ca="1" si="258"/>
        <v>0</v>
      </c>
      <c r="BM372" s="775">
        <f t="shared" ca="1" si="258"/>
        <v>0</v>
      </c>
      <c r="BN372" s="775">
        <f t="shared" ca="1" si="258"/>
        <v>0</v>
      </c>
      <c r="BO372" s="775">
        <f t="shared" ca="1" si="258"/>
        <v>0</v>
      </c>
      <c r="BP372" s="775">
        <f t="shared" ca="1" si="258"/>
        <v>0</v>
      </c>
      <c r="BQ372" s="775">
        <f t="shared" ca="1" si="170"/>
        <v>0</v>
      </c>
      <c r="BR372" s="775">
        <f t="shared" ca="1" si="256"/>
        <v>0</v>
      </c>
    </row>
    <row r="373" spans="1:70">
      <c r="A373" s="767" t="str">
        <f ca="1">IF(F373&lt;&gt;0,"X","")</f>
        <v/>
      </c>
      <c r="B373" s="767" t="s">
        <v>4618</v>
      </c>
      <c r="C373" s="188" t="str">
        <f ca="1">IF(F373=0,"",COUNTIF($F$78:$F373,"&gt;0"))</f>
        <v/>
      </c>
      <c r="D373" s="778" t="str">
        <f>VLOOKUP($B373,dongia1,DG!$C$5,)</f>
        <v>Trụ BTLT 12m F540 dự ứng lực, K=2</v>
      </c>
      <c r="E373" s="555" t="str">
        <f>VLOOKUP($B373,dongia1,DG!$D$5,)</f>
        <v>trụ</v>
      </c>
      <c r="F373" s="975">
        <f ca="1">G373+H373</f>
        <v>0</v>
      </c>
      <c r="G373" s="976">
        <f t="shared" ca="1" si="257"/>
        <v>0</v>
      </c>
      <c r="H373" s="976">
        <f ca="1">SUMIF(CT_tram!$B$33:$G$3559,kl!B373,CT_tram!$G$33:$G$3559)</f>
        <v>0</v>
      </c>
      <c r="I373" s="775">
        <f ca="1">SUMIF(CT_tram!$B$34:$G$115,$B373,CT_tram!$G$34:$G$115)</f>
        <v>0</v>
      </c>
      <c r="J373" s="775">
        <f ca="1">SUMIF(CT_tram!$B$122:$G$204,$B373,CT_tram!$G$122:$G$204)</f>
        <v>0</v>
      </c>
      <c r="K373" s="775">
        <f ca="1">SUMIF(CT_tram!$B$211:$G$293,$B373,CT_tram!$G$211:$G$293)</f>
        <v>0</v>
      </c>
      <c r="L373" s="775">
        <f ca="1">SUMIF(CT_tram!$B$300:$G$374,$B373,CT_tram!$G$300:$G$374)</f>
        <v>0</v>
      </c>
      <c r="M373" s="775">
        <f ca="1">SUMIF(CT_tram!$B$381:$G$471,$B373,CT_tram!$G$381:$G$471)</f>
        <v>0</v>
      </c>
      <c r="N373" s="775">
        <f ca="1">SUMIF(CT_tram!$B$478:$G$560,$B373,CT_tram!$G$478:$G$560)</f>
        <v>0</v>
      </c>
      <c r="O373" s="775">
        <f ca="1">SUMIF(CT_tram!$B$567:$G$653,$B373,CT_tram!$G$567:$G$653)</f>
        <v>0</v>
      </c>
      <c r="P373" s="775">
        <f ca="1">SUMIF(CT_tram!$B$661:$G$738,$B373,CT_tram!$G$661:$G$738)</f>
        <v>0</v>
      </c>
      <c r="Q373" s="775">
        <f ca="1">SUMIF(CT_tram!$B$745:$G$899,$B373,CT_tram!$G$745:$G$899)</f>
        <v>0</v>
      </c>
      <c r="R373" s="775">
        <f ca="1">SUMIF(CT_tram!$B$907:$G$995,$B373,CT_tram!$G$907:$G$995)</f>
        <v>0</v>
      </c>
      <c r="S373" s="775"/>
      <c r="T373" s="775">
        <f ca="1">SUMIF(CT_tram!$B$1004:$G$1097,B373,CT_tram!$G$1004:$G$1097)</f>
        <v>0</v>
      </c>
      <c r="U373" s="775"/>
      <c r="V373" s="775">
        <f ca="1">SUMIF(CT_tram!$B$1226:$G$1352,kl!B373,CT_tram!$G$1226:$G$1352)</f>
        <v>0</v>
      </c>
      <c r="W373" s="780">
        <f ca="1">SUMIF(CT_tram!$B$1105:$G$1219,kl!B373,CT_tram!$G$1105:$G$1219)</f>
        <v>0</v>
      </c>
      <c r="X373" s="775">
        <f ca="1">SUMIF(CT_tram!$B$1359:$G$1504,kl!B373,CT_tram!$G$1359:$G$1504)</f>
        <v>0</v>
      </c>
      <c r="Y373" s="775">
        <f ca="1">SUMIF(CT_tram!$B$1511:$G$1625,kl!B373,CT_tram!$G$1511:$G$1625)</f>
        <v>0</v>
      </c>
      <c r="Z373" s="775">
        <f ca="1">SUMIF(CT_tram!$B$1632:$G$2211,kl!B373,CT_tram!$G$1632:$G$2211)</f>
        <v>0</v>
      </c>
      <c r="AA373" s="775">
        <f ca="1">SUMIF(CT_tram!$B$2243:$G$2384,kl!B373,CT_tram!$G$2243:$G$2384)</f>
        <v>0</v>
      </c>
      <c r="AB373" s="775">
        <f ca="1">SUMIF(CT_tram!$B$2391:$G$2563,kl!B373,CT_tram!$G$2391:$G$2563)</f>
        <v>0</v>
      </c>
      <c r="AC373" s="775">
        <f ca="1">SUMIF(chitiet!$B$13:$N$2352,kl!$B373,chitiet!$I$13:$I$2352)</f>
        <v>0</v>
      </c>
      <c r="AD373" s="775">
        <f ca="1">SUMIF(chitiet!$B$13:$N$2352,kl!$B373,chitiet!$J$13:$J$2352)</f>
        <v>0</v>
      </c>
      <c r="AE373" s="775">
        <f ca="1">SUMIF(chitiet!$B$13:$N$2352,kl!$B373,chitiet!$K$13:$K$2352)</f>
        <v>0</v>
      </c>
      <c r="AF373" s="775">
        <f ca="1">SUMIF(chitiet!$B$13:$N$2352,kl!$B373,chitiet!$L$13:$L$2352)</f>
        <v>0</v>
      </c>
      <c r="AG373" s="775">
        <f ca="1">SUMIF(chitiet!$B$13:$N$2352,kl!$B373,chitiet!$M$13)</f>
        <v>0</v>
      </c>
      <c r="AH373" s="775">
        <f ca="1">SUMIF(chitiet!$B$13:$N$2352,kl!$B373,chitiet!$N$13:$N$2352)</f>
        <v>0</v>
      </c>
      <c r="AI373" s="775">
        <f ca="1">SUMIF(chitiet!$B$13:$N$2352,kl!$B373,chitiet!$O$13:$O$2352)</f>
        <v>0</v>
      </c>
      <c r="AJ373" s="775">
        <f ca="1">SUMIF('Cap ngam'!$B$631:$G$723,kl!$B373,'Cap ngam'!$G$631:$G$723)</f>
        <v>0</v>
      </c>
      <c r="AK373" s="775">
        <f ca="1">SUMIF('Cap ngam'!$B$403:$G$628,kl!$B373,'Cap ngam'!G$403:G$628)</f>
        <v>0</v>
      </c>
      <c r="AL373" s="775">
        <f ca="1">SUMIF('Cap ngam'!B$16:G$400,kl!$B373,'Cap ngam'!G$16:G$400)</f>
        <v>0</v>
      </c>
      <c r="AM373" s="776">
        <v>1201</v>
      </c>
      <c r="AN373" s="775">
        <f t="shared" ca="1" si="233"/>
        <v>0</v>
      </c>
      <c r="AO373" s="775">
        <f t="shared" ca="1" si="234"/>
        <v>0</v>
      </c>
      <c r="AP373" s="775">
        <f t="shared" ca="1" si="235"/>
        <v>0</v>
      </c>
      <c r="AQ373" s="775">
        <f t="shared" ca="1" si="236"/>
        <v>0</v>
      </c>
      <c r="AR373" s="775">
        <f t="shared" ca="1" si="237"/>
        <v>0</v>
      </c>
      <c r="AS373" s="775">
        <f t="shared" ca="1" si="238"/>
        <v>0</v>
      </c>
      <c r="AT373" s="775">
        <f t="shared" ca="1" si="239"/>
        <v>0</v>
      </c>
      <c r="AU373" s="775">
        <f t="shared" ca="1" si="240"/>
        <v>0</v>
      </c>
      <c r="AV373" s="775">
        <f t="shared" ca="1" si="241"/>
        <v>0</v>
      </c>
      <c r="AW373" s="775">
        <f t="shared" ca="1" si="242"/>
        <v>0</v>
      </c>
      <c r="AX373" s="775">
        <f t="shared" si="243"/>
        <v>0</v>
      </c>
      <c r="AY373" s="775">
        <f t="shared" ca="1" si="244"/>
        <v>0</v>
      </c>
      <c r="AZ373" s="775">
        <f t="shared" si="245"/>
        <v>0</v>
      </c>
      <c r="BA373" s="775">
        <f t="shared" ca="1" si="223"/>
        <v>0</v>
      </c>
      <c r="BB373" s="775">
        <f t="shared" ca="1" si="224"/>
        <v>0</v>
      </c>
      <c r="BC373" s="775">
        <f t="shared" ca="1" si="225"/>
        <v>0</v>
      </c>
      <c r="BD373" s="775">
        <f t="shared" ca="1" si="226"/>
        <v>0</v>
      </c>
      <c r="BE373" s="775">
        <f t="shared" ca="1" si="227"/>
        <v>0</v>
      </c>
      <c r="BF373" s="775">
        <f t="shared" ca="1" si="228"/>
        <v>0</v>
      </c>
      <c r="BG373" s="775">
        <f t="shared" ca="1" si="229"/>
        <v>0</v>
      </c>
      <c r="BH373" s="775">
        <f t="shared" ca="1" si="247"/>
        <v>0</v>
      </c>
      <c r="BI373" s="775">
        <f t="shared" ca="1" si="248"/>
        <v>0</v>
      </c>
      <c r="BJ373" s="775">
        <f t="shared" ca="1" si="249"/>
        <v>0</v>
      </c>
      <c r="BK373" s="775">
        <f t="shared" ca="1" si="250"/>
        <v>0</v>
      </c>
      <c r="BL373" s="775">
        <f t="shared" ca="1" si="251"/>
        <v>0</v>
      </c>
      <c r="BM373" s="775">
        <f t="shared" ca="1" si="252"/>
        <v>0</v>
      </c>
      <c r="BN373" s="775">
        <f t="shared" ca="1" si="253"/>
        <v>0</v>
      </c>
      <c r="BO373" s="775">
        <f t="shared" ca="1" si="254"/>
        <v>0</v>
      </c>
      <c r="BP373" s="775">
        <f t="shared" ca="1" si="255"/>
        <v>0</v>
      </c>
      <c r="BQ373" s="775">
        <f t="shared" ca="1" si="170"/>
        <v>0</v>
      </c>
      <c r="BR373" s="775">
        <f t="shared" ca="1" si="256"/>
        <v>0</v>
      </c>
    </row>
    <row r="374" spans="1:70" s="979" customFormat="1" ht="27.6">
      <c r="A374" s="979" t="str">
        <f ca="1">IF(F374&lt;&gt;0,"X","")</f>
        <v/>
      </c>
      <c r="B374" s="979" t="s">
        <v>4803</v>
      </c>
      <c r="C374" s="590" t="str">
        <f ca="1">IF(F374=0,"",COUNTIF($F$78:$F374,"&gt;0"))</f>
        <v/>
      </c>
      <c r="D374" s="980" t="str">
        <f>VLOOKUP($B374,dongia1,DG!$C$5,)</f>
        <v>Trụ BTLT 12m F540 dự ứng lực có dây tiếp địa trong thân trụ</v>
      </c>
      <c r="E374" s="700" t="str">
        <f>VLOOKUP($B374,dongia1,DG!$D$5,)</f>
        <v>trụ</v>
      </c>
      <c r="F374" s="981">
        <f ca="1">G374+H374</f>
        <v>0</v>
      </c>
      <c r="G374" s="982">
        <f t="shared" ca="1" si="257"/>
        <v>0</v>
      </c>
      <c r="H374" s="982">
        <f ca="1">SUMIF(CT_tram!$B$33:$G$3559,kl!B374,CT_tram!$G$33:$G$3559)</f>
        <v>0</v>
      </c>
      <c r="I374" s="983">
        <f ca="1">SUMIF(CT_tram!$B$34:$G$115,$B374,CT_tram!$G$34:$G$115)</f>
        <v>0</v>
      </c>
      <c r="J374" s="983">
        <f ca="1">SUMIF(CT_tram!$B$122:$G$204,$B374,CT_tram!$G$122:$G$204)</f>
        <v>0</v>
      </c>
      <c r="K374" s="983">
        <f ca="1">SUMIF(CT_tram!$B$211:$G$293,$B374,CT_tram!$G$211:$G$293)</f>
        <v>0</v>
      </c>
      <c r="L374" s="983">
        <f ca="1">SUMIF(CT_tram!$B$300:$G$374,$B374,CT_tram!$G$300:$G$374)</f>
        <v>0</v>
      </c>
      <c r="M374" s="983">
        <f ca="1">SUMIF(CT_tram!$B$381:$G$471,$B374,CT_tram!$G$381:$G$471)</f>
        <v>0</v>
      </c>
      <c r="N374" s="983">
        <f ca="1">SUMIF(CT_tram!$B$478:$G$560,$B374,CT_tram!$G$478:$G$560)</f>
        <v>0</v>
      </c>
      <c r="O374" s="983">
        <f ca="1">SUMIF(CT_tram!$B$567:$G$653,$B374,CT_tram!$G$567:$G$653)</f>
        <v>0</v>
      </c>
      <c r="P374" s="983">
        <f ca="1">SUMIF(CT_tram!$B$661:$G$738,$B374,CT_tram!$G$661:$G$738)</f>
        <v>0</v>
      </c>
      <c r="Q374" s="983">
        <f ca="1">SUMIF(CT_tram!$B$745:$G$899,$B374,CT_tram!$G$745:$G$899)</f>
        <v>0</v>
      </c>
      <c r="R374" s="983">
        <f ca="1">SUMIF(CT_tram!$B$907:$G$995,$B374,CT_tram!$G$907:$G$995)</f>
        <v>0</v>
      </c>
      <c r="S374" s="983"/>
      <c r="T374" s="983">
        <f ca="1">SUMIF(CT_tram!$B$1004:$G$1097,B374,CT_tram!$G$1004:$G$1097)</f>
        <v>0</v>
      </c>
      <c r="U374" s="983"/>
      <c r="V374" s="983">
        <f ca="1">SUMIF(CT_tram!$B$1226:$G$1352,kl!B374,CT_tram!$G$1226:$G$1352)</f>
        <v>0</v>
      </c>
      <c r="W374" s="984">
        <f ca="1">SUMIF(CT_tram!$B$1105:$G$1219,kl!B374,CT_tram!$G$1105:$G$1219)</f>
        <v>0</v>
      </c>
      <c r="X374" s="983">
        <f ca="1">SUMIF(CT_tram!$B$1359:$G$1504,kl!B374,CT_tram!$G$1359:$G$1504)</f>
        <v>0</v>
      </c>
      <c r="Y374" s="983">
        <f ca="1">SUMIF(CT_tram!$B$1511:$G$1625,kl!B374,CT_tram!$G$1511:$G$1625)</f>
        <v>0</v>
      </c>
      <c r="Z374" s="983">
        <f ca="1">SUMIF(CT_tram!$B$1632:$G$2211,kl!B374,CT_tram!$G$1632:$G$2211)</f>
        <v>0</v>
      </c>
      <c r="AA374" s="983">
        <f ca="1">SUMIF(CT_tram!$B$2243:$G$2384,kl!B374,CT_tram!$G$2243:$G$2384)</f>
        <v>0</v>
      </c>
      <c r="AB374" s="983">
        <f ca="1">SUMIF(CT_tram!$B$2391:$G$2563,kl!B374,CT_tram!$G$2391:$G$2563)</f>
        <v>0</v>
      </c>
      <c r="AC374" s="983">
        <f ca="1">SUMIF(chitiet!$B$13:$N$2352,kl!$B374,chitiet!$I$13:$I$2352)</f>
        <v>0</v>
      </c>
      <c r="AD374" s="983">
        <f ca="1">SUMIF(chitiet!$B$13:$N$2352,kl!$B374,chitiet!$J$13:$J$2352)</f>
        <v>0</v>
      </c>
      <c r="AE374" s="983">
        <f ca="1">SUMIF(chitiet!$B$13:$N$2352,kl!$B374,chitiet!$K$13:$K$2352)</f>
        <v>0</v>
      </c>
      <c r="AF374" s="983">
        <f ca="1">SUMIF(chitiet!$B$13:$N$2352,kl!$B374,chitiet!$L$13:$L$2352)</f>
        <v>0</v>
      </c>
      <c r="AG374" s="983">
        <f ca="1">SUMIF(chitiet!$B$13:$N$2352,kl!$B374,chitiet!$M$13)</f>
        <v>0</v>
      </c>
      <c r="AH374" s="983">
        <f ca="1">SUMIF(chitiet!$B$13:$N$2352,kl!$B374,chitiet!$N$13:$N$2352)</f>
        <v>0</v>
      </c>
      <c r="AI374" s="983">
        <f ca="1">SUMIF(chitiet!$B$13:$N$2352,kl!$B374,chitiet!$O$13:$O$2352)</f>
        <v>0</v>
      </c>
      <c r="AJ374" s="983">
        <f ca="1">SUMIF('Cap ngam'!$B$631:$G$723,kl!$B374,'Cap ngam'!$G$631:$G$723)</f>
        <v>0</v>
      </c>
      <c r="AK374" s="983">
        <f ca="1">SUMIF('Cap ngam'!$B$403:$G$628,kl!$B374,'Cap ngam'!G$403:G$628)</f>
        <v>0</v>
      </c>
      <c r="AL374" s="983">
        <f ca="1">SUMIF('Cap ngam'!B$16:G$400,kl!$B374,'Cap ngam'!G$16:G$400)</f>
        <v>0</v>
      </c>
      <c r="AM374" s="985">
        <v>1201</v>
      </c>
      <c r="AN374" s="983">
        <f t="shared" ref="AN374:BP374" ca="1" si="259">I374*$AM374</f>
        <v>0</v>
      </c>
      <c r="AO374" s="983">
        <f t="shared" ca="1" si="259"/>
        <v>0</v>
      </c>
      <c r="AP374" s="983">
        <f t="shared" ca="1" si="259"/>
        <v>0</v>
      </c>
      <c r="AQ374" s="983">
        <f t="shared" ca="1" si="259"/>
        <v>0</v>
      </c>
      <c r="AR374" s="983">
        <f t="shared" ca="1" si="259"/>
        <v>0</v>
      </c>
      <c r="AS374" s="983">
        <f t="shared" ca="1" si="259"/>
        <v>0</v>
      </c>
      <c r="AT374" s="983">
        <f t="shared" ca="1" si="259"/>
        <v>0</v>
      </c>
      <c r="AU374" s="983">
        <f t="shared" ca="1" si="259"/>
        <v>0</v>
      </c>
      <c r="AV374" s="983">
        <f t="shared" ca="1" si="259"/>
        <v>0</v>
      </c>
      <c r="AW374" s="983">
        <f t="shared" ca="1" si="259"/>
        <v>0</v>
      </c>
      <c r="AX374" s="983">
        <f t="shared" si="259"/>
        <v>0</v>
      </c>
      <c r="AY374" s="983">
        <f t="shared" ca="1" si="259"/>
        <v>0</v>
      </c>
      <c r="AZ374" s="983">
        <f t="shared" si="259"/>
        <v>0</v>
      </c>
      <c r="BA374" s="983">
        <f t="shared" ca="1" si="259"/>
        <v>0</v>
      </c>
      <c r="BB374" s="983">
        <f t="shared" ca="1" si="259"/>
        <v>0</v>
      </c>
      <c r="BC374" s="983">
        <f t="shared" ca="1" si="259"/>
        <v>0</v>
      </c>
      <c r="BD374" s="983">
        <f t="shared" ca="1" si="259"/>
        <v>0</v>
      </c>
      <c r="BE374" s="983">
        <f t="shared" ca="1" si="259"/>
        <v>0</v>
      </c>
      <c r="BF374" s="983">
        <f t="shared" ca="1" si="259"/>
        <v>0</v>
      </c>
      <c r="BG374" s="983">
        <f t="shared" ca="1" si="259"/>
        <v>0</v>
      </c>
      <c r="BH374" s="983">
        <f t="shared" ca="1" si="259"/>
        <v>0</v>
      </c>
      <c r="BI374" s="983">
        <f t="shared" ca="1" si="259"/>
        <v>0</v>
      </c>
      <c r="BJ374" s="983">
        <f t="shared" ca="1" si="259"/>
        <v>0</v>
      </c>
      <c r="BK374" s="983">
        <f t="shared" ca="1" si="259"/>
        <v>0</v>
      </c>
      <c r="BL374" s="983">
        <f t="shared" ca="1" si="259"/>
        <v>0</v>
      </c>
      <c r="BM374" s="983">
        <f t="shared" ca="1" si="259"/>
        <v>0</v>
      </c>
      <c r="BN374" s="983">
        <f t="shared" ca="1" si="259"/>
        <v>0</v>
      </c>
      <c r="BO374" s="983">
        <f t="shared" ca="1" si="259"/>
        <v>0</v>
      </c>
      <c r="BP374" s="983">
        <f t="shared" ca="1" si="259"/>
        <v>0</v>
      </c>
      <c r="BQ374" s="983">
        <f t="shared" ca="1" si="170"/>
        <v>0</v>
      </c>
      <c r="BR374" s="983">
        <f t="shared" ca="1" si="256"/>
        <v>0</v>
      </c>
    </row>
    <row r="375" spans="1:70">
      <c r="A375" s="767" t="str">
        <f t="shared" ca="1" si="219"/>
        <v/>
      </c>
      <c r="B375" s="767" t="s">
        <v>1275</v>
      </c>
      <c r="C375" s="188" t="str">
        <f ca="1">IF(F375=0,"",COUNTIF($F$78:$F375,"&gt;0"))</f>
        <v/>
      </c>
      <c r="D375" s="778" t="str">
        <f>VLOOKUP($B375,dongia1,DG!$C$5,)</f>
        <v>Trụ BTLT 14m F650 dự ứng lực</v>
      </c>
      <c r="E375" s="555" t="str">
        <f>VLOOKUP($B375,dongia1,DG!$D$5,)</f>
        <v>trụ</v>
      </c>
      <c r="F375" s="975">
        <f t="shared" ref="F375:F384" ca="1" si="260">G375+H375</f>
        <v>0</v>
      </c>
      <c r="G375" s="976">
        <f t="shared" ca="1" si="257"/>
        <v>0</v>
      </c>
      <c r="H375" s="976">
        <f ca="1">SUMIF(CT_tram!$B$33:$G$3559,kl!B375,CT_tram!$G$33:$G$3559)</f>
        <v>0</v>
      </c>
      <c r="I375" s="775">
        <f ca="1">SUMIF(CT_tram!$B$34:$G$115,$B375,CT_tram!$G$34:$G$115)</f>
        <v>0</v>
      </c>
      <c r="J375" s="775">
        <f ca="1">SUMIF(CT_tram!$B$122:$G$204,$B375,CT_tram!$G$122:$G$204)</f>
        <v>0</v>
      </c>
      <c r="K375" s="775">
        <f ca="1">SUMIF(CT_tram!$B$211:$G$293,$B375,CT_tram!$G$211:$G$293)</f>
        <v>0</v>
      </c>
      <c r="L375" s="775">
        <f ca="1">SUMIF(CT_tram!$B$300:$G$374,$B375,CT_tram!$G$300:$G$374)</f>
        <v>0</v>
      </c>
      <c r="M375" s="775">
        <f ca="1">SUMIF(CT_tram!$B$381:$G$471,$B375,CT_tram!$G$381:$G$471)</f>
        <v>0</v>
      </c>
      <c r="N375" s="775">
        <f ca="1">SUMIF(CT_tram!$B$478:$G$560,$B375,CT_tram!$G$478:$G$560)</f>
        <v>0</v>
      </c>
      <c r="O375" s="775">
        <f ca="1">SUMIF(CT_tram!$B$567:$G$653,$B375,CT_tram!$G$567:$G$653)</f>
        <v>0</v>
      </c>
      <c r="P375" s="775">
        <f ca="1">SUMIF(CT_tram!$B$661:$G$738,$B375,CT_tram!$G$661:$G$738)</f>
        <v>0</v>
      </c>
      <c r="Q375" s="775">
        <f ca="1">SUMIF(CT_tram!$B$745:$G$899,$B375,CT_tram!$G$745:$G$899)</f>
        <v>0</v>
      </c>
      <c r="R375" s="775">
        <f ca="1">SUMIF(CT_tram!$B$907:$G$995,$B375,CT_tram!$G$907:$G$995)</f>
        <v>0</v>
      </c>
      <c r="S375" s="775"/>
      <c r="T375" s="775">
        <f ca="1">SUMIF(CT_tram!$B$1004:$G$1097,B375,CT_tram!$G$1004:$G$1097)</f>
        <v>0</v>
      </c>
      <c r="U375" s="775"/>
      <c r="V375" s="775">
        <f ca="1">SUMIF(CT_tram!$B$1226:$G$1352,kl!B375,CT_tram!$G$1226:$G$1352)</f>
        <v>0</v>
      </c>
      <c r="W375" s="780">
        <f ca="1">SUMIF(CT_tram!$B$1105:$G$1219,kl!B375,CT_tram!$G$1105:$G$1219)</f>
        <v>0</v>
      </c>
      <c r="X375" s="775">
        <f ca="1">SUMIF(CT_tram!$B$1359:$G$1504,kl!B375,CT_tram!$G$1359:$G$1504)</f>
        <v>0</v>
      </c>
      <c r="Y375" s="775">
        <f ca="1">SUMIF(CT_tram!$B$1511:$G$1625,kl!B375,CT_tram!$G$1511:$G$1625)</f>
        <v>0</v>
      </c>
      <c r="Z375" s="775">
        <f ca="1">SUMIF(CT_tram!$B$1632:$G$2211,kl!B375,CT_tram!$G$1632:$G$2211)</f>
        <v>0</v>
      </c>
      <c r="AA375" s="775">
        <f ca="1">SUMIF(CT_tram!$B$2243:$G$2384,kl!B375,CT_tram!$G$2243:$G$2384)</f>
        <v>0</v>
      </c>
      <c r="AB375" s="775">
        <f ca="1">SUMIF(CT_tram!$B$2391:$G$2563,kl!B375,CT_tram!$G$2391:$G$2563)</f>
        <v>0</v>
      </c>
      <c r="AC375" s="775">
        <f ca="1">SUMIF(chitiet!$B$13:$N$2352,kl!$B375,chitiet!$I$13:$I$2352)</f>
        <v>0</v>
      </c>
      <c r="AD375" s="775">
        <f ca="1">SUMIF(chitiet!$B$13:$N$2352,kl!$B375,chitiet!$J$13:$J$2352)</f>
        <v>0</v>
      </c>
      <c r="AE375" s="775">
        <f ca="1">SUMIF(chitiet!$B$13:$N$2352,kl!$B375,chitiet!$K$13:$K$2352)</f>
        <v>0</v>
      </c>
      <c r="AF375" s="775">
        <f ca="1">SUMIF(chitiet!$B$13:$N$2352,kl!$B375,chitiet!$L$13:$L$2352)</f>
        <v>0</v>
      </c>
      <c r="AG375" s="775">
        <f ca="1">SUMIF(chitiet!$B$13:$N$2352,kl!$B375,chitiet!$M$13)</f>
        <v>0</v>
      </c>
      <c r="AH375" s="983">
        <f ca="1">SUMIF(chitiet!$B$13:$N$2352,kl!$B375,chitiet!$N$13:$N$2352)</f>
        <v>0</v>
      </c>
      <c r="AI375" s="775">
        <f ca="1">SUMIF(chitiet!$B$13:$N$2352,kl!$B375,chitiet!$O$13:$O$2352)</f>
        <v>0</v>
      </c>
      <c r="AJ375" s="775">
        <f ca="1">SUMIF('Cap ngam'!$B$631:$G$723,kl!$B375,'Cap ngam'!$G$631:$G$723)</f>
        <v>0</v>
      </c>
      <c r="AK375" s="775">
        <f ca="1">SUMIF('Cap ngam'!$B$403:$G$628,kl!$B375,'Cap ngam'!G$403:G$628)</f>
        <v>0</v>
      </c>
      <c r="AL375" s="775">
        <f ca="1">SUMIF('Cap ngam'!B$16:G$400,kl!$B375,'Cap ngam'!G$16:G$400)</f>
        <v>0</v>
      </c>
      <c r="AM375" s="776">
        <v>1490</v>
      </c>
      <c r="AN375" s="775">
        <f t="shared" ca="1" si="233"/>
        <v>0</v>
      </c>
      <c r="AO375" s="775">
        <f t="shared" ca="1" si="234"/>
        <v>0</v>
      </c>
      <c r="AP375" s="775">
        <f t="shared" ca="1" si="235"/>
        <v>0</v>
      </c>
      <c r="AQ375" s="775">
        <f t="shared" ca="1" si="236"/>
        <v>0</v>
      </c>
      <c r="AR375" s="775">
        <f t="shared" ca="1" si="237"/>
        <v>0</v>
      </c>
      <c r="AS375" s="775">
        <f t="shared" ca="1" si="238"/>
        <v>0</v>
      </c>
      <c r="AT375" s="775">
        <f t="shared" ca="1" si="239"/>
        <v>0</v>
      </c>
      <c r="AU375" s="775">
        <f t="shared" ca="1" si="240"/>
        <v>0</v>
      </c>
      <c r="AV375" s="775">
        <f t="shared" ca="1" si="241"/>
        <v>0</v>
      </c>
      <c r="AW375" s="775">
        <f t="shared" ca="1" si="242"/>
        <v>0</v>
      </c>
      <c r="AX375" s="775">
        <f t="shared" si="243"/>
        <v>0</v>
      </c>
      <c r="AY375" s="775">
        <f t="shared" ca="1" si="244"/>
        <v>0</v>
      </c>
      <c r="AZ375" s="775">
        <f t="shared" si="245"/>
        <v>0</v>
      </c>
      <c r="BA375" s="775">
        <f t="shared" ca="1" si="223"/>
        <v>0</v>
      </c>
      <c r="BB375" s="775">
        <f t="shared" ca="1" si="224"/>
        <v>0</v>
      </c>
      <c r="BC375" s="775">
        <f t="shared" ca="1" si="225"/>
        <v>0</v>
      </c>
      <c r="BD375" s="775">
        <f t="shared" ca="1" si="226"/>
        <v>0</v>
      </c>
      <c r="BE375" s="775">
        <f t="shared" ca="1" si="227"/>
        <v>0</v>
      </c>
      <c r="BF375" s="775">
        <f t="shared" ca="1" si="228"/>
        <v>0</v>
      </c>
      <c r="BG375" s="775">
        <f t="shared" ca="1" si="229"/>
        <v>0</v>
      </c>
      <c r="BH375" s="775">
        <f t="shared" ca="1" si="247"/>
        <v>0</v>
      </c>
      <c r="BI375" s="775">
        <f t="shared" ca="1" si="248"/>
        <v>0</v>
      </c>
      <c r="BJ375" s="775">
        <f t="shared" ca="1" si="249"/>
        <v>0</v>
      </c>
      <c r="BK375" s="775">
        <f t="shared" ca="1" si="250"/>
        <v>0</v>
      </c>
      <c r="BL375" s="775">
        <f t="shared" ca="1" si="251"/>
        <v>0</v>
      </c>
      <c r="BM375" s="775">
        <f t="shared" ca="1" si="252"/>
        <v>0</v>
      </c>
      <c r="BN375" s="775">
        <f t="shared" ca="1" si="253"/>
        <v>0</v>
      </c>
      <c r="BO375" s="775">
        <f t="shared" ca="1" si="254"/>
        <v>0</v>
      </c>
      <c r="BP375" s="775">
        <f t="shared" ca="1" si="255"/>
        <v>0</v>
      </c>
      <c r="BQ375" s="775">
        <f t="shared" ca="1" si="170"/>
        <v>0</v>
      </c>
      <c r="BR375" s="775">
        <f t="shared" ca="1" si="256"/>
        <v>0</v>
      </c>
    </row>
    <row r="376" spans="1:70">
      <c r="A376" s="767" t="str">
        <f t="shared" ca="1" si="219"/>
        <v/>
      </c>
      <c r="B376" s="767" t="s">
        <v>899</v>
      </c>
      <c r="C376" s="188" t="str">
        <f ca="1">IF(F376=0,"",COUNTIF($F$78:$F376,"&gt;0"))</f>
        <v/>
      </c>
      <c r="D376" s="778" t="str">
        <f>VLOOKUP($B376,dongia1,DG!$C$5,)</f>
        <v>Trụ BTLT 20m F1000 dự ứng lực</v>
      </c>
      <c r="E376" s="555" t="str">
        <f>VLOOKUP($B376,dongia1,DG!$D$5,)</f>
        <v>trụ</v>
      </c>
      <c r="F376" s="779">
        <f t="shared" ca="1" si="260"/>
        <v>0</v>
      </c>
      <c r="G376" s="775">
        <f t="shared" ca="1" si="257"/>
        <v>0</v>
      </c>
      <c r="H376" s="775">
        <f ca="1">SUMIF(CT_tram!$B$33:$G$3559,kl!B376,CT_tram!$G$33:$G$3559)</f>
        <v>0</v>
      </c>
      <c r="I376" s="775">
        <f ca="1">SUMIF(CT_tram!$B$34:$G$115,$B376,CT_tram!$G$34:$G$115)</f>
        <v>0</v>
      </c>
      <c r="J376" s="775">
        <f ca="1">SUMIF(CT_tram!$B$122:$G$204,$B376,CT_tram!$G$122:$G$204)</f>
        <v>0</v>
      </c>
      <c r="K376" s="775">
        <f ca="1">SUMIF(CT_tram!$B$211:$G$293,$B376,CT_tram!$G$211:$G$293)</f>
        <v>0</v>
      </c>
      <c r="L376" s="775">
        <f ca="1">SUMIF(CT_tram!$B$300:$G$374,$B376,CT_tram!$G$300:$G$374)</f>
        <v>0</v>
      </c>
      <c r="M376" s="775">
        <f ca="1">SUMIF(CT_tram!$B$381:$G$471,$B376,CT_tram!$G$381:$G$471)</f>
        <v>0</v>
      </c>
      <c r="N376" s="775">
        <f ca="1">SUMIF(CT_tram!$B$478:$G$560,$B376,CT_tram!$G$478:$G$560)</f>
        <v>0</v>
      </c>
      <c r="O376" s="775">
        <f ca="1">SUMIF(CT_tram!$B$567:$G$653,$B376,CT_tram!$G$567:$G$653)</f>
        <v>0</v>
      </c>
      <c r="P376" s="775">
        <f ca="1">SUMIF(CT_tram!$B$661:$G$738,$B376,CT_tram!$G$661:$G$738)</f>
        <v>0</v>
      </c>
      <c r="Q376" s="775">
        <f ca="1">SUMIF(CT_tram!$B$745:$G$899,$B376,CT_tram!$G$745:$G$899)</f>
        <v>0</v>
      </c>
      <c r="R376" s="775">
        <f ca="1">SUMIF(CT_tram!$B$907:$G$995,$B376,CT_tram!$G$907:$G$995)</f>
        <v>0</v>
      </c>
      <c r="S376" s="775"/>
      <c r="T376" s="775">
        <f ca="1">SUMIF(CT_tram!$B$1004:$G$1097,B376,CT_tram!$G$1004:$G$1097)</f>
        <v>0</v>
      </c>
      <c r="U376" s="775"/>
      <c r="V376" s="775">
        <f ca="1">SUMIF(CT_tram!$B$1226:$G$1352,kl!B376,CT_tram!$G$1226:$G$1352)</f>
        <v>0</v>
      </c>
      <c r="W376" s="780">
        <f ca="1">SUMIF(CT_tram!$B$1105:$G$1219,kl!B376,CT_tram!$G$1105:$G$1219)</f>
        <v>0</v>
      </c>
      <c r="X376" s="775">
        <f ca="1">SUMIF(CT_tram!$B$1359:$G$1504,kl!B376,CT_tram!$G$1359:$G$1504)</f>
        <v>0</v>
      </c>
      <c r="Y376" s="775">
        <f ca="1">SUMIF(CT_tram!$B$1511:$G$1625,kl!B376,CT_tram!$G$1511:$G$1625)</f>
        <v>0</v>
      </c>
      <c r="Z376" s="775">
        <f ca="1">SUMIF(CT_tram!$B$1632:$G$2211,kl!B376,CT_tram!$G$1632:$G$2211)</f>
        <v>0</v>
      </c>
      <c r="AA376" s="775">
        <f ca="1">SUMIF(CT_tram!$B$2243:$G$2384,kl!B376,CT_tram!$G$2243:$G$2384)</f>
        <v>0</v>
      </c>
      <c r="AB376" s="775">
        <f ca="1">SUMIF(CT_tram!$B$2391:$G$2563,kl!B376,CT_tram!$G$2391:$G$2563)</f>
        <v>0</v>
      </c>
      <c r="AC376" s="775">
        <f ca="1">SUMIF(chitiet!$B$13:$N$2352,kl!$B376,chitiet!$I$13:$I$2352)</f>
        <v>0</v>
      </c>
      <c r="AD376" s="775">
        <f ca="1">SUMIF(chitiet!$B$13:$N$2352,kl!$B376,chitiet!$J$13:$J$2352)</f>
        <v>0</v>
      </c>
      <c r="AE376" s="775">
        <f ca="1">SUMIF(chitiet!$B$13:$N$2352,kl!$B376,chitiet!$K$13:$K$2352)</f>
        <v>0</v>
      </c>
      <c r="AF376" s="775">
        <f ca="1">SUMIF(chitiet!$B$13:$N$2352,kl!$B376,chitiet!$L$13:$L$2352)</f>
        <v>0</v>
      </c>
      <c r="AG376" s="775">
        <f ca="1">SUMIF(chitiet!$B$13:$N$2352,kl!$B376,chitiet!$M$13)</f>
        <v>0</v>
      </c>
      <c r="AH376" s="983">
        <f ca="1">SUMIF(chitiet!$B$13:$N$2352,kl!$B376,chitiet!$N$13:$N$2352)</f>
        <v>0</v>
      </c>
      <c r="AI376" s="775">
        <f ca="1">SUMIF(chitiet!$B$13:$N$2352,kl!$B376,chitiet!$O$13:$O$2352)</f>
        <v>0</v>
      </c>
      <c r="AJ376" s="775">
        <f ca="1">SUMIF('Cap ngam'!$B$631:$G$723,kl!$B376,'Cap ngam'!$G$631:$G$723)</f>
        <v>0</v>
      </c>
      <c r="AK376" s="775">
        <f ca="1">SUMIF('Cap ngam'!$B$403:$G$628,kl!$B376,'Cap ngam'!G$403:G$628)</f>
        <v>0</v>
      </c>
      <c r="AL376" s="775">
        <f ca="1">SUMIF('Cap ngam'!B$16:G$400,kl!$B376,'Cap ngam'!G$16:G$400)</f>
        <v>0</v>
      </c>
      <c r="AM376" s="776">
        <v>2720</v>
      </c>
      <c r="AN376" s="775">
        <f t="shared" ca="1" si="233"/>
        <v>0</v>
      </c>
      <c r="AO376" s="775">
        <f t="shared" ca="1" si="234"/>
        <v>0</v>
      </c>
      <c r="AP376" s="775">
        <f t="shared" ca="1" si="235"/>
        <v>0</v>
      </c>
      <c r="AQ376" s="775">
        <f t="shared" ca="1" si="236"/>
        <v>0</v>
      </c>
      <c r="AR376" s="775">
        <f t="shared" ca="1" si="237"/>
        <v>0</v>
      </c>
      <c r="AS376" s="775">
        <f t="shared" ca="1" si="238"/>
        <v>0</v>
      </c>
      <c r="AT376" s="775">
        <f t="shared" ca="1" si="239"/>
        <v>0</v>
      </c>
      <c r="AU376" s="775">
        <f t="shared" ca="1" si="240"/>
        <v>0</v>
      </c>
      <c r="AV376" s="775">
        <f t="shared" ca="1" si="241"/>
        <v>0</v>
      </c>
      <c r="AW376" s="775">
        <f t="shared" ca="1" si="242"/>
        <v>0</v>
      </c>
      <c r="AX376" s="775">
        <f t="shared" si="243"/>
        <v>0</v>
      </c>
      <c r="AY376" s="775">
        <f t="shared" ca="1" si="244"/>
        <v>0</v>
      </c>
      <c r="AZ376" s="775">
        <f t="shared" si="245"/>
        <v>0</v>
      </c>
      <c r="BA376" s="775">
        <f t="shared" ca="1" si="223"/>
        <v>0</v>
      </c>
      <c r="BB376" s="775">
        <f t="shared" ca="1" si="224"/>
        <v>0</v>
      </c>
      <c r="BC376" s="775">
        <f t="shared" ca="1" si="225"/>
        <v>0</v>
      </c>
      <c r="BD376" s="775">
        <f t="shared" ca="1" si="226"/>
        <v>0</v>
      </c>
      <c r="BE376" s="775">
        <f t="shared" ca="1" si="227"/>
        <v>0</v>
      </c>
      <c r="BF376" s="775">
        <f t="shared" ca="1" si="228"/>
        <v>0</v>
      </c>
      <c r="BG376" s="775">
        <f t="shared" ca="1" si="229"/>
        <v>0</v>
      </c>
      <c r="BH376" s="775">
        <f t="shared" ca="1" si="247"/>
        <v>0</v>
      </c>
      <c r="BI376" s="775">
        <f t="shared" ca="1" si="248"/>
        <v>0</v>
      </c>
      <c r="BJ376" s="775">
        <f t="shared" ca="1" si="249"/>
        <v>0</v>
      </c>
      <c r="BK376" s="775">
        <f t="shared" ca="1" si="250"/>
        <v>0</v>
      </c>
      <c r="BL376" s="775">
        <f t="shared" ca="1" si="251"/>
        <v>0</v>
      </c>
      <c r="BM376" s="775">
        <f t="shared" ca="1" si="252"/>
        <v>0</v>
      </c>
      <c r="BN376" s="775">
        <f t="shared" ca="1" si="253"/>
        <v>0</v>
      </c>
      <c r="BO376" s="775">
        <f t="shared" ca="1" si="254"/>
        <v>0</v>
      </c>
      <c r="BP376" s="775">
        <f t="shared" ca="1" si="255"/>
        <v>0</v>
      </c>
      <c r="BQ376" s="775">
        <f t="shared" ca="1" si="170"/>
        <v>0</v>
      </c>
      <c r="BR376" s="775">
        <f t="shared" ca="1" si="256"/>
        <v>0</v>
      </c>
    </row>
    <row r="377" spans="1:70">
      <c r="A377" s="767" t="e">
        <f t="shared" ca="1" si="219"/>
        <v>#REF!</v>
      </c>
      <c r="B377" s="767" t="s">
        <v>1092</v>
      </c>
      <c r="C377" s="188" t="e">
        <f ca="1">IF(F377=0,"",COUNTIF($F$78:$F377,"&gt;0"))</f>
        <v>#REF!</v>
      </c>
      <c r="D377" s="778" t="str">
        <f>VLOOKUP($B377,dongia1,DG!$C$5,)</f>
        <v>Cát san lắp</v>
      </c>
      <c r="E377" s="555" t="str">
        <f>VLOOKUP($B377,dongia1,DG!$D$5,)</f>
        <v>m3</v>
      </c>
      <c r="F377" s="779" t="e">
        <f t="shared" ca="1" si="260"/>
        <v>#REF!</v>
      </c>
      <c r="G377" s="775" t="e">
        <f t="shared" ca="1" si="257"/>
        <v>#REF!</v>
      </c>
      <c r="H377" s="775">
        <f ca="1">SUMIF(CT_tram!$B$33:$G$3559,kl!B377,CT_tram!$G$33:$G$3559)</f>
        <v>0</v>
      </c>
      <c r="I377" s="775">
        <f ca="1">SUMIF(CT_tram!$B$34:$G$115,$B377,CT_tram!$G$34:$G$115)</f>
        <v>0</v>
      </c>
      <c r="J377" s="775">
        <f ca="1">SUMIF(CT_tram!$B$122:$G$204,$B377,CT_tram!$G$122:$G$204)</f>
        <v>0</v>
      </c>
      <c r="K377" s="775">
        <f ca="1">SUMIF(CT_tram!$B$211:$G$293,$B377,CT_tram!$G$211:$G$293)</f>
        <v>0</v>
      </c>
      <c r="L377" s="775">
        <f ca="1">SUMIF(CT_tram!$B$300:$G$374,$B377,CT_tram!$G$300:$G$374)</f>
        <v>0</v>
      </c>
      <c r="M377" s="775">
        <f ca="1">SUMIF(CT_tram!$B$381:$G$471,$B377,CT_tram!$G$381:$G$471)</f>
        <v>0</v>
      </c>
      <c r="N377" s="775">
        <f ca="1">SUMIF(CT_tram!$B$478:$G$560,$B377,CT_tram!$G$478:$G$560)</f>
        <v>0</v>
      </c>
      <c r="O377" s="775">
        <f ca="1">SUMIF(CT_tram!$B$567:$G$653,$B377,CT_tram!$G$567:$G$653)</f>
        <v>0</v>
      </c>
      <c r="P377" s="775">
        <f ca="1">SUMIF(CT_tram!$B$661:$G$738,$B377,CT_tram!$G$661:$G$738)</f>
        <v>0</v>
      </c>
      <c r="Q377" s="775">
        <f ca="1">SUMIF(CT_tram!$B$745:$G$899,$B377,CT_tram!$G$745:$G$899)</f>
        <v>0</v>
      </c>
      <c r="R377" s="775">
        <f ca="1">SUMIF(CT_tram!$B$907:$G$995,$B377,CT_tram!$G$907:$G$995)</f>
        <v>0</v>
      </c>
      <c r="S377" s="775"/>
      <c r="T377" s="775">
        <f ca="1">SUMIF(CT_tram!$B$1004:$G$1097,B377,CT_tram!$G$1004:$G$1097)</f>
        <v>0</v>
      </c>
      <c r="U377" s="775"/>
      <c r="V377" s="775">
        <f ca="1">SUMIF(CT_tram!$B$1226:$G$1352,kl!B377,CT_tram!$G$1226:$G$1352)</f>
        <v>0</v>
      </c>
      <c r="W377" s="780">
        <f ca="1">SUMIF(CT_tram!$B$1105:$G$1219,kl!B377,CT_tram!$G$1105:$G$1219)</f>
        <v>0</v>
      </c>
      <c r="X377" s="775">
        <f ca="1">SUMIF(CT_tram!$B$1359:$G$1504,kl!B377,CT_tram!$G$1359:$G$1504)</f>
        <v>0</v>
      </c>
      <c r="Y377" s="775">
        <f ca="1">SUMIF(CT_tram!$B$1511:$G$1625,kl!B377,CT_tram!$G$1511:$G$1625)</f>
        <v>0</v>
      </c>
      <c r="Z377" s="775">
        <f ca="1">SUMIF(CT_tram!$B$1632:$G$2211,kl!B377,CT_tram!$G$1632:$G$2211)</f>
        <v>0</v>
      </c>
      <c r="AA377" s="775">
        <f ca="1">SUMIF(CT_tram!$B$2243:$G$2384,kl!B377,CT_tram!$G$2243:$G$2384)</f>
        <v>0</v>
      </c>
      <c r="AB377" s="775">
        <f ca="1">SUMIF(CT_tram!$B$2391:$G$2563,kl!B377,CT_tram!$G$2391:$G$2563)</f>
        <v>0</v>
      </c>
      <c r="AC377" s="775">
        <f ca="1">SUMIF(chitiet!$B$13:$N$2352,kl!$B377,chitiet!$I$13:$I$2352)</f>
        <v>0</v>
      </c>
      <c r="AD377" s="775">
        <f ca="1">SUMIF(chitiet!$B$13:$N$2352,kl!$B377,chitiet!$J$13:$J$2352)</f>
        <v>0</v>
      </c>
      <c r="AE377" s="775">
        <f ca="1">SUMIF(chitiet!$B$13:$N$2352,kl!$B377,chitiet!$K$13:$K$2352)</f>
        <v>0</v>
      </c>
      <c r="AF377" s="775"/>
      <c r="AG377" s="775">
        <f ca="1">SUMIF(chitiet!$B$13:$N$2352,kl!$B377,chitiet!$M$13)</f>
        <v>0</v>
      </c>
      <c r="AH377" s="983">
        <f ca="1">SUMIF(chitiet!$B$13:$N$2352,kl!$B377,chitiet!$N$13:$N$2352)</f>
        <v>0</v>
      </c>
      <c r="AI377" s="775">
        <f ca="1">SUMIF(chitiet!$B$13:$N$2352,kl!$B377,chitiet!$O$13:$O$2352)</f>
        <v>0</v>
      </c>
      <c r="AJ377" s="775">
        <f ca="1">SUMIF('Cap ngam'!$B$631:$G$723,kl!$B377,'Cap ngam'!$G$631:$G$723)</f>
        <v>0</v>
      </c>
      <c r="AK377" s="775" t="e">
        <f ca="1">SUMIF('Cap ngam'!$B$403:$G$628,kl!$B377,'Cap ngam'!G$403:G$628)</f>
        <v>#REF!</v>
      </c>
      <c r="AL377" s="775">
        <f ca="1">SUMIF('Cap ngam'!B$16:G$400,kl!$B377,'Cap ngam'!G$16:G$400)</f>
        <v>0</v>
      </c>
      <c r="AM377" s="776">
        <v>600</v>
      </c>
      <c r="AN377" s="775">
        <f t="shared" ca="1" si="233"/>
        <v>0</v>
      </c>
      <c r="AO377" s="775">
        <f t="shared" ca="1" si="234"/>
        <v>0</v>
      </c>
      <c r="AP377" s="775">
        <f t="shared" ca="1" si="235"/>
        <v>0</v>
      </c>
      <c r="AQ377" s="775">
        <f t="shared" ca="1" si="236"/>
        <v>0</v>
      </c>
      <c r="AR377" s="775">
        <f t="shared" ca="1" si="237"/>
        <v>0</v>
      </c>
      <c r="AS377" s="775">
        <f t="shared" ca="1" si="238"/>
        <v>0</v>
      </c>
      <c r="AT377" s="775">
        <f t="shared" ca="1" si="239"/>
        <v>0</v>
      </c>
      <c r="AU377" s="775">
        <f t="shared" ca="1" si="240"/>
        <v>0</v>
      </c>
      <c r="AV377" s="775">
        <f t="shared" ca="1" si="241"/>
        <v>0</v>
      </c>
      <c r="AW377" s="775">
        <f t="shared" ca="1" si="242"/>
        <v>0</v>
      </c>
      <c r="AX377" s="775">
        <f t="shared" si="243"/>
        <v>0</v>
      </c>
      <c r="AY377" s="775">
        <f t="shared" ca="1" si="244"/>
        <v>0</v>
      </c>
      <c r="AZ377" s="775">
        <f t="shared" si="245"/>
        <v>0</v>
      </c>
      <c r="BA377" s="775">
        <f t="shared" ca="1" si="223"/>
        <v>0</v>
      </c>
      <c r="BB377" s="775">
        <f t="shared" ca="1" si="224"/>
        <v>0</v>
      </c>
      <c r="BC377" s="775">
        <f t="shared" ca="1" si="225"/>
        <v>0</v>
      </c>
      <c r="BD377" s="775">
        <f t="shared" ca="1" si="226"/>
        <v>0</v>
      </c>
      <c r="BE377" s="775">
        <f t="shared" ca="1" si="227"/>
        <v>0</v>
      </c>
      <c r="BF377" s="775">
        <f t="shared" ca="1" si="228"/>
        <v>0</v>
      </c>
      <c r="BG377" s="775">
        <f t="shared" ca="1" si="229"/>
        <v>0</v>
      </c>
      <c r="BH377" s="775">
        <f t="shared" ca="1" si="247"/>
        <v>0</v>
      </c>
      <c r="BI377" s="775">
        <f t="shared" ca="1" si="248"/>
        <v>0</v>
      </c>
      <c r="BJ377" s="775">
        <f t="shared" ca="1" si="249"/>
        <v>0</v>
      </c>
      <c r="BK377" s="775">
        <f t="shared" si="250"/>
        <v>0</v>
      </c>
      <c r="BL377" s="775">
        <f t="shared" ca="1" si="251"/>
        <v>0</v>
      </c>
      <c r="BM377" s="775">
        <f t="shared" ca="1" si="252"/>
        <v>0</v>
      </c>
      <c r="BN377" s="775">
        <f t="shared" ca="1" si="253"/>
        <v>0</v>
      </c>
      <c r="BO377" s="775">
        <f t="shared" ca="1" si="254"/>
        <v>0</v>
      </c>
      <c r="BP377" s="775" t="e">
        <f t="shared" ca="1" si="255"/>
        <v>#REF!</v>
      </c>
      <c r="BQ377" s="775">
        <f t="shared" ca="1" si="170"/>
        <v>0</v>
      </c>
      <c r="BR377" s="775">
        <f t="shared" ca="1" si="256"/>
        <v>0</v>
      </c>
    </row>
    <row r="378" spans="1:70">
      <c r="A378" s="767" t="e">
        <f ca="1">IF(F378&lt;&gt;0,"X","")</f>
        <v>#REF!</v>
      </c>
      <c r="B378" s="767" t="s">
        <v>1729</v>
      </c>
      <c r="C378" s="188" t="e">
        <f ca="1">IF(F378=0,"",COUNTIF($F$78:$F378,"&gt;0"))</f>
        <v>#REF!</v>
      </c>
      <c r="D378" s="778" t="str">
        <f>VLOOKUP($B378,dongia1,DG!$C$5,)</f>
        <v>Cát vàng</v>
      </c>
      <c r="E378" s="555" t="str">
        <f>VLOOKUP($B378,dongia1,DG!$D$5,)</f>
        <v>m3</v>
      </c>
      <c r="F378" s="975" t="e">
        <f ca="1">G378+H378</f>
        <v>#REF!</v>
      </c>
      <c r="G378" s="976" t="e">
        <f t="shared" ca="1" si="257"/>
        <v>#REF!</v>
      </c>
      <c r="H378" s="976">
        <f ca="1">SUMIF(CT_tram!$B$33:$G$3559,kl!B378,CT_tram!$G$33:$G$3559)</f>
        <v>0</v>
      </c>
      <c r="I378" s="775">
        <f ca="1">SUMIF(CT_tram!$B$34:$G$115,$B378,CT_tram!$G$34:$G$115)</f>
        <v>0</v>
      </c>
      <c r="J378" s="775">
        <f ca="1">SUMIF(CT_tram!$B$122:$G$204,$B378,CT_tram!$G$122:$G$204)</f>
        <v>0</v>
      </c>
      <c r="K378" s="775">
        <f ca="1">SUMIF(CT_tram!$B$211:$G$293,$B378,CT_tram!$G$211:$G$293)</f>
        <v>0</v>
      </c>
      <c r="L378" s="775">
        <f ca="1">SUMIF(CT_tram!$B$300:$G$374,$B378,CT_tram!$G$300:$G$374)</f>
        <v>0</v>
      </c>
      <c r="M378" s="775">
        <f ca="1">SUMIF(CT_tram!$B$381:$G$471,$B378,CT_tram!$G$381:$G$471)</f>
        <v>0</v>
      </c>
      <c r="N378" s="775">
        <f ca="1">SUMIF(CT_tram!$B$478:$G$560,$B378,CT_tram!$G$478:$G$560)</f>
        <v>0</v>
      </c>
      <c r="O378" s="775">
        <f ca="1">SUMIF(CT_tram!$B$567:$G$653,$B378,CT_tram!$G$567:$G$653)</f>
        <v>0</v>
      </c>
      <c r="P378" s="775">
        <f ca="1">SUMIF(CT_tram!$B$661:$G$738,$B378,CT_tram!$G$661:$G$738)</f>
        <v>0</v>
      </c>
      <c r="Q378" s="775">
        <f ca="1">SUMIF(CT_tram!$B$745:$G$899,$B378,CT_tram!$G$745:$G$899)</f>
        <v>0</v>
      </c>
      <c r="R378" s="775">
        <f ca="1">SUMIF(CT_tram!$B$907:$G$995,$B378,CT_tram!$G$907:$G$995)</f>
        <v>0</v>
      </c>
      <c r="S378" s="775"/>
      <c r="T378" s="775">
        <f ca="1">SUMIF(CT_tram!$B$1004:$G$1097,B378,CT_tram!$G$1004:$G$1097)</f>
        <v>0</v>
      </c>
      <c r="U378" s="775"/>
      <c r="V378" s="775">
        <f ca="1">SUMIF(CT_tram!$B$1226:$G$1352,kl!B378,CT_tram!$G$1226:$G$1352)</f>
        <v>0</v>
      </c>
      <c r="W378" s="780">
        <f ca="1">SUMIF(CT_tram!$B$1105:$G$1219,kl!B378,CT_tram!$G$1105:$G$1219)</f>
        <v>0</v>
      </c>
      <c r="X378" s="775">
        <f ca="1">SUMIF(CT_tram!$B$1359:$G$1504,kl!B378,CT_tram!$G$1359:$G$1504)</f>
        <v>0</v>
      </c>
      <c r="Y378" s="775">
        <f ca="1">SUMIF(CT_tram!$B$1511:$G$1625,kl!B378,CT_tram!$G$1511:$G$1625)</f>
        <v>0</v>
      </c>
      <c r="Z378" s="775">
        <f ca="1">SUMIF(CT_tram!$B$1632:$G$2211,kl!B378,CT_tram!$G$1632:$G$2211)</f>
        <v>0</v>
      </c>
      <c r="AA378" s="775">
        <f ca="1">SUMIF(CT_tram!$B$2243:$G$2384,kl!B378,CT_tram!$G$2243:$G$2384)</f>
        <v>0</v>
      </c>
      <c r="AB378" s="775">
        <f ca="1">SUMIF(CT_tram!$B$2391:$G$2563,kl!B378,CT_tram!$G$2391:$G$2563)</f>
        <v>0</v>
      </c>
      <c r="AC378" s="775"/>
      <c r="AD378" s="775"/>
      <c r="AE378" s="775"/>
      <c r="AF378" s="775"/>
      <c r="AG378" s="775">
        <f ca="1">SUMIF(chitiet!$B$13:$N$2352,kl!$B378,chitiet!$M$13)</f>
        <v>0</v>
      </c>
      <c r="AH378" s="983"/>
      <c r="AI378" s="775"/>
      <c r="AJ378" s="775">
        <f ca="1">SUMIF('Cap ngam'!$B$631:$G$723,kl!$B378,'Cap ngam'!$G$631:$G$723)</f>
        <v>0</v>
      </c>
      <c r="AK378" s="775" t="e">
        <f ca="1">SUMIF('Cap ngam'!$B$403:$G$628,kl!$B378,'Cap ngam'!G$403:G$628)</f>
        <v>#REF!</v>
      </c>
      <c r="AL378" s="775">
        <f ca="1">SUMIF('Cap ngam'!B$16:G$400,kl!$B378,'Cap ngam'!G$16:G$400)</f>
        <v>0</v>
      </c>
      <c r="AM378" s="776">
        <v>900</v>
      </c>
      <c r="AN378" s="775">
        <f t="shared" ca="1" si="233"/>
        <v>0</v>
      </c>
      <c r="AO378" s="775">
        <f t="shared" ca="1" si="234"/>
        <v>0</v>
      </c>
      <c r="AP378" s="775">
        <f t="shared" ca="1" si="235"/>
        <v>0</v>
      </c>
      <c r="AQ378" s="775">
        <f t="shared" ca="1" si="236"/>
        <v>0</v>
      </c>
      <c r="AR378" s="775">
        <f t="shared" ca="1" si="237"/>
        <v>0</v>
      </c>
      <c r="AS378" s="775">
        <f t="shared" ca="1" si="238"/>
        <v>0</v>
      </c>
      <c r="AT378" s="775">
        <f t="shared" ca="1" si="239"/>
        <v>0</v>
      </c>
      <c r="AU378" s="775">
        <f t="shared" ca="1" si="240"/>
        <v>0</v>
      </c>
      <c r="AV378" s="775">
        <f t="shared" ca="1" si="241"/>
        <v>0</v>
      </c>
      <c r="AW378" s="775">
        <f t="shared" ca="1" si="242"/>
        <v>0</v>
      </c>
      <c r="AX378" s="775">
        <f t="shared" si="243"/>
        <v>0</v>
      </c>
      <c r="AY378" s="775">
        <f t="shared" ca="1" si="244"/>
        <v>0</v>
      </c>
      <c r="AZ378" s="775">
        <f t="shared" si="245"/>
        <v>0</v>
      </c>
      <c r="BA378" s="775">
        <f t="shared" ca="1" si="223"/>
        <v>0</v>
      </c>
      <c r="BB378" s="775">
        <f t="shared" ca="1" si="224"/>
        <v>0</v>
      </c>
      <c r="BC378" s="775">
        <f t="shared" ca="1" si="225"/>
        <v>0</v>
      </c>
      <c r="BD378" s="775">
        <f t="shared" ca="1" si="226"/>
        <v>0</v>
      </c>
      <c r="BE378" s="775">
        <f t="shared" ca="1" si="227"/>
        <v>0</v>
      </c>
      <c r="BF378" s="775">
        <f t="shared" ca="1" si="228"/>
        <v>0</v>
      </c>
      <c r="BG378" s="775">
        <f t="shared" ca="1" si="229"/>
        <v>0</v>
      </c>
      <c r="BH378" s="775">
        <f t="shared" si="247"/>
        <v>0</v>
      </c>
      <c r="BI378" s="775">
        <f t="shared" si="248"/>
        <v>0</v>
      </c>
      <c r="BJ378" s="775">
        <f>AE378*$AM378</f>
        <v>0</v>
      </c>
      <c r="BK378" s="775">
        <f t="shared" si="250"/>
        <v>0</v>
      </c>
      <c r="BL378" s="775">
        <f t="shared" ca="1" si="251"/>
        <v>0</v>
      </c>
      <c r="BM378" s="775">
        <f t="shared" si="252"/>
        <v>0</v>
      </c>
      <c r="BN378" s="775">
        <f t="shared" si="253"/>
        <v>0</v>
      </c>
      <c r="BO378" s="775">
        <f t="shared" ca="1" si="254"/>
        <v>0</v>
      </c>
      <c r="BP378" s="775" t="e">
        <f t="shared" ca="1" si="255"/>
        <v>#REF!</v>
      </c>
      <c r="BQ378" s="775">
        <f t="shared" ca="1" si="170"/>
        <v>0</v>
      </c>
      <c r="BR378" s="775">
        <f t="shared" ca="1" si="256"/>
        <v>0</v>
      </c>
    </row>
    <row r="379" spans="1:70">
      <c r="A379" s="767" t="e">
        <f t="shared" ca="1" si="219"/>
        <v>#REF!</v>
      </c>
      <c r="B379" s="767" t="s">
        <v>1728</v>
      </c>
      <c r="C379" s="188" t="e">
        <f ca="1">IF(F379=0,"",COUNTIF($F$78:$F379,"&gt;0"))</f>
        <v>#REF!</v>
      </c>
      <c r="D379" s="778" t="str">
        <f>VLOOKUP($B379,dongia1,DG!$C$5,)</f>
        <v>Ximăng</v>
      </c>
      <c r="E379" s="555" t="str">
        <f>VLOOKUP($B379,dongia1,DG!$D$5,)</f>
        <v>kg</v>
      </c>
      <c r="F379" s="975" t="e">
        <f t="shared" ca="1" si="260"/>
        <v>#REF!</v>
      </c>
      <c r="G379" s="976" t="e">
        <f t="shared" ca="1" si="257"/>
        <v>#REF!</v>
      </c>
      <c r="H379" s="976">
        <f ca="1">SUMIF(CT_tram!$B$33:$G$3559,kl!B379,CT_tram!$G$33:$G$3559)</f>
        <v>0</v>
      </c>
      <c r="I379" s="775">
        <f ca="1">SUMIF(CT_tram!$B$34:$G$115,$B379,CT_tram!$G$34:$G$115)</f>
        <v>0</v>
      </c>
      <c r="J379" s="775">
        <f ca="1">SUMIF(CT_tram!$B$122:$G$204,$B379,CT_tram!$G$122:$G$204)</f>
        <v>0</v>
      </c>
      <c r="K379" s="775">
        <f ca="1">SUMIF(CT_tram!$B$211:$G$293,$B379,CT_tram!$G$211:$G$293)</f>
        <v>0</v>
      </c>
      <c r="L379" s="775">
        <f ca="1">SUMIF(CT_tram!$B$300:$G$374,$B379,CT_tram!$G$300:$G$374)</f>
        <v>0</v>
      </c>
      <c r="M379" s="775">
        <f ca="1">SUMIF(CT_tram!$B$381:$G$471,$B379,CT_tram!$G$381:$G$471)</f>
        <v>0</v>
      </c>
      <c r="N379" s="775">
        <f ca="1">SUMIF(CT_tram!$B$478:$G$560,$B379,CT_tram!$G$478:$G$560)</f>
        <v>0</v>
      </c>
      <c r="O379" s="775">
        <f ca="1">SUMIF(CT_tram!$B$567:$G$653,$B379,CT_tram!$G$567:$G$653)</f>
        <v>0</v>
      </c>
      <c r="P379" s="775">
        <f ca="1">SUMIF(CT_tram!$B$661:$G$738,$B379,CT_tram!$G$661:$G$738)</f>
        <v>0</v>
      </c>
      <c r="Q379" s="775">
        <f ca="1">SUMIF(CT_tram!$B$745:$G$899,$B379,CT_tram!$G$745:$G$899)</f>
        <v>0</v>
      </c>
      <c r="R379" s="775">
        <f ca="1">SUMIF(CT_tram!$B$907:$G$995,$B379,CT_tram!$G$907:$G$995)</f>
        <v>0</v>
      </c>
      <c r="S379" s="775"/>
      <c r="T379" s="775">
        <f ca="1">SUMIF(CT_tram!$B$1004:$G$1097,B379,CT_tram!$G$1004:$G$1097)</f>
        <v>0</v>
      </c>
      <c r="U379" s="775"/>
      <c r="V379" s="775">
        <f ca="1">SUMIF(CT_tram!$B$1226:$G$1352,kl!B379,CT_tram!$G$1226:$G$1352)</f>
        <v>0</v>
      </c>
      <c r="W379" s="780">
        <f ca="1">SUMIF(CT_tram!$B$1105:$G$1219,kl!B379,CT_tram!$G$1105:$G$1219)</f>
        <v>0</v>
      </c>
      <c r="X379" s="775">
        <f ca="1">SUMIF(CT_tram!$B$1359:$G$1504,kl!B379,CT_tram!$G$1359:$G$1504)</f>
        <v>0</v>
      </c>
      <c r="Y379" s="775">
        <f ca="1">SUMIF(CT_tram!$B$1511:$G$1625,kl!B379,CT_tram!$G$1511:$G$1625)</f>
        <v>0</v>
      </c>
      <c r="Z379" s="775">
        <f ca="1">SUMIF(CT_tram!$B$1632:$G$2211,kl!B379,CT_tram!$G$1632:$G$2211)</f>
        <v>0</v>
      </c>
      <c r="AA379" s="775">
        <f ca="1">SUMIF(CT_tram!$B$2243:$G$2384,kl!B379,CT_tram!$G$2243:$G$2384)</f>
        <v>0</v>
      </c>
      <c r="AB379" s="775">
        <f ca="1">SUMIF(CT_tram!$B$2391:$G$2563,kl!B379,CT_tram!$G$2391:$G$2563)</f>
        <v>0</v>
      </c>
      <c r="AC379" s="775"/>
      <c r="AD379" s="775"/>
      <c r="AE379" s="775"/>
      <c r="AF379" s="775"/>
      <c r="AG379" s="775">
        <f ca="1">SUMIF(chitiet!$B$13:$N$2352,kl!$B379,chitiet!$M$13)</f>
        <v>0</v>
      </c>
      <c r="AH379" s="983"/>
      <c r="AI379" s="775"/>
      <c r="AJ379" s="775">
        <f ca="1">SUMIF('Cap ngam'!$B$631:$G$723,kl!$B379,'Cap ngam'!$G$631:$G$723)</f>
        <v>0</v>
      </c>
      <c r="AK379" s="775" t="e">
        <f ca="1">SUMIF('Cap ngam'!$B$403:$G$628,kl!$B379,'Cap ngam'!G$403:G$628)</f>
        <v>#REF!</v>
      </c>
      <c r="AL379" s="775">
        <f ca="1">SUMIF('Cap ngam'!B$16:G$400,kl!$B379,'Cap ngam'!G$16:G$400)</f>
        <v>0</v>
      </c>
      <c r="AM379" s="776">
        <v>1</v>
      </c>
      <c r="AN379" s="775">
        <f t="shared" ca="1" si="233"/>
        <v>0</v>
      </c>
      <c r="AO379" s="775">
        <f t="shared" ca="1" si="234"/>
        <v>0</v>
      </c>
      <c r="AP379" s="775">
        <f t="shared" ca="1" si="235"/>
        <v>0</v>
      </c>
      <c r="AQ379" s="775">
        <f t="shared" ca="1" si="236"/>
        <v>0</v>
      </c>
      <c r="AR379" s="775">
        <f t="shared" ca="1" si="237"/>
        <v>0</v>
      </c>
      <c r="AS379" s="775">
        <f t="shared" ca="1" si="238"/>
        <v>0</v>
      </c>
      <c r="AT379" s="775">
        <f t="shared" ca="1" si="239"/>
        <v>0</v>
      </c>
      <c r="AU379" s="775">
        <f t="shared" ca="1" si="240"/>
        <v>0</v>
      </c>
      <c r="AV379" s="775">
        <f t="shared" ca="1" si="241"/>
        <v>0</v>
      </c>
      <c r="AW379" s="775">
        <f t="shared" ca="1" si="242"/>
        <v>0</v>
      </c>
      <c r="AX379" s="775">
        <f t="shared" si="243"/>
        <v>0</v>
      </c>
      <c r="AY379" s="775">
        <f t="shared" ca="1" si="244"/>
        <v>0</v>
      </c>
      <c r="AZ379" s="775">
        <f t="shared" si="245"/>
        <v>0</v>
      </c>
      <c r="BA379" s="775">
        <f t="shared" ca="1" si="223"/>
        <v>0</v>
      </c>
      <c r="BB379" s="775">
        <f t="shared" ca="1" si="224"/>
        <v>0</v>
      </c>
      <c r="BC379" s="775">
        <f t="shared" ca="1" si="225"/>
        <v>0</v>
      </c>
      <c r="BD379" s="775">
        <f t="shared" ca="1" si="226"/>
        <v>0</v>
      </c>
      <c r="BE379" s="775">
        <f t="shared" ca="1" si="227"/>
        <v>0</v>
      </c>
      <c r="BF379" s="775">
        <f t="shared" ca="1" si="228"/>
        <v>0</v>
      </c>
      <c r="BG379" s="775">
        <f t="shared" ca="1" si="229"/>
        <v>0</v>
      </c>
      <c r="BH379" s="775">
        <f t="shared" si="247"/>
        <v>0</v>
      </c>
      <c r="BI379" s="775">
        <f t="shared" si="248"/>
        <v>0</v>
      </c>
      <c r="BJ379" s="775">
        <f t="shared" si="249"/>
        <v>0</v>
      </c>
      <c r="BK379" s="775">
        <f t="shared" si="250"/>
        <v>0</v>
      </c>
      <c r="BL379" s="775">
        <f t="shared" ca="1" si="251"/>
        <v>0</v>
      </c>
      <c r="BM379" s="775">
        <f t="shared" si="252"/>
        <v>0</v>
      </c>
      <c r="BN379" s="775">
        <f t="shared" si="253"/>
        <v>0</v>
      </c>
      <c r="BO379" s="775">
        <f t="shared" ca="1" si="254"/>
        <v>0</v>
      </c>
      <c r="BP379" s="775" t="e">
        <f t="shared" ca="1" si="255"/>
        <v>#REF!</v>
      </c>
      <c r="BQ379" s="775">
        <f t="shared" ca="1" si="170"/>
        <v>0</v>
      </c>
      <c r="BR379" s="775">
        <f t="shared" ca="1" si="256"/>
        <v>0</v>
      </c>
    </row>
    <row r="380" spans="1:70">
      <c r="A380" s="767" t="e">
        <f t="shared" ca="1" si="219"/>
        <v>#REF!</v>
      </c>
      <c r="B380" s="767" t="s">
        <v>853</v>
      </c>
      <c r="C380" s="188" t="e">
        <f ca="1">IF(F380=0,"",COUNTIF($F$78:$F380,"&gt;0"))</f>
        <v>#REF!</v>
      </c>
      <c r="D380" s="778" t="str">
        <f>VLOOKUP($B380,dongia1,DG!$C$5,)</f>
        <v>Đá 1x2</v>
      </c>
      <c r="E380" s="555" t="str">
        <f>VLOOKUP($B380,dongia1,DG!$D$5,)</f>
        <v>m3</v>
      </c>
      <c r="F380" s="975" t="e">
        <f t="shared" ca="1" si="260"/>
        <v>#REF!</v>
      </c>
      <c r="G380" s="976" t="e">
        <f t="shared" ca="1" si="257"/>
        <v>#REF!</v>
      </c>
      <c r="H380" s="976">
        <f ca="1">SUMIF(CT_tram!$B$33:$G$3559,kl!B380,CT_tram!$G$33:$G$3559)</f>
        <v>0</v>
      </c>
      <c r="I380" s="775">
        <f ca="1">SUMIF(CT_tram!$B$34:$G$115,$B380,CT_tram!$G$34:$G$115)</f>
        <v>0</v>
      </c>
      <c r="J380" s="775">
        <f ca="1">SUMIF(CT_tram!$B$122:$G$204,$B380,CT_tram!$G$122:$G$204)</f>
        <v>0</v>
      </c>
      <c r="K380" s="775">
        <f ca="1">SUMIF(CT_tram!$B$211:$G$293,$B380,CT_tram!$G$211:$G$293)</f>
        <v>0</v>
      </c>
      <c r="L380" s="775">
        <f ca="1">SUMIF(CT_tram!$B$300:$G$374,$B380,CT_tram!$G$300:$G$374)</f>
        <v>0</v>
      </c>
      <c r="M380" s="775">
        <f ca="1">SUMIF(CT_tram!$B$381:$G$471,$B380,CT_tram!$G$381:$G$471)</f>
        <v>0</v>
      </c>
      <c r="N380" s="775">
        <f ca="1">SUMIF(CT_tram!$B$478:$G$560,$B380,CT_tram!$G$478:$G$560)</f>
        <v>0</v>
      </c>
      <c r="O380" s="775">
        <f ca="1">SUMIF(CT_tram!$B$567:$G$653,$B380,CT_tram!$G$567:$G$653)</f>
        <v>0</v>
      </c>
      <c r="P380" s="775">
        <f ca="1">SUMIF(CT_tram!$B$661:$G$738,$B380,CT_tram!$G$661:$G$738)</f>
        <v>0</v>
      </c>
      <c r="Q380" s="775">
        <f ca="1">SUMIF(CT_tram!$B$745:$G$899,$B380,CT_tram!$G$745:$G$899)</f>
        <v>0</v>
      </c>
      <c r="R380" s="775">
        <f ca="1">SUMIF(CT_tram!$B$907:$G$995,$B380,CT_tram!$G$907:$G$995)</f>
        <v>0</v>
      </c>
      <c r="S380" s="775"/>
      <c r="T380" s="775">
        <f ca="1">SUMIF(CT_tram!$B$1004:$G$1097,B380,CT_tram!$G$1004:$G$1097)</f>
        <v>0</v>
      </c>
      <c r="U380" s="775"/>
      <c r="V380" s="775">
        <f ca="1">SUMIF(CT_tram!$B$1226:$G$1352,kl!B380,CT_tram!$G$1226:$G$1352)</f>
        <v>0</v>
      </c>
      <c r="W380" s="780">
        <f ca="1">SUMIF(CT_tram!$B$1105:$G$1219,kl!B380,CT_tram!$G$1105:$G$1219)</f>
        <v>0</v>
      </c>
      <c r="X380" s="775">
        <f ca="1">SUMIF(CT_tram!$B$1359:$G$1504,kl!B380,CT_tram!$G$1359:$G$1504)</f>
        <v>0</v>
      </c>
      <c r="Y380" s="775">
        <f ca="1">SUMIF(CT_tram!$B$1511:$G$1625,kl!B380,CT_tram!$G$1511:$G$1625)</f>
        <v>0</v>
      </c>
      <c r="Z380" s="775">
        <f ca="1">SUMIF(CT_tram!$B$1632:$G$2211,kl!B380,CT_tram!$G$1632:$G$2211)</f>
        <v>0</v>
      </c>
      <c r="AA380" s="775">
        <f ca="1">SUMIF(CT_tram!$B$2243:$G$2384,kl!B380,CT_tram!$G$2243:$G$2384)</f>
        <v>0</v>
      </c>
      <c r="AB380" s="775">
        <f ca="1">SUMIF(CT_tram!$B$2391:$G$2563,kl!B380,CT_tram!$G$2391:$G$2563)</f>
        <v>0</v>
      </c>
      <c r="AC380" s="775"/>
      <c r="AD380" s="775"/>
      <c r="AE380" s="775"/>
      <c r="AF380" s="775"/>
      <c r="AG380" s="775">
        <f ca="1">SUMIF(chitiet!$B$13:$N$2352,kl!$B380,chitiet!$M$13)</f>
        <v>0</v>
      </c>
      <c r="AH380" s="983"/>
      <c r="AI380" s="775"/>
      <c r="AJ380" s="775">
        <f ca="1">SUMIF('Cap ngam'!$B$631:$G$723,kl!$B380,'Cap ngam'!$G$631:$G$723)</f>
        <v>0</v>
      </c>
      <c r="AK380" s="775" t="e">
        <f ca="1">SUMIF('Cap ngam'!$B$403:$G$628,kl!$B380,'Cap ngam'!G$403:G$628)</f>
        <v>#REF!</v>
      </c>
      <c r="AL380" s="775">
        <f ca="1">SUMIF('Cap ngam'!B$16:G$400,kl!$B380,'Cap ngam'!G$16:G$400)</f>
        <v>0</v>
      </c>
      <c r="AM380" s="776">
        <v>900</v>
      </c>
      <c r="AN380" s="775">
        <f t="shared" ca="1" si="233"/>
        <v>0</v>
      </c>
      <c r="AO380" s="775">
        <f t="shared" ca="1" si="234"/>
        <v>0</v>
      </c>
      <c r="AP380" s="775">
        <f t="shared" ca="1" si="235"/>
        <v>0</v>
      </c>
      <c r="AQ380" s="775">
        <f t="shared" ca="1" si="236"/>
        <v>0</v>
      </c>
      <c r="AR380" s="775">
        <f t="shared" ca="1" si="237"/>
        <v>0</v>
      </c>
      <c r="AS380" s="775">
        <f t="shared" ca="1" si="238"/>
        <v>0</v>
      </c>
      <c r="AT380" s="775">
        <f t="shared" ca="1" si="239"/>
        <v>0</v>
      </c>
      <c r="AU380" s="775">
        <f t="shared" ca="1" si="240"/>
        <v>0</v>
      </c>
      <c r="AV380" s="775">
        <f t="shared" ca="1" si="241"/>
        <v>0</v>
      </c>
      <c r="AW380" s="775">
        <f t="shared" ca="1" si="242"/>
        <v>0</v>
      </c>
      <c r="AX380" s="775">
        <f t="shared" si="243"/>
        <v>0</v>
      </c>
      <c r="AY380" s="775">
        <f t="shared" ca="1" si="244"/>
        <v>0</v>
      </c>
      <c r="AZ380" s="775">
        <f t="shared" si="245"/>
        <v>0</v>
      </c>
      <c r="BA380" s="775">
        <f t="shared" ca="1" si="223"/>
        <v>0</v>
      </c>
      <c r="BB380" s="775">
        <f t="shared" ca="1" si="224"/>
        <v>0</v>
      </c>
      <c r="BC380" s="775">
        <f t="shared" ca="1" si="225"/>
        <v>0</v>
      </c>
      <c r="BD380" s="775">
        <f t="shared" ca="1" si="226"/>
        <v>0</v>
      </c>
      <c r="BE380" s="775">
        <f t="shared" ca="1" si="227"/>
        <v>0</v>
      </c>
      <c r="BF380" s="775">
        <f t="shared" ca="1" si="228"/>
        <v>0</v>
      </c>
      <c r="BG380" s="775">
        <f t="shared" ca="1" si="229"/>
        <v>0</v>
      </c>
      <c r="BH380" s="775">
        <f t="shared" si="247"/>
        <v>0</v>
      </c>
      <c r="BI380" s="775">
        <f t="shared" si="248"/>
        <v>0</v>
      </c>
      <c r="BJ380" s="775">
        <f t="shared" si="249"/>
        <v>0</v>
      </c>
      <c r="BK380" s="775">
        <f t="shared" si="250"/>
        <v>0</v>
      </c>
      <c r="BL380" s="775">
        <f t="shared" ca="1" si="251"/>
        <v>0</v>
      </c>
      <c r="BM380" s="775">
        <f t="shared" si="252"/>
        <v>0</v>
      </c>
      <c r="BN380" s="775">
        <f t="shared" si="253"/>
        <v>0</v>
      </c>
      <c r="BO380" s="775">
        <f t="shared" ca="1" si="254"/>
        <v>0</v>
      </c>
      <c r="BP380" s="775" t="e">
        <f t="shared" ca="1" si="255"/>
        <v>#REF!</v>
      </c>
      <c r="BQ380" s="775">
        <f t="shared" ca="1" si="170"/>
        <v>0</v>
      </c>
      <c r="BR380" s="775">
        <f t="shared" ca="1" si="256"/>
        <v>0</v>
      </c>
    </row>
    <row r="381" spans="1:70">
      <c r="A381" s="767" t="e">
        <f t="shared" ca="1" si="219"/>
        <v>#REF!</v>
      </c>
      <c r="B381" s="767" t="s">
        <v>1047</v>
      </c>
      <c r="C381" s="188" t="e">
        <f ca="1">IF(F381=0,"",COUNTIF($F$78:$F381,"&gt;0"))</f>
        <v>#REF!</v>
      </c>
      <c r="D381" s="778" t="str">
        <f>VLOOKUP($B381,dongia1,DG!$C$5,)</f>
        <v>Gạch tàu</v>
      </c>
      <c r="E381" s="555" t="str">
        <f>VLOOKUP($B381,dongia1,DG!$D$5,)</f>
        <v>viên</v>
      </c>
      <c r="F381" s="779" t="e">
        <f ca="1">G381+H381</f>
        <v>#REF!</v>
      </c>
      <c r="G381" s="775" t="e">
        <f t="shared" ca="1" si="257"/>
        <v>#REF!</v>
      </c>
      <c r="H381" s="775">
        <f ca="1">SUMIF(CT_tram!$B$33:$G$3559,kl!B381,CT_tram!$G$33:$G$3559)</f>
        <v>0</v>
      </c>
      <c r="I381" s="775">
        <f ca="1">SUMIF(CT_tram!$B$34:$G$115,$B381,CT_tram!$G$34:$G$115)</f>
        <v>0</v>
      </c>
      <c r="J381" s="775">
        <f ca="1">SUMIF(CT_tram!$B$122:$G$204,$B381,CT_tram!$G$122:$G$204)</f>
        <v>0</v>
      </c>
      <c r="K381" s="775">
        <f ca="1">SUMIF(CT_tram!$B$211:$G$293,$B381,CT_tram!$G$211:$G$293)</f>
        <v>0</v>
      </c>
      <c r="L381" s="775">
        <f ca="1">SUMIF(CT_tram!$B$300:$G$374,$B381,CT_tram!$G$300:$G$374)</f>
        <v>0</v>
      </c>
      <c r="M381" s="775">
        <f ca="1">SUMIF(CT_tram!$B$381:$G$471,$B381,CT_tram!$G$381:$G$471)</f>
        <v>0</v>
      </c>
      <c r="N381" s="775">
        <f ca="1">SUMIF(CT_tram!$B$478:$G$560,$B381,CT_tram!$G$478:$G$560)</f>
        <v>0</v>
      </c>
      <c r="O381" s="775">
        <f ca="1">SUMIF(CT_tram!$B$567:$G$653,$B381,CT_tram!$G$567:$G$653)</f>
        <v>0</v>
      </c>
      <c r="P381" s="775">
        <f ca="1">SUMIF(CT_tram!$B$661:$G$738,$B381,CT_tram!$G$661:$G$738)</f>
        <v>0</v>
      </c>
      <c r="Q381" s="775">
        <f ca="1">SUMIF(CT_tram!$B$745:$G$899,$B381,CT_tram!$G$745:$G$899)</f>
        <v>0</v>
      </c>
      <c r="R381" s="775">
        <f ca="1">SUMIF(CT_tram!$B$907:$G$995,$B381,CT_tram!$G$907:$G$995)</f>
        <v>0</v>
      </c>
      <c r="S381" s="775"/>
      <c r="T381" s="775">
        <f ca="1">SUMIF(CT_tram!$B$1004:$G$1097,B381,CT_tram!$G$1004:$G$1097)</f>
        <v>0</v>
      </c>
      <c r="U381" s="775"/>
      <c r="V381" s="775">
        <f ca="1">SUMIF(CT_tram!$B$1226:$G$1352,kl!B381,CT_tram!$G$1226:$G$1352)</f>
        <v>0</v>
      </c>
      <c r="W381" s="780">
        <f ca="1">SUMIF(CT_tram!$B$1105:$G$1219,kl!B381,CT_tram!$G$1105:$G$1219)</f>
        <v>0</v>
      </c>
      <c r="X381" s="775">
        <f ca="1">SUMIF(CT_tram!$B$1359:$G$1504,kl!B381,CT_tram!$G$1359:$G$1504)</f>
        <v>0</v>
      </c>
      <c r="Y381" s="775">
        <f ca="1">SUMIF(CT_tram!$B$1511:$G$1625,kl!B381,CT_tram!$G$1511:$G$1625)</f>
        <v>0</v>
      </c>
      <c r="Z381" s="775">
        <f ca="1">SUMIF(CT_tram!$B$1632:$G$2211,kl!B381,CT_tram!$G$1632:$G$2211)</f>
        <v>0</v>
      </c>
      <c r="AA381" s="775">
        <f ca="1">SUMIF(CT_tram!$B$2243:$G$2384,kl!B381,CT_tram!$G$2243:$G$2384)</f>
        <v>0</v>
      </c>
      <c r="AB381" s="775">
        <f ca="1">SUMIF(CT_tram!$B$2391:$G$2563,kl!B381,CT_tram!$G$2391:$G$2563)</f>
        <v>0</v>
      </c>
      <c r="AC381" s="775">
        <f ca="1">SUMIF(chitiet!$B$13:$N$2352,kl!$B381,chitiet!$I$13:$I$2352)</f>
        <v>0</v>
      </c>
      <c r="AD381" s="775">
        <f ca="1">SUMIF(chitiet!$B$13:$N$2352,kl!$B381,chitiet!$J$13:$J$2352)</f>
        <v>0</v>
      </c>
      <c r="AE381" s="775">
        <f ca="1">SUMIF(chitiet!$B$13:$N$2352,kl!$B381,chitiet!$K$13:$K$2352)</f>
        <v>0</v>
      </c>
      <c r="AF381" s="775"/>
      <c r="AG381" s="775">
        <f ca="1">SUMIF(chitiet!$B$13:$N$2352,kl!$B381,chitiet!$M$13)</f>
        <v>0</v>
      </c>
      <c r="AH381" s="775">
        <f ca="1">SUMIF(chitiet!$B$13:$N$2352,kl!$B381,chitiet!$N$13:$N$2352)</f>
        <v>0</v>
      </c>
      <c r="AI381" s="775">
        <f ca="1">SUMIF(chitiet!$B$13:$N$2352,kl!$B381,chitiet!$O$13:$O$2352)</f>
        <v>0</v>
      </c>
      <c r="AJ381" s="775">
        <f ca="1">SUMIF('Cap ngam'!$B$631:$G$723,kl!$B381,'Cap ngam'!$G$631:$G$723)</f>
        <v>0</v>
      </c>
      <c r="AK381" s="775" t="e">
        <f ca="1">SUMIF('Cap ngam'!$B$403:$G$628,kl!$B381,'Cap ngam'!G$403:G$628)</f>
        <v>#REF!</v>
      </c>
      <c r="AL381" s="775">
        <f ca="1">SUMIF('Cap ngam'!B$16:G$400,kl!$B381,'Cap ngam'!G$16:G$400)</f>
        <v>0</v>
      </c>
      <c r="AM381" s="776">
        <v>0.2</v>
      </c>
      <c r="AN381" s="775">
        <f t="shared" ca="1" si="233"/>
        <v>0</v>
      </c>
      <c r="AO381" s="775">
        <f t="shared" ca="1" si="234"/>
        <v>0</v>
      </c>
      <c r="AP381" s="775">
        <f t="shared" ca="1" si="235"/>
        <v>0</v>
      </c>
      <c r="AQ381" s="775">
        <f t="shared" ca="1" si="236"/>
        <v>0</v>
      </c>
      <c r="AR381" s="775">
        <f t="shared" ca="1" si="237"/>
        <v>0</v>
      </c>
      <c r="AS381" s="775">
        <f t="shared" ca="1" si="238"/>
        <v>0</v>
      </c>
      <c r="AT381" s="775">
        <f t="shared" ca="1" si="239"/>
        <v>0</v>
      </c>
      <c r="AU381" s="775">
        <f t="shared" ca="1" si="240"/>
        <v>0</v>
      </c>
      <c r="AV381" s="775">
        <f t="shared" ca="1" si="241"/>
        <v>0</v>
      </c>
      <c r="AW381" s="775">
        <f t="shared" ca="1" si="242"/>
        <v>0</v>
      </c>
      <c r="AX381" s="775">
        <f t="shared" si="243"/>
        <v>0</v>
      </c>
      <c r="AY381" s="775">
        <f t="shared" ca="1" si="244"/>
        <v>0</v>
      </c>
      <c r="AZ381" s="775">
        <f t="shared" si="245"/>
        <v>0</v>
      </c>
      <c r="BA381" s="775">
        <f t="shared" ca="1" si="223"/>
        <v>0</v>
      </c>
      <c r="BB381" s="775">
        <f t="shared" ca="1" si="224"/>
        <v>0</v>
      </c>
      <c r="BC381" s="775">
        <f t="shared" ca="1" si="225"/>
        <v>0</v>
      </c>
      <c r="BD381" s="775">
        <f t="shared" ca="1" si="226"/>
        <v>0</v>
      </c>
      <c r="BE381" s="775">
        <f t="shared" ca="1" si="227"/>
        <v>0</v>
      </c>
      <c r="BF381" s="775">
        <f t="shared" ca="1" si="228"/>
        <v>0</v>
      </c>
      <c r="BG381" s="775">
        <f t="shared" ca="1" si="229"/>
        <v>0</v>
      </c>
      <c r="BH381" s="775">
        <f t="shared" ca="1" si="247"/>
        <v>0</v>
      </c>
      <c r="BI381" s="775">
        <f t="shared" ca="1" si="248"/>
        <v>0</v>
      </c>
      <c r="BJ381" s="775">
        <f t="shared" ca="1" si="249"/>
        <v>0</v>
      </c>
      <c r="BK381" s="775">
        <f t="shared" si="250"/>
        <v>0</v>
      </c>
      <c r="BL381" s="775">
        <f t="shared" ca="1" si="251"/>
        <v>0</v>
      </c>
      <c r="BM381" s="775">
        <f t="shared" ca="1" si="252"/>
        <v>0</v>
      </c>
      <c r="BN381" s="775">
        <f t="shared" ca="1" si="253"/>
        <v>0</v>
      </c>
      <c r="BO381" s="775">
        <f t="shared" ca="1" si="254"/>
        <v>0</v>
      </c>
      <c r="BP381" s="775" t="e">
        <f t="shared" ca="1" si="255"/>
        <v>#REF!</v>
      </c>
      <c r="BQ381" s="775">
        <f t="shared" ca="1" si="170"/>
        <v>0</v>
      </c>
      <c r="BR381" s="775">
        <f t="shared" ca="1" si="256"/>
        <v>0</v>
      </c>
    </row>
    <row r="382" spans="1:70">
      <c r="A382" s="767" t="str">
        <f ca="1">IF(F382&lt;&gt;0,"X","")</f>
        <v/>
      </c>
      <c r="B382" s="767" t="s">
        <v>1497</v>
      </c>
      <c r="C382" s="188" t="str">
        <f ca="1">IF(F382=0,"",COUNTIF($F$78:$F382,"&gt;0"))</f>
        <v/>
      </c>
      <c r="D382" s="778" t="str">
        <f>VLOOKUP($B382,dongia1,DG!$C$5,)</f>
        <v>Ống PVC D168 dày 7,0mm</v>
      </c>
      <c r="E382" s="555" t="str">
        <f>VLOOKUP($B382,dongia1,DG!$D$5,)</f>
        <v>m</v>
      </c>
      <c r="F382" s="779">
        <f ca="1">G382+H382</f>
        <v>0</v>
      </c>
      <c r="G382" s="775">
        <f t="shared" ca="1" si="257"/>
        <v>0</v>
      </c>
      <c r="H382" s="775">
        <f ca="1">SUMIF(CT_tram!$B$33:$G$3559,kl!B382,CT_tram!$G$33:$G$3559)</f>
        <v>0</v>
      </c>
      <c r="I382" s="775">
        <f ca="1">SUMIF(CT_tram!$B$34:$G$115,$B382,CT_tram!$G$34:$G$115)</f>
        <v>0</v>
      </c>
      <c r="J382" s="775">
        <f ca="1">SUMIF(CT_tram!$B$122:$G$204,$B382,CT_tram!$G$122:$G$204)</f>
        <v>0</v>
      </c>
      <c r="K382" s="775">
        <f ca="1">SUMIF(CT_tram!$B$211:$G$293,$B382,CT_tram!$G$211:$G$293)</f>
        <v>0</v>
      </c>
      <c r="L382" s="775">
        <f ca="1">SUMIF(CT_tram!$B$300:$G$374,$B382,CT_tram!$G$300:$G$374)</f>
        <v>0</v>
      </c>
      <c r="M382" s="775">
        <f ca="1">SUMIF(CT_tram!$B$381:$G$471,$B382,CT_tram!$G$381:$G$471)</f>
        <v>0</v>
      </c>
      <c r="N382" s="775">
        <f ca="1">SUMIF(CT_tram!$B$478:$G$560,$B382,CT_tram!$G$478:$G$560)</f>
        <v>0</v>
      </c>
      <c r="O382" s="775">
        <f ca="1">SUMIF(CT_tram!$B$567:$G$653,$B382,CT_tram!$G$567:$G$653)</f>
        <v>0</v>
      </c>
      <c r="P382" s="775">
        <f ca="1">SUMIF(CT_tram!$B$661:$G$738,$B382,CT_tram!$G$661:$G$738)</f>
        <v>0</v>
      </c>
      <c r="Q382" s="775">
        <f ca="1">SUMIF(CT_tram!$B$745:$G$899,$B382,CT_tram!$G$745:$G$899)</f>
        <v>0</v>
      </c>
      <c r="R382" s="775">
        <f ca="1">SUMIF(CT_tram!$B$907:$G$995,$B382,CT_tram!$G$907:$G$995)</f>
        <v>0</v>
      </c>
      <c r="S382" s="775"/>
      <c r="T382" s="775">
        <f ca="1">SUMIF(CT_tram!$B$1004:$G$1097,B382,CT_tram!$G$1004:$G$1097)</f>
        <v>0</v>
      </c>
      <c r="U382" s="775"/>
      <c r="V382" s="775">
        <f ca="1">SUMIF(CT_tram!$B$1226:$G$1352,kl!B382,CT_tram!$G$1226:$G$1352)</f>
        <v>0</v>
      </c>
      <c r="W382" s="780">
        <f ca="1">SUMIF(CT_tram!$B$1105:$G$1219,kl!B382,CT_tram!$G$1105:$G$1219)</f>
        <v>0</v>
      </c>
      <c r="X382" s="775">
        <f ca="1">SUMIF(CT_tram!$B$1359:$G$1504,kl!B382,CT_tram!$G$1359:$G$1504)</f>
        <v>0</v>
      </c>
      <c r="Y382" s="775">
        <f ca="1">SUMIF(CT_tram!$B$1511:$G$1625,kl!B382,CT_tram!$G$1511:$G$1625)</f>
        <v>0</v>
      </c>
      <c r="Z382" s="775">
        <f ca="1">SUMIF(CT_tram!$B$1632:$G$2211,kl!B382,CT_tram!$G$1632:$G$2211)</f>
        <v>0</v>
      </c>
      <c r="AA382" s="775">
        <f ca="1">SUMIF(CT_tram!$B$2243:$G$2384,kl!B382,CT_tram!$G$2243:$G$2384)</f>
        <v>0</v>
      </c>
      <c r="AB382" s="775">
        <f ca="1">SUMIF(CT_tram!$B$2391:$G$2563,kl!B382,CT_tram!$G$2391:$G$2563)</f>
        <v>0</v>
      </c>
      <c r="AC382" s="775">
        <f ca="1">SUMIF(chitiet!$B$13:$N$2352,kl!$B382,chitiet!$I$13:$I$2352)</f>
        <v>0</v>
      </c>
      <c r="AD382" s="775">
        <f ca="1">SUMIF(chitiet!$B$13:$N$2352,kl!$B382,chitiet!$J$13:$J$2352)</f>
        <v>0</v>
      </c>
      <c r="AE382" s="775">
        <f ca="1">SUMIF(chitiet!$B$13:$N$2352,kl!$B382,chitiet!$K$13:$K$2352)</f>
        <v>0</v>
      </c>
      <c r="AF382" s="775"/>
      <c r="AG382" s="775">
        <f ca="1">SUMIF(chitiet!$B$13:$N$2352,kl!$B382,chitiet!$M$13)</f>
        <v>0</v>
      </c>
      <c r="AH382" s="775">
        <f ca="1">SUMIF(chitiet!$B$13:$N$2352,kl!$B382,chitiet!$N$13:$N$2352)</f>
        <v>0</v>
      </c>
      <c r="AI382" s="775">
        <f ca="1">SUMIF(chitiet!$B$13:$N$2352,kl!$B382,chitiet!$O$13:$O$2352)</f>
        <v>0</v>
      </c>
      <c r="AJ382" s="775">
        <f ca="1">SUMIF('Cap ngam'!$B$631:$G$723,kl!$B382,'Cap ngam'!$G$631:$G$723)</f>
        <v>0</v>
      </c>
      <c r="AK382" s="775">
        <f ca="1">SUMIF('Cap ngam'!$B$403:$G$628,kl!$B382,'Cap ngam'!G$403:G$628)</f>
        <v>0</v>
      </c>
      <c r="AL382" s="775">
        <f ca="1">SUMIF('Cap ngam'!B$16:G$400,kl!$B382,'Cap ngam'!G$16:G$400)</f>
        <v>0</v>
      </c>
      <c r="AM382" s="776">
        <v>5</v>
      </c>
      <c r="AN382" s="775">
        <f t="shared" ca="1" si="233"/>
        <v>0</v>
      </c>
      <c r="AO382" s="775">
        <f t="shared" ca="1" si="234"/>
        <v>0</v>
      </c>
      <c r="AP382" s="775">
        <f t="shared" ca="1" si="235"/>
        <v>0</v>
      </c>
      <c r="AQ382" s="775">
        <f t="shared" ca="1" si="236"/>
        <v>0</v>
      </c>
      <c r="AR382" s="775">
        <f t="shared" ca="1" si="237"/>
        <v>0</v>
      </c>
      <c r="AS382" s="775">
        <f t="shared" ca="1" si="238"/>
        <v>0</v>
      </c>
      <c r="AT382" s="775">
        <f t="shared" ca="1" si="239"/>
        <v>0</v>
      </c>
      <c r="AU382" s="775">
        <f t="shared" ca="1" si="240"/>
        <v>0</v>
      </c>
      <c r="AV382" s="775">
        <f t="shared" ca="1" si="241"/>
        <v>0</v>
      </c>
      <c r="AW382" s="775">
        <f t="shared" ca="1" si="242"/>
        <v>0</v>
      </c>
      <c r="AX382" s="775">
        <f t="shared" si="243"/>
        <v>0</v>
      </c>
      <c r="AY382" s="775">
        <f t="shared" ca="1" si="244"/>
        <v>0</v>
      </c>
      <c r="AZ382" s="775">
        <f t="shared" si="245"/>
        <v>0</v>
      </c>
      <c r="BA382" s="775">
        <f t="shared" ca="1" si="223"/>
        <v>0</v>
      </c>
      <c r="BB382" s="775">
        <f t="shared" ca="1" si="224"/>
        <v>0</v>
      </c>
      <c r="BC382" s="775">
        <f t="shared" ca="1" si="225"/>
        <v>0</v>
      </c>
      <c r="BD382" s="775">
        <f t="shared" ca="1" si="226"/>
        <v>0</v>
      </c>
      <c r="BE382" s="775">
        <f t="shared" ca="1" si="227"/>
        <v>0</v>
      </c>
      <c r="BF382" s="775">
        <f t="shared" ca="1" si="228"/>
        <v>0</v>
      </c>
      <c r="BG382" s="775">
        <f t="shared" ca="1" si="229"/>
        <v>0</v>
      </c>
      <c r="BH382" s="775">
        <f t="shared" ca="1" si="247"/>
        <v>0</v>
      </c>
      <c r="BI382" s="775">
        <f t="shared" ca="1" si="248"/>
        <v>0</v>
      </c>
      <c r="BJ382" s="775">
        <f t="shared" ca="1" si="249"/>
        <v>0</v>
      </c>
      <c r="BK382" s="775">
        <f t="shared" si="250"/>
        <v>0</v>
      </c>
      <c r="BL382" s="775">
        <f t="shared" ca="1" si="251"/>
        <v>0</v>
      </c>
      <c r="BM382" s="775">
        <f t="shared" ca="1" si="252"/>
        <v>0</v>
      </c>
      <c r="BN382" s="775">
        <f t="shared" ca="1" si="253"/>
        <v>0</v>
      </c>
      <c r="BO382" s="775">
        <f t="shared" ca="1" si="254"/>
        <v>0</v>
      </c>
      <c r="BP382" s="775">
        <f t="shared" ca="1" si="255"/>
        <v>0</v>
      </c>
      <c r="BQ382" s="775">
        <f t="shared" ca="1" si="170"/>
        <v>0</v>
      </c>
      <c r="BR382" s="775">
        <f t="shared" ca="1" si="256"/>
        <v>0</v>
      </c>
    </row>
    <row r="383" spans="1:70">
      <c r="A383" s="767" t="str">
        <f t="shared" ca="1" si="219"/>
        <v/>
      </c>
      <c r="B383" s="767" t="s">
        <v>1278</v>
      </c>
      <c r="C383" s="188" t="str">
        <f ca="1">IF(F383=0,"",COUNTIF($F$78:$F383,"&gt;0"))</f>
        <v/>
      </c>
      <c r="D383" s="778" t="str">
        <f>VLOOKUP($B383,dongia1,DG!$C$5,)</f>
        <v>Biển số - Bảng nguy hiểm</v>
      </c>
      <c r="E383" s="555" t="str">
        <f>VLOOKUP($B383,dongia1,DG!$D$5,)</f>
        <v>cái</v>
      </c>
      <c r="F383" s="779">
        <f t="shared" ca="1" si="260"/>
        <v>0</v>
      </c>
      <c r="G383" s="775">
        <f t="shared" ca="1" si="257"/>
        <v>0</v>
      </c>
      <c r="H383" s="775">
        <f ca="1">SUMIF(CT_tram!$B$33:$G$3559,kl!B383,CT_tram!$G$33:$G$3559)</f>
        <v>0</v>
      </c>
      <c r="I383" s="775">
        <f ca="1">SUMIF(CT_tram!$B$34:$G$115,$B383,CT_tram!$G$34:$G$115)</f>
        <v>0</v>
      </c>
      <c r="J383" s="775">
        <f ca="1">SUMIF(CT_tram!$B$122:$G$204,$B383,CT_tram!$G$122:$G$204)</f>
        <v>0</v>
      </c>
      <c r="K383" s="775">
        <f ca="1">SUMIF(CT_tram!$B$211:$G$293,$B383,CT_tram!$G$211:$G$293)</f>
        <v>0</v>
      </c>
      <c r="L383" s="775">
        <f ca="1">SUMIF(CT_tram!$B$300:$G$374,$B383,CT_tram!$G$300:$G$374)</f>
        <v>0</v>
      </c>
      <c r="M383" s="775">
        <f ca="1">SUMIF(CT_tram!$B$381:$G$471,$B383,CT_tram!$G$381:$G$471)</f>
        <v>0</v>
      </c>
      <c r="N383" s="775">
        <f ca="1">SUMIF(CT_tram!$B$478:$G$560,$B383,CT_tram!$G$478:$G$560)</f>
        <v>0</v>
      </c>
      <c r="O383" s="775">
        <f ca="1">SUMIF(CT_tram!$B$567:$G$653,$B383,CT_tram!$G$567:$G$653)</f>
        <v>0</v>
      </c>
      <c r="P383" s="775">
        <f ca="1">SUMIF(CT_tram!$B$661:$G$738,$B383,CT_tram!$G$661:$G$738)</f>
        <v>0</v>
      </c>
      <c r="Q383" s="775">
        <f ca="1">SUMIF(CT_tram!$B$745:$G$899,$B383,CT_tram!$G$745:$G$899)</f>
        <v>0</v>
      </c>
      <c r="R383" s="775">
        <f ca="1">SUMIF(CT_tram!$B$907:$G$995,$B383,CT_tram!$G$907:$G$995)</f>
        <v>0</v>
      </c>
      <c r="S383" s="775"/>
      <c r="T383" s="775">
        <f ca="1">SUMIF(CT_tram!$B$1004:$G$1097,B383,CT_tram!$G$1004:$G$1097)</f>
        <v>0</v>
      </c>
      <c r="U383" s="775"/>
      <c r="V383" s="775">
        <f ca="1">SUMIF(CT_tram!$B$1226:$G$1352,kl!B383,CT_tram!$G$1226:$G$1352)</f>
        <v>0</v>
      </c>
      <c r="W383" s="780">
        <f ca="1">SUMIF(CT_tram!$B$1105:$G$1219,kl!B383,CT_tram!$G$1105:$G$1219)</f>
        <v>0</v>
      </c>
      <c r="X383" s="775">
        <f ca="1">SUMIF(CT_tram!$B$1359:$G$1504,kl!B383,CT_tram!$G$1359:$G$1504)</f>
        <v>0</v>
      </c>
      <c r="Y383" s="775">
        <f ca="1">SUMIF(CT_tram!$B$1511:$G$1625,kl!B383,CT_tram!$G$1511:$G$1625)</f>
        <v>0</v>
      </c>
      <c r="Z383" s="775">
        <f ca="1">SUMIF(CT_tram!$B$1632:$G$2211,kl!B383,CT_tram!$G$1632:$G$2211)</f>
        <v>0</v>
      </c>
      <c r="AA383" s="775">
        <f ca="1">SUMIF(CT_tram!$B$2243:$G$2384,kl!B383,CT_tram!$G$2243:$G$2384)</f>
        <v>0</v>
      </c>
      <c r="AB383" s="775">
        <f ca="1">SUMIF(CT_tram!$B$2391:$G$2563,kl!B383,CT_tram!$G$2391:$G$2563)</f>
        <v>0</v>
      </c>
      <c r="AC383" s="775">
        <f ca="1">SUMIF(chitiet!$B$13:$N$2352,kl!$B383,chitiet!$I$13:$I$2352)</f>
        <v>0</v>
      </c>
      <c r="AD383" s="775">
        <f ca="1">SUMIF(chitiet!$B$13:$N$2352,kl!$B383,chitiet!$J$13:$J$2352)</f>
        <v>0</v>
      </c>
      <c r="AE383" s="775">
        <f ca="1">SUMIF(chitiet!$B$13:$N$2352,kl!$B383,chitiet!$K$13:$K$2352)</f>
        <v>0</v>
      </c>
      <c r="AF383" s="775">
        <f ca="1">SUMIF(chitiet!$B$13:$N$2352,kl!$B383,chitiet!$L$13:$L$2352)</f>
        <v>0</v>
      </c>
      <c r="AG383" s="775">
        <f ca="1">SUMIF(chitiet!$B$13:$N$2352,kl!$B383,chitiet!$M$13)</f>
        <v>0</v>
      </c>
      <c r="AH383" s="775">
        <f ca="1">SUMIF(chitiet!$B$13:$N$2352,kl!$B383,chitiet!$N$13:$N$2352)*0</f>
        <v>0</v>
      </c>
      <c r="AI383" s="775">
        <f ca="1">SUMIF(chitiet!$B$13:$N$2352,kl!$B383,chitiet!$O$13:$O$2352)</f>
        <v>0</v>
      </c>
      <c r="AJ383" s="775">
        <f ca="1">SUMIF('Cap ngam'!$B$631:$G$723,kl!$B383,'Cap ngam'!$G$631:$G$723)</f>
        <v>0</v>
      </c>
      <c r="AK383" s="775">
        <f ca="1">SUMIF('Cap ngam'!$B$403:$G$628,kl!$B383,'Cap ngam'!G$403:G$628)</f>
        <v>0</v>
      </c>
      <c r="AL383" s="775">
        <f ca="1">SUMIF('Cap ngam'!B$16:G$400,kl!$B383,'Cap ngam'!G$16:G$400)</f>
        <v>0</v>
      </c>
      <c r="AM383" s="776">
        <v>0.5</v>
      </c>
      <c r="AN383" s="775">
        <f t="shared" ca="1" si="233"/>
        <v>0</v>
      </c>
      <c r="AO383" s="775">
        <f t="shared" ca="1" si="234"/>
        <v>0</v>
      </c>
      <c r="AP383" s="775">
        <f t="shared" ca="1" si="235"/>
        <v>0</v>
      </c>
      <c r="AQ383" s="775">
        <f t="shared" ca="1" si="236"/>
        <v>0</v>
      </c>
      <c r="AR383" s="775">
        <f t="shared" ca="1" si="237"/>
        <v>0</v>
      </c>
      <c r="AS383" s="775">
        <f t="shared" ca="1" si="238"/>
        <v>0</v>
      </c>
      <c r="AT383" s="775">
        <f t="shared" ca="1" si="239"/>
        <v>0</v>
      </c>
      <c r="AU383" s="775">
        <f t="shared" ca="1" si="240"/>
        <v>0</v>
      </c>
      <c r="AV383" s="775">
        <f t="shared" ca="1" si="241"/>
        <v>0</v>
      </c>
      <c r="AW383" s="775">
        <f t="shared" ca="1" si="242"/>
        <v>0</v>
      </c>
      <c r="AX383" s="775">
        <f t="shared" si="243"/>
        <v>0</v>
      </c>
      <c r="AY383" s="775">
        <f t="shared" ca="1" si="244"/>
        <v>0</v>
      </c>
      <c r="AZ383" s="775">
        <f t="shared" si="245"/>
        <v>0</v>
      </c>
      <c r="BA383" s="775">
        <f t="shared" ca="1" si="223"/>
        <v>0</v>
      </c>
      <c r="BB383" s="775">
        <f t="shared" ca="1" si="224"/>
        <v>0</v>
      </c>
      <c r="BC383" s="775">
        <f t="shared" ca="1" si="225"/>
        <v>0</v>
      </c>
      <c r="BD383" s="775">
        <f t="shared" ca="1" si="226"/>
        <v>0</v>
      </c>
      <c r="BE383" s="775">
        <f t="shared" ca="1" si="227"/>
        <v>0</v>
      </c>
      <c r="BF383" s="775">
        <f t="shared" ca="1" si="228"/>
        <v>0</v>
      </c>
      <c r="BG383" s="775">
        <f t="shared" ca="1" si="229"/>
        <v>0</v>
      </c>
      <c r="BH383" s="775">
        <f t="shared" ca="1" si="247"/>
        <v>0</v>
      </c>
      <c r="BI383" s="775">
        <f t="shared" ca="1" si="248"/>
        <v>0</v>
      </c>
      <c r="BJ383" s="775">
        <f t="shared" ca="1" si="249"/>
        <v>0</v>
      </c>
      <c r="BK383" s="775">
        <f t="shared" ca="1" si="250"/>
        <v>0</v>
      </c>
      <c r="BL383" s="775">
        <f t="shared" ca="1" si="251"/>
        <v>0</v>
      </c>
      <c r="BM383" s="775">
        <f t="shared" ca="1" si="252"/>
        <v>0</v>
      </c>
      <c r="BN383" s="775">
        <f t="shared" ca="1" si="253"/>
        <v>0</v>
      </c>
      <c r="BO383" s="775">
        <f t="shared" ca="1" si="254"/>
        <v>0</v>
      </c>
      <c r="BP383" s="775">
        <f t="shared" ca="1" si="255"/>
        <v>0</v>
      </c>
      <c r="BQ383" s="775">
        <f t="shared" ca="1" si="170"/>
        <v>0</v>
      </c>
      <c r="BR383" s="775">
        <f t="shared" ca="1" si="256"/>
        <v>0</v>
      </c>
    </row>
    <row r="384" spans="1:70">
      <c r="A384" s="767" t="str">
        <f t="shared" ca="1" si="219"/>
        <v>X</v>
      </c>
      <c r="B384" s="767" t="s">
        <v>340</v>
      </c>
      <c r="C384" s="188">
        <f ca="1">IF(F384=0,"",COUNTIF($F$78:$F384,"&gt;0"))</f>
        <v>38</v>
      </c>
      <c r="D384" s="778" t="str">
        <f>VLOOKUP($B384,dongia1,DG!$C$5,)</f>
        <v>Yếm đỡ dày chằng F1/2 mạ Zn (Yếm cáp)</v>
      </c>
      <c r="E384" s="555" t="str">
        <f>VLOOKUP($B384,dongia1,DG!$D$5,)</f>
        <v>cái</v>
      </c>
      <c r="F384" s="975">
        <f t="shared" ca="1" si="260"/>
        <v>4</v>
      </c>
      <c r="G384" s="976">
        <f t="shared" ca="1" si="257"/>
        <v>4</v>
      </c>
      <c r="H384" s="976">
        <f ca="1">SUMIF(CT_tram!$B$33:$G$3559,kl!B384,CT_tram!$G$33:$G$3559)</f>
        <v>0</v>
      </c>
      <c r="I384" s="775">
        <f ca="1">SUMIF(CT_tram!$B$34:$G$115,$B384,CT_tram!$G$34:$G$115)</f>
        <v>0</v>
      </c>
      <c r="J384" s="775">
        <f ca="1">SUMIF(CT_tram!$B$122:$G$204,$B384,CT_tram!$G$122:$G$204)</f>
        <v>0</v>
      </c>
      <c r="K384" s="775">
        <f ca="1">SUMIF(CT_tram!$B$211:$G$293,$B384,CT_tram!$G$211:$G$293)</f>
        <v>0</v>
      </c>
      <c r="L384" s="775">
        <f ca="1">SUMIF(CT_tram!$B$300:$G$374,$B384,CT_tram!$G$300:$G$374)</f>
        <v>0</v>
      </c>
      <c r="M384" s="775">
        <f ca="1">SUMIF(CT_tram!$B$381:$G$471,$B384,CT_tram!$G$381:$G$471)</f>
        <v>0</v>
      </c>
      <c r="N384" s="775">
        <f ca="1">SUMIF(CT_tram!$B$478:$G$560,$B384,CT_tram!$G$478:$G$560)</f>
        <v>0</v>
      </c>
      <c r="O384" s="775">
        <f ca="1">SUMIF(CT_tram!$B$567:$G$653,$B384,CT_tram!$G$567:$G$653)</f>
        <v>0</v>
      </c>
      <c r="P384" s="775">
        <f ca="1">SUMIF(CT_tram!$B$661:$G$738,$B384,CT_tram!$G$661:$G$738)</f>
        <v>0</v>
      </c>
      <c r="Q384" s="775">
        <f ca="1">SUMIF(CT_tram!$B$745:$G$899,$B384,CT_tram!$G$745:$G$899)</f>
        <v>0</v>
      </c>
      <c r="R384" s="775">
        <f ca="1">SUMIF(CT_tram!$B$907:$G$995,$B384,CT_tram!$G$907:$G$995)</f>
        <v>0</v>
      </c>
      <c r="S384" s="775"/>
      <c r="T384" s="775">
        <f ca="1">SUMIF(CT_tram!$B$1004:$G$1097,B384,CT_tram!$G$1004:$G$1097)</f>
        <v>0</v>
      </c>
      <c r="U384" s="775"/>
      <c r="V384" s="775">
        <f ca="1">SUMIF(CT_tram!$B$1226:$G$1352,kl!B384,CT_tram!$G$1226:$G$1352)</f>
        <v>0</v>
      </c>
      <c r="W384" s="780">
        <f ca="1">SUMIF(CT_tram!$B$1105:$G$1219,kl!B384,CT_tram!$G$1105:$G$1219)</f>
        <v>0</v>
      </c>
      <c r="X384" s="775">
        <f ca="1">SUMIF(CT_tram!$B$1359:$G$1504,kl!B384,CT_tram!$G$1359:$G$1504)</f>
        <v>0</v>
      </c>
      <c r="Y384" s="775">
        <f ca="1">SUMIF(CT_tram!$B$1511:$G$1625,kl!B384,CT_tram!$G$1511:$G$1625)</f>
        <v>0</v>
      </c>
      <c r="Z384" s="775">
        <f ca="1">SUMIF(CT_tram!$B$1632:$G$2211,kl!B384,CT_tram!$G$1632:$G$2211)</f>
        <v>0</v>
      </c>
      <c r="AA384" s="775">
        <f ca="1">SUMIF(CT_tram!$B$2243:$G$2384,kl!B384,CT_tram!$G$2243:$G$2384)</f>
        <v>0</v>
      </c>
      <c r="AB384" s="775">
        <f ca="1">SUMIF(CT_tram!$B$2391:$G$2563,kl!B384,CT_tram!$G$2391:$G$2563)</f>
        <v>0</v>
      </c>
      <c r="AC384" s="775">
        <f ca="1">SUMIF(chitiet!$B$13:$N$2352,kl!$B384,chitiet!$I$13:$I$2352)</f>
        <v>0</v>
      </c>
      <c r="AD384" s="775">
        <f ca="1">SUMIF(chitiet!$B$13:$N$2352,kl!$B384,chitiet!$J$13:$J$2352)</f>
        <v>0</v>
      </c>
      <c r="AE384" s="775">
        <f ca="1">SUMIF(chitiet!$B$13:$N$2352,kl!$B384,chitiet!$K$13:$K$2352)</f>
        <v>4</v>
      </c>
      <c r="AF384" s="775">
        <f ca="1">SUMIF(chitiet!$B$13:$N$2352,kl!$B384,chitiet!$L$13:$L$2352)</f>
        <v>0</v>
      </c>
      <c r="AG384" s="775">
        <f ca="1">SUMIF(chitiet!$B$13:$N$2352,kl!$B384,chitiet!$M$13)</f>
        <v>0</v>
      </c>
      <c r="AH384" s="775">
        <f ca="1">SUMIF(chitiet!$B$13:$N$2352,kl!$B384,chitiet!$N$13:$N$2352)</f>
        <v>0</v>
      </c>
      <c r="AI384" s="775">
        <f ca="1">SUMIF(chitiet!$B$13:$N$2352,kl!$B384,chitiet!$O$13:$O$2352)</f>
        <v>0</v>
      </c>
      <c r="AJ384" s="775">
        <f ca="1">SUMIF('Cap ngam'!$B$631:$G$723,kl!$B384,'Cap ngam'!$G$631:$G$723)</f>
        <v>0</v>
      </c>
      <c r="AK384" s="775">
        <f ca="1">SUMIF('Cap ngam'!$B$403:$G$628,kl!$B384,'Cap ngam'!G$403:G$628)</f>
        <v>0</v>
      </c>
      <c r="AL384" s="775">
        <f ca="1">SUMIF('Cap ngam'!B$16:G$400,kl!$B384,'Cap ngam'!G$16:G$400)</f>
        <v>0</v>
      </c>
      <c r="AM384" s="776">
        <v>0.3</v>
      </c>
      <c r="AN384" s="775">
        <f ca="1">I384*$AM384</f>
        <v>0</v>
      </c>
      <c r="AO384" s="775">
        <f t="shared" ca="1" si="234"/>
        <v>0</v>
      </c>
      <c r="AP384" s="775">
        <f t="shared" ca="1" si="235"/>
        <v>0</v>
      </c>
      <c r="AQ384" s="775">
        <f t="shared" ca="1" si="236"/>
        <v>0</v>
      </c>
      <c r="AR384" s="775">
        <f t="shared" ca="1" si="237"/>
        <v>0</v>
      </c>
      <c r="AS384" s="775">
        <f t="shared" ca="1" si="238"/>
        <v>0</v>
      </c>
      <c r="AT384" s="775">
        <f t="shared" ca="1" si="239"/>
        <v>0</v>
      </c>
      <c r="AU384" s="775">
        <f t="shared" ca="1" si="240"/>
        <v>0</v>
      </c>
      <c r="AV384" s="775">
        <f t="shared" ca="1" si="241"/>
        <v>0</v>
      </c>
      <c r="AW384" s="775">
        <f t="shared" ca="1" si="242"/>
        <v>0</v>
      </c>
      <c r="AX384" s="775">
        <f t="shared" si="243"/>
        <v>0</v>
      </c>
      <c r="AY384" s="775">
        <f t="shared" ca="1" si="244"/>
        <v>0</v>
      </c>
      <c r="AZ384" s="775">
        <f t="shared" si="245"/>
        <v>0</v>
      </c>
      <c r="BA384" s="775">
        <f t="shared" ca="1" si="223"/>
        <v>0</v>
      </c>
      <c r="BB384" s="775">
        <f t="shared" ca="1" si="224"/>
        <v>0</v>
      </c>
      <c r="BC384" s="775">
        <f t="shared" ca="1" si="225"/>
        <v>0</v>
      </c>
      <c r="BD384" s="775">
        <f t="shared" ca="1" si="226"/>
        <v>0</v>
      </c>
      <c r="BE384" s="775">
        <f t="shared" ca="1" si="227"/>
        <v>0</v>
      </c>
      <c r="BF384" s="775">
        <f t="shared" ca="1" si="228"/>
        <v>0</v>
      </c>
      <c r="BG384" s="775">
        <f t="shared" ca="1" si="229"/>
        <v>0</v>
      </c>
      <c r="BH384" s="775">
        <f t="shared" ca="1" si="247"/>
        <v>0</v>
      </c>
      <c r="BI384" s="775">
        <f t="shared" ca="1" si="248"/>
        <v>0</v>
      </c>
      <c r="BJ384" s="775">
        <f t="shared" ca="1" si="249"/>
        <v>1.2</v>
      </c>
      <c r="BK384" s="775">
        <f t="shared" ca="1" si="250"/>
        <v>0</v>
      </c>
      <c r="BL384" s="775">
        <f t="shared" ca="1" si="251"/>
        <v>0</v>
      </c>
      <c r="BM384" s="775">
        <f t="shared" ca="1" si="252"/>
        <v>0</v>
      </c>
      <c r="BN384" s="775">
        <f t="shared" ca="1" si="253"/>
        <v>0</v>
      </c>
      <c r="BO384" s="775">
        <f t="shared" ca="1" si="254"/>
        <v>0</v>
      </c>
      <c r="BP384" s="775">
        <f t="shared" ca="1" si="255"/>
        <v>0</v>
      </c>
      <c r="BQ384" s="775">
        <f t="shared" ca="1" si="170"/>
        <v>0</v>
      </c>
      <c r="BR384" s="775">
        <f t="shared" ca="1" si="256"/>
        <v>0</v>
      </c>
    </row>
    <row r="385" spans="3:70" s="800" customFormat="1">
      <c r="C385" s="802" t="s">
        <v>120</v>
      </c>
      <c r="D385" s="803"/>
      <c r="E385" s="803"/>
      <c r="F385" s="978"/>
      <c r="G385" s="978"/>
      <c r="H385" s="978"/>
      <c r="I385" s="804"/>
      <c r="J385" s="804"/>
      <c r="K385" s="804"/>
      <c r="L385" s="804"/>
      <c r="M385" s="804"/>
      <c r="N385" s="804"/>
      <c r="O385" s="804"/>
      <c r="P385" s="804"/>
      <c r="Q385" s="804"/>
      <c r="R385" s="804"/>
      <c r="S385" s="804"/>
      <c r="T385" s="804"/>
      <c r="U385" s="804"/>
      <c r="V385" s="804"/>
      <c r="W385" s="804"/>
      <c r="X385" s="804"/>
      <c r="Y385" s="804"/>
      <c r="Z385" s="804"/>
      <c r="AA385" s="804"/>
      <c r="AB385" s="804"/>
      <c r="AC385" s="804"/>
      <c r="AD385" s="804"/>
      <c r="AE385" s="804"/>
      <c r="AF385" s="804"/>
      <c r="AG385" s="804"/>
      <c r="AH385" s="804"/>
      <c r="AI385" s="804"/>
      <c r="AJ385" s="805"/>
      <c r="AK385" s="805"/>
      <c r="AL385" s="805"/>
      <c r="AM385" s="806"/>
      <c r="AN385" s="805">
        <f t="shared" ref="AN385:AZ385" ca="1" si="261">SUM(AN6:AN384)</f>
        <v>0</v>
      </c>
      <c r="AO385" s="805">
        <f t="shared" ca="1" si="261"/>
        <v>0</v>
      </c>
      <c r="AP385" s="805">
        <f t="shared" ca="1" si="261"/>
        <v>0</v>
      </c>
      <c r="AQ385" s="805">
        <f t="shared" ca="1" si="261"/>
        <v>0</v>
      </c>
      <c r="AR385" s="805">
        <f t="shared" ca="1" si="261"/>
        <v>0</v>
      </c>
      <c r="AS385" s="805">
        <f t="shared" ca="1" si="261"/>
        <v>0</v>
      </c>
      <c r="AT385" s="805">
        <f t="shared" ca="1" si="261"/>
        <v>0</v>
      </c>
      <c r="AU385" s="805">
        <f t="shared" ca="1" si="261"/>
        <v>0</v>
      </c>
      <c r="AV385" s="805">
        <f t="shared" ca="1" si="261"/>
        <v>0</v>
      </c>
      <c r="AW385" s="805">
        <f t="shared" ca="1" si="261"/>
        <v>0</v>
      </c>
      <c r="AX385" s="805">
        <f t="shared" si="261"/>
        <v>0</v>
      </c>
      <c r="AY385" s="805">
        <f t="shared" ca="1" si="261"/>
        <v>0</v>
      </c>
      <c r="AZ385" s="805">
        <f t="shared" si="261"/>
        <v>0</v>
      </c>
      <c r="BA385" s="805">
        <f t="shared" ref="BA385:BG385" ca="1" si="262">SUM(BA6:BA384)</f>
        <v>0</v>
      </c>
      <c r="BB385" s="805">
        <f ca="1">SUM(BB6:BB384)</f>
        <v>0</v>
      </c>
      <c r="BC385" s="805">
        <f t="shared" ca="1" si="262"/>
        <v>0</v>
      </c>
      <c r="BD385" s="805">
        <f t="shared" ca="1" si="262"/>
        <v>0</v>
      </c>
      <c r="BE385" s="805">
        <f t="shared" ca="1" si="262"/>
        <v>0</v>
      </c>
      <c r="BF385" s="805">
        <f t="shared" ca="1" si="262"/>
        <v>0</v>
      </c>
      <c r="BG385" s="805">
        <f t="shared" ca="1" si="262"/>
        <v>0</v>
      </c>
      <c r="BH385" s="805">
        <f t="shared" ref="BH385:BR385" ca="1" si="263">SUM(BH6:BH384)</f>
        <v>0</v>
      </c>
      <c r="BI385" s="805">
        <f t="shared" ca="1" si="263"/>
        <v>0</v>
      </c>
      <c r="BJ385" s="805">
        <f t="shared" ca="1" si="263"/>
        <v>256.19358</v>
      </c>
      <c r="BK385" s="805">
        <f t="shared" ca="1" si="263"/>
        <v>0</v>
      </c>
      <c r="BL385" s="805">
        <f t="shared" ca="1" si="263"/>
        <v>0</v>
      </c>
      <c r="BM385" s="805">
        <f t="shared" ca="1" si="263"/>
        <v>0</v>
      </c>
      <c r="BN385" s="805">
        <f t="shared" ca="1" si="263"/>
        <v>0</v>
      </c>
      <c r="BO385" s="805">
        <f t="shared" ca="1" si="263"/>
        <v>0</v>
      </c>
      <c r="BP385" s="805" t="e">
        <f t="shared" ca="1" si="263"/>
        <v>#REF!</v>
      </c>
      <c r="BQ385" s="805">
        <f t="shared" ca="1" si="263"/>
        <v>0</v>
      </c>
      <c r="BR385" s="805">
        <f t="shared" ca="1" si="263"/>
        <v>2885.3174800000002</v>
      </c>
    </row>
    <row r="386" spans="3:70" s="800" customFormat="1">
      <c r="D386" s="800" t="s">
        <v>4716</v>
      </c>
      <c r="F386" s="807"/>
      <c r="AM386" s="808"/>
      <c r="AN386" s="809">
        <f t="shared" ref="AN386:AZ386" ca="1" si="264">SUM(AN6:AN24)</f>
        <v>0</v>
      </c>
      <c r="AO386" s="809">
        <f t="shared" ca="1" si="264"/>
        <v>0</v>
      </c>
      <c r="AP386" s="809">
        <f t="shared" ca="1" si="264"/>
        <v>0</v>
      </c>
      <c r="AQ386" s="809">
        <f t="shared" ca="1" si="264"/>
        <v>0</v>
      </c>
      <c r="AR386" s="809">
        <f t="shared" ca="1" si="264"/>
        <v>0</v>
      </c>
      <c r="AS386" s="809">
        <f t="shared" ca="1" si="264"/>
        <v>0</v>
      </c>
      <c r="AT386" s="809">
        <f t="shared" ca="1" si="264"/>
        <v>0</v>
      </c>
      <c r="AU386" s="809">
        <f t="shared" ca="1" si="264"/>
        <v>0</v>
      </c>
      <c r="AV386" s="809">
        <f t="shared" ca="1" si="264"/>
        <v>0</v>
      </c>
      <c r="AW386" s="809">
        <f t="shared" ca="1" si="264"/>
        <v>0</v>
      </c>
      <c r="AX386" s="809">
        <f t="shared" si="264"/>
        <v>0</v>
      </c>
      <c r="AY386" s="809">
        <f t="shared" ca="1" si="264"/>
        <v>0</v>
      </c>
      <c r="AZ386" s="809">
        <f t="shared" si="264"/>
        <v>0</v>
      </c>
      <c r="BA386" s="809">
        <f t="shared" ref="BA386:BG386" ca="1" si="265">SUM(BA6:BA24)</f>
        <v>0</v>
      </c>
      <c r="BB386" s="809">
        <f ca="1">SUM(BB6:BB24)</f>
        <v>0</v>
      </c>
      <c r="BC386" s="809">
        <f t="shared" ca="1" si="265"/>
        <v>0</v>
      </c>
      <c r="BD386" s="809">
        <f t="shared" ca="1" si="265"/>
        <v>0</v>
      </c>
      <c r="BE386" s="809">
        <f t="shared" ca="1" si="265"/>
        <v>0</v>
      </c>
      <c r="BF386" s="809">
        <f t="shared" ca="1" si="265"/>
        <v>0</v>
      </c>
      <c r="BG386" s="809">
        <f t="shared" ca="1" si="265"/>
        <v>0</v>
      </c>
      <c r="BH386" s="809">
        <f t="shared" ref="BH386:BR386" si="266">SUM(BH6:BH24)</f>
        <v>0</v>
      </c>
      <c r="BI386" s="809">
        <f t="shared" si="266"/>
        <v>0</v>
      </c>
      <c r="BJ386" s="809">
        <f>SUM(BJ6:BJ24)</f>
        <v>0</v>
      </c>
      <c r="BK386" s="809">
        <f t="shared" si="266"/>
        <v>0</v>
      </c>
      <c r="BL386" s="809">
        <f t="shared" si="266"/>
        <v>0</v>
      </c>
      <c r="BM386" s="809">
        <f t="shared" si="266"/>
        <v>0</v>
      </c>
      <c r="BN386" s="809">
        <f t="shared" si="266"/>
        <v>0</v>
      </c>
      <c r="BO386" s="809">
        <f t="shared" si="266"/>
        <v>0</v>
      </c>
      <c r="BP386" s="809">
        <f t="shared" si="266"/>
        <v>0</v>
      </c>
      <c r="BQ386" s="809">
        <f t="shared" ca="1" si="266"/>
        <v>0</v>
      </c>
      <c r="BR386" s="809">
        <f t="shared" ca="1" si="266"/>
        <v>2304</v>
      </c>
    </row>
    <row r="387" spans="3:70" s="800" customFormat="1">
      <c r="D387" s="800" t="s">
        <v>4748</v>
      </c>
      <c r="G387" s="810"/>
      <c r="H387" s="807"/>
      <c r="I387" s="807"/>
      <c r="J387" s="807"/>
      <c r="K387" s="807"/>
      <c r="L387" s="807"/>
      <c r="M387" s="807"/>
      <c r="N387" s="807"/>
      <c r="O387" s="807"/>
      <c r="P387" s="807"/>
      <c r="Q387" s="807"/>
      <c r="R387" s="807"/>
      <c r="S387" s="807"/>
      <c r="T387" s="807"/>
      <c r="U387" s="807"/>
      <c r="V387" s="807"/>
      <c r="W387" s="807"/>
      <c r="X387" s="807"/>
      <c r="Y387" s="807"/>
      <c r="Z387" s="807"/>
      <c r="AA387" s="807"/>
      <c r="AB387" s="807"/>
      <c r="AC387" s="807">
        <f t="shared" ref="AC387:AI387" ca="1" si="267">SUM(AC360:AC361)+SUM(AC362:AC365)</f>
        <v>0</v>
      </c>
      <c r="AD387" s="807">
        <f t="shared" ca="1" si="267"/>
        <v>0</v>
      </c>
      <c r="AE387" s="807">
        <f t="shared" ca="1" si="267"/>
        <v>0</v>
      </c>
      <c r="AF387" s="807">
        <f t="shared" ca="1" si="267"/>
        <v>0</v>
      </c>
      <c r="AG387" s="807">
        <f t="shared" ca="1" si="267"/>
        <v>0</v>
      </c>
      <c r="AH387" s="807">
        <f t="shared" ca="1" si="267"/>
        <v>0</v>
      </c>
      <c r="AI387" s="807">
        <f t="shared" ca="1" si="267"/>
        <v>0</v>
      </c>
      <c r="AJ387" s="807"/>
      <c r="AK387" s="807"/>
      <c r="AL387" s="807"/>
      <c r="AM387" s="811"/>
      <c r="AN387" s="809">
        <f t="shared" ref="AN387:AZ387" ca="1" si="268">SUM(AN25:AN384)-AN388-AN389</f>
        <v>0</v>
      </c>
      <c r="AO387" s="809">
        <f t="shared" ca="1" si="268"/>
        <v>0</v>
      </c>
      <c r="AP387" s="809">
        <f t="shared" ca="1" si="268"/>
        <v>0</v>
      </c>
      <c r="AQ387" s="809">
        <f t="shared" ca="1" si="268"/>
        <v>0</v>
      </c>
      <c r="AR387" s="809">
        <f t="shared" ca="1" si="268"/>
        <v>0</v>
      </c>
      <c r="AS387" s="809">
        <f t="shared" ca="1" si="268"/>
        <v>0</v>
      </c>
      <c r="AT387" s="809">
        <f t="shared" ca="1" si="268"/>
        <v>0</v>
      </c>
      <c r="AU387" s="809">
        <f t="shared" ca="1" si="268"/>
        <v>0</v>
      </c>
      <c r="AV387" s="809">
        <f t="shared" ca="1" si="268"/>
        <v>0</v>
      </c>
      <c r="AW387" s="809">
        <f t="shared" ca="1" si="268"/>
        <v>0</v>
      </c>
      <c r="AX387" s="809">
        <f t="shared" si="268"/>
        <v>0</v>
      </c>
      <c r="AY387" s="809">
        <f t="shared" ca="1" si="268"/>
        <v>0</v>
      </c>
      <c r="AZ387" s="809">
        <f t="shared" si="268"/>
        <v>0</v>
      </c>
      <c r="BA387" s="809">
        <f t="shared" ref="BA387:BG387" ca="1" si="269">SUM(BA25:BA384)-BA388-BA389</f>
        <v>0</v>
      </c>
      <c r="BB387" s="809">
        <f ca="1">SUM(BB25:BB384)-BB388-BB389</f>
        <v>0</v>
      </c>
      <c r="BC387" s="809">
        <f t="shared" ca="1" si="269"/>
        <v>0</v>
      </c>
      <c r="BD387" s="809">
        <f t="shared" ca="1" si="269"/>
        <v>0</v>
      </c>
      <c r="BE387" s="809">
        <f t="shared" ca="1" si="269"/>
        <v>0</v>
      </c>
      <c r="BF387" s="809">
        <f t="shared" ca="1" si="269"/>
        <v>0</v>
      </c>
      <c r="BG387" s="809">
        <f t="shared" ca="1" si="269"/>
        <v>0</v>
      </c>
      <c r="BH387" s="809">
        <f t="shared" ref="BH387:BR387" ca="1" si="270">SUM(BH25:BH384)-BH388-BH389</f>
        <v>0</v>
      </c>
      <c r="BI387" s="809">
        <f t="shared" ca="1" si="270"/>
        <v>0</v>
      </c>
      <c r="BJ387" s="809">
        <f ca="1">SUM(BJ25:BJ384)-BJ388-BJ389</f>
        <v>256.19358</v>
      </c>
      <c r="BK387" s="809">
        <f t="shared" ca="1" si="270"/>
        <v>0</v>
      </c>
      <c r="BL387" s="809">
        <f t="shared" ca="1" si="270"/>
        <v>0</v>
      </c>
      <c r="BM387" s="809">
        <f t="shared" ca="1" si="270"/>
        <v>0</v>
      </c>
      <c r="BN387" s="809">
        <f t="shared" ca="1" si="270"/>
        <v>0</v>
      </c>
      <c r="BO387" s="809">
        <f t="shared" ca="1" si="270"/>
        <v>0</v>
      </c>
      <c r="BP387" s="809" t="e">
        <f t="shared" ca="1" si="270"/>
        <v>#REF!</v>
      </c>
      <c r="BQ387" s="809">
        <f t="shared" ca="1" si="270"/>
        <v>0</v>
      </c>
      <c r="BR387" s="809">
        <f t="shared" ca="1" si="270"/>
        <v>581.31747999999993</v>
      </c>
    </row>
    <row r="388" spans="3:70" s="800" customFormat="1">
      <c r="D388" s="800" t="s">
        <v>4746</v>
      </c>
      <c r="G388" s="810"/>
      <c r="H388" s="807"/>
      <c r="I388" s="807"/>
      <c r="J388" s="807"/>
      <c r="K388" s="807"/>
      <c r="L388" s="807"/>
      <c r="M388" s="807"/>
      <c r="N388" s="807"/>
      <c r="O388" s="807"/>
      <c r="P388" s="807"/>
      <c r="Q388" s="807"/>
      <c r="R388" s="807"/>
      <c r="S388" s="807"/>
      <c r="T388" s="807"/>
      <c r="U388" s="807"/>
      <c r="V388" s="807"/>
      <c r="W388" s="807"/>
      <c r="X388" s="807"/>
      <c r="Y388" s="807"/>
      <c r="Z388" s="807"/>
      <c r="AA388" s="807"/>
      <c r="AB388" s="807"/>
      <c r="AC388" s="807">
        <f ca="1">SUM(AC366:AC376)</f>
        <v>0</v>
      </c>
      <c r="AD388" s="807">
        <f ca="1">SUM(AD366:AD376)</f>
        <v>0</v>
      </c>
      <c r="AE388" s="807">
        <f ca="1">SUM(AE366:AE376)</f>
        <v>0</v>
      </c>
      <c r="AF388" s="807">
        <f ca="1">SUM(AF366:AF375)</f>
        <v>0</v>
      </c>
      <c r="AG388" s="807">
        <f ca="1">SUM(AG366:AG375)</f>
        <v>0</v>
      </c>
      <c r="AH388" s="807">
        <f ca="1">SUM(AH366:AH375)</f>
        <v>0</v>
      </c>
      <c r="AI388" s="807">
        <f ca="1">SUM(AI366:AI375)</f>
        <v>0</v>
      </c>
      <c r="AJ388" s="807"/>
      <c r="AK388" s="807"/>
      <c r="AL388" s="807"/>
      <c r="AM388" s="811"/>
      <c r="AN388" s="809">
        <f t="shared" ref="AN388:AZ388" ca="1" si="271">SUM(AN377:AN381)</f>
        <v>0</v>
      </c>
      <c r="AO388" s="809">
        <f t="shared" ca="1" si="271"/>
        <v>0</v>
      </c>
      <c r="AP388" s="809">
        <f t="shared" ca="1" si="271"/>
        <v>0</v>
      </c>
      <c r="AQ388" s="809">
        <f t="shared" ca="1" si="271"/>
        <v>0</v>
      </c>
      <c r="AR388" s="809">
        <f t="shared" ca="1" si="271"/>
        <v>0</v>
      </c>
      <c r="AS388" s="809">
        <f t="shared" ca="1" si="271"/>
        <v>0</v>
      </c>
      <c r="AT388" s="809">
        <f t="shared" ca="1" si="271"/>
        <v>0</v>
      </c>
      <c r="AU388" s="809">
        <f t="shared" ca="1" si="271"/>
        <v>0</v>
      </c>
      <c r="AV388" s="809">
        <f t="shared" ca="1" si="271"/>
        <v>0</v>
      </c>
      <c r="AW388" s="809">
        <f t="shared" ca="1" si="271"/>
        <v>0</v>
      </c>
      <c r="AX388" s="809">
        <f t="shared" si="271"/>
        <v>0</v>
      </c>
      <c r="AY388" s="809">
        <f t="shared" ca="1" si="271"/>
        <v>0</v>
      </c>
      <c r="AZ388" s="809">
        <f t="shared" si="271"/>
        <v>0</v>
      </c>
      <c r="BA388" s="809">
        <f t="shared" ref="BA388:BG388" ca="1" si="272">SUM(BA377:BA381)</f>
        <v>0</v>
      </c>
      <c r="BB388" s="809">
        <f ca="1">SUM(BB377:BB381)</f>
        <v>0</v>
      </c>
      <c r="BC388" s="809">
        <f t="shared" ca="1" si="272"/>
        <v>0</v>
      </c>
      <c r="BD388" s="809">
        <f t="shared" ca="1" si="272"/>
        <v>0</v>
      </c>
      <c r="BE388" s="809">
        <f t="shared" ca="1" si="272"/>
        <v>0</v>
      </c>
      <c r="BF388" s="809">
        <f t="shared" ca="1" si="272"/>
        <v>0</v>
      </c>
      <c r="BG388" s="809">
        <f t="shared" ca="1" si="272"/>
        <v>0</v>
      </c>
      <c r="BH388" s="809">
        <f ca="1">SUM(BH377:BH381)</f>
        <v>0</v>
      </c>
      <c r="BI388" s="809">
        <f ca="1">SUM(BI377:BI381)</f>
        <v>0</v>
      </c>
      <c r="BJ388" s="809">
        <f ca="1">SUM(BJ377:BJ381)</f>
        <v>0</v>
      </c>
      <c r="BK388" s="809">
        <f t="shared" ref="BK388:BR388" si="273">SUM(BK377:BK381)</f>
        <v>0</v>
      </c>
      <c r="BL388" s="809">
        <f t="shared" ca="1" si="273"/>
        <v>0</v>
      </c>
      <c r="BM388" s="809">
        <f t="shared" ca="1" si="273"/>
        <v>0</v>
      </c>
      <c r="BN388" s="809">
        <f t="shared" ca="1" si="273"/>
        <v>0</v>
      </c>
      <c r="BO388" s="809">
        <f t="shared" ca="1" si="273"/>
        <v>0</v>
      </c>
      <c r="BP388" s="809" t="e">
        <f t="shared" ca="1" si="273"/>
        <v>#REF!</v>
      </c>
      <c r="BQ388" s="809">
        <f t="shared" ca="1" si="273"/>
        <v>0</v>
      </c>
      <c r="BR388" s="809">
        <f t="shared" ca="1" si="273"/>
        <v>0</v>
      </c>
    </row>
    <row r="389" spans="3:70" s="800" customFormat="1">
      <c r="D389" s="800" t="s">
        <v>4747</v>
      </c>
      <c r="AM389" s="808"/>
      <c r="AN389" s="809">
        <f t="shared" ref="AN389:AZ389" ca="1" si="274">SUM(AN360:AN376)</f>
        <v>0</v>
      </c>
      <c r="AO389" s="809">
        <f t="shared" ca="1" si="274"/>
        <v>0</v>
      </c>
      <c r="AP389" s="809">
        <f t="shared" ca="1" si="274"/>
        <v>0</v>
      </c>
      <c r="AQ389" s="809">
        <f t="shared" ca="1" si="274"/>
        <v>0</v>
      </c>
      <c r="AR389" s="809">
        <f t="shared" ca="1" si="274"/>
        <v>0</v>
      </c>
      <c r="AS389" s="809">
        <f t="shared" ca="1" si="274"/>
        <v>0</v>
      </c>
      <c r="AT389" s="809">
        <f t="shared" ca="1" si="274"/>
        <v>0</v>
      </c>
      <c r="AU389" s="809">
        <f t="shared" ca="1" si="274"/>
        <v>0</v>
      </c>
      <c r="AV389" s="809">
        <f t="shared" ca="1" si="274"/>
        <v>0</v>
      </c>
      <c r="AW389" s="809">
        <f t="shared" ca="1" si="274"/>
        <v>0</v>
      </c>
      <c r="AX389" s="809">
        <f t="shared" si="274"/>
        <v>0</v>
      </c>
      <c r="AY389" s="809">
        <f t="shared" ca="1" si="274"/>
        <v>0</v>
      </c>
      <c r="AZ389" s="809">
        <f t="shared" si="274"/>
        <v>0</v>
      </c>
      <c r="BA389" s="809">
        <f t="shared" ref="BA389:BG389" ca="1" si="275">SUM(BA360:BA376)</f>
        <v>0</v>
      </c>
      <c r="BB389" s="809">
        <f ca="1">SUM(BB360:BB376)</f>
        <v>0</v>
      </c>
      <c r="BC389" s="809">
        <f t="shared" ca="1" si="275"/>
        <v>0</v>
      </c>
      <c r="BD389" s="809">
        <f ca="1">SUM(BD360:BD376)</f>
        <v>0</v>
      </c>
      <c r="BE389" s="809">
        <f t="shared" ca="1" si="275"/>
        <v>0</v>
      </c>
      <c r="BF389" s="809">
        <f t="shared" ca="1" si="275"/>
        <v>0</v>
      </c>
      <c r="BG389" s="809">
        <f t="shared" ca="1" si="275"/>
        <v>0</v>
      </c>
      <c r="BH389" s="809">
        <f ca="1">SUM(BH360:BH376)</f>
        <v>0</v>
      </c>
      <c r="BI389" s="809">
        <f ca="1">SUM(BI360:BI376)</f>
        <v>0</v>
      </c>
      <c r="BJ389" s="809">
        <f ca="1">SUM(BJ360:BJ376)</f>
        <v>0</v>
      </c>
      <c r="BK389" s="809">
        <f t="shared" ref="BK389:BR389" ca="1" si="276">SUM(BK360:BK376)</f>
        <v>0</v>
      </c>
      <c r="BL389" s="809">
        <f t="shared" ca="1" si="276"/>
        <v>0</v>
      </c>
      <c r="BM389" s="809">
        <f t="shared" ca="1" si="276"/>
        <v>0</v>
      </c>
      <c r="BN389" s="809">
        <f t="shared" ca="1" si="276"/>
        <v>0</v>
      </c>
      <c r="BO389" s="809">
        <f t="shared" ca="1" si="276"/>
        <v>0</v>
      </c>
      <c r="BP389" s="809">
        <f t="shared" ca="1" si="276"/>
        <v>0</v>
      </c>
      <c r="BQ389" s="809">
        <f t="shared" ca="1" si="276"/>
        <v>0</v>
      </c>
      <c r="BR389" s="809">
        <f t="shared" ca="1" si="276"/>
        <v>0</v>
      </c>
    </row>
    <row r="390" spans="3:70">
      <c r="AN390" s="809"/>
      <c r="AO390" s="809"/>
      <c r="AP390" s="809"/>
      <c r="AQ390" s="809"/>
      <c r="AR390" s="809"/>
      <c r="AS390" s="809"/>
      <c r="AT390" s="809"/>
      <c r="AU390" s="809"/>
      <c r="AV390" s="809"/>
      <c r="AW390" s="809"/>
      <c r="AX390" s="809"/>
      <c r="AY390" s="809"/>
      <c r="AZ390" s="809"/>
      <c r="BA390" s="809"/>
      <c r="BB390" s="809"/>
    </row>
  </sheetData>
  <autoFilter ref="A4:A390" xr:uid="{00000000-0009-0000-0000-000013000000}"/>
  <phoneticPr fontId="0" type="noConversion"/>
  <printOptions horizontalCentered="1"/>
  <pageMargins left="0.74803149606299213" right="0.23622047244094491" top="0.78740157480314965" bottom="0.82677165354330717" header="0.51181102362204722" footer="0.51181102362204722"/>
  <pageSetup paperSize="9" scale="110" firstPageNumber="38" orientation="portrait" horizontalDpi="4294967292" verticalDpi="300" r:id="rId1"/>
  <headerFooter alignWithMargins="0">
    <oddFooter>&amp;C&amp;A&amp;RPage&amp;P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P591"/>
  <sheetViews>
    <sheetView showGridLines="0" showZeros="0" topLeftCell="FP1" workbookViewId="0">
      <selection activeCell="GI5" sqref="GI5"/>
    </sheetView>
  </sheetViews>
  <sheetFormatPr defaultColWidth="9.109375" defaultRowHeight="18.899999999999999" customHeight="1" outlineLevelRow="1"/>
  <cols>
    <col min="1" max="1" width="17.109375" style="2019" customWidth="1"/>
    <col min="2" max="2" width="7.109375" style="2019" customWidth="1"/>
    <col min="3" max="3" width="9.109375" style="2152"/>
    <col min="4" max="4" width="10.21875" style="465" customWidth="1"/>
    <col min="5" max="5" width="4.5546875" style="2019" bestFit="1" customWidth="1"/>
    <col min="6" max="10" width="3.88671875" style="2019" customWidth="1"/>
    <col min="11" max="11" width="4.5546875" style="2019" bestFit="1" customWidth="1"/>
    <col min="12" max="12" width="3.88671875" style="2019" customWidth="1"/>
    <col min="13" max="13" width="3.88671875" style="465" bestFit="1" customWidth="1"/>
    <col min="14" max="39" width="3.88671875" style="465" customWidth="1"/>
    <col min="40" max="40" width="3.88671875" style="465" bestFit="1" customWidth="1"/>
    <col min="41" max="41" width="3.88671875" style="465" customWidth="1"/>
    <col min="42" max="42" width="3.88671875" style="465" bestFit="1" customWidth="1"/>
    <col min="43" max="51" width="3.88671875" style="465" customWidth="1"/>
    <col min="52" max="52" width="3.88671875" style="2019" bestFit="1" customWidth="1"/>
    <col min="53" max="57" width="3.88671875" style="2019" customWidth="1"/>
    <col min="58" max="58" width="3.88671875" style="2019" bestFit="1" customWidth="1"/>
    <col min="59" max="59" width="3.88671875" style="2019" customWidth="1"/>
    <col min="60" max="60" width="3.88671875" style="2019" bestFit="1" customWidth="1"/>
    <col min="61" max="63" width="3.88671875" style="2019" customWidth="1"/>
    <col min="64" max="64" width="3.88671875" style="2019" bestFit="1" customWidth="1"/>
    <col min="65" max="65" width="3.88671875" style="465" bestFit="1" customWidth="1"/>
    <col min="66" max="66" width="3.88671875" style="465" customWidth="1"/>
    <col min="67" max="67" width="3.88671875" style="465" bestFit="1" customWidth="1"/>
    <col min="68" max="75" width="3.88671875" style="465" customWidth="1"/>
    <col min="76" max="76" width="3.88671875" style="465" bestFit="1" customWidth="1"/>
    <col min="77" max="83" width="3.88671875" style="2019" customWidth="1"/>
    <col min="84" max="84" width="3.88671875" style="2019" bestFit="1" customWidth="1"/>
    <col min="85" max="85" width="3.88671875" style="2019" customWidth="1"/>
    <col min="86" max="86" width="4.5546875" style="465" bestFit="1" customWidth="1"/>
    <col min="87" max="87" width="3.88671875" style="465" bestFit="1" customWidth="1"/>
    <col min="88" max="101" width="3.88671875" style="465" customWidth="1"/>
    <col min="102" max="102" width="3.88671875" style="465" bestFit="1" customWidth="1"/>
    <col min="103" max="113" width="3.88671875" style="465" customWidth="1"/>
    <col min="114" max="115" width="3.88671875" style="2019" customWidth="1"/>
    <col min="116" max="116" width="5.5546875" style="2019" bestFit="1" customWidth="1"/>
    <col min="117" max="117" width="5" style="2019" bestFit="1" customWidth="1"/>
    <col min="118" max="128" width="3.88671875" style="2019" customWidth="1"/>
    <col min="129" max="135" width="3.88671875" style="465" customWidth="1"/>
    <col min="136" max="138" width="3.88671875" style="2019" customWidth="1"/>
    <col min="139" max="139" width="3.88671875" style="466" customWidth="1"/>
    <col min="140" max="146" width="3.88671875" style="465" customWidth="1"/>
    <col min="147" max="147" width="4.5546875" style="465" bestFit="1" customWidth="1"/>
    <col min="148" max="148" width="3.88671875" style="465" customWidth="1"/>
    <col min="149" max="149" width="4.5546875" style="465" bestFit="1" customWidth="1"/>
    <col min="150" max="165" width="3.88671875" style="465" customWidth="1"/>
    <col min="166" max="166" width="4.88671875" style="465" customWidth="1"/>
    <col min="167" max="168" width="3.88671875" style="465" customWidth="1"/>
    <col min="169" max="169" width="1.33203125" style="2021" customWidth="1"/>
    <col min="170" max="171" width="5.5546875" style="465" bestFit="1" customWidth="1"/>
    <col min="172" max="174" width="3.88671875" style="465" customWidth="1"/>
    <col min="175" max="176" width="4.5546875" style="465" bestFit="1" customWidth="1"/>
    <col min="177" max="177" width="3.88671875" style="465" customWidth="1"/>
    <col min="178" max="178" width="4.5546875" style="465" bestFit="1" customWidth="1"/>
    <col min="179" max="185" width="3.88671875" style="465" customWidth="1"/>
    <col min="186" max="186" width="3.88671875" style="465" bestFit="1" customWidth="1"/>
    <col min="187" max="190" width="3.88671875" style="465" customWidth="1"/>
    <col min="191" max="191" width="3.88671875" style="465" bestFit="1" customWidth="1"/>
    <col min="192" max="192" width="3.88671875" style="465" customWidth="1"/>
    <col min="193" max="193" width="3.88671875" style="465" bestFit="1" customWidth="1"/>
    <col min="194" max="194" width="4.5546875" style="465" bestFit="1" customWidth="1"/>
    <col min="195" max="196" width="3.88671875" style="465" customWidth="1"/>
    <col min="197" max="198" width="3.88671875" style="465" bestFit="1" customWidth="1"/>
    <col min="199" max="199" width="3.88671875" style="465" customWidth="1"/>
    <col min="200" max="200" width="3.88671875" style="465" bestFit="1" customWidth="1"/>
    <col min="201" max="201" width="4.5546875" style="465" bestFit="1" customWidth="1"/>
    <col min="202" max="202" width="3.88671875" style="465" bestFit="1" customWidth="1"/>
    <col min="203" max="203" width="5.44140625" style="2019" customWidth="1"/>
    <col min="204" max="204" width="3.88671875" style="2022" bestFit="1" customWidth="1"/>
    <col min="205" max="16384" width="9.109375" style="2019"/>
  </cols>
  <sheetData>
    <row r="1" spans="1:250" ht="13.8">
      <c r="C1" s="2020"/>
    </row>
    <row r="2" spans="1:250" s="2032" customFormat="1" ht="17.399999999999999">
      <c r="A2" s="2023" t="s">
        <v>5879</v>
      </c>
      <c r="B2" s="2024"/>
      <c r="C2" s="2025"/>
      <c r="D2" s="2026"/>
      <c r="E2" s="2024"/>
      <c r="F2" s="2024"/>
      <c r="G2" s="2024"/>
      <c r="H2" s="2027"/>
      <c r="I2" s="2027"/>
      <c r="J2" s="2027"/>
      <c r="K2" s="2027"/>
      <c r="L2" s="2027"/>
      <c r="M2" s="2028"/>
      <c r="N2" s="2028"/>
      <c r="O2" s="2028"/>
      <c r="P2" s="2028"/>
      <c r="Q2" s="2028"/>
      <c r="R2" s="2028"/>
      <c r="S2" s="2028"/>
      <c r="T2" s="2028"/>
      <c r="U2" s="2028"/>
      <c r="V2" s="2028"/>
      <c r="W2" s="2028"/>
      <c r="X2" s="2028"/>
      <c r="Y2" s="2028"/>
      <c r="Z2" s="2028"/>
      <c r="AA2" s="2028"/>
      <c r="AB2" s="2028"/>
      <c r="AC2" s="2028"/>
      <c r="AD2" s="2028"/>
      <c r="AE2" s="2028"/>
      <c r="AF2" s="2028"/>
      <c r="AG2" s="2028"/>
      <c r="AH2" s="2028"/>
      <c r="AI2" s="2028"/>
      <c r="AJ2" s="2028"/>
      <c r="AK2" s="2028"/>
      <c r="AL2" s="2028"/>
      <c r="AM2" s="2028"/>
      <c r="AN2" s="2028"/>
      <c r="AO2" s="2028"/>
      <c r="AP2" s="2028"/>
      <c r="AQ2" s="2028"/>
      <c r="AR2" s="2028"/>
      <c r="AS2" s="2028"/>
      <c r="AT2" s="2028"/>
      <c r="AU2" s="2028"/>
      <c r="AV2" s="2028"/>
      <c r="AW2" s="2028"/>
      <c r="AX2" s="2028"/>
      <c r="AY2" s="2028"/>
      <c r="AZ2" s="2027"/>
      <c r="BA2" s="2027"/>
      <c r="BB2" s="2027"/>
      <c r="BC2" s="2027"/>
      <c r="BD2" s="2027"/>
      <c r="BE2" s="2027"/>
      <c r="BF2" s="2027"/>
      <c r="BG2" s="2027"/>
      <c r="BH2" s="2027"/>
      <c r="BI2" s="2027"/>
      <c r="BJ2" s="2027"/>
      <c r="BK2" s="2027"/>
      <c r="BL2" s="2027"/>
      <c r="BM2" s="2028"/>
      <c r="BN2" s="2028"/>
      <c r="BO2" s="2028"/>
      <c r="BP2" s="2028"/>
      <c r="BQ2" s="2028"/>
      <c r="BR2" s="2028"/>
      <c r="BS2" s="2028"/>
      <c r="BT2" s="2028"/>
      <c r="BU2" s="2028"/>
      <c r="BV2" s="2028"/>
      <c r="BW2" s="2028"/>
      <c r="BX2" s="2028"/>
      <c r="BY2" s="2027"/>
      <c r="BZ2" s="2027"/>
      <c r="CA2" s="2027"/>
      <c r="CB2" s="2027"/>
      <c r="CC2" s="2027"/>
      <c r="CD2" s="2027"/>
      <c r="CE2" s="2027"/>
      <c r="CF2" s="2027"/>
      <c r="CG2" s="2027"/>
      <c r="CH2" s="2028"/>
      <c r="CI2" s="2028"/>
      <c r="CJ2" s="2028"/>
      <c r="CK2" s="2028"/>
      <c r="CL2" s="2028"/>
      <c r="CM2" s="2028"/>
      <c r="CN2" s="2028"/>
      <c r="CO2" s="2028"/>
      <c r="CP2" s="2028"/>
      <c r="CQ2" s="2028"/>
      <c r="CR2" s="2028"/>
      <c r="CS2" s="2028"/>
      <c r="CT2" s="2028"/>
      <c r="CU2" s="2028"/>
      <c r="CV2" s="2028"/>
      <c r="CW2" s="2028"/>
      <c r="CX2" s="2028"/>
      <c r="CY2" s="2028"/>
      <c r="CZ2" s="2028"/>
      <c r="DA2" s="2028"/>
      <c r="DB2" s="2028"/>
      <c r="DC2" s="2028"/>
      <c r="DD2" s="2028"/>
      <c r="DE2" s="2028"/>
      <c r="DF2" s="2028"/>
      <c r="DG2" s="2028"/>
      <c r="DH2" s="2028"/>
      <c r="DI2" s="2028"/>
      <c r="DJ2" s="2027"/>
      <c r="DK2" s="2027"/>
      <c r="DL2" s="2027"/>
      <c r="DM2" s="2027"/>
      <c r="DN2" s="2027"/>
      <c r="DO2" s="2027"/>
      <c r="DP2" s="2027"/>
      <c r="DQ2" s="2027"/>
      <c r="DR2" s="2027"/>
      <c r="DS2" s="2027"/>
      <c r="DT2" s="2027"/>
      <c r="DU2" s="2027"/>
      <c r="DV2" s="2027"/>
      <c r="DW2" s="2027"/>
      <c r="DX2" s="2027"/>
      <c r="DY2" s="2028"/>
      <c r="DZ2" s="2028"/>
      <c r="EA2" s="2028"/>
      <c r="EB2" s="2028"/>
      <c r="EC2" s="2028"/>
      <c r="ED2" s="2028"/>
      <c r="EE2" s="2028"/>
      <c r="EF2" s="2027"/>
      <c r="EG2" s="2027"/>
      <c r="EH2" s="2027"/>
      <c r="EI2" s="2029"/>
      <c r="EJ2" s="2028"/>
      <c r="EK2" s="2028"/>
      <c r="EL2" s="2028"/>
      <c r="EM2" s="2028"/>
      <c r="EN2" s="2028"/>
      <c r="EO2" s="2028"/>
      <c r="EP2" s="2028"/>
      <c r="EQ2" s="2028"/>
      <c r="ER2" s="2028"/>
      <c r="ES2" s="2028"/>
      <c r="ET2" s="2028"/>
      <c r="EU2" s="2028"/>
      <c r="EV2" s="2028"/>
      <c r="EW2" s="2028"/>
      <c r="EX2" s="2028"/>
      <c r="EY2" s="2028"/>
      <c r="EZ2" s="2028"/>
      <c r="FA2" s="2028"/>
      <c r="FB2" s="2028"/>
      <c r="FC2" s="2028"/>
      <c r="FD2" s="2028"/>
      <c r="FE2" s="2028"/>
      <c r="FF2" s="2028"/>
      <c r="FG2" s="2028"/>
      <c r="FH2" s="2028"/>
      <c r="FI2" s="2028"/>
      <c r="FJ2" s="2028"/>
      <c r="FK2" s="2028"/>
      <c r="FL2" s="2028"/>
      <c r="FM2" s="2030"/>
      <c r="FN2" s="2028"/>
      <c r="FO2" s="2028"/>
      <c r="FP2" s="2028"/>
      <c r="FQ2" s="2028"/>
      <c r="FR2" s="2028"/>
      <c r="FS2" s="2028"/>
      <c r="FT2" s="2028"/>
      <c r="FU2" s="2028"/>
      <c r="FV2" s="2028"/>
      <c r="FW2" s="2028"/>
      <c r="FX2" s="2028"/>
      <c r="FY2" s="2028"/>
      <c r="FZ2" s="2028"/>
      <c r="GA2" s="2028"/>
      <c r="GB2" s="2028"/>
      <c r="GC2" s="2028"/>
      <c r="GD2" s="2028"/>
      <c r="GE2" s="2028"/>
      <c r="GF2" s="2028"/>
      <c r="GG2" s="2028"/>
      <c r="GH2" s="2028"/>
      <c r="GI2" s="2028"/>
      <c r="GJ2" s="2028"/>
      <c r="GK2" s="2028"/>
      <c r="GL2" s="2028"/>
      <c r="GM2" s="2028"/>
      <c r="GN2" s="2028"/>
      <c r="GO2" s="2028"/>
      <c r="GP2" s="2028"/>
      <c r="GQ2" s="2028"/>
      <c r="GR2" s="2028"/>
      <c r="GS2" s="2028"/>
      <c r="GT2" s="2028"/>
      <c r="GU2" s="2027"/>
      <c r="GV2" s="2031"/>
      <c r="HG2" s="2019"/>
      <c r="HH2" s="2019"/>
      <c r="HI2" s="2019"/>
      <c r="HJ2" s="2019"/>
      <c r="HK2" s="2019"/>
      <c r="HL2" s="2019"/>
      <c r="HM2" s="2019"/>
      <c r="HN2" s="2019"/>
      <c r="HO2" s="2019"/>
      <c r="HP2" s="2019"/>
      <c r="HQ2" s="2019"/>
      <c r="HR2" s="2019"/>
      <c r="HS2" s="2019"/>
      <c r="HT2" s="2019"/>
      <c r="HU2" s="2019"/>
      <c r="HV2" s="2019"/>
      <c r="HW2" s="2019"/>
      <c r="HX2" s="2019"/>
      <c r="HY2" s="2019"/>
      <c r="HZ2" s="2019"/>
      <c r="IA2" s="2019"/>
      <c r="IB2" s="2019"/>
      <c r="IC2" s="2019"/>
      <c r="ID2" s="2019"/>
      <c r="IE2" s="2019"/>
      <c r="IF2" s="2019"/>
      <c r="IG2" s="2019"/>
      <c r="IH2" s="2019"/>
      <c r="II2" s="2019"/>
      <c r="IJ2" s="2019"/>
      <c r="IK2" s="2019"/>
      <c r="IL2" s="2019"/>
      <c r="IM2" s="2019"/>
      <c r="IN2" s="2019"/>
      <c r="IO2" s="2019"/>
      <c r="IP2" s="2019"/>
    </row>
    <row r="3" spans="1:250" s="2032" customFormat="1" ht="16.2" thickBot="1">
      <c r="A3" s="2033" t="str">
        <f>"CÔNG TRÌNH: "&amp; Solieu!C5</f>
        <v>CÔNG TRÌNH:  Đường dây trung thế 22kV và TBA 3P-1250kVA trang trại tổng hợp Nguyễn Đăng Nam</v>
      </c>
      <c r="B3" s="2034"/>
      <c r="C3" s="2034"/>
      <c r="D3" s="2034"/>
      <c r="E3" s="2034"/>
      <c r="F3" s="2034"/>
      <c r="G3" s="2034"/>
      <c r="H3" s="2034"/>
      <c r="I3" s="2034"/>
      <c r="J3" s="2034"/>
      <c r="K3" s="2034"/>
      <c r="L3" s="2034"/>
      <c r="M3" s="2034"/>
      <c r="N3" s="2034"/>
      <c r="O3" s="2034"/>
      <c r="P3" s="2034"/>
      <c r="Q3" s="2034"/>
      <c r="R3" s="2034"/>
      <c r="S3" s="2034"/>
      <c r="T3" s="2034"/>
      <c r="U3" s="2034"/>
      <c r="V3" s="2034"/>
      <c r="W3" s="2034"/>
      <c r="X3" s="2034"/>
      <c r="Y3" s="2034"/>
      <c r="Z3" s="2034"/>
      <c r="AA3" s="2034"/>
      <c r="AB3" s="2034"/>
      <c r="AC3" s="2034"/>
      <c r="AD3" s="2034"/>
      <c r="AE3" s="2034"/>
      <c r="AF3" s="2034"/>
      <c r="AG3" s="2034"/>
      <c r="AH3" s="2034"/>
      <c r="AI3" s="2034"/>
      <c r="AJ3" s="2034"/>
      <c r="AK3" s="2034"/>
      <c r="AL3" s="2034"/>
      <c r="AM3" s="2034"/>
      <c r="AN3" s="2034"/>
      <c r="AO3" s="2034"/>
      <c r="AP3" s="2034"/>
      <c r="AQ3" s="2034"/>
      <c r="AR3" s="2034"/>
      <c r="AS3" s="2034"/>
      <c r="AT3" s="2034"/>
      <c r="AU3" s="2034"/>
      <c r="AV3" s="2034"/>
      <c r="AW3" s="2034"/>
      <c r="AX3" s="2034"/>
      <c r="AY3" s="2034"/>
      <c r="AZ3" s="2034"/>
      <c r="BA3" s="2034"/>
      <c r="BB3" s="2034"/>
      <c r="BC3" s="2034"/>
      <c r="BD3" s="2034"/>
      <c r="BE3" s="2034"/>
      <c r="BF3" s="2034"/>
      <c r="BG3" s="2034"/>
      <c r="BH3" s="2034"/>
      <c r="BI3" s="2034"/>
      <c r="BJ3" s="2034"/>
      <c r="BK3" s="2034"/>
      <c r="BL3" s="2034"/>
      <c r="BM3" s="2034"/>
      <c r="BN3" s="2034"/>
      <c r="BO3" s="2034"/>
      <c r="BP3" s="2034"/>
      <c r="BQ3" s="2034"/>
      <c r="BR3" s="2034"/>
      <c r="BS3" s="2034"/>
      <c r="BT3" s="2034"/>
      <c r="BU3" s="2034"/>
      <c r="BV3" s="2034"/>
      <c r="BW3" s="2034"/>
      <c r="BX3" s="2034"/>
      <c r="BY3" s="2034"/>
      <c r="BZ3" s="2034"/>
      <c r="CA3" s="2034"/>
      <c r="CB3" s="2034"/>
      <c r="CC3" s="2034"/>
      <c r="CD3" s="2034"/>
      <c r="CE3" s="2034"/>
      <c r="CF3" s="2034"/>
      <c r="CG3" s="2034"/>
      <c r="CH3" s="2034"/>
      <c r="CI3" s="2034"/>
      <c r="CJ3" s="2034"/>
      <c r="CK3" s="2034"/>
      <c r="CL3" s="2034"/>
      <c r="CM3" s="2034"/>
      <c r="CN3" s="2034"/>
      <c r="CO3" s="2034"/>
      <c r="CP3" s="2034"/>
      <c r="CQ3" s="2034"/>
      <c r="CR3" s="2034"/>
      <c r="CS3" s="2034"/>
      <c r="CT3" s="2034"/>
      <c r="CU3" s="2034"/>
      <c r="CV3" s="2034"/>
      <c r="CW3" s="2034"/>
      <c r="CX3" s="2034"/>
      <c r="CY3" s="2034"/>
      <c r="CZ3" s="2034"/>
      <c r="DA3" s="2034"/>
      <c r="DB3" s="2034"/>
      <c r="DC3" s="2034"/>
      <c r="DD3" s="2034"/>
      <c r="DE3" s="2034"/>
      <c r="DF3" s="2034"/>
      <c r="DG3" s="2034"/>
      <c r="DH3" s="2034"/>
      <c r="DI3" s="2034"/>
      <c r="DJ3" s="2034"/>
      <c r="DK3" s="2034"/>
      <c r="DL3" s="2034"/>
      <c r="DM3" s="2034"/>
      <c r="DN3" s="2034"/>
      <c r="DO3" s="2034"/>
      <c r="DP3" s="2034"/>
      <c r="DQ3" s="2034"/>
      <c r="DR3" s="2034"/>
      <c r="DS3" s="2034"/>
      <c r="DT3" s="2034"/>
      <c r="DU3" s="2034"/>
      <c r="DV3" s="2034"/>
      <c r="DW3" s="2034"/>
      <c r="DX3" s="2034"/>
      <c r="DY3" s="2034"/>
      <c r="DZ3" s="2034"/>
      <c r="EA3" s="2034"/>
      <c r="EB3" s="2034"/>
      <c r="EC3" s="2034"/>
      <c r="ED3" s="2034"/>
      <c r="EE3" s="2034"/>
      <c r="EF3" s="2034"/>
      <c r="EG3" s="2034"/>
      <c r="EH3" s="2034"/>
      <c r="EI3" s="2034"/>
      <c r="EJ3" s="2034"/>
      <c r="EK3" s="2034"/>
      <c r="EL3" s="2034"/>
      <c r="EM3" s="2034"/>
      <c r="EN3" s="2034"/>
      <c r="EO3" s="2034"/>
      <c r="EP3" s="2034"/>
      <c r="EQ3" s="2034"/>
      <c r="ER3" s="2034"/>
      <c r="ES3" s="2034"/>
      <c r="ET3" s="2034"/>
      <c r="EU3" s="2034"/>
      <c r="EV3" s="2034"/>
      <c r="EW3" s="2034"/>
      <c r="EX3" s="2034"/>
      <c r="EY3" s="2034"/>
      <c r="EZ3" s="2034"/>
      <c r="FA3" s="2034"/>
      <c r="FB3" s="2034"/>
      <c r="FC3" s="2034"/>
      <c r="FD3" s="2034"/>
      <c r="FE3" s="2034"/>
      <c r="FF3" s="2034"/>
      <c r="FG3" s="2034"/>
      <c r="FH3" s="2034"/>
      <c r="FI3" s="2034"/>
      <c r="FJ3" s="2034"/>
      <c r="FK3" s="2034"/>
      <c r="FL3" s="2034"/>
      <c r="FM3" s="2035"/>
      <c r="FN3" s="2034"/>
      <c r="FO3" s="2034"/>
      <c r="FP3" s="2034"/>
      <c r="FQ3" s="2034"/>
      <c r="FR3" s="2034"/>
      <c r="FS3" s="2034"/>
      <c r="FT3" s="2034"/>
      <c r="FU3" s="2034"/>
      <c r="FV3" s="2034"/>
      <c r="FW3" s="2034"/>
      <c r="FX3" s="2034"/>
      <c r="FY3" s="2034"/>
      <c r="FZ3" s="2034"/>
      <c r="GA3" s="2034"/>
      <c r="GB3" s="2034"/>
      <c r="GC3" s="2034"/>
      <c r="GD3" s="2034"/>
      <c r="GE3" s="2034"/>
      <c r="GF3" s="2034"/>
      <c r="GG3" s="2034"/>
      <c r="GH3" s="2034"/>
      <c r="GI3" s="2034"/>
      <c r="GJ3" s="2034"/>
      <c r="GK3" s="2034"/>
      <c r="GL3" s="2034"/>
      <c r="GM3" s="2034"/>
      <c r="GN3" s="2034"/>
      <c r="GO3" s="2034"/>
      <c r="GP3" s="2034"/>
      <c r="GQ3" s="2034"/>
      <c r="GR3" s="2034"/>
      <c r="GS3" s="2034"/>
      <c r="GT3" s="2034"/>
      <c r="GU3" s="2034"/>
      <c r="GV3" s="2034"/>
      <c r="HG3" s="2019"/>
      <c r="HH3" s="2019"/>
      <c r="HI3" s="2019"/>
      <c r="HJ3" s="2019"/>
      <c r="HK3" s="2019"/>
      <c r="HL3" s="2019"/>
      <c r="HM3" s="2019"/>
      <c r="HN3" s="2019"/>
      <c r="HO3" s="2019"/>
      <c r="HP3" s="2019"/>
      <c r="HQ3" s="2019"/>
      <c r="HR3" s="2019"/>
      <c r="HS3" s="2019"/>
      <c r="HT3" s="2019"/>
      <c r="HU3" s="2019"/>
      <c r="HV3" s="2019"/>
      <c r="HW3" s="2019"/>
      <c r="HX3" s="2019"/>
      <c r="HY3" s="2019"/>
      <c r="HZ3" s="2019"/>
      <c r="IA3" s="2019"/>
      <c r="IB3" s="2019"/>
      <c r="IC3" s="2019"/>
      <c r="ID3" s="2019"/>
      <c r="IE3" s="2019"/>
      <c r="IF3" s="2019"/>
      <c r="IG3" s="2019"/>
      <c r="IH3" s="2019"/>
      <c r="II3" s="2019"/>
      <c r="IJ3" s="2019"/>
      <c r="IK3" s="2019"/>
      <c r="IL3" s="2019"/>
      <c r="IM3" s="2019"/>
      <c r="IN3" s="2019"/>
      <c r="IO3" s="2019"/>
      <c r="IP3" s="2019"/>
    </row>
    <row r="4" spans="1:250" s="2043" customFormat="1" ht="21" customHeight="1" thickTop="1">
      <c r="A4" s="2498" t="s">
        <v>3983</v>
      </c>
      <c r="B4" s="2482" t="s">
        <v>5828</v>
      </c>
      <c r="C4" s="2501" t="s">
        <v>5829</v>
      </c>
      <c r="D4" s="2482" t="s">
        <v>3927</v>
      </c>
      <c r="E4" s="2036" t="s">
        <v>3928</v>
      </c>
      <c r="F4" s="2037"/>
      <c r="G4" s="2037"/>
      <c r="H4" s="2037"/>
      <c r="I4" s="2037"/>
      <c r="J4" s="2037"/>
      <c r="K4" s="2037"/>
      <c r="L4" s="2038"/>
      <c r="M4" s="2489" t="s">
        <v>3929</v>
      </c>
      <c r="N4" s="2489"/>
      <c r="O4" s="2489"/>
      <c r="P4" s="2489"/>
      <c r="Q4" s="2489"/>
      <c r="R4" s="2489"/>
      <c r="S4" s="2489"/>
      <c r="T4" s="2489"/>
      <c r="U4" s="2489"/>
      <c r="V4" s="2489"/>
      <c r="W4" s="2489"/>
      <c r="X4" s="2489"/>
      <c r="Y4" s="2489"/>
      <c r="Z4" s="2489"/>
      <c r="AA4" s="2489"/>
      <c r="AB4" s="2489"/>
      <c r="AC4" s="2489"/>
      <c r="AD4" s="2489"/>
      <c r="AE4" s="2489"/>
      <c r="AF4" s="2489"/>
      <c r="AG4" s="2489"/>
      <c r="AH4" s="2489"/>
      <c r="AI4" s="2489"/>
      <c r="AJ4" s="2489"/>
      <c r="AK4" s="2489"/>
      <c r="AL4" s="2489"/>
      <c r="AM4" s="2489"/>
      <c r="AN4" s="2489"/>
      <c r="AO4" s="2489"/>
      <c r="AP4" s="2489"/>
      <c r="AQ4" s="2489"/>
      <c r="AR4" s="2489"/>
      <c r="AS4" s="2489"/>
      <c r="AT4" s="2489"/>
      <c r="AU4" s="2489"/>
      <c r="AV4" s="2489"/>
      <c r="AW4" s="2489"/>
      <c r="AX4" s="2489"/>
      <c r="AY4" s="2489"/>
      <c r="AZ4" s="2493" t="s">
        <v>5830</v>
      </c>
      <c r="BA4" s="2494"/>
      <c r="BB4" s="2494"/>
      <c r="BC4" s="2494"/>
      <c r="BD4" s="2494"/>
      <c r="BE4" s="2494"/>
      <c r="BF4" s="2494"/>
      <c r="BG4" s="2494"/>
      <c r="BH4" s="2494"/>
      <c r="BI4" s="2494"/>
      <c r="BJ4" s="2494"/>
      <c r="BK4" s="2494"/>
      <c r="BL4" s="2495"/>
      <c r="BM4" s="2503" t="s">
        <v>4067</v>
      </c>
      <c r="BN4" s="2503"/>
      <c r="BO4" s="2503"/>
      <c r="BP4" s="2503"/>
      <c r="BQ4" s="2503"/>
      <c r="BR4" s="2503"/>
      <c r="BS4" s="2503"/>
      <c r="BT4" s="2503"/>
      <c r="BU4" s="2503"/>
      <c r="BV4" s="2503"/>
      <c r="BW4" s="2503"/>
      <c r="BX4" s="2503"/>
      <c r="BY4" s="2477" t="s">
        <v>3545</v>
      </c>
      <c r="BZ4" s="2477" t="s">
        <v>5832</v>
      </c>
      <c r="CA4" s="2477" t="s">
        <v>3546</v>
      </c>
      <c r="CB4" s="2477" t="s">
        <v>3547</v>
      </c>
      <c r="CC4" s="2477" t="s">
        <v>3551</v>
      </c>
      <c r="CD4" s="2477" t="s">
        <v>3552</v>
      </c>
      <c r="CE4" s="2477" t="s">
        <v>5833</v>
      </c>
      <c r="CF4" s="2504" t="s">
        <v>3549</v>
      </c>
      <c r="CG4" s="2477" t="s">
        <v>3550</v>
      </c>
      <c r="CH4" s="2493" t="s">
        <v>5834</v>
      </c>
      <c r="CI4" s="2494"/>
      <c r="CJ4" s="2494"/>
      <c r="CK4" s="2494"/>
      <c r="CL4" s="2494"/>
      <c r="CM4" s="2494"/>
      <c r="CN4" s="2494"/>
      <c r="CO4" s="2494"/>
      <c r="CP4" s="2494"/>
      <c r="CQ4" s="2494"/>
      <c r="CR4" s="2494"/>
      <c r="CS4" s="2494"/>
      <c r="CT4" s="2494"/>
      <c r="CU4" s="2494"/>
      <c r="CV4" s="2494"/>
      <c r="CW4" s="2494"/>
      <c r="CX4" s="2494"/>
      <c r="CY4" s="2494"/>
      <c r="CZ4" s="2494"/>
      <c r="DA4" s="2494"/>
      <c r="DB4" s="2494"/>
      <c r="DC4" s="2494"/>
      <c r="DD4" s="2494"/>
      <c r="DE4" s="2494"/>
      <c r="DF4" s="2494"/>
      <c r="DG4" s="2494"/>
      <c r="DH4" s="2494"/>
      <c r="DI4" s="2495"/>
      <c r="DJ4" s="2482" t="s">
        <v>4036</v>
      </c>
      <c r="DK4" s="2482" t="s">
        <v>4037</v>
      </c>
      <c r="DL4" s="2496" t="s">
        <v>4038</v>
      </c>
      <c r="DM4" s="2496" t="s">
        <v>5835</v>
      </c>
      <c r="DN4" s="2482" t="s">
        <v>5836</v>
      </c>
      <c r="DO4" s="2484" t="s">
        <v>5837</v>
      </c>
      <c r="DP4" s="2484" t="s">
        <v>5838</v>
      </c>
      <c r="DQ4" s="2496" t="s">
        <v>4832</v>
      </c>
      <c r="DR4" s="2482" t="s">
        <v>4039</v>
      </c>
      <c r="DS4" s="2482" t="s">
        <v>4040</v>
      </c>
      <c r="DT4" s="2482" t="s">
        <v>5839</v>
      </c>
      <c r="DU4" s="2482" t="s">
        <v>5840</v>
      </c>
      <c r="DV4" s="2482" t="s">
        <v>5841</v>
      </c>
      <c r="DW4" s="2484" t="s">
        <v>5842</v>
      </c>
      <c r="DX4" s="2486" t="s">
        <v>5843</v>
      </c>
      <c r="DY4" s="2480" t="s">
        <v>4043</v>
      </c>
      <c r="DZ4" s="2480" t="s">
        <v>4044</v>
      </c>
      <c r="EA4" s="2480" t="s">
        <v>4045</v>
      </c>
      <c r="EB4" s="2480" t="s">
        <v>4046</v>
      </c>
      <c r="EC4" s="2480" t="s">
        <v>4047</v>
      </c>
      <c r="ED4" s="2480" t="s">
        <v>5844</v>
      </c>
      <c r="EE4" s="2480" t="s">
        <v>5845</v>
      </c>
      <c r="EF4" s="2482" t="s">
        <v>4048</v>
      </c>
      <c r="EG4" s="2482" t="s">
        <v>4049</v>
      </c>
      <c r="EH4" s="2482" t="s">
        <v>4050</v>
      </c>
      <c r="EI4" s="2482" t="s">
        <v>2512</v>
      </c>
      <c r="EJ4" s="2482" t="s">
        <v>1931</v>
      </c>
      <c r="EK4" s="2482" t="s">
        <v>2513</v>
      </c>
      <c r="EL4" s="2484" t="s">
        <v>616</v>
      </c>
      <c r="EM4" s="2484" t="s">
        <v>5846</v>
      </c>
      <c r="EN4" s="2484" t="s">
        <v>4051</v>
      </c>
      <c r="EO4" s="2484" t="s">
        <v>4052</v>
      </c>
      <c r="EP4" s="2484" t="s">
        <v>4053</v>
      </c>
      <c r="EQ4" s="2486" t="s">
        <v>4054</v>
      </c>
      <c r="ER4" s="2484" t="s">
        <v>4055</v>
      </c>
      <c r="ES4" s="2486" t="s">
        <v>4056</v>
      </c>
      <c r="ET4" s="2484" t="s">
        <v>4057</v>
      </c>
      <c r="EU4" s="2484" t="s">
        <v>5847</v>
      </c>
      <c r="EV4" s="2475" t="s">
        <v>4058</v>
      </c>
      <c r="EW4" s="2475" t="s">
        <v>4059</v>
      </c>
      <c r="EX4" s="2475" t="s">
        <v>4060</v>
      </c>
      <c r="EY4" s="2475" t="s">
        <v>4061</v>
      </c>
      <c r="EZ4" s="2475" t="s">
        <v>4062</v>
      </c>
      <c r="FA4" s="2475" t="s">
        <v>4063</v>
      </c>
      <c r="FB4" s="2477" t="s">
        <v>1928</v>
      </c>
      <c r="FC4" s="2477" t="s">
        <v>147</v>
      </c>
      <c r="FD4" s="2477" t="s">
        <v>1918</v>
      </c>
      <c r="FE4" s="2477" t="s">
        <v>1772</v>
      </c>
      <c r="FF4" s="2477" t="s">
        <v>1822</v>
      </c>
      <c r="FG4" s="2477" t="s">
        <v>1300</v>
      </c>
      <c r="FH4" s="2477" t="s">
        <v>1830</v>
      </c>
      <c r="FI4" s="2477" t="s">
        <v>287</v>
      </c>
      <c r="FJ4" s="2477" t="s">
        <v>303</v>
      </c>
      <c r="FK4" s="2477" t="s">
        <v>1209</v>
      </c>
      <c r="FL4" s="2478" t="s">
        <v>1208</v>
      </c>
      <c r="FM4" s="2039"/>
      <c r="FN4" s="2040" t="s">
        <v>5831</v>
      </c>
      <c r="FO4" s="2040"/>
      <c r="FP4" s="2040"/>
      <c r="FQ4" s="2041"/>
      <c r="FR4" s="2041"/>
      <c r="FS4" s="2041"/>
      <c r="FT4" s="2041"/>
      <c r="FU4" s="2041"/>
      <c r="FV4" s="2041"/>
      <c r="FW4" s="2041"/>
      <c r="FX4" s="2041"/>
      <c r="FY4" s="2041"/>
      <c r="FZ4" s="2041"/>
      <c r="GA4" s="2041"/>
      <c r="GB4" s="2041"/>
      <c r="GC4" s="2041"/>
      <c r="GD4" s="2041"/>
      <c r="GE4" s="2041"/>
      <c r="GF4" s="2041"/>
      <c r="GG4" s="2041"/>
      <c r="GH4" s="2041"/>
      <c r="GI4" s="2041"/>
      <c r="GJ4" s="2041"/>
      <c r="GK4" s="2041"/>
      <c r="GL4" s="2041"/>
      <c r="GM4" s="2041"/>
      <c r="GN4" s="2041"/>
      <c r="GO4" s="2041"/>
      <c r="GP4" s="2041"/>
      <c r="GQ4" s="2041"/>
      <c r="GR4" s="2041"/>
      <c r="GS4" s="2041"/>
      <c r="GT4" s="2042"/>
      <c r="GU4" s="2477" t="s">
        <v>4836</v>
      </c>
      <c r="GV4" s="2490" t="s">
        <v>3373</v>
      </c>
      <c r="GW4" s="2032"/>
      <c r="GX4" s="2032"/>
      <c r="GY4" s="2032"/>
      <c r="GZ4" s="2032"/>
      <c r="HA4" s="2032"/>
      <c r="HB4" s="2032"/>
      <c r="HC4" s="2032"/>
      <c r="HD4" s="2032"/>
      <c r="HE4" s="2032"/>
      <c r="HF4" s="2032"/>
      <c r="HG4" s="2019"/>
      <c r="HH4" s="2019"/>
      <c r="HI4" s="2019"/>
      <c r="HJ4" s="2019"/>
      <c r="HK4" s="2019"/>
      <c r="HL4" s="2019"/>
      <c r="HM4" s="2019"/>
      <c r="HN4" s="2019"/>
      <c r="HO4" s="2019"/>
      <c r="HP4" s="2019"/>
      <c r="HQ4" s="2019"/>
      <c r="HR4" s="2019"/>
      <c r="HS4" s="2019"/>
      <c r="HT4" s="2019"/>
      <c r="HU4" s="2019"/>
      <c r="HV4" s="2019"/>
      <c r="HW4" s="2019"/>
      <c r="HX4" s="2019"/>
      <c r="HY4" s="2019"/>
      <c r="HZ4" s="2019"/>
      <c r="IA4" s="2019"/>
      <c r="IB4" s="2019"/>
      <c r="IC4" s="2019"/>
      <c r="ID4" s="2019"/>
      <c r="IE4" s="2019"/>
      <c r="IF4" s="2019"/>
      <c r="IG4" s="2019"/>
      <c r="IH4" s="2019"/>
      <c r="II4" s="2019"/>
      <c r="IJ4" s="2019"/>
      <c r="IK4" s="2019"/>
      <c r="IL4" s="2019"/>
      <c r="IM4" s="2019"/>
      <c r="IN4" s="2019"/>
      <c r="IO4" s="2019"/>
      <c r="IP4" s="2019"/>
    </row>
    <row r="5" spans="1:250" s="2050" customFormat="1" ht="161.25" customHeight="1">
      <c r="A5" s="2499"/>
      <c r="B5" s="2500"/>
      <c r="C5" s="2502"/>
      <c r="D5" s="2483"/>
      <c r="E5" s="2044" t="s">
        <v>1438</v>
      </c>
      <c r="F5" s="2044" t="s">
        <v>1900</v>
      </c>
      <c r="G5" s="2044" t="s">
        <v>621</v>
      </c>
      <c r="H5" s="2044" t="s">
        <v>650</v>
      </c>
      <c r="I5" s="2044" t="s">
        <v>1030</v>
      </c>
      <c r="J5" s="2044" t="s">
        <v>623</v>
      </c>
      <c r="K5" s="2044" t="s">
        <v>623</v>
      </c>
      <c r="L5" s="2044" t="s">
        <v>1816</v>
      </c>
      <c r="M5" s="2045" t="s">
        <v>646</v>
      </c>
      <c r="N5" s="2045" t="s">
        <v>338</v>
      </c>
      <c r="O5" s="2045" t="s">
        <v>515</v>
      </c>
      <c r="P5" s="2045" t="s">
        <v>4034</v>
      </c>
      <c r="Q5" s="2045" t="s">
        <v>483</v>
      </c>
      <c r="R5" s="2045" t="s">
        <v>1480</v>
      </c>
      <c r="S5" s="2045" t="s">
        <v>1481</v>
      </c>
      <c r="T5" s="2045" t="s">
        <v>1479</v>
      </c>
      <c r="U5" s="2045" t="s">
        <v>1817</v>
      </c>
      <c r="V5" s="2045" t="s">
        <v>305</v>
      </c>
      <c r="W5" s="2045" t="s">
        <v>988</v>
      </c>
      <c r="X5" s="2045" t="s">
        <v>624</v>
      </c>
      <c r="Y5" s="2045" t="s">
        <v>938</v>
      </c>
      <c r="Z5" s="2045" t="s">
        <v>625</v>
      </c>
      <c r="AA5" s="2045" t="s">
        <v>582</v>
      </c>
      <c r="AB5" s="2045" t="s">
        <v>1705</v>
      </c>
      <c r="AC5" s="2045" t="s">
        <v>1704</v>
      </c>
      <c r="AD5" s="2045" t="s">
        <v>1774</v>
      </c>
      <c r="AE5" s="2045" t="s">
        <v>350</v>
      </c>
      <c r="AF5" s="2045" t="s">
        <v>724</v>
      </c>
      <c r="AG5" s="2045" t="s">
        <v>1848</v>
      </c>
      <c r="AH5" s="2045" t="s">
        <v>3735</v>
      </c>
      <c r="AI5" s="2045" t="s">
        <v>3736</v>
      </c>
      <c r="AJ5" s="2045" t="s">
        <v>939</v>
      </c>
      <c r="AK5" s="2045" t="s">
        <v>3737</v>
      </c>
      <c r="AL5" s="2045" t="s">
        <v>298</v>
      </c>
      <c r="AM5" s="2045" t="s">
        <v>1706</v>
      </c>
      <c r="AN5" s="2045" t="s">
        <v>1727</v>
      </c>
      <c r="AO5" s="2045" t="s">
        <v>3738</v>
      </c>
      <c r="AP5" s="2045" t="s">
        <v>3739</v>
      </c>
      <c r="AQ5" s="2045" t="s">
        <v>1707</v>
      </c>
      <c r="AR5" s="2045" t="s">
        <v>15</v>
      </c>
      <c r="AS5" s="2045" t="s">
        <v>16</v>
      </c>
      <c r="AT5" s="2045" t="s">
        <v>1708</v>
      </c>
      <c r="AU5" s="2045" t="s">
        <v>1757</v>
      </c>
      <c r="AV5" s="2045" t="s">
        <v>304</v>
      </c>
      <c r="AW5" s="2045" t="s">
        <v>1760</v>
      </c>
      <c r="AX5" s="2045" t="s">
        <v>541</v>
      </c>
      <c r="AY5" s="2045" t="s">
        <v>564</v>
      </c>
      <c r="AZ5" s="2045" t="s">
        <v>1482</v>
      </c>
      <c r="BA5" s="2045" t="s">
        <v>1483</v>
      </c>
      <c r="BB5" s="2045" t="s">
        <v>1484</v>
      </c>
      <c r="BC5" s="2045" t="s">
        <v>1833</v>
      </c>
      <c r="BD5" s="2045" t="s">
        <v>1834</v>
      </c>
      <c r="BE5" s="2045" t="s">
        <v>1835</v>
      </c>
      <c r="BF5" s="2046" t="s">
        <v>1836</v>
      </c>
      <c r="BG5" s="2046" t="s">
        <v>676</v>
      </c>
      <c r="BH5" s="2046" t="s">
        <v>1587</v>
      </c>
      <c r="BI5" s="2046" t="s">
        <v>1363</v>
      </c>
      <c r="BJ5" s="2046" t="s">
        <v>1726</v>
      </c>
      <c r="BK5" s="2045" t="s">
        <v>1725</v>
      </c>
      <c r="BL5" s="2046" t="s">
        <v>3977</v>
      </c>
      <c r="BM5" s="2045" t="s">
        <v>2042</v>
      </c>
      <c r="BN5" s="2045" t="s">
        <v>2043</v>
      </c>
      <c r="BO5" s="2045" t="s">
        <v>1759</v>
      </c>
      <c r="BP5" s="2045" t="s">
        <v>90</v>
      </c>
      <c r="BQ5" s="2045" t="s">
        <v>787</v>
      </c>
      <c r="BR5" s="2045" t="s">
        <v>91</v>
      </c>
      <c r="BS5" s="2045" t="s">
        <v>1254</v>
      </c>
      <c r="BT5" s="2045" t="s">
        <v>92</v>
      </c>
      <c r="BU5" s="2045" t="s">
        <v>1376</v>
      </c>
      <c r="BV5" s="2045" t="s">
        <v>93</v>
      </c>
      <c r="BW5" s="2045" t="s">
        <v>1377</v>
      </c>
      <c r="BX5" s="2045" t="s">
        <v>565</v>
      </c>
      <c r="BY5" s="2492"/>
      <c r="BZ5" s="2492"/>
      <c r="CA5" s="2492"/>
      <c r="CB5" s="2492"/>
      <c r="CC5" s="2492"/>
      <c r="CD5" s="2492"/>
      <c r="CE5" s="2492"/>
      <c r="CF5" s="2505"/>
      <c r="CG5" s="2492"/>
      <c r="CH5" s="2045" t="s">
        <v>3742</v>
      </c>
      <c r="CI5" s="2045" t="s">
        <v>3744</v>
      </c>
      <c r="CJ5" s="2045" t="s">
        <v>1910</v>
      </c>
      <c r="CK5" s="2045" t="s">
        <v>3742</v>
      </c>
      <c r="CL5" s="2045" t="s">
        <v>912</v>
      </c>
      <c r="CM5" s="2045" t="s">
        <v>920</v>
      </c>
      <c r="CN5" s="2045" t="s">
        <v>3741</v>
      </c>
      <c r="CO5" s="2045" t="s">
        <v>566</v>
      </c>
      <c r="CP5" s="2045" t="s">
        <v>3719</v>
      </c>
      <c r="CQ5" s="2045" t="s">
        <v>3718</v>
      </c>
      <c r="CR5" s="2045" t="s">
        <v>1463</v>
      </c>
      <c r="CS5" s="2045" t="s">
        <v>3717</v>
      </c>
      <c r="CT5" s="2045" t="s">
        <v>674</v>
      </c>
      <c r="CU5" s="2045" t="s">
        <v>3720</v>
      </c>
      <c r="CV5" s="2045" t="s">
        <v>79</v>
      </c>
      <c r="CW5" s="2045" t="s">
        <v>3745</v>
      </c>
      <c r="CX5" s="2045" t="s">
        <v>50</v>
      </c>
      <c r="CY5" s="2045" t="s">
        <v>3746</v>
      </c>
      <c r="CZ5" s="2045" t="s">
        <v>2050</v>
      </c>
      <c r="DA5" s="2045" t="s">
        <v>1274</v>
      </c>
      <c r="DB5" s="2045" t="s">
        <v>3747</v>
      </c>
      <c r="DC5" s="2045" t="s">
        <v>1944</v>
      </c>
      <c r="DD5" s="2045" t="s">
        <v>832</v>
      </c>
      <c r="DE5" s="2045" t="s">
        <v>1943</v>
      </c>
      <c r="DF5" s="2045" t="s">
        <v>1942</v>
      </c>
      <c r="DG5" s="2045" t="s">
        <v>743</v>
      </c>
      <c r="DH5" s="2045" t="s">
        <v>4035</v>
      </c>
      <c r="DI5" s="2045" t="s">
        <v>1210</v>
      </c>
      <c r="DJ5" s="2483"/>
      <c r="DK5" s="2483"/>
      <c r="DL5" s="2497"/>
      <c r="DM5" s="2497"/>
      <c r="DN5" s="2483"/>
      <c r="DO5" s="2485"/>
      <c r="DP5" s="2485"/>
      <c r="DQ5" s="2497"/>
      <c r="DR5" s="2483"/>
      <c r="DS5" s="2483"/>
      <c r="DT5" s="2483"/>
      <c r="DU5" s="2483"/>
      <c r="DV5" s="2483"/>
      <c r="DW5" s="2485"/>
      <c r="DX5" s="2487"/>
      <c r="DY5" s="2481"/>
      <c r="DZ5" s="2481"/>
      <c r="EA5" s="2481"/>
      <c r="EB5" s="2481"/>
      <c r="EC5" s="2481"/>
      <c r="ED5" s="2481"/>
      <c r="EE5" s="2481"/>
      <c r="EF5" s="2483"/>
      <c r="EG5" s="2483"/>
      <c r="EH5" s="2483"/>
      <c r="EI5" s="2483"/>
      <c r="EJ5" s="2483"/>
      <c r="EK5" s="2483"/>
      <c r="EL5" s="2485"/>
      <c r="EM5" s="2485"/>
      <c r="EN5" s="2485"/>
      <c r="EO5" s="2485"/>
      <c r="EP5" s="2485"/>
      <c r="EQ5" s="2487"/>
      <c r="ER5" s="2485"/>
      <c r="ES5" s="2487"/>
      <c r="ET5" s="2485"/>
      <c r="EU5" s="2485"/>
      <c r="EV5" s="2476"/>
      <c r="EW5" s="2476"/>
      <c r="EX5" s="2476"/>
      <c r="EY5" s="2476"/>
      <c r="EZ5" s="2476"/>
      <c r="FA5" s="2476"/>
      <c r="FB5" s="2476"/>
      <c r="FC5" s="2476"/>
      <c r="FD5" s="2476"/>
      <c r="FE5" s="2476"/>
      <c r="FF5" s="2476"/>
      <c r="FG5" s="2476"/>
      <c r="FH5" s="2476"/>
      <c r="FI5" s="2476"/>
      <c r="FJ5" s="2476"/>
      <c r="FK5" s="2476"/>
      <c r="FL5" s="2479"/>
      <c r="FM5" s="2047"/>
      <c r="FN5" s="2048" t="s">
        <v>5848</v>
      </c>
      <c r="FO5" s="2048" t="s">
        <v>5849</v>
      </c>
      <c r="FP5" s="2048" t="s">
        <v>3666</v>
      </c>
      <c r="FQ5" s="2048" t="s">
        <v>5850</v>
      </c>
      <c r="FR5" s="2048" t="s">
        <v>5851</v>
      </c>
      <c r="FS5" s="2049" t="s">
        <v>5852</v>
      </c>
      <c r="FT5" s="2049" t="s">
        <v>5853</v>
      </c>
      <c r="FU5" s="2049" t="s">
        <v>5854</v>
      </c>
      <c r="FV5" s="2049" t="s">
        <v>5855</v>
      </c>
      <c r="FW5" s="2049" t="s">
        <v>5856</v>
      </c>
      <c r="FX5" s="2048" t="s">
        <v>5857</v>
      </c>
      <c r="FY5" s="2048" t="s">
        <v>5858</v>
      </c>
      <c r="FZ5" s="2048" t="s">
        <v>5859</v>
      </c>
      <c r="GA5" s="2049" t="s">
        <v>5860</v>
      </c>
      <c r="GB5" s="2048" t="s">
        <v>5861</v>
      </c>
      <c r="GC5" s="2048" t="s">
        <v>5862</v>
      </c>
      <c r="GD5" s="2049" t="s">
        <v>5863</v>
      </c>
      <c r="GE5" s="2048" t="s">
        <v>5864</v>
      </c>
      <c r="GF5" s="2048" t="s">
        <v>3557</v>
      </c>
      <c r="GG5" s="2048" t="s">
        <v>5865</v>
      </c>
      <c r="GH5" s="2048" t="s">
        <v>5866</v>
      </c>
      <c r="GI5" s="2049" t="s">
        <v>5867</v>
      </c>
      <c r="GJ5" s="2049" t="s">
        <v>5868</v>
      </c>
      <c r="GK5" s="2049" t="s">
        <v>5869</v>
      </c>
      <c r="GL5" s="2049" t="s">
        <v>5870</v>
      </c>
      <c r="GM5" s="2049" t="s">
        <v>5871</v>
      </c>
      <c r="GN5" s="2048" t="s">
        <v>5872</v>
      </c>
      <c r="GO5" s="2048" t="s">
        <v>5873</v>
      </c>
      <c r="GP5" s="2048" t="s">
        <v>5874</v>
      </c>
      <c r="GQ5" s="2048" t="s">
        <v>5875</v>
      </c>
      <c r="GR5" s="2048" t="s">
        <v>5876</v>
      </c>
      <c r="GS5" s="2048" t="s">
        <v>5877</v>
      </c>
      <c r="GT5" s="2048" t="s">
        <v>5878</v>
      </c>
      <c r="GU5" s="2492"/>
      <c r="GV5" s="2491"/>
      <c r="GW5" s="2032"/>
      <c r="GX5" s="2032"/>
      <c r="GY5" s="2032"/>
      <c r="GZ5" s="2032"/>
      <c r="HA5" s="2032"/>
      <c r="HB5" s="2032"/>
      <c r="HC5" s="2032"/>
      <c r="HD5" s="2032"/>
      <c r="HE5" s="2032"/>
      <c r="HF5" s="2032"/>
      <c r="HG5" s="2019"/>
      <c r="HH5" s="2019"/>
      <c r="HI5" s="2019"/>
      <c r="HJ5" s="2019"/>
      <c r="HK5" s="2019"/>
      <c r="HL5" s="2019"/>
      <c r="HM5" s="2019"/>
      <c r="HN5" s="2019"/>
      <c r="HO5" s="2019"/>
      <c r="HP5" s="2019"/>
      <c r="HQ5" s="2019"/>
      <c r="HR5" s="2019"/>
      <c r="HS5" s="2019"/>
      <c r="HT5" s="2019"/>
      <c r="HU5" s="2019"/>
      <c r="HV5" s="2019"/>
      <c r="HW5" s="2019"/>
      <c r="HX5" s="2019"/>
      <c r="HY5" s="2019"/>
      <c r="HZ5" s="2019"/>
      <c r="IA5" s="2019"/>
      <c r="IB5" s="2019"/>
      <c r="IC5" s="2019"/>
      <c r="ID5" s="2019"/>
      <c r="IE5" s="2019"/>
      <c r="IF5" s="2019"/>
      <c r="IG5" s="2019"/>
      <c r="IH5" s="2019"/>
      <c r="II5" s="2019"/>
      <c r="IJ5" s="2019"/>
      <c r="IK5" s="2019"/>
      <c r="IL5" s="2019"/>
      <c r="IM5" s="2019"/>
      <c r="IN5" s="2019"/>
      <c r="IO5" s="2019"/>
      <c r="IP5" s="2019"/>
    </row>
    <row r="6" spans="1:250" ht="15.6">
      <c r="A6" s="2051" t="s">
        <v>5880</v>
      </c>
      <c r="B6" s="2052"/>
      <c r="C6" s="2053"/>
      <c r="D6" s="2054"/>
      <c r="E6" s="2054"/>
      <c r="F6" s="2054"/>
      <c r="G6" s="2054"/>
      <c r="H6" s="2052"/>
      <c r="I6" s="2052"/>
      <c r="J6" s="2052"/>
      <c r="K6" s="2052"/>
      <c r="L6" s="2052"/>
      <c r="M6" s="2054"/>
      <c r="N6" s="2054"/>
      <c r="O6" s="2054"/>
      <c r="P6" s="2054"/>
      <c r="Q6" s="2054"/>
      <c r="R6" s="2054"/>
      <c r="S6" s="2054"/>
      <c r="T6" s="2054"/>
      <c r="U6" s="2054"/>
      <c r="V6" s="2054"/>
      <c r="W6" s="2054"/>
      <c r="X6" s="2054"/>
      <c r="Y6" s="2054"/>
      <c r="Z6" s="2054"/>
      <c r="AA6" s="2054"/>
      <c r="AB6" s="2054"/>
      <c r="AC6" s="2054"/>
      <c r="AD6" s="2054"/>
      <c r="AE6" s="2054"/>
      <c r="AF6" s="2054"/>
      <c r="AG6" s="2054"/>
      <c r="AH6" s="2054"/>
      <c r="AI6" s="2054"/>
      <c r="AJ6" s="2054"/>
      <c r="AK6" s="2054"/>
      <c r="AL6" s="2054"/>
      <c r="AM6" s="2054"/>
      <c r="AN6" s="2054"/>
      <c r="AO6" s="2054"/>
      <c r="AP6" s="2054"/>
      <c r="AQ6" s="2054"/>
      <c r="AR6" s="2054"/>
      <c r="AS6" s="2054"/>
      <c r="AT6" s="2054"/>
      <c r="AU6" s="2054"/>
      <c r="AV6" s="2054"/>
      <c r="AW6" s="2054"/>
      <c r="AX6" s="2054"/>
      <c r="AY6" s="2054"/>
      <c r="AZ6" s="2054"/>
      <c r="BA6" s="2054"/>
      <c r="BB6" s="2054"/>
      <c r="BC6" s="2054"/>
      <c r="BD6" s="2054"/>
      <c r="BE6" s="2054"/>
      <c r="BF6" s="2054"/>
      <c r="BG6" s="2054"/>
      <c r="BH6" s="2054"/>
      <c r="BI6" s="2054"/>
      <c r="BJ6" s="2054"/>
      <c r="BK6" s="2054"/>
      <c r="BL6" s="2054"/>
      <c r="BM6" s="2054"/>
      <c r="BN6" s="2054"/>
      <c r="BO6" s="2054"/>
      <c r="BP6" s="2054"/>
      <c r="BQ6" s="2054"/>
      <c r="BR6" s="2054"/>
      <c r="BS6" s="2054"/>
      <c r="BT6" s="2054"/>
      <c r="BU6" s="2054"/>
      <c r="BV6" s="2054"/>
      <c r="BW6" s="2054"/>
      <c r="BX6" s="2054"/>
      <c r="BY6" s="2054"/>
      <c r="BZ6" s="2054"/>
      <c r="CA6" s="2054"/>
      <c r="CB6" s="2054"/>
      <c r="CC6" s="2054"/>
      <c r="CD6" s="2054"/>
      <c r="CE6" s="2054"/>
      <c r="CF6" s="2054"/>
      <c r="CG6" s="2054"/>
      <c r="CH6" s="2054"/>
      <c r="CI6" s="2054"/>
      <c r="CJ6" s="2054"/>
      <c r="CK6" s="2054"/>
      <c r="CL6" s="2054"/>
      <c r="CM6" s="2054"/>
      <c r="CN6" s="2054"/>
      <c r="CO6" s="2054"/>
      <c r="CP6" s="2054"/>
      <c r="CQ6" s="2054"/>
      <c r="CR6" s="2054"/>
      <c r="CS6" s="2054"/>
      <c r="CT6" s="2054"/>
      <c r="CU6" s="2054"/>
      <c r="CV6" s="2054"/>
      <c r="CW6" s="2054"/>
      <c r="CX6" s="2054"/>
      <c r="CY6" s="2054"/>
      <c r="CZ6" s="2054"/>
      <c r="DA6" s="2054"/>
      <c r="DB6" s="2054"/>
      <c r="DC6" s="2054"/>
      <c r="DD6" s="2054"/>
      <c r="DE6" s="2054"/>
      <c r="DF6" s="2054"/>
      <c r="DG6" s="2054"/>
      <c r="DH6" s="2054"/>
      <c r="DI6" s="2054"/>
      <c r="DJ6" s="2055"/>
      <c r="DK6" s="2055"/>
      <c r="DL6" s="2055"/>
      <c r="DM6" s="2055"/>
      <c r="DN6" s="2055"/>
      <c r="DO6" s="2055"/>
      <c r="DP6" s="2055"/>
      <c r="DQ6" s="2055"/>
      <c r="DR6" s="2055"/>
      <c r="DS6" s="2055"/>
      <c r="DT6" s="2055"/>
      <c r="DU6" s="2055"/>
      <c r="DV6" s="2055"/>
      <c r="DW6" s="2055"/>
      <c r="DX6" s="2055"/>
      <c r="DY6" s="2055"/>
      <c r="DZ6" s="2055"/>
      <c r="EA6" s="2055"/>
      <c r="EB6" s="2055"/>
      <c r="EC6" s="2055"/>
      <c r="ED6" s="2055"/>
      <c r="EE6" s="2055"/>
      <c r="EF6" s="2055"/>
      <c r="EG6" s="2055"/>
      <c r="EH6" s="2055"/>
      <c r="EI6" s="2056"/>
      <c r="EJ6" s="2055"/>
      <c r="EK6" s="2055"/>
      <c r="EL6" s="2055"/>
      <c r="EM6" s="2055"/>
      <c r="EN6" s="2055"/>
      <c r="EO6" s="2055"/>
      <c r="EP6" s="2055"/>
      <c r="EQ6" s="2055"/>
      <c r="ER6" s="2055"/>
      <c r="ES6" s="2055"/>
      <c r="ET6" s="2055"/>
      <c r="EU6" s="2055"/>
      <c r="EV6" s="2055"/>
      <c r="EW6" s="2055"/>
      <c r="EX6" s="2055"/>
      <c r="EY6" s="2055"/>
      <c r="EZ6" s="2055"/>
      <c r="FA6" s="2055"/>
      <c r="FB6" s="2055"/>
      <c r="FC6" s="2055"/>
      <c r="FD6" s="2055"/>
      <c r="FE6" s="2055"/>
      <c r="FF6" s="2055"/>
      <c r="FG6" s="2055"/>
      <c r="FH6" s="2055"/>
      <c r="FI6" s="2055"/>
      <c r="FJ6" s="2055"/>
      <c r="FK6" s="2055"/>
      <c r="FL6" s="2057"/>
      <c r="FM6" s="2058"/>
      <c r="FN6" s="2059"/>
      <c r="FO6" s="2060"/>
      <c r="FP6" s="2060" t="s">
        <v>4065</v>
      </c>
      <c r="FQ6" s="2055"/>
      <c r="FR6" s="2055"/>
      <c r="FS6" s="2055"/>
      <c r="FT6" s="2055"/>
      <c r="FU6" s="2055"/>
      <c r="FV6" s="2055"/>
      <c r="FW6" s="2055"/>
      <c r="FX6" s="2055"/>
      <c r="FY6" s="2055"/>
      <c r="FZ6" s="2055"/>
      <c r="GA6" s="2055"/>
      <c r="GB6" s="2055"/>
      <c r="GC6" s="2055"/>
      <c r="GD6" s="2055"/>
      <c r="GE6" s="2055"/>
      <c r="GF6" s="2055"/>
      <c r="GG6" s="2055"/>
      <c r="GH6" s="2055"/>
      <c r="GI6" s="2055"/>
      <c r="GJ6" s="2055"/>
      <c r="GK6" s="2055"/>
      <c r="GL6" s="2055"/>
      <c r="GM6" s="2055"/>
      <c r="GN6" s="2055"/>
      <c r="GO6" s="2055"/>
      <c r="GP6" s="2055"/>
      <c r="GQ6" s="2055"/>
      <c r="GR6" s="2055"/>
      <c r="GS6" s="2055"/>
      <c r="GT6" s="2055"/>
      <c r="GU6" s="2057"/>
      <c r="GV6" s="2061"/>
      <c r="GW6" s="2032"/>
      <c r="GX6" s="2032"/>
      <c r="GY6" s="2032"/>
      <c r="GZ6" s="2032"/>
      <c r="HA6" s="2032"/>
      <c r="HB6" s="2032"/>
      <c r="HC6" s="2032"/>
      <c r="HD6" s="2032"/>
      <c r="HE6" s="2032"/>
      <c r="HF6" s="2032"/>
    </row>
    <row r="7" spans="1:250" s="2081" customFormat="1" ht="15.6">
      <c r="A7" s="2062" t="s">
        <v>1765</v>
      </c>
      <c r="B7" s="2063">
        <v>1</v>
      </c>
      <c r="C7" s="2064">
        <f>+B7</f>
        <v>1</v>
      </c>
      <c r="D7" s="2065" t="s">
        <v>183</v>
      </c>
      <c r="E7" s="2066"/>
      <c r="F7" s="2066">
        <v>2</v>
      </c>
      <c r="G7" s="2066"/>
      <c r="H7" s="2067"/>
      <c r="I7" s="2067"/>
      <c r="J7" s="2068"/>
      <c r="K7" s="2068"/>
      <c r="L7" s="2069"/>
      <c r="M7" s="2070"/>
      <c r="N7" s="2070"/>
      <c r="O7" s="2070"/>
      <c r="P7" s="2070"/>
      <c r="Q7" s="2070"/>
      <c r="R7" s="2070"/>
      <c r="S7" s="2070"/>
      <c r="T7" s="2070"/>
      <c r="U7" s="2070"/>
      <c r="V7" s="2070"/>
      <c r="W7" s="2070"/>
      <c r="X7" s="2071"/>
      <c r="Y7" s="2070"/>
      <c r="Z7" s="2070"/>
      <c r="AA7" s="2070"/>
      <c r="AB7" s="2070"/>
      <c r="AC7" s="2070"/>
      <c r="AD7" s="2070"/>
      <c r="AE7" s="2070"/>
      <c r="AF7" s="2070"/>
      <c r="AG7" s="2070"/>
      <c r="AH7" s="2070"/>
      <c r="AI7" s="2070"/>
      <c r="AJ7" s="2070"/>
      <c r="AK7" s="2070"/>
      <c r="AL7" s="2070"/>
      <c r="AM7" s="2070"/>
      <c r="AN7" s="2070">
        <f t="shared" ref="AN7:AN14" si="0">+K7</f>
        <v>0</v>
      </c>
      <c r="AO7" s="2070"/>
      <c r="AP7" s="2070"/>
      <c r="AQ7" s="2070"/>
      <c r="AR7" s="2070"/>
      <c r="AS7" s="2070"/>
      <c r="AT7" s="2070"/>
      <c r="AU7" s="2070"/>
      <c r="AV7" s="2070"/>
      <c r="AW7" s="2070"/>
      <c r="AX7" s="2070"/>
      <c r="AY7" s="2070"/>
      <c r="AZ7" s="2070"/>
      <c r="BA7" s="2070"/>
      <c r="BB7" s="2070"/>
      <c r="BC7" s="2070"/>
      <c r="BD7" s="2070"/>
      <c r="BE7" s="2070"/>
      <c r="BF7" s="2070"/>
      <c r="BG7" s="2070"/>
      <c r="BH7" s="2070"/>
      <c r="BI7" s="2070"/>
      <c r="BJ7" s="2070"/>
      <c r="BK7" s="2070"/>
      <c r="BL7" s="2070"/>
      <c r="BM7" s="2072"/>
      <c r="BN7" s="2072"/>
      <c r="BO7" s="2070"/>
      <c r="BP7" s="2070"/>
      <c r="BQ7" s="2070"/>
      <c r="BR7" s="2070"/>
      <c r="BS7" s="2070"/>
      <c r="BT7" s="2070"/>
      <c r="BU7" s="2070"/>
      <c r="BV7" s="2070"/>
      <c r="BW7" s="2070"/>
      <c r="BX7" s="2070"/>
      <c r="BY7" s="2070"/>
      <c r="BZ7" s="2070"/>
      <c r="CA7" s="2070"/>
      <c r="CB7" s="2070"/>
      <c r="CC7" s="2070"/>
      <c r="CD7" s="2070"/>
      <c r="CE7" s="2070"/>
      <c r="CF7" s="2070"/>
      <c r="CG7" s="2070"/>
      <c r="CH7" s="2070"/>
      <c r="CI7" s="2070"/>
      <c r="CJ7" s="2070"/>
      <c r="CK7" s="2070"/>
      <c r="CL7" s="2070"/>
      <c r="CM7" s="2070"/>
      <c r="CN7" s="2070"/>
      <c r="CO7" s="2070"/>
      <c r="CP7" s="2070"/>
      <c r="CQ7" s="2071"/>
      <c r="CR7" s="2070"/>
      <c r="CS7" s="2070"/>
      <c r="CT7" s="2070"/>
      <c r="CU7" s="2070"/>
      <c r="CV7" s="2070"/>
      <c r="CW7" s="2070"/>
      <c r="CX7" s="2070">
        <v>1</v>
      </c>
      <c r="CY7" s="2070"/>
      <c r="CZ7" s="2070"/>
      <c r="DA7" s="2070"/>
      <c r="DB7" s="2070"/>
      <c r="DC7" s="2070"/>
      <c r="DD7" s="2070"/>
      <c r="DE7" s="2070"/>
      <c r="DF7" s="2070"/>
      <c r="DG7" s="2070"/>
      <c r="DH7" s="2070"/>
      <c r="DI7" s="2070"/>
      <c r="DJ7" s="2073"/>
      <c r="DK7" s="2073"/>
      <c r="DL7" s="2072">
        <v>6</v>
      </c>
      <c r="DM7" s="2072">
        <v>3</v>
      </c>
      <c r="DN7" s="2072"/>
      <c r="DO7" s="2072"/>
      <c r="DP7" s="2072"/>
      <c r="DQ7" s="2072"/>
      <c r="DR7" s="2072"/>
      <c r="DS7" s="2072"/>
      <c r="DT7" s="2072"/>
      <c r="DU7" s="2072"/>
      <c r="DV7" s="2072"/>
      <c r="DW7" s="2072"/>
      <c r="DX7" s="2072"/>
      <c r="DY7" s="2072"/>
      <c r="DZ7" s="2072"/>
      <c r="EA7" s="2072"/>
      <c r="EB7" s="2072"/>
      <c r="EC7" s="2072"/>
      <c r="ED7" s="2072"/>
      <c r="EE7" s="2072"/>
      <c r="EF7" s="2072"/>
      <c r="EG7" s="2072"/>
      <c r="EH7" s="2072"/>
      <c r="EI7" s="2074"/>
      <c r="EJ7" s="2072"/>
      <c r="EK7" s="2072"/>
      <c r="EL7" s="2072"/>
      <c r="EM7" s="2072"/>
      <c r="EN7" s="2072"/>
      <c r="EO7" s="2075"/>
      <c r="EP7" s="2075"/>
      <c r="EQ7" s="2075"/>
      <c r="ER7" s="2075"/>
      <c r="ES7" s="2075"/>
      <c r="ET7" s="2075"/>
      <c r="EU7" s="2075"/>
      <c r="EV7" s="2075"/>
      <c r="EW7" s="2075"/>
      <c r="EX7" s="2075"/>
      <c r="EY7" s="2075"/>
      <c r="EZ7" s="2075"/>
      <c r="FA7" s="2075"/>
      <c r="FB7" s="2075"/>
      <c r="FC7" s="2075"/>
      <c r="FD7" s="2075"/>
      <c r="FE7" s="2075"/>
      <c r="FF7" s="2075"/>
      <c r="FG7" s="2075"/>
      <c r="FH7" s="2075"/>
      <c r="FI7" s="2076"/>
      <c r="FJ7" s="2076"/>
      <c r="FK7" s="2076"/>
      <c r="FL7" s="2077"/>
      <c r="FM7" s="2078"/>
      <c r="FN7" s="2076"/>
      <c r="FO7" s="2079">
        <f t="shared" ref="FO7:FO21" si="1">+B7</f>
        <v>1</v>
      </c>
      <c r="FP7" s="2076"/>
      <c r="FQ7" s="2076"/>
      <c r="FR7" s="2076"/>
      <c r="FS7" s="2076">
        <v>3</v>
      </c>
      <c r="FT7" s="2076"/>
      <c r="FU7" s="2076"/>
      <c r="FV7" s="2076"/>
      <c r="FW7" s="2076"/>
      <c r="FX7" s="2076"/>
      <c r="FY7" s="2076"/>
      <c r="FZ7" s="2076"/>
      <c r="GA7" s="2076"/>
      <c r="GB7" s="2076"/>
      <c r="GC7" s="2076"/>
      <c r="GD7" s="2076"/>
      <c r="GE7" s="2076"/>
      <c r="GF7" s="2076"/>
      <c r="GG7" s="2076"/>
      <c r="GH7" s="2076"/>
      <c r="GI7" s="2076">
        <v>1</v>
      </c>
      <c r="GJ7" s="2076"/>
      <c r="GK7" s="2076">
        <v>3</v>
      </c>
      <c r="GL7" s="2076"/>
      <c r="GM7" s="2076"/>
      <c r="GN7" s="2076"/>
      <c r="GO7" s="2076">
        <v>2</v>
      </c>
      <c r="GP7" s="2076"/>
      <c r="GQ7" s="2076"/>
      <c r="GR7" s="2076"/>
      <c r="GS7" s="2076"/>
      <c r="GT7" s="2076"/>
      <c r="GU7" s="2076"/>
      <c r="GV7" s="2080"/>
      <c r="GW7" s="2032"/>
      <c r="GX7" s="2032"/>
      <c r="GY7" s="2032"/>
      <c r="GZ7" s="2032"/>
      <c r="HA7" s="2032"/>
      <c r="HB7" s="2032"/>
      <c r="HC7" s="2032"/>
      <c r="HD7" s="2032"/>
      <c r="HE7" s="2032"/>
      <c r="HF7" s="2032"/>
    </row>
    <row r="8" spans="1:250" ht="15.6">
      <c r="A8" s="2082">
        <v>2</v>
      </c>
      <c r="B8" s="2083">
        <v>41</v>
      </c>
      <c r="C8" s="2084">
        <f t="shared" ref="C8:C21" si="2">+C7+B8</f>
        <v>42</v>
      </c>
      <c r="D8" s="2085" t="s">
        <v>184</v>
      </c>
      <c r="E8" s="2086">
        <v>1</v>
      </c>
      <c r="F8" s="2087"/>
      <c r="G8" s="2087"/>
      <c r="H8" s="2087"/>
      <c r="I8" s="2087"/>
      <c r="J8" s="2088"/>
      <c r="K8" s="2088"/>
      <c r="L8" s="2088"/>
      <c r="M8" s="2072"/>
      <c r="N8" s="2072"/>
      <c r="O8" s="2072"/>
      <c r="P8" s="2072"/>
      <c r="Q8" s="2072"/>
      <c r="R8" s="2072"/>
      <c r="S8" s="2072"/>
      <c r="T8" s="2072"/>
      <c r="U8" s="2072"/>
      <c r="V8" s="2072"/>
      <c r="W8" s="2072"/>
      <c r="X8" s="2072"/>
      <c r="Y8" s="2072"/>
      <c r="Z8" s="2072"/>
      <c r="AA8" s="2072"/>
      <c r="AB8" s="2072"/>
      <c r="AC8" s="2072"/>
      <c r="AD8" s="2072"/>
      <c r="AE8" s="2072"/>
      <c r="AF8" s="2072"/>
      <c r="AG8" s="2072"/>
      <c r="AH8" s="2072"/>
      <c r="AI8" s="2072"/>
      <c r="AJ8" s="2072"/>
      <c r="AK8" s="2072"/>
      <c r="AL8" s="2072"/>
      <c r="AM8" s="2072"/>
      <c r="AN8" s="2072">
        <f t="shared" si="0"/>
        <v>0</v>
      </c>
      <c r="AO8" s="2072"/>
      <c r="AP8" s="2072"/>
      <c r="AQ8" s="2072"/>
      <c r="AR8" s="2072"/>
      <c r="AS8" s="2072"/>
      <c r="AT8" s="2072"/>
      <c r="AU8" s="2072"/>
      <c r="AV8" s="2072"/>
      <c r="AW8" s="2072"/>
      <c r="AX8" s="2072"/>
      <c r="AY8" s="2072"/>
      <c r="AZ8" s="2072"/>
      <c r="BA8" s="2072"/>
      <c r="BB8" s="2072"/>
      <c r="BC8" s="2072"/>
      <c r="BD8" s="2072"/>
      <c r="BE8" s="2072"/>
      <c r="BF8" s="2072"/>
      <c r="BG8" s="2072"/>
      <c r="BH8" s="2072"/>
      <c r="BI8" s="2072"/>
      <c r="BJ8" s="2072"/>
      <c r="BK8" s="2072"/>
      <c r="BL8" s="2072"/>
      <c r="BM8" s="2072"/>
      <c r="BN8" s="2072"/>
      <c r="BO8" s="2072">
        <f t="shared" ref="BO8:BO21" si="3">+BH8</f>
        <v>0</v>
      </c>
      <c r="BP8" s="2072"/>
      <c r="BQ8" s="2072"/>
      <c r="BR8" s="2072"/>
      <c r="BS8" s="2072"/>
      <c r="BT8" s="2072"/>
      <c r="BU8" s="2072"/>
      <c r="BV8" s="2072"/>
      <c r="BW8" s="2072"/>
      <c r="BX8" s="2072"/>
      <c r="BY8" s="2072"/>
      <c r="BZ8" s="2072"/>
      <c r="CA8" s="2072"/>
      <c r="CB8" s="2072"/>
      <c r="CC8" s="2072"/>
      <c r="CD8" s="2072"/>
      <c r="CE8" s="2072"/>
      <c r="CF8" s="2072"/>
      <c r="CG8" s="2072"/>
      <c r="CH8" s="2072">
        <v>1</v>
      </c>
      <c r="CI8" s="2072"/>
      <c r="CJ8" s="2072"/>
      <c r="CK8" s="2072"/>
      <c r="CL8" s="2072"/>
      <c r="CM8" s="2072"/>
      <c r="CN8" s="2072"/>
      <c r="CO8" s="2072"/>
      <c r="CP8" s="2072"/>
      <c r="CQ8" s="2072"/>
      <c r="CR8" s="2072"/>
      <c r="CS8" s="2072"/>
      <c r="CT8" s="2072"/>
      <c r="CU8" s="2072"/>
      <c r="CV8" s="2072"/>
      <c r="CW8" s="2072"/>
      <c r="CX8" s="2072"/>
      <c r="CY8" s="2072"/>
      <c r="CZ8" s="2072"/>
      <c r="DA8" s="2072"/>
      <c r="DB8" s="2072"/>
      <c r="DC8" s="2072"/>
      <c r="DD8" s="2072"/>
      <c r="DE8" s="2072">
        <v>1</v>
      </c>
      <c r="DF8" s="2072"/>
      <c r="DG8" s="2072"/>
      <c r="DH8" s="2072"/>
      <c r="DI8" s="2072"/>
      <c r="DJ8" s="2072"/>
      <c r="DK8" s="2072"/>
      <c r="DL8" s="2072">
        <v>3</v>
      </c>
      <c r="DM8" s="2072"/>
      <c r="DN8" s="2072"/>
      <c r="DO8" s="2072"/>
      <c r="DP8" s="2072"/>
      <c r="DQ8" s="2072"/>
      <c r="DR8" s="2072"/>
      <c r="DS8" s="2072"/>
      <c r="DT8" s="2072"/>
      <c r="DU8" s="2072"/>
      <c r="DV8" s="2072"/>
      <c r="DW8" s="2072"/>
      <c r="DX8" s="2072"/>
      <c r="DY8" s="2072"/>
      <c r="DZ8" s="2072"/>
      <c r="EA8" s="2072"/>
      <c r="EB8" s="2072"/>
      <c r="EC8" s="2072"/>
      <c r="ED8" s="2072"/>
      <c r="EE8" s="2072"/>
      <c r="EF8" s="2072"/>
      <c r="EG8" s="2072"/>
      <c r="EH8" s="2072"/>
      <c r="EI8" s="2074"/>
      <c r="EJ8" s="2072"/>
      <c r="EK8" s="2072"/>
      <c r="EL8" s="2072"/>
      <c r="EM8" s="2072"/>
      <c r="EN8" s="2072"/>
      <c r="EO8" s="2072"/>
      <c r="EP8" s="2072"/>
      <c r="EQ8" s="2072"/>
      <c r="ER8" s="2072"/>
      <c r="ES8" s="2072"/>
      <c r="ET8" s="2072"/>
      <c r="EU8" s="2072"/>
      <c r="EV8" s="2072"/>
      <c r="EW8" s="2072"/>
      <c r="EX8" s="2072"/>
      <c r="EY8" s="2072"/>
      <c r="EZ8" s="2072"/>
      <c r="FA8" s="2072"/>
      <c r="FB8" s="2072"/>
      <c r="FC8" s="2072"/>
      <c r="FD8" s="2072"/>
      <c r="FE8" s="2072"/>
      <c r="FF8" s="2072"/>
      <c r="FG8" s="2072"/>
      <c r="FH8" s="2072"/>
      <c r="FI8" s="2089"/>
      <c r="FJ8" s="2089"/>
      <c r="FK8" s="2089"/>
      <c r="FL8" s="2090"/>
      <c r="FM8" s="2091"/>
      <c r="FN8" s="2092"/>
      <c r="FO8" s="2093">
        <f t="shared" si="1"/>
        <v>41</v>
      </c>
      <c r="FP8" s="2094"/>
      <c r="FQ8" s="2094"/>
      <c r="FR8" s="2094"/>
      <c r="FS8" s="2094"/>
      <c r="FT8" s="2094">
        <v>1</v>
      </c>
      <c r="FU8" s="2094"/>
      <c r="FV8" s="2094"/>
      <c r="FW8" s="2094"/>
      <c r="FX8" s="2094"/>
      <c r="FY8" s="2094"/>
      <c r="FZ8" s="2094"/>
      <c r="GA8" s="2094"/>
      <c r="GB8" s="2094"/>
      <c r="GC8" s="2094"/>
      <c r="GD8" s="2094"/>
      <c r="GE8" s="2094"/>
      <c r="GF8" s="2094"/>
      <c r="GG8" s="2094"/>
      <c r="GH8" s="2094"/>
      <c r="GI8" s="2094"/>
      <c r="GJ8" s="2094"/>
      <c r="GK8" s="2094"/>
      <c r="GL8" s="2094"/>
      <c r="GM8" s="2094"/>
      <c r="GN8" s="2094"/>
      <c r="GO8" s="2094"/>
      <c r="GP8" s="2094"/>
      <c r="GQ8" s="2094"/>
      <c r="GR8" s="2094"/>
      <c r="GS8" s="2094"/>
      <c r="GT8" s="2094"/>
      <c r="GU8" s="2095"/>
      <c r="GV8" s="2096"/>
      <c r="GZ8" s="2032"/>
      <c r="HA8" s="2032"/>
      <c r="HB8" s="2032"/>
      <c r="HC8" s="2032"/>
      <c r="HD8" s="2032"/>
      <c r="HE8" s="2032"/>
      <c r="HF8" s="2032"/>
    </row>
    <row r="9" spans="1:250" ht="15.6">
      <c r="A9" s="2097">
        <v>3</v>
      </c>
      <c r="B9" s="2083">
        <v>43</v>
      </c>
      <c r="C9" s="2084">
        <f t="shared" si="2"/>
        <v>85</v>
      </c>
      <c r="D9" s="2085" t="s">
        <v>184</v>
      </c>
      <c r="E9" s="2087">
        <v>1</v>
      </c>
      <c r="F9" s="2087"/>
      <c r="G9" s="2098"/>
      <c r="H9" s="2088"/>
      <c r="I9" s="2088"/>
      <c r="J9" s="2098"/>
      <c r="K9" s="2098"/>
      <c r="L9" s="2098"/>
      <c r="M9" s="2072"/>
      <c r="N9" s="2098"/>
      <c r="O9" s="2098"/>
      <c r="P9" s="2098"/>
      <c r="Q9" s="2098"/>
      <c r="R9" s="2098"/>
      <c r="S9" s="2098"/>
      <c r="T9" s="2098"/>
      <c r="U9" s="2098"/>
      <c r="V9" s="2098"/>
      <c r="W9" s="2098"/>
      <c r="X9" s="2099"/>
      <c r="Y9" s="2098"/>
      <c r="Z9" s="2098"/>
      <c r="AA9" s="2098"/>
      <c r="AB9" s="2098"/>
      <c r="AC9" s="2098"/>
      <c r="AD9" s="2098"/>
      <c r="AE9" s="2098"/>
      <c r="AF9" s="2098"/>
      <c r="AG9" s="2098"/>
      <c r="AH9" s="2098"/>
      <c r="AI9" s="2098"/>
      <c r="AJ9" s="2098"/>
      <c r="AK9" s="2098"/>
      <c r="AL9" s="2098"/>
      <c r="AM9" s="2098"/>
      <c r="AN9" s="2072">
        <f t="shared" si="0"/>
        <v>0</v>
      </c>
      <c r="AO9" s="2098"/>
      <c r="AP9" s="2098"/>
      <c r="AQ9" s="2098"/>
      <c r="AR9" s="2098"/>
      <c r="AS9" s="2098"/>
      <c r="AT9" s="2098"/>
      <c r="AU9" s="2098"/>
      <c r="AV9" s="2098"/>
      <c r="AW9" s="2098"/>
      <c r="AX9" s="2098"/>
      <c r="AY9" s="2098"/>
      <c r="AZ9" s="2098"/>
      <c r="BA9" s="2098"/>
      <c r="BB9" s="2098"/>
      <c r="BC9" s="2098"/>
      <c r="BD9" s="2098"/>
      <c r="BE9" s="2098"/>
      <c r="BF9" s="2098"/>
      <c r="BG9" s="2098"/>
      <c r="BH9" s="2098"/>
      <c r="BI9" s="2098"/>
      <c r="BJ9" s="2098"/>
      <c r="BK9" s="2098"/>
      <c r="BL9" s="2098"/>
      <c r="BM9" s="2072"/>
      <c r="BN9" s="2072"/>
      <c r="BO9" s="2072">
        <f t="shared" si="3"/>
        <v>0</v>
      </c>
      <c r="BP9" s="2072"/>
      <c r="BQ9" s="2072"/>
      <c r="BR9" s="2098"/>
      <c r="BS9" s="2098"/>
      <c r="BT9" s="2098"/>
      <c r="BU9" s="2098"/>
      <c r="BV9" s="2098"/>
      <c r="BW9" s="2098"/>
      <c r="BX9" s="2098"/>
      <c r="BY9" s="2098"/>
      <c r="BZ9" s="2098"/>
      <c r="CA9" s="2098"/>
      <c r="CB9" s="2098"/>
      <c r="CC9" s="2098"/>
      <c r="CD9" s="2098"/>
      <c r="CE9" s="2098"/>
      <c r="CF9" s="2098"/>
      <c r="CG9" s="2098"/>
      <c r="CH9" s="2072">
        <v>1</v>
      </c>
      <c r="CI9" s="2072"/>
      <c r="CJ9" s="2098"/>
      <c r="CK9" s="2098"/>
      <c r="CL9" s="2098"/>
      <c r="CM9" s="2098"/>
      <c r="CN9" s="2072"/>
      <c r="CO9" s="2072"/>
      <c r="CP9" s="2072"/>
      <c r="CQ9" s="2072"/>
      <c r="CR9" s="2072"/>
      <c r="CS9" s="2072"/>
      <c r="CT9" s="2072"/>
      <c r="CU9" s="2072"/>
      <c r="CV9" s="2072"/>
      <c r="CW9" s="2072"/>
      <c r="CX9" s="2072"/>
      <c r="CY9" s="2072"/>
      <c r="CZ9" s="2072"/>
      <c r="DA9" s="2072"/>
      <c r="DB9" s="2072"/>
      <c r="DC9" s="2072"/>
      <c r="DD9" s="2072"/>
      <c r="DE9" s="2072"/>
      <c r="DF9" s="2072"/>
      <c r="DG9" s="2072"/>
      <c r="DH9" s="2072"/>
      <c r="DI9" s="2072"/>
      <c r="DJ9" s="2072"/>
      <c r="DK9" s="2072"/>
      <c r="DL9" s="2072">
        <v>3</v>
      </c>
      <c r="DM9" s="2098"/>
      <c r="DN9" s="2098"/>
      <c r="DO9" s="2098"/>
      <c r="DP9" s="2098"/>
      <c r="DQ9" s="2098"/>
      <c r="DR9" s="2098"/>
      <c r="DS9" s="2098"/>
      <c r="DT9" s="2098"/>
      <c r="DU9" s="2098"/>
      <c r="DV9" s="2098"/>
      <c r="DW9" s="2098"/>
      <c r="DX9" s="2098"/>
      <c r="DY9" s="2098"/>
      <c r="DZ9" s="2098"/>
      <c r="EA9" s="2098"/>
      <c r="EB9" s="2098"/>
      <c r="EC9" s="2098"/>
      <c r="ED9" s="2098"/>
      <c r="EE9" s="2098"/>
      <c r="EF9" s="2098"/>
      <c r="EG9" s="2098"/>
      <c r="EH9" s="2098"/>
      <c r="EI9" s="2100"/>
      <c r="EJ9" s="2098"/>
      <c r="EK9" s="2098"/>
      <c r="EL9" s="2098"/>
      <c r="EM9" s="2098"/>
      <c r="EN9" s="2098"/>
      <c r="EO9" s="2098"/>
      <c r="EP9" s="2098"/>
      <c r="EQ9" s="2098"/>
      <c r="ER9" s="2098"/>
      <c r="ES9" s="2098"/>
      <c r="ET9" s="2098"/>
      <c r="EU9" s="2098"/>
      <c r="EV9" s="2098"/>
      <c r="EW9" s="2098"/>
      <c r="EX9" s="2098"/>
      <c r="EY9" s="2098"/>
      <c r="EZ9" s="2098"/>
      <c r="FA9" s="2098"/>
      <c r="FB9" s="2098"/>
      <c r="FC9" s="2098"/>
      <c r="FD9" s="2098"/>
      <c r="FE9" s="2098"/>
      <c r="FF9" s="2098"/>
      <c r="FG9" s="2098"/>
      <c r="FH9" s="2098"/>
      <c r="FI9" s="2098"/>
      <c r="FJ9" s="2098"/>
      <c r="FK9" s="2098"/>
      <c r="FL9" s="2101"/>
      <c r="FM9" s="2102"/>
      <c r="FN9" s="2092"/>
      <c r="FO9" s="2093">
        <f t="shared" si="1"/>
        <v>43</v>
      </c>
      <c r="FP9" s="2103"/>
      <c r="FQ9" s="2103"/>
      <c r="FR9" s="2103"/>
      <c r="FS9" s="2103"/>
      <c r="FT9" s="2103">
        <v>1</v>
      </c>
      <c r="FU9" s="2103"/>
      <c r="FV9" s="2103"/>
      <c r="FW9" s="2103"/>
      <c r="FX9" s="2103"/>
      <c r="FY9" s="2103"/>
      <c r="FZ9" s="2103"/>
      <c r="GA9" s="2103"/>
      <c r="GB9" s="2103"/>
      <c r="GC9" s="2103"/>
      <c r="GD9" s="2094"/>
      <c r="GE9" s="2103"/>
      <c r="GF9" s="2103"/>
      <c r="GG9" s="2103"/>
      <c r="GH9" s="2103"/>
      <c r="GI9" s="2103"/>
      <c r="GJ9" s="2103"/>
      <c r="GK9" s="2103"/>
      <c r="GL9" s="2103"/>
      <c r="GM9" s="2103"/>
      <c r="GN9" s="2103"/>
      <c r="GO9" s="2103"/>
      <c r="GP9" s="2103"/>
      <c r="GQ9" s="2103"/>
      <c r="GR9" s="2103"/>
      <c r="GS9" s="2103"/>
      <c r="GT9" s="2103"/>
      <c r="GU9" s="2103"/>
      <c r="GV9" s="2104"/>
      <c r="GZ9" s="2032"/>
      <c r="HA9" s="2032"/>
      <c r="HB9" s="2032"/>
      <c r="HC9" s="2032"/>
      <c r="HD9" s="2032"/>
      <c r="HE9" s="2032"/>
      <c r="HF9" s="2032"/>
    </row>
    <row r="10" spans="1:250" ht="15.6">
      <c r="A10" s="2082">
        <v>4</v>
      </c>
      <c r="B10" s="2083">
        <v>45</v>
      </c>
      <c r="C10" s="2084">
        <f t="shared" si="2"/>
        <v>130</v>
      </c>
      <c r="D10" s="2085" t="s">
        <v>184</v>
      </c>
      <c r="E10" s="2087">
        <v>1</v>
      </c>
      <c r="F10" s="2087"/>
      <c r="G10" s="2098"/>
      <c r="H10" s="2088"/>
      <c r="I10" s="2088"/>
      <c r="J10" s="2098"/>
      <c r="K10" s="2098"/>
      <c r="L10" s="2098"/>
      <c r="M10" s="2072"/>
      <c r="N10" s="2098"/>
      <c r="O10" s="2098"/>
      <c r="P10" s="2098"/>
      <c r="Q10" s="2098"/>
      <c r="R10" s="2098"/>
      <c r="S10" s="2098"/>
      <c r="T10" s="2098"/>
      <c r="U10" s="2098"/>
      <c r="V10" s="2098"/>
      <c r="W10" s="2098"/>
      <c r="X10" s="2099"/>
      <c r="Y10" s="2098"/>
      <c r="Z10" s="2098"/>
      <c r="AA10" s="2098"/>
      <c r="AB10" s="2098"/>
      <c r="AC10" s="2098"/>
      <c r="AD10" s="2098"/>
      <c r="AE10" s="2098"/>
      <c r="AF10" s="2098"/>
      <c r="AG10" s="2098"/>
      <c r="AH10" s="2098"/>
      <c r="AI10" s="2098"/>
      <c r="AJ10" s="2098"/>
      <c r="AK10" s="2098"/>
      <c r="AL10" s="2098"/>
      <c r="AM10" s="2098"/>
      <c r="AN10" s="2072">
        <f t="shared" si="0"/>
        <v>0</v>
      </c>
      <c r="AO10" s="2098"/>
      <c r="AP10" s="2098"/>
      <c r="AQ10" s="2098"/>
      <c r="AR10" s="2098"/>
      <c r="AS10" s="2098"/>
      <c r="AT10" s="2098"/>
      <c r="AU10" s="2098"/>
      <c r="AV10" s="2098"/>
      <c r="AW10" s="2098"/>
      <c r="AX10" s="2098"/>
      <c r="AY10" s="2098"/>
      <c r="AZ10" s="2098"/>
      <c r="BA10" s="2098"/>
      <c r="BB10" s="2098"/>
      <c r="BC10" s="2098"/>
      <c r="BD10" s="2098"/>
      <c r="BE10" s="2098"/>
      <c r="BF10" s="2098"/>
      <c r="BG10" s="2098"/>
      <c r="BH10" s="2098"/>
      <c r="BI10" s="2098"/>
      <c r="BJ10" s="2098"/>
      <c r="BK10" s="2098"/>
      <c r="BL10" s="2098"/>
      <c r="BM10" s="2072"/>
      <c r="BN10" s="2072"/>
      <c r="BO10" s="2072">
        <f t="shared" si="3"/>
        <v>0</v>
      </c>
      <c r="BP10" s="2072"/>
      <c r="BQ10" s="2072"/>
      <c r="BR10" s="2098"/>
      <c r="BS10" s="2098"/>
      <c r="BT10" s="2098"/>
      <c r="BU10" s="2098"/>
      <c r="BV10" s="2098"/>
      <c r="BW10" s="2098"/>
      <c r="BX10" s="2098"/>
      <c r="BY10" s="2098"/>
      <c r="BZ10" s="2098"/>
      <c r="CA10" s="2098"/>
      <c r="CB10" s="2098"/>
      <c r="CC10" s="2098"/>
      <c r="CD10" s="2098"/>
      <c r="CE10" s="2098"/>
      <c r="CF10" s="2098"/>
      <c r="CG10" s="2098"/>
      <c r="CH10" s="2072">
        <v>1</v>
      </c>
      <c r="CI10" s="2072"/>
      <c r="CJ10" s="2098"/>
      <c r="CK10" s="2098"/>
      <c r="CL10" s="2098"/>
      <c r="CM10" s="2098"/>
      <c r="CN10" s="2072"/>
      <c r="CO10" s="2072"/>
      <c r="CP10" s="2072"/>
      <c r="CQ10" s="2072"/>
      <c r="CR10" s="2072"/>
      <c r="CS10" s="2072"/>
      <c r="CT10" s="2072"/>
      <c r="CU10" s="2072"/>
      <c r="CV10" s="2072"/>
      <c r="CW10" s="2072"/>
      <c r="CX10" s="2072"/>
      <c r="CY10" s="2072"/>
      <c r="CZ10" s="2072"/>
      <c r="DA10" s="2072"/>
      <c r="DB10" s="2072"/>
      <c r="DC10" s="2072"/>
      <c r="DD10" s="2072"/>
      <c r="DE10" s="2072"/>
      <c r="DF10" s="2072"/>
      <c r="DG10" s="2072"/>
      <c r="DH10" s="2072"/>
      <c r="DI10" s="2072"/>
      <c r="DJ10" s="2072"/>
      <c r="DK10" s="2072"/>
      <c r="DL10" s="2072">
        <v>3</v>
      </c>
      <c r="DM10" s="2098"/>
      <c r="DN10" s="2098"/>
      <c r="DO10" s="2098"/>
      <c r="DP10" s="2098"/>
      <c r="DQ10" s="2098"/>
      <c r="DR10" s="2098"/>
      <c r="DS10" s="2098"/>
      <c r="DT10" s="2098"/>
      <c r="DU10" s="2098"/>
      <c r="DV10" s="2098"/>
      <c r="DW10" s="2098"/>
      <c r="DX10" s="2098"/>
      <c r="DY10" s="2098"/>
      <c r="DZ10" s="2098"/>
      <c r="EA10" s="2098"/>
      <c r="EB10" s="2098"/>
      <c r="EC10" s="2098"/>
      <c r="ED10" s="2098"/>
      <c r="EE10" s="2098"/>
      <c r="EF10" s="2098"/>
      <c r="EG10" s="2098"/>
      <c r="EH10" s="2098"/>
      <c r="EI10" s="2100"/>
      <c r="EJ10" s="2098"/>
      <c r="EK10" s="2098"/>
      <c r="EL10" s="2098"/>
      <c r="EM10" s="2098"/>
      <c r="EN10" s="2098"/>
      <c r="EO10" s="2098"/>
      <c r="EP10" s="2098"/>
      <c r="EQ10" s="2098"/>
      <c r="ER10" s="2098"/>
      <c r="ES10" s="2098"/>
      <c r="ET10" s="2098"/>
      <c r="EU10" s="2098"/>
      <c r="EV10" s="2098"/>
      <c r="EW10" s="2098"/>
      <c r="EX10" s="2098"/>
      <c r="EY10" s="2098"/>
      <c r="EZ10" s="2098"/>
      <c r="FA10" s="2098"/>
      <c r="FB10" s="2098"/>
      <c r="FC10" s="2098"/>
      <c r="FD10" s="2098"/>
      <c r="FE10" s="2098"/>
      <c r="FF10" s="2098"/>
      <c r="FG10" s="2098"/>
      <c r="FH10" s="2098"/>
      <c r="FI10" s="2098"/>
      <c r="FJ10" s="2098"/>
      <c r="FK10" s="2098"/>
      <c r="FL10" s="2101"/>
      <c r="FM10" s="2102"/>
      <c r="FN10" s="2092"/>
      <c r="FO10" s="2093">
        <f t="shared" si="1"/>
        <v>45</v>
      </c>
      <c r="FP10" s="2103"/>
      <c r="FQ10" s="2103"/>
      <c r="FR10" s="2103"/>
      <c r="FS10" s="2103"/>
      <c r="FT10" s="2103">
        <v>1</v>
      </c>
      <c r="FU10" s="2103"/>
      <c r="FV10" s="2103"/>
      <c r="FW10" s="2103"/>
      <c r="FX10" s="2103"/>
      <c r="FY10" s="2103"/>
      <c r="FZ10" s="2103"/>
      <c r="GA10" s="2103"/>
      <c r="GB10" s="2103"/>
      <c r="GC10" s="2103"/>
      <c r="GD10" s="2094"/>
      <c r="GE10" s="2103"/>
      <c r="GF10" s="2103"/>
      <c r="GG10" s="2103"/>
      <c r="GH10" s="2103"/>
      <c r="GI10" s="2103"/>
      <c r="GJ10" s="2103"/>
      <c r="GK10" s="2103"/>
      <c r="GL10" s="2103"/>
      <c r="GM10" s="2103"/>
      <c r="GN10" s="2103"/>
      <c r="GO10" s="2103"/>
      <c r="GP10" s="2103"/>
      <c r="GQ10" s="2103"/>
      <c r="GR10" s="2103"/>
      <c r="GS10" s="2103"/>
      <c r="GT10" s="2103"/>
      <c r="GU10" s="2103"/>
      <c r="GV10" s="2104"/>
      <c r="GZ10" s="2032"/>
      <c r="HA10" s="2032"/>
      <c r="HB10" s="2032"/>
      <c r="HC10" s="2032"/>
      <c r="HD10" s="2032"/>
      <c r="HE10" s="2032"/>
      <c r="HF10" s="2032"/>
    </row>
    <row r="11" spans="1:250" ht="15.6">
      <c r="A11" s="2097">
        <v>5</v>
      </c>
      <c r="B11" s="2083">
        <v>45</v>
      </c>
      <c r="C11" s="2084">
        <f t="shared" si="2"/>
        <v>175</v>
      </c>
      <c r="D11" s="2085" t="s">
        <v>184</v>
      </c>
      <c r="E11" s="2087">
        <v>1</v>
      </c>
      <c r="F11" s="2087"/>
      <c r="G11" s="2098"/>
      <c r="H11" s="2088"/>
      <c r="I11" s="2088"/>
      <c r="J11" s="2098"/>
      <c r="K11" s="2098"/>
      <c r="L11" s="2098"/>
      <c r="M11" s="2072"/>
      <c r="N11" s="2098"/>
      <c r="O11" s="2098"/>
      <c r="P11" s="2098"/>
      <c r="Q11" s="2098"/>
      <c r="R11" s="2098"/>
      <c r="S11" s="2098"/>
      <c r="T11" s="2098"/>
      <c r="U11" s="2098"/>
      <c r="V11" s="2098"/>
      <c r="W11" s="2098"/>
      <c r="X11" s="2099"/>
      <c r="Y11" s="2098"/>
      <c r="Z11" s="2098"/>
      <c r="AA11" s="2098"/>
      <c r="AB11" s="2098"/>
      <c r="AC11" s="2098"/>
      <c r="AD11" s="2098"/>
      <c r="AE11" s="2098"/>
      <c r="AF11" s="2098"/>
      <c r="AG11" s="2098"/>
      <c r="AH11" s="2098"/>
      <c r="AI11" s="2098"/>
      <c r="AJ11" s="2098"/>
      <c r="AK11" s="2098"/>
      <c r="AL11" s="2098"/>
      <c r="AM11" s="2098"/>
      <c r="AN11" s="2072">
        <f t="shared" si="0"/>
        <v>0</v>
      </c>
      <c r="AO11" s="2098"/>
      <c r="AP11" s="2098"/>
      <c r="AQ11" s="2098"/>
      <c r="AR11" s="2098"/>
      <c r="AS11" s="2098"/>
      <c r="AT11" s="2098"/>
      <c r="AU11" s="2098"/>
      <c r="AV11" s="2098"/>
      <c r="AW11" s="2098"/>
      <c r="AX11" s="2098"/>
      <c r="AY11" s="2098"/>
      <c r="AZ11" s="2098"/>
      <c r="BA11" s="2098"/>
      <c r="BB11" s="2098"/>
      <c r="BC11" s="2098"/>
      <c r="BD11" s="2098"/>
      <c r="BE11" s="2098"/>
      <c r="BF11" s="2098"/>
      <c r="BG11" s="2098"/>
      <c r="BH11" s="2098"/>
      <c r="BI11" s="2098"/>
      <c r="BJ11" s="2098"/>
      <c r="BK11" s="2098"/>
      <c r="BL11" s="2098"/>
      <c r="BM11" s="2072"/>
      <c r="BN11" s="2072"/>
      <c r="BO11" s="2072">
        <f t="shared" si="3"/>
        <v>0</v>
      </c>
      <c r="BP11" s="2072"/>
      <c r="BQ11" s="2072"/>
      <c r="BR11" s="2098"/>
      <c r="BS11" s="2098"/>
      <c r="BT11" s="2098"/>
      <c r="BU11" s="2098"/>
      <c r="BV11" s="2098"/>
      <c r="BW11" s="2098"/>
      <c r="BX11" s="2098"/>
      <c r="BY11" s="2098"/>
      <c r="BZ11" s="2098"/>
      <c r="CA11" s="2098"/>
      <c r="CB11" s="2098"/>
      <c r="CC11" s="2098"/>
      <c r="CD11" s="2098"/>
      <c r="CE11" s="2098"/>
      <c r="CF11" s="2098"/>
      <c r="CG11" s="2098"/>
      <c r="CH11" s="2072">
        <v>1</v>
      </c>
      <c r="CI11" s="2072"/>
      <c r="CJ11" s="2098"/>
      <c r="CK11" s="2098"/>
      <c r="CL11" s="2098"/>
      <c r="CM11" s="2098"/>
      <c r="CN11" s="2072"/>
      <c r="CO11" s="2072"/>
      <c r="CP11" s="2072"/>
      <c r="CQ11" s="2072"/>
      <c r="CR11" s="2072"/>
      <c r="CS11" s="2072"/>
      <c r="CT11" s="2072"/>
      <c r="CU11" s="2072"/>
      <c r="CV11" s="2072"/>
      <c r="CW11" s="2072"/>
      <c r="CX11" s="2072"/>
      <c r="CY11" s="2072"/>
      <c r="CZ11" s="2072"/>
      <c r="DA11" s="2072"/>
      <c r="DB11" s="2072"/>
      <c r="DC11" s="2072"/>
      <c r="DD11" s="2072"/>
      <c r="DE11" s="2072"/>
      <c r="DF11" s="2072"/>
      <c r="DG11" s="2072"/>
      <c r="DH11" s="2072"/>
      <c r="DI11" s="2072"/>
      <c r="DJ11" s="2072"/>
      <c r="DK11" s="2072"/>
      <c r="DL11" s="2072">
        <v>3</v>
      </c>
      <c r="DM11" s="2098"/>
      <c r="DN11" s="2098"/>
      <c r="DO11" s="2098"/>
      <c r="DP11" s="2098"/>
      <c r="DQ11" s="2098"/>
      <c r="DR11" s="2098"/>
      <c r="DS11" s="2098"/>
      <c r="DT11" s="2098"/>
      <c r="DU11" s="2098"/>
      <c r="DV11" s="2098"/>
      <c r="DW11" s="2098"/>
      <c r="DX11" s="2098"/>
      <c r="DY11" s="2098"/>
      <c r="DZ11" s="2098"/>
      <c r="EA11" s="2098"/>
      <c r="EB11" s="2098"/>
      <c r="EC11" s="2098"/>
      <c r="ED11" s="2098"/>
      <c r="EE11" s="2098"/>
      <c r="EF11" s="2098"/>
      <c r="EG11" s="2098"/>
      <c r="EH11" s="2098"/>
      <c r="EI11" s="2100"/>
      <c r="EJ11" s="2098"/>
      <c r="EK11" s="2098"/>
      <c r="EL11" s="2098"/>
      <c r="EM11" s="2098"/>
      <c r="EN11" s="2098"/>
      <c r="EO11" s="2098"/>
      <c r="EP11" s="2098"/>
      <c r="EQ11" s="2098"/>
      <c r="ER11" s="2098"/>
      <c r="ES11" s="2098"/>
      <c r="ET11" s="2098"/>
      <c r="EU11" s="2098"/>
      <c r="EV11" s="2098"/>
      <c r="EW11" s="2098"/>
      <c r="EX11" s="2098"/>
      <c r="EY11" s="2098"/>
      <c r="EZ11" s="2098"/>
      <c r="FA11" s="2098"/>
      <c r="FB11" s="2098"/>
      <c r="FC11" s="2098"/>
      <c r="FD11" s="2098"/>
      <c r="FE11" s="2098"/>
      <c r="FF11" s="2098"/>
      <c r="FG11" s="2098"/>
      <c r="FH11" s="2098"/>
      <c r="FI11" s="2098"/>
      <c r="FJ11" s="2098"/>
      <c r="FK11" s="2098"/>
      <c r="FL11" s="2101"/>
      <c r="FM11" s="2102"/>
      <c r="FN11" s="2092"/>
      <c r="FO11" s="2093">
        <f t="shared" si="1"/>
        <v>45</v>
      </c>
      <c r="FP11" s="2103"/>
      <c r="FQ11" s="2103"/>
      <c r="FR11" s="2103"/>
      <c r="FS11" s="2103"/>
      <c r="FT11" s="2103">
        <v>1</v>
      </c>
      <c r="FU11" s="2103"/>
      <c r="FV11" s="2103"/>
      <c r="FW11" s="2103"/>
      <c r="FX11" s="2103"/>
      <c r="FY11" s="2103"/>
      <c r="FZ11" s="2103"/>
      <c r="GA11" s="2103"/>
      <c r="GB11" s="2103"/>
      <c r="GC11" s="2103"/>
      <c r="GD11" s="2094"/>
      <c r="GE11" s="2103"/>
      <c r="GF11" s="2103"/>
      <c r="GG11" s="2103"/>
      <c r="GH11" s="2103"/>
      <c r="GI11" s="2103"/>
      <c r="GJ11" s="2103"/>
      <c r="GK11" s="2103"/>
      <c r="GL11" s="2103"/>
      <c r="GM11" s="2103"/>
      <c r="GN11" s="2103"/>
      <c r="GO11" s="2103"/>
      <c r="GP11" s="2103"/>
      <c r="GQ11" s="2103"/>
      <c r="GR11" s="2103"/>
      <c r="GS11" s="2103"/>
      <c r="GT11" s="2103"/>
      <c r="GU11" s="2103"/>
      <c r="GV11" s="2104"/>
      <c r="GZ11" s="2032"/>
      <c r="HA11" s="2032"/>
      <c r="HB11" s="2032"/>
      <c r="HC11" s="2032"/>
      <c r="HD11" s="2032"/>
      <c r="HE11" s="2032"/>
      <c r="HF11" s="2032"/>
    </row>
    <row r="12" spans="1:250" ht="15.6">
      <c r="A12" s="2082">
        <v>6</v>
      </c>
      <c r="B12" s="2083">
        <v>45</v>
      </c>
      <c r="C12" s="2084">
        <f t="shared" si="2"/>
        <v>220</v>
      </c>
      <c r="D12" s="2085" t="s">
        <v>184</v>
      </c>
      <c r="E12" s="2087">
        <v>1</v>
      </c>
      <c r="F12" s="2087"/>
      <c r="G12" s="2098"/>
      <c r="H12" s="2088"/>
      <c r="I12" s="2088"/>
      <c r="J12" s="2098"/>
      <c r="K12" s="2098"/>
      <c r="L12" s="2098"/>
      <c r="M12" s="2072"/>
      <c r="N12" s="2098"/>
      <c r="O12" s="2098"/>
      <c r="P12" s="2098"/>
      <c r="Q12" s="2098"/>
      <c r="R12" s="2098"/>
      <c r="S12" s="2098"/>
      <c r="T12" s="2098"/>
      <c r="U12" s="2098"/>
      <c r="V12" s="2098"/>
      <c r="W12" s="2098"/>
      <c r="X12" s="2099"/>
      <c r="Y12" s="2098"/>
      <c r="Z12" s="2098"/>
      <c r="AA12" s="2098"/>
      <c r="AB12" s="2098"/>
      <c r="AC12" s="2098"/>
      <c r="AD12" s="2098"/>
      <c r="AE12" s="2098"/>
      <c r="AF12" s="2098"/>
      <c r="AG12" s="2098"/>
      <c r="AH12" s="2098"/>
      <c r="AI12" s="2098"/>
      <c r="AJ12" s="2098"/>
      <c r="AK12" s="2098"/>
      <c r="AL12" s="2098"/>
      <c r="AM12" s="2098"/>
      <c r="AN12" s="2072">
        <f t="shared" si="0"/>
        <v>0</v>
      </c>
      <c r="AO12" s="2098"/>
      <c r="AP12" s="2098"/>
      <c r="AQ12" s="2098"/>
      <c r="AR12" s="2098"/>
      <c r="AS12" s="2098"/>
      <c r="AT12" s="2098"/>
      <c r="AU12" s="2098"/>
      <c r="AV12" s="2098"/>
      <c r="AW12" s="2098"/>
      <c r="AX12" s="2098"/>
      <c r="AY12" s="2098"/>
      <c r="AZ12" s="2098"/>
      <c r="BA12" s="2098"/>
      <c r="BB12" s="2098"/>
      <c r="BC12" s="2098"/>
      <c r="BD12" s="2098"/>
      <c r="BE12" s="2098"/>
      <c r="BF12" s="2098"/>
      <c r="BG12" s="2098"/>
      <c r="BH12" s="2098"/>
      <c r="BI12" s="2098"/>
      <c r="BJ12" s="2098"/>
      <c r="BK12" s="2098"/>
      <c r="BL12" s="2098"/>
      <c r="BM12" s="2072">
        <f t="shared" ref="BM12:BM21" si="4">+BC12</f>
        <v>0</v>
      </c>
      <c r="BN12" s="2072">
        <f t="shared" ref="BN12:BN21" si="5">+BD12</f>
        <v>0</v>
      </c>
      <c r="BO12" s="2072">
        <f t="shared" si="3"/>
        <v>0</v>
      </c>
      <c r="BP12" s="2072"/>
      <c r="BQ12" s="2072"/>
      <c r="BR12" s="2098"/>
      <c r="BS12" s="2098"/>
      <c r="BT12" s="2098"/>
      <c r="BU12" s="2098"/>
      <c r="BV12" s="2098"/>
      <c r="BW12" s="2098"/>
      <c r="BX12" s="2098"/>
      <c r="BY12" s="2098"/>
      <c r="BZ12" s="2098"/>
      <c r="CA12" s="2098"/>
      <c r="CB12" s="2098"/>
      <c r="CC12" s="2098"/>
      <c r="CD12" s="2098"/>
      <c r="CE12" s="2098"/>
      <c r="CF12" s="2098"/>
      <c r="CG12" s="2098"/>
      <c r="CH12" s="2072">
        <v>1</v>
      </c>
      <c r="CI12" s="2072"/>
      <c r="CJ12" s="2098"/>
      <c r="CK12" s="2098"/>
      <c r="CL12" s="2098"/>
      <c r="CM12" s="2098"/>
      <c r="CN12" s="2072"/>
      <c r="CO12" s="2072"/>
      <c r="CP12" s="2072"/>
      <c r="CQ12" s="2072"/>
      <c r="CR12" s="2072"/>
      <c r="CS12" s="2072"/>
      <c r="CT12" s="2072"/>
      <c r="CU12" s="2072"/>
      <c r="CV12" s="2072"/>
      <c r="CW12" s="2072"/>
      <c r="CX12" s="2072"/>
      <c r="CY12" s="2072"/>
      <c r="CZ12" s="2072"/>
      <c r="DA12" s="2072"/>
      <c r="DB12" s="2072"/>
      <c r="DC12" s="2072"/>
      <c r="DD12" s="2072"/>
      <c r="DE12" s="2072"/>
      <c r="DF12" s="2072"/>
      <c r="DG12" s="2072"/>
      <c r="DH12" s="2072"/>
      <c r="DI12" s="2072"/>
      <c r="DJ12" s="2072"/>
      <c r="DK12" s="2072"/>
      <c r="DL12" s="2072">
        <v>3</v>
      </c>
      <c r="DM12" s="2098"/>
      <c r="DN12" s="2098"/>
      <c r="DO12" s="2098"/>
      <c r="DP12" s="2098"/>
      <c r="DQ12" s="2098"/>
      <c r="DR12" s="2098"/>
      <c r="DS12" s="2098"/>
      <c r="DT12" s="2098"/>
      <c r="DU12" s="2098"/>
      <c r="DV12" s="2098"/>
      <c r="DW12" s="2098"/>
      <c r="DX12" s="2098"/>
      <c r="DY12" s="2098"/>
      <c r="DZ12" s="2098"/>
      <c r="EA12" s="2098"/>
      <c r="EB12" s="2098"/>
      <c r="EC12" s="2098"/>
      <c r="ED12" s="2098"/>
      <c r="EE12" s="2098"/>
      <c r="EF12" s="2098"/>
      <c r="EG12" s="2098"/>
      <c r="EH12" s="2098"/>
      <c r="EI12" s="2100"/>
      <c r="EJ12" s="2098"/>
      <c r="EK12" s="2098"/>
      <c r="EL12" s="2098"/>
      <c r="EM12" s="2098"/>
      <c r="EN12" s="2098"/>
      <c r="EO12" s="2098"/>
      <c r="EP12" s="2098"/>
      <c r="EQ12" s="2098"/>
      <c r="ER12" s="2098"/>
      <c r="ES12" s="2098"/>
      <c r="ET12" s="2098"/>
      <c r="EU12" s="2098"/>
      <c r="EV12" s="2098"/>
      <c r="EW12" s="2098"/>
      <c r="EX12" s="2098"/>
      <c r="EY12" s="2098"/>
      <c r="EZ12" s="2098"/>
      <c r="FA12" s="2098"/>
      <c r="FB12" s="2098"/>
      <c r="FC12" s="2098"/>
      <c r="FD12" s="2098"/>
      <c r="FE12" s="2098"/>
      <c r="FF12" s="2098"/>
      <c r="FG12" s="2098"/>
      <c r="FH12" s="2098"/>
      <c r="FI12" s="2098"/>
      <c r="FJ12" s="2098"/>
      <c r="FK12" s="2098"/>
      <c r="FL12" s="2101"/>
      <c r="FM12" s="2102"/>
      <c r="FN12" s="2092"/>
      <c r="FO12" s="2093">
        <f t="shared" si="1"/>
        <v>45</v>
      </c>
      <c r="FP12" s="2103"/>
      <c r="FQ12" s="2103"/>
      <c r="FR12" s="2103"/>
      <c r="FS12" s="2103"/>
      <c r="FT12" s="2103">
        <v>1</v>
      </c>
      <c r="FU12" s="2103"/>
      <c r="FV12" s="2103"/>
      <c r="FW12" s="2103"/>
      <c r="FX12" s="2103"/>
      <c r="FY12" s="2103"/>
      <c r="FZ12" s="2103"/>
      <c r="GA12" s="2103"/>
      <c r="GB12" s="2103"/>
      <c r="GC12" s="2103"/>
      <c r="GD12" s="2094"/>
      <c r="GE12" s="2103"/>
      <c r="GF12" s="2103"/>
      <c r="GG12" s="2103"/>
      <c r="GH12" s="2103"/>
      <c r="GI12" s="2103"/>
      <c r="GJ12" s="2103"/>
      <c r="GK12" s="2103"/>
      <c r="GL12" s="2103"/>
      <c r="GM12" s="2103"/>
      <c r="GN12" s="2103"/>
      <c r="GO12" s="2103"/>
      <c r="GP12" s="2103"/>
      <c r="GQ12" s="2103"/>
      <c r="GR12" s="2103"/>
      <c r="GS12" s="2103"/>
      <c r="GT12" s="2103"/>
      <c r="GU12" s="2103"/>
      <c r="GV12" s="2104"/>
      <c r="GZ12" s="2032"/>
      <c r="HA12" s="2032"/>
      <c r="HB12" s="2032"/>
      <c r="HC12" s="2032"/>
      <c r="HD12" s="2032"/>
      <c r="HE12" s="2032"/>
      <c r="HF12" s="2032"/>
    </row>
    <row r="13" spans="1:250" ht="15.6">
      <c r="A13" s="2097">
        <v>7</v>
      </c>
      <c r="B13" s="2083">
        <v>44</v>
      </c>
      <c r="C13" s="2084">
        <f t="shared" si="2"/>
        <v>264</v>
      </c>
      <c r="D13" s="2085" t="s">
        <v>184</v>
      </c>
      <c r="E13" s="2087">
        <v>1</v>
      </c>
      <c r="F13" s="2087"/>
      <c r="G13" s="2098"/>
      <c r="H13" s="2088"/>
      <c r="I13" s="2088"/>
      <c r="J13" s="2098"/>
      <c r="K13" s="2098"/>
      <c r="L13" s="2098"/>
      <c r="M13" s="2072"/>
      <c r="N13" s="2098"/>
      <c r="O13" s="2098"/>
      <c r="P13" s="2098"/>
      <c r="Q13" s="2098"/>
      <c r="R13" s="2098"/>
      <c r="S13" s="2098"/>
      <c r="T13" s="2098"/>
      <c r="U13" s="2098"/>
      <c r="V13" s="2098"/>
      <c r="W13" s="2098"/>
      <c r="X13" s="2099"/>
      <c r="Y13" s="2098"/>
      <c r="Z13" s="2098"/>
      <c r="AA13" s="2098"/>
      <c r="AB13" s="2098"/>
      <c r="AC13" s="2098"/>
      <c r="AD13" s="2098"/>
      <c r="AE13" s="2098"/>
      <c r="AF13" s="2098"/>
      <c r="AG13" s="2098"/>
      <c r="AH13" s="2098"/>
      <c r="AI13" s="2098"/>
      <c r="AJ13" s="2098"/>
      <c r="AK13" s="2098"/>
      <c r="AL13" s="2098"/>
      <c r="AM13" s="2098"/>
      <c r="AN13" s="2072">
        <f t="shared" si="0"/>
        <v>0</v>
      </c>
      <c r="AO13" s="2098"/>
      <c r="AP13" s="2098"/>
      <c r="AQ13" s="2098"/>
      <c r="AR13" s="2098"/>
      <c r="AS13" s="2098"/>
      <c r="AT13" s="2098"/>
      <c r="AU13" s="2098"/>
      <c r="AV13" s="2098"/>
      <c r="AW13" s="2098"/>
      <c r="AX13" s="2098"/>
      <c r="AY13" s="2098"/>
      <c r="AZ13" s="2098"/>
      <c r="BA13" s="2098"/>
      <c r="BB13" s="2098"/>
      <c r="BC13" s="2098"/>
      <c r="BD13" s="2098"/>
      <c r="BE13" s="2098"/>
      <c r="BF13" s="2098"/>
      <c r="BG13" s="2098"/>
      <c r="BH13" s="2098"/>
      <c r="BI13" s="2098"/>
      <c r="BJ13" s="2098"/>
      <c r="BK13" s="2098"/>
      <c r="BL13" s="2098"/>
      <c r="BM13" s="2072">
        <f t="shared" si="4"/>
        <v>0</v>
      </c>
      <c r="BN13" s="2072">
        <f t="shared" si="5"/>
        <v>0</v>
      </c>
      <c r="BO13" s="2072">
        <f t="shared" si="3"/>
        <v>0</v>
      </c>
      <c r="BP13" s="2072"/>
      <c r="BQ13" s="2072"/>
      <c r="BR13" s="2098"/>
      <c r="BS13" s="2098"/>
      <c r="BT13" s="2098"/>
      <c r="BU13" s="2098"/>
      <c r="BV13" s="2098"/>
      <c r="BW13" s="2098"/>
      <c r="BX13" s="2098"/>
      <c r="BY13" s="2098"/>
      <c r="BZ13" s="2098"/>
      <c r="CA13" s="2098"/>
      <c r="CB13" s="2098"/>
      <c r="CC13" s="2098"/>
      <c r="CD13" s="2098"/>
      <c r="CE13" s="2098"/>
      <c r="CF13" s="2098">
        <v>1</v>
      </c>
      <c r="CG13" s="2098"/>
      <c r="CH13" s="2072">
        <v>1</v>
      </c>
      <c r="CI13" s="2072"/>
      <c r="CJ13" s="2098"/>
      <c r="CK13" s="2098"/>
      <c r="CL13" s="2098"/>
      <c r="CM13" s="2098"/>
      <c r="CN13" s="2072"/>
      <c r="CO13" s="2072"/>
      <c r="CP13" s="2072"/>
      <c r="CQ13" s="2072"/>
      <c r="CR13" s="2072"/>
      <c r="CS13" s="2072"/>
      <c r="CT13" s="2072"/>
      <c r="CU13" s="2072"/>
      <c r="CV13" s="2072"/>
      <c r="CW13" s="2072"/>
      <c r="CX13" s="2072"/>
      <c r="CY13" s="2072"/>
      <c r="CZ13" s="2072"/>
      <c r="DA13" s="2072"/>
      <c r="DB13" s="2072"/>
      <c r="DC13" s="2072"/>
      <c r="DD13" s="2072"/>
      <c r="DE13" s="2072"/>
      <c r="DF13" s="2072"/>
      <c r="DG13" s="2072"/>
      <c r="DH13" s="2072"/>
      <c r="DI13" s="2072"/>
      <c r="DJ13" s="2072"/>
      <c r="DK13" s="2072"/>
      <c r="DL13" s="2072">
        <v>3</v>
      </c>
      <c r="DM13" s="2098"/>
      <c r="DN13" s="2098"/>
      <c r="DO13" s="2098"/>
      <c r="DP13" s="2098"/>
      <c r="DQ13" s="2098"/>
      <c r="DR13" s="2098"/>
      <c r="DS13" s="2098"/>
      <c r="DT13" s="2098"/>
      <c r="DU13" s="2098"/>
      <c r="DV13" s="2098"/>
      <c r="DW13" s="2098"/>
      <c r="DX13" s="2098"/>
      <c r="DY13" s="2098"/>
      <c r="DZ13" s="2098"/>
      <c r="EA13" s="2098"/>
      <c r="EB13" s="2098"/>
      <c r="EC13" s="2098"/>
      <c r="ED13" s="2098"/>
      <c r="EE13" s="2098"/>
      <c r="EF13" s="2098"/>
      <c r="EG13" s="2098"/>
      <c r="EH13" s="2098"/>
      <c r="EI13" s="2100"/>
      <c r="EJ13" s="2098"/>
      <c r="EK13" s="2098"/>
      <c r="EL13" s="2098"/>
      <c r="EM13" s="2098"/>
      <c r="EN13" s="2098"/>
      <c r="EO13" s="2098"/>
      <c r="EP13" s="2098"/>
      <c r="EQ13" s="2098"/>
      <c r="ER13" s="2098"/>
      <c r="ES13" s="2098"/>
      <c r="ET13" s="2098"/>
      <c r="EU13" s="2098"/>
      <c r="EV13" s="2098"/>
      <c r="EW13" s="2098"/>
      <c r="EX13" s="2098"/>
      <c r="EY13" s="2098"/>
      <c r="EZ13" s="2098"/>
      <c r="FA13" s="2098"/>
      <c r="FB13" s="2098"/>
      <c r="FC13" s="2098"/>
      <c r="FD13" s="2098"/>
      <c r="FE13" s="2098"/>
      <c r="FF13" s="2098"/>
      <c r="FG13" s="2098"/>
      <c r="FH13" s="2098"/>
      <c r="FI13" s="2098"/>
      <c r="FJ13" s="2098"/>
      <c r="FK13" s="2098"/>
      <c r="FL13" s="2101"/>
      <c r="FM13" s="2102"/>
      <c r="FN13" s="2092"/>
      <c r="FO13" s="2093">
        <f t="shared" si="1"/>
        <v>44</v>
      </c>
      <c r="FP13" s="2103"/>
      <c r="FQ13" s="2103"/>
      <c r="FR13" s="2103"/>
      <c r="FS13" s="2103"/>
      <c r="FT13" s="2103">
        <v>1</v>
      </c>
      <c r="FU13" s="2103"/>
      <c r="FV13" s="2103"/>
      <c r="FW13" s="2103"/>
      <c r="FX13" s="2103"/>
      <c r="FY13" s="2103"/>
      <c r="FZ13" s="2103"/>
      <c r="GA13" s="2103"/>
      <c r="GB13" s="2103"/>
      <c r="GC13" s="2103"/>
      <c r="GD13" s="2094"/>
      <c r="GE13" s="2103"/>
      <c r="GF13" s="2103"/>
      <c r="GG13" s="2103"/>
      <c r="GH13" s="2103"/>
      <c r="GI13" s="2103"/>
      <c r="GJ13" s="2103"/>
      <c r="GK13" s="2103"/>
      <c r="GL13" s="2103"/>
      <c r="GM13" s="2103"/>
      <c r="GN13" s="2103"/>
      <c r="GO13" s="2103"/>
      <c r="GP13" s="2103"/>
      <c r="GQ13" s="2103"/>
      <c r="GR13" s="2103"/>
      <c r="GS13" s="2103"/>
      <c r="GT13" s="2103"/>
      <c r="GU13" s="2103"/>
      <c r="GV13" s="2104"/>
      <c r="GZ13" s="2032"/>
      <c r="HA13" s="2032"/>
      <c r="HB13" s="2032"/>
      <c r="HC13" s="2032"/>
      <c r="HD13" s="2032"/>
      <c r="HE13" s="2032"/>
      <c r="HF13" s="2032"/>
    </row>
    <row r="14" spans="1:250" s="2081" customFormat="1" ht="15.6">
      <c r="A14" s="2082">
        <v>8</v>
      </c>
      <c r="B14" s="2083">
        <v>45</v>
      </c>
      <c r="C14" s="2084">
        <f t="shared" si="2"/>
        <v>309</v>
      </c>
      <c r="D14" s="2085" t="s">
        <v>184</v>
      </c>
      <c r="E14" s="2105">
        <v>1</v>
      </c>
      <c r="F14" s="2105"/>
      <c r="G14" s="2106"/>
      <c r="H14" s="2106"/>
      <c r="I14" s="2106"/>
      <c r="J14" s="2106"/>
      <c r="K14" s="2106"/>
      <c r="L14" s="2106"/>
      <c r="M14" s="2107"/>
      <c r="N14" s="2106"/>
      <c r="O14" s="2106"/>
      <c r="P14" s="2106"/>
      <c r="Q14" s="2106"/>
      <c r="R14" s="2106"/>
      <c r="S14" s="2106"/>
      <c r="T14" s="2106"/>
      <c r="U14" s="2106"/>
      <c r="V14" s="2106"/>
      <c r="W14" s="2106"/>
      <c r="X14" s="2107"/>
      <c r="Y14" s="2106"/>
      <c r="Z14" s="2106"/>
      <c r="AA14" s="2106"/>
      <c r="AB14" s="2106"/>
      <c r="AC14" s="2106"/>
      <c r="AD14" s="2106"/>
      <c r="AE14" s="2106"/>
      <c r="AF14" s="2106"/>
      <c r="AG14" s="2106"/>
      <c r="AH14" s="2106"/>
      <c r="AI14" s="2106"/>
      <c r="AJ14" s="2106"/>
      <c r="AK14" s="2106"/>
      <c r="AL14" s="2106"/>
      <c r="AM14" s="2106"/>
      <c r="AN14" s="2072">
        <f t="shared" si="0"/>
        <v>0</v>
      </c>
      <c r="AO14" s="2106"/>
      <c r="AP14" s="2106"/>
      <c r="AQ14" s="2106"/>
      <c r="AR14" s="2106"/>
      <c r="AS14" s="2106"/>
      <c r="AT14" s="2106"/>
      <c r="AU14" s="2106"/>
      <c r="AV14" s="2106"/>
      <c r="AW14" s="2106"/>
      <c r="AX14" s="2106"/>
      <c r="AY14" s="2106"/>
      <c r="AZ14" s="2106"/>
      <c r="BA14" s="2106"/>
      <c r="BB14" s="2106"/>
      <c r="BC14" s="2106"/>
      <c r="BD14" s="2106"/>
      <c r="BE14" s="2106"/>
      <c r="BF14" s="2106"/>
      <c r="BG14" s="2106"/>
      <c r="BH14" s="2106"/>
      <c r="BI14" s="2106"/>
      <c r="BJ14" s="2106"/>
      <c r="BK14" s="2106"/>
      <c r="BL14" s="2106"/>
      <c r="BM14" s="2072">
        <f t="shared" si="4"/>
        <v>0</v>
      </c>
      <c r="BN14" s="2072">
        <f t="shared" si="5"/>
        <v>0</v>
      </c>
      <c r="BO14" s="2072">
        <f t="shared" si="3"/>
        <v>0</v>
      </c>
      <c r="BP14" s="2107"/>
      <c r="BQ14" s="2107"/>
      <c r="BR14" s="2106"/>
      <c r="BS14" s="2106"/>
      <c r="BT14" s="2106"/>
      <c r="BU14" s="2106"/>
      <c r="BV14" s="2106"/>
      <c r="BW14" s="2106"/>
      <c r="BX14" s="2106"/>
      <c r="BY14" s="2106"/>
      <c r="BZ14" s="2106"/>
      <c r="CA14" s="2106"/>
      <c r="CB14" s="2106"/>
      <c r="CC14" s="2106"/>
      <c r="CD14" s="2106"/>
      <c r="CE14" s="2106"/>
      <c r="CF14" s="2106"/>
      <c r="CG14" s="2106"/>
      <c r="CH14" s="2107">
        <v>1</v>
      </c>
      <c r="CI14" s="2107"/>
      <c r="CJ14" s="2106"/>
      <c r="CK14" s="2106"/>
      <c r="CL14" s="2106"/>
      <c r="CM14" s="2106"/>
      <c r="CN14" s="2107"/>
      <c r="CO14" s="2107"/>
      <c r="CP14" s="2107"/>
      <c r="CQ14" s="2107"/>
      <c r="CR14" s="2107"/>
      <c r="CS14" s="2107"/>
      <c r="CT14" s="2107"/>
      <c r="CU14" s="2107"/>
      <c r="CV14" s="2107"/>
      <c r="CW14" s="2107"/>
      <c r="CX14" s="2107"/>
      <c r="CY14" s="2107"/>
      <c r="CZ14" s="2107"/>
      <c r="DA14" s="2107"/>
      <c r="DB14" s="2107"/>
      <c r="DC14" s="2107"/>
      <c r="DD14" s="2107"/>
      <c r="DE14" s="2107"/>
      <c r="DF14" s="2107"/>
      <c r="DG14" s="2107"/>
      <c r="DH14" s="2107"/>
      <c r="DI14" s="2107"/>
      <c r="DJ14" s="2107"/>
      <c r="DK14" s="2107"/>
      <c r="DL14" s="2107">
        <v>3</v>
      </c>
      <c r="DM14" s="2106"/>
      <c r="DN14" s="2106"/>
      <c r="DO14" s="2106"/>
      <c r="DP14" s="2106"/>
      <c r="DQ14" s="2106"/>
      <c r="DR14" s="2106"/>
      <c r="DS14" s="2106"/>
      <c r="DT14" s="2106"/>
      <c r="DU14" s="2106"/>
      <c r="DV14" s="2106"/>
      <c r="DW14" s="2106"/>
      <c r="DX14" s="2106"/>
      <c r="DY14" s="2106"/>
      <c r="DZ14" s="2106"/>
      <c r="EA14" s="2106"/>
      <c r="EB14" s="2106"/>
      <c r="EC14" s="2106"/>
      <c r="ED14" s="2106"/>
      <c r="EE14" s="2106"/>
      <c r="EF14" s="2106"/>
      <c r="EG14" s="2106"/>
      <c r="EH14" s="2106"/>
      <c r="EI14" s="2108"/>
      <c r="EJ14" s="2106"/>
      <c r="EK14" s="2106"/>
      <c r="EL14" s="2106"/>
      <c r="EM14" s="2106"/>
      <c r="EN14" s="2106"/>
      <c r="EO14" s="2106"/>
      <c r="EP14" s="2106"/>
      <c r="EQ14" s="2106"/>
      <c r="ER14" s="2106"/>
      <c r="ES14" s="2106"/>
      <c r="ET14" s="2106"/>
      <c r="EU14" s="2106"/>
      <c r="EV14" s="2106"/>
      <c r="EW14" s="2106"/>
      <c r="EX14" s="2106"/>
      <c r="EY14" s="2106"/>
      <c r="EZ14" s="2106"/>
      <c r="FA14" s="2106"/>
      <c r="FB14" s="2106"/>
      <c r="FC14" s="2106"/>
      <c r="FD14" s="2106"/>
      <c r="FE14" s="2106"/>
      <c r="FF14" s="2106"/>
      <c r="FG14" s="2106"/>
      <c r="FH14" s="2106"/>
      <c r="FI14" s="2106"/>
      <c r="FJ14" s="2106"/>
      <c r="FK14" s="2106"/>
      <c r="FL14" s="2109"/>
      <c r="FM14" s="2110"/>
      <c r="FN14" s="2092"/>
      <c r="FO14" s="2093">
        <f t="shared" si="1"/>
        <v>45</v>
      </c>
      <c r="FP14" s="2111"/>
      <c r="FQ14" s="2111"/>
      <c r="FR14" s="2111"/>
      <c r="FS14" s="2111"/>
      <c r="FT14" s="2111">
        <v>1</v>
      </c>
      <c r="FU14" s="2111"/>
      <c r="FV14" s="2111"/>
      <c r="FW14" s="2111"/>
      <c r="FX14" s="2111"/>
      <c r="FY14" s="2111"/>
      <c r="FZ14" s="2111"/>
      <c r="GA14" s="2111"/>
      <c r="GB14" s="2111"/>
      <c r="GC14" s="2111"/>
      <c r="GD14" s="2094"/>
      <c r="GE14" s="2111"/>
      <c r="GF14" s="2111"/>
      <c r="GG14" s="2111"/>
      <c r="GH14" s="2111"/>
      <c r="GI14" s="2111"/>
      <c r="GJ14" s="2111"/>
      <c r="GK14" s="2111"/>
      <c r="GL14" s="2111"/>
      <c r="GM14" s="2111"/>
      <c r="GN14" s="2111"/>
      <c r="GO14" s="2111"/>
      <c r="GP14" s="2111"/>
      <c r="GQ14" s="2111"/>
      <c r="GR14" s="2111"/>
      <c r="GS14" s="2111"/>
      <c r="GT14" s="2111"/>
      <c r="GU14" s="2111"/>
      <c r="GV14" s="2112"/>
      <c r="GZ14" s="2032"/>
      <c r="HA14" s="2032"/>
      <c r="HB14" s="2032"/>
      <c r="HC14" s="2032"/>
      <c r="HD14" s="2032"/>
      <c r="HE14" s="2032"/>
      <c r="HF14" s="2032"/>
    </row>
    <row r="15" spans="1:250" ht="15.6">
      <c r="A15" s="2097">
        <v>9</v>
      </c>
      <c r="B15" s="2083">
        <v>45</v>
      </c>
      <c r="C15" s="2084">
        <f t="shared" si="2"/>
        <v>354</v>
      </c>
      <c r="D15" s="2085" t="s">
        <v>184</v>
      </c>
      <c r="E15" s="2086">
        <v>1</v>
      </c>
      <c r="F15" s="2087"/>
      <c r="G15" s="2098"/>
      <c r="H15" s="2098"/>
      <c r="I15" s="2098"/>
      <c r="J15" s="2098"/>
      <c r="K15" s="2098"/>
      <c r="L15" s="2098"/>
      <c r="M15" s="2072"/>
      <c r="N15" s="2098"/>
      <c r="O15" s="2098"/>
      <c r="P15" s="2098"/>
      <c r="Q15" s="2098"/>
      <c r="R15" s="2098"/>
      <c r="S15" s="2098"/>
      <c r="T15" s="2098"/>
      <c r="U15" s="2098"/>
      <c r="V15" s="2098"/>
      <c r="W15" s="2098"/>
      <c r="X15" s="2072"/>
      <c r="Y15" s="2098"/>
      <c r="Z15" s="2098"/>
      <c r="AA15" s="2098"/>
      <c r="AB15" s="2098"/>
      <c r="AC15" s="2098"/>
      <c r="AD15" s="2098"/>
      <c r="AE15" s="2098"/>
      <c r="AF15" s="2098"/>
      <c r="AG15" s="2098"/>
      <c r="AH15" s="2098"/>
      <c r="AI15" s="2098"/>
      <c r="AJ15" s="2098"/>
      <c r="AK15" s="2098"/>
      <c r="AL15" s="2098"/>
      <c r="AM15" s="2098"/>
      <c r="AN15" s="2072"/>
      <c r="AO15" s="2098"/>
      <c r="AP15" s="2098"/>
      <c r="AQ15" s="2098"/>
      <c r="AR15" s="2098"/>
      <c r="AS15" s="2098"/>
      <c r="AT15" s="2098"/>
      <c r="AU15" s="2098"/>
      <c r="AV15" s="2098"/>
      <c r="AW15" s="2098"/>
      <c r="AX15" s="2098"/>
      <c r="AY15" s="2098"/>
      <c r="AZ15" s="2098"/>
      <c r="BA15" s="2098"/>
      <c r="BB15" s="2098"/>
      <c r="BC15" s="2098"/>
      <c r="BD15" s="2098"/>
      <c r="BE15" s="2098"/>
      <c r="BF15" s="2098"/>
      <c r="BG15" s="2098"/>
      <c r="BH15" s="2098"/>
      <c r="BI15" s="2098"/>
      <c r="BJ15" s="2098"/>
      <c r="BK15" s="2098"/>
      <c r="BL15" s="2098"/>
      <c r="BM15" s="2072">
        <f t="shared" si="4"/>
        <v>0</v>
      </c>
      <c r="BN15" s="2072">
        <f t="shared" si="5"/>
        <v>0</v>
      </c>
      <c r="BO15" s="2072">
        <f t="shared" si="3"/>
        <v>0</v>
      </c>
      <c r="BP15" s="2072"/>
      <c r="BQ15" s="2072"/>
      <c r="BR15" s="2098"/>
      <c r="BS15" s="2098"/>
      <c r="BT15" s="2098"/>
      <c r="BU15" s="2098"/>
      <c r="BV15" s="2098"/>
      <c r="BW15" s="2098"/>
      <c r="BX15" s="2098"/>
      <c r="BY15" s="2098"/>
      <c r="BZ15" s="2098"/>
      <c r="CA15" s="2098"/>
      <c r="CB15" s="2098"/>
      <c r="CC15" s="2098"/>
      <c r="CD15" s="2098"/>
      <c r="CE15" s="2098"/>
      <c r="CF15" s="2098"/>
      <c r="CG15" s="2098"/>
      <c r="CH15" s="2072">
        <v>1</v>
      </c>
      <c r="CI15" s="2072"/>
      <c r="CJ15" s="2098"/>
      <c r="CK15" s="2098"/>
      <c r="CL15" s="2098"/>
      <c r="CM15" s="2098"/>
      <c r="CN15" s="2072"/>
      <c r="CO15" s="2072"/>
      <c r="CP15" s="2072"/>
      <c r="CQ15" s="2072"/>
      <c r="CR15" s="2072"/>
      <c r="CS15" s="2072"/>
      <c r="CT15" s="2072"/>
      <c r="CU15" s="2072"/>
      <c r="CV15" s="2072"/>
      <c r="CW15" s="2072"/>
      <c r="CX15" s="2072"/>
      <c r="CY15" s="2072"/>
      <c r="CZ15" s="2072"/>
      <c r="DA15" s="2072"/>
      <c r="DB15" s="2072"/>
      <c r="DC15" s="2072"/>
      <c r="DD15" s="2072"/>
      <c r="DE15" s="2072"/>
      <c r="DF15" s="2072"/>
      <c r="DG15" s="2072"/>
      <c r="DH15" s="2072"/>
      <c r="DI15" s="2072"/>
      <c r="DJ15" s="2072"/>
      <c r="DK15" s="2072"/>
      <c r="DL15" s="2072">
        <v>3</v>
      </c>
      <c r="DM15" s="2098"/>
      <c r="DN15" s="2098"/>
      <c r="DO15" s="2098"/>
      <c r="DP15" s="2098"/>
      <c r="DQ15" s="2098"/>
      <c r="DR15" s="2098"/>
      <c r="DS15" s="2098"/>
      <c r="DT15" s="2098"/>
      <c r="DU15" s="2098"/>
      <c r="DV15" s="2098"/>
      <c r="DW15" s="2098"/>
      <c r="DX15" s="2098"/>
      <c r="DY15" s="2098"/>
      <c r="DZ15" s="2098"/>
      <c r="EA15" s="2098"/>
      <c r="EB15" s="2098"/>
      <c r="EC15" s="2098"/>
      <c r="ED15" s="2098"/>
      <c r="EE15" s="2098"/>
      <c r="EF15" s="2098"/>
      <c r="EG15" s="2098"/>
      <c r="EH15" s="2098"/>
      <c r="EI15" s="2100"/>
      <c r="EJ15" s="2098"/>
      <c r="EK15" s="2098"/>
      <c r="EL15" s="2098"/>
      <c r="EM15" s="2098"/>
      <c r="EN15" s="2098"/>
      <c r="EO15" s="2098"/>
      <c r="EP15" s="2098"/>
      <c r="EQ15" s="2098"/>
      <c r="ER15" s="2098"/>
      <c r="ES15" s="2098"/>
      <c r="ET15" s="2098"/>
      <c r="EU15" s="2098"/>
      <c r="EV15" s="2098"/>
      <c r="EW15" s="2098"/>
      <c r="EX15" s="2098"/>
      <c r="EY15" s="2098"/>
      <c r="EZ15" s="2098"/>
      <c r="FA15" s="2098"/>
      <c r="FB15" s="2098"/>
      <c r="FC15" s="2098"/>
      <c r="FD15" s="2098"/>
      <c r="FE15" s="2098"/>
      <c r="FF15" s="2098"/>
      <c r="FG15" s="2098"/>
      <c r="FH15" s="2098"/>
      <c r="FI15" s="2098"/>
      <c r="FJ15" s="2098"/>
      <c r="FK15" s="2098"/>
      <c r="FL15" s="2101"/>
      <c r="FM15" s="2102"/>
      <c r="FN15" s="2092"/>
      <c r="FO15" s="2093">
        <f t="shared" si="1"/>
        <v>45</v>
      </c>
      <c r="FP15" s="2103"/>
      <c r="FQ15" s="2103"/>
      <c r="FR15" s="2103"/>
      <c r="FS15" s="2103"/>
      <c r="FT15" s="2103">
        <v>1</v>
      </c>
      <c r="FU15" s="2103"/>
      <c r="FV15" s="2103"/>
      <c r="FW15" s="2103"/>
      <c r="FX15" s="2103"/>
      <c r="FY15" s="2103"/>
      <c r="FZ15" s="2103"/>
      <c r="GA15" s="2103"/>
      <c r="GB15" s="2103"/>
      <c r="GC15" s="2103"/>
      <c r="GD15" s="2094"/>
      <c r="GE15" s="2103"/>
      <c r="GF15" s="2103"/>
      <c r="GG15" s="2103"/>
      <c r="GH15" s="2103"/>
      <c r="GI15" s="2103"/>
      <c r="GJ15" s="2103"/>
      <c r="GK15" s="2103"/>
      <c r="GL15" s="2103"/>
      <c r="GM15" s="2103"/>
      <c r="GN15" s="2103"/>
      <c r="GO15" s="2103"/>
      <c r="GP15" s="2103"/>
      <c r="GQ15" s="2103"/>
      <c r="GR15" s="2103"/>
      <c r="GS15" s="2103"/>
      <c r="GT15" s="2103"/>
      <c r="GU15" s="2103"/>
      <c r="GV15" s="2104"/>
      <c r="GZ15" s="2032"/>
      <c r="HA15" s="2032"/>
      <c r="HB15" s="2032"/>
      <c r="HC15" s="2032"/>
      <c r="HD15" s="2032"/>
      <c r="HE15" s="2032"/>
      <c r="HF15" s="2032"/>
    </row>
    <row r="16" spans="1:250" ht="15.6">
      <c r="A16" s="2082">
        <v>10</v>
      </c>
      <c r="B16" s="2083">
        <v>45</v>
      </c>
      <c r="C16" s="2084">
        <f t="shared" si="2"/>
        <v>399</v>
      </c>
      <c r="D16" s="2085" t="s">
        <v>184</v>
      </c>
      <c r="E16" s="2086">
        <v>1</v>
      </c>
      <c r="F16" s="2087"/>
      <c r="G16" s="2098"/>
      <c r="H16" s="2098"/>
      <c r="I16" s="2098"/>
      <c r="J16" s="2098"/>
      <c r="K16" s="2098"/>
      <c r="L16" s="2098"/>
      <c r="M16" s="2072"/>
      <c r="N16" s="2098"/>
      <c r="O16" s="2098"/>
      <c r="P16" s="2098"/>
      <c r="Q16" s="2098"/>
      <c r="R16" s="2098"/>
      <c r="S16" s="2098"/>
      <c r="T16" s="2098"/>
      <c r="U16" s="2098"/>
      <c r="V16" s="2098"/>
      <c r="W16" s="2098"/>
      <c r="X16" s="2072"/>
      <c r="Y16" s="2098"/>
      <c r="Z16" s="2098"/>
      <c r="AA16" s="2098"/>
      <c r="AB16" s="2098"/>
      <c r="AC16" s="2098"/>
      <c r="AD16" s="2098"/>
      <c r="AE16" s="2098"/>
      <c r="AF16" s="2098"/>
      <c r="AG16" s="2098"/>
      <c r="AH16" s="2098"/>
      <c r="AI16" s="2098"/>
      <c r="AJ16" s="2098"/>
      <c r="AK16" s="2098"/>
      <c r="AL16" s="2098"/>
      <c r="AM16" s="2098"/>
      <c r="AN16" s="2072"/>
      <c r="AO16" s="2098"/>
      <c r="AP16" s="2098"/>
      <c r="AQ16" s="2098"/>
      <c r="AR16" s="2098"/>
      <c r="AS16" s="2098"/>
      <c r="AT16" s="2098"/>
      <c r="AU16" s="2098"/>
      <c r="AV16" s="2098"/>
      <c r="AW16" s="2098"/>
      <c r="AX16" s="2098"/>
      <c r="AY16" s="2098"/>
      <c r="AZ16" s="2098"/>
      <c r="BA16" s="2098"/>
      <c r="BB16" s="2098"/>
      <c r="BC16" s="2098"/>
      <c r="BD16" s="2098"/>
      <c r="BE16" s="2098"/>
      <c r="BF16" s="2098"/>
      <c r="BG16" s="2098"/>
      <c r="BH16" s="2098"/>
      <c r="BI16" s="2098"/>
      <c r="BJ16" s="2098"/>
      <c r="BK16" s="2098"/>
      <c r="BL16" s="2098"/>
      <c r="BM16" s="2072">
        <f t="shared" si="4"/>
        <v>0</v>
      </c>
      <c r="BN16" s="2072">
        <f t="shared" si="5"/>
        <v>0</v>
      </c>
      <c r="BO16" s="2072">
        <f t="shared" si="3"/>
        <v>0</v>
      </c>
      <c r="BP16" s="2072"/>
      <c r="BQ16" s="2072"/>
      <c r="BR16" s="2098"/>
      <c r="BS16" s="2098"/>
      <c r="BT16" s="2098"/>
      <c r="BU16" s="2098"/>
      <c r="BV16" s="2098"/>
      <c r="BW16" s="2098"/>
      <c r="BX16" s="2098"/>
      <c r="BY16" s="2098"/>
      <c r="BZ16" s="2098"/>
      <c r="CA16" s="2098"/>
      <c r="CB16" s="2098"/>
      <c r="CC16" s="2098"/>
      <c r="CD16" s="2098"/>
      <c r="CE16" s="2098"/>
      <c r="CF16" s="2098"/>
      <c r="CG16" s="2098"/>
      <c r="CH16" s="2072">
        <v>1</v>
      </c>
      <c r="CI16" s="2072"/>
      <c r="CJ16" s="2098"/>
      <c r="CK16" s="2098"/>
      <c r="CL16" s="2098"/>
      <c r="CM16" s="2098"/>
      <c r="CN16" s="2072"/>
      <c r="CO16" s="2072"/>
      <c r="CP16" s="2072"/>
      <c r="CQ16" s="2072"/>
      <c r="CR16" s="2072"/>
      <c r="CS16" s="2072"/>
      <c r="CT16" s="2072"/>
      <c r="CU16" s="2072"/>
      <c r="CV16" s="2072"/>
      <c r="CW16" s="2072"/>
      <c r="CX16" s="2072"/>
      <c r="CY16" s="2072"/>
      <c r="CZ16" s="2072"/>
      <c r="DA16" s="2072"/>
      <c r="DB16" s="2072"/>
      <c r="DC16" s="2072"/>
      <c r="DD16" s="2072"/>
      <c r="DE16" s="2072"/>
      <c r="DF16" s="2072"/>
      <c r="DG16" s="2072"/>
      <c r="DH16" s="2072"/>
      <c r="DI16" s="2072"/>
      <c r="DJ16" s="2072"/>
      <c r="DK16" s="2072"/>
      <c r="DL16" s="2072">
        <v>3</v>
      </c>
      <c r="DM16" s="2098"/>
      <c r="DN16" s="2098"/>
      <c r="DO16" s="2098"/>
      <c r="DP16" s="2098"/>
      <c r="DQ16" s="2098"/>
      <c r="DR16" s="2098"/>
      <c r="DS16" s="2098"/>
      <c r="DT16" s="2098"/>
      <c r="DU16" s="2098"/>
      <c r="DV16" s="2098"/>
      <c r="DW16" s="2098"/>
      <c r="DX16" s="2098"/>
      <c r="DY16" s="2098"/>
      <c r="DZ16" s="2098"/>
      <c r="EA16" s="2098"/>
      <c r="EB16" s="2098"/>
      <c r="EC16" s="2098"/>
      <c r="ED16" s="2098"/>
      <c r="EE16" s="2098"/>
      <c r="EF16" s="2098"/>
      <c r="EG16" s="2098"/>
      <c r="EH16" s="2098"/>
      <c r="EI16" s="2100"/>
      <c r="EJ16" s="2098"/>
      <c r="EK16" s="2098"/>
      <c r="EL16" s="2098"/>
      <c r="EM16" s="2098"/>
      <c r="EN16" s="2098"/>
      <c r="EO16" s="2098"/>
      <c r="EP16" s="2098"/>
      <c r="EQ16" s="2098"/>
      <c r="ER16" s="2098"/>
      <c r="ES16" s="2098"/>
      <c r="ET16" s="2098"/>
      <c r="EU16" s="2098"/>
      <c r="EV16" s="2098"/>
      <c r="EW16" s="2098"/>
      <c r="EX16" s="2098"/>
      <c r="EY16" s="2098"/>
      <c r="EZ16" s="2098"/>
      <c r="FA16" s="2098"/>
      <c r="FB16" s="2098"/>
      <c r="FC16" s="2098"/>
      <c r="FD16" s="2098"/>
      <c r="FE16" s="2098"/>
      <c r="FF16" s="2098"/>
      <c r="FG16" s="2098"/>
      <c r="FH16" s="2098"/>
      <c r="FI16" s="2098"/>
      <c r="FJ16" s="2098"/>
      <c r="FK16" s="2098"/>
      <c r="FL16" s="2101"/>
      <c r="FM16" s="2102"/>
      <c r="FN16" s="2092"/>
      <c r="FO16" s="2093">
        <f t="shared" si="1"/>
        <v>45</v>
      </c>
      <c r="FP16" s="2103"/>
      <c r="FQ16" s="2103"/>
      <c r="FR16" s="2103"/>
      <c r="FS16" s="2103"/>
      <c r="FT16" s="2103">
        <v>1</v>
      </c>
      <c r="FU16" s="2103"/>
      <c r="FV16" s="2103"/>
      <c r="FW16" s="2103"/>
      <c r="FX16" s="2103"/>
      <c r="FY16" s="2103"/>
      <c r="FZ16" s="2103"/>
      <c r="GA16" s="2103"/>
      <c r="GB16" s="2103"/>
      <c r="GC16" s="2103"/>
      <c r="GD16" s="2094"/>
      <c r="GE16" s="2103"/>
      <c r="GF16" s="2103"/>
      <c r="GG16" s="2103"/>
      <c r="GH16" s="2103"/>
      <c r="GI16" s="2103"/>
      <c r="GJ16" s="2103"/>
      <c r="GK16" s="2103"/>
      <c r="GL16" s="2103"/>
      <c r="GM16" s="2103"/>
      <c r="GN16" s="2103"/>
      <c r="GO16" s="2103"/>
      <c r="GP16" s="2103"/>
      <c r="GQ16" s="2103"/>
      <c r="GR16" s="2103"/>
      <c r="GS16" s="2103"/>
      <c r="GT16" s="2103"/>
      <c r="GU16" s="2103"/>
      <c r="GV16" s="2104"/>
      <c r="GZ16" s="2032"/>
      <c r="HA16" s="2032"/>
      <c r="HB16" s="2032"/>
      <c r="HC16" s="2032"/>
      <c r="HD16" s="2032"/>
      <c r="HE16" s="2032"/>
      <c r="HF16" s="2032"/>
    </row>
    <row r="17" spans="1:250" ht="15.6">
      <c r="A17" s="2097">
        <v>11</v>
      </c>
      <c r="B17" s="2083">
        <v>45</v>
      </c>
      <c r="C17" s="2084">
        <f t="shared" si="2"/>
        <v>444</v>
      </c>
      <c r="D17" s="2085" t="s">
        <v>184</v>
      </c>
      <c r="E17" s="2087">
        <v>1</v>
      </c>
      <c r="F17" s="2087"/>
      <c r="G17" s="2087"/>
      <c r="H17" s="2098"/>
      <c r="I17" s="2098"/>
      <c r="J17" s="2098"/>
      <c r="K17" s="2098"/>
      <c r="L17" s="2098"/>
      <c r="M17" s="2072"/>
      <c r="N17" s="2098"/>
      <c r="O17" s="2098"/>
      <c r="P17" s="2098"/>
      <c r="Q17" s="2098"/>
      <c r="R17" s="2098"/>
      <c r="S17" s="2098"/>
      <c r="T17" s="2098"/>
      <c r="U17" s="2098"/>
      <c r="V17" s="2098"/>
      <c r="W17" s="2098"/>
      <c r="X17" s="2099"/>
      <c r="Y17" s="2098"/>
      <c r="Z17" s="2098"/>
      <c r="AA17" s="2098"/>
      <c r="AB17" s="2098"/>
      <c r="AC17" s="2098"/>
      <c r="AD17" s="2098"/>
      <c r="AE17" s="2098"/>
      <c r="AF17" s="2098"/>
      <c r="AG17" s="2098"/>
      <c r="AH17" s="2098"/>
      <c r="AI17" s="2098"/>
      <c r="AJ17" s="2098"/>
      <c r="AK17" s="2098"/>
      <c r="AL17" s="2098"/>
      <c r="AM17" s="2098"/>
      <c r="AN17" s="2072">
        <f>+K17</f>
        <v>0</v>
      </c>
      <c r="AO17" s="2098"/>
      <c r="AP17" s="2098"/>
      <c r="AQ17" s="2098"/>
      <c r="AR17" s="2098"/>
      <c r="AS17" s="2098"/>
      <c r="AT17" s="2098"/>
      <c r="AU17" s="2098"/>
      <c r="AV17" s="2098"/>
      <c r="AW17" s="2098"/>
      <c r="AX17" s="2098"/>
      <c r="AY17" s="2098"/>
      <c r="AZ17" s="2098"/>
      <c r="BA17" s="2098"/>
      <c r="BB17" s="2098"/>
      <c r="BC17" s="2098"/>
      <c r="BD17" s="2098"/>
      <c r="BE17" s="2098"/>
      <c r="BF17" s="2098"/>
      <c r="BG17" s="2098"/>
      <c r="BH17" s="2098"/>
      <c r="BI17" s="2098"/>
      <c r="BJ17" s="2098"/>
      <c r="BK17" s="2098"/>
      <c r="BL17" s="2098"/>
      <c r="BM17" s="2072">
        <f t="shared" si="4"/>
        <v>0</v>
      </c>
      <c r="BN17" s="2072">
        <f t="shared" si="5"/>
        <v>0</v>
      </c>
      <c r="BO17" s="2072">
        <f t="shared" si="3"/>
        <v>0</v>
      </c>
      <c r="BP17" s="2072"/>
      <c r="BQ17" s="2072"/>
      <c r="BR17" s="2098"/>
      <c r="BS17" s="2098"/>
      <c r="BT17" s="2098"/>
      <c r="BU17" s="2098"/>
      <c r="BV17" s="2098"/>
      <c r="BW17" s="2098"/>
      <c r="BX17" s="2098"/>
      <c r="BY17" s="2098"/>
      <c r="BZ17" s="2098"/>
      <c r="CA17" s="2098"/>
      <c r="CB17" s="2098"/>
      <c r="CC17" s="2098"/>
      <c r="CD17" s="2098"/>
      <c r="CE17" s="2098"/>
      <c r="CF17" s="2098"/>
      <c r="CG17" s="2098"/>
      <c r="CH17" s="2072">
        <v>1</v>
      </c>
      <c r="CI17" s="2072"/>
      <c r="CJ17" s="2098"/>
      <c r="CK17" s="2098"/>
      <c r="CL17" s="2098"/>
      <c r="CM17" s="2098"/>
      <c r="CN17" s="2072"/>
      <c r="CO17" s="2072"/>
      <c r="CP17" s="2072"/>
      <c r="CQ17" s="2072"/>
      <c r="CR17" s="2072"/>
      <c r="CS17" s="2072"/>
      <c r="CT17" s="2072"/>
      <c r="CU17" s="2072"/>
      <c r="CV17" s="2072"/>
      <c r="CW17" s="2072"/>
      <c r="CX17" s="2072"/>
      <c r="CY17" s="2072"/>
      <c r="CZ17" s="2072"/>
      <c r="DA17" s="2072"/>
      <c r="DB17" s="2072"/>
      <c r="DC17" s="2072"/>
      <c r="DD17" s="2072"/>
      <c r="DE17" s="2072"/>
      <c r="DF17" s="2072"/>
      <c r="DG17" s="2072"/>
      <c r="DH17" s="2072"/>
      <c r="DI17" s="2072"/>
      <c r="DJ17" s="2072"/>
      <c r="DK17" s="2072"/>
      <c r="DL17" s="2072">
        <v>3</v>
      </c>
      <c r="DM17" s="2098"/>
      <c r="DN17" s="2098"/>
      <c r="DO17" s="2098"/>
      <c r="DP17" s="2098"/>
      <c r="DQ17" s="2072"/>
      <c r="DR17" s="2072"/>
      <c r="DS17" s="2098"/>
      <c r="DT17" s="2098"/>
      <c r="DU17" s="2098"/>
      <c r="DV17" s="2098"/>
      <c r="DW17" s="2098"/>
      <c r="DX17" s="2098"/>
      <c r="DY17" s="2098"/>
      <c r="DZ17" s="2098"/>
      <c r="EA17" s="2098"/>
      <c r="EB17" s="2098"/>
      <c r="EC17" s="2098"/>
      <c r="ED17" s="2098"/>
      <c r="EE17" s="2098"/>
      <c r="EF17" s="2098"/>
      <c r="EG17" s="2098"/>
      <c r="EH17" s="2098"/>
      <c r="EI17" s="2100"/>
      <c r="EJ17" s="2098"/>
      <c r="EK17" s="2098"/>
      <c r="EL17" s="2098"/>
      <c r="EM17" s="2098"/>
      <c r="EN17" s="2098"/>
      <c r="EO17" s="2098"/>
      <c r="EP17" s="2098"/>
      <c r="EQ17" s="2098"/>
      <c r="ER17" s="2098"/>
      <c r="ES17" s="2098"/>
      <c r="ET17" s="2098"/>
      <c r="EU17" s="2098"/>
      <c r="EV17" s="2098"/>
      <c r="EW17" s="2098"/>
      <c r="EX17" s="2098"/>
      <c r="EY17" s="2098"/>
      <c r="EZ17" s="2098"/>
      <c r="FA17" s="2098"/>
      <c r="FB17" s="2098"/>
      <c r="FC17" s="2098"/>
      <c r="FD17" s="2098"/>
      <c r="FE17" s="2098"/>
      <c r="FF17" s="2098"/>
      <c r="FG17" s="2098"/>
      <c r="FH17" s="2098"/>
      <c r="FI17" s="2098"/>
      <c r="FJ17" s="2098"/>
      <c r="FK17" s="2098"/>
      <c r="FL17" s="2101"/>
      <c r="FM17" s="2102"/>
      <c r="FN17" s="2092"/>
      <c r="FO17" s="2093">
        <f t="shared" si="1"/>
        <v>45</v>
      </c>
      <c r="FP17" s="2103"/>
      <c r="FQ17" s="2103"/>
      <c r="FR17" s="2103"/>
      <c r="FS17" s="2103"/>
      <c r="FT17" s="2103">
        <v>1</v>
      </c>
      <c r="FU17" s="2103"/>
      <c r="FV17" s="2103"/>
      <c r="FW17" s="2103"/>
      <c r="FX17" s="2103"/>
      <c r="FY17" s="2103"/>
      <c r="FZ17" s="2103"/>
      <c r="GA17" s="2103"/>
      <c r="GB17" s="2103"/>
      <c r="GC17" s="2103"/>
      <c r="GD17" s="2094"/>
      <c r="GE17" s="2103"/>
      <c r="GF17" s="2103"/>
      <c r="GG17" s="2103"/>
      <c r="GH17" s="2103"/>
      <c r="GI17" s="2103"/>
      <c r="GJ17" s="2103"/>
      <c r="GK17" s="2103"/>
      <c r="GL17" s="2103"/>
      <c r="GM17" s="2103"/>
      <c r="GN17" s="2103"/>
      <c r="GO17" s="2103"/>
      <c r="GP17" s="2103"/>
      <c r="GQ17" s="2103"/>
      <c r="GR17" s="2103"/>
      <c r="GS17" s="2103"/>
      <c r="GT17" s="2103"/>
      <c r="GU17" s="2103"/>
      <c r="GV17" s="2113"/>
      <c r="GZ17" s="2032"/>
      <c r="HA17" s="2032"/>
      <c r="HB17" s="2032"/>
      <c r="HC17" s="2032"/>
      <c r="HD17" s="2032"/>
      <c r="HE17" s="2032"/>
      <c r="HF17" s="2032"/>
    </row>
    <row r="18" spans="1:250" ht="15.6">
      <c r="A18" s="2082">
        <v>12</v>
      </c>
      <c r="B18" s="2083">
        <v>44</v>
      </c>
      <c r="C18" s="2084">
        <f t="shared" si="2"/>
        <v>488</v>
      </c>
      <c r="D18" s="2085" t="s">
        <v>184</v>
      </c>
      <c r="E18" s="2087">
        <v>1</v>
      </c>
      <c r="F18" s="2087"/>
      <c r="G18" s="2087"/>
      <c r="H18" s="2098"/>
      <c r="I18" s="2098"/>
      <c r="J18" s="2098"/>
      <c r="K18" s="2098"/>
      <c r="L18" s="2098"/>
      <c r="M18" s="2072"/>
      <c r="N18" s="2098"/>
      <c r="O18" s="2098"/>
      <c r="P18" s="2098"/>
      <c r="Q18" s="2098"/>
      <c r="R18" s="2098"/>
      <c r="S18" s="2098"/>
      <c r="T18" s="2098"/>
      <c r="U18" s="2098"/>
      <c r="V18" s="2098"/>
      <c r="W18" s="2098"/>
      <c r="X18" s="2099"/>
      <c r="Y18" s="2098"/>
      <c r="Z18" s="2098"/>
      <c r="AA18" s="2098"/>
      <c r="AB18" s="2098"/>
      <c r="AC18" s="2098"/>
      <c r="AD18" s="2098"/>
      <c r="AE18" s="2098"/>
      <c r="AF18" s="2098"/>
      <c r="AG18" s="2098"/>
      <c r="AH18" s="2098"/>
      <c r="AI18" s="2098"/>
      <c r="AJ18" s="2098"/>
      <c r="AK18" s="2098"/>
      <c r="AL18" s="2098"/>
      <c r="AM18" s="2098"/>
      <c r="AN18" s="2072">
        <f>+K18</f>
        <v>0</v>
      </c>
      <c r="AO18" s="2098"/>
      <c r="AP18" s="2098"/>
      <c r="AQ18" s="2098"/>
      <c r="AR18" s="2098"/>
      <c r="AS18" s="2098"/>
      <c r="AT18" s="2098"/>
      <c r="AU18" s="2098"/>
      <c r="AV18" s="2098"/>
      <c r="AW18" s="2098"/>
      <c r="AX18" s="2098"/>
      <c r="AY18" s="2098"/>
      <c r="AZ18" s="2098"/>
      <c r="BA18" s="2098"/>
      <c r="BB18" s="2098"/>
      <c r="BC18" s="2098"/>
      <c r="BD18" s="2098"/>
      <c r="BE18" s="2098"/>
      <c r="BF18" s="2098"/>
      <c r="BG18" s="2098"/>
      <c r="BH18" s="2098"/>
      <c r="BI18" s="2098"/>
      <c r="BJ18" s="2098"/>
      <c r="BK18" s="2098"/>
      <c r="BL18" s="2098"/>
      <c r="BM18" s="2072">
        <f t="shared" si="4"/>
        <v>0</v>
      </c>
      <c r="BN18" s="2072">
        <f t="shared" si="5"/>
        <v>0</v>
      </c>
      <c r="BO18" s="2072">
        <f t="shared" si="3"/>
        <v>0</v>
      </c>
      <c r="BP18" s="2072"/>
      <c r="BQ18" s="2072"/>
      <c r="BR18" s="2098"/>
      <c r="BS18" s="2098"/>
      <c r="BT18" s="2098"/>
      <c r="BU18" s="2098"/>
      <c r="BV18" s="2098"/>
      <c r="BW18" s="2098"/>
      <c r="BX18" s="2098"/>
      <c r="BY18" s="2098"/>
      <c r="BZ18" s="2098"/>
      <c r="CA18" s="2098"/>
      <c r="CB18" s="2098"/>
      <c r="CC18" s="2098"/>
      <c r="CD18" s="2098"/>
      <c r="CE18" s="2098"/>
      <c r="CF18" s="2098"/>
      <c r="CG18" s="2098"/>
      <c r="CH18" s="2072">
        <v>1</v>
      </c>
      <c r="CI18" s="2072"/>
      <c r="CJ18" s="2098"/>
      <c r="CK18" s="2098"/>
      <c r="CL18" s="2098"/>
      <c r="CM18" s="2098"/>
      <c r="CN18" s="2072"/>
      <c r="CO18" s="2072"/>
      <c r="CP18" s="2072"/>
      <c r="CQ18" s="2072"/>
      <c r="CR18" s="2072"/>
      <c r="CS18" s="2072"/>
      <c r="CT18" s="2072"/>
      <c r="CU18" s="2072"/>
      <c r="CV18" s="2072"/>
      <c r="CW18" s="2072"/>
      <c r="CX18" s="2072"/>
      <c r="CY18" s="2072"/>
      <c r="CZ18" s="2072"/>
      <c r="DA18" s="2072"/>
      <c r="DB18" s="2072"/>
      <c r="DC18" s="2072"/>
      <c r="DD18" s="2072"/>
      <c r="DE18" s="2072"/>
      <c r="DF18" s="2072"/>
      <c r="DG18" s="2072"/>
      <c r="DH18" s="2072"/>
      <c r="DI18" s="2072"/>
      <c r="DJ18" s="2072"/>
      <c r="DK18" s="2072"/>
      <c r="DL18" s="2072">
        <v>3</v>
      </c>
      <c r="DM18" s="2098"/>
      <c r="DN18" s="2098"/>
      <c r="DO18" s="2098"/>
      <c r="DP18" s="2098"/>
      <c r="DQ18" s="2072"/>
      <c r="DR18" s="2072"/>
      <c r="DS18" s="2098"/>
      <c r="DT18" s="2098"/>
      <c r="DU18" s="2098"/>
      <c r="DV18" s="2098"/>
      <c r="DW18" s="2098"/>
      <c r="DX18" s="2098"/>
      <c r="DY18" s="2098"/>
      <c r="DZ18" s="2098"/>
      <c r="EA18" s="2098"/>
      <c r="EB18" s="2098"/>
      <c r="EC18" s="2098"/>
      <c r="ED18" s="2098"/>
      <c r="EE18" s="2098"/>
      <c r="EF18" s="2098"/>
      <c r="EG18" s="2098"/>
      <c r="EH18" s="2098"/>
      <c r="EI18" s="2100"/>
      <c r="EJ18" s="2098"/>
      <c r="EK18" s="2098"/>
      <c r="EL18" s="2098"/>
      <c r="EM18" s="2098"/>
      <c r="EN18" s="2098"/>
      <c r="EO18" s="2098"/>
      <c r="EP18" s="2098"/>
      <c r="EQ18" s="2098"/>
      <c r="ER18" s="2098"/>
      <c r="ES18" s="2098"/>
      <c r="ET18" s="2098"/>
      <c r="EU18" s="2098"/>
      <c r="EV18" s="2098"/>
      <c r="EW18" s="2098"/>
      <c r="EX18" s="2098"/>
      <c r="EY18" s="2098"/>
      <c r="EZ18" s="2098"/>
      <c r="FA18" s="2098"/>
      <c r="FB18" s="2098"/>
      <c r="FC18" s="2098"/>
      <c r="FD18" s="2098"/>
      <c r="FE18" s="2098"/>
      <c r="FF18" s="2098"/>
      <c r="FG18" s="2098"/>
      <c r="FH18" s="2098"/>
      <c r="FI18" s="2098"/>
      <c r="FJ18" s="2098"/>
      <c r="FK18" s="2098"/>
      <c r="FL18" s="2101"/>
      <c r="FM18" s="2102"/>
      <c r="FN18" s="2092"/>
      <c r="FO18" s="2093">
        <f t="shared" si="1"/>
        <v>44</v>
      </c>
      <c r="FP18" s="2103"/>
      <c r="FQ18" s="2103"/>
      <c r="FR18" s="2103"/>
      <c r="FS18" s="2103"/>
      <c r="FT18" s="2103">
        <v>1</v>
      </c>
      <c r="FU18" s="2103"/>
      <c r="FV18" s="2103"/>
      <c r="FW18" s="2103"/>
      <c r="FX18" s="2103"/>
      <c r="FY18" s="2103"/>
      <c r="FZ18" s="2103"/>
      <c r="GA18" s="2103"/>
      <c r="GB18" s="2103"/>
      <c r="GC18" s="2103"/>
      <c r="GD18" s="2094"/>
      <c r="GE18" s="2103"/>
      <c r="GF18" s="2103"/>
      <c r="GG18" s="2103"/>
      <c r="GH18" s="2103"/>
      <c r="GI18" s="2103"/>
      <c r="GJ18" s="2103"/>
      <c r="GK18" s="2103"/>
      <c r="GL18" s="2103"/>
      <c r="GM18" s="2103"/>
      <c r="GN18" s="2103"/>
      <c r="GO18" s="2103"/>
      <c r="GP18" s="2103"/>
      <c r="GQ18" s="2103"/>
      <c r="GR18" s="2103"/>
      <c r="GS18" s="2103"/>
      <c r="GT18" s="2103"/>
      <c r="GU18" s="2103"/>
      <c r="GV18" s="2113"/>
      <c r="GZ18" s="2032"/>
      <c r="HA18" s="2032"/>
      <c r="HB18" s="2032"/>
      <c r="HC18" s="2032"/>
      <c r="HD18" s="2032"/>
      <c r="HE18" s="2032"/>
      <c r="HF18" s="2032"/>
    </row>
    <row r="19" spans="1:250" ht="15.6">
      <c r="A19" s="2082">
        <v>13</v>
      </c>
      <c r="B19" s="2083">
        <v>45</v>
      </c>
      <c r="C19" s="2084">
        <f t="shared" si="2"/>
        <v>533</v>
      </c>
      <c r="D19" s="2085" t="s">
        <v>184</v>
      </c>
      <c r="E19" s="2087">
        <v>1</v>
      </c>
      <c r="F19" s="2087"/>
      <c r="G19" s="2098"/>
      <c r="H19" s="2098"/>
      <c r="I19" s="2098"/>
      <c r="J19" s="2098"/>
      <c r="K19" s="2098"/>
      <c r="L19" s="2098"/>
      <c r="M19" s="2072"/>
      <c r="N19" s="2098"/>
      <c r="O19" s="2098"/>
      <c r="P19" s="2098"/>
      <c r="Q19" s="2098"/>
      <c r="R19" s="2098"/>
      <c r="S19" s="2098"/>
      <c r="T19" s="2098"/>
      <c r="U19" s="2098"/>
      <c r="V19" s="2098"/>
      <c r="W19" s="2098"/>
      <c r="X19" s="2099"/>
      <c r="Y19" s="2098"/>
      <c r="Z19" s="2098"/>
      <c r="AA19" s="2098"/>
      <c r="AB19" s="2098"/>
      <c r="AC19" s="2098"/>
      <c r="AD19" s="2098"/>
      <c r="AE19" s="2098"/>
      <c r="AF19" s="2098"/>
      <c r="AG19" s="2098"/>
      <c r="AH19" s="2098"/>
      <c r="AI19" s="2098"/>
      <c r="AJ19" s="2098"/>
      <c r="AK19" s="2098"/>
      <c r="AL19" s="2098"/>
      <c r="AM19" s="2098"/>
      <c r="AN19" s="2072">
        <f>+K19</f>
        <v>0</v>
      </c>
      <c r="AO19" s="2098"/>
      <c r="AP19" s="2098"/>
      <c r="AQ19" s="2098"/>
      <c r="AR19" s="2098"/>
      <c r="AS19" s="2098"/>
      <c r="AT19" s="2098"/>
      <c r="AU19" s="2098"/>
      <c r="AV19" s="2098"/>
      <c r="AW19" s="2098"/>
      <c r="AX19" s="2098"/>
      <c r="AY19" s="2098"/>
      <c r="AZ19" s="2098"/>
      <c r="BA19" s="2098"/>
      <c r="BB19" s="2098"/>
      <c r="BC19" s="2098"/>
      <c r="BD19" s="2098"/>
      <c r="BE19" s="2098"/>
      <c r="BF19" s="2098"/>
      <c r="BG19" s="2098"/>
      <c r="BH19" s="2098"/>
      <c r="BI19" s="2098"/>
      <c r="BJ19" s="2098"/>
      <c r="BK19" s="2098"/>
      <c r="BL19" s="2098"/>
      <c r="BM19" s="2072">
        <f t="shared" si="4"/>
        <v>0</v>
      </c>
      <c r="BN19" s="2072">
        <f t="shared" si="5"/>
        <v>0</v>
      </c>
      <c r="BO19" s="2072">
        <f t="shared" si="3"/>
        <v>0</v>
      </c>
      <c r="BP19" s="2072"/>
      <c r="BQ19" s="2072"/>
      <c r="BR19" s="2098"/>
      <c r="BS19" s="2098"/>
      <c r="BT19" s="2098"/>
      <c r="BU19" s="2098"/>
      <c r="BV19" s="2098"/>
      <c r="BW19" s="2098"/>
      <c r="BX19" s="2098"/>
      <c r="BY19" s="2098"/>
      <c r="BZ19" s="2098"/>
      <c r="CA19" s="2098"/>
      <c r="CB19" s="2098"/>
      <c r="CC19" s="2098"/>
      <c r="CD19" s="2098"/>
      <c r="CE19" s="2098"/>
      <c r="CF19" s="2098">
        <v>1</v>
      </c>
      <c r="CG19" s="2098"/>
      <c r="CH19" s="2072">
        <v>1</v>
      </c>
      <c r="CI19" s="2072"/>
      <c r="CJ19" s="2098"/>
      <c r="CK19" s="2098"/>
      <c r="CL19" s="2098"/>
      <c r="CM19" s="2098"/>
      <c r="CN19" s="2072"/>
      <c r="CO19" s="2072"/>
      <c r="CP19" s="2072"/>
      <c r="CQ19" s="2072"/>
      <c r="CR19" s="2072"/>
      <c r="CS19" s="2072"/>
      <c r="CT19" s="2072"/>
      <c r="CU19" s="2072"/>
      <c r="CV19" s="2072"/>
      <c r="CW19" s="2072"/>
      <c r="CX19" s="2072"/>
      <c r="CY19" s="2072"/>
      <c r="CZ19" s="2072"/>
      <c r="DA19" s="2072"/>
      <c r="DB19" s="2072"/>
      <c r="DC19" s="2072"/>
      <c r="DD19" s="2072"/>
      <c r="DE19" s="2072"/>
      <c r="DF19" s="2072"/>
      <c r="DG19" s="2072"/>
      <c r="DH19" s="2072"/>
      <c r="DI19" s="2072"/>
      <c r="DJ19" s="2072"/>
      <c r="DK19" s="2072"/>
      <c r="DL19" s="2072">
        <v>3</v>
      </c>
      <c r="DM19" s="2098"/>
      <c r="DN19" s="2098"/>
      <c r="DO19" s="2098"/>
      <c r="DP19" s="2098"/>
      <c r="DQ19" s="2072"/>
      <c r="DR19" s="2072"/>
      <c r="DS19" s="2098"/>
      <c r="DT19" s="2098"/>
      <c r="DU19" s="2098"/>
      <c r="DV19" s="2098"/>
      <c r="DW19" s="2098"/>
      <c r="DX19" s="2098"/>
      <c r="DY19" s="2098"/>
      <c r="DZ19" s="2098"/>
      <c r="EA19" s="2098"/>
      <c r="EB19" s="2098"/>
      <c r="EC19" s="2098"/>
      <c r="ED19" s="2098"/>
      <c r="EE19" s="2098"/>
      <c r="EF19" s="2098"/>
      <c r="EG19" s="2098"/>
      <c r="EH19" s="2098"/>
      <c r="EI19" s="2100"/>
      <c r="EJ19" s="2098"/>
      <c r="EK19" s="2098"/>
      <c r="EL19" s="2098"/>
      <c r="EM19" s="2098"/>
      <c r="EN19" s="2098"/>
      <c r="EO19" s="2098"/>
      <c r="EP19" s="2098"/>
      <c r="EQ19" s="2098"/>
      <c r="ER19" s="2098"/>
      <c r="ES19" s="2098"/>
      <c r="ET19" s="2098"/>
      <c r="EU19" s="2098"/>
      <c r="EV19" s="2098"/>
      <c r="EW19" s="2098"/>
      <c r="EX19" s="2098"/>
      <c r="EY19" s="2098"/>
      <c r="EZ19" s="2098"/>
      <c r="FA19" s="2098"/>
      <c r="FB19" s="2098"/>
      <c r="FC19" s="2098"/>
      <c r="FD19" s="2098"/>
      <c r="FE19" s="2098"/>
      <c r="FF19" s="2098"/>
      <c r="FG19" s="2098"/>
      <c r="FH19" s="2098"/>
      <c r="FI19" s="2098"/>
      <c r="FJ19" s="2098"/>
      <c r="FK19" s="2098"/>
      <c r="FL19" s="2101"/>
      <c r="FM19" s="2102"/>
      <c r="FN19" s="2092"/>
      <c r="FO19" s="2093">
        <f t="shared" si="1"/>
        <v>45</v>
      </c>
      <c r="FP19" s="2103"/>
      <c r="FQ19" s="2103"/>
      <c r="FR19" s="2103"/>
      <c r="FS19" s="2103"/>
      <c r="FT19" s="2103">
        <v>1</v>
      </c>
      <c r="FU19" s="2103"/>
      <c r="FV19" s="2103"/>
      <c r="FW19" s="2103"/>
      <c r="FX19" s="2103"/>
      <c r="FY19" s="2103"/>
      <c r="FZ19" s="2103"/>
      <c r="GA19" s="2103"/>
      <c r="GB19" s="2103"/>
      <c r="GC19" s="2103"/>
      <c r="GD19" s="2094"/>
      <c r="GE19" s="2103"/>
      <c r="GF19" s="2103"/>
      <c r="GG19" s="2103"/>
      <c r="GH19" s="2103"/>
      <c r="GI19" s="2103"/>
      <c r="GJ19" s="2103"/>
      <c r="GK19" s="2103"/>
      <c r="GL19" s="2103"/>
      <c r="GM19" s="2103"/>
      <c r="GN19" s="2103"/>
      <c r="GO19" s="2103"/>
      <c r="GP19" s="2103"/>
      <c r="GQ19" s="2103"/>
      <c r="GR19" s="2103"/>
      <c r="GS19" s="2103"/>
      <c r="GT19" s="2103"/>
      <c r="GU19" s="2103"/>
      <c r="GV19" s="2104"/>
      <c r="GZ19" s="2032"/>
      <c r="HA19" s="2032"/>
      <c r="HB19" s="2032"/>
      <c r="HC19" s="2032"/>
      <c r="HD19" s="2032"/>
      <c r="HE19" s="2032"/>
      <c r="HF19" s="2032"/>
    </row>
    <row r="20" spans="1:250" ht="15.6">
      <c r="A20" s="2097">
        <v>14</v>
      </c>
      <c r="B20" s="2083">
        <v>43</v>
      </c>
      <c r="C20" s="2084">
        <f t="shared" si="2"/>
        <v>576</v>
      </c>
      <c r="D20" s="2085" t="s">
        <v>184</v>
      </c>
      <c r="E20" s="2087">
        <v>1</v>
      </c>
      <c r="F20" s="2087"/>
      <c r="G20" s="2098"/>
      <c r="H20" s="2098"/>
      <c r="I20" s="2098"/>
      <c r="J20" s="2098"/>
      <c r="K20" s="2098"/>
      <c r="L20" s="2098"/>
      <c r="M20" s="2072"/>
      <c r="N20" s="2098"/>
      <c r="O20" s="2098"/>
      <c r="P20" s="2098"/>
      <c r="Q20" s="2098"/>
      <c r="R20" s="2098"/>
      <c r="S20" s="2098"/>
      <c r="T20" s="2098"/>
      <c r="U20" s="2098"/>
      <c r="V20" s="2098"/>
      <c r="W20" s="2098"/>
      <c r="X20" s="2099"/>
      <c r="Y20" s="2098"/>
      <c r="Z20" s="2098"/>
      <c r="AA20" s="2098"/>
      <c r="AB20" s="2098"/>
      <c r="AC20" s="2098"/>
      <c r="AD20" s="2098"/>
      <c r="AE20" s="2098"/>
      <c r="AF20" s="2098"/>
      <c r="AG20" s="2098"/>
      <c r="AH20" s="2098"/>
      <c r="AI20" s="2098"/>
      <c r="AJ20" s="2098"/>
      <c r="AK20" s="2098"/>
      <c r="AL20" s="2098"/>
      <c r="AM20" s="2098"/>
      <c r="AN20" s="2072">
        <f>+K20</f>
        <v>0</v>
      </c>
      <c r="AO20" s="2098"/>
      <c r="AP20" s="2098"/>
      <c r="AQ20" s="2098"/>
      <c r="AR20" s="2098"/>
      <c r="AS20" s="2098"/>
      <c r="AT20" s="2098"/>
      <c r="AU20" s="2098"/>
      <c r="AV20" s="2098"/>
      <c r="AW20" s="2098"/>
      <c r="AX20" s="2098"/>
      <c r="AY20" s="2098"/>
      <c r="AZ20" s="2098"/>
      <c r="BA20" s="2098"/>
      <c r="BB20" s="2098"/>
      <c r="BC20" s="2098"/>
      <c r="BD20" s="2098"/>
      <c r="BE20" s="2098"/>
      <c r="BF20" s="2098"/>
      <c r="BG20" s="2098"/>
      <c r="BH20" s="2098"/>
      <c r="BI20" s="2098"/>
      <c r="BJ20" s="2098"/>
      <c r="BK20" s="2098"/>
      <c r="BL20" s="2098"/>
      <c r="BM20" s="2072">
        <f t="shared" si="4"/>
        <v>0</v>
      </c>
      <c r="BN20" s="2072">
        <f t="shared" si="5"/>
        <v>0</v>
      </c>
      <c r="BO20" s="2072">
        <f t="shared" si="3"/>
        <v>0</v>
      </c>
      <c r="BP20" s="2072"/>
      <c r="BQ20" s="2072"/>
      <c r="BR20" s="2098"/>
      <c r="BS20" s="2098"/>
      <c r="BT20" s="2098"/>
      <c r="BU20" s="2098"/>
      <c r="BV20" s="2098"/>
      <c r="BW20" s="2098"/>
      <c r="BX20" s="2098"/>
      <c r="BY20" s="2098"/>
      <c r="BZ20" s="2098"/>
      <c r="CA20" s="2098"/>
      <c r="CB20" s="2098"/>
      <c r="CC20" s="2098"/>
      <c r="CD20" s="2098"/>
      <c r="CE20" s="2098"/>
      <c r="CF20" s="2098"/>
      <c r="CG20" s="2098"/>
      <c r="CH20" s="2072">
        <v>1</v>
      </c>
      <c r="CI20" s="2072"/>
      <c r="CJ20" s="2098"/>
      <c r="CK20" s="2098"/>
      <c r="CL20" s="2098"/>
      <c r="CM20" s="2098"/>
      <c r="CN20" s="2072"/>
      <c r="CO20" s="2072"/>
      <c r="CP20" s="2072"/>
      <c r="CQ20" s="2072"/>
      <c r="CR20" s="2072"/>
      <c r="CS20" s="2072"/>
      <c r="CT20" s="2072"/>
      <c r="CU20" s="2072"/>
      <c r="CV20" s="2072"/>
      <c r="CW20" s="2072"/>
      <c r="CX20" s="2072"/>
      <c r="CY20" s="2072"/>
      <c r="CZ20" s="2072"/>
      <c r="DA20" s="2072"/>
      <c r="DB20" s="2072"/>
      <c r="DC20" s="2072"/>
      <c r="DD20" s="2072"/>
      <c r="DE20" s="2072"/>
      <c r="DF20" s="2072"/>
      <c r="DG20" s="2072"/>
      <c r="DH20" s="2072"/>
      <c r="DI20" s="2072"/>
      <c r="DJ20" s="2072"/>
      <c r="DK20" s="2072"/>
      <c r="DL20" s="2072">
        <v>3</v>
      </c>
      <c r="DM20" s="2098"/>
      <c r="DN20" s="2098"/>
      <c r="DO20" s="2098"/>
      <c r="DP20" s="2098"/>
      <c r="DQ20" s="2072"/>
      <c r="DR20" s="2098"/>
      <c r="DS20" s="2098"/>
      <c r="DT20" s="2098"/>
      <c r="DU20" s="2098"/>
      <c r="DV20" s="2098"/>
      <c r="DW20" s="2098"/>
      <c r="DX20" s="2098"/>
      <c r="DY20" s="2098"/>
      <c r="DZ20" s="2098"/>
      <c r="EA20" s="2098"/>
      <c r="EB20" s="2098"/>
      <c r="EC20" s="2098"/>
      <c r="ED20" s="2098"/>
      <c r="EE20" s="2098"/>
      <c r="EF20" s="2098"/>
      <c r="EG20" s="2098"/>
      <c r="EH20" s="2098"/>
      <c r="EI20" s="2100"/>
      <c r="EJ20" s="2098"/>
      <c r="EK20" s="2098"/>
      <c r="EL20" s="2098"/>
      <c r="EM20" s="2098"/>
      <c r="EN20" s="2098"/>
      <c r="EO20" s="2098"/>
      <c r="EP20" s="2098"/>
      <c r="EQ20" s="2098"/>
      <c r="ER20" s="2098"/>
      <c r="ES20" s="2098"/>
      <c r="ET20" s="2098"/>
      <c r="EU20" s="2098"/>
      <c r="EV20" s="2098"/>
      <c r="EW20" s="2098"/>
      <c r="EX20" s="2098"/>
      <c r="EY20" s="2098"/>
      <c r="EZ20" s="2098"/>
      <c r="FA20" s="2098"/>
      <c r="FB20" s="2098"/>
      <c r="FC20" s="2098"/>
      <c r="FD20" s="2098"/>
      <c r="FE20" s="2098"/>
      <c r="FF20" s="2098"/>
      <c r="FG20" s="2098"/>
      <c r="FH20" s="2098"/>
      <c r="FI20" s="2098"/>
      <c r="FJ20" s="2098"/>
      <c r="FK20" s="2098"/>
      <c r="FL20" s="2101"/>
      <c r="FM20" s="2102"/>
      <c r="FN20" s="2092"/>
      <c r="FO20" s="2093">
        <f t="shared" si="1"/>
        <v>43</v>
      </c>
      <c r="FP20" s="2103"/>
      <c r="FQ20" s="2103"/>
      <c r="FR20" s="2103"/>
      <c r="FS20" s="2103"/>
      <c r="FT20" s="2103">
        <v>1</v>
      </c>
      <c r="FU20" s="2103"/>
      <c r="FV20" s="2103"/>
      <c r="FW20" s="2103"/>
      <c r="FX20" s="2103"/>
      <c r="FY20" s="2103"/>
      <c r="FZ20" s="2103"/>
      <c r="GA20" s="2103"/>
      <c r="GB20" s="2103"/>
      <c r="GC20" s="2103"/>
      <c r="GD20" s="2094"/>
      <c r="GE20" s="2103"/>
      <c r="GF20" s="2103"/>
      <c r="GG20" s="2103"/>
      <c r="GH20" s="2103"/>
      <c r="GI20" s="2103"/>
      <c r="GJ20" s="2103"/>
      <c r="GK20" s="2103"/>
      <c r="GL20" s="2103"/>
      <c r="GM20" s="2103"/>
      <c r="GN20" s="2103"/>
      <c r="GO20" s="2103"/>
      <c r="GP20" s="2103"/>
      <c r="GQ20" s="2103"/>
      <c r="GR20" s="2103"/>
      <c r="GS20" s="2103"/>
      <c r="GT20" s="2103"/>
      <c r="GU20" s="2103"/>
      <c r="GV20" s="2104"/>
      <c r="GZ20" s="2032"/>
      <c r="HA20" s="2032"/>
      <c r="HB20" s="2032"/>
      <c r="HC20" s="2032"/>
      <c r="HD20" s="2032"/>
      <c r="HE20" s="2032"/>
      <c r="HF20" s="2032"/>
    </row>
    <row r="21" spans="1:250" ht="15.6">
      <c r="A21" s="2082">
        <v>15</v>
      </c>
      <c r="B21" s="2083">
        <v>40</v>
      </c>
      <c r="C21" s="2084">
        <f t="shared" si="2"/>
        <v>616</v>
      </c>
      <c r="D21" s="2085" t="s">
        <v>548</v>
      </c>
      <c r="E21" s="2087">
        <v>1</v>
      </c>
      <c r="F21" s="2087"/>
      <c r="G21" s="2098"/>
      <c r="H21" s="2098"/>
      <c r="I21" s="2098"/>
      <c r="J21" s="2098"/>
      <c r="K21" s="2098"/>
      <c r="L21" s="2098"/>
      <c r="M21" s="2072"/>
      <c r="N21" s="2098"/>
      <c r="O21" s="2098"/>
      <c r="P21" s="2098"/>
      <c r="Q21" s="2098"/>
      <c r="R21" s="2098"/>
      <c r="S21" s="2098"/>
      <c r="T21" s="2098"/>
      <c r="U21" s="2098"/>
      <c r="V21" s="2098"/>
      <c r="W21" s="2098"/>
      <c r="X21" s="2099"/>
      <c r="Y21" s="2098"/>
      <c r="Z21" s="2098"/>
      <c r="AA21" s="2098"/>
      <c r="AB21" s="2098"/>
      <c r="AC21" s="2098"/>
      <c r="AD21" s="2098"/>
      <c r="AE21" s="2098"/>
      <c r="AF21" s="2098"/>
      <c r="AG21" s="2098"/>
      <c r="AH21" s="2098"/>
      <c r="AI21" s="2098"/>
      <c r="AJ21" s="2098"/>
      <c r="AK21" s="2098"/>
      <c r="AL21" s="2098"/>
      <c r="AM21" s="2098"/>
      <c r="AN21" s="2072">
        <f>+K21</f>
        <v>0</v>
      </c>
      <c r="AO21" s="2098"/>
      <c r="AP21" s="2098"/>
      <c r="AQ21" s="2098"/>
      <c r="AR21" s="2098"/>
      <c r="AS21" s="2098"/>
      <c r="AT21" s="2098"/>
      <c r="AU21" s="2098"/>
      <c r="AV21" s="2098"/>
      <c r="AW21" s="2098"/>
      <c r="AX21" s="2098"/>
      <c r="AY21" s="2098"/>
      <c r="AZ21" s="2098"/>
      <c r="BA21" s="2098"/>
      <c r="BB21" s="2098"/>
      <c r="BC21" s="2098"/>
      <c r="BD21" s="2098"/>
      <c r="BE21" s="2098"/>
      <c r="BF21" s="2098"/>
      <c r="BG21" s="2098"/>
      <c r="BH21" s="2098"/>
      <c r="BI21" s="2098"/>
      <c r="BJ21" s="2098"/>
      <c r="BK21" s="2098"/>
      <c r="BL21" s="2098"/>
      <c r="BM21" s="2072">
        <f t="shared" si="4"/>
        <v>0</v>
      </c>
      <c r="BN21" s="2072">
        <f t="shared" si="5"/>
        <v>0</v>
      </c>
      <c r="BO21" s="2072">
        <f t="shared" si="3"/>
        <v>0</v>
      </c>
      <c r="BP21" s="2072"/>
      <c r="BQ21" s="2072"/>
      <c r="BR21" s="2098"/>
      <c r="BS21" s="2098"/>
      <c r="BT21" s="2098"/>
      <c r="BU21" s="2098"/>
      <c r="BV21" s="2098"/>
      <c r="BW21" s="2098"/>
      <c r="BX21" s="2098"/>
      <c r="BY21" s="2098"/>
      <c r="BZ21" s="2098"/>
      <c r="CA21" s="2098"/>
      <c r="CB21" s="2098"/>
      <c r="CC21" s="2098"/>
      <c r="CD21" s="2098"/>
      <c r="CE21" s="2098"/>
      <c r="CF21" s="2098"/>
      <c r="CG21" s="2098"/>
      <c r="CH21" s="2072"/>
      <c r="CI21" s="2072"/>
      <c r="CJ21" s="2098"/>
      <c r="CK21" s="2098"/>
      <c r="CL21" s="2098"/>
      <c r="CM21" s="2098"/>
      <c r="CN21" s="2072"/>
      <c r="CO21" s="2072"/>
      <c r="CP21" s="2072"/>
      <c r="CQ21" s="2072"/>
      <c r="CR21" s="2072"/>
      <c r="CS21" s="2072"/>
      <c r="CT21" s="2072"/>
      <c r="CU21" s="2072"/>
      <c r="CV21" s="2072"/>
      <c r="CW21" s="2072"/>
      <c r="CX21" s="2072">
        <v>1</v>
      </c>
      <c r="CY21" s="2072"/>
      <c r="CZ21" s="2072"/>
      <c r="DA21" s="2072"/>
      <c r="DB21" s="2072"/>
      <c r="DC21" s="2072"/>
      <c r="DD21" s="2072"/>
      <c r="DE21" s="2072"/>
      <c r="DF21" s="2072"/>
      <c r="DG21" s="2072"/>
      <c r="DH21" s="2072"/>
      <c r="DI21" s="2072"/>
      <c r="DJ21" s="2072"/>
      <c r="DK21" s="2072"/>
      <c r="DL21" s="2072">
        <v>6</v>
      </c>
      <c r="DM21" s="2098"/>
      <c r="DN21" s="2098"/>
      <c r="DO21" s="2098"/>
      <c r="DP21" s="2098"/>
      <c r="DQ21" s="2072"/>
      <c r="DR21" s="2098"/>
      <c r="DS21" s="2098"/>
      <c r="DT21" s="2098"/>
      <c r="DU21" s="2098"/>
      <c r="DV21" s="2098"/>
      <c r="DW21" s="2098"/>
      <c r="DX21" s="2098"/>
      <c r="DY21" s="2098"/>
      <c r="DZ21" s="2098"/>
      <c r="EA21" s="2098"/>
      <c r="EB21" s="2098"/>
      <c r="EC21" s="2098"/>
      <c r="ED21" s="2098"/>
      <c r="EE21" s="2098"/>
      <c r="EF21" s="2098"/>
      <c r="EG21" s="2098"/>
      <c r="EH21" s="2098"/>
      <c r="EI21" s="2100"/>
      <c r="EJ21" s="2098"/>
      <c r="EK21" s="2098"/>
      <c r="EL21" s="2098"/>
      <c r="EM21" s="2098"/>
      <c r="EN21" s="2098"/>
      <c r="EO21" s="2098"/>
      <c r="EP21" s="2098"/>
      <c r="EQ21" s="2098">
        <v>2</v>
      </c>
      <c r="ER21" s="2098"/>
      <c r="ES21" s="2098">
        <v>6</v>
      </c>
      <c r="ET21" s="2098"/>
      <c r="EU21" s="2098"/>
      <c r="EV21" s="2098"/>
      <c r="EW21" s="2098"/>
      <c r="EX21" s="2098"/>
      <c r="EY21" s="2098"/>
      <c r="EZ21" s="2098"/>
      <c r="FA21" s="2098"/>
      <c r="FB21" s="2098"/>
      <c r="FC21" s="2098"/>
      <c r="FD21" s="2098"/>
      <c r="FE21" s="2098"/>
      <c r="FF21" s="2098"/>
      <c r="FG21" s="2098"/>
      <c r="FH21" s="2098"/>
      <c r="FI21" s="2098"/>
      <c r="FJ21" s="2098"/>
      <c r="FK21" s="2098"/>
      <c r="FL21" s="2101"/>
      <c r="FM21" s="2102"/>
      <c r="FN21" s="2092"/>
      <c r="FO21" s="2093">
        <f t="shared" si="1"/>
        <v>40</v>
      </c>
      <c r="FP21" s="2103"/>
      <c r="FQ21" s="2103"/>
      <c r="FR21" s="2103"/>
      <c r="FS21" s="2103"/>
      <c r="FT21" s="2103"/>
      <c r="FU21" s="2103"/>
      <c r="FV21" s="2103"/>
      <c r="FW21" s="2103"/>
      <c r="FX21" s="2103"/>
      <c r="FY21" s="2103"/>
      <c r="FZ21" s="2103"/>
      <c r="GA21" s="2103"/>
      <c r="GB21" s="2103"/>
      <c r="GC21" s="2103"/>
      <c r="GD21" s="2094"/>
      <c r="GE21" s="2103"/>
      <c r="GF21" s="2103"/>
      <c r="GG21" s="2103"/>
      <c r="GH21" s="2103"/>
      <c r="GI21" s="2103"/>
      <c r="GJ21" s="2103"/>
      <c r="GK21" s="2103"/>
      <c r="GL21" s="2103"/>
      <c r="GM21" s="2103"/>
      <c r="GN21" s="2103"/>
      <c r="GO21" s="2103"/>
      <c r="GP21" s="2103"/>
      <c r="GQ21" s="2103"/>
      <c r="GR21" s="2103"/>
      <c r="GS21" s="2103"/>
      <c r="GT21" s="2103"/>
      <c r="GU21" s="2103"/>
      <c r="GV21" s="2104"/>
      <c r="GZ21" s="2032"/>
      <c r="HA21" s="2032"/>
      <c r="HB21" s="2032"/>
      <c r="HC21" s="2032"/>
      <c r="HD21" s="2032"/>
      <c r="HE21" s="2032"/>
      <c r="HF21" s="2032"/>
    </row>
    <row r="22" spans="1:250" s="2050" customFormat="1" ht="15.6">
      <c r="A22" s="2114" t="s">
        <v>5827</v>
      </c>
      <c r="B22" s="2115">
        <f>SUM(B7:B21)</f>
        <v>616</v>
      </c>
      <c r="C22" s="2115">
        <f>+C21</f>
        <v>616</v>
      </c>
      <c r="D22" s="2116"/>
      <c r="E22" s="2116">
        <f>+SUM(E7:E21)</f>
        <v>14</v>
      </c>
      <c r="F22" s="2116"/>
      <c r="G22" s="2116">
        <f t="shared" ref="G22:AL22" si="6">+SUM(G7:G21)</f>
        <v>0</v>
      </c>
      <c r="H22" s="2116">
        <f t="shared" si="6"/>
        <v>0</v>
      </c>
      <c r="I22" s="2116">
        <f t="shared" si="6"/>
        <v>0</v>
      </c>
      <c r="J22" s="2116">
        <f t="shared" si="6"/>
        <v>0</v>
      </c>
      <c r="K22" s="2116">
        <f t="shared" si="6"/>
        <v>0</v>
      </c>
      <c r="L22" s="2116">
        <f t="shared" si="6"/>
        <v>0</v>
      </c>
      <c r="M22" s="2116">
        <f t="shared" si="6"/>
        <v>0</v>
      </c>
      <c r="N22" s="2116">
        <f t="shared" si="6"/>
        <v>0</v>
      </c>
      <c r="O22" s="2116">
        <f t="shared" si="6"/>
        <v>0</v>
      </c>
      <c r="P22" s="2116">
        <f t="shared" si="6"/>
        <v>0</v>
      </c>
      <c r="Q22" s="2116">
        <f t="shared" si="6"/>
        <v>0</v>
      </c>
      <c r="R22" s="2116">
        <f t="shared" si="6"/>
        <v>0</v>
      </c>
      <c r="S22" s="2116">
        <f t="shared" si="6"/>
        <v>0</v>
      </c>
      <c r="T22" s="2116">
        <f t="shared" si="6"/>
        <v>0</v>
      </c>
      <c r="U22" s="2116">
        <f t="shared" si="6"/>
        <v>0</v>
      </c>
      <c r="V22" s="2116">
        <f t="shared" si="6"/>
        <v>0</v>
      </c>
      <c r="W22" s="2116">
        <f t="shared" si="6"/>
        <v>0</v>
      </c>
      <c r="X22" s="2116">
        <f t="shared" si="6"/>
        <v>0</v>
      </c>
      <c r="Y22" s="2116">
        <f t="shared" si="6"/>
        <v>0</v>
      </c>
      <c r="Z22" s="2116">
        <f t="shared" si="6"/>
        <v>0</v>
      </c>
      <c r="AA22" s="2116">
        <f t="shared" si="6"/>
        <v>0</v>
      </c>
      <c r="AB22" s="2116">
        <f t="shared" si="6"/>
        <v>0</v>
      </c>
      <c r="AC22" s="2116">
        <f t="shared" si="6"/>
        <v>0</v>
      </c>
      <c r="AD22" s="2116">
        <f t="shared" si="6"/>
        <v>0</v>
      </c>
      <c r="AE22" s="2116">
        <f t="shared" si="6"/>
        <v>0</v>
      </c>
      <c r="AF22" s="2116">
        <f t="shared" si="6"/>
        <v>0</v>
      </c>
      <c r="AG22" s="2116">
        <f t="shared" si="6"/>
        <v>0</v>
      </c>
      <c r="AH22" s="2116">
        <f t="shared" si="6"/>
        <v>0</v>
      </c>
      <c r="AI22" s="2116">
        <f t="shared" si="6"/>
        <v>0</v>
      </c>
      <c r="AJ22" s="2116">
        <f t="shared" si="6"/>
        <v>0</v>
      </c>
      <c r="AK22" s="2116">
        <f t="shared" si="6"/>
        <v>0</v>
      </c>
      <c r="AL22" s="2116">
        <f t="shared" si="6"/>
        <v>0</v>
      </c>
      <c r="AM22" s="2116">
        <f t="shared" ref="AM22:BR22" si="7">+SUM(AM7:AM21)</f>
        <v>0</v>
      </c>
      <c r="AN22" s="2116">
        <f t="shared" si="7"/>
        <v>0</v>
      </c>
      <c r="AO22" s="2116">
        <f t="shared" si="7"/>
        <v>0</v>
      </c>
      <c r="AP22" s="2116">
        <f t="shared" si="7"/>
        <v>0</v>
      </c>
      <c r="AQ22" s="2116">
        <f t="shared" si="7"/>
        <v>0</v>
      </c>
      <c r="AR22" s="2116">
        <f t="shared" si="7"/>
        <v>0</v>
      </c>
      <c r="AS22" s="2116">
        <f t="shared" si="7"/>
        <v>0</v>
      </c>
      <c r="AT22" s="2116">
        <f t="shared" si="7"/>
        <v>0</v>
      </c>
      <c r="AU22" s="2116">
        <f t="shared" si="7"/>
        <v>0</v>
      </c>
      <c r="AV22" s="2116">
        <f t="shared" si="7"/>
        <v>0</v>
      </c>
      <c r="AW22" s="2116">
        <f t="shared" si="7"/>
        <v>0</v>
      </c>
      <c r="AX22" s="2116">
        <f t="shared" si="7"/>
        <v>0</v>
      </c>
      <c r="AY22" s="2116">
        <f t="shared" si="7"/>
        <v>0</v>
      </c>
      <c r="AZ22" s="2116">
        <f t="shared" si="7"/>
        <v>0</v>
      </c>
      <c r="BA22" s="2116">
        <f t="shared" si="7"/>
        <v>0</v>
      </c>
      <c r="BB22" s="2116">
        <f t="shared" si="7"/>
        <v>0</v>
      </c>
      <c r="BC22" s="2116">
        <f t="shared" si="7"/>
        <v>0</v>
      </c>
      <c r="BD22" s="2116">
        <f t="shared" si="7"/>
        <v>0</v>
      </c>
      <c r="BE22" s="2116">
        <f t="shared" si="7"/>
        <v>0</v>
      </c>
      <c r="BF22" s="2116">
        <f t="shared" si="7"/>
        <v>0</v>
      </c>
      <c r="BG22" s="2116">
        <f t="shared" si="7"/>
        <v>0</v>
      </c>
      <c r="BH22" s="2116">
        <f t="shared" si="7"/>
        <v>0</v>
      </c>
      <c r="BI22" s="2116">
        <f t="shared" si="7"/>
        <v>0</v>
      </c>
      <c r="BJ22" s="2116">
        <f t="shared" si="7"/>
        <v>0</v>
      </c>
      <c r="BK22" s="2116">
        <f t="shared" si="7"/>
        <v>0</v>
      </c>
      <c r="BL22" s="2116">
        <f t="shared" si="7"/>
        <v>0</v>
      </c>
      <c r="BM22" s="2116">
        <f t="shared" si="7"/>
        <v>0</v>
      </c>
      <c r="BN22" s="2116">
        <f t="shared" si="7"/>
        <v>0</v>
      </c>
      <c r="BO22" s="2116">
        <f t="shared" si="7"/>
        <v>0</v>
      </c>
      <c r="BP22" s="2116">
        <f t="shared" si="7"/>
        <v>0</v>
      </c>
      <c r="BQ22" s="2116">
        <f t="shared" si="7"/>
        <v>0</v>
      </c>
      <c r="BR22" s="2116">
        <f t="shared" si="7"/>
        <v>0</v>
      </c>
      <c r="BS22" s="2116">
        <f t="shared" ref="BS22:CX22" si="8">+SUM(BS7:BS21)</f>
        <v>0</v>
      </c>
      <c r="BT22" s="2116">
        <f t="shared" si="8"/>
        <v>0</v>
      </c>
      <c r="BU22" s="2116">
        <f t="shared" si="8"/>
        <v>0</v>
      </c>
      <c r="BV22" s="2116">
        <f t="shared" si="8"/>
        <v>0</v>
      </c>
      <c r="BW22" s="2116">
        <f t="shared" si="8"/>
        <v>0</v>
      </c>
      <c r="BX22" s="2116">
        <f t="shared" si="8"/>
        <v>0</v>
      </c>
      <c r="BY22" s="2116">
        <f t="shared" si="8"/>
        <v>0</v>
      </c>
      <c r="BZ22" s="2116">
        <f t="shared" si="8"/>
        <v>0</v>
      </c>
      <c r="CA22" s="2116">
        <f t="shared" si="8"/>
        <v>0</v>
      </c>
      <c r="CB22" s="2116">
        <f t="shared" si="8"/>
        <v>0</v>
      </c>
      <c r="CC22" s="2116">
        <f t="shared" si="8"/>
        <v>0</v>
      </c>
      <c r="CD22" s="2116">
        <f t="shared" si="8"/>
        <v>0</v>
      </c>
      <c r="CE22" s="2116">
        <f t="shared" si="8"/>
        <v>0</v>
      </c>
      <c r="CF22" s="2116">
        <f t="shared" si="8"/>
        <v>2</v>
      </c>
      <c r="CG22" s="2116">
        <f t="shared" si="8"/>
        <v>0</v>
      </c>
      <c r="CH22" s="2116">
        <f t="shared" si="8"/>
        <v>13</v>
      </c>
      <c r="CI22" s="2116">
        <f t="shared" si="8"/>
        <v>0</v>
      </c>
      <c r="CJ22" s="2116">
        <f t="shared" si="8"/>
        <v>0</v>
      </c>
      <c r="CK22" s="2116">
        <f t="shared" si="8"/>
        <v>0</v>
      </c>
      <c r="CL22" s="2116">
        <f t="shared" si="8"/>
        <v>0</v>
      </c>
      <c r="CM22" s="2116">
        <f t="shared" si="8"/>
        <v>0</v>
      </c>
      <c r="CN22" s="2116">
        <f t="shared" si="8"/>
        <v>0</v>
      </c>
      <c r="CO22" s="2116">
        <f t="shared" si="8"/>
        <v>0</v>
      </c>
      <c r="CP22" s="2116">
        <f t="shared" si="8"/>
        <v>0</v>
      </c>
      <c r="CQ22" s="2116">
        <f t="shared" si="8"/>
        <v>0</v>
      </c>
      <c r="CR22" s="2116">
        <f t="shared" si="8"/>
        <v>0</v>
      </c>
      <c r="CS22" s="2116">
        <f t="shared" si="8"/>
        <v>0</v>
      </c>
      <c r="CT22" s="2116">
        <f t="shared" si="8"/>
        <v>0</v>
      </c>
      <c r="CU22" s="2116">
        <f t="shared" si="8"/>
        <v>0</v>
      </c>
      <c r="CV22" s="2116">
        <f t="shared" si="8"/>
        <v>0</v>
      </c>
      <c r="CW22" s="2116">
        <f t="shared" si="8"/>
        <v>0</v>
      </c>
      <c r="CX22" s="2116">
        <f t="shared" si="8"/>
        <v>2</v>
      </c>
      <c r="CY22" s="2116">
        <f t="shared" ref="CY22:ED22" si="9">+SUM(CY7:CY21)</f>
        <v>0</v>
      </c>
      <c r="CZ22" s="2116">
        <f t="shared" si="9"/>
        <v>0</v>
      </c>
      <c r="DA22" s="2116">
        <f t="shared" si="9"/>
        <v>0</v>
      </c>
      <c r="DB22" s="2116">
        <f t="shared" si="9"/>
        <v>0</v>
      </c>
      <c r="DC22" s="2116">
        <f t="shared" si="9"/>
        <v>0</v>
      </c>
      <c r="DD22" s="2116">
        <f t="shared" si="9"/>
        <v>0</v>
      </c>
      <c r="DE22" s="2116">
        <f t="shared" si="9"/>
        <v>1</v>
      </c>
      <c r="DF22" s="2116">
        <f t="shared" si="9"/>
        <v>0</v>
      </c>
      <c r="DG22" s="2116">
        <f t="shared" si="9"/>
        <v>0</v>
      </c>
      <c r="DH22" s="2116">
        <f t="shared" si="9"/>
        <v>0</v>
      </c>
      <c r="DI22" s="2116">
        <f t="shared" si="9"/>
        <v>0</v>
      </c>
      <c r="DJ22" s="2116">
        <f t="shared" si="9"/>
        <v>0</v>
      </c>
      <c r="DK22" s="2116">
        <f t="shared" si="9"/>
        <v>0</v>
      </c>
      <c r="DL22" s="2116">
        <f t="shared" si="9"/>
        <v>51</v>
      </c>
      <c r="DM22" s="2116">
        <f t="shared" si="9"/>
        <v>3</v>
      </c>
      <c r="DN22" s="2116">
        <f t="shared" si="9"/>
        <v>0</v>
      </c>
      <c r="DO22" s="2116">
        <f t="shared" si="9"/>
        <v>0</v>
      </c>
      <c r="DP22" s="2116">
        <f t="shared" si="9"/>
        <v>0</v>
      </c>
      <c r="DQ22" s="2116">
        <f t="shared" si="9"/>
        <v>0</v>
      </c>
      <c r="DR22" s="2116">
        <f t="shared" si="9"/>
        <v>0</v>
      </c>
      <c r="DS22" s="2116">
        <f t="shared" si="9"/>
        <v>0</v>
      </c>
      <c r="DT22" s="2116">
        <f t="shared" si="9"/>
        <v>0</v>
      </c>
      <c r="DU22" s="2116">
        <f t="shared" si="9"/>
        <v>0</v>
      </c>
      <c r="DV22" s="2116">
        <f t="shared" si="9"/>
        <v>0</v>
      </c>
      <c r="DW22" s="2116">
        <f t="shared" si="9"/>
        <v>0</v>
      </c>
      <c r="DX22" s="2116">
        <f t="shared" si="9"/>
        <v>0</v>
      </c>
      <c r="DY22" s="2116">
        <f t="shared" si="9"/>
        <v>0</v>
      </c>
      <c r="DZ22" s="2116">
        <f t="shared" si="9"/>
        <v>0</v>
      </c>
      <c r="EA22" s="2116">
        <f t="shared" si="9"/>
        <v>0</v>
      </c>
      <c r="EB22" s="2116">
        <f t="shared" si="9"/>
        <v>0</v>
      </c>
      <c r="EC22" s="2116">
        <f t="shared" si="9"/>
        <v>0</v>
      </c>
      <c r="ED22" s="2116">
        <f t="shared" si="9"/>
        <v>0</v>
      </c>
      <c r="EE22" s="2116">
        <f t="shared" ref="EE22:FJ22" si="10">+SUM(EE7:EE21)</f>
        <v>0</v>
      </c>
      <c r="EF22" s="2116">
        <f t="shared" si="10"/>
        <v>0</v>
      </c>
      <c r="EG22" s="2116">
        <f t="shared" si="10"/>
        <v>0</v>
      </c>
      <c r="EH22" s="2116">
        <f t="shared" si="10"/>
        <v>0</v>
      </c>
      <c r="EI22" s="2117">
        <f t="shared" si="10"/>
        <v>0</v>
      </c>
      <c r="EJ22" s="2116">
        <f t="shared" si="10"/>
        <v>0</v>
      </c>
      <c r="EK22" s="2116">
        <f t="shared" si="10"/>
        <v>0</v>
      </c>
      <c r="EL22" s="2116">
        <f t="shared" si="10"/>
        <v>0</v>
      </c>
      <c r="EM22" s="2116">
        <f t="shared" si="10"/>
        <v>0</v>
      </c>
      <c r="EN22" s="2116">
        <f t="shared" si="10"/>
        <v>0</v>
      </c>
      <c r="EO22" s="2116">
        <f t="shared" si="10"/>
        <v>0</v>
      </c>
      <c r="EP22" s="2116">
        <f t="shared" si="10"/>
        <v>0</v>
      </c>
      <c r="EQ22" s="2116">
        <f t="shared" si="10"/>
        <v>2</v>
      </c>
      <c r="ER22" s="2116">
        <f t="shared" si="10"/>
        <v>0</v>
      </c>
      <c r="ES22" s="2116">
        <f t="shared" si="10"/>
        <v>6</v>
      </c>
      <c r="ET22" s="2116">
        <f t="shared" si="10"/>
        <v>0</v>
      </c>
      <c r="EU22" s="2116">
        <f t="shared" si="10"/>
        <v>0</v>
      </c>
      <c r="EV22" s="2116">
        <f t="shared" si="10"/>
        <v>0</v>
      </c>
      <c r="EW22" s="2116">
        <f t="shared" si="10"/>
        <v>0</v>
      </c>
      <c r="EX22" s="2116">
        <f t="shared" si="10"/>
        <v>0</v>
      </c>
      <c r="EY22" s="2116">
        <f t="shared" si="10"/>
        <v>0</v>
      </c>
      <c r="EZ22" s="2116">
        <f t="shared" si="10"/>
        <v>0</v>
      </c>
      <c r="FA22" s="2116">
        <f t="shared" si="10"/>
        <v>0</v>
      </c>
      <c r="FB22" s="2116">
        <f t="shared" si="10"/>
        <v>0</v>
      </c>
      <c r="FC22" s="2116">
        <f t="shared" si="10"/>
        <v>0</v>
      </c>
      <c r="FD22" s="2116">
        <f t="shared" si="10"/>
        <v>0</v>
      </c>
      <c r="FE22" s="2116">
        <f t="shared" si="10"/>
        <v>0</v>
      </c>
      <c r="FF22" s="2116">
        <f t="shared" si="10"/>
        <v>0</v>
      </c>
      <c r="FG22" s="2116">
        <f t="shared" si="10"/>
        <v>0</v>
      </c>
      <c r="FH22" s="2116">
        <f t="shared" si="10"/>
        <v>0</v>
      </c>
      <c r="FI22" s="2116">
        <f t="shared" si="10"/>
        <v>0</v>
      </c>
      <c r="FJ22" s="2116">
        <f t="shared" si="10"/>
        <v>0</v>
      </c>
      <c r="FK22" s="2116">
        <f t="shared" ref="FK22:FL22" si="11">+SUM(FK7:FK21)</f>
        <v>0</v>
      </c>
      <c r="FL22" s="2118">
        <f t="shared" si="11"/>
        <v>0</v>
      </c>
      <c r="FM22" s="2119"/>
      <c r="FN22" s="2116">
        <f t="shared" ref="FN22:GU22" si="12">+SUM(FN7:FN21)</f>
        <v>0</v>
      </c>
      <c r="FO22" s="2116">
        <f t="shared" si="12"/>
        <v>616</v>
      </c>
      <c r="FP22" s="2116">
        <f t="shared" si="12"/>
        <v>0</v>
      </c>
      <c r="FQ22" s="2116">
        <f t="shared" si="12"/>
        <v>0</v>
      </c>
      <c r="FR22" s="2116">
        <f t="shared" si="12"/>
        <v>0</v>
      </c>
      <c r="FS22" s="2116">
        <f t="shared" si="12"/>
        <v>3</v>
      </c>
      <c r="FT22" s="2116">
        <f t="shared" si="12"/>
        <v>13</v>
      </c>
      <c r="FU22" s="2116">
        <f t="shared" si="12"/>
        <v>0</v>
      </c>
      <c r="FV22" s="2116">
        <f t="shared" si="12"/>
        <v>0</v>
      </c>
      <c r="FW22" s="2116">
        <f t="shared" si="12"/>
        <v>0</v>
      </c>
      <c r="FX22" s="2116">
        <f t="shared" si="12"/>
        <v>0</v>
      </c>
      <c r="FY22" s="2116">
        <f t="shared" si="12"/>
        <v>0</v>
      </c>
      <c r="FZ22" s="2116">
        <f t="shared" si="12"/>
        <v>0</v>
      </c>
      <c r="GA22" s="2116">
        <f t="shared" si="12"/>
        <v>0</v>
      </c>
      <c r="GB22" s="2116">
        <f t="shared" si="12"/>
        <v>0</v>
      </c>
      <c r="GC22" s="2116">
        <f t="shared" si="12"/>
        <v>0</v>
      </c>
      <c r="GD22" s="2116">
        <f t="shared" si="12"/>
        <v>0</v>
      </c>
      <c r="GE22" s="2116">
        <f t="shared" si="12"/>
        <v>0</v>
      </c>
      <c r="GF22" s="2116">
        <f t="shared" si="12"/>
        <v>0</v>
      </c>
      <c r="GG22" s="2116">
        <f t="shared" si="12"/>
        <v>0</v>
      </c>
      <c r="GH22" s="2116">
        <f t="shared" si="12"/>
        <v>0</v>
      </c>
      <c r="GI22" s="2116">
        <f t="shared" si="12"/>
        <v>1</v>
      </c>
      <c r="GJ22" s="2116">
        <f t="shared" si="12"/>
        <v>0</v>
      </c>
      <c r="GK22" s="2116">
        <f t="shared" si="12"/>
        <v>3</v>
      </c>
      <c r="GL22" s="2116">
        <f t="shared" si="12"/>
        <v>0</v>
      </c>
      <c r="GM22" s="2116">
        <f t="shared" si="12"/>
        <v>0</v>
      </c>
      <c r="GN22" s="2116">
        <f t="shared" si="12"/>
        <v>0</v>
      </c>
      <c r="GO22" s="2116">
        <f t="shared" si="12"/>
        <v>2</v>
      </c>
      <c r="GP22" s="2116">
        <f t="shared" si="12"/>
        <v>0</v>
      </c>
      <c r="GQ22" s="2116">
        <f t="shared" si="12"/>
        <v>0</v>
      </c>
      <c r="GR22" s="2116">
        <f t="shared" si="12"/>
        <v>0</v>
      </c>
      <c r="GS22" s="2116">
        <f t="shared" si="12"/>
        <v>0</v>
      </c>
      <c r="GT22" s="2116">
        <f t="shared" si="12"/>
        <v>0</v>
      </c>
      <c r="GU22" s="2116">
        <f t="shared" si="12"/>
        <v>0</v>
      </c>
      <c r="GV22" s="2120"/>
      <c r="GW22" s="2081"/>
      <c r="GX22" s="2081"/>
      <c r="GY22" s="2081"/>
      <c r="GZ22" s="2032"/>
      <c r="HA22" s="2032"/>
      <c r="HB22" s="2032"/>
      <c r="HC22" s="2032"/>
      <c r="HD22" s="2032"/>
      <c r="HE22" s="2032"/>
      <c r="HF22" s="2032"/>
      <c r="HG22" s="2081"/>
      <c r="HH22" s="2081"/>
      <c r="HI22" s="2081"/>
      <c r="HJ22" s="2081"/>
      <c r="HK22" s="2081"/>
      <c r="HL22" s="2081"/>
      <c r="HM22" s="2081"/>
      <c r="HN22" s="2081"/>
      <c r="HO22" s="2081"/>
      <c r="HP22" s="2081"/>
      <c r="HQ22" s="2081"/>
      <c r="HR22" s="2081"/>
      <c r="HS22" s="2081"/>
      <c r="HT22" s="2081"/>
      <c r="HU22" s="2081"/>
      <c r="HV22" s="2081"/>
      <c r="HW22" s="2081"/>
      <c r="HX22" s="2081"/>
      <c r="HY22" s="2081"/>
      <c r="HZ22" s="2081"/>
      <c r="IA22" s="2081"/>
      <c r="IB22" s="2081"/>
      <c r="IC22" s="2081"/>
      <c r="ID22" s="2081"/>
      <c r="IE22" s="2081"/>
      <c r="IF22" s="2081"/>
      <c r="IG22" s="2081"/>
      <c r="IH22" s="2081"/>
      <c r="II22" s="2081"/>
      <c r="IJ22" s="2081"/>
      <c r="IK22" s="2081"/>
      <c r="IL22" s="2081"/>
      <c r="IM22" s="2081"/>
      <c r="IN22" s="2081"/>
      <c r="IO22" s="2081"/>
      <c r="IP22" s="2081"/>
    </row>
    <row r="23" spans="1:250" s="2081" customFormat="1" ht="15.6">
      <c r="A23" s="2121"/>
      <c r="B23" s="2122"/>
      <c r="C23" s="2123"/>
      <c r="D23" s="2124"/>
      <c r="E23" s="2124"/>
      <c r="F23" s="2124"/>
      <c r="G23" s="2124"/>
      <c r="H23" s="2124"/>
      <c r="I23" s="2124"/>
      <c r="J23" s="2124"/>
      <c r="K23" s="2124"/>
      <c r="L23" s="2124"/>
      <c r="M23" s="2124"/>
      <c r="N23" s="2124"/>
      <c r="O23" s="2124"/>
      <c r="P23" s="2124"/>
      <c r="Q23" s="2124"/>
      <c r="R23" s="2124"/>
      <c r="S23" s="2124"/>
      <c r="T23" s="2124"/>
      <c r="U23" s="2124"/>
      <c r="V23" s="2124"/>
      <c r="W23" s="2124"/>
      <c r="X23" s="2124"/>
      <c r="Y23" s="2124"/>
      <c r="Z23" s="2124"/>
      <c r="AA23" s="2124"/>
      <c r="AB23" s="2124"/>
      <c r="AC23" s="2124"/>
      <c r="AD23" s="2124"/>
      <c r="AE23" s="2124"/>
      <c r="AF23" s="2124"/>
      <c r="AG23" s="2124"/>
      <c r="AH23" s="2124"/>
      <c r="AI23" s="2124"/>
      <c r="AJ23" s="2124"/>
      <c r="AK23" s="2124"/>
      <c r="AL23" s="2124"/>
      <c r="AM23" s="2124"/>
      <c r="AN23" s="2124"/>
      <c r="AO23" s="2124"/>
      <c r="AP23" s="2124"/>
      <c r="AQ23" s="2124"/>
      <c r="AR23" s="2124"/>
      <c r="AS23" s="2124"/>
      <c r="AT23" s="2124"/>
      <c r="AU23" s="2124"/>
      <c r="AV23" s="2124"/>
      <c r="AW23" s="2124"/>
      <c r="AX23" s="2124"/>
      <c r="AY23" s="2124"/>
      <c r="AZ23" s="2124"/>
      <c r="BA23" s="2124"/>
      <c r="BB23" s="2124"/>
      <c r="BC23" s="2124"/>
      <c r="BD23" s="2124"/>
      <c r="BE23" s="2124"/>
      <c r="BF23" s="2124"/>
      <c r="BG23" s="2124"/>
      <c r="BH23" s="2124"/>
      <c r="BI23" s="2124"/>
      <c r="BJ23" s="2124"/>
      <c r="BK23" s="2125"/>
      <c r="BL23" s="2125"/>
      <c r="BM23" s="2125"/>
      <c r="BN23" s="2125"/>
      <c r="BO23" s="2125"/>
      <c r="BP23" s="2125"/>
      <c r="BQ23" s="2125"/>
      <c r="BR23" s="2125"/>
      <c r="BS23" s="2125"/>
      <c r="BT23" s="2125"/>
      <c r="BU23" s="2125"/>
      <c r="BV23" s="2125"/>
      <c r="BW23" s="2125"/>
      <c r="BX23" s="2125"/>
      <c r="BY23" s="2125"/>
      <c r="BZ23" s="2125"/>
      <c r="CA23" s="2125"/>
      <c r="CB23" s="2125"/>
      <c r="CC23" s="2125"/>
      <c r="CD23" s="2125"/>
      <c r="CE23" s="2125"/>
      <c r="CF23" s="2125"/>
      <c r="CG23" s="2125"/>
      <c r="CH23" s="2125"/>
      <c r="CI23" s="2125"/>
      <c r="CJ23" s="2125"/>
      <c r="CK23" s="2125"/>
      <c r="CL23" s="2125"/>
      <c r="CM23" s="2125"/>
      <c r="CN23" s="2125"/>
      <c r="CO23" s="2125"/>
      <c r="CP23" s="2125"/>
      <c r="CQ23" s="2125"/>
      <c r="CR23" s="2125"/>
      <c r="CS23" s="2125"/>
      <c r="CT23" s="2125"/>
      <c r="CU23" s="2125"/>
      <c r="CV23" s="2125"/>
      <c r="CW23" s="2125"/>
      <c r="CX23" s="2125"/>
      <c r="CY23" s="2125"/>
      <c r="CZ23" s="2125"/>
      <c r="DA23" s="2125"/>
      <c r="DB23" s="2125"/>
      <c r="DC23" s="2125"/>
      <c r="DD23" s="2125"/>
      <c r="DE23" s="2125"/>
      <c r="DF23" s="2125"/>
      <c r="DG23" s="2125"/>
      <c r="DH23" s="2125"/>
      <c r="DI23" s="2125"/>
      <c r="DJ23" s="2124"/>
      <c r="DK23" s="2124"/>
      <c r="DL23" s="2124"/>
      <c r="DM23" s="2124"/>
      <c r="DN23" s="2124"/>
      <c r="DO23" s="2124"/>
      <c r="DP23" s="2124"/>
      <c r="DQ23" s="2124"/>
      <c r="DR23" s="2124"/>
      <c r="DS23" s="2124"/>
      <c r="DT23" s="2124"/>
      <c r="DU23" s="2124"/>
      <c r="DV23" s="2124"/>
      <c r="DW23" s="2124"/>
      <c r="DX23" s="2124"/>
      <c r="DY23" s="2124"/>
      <c r="DZ23" s="2124"/>
      <c r="EA23" s="2124"/>
      <c r="EB23" s="2124"/>
      <c r="EC23" s="2124"/>
      <c r="ED23" s="2124"/>
      <c r="EE23" s="2124"/>
      <c r="EF23" s="2124"/>
      <c r="EG23" s="2124"/>
      <c r="EH23" s="2124"/>
      <c r="EI23" s="2126"/>
      <c r="EJ23" s="2124"/>
      <c r="EK23" s="2124"/>
      <c r="EL23" s="2124"/>
      <c r="EM23" s="2124"/>
      <c r="EN23" s="2124"/>
      <c r="EO23" s="2124"/>
      <c r="EP23" s="2124"/>
      <c r="EQ23" s="2124"/>
      <c r="ER23" s="2124"/>
      <c r="ES23" s="2124"/>
      <c r="ET23" s="2124"/>
      <c r="EU23" s="2124"/>
      <c r="EV23" s="2124"/>
      <c r="EW23" s="2124"/>
      <c r="EX23" s="2124"/>
      <c r="EY23" s="2124"/>
      <c r="EZ23" s="2124"/>
      <c r="FA23" s="2124"/>
      <c r="FB23" s="2124"/>
      <c r="FC23" s="2124"/>
      <c r="FD23" s="2124"/>
      <c r="FE23" s="2124"/>
      <c r="FF23" s="2124"/>
      <c r="FG23" s="2124"/>
      <c r="FH23" s="2124"/>
      <c r="FI23" s="2124"/>
      <c r="FJ23" s="2124"/>
      <c r="FK23" s="2124"/>
      <c r="FL23" s="2124"/>
      <c r="FM23" s="2127"/>
      <c r="FN23" s="2124"/>
      <c r="FO23" s="2124"/>
      <c r="FP23" s="2124"/>
      <c r="FQ23" s="2124"/>
      <c r="FR23" s="2124"/>
      <c r="FS23" s="2124"/>
      <c r="FT23" s="2124"/>
      <c r="FU23" s="2124"/>
      <c r="FV23" s="2124"/>
      <c r="FW23" s="2124"/>
      <c r="FX23" s="2124"/>
      <c r="FY23" s="2124"/>
      <c r="FZ23" s="2124"/>
      <c r="GA23" s="2124"/>
      <c r="GB23" s="2124"/>
      <c r="GC23" s="2124"/>
      <c r="GD23" s="2124"/>
      <c r="GE23" s="2124"/>
      <c r="GF23" s="2124"/>
      <c r="GG23" s="2124"/>
      <c r="GH23" s="2124"/>
      <c r="GI23" s="2124"/>
      <c r="GJ23" s="2124"/>
      <c r="GK23" s="2124"/>
      <c r="GL23" s="2124"/>
      <c r="GM23" s="2124"/>
      <c r="GN23" s="2124"/>
      <c r="GO23" s="2124"/>
      <c r="GP23" s="2124"/>
      <c r="GQ23" s="2124"/>
      <c r="GR23" s="2124"/>
      <c r="GS23" s="2124"/>
      <c r="GT23" s="2124"/>
      <c r="GU23" s="2124"/>
      <c r="GV23" s="2128"/>
      <c r="GX23" s="2129"/>
      <c r="GY23" s="2129"/>
      <c r="GZ23" s="2032"/>
      <c r="HA23" s="2032"/>
      <c r="HB23" s="2032"/>
      <c r="HC23" s="2032"/>
      <c r="HD23" s="2032"/>
      <c r="HE23" s="2032"/>
      <c r="HF23" s="2032"/>
      <c r="HG23" s="2019"/>
      <c r="HH23" s="2019"/>
      <c r="HI23" s="2019"/>
      <c r="HJ23" s="2019"/>
      <c r="HK23" s="2019"/>
      <c r="HL23" s="2019"/>
      <c r="HM23" s="2019"/>
      <c r="HN23" s="2019"/>
      <c r="HO23" s="2019"/>
      <c r="HP23" s="2019"/>
      <c r="HQ23" s="2019"/>
      <c r="HR23" s="2019"/>
      <c r="HS23" s="2019"/>
      <c r="HT23" s="2019"/>
      <c r="HU23" s="2019"/>
      <c r="HV23" s="2019"/>
      <c r="HW23" s="2019"/>
      <c r="HX23" s="2019"/>
      <c r="HY23" s="2019"/>
      <c r="HZ23" s="2019"/>
      <c r="IA23" s="2019"/>
      <c r="IB23" s="2019"/>
      <c r="IC23" s="2019"/>
      <c r="ID23" s="2019"/>
      <c r="IE23" s="2019"/>
      <c r="IF23" s="2019"/>
      <c r="IG23" s="2019"/>
      <c r="IH23" s="2019"/>
      <c r="II23" s="2019"/>
      <c r="IJ23" s="2019"/>
      <c r="IK23" s="2019"/>
      <c r="IL23" s="2019"/>
      <c r="IM23" s="2019"/>
      <c r="IN23" s="2019"/>
      <c r="IO23" s="2019"/>
      <c r="IP23" s="2019"/>
    </row>
    <row r="24" spans="1:250" s="2134" customFormat="1" ht="16.2" thickBot="1">
      <c r="A24" s="2130"/>
      <c r="B24" s="2131"/>
      <c r="C24" s="2131"/>
      <c r="D24" s="2131"/>
      <c r="E24" s="2131"/>
      <c r="F24" s="2131"/>
      <c r="G24" s="2131"/>
      <c r="H24" s="2131"/>
      <c r="I24" s="2131"/>
      <c r="J24" s="2131"/>
      <c r="K24" s="2131"/>
      <c r="L24" s="2131"/>
      <c r="M24" s="2131"/>
      <c r="N24" s="2131"/>
      <c r="O24" s="2131"/>
      <c r="P24" s="2131"/>
      <c r="Q24" s="2131"/>
      <c r="R24" s="2131"/>
      <c r="S24" s="2131"/>
      <c r="T24" s="2131"/>
      <c r="U24" s="2131"/>
      <c r="V24" s="2131"/>
      <c r="W24" s="2131"/>
      <c r="X24" s="2131"/>
      <c r="Y24" s="2131"/>
      <c r="Z24" s="2131"/>
      <c r="AA24" s="2131"/>
      <c r="AB24" s="2131"/>
      <c r="AC24" s="2131"/>
      <c r="AD24" s="2131"/>
      <c r="AE24" s="2131"/>
      <c r="AF24" s="2131"/>
      <c r="AG24" s="2131"/>
      <c r="AH24" s="2131"/>
      <c r="AI24" s="2131"/>
      <c r="AJ24" s="2131"/>
      <c r="AK24" s="2131"/>
      <c r="AL24" s="2131"/>
      <c r="AM24" s="2131"/>
      <c r="AN24" s="2131"/>
      <c r="AO24" s="2131"/>
      <c r="AP24" s="2131"/>
      <c r="AQ24" s="2131"/>
      <c r="AR24" s="2131"/>
      <c r="AS24" s="2131"/>
      <c r="AT24" s="2131"/>
      <c r="AU24" s="2131"/>
      <c r="AV24" s="2131"/>
      <c r="AW24" s="2131"/>
      <c r="AX24" s="2131"/>
      <c r="AY24" s="2131"/>
      <c r="AZ24" s="2131"/>
      <c r="BA24" s="2131"/>
      <c r="BB24" s="2131"/>
      <c r="BC24" s="2131"/>
      <c r="BD24" s="2131"/>
      <c r="BE24" s="2131"/>
      <c r="BF24" s="2131"/>
      <c r="BG24" s="2131"/>
      <c r="BH24" s="2131"/>
      <c r="BI24" s="2131"/>
      <c r="BJ24" s="2131"/>
      <c r="BK24" s="2131"/>
      <c r="BL24" s="2131"/>
      <c r="BM24" s="2131"/>
      <c r="BN24" s="2131"/>
      <c r="BO24" s="2131"/>
      <c r="BP24" s="2131"/>
      <c r="BQ24" s="2131"/>
      <c r="BR24" s="2131"/>
      <c r="BS24" s="2131"/>
      <c r="BT24" s="2131"/>
      <c r="BU24" s="2131"/>
      <c r="BV24" s="2131"/>
      <c r="BW24" s="2131"/>
      <c r="BX24" s="2131"/>
      <c r="BY24" s="2131"/>
      <c r="BZ24" s="2131"/>
      <c r="CA24" s="2131"/>
      <c r="CB24" s="2131"/>
      <c r="CC24" s="2131"/>
      <c r="CD24" s="2131"/>
      <c r="CE24" s="2131"/>
      <c r="CF24" s="2131"/>
      <c r="CG24" s="2131"/>
      <c r="CH24" s="2131"/>
      <c r="CI24" s="2131"/>
      <c r="CJ24" s="2131"/>
      <c r="CK24" s="2131"/>
      <c r="CL24" s="2131"/>
      <c r="CM24" s="2131"/>
      <c r="CN24" s="2131"/>
      <c r="CO24" s="2131"/>
      <c r="CP24" s="2131"/>
      <c r="CQ24" s="2131"/>
      <c r="CR24" s="2131"/>
      <c r="CS24" s="2131"/>
      <c r="CT24" s="2131"/>
      <c r="CU24" s="2131"/>
      <c r="CV24" s="2131"/>
      <c r="CW24" s="2131"/>
      <c r="CX24" s="2131"/>
      <c r="CY24" s="2131"/>
      <c r="CZ24" s="2131"/>
      <c r="DA24" s="2131"/>
      <c r="DB24" s="2131"/>
      <c r="DC24" s="2131"/>
      <c r="DD24" s="2131"/>
      <c r="DE24" s="2131"/>
      <c r="DF24" s="2131"/>
      <c r="DG24" s="2131"/>
      <c r="DH24" s="2131"/>
      <c r="DI24" s="2131"/>
      <c r="DJ24" s="2131"/>
      <c r="DK24" s="2131"/>
      <c r="DL24" s="2131"/>
      <c r="DM24" s="2131"/>
      <c r="DN24" s="2131"/>
      <c r="DO24" s="2131"/>
      <c r="DP24" s="2131"/>
      <c r="DQ24" s="2131"/>
      <c r="DR24" s="2131"/>
      <c r="DS24" s="2131"/>
      <c r="DT24" s="2131"/>
      <c r="DU24" s="2131"/>
      <c r="DV24" s="2131"/>
      <c r="DW24" s="2131"/>
      <c r="DX24" s="2131"/>
      <c r="DY24" s="2131"/>
      <c r="DZ24" s="2131"/>
      <c r="EA24" s="2131"/>
      <c r="EB24" s="2131"/>
      <c r="EC24" s="2131"/>
      <c r="ED24" s="2131"/>
      <c r="EE24" s="2131"/>
      <c r="EF24" s="2131"/>
      <c r="EG24" s="2131"/>
      <c r="EH24" s="2131"/>
      <c r="EI24" s="2131"/>
      <c r="EJ24" s="2131"/>
      <c r="EK24" s="2131"/>
      <c r="EL24" s="2131"/>
      <c r="EM24" s="2131"/>
      <c r="EN24" s="2131"/>
      <c r="EO24" s="2131"/>
      <c r="EP24" s="2131"/>
      <c r="EQ24" s="2131"/>
      <c r="ER24" s="2131"/>
      <c r="ES24" s="2131"/>
      <c r="ET24" s="2131"/>
      <c r="EU24" s="2131"/>
      <c r="EV24" s="2131"/>
      <c r="EW24" s="2131"/>
      <c r="EX24" s="2131"/>
      <c r="EY24" s="2131"/>
      <c r="EZ24" s="2131"/>
      <c r="FA24" s="2131"/>
      <c r="FB24" s="2131"/>
      <c r="FC24" s="2131"/>
      <c r="FD24" s="2131"/>
      <c r="FE24" s="2131"/>
      <c r="FF24" s="2131"/>
      <c r="FG24" s="2131"/>
      <c r="FH24" s="2131"/>
      <c r="FI24" s="2131"/>
      <c r="FJ24" s="2131"/>
      <c r="FK24" s="2131"/>
      <c r="FL24" s="2131"/>
      <c r="FM24" s="2131"/>
      <c r="FN24" s="2131"/>
      <c r="FO24" s="2131"/>
      <c r="FP24" s="2131"/>
      <c r="FQ24" s="2131"/>
      <c r="FR24" s="2131"/>
      <c r="FS24" s="2131"/>
      <c r="FT24" s="2131"/>
      <c r="FU24" s="2131"/>
      <c r="FV24" s="2131"/>
      <c r="FW24" s="2131"/>
      <c r="FX24" s="2131"/>
      <c r="FY24" s="2131"/>
      <c r="FZ24" s="2131"/>
      <c r="GA24" s="2131"/>
      <c r="GB24" s="2131"/>
      <c r="GC24" s="2131"/>
      <c r="GD24" s="2131"/>
      <c r="GE24" s="2131"/>
      <c r="GF24" s="2131"/>
      <c r="GG24" s="2131"/>
      <c r="GH24" s="2131"/>
      <c r="GI24" s="2131"/>
      <c r="GJ24" s="2131"/>
      <c r="GK24" s="2131"/>
      <c r="GL24" s="2131"/>
      <c r="GM24" s="2131"/>
      <c r="GN24" s="2131"/>
      <c r="GO24" s="2131"/>
      <c r="GP24" s="2131"/>
      <c r="GQ24" s="2131"/>
      <c r="GR24" s="2131"/>
      <c r="GS24" s="2131"/>
      <c r="GT24" s="2131"/>
      <c r="GU24" s="2131"/>
      <c r="GV24" s="2132"/>
      <c r="GW24" s="2133"/>
      <c r="GX24" s="467"/>
      <c r="GY24" s="2133"/>
      <c r="GZ24" s="2032"/>
      <c r="HA24" s="2032"/>
      <c r="HB24" s="2032"/>
      <c r="HC24" s="2032"/>
      <c r="HD24" s="2032"/>
      <c r="HE24" s="2032"/>
      <c r="HF24" s="2032"/>
      <c r="HG24" s="2081"/>
      <c r="HH24" s="2081"/>
      <c r="HI24" s="2081"/>
      <c r="HJ24" s="2081"/>
      <c r="HK24" s="2081"/>
      <c r="HL24" s="2081"/>
      <c r="HM24" s="2081"/>
      <c r="HN24" s="2081"/>
      <c r="HO24" s="2081"/>
      <c r="HP24" s="2081"/>
      <c r="HQ24" s="2081"/>
      <c r="HR24" s="2081"/>
      <c r="HS24" s="2081"/>
      <c r="HT24" s="2081"/>
      <c r="HU24" s="2081"/>
      <c r="HV24" s="2081"/>
      <c r="HW24" s="2081"/>
      <c r="HX24" s="2081"/>
      <c r="HY24" s="2081"/>
      <c r="HZ24" s="2081"/>
      <c r="IA24" s="2081"/>
      <c r="IB24" s="2081"/>
      <c r="IC24" s="2081"/>
      <c r="ID24" s="2081"/>
      <c r="IE24" s="2081"/>
      <c r="IF24" s="2081"/>
      <c r="IG24" s="2081"/>
      <c r="IH24" s="2081"/>
      <c r="II24" s="2081"/>
      <c r="IJ24" s="2081"/>
      <c r="IK24" s="2081"/>
      <c r="IL24" s="2081"/>
      <c r="IM24" s="2081"/>
      <c r="IN24" s="2081"/>
      <c r="IO24" s="2081"/>
      <c r="IP24" s="2081"/>
    </row>
    <row r="25" spans="1:250" ht="16.2" thickTop="1">
      <c r="A25" s="2135"/>
      <c r="B25" s="2135"/>
      <c r="C25" s="2136"/>
      <c r="D25" s="468"/>
      <c r="E25" s="469"/>
      <c r="F25" s="469"/>
      <c r="G25" s="470"/>
      <c r="H25" s="470"/>
      <c r="I25" s="470"/>
      <c r="J25" s="470"/>
      <c r="K25" s="470"/>
      <c r="L25" s="470"/>
      <c r="M25" s="470"/>
      <c r="N25" s="468"/>
      <c r="O25" s="468"/>
      <c r="P25" s="468"/>
      <c r="Q25" s="468"/>
      <c r="R25" s="468"/>
      <c r="S25" s="468"/>
      <c r="T25" s="468"/>
      <c r="U25" s="468"/>
      <c r="V25" s="468"/>
      <c r="W25" s="468"/>
      <c r="X25" s="468"/>
      <c r="Y25" s="468"/>
      <c r="Z25" s="468"/>
      <c r="AA25" s="468"/>
      <c r="AB25" s="468"/>
      <c r="AC25" s="468"/>
      <c r="AD25" s="468"/>
      <c r="AE25" s="468"/>
      <c r="AF25" s="468"/>
      <c r="AG25" s="468"/>
      <c r="AH25" s="468"/>
      <c r="AI25" s="468"/>
      <c r="AJ25" s="468"/>
      <c r="AK25" s="468"/>
      <c r="AL25" s="468"/>
      <c r="AM25" s="468"/>
      <c r="AN25" s="468"/>
      <c r="AO25" s="468"/>
      <c r="AP25" s="468"/>
      <c r="AQ25" s="468"/>
      <c r="AR25" s="468"/>
      <c r="AS25" s="468"/>
      <c r="AT25" s="468"/>
      <c r="AU25" s="468"/>
      <c r="AV25" s="468"/>
      <c r="AW25" s="468"/>
      <c r="AX25" s="468"/>
      <c r="AY25" s="468"/>
      <c r="AZ25" s="2135"/>
      <c r="BA25" s="2135"/>
      <c r="BB25" s="2135"/>
      <c r="BC25" s="2135"/>
      <c r="BD25" s="2135"/>
      <c r="BE25" s="2135"/>
      <c r="BF25" s="2135"/>
      <c r="BG25" s="2135"/>
      <c r="BH25" s="2135"/>
      <c r="BI25" s="2135"/>
      <c r="BJ25" s="2135"/>
      <c r="BK25" s="2135"/>
      <c r="BL25" s="2135"/>
      <c r="BM25" s="468"/>
      <c r="BN25" s="468"/>
      <c r="BO25" s="468"/>
      <c r="BP25" s="468"/>
      <c r="BQ25" s="468"/>
      <c r="BR25" s="468"/>
      <c r="BS25" s="468"/>
      <c r="BT25" s="468"/>
      <c r="BU25" s="468"/>
      <c r="BV25" s="468"/>
      <c r="BW25" s="468"/>
      <c r="BX25" s="468"/>
      <c r="BY25" s="2135"/>
      <c r="BZ25" s="2135"/>
      <c r="CA25" s="2135"/>
      <c r="CB25" s="2135"/>
      <c r="CC25" s="2135"/>
      <c r="CD25" s="2135"/>
      <c r="CE25" s="2135"/>
      <c r="CF25" s="2135"/>
      <c r="CG25" s="2135"/>
      <c r="CH25" s="468"/>
      <c r="CI25" s="468"/>
      <c r="CJ25" s="468"/>
      <c r="CK25" s="468"/>
      <c r="CL25" s="468"/>
      <c r="CM25" s="468"/>
      <c r="CN25" s="468"/>
      <c r="CO25" s="468"/>
      <c r="CP25" s="468"/>
      <c r="CQ25" s="468"/>
      <c r="CR25" s="468"/>
      <c r="CS25" s="468"/>
      <c r="CT25" s="468"/>
      <c r="CV25" s="468"/>
      <c r="CW25" s="468"/>
      <c r="CX25" s="468"/>
      <c r="CY25" s="468"/>
      <c r="CZ25" s="468"/>
      <c r="DA25" s="468"/>
      <c r="DC25" s="468"/>
      <c r="DD25" s="468"/>
      <c r="DE25" s="468"/>
      <c r="DF25" s="468"/>
      <c r="DG25" s="468"/>
      <c r="DH25" s="468"/>
      <c r="DI25" s="468"/>
      <c r="DJ25" s="2135"/>
      <c r="DK25" s="2135"/>
      <c r="DL25" s="2135"/>
      <c r="DM25" s="2135"/>
      <c r="DN25" s="2135"/>
      <c r="DO25" s="2135"/>
      <c r="DP25" s="2135"/>
      <c r="DQ25" s="2135"/>
      <c r="DR25" s="2135"/>
      <c r="DS25" s="2135"/>
      <c r="DT25" s="2135"/>
      <c r="DU25" s="2135"/>
      <c r="DV25" s="2135"/>
      <c r="DW25" s="2135"/>
      <c r="DX25" s="2135"/>
      <c r="DY25" s="468"/>
      <c r="DZ25" s="468"/>
      <c r="EA25" s="468"/>
      <c r="EB25" s="468"/>
      <c r="EC25" s="468"/>
      <c r="ED25" s="468"/>
      <c r="EE25" s="468"/>
      <c r="EF25" s="2135"/>
      <c r="EG25" s="2135"/>
      <c r="EH25" s="2135"/>
      <c r="EI25" s="471"/>
      <c r="EJ25" s="468"/>
      <c r="EK25" s="468"/>
      <c r="EL25" s="468"/>
      <c r="EM25" s="468"/>
      <c r="EN25" s="468"/>
      <c r="EO25" s="468"/>
      <c r="EP25" s="468"/>
      <c r="EQ25" s="468"/>
      <c r="ER25" s="468"/>
      <c r="ES25" s="468"/>
      <c r="ET25" s="468"/>
      <c r="EU25" s="468"/>
      <c r="EV25" s="468"/>
      <c r="EW25" s="468"/>
      <c r="EX25" s="468"/>
      <c r="EY25" s="468"/>
      <c r="EZ25" s="468"/>
      <c r="FA25" s="468"/>
      <c r="FB25" s="468"/>
      <c r="FC25" s="468"/>
      <c r="FD25" s="468"/>
      <c r="FE25" s="468"/>
      <c r="FF25" s="468"/>
      <c r="FG25" s="468"/>
      <c r="FH25" s="468"/>
      <c r="FI25" s="468"/>
      <c r="FJ25" s="468"/>
      <c r="FK25" s="468"/>
      <c r="FL25" s="468"/>
      <c r="FM25" s="2137"/>
      <c r="FN25" s="468"/>
      <c r="FO25" s="468"/>
      <c r="FP25" s="468"/>
      <c r="FQ25" s="468"/>
      <c r="FR25" s="468"/>
      <c r="FS25" s="468"/>
      <c r="FT25" s="468"/>
      <c r="FU25" s="468"/>
      <c r="FV25" s="468"/>
      <c r="FW25" s="468"/>
      <c r="FX25" s="468"/>
      <c r="FY25" s="468"/>
      <c r="FZ25" s="468"/>
      <c r="GA25" s="468"/>
      <c r="GB25" s="468"/>
      <c r="GC25" s="468"/>
      <c r="GD25" s="468"/>
      <c r="GE25" s="468"/>
      <c r="GF25" s="468"/>
      <c r="GG25" s="468"/>
      <c r="GH25" s="468"/>
      <c r="GI25" s="468"/>
      <c r="GJ25" s="468"/>
      <c r="GK25" s="468"/>
      <c r="GL25" s="468"/>
      <c r="GM25" s="468"/>
      <c r="GN25" s="468"/>
      <c r="GO25" s="468"/>
      <c r="GP25" s="468"/>
      <c r="GQ25" s="468"/>
      <c r="GR25" s="468"/>
      <c r="GS25" s="468"/>
      <c r="GT25" s="468"/>
      <c r="GU25" s="2135"/>
      <c r="GX25" s="2138"/>
      <c r="GY25" s="2138"/>
      <c r="GZ25" s="2032"/>
      <c r="HA25" s="2032"/>
      <c r="HB25" s="2032"/>
      <c r="HC25" s="2032"/>
      <c r="HD25" s="2032"/>
      <c r="HE25" s="2032"/>
      <c r="HF25" s="2032"/>
    </row>
    <row r="26" spans="1:250" ht="15.6" outlineLevel="1">
      <c r="A26" s="2139"/>
      <c r="B26" s="2135"/>
      <c r="C26" s="2140"/>
      <c r="D26" s="468"/>
      <c r="E26" s="2139"/>
      <c r="F26" s="2139"/>
      <c r="G26" s="470"/>
      <c r="H26" s="470"/>
      <c r="I26" s="470"/>
      <c r="J26" s="470"/>
      <c r="K26" s="470"/>
      <c r="L26" s="470"/>
      <c r="M26" s="470"/>
      <c r="N26" s="468"/>
      <c r="O26" s="468"/>
      <c r="P26" s="468"/>
      <c r="Q26" s="468"/>
      <c r="R26" s="468"/>
      <c r="S26" s="468"/>
      <c r="T26" s="468"/>
      <c r="U26" s="468"/>
      <c r="V26" s="468"/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468"/>
      <c r="AI26" s="468"/>
      <c r="AJ26" s="468"/>
      <c r="AK26" s="468"/>
      <c r="AL26" s="468"/>
      <c r="AM26" s="468"/>
      <c r="AN26" s="468"/>
      <c r="AO26" s="468"/>
      <c r="AP26" s="468"/>
      <c r="AQ26" s="468"/>
      <c r="AR26" s="468"/>
      <c r="AS26" s="468"/>
      <c r="AT26" s="468"/>
      <c r="AU26" s="468"/>
      <c r="AV26" s="468"/>
      <c r="AW26" s="468"/>
      <c r="AX26" s="468"/>
      <c r="AY26" s="468"/>
      <c r="AZ26" s="2135"/>
      <c r="BA26" s="2135"/>
      <c r="BB26" s="2135"/>
      <c r="BC26" s="2135"/>
      <c r="BD26" s="2135"/>
      <c r="BE26" s="2135"/>
      <c r="BF26" s="2135"/>
      <c r="BG26" s="2135"/>
      <c r="BH26" s="2135"/>
      <c r="BI26" s="2135"/>
      <c r="BJ26" s="2135"/>
      <c r="BK26" s="2135"/>
      <c r="BL26" s="2135"/>
      <c r="BM26" s="468"/>
      <c r="BN26" s="468"/>
      <c r="BO26" s="468"/>
      <c r="BP26" s="468"/>
      <c r="BQ26" s="468"/>
      <c r="BR26" s="468"/>
      <c r="BS26" s="468"/>
      <c r="BT26" s="468"/>
      <c r="BU26" s="468"/>
      <c r="BV26" s="468"/>
      <c r="BW26" s="468"/>
      <c r="BX26" s="468"/>
      <c r="BY26" s="2135"/>
      <c r="BZ26" s="2135"/>
      <c r="CA26" s="2135"/>
      <c r="CB26" s="2135"/>
      <c r="CC26" s="2135"/>
      <c r="CD26" s="2135"/>
      <c r="CE26" s="2135"/>
      <c r="CF26" s="2135"/>
      <c r="CG26" s="2135"/>
      <c r="CH26" s="468"/>
      <c r="CI26" s="468"/>
      <c r="CJ26" s="468"/>
      <c r="CK26" s="468"/>
      <c r="CL26" s="468"/>
      <c r="CM26" s="468"/>
      <c r="CN26" s="468"/>
      <c r="CO26" s="468"/>
      <c r="CP26" s="468"/>
      <c r="CQ26" s="468"/>
      <c r="CR26" s="468"/>
      <c r="CS26" s="468"/>
      <c r="CT26" s="468"/>
      <c r="CU26" s="468"/>
      <c r="CV26" s="468"/>
      <c r="CW26" s="468"/>
      <c r="CX26" s="468"/>
      <c r="CY26" s="468"/>
      <c r="CZ26" s="468"/>
      <c r="DA26" s="468"/>
      <c r="DB26" s="468"/>
      <c r="DC26" s="468"/>
      <c r="DD26" s="468"/>
      <c r="DE26" s="468"/>
      <c r="DF26" s="468"/>
      <c r="DG26" s="468"/>
      <c r="DH26" s="468"/>
      <c r="DI26" s="468"/>
      <c r="DJ26" s="2135"/>
      <c r="DK26" s="2135"/>
      <c r="DL26" s="2135"/>
      <c r="DM26" s="2135"/>
      <c r="DN26" s="2135"/>
      <c r="DO26" s="2135"/>
      <c r="DP26" s="2135"/>
      <c r="DQ26" s="2135"/>
      <c r="DR26" s="2135"/>
      <c r="DS26" s="2135"/>
      <c r="DT26" s="2135"/>
      <c r="DU26" s="2135"/>
      <c r="DV26" s="2135"/>
      <c r="DW26" s="2135"/>
      <c r="DX26" s="2135"/>
      <c r="DY26" s="468"/>
      <c r="DZ26" s="468"/>
      <c r="EA26" s="468"/>
      <c r="EB26" s="468"/>
      <c r="EC26" s="468"/>
      <c r="ED26" s="468"/>
      <c r="EE26" s="468"/>
      <c r="EF26" s="2135"/>
      <c r="EG26" s="2135"/>
      <c r="EH26" s="2135"/>
      <c r="EI26" s="471"/>
      <c r="EJ26" s="468"/>
      <c r="EK26" s="468"/>
      <c r="EL26" s="468"/>
      <c r="EM26" s="468"/>
      <c r="EN26" s="468"/>
      <c r="EO26" s="468"/>
      <c r="EP26" s="468"/>
      <c r="EQ26" s="468"/>
      <c r="ER26" s="468"/>
      <c r="ES26" s="468"/>
      <c r="ET26" s="468"/>
      <c r="EU26" s="468"/>
      <c r="EV26" s="468"/>
      <c r="EW26" s="468"/>
      <c r="EX26" s="468"/>
      <c r="EY26" s="468"/>
      <c r="EZ26" s="468"/>
      <c r="FA26" s="468"/>
      <c r="FB26" s="468"/>
      <c r="FC26" s="468"/>
      <c r="FD26" s="468"/>
      <c r="FE26" s="468"/>
      <c r="FF26" s="468"/>
      <c r="FG26" s="468"/>
      <c r="FH26" s="468"/>
      <c r="FI26" s="468"/>
      <c r="FJ26" s="468"/>
      <c r="FK26" s="468"/>
      <c r="FL26" s="468"/>
      <c r="FM26" s="2137"/>
      <c r="FN26" s="468"/>
      <c r="FO26" s="468"/>
      <c r="FP26" s="468"/>
      <c r="FQ26" s="468"/>
      <c r="FR26" s="468"/>
      <c r="FS26" s="468"/>
      <c r="FT26" s="468"/>
      <c r="FU26" s="468"/>
      <c r="FV26" s="468"/>
      <c r="FW26" s="468"/>
      <c r="FX26" s="468"/>
      <c r="FY26" s="468"/>
      <c r="FZ26" s="468"/>
      <c r="GA26" s="468"/>
      <c r="GB26" s="468"/>
      <c r="GC26" s="468"/>
      <c r="GD26" s="468"/>
      <c r="GE26" s="468"/>
      <c r="GF26" s="468"/>
      <c r="GG26" s="468"/>
      <c r="GH26" s="468"/>
      <c r="GI26" s="468"/>
      <c r="GJ26" s="468"/>
      <c r="GK26" s="468"/>
      <c r="GL26" s="468"/>
      <c r="GM26" s="468"/>
      <c r="GN26" s="468"/>
      <c r="GO26" s="468"/>
      <c r="GP26" s="468"/>
      <c r="GQ26" s="468"/>
      <c r="GR26" s="468"/>
      <c r="GS26" s="468"/>
      <c r="GT26" s="468"/>
      <c r="GU26" s="2135"/>
      <c r="GZ26" s="2032"/>
      <c r="HA26" s="2032"/>
      <c r="HB26" s="2032"/>
      <c r="HC26" s="2032"/>
      <c r="HD26" s="2032"/>
      <c r="HE26" s="2032"/>
      <c r="HF26" s="2032"/>
    </row>
    <row r="27" spans="1:250" ht="15.6" outlineLevel="1">
      <c r="A27" s="2141" t="s">
        <v>190</v>
      </c>
      <c r="B27" s="2142"/>
      <c r="C27" s="472"/>
      <c r="D27" s="2143"/>
      <c r="E27" s="2139"/>
      <c r="F27" s="2139"/>
      <c r="G27" s="470"/>
      <c r="H27" s="470"/>
      <c r="I27" s="470"/>
      <c r="J27" s="470"/>
      <c r="K27" s="470"/>
      <c r="L27" s="470"/>
      <c r="M27" s="470"/>
      <c r="N27" s="468"/>
      <c r="O27" s="468"/>
      <c r="P27" s="468"/>
      <c r="Q27" s="468"/>
      <c r="R27" s="468"/>
      <c r="S27" s="468"/>
      <c r="T27" s="468"/>
      <c r="U27" s="468"/>
      <c r="V27" s="468"/>
      <c r="W27" s="468"/>
      <c r="X27" s="2488"/>
      <c r="Y27" s="2488"/>
      <c r="Z27" s="468"/>
      <c r="AA27" s="468"/>
      <c r="AB27" s="468"/>
      <c r="AC27" s="468"/>
      <c r="AD27" s="468"/>
      <c r="AE27" s="468"/>
      <c r="AF27" s="468"/>
      <c r="AG27" s="468"/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2135"/>
      <c r="BA27" s="2135"/>
      <c r="BB27" s="2135"/>
      <c r="BC27" s="2135"/>
      <c r="BD27" s="2135"/>
      <c r="BE27" s="2135"/>
      <c r="BF27" s="2135"/>
      <c r="BG27" s="2135"/>
      <c r="BH27" s="2135"/>
      <c r="BI27" s="2135"/>
      <c r="BJ27" s="2135"/>
      <c r="BK27" s="2135"/>
      <c r="BL27" s="2135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2135"/>
      <c r="BZ27" s="2135"/>
      <c r="CA27" s="2135"/>
      <c r="CB27" s="2135"/>
      <c r="CC27" s="2135"/>
      <c r="CD27" s="2135"/>
      <c r="CE27" s="2135"/>
      <c r="CF27" s="2135"/>
      <c r="CG27" s="2135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/>
      <c r="DJ27" s="2135"/>
      <c r="DK27" s="2135"/>
      <c r="DL27" s="2135"/>
      <c r="DM27" s="2135"/>
      <c r="DN27" s="2135"/>
      <c r="DO27" s="2135"/>
      <c r="DP27" s="2135"/>
      <c r="DQ27" s="2135"/>
      <c r="DR27" s="2135"/>
      <c r="DS27" s="2135"/>
      <c r="DT27" s="2135"/>
      <c r="DU27" s="2135"/>
      <c r="DV27" s="2135"/>
      <c r="DW27" s="2135"/>
      <c r="DX27" s="2135"/>
      <c r="DY27" s="468"/>
      <c r="DZ27" s="468"/>
      <c r="EA27" s="468"/>
      <c r="EB27" s="468"/>
      <c r="EC27" s="468"/>
      <c r="ED27" s="468"/>
      <c r="EE27" s="468"/>
      <c r="EF27" s="2135"/>
      <c r="EG27" s="2135"/>
      <c r="EH27" s="2135"/>
      <c r="EI27" s="471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2137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2135"/>
      <c r="GZ27" s="2032"/>
      <c r="HA27" s="2032"/>
      <c r="HB27" s="2032"/>
      <c r="HC27" s="2032"/>
      <c r="HD27" s="2032"/>
      <c r="HE27" s="2032"/>
      <c r="HF27" s="2032"/>
    </row>
    <row r="28" spans="1:250" ht="15.6" outlineLevel="1">
      <c r="A28" s="2141" t="s">
        <v>191</v>
      </c>
      <c r="B28" s="2142">
        <f>+C24*3</f>
        <v>0</v>
      </c>
      <c r="C28" s="472"/>
      <c r="D28" s="2143"/>
      <c r="E28" s="2139"/>
      <c r="F28" s="2139"/>
      <c r="G28" s="470"/>
      <c r="H28" s="470"/>
      <c r="I28" s="470"/>
      <c r="J28" s="470"/>
      <c r="K28" s="470"/>
      <c r="L28" s="470"/>
      <c r="M28" s="470"/>
      <c r="N28" s="468"/>
      <c r="O28" s="468"/>
      <c r="P28" s="468"/>
      <c r="Q28" s="468"/>
      <c r="R28" s="468"/>
      <c r="S28" s="468"/>
      <c r="T28" s="468"/>
      <c r="U28" s="468"/>
      <c r="V28" s="468"/>
      <c r="W28" s="468"/>
      <c r="X28" s="468"/>
      <c r="Y28" s="468"/>
      <c r="Z28" s="468"/>
      <c r="AA28" s="468"/>
      <c r="AB28" s="468"/>
      <c r="AC28" s="468"/>
      <c r="AD28" s="468"/>
      <c r="AE28" s="468"/>
      <c r="AF28" s="468"/>
      <c r="AG28" s="468"/>
      <c r="AH28" s="468"/>
      <c r="AI28" s="468"/>
      <c r="AJ28" s="468"/>
      <c r="AK28" s="468"/>
      <c r="AL28" s="468"/>
      <c r="AM28" s="468"/>
      <c r="AN28" s="468"/>
      <c r="AO28" s="468"/>
      <c r="AP28" s="468"/>
      <c r="AQ28" s="468"/>
      <c r="AR28" s="468"/>
      <c r="AS28" s="468"/>
      <c r="AT28" s="468"/>
      <c r="AU28" s="468"/>
      <c r="AV28" s="468"/>
      <c r="AW28" s="468"/>
      <c r="AX28" s="468"/>
      <c r="AY28" s="468"/>
      <c r="AZ28" s="2135"/>
      <c r="BA28" s="2135"/>
      <c r="BB28" s="2135"/>
      <c r="BC28" s="2135"/>
      <c r="BD28" s="2135"/>
      <c r="BE28" s="2135"/>
      <c r="BF28" s="2135"/>
      <c r="BG28" s="2135"/>
      <c r="BH28" s="2135"/>
      <c r="BI28" s="2135"/>
      <c r="BJ28" s="2135"/>
      <c r="BK28" s="2135"/>
      <c r="BL28" s="2135"/>
      <c r="BM28" s="468"/>
      <c r="BN28" s="468"/>
      <c r="BO28" s="468"/>
      <c r="BP28" s="468"/>
      <c r="BQ28" s="468"/>
      <c r="BR28" s="468"/>
      <c r="BS28" s="468"/>
      <c r="BT28" s="468"/>
      <c r="BU28" s="468"/>
      <c r="BV28" s="468"/>
      <c r="BW28" s="468"/>
      <c r="BX28" s="468"/>
      <c r="BY28" s="2135"/>
      <c r="BZ28" s="2135"/>
      <c r="CA28" s="2135"/>
      <c r="CB28" s="2135"/>
      <c r="CC28" s="2135"/>
      <c r="CD28" s="2135"/>
      <c r="CE28" s="2135"/>
      <c r="CF28" s="2135"/>
      <c r="CG28" s="2135"/>
      <c r="CH28" s="468"/>
      <c r="CI28" s="468"/>
      <c r="CJ28" s="468"/>
      <c r="CK28" s="468"/>
      <c r="CL28" s="468"/>
      <c r="CM28" s="468"/>
      <c r="CN28" s="468"/>
      <c r="CO28" s="468"/>
      <c r="CP28" s="468"/>
      <c r="CQ28" s="468"/>
      <c r="CR28" s="468"/>
      <c r="CS28" s="468"/>
      <c r="CT28" s="468"/>
      <c r="CU28" s="468"/>
      <c r="CV28" s="468"/>
      <c r="CW28" s="468"/>
      <c r="CX28" s="468"/>
      <c r="CY28" s="468"/>
      <c r="CZ28" s="468"/>
      <c r="DA28" s="468"/>
      <c r="DB28" s="468"/>
      <c r="DC28" s="468"/>
      <c r="DD28" s="468"/>
      <c r="DE28" s="468"/>
      <c r="DF28" s="468"/>
      <c r="DG28" s="468"/>
      <c r="DH28" s="468"/>
      <c r="DI28" s="468"/>
      <c r="DJ28" s="2135"/>
      <c r="DK28" s="2135"/>
      <c r="DL28" s="2135"/>
      <c r="DM28" s="2135"/>
      <c r="DN28" s="2135"/>
      <c r="DO28" s="2135"/>
      <c r="DP28" s="2135"/>
      <c r="DQ28" s="2135"/>
      <c r="DR28" s="2135"/>
      <c r="DS28" s="2135"/>
      <c r="DT28" s="2135"/>
      <c r="DU28" s="2135"/>
      <c r="DV28" s="2135"/>
      <c r="DW28" s="2135"/>
      <c r="DX28" s="2135"/>
      <c r="DY28" s="468"/>
      <c r="DZ28" s="468"/>
      <c r="EA28" s="468"/>
      <c r="EB28" s="468"/>
      <c r="EC28" s="468"/>
      <c r="ED28" s="468"/>
      <c r="EE28" s="468"/>
      <c r="EF28" s="2135"/>
      <c r="EG28" s="2135"/>
      <c r="EH28" s="2135"/>
      <c r="EI28" s="471"/>
      <c r="EJ28" s="468"/>
      <c r="EK28" s="468"/>
      <c r="EL28" s="468"/>
      <c r="EM28" s="468"/>
      <c r="EN28" s="468"/>
      <c r="EO28" s="468"/>
      <c r="EP28" s="468"/>
      <c r="EQ28" s="468"/>
      <c r="ER28" s="468"/>
      <c r="ES28" s="468"/>
      <c r="ET28" s="468"/>
      <c r="EU28" s="468"/>
      <c r="EV28" s="468"/>
      <c r="EW28" s="468"/>
      <c r="EX28" s="468"/>
      <c r="EY28" s="468"/>
      <c r="EZ28" s="468"/>
      <c r="FA28" s="468"/>
      <c r="FB28" s="468"/>
      <c r="FC28" s="468"/>
      <c r="FD28" s="468"/>
      <c r="FE28" s="468"/>
      <c r="FF28" s="468"/>
      <c r="FG28" s="468"/>
      <c r="FH28" s="468"/>
      <c r="FI28" s="468"/>
      <c r="FJ28" s="468"/>
      <c r="FK28" s="468"/>
      <c r="FL28" s="468"/>
      <c r="FM28" s="2137"/>
      <c r="FN28" s="468"/>
      <c r="FO28" s="468"/>
      <c r="FP28" s="468"/>
      <c r="FQ28" s="468"/>
      <c r="FR28" s="468"/>
      <c r="FS28" s="468"/>
      <c r="FT28" s="468"/>
      <c r="FU28" s="468"/>
      <c r="FV28" s="468"/>
      <c r="FW28" s="468"/>
      <c r="FX28" s="468"/>
      <c r="FY28" s="468"/>
      <c r="FZ28" s="468"/>
      <c r="GA28" s="468"/>
      <c r="GB28" s="468"/>
      <c r="GC28" s="468"/>
      <c r="GD28" s="468"/>
      <c r="GE28" s="468"/>
      <c r="GF28" s="468"/>
      <c r="GG28" s="468"/>
      <c r="GH28" s="468"/>
      <c r="GI28" s="468"/>
      <c r="GJ28" s="468"/>
      <c r="GK28" s="468"/>
      <c r="GL28" s="468"/>
      <c r="GM28" s="468"/>
      <c r="GN28" s="468"/>
      <c r="GO28" s="468"/>
      <c r="GP28" s="468"/>
      <c r="GQ28" s="468"/>
      <c r="GR28" s="468"/>
      <c r="GS28" s="468"/>
      <c r="GT28" s="468"/>
      <c r="GU28" s="2135"/>
      <c r="GZ28" s="2032"/>
      <c r="HA28" s="2032"/>
      <c r="HB28" s="2032"/>
      <c r="HC28" s="2032"/>
      <c r="HD28" s="2032"/>
      <c r="HE28" s="2032"/>
      <c r="HF28" s="2032"/>
    </row>
    <row r="29" spans="1:250" ht="15.6" outlineLevel="1">
      <c r="A29" s="2141" t="s">
        <v>1023</v>
      </c>
      <c r="B29" s="2142"/>
      <c r="C29" s="472"/>
      <c r="D29" s="2143"/>
      <c r="E29" s="2139"/>
      <c r="F29" s="2139"/>
      <c r="G29" s="470"/>
      <c r="H29" s="470"/>
      <c r="I29" s="470"/>
      <c r="J29" s="470"/>
      <c r="K29" s="470"/>
      <c r="L29" s="470"/>
      <c r="M29" s="470"/>
      <c r="N29" s="468"/>
      <c r="O29" s="468"/>
      <c r="P29" s="468"/>
      <c r="Q29" s="468"/>
      <c r="R29" s="468"/>
      <c r="S29" s="468"/>
      <c r="T29" s="468"/>
      <c r="U29" s="468"/>
      <c r="V29" s="468"/>
      <c r="W29" s="468"/>
      <c r="X29" s="2488"/>
      <c r="Y29" s="248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68"/>
      <c r="AM29" s="468"/>
      <c r="AN29" s="468"/>
      <c r="AO29" s="468"/>
      <c r="AP29" s="468"/>
      <c r="AQ29" s="468"/>
      <c r="AR29" s="468"/>
      <c r="AS29" s="468"/>
      <c r="AT29" s="468"/>
      <c r="AU29" s="468"/>
      <c r="AV29" s="468"/>
      <c r="AW29" s="468"/>
      <c r="AX29" s="468"/>
      <c r="AY29" s="468"/>
      <c r="AZ29" s="2135"/>
      <c r="BA29" s="2135"/>
      <c r="BB29" s="2135"/>
      <c r="BC29" s="2135"/>
      <c r="BD29" s="2135"/>
      <c r="BE29" s="2135"/>
      <c r="BF29" s="2135"/>
      <c r="BG29" s="2135"/>
      <c r="BH29" s="2135"/>
      <c r="BI29" s="2135"/>
      <c r="BJ29" s="2135"/>
      <c r="BK29" s="2135"/>
      <c r="BL29" s="2135"/>
      <c r="BM29" s="468"/>
      <c r="BN29" s="468"/>
      <c r="BO29" s="468"/>
      <c r="BP29" s="468"/>
      <c r="BQ29" s="468"/>
      <c r="BR29" s="468"/>
      <c r="BS29" s="468"/>
      <c r="BT29" s="468"/>
      <c r="BU29" s="468"/>
      <c r="BV29" s="468"/>
      <c r="BW29" s="468"/>
      <c r="BX29" s="468"/>
      <c r="BY29" s="2135"/>
      <c r="BZ29" s="2135"/>
      <c r="CA29" s="2135"/>
      <c r="CB29" s="2135"/>
      <c r="CC29" s="2135"/>
      <c r="CD29" s="2135"/>
      <c r="CE29" s="2135"/>
      <c r="CF29" s="2135"/>
      <c r="CG29" s="2135"/>
      <c r="CH29" s="468"/>
      <c r="CI29" s="468"/>
      <c r="CJ29" s="468"/>
      <c r="CK29" s="468"/>
      <c r="CL29" s="468"/>
      <c r="CM29" s="468"/>
      <c r="CN29" s="468"/>
      <c r="CO29" s="468"/>
      <c r="CP29" s="468"/>
      <c r="CQ29" s="468"/>
      <c r="CR29" s="468"/>
      <c r="CS29" s="468"/>
      <c r="CT29" s="468"/>
      <c r="CU29" s="468"/>
      <c r="CV29" s="468"/>
      <c r="CW29" s="468"/>
      <c r="CX29" s="468"/>
      <c r="CY29" s="468"/>
      <c r="CZ29" s="468"/>
      <c r="DA29" s="468"/>
      <c r="DB29" s="468"/>
      <c r="DC29" s="468"/>
      <c r="DD29" s="468"/>
      <c r="DE29" s="468"/>
      <c r="DF29" s="468"/>
      <c r="DG29" s="468"/>
      <c r="DH29" s="468"/>
      <c r="DI29" s="468"/>
      <c r="DJ29" s="2135"/>
      <c r="DK29" s="2135"/>
      <c r="DL29" s="2135"/>
      <c r="DM29" s="2135"/>
      <c r="DN29" s="2135"/>
      <c r="DO29" s="2135"/>
      <c r="DP29" s="2135"/>
      <c r="DQ29" s="2135"/>
      <c r="DR29" s="2135"/>
      <c r="DS29" s="2135"/>
      <c r="DT29" s="2135"/>
      <c r="DU29" s="2135"/>
      <c r="DV29" s="2135"/>
      <c r="DW29" s="2135"/>
      <c r="DX29" s="2135"/>
      <c r="DY29" s="468"/>
      <c r="DZ29" s="468"/>
      <c r="EA29" s="468"/>
      <c r="EB29" s="468"/>
      <c r="EC29" s="468"/>
      <c r="ED29" s="468"/>
      <c r="EE29" s="468"/>
      <c r="EF29" s="2135"/>
      <c r="EG29" s="2135"/>
      <c r="EH29" s="2135"/>
      <c r="EI29" s="471"/>
      <c r="EJ29" s="468"/>
      <c r="EK29" s="468"/>
      <c r="EL29" s="468"/>
      <c r="EM29" s="468"/>
      <c r="EN29" s="468"/>
      <c r="EO29" s="468"/>
      <c r="EP29" s="468"/>
      <c r="EQ29" s="468"/>
      <c r="ER29" s="468"/>
      <c r="ES29" s="468"/>
      <c r="ET29" s="468"/>
      <c r="EU29" s="468"/>
      <c r="EV29" s="468"/>
      <c r="EW29" s="468"/>
      <c r="EX29" s="468"/>
      <c r="EY29" s="468"/>
      <c r="EZ29" s="468"/>
      <c r="FA29" s="468"/>
      <c r="FB29" s="468"/>
      <c r="FC29" s="468"/>
      <c r="FD29" s="468"/>
      <c r="FE29" s="468"/>
      <c r="FF29" s="468"/>
      <c r="FG29" s="468"/>
      <c r="FH29" s="468"/>
      <c r="FI29" s="468"/>
      <c r="FJ29" s="468"/>
      <c r="FK29" s="468"/>
      <c r="FL29" s="468"/>
      <c r="FM29" s="2137"/>
      <c r="FN29" s="468"/>
      <c r="FO29" s="468"/>
      <c r="FP29" s="468"/>
      <c r="FQ29" s="468"/>
      <c r="FR29" s="468"/>
      <c r="FS29" s="468"/>
      <c r="FT29" s="468"/>
      <c r="FU29" s="468"/>
      <c r="FV29" s="468"/>
      <c r="FW29" s="468"/>
      <c r="FX29" s="468"/>
      <c r="FY29" s="468"/>
      <c r="FZ29" s="468"/>
      <c r="GA29" s="468"/>
      <c r="GB29" s="468"/>
      <c r="GC29" s="468"/>
      <c r="GD29" s="468"/>
      <c r="GE29" s="468"/>
      <c r="GF29" s="468"/>
      <c r="GG29" s="468"/>
      <c r="GH29" s="468"/>
      <c r="GI29" s="468"/>
      <c r="GJ29" s="468"/>
      <c r="GK29" s="468"/>
      <c r="GL29" s="468"/>
      <c r="GM29" s="468"/>
      <c r="GN29" s="468"/>
      <c r="GO29" s="468"/>
      <c r="GP29" s="468"/>
      <c r="GQ29" s="468"/>
      <c r="GR29" s="468"/>
      <c r="GS29" s="468"/>
      <c r="GT29" s="468"/>
      <c r="GU29" s="2135"/>
      <c r="GZ29" s="2032"/>
      <c r="HA29" s="2032"/>
      <c r="HB29" s="2032"/>
      <c r="HC29" s="2032"/>
      <c r="HD29" s="2032"/>
      <c r="HE29" s="2032"/>
      <c r="HF29" s="2032"/>
    </row>
    <row r="30" spans="1:250" ht="15.6" outlineLevel="1">
      <c r="A30" s="2141" t="s">
        <v>1070</v>
      </c>
      <c r="B30" s="2142">
        <f>+C24</f>
        <v>0</v>
      </c>
      <c r="C30" s="472"/>
      <c r="D30" s="2143"/>
      <c r="E30" s="2139"/>
      <c r="F30" s="2139"/>
      <c r="G30" s="470"/>
      <c r="H30" s="470"/>
      <c r="I30" s="470"/>
      <c r="J30" s="470"/>
      <c r="K30" s="470"/>
      <c r="L30" s="470"/>
      <c r="M30" s="470"/>
      <c r="N30" s="468"/>
      <c r="O30" s="468"/>
      <c r="P30" s="468"/>
      <c r="Q30" s="468"/>
      <c r="R30" s="468"/>
      <c r="S30" s="468"/>
      <c r="T30" s="468"/>
      <c r="U30" s="468"/>
      <c r="V30" s="468"/>
      <c r="W30" s="468"/>
      <c r="X30" s="468"/>
      <c r="Y30" s="468"/>
      <c r="Z30" s="468"/>
      <c r="AA30" s="468"/>
      <c r="AB30" s="468"/>
      <c r="AC30" s="468"/>
      <c r="AD30" s="468"/>
      <c r="AE30" s="468"/>
      <c r="AF30" s="468"/>
      <c r="AG30" s="468"/>
      <c r="AH30" s="468"/>
      <c r="AI30" s="468"/>
      <c r="AJ30" s="468"/>
      <c r="AK30" s="468"/>
      <c r="AL30" s="468"/>
      <c r="AM30" s="468"/>
      <c r="AN30" s="468"/>
      <c r="AO30" s="468"/>
      <c r="AP30" s="468"/>
      <c r="AQ30" s="468"/>
      <c r="AR30" s="468"/>
      <c r="AS30" s="468"/>
      <c r="AT30" s="468"/>
      <c r="AU30" s="468"/>
      <c r="AV30" s="468"/>
      <c r="AW30" s="468"/>
      <c r="AX30" s="468"/>
      <c r="AY30" s="468"/>
      <c r="AZ30" s="2135"/>
      <c r="BA30" s="2135"/>
      <c r="BB30" s="2135"/>
      <c r="BC30" s="2135"/>
      <c r="BD30" s="2135"/>
      <c r="BE30" s="2135"/>
      <c r="BF30" s="2135"/>
      <c r="BG30" s="2135"/>
      <c r="BH30" s="2135"/>
      <c r="BI30" s="2135"/>
      <c r="BJ30" s="2135"/>
      <c r="BK30" s="2135"/>
      <c r="BL30" s="2135"/>
      <c r="BM30" s="468"/>
      <c r="BN30" s="468"/>
      <c r="BO30" s="468"/>
      <c r="BP30" s="468"/>
      <c r="BQ30" s="468"/>
      <c r="BR30" s="468"/>
      <c r="BS30" s="468"/>
      <c r="BT30" s="468"/>
      <c r="BU30" s="468"/>
      <c r="BV30" s="468"/>
      <c r="BW30" s="468"/>
      <c r="BX30" s="468"/>
      <c r="BY30" s="2135"/>
      <c r="BZ30" s="2135"/>
      <c r="CA30" s="2135"/>
      <c r="CB30" s="2135"/>
      <c r="CC30" s="2135"/>
      <c r="CD30" s="2135"/>
      <c r="CE30" s="2135"/>
      <c r="CF30" s="2135"/>
      <c r="CG30" s="2135"/>
      <c r="CH30" s="468"/>
      <c r="CI30" s="468"/>
      <c r="CJ30" s="468"/>
      <c r="CK30" s="468"/>
      <c r="CL30" s="468"/>
      <c r="CM30" s="468"/>
      <c r="CN30" s="468"/>
      <c r="CO30" s="468"/>
      <c r="CP30" s="468"/>
      <c r="CQ30" s="468"/>
      <c r="CR30" s="468"/>
      <c r="CS30" s="468"/>
      <c r="CT30" s="468"/>
      <c r="CU30" s="468"/>
      <c r="CV30" s="468"/>
      <c r="CW30" s="468"/>
      <c r="CX30" s="468"/>
      <c r="CY30" s="468"/>
      <c r="CZ30" s="468"/>
      <c r="DA30" s="468"/>
      <c r="DB30" s="468"/>
      <c r="DC30" s="468"/>
      <c r="DD30" s="468"/>
      <c r="DE30" s="468"/>
      <c r="DF30" s="468"/>
      <c r="DG30" s="468"/>
      <c r="DH30" s="468"/>
      <c r="DI30" s="468"/>
      <c r="DJ30" s="2135"/>
      <c r="DK30" s="2135"/>
      <c r="DL30" s="2135"/>
      <c r="DM30" s="2135"/>
      <c r="DN30" s="2135"/>
      <c r="DO30" s="2135"/>
      <c r="DP30" s="2135"/>
      <c r="DQ30" s="2135"/>
      <c r="DR30" s="2135"/>
      <c r="DS30" s="2135"/>
      <c r="DT30" s="2135"/>
      <c r="DU30" s="2135"/>
      <c r="DV30" s="2135"/>
      <c r="DW30" s="2135"/>
      <c r="DX30" s="2135"/>
      <c r="DY30" s="468"/>
      <c r="DZ30" s="468"/>
      <c r="EA30" s="468"/>
      <c r="EB30" s="468"/>
      <c r="EC30" s="468"/>
      <c r="ED30" s="468"/>
      <c r="EE30" s="468"/>
      <c r="EF30" s="2135"/>
      <c r="EG30" s="2135"/>
      <c r="EH30" s="2135"/>
      <c r="EI30" s="471"/>
      <c r="EJ30" s="468"/>
      <c r="EK30" s="468"/>
      <c r="EL30" s="468"/>
      <c r="EM30" s="468"/>
      <c r="EN30" s="468"/>
      <c r="EO30" s="468"/>
      <c r="EP30" s="468"/>
      <c r="EQ30" s="468"/>
      <c r="ER30" s="468"/>
      <c r="ES30" s="468"/>
      <c r="ET30" s="468"/>
      <c r="EU30" s="468"/>
      <c r="EV30" s="468"/>
      <c r="EW30" s="468"/>
      <c r="EX30" s="468"/>
      <c r="EY30" s="468"/>
      <c r="EZ30" s="468"/>
      <c r="FA30" s="468"/>
      <c r="FB30" s="468"/>
      <c r="FC30" s="468"/>
      <c r="FD30" s="468"/>
      <c r="FE30" s="468"/>
      <c r="FF30" s="468"/>
      <c r="FG30" s="468"/>
      <c r="FH30" s="468"/>
      <c r="FI30" s="468"/>
      <c r="FJ30" s="468"/>
      <c r="FK30" s="468"/>
      <c r="FL30" s="468"/>
      <c r="FM30" s="2137"/>
      <c r="FN30" s="468"/>
      <c r="FO30" s="468"/>
      <c r="FP30" s="468"/>
      <c r="FQ30" s="468"/>
      <c r="FR30" s="468"/>
      <c r="FS30" s="468"/>
      <c r="FT30" s="468"/>
      <c r="FU30" s="468"/>
      <c r="FV30" s="468"/>
      <c r="FW30" s="468"/>
      <c r="FX30" s="468"/>
      <c r="FY30" s="468"/>
      <c r="FZ30" s="468"/>
      <c r="GA30" s="468"/>
      <c r="GB30" s="468"/>
      <c r="GC30" s="468"/>
      <c r="GD30" s="468"/>
      <c r="GE30" s="468"/>
      <c r="GF30" s="468"/>
      <c r="GG30" s="468"/>
      <c r="GH30" s="468"/>
      <c r="GI30" s="468"/>
      <c r="GJ30" s="468"/>
      <c r="GK30" s="468"/>
      <c r="GL30" s="468"/>
      <c r="GM30" s="468"/>
      <c r="GN30" s="468"/>
      <c r="GO30" s="468"/>
      <c r="GP30" s="468"/>
      <c r="GQ30" s="468"/>
      <c r="GR30" s="468"/>
      <c r="GS30" s="468"/>
      <c r="GT30" s="468"/>
      <c r="GU30" s="2135"/>
      <c r="GZ30" s="2032"/>
      <c r="HA30" s="2032"/>
      <c r="HB30" s="2032"/>
      <c r="HC30" s="2032"/>
      <c r="HD30" s="2032"/>
      <c r="HE30" s="2032"/>
      <c r="HF30" s="2032"/>
    </row>
    <row r="31" spans="1:250" ht="15.6" outlineLevel="1">
      <c r="A31" s="2141" t="s">
        <v>2069</v>
      </c>
      <c r="B31" s="2142"/>
      <c r="C31" s="472"/>
      <c r="D31" s="2143"/>
      <c r="E31" s="2139"/>
      <c r="F31" s="2139"/>
      <c r="G31" s="470"/>
      <c r="H31" s="470"/>
      <c r="I31" s="470"/>
      <c r="J31" s="470"/>
      <c r="K31" s="470"/>
      <c r="L31" s="470"/>
      <c r="M31" s="470"/>
      <c r="N31" s="468"/>
      <c r="O31" s="468"/>
      <c r="P31" s="468"/>
      <c r="Q31" s="468"/>
      <c r="R31" s="468"/>
      <c r="S31" s="468"/>
      <c r="T31" s="468"/>
      <c r="U31" s="468"/>
      <c r="V31" s="468"/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68"/>
      <c r="AL31" s="468"/>
      <c r="AM31" s="468"/>
      <c r="AN31" s="468"/>
      <c r="AO31" s="468"/>
      <c r="AP31" s="468"/>
      <c r="AQ31" s="468"/>
      <c r="AR31" s="468"/>
      <c r="AS31" s="468"/>
      <c r="AT31" s="468"/>
      <c r="AU31" s="468"/>
      <c r="AV31" s="468"/>
      <c r="AW31" s="468"/>
      <c r="AX31" s="468"/>
      <c r="AY31" s="468"/>
      <c r="AZ31" s="2135"/>
      <c r="BA31" s="2135"/>
      <c r="BB31" s="2135"/>
      <c r="BC31" s="2135"/>
      <c r="BD31" s="2135"/>
      <c r="BE31" s="2135"/>
      <c r="BF31" s="2135"/>
      <c r="BG31" s="2135"/>
      <c r="BH31" s="2135"/>
      <c r="BI31" s="2135"/>
      <c r="BJ31" s="2135"/>
      <c r="BK31" s="2135"/>
      <c r="BL31" s="2135"/>
      <c r="BM31" s="468"/>
      <c r="BN31" s="468"/>
      <c r="BO31" s="468"/>
      <c r="BP31" s="468"/>
      <c r="BQ31" s="468"/>
      <c r="BR31" s="468"/>
      <c r="BS31" s="468"/>
      <c r="BT31" s="468"/>
      <c r="BU31" s="468"/>
      <c r="BV31" s="468"/>
      <c r="BW31" s="468"/>
      <c r="BX31" s="468"/>
      <c r="BY31" s="2135"/>
      <c r="BZ31" s="2135"/>
      <c r="CA31" s="2135"/>
      <c r="CB31" s="2135"/>
      <c r="CC31" s="2135"/>
      <c r="CD31" s="2135"/>
      <c r="CE31" s="2135"/>
      <c r="CF31" s="2135"/>
      <c r="CG31" s="2135"/>
      <c r="CH31" s="473"/>
      <c r="CI31" s="473"/>
      <c r="CJ31" s="473"/>
      <c r="CK31" s="473"/>
      <c r="CL31" s="473"/>
      <c r="CM31" s="468"/>
      <c r="CN31" s="468"/>
      <c r="CO31" s="468"/>
      <c r="CP31" s="468"/>
      <c r="CQ31" s="468"/>
      <c r="CR31" s="468"/>
      <c r="CS31" s="468"/>
      <c r="CT31" s="468"/>
      <c r="CU31" s="468"/>
      <c r="CV31" s="468"/>
      <c r="CW31" s="468"/>
      <c r="CX31" s="468"/>
      <c r="CY31" s="468"/>
      <c r="CZ31" s="468"/>
      <c r="DA31" s="468"/>
      <c r="DB31" s="468"/>
      <c r="DC31" s="468"/>
      <c r="DD31" s="468"/>
      <c r="DE31" s="468"/>
      <c r="DF31" s="468"/>
      <c r="DG31" s="468"/>
      <c r="DH31" s="468"/>
      <c r="DI31" s="468"/>
      <c r="DJ31" s="2135"/>
      <c r="DK31" s="2135"/>
      <c r="DL31" s="2135"/>
      <c r="DM31" s="2135"/>
      <c r="DN31" s="2135"/>
      <c r="DO31" s="2135"/>
      <c r="DP31" s="2135"/>
      <c r="DQ31" s="2135"/>
      <c r="DR31" s="2135"/>
      <c r="DS31" s="2135"/>
      <c r="DT31" s="2135"/>
      <c r="DU31" s="2135"/>
      <c r="DV31" s="2135"/>
      <c r="DW31" s="2135"/>
      <c r="DX31" s="2135"/>
      <c r="DY31" s="468"/>
      <c r="DZ31" s="468"/>
      <c r="EA31" s="468"/>
      <c r="EB31" s="468"/>
      <c r="EC31" s="468"/>
      <c r="ED31" s="468"/>
      <c r="EE31" s="468"/>
      <c r="EF31" s="2135"/>
      <c r="EG31" s="2135"/>
      <c r="EH31" s="2135"/>
      <c r="EI31" s="471"/>
      <c r="EJ31" s="468"/>
      <c r="EK31" s="468"/>
      <c r="EL31" s="468"/>
      <c r="EM31" s="468"/>
      <c r="EN31" s="468"/>
      <c r="EO31" s="468"/>
      <c r="EP31" s="468"/>
      <c r="EQ31" s="468"/>
      <c r="ER31" s="468"/>
      <c r="ES31" s="468"/>
      <c r="ET31" s="468"/>
      <c r="EU31" s="468"/>
      <c r="EV31" s="468"/>
      <c r="EW31" s="468"/>
      <c r="EX31" s="468"/>
      <c r="EY31" s="468"/>
      <c r="EZ31" s="468"/>
      <c r="FA31" s="468"/>
      <c r="FB31" s="468"/>
      <c r="FC31" s="468"/>
      <c r="FD31" s="468"/>
      <c r="FE31" s="468"/>
      <c r="FF31" s="468"/>
      <c r="FG31" s="468"/>
      <c r="FH31" s="468"/>
      <c r="FI31" s="468"/>
      <c r="FJ31" s="468"/>
      <c r="FK31" s="468"/>
      <c r="FL31" s="468"/>
      <c r="FM31" s="2137"/>
      <c r="FN31" s="468"/>
      <c r="FO31" s="468"/>
      <c r="FP31" s="468"/>
      <c r="FQ31" s="468"/>
      <c r="FR31" s="468"/>
      <c r="FS31" s="468"/>
      <c r="FT31" s="468"/>
      <c r="FU31" s="468"/>
      <c r="FV31" s="468"/>
      <c r="FW31" s="468"/>
      <c r="FX31" s="468"/>
      <c r="FY31" s="468"/>
      <c r="FZ31" s="468"/>
      <c r="GA31" s="468"/>
      <c r="GB31" s="468"/>
      <c r="GC31" s="468"/>
      <c r="GD31" s="468"/>
      <c r="GE31" s="468"/>
      <c r="GF31" s="468"/>
      <c r="GG31" s="468"/>
      <c r="GH31" s="468"/>
      <c r="GI31" s="468"/>
      <c r="GJ31" s="468"/>
      <c r="GK31" s="468"/>
      <c r="GL31" s="468"/>
      <c r="GM31" s="468"/>
      <c r="GN31" s="468"/>
      <c r="GO31" s="468"/>
      <c r="GP31" s="468"/>
      <c r="GQ31" s="468"/>
      <c r="GR31" s="468"/>
      <c r="GS31" s="468"/>
      <c r="GT31" s="468"/>
      <c r="GU31" s="2135"/>
      <c r="GZ31" s="2032"/>
      <c r="HA31" s="2032"/>
      <c r="HB31" s="2032"/>
      <c r="HC31" s="2032"/>
      <c r="HD31" s="2032"/>
      <c r="HE31" s="2032"/>
      <c r="HF31" s="2032"/>
    </row>
    <row r="32" spans="1:250" ht="15.6" outlineLevel="1">
      <c r="A32" s="2141" t="s">
        <v>876</v>
      </c>
      <c r="B32" s="2142"/>
      <c r="C32" s="472"/>
      <c r="D32" s="2143"/>
      <c r="E32" s="2139"/>
      <c r="F32" s="2139"/>
      <c r="G32" s="470"/>
      <c r="H32" s="470"/>
      <c r="I32" s="470"/>
      <c r="J32" s="470"/>
      <c r="K32" s="470"/>
      <c r="L32" s="470"/>
      <c r="M32" s="470"/>
      <c r="N32" s="468"/>
      <c r="O32" s="468"/>
      <c r="P32" s="468"/>
      <c r="Q32" s="468"/>
      <c r="R32" s="468"/>
      <c r="S32" s="468"/>
      <c r="T32" s="468"/>
      <c r="U32" s="468"/>
      <c r="V32" s="468"/>
      <c r="W32" s="468"/>
      <c r="X32" s="468"/>
      <c r="Y32" s="468"/>
      <c r="Z32" s="468"/>
      <c r="AA32" s="468"/>
      <c r="AB32" s="468"/>
      <c r="AC32" s="468"/>
      <c r="AD32" s="468"/>
      <c r="AE32" s="468"/>
      <c r="AF32" s="468"/>
      <c r="AG32" s="468"/>
      <c r="AH32" s="468"/>
      <c r="AI32" s="468"/>
      <c r="AJ32" s="468"/>
      <c r="AK32" s="468"/>
      <c r="AL32" s="468"/>
      <c r="AM32" s="468"/>
      <c r="AN32" s="468"/>
      <c r="AO32" s="468"/>
      <c r="AP32" s="468"/>
      <c r="AQ32" s="468"/>
      <c r="AR32" s="468"/>
      <c r="AS32" s="468"/>
      <c r="AT32" s="468"/>
      <c r="AU32" s="468"/>
      <c r="AV32" s="468"/>
      <c r="AW32" s="468"/>
      <c r="AX32" s="468"/>
      <c r="AY32" s="468"/>
      <c r="AZ32" s="2135"/>
      <c r="BA32" s="2135"/>
      <c r="BB32" s="2135"/>
      <c r="BC32" s="2135"/>
      <c r="BD32" s="2135"/>
      <c r="BE32" s="2135"/>
      <c r="BF32" s="2135"/>
      <c r="BG32" s="2135"/>
      <c r="BH32" s="2135"/>
      <c r="BI32" s="2135"/>
      <c r="BJ32" s="2135"/>
      <c r="BK32" s="2135"/>
      <c r="BL32" s="2135"/>
      <c r="BM32" s="468"/>
      <c r="BN32" s="468"/>
      <c r="BO32" s="468"/>
      <c r="BP32" s="468"/>
      <c r="BQ32" s="468"/>
      <c r="BR32" s="468"/>
      <c r="BS32" s="468"/>
      <c r="BT32" s="468"/>
      <c r="BU32" s="468"/>
      <c r="BV32" s="468"/>
      <c r="BW32" s="468"/>
      <c r="BX32" s="468"/>
      <c r="BY32" s="2135"/>
      <c r="BZ32" s="2135"/>
      <c r="CA32" s="2135"/>
      <c r="CB32" s="2135"/>
      <c r="CC32" s="2135"/>
      <c r="CD32" s="2135"/>
      <c r="CE32" s="2135"/>
      <c r="CF32" s="2135"/>
      <c r="CG32" s="2135"/>
      <c r="CH32" s="473"/>
      <c r="CI32" s="473"/>
      <c r="CJ32" s="473"/>
      <c r="CK32" s="473"/>
      <c r="CL32" s="473"/>
      <c r="CM32" s="468"/>
      <c r="CN32" s="468"/>
      <c r="CO32" s="468"/>
      <c r="CP32" s="468"/>
      <c r="CQ32" s="468"/>
      <c r="CR32" s="468"/>
      <c r="CS32" s="468"/>
      <c r="CT32" s="468"/>
      <c r="CU32" s="468"/>
      <c r="CV32" s="468"/>
      <c r="CW32" s="468"/>
      <c r="CX32" s="468"/>
      <c r="CY32" s="468"/>
      <c r="CZ32" s="468"/>
      <c r="DA32" s="468"/>
      <c r="DB32" s="468"/>
      <c r="DC32" s="468"/>
      <c r="DD32" s="468"/>
      <c r="DE32" s="468"/>
      <c r="DF32" s="468"/>
      <c r="DG32" s="468"/>
      <c r="DH32" s="468"/>
      <c r="DI32" s="468"/>
      <c r="DJ32" s="2135"/>
      <c r="DK32" s="2135"/>
      <c r="DL32" s="2135"/>
      <c r="DM32" s="2135"/>
      <c r="DN32" s="2135"/>
      <c r="DO32" s="2135"/>
      <c r="DP32" s="2135"/>
      <c r="DQ32" s="2135"/>
      <c r="DR32" s="2135"/>
      <c r="DS32" s="2135"/>
      <c r="DT32" s="2135"/>
      <c r="DU32" s="2135"/>
      <c r="DV32" s="2135"/>
      <c r="DW32" s="2135"/>
      <c r="DX32" s="2135"/>
      <c r="DY32" s="468"/>
      <c r="DZ32" s="468"/>
      <c r="EA32" s="468"/>
      <c r="EB32" s="468"/>
      <c r="EC32" s="468"/>
      <c r="ED32" s="468"/>
      <c r="EE32" s="468"/>
      <c r="EF32" s="2135"/>
      <c r="EG32" s="2135"/>
      <c r="EH32" s="2135"/>
      <c r="EI32" s="471"/>
      <c r="EJ32" s="468"/>
      <c r="EK32" s="468"/>
      <c r="EL32" s="468"/>
      <c r="EM32" s="468"/>
      <c r="EN32" s="468"/>
      <c r="EO32" s="468"/>
      <c r="EP32" s="468"/>
      <c r="EQ32" s="468"/>
      <c r="ER32" s="468"/>
      <c r="ES32" s="468"/>
      <c r="ET32" s="468"/>
      <c r="EU32" s="468"/>
      <c r="EV32" s="468"/>
      <c r="EW32" s="468"/>
      <c r="EX32" s="468"/>
      <c r="EY32" s="468"/>
      <c r="EZ32" s="468"/>
      <c r="FA32" s="468"/>
      <c r="FB32" s="468"/>
      <c r="FC32" s="468"/>
      <c r="FD32" s="468"/>
      <c r="FE32" s="468"/>
      <c r="FF32" s="468"/>
      <c r="FG32" s="468"/>
      <c r="FH32" s="468"/>
      <c r="FI32" s="468"/>
      <c r="FJ32" s="468"/>
      <c r="FK32" s="468"/>
      <c r="FL32" s="468"/>
      <c r="FM32" s="2137"/>
      <c r="FN32" s="468"/>
      <c r="FO32" s="468"/>
      <c r="FP32" s="468"/>
      <c r="FQ32" s="468"/>
      <c r="FR32" s="468"/>
      <c r="FS32" s="468"/>
      <c r="FT32" s="468"/>
      <c r="FU32" s="468"/>
      <c r="FV32" s="468"/>
      <c r="FW32" s="468"/>
      <c r="FX32" s="468"/>
      <c r="FY32" s="468"/>
      <c r="FZ32" s="468"/>
      <c r="GA32" s="468"/>
      <c r="GB32" s="468"/>
      <c r="GC32" s="468"/>
      <c r="GD32" s="468"/>
      <c r="GE32" s="468"/>
      <c r="GF32" s="468"/>
      <c r="GG32" s="468"/>
      <c r="GH32" s="468"/>
      <c r="GI32" s="468"/>
      <c r="GJ32" s="468"/>
      <c r="GK32" s="468"/>
      <c r="GL32" s="468"/>
      <c r="GM32" s="468"/>
      <c r="GN32" s="468"/>
      <c r="GO32" s="468"/>
      <c r="GP32" s="468"/>
      <c r="GQ32" s="468"/>
      <c r="GR32" s="468"/>
      <c r="GS32" s="468"/>
      <c r="GT32" s="468"/>
      <c r="GU32" s="2135"/>
      <c r="GZ32" s="2032"/>
      <c r="HA32" s="2032"/>
      <c r="HB32" s="2032"/>
      <c r="HC32" s="2032"/>
      <c r="HD32" s="2032"/>
      <c r="HE32" s="2032"/>
      <c r="HF32" s="2032"/>
    </row>
    <row r="33" spans="1:214" ht="15.6" outlineLevel="1">
      <c r="A33" s="2141" t="s">
        <v>472</v>
      </c>
      <c r="B33" s="2142"/>
      <c r="C33" s="474"/>
      <c r="D33" s="2143"/>
      <c r="E33" s="2139"/>
      <c r="F33" s="2139"/>
      <c r="G33" s="470"/>
      <c r="H33" s="470"/>
      <c r="I33" s="470"/>
      <c r="J33" s="470"/>
      <c r="K33" s="470"/>
      <c r="L33" s="470"/>
      <c r="M33" s="470"/>
      <c r="N33" s="468"/>
      <c r="O33" s="468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68"/>
      <c r="AL33" s="468"/>
      <c r="AM33" s="468"/>
      <c r="AN33" s="468"/>
      <c r="AO33" s="468"/>
      <c r="AP33" s="468"/>
      <c r="AQ33" s="468"/>
      <c r="AR33" s="468"/>
      <c r="AS33" s="468"/>
      <c r="AT33" s="468"/>
      <c r="AU33" s="468"/>
      <c r="AV33" s="468"/>
      <c r="AW33" s="468"/>
      <c r="AX33" s="468"/>
      <c r="AY33" s="468"/>
      <c r="AZ33" s="2135"/>
      <c r="BA33" s="2135"/>
      <c r="BB33" s="2135"/>
      <c r="BC33" s="2135"/>
      <c r="BD33" s="2135"/>
      <c r="BE33" s="2135"/>
      <c r="BF33" s="2135"/>
      <c r="BG33" s="2135"/>
      <c r="BH33" s="2135"/>
      <c r="BI33" s="2135"/>
      <c r="BJ33" s="2135"/>
      <c r="BK33" s="2135"/>
      <c r="BL33" s="2135"/>
      <c r="BM33" s="468"/>
      <c r="BN33" s="468"/>
      <c r="BO33" s="468"/>
      <c r="BP33" s="468"/>
      <c r="BQ33" s="468"/>
      <c r="BR33" s="468"/>
      <c r="BS33" s="468"/>
      <c r="BT33" s="468"/>
      <c r="BU33" s="468"/>
      <c r="BV33" s="468"/>
      <c r="BW33" s="468"/>
      <c r="BX33" s="468"/>
      <c r="BY33" s="2135"/>
      <c r="BZ33" s="2135"/>
      <c r="CA33" s="2135"/>
      <c r="CB33" s="2135"/>
      <c r="CC33" s="2135"/>
      <c r="CD33" s="2135"/>
      <c r="CE33" s="2135"/>
      <c r="CF33" s="2135"/>
      <c r="CG33" s="2135"/>
      <c r="CH33" s="468"/>
      <c r="CI33" s="468"/>
      <c r="CJ33" s="468"/>
      <c r="CK33" s="468"/>
      <c r="CL33" s="468"/>
      <c r="CM33" s="468"/>
      <c r="CN33" s="468"/>
      <c r="CO33" s="468"/>
      <c r="CP33" s="468"/>
      <c r="CQ33" s="468"/>
      <c r="CR33" s="468"/>
      <c r="CS33" s="468"/>
      <c r="CT33" s="468"/>
      <c r="CU33" s="468"/>
      <c r="CV33" s="468"/>
      <c r="CW33" s="468"/>
      <c r="CX33" s="468"/>
      <c r="CY33" s="468"/>
      <c r="CZ33" s="468"/>
      <c r="DA33" s="468"/>
      <c r="DB33" s="468"/>
      <c r="DC33" s="468"/>
      <c r="DD33" s="468"/>
      <c r="DE33" s="468"/>
      <c r="DF33" s="468"/>
      <c r="DG33" s="468"/>
      <c r="DH33" s="468"/>
      <c r="DI33" s="468"/>
      <c r="DJ33" s="2135"/>
      <c r="DK33" s="2135"/>
      <c r="DL33" s="2135"/>
      <c r="DM33" s="2135"/>
      <c r="DN33" s="2135"/>
      <c r="DO33" s="2135"/>
      <c r="DP33" s="2135"/>
      <c r="DQ33" s="2135"/>
      <c r="DR33" s="2135"/>
      <c r="DS33" s="2135"/>
      <c r="DT33" s="2135"/>
      <c r="DU33" s="2135"/>
      <c r="DV33" s="2135"/>
      <c r="DW33" s="2135"/>
      <c r="DX33" s="2135"/>
      <c r="DY33" s="468"/>
      <c r="DZ33" s="468"/>
      <c r="EA33" s="468"/>
      <c r="EB33" s="468"/>
      <c r="EC33" s="468"/>
      <c r="ED33" s="468"/>
      <c r="EE33" s="468"/>
      <c r="EF33" s="2135"/>
      <c r="EG33" s="2135"/>
      <c r="EH33" s="2135"/>
      <c r="EI33" s="471"/>
      <c r="EJ33" s="468"/>
      <c r="EK33" s="468"/>
      <c r="EL33" s="468"/>
      <c r="EM33" s="468"/>
      <c r="EN33" s="468"/>
      <c r="EO33" s="468"/>
      <c r="EP33" s="468"/>
      <c r="EQ33" s="468"/>
      <c r="ER33" s="468"/>
      <c r="ES33" s="468"/>
      <c r="ET33" s="468"/>
      <c r="EU33" s="468"/>
      <c r="EV33" s="468"/>
      <c r="EW33" s="468"/>
      <c r="EX33" s="468"/>
      <c r="EY33" s="468"/>
      <c r="EZ33" s="468"/>
      <c r="FA33" s="468"/>
      <c r="FB33" s="468"/>
      <c r="FC33" s="468"/>
      <c r="FD33" s="468"/>
      <c r="FE33" s="468"/>
      <c r="FF33" s="468"/>
      <c r="FG33" s="468"/>
      <c r="FH33" s="468"/>
      <c r="FI33" s="468"/>
      <c r="FJ33" s="468"/>
      <c r="FK33" s="468"/>
      <c r="FL33" s="468"/>
      <c r="FM33" s="2137"/>
      <c r="FN33" s="468"/>
      <c r="FO33" s="468"/>
      <c r="FP33" s="468"/>
      <c r="FQ33" s="468"/>
      <c r="FR33" s="468"/>
      <c r="FS33" s="468"/>
      <c r="FT33" s="468"/>
      <c r="FU33" s="468"/>
      <c r="FV33" s="468"/>
      <c r="FW33" s="468"/>
      <c r="FX33" s="468"/>
      <c r="FY33" s="468"/>
      <c r="FZ33" s="468"/>
      <c r="GA33" s="468"/>
      <c r="GB33" s="468"/>
      <c r="GC33" s="468"/>
      <c r="GD33" s="468"/>
      <c r="GE33" s="468"/>
      <c r="GF33" s="468"/>
      <c r="GG33" s="468"/>
      <c r="GH33" s="468"/>
      <c r="GI33" s="468"/>
      <c r="GJ33" s="468"/>
      <c r="GK33" s="468"/>
      <c r="GL33" s="468"/>
      <c r="GM33" s="468"/>
      <c r="GN33" s="468"/>
      <c r="GO33" s="468"/>
      <c r="GP33" s="468"/>
      <c r="GQ33" s="468"/>
      <c r="GR33" s="468"/>
      <c r="GS33" s="468"/>
      <c r="GT33" s="468"/>
      <c r="GU33" s="2135"/>
      <c r="GZ33" s="2032">
        <f>135+8*150+3*200+2*100+350+4*200+350</f>
        <v>3635</v>
      </c>
      <c r="HA33" s="2032"/>
      <c r="HB33" s="2032"/>
      <c r="HC33" s="2032"/>
      <c r="HD33" s="2032"/>
      <c r="HE33" s="2032"/>
      <c r="HF33" s="2032"/>
    </row>
    <row r="34" spans="1:214" ht="15.6" outlineLevel="1">
      <c r="A34" s="2144" t="s">
        <v>1709</v>
      </c>
      <c r="B34" s="2142"/>
      <c r="C34" s="473"/>
      <c r="D34" s="2143"/>
      <c r="E34" s="2144"/>
      <c r="F34" s="2144"/>
      <c r="G34" s="470"/>
      <c r="H34" s="470"/>
      <c r="I34" s="470"/>
      <c r="J34" s="470"/>
      <c r="K34" s="470"/>
      <c r="L34" s="470"/>
      <c r="M34" s="470"/>
      <c r="N34" s="468"/>
      <c r="O34" s="468"/>
      <c r="P34" s="468"/>
      <c r="Q34" s="468"/>
      <c r="R34" s="468"/>
      <c r="S34" s="468"/>
      <c r="T34" s="468"/>
      <c r="U34" s="468"/>
      <c r="V34" s="468"/>
      <c r="W34" s="468"/>
      <c r="X34" s="468"/>
      <c r="Y34" s="468"/>
      <c r="Z34" s="468"/>
      <c r="AA34" s="468"/>
      <c r="AB34" s="468"/>
      <c r="AC34" s="468"/>
      <c r="AD34" s="468"/>
      <c r="AE34" s="468"/>
      <c r="AF34" s="468"/>
      <c r="AG34" s="468"/>
      <c r="AH34" s="468"/>
      <c r="AI34" s="468"/>
      <c r="AJ34" s="468"/>
      <c r="AK34" s="468"/>
      <c r="AL34" s="468"/>
      <c r="AM34" s="468"/>
      <c r="AN34" s="468"/>
      <c r="AO34" s="468"/>
      <c r="AP34" s="468"/>
      <c r="AQ34" s="468"/>
      <c r="AR34" s="468"/>
      <c r="AS34" s="468"/>
      <c r="AT34" s="468"/>
      <c r="AU34" s="468"/>
      <c r="AV34" s="468"/>
      <c r="AW34" s="468"/>
      <c r="AX34" s="468"/>
      <c r="AY34" s="468"/>
      <c r="AZ34" s="2135"/>
      <c r="BA34" s="2135"/>
      <c r="BB34" s="2135"/>
      <c r="BC34" s="2135"/>
      <c r="BD34" s="2135"/>
      <c r="BE34" s="2135"/>
      <c r="BF34" s="2135"/>
      <c r="BG34" s="2135"/>
      <c r="BH34" s="2135"/>
      <c r="BI34" s="2135"/>
      <c r="BJ34" s="2135"/>
      <c r="BK34" s="2135"/>
      <c r="BL34" s="2135"/>
      <c r="BM34" s="468"/>
      <c r="BN34" s="468"/>
      <c r="BO34" s="468"/>
      <c r="BP34" s="468"/>
      <c r="BQ34" s="468"/>
      <c r="BR34" s="468"/>
      <c r="BS34" s="468"/>
      <c r="BT34" s="468"/>
      <c r="BU34" s="468"/>
      <c r="BV34" s="468"/>
      <c r="BW34" s="468"/>
      <c r="BX34" s="468"/>
      <c r="BY34" s="2135"/>
      <c r="BZ34" s="2135"/>
      <c r="CA34" s="2135"/>
      <c r="CB34" s="2135"/>
      <c r="CC34" s="2135"/>
      <c r="CD34" s="2135"/>
      <c r="CE34" s="2135"/>
      <c r="CF34" s="2135"/>
      <c r="CG34" s="2135"/>
      <c r="CH34" s="468"/>
      <c r="CI34" s="468"/>
      <c r="CJ34" s="468"/>
      <c r="CK34" s="468"/>
      <c r="CL34" s="468"/>
      <c r="CM34" s="468"/>
      <c r="CN34" s="468"/>
      <c r="CO34" s="468"/>
      <c r="CP34" s="468"/>
      <c r="CQ34" s="468"/>
      <c r="CR34" s="468"/>
      <c r="CS34" s="468"/>
      <c r="CT34" s="468"/>
      <c r="CU34" s="468"/>
      <c r="CV34" s="468"/>
      <c r="CW34" s="468"/>
      <c r="CX34" s="468"/>
      <c r="CY34" s="468"/>
      <c r="CZ34" s="468"/>
      <c r="DA34" s="468"/>
      <c r="DB34" s="468"/>
      <c r="DC34" s="468"/>
      <c r="DD34" s="468"/>
      <c r="DE34" s="468"/>
      <c r="DF34" s="468"/>
      <c r="DG34" s="468"/>
      <c r="DH34" s="468"/>
      <c r="DI34" s="468"/>
      <c r="DJ34" s="2135"/>
      <c r="DK34" s="2135"/>
      <c r="DL34" s="2135"/>
      <c r="DM34" s="2135"/>
      <c r="DN34" s="2135"/>
      <c r="DO34" s="2135"/>
      <c r="DP34" s="2135"/>
      <c r="DQ34" s="2135"/>
      <c r="DR34" s="2135"/>
      <c r="DS34" s="2135"/>
      <c r="DT34" s="2135"/>
      <c r="DU34" s="2135"/>
      <c r="DV34" s="2135"/>
      <c r="DW34" s="2135"/>
      <c r="DX34" s="2135"/>
      <c r="DY34" s="468"/>
      <c r="DZ34" s="468"/>
      <c r="EA34" s="468"/>
      <c r="EB34" s="468"/>
      <c r="EC34" s="468"/>
      <c r="ED34" s="468"/>
      <c r="EE34" s="468"/>
      <c r="EF34" s="2135"/>
      <c r="EG34" s="2135"/>
      <c r="EH34" s="2135"/>
      <c r="EI34" s="471"/>
      <c r="EJ34" s="468"/>
      <c r="EK34" s="468"/>
      <c r="EL34" s="468"/>
      <c r="EM34" s="468"/>
      <c r="EN34" s="468"/>
      <c r="EO34" s="468"/>
      <c r="EP34" s="468"/>
      <c r="EQ34" s="468"/>
      <c r="ER34" s="468"/>
      <c r="ES34" s="468"/>
      <c r="ET34" s="468"/>
      <c r="EU34" s="468"/>
      <c r="EV34" s="468"/>
      <c r="EW34" s="468"/>
      <c r="EX34" s="468"/>
      <c r="EY34" s="468"/>
      <c r="EZ34" s="468"/>
      <c r="FA34" s="468"/>
      <c r="FB34" s="468"/>
      <c r="FC34" s="468"/>
      <c r="FD34" s="468"/>
      <c r="FE34" s="468"/>
      <c r="FF34" s="468"/>
      <c r="FG34" s="468"/>
      <c r="FH34" s="468"/>
      <c r="FI34" s="468"/>
      <c r="FJ34" s="468"/>
      <c r="FK34" s="468"/>
      <c r="FL34" s="468"/>
      <c r="FM34" s="2137"/>
      <c r="FN34" s="468"/>
      <c r="FO34" s="468"/>
      <c r="FP34" s="468"/>
      <c r="FQ34" s="468"/>
      <c r="FR34" s="468"/>
      <c r="FS34" s="468"/>
      <c r="FT34" s="468"/>
      <c r="FU34" s="468"/>
      <c r="FV34" s="468"/>
      <c r="FW34" s="468"/>
      <c r="FX34" s="468"/>
      <c r="FY34" s="468"/>
      <c r="FZ34" s="468"/>
      <c r="GA34" s="468"/>
      <c r="GB34" s="468"/>
      <c r="GC34" s="468"/>
      <c r="GD34" s="468"/>
      <c r="GE34" s="468"/>
      <c r="GF34" s="468"/>
      <c r="GG34" s="468"/>
      <c r="GH34" s="468"/>
      <c r="GI34" s="468"/>
      <c r="GJ34" s="468"/>
      <c r="GK34" s="468"/>
      <c r="GL34" s="468"/>
      <c r="GM34" s="468"/>
      <c r="GN34" s="468"/>
      <c r="GO34" s="468"/>
      <c r="GP34" s="468"/>
      <c r="GQ34" s="468"/>
      <c r="GR34" s="468"/>
      <c r="GS34" s="468"/>
      <c r="GT34" s="468"/>
      <c r="GU34" s="2135"/>
      <c r="GZ34" s="2032">
        <f>14*425+430</f>
        <v>6380</v>
      </c>
      <c r="HA34" s="2032"/>
      <c r="HB34" s="2032"/>
      <c r="HC34" s="2032"/>
      <c r="HD34" s="2032"/>
      <c r="HE34" s="2032"/>
      <c r="HF34" s="2032"/>
    </row>
    <row r="35" spans="1:214" ht="15.6" outlineLevel="1">
      <c r="A35" s="2144" t="s">
        <v>1710</v>
      </c>
      <c r="B35" s="2142"/>
      <c r="C35" s="472"/>
      <c r="D35" s="2143"/>
      <c r="E35" s="2144"/>
      <c r="F35" s="2144"/>
      <c r="G35" s="470"/>
      <c r="H35" s="470"/>
      <c r="I35" s="470"/>
      <c r="J35" s="470"/>
      <c r="K35" s="470"/>
      <c r="L35" s="470"/>
      <c r="M35" s="470"/>
      <c r="N35" s="468"/>
      <c r="O35" s="468"/>
      <c r="P35" s="468"/>
      <c r="Q35" s="468"/>
      <c r="R35" s="468"/>
      <c r="S35" s="468"/>
      <c r="T35" s="468"/>
      <c r="U35" s="468"/>
      <c r="V35" s="468"/>
      <c r="W35" s="468"/>
      <c r="X35" s="468"/>
      <c r="Y35" s="468"/>
      <c r="Z35" s="468"/>
      <c r="AA35" s="468"/>
      <c r="AB35" s="468"/>
      <c r="AC35" s="468"/>
      <c r="AD35" s="468"/>
      <c r="AE35" s="468"/>
      <c r="AF35" s="468"/>
      <c r="AG35" s="468"/>
      <c r="AH35" s="468"/>
      <c r="AI35" s="468"/>
      <c r="AJ35" s="468"/>
      <c r="AK35" s="468"/>
      <c r="AL35" s="468"/>
      <c r="AM35" s="468"/>
      <c r="AN35" s="468"/>
      <c r="AO35" s="468"/>
      <c r="AP35" s="468"/>
      <c r="AQ35" s="468"/>
      <c r="AR35" s="468"/>
      <c r="AS35" s="468"/>
      <c r="AT35" s="468"/>
      <c r="AU35" s="468"/>
      <c r="AV35" s="468"/>
      <c r="AW35" s="468"/>
      <c r="AX35" s="468"/>
      <c r="AY35" s="468"/>
      <c r="AZ35" s="2135"/>
      <c r="BA35" s="2135"/>
      <c r="BB35" s="2135"/>
      <c r="BC35" s="2135"/>
      <c r="BD35" s="2135"/>
      <c r="BE35" s="2135"/>
      <c r="BF35" s="2135"/>
      <c r="BG35" s="2135"/>
      <c r="BH35" s="2135"/>
      <c r="BI35" s="2135"/>
      <c r="BJ35" s="2135"/>
      <c r="BK35" s="2135"/>
      <c r="BL35" s="2135"/>
      <c r="BM35" s="468"/>
      <c r="BN35" s="468"/>
      <c r="BO35" s="468"/>
      <c r="BP35" s="468"/>
      <c r="BQ35" s="468"/>
      <c r="BR35" s="468"/>
      <c r="BS35" s="468"/>
      <c r="BT35" s="468"/>
      <c r="BU35" s="468"/>
      <c r="BV35" s="468"/>
      <c r="BW35" s="468"/>
      <c r="BX35" s="468"/>
      <c r="BY35" s="2135"/>
      <c r="BZ35" s="2135"/>
      <c r="CA35" s="2135"/>
      <c r="CB35" s="2135"/>
      <c r="CC35" s="2135"/>
      <c r="CD35" s="2135"/>
      <c r="CE35" s="2135"/>
      <c r="CF35" s="2135"/>
      <c r="CG35" s="2135"/>
      <c r="CH35" s="468"/>
      <c r="CI35" s="468"/>
      <c r="CJ35" s="468"/>
      <c r="CK35" s="468"/>
      <c r="CL35" s="468"/>
      <c r="CM35" s="468"/>
      <c r="CN35" s="468"/>
      <c r="CO35" s="468"/>
      <c r="CP35" s="468"/>
      <c r="CQ35" s="468"/>
      <c r="CR35" s="468"/>
      <c r="CS35" s="468"/>
      <c r="CT35" s="468"/>
      <c r="CU35" s="468"/>
      <c r="CV35" s="468"/>
      <c r="CW35" s="468"/>
      <c r="CX35" s="468"/>
      <c r="CY35" s="468"/>
      <c r="CZ35" s="468"/>
      <c r="DA35" s="468"/>
      <c r="DB35" s="468"/>
      <c r="DC35" s="468"/>
      <c r="DD35" s="468"/>
      <c r="DE35" s="468"/>
      <c r="DF35" s="468"/>
      <c r="DG35" s="468"/>
      <c r="DH35" s="468"/>
      <c r="DI35" s="468"/>
      <c r="DJ35" s="2135"/>
      <c r="DK35" s="2135"/>
      <c r="DL35" s="2135"/>
      <c r="DM35" s="2135"/>
      <c r="DN35" s="2135"/>
      <c r="DO35" s="2135"/>
      <c r="DP35" s="2135"/>
      <c r="DQ35" s="2135"/>
      <c r="DR35" s="2135"/>
      <c r="DS35" s="2135"/>
      <c r="DT35" s="2135"/>
      <c r="DU35" s="2135"/>
      <c r="DV35" s="2135"/>
      <c r="DW35" s="2135"/>
      <c r="DX35" s="2135"/>
      <c r="DY35" s="468"/>
      <c r="DZ35" s="468"/>
      <c r="EA35" s="468"/>
      <c r="EB35" s="468"/>
      <c r="EC35" s="468"/>
      <c r="ED35" s="468"/>
      <c r="EE35" s="468"/>
      <c r="EF35" s="2135"/>
      <c r="EG35" s="2135"/>
      <c r="EH35" s="2135"/>
      <c r="EI35" s="471"/>
      <c r="EJ35" s="468"/>
      <c r="EK35" s="468"/>
      <c r="EL35" s="468"/>
      <c r="EM35" s="468"/>
      <c r="EN35" s="468"/>
      <c r="EO35" s="468"/>
      <c r="EP35" s="468"/>
      <c r="EQ35" s="468"/>
      <c r="ER35" s="468"/>
      <c r="ES35" s="468"/>
      <c r="ET35" s="468"/>
      <c r="EU35" s="468"/>
      <c r="EV35" s="468"/>
      <c r="EW35" s="468"/>
      <c r="EX35" s="468"/>
      <c r="EY35" s="468"/>
      <c r="EZ35" s="468"/>
      <c r="FA35" s="468"/>
      <c r="FB35" s="468"/>
      <c r="FC35" s="468"/>
      <c r="FD35" s="468"/>
      <c r="FE35" s="468"/>
      <c r="FF35" s="468"/>
      <c r="FG35" s="468"/>
      <c r="FH35" s="468"/>
      <c r="FI35" s="468"/>
      <c r="FJ35" s="468"/>
      <c r="FK35" s="468"/>
      <c r="FL35" s="468"/>
      <c r="FM35" s="2137"/>
      <c r="FN35" s="468"/>
      <c r="FO35" s="468"/>
      <c r="FP35" s="468"/>
      <c r="FQ35" s="468"/>
      <c r="FR35" s="468"/>
      <c r="FS35" s="468"/>
      <c r="FT35" s="468"/>
      <c r="FU35" s="468"/>
      <c r="FV35" s="468"/>
      <c r="FW35" s="468"/>
      <c r="FX35" s="468"/>
      <c r="FY35" s="468"/>
      <c r="FZ35" s="468"/>
      <c r="GA35" s="468"/>
      <c r="GB35" s="468"/>
      <c r="GC35" s="468"/>
      <c r="GD35" s="468"/>
      <c r="GE35" s="468"/>
      <c r="GF35" s="468"/>
      <c r="GG35" s="468"/>
      <c r="GH35" s="468"/>
      <c r="GI35" s="468"/>
      <c r="GJ35" s="468"/>
      <c r="GK35" s="468"/>
      <c r="GL35" s="468"/>
      <c r="GM35" s="468"/>
      <c r="GN35" s="468"/>
      <c r="GO35" s="468"/>
      <c r="GP35" s="468"/>
      <c r="GQ35" s="468"/>
      <c r="GR35" s="468"/>
      <c r="GS35" s="468"/>
      <c r="GT35" s="468"/>
      <c r="GU35" s="2135"/>
      <c r="GZ35" s="2032">
        <f>+GZ34+GZ33</f>
        <v>10015</v>
      </c>
      <c r="HA35" s="2032"/>
      <c r="HB35" s="2032"/>
      <c r="HC35" s="2032"/>
      <c r="HD35" s="2032"/>
      <c r="HE35" s="2032"/>
      <c r="HF35" s="2032"/>
    </row>
    <row r="36" spans="1:214" ht="15.6" outlineLevel="1">
      <c r="A36" s="2144" t="s">
        <v>1711</v>
      </c>
      <c r="B36" s="2142"/>
      <c r="C36" s="472"/>
      <c r="D36" s="2143"/>
      <c r="E36" s="2144"/>
      <c r="F36" s="2144"/>
      <c r="G36" s="470"/>
      <c r="H36" s="470"/>
      <c r="I36" s="470"/>
      <c r="J36" s="470"/>
      <c r="K36" s="470"/>
      <c r="L36" s="470"/>
      <c r="M36" s="470"/>
      <c r="N36" s="468"/>
      <c r="O36" s="468"/>
      <c r="P36" s="468"/>
      <c r="Q36" s="468"/>
      <c r="R36" s="468"/>
      <c r="S36" s="468"/>
      <c r="T36" s="468"/>
      <c r="U36" s="468"/>
      <c r="V36" s="468"/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468"/>
      <c r="AH36" s="468"/>
      <c r="AI36" s="468"/>
      <c r="AJ36" s="468"/>
      <c r="AK36" s="468"/>
      <c r="AL36" s="468"/>
      <c r="AM36" s="468"/>
      <c r="AN36" s="468"/>
      <c r="AO36" s="468"/>
      <c r="AP36" s="468"/>
      <c r="AQ36" s="468"/>
      <c r="AR36" s="468"/>
      <c r="AS36" s="468"/>
      <c r="AT36" s="468"/>
      <c r="AU36" s="468"/>
      <c r="AV36" s="468"/>
      <c r="AW36" s="468"/>
      <c r="AX36" s="468"/>
      <c r="AY36" s="468"/>
      <c r="AZ36" s="2135"/>
      <c r="BA36" s="2135"/>
      <c r="BB36" s="2135"/>
      <c r="BC36" s="2135"/>
      <c r="BD36" s="2135"/>
      <c r="BE36" s="2135"/>
      <c r="BF36" s="2135"/>
      <c r="BG36" s="2135"/>
      <c r="BH36" s="2135"/>
      <c r="BI36" s="2135"/>
      <c r="BJ36" s="2135"/>
      <c r="BK36" s="2135"/>
      <c r="BL36" s="2135"/>
      <c r="BM36" s="468"/>
      <c r="BN36" s="468"/>
      <c r="BO36" s="468"/>
      <c r="BP36" s="468"/>
      <c r="BQ36" s="468"/>
      <c r="BR36" s="468"/>
      <c r="BS36" s="468"/>
      <c r="BT36" s="468"/>
      <c r="BU36" s="468"/>
      <c r="BV36" s="468"/>
      <c r="BW36" s="468"/>
      <c r="BX36" s="468"/>
      <c r="BY36" s="2135"/>
      <c r="BZ36" s="2135"/>
      <c r="CA36" s="2135"/>
      <c r="CB36" s="2135"/>
      <c r="CC36" s="2135"/>
      <c r="CD36" s="2135"/>
      <c r="CE36" s="2135"/>
      <c r="CF36" s="2135"/>
      <c r="CG36" s="2135"/>
      <c r="CH36" s="468"/>
      <c r="CI36" s="468"/>
      <c r="CJ36" s="468"/>
      <c r="CK36" s="468"/>
      <c r="CL36" s="468"/>
      <c r="CM36" s="468"/>
      <c r="CN36" s="468"/>
      <c r="CO36" s="468"/>
      <c r="CP36" s="468"/>
      <c r="CQ36" s="468"/>
      <c r="CR36" s="468"/>
      <c r="CS36" s="468"/>
      <c r="CT36" s="468"/>
      <c r="CU36" s="468"/>
      <c r="CV36" s="468"/>
      <c r="CW36" s="468"/>
      <c r="CX36" s="468"/>
      <c r="CY36" s="468"/>
      <c r="CZ36" s="468"/>
      <c r="DA36" s="468"/>
      <c r="DB36" s="468"/>
      <c r="DC36" s="468"/>
      <c r="DD36" s="468"/>
      <c r="DE36" s="468"/>
      <c r="DF36" s="468"/>
      <c r="DG36" s="468"/>
      <c r="DH36" s="468"/>
      <c r="DI36" s="468"/>
      <c r="DJ36" s="2135"/>
      <c r="DK36" s="2135"/>
      <c r="DL36" s="2135"/>
      <c r="DM36" s="2135"/>
      <c r="DN36" s="2135"/>
      <c r="DO36" s="2135"/>
      <c r="DP36" s="2135"/>
      <c r="DQ36" s="2135"/>
      <c r="DR36" s="2135"/>
      <c r="DS36" s="2135"/>
      <c r="DT36" s="2135"/>
      <c r="DU36" s="2135"/>
      <c r="DV36" s="2135"/>
      <c r="DW36" s="2135"/>
      <c r="DX36" s="2135"/>
      <c r="DY36" s="468"/>
      <c r="DZ36" s="468"/>
      <c r="EA36" s="468"/>
      <c r="EB36" s="468"/>
      <c r="EC36" s="468"/>
      <c r="ED36" s="468"/>
      <c r="EE36" s="468"/>
      <c r="EF36" s="2135"/>
      <c r="EG36" s="2135"/>
      <c r="EH36" s="2135"/>
      <c r="EI36" s="471"/>
      <c r="EJ36" s="468"/>
      <c r="EK36" s="468"/>
      <c r="EL36" s="468"/>
      <c r="EM36" s="468"/>
      <c r="EN36" s="468"/>
      <c r="EO36" s="468"/>
      <c r="EP36" s="468"/>
      <c r="EQ36" s="468"/>
      <c r="ER36" s="468"/>
      <c r="ES36" s="468"/>
      <c r="ET36" s="468"/>
      <c r="EU36" s="468"/>
      <c r="EV36" s="468"/>
      <c r="EW36" s="468"/>
      <c r="EX36" s="468"/>
      <c r="EY36" s="468"/>
      <c r="EZ36" s="468"/>
      <c r="FA36" s="468"/>
      <c r="FB36" s="468"/>
      <c r="FC36" s="468"/>
      <c r="FD36" s="468"/>
      <c r="FE36" s="468"/>
      <c r="FF36" s="468"/>
      <c r="FG36" s="468"/>
      <c r="FH36" s="468"/>
      <c r="FI36" s="468"/>
      <c r="FJ36" s="468"/>
      <c r="FK36" s="468"/>
      <c r="FL36" s="468"/>
      <c r="FM36" s="2137"/>
      <c r="FN36" s="468"/>
      <c r="FO36" s="468"/>
      <c r="FP36" s="468"/>
      <c r="FQ36" s="468"/>
      <c r="FR36" s="468"/>
      <c r="FS36" s="468"/>
      <c r="FT36" s="468"/>
      <c r="FU36" s="468"/>
      <c r="FV36" s="468"/>
      <c r="FW36" s="468"/>
      <c r="FX36" s="468"/>
      <c r="FY36" s="468"/>
      <c r="FZ36" s="468"/>
      <c r="GA36" s="468"/>
      <c r="GB36" s="468"/>
      <c r="GC36" s="468"/>
      <c r="GD36" s="468"/>
      <c r="GE36" s="468"/>
      <c r="GF36" s="468"/>
      <c r="GG36" s="468"/>
      <c r="GH36" s="468"/>
      <c r="GI36" s="468"/>
      <c r="GJ36" s="468"/>
      <c r="GK36" s="468"/>
      <c r="GL36" s="468"/>
      <c r="GM36" s="468"/>
      <c r="GN36" s="468"/>
      <c r="GO36" s="468"/>
      <c r="GP36" s="468"/>
      <c r="GQ36" s="468"/>
      <c r="GR36" s="468"/>
      <c r="GS36" s="468"/>
      <c r="GT36" s="468"/>
      <c r="GU36" s="2135"/>
      <c r="GZ36" s="2032">
        <f>+GZ35+1800</f>
        <v>11815</v>
      </c>
      <c r="HA36" s="2032"/>
      <c r="HB36" s="2032"/>
      <c r="HC36" s="2032"/>
      <c r="HD36" s="2032"/>
      <c r="HE36" s="2032"/>
      <c r="HF36" s="2032"/>
    </row>
    <row r="37" spans="1:214" ht="15.6" outlineLevel="1">
      <c r="A37" s="2144" t="s">
        <v>1712</v>
      </c>
      <c r="B37" s="2142"/>
      <c r="C37" s="473"/>
      <c r="D37" s="2143"/>
      <c r="E37" s="2144"/>
      <c r="F37" s="2144"/>
      <c r="G37" s="470"/>
      <c r="H37" s="470"/>
      <c r="I37" s="470"/>
      <c r="J37" s="470"/>
      <c r="K37" s="470"/>
      <c r="L37" s="470"/>
      <c r="M37" s="470"/>
      <c r="N37" s="468"/>
      <c r="O37" s="468"/>
      <c r="P37" s="468"/>
      <c r="Q37" s="468"/>
      <c r="R37" s="468"/>
      <c r="S37" s="468"/>
      <c r="T37" s="468"/>
      <c r="U37" s="468"/>
      <c r="V37" s="468"/>
      <c r="W37" s="468"/>
      <c r="X37" s="468"/>
      <c r="Y37" s="468"/>
      <c r="Z37" s="468"/>
      <c r="AA37" s="468"/>
      <c r="AB37" s="468"/>
      <c r="AC37" s="468"/>
      <c r="AD37" s="468"/>
      <c r="AE37" s="468"/>
      <c r="AF37" s="468"/>
      <c r="AG37" s="468"/>
      <c r="AH37" s="468"/>
      <c r="AI37" s="468"/>
      <c r="AJ37" s="468"/>
      <c r="AK37" s="468"/>
      <c r="AL37" s="468"/>
      <c r="AM37" s="468"/>
      <c r="AN37" s="468"/>
      <c r="AO37" s="468"/>
      <c r="AP37" s="468"/>
      <c r="AQ37" s="468"/>
      <c r="AR37" s="468"/>
      <c r="AS37" s="468"/>
      <c r="AT37" s="468"/>
      <c r="AU37" s="468"/>
      <c r="AV37" s="468"/>
      <c r="AW37" s="468"/>
      <c r="AX37" s="468"/>
      <c r="AY37" s="468"/>
      <c r="AZ37" s="2135"/>
      <c r="BA37" s="2135"/>
      <c r="BB37" s="2135"/>
      <c r="BC37" s="2135"/>
      <c r="BD37" s="2135"/>
      <c r="BE37" s="2135"/>
      <c r="BF37" s="2135"/>
      <c r="BG37" s="2135"/>
      <c r="BH37" s="2135"/>
      <c r="BI37" s="2135"/>
      <c r="BJ37" s="2135"/>
      <c r="BK37" s="2135"/>
      <c r="BL37" s="2135"/>
      <c r="BM37" s="468"/>
      <c r="BN37" s="468"/>
      <c r="BO37" s="468"/>
      <c r="BP37" s="468"/>
      <c r="BQ37" s="468"/>
      <c r="BR37" s="468"/>
      <c r="BS37" s="468"/>
      <c r="BT37" s="468"/>
      <c r="BU37" s="468"/>
      <c r="BV37" s="468"/>
      <c r="BW37" s="468"/>
      <c r="BX37" s="468"/>
      <c r="BY37" s="2135"/>
      <c r="BZ37" s="2135"/>
      <c r="CA37" s="2135"/>
      <c r="CB37" s="2135"/>
      <c r="CC37" s="2135"/>
      <c r="CD37" s="2135"/>
      <c r="CE37" s="2135"/>
      <c r="CF37" s="2135"/>
      <c r="CG37" s="2135"/>
      <c r="CH37" s="468"/>
      <c r="CI37" s="468"/>
      <c r="CJ37" s="468"/>
      <c r="CK37" s="468"/>
      <c r="CL37" s="468"/>
      <c r="CM37" s="468"/>
      <c r="CN37" s="468"/>
      <c r="CO37" s="468"/>
      <c r="CP37" s="468"/>
      <c r="CQ37" s="468"/>
      <c r="CR37" s="468"/>
      <c r="CS37" s="468"/>
      <c r="CT37" s="468"/>
      <c r="CU37" s="468"/>
      <c r="CV37" s="468"/>
      <c r="CW37" s="468"/>
      <c r="CX37" s="468"/>
      <c r="CY37" s="468"/>
      <c r="CZ37" s="468"/>
      <c r="DA37" s="468"/>
      <c r="DB37" s="468"/>
      <c r="DC37" s="468"/>
      <c r="DD37" s="468"/>
      <c r="DE37" s="468"/>
      <c r="DF37" s="468"/>
      <c r="DG37" s="468"/>
      <c r="DH37" s="468"/>
      <c r="DI37" s="468"/>
      <c r="DJ37" s="2135"/>
      <c r="DK37" s="2135"/>
      <c r="DL37" s="2135"/>
      <c r="DM37" s="2135"/>
      <c r="DN37" s="2135"/>
      <c r="DO37" s="2135"/>
      <c r="DP37" s="2135"/>
      <c r="DQ37" s="2135"/>
      <c r="DR37" s="2135"/>
      <c r="DS37" s="2135"/>
      <c r="DT37" s="2135"/>
      <c r="DU37" s="2135"/>
      <c r="DV37" s="2135"/>
      <c r="DW37" s="2135"/>
      <c r="DX37" s="2135"/>
      <c r="DY37" s="468"/>
      <c r="DZ37" s="468"/>
      <c r="EA37" s="468"/>
      <c r="EB37" s="468"/>
      <c r="EC37" s="468"/>
      <c r="ED37" s="468"/>
      <c r="EE37" s="468"/>
      <c r="EF37" s="2135"/>
      <c r="EG37" s="2135"/>
      <c r="EH37" s="2135"/>
      <c r="EI37" s="471"/>
      <c r="EJ37" s="468"/>
      <c r="EK37" s="468"/>
      <c r="EL37" s="468"/>
      <c r="EM37" s="468"/>
      <c r="EN37" s="468"/>
      <c r="EO37" s="468"/>
      <c r="EP37" s="468"/>
      <c r="EQ37" s="468"/>
      <c r="ER37" s="468"/>
      <c r="ES37" s="468"/>
      <c r="ET37" s="468"/>
      <c r="EU37" s="468"/>
      <c r="EV37" s="468"/>
      <c r="EW37" s="468"/>
      <c r="EX37" s="468"/>
      <c r="EY37" s="468"/>
      <c r="EZ37" s="468"/>
      <c r="FA37" s="468"/>
      <c r="FB37" s="468"/>
      <c r="FC37" s="468"/>
      <c r="FD37" s="468"/>
      <c r="FE37" s="468"/>
      <c r="FF37" s="468"/>
      <c r="FG37" s="468"/>
      <c r="FH37" s="468"/>
      <c r="FI37" s="468"/>
      <c r="FJ37" s="468"/>
      <c r="FK37" s="468"/>
      <c r="FL37" s="468"/>
      <c r="FM37" s="2137"/>
      <c r="FN37" s="468"/>
      <c r="FO37" s="468"/>
      <c r="FP37" s="468"/>
      <c r="FQ37" s="468"/>
      <c r="FR37" s="468"/>
      <c r="FS37" s="468"/>
      <c r="FT37" s="468"/>
      <c r="FU37" s="468"/>
      <c r="FV37" s="468"/>
      <c r="FW37" s="468"/>
      <c r="FX37" s="468"/>
      <c r="FY37" s="468"/>
      <c r="FZ37" s="468"/>
      <c r="GA37" s="468"/>
      <c r="GB37" s="468"/>
      <c r="GC37" s="468"/>
      <c r="GD37" s="468"/>
      <c r="GE37" s="468"/>
      <c r="GF37" s="468"/>
      <c r="GG37" s="468"/>
      <c r="GH37" s="468"/>
      <c r="GI37" s="468"/>
      <c r="GJ37" s="468"/>
      <c r="GK37" s="468"/>
      <c r="GL37" s="468"/>
      <c r="GM37" s="468"/>
      <c r="GN37" s="468"/>
      <c r="GO37" s="468"/>
      <c r="GP37" s="468"/>
      <c r="GQ37" s="468"/>
      <c r="GR37" s="468"/>
      <c r="GS37" s="468"/>
      <c r="GT37" s="468"/>
      <c r="GU37" s="2135"/>
      <c r="GZ37" s="2032"/>
      <c r="HA37" s="2032"/>
      <c r="HB37" s="2032"/>
      <c r="HC37" s="2032"/>
      <c r="HD37" s="2032"/>
      <c r="HE37" s="2032"/>
      <c r="HF37" s="2032"/>
    </row>
    <row r="38" spans="1:214" ht="15.6" outlineLevel="1">
      <c r="A38" s="2144" t="s">
        <v>1713</v>
      </c>
      <c r="B38" s="2142"/>
      <c r="C38" s="472"/>
      <c r="D38" s="2143"/>
      <c r="E38" s="2144"/>
      <c r="F38" s="2144"/>
      <c r="G38" s="470"/>
      <c r="H38" s="470"/>
      <c r="I38" s="470"/>
      <c r="J38" s="470"/>
      <c r="K38" s="470"/>
      <c r="L38" s="470"/>
      <c r="M38" s="470"/>
      <c r="N38" s="468"/>
      <c r="O38" s="468"/>
      <c r="P38" s="468"/>
      <c r="Q38" s="468"/>
      <c r="R38" s="468"/>
      <c r="S38" s="468"/>
      <c r="T38" s="468"/>
      <c r="U38" s="468"/>
      <c r="V38" s="468"/>
      <c r="W38" s="468"/>
      <c r="X38" s="468"/>
      <c r="Y38" s="468"/>
      <c r="Z38" s="468"/>
      <c r="AA38" s="468"/>
      <c r="AB38" s="468"/>
      <c r="AC38" s="468"/>
      <c r="AD38" s="468"/>
      <c r="AE38" s="468"/>
      <c r="AF38" s="468"/>
      <c r="AG38" s="468"/>
      <c r="AH38" s="468"/>
      <c r="AI38" s="468"/>
      <c r="AJ38" s="468"/>
      <c r="AK38" s="468"/>
      <c r="AL38" s="468"/>
      <c r="AM38" s="468"/>
      <c r="AN38" s="468"/>
      <c r="AO38" s="468"/>
      <c r="AP38" s="468"/>
      <c r="AQ38" s="468"/>
      <c r="AR38" s="468"/>
      <c r="AS38" s="468"/>
      <c r="AT38" s="468"/>
      <c r="AU38" s="468"/>
      <c r="AV38" s="468"/>
      <c r="AW38" s="468"/>
      <c r="AX38" s="468"/>
      <c r="AY38" s="468"/>
      <c r="AZ38" s="2135"/>
      <c r="BA38" s="2135"/>
      <c r="BB38" s="2135"/>
      <c r="BC38" s="2135"/>
      <c r="BD38" s="2135"/>
      <c r="BE38" s="2135"/>
      <c r="BF38" s="2135"/>
      <c r="BG38" s="2135"/>
      <c r="BH38" s="2135"/>
      <c r="BI38" s="2135"/>
      <c r="BJ38" s="2135"/>
      <c r="BK38" s="2135"/>
      <c r="BL38" s="2135"/>
      <c r="BM38" s="468"/>
      <c r="BN38" s="468"/>
      <c r="BO38" s="468"/>
      <c r="BP38" s="468"/>
      <c r="BQ38" s="468"/>
      <c r="BR38" s="468"/>
      <c r="BS38" s="468"/>
      <c r="BT38" s="468"/>
      <c r="BU38" s="468"/>
      <c r="BV38" s="468"/>
      <c r="BW38" s="468"/>
      <c r="BX38" s="468"/>
      <c r="BY38" s="2135"/>
      <c r="BZ38" s="2135"/>
      <c r="CA38" s="2135"/>
      <c r="CB38" s="2135"/>
      <c r="CC38" s="2135"/>
      <c r="CD38" s="2135"/>
      <c r="CE38" s="2135"/>
      <c r="CF38" s="2135"/>
      <c r="CG38" s="2135"/>
      <c r="CH38" s="468"/>
      <c r="CI38" s="468"/>
      <c r="CJ38" s="468"/>
      <c r="CK38" s="468"/>
      <c r="CL38" s="468"/>
      <c r="CM38" s="468"/>
      <c r="CN38" s="468"/>
      <c r="CO38" s="468"/>
      <c r="CP38" s="468"/>
      <c r="CQ38" s="468"/>
      <c r="CR38" s="468"/>
      <c r="CS38" s="468"/>
      <c r="CT38" s="468"/>
      <c r="CU38" s="468"/>
      <c r="CV38" s="468"/>
      <c r="CW38" s="468"/>
      <c r="CX38" s="468"/>
      <c r="CY38" s="468"/>
      <c r="CZ38" s="468"/>
      <c r="DA38" s="468"/>
      <c r="DB38" s="468"/>
      <c r="DC38" s="468"/>
      <c r="DD38" s="468"/>
      <c r="DE38" s="468"/>
      <c r="DF38" s="468"/>
      <c r="DG38" s="468"/>
      <c r="DH38" s="468"/>
      <c r="DI38" s="468"/>
      <c r="DJ38" s="2135"/>
      <c r="DK38" s="2135"/>
      <c r="DL38" s="2135"/>
      <c r="DM38" s="2135"/>
      <c r="DN38" s="2135"/>
      <c r="DO38" s="2135"/>
      <c r="DP38" s="2135"/>
      <c r="DQ38" s="2135"/>
      <c r="DR38" s="2135"/>
      <c r="DS38" s="2135"/>
      <c r="DT38" s="2135"/>
      <c r="DU38" s="2135"/>
      <c r="DV38" s="2135"/>
      <c r="DW38" s="2135"/>
      <c r="DX38" s="2135"/>
      <c r="DY38" s="468"/>
      <c r="DZ38" s="468"/>
      <c r="EA38" s="468"/>
      <c r="EB38" s="468"/>
      <c r="EC38" s="468"/>
      <c r="ED38" s="468"/>
      <c r="EE38" s="468"/>
      <c r="EF38" s="2135"/>
      <c r="EG38" s="2135"/>
      <c r="EH38" s="2135"/>
      <c r="EI38" s="471"/>
      <c r="EJ38" s="468"/>
      <c r="EK38" s="468"/>
      <c r="EL38" s="468"/>
      <c r="EM38" s="468"/>
      <c r="EN38" s="468"/>
      <c r="EO38" s="468"/>
      <c r="EP38" s="468"/>
      <c r="EQ38" s="468"/>
      <c r="ER38" s="468"/>
      <c r="ES38" s="468"/>
      <c r="ET38" s="468"/>
      <c r="EU38" s="468"/>
      <c r="EV38" s="468"/>
      <c r="EW38" s="468"/>
      <c r="EX38" s="468"/>
      <c r="EY38" s="468"/>
      <c r="EZ38" s="468"/>
      <c r="FA38" s="468"/>
      <c r="FB38" s="468"/>
      <c r="FC38" s="468"/>
      <c r="FD38" s="468"/>
      <c r="FE38" s="468"/>
      <c r="FF38" s="468"/>
      <c r="FG38" s="468"/>
      <c r="FH38" s="468"/>
      <c r="FI38" s="468"/>
      <c r="FJ38" s="468"/>
      <c r="FK38" s="468"/>
      <c r="FL38" s="468"/>
      <c r="FM38" s="2137"/>
      <c r="FN38" s="468"/>
      <c r="FO38" s="468"/>
      <c r="FP38" s="468"/>
      <c r="FQ38" s="468"/>
      <c r="FR38" s="468"/>
      <c r="FS38" s="468"/>
      <c r="FT38" s="468"/>
      <c r="FU38" s="468"/>
      <c r="FV38" s="468"/>
      <c r="FW38" s="468"/>
      <c r="FX38" s="468"/>
      <c r="FY38" s="468"/>
      <c r="FZ38" s="468"/>
      <c r="GA38" s="468"/>
      <c r="GB38" s="468"/>
      <c r="GC38" s="468"/>
      <c r="GD38" s="468"/>
      <c r="GE38" s="468"/>
      <c r="GF38" s="468"/>
      <c r="GG38" s="468"/>
      <c r="GH38" s="468"/>
      <c r="GI38" s="468"/>
      <c r="GJ38" s="468"/>
      <c r="GK38" s="468"/>
      <c r="GL38" s="468"/>
      <c r="GM38" s="468"/>
      <c r="GN38" s="468"/>
      <c r="GO38" s="468"/>
      <c r="GP38" s="468"/>
      <c r="GQ38" s="468"/>
      <c r="GR38" s="468"/>
      <c r="GS38" s="468"/>
      <c r="GT38" s="468"/>
      <c r="GU38" s="2135"/>
      <c r="GZ38" s="2032"/>
      <c r="HA38" s="2032"/>
      <c r="HB38" s="2032"/>
      <c r="HC38" s="2032"/>
      <c r="HD38" s="2032"/>
      <c r="HE38" s="2032"/>
      <c r="HF38" s="2032"/>
    </row>
    <row r="39" spans="1:214" ht="15.6" outlineLevel="1">
      <c r="A39" s="2144" t="s">
        <v>1715</v>
      </c>
      <c r="B39" s="2142"/>
      <c r="C39" s="473"/>
      <c r="D39" s="2143"/>
      <c r="E39" s="2144"/>
      <c r="F39" s="2144"/>
      <c r="G39" s="470"/>
      <c r="H39" s="470"/>
      <c r="I39" s="470"/>
      <c r="J39" s="470"/>
      <c r="K39" s="470"/>
      <c r="L39" s="470"/>
      <c r="M39" s="470"/>
      <c r="N39" s="468"/>
      <c r="O39" s="468"/>
      <c r="P39" s="468"/>
      <c r="Q39" s="468"/>
      <c r="R39" s="468"/>
      <c r="S39" s="468"/>
      <c r="T39" s="468"/>
      <c r="U39" s="468"/>
      <c r="V39" s="468"/>
      <c r="W39" s="468"/>
      <c r="X39" s="468"/>
      <c r="Y39" s="468"/>
      <c r="Z39" s="468"/>
      <c r="AA39" s="468"/>
      <c r="AB39" s="468"/>
      <c r="AC39" s="468"/>
      <c r="AD39" s="468"/>
      <c r="AE39" s="468"/>
      <c r="AF39" s="468"/>
      <c r="AG39" s="468"/>
      <c r="AH39" s="468"/>
      <c r="AI39" s="468"/>
      <c r="AJ39" s="468"/>
      <c r="AK39" s="468"/>
      <c r="AL39" s="468"/>
      <c r="AM39" s="468"/>
      <c r="AN39" s="468"/>
      <c r="AO39" s="468"/>
      <c r="AP39" s="468"/>
      <c r="AQ39" s="468"/>
      <c r="AR39" s="468"/>
      <c r="AS39" s="468"/>
      <c r="AT39" s="468"/>
      <c r="AU39" s="468"/>
      <c r="AV39" s="468"/>
      <c r="AW39" s="468"/>
      <c r="AX39" s="468"/>
      <c r="AY39" s="468"/>
      <c r="AZ39" s="2135"/>
      <c r="BA39" s="2135"/>
      <c r="BB39" s="2135"/>
      <c r="BC39" s="2135"/>
      <c r="BD39" s="2135"/>
      <c r="BE39" s="2135"/>
      <c r="BF39" s="2135"/>
      <c r="BG39" s="2135"/>
      <c r="BH39" s="2135"/>
      <c r="BI39" s="2135"/>
      <c r="BJ39" s="2135"/>
      <c r="BK39" s="2135"/>
      <c r="BL39" s="2135"/>
      <c r="BM39" s="468"/>
      <c r="BN39" s="468"/>
      <c r="BO39" s="468"/>
      <c r="BP39" s="468"/>
      <c r="BQ39" s="468"/>
      <c r="BR39" s="468"/>
      <c r="BS39" s="468"/>
      <c r="BT39" s="468"/>
      <c r="BU39" s="468"/>
      <c r="BV39" s="468"/>
      <c r="BW39" s="468"/>
      <c r="BX39" s="468"/>
      <c r="BY39" s="2135"/>
      <c r="BZ39" s="2135"/>
      <c r="CA39" s="2135"/>
      <c r="CB39" s="2135"/>
      <c r="CC39" s="2135"/>
      <c r="CD39" s="2135"/>
      <c r="CE39" s="2135"/>
      <c r="CF39" s="2135"/>
      <c r="CG39" s="2135"/>
      <c r="CH39" s="468"/>
      <c r="CI39" s="468"/>
      <c r="CJ39" s="468"/>
      <c r="CK39" s="468"/>
      <c r="CL39" s="468"/>
      <c r="CM39" s="468"/>
      <c r="CN39" s="468"/>
      <c r="CO39" s="468"/>
      <c r="CP39" s="468"/>
      <c r="CQ39" s="468"/>
      <c r="CR39" s="468"/>
      <c r="CS39" s="468"/>
      <c r="CT39" s="468"/>
      <c r="CU39" s="468"/>
      <c r="CV39" s="468"/>
      <c r="CW39" s="468"/>
      <c r="CX39" s="468"/>
      <c r="CY39" s="468"/>
      <c r="CZ39" s="468"/>
      <c r="DA39" s="468"/>
      <c r="DB39" s="468"/>
      <c r="DC39" s="468"/>
      <c r="DD39" s="468"/>
      <c r="DE39" s="468"/>
      <c r="DF39" s="468"/>
      <c r="DG39" s="468"/>
      <c r="DH39" s="468"/>
      <c r="DI39" s="468"/>
      <c r="DJ39" s="2135"/>
      <c r="DK39" s="2135"/>
      <c r="DL39" s="2135"/>
      <c r="DM39" s="2135"/>
      <c r="DN39" s="2135"/>
      <c r="DO39" s="2135"/>
      <c r="DP39" s="2135"/>
      <c r="DQ39" s="2135"/>
      <c r="DR39" s="2135"/>
      <c r="DS39" s="2135"/>
      <c r="DT39" s="2135"/>
      <c r="DU39" s="2135"/>
      <c r="DV39" s="2135"/>
      <c r="DW39" s="2135"/>
      <c r="DX39" s="2135"/>
      <c r="DY39" s="468"/>
      <c r="DZ39" s="468"/>
      <c r="EA39" s="468"/>
      <c r="EB39" s="468"/>
      <c r="EC39" s="468"/>
      <c r="ED39" s="468"/>
      <c r="EE39" s="468"/>
      <c r="EF39" s="2135"/>
      <c r="EG39" s="2135"/>
      <c r="EH39" s="2135"/>
      <c r="EI39" s="471"/>
      <c r="EJ39" s="468"/>
      <c r="EK39" s="468"/>
      <c r="EL39" s="468"/>
      <c r="EM39" s="468"/>
      <c r="EN39" s="468"/>
      <c r="EO39" s="468"/>
      <c r="EP39" s="468"/>
      <c r="EQ39" s="468"/>
      <c r="ER39" s="468"/>
      <c r="ES39" s="468"/>
      <c r="ET39" s="468"/>
      <c r="EU39" s="468"/>
      <c r="EV39" s="468"/>
      <c r="EW39" s="468"/>
      <c r="EX39" s="468"/>
      <c r="EY39" s="468"/>
      <c r="EZ39" s="468"/>
      <c r="FA39" s="468"/>
      <c r="FB39" s="468"/>
      <c r="FC39" s="468"/>
      <c r="FD39" s="468"/>
      <c r="FE39" s="468"/>
      <c r="FF39" s="468"/>
      <c r="FG39" s="468"/>
      <c r="FH39" s="468"/>
      <c r="FI39" s="468"/>
      <c r="FJ39" s="468"/>
      <c r="FK39" s="468"/>
      <c r="FL39" s="468"/>
      <c r="FM39" s="2137"/>
      <c r="FN39" s="468"/>
      <c r="FO39" s="468"/>
      <c r="FP39" s="468"/>
      <c r="FQ39" s="468"/>
      <c r="FR39" s="468"/>
      <c r="FS39" s="468"/>
      <c r="FT39" s="468"/>
      <c r="FU39" s="468"/>
      <c r="FV39" s="468"/>
      <c r="FW39" s="468"/>
      <c r="FX39" s="468"/>
      <c r="FY39" s="468"/>
      <c r="FZ39" s="468"/>
      <c r="GA39" s="468"/>
      <c r="GB39" s="468"/>
      <c r="GC39" s="468"/>
      <c r="GD39" s="468"/>
      <c r="GE39" s="468"/>
      <c r="GF39" s="468"/>
      <c r="GG39" s="468"/>
      <c r="GH39" s="468"/>
      <c r="GI39" s="468"/>
      <c r="GJ39" s="468"/>
      <c r="GK39" s="468"/>
      <c r="GL39" s="468"/>
      <c r="GM39" s="468"/>
      <c r="GN39" s="468"/>
      <c r="GO39" s="468"/>
      <c r="GP39" s="468"/>
      <c r="GQ39" s="468"/>
      <c r="GR39" s="468"/>
      <c r="GS39" s="468"/>
      <c r="GT39" s="468"/>
      <c r="GU39" s="2135"/>
      <c r="GZ39" s="2032"/>
      <c r="HA39" s="2032"/>
      <c r="HB39" s="2032"/>
      <c r="HC39" s="2032"/>
      <c r="HD39" s="2032"/>
      <c r="HE39" s="2032"/>
      <c r="HF39" s="2032"/>
    </row>
    <row r="40" spans="1:214" ht="15.6" outlineLevel="1">
      <c r="A40" s="2144" t="s">
        <v>1714</v>
      </c>
      <c r="B40" s="2142"/>
      <c r="C40" s="475"/>
      <c r="D40" s="2143"/>
      <c r="E40" s="2144"/>
      <c r="F40" s="2144"/>
      <c r="G40" s="470"/>
      <c r="H40" s="470"/>
      <c r="I40" s="470"/>
      <c r="J40" s="470"/>
      <c r="K40" s="470"/>
      <c r="L40" s="470"/>
      <c r="M40" s="470"/>
      <c r="N40" s="468"/>
      <c r="O40" s="468"/>
      <c r="P40" s="468"/>
      <c r="Q40" s="468"/>
      <c r="R40" s="468"/>
      <c r="S40" s="468"/>
      <c r="T40" s="468"/>
      <c r="U40" s="468"/>
      <c r="V40" s="468"/>
      <c r="W40" s="468"/>
      <c r="X40" s="468"/>
      <c r="Y40" s="468"/>
      <c r="Z40" s="468"/>
      <c r="AA40" s="468"/>
      <c r="AB40" s="468"/>
      <c r="AC40" s="468"/>
      <c r="AD40" s="468"/>
      <c r="AE40" s="468"/>
      <c r="AF40" s="468"/>
      <c r="AG40" s="468"/>
      <c r="AH40" s="468"/>
      <c r="AI40" s="468"/>
      <c r="AJ40" s="468"/>
      <c r="AK40" s="468"/>
      <c r="AL40" s="468"/>
      <c r="AM40" s="468"/>
      <c r="AN40" s="468"/>
      <c r="AO40" s="468"/>
      <c r="AP40" s="468"/>
      <c r="AQ40" s="468"/>
      <c r="AR40" s="468"/>
      <c r="AS40" s="468"/>
      <c r="AT40" s="468"/>
      <c r="AU40" s="468"/>
      <c r="AV40" s="468"/>
      <c r="AW40" s="468"/>
      <c r="AX40" s="468"/>
      <c r="AY40" s="468"/>
      <c r="AZ40" s="2135"/>
      <c r="BA40" s="2135"/>
      <c r="BB40" s="2135"/>
      <c r="BC40" s="2135"/>
      <c r="BD40" s="2135"/>
      <c r="BE40" s="2135"/>
      <c r="BF40" s="2135"/>
      <c r="BG40" s="2135"/>
      <c r="BH40" s="2135"/>
      <c r="BI40" s="2135"/>
      <c r="BJ40" s="2135"/>
      <c r="BK40" s="2135"/>
      <c r="BL40" s="2135"/>
      <c r="BM40" s="468"/>
      <c r="BN40" s="468"/>
      <c r="BO40" s="468"/>
      <c r="BP40" s="468"/>
      <c r="BQ40" s="468"/>
      <c r="BR40" s="468"/>
      <c r="BS40" s="468"/>
      <c r="BT40" s="468"/>
      <c r="BU40" s="468"/>
      <c r="BV40" s="468"/>
      <c r="BW40" s="468"/>
      <c r="BX40" s="468"/>
      <c r="BY40" s="2135"/>
      <c r="BZ40" s="2135"/>
      <c r="CA40" s="2135"/>
      <c r="CB40" s="2135"/>
      <c r="CC40" s="2135"/>
      <c r="CD40" s="2135"/>
      <c r="CE40" s="2135"/>
      <c r="CF40" s="2135"/>
      <c r="CG40" s="2135"/>
      <c r="CH40" s="468"/>
      <c r="CI40" s="468"/>
      <c r="CJ40" s="468"/>
      <c r="CK40" s="468"/>
      <c r="CL40" s="468"/>
      <c r="CM40" s="468"/>
      <c r="CN40" s="468"/>
      <c r="CO40" s="468"/>
      <c r="CP40" s="468"/>
      <c r="CQ40" s="468"/>
      <c r="CR40" s="468"/>
      <c r="CS40" s="468"/>
      <c r="CT40" s="468"/>
      <c r="CU40" s="468"/>
      <c r="CV40" s="468"/>
      <c r="CW40" s="468"/>
      <c r="CX40" s="468"/>
      <c r="CY40" s="468"/>
      <c r="CZ40" s="468"/>
      <c r="DA40" s="468"/>
      <c r="DB40" s="468"/>
      <c r="DC40" s="468"/>
      <c r="DD40" s="468"/>
      <c r="DE40" s="468"/>
      <c r="DF40" s="468"/>
      <c r="DG40" s="468"/>
      <c r="DH40" s="468"/>
      <c r="DI40" s="468"/>
      <c r="DJ40" s="468"/>
      <c r="DK40" s="468"/>
      <c r="DL40" s="468"/>
      <c r="DM40" s="468"/>
      <c r="DN40" s="468"/>
      <c r="DO40" s="468"/>
      <c r="DP40" s="468"/>
      <c r="DQ40" s="468"/>
      <c r="DR40" s="468"/>
      <c r="DS40" s="468"/>
      <c r="DT40" s="468"/>
      <c r="DU40" s="468"/>
      <c r="DV40" s="468"/>
      <c r="DW40" s="468"/>
      <c r="DX40" s="468"/>
      <c r="DY40" s="468"/>
      <c r="DZ40" s="468"/>
      <c r="EA40" s="468"/>
      <c r="EB40" s="468"/>
      <c r="EC40" s="468"/>
      <c r="ED40" s="468"/>
      <c r="EE40" s="468"/>
      <c r="EF40" s="468"/>
      <c r="EG40" s="468"/>
      <c r="EH40" s="468"/>
      <c r="EI40" s="471"/>
      <c r="EJ40" s="468"/>
      <c r="EK40" s="468"/>
      <c r="EL40" s="468"/>
      <c r="EM40" s="468"/>
      <c r="EN40" s="468"/>
      <c r="EO40" s="468"/>
      <c r="EP40" s="468"/>
      <c r="EQ40" s="468"/>
      <c r="ER40" s="468"/>
      <c r="ES40" s="468"/>
      <c r="ET40" s="468"/>
      <c r="EU40" s="468"/>
      <c r="EV40" s="468"/>
      <c r="EW40" s="468"/>
      <c r="EX40" s="468"/>
      <c r="EY40" s="468"/>
      <c r="EZ40" s="468"/>
      <c r="FA40" s="468"/>
      <c r="FB40" s="468"/>
      <c r="FC40" s="468"/>
      <c r="FD40" s="468"/>
      <c r="FE40" s="468"/>
      <c r="FF40" s="468"/>
      <c r="FG40" s="468"/>
      <c r="FH40" s="468"/>
      <c r="FI40" s="468"/>
      <c r="FJ40" s="468"/>
      <c r="FK40" s="468"/>
      <c r="FL40" s="468"/>
      <c r="FM40" s="2137"/>
      <c r="FN40" s="468"/>
      <c r="FO40" s="468"/>
      <c r="FP40" s="468"/>
      <c r="FQ40" s="468"/>
      <c r="FR40" s="468"/>
      <c r="FS40" s="468"/>
      <c r="FT40" s="468"/>
      <c r="FU40" s="468"/>
      <c r="FV40" s="468"/>
      <c r="FW40" s="468"/>
      <c r="FX40" s="468"/>
      <c r="FY40" s="468"/>
      <c r="FZ40" s="468"/>
      <c r="GA40" s="468"/>
      <c r="GB40" s="468"/>
      <c r="GC40" s="468"/>
      <c r="GD40" s="468"/>
      <c r="GE40" s="468"/>
      <c r="GF40" s="468"/>
      <c r="GG40" s="468"/>
      <c r="GH40" s="468"/>
      <c r="GI40" s="468"/>
      <c r="GJ40" s="468"/>
      <c r="GK40" s="468"/>
      <c r="GL40" s="468"/>
      <c r="GM40" s="468"/>
      <c r="GN40" s="468"/>
      <c r="GO40" s="468"/>
      <c r="GP40" s="468"/>
      <c r="GQ40" s="468"/>
      <c r="GR40" s="468"/>
      <c r="GS40" s="468"/>
      <c r="GT40" s="468"/>
      <c r="GU40" s="2135"/>
      <c r="GZ40" s="2032"/>
      <c r="HA40" s="2032"/>
      <c r="HB40" s="2032"/>
      <c r="HC40" s="2032"/>
      <c r="HD40" s="2032"/>
      <c r="HE40" s="2032"/>
      <c r="HF40" s="2032"/>
    </row>
    <row r="41" spans="1:214" ht="15.6" outlineLevel="1">
      <c r="A41" s="2144" t="s">
        <v>1717</v>
      </c>
      <c r="B41" s="2142"/>
      <c r="C41" s="473"/>
      <c r="D41" s="470"/>
      <c r="E41" s="470"/>
      <c r="F41" s="470"/>
      <c r="G41" s="470"/>
      <c r="H41" s="470"/>
      <c r="I41" s="470"/>
      <c r="J41" s="470"/>
      <c r="K41" s="470"/>
      <c r="L41" s="470"/>
      <c r="M41" s="470"/>
      <c r="N41" s="470"/>
      <c r="O41" s="470"/>
      <c r="P41" s="470"/>
      <c r="Q41" s="470"/>
      <c r="R41" s="470"/>
      <c r="S41" s="470"/>
      <c r="T41" s="470"/>
      <c r="U41" s="470"/>
      <c r="V41" s="470"/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70"/>
      <c r="AK41" s="470"/>
      <c r="AL41" s="470"/>
      <c r="AM41" s="470"/>
      <c r="AN41" s="470"/>
      <c r="AO41" s="470"/>
      <c r="AP41" s="470"/>
      <c r="AQ41" s="470"/>
      <c r="AR41" s="470"/>
      <c r="AS41" s="470"/>
      <c r="AT41" s="470"/>
      <c r="AU41" s="470"/>
      <c r="AV41" s="470"/>
      <c r="AW41" s="470"/>
      <c r="AX41" s="470"/>
      <c r="AY41" s="470"/>
      <c r="AZ41" s="470"/>
      <c r="BA41" s="470"/>
      <c r="BB41" s="470"/>
      <c r="BC41" s="470"/>
      <c r="BD41" s="470"/>
      <c r="BE41" s="470"/>
      <c r="BF41" s="2145"/>
      <c r="BG41" s="2145"/>
      <c r="BH41" s="2145"/>
      <c r="BI41" s="2145"/>
      <c r="BJ41" s="2145"/>
      <c r="BK41" s="2145"/>
      <c r="BL41" s="2145"/>
      <c r="BM41" s="470"/>
      <c r="BN41" s="470"/>
      <c r="BO41" s="470"/>
      <c r="BP41" s="470"/>
      <c r="BQ41" s="470"/>
      <c r="BR41" s="470"/>
      <c r="BS41" s="470"/>
      <c r="BT41" s="470"/>
      <c r="BU41" s="470"/>
      <c r="BV41" s="470"/>
      <c r="BW41" s="470"/>
      <c r="BX41" s="470"/>
      <c r="BY41" s="470"/>
      <c r="BZ41" s="470"/>
      <c r="CA41" s="470"/>
      <c r="CB41" s="470"/>
      <c r="CC41" s="470"/>
      <c r="CD41" s="2145"/>
      <c r="CE41" s="2145"/>
      <c r="CF41" s="2145"/>
      <c r="CG41" s="2145"/>
      <c r="CH41" s="470"/>
      <c r="CI41" s="470"/>
      <c r="CJ41" s="470"/>
      <c r="CK41" s="470"/>
      <c r="CL41" s="470"/>
      <c r="CM41" s="470"/>
      <c r="CN41" s="470"/>
      <c r="CO41" s="470"/>
      <c r="CP41" s="470"/>
      <c r="CQ41" s="470"/>
      <c r="CR41" s="470"/>
      <c r="CS41" s="470"/>
      <c r="CT41" s="470"/>
      <c r="CU41" s="470"/>
      <c r="CV41" s="470"/>
      <c r="CW41" s="470"/>
      <c r="CX41" s="470"/>
      <c r="CY41" s="470"/>
      <c r="CZ41" s="470"/>
      <c r="DA41" s="470"/>
      <c r="DB41" s="470"/>
      <c r="DC41" s="470"/>
      <c r="DD41" s="470"/>
      <c r="DE41" s="470"/>
      <c r="DF41" s="470"/>
      <c r="DG41" s="470"/>
      <c r="DH41" s="470"/>
      <c r="DI41" s="470"/>
      <c r="DJ41" s="470"/>
      <c r="DK41" s="470"/>
      <c r="DL41" s="470"/>
      <c r="DM41" s="470"/>
      <c r="DN41" s="470"/>
      <c r="DO41" s="470"/>
      <c r="DP41" s="470"/>
      <c r="DQ41" s="470"/>
      <c r="DR41" s="470"/>
      <c r="DS41" s="470"/>
      <c r="DT41" s="470"/>
      <c r="DU41" s="470"/>
      <c r="DV41" s="470"/>
      <c r="DW41" s="470"/>
      <c r="DX41" s="470"/>
      <c r="DY41" s="470"/>
      <c r="DZ41" s="470"/>
      <c r="EA41" s="470"/>
      <c r="EB41" s="470"/>
      <c r="EC41" s="470"/>
      <c r="ED41" s="470"/>
      <c r="EE41" s="470"/>
      <c r="EF41" s="470"/>
      <c r="EG41" s="470"/>
      <c r="EH41" s="470"/>
      <c r="EI41" s="476"/>
      <c r="EJ41" s="470"/>
      <c r="EK41" s="470"/>
      <c r="EL41" s="470"/>
      <c r="EM41" s="470"/>
      <c r="EN41" s="470"/>
      <c r="EO41" s="470"/>
      <c r="EP41" s="470"/>
      <c r="EQ41" s="470"/>
      <c r="ER41" s="470"/>
      <c r="ES41" s="470"/>
      <c r="ET41" s="470"/>
      <c r="EU41" s="470"/>
      <c r="EV41" s="470"/>
      <c r="EW41" s="470"/>
      <c r="EX41" s="470"/>
      <c r="EY41" s="470"/>
      <c r="EZ41" s="470"/>
      <c r="FA41" s="470"/>
      <c r="FB41" s="470"/>
      <c r="FC41" s="470"/>
      <c r="FD41" s="470"/>
      <c r="FE41" s="470"/>
      <c r="FF41" s="470"/>
      <c r="FG41" s="470"/>
      <c r="FH41" s="470"/>
      <c r="FI41" s="470"/>
      <c r="FJ41" s="470"/>
      <c r="FK41" s="470"/>
      <c r="FL41" s="470"/>
      <c r="FM41" s="2146"/>
      <c r="FN41" s="470"/>
      <c r="FO41" s="470"/>
      <c r="FP41" s="470"/>
      <c r="FQ41" s="470"/>
      <c r="FR41" s="470"/>
      <c r="FS41" s="470"/>
      <c r="FT41" s="470"/>
      <c r="FU41" s="470"/>
      <c r="FV41" s="470"/>
      <c r="FW41" s="470"/>
      <c r="FX41" s="470"/>
      <c r="FY41" s="470"/>
      <c r="FZ41" s="470"/>
      <c r="GA41" s="470"/>
      <c r="GB41" s="470"/>
      <c r="GC41" s="470"/>
      <c r="GD41" s="470"/>
      <c r="GE41" s="470"/>
      <c r="GF41" s="470"/>
      <c r="GG41" s="470"/>
      <c r="GH41" s="470"/>
      <c r="GI41" s="470"/>
      <c r="GJ41" s="470"/>
      <c r="GK41" s="470"/>
      <c r="GL41" s="470"/>
      <c r="GM41" s="470"/>
      <c r="GN41" s="470"/>
      <c r="GO41" s="470"/>
      <c r="GP41" s="470"/>
      <c r="GQ41" s="470"/>
      <c r="GR41" s="470"/>
      <c r="GS41" s="470"/>
      <c r="GT41" s="470"/>
      <c r="GU41" s="2145"/>
      <c r="GV41" s="2147"/>
      <c r="GZ41" s="2032"/>
      <c r="HA41" s="2032"/>
      <c r="HB41" s="2032"/>
      <c r="HC41" s="2032"/>
      <c r="HD41" s="2032"/>
      <c r="HE41" s="2032"/>
      <c r="HF41" s="2032"/>
    </row>
    <row r="42" spans="1:214" ht="15.6" outlineLevel="1">
      <c r="A42" s="2144" t="s">
        <v>1716</v>
      </c>
      <c r="B42" s="2142"/>
      <c r="C42" s="473"/>
      <c r="D42" s="470"/>
      <c r="E42" s="470"/>
      <c r="F42" s="470"/>
      <c r="G42" s="470"/>
      <c r="H42" s="470"/>
      <c r="I42" s="470"/>
      <c r="J42" s="470"/>
      <c r="K42" s="470"/>
      <c r="L42" s="470"/>
      <c r="M42" s="470"/>
      <c r="N42" s="470"/>
      <c r="O42" s="470"/>
      <c r="P42" s="470"/>
      <c r="Q42" s="470"/>
      <c r="R42" s="470"/>
      <c r="S42" s="470"/>
      <c r="T42" s="470"/>
      <c r="U42" s="470"/>
      <c r="V42" s="470"/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70"/>
      <c r="AL42" s="470"/>
      <c r="AM42" s="470"/>
      <c r="AN42" s="470"/>
      <c r="AO42" s="470"/>
      <c r="AP42" s="470"/>
      <c r="AQ42" s="470"/>
      <c r="AR42" s="470"/>
      <c r="AS42" s="470"/>
      <c r="AT42" s="470"/>
      <c r="AU42" s="470"/>
      <c r="AV42" s="470"/>
      <c r="AW42" s="470"/>
      <c r="AX42" s="470"/>
      <c r="AY42" s="470"/>
      <c r="AZ42" s="470"/>
      <c r="BA42" s="470"/>
      <c r="BB42" s="470"/>
      <c r="BC42" s="470"/>
      <c r="BD42" s="470"/>
      <c r="BE42" s="470"/>
      <c r="BF42" s="2145"/>
      <c r="BG42" s="2145"/>
      <c r="BH42" s="2145"/>
      <c r="BI42" s="2145"/>
      <c r="BJ42" s="2145"/>
      <c r="BK42" s="2145"/>
      <c r="BL42" s="2145"/>
      <c r="BM42" s="470"/>
      <c r="BN42" s="470"/>
      <c r="BO42" s="470"/>
      <c r="BP42" s="470"/>
      <c r="BQ42" s="470"/>
      <c r="BR42" s="470"/>
      <c r="BS42" s="470"/>
      <c r="BT42" s="470"/>
      <c r="BU42" s="470"/>
      <c r="BV42" s="470"/>
      <c r="BW42" s="470"/>
      <c r="BX42" s="470"/>
      <c r="BY42" s="470"/>
      <c r="BZ42" s="470"/>
      <c r="CA42" s="470"/>
      <c r="CB42" s="470"/>
      <c r="CC42" s="470"/>
      <c r="CD42" s="2145"/>
      <c r="CE42" s="2145"/>
      <c r="CF42" s="2145"/>
      <c r="CG42" s="2145"/>
      <c r="CH42" s="470"/>
      <c r="CI42" s="470"/>
      <c r="CJ42" s="470"/>
      <c r="CK42" s="470"/>
      <c r="CL42" s="470"/>
      <c r="CM42" s="470"/>
      <c r="CN42" s="470"/>
      <c r="CO42" s="470"/>
      <c r="CP42" s="470"/>
      <c r="CQ42" s="470"/>
      <c r="CR42" s="470"/>
      <c r="CS42" s="470"/>
      <c r="CT42" s="470"/>
      <c r="CU42" s="470"/>
      <c r="CV42" s="470"/>
      <c r="CW42" s="470"/>
      <c r="CX42" s="470"/>
      <c r="CY42" s="470"/>
      <c r="CZ42" s="470"/>
      <c r="DA42" s="470"/>
      <c r="DB42" s="470"/>
      <c r="DC42" s="470"/>
      <c r="DD42" s="470"/>
      <c r="DE42" s="470"/>
      <c r="DF42" s="470"/>
      <c r="DG42" s="470"/>
      <c r="DH42" s="470"/>
      <c r="DI42" s="470"/>
      <c r="DJ42" s="470"/>
      <c r="DK42" s="470"/>
      <c r="DL42" s="470"/>
      <c r="DM42" s="470"/>
      <c r="DN42" s="470"/>
      <c r="DO42" s="470"/>
      <c r="DP42" s="470"/>
      <c r="DQ42" s="470"/>
      <c r="DR42" s="470"/>
      <c r="DS42" s="470"/>
      <c r="DT42" s="470"/>
      <c r="DU42" s="470"/>
      <c r="DV42" s="470"/>
      <c r="DW42" s="470"/>
      <c r="DX42" s="470"/>
      <c r="DY42" s="470"/>
      <c r="DZ42" s="470"/>
      <c r="EA42" s="470"/>
      <c r="EB42" s="470"/>
      <c r="EC42" s="470"/>
      <c r="ED42" s="470"/>
      <c r="EE42" s="470"/>
      <c r="EF42" s="470"/>
      <c r="EG42" s="470"/>
      <c r="EH42" s="470"/>
      <c r="EI42" s="476"/>
      <c r="EJ42" s="470"/>
      <c r="EK42" s="470"/>
      <c r="EL42" s="470"/>
      <c r="EM42" s="470"/>
      <c r="EN42" s="470"/>
      <c r="EO42" s="470"/>
      <c r="EP42" s="470"/>
      <c r="EQ42" s="470"/>
      <c r="ER42" s="470"/>
      <c r="ES42" s="470"/>
      <c r="ET42" s="470"/>
      <c r="EU42" s="470"/>
      <c r="EV42" s="470"/>
      <c r="EW42" s="470"/>
      <c r="EX42" s="470"/>
      <c r="EY42" s="470"/>
      <c r="EZ42" s="470"/>
      <c r="FA42" s="470"/>
      <c r="FB42" s="470"/>
      <c r="FC42" s="470"/>
      <c r="FD42" s="470"/>
      <c r="FE42" s="470"/>
      <c r="FF42" s="470"/>
      <c r="FG42" s="470"/>
      <c r="FH42" s="470"/>
      <c r="FI42" s="470"/>
      <c r="FJ42" s="470"/>
      <c r="FK42" s="470"/>
      <c r="FL42" s="470"/>
      <c r="FM42" s="2146"/>
      <c r="FN42" s="470"/>
      <c r="FO42" s="470"/>
      <c r="FP42" s="470"/>
      <c r="FQ42" s="470"/>
      <c r="FR42" s="470"/>
      <c r="FS42" s="470"/>
      <c r="FT42" s="470"/>
      <c r="FU42" s="470"/>
      <c r="FV42" s="470"/>
      <c r="FW42" s="470"/>
      <c r="FX42" s="470"/>
      <c r="FY42" s="470"/>
      <c r="FZ42" s="470"/>
      <c r="GA42" s="470"/>
      <c r="GB42" s="470"/>
      <c r="GC42" s="470"/>
      <c r="GD42" s="470"/>
      <c r="GE42" s="470"/>
      <c r="GF42" s="470"/>
      <c r="GG42" s="470"/>
      <c r="GH42" s="470"/>
      <c r="GI42" s="470"/>
      <c r="GJ42" s="470"/>
      <c r="GK42" s="470"/>
      <c r="GL42" s="470"/>
      <c r="GM42" s="470"/>
      <c r="GN42" s="470"/>
      <c r="GO42" s="470"/>
      <c r="GP42" s="470"/>
      <c r="GQ42" s="470"/>
      <c r="GR42" s="470"/>
      <c r="GS42" s="470"/>
      <c r="GT42" s="470"/>
      <c r="GU42" s="2145"/>
      <c r="GV42" s="2147"/>
      <c r="GZ42" s="2032"/>
      <c r="HA42" s="2032"/>
      <c r="HB42" s="2032"/>
      <c r="HC42" s="2032"/>
      <c r="HD42" s="2032"/>
      <c r="HE42" s="2032"/>
      <c r="HF42" s="2032"/>
    </row>
    <row r="43" spans="1:214" ht="15.6" outlineLevel="1">
      <c r="A43" s="2144" t="s">
        <v>1200</v>
      </c>
      <c r="B43" s="2142"/>
      <c r="C43" s="473"/>
      <c r="D43" s="477"/>
      <c r="E43" s="470"/>
      <c r="F43" s="470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  <c r="S43" s="470"/>
      <c r="T43" s="470"/>
      <c r="U43" s="470"/>
      <c r="V43" s="470"/>
      <c r="W43" s="470"/>
      <c r="X43" s="470"/>
      <c r="Y43" s="470"/>
      <c r="Z43" s="470"/>
      <c r="AA43" s="470"/>
      <c r="AB43" s="470"/>
      <c r="AC43" s="470"/>
      <c r="AD43" s="470"/>
      <c r="AE43" s="470"/>
      <c r="AF43" s="470"/>
      <c r="AG43" s="470"/>
      <c r="AH43" s="470"/>
      <c r="AI43" s="470"/>
      <c r="AJ43" s="470"/>
      <c r="AK43" s="470"/>
      <c r="AL43" s="470"/>
      <c r="AM43" s="470"/>
      <c r="AN43" s="470"/>
      <c r="AO43" s="470"/>
      <c r="AP43" s="470"/>
      <c r="AQ43" s="470"/>
      <c r="AR43" s="470"/>
      <c r="AS43" s="470"/>
      <c r="AT43" s="470"/>
      <c r="AU43" s="470"/>
      <c r="AV43" s="470"/>
      <c r="AW43" s="470"/>
      <c r="AX43" s="470"/>
      <c r="AY43" s="470"/>
      <c r="AZ43" s="470"/>
      <c r="BA43" s="470"/>
      <c r="BB43" s="470"/>
      <c r="BC43" s="470"/>
      <c r="BD43" s="470"/>
      <c r="BE43" s="470"/>
      <c r="BF43" s="2145"/>
      <c r="BG43" s="2145"/>
      <c r="BH43" s="2145"/>
      <c r="BI43" s="2145"/>
      <c r="BJ43" s="2145"/>
      <c r="BK43" s="2145"/>
      <c r="BL43" s="2145"/>
      <c r="BM43" s="470"/>
      <c r="BN43" s="470"/>
      <c r="BO43" s="470"/>
      <c r="BP43" s="470"/>
      <c r="BQ43" s="470"/>
      <c r="BR43" s="470"/>
      <c r="BS43" s="470"/>
      <c r="BT43" s="470"/>
      <c r="BU43" s="470"/>
      <c r="BV43" s="470"/>
      <c r="BW43" s="470"/>
      <c r="BX43" s="470"/>
      <c r="BY43" s="470"/>
      <c r="BZ43" s="470"/>
      <c r="CA43" s="470"/>
      <c r="CB43" s="470"/>
      <c r="CC43" s="470"/>
      <c r="CD43" s="2145"/>
      <c r="CE43" s="2145"/>
      <c r="CF43" s="2145"/>
      <c r="CG43" s="2145"/>
      <c r="CH43" s="470"/>
      <c r="CI43" s="470"/>
      <c r="CJ43" s="470"/>
      <c r="CK43" s="470"/>
      <c r="CL43" s="470"/>
      <c r="CM43" s="470"/>
      <c r="CN43" s="470"/>
      <c r="CO43" s="470"/>
      <c r="CP43" s="470"/>
      <c r="CQ43" s="470"/>
      <c r="CR43" s="470"/>
      <c r="CS43" s="470"/>
      <c r="CT43" s="470"/>
      <c r="CU43" s="470"/>
      <c r="CV43" s="470"/>
      <c r="CW43" s="470"/>
      <c r="CX43" s="470"/>
      <c r="CY43" s="470"/>
      <c r="CZ43" s="470"/>
      <c r="DA43" s="470"/>
      <c r="DB43" s="470"/>
      <c r="DC43" s="470"/>
      <c r="DD43" s="470"/>
      <c r="DE43" s="470"/>
      <c r="DF43" s="470"/>
      <c r="DG43" s="470"/>
      <c r="DH43" s="470"/>
      <c r="DI43" s="470"/>
      <c r="DJ43" s="470"/>
      <c r="DK43" s="470"/>
      <c r="DL43" s="470"/>
      <c r="DM43" s="470"/>
      <c r="DN43" s="470"/>
      <c r="DO43" s="470"/>
      <c r="DP43" s="470"/>
      <c r="DQ43" s="470"/>
      <c r="DR43" s="470"/>
      <c r="DS43" s="470"/>
      <c r="DT43" s="470"/>
      <c r="DU43" s="470"/>
      <c r="DV43" s="470"/>
      <c r="DW43" s="470"/>
      <c r="DX43" s="470"/>
      <c r="DY43" s="470"/>
      <c r="DZ43" s="470"/>
      <c r="EA43" s="470"/>
      <c r="EB43" s="470"/>
      <c r="EC43" s="470"/>
      <c r="ED43" s="470"/>
      <c r="EE43" s="470"/>
      <c r="EF43" s="470"/>
      <c r="EG43" s="470"/>
      <c r="EH43" s="470"/>
      <c r="EI43" s="476"/>
      <c r="EJ43" s="470"/>
      <c r="EK43" s="470"/>
      <c r="EL43" s="470"/>
      <c r="EM43" s="470"/>
      <c r="EN43" s="470"/>
      <c r="EO43" s="470"/>
      <c r="EP43" s="470"/>
      <c r="EQ43" s="470"/>
      <c r="ER43" s="470"/>
      <c r="ES43" s="470"/>
      <c r="ET43" s="470"/>
      <c r="EU43" s="470"/>
      <c r="EV43" s="470"/>
      <c r="EW43" s="470"/>
      <c r="EX43" s="470"/>
      <c r="EY43" s="470"/>
      <c r="EZ43" s="470"/>
      <c r="FA43" s="470"/>
      <c r="FB43" s="470"/>
      <c r="FC43" s="470"/>
      <c r="FD43" s="470"/>
      <c r="FE43" s="470"/>
      <c r="FF43" s="470"/>
      <c r="FG43" s="470"/>
      <c r="FH43" s="470"/>
      <c r="FI43" s="470"/>
      <c r="FJ43" s="470"/>
      <c r="FK43" s="470"/>
      <c r="FL43" s="470"/>
      <c r="FM43" s="2146"/>
      <c r="FN43" s="470"/>
      <c r="FO43" s="470"/>
      <c r="FP43" s="470"/>
      <c r="FQ43" s="470"/>
      <c r="FR43" s="470"/>
      <c r="FS43" s="470"/>
      <c r="FT43" s="470"/>
      <c r="FU43" s="470"/>
      <c r="FV43" s="470"/>
      <c r="FW43" s="470"/>
      <c r="FX43" s="470"/>
      <c r="FY43" s="470"/>
      <c r="FZ43" s="470"/>
      <c r="GA43" s="470"/>
      <c r="GB43" s="470"/>
      <c r="GC43" s="470"/>
      <c r="GD43" s="470"/>
      <c r="GE43" s="470"/>
      <c r="GF43" s="470"/>
      <c r="GG43" s="470"/>
      <c r="GH43" s="470"/>
      <c r="GI43" s="470"/>
      <c r="GJ43" s="470"/>
      <c r="GK43" s="470"/>
      <c r="GL43" s="470"/>
      <c r="GM43" s="470"/>
      <c r="GN43" s="470"/>
      <c r="GO43" s="470"/>
      <c r="GP43" s="470"/>
      <c r="GQ43" s="470"/>
      <c r="GR43" s="470"/>
      <c r="GS43" s="470"/>
      <c r="GT43" s="470"/>
      <c r="GU43" s="2145"/>
      <c r="GV43" s="2147"/>
      <c r="GZ43" s="2032"/>
      <c r="HA43" s="2032"/>
      <c r="HB43" s="2032"/>
      <c r="HC43" s="2032"/>
      <c r="HD43" s="2032"/>
      <c r="HE43" s="2032"/>
      <c r="HF43" s="2032"/>
    </row>
    <row r="44" spans="1:214" ht="15.6" outlineLevel="1">
      <c r="A44" s="2144" t="s">
        <v>1984</v>
      </c>
      <c r="B44" s="2142"/>
      <c r="C44" s="473"/>
      <c r="D44" s="477"/>
      <c r="E44" s="470"/>
      <c r="F44" s="470"/>
      <c r="G44" s="470"/>
      <c r="H44" s="470"/>
      <c r="I44" s="470"/>
      <c r="J44" s="470"/>
      <c r="K44" s="470"/>
      <c r="L44" s="470"/>
      <c r="M44" s="470"/>
      <c r="N44" s="470"/>
      <c r="O44" s="470"/>
      <c r="P44" s="470"/>
      <c r="Q44" s="470"/>
      <c r="R44" s="470"/>
      <c r="S44" s="470"/>
      <c r="T44" s="470"/>
      <c r="U44" s="470"/>
      <c r="V44" s="470"/>
      <c r="W44" s="470"/>
      <c r="X44" s="470"/>
      <c r="Y44" s="470"/>
      <c r="Z44" s="470"/>
      <c r="AA44" s="470"/>
      <c r="AB44" s="470"/>
      <c r="AC44" s="470"/>
      <c r="AD44" s="470"/>
      <c r="AE44" s="470"/>
      <c r="AF44" s="470"/>
      <c r="AG44" s="470"/>
      <c r="AH44" s="470"/>
      <c r="AI44" s="470"/>
      <c r="AJ44" s="470"/>
      <c r="AK44" s="470"/>
      <c r="AL44" s="470"/>
      <c r="AM44" s="470"/>
      <c r="AN44" s="470"/>
      <c r="AO44" s="470"/>
      <c r="AP44" s="470"/>
      <c r="AQ44" s="470"/>
      <c r="AR44" s="470"/>
      <c r="AS44" s="470"/>
      <c r="AT44" s="470"/>
      <c r="AU44" s="470"/>
      <c r="AV44" s="470"/>
      <c r="AW44" s="470"/>
      <c r="AX44" s="470"/>
      <c r="AY44" s="470"/>
      <c r="AZ44" s="470"/>
      <c r="BA44" s="470"/>
      <c r="BB44" s="470"/>
      <c r="BC44" s="470"/>
      <c r="BD44" s="470"/>
      <c r="BE44" s="470"/>
      <c r="BF44" s="2145"/>
      <c r="BG44" s="2145"/>
      <c r="BH44" s="2145"/>
      <c r="BI44" s="2145"/>
      <c r="BJ44" s="2145"/>
      <c r="BK44" s="2145"/>
      <c r="BL44" s="2145"/>
      <c r="BM44" s="470"/>
      <c r="BN44" s="470"/>
      <c r="BO44" s="470"/>
      <c r="BP44" s="470"/>
      <c r="BQ44" s="470"/>
      <c r="BR44" s="470"/>
      <c r="BS44" s="470"/>
      <c r="BT44" s="470"/>
      <c r="BU44" s="470"/>
      <c r="BV44" s="470"/>
      <c r="BW44" s="470"/>
      <c r="BX44" s="470"/>
      <c r="BY44" s="470"/>
      <c r="BZ44" s="470"/>
      <c r="CA44" s="470"/>
      <c r="CB44" s="470"/>
      <c r="CC44" s="470"/>
      <c r="CD44" s="2145"/>
      <c r="CE44" s="2145"/>
      <c r="CF44" s="2145"/>
      <c r="CG44" s="2145"/>
      <c r="CH44" s="470"/>
      <c r="CI44" s="470"/>
      <c r="CJ44" s="470"/>
      <c r="CK44" s="470"/>
      <c r="CL44" s="470"/>
      <c r="CM44" s="470"/>
      <c r="CN44" s="470"/>
      <c r="CO44" s="470"/>
      <c r="CP44" s="470"/>
      <c r="CQ44" s="470"/>
      <c r="CR44" s="470"/>
      <c r="CS44" s="470"/>
      <c r="CT44" s="470"/>
      <c r="CU44" s="470"/>
      <c r="CV44" s="470"/>
      <c r="CW44" s="470"/>
      <c r="CX44" s="470"/>
      <c r="CY44" s="470"/>
      <c r="CZ44" s="470"/>
      <c r="DA44" s="470"/>
      <c r="DB44" s="470"/>
      <c r="DC44" s="470"/>
      <c r="DD44" s="470"/>
      <c r="DE44" s="470"/>
      <c r="DF44" s="470"/>
      <c r="DG44" s="470"/>
      <c r="DH44" s="470"/>
      <c r="DI44" s="470"/>
      <c r="DJ44" s="470"/>
      <c r="DK44" s="470"/>
      <c r="DL44" s="470"/>
      <c r="DM44" s="470"/>
      <c r="DN44" s="470"/>
      <c r="DO44" s="470"/>
      <c r="DP44" s="470"/>
      <c r="DQ44" s="470"/>
      <c r="DR44" s="470"/>
      <c r="DS44" s="470"/>
      <c r="DT44" s="470"/>
      <c r="DU44" s="470"/>
      <c r="DV44" s="470"/>
      <c r="DW44" s="470"/>
      <c r="DX44" s="470"/>
      <c r="DY44" s="470"/>
      <c r="DZ44" s="470"/>
      <c r="EA44" s="470"/>
      <c r="EB44" s="470"/>
      <c r="EC44" s="470"/>
      <c r="ED44" s="470"/>
      <c r="EE44" s="470"/>
      <c r="EF44" s="470"/>
      <c r="EG44" s="470"/>
      <c r="EH44" s="470"/>
      <c r="EI44" s="476"/>
      <c r="EJ44" s="470"/>
      <c r="EK44" s="470"/>
      <c r="EL44" s="470"/>
      <c r="EM44" s="470"/>
      <c r="EN44" s="470"/>
      <c r="EO44" s="470"/>
      <c r="EP44" s="470"/>
      <c r="EQ44" s="470"/>
      <c r="ER44" s="470"/>
      <c r="ES44" s="470"/>
      <c r="ET44" s="470"/>
      <c r="EU44" s="470"/>
      <c r="EV44" s="470"/>
      <c r="EW44" s="470"/>
      <c r="EX44" s="470"/>
      <c r="EY44" s="470"/>
      <c r="EZ44" s="470"/>
      <c r="FA44" s="470"/>
      <c r="FB44" s="470"/>
      <c r="FC44" s="470"/>
      <c r="FD44" s="470"/>
      <c r="FE44" s="470"/>
      <c r="FF44" s="470"/>
      <c r="FG44" s="470"/>
      <c r="FH44" s="470"/>
      <c r="FI44" s="470"/>
      <c r="FJ44" s="470"/>
      <c r="FK44" s="470"/>
      <c r="FL44" s="470"/>
      <c r="FM44" s="2146"/>
      <c r="FN44" s="470"/>
      <c r="FO44" s="470"/>
      <c r="FP44" s="470"/>
      <c r="FQ44" s="470"/>
      <c r="FR44" s="470"/>
      <c r="FS44" s="470"/>
      <c r="FT44" s="470"/>
      <c r="FU44" s="470"/>
      <c r="FV44" s="470"/>
      <c r="FW44" s="470"/>
      <c r="FX44" s="470"/>
      <c r="FY44" s="470"/>
      <c r="FZ44" s="470"/>
      <c r="GA44" s="470"/>
      <c r="GB44" s="470"/>
      <c r="GC44" s="470"/>
      <c r="GD44" s="470"/>
      <c r="GE44" s="470"/>
      <c r="GF44" s="470"/>
      <c r="GG44" s="470"/>
      <c r="GH44" s="470"/>
      <c r="GI44" s="470"/>
      <c r="GJ44" s="470"/>
      <c r="GK44" s="470"/>
      <c r="GL44" s="470"/>
      <c r="GM44" s="470"/>
      <c r="GN44" s="470"/>
      <c r="GO44" s="470"/>
      <c r="GP44" s="470"/>
      <c r="GQ44" s="470"/>
      <c r="GR44" s="470"/>
      <c r="GS44" s="470"/>
      <c r="GT44" s="470"/>
      <c r="GU44" s="2145"/>
      <c r="GV44" s="2147"/>
      <c r="GZ44" s="2032"/>
      <c r="HA44" s="2032"/>
      <c r="HB44" s="2032"/>
      <c r="HC44" s="2032"/>
      <c r="HD44" s="2032"/>
      <c r="HE44" s="2032"/>
      <c r="HF44" s="2032"/>
    </row>
    <row r="45" spans="1:214" ht="15.6">
      <c r="A45" s="2148"/>
      <c r="B45" s="2135"/>
      <c r="C45" s="2136"/>
      <c r="D45" s="470"/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70"/>
      <c r="P45" s="470"/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70"/>
      <c r="AB45" s="470"/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70"/>
      <c r="AN45" s="470"/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70"/>
      <c r="AZ45" s="470"/>
      <c r="BA45" s="470"/>
      <c r="BB45" s="470"/>
      <c r="BC45" s="470"/>
      <c r="BD45" s="470"/>
      <c r="BE45" s="470"/>
      <c r="BF45" s="2145"/>
      <c r="BG45" s="2145"/>
      <c r="BH45" s="2145"/>
      <c r="BI45" s="2145"/>
      <c r="BJ45" s="2145"/>
      <c r="BK45" s="2145"/>
      <c r="BL45" s="2145"/>
      <c r="BM45" s="470"/>
      <c r="BN45" s="470"/>
      <c r="BO45" s="470"/>
      <c r="BP45" s="470"/>
      <c r="BQ45" s="470"/>
      <c r="BR45" s="470"/>
      <c r="BS45" s="470"/>
      <c r="BT45" s="470"/>
      <c r="BU45" s="470"/>
      <c r="BV45" s="470"/>
      <c r="BW45" s="470"/>
      <c r="BX45" s="470"/>
      <c r="BY45" s="470"/>
      <c r="BZ45" s="470"/>
      <c r="CA45" s="470"/>
      <c r="CB45" s="470"/>
      <c r="CC45" s="470"/>
      <c r="CD45" s="470"/>
      <c r="CE45" s="470"/>
      <c r="CF45" s="470"/>
      <c r="CG45" s="470"/>
      <c r="CH45" s="470"/>
      <c r="CI45" s="470"/>
      <c r="CJ45" s="470"/>
      <c r="CK45" s="470"/>
      <c r="CL45" s="470"/>
      <c r="CM45" s="470"/>
      <c r="CN45" s="470"/>
      <c r="CO45" s="470"/>
      <c r="CP45" s="470"/>
      <c r="CQ45" s="470"/>
      <c r="CR45" s="470"/>
      <c r="CS45" s="470"/>
      <c r="CT45" s="470"/>
      <c r="CU45" s="470"/>
      <c r="CV45" s="470"/>
      <c r="CW45" s="470"/>
      <c r="CX45" s="470"/>
      <c r="CY45" s="470"/>
      <c r="CZ45" s="470"/>
      <c r="DA45" s="470"/>
      <c r="DB45" s="470"/>
      <c r="DC45" s="470"/>
      <c r="DD45" s="470"/>
      <c r="DE45" s="470"/>
      <c r="DF45" s="470"/>
      <c r="DG45" s="470"/>
      <c r="DH45" s="470"/>
      <c r="DI45" s="470"/>
      <c r="DJ45" s="470"/>
      <c r="DK45" s="470"/>
      <c r="DL45" s="470"/>
      <c r="DM45" s="470"/>
      <c r="DN45" s="470"/>
      <c r="DO45" s="470"/>
      <c r="DP45" s="470"/>
      <c r="DQ45" s="470"/>
      <c r="DR45" s="470"/>
      <c r="DS45" s="470"/>
      <c r="DT45" s="470"/>
      <c r="DU45" s="470"/>
      <c r="DV45" s="470"/>
      <c r="DW45" s="470"/>
      <c r="DX45" s="470"/>
      <c r="DY45" s="470"/>
      <c r="DZ45" s="470"/>
      <c r="EA45" s="470"/>
      <c r="EB45" s="470"/>
      <c r="EC45" s="470"/>
      <c r="ED45" s="470"/>
      <c r="EE45" s="470"/>
      <c r="EF45" s="470"/>
      <c r="EG45" s="470"/>
      <c r="EH45" s="470"/>
      <c r="EI45" s="476"/>
      <c r="EJ45" s="470"/>
      <c r="EK45" s="470"/>
      <c r="EL45" s="470"/>
      <c r="EM45" s="470"/>
      <c r="EN45" s="470"/>
      <c r="EO45" s="470"/>
      <c r="EP45" s="470"/>
      <c r="EQ45" s="470"/>
      <c r="ER45" s="470"/>
      <c r="ES45" s="470"/>
      <c r="ET45" s="470"/>
      <c r="EU45" s="470"/>
      <c r="EV45" s="470"/>
      <c r="EW45" s="470"/>
      <c r="EX45" s="470"/>
      <c r="EY45" s="470"/>
      <c r="EZ45" s="470"/>
      <c r="FA45" s="470"/>
      <c r="FB45" s="470"/>
      <c r="FC45" s="470"/>
      <c r="FD45" s="470"/>
      <c r="FE45" s="470"/>
      <c r="FF45" s="470"/>
      <c r="FG45" s="470"/>
      <c r="FH45" s="470"/>
      <c r="FI45" s="470"/>
      <c r="FJ45" s="470"/>
      <c r="FK45" s="470"/>
      <c r="FL45" s="470"/>
      <c r="FM45" s="2146"/>
      <c r="FN45" s="470"/>
      <c r="FO45" s="470"/>
      <c r="FP45" s="470"/>
      <c r="FQ45" s="470"/>
      <c r="FR45" s="470"/>
      <c r="FS45" s="470"/>
      <c r="FT45" s="470"/>
      <c r="FU45" s="470"/>
      <c r="FV45" s="470"/>
      <c r="FW45" s="470"/>
      <c r="FX45" s="470"/>
      <c r="FY45" s="470"/>
      <c r="FZ45" s="470"/>
      <c r="GA45" s="470"/>
      <c r="GB45" s="470"/>
      <c r="GC45" s="470"/>
      <c r="GD45" s="470"/>
      <c r="GE45" s="470"/>
      <c r="GF45" s="470"/>
      <c r="GG45" s="470"/>
      <c r="GH45" s="470"/>
      <c r="GI45" s="470"/>
      <c r="GJ45" s="470"/>
      <c r="GK45" s="470"/>
      <c r="GL45" s="470"/>
      <c r="GM45" s="470"/>
      <c r="GN45" s="470"/>
      <c r="GO45" s="470"/>
      <c r="GP45" s="470"/>
      <c r="GQ45" s="470"/>
      <c r="GR45" s="470"/>
      <c r="GS45" s="470"/>
      <c r="GT45" s="470"/>
      <c r="GU45" s="2145"/>
      <c r="GV45" s="2147"/>
      <c r="GZ45" s="2032"/>
      <c r="HA45" s="2032"/>
      <c r="HB45" s="2032"/>
      <c r="HC45" s="2032"/>
      <c r="HD45" s="2032"/>
      <c r="HE45" s="2032"/>
      <c r="HF45" s="2032"/>
    </row>
    <row r="46" spans="1:214" ht="18.899999999999999" customHeight="1" collapsed="1">
      <c r="A46" s="2135"/>
      <c r="B46" s="2135"/>
      <c r="C46" s="2136"/>
      <c r="D46" s="470"/>
      <c r="E46" s="470"/>
      <c r="F46" s="470"/>
      <c r="G46" s="470"/>
      <c r="H46" s="470"/>
      <c r="I46" s="470"/>
      <c r="J46" s="470"/>
      <c r="K46" s="470"/>
      <c r="L46" s="470"/>
      <c r="M46" s="470"/>
      <c r="N46" s="470"/>
      <c r="O46" s="470"/>
      <c r="P46" s="470"/>
      <c r="Q46" s="470"/>
      <c r="R46" s="470"/>
      <c r="S46" s="470"/>
      <c r="T46" s="470"/>
      <c r="U46" s="470"/>
      <c r="V46" s="470"/>
      <c r="W46" s="470"/>
      <c r="X46" s="470"/>
      <c r="Y46" s="470"/>
      <c r="Z46" s="470"/>
      <c r="AA46" s="470"/>
      <c r="AB46" s="470"/>
      <c r="AC46" s="470"/>
      <c r="AD46" s="470"/>
      <c r="AE46" s="470"/>
      <c r="AF46" s="470"/>
      <c r="AG46" s="470"/>
      <c r="AH46" s="470"/>
      <c r="AI46" s="470"/>
      <c r="AJ46" s="470"/>
      <c r="AK46" s="470"/>
      <c r="AL46" s="470"/>
      <c r="AM46" s="470"/>
      <c r="AN46" s="470"/>
      <c r="AO46" s="470"/>
      <c r="AP46" s="470"/>
      <c r="AQ46" s="470"/>
      <c r="AR46" s="470"/>
      <c r="AS46" s="470"/>
      <c r="AT46" s="470"/>
      <c r="AU46" s="470"/>
      <c r="AV46" s="470"/>
      <c r="AW46" s="470"/>
      <c r="AX46" s="470"/>
      <c r="AY46" s="470"/>
      <c r="AZ46" s="470"/>
      <c r="BA46" s="470"/>
      <c r="BB46" s="470"/>
      <c r="BC46" s="470"/>
      <c r="BD46" s="470"/>
      <c r="BE46" s="470"/>
      <c r="BF46" s="2145"/>
      <c r="BG46" s="2145"/>
      <c r="BH46" s="2145"/>
      <c r="BI46" s="2145"/>
      <c r="BJ46" s="2145"/>
      <c r="BK46" s="2145"/>
      <c r="BL46" s="2145"/>
      <c r="BM46" s="470"/>
      <c r="BN46" s="470"/>
      <c r="BO46" s="470"/>
      <c r="BP46" s="470"/>
      <c r="BQ46" s="470"/>
      <c r="BR46" s="470"/>
      <c r="BS46" s="470"/>
      <c r="BT46" s="470"/>
      <c r="BU46" s="470"/>
      <c r="BV46" s="470"/>
      <c r="BW46" s="470"/>
      <c r="BX46" s="470"/>
      <c r="BY46" s="470"/>
      <c r="BZ46" s="470"/>
      <c r="CA46" s="470"/>
      <c r="CB46" s="470"/>
      <c r="CC46" s="470"/>
      <c r="CD46" s="470"/>
      <c r="CE46" s="470"/>
      <c r="CF46" s="470"/>
      <c r="CG46" s="470"/>
      <c r="CH46" s="470"/>
      <c r="CI46" s="470"/>
      <c r="CJ46" s="470"/>
      <c r="CK46" s="470"/>
      <c r="CL46" s="470"/>
      <c r="CM46" s="470"/>
      <c r="CN46" s="470"/>
      <c r="CO46" s="470"/>
      <c r="CP46" s="470"/>
      <c r="CQ46" s="470"/>
      <c r="CR46" s="470"/>
      <c r="CS46" s="470"/>
      <c r="CT46" s="470"/>
      <c r="CU46" s="470"/>
      <c r="CV46" s="470"/>
      <c r="CW46" s="470"/>
      <c r="CX46" s="470"/>
      <c r="CY46" s="470"/>
      <c r="CZ46" s="470"/>
      <c r="DA46" s="470"/>
      <c r="DB46" s="470"/>
      <c r="DC46" s="470"/>
      <c r="DD46" s="470"/>
      <c r="DE46" s="470"/>
      <c r="DF46" s="470"/>
      <c r="DG46" s="470"/>
      <c r="DH46" s="470"/>
      <c r="DI46" s="470"/>
      <c r="DJ46" s="478"/>
      <c r="DK46" s="470"/>
      <c r="DL46" s="470"/>
      <c r="DM46" s="470"/>
      <c r="DN46" s="470"/>
      <c r="DO46" s="470"/>
      <c r="DP46" s="470"/>
      <c r="DQ46" s="470"/>
      <c r="DR46" s="470"/>
      <c r="DS46" s="470"/>
      <c r="DT46" s="470"/>
      <c r="DU46" s="470"/>
      <c r="DV46" s="470"/>
      <c r="DW46" s="470"/>
      <c r="DX46" s="470"/>
      <c r="DY46" s="470"/>
      <c r="DZ46" s="470"/>
      <c r="EA46" s="470"/>
      <c r="EB46" s="470"/>
      <c r="EC46" s="470"/>
      <c r="ED46" s="470"/>
      <c r="EE46" s="470"/>
      <c r="EF46" s="470"/>
      <c r="EG46" s="470"/>
      <c r="EH46" s="470"/>
      <c r="EI46" s="476"/>
      <c r="EJ46" s="470"/>
      <c r="EK46" s="470"/>
      <c r="EL46" s="470"/>
      <c r="EM46" s="470"/>
      <c r="EN46" s="470"/>
      <c r="EO46" s="470"/>
      <c r="EP46" s="470"/>
      <c r="EQ46" s="470"/>
      <c r="ER46" s="470"/>
      <c r="ES46" s="470"/>
      <c r="ET46" s="470"/>
      <c r="EU46" s="470"/>
      <c r="EV46" s="470"/>
      <c r="EW46" s="470"/>
      <c r="EX46" s="470"/>
      <c r="EY46" s="470"/>
      <c r="EZ46" s="470"/>
      <c r="FA46" s="470"/>
      <c r="FB46" s="470"/>
      <c r="FC46" s="470"/>
      <c r="FD46" s="470"/>
      <c r="FE46" s="470"/>
      <c r="FF46" s="470"/>
      <c r="FG46" s="470"/>
      <c r="FH46" s="470"/>
      <c r="FI46" s="470"/>
      <c r="FJ46" s="470"/>
      <c r="FK46" s="470"/>
      <c r="FL46" s="470"/>
      <c r="FM46" s="2146"/>
      <c r="FN46" s="470"/>
      <c r="FO46" s="470"/>
      <c r="FP46" s="470"/>
      <c r="FQ46" s="470"/>
      <c r="FR46" s="470"/>
      <c r="FS46" s="470"/>
      <c r="FT46" s="470"/>
      <c r="FU46" s="470"/>
      <c r="FV46" s="470"/>
      <c r="FW46" s="470"/>
      <c r="FX46" s="470"/>
      <c r="FY46" s="470"/>
      <c r="FZ46" s="470"/>
      <c r="GA46" s="470"/>
      <c r="GB46" s="470"/>
      <c r="GC46" s="470"/>
      <c r="GD46" s="470"/>
      <c r="GE46" s="470"/>
      <c r="GF46" s="470"/>
      <c r="GG46" s="470"/>
      <c r="GH46" s="470"/>
      <c r="GI46" s="470"/>
      <c r="GJ46" s="470"/>
      <c r="GK46" s="470"/>
      <c r="GL46" s="470"/>
      <c r="GM46" s="470"/>
      <c r="GN46" s="470"/>
      <c r="GO46" s="470"/>
      <c r="GP46" s="470"/>
      <c r="GQ46" s="470"/>
      <c r="GR46" s="470"/>
      <c r="GS46" s="470"/>
      <c r="GT46" s="470"/>
      <c r="GU46" s="2145"/>
      <c r="GV46" s="2147"/>
      <c r="GZ46" s="2032"/>
      <c r="HA46" s="2032"/>
      <c r="HB46" s="2032"/>
      <c r="HC46" s="2032"/>
      <c r="HD46" s="2032"/>
      <c r="HE46" s="2032"/>
      <c r="HF46" s="2032"/>
    </row>
    <row r="47" spans="1:214" ht="18.899999999999999" customHeight="1">
      <c r="A47" s="2135"/>
      <c r="B47" s="2135"/>
      <c r="C47" s="2136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  <c r="AH47" s="470"/>
      <c r="AI47" s="470"/>
      <c r="AJ47" s="470"/>
      <c r="AK47" s="470"/>
      <c r="AL47" s="470"/>
      <c r="AM47" s="470"/>
      <c r="AN47" s="470"/>
      <c r="AO47" s="470"/>
      <c r="AP47" s="470"/>
      <c r="AQ47" s="470"/>
      <c r="AR47" s="470"/>
      <c r="AS47" s="470"/>
      <c r="AT47" s="470"/>
      <c r="AU47" s="470"/>
      <c r="AV47" s="470"/>
      <c r="AW47" s="470"/>
      <c r="AX47" s="470"/>
      <c r="AY47" s="470"/>
      <c r="AZ47" s="470"/>
      <c r="BA47" s="470"/>
      <c r="BB47" s="470"/>
      <c r="BC47" s="470"/>
      <c r="BD47" s="470"/>
      <c r="BE47" s="470"/>
      <c r="BF47" s="2145"/>
      <c r="BG47" s="2145"/>
      <c r="BH47" s="2145"/>
      <c r="BI47" s="2145"/>
      <c r="BJ47" s="2145"/>
      <c r="BK47" s="2145"/>
      <c r="BL47" s="2145"/>
      <c r="BM47" s="470"/>
      <c r="BN47" s="470"/>
      <c r="BO47" s="470"/>
      <c r="BP47" s="470"/>
      <c r="BQ47" s="470"/>
      <c r="BR47" s="470"/>
      <c r="BS47" s="470"/>
      <c r="BT47" s="470"/>
      <c r="BU47" s="470"/>
      <c r="BV47" s="470"/>
      <c r="BW47" s="470"/>
      <c r="BX47" s="470"/>
      <c r="BY47" s="470"/>
      <c r="BZ47" s="470"/>
      <c r="CA47" s="470"/>
      <c r="CB47" s="470"/>
      <c r="CC47" s="470"/>
      <c r="CD47" s="470"/>
      <c r="CE47" s="470"/>
      <c r="CF47" s="470"/>
      <c r="CG47" s="470"/>
      <c r="CH47" s="470"/>
      <c r="CI47" s="470"/>
      <c r="CJ47" s="470"/>
      <c r="CK47" s="470"/>
      <c r="CL47" s="470"/>
      <c r="CM47" s="470"/>
      <c r="CN47" s="470"/>
      <c r="CO47" s="470"/>
      <c r="CP47" s="470"/>
      <c r="CQ47" s="470"/>
      <c r="CR47" s="470"/>
      <c r="CS47" s="470"/>
      <c r="CT47" s="470"/>
      <c r="CU47" s="470"/>
      <c r="CV47" s="470"/>
      <c r="CW47" s="470"/>
      <c r="CX47" s="470"/>
      <c r="CY47" s="470"/>
      <c r="CZ47" s="470"/>
      <c r="DA47" s="470"/>
      <c r="DB47" s="470"/>
      <c r="DC47" s="470"/>
      <c r="DD47" s="470"/>
      <c r="DE47" s="470"/>
      <c r="DF47" s="470"/>
      <c r="DG47" s="470"/>
      <c r="DH47" s="470"/>
      <c r="DI47" s="470"/>
      <c r="DJ47" s="470"/>
      <c r="DK47" s="470"/>
      <c r="DL47" s="470"/>
      <c r="DM47" s="470"/>
      <c r="DN47" s="470"/>
      <c r="DO47" s="470"/>
      <c r="DP47" s="470"/>
      <c r="DQ47" s="470"/>
      <c r="DR47" s="470"/>
      <c r="DS47" s="470"/>
      <c r="DT47" s="470"/>
      <c r="DU47" s="470"/>
      <c r="DV47" s="470"/>
      <c r="DW47" s="470"/>
      <c r="DX47" s="470"/>
      <c r="DY47" s="470"/>
      <c r="DZ47" s="470"/>
      <c r="EA47" s="470"/>
      <c r="EB47" s="470"/>
      <c r="EC47" s="470"/>
      <c r="ED47" s="470"/>
      <c r="EE47" s="470"/>
      <c r="EF47" s="470"/>
      <c r="EG47" s="470"/>
      <c r="EH47" s="470"/>
      <c r="EI47" s="476"/>
      <c r="EJ47" s="470"/>
      <c r="EK47" s="470"/>
      <c r="EL47" s="470"/>
      <c r="EM47" s="470"/>
      <c r="EN47" s="470"/>
      <c r="EO47" s="470"/>
      <c r="EP47" s="470"/>
      <c r="EQ47" s="470"/>
      <c r="ER47" s="470"/>
      <c r="ES47" s="470"/>
      <c r="ET47" s="470"/>
      <c r="EU47" s="470"/>
      <c r="EV47" s="470"/>
      <c r="EW47" s="470"/>
      <c r="EX47" s="470"/>
      <c r="EY47" s="470"/>
      <c r="EZ47" s="470"/>
      <c r="FA47" s="470"/>
      <c r="FB47" s="470"/>
      <c r="FC47" s="470"/>
      <c r="FD47" s="470"/>
      <c r="FE47" s="470"/>
      <c r="FF47" s="470"/>
      <c r="FG47" s="470"/>
      <c r="FH47" s="470"/>
      <c r="FI47" s="470"/>
      <c r="FJ47" s="470"/>
      <c r="FK47" s="470"/>
      <c r="FL47" s="470"/>
      <c r="FM47" s="2146"/>
      <c r="FN47" s="470"/>
      <c r="FO47" s="470"/>
      <c r="FP47" s="470"/>
      <c r="FQ47" s="470"/>
      <c r="FR47" s="470"/>
      <c r="FS47" s="470"/>
      <c r="FT47" s="470"/>
      <c r="FU47" s="470"/>
      <c r="FV47" s="470"/>
      <c r="FW47" s="470"/>
      <c r="FX47" s="470"/>
      <c r="FY47" s="470"/>
      <c r="FZ47" s="470"/>
      <c r="GA47" s="470"/>
      <c r="GB47" s="470"/>
      <c r="GC47" s="470"/>
      <c r="GD47" s="470"/>
      <c r="GE47" s="470"/>
      <c r="GF47" s="470"/>
      <c r="GG47" s="470"/>
      <c r="GH47" s="470"/>
      <c r="GI47" s="470"/>
      <c r="GJ47" s="470"/>
      <c r="GK47" s="470"/>
      <c r="GL47" s="470"/>
      <c r="GM47" s="470"/>
      <c r="GN47" s="470"/>
      <c r="GO47" s="470"/>
      <c r="GP47" s="470"/>
      <c r="GQ47" s="470"/>
      <c r="GR47" s="470"/>
      <c r="GS47" s="470"/>
      <c r="GT47" s="470"/>
      <c r="GU47" s="2145"/>
      <c r="GV47" s="2147"/>
      <c r="GZ47" s="2032"/>
      <c r="HA47" s="2032"/>
      <c r="HB47" s="2032"/>
      <c r="HC47" s="2032"/>
      <c r="HD47" s="2032"/>
      <c r="HE47" s="2032"/>
      <c r="HF47" s="2032"/>
    </row>
    <row r="48" spans="1:214" ht="18.899999999999999" customHeight="1">
      <c r="A48" s="2135"/>
      <c r="B48" s="2135"/>
      <c r="C48" s="2136"/>
      <c r="D48" s="470"/>
      <c r="E48" s="470"/>
      <c r="F48" s="470"/>
      <c r="G48" s="470"/>
      <c r="H48" s="470"/>
      <c r="I48" s="470"/>
      <c r="J48" s="470"/>
      <c r="K48" s="470"/>
      <c r="L48" s="470"/>
      <c r="M48" s="470"/>
      <c r="N48" s="470"/>
      <c r="O48" s="470"/>
      <c r="P48" s="470"/>
      <c r="Q48" s="470"/>
      <c r="R48" s="470"/>
      <c r="S48" s="470"/>
      <c r="T48" s="470"/>
      <c r="U48" s="470"/>
      <c r="V48" s="470"/>
      <c r="W48" s="470"/>
      <c r="X48" s="470"/>
      <c r="Y48" s="470"/>
      <c r="Z48" s="470"/>
      <c r="AA48" s="470"/>
      <c r="AB48" s="470"/>
      <c r="AC48" s="470"/>
      <c r="AD48" s="470"/>
      <c r="AE48" s="470"/>
      <c r="AF48" s="470"/>
      <c r="AG48" s="470"/>
      <c r="AH48" s="470"/>
      <c r="AI48" s="470"/>
      <c r="AJ48" s="470"/>
      <c r="AK48" s="470"/>
      <c r="AL48" s="470"/>
      <c r="AM48" s="470"/>
      <c r="AN48" s="470"/>
      <c r="AO48" s="470"/>
      <c r="AP48" s="470"/>
      <c r="AQ48" s="470"/>
      <c r="AR48" s="470"/>
      <c r="AS48" s="470"/>
      <c r="AT48" s="470"/>
      <c r="AU48" s="470"/>
      <c r="AV48" s="470"/>
      <c r="AW48" s="470"/>
      <c r="AX48" s="470"/>
      <c r="AY48" s="470"/>
      <c r="AZ48" s="470"/>
      <c r="BA48" s="470"/>
      <c r="BB48" s="470"/>
      <c r="BC48" s="470"/>
      <c r="BD48" s="470"/>
      <c r="BE48" s="470"/>
      <c r="BF48" s="2145"/>
      <c r="BG48" s="2145"/>
      <c r="BH48" s="2145"/>
      <c r="BI48" s="2145"/>
      <c r="BJ48" s="2145"/>
      <c r="BK48" s="2145"/>
      <c r="BL48" s="2145"/>
      <c r="BM48" s="470"/>
      <c r="BN48" s="470"/>
      <c r="BO48" s="470"/>
      <c r="BP48" s="470"/>
      <c r="BQ48" s="470"/>
      <c r="BR48" s="470"/>
      <c r="BS48" s="470"/>
      <c r="BT48" s="470"/>
      <c r="BU48" s="470"/>
      <c r="BV48" s="470"/>
      <c r="BW48" s="470"/>
      <c r="BX48" s="470"/>
      <c r="BY48" s="470"/>
      <c r="BZ48" s="470"/>
      <c r="CA48" s="470"/>
      <c r="CB48" s="470"/>
      <c r="CC48" s="470"/>
      <c r="CD48" s="470"/>
      <c r="CE48" s="470"/>
      <c r="CF48" s="470"/>
      <c r="CG48" s="470"/>
      <c r="CH48" s="470"/>
      <c r="CI48" s="470"/>
      <c r="CJ48" s="470"/>
      <c r="CK48" s="470"/>
      <c r="CL48" s="470"/>
      <c r="CM48" s="470"/>
      <c r="CN48" s="470"/>
      <c r="CO48" s="470"/>
      <c r="CP48" s="470"/>
      <c r="CQ48" s="470"/>
      <c r="CR48" s="470"/>
      <c r="CS48" s="470"/>
      <c r="CT48" s="470"/>
      <c r="CU48" s="470"/>
      <c r="CV48" s="470"/>
      <c r="CW48" s="470"/>
      <c r="CX48" s="470"/>
      <c r="CY48" s="470"/>
      <c r="CZ48" s="470"/>
      <c r="DA48" s="470"/>
      <c r="DB48" s="470"/>
      <c r="DC48" s="470"/>
      <c r="DD48" s="470"/>
      <c r="DE48" s="470"/>
      <c r="DF48" s="470"/>
      <c r="DG48" s="470"/>
      <c r="DH48" s="470"/>
      <c r="DI48" s="470"/>
      <c r="DJ48" s="470"/>
      <c r="DK48" s="470"/>
      <c r="DL48" s="470"/>
      <c r="DM48" s="470"/>
      <c r="DN48" s="470"/>
      <c r="DO48" s="470"/>
      <c r="DP48" s="470"/>
      <c r="DQ48" s="470"/>
      <c r="DR48" s="470"/>
      <c r="DS48" s="470"/>
      <c r="DT48" s="470"/>
      <c r="DU48" s="470"/>
      <c r="DV48" s="470"/>
      <c r="DW48" s="470"/>
      <c r="DX48" s="470"/>
      <c r="DY48" s="470"/>
      <c r="DZ48" s="470"/>
      <c r="EA48" s="470"/>
      <c r="EB48" s="470"/>
      <c r="EC48" s="470"/>
      <c r="ED48" s="470"/>
      <c r="EE48" s="470"/>
      <c r="EF48" s="470"/>
      <c r="EG48" s="470"/>
      <c r="EH48" s="470"/>
      <c r="EI48" s="476"/>
      <c r="EJ48" s="470"/>
      <c r="EK48" s="470"/>
      <c r="EL48" s="470"/>
      <c r="EM48" s="470"/>
      <c r="EN48" s="470"/>
      <c r="EO48" s="470"/>
      <c r="EP48" s="470"/>
      <c r="EQ48" s="470"/>
      <c r="ER48" s="470"/>
      <c r="ES48" s="470"/>
      <c r="ET48" s="470"/>
      <c r="EU48" s="470"/>
      <c r="EV48" s="470"/>
      <c r="EW48" s="470"/>
      <c r="EX48" s="470"/>
      <c r="EY48" s="470"/>
      <c r="EZ48" s="470"/>
      <c r="FA48" s="470"/>
      <c r="FB48" s="470"/>
      <c r="FC48" s="470"/>
      <c r="FD48" s="470"/>
      <c r="FE48" s="470"/>
      <c r="FF48" s="470"/>
      <c r="FG48" s="470"/>
      <c r="FH48" s="470"/>
      <c r="FI48" s="470"/>
      <c r="FJ48" s="470"/>
      <c r="FK48" s="470"/>
      <c r="FL48" s="470"/>
      <c r="FM48" s="2146"/>
      <c r="FN48" s="470"/>
      <c r="FO48" s="470"/>
      <c r="FP48" s="470"/>
      <c r="FQ48" s="470"/>
      <c r="FR48" s="470"/>
      <c r="FS48" s="470"/>
      <c r="FT48" s="470"/>
      <c r="FU48" s="470"/>
      <c r="FV48" s="470"/>
      <c r="FW48" s="470"/>
      <c r="FX48" s="470"/>
      <c r="FY48" s="470"/>
      <c r="FZ48" s="470"/>
      <c r="GA48" s="470"/>
      <c r="GB48" s="470"/>
      <c r="GC48" s="470"/>
      <c r="GD48" s="470"/>
      <c r="GE48" s="470"/>
      <c r="GF48" s="470"/>
      <c r="GG48" s="470"/>
      <c r="GH48" s="470"/>
      <c r="GI48" s="470"/>
      <c r="GJ48" s="470"/>
      <c r="GK48" s="470"/>
      <c r="GL48" s="470"/>
      <c r="GM48" s="470"/>
      <c r="GN48" s="470"/>
      <c r="GO48" s="470"/>
      <c r="GP48" s="470"/>
      <c r="GQ48" s="470"/>
      <c r="GR48" s="470"/>
      <c r="GS48" s="470"/>
      <c r="GT48" s="470"/>
      <c r="GU48" s="2145"/>
      <c r="GV48" s="2147"/>
      <c r="GZ48" s="2032"/>
      <c r="HA48" s="2032"/>
      <c r="HB48" s="2032"/>
      <c r="HC48" s="2032"/>
      <c r="HD48" s="2032"/>
      <c r="HE48" s="2032"/>
      <c r="HF48" s="2032"/>
    </row>
    <row r="49" spans="1:214" ht="18.899999999999999" customHeight="1">
      <c r="A49" s="2135"/>
      <c r="B49" s="2135"/>
      <c r="C49" s="2136"/>
      <c r="D49" s="470"/>
      <c r="E49" s="470"/>
      <c r="F49" s="470"/>
      <c r="G49" s="470"/>
      <c r="H49" s="470"/>
      <c r="I49" s="470"/>
      <c r="J49" s="470"/>
      <c r="K49" s="470"/>
      <c r="L49" s="470"/>
      <c r="M49" s="470"/>
      <c r="N49" s="470"/>
      <c r="O49" s="470"/>
      <c r="P49" s="470"/>
      <c r="Q49" s="470"/>
      <c r="R49" s="470"/>
      <c r="S49" s="470"/>
      <c r="T49" s="470"/>
      <c r="U49" s="470"/>
      <c r="V49" s="470"/>
      <c r="W49" s="470"/>
      <c r="X49" s="470"/>
      <c r="Y49" s="470"/>
      <c r="Z49" s="470"/>
      <c r="AA49" s="470"/>
      <c r="AB49" s="470"/>
      <c r="AC49" s="470"/>
      <c r="AD49" s="470"/>
      <c r="AE49" s="470"/>
      <c r="AF49" s="470"/>
      <c r="AG49" s="470"/>
      <c r="AH49" s="470"/>
      <c r="AI49" s="470"/>
      <c r="AJ49" s="470"/>
      <c r="AK49" s="470"/>
      <c r="AL49" s="470"/>
      <c r="AM49" s="470"/>
      <c r="AN49" s="470"/>
      <c r="AO49" s="470"/>
      <c r="AP49" s="470"/>
      <c r="AQ49" s="470"/>
      <c r="AR49" s="470"/>
      <c r="AS49" s="470"/>
      <c r="AT49" s="470"/>
      <c r="AU49" s="470"/>
      <c r="AV49" s="470"/>
      <c r="AW49" s="470"/>
      <c r="AX49" s="470"/>
      <c r="AY49" s="470"/>
      <c r="AZ49" s="470"/>
      <c r="BA49" s="470"/>
      <c r="BB49" s="470"/>
      <c r="BC49" s="470"/>
      <c r="BD49" s="470"/>
      <c r="BE49" s="470"/>
      <c r="BF49" s="2145"/>
      <c r="BG49" s="2145"/>
      <c r="BH49" s="2145"/>
      <c r="BI49" s="2145"/>
      <c r="BJ49" s="2145"/>
      <c r="BK49" s="2145"/>
      <c r="BL49" s="2145"/>
      <c r="BM49" s="470"/>
      <c r="BN49" s="470"/>
      <c r="BO49" s="470"/>
      <c r="BP49" s="470"/>
      <c r="BQ49" s="470"/>
      <c r="BR49" s="470"/>
      <c r="BS49" s="470"/>
      <c r="BT49" s="470"/>
      <c r="BU49" s="470"/>
      <c r="BV49" s="470"/>
      <c r="BW49" s="470"/>
      <c r="BX49" s="470"/>
      <c r="BY49" s="470"/>
      <c r="BZ49" s="470"/>
      <c r="CA49" s="470"/>
      <c r="CB49" s="470"/>
      <c r="CC49" s="470"/>
      <c r="CD49" s="470"/>
      <c r="CE49" s="470"/>
      <c r="CF49" s="470"/>
      <c r="CG49" s="470"/>
      <c r="CH49" s="470"/>
      <c r="CI49" s="470"/>
      <c r="CJ49" s="470"/>
      <c r="CK49" s="470"/>
      <c r="CL49" s="470"/>
      <c r="CM49" s="470"/>
      <c r="CN49" s="470"/>
      <c r="CO49" s="470"/>
      <c r="CP49" s="470"/>
      <c r="CQ49" s="470"/>
      <c r="CR49" s="470"/>
      <c r="CS49" s="470"/>
      <c r="CT49" s="470"/>
      <c r="CU49" s="470"/>
      <c r="CV49" s="470"/>
      <c r="CW49" s="470"/>
      <c r="CX49" s="470"/>
      <c r="CY49" s="470"/>
      <c r="CZ49" s="470"/>
      <c r="DA49" s="470"/>
      <c r="DB49" s="470"/>
      <c r="DC49" s="470"/>
      <c r="DD49" s="470"/>
      <c r="DE49" s="470"/>
      <c r="DF49" s="470"/>
      <c r="DG49" s="470"/>
      <c r="DH49" s="470"/>
      <c r="DI49" s="470"/>
      <c r="DJ49" s="470"/>
      <c r="DK49" s="470"/>
      <c r="DL49" s="470"/>
      <c r="DM49" s="470"/>
      <c r="DN49" s="470"/>
      <c r="DO49" s="470"/>
      <c r="DP49" s="470"/>
      <c r="DQ49" s="470"/>
      <c r="DR49" s="470"/>
      <c r="DS49" s="470"/>
      <c r="DT49" s="470"/>
      <c r="DU49" s="470"/>
      <c r="DV49" s="470"/>
      <c r="DW49" s="470"/>
      <c r="DX49" s="470"/>
      <c r="DY49" s="470"/>
      <c r="DZ49" s="470"/>
      <c r="EA49" s="470"/>
      <c r="EB49" s="470"/>
      <c r="EC49" s="470"/>
      <c r="ED49" s="470"/>
      <c r="EE49" s="470"/>
      <c r="EF49" s="470"/>
      <c r="EG49" s="470"/>
      <c r="EH49" s="470"/>
      <c r="EI49" s="476"/>
      <c r="EJ49" s="470"/>
      <c r="EK49" s="470"/>
      <c r="EL49" s="470"/>
      <c r="EM49" s="470"/>
      <c r="EN49" s="470"/>
      <c r="EO49" s="470"/>
      <c r="EP49" s="470"/>
      <c r="EQ49" s="470"/>
      <c r="ER49" s="470"/>
      <c r="ES49" s="470"/>
      <c r="ET49" s="470"/>
      <c r="EU49" s="470"/>
      <c r="EV49" s="470"/>
      <c r="EW49" s="470"/>
      <c r="EX49" s="470"/>
      <c r="EY49" s="470"/>
      <c r="EZ49" s="470"/>
      <c r="FA49" s="470"/>
      <c r="FB49" s="470"/>
      <c r="FC49" s="470"/>
      <c r="FD49" s="470"/>
      <c r="FE49" s="470"/>
      <c r="FF49" s="470"/>
      <c r="FG49" s="470"/>
      <c r="FH49" s="470"/>
      <c r="FI49" s="470"/>
      <c r="FJ49" s="470"/>
      <c r="FK49" s="470"/>
      <c r="FL49" s="470"/>
      <c r="FM49" s="2146"/>
      <c r="FN49" s="470"/>
      <c r="FO49" s="470"/>
      <c r="FP49" s="470"/>
      <c r="FQ49" s="470"/>
      <c r="FR49" s="470"/>
      <c r="FS49" s="470"/>
      <c r="FT49" s="470"/>
      <c r="FU49" s="470"/>
      <c r="FV49" s="470"/>
      <c r="FW49" s="470"/>
      <c r="FX49" s="470"/>
      <c r="FY49" s="470"/>
      <c r="FZ49" s="470"/>
      <c r="GA49" s="470"/>
      <c r="GB49" s="470"/>
      <c r="GC49" s="470"/>
      <c r="GD49" s="470"/>
      <c r="GE49" s="470"/>
      <c r="GF49" s="470"/>
      <c r="GG49" s="470"/>
      <c r="GH49" s="470"/>
      <c r="GI49" s="470"/>
      <c r="GJ49" s="470"/>
      <c r="GK49" s="470"/>
      <c r="GL49" s="470"/>
      <c r="GM49" s="470"/>
      <c r="GN49" s="470"/>
      <c r="GO49" s="470"/>
      <c r="GP49" s="470"/>
      <c r="GQ49" s="470"/>
      <c r="GR49" s="470"/>
      <c r="GS49" s="470"/>
      <c r="GT49" s="470"/>
      <c r="GU49" s="2145"/>
      <c r="GV49" s="2147"/>
      <c r="GZ49" s="2032"/>
      <c r="HA49" s="2032"/>
      <c r="HB49" s="2032"/>
      <c r="HC49" s="2032"/>
      <c r="HD49" s="2032"/>
      <c r="HE49" s="2032"/>
      <c r="HF49" s="2032"/>
    </row>
    <row r="50" spans="1:214" ht="18.899999999999999" customHeight="1">
      <c r="A50" s="2135"/>
      <c r="B50" s="2135"/>
      <c r="C50" s="2136"/>
      <c r="D50" s="470"/>
      <c r="E50" s="470"/>
      <c r="F50" s="470"/>
      <c r="G50" s="470"/>
      <c r="H50" s="470"/>
      <c r="I50" s="470"/>
      <c r="J50" s="470"/>
      <c r="K50" s="470"/>
      <c r="L50" s="470"/>
      <c r="M50" s="470"/>
      <c r="N50" s="470"/>
      <c r="O50" s="470"/>
      <c r="P50" s="470"/>
      <c r="Q50" s="470"/>
      <c r="R50" s="470"/>
      <c r="S50" s="470"/>
      <c r="T50" s="470"/>
      <c r="U50" s="470"/>
      <c r="V50" s="470"/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70"/>
      <c r="AL50" s="470"/>
      <c r="AM50" s="470"/>
      <c r="AN50" s="470"/>
      <c r="AO50" s="470"/>
      <c r="AP50" s="470"/>
      <c r="AQ50" s="470"/>
      <c r="AR50" s="470"/>
      <c r="AS50" s="470"/>
      <c r="AT50" s="470"/>
      <c r="AU50" s="470"/>
      <c r="AV50" s="470"/>
      <c r="AW50" s="470"/>
      <c r="AX50" s="470"/>
      <c r="AY50" s="470"/>
      <c r="AZ50" s="470"/>
      <c r="BA50" s="470"/>
      <c r="BB50" s="470"/>
      <c r="BC50" s="470"/>
      <c r="BD50" s="470"/>
      <c r="BE50" s="470"/>
      <c r="BF50" s="2145"/>
      <c r="BG50" s="2145"/>
      <c r="BH50" s="2145"/>
      <c r="BI50" s="2145"/>
      <c r="BJ50" s="2145"/>
      <c r="BK50" s="2145"/>
      <c r="BL50" s="2145"/>
      <c r="BM50" s="470"/>
      <c r="BN50" s="470"/>
      <c r="BO50" s="470"/>
      <c r="BP50" s="470"/>
      <c r="BQ50" s="470"/>
      <c r="BR50" s="470"/>
      <c r="BS50" s="470"/>
      <c r="BT50" s="470"/>
      <c r="BU50" s="470"/>
      <c r="BV50" s="470"/>
      <c r="BW50" s="470"/>
      <c r="BX50" s="470"/>
      <c r="BY50" s="470"/>
      <c r="BZ50" s="470"/>
      <c r="CA50" s="470"/>
      <c r="CB50" s="470"/>
      <c r="CC50" s="470"/>
      <c r="CD50" s="470"/>
      <c r="CE50" s="470"/>
      <c r="CF50" s="470"/>
      <c r="CG50" s="470"/>
      <c r="CH50" s="470"/>
      <c r="CI50" s="470"/>
      <c r="CJ50" s="470"/>
      <c r="CK50" s="470"/>
      <c r="CL50" s="470"/>
      <c r="CM50" s="470"/>
      <c r="CN50" s="470"/>
      <c r="CO50" s="470"/>
      <c r="CP50" s="470"/>
      <c r="CQ50" s="470"/>
      <c r="CR50" s="470"/>
      <c r="CS50" s="470"/>
      <c r="CT50" s="470"/>
      <c r="CU50" s="470"/>
      <c r="CV50" s="470"/>
      <c r="CW50" s="470"/>
      <c r="CX50" s="470"/>
      <c r="CY50" s="470"/>
      <c r="CZ50" s="470"/>
      <c r="DA50" s="470"/>
      <c r="DB50" s="470"/>
      <c r="DC50" s="470"/>
      <c r="DD50" s="470"/>
      <c r="DE50" s="470"/>
      <c r="DF50" s="470"/>
      <c r="DG50" s="470"/>
      <c r="DH50" s="470"/>
      <c r="DI50" s="470"/>
      <c r="DJ50" s="470"/>
      <c r="DK50" s="470"/>
      <c r="DL50" s="470"/>
      <c r="DM50" s="470"/>
      <c r="DN50" s="470"/>
      <c r="DO50" s="470"/>
      <c r="DP50" s="470"/>
      <c r="DQ50" s="470"/>
      <c r="DR50" s="470"/>
      <c r="DS50" s="470"/>
      <c r="DT50" s="470"/>
      <c r="DU50" s="470"/>
      <c r="DV50" s="470"/>
      <c r="DW50" s="470"/>
      <c r="DX50" s="470"/>
      <c r="DY50" s="470"/>
      <c r="DZ50" s="470"/>
      <c r="EA50" s="470"/>
      <c r="EB50" s="470"/>
      <c r="EC50" s="470"/>
      <c r="ED50" s="470"/>
      <c r="EE50" s="470"/>
      <c r="EF50" s="470"/>
      <c r="EG50" s="470"/>
      <c r="EH50" s="470"/>
      <c r="EI50" s="476"/>
      <c r="EJ50" s="470"/>
      <c r="EK50" s="470"/>
      <c r="EL50" s="470"/>
      <c r="EM50" s="470"/>
      <c r="EN50" s="470"/>
      <c r="EO50" s="470"/>
      <c r="EP50" s="470"/>
      <c r="EQ50" s="470"/>
      <c r="ER50" s="470"/>
      <c r="ES50" s="470"/>
      <c r="ET50" s="470"/>
      <c r="EU50" s="470"/>
      <c r="EV50" s="470"/>
      <c r="EW50" s="470"/>
      <c r="EX50" s="470"/>
      <c r="EY50" s="470"/>
      <c r="EZ50" s="470"/>
      <c r="FA50" s="470"/>
      <c r="FB50" s="470"/>
      <c r="FC50" s="470"/>
      <c r="FD50" s="470"/>
      <c r="FE50" s="470"/>
      <c r="FF50" s="470"/>
      <c r="FG50" s="470"/>
      <c r="FH50" s="470"/>
      <c r="FI50" s="470"/>
      <c r="FJ50" s="470"/>
      <c r="FK50" s="470"/>
      <c r="FL50" s="470"/>
      <c r="FM50" s="2146"/>
      <c r="FN50" s="470"/>
      <c r="FO50" s="470"/>
      <c r="FP50" s="470"/>
      <c r="FQ50" s="470"/>
      <c r="FR50" s="470"/>
      <c r="FS50" s="470"/>
      <c r="FT50" s="470"/>
      <c r="FU50" s="470"/>
      <c r="FV50" s="470"/>
      <c r="FW50" s="470"/>
      <c r="FX50" s="470"/>
      <c r="FY50" s="470"/>
      <c r="FZ50" s="470"/>
      <c r="GA50" s="470"/>
      <c r="GB50" s="470"/>
      <c r="GC50" s="470"/>
      <c r="GD50" s="470"/>
      <c r="GE50" s="470"/>
      <c r="GF50" s="470"/>
      <c r="GG50" s="470"/>
      <c r="GH50" s="470"/>
      <c r="GI50" s="470"/>
      <c r="GJ50" s="470"/>
      <c r="GK50" s="470"/>
      <c r="GL50" s="470"/>
      <c r="GM50" s="470"/>
      <c r="GN50" s="470"/>
      <c r="GO50" s="470"/>
      <c r="GP50" s="470"/>
      <c r="GQ50" s="470"/>
      <c r="GR50" s="470"/>
      <c r="GS50" s="470"/>
      <c r="GT50" s="470"/>
      <c r="GU50" s="2145"/>
      <c r="GV50" s="2147"/>
      <c r="GZ50" s="2032"/>
      <c r="HA50" s="2032"/>
      <c r="HB50" s="2032"/>
      <c r="HC50" s="2032"/>
      <c r="HD50" s="2032"/>
      <c r="HE50" s="2032"/>
      <c r="HF50" s="2032"/>
    </row>
    <row r="51" spans="1:214" ht="18.899999999999999" customHeight="1">
      <c r="A51" s="2135"/>
      <c r="B51" s="2135"/>
      <c r="C51" s="2136"/>
      <c r="D51" s="470"/>
      <c r="E51" s="470"/>
      <c r="F51" s="470"/>
      <c r="G51" s="470"/>
      <c r="H51" s="470"/>
      <c r="I51" s="470"/>
      <c r="J51" s="470"/>
      <c r="K51" s="470"/>
      <c r="L51" s="470"/>
      <c r="M51" s="470"/>
      <c r="N51" s="470"/>
      <c r="O51" s="470"/>
      <c r="P51" s="470"/>
      <c r="Q51" s="470"/>
      <c r="R51" s="470"/>
      <c r="S51" s="470"/>
      <c r="T51" s="470"/>
      <c r="U51" s="470"/>
      <c r="V51" s="470"/>
      <c r="W51" s="470"/>
      <c r="X51" s="470"/>
      <c r="Y51" s="470"/>
      <c r="Z51" s="470"/>
      <c r="AA51" s="470"/>
      <c r="AB51" s="470"/>
      <c r="AC51" s="470"/>
      <c r="AD51" s="470"/>
      <c r="AE51" s="470"/>
      <c r="AF51" s="470"/>
      <c r="AG51" s="470"/>
      <c r="AH51" s="470"/>
      <c r="AI51" s="470"/>
      <c r="AJ51" s="470"/>
      <c r="AK51" s="470"/>
      <c r="AL51" s="470"/>
      <c r="AM51" s="470"/>
      <c r="AN51" s="470"/>
      <c r="AO51" s="470"/>
      <c r="AP51" s="470"/>
      <c r="AQ51" s="470"/>
      <c r="AR51" s="470"/>
      <c r="AS51" s="470"/>
      <c r="AT51" s="470"/>
      <c r="AU51" s="470"/>
      <c r="AV51" s="470"/>
      <c r="AW51" s="470"/>
      <c r="AX51" s="470"/>
      <c r="AY51" s="470"/>
      <c r="AZ51" s="470"/>
      <c r="BA51" s="470"/>
      <c r="BB51" s="470"/>
      <c r="BC51" s="470"/>
      <c r="BD51" s="470"/>
      <c r="BE51" s="470"/>
      <c r="BF51" s="2145"/>
      <c r="BG51" s="2145"/>
      <c r="BH51" s="2145"/>
      <c r="BI51" s="2145"/>
      <c r="BJ51" s="2145"/>
      <c r="BK51" s="2145"/>
      <c r="BL51" s="2145"/>
      <c r="BM51" s="470"/>
      <c r="BN51" s="470"/>
      <c r="BO51" s="470"/>
      <c r="BP51" s="470"/>
      <c r="BQ51" s="470"/>
      <c r="BR51" s="470"/>
      <c r="BS51" s="470"/>
      <c r="BT51" s="470"/>
      <c r="BU51" s="470"/>
      <c r="BV51" s="470"/>
      <c r="BW51" s="470"/>
      <c r="BX51" s="470"/>
      <c r="BY51" s="470"/>
      <c r="BZ51" s="470"/>
      <c r="CA51" s="470"/>
      <c r="CB51" s="470"/>
      <c r="CC51" s="470"/>
      <c r="CD51" s="470"/>
      <c r="CE51" s="470"/>
      <c r="CF51" s="470"/>
      <c r="CG51" s="470"/>
      <c r="CH51" s="470"/>
      <c r="CI51" s="470"/>
      <c r="CJ51" s="470"/>
      <c r="CK51" s="470"/>
      <c r="CL51" s="470"/>
      <c r="CM51" s="470"/>
      <c r="CN51" s="470"/>
      <c r="CO51" s="470"/>
      <c r="CP51" s="470"/>
      <c r="CQ51" s="470"/>
      <c r="CR51" s="470"/>
      <c r="CS51" s="470"/>
      <c r="CT51" s="470"/>
      <c r="CU51" s="470"/>
      <c r="CV51" s="470"/>
      <c r="CW51" s="470"/>
      <c r="CX51" s="470"/>
      <c r="CY51" s="470"/>
      <c r="CZ51" s="470"/>
      <c r="DA51" s="470"/>
      <c r="DB51" s="470"/>
      <c r="DC51" s="470"/>
      <c r="DD51" s="470"/>
      <c r="DE51" s="470"/>
      <c r="DF51" s="470"/>
      <c r="DG51" s="470"/>
      <c r="DH51" s="470"/>
      <c r="DI51" s="470"/>
      <c r="DJ51" s="470"/>
      <c r="DK51" s="470"/>
      <c r="DL51" s="470"/>
      <c r="DM51" s="470"/>
      <c r="DN51" s="470"/>
      <c r="DO51" s="470"/>
      <c r="DP51" s="470"/>
      <c r="DQ51" s="470"/>
      <c r="DR51" s="470"/>
      <c r="DS51" s="470"/>
      <c r="DT51" s="470"/>
      <c r="DU51" s="470"/>
      <c r="DV51" s="470"/>
      <c r="DW51" s="470"/>
      <c r="DX51" s="470"/>
      <c r="DY51" s="470"/>
      <c r="DZ51" s="470"/>
      <c r="EA51" s="470"/>
      <c r="EB51" s="470"/>
      <c r="EC51" s="470"/>
      <c r="ED51" s="470"/>
      <c r="EE51" s="470"/>
      <c r="EF51" s="470"/>
      <c r="EG51" s="470"/>
      <c r="EH51" s="470"/>
      <c r="EI51" s="476"/>
      <c r="EJ51" s="470"/>
      <c r="EK51" s="470"/>
      <c r="EL51" s="470"/>
      <c r="EM51" s="470"/>
      <c r="EN51" s="470"/>
      <c r="EO51" s="470"/>
      <c r="EP51" s="470"/>
      <c r="EQ51" s="470"/>
      <c r="ER51" s="470"/>
      <c r="ES51" s="470"/>
      <c r="ET51" s="470"/>
      <c r="EU51" s="470"/>
      <c r="EV51" s="470"/>
      <c r="EW51" s="470"/>
      <c r="EX51" s="470"/>
      <c r="EY51" s="470"/>
      <c r="EZ51" s="470"/>
      <c r="FA51" s="470"/>
      <c r="FB51" s="470"/>
      <c r="FC51" s="470"/>
      <c r="FD51" s="470"/>
      <c r="FE51" s="470"/>
      <c r="FF51" s="470"/>
      <c r="FG51" s="470"/>
      <c r="FH51" s="470"/>
      <c r="FI51" s="470"/>
      <c r="FJ51" s="470"/>
      <c r="FK51" s="470"/>
      <c r="FL51" s="470"/>
      <c r="FM51" s="2146"/>
      <c r="FN51" s="470"/>
      <c r="FO51" s="470"/>
      <c r="FP51" s="470"/>
      <c r="FQ51" s="470"/>
      <c r="FR51" s="470"/>
      <c r="FS51" s="470"/>
      <c r="FT51" s="470"/>
      <c r="FU51" s="470"/>
      <c r="FV51" s="470"/>
      <c r="FW51" s="470"/>
      <c r="FX51" s="470"/>
      <c r="FY51" s="470"/>
      <c r="FZ51" s="470"/>
      <c r="GA51" s="470"/>
      <c r="GB51" s="470"/>
      <c r="GC51" s="470"/>
      <c r="GD51" s="470"/>
      <c r="GE51" s="470"/>
      <c r="GF51" s="470"/>
      <c r="GG51" s="470"/>
      <c r="GH51" s="470"/>
      <c r="GI51" s="470"/>
      <c r="GJ51" s="470"/>
      <c r="GK51" s="470"/>
      <c r="GL51" s="470"/>
      <c r="GM51" s="470"/>
      <c r="GN51" s="470"/>
      <c r="GO51" s="470"/>
      <c r="GP51" s="470"/>
      <c r="GQ51" s="470"/>
      <c r="GR51" s="470"/>
      <c r="GS51" s="470"/>
      <c r="GT51" s="470"/>
      <c r="GU51" s="2145"/>
      <c r="GV51" s="2147"/>
      <c r="GZ51" s="2032"/>
      <c r="HA51" s="2032"/>
      <c r="HB51" s="2032"/>
      <c r="HC51" s="2032"/>
      <c r="HD51" s="2032"/>
      <c r="HE51" s="2032"/>
      <c r="HF51" s="2032"/>
    </row>
    <row r="52" spans="1:214" ht="18.899999999999999" customHeight="1">
      <c r="A52" s="2135"/>
      <c r="B52" s="2135"/>
      <c r="C52" s="2136"/>
      <c r="D52" s="470"/>
      <c r="E52" s="470"/>
      <c r="F52" s="470"/>
      <c r="G52" s="470"/>
      <c r="H52" s="470"/>
      <c r="I52" s="470"/>
      <c r="J52" s="470"/>
      <c r="K52" s="470"/>
      <c r="L52" s="470"/>
      <c r="M52" s="470"/>
      <c r="N52" s="470"/>
      <c r="O52" s="470"/>
      <c r="P52" s="470"/>
      <c r="Q52" s="470"/>
      <c r="R52" s="470"/>
      <c r="S52" s="470"/>
      <c r="T52" s="470"/>
      <c r="U52" s="470"/>
      <c r="V52" s="470"/>
      <c r="W52" s="470"/>
      <c r="X52" s="470"/>
      <c r="Y52" s="470"/>
      <c r="Z52" s="470"/>
      <c r="AA52" s="470"/>
      <c r="AB52" s="470"/>
      <c r="AC52" s="470"/>
      <c r="AD52" s="470"/>
      <c r="AE52" s="470"/>
      <c r="AF52" s="470"/>
      <c r="AG52" s="470"/>
      <c r="AH52" s="470"/>
      <c r="AI52" s="470"/>
      <c r="AJ52" s="470"/>
      <c r="AK52" s="470"/>
      <c r="AL52" s="470"/>
      <c r="AM52" s="470"/>
      <c r="AN52" s="470"/>
      <c r="AO52" s="470"/>
      <c r="AP52" s="470"/>
      <c r="AQ52" s="470"/>
      <c r="AR52" s="470"/>
      <c r="AS52" s="470"/>
      <c r="AT52" s="470"/>
      <c r="AU52" s="470"/>
      <c r="AV52" s="470"/>
      <c r="AW52" s="470"/>
      <c r="AX52" s="470"/>
      <c r="AY52" s="470"/>
      <c r="AZ52" s="470"/>
      <c r="BA52" s="470"/>
      <c r="BB52" s="470"/>
      <c r="BC52" s="470"/>
      <c r="BD52" s="470"/>
      <c r="BE52" s="470"/>
      <c r="BF52" s="2145"/>
      <c r="BG52" s="2145"/>
      <c r="BH52" s="2145"/>
      <c r="BI52" s="2145"/>
      <c r="BJ52" s="2145"/>
      <c r="BK52" s="2145"/>
      <c r="BL52" s="2145"/>
      <c r="BM52" s="470"/>
      <c r="BN52" s="470"/>
      <c r="BO52" s="470"/>
      <c r="BP52" s="470"/>
      <c r="BQ52" s="470"/>
      <c r="BR52" s="470"/>
      <c r="BS52" s="470"/>
      <c r="BT52" s="470"/>
      <c r="BU52" s="470"/>
      <c r="BV52" s="470"/>
      <c r="BW52" s="470"/>
      <c r="BX52" s="470"/>
      <c r="BY52" s="470"/>
      <c r="BZ52" s="470"/>
      <c r="CA52" s="470"/>
      <c r="CB52" s="470"/>
      <c r="CC52" s="470"/>
      <c r="CD52" s="470"/>
      <c r="CE52" s="470"/>
      <c r="CF52" s="470"/>
      <c r="CG52" s="470"/>
      <c r="CH52" s="470"/>
      <c r="CI52" s="470"/>
      <c r="CJ52" s="470"/>
      <c r="CK52" s="470"/>
      <c r="CL52" s="470"/>
      <c r="CM52" s="470"/>
      <c r="CN52" s="470"/>
      <c r="CO52" s="470"/>
      <c r="CP52" s="470"/>
      <c r="CQ52" s="470"/>
      <c r="CR52" s="470"/>
      <c r="CS52" s="470"/>
      <c r="CT52" s="470"/>
      <c r="CU52" s="470"/>
      <c r="CV52" s="470"/>
      <c r="CW52" s="470"/>
      <c r="CX52" s="470"/>
      <c r="CY52" s="470"/>
      <c r="CZ52" s="470"/>
      <c r="DA52" s="470"/>
      <c r="DB52" s="470"/>
      <c r="DC52" s="470"/>
      <c r="DD52" s="470"/>
      <c r="DE52" s="470"/>
      <c r="DF52" s="470"/>
      <c r="DG52" s="470"/>
      <c r="DH52" s="470"/>
      <c r="DI52" s="470"/>
      <c r="DJ52" s="470"/>
      <c r="DK52" s="470"/>
      <c r="DL52" s="470"/>
      <c r="DM52" s="470"/>
      <c r="DN52" s="470"/>
      <c r="DO52" s="470"/>
      <c r="DP52" s="470"/>
      <c r="DQ52" s="470"/>
      <c r="DR52" s="470"/>
      <c r="DS52" s="470"/>
      <c r="DT52" s="470"/>
      <c r="DU52" s="470"/>
      <c r="DV52" s="470"/>
      <c r="DW52" s="470"/>
      <c r="DX52" s="470"/>
      <c r="DY52" s="470"/>
      <c r="DZ52" s="470"/>
      <c r="EA52" s="470"/>
      <c r="EB52" s="470"/>
      <c r="EC52" s="470"/>
      <c r="ED52" s="470"/>
      <c r="EE52" s="470"/>
      <c r="EF52" s="470"/>
      <c r="EG52" s="470"/>
      <c r="EH52" s="470"/>
      <c r="EI52" s="476"/>
      <c r="EJ52" s="470"/>
      <c r="EK52" s="470"/>
      <c r="EL52" s="470"/>
      <c r="EM52" s="470"/>
      <c r="EN52" s="470"/>
      <c r="EO52" s="470"/>
      <c r="EP52" s="470"/>
      <c r="EQ52" s="470"/>
      <c r="ER52" s="470"/>
      <c r="ES52" s="470"/>
      <c r="ET52" s="470"/>
      <c r="EU52" s="470"/>
      <c r="EV52" s="470"/>
      <c r="EW52" s="470"/>
      <c r="EX52" s="470"/>
      <c r="EY52" s="470"/>
      <c r="EZ52" s="470"/>
      <c r="FA52" s="470"/>
      <c r="FB52" s="470"/>
      <c r="FC52" s="470"/>
      <c r="FD52" s="470"/>
      <c r="FE52" s="470"/>
      <c r="FF52" s="470"/>
      <c r="FG52" s="470"/>
      <c r="FH52" s="470"/>
      <c r="FI52" s="470"/>
      <c r="FJ52" s="470"/>
      <c r="FK52" s="470"/>
      <c r="FL52" s="470"/>
      <c r="FM52" s="2146"/>
      <c r="FN52" s="470"/>
      <c r="FO52" s="470"/>
      <c r="FP52" s="470"/>
      <c r="FQ52" s="470"/>
      <c r="FR52" s="470"/>
      <c r="FS52" s="470"/>
      <c r="FT52" s="470"/>
      <c r="FU52" s="470"/>
      <c r="FV52" s="470"/>
      <c r="FW52" s="470"/>
      <c r="FX52" s="470"/>
      <c r="FY52" s="470"/>
      <c r="FZ52" s="470"/>
      <c r="GA52" s="470"/>
      <c r="GB52" s="470"/>
      <c r="GC52" s="470"/>
      <c r="GD52" s="470"/>
      <c r="GE52" s="470"/>
      <c r="GF52" s="470"/>
      <c r="GG52" s="470"/>
      <c r="GH52" s="470"/>
      <c r="GI52" s="470"/>
      <c r="GJ52" s="470"/>
      <c r="GK52" s="470"/>
      <c r="GL52" s="470"/>
      <c r="GM52" s="470"/>
      <c r="GN52" s="470"/>
      <c r="GO52" s="470"/>
      <c r="GP52" s="470"/>
      <c r="GQ52" s="470"/>
      <c r="GR52" s="470"/>
      <c r="GS52" s="470"/>
      <c r="GT52" s="470"/>
      <c r="GU52" s="2145"/>
      <c r="GV52" s="2147"/>
      <c r="GZ52" s="2032"/>
      <c r="HA52" s="2032"/>
      <c r="HB52" s="2032"/>
      <c r="HC52" s="2032"/>
      <c r="HD52" s="2032"/>
      <c r="HE52" s="2032"/>
      <c r="HF52" s="2032"/>
    </row>
    <row r="53" spans="1:214" ht="18.899999999999999" customHeight="1">
      <c r="A53" s="2135"/>
      <c r="B53" s="2135"/>
      <c r="C53" s="2136"/>
      <c r="D53" s="470"/>
      <c r="E53" s="470"/>
      <c r="F53" s="470"/>
      <c r="G53" s="470"/>
      <c r="H53" s="470"/>
      <c r="I53" s="470"/>
      <c r="J53" s="470"/>
      <c r="K53" s="470"/>
      <c r="L53" s="470"/>
      <c r="M53" s="470"/>
      <c r="N53" s="470"/>
      <c r="O53" s="470"/>
      <c r="P53" s="470"/>
      <c r="Q53" s="470"/>
      <c r="R53" s="470"/>
      <c r="S53" s="470"/>
      <c r="T53" s="470"/>
      <c r="U53" s="470"/>
      <c r="V53" s="470"/>
      <c r="W53" s="470"/>
      <c r="X53" s="470"/>
      <c r="Y53" s="470"/>
      <c r="Z53" s="470"/>
      <c r="AA53" s="470"/>
      <c r="AB53" s="470"/>
      <c r="AC53" s="470"/>
      <c r="AD53" s="470"/>
      <c r="AE53" s="470"/>
      <c r="AF53" s="470"/>
      <c r="AG53" s="470"/>
      <c r="AH53" s="470"/>
      <c r="AI53" s="470"/>
      <c r="AJ53" s="470"/>
      <c r="AK53" s="470"/>
      <c r="AL53" s="470"/>
      <c r="AM53" s="470"/>
      <c r="AN53" s="470"/>
      <c r="AO53" s="470"/>
      <c r="AP53" s="470"/>
      <c r="AQ53" s="470"/>
      <c r="AR53" s="470"/>
      <c r="AS53" s="470"/>
      <c r="AT53" s="470"/>
      <c r="AU53" s="470"/>
      <c r="AV53" s="470"/>
      <c r="AW53" s="470"/>
      <c r="AX53" s="470"/>
      <c r="AY53" s="470"/>
      <c r="AZ53" s="470"/>
      <c r="BA53" s="470"/>
      <c r="BB53" s="470"/>
      <c r="BC53" s="470"/>
      <c r="BD53" s="470"/>
      <c r="BE53" s="470"/>
      <c r="BF53" s="2145"/>
      <c r="BG53" s="2145"/>
      <c r="BH53" s="2145"/>
      <c r="BI53" s="2145"/>
      <c r="BJ53" s="2145"/>
      <c r="BK53" s="2145"/>
      <c r="BL53" s="2145"/>
      <c r="BM53" s="470"/>
      <c r="BN53" s="470"/>
      <c r="BO53" s="470"/>
      <c r="BP53" s="470"/>
      <c r="BQ53" s="470"/>
      <c r="BR53" s="470"/>
      <c r="BS53" s="470"/>
      <c r="BT53" s="470"/>
      <c r="BU53" s="470"/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470"/>
      <c r="CG53" s="470"/>
      <c r="CH53" s="470"/>
      <c r="CI53" s="470"/>
      <c r="CJ53" s="470"/>
      <c r="CK53" s="470"/>
      <c r="CL53" s="470"/>
      <c r="CM53" s="470"/>
      <c r="CN53" s="470"/>
      <c r="CO53" s="470"/>
      <c r="CP53" s="470"/>
      <c r="CQ53" s="470"/>
      <c r="CR53" s="470"/>
      <c r="CS53" s="470"/>
      <c r="CT53" s="470"/>
      <c r="CU53" s="470"/>
      <c r="CV53" s="470"/>
      <c r="CW53" s="470"/>
      <c r="CX53" s="470"/>
      <c r="CY53" s="470"/>
      <c r="CZ53" s="470"/>
      <c r="DA53" s="470"/>
      <c r="DB53" s="470"/>
      <c r="DC53" s="470"/>
      <c r="DD53" s="470"/>
      <c r="DE53" s="470"/>
      <c r="DF53" s="470"/>
      <c r="DG53" s="470"/>
      <c r="DH53" s="470"/>
      <c r="DI53" s="470"/>
      <c r="DJ53" s="470"/>
      <c r="DK53" s="470"/>
      <c r="DL53" s="470"/>
      <c r="DM53" s="470"/>
      <c r="DN53" s="470"/>
      <c r="DO53" s="470"/>
      <c r="DP53" s="470"/>
      <c r="DQ53" s="470"/>
      <c r="DR53" s="470"/>
      <c r="DS53" s="470"/>
      <c r="DT53" s="470"/>
      <c r="DU53" s="470"/>
      <c r="DV53" s="470"/>
      <c r="DW53" s="470"/>
      <c r="DX53" s="470"/>
      <c r="DY53" s="470"/>
      <c r="DZ53" s="470"/>
      <c r="EA53" s="470"/>
      <c r="EB53" s="470"/>
      <c r="EC53" s="470"/>
      <c r="ED53" s="470"/>
      <c r="EE53" s="470"/>
      <c r="EF53" s="470"/>
      <c r="EG53" s="470"/>
      <c r="EH53" s="470"/>
      <c r="EI53" s="476"/>
      <c r="EJ53" s="470"/>
      <c r="EK53" s="470"/>
      <c r="EL53" s="470"/>
      <c r="EM53" s="470"/>
      <c r="EN53" s="470"/>
      <c r="EO53" s="470"/>
      <c r="EP53" s="470"/>
      <c r="EQ53" s="470"/>
      <c r="ER53" s="470"/>
      <c r="ES53" s="470"/>
      <c r="ET53" s="470"/>
      <c r="EU53" s="470"/>
      <c r="EV53" s="470"/>
      <c r="EW53" s="470"/>
      <c r="EX53" s="470"/>
      <c r="EY53" s="470"/>
      <c r="EZ53" s="470"/>
      <c r="FA53" s="470"/>
      <c r="FB53" s="470"/>
      <c r="FC53" s="470"/>
      <c r="FD53" s="470"/>
      <c r="FE53" s="470"/>
      <c r="FF53" s="470"/>
      <c r="FG53" s="470"/>
      <c r="FH53" s="470"/>
      <c r="FI53" s="470"/>
      <c r="FJ53" s="470"/>
      <c r="FK53" s="470"/>
      <c r="FL53" s="470"/>
      <c r="FM53" s="2146"/>
      <c r="FN53" s="470"/>
      <c r="FO53" s="470"/>
      <c r="FP53" s="470"/>
      <c r="FQ53" s="470"/>
      <c r="FR53" s="470"/>
      <c r="FS53" s="470"/>
      <c r="FT53" s="470"/>
      <c r="FU53" s="470"/>
      <c r="FV53" s="470"/>
      <c r="FW53" s="470"/>
      <c r="FX53" s="470"/>
      <c r="FY53" s="470"/>
      <c r="FZ53" s="470"/>
      <c r="GA53" s="470"/>
      <c r="GB53" s="470"/>
      <c r="GC53" s="470"/>
      <c r="GD53" s="470"/>
      <c r="GE53" s="470"/>
      <c r="GF53" s="470"/>
      <c r="GG53" s="470"/>
      <c r="GH53" s="470"/>
      <c r="GI53" s="470"/>
      <c r="GJ53" s="470"/>
      <c r="GK53" s="470"/>
      <c r="GL53" s="470"/>
      <c r="GM53" s="470"/>
      <c r="GN53" s="470"/>
      <c r="GO53" s="470"/>
      <c r="GP53" s="470"/>
      <c r="GQ53" s="470"/>
      <c r="GR53" s="470"/>
      <c r="GS53" s="470"/>
      <c r="GT53" s="470"/>
      <c r="GU53" s="2145"/>
      <c r="GV53" s="2147"/>
      <c r="GZ53" s="2032"/>
      <c r="HA53" s="2032"/>
      <c r="HB53" s="2032"/>
      <c r="HC53" s="2032"/>
      <c r="HD53" s="2032"/>
      <c r="HE53" s="2032"/>
      <c r="HF53" s="2032"/>
    </row>
    <row r="54" spans="1:214" ht="18.899999999999999" customHeight="1">
      <c r="A54" s="2135"/>
      <c r="B54" s="2135"/>
      <c r="C54" s="2136"/>
      <c r="D54" s="470"/>
      <c r="E54" s="470"/>
      <c r="F54" s="470"/>
      <c r="G54" s="470"/>
      <c r="H54" s="470"/>
      <c r="I54" s="470"/>
      <c r="J54" s="470"/>
      <c r="K54" s="470"/>
      <c r="L54" s="470"/>
      <c r="M54" s="470"/>
      <c r="N54" s="470"/>
      <c r="O54" s="470"/>
      <c r="P54" s="470"/>
      <c r="Q54" s="470"/>
      <c r="R54" s="470"/>
      <c r="S54" s="470"/>
      <c r="T54" s="470"/>
      <c r="U54" s="470"/>
      <c r="V54" s="470"/>
      <c r="W54" s="470"/>
      <c r="X54" s="470"/>
      <c r="Y54" s="470"/>
      <c r="Z54" s="470"/>
      <c r="AA54" s="470"/>
      <c r="AB54" s="470"/>
      <c r="AC54" s="470"/>
      <c r="AD54" s="470"/>
      <c r="AE54" s="470"/>
      <c r="AF54" s="470"/>
      <c r="AG54" s="470"/>
      <c r="AH54" s="470"/>
      <c r="AI54" s="470"/>
      <c r="AJ54" s="470"/>
      <c r="AK54" s="470"/>
      <c r="AL54" s="470"/>
      <c r="AM54" s="470"/>
      <c r="AN54" s="470"/>
      <c r="AO54" s="470"/>
      <c r="AP54" s="470"/>
      <c r="AQ54" s="470"/>
      <c r="AR54" s="470"/>
      <c r="AS54" s="470"/>
      <c r="AT54" s="470"/>
      <c r="AU54" s="470"/>
      <c r="AV54" s="470"/>
      <c r="AW54" s="470"/>
      <c r="AX54" s="470"/>
      <c r="AY54" s="470"/>
      <c r="AZ54" s="470"/>
      <c r="BA54" s="470"/>
      <c r="BB54" s="470"/>
      <c r="BC54" s="470"/>
      <c r="BD54" s="470"/>
      <c r="BE54" s="470"/>
      <c r="BF54" s="2145"/>
      <c r="BG54" s="2145"/>
      <c r="BH54" s="2145"/>
      <c r="BI54" s="2145"/>
      <c r="BJ54" s="2145"/>
      <c r="BK54" s="2145"/>
      <c r="BL54" s="2145"/>
      <c r="BM54" s="470"/>
      <c r="BN54" s="470"/>
      <c r="BO54" s="470"/>
      <c r="BP54" s="470"/>
      <c r="BQ54" s="470"/>
      <c r="BR54" s="470"/>
      <c r="BS54" s="470"/>
      <c r="BT54" s="470"/>
      <c r="BU54" s="470"/>
      <c r="BV54" s="470"/>
      <c r="BW54" s="470"/>
      <c r="BX54" s="470"/>
      <c r="BY54" s="470"/>
      <c r="BZ54" s="470"/>
      <c r="CA54" s="470"/>
      <c r="CB54" s="470"/>
      <c r="CC54" s="470"/>
      <c r="CD54" s="470"/>
      <c r="CE54" s="470"/>
      <c r="CF54" s="470"/>
      <c r="CG54" s="470"/>
      <c r="CH54" s="470"/>
      <c r="CI54" s="470"/>
      <c r="CJ54" s="470"/>
      <c r="CK54" s="470"/>
      <c r="CL54" s="470"/>
      <c r="CM54" s="470"/>
      <c r="CN54" s="470"/>
      <c r="CO54" s="470"/>
      <c r="CP54" s="470"/>
      <c r="CQ54" s="470"/>
      <c r="CR54" s="470"/>
      <c r="CS54" s="470"/>
      <c r="CT54" s="470"/>
      <c r="CU54" s="470"/>
      <c r="CV54" s="470"/>
      <c r="CW54" s="470"/>
      <c r="CX54" s="470"/>
      <c r="CY54" s="470"/>
      <c r="CZ54" s="470"/>
      <c r="DA54" s="470"/>
      <c r="DB54" s="470"/>
      <c r="DC54" s="470"/>
      <c r="DD54" s="470"/>
      <c r="DE54" s="470"/>
      <c r="DF54" s="470"/>
      <c r="DG54" s="470"/>
      <c r="DH54" s="470"/>
      <c r="DI54" s="470"/>
      <c r="DJ54" s="470"/>
      <c r="DK54" s="470"/>
      <c r="DL54" s="470"/>
      <c r="DM54" s="470"/>
      <c r="DN54" s="470"/>
      <c r="DO54" s="470"/>
      <c r="DP54" s="470"/>
      <c r="DQ54" s="470"/>
      <c r="DR54" s="470"/>
      <c r="DS54" s="470"/>
      <c r="DT54" s="470"/>
      <c r="DU54" s="470"/>
      <c r="DV54" s="470"/>
      <c r="DW54" s="470"/>
      <c r="DX54" s="470"/>
      <c r="DY54" s="470"/>
      <c r="DZ54" s="470"/>
      <c r="EA54" s="470"/>
      <c r="EB54" s="470"/>
      <c r="EC54" s="470"/>
      <c r="ED54" s="470"/>
      <c r="EE54" s="470"/>
      <c r="EF54" s="470"/>
      <c r="EG54" s="470"/>
      <c r="EH54" s="470"/>
      <c r="EI54" s="476"/>
      <c r="EJ54" s="470"/>
      <c r="EK54" s="470"/>
      <c r="EL54" s="470"/>
      <c r="EM54" s="470"/>
      <c r="EN54" s="470"/>
      <c r="EO54" s="470"/>
      <c r="EP54" s="470"/>
      <c r="EQ54" s="470"/>
      <c r="ER54" s="470"/>
      <c r="ES54" s="470"/>
      <c r="ET54" s="470"/>
      <c r="EU54" s="470"/>
      <c r="EV54" s="470"/>
      <c r="EW54" s="470"/>
      <c r="EX54" s="470"/>
      <c r="EY54" s="470"/>
      <c r="EZ54" s="470"/>
      <c r="FA54" s="470"/>
      <c r="FB54" s="470"/>
      <c r="FC54" s="470"/>
      <c r="FD54" s="470"/>
      <c r="FE54" s="470"/>
      <c r="FF54" s="470"/>
      <c r="FG54" s="470"/>
      <c r="FH54" s="470"/>
      <c r="FI54" s="470"/>
      <c r="FJ54" s="470"/>
      <c r="FK54" s="470"/>
      <c r="FL54" s="470"/>
      <c r="FM54" s="2146"/>
      <c r="FN54" s="470"/>
      <c r="FO54" s="470"/>
      <c r="FP54" s="470"/>
      <c r="FQ54" s="470"/>
      <c r="FR54" s="470"/>
      <c r="FS54" s="470"/>
      <c r="FT54" s="470"/>
      <c r="FU54" s="470"/>
      <c r="FV54" s="470"/>
      <c r="FW54" s="470"/>
      <c r="FX54" s="470"/>
      <c r="FY54" s="470"/>
      <c r="FZ54" s="470"/>
      <c r="GA54" s="470"/>
      <c r="GB54" s="470"/>
      <c r="GC54" s="470"/>
      <c r="GD54" s="470"/>
      <c r="GE54" s="470"/>
      <c r="GF54" s="470"/>
      <c r="GG54" s="470"/>
      <c r="GH54" s="470"/>
      <c r="GI54" s="470"/>
      <c r="GJ54" s="470"/>
      <c r="GK54" s="470"/>
      <c r="GL54" s="470"/>
      <c r="GM54" s="470"/>
      <c r="GN54" s="470"/>
      <c r="GO54" s="470"/>
      <c r="GP54" s="470"/>
      <c r="GQ54" s="470"/>
      <c r="GR54" s="470"/>
      <c r="GS54" s="470"/>
      <c r="GT54" s="470"/>
      <c r="GU54" s="2145"/>
      <c r="GV54" s="2147"/>
      <c r="GZ54" s="2032"/>
      <c r="HA54" s="2032"/>
      <c r="HB54" s="2032"/>
      <c r="HC54" s="2032"/>
      <c r="HD54" s="2032"/>
      <c r="HE54" s="2032"/>
      <c r="HF54" s="2032"/>
    </row>
    <row r="55" spans="1:214" ht="18.899999999999999" customHeight="1">
      <c r="A55" s="2135"/>
      <c r="B55" s="2135"/>
      <c r="C55" s="2136"/>
      <c r="D55" s="470"/>
      <c r="E55" s="470"/>
      <c r="F55" s="470"/>
      <c r="G55" s="470"/>
      <c r="H55" s="470"/>
      <c r="I55" s="470"/>
      <c r="J55" s="470"/>
      <c r="K55" s="470"/>
      <c r="L55" s="470"/>
      <c r="M55" s="470"/>
      <c r="N55" s="470"/>
      <c r="O55" s="470"/>
      <c r="P55" s="470"/>
      <c r="Q55" s="470"/>
      <c r="R55" s="470"/>
      <c r="S55" s="470"/>
      <c r="T55" s="470"/>
      <c r="U55" s="470"/>
      <c r="V55" s="470"/>
      <c r="W55" s="470"/>
      <c r="X55" s="470"/>
      <c r="Y55" s="470"/>
      <c r="Z55" s="470"/>
      <c r="AA55" s="470"/>
      <c r="AB55" s="470"/>
      <c r="AC55" s="470"/>
      <c r="AD55" s="470"/>
      <c r="AE55" s="470"/>
      <c r="AF55" s="470"/>
      <c r="AG55" s="470"/>
      <c r="AH55" s="470"/>
      <c r="AI55" s="470"/>
      <c r="AJ55" s="470"/>
      <c r="AK55" s="470"/>
      <c r="AL55" s="470"/>
      <c r="AM55" s="470"/>
      <c r="AN55" s="470"/>
      <c r="AO55" s="470"/>
      <c r="AP55" s="470"/>
      <c r="AQ55" s="470"/>
      <c r="AR55" s="470"/>
      <c r="AS55" s="470"/>
      <c r="AT55" s="470"/>
      <c r="AU55" s="470"/>
      <c r="AV55" s="470"/>
      <c r="AW55" s="470"/>
      <c r="AX55" s="470"/>
      <c r="AY55" s="470"/>
      <c r="AZ55" s="470"/>
      <c r="BA55" s="470"/>
      <c r="BB55" s="470"/>
      <c r="BC55" s="470"/>
      <c r="BD55" s="470"/>
      <c r="BE55" s="470"/>
      <c r="BF55" s="2145"/>
      <c r="BG55" s="2145"/>
      <c r="BH55" s="2145"/>
      <c r="BI55" s="2145"/>
      <c r="BJ55" s="2145"/>
      <c r="BK55" s="2145"/>
      <c r="BL55" s="2145"/>
      <c r="BM55" s="470"/>
      <c r="BN55" s="470"/>
      <c r="BO55" s="470"/>
      <c r="BP55" s="470"/>
      <c r="BQ55" s="470"/>
      <c r="BR55" s="470"/>
      <c r="BS55" s="470"/>
      <c r="BT55" s="470"/>
      <c r="BU55" s="470"/>
      <c r="BV55" s="470"/>
      <c r="BW55" s="470"/>
      <c r="BX55" s="470"/>
      <c r="BY55" s="470"/>
      <c r="BZ55" s="470"/>
      <c r="CA55" s="470"/>
      <c r="CB55" s="470"/>
      <c r="CC55" s="470"/>
      <c r="CD55" s="470"/>
      <c r="CE55" s="470"/>
      <c r="CF55" s="470"/>
      <c r="CG55" s="470"/>
      <c r="CH55" s="470"/>
      <c r="CI55" s="470"/>
      <c r="CJ55" s="470"/>
      <c r="CK55" s="470"/>
      <c r="CL55" s="470"/>
      <c r="CM55" s="470"/>
      <c r="CN55" s="470"/>
      <c r="CO55" s="470"/>
      <c r="CP55" s="470"/>
      <c r="CQ55" s="470"/>
      <c r="CR55" s="470"/>
      <c r="CS55" s="470"/>
      <c r="CT55" s="470"/>
      <c r="CU55" s="470"/>
      <c r="CV55" s="470"/>
      <c r="CW55" s="470"/>
      <c r="CX55" s="470"/>
      <c r="CY55" s="470"/>
      <c r="CZ55" s="470"/>
      <c r="DA55" s="470"/>
      <c r="DB55" s="470"/>
      <c r="DC55" s="470"/>
      <c r="DD55" s="470"/>
      <c r="DE55" s="470"/>
      <c r="DF55" s="470"/>
      <c r="DG55" s="470"/>
      <c r="DH55" s="470"/>
      <c r="DI55" s="470"/>
      <c r="DJ55" s="470"/>
      <c r="DK55" s="470"/>
      <c r="DL55" s="470"/>
      <c r="DM55" s="470"/>
      <c r="DN55" s="470"/>
      <c r="DO55" s="470"/>
      <c r="DP55" s="470"/>
      <c r="DQ55" s="470"/>
      <c r="DR55" s="470"/>
      <c r="DS55" s="470"/>
      <c r="DT55" s="470"/>
      <c r="DU55" s="470"/>
      <c r="DV55" s="470"/>
      <c r="DW55" s="470"/>
      <c r="DX55" s="470"/>
      <c r="DY55" s="470"/>
      <c r="DZ55" s="470"/>
      <c r="EA55" s="470"/>
      <c r="EB55" s="470"/>
      <c r="EC55" s="470"/>
      <c r="ED55" s="470"/>
      <c r="EE55" s="470"/>
      <c r="EF55" s="470"/>
      <c r="EG55" s="470"/>
      <c r="EH55" s="470"/>
      <c r="EI55" s="476"/>
      <c r="EJ55" s="470"/>
      <c r="EK55" s="470"/>
      <c r="EL55" s="470"/>
      <c r="EM55" s="470"/>
      <c r="EN55" s="470"/>
      <c r="EO55" s="470"/>
      <c r="EP55" s="470"/>
      <c r="EQ55" s="470"/>
      <c r="ER55" s="470"/>
      <c r="ES55" s="470"/>
      <c r="ET55" s="470"/>
      <c r="EU55" s="470"/>
      <c r="EV55" s="470"/>
      <c r="EW55" s="470"/>
      <c r="EX55" s="470"/>
      <c r="EY55" s="470"/>
      <c r="EZ55" s="470"/>
      <c r="FA55" s="470"/>
      <c r="FB55" s="470"/>
      <c r="FC55" s="470"/>
      <c r="FD55" s="470"/>
      <c r="FE55" s="470"/>
      <c r="FF55" s="470"/>
      <c r="FG55" s="470"/>
      <c r="FH55" s="470"/>
      <c r="FI55" s="470"/>
      <c r="FJ55" s="470"/>
      <c r="FK55" s="470"/>
      <c r="FL55" s="470"/>
      <c r="FM55" s="2146"/>
      <c r="FN55" s="470"/>
      <c r="FO55" s="470"/>
      <c r="FP55" s="470"/>
      <c r="FQ55" s="470"/>
      <c r="FR55" s="470"/>
      <c r="FS55" s="470"/>
      <c r="FT55" s="470"/>
      <c r="FU55" s="470"/>
      <c r="FV55" s="470"/>
      <c r="FW55" s="470"/>
      <c r="FX55" s="470"/>
      <c r="FY55" s="470"/>
      <c r="FZ55" s="470"/>
      <c r="GA55" s="470"/>
      <c r="GB55" s="470"/>
      <c r="GC55" s="470"/>
      <c r="GD55" s="470"/>
      <c r="GE55" s="470"/>
      <c r="GF55" s="470"/>
      <c r="GG55" s="470"/>
      <c r="GH55" s="470"/>
      <c r="GI55" s="470"/>
      <c r="GJ55" s="470"/>
      <c r="GK55" s="470"/>
      <c r="GL55" s="470"/>
      <c r="GM55" s="470"/>
      <c r="GN55" s="470"/>
      <c r="GO55" s="470"/>
      <c r="GP55" s="470"/>
      <c r="GQ55" s="470"/>
      <c r="GR55" s="470"/>
      <c r="GS55" s="470"/>
      <c r="GT55" s="470"/>
      <c r="GU55" s="2145"/>
      <c r="GV55" s="2147"/>
      <c r="GZ55" s="2032"/>
      <c r="HA55" s="2032"/>
      <c r="HB55" s="2032"/>
      <c r="HC55" s="2032"/>
      <c r="HD55" s="2032"/>
      <c r="HE55" s="2032"/>
      <c r="HF55" s="2032"/>
    </row>
    <row r="56" spans="1:214" ht="18.899999999999999" customHeight="1">
      <c r="A56" s="2135"/>
      <c r="B56" s="2135"/>
      <c r="C56" s="2136"/>
      <c r="D56" s="470"/>
      <c r="E56" s="470"/>
      <c r="F56" s="470"/>
      <c r="G56" s="470"/>
      <c r="H56" s="470"/>
      <c r="I56" s="470"/>
      <c r="J56" s="470"/>
      <c r="K56" s="470"/>
      <c r="L56" s="470"/>
      <c r="M56" s="470"/>
      <c r="N56" s="470"/>
      <c r="O56" s="470"/>
      <c r="P56" s="470"/>
      <c r="Q56" s="470"/>
      <c r="R56" s="470"/>
      <c r="S56" s="470"/>
      <c r="T56" s="470"/>
      <c r="U56" s="470"/>
      <c r="V56" s="470"/>
      <c r="W56" s="470"/>
      <c r="X56" s="470"/>
      <c r="Y56" s="470"/>
      <c r="Z56" s="470"/>
      <c r="AA56" s="470"/>
      <c r="AB56" s="470"/>
      <c r="AC56" s="470"/>
      <c r="AD56" s="470"/>
      <c r="AE56" s="470"/>
      <c r="AF56" s="470"/>
      <c r="AG56" s="470"/>
      <c r="AH56" s="470"/>
      <c r="AI56" s="470"/>
      <c r="AJ56" s="470"/>
      <c r="AK56" s="470"/>
      <c r="AL56" s="470"/>
      <c r="AM56" s="470"/>
      <c r="AN56" s="470"/>
      <c r="AO56" s="470"/>
      <c r="AP56" s="470"/>
      <c r="AQ56" s="470"/>
      <c r="AR56" s="470"/>
      <c r="AS56" s="470"/>
      <c r="AT56" s="470"/>
      <c r="AU56" s="470"/>
      <c r="AV56" s="470"/>
      <c r="AW56" s="470"/>
      <c r="AX56" s="470"/>
      <c r="AY56" s="470"/>
      <c r="AZ56" s="470"/>
      <c r="BA56" s="470"/>
      <c r="BB56" s="470"/>
      <c r="BC56" s="470"/>
      <c r="BD56" s="470"/>
      <c r="BE56" s="470"/>
      <c r="BF56" s="2145"/>
      <c r="BG56" s="2145"/>
      <c r="BH56" s="2145"/>
      <c r="BI56" s="2145"/>
      <c r="BJ56" s="2145"/>
      <c r="BK56" s="2145"/>
      <c r="BL56" s="2145"/>
      <c r="BM56" s="470"/>
      <c r="BN56" s="470"/>
      <c r="BO56" s="470"/>
      <c r="BP56" s="470"/>
      <c r="BQ56" s="470"/>
      <c r="BR56" s="470"/>
      <c r="BS56" s="470"/>
      <c r="BT56" s="470"/>
      <c r="BU56" s="470"/>
      <c r="BV56" s="470"/>
      <c r="BW56" s="470"/>
      <c r="BX56" s="470"/>
      <c r="BY56" s="470"/>
      <c r="BZ56" s="470"/>
      <c r="CA56" s="470"/>
      <c r="CB56" s="470"/>
      <c r="CC56" s="470"/>
      <c r="CD56" s="470"/>
      <c r="CE56" s="470"/>
      <c r="CF56" s="470"/>
      <c r="CG56" s="470"/>
      <c r="CH56" s="470"/>
      <c r="CI56" s="470"/>
      <c r="CJ56" s="470"/>
      <c r="CK56" s="470"/>
      <c r="CL56" s="470"/>
      <c r="CM56" s="470"/>
      <c r="CN56" s="470"/>
      <c r="CO56" s="470"/>
      <c r="CP56" s="470"/>
      <c r="CQ56" s="470"/>
      <c r="CR56" s="470"/>
      <c r="CS56" s="470"/>
      <c r="CT56" s="470"/>
      <c r="CU56" s="470"/>
      <c r="CV56" s="470"/>
      <c r="CW56" s="470"/>
      <c r="CX56" s="470"/>
      <c r="CY56" s="470"/>
      <c r="CZ56" s="470"/>
      <c r="DA56" s="470"/>
      <c r="DB56" s="470"/>
      <c r="DC56" s="470"/>
      <c r="DD56" s="470"/>
      <c r="DE56" s="470"/>
      <c r="DF56" s="470"/>
      <c r="DG56" s="470"/>
      <c r="DH56" s="470"/>
      <c r="DI56" s="470"/>
      <c r="DJ56" s="470"/>
      <c r="DK56" s="470"/>
      <c r="DL56" s="470"/>
      <c r="DM56" s="470"/>
      <c r="DN56" s="470"/>
      <c r="DO56" s="470"/>
      <c r="DP56" s="470"/>
      <c r="DQ56" s="470"/>
      <c r="DR56" s="470"/>
      <c r="DS56" s="470"/>
      <c r="DT56" s="470"/>
      <c r="DU56" s="470"/>
      <c r="DV56" s="470"/>
      <c r="DW56" s="470"/>
      <c r="DX56" s="470"/>
      <c r="DY56" s="470"/>
      <c r="DZ56" s="470"/>
      <c r="EA56" s="470"/>
      <c r="EB56" s="470"/>
      <c r="EC56" s="470"/>
      <c r="ED56" s="470"/>
      <c r="EE56" s="470"/>
      <c r="EF56" s="470"/>
      <c r="EG56" s="470"/>
      <c r="EH56" s="470"/>
      <c r="EI56" s="476"/>
      <c r="EJ56" s="470"/>
      <c r="EK56" s="470"/>
      <c r="EL56" s="470"/>
      <c r="EM56" s="470"/>
      <c r="EN56" s="470"/>
      <c r="EO56" s="470"/>
      <c r="EP56" s="470"/>
      <c r="EQ56" s="470"/>
      <c r="ER56" s="470"/>
      <c r="ES56" s="470"/>
      <c r="ET56" s="470"/>
      <c r="EU56" s="470"/>
      <c r="EV56" s="470"/>
      <c r="EW56" s="470"/>
      <c r="EX56" s="470"/>
      <c r="EY56" s="470"/>
      <c r="EZ56" s="470"/>
      <c r="FA56" s="470"/>
      <c r="FB56" s="470"/>
      <c r="FC56" s="470"/>
      <c r="FD56" s="470"/>
      <c r="FE56" s="470"/>
      <c r="FF56" s="470"/>
      <c r="FG56" s="470"/>
      <c r="FH56" s="470"/>
      <c r="FI56" s="470"/>
      <c r="FJ56" s="470"/>
      <c r="FK56" s="470"/>
      <c r="FL56" s="470"/>
      <c r="FM56" s="2146"/>
      <c r="FN56" s="470"/>
      <c r="FO56" s="470"/>
      <c r="FP56" s="470"/>
      <c r="FQ56" s="470"/>
      <c r="FR56" s="470"/>
      <c r="FS56" s="470"/>
      <c r="FT56" s="470"/>
      <c r="FU56" s="470"/>
      <c r="FV56" s="470"/>
      <c r="FW56" s="470"/>
      <c r="FX56" s="470"/>
      <c r="FY56" s="470"/>
      <c r="FZ56" s="470"/>
      <c r="GA56" s="470"/>
      <c r="GB56" s="470"/>
      <c r="GC56" s="470"/>
      <c r="GD56" s="470"/>
      <c r="GE56" s="470"/>
      <c r="GF56" s="470"/>
      <c r="GG56" s="470"/>
      <c r="GH56" s="470"/>
      <c r="GI56" s="470"/>
      <c r="GJ56" s="470"/>
      <c r="GK56" s="470"/>
      <c r="GL56" s="470"/>
      <c r="GM56" s="470"/>
      <c r="GN56" s="470"/>
      <c r="GO56" s="470"/>
      <c r="GP56" s="470"/>
      <c r="GQ56" s="470"/>
      <c r="GR56" s="470"/>
      <c r="GS56" s="470"/>
      <c r="GT56" s="470"/>
      <c r="GU56" s="2145"/>
      <c r="GV56" s="2147"/>
      <c r="GZ56" s="2032"/>
      <c r="HA56" s="2032"/>
      <c r="HB56" s="2032"/>
      <c r="HC56" s="2032"/>
      <c r="HD56" s="2032"/>
      <c r="HE56" s="2032"/>
      <c r="HF56" s="2032"/>
    </row>
    <row r="57" spans="1:214" ht="18.899999999999999" customHeight="1">
      <c r="A57" s="2135"/>
      <c r="B57" s="2135"/>
      <c r="C57" s="2136"/>
      <c r="D57" s="470"/>
      <c r="E57" s="470"/>
      <c r="F57" s="470"/>
      <c r="G57" s="470"/>
      <c r="H57" s="470"/>
      <c r="I57" s="470"/>
      <c r="J57" s="470"/>
      <c r="K57" s="470"/>
      <c r="L57" s="470"/>
      <c r="M57" s="470"/>
      <c r="N57" s="470"/>
      <c r="O57" s="470"/>
      <c r="P57" s="470"/>
      <c r="Q57" s="470"/>
      <c r="R57" s="470"/>
      <c r="S57" s="470"/>
      <c r="T57" s="470"/>
      <c r="U57" s="470"/>
      <c r="V57" s="470"/>
      <c r="W57" s="470"/>
      <c r="X57" s="470"/>
      <c r="Y57" s="470"/>
      <c r="Z57" s="470"/>
      <c r="AA57" s="470"/>
      <c r="AB57" s="470"/>
      <c r="AC57" s="470"/>
      <c r="AD57" s="470"/>
      <c r="AE57" s="470"/>
      <c r="AF57" s="470"/>
      <c r="AG57" s="470"/>
      <c r="AH57" s="470"/>
      <c r="AI57" s="470"/>
      <c r="AJ57" s="470"/>
      <c r="AK57" s="470"/>
      <c r="AL57" s="470"/>
      <c r="AM57" s="470"/>
      <c r="AN57" s="470"/>
      <c r="AO57" s="470"/>
      <c r="AP57" s="470"/>
      <c r="AQ57" s="470"/>
      <c r="AR57" s="470"/>
      <c r="AS57" s="470"/>
      <c r="AT57" s="470"/>
      <c r="AU57" s="470"/>
      <c r="AV57" s="470"/>
      <c r="AW57" s="470"/>
      <c r="AX57" s="470"/>
      <c r="AY57" s="470"/>
      <c r="AZ57" s="470"/>
      <c r="BA57" s="470"/>
      <c r="BB57" s="470"/>
      <c r="BC57" s="470"/>
      <c r="BD57" s="470"/>
      <c r="BE57" s="470"/>
      <c r="BF57" s="2145"/>
      <c r="BG57" s="2145"/>
      <c r="BH57" s="2145"/>
      <c r="BI57" s="2145"/>
      <c r="BJ57" s="2145"/>
      <c r="BK57" s="2145"/>
      <c r="BL57" s="2145"/>
      <c r="BM57" s="470"/>
      <c r="BN57" s="470"/>
      <c r="BO57" s="470"/>
      <c r="BP57" s="470"/>
      <c r="BQ57" s="470"/>
      <c r="BR57" s="470"/>
      <c r="BS57" s="470"/>
      <c r="BT57" s="470"/>
      <c r="BU57" s="470"/>
      <c r="BV57" s="470"/>
      <c r="BW57" s="470"/>
      <c r="BX57" s="470"/>
      <c r="BY57" s="470"/>
      <c r="BZ57" s="470"/>
      <c r="CA57" s="470"/>
      <c r="CB57" s="470"/>
      <c r="CC57" s="470"/>
      <c r="CD57" s="470"/>
      <c r="CE57" s="470"/>
      <c r="CF57" s="470"/>
      <c r="CG57" s="470"/>
      <c r="CH57" s="470"/>
      <c r="CI57" s="470"/>
      <c r="CJ57" s="470"/>
      <c r="CK57" s="470"/>
      <c r="CL57" s="470"/>
      <c r="CM57" s="470"/>
      <c r="CN57" s="470"/>
      <c r="CO57" s="470"/>
      <c r="CP57" s="470"/>
      <c r="CQ57" s="470"/>
      <c r="CR57" s="470"/>
      <c r="CS57" s="470"/>
      <c r="CT57" s="470"/>
      <c r="CU57" s="470"/>
      <c r="CV57" s="470"/>
      <c r="CW57" s="470"/>
      <c r="CX57" s="470"/>
      <c r="CY57" s="470"/>
      <c r="CZ57" s="470"/>
      <c r="DA57" s="470"/>
      <c r="DB57" s="470"/>
      <c r="DC57" s="470"/>
      <c r="DD57" s="470"/>
      <c r="DE57" s="470"/>
      <c r="DF57" s="470"/>
      <c r="DG57" s="470"/>
      <c r="DH57" s="470"/>
      <c r="DI57" s="470"/>
      <c r="DJ57" s="470"/>
      <c r="DK57" s="470"/>
      <c r="DL57" s="470"/>
      <c r="DM57" s="470"/>
      <c r="DN57" s="470"/>
      <c r="DO57" s="470"/>
      <c r="DP57" s="470"/>
      <c r="DQ57" s="470"/>
      <c r="DR57" s="470"/>
      <c r="DS57" s="470"/>
      <c r="DT57" s="470"/>
      <c r="DU57" s="470"/>
      <c r="DV57" s="470"/>
      <c r="DW57" s="470"/>
      <c r="DX57" s="470"/>
      <c r="DY57" s="470"/>
      <c r="DZ57" s="470"/>
      <c r="EA57" s="470"/>
      <c r="EB57" s="470"/>
      <c r="EC57" s="470"/>
      <c r="ED57" s="470"/>
      <c r="EE57" s="470"/>
      <c r="EF57" s="470"/>
      <c r="EG57" s="470"/>
      <c r="EH57" s="470"/>
      <c r="EI57" s="476"/>
      <c r="EJ57" s="470"/>
      <c r="EK57" s="470"/>
      <c r="EL57" s="470"/>
      <c r="EM57" s="470"/>
      <c r="EN57" s="470"/>
      <c r="EO57" s="470"/>
      <c r="EP57" s="470"/>
      <c r="EQ57" s="470"/>
      <c r="ER57" s="470"/>
      <c r="ES57" s="470"/>
      <c r="ET57" s="470"/>
      <c r="EU57" s="470"/>
      <c r="EV57" s="470"/>
      <c r="EW57" s="470"/>
      <c r="EX57" s="470"/>
      <c r="EY57" s="470"/>
      <c r="EZ57" s="470"/>
      <c r="FA57" s="470"/>
      <c r="FB57" s="470"/>
      <c r="FC57" s="470"/>
      <c r="FD57" s="470"/>
      <c r="FE57" s="470"/>
      <c r="FF57" s="470"/>
      <c r="FG57" s="470"/>
      <c r="FH57" s="470"/>
      <c r="FI57" s="470"/>
      <c r="FJ57" s="470"/>
      <c r="FK57" s="470"/>
      <c r="FL57" s="470"/>
      <c r="FM57" s="2146"/>
      <c r="FN57" s="470"/>
      <c r="FO57" s="470"/>
      <c r="FP57" s="470"/>
      <c r="FQ57" s="470"/>
      <c r="FR57" s="470"/>
      <c r="FS57" s="470"/>
      <c r="FT57" s="470"/>
      <c r="FU57" s="470"/>
      <c r="FV57" s="470"/>
      <c r="FW57" s="470"/>
      <c r="FX57" s="470"/>
      <c r="FY57" s="470"/>
      <c r="FZ57" s="470"/>
      <c r="GA57" s="470"/>
      <c r="GB57" s="470"/>
      <c r="GC57" s="470"/>
      <c r="GD57" s="470"/>
      <c r="GE57" s="470"/>
      <c r="GF57" s="470"/>
      <c r="GG57" s="470"/>
      <c r="GH57" s="470"/>
      <c r="GI57" s="470"/>
      <c r="GJ57" s="470"/>
      <c r="GK57" s="470"/>
      <c r="GL57" s="470"/>
      <c r="GM57" s="470"/>
      <c r="GN57" s="470"/>
      <c r="GO57" s="470"/>
      <c r="GP57" s="470"/>
      <c r="GQ57" s="470"/>
      <c r="GR57" s="470"/>
      <c r="GS57" s="470"/>
      <c r="GT57" s="470"/>
      <c r="GU57" s="2145"/>
      <c r="GV57" s="2147"/>
      <c r="GZ57" s="2032"/>
      <c r="HA57" s="2032"/>
      <c r="HB57" s="2032"/>
      <c r="HC57" s="2032"/>
      <c r="HD57" s="2032"/>
      <c r="HE57" s="2032"/>
      <c r="HF57" s="2032"/>
    </row>
    <row r="58" spans="1:214" ht="18.899999999999999" customHeight="1">
      <c r="A58" s="2135"/>
      <c r="B58" s="2135"/>
      <c r="C58" s="2136"/>
      <c r="D58" s="470"/>
      <c r="E58" s="470"/>
      <c r="F58" s="470"/>
      <c r="G58" s="470"/>
      <c r="H58" s="470"/>
      <c r="I58" s="470"/>
      <c r="J58" s="470"/>
      <c r="K58" s="470"/>
      <c r="L58" s="470"/>
      <c r="M58" s="470"/>
      <c r="N58" s="470"/>
      <c r="O58" s="470"/>
      <c r="P58" s="470"/>
      <c r="Q58" s="470"/>
      <c r="R58" s="470"/>
      <c r="S58" s="470"/>
      <c r="T58" s="470"/>
      <c r="U58" s="470"/>
      <c r="V58" s="470"/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470"/>
      <c r="AH58" s="470"/>
      <c r="AI58" s="470"/>
      <c r="AJ58" s="470"/>
      <c r="AK58" s="470"/>
      <c r="AL58" s="470"/>
      <c r="AM58" s="470"/>
      <c r="AN58" s="470"/>
      <c r="AO58" s="470"/>
      <c r="AP58" s="470"/>
      <c r="AQ58" s="470"/>
      <c r="AR58" s="470"/>
      <c r="AS58" s="470"/>
      <c r="AT58" s="470"/>
      <c r="AU58" s="470"/>
      <c r="AV58" s="470"/>
      <c r="AW58" s="470"/>
      <c r="AX58" s="470"/>
      <c r="AY58" s="470"/>
      <c r="AZ58" s="470"/>
      <c r="BA58" s="470"/>
      <c r="BB58" s="470"/>
      <c r="BC58" s="470"/>
      <c r="BD58" s="470"/>
      <c r="BE58" s="470"/>
      <c r="BF58" s="2145"/>
      <c r="BG58" s="2145"/>
      <c r="BH58" s="2145"/>
      <c r="BI58" s="2145"/>
      <c r="BJ58" s="2145"/>
      <c r="BK58" s="2145"/>
      <c r="BL58" s="2145"/>
      <c r="BM58" s="470"/>
      <c r="BN58" s="470"/>
      <c r="BO58" s="470"/>
      <c r="BP58" s="470"/>
      <c r="BQ58" s="470"/>
      <c r="BR58" s="470"/>
      <c r="BS58" s="470"/>
      <c r="BT58" s="470"/>
      <c r="BU58" s="470"/>
      <c r="BV58" s="470"/>
      <c r="BW58" s="470"/>
      <c r="BX58" s="470"/>
      <c r="BY58" s="470"/>
      <c r="BZ58" s="470"/>
      <c r="CA58" s="470"/>
      <c r="CB58" s="470"/>
      <c r="CC58" s="470"/>
      <c r="CD58" s="470"/>
      <c r="CE58" s="470"/>
      <c r="CF58" s="470"/>
      <c r="CG58" s="470"/>
      <c r="CH58" s="470"/>
      <c r="CI58" s="470"/>
      <c r="CJ58" s="470"/>
      <c r="CK58" s="470"/>
      <c r="CL58" s="470"/>
      <c r="CM58" s="470"/>
      <c r="CN58" s="470"/>
      <c r="CO58" s="470"/>
      <c r="CP58" s="470"/>
      <c r="CQ58" s="470"/>
      <c r="CR58" s="470"/>
      <c r="CS58" s="470"/>
      <c r="CT58" s="470"/>
      <c r="CU58" s="470"/>
      <c r="CV58" s="470"/>
      <c r="CW58" s="470"/>
      <c r="CX58" s="470"/>
      <c r="CY58" s="470"/>
      <c r="CZ58" s="470"/>
      <c r="DA58" s="470"/>
      <c r="DB58" s="470"/>
      <c r="DC58" s="470"/>
      <c r="DD58" s="470"/>
      <c r="DE58" s="470"/>
      <c r="DF58" s="470"/>
      <c r="DG58" s="470"/>
      <c r="DH58" s="470"/>
      <c r="DI58" s="470"/>
      <c r="DJ58" s="470"/>
      <c r="DK58" s="470"/>
      <c r="DL58" s="470"/>
      <c r="DM58" s="470"/>
      <c r="DN58" s="470"/>
      <c r="DO58" s="470"/>
      <c r="DP58" s="470"/>
      <c r="DQ58" s="470"/>
      <c r="DR58" s="470"/>
      <c r="DS58" s="470"/>
      <c r="DT58" s="470"/>
      <c r="DU58" s="470"/>
      <c r="DV58" s="470"/>
      <c r="DW58" s="470"/>
      <c r="DX58" s="470"/>
      <c r="DY58" s="470"/>
      <c r="DZ58" s="470"/>
      <c r="EA58" s="470"/>
      <c r="EB58" s="470"/>
      <c r="EC58" s="470"/>
      <c r="ED58" s="470"/>
      <c r="EE58" s="470"/>
      <c r="EF58" s="470"/>
      <c r="EG58" s="470"/>
      <c r="EH58" s="470"/>
      <c r="EI58" s="476"/>
      <c r="EJ58" s="470"/>
      <c r="EK58" s="470"/>
      <c r="EL58" s="470"/>
      <c r="EM58" s="470"/>
      <c r="EN58" s="470"/>
      <c r="EO58" s="470"/>
      <c r="EP58" s="470"/>
      <c r="EQ58" s="470"/>
      <c r="ER58" s="470"/>
      <c r="ES58" s="470"/>
      <c r="ET58" s="470"/>
      <c r="EU58" s="470"/>
      <c r="EV58" s="470"/>
      <c r="EW58" s="470"/>
      <c r="EX58" s="470"/>
      <c r="EY58" s="470"/>
      <c r="EZ58" s="470"/>
      <c r="FA58" s="470"/>
      <c r="FB58" s="470"/>
      <c r="FC58" s="470"/>
      <c r="FD58" s="470"/>
      <c r="FE58" s="470"/>
      <c r="FF58" s="470"/>
      <c r="FG58" s="470"/>
      <c r="FH58" s="470"/>
      <c r="FI58" s="470"/>
      <c r="FJ58" s="470"/>
      <c r="FK58" s="470"/>
      <c r="FL58" s="470"/>
      <c r="FM58" s="2146"/>
      <c r="FN58" s="470"/>
      <c r="FO58" s="470"/>
      <c r="FP58" s="470"/>
      <c r="FQ58" s="470"/>
      <c r="FR58" s="470"/>
      <c r="FS58" s="470"/>
      <c r="FT58" s="470"/>
      <c r="FU58" s="470"/>
      <c r="FV58" s="470"/>
      <c r="FW58" s="470"/>
      <c r="FX58" s="470"/>
      <c r="FY58" s="470"/>
      <c r="FZ58" s="470"/>
      <c r="GA58" s="470"/>
      <c r="GB58" s="470"/>
      <c r="GC58" s="470"/>
      <c r="GD58" s="470"/>
      <c r="GE58" s="470"/>
      <c r="GF58" s="470"/>
      <c r="GG58" s="470"/>
      <c r="GH58" s="470"/>
      <c r="GI58" s="470"/>
      <c r="GJ58" s="470"/>
      <c r="GK58" s="470"/>
      <c r="GL58" s="470"/>
      <c r="GM58" s="470"/>
      <c r="GN58" s="470"/>
      <c r="GO58" s="470"/>
      <c r="GP58" s="470"/>
      <c r="GQ58" s="470"/>
      <c r="GR58" s="470"/>
      <c r="GS58" s="470"/>
      <c r="GT58" s="470"/>
      <c r="GU58" s="2145"/>
      <c r="GV58" s="2147"/>
      <c r="GZ58" s="2032"/>
      <c r="HA58" s="2032"/>
      <c r="HB58" s="2032"/>
      <c r="HC58" s="2032"/>
      <c r="HD58" s="2032"/>
      <c r="HE58" s="2032"/>
      <c r="HF58" s="2032"/>
    </row>
    <row r="59" spans="1:214" ht="18.899999999999999" customHeight="1">
      <c r="A59" s="2135"/>
      <c r="B59" s="2135"/>
      <c r="C59" s="2136"/>
      <c r="D59" s="478"/>
      <c r="E59" s="470"/>
      <c r="F59" s="470"/>
      <c r="G59" s="470"/>
      <c r="H59" s="470"/>
      <c r="I59" s="470"/>
      <c r="J59" s="470"/>
      <c r="K59" s="470"/>
      <c r="L59" s="470"/>
      <c r="M59" s="470"/>
      <c r="N59" s="470"/>
      <c r="O59" s="470"/>
      <c r="P59" s="470"/>
      <c r="Q59" s="470"/>
      <c r="R59" s="470"/>
      <c r="S59" s="470"/>
      <c r="T59" s="470"/>
      <c r="U59" s="470"/>
      <c r="V59" s="470"/>
      <c r="W59" s="470"/>
      <c r="X59" s="470"/>
      <c r="Y59" s="470"/>
      <c r="Z59" s="470"/>
      <c r="AA59" s="470"/>
      <c r="AB59" s="470"/>
      <c r="AC59" s="470"/>
      <c r="AD59" s="470"/>
      <c r="AE59" s="470"/>
      <c r="AF59" s="470"/>
      <c r="AG59" s="470"/>
      <c r="AH59" s="470"/>
      <c r="AI59" s="470"/>
      <c r="AJ59" s="470"/>
      <c r="AK59" s="470"/>
      <c r="AL59" s="470"/>
      <c r="AM59" s="470"/>
      <c r="AN59" s="470"/>
      <c r="AO59" s="470"/>
      <c r="AP59" s="470"/>
      <c r="AQ59" s="470"/>
      <c r="AR59" s="470"/>
      <c r="AS59" s="470"/>
      <c r="AT59" s="470"/>
      <c r="AU59" s="470"/>
      <c r="AV59" s="470"/>
      <c r="AW59" s="470"/>
      <c r="AX59" s="470"/>
      <c r="AY59" s="470"/>
      <c r="AZ59" s="470"/>
      <c r="BA59" s="470"/>
      <c r="BB59" s="470"/>
      <c r="BC59" s="470"/>
      <c r="BD59" s="470"/>
      <c r="BE59" s="470"/>
      <c r="BF59" s="2145"/>
      <c r="BG59" s="2145"/>
      <c r="BH59" s="2145"/>
      <c r="BI59" s="2145"/>
      <c r="BJ59" s="2145"/>
      <c r="BK59" s="2145"/>
      <c r="BL59" s="2145"/>
      <c r="BM59" s="470"/>
      <c r="BN59" s="470"/>
      <c r="BO59" s="470"/>
      <c r="BP59" s="470"/>
      <c r="BQ59" s="470"/>
      <c r="BR59" s="470"/>
      <c r="BS59" s="470"/>
      <c r="BT59" s="470"/>
      <c r="BU59" s="470"/>
      <c r="BV59" s="470"/>
      <c r="BW59" s="470"/>
      <c r="BX59" s="470"/>
      <c r="BY59" s="470"/>
      <c r="BZ59" s="470"/>
      <c r="CA59" s="470"/>
      <c r="CB59" s="470"/>
      <c r="CC59" s="470"/>
      <c r="CD59" s="470"/>
      <c r="CE59" s="470"/>
      <c r="CF59" s="470"/>
      <c r="CG59" s="470"/>
      <c r="CH59" s="470"/>
      <c r="CI59" s="470"/>
      <c r="CJ59" s="470"/>
      <c r="CK59" s="470"/>
      <c r="CL59" s="470"/>
      <c r="CM59" s="470"/>
      <c r="CN59" s="470"/>
      <c r="CO59" s="470"/>
      <c r="CP59" s="470"/>
      <c r="CQ59" s="470"/>
      <c r="CR59" s="470"/>
      <c r="CS59" s="470"/>
      <c r="CT59" s="470"/>
      <c r="CU59" s="470"/>
      <c r="CV59" s="470"/>
      <c r="CW59" s="470"/>
      <c r="CX59" s="470"/>
      <c r="CY59" s="470"/>
      <c r="CZ59" s="470"/>
      <c r="DA59" s="470"/>
      <c r="DB59" s="470"/>
      <c r="DC59" s="470"/>
      <c r="DD59" s="470"/>
      <c r="DE59" s="470"/>
      <c r="DF59" s="470"/>
      <c r="DG59" s="470"/>
      <c r="DH59" s="470"/>
      <c r="DI59" s="470"/>
      <c r="DJ59" s="470"/>
      <c r="DK59" s="470"/>
      <c r="DL59" s="470"/>
      <c r="DM59" s="470"/>
      <c r="DN59" s="470"/>
      <c r="DO59" s="470"/>
      <c r="DP59" s="470"/>
      <c r="DQ59" s="470"/>
      <c r="DR59" s="470"/>
      <c r="DS59" s="470"/>
      <c r="DT59" s="470"/>
      <c r="DU59" s="470"/>
      <c r="DV59" s="470"/>
      <c r="DW59" s="470"/>
      <c r="DX59" s="470"/>
      <c r="DY59" s="470"/>
      <c r="DZ59" s="470"/>
      <c r="EA59" s="470"/>
      <c r="EB59" s="470"/>
      <c r="EC59" s="470"/>
      <c r="ED59" s="470"/>
      <c r="EE59" s="470"/>
      <c r="EF59" s="470"/>
      <c r="EG59" s="470"/>
      <c r="EH59" s="470"/>
      <c r="EI59" s="476"/>
      <c r="EJ59" s="470"/>
      <c r="EK59" s="470"/>
      <c r="EL59" s="470"/>
      <c r="EM59" s="470"/>
      <c r="EN59" s="470"/>
      <c r="EO59" s="470"/>
      <c r="EP59" s="470"/>
      <c r="EQ59" s="470"/>
      <c r="ER59" s="470"/>
      <c r="ES59" s="470"/>
      <c r="ET59" s="470"/>
      <c r="EU59" s="470"/>
      <c r="EV59" s="470"/>
      <c r="EW59" s="470"/>
      <c r="EX59" s="470"/>
      <c r="EY59" s="470"/>
      <c r="EZ59" s="470"/>
      <c r="FA59" s="470"/>
      <c r="FB59" s="470"/>
      <c r="FC59" s="470"/>
      <c r="FD59" s="470"/>
      <c r="FE59" s="470"/>
      <c r="FF59" s="470"/>
      <c r="FG59" s="470"/>
      <c r="FH59" s="470"/>
      <c r="FI59" s="470"/>
      <c r="FJ59" s="470"/>
      <c r="FK59" s="470"/>
      <c r="FL59" s="470"/>
      <c r="FM59" s="2146"/>
      <c r="FN59" s="470"/>
      <c r="FO59" s="470"/>
      <c r="FP59" s="470"/>
      <c r="FQ59" s="470"/>
      <c r="FR59" s="470"/>
      <c r="FS59" s="470"/>
      <c r="FT59" s="470"/>
      <c r="FU59" s="470"/>
      <c r="FV59" s="470"/>
      <c r="FW59" s="470"/>
      <c r="FX59" s="470"/>
      <c r="FY59" s="470"/>
      <c r="FZ59" s="470"/>
      <c r="GA59" s="470"/>
      <c r="GB59" s="470"/>
      <c r="GC59" s="470"/>
      <c r="GD59" s="470"/>
      <c r="GE59" s="470"/>
      <c r="GF59" s="470"/>
      <c r="GG59" s="470"/>
      <c r="GH59" s="470"/>
      <c r="GI59" s="470"/>
      <c r="GJ59" s="470"/>
      <c r="GK59" s="470"/>
      <c r="GL59" s="470"/>
      <c r="GM59" s="470"/>
      <c r="GN59" s="470"/>
      <c r="GO59" s="470"/>
      <c r="GP59" s="470"/>
      <c r="GQ59" s="470"/>
      <c r="GR59" s="470"/>
      <c r="GS59" s="470"/>
      <c r="GT59" s="470"/>
      <c r="GU59" s="2145"/>
      <c r="GV59" s="2147"/>
      <c r="GZ59" s="2032"/>
      <c r="HA59" s="2032"/>
      <c r="HB59" s="2032"/>
      <c r="HC59" s="2032"/>
      <c r="HD59" s="2032"/>
      <c r="HE59" s="2032"/>
      <c r="HF59" s="2032"/>
    </row>
    <row r="60" spans="1:214" ht="18.899999999999999" customHeight="1">
      <c r="A60" s="2135"/>
      <c r="B60" s="2135"/>
      <c r="C60" s="2136"/>
      <c r="D60" s="470"/>
      <c r="E60" s="470"/>
      <c r="F60" s="470"/>
      <c r="G60" s="470"/>
      <c r="H60" s="470"/>
      <c r="I60" s="470"/>
      <c r="J60" s="470"/>
      <c r="K60" s="470"/>
      <c r="L60" s="470"/>
      <c r="M60" s="470"/>
      <c r="N60" s="470"/>
      <c r="O60" s="470"/>
      <c r="P60" s="470"/>
      <c r="Q60" s="470"/>
      <c r="R60" s="470"/>
      <c r="S60" s="470"/>
      <c r="T60" s="470"/>
      <c r="U60" s="470"/>
      <c r="V60" s="470"/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470"/>
      <c r="AJ60" s="470"/>
      <c r="AK60" s="470"/>
      <c r="AL60" s="470"/>
      <c r="AM60" s="470"/>
      <c r="AN60" s="470"/>
      <c r="AO60" s="470"/>
      <c r="AP60" s="470"/>
      <c r="AQ60" s="470"/>
      <c r="AR60" s="470"/>
      <c r="AS60" s="470"/>
      <c r="AT60" s="470"/>
      <c r="AU60" s="470"/>
      <c r="AV60" s="470"/>
      <c r="AW60" s="470"/>
      <c r="AX60" s="470"/>
      <c r="AY60" s="470"/>
      <c r="AZ60" s="470"/>
      <c r="BA60" s="470"/>
      <c r="BB60" s="470"/>
      <c r="BC60" s="470"/>
      <c r="BD60" s="470"/>
      <c r="BE60" s="470"/>
      <c r="BF60" s="2145"/>
      <c r="BG60" s="2145"/>
      <c r="BH60" s="2145"/>
      <c r="BI60" s="2145"/>
      <c r="BJ60" s="2145"/>
      <c r="BK60" s="2145"/>
      <c r="BL60" s="2145"/>
      <c r="BM60" s="470"/>
      <c r="BN60" s="470"/>
      <c r="BO60" s="470"/>
      <c r="BP60" s="470"/>
      <c r="BQ60" s="470"/>
      <c r="BR60" s="470"/>
      <c r="BS60" s="470"/>
      <c r="BT60" s="470"/>
      <c r="BU60" s="470"/>
      <c r="BV60" s="470"/>
      <c r="BW60" s="470"/>
      <c r="BX60" s="470"/>
      <c r="BY60" s="470"/>
      <c r="BZ60" s="470"/>
      <c r="CA60" s="470"/>
      <c r="CB60" s="470"/>
      <c r="CC60" s="470"/>
      <c r="CD60" s="470"/>
      <c r="CE60" s="470"/>
      <c r="CF60" s="470"/>
      <c r="CG60" s="470"/>
      <c r="CH60" s="470"/>
      <c r="CI60" s="470"/>
      <c r="CJ60" s="470"/>
      <c r="CK60" s="470"/>
      <c r="CL60" s="470"/>
      <c r="CM60" s="470"/>
      <c r="CN60" s="470"/>
      <c r="CO60" s="470"/>
      <c r="CP60" s="470"/>
      <c r="CQ60" s="470"/>
      <c r="CR60" s="470"/>
      <c r="CS60" s="470"/>
      <c r="CT60" s="470"/>
      <c r="CU60" s="470"/>
      <c r="CV60" s="470"/>
      <c r="CW60" s="470"/>
      <c r="CX60" s="470"/>
      <c r="CY60" s="470"/>
      <c r="CZ60" s="470"/>
      <c r="DA60" s="470"/>
      <c r="DB60" s="470"/>
      <c r="DC60" s="470"/>
      <c r="DD60" s="470"/>
      <c r="DE60" s="470"/>
      <c r="DF60" s="470"/>
      <c r="DG60" s="470"/>
      <c r="DH60" s="470"/>
      <c r="DI60" s="470"/>
      <c r="DJ60" s="470"/>
      <c r="DK60" s="470"/>
      <c r="DL60" s="470"/>
      <c r="DM60" s="470"/>
      <c r="DN60" s="470"/>
      <c r="DO60" s="470"/>
      <c r="DP60" s="470"/>
      <c r="DQ60" s="470"/>
      <c r="DR60" s="470"/>
      <c r="DS60" s="470"/>
      <c r="DT60" s="470"/>
      <c r="DU60" s="470"/>
      <c r="DV60" s="470"/>
      <c r="DW60" s="470"/>
      <c r="DX60" s="470"/>
      <c r="DY60" s="470"/>
      <c r="DZ60" s="470"/>
      <c r="EA60" s="470"/>
      <c r="EB60" s="470"/>
      <c r="EC60" s="470"/>
      <c r="ED60" s="470"/>
      <c r="EE60" s="470"/>
      <c r="EF60" s="470"/>
      <c r="EG60" s="470"/>
      <c r="EH60" s="470"/>
      <c r="EI60" s="476"/>
      <c r="EJ60" s="470"/>
      <c r="EK60" s="470"/>
      <c r="EL60" s="470"/>
      <c r="EM60" s="470"/>
      <c r="EN60" s="470"/>
      <c r="EO60" s="470"/>
      <c r="EP60" s="470"/>
      <c r="EQ60" s="470"/>
      <c r="ER60" s="470"/>
      <c r="ES60" s="470"/>
      <c r="ET60" s="470"/>
      <c r="EU60" s="470"/>
      <c r="EV60" s="470"/>
      <c r="EW60" s="470"/>
      <c r="EX60" s="470"/>
      <c r="EY60" s="470"/>
      <c r="EZ60" s="470"/>
      <c r="FA60" s="470"/>
      <c r="FB60" s="470"/>
      <c r="FC60" s="470"/>
      <c r="FD60" s="470"/>
      <c r="FE60" s="470"/>
      <c r="FF60" s="470"/>
      <c r="FG60" s="470"/>
      <c r="FH60" s="470"/>
      <c r="FI60" s="470"/>
      <c r="FJ60" s="470"/>
      <c r="FK60" s="470"/>
      <c r="FL60" s="470"/>
      <c r="FM60" s="2146"/>
      <c r="FN60" s="470"/>
      <c r="FO60" s="470"/>
      <c r="FP60" s="470"/>
      <c r="FQ60" s="470"/>
      <c r="FR60" s="470"/>
      <c r="FS60" s="470"/>
      <c r="FT60" s="470"/>
      <c r="FU60" s="470"/>
      <c r="FV60" s="470"/>
      <c r="FW60" s="470"/>
      <c r="FX60" s="470"/>
      <c r="FY60" s="470"/>
      <c r="FZ60" s="470"/>
      <c r="GA60" s="470"/>
      <c r="GB60" s="470"/>
      <c r="GC60" s="470"/>
      <c r="GD60" s="470"/>
      <c r="GE60" s="470"/>
      <c r="GF60" s="470"/>
      <c r="GG60" s="470"/>
      <c r="GH60" s="470"/>
      <c r="GI60" s="470"/>
      <c r="GJ60" s="470"/>
      <c r="GK60" s="470"/>
      <c r="GL60" s="470"/>
      <c r="GM60" s="470"/>
      <c r="GN60" s="470"/>
      <c r="GO60" s="470"/>
      <c r="GP60" s="470"/>
      <c r="GQ60" s="470"/>
      <c r="GR60" s="470"/>
      <c r="GS60" s="470"/>
      <c r="GT60" s="470"/>
      <c r="GU60" s="2145"/>
      <c r="GV60" s="2147"/>
      <c r="GZ60" s="2032"/>
      <c r="HA60" s="2032"/>
      <c r="HB60" s="2032"/>
      <c r="HC60" s="2032"/>
      <c r="HD60" s="2032"/>
      <c r="HE60" s="2032"/>
      <c r="HF60" s="2032"/>
    </row>
    <row r="61" spans="1:214" ht="18.899999999999999" customHeight="1">
      <c r="A61" s="2135"/>
      <c r="B61" s="2135"/>
      <c r="C61" s="2136"/>
      <c r="D61" s="470"/>
      <c r="E61" s="470"/>
      <c r="F61" s="470"/>
      <c r="G61" s="470"/>
      <c r="H61" s="470"/>
      <c r="I61" s="470"/>
      <c r="J61" s="470"/>
      <c r="K61" s="470"/>
      <c r="L61" s="470"/>
      <c r="M61" s="470"/>
      <c r="N61" s="470"/>
      <c r="O61" s="470"/>
      <c r="P61" s="470"/>
      <c r="Q61" s="470"/>
      <c r="R61" s="470"/>
      <c r="S61" s="470"/>
      <c r="T61" s="470"/>
      <c r="U61" s="470"/>
      <c r="V61" s="470"/>
      <c r="W61" s="470"/>
      <c r="X61" s="470"/>
      <c r="Y61" s="470"/>
      <c r="Z61" s="470"/>
      <c r="AA61" s="470"/>
      <c r="AB61" s="470"/>
      <c r="AC61" s="470"/>
      <c r="AD61" s="470"/>
      <c r="AE61" s="470"/>
      <c r="AF61" s="470"/>
      <c r="AG61" s="470"/>
      <c r="AH61" s="470"/>
      <c r="AI61" s="470"/>
      <c r="AJ61" s="470"/>
      <c r="AK61" s="470"/>
      <c r="AL61" s="470"/>
      <c r="AM61" s="470"/>
      <c r="AN61" s="470"/>
      <c r="AO61" s="470"/>
      <c r="AP61" s="470"/>
      <c r="AQ61" s="470"/>
      <c r="AR61" s="470"/>
      <c r="AS61" s="470"/>
      <c r="AT61" s="470"/>
      <c r="AU61" s="470"/>
      <c r="AV61" s="470"/>
      <c r="AW61" s="470"/>
      <c r="AX61" s="470"/>
      <c r="AY61" s="470"/>
      <c r="AZ61" s="470"/>
      <c r="BA61" s="470"/>
      <c r="BB61" s="470"/>
      <c r="BC61" s="470"/>
      <c r="BD61" s="470"/>
      <c r="BE61" s="470"/>
      <c r="BF61" s="2145"/>
      <c r="BG61" s="2145"/>
      <c r="BH61" s="2145"/>
      <c r="BI61" s="2145"/>
      <c r="BJ61" s="2145"/>
      <c r="BK61" s="2145"/>
      <c r="BL61" s="2145"/>
      <c r="BM61" s="470"/>
      <c r="BN61" s="470"/>
      <c r="BO61" s="470"/>
      <c r="BP61" s="470"/>
      <c r="BQ61" s="470"/>
      <c r="BR61" s="470"/>
      <c r="BS61" s="470"/>
      <c r="BT61" s="470"/>
      <c r="BU61" s="470"/>
      <c r="BV61" s="470"/>
      <c r="BW61" s="470"/>
      <c r="BX61" s="470"/>
      <c r="BY61" s="470"/>
      <c r="BZ61" s="470"/>
      <c r="CA61" s="470"/>
      <c r="CB61" s="470"/>
      <c r="CC61" s="470"/>
      <c r="CD61" s="470"/>
      <c r="CE61" s="470"/>
      <c r="CF61" s="470"/>
      <c r="CG61" s="470"/>
      <c r="CH61" s="470"/>
      <c r="CI61" s="470"/>
      <c r="CJ61" s="470"/>
      <c r="CK61" s="470"/>
      <c r="CL61" s="470"/>
      <c r="CM61" s="470"/>
      <c r="CN61" s="470"/>
      <c r="CO61" s="470"/>
      <c r="CP61" s="470"/>
      <c r="CQ61" s="470"/>
      <c r="CR61" s="470"/>
      <c r="CS61" s="470"/>
      <c r="CT61" s="470"/>
      <c r="CU61" s="470"/>
      <c r="CV61" s="470"/>
      <c r="CW61" s="470"/>
      <c r="CX61" s="470"/>
      <c r="CY61" s="470"/>
      <c r="CZ61" s="470"/>
      <c r="DA61" s="470"/>
      <c r="DB61" s="470"/>
      <c r="DC61" s="470"/>
      <c r="DD61" s="470"/>
      <c r="DE61" s="470"/>
      <c r="DF61" s="470"/>
      <c r="DG61" s="470"/>
      <c r="DH61" s="470"/>
      <c r="DI61" s="470"/>
      <c r="DJ61" s="470"/>
      <c r="DK61" s="470"/>
      <c r="DL61" s="470"/>
      <c r="DM61" s="470"/>
      <c r="DN61" s="470"/>
      <c r="DO61" s="470"/>
      <c r="DP61" s="470"/>
      <c r="DQ61" s="470"/>
      <c r="DR61" s="470"/>
      <c r="DS61" s="470"/>
      <c r="DT61" s="470"/>
      <c r="DU61" s="470"/>
      <c r="DV61" s="470"/>
      <c r="DW61" s="470"/>
      <c r="DX61" s="470"/>
      <c r="DY61" s="470"/>
      <c r="DZ61" s="470"/>
      <c r="EA61" s="470"/>
      <c r="EB61" s="470"/>
      <c r="EC61" s="470"/>
      <c r="ED61" s="470"/>
      <c r="EE61" s="470"/>
      <c r="EF61" s="470"/>
      <c r="EG61" s="470"/>
      <c r="EH61" s="470"/>
      <c r="EI61" s="476"/>
      <c r="EJ61" s="470"/>
      <c r="EK61" s="470"/>
      <c r="EL61" s="470"/>
      <c r="EM61" s="470"/>
      <c r="EN61" s="470"/>
      <c r="EO61" s="470"/>
      <c r="EP61" s="470"/>
      <c r="EQ61" s="470"/>
      <c r="ER61" s="470"/>
      <c r="ES61" s="470"/>
      <c r="ET61" s="470"/>
      <c r="EU61" s="470"/>
      <c r="EV61" s="470"/>
      <c r="EW61" s="470"/>
      <c r="EX61" s="470"/>
      <c r="EY61" s="470"/>
      <c r="EZ61" s="470"/>
      <c r="FA61" s="470"/>
      <c r="FB61" s="470"/>
      <c r="FC61" s="470"/>
      <c r="FD61" s="470"/>
      <c r="FE61" s="470"/>
      <c r="FF61" s="470"/>
      <c r="FG61" s="470"/>
      <c r="FH61" s="470"/>
      <c r="FI61" s="470"/>
      <c r="FJ61" s="470"/>
      <c r="FK61" s="470"/>
      <c r="FL61" s="470"/>
      <c r="FM61" s="2146"/>
      <c r="FN61" s="470"/>
      <c r="FO61" s="470"/>
      <c r="FP61" s="470"/>
      <c r="FQ61" s="470"/>
      <c r="FR61" s="470"/>
      <c r="FS61" s="470"/>
      <c r="FT61" s="470"/>
      <c r="FU61" s="470"/>
      <c r="FV61" s="470"/>
      <c r="FW61" s="470"/>
      <c r="FX61" s="470"/>
      <c r="FY61" s="470"/>
      <c r="FZ61" s="470"/>
      <c r="GA61" s="470"/>
      <c r="GB61" s="470"/>
      <c r="GC61" s="470"/>
      <c r="GD61" s="470"/>
      <c r="GE61" s="470"/>
      <c r="GF61" s="470"/>
      <c r="GG61" s="470"/>
      <c r="GH61" s="470"/>
      <c r="GI61" s="470"/>
      <c r="GJ61" s="470"/>
      <c r="GK61" s="470"/>
      <c r="GL61" s="470"/>
      <c r="GM61" s="470"/>
      <c r="GN61" s="470"/>
      <c r="GO61" s="470"/>
      <c r="GP61" s="470"/>
      <c r="GQ61" s="470"/>
      <c r="GR61" s="470"/>
      <c r="GS61" s="470"/>
      <c r="GT61" s="470"/>
      <c r="GU61" s="2145"/>
      <c r="GV61" s="2147"/>
      <c r="GZ61" s="2032"/>
      <c r="HA61" s="2032"/>
      <c r="HB61" s="2032"/>
      <c r="HC61" s="2032"/>
      <c r="HD61" s="2032"/>
      <c r="HE61" s="2032"/>
      <c r="HF61" s="2032"/>
    </row>
    <row r="62" spans="1:214" ht="18.899999999999999" customHeight="1">
      <c r="A62" s="2135"/>
      <c r="B62" s="2135"/>
      <c r="C62" s="2136"/>
      <c r="D62" s="470"/>
      <c r="E62" s="470"/>
      <c r="F62" s="470"/>
      <c r="G62" s="470"/>
      <c r="H62" s="470"/>
      <c r="I62" s="470"/>
      <c r="J62" s="470"/>
      <c r="K62" s="470"/>
      <c r="L62" s="470"/>
      <c r="M62" s="470"/>
      <c r="N62" s="470"/>
      <c r="O62" s="470"/>
      <c r="P62" s="470"/>
      <c r="Q62" s="470"/>
      <c r="R62" s="470"/>
      <c r="S62" s="470"/>
      <c r="T62" s="470"/>
      <c r="U62" s="470"/>
      <c r="V62" s="470"/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470"/>
      <c r="AI62" s="470"/>
      <c r="AJ62" s="470"/>
      <c r="AK62" s="470"/>
      <c r="AL62" s="470"/>
      <c r="AM62" s="470"/>
      <c r="AN62" s="470"/>
      <c r="AO62" s="470"/>
      <c r="AP62" s="470"/>
      <c r="AQ62" s="470"/>
      <c r="AR62" s="470"/>
      <c r="AS62" s="470"/>
      <c r="AT62" s="470"/>
      <c r="AU62" s="470"/>
      <c r="AV62" s="470"/>
      <c r="AW62" s="470"/>
      <c r="AX62" s="470"/>
      <c r="AY62" s="470"/>
      <c r="AZ62" s="470"/>
      <c r="BA62" s="470"/>
      <c r="BB62" s="470"/>
      <c r="BC62" s="470"/>
      <c r="BD62" s="470"/>
      <c r="BE62" s="470"/>
      <c r="BF62" s="2149"/>
      <c r="BG62" s="2149"/>
      <c r="BH62" s="2149"/>
      <c r="BI62" s="2149"/>
      <c r="BJ62" s="2149"/>
      <c r="BK62" s="2149"/>
      <c r="BL62" s="2149"/>
      <c r="BM62" s="470"/>
      <c r="BN62" s="470"/>
      <c r="BO62" s="470"/>
      <c r="BP62" s="470"/>
      <c r="BQ62" s="470"/>
      <c r="BR62" s="470"/>
      <c r="BS62" s="470"/>
      <c r="BT62" s="470"/>
      <c r="BU62" s="470"/>
      <c r="BV62" s="470"/>
      <c r="BW62" s="470"/>
      <c r="BX62" s="470"/>
      <c r="BY62" s="470"/>
      <c r="BZ62" s="470"/>
      <c r="CA62" s="470"/>
      <c r="CB62" s="470"/>
      <c r="CC62" s="470"/>
      <c r="CD62" s="470"/>
      <c r="CE62" s="470"/>
      <c r="CF62" s="470"/>
      <c r="CG62" s="470"/>
      <c r="CH62" s="470"/>
      <c r="CI62" s="470"/>
      <c r="CJ62" s="470"/>
      <c r="CK62" s="470"/>
      <c r="CL62" s="470"/>
      <c r="CM62" s="470"/>
      <c r="CN62" s="470"/>
      <c r="CO62" s="470"/>
      <c r="CP62" s="470"/>
      <c r="CQ62" s="470"/>
      <c r="CR62" s="470"/>
      <c r="CS62" s="470"/>
      <c r="CT62" s="470"/>
      <c r="CU62" s="470"/>
      <c r="CV62" s="470"/>
      <c r="CW62" s="470"/>
      <c r="CX62" s="470"/>
      <c r="CY62" s="470"/>
      <c r="CZ62" s="470"/>
      <c r="DA62" s="470"/>
      <c r="DB62" s="470"/>
      <c r="DC62" s="470"/>
      <c r="DD62" s="470"/>
      <c r="DE62" s="470"/>
      <c r="DF62" s="470"/>
      <c r="DG62" s="470"/>
      <c r="DH62" s="470"/>
      <c r="DI62" s="470"/>
      <c r="DJ62" s="470"/>
      <c r="DK62" s="470"/>
      <c r="DL62" s="470"/>
      <c r="DM62" s="470"/>
      <c r="DN62" s="470"/>
      <c r="DO62" s="470"/>
      <c r="DP62" s="470"/>
      <c r="DQ62" s="470"/>
      <c r="DR62" s="470"/>
      <c r="DS62" s="470"/>
      <c r="DT62" s="470"/>
      <c r="DU62" s="470"/>
      <c r="DV62" s="470"/>
      <c r="DW62" s="470"/>
      <c r="DX62" s="470"/>
      <c r="DY62" s="470"/>
      <c r="DZ62" s="470"/>
      <c r="EA62" s="470"/>
      <c r="EB62" s="470"/>
      <c r="EC62" s="470"/>
      <c r="ED62" s="470"/>
      <c r="EE62" s="470"/>
      <c r="EF62" s="470"/>
      <c r="EG62" s="470"/>
      <c r="EH62" s="470"/>
      <c r="EI62" s="476"/>
      <c r="EJ62" s="470"/>
      <c r="EK62" s="470"/>
      <c r="EL62" s="470"/>
      <c r="EM62" s="470"/>
      <c r="EN62" s="470"/>
      <c r="EO62" s="470"/>
      <c r="EP62" s="470"/>
      <c r="EQ62" s="470"/>
      <c r="ER62" s="470"/>
      <c r="ES62" s="470"/>
      <c r="ET62" s="470"/>
      <c r="EU62" s="470"/>
      <c r="EV62" s="470"/>
      <c r="EW62" s="470"/>
      <c r="EX62" s="470"/>
      <c r="EY62" s="470"/>
      <c r="EZ62" s="470"/>
      <c r="FA62" s="470"/>
      <c r="FB62" s="470"/>
      <c r="FC62" s="470"/>
      <c r="FD62" s="470"/>
      <c r="FE62" s="470"/>
      <c r="FF62" s="470"/>
      <c r="FG62" s="470"/>
      <c r="FH62" s="470"/>
      <c r="FI62" s="470"/>
      <c r="FJ62" s="470"/>
      <c r="FK62" s="470"/>
      <c r="FL62" s="470"/>
      <c r="FM62" s="2146"/>
      <c r="FN62" s="470"/>
      <c r="FO62" s="470"/>
      <c r="FP62" s="470"/>
      <c r="FQ62" s="470"/>
      <c r="FR62" s="470"/>
      <c r="FS62" s="470"/>
      <c r="FT62" s="470"/>
      <c r="FU62" s="470"/>
      <c r="FV62" s="470"/>
      <c r="FW62" s="470"/>
      <c r="FX62" s="470"/>
      <c r="FY62" s="470"/>
      <c r="FZ62" s="470"/>
      <c r="GA62" s="470"/>
      <c r="GB62" s="470"/>
      <c r="GC62" s="470"/>
      <c r="GD62" s="470"/>
      <c r="GE62" s="470"/>
      <c r="GF62" s="470"/>
      <c r="GG62" s="470"/>
      <c r="GH62" s="470"/>
      <c r="GI62" s="470"/>
      <c r="GJ62" s="470"/>
      <c r="GK62" s="470"/>
      <c r="GL62" s="470"/>
      <c r="GM62" s="470"/>
      <c r="GN62" s="470"/>
      <c r="GO62" s="470"/>
      <c r="GP62" s="470"/>
      <c r="GQ62" s="470"/>
      <c r="GR62" s="470"/>
      <c r="GS62" s="470"/>
      <c r="GT62" s="470"/>
      <c r="GU62" s="2149"/>
      <c r="GV62" s="2147"/>
      <c r="GZ62" s="2032"/>
      <c r="HA62" s="2032"/>
      <c r="HB62" s="2032"/>
      <c r="HC62" s="2032"/>
      <c r="HD62" s="2032"/>
      <c r="HE62" s="2032"/>
      <c r="HF62" s="2032"/>
    </row>
    <row r="63" spans="1:214" ht="18.899999999999999" customHeight="1">
      <c r="A63" s="2135"/>
      <c r="B63" s="2135"/>
      <c r="C63" s="2136"/>
      <c r="D63" s="479"/>
      <c r="E63" s="479"/>
      <c r="F63" s="479"/>
      <c r="G63" s="479"/>
      <c r="H63" s="479"/>
      <c r="I63" s="479"/>
      <c r="J63" s="479"/>
      <c r="K63" s="479"/>
      <c r="L63" s="479"/>
      <c r="M63" s="479"/>
      <c r="N63" s="479"/>
      <c r="O63" s="479"/>
      <c r="P63" s="479"/>
      <c r="Q63" s="479"/>
      <c r="R63" s="479"/>
      <c r="S63" s="479"/>
      <c r="T63" s="479"/>
      <c r="U63" s="479"/>
      <c r="V63" s="479"/>
      <c r="W63" s="479"/>
      <c r="X63" s="479"/>
      <c r="Y63" s="479"/>
      <c r="Z63" s="479"/>
      <c r="AA63" s="479"/>
      <c r="AB63" s="479"/>
      <c r="AC63" s="479"/>
      <c r="AD63" s="479"/>
      <c r="AE63" s="479"/>
      <c r="AF63" s="479"/>
      <c r="AG63" s="479"/>
      <c r="AH63" s="479"/>
      <c r="AI63" s="479"/>
      <c r="AJ63" s="479"/>
      <c r="AK63" s="479"/>
      <c r="AL63" s="479"/>
      <c r="AM63" s="479"/>
      <c r="AN63" s="479"/>
      <c r="AO63" s="479"/>
      <c r="AP63" s="479"/>
      <c r="AQ63" s="479"/>
      <c r="AR63" s="479"/>
      <c r="AS63" s="479"/>
      <c r="AT63" s="479"/>
      <c r="AU63" s="479"/>
      <c r="AV63" s="479"/>
      <c r="AW63" s="479"/>
      <c r="AX63" s="479"/>
      <c r="AY63" s="479"/>
      <c r="AZ63" s="479"/>
      <c r="BA63" s="479"/>
      <c r="BB63" s="479"/>
      <c r="BC63" s="479"/>
      <c r="BD63" s="479"/>
      <c r="BE63" s="479"/>
      <c r="BF63" s="2150"/>
      <c r="BG63" s="2150"/>
      <c r="BH63" s="2150"/>
      <c r="BI63" s="2150"/>
      <c r="BJ63" s="2150"/>
      <c r="BK63" s="2150"/>
      <c r="BL63" s="2150"/>
      <c r="BM63" s="479"/>
      <c r="BN63" s="479"/>
      <c r="BO63" s="479"/>
      <c r="BP63" s="479"/>
      <c r="BQ63" s="479"/>
      <c r="BR63" s="479"/>
      <c r="BS63" s="479"/>
      <c r="BT63" s="479"/>
      <c r="BU63" s="479"/>
      <c r="BV63" s="479"/>
      <c r="BW63" s="479"/>
      <c r="BX63" s="479"/>
      <c r="BY63" s="479"/>
      <c r="BZ63" s="479"/>
      <c r="CA63" s="479"/>
      <c r="CB63" s="479"/>
      <c r="CC63" s="479"/>
      <c r="CD63" s="479"/>
      <c r="CE63" s="479"/>
      <c r="CF63" s="479"/>
      <c r="CG63" s="479"/>
      <c r="CH63" s="479"/>
      <c r="CI63" s="479"/>
      <c r="CJ63" s="479"/>
      <c r="CK63" s="479"/>
      <c r="CL63" s="479"/>
      <c r="CM63" s="479"/>
      <c r="CN63" s="479"/>
      <c r="CO63" s="479"/>
      <c r="CP63" s="479"/>
      <c r="CQ63" s="479"/>
      <c r="CR63" s="479"/>
      <c r="CS63" s="479"/>
      <c r="CT63" s="479"/>
      <c r="CU63" s="479"/>
      <c r="CV63" s="479"/>
      <c r="CW63" s="479"/>
      <c r="CX63" s="479"/>
      <c r="CY63" s="479"/>
      <c r="CZ63" s="479"/>
      <c r="DA63" s="479"/>
      <c r="DB63" s="479"/>
      <c r="DC63" s="479"/>
      <c r="DD63" s="479"/>
      <c r="DE63" s="479"/>
      <c r="DF63" s="479"/>
      <c r="DG63" s="479"/>
      <c r="DH63" s="479"/>
      <c r="DI63" s="479"/>
      <c r="DJ63" s="479"/>
      <c r="DK63" s="479"/>
      <c r="DL63" s="479"/>
      <c r="DM63" s="479"/>
      <c r="DN63" s="479"/>
      <c r="DO63" s="479"/>
      <c r="DP63" s="479"/>
      <c r="DQ63" s="479"/>
      <c r="DR63" s="479"/>
      <c r="DS63" s="479"/>
      <c r="DT63" s="479"/>
      <c r="DU63" s="479"/>
      <c r="DV63" s="479"/>
      <c r="DW63" s="479"/>
      <c r="DX63" s="479"/>
      <c r="DY63" s="479"/>
      <c r="DZ63" s="479"/>
      <c r="EA63" s="479"/>
      <c r="EB63" s="479"/>
      <c r="EC63" s="479"/>
      <c r="ED63" s="479"/>
      <c r="EE63" s="479"/>
      <c r="EF63" s="479"/>
      <c r="EG63" s="479"/>
      <c r="EH63" s="479"/>
      <c r="EI63" s="480"/>
      <c r="EJ63" s="479"/>
      <c r="EK63" s="479"/>
      <c r="EL63" s="479"/>
      <c r="EM63" s="479"/>
      <c r="EN63" s="479"/>
      <c r="EO63" s="479"/>
      <c r="EP63" s="479"/>
      <c r="EQ63" s="479"/>
      <c r="ER63" s="479"/>
      <c r="ES63" s="479"/>
      <c r="ET63" s="479"/>
      <c r="EU63" s="479"/>
      <c r="EV63" s="479"/>
      <c r="EW63" s="479"/>
      <c r="EX63" s="479"/>
      <c r="EY63" s="479"/>
      <c r="EZ63" s="479"/>
      <c r="FA63" s="479"/>
      <c r="FB63" s="479"/>
      <c r="FC63" s="479"/>
      <c r="FD63" s="479"/>
      <c r="FE63" s="479"/>
      <c r="FF63" s="479"/>
      <c r="FG63" s="479"/>
      <c r="FH63" s="479"/>
      <c r="FI63" s="479"/>
      <c r="FJ63" s="479"/>
      <c r="FK63" s="479"/>
      <c r="FL63" s="479"/>
      <c r="FM63" s="2151"/>
      <c r="FN63" s="479"/>
      <c r="FO63" s="479"/>
      <c r="FP63" s="479"/>
      <c r="FQ63" s="479"/>
      <c r="FR63" s="479"/>
      <c r="FS63" s="479"/>
      <c r="FT63" s="479"/>
      <c r="FU63" s="479"/>
      <c r="FV63" s="479"/>
      <c r="FW63" s="479"/>
      <c r="FX63" s="479"/>
      <c r="FY63" s="479"/>
      <c r="FZ63" s="479"/>
      <c r="GA63" s="479"/>
      <c r="GB63" s="479"/>
      <c r="GC63" s="479"/>
      <c r="GD63" s="479"/>
      <c r="GE63" s="479"/>
      <c r="GF63" s="479"/>
      <c r="GG63" s="479"/>
      <c r="GH63" s="479"/>
      <c r="GI63" s="479"/>
      <c r="GJ63" s="479"/>
      <c r="GK63" s="479"/>
      <c r="GL63" s="479"/>
      <c r="GM63" s="479"/>
      <c r="GN63" s="479"/>
      <c r="GO63" s="479"/>
      <c r="GP63" s="479"/>
      <c r="GQ63" s="479"/>
      <c r="GR63" s="479"/>
      <c r="GS63" s="479"/>
      <c r="GT63" s="479"/>
      <c r="GU63" s="2150"/>
      <c r="GV63" s="2147"/>
      <c r="GZ63" s="2032"/>
      <c r="HA63" s="2032"/>
      <c r="HB63" s="2032"/>
      <c r="HC63" s="2032"/>
      <c r="HD63" s="2032"/>
      <c r="HE63" s="2032"/>
      <c r="HF63" s="2032"/>
    </row>
    <row r="64" spans="1:214" ht="18.899999999999999" customHeight="1">
      <c r="A64" s="2135"/>
      <c r="B64" s="2135"/>
      <c r="C64" s="2136"/>
      <c r="D64" s="468"/>
      <c r="E64" s="468"/>
      <c r="F64" s="468"/>
      <c r="G64" s="468"/>
      <c r="H64" s="468"/>
      <c r="I64" s="468"/>
      <c r="J64" s="468"/>
      <c r="K64" s="468"/>
      <c r="L64" s="468"/>
      <c r="M64" s="468"/>
      <c r="N64" s="468"/>
      <c r="O64" s="468"/>
      <c r="P64" s="468"/>
      <c r="Q64" s="468"/>
      <c r="R64" s="468"/>
      <c r="S64" s="468"/>
      <c r="T64" s="468"/>
      <c r="U64" s="468"/>
      <c r="V64" s="468"/>
      <c r="W64" s="468"/>
      <c r="X64" s="468"/>
      <c r="Y64" s="468"/>
      <c r="Z64" s="468"/>
      <c r="AA64" s="468"/>
      <c r="AB64" s="468"/>
      <c r="AC64" s="468"/>
      <c r="AD64" s="468"/>
      <c r="AE64" s="468"/>
      <c r="AF64" s="468"/>
      <c r="AG64" s="468"/>
      <c r="AH64" s="468"/>
      <c r="AI64" s="468"/>
      <c r="AJ64" s="468"/>
      <c r="AK64" s="468"/>
      <c r="AL64" s="468"/>
      <c r="AM64" s="468"/>
      <c r="AN64" s="468"/>
      <c r="AO64" s="468"/>
      <c r="AP64" s="468"/>
      <c r="AQ64" s="468"/>
      <c r="AR64" s="468"/>
      <c r="AS64" s="468"/>
      <c r="AT64" s="468"/>
      <c r="AU64" s="468"/>
      <c r="AV64" s="468"/>
      <c r="AW64" s="468"/>
      <c r="AX64" s="468"/>
      <c r="AY64" s="468"/>
      <c r="AZ64" s="468"/>
      <c r="BA64" s="468"/>
      <c r="BB64" s="468"/>
      <c r="BC64" s="468"/>
      <c r="BD64" s="468"/>
      <c r="BE64" s="468"/>
      <c r="BF64" s="2135"/>
      <c r="BG64" s="2135"/>
      <c r="BH64" s="2135"/>
      <c r="BI64" s="2135"/>
      <c r="BJ64" s="2135"/>
      <c r="BK64" s="2135"/>
      <c r="BL64" s="2135"/>
      <c r="BM64" s="468"/>
      <c r="BN64" s="468"/>
      <c r="BO64" s="468"/>
      <c r="BP64" s="468"/>
      <c r="BQ64" s="468"/>
      <c r="BR64" s="468"/>
      <c r="BS64" s="468"/>
      <c r="BT64" s="468"/>
      <c r="BU64" s="468"/>
      <c r="BV64" s="468"/>
      <c r="BW64" s="468"/>
      <c r="BX64" s="468"/>
      <c r="BY64" s="2135"/>
      <c r="BZ64" s="2135"/>
      <c r="CA64" s="2135"/>
      <c r="CB64" s="2135"/>
      <c r="CC64" s="2135"/>
      <c r="CD64" s="2135"/>
      <c r="CE64" s="2135"/>
      <c r="CF64" s="2135"/>
      <c r="CG64" s="2135"/>
      <c r="CH64" s="468"/>
      <c r="CI64" s="468"/>
      <c r="CJ64" s="468"/>
      <c r="CK64" s="468"/>
      <c r="CL64" s="468"/>
      <c r="CM64" s="468"/>
      <c r="CN64" s="468"/>
      <c r="CO64" s="468"/>
      <c r="CP64" s="468"/>
      <c r="CQ64" s="468"/>
      <c r="CR64" s="468"/>
      <c r="CS64" s="468"/>
      <c r="CT64" s="468"/>
      <c r="CU64" s="468"/>
      <c r="CV64" s="468"/>
      <c r="CW64" s="468"/>
      <c r="CX64" s="468"/>
      <c r="CY64" s="468"/>
      <c r="CZ64" s="468"/>
      <c r="DA64" s="468"/>
      <c r="DB64" s="468"/>
      <c r="DC64" s="468"/>
      <c r="DD64" s="468"/>
      <c r="DE64" s="468"/>
      <c r="DF64" s="468"/>
      <c r="DG64" s="468"/>
      <c r="DH64" s="468"/>
      <c r="DI64" s="468"/>
      <c r="DJ64" s="468"/>
      <c r="DK64" s="468"/>
      <c r="DL64" s="468"/>
      <c r="DM64" s="468"/>
      <c r="DN64" s="468"/>
      <c r="DO64" s="468"/>
      <c r="DP64" s="468"/>
      <c r="DQ64" s="468"/>
      <c r="DR64" s="468"/>
      <c r="DS64" s="468"/>
      <c r="DT64" s="468"/>
      <c r="DU64" s="468"/>
      <c r="DV64" s="468"/>
      <c r="DW64" s="468"/>
      <c r="DX64" s="468"/>
      <c r="DY64" s="468"/>
      <c r="DZ64" s="468"/>
      <c r="EA64" s="468"/>
      <c r="EB64" s="468"/>
      <c r="EC64" s="468"/>
      <c r="ED64" s="468"/>
      <c r="EE64" s="468"/>
      <c r="EF64" s="468"/>
      <c r="EG64" s="468"/>
      <c r="EH64" s="468"/>
      <c r="EI64" s="471"/>
      <c r="EJ64" s="468"/>
      <c r="EK64" s="468"/>
      <c r="EL64" s="468"/>
      <c r="EM64" s="468"/>
      <c r="EN64" s="468"/>
      <c r="EO64" s="468"/>
      <c r="EP64" s="468"/>
      <c r="EQ64" s="468"/>
      <c r="ER64" s="468"/>
      <c r="ES64" s="468"/>
      <c r="ET64" s="468"/>
      <c r="EU64" s="468"/>
      <c r="EV64" s="468"/>
      <c r="EW64" s="468"/>
      <c r="EX64" s="468"/>
      <c r="EY64" s="468"/>
      <c r="EZ64" s="468"/>
      <c r="FA64" s="468"/>
      <c r="FB64" s="468"/>
      <c r="FC64" s="468"/>
      <c r="FD64" s="468"/>
      <c r="FE64" s="468"/>
      <c r="FF64" s="468"/>
      <c r="FG64" s="468"/>
      <c r="FH64" s="468"/>
      <c r="FI64" s="468"/>
      <c r="FJ64" s="468"/>
      <c r="FK64" s="468"/>
      <c r="FL64" s="468"/>
      <c r="FM64" s="2137"/>
      <c r="FN64" s="468"/>
      <c r="FO64" s="468"/>
      <c r="FP64" s="468"/>
      <c r="FQ64" s="468"/>
      <c r="FR64" s="468"/>
      <c r="FS64" s="468"/>
      <c r="FT64" s="468"/>
      <c r="FU64" s="468"/>
      <c r="FV64" s="468"/>
      <c r="FW64" s="468"/>
      <c r="FX64" s="468"/>
      <c r="FY64" s="468"/>
      <c r="FZ64" s="468"/>
      <c r="GA64" s="468"/>
      <c r="GB64" s="468"/>
      <c r="GC64" s="468"/>
      <c r="GD64" s="468"/>
      <c r="GE64" s="468"/>
      <c r="GF64" s="468"/>
      <c r="GG64" s="468"/>
      <c r="GH64" s="468"/>
      <c r="GI64" s="468"/>
      <c r="GJ64" s="468"/>
      <c r="GK64" s="468"/>
      <c r="GL64" s="468"/>
      <c r="GM64" s="468"/>
      <c r="GN64" s="468"/>
      <c r="GO64" s="468"/>
      <c r="GP64" s="468"/>
      <c r="GQ64" s="468"/>
      <c r="GR64" s="468"/>
      <c r="GS64" s="468"/>
      <c r="GT64" s="468"/>
      <c r="GU64" s="2135"/>
      <c r="GZ64" s="2032"/>
      <c r="HA64" s="2032"/>
      <c r="HB64" s="2032"/>
      <c r="HC64" s="2032"/>
      <c r="HD64" s="2032"/>
      <c r="HE64" s="2032"/>
      <c r="HF64" s="2032"/>
    </row>
    <row r="65" spans="1:214" ht="18.899999999999999" customHeight="1">
      <c r="A65" s="2135"/>
      <c r="B65" s="2135"/>
      <c r="C65" s="2136"/>
      <c r="D65" s="468"/>
      <c r="E65" s="468"/>
      <c r="F65" s="468"/>
      <c r="G65" s="468"/>
      <c r="H65" s="468"/>
      <c r="I65" s="468"/>
      <c r="J65" s="468"/>
      <c r="K65" s="468"/>
      <c r="L65" s="468"/>
      <c r="M65" s="468"/>
      <c r="N65" s="468"/>
      <c r="O65" s="468"/>
      <c r="P65" s="468"/>
      <c r="Q65" s="468"/>
      <c r="R65" s="468"/>
      <c r="S65" s="468"/>
      <c r="T65" s="468"/>
      <c r="U65" s="468"/>
      <c r="V65" s="468"/>
      <c r="W65" s="468"/>
      <c r="X65" s="468"/>
      <c r="Y65" s="468"/>
      <c r="Z65" s="468"/>
      <c r="AA65" s="468"/>
      <c r="AB65" s="468"/>
      <c r="AC65" s="468"/>
      <c r="AD65" s="468"/>
      <c r="AE65" s="468"/>
      <c r="AF65" s="468"/>
      <c r="AG65" s="468"/>
      <c r="AH65" s="468"/>
      <c r="AI65" s="468"/>
      <c r="AJ65" s="468"/>
      <c r="AK65" s="468"/>
      <c r="AL65" s="468"/>
      <c r="AM65" s="468"/>
      <c r="AN65" s="468"/>
      <c r="AO65" s="468"/>
      <c r="AP65" s="468"/>
      <c r="AQ65" s="468"/>
      <c r="AR65" s="468"/>
      <c r="AS65" s="468"/>
      <c r="AT65" s="468"/>
      <c r="AU65" s="468"/>
      <c r="AV65" s="468"/>
      <c r="AW65" s="468"/>
      <c r="AX65" s="468"/>
      <c r="AY65" s="468"/>
      <c r="AZ65" s="468"/>
      <c r="BA65" s="468"/>
      <c r="BB65" s="468"/>
      <c r="BC65" s="468"/>
      <c r="BD65" s="468"/>
      <c r="BE65" s="468"/>
      <c r="BF65" s="2135"/>
      <c r="BG65" s="2135"/>
      <c r="BH65" s="2135"/>
      <c r="BI65" s="2135"/>
      <c r="BJ65" s="2135"/>
      <c r="BK65" s="2135"/>
      <c r="BL65" s="2135"/>
      <c r="BM65" s="468"/>
      <c r="BN65" s="468"/>
      <c r="BO65" s="468"/>
      <c r="BP65" s="468"/>
      <c r="BQ65" s="468"/>
      <c r="BR65" s="468"/>
      <c r="BS65" s="468"/>
      <c r="BT65" s="468"/>
      <c r="BU65" s="468"/>
      <c r="BV65" s="468"/>
      <c r="BW65" s="468"/>
      <c r="BX65" s="468"/>
      <c r="BY65" s="2135"/>
      <c r="BZ65" s="2135"/>
      <c r="CA65" s="2135"/>
      <c r="CB65" s="2135"/>
      <c r="CC65" s="2135"/>
      <c r="CD65" s="2135"/>
      <c r="CE65" s="2135"/>
      <c r="CF65" s="2135"/>
      <c r="CG65" s="2135"/>
      <c r="CH65" s="468"/>
      <c r="CI65" s="468"/>
      <c r="CJ65" s="468"/>
      <c r="CK65" s="468"/>
      <c r="CL65" s="468"/>
      <c r="CM65" s="468"/>
      <c r="CN65" s="468"/>
      <c r="CO65" s="468"/>
      <c r="CP65" s="468"/>
      <c r="CQ65" s="468"/>
      <c r="CR65" s="468"/>
      <c r="CS65" s="468"/>
      <c r="CT65" s="468"/>
      <c r="CU65" s="468"/>
      <c r="CV65" s="468"/>
      <c r="CW65" s="468"/>
      <c r="CX65" s="468"/>
      <c r="CY65" s="468"/>
      <c r="CZ65" s="468"/>
      <c r="DA65" s="468"/>
      <c r="DB65" s="468"/>
      <c r="DC65" s="468"/>
      <c r="DD65" s="468"/>
      <c r="DE65" s="468"/>
      <c r="DF65" s="468"/>
      <c r="DG65" s="468"/>
      <c r="DH65" s="468"/>
      <c r="DI65" s="468"/>
      <c r="DJ65" s="468"/>
      <c r="DK65" s="468"/>
      <c r="DL65" s="468"/>
      <c r="DM65" s="468"/>
      <c r="DN65" s="468"/>
      <c r="DO65" s="468"/>
      <c r="DP65" s="468"/>
      <c r="DQ65" s="468"/>
      <c r="DR65" s="468"/>
      <c r="DS65" s="468"/>
      <c r="DT65" s="468"/>
      <c r="DU65" s="468"/>
      <c r="DV65" s="468"/>
      <c r="DW65" s="468"/>
      <c r="DX65" s="468"/>
      <c r="DY65" s="468"/>
      <c r="DZ65" s="468"/>
      <c r="EA65" s="468"/>
      <c r="EB65" s="468"/>
      <c r="EC65" s="468"/>
      <c r="ED65" s="468"/>
      <c r="EE65" s="468"/>
      <c r="EF65" s="468"/>
      <c r="EG65" s="468"/>
      <c r="EH65" s="468"/>
      <c r="EI65" s="471"/>
      <c r="EJ65" s="468"/>
      <c r="EK65" s="468"/>
      <c r="EL65" s="468"/>
      <c r="EM65" s="468"/>
      <c r="EN65" s="468"/>
      <c r="EO65" s="468"/>
      <c r="EP65" s="468"/>
      <c r="EQ65" s="468"/>
      <c r="ER65" s="468"/>
      <c r="ES65" s="468"/>
      <c r="ET65" s="468"/>
      <c r="EU65" s="468"/>
      <c r="EV65" s="468"/>
      <c r="EW65" s="468"/>
      <c r="EX65" s="468"/>
      <c r="EY65" s="468"/>
      <c r="EZ65" s="468"/>
      <c r="FA65" s="468"/>
      <c r="FB65" s="468"/>
      <c r="FC65" s="468"/>
      <c r="FD65" s="468"/>
      <c r="FE65" s="468"/>
      <c r="FF65" s="468"/>
      <c r="FG65" s="468"/>
      <c r="FH65" s="468"/>
      <c r="FI65" s="468"/>
      <c r="FJ65" s="468"/>
      <c r="FK65" s="468"/>
      <c r="FL65" s="468"/>
      <c r="FM65" s="2137"/>
      <c r="FN65" s="468"/>
      <c r="FO65" s="468"/>
      <c r="FP65" s="468"/>
      <c r="FQ65" s="468"/>
      <c r="FR65" s="468"/>
      <c r="FS65" s="468"/>
      <c r="FT65" s="468"/>
      <c r="FU65" s="468"/>
      <c r="FV65" s="468"/>
      <c r="FW65" s="468"/>
      <c r="FX65" s="468"/>
      <c r="FY65" s="468"/>
      <c r="FZ65" s="468"/>
      <c r="GA65" s="468"/>
      <c r="GB65" s="468"/>
      <c r="GC65" s="468"/>
      <c r="GD65" s="468"/>
      <c r="GE65" s="468"/>
      <c r="GF65" s="468"/>
      <c r="GG65" s="468"/>
      <c r="GH65" s="468"/>
      <c r="GI65" s="468"/>
      <c r="GJ65" s="468"/>
      <c r="GK65" s="468"/>
      <c r="GL65" s="468"/>
      <c r="GM65" s="468"/>
      <c r="GN65" s="468"/>
      <c r="GO65" s="468"/>
      <c r="GP65" s="468"/>
      <c r="GQ65" s="468"/>
      <c r="GR65" s="468"/>
      <c r="GS65" s="468"/>
      <c r="GT65" s="468"/>
      <c r="GU65" s="2135"/>
      <c r="GZ65" s="2032"/>
      <c r="HA65" s="2032"/>
      <c r="HB65" s="2032"/>
      <c r="HC65" s="2032"/>
      <c r="HD65" s="2032"/>
      <c r="HE65" s="2032"/>
      <c r="HF65" s="2032"/>
    </row>
    <row r="66" spans="1:214" ht="18.899999999999999" customHeight="1">
      <c r="A66" s="2135"/>
      <c r="B66" s="2135"/>
      <c r="C66" s="2136"/>
      <c r="D66" s="468"/>
      <c r="E66" s="468"/>
      <c r="F66" s="468"/>
      <c r="G66" s="468"/>
      <c r="H66" s="468"/>
      <c r="I66" s="468"/>
      <c r="J66" s="468"/>
      <c r="K66" s="468"/>
      <c r="L66" s="468"/>
      <c r="M66" s="468"/>
      <c r="N66" s="468"/>
      <c r="O66" s="468"/>
      <c r="P66" s="468"/>
      <c r="Q66" s="468"/>
      <c r="R66" s="468"/>
      <c r="S66" s="468"/>
      <c r="T66" s="468"/>
      <c r="U66" s="468"/>
      <c r="V66" s="468"/>
      <c r="W66" s="468"/>
      <c r="X66" s="468"/>
      <c r="Y66" s="468"/>
      <c r="Z66" s="468"/>
      <c r="AA66" s="468"/>
      <c r="AB66" s="468"/>
      <c r="AC66" s="468"/>
      <c r="AD66" s="468"/>
      <c r="AE66" s="468"/>
      <c r="AF66" s="468"/>
      <c r="AG66" s="468"/>
      <c r="AH66" s="468"/>
      <c r="AI66" s="468"/>
      <c r="AJ66" s="468"/>
      <c r="AK66" s="468"/>
      <c r="AL66" s="468"/>
      <c r="AM66" s="468"/>
      <c r="AN66" s="468"/>
      <c r="AO66" s="468"/>
      <c r="AP66" s="468"/>
      <c r="AQ66" s="468"/>
      <c r="AR66" s="468"/>
      <c r="AS66" s="468"/>
      <c r="AT66" s="468"/>
      <c r="AU66" s="468"/>
      <c r="AV66" s="468"/>
      <c r="AW66" s="468"/>
      <c r="AX66" s="468"/>
      <c r="AY66" s="468"/>
      <c r="AZ66" s="468"/>
      <c r="BA66" s="468"/>
      <c r="BB66" s="468"/>
      <c r="BC66" s="468"/>
      <c r="BD66" s="468"/>
      <c r="BE66" s="468"/>
      <c r="BF66" s="2135"/>
      <c r="BG66" s="2135"/>
      <c r="BH66" s="2135"/>
      <c r="BI66" s="2135"/>
      <c r="BJ66" s="2135"/>
      <c r="BK66" s="2135"/>
      <c r="BL66" s="2135"/>
      <c r="BM66" s="468"/>
      <c r="BN66" s="468"/>
      <c r="BO66" s="468"/>
      <c r="BP66" s="468"/>
      <c r="BQ66" s="468"/>
      <c r="BR66" s="468"/>
      <c r="BS66" s="468"/>
      <c r="BT66" s="468"/>
      <c r="BU66" s="468"/>
      <c r="BV66" s="468"/>
      <c r="BW66" s="468"/>
      <c r="BX66" s="468"/>
      <c r="BY66" s="2135"/>
      <c r="BZ66" s="2135"/>
      <c r="CA66" s="2135"/>
      <c r="CB66" s="2135"/>
      <c r="CC66" s="2135"/>
      <c r="CD66" s="2135"/>
      <c r="CE66" s="2135"/>
      <c r="CF66" s="2135"/>
      <c r="CG66" s="2135"/>
      <c r="CH66" s="468"/>
      <c r="CI66" s="468"/>
      <c r="CJ66" s="468"/>
      <c r="CK66" s="468"/>
      <c r="CL66" s="468"/>
      <c r="CM66" s="468"/>
      <c r="CN66" s="468"/>
      <c r="CO66" s="468"/>
      <c r="CP66" s="468"/>
      <c r="CQ66" s="468"/>
      <c r="CR66" s="468"/>
      <c r="CS66" s="468"/>
      <c r="CT66" s="468"/>
      <c r="CU66" s="468"/>
      <c r="CV66" s="468"/>
      <c r="CW66" s="468"/>
      <c r="CX66" s="468"/>
      <c r="CY66" s="468"/>
      <c r="CZ66" s="468"/>
      <c r="DA66" s="468"/>
      <c r="DB66" s="468"/>
      <c r="DC66" s="468"/>
      <c r="DD66" s="468"/>
      <c r="DE66" s="468"/>
      <c r="DF66" s="468"/>
      <c r="DG66" s="468"/>
      <c r="DH66" s="468"/>
      <c r="DI66" s="468"/>
      <c r="DJ66" s="468"/>
      <c r="DK66" s="468"/>
      <c r="DL66" s="468"/>
      <c r="DM66" s="468"/>
      <c r="DN66" s="468"/>
      <c r="DO66" s="468"/>
      <c r="DP66" s="468"/>
      <c r="DQ66" s="468"/>
      <c r="DR66" s="468"/>
      <c r="DS66" s="468"/>
      <c r="DT66" s="468"/>
      <c r="DU66" s="468"/>
      <c r="DV66" s="468"/>
      <c r="DW66" s="468"/>
      <c r="DX66" s="468"/>
      <c r="DY66" s="468"/>
      <c r="DZ66" s="468"/>
      <c r="EA66" s="468"/>
      <c r="EB66" s="468"/>
      <c r="EC66" s="468"/>
      <c r="ED66" s="468"/>
      <c r="EE66" s="468"/>
      <c r="EF66" s="468"/>
      <c r="EG66" s="468"/>
      <c r="EH66" s="468"/>
      <c r="EI66" s="471"/>
      <c r="EJ66" s="468"/>
      <c r="EK66" s="468"/>
      <c r="EL66" s="468"/>
      <c r="EM66" s="468"/>
      <c r="EN66" s="468"/>
      <c r="EO66" s="468"/>
      <c r="EP66" s="468"/>
      <c r="EQ66" s="468"/>
      <c r="ER66" s="468"/>
      <c r="ES66" s="468"/>
      <c r="ET66" s="468"/>
      <c r="EU66" s="468"/>
      <c r="EV66" s="468"/>
      <c r="EW66" s="468"/>
      <c r="EX66" s="468"/>
      <c r="EY66" s="468"/>
      <c r="EZ66" s="468"/>
      <c r="FA66" s="468"/>
      <c r="FB66" s="468"/>
      <c r="FC66" s="468"/>
      <c r="FD66" s="468"/>
      <c r="FE66" s="468"/>
      <c r="FF66" s="468"/>
      <c r="FG66" s="468"/>
      <c r="FH66" s="468"/>
      <c r="FI66" s="468"/>
      <c r="FJ66" s="468"/>
      <c r="FK66" s="468"/>
      <c r="FL66" s="468"/>
      <c r="FM66" s="2137"/>
      <c r="FN66" s="468"/>
      <c r="FO66" s="468"/>
      <c r="FP66" s="468"/>
      <c r="FQ66" s="468"/>
      <c r="FR66" s="468"/>
      <c r="FS66" s="468"/>
      <c r="FT66" s="468"/>
      <c r="FU66" s="468"/>
      <c r="FV66" s="468"/>
      <c r="FW66" s="468"/>
      <c r="FX66" s="468"/>
      <c r="FY66" s="468"/>
      <c r="FZ66" s="468"/>
      <c r="GA66" s="468"/>
      <c r="GB66" s="468"/>
      <c r="GC66" s="468"/>
      <c r="GD66" s="468"/>
      <c r="GE66" s="468"/>
      <c r="GF66" s="468"/>
      <c r="GG66" s="468"/>
      <c r="GH66" s="468"/>
      <c r="GI66" s="468"/>
      <c r="GJ66" s="468"/>
      <c r="GK66" s="468"/>
      <c r="GL66" s="468"/>
      <c r="GM66" s="468"/>
      <c r="GN66" s="468"/>
      <c r="GO66" s="468"/>
      <c r="GP66" s="468"/>
      <c r="GQ66" s="468"/>
      <c r="GR66" s="468"/>
      <c r="GS66" s="468"/>
      <c r="GT66" s="468"/>
      <c r="GU66" s="2135"/>
      <c r="GZ66" s="2032"/>
      <c r="HA66" s="2032"/>
      <c r="HB66" s="2032"/>
      <c r="HC66" s="2032"/>
      <c r="HD66" s="2032"/>
      <c r="HE66" s="2032"/>
      <c r="HF66" s="2032"/>
    </row>
    <row r="67" spans="1:214" ht="18.899999999999999" customHeight="1">
      <c r="A67" s="2135"/>
      <c r="B67" s="2135"/>
      <c r="C67" s="2136"/>
      <c r="D67" s="468"/>
      <c r="E67" s="468"/>
      <c r="F67" s="468"/>
      <c r="G67" s="468"/>
      <c r="H67" s="468"/>
      <c r="I67" s="468"/>
      <c r="J67" s="468"/>
      <c r="K67" s="468"/>
      <c r="L67" s="468"/>
      <c r="M67" s="468"/>
      <c r="N67" s="468"/>
      <c r="O67" s="468"/>
      <c r="P67" s="468"/>
      <c r="Q67" s="468"/>
      <c r="R67" s="468"/>
      <c r="S67" s="468"/>
      <c r="T67" s="468"/>
      <c r="U67" s="468"/>
      <c r="V67" s="468"/>
      <c r="W67" s="468"/>
      <c r="X67" s="468"/>
      <c r="Y67" s="468"/>
      <c r="Z67" s="468"/>
      <c r="AA67" s="468"/>
      <c r="AB67" s="468"/>
      <c r="AC67" s="468"/>
      <c r="AD67" s="468"/>
      <c r="AE67" s="468"/>
      <c r="AF67" s="468"/>
      <c r="AG67" s="468"/>
      <c r="AH67" s="468"/>
      <c r="AI67" s="468"/>
      <c r="AJ67" s="468"/>
      <c r="AK67" s="468"/>
      <c r="AL67" s="468"/>
      <c r="AM67" s="468"/>
      <c r="AN67" s="468"/>
      <c r="AO67" s="468"/>
      <c r="AP67" s="468"/>
      <c r="AQ67" s="468"/>
      <c r="AR67" s="468"/>
      <c r="AS67" s="468"/>
      <c r="AT67" s="468"/>
      <c r="AU67" s="468"/>
      <c r="AV67" s="468"/>
      <c r="AW67" s="468"/>
      <c r="AX67" s="468"/>
      <c r="AY67" s="468"/>
      <c r="AZ67" s="468"/>
      <c r="BA67" s="468"/>
      <c r="BB67" s="468"/>
      <c r="BC67" s="468"/>
      <c r="BD67" s="468"/>
      <c r="BE67" s="468"/>
      <c r="BF67" s="2135"/>
      <c r="BG67" s="2135"/>
      <c r="BH67" s="2135"/>
      <c r="BI67" s="2135"/>
      <c r="BJ67" s="2135"/>
      <c r="BK67" s="2135"/>
      <c r="BL67" s="2135"/>
      <c r="BM67" s="468"/>
      <c r="BN67" s="468"/>
      <c r="BO67" s="468"/>
      <c r="BP67" s="468"/>
      <c r="BQ67" s="468"/>
      <c r="BR67" s="468"/>
      <c r="BS67" s="468"/>
      <c r="BT67" s="468"/>
      <c r="BU67" s="468"/>
      <c r="BV67" s="468"/>
      <c r="BW67" s="468"/>
      <c r="BX67" s="468"/>
      <c r="BY67" s="2135"/>
      <c r="BZ67" s="2135"/>
      <c r="CA67" s="2135"/>
      <c r="CB67" s="2135"/>
      <c r="CC67" s="2135"/>
      <c r="CD67" s="2135"/>
      <c r="CE67" s="2135"/>
      <c r="CF67" s="2135"/>
      <c r="CG67" s="2135"/>
      <c r="CH67" s="468"/>
      <c r="CI67" s="468"/>
      <c r="CJ67" s="468"/>
      <c r="CK67" s="468"/>
      <c r="CL67" s="468"/>
      <c r="CM67" s="468"/>
      <c r="CN67" s="468"/>
      <c r="CO67" s="468"/>
      <c r="CP67" s="468"/>
      <c r="CQ67" s="468"/>
      <c r="CR67" s="468"/>
      <c r="CS67" s="468"/>
      <c r="CT67" s="468"/>
      <c r="CU67" s="468"/>
      <c r="CV67" s="468"/>
      <c r="CW67" s="468"/>
      <c r="CX67" s="468"/>
      <c r="CY67" s="468"/>
      <c r="CZ67" s="468"/>
      <c r="DA67" s="468"/>
      <c r="DB67" s="468"/>
      <c r="DC67" s="468"/>
      <c r="DD67" s="468"/>
      <c r="DE67" s="468"/>
      <c r="DF67" s="468"/>
      <c r="DG67" s="468"/>
      <c r="DH67" s="468"/>
      <c r="DI67" s="468"/>
      <c r="DJ67" s="468"/>
      <c r="DK67" s="468"/>
      <c r="DL67" s="468"/>
      <c r="DM67" s="468"/>
      <c r="DN67" s="468"/>
      <c r="DO67" s="468"/>
      <c r="DP67" s="468"/>
      <c r="DQ67" s="468"/>
      <c r="DR67" s="468"/>
      <c r="DS67" s="468"/>
      <c r="DT67" s="468"/>
      <c r="DU67" s="468"/>
      <c r="DV67" s="468"/>
      <c r="DW67" s="468"/>
      <c r="DX67" s="468"/>
      <c r="DY67" s="468"/>
      <c r="DZ67" s="468"/>
      <c r="EA67" s="468"/>
      <c r="EB67" s="468"/>
      <c r="EC67" s="468"/>
      <c r="ED67" s="468"/>
      <c r="EE67" s="468"/>
      <c r="EF67" s="468"/>
      <c r="EG67" s="468"/>
      <c r="EH67" s="468"/>
      <c r="EI67" s="471"/>
      <c r="EJ67" s="468"/>
      <c r="EK67" s="468"/>
      <c r="EL67" s="468"/>
      <c r="EM67" s="468"/>
      <c r="EN67" s="468"/>
      <c r="EO67" s="468"/>
      <c r="EP67" s="468"/>
      <c r="EQ67" s="468"/>
      <c r="ER67" s="468"/>
      <c r="ES67" s="468"/>
      <c r="ET67" s="468"/>
      <c r="EU67" s="468"/>
      <c r="EV67" s="468"/>
      <c r="EW67" s="468"/>
      <c r="EX67" s="468"/>
      <c r="EY67" s="468"/>
      <c r="EZ67" s="468"/>
      <c r="FA67" s="468"/>
      <c r="FB67" s="468"/>
      <c r="FC67" s="468"/>
      <c r="FD67" s="468"/>
      <c r="FE67" s="468"/>
      <c r="FF67" s="468"/>
      <c r="FG67" s="468"/>
      <c r="FH67" s="468"/>
      <c r="FI67" s="468"/>
      <c r="FJ67" s="468"/>
      <c r="FK67" s="468"/>
      <c r="FL67" s="468"/>
      <c r="FM67" s="2137"/>
      <c r="FN67" s="468"/>
      <c r="FO67" s="468"/>
      <c r="FP67" s="468"/>
      <c r="FQ67" s="468"/>
      <c r="FR67" s="468"/>
      <c r="FS67" s="468"/>
      <c r="FT67" s="468"/>
      <c r="FU67" s="468"/>
      <c r="FV67" s="468"/>
      <c r="FW67" s="468"/>
      <c r="FX67" s="468"/>
      <c r="FY67" s="468"/>
      <c r="FZ67" s="468"/>
      <c r="GA67" s="468"/>
      <c r="GB67" s="468"/>
      <c r="GC67" s="468"/>
      <c r="GD67" s="468"/>
      <c r="GE67" s="468"/>
      <c r="GF67" s="468"/>
      <c r="GG67" s="468"/>
      <c r="GH67" s="468"/>
      <c r="GI67" s="468"/>
      <c r="GJ67" s="468"/>
      <c r="GK67" s="468"/>
      <c r="GL67" s="468"/>
      <c r="GM67" s="468"/>
      <c r="GN67" s="468"/>
      <c r="GO67" s="468"/>
      <c r="GP67" s="468"/>
      <c r="GQ67" s="468"/>
      <c r="GR67" s="468"/>
      <c r="GS67" s="468"/>
      <c r="GT67" s="468"/>
      <c r="GU67" s="2135"/>
      <c r="GZ67" s="2032"/>
      <c r="HA67" s="2032"/>
      <c r="HB67" s="2032"/>
      <c r="HC67" s="2032"/>
      <c r="HD67" s="2032"/>
      <c r="HE67" s="2032"/>
      <c r="HF67" s="2032"/>
    </row>
    <row r="68" spans="1:214" ht="18.899999999999999" customHeight="1">
      <c r="A68" s="2135"/>
      <c r="B68" s="2135"/>
      <c r="C68" s="2136"/>
      <c r="D68" s="468"/>
      <c r="E68" s="468"/>
      <c r="F68" s="468"/>
      <c r="G68" s="468"/>
      <c r="H68" s="468"/>
      <c r="I68" s="468"/>
      <c r="J68" s="468"/>
      <c r="K68" s="468"/>
      <c r="L68" s="468"/>
      <c r="M68" s="468"/>
      <c r="N68" s="468"/>
      <c r="O68" s="468"/>
      <c r="P68" s="468"/>
      <c r="Q68" s="468"/>
      <c r="R68" s="468"/>
      <c r="S68" s="468"/>
      <c r="T68" s="468"/>
      <c r="U68" s="468"/>
      <c r="V68" s="468"/>
      <c r="W68" s="468"/>
      <c r="X68" s="468"/>
      <c r="Y68" s="468"/>
      <c r="Z68" s="468"/>
      <c r="AA68" s="468"/>
      <c r="AB68" s="468"/>
      <c r="AC68" s="468"/>
      <c r="AD68" s="468"/>
      <c r="AE68" s="468"/>
      <c r="AF68" s="468"/>
      <c r="AG68" s="468"/>
      <c r="AH68" s="468"/>
      <c r="AI68" s="468"/>
      <c r="AJ68" s="468"/>
      <c r="AK68" s="468"/>
      <c r="AL68" s="468"/>
      <c r="AM68" s="468"/>
      <c r="AN68" s="468"/>
      <c r="AO68" s="468"/>
      <c r="AP68" s="468"/>
      <c r="AQ68" s="468"/>
      <c r="AR68" s="468"/>
      <c r="AS68" s="468"/>
      <c r="AT68" s="468"/>
      <c r="AU68" s="468"/>
      <c r="AV68" s="468"/>
      <c r="AW68" s="468"/>
      <c r="AX68" s="468"/>
      <c r="AY68" s="468"/>
      <c r="AZ68" s="468"/>
      <c r="BA68" s="468"/>
      <c r="BB68" s="468"/>
      <c r="BC68" s="468"/>
      <c r="BD68" s="468"/>
      <c r="BE68" s="468"/>
      <c r="BF68" s="2135"/>
      <c r="BG68" s="2135"/>
      <c r="BH68" s="2135"/>
      <c r="BI68" s="2135"/>
      <c r="BJ68" s="2135"/>
      <c r="BK68" s="2135"/>
      <c r="BL68" s="2135"/>
      <c r="BM68" s="468"/>
      <c r="BN68" s="468"/>
      <c r="BO68" s="468"/>
      <c r="BP68" s="468"/>
      <c r="BQ68" s="468"/>
      <c r="BR68" s="468"/>
      <c r="BS68" s="468"/>
      <c r="BT68" s="468"/>
      <c r="BU68" s="468"/>
      <c r="BV68" s="468"/>
      <c r="BW68" s="468"/>
      <c r="BX68" s="468"/>
      <c r="BY68" s="2135"/>
      <c r="BZ68" s="2135"/>
      <c r="CA68" s="2135"/>
      <c r="CB68" s="2135"/>
      <c r="CC68" s="2135"/>
      <c r="CD68" s="2135"/>
      <c r="CE68" s="2135"/>
      <c r="CF68" s="2135"/>
      <c r="CG68" s="2135"/>
      <c r="CH68" s="468"/>
      <c r="CI68" s="468"/>
      <c r="CJ68" s="468"/>
      <c r="CK68" s="468"/>
      <c r="CL68" s="468"/>
      <c r="CM68" s="468"/>
      <c r="CN68" s="468"/>
      <c r="CO68" s="468"/>
      <c r="CP68" s="468"/>
      <c r="CQ68" s="468"/>
      <c r="CR68" s="468"/>
      <c r="CS68" s="468"/>
      <c r="CT68" s="468"/>
      <c r="CU68" s="468"/>
      <c r="CV68" s="468"/>
      <c r="CW68" s="468"/>
      <c r="CX68" s="468"/>
      <c r="CY68" s="468"/>
      <c r="CZ68" s="468"/>
      <c r="DA68" s="468"/>
      <c r="DB68" s="468"/>
      <c r="DC68" s="468"/>
      <c r="DD68" s="468"/>
      <c r="DE68" s="468"/>
      <c r="DF68" s="468"/>
      <c r="DG68" s="468"/>
      <c r="DH68" s="468"/>
      <c r="DI68" s="468"/>
      <c r="DJ68" s="468"/>
      <c r="DK68" s="468"/>
      <c r="DL68" s="468"/>
      <c r="DM68" s="468"/>
      <c r="DN68" s="468"/>
      <c r="DO68" s="468"/>
      <c r="DP68" s="468"/>
      <c r="DQ68" s="468"/>
      <c r="DR68" s="468"/>
      <c r="DS68" s="468"/>
      <c r="DT68" s="468"/>
      <c r="DU68" s="468"/>
      <c r="DV68" s="468"/>
      <c r="DW68" s="468"/>
      <c r="DX68" s="468"/>
      <c r="DY68" s="468"/>
      <c r="DZ68" s="468"/>
      <c r="EA68" s="468"/>
      <c r="EB68" s="468"/>
      <c r="EC68" s="468"/>
      <c r="ED68" s="468"/>
      <c r="EE68" s="468"/>
      <c r="EF68" s="468"/>
      <c r="EG68" s="468"/>
      <c r="EH68" s="468"/>
      <c r="EI68" s="471"/>
      <c r="EJ68" s="468"/>
      <c r="EK68" s="468"/>
      <c r="EL68" s="468"/>
      <c r="EM68" s="468"/>
      <c r="EN68" s="468"/>
      <c r="EO68" s="468"/>
      <c r="EP68" s="468"/>
      <c r="EQ68" s="468"/>
      <c r="ER68" s="468"/>
      <c r="ES68" s="468"/>
      <c r="ET68" s="468"/>
      <c r="EU68" s="468"/>
      <c r="EV68" s="468"/>
      <c r="EW68" s="468"/>
      <c r="EX68" s="468"/>
      <c r="EY68" s="468"/>
      <c r="EZ68" s="468"/>
      <c r="FA68" s="468"/>
      <c r="FB68" s="468"/>
      <c r="FC68" s="468"/>
      <c r="FD68" s="468"/>
      <c r="FE68" s="468"/>
      <c r="FF68" s="468"/>
      <c r="FG68" s="468"/>
      <c r="FH68" s="468"/>
      <c r="FI68" s="468"/>
      <c r="FJ68" s="468"/>
      <c r="FK68" s="468"/>
      <c r="FL68" s="468"/>
      <c r="FM68" s="2137"/>
      <c r="FN68" s="468"/>
      <c r="FO68" s="468"/>
      <c r="FP68" s="468"/>
      <c r="FQ68" s="468"/>
      <c r="FR68" s="468"/>
      <c r="FS68" s="468"/>
      <c r="FT68" s="468"/>
      <c r="FU68" s="468"/>
      <c r="FV68" s="468"/>
      <c r="FW68" s="468"/>
      <c r="FX68" s="468"/>
      <c r="FY68" s="468"/>
      <c r="FZ68" s="468"/>
      <c r="GA68" s="468"/>
      <c r="GB68" s="468"/>
      <c r="GC68" s="468"/>
      <c r="GD68" s="468"/>
      <c r="GE68" s="468"/>
      <c r="GF68" s="468"/>
      <c r="GG68" s="468"/>
      <c r="GH68" s="468"/>
      <c r="GI68" s="468"/>
      <c r="GJ68" s="468"/>
      <c r="GK68" s="468"/>
      <c r="GL68" s="468"/>
      <c r="GM68" s="468"/>
      <c r="GN68" s="468"/>
      <c r="GO68" s="468"/>
      <c r="GP68" s="468"/>
      <c r="GQ68" s="468"/>
      <c r="GR68" s="468"/>
      <c r="GS68" s="468"/>
      <c r="GT68" s="468"/>
      <c r="GU68" s="2135"/>
      <c r="GZ68" s="2032"/>
      <c r="HA68" s="2032"/>
      <c r="HB68" s="2032"/>
      <c r="HC68" s="2032"/>
      <c r="HD68" s="2032"/>
      <c r="HE68" s="2032"/>
      <c r="HF68" s="2032"/>
    </row>
    <row r="69" spans="1:214" ht="18.899999999999999" customHeight="1">
      <c r="A69" s="2135"/>
      <c r="B69" s="2135"/>
      <c r="C69" s="2136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468"/>
      <c r="O69" s="468"/>
      <c r="P69" s="468"/>
      <c r="Q69" s="468"/>
      <c r="R69" s="468"/>
      <c r="S69" s="468"/>
      <c r="T69" s="468"/>
      <c r="U69" s="468"/>
      <c r="V69" s="468"/>
      <c r="W69" s="468"/>
      <c r="X69" s="468"/>
      <c r="Y69" s="468"/>
      <c r="Z69" s="468"/>
      <c r="AA69" s="468"/>
      <c r="AB69" s="468"/>
      <c r="AC69" s="468"/>
      <c r="AD69" s="468"/>
      <c r="AE69" s="468"/>
      <c r="AF69" s="468"/>
      <c r="AG69" s="468"/>
      <c r="AH69" s="468"/>
      <c r="AI69" s="468"/>
      <c r="AJ69" s="468"/>
      <c r="AK69" s="468"/>
      <c r="AL69" s="468"/>
      <c r="AM69" s="468"/>
      <c r="AN69" s="468"/>
      <c r="AO69" s="468"/>
      <c r="AP69" s="468"/>
      <c r="AQ69" s="468"/>
      <c r="AR69" s="468"/>
      <c r="AS69" s="468"/>
      <c r="AT69" s="468"/>
      <c r="AU69" s="468"/>
      <c r="AV69" s="468"/>
      <c r="AW69" s="468"/>
      <c r="AX69" s="468"/>
      <c r="AY69" s="468"/>
      <c r="AZ69" s="468"/>
      <c r="BA69" s="468"/>
      <c r="BB69" s="468"/>
      <c r="BC69" s="468"/>
      <c r="BD69" s="468"/>
      <c r="BE69" s="468"/>
      <c r="BF69" s="2135"/>
      <c r="BG69" s="2135"/>
      <c r="BH69" s="2135"/>
      <c r="BI69" s="2135"/>
      <c r="BJ69" s="2135"/>
      <c r="BK69" s="2135"/>
      <c r="BL69" s="2135"/>
      <c r="BM69" s="468"/>
      <c r="BN69" s="468"/>
      <c r="BO69" s="468"/>
      <c r="BP69" s="468"/>
      <c r="BQ69" s="468"/>
      <c r="BR69" s="468"/>
      <c r="BS69" s="468"/>
      <c r="BT69" s="468"/>
      <c r="BU69" s="468"/>
      <c r="BV69" s="468"/>
      <c r="BW69" s="468"/>
      <c r="BX69" s="468"/>
      <c r="BY69" s="2135"/>
      <c r="BZ69" s="2135"/>
      <c r="CA69" s="2135"/>
      <c r="CB69" s="2135"/>
      <c r="CC69" s="2135"/>
      <c r="CD69" s="2135"/>
      <c r="CE69" s="2135"/>
      <c r="CF69" s="2135"/>
      <c r="CG69" s="2135"/>
      <c r="CH69" s="468"/>
      <c r="CI69" s="468"/>
      <c r="CJ69" s="468"/>
      <c r="CK69" s="468"/>
      <c r="CL69" s="468"/>
      <c r="CM69" s="468"/>
      <c r="CN69" s="468"/>
      <c r="CO69" s="468"/>
      <c r="CP69" s="468"/>
      <c r="CQ69" s="468"/>
      <c r="CR69" s="468"/>
      <c r="CS69" s="468"/>
      <c r="CT69" s="468"/>
      <c r="CU69" s="468"/>
      <c r="CV69" s="468"/>
      <c r="CW69" s="468"/>
      <c r="CX69" s="468"/>
      <c r="CY69" s="468"/>
      <c r="CZ69" s="468"/>
      <c r="DA69" s="468"/>
      <c r="DB69" s="468"/>
      <c r="DC69" s="468"/>
      <c r="DD69" s="468"/>
      <c r="DE69" s="468"/>
      <c r="DF69" s="468"/>
      <c r="DG69" s="468"/>
      <c r="DH69" s="468"/>
      <c r="DI69" s="468"/>
      <c r="DJ69" s="468"/>
      <c r="DK69" s="468"/>
      <c r="DL69" s="468"/>
      <c r="DM69" s="468"/>
      <c r="DN69" s="468"/>
      <c r="DO69" s="468"/>
      <c r="DP69" s="468"/>
      <c r="DQ69" s="468"/>
      <c r="DR69" s="468"/>
      <c r="DS69" s="468"/>
      <c r="DT69" s="468"/>
      <c r="DU69" s="468"/>
      <c r="DV69" s="468"/>
      <c r="DW69" s="468"/>
      <c r="DX69" s="468"/>
      <c r="DY69" s="468"/>
      <c r="DZ69" s="468"/>
      <c r="EA69" s="468"/>
      <c r="EB69" s="468"/>
      <c r="EC69" s="468"/>
      <c r="ED69" s="468"/>
      <c r="EE69" s="468"/>
      <c r="EF69" s="468"/>
      <c r="EG69" s="468"/>
      <c r="EH69" s="468"/>
      <c r="EI69" s="471"/>
      <c r="EJ69" s="468"/>
      <c r="EK69" s="468"/>
      <c r="EL69" s="468"/>
      <c r="EM69" s="468"/>
      <c r="EN69" s="468"/>
      <c r="EO69" s="468"/>
      <c r="EP69" s="468"/>
      <c r="EQ69" s="468"/>
      <c r="ER69" s="468"/>
      <c r="ES69" s="468"/>
      <c r="ET69" s="468"/>
      <c r="EU69" s="468"/>
      <c r="EV69" s="468"/>
      <c r="EW69" s="468"/>
      <c r="EX69" s="468"/>
      <c r="EY69" s="468"/>
      <c r="EZ69" s="468"/>
      <c r="FA69" s="468"/>
      <c r="FB69" s="468"/>
      <c r="FC69" s="468"/>
      <c r="FD69" s="468"/>
      <c r="FE69" s="468"/>
      <c r="FF69" s="468"/>
      <c r="FG69" s="468"/>
      <c r="FH69" s="468"/>
      <c r="FI69" s="468"/>
      <c r="FJ69" s="468"/>
      <c r="FK69" s="468"/>
      <c r="FL69" s="468"/>
      <c r="FM69" s="2137"/>
      <c r="FN69" s="468"/>
      <c r="FO69" s="468"/>
      <c r="FP69" s="468"/>
      <c r="FQ69" s="468"/>
      <c r="FR69" s="468"/>
      <c r="FS69" s="468"/>
      <c r="FT69" s="468"/>
      <c r="FU69" s="468"/>
      <c r="FV69" s="468"/>
      <c r="FW69" s="468"/>
      <c r="FX69" s="468"/>
      <c r="FY69" s="468"/>
      <c r="FZ69" s="468"/>
      <c r="GA69" s="468"/>
      <c r="GB69" s="468"/>
      <c r="GC69" s="468"/>
      <c r="GD69" s="468"/>
      <c r="GE69" s="468"/>
      <c r="GF69" s="468"/>
      <c r="GG69" s="468"/>
      <c r="GH69" s="468"/>
      <c r="GI69" s="468"/>
      <c r="GJ69" s="468"/>
      <c r="GK69" s="468"/>
      <c r="GL69" s="468"/>
      <c r="GM69" s="468"/>
      <c r="GN69" s="468"/>
      <c r="GO69" s="468"/>
      <c r="GP69" s="468"/>
      <c r="GQ69" s="468"/>
      <c r="GR69" s="468"/>
      <c r="GS69" s="468"/>
      <c r="GT69" s="468"/>
      <c r="GU69" s="2135"/>
      <c r="GZ69" s="2032"/>
      <c r="HA69" s="2032"/>
      <c r="HB69" s="2032"/>
      <c r="HC69" s="2032"/>
      <c r="HD69" s="2032"/>
      <c r="HE69" s="2032"/>
      <c r="HF69" s="2032"/>
    </row>
    <row r="70" spans="1:214" ht="18.899999999999999" customHeight="1">
      <c r="A70" s="2135"/>
      <c r="B70" s="2135"/>
      <c r="C70" s="2136"/>
      <c r="D70" s="468"/>
      <c r="E70" s="468"/>
      <c r="F70" s="468"/>
      <c r="G70" s="468"/>
      <c r="H70" s="468"/>
      <c r="I70" s="468"/>
      <c r="J70" s="468"/>
      <c r="K70" s="468"/>
      <c r="L70" s="468"/>
      <c r="M70" s="468"/>
      <c r="N70" s="468"/>
      <c r="O70" s="468"/>
      <c r="P70" s="468"/>
      <c r="Q70" s="468"/>
      <c r="R70" s="468"/>
      <c r="S70" s="468"/>
      <c r="T70" s="468"/>
      <c r="U70" s="468"/>
      <c r="V70" s="468"/>
      <c r="W70" s="468"/>
      <c r="X70" s="468"/>
      <c r="Y70" s="468"/>
      <c r="Z70" s="468"/>
      <c r="AA70" s="468"/>
      <c r="AB70" s="468"/>
      <c r="AC70" s="468"/>
      <c r="AD70" s="468"/>
      <c r="AE70" s="468"/>
      <c r="AF70" s="468"/>
      <c r="AG70" s="468"/>
      <c r="AH70" s="468"/>
      <c r="AI70" s="468"/>
      <c r="AJ70" s="468"/>
      <c r="AK70" s="468"/>
      <c r="AL70" s="468"/>
      <c r="AM70" s="468"/>
      <c r="AN70" s="468"/>
      <c r="AO70" s="468"/>
      <c r="AP70" s="468"/>
      <c r="AQ70" s="468"/>
      <c r="AR70" s="468"/>
      <c r="AS70" s="468"/>
      <c r="AT70" s="468"/>
      <c r="AU70" s="468"/>
      <c r="AV70" s="468"/>
      <c r="AW70" s="468"/>
      <c r="AX70" s="468"/>
      <c r="AY70" s="468"/>
      <c r="AZ70" s="468"/>
      <c r="BA70" s="468"/>
      <c r="BB70" s="468"/>
      <c r="BC70" s="468"/>
      <c r="BD70" s="468"/>
      <c r="BE70" s="468"/>
      <c r="BF70" s="2135"/>
      <c r="BG70" s="2135"/>
      <c r="BH70" s="2135"/>
      <c r="BI70" s="2135"/>
      <c r="BJ70" s="2135"/>
      <c r="BK70" s="2135"/>
      <c r="BL70" s="2135"/>
      <c r="BM70" s="468"/>
      <c r="BN70" s="468"/>
      <c r="BO70" s="468"/>
      <c r="BP70" s="468"/>
      <c r="BQ70" s="468"/>
      <c r="BR70" s="468"/>
      <c r="BS70" s="468"/>
      <c r="BT70" s="468"/>
      <c r="BU70" s="468"/>
      <c r="BV70" s="468"/>
      <c r="BW70" s="468"/>
      <c r="BX70" s="468"/>
      <c r="BY70" s="2135"/>
      <c r="BZ70" s="2135"/>
      <c r="CA70" s="2135"/>
      <c r="CB70" s="2135"/>
      <c r="CC70" s="2135"/>
      <c r="CD70" s="2135"/>
      <c r="CE70" s="2135"/>
      <c r="CF70" s="2135"/>
      <c r="CG70" s="2135"/>
      <c r="CH70" s="468"/>
      <c r="CI70" s="468"/>
      <c r="CJ70" s="468"/>
      <c r="CK70" s="468"/>
      <c r="CL70" s="468"/>
      <c r="CM70" s="468"/>
      <c r="CN70" s="468"/>
      <c r="CO70" s="468"/>
      <c r="CP70" s="468"/>
      <c r="CQ70" s="468"/>
      <c r="CR70" s="468"/>
      <c r="CS70" s="468"/>
      <c r="CT70" s="468"/>
      <c r="CU70" s="468"/>
      <c r="CV70" s="468"/>
      <c r="CW70" s="468"/>
      <c r="CX70" s="468"/>
      <c r="CY70" s="468"/>
      <c r="CZ70" s="468"/>
      <c r="DA70" s="468"/>
      <c r="DB70" s="468"/>
      <c r="DC70" s="468"/>
      <c r="DD70" s="468"/>
      <c r="DE70" s="468"/>
      <c r="DF70" s="468"/>
      <c r="DG70" s="468"/>
      <c r="DH70" s="468"/>
      <c r="DI70" s="468"/>
      <c r="DJ70" s="468"/>
      <c r="DK70" s="468"/>
      <c r="DL70" s="468"/>
      <c r="DM70" s="468"/>
      <c r="DN70" s="468"/>
      <c r="DO70" s="468"/>
      <c r="DP70" s="468"/>
      <c r="DQ70" s="468"/>
      <c r="DR70" s="468"/>
      <c r="DS70" s="468"/>
      <c r="DT70" s="468"/>
      <c r="DU70" s="468"/>
      <c r="DV70" s="468"/>
      <c r="DW70" s="468"/>
      <c r="DX70" s="468"/>
      <c r="DY70" s="468"/>
      <c r="DZ70" s="468"/>
      <c r="EA70" s="468"/>
      <c r="EB70" s="468"/>
      <c r="EC70" s="468"/>
      <c r="ED70" s="468"/>
      <c r="EE70" s="468"/>
      <c r="EF70" s="468"/>
      <c r="EG70" s="468"/>
      <c r="EH70" s="468"/>
      <c r="EI70" s="471"/>
      <c r="EJ70" s="468"/>
      <c r="EK70" s="468"/>
      <c r="EL70" s="468"/>
      <c r="EM70" s="468"/>
      <c r="EN70" s="468"/>
      <c r="EO70" s="468"/>
      <c r="EP70" s="468"/>
      <c r="EQ70" s="468"/>
      <c r="ER70" s="468"/>
      <c r="ES70" s="468"/>
      <c r="ET70" s="468"/>
      <c r="EU70" s="468"/>
      <c r="EV70" s="468"/>
      <c r="EW70" s="468"/>
      <c r="EX70" s="468"/>
      <c r="EY70" s="468"/>
      <c r="EZ70" s="468"/>
      <c r="FA70" s="468"/>
      <c r="FB70" s="468"/>
      <c r="FC70" s="468"/>
      <c r="FD70" s="468"/>
      <c r="FE70" s="468"/>
      <c r="FF70" s="468"/>
      <c r="FG70" s="468"/>
      <c r="FH70" s="468"/>
      <c r="FI70" s="468"/>
      <c r="FJ70" s="468"/>
      <c r="FK70" s="468"/>
      <c r="FL70" s="468"/>
      <c r="FM70" s="2137"/>
      <c r="FN70" s="468"/>
      <c r="FO70" s="468"/>
      <c r="FP70" s="468"/>
      <c r="FQ70" s="468"/>
      <c r="FR70" s="468"/>
      <c r="FS70" s="468"/>
      <c r="FT70" s="468"/>
      <c r="FU70" s="468"/>
      <c r="FV70" s="468"/>
      <c r="FW70" s="468"/>
      <c r="FX70" s="468"/>
      <c r="FY70" s="468"/>
      <c r="FZ70" s="468"/>
      <c r="GA70" s="468"/>
      <c r="GB70" s="468"/>
      <c r="GC70" s="468"/>
      <c r="GD70" s="468"/>
      <c r="GE70" s="468"/>
      <c r="GF70" s="468"/>
      <c r="GG70" s="468"/>
      <c r="GH70" s="468"/>
      <c r="GI70" s="468"/>
      <c r="GJ70" s="468"/>
      <c r="GK70" s="468"/>
      <c r="GL70" s="468"/>
      <c r="GM70" s="468"/>
      <c r="GN70" s="468"/>
      <c r="GO70" s="468"/>
      <c r="GP70" s="468"/>
      <c r="GQ70" s="468"/>
      <c r="GR70" s="468"/>
      <c r="GS70" s="468"/>
      <c r="GT70" s="468"/>
      <c r="GU70" s="2135"/>
      <c r="GZ70" s="2032"/>
      <c r="HA70" s="2032"/>
      <c r="HB70" s="2032"/>
      <c r="HC70" s="2032"/>
      <c r="HD70" s="2032"/>
      <c r="HE70" s="2032"/>
      <c r="HF70" s="2032"/>
    </row>
    <row r="71" spans="1:214" ht="18.899999999999999" customHeight="1">
      <c r="A71" s="2135"/>
      <c r="B71" s="2135"/>
      <c r="C71" s="2136"/>
      <c r="D71" s="468"/>
      <c r="E71" s="468"/>
      <c r="F71" s="468"/>
      <c r="G71" s="468"/>
      <c r="H71" s="468"/>
      <c r="I71" s="468"/>
      <c r="J71" s="468"/>
      <c r="K71" s="468"/>
      <c r="L71" s="468"/>
      <c r="M71" s="468"/>
      <c r="N71" s="468"/>
      <c r="O71" s="468"/>
      <c r="P71" s="468"/>
      <c r="Q71" s="468"/>
      <c r="R71" s="468"/>
      <c r="S71" s="468"/>
      <c r="T71" s="468"/>
      <c r="U71" s="468"/>
      <c r="V71" s="468"/>
      <c r="W71" s="468"/>
      <c r="X71" s="468"/>
      <c r="Y71" s="468"/>
      <c r="Z71" s="468"/>
      <c r="AA71" s="468"/>
      <c r="AB71" s="468"/>
      <c r="AC71" s="468"/>
      <c r="AD71" s="468"/>
      <c r="AE71" s="468"/>
      <c r="AF71" s="468"/>
      <c r="AG71" s="468"/>
      <c r="AH71" s="468"/>
      <c r="AI71" s="468"/>
      <c r="AJ71" s="468"/>
      <c r="AK71" s="468"/>
      <c r="AL71" s="468"/>
      <c r="AM71" s="468"/>
      <c r="AN71" s="468"/>
      <c r="AO71" s="468"/>
      <c r="AP71" s="468"/>
      <c r="AQ71" s="468"/>
      <c r="AR71" s="468"/>
      <c r="AS71" s="468"/>
      <c r="AT71" s="468"/>
      <c r="AU71" s="468"/>
      <c r="AV71" s="468"/>
      <c r="AW71" s="468"/>
      <c r="AX71" s="468"/>
      <c r="AY71" s="468"/>
      <c r="AZ71" s="468"/>
      <c r="BA71" s="468"/>
      <c r="BB71" s="468"/>
      <c r="BC71" s="468"/>
      <c r="BD71" s="468"/>
      <c r="BE71" s="468"/>
      <c r="BF71" s="2135"/>
      <c r="BG71" s="2135"/>
      <c r="BH71" s="2135"/>
      <c r="BI71" s="2135"/>
      <c r="BJ71" s="2135"/>
      <c r="BK71" s="2135"/>
      <c r="BL71" s="2135"/>
      <c r="BM71" s="468"/>
      <c r="BN71" s="468"/>
      <c r="BO71" s="468"/>
      <c r="BP71" s="468"/>
      <c r="BQ71" s="468"/>
      <c r="BR71" s="468"/>
      <c r="BS71" s="468"/>
      <c r="BT71" s="468"/>
      <c r="BU71" s="468"/>
      <c r="BV71" s="468"/>
      <c r="BW71" s="468"/>
      <c r="BX71" s="468"/>
      <c r="BY71" s="2135"/>
      <c r="BZ71" s="2135"/>
      <c r="CA71" s="2135"/>
      <c r="CB71" s="2135"/>
      <c r="CC71" s="2135"/>
      <c r="CD71" s="2135"/>
      <c r="CE71" s="2135"/>
      <c r="CF71" s="2135"/>
      <c r="CG71" s="2135"/>
      <c r="CH71" s="468"/>
      <c r="CI71" s="468"/>
      <c r="CJ71" s="468"/>
      <c r="CK71" s="468"/>
      <c r="CL71" s="468"/>
      <c r="CM71" s="468"/>
      <c r="CN71" s="468"/>
      <c r="CO71" s="468"/>
      <c r="CP71" s="468"/>
      <c r="CQ71" s="468"/>
      <c r="CR71" s="468"/>
      <c r="CS71" s="468"/>
      <c r="CT71" s="468"/>
      <c r="CU71" s="468"/>
      <c r="CV71" s="468"/>
      <c r="CW71" s="468"/>
      <c r="CX71" s="468"/>
      <c r="CY71" s="468"/>
      <c r="CZ71" s="468"/>
      <c r="DA71" s="468"/>
      <c r="DB71" s="468"/>
      <c r="DC71" s="468"/>
      <c r="DD71" s="468"/>
      <c r="DE71" s="468"/>
      <c r="DF71" s="468"/>
      <c r="DG71" s="468"/>
      <c r="DH71" s="468"/>
      <c r="DI71" s="468"/>
      <c r="DJ71" s="468"/>
      <c r="DK71" s="468"/>
      <c r="DL71" s="468"/>
      <c r="DM71" s="468"/>
      <c r="DN71" s="468"/>
      <c r="DO71" s="468"/>
      <c r="DP71" s="468"/>
      <c r="DQ71" s="468"/>
      <c r="DR71" s="468"/>
      <c r="DS71" s="468"/>
      <c r="DT71" s="468"/>
      <c r="DU71" s="468"/>
      <c r="DV71" s="468"/>
      <c r="DW71" s="468"/>
      <c r="DX71" s="468"/>
      <c r="DY71" s="468"/>
      <c r="DZ71" s="468"/>
      <c r="EA71" s="468"/>
      <c r="EB71" s="468"/>
      <c r="EC71" s="468"/>
      <c r="ED71" s="468"/>
      <c r="EE71" s="468"/>
      <c r="EF71" s="468"/>
      <c r="EG71" s="468"/>
      <c r="EH71" s="468"/>
      <c r="EI71" s="471"/>
      <c r="EJ71" s="468"/>
      <c r="EK71" s="468"/>
      <c r="EL71" s="468"/>
      <c r="EM71" s="468"/>
      <c r="EN71" s="468"/>
      <c r="EO71" s="468"/>
      <c r="EP71" s="468"/>
      <c r="EQ71" s="468"/>
      <c r="ER71" s="468"/>
      <c r="ES71" s="468"/>
      <c r="ET71" s="468"/>
      <c r="EU71" s="468"/>
      <c r="EV71" s="468"/>
      <c r="EW71" s="468"/>
      <c r="EX71" s="468"/>
      <c r="EY71" s="468"/>
      <c r="EZ71" s="468"/>
      <c r="FA71" s="468"/>
      <c r="FB71" s="468"/>
      <c r="FC71" s="468"/>
      <c r="FD71" s="468"/>
      <c r="FE71" s="468"/>
      <c r="FF71" s="468"/>
      <c r="FG71" s="468"/>
      <c r="FH71" s="468"/>
      <c r="FI71" s="468"/>
      <c r="FJ71" s="468"/>
      <c r="FK71" s="468"/>
      <c r="FL71" s="468"/>
      <c r="FM71" s="2137"/>
      <c r="FN71" s="468"/>
      <c r="FO71" s="468"/>
      <c r="FP71" s="468"/>
      <c r="FQ71" s="468"/>
      <c r="FR71" s="468"/>
      <c r="FS71" s="468"/>
      <c r="FT71" s="468"/>
      <c r="FU71" s="468"/>
      <c r="FV71" s="468"/>
      <c r="FW71" s="468"/>
      <c r="FX71" s="468"/>
      <c r="FY71" s="468"/>
      <c r="FZ71" s="468"/>
      <c r="GA71" s="468"/>
      <c r="GB71" s="468"/>
      <c r="GC71" s="468"/>
      <c r="GD71" s="468"/>
      <c r="GE71" s="468"/>
      <c r="GF71" s="468"/>
      <c r="GG71" s="468"/>
      <c r="GH71" s="468"/>
      <c r="GI71" s="468"/>
      <c r="GJ71" s="468"/>
      <c r="GK71" s="468"/>
      <c r="GL71" s="468"/>
      <c r="GM71" s="468"/>
      <c r="GN71" s="468"/>
      <c r="GO71" s="468"/>
      <c r="GP71" s="468"/>
      <c r="GQ71" s="468"/>
      <c r="GR71" s="468"/>
      <c r="GS71" s="468"/>
      <c r="GT71" s="468"/>
      <c r="GU71" s="2135"/>
    </row>
    <row r="72" spans="1:214" ht="18.899999999999999" customHeight="1">
      <c r="A72" s="2135"/>
      <c r="B72" s="2135"/>
      <c r="C72" s="2136"/>
      <c r="D72" s="468"/>
      <c r="E72" s="468"/>
      <c r="F72" s="468"/>
      <c r="G72" s="468"/>
      <c r="H72" s="468"/>
      <c r="I72" s="468"/>
      <c r="J72" s="468"/>
      <c r="K72" s="468"/>
      <c r="L72" s="468"/>
      <c r="M72" s="468"/>
      <c r="N72" s="468"/>
      <c r="O72" s="468"/>
      <c r="P72" s="468"/>
      <c r="Q72" s="468"/>
      <c r="R72" s="468"/>
      <c r="S72" s="468"/>
      <c r="T72" s="468"/>
      <c r="U72" s="468"/>
      <c r="V72" s="468"/>
      <c r="W72" s="468"/>
      <c r="X72" s="468"/>
      <c r="Y72" s="468"/>
      <c r="Z72" s="468"/>
      <c r="AA72" s="468"/>
      <c r="AB72" s="468"/>
      <c r="AC72" s="468"/>
      <c r="AD72" s="468"/>
      <c r="AE72" s="468"/>
      <c r="AF72" s="468"/>
      <c r="AG72" s="468"/>
      <c r="AH72" s="468"/>
      <c r="AI72" s="468"/>
      <c r="AJ72" s="468"/>
      <c r="AK72" s="468"/>
      <c r="AL72" s="468"/>
      <c r="AM72" s="468"/>
      <c r="AN72" s="468"/>
      <c r="AO72" s="468"/>
      <c r="AP72" s="468"/>
      <c r="AQ72" s="468"/>
      <c r="AR72" s="468"/>
      <c r="AS72" s="468"/>
      <c r="AT72" s="468"/>
      <c r="AU72" s="468"/>
      <c r="AV72" s="468"/>
      <c r="AW72" s="468"/>
      <c r="AX72" s="468"/>
      <c r="AY72" s="468"/>
      <c r="AZ72" s="468"/>
      <c r="BA72" s="468"/>
      <c r="BB72" s="468"/>
      <c r="BC72" s="468"/>
      <c r="BD72" s="468"/>
      <c r="BE72" s="468"/>
      <c r="BF72" s="2135"/>
      <c r="BG72" s="2135"/>
      <c r="BH72" s="2135"/>
      <c r="BI72" s="2135"/>
      <c r="BJ72" s="2135"/>
      <c r="BK72" s="2135"/>
      <c r="BL72" s="2135"/>
      <c r="BM72" s="468"/>
      <c r="BN72" s="468"/>
      <c r="BO72" s="468"/>
      <c r="BP72" s="468"/>
      <c r="BQ72" s="468"/>
      <c r="BR72" s="468"/>
      <c r="BS72" s="468"/>
      <c r="BT72" s="468"/>
      <c r="BU72" s="468"/>
      <c r="BV72" s="468"/>
      <c r="BW72" s="468"/>
      <c r="BX72" s="468"/>
      <c r="BY72" s="2135"/>
      <c r="BZ72" s="2135"/>
      <c r="CA72" s="2135"/>
      <c r="CB72" s="2135"/>
      <c r="CC72" s="2135"/>
      <c r="CD72" s="2135"/>
      <c r="CE72" s="2135"/>
      <c r="CF72" s="2135"/>
      <c r="CG72" s="2135"/>
      <c r="CH72" s="468"/>
      <c r="CI72" s="468"/>
      <c r="CJ72" s="468"/>
      <c r="CK72" s="468"/>
      <c r="CL72" s="468"/>
      <c r="CM72" s="468"/>
      <c r="CN72" s="468"/>
      <c r="CO72" s="468"/>
      <c r="CP72" s="468"/>
      <c r="CQ72" s="468"/>
      <c r="CR72" s="468"/>
      <c r="CS72" s="468"/>
      <c r="CT72" s="468"/>
      <c r="CU72" s="468"/>
      <c r="CV72" s="468"/>
      <c r="CW72" s="468"/>
      <c r="CX72" s="468"/>
      <c r="CY72" s="468"/>
      <c r="CZ72" s="468"/>
      <c r="DA72" s="468"/>
      <c r="DB72" s="468"/>
      <c r="DC72" s="468"/>
      <c r="DD72" s="468"/>
      <c r="DE72" s="468"/>
      <c r="DF72" s="468"/>
      <c r="DG72" s="468"/>
      <c r="DH72" s="468"/>
      <c r="DI72" s="468"/>
      <c r="DJ72" s="468"/>
      <c r="DK72" s="468"/>
      <c r="DL72" s="468"/>
      <c r="DM72" s="468"/>
      <c r="DN72" s="468"/>
      <c r="DO72" s="468"/>
      <c r="DP72" s="468"/>
      <c r="DQ72" s="468"/>
      <c r="DR72" s="468"/>
      <c r="DS72" s="468"/>
      <c r="DT72" s="468"/>
      <c r="DU72" s="468"/>
      <c r="DV72" s="468"/>
      <c r="DW72" s="468"/>
      <c r="DX72" s="468"/>
      <c r="DY72" s="468"/>
      <c r="DZ72" s="468"/>
      <c r="EA72" s="468"/>
      <c r="EB72" s="468"/>
      <c r="EC72" s="468"/>
      <c r="ED72" s="468"/>
      <c r="EE72" s="468"/>
      <c r="EF72" s="468"/>
      <c r="EG72" s="468"/>
      <c r="EH72" s="468"/>
      <c r="EI72" s="471"/>
      <c r="EJ72" s="468"/>
      <c r="EK72" s="468"/>
      <c r="EL72" s="468"/>
      <c r="EM72" s="468"/>
      <c r="EN72" s="468"/>
      <c r="EO72" s="468"/>
      <c r="EP72" s="468"/>
      <c r="EQ72" s="468"/>
      <c r="ER72" s="468"/>
      <c r="ES72" s="468"/>
      <c r="ET72" s="468"/>
      <c r="EU72" s="468"/>
      <c r="EV72" s="468"/>
      <c r="EW72" s="468"/>
      <c r="EX72" s="468"/>
      <c r="EY72" s="468"/>
      <c r="EZ72" s="468"/>
      <c r="FA72" s="468"/>
      <c r="FB72" s="468"/>
      <c r="FC72" s="468"/>
      <c r="FD72" s="468"/>
      <c r="FE72" s="468"/>
      <c r="FF72" s="468"/>
      <c r="FG72" s="468"/>
      <c r="FH72" s="468"/>
      <c r="FI72" s="468"/>
      <c r="FJ72" s="468"/>
      <c r="FK72" s="468"/>
      <c r="FL72" s="468"/>
      <c r="FM72" s="2137"/>
      <c r="FN72" s="468"/>
      <c r="FO72" s="468"/>
      <c r="FP72" s="468"/>
      <c r="FQ72" s="468"/>
      <c r="FR72" s="468"/>
      <c r="FS72" s="468"/>
      <c r="FT72" s="468"/>
      <c r="FU72" s="468"/>
      <c r="FV72" s="468"/>
      <c r="FW72" s="468"/>
      <c r="FX72" s="468"/>
      <c r="FY72" s="468"/>
      <c r="FZ72" s="468"/>
      <c r="GA72" s="468"/>
      <c r="GB72" s="468"/>
      <c r="GC72" s="468"/>
      <c r="GD72" s="468"/>
      <c r="GE72" s="468"/>
      <c r="GF72" s="468"/>
      <c r="GG72" s="468"/>
      <c r="GH72" s="468"/>
      <c r="GI72" s="468"/>
      <c r="GJ72" s="468"/>
      <c r="GK72" s="468"/>
      <c r="GL72" s="468"/>
      <c r="GM72" s="468"/>
      <c r="GN72" s="468"/>
      <c r="GO72" s="468"/>
      <c r="GP72" s="468"/>
      <c r="GQ72" s="468"/>
      <c r="GR72" s="468"/>
      <c r="GS72" s="468"/>
      <c r="GT72" s="468"/>
      <c r="GU72" s="2135"/>
    </row>
    <row r="73" spans="1:214" ht="18.899999999999999" customHeight="1">
      <c r="A73" s="2135"/>
      <c r="B73" s="2135"/>
      <c r="C73" s="2136"/>
      <c r="D73" s="468"/>
      <c r="E73" s="468"/>
      <c r="F73" s="468"/>
      <c r="G73" s="468"/>
      <c r="H73" s="468"/>
      <c r="I73" s="468"/>
      <c r="J73" s="468"/>
      <c r="K73" s="468"/>
      <c r="L73" s="468"/>
      <c r="M73" s="468"/>
      <c r="N73" s="468"/>
      <c r="O73" s="468"/>
      <c r="P73" s="468"/>
      <c r="Q73" s="468"/>
      <c r="R73" s="468"/>
      <c r="S73" s="468"/>
      <c r="T73" s="468"/>
      <c r="U73" s="468"/>
      <c r="V73" s="468"/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468"/>
      <c r="AI73" s="468"/>
      <c r="AJ73" s="468"/>
      <c r="AK73" s="468"/>
      <c r="AL73" s="468"/>
      <c r="AM73" s="468"/>
      <c r="AN73" s="468"/>
      <c r="AO73" s="468"/>
      <c r="AP73" s="468"/>
      <c r="AQ73" s="468"/>
      <c r="AR73" s="468"/>
      <c r="AS73" s="468"/>
      <c r="AT73" s="468"/>
      <c r="AU73" s="468"/>
      <c r="AV73" s="468"/>
      <c r="AW73" s="468"/>
      <c r="AX73" s="468"/>
      <c r="AY73" s="468"/>
      <c r="AZ73" s="468"/>
      <c r="BA73" s="468"/>
      <c r="BB73" s="468"/>
      <c r="BC73" s="468"/>
      <c r="BD73" s="468"/>
      <c r="BE73" s="468"/>
      <c r="BF73" s="2135"/>
      <c r="BG73" s="2135"/>
      <c r="BH73" s="2135"/>
      <c r="BI73" s="2135"/>
      <c r="BJ73" s="2135"/>
      <c r="BK73" s="2135"/>
      <c r="BL73" s="2135"/>
      <c r="BM73" s="468"/>
      <c r="BN73" s="468"/>
      <c r="BO73" s="468"/>
      <c r="BP73" s="468"/>
      <c r="BQ73" s="468"/>
      <c r="BR73" s="468"/>
      <c r="BS73" s="468"/>
      <c r="BT73" s="468"/>
      <c r="BU73" s="468"/>
      <c r="BV73" s="468"/>
      <c r="BW73" s="468"/>
      <c r="BX73" s="468"/>
      <c r="BY73" s="2135"/>
      <c r="BZ73" s="2135"/>
      <c r="CA73" s="2135"/>
      <c r="CB73" s="2135"/>
      <c r="CC73" s="2135"/>
      <c r="CD73" s="2135"/>
      <c r="CE73" s="2135"/>
      <c r="CF73" s="2135"/>
      <c r="CG73" s="2135"/>
      <c r="CH73" s="468"/>
      <c r="CI73" s="468"/>
      <c r="CJ73" s="468"/>
      <c r="CK73" s="468"/>
      <c r="CL73" s="468"/>
      <c r="CM73" s="468"/>
      <c r="CN73" s="468"/>
      <c r="CO73" s="468"/>
      <c r="CP73" s="468"/>
      <c r="CQ73" s="468"/>
      <c r="CR73" s="468"/>
      <c r="CS73" s="468"/>
      <c r="CT73" s="468"/>
      <c r="CU73" s="468"/>
      <c r="CV73" s="468"/>
      <c r="CW73" s="468"/>
      <c r="CX73" s="468"/>
      <c r="CY73" s="468"/>
      <c r="CZ73" s="468"/>
      <c r="DA73" s="468"/>
      <c r="DB73" s="468"/>
      <c r="DC73" s="468"/>
      <c r="DD73" s="468"/>
      <c r="DE73" s="468"/>
      <c r="DF73" s="468"/>
      <c r="DG73" s="468"/>
      <c r="DH73" s="468"/>
      <c r="DI73" s="468"/>
      <c r="DJ73" s="468"/>
      <c r="DK73" s="468"/>
      <c r="DL73" s="468"/>
      <c r="DM73" s="468"/>
      <c r="DN73" s="468"/>
      <c r="DO73" s="468"/>
      <c r="DP73" s="468"/>
      <c r="DQ73" s="468"/>
      <c r="DR73" s="468"/>
      <c r="DS73" s="468"/>
      <c r="DT73" s="468"/>
      <c r="DU73" s="468"/>
      <c r="DV73" s="468"/>
      <c r="DW73" s="468"/>
      <c r="DX73" s="468"/>
      <c r="DY73" s="468"/>
      <c r="DZ73" s="468"/>
      <c r="EA73" s="468"/>
      <c r="EB73" s="468"/>
      <c r="EC73" s="468"/>
      <c r="ED73" s="468"/>
      <c r="EE73" s="468"/>
      <c r="EF73" s="468"/>
      <c r="EG73" s="468"/>
      <c r="EH73" s="468"/>
      <c r="EI73" s="471"/>
      <c r="EJ73" s="468"/>
      <c r="EK73" s="468"/>
      <c r="EL73" s="468"/>
      <c r="EM73" s="468"/>
      <c r="EN73" s="468"/>
      <c r="EO73" s="468"/>
      <c r="EP73" s="468"/>
      <c r="EQ73" s="468"/>
      <c r="ER73" s="468"/>
      <c r="ES73" s="468"/>
      <c r="ET73" s="468"/>
      <c r="EU73" s="468"/>
      <c r="EV73" s="468"/>
      <c r="EW73" s="468"/>
      <c r="EX73" s="468"/>
      <c r="EY73" s="468"/>
      <c r="EZ73" s="468"/>
      <c r="FA73" s="468"/>
      <c r="FB73" s="468"/>
      <c r="FC73" s="468"/>
      <c r="FD73" s="468"/>
      <c r="FE73" s="468"/>
      <c r="FF73" s="468"/>
      <c r="FG73" s="468"/>
      <c r="FH73" s="468"/>
      <c r="FI73" s="468"/>
      <c r="FJ73" s="468"/>
      <c r="FK73" s="468"/>
      <c r="FL73" s="468"/>
      <c r="FM73" s="2137"/>
      <c r="FN73" s="468"/>
      <c r="FO73" s="468"/>
      <c r="FP73" s="468"/>
      <c r="FQ73" s="468"/>
      <c r="FR73" s="468"/>
      <c r="FS73" s="468"/>
      <c r="FT73" s="468"/>
      <c r="FU73" s="468"/>
      <c r="FV73" s="468"/>
      <c r="FW73" s="468"/>
      <c r="FX73" s="468"/>
      <c r="FY73" s="468"/>
      <c r="FZ73" s="468"/>
      <c r="GA73" s="468"/>
      <c r="GB73" s="468"/>
      <c r="GC73" s="468"/>
      <c r="GD73" s="468"/>
      <c r="GE73" s="468"/>
      <c r="GF73" s="468"/>
      <c r="GG73" s="468"/>
      <c r="GH73" s="468"/>
      <c r="GI73" s="468"/>
      <c r="GJ73" s="468"/>
      <c r="GK73" s="468"/>
      <c r="GL73" s="468"/>
      <c r="GM73" s="468"/>
      <c r="GN73" s="468"/>
      <c r="GO73" s="468"/>
      <c r="GP73" s="468"/>
      <c r="GQ73" s="468"/>
      <c r="GR73" s="468"/>
      <c r="GS73" s="468"/>
      <c r="GT73" s="468"/>
      <c r="GU73" s="2135"/>
    </row>
    <row r="74" spans="1:214" ht="18.899999999999999" customHeight="1">
      <c r="A74" s="2135"/>
      <c r="B74" s="2135"/>
      <c r="C74" s="2136"/>
      <c r="D74" s="468"/>
      <c r="E74" s="468"/>
      <c r="F74" s="468"/>
      <c r="G74" s="468"/>
      <c r="H74" s="468"/>
      <c r="I74" s="468"/>
      <c r="J74" s="468"/>
      <c r="K74" s="468"/>
      <c r="L74" s="468"/>
      <c r="M74" s="468"/>
      <c r="N74" s="468"/>
      <c r="O74" s="468"/>
      <c r="P74" s="468"/>
      <c r="Q74" s="468"/>
      <c r="R74" s="468"/>
      <c r="S74" s="468"/>
      <c r="T74" s="468"/>
      <c r="U74" s="468"/>
      <c r="V74" s="468"/>
      <c r="W74" s="468"/>
      <c r="X74" s="468"/>
      <c r="Y74" s="468"/>
      <c r="Z74" s="468"/>
      <c r="AA74" s="468"/>
      <c r="AB74" s="468"/>
      <c r="AC74" s="468"/>
      <c r="AD74" s="468"/>
      <c r="AE74" s="468"/>
      <c r="AF74" s="468"/>
      <c r="AG74" s="468"/>
      <c r="AH74" s="468"/>
      <c r="AI74" s="468"/>
      <c r="AJ74" s="468"/>
      <c r="AK74" s="468"/>
      <c r="AL74" s="468"/>
      <c r="AM74" s="468"/>
      <c r="AN74" s="468"/>
      <c r="AO74" s="468"/>
      <c r="AP74" s="468"/>
      <c r="AQ74" s="468"/>
      <c r="AR74" s="468"/>
      <c r="AS74" s="468"/>
      <c r="AT74" s="468"/>
      <c r="AU74" s="468"/>
      <c r="AV74" s="468"/>
      <c r="AW74" s="468"/>
      <c r="AX74" s="468"/>
      <c r="AY74" s="468"/>
      <c r="AZ74" s="468"/>
      <c r="BA74" s="468"/>
      <c r="BB74" s="468"/>
      <c r="BC74" s="468"/>
      <c r="BD74" s="468"/>
      <c r="BE74" s="468"/>
      <c r="BF74" s="2135"/>
      <c r="BG74" s="2135"/>
      <c r="BH74" s="2135"/>
      <c r="BI74" s="2135"/>
      <c r="BJ74" s="2135"/>
      <c r="BK74" s="2135"/>
      <c r="BL74" s="2135"/>
      <c r="BM74" s="468"/>
      <c r="BN74" s="468"/>
      <c r="BO74" s="468"/>
      <c r="BP74" s="468"/>
      <c r="BQ74" s="468"/>
      <c r="BR74" s="468"/>
      <c r="BS74" s="468"/>
      <c r="BT74" s="468"/>
      <c r="BU74" s="468"/>
      <c r="BV74" s="468"/>
      <c r="BW74" s="468"/>
      <c r="BX74" s="468"/>
      <c r="BY74" s="2135"/>
      <c r="BZ74" s="2135"/>
      <c r="CA74" s="2135"/>
      <c r="CB74" s="2135"/>
      <c r="CC74" s="2135"/>
      <c r="CD74" s="2135"/>
      <c r="CE74" s="2135"/>
      <c r="CF74" s="2135"/>
      <c r="CG74" s="2135"/>
      <c r="CH74" s="468"/>
      <c r="CI74" s="468"/>
      <c r="CJ74" s="468"/>
      <c r="CK74" s="468"/>
      <c r="CL74" s="468"/>
      <c r="CM74" s="468"/>
      <c r="CN74" s="468"/>
      <c r="CO74" s="468"/>
      <c r="CP74" s="468"/>
      <c r="CQ74" s="468"/>
      <c r="CR74" s="468"/>
      <c r="CS74" s="468"/>
      <c r="CT74" s="468"/>
      <c r="CU74" s="468"/>
      <c r="CV74" s="468"/>
      <c r="CW74" s="468"/>
      <c r="CX74" s="468"/>
      <c r="CY74" s="468"/>
      <c r="CZ74" s="468"/>
      <c r="DA74" s="468"/>
      <c r="DB74" s="468"/>
      <c r="DC74" s="468"/>
      <c r="DD74" s="468"/>
      <c r="DE74" s="468"/>
      <c r="DF74" s="468"/>
      <c r="DG74" s="468"/>
      <c r="DH74" s="468"/>
      <c r="DI74" s="468"/>
      <c r="DJ74" s="468"/>
      <c r="DK74" s="468"/>
      <c r="DL74" s="468"/>
      <c r="DM74" s="468"/>
      <c r="DN74" s="468"/>
      <c r="DO74" s="468"/>
      <c r="DP74" s="468"/>
      <c r="DQ74" s="468"/>
      <c r="DR74" s="468"/>
      <c r="DS74" s="468"/>
      <c r="DT74" s="468"/>
      <c r="DU74" s="468"/>
      <c r="DV74" s="468"/>
      <c r="DW74" s="468"/>
      <c r="DX74" s="468"/>
      <c r="DY74" s="468"/>
      <c r="DZ74" s="468"/>
      <c r="EA74" s="468"/>
      <c r="EB74" s="468"/>
      <c r="EC74" s="468"/>
      <c r="ED74" s="468"/>
      <c r="EE74" s="468"/>
      <c r="EF74" s="468"/>
      <c r="EG74" s="468"/>
      <c r="EH74" s="468"/>
      <c r="EI74" s="471"/>
      <c r="EJ74" s="468"/>
      <c r="EK74" s="468"/>
      <c r="EL74" s="468"/>
      <c r="EM74" s="468"/>
      <c r="EN74" s="468"/>
      <c r="EO74" s="468"/>
      <c r="EP74" s="468"/>
      <c r="EQ74" s="468"/>
      <c r="ER74" s="468"/>
      <c r="ES74" s="468"/>
      <c r="ET74" s="468"/>
      <c r="EU74" s="468"/>
      <c r="EV74" s="468"/>
      <c r="EW74" s="468"/>
      <c r="EX74" s="468"/>
      <c r="EY74" s="468"/>
      <c r="EZ74" s="468"/>
      <c r="FA74" s="468"/>
      <c r="FB74" s="468"/>
      <c r="FC74" s="468"/>
      <c r="FD74" s="468"/>
      <c r="FE74" s="468"/>
      <c r="FF74" s="468"/>
      <c r="FG74" s="468"/>
      <c r="FH74" s="468"/>
      <c r="FI74" s="468"/>
      <c r="FJ74" s="468"/>
      <c r="FK74" s="468"/>
      <c r="FL74" s="468"/>
      <c r="FM74" s="2137"/>
      <c r="FN74" s="468"/>
      <c r="FO74" s="468"/>
      <c r="FP74" s="468"/>
      <c r="FQ74" s="468"/>
      <c r="FR74" s="468"/>
      <c r="FS74" s="468"/>
      <c r="FT74" s="468"/>
      <c r="FU74" s="468"/>
      <c r="FV74" s="468"/>
      <c r="FW74" s="468"/>
      <c r="FX74" s="468"/>
      <c r="FY74" s="468"/>
      <c r="FZ74" s="468"/>
      <c r="GA74" s="468"/>
      <c r="GB74" s="468"/>
      <c r="GC74" s="468"/>
      <c r="GD74" s="468"/>
      <c r="GE74" s="468"/>
      <c r="GF74" s="468"/>
      <c r="GG74" s="468"/>
      <c r="GH74" s="468"/>
      <c r="GI74" s="468"/>
      <c r="GJ74" s="468"/>
      <c r="GK74" s="468"/>
      <c r="GL74" s="468"/>
      <c r="GM74" s="468"/>
      <c r="GN74" s="468"/>
      <c r="GO74" s="468"/>
      <c r="GP74" s="468"/>
      <c r="GQ74" s="468"/>
      <c r="GR74" s="468"/>
      <c r="GS74" s="468"/>
      <c r="GT74" s="468"/>
      <c r="GU74" s="2135"/>
    </row>
    <row r="75" spans="1:214" ht="18.899999999999999" customHeight="1">
      <c r="A75" s="2135"/>
      <c r="B75" s="2135"/>
      <c r="C75" s="2136"/>
      <c r="D75" s="468"/>
      <c r="E75" s="468"/>
      <c r="F75" s="468"/>
      <c r="G75" s="468"/>
      <c r="H75" s="468"/>
      <c r="I75" s="468"/>
      <c r="J75" s="468"/>
      <c r="K75" s="468"/>
      <c r="L75" s="468"/>
      <c r="M75" s="468"/>
      <c r="N75" s="468"/>
      <c r="O75" s="468"/>
      <c r="P75" s="468"/>
      <c r="Q75" s="468"/>
      <c r="R75" s="468"/>
      <c r="S75" s="468"/>
      <c r="T75" s="468"/>
      <c r="U75" s="468"/>
      <c r="V75" s="468"/>
      <c r="W75" s="468"/>
      <c r="X75" s="468"/>
      <c r="Y75" s="468"/>
      <c r="Z75" s="468"/>
      <c r="AA75" s="468"/>
      <c r="AB75" s="468"/>
      <c r="AC75" s="468"/>
      <c r="AD75" s="468"/>
      <c r="AE75" s="468"/>
      <c r="AF75" s="468"/>
      <c r="AG75" s="468"/>
      <c r="AH75" s="468"/>
      <c r="AI75" s="468"/>
      <c r="AJ75" s="468"/>
      <c r="AK75" s="468"/>
      <c r="AL75" s="468"/>
      <c r="AM75" s="468"/>
      <c r="AN75" s="468"/>
      <c r="AO75" s="468"/>
      <c r="AP75" s="468"/>
      <c r="AQ75" s="468"/>
      <c r="AR75" s="468"/>
      <c r="AS75" s="468"/>
      <c r="AT75" s="468"/>
      <c r="AU75" s="468"/>
      <c r="AV75" s="468"/>
      <c r="AW75" s="468"/>
      <c r="AX75" s="468"/>
      <c r="AY75" s="468"/>
      <c r="AZ75" s="468"/>
      <c r="BA75" s="468"/>
      <c r="BB75" s="468"/>
      <c r="BC75" s="468"/>
      <c r="BD75" s="468"/>
      <c r="BE75" s="468"/>
      <c r="BF75" s="2135"/>
      <c r="BG75" s="2135"/>
      <c r="BH75" s="2135"/>
      <c r="BI75" s="2135"/>
      <c r="BJ75" s="2135"/>
      <c r="BK75" s="2135"/>
      <c r="BL75" s="2135"/>
      <c r="BM75" s="468"/>
      <c r="BN75" s="468"/>
      <c r="BO75" s="468"/>
      <c r="BP75" s="468"/>
      <c r="BQ75" s="468"/>
      <c r="BR75" s="468"/>
      <c r="BS75" s="468"/>
      <c r="BT75" s="468"/>
      <c r="BU75" s="468"/>
      <c r="BV75" s="468"/>
      <c r="BW75" s="468"/>
      <c r="BX75" s="468"/>
      <c r="BY75" s="2135"/>
      <c r="BZ75" s="2135"/>
      <c r="CA75" s="2135"/>
      <c r="CB75" s="2135"/>
      <c r="CC75" s="2135"/>
      <c r="CD75" s="2135"/>
      <c r="CE75" s="2135"/>
      <c r="CF75" s="2135"/>
      <c r="CG75" s="2135"/>
      <c r="CH75" s="468"/>
      <c r="CI75" s="468"/>
      <c r="CJ75" s="468"/>
      <c r="CK75" s="468"/>
      <c r="CL75" s="468"/>
      <c r="CM75" s="468"/>
      <c r="CN75" s="468"/>
      <c r="CO75" s="468"/>
      <c r="CP75" s="468"/>
      <c r="CQ75" s="468"/>
      <c r="CR75" s="468"/>
      <c r="CS75" s="468"/>
      <c r="CT75" s="468"/>
      <c r="CU75" s="468"/>
      <c r="CV75" s="468"/>
      <c r="CW75" s="468"/>
      <c r="CX75" s="468"/>
      <c r="CY75" s="468"/>
      <c r="CZ75" s="468"/>
      <c r="DA75" s="468"/>
      <c r="DB75" s="468"/>
      <c r="DC75" s="468"/>
      <c r="DD75" s="468"/>
      <c r="DE75" s="468"/>
      <c r="DF75" s="468"/>
      <c r="DG75" s="468"/>
      <c r="DH75" s="468"/>
      <c r="DI75" s="468"/>
      <c r="DJ75" s="468"/>
      <c r="DK75" s="468"/>
      <c r="DL75" s="468"/>
      <c r="DM75" s="468"/>
      <c r="DN75" s="468"/>
      <c r="DO75" s="468"/>
      <c r="DP75" s="468"/>
      <c r="DQ75" s="468"/>
      <c r="DR75" s="468"/>
      <c r="DS75" s="468"/>
      <c r="DT75" s="468"/>
      <c r="DU75" s="468"/>
      <c r="DV75" s="468"/>
      <c r="DW75" s="468"/>
      <c r="DX75" s="468"/>
      <c r="DY75" s="468"/>
      <c r="DZ75" s="468"/>
      <c r="EA75" s="468"/>
      <c r="EB75" s="468"/>
      <c r="EC75" s="468"/>
      <c r="ED75" s="468"/>
      <c r="EE75" s="468"/>
      <c r="EF75" s="468"/>
      <c r="EG75" s="468"/>
      <c r="EH75" s="468"/>
      <c r="EI75" s="471"/>
      <c r="EJ75" s="468"/>
      <c r="EK75" s="468"/>
      <c r="EL75" s="468"/>
      <c r="EM75" s="468"/>
      <c r="EN75" s="468"/>
      <c r="EO75" s="468"/>
      <c r="EP75" s="468"/>
      <c r="EQ75" s="468"/>
      <c r="ER75" s="468"/>
      <c r="ES75" s="468"/>
      <c r="ET75" s="468"/>
      <c r="EU75" s="468"/>
      <c r="EV75" s="468"/>
      <c r="EW75" s="468"/>
      <c r="EX75" s="468"/>
      <c r="EY75" s="468"/>
      <c r="EZ75" s="468"/>
      <c r="FA75" s="468"/>
      <c r="FB75" s="468"/>
      <c r="FC75" s="468"/>
      <c r="FD75" s="468"/>
      <c r="FE75" s="468"/>
      <c r="FF75" s="468"/>
      <c r="FG75" s="468"/>
      <c r="FH75" s="468"/>
      <c r="FI75" s="468"/>
      <c r="FJ75" s="468"/>
      <c r="FK75" s="468"/>
      <c r="FL75" s="468"/>
      <c r="FM75" s="2137"/>
      <c r="FN75" s="468"/>
      <c r="FO75" s="468"/>
      <c r="FP75" s="468"/>
      <c r="FQ75" s="468"/>
      <c r="FR75" s="468"/>
      <c r="FS75" s="468"/>
      <c r="FT75" s="468"/>
      <c r="FU75" s="468"/>
      <c r="FV75" s="468"/>
      <c r="FW75" s="468"/>
      <c r="FX75" s="468"/>
      <c r="FY75" s="468"/>
      <c r="FZ75" s="468"/>
      <c r="GA75" s="468"/>
      <c r="GB75" s="468"/>
      <c r="GC75" s="468"/>
      <c r="GD75" s="468"/>
      <c r="GE75" s="468"/>
      <c r="GF75" s="468"/>
      <c r="GG75" s="468"/>
      <c r="GH75" s="468"/>
      <c r="GI75" s="468"/>
      <c r="GJ75" s="468"/>
      <c r="GK75" s="468"/>
      <c r="GL75" s="468"/>
      <c r="GM75" s="468"/>
      <c r="GN75" s="468"/>
      <c r="GO75" s="468"/>
      <c r="GP75" s="468"/>
      <c r="GQ75" s="468"/>
      <c r="GR75" s="468"/>
      <c r="GS75" s="468"/>
      <c r="GT75" s="468"/>
      <c r="GU75" s="2135"/>
    </row>
    <row r="76" spans="1:214" ht="18.899999999999999" customHeight="1">
      <c r="A76" s="2135"/>
      <c r="B76" s="2135"/>
      <c r="C76" s="2136"/>
      <c r="D76" s="468"/>
      <c r="E76" s="468"/>
      <c r="F76" s="468"/>
      <c r="G76" s="468"/>
      <c r="H76" s="468"/>
      <c r="I76" s="468"/>
      <c r="J76" s="468"/>
      <c r="K76" s="468"/>
      <c r="L76" s="468"/>
      <c r="M76" s="468"/>
      <c r="N76" s="468"/>
      <c r="O76" s="468"/>
      <c r="P76" s="468"/>
      <c r="Q76" s="468"/>
      <c r="R76" s="468"/>
      <c r="S76" s="468"/>
      <c r="T76" s="468"/>
      <c r="U76" s="468"/>
      <c r="V76" s="468"/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2135"/>
      <c r="BG76" s="2135"/>
      <c r="BH76" s="2135"/>
      <c r="BI76" s="2135"/>
      <c r="BJ76" s="2135"/>
      <c r="BK76" s="2135"/>
      <c r="BL76" s="2135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2135"/>
      <c r="BZ76" s="2135"/>
      <c r="CA76" s="2135"/>
      <c r="CB76" s="2135"/>
      <c r="CC76" s="2135"/>
      <c r="CD76" s="2135"/>
      <c r="CE76" s="2135"/>
      <c r="CF76" s="2135"/>
      <c r="CG76" s="2135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71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2137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2135"/>
    </row>
    <row r="77" spans="1:214" ht="18.899999999999999" customHeight="1">
      <c r="A77" s="2135"/>
      <c r="B77" s="2135"/>
      <c r="C77" s="2136"/>
      <c r="D77" s="468"/>
      <c r="E77" s="468"/>
      <c r="F77" s="468"/>
      <c r="G77" s="468"/>
      <c r="H77" s="468"/>
      <c r="I77" s="468"/>
      <c r="J77" s="468"/>
      <c r="K77" s="468"/>
      <c r="L77" s="468"/>
      <c r="M77" s="468"/>
      <c r="N77" s="468"/>
      <c r="O77" s="468"/>
      <c r="P77" s="468"/>
      <c r="Q77" s="468"/>
      <c r="R77" s="468"/>
      <c r="S77" s="468"/>
      <c r="T77" s="468"/>
      <c r="U77" s="468"/>
      <c r="V77" s="468"/>
      <c r="W77" s="468"/>
      <c r="X77" s="468"/>
      <c r="Y77" s="468"/>
      <c r="Z77" s="468"/>
      <c r="AA77" s="468"/>
      <c r="AB77" s="468"/>
      <c r="AC77" s="468"/>
      <c r="AD77" s="468"/>
      <c r="AE77" s="468"/>
      <c r="AF77" s="468"/>
      <c r="AG77" s="468"/>
      <c r="AH77" s="468"/>
      <c r="AI77" s="468"/>
      <c r="AJ77" s="468"/>
      <c r="AK77" s="468"/>
      <c r="AL77" s="468"/>
      <c r="AM77" s="468"/>
      <c r="AN77" s="468"/>
      <c r="AO77" s="468"/>
      <c r="AP77" s="468"/>
      <c r="AQ77" s="468"/>
      <c r="AR77" s="468"/>
      <c r="AS77" s="468"/>
      <c r="AT77" s="468"/>
      <c r="AU77" s="468"/>
      <c r="AV77" s="468"/>
      <c r="AW77" s="468"/>
      <c r="AX77" s="468"/>
      <c r="AY77" s="468"/>
      <c r="AZ77" s="468"/>
      <c r="BA77" s="468"/>
      <c r="BB77" s="468"/>
      <c r="BC77" s="468"/>
      <c r="BD77" s="468"/>
      <c r="BE77" s="468"/>
      <c r="BF77" s="2135"/>
      <c r="BG77" s="2135"/>
      <c r="BH77" s="2135"/>
      <c r="BI77" s="2135"/>
      <c r="BJ77" s="2135"/>
      <c r="BK77" s="2135"/>
      <c r="BL77" s="2135"/>
      <c r="BM77" s="468"/>
      <c r="BN77" s="468"/>
      <c r="BO77" s="468"/>
      <c r="BP77" s="468"/>
      <c r="BQ77" s="468"/>
      <c r="BR77" s="468"/>
      <c r="BS77" s="468"/>
      <c r="BT77" s="468"/>
      <c r="BU77" s="468"/>
      <c r="BV77" s="468"/>
      <c r="BW77" s="468"/>
      <c r="BX77" s="468"/>
      <c r="BY77" s="2135"/>
      <c r="BZ77" s="2135"/>
      <c r="CA77" s="2135"/>
      <c r="CB77" s="2135"/>
      <c r="CC77" s="2135"/>
      <c r="CD77" s="2135"/>
      <c r="CE77" s="2135"/>
      <c r="CF77" s="2135"/>
      <c r="CG77" s="2135"/>
      <c r="CH77" s="468"/>
      <c r="CI77" s="468"/>
      <c r="CJ77" s="468"/>
      <c r="CK77" s="468"/>
      <c r="CL77" s="468"/>
      <c r="CM77" s="468"/>
      <c r="CN77" s="468"/>
      <c r="CO77" s="468"/>
      <c r="CP77" s="468"/>
      <c r="CQ77" s="468"/>
      <c r="CR77" s="468"/>
      <c r="CS77" s="468"/>
      <c r="CT77" s="468"/>
      <c r="CU77" s="468"/>
      <c r="CV77" s="468"/>
      <c r="CW77" s="468"/>
      <c r="CX77" s="468"/>
      <c r="CY77" s="468"/>
      <c r="CZ77" s="468"/>
      <c r="DA77" s="468"/>
      <c r="DB77" s="468"/>
      <c r="DC77" s="468"/>
      <c r="DD77" s="468"/>
      <c r="DE77" s="468"/>
      <c r="DF77" s="468"/>
      <c r="DG77" s="468"/>
      <c r="DH77" s="468"/>
      <c r="DI77" s="468"/>
      <c r="DJ77" s="468"/>
      <c r="DK77" s="468"/>
      <c r="DL77" s="468"/>
      <c r="DM77" s="468"/>
      <c r="DN77" s="468"/>
      <c r="DO77" s="468"/>
      <c r="DP77" s="468"/>
      <c r="DQ77" s="468"/>
      <c r="DR77" s="468"/>
      <c r="DS77" s="468"/>
      <c r="DT77" s="468"/>
      <c r="DU77" s="468"/>
      <c r="DV77" s="468"/>
      <c r="DW77" s="468"/>
      <c r="DX77" s="468"/>
      <c r="DY77" s="468"/>
      <c r="DZ77" s="468"/>
      <c r="EA77" s="468"/>
      <c r="EB77" s="468"/>
      <c r="EC77" s="468"/>
      <c r="ED77" s="468"/>
      <c r="EE77" s="468"/>
      <c r="EF77" s="468"/>
      <c r="EG77" s="468"/>
      <c r="EH77" s="468"/>
      <c r="EI77" s="471"/>
      <c r="EJ77" s="468"/>
      <c r="EK77" s="468"/>
      <c r="EL77" s="468"/>
      <c r="EM77" s="468"/>
      <c r="EN77" s="468"/>
      <c r="EO77" s="468"/>
      <c r="EP77" s="468"/>
      <c r="EQ77" s="468"/>
      <c r="ER77" s="468"/>
      <c r="ES77" s="468"/>
      <c r="ET77" s="468"/>
      <c r="EU77" s="468"/>
      <c r="EV77" s="468"/>
      <c r="EW77" s="468"/>
      <c r="EX77" s="468"/>
      <c r="EY77" s="468"/>
      <c r="EZ77" s="468"/>
      <c r="FA77" s="468"/>
      <c r="FB77" s="468"/>
      <c r="FC77" s="468"/>
      <c r="FD77" s="468"/>
      <c r="FE77" s="468"/>
      <c r="FF77" s="468"/>
      <c r="FG77" s="468"/>
      <c r="FH77" s="468"/>
      <c r="FI77" s="468"/>
      <c r="FJ77" s="468"/>
      <c r="FK77" s="468"/>
      <c r="FL77" s="468"/>
      <c r="FM77" s="2137"/>
      <c r="FN77" s="468"/>
      <c r="FO77" s="468"/>
      <c r="FP77" s="468"/>
      <c r="FQ77" s="468"/>
      <c r="FR77" s="468"/>
      <c r="FS77" s="468"/>
      <c r="FT77" s="468"/>
      <c r="FU77" s="468"/>
      <c r="FV77" s="468"/>
      <c r="FW77" s="468"/>
      <c r="FX77" s="468"/>
      <c r="FY77" s="468"/>
      <c r="FZ77" s="468"/>
      <c r="GA77" s="468"/>
      <c r="GB77" s="468"/>
      <c r="GC77" s="468"/>
      <c r="GD77" s="468"/>
      <c r="GE77" s="468"/>
      <c r="GF77" s="468"/>
      <c r="GG77" s="468"/>
      <c r="GH77" s="468"/>
      <c r="GI77" s="468"/>
      <c r="GJ77" s="468"/>
      <c r="GK77" s="468"/>
      <c r="GL77" s="468"/>
      <c r="GM77" s="468"/>
      <c r="GN77" s="468"/>
      <c r="GO77" s="468"/>
      <c r="GP77" s="468"/>
      <c r="GQ77" s="468"/>
      <c r="GR77" s="468"/>
      <c r="GS77" s="468"/>
      <c r="GT77" s="468"/>
      <c r="GU77" s="2135"/>
    </row>
    <row r="78" spans="1:214" ht="18.899999999999999" customHeight="1">
      <c r="A78" s="2135"/>
      <c r="B78" s="2135"/>
      <c r="C78" s="2136"/>
      <c r="D78" s="468"/>
      <c r="E78" s="468"/>
      <c r="F78" s="468"/>
      <c r="G78" s="468"/>
      <c r="H78" s="468"/>
      <c r="I78" s="468"/>
      <c r="J78" s="468"/>
      <c r="K78" s="468"/>
      <c r="L78" s="468"/>
      <c r="M78" s="468"/>
      <c r="N78" s="468"/>
      <c r="O78" s="468"/>
      <c r="P78" s="468"/>
      <c r="Q78" s="468"/>
      <c r="R78" s="468"/>
      <c r="S78" s="468"/>
      <c r="T78" s="468"/>
      <c r="U78" s="468"/>
      <c r="V78" s="468"/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468"/>
      <c r="AH78" s="468"/>
      <c r="AI78" s="468"/>
      <c r="AJ78" s="468"/>
      <c r="AK78" s="468"/>
      <c r="AL78" s="468"/>
      <c r="AM78" s="468"/>
      <c r="AN78" s="468"/>
      <c r="AO78" s="468"/>
      <c r="AP78" s="468"/>
      <c r="AQ78" s="468"/>
      <c r="AR78" s="468"/>
      <c r="AS78" s="468"/>
      <c r="AT78" s="468"/>
      <c r="AU78" s="468"/>
      <c r="AV78" s="468"/>
      <c r="AW78" s="468"/>
      <c r="AX78" s="468"/>
      <c r="AY78" s="468"/>
      <c r="AZ78" s="468"/>
      <c r="BA78" s="468"/>
      <c r="BB78" s="468"/>
      <c r="BC78" s="468"/>
      <c r="BD78" s="468"/>
      <c r="BE78" s="468"/>
      <c r="BF78" s="2135"/>
      <c r="BG78" s="2135"/>
      <c r="BH78" s="2135"/>
      <c r="BI78" s="2135"/>
      <c r="BJ78" s="2135"/>
      <c r="BK78" s="2135"/>
      <c r="BL78" s="2135"/>
      <c r="BM78" s="468"/>
      <c r="BN78" s="468"/>
      <c r="BO78" s="468"/>
      <c r="BP78" s="468"/>
      <c r="BQ78" s="468"/>
      <c r="BR78" s="468"/>
      <c r="BS78" s="468"/>
      <c r="BT78" s="468"/>
      <c r="BU78" s="468"/>
      <c r="BV78" s="468"/>
      <c r="BW78" s="468"/>
      <c r="BX78" s="468"/>
      <c r="BY78" s="2135"/>
      <c r="BZ78" s="2135"/>
      <c r="CA78" s="2135"/>
      <c r="CB78" s="2135"/>
      <c r="CC78" s="2135"/>
      <c r="CD78" s="2135"/>
      <c r="CE78" s="2135"/>
      <c r="CF78" s="2135"/>
      <c r="CG78" s="2135"/>
      <c r="CH78" s="468"/>
      <c r="CI78" s="468"/>
      <c r="CJ78" s="468"/>
      <c r="CK78" s="468"/>
      <c r="CL78" s="468"/>
      <c r="CM78" s="468"/>
      <c r="CN78" s="468"/>
      <c r="CO78" s="468"/>
      <c r="CP78" s="468"/>
      <c r="CQ78" s="468"/>
      <c r="CR78" s="468"/>
      <c r="CS78" s="468"/>
      <c r="CT78" s="468"/>
      <c r="CU78" s="468"/>
      <c r="CV78" s="468"/>
      <c r="CW78" s="468"/>
      <c r="CX78" s="468"/>
      <c r="CY78" s="468"/>
      <c r="CZ78" s="468"/>
      <c r="DA78" s="468"/>
      <c r="DB78" s="468"/>
      <c r="DC78" s="468"/>
      <c r="DD78" s="468"/>
      <c r="DE78" s="468"/>
      <c r="DF78" s="468"/>
      <c r="DG78" s="468"/>
      <c r="DH78" s="468"/>
      <c r="DI78" s="468"/>
      <c r="DJ78" s="468"/>
      <c r="DK78" s="468"/>
      <c r="DL78" s="468"/>
      <c r="DM78" s="468"/>
      <c r="DN78" s="468"/>
      <c r="DO78" s="468"/>
      <c r="DP78" s="468"/>
      <c r="DQ78" s="468"/>
      <c r="DR78" s="468"/>
      <c r="DS78" s="468"/>
      <c r="DT78" s="468"/>
      <c r="DU78" s="468"/>
      <c r="DV78" s="468"/>
      <c r="DW78" s="468"/>
      <c r="DX78" s="468"/>
      <c r="DY78" s="468"/>
      <c r="DZ78" s="468"/>
      <c r="EA78" s="468"/>
      <c r="EB78" s="468"/>
      <c r="EC78" s="468"/>
      <c r="ED78" s="468"/>
      <c r="EE78" s="468"/>
      <c r="EF78" s="468"/>
      <c r="EG78" s="468"/>
      <c r="EH78" s="468"/>
      <c r="EI78" s="471"/>
      <c r="EJ78" s="468"/>
      <c r="EK78" s="468"/>
      <c r="EL78" s="468"/>
      <c r="EM78" s="468"/>
      <c r="EN78" s="468"/>
      <c r="EO78" s="468"/>
      <c r="EP78" s="468"/>
      <c r="EQ78" s="468"/>
      <c r="ER78" s="468"/>
      <c r="ES78" s="468"/>
      <c r="ET78" s="468"/>
      <c r="EU78" s="468"/>
      <c r="EV78" s="468"/>
      <c r="EW78" s="468"/>
      <c r="EX78" s="468"/>
      <c r="EY78" s="468"/>
      <c r="EZ78" s="468"/>
      <c r="FA78" s="468"/>
      <c r="FB78" s="468"/>
      <c r="FC78" s="468"/>
      <c r="FD78" s="468"/>
      <c r="FE78" s="468"/>
      <c r="FF78" s="468"/>
      <c r="FG78" s="468"/>
      <c r="FH78" s="468"/>
      <c r="FI78" s="468"/>
      <c r="FJ78" s="468"/>
      <c r="FK78" s="468"/>
      <c r="FL78" s="468"/>
      <c r="FM78" s="2137"/>
      <c r="FN78" s="468"/>
      <c r="FO78" s="468"/>
      <c r="FP78" s="468"/>
      <c r="FQ78" s="468"/>
      <c r="FR78" s="468"/>
      <c r="FS78" s="468"/>
      <c r="FT78" s="468"/>
      <c r="FU78" s="468"/>
      <c r="FV78" s="468"/>
      <c r="FW78" s="468"/>
      <c r="FX78" s="468"/>
      <c r="FY78" s="468"/>
      <c r="FZ78" s="468"/>
      <c r="GA78" s="468"/>
      <c r="GB78" s="468"/>
      <c r="GC78" s="468"/>
      <c r="GD78" s="468"/>
      <c r="GE78" s="468"/>
      <c r="GF78" s="468"/>
      <c r="GG78" s="468"/>
      <c r="GH78" s="468"/>
      <c r="GI78" s="468"/>
      <c r="GJ78" s="468"/>
      <c r="GK78" s="468"/>
      <c r="GL78" s="468"/>
      <c r="GM78" s="468"/>
      <c r="GN78" s="468"/>
      <c r="GO78" s="468"/>
      <c r="GP78" s="468"/>
      <c r="GQ78" s="468"/>
      <c r="GR78" s="468"/>
      <c r="GS78" s="468"/>
      <c r="GT78" s="468"/>
      <c r="GU78" s="2135"/>
    </row>
    <row r="79" spans="1:214" ht="18.899999999999999" customHeight="1">
      <c r="A79" s="2135"/>
      <c r="B79" s="2135"/>
      <c r="C79" s="2136"/>
      <c r="D79" s="468"/>
      <c r="E79" s="468"/>
      <c r="F79" s="468"/>
      <c r="G79" s="468"/>
      <c r="H79" s="468"/>
      <c r="I79" s="468"/>
      <c r="J79" s="468"/>
      <c r="K79" s="468"/>
      <c r="L79" s="468"/>
      <c r="M79" s="468"/>
      <c r="N79" s="468"/>
      <c r="O79" s="468"/>
      <c r="P79" s="468"/>
      <c r="Q79" s="468"/>
      <c r="R79" s="468"/>
      <c r="S79" s="468"/>
      <c r="T79" s="468"/>
      <c r="U79" s="468"/>
      <c r="V79" s="468"/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468"/>
      <c r="AH79" s="468"/>
      <c r="AI79" s="468"/>
      <c r="AJ79" s="468"/>
      <c r="AK79" s="468"/>
      <c r="AL79" s="468"/>
      <c r="AM79" s="468"/>
      <c r="AN79" s="468"/>
      <c r="AO79" s="468"/>
      <c r="AP79" s="468"/>
      <c r="AQ79" s="468"/>
      <c r="AR79" s="468"/>
      <c r="AS79" s="468"/>
      <c r="AT79" s="468"/>
      <c r="AU79" s="468"/>
      <c r="AV79" s="468"/>
      <c r="AW79" s="468"/>
      <c r="AX79" s="468"/>
      <c r="AY79" s="468"/>
      <c r="AZ79" s="468"/>
      <c r="BA79" s="468"/>
      <c r="BB79" s="468"/>
      <c r="BC79" s="468"/>
      <c r="BD79" s="468"/>
      <c r="BE79" s="468"/>
      <c r="BF79" s="2135"/>
      <c r="BG79" s="2135"/>
      <c r="BH79" s="2135"/>
      <c r="BI79" s="2135"/>
      <c r="BJ79" s="2135"/>
      <c r="BK79" s="2135"/>
      <c r="BL79" s="2135"/>
      <c r="BM79" s="468"/>
      <c r="BN79" s="468"/>
      <c r="BO79" s="468"/>
      <c r="BP79" s="468"/>
      <c r="BQ79" s="468"/>
      <c r="BR79" s="468"/>
      <c r="BS79" s="468"/>
      <c r="BT79" s="468"/>
      <c r="BU79" s="468"/>
      <c r="BV79" s="468"/>
      <c r="BW79" s="468"/>
      <c r="BX79" s="468"/>
      <c r="BY79" s="2135"/>
      <c r="BZ79" s="2135"/>
      <c r="CA79" s="2135"/>
      <c r="CB79" s="2135"/>
      <c r="CC79" s="2135"/>
      <c r="CD79" s="2135"/>
      <c r="CE79" s="2135"/>
      <c r="CF79" s="2135"/>
      <c r="CG79" s="2135"/>
      <c r="CH79" s="468"/>
      <c r="CI79" s="468"/>
      <c r="CJ79" s="468"/>
      <c r="CK79" s="468"/>
      <c r="CL79" s="468"/>
      <c r="CM79" s="468"/>
      <c r="CN79" s="468"/>
      <c r="CO79" s="468"/>
      <c r="CP79" s="468"/>
      <c r="CQ79" s="468"/>
      <c r="CR79" s="468"/>
      <c r="CS79" s="468"/>
      <c r="CT79" s="468"/>
      <c r="CU79" s="468"/>
      <c r="CV79" s="468"/>
      <c r="CW79" s="468"/>
      <c r="CX79" s="468"/>
      <c r="CY79" s="468"/>
      <c r="CZ79" s="468"/>
      <c r="DA79" s="468"/>
      <c r="DB79" s="468"/>
      <c r="DC79" s="468"/>
      <c r="DD79" s="468"/>
      <c r="DE79" s="468"/>
      <c r="DF79" s="468"/>
      <c r="DG79" s="468"/>
      <c r="DH79" s="468"/>
      <c r="DI79" s="468"/>
      <c r="DJ79" s="468"/>
      <c r="DK79" s="468"/>
      <c r="DL79" s="468"/>
      <c r="DM79" s="468"/>
      <c r="DN79" s="468"/>
      <c r="DO79" s="468"/>
      <c r="DP79" s="468"/>
      <c r="DQ79" s="468"/>
      <c r="DR79" s="468"/>
      <c r="DS79" s="468"/>
      <c r="DT79" s="468"/>
      <c r="DU79" s="468"/>
      <c r="DV79" s="468"/>
      <c r="DW79" s="468"/>
      <c r="DX79" s="468"/>
      <c r="DY79" s="468"/>
      <c r="DZ79" s="468"/>
      <c r="EA79" s="468"/>
      <c r="EB79" s="468"/>
      <c r="EC79" s="468"/>
      <c r="ED79" s="468"/>
      <c r="EE79" s="468"/>
      <c r="EF79" s="468"/>
      <c r="EG79" s="468"/>
      <c r="EH79" s="468"/>
      <c r="EI79" s="471"/>
      <c r="EJ79" s="468"/>
      <c r="EK79" s="468"/>
      <c r="EL79" s="468"/>
      <c r="EM79" s="468"/>
      <c r="EN79" s="468"/>
      <c r="EO79" s="468"/>
      <c r="EP79" s="468"/>
      <c r="EQ79" s="468"/>
      <c r="ER79" s="468"/>
      <c r="ES79" s="468"/>
      <c r="ET79" s="468"/>
      <c r="EU79" s="468"/>
      <c r="EV79" s="468"/>
      <c r="EW79" s="468"/>
      <c r="EX79" s="468"/>
      <c r="EY79" s="468"/>
      <c r="EZ79" s="468"/>
      <c r="FA79" s="468"/>
      <c r="FB79" s="468"/>
      <c r="FC79" s="468"/>
      <c r="FD79" s="468"/>
      <c r="FE79" s="468"/>
      <c r="FF79" s="468"/>
      <c r="FG79" s="468"/>
      <c r="FH79" s="468"/>
      <c r="FI79" s="468"/>
      <c r="FJ79" s="468"/>
      <c r="FK79" s="468"/>
      <c r="FL79" s="468"/>
      <c r="FM79" s="2137"/>
      <c r="FN79" s="468"/>
      <c r="FO79" s="468"/>
      <c r="FP79" s="468"/>
      <c r="FQ79" s="468"/>
      <c r="FR79" s="468"/>
      <c r="FS79" s="468"/>
      <c r="FT79" s="468"/>
      <c r="FU79" s="468"/>
      <c r="FV79" s="468"/>
      <c r="FW79" s="468"/>
      <c r="FX79" s="468"/>
      <c r="FY79" s="468"/>
      <c r="FZ79" s="468"/>
      <c r="GA79" s="468"/>
      <c r="GB79" s="468"/>
      <c r="GC79" s="468"/>
      <c r="GD79" s="468"/>
      <c r="GE79" s="468"/>
      <c r="GF79" s="468"/>
      <c r="GG79" s="468"/>
      <c r="GH79" s="468"/>
      <c r="GI79" s="468"/>
      <c r="GJ79" s="468"/>
      <c r="GK79" s="468"/>
      <c r="GL79" s="468"/>
      <c r="GM79" s="468"/>
      <c r="GN79" s="468"/>
      <c r="GO79" s="468"/>
      <c r="GP79" s="468"/>
      <c r="GQ79" s="468"/>
      <c r="GR79" s="468"/>
      <c r="GS79" s="468"/>
      <c r="GT79" s="468"/>
      <c r="GU79" s="2135"/>
    </row>
    <row r="80" spans="1:214" ht="18.899999999999999" customHeight="1">
      <c r="A80" s="2135"/>
      <c r="B80" s="2135"/>
      <c r="C80" s="2136"/>
      <c r="D80" s="468"/>
      <c r="E80" s="468"/>
      <c r="F80" s="468"/>
      <c r="G80" s="468"/>
      <c r="H80" s="468"/>
      <c r="I80" s="468"/>
      <c r="J80" s="468"/>
      <c r="K80" s="468"/>
      <c r="L80" s="468"/>
      <c r="M80" s="468"/>
      <c r="N80" s="468"/>
      <c r="O80" s="468"/>
      <c r="P80" s="468"/>
      <c r="Q80" s="468"/>
      <c r="R80" s="468"/>
      <c r="S80" s="468"/>
      <c r="T80" s="468"/>
      <c r="U80" s="468"/>
      <c r="V80" s="468"/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468"/>
      <c r="AH80" s="468"/>
      <c r="AI80" s="468"/>
      <c r="AJ80" s="468"/>
      <c r="AK80" s="468"/>
      <c r="AL80" s="468"/>
      <c r="AM80" s="468"/>
      <c r="AN80" s="468"/>
      <c r="AO80" s="468"/>
      <c r="AP80" s="468"/>
      <c r="AQ80" s="468"/>
      <c r="AR80" s="468"/>
      <c r="AS80" s="468"/>
      <c r="AT80" s="468"/>
      <c r="AU80" s="468"/>
      <c r="AV80" s="468"/>
      <c r="AW80" s="468"/>
      <c r="AX80" s="468"/>
      <c r="AY80" s="468"/>
      <c r="AZ80" s="468"/>
      <c r="BA80" s="468"/>
      <c r="BB80" s="468"/>
      <c r="BC80" s="468"/>
      <c r="BD80" s="468"/>
      <c r="BE80" s="468"/>
      <c r="BF80" s="2135"/>
      <c r="BG80" s="2135"/>
      <c r="BH80" s="2135"/>
      <c r="BI80" s="2135"/>
      <c r="BJ80" s="2135"/>
      <c r="BK80" s="2135"/>
      <c r="BL80" s="2135"/>
      <c r="BM80" s="468"/>
      <c r="BN80" s="468"/>
      <c r="BO80" s="468"/>
      <c r="BP80" s="468"/>
      <c r="BQ80" s="468"/>
      <c r="BR80" s="468"/>
      <c r="BS80" s="468"/>
      <c r="BT80" s="468"/>
      <c r="BU80" s="468"/>
      <c r="BV80" s="468"/>
      <c r="BW80" s="468"/>
      <c r="BX80" s="468"/>
      <c r="BY80" s="2135"/>
      <c r="BZ80" s="2135"/>
      <c r="CA80" s="2135"/>
      <c r="CB80" s="2135"/>
      <c r="CC80" s="2135"/>
      <c r="CD80" s="2135"/>
      <c r="CE80" s="2135"/>
      <c r="CF80" s="2135"/>
      <c r="CG80" s="2135"/>
      <c r="CH80" s="468"/>
      <c r="CI80" s="468"/>
      <c r="CJ80" s="468"/>
      <c r="CK80" s="468"/>
      <c r="CL80" s="468"/>
      <c r="CM80" s="468"/>
      <c r="CN80" s="468"/>
      <c r="CO80" s="468"/>
      <c r="CP80" s="468"/>
      <c r="CQ80" s="468"/>
      <c r="CR80" s="468"/>
      <c r="CS80" s="468"/>
      <c r="CT80" s="468"/>
      <c r="CU80" s="468"/>
      <c r="CV80" s="468"/>
      <c r="CW80" s="468"/>
      <c r="CX80" s="468"/>
      <c r="CY80" s="468"/>
      <c r="CZ80" s="468"/>
      <c r="DA80" s="468"/>
      <c r="DB80" s="468"/>
      <c r="DC80" s="468"/>
      <c r="DD80" s="468"/>
      <c r="DE80" s="468"/>
      <c r="DF80" s="468"/>
      <c r="DG80" s="468"/>
      <c r="DH80" s="468"/>
      <c r="DI80" s="468"/>
      <c r="DJ80" s="468"/>
      <c r="DK80" s="468"/>
      <c r="DL80" s="468"/>
      <c r="DM80" s="468"/>
      <c r="DN80" s="468"/>
      <c r="DO80" s="468"/>
      <c r="DP80" s="468"/>
      <c r="DQ80" s="468"/>
      <c r="DR80" s="468"/>
      <c r="DS80" s="468"/>
      <c r="DT80" s="468"/>
      <c r="DU80" s="468"/>
      <c r="DV80" s="468"/>
      <c r="DW80" s="468"/>
      <c r="DX80" s="468"/>
      <c r="DY80" s="468"/>
      <c r="DZ80" s="468"/>
      <c r="EA80" s="468"/>
      <c r="EB80" s="468"/>
      <c r="EC80" s="468"/>
      <c r="ED80" s="468"/>
      <c r="EE80" s="468"/>
      <c r="EF80" s="468"/>
      <c r="EG80" s="468"/>
      <c r="EH80" s="468"/>
      <c r="EI80" s="471"/>
      <c r="EJ80" s="468"/>
      <c r="EK80" s="468"/>
      <c r="EL80" s="468"/>
      <c r="EM80" s="468"/>
      <c r="EN80" s="468"/>
      <c r="EO80" s="468"/>
      <c r="EP80" s="468"/>
      <c r="EQ80" s="468"/>
      <c r="ER80" s="468"/>
      <c r="ES80" s="468"/>
      <c r="ET80" s="468"/>
      <c r="EU80" s="468"/>
      <c r="EV80" s="468"/>
      <c r="EW80" s="468"/>
      <c r="EX80" s="468"/>
      <c r="EY80" s="468"/>
      <c r="EZ80" s="468"/>
      <c r="FA80" s="468"/>
      <c r="FB80" s="468"/>
      <c r="FC80" s="468"/>
      <c r="FD80" s="468"/>
      <c r="FE80" s="468"/>
      <c r="FF80" s="468"/>
      <c r="FG80" s="468"/>
      <c r="FH80" s="468"/>
      <c r="FI80" s="468"/>
      <c r="FJ80" s="468"/>
      <c r="FK80" s="468"/>
      <c r="FL80" s="468"/>
      <c r="FM80" s="2137"/>
      <c r="FN80" s="468"/>
      <c r="FO80" s="468"/>
      <c r="FP80" s="468"/>
      <c r="FQ80" s="468"/>
      <c r="FR80" s="468"/>
      <c r="FS80" s="468"/>
      <c r="FT80" s="468"/>
      <c r="FU80" s="468"/>
      <c r="FV80" s="468"/>
      <c r="FW80" s="468"/>
      <c r="FX80" s="468"/>
      <c r="FY80" s="468"/>
      <c r="FZ80" s="468"/>
      <c r="GA80" s="468"/>
      <c r="GB80" s="468"/>
      <c r="GC80" s="468"/>
      <c r="GD80" s="468"/>
      <c r="GE80" s="468"/>
      <c r="GF80" s="468"/>
      <c r="GG80" s="468"/>
      <c r="GH80" s="468"/>
      <c r="GI80" s="468"/>
      <c r="GJ80" s="468"/>
      <c r="GK80" s="468"/>
      <c r="GL80" s="468"/>
      <c r="GM80" s="468"/>
      <c r="GN80" s="468"/>
      <c r="GO80" s="468"/>
      <c r="GP80" s="468"/>
      <c r="GQ80" s="468"/>
      <c r="GR80" s="468"/>
      <c r="GS80" s="468"/>
      <c r="GT80" s="468"/>
      <c r="GU80" s="2135"/>
    </row>
    <row r="81" spans="1:203" ht="18.899999999999999" customHeight="1">
      <c r="A81" s="2135"/>
      <c r="B81" s="2135"/>
      <c r="C81" s="2136"/>
      <c r="D81" s="468"/>
      <c r="E81" s="468"/>
      <c r="F81" s="468"/>
      <c r="G81" s="468"/>
      <c r="H81" s="468"/>
      <c r="I81" s="468"/>
      <c r="J81" s="468"/>
      <c r="K81" s="468"/>
      <c r="L81" s="468"/>
      <c r="M81" s="468"/>
      <c r="N81" s="468"/>
      <c r="O81" s="468"/>
      <c r="P81" s="468"/>
      <c r="Q81" s="468"/>
      <c r="R81" s="468"/>
      <c r="S81" s="468"/>
      <c r="T81" s="468"/>
      <c r="U81" s="468"/>
      <c r="V81" s="468"/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468"/>
      <c r="AI81" s="468"/>
      <c r="AJ81" s="468"/>
      <c r="AK81" s="468"/>
      <c r="AL81" s="468"/>
      <c r="AM81" s="468"/>
      <c r="AN81" s="468"/>
      <c r="AO81" s="468"/>
      <c r="AP81" s="468"/>
      <c r="AQ81" s="468"/>
      <c r="AR81" s="468"/>
      <c r="AS81" s="468"/>
      <c r="AT81" s="468"/>
      <c r="AU81" s="468"/>
      <c r="AV81" s="468"/>
      <c r="AW81" s="468"/>
      <c r="AX81" s="468"/>
      <c r="AY81" s="468"/>
      <c r="AZ81" s="468"/>
      <c r="BA81" s="468"/>
      <c r="BB81" s="468"/>
      <c r="BC81" s="468"/>
      <c r="BD81" s="468"/>
      <c r="BE81" s="468"/>
      <c r="BF81" s="2135"/>
      <c r="BG81" s="2135"/>
      <c r="BH81" s="2135"/>
      <c r="BI81" s="2135"/>
      <c r="BJ81" s="2135"/>
      <c r="BK81" s="2135"/>
      <c r="BL81" s="2135"/>
      <c r="BM81" s="468"/>
      <c r="BN81" s="468"/>
      <c r="BO81" s="468"/>
      <c r="BP81" s="468"/>
      <c r="BQ81" s="468"/>
      <c r="BR81" s="468"/>
      <c r="BS81" s="468"/>
      <c r="BT81" s="468"/>
      <c r="BU81" s="468"/>
      <c r="BV81" s="468"/>
      <c r="BW81" s="468"/>
      <c r="BX81" s="468"/>
      <c r="BY81" s="2135"/>
      <c r="BZ81" s="2135"/>
      <c r="CA81" s="2135"/>
      <c r="CB81" s="2135"/>
      <c r="CC81" s="2135"/>
      <c r="CD81" s="2135"/>
      <c r="CE81" s="2135"/>
      <c r="CF81" s="2135"/>
      <c r="CG81" s="2135"/>
      <c r="CH81" s="468"/>
      <c r="CI81" s="468"/>
      <c r="CJ81" s="468"/>
      <c r="CK81" s="468"/>
      <c r="CL81" s="468"/>
      <c r="CM81" s="468"/>
      <c r="CN81" s="468"/>
      <c r="CO81" s="468"/>
      <c r="CP81" s="468"/>
      <c r="CQ81" s="468"/>
      <c r="CR81" s="468"/>
      <c r="CS81" s="468"/>
      <c r="CT81" s="468"/>
      <c r="CU81" s="468"/>
      <c r="CV81" s="468"/>
      <c r="CW81" s="468"/>
      <c r="CX81" s="468"/>
      <c r="CY81" s="468"/>
      <c r="CZ81" s="468"/>
      <c r="DA81" s="468"/>
      <c r="DB81" s="468"/>
      <c r="DC81" s="468"/>
      <c r="DD81" s="468"/>
      <c r="DE81" s="468"/>
      <c r="DF81" s="468"/>
      <c r="DG81" s="468"/>
      <c r="DH81" s="468"/>
      <c r="DI81" s="468"/>
      <c r="DJ81" s="468"/>
      <c r="DK81" s="468"/>
      <c r="DL81" s="468"/>
      <c r="DM81" s="468"/>
      <c r="DN81" s="468"/>
      <c r="DO81" s="468"/>
      <c r="DP81" s="468"/>
      <c r="DQ81" s="468"/>
      <c r="DR81" s="468"/>
      <c r="DS81" s="468"/>
      <c r="DT81" s="468"/>
      <c r="DU81" s="468"/>
      <c r="DV81" s="468"/>
      <c r="DW81" s="468"/>
      <c r="DX81" s="468"/>
      <c r="DY81" s="468"/>
      <c r="DZ81" s="468"/>
      <c r="EA81" s="468"/>
      <c r="EB81" s="468"/>
      <c r="EC81" s="468"/>
      <c r="ED81" s="468"/>
      <c r="EE81" s="468"/>
      <c r="EF81" s="468"/>
      <c r="EG81" s="468"/>
      <c r="EH81" s="468"/>
      <c r="EI81" s="471"/>
      <c r="EJ81" s="468"/>
      <c r="EK81" s="468"/>
      <c r="EL81" s="468"/>
      <c r="EM81" s="468"/>
      <c r="EN81" s="468"/>
      <c r="EO81" s="468"/>
      <c r="EP81" s="468"/>
      <c r="EQ81" s="468"/>
      <c r="ER81" s="468"/>
      <c r="ES81" s="468"/>
      <c r="ET81" s="468"/>
      <c r="EU81" s="468"/>
      <c r="EV81" s="468"/>
      <c r="EW81" s="468"/>
      <c r="EX81" s="468"/>
      <c r="EY81" s="468"/>
      <c r="EZ81" s="468"/>
      <c r="FA81" s="468"/>
      <c r="FB81" s="468"/>
      <c r="FC81" s="468"/>
      <c r="FD81" s="468"/>
      <c r="FE81" s="468"/>
      <c r="FF81" s="468"/>
      <c r="FG81" s="468"/>
      <c r="FH81" s="468"/>
      <c r="FI81" s="468"/>
      <c r="FJ81" s="468"/>
      <c r="FK81" s="468"/>
      <c r="FL81" s="468"/>
      <c r="FM81" s="2137"/>
      <c r="FN81" s="468"/>
      <c r="FO81" s="468"/>
      <c r="FP81" s="468"/>
      <c r="FQ81" s="468"/>
      <c r="FR81" s="468"/>
      <c r="FS81" s="468"/>
      <c r="FT81" s="468"/>
      <c r="FU81" s="468"/>
      <c r="FV81" s="468"/>
      <c r="FW81" s="468"/>
      <c r="FX81" s="468"/>
      <c r="FY81" s="468"/>
      <c r="FZ81" s="468"/>
      <c r="GA81" s="468"/>
      <c r="GB81" s="468"/>
      <c r="GC81" s="468"/>
      <c r="GD81" s="468"/>
      <c r="GE81" s="468"/>
      <c r="GF81" s="468"/>
      <c r="GG81" s="468"/>
      <c r="GH81" s="468"/>
      <c r="GI81" s="468"/>
      <c r="GJ81" s="468"/>
      <c r="GK81" s="468"/>
      <c r="GL81" s="468"/>
      <c r="GM81" s="468"/>
      <c r="GN81" s="468"/>
      <c r="GO81" s="468"/>
      <c r="GP81" s="468"/>
      <c r="GQ81" s="468"/>
      <c r="GR81" s="468"/>
      <c r="GS81" s="468"/>
      <c r="GT81" s="468"/>
      <c r="GU81" s="2135"/>
    </row>
    <row r="82" spans="1:203" ht="18.899999999999999" customHeight="1">
      <c r="A82" s="2135"/>
      <c r="B82" s="2135"/>
      <c r="C82" s="2136"/>
      <c r="D82" s="468"/>
      <c r="E82" s="468"/>
      <c r="F82" s="468"/>
      <c r="G82" s="468"/>
      <c r="H82" s="468"/>
      <c r="I82" s="468"/>
      <c r="J82" s="468"/>
      <c r="K82" s="468"/>
      <c r="L82" s="468"/>
      <c r="M82" s="468"/>
      <c r="N82" s="468"/>
      <c r="O82" s="468"/>
      <c r="P82" s="468"/>
      <c r="Q82" s="468"/>
      <c r="R82" s="468"/>
      <c r="S82" s="468"/>
      <c r="T82" s="468"/>
      <c r="U82" s="468"/>
      <c r="V82" s="468"/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468"/>
      <c r="AI82" s="468"/>
      <c r="AJ82" s="468"/>
      <c r="AK82" s="468"/>
      <c r="AL82" s="468"/>
      <c r="AM82" s="468"/>
      <c r="AN82" s="468"/>
      <c r="AO82" s="468"/>
      <c r="AP82" s="468"/>
      <c r="AQ82" s="468"/>
      <c r="AR82" s="468"/>
      <c r="AS82" s="468"/>
      <c r="AT82" s="468"/>
      <c r="AU82" s="468"/>
      <c r="AV82" s="468"/>
      <c r="AW82" s="468"/>
      <c r="AX82" s="468"/>
      <c r="AY82" s="468"/>
      <c r="AZ82" s="468"/>
      <c r="BA82" s="468"/>
      <c r="BB82" s="468"/>
      <c r="BC82" s="468"/>
      <c r="BD82" s="468"/>
      <c r="BE82" s="468"/>
      <c r="BF82" s="2135"/>
      <c r="BG82" s="2135"/>
      <c r="BH82" s="2135"/>
      <c r="BI82" s="2135"/>
      <c r="BJ82" s="2135"/>
      <c r="BK82" s="2135"/>
      <c r="BL82" s="2135"/>
      <c r="BM82" s="468"/>
      <c r="BN82" s="468"/>
      <c r="BO82" s="468"/>
      <c r="BP82" s="468"/>
      <c r="BQ82" s="468"/>
      <c r="BR82" s="468"/>
      <c r="BS82" s="468"/>
      <c r="BT82" s="468"/>
      <c r="BU82" s="468"/>
      <c r="BV82" s="468"/>
      <c r="BW82" s="468"/>
      <c r="BX82" s="468"/>
      <c r="BY82" s="2135"/>
      <c r="BZ82" s="2135"/>
      <c r="CA82" s="2135"/>
      <c r="CB82" s="2135"/>
      <c r="CC82" s="2135"/>
      <c r="CD82" s="2135"/>
      <c r="CE82" s="2135"/>
      <c r="CF82" s="2135"/>
      <c r="CG82" s="2135"/>
      <c r="CH82" s="468"/>
      <c r="CI82" s="468"/>
      <c r="CJ82" s="468"/>
      <c r="CK82" s="468"/>
      <c r="CL82" s="468"/>
      <c r="CM82" s="468"/>
      <c r="CN82" s="468"/>
      <c r="CO82" s="468"/>
      <c r="CP82" s="468"/>
      <c r="CQ82" s="468"/>
      <c r="CR82" s="468"/>
      <c r="CS82" s="468"/>
      <c r="CT82" s="468"/>
      <c r="CU82" s="468"/>
      <c r="CV82" s="468"/>
      <c r="CW82" s="468"/>
      <c r="CX82" s="468"/>
      <c r="CY82" s="468"/>
      <c r="CZ82" s="468"/>
      <c r="DA82" s="468"/>
      <c r="DB82" s="468"/>
      <c r="DC82" s="468"/>
      <c r="DD82" s="468"/>
      <c r="DE82" s="468"/>
      <c r="DF82" s="468"/>
      <c r="DG82" s="468"/>
      <c r="DH82" s="468"/>
      <c r="DI82" s="468"/>
      <c r="DJ82" s="468"/>
      <c r="DK82" s="468"/>
      <c r="DL82" s="468"/>
      <c r="DM82" s="468"/>
      <c r="DN82" s="468"/>
      <c r="DO82" s="468"/>
      <c r="DP82" s="468"/>
      <c r="DQ82" s="468"/>
      <c r="DR82" s="468"/>
      <c r="DS82" s="468"/>
      <c r="DT82" s="468"/>
      <c r="DU82" s="468"/>
      <c r="DV82" s="468"/>
      <c r="DW82" s="468"/>
      <c r="DX82" s="468"/>
      <c r="DY82" s="468"/>
      <c r="DZ82" s="468"/>
      <c r="EA82" s="468"/>
      <c r="EB82" s="468"/>
      <c r="EC82" s="468"/>
      <c r="ED82" s="468"/>
      <c r="EE82" s="468"/>
      <c r="EF82" s="468"/>
      <c r="EG82" s="468"/>
      <c r="EH82" s="468"/>
      <c r="EI82" s="471"/>
      <c r="EJ82" s="468"/>
      <c r="EK82" s="468"/>
      <c r="EL82" s="468"/>
      <c r="EM82" s="468"/>
      <c r="EN82" s="468"/>
      <c r="EO82" s="468"/>
      <c r="EP82" s="468"/>
      <c r="EQ82" s="468"/>
      <c r="ER82" s="468"/>
      <c r="ES82" s="468"/>
      <c r="ET82" s="468"/>
      <c r="EU82" s="468"/>
      <c r="EV82" s="468"/>
      <c r="EW82" s="468"/>
      <c r="EX82" s="468"/>
      <c r="EY82" s="468"/>
      <c r="EZ82" s="468"/>
      <c r="FA82" s="468"/>
      <c r="FB82" s="468"/>
      <c r="FC82" s="468"/>
      <c r="FD82" s="468"/>
      <c r="FE82" s="468"/>
      <c r="FF82" s="468"/>
      <c r="FG82" s="468"/>
      <c r="FH82" s="468"/>
      <c r="FI82" s="468"/>
      <c r="FJ82" s="468"/>
      <c r="FK82" s="468"/>
      <c r="FL82" s="468"/>
      <c r="FM82" s="2137"/>
      <c r="FN82" s="468"/>
      <c r="FO82" s="468"/>
      <c r="FP82" s="468"/>
      <c r="FQ82" s="468"/>
      <c r="FR82" s="468"/>
      <c r="FS82" s="468"/>
      <c r="FT82" s="468"/>
      <c r="FU82" s="468"/>
      <c r="FV82" s="468"/>
      <c r="FW82" s="468"/>
      <c r="FX82" s="468"/>
      <c r="FY82" s="468"/>
      <c r="FZ82" s="468"/>
      <c r="GA82" s="468"/>
      <c r="GB82" s="468"/>
      <c r="GC82" s="468"/>
      <c r="GD82" s="468"/>
      <c r="GE82" s="468"/>
      <c r="GF82" s="468"/>
      <c r="GG82" s="468"/>
      <c r="GH82" s="468"/>
      <c r="GI82" s="468"/>
      <c r="GJ82" s="468"/>
      <c r="GK82" s="468"/>
      <c r="GL82" s="468"/>
      <c r="GM82" s="468"/>
      <c r="GN82" s="468"/>
      <c r="GO82" s="468"/>
      <c r="GP82" s="468"/>
      <c r="GQ82" s="468"/>
      <c r="GR82" s="468"/>
      <c r="GS82" s="468"/>
      <c r="GT82" s="468"/>
      <c r="GU82" s="2135"/>
    </row>
    <row r="83" spans="1:203" ht="18.899999999999999" customHeight="1">
      <c r="A83" s="2135"/>
      <c r="B83" s="2135"/>
      <c r="C83" s="2136"/>
      <c r="D83" s="468"/>
      <c r="E83" s="468"/>
      <c r="F83" s="468"/>
      <c r="G83" s="468"/>
      <c r="H83" s="468"/>
      <c r="I83" s="468"/>
      <c r="J83" s="468"/>
      <c r="K83" s="468"/>
      <c r="L83" s="468"/>
      <c r="M83" s="468"/>
      <c r="N83" s="468"/>
      <c r="O83" s="468"/>
      <c r="P83" s="468"/>
      <c r="Q83" s="468"/>
      <c r="R83" s="468"/>
      <c r="S83" s="468"/>
      <c r="T83" s="468"/>
      <c r="U83" s="468"/>
      <c r="V83" s="468"/>
      <c r="W83" s="468"/>
      <c r="X83" s="468"/>
      <c r="Y83" s="468"/>
      <c r="Z83" s="468"/>
      <c r="AA83" s="468"/>
      <c r="AB83" s="468"/>
      <c r="AC83" s="468"/>
      <c r="AD83" s="468"/>
      <c r="AE83" s="468"/>
      <c r="AF83" s="468"/>
      <c r="AG83" s="468"/>
      <c r="AH83" s="468"/>
      <c r="AI83" s="468"/>
      <c r="AJ83" s="468"/>
      <c r="AK83" s="468"/>
      <c r="AL83" s="468"/>
      <c r="AM83" s="468"/>
      <c r="AN83" s="468"/>
      <c r="AO83" s="468"/>
      <c r="AP83" s="468"/>
      <c r="AQ83" s="468"/>
      <c r="AR83" s="468"/>
      <c r="AS83" s="468"/>
      <c r="AT83" s="468"/>
      <c r="AU83" s="468"/>
      <c r="AV83" s="468"/>
      <c r="AW83" s="468"/>
      <c r="AX83" s="468"/>
      <c r="AY83" s="468"/>
      <c r="AZ83" s="468"/>
      <c r="BA83" s="468"/>
      <c r="BB83" s="468"/>
      <c r="BC83" s="468"/>
      <c r="BD83" s="468"/>
      <c r="BE83" s="468"/>
      <c r="BF83" s="2135"/>
      <c r="BG83" s="2135"/>
      <c r="BH83" s="2135"/>
      <c r="BI83" s="2135"/>
      <c r="BJ83" s="2135"/>
      <c r="BK83" s="2135"/>
      <c r="BL83" s="2135"/>
      <c r="BM83" s="468"/>
      <c r="BN83" s="468"/>
      <c r="BO83" s="468"/>
      <c r="BP83" s="468"/>
      <c r="BQ83" s="468"/>
      <c r="BR83" s="468"/>
      <c r="BS83" s="468"/>
      <c r="BT83" s="468"/>
      <c r="BU83" s="468"/>
      <c r="BV83" s="468"/>
      <c r="BW83" s="468"/>
      <c r="BX83" s="468"/>
      <c r="BY83" s="2135"/>
      <c r="BZ83" s="2135"/>
      <c r="CA83" s="2135"/>
      <c r="CB83" s="2135"/>
      <c r="CC83" s="2135"/>
      <c r="CD83" s="2135"/>
      <c r="CE83" s="2135"/>
      <c r="CF83" s="2135"/>
      <c r="CG83" s="2135"/>
      <c r="CH83" s="468"/>
      <c r="CI83" s="468"/>
      <c r="CJ83" s="468"/>
      <c r="CK83" s="468"/>
      <c r="CL83" s="468"/>
      <c r="CM83" s="468"/>
      <c r="CN83" s="468"/>
      <c r="CO83" s="468"/>
      <c r="CP83" s="468"/>
      <c r="CQ83" s="468"/>
      <c r="CR83" s="468"/>
      <c r="CS83" s="468"/>
      <c r="CT83" s="468"/>
      <c r="CU83" s="468"/>
      <c r="CV83" s="468"/>
      <c r="CW83" s="468"/>
      <c r="CX83" s="468"/>
      <c r="CY83" s="468"/>
      <c r="CZ83" s="468"/>
      <c r="DA83" s="468"/>
      <c r="DB83" s="468"/>
      <c r="DC83" s="468"/>
      <c r="DD83" s="468"/>
      <c r="DE83" s="468"/>
      <c r="DF83" s="468"/>
      <c r="DG83" s="468"/>
      <c r="DH83" s="468"/>
      <c r="DI83" s="468"/>
      <c r="DJ83" s="468"/>
      <c r="DK83" s="468"/>
      <c r="DL83" s="468"/>
      <c r="DM83" s="468"/>
      <c r="DN83" s="468"/>
      <c r="DO83" s="468"/>
      <c r="DP83" s="468"/>
      <c r="DQ83" s="468"/>
      <c r="DR83" s="468"/>
      <c r="DS83" s="468"/>
      <c r="DT83" s="468"/>
      <c r="DU83" s="468"/>
      <c r="DV83" s="468"/>
      <c r="DW83" s="468"/>
      <c r="DX83" s="468"/>
      <c r="DY83" s="468"/>
      <c r="DZ83" s="468"/>
      <c r="EA83" s="468"/>
      <c r="EB83" s="468"/>
      <c r="EC83" s="468"/>
      <c r="ED83" s="468"/>
      <c r="EE83" s="468"/>
      <c r="EF83" s="468"/>
      <c r="EG83" s="468"/>
      <c r="EH83" s="468"/>
      <c r="EI83" s="471"/>
      <c r="EJ83" s="468"/>
      <c r="EK83" s="468"/>
      <c r="EL83" s="468"/>
      <c r="EM83" s="468"/>
      <c r="EN83" s="468"/>
      <c r="EO83" s="468"/>
      <c r="EP83" s="468"/>
      <c r="EQ83" s="468"/>
      <c r="ER83" s="468"/>
      <c r="ES83" s="468"/>
      <c r="ET83" s="468"/>
      <c r="EU83" s="468"/>
      <c r="EV83" s="468"/>
      <c r="EW83" s="468"/>
      <c r="EX83" s="468"/>
      <c r="EY83" s="468"/>
      <c r="EZ83" s="468"/>
      <c r="FA83" s="468"/>
      <c r="FB83" s="468"/>
      <c r="FC83" s="468"/>
      <c r="FD83" s="468"/>
      <c r="FE83" s="468"/>
      <c r="FF83" s="468"/>
      <c r="FG83" s="468"/>
      <c r="FH83" s="468"/>
      <c r="FI83" s="468"/>
      <c r="FJ83" s="468"/>
      <c r="FK83" s="468"/>
      <c r="FL83" s="468"/>
      <c r="FM83" s="2137"/>
      <c r="FN83" s="468"/>
      <c r="FO83" s="468"/>
      <c r="FP83" s="468"/>
      <c r="FQ83" s="468"/>
      <c r="FR83" s="468"/>
      <c r="FS83" s="468"/>
      <c r="FT83" s="468"/>
      <c r="FU83" s="468"/>
      <c r="FV83" s="468"/>
      <c r="FW83" s="468"/>
      <c r="FX83" s="468"/>
      <c r="FY83" s="468"/>
      <c r="FZ83" s="468"/>
      <c r="GA83" s="468"/>
      <c r="GB83" s="468"/>
      <c r="GC83" s="468"/>
      <c r="GD83" s="468"/>
      <c r="GE83" s="468"/>
      <c r="GF83" s="468"/>
      <c r="GG83" s="468"/>
      <c r="GH83" s="468"/>
      <c r="GI83" s="468"/>
      <c r="GJ83" s="468"/>
      <c r="GK83" s="468"/>
      <c r="GL83" s="468"/>
      <c r="GM83" s="468"/>
      <c r="GN83" s="468"/>
      <c r="GO83" s="468"/>
      <c r="GP83" s="468"/>
      <c r="GQ83" s="468"/>
      <c r="GR83" s="468"/>
      <c r="GS83" s="468"/>
      <c r="GT83" s="468"/>
      <c r="GU83" s="2135"/>
    </row>
    <row r="84" spans="1:203" ht="18.899999999999999" customHeight="1">
      <c r="A84" s="2135"/>
      <c r="B84" s="2135"/>
      <c r="C84" s="2136"/>
      <c r="D84" s="468"/>
      <c r="E84" s="468"/>
      <c r="F84" s="468"/>
      <c r="G84" s="468"/>
      <c r="H84" s="468"/>
      <c r="I84" s="468"/>
      <c r="J84" s="468"/>
      <c r="K84" s="468"/>
      <c r="L84" s="468"/>
      <c r="M84" s="468"/>
      <c r="N84" s="468"/>
      <c r="O84" s="468"/>
      <c r="P84" s="468"/>
      <c r="Q84" s="468"/>
      <c r="R84" s="468"/>
      <c r="S84" s="468"/>
      <c r="T84" s="468"/>
      <c r="U84" s="468"/>
      <c r="V84" s="468"/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468"/>
      <c r="AJ84" s="468"/>
      <c r="AK84" s="468"/>
      <c r="AL84" s="468"/>
      <c r="AM84" s="468"/>
      <c r="AN84" s="468"/>
      <c r="AO84" s="468"/>
      <c r="AP84" s="468"/>
      <c r="AQ84" s="468"/>
      <c r="AR84" s="468"/>
      <c r="AS84" s="468"/>
      <c r="AT84" s="468"/>
      <c r="AU84" s="468"/>
      <c r="AV84" s="468"/>
      <c r="AW84" s="468"/>
      <c r="AX84" s="468"/>
      <c r="AY84" s="468"/>
      <c r="AZ84" s="468"/>
      <c r="BA84" s="468"/>
      <c r="BB84" s="468"/>
      <c r="BC84" s="468"/>
      <c r="BD84" s="468"/>
      <c r="BE84" s="468"/>
      <c r="BF84" s="2135"/>
      <c r="BG84" s="2135"/>
      <c r="BH84" s="2135"/>
      <c r="BI84" s="2135"/>
      <c r="BJ84" s="2135"/>
      <c r="BK84" s="2135"/>
      <c r="BL84" s="2135"/>
      <c r="BM84" s="468"/>
      <c r="BN84" s="468"/>
      <c r="BO84" s="468"/>
      <c r="BP84" s="468"/>
      <c r="BQ84" s="468"/>
      <c r="BR84" s="468"/>
      <c r="BS84" s="468"/>
      <c r="BT84" s="468"/>
      <c r="BU84" s="468"/>
      <c r="BV84" s="468"/>
      <c r="BW84" s="468"/>
      <c r="BX84" s="468"/>
      <c r="BY84" s="2135"/>
      <c r="BZ84" s="2135"/>
      <c r="CA84" s="2135"/>
      <c r="CB84" s="2135"/>
      <c r="CC84" s="2135"/>
      <c r="CD84" s="2135"/>
      <c r="CE84" s="2135"/>
      <c r="CF84" s="2135"/>
      <c r="CG84" s="2135"/>
      <c r="CH84" s="468"/>
      <c r="CI84" s="468"/>
      <c r="CJ84" s="468"/>
      <c r="CK84" s="468"/>
      <c r="CL84" s="468"/>
      <c r="CM84" s="468"/>
      <c r="CN84" s="468"/>
      <c r="CO84" s="468"/>
      <c r="CP84" s="468"/>
      <c r="CQ84" s="468"/>
      <c r="CR84" s="468"/>
      <c r="CS84" s="468"/>
      <c r="CT84" s="468"/>
      <c r="CU84" s="468"/>
      <c r="CV84" s="468"/>
      <c r="CW84" s="468"/>
      <c r="CX84" s="468"/>
      <c r="CY84" s="468"/>
      <c r="CZ84" s="468"/>
      <c r="DA84" s="468"/>
      <c r="DB84" s="468"/>
      <c r="DC84" s="468"/>
      <c r="DD84" s="468"/>
      <c r="DE84" s="468"/>
      <c r="DF84" s="468"/>
      <c r="DG84" s="468"/>
      <c r="DH84" s="468"/>
      <c r="DI84" s="468"/>
      <c r="DJ84" s="468"/>
      <c r="DK84" s="468"/>
      <c r="DL84" s="468"/>
      <c r="DM84" s="468"/>
      <c r="DN84" s="468"/>
      <c r="DO84" s="468"/>
      <c r="DP84" s="468"/>
      <c r="DQ84" s="468"/>
      <c r="DR84" s="468"/>
      <c r="DS84" s="468"/>
      <c r="DT84" s="468"/>
      <c r="DU84" s="468"/>
      <c r="DV84" s="468"/>
      <c r="DW84" s="468"/>
      <c r="DX84" s="468"/>
      <c r="DY84" s="468"/>
      <c r="DZ84" s="468"/>
      <c r="EA84" s="468"/>
      <c r="EB84" s="468"/>
      <c r="EC84" s="468"/>
      <c r="ED84" s="468"/>
      <c r="EE84" s="468"/>
      <c r="EF84" s="468"/>
      <c r="EG84" s="468"/>
      <c r="EH84" s="468"/>
      <c r="EI84" s="471"/>
      <c r="EJ84" s="468"/>
      <c r="EK84" s="468"/>
      <c r="EL84" s="468"/>
      <c r="EM84" s="468"/>
      <c r="EN84" s="468"/>
      <c r="EO84" s="468"/>
      <c r="EP84" s="468"/>
      <c r="EQ84" s="468"/>
      <c r="ER84" s="468"/>
      <c r="ES84" s="468"/>
      <c r="ET84" s="468"/>
      <c r="EU84" s="468"/>
      <c r="EV84" s="468"/>
      <c r="EW84" s="468"/>
      <c r="EX84" s="468"/>
      <c r="EY84" s="468"/>
      <c r="EZ84" s="468"/>
      <c r="FA84" s="468"/>
      <c r="FB84" s="468"/>
      <c r="FC84" s="468"/>
      <c r="FD84" s="468"/>
      <c r="FE84" s="468"/>
      <c r="FF84" s="468"/>
      <c r="FG84" s="468"/>
      <c r="FH84" s="468"/>
      <c r="FI84" s="468"/>
      <c r="FJ84" s="468"/>
      <c r="FK84" s="468"/>
      <c r="FL84" s="468"/>
      <c r="FM84" s="2137"/>
      <c r="FN84" s="468"/>
      <c r="FO84" s="468"/>
      <c r="FP84" s="468"/>
      <c r="FQ84" s="468"/>
      <c r="FR84" s="468"/>
      <c r="FS84" s="468"/>
      <c r="FT84" s="468"/>
      <c r="FU84" s="468"/>
      <c r="FV84" s="468"/>
      <c r="FW84" s="468"/>
      <c r="FX84" s="468"/>
      <c r="FY84" s="468"/>
      <c r="FZ84" s="468"/>
      <c r="GA84" s="468"/>
      <c r="GB84" s="468"/>
      <c r="GC84" s="468"/>
      <c r="GD84" s="468"/>
      <c r="GE84" s="468"/>
      <c r="GF84" s="468"/>
      <c r="GG84" s="468"/>
      <c r="GH84" s="468"/>
      <c r="GI84" s="468"/>
      <c r="GJ84" s="468"/>
      <c r="GK84" s="468"/>
      <c r="GL84" s="468"/>
      <c r="GM84" s="468"/>
      <c r="GN84" s="468"/>
      <c r="GO84" s="468"/>
      <c r="GP84" s="468"/>
      <c r="GQ84" s="468"/>
      <c r="GR84" s="468"/>
      <c r="GS84" s="468"/>
      <c r="GT84" s="468"/>
      <c r="GU84" s="2135"/>
    </row>
    <row r="85" spans="1:203" ht="18.899999999999999" customHeight="1">
      <c r="A85" s="2135"/>
      <c r="B85" s="2135"/>
      <c r="C85" s="2136"/>
      <c r="D85" s="468"/>
      <c r="E85" s="468"/>
      <c r="F85" s="468"/>
      <c r="G85" s="468"/>
      <c r="H85" s="468"/>
      <c r="I85" s="468"/>
      <c r="J85" s="468"/>
      <c r="K85" s="468"/>
      <c r="L85" s="468"/>
      <c r="M85" s="468"/>
      <c r="N85" s="468"/>
      <c r="O85" s="468"/>
      <c r="P85" s="468"/>
      <c r="Q85" s="468"/>
      <c r="R85" s="468"/>
      <c r="S85" s="468"/>
      <c r="T85" s="468"/>
      <c r="U85" s="468"/>
      <c r="V85" s="468"/>
      <c r="W85" s="468"/>
      <c r="X85" s="468"/>
      <c r="Y85" s="468"/>
      <c r="Z85" s="468"/>
      <c r="AA85" s="468"/>
      <c r="AB85" s="468"/>
      <c r="AC85" s="468"/>
      <c r="AD85" s="468"/>
      <c r="AE85" s="468"/>
      <c r="AF85" s="468"/>
      <c r="AG85" s="468"/>
      <c r="AH85" s="468"/>
      <c r="AI85" s="468"/>
      <c r="AJ85" s="468"/>
      <c r="AK85" s="468"/>
      <c r="AL85" s="468"/>
      <c r="AM85" s="468"/>
      <c r="AN85" s="468"/>
      <c r="AO85" s="468"/>
      <c r="AP85" s="468"/>
      <c r="AQ85" s="468"/>
      <c r="AR85" s="468"/>
      <c r="AS85" s="468"/>
      <c r="AT85" s="468"/>
      <c r="AU85" s="468"/>
      <c r="AV85" s="468"/>
      <c r="AW85" s="468"/>
      <c r="AX85" s="468"/>
      <c r="AY85" s="468"/>
      <c r="AZ85" s="468"/>
      <c r="BA85" s="468"/>
      <c r="BB85" s="468"/>
      <c r="BC85" s="468"/>
      <c r="BD85" s="468"/>
      <c r="BE85" s="468"/>
      <c r="BF85" s="2135"/>
      <c r="BG85" s="2135"/>
      <c r="BH85" s="2135"/>
      <c r="BI85" s="2135"/>
      <c r="BJ85" s="2135"/>
      <c r="BK85" s="2135"/>
      <c r="BL85" s="2135"/>
      <c r="BM85" s="468"/>
      <c r="BN85" s="468"/>
      <c r="BO85" s="468"/>
      <c r="BP85" s="468"/>
      <c r="BQ85" s="468"/>
      <c r="BR85" s="468"/>
      <c r="BS85" s="468"/>
      <c r="BT85" s="468"/>
      <c r="BU85" s="468"/>
      <c r="BV85" s="468"/>
      <c r="BW85" s="468"/>
      <c r="BX85" s="468"/>
      <c r="BY85" s="2135"/>
      <c r="BZ85" s="2135"/>
      <c r="CA85" s="2135"/>
      <c r="CB85" s="2135"/>
      <c r="CC85" s="2135"/>
      <c r="CD85" s="2135"/>
      <c r="CE85" s="2135"/>
      <c r="CF85" s="2135"/>
      <c r="CG85" s="2135"/>
      <c r="CH85" s="468"/>
      <c r="CI85" s="468"/>
      <c r="CJ85" s="468"/>
      <c r="CK85" s="468"/>
      <c r="CL85" s="468"/>
      <c r="CM85" s="468"/>
      <c r="CN85" s="468"/>
      <c r="CO85" s="468"/>
      <c r="CP85" s="468"/>
      <c r="CQ85" s="468"/>
      <c r="CR85" s="468"/>
      <c r="CS85" s="468"/>
      <c r="CT85" s="468"/>
      <c r="CU85" s="468"/>
      <c r="CV85" s="468"/>
      <c r="CW85" s="468"/>
      <c r="CX85" s="468"/>
      <c r="CY85" s="468"/>
      <c r="CZ85" s="468"/>
      <c r="DA85" s="468"/>
      <c r="DB85" s="468"/>
      <c r="DC85" s="468"/>
      <c r="DD85" s="468"/>
      <c r="DE85" s="468"/>
      <c r="DF85" s="468"/>
      <c r="DG85" s="468"/>
      <c r="DH85" s="468"/>
      <c r="DI85" s="468"/>
      <c r="DJ85" s="468"/>
      <c r="DK85" s="468"/>
      <c r="DL85" s="468"/>
      <c r="DM85" s="468"/>
      <c r="DN85" s="468"/>
      <c r="DO85" s="468"/>
      <c r="DP85" s="468"/>
      <c r="DQ85" s="468"/>
      <c r="DR85" s="468"/>
      <c r="DS85" s="468"/>
      <c r="DT85" s="468"/>
      <c r="DU85" s="468"/>
      <c r="DV85" s="468"/>
      <c r="DW85" s="468"/>
      <c r="DX85" s="468"/>
      <c r="DY85" s="468"/>
      <c r="DZ85" s="468"/>
      <c r="EA85" s="468"/>
      <c r="EB85" s="468"/>
      <c r="EC85" s="468"/>
      <c r="ED85" s="468"/>
      <c r="EE85" s="468"/>
      <c r="EF85" s="468"/>
      <c r="EG85" s="468"/>
      <c r="EH85" s="468"/>
      <c r="EI85" s="471"/>
      <c r="EJ85" s="468"/>
      <c r="EK85" s="468"/>
      <c r="EL85" s="468"/>
      <c r="EM85" s="468"/>
      <c r="EN85" s="468"/>
      <c r="EO85" s="468"/>
      <c r="EP85" s="468"/>
      <c r="EQ85" s="468"/>
      <c r="ER85" s="468"/>
      <c r="ES85" s="468"/>
      <c r="ET85" s="468"/>
      <c r="EU85" s="468"/>
      <c r="EV85" s="468"/>
      <c r="EW85" s="468"/>
      <c r="EX85" s="468"/>
      <c r="EY85" s="468"/>
      <c r="EZ85" s="468"/>
      <c r="FA85" s="468"/>
      <c r="FB85" s="468"/>
      <c r="FC85" s="468"/>
      <c r="FD85" s="468"/>
      <c r="FE85" s="468"/>
      <c r="FF85" s="468"/>
      <c r="FG85" s="468"/>
      <c r="FH85" s="468"/>
      <c r="FI85" s="468"/>
      <c r="FJ85" s="468"/>
      <c r="FK85" s="468"/>
      <c r="FL85" s="468"/>
      <c r="FM85" s="2137"/>
      <c r="FN85" s="468"/>
      <c r="FO85" s="468"/>
      <c r="FP85" s="468"/>
      <c r="FQ85" s="468"/>
      <c r="FR85" s="468"/>
      <c r="FS85" s="468"/>
      <c r="FT85" s="468"/>
      <c r="FU85" s="468"/>
      <c r="FV85" s="468"/>
      <c r="FW85" s="468"/>
      <c r="FX85" s="468"/>
      <c r="FY85" s="468"/>
      <c r="FZ85" s="468"/>
      <c r="GA85" s="468"/>
      <c r="GB85" s="468"/>
      <c r="GC85" s="468"/>
      <c r="GD85" s="468"/>
      <c r="GE85" s="468"/>
      <c r="GF85" s="468"/>
      <c r="GG85" s="468"/>
      <c r="GH85" s="468"/>
      <c r="GI85" s="468"/>
      <c r="GJ85" s="468"/>
      <c r="GK85" s="468"/>
      <c r="GL85" s="468"/>
      <c r="GM85" s="468"/>
      <c r="GN85" s="468"/>
      <c r="GO85" s="468"/>
      <c r="GP85" s="468"/>
      <c r="GQ85" s="468"/>
      <c r="GR85" s="468"/>
      <c r="GS85" s="468"/>
      <c r="GT85" s="468"/>
      <c r="GU85" s="2135"/>
    </row>
    <row r="86" spans="1:203" ht="18.899999999999999" customHeight="1">
      <c r="A86" s="2135"/>
      <c r="B86" s="2135"/>
      <c r="C86" s="2136"/>
      <c r="D86" s="468"/>
      <c r="E86" s="468"/>
      <c r="F86" s="468"/>
      <c r="G86" s="468"/>
      <c r="H86" s="468"/>
      <c r="I86" s="468"/>
      <c r="J86" s="468"/>
      <c r="K86" s="468"/>
      <c r="L86" s="468"/>
      <c r="M86" s="468"/>
      <c r="N86" s="468"/>
      <c r="O86" s="468"/>
      <c r="P86" s="468"/>
      <c r="Q86" s="468"/>
      <c r="R86" s="468"/>
      <c r="S86" s="468"/>
      <c r="T86" s="468"/>
      <c r="U86" s="468"/>
      <c r="V86" s="468"/>
      <c r="W86" s="468"/>
      <c r="X86" s="468"/>
      <c r="Y86" s="468"/>
      <c r="Z86" s="468"/>
      <c r="AA86" s="468"/>
      <c r="AB86" s="468"/>
      <c r="AC86" s="468"/>
      <c r="AD86" s="468"/>
      <c r="AE86" s="468"/>
      <c r="AF86" s="468"/>
      <c r="AG86" s="468"/>
      <c r="AH86" s="468"/>
      <c r="AI86" s="468"/>
      <c r="AJ86" s="468"/>
      <c r="AK86" s="468"/>
      <c r="AL86" s="468"/>
      <c r="AM86" s="468"/>
      <c r="AN86" s="468"/>
      <c r="AO86" s="468"/>
      <c r="AP86" s="468"/>
      <c r="AQ86" s="468"/>
      <c r="AR86" s="468"/>
      <c r="AS86" s="468"/>
      <c r="AT86" s="468"/>
      <c r="AU86" s="468"/>
      <c r="AV86" s="468"/>
      <c r="AW86" s="468"/>
      <c r="AX86" s="468"/>
      <c r="AY86" s="468"/>
      <c r="AZ86" s="468"/>
      <c r="BA86" s="468"/>
      <c r="BB86" s="468"/>
      <c r="BC86" s="468"/>
      <c r="BD86" s="468"/>
      <c r="BE86" s="468"/>
      <c r="BF86" s="2135"/>
      <c r="BG86" s="2135"/>
      <c r="BH86" s="2135"/>
      <c r="BI86" s="2135"/>
      <c r="BJ86" s="2135"/>
      <c r="BK86" s="2135"/>
      <c r="BL86" s="2135"/>
      <c r="BM86" s="468"/>
      <c r="BN86" s="468"/>
      <c r="BO86" s="468"/>
      <c r="BP86" s="468"/>
      <c r="BQ86" s="468"/>
      <c r="BR86" s="468"/>
      <c r="BS86" s="468"/>
      <c r="BT86" s="468"/>
      <c r="BU86" s="468"/>
      <c r="BV86" s="468"/>
      <c r="BW86" s="468"/>
      <c r="BX86" s="468"/>
      <c r="BY86" s="2135"/>
      <c r="BZ86" s="2135"/>
      <c r="CA86" s="2135"/>
      <c r="CB86" s="2135"/>
      <c r="CC86" s="2135"/>
      <c r="CD86" s="2135"/>
      <c r="CE86" s="2135"/>
      <c r="CF86" s="2135"/>
      <c r="CG86" s="2135"/>
      <c r="CH86" s="468"/>
      <c r="CI86" s="468"/>
      <c r="CJ86" s="468"/>
      <c r="CK86" s="468"/>
      <c r="CL86" s="468"/>
      <c r="CM86" s="468"/>
      <c r="CN86" s="468"/>
      <c r="CO86" s="468"/>
      <c r="CP86" s="468"/>
      <c r="CQ86" s="468"/>
      <c r="CR86" s="468"/>
      <c r="CS86" s="468"/>
      <c r="CT86" s="468"/>
      <c r="CU86" s="468"/>
      <c r="CV86" s="468"/>
      <c r="CW86" s="468"/>
      <c r="CX86" s="468"/>
      <c r="CY86" s="468"/>
      <c r="CZ86" s="468"/>
      <c r="DA86" s="468"/>
      <c r="DB86" s="468"/>
      <c r="DC86" s="468"/>
      <c r="DD86" s="468"/>
      <c r="DE86" s="468"/>
      <c r="DF86" s="468"/>
      <c r="DG86" s="468"/>
      <c r="DH86" s="468"/>
      <c r="DI86" s="468"/>
      <c r="DJ86" s="468"/>
      <c r="DK86" s="468"/>
      <c r="DL86" s="468"/>
      <c r="DM86" s="468"/>
      <c r="DN86" s="468"/>
      <c r="DO86" s="468"/>
      <c r="DP86" s="468"/>
      <c r="DQ86" s="468"/>
      <c r="DR86" s="468"/>
      <c r="DS86" s="468"/>
      <c r="DT86" s="468"/>
      <c r="DU86" s="468"/>
      <c r="DV86" s="468"/>
      <c r="DW86" s="468"/>
      <c r="DX86" s="468"/>
      <c r="DY86" s="468"/>
      <c r="DZ86" s="468"/>
      <c r="EA86" s="468"/>
      <c r="EB86" s="468"/>
      <c r="EC86" s="468"/>
      <c r="ED86" s="468"/>
      <c r="EE86" s="468"/>
      <c r="EF86" s="468"/>
      <c r="EG86" s="468"/>
      <c r="EH86" s="468"/>
      <c r="EI86" s="471"/>
      <c r="EJ86" s="468"/>
      <c r="EK86" s="468"/>
      <c r="EL86" s="468"/>
      <c r="EM86" s="468"/>
      <c r="EN86" s="468"/>
      <c r="EO86" s="468"/>
      <c r="EP86" s="468"/>
      <c r="EQ86" s="468"/>
      <c r="ER86" s="468"/>
      <c r="ES86" s="468"/>
      <c r="ET86" s="468"/>
      <c r="EU86" s="468"/>
      <c r="EV86" s="468"/>
      <c r="EW86" s="468"/>
      <c r="EX86" s="468"/>
      <c r="EY86" s="468"/>
      <c r="EZ86" s="468"/>
      <c r="FA86" s="468"/>
      <c r="FB86" s="468"/>
      <c r="FC86" s="468"/>
      <c r="FD86" s="468"/>
      <c r="FE86" s="468"/>
      <c r="FF86" s="468"/>
      <c r="FG86" s="468"/>
      <c r="FH86" s="468"/>
      <c r="FI86" s="468"/>
      <c r="FJ86" s="468"/>
      <c r="FK86" s="468"/>
      <c r="FL86" s="468"/>
      <c r="FM86" s="2137"/>
      <c r="FN86" s="468"/>
      <c r="FO86" s="468"/>
      <c r="FP86" s="468"/>
      <c r="FQ86" s="468"/>
      <c r="FR86" s="468"/>
      <c r="FS86" s="468"/>
      <c r="FT86" s="468"/>
      <c r="FU86" s="468"/>
      <c r="FV86" s="468"/>
      <c r="FW86" s="468"/>
      <c r="FX86" s="468"/>
      <c r="FY86" s="468"/>
      <c r="FZ86" s="468"/>
      <c r="GA86" s="468"/>
      <c r="GB86" s="468"/>
      <c r="GC86" s="468"/>
      <c r="GD86" s="468"/>
      <c r="GE86" s="468"/>
      <c r="GF86" s="468"/>
      <c r="GG86" s="468"/>
      <c r="GH86" s="468"/>
      <c r="GI86" s="468"/>
      <c r="GJ86" s="468"/>
      <c r="GK86" s="468"/>
      <c r="GL86" s="468"/>
      <c r="GM86" s="468"/>
      <c r="GN86" s="468"/>
      <c r="GO86" s="468"/>
      <c r="GP86" s="468"/>
      <c r="GQ86" s="468"/>
      <c r="GR86" s="468"/>
      <c r="GS86" s="468"/>
      <c r="GT86" s="468"/>
      <c r="GU86" s="2135"/>
    </row>
    <row r="87" spans="1:203" ht="18.899999999999999" customHeight="1">
      <c r="A87" s="2135"/>
      <c r="B87" s="2135"/>
      <c r="C87" s="2136"/>
      <c r="D87" s="468"/>
      <c r="E87" s="468"/>
      <c r="F87" s="468"/>
      <c r="G87" s="468"/>
      <c r="H87" s="468"/>
      <c r="I87" s="468"/>
      <c r="J87" s="468"/>
      <c r="K87" s="468"/>
      <c r="L87" s="468"/>
      <c r="M87" s="468"/>
      <c r="N87" s="468"/>
      <c r="O87" s="468"/>
      <c r="P87" s="468"/>
      <c r="Q87" s="468"/>
      <c r="R87" s="468"/>
      <c r="S87" s="468"/>
      <c r="T87" s="468"/>
      <c r="U87" s="468"/>
      <c r="V87" s="468"/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68"/>
      <c r="AJ87" s="468"/>
      <c r="AK87" s="468"/>
      <c r="AL87" s="468"/>
      <c r="AM87" s="468"/>
      <c r="AN87" s="468"/>
      <c r="AO87" s="468"/>
      <c r="AP87" s="468"/>
      <c r="AQ87" s="468"/>
      <c r="AR87" s="468"/>
      <c r="AS87" s="468"/>
      <c r="AT87" s="468"/>
      <c r="AU87" s="468"/>
      <c r="AV87" s="468"/>
      <c r="AW87" s="468"/>
      <c r="AX87" s="468"/>
      <c r="AY87" s="468"/>
      <c r="AZ87" s="468"/>
      <c r="BA87" s="468"/>
      <c r="BB87" s="468"/>
      <c r="BC87" s="468"/>
      <c r="BD87" s="468"/>
      <c r="BE87" s="468"/>
      <c r="BF87" s="2135"/>
      <c r="BG87" s="2135"/>
      <c r="BH87" s="2135"/>
      <c r="BI87" s="2135"/>
      <c r="BJ87" s="2135"/>
      <c r="BK87" s="2135"/>
      <c r="BL87" s="2135"/>
      <c r="BM87" s="468"/>
      <c r="BN87" s="468"/>
      <c r="BO87" s="468"/>
      <c r="BP87" s="468"/>
      <c r="BQ87" s="468"/>
      <c r="BR87" s="468"/>
      <c r="BS87" s="468"/>
      <c r="BT87" s="468"/>
      <c r="BU87" s="468"/>
      <c r="BV87" s="468"/>
      <c r="BW87" s="468"/>
      <c r="BX87" s="468"/>
      <c r="BY87" s="2135"/>
      <c r="BZ87" s="2135"/>
      <c r="CA87" s="2135"/>
      <c r="CB87" s="2135"/>
      <c r="CC87" s="2135"/>
      <c r="CD87" s="2135"/>
      <c r="CE87" s="2135"/>
      <c r="CF87" s="2135"/>
      <c r="CG87" s="2135"/>
      <c r="CH87" s="468"/>
      <c r="CI87" s="468"/>
      <c r="CJ87" s="468"/>
      <c r="CK87" s="468"/>
      <c r="CL87" s="468"/>
      <c r="CM87" s="468"/>
      <c r="CN87" s="468"/>
      <c r="CO87" s="468"/>
      <c r="CP87" s="468"/>
      <c r="CQ87" s="468"/>
      <c r="CR87" s="468"/>
      <c r="CS87" s="468"/>
      <c r="CT87" s="468"/>
      <c r="CU87" s="468"/>
      <c r="CV87" s="468"/>
      <c r="CW87" s="468"/>
      <c r="CX87" s="468"/>
      <c r="CY87" s="468"/>
      <c r="CZ87" s="468"/>
      <c r="DA87" s="468"/>
      <c r="DB87" s="468"/>
      <c r="DC87" s="468"/>
      <c r="DD87" s="468"/>
      <c r="DE87" s="468"/>
      <c r="DF87" s="468"/>
      <c r="DG87" s="468"/>
      <c r="DH87" s="468"/>
      <c r="DI87" s="468"/>
      <c r="DJ87" s="468"/>
      <c r="DK87" s="468"/>
      <c r="DL87" s="468"/>
      <c r="DM87" s="468"/>
      <c r="DN87" s="468"/>
      <c r="DO87" s="468"/>
      <c r="DP87" s="468"/>
      <c r="DQ87" s="468"/>
      <c r="DR87" s="468"/>
      <c r="DS87" s="468"/>
      <c r="DT87" s="468"/>
      <c r="DU87" s="468"/>
      <c r="DV87" s="468"/>
      <c r="DW87" s="468"/>
      <c r="DX87" s="468"/>
      <c r="DY87" s="468"/>
      <c r="DZ87" s="468"/>
      <c r="EA87" s="468"/>
      <c r="EB87" s="468"/>
      <c r="EC87" s="468"/>
      <c r="ED87" s="468"/>
      <c r="EE87" s="468"/>
      <c r="EF87" s="468"/>
      <c r="EG87" s="468"/>
      <c r="EH87" s="468"/>
      <c r="EI87" s="471"/>
      <c r="EJ87" s="468"/>
      <c r="EK87" s="468"/>
      <c r="EL87" s="468"/>
      <c r="EM87" s="468"/>
      <c r="EN87" s="468"/>
      <c r="EO87" s="468"/>
      <c r="EP87" s="468"/>
      <c r="EQ87" s="468"/>
      <c r="ER87" s="468"/>
      <c r="ES87" s="468"/>
      <c r="ET87" s="468"/>
      <c r="EU87" s="468"/>
      <c r="EV87" s="468"/>
      <c r="EW87" s="468"/>
      <c r="EX87" s="468"/>
      <c r="EY87" s="468"/>
      <c r="EZ87" s="468"/>
      <c r="FA87" s="468"/>
      <c r="FB87" s="468"/>
      <c r="FC87" s="468"/>
      <c r="FD87" s="468"/>
      <c r="FE87" s="468"/>
      <c r="FF87" s="468"/>
      <c r="FG87" s="468"/>
      <c r="FH87" s="468"/>
      <c r="FI87" s="468"/>
      <c r="FJ87" s="468"/>
      <c r="FK87" s="468"/>
      <c r="FL87" s="468"/>
      <c r="FM87" s="2137"/>
      <c r="FN87" s="468"/>
      <c r="FO87" s="468"/>
      <c r="FP87" s="468"/>
      <c r="FQ87" s="468"/>
      <c r="FR87" s="468"/>
      <c r="FS87" s="468"/>
      <c r="FT87" s="468"/>
      <c r="FU87" s="468"/>
      <c r="FV87" s="468"/>
      <c r="FW87" s="468"/>
      <c r="FX87" s="468"/>
      <c r="FY87" s="468"/>
      <c r="FZ87" s="468"/>
      <c r="GA87" s="468"/>
      <c r="GB87" s="468"/>
      <c r="GC87" s="468"/>
      <c r="GD87" s="468"/>
      <c r="GE87" s="468"/>
      <c r="GF87" s="468"/>
      <c r="GG87" s="468"/>
      <c r="GH87" s="468"/>
      <c r="GI87" s="468"/>
      <c r="GJ87" s="468"/>
      <c r="GK87" s="468"/>
      <c r="GL87" s="468"/>
      <c r="GM87" s="468"/>
      <c r="GN87" s="468"/>
      <c r="GO87" s="468"/>
      <c r="GP87" s="468"/>
      <c r="GQ87" s="468"/>
      <c r="GR87" s="468"/>
      <c r="GS87" s="468"/>
      <c r="GT87" s="468"/>
      <c r="GU87" s="2135"/>
    </row>
    <row r="88" spans="1:203" ht="18.899999999999999" customHeight="1">
      <c r="A88" s="2135"/>
      <c r="B88" s="2135"/>
      <c r="C88" s="2136"/>
      <c r="D88" s="468"/>
      <c r="E88" s="468"/>
      <c r="F88" s="468"/>
      <c r="G88" s="468"/>
      <c r="H88" s="468"/>
      <c r="I88" s="468"/>
      <c r="J88" s="468"/>
      <c r="K88" s="468"/>
      <c r="L88" s="468"/>
      <c r="M88" s="468"/>
      <c r="N88" s="468"/>
      <c r="O88" s="468"/>
      <c r="P88" s="468"/>
      <c r="Q88" s="468"/>
      <c r="R88" s="468"/>
      <c r="S88" s="468"/>
      <c r="T88" s="468"/>
      <c r="U88" s="468"/>
      <c r="V88" s="468"/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68"/>
      <c r="AJ88" s="468"/>
      <c r="AK88" s="468"/>
      <c r="AL88" s="468"/>
      <c r="AM88" s="468"/>
      <c r="AN88" s="468"/>
      <c r="AO88" s="468"/>
      <c r="AP88" s="468"/>
      <c r="AQ88" s="468"/>
      <c r="AR88" s="468"/>
      <c r="AS88" s="468"/>
      <c r="AT88" s="468"/>
      <c r="AU88" s="468"/>
      <c r="AV88" s="468"/>
      <c r="AW88" s="468"/>
      <c r="AX88" s="468"/>
      <c r="AY88" s="468"/>
      <c r="AZ88" s="468"/>
      <c r="BA88" s="468"/>
      <c r="BB88" s="468"/>
      <c r="BC88" s="468"/>
      <c r="BD88" s="468"/>
      <c r="BE88" s="468"/>
      <c r="BF88" s="2135"/>
      <c r="BG88" s="2135"/>
      <c r="BH88" s="2135"/>
      <c r="BI88" s="2135"/>
      <c r="BJ88" s="2135"/>
      <c r="BK88" s="2135"/>
      <c r="BL88" s="2135"/>
      <c r="BM88" s="468"/>
      <c r="BN88" s="468"/>
      <c r="BO88" s="468"/>
      <c r="BP88" s="468"/>
      <c r="BQ88" s="468"/>
      <c r="BR88" s="468"/>
      <c r="BS88" s="468"/>
      <c r="BT88" s="468"/>
      <c r="BU88" s="468"/>
      <c r="BV88" s="468"/>
      <c r="BW88" s="468"/>
      <c r="BX88" s="468"/>
      <c r="BY88" s="2135"/>
      <c r="BZ88" s="2135"/>
      <c r="CA88" s="2135"/>
      <c r="CB88" s="2135"/>
      <c r="CC88" s="2135"/>
      <c r="CD88" s="2135"/>
      <c r="CE88" s="2135"/>
      <c r="CF88" s="2135"/>
      <c r="CG88" s="2135"/>
      <c r="CH88" s="468"/>
      <c r="CI88" s="468"/>
      <c r="CJ88" s="468"/>
      <c r="CK88" s="468"/>
      <c r="CL88" s="468"/>
      <c r="CM88" s="468"/>
      <c r="CN88" s="468"/>
      <c r="CO88" s="468"/>
      <c r="CP88" s="468"/>
      <c r="CQ88" s="468"/>
      <c r="CR88" s="468"/>
      <c r="CS88" s="468"/>
      <c r="CT88" s="468"/>
      <c r="CU88" s="468"/>
      <c r="CV88" s="468"/>
      <c r="CW88" s="468"/>
      <c r="CX88" s="468"/>
      <c r="CY88" s="468"/>
      <c r="CZ88" s="468"/>
      <c r="DA88" s="468"/>
      <c r="DB88" s="468"/>
      <c r="DC88" s="468"/>
      <c r="DD88" s="468"/>
      <c r="DE88" s="468"/>
      <c r="DF88" s="468"/>
      <c r="DG88" s="468"/>
      <c r="DH88" s="468"/>
      <c r="DI88" s="468"/>
      <c r="DJ88" s="468"/>
      <c r="DK88" s="468"/>
      <c r="DL88" s="468"/>
      <c r="DM88" s="468"/>
      <c r="DN88" s="468"/>
      <c r="DO88" s="468"/>
      <c r="DP88" s="468"/>
      <c r="DQ88" s="468"/>
      <c r="DR88" s="468"/>
      <c r="DS88" s="468"/>
      <c r="DT88" s="468"/>
      <c r="DU88" s="468"/>
      <c r="DV88" s="468"/>
      <c r="DW88" s="468"/>
      <c r="DX88" s="468"/>
      <c r="DY88" s="468"/>
      <c r="DZ88" s="468"/>
      <c r="EA88" s="468"/>
      <c r="EB88" s="468"/>
      <c r="EC88" s="468"/>
      <c r="ED88" s="468"/>
      <c r="EE88" s="468"/>
      <c r="EF88" s="468"/>
      <c r="EG88" s="468"/>
      <c r="EH88" s="468"/>
      <c r="EI88" s="471"/>
      <c r="EJ88" s="468"/>
      <c r="EK88" s="468"/>
      <c r="EL88" s="468"/>
      <c r="EM88" s="468"/>
      <c r="EN88" s="468"/>
      <c r="EO88" s="468"/>
      <c r="EP88" s="468"/>
      <c r="EQ88" s="468"/>
      <c r="ER88" s="468"/>
      <c r="ES88" s="468"/>
      <c r="ET88" s="468"/>
      <c r="EU88" s="468"/>
      <c r="EV88" s="468"/>
      <c r="EW88" s="468"/>
      <c r="EX88" s="468"/>
      <c r="EY88" s="468"/>
      <c r="EZ88" s="468"/>
      <c r="FA88" s="468"/>
      <c r="FB88" s="468"/>
      <c r="FC88" s="468"/>
      <c r="FD88" s="468"/>
      <c r="FE88" s="468"/>
      <c r="FF88" s="468"/>
      <c r="FG88" s="468"/>
      <c r="FH88" s="468"/>
      <c r="FI88" s="468"/>
      <c r="FJ88" s="468"/>
      <c r="FK88" s="468"/>
      <c r="FL88" s="468"/>
      <c r="FM88" s="2137"/>
      <c r="FN88" s="468"/>
      <c r="FO88" s="468"/>
      <c r="FP88" s="468"/>
      <c r="FQ88" s="468"/>
      <c r="FR88" s="468"/>
      <c r="FS88" s="468"/>
      <c r="FT88" s="468"/>
      <c r="FU88" s="468"/>
      <c r="FV88" s="468"/>
      <c r="FW88" s="468"/>
      <c r="FX88" s="468"/>
      <c r="FY88" s="468"/>
      <c r="FZ88" s="468"/>
      <c r="GA88" s="468"/>
      <c r="GB88" s="468"/>
      <c r="GC88" s="468"/>
      <c r="GD88" s="468"/>
      <c r="GE88" s="468"/>
      <c r="GF88" s="468"/>
      <c r="GG88" s="468"/>
      <c r="GH88" s="468"/>
      <c r="GI88" s="468"/>
      <c r="GJ88" s="468"/>
      <c r="GK88" s="468"/>
      <c r="GL88" s="468"/>
      <c r="GM88" s="468"/>
      <c r="GN88" s="468"/>
      <c r="GO88" s="468"/>
      <c r="GP88" s="468"/>
      <c r="GQ88" s="468"/>
      <c r="GR88" s="468"/>
      <c r="GS88" s="468"/>
      <c r="GT88" s="468"/>
      <c r="GU88" s="2135"/>
    </row>
    <row r="89" spans="1:203" ht="18.899999999999999" customHeight="1">
      <c r="A89" s="2135"/>
      <c r="B89" s="2135"/>
      <c r="C89" s="2136"/>
      <c r="D89" s="468"/>
      <c r="E89" s="468"/>
      <c r="F89" s="468"/>
      <c r="G89" s="468"/>
      <c r="H89" s="468"/>
      <c r="I89" s="468"/>
      <c r="J89" s="468"/>
      <c r="K89" s="468"/>
      <c r="L89" s="468"/>
      <c r="M89" s="468"/>
      <c r="N89" s="468"/>
      <c r="O89" s="468"/>
      <c r="P89" s="468"/>
      <c r="Q89" s="468"/>
      <c r="R89" s="468"/>
      <c r="S89" s="468"/>
      <c r="T89" s="468"/>
      <c r="U89" s="468"/>
      <c r="V89" s="468"/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468"/>
      <c r="AJ89" s="468"/>
      <c r="AK89" s="468"/>
      <c r="AL89" s="468"/>
      <c r="AM89" s="468"/>
      <c r="AN89" s="468"/>
      <c r="AO89" s="468"/>
      <c r="AP89" s="468"/>
      <c r="AQ89" s="468"/>
      <c r="AR89" s="468"/>
      <c r="AS89" s="468"/>
      <c r="AT89" s="468"/>
      <c r="AU89" s="468"/>
      <c r="AV89" s="468"/>
      <c r="AW89" s="468"/>
      <c r="AX89" s="468"/>
      <c r="AY89" s="468"/>
      <c r="AZ89" s="468"/>
      <c r="BA89" s="468"/>
      <c r="BB89" s="468"/>
      <c r="BC89" s="468"/>
      <c r="BD89" s="468"/>
      <c r="BE89" s="468"/>
      <c r="BF89" s="2135"/>
      <c r="BG89" s="2135"/>
      <c r="BH89" s="2135"/>
      <c r="BI89" s="2135"/>
      <c r="BJ89" s="2135"/>
      <c r="BK89" s="2135"/>
      <c r="BL89" s="2135"/>
      <c r="BM89" s="468"/>
      <c r="BN89" s="468"/>
      <c r="BO89" s="468"/>
      <c r="BP89" s="468"/>
      <c r="BQ89" s="468"/>
      <c r="BR89" s="468"/>
      <c r="BS89" s="468"/>
      <c r="BT89" s="468"/>
      <c r="BU89" s="468"/>
      <c r="BV89" s="468"/>
      <c r="BW89" s="468"/>
      <c r="BX89" s="468"/>
      <c r="BY89" s="2135"/>
      <c r="BZ89" s="2135"/>
      <c r="CA89" s="2135"/>
      <c r="CB89" s="2135"/>
      <c r="CC89" s="2135"/>
      <c r="CD89" s="2135"/>
      <c r="CE89" s="2135"/>
      <c r="CF89" s="2135"/>
      <c r="CG89" s="2135"/>
      <c r="CH89" s="468"/>
      <c r="CI89" s="468"/>
      <c r="CJ89" s="468"/>
      <c r="CK89" s="468"/>
      <c r="CL89" s="468"/>
      <c r="CM89" s="468"/>
      <c r="CN89" s="468"/>
      <c r="CO89" s="468"/>
      <c r="CP89" s="468"/>
      <c r="CQ89" s="468"/>
      <c r="CR89" s="468"/>
      <c r="CS89" s="468"/>
      <c r="CT89" s="468"/>
      <c r="CU89" s="468"/>
      <c r="CV89" s="468"/>
      <c r="CW89" s="468"/>
      <c r="CX89" s="468"/>
      <c r="CY89" s="468"/>
      <c r="CZ89" s="468"/>
      <c r="DA89" s="468"/>
      <c r="DB89" s="468"/>
      <c r="DC89" s="468"/>
      <c r="DD89" s="468"/>
      <c r="DE89" s="468"/>
      <c r="DF89" s="468"/>
      <c r="DG89" s="468"/>
      <c r="DH89" s="468"/>
      <c r="DI89" s="468"/>
      <c r="DJ89" s="468"/>
      <c r="DK89" s="468"/>
      <c r="DL89" s="468"/>
      <c r="DM89" s="468"/>
      <c r="DN89" s="468"/>
      <c r="DO89" s="468"/>
      <c r="DP89" s="468"/>
      <c r="DQ89" s="468"/>
      <c r="DR89" s="468"/>
      <c r="DS89" s="468"/>
      <c r="DT89" s="468"/>
      <c r="DU89" s="468"/>
      <c r="DV89" s="468"/>
      <c r="DW89" s="468"/>
      <c r="DX89" s="468"/>
      <c r="DY89" s="468"/>
      <c r="DZ89" s="468"/>
      <c r="EA89" s="468"/>
      <c r="EB89" s="468"/>
      <c r="EC89" s="468"/>
      <c r="ED89" s="468"/>
      <c r="EE89" s="468"/>
      <c r="EF89" s="468"/>
      <c r="EG89" s="468"/>
      <c r="EH89" s="468"/>
      <c r="EI89" s="471"/>
      <c r="EJ89" s="468"/>
      <c r="EK89" s="468"/>
      <c r="EL89" s="468"/>
      <c r="EM89" s="468"/>
      <c r="EN89" s="468"/>
      <c r="EO89" s="468"/>
      <c r="EP89" s="468"/>
      <c r="EQ89" s="468"/>
      <c r="ER89" s="468"/>
      <c r="ES89" s="468"/>
      <c r="ET89" s="468"/>
      <c r="EU89" s="468"/>
      <c r="EV89" s="468"/>
      <c r="EW89" s="468"/>
      <c r="EX89" s="468"/>
      <c r="EY89" s="468"/>
      <c r="EZ89" s="468"/>
      <c r="FA89" s="468"/>
      <c r="FB89" s="468"/>
      <c r="FC89" s="468"/>
      <c r="FD89" s="468"/>
      <c r="FE89" s="468"/>
      <c r="FF89" s="468"/>
      <c r="FG89" s="468"/>
      <c r="FH89" s="468"/>
      <c r="FI89" s="468"/>
      <c r="FJ89" s="468"/>
      <c r="FK89" s="468"/>
      <c r="FL89" s="468"/>
      <c r="FM89" s="2137"/>
      <c r="FN89" s="468"/>
      <c r="FO89" s="468"/>
      <c r="FP89" s="468"/>
      <c r="FQ89" s="468"/>
      <c r="FR89" s="468"/>
      <c r="FS89" s="468"/>
      <c r="FT89" s="468"/>
      <c r="FU89" s="468"/>
      <c r="FV89" s="468"/>
      <c r="FW89" s="468"/>
      <c r="FX89" s="468"/>
      <c r="FY89" s="468"/>
      <c r="FZ89" s="468"/>
      <c r="GA89" s="468"/>
      <c r="GB89" s="468"/>
      <c r="GC89" s="468"/>
      <c r="GD89" s="468"/>
      <c r="GE89" s="468"/>
      <c r="GF89" s="468"/>
      <c r="GG89" s="468"/>
      <c r="GH89" s="468"/>
      <c r="GI89" s="468"/>
      <c r="GJ89" s="468"/>
      <c r="GK89" s="468"/>
      <c r="GL89" s="468"/>
      <c r="GM89" s="468"/>
      <c r="GN89" s="468"/>
      <c r="GO89" s="468"/>
      <c r="GP89" s="468"/>
      <c r="GQ89" s="468"/>
      <c r="GR89" s="468"/>
      <c r="GS89" s="468"/>
      <c r="GT89" s="468"/>
      <c r="GU89" s="2135"/>
    </row>
    <row r="90" spans="1:203" ht="18.899999999999999" customHeight="1">
      <c r="A90" s="2135"/>
      <c r="B90" s="2135"/>
      <c r="C90" s="2136"/>
      <c r="D90" s="468"/>
      <c r="E90" s="468"/>
      <c r="F90" s="468"/>
      <c r="G90" s="468"/>
      <c r="H90" s="468"/>
      <c r="I90" s="468"/>
      <c r="J90" s="468"/>
      <c r="K90" s="468"/>
      <c r="L90" s="468"/>
      <c r="M90" s="468"/>
      <c r="N90" s="468"/>
      <c r="O90" s="468"/>
      <c r="P90" s="468"/>
      <c r="Q90" s="468"/>
      <c r="R90" s="468"/>
      <c r="S90" s="468"/>
      <c r="T90" s="468"/>
      <c r="U90" s="468"/>
      <c r="V90" s="468"/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68"/>
      <c r="AJ90" s="468"/>
      <c r="AK90" s="468"/>
      <c r="AL90" s="468"/>
      <c r="AM90" s="468"/>
      <c r="AN90" s="468"/>
      <c r="AO90" s="468"/>
      <c r="AP90" s="468"/>
      <c r="AQ90" s="468"/>
      <c r="AR90" s="468"/>
      <c r="AS90" s="468"/>
      <c r="AT90" s="468"/>
      <c r="AU90" s="468"/>
      <c r="AV90" s="468"/>
      <c r="AW90" s="468"/>
      <c r="AX90" s="468"/>
      <c r="AY90" s="468"/>
      <c r="AZ90" s="468"/>
      <c r="BA90" s="468"/>
      <c r="BB90" s="468"/>
      <c r="BC90" s="468"/>
      <c r="BD90" s="468"/>
      <c r="BE90" s="468"/>
      <c r="BF90" s="2135"/>
      <c r="BG90" s="2135"/>
      <c r="BH90" s="2135"/>
      <c r="BI90" s="2135"/>
      <c r="BJ90" s="2135"/>
      <c r="BK90" s="2135"/>
      <c r="BL90" s="2135"/>
      <c r="BM90" s="468"/>
      <c r="BN90" s="468"/>
      <c r="BO90" s="468"/>
      <c r="BP90" s="468"/>
      <c r="BQ90" s="468"/>
      <c r="BR90" s="468"/>
      <c r="BS90" s="468"/>
      <c r="BT90" s="468"/>
      <c r="BU90" s="468"/>
      <c r="BV90" s="468"/>
      <c r="BW90" s="468"/>
      <c r="BX90" s="468"/>
      <c r="BY90" s="2135"/>
      <c r="BZ90" s="2135"/>
      <c r="CA90" s="2135"/>
      <c r="CB90" s="2135"/>
      <c r="CC90" s="2135"/>
      <c r="CD90" s="2135"/>
      <c r="CE90" s="2135"/>
      <c r="CF90" s="2135"/>
      <c r="CG90" s="2135"/>
      <c r="CH90" s="468"/>
      <c r="CI90" s="468"/>
      <c r="CJ90" s="468"/>
      <c r="CK90" s="468"/>
      <c r="CL90" s="468"/>
      <c r="CM90" s="468"/>
      <c r="CN90" s="468"/>
      <c r="CO90" s="468"/>
      <c r="CP90" s="468"/>
      <c r="CQ90" s="468"/>
      <c r="CR90" s="468"/>
      <c r="CS90" s="468"/>
      <c r="CT90" s="468"/>
      <c r="CU90" s="468"/>
      <c r="CV90" s="468"/>
      <c r="CW90" s="468"/>
      <c r="CX90" s="468"/>
      <c r="CY90" s="468"/>
      <c r="CZ90" s="468"/>
      <c r="DA90" s="468"/>
      <c r="DB90" s="468"/>
      <c r="DC90" s="468"/>
      <c r="DD90" s="468"/>
      <c r="DE90" s="468"/>
      <c r="DF90" s="468"/>
      <c r="DG90" s="468"/>
      <c r="DH90" s="468"/>
      <c r="DI90" s="468"/>
      <c r="DJ90" s="468"/>
      <c r="DK90" s="468"/>
      <c r="DL90" s="468"/>
      <c r="DM90" s="468"/>
      <c r="DN90" s="468"/>
      <c r="DO90" s="468"/>
      <c r="DP90" s="468"/>
      <c r="DQ90" s="468"/>
      <c r="DR90" s="468"/>
      <c r="DS90" s="468"/>
      <c r="DT90" s="468"/>
      <c r="DU90" s="468"/>
      <c r="DV90" s="468"/>
      <c r="DW90" s="468"/>
      <c r="DX90" s="468"/>
      <c r="DY90" s="468"/>
      <c r="DZ90" s="468"/>
      <c r="EA90" s="468"/>
      <c r="EB90" s="468"/>
      <c r="EC90" s="468"/>
      <c r="ED90" s="468"/>
      <c r="EE90" s="468"/>
      <c r="EF90" s="468"/>
      <c r="EG90" s="468"/>
      <c r="EH90" s="468"/>
      <c r="EI90" s="471"/>
      <c r="EJ90" s="468"/>
      <c r="EK90" s="468"/>
      <c r="EL90" s="468"/>
      <c r="EM90" s="468"/>
      <c r="EN90" s="468"/>
      <c r="EO90" s="468"/>
      <c r="EP90" s="468"/>
      <c r="EQ90" s="468"/>
      <c r="ER90" s="468"/>
      <c r="ES90" s="468"/>
      <c r="ET90" s="468"/>
      <c r="EU90" s="468"/>
      <c r="EV90" s="468"/>
      <c r="EW90" s="468"/>
      <c r="EX90" s="468"/>
      <c r="EY90" s="468"/>
      <c r="EZ90" s="468"/>
      <c r="FA90" s="468"/>
      <c r="FB90" s="468"/>
      <c r="FC90" s="468"/>
      <c r="FD90" s="468"/>
      <c r="FE90" s="468"/>
      <c r="FF90" s="468"/>
      <c r="FG90" s="468"/>
      <c r="FH90" s="468"/>
      <c r="FI90" s="468"/>
      <c r="FJ90" s="468"/>
      <c r="FK90" s="468"/>
      <c r="FL90" s="468"/>
      <c r="FM90" s="2137"/>
      <c r="FN90" s="468"/>
      <c r="FO90" s="468"/>
      <c r="FP90" s="468"/>
      <c r="FQ90" s="468"/>
      <c r="FR90" s="468"/>
      <c r="FS90" s="468"/>
      <c r="FT90" s="468"/>
      <c r="FU90" s="468"/>
      <c r="FV90" s="468"/>
      <c r="FW90" s="468"/>
      <c r="FX90" s="468"/>
      <c r="FY90" s="468"/>
      <c r="FZ90" s="468"/>
      <c r="GA90" s="468"/>
      <c r="GB90" s="468"/>
      <c r="GC90" s="468"/>
      <c r="GD90" s="468"/>
      <c r="GE90" s="468"/>
      <c r="GF90" s="468"/>
      <c r="GG90" s="468"/>
      <c r="GH90" s="468"/>
      <c r="GI90" s="468"/>
      <c r="GJ90" s="468"/>
      <c r="GK90" s="468"/>
      <c r="GL90" s="468"/>
      <c r="GM90" s="468"/>
      <c r="GN90" s="468"/>
      <c r="GO90" s="468"/>
      <c r="GP90" s="468"/>
      <c r="GQ90" s="468"/>
      <c r="GR90" s="468"/>
      <c r="GS90" s="468"/>
      <c r="GT90" s="468"/>
      <c r="GU90" s="2135"/>
    </row>
    <row r="91" spans="1:203" ht="18.899999999999999" customHeight="1">
      <c r="A91" s="2135"/>
      <c r="B91" s="2135"/>
      <c r="C91" s="2136"/>
      <c r="D91" s="468"/>
      <c r="E91" s="468"/>
      <c r="F91" s="468"/>
      <c r="G91" s="468"/>
      <c r="H91" s="468"/>
      <c r="I91" s="468"/>
      <c r="J91" s="468"/>
      <c r="K91" s="468"/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468"/>
      <c r="AI91" s="468"/>
      <c r="AJ91" s="468"/>
      <c r="AK91" s="468"/>
      <c r="AL91" s="468"/>
      <c r="AM91" s="468"/>
      <c r="AN91" s="468"/>
      <c r="AO91" s="468"/>
      <c r="AP91" s="468"/>
      <c r="AQ91" s="468"/>
      <c r="AR91" s="468"/>
      <c r="AS91" s="468"/>
      <c r="AT91" s="468"/>
      <c r="AU91" s="468"/>
      <c r="AV91" s="468"/>
      <c r="AW91" s="468"/>
      <c r="AX91" s="468"/>
      <c r="AY91" s="468"/>
      <c r="AZ91" s="468"/>
      <c r="BA91" s="468"/>
      <c r="BB91" s="468"/>
      <c r="BC91" s="468"/>
      <c r="BD91" s="468"/>
      <c r="BE91" s="468"/>
      <c r="BF91" s="2135"/>
      <c r="BG91" s="2135"/>
      <c r="BH91" s="2135"/>
      <c r="BI91" s="2135"/>
      <c r="BJ91" s="2135"/>
      <c r="BK91" s="2135"/>
      <c r="BL91" s="2135"/>
      <c r="BM91" s="468"/>
      <c r="BN91" s="468"/>
      <c r="BO91" s="468"/>
      <c r="BP91" s="468"/>
      <c r="BQ91" s="468"/>
      <c r="BR91" s="468"/>
      <c r="BS91" s="468"/>
      <c r="BT91" s="468"/>
      <c r="BU91" s="468"/>
      <c r="BV91" s="468"/>
      <c r="BW91" s="468"/>
      <c r="BX91" s="468"/>
      <c r="BY91" s="2135"/>
      <c r="BZ91" s="2135"/>
      <c r="CA91" s="2135"/>
      <c r="CB91" s="2135"/>
      <c r="CC91" s="2135"/>
      <c r="CD91" s="2135"/>
      <c r="CE91" s="2135"/>
      <c r="CF91" s="2135"/>
      <c r="CG91" s="2135"/>
      <c r="CH91" s="468"/>
      <c r="CI91" s="468"/>
      <c r="CJ91" s="468"/>
      <c r="CK91" s="468"/>
      <c r="CL91" s="468"/>
      <c r="CM91" s="468"/>
      <c r="CN91" s="468"/>
      <c r="CO91" s="468"/>
      <c r="CP91" s="468"/>
      <c r="CQ91" s="468"/>
      <c r="CR91" s="468"/>
      <c r="CS91" s="468"/>
      <c r="CT91" s="468"/>
      <c r="CU91" s="468"/>
      <c r="CV91" s="468"/>
      <c r="CW91" s="468"/>
      <c r="CX91" s="468"/>
      <c r="CY91" s="468"/>
      <c r="CZ91" s="468"/>
      <c r="DA91" s="468"/>
      <c r="DB91" s="468"/>
      <c r="DC91" s="468"/>
      <c r="DD91" s="468"/>
      <c r="DE91" s="468"/>
      <c r="DF91" s="468"/>
      <c r="DG91" s="468"/>
      <c r="DH91" s="468"/>
      <c r="DI91" s="468"/>
      <c r="DJ91" s="468"/>
      <c r="DK91" s="468"/>
      <c r="DL91" s="468"/>
      <c r="DM91" s="468"/>
      <c r="DN91" s="468"/>
      <c r="DO91" s="468"/>
      <c r="DP91" s="468"/>
      <c r="DQ91" s="468"/>
      <c r="DR91" s="468"/>
      <c r="DS91" s="468"/>
      <c r="DT91" s="468"/>
      <c r="DU91" s="468"/>
      <c r="DV91" s="468"/>
      <c r="DW91" s="468"/>
      <c r="DX91" s="468"/>
      <c r="DY91" s="468"/>
      <c r="DZ91" s="468"/>
      <c r="EA91" s="468"/>
      <c r="EB91" s="468"/>
      <c r="EC91" s="468"/>
      <c r="ED91" s="468"/>
      <c r="EE91" s="468"/>
      <c r="EF91" s="468"/>
      <c r="EG91" s="468"/>
      <c r="EH91" s="468"/>
      <c r="EI91" s="471"/>
      <c r="EJ91" s="468"/>
      <c r="EK91" s="468"/>
      <c r="EL91" s="468"/>
      <c r="EM91" s="468"/>
      <c r="EN91" s="468"/>
      <c r="EO91" s="468"/>
      <c r="EP91" s="468"/>
      <c r="EQ91" s="468"/>
      <c r="ER91" s="468"/>
      <c r="ES91" s="468"/>
      <c r="ET91" s="468"/>
      <c r="EU91" s="468"/>
      <c r="EV91" s="468"/>
      <c r="EW91" s="468"/>
      <c r="EX91" s="468"/>
      <c r="EY91" s="468"/>
      <c r="EZ91" s="468"/>
      <c r="FA91" s="468"/>
      <c r="FB91" s="468"/>
      <c r="FC91" s="468"/>
      <c r="FD91" s="468"/>
      <c r="FE91" s="468"/>
      <c r="FF91" s="468"/>
      <c r="FG91" s="468"/>
      <c r="FH91" s="468"/>
      <c r="FI91" s="468"/>
      <c r="FJ91" s="468"/>
      <c r="FK91" s="468"/>
      <c r="FL91" s="468"/>
      <c r="FM91" s="2137"/>
      <c r="FN91" s="468"/>
      <c r="FO91" s="468"/>
      <c r="FP91" s="468"/>
      <c r="FQ91" s="468"/>
      <c r="FR91" s="468"/>
      <c r="FS91" s="468"/>
      <c r="FT91" s="468"/>
      <c r="FU91" s="468"/>
      <c r="FV91" s="468"/>
      <c r="FW91" s="468"/>
      <c r="FX91" s="468"/>
      <c r="FY91" s="468"/>
      <c r="FZ91" s="468"/>
      <c r="GA91" s="468"/>
      <c r="GB91" s="468"/>
      <c r="GC91" s="468"/>
      <c r="GD91" s="468"/>
      <c r="GE91" s="468"/>
      <c r="GF91" s="468"/>
      <c r="GG91" s="468"/>
      <c r="GH91" s="468"/>
      <c r="GI91" s="468"/>
      <c r="GJ91" s="468"/>
      <c r="GK91" s="468"/>
      <c r="GL91" s="468"/>
      <c r="GM91" s="468"/>
      <c r="GN91" s="468"/>
      <c r="GO91" s="468"/>
      <c r="GP91" s="468"/>
      <c r="GQ91" s="468"/>
      <c r="GR91" s="468"/>
      <c r="GS91" s="468"/>
      <c r="GT91" s="468"/>
      <c r="GU91" s="2135"/>
    </row>
    <row r="92" spans="1:203" ht="18.899999999999999" customHeight="1">
      <c r="A92" s="2135"/>
      <c r="B92" s="2135"/>
      <c r="C92" s="2136"/>
      <c r="D92" s="468"/>
      <c r="E92" s="468"/>
      <c r="F92" s="468"/>
      <c r="G92" s="468"/>
      <c r="H92" s="468"/>
      <c r="I92" s="468"/>
      <c r="J92" s="468"/>
      <c r="K92" s="468"/>
      <c r="L92" s="468"/>
      <c r="M92" s="468"/>
      <c r="N92" s="468"/>
      <c r="O92" s="468"/>
      <c r="P92" s="468"/>
      <c r="Q92" s="468"/>
      <c r="R92" s="468"/>
      <c r="S92" s="468"/>
      <c r="T92" s="468"/>
      <c r="U92" s="468"/>
      <c r="V92" s="468"/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468"/>
      <c r="AJ92" s="468"/>
      <c r="AK92" s="468"/>
      <c r="AL92" s="468"/>
      <c r="AM92" s="468"/>
      <c r="AN92" s="468"/>
      <c r="AO92" s="468"/>
      <c r="AP92" s="468"/>
      <c r="AQ92" s="468"/>
      <c r="AR92" s="468"/>
      <c r="AS92" s="468"/>
      <c r="AT92" s="468"/>
      <c r="AU92" s="468"/>
      <c r="AV92" s="468"/>
      <c r="AW92" s="468"/>
      <c r="AX92" s="468"/>
      <c r="AY92" s="468"/>
      <c r="AZ92" s="468"/>
      <c r="BA92" s="468"/>
      <c r="BB92" s="468"/>
      <c r="BC92" s="468"/>
      <c r="BD92" s="468"/>
      <c r="BE92" s="468"/>
      <c r="BF92" s="2135"/>
      <c r="BG92" s="2135"/>
      <c r="BH92" s="2135"/>
      <c r="BI92" s="2135"/>
      <c r="BJ92" s="2135"/>
      <c r="BK92" s="2135"/>
      <c r="BL92" s="2135"/>
      <c r="BM92" s="468"/>
      <c r="BN92" s="468"/>
      <c r="BO92" s="468"/>
      <c r="BP92" s="468"/>
      <c r="BQ92" s="468"/>
      <c r="BR92" s="468"/>
      <c r="BS92" s="468"/>
      <c r="BT92" s="468"/>
      <c r="BU92" s="468"/>
      <c r="BV92" s="468"/>
      <c r="BW92" s="468"/>
      <c r="BX92" s="468"/>
      <c r="BY92" s="2135"/>
      <c r="BZ92" s="2135"/>
      <c r="CA92" s="2135"/>
      <c r="CB92" s="2135"/>
      <c r="CC92" s="2135"/>
      <c r="CD92" s="2135"/>
      <c r="CE92" s="2135"/>
      <c r="CF92" s="2135"/>
      <c r="CG92" s="2135"/>
      <c r="CH92" s="468"/>
      <c r="CI92" s="468"/>
      <c r="CJ92" s="468"/>
      <c r="CK92" s="468"/>
      <c r="CL92" s="468"/>
      <c r="CM92" s="468"/>
      <c r="CN92" s="468"/>
      <c r="CO92" s="468"/>
      <c r="CP92" s="468"/>
      <c r="CQ92" s="468"/>
      <c r="CR92" s="468"/>
      <c r="CS92" s="468"/>
      <c r="CT92" s="468"/>
      <c r="CU92" s="468"/>
      <c r="CV92" s="468"/>
      <c r="CW92" s="468"/>
      <c r="CX92" s="468"/>
      <c r="CY92" s="468"/>
      <c r="CZ92" s="468"/>
      <c r="DA92" s="468"/>
      <c r="DB92" s="468"/>
      <c r="DC92" s="468"/>
      <c r="DD92" s="468"/>
      <c r="DE92" s="468"/>
      <c r="DF92" s="468"/>
      <c r="DG92" s="468"/>
      <c r="DH92" s="468"/>
      <c r="DI92" s="468"/>
      <c r="DJ92" s="468"/>
      <c r="DK92" s="468"/>
      <c r="DL92" s="468"/>
      <c r="DM92" s="468"/>
      <c r="DN92" s="468"/>
      <c r="DO92" s="468"/>
      <c r="DP92" s="468"/>
      <c r="DQ92" s="468"/>
      <c r="DR92" s="468"/>
      <c r="DS92" s="468"/>
      <c r="DT92" s="468"/>
      <c r="DU92" s="468"/>
      <c r="DV92" s="468"/>
      <c r="DW92" s="468"/>
      <c r="DX92" s="468"/>
      <c r="DY92" s="468"/>
      <c r="DZ92" s="468"/>
      <c r="EA92" s="468"/>
      <c r="EB92" s="468"/>
      <c r="EC92" s="468"/>
      <c r="ED92" s="468"/>
      <c r="EE92" s="468"/>
      <c r="EF92" s="468"/>
      <c r="EG92" s="468"/>
      <c r="EH92" s="468"/>
      <c r="EI92" s="471"/>
      <c r="EJ92" s="468"/>
      <c r="EK92" s="468"/>
      <c r="EL92" s="468"/>
      <c r="EM92" s="468"/>
      <c r="EN92" s="468"/>
      <c r="EO92" s="468"/>
      <c r="EP92" s="468"/>
      <c r="EQ92" s="468"/>
      <c r="ER92" s="468"/>
      <c r="ES92" s="468"/>
      <c r="ET92" s="468"/>
      <c r="EU92" s="468"/>
      <c r="EV92" s="468"/>
      <c r="EW92" s="468"/>
      <c r="EX92" s="468"/>
      <c r="EY92" s="468"/>
      <c r="EZ92" s="468"/>
      <c r="FA92" s="468"/>
      <c r="FB92" s="468"/>
      <c r="FC92" s="468"/>
      <c r="FD92" s="468"/>
      <c r="FE92" s="468"/>
      <c r="FF92" s="468"/>
      <c r="FG92" s="468"/>
      <c r="FH92" s="468"/>
      <c r="FI92" s="468"/>
      <c r="FJ92" s="468"/>
      <c r="FK92" s="468"/>
      <c r="FL92" s="468"/>
      <c r="FM92" s="2137"/>
      <c r="FN92" s="468"/>
      <c r="FO92" s="468"/>
      <c r="FP92" s="468"/>
      <c r="FQ92" s="468"/>
      <c r="FR92" s="468"/>
      <c r="FS92" s="468"/>
      <c r="FT92" s="468"/>
      <c r="FU92" s="468"/>
      <c r="FV92" s="468"/>
      <c r="FW92" s="468"/>
      <c r="FX92" s="468"/>
      <c r="FY92" s="468"/>
      <c r="FZ92" s="468"/>
      <c r="GA92" s="468"/>
      <c r="GB92" s="468"/>
      <c r="GC92" s="468"/>
      <c r="GD92" s="468"/>
      <c r="GE92" s="468"/>
      <c r="GF92" s="468"/>
      <c r="GG92" s="468"/>
      <c r="GH92" s="468"/>
      <c r="GI92" s="468"/>
      <c r="GJ92" s="468"/>
      <c r="GK92" s="468"/>
      <c r="GL92" s="468"/>
      <c r="GM92" s="468"/>
      <c r="GN92" s="468"/>
      <c r="GO92" s="468"/>
      <c r="GP92" s="468"/>
      <c r="GQ92" s="468"/>
      <c r="GR92" s="468"/>
      <c r="GS92" s="468"/>
      <c r="GT92" s="468"/>
      <c r="GU92" s="2135"/>
    </row>
    <row r="93" spans="1:203" ht="18.899999999999999" customHeight="1">
      <c r="A93" s="2135"/>
      <c r="B93" s="2135"/>
      <c r="C93" s="2136"/>
      <c r="D93" s="468"/>
      <c r="E93" s="468"/>
      <c r="F93" s="468"/>
      <c r="G93" s="468"/>
      <c r="H93" s="468"/>
      <c r="I93" s="468"/>
      <c r="J93" s="468"/>
      <c r="K93" s="468"/>
      <c r="L93" s="468"/>
      <c r="M93" s="468"/>
      <c r="N93" s="468"/>
      <c r="O93" s="468"/>
      <c r="P93" s="468"/>
      <c r="Q93" s="468"/>
      <c r="R93" s="468"/>
      <c r="S93" s="468"/>
      <c r="T93" s="468"/>
      <c r="U93" s="468"/>
      <c r="V93" s="468"/>
      <c r="W93" s="468"/>
      <c r="X93" s="468"/>
      <c r="Y93" s="468"/>
      <c r="Z93" s="468"/>
      <c r="AA93" s="468"/>
      <c r="AB93" s="468"/>
      <c r="AC93" s="468"/>
      <c r="AD93" s="468"/>
      <c r="AE93" s="468"/>
      <c r="AF93" s="468"/>
      <c r="AG93" s="468"/>
      <c r="AH93" s="468"/>
      <c r="AI93" s="468"/>
      <c r="AJ93" s="468"/>
      <c r="AK93" s="468"/>
      <c r="AL93" s="468"/>
      <c r="AM93" s="468"/>
      <c r="AN93" s="468"/>
      <c r="AO93" s="468"/>
      <c r="AP93" s="468"/>
      <c r="AQ93" s="468"/>
      <c r="AR93" s="468"/>
      <c r="AS93" s="468"/>
      <c r="AT93" s="468"/>
      <c r="AU93" s="468"/>
      <c r="AV93" s="468"/>
      <c r="AW93" s="468"/>
      <c r="AX93" s="468"/>
      <c r="AY93" s="468"/>
      <c r="AZ93" s="468"/>
      <c r="BA93" s="468"/>
      <c r="BB93" s="468"/>
      <c r="BC93" s="468"/>
      <c r="BD93" s="468"/>
      <c r="BE93" s="468"/>
      <c r="BF93" s="2135"/>
      <c r="BG93" s="2135"/>
      <c r="BH93" s="2135"/>
      <c r="BI93" s="2135"/>
      <c r="BJ93" s="2135"/>
      <c r="BK93" s="2135"/>
      <c r="BL93" s="2135"/>
      <c r="BM93" s="468"/>
      <c r="BN93" s="468"/>
      <c r="BO93" s="468"/>
      <c r="BP93" s="468"/>
      <c r="BQ93" s="468"/>
      <c r="BR93" s="468"/>
      <c r="BS93" s="468"/>
      <c r="BT93" s="468"/>
      <c r="BU93" s="468"/>
      <c r="BV93" s="468"/>
      <c r="BW93" s="468"/>
      <c r="BX93" s="468"/>
      <c r="BY93" s="2135"/>
      <c r="BZ93" s="2135"/>
      <c r="CA93" s="2135"/>
      <c r="CB93" s="2135"/>
      <c r="CC93" s="2135"/>
      <c r="CD93" s="2135"/>
      <c r="CE93" s="2135"/>
      <c r="CF93" s="2135"/>
      <c r="CG93" s="2135"/>
      <c r="CH93" s="468"/>
      <c r="CI93" s="468"/>
      <c r="CJ93" s="468"/>
      <c r="CK93" s="468"/>
      <c r="CL93" s="468"/>
      <c r="CM93" s="468"/>
      <c r="CN93" s="468"/>
      <c r="CO93" s="468"/>
      <c r="CP93" s="468"/>
      <c r="CQ93" s="468"/>
      <c r="CR93" s="468"/>
      <c r="CS93" s="468"/>
      <c r="CT93" s="468"/>
      <c r="CU93" s="468"/>
      <c r="CV93" s="468"/>
      <c r="CW93" s="468"/>
      <c r="CX93" s="468"/>
      <c r="CY93" s="468"/>
      <c r="CZ93" s="468"/>
      <c r="DA93" s="468"/>
      <c r="DB93" s="468"/>
      <c r="DC93" s="468"/>
      <c r="DD93" s="468"/>
      <c r="DE93" s="468"/>
      <c r="DF93" s="468"/>
      <c r="DG93" s="468"/>
      <c r="DH93" s="468"/>
      <c r="DI93" s="468"/>
      <c r="DJ93" s="468"/>
      <c r="DK93" s="468"/>
      <c r="DL93" s="468"/>
      <c r="DM93" s="468"/>
      <c r="DN93" s="468"/>
      <c r="DO93" s="468"/>
      <c r="DP93" s="468"/>
      <c r="DQ93" s="468"/>
      <c r="DR93" s="468"/>
      <c r="DS93" s="468"/>
      <c r="DT93" s="468"/>
      <c r="DU93" s="468"/>
      <c r="DV93" s="468"/>
      <c r="DW93" s="468"/>
      <c r="DX93" s="468"/>
      <c r="DY93" s="468"/>
      <c r="DZ93" s="468"/>
      <c r="EA93" s="468"/>
      <c r="EB93" s="468"/>
      <c r="EC93" s="468"/>
      <c r="ED93" s="468"/>
      <c r="EE93" s="468"/>
      <c r="EF93" s="468"/>
      <c r="EG93" s="468"/>
      <c r="EH93" s="468"/>
      <c r="EI93" s="471"/>
      <c r="EJ93" s="468"/>
      <c r="EK93" s="468"/>
      <c r="EL93" s="468"/>
      <c r="EM93" s="468"/>
      <c r="EN93" s="468"/>
      <c r="EO93" s="468"/>
      <c r="EP93" s="468"/>
      <c r="EQ93" s="468"/>
      <c r="ER93" s="468"/>
      <c r="ES93" s="468"/>
      <c r="ET93" s="468"/>
      <c r="EU93" s="468"/>
      <c r="EV93" s="468"/>
      <c r="EW93" s="468"/>
      <c r="EX93" s="468"/>
      <c r="EY93" s="468"/>
      <c r="EZ93" s="468"/>
      <c r="FA93" s="468"/>
      <c r="FB93" s="468"/>
      <c r="FC93" s="468"/>
      <c r="FD93" s="468"/>
      <c r="FE93" s="468"/>
      <c r="FF93" s="468"/>
      <c r="FG93" s="468"/>
      <c r="FH93" s="468"/>
      <c r="FI93" s="468"/>
      <c r="FJ93" s="468"/>
      <c r="FK93" s="468"/>
      <c r="FL93" s="468"/>
      <c r="FM93" s="2137"/>
      <c r="FN93" s="468"/>
      <c r="FO93" s="468"/>
      <c r="FP93" s="468"/>
      <c r="FQ93" s="468"/>
      <c r="FR93" s="468"/>
      <c r="FS93" s="468"/>
      <c r="FT93" s="468"/>
      <c r="FU93" s="468"/>
      <c r="FV93" s="468"/>
      <c r="FW93" s="468"/>
      <c r="FX93" s="468"/>
      <c r="FY93" s="468"/>
      <c r="FZ93" s="468"/>
      <c r="GA93" s="468"/>
      <c r="GB93" s="468"/>
      <c r="GC93" s="468"/>
      <c r="GD93" s="468"/>
      <c r="GE93" s="468"/>
      <c r="GF93" s="468"/>
      <c r="GG93" s="468"/>
      <c r="GH93" s="468"/>
      <c r="GI93" s="468"/>
      <c r="GJ93" s="468"/>
      <c r="GK93" s="468"/>
      <c r="GL93" s="468"/>
      <c r="GM93" s="468"/>
      <c r="GN93" s="468"/>
      <c r="GO93" s="468"/>
      <c r="GP93" s="468"/>
      <c r="GQ93" s="468"/>
      <c r="GR93" s="468"/>
      <c r="GS93" s="468"/>
      <c r="GT93" s="468"/>
      <c r="GU93" s="2135"/>
    </row>
    <row r="94" spans="1:203" ht="18.899999999999999" customHeight="1">
      <c r="A94" s="2135"/>
      <c r="B94" s="2135"/>
      <c r="C94" s="2136"/>
      <c r="D94" s="468"/>
      <c r="E94" s="468"/>
      <c r="F94" s="468"/>
      <c r="G94" s="468"/>
      <c r="H94" s="468"/>
      <c r="I94" s="468"/>
      <c r="J94" s="468"/>
      <c r="K94" s="468"/>
      <c r="L94" s="468"/>
      <c r="M94" s="468"/>
      <c r="N94" s="468"/>
      <c r="O94" s="468"/>
      <c r="P94" s="468"/>
      <c r="Q94" s="468"/>
      <c r="R94" s="468"/>
      <c r="S94" s="468"/>
      <c r="T94" s="468"/>
      <c r="U94" s="468"/>
      <c r="V94" s="468"/>
      <c r="W94" s="468"/>
      <c r="X94" s="468"/>
      <c r="Y94" s="468"/>
      <c r="Z94" s="468"/>
      <c r="AA94" s="468"/>
      <c r="AB94" s="468"/>
      <c r="AC94" s="468"/>
      <c r="AD94" s="468"/>
      <c r="AE94" s="468"/>
      <c r="AF94" s="468"/>
      <c r="AG94" s="468"/>
      <c r="AH94" s="468"/>
      <c r="AI94" s="468"/>
      <c r="AJ94" s="468"/>
      <c r="AK94" s="468"/>
      <c r="AL94" s="468"/>
      <c r="AM94" s="468"/>
      <c r="AN94" s="468"/>
      <c r="AO94" s="468"/>
      <c r="AP94" s="468"/>
      <c r="AQ94" s="468"/>
      <c r="AR94" s="468"/>
      <c r="AS94" s="468"/>
      <c r="AT94" s="468"/>
      <c r="AU94" s="468"/>
      <c r="AV94" s="468"/>
      <c r="AW94" s="468"/>
      <c r="AX94" s="468"/>
      <c r="AY94" s="468"/>
      <c r="AZ94" s="468"/>
      <c r="BA94" s="468"/>
      <c r="BB94" s="468"/>
      <c r="BC94" s="468"/>
      <c r="BD94" s="468"/>
      <c r="BE94" s="468"/>
      <c r="BF94" s="2135"/>
      <c r="BG94" s="2135"/>
      <c r="BH94" s="2135"/>
      <c r="BI94" s="2135"/>
      <c r="BJ94" s="2135"/>
      <c r="BK94" s="2135"/>
      <c r="BL94" s="2135"/>
      <c r="BM94" s="468"/>
      <c r="BN94" s="468"/>
      <c r="BO94" s="468"/>
      <c r="BP94" s="468"/>
      <c r="BQ94" s="468"/>
      <c r="BR94" s="468"/>
      <c r="BS94" s="468"/>
      <c r="BT94" s="468"/>
      <c r="BU94" s="468"/>
      <c r="BV94" s="468"/>
      <c r="BW94" s="468"/>
      <c r="BX94" s="468"/>
      <c r="BY94" s="2135"/>
      <c r="BZ94" s="2135"/>
      <c r="CA94" s="2135"/>
      <c r="CB94" s="2135"/>
      <c r="CC94" s="2135"/>
      <c r="CD94" s="2135"/>
      <c r="CE94" s="2135"/>
      <c r="CF94" s="2135"/>
      <c r="CG94" s="2135"/>
      <c r="CH94" s="468"/>
      <c r="CI94" s="468"/>
      <c r="CJ94" s="468"/>
      <c r="CK94" s="468"/>
      <c r="CL94" s="468"/>
      <c r="CM94" s="468"/>
      <c r="CN94" s="468"/>
      <c r="CO94" s="468"/>
      <c r="CP94" s="468"/>
      <c r="CQ94" s="468"/>
      <c r="CR94" s="468"/>
      <c r="CS94" s="468"/>
      <c r="CT94" s="468"/>
      <c r="CU94" s="468"/>
      <c r="CV94" s="468"/>
      <c r="CW94" s="468"/>
      <c r="CX94" s="468"/>
      <c r="CY94" s="468"/>
      <c r="CZ94" s="468"/>
      <c r="DA94" s="468"/>
      <c r="DB94" s="468"/>
      <c r="DC94" s="468"/>
      <c r="DD94" s="468"/>
      <c r="DE94" s="468"/>
      <c r="DF94" s="468"/>
      <c r="DG94" s="468"/>
      <c r="DH94" s="468"/>
      <c r="DI94" s="468"/>
      <c r="DJ94" s="468"/>
      <c r="DK94" s="468"/>
      <c r="DL94" s="468"/>
      <c r="DM94" s="468"/>
      <c r="DN94" s="468"/>
      <c r="DO94" s="468"/>
      <c r="DP94" s="468"/>
      <c r="DQ94" s="468"/>
      <c r="DR94" s="468"/>
      <c r="DS94" s="468"/>
      <c r="DT94" s="468"/>
      <c r="DU94" s="468"/>
      <c r="DV94" s="468"/>
      <c r="DW94" s="468"/>
      <c r="DX94" s="468"/>
      <c r="DY94" s="468"/>
      <c r="DZ94" s="468"/>
      <c r="EA94" s="468"/>
      <c r="EB94" s="468"/>
      <c r="EC94" s="468"/>
      <c r="ED94" s="468"/>
      <c r="EE94" s="468"/>
      <c r="EF94" s="468"/>
      <c r="EG94" s="468"/>
      <c r="EH94" s="468"/>
      <c r="EI94" s="471"/>
      <c r="EJ94" s="468"/>
      <c r="EK94" s="468"/>
      <c r="EL94" s="468"/>
      <c r="EM94" s="468"/>
      <c r="EN94" s="468"/>
      <c r="EO94" s="468"/>
      <c r="EP94" s="468"/>
      <c r="EQ94" s="468"/>
      <c r="ER94" s="468"/>
      <c r="ES94" s="468"/>
      <c r="ET94" s="468"/>
      <c r="EU94" s="468"/>
      <c r="EV94" s="468"/>
      <c r="EW94" s="468"/>
      <c r="EX94" s="468"/>
      <c r="EY94" s="468"/>
      <c r="EZ94" s="468"/>
      <c r="FA94" s="468"/>
      <c r="FB94" s="468"/>
      <c r="FC94" s="468"/>
      <c r="FD94" s="468"/>
      <c r="FE94" s="468"/>
      <c r="FF94" s="468"/>
      <c r="FG94" s="468"/>
      <c r="FH94" s="468"/>
      <c r="FI94" s="468"/>
      <c r="FJ94" s="468"/>
      <c r="FK94" s="468"/>
      <c r="FL94" s="468"/>
      <c r="FM94" s="2137"/>
      <c r="FN94" s="468"/>
      <c r="FO94" s="468"/>
      <c r="FP94" s="468"/>
      <c r="FQ94" s="468"/>
      <c r="FR94" s="468"/>
      <c r="FS94" s="468"/>
      <c r="FT94" s="468"/>
      <c r="FU94" s="468"/>
      <c r="FV94" s="468"/>
      <c r="FW94" s="468"/>
      <c r="FX94" s="468"/>
      <c r="FY94" s="468"/>
      <c r="FZ94" s="468"/>
      <c r="GA94" s="468"/>
      <c r="GB94" s="468"/>
      <c r="GC94" s="468"/>
      <c r="GD94" s="468"/>
      <c r="GE94" s="468"/>
      <c r="GF94" s="468"/>
      <c r="GG94" s="468"/>
      <c r="GH94" s="468"/>
      <c r="GI94" s="468"/>
      <c r="GJ94" s="468"/>
      <c r="GK94" s="468"/>
      <c r="GL94" s="468"/>
      <c r="GM94" s="468"/>
      <c r="GN94" s="468"/>
      <c r="GO94" s="468"/>
      <c r="GP94" s="468"/>
      <c r="GQ94" s="468"/>
      <c r="GR94" s="468"/>
      <c r="GS94" s="468"/>
      <c r="GT94" s="468"/>
      <c r="GU94" s="2135"/>
    </row>
    <row r="95" spans="1:203" ht="18.899999999999999" customHeight="1">
      <c r="A95" s="2135"/>
      <c r="B95" s="2135"/>
      <c r="C95" s="2136"/>
      <c r="D95" s="468"/>
      <c r="E95" s="468"/>
      <c r="F95" s="468"/>
      <c r="G95" s="468"/>
      <c r="H95" s="468"/>
      <c r="I95" s="468"/>
      <c r="J95" s="468"/>
      <c r="K95" s="468"/>
      <c r="L95" s="468"/>
      <c r="M95" s="468"/>
      <c r="N95" s="468"/>
      <c r="O95" s="468"/>
      <c r="P95" s="468"/>
      <c r="Q95" s="468"/>
      <c r="R95" s="468"/>
      <c r="S95" s="468"/>
      <c r="T95" s="468"/>
      <c r="U95" s="468"/>
      <c r="V95" s="468"/>
      <c r="W95" s="468"/>
      <c r="X95" s="468"/>
      <c r="Y95" s="468"/>
      <c r="Z95" s="468"/>
      <c r="AA95" s="468"/>
      <c r="AB95" s="468"/>
      <c r="AC95" s="468"/>
      <c r="AD95" s="468"/>
      <c r="AE95" s="468"/>
      <c r="AF95" s="468"/>
      <c r="AG95" s="468"/>
      <c r="AH95" s="468"/>
      <c r="AI95" s="468"/>
      <c r="AJ95" s="468"/>
      <c r="AK95" s="468"/>
      <c r="AL95" s="468"/>
      <c r="AM95" s="468"/>
      <c r="AN95" s="468"/>
      <c r="AO95" s="468"/>
      <c r="AP95" s="468"/>
      <c r="AQ95" s="468"/>
      <c r="AR95" s="468"/>
      <c r="AS95" s="468"/>
      <c r="AT95" s="468"/>
      <c r="AU95" s="468"/>
      <c r="AV95" s="468"/>
      <c r="AW95" s="468"/>
      <c r="AX95" s="468"/>
      <c r="AY95" s="468"/>
      <c r="AZ95" s="468"/>
      <c r="BA95" s="468"/>
      <c r="BB95" s="468"/>
      <c r="BC95" s="468"/>
      <c r="BD95" s="468"/>
      <c r="BE95" s="468"/>
      <c r="BF95" s="2135"/>
      <c r="BG95" s="2135"/>
      <c r="BH95" s="2135"/>
      <c r="BI95" s="2135"/>
      <c r="BJ95" s="2135"/>
      <c r="BK95" s="2135"/>
      <c r="BL95" s="2135"/>
      <c r="BM95" s="468"/>
      <c r="BN95" s="468"/>
      <c r="BO95" s="468"/>
      <c r="BP95" s="468"/>
      <c r="BQ95" s="468"/>
      <c r="BR95" s="468"/>
      <c r="BS95" s="468"/>
      <c r="BT95" s="468"/>
      <c r="BU95" s="468"/>
      <c r="BV95" s="468"/>
      <c r="BW95" s="468"/>
      <c r="BX95" s="468"/>
      <c r="BY95" s="2135"/>
      <c r="BZ95" s="2135"/>
      <c r="CA95" s="2135"/>
      <c r="CB95" s="2135"/>
      <c r="CC95" s="2135"/>
      <c r="CD95" s="2135"/>
      <c r="CE95" s="2135"/>
      <c r="CF95" s="2135"/>
      <c r="CG95" s="2135"/>
      <c r="CH95" s="468"/>
      <c r="CI95" s="468"/>
      <c r="CJ95" s="468"/>
      <c r="CK95" s="468"/>
      <c r="CL95" s="468"/>
      <c r="CM95" s="468"/>
      <c r="CN95" s="468"/>
      <c r="CO95" s="468"/>
      <c r="CP95" s="468"/>
      <c r="CQ95" s="468"/>
      <c r="CR95" s="468"/>
      <c r="CS95" s="468"/>
      <c r="CT95" s="468"/>
      <c r="CU95" s="468"/>
      <c r="CV95" s="468"/>
      <c r="CW95" s="468"/>
      <c r="CX95" s="468"/>
      <c r="CY95" s="468"/>
      <c r="CZ95" s="468"/>
      <c r="DA95" s="468"/>
      <c r="DB95" s="468"/>
      <c r="DC95" s="468"/>
      <c r="DD95" s="468"/>
      <c r="DE95" s="468"/>
      <c r="DF95" s="468"/>
      <c r="DG95" s="468"/>
      <c r="DH95" s="468"/>
      <c r="DI95" s="468"/>
      <c r="DJ95" s="468"/>
      <c r="DK95" s="468"/>
      <c r="DL95" s="468"/>
      <c r="DM95" s="468"/>
      <c r="DN95" s="468"/>
      <c r="DO95" s="468"/>
      <c r="DP95" s="468"/>
      <c r="DQ95" s="468"/>
      <c r="DR95" s="468"/>
      <c r="DS95" s="468"/>
      <c r="DT95" s="468"/>
      <c r="DU95" s="468"/>
      <c r="DV95" s="468"/>
      <c r="DW95" s="468"/>
      <c r="DX95" s="468"/>
      <c r="DY95" s="468"/>
      <c r="DZ95" s="468"/>
      <c r="EA95" s="468"/>
      <c r="EB95" s="468"/>
      <c r="EC95" s="468"/>
      <c r="ED95" s="468"/>
      <c r="EE95" s="468"/>
      <c r="EF95" s="468"/>
      <c r="EG95" s="468"/>
      <c r="EH95" s="468"/>
      <c r="EI95" s="471"/>
      <c r="EJ95" s="468"/>
      <c r="EK95" s="468"/>
      <c r="EL95" s="468"/>
      <c r="EM95" s="468"/>
      <c r="EN95" s="468"/>
      <c r="EO95" s="468"/>
      <c r="EP95" s="468"/>
      <c r="EQ95" s="468"/>
      <c r="ER95" s="468"/>
      <c r="ES95" s="468"/>
      <c r="ET95" s="468"/>
      <c r="EU95" s="468"/>
      <c r="EV95" s="468"/>
      <c r="EW95" s="468"/>
      <c r="EX95" s="468"/>
      <c r="EY95" s="468"/>
      <c r="EZ95" s="468"/>
      <c r="FA95" s="468"/>
      <c r="FB95" s="468"/>
      <c r="FC95" s="468"/>
      <c r="FD95" s="468"/>
      <c r="FE95" s="468"/>
      <c r="FF95" s="468"/>
      <c r="FG95" s="468"/>
      <c r="FH95" s="468"/>
      <c r="FI95" s="468"/>
      <c r="FJ95" s="468"/>
      <c r="FK95" s="468"/>
      <c r="FL95" s="468"/>
      <c r="FM95" s="2137"/>
      <c r="FN95" s="468"/>
      <c r="FO95" s="468"/>
      <c r="FP95" s="468"/>
      <c r="FQ95" s="468"/>
      <c r="FR95" s="468"/>
      <c r="FS95" s="468"/>
      <c r="FT95" s="468"/>
      <c r="FU95" s="468"/>
      <c r="FV95" s="468"/>
      <c r="FW95" s="468"/>
      <c r="FX95" s="468"/>
      <c r="FY95" s="468"/>
      <c r="FZ95" s="468"/>
      <c r="GA95" s="468"/>
      <c r="GB95" s="468"/>
      <c r="GC95" s="468"/>
      <c r="GD95" s="468"/>
      <c r="GE95" s="468"/>
      <c r="GF95" s="468"/>
      <c r="GG95" s="468"/>
      <c r="GH95" s="468"/>
      <c r="GI95" s="468"/>
      <c r="GJ95" s="468"/>
      <c r="GK95" s="468"/>
      <c r="GL95" s="468"/>
      <c r="GM95" s="468"/>
      <c r="GN95" s="468"/>
      <c r="GO95" s="468"/>
      <c r="GP95" s="468"/>
      <c r="GQ95" s="468"/>
      <c r="GR95" s="468"/>
      <c r="GS95" s="468"/>
      <c r="GT95" s="468"/>
      <c r="GU95" s="2135"/>
    </row>
    <row r="96" spans="1:203" ht="18.899999999999999" customHeight="1">
      <c r="A96" s="2135"/>
      <c r="B96" s="2135"/>
      <c r="C96" s="2136"/>
      <c r="D96" s="468"/>
      <c r="E96" s="468"/>
      <c r="F96" s="468"/>
      <c r="G96" s="468"/>
      <c r="H96" s="468"/>
      <c r="I96" s="468"/>
      <c r="J96" s="468"/>
      <c r="K96" s="468"/>
      <c r="L96" s="468"/>
      <c r="M96" s="468"/>
      <c r="N96" s="468"/>
      <c r="O96" s="468"/>
      <c r="P96" s="468"/>
      <c r="Q96" s="468"/>
      <c r="R96" s="468"/>
      <c r="S96" s="468"/>
      <c r="T96" s="468"/>
      <c r="U96" s="468"/>
      <c r="V96" s="468"/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468"/>
      <c r="AI96" s="468"/>
      <c r="AJ96" s="468"/>
      <c r="AK96" s="468"/>
      <c r="AL96" s="468"/>
      <c r="AM96" s="468"/>
      <c r="AN96" s="468"/>
      <c r="AO96" s="468"/>
      <c r="AP96" s="468"/>
      <c r="AQ96" s="468"/>
      <c r="AR96" s="468"/>
      <c r="AS96" s="468"/>
      <c r="AT96" s="468"/>
      <c r="AU96" s="468"/>
      <c r="AV96" s="468"/>
      <c r="AW96" s="468"/>
      <c r="AX96" s="468"/>
      <c r="AY96" s="468"/>
      <c r="AZ96" s="468"/>
      <c r="BA96" s="468"/>
      <c r="BB96" s="468"/>
      <c r="BC96" s="468"/>
      <c r="BD96" s="468"/>
      <c r="BE96" s="468"/>
      <c r="BF96" s="2135"/>
      <c r="BG96" s="2135"/>
      <c r="BH96" s="2135"/>
      <c r="BI96" s="2135"/>
      <c r="BJ96" s="2135"/>
      <c r="BK96" s="2135"/>
      <c r="BL96" s="2135"/>
      <c r="BM96" s="468"/>
      <c r="BN96" s="468"/>
      <c r="BO96" s="468"/>
      <c r="BP96" s="468"/>
      <c r="BQ96" s="468"/>
      <c r="BR96" s="468"/>
      <c r="BS96" s="468"/>
      <c r="BT96" s="468"/>
      <c r="BU96" s="468"/>
      <c r="BV96" s="468"/>
      <c r="BW96" s="468"/>
      <c r="BX96" s="468"/>
      <c r="BY96" s="2135"/>
      <c r="BZ96" s="2135"/>
      <c r="CA96" s="2135"/>
      <c r="CB96" s="2135"/>
      <c r="CC96" s="2135"/>
      <c r="CD96" s="2135"/>
      <c r="CE96" s="2135"/>
      <c r="CF96" s="2135"/>
      <c r="CG96" s="2135"/>
      <c r="CH96" s="468"/>
      <c r="CI96" s="468"/>
      <c r="CJ96" s="468"/>
      <c r="CK96" s="468"/>
      <c r="CL96" s="468"/>
      <c r="CM96" s="468"/>
      <c r="CN96" s="468"/>
      <c r="CO96" s="468"/>
      <c r="CP96" s="468"/>
      <c r="CQ96" s="468"/>
      <c r="CR96" s="468"/>
      <c r="CS96" s="468"/>
      <c r="CT96" s="468"/>
      <c r="CU96" s="468"/>
      <c r="CV96" s="468"/>
      <c r="CW96" s="468"/>
      <c r="CX96" s="468"/>
      <c r="CY96" s="468"/>
      <c r="CZ96" s="468"/>
      <c r="DA96" s="468"/>
      <c r="DB96" s="468"/>
      <c r="DC96" s="468"/>
      <c r="DD96" s="468"/>
      <c r="DE96" s="468"/>
      <c r="DF96" s="468"/>
      <c r="DG96" s="468"/>
      <c r="DH96" s="468"/>
      <c r="DI96" s="468"/>
      <c r="DJ96" s="468"/>
      <c r="DK96" s="468"/>
      <c r="DL96" s="468"/>
      <c r="DM96" s="468"/>
      <c r="DN96" s="468"/>
      <c r="DO96" s="468"/>
      <c r="DP96" s="468"/>
      <c r="DQ96" s="468"/>
      <c r="DR96" s="468"/>
      <c r="DS96" s="468"/>
      <c r="DT96" s="468"/>
      <c r="DU96" s="468"/>
      <c r="DV96" s="468"/>
      <c r="DW96" s="468"/>
      <c r="DX96" s="468"/>
      <c r="DY96" s="468"/>
      <c r="DZ96" s="468"/>
      <c r="EA96" s="468"/>
      <c r="EB96" s="468"/>
      <c r="EC96" s="468"/>
      <c r="ED96" s="468"/>
      <c r="EE96" s="468"/>
      <c r="EF96" s="468"/>
      <c r="EG96" s="468"/>
      <c r="EH96" s="468"/>
      <c r="EI96" s="471"/>
      <c r="EJ96" s="468"/>
      <c r="EK96" s="468"/>
      <c r="EL96" s="468"/>
      <c r="EM96" s="468"/>
      <c r="EN96" s="468"/>
      <c r="EO96" s="468"/>
      <c r="EP96" s="468"/>
      <c r="EQ96" s="468"/>
      <c r="ER96" s="468"/>
      <c r="ES96" s="468"/>
      <c r="ET96" s="468"/>
      <c r="EU96" s="468"/>
      <c r="EV96" s="468"/>
      <c r="EW96" s="468"/>
      <c r="EX96" s="468"/>
      <c r="EY96" s="468"/>
      <c r="EZ96" s="468"/>
      <c r="FA96" s="468"/>
      <c r="FB96" s="468"/>
      <c r="FC96" s="468"/>
      <c r="FD96" s="468"/>
      <c r="FE96" s="468"/>
      <c r="FF96" s="468"/>
      <c r="FG96" s="468"/>
      <c r="FH96" s="468"/>
      <c r="FI96" s="468"/>
      <c r="FJ96" s="468"/>
      <c r="FK96" s="468"/>
      <c r="FL96" s="468"/>
      <c r="FM96" s="2137"/>
      <c r="FN96" s="468"/>
      <c r="FO96" s="468"/>
      <c r="FP96" s="468"/>
      <c r="FQ96" s="468"/>
      <c r="FR96" s="468"/>
      <c r="FS96" s="468"/>
      <c r="FT96" s="468"/>
      <c r="FU96" s="468"/>
      <c r="FV96" s="468"/>
      <c r="FW96" s="468"/>
      <c r="FX96" s="468"/>
      <c r="FY96" s="468"/>
      <c r="FZ96" s="468"/>
      <c r="GA96" s="468"/>
      <c r="GB96" s="468"/>
      <c r="GC96" s="468"/>
      <c r="GD96" s="468"/>
      <c r="GE96" s="468"/>
      <c r="GF96" s="468"/>
      <c r="GG96" s="468"/>
      <c r="GH96" s="468"/>
      <c r="GI96" s="468"/>
      <c r="GJ96" s="468"/>
      <c r="GK96" s="468"/>
      <c r="GL96" s="468"/>
      <c r="GM96" s="468"/>
      <c r="GN96" s="468"/>
      <c r="GO96" s="468"/>
      <c r="GP96" s="468"/>
      <c r="GQ96" s="468"/>
      <c r="GR96" s="468"/>
      <c r="GS96" s="468"/>
      <c r="GT96" s="468"/>
      <c r="GU96" s="2135"/>
    </row>
    <row r="97" spans="1:203" ht="18.899999999999999" customHeight="1">
      <c r="A97" s="2135"/>
      <c r="B97" s="2135"/>
      <c r="C97" s="2136"/>
      <c r="D97" s="468"/>
      <c r="E97" s="468"/>
      <c r="F97" s="468"/>
      <c r="G97" s="468"/>
      <c r="H97" s="468"/>
      <c r="I97" s="468"/>
      <c r="J97" s="468"/>
      <c r="K97" s="468"/>
      <c r="L97" s="468"/>
      <c r="M97" s="468"/>
      <c r="N97" s="468"/>
      <c r="O97" s="468"/>
      <c r="P97" s="468"/>
      <c r="Q97" s="468"/>
      <c r="R97" s="468"/>
      <c r="S97" s="468"/>
      <c r="T97" s="468"/>
      <c r="U97" s="468"/>
      <c r="V97" s="468"/>
      <c r="W97" s="468"/>
      <c r="X97" s="468"/>
      <c r="Y97" s="468"/>
      <c r="Z97" s="468"/>
      <c r="AA97" s="468"/>
      <c r="AB97" s="468"/>
      <c r="AC97" s="468"/>
      <c r="AD97" s="468"/>
      <c r="AE97" s="468"/>
      <c r="AF97" s="468"/>
      <c r="AG97" s="468"/>
      <c r="AH97" s="468"/>
      <c r="AI97" s="468"/>
      <c r="AJ97" s="468"/>
      <c r="AK97" s="468"/>
      <c r="AL97" s="468"/>
      <c r="AM97" s="468"/>
      <c r="AN97" s="468"/>
      <c r="AO97" s="468"/>
      <c r="AP97" s="468"/>
      <c r="AQ97" s="468"/>
      <c r="AR97" s="468"/>
      <c r="AS97" s="468"/>
      <c r="AT97" s="468"/>
      <c r="AU97" s="468"/>
      <c r="AV97" s="468"/>
      <c r="AW97" s="468"/>
      <c r="AX97" s="468"/>
      <c r="AY97" s="468"/>
      <c r="AZ97" s="468"/>
      <c r="BA97" s="468"/>
      <c r="BB97" s="468"/>
      <c r="BC97" s="468"/>
      <c r="BD97" s="468"/>
      <c r="BE97" s="468"/>
      <c r="BF97" s="2135"/>
      <c r="BG97" s="2135"/>
      <c r="BH97" s="2135"/>
      <c r="BI97" s="2135"/>
      <c r="BJ97" s="2135"/>
      <c r="BK97" s="2135"/>
      <c r="BL97" s="2135"/>
      <c r="BM97" s="468"/>
      <c r="BN97" s="468"/>
      <c r="BO97" s="468"/>
      <c r="BP97" s="468"/>
      <c r="BQ97" s="468"/>
      <c r="BR97" s="468"/>
      <c r="BS97" s="468"/>
      <c r="BT97" s="468"/>
      <c r="BU97" s="468"/>
      <c r="BV97" s="468"/>
      <c r="BW97" s="468"/>
      <c r="BX97" s="468"/>
      <c r="BY97" s="2135"/>
      <c r="BZ97" s="2135"/>
      <c r="CA97" s="2135"/>
      <c r="CB97" s="2135"/>
      <c r="CC97" s="2135"/>
      <c r="CD97" s="2135"/>
      <c r="CE97" s="2135"/>
      <c r="CF97" s="2135"/>
      <c r="CG97" s="2135"/>
      <c r="CH97" s="468"/>
      <c r="CI97" s="468"/>
      <c r="CJ97" s="468"/>
      <c r="CK97" s="468"/>
      <c r="CL97" s="468"/>
      <c r="CM97" s="468"/>
      <c r="CN97" s="468"/>
      <c r="CO97" s="468"/>
      <c r="CP97" s="468"/>
      <c r="CQ97" s="468"/>
      <c r="CR97" s="468"/>
      <c r="CS97" s="468"/>
      <c r="CT97" s="468"/>
      <c r="CU97" s="468"/>
      <c r="CV97" s="468"/>
      <c r="CW97" s="468"/>
      <c r="CX97" s="468"/>
      <c r="CY97" s="468"/>
      <c r="CZ97" s="468"/>
      <c r="DA97" s="468"/>
      <c r="DB97" s="468"/>
      <c r="DC97" s="468"/>
      <c r="DD97" s="468"/>
      <c r="DE97" s="468"/>
      <c r="DF97" s="468"/>
      <c r="DG97" s="468"/>
      <c r="DH97" s="468"/>
      <c r="DI97" s="468"/>
      <c r="DJ97" s="468"/>
      <c r="DK97" s="468"/>
      <c r="DL97" s="468"/>
      <c r="DM97" s="468"/>
      <c r="DN97" s="468"/>
      <c r="DO97" s="468"/>
      <c r="DP97" s="468"/>
      <c r="DQ97" s="468"/>
      <c r="DR97" s="468"/>
      <c r="DS97" s="468"/>
      <c r="DT97" s="468"/>
      <c r="DU97" s="468"/>
      <c r="DV97" s="468"/>
      <c r="DW97" s="468"/>
      <c r="DX97" s="468"/>
      <c r="DY97" s="468"/>
      <c r="DZ97" s="468"/>
      <c r="EA97" s="468"/>
      <c r="EB97" s="468"/>
      <c r="EC97" s="468"/>
      <c r="ED97" s="468"/>
      <c r="EE97" s="468"/>
      <c r="EF97" s="468"/>
      <c r="EG97" s="468"/>
      <c r="EH97" s="468"/>
      <c r="EI97" s="471"/>
      <c r="EJ97" s="468"/>
      <c r="EK97" s="468"/>
      <c r="EL97" s="468"/>
      <c r="EM97" s="468"/>
      <c r="EN97" s="468"/>
      <c r="EO97" s="468"/>
      <c r="EP97" s="468"/>
      <c r="EQ97" s="468"/>
      <c r="ER97" s="468"/>
      <c r="ES97" s="468"/>
      <c r="ET97" s="468"/>
      <c r="EU97" s="468"/>
      <c r="EV97" s="468"/>
      <c r="EW97" s="468"/>
      <c r="EX97" s="468"/>
      <c r="EY97" s="468"/>
      <c r="EZ97" s="468"/>
      <c r="FA97" s="468"/>
      <c r="FB97" s="468"/>
      <c r="FC97" s="468"/>
      <c r="FD97" s="468"/>
      <c r="FE97" s="468"/>
      <c r="FF97" s="468"/>
      <c r="FG97" s="468"/>
      <c r="FH97" s="468"/>
      <c r="FI97" s="468"/>
      <c r="FJ97" s="468"/>
      <c r="FK97" s="468"/>
      <c r="FL97" s="468"/>
      <c r="FM97" s="2137"/>
      <c r="FN97" s="468"/>
      <c r="FO97" s="468"/>
      <c r="FP97" s="468"/>
      <c r="FQ97" s="468"/>
      <c r="FR97" s="468"/>
      <c r="FS97" s="468"/>
      <c r="FT97" s="468"/>
      <c r="FU97" s="468"/>
      <c r="FV97" s="468"/>
      <c r="FW97" s="468"/>
      <c r="FX97" s="468"/>
      <c r="FY97" s="468"/>
      <c r="FZ97" s="468"/>
      <c r="GA97" s="468"/>
      <c r="GB97" s="468"/>
      <c r="GC97" s="468"/>
      <c r="GD97" s="468"/>
      <c r="GE97" s="468"/>
      <c r="GF97" s="468"/>
      <c r="GG97" s="468"/>
      <c r="GH97" s="468"/>
      <c r="GI97" s="468"/>
      <c r="GJ97" s="468"/>
      <c r="GK97" s="468"/>
      <c r="GL97" s="468"/>
      <c r="GM97" s="468"/>
      <c r="GN97" s="468"/>
      <c r="GO97" s="468"/>
      <c r="GP97" s="468"/>
      <c r="GQ97" s="468"/>
      <c r="GR97" s="468"/>
      <c r="GS97" s="468"/>
      <c r="GT97" s="468"/>
      <c r="GU97" s="2135"/>
    </row>
    <row r="98" spans="1:203" ht="18.899999999999999" customHeight="1">
      <c r="A98" s="2135"/>
      <c r="B98" s="2135"/>
      <c r="C98" s="2136"/>
      <c r="D98" s="468"/>
      <c r="E98" s="468"/>
      <c r="F98" s="468"/>
      <c r="G98" s="468"/>
      <c r="H98" s="468"/>
      <c r="I98" s="468"/>
      <c r="J98" s="468"/>
      <c r="K98" s="468"/>
      <c r="L98" s="468"/>
      <c r="M98" s="468"/>
      <c r="N98" s="468"/>
      <c r="O98" s="468"/>
      <c r="P98" s="468"/>
      <c r="Q98" s="468"/>
      <c r="R98" s="468"/>
      <c r="S98" s="468"/>
      <c r="T98" s="468"/>
      <c r="U98" s="468"/>
      <c r="V98" s="468"/>
      <c r="W98" s="468"/>
      <c r="X98" s="468"/>
      <c r="Y98" s="468"/>
      <c r="Z98" s="468"/>
      <c r="AA98" s="468"/>
      <c r="AB98" s="468"/>
      <c r="AC98" s="468"/>
      <c r="AD98" s="468"/>
      <c r="AE98" s="468"/>
      <c r="AF98" s="468"/>
      <c r="AG98" s="468"/>
      <c r="AH98" s="468"/>
      <c r="AI98" s="468"/>
      <c r="AJ98" s="468"/>
      <c r="AK98" s="468"/>
      <c r="AL98" s="468"/>
      <c r="AM98" s="468"/>
      <c r="AN98" s="468"/>
      <c r="AO98" s="468"/>
      <c r="AP98" s="468"/>
      <c r="AQ98" s="468"/>
      <c r="AR98" s="468"/>
      <c r="AS98" s="468"/>
      <c r="AT98" s="468"/>
      <c r="AU98" s="468"/>
      <c r="AV98" s="468"/>
      <c r="AW98" s="468"/>
      <c r="AX98" s="468"/>
      <c r="AY98" s="468"/>
      <c r="AZ98" s="468"/>
      <c r="BA98" s="468"/>
      <c r="BB98" s="468"/>
      <c r="BC98" s="468"/>
      <c r="BD98" s="468"/>
      <c r="BE98" s="468"/>
      <c r="BF98" s="2135"/>
      <c r="BG98" s="2135"/>
      <c r="BH98" s="2135"/>
      <c r="BI98" s="2135"/>
      <c r="BJ98" s="2135"/>
      <c r="BK98" s="2135"/>
      <c r="BL98" s="2135"/>
      <c r="BM98" s="468"/>
      <c r="BN98" s="468"/>
      <c r="BO98" s="468"/>
      <c r="BP98" s="468"/>
      <c r="BQ98" s="468"/>
      <c r="BR98" s="468"/>
      <c r="BS98" s="468"/>
      <c r="BT98" s="468"/>
      <c r="BU98" s="468"/>
      <c r="BV98" s="468"/>
      <c r="BW98" s="468"/>
      <c r="BX98" s="468"/>
      <c r="BY98" s="2135"/>
      <c r="BZ98" s="2135"/>
      <c r="CA98" s="2135"/>
      <c r="CB98" s="2135"/>
      <c r="CC98" s="2135"/>
      <c r="CD98" s="2135"/>
      <c r="CE98" s="2135"/>
      <c r="CF98" s="2135"/>
      <c r="CG98" s="2135"/>
      <c r="CH98" s="468"/>
      <c r="CI98" s="468"/>
      <c r="CJ98" s="468"/>
      <c r="CK98" s="468"/>
      <c r="CL98" s="468"/>
      <c r="CM98" s="468"/>
      <c r="CN98" s="468"/>
      <c r="CO98" s="468"/>
      <c r="CP98" s="468"/>
      <c r="CQ98" s="468"/>
      <c r="CR98" s="468"/>
      <c r="CS98" s="468"/>
      <c r="CT98" s="468"/>
      <c r="CU98" s="468"/>
      <c r="CV98" s="468"/>
      <c r="CW98" s="468"/>
      <c r="CX98" s="468"/>
      <c r="CY98" s="468"/>
      <c r="CZ98" s="468"/>
      <c r="DA98" s="468"/>
      <c r="DB98" s="468"/>
      <c r="DC98" s="468"/>
      <c r="DD98" s="468"/>
      <c r="DE98" s="468"/>
      <c r="DF98" s="468"/>
      <c r="DG98" s="468"/>
      <c r="DH98" s="468"/>
      <c r="DI98" s="468"/>
      <c r="DJ98" s="468"/>
      <c r="DK98" s="468"/>
      <c r="DL98" s="468"/>
      <c r="DM98" s="468"/>
      <c r="DN98" s="468"/>
      <c r="DO98" s="468"/>
      <c r="DP98" s="468"/>
      <c r="DQ98" s="468"/>
      <c r="DR98" s="468"/>
      <c r="DS98" s="468"/>
      <c r="DT98" s="468"/>
      <c r="DU98" s="468"/>
      <c r="DV98" s="468"/>
      <c r="DW98" s="468"/>
      <c r="DX98" s="468"/>
      <c r="DY98" s="468"/>
      <c r="DZ98" s="468"/>
      <c r="EA98" s="468"/>
      <c r="EB98" s="468"/>
      <c r="EC98" s="468"/>
      <c r="ED98" s="468"/>
      <c r="EE98" s="468"/>
      <c r="EF98" s="468"/>
      <c r="EG98" s="468"/>
      <c r="EH98" s="468"/>
      <c r="EI98" s="471"/>
      <c r="EJ98" s="468"/>
      <c r="EK98" s="468"/>
      <c r="EL98" s="468"/>
      <c r="EM98" s="468"/>
      <c r="EN98" s="468"/>
      <c r="EO98" s="468"/>
      <c r="EP98" s="468"/>
      <c r="EQ98" s="468"/>
      <c r="ER98" s="468"/>
      <c r="ES98" s="468"/>
      <c r="ET98" s="468"/>
      <c r="EU98" s="468"/>
      <c r="EV98" s="468"/>
      <c r="EW98" s="468"/>
      <c r="EX98" s="468"/>
      <c r="EY98" s="468"/>
      <c r="EZ98" s="468"/>
      <c r="FA98" s="468"/>
      <c r="FB98" s="468"/>
      <c r="FC98" s="468"/>
      <c r="FD98" s="468"/>
      <c r="FE98" s="468"/>
      <c r="FF98" s="468"/>
      <c r="FG98" s="468"/>
      <c r="FH98" s="468"/>
      <c r="FI98" s="468"/>
      <c r="FJ98" s="468"/>
      <c r="FK98" s="468"/>
      <c r="FL98" s="468"/>
      <c r="FM98" s="2137"/>
      <c r="FN98" s="468"/>
      <c r="FO98" s="468"/>
      <c r="FP98" s="468"/>
      <c r="FQ98" s="468"/>
      <c r="FR98" s="468"/>
      <c r="FS98" s="468"/>
      <c r="FT98" s="468"/>
      <c r="FU98" s="468"/>
      <c r="FV98" s="468"/>
      <c r="FW98" s="468"/>
      <c r="FX98" s="468"/>
      <c r="FY98" s="468"/>
      <c r="FZ98" s="468"/>
      <c r="GA98" s="468"/>
      <c r="GB98" s="468"/>
      <c r="GC98" s="468"/>
      <c r="GD98" s="468"/>
      <c r="GE98" s="468"/>
      <c r="GF98" s="468"/>
      <c r="GG98" s="468"/>
      <c r="GH98" s="468"/>
      <c r="GI98" s="468"/>
      <c r="GJ98" s="468"/>
      <c r="GK98" s="468"/>
      <c r="GL98" s="468"/>
      <c r="GM98" s="468"/>
      <c r="GN98" s="468"/>
      <c r="GO98" s="468"/>
      <c r="GP98" s="468"/>
      <c r="GQ98" s="468"/>
      <c r="GR98" s="468"/>
      <c r="GS98" s="468"/>
      <c r="GT98" s="468"/>
      <c r="GU98" s="2135"/>
    </row>
    <row r="99" spans="1:203" ht="18.899999999999999" customHeight="1">
      <c r="A99" s="2135"/>
      <c r="B99" s="2135"/>
      <c r="C99" s="2136"/>
      <c r="D99" s="468"/>
      <c r="E99" s="468"/>
      <c r="F99" s="468"/>
      <c r="G99" s="468"/>
      <c r="H99" s="468"/>
      <c r="I99" s="468"/>
      <c r="J99" s="468"/>
      <c r="K99" s="468"/>
      <c r="L99" s="468"/>
      <c r="M99" s="468"/>
      <c r="N99" s="468"/>
      <c r="O99" s="468"/>
      <c r="P99" s="468"/>
      <c r="Q99" s="468"/>
      <c r="R99" s="468"/>
      <c r="S99" s="468"/>
      <c r="T99" s="468"/>
      <c r="U99" s="468"/>
      <c r="V99" s="468"/>
      <c r="W99" s="468"/>
      <c r="X99" s="468"/>
      <c r="Y99" s="468"/>
      <c r="Z99" s="468"/>
      <c r="AA99" s="468"/>
      <c r="AB99" s="468"/>
      <c r="AC99" s="468"/>
      <c r="AD99" s="468"/>
      <c r="AE99" s="468"/>
      <c r="AF99" s="468"/>
      <c r="AG99" s="468"/>
      <c r="AH99" s="468"/>
      <c r="AI99" s="468"/>
      <c r="AJ99" s="468"/>
      <c r="AK99" s="468"/>
      <c r="AL99" s="468"/>
      <c r="AM99" s="468"/>
      <c r="AN99" s="468"/>
      <c r="AO99" s="468"/>
      <c r="AP99" s="468"/>
      <c r="AQ99" s="468"/>
      <c r="AR99" s="468"/>
      <c r="AS99" s="468"/>
      <c r="AT99" s="468"/>
      <c r="AU99" s="468"/>
      <c r="AV99" s="468"/>
      <c r="AW99" s="468"/>
      <c r="AX99" s="468"/>
      <c r="AY99" s="468"/>
      <c r="AZ99" s="468"/>
      <c r="BA99" s="468"/>
      <c r="BB99" s="468"/>
      <c r="BC99" s="468"/>
      <c r="BD99" s="468"/>
      <c r="BE99" s="468"/>
      <c r="BF99" s="2135"/>
      <c r="BG99" s="2135"/>
      <c r="BH99" s="2135"/>
      <c r="BI99" s="2135"/>
      <c r="BJ99" s="2135"/>
      <c r="BK99" s="2135"/>
      <c r="BL99" s="2135"/>
      <c r="BM99" s="468"/>
      <c r="BN99" s="468"/>
      <c r="BO99" s="468"/>
      <c r="BP99" s="468"/>
      <c r="BQ99" s="468"/>
      <c r="BR99" s="468"/>
      <c r="BS99" s="468"/>
      <c r="BT99" s="468"/>
      <c r="BU99" s="468"/>
      <c r="BV99" s="468"/>
      <c r="BW99" s="468"/>
      <c r="BX99" s="468"/>
      <c r="BY99" s="2135"/>
      <c r="BZ99" s="2135"/>
      <c r="CA99" s="2135"/>
      <c r="CB99" s="2135"/>
      <c r="CC99" s="2135"/>
      <c r="CD99" s="2135"/>
      <c r="CE99" s="2135"/>
      <c r="CF99" s="2135"/>
      <c r="CG99" s="2135"/>
      <c r="CH99" s="468"/>
      <c r="CI99" s="468"/>
      <c r="CJ99" s="468"/>
      <c r="CK99" s="468"/>
      <c r="CL99" s="468"/>
      <c r="CM99" s="468"/>
      <c r="CN99" s="468"/>
      <c r="CO99" s="468"/>
      <c r="CP99" s="468"/>
      <c r="CQ99" s="468"/>
      <c r="CR99" s="468"/>
      <c r="CS99" s="468"/>
      <c r="CT99" s="468"/>
      <c r="CU99" s="468"/>
      <c r="CV99" s="468"/>
      <c r="CW99" s="468"/>
      <c r="CX99" s="468"/>
      <c r="CY99" s="468"/>
      <c r="CZ99" s="468"/>
      <c r="DA99" s="468"/>
      <c r="DB99" s="468"/>
      <c r="DC99" s="468"/>
      <c r="DD99" s="468"/>
      <c r="DE99" s="468"/>
      <c r="DF99" s="468"/>
      <c r="DG99" s="468"/>
      <c r="DH99" s="468"/>
      <c r="DI99" s="468"/>
      <c r="DJ99" s="468"/>
      <c r="DK99" s="468"/>
      <c r="DL99" s="468"/>
      <c r="DM99" s="468"/>
      <c r="DN99" s="468"/>
      <c r="DO99" s="468"/>
      <c r="DP99" s="468"/>
      <c r="DQ99" s="468"/>
      <c r="DR99" s="468"/>
      <c r="DS99" s="468"/>
      <c r="DT99" s="468"/>
      <c r="DU99" s="468"/>
      <c r="DV99" s="468"/>
      <c r="DW99" s="468"/>
      <c r="DX99" s="468"/>
      <c r="DY99" s="468"/>
      <c r="DZ99" s="468"/>
      <c r="EA99" s="468"/>
      <c r="EB99" s="468"/>
      <c r="EC99" s="468"/>
      <c r="ED99" s="468"/>
      <c r="EE99" s="468"/>
      <c r="EF99" s="468"/>
      <c r="EG99" s="468"/>
      <c r="EH99" s="468"/>
      <c r="EI99" s="471"/>
      <c r="EJ99" s="468"/>
      <c r="EK99" s="468"/>
      <c r="EL99" s="468"/>
      <c r="EM99" s="468"/>
      <c r="EN99" s="468"/>
      <c r="EO99" s="468"/>
      <c r="EP99" s="468"/>
      <c r="EQ99" s="468"/>
      <c r="ER99" s="468"/>
      <c r="ES99" s="468"/>
      <c r="ET99" s="468"/>
      <c r="EU99" s="468"/>
      <c r="EV99" s="468"/>
      <c r="EW99" s="468"/>
      <c r="EX99" s="468"/>
      <c r="EY99" s="468"/>
      <c r="EZ99" s="468"/>
      <c r="FA99" s="468"/>
      <c r="FB99" s="468"/>
      <c r="FC99" s="468"/>
      <c r="FD99" s="468"/>
      <c r="FE99" s="468"/>
      <c r="FF99" s="468"/>
      <c r="FG99" s="468"/>
      <c r="FH99" s="468"/>
      <c r="FI99" s="468"/>
      <c r="FJ99" s="468"/>
      <c r="FK99" s="468"/>
      <c r="FL99" s="468"/>
      <c r="FM99" s="2137"/>
      <c r="FN99" s="468"/>
      <c r="FO99" s="468"/>
      <c r="FP99" s="468"/>
      <c r="FQ99" s="468"/>
      <c r="FR99" s="468"/>
      <c r="FS99" s="468"/>
      <c r="FT99" s="468"/>
      <c r="FU99" s="468"/>
      <c r="FV99" s="468"/>
      <c r="FW99" s="468"/>
      <c r="FX99" s="468"/>
      <c r="FY99" s="468"/>
      <c r="FZ99" s="468"/>
      <c r="GA99" s="468"/>
      <c r="GB99" s="468"/>
      <c r="GC99" s="468"/>
      <c r="GD99" s="468"/>
      <c r="GE99" s="468"/>
      <c r="GF99" s="468"/>
      <c r="GG99" s="468"/>
      <c r="GH99" s="468"/>
      <c r="GI99" s="468"/>
      <c r="GJ99" s="468"/>
      <c r="GK99" s="468"/>
      <c r="GL99" s="468"/>
      <c r="GM99" s="468"/>
      <c r="GN99" s="468"/>
      <c r="GO99" s="468"/>
      <c r="GP99" s="468"/>
      <c r="GQ99" s="468"/>
      <c r="GR99" s="468"/>
      <c r="GS99" s="468"/>
      <c r="GT99" s="468"/>
      <c r="GU99" s="2135"/>
    </row>
    <row r="100" spans="1:203" ht="18.899999999999999" customHeight="1">
      <c r="A100" s="2135"/>
      <c r="B100" s="2135"/>
      <c r="C100" s="2136"/>
      <c r="D100" s="468"/>
      <c r="E100" s="468"/>
      <c r="F100" s="468"/>
      <c r="G100" s="468"/>
      <c r="H100" s="468"/>
      <c r="I100" s="468"/>
      <c r="J100" s="468"/>
      <c r="K100" s="468"/>
      <c r="L100" s="468"/>
      <c r="M100" s="468"/>
      <c r="N100" s="468"/>
      <c r="O100" s="468"/>
      <c r="P100" s="468"/>
      <c r="Q100" s="468"/>
      <c r="R100" s="468"/>
      <c r="S100" s="468"/>
      <c r="T100" s="468"/>
      <c r="U100" s="468"/>
      <c r="V100" s="468"/>
      <c r="W100" s="468"/>
      <c r="X100" s="468"/>
      <c r="Y100" s="468"/>
      <c r="Z100" s="468"/>
      <c r="AA100" s="468"/>
      <c r="AB100" s="468"/>
      <c r="AC100" s="468"/>
      <c r="AD100" s="468"/>
      <c r="AE100" s="468"/>
      <c r="AF100" s="468"/>
      <c r="AG100" s="468"/>
      <c r="AH100" s="468"/>
      <c r="AI100" s="468"/>
      <c r="AJ100" s="468"/>
      <c r="AK100" s="468"/>
      <c r="AL100" s="468"/>
      <c r="AM100" s="468"/>
      <c r="AN100" s="468"/>
      <c r="AO100" s="468"/>
      <c r="AP100" s="468"/>
      <c r="AQ100" s="468"/>
      <c r="AR100" s="468"/>
      <c r="AS100" s="468"/>
      <c r="AT100" s="468"/>
      <c r="AU100" s="468"/>
      <c r="AV100" s="468"/>
      <c r="AW100" s="468"/>
      <c r="AX100" s="468"/>
      <c r="AY100" s="468"/>
      <c r="AZ100" s="468"/>
      <c r="BA100" s="468"/>
      <c r="BB100" s="468"/>
      <c r="BC100" s="468"/>
      <c r="BD100" s="468"/>
      <c r="BE100" s="468"/>
      <c r="BF100" s="2135"/>
      <c r="BG100" s="2135"/>
      <c r="BH100" s="2135"/>
      <c r="BI100" s="2135"/>
      <c r="BJ100" s="2135"/>
      <c r="BK100" s="2135"/>
      <c r="BL100" s="2135"/>
      <c r="BM100" s="468"/>
      <c r="BN100" s="468"/>
      <c r="BO100" s="468"/>
      <c r="BP100" s="468"/>
      <c r="BQ100" s="468"/>
      <c r="BR100" s="468"/>
      <c r="BS100" s="468"/>
      <c r="BT100" s="468"/>
      <c r="BU100" s="468"/>
      <c r="BV100" s="468"/>
      <c r="BW100" s="468"/>
      <c r="BX100" s="468"/>
      <c r="BY100" s="2135"/>
      <c r="BZ100" s="2135"/>
      <c r="CA100" s="2135"/>
      <c r="CB100" s="2135"/>
      <c r="CC100" s="2135"/>
      <c r="CD100" s="2135"/>
      <c r="CE100" s="2135"/>
      <c r="CF100" s="2135"/>
      <c r="CG100" s="2135"/>
      <c r="CH100" s="468"/>
      <c r="CI100" s="468"/>
      <c r="CJ100" s="468"/>
      <c r="CK100" s="468"/>
      <c r="CL100" s="468"/>
      <c r="CM100" s="468"/>
      <c r="CN100" s="468"/>
      <c r="CO100" s="468"/>
      <c r="CP100" s="468"/>
      <c r="CQ100" s="468"/>
      <c r="CR100" s="468"/>
      <c r="CS100" s="468"/>
      <c r="CT100" s="468"/>
      <c r="CU100" s="468"/>
      <c r="CV100" s="468"/>
      <c r="CW100" s="468"/>
      <c r="CX100" s="468"/>
      <c r="CY100" s="468"/>
      <c r="CZ100" s="468"/>
      <c r="DA100" s="468"/>
      <c r="DB100" s="468"/>
      <c r="DC100" s="468"/>
      <c r="DD100" s="468"/>
      <c r="DE100" s="468"/>
      <c r="DF100" s="468"/>
      <c r="DG100" s="468"/>
      <c r="DH100" s="468"/>
      <c r="DI100" s="468"/>
      <c r="DJ100" s="468"/>
      <c r="DK100" s="468"/>
      <c r="DL100" s="468"/>
      <c r="DM100" s="468"/>
      <c r="DN100" s="468"/>
      <c r="DO100" s="468"/>
      <c r="DP100" s="468"/>
      <c r="DQ100" s="468"/>
      <c r="DR100" s="468"/>
      <c r="DS100" s="468"/>
      <c r="DT100" s="468"/>
      <c r="DU100" s="468"/>
      <c r="DV100" s="468"/>
      <c r="DW100" s="468"/>
      <c r="DX100" s="468"/>
      <c r="DY100" s="468"/>
      <c r="DZ100" s="468"/>
      <c r="EA100" s="468"/>
      <c r="EB100" s="468"/>
      <c r="EC100" s="468"/>
      <c r="ED100" s="468"/>
      <c r="EE100" s="468"/>
      <c r="EF100" s="468"/>
      <c r="EG100" s="468"/>
      <c r="EH100" s="468"/>
      <c r="EI100" s="471"/>
      <c r="EJ100" s="468"/>
      <c r="EK100" s="468"/>
      <c r="EL100" s="468"/>
      <c r="EM100" s="468"/>
      <c r="EN100" s="468"/>
      <c r="EO100" s="468"/>
      <c r="EP100" s="468"/>
      <c r="EQ100" s="468"/>
      <c r="ER100" s="468"/>
      <c r="ES100" s="468"/>
      <c r="ET100" s="468"/>
      <c r="EU100" s="468"/>
      <c r="EV100" s="468"/>
      <c r="EW100" s="468"/>
      <c r="EX100" s="468"/>
      <c r="EY100" s="468"/>
      <c r="EZ100" s="468"/>
      <c r="FA100" s="468"/>
      <c r="FB100" s="468"/>
      <c r="FC100" s="468"/>
      <c r="FD100" s="468"/>
      <c r="FE100" s="468"/>
      <c r="FF100" s="468"/>
      <c r="FG100" s="468"/>
      <c r="FH100" s="468"/>
      <c r="FI100" s="468"/>
      <c r="FJ100" s="468"/>
      <c r="FK100" s="468"/>
      <c r="FL100" s="468"/>
      <c r="FM100" s="2137"/>
      <c r="FN100" s="468"/>
      <c r="FO100" s="468"/>
      <c r="FP100" s="468"/>
      <c r="FQ100" s="468"/>
      <c r="FR100" s="468"/>
      <c r="FS100" s="468"/>
      <c r="FT100" s="468"/>
      <c r="FU100" s="468"/>
      <c r="FV100" s="468"/>
      <c r="FW100" s="468"/>
      <c r="FX100" s="468"/>
      <c r="FY100" s="468"/>
      <c r="FZ100" s="468"/>
      <c r="GA100" s="468"/>
      <c r="GB100" s="468"/>
      <c r="GC100" s="468"/>
      <c r="GD100" s="468"/>
      <c r="GE100" s="468"/>
      <c r="GF100" s="468"/>
      <c r="GG100" s="468"/>
      <c r="GH100" s="468"/>
      <c r="GI100" s="468"/>
      <c r="GJ100" s="468"/>
      <c r="GK100" s="468"/>
      <c r="GL100" s="468"/>
      <c r="GM100" s="468"/>
      <c r="GN100" s="468"/>
      <c r="GO100" s="468"/>
      <c r="GP100" s="468"/>
      <c r="GQ100" s="468"/>
      <c r="GR100" s="468"/>
      <c r="GS100" s="468"/>
      <c r="GT100" s="468"/>
      <c r="GU100" s="2135"/>
    </row>
    <row r="101" spans="1:203" ht="18.899999999999999" customHeight="1">
      <c r="A101" s="2135"/>
      <c r="B101" s="2135"/>
      <c r="C101" s="2136"/>
      <c r="D101" s="468"/>
      <c r="E101" s="468"/>
      <c r="F101" s="468"/>
      <c r="G101" s="468"/>
      <c r="H101" s="468"/>
      <c r="I101" s="468"/>
      <c r="J101" s="468"/>
      <c r="K101" s="468"/>
      <c r="L101" s="468"/>
      <c r="M101" s="468"/>
      <c r="N101" s="468"/>
      <c r="O101" s="468"/>
      <c r="P101" s="468"/>
      <c r="Q101" s="468"/>
      <c r="R101" s="468"/>
      <c r="S101" s="468"/>
      <c r="T101" s="468"/>
      <c r="U101" s="468"/>
      <c r="V101" s="468"/>
      <c r="W101" s="468"/>
      <c r="X101" s="468"/>
      <c r="Y101" s="468"/>
      <c r="Z101" s="468"/>
      <c r="AA101" s="468"/>
      <c r="AB101" s="468"/>
      <c r="AC101" s="468"/>
      <c r="AD101" s="468"/>
      <c r="AE101" s="468"/>
      <c r="AF101" s="468"/>
      <c r="AG101" s="468"/>
      <c r="AH101" s="468"/>
      <c r="AI101" s="468"/>
      <c r="AJ101" s="468"/>
      <c r="AK101" s="468"/>
      <c r="AL101" s="468"/>
      <c r="AM101" s="468"/>
      <c r="AN101" s="468"/>
      <c r="AO101" s="468"/>
      <c r="AP101" s="468"/>
      <c r="AQ101" s="468"/>
      <c r="AR101" s="468"/>
      <c r="AS101" s="468"/>
      <c r="AT101" s="468"/>
      <c r="AU101" s="468"/>
      <c r="AV101" s="468"/>
      <c r="AW101" s="468"/>
      <c r="AX101" s="468"/>
      <c r="AY101" s="468"/>
      <c r="AZ101" s="468"/>
      <c r="BA101" s="468"/>
      <c r="BB101" s="468"/>
      <c r="BC101" s="468"/>
      <c r="BD101" s="468"/>
      <c r="BE101" s="468"/>
      <c r="BF101" s="2135"/>
      <c r="BG101" s="2135"/>
      <c r="BH101" s="2135"/>
      <c r="BI101" s="2135"/>
      <c r="BJ101" s="2135"/>
      <c r="BK101" s="2135"/>
      <c r="BL101" s="2135"/>
      <c r="BM101" s="468"/>
      <c r="BN101" s="468"/>
      <c r="BO101" s="468"/>
      <c r="BP101" s="468"/>
      <c r="BQ101" s="468"/>
      <c r="BR101" s="468"/>
      <c r="BS101" s="468"/>
      <c r="BT101" s="468"/>
      <c r="BU101" s="468"/>
      <c r="BV101" s="468"/>
      <c r="BW101" s="468"/>
      <c r="BX101" s="468"/>
      <c r="BY101" s="2135"/>
      <c r="BZ101" s="2135"/>
      <c r="CA101" s="2135"/>
      <c r="CB101" s="2135"/>
      <c r="CC101" s="2135"/>
      <c r="CD101" s="2135"/>
      <c r="CE101" s="2135"/>
      <c r="CF101" s="2135"/>
      <c r="CG101" s="2135"/>
      <c r="CH101" s="468"/>
      <c r="CI101" s="468"/>
      <c r="CJ101" s="468"/>
      <c r="CK101" s="468"/>
      <c r="CL101" s="468"/>
      <c r="CM101" s="468"/>
      <c r="CN101" s="468"/>
      <c r="CO101" s="468"/>
      <c r="CP101" s="468"/>
      <c r="CQ101" s="468"/>
      <c r="CR101" s="468"/>
      <c r="CS101" s="468"/>
      <c r="CT101" s="468"/>
      <c r="CU101" s="468"/>
      <c r="CV101" s="468"/>
      <c r="CW101" s="468"/>
      <c r="CX101" s="468"/>
      <c r="CY101" s="468"/>
      <c r="CZ101" s="468"/>
      <c r="DA101" s="468"/>
      <c r="DB101" s="468"/>
      <c r="DC101" s="468"/>
      <c r="DD101" s="468"/>
      <c r="DE101" s="468"/>
      <c r="DF101" s="468"/>
      <c r="DG101" s="468"/>
      <c r="DH101" s="468"/>
      <c r="DI101" s="468"/>
      <c r="DJ101" s="468"/>
      <c r="DK101" s="468"/>
      <c r="DL101" s="468"/>
      <c r="DM101" s="468"/>
      <c r="DN101" s="468"/>
      <c r="DO101" s="468"/>
      <c r="DP101" s="468"/>
      <c r="DQ101" s="468"/>
      <c r="DR101" s="468"/>
      <c r="DS101" s="468"/>
      <c r="DT101" s="468"/>
      <c r="DU101" s="468"/>
      <c r="DV101" s="468"/>
      <c r="DW101" s="468"/>
      <c r="DX101" s="468"/>
      <c r="DY101" s="468"/>
      <c r="DZ101" s="468"/>
      <c r="EA101" s="468"/>
      <c r="EB101" s="468"/>
      <c r="EC101" s="468"/>
      <c r="ED101" s="468"/>
      <c r="EE101" s="468"/>
      <c r="EF101" s="468"/>
      <c r="EG101" s="468"/>
      <c r="EH101" s="468"/>
      <c r="EI101" s="471"/>
      <c r="EJ101" s="468"/>
      <c r="EK101" s="468"/>
      <c r="EL101" s="468"/>
      <c r="EM101" s="468"/>
      <c r="EN101" s="468"/>
      <c r="EO101" s="468"/>
      <c r="EP101" s="468"/>
      <c r="EQ101" s="468"/>
      <c r="ER101" s="468"/>
      <c r="ES101" s="468"/>
      <c r="ET101" s="468"/>
      <c r="EU101" s="468"/>
      <c r="EV101" s="468"/>
      <c r="EW101" s="468"/>
      <c r="EX101" s="468"/>
      <c r="EY101" s="468"/>
      <c r="EZ101" s="468"/>
      <c r="FA101" s="468"/>
      <c r="FB101" s="468"/>
      <c r="FC101" s="468"/>
      <c r="FD101" s="468"/>
      <c r="FE101" s="468"/>
      <c r="FF101" s="468"/>
      <c r="FG101" s="468"/>
      <c r="FH101" s="468"/>
      <c r="FI101" s="468"/>
      <c r="FJ101" s="468"/>
      <c r="FK101" s="468"/>
      <c r="FL101" s="468"/>
      <c r="FM101" s="2137"/>
      <c r="FN101" s="468"/>
      <c r="FO101" s="468"/>
      <c r="FP101" s="468"/>
      <c r="FQ101" s="468"/>
      <c r="FR101" s="468"/>
      <c r="FS101" s="468"/>
      <c r="FT101" s="468"/>
      <c r="FU101" s="468"/>
      <c r="FV101" s="468"/>
      <c r="FW101" s="468"/>
      <c r="FX101" s="468"/>
      <c r="FY101" s="468"/>
      <c r="FZ101" s="468"/>
      <c r="GA101" s="468"/>
      <c r="GB101" s="468"/>
      <c r="GC101" s="468"/>
      <c r="GD101" s="468"/>
      <c r="GE101" s="468"/>
      <c r="GF101" s="468"/>
      <c r="GG101" s="468"/>
      <c r="GH101" s="468"/>
      <c r="GI101" s="468"/>
      <c r="GJ101" s="468"/>
      <c r="GK101" s="468"/>
      <c r="GL101" s="468"/>
      <c r="GM101" s="468"/>
      <c r="GN101" s="468"/>
      <c r="GO101" s="468"/>
      <c r="GP101" s="468"/>
      <c r="GQ101" s="468"/>
      <c r="GR101" s="468"/>
      <c r="GS101" s="468"/>
      <c r="GT101" s="468"/>
      <c r="GU101" s="2135"/>
    </row>
    <row r="102" spans="1:203" ht="18.899999999999999" customHeight="1">
      <c r="A102" s="2135"/>
      <c r="B102" s="2135"/>
      <c r="C102" s="2136"/>
      <c r="D102" s="468"/>
      <c r="E102" s="468"/>
      <c r="F102" s="468"/>
      <c r="G102" s="468"/>
      <c r="H102" s="468"/>
      <c r="I102" s="468"/>
      <c r="J102" s="468"/>
      <c r="K102" s="468"/>
      <c r="L102" s="468"/>
      <c r="M102" s="468"/>
      <c r="N102" s="468"/>
      <c r="O102" s="468"/>
      <c r="P102" s="468"/>
      <c r="Q102" s="468"/>
      <c r="R102" s="468"/>
      <c r="S102" s="468"/>
      <c r="T102" s="468"/>
      <c r="U102" s="468"/>
      <c r="V102" s="468"/>
      <c r="W102" s="468"/>
      <c r="X102" s="468"/>
      <c r="Y102" s="468"/>
      <c r="Z102" s="468"/>
      <c r="AA102" s="468"/>
      <c r="AB102" s="468"/>
      <c r="AC102" s="468"/>
      <c r="AD102" s="468"/>
      <c r="AE102" s="468"/>
      <c r="AF102" s="468"/>
      <c r="AG102" s="468"/>
      <c r="AH102" s="468"/>
      <c r="AI102" s="468"/>
      <c r="AJ102" s="468"/>
      <c r="AK102" s="468"/>
      <c r="AL102" s="468"/>
      <c r="AM102" s="468"/>
      <c r="AN102" s="468"/>
      <c r="AO102" s="468"/>
      <c r="AP102" s="468"/>
      <c r="AQ102" s="468"/>
      <c r="AR102" s="468"/>
      <c r="AS102" s="468"/>
      <c r="AT102" s="468"/>
      <c r="AU102" s="468"/>
      <c r="AV102" s="468"/>
      <c r="AW102" s="468"/>
      <c r="AX102" s="468"/>
      <c r="AY102" s="468"/>
      <c r="AZ102" s="468"/>
      <c r="BA102" s="468"/>
      <c r="BB102" s="468"/>
      <c r="BC102" s="468"/>
      <c r="BD102" s="468"/>
      <c r="BE102" s="468"/>
      <c r="BF102" s="2135"/>
      <c r="BG102" s="2135"/>
      <c r="BH102" s="2135"/>
      <c r="BI102" s="2135"/>
      <c r="BJ102" s="2135"/>
      <c r="BK102" s="2135"/>
      <c r="BL102" s="2135"/>
      <c r="BM102" s="468"/>
      <c r="BN102" s="468"/>
      <c r="BO102" s="468"/>
      <c r="BP102" s="468"/>
      <c r="BQ102" s="468"/>
      <c r="BR102" s="468"/>
      <c r="BS102" s="468"/>
      <c r="BT102" s="468"/>
      <c r="BU102" s="468"/>
      <c r="BV102" s="468"/>
      <c r="BW102" s="468"/>
      <c r="BX102" s="468"/>
      <c r="BY102" s="2135"/>
      <c r="BZ102" s="2135"/>
      <c r="CA102" s="2135"/>
      <c r="CB102" s="2135"/>
      <c r="CC102" s="2135"/>
      <c r="CD102" s="2135"/>
      <c r="CE102" s="2135"/>
      <c r="CF102" s="2135"/>
      <c r="CG102" s="2135"/>
      <c r="CH102" s="468"/>
      <c r="CI102" s="468"/>
      <c r="CJ102" s="468"/>
      <c r="CK102" s="468"/>
      <c r="CL102" s="468"/>
      <c r="CM102" s="468"/>
      <c r="CN102" s="468"/>
      <c r="CO102" s="468"/>
      <c r="CP102" s="468"/>
      <c r="CQ102" s="468"/>
      <c r="CR102" s="468"/>
      <c r="CS102" s="468"/>
      <c r="CT102" s="468"/>
      <c r="CU102" s="468"/>
      <c r="CV102" s="468"/>
      <c r="CW102" s="468"/>
      <c r="CX102" s="468"/>
      <c r="CY102" s="468"/>
      <c r="CZ102" s="468"/>
      <c r="DA102" s="468"/>
      <c r="DB102" s="468"/>
      <c r="DC102" s="468"/>
      <c r="DD102" s="468"/>
      <c r="DE102" s="468"/>
      <c r="DF102" s="468"/>
      <c r="DG102" s="468"/>
      <c r="DH102" s="468"/>
      <c r="DI102" s="468"/>
      <c r="DJ102" s="468"/>
      <c r="DK102" s="468"/>
      <c r="DL102" s="468"/>
      <c r="DM102" s="468"/>
      <c r="DN102" s="468"/>
      <c r="DO102" s="468"/>
      <c r="DP102" s="468"/>
      <c r="DQ102" s="468"/>
      <c r="DR102" s="468"/>
      <c r="DS102" s="468"/>
      <c r="DT102" s="468"/>
      <c r="DU102" s="468"/>
      <c r="DV102" s="468"/>
      <c r="DW102" s="468"/>
      <c r="DX102" s="468"/>
      <c r="DY102" s="468"/>
      <c r="DZ102" s="468"/>
      <c r="EA102" s="468"/>
      <c r="EB102" s="468"/>
      <c r="EC102" s="468"/>
      <c r="ED102" s="468"/>
      <c r="EE102" s="468"/>
      <c r="EF102" s="468"/>
      <c r="EG102" s="468"/>
      <c r="EH102" s="468"/>
      <c r="EI102" s="471"/>
      <c r="EJ102" s="468"/>
      <c r="EK102" s="468"/>
      <c r="EL102" s="468"/>
      <c r="EM102" s="468"/>
      <c r="EN102" s="468"/>
      <c r="EO102" s="468"/>
      <c r="EP102" s="468"/>
      <c r="EQ102" s="468"/>
      <c r="ER102" s="468"/>
      <c r="ES102" s="468"/>
      <c r="ET102" s="468"/>
      <c r="EU102" s="468"/>
      <c r="EV102" s="468"/>
      <c r="EW102" s="468"/>
      <c r="EX102" s="468"/>
      <c r="EY102" s="468"/>
      <c r="EZ102" s="468"/>
      <c r="FA102" s="468"/>
      <c r="FB102" s="468"/>
      <c r="FC102" s="468"/>
      <c r="FD102" s="468"/>
      <c r="FE102" s="468"/>
      <c r="FF102" s="468"/>
      <c r="FG102" s="468"/>
      <c r="FH102" s="468"/>
      <c r="FI102" s="468"/>
      <c r="FJ102" s="468"/>
      <c r="FK102" s="468"/>
      <c r="FL102" s="468"/>
      <c r="FM102" s="2137"/>
      <c r="FN102" s="468"/>
      <c r="FO102" s="468"/>
      <c r="FP102" s="468"/>
      <c r="FQ102" s="468"/>
      <c r="FR102" s="468"/>
      <c r="FS102" s="468"/>
      <c r="FT102" s="468"/>
      <c r="FU102" s="468"/>
      <c r="FV102" s="468"/>
      <c r="FW102" s="468"/>
      <c r="FX102" s="468"/>
      <c r="FY102" s="468"/>
      <c r="FZ102" s="468"/>
      <c r="GA102" s="468"/>
      <c r="GB102" s="468"/>
      <c r="GC102" s="468"/>
      <c r="GD102" s="468"/>
      <c r="GE102" s="468"/>
      <c r="GF102" s="468"/>
      <c r="GG102" s="468"/>
      <c r="GH102" s="468"/>
      <c r="GI102" s="468"/>
      <c r="GJ102" s="468"/>
      <c r="GK102" s="468"/>
      <c r="GL102" s="468"/>
      <c r="GM102" s="468"/>
      <c r="GN102" s="468"/>
      <c r="GO102" s="468"/>
      <c r="GP102" s="468"/>
      <c r="GQ102" s="468"/>
      <c r="GR102" s="468"/>
      <c r="GS102" s="468"/>
      <c r="GT102" s="468"/>
      <c r="GU102" s="2135"/>
    </row>
    <row r="103" spans="1:203" ht="18.899999999999999" customHeight="1">
      <c r="A103" s="2135"/>
      <c r="B103" s="2135"/>
      <c r="C103" s="2136"/>
      <c r="D103" s="468"/>
      <c r="E103" s="468"/>
      <c r="F103" s="468"/>
      <c r="G103" s="468"/>
      <c r="H103" s="468"/>
      <c r="I103" s="468"/>
      <c r="J103" s="468"/>
      <c r="K103" s="468"/>
      <c r="L103" s="468"/>
      <c r="M103" s="468"/>
      <c r="N103" s="468"/>
      <c r="O103" s="468"/>
      <c r="P103" s="468"/>
      <c r="Q103" s="468"/>
      <c r="R103" s="468"/>
      <c r="S103" s="468"/>
      <c r="T103" s="468"/>
      <c r="U103" s="468"/>
      <c r="V103" s="468"/>
      <c r="W103" s="468"/>
      <c r="X103" s="468"/>
      <c r="Y103" s="468"/>
      <c r="Z103" s="468"/>
      <c r="AA103" s="468"/>
      <c r="AB103" s="468"/>
      <c r="AC103" s="468"/>
      <c r="AD103" s="468"/>
      <c r="AE103" s="468"/>
      <c r="AF103" s="468"/>
      <c r="AG103" s="468"/>
      <c r="AH103" s="468"/>
      <c r="AI103" s="468"/>
      <c r="AJ103" s="468"/>
      <c r="AK103" s="468"/>
      <c r="AL103" s="468"/>
      <c r="AM103" s="468"/>
      <c r="AN103" s="468"/>
      <c r="AO103" s="468"/>
      <c r="AP103" s="468"/>
      <c r="AQ103" s="468"/>
      <c r="AR103" s="468"/>
      <c r="AS103" s="468"/>
      <c r="AT103" s="468"/>
      <c r="AU103" s="468"/>
      <c r="AV103" s="468"/>
      <c r="AW103" s="468"/>
      <c r="AX103" s="468"/>
      <c r="AY103" s="468"/>
      <c r="AZ103" s="468"/>
      <c r="BA103" s="468"/>
      <c r="BB103" s="468"/>
      <c r="BC103" s="468"/>
      <c r="BD103" s="468"/>
      <c r="BE103" s="468"/>
      <c r="BF103" s="2135"/>
      <c r="BG103" s="2135"/>
      <c r="BH103" s="2135"/>
      <c r="BI103" s="2135"/>
      <c r="BJ103" s="2135"/>
      <c r="BK103" s="2135"/>
      <c r="BL103" s="2135"/>
      <c r="BM103" s="468"/>
      <c r="BN103" s="468"/>
      <c r="BO103" s="468"/>
      <c r="BP103" s="468"/>
      <c r="BQ103" s="468"/>
      <c r="BR103" s="468"/>
      <c r="BS103" s="468"/>
      <c r="BT103" s="468"/>
      <c r="BU103" s="468"/>
      <c r="BV103" s="468"/>
      <c r="BW103" s="468"/>
      <c r="BX103" s="468"/>
      <c r="BY103" s="2135"/>
      <c r="BZ103" s="2135"/>
      <c r="CA103" s="2135"/>
      <c r="CB103" s="2135"/>
      <c r="CC103" s="2135"/>
      <c r="CD103" s="2135"/>
      <c r="CE103" s="2135"/>
      <c r="CF103" s="2135"/>
      <c r="CG103" s="2135"/>
      <c r="CH103" s="468"/>
      <c r="CI103" s="468"/>
      <c r="CJ103" s="468"/>
      <c r="CK103" s="468"/>
      <c r="CL103" s="468"/>
      <c r="CM103" s="468"/>
      <c r="CN103" s="468"/>
      <c r="CO103" s="468"/>
      <c r="CP103" s="468"/>
      <c r="CQ103" s="468"/>
      <c r="CR103" s="468"/>
      <c r="CS103" s="468"/>
      <c r="CT103" s="468"/>
      <c r="CU103" s="468"/>
      <c r="CV103" s="468"/>
      <c r="CW103" s="468"/>
      <c r="CX103" s="468"/>
      <c r="CY103" s="468"/>
      <c r="CZ103" s="468"/>
      <c r="DA103" s="468"/>
      <c r="DB103" s="468"/>
      <c r="DC103" s="468"/>
      <c r="DD103" s="468"/>
      <c r="DE103" s="468"/>
      <c r="DF103" s="468"/>
      <c r="DG103" s="468"/>
      <c r="DH103" s="468"/>
      <c r="DI103" s="468"/>
      <c r="DJ103" s="468"/>
      <c r="DK103" s="468"/>
      <c r="DL103" s="468"/>
      <c r="DM103" s="468"/>
      <c r="DN103" s="468"/>
      <c r="DO103" s="468"/>
      <c r="DP103" s="468"/>
      <c r="DQ103" s="468"/>
      <c r="DR103" s="468"/>
      <c r="DS103" s="468"/>
      <c r="DT103" s="468"/>
      <c r="DU103" s="468"/>
      <c r="DV103" s="468"/>
      <c r="DW103" s="468"/>
      <c r="DX103" s="468"/>
      <c r="DY103" s="468"/>
      <c r="DZ103" s="468"/>
      <c r="EA103" s="468"/>
      <c r="EB103" s="468"/>
      <c r="EC103" s="468"/>
      <c r="ED103" s="468"/>
      <c r="EE103" s="468"/>
      <c r="EF103" s="468"/>
      <c r="EG103" s="468"/>
      <c r="EH103" s="468"/>
      <c r="EI103" s="471"/>
      <c r="EJ103" s="468"/>
      <c r="EK103" s="468"/>
      <c r="EL103" s="468"/>
      <c r="EM103" s="468"/>
      <c r="EN103" s="468"/>
      <c r="EO103" s="468"/>
      <c r="EP103" s="468"/>
      <c r="EQ103" s="468"/>
      <c r="ER103" s="468"/>
      <c r="ES103" s="468"/>
      <c r="ET103" s="468"/>
      <c r="EU103" s="468"/>
      <c r="EV103" s="468"/>
      <c r="EW103" s="468"/>
      <c r="EX103" s="468"/>
      <c r="EY103" s="468"/>
      <c r="EZ103" s="468"/>
      <c r="FA103" s="468"/>
      <c r="FB103" s="468"/>
      <c r="FC103" s="468"/>
      <c r="FD103" s="468"/>
      <c r="FE103" s="468"/>
      <c r="FF103" s="468"/>
      <c r="FG103" s="468"/>
      <c r="FH103" s="468"/>
      <c r="FI103" s="468"/>
      <c r="FJ103" s="468"/>
      <c r="FK103" s="468"/>
      <c r="FL103" s="468"/>
      <c r="FM103" s="2137"/>
      <c r="FN103" s="468"/>
      <c r="FO103" s="468"/>
      <c r="FP103" s="468"/>
      <c r="FQ103" s="468"/>
      <c r="FR103" s="468"/>
      <c r="FS103" s="468"/>
      <c r="FT103" s="468"/>
      <c r="FU103" s="468"/>
      <c r="FV103" s="468"/>
      <c r="FW103" s="468"/>
      <c r="FX103" s="468"/>
      <c r="FY103" s="468"/>
      <c r="FZ103" s="468"/>
      <c r="GA103" s="468"/>
      <c r="GB103" s="468"/>
      <c r="GC103" s="468"/>
      <c r="GD103" s="468"/>
      <c r="GE103" s="468"/>
      <c r="GF103" s="468"/>
      <c r="GG103" s="468"/>
      <c r="GH103" s="468"/>
      <c r="GI103" s="468"/>
      <c r="GJ103" s="468"/>
      <c r="GK103" s="468"/>
      <c r="GL103" s="468"/>
      <c r="GM103" s="468"/>
      <c r="GN103" s="468"/>
      <c r="GO103" s="468"/>
      <c r="GP103" s="468"/>
      <c r="GQ103" s="468"/>
      <c r="GR103" s="468"/>
      <c r="GS103" s="468"/>
      <c r="GT103" s="468"/>
      <c r="GU103" s="2135"/>
    </row>
    <row r="104" spans="1:203" ht="18.899999999999999" customHeight="1">
      <c r="A104" s="2135"/>
      <c r="B104" s="2135"/>
      <c r="C104" s="2136"/>
      <c r="D104" s="468"/>
      <c r="E104" s="468"/>
      <c r="F104" s="468"/>
      <c r="G104" s="468"/>
      <c r="H104" s="468"/>
      <c r="I104" s="468"/>
      <c r="J104" s="468"/>
      <c r="K104" s="468"/>
      <c r="L104" s="468"/>
      <c r="M104" s="468"/>
      <c r="N104" s="468"/>
      <c r="O104" s="468"/>
      <c r="P104" s="468"/>
      <c r="Q104" s="468"/>
      <c r="R104" s="468"/>
      <c r="S104" s="468"/>
      <c r="T104" s="468"/>
      <c r="U104" s="468"/>
      <c r="V104" s="468"/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468"/>
      <c r="AI104" s="468"/>
      <c r="AJ104" s="468"/>
      <c r="AK104" s="468"/>
      <c r="AL104" s="468"/>
      <c r="AM104" s="468"/>
      <c r="AN104" s="468"/>
      <c r="AO104" s="468"/>
      <c r="AP104" s="468"/>
      <c r="AQ104" s="468"/>
      <c r="AR104" s="468"/>
      <c r="AS104" s="468"/>
      <c r="AT104" s="468"/>
      <c r="AU104" s="468"/>
      <c r="AV104" s="468"/>
      <c r="AW104" s="468"/>
      <c r="AX104" s="468"/>
      <c r="AY104" s="468"/>
      <c r="AZ104" s="468"/>
      <c r="BA104" s="468"/>
      <c r="BB104" s="468"/>
      <c r="BC104" s="468"/>
      <c r="BD104" s="468"/>
      <c r="BE104" s="468"/>
      <c r="BF104" s="2135"/>
      <c r="BG104" s="2135"/>
      <c r="BH104" s="2135"/>
      <c r="BI104" s="2135"/>
      <c r="BJ104" s="2135"/>
      <c r="BK104" s="2135"/>
      <c r="BL104" s="2135"/>
      <c r="BM104" s="468"/>
      <c r="BN104" s="468"/>
      <c r="BO104" s="468"/>
      <c r="BP104" s="468"/>
      <c r="BQ104" s="468"/>
      <c r="BR104" s="468"/>
      <c r="BS104" s="468"/>
      <c r="BT104" s="468"/>
      <c r="BU104" s="468"/>
      <c r="BV104" s="468"/>
      <c r="BW104" s="468"/>
      <c r="BX104" s="468"/>
      <c r="BY104" s="2135"/>
      <c r="BZ104" s="2135"/>
      <c r="CA104" s="2135"/>
      <c r="CB104" s="2135"/>
      <c r="CC104" s="2135"/>
      <c r="CD104" s="2135"/>
      <c r="CE104" s="2135"/>
      <c r="CF104" s="2135"/>
      <c r="CG104" s="2135"/>
      <c r="CH104" s="468"/>
      <c r="CI104" s="468"/>
      <c r="CJ104" s="468"/>
      <c r="CK104" s="468"/>
      <c r="CL104" s="468"/>
      <c r="CM104" s="468"/>
      <c r="CN104" s="468"/>
      <c r="CO104" s="468"/>
      <c r="CP104" s="468"/>
      <c r="CQ104" s="468"/>
      <c r="CR104" s="468"/>
      <c r="CS104" s="468"/>
      <c r="CT104" s="468"/>
      <c r="CU104" s="468"/>
      <c r="CV104" s="468"/>
      <c r="CW104" s="468"/>
      <c r="CX104" s="468"/>
      <c r="CY104" s="468"/>
      <c r="CZ104" s="468"/>
      <c r="DA104" s="468"/>
      <c r="DB104" s="468"/>
      <c r="DC104" s="468"/>
      <c r="DD104" s="468"/>
      <c r="DE104" s="468"/>
      <c r="DF104" s="468"/>
      <c r="DG104" s="468"/>
      <c r="DH104" s="468"/>
      <c r="DI104" s="468"/>
      <c r="DJ104" s="468"/>
      <c r="DK104" s="468"/>
      <c r="DL104" s="468"/>
      <c r="DM104" s="468"/>
      <c r="DN104" s="468"/>
      <c r="DO104" s="468"/>
      <c r="DP104" s="468"/>
      <c r="DQ104" s="468"/>
      <c r="DR104" s="468"/>
      <c r="DS104" s="468"/>
      <c r="DT104" s="468"/>
      <c r="DU104" s="468"/>
      <c r="DV104" s="468"/>
      <c r="DW104" s="468"/>
      <c r="DX104" s="468"/>
      <c r="DY104" s="468"/>
      <c r="DZ104" s="468"/>
      <c r="EA104" s="468"/>
      <c r="EB104" s="468"/>
      <c r="EC104" s="468"/>
      <c r="ED104" s="468"/>
      <c r="EE104" s="468"/>
      <c r="EF104" s="468"/>
      <c r="EG104" s="468"/>
      <c r="EH104" s="468"/>
      <c r="EI104" s="471"/>
      <c r="EJ104" s="468"/>
      <c r="EK104" s="468"/>
      <c r="EL104" s="468"/>
      <c r="EM104" s="468"/>
      <c r="EN104" s="468"/>
      <c r="EO104" s="468"/>
      <c r="EP104" s="468"/>
      <c r="EQ104" s="468"/>
      <c r="ER104" s="468"/>
      <c r="ES104" s="468"/>
      <c r="ET104" s="468"/>
      <c r="EU104" s="468"/>
      <c r="EV104" s="468"/>
      <c r="EW104" s="468"/>
      <c r="EX104" s="468"/>
      <c r="EY104" s="468"/>
      <c r="EZ104" s="468"/>
      <c r="FA104" s="468"/>
      <c r="FB104" s="468"/>
      <c r="FC104" s="468"/>
      <c r="FD104" s="468"/>
      <c r="FE104" s="468"/>
      <c r="FF104" s="468"/>
      <c r="FG104" s="468"/>
      <c r="FH104" s="468"/>
      <c r="FI104" s="468"/>
      <c r="FJ104" s="468"/>
      <c r="FK104" s="468"/>
      <c r="FL104" s="468"/>
      <c r="FM104" s="2137"/>
      <c r="FN104" s="468"/>
      <c r="FO104" s="468"/>
      <c r="FP104" s="468"/>
      <c r="FQ104" s="468"/>
      <c r="FR104" s="468"/>
      <c r="FS104" s="468"/>
      <c r="FT104" s="468"/>
      <c r="FU104" s="468"/>
      <c r="FV104" s="468"/>
      <c r="FW104" s="468"/>
      <c r="FX104" s="468"/>
      <c r="FY104" s="468"/>
      <c r="FZ104" s="468"/>
      <c r="GA104" s="468"/>
      <c r="GB104" s="468"/>
      <c r="GC104" s="468"/>
      <c r="GD104" s="468"/>
      <c r="GE104" s="468"/>
      <c r="GF104" s="468"/>
      <c r="GG104" s="468"/>
      <c r="GH104" s="468"/>
      <c r="GI104" s="468"/>
      <c r="GJ104" s="468"/>
      <c r="GK104" s="468"/>
      <c r="GL104" s="468"/>
      <c r="GM104" s="468"/>
      <c r="GN104" s="468"/>
      <c r="GO104" s="468"/>
      <c r="GP104" s="468"/>
      <c r="GQ104" s="468"/>
      <c r="GR104" s="468"/>
      <c r="GS104" s="468"/>
      <c r="GT104" s="468"/>
      <c r="GU104" s="2135"/>
    </row>
    <row r="105" spans="1:203" ht="18.899999999999999" customHeight="1">
      <c r="A105" s="2135"/>
      <c r="B105" s="2135"/>
      <c r="C105" s="2136"/>
      <c r="D105" s="468"/>
      <c r="E105" s="468"/>
      <c r="F105" s="468"/>
      <c r="G105" s="468"/>
      <c r="H105" s="468"/>
      <c r="I105" s="468"/>
      <c r="J105" s="468"/>
      <c r="K105" s="468"/>
      <c r="L105" s="468"/>
      <c r="M105" s="468"/>
      <c r="N105" s="468"/>
      <c r="O105" s="468"/>
      <c r="P105" s="468"/>
      <c r="Q105" s="468"/>
      <c r="R105" s="468"/>
      <c r="S105" s="468"/>
      <c r="T105" s="468"/>
      <c r="U105" s="468"/>
      <c r="V105" s="468"/>
      <c r="W105" s="468"/>
      <c r="X105" s="468"/>
      <c r="Y105" s="468"/>
      <c r="Z105" s="468"/>
      <c r="AA105" s="468"/>
      <c r="AB105" s="468"/>
      <c r="AC105" s="468"/>
      <c r="AD105" s="468"/>
      <c r="AE105" s="468"/>
      <c r="AF105" s="468"/>
      <c r="AG105" s="468"/>
      <c r="AH105" s="468"/>
      <c r="AI105" s="468"/>
      <c r="AJ105" s="468"/>
      <c r="AK105" s="468"/>
      <c r="AL105" s="468"/>
      <c r="AM105" s="468"/>
      <c r="AN105" s="468"/>
      <c r="AO105" s="468"/>
      <c r="AP105" s="468"/>
      <c r="AQ105" s="468"/>
      <c r="AR105" s="468"/>
      <c r="AS105" s="468"/>
      <c r="AT105" s="468"/>
      <c r="AU105" s="468"/>
      <c r="AV105" s="468"/>
      <c r="AW105" s="468"/>
      <c r="AX105" s="468"/>
      <c r="AY105" s="468"/>
      <c r="AZ105" s="468"/>
      <c r="BA105" s="468"/>
      <c r="BB105" s="468"/>
      <c r="BC105" s="468"/>
      <c r="BD105" s="468"/>
      <c r="BE105" s="468"/>
      <c r="BF105" s="2135"/>
      <c r="BG105" s="2135"/>
      <c r="BH105" s="2135"/>
      <c r="BI105" s="2135"/>
      <c r="BJ105" s="2135"/>
      <c r="BK105" s="2135"/>
      <c r="BL105" s="2135"/>
      <c r="BM105" s="468"/>
      <c r="BN105" s="468"/>
      <c r="BO105" s="468"/>
      <c r="BP105" s="468"/>
      <c r="BQ105" s="468"/>
      <c r="BR105" s="468"/>
      <c r="BS105" s="468"/>
      <c r="BT105" s="468"/>
      <c r="BU105" s="468"/>
      <c r="BV105" s="468"/>
      <c r="BW105" s="468"/>
      <c r="BX105" s="468"/>
      <c r="BY105" s="2135"/>
      <c r="BZ105" s="2135"/>
      <c r="CA105" s="2135"/>
      <c r="CB105" s="2135"/>
      <c r="CC105" s="2135"/>
      <c r="CD105" s="2135"/>
      <c r="CE105" s="2135"/>
      <c r="CF105" s="2135"/>
      <c r="CG105" s="2135"/>
      <c r="CH105" s="468"/>
      <c r="CI105" s="468"/>
      <c r="CJ105" s="468"/>
      <c r="CK105" s="468"/>
      <c r="CL105" s="468"/>
      <c r="CM105" s="468"/>
      <c r="CN105" s="468"/>
      <c r="CO105" s="468"/>
      <c r="CP105" s="468"/>
      <c r="CQ105" s="468"/>
      <c r="CR105" s="468"/>
      <c r="CS105" s="468"/>
      <c r="CT105" s="468"/>
      <c r="CU105" s="468"/>
      <c r="CV105" s="468"/>
      <c r="CW105" s="468"/>
      <c r="CX105" s="468"/>
      <c r="CY105" s="468"/>
      <c r="CZ105" s="468"/>
      <c r="DA105" s="468"/>
      <c r="DB105" s="468"/>
      <c r="DC105" s="468"/>
      <c r="DD105" s="468"/>
      <c r="DE105" s="468"/>
      <c r="DF105" s="468"/>
      <c r="DG105" s="468"/>
      <c r="DH105" s="468"/>
      <c r="DI105" s="468"/>
      <c r="DJ105" s="468"/>
      <c r="DK105" s="468"/>
      <c r="DL105" s="468"/>
      <c r="DM105" s="468"/>
      <c r="DN105" s="468"/>
      <c r="DO105" s="468"/>
      <c r="DP105" s="468"/>
      <c r="DQ105" s="468"/>
      <c r="DR105" s="468"/>
      <c r="DS105" s="468"/>
      <c r="DT105" s="468"/>
      <c r="DU105" s="468"/>
      <c r="DV105" s="468"/>
      <c r="DW105" s="468"/>
      <c r="DX105" s="468"/>
      <c r="DY105" s="468"/>
      <c r="DZ105" s="468"/>
      <c r="EA105" s="468"/>
      <c r="EB105" s="468"/>
      <c r="EC105" s="468"/>
      <c r="ED105" s="468"/>
      <c r="EE105" s="468"/>
      <c r="EF105" s="468"/>
      <c r="EG105" s="468"/>
      <c r="EH105" s="468"/>
      <c r="EI105" s="471"/>
      <c r="EJ105" s="468"/>
      <c r="EK105" s="468"/>
      <c r="EL105" s="468"/>
      <c r="EM105" s="468"/>
      <c r="EN105" s="468"/>
      <c r="EO105" s="468"/>
      <c r="EP105" s="468"/>
      <c r="EQ105" s="468"/>
      <c r="ER105" s="468"/>
      <c r="ES105" s="468"/>
      <c r="ET105" s="468"/>
      <c r="EU105" s="468"/>
      <c r="EV105" s="468"/>
      <c r="EW105" s="468"/>
      <c r="EX105" s="468"/>
      <c r="EY105" s="468"/>
      <c r="EZ105" s="468"/>
      <c r="FA105" s="468"/>
      <c r="FB105" s="468"/>
      <c r="FC105" s="468"/>
      <c r="FD105" s="468"/>
      <c r="FE105" s="468"/>
      <c r="FF105" s="468"/>
      <c r="FG105" s="468"/>
      <c r="FH105" s="468"/>
      <c r="FI105" s="468"/>
      <c r="FJ105" s="468"/>
      <c r="FK105" s="468"/>
      <c r="FL105" s="468"/>
      <c r="FM105" s="2137"/>
      <c r="FN105" s="468"/>
      <c r="FO105" s="468"/>
      <c r="FP105" s="468"/>
      <c r="FQ105" s="468"/>
      <c r="FR105" s="468"/>
      <c r="FS105" s="468"/>
      <c r="FT105" s="468"/>
      <c r="FU105" s="468"/>
      <c r="FV105" s="468"/>
      <c r="FW105" s="468"/>
      <c r="FX105" s="468"/>
      <c r="FY105" s="468"/>
      <c r="FZ105" s="468"/>
      <c r="GA105" s="468"/>
      <c r="GB105" s="468"/>
      <c r="GC105" s="468"/>
      <c r="GD105" s="468"/>
      <c r="GE105" s="468"/>
      <c r="GF105" s="468"/>
      <c r="GG105" s="468"/>
      <c r="GH105" s="468"/>
      <c r="GI105" s="468"/>
      <c r="GJ105" s="468"/>
      <c r="GK105" s="468"/>
      <c r="GL105" s="468"/>
      <c r="GM105" s="468"/>
      <c r="GN105" s="468"/>
      <c r="GO105" s="468"/>
      <c r="GP105" s="468"/>
      <c r="GQ105" s="468"/>
      <c r="GR105" s="468"/>
      <c r="GS105" s="468"/>
      <c r="GT105" s="468"/>
      <c r="GU105" s="2135"/>
    </row>
    <row r="106" spans="1:203" ht="18.899999999999999" customHeight="1">
      <c r="A106" s="2135"/>
      <c r="B106" s="2135"/>
      <c r="C106" s="2136"/>
      <c r="D106" s="468"/>
      <c r="E106" s="468"/>
      <c r="F106" s="468"/>
      <c r="G106" s="468"/>
      <c r="H106" s="468"/>
      <c r="I106" s="468"/>
      <c r="J106" s="468"/>
      <c r="K106" s="468"/>
      <c r="L106" s="468"/>
      <c r="M106" s="468"/>
      <c r="N106" s="468"/>
      <c r="O106" s="468"/>
      <c r="P106" s="468"/>
      <c r="Q106" s="468"/>
      <c r="R106" s="468"/>
      <c r="S106" s="468"/>
      <c r="T106" s="468"/>
      <c r="U106" s="468"/>
      <c r="V106" s="468"/>
      <c r="W106" s="468"/>
      <c r="X106" s="468"/>
      <c r="Y106" s="468"/>
      <c r="Z106" s="468"/>
      <c r="AA106" s="468"/>
      <c r="AB106" s="468"/>
      <c r="AC106" s="468"/>
      <c r="AD106" s="468"/>
      <c r="AE106" s="468"/>
      <c r="AF106" s="468"/>
      <c r="AG106" s="468"/>
      <c r="AH106" s="468"/>
      <c r="AI106" s="468"/>
      <c r="AJ106" s="468"/>
      <c r="AK106" s="468"/>
      <c r="AL106" s="468"/>
      <c r="AM106" s="468"/>
      <c r="AN106" s="468"/>
      <c r="AO106" s="468"/>
      <c r="AP106" s="468"/>
      <c r="AQ106" s="468"/>
      <c r="AR106" s="468"/>
      <c r="AS106" s="468"/>
      <c r="AT106" s="468"/>
      <c r="AU106" s="468"/>
      <c r="AV106" s="468"/>
      <c r="AW106" s="468"/>
      <c r="AX106" s="468"/>
      <c r="AY106" s="468"/>
      <c r="AZ106" s="468"/>
      <c r="BA106" s="468"/>
      <c r="BB106" s="468"/>
      <c r="BC106" s="468"/>
      <c r="BD106" s="468"/>
      <c r="BE106" s="468"/>
      <c r="BF106" s="2135"/>
      <c r="BG106" s="2135"/>
      <c r="BH106" s="2135"/>
      <c r="BI106" s="2135"/>
      <c r="BJ106" s="2135"/>
      <c r="BK106" s="2135"/>
      <c r="BL106" s="2135"/>
      <c r="BM106" s="468"/>
      <c r="BN106" s="468"/>
      <c r="BO106" s="468"/>
      <c r="BP106" s="468"/>
      <c r="BQ106" s="468"/>
      <c r="BR106" s="468"/>
      <c r="BS106" s="468"/>
      <c r="BT106" s="468"/>
      <c r="BU106" s="468"/>
      <c r="BV106" s="468"/>
      <c r="BW106" s="468"/>
      <c r="BX106" s="468"/>
      <c r="BY106" s="2135"/>
      <c r="BZ106" s="2135"/>
      <c r="CA106" s="2135"/>
      <c r="CB106" s="2135"/>
      <c r="CC106" s="2135"/>
      <c r="CD106" s="2135"/>
      <c r="CE106" s="2135"/>
      <c r="CF106" s="2135"/>
      <c r="CG106" s="2135"/>
      <c r="CH106" s="468"/>
      <c r="CI106" s="468"/>
      <c r="CJ106" s="468"/>
      <c r="CK106" s="468"/>
      <c r="CL106" s="468"/>
      <c r="CM106" s="468"/>
      <c r="CN106" s="468"/>
      <c r="CO106" s="468"/>
      <c r="CP106" s="468"/>
      <c r="CQ106" s="468"/>
      <c r="CR106" s="468"/>
      <c r="CS106" s="468"/>
      <c r="CT106" s="468"/>
      <c r="CU106" s="468"/>
      <c r="CV106" s="468"/>
      <c r="CW106" s="468"/>
      <c r="CX106" s="468"/>
      <c r="CY106" s="468"/>
      <c r="CZ106" s="468"/>
      <c r="DA106" s="468"/>
      <c r="DB106" s="468"/>
      <c r="DC106" s="468"/>
      <c r="DD106" s="468"/>
      <c r="DE106" s="468"/>
      <c r="DF106" s="468"/>
      <c r="DG106" s="468"/>
      <c r="DH106" s="468"/>
      <c r="DI106" s="468"/>
      <c r="DJ106" s="468"/>
      <c r="DK106" s="468"/>
      <c r="DL106" s="468"/>
      <c r="DM106" s="468"/>
      <c r="DN106" s="468"/>
      <c r="DO106" s="468"/>
      <c r="DP106" s="468"/>
      <c r="DQ106" s="468"/>
      <c r="DR106" s="468"/>
      <c r="DS106" s="468"/>
      <c r="DT106" s="468"/>
      <c r="DU106" s="468"/>
      <c r="DV106" s="468"/>
      <c r="DW106" s="468"/>
      <c r="DX106" s="468"/>
      <c r="DY106" s="468"/>
      <c r="DZ106" s="468"/>
      <c r="EA106" s="468"/>
      <c r="EB106" s="468"/>
      <c r="EC106" s="468"/>
      <c r="ED106" s="468"/>
      <c r="EE106" s="468"/>
      <c r="EF106" s="468"/>
      <c r="EG106" s="468"/>
      <c r="EH106" s="468"/>
      <c r="EI106" s="471"/>
      <c r="EJ106" s="468"/>
      <c r="EK106" s="468"/>
      <c r="EL106" s="468"/>
      <c r="EM106" s="468"/>
      <c r="EN106" s="468"/>
      <c r="EO106" s="468"/>
      <c r="EP106" s="468"/>
      <c r="EQ106" s="468"/>
      <c r="ER106" s="468"/>
      <c r="ES106" s="468"/>
      <c r="ET106" s="468"/>
      <c r="EU106" s="468"/>
      <c r="EV106" s="468"/>
      <c r="EW106" s="468"/>
      <c r="EX106" s="468"/>
      <c r="EY106" s="468"/>
      <c r="EZ106" s="468"/>
      <c r="FA106" s="468"/>
      <c r="FB106" s="468"/>
      <c r="FC106" s="468"/>
      <c r="FD106" s="468"/>
      <c r="FE106" s="468"/>
      <c r="FF106" s="468"/>
      <c r="FG106" s="468"/>
      <c r="FH106" s="468"/>
      <c r="FI106" s="468"/>
      <c r="FJ106" s="468"/>
      <c r="FK106" s="468"/>
      <c r="FL106" s="468"/>
      <c r="FM106" s="2137"/>
      <c r="FN106" s="468"/>
      <c r="FO106" s="468"/>
      <c r="FP106" s="468"/>
      <c r="FQ106" s="468"/>
      <c r="FR106" s="468"/>
      <c r="FS106" s="468"/>
      <c r="FT106" s="468"/>
      <c r="FU106" s="468"/>
      <c r="FV106" s="468"/>
      <c r="FW106" s="468"/>
      <c r="FX106" s="468"/>
      <c r="FY106" s="468"/>
      <c r="FZ106" s="468"/>
      <c r="GA106" s="468"/>
      <c r="GB106" s="468"/>
      <c r="GC106" s="468"/>
      <c r="GD106" s="468"/>
      <c r="GE106" s="468"/>
      <c r="GF106" s="468"/>
      <c r="GG106" s="468"/>
      <c r="GH106" s="468"/>
      <c r="GI106" s="468"/>
      <c r="GJ106" s="468"/>
      <c r="GK106" s="468"/>
      <c r="GL106" s="468"/>
      <c r="GM106" s="468"/>
      <c r="GN106" s="468"/>
      <c r="GO106" s="468"/>
      <c r="GP106" s="468"/>
      <c r="GQ106" s="468"/>
      <c r="GR106" s="468"/>
      <c r="GS106" s="468"/>
      <c r="GT106" s="468"/>
      <c r="GU106" s="2135"/>
    </row>
    <row r="107" spans="1:203" ht="18.899999999999999" customHeight="1">
      <c r="A107" s="2135"/>
      <c r="B107" s="2135"/>
      <c r="C107" s="2136"/>
      <c r="D107" s="468"/>
      <c r="E107" s="468"/>
      <c r="F107" s="468"/>
      <c r="G107" s="468"/>
      <c r="H107" s="468"/>
      <c r="I107" s="468"/>
      <c r="J107" s="468"/>
      <c r="K107" s="468"/>
      <c r="L107" s="468"/>
      <c r="M107" s="468"/>
      <c r="N107" s="468"/>
      <c r="O107" s="468"/>
      <c r="P107" s="468"/>
      <c r="Q107" s="468"/>
      <c r="R107" s="468"/>
      <c r="S107" s="468"/>
      <c r="T107" s="468"/>
      <c r="U107" s="468"/>
      <c r="V107" s="468"/>
      <c r="W107" s="468"/>
      <c r="X107" s="468"/>
      <c r="Y107" s="468"/>
      <c r="Z107" s="468"/>
      <c r="AA107" s="468"/>
      <c r="AB107" s="468"/>
      <c r="AC107" s="468"/>
      <c r="AD107" s="468"/>
      <c r="AE107" s="468"/>
      <c r="AF107" s="468"/>
      <c r="AG107" s="468"/>
      <c r="AH107" s="468"/>
      <c r="AI107" s="468"/>
      <c r="AJ107" s="468"/>
      <c r="AK107" s="468"/>
      <c r="AL107" s="468"/>
      <c r="AM107" s="468"/>
      <c r="AN107" s="468"/>
      <c r="AO107" s="468"/>
      <c r="AP107" s="468"/>
      <c r="AQ107" s="468"/>
      <c r="AR107" s="468"/>
      <c r="AS107" s="468"/>
      <c r="AT107" s="468"/>
      <c r="AU107" s="468"/>
      <c r="AV107" s="468"/>
      <c r="AW107" s="468"/>
      <c r="AX107" s="468"/>
      <c r="AY107" s="468"/>
      <c r="AZ107" s="468"/>
      <c r="BA107" s="468"/>
      <c r="BB107" s="468"/>
      <c r="BC107" s="468"/>
      <c r="BD107" s="468"/>
      <c r="BE107" s="468"/>
      <c r="BF107" s="2135"/>
      <c r="BG107" s="2135"/>
      <c r="BH107" s="2135"/>
      <c r="BI107" s="2135"/>
      <c r="BJ107" s="2135"/>
      <c r="BK107" s="2135"/>
      <c r="BL107" s="2135"/>
      <c r="BM107" s="468"/>
      <c r="BN107" s="468"/>
      <c r="BO107" s="468"/>
      <c r="BP107" s="468"/>
      <c r="BQ107" s="468"/>
      <c r="BR107" s="468"/>
      <c r="BS107" s="468"/>
      <c r="BT107" s="468"/>
      <c r="BU107" s="468"/>
      <c r="BV107" s="468"/>
      <c r="BW107" s="468"/>
      <c r="BX107" s="468"/>
      <c r="BY107" s="2135"/>
      <c r="BZ107" s="2135"/>
      <c r="CA107" s="2135"/>
      <c r="CB107" s="2135"/>
      <c r="CC107" s="2135"/>
      <c r="CD107" s="2135"/>
      <c r="CE107" s="2135"/>
      <c r="CF107" s="2135"/>
      <c r="CG107" s="2135"/>
      <c r="CH107" s="468"/>
      <c r="CI107" s="468"/>
      <c r="CJ107" s="468"/>
      <c r="CK107" s="468"/>
      <c r="CL107" s="468"/>
      <c r="CM107" s="468"/>
      <c r="CN107" s="468"/>
      <c r="CO107" s="468"/>
      <c r="CP107" s="468"/>
      <c r="CQ107" s="468"/>
      <c r="CR107" s="468"/>
      <c r="CS107" s="468"/>
      <c r="CT107" s="468"/>
      <c r="CU107" s="468"/>
      <c r="CV107" s="468"/>
      <c r="CW107" s="468"/>
      <c r="CX107" s="468"/>
      <c r="CY107" s="468"/>
      <c r="CZ107" s="468"/>
      <c r="DA107" s="468"/>
      <c r="DB107" s="468"/>
      <c r="DC107" s="468"/>
      <c r="DD107" s="468"/>
      <c r="DE107" s="468"/>
      <c r="DF107" s="468"/>
      <c r="DG107" s="468"/>
      <c r="DH107" s="468"/>
      <c r="DI107" s="468"/>
      <c r="DJ107" s="468"/>
      <c r="DK107" s="468"/>
      <c r="DL107" s="468"/>
      <c r="DM107" s="468"/>
      <c r="DN107" s="468"/>
      <c r="DO107" s="468"/>
      <c r="DP107" s="468"/>
      <c r="DQ107" s="468"/>
      <c r="DR107" s="468"/>
      <c r="DS107" s="468"/>
      <c r="DT107" s="468"/>
      <c r="DU107" s="468"/>
      <c r="DV107" s="468"/>
      <c r="DW107" s="468"/>
      <c r="DX107" s="468"/>
      <c r="DY107" s="468"/>
      <c r="DZ107" s="468"/>
      <c r="EA107" s="468"/>
      <c r="EB107" s="468"/>
      <c r="EC107" s="468"/>
      <c r="ED107" s="468"/>
      <c r="EE107" s="468"/>
      <c r="EF107" s="468"/>
      <c r="EG107" s="468"/>
      <c r="EH107" s="468"/>
      <c r="EI107" s="471"/>
      <c r="EJ107" s="468"/>
      <c r="EK107" s="468"/>
      <c r="EL107" s="468"/>
      <c r="EM107" s="468"/>
      <c r="EN107" s="468"/>
      <c r="EO107" s="468"/>
      <c r="EP107" s="468"/>
      <c r="EQ107" s="468"/>
      <c r="ER107" s="468"/>
      <c r="ES107" s="468"/>
      <c r="ET107" s="468"/>
      <c r="EU107" s="468"/>
      <c r="EV107" s="468"/>
      <c r="EW107" s="468"/>
      <c r="EX107" s="468"/>
      <c r="EY107" s="468"/>
      <c r="EZ107" s="468"/>
      <c r="FA107" s="468"/>
      <c r="FB107" s="468"/>
      <c r="FC107" s="468"/>
      <c r="FD107" s="468"/>
      <c r="FE107" s="468"/>
      <c r="FF107" s="468"/>
      <c r="FG107" s="468"/>
      <c r="FH107" s="468"/>
      <c r="FI107" s="468"/>
      <c r="FJ107" s="468"/>
      <c r="FK107" s="468"/>
      <c r="FL107" s="468"/>
      <c r="FM107" s="2137"/>
      <c r="FN107" s="468"/>
      <c r="FO107" s="468"/>
      <c r="FP107" s="468"/>
      <c r="FQ107" s="468"/>
      <c r="FR107" s="468"/>
      <c r="FS107" s="468"/>
      <c r="FT107" s="468"/>
      <c r="FU107" s="468"/>
      <c r="FV107" s="468"/>
      <c r="FW107" s="468"/>
      <c r="FX107" s="468"/>
      <c r="FY107" s="468"/>
      <c r="FZ107" s="468"/>
      <c r="GA107" s="468"/>
      <c r="GB107" s="468"/>
      <c r="GC107" s="468"/>
      <c r="GD107" s="468"/>
      <c r="GE107" s="468"/>
      <c r="GF107" s="468"/>
      <c r="GG107" s="468"/>
      <c r="GH107" s="468"/>
      <c r="GI107" s="468"/>
      <c r="GJ107" s="468"/>
      <c r="GK107" s="468"/>
      <c r="GL107" s="468"/>
      <c r="GM107" s="468"/>
      <c r="GN107" s="468"/>
      <c r="GO107" s="468"/>
      <c r="GP107" s="468"/>
      <c r="GQ107" s="468"/>
      <c r="GR107" s="468"/>
      <c r="GS107" s="468"/>
      <c r="GT107" s="468"/>
      <c r="GU107" s="2135"/>
    </row>
    <row r="108" spans="1:203" ht="18.899999999999999" customHeight="1">
      <c r="A108" s="2135"/>
      <c r="B108" s="2135"/>
      <c r="C108" s="2136"/>
      <c r="D108" s="468"/>
      <c r="E108" s="468"/>
      <c r="F108" s="468"/>
      <c r="G108" s="468"/>
      <c r="H108" s="468"/>
      <c r="I108" s="468"/>
      <c r="J108" s="468"/>
      <c r="K108" s="468"/>
      <c r="L108" s="468"/>
      <c r="M108" s="468"/>
      <c r="N108" s="468"/>
      <c r="O108" s="468"/>
      <c r="P108" s="468"/>
      <c r="Q108" s="468"/>
      <c r="R108" s="468"/>
      <c r="S108" s="468"/>
      <c r="T108" s="468"/>
      <c r="U108" s="468"/>
      <c r="V108" s="468"/>
      <c r="W108" s="468"/>
      <c r="X108" s="468"/>
      <c r="Y108" s="468"/>
      <c r="Z108" s="468"/>
      <c r="AA108" s="468"/>
      <c r="AB108" s="468"/>
      <c r="AC108" s="468"/>
      <c r="AD108" s="468"/>
      <c r="AE108" s="468"/>
      <c r="AF108" s="468"/>
      <c r="AG108" s="468"/>
      <c r="AH108" s="468"/>
      <c r="AI108" s="468"/>
      <c r="AJ108" s="468"/>
      <c r="AK108" s="468"/>
      <c r="AL108" s="468"/>
      <c r="AM108" s="468"/>
      <c r="AN108" s="468"/>
      <c r="AO108" s="468"/>
      <c r="AP108" s="468"/>
      <c r="AQ108" s="468"/>
      <c r="AR108" s="468"/>
      <c r="AS108" s="468"/>
      <c r="AT108" s="468"/>
      <c r="AU108" s="468"/>
      <c r="AV108" s="468"/>
      <c r="AW108" s="468"/>
      <c r="AX108" s="468"/>
      <c r="AY108" s="468"/>
      <c r="AZ108" s="468"/>
      <c r="BA108" s="468"/>
      <c r="BB108" s="468"/>
      <c r="BC108" s="468"/>
      <c r="BD108" s="468"/>
      <c r="BE108" s="468"/>
      <c r="BF108" s="2135"/>
      <c r="BG108" s="2135"/>
      <c r="BH108" s="2135"/>
      <c r="BI108" s="2135"/>
      <c r="BJ108" s="2135"/>
      <c r="BK108" s="2135"/>
      <c r="BL108" s="2135"/>
      <c r="BM108" s="468"/>
      <c r="BN108" s="468"/>
      <c r="BO108" s="468"/>
      <c r="BP108" s="468"/>
      <c r="BQ108" s="468"/>
      <c r="BR108" s="468"/>
      <c r="BS108" s="468"/>
      <c r="BT108" s="468"/>
      <c r="BU108" s="468"/>
      <c r="BV108" s="468"/>
      <c r="BW108" s="468"/>
      <c r="BX108" s="468"/>
      <c r="BY108" s="2135"/>
      <c r="BZ108" s="2135"/>
      <c r="CA108" s="2135"/>
      <c r="CB108" s="2135"/>
      <c r="CC108" s="2135"/>
      <c r="CD108" s="2135"/>
      <c r="CE108" s="2135"/>
      <c r="CF108" s="2135"/>
      <c r="CG108" s="2135"/>
      <c r="CH108" s="468"/>
      <c r="CI108" s="468"/>
      <c r="CJ108" s="468"/>
      <c r="CK108" s="468"/>
      <c r="CL108" s="468"/>
      <c r="CM108" s="468"/>
      <c r="CN108" s="468"/>
      <c r="CO108" s="468"/>
      <c r="CP108" s="468"/>
      <c r="CQ108" s="468"/>
      <c r="CR108" s="468"/>
      <c r="CS108" s="468"/>
      <c r="CT108" s="468"/>
      <c r="CU108" s="468"/>
      <c r="CV108" s="468"/>
      <c r="CW108" s="468"/>
      <c r="CX108" s="468"/>
      <c r="CY108" s="468"/>
      <c r="CZ108" s="468"/>
      <c r="DA108" s="468"/>
      <c r="DB108" s="468"/>
      <c r="DC108" s="468"/>
      <c r="DD108" s="468"/>
      <c r="DE108" s="468"/>
      <c r="DF108" s="468"/>
      <c r="DG108" s="468"/>
      <c r="DH108" s="468"/>
      <c r="DI108" s="468"/>
      <c r="DJ108" s="468"/>
      <c r="DK108" s="468"/>
      <c r="DL108" s="468"/>
      <c r="DM108" s="468"/>
      <c r="DN108" s="468"/>
      <c r="DO108" s="468"/>
      <c r="DP108" s="468"/>
      <c r="DQ108" s="468"/>
      <c r="DR108" s="468"/>
      <c r="DS108" s="468"/>
      <c r="DT108" s="468"/>
      <c r="DU108" s="468"/>
      <c r="DV108" s="468"/>
      <c r="DW108" s="468"/>
      <c r="DX108" s="468"/>
      <c r="DY108" s="468"/>
      <c r="DZ108" s="468"/>
      <c r="EA108" s="468"/>
      <c r="EB108" s="468"/>
      <c r="EC108" s="468"/>
      <c r="ED108" s="468"/>
      <c r="EE108" s="468"/>
      <c r="EF108" s="468"/>
      <c r="EG108" s="468"/>
      <c r="EH108" s="468"/>
      <c r="EI108" s="471"/>
      <c r="EJ108" s="468"/>
      <c r="EK108" s="468"/>
      <c r="EL108" s="468"/>
      <c r="EM108" s="468"/>
      <c r="EN108" s="468"/>
      <c r="EO108" s="468"/>
      <c r="EP108" s="468"/>
      <c r="EQ108" s="468"/>
      <c r="ER108" s="468"/>
      <c r="ES108" s="468"/>
      <c r="ET108" s="468"/>
      <c r="EU108" s="468"/>
      <c r="EV108" s="468"/>
      <c r="EW108" s="468"/>
      <c r="EX108" s="468"/>
      <c r="EY108" s="468"/>
      <c r="EZ108" s="468"/>
      <c r="FA108" s="468"/>
      <c r="FB108" s="468"/>
      <c r="FC108" s="468"/>
      <c r="FD108" s="468"/>
      <c r="FE108" s="468"/>
      <c r="FF108" s="468"/>
      <c r="FG108" s="468"/>
      <c r="FH108" s="468"/>
      <c r="FI108" s="468"/>
      <c r="FJ108" s="468"/>
      <c r="FK108" s="468"/>
      <c r="FL108" s="468"/>
      <c r="FM108" s="2137"/>
      <c r="FN108" s="468"/>
      <c r="FO108" s="468"/>
      <c r="FP108" s="468"/>
      <c r="FQ108" s="468"/>
      <c r="FR108" s="468"/>
      <c r="FS108" s="468"/>
      <c r="FT108" s="468"/>
      <c r="FU108" s="468"/>
      <c r="FV108" s="468"/>
      <c r="FW108" s="468"/>
      <c r="FX108" s="468"/>
      <c r="FY108" s="468"/>
      <c r="FZ108" s="468"/>
      <c r="GA108" s="468"/>
      <c r="GB108" s="468"/>
      <c r="GC108" s="468"/>
      <c r="GD108" s="468"/>
      <c r="GE108" s="468"/>
      <c r="GF108" s="468"/>
      <c r="GG108" s="468"/>
      <c r="GH108" s="468"/>
      <c r="GI108" s="468"/>
      <c r="GJ108" s="468"/>
      <c r="GK108" s="468"/>
      <c r="GL108" s="468"/>
      <c r="GM108" s="468"/>
      <c r="GN108" s="468"/>
      <c r="GO108" s="468"/>
      <c r="GP108" s="468"/>
      <c r="GQ108" s="468"/>
      <c r="GR108" s="468"/>
      <c r="GS108" s="468"/>
      <c r="GT108" s="468"/>
      <c r="GU108" s="2135"/>
    </row>
    <row r="109" spans="1:203" ht="18.899999999999999" customHeight="1">
      <c r="A109" s="2135"/>
      <c r="B109" s="2135"/>
      <c r="C109" s="2136"/>
      <c r="D109" s="468"/>
      <c r="E109" s="468"/>
      <c r="F109" s="468"/>
      <c r="G109" s="468"/>
      <c r="H109" s="468"/>
      <c r="I109" s="468"/>
      <c r="J109" s="468"/>
      <c r="K109" s="468"/>
      <c r="L109" s="468"/>
      <c r="M109" s="468"/>
      <c r="N109" s="468"/>
      <c r="O109" s="468"/>
      <c r="P109" s="468"/>
      <c r="Q109" s="468"/>
      <c r="R109" s="468"/>
      <c r="S109" s="468"/>
      <c r="T109" s="468"/>
      <c r="U109" s="468"/>
      <c r="V109" s="468"/>
      <c r="W109" s="468"/>
      <c r="X109" s="468"/>
      <c r="Y109" s="468"/>
      <c r="Z109" s="468"/>
      <c r="AA109" s="468"/>
      <c r="AB109" s="468"/>
      <c r="AC109" s="468"/>
      <c r="AD109" s="468"/>
      <c r="AE109" s="468"/>
      <c r="AF109" s="468"/>
      <c r="AG109" s="468"/>
      <c r="AH109" s="468"/>
      <c r="AI109" s="468"/>
      <c r="AJ109" s="468"/>
      <c r="AK109" s="468"/>
      <c r="AL109" s="468"/>
      <c r="AM109" s="468"/>
      <c r="AN109" s="468"/>
      <c r="AO109" s="468"/>
      <c r="AP109" s="468"/>
      <c r="AQ109" s="468"/>
      <c r="AR109" s="468"/>
      <c r="AS109" s="468"/>
      <c r="AT109" s="468"/>
      <c r="AU109" s="468"/>
      <c r="AV109" s="468"/>
      <c r="AW109" s="468"/>
      <c r="AX109" s="468"/>
      <c r="AY109" s="468"/>
      <c r="AZ109" s="468"/>
      <c r="BA109" s="468"/>
      <c r="BB109" s="468"/>
      <c r="BC109" s="468"/>
      <c r="BD109" s="468"/>
      <c r="BE109" s="468"/>
      <c r="BF109" s="2135"/>
      <c r="BG109" s="2135"/>
      <c r="BH109" s="2135"/>
      <c r="BI109" s="2135"/>
      <c r="BJ109" s="2135"/>
      <c r="BK109" s="2135"/>
      <c r="BL109" s="2135"/>
      <c r="BM109" s="468"/>
      <c r="BN109" s="468"/>
      <c r="BO109" s="468"/>
      <c r="BP109" s="468"/>
      <c r="BQ109" s="468"/>
      <c r="BR109" s="468"/>
      <c r="BS109" s="468"/>
      <c r="BT109" s="468"/>
      <c r="BU109" s="468"/>
      <c r="BV109" s="468"/>
      <c r="BW109" s="468"/>
      <c r="BX109" s="468"/>
      <c r="BY109" s="2135"/>
      <c r="BZ109" s="2135"/>
      <c r="CA109" s="2135"/>
      <c r="CB109" s="2135"/>
      <c r="CC109" s="2135"/>
      <c r="CD109" s="2135"/>
      <c r="CE109" s="2135"/>
      <c r="CF109" s="2135"/>
      <c r="CG109" s="2135"/>
      <c r="CH109" s="468"/>
      <c r="CI109" s="468"/>
      <c r="CJ109" s="468"/>
      <c r="CK109" s="468"/>
      <c r="CL109" s="468"/>
      <c r="CM109" s="468"/>
      <c r="CN109" s="468"/>
      <c r="CO109" s="468"/>
      <c r="CP109" s="468"/>
      <c r="CQ109" s="468"/>
      <c r="CR109" s="468"/>
      <c r="CS109" s="468"/>
      <c r="CT109" s="468"/>
      <c r="CU109" s="468"/>
      <c r="CV109" s="468"/>
      <c r="CW109" s="468"/>
      <c r="CX109" s="468"/>
      <c r="CY109" s="468"/>
      <c r="CZ109" s="468"/>
      <c r="DA109" s="468"/>
      <c r="DB109" s="468"/>
      <c r="DC109" s="468"/>
      <c r="DD109" s="468"/>
      <c r="DE109" s="468"/>
      <c r="DF109" s="468"/>
      <c r="DG109" s="468"/>
      <c r="DH109" s="468"/>
      <c r="DI109" s="468"/>
      <c r="DJ109" s="468"/>
      <c r="DK109" s="468"/>
      <c r="DL109" s="468"/>
      <c r="DM109" s="468"/>
      <c r="DN109" s="468"/>
      <c r="DO109" s="468"/>
      <c r="DP109" s="468"/>
      <c r="DQ109" s="468"/>
      <c r="DR109" s="468"/>
      <c r="DS109" s="468"/>
      <c r="DT109" s="468"/>
      <c r="DU109" s="468"/>
      <c r="DV109" s="468"/>
      <c r="DW109" s="468"/>
      <c r="DX109" s="468"/>
      <c r="DY109" s="468"/>
      <c r="DZ109" s="468"/>
      <c r="EA109" s="468"/>
      <c r="EB109" s="468"/>
      <c r="EC109" s="468"/>
      <c r="ED109" s="468"/>
      <c r="EE109" s="468"/>
      <c r="EF109" s="468"/>
      <c r="EG109" s="468"/>
      <c r="EH109" s="468"/>
      <c r="EI109" s="471"/>
      <c r="EJ109" s="468"/>
      <c r="EK109" s="468"/>
      <c r="EL109" s="468"/>
      <c r="EM109" s="468"/>
      <c r="EN109" s="468"/>
      <c r="EO109" s="468"/>
      <c r="EP109" s="468"/>
      <c r="EQ109" s="468"/>
      <c r="ER109" s="468"/>
      <c r="ES109" s="468"/>
      <c r="ET109" s="468"/>
      <c r="EU109" s="468"/>
      <c r="EV109" s="468"/>
      <c r="EW109" s="468"/>
      <c r="EX109" s="468"/>
      <c r="EY109" s="468"/>
      <c r="EZ109" s="468"/>
      <c r="FA109" s="468"/>
      <c r="FB109" s="468"/>
      <c r="FC109" s="468"/>
      <c r="FD109" s="468"/>
      <c r="FE109" s="468"/>
      <c r="FF109" s="468"/>
      <c r="FG109" s="468"/>
      <c r="FH109" s="468"/>
      <c r="FI109" s="468"/>
      <c r="FJ109" s="468"/>
      <c r="FK109" s="468"/>
      <c r="FL109" s="468"/>
      <c r="FM109" s="2137"/>
      <c r="FN109" s="468"/>
      <c r="FO109" s="468"/>
      <c r="FP109" s="468"/>
      <c r="FQ109" s="468"/>
      <c r="FR109" s="468"/>
      <c r="FS109" s="468"/>
      <c r="FT109" s="468"/>
      <c r="FU109" s="468"/>
      <c r="FV109" s="468"/>
      <c r="FW109" s="468"/>
      <c r="FX109" s="468"/>
      <c r="FY109" s="468"/>
      <c r="FZ109" s="468"/>
      <c r="GA109" s="468"/>
      <c r="GB109" s="468"/>
      <c r="GC109" s="468"/>
      <c r="GD109" s="468"/>
      <c r="GE109" s="468"/>
      <c r="GF109" s="468"/>
      <c r="GG109" s="468"/>
      <c r="GH109" s="468"/>
      <c r="GI109" s="468"/>
      <c r="GJ109" s="468"/>
      <c r="GK109" s="468"/>
      <c r="GL109" s="468"/>
      <c r="GM109" s="468"/>
      <c r="GN109" s="468"/>
      <c r="GO109" s="468"/>
      <c r="GP109" s="468"/>
      <c r="GQ109" s="468"/>
      <c r="GR109" s="468"/>
      <c r="GS109" s="468"/>
      <c r="GT109" s="468"/>
      <c r="GU109" s="2135"/>
    </row>
    <row r="110" spans="1:203" ht="18.899999999999999" customHeight="1">
      <c r="A110" s="2135"/>
      <c r="B110" s="2135"/>
      <c r="C110" s="2136"/>
      <c r="D110" s="468"/>
      <c r="E110" s="468"/>
      <c r="F110" s="468"/>
      <c r="G110" s="468"/>
      <c r="H110" s="468"/>
      <c r="I110" s="468"/>
      <c r="J110" s="468"/>
      <c r="K110" s="468"/>
      <c r="L110" s="468"/>
      <c r="M110" s="468"/>
      <c r="N110" s="468"/>
      <c r="O110" s="468"/>
      <c r="P110" s="468"/>
      <c r="Q110" s="468"/>
      <c r="R110" s="468"/>
      <c r="S110" s="468"/>
      <c r="T110" s="468"/>
      <c r="U110" s="468"/>
      <c r="V110" s="468"/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8"/>
      <c r="AJ110" s="468"/>
      <c r="AK110" s="468"/>
      <c r="AL110" s="468"/>
      <c r="AM110" s="468"/>
      <c r="AN110" s="468"/>
      <c r="AO110" s="468"/>
      <c r="AP110" s="468"/>
      <c r="AQ110" s="468"/>
      <c r="AR110" s="468"/>
      <c r="AS110" s="468"/>
      <c r="AT110" s="468"/>
      <c r="AU110" s="468"/>
      <c r="AV110" s="468"/>
      <c r="AW110" s="468"/>
      <c r="AX110" s="468"/>
      <c r="AY110" s="468"/>
      <c r="AZ110" s="468"/>
      <c r="BA110" s="468"/>
      <c r="BB110" s="468"/>
      <c r="BC110" s="468"/>
      <c r="BD110" s="468"/>
      <c r="BE110" s="468"/>
      <c r="BF110" s="2135"/>
      <c r="BG110" s="2135"/>
      <c r="BH110" s="2135"/>
      <c r="BI110" s="2135"/>
      <c r="BJ110" s="2135"/>
      <c r="BK110" s="2135"/>
      <c r="BL110" s="2135"/>
      <c r="BM110" s="468"/>
      <c r="BN110" s="468"/>
      <c r="BO110" s="468"/>
      <c r="BP110" s="468"/>
      <c r="BQ110" s="468"/>
      <c r="BR110" s="468"/>
      <c r="BS110" s="468"/>
      <c r="BT110" s="468"/>
      <c r="BU110" s="468"/>
      <c r="BV110" s="468"/>
      <c r="BW110" s="468"/>
      <c r="BX110" s="468"/>
      <c r="BY110" s="2135"/>
      <c r="BZ110" s="2135"/>
      <c r="CA110" s="2135"/>
      <c r="CB110" s="2135"/>
      <c r="CC110" s="2135"/>
      <c r="CD110" s="2135"/>
      <c r="CE110" s="2135"/>
      <c r="CF110" s="2135"/>
      <c r="CG110" s="2135"/>
      <c r="CH110" s="468"/>
      <c r="CI110" s="468"/>
      <c r="CJ110" s="468"/>
      <c r="CK110" s="468"/>
      <c r="CL110" s="468"/>
      <c r="CM110" s="468"/>
      <c r="CN110" s="468"/>
      <c r="CO110" s="468"/>
      <c r="CP110" s="468"/>
      <c r="CQ110" s="468"/>
      <c r="CR110" s="468"/>
      <c r="CS110" s="468"/>
      <c r="CT110" s="468"/>
      <c r="CU110" s="468"/>
      <c r="CV110" s="468"/>
      <c r="CW110" s="468"/>
      <c r="CX110" s="468"/>
      <c r="CY110" s="468"/>
      <c r="CZ110" s="468"/>
      <c r="DA110" s="468"/>
      <c r="DB110" s="468"/>
      <c r="DC110" s="468"/>
      <c r="DD110" s="468"/>
      <c r="DE110" s="468"/>
      <c r="DF110" s="468"/>
      <c r="DG110" s="468"/>
      <c r="DH110" s="468"/>
      <c r="DI110" s="468"/>
      <c r="DJ110" s="468"/>
      <c r="DK110" s="468"/>
      <c r="DL110" s="468"/>
      <c r="DM110" s="468"/>
      <c r="DN110" s="468"/>
      <c r="DO110" s="468"/>
      <c r="DP110" s="468"/>
      <c r="DQ110" s="468"/>
      <c r="DR110" s="468"/>
      <c r="DS110" s="468"/>
      <c r="DT110" s="468"/>
      <c r="DU110" s="468"/>
      <c r="DV110" s="468"/>
      <c r="DW110" s="468"/>
      <c r="DX110" s="468"/>
      <c r="DY110" s="468"/>
      <c r="DZ110" s="468"/>
      <c r="EA110" s="468"/>
      <c r="EB110" s="468"/>
      <c r="EC110" s="468"/>
      <c r="ED110" s="468"/>
      <c r="EE110" s="468"/>
      <c r="EF110" s="468"/>
      <c r="EG110" s="468"/>
      <c r="EH110" s="468"/>
      <c r="EI110" s="471"/>
      <c r="EJ110" s="468"/>
      <c r="EK110" s="468"/>
      <c r="EL110" s="468"/>
      <c r="EM110" s="468"/>
      <c r="EN110" s="468"/>
      <c r="EO110" s="468"/>
      <c r="EP110" s="468"/>
      <c r="EQ110" s="468"/>
      <c r="ER110" s="468"/>
      <c r="ES110" s="468"/>
      <c r="ET110" s="468"/>
      <c r="EU110" s="468"/>
      <c r="EV110" s="468"/>
      <c r="EW110" s="468"/>
      <c r="EX110" s="468"/>
      <c r="EY110" s="468"/>
      <c r="EZ110" s="468"/>
      <c r="FA110" s="468"/>
      <c r="FB110" s="468"/>
      <c r="FC110" s="468"/>
      <c r="FD110" s="468"/>
      <c r="FE110" s="468"/>
      <c r="FF110" s="468"/>
      <c r="FG110" s="468"/>
      <c r="FH110" s="468"/>
      <c r="FI110" s="468"/>
      <c r="FJ110" s="468"/>
      <c r="FK110" s="468"/>
      <c r="FL110" s="468"/>
      <c r="FM110" s="2137"/>
      <c r="FN110" s="468"/>
      <c r="FO110" s="468"/>
      <c r="FP110" s="468"/>
      <c r="FQ110" s="468"/>
      <c r="FR110" s="468"/>
      <c r="FS110" s="468"/>
      <c r="FT110" s="468"/>
      <c r="FU110" s="468"/>
      <c r="FV110" s="468"/>
      <c r="FW110" s="468"/>
      <c r="FX110" s="468"/>
      <c r="FY110" s="468"/>
      <c r="FZ110" s="468"/>
      <c r="GA110" s="468"/>
      <c r="GB110" s="468"/>
      <c r="GC110" s="468"/>
      <c r="GD110" s="468"/>
      <c r="GE110" s="468"/>
      <c r="GF110" s="468"/>
      <c r="GG110" s="468"/>
      <c r="GH110" s="468"/>
      <c r="GI110" s="468"/>
      <c r="GJ110" s="468"/>
      <c r="GK110" s="468"/>
      <c r="GL110" s="468"/>
      <c r="GM110" s="468"/>
      <c r="GN110" s="468"/>
      <c r="GO110" s="468"/>
      <c r="GP110" s="468"/>
      <c r="GQ110" s="468"/>
      <c r="GR110" s="468"/>
      <c r="GS110" s="468"/>
      <c r="GT110" s="468"/>
      <c r="GU110" s="2135"/>
    </row>
    <row r="111" spans="1:203" ht="18.899999999999999" customHeight="1">
      <c r="A111" s="2135"/>
      <c r="B111" s="2135"/>
      <c r="C111" s="2136"/>
      <c r="D111" s="468"/>
      <c r="E111" s="468"/>
      <c r="F111" s="468"/>
      <c r="G111" s="468"/>
      <c r="H111" s="468"/>
      <c r="I111" s="468"/>
      <c r="J111" s="468"/>
      <c r="K111" s="468"/>
      <c r="L111" s="468"/>
      <c r="M111" s="468"/>
      <c r="N111" s="468"/>
      <c r="O111" s="468"/>
      <c r="P111" s="468"/>
      <c r="Q111" s="468"/>
      <c r="R111" s="468"/>
      <c r="S111" s="468"/>
      <c r="T111" s="468"/>
      <c r="U111" s="468"/>
      <c r="V111" s="468"/>
      <c r="W111" s="468"/>
      <c r="X111" s="468"/>
      <c r="Y111" s="468"/>
      <c r="Z111" s="468"/>
      <c r="AA111" s="468"/>
      <c r="AB111" s="468"/>
      <c r="AC111" s="468"/>
      <c r="AD111" s="468"/>
      <c r="AE111" s="468"/>
      <c r="AF111" s="468"/>
      <c r="AG111" s="468"/>
      <c r="AH111" s="468"/>
      <c r="AI111" s="468"/>
      <c r="AJ111" s="468"/>
      <c r="AK111" s="468"/>
      <c r="AL111" s="468"/>
      <c r="AM111" s="468"/>
      <c r="AN111" s="468"/>
      <c r="AO111" s="468"/>
      <c r="AP111" s="468"/>
      <c r="AQ111" s="468"/>
      <c r="AR111" s="468"/>
      <c r="AS111" s="468"/>
      <c r="AT111" s="468"/>
      <c r="AU111" s="468"/>
      <c r="AV111" s="468"/>
      <c r="AW111" s="468"/>
      <c r="AX111" s="468"/>
      <c r="AY111" s="468"/>
      <c r="AZ111" s="468"/>
      <c r="BA111" s="468"/>
      <c r="BB111" s="468"/>
      <c r="BC111" s="468"/>
      <c r="BD111" s="468"/>
      <c r="BE111" s="468"/>
      <c r="BF111" s="2135"/>
      <c r="BG111" s="2135"/>
      <c r="BH111" s="2135"/>
      <c r="BI111" s="2135"/>
      <c r="BJ111" s="2135"/>
      <c r="BK111" s="2135"/>
      <c r="BL111" s="2135"/>
      <c r="BM111" s="468"/>
      <c r="BN111" s="468"/>
      <c r="BO111" s="468"/>
      <c r="BP111" s="468"/>
      <c r="BQ111" s="468"/>
      <c r="BR111" s="468"/>
      <c r="BS111" s="468"/>
      <c r="BT111" s="468"/>
      <c r="BU111" s="468"/>
      <c r="BV111" s="468"/>
      <c r="BW111" s="468"/>
      <c r="BX111" s="468"/>
      <c r="BY111" s="2135"/>
      <c r="BZ111" s="2135"/>
      <c r="CA111" s="2135"/>
      <c r="CB111" s="2135"/>
      <c r="CC111" s="2135"/>
      <c r="CD111" s="2135"/>
      <c r="CE111" s="2135"/>
      <c r="CF111" s="2135"/>
      <c r="CG111" s="2135"/>
      <c r="CH111" s="468"/>
      <c r="CI111" s="468"/>
      <c r="CJ111" s="468"/>
      <c r="CK111" s="468"/>
      <c r="CL111" s="468"/>
      <c r="CM111" s="468"/>
      <c r="CN111" s="468"/>
      <c r="CO111" s="468"/>
      <c r="CP111" s="468"/>
      <c r="CQ111" s="468"/>
      <c r="CR111" s="468"/>
      <c r="CS111" s="468"/>
      <c r="CT111" s="468"/>
      <c r="CU111" s="468"/>
      <c r="CV111" s="468"/>
      <c r="CW111" s="468"/>
      <c r="CX111" s="468"/>
      <c r="CY111" s="468"/>
      <c r="CZ111" s="468"/>
      <c r="DA111" s="468"/>
      <c r="DB111" s="468"/>
      <c r="DC111" s="468"/>
      <c r="DD111" s="468"/>
      <c r="DE111" s="468"/>
      <c r="DF111" s="468"/>
      <c r="DG111" s="468"/>
      <c r="DH111" s="468"/>
      <c r="DI111" s="468"/>
      <c r="DJ111" s="468"/>
      <c r="DK111" s="468"/>
      <c r="DL111" s="468"/>
      <c r="DM111" s="468"/>
      <c r="DN111" s="468"/>
      <c r="DO111" s="468"/>
      <c r="DP111" s="468"/>
      <c r="DQ111" s="468"/>
      <c r="DR111" s="468"/>
      <c r="DS111" s="468"/>
      <c r="DT111" s="468"/>
      <c r="DU111" s="468"/>
      <c r="DV111" s="468"/>
      <c r="DW111" s="468"/>
      <c r="DX111" s="468"/>
      <c r="DY111" s="468"/>
      <c r="DZ111" s="468"/>
      <c r="EA111" s="468"/>
      <c r="EB111" s="468"/>
      <c r="EC111" s="468"/>
      <c r="ED111" s="468"/>
      <c r="EE111" s="468"/>
      <c r="EF111" s="468"/>
      <c r="EG111" s="468"/>
      <c r="EH111" s="468"/>
      <c r="EI111" s="471"/>
      <c r="EJ111" s="468"/>
      <c r="EK111" s="468"/>
      <c r="EL111" s="468"/>
      <c r="EM111" s="468"/>
      <c r="EN111" s="468"/>
      <c r="EO111" s="468"/>
      <c r="EP111" s="468"/>
      <c r="EQ111" s="468"/>
      <c r="ER111" s="468"/>
      <c r="ES111" s="468"/>
      <c r="ET111" s="468"/>
      <c r="EU111" s="468"/>
      <c r="EV111" s="468"/>
      <c r="EW111" s="468"/>
      <c r="EX111" s="468"/>
      <c r="EY111" s="468"/>
      <c r="EZ111" s="468"/>
      <c r="FA111" s="468"/>
      <c r="FB111" s="468"/>
      <c r="FC111" s="468"/>
      <c r="FD111" s="468"/>
      <c r="FE111" s="468"/>
      <c r="FF111" s="468"/>
      <c r="FG111" s="468"/>
      <c r="FH111" s="468"/>
      <c r="FI111" s="468"/>
      <c r="FJ111" s="468"/>
      <c r="FK111" s="468"/>
      <c r="FL111" s="468"/>
      <c r="FM111" s="2137"/>
      <c r="FN111" s="468"/>
      <c r="FO111" s="468"/>
      <c r="FP111" s="468"/>
      <c r="FQ111" s="468"/>
      <c r="FR111" s="468"/>
      <c r="FS111" s="468"/>
      <c r="FT111" s="468"/>
      <c r="FU111" s="468"/>
      <c r="FV111" s="468"/>
      <c r="FW111" s="468"/>
      <c r="FX111" s="468"/>
      <c r="FY111" s="468"/>
      <c r="FZ111" s="468"/>
      <c r="GA111" s="468"/>
      <c r="GB111" s="468"/>
      <c r="GC111" s="468"/>
      <c r="GD111" s="468"/>
      <c r="GE111" s="468"/>
      <c r="GF111" s="468"/>
      <c r="GG111" s="468"/>
      <c r="GH111" s="468"/>
      <c r="GI111" s="468"/>
      <c r="GJ111" s="468"/>
      <c r="GK111" s="468"/>
      <c r="GL111" s="468"/>
      <c r="GM111" s="468"/>
      <c r="GN111" s="468"/>
      <c r="GO111" s="468"/>
      <c r="GP111" s="468"/>
      <c r="GQ111" s="468"/>
      <c r="GR111" s="468"/>
      <c r="GS111" s="468"/>
      <c r="GT111" s="468"/>
      <c r="GU111" s="2135"/>
    </row>
    <row r="112" spans="1:203" ht="18.899999999999999" customHeight="1">
      <c r="A112" s="2135"/>
      <c r="B112" s="2135"/>
      <c r="C112" s="2136"/>
      <c r="D112" s="468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8"/>
      <c r="T112" s="468"/>
      <c r="U112" s="468"/>
      <c r="V112" s="468"/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468"/>
      <c r="AJ112" s="468"/>
      <c r="AK112" s="468"/>
      <c r="AL112" s="468"/>
      <c r="AM112" s="468"/>
      <c r="AN112" s="468"/>
      <c r="AO112" s="468"/>
      <c r="AP112" s="468"/>
      <c r="AQ112" s="468"/>
      <c r="AR112" s="468"/>
      <c r="AS112" s="468"/>
      <c r="AT112" s="468"/>
      <c r="AU112" s="468"/>
      <c r="AV112" s="468"/>
      <c r="AW112" s="468"/>
      <c r="AX112" s="468"/>
      <c r="AY112" s="468"/>
      <c r="AZ112" s="468"/>
      <c r="BA112" s="468"/>
      <c r="BB112" s="468"/>
      <c r="BC112" s="468"/>
      <c r="BD112" s="468"/>
      <c r="BE112" s="468"/>
      <c r="BF112" s="2135"/>
      <c r="BG112" s="2135"/>
      <c r="BH112" s="2135"/>
      <c r="BI112" s="2135"/>
      <c r="BJ112" s="2135"/>
      <c r="BK112" s="2135"/>
      <c r="BL112" s="2135"/>
      <c r="BM112" s="468"/>
      <c r="BN112" s="468"/>
      <c r="BO112" s="468"/>
      <c r="BP112" s="468"/>
      <c r="BQ112" s="468"/>
      <c r="BR112" s="468"/>
      <c r="BS112" s="468"/>
      <c r="BT112" s="468"/>
      <c r="BU112" s="468"/>
      <c r="BV112" s="468"/>
      <c r="BW112" s="468"/>
      <c r="BX112" s="468"/>
      <c r="BY112" s="2135"/>
      <c r="BZ112" s="2135"/>
      <c r="CA112" s="2135"/>
      <c r="CB112" s="2135"/>
      <c r="CC112" s="2135"/>
      <c r="CD112" s="2135"/>
      <c r="CE112" s="2135"/>
      <c r="CF112" s="2135"/>
      <c r="CG112" s="2135"/>
      <c r="CH112" s="468"/>
      <c r="CI112" s="468"/>
      <c r="CJ112" s="468"/>
      <c r="CK112" s="468"/>
      <c r="CL112" s="468"/>
      <c r="CM112" s="468"/>
      <c r="CN112" s="468"/>
      <c r="CO112" s="468"/>
      <c r="CP112" s="468"/>
      <c r="CQ112" s="468"/>
      <c r="CR112" s="468"/>
      <c r="CS112" s="468"/>
      <c r="CT112" s="468"/>
      <c r="CU112" s="468"/>
      <c r="CV112" s="468"/>
      <c r="CW112" s="468"/>
      <c r="CX112" s="468"/>
      <c r="CY112" s="468"/>
      <c r="CZ112" s="468"/>
      <c r="DA112" s="468"/>
      <c r="DB112" s="468"/>
      <c r="DC112" s="468"/>
      <c r="DD112" s="468"/>
      <c r="DE112" s="468"/>
      <c r="DF112" s="468"/>
      <c r="DG112" s="468"/>
      <c r="DH112" s="468"/>
      <c r="DI112" s="468"/>
      <c r="DJ112" s="468"/>
      <c r="DK112" s="468"/>
      <c r="DL112" s="468"/>
      <c r="DM112" s="468"/>
      <c r="DN112" s="468"/>
      <c r="DO112" s="468"/>
      <c r="DP112" s="468"/>
      <c r="DQ112" s="468"/>
      <c r="DR112" s="468"/>
      <c r="DS112" s="468"/>
      <c r="DT112" s="468"/>
      <c r="DU112" s="468"/>
      <c r="DV112" s="468"/>
      <c r="DW112" s="468"/>
      <c r="DX112" s="468"/>
      <c r="DY112" s="468"/>
      <c r="DZ112" s="468"/>
      <c r="EA112" s="468"/>
      <c r="EB112" s="468"/>
      <c r="EC112" s="468"/>
      <c r="ED112" s="468"/>
      <c r="EE112" s="468"/>
      <c r="EF112" s="468"/>
      <c r="EG112" s="468"/>
      <c r="EH112" s="468"/>
      <c r="EI112" s="471"/>
      <c r="EJ112" s="468"/>
      <c r="EK112" s="468"/>
      <c r="EL112" s="468"/>
      <c r="EM112" s="468"/>
      <c r="EN112" s="468"/>
      <c r="EO112" s="468"/>
      <c r="EP112" s="468"/>
      <c r="EQ112" s="468"/>
      <c r="ER112" s="468"/>
      <c r="ES112" s="468"/>
      <c r="ET112" s="468"/>
      <c r="EU112" s="468"/>
      <c r="EV112" s="468"/>
      <c r="EW112" s="468"/>
      <c r="EX112" s="468"/>
      <c r="EY112" s="468"/>
      <c r="EZ112" s="468"/>
      <c r="FA112" s="468"/>
      <c r="FB112" s="468"/>
      <c r="FC112" s="468"/>
      <c r="FD112" s="468"/>
      <c r="FE112" s="468"/>
      <c r="FF112" s="468"/>
      <c r="FG112" s="468"/>
      <c r="FH112" s="468"/>
      <c r="FI112" s="468"/>
      <c r="FJ112" s="468"/>
      <c r="FK112" s="468"/>
      <c r="FL112" s="468"/>
      <c r="FM112" s="2137"/>
      <c r="FN112" s="468"/>
      <c r="FO112" s="468"/>
      <c r="FP112" s="468"/>
      <c r="FQ112" s="468"/>
      <c r="FR112" s="468"/>
      <c r="FS112" s="468"/>
      <c r="FT112" s="468"/>
      <c r="FU112" s="468"/>
      <c r="FV112" s="468"/>
      <c r="FW112" s="468"/>
      <c r="FX112" s="468"/>
      <c r="FY112" s="468"/>
      <c r="FZ112" s="468"/>
      <c r="GA112" s="468"/>
      <c r="GB112" s="468"/>
      <c r="GC112" s="468"/>
      <c r="GD112" s="468"/>
      <c r="GE112" s="468"/>
      <c r="GF112" s="468"/>
      <c r="GG112" s="468"/>
      <c r="GH112" s="468"/>
      <c r="GI112" s="468"/>
      <c r="GJ112" s="468"/>
      <c r="GK112" s="468"/>
      <c r="GL112" s="468"/>
      <c r="GM112" s="468"/>
      <c r="GN112" s="468"/>
      <c r="GO112" s="468"/>
      <c r="GP112" s="468"/>
      <c r="GQ112" s="468"/>
      <c r="GR112" s="468"/>
      <c r="GS112" s="468"/>
      <c r="GT112" s="468"/>
      <c r="GU112" s="2135"/>
    </row>
    <row r="113" spans="1:203" ht="18.899999999999999" customHeight="1">
      <c r="A113" s="2135"/>
      <c r="B113" s="2135"/>
      <c r="C113" s="2136"/>
      <c r="D113" s="468"/>
      <c r="E113" s="468"/>
      <c r="F113" s="468"/>
      <c r="G113" s="468"/>
      <c r="H113" s="468"/>
      <c r="I113" s="468"/>
      <c r="J113" s="468"/>
      <c r="K113" s="468"/>
      <c r="L113" s="468"/>
      <c r="M113" s="468"/>
      <c r="N113" s="468"/>
      <c r="O113" s="468"/>
      <c r="P113" s="468"/>
      <c r="Q113" s="468"/>
      <c r="R113" s="468"/>
      <c r="S113" s="468"/>
      <c r="T113" s="468"/>
      <c r="U113" s="468"/>
      <c r="V113" s="468"/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468"/>
      <c r="AI113" s="468"/>
      <c r="AJ113" s="468"/>
      <c r="AK113" s="468"/>
      <c r="AL113" s="468"/>
      <c r="AM113" s="468"/>
      <c r="AN113" s="468"/>
      <c r="AO113" s="468"/>
      <c r="AP113" s="468"/>
      <c r="AQ113" s="468"/>
      <c r="AR113" s="468"/>
      <c r="AS113" s="468"/>
      <c r="AT113" s="468"/>
      <c r="AU113" s="468"/>
      <c r="AV113" s="468"/>
      <c r="AW113" s="468"/>
      <c r="AX113" s="468"/>
      <c r="AY113" s="468"/>
      <c r="AZ113" s="468"/>
      <c r="BA113" s="468"/>
      <c r="BB113" s="468"/>
      <c r="BC113" s="468"/>
      <c r="BD113" s="468"/>
      <c r="BE113" s="468"/>
      <c r="BF113" s="2135"/>
      <c r="BG113" s="2135"/>
      <c r="BH113" s="2135"/>
      <c r="BI113" s="2135"/>
      <c r="BJ113" s="2135"/>
      <c r="BK113" s="2135"/>
      <c r="BL113" s="2135"/>
      <c r="BM113" s="468"/>
      <c r="BN113" s="468"/>
      <c r="BO113" s="468"/>
      <c r="BP113" s="468"/>
      <c r="BQ113" s="468"/>
      <c r="BR113" s="468"/>
      <c r="BS113" s="468"/>
      <c r="BT113" s="468"/>
      <c r="BU113" s="468"/>
      <c r="BV113" s="468"/>
      <c r="BW113" s="468"/>
      <c r="BX113" s="468"/>
      <c r="BY113" s="2135"/>
      <c r="BZ113" s="2135"/>
      <c r="CA113" s="2135"/>
      <c r="CB113" s="2135"/>
      <c r="CC113" s="2135"/>
      <c r="CD113" s="2135"/>
      <c r="CE113" s="2135"/>
      <c r="CF113" s="2135"/>
      <c r="CG113" s="2135"/>
      <c r="CH113" s="468"/>
      <c r="CI113" s="468"/>
      <c r="CJ113" s="468"/>
      <c r="CK113" s="468"/>
      <c r="CL113" s="468"/>
      <c r="CM113" s="468"/>
      <c r="CN113" s="468"/>
      <c r="CO113" s="468"/>
      <c r="CP113" s="468"/>
      <c r="CQ113" s="468"/>
      <c r="CR113" s="468"/>
      <c r="CS113" s="468"/>
      <c r="CT113" s="468"/>
      <c r="CU113" s="468"/>
      <c r="CV113" s="468"/>
      <c r="CW113" s="468"/>
      <c r="CX113" s="468"/>
      <c r="CY113" s="468"/>
      <c r="CZ113" s="468"/>
      <c r="DA113" s="468"/>
      <c r="DB113" s="468"/>
      <c r="DC113" s="468"/>
      <c r="DD113" s="468"/>
      <c r="DE113" s="468"/>
      <c r="DF113" s="468"/>
      <c r="DG113" s="468"/>
      <c r="DH113" s="468"/>
      <c r="DI113" s="468"/>
      <c r="DJ113" s="468"/>
      <c r="DK113" s="468"/>
      <c r="DL113" s="468"/>
      <c r="DM113" s="468"/>
      <c r="DN113" s="468"/>
      <c r="DO113" s="468"/>
      <c r="DP113" s="468"/>
      <c r="DQ113" s="468"/>
      <c r="DR113" s="468"/>
      <c r="DS113" s="468"/>
      <c r="DT113" s="468"/>
      <c r="DU113" s="468"/>
      <c r="DV113" s="468"/>
      <c r="DW113" s="468"/>
      <c r="DX113" s="468"/>
      <c r="DY113" s="468"/>
      <c r="DZ113" s="468"/>
      <c r="EA113" s="468"/>
      <c r="EB113" s="468"/>
      <c r="EC113" s="468"/>
      <c r="ED113" s="468"/>
      <c r="EE113" s="468"/>
      <c r="EF113" s="468"/>
      <c r="EG113" s="468"/>
      <c r="EH113" s="468"/>
      <c r="EI113" s="471"/>
      <c r="EJ113" s="468"/>
      <c r="EK113" s="468"/>
      <c r="EL113" s="468"/>
      <c r="EM113" s="468"/>
      <c r="EN113" s="468"/>
      <c r="EO113" s="468"/>
      <c r="EP113" s="468"/>
      <c r="EQ113" s="468"/>
      <c r="ER113" s="468"/>
      <c r="ES113" s="468"/>
      <c r="ET113" s="468"/>
      <c r="EU113" s="468"/>
      <c r="EV113" s="468"/>
      <c r="EW113" s="468"/>
      <c r="EX113" s="468"/>
      <c r="EY113" s="468"/>
      <c r="EZ113" s="468"/>
      <c r="FA113" s="468"/>
      <c r="FB113" s="468"/>
      <c r="FC113" s="468"/>
      <c r="FD113" s="468"/>
      <c r="FE113" s="468"/>
      <c r="FF113" s="468"/>
      <c r="FG113" s="468"/>
      <c r="FH113" s="468"/>
      <c r="FI113" s="468"/>
      <c r="FJ113" s="468"/>
      <c r="FK113" s="468"/>
      <c r="FL113" s="468"/>
      <c r="FM113" s="2137"/>
      <c r="FN113" s="468"/>
      <c r="FO113" s="468"/>
      <c r="FP113" s="468"/>
      <c r="FQ113" s="468"/>
      <c r="FR113" s="468"/>
      <c r="FS113" s="468"/>
      <c r="FT113" s="468"/>
      <c r="FU113" s="468"/>
      <c r="FV113" s="468"/>
      <c r="FW113" s="468"/>
      <c r="FX113" s="468"/>
      <c r="FY113" s="468"/>
      <c r="FZ113" s="468"/>
      <c r="GA113" s="468"/>
      <c r="GB113" s="468"/>
      <c r="GC113" s="468"/>
      <c r="GD113" s="468"/>
      <c r="GE113" s="468"/>
      <c r="GF113" s="468"/>
      <c r="GG113" s="468"/>
      <c r="GH113" s="468"/>
      <c r="GI113" s="468"/>
      <c r="GJ113" s="468"/>
      <c r="GK113" s="468"/>
      <c r="GL113" s="468"/>
      <c r="GM113" s="468"/>
      <c r="GN113" s="468"/>
      <c r="GO113" s="468"/>
      <c r="GP113" s="468"/>
      <c r="GQ113" s="468"/>
      <c r="GR113" s="468"/>
      <c r="GS113" s="468"/>
      <c r="GT113" s="468"/>
      <c r="GU113" s="2135"/>
    </row>
    <row r="114" spans="1:203" ht="18.899999999999999" customHeight="1">
      <c r="A114" s="2135"/>
      <c r="B114" s="2135"/>
      <c r="C114" s="2136"/>
      <c r="D114" s="468"/>
      <c r="E114" s="468"/>
      <c r="F114" s="468"/>
      <c r="G114" s="468"/>
      <c r="H114" s="468"/>
      <c r="I114" s="468"/>
      <c r="J114" s="468"/>
      <c r="K114" s="468"/>
      <c r="L114" s="468"/>
      <c r="M114" s="468"/>
      <c r="N114" s="468"/>
      <c r="O114" s="468"/>
      <c r="P114" s="468"/>
      <c r="Q114" s="468"/>
      <c r="R114" s="468"/>
      <c r="S114" s="468"/>
      <c r="T114" s="468"/>
      <c r="U114" s="468"/>
      <c r="V114" s="468"/>
      <c r="W114" s="468"/>
      <c r="X114" s="468"/>
      <c r="Y114" s="468"/>
      <c r="Z114" s="468"/>
      <c r="AA114" s="468"/>
      <c r="AB114" s="468"/>
      <c r="AC114" s="468"/>
      <c r="AD114" s="468"/>
      <c r="AE114" s="468"/>
      <c r="AF114" s="468"/>
      <c r="AG114" s="468"/>
      <c r="AH114" s="468"/>
      <c r="AI114" s="468"/>
      <c r="AJ114" s="468"/>
      <c r="AK114" s="468"/>
      <c r="AL114" s="468"/>
      <c r="AM114" s="468"/>
      <c r="AN114" s="468"/>
      <c r="AO114" s="468"/>
      <c r="AP114" s="468"/>
      <c r="AQ114" s="468"/>
      <c r="AR114" s="468"/>
      <c r="AS114" s="468"/>
      <c r="AT114" s="468"/>
      <c r="AU114" s="468"/>
      <c r="AV114" s="468"/>
      <c r="AW114" s="468"/>
      <c r="AX114" s="468"/>
      <c r="AY114" s="468"/>
      <c r="AZ114" s="468"/>
      <c r="BA114" s="468"/>
      <c r="BB114" s="468"/>
      <c r="BC114" s="468"/>
      <c r="BD114" s="468"/>
      <c r="BE114" s="468"/>
      <c r="BF114" s="2135"/>
      <c r="BG114" s="2135"/>
      <c r="BH114" s="2135"/>
      <c r="BI114" s="2135"/>
      <c r="BJ114" s="2135"/>
      <c r="BK114" s="2135"/>
      <c r="BL114" s="2135"/>
      <c r="BM114" s="468"/>
      <c r="BN114" s="468"/>
      <c r="BO114" s="468"/>
      <c r="BP114" s="468"/>
      <c r="BQ114" s="468"/>
      <c r="BR114" s="468"/>
      <c r="BS114" s="468"/>
      <c r="BT114" s="468"/>
      <c r="BU114" s="468"/>
      <c r="BV114" s="468"/>
      <c r="BW114" s="468"/>
      <c r="BX114" s="468"/>
      <c r="BY114" s="2135"/>
      <c r="BZ114" s="2135"/>
      <c r="CA114" s="2135"/>
      <c r="CB114" s="2135"/>
      <c r="CC114" s="2135"/>
      <c r="CD114" s="2135"/>
      <c r="CE114" s="2135"/>
      <c r="CF114" s="2135"/>
      <c r="CG114" s="2135"/>
      <c r="CH114" s="468"/>
      <c r="CI114" s="468"/>
      <c r="CJ114" s="468"/>
      <c r="CK114" s="468"/>
      <c r="CL114" s="468"/>
      <c r="CM114" s="468"/>
      <c r="CN114" s="468"/>
      <c r="CO114" s="468"/>
      <c r="CP114" s="468"/>
      <c r="CQ114" s="468"/>
      <c r="CR114" s="468"/>
      <c r="CS114" s="468"/>
      <c r="CT114" s="468"/>
      <c r="CU114" s="468"/>
      <c r="CV114" s="468"/>
      <c r="CW114" s="468"/>
      <c r="CX114" s="468"/>
      <c r="CY114" s="468"/>
      <c r="CZ114" s="468"/>
      <c r="DA114" s="468"/>
      <c r="DB114" s="468"/>
      <c r="DC114" s="468"/>
      <c r="DD114" s="468"/>
      <c r="DE114" s="468"/>
      <c r="DF114" s="468"/>
      <c r="DG114" s="468"/>
      <c r="DH114" s="468"/>
      <c r="DI114" s="468"/>
      <c r="DJ114" s="468"/>
      <c r="DK114" s="468"/>
      <c r="DL114" s="468"/>
      <c r="DM114" s="468"/>
      <c r="DN114" s="468"/>
      <c r="DO114" s="468"/>
      <c r="DP114" s="468"/>
      <c r="DQ114" s="468"/>
      <c r="DR114" s="468"/>
      <c r="DS114" s="468"/>
      <c r="DT114" s="468"/>
      <c r="DU114" s="468"/>
      <c r="DV114" s="468"/>
      <c r="DW114" s="468"/>
      <c r="DX114" s="468"/>
      <c r="DY114" s="468"/>
      <c r="DZ114" s="468"/>
      <c r="EA114" s="468"/>
      <c r="EB114" s="468"/>
      <c r="EC114" s="468"/>
      <c r="ED114" s="468"/>
      <c r="EE114" s="468"/>
      <c r="EF114" s="468"/>
      <c r="EG114" s="468"/>
      <c r="EH114" s="468"/>
      <c r="EI114" s="471"/>
      <c r="EJ114" s="468"/>
      <c r="EK114" s="468"/>
      <c r="EL114" s="468"/>
      <c r="EM114" s="468"/>
      <c r="EN114" s="468"/>
      <c r="EO114" s="468"/>
      <c r="EP114" s="468"/>
      <c r="EQ114" s="468"/>
      <c r="ER114" s="468"/>
      <c r="ES114" s="468"/>
      <c r="ET114" s="468"/>
      <c r="EU114" s="468"/>
      <c r="EV114" s="468"/>
      <c r="EW114" s="468"/>
      <c r="EX114" s="468"/>
      <c r="EY114" s="468"/>
      <c r="EZ114" s="468"/>
      <c r="FA114" s="468"/>
      <c r="FB114" s="468"/>
      <c r="FC114" s="468"/>
      <c r="FD114" s="468"/>
      <c r="FE114" s="468"/>
      <c r="FF114" s="468"/>
      <c r="FG114" s="468"/>
      <c r="FH114" s="468"/>
      <c r="FI114" s="468"/>
      <c r="FJ114" s="468"/>
      <c r="FK114" s="468"/>
      <c r="FL114" s="468"/>
      <c r="FM114" s="2137"/>
      <c r="FN114" s="468"/>
      <c r="FO114" s="468"/>
      <c r="FP114" s="468"/>
      <c r="FQ114" s="468"/>
      <c r="FR114" s="468"/>
      <c r="FS114" s="468"/>
      <c r="FT114" s="468"/>
      <c r="FU114" s="468"/>
      <c r="FV114" s="468"/>
      <c r="FW114" s="468"/>
      <c r="FX114" s="468"/>
      <c r="FY114" s="468"/>
      <c r="FZ114" s="468"/>
      <c r="GA114" s="468"/>
      <c r="GB114" s="468"/>
      <c r="GC114" s="468"/>
      <c r="GD114" s="468"/>
      <c r="GE114" s="468"/>
      <c r="GF114" s="468"/>
      <c r="GG114" s="468"/>
      <c r="GH114" s="468"/>
      <c r="GI114" s="468"/>
      <c r="GJ114" s="468"/>
      <c r="GK114" s="468"/>
      <c r="GL114" s="468"/>
      <c r="GM114" s="468"/>
      <c r="GN114" s="468"/>
      <c r="GO114" s="468"/>
      <c r="GP114" s="468"/>
      <c r="GQ114" s="468"/>
      <c r="GR114" s="468"/>
      <c r="GS114" s="468"/>
      <c r="GT114" s="468"/>
      <c r="GU114" s="2135"/>
    </row>
    <row r="115" spans="1:203" ht="18.899999999999999" customHeight="1">
      <c r="A115" s="2135"/>
      <c r="B115" s="2135"/>
      <c r="C115" s="2136"/>
      <c r="D115" s="468"/>
      <c r="E115" s="468"/>
      <c r="F115" s="468"/>
      <c r="G115" s="468"/>
      <c r="H115" s="468"/>
      <c r="I115" s="468"/>
      <c r="J115" s="468"/>
      <c r="K115" s="468"/>
      <c r="L115" s="468"/>
      <c r="M115" s="468"/>
      <c r="N115" s="468"/>
      <c r="O115" s="468"/>
      <c r="P115" s="468"/>
      <c r="Q115" s="468"/>
      <c r="R115" s="468"/>
      <c r="S115" s="468"/>
      <c r="T115" s="468"/>
      <c r="U115" s="468"/>
      <c r="V115" s="468"/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68"/>
      <c r="AM115" s="468"/>
      <c r="AN115" s="468"/>
      <c r="AO115" s="468"/>
      <c r="AP115" s="468"/>
      <c r="AQ115" s="468"/>
      <c r="AR115" s="468"/>
      <c r="AS115" s="468"/>
      <c r="AT115" s="468"/>
      <c r="AU115" s="468"/>
      <c r="AV115" s="468"/>
      <c r="AW115" s="468"/>
      <c r="AX115" s="468"/>
      <c r="AY115" s="468"/>
      <c r="AZ115" s="468"/>
      <c r="BA115" s="468"/>
      <c r="BB115" s="468"/>
      <c r="BC115" s="468"/>
      <c r="BD115" s="468"/>
      <c r="BE115" s="468"/>
      <c r="BF115" s="2135"/>
      <c r="BG115" s="2135"/>
      <c r="BH115" s="2135"/>
      <c r="BI115" s="2135"/>
      <c r="BJ115" s="2135"/>
      <c r="BK115" s="2135"/>
      <c r="BL115" s="2135"/>
      <c r="BM115" s="468"/>
      <c r="BN115" s="468"/>
      <c r="BO115" s="468"/>
      <c r="BP115" s="468"/>
      <c r="BQ115" s="468"/>
      <c r="BR115" s="468"/>
      <c r="BS115" s="468"/>
      <c r="BT115" s="468"/>
      <c r="BU115" s="468"/>
      <c r="BV115" s="468"/>
      <c r="BW115" s="468"/>
      <c r="BX115" s="468"/>
      <c r="BY115" s="2135"/>
      <c r="BZ115" s="2135"/>
      <c r="CA115" s="2135"/>
      <c r="CB115" s="2135"/>
      <c r="CC115" s="2135"/>
      <c r="CD115" s="2135"/>
      <c r="CE115" s="2135"/>
      <c r="CF115" s="2135"/>
      <c r="CG115" s="2135"/>
      <c r="CH115" s="468"/>
      <c r="CI115" s="468"/>
      <c r="CJ115" s="468"/>
      <c r="CK115" s="468"/>
      <c r="CL115" s="468"/>
      <c r="CM115" s="468"/>
      <c r="CN115" s="468"/>
      <c r="CO115" s="468"/>
      <c r="CP115" s="468"/>
      <c r="CQ115" s="468"/>
      <c r="CR115" s="468"/>
      <c r="CS115" s="468"/>
      <c r="CT115" s="468"/>
      <c r="CU115" s="468"/>
      <c r="CV115" s="468"/>
      <c r="CW115" s="468"/>
      <c r="CX115" s="468"/>
      <c r="CY115" s="468"/>
      <c r="CZ115" s="468"/>
      <c r="DA115" s="468"/>
      <c r="DB115" s="468"/>
      <c r="DC115" s="468"/>
      <c r="DD115" s="468"/>
      <c r="DE115" s="468"/>
      <c r="DF115" s="468"/>
      <c r="DG115" s="468"/>
      <c r="DH115" s="468"/>
      <c r="DI115" s="468"/>
      <c r="DJ115" s="468"/>
      <c r="DK115" s="468"/>
      <c r="DL115" s="468"/>
      <c r="DM115" s="468"/>
      <c r="DN115" s="468"/>
      <c r="DO115" s="468"/>
      <c r="DP115" s="468"/>
      <c r="DQ115" s="468"/>
      <c r="DR115" s="468"/>
      <c r="DS115" s="468"/>
      <c r="DT115" s="468"/>
      <c r="DU115" s="468"/>
      <c r="DV115" s="468"/>
      <c r="DW115" s="468"/>
      <c r="DX115" s="468"/>
      <c r="DY115" s="468"/>
      <c r="DZ115" s="468"/>
      <c r="EA115" s="468"/>
      <c r="EB115" s="468"/>
      <c r="EC115" s="468"/>
      <c r="ED115" s="468"/>
      <c r="EE115" s="468"/>
      <c r="EF115" s="468"/>
      <c r="EG115" s="468"/>
      <c r="EH115" s="468"/>
      <c r="EI115" s="471"/>
      <c r="EJ115" s="468"/>
      <c r="EK115" s="468"/>
      <c r="EL115" s="468"/>
      <c r="EM115" s="468"/>
      <c r="EN115" s="468"/>
      <c r="EO115" s="468"/>
      <c r="EP115" s="468"/>
      <c r="EQ115" s="468"/>
      <c r="ER115" s="468"/>
      <c r="ES115" s="468"/>
      <c r="ET115" s="468"/>
      <c r="EU115" s="468"/>
      <c r="EV115" s="468"/>
      <c r="EW115" s="468"/>
      <c r="EX115" s="468"/>
      <c r="EY115" s="468"/>
      <c r="EZ115" s="468"/>
      <c r="FA115" s="468"/>
      <c r="FB115" s="468"/>
      <c r="FC115" s="468"/>
      <c r="FD115" s="468"/>
      <c r="FE115" s="468"/>
      <c r="FF115" s="468"/>
      <c r="FG115" s="468"/>
      <c r="FH115" s="468"/>
      <c r="FI115" s="468"/>
      <c r="FJ115" s="468"/>
      <c r="FK115" s="468"/>
      <c r="FL115" s="468"/>
      <c r="FM115" s="2137"/>
      <c r="FN115" s="468"/>
      <c r="FO115" s="468"/>
      <c r="FP115" s="468"/>
      <c r="FQ115" s="468"/>
      <c r="FR115" s="468"/>
      <c r="FS115" s="468"/>
      <c r="FT115" s="468"/>
      <c r="FU115" s="468"/>
      <c r="FV115" s="468"/>
      <c r="FW115" s="468"/>
      <c r="FX115" s="468"/>
      <c r="FY115" s="468"/>
      <c r="FZ115" s="468"/>
      <c r="GA115" s="468"/>
      <c r="GB115" s="468"/>
      <c r="GC115" s="468"/>
      <c r="GD115" s="468"/>
      <c r="GE115" s="468"/>
      <c r="GF115" s="468"/>
      <c r="GG115" s="468"/>
      <c r="GH115" s="468"/>
      <c r="GI115" s="468"/>
      <c r="GJ115" s="468"/>
      <c r="GK115" s="468"/>
      <c r="GL115" s="468"/>
      <c r="GM115" s="468"/>
      <c r="GN115" s="468"/>
      <c r="GO115" s="468"/>
      <c r="GP115" s="468"/>
      <c r="GQ115" s="468"/>
      <c r="GR115" s="468"/>
      <c r="GS115" s="468"/>
      <c r="GT115" s="468"/>
      <c r="GU115" s="2135"/>
    </row>
    <row r="116" spans="1:203" ht="18.899999999999999" customHeight="1">
      <c r="A116" s="2135"/>
      <c r="B116" s="2135"/>
      <c r="C116" s="2136"/>
      <c r="D116" s="468"/>
      <c r="E116" s="468"/>
      <c r="F116" s="468"/>
      <c r="G116" s="468"/>
      <c r="H116" s="468"/>
      <c r="I116" s="468"/>
      <c r="J116" s="468"/>
      <c r="K116" s="468"/>
      <c r="L116" s="468"/>
      <c r="M116" s="468"/>
      <c r="N116" s="468"/>
      <c r="O116" s="468"/>
      <c r="P116" s="468"/>
      <c r="Q116" s="468"/>
      <c r="R116" s="468"/>
      <c r="S116" s="468"/>
      <c r="T116" s="468"/>
      <c r="U116" s="468"/>
      <c r="V116" s="468"/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68"/>
      <c r="AM116" s="468"/>
      <c r="AN116" s="468"/>
      <c r="AO116" s="468"/>
      <c r="AP116" s="468"/>
      <c r="AQ116" s="468"/>
      <c r="AR116" s="468"/>
      <c r="AS116" s="468"/>
      <c r="AT116" s="468"/>
      <c r="AU116" s="468"/>
      <c r="AV116" s="468"/>
      <c r="AW116" s="468"/>
      <c r="AX116" s="468"/>
      <c r="AY116" s="468"/>
      <c r="AZ116" s="468"/>
      <c r="BA116" s="468"/>
      <c r="BB116" s="468"/>
      <c r="BC116" s="468"/>
      <c r="BD116" s="468"/>
      <c r="BE116" s="468"/>
      <c r="BF116" s="2135"/>
      <c r="BG116" s="2135"/>
      <c r="BH116" s="2135"/>
      <c r="BI116" s="2135"/>
      <c r="BJ116" s="2135"/>
      <c r="BK116" s="2135"/>
      <c r="BL116" s="2135"/>
      <c r="BM116" s="468"/>
      <c r="BN116" s="468"/>
      <c r="BO116" s="468"/>
      <c r="BP116" s="468"/>
      <c r="BQ116" s="468"/>
      <c r="BR116" s="468"/>
      <c r="BS116" s="468"/>
      <c r="BT116" s="468"/>
      <c r="BU116" s="468"/>
      <c r="BV116" s="468"/>
      <c r="BW116" s="468"/>
      <c r="BX116" s="468"/>
      <c r="BY116" s="2135"/>
      <c r="BZ116" s="2135"/>
      <c r="CA116" s="2135"/>
      <c r="CB116" s="2135"/>
      <c r="CC116" s="2135"/>
      <c r="CD116" s="2135"/>
      <c r="CE116" s="2135"/>
      <c r="CF116" s="2135"/>
      <c r="CG116" s="2135"/>
      <c r="CH116" s="468"/>
      <c r="CI116" s="468"/>
      <c r="CJ116" s="468"/>
      <c r="CK116" s="468"/>
      <c r="CL116" s="468"/>
      <c r="CM116" s="468"/>
      <c r="CN116" s="468"/>
      <c r="CO116" s="468"/>
      <c r="CP116" s="468"/>
      <c r="CQ116" s="468"/>
      <c r="CR116" s="468"/>
      <c r="CS116" s="468"/>
      <c r="CT116" s="468"/>
      <c r="CU116" s="468"/>
      <c r="CV116" s="468"/>
      <c r="CW116" s="468"/>
      <c r="CX116" s="468"/>
      <c r="CY116" s="468"/>
      <c r="CZ116" s="468"/>
      <c r="DA116" s="468"/>
      <c r="DB116" s="468"/>
      <c r="DC116" s="468"/>
      <c r="DD116" s="468"/>
      <c r="DE116" s="468"/>
      <c r="DF116" s="468"/>
      <c r="DG116" s="468"/>
      <c r="DH116" s="468"/>
      <c r="DI116" s="468"/>
      <c r="DJ116" s="468"/>
      <c r="DK116" s="468"/>
      <c r="DL116" s="468"/>
      <c r="DM116" s="468"/>
      <c r="DN116" s="468"/>
      <c r="DO116" s="468"/>
      <c r="DP116" s="468"/>
      <c r="DQ116" s="468"/>
      <c r="DR116" s="468"/>
      <c r="DS116" s="468"/>
      <c r="DT116" s="468"/>
      <c r="DU116" s="468"/>
      <c r="DV116" s="468"/>
      <c r="DW116" s="468"/>
      <c r="DX116" s="468"/>
      <c r="DY116" s="468"/>
      <c r="DZ116" s="468"/>
      <c r="EA116" s="468"/>
      <c r="EB116" s="468"/>
      <c r="EC116" s="468"/>
      <c r="ED116" s="468"/>
      <c r="EE116" s="468"/>
      <c r="EF116" s="468"/>
      <c r="EG116" s="468"/>
      <c r="EH116" s="468"/>
      <c r="EI116" s="471"/>
      <c r="EJ116" s="468"/>
      <c r="EK116" s="468"/>
      <c r="EL116" s="468"/>
      <c r="EM116" s="468"/>
      <c r="EN116" s="468"/>
      <c r="EO116" s="468"/>
      <c r="EP116" s="468"/>
      <c r="EQ116" s="468"/>
      <c r="ER116" s="468"/>
      <c r="ES116" s="468"/>
      <c r="ET116" s="468"/>
      <c r="EU116" s="468"/>
      <c r="EV116" s="468"/>
      <c r="EW116" s="468"/>
      <c r="EX116" s="468"/>
      <c r="EY116" s="468"/>
      <c r="EZ116" s="468"/>
      <c r="FA116" s="468"/>
      <c r="FB116" s="468"/>
      <c r="FC116" s="468"/>
      <c r="FD116" s="468"/>
      <c r="FE116" s="468"/>
      <c r="FF116" s="468"/>
      <c r="FG116" s="468"/>
      <c r="FH116" s="468"/>
      <c r="FI116" s="468"/>
      <c r="FJ116" s="468"/>
      <c r="FK116" s="468"/>
      <c r="FL116" s="468"/>
      <c r="FM116" s="2137"/>
      <c r="FN116" s="468"/>
      <c r="FO116" s="468"/>
      <c r="FP116" s="468"/>
      <c r="FQ116" s="468"/>
      <c r="FR116" s="468"/>
      <c r="FS116" s="468"/>
      <c r="FT116" s="468"/>
      <c r="FU116" s="468"/>
      <c r="FV116" s="468"/>
      <c r="FW116" s="468"/>
      <c r="FX116" s="468"/>
      <c r="FY116" s="468"/>
      <c r="FZ116" s="468"/>
      <c r="GA116" s="468"/>
      <c r="GB116" s="468"/>
      <c r="GC116" s="468"/>
      <c r="GD116" s="468"/>
      <c r="GE116" s="468"/>
      <c r="GF116" s="468"/>
      <c r="GG116" s="468"/>
      <c r="GH116" s="468"/>
      <c r="GI116" s="468"/>
      <c r="GJ116" s="468"/>
      <c r="GK116" s="468"/>
      <c r="GL116" s="468"/>
      <c r="GM116" s="468"/>
      <c r="GN116" s="468"/>
      <c r="GO116" s="468"/>
      <c r="GP116" s="468"/>
      <c r="GQ116" s="468"/>
      <c r="GR116" s="468"/>
      <c r="GS116" s="468"/>
      <c r="GT116" s="468"/>
      <c r="GU116" s="2135"/>
    </row>
    <row r="117" spans="1:203" ht="18.899999999999999" customHeight="1">
      <c r="A117" s="2135"/>
      <c r="B117" s="2135"/>
      <c r="C117" s="2136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468"/>
      <c r="O117" s="468"/>
      <c r="P117" s="468"/>
      <c r="Q117" s="468"/>
      <c r="R117" s="468"/>
      <c r="S117" s="468"/>
      <c r="T117" s="468"/>
      <c r="U117" s="468"/>
      <c r="V117" s="468"/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68"/>
      <c r="AK117" s="468"/>
      <c r="AL117" s="468"/>
      <c r="AM117" s="468"/>
      <c r="AN117" s="468"/>
      <c r="AO117" s="468"/>
      <c r="AP117" s="468"/>
      <c r="AQ117" s="468"/>
      <c r="AR117" s="468"/>
      <c r="AS117" s="468"/>
      <c r="AT117" s="468"/>
      <c r="AU117" s="468"/>
      <c r="AV117" s="468"/>
      <c r="AW117" s="468"/>
      <c r="AX117" s="468"/>
      <c r="AY117" s="468"/>
      <c r="AZ117" s="468"/>
      <c r="BA117" s="468"/>
      <c r="BB117" s="468"/>
      <c r="BC117" s="468"/>
      <c r="BD117" s="468"/>
      <c r="BE117" s="468"/>
      <c r="BF117" s="2135"/>
      <c r="BG117" s="2135"/>
      <c r="BH117" s="2135"/>
      <c r="BI117" s="2135"/>
      <c r="BJ117" s="2135"/>
      <c r="BK117" s="2135"/>
      <c r="BL117" s="2135"/>
      <c r="BM117" s="468"/>
      <c r="BN117" s="468"/>
      <c r="BO117" s="468"/>
      <c r="BP117" s="468"/>
      <c r="BQ117" s="468"/>
      <c r="BR117" s="468"/>
      <c r="BS117" s="468"/>
      <c r="BT117" s="468"/>
      <c r="BU117" s="468"/>
      <c r="BV117" s="468"/>
      <c r="BW117" s="468"/>
      <c r="BX117" s="468"/>
      <c r="BY117" s="2135"/>
      <c r="BZ117" s="2135"/>
      <c r="CA117" s="2135"/>
      <c r="CB117" s="2135"/>
      <c r="CC117" s="2135"/>
      <c r="CD117" s="2135"/>
      <c r="CE117" s="2135"/>
      <c r="CF117" s="2135"/>
      <c r="CG117" s="2135"/>
      <c r="CH117" s="468"/>
      <c r="CI117" s="468"/>
      <c r="CJ117" s="468"/>
      <c r="CK117" s="468"/>
      <c r="CL117" s="468"/>
      <c r="CM117" s="468"/>
      <c r="CN117" s="468"/>
      <c r="CO117" s="468"/>
      <c r="CP117" s="468"/>
      <c r="CQ117" s="468"/>
      <c r="CR117" s="468"/>
      <c r="CS117" s="468"/>
      <c r="CT117" s="468"/>
      <c r="CU117" s="468"/>
      <c r="CV117" s="468"/>
      <c r="CW117" s="468"/>
      <c r="CX117" s="468"/>
      <c r="CY117" s="468"/>
      <c r="CZ117" s="468"/>
      <c r="DA117" s="468"/>
      <c r="DB117" s="468"/>
      <c r="DC117" s="468"/>
      <c r="DD117" s="468"/>
      <c r="DE117" s="468"/>
      <c r="DF117" s="468"/>
      <c r="DG117" s="468"/>
      <c r="DH117" s="468"/>
      <c r="DI117" s="468"/>
      <c r="DJ117" s="468"/>
      <c r="DK117" s="468"/>
      <c r="DL117" s="468"/>
      <c r="DM117" s="468"/>
      <c r="DN117" s="468"/>
      <c r="DO117" s="468"/>
      <c r="DP117" s="468"/>
      <c r="DQ117" s="468"/>
      <c r="DR117" s="468"/>
      <c r="DS117" s="468"/>
      <c r="DT117" s="468"/>
      <c r="DU117" s="468"/>
      <c r="DV117" s="468"/>
      <c r="DW117" s="468"/>
      <c r="DX117" s="468"/>
      <c r="DY117" s="468"/>
      <c r="DZ117" s="468"/>
      <c r="EA117" s="468"/>
      <c r="EB117" s="468"/>
      <c r="EC117" s="468"/>
      <c r="ED117" s="468"/>
      <c r="EE117" s="468"/>
      <c r="EF117" s="468"/>
      <c r="EG117" s="468"/>
      <c r="EH117" s="468"/>
      <c r="EI117" s="471"/>
      <c r="EJ117" s="468"/>
      <c r="EK117" s="468"/>
      <c r="EL117" s="468"/>
      <c r="EM117" s="468"/>
      <c r="EN117" s="468"/>
      <c r="EO117" s="468"/>
      <c r="EP117" s="468"/>
      <c r="EQ117" s="468"/>
      <c r="ER117" s="468"/>
      <c r="ES117" s="468"/>
      <c r="ET117" s="468"/>
      <c r="EU117" s="468"/>
      <c r="EV117" s="468"/>
      <c r="EW117" s="468"/>
      <c r="EX117" s="468"/>
      <c r="EY117" s="468"/>
      <c r="EZ117" s="468"/>
      <c r="FA117" s="468"/>
      <c r="FB117" s="468"/>
      <c r="FC117" s="468"/>
      <c r="FD117" s="468"/>
      <c r="FE117" s="468"/>
      <c r="FF117" s="468"/>
      <c r="FG117" s="468"/>
      <c r="FH117" s="468"/>
      <c r="FI117" s="468"/>
      <c r="FJ117" s="468"/>
      <c r="FK117" s="468"/>
      <c r="FL117" s="468"/>
      <c r="FM117" s="2137"/>
      <c r="FN117" s="468"/>
      <c r="FO117" s="468"/>
      <c r="FP117" s="468"/>
      <c r="FQ117" s="468"/>
      <c r="FR117" s="468"/>
      <c r="FS117" s="468"/>
      <c r="FT117" s="468"/>
      <c r="FU117" s="468"/>
      <c r="FV117" s="468"/>
      <c r="FW117" s="468"/>
      <c r="FX117" s="468"/>
      <c r="FY117" s="468"/>
      <c r="FZ117" s="468"/>
      <c r="GA117" s="468"/>
      <c r="GB117" s="468"/>
      <c r="GC117" s="468"/>
      <c r="GD117" s="468"/>
      <c r="GE117" s="468"/>
      <c r="GF117" s="468"/>
      <c r="GG117" s="468"/>
      <c r="GH117" s="468"/>
      <c r="GI117" s="468"/>
      <c r="GJ117" s="468"/>
      <c r="GK117" s="468"/>
      <c r="GL117" s="468"/>
      <c r="GM117" s="468"/>
      <c r="GN117" s="468"/>
      <c r="GO117" s="468"/>
      <c r="GP117" s="468"/>
      <c r="GQ117" s="468"/>
      <c r="GR117" s="468"/>
      <c r="GS117" s="468"/>
      <c r="GT117" s="468"/>
      <c r="GU117" s="2135"/>
    </row>
    <row r="118" spans="1:203" ht="18.899999999999999" customHeight="1">
      <c r="A118" s="2135"/>
      <c r="B118" s="2135"/>
      <c r="C118" s="2136"/>
      <c r="D118" s="468"/>
      <c r="E118" s="468"/>
      <c r="F118" s="468"/>
      <c r="G118" s="468"/>
      <c r="H118" s="468"/>
      <c r="I118" s="468"/>
      <c r="J118" s="468"/>
      <c r="K118" s="468"/>
      <c r="L118" s="468"/>
      <c r="M118" s="468"/>
      <c r="N118" s="468"/>
      <c r="O118" s="468"/>
      <c r="P118" s="468"/>
      <c r="Q118" s="468"/>
      <c r="R118" s="468"/>
      <c r="S118" s="468"/>
      <c r="T118" s="468"/>
      <c r="U118" s="468"/>
      <c r="V118" s="468"/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468"/>
      <c r="AI118" s="468"/>
      <c r="AJ118" s="468"/>
      <c r="AK118" s="468"/>
      <c r="AL118" s="468"/>
      <c r="AM118" s="468"/>
      <c r="AN118" s="468"/>
      <c r="AO118" s="468"/>
      <c r="AP118" s="468"/>
      <c r="AQ118" s="468"/>
      <c r="AR118" s="468"/>
      <c r="AS118" s="468"/>
      <c r="AT118" s="468"/>
      <c r="AU118" s="468"/>
      <c r="AV118" s="468"/>
      <c r="AW118" s="468"/>
      <c r="AX118" s="468"/>
      <c r="AY118" s="468"/>
      <c r="AZ118" s="468"/>
      <c r="BA118" s="468"/>
      <c r="BB118" s="468"/>
      <c r="BC118" s="468"/>
      <c r="BD118" s="468"/>
      <c r="BE118" s="468"/>
      <c r="BF118" s="2135"/>
      <c r="BG118" s="2135"/>
      <c r="BH118" s="2135"/>
      <c r="BI118" s="2135"/>
      <c r="BJ118" s="2135"/>
      <c r="BK118" s="2135"/>
      <c r="BL118" s="2135"/>
      <c r="BM118" s="468"/>
      <c r="BN118" s="468"/>
      <c r="BO118" s="468"/>
      <c r="BP118" s="468"/>
      <c r="BQ118" s="468"/>
      <c r="BR118" s="468"/>
      <c r="BS118" s="468"/>
      <c r="BT118" s="468"/>
      <c r="BU118" s="468"/>
      <c r="BV118" s="468"/>
      <c r="BW118" s="468"/>
      <c r="BX118" s="468"/>
      <c r="BY118" s="2135"/>
      <c r="BZ118" s="2135"/>
      <c r="CA118" s="2135"/>
      <c r="CB118" s="2135"/>
      <c r="CC118" s="2135"/>
      <c r="CD118" s="2135"/>
      <c r="CE118" s="2135"/>
      <c r="CF118" s="2135"/>
      <c r="CG118" s="2135"/>
      <c r="CH118" s="468"/>
      <c r="CI118" s="468"/>
      <c r="CJ118" s="468"/>
      <c r="CK118" s="468"/>
      <c r="CL118" s="468"/>
      <c r="CM118" s="468"/>
      <c r="CN118" s="468"/>
      <c r="CO118" s="468"/>
      <c r="CP118" s="468"/>
      <c r="CQ118" s="468"/>
      <c r="CR118" s="468"/>
      <c r="CS118" s="468"/>
      <c r="CT118" s="468"/>
      <c r="CU118" s="468"/>
      <c r="CV118" s="468"/>
      <c r="CW118" s="468"/>
      <c r="CX118" s="468"/>
      <c r="CY118" s="468"/>
      <c r="CZ118" s="468"/>
      <c r="DA118" s="468"/>
      <c r="DB118" s="468"/>
      <c r="DC118" s="468"/>
      <c r="DD118" s="468"/>
      <c r="DE118" s="468"/>
      <c r="DF118" s="468"/>
      <c r="DG118" s="468"/>
      <c r="DH118" s="468"/>
      <c r="DI118" s="468"/>
      <c r="DJ118" s="468"/>
      <c r="DK118" s="468"/>
      <c r="DL118" s="468"/>
      <c r="DM118" s="468"/>
      <c r="DN118" s="468"/>
      <c r="DO118" s="468"/>
      <c r="DP118" s="468"/>
      <c r="DQ118" s="468"/>
      <c r="DR118" s="468"/>
      <c r="DS118" s="468"/>
      <c r="DT118" s="468"/>
      <c r="DU118" s="468"/>
      <c r="DV118" s="468"/>
      <c r="DW118" s="468"/>
      <c r="DX118" s="468"/>
      <c r="DY118" s="468"/>
      <c r="DZ118" s="468"/>
      <c r="EA118" s="468"/>
      <c r="EB118" s="468"/>
      <c r="EC118" s="468"/>
      <c r="ED118" s="468"/>
      <c r="EE118" s="468"/>
      <c r="EF118" s="468"/>
      <c r="EG118" s="468"/>
      <c r="EH118" s="468"/>
      <c r="EI118" s="471"/>
      <c r="EJ118" s="468"/>
      <c r="EK118" s="468"/>
      <c r="EL118" s="468"/>
      <c r="EM118" s="468"/>
      <c r="EN118" s="468"/>
      <c r="EO118" s="468"/>
      <c r="EP118" s="468"/>
      <c r="EQ118" s="468"/>
      <c r="ER118" s="468"/>
      <c r="ES118" s="468"/>
      <c r="ET118" s="468"/>
      <c r="EU118" s="468"/>
      <c r="EV118" s="468"/>
      <c r="EW118" s="468"/>
      <c r="EX118" s="468"/>
      <c r="EY118" s="468"/>
      <c r="EZ118" s="468"/>
      <c r="FA118" s="468"/>
      <c r="FB118" s="468"/>
      <c r="FC118" s="468"/>
      <c r="FD118" s="468"/>
      <c r="FE118" s="468"/>
      <c r="FF118" s="468"/>
      <c r="FG118" s="468"/>
      <c r="FH118" s="468"/>
      <c r="FI118" s="468"/>
      <c r="FJ118" s="468"/>
      <c r="FK118" s="468"/>
      <c r="FL118" s="468"/>
      <c r="FM118" s="2137"/>
      <c r="FN118" s="468"/>
      <c r="FO118" s="468"/>
      <c r="FP118" s="468"/>
      <c r="FQ118" s="468"/>
      <c r="FR118" s="468"/>
      <c r="FS118" s="468"/>
      <c r="FT118" s="468"/>
      <c r="FU118" s="468"/>
      <c r="FV118" s="468"/>
      <c r="FW118" s="468"/>
      <c r="FX118" s="468"/>
      <c r="FY118" s="468"/>
      <c r="FZ118" s="468"/>
      <c r="GA118" s="468"/>
      <c r="GB118" s="468"/>
      <c r="GC118" s="468"/>
      <c r="GD118" s="468"/>
      <c r="GE118" s="468"/>
      <c r="GF118" s="468"/>
      <c r="GG118" s="468"/>
      <c r="GH118" s="468"/>
      <c r="GI118" s="468"/>
      <c r="GJ118" s="468"/>
      <c r="GK118" s="468"/>
      <c r="GL118" s="468"/>
      <c r="GM118" s="468"/>
      <c r="GN118" s="468"/>
      <c r="GO118" s="468"/>
      <c r="GP118" s="468"/>
      <c r="GQ118" s="468"/>
      <c r="GR118" s="468"/>
      <c r="GS118" s="468"/>
      <c r="GT118" s="468"/>
      <c r="GU118" s="2135"/>
    </row>
    <row r="119" spans="1:203" ht="18.899999999999999" customHeight="1">
      <c r="A119" s="2135"/>
      <c r="B119" s="2135"/>
      <c r="C119" s="2136"/>
      <c r="D119" s="468"/>
      <c r="E119" s="468"/>
      <c r="F119" s="468"/>
      <c r="G119" s="468"/>
      <c r="H119" s="468"/>
      <c r="I119" s="468"/>
      <c r="J119" s="468"/>
      <c r="K119" s="468"/>
      <c r="L119" s="468"/>
      <c r="M119" s="468"/>
      <c r="N119" s="468"/>
      <c r="O119" s="468"/>
      <c r="P119" s="468"/>
      <c r="Q119" s="468"/>
      <c r="R119" s="468"/>
      <c r="S119" s="468"/>
      <c r="T119" s="468"/>
      <c r="U119" s="468"/>
      <c r="V119" s="468"/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68"/>
      <c r="AL119" s="468"/>
      <c r="AM119" s="468"/>
      <c r="AN119" s="468"/>
      <c r="AO119" s="468"/>
      <c r="AP119" s="468"/>
      <c r="AQ119" s="468"/>
      <c r="AR119" s="468"/>
      <c r="AS119" s="468"/>
      <c r="AT119" s="468"/>
      <c r="AU119" s="468"/>
      <c r="AV119" s="468"/>
      <c r="AW119" s="468"/>
      <c r="AX119" s="468"/>
      <c r="AY119" s="468"/>
      <c r="AZ119" s="468"/>
      <c r="BA119" s="468"/>
      <c r="BB119" s="468"/>
      <c r="BC119" s="468"/>
      <c r="BD119" s="468"/>
      <c r="BE119" s="468"/>
      <c r="BF119" s="2135"/>
      <c r="BG119" s="2135"/>
      <c r="BH119" s="2135"/>
      <c r="BI119" s="2135"/>
      <c r="BJ119" s="2135"/>
      <c r="BK119" s="2135"/>
      <c r="BL119" s="2135"/>
      <c r="BM119" s="468"/>
      <c r="BN119" s="468"/>
      <c r="BO119" s="468"/>
      <c r="BP119" s="468"/>
      <c r="BQ119" s="468"/>
      <c r="BR119" s="468"/>
      <c r="BS119" s="468"/>
      <c r="BT119" s="468"/>
      <c r="BU119" s="468"/>
      <c r="BV119" s="468"/>
      <c r="BW119" s="468"/>
      <c r="BX119" s="468"/>
      <c r="BY119" s="2135"/>
      <c r="BZ119" s="2135"/>
      <c r="CA119" s="2135"/>
      <c r="CB119" s="2135"/>
      <c r="CC119" s="2135"/>
      <c r="CD119" s="2135"/>
      <c r="CE119" s="2135"/>
      <c r="CF119" s="2135"/>
      <c r="CG119" s="2135"/>
      <c r="CH119" s="468"/>
      <c r="CI119" s="468"/>
      <c r="CJ119" s="468"/>
      <c r="CK119" s="468"/>
      <c r="CL119" s="468"/>
      <c r="CM119" s="468"/>
      <c r="CN119" s="468"/>
      <c r="CO119" s="468"/>
      <c r="CP119" s="468"/>
      <c r="CQ119" s="468"/>
      <c r="CR119" s="468"/>
      <c r="CS119" s="468"/>
      <c r="CT119" s="468"/>
      <c r="CU119" s="468"/>
      <c r="CV119" s="468"/>
      <c r="CW119" s="468"/>
      <c r="CX119" s="468"/>
      <c r="CY119" s="468"/>
      <c r="CZ119" s="468"/>
      <c r="DA119" s="468"/>
      <c r="DB119" s="468"/>
      <c r="DC119" s="468"/>
      <c r="DD119" s="468"/>
      <c r="DE119" s="468"/>
      <c r="DF119" s="468"/>
      <c r="DG119" s="468"/>
      <c r="DH119" s="468"/>
      <c r="DI119" s="468"/>
      <c r="DJ119" s="468"/>
      <c r="DK119" s="468"/>
      <c r="DL119" s="468"/>
      <c r="DM119" s="468"/>
      <c r="DN119" s="468"/>
      <c r="DO119" s="468"/>
      <c r="DP119" s="468"/>
      <c r="DQ119" s="468"/>
      <c r="DR119" s="468"/>
      <c r="DS119" s="468"/>
      <c r="DT119" s="468"/>
      <c r="DU119" s="468"/>
      <c r="DV119" s="468"/>
      <c r="DW119" s="468"/>
      <c r="DX119" s="468"/>
      <c r="DY119" s="468"/>
      <c r="DZ119" s="468"/>
      <c r="EA119" s="468"/>
      <c r="EB119" s="468"/>
      <c r="EC119" s="468"/>
      <c r="ED119" s="468"/>
      <c r="EE119" s="468"/>
      <c r="EF119" s="468"/>
      <c r="EG119" s="468"/>
      <c r="EH119" s="468"/>
      <c r="EI119" s="471"/>
      <c r="EJ119" s="468"/>
      <c r="EK119" s="468"/>
      <c r="EL119" s="468"/>
      <c r="EM119" s="468"/>
      <c r="EN119" s="468"/>
      <c r="EO119" s="468"/>
      <c r="EP119" s="468"/>
      <c r="EQ119" s="468"/>
      <c r="ER119" s="468"/>
      <c r="ES119" s="468"/>
      <c r="ET119" s="468"/>
      <c r="EU119" s="468"/>
      <c r="EV119" s="468"/>
      <c r="EW119" s="468"/>
      <c r="EX119" s="468"/>
      <c r="EY119" s="468"/>
      <c r="EZ119" s="468"/>
      <c r="FA119" s="468"/>
      <c r="FB119" s="468"/>
      <c r="FC119" s="468"/>
      <c r="FD119" s="468"/>
      <c r="FE119" s="468"/>
      <c r="FF119" s="468"/>
      <c r="FG119" s="468"/>
      <c r="FH119" s="468"/>
      <c r="FI119" s="468"/>
      <c r="FJ119" s="468"/>
      <c r="FK119" s="468"/>
      <c r="FL119" s="468"/>
      <c r="FM119" s="2137"/>
      <c r="FN119" s="468"/>
      <c r="FO119" s="468"/>
      <c r="FP119" s="468"/>
      <c r="FQ119" s="468"/>
      <c r="FR119" s="468"/>
      <c r="FS119" s="468"/>
      <c r="FT119" s="468"/>
      <c r="FU119" s="468"/>
      <c r="FV119" s="468"/>
      <c r="FW119" s="468"/>
      <c r="FX119" s="468"/>
      <c r="FY119" s="468"/>
      <c r="FZ119" s="468"/>
      <c r="GA119" s="468"/>
      <c r="GB119" s="468"/>
      <c r="GC119" s="468"/>
      <c r="GD119" s="468"/>
      <c r="GE119" s="468"/>
      <c r="GF119" s="468"/>
      <c r="GG119" s="468"/>
      <c r="GH119" s="468"/>
      <c r="GI119" s="468"/>
      <c r="GJ119" s="468"/>
      <c r="GK119" s="468"/>
      <c r="GL119" s="468"/>
      <c r="GM119" s="468"/>
      <c r="GN119" s="468"/>
      <c r="GO119" s="468"/>
      <c r="GP119" s="468"/>
      <c r="GQ119" s="468"/>
      <c r="GR119" s="468"/>
      <c r="GS119" s="468"/>
      <c r="GT119" s="468"/>
      <c r="GU119" s="2135"/>
    </row>
    <row r="120" spans="1:203" ht="18.899999999999999" customHeight="1">
      <c r="A120" s="2135"/>
      <c r="B120" s="2135"/>
      <c r="C120" s="2136"/>
      <c r="D120" s="468"/>
      <c r="E120" s="468"/>
      <c r="F120" s="468"/>
      <c r="G120" s="468"/>
      <c r="H120" s="468"/>
      <c r="I120" s="468"/>
      <c r="J120" s="468"/>
      <c r="K120" s="468"/>
      <c r="L120" s="468"/>
      <c r="M120" s="468"/>
      <c r="N120" s="468"/>
      <c r="O120" s="468"/>
      <c r="P120" s="468"/>
      <c r="Q120" s="468"/>
      <c r="R120" s="468"/>
      <c r="S120" s="468"/>
      <c r="T120" s="468"/>
      <c r="U120" s="468"/>
      <c r="V120" s="468"/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68"/>
      <c r="AK120" s="468"/>
      <c r="AL120" s="468"/>
      <c r="AM120" s="468"/>
      <c r="AN120" s="468"/>
      <c r="AO120" s="468"/>
      <c r="AP120" s="468"/>
      <c r="AQ120" s="468"/>
      <c r="AR120" s="468"/>
      <c r="AS120" s="468"/>
      <c r="AT120" s="468"/>
      <c r="AU120" s="468"/>
      <c r="AV120" s="468"/>
      <c r="AW120" s="468"/>
      <c r="AX120" s="468"/>
      <c r="AY120" s="468"/>
      <c r="AZ120" s="468"/>
      <c r="BA120" s="468"/>
      <c r="BB120" s="468"/>
      <c r="BC120" s="468"/>
      <c r="BD120" s="468"/>
      <c r="BE120" s="468"/>
      <c r="BF120" s="2135"/>
      <c r="BG120" s="2135"/>
      <c r="BH120" s="2135"/>
      <c r="BI120" s="2135"/>
      <c r="BJ120" s="2135"/>
      <c r="BK120" s="2135"/>
      <c r="BL120" s="2135"/>
      <c r="BM120" s="468"/>
      <c r="BN120" s="468"/>
      <c r="BO120" s="468"/>
      <c r="BP120" s="468"/>
      <c r="BQ120" s="468"/>
      <c r="BR120" s="468"/>
      <c r="BS120" s="468"/>
      <c r="BT120" s="468"/>
      <c r="BU120" s="468"/>
      <c r="BV120" s="468"/>
      <c r="BW120" s="468"/>
      <c r="BX120" s="468"/>
      <c r="BY120" s="2135"/>
      <c r="BZ120" s="2135"/>
      <c r="CA120" s="2135"/>
      <c r="CB120" s="2135"/>
      <c r="CC120" s="2135"/>
      <c r="CD120" s="2135"/>
      <c r="CE120" s="2135"/>
      <c r="CF120" s="2135"/>
      <c r="CG120" s="2135"/>
      <c r="CH120" s="468"/>
      <c r="CI120" s="468"/>
      <c r="CJ120" s="468"/>
      <c r="CK120" s="468"/>
      <c r="CL120" s="468"/>
      <c r="CM120" s="468"/>
      <c r="CN120" s="468"/>
      <c r="CO120" s="468"/>
      <c r="CP120" s="468"/>
      <c r="CQ120" s="468"/>
      <c r="CR120" s="468"/>
      <c r="CS120" s="468"/>
      <c r="CT120" s="468"/>
      <c r="CU120" s="468"/>
      <c r="CV120" s="468"/>
      <c r="CW120" s="468"/>
      <c r="CX120" s="468"/>
      <c r="CY120" s="468"/>
      <c r="CZ120" s="468"/>
      <c r="DA120" s="468"/>
      <c r="DB120" s="468"/>
      <c r="DC120" s="468"/>
      <c r="DD120" s="468"/>
      <c r="DE120" s="468"/>
      <c r="DF120" s="468"/>
      <c r="DG120" s="468"/>
      <c r="DH120" s="468"/>
      <c r="DI120" s="468"/>
      <c r="DJ120" s="468"/>
      <c r="DK120" s="468"/>
      <c r="DL120" s="468"/>
      <c r="DM120" s="468"/>
      <c r="DN120" s="468"/>
      <c r="DO120" s="468"/>
      <c r="DP120" s="468"/>
      <c r="DQ120" s="468"/>
      <c r="DR120" s="468"/>
      <c r="DS120" s="468"/>
      <c r="DT120" s="468"/>
      <c r="DU120" s="468"/>
      <c r="DV120" s="468"/>
      <c r="DW120" s="468"/>
      <c r="DX120" s="468"/>
      <c r="DY120" s="468"/>
      <c r="DZ120" s="468"/>
      <c r="EA120" s="468"/>
      <c r="EB120" s="468"/>
      <c r="EC120" s="468"/>
      <c r="ED120" s="468"/>
      <c r="EE120" s="468"/>
      <c r="EF120" s="468"/>
      <c r="EG120" s="468"/>
      <c r="EH120" s="468"/>
      <c r="EI120" s="471"/>
      <c r="EJ120" s="468"/>
      <c r="EK120" s="468"/>
      <c r="EL120" s="468"/>
      <c r="EM120" s="468"/>
      <c r="EN120" s="468"/>
      <c r="EO120" s="468"/>
      <c r="EP120" s="468"/>
      <c r="EQ120" s="468"/>
      <c r="ER120" s="468"/>
      <c r="ES120" s="468"/>
      <c r="ET120" s="468"/>
      <c r="EU120" s="468"/>
      <c r="EV120" s="468"/>
      <c r="EW120" s="468"/>
      <c r="EX120" s="468"/>
      <c r="EY120" s="468"/>
      <c r="EZ120" s="468"/>
      <c r="FA120" s="468"/>
      <c r="FB120" s="468"/>
      <c r="FC120" s="468"/>
      <c r="FD120" s="468"/>
      <c r="FE120" s="468"/>
      <c r="FF120" s="468"/>
      <c r="FG120" s="468"/>
      <c r="FH120" s="468"/>
      <c r="FI120" s="468"/>
      <c r="FJ120" s="468"/>
      <c r="FK120" s="468"/>
      <c r="FL120" s="468"/>
      <c r="FM120" s="2137"/>
      <c r="FN120" s="468"/>
      <c r="FO120" s="468"/>
      <c r="FP120" s="468"/>
      <c r="FQ120" s="468"/>
      <c r="FR120" s="468"/>
      <c r="FS120" s="468"/>
      <c r="FT120" s="468"/>
      <c r="FU120" s="468"/>
      <c r="FV120" s="468"/>
      <c r="FW120" s="468"/>
      <c r="FX120" s="468"/>
      <c r="FY120" s="468"/>
      <c r="FZ120" s="468"/>
      <c r="GA120" s="468"/>
      <c r="GB120" s="468"/>
      <c r="GC120" s="468"/>
      <c r="GD120" s="468"/>
      <c r="GE120" s="468"/>
      <c r="GF120" s="468"/>
      <c r="GG120" s="468"/>
      <c r="GH120" s="468"/>
      <c r="GI120" s="468"/>
      <c r="GJ120" s="468"/>
      <c r="GK120" s="468"/>
      <c r="GL120" s="468"/>
      <c r="GM120" s="468"/>
      <c r="GN120" s="468"/>
      <c r="GO120" s="468"/>
      <c r="GP120" s="468"/>
      <c r="GQ120" s="468"/>
      <c r="GR120" s="468"/>
      <c r="GS120" s="468"/>
      <c r="GT120" s="468"/>
      <c r="GU120" s="2135"/>
    </row>
    <row r="121" spans="1:203" ht="18.899999999999999" customHeight="1">
      <c r="A121" s="2135"/>
      <c r="B121" s="2135"/>
      <c r="C121" s="2136"/>
      <c r="D121" s="468"/>
      <c r="E121" s="468"/>
      <c r="F121" s="468"/>
      <c r="G121" s="468"/>
      <c r="H121" s="468"/>
      <c r="I121" s="468"/>
      <c r="J121" s="468"/>
      <c r="K121" s="468"/>
      <c r="L121" s="468"/>
      <c r="M121" s="468"/>
      <c r="N121" s="468"/>
      <c r="O121" s="468"/>
      <c r="P121" s="468"/>
      <c r="Q121" s="468"/>
      <c r="R121" s="468"/>
      <c r="S121" s="468"/>
      <c r="T121" s="468"/>
      <c r="U121" s="468"/>
      <c r="V121" s="468"/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468"/>
      <c r="AH121" s="468"/>
      <c r="AI121" s="468"/>
      <c r="AJ121" s="468"/>
      <c r="AK121" s="468"/>
      <c r="AL121" s="468"/>
      <c r="AM121" s="468"/>
      <c r="AN121" s="468"/>
      <c r="AO121" s="468"/>
      <c r="AP121" s="468"/>
      <c r="AQ121" s="468"/>
      <c r="AR121" s="468"/>
      <c r="AS121" s="468"/>
      <c r="AT121" s="468"/>
      <c r="AU121" s="468"/>
      <c r="AV121" s="468"/>
      <c r="AW121" s="468"/>
      <c r="AX121" s="468"/>
      <c r="AY121" s="468"/>
      <c r="AZ121" s="468"/>
      <c r="BA121" s="468"/>
      <c r="BB121" s="468"/>
      <c r="BC121" s="468"/>
      <c r="BD121" s="468"/>
      <c r="BE121" s="468"/>
      <c r="BF121" s="2135"/>
      <c r="BG121" s="2135"/>
      <c r="BH121" s="2135"/>
      <c r="BI121" s="2135"/>
      <c r="BJ121" s="2135"/>
      <c r="BK121" s="2135"/>
      <c r="BL121" s="2135"/>
      <c r="BM121" s="468"/>
      <c r="BN121" s="468"/>
      <c r="BO121" s="468"/>
      <c r="BP121" s="468"/>
      <c r="BQ121" s="468"/>
      <c r="BR121" s="468"/>
      <c r="BS121" s="468"/>
      <c r="BT121" s="468"/>
      <c r="BU121" s="468"/>
      <c r="BV121" s="468"/>
      <c r="BW121" s="468"/>
      <c r="BX121" s="468"/>
      <c r="BY121" s="2135"/>
      <c r="BZ121" s="2135"/>
      <c r="CA121" s="2135"/>
      <c r="CB121" s="2135"/>
      <c r="CC121" s="2135"/>
      <c r="CD121" s="2135"/>
      <c r="CE121" s="2135"/>
      <c r="CF121" s="2135"/>
      <c r="CG121" s="2135"/>
      <c r="CH121" s="468"/>
      <c r="CI121" s="468"/>
      <c r="CJ121" s="468"/>
      <c r="CK121" s="468"/>
      <c r="CL121" s="468"/>
      <c r="CM121" s="468"/>
      <c r="CN121" s="468"/>
      <c r="CO121" s="468"/>
      <c r="CP121" s="468"/>
      <c r="CQ121" s="468"/>
      <c r="CR121" s="468"/>
      <c r="CS121" s="468"/>
      <c r="CT121" s="468"/>
      <c r="CU121" s="468"/>
      <c r="CV121" s="468"/>
      <c r="CW121" s="468"/>
      <c r="CX121" s="468"/>
      <c r="CY121" s="468"/>
      <c r="CZ121" s="468"/>
      <c r="DA121" s="468"/>
      <c r="DB121" s="468"/>
      <c r="DC121" s="468"/>
      <c r="DD121" s="468"/>
      <c r="DE121" s="468"/>
      <c r="DF121" s="468"/>
      <c r="DG121" s="468"/>
      <c r="DH121" s="468"/>
      <c r="DI121" s="468"/>
      <c r="DJ121" s="468"/>
      <c r="DK121" s="468"/>
      <c r="DL121" s="468"/>
      <c r="DM121" s="468"/>
      <c r="DN121" s="468"/>
      <c r="DO121" s="468"/>
      <c r="DP121" s="468"/>
      <c r="DQ121" s="468"/>
      <c r="DR121" s="468"/>
      <c r="DS121" s="468"/>
      <c r="DT121" s="468"/>
      <c r="DU121" s="468"/>
      <c r="DV121" s="468"/>
      <c r="DW121" s="468"/>
      <c r="DX121" s="468"/>
      <c r="DY121" s="468"/>
      <c r="DZ121" s="468"/>
      <c r="EA121" s="468"/>
      <c r="EB121" s="468"/>
      <c r="EC121" s="468"/>
      <c r="ED121" s="468"/>
      <c r="EE121" s="468"/>
      <c r="EF121" s="468"/>
      <c r="EG121" s="468"/>
      <c r="EH121" s="468"/>
      <c r="EI121" s="471"/>
      <c r="EJ121" s="468"/>
      <c r="EK121" s="468"/>
      <c r="EL121" s="468"/>
      <c r="EM121" s="468"/>
      <c r="EN121" s="468"/>
      <c r="EO121" s="468"/>
      <c r="EP121" s="468"/>
      <c r="EQ121" s="468"/>
      <c r="ER121" s="468"/>
      <c r="ES121" s="468"/>
      <c r="ET121" s="468"/>
      <c r="EU121" s="468"/>
      <c r="EV121" s="468"/>
      <c r="EW121" s="468"/>
      <c r="EX121" s="468"/>
      <c r="EY121" s="468"/>
      <c r="EZ121" s="468"/>
      <c r="FA121" s="468"/>
      <c r="FB121" s="468"/>
      <c r="FC121" s="468"/>
      <c r="FD121" s="468"/>
      <c r="FE121" s="468"/>
      <c r="FF121" s="468"/>
      <c r="FG121" s="468"/>
      <c r="FH121" s="468"/>
      <c r="FI121" s="468"/>
      <c r="FJ121" s="468"/>
      <c r="FK121" s="468"/>
      <c r="FL121" s="468"/>
      <c r="FM121" s="2137"/>
      <c r="FN121" s="468"/>
      <c r="FO121" s="468"/>
      <c r="FP121" s="468"/>
      <c r="FQ121" s="468"/>
      <c r="FR121" s="468"/>
      <c r="FS121" s="468"/>
      <c r="FT121" s="468"/>
      <c r="FU121" s="468"/>
      <c r="FV121" s="468"/>
      <c r="FW121" s="468"/>
      <c r="FX121" s="468"/>
      <c r="FY121" s="468"/>
      <c r="FZ121" s="468"/>
      <c r="GA121" s="468"/>
      <c r="GB121" s="468"/>
      <c r="GC121" s="468"/>
      <c r="GD121" s="468"/>
      <c r="GE121" s="468"/>
      <c r="GF121" s="468"/>
      <c r="GG121" s="468"/>
      <c r="GH121" s="468"/>
      <c r="GI121" s="468"/>
      <c r="GJ121" s="468"/>
      <c r="GK121" s="468"/>
      <c r="GL121" s="468"/>
      <c r="GM121" s="468"/>
      <c r="GN121" s="468"/>
      <c r="GO121" s="468"/>
      <c r="GP121" s="468"/>
      <c r="GQ121" s="468"/>
      <c r="GR121" s="468"/>
      <c r="GS121" s="468"/>
      <c r="GT121" s="468"/>
      <c r="GU121" s="2135"/>
    </row>
    <row r="122" spans="1:203" ht="18.899999999999999" customHeight="1">
      <c r="A122" s="2135"/>
      <c r="B122" s="2135"/>
      <c r="C122" s="2136"/>
      <c r="D122" s="468"/>
      <c r="E122" s="468"/>
      <c r="F122" s="468"/>
      <c r="G122" s="468"/>
      <c r="H122" s="468"/>
      <c r="I122" s="468"/>
      <c r="J122" s="468"/>
      <c r="K122" s="468"/>
      <c r="L122" s="468"/>
      <c r="M122" s="468"/>
      <c r="N122" s="468"/>
      <c r="O122" s="468"/>
      <c r="P122" s="468"/>
      <c r="Q122" s="468"/>
      <c r="R122" s="468"/>
      <c r="S122" s="468"/>
      <c r="T122" s="468"/>
      <c r="U122" s="468"/>
      <c r="V122" s="468"/>
      <c r="W122" s="468"/>
      <c r="X122" s="468"/>
      <c r="Y122" s="468"/>
      <c r="Z122" s="468"/>
      <c r="AA122" s="468"/>
      <c r="AB122" s="468"/>
      <c r="AC122" s="468"/>
      <c r="AD122" s="468"/>
      <c r="AE122" s="468"/>
      <c r="AF122" s="468"/>
      <c r="AG122" s="468"/>
      <c r="AH122" s="468"/>
      <c r="AI122" s="468"/>
      <c r="AJ122" s="468"/>
      <c r="AK122" s="468"/>
      <c r="AL122" s="468"/>
      <c r="AM122" s="468"/>
      <c r="AN122" s="468"/>
      <c r="AO122" s="468"/>
      <c r="AP122" s="468"/>
      <c r="AQ122" s="468"/>
      <c r="AR122" s="468"/>
      <c r="AS122" s="468"/>
      <c r="AT122" s="468"/>
      <c r="AU122" s="468"/>
      <c r="AV122" s="468"/>
      <c r="AW122" s="468"/>
      <c r="AX122" s="468"/>
      <c r="AY122" s="468"/>
      <c r="AZ122" s="468"/>
      <c r="BA122" s="468"/>
      <c r="BB122" s="468"/>
      <c r="BC122" s="468"/>
      <c r="BD122" s="468"/>
      <c r="BE122" s="468"/>
      <c r="BF122" s="2135"/>
      <c r="BG122" s="2135"/>
      <c r="BH122" s="2135"/>
      <c r="BI122" s="2135"/>
      <c r="BJ122" s="2135"/>
      <c r="BK122" s="2135"/>
      <c r="BL122" s="2135"/>
      <c r="BM122" s="468"/>
      <c r="BN122" s="468"/>
      <c r="BO122" s="468"/>
      <c r="BP122" s="468"/>
      <c r="BQ122" s="468"/>
      <c r="BR122" s="468"/>
      <c r="BS122" s="468"/>
      <c r="BT122" s="468"/>
      <c r="BU122" s="468"/>
      <c r="BV122" s="468"/>
      <c r="BW122" s="468"/>
      <c r="BX122" s="468"/>
      <c r="BY122" s="2135"/>
      <c r="BZ122" s="2135"/>
      <c r="CA122" s="2135"/>
      <c r="CB122" s="2135"/>
      <c r="CC122" s="2135"/>
      <c r="CD122" s="2135"/>
      <c r="CE122" s="2135"/>
      <c r="CF122" s="2135"/>
      <c r="CG122" s="2135"/>
      <c r="CH122" s="468"/>
      <c r="CI122" s="468"/>
      <c r="CJ122" s="468"/>
      <c r="CK122" s="468"/>
      <c r="CL122" s="468"/>
      <c r="CM122" s="468"/>
      <c r="CN122" s="468"/>
      <c r="CO122" s="468"/>
      <c r="CP122" s="468"/>
      <c r="CQ122" s="468"/>
      <c r="CR122" s="468"/>
      <c r="CS122" s="468"/>
      <c r="CT122" s="468"/>
      <c r="CU122" s="468"/>
      <c r="CV122" s="468"/>
      <c r="CW122" s="468"/>
      <c r="CX122" s="468"/>
      <c r="CY122" s="468"/>
      <c r="CZ122" s="468"/>
      <c r="DA122" s="468"/>
      <c r="DB122" s="468"/>
      <c r="DC122" s="468"/>
      <c r="DD122" s="468"/>
      <c r="DE122" s="468"/>
      <c r="DF122" s="468"/>
      <c r="DG122" s="468"/>
      <c r="DH122" s="468"/>
      <c r="DI122" s="468"/>
      <c r="DJ122" s="468"/>
      <c r="DK122" s="468"/>
      <c r="DL122" s="468"/>
      <c r="DM122" s="468"/>
      <c r="DN122" s="468"/>
      <c r="DO122" s="468"/>
      <c r="DP122" s="468"/>
      <c r="DQ122" s="468"/>
      <c r="DR122" s="468"/>
      <c r="DS122" s="468"/>
      <c r="DT122" s="468"/>
      <c r="DU122" s="468"/>
      <c r="DV122" s="468"/>
      <c r="DW122" s="468"/>
      <c r="DX122" s="468"/>
      <c r="DY122" s="468"/>
      <c r="DZ122" s="468"/>
      <c r="EA122" s="468"/>
      <c r="EB122" s="468"/>
      <c r="EC122" s="468"/>
      <c r="ED122" s="468"/>
      <c r="EE122" s="468"/>
      <c r="EF122" s="468"/>
      <c r="EG122" s="468"/>
      <c r="EH122" s="468"/>
      <c r="EI122" s="471"/>
      <c r="EJ122" s="468"/>
      <c r="EK122" s="468"/>
      <c r="EL122" s="468"/>
      <c r="EM122" s="468"/>
      <c r="EN122" s="468"/>
      <c r="EO122" s="468"/>
      <c r="EP122" s="468"/>
      <c r="EQ122" s="468"/>
      <c r="ER122" s="468"/>
      <c r="ES122" s="468"/>
      <c r="ET122" s="468"/>
      <c r="EU122" s="468"/>
      <c r="EV122" s="468"/>
      <c r="EW122" s="468"/>
      <c r="EX122" s="468"/>
      <c r="EY122" s="468"/>
      <c r="EZ122" s="468"/>
      <c r="FA122" s="468"/>
      <c r="FB122" s="468"/>
      <c r="FC122" s="468"/>
      <c r="FD122" s="468"/>
      <c r="FE122" s="468"/>
      <c r="FF122" s="468"/>
      <c r="FG122" s="468"/>
      <c r="FH122" s="468"/>
      <c r="FI122" s="468"/>
      <c r="FJ122" s="468"/>
      <c r="FK122" s="468"/>
      <c r="FL122" s="468"/>
      <c r="FM122" s="2137"/>
      <c r="FN122" s="468"/>
      <c r="FO122" s="468"/>
      <c r="FP122" s="468"/>
      <c r="FQ122" s="468"/>
      <c r="FR122" s="468"/>
      <c r="FS122" s="468"/>
      <c r="FT122" s="468"/>
      <c r="FU122" s="468"/>
      <c r="FV122" s="468"/>
      <c r="FW122" s="468"/>
      <c r="FX122" s="468"/>
      <c r="FY122" s="468"/>
      <c r="FZ122" s="468"/>
      <c r="GA122" s="468"/>
      <c r="GB122" s="468"/>
      <c r="GC122" s="468"/>
      <c r="GD122" s="468"/>
      <c r="GE122" s="468"/>
      <c r="GF122" s="468"/>
      <c r="GG122" s="468"/>
      <c r="GH122" s="468"/>
      <c r="GI122" s="468"/>
      <c r="GJ122" s="468"/>
      <c r="GK122" s="468"/>
      <c r="GL122" s="468"/>
      <c r="GM122" s="468"/>
      <c r="GN122" s="468"/>
      <c r="GO122" s="468"/>
      <c r="GP122" s="468"/>
      <c r="GQ122" s="468"/>
      <c r="GR122" s="468"/>
      <c r="GS122" s="468"/>
      <c r="GT122" s="468"/>
      <c r="GU122" s="2135"/>
    </row>
    <row r="123" spans="1:203" ht="18.899999999999999" customHeight="1">
      <c r="A123" s="2135"/>
      <c r="B123" s="2135"/>
      <c r="C123" s="2136"/>
      <c r="D123" s="468"/>
      <c r="E123" s="468"/>
      <c r="F123" s="468"/>
      <c r="G123" s="468"/>
      <c r="H123" s="468"/>
      <c r="I123" s="468"/>
      <c r="J123" s="468"/>
      <c r="K123" s="468"/>
      <c r="L123" s="468"/>
      <c r="M123" s="468"/>
      <c r="N123" s="468"/>
      <c r="O123" s="468"/>
      <c r="P123" s="468"/>
      <c r="Q123" s="468"/>
      <c r="R123" s="468"/>
      <c r="S123" s="468"/>
      <c r="T123" s="468"/>
      <c r="U123" s="468"/>
      <c r="V123" s="468"/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468"/>
      <c r="AH123" s="468"/>
      <c r="AI123" s="468"/>
      <c r="AJ123" s="468"/>
      <c r="AK123" s="468"/>
      <c r="AL123" s="468"/>
      <c r="AM123" s="468"/>
      <c r="AN123" s="468"/>
      <c r="AO123" s="468"/>
      <c r="AP123" s="468"/>
      <c r="AQ123" s="468"/>
      <c r="AR123" s="468"/>
      <c r="AS123" s="468"/>
      <c r="AT123" s="468"/>
      <c r="AU123" s="468"/>
      <c r="AV123" s="468"/>
      <c r="AW123" s="468"/>
      <c r="AX123" s="468"/>
      <c r="AY123" s="468"/>
      <c r="AZ123" s="468"/>
      <c r="BA123" s="468"/>
      <c r="BB123" s="468"/>
      <c r="BC123" s="468"/>
      <c r="BD123" s="468"/>
      <c r="BE123" s="468"/>
      <c r="BF123" s="2135"/>
      <c r="BG123" s="2135"/>
      <c r="BH123" s="2135"/>
      <c r="BI123" s="2135"/>
      <c r="BJ123" s="2135"/>
      <c r="BK123" s="2135"/>
      <c r="BL123" s="2135"/>
      <c r="BM123" s="468"/>
      <c r="BN123" s="468"/>
      <c r="BO123" s="468"/>
      <c r="BP123" s="468"/>
      <c r="BQ123" s="468"/>
      <c r="BR123" s="468"/>
      <c r="BS123" s="468"/>
      <c r="BT123" s="468"/>
      <c r="BU123" s="468"/>
      <c r="BV123" s="468"/>
      <c r="BW123" s="468"/>
      <c r="BX123" s="468"/>
      <c r="BY123" s="2135"/>
      <c r="BZ123" s="2135"/>
      <c r="CA123" s="2135"/>
      <c r="CB123" s="2135"/>
      <c r="CC123" s="2135"/>
      <c r="CD123" s="2135"/>
      <c r="CE123" s="2135"/>
      <c r="CF123" s="2135"/>
      <c r="CG123" s="2135"/>
      <c r="CH123" s="468"/>
      <c r="CI123" s="468"/>
      <c r="CJ123" s="468"/>
      <c r="CK123" s="468"/>
      <c r="CL123" s="468"/>
      <c r="CM123" s="468"/>
      <c r="CN123" s="468"/>
      <c r="CO123" s="468"/>
      <c r="CP123" s="468"/>
      <c r="CQ123" s="468"/>
      <c r="CR123" s="468"/>
      <c r="CS123" s="468"/>
      <c r="CT123" s="468"/>
      <c r="CU123" s="468"/>
      <c r="CV123" s="468"/>
      <c r="CW123" s="468"/>
      <c r="CX123" s="468"/>
      <c r="CY123" s="468"/>
      <c r="CZ123" s="468"/>
      <c r="DA123" s="468"/>
      <c r="DB123" s="468"/>
      <c r="DC123" s="468"/>
      <c r="DD123" s="468"/>
      <c r="DE123" s="468"/>
      <c r="DF123" s="468"/>
      <c r="DG123" s="468"/>
      <c r="DH123" s="468"/>
      <c r="DI123" s="468"/>
      <c r="DJ123" s="468"/>
      <c r="DK123" s="468"/>
      <c r="DL123" s="468"/>
      <c r="DM123" s="468"/>
      <c r="DN123" s="468"/>
      <c r="DO123" s="468"/>
      <c r="DP123" s="468"/>
      <c r="DQ123" s="468"/>
      <c r="DR123" s="468"/>
      <c r="DS123" s="468"/>
      <c r="DT123" s="468"/>
      <c r="DU123" s="468"/>
      <c r="DV123" s="468"/>
      <c r="DW123" s="468"/>
      <c r="DX123" s="468"/>
      <c r="DY123" s="468"/>
      <c r="DZ123" s="468"/>
      <c r="EA123" s="468"/>
      <c r="EB123" s="468"/>
      <c r="EC123" s="468"/>
      <c r="ED123" s="468"/>
      <c r="EE123" s="468"/>
      <c r="EF123" s="468"/>
      <c r="EG123" s="468"/>
      <c r="EH123" s="468"/>
      <c r="EI123" s="471"/>
      <c r="EJ123" s="468"/>
      <c r="EK123" s="468"/>
      <c r="EL123" s="468"/>
      <c r="EM123" s="468"/>
      <c r="EN123" s="468"/>
      <c r="EO123" s="468"/>
      <c r="EP123" s="468"/>
      <c r="EQ123" s="468"/>
      <c r="ER123" s="468"/>
      <c r="ES123" s="468"/>
      <c r="ET123" s="468"/>
      <c r="EU123" s="468"/>
      <c r="EV123" s="468"/>
      <c r="EW123" s="468"/>
      <c r="EX123" s="468"/>
      <c r="EY123" s="468"/>
      <c r="EZ123" s="468"/>
      <c r="FA123" s="468"/>
      <c r="FB123" s="468"/>
      <c r="FC123" s="468"/>
      <c r="FD123" s="468"/>
      <c r="FE123" s="468"/>
      <c r="FF123" s="468"/>
      <c r="FG123" s="468"/>
      <c r="FH123" s="468"/>
      <c r="FI123" s="468"/>
      <c r="FJ123" s="468"/>
      <c r="FK123" s="468"/>
      <c r="FL123" s="468"/>
      <c r="FM123" s="2137"/>
      <c r="FN123" s="468"/>
      <c r="FO123" s="468"/>
      <c r="FP123" s="468"/>
      <c r="FQ123" s="468"/>
      <c r="FR123" s="468"/>
      <c r="FS123" s="468"/>
      <c r="FT123" s="468"/>
      <c r="FU123" s="468"/>
      <c r="FV123" s="468"/>
      <c r="FW123" s="468"/>
      <c r="FX123" s="468"/>
      <c r="FY123" s="468"/>
      <c r="FZ123" s="468"/>
      <c r="GA123" s="468"/>
      <c r="GB123" s="468"/>
      <c r="GC123" s="468"/>
      <c r="GD123" s="468"/>
      <c r="GE123" s="468"/>
      <c r="GF123" s="468"/>
      <c r="GG123" s="468"/>
      <c r="GH123" s="468"/>
      <c r="GI123" s="468"/>
      <c r="GJ123" s="468"/>
      <c r="GK123" s="468"/>
      <c r="GL123" s="468"/>
      <c r="GM123" s="468"/>
      <c r="GN123" s="468"/>
      <c r="GO123" s="468"/>
      <c r="GP123" s="468"/>
      <c r="GQ123" s="468"/>
      <c r="GR123" s="468"/>
      <c r="GS123" s="468"/>
      <c r="GT123" s="468"/>
      <c r="GU123" s="2135"/>
    </row>
    <row r="124" spans="1:203" ht="18.899999999999999" customHeight="1">
      <c r="A124" s="2135"/>
      <c r="B124" s="2135"/>
      <c r="C124" s="2136"/>
      <c r="D124" s="468"/>
      <c r="E124" s="468"/>
      <c r="F124" s="468"/>
      <c r="G124" s="468"/>
      <c r="H124" s="468"/>
      <c r="I124" s="468"/>
      <c r="J124" s="468"/>
      <c r="K124" s="468"/>
      <c r="L124" s="468"/>
      <c r="M124" s="468"/>
      <c r="N124" s="468"/>
      <c r="O124" s="468"/>
      <c r="P124" s="468"/>
      <c r="Q124" s="468"/>
      <c r="R124" s="468"/>
      <c r="S124" s="468"/>
      <c r="T124" s="468"/>
      <c r="U124" s="468"/>
      <c r="V124" s="468"/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468"/>
      <c r="AH124" s="468"/>
      <c r="AI124" s="468"/>
      <c r="AJ124" s="468"/>
      <c r="AK124" s="468"/>
      <c r="AL124" s="468"/>
      <c r="AM124" s="468"/>
      <c r="AN124" s="468"/>
      <c r="AO124" s="468"/>
      <c r="AP124" s="468"/>
      <c r="AQ124" s="468"/>
      <c r="AR124" s="468"/>
      <c r="AS124" s="468"/>
      <c r="AT124" s="468"/>
      <c r="AU124" s="468"/>
      <c r="AV124" s="468"/>
      <c r="AW124" s="468"/>
      <c r="AX124" s="468"/>
      <c r="AY124" s="468"/>
      <c r="AZ124" s="468"/>
      <c r="BA124" s="468"/>
      <c r="BB124" s="468"/>
      <c r="BC124" s="468"/>
      <c r="BD124" s="468"/>
      <c r="BE124" s="468"/>
      <c r="BF124" s="2135"/>
      <c r="BG124" s="2135"/>
      <c r="BH124" s="2135"/>
      <c r="BI124" s="2135"/>
      <c r="BJ124" s="2135"/>
      <c r="BK124" s="2135"/>
      <c r="BL124" s="2135"/>
      <c r="BM124" s="468"/>
      <c r="BN124" s="468"/>
      <c r="BO124" s="468"/>
      <c r="BP124" s="468"/>
      <c r="BQ124" s="468"/>
      <c r="BR124" s="468"/>
      <c r="BS124" s="468"/>
      <c r="BT124" s="468"/>
      <c r="BU124" s="468"/>
      <c r="BV124" s="468"/>
      <c r="BW124" s="468"/>
      <c r="BX124" s="468"/>
      <c r="BY124" s="2135"/>
      <c r="BZ124" s="2135"/>
      <c r="CA124" s="2135"/>
      <c r="CB124" s="2135"/>
      <c r="CC124" s="2135"/>
      <c r="CD124" s="2135"/>
      <c r="CE124" s="2135"/>
      <c r="CF124" s="2135"/>
      <c r="CG124" s="2135"/>
      <c r="CH124" s="468"/>
      <c r="CI124" s="468"/>
      <c r="CJ124" s="468"/>
      <c r="CK124" s="468"/>
      <c r="CL124" s="468"/>
      <c r="CM124" s="468"/>
      <c r="CN124" s="468"/>
      <c r="CO124" s="468"/>
      <c r="CP124" s="468"/>
      <c r="CQ124" s="468"/>
      <c r="CR124" s="468"/>
      <c r="CS124" s="468"/>
      <c r="CT124" s="468"/>
      <c r="CU124" s="468"/>
      <c r="CV124" s="468"/>
      <c r="CW124" s="468"/>
      <c r="CX124" s="468"/>
      <c r="CY124" s="468"/>
      <c r="CZ124" s="468"/>
      <c r="DA124" s="468"/>
      <c r="DB124" s="468"/>
      <c r="DC124" s="468"/>
      <c r="DD124" s="468"/>
      <c r="DE124" s="468"/>
      <c r="DF124" s="468"/>
      <c r="DG124" s="468"/>
      <c r="DH124" s="468"/>
      <c r="DI124" s="468"/>
      <c r="DJ124" s="468"/>
      <c r="DK124" s="468"/>
      <c r="DL124" s="468"/>
      <c r="DM124" s="468"/>
      <c r="DN124" s="468"/>
      <c r="DO124" s="468"/>
      <c r="DP124" s="468"/>
      <c r="DQ124" s="468"/>
      <c r="DR124" s="468"/>
      <c r="DS124" s="468"/>
      <c r="DT124" s="468"/>
      <c r="DU124" s="468"/>
      <c r="DV124" s="468"/>
      <c r="DW124" s="468"/>
      <c r="DX124" s="468"/>
      <c r="DY124" s="468"/>
      <c r="DZ124" s="468"/>
      <c r="EA124" s="468"/>
      <c r="EB124" s="468"/>
      <c r="EC124" s="468"/>
      <c r="ED124" s="468"/>
      <c r="EE124" s="468"/>
      <c r="EF124" s="468"/>
      <c r="EG124" s="468"/>
      <c r="EH124" s="468"/>
      <c r="EI124" s="471"/>
      <c r="EJ124" s="468"/>
      <c r="EK124" s="468"/>
      <c r="EL124" s="468"/>
      <c r="EM124" s="468"/>
      <c r="EN124" s="468"/>
      <c r="EO124" s="468"/>
      <c r="EP124" s="468"/>
      <c r="EQ124" s="468"/>
      <c r="ER124" s="468"/>
      <c r="ES124" s="468"/>
      <c r="ET124" s="468"/>
      <c r="EU124" s="468"/>
      <c r="EV124" s="468"/>
      <c r="EW124" s="468"/>
      <c r="EX124" s="468"/>
      <c r="EY124" s="468"/>
      <c r="EZ124" s="468"/>
      <c r="FA124" s="468"/>
      <c r="FB124" s="468"/>
      <c r="FC124" s="468"/>
      <c r="FD124" s="468"/>
      <c r="FE124" s="468"/>
      <c r="FF124" s="468"/>
      <c r="FG124" s="468"/>
      <c r="FH124" s="468"/>
      <c r="FI124" s="468"/>
      <c r="FJ124" s="468"/>
      <c r="FK124" s="468"/>
      <c r="FL124" s="468"/>
      <c r="FM124" s="2137"/>
      <c r="FN124" s="468"/>
      <c r="FO124" s="468"/>
      <c r="FP124" s="468"/>
      <c r="FQ124" s="468"/>
      <c r="FR124" s="468"/>
      <c r="FS124" s="468"/>
      <c r="FT124" s="468"/>
      <c r="FU124" s="468"/>
      <c r="FV124" s="468"/>
      <c r="FW124" s="468"/>
      <c r="FX124" s="468"/>
      <c r="FY124" s="468"/>
      <c r="FZ124" s="468"/>
      <c r="GA124" s="468"/>
      <c r="GB124" s="468"/>
      <c r="GC124" s="468"/>
      <c r="GD124" s="468"/>
      <c r="GE124" s="468"/>
      <c r="GF124" s="468"/>
      <c r="GG124" s="468"/>
      <c r="GH124" s="468"/>
      <c r="GI124" s="468"/>
      <c r="GJ124" s="468"/>
      <c r="GK124" s="468"/>
      <c r="GL124" s="468"/>
      <c r="GM124" s="468"/>
      <c r="GN124" s="468"/>
      <c r="GO124" s="468"/>
      <c r="GP124" s="468"/>
      <c r="GQ124" s="468"/>
      <c r="GR124" s="468"/>
      <c r="GS124" s="468"/>
      <c r="GT124" s="468"/>
      <c r="GU124" s="2135"/>
    </row>
    <row r="125" spans="1:203" ht="18.899999999999999" customHeight="1">
      <c r="A125" s="2135"/>
      <c r="B125" s="2135"/>
      <c r="C125" s="2136"/>
      <c r="D125" s="468"/>
      <c r="E125" s="468"/>
      <c r="F125" s="468"/>
      <c r="G125" s="468"/>
      <c r="H125" s="468"/>
      <c r="I125" s="468"/>
      <c r="J125" s="468"/>
      <c r="K125" s="468"/>
      <c r="L125" s="468"/>
      <c r="M125" s="468"/>
      <c r="N125" s="468"/>
      <c r="O125" s="468"/>
      <c r="P125" s="468"/>
      <c r="Q125" s="468"/>
      <c r="R125" s="468"/>
      <c r="S125" s="468"/>
      <c r="T125" s="468"/>
      <c r="U125" s="468"/>
      <c r="V125" s="468"/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468"/>
      <c r="AH125" s="468"/>
      <c r="AI125" s="468"/>
      <c r="AJ125" s="468"/>
      <c r="AK125" s="468"/>
      <c r="AL125" s="468"/>
      <c r="AM125" s="468"/>
      <c r="AN125" s="468"/>
      <c r="AO125" s="468"/>
      <c r="AP125" s="468"/>
      <c r="AQ125" s="468"/>
      <c r="AR125" s="468"/>
      <c r="AS125" s="468"/>
      <c r="AT125" s="468"/>
      <c r="AU125" s="468"/>
      <c r="AV125" s="468"/>
      <c r="AW125" s="468"/>
      <c r="AX125" s="468"/>
      <c r="AY125" s="468"/>
      <c r="AZ125" s="468"/>
      <c r="BA125" s="468"/>
      <c r="BB125" s="468"/>
      <c r="BC125" s="468"/>
      <c r="BD125" s="468"/>
      <c r="BE125" s="468"/>
      <c r="BF125" s="2135"/>
      <c r="BG125" s="2135"/>
      <c r="BH125" s="2135"/>
      <c r="BI125" s="2135"/>
      <c r="BJ125" s="2135"/>
      <c r="BK125" s="2135"/>
      <c r="BL125" s="2135"/>
      <c r="BM125" s="468"/>
      <c r="BN125" s="468"/>
      <c r="BO125" s="468"/>
      <c r="BP125" s="468"/>
      <c r="BQ125" s="468"/>
      <c r="BR125" s="468"/>
      <c r="BS125" s="468"/>
      <c r="BT125" s="468"/>
      <c r="BU125" s="468"/>
      <c r="BV125" s="468"/>
      <c r="BW125" s="468"/>
      <c r="BX125" s="468"/>
      <c r="BY125" s="2135"/>
      <c r="BZ125" s="2135"/>
      <c r="CA125" s="2135"/>
      <c r="CB125" s="2135"/>
      <c r="CC125" s="2135"/>
      <c r="CD125" s="2135"/>
      <c r="CE125" s="2135"/>
      <c r="CF125" s="2135"/>
      <c r="CG125" s="2135"/>
      <c r="CH125" s="468"/>
      <c r="CI125" s="468"/>
      <c r="CJ125" s="468"/>
      <c r="CK125" s="468"/>
      <c r="CL125" s="468"/>
      <c r="CM125" s="468"/>
      <c r="CN125" s="468"/>
      <c r="CO125" s="468"/>
      <c r="CP125" s="468"/>
      <c r="CQ125" s="468"/>
      <c r="CR125" s="468"/>
      <c r="CS125" s="468"/>
      <c r="CT125" s="468"/>
      <c r="CU125" s="468"/>
      <c r="CV125" s="468"/>
      <c r="CW125" s="468"/>
      <c r="CX125" s="468"/>
      <c r="CY125" s="468"/>
      <c r="CZ125" s="468"/>
      <c r="DA125" s="468"/>
      <c r="DB125" s="468"/>
      <c r="DC125" s="468"/>
      <c r="DD125" s="468"/>
      <c r="DE125" s="468"/>
      <c r="DF125" s="468"/>
      <c r="DG125" s="468"/>
      <c r="DH125" s="468"/>
      <c r="DI125" s="468"/>
      <c r="DJ125" s="468"/>
      <c r="DK125" s="468"/>
      <c r="DL125" s="468"/>
      <c r="DM125" s="468"/>
      <c r="DN125" s="468"/>
      <c r="DO125" s="468"/>
      <c r="DP125" s="468"/>
      <c r="DQ125" s="468"/>
      <c r="DR125" s="468"/>
      <c r="DS125" s="468"/>
      <c r="DT125" s="468"/>
      <c r="DU125" s="468"/>
      <c r="DV125" s="468"/>
      <c r="DW125" s="468"/>
      <c r="DX125" s="468"/>
      <c r="DY125" s="468"/>
      <c r="DZ125" s="468"/>
      <c r="EA125" s="468"/>
      <c r="EB125" s="468"/>
      <c r="EC125" s="468"/>
      <c r="ED125" s="468"/>
      <c r="EE125" s="468"/>
      <c r="EF125" s="468"/>
      <c r="EG125" s="468"/>
      <c r="EH125" s="468"/>
      <c r="EI125" s="471"/>
      <c r="EJ125" s="468"/>
      <c r="EK125" s="468"/>
      <c r="EL125" s="468"/>
      <c r="EM125" s="468"/>
      <c r="EN125" s="468"/>
      <c r="EO125" s="468"/>
      <c r="EP125" s="468"/>
      <c r="EQ125" s="468"/>
      <c r="ER125" s="468"/>
      <c r="ES125" s="468"/>
      <c r="ET125" s="468"/>
      <c r="EU125" s="468"/>
      <c r="EV125" s="468"/>
      <c r="EW125" s="468"/>
      <c r="EX125" s="468"/>
      <c r="EY125" s="468"/>
      <c r="EZ125" s="468"/>
      <c r="FA125" s="468"/>
      <c r="FB125" s="468"/>
      <c r="FC125" s="468"/>
      <c r="FD125" s="468"/>
      <c r="FE125" s="468"/>
      <c r="FF125" s="468"/>
      <c r="FG125" s="468"/>
      <c r="FH125" s="468"/>
      <c r="FI125" s="468"/>
      <c r="FJ125" s="468"/>
      <c r="FK125" s="468"/>
      <c r="FL125" s="468"/>
      <c r="FM125" s="2137"/>
      <c r="FN125" s="468"/>
      <c r="FO125" s="468"/>
      <c r="FP125" s="468"/>
      <c r="FQ125" s="468"/>
      <c r="FR125" s="468"/>
      <c r="FS125" s="468"/>
      <c r="FT125" s="468"/>
      <c r="FU125" s="468"/>
      <c r="FV125" s="468"/>
      <c r="FW125" s="468"/>
      <c r="FX125" s="468"/>
      <c r="FY125" s="468"/>
      <c r="FZ125" s="468"/>
      <c r="GA125" s="468"/>
      <c r="GB125" s="468"/>
      <c r="GC125" s="468"/>
      <c r="GD125" s="468"/>
      <c r="GE125" s="468"/>
      <c r="GF125" s="468"/>
      <c r="GG125" s="468"/>
      <c r="GH125" s="468"/>
      <c r="GI125" s="468"/>
      <c r="GJ125" s="468"/>
      <c r="GK125" s="468"/>
      <c r="GL125" s="468"/>
      <c r="GM125" s="468"/>
      <c r="GN125" s="468"/>
      <c r="GO125" s="468"/>
      <c r="GP125" s="468"/>
      <c r="GQ125" s="468"/>
      <c r="GR125" s="468"/>
      <c r="GS125" s="468"/>
      <c r="GT125" s="468"/>
      <c r="GU125" s="2135"/>
    </row>
    <row r="126" spans="1:203" ht="18.899999999999999" customHeight="1">
      <c r="A126" s="2135"/>
      <c r="B126" s="2135"/>
      <c r="C126" s="2136"/>
      <c r="D126" s="468"/>
      <c r="E126" s="468"/>
      <c r="F126" s="468"/>
      <c r="G126" s="468"/>
      <c r="H126" s="468"/>
      <c r="I126" s="468"/>
      <c r="J126" s="468"/>
      <c r="K126" s="468"/>
      <c r="L126" s="468"/>
      <c r="M126" s="468"/>
      <c r="N126" s="468"/>
      <c r="O126" s="468"/>
      <c r="P126" s="468"/>
      <c r="Q126" s="468"/>
      <c r="R126" s="468"/>
      <c r="S126" s="468"/>
      <c r="T126" s="468"/>
      <c r="U126" s="468"/>
      <c r="V126" s="468"/>
      <c r="W126" s="468"/>
      <c r="X126" s="468"/>
      <c r="Y126" s="468"/>
      <c r="Z126" s="468"/>
      <c r="AA126" s="468"/>
      <c r="AB126" s="468"/>
      <c r="AC126" s="468"/>
      <c r="AD126" s="468"/>
      <c r="AE126" s="468"/>
      <c r="AF126" s="468"/>
      <c r="AG126" s="468"/>
      <c r="AH126" s="468"/>
      <c r="AI126" s="468"/>
      <c r="AJ126" s="468"/>
      <c r="AK126" s="468"/>
      <c r="AL126" s="468"/>
      <c r="AM126" s="468"/>
      <c r="AN126" s="468"/>
      <c r="AO126" s="468"/>
      <c r="AP126" s="468"/>
      <c r="AQ126" s="468"/>
      <c r="AR126" s="468"/>
      <c r="AS126" s="468"/>
      <c r="AT126" s="468"/>
      <c r="AU126" s="468"/>
      <c r="AV126" s="468"/>
      <c r="AW126" s="468"/>
      <c r="AX126" s="468"/>
      <c r="AY126" s="468"/>
      <c r="AZ126" s="468"/>
      <c r="BA126" s="468"/>
      <c r="BB126" s="468"/>
      <c r="BC126" s="468"/>
      <c r="BD126" s="468"/>
      <c r="BE126" s="468"/>
      <c r="BF126" s="2135"/>
      <c r="BG126" s="2135"/>
      <c r="BH126" s="2135"/>
      <c r="BI126" s="2135"/>
      <c r="BJ126" s="2135"/>
      <c r="BK126" s="2135"/>
      <c r="BL126" s="2135"/>
      <c r="BM126" s="468"/>
      <c r="BN126" s="468"/>
      <c r="BO126" s="468"/>
      <c r="BP126" s="468"/>
      <c r="BQ126" s="468"/>
      <c r="BR126" s="468"/>
      <c r="BS126" s="468"/>
      <c r="BT126" s="468"/>
      <c r="BU126" s="468"/>
      <c r="BV126" s="468"/>
      <c r="BW126" s="468"/>
      <c r="BX126" s="468"/>
      <c r="BY126" s="2135"/>
      <c r="BZ126" s="2135"/>
      <c r="CA126" s="2135"/>
      <c r="CB126" s="2135"/>
      <c r="CC126" s="2135"/>
      <c r="CD126" s="2135"/>
      <c r="CE126" s="2135"/>
      <c r="CF126" s="2135"/>
      <c r="CG126" s="2135"/>
      <c r="CH126" s="468"/>
      <c r="CI126" s="468"/>
      <c r="CJ126" s="468"/>
      <c r="CK126" s="468"/>
      <c r="CL126" s="468"/>
      <c r="CM126" s="468"/>
      <c r="CN126" s="468"/>
      <c r="CO126" s="468"/>
      <c r="CP126" s="468"/>
      <c r="CQ126" s="468"/>
      <c r="CR126" s="468"/>
      <c r="CS126" s="468"/>
      <c r="CT126" s="468"/>
      <c r="CU126" s="468"/>
      <c r="CV126" s="468"/>
      <c r="CW126" s="468"/>
      <c r="CX126" s="468"/>
      <c r="CY126" s="468"/>
      <c r="CZ126" s="468"/>
      <c r="DA126" s="468"/>
      <c r="DB126" s="468"/>
      <c r="DC126" s="468"/>
      <c r="DD126" s="468"/>
      <c r="DE126" s="468"/>
      <c r="DF126" s="468"/>
      <c r="DG126" s="468"/>
      <c r="DH126" s="468"/>
      <c r="DI126" s="468"/>
      <c r="DJ126" s="468"/>
      <c r="DK126" s="468"/>
      <c r="DL126" s="468"/>
      <c r="DM126" s="468"/>
      <c r="DN126" s="468"/>
      <c r="DO126" s="468"/>
      <c r="DP126" s="468"/>
      <c r="DQ126" s="468"/>
      <c r="DR126" s="468"/>
      <c r="DS126" s="468"/>
      <c r="DT126" s="468"/>
      <c r="DU126" s="468"/>
      <c r="DV126" s="468"/>
      <c r="DW126" s="468"/>
      <c r="DX126" s="468"/>
      <c r="DY126" s="468"/>
      <c r="DZ126" s="468"/>
      <c r="EA126" s="468"/>
      <c r="EB126" s="468"/>
      <c r="EC126" s="468"/>
      <c r="ED126" s="468"/>
      <c r="EE126" s="468"/>
      <c r="EF126" s="468"/>
      <c r="EG126" s="468"/>
      <c r="EH126" s="468"/>
      <c r="EI126" s="471"/>
      <c r="EJ126" s="468"/>
      <c r="EK126" s="468"/>
      <c r="EL126" s="468"/>
      <c r="EM126" s="468"/>
      <c r="EN126" s="468"/>
      <c r="EO126" s="468"/>
      <c r="EP126" s="468"/>
      <c r="EQ126" s="468"/>
      <c r="ER126" s="468"/>
      <c r="ES126" s="468"/>
      <c r="ET126" s="468"/>
      <c r="EU126" s="468"/>
      <c r="EV126" s="468"/>
      <c r="EW126" s="468"/>
      <c r="EX126" s="468"/>
      <c r="EY126" s="468"/>
      <c r="EZ126" s="468"/>
      <c r="FA126" s="468"/>
      <c r="FB126" s="468"/>
      <c r="FC126" s="468"/>
      <c r="FD126" s="468"/>
      <c r="FE126" s="468"/>
      <c r="FF126" s="468"/>
      <c r="FG126" s="468"/>
      <c r="FH126" s="468"/>
      <c r="FI126" s="468"/>
      <c r="FJ126" s="468"/>
      <c r="FK126" s="468"/>
      <c r="FL126" s="468"/>
      <c r="FM126" s="2137"/>
      <c r="FN126" s="468"/>
      <c r="FO126" s="468"/>
      <c r="FP126" s="468"/>
      <c r="FQ126" s="468"/>
      <c r="FR126" s="468"/>
      <c r="FS126" s="468"/>
      <c r="FT126" s="468"/>
      <c r="FU126" s="468"/>
      <c r="FV126" s="468"/>
      <c r="FW126" s="468"/>
      <c r="FX126" s="468"/>
      <c r="FY126" s="468"/>
      <c r="FZ126" s="468"/>
      <c r="GA126" s="468"/>
      <c r="GB126" s="468"/>
      <c r="GC126" s="468"/>
      <c r="GD126" s="468"/>
      <c r="GE126" s="468"/>
      <c r="GF126" s="468"/>
      <c r="GG126" s="468"/>
      <c r="GH126" s="468"/>
      <c r="GI126" s="468"/>
      <c r="GJ126" s="468"/>
      <c r="GK126" s="468"/>
      <c r="GL126" s="468"/>
      <c r="GM126" s="468"/>
      <c r="GN126" s="468"/>
      <c r="GO126" s="468"/>
      <c r="GP126" s="468"/>
      <c r="GQ126" s="468"/>
      <c r="GR126" s="468"/>
      <c r="GS126" s="468"/>
      <c r="GT126" s="468"/>
      <c r="GU126" s="2135"/>
    </row>
    <row r="127" spans="1:203" ht="18.899999999999999" customHeight="1">
      <c r="A127" s="2135"/>
      <c r="B127" s="2135"/>
      <c r="C127" s="2136"/>
      <c r="D127" s="468"/>
      <c r="E127" s="468"/>
      <c r="F127" s="468"/>
      <c r="G127" s="468"/>
      <c r="H127" s="468"/>
      <c r="I127" s="468"/>
      <c r="J127" s="468"/>
      <c r="K127" s="468"/>
      <c r="L127" s="468"/>
      <c r="M127" s="468"/>
      <c r="N127" s="468"/>
      <c r="O127" s="468"/>
      <c r="P127" s="468"/>
      <c r="Q127" s="468"/>
      <c r="R127" s="468"/>
      <c r="S127" s="468"/>
      <c r="T127" s="468"/>
      <c r="U127" s="468"/>
      <c r="V127" s="468"/>
      <c r="W127" s="468"/>
      <c r="X127" s="468"/>
      <c r="Y127" s="468"/>
      <c r="Z127" s="468"/>
      <c r="AA127" s="468"/>
      <c r="AB127" s="468"/>
      <c r="AC127" s="468"/>
      <c r="AD127" s="468"/>
      <c r="AE127" s="468"/>
      <c r="AF127" s="468"/>
      <c r="AG127" s="468"/>
      <c r="AH127" s="468"/>
      <c r="AI127" s="468"/>
      <c r="AJ127" s="468"/>
      <c r="AK127" s="468"/>
      <c r="AL127" s="468"/>
      <c r="AM127" s="468"/>
      <c r="AN127" s="468"/>
      <c r="AO127" s="468"/>
      <c r="AP127" s="468"/>
      <c r="AQ127" s="468"/>
      <c r="AR127" s="468"/>
      <c r="AS127" s="468"/>
      <c r="AT127" s="468"/>
      <c r="AU127" s="468"/>
      <c r="AV127" s="468"/>
      <c r="AW127" s="468"/>
      <c r="AX127" s="468"/>
      <c r="AY127" s="468"/>
      <c r="AZ127" s="468"/>
      <c r="BA127" s="468"/>
      <c r="BB127" s="468"/>
      <c r="BC127" s="468"/>
      <c r="BD127" s="468"/>
      <c r="BE127" s="468"/>
      <c r="BF127" s="2135"/>
      <c r="BG127" s="2135"/>
      <c r="BH127" s="2135"/>
      <c r="BI127" s="2135"/>
      <c r="BJ127" s="2135"/>
      <c r="BK127" s="2135"/>
      <c r="BL127" s="2135"/>
      <c r="BM127" s="468"/>
      <c r="BN127" s="468"/>
      <c r="BO127" s="468"/>
      <c r="BP127" s="468"/>
      <c r="BQ127" s="468"/>
      <c r="BR127" s="468"/>
      <c r="BS127" s="468"/>
      <c r="BT127" s="468"/>
      <c r="BU127" s="468"/>
      <c r="BV127" s="468"/>
      <c r="BW127" s="468"/>
      <c r="BX127" s="468"/>
      <c r="BY127" s="2135"/>
      <c r="BZ127" s="2135"/>
      <c r="CA127" s="2135"/>
      <c r="CB127" s="2135"/>
      <c r="CC127" s="2135"/>
      <c r="CD127" s="2135"/>
      <c r="CE127" s="2135"/>
      <c r="CF127" s="2135"/>
      <c r="CG127" s="2135"/>
      <c r="CH127" s="468"/>
      <c r="CI127" s="468"/>
      <c r="CJ127" s="468"/>
      <c r="CK127" s="468"/>
      <c r="CL127" s="468"/>
      <c r="CM127" s="468"/>
      <c r="CN127" s="468"/>
      <c r="CO127" s="468"/>
      <c r="CP127" s="468"/>
      <c r="CQ127" s="468"/>
      <c r="CR127" s="468"/>
      <c r="CS127" s="468"/>
      <c r="CT127" s="468"/>
      <c r="CU127" s="468"/>
      <c r="CV127" s="468"/>
      <c r="CW127" s="468"/>
      <c r="CX127" s="468"/>
      <c r="CY127" s="468"/>
      <c r="CZ127" s="468"/>
      <c r="DA127" s="468"/>
      <c r="DB127" s="468"/>
      <c r="DC127" s="468"/>
      <c r="DD127" s="468"/>
      <c r="DE127" s="468"/>
      <c r="DF127" s="468"/>
      <c r="DG127" s="468"/>
      <c r="DH127" s="468"/>
      <c r="DI127" s="468"/>
      <c r="DJ127" s="468"/>
      <c r="DK127" s="468"/>
      <c r="DL127" s="468"/>
      <c r="DM127" s="468"/>
      <c r="DN127" s="468"/>
      <c r="DO127" s="468"/>
      <c r="DP127" s="468"/>
      <c r="DQ127" s="468"/>
      <c r="DR127" s="468"/>
      <c r="DS127" s="468"/>
      <c r="DT127" s="468"/>
      <c r="DU127" s="468"/>
      <c r="DV127" s="468"/>
      <c r="DW127" s="468"/>
      <c r="DX127" s="468"/>
      <c r="DY127" s="468"/>
      <c r="DZ127" s="468"/>
      <c r="EA127" s="468"/>
      <c r="EB127" s="468"/>
      <c r="EC127" s="468"/>
      <c r="ED127" s="468"/>
      <c r="EE127" s="468"/>
      <c r="EF127" s="468"/>
      <c r="EG127" s="468"/>
      <c r="EH127" s="468"/>
      <c r="EI127" s="471"/>
      <c r="EJ127" s="468"/>
      <c r="EK127" s="468"/>
      <c r="EL127" s="468"/>
      <c r="EM127" s="468"/>
      <c r="EN127" s="468"/>
      <c r="EO127" s="468"/>
      <c r="EP127" s="468"/>
      <c r="EQ127" s="468"/>
      <c r="ER127" s="468"/>
      <c r="ES127" s="468"/>
      <c r="ET127" s="468"/>
      <c r="EU127" s="468"/>
      <c r="EV127" s="468"/>
      <c r="EW127" s="468"/>
      <c r="EX127" s="468"/>
      <c r="EY127" s="468"/>
      <c r="EZ127" s="468"/>
      <c r="FA127" s="468"/>
      <c r="FB127" s="468"/>
      <c r="FC127" s="468"/>
      <c r="FD127" s="468"/>
      <c r="FE127" s="468"/>
      <c r="FF127" s="468"/>
      <c r="FG127" s="468"/>
      <c r="FH127" s="468"/>
      <c r="FI127" s="468"/>
      <c r="FJ127" s="468"/>
      <c r="FK127" s="468"/>
      <c r="FL127" s="468"/>
      <c r="FM127" s="2137"/>
      <c r="FN127" s="468"/>
      <c r="FO127" s="468"/>
      <c r="FP127" s="468"/>
      <c r="FQ127" s="468"/>
      <c r="FR127" s="468"/>
      <c r="FS127" s="468"/>
      <c r="FT127" s="468"/>
      <c r="FU127" s="468"/>
      <c r="FV127" s="468"/>
      <c r="FW127" s="468"/>
      <c r="FX127" s="468"/>
      <c r="FY127" s="468"/>
      <c r="FZ127" s="468"/>
      <c r="GA127" s="468"/>
      <c r="GB127" s="468"/>
      <c r="GC127" s="468"/>
      <c r="GD127" s="468"/>
      <c r="GE127" s="468"/>
      <c r="GF127" s="468"/>
      <c r="GG127" s="468"/>
      <c r="GH127" s="468"/>
      <c r="GI127" s="468"/>
      <c r="GJ127" s="468"/>
      <c r="GK127" s="468"/>
      <c r="GL127" s="468"/>
      <c r="GM127" s="468"/>
      <c r="GN127" s="468"/>
      <c r="GO127" s="468"/>
      <c r="GP127" s="468"/>
      <c r="GQ127" s="468"/>
      <c r="GR127" s="468"/>
      <c r="GS127" s="468"/>
      <c r="GT127" s="468"/>
      <c r="GU127" s="2135"/>
    </row>
    <row r="128" spans="1:203" ht="18.899999999999999" customHeight="1">
      <c r="A128" s="2135"/>
      <c r="B128" s="2135"/>
      <c r="C128" s="2136"/>
      <c r="D128" s="468"/>
      <c r="E128" s="468"/>
      <c r="F128" s="468"/>
      <c r="G128" s="468"/>
      <c r="H128" s="468"/>
      <c r="I128" s="468"/>
      <c r="J128" s="468"/>
      <c r="K128" s="468"/>
      <c r="L128" s="468"/>
      <c r="M128" s="468"/>
      <c r="N128" s="468"/>
      <c r="O128" s="468"/>
      <c r="P128" s="468"/>
      <c r="Q128" s="468"/>
      <c r="R128" s="468"/>
      <c r="S128" s="468"/>
      <c r="T128" s="468"/>
      <c r="U128" s="468"/>
      <c r="V128" s="468"/>
      <c r="W128" s="468"/>
      <c r="X128" s="468"/>
      <c r="Y128" s="468"/>
      <c r="Z128" s="468"/>
      <c r="AA128" s="468"/>
      <c r="AB128" s="468"/>
      <c r="AC128" s="468"/>
      <c r="AD128" s="468"/>
      <c r="AE128" s="468"/>
      <c r="AF128" s="468"/>
      <c r="AG128" s="468"/>
      <c r="AH128" s="468"/>
      <c r="AI128" s="468"/>
      <c r="AJ128" s="468"/>
      <c r="AK128" s="468"/>
      <c r="AL128" s="468"/>
      <c r="AM128" s="468"/>
      <c r="AN128" s="468"/>
      <c r="AO128" s="468"/>
      <c r="AP128" s="468"/>
      <c r="AQ128" s="468"/>
      <c r="AR128" s="468"/>
      <c r="AS128" s="468"/>
      <c r="AT128" s="468"/>
      <c r="AU128" s="468"/>
      <c r="AV128" s="468"/>
      <c r="AW128" s="468"/>
      <c r="AX128" s="468"/>
      <c r="AY128" s="468"/>
      <c r="AZ128" s="468"/>
      <c r="BA128" s="468"/>
      <c r="BB128" s="468"/>
      <c r="BC128" s="468"/>
      <c r="BD128" s="468"/>
      <c r="BE128" s="468"/>
      <c r="BF128" s="2135"/>
      <c r="BG128" s="2135"/>
      <c r="BH128" s="2135"/>
      <c r="BI128" s="2135"/>
      <c r="BJ128" s="2135"/>
      <c r="BK128" s="2135"/>
      <c r="BL128" s="2135"/>
      <c r="BM128" s="468"/>
      <c r="BN128" s="468"/>
      <c r="BO128" s="468"/>
      <c r="BP128" s="468"/>
      <c r="BQ128" s="468"/>
      <c r="BR128" s="468"/>
      <c r="BS128" s="468"/>
      <c r="BT128" s="468"/>
      <c r="BU128" s="468"/>
      <c r="BV128" s="468"/>
      <c r="BW128" s="468"/>
      <c r="BX128" s="468"/>
      <c r="BY128" s="2135"/>
      <c r="BZ128" s="2135"/>
      <c r="CA128" s="2135"/>
      <c r="CB128" s="2135"/>
      <c r="CC128" s="2135"/>
      <c r="CD128" s="2135"/>
      <c r="CE128" s="2135"/>
      <c r="CF128" s="2135"/>
      <c r="CG128" s="2135"/>
      <c r="CH128" s="468"/>
      <c r="CI128" s="468"/>
      <c r="CJ128" s="468"/>
      <c r="CK128" s="468"/>
      <c r="CL128" s="468"/>
      <c r="CM128" s="468"/>
      <c r="CN128" s="468"/>
      <c r="CO128" s="468"/>
      <c r="CP128" s="468"/>
      <c r="CQ128" s="468"/>
      <c r="CR128" s="468"/>
      <c r="CS128" s="468"/>
      <c r="CT128" s="468"/>
      <c r="CU128" s="468"/>
      <c r="CV128" s="468"/>
      <c r="CW128" s="468"/>
      <c r="CX128" s="468"/>
      <c r="CY128" s="468"/>
      <c r="CZ128" s="468"/>
      <c r="DA128" s="468"/>
      <c r="DB128" s="468"/>
      <c r="DC128" s="468"/>
      <c r="DD128" s="468"/>
      <c r="DE128" s="468"/>
      <c r="DF128" s="468"/>
      <c r="DG128" s="468"/>
      <c r="DH128" s="468"/>
      <c r="DI128" s="468"/>
      <c r="DJ128" s="468"/>
      <c r="DK128" s="468"/>
      <c r="DL128" s="468"/>
      <c r="DM128" s="468"/>
      <c r="DN128" s="468"/>
      <c r="DO128" s="468"/>
      <c r="DP128" s="468"/>
      <c r="DQ128" s="468"/>
      <c r="DR128" s="468"/>
      <c r="DS128" s="468"/>
      <c r="DT128" s="468"/>
      <c r="DU128" s="468"/>
      <c r="DV128" s="468"/>
      <c r="DW128" s="468"/>
      <c r="DX128" s="468"/>
      <c r="DY128" s="468"/>
      <c r="DZ128" s="468"/>
      <c r="EA128" s="468"/>
      <c r="EB128" s="468"/>
      <c r="EC128" s="468"/>
      <c r="ED128" s="468"/>
      <c r="EE128" s="468"/>
      <c r="EF128" s="468"/>
      <c r="EG128" s="468"/>
      <c r="EH128" s="468"/>
      <c r="EI128" s="471"/>
      <c r="EJ128" s="468"/>
      <c r="EK128" s="468"/>
      <c r="EL128" s="468"/>
      <c r="EM128" s="468"/>
      <c r="EN128" s="468"/>
      <c r="EO128" s="468"/>
      <c r="EP128" s="468"/>
      <c r="EQ128" s="468"/>
      <c r="ER128" s="468"/>
      <c r="ES128" s="468"/>
      <c r="ET128" s="468"/>
      <c r="EU128" s="468"/>
      <c r="EV128" s="468"/>
      <c r="EW128" s="468"/>
      <c r="EX128" s="468"/>
      <c r="EY128" s="468"/>
      <c r="EZ128" s="468"/>
      <c r="FA128" s="468"/>
      <c r="FB128" s="468"/>
      <c r="FC128" s="468"/>
      <c r="FD128" s="468"/>
      <c r="FE128" s="468"/>
      <c r="FF128" s="468"/>
      <c r="FG128" s="468"/>
      <c r="FH128" s="468"/>
      <c r="FI128" s="468"/>
      <c r="FJ128" s="468"/>
      <c r="FK128" s="468"/>
      <c r="FL128" s="468"/>
      <c r="FM128" s="2137"/>
      <c r="FN128" s="468"/>
      <c r="FO128" s="468"/>
      <c r="FP128" s="468"/>
      <c r="FQ128" s="468"/>
      <c r="FR128" s="468"/>
      <c r="FS128" s="468"/>
      <c r="FT128" s="468"/>
      <c r="FU128" s="468"/>
      <c r="FV128" s="468"/>
      <c r="FW128" s="468"/>
      <c r="FX128" s="468"/>
      <c r="FY128" s="468"/>
      <c r="FZ128" s="468"/>
      <c r="GA128" s="468"/>
      <c r="GB128" s="468"/>
      <c r="GC128" s="468"/>
      <c r="GD128" s="468"/>
      <c r="GE128" s="468"/>
      <c r="GF128" s="468"/>
      <c r="GG128" s="468"/>
      <c r="GH128" s="468"/>
      <c r="GI128" s="468"/>
      <c r="GJ128" s="468"/>
      <c r="GK128" s="468"/>
      <c r="GL128" s="468"/>
      <c r="GM128" s="468"/>
      <c r="GN128" s="468"/>
      <c r="GO128" s="468"/>
      <c r="GP128" s="468"/>
      <c r="GQ128" s="468"/>
      <c r="GR128" s="468"/>
      <c r="GS128" s="468"/>
      <c r="GT128" s="468"/>
      <c r="GU128" s="2135"/>
    </row>
    <row r="129" spans="1:203" ht="18.899999999999999" customHeight="1">
      <c r="A129" s="2135"/>
      <c r="B129" s="2135"/>
      <c r="C129" s="2136"/>
      <c r="D129" s="468"/>
      <c r="E129" s="468"/>
      <c r="F129" s="468"/>
      <c r="G129" s="468"/>
      <c r="H129" s="468"/>
      <c r="I129" s="468"/>
      <c r="J129" s="468"/>
      <c r="K129" s="468"/>
      <c r="L129" s="468"/>
      <c r="M129" s="468"/>
      <c r="N129" s="468"/>
      <c r="O129" s="468"/>
      <c r="P129" s="468"/>
      <c r="Q129" s="468"/>
      <c r="R129" s="468"/>
      <c r="S129" s="468"/>
      <c r="T129" s="468"/>
      <c r="U129" s="468"/>
      <c r="V129" s="468"/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468"/>
      <c r="AI129" s="468"/>
      <c r="AJ129" s="468"/>
      <c r="AK129" s="468"/>
      <c r="AL129" s="468"/>
      <c r="AM129" s="468"/>
      <c r="AN129" s="468"/>
      <c r="AO129" s="468"/>
      <c r="AP129" s="468"/>
      <c r="AQ129" s="468"/>
      <c r="AR129" s="468"/>
      <c r="AS129" s="468"/>
      <c r="AT129" s="468"/>
      <c r="AU129" s="468"/>
      <c r="AV129" s="468"/>
      <c r="AW129" s="468"/>
      <c r="AX129" s="468"/>
      <c r="AY129" s="468"/>
      <c r="AZ129" s="468"/>
      <c r="BA129" s="468"/>
      <c r="BB129" s="468"/>
      <c r="BC129" s="468"/>
      <c r="BD129" s="468"/>
      <c r="BE129" s="468"/>
      <c r="BF129" s="2135"/>
      <c r="BG129" s="2135"/>
      <c r="BH129" s="2135"/>
      <c r="BI129" s="2135"/>
      <c r="BJ129" s="2135"/>
      <c r="BK129" s="2135"/>
      <c r="BL129" s="2135"/>
      <c r="BM129" s="468"/>
      <c r="BN129" s="468"/>
      <c r="BO129" s="468"/>
      <c r="BP129" s="468"/>
      <c r="BQ129" s="468"/>
      <c r="BR129" s="468"/>
      <c r="BS129" s="468"/>
      <c r="BT129" s="468"/>
      <c r="BU129" s="468"/>
      <c r="BV129" s="468"/>
      <c r="BW129" s="468"/>
      <c r="BX129" s="468"/>
      <c r="BY129" s="2135"/>
      <c r="BZ129" s="2135"/>
      <c r="CA129" s="2135"/>
      <c r="CB129" s="2135"/>
      <c r="CC129" s="2135"/>
      <c r="CD129" s="2135"/>
      <c r="CE129" s="2135"/>
      <c r="CF129" s="2135"/>
      <c r="CG129" s="2135"/>
      <c r="CH129" s="468"/>
      <c r="CI129" s="468"/>
      <c r="CJ129" s="468"/>
      <c r="CK129" s="468"/>
      <c r="CL129" s="468"/>
      <c r="CM129" s="468"/>
      <c r="CN129" s="468"/>
      <c r="CO129" s="468"/>
      <c r="CP129" s="468"/>
      <c r="CQ129" s="468"/>
      <c r="CR129" s="468"/>
      <c r="CS129" s="468"/>
      <c r="CT129" s="468"/>
      <c r="CU129" s="468"/>
      <c r="CV129" s="468"/>
      <c r="CW129" s="468"/>
      <c r="CX129" s="468"/>
      <c r="CY129" s="468"/>
      <c r="CZ129" s="468"/>
      <c r="DA129" s="468"/>
      <c r="DB129" s="468"/>
      <c r="DC129" s="468"/>
      <c r="DD129" s="468"/>
      <c r="DE129" s="468"/>
      <c r="DF129" s="468"/>
      <c r="DG129" s="468"/>
      <c r="DH129" s="468"/>
      <c r="DI129" s="468"/>
      <c r="DJ129" s="468"/>
      <c r="DK129" s="468"/>
      <c r="DL129" s="468"/>
      <c r="DM129" s="468"/>
      <c r="DN129" s="468"/>
      <c r="DO129" s="468"/>
      <c r="DP129" s="468"/>
      <c r="DQ129" s="468"/>
      <c r="DR129" s="468"/>
      <c r="DS129" s="468"/>
      <c r="DT129" s="468"/>
      <c r="DU129" s="468"/>
      <c r="DV129" s="468"/>
      <c r="DW129" s="468"/>
      <c r="DX129" s="468"/>
      <c r="DY129" s="468"/>
      <c r="DZ129" s="468"/>
      <c r="EA129" s="468"/>
      <c r="EB129" s="468"/>
      <c r="EC129" s="468"/>
      <c r="ED129" s="468"/>
      <c r="EE129" s="468"/>
      <c r="EF129" s="468"/>
      <c r="EG129" s="468"/>
      <c r="EH129" s="468"/>
      <c r="EI129" s="471"/>
      <c r="EJ129" s="468"/>
      <c r="EK129" s="468"/>
      <c r="EL129" s="468"/>
      <c r="EM129" s="468"/>
      <c r="EN129" s="468"/>
      <c r="EO129" s="468"/>
      <c r="EP129" s="468"/>
      <c r="EQ129" s="468"/>
      <c r="ER129" s="468"/>
      <c r="ES129" s="468"/>
      <c r="ET129" s="468"/>
      <c r="EU129" s="468"/>
      <c r="EV129" s="468"/>
      <c r="EW129" s="468"/>
      <c r="EX129" s="468"/>
      <c r="EY129" s="468"/>
      <c r="EZ129" s="468"/>
      <c r="FA129" s="468"/>
      <c r="FB129" s="468"/>
      <c r="FC129" s="468"/>
      <c r="FD129" s="468"/>
      <c r="FE129" s="468"/>
      <c r="FF129" s="468"/>
      <c r="FG129" s="468"/>
      <c r="FH129" s="468"/>
      <c r="FI129" s="468"/>
      <c r="FJ129" s="468"/>
      <c r="FK129" s="468"/>
      <c r="FL129" s="468"/>
      <c r="FM129" s="2137"/>
      <c r="FN129" s="468"/>
      <c r="FO129" s="468"/>
      <c r="FP129" s="468"/>
      <c r="FQ129" s="468"/>
      <c r="FR129" s="468"/>
      <c r="FS129" s="468"/>
      <c r="FT129" s="468"/>
      <c r="FU129" s="468"/>
      <c r="FV129" s="468"/>
      <c r="FW129" s="468"/>
      <c r="FX129" s="468"/>
      <c r="FY129" s="468"/>
      <c r="FZ129" s="468"/>
      <c r="GA129" s="468"/>
      <c r="GB129" s="468"/>
      <c r="GC129" s="468"/>
      <c r="GD129" s="468"/>
      <c r="GE129" s="468"/>
      <c r="GF129" s="468"/>
      <c r="GG129" s="468"/>
      <c r="GH129" s="468"/>
      <c r="GI129" s="468"/>
      <c r="GJ129" s="468"/>
      <c r="GK129" s="468"/>
      <c r="GL129" s="468"/>
      <c r="GM129" s="468"/>
      <c r="GN129" s="468"/>
      <c r="GO129" s="468"/>
      <c r="GP129" s="468"/>
      <c r="GQ129" s="468"/>
      <c r="GR129" s="468"/>
      <c r="GS129" s="468"/>
      <c r="GT129" s="468"/>
      <c r="GU129" s="2135"/>
    </row>
    <row r="130" spans="1:203" ht="18.899999999999999" customHeight="1">
      <c r="A130" s="2135"/>
      <c r="B130" s="2135"/>
      <c r="C130" s="2136"/>
      <c r="D130" s="468"/>
      <c r="E130" s="468"/>
      <c r="F130" s="468"/>
      <c r="G130" s="468"/>
      <c r="H130" s="468"/>
      <c r="I130" s="468"/>
      <c r="J130" s="468"/>
      <c r="K130" s="468"/>
      <c r="L130" s="468"/>
      <c r="M130" s="468"/>
      <c r="N130" s="468"/>
      <c r="O130" s="468"/>
      <c r="P130" s="468"/>
      <c r="Q130" s="468"/>
      <c r="R130" s="468"/>
      <c r="S130" s="468"/>
      <c r="T130" s="468"/>
      <c r="U130" s="468"/>
      <c r="V130" s="468"/>
      <c r="W130" s="468"/>
      <c r="X130" s="468"/>
      <c r="Y130" s="468"/>
      <c r="Z130" s="468"/>
      <c r="AA130" s="468"/>
      <c r="AB130" s="468"/>
      <c r="AC130" s="468"/>
      <c r="AD130" s="468"/>
      <c r="AE130" s="468"/>
      <c r="AF130" s="468"/>
      <c r="AG130" s="468"/>
      <c r="AH130" s="468"/>
      <c r="AI130" s="468"/>
      <c r="AJ130" s="468"/>
      <c r="AK130" s="468"/>
      <c r="AL130" s="468"/>
      <c r="AM130" s="468"/>
      <c r="AN130" s="468"/>
      <c r="AO130" s="468"/>
      <c r="AP130" s="468"/>
      <c r="AQ130" s="468"/>
      <c r="AR130" s="468"/>
      <c r="AS130" s="468"/>
      <c r="AT130" s="468"/>
      <c r="AU130" s="468"/>
      <c r="AV130" s="468"/>
      <c r="AW130" s="468"/>
      <c r="AX130" s="468"/>
      <c r="AY130" s="468"/>
      <c r="AZ130" s="468"/>
      <c r="BA130" s="468"/>
      <c r="BB130" s="468"/>
      <c r="BC130" s="468"/>
      <c r="BD130" s="468"/>
      <c r="BE130" s="468"/>
      <c r="BF130" s="2135"/>
      <c r="BG130" s="2135"/>
      <c r="BH130" s="2135"/>
      <c r="BI130" s="2135"/>
      <c r="BJ130" s="2135"/>
      <c r="BK130" s="2135"/>
      <c r="BL130" s="2135"/>
      <c r="BM130" s="468"/>
      <c r="BN130" s="468"/>
      <c r="BO130" s="468"/>
      <c r="BP130" s="468"/>
      <c r="BQ130" s="468"/>
      <c r="BR130" s="468"/>
      <c r="BS130" s="468"/>
      <c r="BT130" s="468"/>
      <c r="BU130" s="468"/>
      <c r="BV130" s="468"/>
      <c r="BW130" s="468"/>
      <c r="BX130" s="468"/>
      <c r="BY130" s="2135"/>
      <c r="BZ130" s="2135"/>
      <c r="CA130" s="2135"/>
      <c r="CB130" s="2135"/>
      <c r="CC130" s="2135"/>
      <c r="CD130" s="2135"/>
      <c r="CE130" s="2135"/>
      <c r="CF130" s="2135"/>
      <c r="CG130" s="2135"/>
      <c r="CH130" s="468"/>
      <c r="CI130" s="468"/>
      <c r="CJ130" s="468"/>
      <c r="CK130" s="468"/>
      <c r="CL130" s="468"/>
      <c r="CM130" s="468"/>
      <c r="CN130" s="468"/>
      <c r="CO130" s="468"/>
      <c r="CP130" s="468"/>
      <c r="CQ130" s="468"/>
      <c r="CR130" s="468"/>
      <c r="CS130" s="468"/>
      <c r="CT130" s="468"/>
      <c r="CU130" s="468"/>
      <c r="CV130" s="468"/>
      <c r="CW130" s="468"/>
      <c r="CX130" s="468"/>
      <c r="CY130" s="468"/>
      <c r="CZ130" s="468"/>
      <c r="DA130" s="468"/>
      <c r="DB130" s="468"/>
      <c r="DC130" s="468"/>
      <c r="DD130" s="468"/>
      <c r="DE130" s="468"/>
      <c r="DF130" s="468"/>
      <c r="DG130" s="468"/>
      <c r="DH130" s="468"/>
      <c r="DI130" s="468"/>
      <c r="DJ130" s="468"/>
      <c r="DK130" s="468"/>
      <c r="DL130" s="468"/>
      <c r="DM130" s="468"/>
      <c r="DN130" s="468"/>
      <c r="DO130" s="468"/>
      <c r="DP130" s="468"/>
      <c r="DQ130" s="468"/>
      <c r="DR130" s="468"/>
      <c r="DS130" s="468"/>
      <c r="DT130" s="468"/>
      <c r="DU130" s="468"/>
      <c r="DV130" s="468"/>
      <c r="DW130" s="468"/>
      <c r="DX130" s="468"/>
      <c r="DY130" s="468"/>
      <c r="DZ130" s="468"/>
      <c r="EA130" s="468"/>
      <c r="EB130" s="468"/>
      <c r="EC130" s="468"/>
      <c r="ED130" s="468"/>
      <c r="EE130" s="468"/>
      <c r="EF130" s="468"/>
      <c r="EG130" s="468"/>
      <c r="EH130" s="468"/>
      <c r="EI130" s="471"/>
      <c r="EJ130" s="468"/>
      <c r="EK130" s="468"/>
      <c r="EL130" s="468"/>
      <c r="EM130" s="468"/>
      <c r="EN130" s="468"/>
      <c r="EO130" s="468"/>
      <c r="EP130" s="468"/>
      <c r="EQ130" s="468"/>
      <c r="ER130" s="468"/>
      <c r="ES130" s="468"/>
      <c r="ET130" s="468"/>
      <c r="EU130" s="468"/>
      <c r="EV130" s="468"/>
      <c r="EW130" s="468"/>
      <c r="EX130" s="468"/>
      <c r="EY130" s="468"/>
      <c r="EZ130" s="468"/>
      <c r="FA130" s="468"/>
      <c r="FB130" s="468"/>
      <c r="FC130" s="468"/>
      <c r="FD130" s="468"/>
      <c r="FE130" s="468"/>
      <c r="FF130" s="468"/>
      <c r="FG130" s="468"/>
      <c r="FH130" s="468"/>
      <c r="FI130" s="468"/>
      <c r="FJ130" s="468"/>
      <c r="FK130" s="468"/>
      <c r="FL130" s="468"/>
      <c r="FM130" s="2137"/>
      <c r="FN130" s="468"/>
      <c r="FO130" s="468"/>
      <c r="FP130" s="468"/>
      <c r="FQ130" s="468"/>
      <c r="FR130" s="468"/>
      <c r="FS130" s="468"/>
      <c r="FT130" s="468"/>
      <c r="FU130" s="468"/>
      <c r="FV130" s="468"/>
      <c r="FW130" s="468"/>
      <c r="FX130" s="468"/>
      <c r="FY130" s="468"/>
      <c r="FZ130" s="468"/>
      <c r="GA130" s="468"/>
      <c r="GB130" s="468"/>
      <c r="GC130" s="468"/>
      <c r="GD130" s="468"/>
      <c r="GE130" s="468"/>
      <c r="GF130" s="468"/>
      <c r="GG130" s="468"/>
      <c r="GH130" s="468"/>
      <c r="GI130" s="468"/>
      <c r="GJ130" s="468"/>
      <c r="GK130" s="468"/>
      <c r="GL130" s="468"/>
      <c r="GM130" s="468"/>
      <c r="GN130" s="468"/>
      <c r="GO130" s="468"/>
      <c r="GP130" s="468"/>
      <c r="GQ130" s="468"/>
      <c r="GR130" s="468"/>
      <c r="GS130" s="468"/>
      <c r="GT130" s="468"/>
      <c r="GU130" s="2135"/>
    </row>
    <row r="131" spans="1:203" ht="18.899999999999999" customHeight="1">
      <c r="A131" s="2135"/>
      <c r="B131" s="2135"/>
      <c r="C131" s="2136"/>
      <c r="D131" s="468"/>
      <c r="E131" s="468"/>
      <c r="F131" s="468"/>
      <c r="G131" s="468"/>
      <c r="H131" s="468"/>
      <c r="I131" s="468"/>
      <c r="J131" s="468"/>
      <c r="K131" s="468"/>
      <c r="L131" s="468"/>
      <c r="M131" s="468"/>
      <c r="N131" s="468"/>
      <c r="O131" s="468"/>
      <c r="P131" s="468"/>
      <c r="Q131" s="468"/>
      <c r="R131" s="468"/>
      <c r="S131" s="468"/>
      <c r="T131" s="468"/>
      <c r="U131" s="468"/>
      <c r="V131" s="468"/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68"/>
      <c r="AM131" s="468"/>
      <c r="AN131" s="468"/>
      <c r="AO131" s="468"/>
      <c r="AP131" s="468"/>
      <c r="AQ131" s="468"/>
      <c r="AR131" s="468"/>
      <c r="AS131" s="468"/>
      <c r="AT131" s="468"/>
      <c r="AU131" s="468"/>
      <c r="AV131" s="468"/>
      <c r="AW131" s="468"/>
      <c r="AX131" s="468"/>
      <c r="AY131" s="468"/>
      <c r="AZ131" s="468"/>
      <c r="BA131" s="468"/>
      <c r="BB131" s="468"/>
      <c r="BC131" s="468"/>
      <c r="BD131" s="468"/>
      <c r="BE131" s="468"/>
      <c r="BF131" s="2135"/>
      <c r="BG131" s="2135"/>
      <c r="BH131" s="2135"/>
      <c r="BI131" s="2135"/>
      <c r="BJ131" s="2135"/>
      <c r="BK131" s="2135"/>
      <c r="BL131" s="2135"/>
      <c r="BM131" s="468"/>
      <c r="BN131" s="468"/>
      <c r="BO131" s="468"/>
      <c r="BP131" s="468"/>
      <c r="BQ131" s="468"/>
      <c r="BR131" s="468"/>
      <c r="BS131" s="468"/>
      <c r="BT131" s="468"/>
      <c r="BU131" s="468"/>
      <c r="BV131" s="468"/>
      <c r="BW131" s="468"/>
      <c r="BX131" s="468"/>
      <c r="BY131" s="2135"/>
      <c r="BZ131" s="2135"/>
      <c r="CA131" s="2135"/>
      <c r="CB131" s="2135"/>
      <c r="CC131" s="2135"/>
      <c r="CD131" s="2135"/>
      <c r="CE131" s="2135"/>
      <c r="CF131" s="2135"/>
      <c r="CG131" s="2135"/>
      <c r="CH131" s="468"/>
      <c r="CI131" s="468"/>
      <c r="CJ131" s="468"/>
      <c r="CK131" s="468"/>
      <c r="CL131" s="468"/>
      <c r="CM131" s="468"/>
      <c r="CN131" s="468"/>
      <c r="CO131" s="468"/>
      <c r="CP131" s="468"/>
      <c r="CQ131" s="468"/>
      <c r="CR131" s="468"/>
      <c r="CS131" s="468"/>
      <c r="CT131" s="468"/>
      <c r="CU131" s="468"/>
      <c r="CV131" s="468"/>
      <c r="CW131" s="468"/>
      <c r="CX131" s="468"/>
      <c r="CY131" s="468"/>
      <c r="CZ131" s="468"/>
      <c r="DA131" s="468"/>
      <c r="DB131" s="468"/>
      <c r="DC131" s="468"/>
      <c r="DD131" s="468"/>
      <c r="DE131" s="468"/>
      <c r="DF131" s="468"/>
      <c r="DG131" s="468"/>
      <c r="DH131" s="468"/>
      <c r="DI131" s="468"/>
      <c r="DJ131" s="468"/>
      <c r="DK131" s="468"/>
      <c r="DL131" s="468"/>
      <c r="DM131" s="468"/>
      <c r="DN131" s="468"/>
      <c r="DO131" s="468"/>
      <c r="DP131" s="468"/>
      <c r="DQ131" s="468"/>
      <c r="DR131" s="468"/>
      <c r="DS131" s="468"/>
      <c r="DT131" s="468"/>
      <c r="DU131" s="468"/>
      <c r="DV131" s="468"/>
      <c r="DW131" s="468"/>
      <c r="DX131" s="468"/>
      <c r="DY131" s="468"/>
      <c r="DZ131" s="468"/>
      <c r="EA131" s="468"/>
      <c r="EB131" s="468"/>
      <c r="EC131" s="468"/>
      <c r="ED131" s="468"/>
      <c r="EE131" s="468"/>
      <c r="EF131" s="468"/>
      <c r="EG131" s="468"/>
      <c r="EH131" s="468"/>
      <c r="EI131" s="471"/>
      <c r="EJ131" s="468"/>
      <c r="EK131" s="468"/>
      <c r="EL131" s="468"/>
      <c r="EM131" s="468"/>
      <c r="EN131" s="468"/>
      <c r="EO131" s="468"/>
      <c r="EP131" s="468"/>
      <c r="EQ131" s="468"/>
      <c r="ER131" s="468"/>
      <c r="ES131" s="468"/>
      <c r="ET131" s="468"/>
      <c r="EU131" s="468"/>
      <c r="EV131" s="468"/>
      <c r="EW131" s="468"/>
      <c r="EX131" s="468"/>
      <c r="EY131" s="468"/>
      <c r="EZ131" s="468"/>
      <c r="FA131" s="468"/>
      <c r="FB131" s="468"/>
      <c r="FC131" s="468"/>
      <c r="FD131" s="468"/>
      <c r="FE131" s="468"/>
      <c r="FF131" s="468"/>
      <c r="FG131" s="468"/>
      <c r="FH131" s="468"/>
      <c r="FI131" s="468"/>
      <c r="FJ131" s="468"/>
      <c r="FK131" s="468"/>
      <c r="FL131" s="468"/>
      <c r="FM131" s="2137"/>
      <c r="FN131" s="468"/>
      <c r="FO131" s="468"/>
      <c r="FP131" s="468"/>
      <c r="FQ131" s="468"/>
      <c r="FR131" s="468"/>
      <c r="FS131" s="468"/>
      <c r="FT131" s="468"/>
      <c r="FU131" s="468"/>
      <c r="FV131" s="468"/>
      <c r="FW131" s="468"/>
      <c r="FX131" s="468"/>
      <c r="FY131" s="468"/>
      <c r="FZ131" s="468"/>
      <c r="GA131" s="468"/>
      <c r="GB131" s="468"/>
      <c r="GC131" s="468"/>
      <c r="GD131" s="468"/>
      <c r="GE131" s="468"/>
      <c r="GF131" s="468"/>
      <c r="GG131" s="468"/>
      <c r="GH131" s="468"/>
      <c r="GI131" s="468"/>
      <c r="GJ131" s="468"/>
      <c r="GK131" s="468"/>
      <c r="GL131" s="468"/>
      <c r="GM131" s="468"/>
      <c r="GN131" s="468"/>
      <c r="GO131" s="468"/>
      <c r="GP131" s="468"/>
      <c r="GQ131" s="468"/>
      <c r="GR131" s="468"/>
      <c r="GS131" s="468"/>
      <c r="GT131" s="468"/>
      <c r="GU131" s="2135"/>
    </row>
    <row r="132" spans="1:203" ht="18.899999999999999" customHeight="1">
      <c r="A132" s="2135"/>
      <c r="B132" s="2135"/>
      <c r="C132" s="2136"/>
      <c r="D132" s="468"/>
      <c r="E132" s="468"/>
      <c r="F132" s="468"/>
      <c r="G132" s="468"/>
      <c r="H132" s="468"/>
      <c r="I132" s="468"/>
      <c r="J132" s="468"/>
      <c r="K132" s="468"/>
      <c r="L132" s="468"/>
      <c r="M132" s="468"/>
      <c r="N132" s="468"/>
      <c r="O132" s="468"/>
      <c r="P132" s="468"/>
      <c r="Q132" s="468"/>
      <c r="R132" s="468"/>
      <c r="S132" s="468"/>
      <c r="T132" s="468"/>
      <c r="U132" s="468"/>
      <c r="V132" s="468"/>
      <c r="W132" s="468"/>
      <c r="X132" s="468"/>
      <c r="Y132" s="468"/>
      <c r="Z132" s="468"/>
      <c r="AA132" s="468"/>
      <c r="AB132" s="468"/>
      <c r="AC132" s="468"/>
      <c r="AD132" s="468"/>
      <c r="AE132" s="468"/>
      <c r="AF132" s="468"/>
      <c r="AG132" s="468"/>
      <c r="AH132" s="468"/>
      <c r="AI132" s="468"/>
      <c r="AJ132" s="468"/>
      <c r="AK132" s="468"/>
      <c r="AL132" s="468"/>
      <c r="AM132" s="468"/>
      <c r="AN132" s="468"/>
      <c r="AO132" s="468"/>
      <c r="AP132" s="468"/>
      <c r="AQ132" s="468"/>
      <c r="AR132" s="468"/>
      <c r="AS132" s="468"/>
      <c r="AT132" s="468"/>
      <c r="AU132" s="468"/>
      <c r="AV132" s="468"/>
      <c r="AW132" s="468"/>
      <c r="AX132" s="468"/>
      <c r="AY132" s="468"/>
      <c r="AZ132" s="468"/>
      <c r="BA132" s="468"/>
      <c r="BB132" s="468"/>
      <c r="BC132" s="468"/>
      <c r="BD132" s="468"/>
      <c r="BE132" s="468"/>
      <c r="BF132" s="2135"/>
      <c r="BG132" s="2135"/>
      <c r="BH132" s="2135"/>
      <c r="BI132" s="2135"/>
      <c r="BJ132" s="2135"/>
      <c r="BK132" s="2135"/>
      <c r="BL132" s="2135"/>
      <c r="BM132" s="468"/>
      <c r="BN132" s="468"/>
      <c r="BO132" s="468"/>
      <c r="BP132" s="468"/>
      <c r="BQ132" s="468"/>
      <c r="BR132" s="468"/>
      <c r="BS132" s="468"/>
      <c r="BT132" s="468"/>
      <c r="BU132" s="468"/>
      <c r="BV132" s="468"/>
      <c r="BW132" s="468"/>
      <c r="BX132" s="468"/>
      <c r="BY132" s="2135"/>
      <c r="BZ132" s="2135"/>
      <c r="CA132" s="2135"/>
      <c r="CB132" s="2135"/>
      <c r="CC132" s="2135"/>
      <c r="CD132" s="2135"/>
      <c r="CE132" s="2135"/>
      <c r="CF132" s="2135"/>
      <c r="CG132" s="2135"/>
      <c r="CH132" s="468"/>
      <c r="CI132" s="468"/>
      <c r="CJ132" s="468"/>
      <c r="CK132" s="468"/>
      <c r="CL132" s="468"/>
      <c r="CM132" s="468"/>
      <c r="CN132" s="468"/>
      <c r="CO132" s="468"/>
      <c r="CP132" s="468"/>
      <c r="CQ132" s="468"/>
      <c r="CR132" s="468"/>
      <c r="CS132" s="468"/>
      <c r="CT132" s="468"/>
      <c r="CU132" s="468"/>
      <c r="CV132" s="468"/>
      <c r="CW132" s="468"/>
      <c r="CX132" s="468"/>
      <c r="CY132" s="468"/>
      <c r="CZ132" s="468"/>
      <c r="DA132" s="468"/>
      <c r="DB132" s="468"/>
      <c r="DC132" s="468"/>
      <c r="DD132" s="468"/>
      <c r="DE132" s="468"/>
      <c r="DF132" s="468"/>
      <c r="DG132" s="468"/>
      <c r="DH132" s="468"/>
      <c r="DI132" s="468"/>
      <c r="DJ132" s="468"/>
      <c r="DK132" s="468"/>
      <c r="DL132" s="468"/>
      <c r="DM132" s="468"/>
      <c r="DN132" s="468"/>
      <c r="DO132" s="468"/>
      <c r="DP132" s="468"/>
      <c r="DQ132" s="468"/>
      <c r="DR132" s="468"/>
      <c r="DS132" s="468"/>
      <c r="DT132" s="468"/>
      <c r="DU132" s="468"/>
      <c r="DV132" s="468"/>
      <c r="DW132" s="468"/>
      <c r="DX132" s="468"/>
      <c r="DY132" s="468"/>
      <c r="DZ132" s="468"/>
      <c r="EA132" s="468"/>
      <c r="EB132" s="468"/>
      <c r="EC132" s="468"/>
      <c r="ED132" s="468"/>
      <c r="EE132" s="468"/>
      <c r="EF132" s="468"/>
      <c r="EG132" s="468"/>
      <c r="EH132" s="468"/>
      <c r="EI132" s="471"/>
      <c r="EJ132" s="468"/>
      <c r="EK132" s="468"/>
      <c r="EL132" s="468"/>
      <c r="EM132" s="468"/>
      <c r="EN132" s="468"/>
      <c r="EO132" s="468"/>
      <c r="EP132" s="468"/>
      <c r="EQ132" s="468"/>
      <c r="ER132" s="468"/>
      <c r="ES132" s="468"/>
      <c r="ET132" s="468"/>
      <c r="EU132" s="468"/>
      <c r="EV132" s="468"/>
      <c r="EW132" s="468"/>
      <c r="EX132" s="468"/>
      <c r="EY132" s="468"/>
      <c r="EZ132" s="468"/>
      <c r="FA132" s="468"/>
      <c r="FB132" s="468"/>
      <c r="FC132" s="468"/>
      <c r="FD132" s="468"/>
      <c r="FE132" s="468"/>
      <c r="FF132" s="468"/>
      <c r="FG132" s="468"/>
      <c r="FH132" s="468"/>
      <c r="FI132" s="468"/>
      <c r="FJ132" s="468"/>
      <c r="FK132" s="468"/>
      <c r="FL132" s="468"/>
      <c r="FM132" s="2137"/>
      <c r="FN132" s="468"/>
      <c r="FO132" s="468"/>
      <c r="FP132" s="468"/>
      <c r="FQ132" s="468"/>
      <c r="FR132" s="468"/>
      <c r="FS132" s="468"/>
      <c r="FT132" s="468"/>
      <c r="FU132" s="468"/>
      <c r="FV132" s="468"/>
      <c r="FW132" s="468"/>
      <c r="FX132" s="468"/>
      <c r="FY132" s="468"/>
      <c r="FZ132" s="468"/>
      <c r="GA132" s="468"/>
      <c r="GB132" s="468"/>
      <c r="GC132" s="468"/>
      <c r="GD132" s="468"/>
      <c r="GE132" s="468"/>
      <c r="GF132" s="468"/>
      <c r="GG132" s="468"/>
      <c r="GH132" s="468"/>
      <c r="GI132" s="468"/>
      <c r="GJ132" s="468"/>
      <c r="GK132" s="468"/>
      <c r="GL132" s="468"/>
      <c r="GM132" s="468"/>
      <c r="GN132" s="468"/>
      <c r="GO132" s="468"/>
      <c r="GP132" s="468"/>
      <c r="GQ132" s="468"/>
      <c r="GR132" s="468"/>
      <c r="GS132" s="468"/>
      <c r="GT132" s="468"/>
      <c r="GU132" s="2135"/>
    </row>
    <row r="133" spans="1:203" ht="18.899999999999999" customHeight="1">
      <c r="A133" s="2135"/>
      <c r="B133" s="2135"/>
      <c r="C133" s="2136"/>
      <c r="D133" s="468"/>
      <c r="E133" s="468"/>
      <c r="F133" s="468"/>
      <c r="G133" s="468"/>
      <c r="H133" s="468"/>
      <c r="I133" s="468"/>
      <c r="J133" s="468"/>
      <c r="K133" s="468"/>
      <c r="L133" s="468"/>
      <c r="M133" s="468"/>
      <c r="N133" s="468"/>
      <c r="O133" s="468"/>
      <c r="P133" s="468"/>
      <c r="Q133" s="468"/>
      <c r="R133" s="468"/>
      <c r="S133" s="468"/>
      <c r="T133" s="468"/>
      <c r="U133" s="468"/>
      <c r="V133" s="468"/>
      <c r="W133" s="468"/>
      <c r="X133" s="468"/>
      <c r="Y133" s="468"/>
      <c r="Z133" s="468"/>
      <c r="AA133" s="468"/>
      <c r="AB133" s="468"/>
      <c r="AC133" s="468"/>
      <c r="AD133" s="468"/>
      <c r="AE133" s="468"/>
      <c r="AF133" s="468"/>
      <c r="AG133" s="468"/>
      <c r="AH133" s="468"/>
      <c r="AI133" s="468"/>
      <c r="AJ133" s="468"/>
      <c r="AK133" s="468"/>
      <c r="AL133" s="468"/>
      <c r="AM133" s="468"/>
      <c r="AN133" s="468"/>
      <c r="AO133" s="468"/>
      <c r="AP133" s="468"/>
      <c r="AQ133" s="468"/>
      <c r="AR133" s="468"/>
      <c r="AS133" s="468"/>
      <c r="AT133" s="468"/>
      <c r="AU133" s="468"/>
      <c r="AV133" s="468"/>
      <c r="AW133" s="468"/>
      <c r="AX133" s="468"/>
      <c r="AY133" s="468"/>
      <c r="AZ133" s="468"/>
      <c r="BA133" s="468"/>
      <c r="BB133" s="468"/>
      <c r="BC133" s="468"/>
      <c r="BD133" s="468"/>
      <c r="BE133" s="468"/>
      <c r="BF133" s="2135"/>
      <c r="BG133" s="2135"/>
      <c r="BH133" s="2135"/>
      <c r="BI133" s="2135"/>
      <c r="BJ133" s="2135"/>
      <c r="BK133" s="2135"/>
      <c r="BL133" s="2135"/>
      <c r="BM133" s="468"/>
      <c r="BN133" s="468"/>
      <c r="BO133" s="468"/>
      <c r="BP133" s="468"/>
      <c r="BQ133" s="468"/>
      <c r="BR133" s="468"/>
      <c r="BS133" s="468"/>
      <c r="BT133" s="468"/>
      <c r="BU133" s="468"/>
      <c r="BV133" s="468"/>
      <c r="BW133" s="468"/>
      <c r="BX133" s="468"/>
      <c r="BY133" s="2135"/>
      <c r="BZ133" s="2135"/>
      <c r="CA133" s="2135"/>
      <c r="CB133" s="2135"/>
      <c r="CC133" s="2135"/>
      <c r="CD133" s="2135"/>
      <c r="CE133" s="2135"/>
      <c r="CF133" s="2135"/>
      <c r="CG133" s="2135"/>
      <c r="CH133" s="468"/>
      <c r="CI133" s="468"/>
      <c r="CJ133" s="468"/>
      <c r="CK133" s="468"/>
      <c r="CL133" s="468"/>
      <c r="CM133" s="468"/>
      <c r="CN133" s="468"/>
      <c r="CO133" s="468"/>
      <c r="CP133" s="468"/>
      <c r="CQ133" s="468"/>
      <c r="CR133" s="468"/>
      <c r="CS133" s="468"/>
      <c r="CT133" s="468"/>
      <c r="CU133" s="468"/>
      <c r="CV133" s="468"/>
      <c r="CW133" s="468"/>
      <c r="CX133" s="468"/>
      <c r="CY133" s="468"/>
      <c r="CZ133" s="468"/>
      <c r="DA133" s="468"/>
      <c r="DB133" s="468"/>
      <c r="DC133" s="468"/>
      <c r="DD133" s="468"/>
      <c r="DE133" s="468"/>
      <c r="DF133" s="468"/>
      <c r="DG133" s="468"/>
      <c r="DH133" s="468"/>
      <c r="DI133" s="468"/>
      <c r="DJ133" s="468"/>
      <c r="DK133" s="468"/>
      <c r="DL133" s="468"/>
      <c r="DM133" s="468"/>
      <c r="DN133" s="468"/>
      <c r="DO133" s="468"/>
      <c r="DP133" s="468"/>
      <c r="DQ133" s="468"/>
      <c r="DR133" s="468"/>
      <c r="DS133" s="468"/>
      <c r="DT133" s="468"/>
      <c r="DU133" s="468"/>
      <c r="DV133" s="468"/>
      <c r="DW133" s="468"/>
      <c r="DX133" s="468"/>
      <c r="DY133" s="468"/>
      <c r="DZ133" s="468"/>
      <c r="EA133" s="468"/>
      <c r="EB133" s="468"/>
      <c r="EC133" s="468"/>
      <c r="ED133" s="468"/>
      <c r="EE133" s="468"/>
      <c r="EF133" s="468"/>
      <c r="EG133" s="468"/>
      <c r="EH133" s="468"/>
      <c r="EI133" s="471"/>
      <c r="EJ133" s="468"/>
      <c r="EK133" s="468"/>
      <c r="EL133" s="468"/>
      <c r="EM133" s="468"/>
      <c r="EN133" s="468"/>
      <c r="EO133" s="468"/>
      <c r="EP133" s="468"/>
      <c r="EQ133" s="468"/>
      <c r="ER133" s="468"/>
      <c r="ES133" s="468"/>
      <c r="ET133" s="468"/>
      <c r="EU133" s="468"/>
      <c r="EV133" s="468"/>
      <c r="EW133" s="468"/>
      <c r="EX133" s="468"/>
      <c r="EY133" s="468"/>
      <c r="EZ133" s="468"/>
      <c r="FA133" s="468"/>
      <c r="FB133" s="468"/>
      <c r="FC133" s="468"/>
      <c r="FD133" s="468"/>
      <c r="FE133" s="468"/>
      <c r="FF133" s="468"/>
      <c r="FG133" s="468"/>
      <c r="FH133" s="468"/>
      <c r="FI133" s="468"/>
      <c r="FJ133" s="468"/>
      <c r="FK133" s="468"/>
      <c r="FL133" s="468"/>
      <c r="FM133" s="2137"/>
      <c r="FN133" s="468"/>
      <c r="FO133" s="468"/>
      <c r="FP133" s="468"/>
      <c r="FQ133" s="468"/>
      <c r="FR133" s="468"/>
      <c r="FS133" s="468"/>
      <c r="FT133" s="468"/>
      <c r="FU133" s="468"/>
      <c r="FV133" s="468"/>
      <c r="FW133" s="468"/>
      <c r="FX133" s="468"/>
      <c r="FY133" s="468"/>
      <c r="FZ133" s="468"/>
      <c r="GA133" s="468"/>
      <c r="GB133" s="468"/>
      <c r="GC133" s="468"/>
      <c r="GD133" s="468"/>
      <c r="GE133" s="468"/>
      <c r="GF133" s="468"/>
      <c r="GG133" s="468"/>
      <c r="GH133" s="468"/>
      <c r="GI133" s="468"/>
      <c r="GJ133" s="468"/>
      <c r="GK133" s="468"/>
      <c r="GL133" s="468"/>
      <c r="GM133" s="468"/>
      <c r="GN133" s="468"/>
      <c r="GO133" s="468"/>
      <c r="GP133" s="468"/>
      <c r="GQ133" s="468"/>
      <c r="GR133" s="468"/>
      <c r="GS133" s="468"/>
      <c r="GT133" s="468"/>
      <c r="GU133" s="2135"/>
    </row>
    <row r="134" spans="1:203" ht="18.899999999999999" customHeight="1">
      <c r="A134" s="2135"/>
      <c r="B134" s="2135"/>
      <c r="C134" s="2136"/>
      <c r="D134" s="468"/>
      <c r="E134" s="468"/>
      <c r="F134" s="468"/>
      <c r="G134" s="468"/>
      <c r="H134" s="468"/>
      <c r="I134" s="468"/>
      <c r="J134" s="468"/>
      <c r="K134" s="468"/>
      <c r="L134" s="468"/>
      <c r="M134" s="468"/>
      <c r="N134" s="468"/>
      <c r="O134" s="468"/>
      <c r="P134" s="468"/>
      <c r="Q134" s="468"/>
      <c r="R134" s="468"/>
      <c r="S134" s="468"/>
      <c r="T134" s="468"/>
      <c r="U134" s="468"/>
      <c r="V134" s="468"/>
      <c r="W134" s="468"/>
      <c r="X134" s="468"/>
      <c r="Y134" s="468"/>
      <c r="Z134" s="468"/>
      <c r="AA134" s="468"/>
      <c r="AB134" s="468"/>
      <c r="AC134" s="468"/>
      <c r="AD134" s="468"/>
      <c r="AE134" s="468"/>
      <c r="AF134" s="468"/>
      <c r="AG134" s="468"/>
      <c r="AH134" s="468"/>
      <c r="AI134" s="468"/>
      <c r="AJ134" s="468"/>
      <c r="AK134" s="468"/>
      <c r="AL134" s="468"/>
      <c r="AM134" s="468"/>
      <c r="AN134" s="468"/>
      <c r="AO134" s="468"/>
      <c r="AP134" s="468"/>
      <c r="AQ134" s="468"/>
      <c r="AR134" s="468"/>
      <c r="AS134" s="468"/>
      <c r="AT134" s="468"/>
      <c r="AU134" s="468"/>
      <c r="AV134" s="468"/>
      <c r="AW134" s="468"/>
      <c r="AX134" s="468"/>
      <c r="AY134" s="468"/>
      <c r="AZ134" s="468"/>
      <c r="BA134" s="468"/>
      <c r="BB134" s="468"/>
      <c r="BC134" s="468"/>
      <c r="BD134" s="468"/>
      <c r="BE134" s="468"/>
      <c r="BF134" s="2135"/>
      <c r="BG134" s="2135"/>
      <c r="BH134" s="2135"/>
      <c r="BI134" s="2135"/>
      <c r="BJ134" s="2135"/>
      <c r="BK134" s="2135"/>
      <c r="BL134" s="2135"/>
      <c r="BM134" s="468"/>
      <c r="BN134" s="468"/>
      <c r="BO134" s="468"/>
      <c r="BP134" s="468"/>
      <c r="BQ134" s="468"/>
      <c r="BR134" s="468"/>
      <c r="BS134" s="468"/>
      <c r="BT134" s="468"/>
      <c r="BU134" s="468"/>
      <c r="BV134" s="468"/>
      <c r="BW134" s="468"/>
      <c r="BX134" s="468"/>
      <c r="BY134" s="2135"/>
      <c r="BZ134" s="2135"/>
      <c r="CA134" s="2135"/>
      <c r="CB134" s="2135"/>
      <c r="CC134" s="2135"/>
      <c r="CD134" s="2135"/>
      <c r="CE134" s="2135"/>
      <c r="CF134" s="2135"/>
      <c r="CG134" s="2135"/>
      <c r="CH134" s="468"/>
      <c r="CI134" s="468"/>
      <c r="CJ134" s="468"/>
      <c r="CK134" s="468"/>
      <c r="CL134" s="468"/>
      <c r="CM134" s="468"/>
      <c r="CN134" s="468"/>
      <c r="CO134" s="468"/>
      <c r="CP134" s="468"/>
      <c r="CQ134" s="468"/>
      <c r="CR134" s="468"/>
      <c r="CS134" s="468"/>
      <c r="CT134" s="468"/>
      <c r="CU134" s="468"/>
      <c r="CV134" s="468"/>
      <c r="CW134" s="468"/>
      <c r="CX134" s="468"/>
      <c r="CY134" s="468"/>
      <c r="CZ134" s="468"/>
      <c r="DA134" s="468"/>
      <c r="DB134" s="468"/>
      <c r="DC134" s="468"/>
      <c r="DD134" s="468"/>
      <c r="DE134" s="468"/>
      <c r="DF134" s="468"/>
      <c r="DG134" s="468"/>
      <c r="DH134" s="468"/>
      <c r="DI134" s="468"/>
      <c r="DJ134" s="468"/>
      <c r="DK134" s="468"/>
      <c r="DL134" s="468"/>
      <c r="DM134" s="468"/>
      <c r="DN134" s="468"/>
      <c r="DO134" s="468"/>
      <c r="DP134" s="468"/>
      <c r="DQ134" s="468"/>
      <c r="DR134" s="468"/>
      <c r="DS134" s="468"/>
      <c r="DT134" s="468"/>
      <c r="DU134" s="468"/>
      <c r="DV134" s="468"/>
      <c r="DW134" s="468"/>
      <c r="DX134" s="468"/>
      <c r="DY134" s="468"/>
      <c r="DZ134" s="468"/>
      <c r="EA134" s="468"/>
      <c r="EB134" s="468"/>
      <c r="EC134" s="468"/>
      <c r="ED134" s="468"/>
      <c r="EE134" s="468"/>
      <c r="EF134" s="468"/>
      <c r="EG134" s="468"/>
      <c r="EH134" s="468"/>
      <c r="EI134" s="471"/>
      <c r="EJ134" s="468"/>
      <c r="EK134" s="468"/>
      <c r="EL134" s="468"/>
      <c r="EM134" s="468"/>
      <c r="EN134" s="468"/>
      <c r="EO134" s="468"/>
      <c r="EP134" s="468"/>
      <c r="EQ134" s="468"/>
      <c r="ER134" s="468"/>
      <c r="ES134" s="468"/>
      <c r="ET134" s="468"/>
      <c r="EU134" s="468"/>
      <c r="EV134" s="468"/>
      <c r="EW134" s="468"/>
      <c r="EX134" s="468"/>
      <c r="EY134" s="468"/>
      <c r="EZ134" s="468"/>
      <c r="FA134" s="468"/>
      <c r="FB134" s="468"/>
      <c r="FC134" s="468"/>
      <c r="FD134" s="468"/>
      <c r="FE134" s="468"/>
      <c r="FF134" s="468"/>
      <c r="FG134" s="468"/>
      <c r="FH134" s="468"/>
      <c r="FI134" s="468"/>
      <c r="FJ134" s="468"/>
      <c r="FK134" s="468"/>
      <c r="FL134" s="468"/>
      <c r="FM134" s="2137"/>
      <c r="FN134" s="468"/>
      <c r="FO134" s="468"/>
      <c r="FP134" s="468"/>
      <c r="FQ134" s="468"/>
      <c r="FR134" s="468"/>
      <c r="FS134" s="468"/>
      <c r="FT134" s="468"/>
      <c r="FU134" s="468"/>
      <c r="FV134" s="468"/>
      <c r="FW134" s="468"/>
      <c r="FX134" s="468"/>
      <c r="FY134" s="468"/>
      <c r="FZ134" s="468"/>
      <c r="GA134" s="468"/>
      <c r="GB134" s="468"/>
      <c r="GC134" s="468"/>
      <c r="GD134" s="468"/>
      <c r="GE134" s="468"/>
      <c r="GF134" s="468"/>
      <c r="GG134" s="468"/>
      <c r="GH134" s="468"/>
      <c r="GI134" s="468"/>
      <c r="GJ134" s="468"/>
      <c r="GK134" s="468"/>
      <c r="GL134" s="468"/>
      <c r="GM134" s="468"/>
      <c r="GN134" s="468"/>
      <c r="GO134" s="468"/>
      <c r="GP134" s="468"/>
      <c r="GQ134" s="468"/>
      <c r="GR134" s="468"/>
      <c r="GS134" s="468"/>
      <c r="GT134" s="468"/>
      <c r="GU134" s="2135"/>
    </row>
    <row r="135" spans="1:203" ht="18.899999999999999" customHeight="1">
      <c r="A135" s="2135"/>
      <c r="B135" s="2135"/>
      <c r="C135" s="2136"/>
      <c r="D135" s="468"/>
      <c r="E135" s="468"/>
      <c r="F135" s="468"/>
      <c r="G135" s="468"/>
      <c r="H135" s="468"/>
      <c r="I135" s="468"/>
      <c r="J135" s="468"/>
      <c r="K135" s="468"/>
      <c r="L135" s="468"/>
      <c r="M135" s="468"/>
      <c r="N135" s="468"/>
      <c r="O135" s="468"/>
      <c r="P135" s="468"/>
      <c r="Q135" s="468"/>
      <c r="R135" s="468"/>
      <c r="S135" s="468"/>
      <c r="T135" s="468"/>
      <c r="U135" s="468"/>
      <c r="V135" s="468"/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468"/>
      <c r="AH135" s="468"/>
      <c r="AI135" s="468"/>
      <c r="AJ135" s="468"/>
      <c r="AK135" s="468"/>
      <c r="AL135" s="468"/>
      <c r="AM135" s="468"/>
      <c r="AN135" s="468"/>
      <c r="AO135" s="468"/>
      <c r="AP135" s="468"/>
      <c r="AQ135" s="468"/>
      <c r="AR135" s="468"/>
      <c r="AS135" s="468"/>
      <c r="AT135" s="468"/>
      <c r="AU135" s="468"/>
      <c r="AV135" s="468"/>
      <c r="AW135" s="468"/>
      <c r="AX135" s="468"/>
      <c r="AY135" s="468"/>
      <c r="AZ135" s="468"/>
      <c r="BA135" s="468"/>
      <c r="BB135" s="468"/>
      <c r="BC135" s="468"/>
      <c r="BD135" s="468"/>
      <c r="BE135" s="468"/>
      <c r="BF135" s="2135"/>
      <c r="BG135" s="2135"/>
      <c r="BH135" s="2135"/>
      <c r="BI135" s="2135"/>
      <c r="BJ135" s="2135"/>
      <c r="BK135" s="2135"/>
      <c r="BL135" s="2135"/>
      <c r="BM135" s="468"/>
      <c r="BN135" s="468"/>
      <c r="BO135" s="468"/>
      <c r="BP135" s="468"/>
      <c r="BQ135" s="468"/>
      <c r="BR135" s="468"/>
      <c r="BS135" s="468"/>
      <c r="BT135" s="468"/>
      <c r="BU135" s="468"/>
      <c r="BV135" s="468"/>
      <c r="BW135" s="468"/>
      <c r="BX135" s="468"/>
      <c r="BY135" s="2135"/>
      <c r="BZ135" s="2135"/>
      <c r="CA135" s="2135"/>
      <c r="CB135" s="2135"/>
      <c r="CC135" s="2135"/>
      <c r="CD135" s="2135"/>
      <c r="CE135" s="2135"/>
      <c r="CF135" s="2135"/>
      <c r="CG135" s="2135"/>
      <c r="CH135" s="468"/>
      <c r="CI135" s="468"/>
      <c r="CJ135" s="468"/>
      <c r="CK135" s="468"/>
      <c r="CL135" s="468"/>
      <c r="CM135" s="468"/>
      <c r="CN135" s="468"/>
      <c r="CO135" s="468"/>
      <c r="CP135" s="468"/>
      <c r="CQ135" s="468"/>
      <c r="CR135" s="468"/>
      <c r="CS135" s="468"/>
      <c r="CT135" s="468"/>
      <c r="CU135" s="468"/>
      <c r="CV135" s="468"/>
      <c r="CW135" s="468"/>
      <c r="CX135" s="468"/>
      <c r="CY135" s="468"/>
      <c r="CZ135" s="468"/>
      <c r="DA135" s="468"/>
      <c r="DB135" s="468"/>
      <c r="DC135" s="468"/>
      <c r="DD135" s="468"/>
      <c r="DE135" s="468"/>
      <c r="DF135" s="468"/>
      <c r="DG135" s="468"/>
      <c r="DH135" s="468"/>
      <c r="DI135" s="468"/>
      <c r="DJ135" s="468"/>
      <c r="DK135" s="468"/>
      <c r="DL135" s="468"/>
      <c r="DM135" s="468"/>
      <c r="DN135" s="468"/>
      <c r="DO135" s="468"/>
      <c r="DP135" s="468"/>
      <c r="DQ135" s="468"/>
      <c r="DR135" s="468"/>
      <c r="DS135" s="468"/>
      <c r="DT135" s="468"/>
      <c r="DU135" s="468"/>
      <c r="DV135" s="468"/>
      <c r="DW135" s="468"/>
      <c r="DX135" s="468"/>
      <c r="DY135" s="468"/>
      <c r="DZ135" s="468"/>
      <c r="EA135" s="468"/>
      <c r="EB135" s="468"/>
      <c r="EC135" s="468"/>
      <c r="ED135" s="468"/>
      <c r="EE135" s="468"/>
      <c r="EF135" s="468"/>
      <c r="EG135" s="468"/>
      <c r="EH135" s="468"/>
      <c r="EI135" s="471"/>
      <c r="EJ135" s="468"/>
      <c r="EK135" s="468"/>
      <c r="EL135" s="468"/>
      <c r="EM135" s="468"/>
      <c r="EN135" s="468"/>
      <c r="EO135" s="468"/>
      <c r="EP135" s="468"/>
      <c r="EQ135" s="468"/>
      <c r="ER135" s="468"/>
      <c r="ES135" s="468"/>
      <c r="ET135" s="468"/>
      <c r="EU135" s="468"/>
      <c r="EV135" s="468"/>
      <c r="EW135" s="468"/>
      <c r="EX135" s="468"/>
      <c r="EY135" s="468"/>
      <c r="EZ135" s="468"/>
      <c r="FA135" s="468"/>
      <c r="FB135" s="468"/>
      <c r="FC135" s="468"/>
      <c r="FD135" s="468"/>
      <c r="FE135" s="468"/>
      <c r="FF135" s="468"/>
      <c r="FG135" s="468"/>
      <c r="FH135" s="468"/>
      <c r="FI135" s="468"/>
      <c r="FJ135" s="468"/>
      <c r="FK135" s="468"/>
      <c r="FL135" s="468"/>
      <c r="FM135" s="2137"/>
      <c r="FN135" s="468"/>
      <c r="FO135" s="468"/>
      <c r="FP135" s="468"/>
      <c r="FQ135" s="468"/>
      <c r="FR135" s="468"/>
      <c r="FS135" s="468"/>
      <c r="FT135" s="468"/>
      <c r="FU135" s="468"/>
      <c r="FV135" s="468"/>
      <c r="FW135" s="468"/>
      <c r="FX135" s="468"/>
      <c r="FY135" s="468"/>
      <c r="FZ135" s="468"/>
      <c r="GA135" s="468"/>
      <c r="GB135" s="468"/>
      <c r="GC135" s="468"/>
      <c r="GD135" s="468"/>
      <c r="GE135" s="468"/>
      <c r="GF135" s="468"/>
      <c r="GG135" s="468"/>
      <c r="GH135" s="468"/>
      <c r="GI135" s="468"/>
      <c r="GJ135" s="468"/>
      <c r="GK135" s="468"/>
      <c r="GL135" s="468"/>
      <c r="GM135" s="468"/>
      <c r="GN135" s="468"/>
      <c r="GO135" s="468"/>
      <c r="GP135" s="468"/>
      <c r="GQ135" s="468"/>
      <c r="GR135" s="468"/>
      <c r="GS135" s="468"/>
      <c r="GT135" s="468"/>
      <c r="GU135" s="2135"/>
    </row>
    <row r="136" spans="1:203" ht="18.899999999999999" customHeight="1">
      <c r="A136" s="2135"/>
      <c r="B136" s="2135"/>
      <c r="C136" s="2136"/>
      <c r="D136" s="468"/>
      <c r="E136" s="468"/>
      <c r="F136" s="468"/>
      <c r="G136" s="468"/>
      <c r="H136" s="468"/>
      <c r="I136" s="468"/>
      <c r="J136" s="468"/>
      <c r="K136" s="468"/>
      <c r="L136" s="468"/>
      <c r="M136" s="468"/>
      <c r="N136" s="468"/>
      <c r="O136" s="468"/>
      <c r="P136" s="468"/>
      <c r="Q136" s="468"/>
      <c r="R136" s="468"/>
      <c r="S136" s="468"/>
      <c r="T136" s="468"/>
      <c r="U136" s="468"/>
      <c r="V136" s="468"/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8"/>
      <c r="AJ136" s="468"/>
      <c r="AK136" s="468"/>
      <c r="AL136" s="468"/>
      <c r="AM136" s="468"/>
      <c r="AN136" s="468"/>
      <c r="AO136" s="468"/>
      <c r="AP136" s="468"/>
      <c r="AQ136" s="468"/>
      <c r="AR136" s="468"/>
      <c r="AS136" s="468"/>
      <c r="AT136" s="468"/>
      <c r="AU136" s="468"/>
      <c r="AV136" s="468"/>
      <c r="AW136" s="468"/>
      <c r="AX136" s="468"/>
      <c r="AY136" s="468"/>
      <c r="AZ136" s="468"/>
      <c r="BA136" s="468"/>
      <c r="BB136" s="468"/>
      <c r="BC136" s="468"/>
      <c r="BD136" s="468"/>
      <c r="BE136" s="468"/>
      <c r="BF136" s="2135"/>
      <c r="BG136" s="2135"/>
      <c r="BH136" s="2135"/>
      <c r="BI136" s="2135"/>
      <c r="BJ136" s="2135"/>
      <c r="BK136" s="2135"/>
      <c r="BL136" s="2135"/>
      <c r="BM136" s="468"/>
      <c r="BN136" s="468"/>
      <c r="BO136" s="468"/>
      <c r="BP136" s="468"/>
      <c r="BQ136" s="468"/>
      <c r="BR136" s="468"/>
      <c r="BS136" s="468"/>
      <c r="BT136" s="468"/>
      <c r="BU136" s="468"/>
      <c r="BV136" s="468"/>
      <c r="BW136" s="468"/>
      <c r="BX136" s="468"/>
      <c r="BY136" s="2135"/>
      <c r="BZ136" s="2135"/>
      <c r="CA136" s="2135"/>
      <c r="CB136" s="2135"/>
      <c r="CC136" s="2135"/>
      <c r="CD136" s="2135"/>
      <c r="CE136" s="2135"/>
      <c r="CF136" s="2135"/>
      <c r="CG136" s="2135"/>
      <c r="CH136" s="468"/>
      <c r="CI136" s="468"/>
      <c r="CJ136" s="468"/>
      <c r="CK136" s="468"/>
      <c r="CL136" s="468"/>
      <c r="CM136" s="468"/>
      <c r="CN136" s="468"/>
      <c r="CO136" s="468"/>
      <c r="CP136" s="468"/>
      <c r="CQ136" s="468"/>
      <c r="CR136" s="468"/>
      <c r="CS136" s="468"/>
      <c r="CT136" s="468"/>
      <c r="CU136" s="468"/>
      <c r="CV136" s="468"/>
      <c r="CW136" s="468"/>
      <c r="CX136" s="468"/>
      <c r="CY136" s="468"/>
      <c r="CZ136" s="468"/>
      <c r="DA136" s="468"/>
      <c r="DB136" s="468"/>
      <c r="DC136" s="468"/>
      <c r="DD136" s="468"/>
      <c r="DE136" s="468"/>
      <c r="DF136" s="468"/>
      <c r="DG136" s="468"/>
      <c r="DH136" s="468"/>
      <c r="DI136" s="468"/>
      <c r="DJ136" s="468"/>
      <c r="DK136" s="468"/>
      <c r="DL136" s="468"/>
      <c r="DM136" s="468"/>
      <c r="DN136" s="468"/>
      <c r="DO136" s="468"/>
      <c r="DP136" s="468"/>
      <c r="DQ136" s="468"/>
      <c r="DR136" s="468"/>
      <c r="DS136" s="468"/>
      <c r="DT136" s="468"/>
      <c r="DU136" s="468"/>
      <c r="DV136" s="468"/>
      <c r="DW136" s="468"/>
      <c r="DX136" s="468"/>
      <c r="DY136" s="468"/>
      <c r="DZ136" s="468"/>
      <c r="EA136" s="468"/>
      <c r="EB136" s="468"/>
      <c r="EC136" s="468"/>
      <c r="ED136" s="468"/>
      <c r="EE136" s="468"/>
      <c r="EF136" s="468"/>
      <c r="EG136" s="468"/>
      <c r="EH136" s="468"/>
      <c r="EI136" s="471"/>
      <c r="EJ136" s="468"/>
      <c r="EK136" s="468"/>
      <c r="EL136" s="468"/>
      <c r="EM136" s="468"/>
      <c r="EN136" s="468"/>
      <c r="EO136" s="468"/>
      <c r="EP136" s="468"/>
      <c r="EQ136" s="468"/>
      <c r="ER136" s="468"/>
      <c r="ES136" s="468"/>
      <c r="ET136" s="468"/>
      <c r="EU136" s="468"/>
      <c r="EV136" s="468"/>
      <c r="EW136" s="468"/>
      <c r="EX136" s="468"/>
      <c r="EY136" s="468"/>
      <c r="EZ136" s="468"/>
      <c r="FA136" s="468"/>
      <c r="FB136" s="468"/>
      <c r="FC136" s="468"/>
      <c r="FD136" s="468"/>
      <c r="FE136" s="468"/>
      <c r="FF136" s="468"/>
      <c r="FG136" s="468"/>
      <c r="FH136" s="468"/>
      <c r="FI136" s="468"/>
      <c r="FJ136" s="468"/>
      <c r="FK136" s="468"/>
      <c r="FL136" s="468"/>
      <c r="FM136" s="2137"/>
      <c r="FN136" s="468"/>
      <c r="FO136" s="468"/>
      <c r="FP136" s="468"/>
      <c r="FQ136" s="468"/>
      <c r="FR136" s="468"/>
      <c r="FS136" s="468"/>
      <c r="FT136" s="468"/>
      <c r="FU136" s="468"/>
      <c r="FV136" s="468"/>
      <c r="FW136" s="468"/>
      <c r="FX136" s="468"/>
      <c r="FY136" s="468"/>
      <c r="FZ136" s="468"/>
      <c r="GA136" s="468"/>
      <c r="GB136" s="468"/>
      <c r="GC136" s="468"/>
      <c r="GD136" s="468"/>
      <c r="GE136" s="468"/>
      <c r="GF136" s="468"/>
      <c r="GG136" s="468"/>
      <c r="GH136" s="468"/>
      <c r="GI136" s="468"/>
      <c r="GJ136" s="468"/>
      <c r="GK136" s="468"/>
      <c r="GL136" s="468"/>
      <c r="GM136" s="468"/>
      <c r="GN136" s="468"/>
      <c r="GO136" s="468"/>
      <c r="GP136" s="468"/>
      <c r="GQ136" s="468"/>
      <c r="GR136" s="468"/>
      <c r="GS136" s="468"/>
      <c r="GT136" s="468"/>
      <c r="GU136" s="2135"/>
    </row>
    <row r="137" spans="1:203" ht="18.899999999999999" customHeight="1">
      <c r="A137" s="2135"/>
      <c r="B137" s="2135"/>
      <c r="C137" s="2136"/>
      <c r="D137" s="468"/>
      <c r="E137" s="468"/>
      <c r="F137" s="468"/>
      <c r="G137" s="468"/>
      <c r="H137" s="468"/>
      <c r="I137" s="468"/>
      <c r="J137" s="468"/>
      <c r="K137" s="468"/>
      <c r="L137" s="468"/>
      <c r="M137" s="468"/>
      <c r="N137" s="468"/>
      <c r="O137" s="468"/>
      <c r="P137" s="468"/>
      <c r="Q137" s="468"/>
      <c r="R137" s="468"/>
      <c r="S137" s="468"/>
      <c r="T137" s="468"/>
      <c r="U137" s="468"/>
      <c r="V137" s="468"/>
      <c r="W137" s="468"/>
      <c r="X137" s="468"/>
      <c r="Y137" s="468"/>
      <c r="Z137" s="468"/>
      <c r="AA137" s="468"/>
      <c r="AB137" s="468"/>
      <c r="AC137" s="468"/>
      <c r="AD137" s="468"/>
      <c r="AE137" s="468"/>
      <c r="AF137" s="468"/>
      <c r="AG137" s="468"/>
      <c r="AH137" s="468"/>
      <c r="AI137" s="468"/>
      <c r="AJ137" s="468"/>
      <c r="AK137" s="468"/>
      <c r="AL137" s="468"/>
      <c r="AM137" s="468"/>
      <c r="AN137" s="468"/>
      <c r="AO137" s="468"/>
      <c r="AP137" s="468"/>
      <c r="AQ137" s="468"/>
      <c r="AR137" s="468"/>
      <c r="AS137" s="468"/>
      <c r="AT137" s="468"/>
      <c r="AU137" s="468"/>
      <c r="AV137" s="468"/>
      <c r="AW137" s="468"/>
      <c r="AX137" s="468"/>
      <c r="AY137" s="468"/>
      <c r="AZ137" s="468"/>
      <c r="BA137" s="468"/>
      <c r="BB137" s="468"/>
      <c r="BC137" s="468"/>
      <c r="BD137" s="468"/>
      <c r="BE137" s="468"/>
      <c r="BF137" s="2135"/>
      <c r="BG137" s="2135"/>
      <c r="BH137" s="2135"/>
      <c r="BI137" s="2135"/>
      <c r="BJ137" s="2135"/>
      <c r="BK137" s="2135"/>
      <c r="BL137" s="2135"/>
      <c r="BM137" s="468"/>
      <c r="BN137" s="468"/>
      <c r="BO137" s="468"/>
      <c r="BP137" s="468"/>
      <c r="BQ137" s="468"/>
      <c r="BR137" s="468"/>
      <c r="BS137" s="468"/>
      <c r="BT137" s="468"/>
      <c r="BU137" s="468"/>
      <c r="BV137" s="468"/>
      <c r="BW137" s="468"/>
      <c r="BX137" s="468"/>
      <c r="BY137" s="2135"/>
      <c r="BZ137" s="2135"/>
      <c r="CA137" s="2135"/>
      <c r="CB137" s="2135"/>
      <c r="CC137" s="2135"/>
      <c r="CD137" s="2135"/>
      <c r="CE137" s="2135"/>
      <c r="CF137" s="2135"/>
      <c r="CG137" s="2135"/>
      <c r="CH137" s="468"/>
      <c r="CI137" s="468"/>
      <c r="CJ137" s="468"/>
      <c r="CK137" s="468"/>
      <c r="CL137" s="468"/>
      <c r="CM137" s="468"/>
      <c r="CN137" s="468"/>
      <c r="CO137" s="468"/>
      <c r="CP137" s="468"/>
      <c r="CQ137" s="468"/>
      <c r="CR137" s="468"/>
      <c r="CS137" s="468"/>
      <c r="CT137" s="468"/>
      <c r="CU137" s="468"/>
      <c r="CV137" s="468"/>
      <c r="CW137" s="468"/>
      <c r="CX137" s="468"/>
      <c r="CY137" s="468"/>
      <c r="CZ137" s="468"/>
      <c r="DA137" s="468"/>
      <c r="DB137" s="468"/>
      <c r="DC137" s="468"/>
      <c r="DD137" s="468"/>
      <c r="DE137" s="468"/>
      <c r="DF137" s="468"/>
      <c r="DG137" s="468"/>
      <c r="DH137" s="468"/>
      <c r="DI137" s="468"/>
      <c r="DJ137" s="468"/>
      <c r="DK137" s="468"/>
      <c r="DL137" s="468"/>
      <c r="DM137" s="468"/>
      <c r="DN137" s="468"/>
      <c r="DO137" s="468"/>
      <c r="DP137" s="468"/>
      <c r="DQ137" s="468"/>
      <c r="DR137" s="468"/>
      <c r="DS137" s="468"/>
      <c r="DT137" s="468"/>
      <c r="DU137" s="468"/>
      <c r="DV137" s="468"/>
      <c r="DW137" s="468"/>
      <c r="DX137" s="468"/>
      <c r="DY137" s="468"/>
      <c r="DZ137" s="468"/>
      <c r="EA137" s="468"/>
      <c r="EB137" s="468"/>
      <c r="EC137" s="468"/>
      <c r="ED137" s="468"/>
      <c r="EE137" s="468"/>
      <c r="EF137" s="468"/>
      <c r="EG137" s="468"/>
      <c r="EH137" s="468"/>
      <c r="EI137" s="471"/>
      <c r="EJ137" s="468"/>
      <c r="EK137" s="468"/>
      <c r="EL137" s="468"/>
      <c r="EM137" s="468"/>
      <c r="EN137" s="468"/>
      <c r="EO137" s="468"/>
      <c r="EP137" s="468"/>
      <c r="EQ137" s="468"/>
      <c r="ER137" s="468"/>
      <c r="ES137" s="468"/>
      <c r="ET137" s="468"/>
      <c r="EU137" s="468"/>
      <c r="EV137" s="468"/>
      <c r="EW137" s="468"/>
      <c r="EX137" s="468"/>
      <c r="EY137" s="468"/>
      <c r="EZ137" s="468"/>
      <c r="FA137" s="468"/>
      <c r="FB137" s="468"/>
      <c r="FC137" s="468"/>
      <c r="FD137" s="468"/>
      <c r="FE137" s="468"/>
      <c r="FF137" s="468"/>
      <c r="FG137" s="468"/>
      <c r="FH137" s="468"/>
      <c r="FI137" s="468"/>
      <c r="FJ137" s="468"/>
      <c r="FK137" s="468"/>
      <c r="FL137" s="468"/>
      <c r="FM137" s="2137"/>
      <c r="FN137" s="468"/>
      <c r="FO137" s="468"/>
      <c r="FP137" s="468"/>
      <c r="FQ137" s="468"/>
      <c r="FR137" s="468"/>
      <c r="FS137" s="468"/>
      <c r="FT137" s="468"/>
      <c r="FU137" s="468"/>
      <c r="FV137" s="468"/>
      <c r="FW137" s="468"/>
      <c r="FX137" s="468"/>
      <c r="FY137" s="468"/>
      <c r="FZ137" s="468"/>
      <c r="GA137" s="468"/>
      <c r="GB137" s="468"/>
      <c r="GC137" s="468"/>
      <c r="GD137" s="468"/>
      <c r="GE137" s="468"/>
      <c r="GF137" s="468"/>
      <c r="GG137" s="468"/>
      <c r="GH137" s="468"/>
      <c r="GI137" s="468"/>
      <c r="GJ137" s="468"/>
      <c r="GK137" s="468"/>
      <c r="GL137" s="468"/>
      <c r="GM137" s="468"/>
      <c r="GN137" s="468"/>
      <c r="GO137" s="468"/>
      <c r="GP137" s="468"/>
      <c r="GQ137" s="468"/>
      <c r="GR137" s="468"/>
      <c r="GS137" s="468"/>
      <c r="GT137" s="468"/>
      <c r="GU137" s="2135"/>
    </row>
    <row r="138" spans="1:203" ht="18.899999999999999" customHeight="1">
      <c r="A138" s="2135"/>
      <c r="B138" s="2135"/>
      <c r="C138" s="2136"/>
      <c r="D138" s="468"/>
      <c r="E138" s="468"/>
      <c r="F138" s="468"/>
      <c r="G138" s="468"/>
      <c r="H138" s="468"/>
      <c r="I138" s="468"/>
      <c r="J138" s="468"/>
      <c r="K138" s="468"/>
      <c r="L138" s="468"/>
      <c r="M138" s="468"/>
      <c r="N138" s="468"/>
      <c r="O138" s="468"/>
      <c r="P138" s="468"/>
      <c r="Q138" s="468"/>
      <c r="R138" s="468"/>
      <c r="S138" s="468"/>
      <c r="T138" s="468"/>
      <c r="U138" s="468"/>
      <c r="V138" s="468"/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468"/>
      <c r="AH138" s="468"/>
      <c r="AI138" s="468"/>
      <c r="AJ138" s="468"/>
      <c r="AK138" s="468"/>
      <c r="AL138" s="468"/>
      <c r="AM138" s="468"/>
      <c r="AN138" s="468"/>
      <c r="AO138" s="468"/>
      <c r="AP138" s="468"/>
      <c r="AQ138" s="468"/>
      <c r="AR138" s="468"/>
      <c r="AS138" s="468"/>
      <c r="AT138" s="468"/>
      <c r="AU138" s="468"/>
      <c r="AV138" s="468"/>
      <c r="AW138" s="468"/>
      <c r="AX138" s="468"/>
      <c r="AY138" s="468"/>
      <c r="AZ138" s="468"/>
      <c r="BA138" s="468"/>
      <c r="BB138" s="468"/>
      <c r="BC138" s="468"/>
      <c r="BD138" s="468"/>
      <c r="BE138" s="468"/>
      <c r="BF138" s="2135"/>
      <c r="BG138" s="2135"/>
      <c r="BH138" s="2135"/>
      <c r="BI138" s="2135"/>
      <c r="BJ138" s="2135"/>
      <c r="BK138" s="2135"/>
      <c r="BL138" s="2135"/>
      <c r="BM138" s="468"/>
      <c r="BN138" s="468"/>
      <c r="BO138" s="468"/>
      <c r="BP138" s="468"/>
      <c r="BQ138" s="468"/>
      <c r="BR138" s="468"/>
      <c r="BS138" s="468"/>
      <c r="BT138" s="468"/>
      <c r="BU138" s="468"/>
      <c r="BV138" s="468"/>
      <c r="BW138" s="468"/>
      <c r="BX138" s="468"/>
      <c r="BY138" s="2135"/>
      <c r="BZ138" s="2135"/>
      <c r="CA138" s="2135"/>
      <c r="CB138" s="2135"/>
      <c r="CC138" s="2135"/>
      <c r="CD138" s="2135"/>
      <c r="CE138" s="2135"/>
      <c r="CF138" s="2135"/>
      <c r="CG138" s="2135"/>
      <c r="CH138" s="468"/>
      <c r="CI138" s="468"/>
      <c r="CJ138" s="468"/>
      <c r="CK138" s="468"/>
      <c r="CL138" s="468"/>
      <c r="CM138" s="468"/>
      <c r="CN138" s="468"/>
      <c r="CO138" s="468"/>
      <c r="CP138" s="468"/>
      <c r="CQ138" s="468"/>
      <c r="CR138" s="468"/>
      <c r="CS138" s="468"/>
      <c r="CT138" s="468"/>
      <c r="CU138" s="468"/>
      <c r="CV138" s="468"/>
      <c r="CW138" s="468"/>
      <c r="CX138" s="468"/>
      <c r="CY138" s="468"/>
      <c r="CZ138" s="468"/>
      <c r="DA138" s="468"/>
      <c r="DB138" s="468"/>
      <c r="DC138" s="468"/>
      <c r="DD138" s="468"/>
      <c r="DE138" s="468"/>
      <c r="DF138" s="468"/>
      <c r="DG138" s="468"/>
      <c r="DH138" s="468"/>
      <c r="DI138" s="468"/>
      <c r="DJ138" s="468"/>
      <c r="DK138" s="468"/>
      <c r="DL138" s="468"/>
      <c r="DM138" s="468"/>
      <c r="DN138" s="468"/>
      <c r="DO138" s="468"/>
      <c r="DP138" s="468"/>
      <c r="DQ138" s="468"/>
      <c r="DR138" s="468"/>
      <c r="DS138" s="468"/>
      <c r="DT138" s="468"/>
      <c r="DU138" s="468"/>
      <c r="DV138" s="468"/>
      <c r="DW138" s="468"/>
      <c r="DX138" s="468"/>
      <c r="DY138" s="468"/>
      <c r="DZ138" s="468"/>
      <c r="EA138" s="468"/>
      <c r="EB138" s="468"/>
      <c r="EC138" s="468"/>
      <c r="ED138" s="468"/>
      <c r="EE138" s="468"/>
      <c r="EF138" s="468"/>
      <c r="EG138" s="468"/>
      <c r="EH138" s="468"/>
      <c r="EI138" s="471"/>
      <c r="EJ138" s="468"/>
      <c r="EK138" s="468"/>
      <c r="EL138" s="468"/>
      <c r="EM138" s="468"/>
      <c r="EN138" s="468"/>
      <c r="EO138" s="468"/>
      <c r="EP138" s="468"/>
      <c r="EQ138" s="468"/>
      <c r="ER138" s="468"/>
      <c r="ES138" s="468"/>
      <c r="ET138" s="468"/>
      <c r="EU138" s="468"/>
      <c r="EV138" s="468"/>
      <c r="EW138" s="468"/>
      <c r="EX138" s="468"/>
      <c r="EY138" s="468"/>
      <c r="EZ138" s="468"/>
      <c r="FA138" s="468"/>
      <c r="FB138" s="468"/>
      <c r="FC138" s="468"/>
      <c r="FD138" s="468"/>
      <c r="FE138" s="468"/>
      <c r="FF138" s="468"/>
      <c r="FG138" s="468"/>
      <c r="FH138" s="468"/>
      <c r="FI138" s="468"/>
      <c r="FJ138" s="468"/>
      <c r="FK138" s="468"/>
      <c r="FL138" s="468"/>
      <c r="FM138" s="2137"/>
      <c r="FN138" s="468"/>
      <c r="FO138" s="468"/>
      <c r="FP138" s="468"/>
      <c r="FQ138" s="468"/>
      <c r="FR138" s="468"/>
      <c r="FS138" s="468"/>
      <c r="FT138" s="468"/>
      <c r="FU138" s="468"/>
      <c r="FV138" s="468"/>
      <c r="FW138" s="468"/>
      <c r="FX138" s="468"/>
      <c r="FY138" s="468"/>
      <c r="FZ138" s="468"/>
      <c r="GA138" s="468"/>
      <c r="GB138" s="468"/>
      <c r="GC138" s="468"/>
      <c r="GD138" s="468"/>
      <c r="GE138" s="468"/>
      <c r="GF138" s="468"/>
      <c r="GG138" s="468"/>
      <c r="GH138" s="468"/>
      <c r="GI138" s="468"/>
      <c r="GJ138" s="468"/>
      <c r="GK138" s="468"/>
      <c r="GL138" s="468"/>
      <c r="GM138" s="468"/>
      <c r="GN138" s="468"/>
      <c r="GO138" s="468"/>
      <c r="GP138" s="468"/>
      <c r="GQ138" s="468"/>
      <c r="GR138" s="468"/>
      <c r="GS138" s="468"/>
      <c r="GT138" s="468"/>
      <c r="GU138" s="2135"/>
    </row>
    <row r="139" spans="1:203" ht="18.899999999999999" customHeight="1">
      <c r="A139" s="2135"/>
      <c r="B139" s="2135"/>
      <c r="C139" s="2136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468"/>
      <c r="U139" s="468"/>
      <c r="V139" s="468"/>
      <c r="W139" s="468"/>
      <c r="X139" s="468"/>
      <c r="Y139" s="468"/>
      <c r="Z139" s="468"/>
      <c r="AA139" s="468"/>
      <c r="AB139" s="468"/>
      <c r="AC139" s="468"/>
      <c r="AD139" s="468"/>
      <c r="AE139" s="468"/>
      <c r="AF139" s="468"/>
      <c r="AG139" s="468"/>
      <c r="AH139" s="468"/>
      <c r="AI139" s="468"/>
      <c r="AJ139" s="468"/>
      <c r="AK139" s="468"/>
      <c r="AL139" s="468"/>
      <c r="AM139" s="468"/>
      <c r="AN139" s="468"/>
      <c r="AO139" s="468"/>
      <c r="AP139" s="468"/>
      <c r="AQ139" s="468"/>
      <c r="AR139" s="468"/>
      <c r="AS139" s="468"/>
      <c r="AT139" s="468"/>
      <c r="AU139" s="468"/>
      <c r="AV139" s="468"/>
      <c r="AW139" s="468"/>
      <c r="AX139" s="468"/>
      <c r="AY139" s="468"/>
      <c r="AZ139" s="468"/>
      <c r="BA139" s="468"/>
      <c r="BB139" s="468"/>
      <c r="BC139" s="468"/>
      <c r="BD139" s="468"/>
      <c r="BE139" s="468"/>
      <c r="BF139" s="2135"/>
      <c r="BG139" s="2135"/>
      <c r="BH139" s="2135"/>
      <c r="BI139" s="2135"/>
      <c r="BJ139" s="2135"/>
      <c r="BK139" s="2135"/>
      <c r="BL139" s="2135"/>
      <c r="BM139" s="468"/>
      <c r="BN139" s="468"/>
      <c r="BO139" s="468"/>
      <c r="BP139" s="468"/>
      <c r="BQ139" s="468"/>
      <c r="BR139" s="468"/>
      <c r="BS139" s="468"/>
      <c r="BT139" s="468"/>
      <c r="BU139" s="468"/>
      <c r="BV139" s="468"/>
      <c r="BW139" s="468"/>
      <c r="BX139" s="468"/>
      <c r="BY139" s="2135"/>
      <c r="BZ139" s="2135"/>
      <c r="CA139" s="2135"/>
      <c r="CB139" s="2135"/>
      <c r="CC139" s="2135"/>
      <c r="CD139" s="2135"/>
      <c r="CE139" s="2135"/>
      <c r="CF139" s="2135"/>
      <c r="CG139" s="2135"/>
      <c r="CH139" s="468"/>
      <c r="CI139" s="468"/>
      <c r="CJ139" s="468"/>
      <c r="CK139" s="468"/>
      <c r="CL139" s="468"/>
      <c r="CM139" s="468"/>
      <c r="CN139" s="468"/>
      <c r="CO139" s="468"/>
      <c r="CP139" s="468"/>
      <c r="CQ139" s="468"/>
      <c r="CR139" s="468"/>
      <c r="CS139" s="468"/>
      <c r="CT139" s="468"/>
      <c r="CU139" s="468"/>
      <c r="CV139" s="468"/>
      <c r="CW139" s="468"/>
      <c r="CX139" s="468"/>
      <c r="CY139" s="468"/>
      <c r="CZ139" s="468"/>
      <c r="DA139" s="468"/>
      <c r="DB139" s="468"/>
      <c r="DC139" s="468"/>
      <c r="DD139" s="468"/>
      <c r="DE139" s="468"/>
      <c r="DF139" s="468"/>
      <c r="DG139" s="468"/>
      <c r="DH139" s="468"/>
      <c r="DI139" s="468"/>
      <c r="DJ139" s="468"/>
      <c r="DK139" s="468"/>
      <c r="DL139" s="468"/>
      <c r="DM139" s="468"/>
      <c r="DN139" s="468"/>
      <c r="DO139" s="468"/>
      <c r="DP139" s="468"/>
      <c r="DQ139" s="468"/>
      <c r="DR139" s="468"/>
      <c r="DS139" s="468"/>
      <c r="DT139" s="468"/>
      <c r="DU139" s="468"/>
      <c r="DV139" s="468"/>
      <c r="DW139" s="468"/>
      <c r="DX139" s="468"/>
      <c r="DY139" s="468"/>
      <c r="DZ139" s="468"/>
      <c r="EA139" s="468"/>
      <c r="EB139" s="468"/>
      <c r="EC139" s="468"/>
      <c r="ED139" s="468"/>
      <c r="EE139" s="468"/>
      <c r="EF139" s="468"/>
      <c r="EG139" s="468"/>
      <c r="EH139" s="468"/>
      <c r="EI139" s="471"/>
      <c r="EJ139" s="468"/>
      <c r="EK139" s="468"/>
      <c r="EL139" s="468"/>
      <c r="EM139" s="468"/>
      <c r="EN139" s="468"/>
      <c r="EO139" s="468"/>
      <c r="EP139" s="468"/>
      <c r="EQ139" s="468"/>
      <c r="ER139" s="468"/>
      <c r="ES139" s="468"/>
      <c r="ET139" s="468"/>
      <c r="EU139" s="468"/>
      <c r="EV139" s="468"/>
      <c r="EW139" s="468"/>
      <c r="EX139" s="468"/>
      <c r="EY139" s="468"/>
      <c r="EZ139" s="468"/>
      <c r="FA139" s="468"/>
      <c r="FB139" s="468"/>
      <c r="FC139" s="468"/>
      <c r="FD139" s="468"/>
      <c r="FE139" s="468"/>
      <c r="FF139" s="468"/>
      <c r="FG139" s="468"/>
      <c r="FH139" s="468"/>
      <c r="FI139" s="468"/>
      <c r="FJ139" s="468"/>
      <c r="FK139" s="468"/>
      <c r="FL139" s="468"/>
      <c r="FM139" s="2137"/>
      <c r="FN139" s="468"/>
      <c r="FO139" s="468"/>
      <c r="FP139" s="468"/>
      <c r="FQ139" s="468"/>
      <c r="FR139" s="468"/>
      <c r="FS139" s="468"/>
      <c r="FT139" s="468"/>
      <c r="FU139" s="468"/>
      <c r="FV139" s="468"/>
      <c r="FW139" s="468"/>
      <c r="FX139" s="468"/>
      <c r="FY139" s="468"/>
      <c r="FZ139" s="468"/>
      <c r="GA139" s="468"/>
      <c r="GB139" s="468"/>
      <c r="GC139" s="468"/>
      <c r="GD139" s="468"/>
      <c r="GE139" s="468"/>
      <c r="GF139" s="468"/>
      <c r="GG139" s="468"/>
      <c r="GH139" s="468"/>
      <c r="GI139" s="468"/>
      <c r="GJ139" s="468"/>
      <c r="GK139" s="468"/>
      <c r="GL139" s="468"/>
      <c r="GM139" s="468"/>
      <c r="GN139" s="468"/>
      <c r="GO139" s="468"/>
      <c r="GP139" s="468"/>
      <c r="GQ139" s="468"/>
      <c r="GR139" s="468"/>
      <c r="GS139" s="468"/>
      <c r="GT139" s="468"/>
      <c r="GU139" s="2135"/>
    </row>
    <row r="140" spans="1:203" ht="18.899999999999999" customHeight="1">
      <c r="A140" s="2135"/>
      <c r="B140" s="2135"/>
      <c r="C140" s="2136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468"/>
      <c r="U140" s="468"/>
      <c r="V140" s="468"/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468"/>
      <c r="AI140" s="468"/>
      <c r="AJ140" s="468"/>
      <c r="AK140" s="468"/>
      <c r="AL140" s="468"/>
      <c r="AM140" s="468"/>
      <c r="AN140" s="468"/>
      <c r="AO140" s="468"/>
      <c r="AP140" s="468"/>
      <c r="AQ140" s="468"/>
      <c r="AR140" s="468"/>
      <c r="AS140" s="468"/>
      <c r="AT140" s="468"/>
      <c r="AU140" s="468"/>
      <c r="AV140" s="468"/>
      <c r="AW140" s="468"/>
      <c r="AX140" s="468"/>
      <c r="AY140" s="468"/>
      <c r="AZ140" s="468"/>
      <c r="BA140" s="468"/>
      <c r="BB140" s="468"/>
      <c r="BC140" s="468"/>
      <c r="BD140" s="468"/>
      <c r="BE140" s="468"/>
      <c r="BF140" s="2135"/>
      <c r="BG140" s="2135"/>
      <c r="BH140" s="2135"/>
      <c r="BI140" s="2135"/>
      <c r="BJ140" s="2135"/>
      <c r="BK140" s="2135"/>
      <c r="BL140" s="2135"/>
      <c r="BM140" s="468"/>
      <c r="BN140" s="468"/>
      <c r="BO140" s="468"/>
      <c r="BP140" s="468"/>
      <c r="BQ140" s="468"/>
      <c r="BR140" s="468"/>
      <c r="BS140" s="468"/>
      <c r="BT140" s="468"/>
      <c r="BU140" s="468"/>
      <c r="BV140" s="468"/>
      <c r="BW140" s="468"/>
      <c r="BX140" s="468"/>
      <c r="BY140" s="2135"/>
      <c r="BZ140" s="2135"/>
      <c r="CA140" s="2135"/>
      <c r="CB140" s="2135"/>
      <c r="CC140" s="2135"/>
      <c r="CD140" s="2135"/>
      <c r="CE140" s="2135"/>
      <c r="CF140" s="2135"/>
      <c r="CG140" s="2135"/>
      <c r="CH140" s="468"/>
      <c r="CI140" s="468"/>
      <c r="CJ140" s="468"/>
      <c r="CK140" s="468"/>
      <c r="CL140" s="468"/>
      <c r="CM140" s="468"/>
      <c r="CN140" s="468"/>
      <c r="CO140" s="468"/>
      <c r="CP140" s="468"/>
      <c r="CQ140" s="468"/>
      <c r="CR140" s="468"/>
      <c r="CS140" s="468"/>
      <c r="CT140" s="468"/>
      <c r="CU140" s="468"/>
      <c r="CV140" s="468"/>
      <c r="CW140" s="468"/>
      <c r="CX140" s="468"/>
      <c r="CY140" s="468"/>
      <c r="CZ140" s="468"/>
      <c r="DA140" s="468"/>
      <c r="DB140" s="468"/>
      <c r="DC140" s="468"/>
      <c r="DD140" s="468"/>
      <c r="DE140" s="468"/>
      <c r="DF140" s="468"/>
      <c r="DG140" s="468"/>
      <c r="DH140" s="468"/>
      <c r="DI140" s="468"/>
      <c r="DJ140" s="468"/>
      <c r="DK140" s="468"/>
      <c r="DL140" s="468"/>
      <c r="DM140" s="468"/>
      <c r="DN140" s="468"/>
      <c r="DO140" s="468"/>
      <c r="DP140" s="468"/>
      <c r="DQ140" s="468"/>
      <c r="DR140" s="468"/>
      <c r="DS140" s="468"/>
      <c r="DT140" s="468"/>
      <c r="DU140" s="468"/>
      <c r="DV140" s="468"/>
      <c r="DW140" s="468"/>
      <c r="DX140" s="468"/>
      <c r="DY140" s="468"/>
      <c r="DZ140" s="468"/>
      <c r="EA140" s="468"/>
      <c r="EB140" s="468"/>
      <c r="EC140" s="468"/>
      <c r="ED140" s="468"/>
      <c r="EE140" s="468"/>
      <c r="EF140" s="468"/>
      <c r="EG140" s="468"/>
      <c r="EH140" s="468"/>
      <c r="EI140" s="471"/>
      <c r="EJ140" s="468"/>
      <c r="EK140" s="468"/>
      <c r="EL140" s="468"/>
      <c r="EM140" s="468"/>
      <c r="EN140" s="468"/>
      <c r="EO140" s="468"/>
      <c r="EP140" s="468"/>
      <c r="EQ140" s="468"/>
      <c r="ER140" s="468"/>
      <c r="ES140" s="468"/>
      <c r="ET140" s="468"/>
      <c r="EU140" s="468"/>
      <c r="EV140" s="468"/>
      <c r="EW140" s="468"/>
      <c r="EX140" s="468"/>
      <c r="EY140" s="468"/>
      <c r="EZ140" s="468"/>
      <c r="FA140" s="468"/>
      <c r="FB140" s="468"/>
      <c r="FC140" s="468"/>
      <c r="FD140" s="468"/>
      <c r="FE140" s="468"/>
      <c r="FF140" s="468"/>
      <c r="FG140" s="468"/>
      <c r="FH140" s="468"/>
      <c r="FI140" s="468"/>
      <c r="FJ140" s="468"/>
      <c r="FK140" s="468"/>
      <c r="FL140" s="468"/>
      <c r="FM140" s="2137"/>
      <c r="FN140" s="468"/>
      <c r="FO140" s="468"/>
      <c r="FP140" s="468"/>
      <c r="FQ140" s="468"/>
      <c r="FR140" s="468"/>
      <c r="FS140" s="468"/>
      <c r="FT140" s="468"/>
      <c r="FU140" s="468"/>
      <c r="FV140" s="468"/>
      <c r="FW140" s="468"/>
      <c r="FX140" s="468"/>
      <c r="FY140" s="468"/>
      <c r="FZ140" s="468"/>
      <c r="GA140" s="468"/>
      <c r="GB140" s="468"/>
      <c r="GC140" s="468"/>
      <c r="GD140" s="468"/>
      <c r="GE140" s="468"/>
      <c r="GF140" s="468"/>
      <c r="GG140" s="468"/>
      <c r="GH140" s="468"/>
      <c r="GI140" s="468"/>
      <c r="GJ140" s="468"/>
      <c r="GK140" s="468"/>
      <c r="GL140" s="468"/>
      <c r="GM140" s="468"/>
      <c r="GN140" s="468"/>
      <c r="GO140" s="468"/>
      <c r="GP140" s="468"/>
      <c r="GQ140" s="468"/>
      <c r="GR140" s="468"/>
      <c r="GS140" s="468"/>
      <c r="GT140" s="468"/>
      <c r="GU140" s="2135"/>
    </row>
    <row r="141" spans="1:203" ht="18.899999999999999" customHeight="1">
      <c r="A141" s="2135"/>
      <c r="B141" s="2135"/>
      <c r="C141" s="2136"/>
      <c r="D141" s="468"/>
      <c r="E141" s="468"/>
      <c r="F141" s="468"/>
      <c r="G141" s="468"/>
      <c r="H141" s="468"/>
      <c r="I141" s="468"/>
      <c r="J141" s="468"/>
      <c r="K141" s="468"/>
      <c r="L141" s="468"/>
      <c r="M141" s="468"/>
      <c r="N141" s="468"/>
      <c r="O141" s="468"/>
      <c r="P141" s="468"/>
      <c r="Q141" s="468"/>
      <c r="R141" s="468"/>
      <c r="S141" s="468"/>
      <c r="T141" s="468"/>
      <c r="U141" s="468"/>
      <c r="V141" s="468"/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468"/>
      <c r="AH141" s="468"/>
      <c r="AI141" s="468"/>
      <c r="AJ141" s="468"/>
      <c r="AK141" s="468"/>
      <c r="AL141" s="468"/>
      <c r="AM141" s="468"/>
      <c r="AN141" s="468"/>
      <c r="AO141" s="468"/>
      <c r="AP141" s="468"/>
      <c r="AQ141" s="468"/>
      <c r="AR141" s="468"/>
      <c r="AS141" s="468"/>
      <c r="AT141" s="468"/>
      <c r="AU141" s="468"/>
      <c r="AV141" s="468"/>
      <c r="AW141" s="468"/>
      <c r="AX141" s="468"/>
      <c r="AY141" s="468"/>
      <c r="AZ141" s="468"/>
      <c r="BA141" s="468"/>
      <c r="BB141" s="468"/>
      <c r="BC141" s="468"/>
      <c r="BD141" s="468"/>
      <c r="BE141" s="468"/>
      <c r="BF141" s="2135"/>
      <c r="BG141" s="2135"/>
      <c r="BH141" s="2135"/>
      <c r="BI141" s="2135"/>
      <c r="BJ141" s="2135"/>
      <c r="BK141" s="2135"/>
      <c r="BL141" s="2135"/>
      <c r="BM141" s="468"/>
      <c r="BN141" s="468"/>
      <c r="BO141" s="468"/>
      <c r="BP141" s="468"/>
      <c r="BQ141" s="468"/>
      <c r="BR141" s="468"/>
      <c r="BS141" s="468"/>
      <c r="BT141" s="468"/>
      <c r="BU141" s="468"/>
      <c r="BV141" s="468"/>
      <c r="BW141" s="468"/>
      <c r="BX141" s="468"/>
      <c r="BY141" s="2135"/>
      <c r="BZ141" s="2135"/>
      <c r="CA141" s="2135"/>
      <c r="CB141" s="2135"/>
      <c r="CC141" s="2135"/>
      <c r="CD141" s="2135"/>
      <c r="CE141" s="2135"/>
      <c r="CF141" s="2135"/>
      <c r="CG141" s="2135"/>
      <c r="CH141" s="468"/>
      <c r="CI141" s="468"/>
      <c r="CJ141" s="468"/>
      <c r="CK141" s="468"/>
      <c r="CL141" s="468"/>
      <c r="CM141" s="468"/>
      <c r="CN141" s="468"/>
      <c r="CO141" s="468"/>
      <c r="CP141" s="468"/>
      <c r="CQ141" s="468"/>
      <c r="CR141" s="468"/>
      <c r="CS141" s="468"/>
      <c r="CT141" s="468"/>
      <c r="CU141" s="468"/>
      <c r="CV141" s="468"/>
      <c r="CW141" s="468"/>
      <c r="CX141" s="468"/>
      <c r="CY141" s="468"/>
      <c r="CZ141" s="468"/>
      <c r="DA141" s="468"/>
      <c r="DB141" s="468"/>
      <c r="DC141" s="468"/>
      <c r="DD141" s="468"/>
      <c r="DE141" s="468"/>
      <c r="DF141" s="468"/>
      <c r="DG141" s="468"/>
      <c r="DH141" s="468"/>
      <c r="DI141" s="468"/>
      <c r="DJ141" s="468"/>
      <c r="DK141" s="468"/>
      <c r="DL141" s="468"/>
      <c r="DM141" s="468"/>
      <c r="DN141" s="468"/>
      <c r="DO141" s="468"/>
      <c r="DP141" s="468"/>
      <c r="DQ141" s="468"/>
      <c r="DR141" s="468"/>
      <c r="DS141" s="468"/>
      <c r="DT141" s="468"/>
      <c r="DU141" s="468"/>
      <c r="DV141" s="468"/>
      <c r="DW141" s="468"/>
      <c r="DX141" s="468"/>
      <c r="DY141" s="468"/>
      <c r="DZ141" s="468"/>
      <c r="EA141" s="468"/>
      <c r="EB141" s="468"/>
      <c r="EC141" s="468"/>
      <c r="ED141" s="468"/>
      <c r="EE141" s="468"/>
      <c r="EF141" s="468"/>
      <c r="EG141" s="468"/>
      <c r="EH141" s="468"/>
      <c r="EI141" s="471"/>
      <c r="EJ141" s="468"/>
      <c r="EK141" s="468"/>
      <c r="EL141" s="468"/>
      <c r="EM141" s="468"/>
      <c r="EN141" s="468"/>
      <c r="EO141" s="468"/>
      <c r="EP141" s="468"/>
      <c r="EQ141" s="468"/>
      <c r="ER141" s="468"/>
      <c r="ES141" s="468"/>
      <c r="ET141" s="468"/>
      <c r="EU141" s="468"/>
      <c r="EV141" s="468"/>
      <c r="EW141" s="468"/>
      <c r="EX141" s="468"/>
      <c r="EY141" s="468"/>
      <c r="EZ141" s="468"/>
      <c r="FA141" s="468"/>
      <c r="FB141" s="468"/>
      <c r="FC141" s="468"/>
      <c r="FD141" s="468"/>
      <c r="FE141" s="468"/>
      <c r="FF141" s="468"/>
      <c r="FG141" s="468"/>
      <c r="FH141" s="468"/>
      <c r="FI141" s="468"/>
      <c r="FJ141" s="468"/>
      <c r="FK141" s="468"/>
      <c r="FL141" s="468"/>
      <c r="FM141" s="2137"/>
      <c r="FN141" s="468"/>
      <c r="FO141" s="468"/>
      <c r="FP141" s="468"/>
      <c r="FQ141" s="468"/>
      <c r="FR141" s="468"/>
      <c r="FS141" s="468"/>
      <c r="FT141" s="468"/>
      <c r="FU141" s="468"/>
      <c r="FV141" s="468"/>
      <c r="FW141" s="468"/>
      <c r="FX141" s="468"/>
      <c r="FY141" s="468"/>
      <c r="FZ141" s="468"/>
      <c r="GA141" s="468"/>
      <c r="GB141" s="468"/>
      <c r="GC141" s="468"/>
      <c r="GD141" s="468"/>
      <c r="GE141" s="468"/>
      <c r="GF141" s="468"/>
      <c r="GG141" s="468"/>
      <c r="GH141" s="468"/>
      <c r="GI141" s="468"/>
      <c r="GJ141" s="468"/>
      <c r="GK141" s="468"/>
      <c r="GL141" s="468"/>
      <c r="GM141" s="468"/>
      <c r="GN141" s="468"/>
      <c r="GO141" s="468"/>
      <c r="GP141" s="468"/>
      <c r="GQ141" s="468"/>
      <c r="GR141" s="468"/>
      <c r="GS141" s="468"/>
      <c r="GT141" s="468"/>
      <c r="GU141" s="2135"/>
    </row>
    <row r="142" spans="1:203" ht="18.899999999999999" customHeight="1">
      <c r="A142" s="2135"/>
      <c r="B142" s="2135"/>
      <c r="C142" s="2136"/>
      <c r="D142" s="468"/>
      <c r="E142" s="468"/>
      <c r="F142" s="468"/>
      <c r="G142" s="468"/>
      <c r="H142" s="468"/>
      <c r="I142" s="468"/>
      <c r="J142" s="468"/>
      <c r="K142" s="468"/>
      <c r="L142" s="468"/>
      <c r="M142" s="468"/>
      <c r="N142" s="468"/>
      <c r="O142" s="468"/>
      <c r="P142" s="468"/>
      <c r="Q142" s="468"/>
      <c r="R142" s="468"/>
      <c r="S142" s="468"/>
      <c r="T142" s="468"/>
      <c r="U142" s="468"/>
      <c r="V142" s="468"/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468"/>
      <c r="AH142" s="468"/>
      <c r="AI142" s="468"/>
      <c r="AJ142" s="468"/>
      <c r="AK142" s="468"/>
      <c r="AL142" s="468"/>
      <c r="AM142" s="468"/>
      <c r="AN142" s="468"/>
      <c r="AO142" s="468"/>
      <c r="AP142" s="468"/>
      <c r="AQ142" s="468"/>
      <c r="AR142" s="468"/>
      <c r="AS142" s="468"/>
      <c r="AT142" s="468"/>
      <c r="AU142" s="468"/>
      <c r="AV142" s="468"/>
      <c r="AW142" s="468"/>
      <c r="AX142" s="468"/>
      <c r="AY142" s="468"/>
      <c r="AZ142" s="468"/>
      <c r="BA142" s="468"/>
      <c r="BB142" s="468"/>
      <c r="BC142" s="468"/>
      <c r="BD142" s="468"/>
      <c r="BE142" s="468"/>
      <c r="BF142" s="2135"/>
      <c r="BG142" s="2135"/>
      <c r="BH142" s="2135"/>
      <c r="BI142" s="2135"/>
      <c r="BJ142" s="2135"/>
      <c r="BK142" s="2135"/>
      <c r="BL142" s="2135"/>
      <c r="BM142" s="468"/>
      <c r="BN142" s="468"/>
      <c r="BO142" s="468"/>
      <c r="BP142" s="468"/>
      <c r="BQ142" s="468"/>
      <c r="BR142" s="468"/>
      <c r="BS142" s="468"/>
      <c r="BT142" s="468"/>
      <c r="BU142" s="468"/>
      <c r="BV142" s="468"/>
      <c r="BW142" s="468"/>
      <c r="BX142" s="468"/>
      <c r="BY142" s="2135"/>
      <c r="BZ142" s="2135"/>
      <c r="CA142" s="2135"/>
      <c r="CB142" s="2135"/>
      <c r="CC142" s="2135"/>
      <c r="CD142" s="2135"/>
      <c r="CE142" s="2135"/>
      <c r="CF142" s="2135"/>
      <c r="CG142" s="2135"/>
      <c r="CH142" s="468"/>
      <c r="CI142" s="468"/>
      <c r="CJ142" s="468"/>
      <c r="CK142" s="468"/>
      <c r="CL142" s="468"/>
      <c r="CM142" s="468"/>
      <c r="CN142" s="468"/>
      <c r="CO142" s="468"/>
      <c r="CP142" s="468"/>
      <c r="CQ142" s="468"/>
      <c r="CR142" s="468"/>
      <c r="CS142" s="468"/>
      <c r="CT142" s="468"/>
      <c r="CU142" s="468"/>
      <c r="CV142" s="468"/>
      <c r="CW142" s="468"/>
      <c r="CX142" s="468"/>
      <c r="CY142" s="468"/>
      <c r="CZ142" s="468"/>
      <c r="DA142" s="468"/>
      <c r="DB142" s="468"/>
      <c r="DC142" s="468"/>
      <c r="DD142" s="468"/>
      <c r="DE142" s="468"/>
      <c r="DF142" s="468"/>
      <c r="DG142" s="468"/>
      <c r="DH142" s="468"/>
      <c r="DI142" s="468"/>
      <c r="DJ142" s="468"/>
      <c r="DK142" s="468"/>
      <c r="DL142" s="468"/>
      <c r="DM142" s="468"/>
      <c r="DN142" s="468"/>
      <c r="DO142" s="468"/>
      <c r="DP142" s="468"/>
      <c r="DQ142" s="468"/>
      <c r="DR142" s="468"/>
      <c r="DS142" s="468"/>
      <c r="DT142" s="468"/>
      <c r="DU142" s="468"/>
      <c r="DV142" s="468"/>
      <c r="DW142" s="468"/>
      <c r="DX142" s="468"/>
      <c r="DY142" s="468"/>
      <c r="DZ142" s="468"/>
      <c r="EA142" s="468"/>
      <c r="EB142" s="468"/>
      <c r="EC142" s="468"/>
      <c r="ED142" s="468"/>
      <c r="EE142" s="468"/>
      <c r="EF142" s="468"/>
      <c r="EG142" s="468"/>
      <c r="EH142" s="468"/>
      <c r="EI142" s="471"/>
      <c r="EJ142" s="468"/>
      <c r="EK142" s="468"/>
      <c r="EL142" s="468"/>
      <c r="EM142" s="468"/>
      <c r="EN142" s="468"/>
      <c r="EO142" s="468"/>
      <c r="EP142" s="468"/>
      <c r="EQ142" s="468"/>
      <c r="ER142" s="468"/>
      <c r="ES142" s="468"/>
      <c r="ET142" s="468"/>
      <c r="EU142" s="468"/>
      <c r="EV142" s="468"/>
      <c r="EW142" s="468"/>
      <c r="EX142" s="468"/>
      <c r="EY142" s="468"/>
      <c r="EZ142" s="468"/>
      <c r="FA142" s="468"/>
      <c r="FB142" s="468"/>
      <c r="FC142" s="468"/>
      <c r="FD142" s="468"/>
      <c r="FE142" s="468"/>
      <c r="FF142" s="468"/>
      <c r="FG142" s="468"/>
      <c r="FH142" s="468"/>
      <c r="FI142" s="468"/>
      <c r="FJ142" s="468"/>
      <c r="FK142" s="468"/>
      <c r="FL142" s="468"/>
      <c r="FM142" s="2137"/>
      <c r="FN142" s="468"/>
      <c r="FO142" s="468"/>
      <c r="FP142" s="468"/>
      <c r="FQ142" s="468"/>
      <c r="FR142" s="468"/>
      <c r="FS142" s="468"/>
      <c r="FT142" s="468"/>
      <c r="FU142" s="468"/>
      <c r="FV142" s="468"/>
      <c r="FW142" s="468"/>
      <c r="FX142" s="468"/>
      <c r="FY142" s="468"/>
      <c r="FZ142" s="468"/>
      <c r="GA142" s="468"/>
      <c r="GB142" s="468"/>
      <c r="GC142" s="468"/>
      <c r="GD142" s="468"/>
      <c r="GE142" s="468"/>
      <c r="GF142" s="468"/>
      <c r="GG142" s="468"/>
      <c r="GH142" s="468"/>
      <c r="GI142" s="468"/>
      <c r="GJ142" s="468"/>
      <c r="GK142" s="468"/>
      <c r="GL142" s="468"/>
      <c r="GM142" s="468"/>
      <c r="GN142" s="468"/>
      <c r="GO142" s="468"/>
      <c r="GP142" s="468"/>
      <c r="GQ142" s="468"/>
      <c r="GR142" s="468"/>
      <c r="GS142" s="468"/>
      <c r="GT142" s="468"/>
      <c r="GU142" s="2135"/>
    </row>
    <row r="143" spans="1:203" ht="18.899999999999999" customHeight="1">
      <c r="A143" s="2135"/>
      <c r="B143" s="2135"/>
      <c r="C143" s="2136"/>
      <c r="D143" s="468"/>
      <c r="E143" s="468"/>
      <c r="F143" s="468"/>
      <c r="G143" s="468"/>
      <c r="H143" s="468"/>
      <c r="I143" s="468"/>
      <c r="J143" s="468"/>
      <c r="K143" s="468"/>
      <c r="L143" s="468"/>
      <c r="M143" s="468"/>
      <c r="N143" s="468"/>
      <c r="O143" s="468"/>
      <c r="P143" s="468"/>
      <c r="Q143" s="468"/>
      <c r="R143" s="468"/>
      <c r="S143" s="468"/>
      <c r="T143" s="468"/>
      <c r="U143" s="468"/>
      <c r="V143" s="468"/>
      <c r="W143" s="468"/>
      <c r="X143" s="468"/>
      <c r="Y143" s="468"/>
      <c r="Z143" s="468"/>
      <c r="AA143" s="468"/>
      <c r="AB143" s="468"/>
      <c r="AC143" s="468"/>
      <c r="AD143" s="468"/>
      <c r="AE143" s="468"/>
      <c r="AF143" s="468"/>
      <c r="AG143" s="468"/>
      <c r="AH143" s="468"/>
      <c r="AI143" s="468"/>
      <c r="AJ143" s="468"/>
      <c r="AK143" s="468"/>
      <c r="AL143" s="468"/>
      <c r="AM143" s="468"/>
      <c r="AN143" s="468"/>
      <c r="AO143" s="468"/>
      <c r="AP143" s="468"/>
      <c r="AQ143" s="468"/>
      <c r="AR143" s="468"/>
      <c r="AS143" s="468"/>
      <c r="AT143" s="468"/>
      <c r="AU143" s="468"/>
      <c r="AV143" s="468"/>
      <c r="AW143" s="468"/>
      <c r="AX143" s="468"/>
      <c r="AY143" s="468"/>
      <c r="AZ143" s="468"/>
      <c r="BA143" s="468"/>
      <c r="BB143" s="468"/>
      <c r="BC143" s="468"/>
      <c r="BD143" s="468"/>
      <c r="BE143" s="468"/>
      <c r="BF143" s="2135"/>
      <c r="BG143" s="2135"/>
      <c r="BH143" s="2135"/>
      <c r="BI143" s="2135"/>
      <c r="BJ143" s="2135"/>
      <c r="BK143" s="2135"/>
      <c r="BL143" s="2135"/>
      <c r="BM143" s="468"/>
      <c r="BN143" s="468"/>
      <c r="BO143" s="468"/>
      <c r="BP143" s="468"/>
      <c r="BQ143" s="468"/>
      <c r="BR143" s="468"/>
      <c r="BS143" s="468"/>
      <c r="BT143" s="468"/>
      <c r="BU143" s="468"/>
      <c r="BV143" s="468"/>
      <c r="BW143" s="468"/>
      <c r="BX143" s="468"/>
      <c r="BY143" s="2135"/>
      <c r="BZ143" s="2135"/>
      <c r="CA143" s="2135"/>
      <c r="CB143" s="2135"/>
      <c r="CC143" s="2135"/>
      <c r="CD143" s="2135"/>
      <c r="CE143" s="2135"/>
      <c r="CF143" s="2135"/>
      <c r="CG143" s="2135"/>
      <c r="CH143" s="468"/>
      <c r="CI143" s="468"/>
      <c r="CJ143" s="468"/>
      <c r="CK143" s="468"/>
      <c r="CL143" s="468"/>
      <c r="CM143" s="468"/>
      <c r="CN143" s="468"/>
      <c r="CO143" s="468"/>
      <c r="CP143" s="468"/>
      <c r="CQ143" s="468"/>
      <c r="CR143" s="468"/>
      <c r="CS143" s="468"/>
      <c r="CT143" s="468"/>
      <c r="CU143" s="468"/>
      <c r="CV143" s="468"/>
      <c r="CW143" s="468"/>
      <c r="CX143" s="468"/>
      <c r="CY143" s="468"/>
      <c r="CZ143" s="468"/>
      <c r="DA143" s="468"/>
      <c r="DB143" s="468"/>
      <c r="DC143" s="468"/>
      <c r="DD143" s="468"/>
      <c r="DE143" s="468"/>
      <c r="DF143" s="468"/>
      <c r="DG143" s="468"/>
      <c r="DH143" s="468"/>
      <c r="DI143" s="468"/>
      <c r="DJ143" s="468"/>
      <c r="DK143" s="468"/>
      <c r="DL143" s="468"/>
      <c r="DM143" s="468"/>
      <c r="DN143" s="468"/>
      <c r="DO143" s="468"/>
      <c r="DP143" s="468"/>
      <c r="DQ143" s="468"/>
      <c r="DR143" s="468"/>
      <c r="DS143" s="468"/>
      <c r="DT143" s="468"/>
      <c r="DU143" s="468"/>
      <c r="DV143" s="468"/>
      <c r="DW143" s="468"/>
      <c r="DX143" s="468"/>
      <c r="DY143" s="468"/>
      <c r="DZ143" s="468"/>
      <c r="EA143" s="468"/>
      <c r="EB143" s="468"/>
      <c r="EC143" s="468"/>
      <c r="ED143" s="468"/>
      <c r="EE143" s="468"/>
      <c r="EF143" s="468"/>
      <c r="EG143" s="468"/>
      <c r="EH143" s="468"/>
      <c r="EI143" s="471"/>
      <c r="EJ143" s="468"/>
      <c r="EK143" s="468"/>
      <c r="EL143" s="468"/>
      <c r="EM143" s="468"/>
      <c r="EN143" s="468"/>
      <c r="EO143" s="468"/>
      <c r="EP143" s="468"/>
      <c r="EQ143" s="468"/>
      <c r="ER143" s="468"/>
      <c r="ES143" s="468"/>
      <c r="ET143" s="468"/>
      <c r="EU143" s="468"/>
      <c r="EV143" s="468"/>
      <c r="EW143" s="468"/>
      <c r="EX143" s="468"/>
      <c r="EY143" s="468"/>
      <c r="EZ143" s="468"/>
      <c r="FA143" s="468"/>
      <c r="FB143" s="468"/>
      <c r="FC143" s="468"/>
      <c r="FD143" s="468"/>
      <c r="FE143" s="468"/>
      <c r="FF143" s="468"/>
      <c r="FG143" s="468"/>
      <c r="FH143" s="468"/>
      <c r="FI143" s="468"/>
      <c r="FJ143" s="468"/>
      <c r="FK143" s="468"/>
      <c r="FL143" s="468"/>
      <c r="FM143" s="2137"/>
      <c r="FN143" s="468"/>
      <c r="FO143" s="468"/>
      <c r="FP143" s="468"/>
      <c r="FQ143" s="468"/>
      <c r="FR143" s="468"/>
      <c r="FS143" s="468"/>
      <c r="FT143" s="468"/>
      <c r="FU143" s="468"/>
      <c r="FV143" s="468"/>
      <c r="FW143" s="468"/>
      <c r="FX143" s="468"/>
      <c r="FY143" s="468"/>
      <c r="FZ143" s="468"/>
      <c r="GA143" s="468"/>
      <c r="GB143" s="468"/>
      <c r="GC143" s="468"/>
      <c r="GD143" s="468"/>
      <c r="GE143" s="468"/>
      <c r="GF143" s="468"/>
      <c r="GG143" s="468"/>
      <c r="GH143" s="468"/>
      <c r="GI143" s="468"/>
      <c r="GJ143" s="468"/>
      <c r="GK143" s="468"/>
      <c r="GL143" s="468"/>
      <c r="GM143" s="468"/>
      <c r="GN143" s="468"/>
      <c r="GO143" s="468"/>
      <c r="GP143" s="468"/>
      <c r="GQ143" s="468"/>
      <c r="GR143" s="468"/>
      <c r="GS143" s="468"/>
      <c r="GT143" s="468"/>
      <c r="GU143" s="2135"/>
    </row>
    <row r="144" spans="1:203" ht="18.899999999999999" customHeight="1">
      <c r="A144" s="2135"/>
      <c r="B144" s="2135"/>
      <c r="C144" s="2136"/>
      <c r="D144" s="468"/>
      <c r="E144" s="468"/>
      <c r="F144" s="468"/>
      <c r="G144" s="468"/>
      <c r="H144" s="468"/>
      <c r="I144" s="468"/>
      <c r="J144" s="468"/>
      <c r="K144" s="468"/>
      <c r="L144" s="468"/>
      <c r="M144" s="468"/>
      <c r="N144" s="468"/>
      <c r="O144" s="468"/>
      <c r="P144" s="468"/>
      <c r="Q144" s="468"/>
      <c r="R144" s="468"/>
      <c r="S144" s="468"/>
      <c r="T144" s="468"/>
      <c r="U144" s="468"/>
      <c r="V144" s="468"/>
      <c r="W144" s="468"/>
      <c r="X144" s="468"/>
      <c r="Y144" s="468"/>
      <c r="Z144" s="468"/>
      <c r="AA144" s="468"/>
      <c r="AB144" s="468"/>
      <c r="AC144" s="468"/>
      <c r="AD144" s="468"/>
      <c r="AE144" s="468"/>
      <c r="AF144" s="468"/>
      <c r="AG144" s="468"/>
      <c r="AH144" s="468"/>
      <c r="AI144" s="468"/>
      <c r="AJ144" s="468"/>
      <c r="AK144" s="468"/>
      <c r="AL144" s="468"/>
      <c r="AM144" s="468"/>
      <c r="AN144" s="468"/>
      <c r="AO144" s="468"/>
      <c r="AP144" s="468"/>
      <c r="AQ144" s="468"/>
      <c r="AR144" s="468"/>
      <c r="AS144" s="468"/>
      <c r="AT144" s="468"/>
      <c r="AU144" s="468"/>
      <c r="AV144" s="468"/>
      <c r="AW144" s="468"/>
      <c r="AX144" s="468"/>
      <c r="AY144" s="468"/>
      <c r="AZ144" s="468"/>
      <c r="BA144" s="468"/>
      <c r="BB144" s="468"/>
      <c r="BC144" s="468"/>
      <c r="BD144" s="468"/>
      <c r="BE144" s="468"/>
      <c r="BF144" s="2135"/>
      <c r="BG144" s="2135"/>
      <c r="BH144" s="2135"/>
      <c r="BI144" s="2135"/>
      <c r="BJ144" s="2135"/>
      <c r="BK144" s="2135"/>
      <c r="BL144" s="2135"/>
      <c r="BM144" s="468"/>
      <c r="BN144" s="468"/>
      <c r="BO144" s="468"/>
      <c r="BP144" s="468"/>
      <c r="BQ144" s="468"/>
      <c r="BR144" s="468"/>
      <c r="BS144" s="468"/>
      <c r="BT144" s="468"/>
      <c r="BU144" s="468"/>
      <c r="BV144" s="468"/>
      <c r="BW144" s="468"/>
      <c r="BX144" s="468"/>
      <c r="BY144" s="2135"/>
      <c r="BZ144" s="2135"/>
      <c r="CA144" s="2135"/>
      <c r="CB144" s="2135"/>
      <c r="CC144" s="2135"/>
      <c r="CD144" s="2135"/>
      <c r="CE144" s="2135"/>
      <c r="CF144" s="2135"/>
      <c r="CG144" s="2135"/>
      <c r="CH144" s="468"/>
      <c r="CI144" s="468"/>
      <c r="CJ144" s="468"/>
      <c r="CK144" s="468"/>
      <c r="CL144" s="468"/>
      <c r="CM144" s="468"/>
      <c r="CN144" s="468"/>
      <c r="CO144" s="468"/>
      <c r="CP144" s="468"/>
      <c r="CQ144" s="468"/>
      <c r="CR144" s="468"/>
      <c r="CS144" s="468"/>
      <c r="CT144" s="468"/>
      <c r="CU144" s="468"/>
      <c r="CV144" s="468"/>
      <c r="CW144" s="468"/>
      <c r="CX144" s="468"/>
      <c r="CY144" s="468"/>
      <c r="CZ144" s="468"/>
      <c r="DA144" s="468"/>
      <c r="DB144" s="468"/>
      <c r="DC144" s="468"/>
      <c r="DD144" s="468"/>
      <c r="DE144" s="468"/>
      <c r="DF144" s="468"/>
      <c r="DG144" s="468"/>
      <c r="DH144" s="468"/>
      <c r="DI144" s="468"/>
      <c r="DJ144" s="468"/>
      <c r="DK144" s="468"/>
      <c r="DL144" s="468"/>
      <c r="DM144" s="468"/>
      <c r="DN144" s="468"/>
      <c r="DO144" s="468"/>
      <c r="DP144" s="468"/>
      <c r="DQ144" s="468"/>
      <c r="DR144" s="468"/>
      <c r="DS144" s="468"/>
      <c r="DT144" s="468"/>
      <c r="DU144" s="468"/>
      <c r="DV144" s="468"/>
      <c r="DW144" s="468"/>
      <c r="DX144" s="468"/>
      <c r="DY144" s="468"/>
      <c r="DZ144" s="468"/>
      <c r="EA144" s="468"/>
      <c r="EB144" s="468"/>
      <c r="EC144" s="468"/>
      <c r="ED144" s="468"/>
      <c r="EE144" s="468"/>
      <c r="EF144" s="468"/>
      <c r="EG144" s="468"/>
      <c r="EH144" s="468"/>
      <c r="EI144" s="471"/>
      <c r="EJ144" s="468"/>
      <c r="EK144" s="468"/>
      <c r="EL144" s="468"/>
      <c r="EM144" s="468"/>
      <c r="EN144" s="468"/>
      <c r="EO144" s="468"/>
      <c r="EP144" s="468"/>
      <c r="EQ144" s="468"/>
      <c r="ER144" s="468"/>
      <c r="ES144" s="468"/>
      <c r="ET144" s="468"/>
      <c r="EU144" s="468"/>
      <c r="EV144" s="468"/>
      <c r="EW144" s="468"/>
      <c r="EX144" s="468"/>
      <c r="EY144" s="468"/>
      <c r="EZ144" s="468"/>
      <c r="FA144" s="468"/>
      <c r="FB144" s="468"/>
      <c r="FC144" s="468"/>
      <c r="FD144" s="468"/>
      <c r="FE144" s="468"/>
      <c r="FF144" s="468"/>
      <c r="FG144" s="468"/>
      <c r="FH144" s="468"/>
      <c r="FI144" s="468"/>
      <c r="FJ144" s="468"/>
      <c r="FK144" s="468"/>
      <c r="FL144" s="468"/>
      <c r="FM144" s="2137"/>
      <c r="FN144" s="468"/>
      <c r="FO144" s="468"/>
      <c r="FP144" s="468"/>
      <c r="FQ144" s="468"/>
      <c r="FR144" s="468"/>
      <c r="FS144" s="468"/>
      <c r="FT144" s="468"/>
      <c r="FU144" s="468"/>
      <c r="FV144" s="468"/>
      <c r="FW144" s="468"/>
      <c r="FX144" s="468"/>
      <c r="FY144" s="468"/>
      <c r="FZ144" s="468"/>
      <c r="GA144" s="468"/>
      <c r="GB144" s="468"/>
      <c r="GC144" s="468"/>
      <c r="GD144" s="468"/>
      <c r="GE144" s="468"/>
      <c r="GF144" s="468"/>
      <c r="GG144" s="468"/>
      <c r="GH144" s="468"/>
      <c r="GI144" s="468"/>
      <c r="GJ144" s="468"/>
      <c r="GK144" s="468"/>
      <c r="GL144" s="468"/>
      <c r="GM144" s="468"/>
      <c r="GN144" s="468"/>
      <c r="GO144" s="468"/>
      <c r="GP144" s="468"/>
      <c r="GQ144" s="468"/>
      <c r="GR144" s="468"/>
      <c r="GS144" s="468"/>
      <c r="GT144" s="468"/>
      <c r="GU144" s="2135"/>
    </row>
    <row r="145" spans="1:203" ht="18.899999999999999" customHeight="1">
      <c r="A145" s="2135"/>
      <c r="B145" s="2135"/>
      <c r="C145" s="2136"/>
      <c r="D145" s="468"/>
      <c r="E145" s="468"/>
      <c r="F145" s="468"/>
      <c r="G145" s="468"/>
      <c r="H145" s="468"/>
      <c r="I145" s="468"/>
      <c r="J145" s="468"/>
      <c r="K145" s="468"/>
      <c r="L145" s="468"/>
      <c r="M145" s="468"/>
      <c r="N145" s="468"/>
      <c r="O145" s="468"/>
      <c r="P145" s="468"/>
      <c r="Q145" s="468"/>
      <c r="R145" s="468"/>
      <c r="S145" s="468"/>
      <c r="T145" s="468"/>
      <c r="U145" s="468"/>
      <c r="V145" s="468"/>
      <c r="W145" s="468"/>
      <c r="X145" s="468"/>
      <c r="Y145" s="468"/>
      <c r="Z145" s="468"/>
      <c r="AA145" s="468"/>
      <c r="AB145" s="468"/>
      <c r="AC145" s="468"/>
      <c r="AD145" s="468"/>
      <c r="AE145" s="468"/>
      <c r="AF145" s="468"/>
      <c r="AG145" s="468"/>
      <c r="AH145" s="468"/>
      <c r="AI145" s="468"/>
      <c r="AJ145" s="468"/>
      <c r="AK145" s="468"/>
      <c r="AL145" s="468"/>
      <c r="AM145" s="468"/>
      <c r="AN145" s="468"/>
      <c r="AO145" s="468"/>
      <c r="AP145" s="468"/>
      <c r="AQ145" s="468"/>
      <c r="AR145" s="468"/>
      <c r="AS145" s="468"/>
      <c r="AT145" s="468"/>
      <c r="AU145" s="468"/>
      <c r="AV145" s="468"/>
      <c r="AW145" s="468"/>
      <c r="AX145" s="468"/>
      <c r="AY145" s="468"/>
      <c r="AZ145" s="468"/>
      <c r="BA145" s="468"/>
      <c r="BB145" s="468"/>
      <c r="BC145" s="468"/>
      <c r="BD145" s="468"/>
      <c r="BE145" s="468"/>
      <c r="BF145" s="2135"/>
      <c r="BG145" s="2135"/>
      <c r="BH145" s="2135"/>
      <c r="BI145" s="2135"/>
      <c r="BJ145" s="2135"/>
      <c r="BK145" s="2135"/>
      <c r="BL145" s="2135"/>
      <c r="BM145" s="468"/>
      <c r="BN145" s="468"/>
      <c r="BO145" s="468"/>
      <c r="BP145" s="468"/>
      <c r="BQ145" s="468"/>
      <c r="BR145" s="468"/>
      <c r="BS145" s="468"/>
      <c r="BT145" s="468"/>
      <c r="BU145" s="468"/>
      <c r="BV145" s="468"/>
      <c r="BW145" s="468"/>
      <c r="BX145" s="468"/>
      <c r="BY145" s="2135"/>
      <c r="BZ145" s="2135"/>
      <c r="CA145" s="2135"/>
      <c r="CB145" s="2135"/>
      <c r="CC145" s="2135"/>
      <c r="CD145" s="2135"/>
      <c r="CE145" s="2135"/>
      <c r="CF145" s="2135"/>
      <c r="CG145" s="2135"/>
      <c r="CH145" s="468"/>
      <c r="CI145" s="468"/>
      <c r="CJ145" s="468"/>
      <c r="CK145" s="468"/>
      <c r="CL145" s="468"/>
      <c r="CM145" s="468"/>
      <c r="CN145" s="468"/>
      <c r="CO145" s="468"/>
      <c r="CP145" s="468"/>
      <c r="CQ145" s="468"/>
      <c r="CR145" s="468"/>
      <c r="CS145" s="468"/>
      <c r="CT145" s="468"/>
      <c r="CU145" s="468"/>
      <c r="CV145" s="468"/>
      <c r="CW145" s="468"/>
      <c r="CX145" s="468"/>
      <c r="CY145" s="468"/>
      <c r="CZ145" s="468"/>
      <c r="DA145" s="468"/>
      <c r="DB145" s="468"/>
      <c r="DC145" s="468"/>
      <c r="DD145" s="468"/>
      <c r="DE145" s="468"/>
      <c r="DF145" s="468"/>
      <c r="DG145" s="468"/>
      <c r="DH145" s="468"/>
      <c r="DI145" s="468"/>
      <c r="DJ145" s="468"/>
      <c r="DK145" s="468"/>
      <c r="DL145" s="468"/>
      <c r="DM145" s="468"/>
      <c r="DN145" s="468"/>
      <c r="DO145" s="468"/>
      <c r="DP145" s="468"/>
      <c r="DQ145" s="468"/>
      <c r="DR145" s="468"/>
      <c r="DS145" s="468"/>
      <c r="DT145" s="468"/>
      <c r="DU145" s="468"/>
      <c r="DV145" s="468"/>
      <c r="DW145" s="468"/>
      <c r="DX145" s="468"/>
      <c r="DY145" s="468"/>
      <c r="DZ145" s="468"/>
      <c r="EA145" s="468"/>
      <c r="EB145" s="468"/>
      <c r="EC145" s="468"/>
      <c r="ED145" s="468"/>
      <c r="EE145" s="468"/>
      <c r="EF145" s="468"/>
      <c r="EG145" s="468"/>
      <c r="EH145" s="468"/>
      <c r="EI145" s="471"/>
      <c r="EJ145" s="468"/>
      <c r="EK145" s="468"/>
      <c r="EL145" s="468"/>
      <c r="EM145" s="468"/>
      <c r="EN145" s="468"/>
      <c r="EO145" s="468"/>
      <c r="EP145" s="468"/>
      <c r="EQ145" s="468"/>
      <c r="ER145" s="468"/>
      <c r="ES145" s="468"/>
      <c r="ET145" s="468"/>
      <c r="EU145" s="468"/>
      <c r="EV145" s="468"/>
      <c r="EW145" s="468"/>
      <c r="EX145" s="468"/>
      <c r="EY145" s="468"/>
      <c r="EZ145" s="468"/>
      <c r="FA145" s="468"/>
      <c r="FB145" s="468"/>
      <c r="FC145" s="468"/>
      <c r="FD145" s="468"/>
      <c r="FE145" s="468"/>
      <c r="FF145" s="468"/>
      <c r="FG145" s="468"/>
      <c r="FH145" s="468"/>
      <c r="FI145" s="468"/>
      <c r="FJ145" s="468"/>
      <c r="FK145" s="468"/>
      <c r="FL145" s="468"/>
      <c r="FM145" s="2137"/>
      <c r="FN145" s="468"/>
      <c r="FO145" s="468"/>
      <c r="FP145" s="468"/>
      <c r="FQ145" s="468"/>
      <c r="FR145" s="468"/>
      <c r="FS145" s="468"/>
      <c r="FT145" s="468"/>
      <c r="FU145" s="468"/>
      <c r="FV145" s="468"/>
      <c r="FW145" s="468"/>
      <c r="FX145" s="468"/>
      <c r="FY145" s="468"/>
      <c r="FZ145" s="468"/>
      <c r="GA145" s="468"/>
      <c r="GB145" s="468"/>
      <c r="GC145" s="468"/>
      <c r="GD145" s="468"/>
      <c r="GE145" s="468"/>
      <c r="GF145" s="468"/>
      <c r="GG145" s="468"/>
      <c r="GH145" s="468"/>
      <c r="GI145" s="468"/>
      <c r="GJ145" s="468"/>
      <c r="GK145" s="468"/>
      <c r="GL145" s="468"/>
      <c r="GM145" s="468"/>
      <c r="GN145" s="468"/>
      <c r="GO145" s="468"/>
      <c r="GP145" s="468"/>
      <c r="GQ145" s="468"/>
      <c r="GR145" s="468"/>
      <c r="GS145" s="468"/>
      <c r="GT145" s="468"/>
      <c r="GU145" s="2135"/>
    </row>
    <row r="146" spans="1:203" ht="18.899999999999999" customHeight="1">
      <c r="A146" s="2135"/>
      <c r="B146" s="2135"/>
      <c r="C146" s="2136"/>
      <c r="D146" s="468"/>
      <c r="E146" s="468"/>
      <c r="F146" s="468"/>
      <c r="G146" s="468"/>
      <c r="H146" s="468"/>
      <c r="I146" s="468"/>
      <c r="J146" s="468"/>
      <c r="K146" s="468"/>
      <c r="L146" s="468"/>
      <c r="M146" s="468"/>
      <c r="N146" s="468"/>
      <c r="O146" s="468"/>
      <c r="P146" s="468"/>
      <c r="Q146" s="468"/>
      <c r="R146" s="468"/>
      <c r="S146" s="468"/>
      <c r="T146" s="468"/>
      <c r="U146" s="468"/>
      <c r="V146" s="468"/>
      <c r="W146" s="468"/>
      <c r="X146" s="468"/>
      <c r="Y146" s="468"/>
      <c r="Z146" s="468"/>
      <c r="AA146" s="468"/>
      <c r="AB146" s="468"/>
      <c r="AC146" s="468"/>
      <c r="AD146" s="468"/>
      <c r="AE146" s="468"/>
      <c r="AF146" s="468"/>
      <c r="AG146" s="468"/>
      <c r="AH146" s="468"/>
      <c r="AI146" s="468"/>
      <c r="AJ146" s="468"/>
      <c r="AK146" s="468"/>
      <c r="AL146" s="468"/>
      <c r="AM146" s="468"/>
      <c r="AN146" s="468"/>
      <c r="AO146" s="468"/>
      <c r="AP146" s="468"/>
      <c r="AQ146" s="468"/>
      <c r="AR146" s="468"/>
      <c r="AS146" s="468"/>
      <c r="AT146" s="468"/>
      <c r="AU146" s="468"/>
      <c r="AV146" s="468"/>
      <c r="AW146" s="468"/>
      <c r="AX146" s="468"/>
      <c r="AY146" s="468"/>
      <c r="AZ146" s="468"/>
      <c r="BA146" s="468"/>
      <c r="BB146" s="468"/>
      <c r="BC146" s="468"/>
      <c r="BD146" s="468"/>
      <c r="BE146" s="468"/>
      <c r="BF146" s="2135"/>
      <c r="BG146" s="2135"/>
      <c r="BH146" s="2135"/>
      <c r="BI146" s="2135"/>
      <c r="BJ146" s="2135"/>
      <c r="BK146" s="2135"/>
      <c r="BL146" s="2135"/>
      <c r="BM146" s="468"/>
      <c r="BN146" s="468"/>
      <c r="BO146" s="468"/>
      <c r="BP146" s="468"/>
      <c r="BQ146" s="468"/>
      <c r="BR146" s="468"/>
      <c r="BS146" s="468"/>
      <c r="BT146" s="468"/>
      <c r="BU146" s="468"/>
      <c r="BV146" s="468"/>
      <c r="BW146" s="468"/>
      <c r="BX146" s="468"/>
      <c r="BY146" s="2135"/>
      <c r="BZ146" s="2135"/>
      <c r="CA146" s="2135"/>
      <c r="CB146" s="2135"/>
      <c r="CC146" s="2135"/>
      <c r="CD146" s="2135"/>
      <c r="CE146" s="2135"/>
      <c r="CF146" s="2135"/>
      <c r="CG146" s="2135"/>
      <c r="CH146" s="468"/>
      <c r="CI146" s="468"/>
      <c r="CJ146" s="468"/>
      <c r="CK146" s="468"/>
      <c r="CL146" s="468"/>
      <c r="CM146" s="468"/>
      <c r="CN146" s="468"/>
      <c r="CO146" s="468"/>
      <c r="CP146" s="468"/>
      <c r="CQ146" s="468"/>
      <c r="CR146" s="468"/>
      <c r="CS146" s="468"/>
      <c r="CT146" s="468"/>
      <c r="CU146" s="468"/>
      <c r="CV146" s="468"/>
      <c r="CW146" s="468"/>
      <c r="CX146" s="468"/>
      <c r="CY146" s="468"/>
      <c r="CZ146" s="468"/>
      <c r="DA146" s="468"/>
      <c r="DB146" s="468"/>
      <c r="DC146" s="468"/>
      <c r="DD146" s="468"/>
      <c r="DE146" s="468"/>
      <c r="DF146" s="468"/>
      <c r="DG146" s="468"/>
      <c r="DH146" s="468"/>
      <c r="DI146" s="468"/>
      <c r="DJ146" s="468"/>
      <c r="DK146" s="468"/>
      <c r="DL146" s="468"/>
      <c r="DM146" s="468"/>
      <c r="DN146" s="468"/>
      <c r="DO146" s="468"/>
      <c r="DP146" s="468"/>
      <c r="DQ146" s="468"/>
      <c r="DR146" s="468"/>
      <c r="DS146" s="468"/>
      <c r="DT146" s="468"/>
      <c r="DU146" s="468"/>
      <c r="DV146" s="468"/>
      <c r="DW146" s="468"/>
      <c r="DX146" s="468"/>
      <c r="DY146" s="468"/>
      <c r="DZ146" s="468"/>
      <c r="EA146" s="468"/>
      <c r="EB146" s="468"/>
      <c r="EC146" s="468"/>
      <c r="ED146" s="468"/>
      <c r="EE146" s="468"/>
      <c r="EF146" s="468"/>
      <c r="EG146" s="468"/>
      <c r="EH146" s="468"/>
      <c r="EI146" s="471"/>
      <c r="EJ146" s="468"/>
      <c r="EK146" s="468"/>
      <c r="EL146" s="468"/>
      <c r="EM146" s="468"/>
      <c r="EN146" s="468"/>
      <c r="EO146" s="468"/>
      <c r="EP146" s="468"/>
      <c r="EQ146" s="468"/>
      <c r="ER146" s="468"/>
      <c r="ES146" s="468"/>
      <c r="ET146" s="468"/>
      <c r="EU146" s="468"/>
      <c r="EV146" s="468"/>
      <c r="EW146" s="468"/>
      <c r="EX146" s="468"/>
      <c r="EY146" s="468"/>
      <c r="EZ146" s="468"/>
      <c r="FA146" s="468"/>
      <c r="FB146" s="468"/>
      <c r="FC146" s="468"/>
      <c r="FD146" s="468"/>
      <c r="FE146" s="468"/>
      <c r="FF146" s="468"/>
      <c r="FG146" s="468"/>
      <c r="FH146" s="468"/>
      <c r="FI146" s="468"/>
      <c r="FJ146" s="468"/>
      <c r="FK146" s="468"/>
      <c r="FL146" s="468"/>
      <c r="FM146" s="2137"/>
      <c r="FN146" s="468"/>
      <c r="FO146" s="468"/>
      <c r="FP146" s="468"/>
      <c r="FQ146" s="468"/>
      <c r="FR146" s="468"/>
      <c r="FS146" s="468"/>
      <c r="FT146" s="468"/>
      <c r="FU146" s="468"/>
      <c r="FV146" s="468"/>
      <c r="FW146" s="468"/>
      <c r="FX146" s="468"/>
      <c r="FY146" s="468"/>
      <c r="FZ146" s="468"/>
      <c r="GA146" s="468"/>
      <c r="GB146" s="468"/>
      <c r="GC146" s="468"/>
      <c r="GD146" s="468"/>
      <c r="GE146" s="468"/>
      <c r="GF146" s="468"/>
      <c r="GG146" s="468"/>
      <c r="GH146" s="468"/>
      <c r="GI146" s="468"/>
      <c r="GJ146" s="468"/>
      <c r="GK146" s="468"/>
      <c r="GL146" s="468"/>
      <c r="GM146" s="468"/>
      <c r="GN146" s="468"/>
      <c r="GO146" s="468"/>
      <c r="GP146" s="468"/>
      <c r="GQ146" s="468"/>
      <c r="GR146" s="468"/>
      <c r="GS146" s="468"/>
      <c r="GT146" s="468"/>
      <c r="GU146" s="2135"/>
    </row>
    <row r="147" spans="1:203" ht="18.899999999999999" customHeight="1">
      <c r="A147" s="2135"/>
      <c r="B147" s="2135"/>
      <c r="C147" s="2136"/>
      <c r="D147" s="468"/>
      <c r="E147" s="468"/>
      <c r="F147" s="468"/>
      <c r="G147" s="468"/>
      <c r="H147" s="468"/>
      <c r="I147" s="468"/>
      <c r="J147" s="468"/>
      <c r="K147" s="468"/>
      <c r="L147" s="468"/>
      <c r="M147" s="468"/>
      <c r="N147" s="468"/>
      <c r="O147" s="468"/>
      <c r="P147" s="468"/>
      <c r="Q147" s="468"/>
      <c r="R147" s="468"/>
      <c r="S147" s="468"/>
      <c r="T147" s="468"/>
      <c r="U147" s="468"/>
      <c r="V147" s="468"/>
      <c r="W147" s="468"/>
      <c r="X147" s="468"/>
      <c r="Y147" s="468"/>
      <c r="Z147" s="468"/>
      <c r="AA147" s="468"/>
      <c r="AB147" s="468"/>
      <c r="AC147" s="468"/>
      <c r="AD147" s="468"/>
      <c r="AE147" s="468"/>
      <c r="AF147" s="468"/>
      <c r="AG147" s="468"/>
      <c r="AH147" s="468"/>
      <c r="AI147" s="468"/>
      <c r="AJ147" s="468"/>
      <c r="AK147" s="468"/>
      <c r="AL147" s="468"/>
      <c r="AM147" s="468"/>
      <c r="AN147" s="468"/>
      <c r="AO147" s="468"/>
      <c r="AP147" s="468"/>
      <c r="AQ147" s="468"/>
      <c r="AR147" s="468"/>
      <c r="AS147" s="468"/>
      <c r="AT147" s="468"/>
      <c r="AU147" s="468"/>
      <c r="AV147" s="468"/>
      <c r="AW147" s="468"/>
      <c r="AX147" s="468"/>
      <c r="AY147" s="468"/>
      <c r="AZ147" s="468"/>
      <c r="BA147" s="468"/>
      <c r="BB147" s="468"/>
      <c r="BC147" s="468"/>
      <c r="BD147" s="468"/>
      <c r="BE147" s="468"/>
      <c r="BF147" s="2135"/>
      <c r="BG147" s="2135"/>
      <c r="BH147" s="2135"/>
      <c r="BI147" s="2135"/>
      <c r="BJ147" s="2135"/>
      <c r="BK147" s="2135"/>
      <c r="BL147" s="2135"/>
      <c r="BM147" s="468"/>
      <c r="BN147" s="468"/>
      <c r="BO147" s="468"/>
      <c r="BP147" s="468"/>
      <c r="BQ147" s="468"/>
      <c r="BR147" s="468"/>
      <c r="BS147" s="468"/>
      <c r="BT147" s="468"/>
      <c r="BU147" s="468"/>
      <c r="BV147" s="468"/>
      <c r="BW147" s="468"/>
      <c r="BX147" s="468"/>
      <c r="BY147" s="2135"/>
      <c r="BZ147" s="2135"/>
      <c r="CA147" s="2135"/>
      <c r="CB147" s="2135"/>
      <c r="CC147" s="2135"/>
      <c r="CD147" s="2135"/>
      <c r="CE147" s="2135"/>
      <c r="CF147" s="2135"/>
      <c r="CG147" s="2135"/>
      <c r="CH147" s="468"/>
      <c r="CI147" s="468"/>
      <c r="CJ147" s="468"/>
      <c r="CK147" s="468"/>
      <c r="CL147" s="468"/>
      <c r="CM147" s="468"/>
      <c r="CN147" s="468"/>
      <c r="CO147" s="468"/>
      <c r="CP147" s="468"/>
      <c r="CQ147" s="468"/>
      <c r="CR147" s="468"/>
      <c r="CS147" s="468"/>
      <c r="CT147" s="468"/>
      <c r="CU147" s="468"/>
      <c r="CV147" s="468"/>
      <c r="CW147" s="468"/>
      <c r="CX147" s="468"/>
      <c r="CY147" s="468"/>
      <c r="CZ147" s="468"/>
      <c r="DA147" s="468"/>
      <c r="DB147" s="468"/>
      <c r="DC147" s="468"/>
      <c r="DD147" s="468"/>
      <c r="DE147" s="468"/>
      <c r="DF147" s="468"/>
      <c r="DG147" s="468"/>
      <c r="DH147" s="468"/>
      <c r="DI147" s="468"/>
      <c r="DJ147" s="468"/>
      <c r="DK147" s="468"/>
      <c r="DL147" s="468"/>
      <c r="DM147" s="468"/>
      <c r="DN147" s="468"/>
      <c r="DO147" s="468"/>
      <c r="DP147" s="468"/>
      <c r="DQ147" s="468"/>
      <c r="DR147" s="468"/>
      <c r="DS147" s="468"/>
      <c r="DT147" s="468"/>
      <c r="DU147" s="468"/>
      <c r="DV147" s="468"/>
      <c r="DW147" s="468"/>
      <c r="DX147" s="468"/>
      <c r="DY147" s="468"/>
      <c r="DZ147" s="468"/>
      <c r="EA147" s="468"/>
      <c r="EB147" s="468"/>
      <c r="EC147" s="468"/>
      <c r="ED147" s="468"/>
      <c r="EE147" s="468"/>
      <c r="EF147" s="468"/>
      <c r="EG147" s="468"/>
      <c r="EH147" s="468"/>
      <c r="EI147" s="471"/>
      <c r="EJ147" s="468"/>
      <c r="EK147" s="468"/>
      <c r="EL147" s="468"/>
      <c r="EM147" s="468"/>
      <c r="EN147" s="468"/>
      <c r="EO147" s="468"/>
      <c r="EP147" s="468"/>
      <c r="EQ147" s="468"/>
      <c r="ER147" s="468"/>
      <c r="ES147" s="468"/>
      <c r="ET147" s="468"/>
      <c r="EU147" s="468"/>
      <c r="EV147" s="468"/>
      <c r="EW147" s="468"/>
      <c r="EX147" s="468"/>
      <c r="EY147" s="468"/>
      <c r="EZ147" s="468"/>
      <c r="FA147" s="468"/>
      <c r="FB147" s="468"/>
      <c r="FC147" s="468"/>
      <c r="FD147" s="468"/>
      <c r="FE147" s="468"/>
      <c r="FF147" s="468"/>
      <c r="FG147" s="468"/>
      <c r="FH147" s="468"/>
      <c r="FI147" s="468"/>
      <c r="FJ147" s="468"/>
      <c r="FK147" s="468"/>
      <c r="FL147" s="468"/>
      <c r="FM147" s="2137"/>
      <c r="FN147" s="468"/>
      <c r="FO147" s="468"/>
      <c r="FP147" s="468"/>
      <c r="FQ147" s="468"/>
      <c r="FR147" s="468"/>
      <c r="FS147" s="468"/>
      <c r="FT147" s="468"/>
      <c r="FU147" s="468"/>
      <c r="FV147" s="468"/>
      <c r="FW147" s="468"/>
      <c r="FX147" s="468"/>
      <c r="FY147" s="468"/>
      <c r="FZ147" s="468"/>
      <c r="GA147" s="468"/>
      <c r="GB147" s="468"/>
      <c r="GC147" s="468"/>
      <c r="GD147" s="468"/>
      <c r="GE147" s="468"/>
      <c r="GF147" s="468"/>
      <c r="GG147" s="468"/>
      <c r="GH147" s="468"/>
      <c r="GI147" s="468"/>
      <c r="GJ147" s="468"/>
      <c r="GK147" s="468"/>
      <c r="GL147" s="468"/>
      <c r="GM147" s="468"/>
      <c r="GN147" s="468"/>
      <c r="GO147" s="468"/>
      <c r="GP147" s="468"/>
      <c r="GQ147" s="468"/>
      <c r="GR147" s="468"/>
      <c r="GS147" s="468"/>
      <c r="GT147" s="468"/>
      <c r="GU147" s="2135"/>
    </row>
    <row r="148" spans="1:203" ht="18.899999999999999" customHeight="1">
      <c r="A148" s="2135"/>
      <c r="B148" s="2135"/>
      <c r="C148" s="2136"/>
      <c r="D148" s="468"/>
      <c r="E148" s="468"/>
      <c r="F148" s="468"/>
      <c r="G148" s="468"/>
      <c r="H148" s="468"/>
      <c r="I148" s="468"/>
      <c r="J148" s="468"/>
      <c r="K148" s="468"/>
      <c r="L148" s="468"/>
      <c r="M148" s="468"/>
      <c r="N148" s="468"/>
      <c r="O148" s="468"/>
      <c r="P148" s="468"/>
      <c r="Q148" s="468"/>
      <c r="R148" s="468"/>
      <c r="S148" s="468"/>
      <c r="T148" s="468"/>
      <c r="U148" s="468"/>
      <c r="V148" s="468"/>
      <c r="W148" s="468"/>
      <c r="X148" s="468"/>
      <c r="Y148" s="468"/>
      <c r="Z148" s="468"/>
      <c r="AA148" s="468"/>
      <c r="AB148" s="468"/>
      <c r="AC148" s="468"/>
      <c r="AD148" s="468"/>
      <c r="AE148" s="468"/>
      <c r="AF148" s="468"/>
      <c r="AG148" s="468"/>
      <c r="AH148" s="468"/>
      <c r="AI148" s="468"/>
      <c r="AJ148" s="468"/>
      <c r="AK148" s="468"/>
      <c r="AL148" s="468"/>
      <c r="AM148" s="468"/>
      <c r="AN148" s="468"/>
      <c r="AO148" s="468"/>
      <c r="AP148" s="468"/>
      <c r="AQ148" s="468"/>
      <c r="AR148" s="468"/>
      <c r="AS148" s="468"/>
      <c r="AT148" s="468"/>
      <c r="AU148" s="468"/>
      <c r="AV148" s="468"/>
      <c r="AW148" s="468"/>
      <c r="AX148" s="468"/>
      <c r="AY148" s="468"/>
      <c r="AZ148" s="468"/>
      <c r="BA148" s="468"/>
      <c r="BB148" s="468"/>
      <c r="BC148" s="468"/>
      <c r="BD148" s="468"/>
      <c r="BE148" s="468"/>
      <c r="BF148" s="2135"/>
      <c r="BG148" s="2135"/>
      <c r="BH148" s="2135"/>
      <c r="BI148" s="2135"/>
      <c r="BJ148" s="2135"/>
      <c r="BK148" s="2135"/>
      <c r="BL148" s="2135"/>
      <c r="BM148" s="468"/>
      <c r="BN148" s="468"/>
      <c r="BO148" s="468"/>
      <c r="BP148" s="468"/>
      <c r="BQ148" s="468"/>
      <c r="BR148" s="468"/>
      <c r="BS148" s="468"/>
      <c r="BT148" s="468"/>
      <c r="BU148" s="468"/>
      <c r="BV148" s="468"/>
      <c r="BW148" s="468"/>
      <c r="BX148" s="468"/>
      <c r="BY148" s="2135"/>
      <c r="BZ148" s="2135"/>
      <c r="CA148" s="2135"/>
      <c r="CB148" s="2135"/>
      <c r="CC148" s="2135"/>
      <c r="CD148" s="2135"/>
      <c r="CE148" s="2135"/>
      <c r="CF148" s="2135"/>
      <c r="CG148" s="2135"/>
      <c r="CH148" s="468"/>
      <c r="CI148" s="468"/>
      <c r="CJ148" s="468"/>
      <c r="CK148" s="468"/>
      <c r="CL148" s="468"/>
      <c r="CM148" s="468"/>
      <c r="CN148" s="468"/>
      <c r="CO148" s="468"/>
      <c r="CP148" s="468"/>
      <c r="CQ148" s="468"/>
      <c r="CR148" s="468"/>
      <c r="CS148" s="468"/>
      <c r="CT148" s="468"/>
      <c r="CU148" s="468"/>
      <c r="CV148" s="468"/>
      <c r="CW148" s="468"/>
      <c r="CX148" s="468"/>
      <c r="CY148" s="468"/>
      <c r="CZ148" s="468"/>
      <c r="DA148" s="468"/>
      <c r="DB148" s="468"/>
      <c r="DC148" s="468"/>
      <c r="DD148" s="468"/>
      <c r="DE148" s="468"/>
      <c r="DF148" s="468"/>
      <c r="DG148" s="468"/>
      <c r="DH148" s="468"/>
      <c r="DI148" s="468"/>
      <c r="DJ148" s="468"/>
      <c r="DK148" s="468"/>
      <c r="DL148" s="468"/>
      <c r="DM148" s="468"/>
      <c r="DN148" s="468"/>
      <c r="DO148" s="468"/>
      <c r="DP148" s="468"/>
      <c r="DQ148" s="468"/>
      <c r="DR148" s="468"/>
      <c r="DS148" s="468"/>
      <c r="DT148" s="468"/>
      <c r="DU148" s="468"/>
      <c r="DV148" s="468"/>
      <c r="DW148" s="468"/>
      <c r="DX148" s="468"/>
      <c r="DY148" s="468"/>
      <c r="DZ148" s="468"/>
      <c r="EA148" s="468"/>
      <c r="EB148" s="468"/>
      <c r="EC148" s="468"/>
      <c r="ED148" s="468"/>
      <c r="EE148" s="468"/>
      <c r="EF148" s="468"/>
      <c r="EG148" s="468"/>
      <c r="EH148" s="468"/>
      <c r="EI148" s="471"/>
      <c r="EJ148" s="468"/>
      <c r="EK148" s="468"/>
      <c r="EL148" s="468"/>
      <c r="EM148" s="468"/>
      <c r="EN148" s="468"/>
      <c r="EO148" s="468"/>
      <c r="EP148" s="468"/>
      <c r="EQ148" s="468"/>
      <c r="ER148" s="468"/>
      <c r="ES148" s="468"/>
      <c r="ET148" s="468"/>
      <c r="EU148" s="468"/>
      <c r="EV148" s="468"/>
      <c r="EW148" s="468"/>
      <c r="EX148" s="468"/>
      <c r="EY148" s="468"/>
      <c r="EZ148" s="468"/>
      <c r="FA148" s="468"/>
      <c r="FB148" s="468"/>
      <c r="FC148" s="468"/>
      <c r="FD148" s="468"/>
      <c r="FE148" s="468"/>
      <c r="FF148" s="468"/>
      <c r="FG148" s="468"/>
      <c r="FH148" s="468"/>
      <c r="FI148" s="468"/>
      <c r="FJ148" s="468"/>
      <c r="FK148" s="468"/>
      <c r="FL148" s="468"/>
      <c r="FM148" s="2137"/>
      <c r="FN148" s="468"/>
      <c r="FO148" s="468"/>
      <c r="FP148" s="468"/>
      <c r="FQ148" s="468"/>
      <c r="FR148" s="468"/>
      <c r="FS148" s="468"/>
      <c r="FT148" s="468"/>
      <c r="FU148" s="468"/>
      <c r="FV148" s="468"/>
      <c r="FW148" s="468"/>
      <c r="FX148" s="468"/>
      <c r="FY148" s="468"/>
      <c r="FZ148" s="468"/>
      <c r="GA148" s="468"/>
      <c r="GB148" s="468"/>
      <c r="GC148" s="468"/>
      <c r="GD148" s="468"/>
      <c r="GE148" s="468"/>
      <c r="GF148" s="468"/>
      <c r="GG148" s="468"/>
      <c r="GH148" s="468"/>
      <c r="GI148" s="468"/>
      <c r="GJ148" s="468"/>
      <c r="GK148" s="468"/>
      <c r="GL148" s="468"/>
      <c r="GM148" s="468"/>
      <c r="GN148" s="468"/>
      <c r="GO148" s="468"/>
      <c r="GP148" s="468"/>
      <c r="GQ148" s="468"/>
      <c r="GR148" s="468"/>
      <c r="GS148" s="468"/>
      <c r="GT148" s="468"/>
      <c r="GU148" s="2135"/>
    </row>
    <row r="149" spans="1:203" ht="18.899999999999999" customHeight="1">
      <c r="A149" s="2135"/>
      <c r="B149" s="2135"/>
      <c r="C149" s="2136"/>
      <c r="D149" s="468"/>
      <c r="E149" s="468"/>
      <c r="F149" s="468"/>
      <c r="G149" s="468"/>
      <c r="H149" s="468"/>
      <c r="I149" s="468"/>
      <c r="J149" s="468"/>
      <c r="K149" s="468"/>
      <c r="L149" s="468"/>
      <c r="M149" s="468"/>
      <c r="N149" s="468"/>
      <c r="O149" s="468"/>
      <c r="P149" s="468"/>
      <c r="Q149" s="468"/>
      <c r="R149" s="468"/>
      <c r="S149" s="468"/>
      <c r="T149" s="468"/>
      <c r="U149" s="468"/>
      <c r="V149" s="468"/>
      <c r="W149" s="468"/>
      <c r="X149" s="468"/>
      <c r="Y149" s="468"/>
      <c r="Z149" s="468"/>
      <c r="AA149" s="468"/>
      <c r="AB149" s="468"/>
      <c r="AC149" s="468"/>
      <c r="AD149" s="468"/>
      <c r="AE149" s="468"/>
      <c r="AF149" s="468"/>
      <c r="AG149" s="468"/>
      <c r="AH149" s="468"/>
      <c r="AI149" s="468"/>
      <c r="AJ149" s="468"/>
      <c r="AK149" s="468"/>
      <c r="AL149" s="468"/>
      <c r="AM149" s="468"/>
      <c r="AN149" s="468"/>
      <c r="AO149" s="468"/>
      <c r="AP149" s="468"/>
      <c r="AQ149" s="468"/>
      <c r="AR149" s="468"/>
      <c r="AS149" s="468"/>
      <c r="AT149" s="468"/>
      <c r="AU149" s="468"/>
      <c r="AV149" s="468"/>
      <c r="AW149" s="468"/>
      <c r="AX149" s="468"/>
      <c r="AY149" s="468"/>
      <c r="AZ149" s="468"/>
      <c r="BA149" s="468"/>
      <c r="BB149" s="468"/>
      <c r="BC149" s="468"/>
      <c r="BD149" s="468"/>
      <c r="BE149" s="468"/>
      <c r="BF149" s="2135"/>
      <c r="BG149" s="2135"/>
      <c r="BH149" s="2135"/>
      <c r="BI149" s="2135"/>
      <c r="BJ149" s="2135"/>
      <c r="BK149" s="2135"/>
      <c r="BL149" s="2135"/>
      <c r="BM149" s="468"/>
      <c r="BN149" s="468"/>
      <c r="BO149" s="468"/>
      <c r="BP149" s="468"/>
      <c r="BQ149" s="468"/>
      <c r="BR149" s="468"/>
      <c r="BS149" s="468"/>
      <c r="BT149" s="468"/>
      <c r="BU149" s="468"/>
      <c r="BV149" s="468"/>
      <c r="BW149" s="468"/>
      <c r="BX149" s="468"/>
      <c r="BY149" s="2135"/>
      <c r="BZ149" s="2135"/>
      <c r="CA149" s="2135"/>
      <c r="CB149" s="2135"/>
      <c r="CC149" s="2135"/>
      <c r="CD149" s="2135"/>
      <c r="CE149" s="2135"/>
      <c r="CF149" s="2135"/>
      <c r="CG149" s="2135"/>
      <c r="CH149" s="468"/>
      <c r="CI149" s="468"/>
      <c r="CJ149" s="468"/>
      <c r="CK149" s="468"/>
      <c r="CL149" s="468"/>
      <c r="CM149" s="468"/>
      <c r="CN149" s="468"/>
      <c r="CO149" s="468"/>
      <c r="CP149" s="468"/>
      <c r="CQ149" s="468"/>
      <c r="CR149" s="468"/>
      <c r="CS149" s="468"/>
      <c r="CT149" s="468"/>
      <c r="CU149" s="468"/>
      <c r="CV149" s="468"/>
      <c r="CW149" s="468"/>
      <c r="CX149" s="468"/>
      <c r="CY149" s="468"/>
      <c r="CZ149" s="468"/>
      <c r="DA149" s="468"/>
      <c r="DB149" s="468"/>
      <c r="DC149" s="468"/>
      <c r="DD149" s="468"/>
      <c r="DE149" s="468"/>
      <c r="DF149" s="468"/>
      <c r="DG149" s="468"/>
      <c r="DH149" s="468"/>
      <c r="DI149" s="468"/>
      <c r="DJ149" s="468"/>
      <c r="DK149" s="468"/>
      <c r="DL149" s="468"/>
      <c r="DM149" s="468"/>
      <c r="DN149" s="468"/>
      <c r="DO149" s="468"/>
      <c r="DP149" s="468"/>
      <c r="DQ149" s="468"/>
      <c r="DR149" s="468"/>
      <c r="DS149" s="468"/>
      <c r="DT149" s="468"/>
      <c r="DU149" s="468"/>
      <c r="DV149" s="468"/>
      <c r="DW149" s="468"/>
      <c r="DX149" s="468"/>
      <c r="DY149" s="468"/>
      <c r="DZ149" s="468"/>
      <c r="EA149" s="468"/>
      <c r="EB149" s="468"/>
      <c r="EC149" s="468"/>
      <c r="ED149" s="468"/>
      <c r="EE149" s="468"/>
      <c r="EF149" s="468"/>
      <c r="EG149" s="468"/>
      <c r="EH149" s="468"/>
      <c r="EI149" s="471"/>
      <c r="EJ149" s="468"/>
      <c r="EK149" s="468"/>
      <c r="EL149" s="468"/>
      <c r="EM149" s="468"/>
      <c r="EN149" s="468"/>
      <c r="EO149" s="468"/>
      <c r="EP149" s="468"/>
      <c r="EQ149" s="468"/>
      <c r="ER149" s="468"/>
      <c r="ES149" s="468"/>
      <c r="ET149" s="468"/>
      <c r="EU149" s="468"/>
      <c r="EV149" s="468"/>
      <c r="EW149" s="468"/>
      <c r="EX149" s="468"/>
      <c r="EY149" s="468"/>
      <c r="EZ149" s="468"/>
      <c r="FA149" s="468"/>
      <c r="FB149" s="468"/>
      <c r="FC149" s="468"/>
      <c r="FD149" s="468"/>
      <c r="FE149" s="468"/>
      <c r="FF149" s="468"/>
      <c r="FG149" s="468"/>
      <c r="FH149" s="468"/>
      <c r="FI149" s="468"/>
      <c r="FJ149" s="468"/>
      <c r="FK149" s="468"/>
      <c r="FL149" s="468"/>
      <c r="FM149" s="2137"/>
      <c r="FN149" s="468"/>
      <c r="FO149" s="468"/>
      <c r="FP149" s="468"/>
      <c r="FQ149" s="468"/>
      <c r="FR149" s="468"/>
      <c r="FS149" s="468"/>
      <c r="FT149" s="468"/>
      <c r="FU149" s="468"/>
      <c r="FV149" s="468"/>
      <c r="FW149" s="468"/>
      <c r="FX149" s="468"/>
      <c r="FY149" s="468"/>
      <c r="FZ149" s="468"/>
      <c r="GA149" s="468"/>
      <c r="GB149" s="468"/>
      <c r="GC149" s="468"/>
      <c r="GD149" s="468"/>
      <c r="GE149" s="468"/>
      <c r="GF149" s="468"/>
      <c r="GG149" s="468"/>
      <c r="GH149" s="468"/>
      <c r="GI149" s="468"/>
      <c r="GJ149" s="468"/>
      <c r="GK149" s="468"/>
      <c r="GL149" s="468"/>
      <c r="GM149" s="468"/>
      <c r="GN149" s="468"/>
      <c r="GO149" s="468"/>
      <c r="GP149" s="468"/>
      <c r="GQ149" s="468"/>
      <c r="GR149" s="468"/>
      <c r="GS149" s="468"/>
      <c r="GT149" s="468"/>
      <c r="GU149" s="2135"/>
    </row>
    <row r="150" spans="1:203" ht="18.899999999999999" customHeight="1">
      <c r="A150" s="2135"/>
      <c r="B150" s="2135"/>
      <c r="C150" s="2136"/>
      <c r="D150" s="468"/>
      <c r="E150" s="468"/>
      <c r="F150" s="468"/>
      <c r="G150" s="468"/>
      <c r="H150" s="468"/>
      <c r="I150" s="468"/>
      <c r="J150" s="468"/>
      <c r="K150" s="468"/>
      <c r="L150" s="468"/>
      <c r="M150" s="468"/>
      <c r="N150" s="468"/>
      <c r="O150" s="468"/>
      <c r="P150" s="468"/>
      <c r="Q150" s="468"/>
      <c r="R150" s="468"/>
      <c r="S150" s="468"/>
      <c r="T150" s="468"/>
      <c r="U150" s="468"/>
      <c r="V150" s="468"/>
      <c r="W150" s="468"/>
      <c r="X150" s="468"/>
      <c r="Y150" s="468"/>
      <c r="Z150" s="468"/>
      <c r="AA150" s="468"/>
      <c r="AB150" s="468"/>
      <c r="AC150" s="468"/>
      <c r="AD150" s="468"/>
      <c r="AE150" s="468"/>
      <c r="AF150" s="468"/>
      <c r="AG150" s="468"/>
      <c r="AH150" s="468"/>
      <c r="AI150" s="468"/>
      <c r="AJ150" s="468"/>
      <c r="AK150" s="468"/>
      <c r="AL150" s="468"/>
      <c r="AM150" s="468"/>
      <c r="AN150" s="468"/>
      <c r="AO150" s="468"/>
      <c r="AP150" s="468"/>
      <c r="AQ150" s="468"/>
      <c r="AR150" s="468"/>
      <c r="AS150" s="468"/>
      <c r="AT150" s="468"/>
      <c r="AU150" s="468"/>
      <c r="AV150" s="468"/>
      <c r="AW150" s="468"/>
      <c r="AX150" s="468"/>
      <c r="AY150" s="468"/>
      <c r="AZ150" s="468"/>
      <c r="BA150" s="468"/>
      <c r="BB150" s="468"/>
      <c r="BC150" s="468"/>
      <c r="BD150" s="468"/>
      <c r="BE150" s="468"/>
      <c r="BF150" s="2135"/>
      <c r="BG150" s="2135"/>
      <c r="BH150" s="2135"/>
      <c r="BI150" s="2135"/>
      <c r="BJ150" s="2135"/>
      <c r="BK150" s="2135"/>
      <c r="BL150" s="2135"/>
      <c r="BM150" s="468"/>
      <c r="BN150" s="468"/>
      <c r="BO150" s="468"/>
      <c r="BP150" s="468"/>
      <c r="BQ150" s="468"/>
      <c r="BR150" s="468"/>
      <c r="BS150" s="468"/>
      <c r="BT150" s="468"/>
      <c r="BU150" s="468"/>
      <c r="BV150" s="468"/>
      <c r="BW150" s="468"/>
      <c r="BX150" s="468"/>
      <c r="BY150" s="2135"/>
      <c r="BZ150" s="2135"/>
      <c r="CA150" s="2135"/>
      <c r="CB150" s="2135"/>
      <c r="CC150" s="2135"/>
      <c r="CD150" s="2135"/>
      <c r="CE150" s="2135"/>
      <c r="CF150" s="2135"/>
      <c r="CG150" s="2135"/>
      <c r="CH150" s="468"/>
      <c r="CI150" s="468"/>
      <c r="CJ150" s="468"/>
      <c r="CK150" s="468"/>
      <c r="CL150" s="468"/>
      <c r="CM150" s="468"/>
      <c r="CN150" s="468"/>
      <c r="CO150" s="468"/>
      <c r="CP150" s="468"/>
      <c r="CQ150" s="468"/>
      <c r="CR150" s="468"/>
      <c r="CS150" s="468"/>
      <c r="CT150" s="468"/>
      <c r="CU150" s="468"/>
      <c r="CV150" s="468"/>
      <c r="CW150" s="468"/>
      <c r="CX150" s="468"/>
      <c r="CY150" s="468"/>
      <c r="CZ150" s="468"/>
      <c r="DA150" s="468"/>
      <c r="DB150" s="468"/>
      <c r="DC150" s="468"/>
      <c r="DD150" s="468"/>
      <c r="DE150" s="468"/>
      <c r="DF150" s="468"/>
      <c r="DG150" s="468"/>
      <c r="DH150" s="468"/>
      <c r="DI150" s="468"/>
      <c r="DJ150" s="468"/>
      <c r="DK150" s="468"/>
      <c r="DL150" s="468"/>
      <c r="DM150" s="468"/>
      <c r="DN150" s="468"/>
      <c r="DO150" s="468"/>
      <c r="DP150" s="468"/>
      <c r="DQ150" s="468"/>
      <c r="DR150" s="468"/>
      <c r="DS150" s="468"/>
      <c r="DT150" s="468"/>
      <c r="DU150" s="468"/>
      <c r="DV150" s="468"/>
      <c r="DW150" s="468"/>
      <c r="DX150" s="468"/>
      <c r="DY150" s="468"/>
      <c r="DZ150" s="468"/>
      <c r="EA150" s="468"/>
      <c r="EB150" s="468"/>
      <c r="EC150" s="468"/>
      <c r="ED150" s="468"/>
      <c r="EE150" s="468"/>
      <c r="EF150" s="468"/>
      <c r="EG150" s="468"/>
      <c r="EH150" s="468"/>
      <c r="EI150" s="471"/>
      <c r="EJ150" s="468"/>
      <c r="EK150" s="468"/>
      <c r="EL150" s="468"/>
      <c r="EM150" s="468"/>
      <c r="EN150" s="468"/>
      <c r="EO150" s="468"/>
      <c r="EP150" s="468"/>
      <c r="EQ150" s="468"/>
      <c r="ER150" s="468"/>
      <c r="ES150" s="468"/>
      <c r="ET150" s="468"/>
      <c r="EU150" s="468"/>
      <c r="EV150" s="468"/>
      <c r="EW150" s="468"/>
      <c r="EX150" s="468"/>
      <c r="EY150" s="468"/>
      <c r="EZ150" s="468"/>
      <c r="FA150" s="468"/>
      <c r="FB150" s="468"/>
      <c r="FC150" s="468"/>
      <c r="FD150" s="468"/>
      <c r="FE150" s="468"/>
      <c r="FF150" s="468"/>
      <c r="FG150" s="468"/>
      <c r="FH150" s="468"/>
      <c r="FI150" s="468"/>
      <c r="FJ150" s="468"/>
      <c r="FK150" s="468"/>
      <c r="FL150" s="468"/>
      <c r="FM150" s="2137"/>
      <c r="FN150" s="468"/>
      <c r="FO150" s="468"/>
      <c r="FP150" s="468"/>
      <c r="FQ150" s="468"/>
      <c r="FR150" s="468"/>
      <c r="FS150" s="468"/>
      <c r="FT150" s="468"/>
      <c r="FU150" s="468"/>
      <c r="FV150" s="468"/>
      <c r="FW150" s="468"/>
      <c r="FX150" s="468"/>
      <c r="FY150" s="468"/>
      <c r="FZ150" s="468"/>
      <c r="GA150" s="468"/>
      <c r="GB150" s="468"/>
      <c r="GC150" s="468"/>
      <c r="GD150" s="468"/>
      <c r="GE150" s="468"/>
      <c r="GF150" s="468"/>
      <c r="GG150" s="468"/>
      <c r="GH150" s="468"/>
      <c r="GI150" s="468"/>
      <c r="GJ150" s="468"/>
      <c r="GK150" s="468"/>
      <c r="GL150" s="468"/>
      <c r="GM150" s="468"/>
      <c r="GN150" s="468"/>
      <c r="GO150" s="468"/>
      <c r="GP150" s="468"/>
      <c r="GQ150" s="468"/>
      <c r="GR150" s="468"/>
      <c r="GS150" s="468"/>
      <c r="GT150" s="468"/>
      <c r="GU150" s="2135"/>
    </row>
    <row r="151" spans="1:203" ht="18.899999999999999" customHeight="1">
      <c r="A151" s="2135"/>
      <c r="B151" s="2135"/>
      <c r="C151" s="2136"/>
      <c r="D151" s="468"/>
      <c r="E151" s="468"/>
      <c r="F151" s="468"/>
      <c r="G151" s="468"/>
      <c r="H151" s="468"/>
      <c r="I151" s="468"/>
      <c r="J151" s="468"/>
      <c r="K151" s="468"/>
      <c r="L151" s="468"/>
      <c r="M151" s="468"/>
      <c r="N151" s="468"/>
      <c r="O151" s="468"/>
      <c r="P151" s="468"/>
      <c r="Q151" s="468"/>
      <c r="R151" s="468"/>
      <c r="S151" s="468"/>
      <c r="T151" s="468"/>
      <c r="U151" s="468"/>
      <c r="V151" s="468"/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468"/>
      <c r="AI151" s="468"/>
      <c r="AJ151" s="468"/>
      <c r="AK151" s="468"/>
      <c r="AL151" s="468"/>
      <c r="AM151" s="468"/>
      <c r="AN151" s="468"/>
      <c r="AO151" s="468"/>
      <c r="AP151" s="468"/>
      <c r="AQ151" s="468"/>
      <c r="AR151" s="468"/>
      <c r="AS151" s="468"/>
      <c r="AT151" s="468"/>
      <c r="AU151" s="468"/>
      <c r="AV151" s="468"/>
      <c r="AW151" s="468"/>
      <c r="AX151" s="468"/>
      <c r="AY151" s="468"/>
      <c r="AZ151" s="468"/>
      <c r="BA151" s="468"/>
      <c r="BB151" s="468"/>
      <c r="BC151" s="468"/>
      <c r="BD151" s="468"/>
      <c r="BE151" s="468"/>
      <c r="BF151" s="2135"/>
      <c r="BG151" s="2135"/>
      <c r="BH151" s="2135"/>
      <c r="BI151" s="2135"/>
      <c r="BJ151" s="2135"/>
      <c r="BK151" s="2135"/>
      <c r="BL151" s="2135"/>
      <c r="BM151" s="468"/>
      <c r="BN151" s="468"/>
      <c r="BO151" s="468"/>
      <c r="BP151" s="468"/>
      <c r="BQ151" s="468"/>
      <c r="BR151" s="468"/>
      <c r="BS151" s="468"/>
      <c r="BT151" s="468"/>
      <c r="BU151" s="468"/>
      <c r="BV151" s="468"/>
      <c r="BW151" s="468"/>
      <c r="BX151" s="468"/>
      <c r="BY151" s="2135"/>
      <c r="BZ151" s="2135"/>
      <c r="CA151" s="2135"/>
      <c r="CB151" s="2135"/>
      <c r="CC151" s="2135"/>
      <c r="CD151" s="2135"/>
      <c r="CE151" s="2135"/>
      <c r="CF151" s="2135"/>
      <c r="CG151" s="2135"/>
      <c r="CH151" s="468"/>
      <c r="CI151" s="468"/>
      <c r="CJ151" s="468"/>
      <c r="CK151" s="468"/>
      <c r="CL151" s="468"/>
      <c r="CM151" s="468"/>
      <c r="CN151" s="468"/>
      <c r="CO151" s="468"/>
      <c r="CP151" s="468"/>
      <c r="CQ151" s="468"/>
      <c r="CR151" s="468"/>
      <c r="CS151" s="468"/>
      <c r="CT151" s="468"/>
      <c r="CU151" s="468"/>
      <c r="CV151" s="468"/>
      <c r="CW151" s="468"/>
      <c r="CX151" s="468"/>
      <c r="CY151" s="468"/>
      <c r="CZ151" s="468"/>
      <c r="DA151" s="468"/>
      <c r="DB151" s="468"/>
      <c r="DC151" s="468"/>
      <c r="DD151" s="468"/>
      <c r="DE151" s="468"/>
      <c r="DF151" s="468"/>
      <c r="DG151" s="468"/>
      <c r="DH151" s="468"/>
      <c r="DI151" s="468"/>
      <c r="DJ151" s="468"/>
      <c r="DK151" s="468"/>
      <c r="DL151" s="468"/>
      <c r="DM151" s="468"/>
      <c r="DN151" s="468"/>
      <c r="DO151" s="468"/>
      <c r="DP151" s="468"/>
      <c r="DQ151" s="468"/>
      <c r="DR151" s="468"/>
      <c r="DS151" s="468"/>
      <c r="DT151" s="468"/>
      <c r="DU151" s="468"/>
      <c r="DV151" s="468"/>
      <c r="DW151" s="468"/>
      <c r="DX151" s="468"/>
      <c r="DY151" s="468"/>
      <c r="DZ151" s="468"/>
      <c r="EA151" s="468"/>
      <c r="EB151" s="468"/>
      <c r="EC151" s="468"/>
      <c r="ED151" s="468"/>
      <c r="EE151" s="468"/>
      <c r="EF151" s="468"/>
      <c r="EG151" s="468"/>
      <c r="EH151" s="468"/>
      <c r="EI151" s="471"/>
      <c r="EJ151" s="468"/>
      <c r="EK151" s="468"/>
      <c r="EL151" s="468"/>
      <c r="EM151" s="468"/>
      <c r="EN151" s="468"/>
      <c r="EO151" s="468"/>
      <c r="EP151" s="468"/>
      <c r="EQ151" s="468"/>
      <c r="ER151" s="468"/>
      <c r="ES151" s="468"/>
      <c r="ET151" s="468"/>
      <c r="EU151" s="468"/>
      <c r="EV151" s="468"/>
      <c r="EW151" s="468"/>
      <c r="EX151" s="468"/>
      <c r="EY151" s="468"/>
      <c r="EZ151" s="468"/>
      <c r="FA151" s="468"/>
      <c r="FB151" s="468"/>
      <c r="FC151" s="468"/>
      <c r="FD151" s="468"/>
      <c r="FE151" s="468"/>
      <c r="FF151" s="468"/>
      <c r="FG151" s="468"/>
      <c r="FH151" s="468"/>
      <c r="FI151" s="468"/>
      <c r="FJ151" s="468"/>
      <c r="FK151" s="468"/>
      <c r="FL151" s="468"/>
      <c r="FM151" s="2137"/>
      <c r="FN151" s="468"/>
      <c r="FO151" s="468"/>
      <c r="FP151" s="468"/>
      <c r="FQ151" s="468"/>
      <c r="FR151" s="468"/>
      <c r="FS151" s="468"/>
      <c r="FT151" s="468"/>
      <c r="FU151" s="468"/>
      <c r="FV151" s="468"/>
      <c r="FW151" s="468"/>
      <c r="FX151" s="468"/>
      <c r="FY151" s="468"/>
      <c r="FZ151" s="468"/>
      <c r="GA151" s="468"/>
      <c r="GB151" s="468"/>
      <c r="GC151" s="468"/>
      <c r="GD151" s="468"/>
      <c r="GE151" s="468"/>
      <c r="GF151" s="468"/>
      <c r="GG151" s="468"/>
      <c r="GH151" s="468"/>
      <c r="GI151" s="468"/>
      <c r="GJ151" s="468"/>
      <c r="GK151" s="468"/>
      <c r="GL151" s="468"/>
      <c r="GM151" s="468"/>
      <c r="GN151" s="468"/>
      <c r="GO151" s="468"/>
      <c r="GP151" s="468"/>
      <c r="GQ151" s="468"/>
      <c r="GR151" s="468"/>
      <c r="GS151" s="468"/>
      <c r="GT151" s="468"/>
      <c r="GU151" s="2135"/>
    </row>
    <row r="152" spans="1:203" ht="18.899999999999999" customHeight="1">
      <c r="A152" s="2135"/>
      <c r="B152" s="2135"/>
      <c r="C152" s="2136"/>
      <c r="D152" s="468"/>
      <c r="E152" s="468"/>
      <c r="F152" s="468"/>
      <c r="G152" s="468"/>
      <c r="H152" s="468"/>
      <c r="I152" s="468"/>
      <c r="J152" s="468"/>
      <c r="K152" s="468"/>
      <c r="L152" s="468"/>
      <c r="M152" s="468"/>
      <c r="N152" s="468"/>
      <c r="O152" s="468"/>
      <c r="P152" s="468"/>
      <c r="Q152" s="468"/>
      <c r="R152" s="468"/>
      <c r="S152" s="468"/>
      <c r="T152" s="468"/>
      <c r="U152" s="468"/>
      <c r="V152" s="468"/>
      <c r="W152" s="468"/>
      <c r="X152" s="468"/>
      <c r="Y152" s="468"/>
      <c r="Z152" s="468"/>
      <c r="AA152" s="468"/>
      <c r="AB152" s="468"/>
      <c r="AC152" s="468"/>
      <c r="AD152" s="468"/>
      <c r="AE152" s="468"/>
      <c r="AF152" s="468"/>
      <c r="AG152" s="468"/>
      <c r="AH152" s="468"/>
      <c r="AI152" s="468"/>
      <c r="AJ152" s="468"/>
      <c r="AK152" s="468"/>
      <c r="AL152" s="468"/>
      <c r="AM152" s="468"/>
      <c r="AN152" s="468"/>
      <c r="AO152" s="468"/>
      <c r="AP152" s="468"/>
      <c r="AQ152" s="468"/>
      <c r="AR152" s="468"/>
      <c r="AS152" s="468"/>
      <c r="AT152" s="468"/>
      <c r="AU152" s="468"/>
      <c r="AV152" s="468"/>
      <c r="AW152" s="468"/>
      <c r="AX152" s="468"/>
      <c r="AY152" s="468"/>
      <c r="AZ152" s="468"/>
      <c r="BA152" s="468"/>
      <c r="BB152" s="468"/>
      <c r="BC152" s="468"/>
      <c r="BD152" s="468"/>
      <c r="BE152" s="468"/>
      <c r="BF152" s="2135"/>
      <c r="BG152" s="2135"/>
      <c r="BH152" s="2135"/>
      <c r="BI152" s="2135"/>
      <c r="BJ152" s="2135"/>
      <c r="BK152" s="2135"/>
      <c r="BL152" s="2135"/>
      <c r="BM152" s="468"/>
      <c r="BN152" s="468"/>
      <c r="BO152" s="468"/>
      <c r="BP152" s="468"/>
      <c r="BQ152" s="468"/>
      <c r="BR152" s="468"/>
      <c r="BS152" s="468"/>
      <c r="BT152" s="468"/>
      <c r="BU152" s="468"/>
      <c r="BV152" s="468"/>
      <c r="BW152" s="468"/>
      <c r="BX152" s="468"/>
      <c r="BY152" s="2135"/>
      <c r="BZ152" s="2135"/>
      <c r="CA152" s="2135"/>
      <c r="CB152" s="2135"/>
      <c r="CC152" s="2135"/>
      <c r="CD152" s="2135"/>
      <c r="CE152" s="2135"/>
      <c r="CF152" s="2135"/>
      <c r="CG152" s="2135"/>
      <c r="CH152" s="468"/>
      <c r="CI152" s="468"/>
      <c r="CJ152" s="468"/>
      <c r="CK152" s="468"/>
      <c r="CL152" s="468"/>
      <c r="CM152" s="468"/>
      <c r="CN152" s="468"/>
      <c r="CO152" s="468"/>
      <c r="CP152" s="468"/>
      <c r="CQ152" s="468"/>
      <c r="CR152" s="468"/>
      <c r="CS152" s="468"/>
      <c r="CT152" s="468"/>
      <c r="CU152" s="468"/>
      <c r="CV152" s="468"/>
      <c r="CW152" s="468"/>
      <c r="CX152" s="468"/>
      <c r="CY152" s="468"/>
      <c r="CZ152" s="468"/>
      <c r="DA152" s="468"/>
      <c r="DB152" s="468"/>
      <c r="DC152" s="468"/>
      <c r="DD152" s="468"/>
      <c r="DE152" s="468"/>
      <c r="DF152" s="468"/>
      <c r="DG152" s="468"/>
      <c r="DH152" s="468"/>
      <c r="DI152" s="468"/>
      <c r="DJ152" s="468"/>
      <c r="DK152" s="468"/>
      <c r="DL152" s="468"/>
      <c r="DM152" s="468"/>
      <c r="DN152" s="468"/>
      <c r="DO152" s="468"/>
      <c r="DP152" s="468"/>
      <c r="DQ152" s="468"/>
      <c r="DR152" s="468"/>
      <c r="DS152" s="468"/>
      <c r="DT152" s="468"/>
      <c r="DU152" s="468"/>
      <c r="DV152" s="468"/>
      <c r="DW152" s="468"/>
      <c r="DX152" s="468"/>
      <c r="DY152" s="468"/>
      <c r="DZ152" s="468"/>
      <c r="EA152" s="468"/>
      <c r="EB152" s="468"/>
      <c r="EC152" s="468"/>
      <c r="ED152" s="468"/>
      <c r="EE152" s="468"/>
      <c r="EF152" s="468"/>
      <c r="EG152" s="468"/>
      <c r="EH152" s="468"/>
      <c r="EI152" s="471"/>
      <c r="EJ152" s="468"/>
      <c r="EK152" s="468"/>
      <c r="EL152" s="468"/>
      <c r="EM152" s="468"/>
      <c r="EN152" s="468"/>
      <c r="EO152" s="468"/>
      <c r="EP152" s="468"/>
      <c r="EQ152" s="468"/>
      <c r="ER152" s="468"/>
      <c r="ES152" s="468"/>
      <c r="ET152" s="468"/>
      <c r="EU152" s="468"/>
      <c r="EV152" s="468"/>
      <c r="EW152" s="468"/>
      <c r="EX152" s="468"/>
      <c r="EY152" s="468"/>
      <c r="EZ152" s="468"/>
      <c r="FA152" s="468"/>
      <c r="FB152" s="468"/>
      <c r="FC152" s="468"/>
      <c r="FD152" s="468"/>
      <c r="FE152" s="468"/>
      <c r="FF152" s="468"/>
      <c r="FG152" s="468"/>
      <c r="FH152" s="468"/>
      <c r="FI152" s="468"/>
      <c r="FJ152" s="468"/>
      <c r="FK152" s="468"/>
      <c r="FL152" s="468"/>
      <c r="FM152" s="2137"/>
      <c r="FN152" s="468"/>
      <c r="FO152" s="468"/>
      <c r="FP152" s="468"/>
      <c r="FQ152" s="468"/>
      <c r="FR152" s="468"/>
      <c r="FS152" s="468"/>
      <c r="FT152" s="468"/>
      <c r="FU152" s="468"/>
      <c r="FV152" s="468"/>
      <c r="FW152" s="468"/>
      <c r="FX152" s="468"/>
      <c r="FY152" s="468"/>
      <c r="FZ152" s="468"/>
      <c r="GA152" s="468"/>
      <c r="GB152" s="468"/>
      <c r="GC152" s="468"/>
      <c r="GD152" s="468"/>
      <c r="GE152" s="468"/>
      <c r="GF152" s="468"/>
      <c r="GG152" s="468"/>
      <c r="GH152" s="468"/>
      <c r="GI152" s="468"/>
      <c r="GJ152" s="468"/>
      <c r="GK152" s="468"/>
      <c r="GL152" s="468"/>
      <c r="GM152" s="468"/>
      <c r="GN152" s="468"/>
      <c r="GO152" s="468"/>
      <c r="GP152" s="468"/>
      <c r="GQ152" s="468"/>
      <c r="GR152" s="468"/>
      <c r="GS152" s="468"/>
      <c r="GT152" s="468"/>
      <c r="GU152" s="2135"/>
    </row>
    <row r="153" spans="1:203" ht="18.899999999999999" customHeight="1">
      <c r="A153" s="2135"/>
      <c r="B153" s="2135"/>
      <c r="C153" s="2136"/>
      <c r="D153" s="468"/>
      <c r="E153" s="468"/>
      <c r="F153" s="468"/>
      <c r="G153" s="468"/>
      <c r="H153" s="468"/>
      <c r="I153" s="468"/>
      <c r="J153" s="468"/>
      <c r="K153" s="468"/>
      <c r="L153" s="468"/>
      <c r="M153" s="468"/>
      <c r="N153" s="468"/>
      <c r="O153" s="468"/>
      <c r="P153" s="468"/>
      <c r="Q153" s="468"/>
      <c r="R153" s="468"/>
      <c r="S153" s="468"/>
      <c r="T153" s="468"/>
      <c r="U153" s="468"/>
      <c r="V153" s="468"/>
      <c r="W153" s="468"/>
      <c r="X153" s="468"/>
      <c r="Y153" s="468"/>
      <c r="Z153" s="468"/>
      <c r="AA153" s="468"/>
      <c r="AB153" s="468"/>
      <c r="AC153" s="468"/>
      <c r="AD153" s="468"/>
      <c r="AE153" s="468"/>
      <c r="AF153" s="468"/>
      <c r="AG153" s="468"/>
      <c r="AH153" s="468"/>
      <c r="AI153" s="468"/>
      <c r="AJ153" s="468"/>
      <c r="AK153" s="468"/>
      <c r="AL153" s="468"/>
      <c r="AM153" s="468"/>
      <c r="AN153" s="468"/>
      <c r="AO153" s="468"/>
      <c r="AP153" s="468"/>
      <c r="AQ153" s="468"/>
      <c r="AR153" s="468"/>
      <c r="AS153" s="468"/>
      <c r="AT153" s="468"/>
      <c r="AU153" s="468"/>
      <c r="AV153" s="468"/>
      <c r="AW153" s="468"/>
      <c r="AX153" s="468"/>
      <c r="AY153" s="468"/>
      <c r="AZ153" s="468"/>
      <c r="BA153" s="468"/>
      <c r="BB153" s="468"/>
      <c r="BC153" s="468"/>
      <c r="BD153" s="468"/>
      <c r="BE153" s="468"/>
      <c r="BF153" s="2135"/>
      <c r="BG153" s="2135"/>
      <c r="BH153" s="2135"/>
      <c r="BI153" s="2135"/>
      <c r="BJ153" s="2135"/>
      <c r="BK153" s="2135"/>
      <c r="BL153" s="2135"/>
      <c r="BM153" s="468"/>
      <c r="BN153" s="468"/>
      <c r="BO153" s="468"/>
      <c r="BP153" s="468"/>
      <c r="BQ153" s="468"/>
      <c r="BR153" s="468"/>
      <c r="BS153" s="468"/>
      <c r="BT153" s="468"/>
      <c r="BU153" s="468"/>
      <c r="BV153" s="468"/>
      <c r="BW153" s="468"/>
      <c r="BX153" s="468"/>
      <c r="BY153" s="2135"/>
      <c r="BZ153" s="2135"/>
      <c r="CA153" s="2135"/>
      <c r="CB153" s="2135"/>
      <c r="CC153" s="2135"/>
      <c r="CD153" s="2135"/>
      <c r="CE153" s="2135"/>
      <c r="CF153" s="2135"/>
      <c r="CG153" s="2135"/>
      <c r="CH153" s="468"/>
      <c r="CI153" s="468"/>
      <c r="CJ153" s="468"/>
      <c r="CK153" s="468"/>
      <c r="CL153" s="468"/>
      <c r="CM153" s="468"/>
      <c r="CN153" s="468"/>
      <c r="CO153" s="468"/>
      <c r="CP153" s="468"/>
      <c r="CQ153" s="468"/>
      <c r="CR153" s="468"/>
      <c r="CS153" s="468"/>
      <c r="CT153" s="468"/>
      <c r="CU153" s="468"/>
      <c r="CV153" s="468"/>
      <c r="CW153" s="468"/>
      <c r="CX153" s="468"/>
      <c r="CY153" s="468"/>
      <c r="CZ153" s="468"/>
      <c r="DA153" s="468"/>
      <c r="DB153" s="468"/>
      <c r="DC153" s="468"/>
      <c r="DD153" s="468"/>
      <c r="DE153" s="468"/>
      <c r="DF153" s="468"/>
      <c r="DG153" s="468"/>
      <c r="DH153" s="468"/>
      <c r="DI153" s="468"/>
      <c r="DJ153" s="468"/>
      <c r="DK153" s="468"/>
      <c r="DL153" s="468"/>
      <c r="DM153" s="468"/>
      <c r="DN153" s="468"/>
      <c r="DO153" s="468"/>
      <c r="DP153" s="468"/>
      <c r="DQ153" s="468"/>
      <c r="DR153" s="468"/>
      <c r="DS153" s="468"/>
      <c r="DT153" s="468"/>
      <c r="DU153" s="468"/>
      <c r="DV153" s="468"/>
      <c r="DW153" s="468"/>
      <c r="DX153" s="468"/>
      <c r="DY153" s="468"/>
      <c r="DZ153" s="468"/>
      <c r="EA153" s="468"/>
      <c r="EB153" s="468"/>
      <c r="EC153" s="468"/>
      <c r="ED153" s="468"/>
      <c r="EE153" s="468"/>
      <c r="EF153" s="468"/>
      <c r="EG153" s="468"/>
      <c r="EH153" s="468"/>
      <c r="EI153" s="471"/>
      <c r="EJ153" s="468"/>
      <c r="EK153" s="468"/>
      <c r="EL153" s="468"/>
      <c r="EM153" s="468"/>
      <c r="EN153" s="468"/>
      <c r="EO153" s="468"/>
      <c r="EP153" s="468"/>
      <c r="EQ153" s="468"/>
      <c r="ER153" s="468"/>
      <c r="ES153" s="468"/>
      <c r="ET153" s="468"/>
      <c r="EU153" s="468"/>
      <c r="EV153" s="468"/>
      <c r="EW153" s="468"/>
      <c r="EX153" s="468"/>
      <c r="EY153" s="468"/>
      <c r="EZ153" s="468"/>
      <c r="FA153" s="468"/>
      <c r="FB153" s="468"/>
      <c r="FC153" s="468"/>
      <c r="FD153" s="468"/>
      <c r="FE153" s="468"/>
      <c r="FF153" s="468"/>
      <c r="FG153" s="468"/>
      <c r="FH153" s="468"/>
      <c r="FI153" s="468"/>
      <c r="FJ153" s="468"/>
      <c r="FK153" s="468"/>
      <c r="FL153" s="468"/>
      <c r="FM153" s="2137"/>
      <c r="FN153" s="468"/>
      <c r="FO153" s="468"/>
      <c r="FP153" s="468"/>
      <c r="FQ153" s="468"/>
      <c r="FR153" s="468"/>
      <c r="FS153" s="468"/>
      <c r="FT153" s="468"/>
      <c r="FU153" s="468"/>
      <c r="FV153" s="468"/>
      <c r="FW153" s="468"/>
      <c r="FX153" s="468"/>
      <c r="FY153" s="468"/>
      <c r="FZ153" s="468"/>
      <c r="GA153" s="468"/>
      <c r="GB153" s="468"/>
      <c r="GC153" s="468"/>
      <c r="GD153" s="468"/>
      <c r="GE153" s="468"/>
      <c r="GF153" s="468"/>
      <c r="GG153" s="468"/>
      <c r="GH153" s="468"/>
      <c r="GI153" s="468"/>
      <c r="GJ153" s="468"/>
      <c r="GK153" s="468"/>
      <c r="GL153" s="468"/>
      <c r="GM153" s="468"/>
      <c r="GN153" s="468"/>
      <c r="GO153" s="468"/>
      <c r="GP153" s="468"/>
      <c r="GQ153" s="468"/>
      <c r="GR153" s="468"/>
      <c r="GS153" s="468"/>
      <c r="GT153" s="468"/>
      <c r="GU153" s="2135"/>
    </row>
    <row r="154" spans="1:203" ht="18.899999999999999" customHeight="1">
      <c r="A154" s="2135"/>
      <c r="B154" s="2135"/>
      <c r="C154" s="2136"/>
      <c r="D154" s="468"/>
      <c r="E154" s="468"/>
      <c r="F154" s="468"/>
      <c r="G154" s="468"/>
      <c r="H154" s="468"/>
      <c r="I154" s="468"/>
      <c r="J154" s="468"/>
      <c r="K154" s="468"/>
      <c r="L154" s="468"/>
      <c r="M154" s="468"/>
      <c r="N154" s="468"/>
      <c r="O154" s="468"/>
      <c r="P154" s="468"/>
      <c r="Q154" s="468"/>
      <c r="R154" s="468"/>
      <c r="S154" s="468"/>
      <c r="T154" s="468"/>
      <c r="U154" s="468"/>
      <c r="V154" s="468"/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68"/>
      <c r="AL154" s="468"/>
      <c r="AM154" s="468"/>
      <c r="AN154" s="468"/>
      <c r="AO154" s="468"/>
      <c r="AP154" s="468"/>
      <c r="AQ154" s="468"/>
      <c r="AR154" s="468"/>
      <c r="AS154" s="468"/>
      <c r="AT154" s="468"/>
      <c r="AU154" s="468"/>
      <c r="AV154" s="468"/>
      <c r="AW154" s="468"/>
      <c r="AX154" s="468"/>
      <c r="AY154" s="468"/>
      <c r="AZ154" s="468"/>
      <c r="BA154" s="468"/>
      <c r="BB154" s="468"/>
      <c r="BC154" s="468"/>
      <c r="BD154" s="468"/>
      <c r="BE154" s="468"/>
      <c r="BF154" s="2135"/>
      <c r="BG154" s="2135"/>
      <c r="BH154" s="2135"/>
      <c r="BI154" s="2135"/>
      <c r="BJ154" s="2135"/>
      <c r="BK154" s="2135"/>
      <c r="BL154" s="2135"/>
      <c r="BM154" s="468"/>
      <c r="BN154" s="468"/>
      <c r="BO154" s="468"/>
      <c r="BP154" s="468"/>
      <c r="BQ154" s="468"/>
      <c r="BR154" s="468"/>
      <c r="BS154" s="468"/>
      <c r="BT154" s="468"/>
      <c r="BU154" s="468"/>
      <c r="BV154" s="468"/>
      <c r="BW154" s="468"/>
      <c r="BX154" s="468"/>
      <c r="BY154" s="2135"/>
      <c r="BZ154" s="2135"/>
      <c r="CA154" s="2135"/>
      <c r="CB154" s="2135"/>
      <c r="CC154" s="2135"/>
      <c r="CD154" s="2135"/>
      <c r="CE154" s="2135"/>
      <c r="CF154" s="2135"/>
      <c r="CG154" s="2135"/>
      <c r="CH154" s="468"/>
      <c r="CI154" s="468"/>
      <c r="CJ154" s="468"/>
      <c r="CK154" s="468"/>
      <c r="CL154" s="468"/>
      <c r="CM154" s="468"/>
      <c r="CN154" s="468"/>
      <c r="CO154" s="468"/>
      <c r="CP154" s="468"/>
      <c r="CQ154" s="468"/>
      <c r="CR154" s="468"/>
      <c r="CS154" s="468"/>
      <c r="CT154" s="468"/>
      <c r="CU154" s="468"/>
      <c r="CV154" s="468"/>
      <c r="CW154" s="468"/>
      <c r="CX154" s="468"/>
      <c r="CY154" s="468"/>
      <c r="CZ154" s="468"/>
      <c r="DA154" s="468"/>
      <c r="DB154" s="468"/>
      <c r="DC154" s="468"/>
      <c r="DD154" s="468"/>
      <c r="DE154" s="468"/>
      <c r="DF154" s="468"/>
      <c r="DG154" s="468"/>
      <c r="DH154" s="468"/>
      <c r="DI154" s="468"/>
      <c r="DJ154" s="468"/>
      <c r="DK154" s="468"/>
      <c r="DL154" s="468"/>
      <c r="DM154" s="468"/>
      <c r="DN154" s="468"/>
      <c r="DO154" s="468"/>
      <c r="DP154" s="468"/>
      <c r="DQ154" s="468"/>
      <c r="DR154" s="468"/>
      <c r="DS154" s="468"/>
      <c r="DT154" s="468"/>
      <c r="DU154" s="468"/>
      <c r="DV154" s="468"/>
      <c r="DW154" s="468"/>
      <c r="DX154" s="468"/>
      <c r="DY154" s="468"/>
      <c r="DZ154" s="468"/>
      <c r="EA154" s="468"/>
      <c r="EB154" s="468"/>
      <c r="EC154" s="468"/>
      <c r="ED154" s="468"/>
      <c r="EE154" s="468"/>
      <c r="EF154" s="468"/>
      <c r="EG154" s="468"/>
      <c r="EH154" s="468"/>
      <c r="EI154" s="471"/>
      <c r="EJ154" s="468"/>
      <c r="EK154" s="468"/>
      <c r="EL154" s="468"/>
      <c r="EM154" s="468"/>
      <c r="EN154" s="468"/>
      <c r="EO154" s="468"/>
      <c r="EP154" s="468"/>
      <c r="EQ154" s="468"/>
      <c r="ER154" s="468"/>
      <c r="ES154" s="468"/>
      <c r="ET154" s="468"/>
      <c r="EU154" s="468"/>
      <c r="EV154" s="468"/>
      <c r="EW154" s="468"/>
      <c r="EX154" s="468"/>
      <c r="EY154" s="468"/>
      <c r="EZ154" s="468"/>
      <c r="FA154" s="468"/>
      <c r="FB154" s="468"/>
      <c r="FC154" s="468"/>
      <c r="FD154" s="468"/>
      <c r="FE154" s="468"/>
      <c r="FF154" s="468"/>
      <c r="FG154" s="468"/>
      <c r="FH154" s="468"/>
      <c r="FI154" s="468"/>
      <c r="FJ154" s="468"/>
      <c r="FK154" s="468"/>
      <c r="FL154" s="468"/>
      <c r="FM154" s="2137"/>
      <c r="FN154" s="468"/>
      <c r="FO154" s="468"/>
      <c r="FP154" s="468"/>
      <c r="FQ154" s="468"/>
      <c r="FR154" s="468"/>
      <c r="FS154" s="468"/>
      <c r="FT154" s="468"/>
      <c r="FU154" s="468"/>
      <c r="FV154" s="468"/>
      <c r="FW154" s="468"/>
      <c r="FX154" s="468"/>
      <c r="FY154" s="468"/>
      <c r="FZ154" s="468"/>
      <c r="GA154" s="468"/>
      <c r="GB154" s="468"/>
      <c r="GC154" s="468"/>
      <c r="GD154" s="468"/>
      <c r="GE154" s="468"/>
      <c r="GF154" s="468"/>
      <c r="GG154" s="468"/>
      <c r="GH154" s="468"/>
      <c r="GI154" s="468"/>
      <c r="GJ154" s="468"/>
      <c r="GK154" s="468"/>
      <c r="GL154" s="468"/>
      <c r="GM154" s="468"/>
      <c r="GN154" s="468"/>
      <c r="GO154" s="468"/>
      <c r="GP154" s="468"/>
      <c r="GQ154" s="468"/>
      <c r="GR154" s="468"/>
      <c r="GS154" s="468"/>
      <c r="GT154" s="468"/>
      <c r="GU154" s="2135"/>
    </row>
    <row r="155" spans="1:203" ht="18.899999999999999" customHeight="1">
      <c r="A155" s="2135"/>
      <c r="B155" s="2135"/>
      <c r="C155" s="2136"/>
      <c r="D155" s="468"/>
      <c r="E155" s="468"/>
      <c r="F155" s="468"/>
      <c r="G155" s="468"/>
      <c r="H155" s="468"/>
      <c r="I155" s="468"/>
      <c r="J155" s="468"/>
      <c r="K155" s="468"/>
      <c r="L155" s="468"/>
      <c r="M155" s="468"/>
      <c r="N155" s="468"/>
      <c r="O155" s="468"/>
      <c r="P155" s="468"/>
      <c r="Q155" s="468"/>
      <c r="R155" s="468"/>
      <c r="S155" s="468"/>
      <c r="T155" s="468"/>
      <c r="U155" s="468"/>
      <c r="V155" s="468"/>
      <c r="W155" s="468"/>
      <c r="X155" s="468"/>
      <c r="Y155" s="468"/>
      <c r="Z155" s="468"/>
      <c r="AA155" s="468"/>
      <c r="AB155" s="468"/>
      <c r="AC155" s="468"/>
      <c r="AD155" s="468"/>
      <c r="AE155" s="468"/>
      <c r="AF155" s="468"/>
      <c r="AG155" s="468"/>
      <c r="AH155" s="468"/>
      <c r="AI155" s="468"/>
      <c r="AJ155" s="468"/>
      <c r="AK155" s="468"/>
      <c r="AL155" s="468"/>
      <c r="AM155" s="468"/>
      <c r="AN155" s="468"/>
      <c r="AO155" s="468"/>
      <c r="AP155" s="468"/>
      <c r="AQ155" s="468"/>
      <c r="AR155" s="468"/>
      <c r="AS155" s="468"/>
      <c r="AT155" s="468"/>
      <c r="AU155" s="468"/>
      <c r="AV155" s="468"/>
      <c r="AW155" s="468"/>
      <c r="AX155" s="468"/>
      <c r="AY155" s="468"/>
      <c r="AZ155" s="468"/>
      <c r="BA155" s="468"/>
      <c r="BB155" s="468"/>
      <c r="BC155" s="468"/>
      <c r="BD155" s="468"/>
      <c r="BE155" s="468"/>
      <c r="BF155" s="2135"/>
      <c r="BG155" s="2135"/>
      <c r="BH155" s="2135"/>
      <c r="BI155" s="2135"/>
      <c r="BJ155" s="2135"/>
      <c r="BK155" s="2135"/>
      <c r="BL155" s="2135"/>
      <c r="BM155" s="468"/>
      <c r="BN155" s="468"/>
      <c r="BO155" s="468"/>
      <c r="BP155" s="468"/>
      <c r="BQ155" s="468"/>
      <c r="BR155" s="468"/>
      <c r="BS155" s="468"/>
      <c r="BT155" s="468"/>
      <c r="BU155" s="468"/>
      <c r="BV155" s="468"/>
      <c r="BW155" s="468"/>
      <c r="BX155" s="468"/>
      <c r="BY155" s="2135"/>
      <c r="BZ155" s="2135"/>
      <c r="CA155" s="2135"/>
      <c r="CB155" s="2135"/>
      <c r="CC155" s="2135"/>
      <c r="CD155" s="2135"/>
      <c r="CE155" s="2135"/>
      <c r="CF155" s="2135"/>
      <c r="CG155" s="2135"/>
      <c r="CH155" s="468"/>
      <c r="CI155" s="468"/>
      <c r="CJ155" s="468"/>
      <c r="CK155" s="468"/>
      <c r="CL155" s="468"/>
      <c r="CM155" s="468"/>
      <c r="CN155" s="468"/>
      <c r="CO155" s="468"/>
      <c r="CP155" s="468"/>
      <c r="CQ155" s="468"/>
      <c r="CR155" s="468"/>
      <c r="CS155" s="468"/>
      <c r="CT155" s="468"/>
      <c r="CU155" s="468"/>
      <c r="CV155" s="468"/>
      <c r="CW155" s="468"/>
      <c r="CX155" s="468"/>
      <c r="CY155" s="468"/>
      <c r="CZ155" s="468"/>
      <c r="DA155" s="468"/>
      <c r="DB155" s="468"/>
      <c r="DC155" s="468"/>
      <c r="DD155" s="468"/>
      <c r="DE155" s="468"/>
      <c r="DF155" s="468"/>
      <c r="DG155" s="468"/>
      <c r="DH155" s="468"/>
      <c r="DI155" s="468"/>
      <c r="DJ155" s="468"/>
      <c r="DK155" s="468"/>
      <c r="DL155" s="468"/>
      <c r="DM155" s="468"/>
      <c r="DN155" s="468"/>
      <c r="DO155" s="468"/>
      <c r="DP155" s="468"/>
      <c r="DQ155" s="468"/>
      <c r="DR155" s="468"/>
      <c r="DS155" s="468"/>
      <c r="DT155" s="468"/>
      <c r="DU155" s="468"/>
      <c r="DV155" s="468"/>
      <c r="DW155" s="468"/>
      <c r="DX155" s="468"/>
      <c r="DY155" s="468"/>
      <c r="DZ155" s="468"/>
      <c r="EA155" s="468"/>
      <c r="EB155" s="468"/>
      <c r="EC155" s="468"/>
      <c r="ED155" s="468"/>
      <c r="EE155" s="468"/>
      <c r="EF155" s="468"/>
      <c r="EG155" s="468"/>
      <c r="EH155" s="468"/>
      <c r="EI155" s="471"/>
      <c r="EJ155" s="468"/>
      <c r="EK155" s="468"/>
      <c r="EL155" s="468"/>
      <c r="EM155" s="468"/>
      <c r="EN155" s="468"/>
      <c r="EO155" s="468"/>
      <c r="EP155" s="468"/>
      <c r="EQ155" s="468"/>
      <c r="ER155" s="468"/>
      <c r="ES155" s="468"/>
      <c r="ET155" s="468"/>
      <c r="EU155" s="468"/>
      <c r="EV155" s="468"/>
      <c r="EW155" s="468"/>
      <c r="EX155" s="468"/>
      <c r="EY155" s="468"/>
      <c r="EZ155" s="468"/>
      <c r="FA155" s="468"/>
      <c r="FB155" s="468"/>
      <c r="FC155" s="468"/>
      <c r="FD155" s="468"/>
      <c r="FE155" s="468"/>
      <c r="FF155" s="468"/>
      <c r="FG155" s="468"/>
      <c r="FH155" s="468"/>
      <c r="FI155" s="468"/>
      <c r="FJ155" s="468"/>
      <c r="FK155" s="468"/>
      <c r="FL155" s="468"/>
      <c r="FM155" s="2137"/>
      <c r="FN155" s="468"/>
      <c r="FO155" s="468"/>
      <c r="FP155" s="468"/>
      <c r="FQ155" s="468"/>
      <c r="FR155" s="468"/>
      <c r="FS155" s="468"/>
      <c r="FT155" s="468"/>
      <c r="FU155" s="468"/>
      <c r="FV155" s="468"/>
      <c r="FW155" s="468"/>
      <c r="FX155" s="468"/>
      <c r="FY155" s="468"/>
      <c r="FZ155" s="468"/>
      <c r="GA155" s="468"/>
      <c r="GB155" s="468"/>
      <c r="GC155" s="468"/>
      <c r="GD155" s="468"/>
      <c r="GE155" s="468"/>
      <c r="GF155" s="468"/>
      <c r="GG155" s="468"/>
      <c r="GH155" s="468"/>
      <c r="GI155" s="468"/>
      <c r="GJ155" s="468"/>
      <c r="GK155" s="468"/>
      <c r="GL155" s="468"/>
      <c r="GM155" s="468"/>
      <c r="GN155" s="468"/>
      <c r="GO155" s="468"/>
      <c r="GP155" s="468"/>
      <c r="GQ155" s="468"/>
      <c r="GR155" s="468"/>
      <c r="GS155" s="468"/>
      <c r="GT155" s="468"/>
      <c r="GU155" s="2135"/>
    </row>
    <row r="156" spans="1:203" ht="18.899999999999999" customHeight="1">
      <c r="A156" s="2135"/>
      <c r="B156" s="2135"/>
      <c r="C156" s="2136"/>
      <c r="D156" s="468"/>
      <c r="E156" s="468"/>
      <c r="F156" s="468"/>
      <c r="G156" s="468"/>
      <c r="H156" s="468"/>
      <c r="I156" s="468"/>
      <c r="J156" s="468"/>
      <c r="K156" s="468"/>
      <c r="L156" s="468"/>
      <c r="M156" s="468"/>
      <c r="N156" s="468"/>
      <c r="O156" s="468"/>
      <c r="P156" s="468"/>
      <c r="Q156" s="468"/>
      <c r="R156" s="468"/>
      <c r="S156" s="468"/>
      <c r="T156" s="468"/>
      <c r="U156" s="468"/>
      <c r="V156" s="468"/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68"/>
      <c r="AL156" s="468"/>
      <c r="AM156" s="468"/>
      <c r="AN156" s="468"/>
      <c r="AO156" s="468"/>
      <c r="AP156" s="468"/>
      <c r="AQ156" s="468"/>
      <c r="AR156" s="468"/>
      <c r="AS156" s="468"/>
      <c r="AT156" s="468"/>
      <c r="AU156" s="468"/>
      <c r="AV156" s="468"/>
      <c r="AW156" s="468"/>
      <c r="AX156" s="468"/>
      <c r="AY156" s="468"/>
      <c r="AZ156" s="468"/>
      <c r="BA156" s="468"/>
      <c r="BB156" s="468"/>
      <c r="BC156" s="468"/>
      <c r="BD156" s="468"/>
      <c r="BE156" s="468"/>
      <c r="BF156" s="2135"/>
      <c r="BG156" s="2135"/>
      <c r="BH156" s="2135"/>
      <c r="BI156" s="2135"/>
      <c r="BJ156" s="2135"/>
      <c r="BK156" s="2135"/>
      <c r="BL156" s="2135"/>
      <c r="BM156" s="468"/>
      <c r="BN156" s="468"/>
      <c r="BO156" s="468"/>
      <c r="BP156" s="468"/>
      <c r="BQ156" s="468"/>
      <c r="BR156" s="468"/>
      <c r="BS156" s="468"/>
      <c r="BT156" s="468"/>
      <c r="BU156" s="468"/>
      <c r="BV156" s="468"/>
      <c r="BW156" s="468"/>
      <c r="BX156" s="468"/>
      <c r="BY156" s="2135"/>
      <c r="BZ156" s="2135"/>
      <c r="CA156" s="2135"/>
      <c r="CB156" s="2135"/>
      <c r="CC156" s="2135"/>
      <c r="CD156" s="2135"/>
      <c r="CE156" s="2135"/>
      <c r="CF156" s="2135"/>
      <c r="CG156" s="2135"/>
      <c r="CH156" s="468"/>
      <c r="CI156" s="468"/>
      <c r="CJ156" s="468"/>
      <c r="CK156" s="468"/>
      <c r="CL156" s="468"/>
      <c r="CM156" s="468"/>
      <c r="CN156" s="468"/>
      <c r="CO156" s="468"/>
      <c r="CP156" s="468"/>
      <c r="CQ156" s="468"/>
      <c r="CR156" s="468"/>
      <c r="CS156" s="468"/>
      <c r="CT156" s="468"/>
      <c r="CU156" s="468"/>
      <c r="CV156" s="468"/>
      <c r="CW156" s="468"/>
      <c r="CX156" s="468"/>
      <c r="CY156" s="468"/>
      <c r="CZ156" s="468"/>
      <c r="DA156" s="468"/>
      <c r="DB156" s="468"/>
      <c r="DC156" s="468"/>
      <c r="DD156" s="468"/>
      <c r="DE156" s="468"/>
      <c r="DF156" s="468"/>
      <c r="DG156" s="468"/>
      <c r="DH156" s="468"/>
      <c r="DI156" s="468"/>
      <c r="DJ156" s="468"/>
      <c r="DK156" s="468"/>
      <c r="DL156" s="468"/>
      <c r="DM156" s="468"/>
      <c r="DN156" s="468"/>
      <c r="DO156" s="468"/>
      <c r="DP156" s="468"/>
      <c r="DQ156" s="468"/>
      <c r="DR156" s="468"/>
      <c r="DS156" s="468"/>
      <c r="DT156" s="468"/>
      <c r="DU156" s="468"/>
      <c r="DV156" s="468"/>
      <c r="DW156" s="468"/>
      <c r="DX156" s="468"/>
      <c r="DY156" s="468"/>
      <c r="DZ156" s="468"/>
      <c r="EA156" s="468"/>
      <c r="EB156" s="468"/>
      <c r="EC156" s="468"/>
      <c r="ED156" s="468"/>
      <c r="EE156" s="468"/>
      <c r="EF156" s="468"/>
      <c r="EG156" s="468"/>
      <c r="EH156" s="468"/>
      <c r="EI156" s="471"/>
      <c r="EJ156" s="468"/>
      <c r="EK156" s="468"/>
      <c r="EL156" s="468"/>
      <c r="EM156" s="468"/>
      <c r="EN156" s="468"/>
      <c r="EO156" s="468"/>
      <c r="EP156" s="468"/>
      <c r="EQ156" s="468"/>
      <c r="ER156" s="468"/>
      <c r="ES156" s="468"/>
      <c r="ET156" s="468"/>
      <c r="EU156" s="468"/>
      <c r="EV156" s="468"/>
      <c r="EW156" s="468"/>
      <c r="EX156" s="468"/>
      <c r="EY156" s="468"/>
      <c r="EZ156" s="468"/>
      <c r="FA156" s="468"/>
      <c r="FB156" s="468"/>
      <c r="FC156" s="468"/>
      <c r="FD156" s="468"/>
      <c r="FE156" s="468"/>
      <c r="FF156" s="468"/>
      <c r="FG156" s="468"/>
      <c r="FH156" s="468"/>
      <c r="FI156" s="468"/>
      <c r="FJ156" s="468"/>
      <c r="FK156" s="468"/>
      <c r="FL156" s="468"/>
      <c r="FM156" s="2137"/>
      <c r="FN156" s="468"/>
      <c r="FO156" s="468"/>
      <c r="FP156" s="468"/>
      <c r="FQ156" s="468"/>
      <c r="FR156" s="468"/>
      <c r="FS156" s="468"/>
      <c r="FT156" s="468"/>
      <c r="FU156" s="468"/>
      <c r="FV156" s="468"/>
      <c r="FW156" s="468"/>
      <c r="FX156" s="468"/>
      <c r="FY156" s="468"/>
      <c r="FZ156" s="468"/>
      <c r="GA156" s="468"/>
      <c r="GB156" s="468"/>
      <c r="GC156" s="468"/>
      <c r="GD156" s="468"/>
      <c r="GE156" s="468"/>
      <c r="GF156" s="468"/>
      <c r="GG156" s="468"/>
      <c r="GH156" s="468"/>
      <c r="GI156" s="468"/>
      <c r="GJ156" s="468"/>
      <c r="GK156" s="468"/>
      <c r="GL156" s="468"/>
      <c r="GM156" s="468"/>
      <c r="GN156" s="468"/>
      <c r="GO156" s="468"/>
      <c r="GP156" s="468"/>
      <c r="GQ156" s="468"/>
      <c r="GR156" s="468"/>
      <c r="GS156" s="468"/>
      <c r="GT156" s="468"/>
      <c r="GU156" s="2135"/>
    </row>
    <row r="157" spans="1:203" ht="18.899999999999999" customHeight="1">
      <c r="A157" s="2135"/>
      <c r="B157" s="2135"/>
      <c r="C157" s="2136"/>
      <c r="D157" s="468"/>
      <c r="E157" s="468"/>
      <c r="F157" s="468"/>
      <c r="G157" s="468"/>
      <c r="H157" s="468"/>
      <c r="I157" s="468"/>
      <c r="J157" s="468"/>
      <c r="K157" s="468"/>
      <c r="L157" s="468"/>
      <c r="M157" s="468"/>
      <c r="N157" s="468"/>
      <c r="O157" s="468"/>
      <c r="P157" s="468"/>
      <c r="Q157" s="468"/>
      <c r="R157" s="468"/>
      <c r="S157" s="468"/>
      <c r="T157" s="468"/>
      <c r="U157" s="468"/>
      <c r="V157" s="468"/>
      <c r="W157" s="468"/>
      <c r="X157" s="468"/>
      <c r="Y157" s="468"/>
      <c r="Z157" s="468"/>
      <c r="AA157" s="468"/>
      <c r="AB157" s="468"/>
      <c r="AC157" s="468"/>
      <c r="AD157" s="468"/>
      <c r="AE157" s="468"/>
      <c r="AF157" s="468"/>
      <c r="AG157" s="468"/>
      <c r="AH157" s="468"/>
      <c r="AI157" s="468"/>
      <c r="AJ157" s="468"/>
      <c r="AK157" s="468"/>
      <c r="AL157" s="468"/>
      <c r="AM157" s="468"/>
      <c r="AN157" s="468"/>
      <c r="AO157" s="468"/>
      <c r="AP157" s="468"/>
      <c r="AQ157" s="468"/>
      <c r="AR157" s="468"/>
      <c r="AS157" s="468"/>
      <c r="AT157" s="468"/>
      <c r="AU157" s="468"/>
      <c r="AV157" s="468"/>
      <c r="AW157" s="468"/>
      <c r="AX157" s="468"/>
      <c r="AY157" s="468"/>
      <c r="AZ157" s="468"/>
      <c r="BA157" s="468"/>
      <c r="BB157" s="468"/>
      <c r="BC157" s="468"/>
      <c r="BD157" s="468"/>
      <c r="BE157" s="468"/>
      <c r="BF157" s="2135"/>
      <c r="BG157" s="2135"/>
      <c r="BH157" s="2135"/>
      <c r="BI157" s="2135"/>
      <c r="BJ157" s="2135"/>
      <c r="BK157" s="2135"/>
      <c r="BL157" s="2135"/>
      <c r="BM157" s="468"/>
      <c r="BN157" s="468"/>
      <c r="BO157" s="468"/>
      <c r="BP157" s="468"/>
      <c r="BQ157" s="468"/>
      <c r="BR157" s="468"/>
      <c r="BS157" s="468"/>
      <c r="BT157" s="468"/>
      <c r="BU157" s="468"/>
      <c r="BV157" s="468"/>
      <c r="BW157" s="468"/>
      <c r="BX157" s="468"/>
      <c r="BY157" s="2135"/>
      <c r="BZ157" s="2135"/>
      <c r="CA157" s="2135"/>
      <c r="CB157" s="2135"/>
      <c r="CC157" s="2135"/>
      <c r="CD157" s="2135"/>
      <c r="CE157" s="2135"/>
      <c r="CF157" s="2135"/>
      <c r="CG157" s="2135"/>
      <c r="CH157" s="468"/>
      <c r="CI157" s="468"/>
      <c r="CJ157" s="468"/>
      <c r="CK157" s="468"/>
      <c r="CL157" s="468"/>
      <c r="CM157" s="468"/>
      <c r="CN157" s="468"/>
      <c r="CO157" s="468"/>
      <c r="CP157" s="468"/>
      <c r="CQ157" s="468"/>
      <c r="CR157" s="468"/>
      <c r="CS157" s="468"/>
      <c r="CT157" s="468"/>
      <c r="CU157" s="468"/>
      <c r="CV157" s="468"/>
      <c r="CW157" s="468"/>
      <c r="CX157" s="468"/>
      <c r="CY157" s="468"/>
      <c r="CZ157" s="468"/>
      <c r="DA157" s="468"/>
      <c r="DB157" s="468"/>
      <c r="DC157" s="468"/>
      <c r="DD157" s="468"/>
      <c r="DE157" s="468"/>
      <c r="DF157" s="468"/>
      <c r="DG157" s="468"/>
      <c r="DH157" s="468"/>
      <c r="DI157" s="468"/>
      <c r="DJ157" s="468"/>
      <c r="DK157" s="468"/>
      <c r="DL157" s="468"/>
      <c r="DM157" s="468"/>
      <c r="DN157" s="468"/>
      <c r="DO157" s="468"/>
      <c r="DP157" s="468"/>
      <c r="DQ157" s="468"/>
      <c r="DR157" s="468"/>
      <c r="DS157" s="468"/>
      <c r="DT157" s="468"/>
      <c r="DU157" s="468"/>
      <c r="DV157" s="468"/>
      <c r="DW157" s="468"/>
      <c r="DX157" s="468"/>
      <c r="DY157" s="468"/>
      <c r="DZ157" s="468"/>
      <c r="EA157" s="468"/>
      <c r="EB157" s="468"/>
      <c r="EC157" s="468"/>
      <c r="ED157" s="468"/>
      <c r="EE157" s="468"/>
      <c r="EF157" s="468"/>
      <c r="EG157" s="468"/>
      <c r="EH157" s="468"/>
      <c r="EI157" s="471"/>
      <c r="EJ157" s="468"/>
      <c r="EK157" s="468"/>
      <c r="EL157" s="468"/>
      <c r="EM157" s="468"/>
      <c r="EN157" s="468"/>
      <c r="EO157" s="468"/>
      <c r="EP157" s="468"/>
      <c r="EQ157" s="468"/>
      <c r="ER157" s="468"/>
      <c r="ES157" s="468"/>
      <c r="ET157" s="468"/>
      <c r="EU157" s="468"/>
      <c r="EV157" s="468"/>
      <c r="EW157" s="468"/>
      <c r="EX157" s="468"/>
      <c r="EY157" s="468"/>
      <c r="EZ157" s="468"/>
      <c r="FA157" s="468"/>
      <c r="FB157" s="468"/>
      <c r="FC157" s="468"/>
      <c r="FD157" s="468"/>
      <c r="FE157" s="468"/>
      <c r="FF157" s="468"/>
      <c r="FG157" s="468"/>
      <c r="FH157" s="468"/>
      <c r="FI157" s="468"/>
      <c r="FJ157" s="468"/>
      <c r="FK157" s="468"/>
      <c r="FL157" s="468"/>
      <c r="FM157" s="2137"/>
      <c r="FN157" s="468"/>
      <c r="FO157" s="468"/>
      <c r="FP157" s="468"/>
      <c r="FQ157" s="468"/>
      <c r="FR157" s="468"/>
      <c r="FS157" s="468"/>
      <c r="FT157" s="468"/>
      <c r="FU157" s="468"/>
      <c r="FV157" s="468"/>
      <c r="FW157" s="468"/>
      <c r="FX157" s="468"/>
      <c r="FY157" s="468"/>
      <c r="FZ157" s="468"/>
      <c r="GA157" s="468"/>
      <c r="GB157" s="468"/>
      <c r="GC157" s="468"/>
      <c r="GD157" s="468"/>
      <c r="GE157" s="468"/>
      <c r="GF157" s="468"/>
      <c r="GG157" s="468"/>
      <c r="GH157" s="468"/>
      <c r="GI157" s="468"/>
      <c r="GJ157" s="468"/>
      <c r="GK157" s="468"/>
      <c r="GL157" s="468"/>
      <c r="GM157" s="468"/>
      <c r="GN157" s="468"/>
      <c r="GO157" s="468"/>
      <c r="GP157" s="468"/>
      <c r="GQ157" s="468"/>
      <c r="GR157" s="468"/>
      <c r="GS157" s="468"/>
      <c r="GT157" s="468"/>
      <c r="GU157" s="2135"/>
    </row>
    <row r="158" spans="1:203" ht="18.899999999999999" customHeight="1">
      <c r="A158" s="2135"/>
      <c r="B158" s="2135"/>
      <c r="C158" s="2136"/>
      <c r="D158" s="468"/>
      <c r="E158" s="468"/>
      <c r="F158" s="468"/>
      <c r="G158" s="468"/>
      <c r="H158" s="468"/>
      <c r="I158" s="468"/>
      <c r="J158" s="468"/>
      <c r="K158" s="468"/>
      <c r="L158" s="468"/>
      <c r="M158" s="468"/>
      <c r="N158" s="468"/>
      <c r="O158" s="468"/>
      <c r="P158" s="468"/>
      <c r="Q158" s="468"/>
      <c r="R158" s="468"/>
      <c r="S158" s="468"/>
      <c r="T158" s="468"/>
      <c r="U158" s="468"/>
      <c r="V158" s="468"/>
      <c r="W158" s="468"/>
      <c r="X158" s="468"/>
      <c r="Y158" s="468"/>
      <c r="Z158" s="468"/>
      <c r="AA158" s="468"/>
      <c r="AB158" s="468"/>
      <c r="AC158" s="468"/>
      <c r="AD158" s="468"/>
      <c r="AE158" s="468"/>
      <c r="AF158" s="468"/>
      <c r="AG158" s="468"/>
      <c r="AH158" s="468"/>
      <c r="AI158" s="468"/>
      <c r="AJ158" s="468"/>
      <c r="AK158" s="468"/>
      <c r="AL158" s="468"/>
      <c r="AM158" s="468"/>
      <c r="AN158" s="468"/>
      <c r="AO158" s="468"/>
      <c r="AP158" s="468"/>
      <c r="AQ158" s="468"/>
      <c r="AR158" s="468"/>
      <c r="AS158" s="468"/>
      <c r="AT158" s="468"/>
      <c r="AU158" s="468"/>
      <c r="AV158" s="468"/>
      <c r="AW158" s="468"/>
      <c r="AX158" s="468"/>
      <c r="AY158" s="468"/>
      <c r="AZ158" s="468"/>
      <c r="BA158" s="468"/>
      <c r="BB158" s="468"/>
      <c r="BC158" s="468"/>
      <c r="BD158" s="468"/>
      <c r="BE158" s="468"/>
      <c r="BF158" s="2135"/>
      <c r="BG158" s="2135"/>
      <c r="BH158" s="2135"/>
      <c r="BI158" s="2135"/>
      <c r="BJ158" s="2135"/>
      <c r="BK158" s="2135"/>
      <c r="BL158" s="2135"/>
      <c r="BM158" s="468"/>
      <c r="BN158" s="468"/>
      <c r="BO158" s="468"/>
      <c r="BP158" s="468"/>
      <c r="BQ158" s="468"/>
      <c r="BR158" s="468"/>
      <c r="BS158" s="468"/>
      <c r="BT158" s="468"/>
      <c r="BU158" s="468"/>
      <c r="BV158" s="468"/>
      <c r="BW158" s="468"/>
      <c r="BX158" s="468"/>
      <c r="BY158" s="2135"/>
      <c r="BZ158" s="2135"/>
      <c r="CA158" s="2135"/>
      <c r="CB158" s="2135"/>
      <c r="CC158" s="2135"/>
      <c r="CD158" s="2135"/>
      <c r="CE158" s="2135"/>
      <c r="CF158" s="2135"/>
      <c r="CG158" s="2135"/>
      <c r="CH158" s="468"/>
      <c r="CI158" s="468"/>
      <c r="CJ158" s="468"/>
      <c r="CK158" s="468"/>
      <c r="CL158" s="468"/>
      <c r="CM158" s="468"/>
      <c r="CN158" s="468"/>
      <c r="CO158" s="468"/>
      <c r="CP158" s="468"/>
      <c r="CQ158" s="468"/>
      <c r="CR158" s="468"/>
      <c r="CS158" s="468"/>
      <c r="CT158" s="468"/>
      <c r="CU158" s="468"/>
      <c r="CV158" s="468"/>
      <c r="CW158" s="468"/>
      <c r="CX158" s="468"/>
      <c r="CY158" s="468"/>
      <c r="CZ158" s="468"/>
      <c r="DA158" s="468"/>
      <c r="DB158" s="468"/>
      <c r="DC158" s="468"/>
      <c r="DD158" s="468"/>
      <c r="DE158" s="468"/>
      <c r="DF158" s="468"/>
      <c r="DG158" s="468"/>
      <c r="DH158" s="468"/>
      <c r="DI158" s="468"/>
      <c r="DJ158" s="468"/>
      <c r="DK158" s="468"/>
      <c r="DL158" s="468"/>
      <c r="DM158" s="468"/>
      <c r="DN158" s="468"/>
      <c r="DO158" s="468"/>
      <c r="DP158" s="468"/>
      <c r="DQ158" s="468"/>
      <c r="DR158" s="468"/>
      <c r="DS158" s="468"/>
      <c r="DT158" s="468"/>
      <c r="DU158" s="468"/>
      <c r="DV158" s="468"/>
      <c r="DW158" s="468"/>
      <c r="DX158" s="468"/>
      <c r="DY158" s="468"/>
      <c r="DZ158" s="468"/>
      <c r="EA158" s="468"/>
      <c r="EB158" s="468"/>
      <c r="EC158" s="468"/>
      <c r="ED158" s="468"/>
      <c r="EE158" s="468"/>
      <c r="EF158" s="468"/>
      <c r="EG158" s="468"/>
      <c r="EH158" s="468"/>
      <c r="EI158" s="471"/>
      <c r="EJ158" s="468"/>
      <c r="EK158" s="468"/>
      <c r="EL158" s="468"/>
      <c r="EM158" s="468"/>
      <c r="EN158" s="468"/>
      <c r="EO158" s="468"/>
      <c r="EP158" s="468"/>
      <c r="EQ158" s="468"/>
      <c r="ER158" s="468"/>
      <c r="ES158" s="468"/>
      <c r="ET158" s="468"/>
      <c r="EU158" s="468"/>
      <c r="EV158" s="468"/>
      <c r="EW158" s="468"/>
      <c r="EX158" s="468"/>
      <c r="EY158" s="468"/>
      <c r="EZ158" s="468"/>
      <c r="FA158" s="468"/>
      <c r="FB158" s="468"/>
      <c r="FC158" s="468"/>
      <c r="FD158" s="468"/>
      <c r="FE158" s="468"/>
      <c r="FF158" s="468"/>
      <c r="FG158" s="468"/>
      <c r="FH158" s="468"/>
      <c r="FI158" s="468"/>
      <c r="FJ158" s="468"/>
      <c r="FK158" s="468"/>
      <c r="FL158" s="468"/>
      <c r="FM158" s="2137"/>
      <c r="FN158" s="468"/>
      <c r="FO158" s="468"/>
      <c r="FP158" s="468"/>
      <c r="FQ158" s="468"/>
      <c r="FR158" s="468"/>
      <c r="FS158" s="468"/>
      <c r="FT158" s="468"/>
      <c r="FU158" s="468"/>
      <c r="FV158" s="468"/>
      <c r="FW158" s="468"/>
      <c r="FX158" s="468"/>
      <c r="FY158" s="468"/>
      <c r="FZ158" s="468"/>
      <c r="GA158" s="468"/>
      <c r="GB158" s="468"/>
      <c r="GC158" s="468"/>
      <c r="GD158" s="468"/>
      <c r="GE158" s="468"/>
      <c r="GF158" s="468"/>
      <c r="GG158" s="468"/>
      <c r="GH158" s="468"/>
      <c r="GI158" s="468"/>
      <c r="GJ158" s="468"/>
      <c r="GK158" s="468"/>
      <c r="GL158" s="468"/>
      <c r="GM158" s="468"/>
      <c r="GN158" s="468"/>
      <c r="GO158" s="468"/>
      <c r="GP158" s="468"/>
      <c r="GQ158" s="468"/>
      <c r="GR158" s="468"/>
      <c r="GS158" s="468"/>
      <c r="GT158" s="468"/>
      <c r="GU158" s="2135"/>
    </row>
    <row r="159" spans="1:203" ht="18.899999999999999" customHeight="1">
      <c r="A159" s="2135"/>
      <c r="B159" s="2135"/>
      <c r="C159" s="2136"/>
      <c r="D159" s="468"/>
      <c r="E159" s="468"/>
      <c r="F159" s="468"/>
      <c r="G159" s="468"/>
      <c r="H159" s="468"/>
      <c r="I159" s="468"/>
      <c r="J159" s="468"/>
      <c r="K159" s="468"/>
      <c r="L159" s="468"/>
      <c r="M159" s="468"/>
      <c r="N159" s="468"/>
      <c r="O159" s="468"/>
      <c r="P159" s="468"/>
      <c r="Q159" s="468"/>
      <c r="R159" s="468"/>
      <c r="S159" s="468"/>
      <c r="T159" s="468"/>
      <c r="U159" s="468"/>
      <c r="V159" s="468"/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468"/>
      <c r="AH159" s="468"/>
      <c r="AI159" s="468"/>
      <c r="AJ159" s="468"/>
      <c r="AK159" s="468"/>
      <c r="AL159" s="468"/>
      <c r="AM159" s="468"/>
      <c r="AN159" s="468"/>
      <c r="AO159" s="468"/>
      <c r="AP159" s="468"/>
      <c r="AQ159" s="468"/>
      <c r="AR159" s="468"/>
      <c r="AS159" s="468"/>
      <c r="AT159" s="468"/>
      <c r="AU159" s="468"/>
      <c r="AV159" s="468"/>
      <c r="AW159" s="468"/>
      <c r="AX159" s="468"/>
      <c r="AY159" s="468"/>
      <c r="AZ159" s="468"/>
      <c r="BA159" s="468"/>
      <c r="BB159" s="468"/>
      <c r="BC159" s="468"/>
      <c r="BD159" s="468"/>
      <c r="BE159" s="468"/>
      <c r="BF159" s="2135"/>
      <c r="BG159" s="2135"/>
      <c r="BH159" s="2135"/>
      <c r="BI159" s="2135"/>
      <c r="BJ159" s="2135"/>
      <c r="BK159" s="2135"/>
      <c r="BL159" s="2135"/>
      <c r="BM159" s="468"/>
      <c r="BN159" s="468"/>
      <c r="BO159" s="468"/>
      <c r="BP159" s="468"/>
      <c r="BQ159" s="468"/>
      <c r="BR159" s="468"/>
      <c r="BS159" s="468"/>
      <c r="BT159" s="468"/>
      <c r="BU159" s="468"/>
      <c r="BV159" s="468"/>
      <c r="BW159" s="468"/>
      <c r="BX159" s="468"/>
      <c r="BY159" s="2135"/>
      <c r="BZ159" s="2135"/>
      <c r="CA159" s="2135"/>
      <c r="CB159" s="2135"/>
      <c r="CC159" s="2135"/>
      <c r="CD159" s="2135"/>
      <c r="CE159" s="2135"/>
      <c r="CF159" s="2135"/>
      <c r="CG159" s="2135"/>
      <c r="CH159" s="468"/>
      <c r="CI159" s="468"/>
      <c r="CJ159" s="468"/>
      <c r="CK159" s="468"/>
      <c r="CL159" s="468"/>
      <c r="CM159" s="468"/>
      <c r="CN159" s="468"/>
      <c r="CO159" s="468"/>
      <c r="CP159" s="468"/>
      <c r="CQ159" s="468"/>
      <c r="CR159" s="468"/>
      <c r="CS159" s="468"/>
      <c r="CT159" s="468"/>
      <c r="CU159" s="468"/>
      <c r="CV159" s="468"/>
      <c r="CW159" s="468"/>
      <c r="CX159" s="468"/>
      <c r="CY159" s="468"/>
      <c r="CZ159" s="468"/>
      <c r="DA159" s="468"/>
      <c r="DB159" s="468"/>
      <c r="DC159" s="468"/>
      <c r="DD159" s="468"/>
      <c r="DE159" s="468"/>
      <c r="DF159" s="468"/>
      <c r="DG159" s="468"/>
      <c r="DH159" s="468"/>
      <c r="DI159" s="468"/>
      <c r="DJ159" s="468"/>
      <c r="DK159" s="468"/>
      <c r="DL159" s="468"/>
      <c r="DM159" s="468"/>
      <c r="DN159" s="468"/>
      <c r="DO159" s="468"/>
      <c r="DP159" s="468"/>
      <c r="DQ159" s="468"/>
      <c r="DR159" s="468"/>
      <c r="DS159" s="468"/>
      <c r="DT159" s="468"/>
      <c r="DU159" s="468"/>
      <c r="DV159" s="468"/>
      <c r="DW159" s="468"/>
      <c r="DX159" s="468"/>
      <c r="DY159" s="468"/>
      <c r="DZ159" s="468"/>
      <c r="EA159" s="468"/>
      <c r="EB159" s="468"/>
      <c r="EC159" s="468"/>
      <c r="ED159" s="468"/>
      <c r="EE159" s="468"/>
      <c r="EF159" s="468"/>
      <c r="EG159" s="468"/>
      <c r="EH159" s="468"/>
      <c r="EI159" s="471"/>
      <c r="EJ159" s="468"/>
      <c r="EK159" s="468"/>
      <c r="EL159" s="468"/>
      <c r="EM159" s="468"/>
      <c r="EN159" s="468"/>
      <c r="EO159" s="468"/>
      <c r="EP159" s="468"/>
      <c r="EQ159" s="468"/>
      <c r="ER159" s="468"/>
      <c r="ES159" s="468"/>
      <c r="ET159" s="468"/>
      <c r="EU159" s="468"/>
      <c r="EV159" s="468"/>
      <c r="EW159" s="468"/>
      <c r="EX159" s="468"/>
      <c r="EY159" s="468"/>
      <c r="EZ159" s="468"/>
      <c r="FA159" s="468"/>
      <c r="FB159" s="468"/>
      <c r="FC159" s="468"/>
      <c r="FD159" s="468"/>
      <c r="FE159" s="468"/>
      <c r="FF159" s="468"/>
      <c r="FG159" s="468"/>
      <c r="FH159" s="468"/>
      <c r="FI159" s="468"/>
      <c r="FJ159" s="468"/>
      <c r="FK159" s="468"/>
      <c r="FL159" s="468"/>
      <c r="FM159" s="2137"/>
      <c r="FN159" s="468"/>
      <c r="FO159" s="468"/>
      <c r="FP159" s="468"/>
      <c r="FQ159" s="468"/>
      <c r="FR159" s="468"/>
      <c r="FS159" s="468"/>
      <c r="FT159" s="468"/>
      <c r="FU159" s="468"/>
      <c r="FV159" s="468"/>
      <c r="FW159" s="468"/>
      <c r="FX159" s="468"/>
      <c r="FY159" s="468"/>
      <c r="FZ159" s="468"/>
      <c r="GA159" s="468"/>
      <c r="GB159" s="468"/>
      <c r="GC159" s="468"/>
      <c r="GD159" s="468"/>
      <c r="GE159" s="468"/>
      <c r="GF159" s="468"/>
      <c r="GG159" s="468"/>
      <c r="GH159" s="468"/>
      <c r="GI159" s="468"/>
      <c r="GJ159" s="468"/>
      <c r="GK159" s="468"/>
      <c r="GL159" s="468"/>
      <c r="GM159" s="468"/>
      <c r="GN159" s="468"/>
      <c r="GO159" s="468"/>
      <c r="GP159" s="468"/>
      <c r="GQ159" s="468"/>
      <c r="GR159" s="468"/>
      <c r="GS159" s="468"/>
      <c r="GT159" s="468"/>
      <c r="GU159" s="2135"/>
    </row>
    <row r="160" spans="1:203" ht="18.899999999999999" customHeight="1">
      <c r="A160" s="2135"/>
      <c r="B160" s="2135"/>
      <c r="C160" s="2136"/>
      <c r="D160" s="468"/>
      <c r="E160" s="468"/>
      <c r="F160" s="468"/>
      <c r="G160" s="468"/>
      <c r="H160" s="468"/>
      <c r="I160" s="468"/>
      <c r="J160" s="468"/>
      <c r="K160" s="468"/>
      <c r="L160" s="468"/>
      <c r="M160" s="468"/>
      <c r="N160" s="468"/>
      <c r="O160" s="468"/>
      <c r="P160" s="468"/>
      <c r="Q160" s="468"/>
      <c r="R160" s="468"/>
      <c r="S160" s="468"/>
      <c r="T160" s="468"/>
      <c r="U160" s="468"/>
      <c r="V160" s="468"/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468"/>
      <c r="AH160" s="468"/>
      <c r="AI160" s="468"/>
      <c r="AJ160" s="468"/>
      <c r="AK160" s="468"/>
      <c r="AL160" s="468"/>
      <c r="AM160" s="468"/>
      <c r="AN160" s="468"/>
      <c r="AO160" s="468"/>
      <c r="AP160" s="468"/>
      <c r="AQ160" s="468"/>
      <c r="AR160" s="468"/>
      <c r="AS160" s="468"/>
      <c r="AT160" s="468"/>
      <c r="AU160" s="468"/>
      <c r="AV160" s="468"/>
      <c r="AW160" s="468"/>
      <c r="AX160" s="468"/>
      <c r="AY160" s="468"/>
      <c r="AZ160" s="468"/>
      <c r="BA160" s="468"/>
      <c r="BB160" s="468"/>
      <c r="BC160" s="468"/>
      <c r="BD160" s="468"/>
      <c r="BE160" s="468"/>
      <c r="BF160" s="2135"/>
      <c r="BG160" s="2135"/>
      <c r="BH160" s="2135"/>
      <c r="BI160" s="2135"/>
      <c r="BJ160" s="2135"/>
      <c r="BK160" s="2135"/>
      <c r="BL160" s="2135"/>
      <c r="BM160" s="468"/>
      <c r="BN160" s="468"/>
      <c r="BO160" s="468"/>
      <c r="BP160" s="468"/>
      <c r="BQ160" s="468"/>
      <c r="BR160" s="468"/>
      <c r="BS160" s="468"/>
      <c r="BT160" s="468"/>
      <c r="BU160" s="468"/>
      <c r="BV160" s="468"/>
      <c r="BW160" s="468"/>
      <c r="BX160" s="468"/>
      <c r="BY160" s="2135"/>
      <c r="BZ160" s="2135"/>
      <c r="CA160" s="2135"/>
      <c r="CB160" s="2135"/>
      <c r="CC160" s="2135"/>
      <c r="CD160" s="2135"/>
      <c r="CE160" s="2135"/>
      <c r="CF160" s="2135"/>
      <c r="CG160" s="2135"/>
      <c r="CH160" s="468"/>
      <c r="CI160" s="468"/>
      <c r="CJ160" s="468"/>
      <c r="CK160" s="468"/>
      <c r="CL160" s="468"/>
      <c r="CM160" s="468"/>
      <c r="CN160" s="468"/>
      <c r="CO160" s="468"/>
      <c r="CP160" s="468"/>
      <c r="CQ160" s="468"/>
      <c r="CR160" s="468"/>
      <c r="CS160" s="468"/>
      <c r="CT160" s="468"/>
      <c r="CU160" s="468"/>
      <c r="CV160" s="468"/>
      <c r="CW160" s="468"/>
      <c r="CX160" s="468"/>
      <c r="CY160" s="468"/>
      <c r="CZ160" s="468"/>
      <c r="DA160" s="468"/>
      <c r="DB160" s="468"/>
      <c r="DC160" s="468"/>
      <c r="DD160" s="468"/>
      <c r="DE160" s="468"/>
      <c r="DF160" s="468"/>
      <c r="DG160" s="468"/>
      <c r="DH160" s="468"/>
      <c r="DI160" s="468"/>
      <c r="DJ160" s="468"/>
      <c r="DK160" s="468"/>
      <c r="DL160" s="468"/>
      <c r="DM160" s="468"/>
      <c r="DN160" s="468"/>
      <c r="DO160" s="468"/>
      <c r="DP160" s="468"/>
      <c r="DQ160" s="468"/>
      <c r="DR160" s="468"/>
      <c r="DS160" s="468"/>
      <c r="DT160" s="468"/>
      <c r="DU160" s="468"/>
      <c r="DV160" s="468"/>
      <c r="DW160" s="468"/>
      <c r="DX160" s="468"/>
      <c r="DY160" s="468"/>
      <c r="DZ160" s="468"/>
      <c r="EA160" s="468"/>
      <c r="EB160" s="468"/>
      <c r="EC160" s="468"/>
      <c r="ED160" s="468"/>
      <c r="EE160" s="468"/>
      <c r="EF160" s="468"/>
      <c r="EG160" s="468"/>
      <c r="EH160" s="468"/>
      <c r="EI160" s="471"/>
      <c r="EJ160" s="468"/>
      <c r="EK160" s="468"/>
      <c r="EL160" s="468"/>
      <c r="EM160" s="468"/>
      <c r="EN160" s="468"/>
      <c r="EO160" s="468"/>
      <c r="EP160" s="468"/>
      <c r="EQ160" s="468"/>
      <c r="ER160" s="468"/>
      <c r="ES160" s="468"/>
      <c r="ET160" s="468"/>
      <c r="EU160" s="468"/>
      <c r="EV160" s="468"/>
      <c r="EW160" s="468"/>
      <c r="EX160" s="468"/>
      <c r="EY160" s="468"/>
      <c r="EZ160" s="468"/>
      <c r="FA160" s="468"/>
      <c r="FB160" s="468"/>
      <c r="FC160" s="468"/>
      <c r="FD160" s="468"/>
      <c r="FE160" s="468"/>
      <c r="FF160" s="468"/>
      <c r="FG160" s="468"/>
      <c r="FH160" s="468"/>
      <c r="FI160" s="468"/>
      <c r="FJ160" s="468"/>
      <c r="FK160" s="468"/>
      <c r="FL160" s="468"/>
      <c r="FM160" s="2137"/>
      <c r="FN160" s="468"/>
      <c r="FO160" s="468"/>
      <c r="FP160" s="468"/>
      <c r="FQ160" s="468"/>
      <c r="FR160" s="468"/>
      <c r="FS160" s="468"/>
      <c r="FT160" s="468"/>
      <c r="FU160" s="468"/>
      <c r="FV160" s="468"/>
      <c r="FW160" s="468"/>
      <c r="FX160" s="468"/>
      <c r="FY160" s="468"/>
      <c r="FZ160" s="468"/>
      <c r="GA160" s="468"/>
      <c r="GB160" s="468"/>
      <c r="GC160" s="468"/>
      <c r="GD160" s="468"/>
      <c r="GE160" s="468"/>
      <c r="GF160" s="468"/>
      <c r="GG160" s="468"/>
      <c r="GH160" s="468"/>
      <c r="GI160" s="468"/>
      <c r="GJ160" s="468"/>
      <c r="GK160" s="468"/>
      <c r="GL160" s="468"/>
      <c r="GM160" s="468"/>
      <c r="GN160" s="468"/>
      <c r="GO160" s="468"/>
      <c r="GP160" s="468"/>
      <c r="GQ160" s="468"/>
      <c r="GR160" s="468"/>
      <c r="GS160" s="468"/>
      <c r="GT160" s="468"/>
      <c r="GU160" s="2135"/>
    </row>
    <row r="161" spans="1:203" ht="18.899999999999999" customHeight="1">
      <c r="A161" s="2135"/>
      <c r="B161" s="2135"/>
      <c r="C161" s="2136"/>
      <c r="D161" s="468"/>
      <c r="E161" s="468"/>
      <c r="F161" s="468"/>
      <c r="G161" s="468"/>
      <c r="H161" s="468"/>
      <c r="I161" s="468"/>
      <c r="J161" s="468"/>
      <c r="K161" s="468"/>
      <c r="L161" s="468"/>
      <c r="M161" s="468"/>
      <c r="N161" s="468"/>
      <c r="O161" s="468"/>
      <c r="P161" s="468"/>
      <c r="Q161" s="468"/>
      <c r="R161" s="468"/>
      <c r="S161" s="468"/>
      <c r="T161" s="468"/>
      <c r="U161" s="468"/>
      <c r="V161" s="468"/>
      <c r="W161" s="468"/>
      <c r="X161" s="468"/>
      <c r="Y161" s="468"/>
      <c r="Z161" s="468"/>
      <c r="AA161" s="468"/>
      <c r="AB161" s="468"/>
      <c r="AC161" s="468"/>
      <c r="AD161" s="468"/>
      <c r="AE161" s="468"/>
      <c r="AF161" s="468"/>
      <c r="AG161" s="468"/>
      <c r="AH161" s="468"/>
      <c r="AI161" s="468"/>
      <c r="AJ161" s="468"/>
      <c r="AK161" s="468"/>
      <c r="AL161" s="468"/>
      <c r="AM161" s="468"/>
      <c r="AN161" s="468"/>
      <c r="AO161" s="468"/>
      <c r="AP161" s="468"/>
      <c r="AQ161" s="468"/>
      <c r="AR161" s="468"/>
      <c r="AS161" s="468"/>
      <c r="AT161" s="468"/>
      <c r="AU161" s="468"/>
      <c r="AV161" s="468"/>
      <c r="AW161" s="468"/>
      <c r="AX161" s="468"/>
      <c r="AY161" s="468"/>
      <c r="AZ161" s="468"/>
      <c r="BA161" s="468"/>
      <c r="BB161" s="468"/>
      <c r="BC161" s="468"/>
      <c r="BD161" s="468"/>
      <c r="BE161" s="468"/>
      <c r="BF161" s="2135"/>
      <c r="BG161" s="2135"/>
      <c r="BH161" s="2135"/>
      <c r="BI161" s="2135"/>
      <c r="BJ161" s="2135"/>
      <c r="BK161" s="2135"/>
      <c r="BL161" s="2135"/>
      <c r="BM161" s="468"/>
      <c r="BN161" s="468"/>
      <c r="BO161" s="468"/>
      <c r="BP161" s="468"/>
      <c r="BQ161" s="468"/>
      <c r="BR161" s="468"/>
      <c r="BS161" s="468"/>
      <c r="BT161" s="468"/>
      <c r="BU161" s="468"/>
      <c r="BV161" s="468"/>
      <c r="BW161" s="468"/>
      <c r="BX161" s="468"/>
      <c r="BY161" s="2135"/>
      <c r="BZ161" s="2135"/>
      <c r="CA161" s="2135"/>
      <c r="CB161" s="2135"/>
      <c r="CC161" s="2135"/>
      <c r="CD161" s="2135"/>
      <c r="CE161" s="2135"/>
      <c r="CF161" s="2135"/>
      <c r="CG161" s="2135"/>
      <c r="CH161" s="468"/>
      <c r="CI161" s="468"/>
      <c r="CJ161" s="468"/>
      <c r="CK161" s="468"/>
      <c r="CL161" s="468"/>
      <c r="CM161" s="468"/>
      <c r="CN161" s="468"/>
      <c r="CO161" s="468"/>
      <c r="CP161" s="468"/>
      <c r="CQ161" s="468"/>
      <c r="CR161" s="468"/>
      <c r="CS161" s="468"/>
      <c r="CT161" s="468"/>
      <c r="CU161" s="468"/>
      <c r="CV161" s="468"/>
      <c r="CW161" s="468"/>
      <c r="CX161" s="468"/>
      <c r="CY161" s="468"/>
      <c r="CZ161" s="468"/>
      <c r="DA161" s="468"/>
      <c r="DB161" s="468"/>
      <c r="DC161" s="468"/>
      <c r="DD161" s="468"/>
      <c r="DE161" s="468"/>
      <c r="DF161" s="468"/>
      <c r="DG161" s="468"/>
      <c r="DH161" s="468"/>
      <c r="DI161" s="468"/>
      <c r="DJ161" s="468"/>
      <c r="DK161" s="468"/>
      <c r="DL161" s="468"/>
      <c r="DM161" s="468"/>
      <c r="DN161" s="468"/>
      <c r="DO161" s="468"/>
      <c r="DP161" s="468"/>
      <c r="DQ161" s="468"/>
      <c r="DR161" s="468"/>
      <c r="DS161" s="468"/>
      <c r="DT161" s="468"/>
      <c r="DU161" s="468"/>
      <c r="DV161" s="468"/>
      <c r="DW161" s="468"/>
      <c r="DX161" s="468"/>
      <c r="DY161" s="468"/>
      <c r="DZ161" s="468"/>
      <c r="EA161" s="468"/>
      <c r="EB161" s="468"/>
      <c r="EC161" s="468"/>
      <c r="ED161" s="468"/>
      <c r="EE161" s="468"/>
      <c r="EF161" s="468"/>
      <c r="EG161" s="468"/>
      <c r="EH161" s="468"/>
      <c r="EI161" s="471"/>
      <c r="EJ161" s="468"/>
      <c r="EK161" s="468"/>
      <c r="EL161" s="468"/>
      <c r="EM161" s="468"/>
      <c r="EN161" s="468"/>
      <c r="EO161" s="468"/>
      <c r="EP161" s="468"/>
      <c r="EQ161" s="468"/>
      <c r="ER161" s="468"/>
      <c r="ES161" s="468"/>
      <c r="ET161" s="468"/>
      <c r="EU161" s="468"/>
      <c r="EV161" s="468"/>
      <c r="EW161" s="468"/>
      <c r="EX161" s="468"/>
      <c r="EY161" s="468"/>
      <c r="EZ161" s="468"/>
      <c r="FA161" s="468"/>
      <c r="FB161" s="468"/>
      <c r="FC161" s="468"/>
      <c r="FD161" s="468"/>
      <c r="FE161" s="468"/>
      <c r="FF161" s="468"/>
      <c r="FG161" s="468"/>
      <c r="FH161" s="468"/>
      <c r="FI161" s="468"/>
      <c r="FJ161" s="468"/>
      <c r="FK161" s="468"/>
      <c r="FL161" s="468"/>
      <c r="FM161" s="2137"/>
      <c r="FN161" s="468"/>
      <c r="FO161" s="468"/>
      <c r="FP161" s="468"/>
      <c r="FQ161" s="468"/>
      <c r="FR161" s="468"/>
      <c r="FS161" s="468"/>
      <c r="FT161" s="468"/>
      <c r="FU161" s="468"/>
      <c r="FV161" s="468"/>
      <c r="FW161" s="468"/>
      <c r="FX161" s="468"/>
      <c r="FY161" s="468"/>
      <c r="FZ161" s="468"/>
      <c r="GA161" s="468"/>
      <c r="GB161" s="468"/>
      <c r="GC161" s="468"/>
      <c r="GD161" s="468"/>
      <c r="GE161" s="468"/>
      <c r="GF161" s="468"/>
      <c r="GG161" s="468"/>
      <c r="GH161" s="468"/>
      <c r="GI161" s="468"/>
      <c r="GJ161" s="468"/>
      <c r="GK161" s="468"/>
      <c r="GL161" s="468"/>
      <c r="GM161" s="468"/>
      <c r="GN161" s="468"/>
      <c r="GO161" s="468"/>
      <c r="GP161" s="468"/>
      <c r="GQ161" s="468"/>
      <c r="GR161" s="468"/>
      <c r="GS161" s="468"/>
      <c r="GT161" s="468"/>
      <c r="GU161" s="2135"/>
    </row>
    <row r="162" spans="1:203" ht="18.899999999999999" customHeight="1">
      <c r="A162" s="2135"/>
      <c r="B162" s="2135"/>
      <c r="C162" s="2136"/>
      <c r="D162" s="468"/>
      <c r="E162" s="468"/>
      <c r="F162" s="468"/>
      <c r="G162" s="468"/>
      <c r="H162" s="468"/>
      <c r="I162" s="468"/>
      <c r="J162" s="468"/>
      <c r="K162" s="468"/>
      <c r="L162" s="468"/>
      <c r="M162" s="468"/>
      <c r="N162" s="468"/>
      <c r="O162" s="468"/>
      <c r="P162" s="468"/>
      <c r="Q162" s="468"/>
      <c r="R162" s="468"/>
      <c r="S162" s="468"/>
      <c r="T162" s="468"/>
      <c r="U162" s="468"/>
      <c r="V162" s="468"/>
      <c r="W162" s="468"/>
      <c r="X162" s="468"/>
      <c r="Y162" s="468"/>
      <c r="Z162" s="468"/>
      <c r="AA162" s="468"/>
      <c r="AB162" s="468"/>
      <c r="AC162" s="468"/>
      <c r="AD162" s="468"/>
      <c r="AE162" s="468"/>
      <c r="AF162" s="468"/>
      <c r="AG162" s="468"/>
      <c r="AH162" s="468"/>
      <c r="AI162" s="468"/>
      <c r="AJ162" s="468"/>
      <c r="AK162" s="468"/>
      <c r="AL162" s="468"/>
      <c r="AM162" s="468"/>
      <c r="AN162" s="468"/>
      <c r="AO162" s="468"/>
      <c r="AP162" s="468"/>
      <c r="AQ162" s="468"/>
      <c r="AR162" s="468"/>
      <c r="AS162" s="468"/>
      <c r="AT162" s="468"/>
      <c r="AU162" s="468"/>
      <c r="AV162" s="468"/>
      <c r="AW162" s="468"/>
      <c r="AX162" s="468"/>
      <c r="AY162" s="468"/>
      <c r="AZ162" s="468"/>
      <c r="BA162" s="468"/>
      <c r="BB162" s="468"/>
      <c r="BC162" s="468"/>
      <c r="BD162" s="468"/>
      <c r="BE162" s="468"/>
      <c r="BF162" s="2135"/>
      <c r="BG162" s="2135"/>
      <c r="BH162" s="2135"/>
      <c r="BI162" s="2135"/>
      <c r="BJ162" s="2135"/>
      <c r="BK162" s="2135"/>
      <c r="BL162" s="2135"/>
      <c r="BM162" s="468"/>
      <c r="BN162" s="468"/>
      <c r="BO162" s="468"/>
      <c r="BP162" s="468"/>
      <c r="BQ162" s="468"/>
      <c r="BR162" s="468"/>
      <c r="BS162" s="468"/>
      <c r="BT162" s="468"/>
      <c r="BU162" s="468"/>
      <c r="BV162" s="468"/>
      <c r="BW162" s="468"/>
      <c r="BX162" s="468"/>
      <c r="BY162" s="2135"/>
      <c r="BZ162" s="2135"/>
      <c r="CA162" s="2135"/>
      <c r="CB162" s="2135"/>
      <c r="CC162" s="2135"/>
      <c r="CD162" s="2135"/>
      <c r="CE162" s="2135"/>
      <c r="CF162" s="2135"/>
      <c r="CG162" s="2135"/>
      <c r="CH162" s="468"/>
      <c r="CI162" s="468"/>
      <c r="CJ162" s="468"/>
      <c r="CK162" s="468"/>
      <c r="CL162" s="468"/>
      <c r="CM162" s="468"/>
      <c r="CN162" s="468"/>
      <c r="CO162" s="468"/>
      <c r="CP162" s="468"/>
      <c r="CQ162" s="468"/>
      <c r="CR162" s="468"/>
      <c r="CS162" s="468"/>
      <c r="CT162" s="468"/>
      <c r="CU162" s="468"/>
      <c r="CV162" s="468"/>
      <c r="CW162" s="468"/>
      <c r="CX162" s="468"/>
      <c r="CY162" s="468"/>
      <c r="CZ162" s="468"/>
      <c r="DA162" s="468"/>
      <c r="DB162" s="468"/>
      <c r="DC162" s="468"/>
      <c r="DD162" s="468"/>
      <c r="DE162" s="468"/>
      <c r="DF162" s="468"/>
      <c r="DG162" s="468"/>
      <c r="DH162" s="468"/>
      <c r="DI162" s="468"/>
      <c r="DJ162" s="468"/>
      <c r="DK162" s="468"/>
      <c r="DL162" s="468"/>
      <c r="DM162" s="468"/>
      <c r="DN162" s="468"/>
      <c r="DO162" s="468"/>
      <c r="DP162" s="468"/>
      <c r="DQ162" s="468"/>
      <c r="DR162" s="468"/>
      <c r="DS162" s="468"/>
      <c r="DT162" s="468"/>
      <c r="DU162" s="468"/>
      <c r="DV162" s="468"/>
      <c r="DW162" s="468"/>
      <c r="DX162" s="468"/>
      <c r="DY162" s="468"/>
      <c r="DZ162" s="468"/>
      <c r="EA162" s="468"/>
      <c r="EB162" s="468"/>
      <c r="EC162" s="468"/>
      <c r="ED162" s="468"/>
      <c r="EE162" s="468"/>
      <c r="EF162" s="468"/>
      <c r="EG162" s="468"/>
      <c r="EH162" s="468"/>
      <c r="EI162" s="471"/>
      <c r="EJ162" s="468"/>
      <c r="EK162" s="468"/>
      <c r="EL162" s="468"/>
      <c r="EM162" s="468"/>
      <c r="EN162" s="468"/>
      <c r="EO162" s="468"/>
      <c r="EP162" s="468"/>
      <c r="EQ162" s="468"/>
      <c r="ER162" s="468"/>
      <c r="ES162" s="468"/>
      <c r="ET162" s="468"/>
      <c r="EU162" s="468"/>
      <c r="EV162" s="468"/>
      <c r="EW162" s="468"/>
      <c r="EX162" s="468"/>
      <c r="EY162" s="468"/>
      <c r="EZ162" s="468"/>
      <c r="FA162" s="468"/>
      <c r="FB162" s="468"/>
      <c r="FC162" s="468"/>
      <c r="FD162" s="468"/>
      <c r="FE162" s="468"/>
      <c r="FF162" s="468"/>
      <c r="FG162" s="468"/>
      <c r="FH162" s="468"/>
      <c r="FI162" s="468"/>
      <c r="FJ162" s="468"/>
      <c r="FK162" s="468"/>
      <c r="FL162" s="468"/>
      <c r="FM162" s="2137"/>
      <c r="FN162" s="468"/>
      <c r="FO162" s="468"/>
      <c r="FP162" s="468"/>
      <c r="FQ162" s="468"/>
      <c r="FR162" s="468"/>
      <c r="FS162" s="468"/>
      <c r="FT162" s="468"/>
      <c r="FU162" s="468"/>
      <c r="FV162" s="468"/>
      <c r="FW162" s="468"/>
      <c r="FX162" s="468"/>
      <c r="FY162" s="468"/>
      <c r="FZ162" s="468"/>
      <c r="GA162" s="468"/>
      <c r="GB162" s="468"/>
      <c r="GC162" s="468"/>
      <c r="GD162" s="468"/>
      <c r="GE162" s="468"/>
      <c r="GF162" s="468"/>
      <c r="GG162" s="468"/>
      <c r="GH162" s="468"/>
      <c r="GI162" s="468"/>
      <c r="GJ162" s="468"/>
      <c r="GK162" s="468"/>
      <c r="GL162" s="468"/>
      <c r="GM162" s="468"/>
      <c r="GN162" s="468"/>
      <c r="GO162" s="468"/>
      <c r="GP162" s="468"/>
      <c r="GQ162" s="468"/>
      <c r="GR162" s="468"/>
      <c r="GS162" s="468"/>
      <c r="GT162" s="468"/>
      <c r="GU162" s="2135"/>
    </row>
    <row r="163" spans="1:203" ht="18.899999999999999" customHeight="1">
      <c r="E163" s="465"/>
      <c r="F163" s="465"/>
      <c r="G163" s="465"/>
      <c r="H163" s="465"/>
      <c r="I163" s="465"/>
      <c r="J163" s="465"/>
      <c r="K163" s="465"/>
      <c r="L163" s="465"/>
      <c r="AZ163" s="465"/>
      <c r="BA163" s="465"/>
      <c r="BB163" s="465"/>
      <c r="BC163" s="465"/>
      <c r="BD163" s="465"/>
      <c r="BE163" s="465"/>
      <c r="DJ163" s="465"/>
      <c r="DK163" s="465"/>
      <c r="DL163" s="465"/>
      <c r="DM163" s="465"/>
      <c r="DN163" s="465"/>
      <c r="DO163" s="465"/>
      <c r="DP163" s="465"/>
      <c r="DQ163" s="465"/>
      <c r="DR163" s="465"/>
      <c r="DS163" s="465"/>
      <c r="DT163" s="465"/>
      <c r="DU163" s="465"/>
      <c r="DV163" s="465"/>
      <c r="DW163" s="465"/>
      <c r="DX163" s="465"/>
      <c r="EF163" s="465"/>
      <c r="EG163" s="465"/>
      <c r="EH163" s="465"/>
    </row>
    <row r="164" spans="1:203" ht="18.899999999999999" customHeight="1">
      <c r="E164" s="465"/>
      <c r="F164" s="465"/>
      <c r="G164" s="465"/>
      <c r="H164" s="465"/>
      <c r="I164" s="465"/>
      <c r="J164" s="465"/>
      <c r="K164" s="465"/>
      <c r="L164" s="465"/>
      <c r="AZ164" s="465"/>
      <c r="BA164" s="465"/>
      <c r="BB164" s="465"/>
      <c r="BC164" s="465"/>
      <c r="BD164" s="465"/>
      <c r="BE164" s="465"/>
      <c r="DJ164" s="465"/>
      <c r="DK164" s="465"/>
      <c r="DL164" s="465"/>
      <c r="DM164" s="465"/>
      <c r="DN164" s="465"/>
      <c r="DO164" s="465"/>
      <c r="DP164" s="465"/>
      <c r="DQ164" s="465"/>
      <c r="DR164" s="465"/>
      <c r="DS164" s="465"/>
      <c r="DT164" s="465"/>
      <c r="DU164" s="465"/>
      <c r="DV164" s="465"/>
      <c r="DW164" s="465"/>
      <c r="DX164" s="465"/>
      <c r="EF164" s="465"/>
      <c r="EG164" s="465"/>
      <c r="EH164" s="465"/>
    </row>
    <row r="165" spans="1:203" ht="18.899999999999999" customHeight="1">
      <c r="E165" s="465"/>
      <c r="F165" s="465"/>
      <c r="G165" s="465"/>
      <c r="H165" s="465"/>
      <c r="I165" s="465"/>
      <c r="J165" s="465"/>
      <c r="K165" s="465"/>
      <c r="L165" s="465"/>
      <c r="AZ165" s="465"/>
      <c r="BA165" s="465"/>
      <c r="BB165" s="465"/>
      <c r="BC165" s="465"/>
      <c r="BD165" s="465"/>
      <c r="BE165" s="465"/>
      <c r="DJ165" s="465"/>
      <c r="DK165" s="465"/>
      <c r="DL165" s="465"/>
      <c r="DM165" s="465"/>
      <c r="DN165" s="465"/>
      <c r="DO165" s="465"/>
      <c r="DP165" s="465"/>
      <c r="DQ165" s="465"/>
      <c r="DR165" s="465"/>
      <c r="DS165" s="465"/>
      <c r="DT165" s="465"/>
      <c r="DU165" s="465"/>
      <c r="DV165" s="465"/>
      <c r="DW165" s="465"/>
      <c r="DX165" s="465"/>
      <c r="EF165" s="465"/>
      <c r="EG165" s="465"/>
      <c r="EH165" s="465"/>
    </row>
    <row r="166" spans="1:203" ht="18.899999999999999" customHeight="1">
      <c r="E166" s="465"/>
      <c r="F166" s="465"/>
      <c r="G166" s="465"/>
      <c r="H166" s="465"/>
      <c r="I166" s="465"/>
      <c r="J166" s="465"/>
      <c r="K166" s="465"/>
      <c r="L166" s="465"/>
      <c r="AZ166" s="465"/>
      <c r="BA166" s="465"/>
      <c r="BB166" s="465"/>
      <c r="BC166" s="465"/>
      <c r="BD166" s="465"/>
      <c r="BE166" s="465"/>
      <c r="DJ166" s="465"/>
      <c r="DK166" s="465"/>
      <c r="DL166" s="465"/>
      <c r="DM166" s="465"/>
      <c r="DN166" s="465"/>
      <c r="DO166" s="465"/>
      <c r="DP166" s="465"/>
      <c r="DQ166" s="465"/>
      <c r="DR166" s="465"/>
      <c r="DS166" s="465"/>
      <c r="DT166" s="465"/>
      <c r="DU166" s="465"/>
      <c r="DV166" s="465"/>
      <c r="DW166" s="465"/>
      <c r="DX166" s="465"/>
      <c r="EF166" s="465"/>
      <c r="EG166" s="465"/>
      <c r="EH166" s="465"/>
    </row>
    <row r="167" spans="1:203" ht="18.899999999999999" customHeight="1">
      <c r="E167" s="465"/>
      <c r="F167" s="465"/>
      <c r="G167" s="465"/>
      <c r="H167" s="465"/>
      <c r="I167" s="465"/>
      <c r="J167" s="465"/>
      <c r="K167" s="465"/>
      <c r="L167" s="465"/>
      <c r="AZ167" s="465"/>
      <c r="BA167" s="465"/>
      <c r="BB167" s="465"/>
      <c r="BC167" s="465"/>
      <c r="BD167" s="465"/>
      <c r="BE167" s="465"/>
      <c r="DJ167" s="465"/>
      <c r="DK167" s="465"/>
      <c r="DL167" s="465"/>
      <c r="DM167" s="465"/>
      <c r="DN167" s="465"/>
      <c r="DO167" s="465"/>
      <c r="DP167" s="465"/>
      <c r="DQ167" s="465"/>
      <c r="DR167" s="465"/>
      <c r="DS167" s="465"/>
      <c r="DT167" s="465"/>
      <c r="DU167" s="465"/>
      <c r="DV167" s="465"/>
      <c r="DW167" s="465"/>
      <c r="DX167" s="465"/>
      <c r="EF167" s="465"/>
      <c r="EG167" s="465"/>
      <c r="EH167" s="465"/>
    </row>
    <row r="168" spans="1:203" ht="18.899999999999999" customHeight="1">
      <c r="E168" s="465"/>
      <c r="F168" s="465"/>
      <c r="G168" s="465"/>
      <c r="H168" s="465"/>
      <c r="I168" s="465"/>
      <c r="J168" s="465"/>
      <c r="K168" s="465"/>
      <c r="L168" s="465"/>
      <c r="AZ168" s="465"/>
      <c r="BA168" s="465"/>
      <c r="BB168" s="465"/>
      <c r="BC168" s="465"/>
      <c r="BD168" s="465"/>
      <c r="BE168" s="465"/>
      <c r="DJ168" s="465"/>
      <c r="DK168" s="465"/>
      <c r="DL168" s="465"/>
      <c r="DM168" s="465"/>
      <c r="DN168" s="465"/>
      <c r="DO168" s="465"/>
      <c r="DP168" s="465"/>
      <c r="DQ168" s="465"/>
      <c r="DR168" s="465"/>
      <c r="DS168" s="465"/>
      <c r="DT168" s="465"/>
      <c r="DU168" s="465"/>
      <c r="DV168" s="465"/>
      <c r="DW168" s="465"/>
      <c r="DX168" s="465"/>
      <c r="EF168" s="465"/>
      <c r="EG168" s="465"/>
      <c r="EH168" s="465"/>
    </row>
    <row r="169" spans="1:203" ht="18.899999999999999" customHeight="1">
      <c r="E169" s="465"/>
      <c r="F169" s="465"/>
      <c r="G169" s="465"/>
      <c r="H169" s="465"/>
      <c r="I169" s="465"/>
      <c r="J169" s="465"/>
      <c r="K169" s="465"/>
      <c r="L169" s="465"/>
      <c r="AZ169" s="465"/>
      <c r="BA169" s="465"/>
      <c r="BB169" s="465"/>
      <c r="BC169" s="465"/>
      <c r="BD169" s="465"/>
      <c r="BE169" s="465"/>
      <c r="DJ169" s="465"/>
      <c r="DK169" s="465"/>
      <c r="DL169" s="465"/>
      <c r="DM169" s="465"/>
      <c r="DN169" s="465"/>
      <c r="DO169" s="465"/>
      <c r="DP169" s="465"/>
      <c r="DQ169" s="465"/>
      <c r="DR169" s="465"/>
      <c r="DS169" s="465"/>
      <c r="DT169" s="465"/>
      <c r="DU169" s="465"/>
      <c r="DV169" s="465"/>
      <c r="DW169" s="465"/>
      <c r="DX169" s="465"/>
      <c r="EF169" s="465"/>
      <c r="EG169" s="465"/>
      <c r="EH169" s="465"/>
    </row>
    <row r="170" spans="1:203" ht="18.899999999999999" customHeight="1">
      <c r="E170" s="465"/>
      <c r="F170" s="465"/>
      <c r="G170" s="465"/>
      <c r="H170" s="465"/>
      <c r="I170" s="465"/>
      <c r="J170" s="465"/>
      <c r="K170" s="465"/>
      <c r="L170" s="465"/>
      <c r="AZ170" s="465"/>
      <c r="BA170" s="465"/>
      <c r="BB170" s="465"/>
      <c r="BC170" s="465"/>
      <c r="BD170" s="465"/>
      <c r="BE170" s="465"/>
      <c r="DJ170" s="465"/>
      <c r="DK170" s="465"/>
      <c r="DL170" s="465"/>
      <c r="DM170" s="465"/>
      <c r="DN170" s="465"/>
      <c r="DO170" s="465"/>
      <c r="DP170" s="465"/>
      <c r="DQ170" s="465"/>
      <c r="DR170" s="465"/>
      <c r="DS170" s="465"/>
      <c r="DT170" s="465"/>
      <c r="DU170" s="465"/>
      <c r="DV170" s="465"/>
      <c r="DW170" s="465"/>
      <c r="DX170" s="465"/>
      <c r="EF170" s="465"/>
      <c r="EG170" s="465"/>
      <c r="EH170" s="465"/>
    </row>
    <row r="171" spans="1:203" ht="18.899999999999999" customHeight="1">
      <c r="E171" s="465"/>
      <c r="F171" s="465"/>
      <c r="G171" s="465"/>
      <c r="H171" s="465"/>
      <c r="I171" s="465"/>
      <c r="J171" s="465"/>
      <c r="K171" s="465"/>
      <c r="L171" s="465"/>
      <c r="AZ171" s="465"/>
      <c r="BA171" s="465"/>
      <c r="BB171" s="465"/>
      <c r="BC171" s="465"/>
      <c r="BD171" s="465"/>
      <c r="BE171" s="465"/>
      <c r="DJ171" s="465"/>
      <c r="DK171" s="465"/>
      <c r="DL171" s="465"/>
      <c r="DM171" s="465"/>
      <c r="DN171" s="465"/>
      <c r="DO171" s="465"/>
      <c r="DP171" s="465"/>
      <c r="DQ171" s="465"/>
      <c r="DR171" s="465"/>
      <c r="DS171" s="465"/>
      <c r="DT171" s="465"/>
      <c r="DU171" s="465"/>
      <c r="DV171" s="465"/>
      <c r="DW171" s="465"/>
      <c r="DX171" s="465"/>
      <c r="EF171" s="465"/>
      <c r="EG171" s="465"/>
      <c r="EH171" s="465"/>
    </row>
    <row r="172" spans="1:203" ht="18.899999999999999" customHeight="1">
      <c r="E172" s="465"/>
      <c r="F172" s="465"/>
      <c r="G172" s="465"/>
      <c r="H172" s="465"/>
      <c r="I172" s="465"/>
      <c r="J172" s="465"/>
      <c r="K172" s="465"/>
      <c r="L172" s="465"/>
      <c r="AZ172" s="465"/>
      <c r="BA172" s="465"/>
      <c r="BB172" s="465"/>
      <c r="BC172" s="465"/>
      <c r="BD172" s="465"/>
      <c r="BE172" s="465"/>
      <c r="DJ172" s="465"/>
      <c r="DK172" s="465"/>
      <c r="DL172" s="465"/>
      <c r="DM172" s="465"/>
      <c r="DN172" s="465"/>
      <c r="DO172" s="465"/>
      <c r="DP172" s="465"/>
      <c r="DQ172" s="465"/>
      <c r="DR172" s="465"/>
      <c r="DS172" s="465"/>
      <c r="DT172" s="465"/>
      <c r="DU172" s="465"/>
      <c r="DV172" s="465"/>
      <c r="DW172" s="465"/>
      <c r="DX172" s="465"/>
      <c r="EF172" s="465"/>
      <c r="EG172" s="465"/>
      <c r="EH172" s="465"/>
    </row>
    <row r="173" spans="1:203" ht="18.899999999999999" customHeight="1">
      <c r="E173" s="465"/>
      <c r="F173" s="465"/>
      <c r="G173" s="465"/>
      <c r="H173" s="465"/>
      <c r="I173" s="465"/>
      <c r="J173" s="465"/>
      <c r="K173" s="465"/>
      <c r="L173" s="465"/>
      <c r="AZ173" s="465"/>
      <c r="BA173" s="465"/>
      <c r="BB173" s="465"/>
      <c r="BC173" s="465"/>
      <c r="BD173" s="465"/>
      <c r="BE173" s="465"/>
      <c r="DJ173" s="465"/>
      <c r="DK173" s="465"/>
      <c r="DL173" s="465"/>
      <c r="DM173" s="465"/>
      <c r="DN173" s="465"/>
      <c r="DO173" s="465"/>
      <c r="DP173" s="465"/>
      <c r="DQ173" s="465"/>
      <c r="DR173" s="465"/>
      <c r="DS173" s="465"/>
      <c r="DT173" s="465"/>
      <c r="DU173" s="465"/>
      <c r="DV173" s="465"/>
      <c r="DW173" s="465"/>
      <c r="DX173" s="465"/>
      <c r="EF173" s="465"/>
      <c r="EG173" s="465"/>
      <c r="EH173" s="465"/>
    </row>
    <row r="174" spans="1:203" ht="18.899999999999999" customHeight="1">
      <c r="E174" s="465"/>
      <c r="F174" s="465"/>
      <c r="G174" s="465"/>
      <c r="H174" s="465"/>
      <c r="I174" s="465"/>
      <c r="J174" s="465"/>
      <c r="K174" s="465"/>
      <c r="L174" s="465"/>
      <c r="AZ174" s="465"/>
      <c r="BA174" s="465"/>
      <c r="BB174" s="465"/>
      <c r="BC174" s="465"/>
      <c r="BD174" s="465"/>
      <c r="BE174" s="465"/>
      <c r="DJ174" s="465"/>
      <c r="DK174" s="465"/>
      <c r="DL174" s="465"/>
      <c r="DM174" s="465"/>
      <c r="DN174" s="465"/>
      <c r="DO174" s="465"/>
      <c r="DP174" s="465"/>
      <c r="DQ174" s="465"/>
      <c r="DR174" s="465"/>
      <c r="DS174" s="465"/>
      <c r="DT174" s="465"/>
      <c r="DU174" s="465"/>
      <c r="DV174" s="465"/>
      <c r="DW174" s="465"/>
      <c r="DX174" s="465"/>
      <c r="EF174" s="465"/>
      <c r="EG174" s="465"/>
      <c r="EH174" s="465"/>
    </row>
    <row r="175" spans="1:203" ht="18.899999999999999" customHeight="1">
      <c r="E175" s="465"/>
      <c r="F175" s="465"/>
      <c r="G175" s="465"/>
      <c r="H175" s="465"/>
      <c r="I175" s="465"/>
      <c r="J175" s="465"/>
      <c r="K175" s="465"/>
      <c r="L175" s="465"/>
      <c r="AZ175" s="465"/>
      <c r="BA175" s="465"/>
      <c r="BB175" s="465"/>
      <c r="BC175" s="465"/>
      <c r="BD175" s="465"/>
      <c r="BE175" s="465"/>
      <c r="DJ175" s="465"/>
      <c r="DK175" s="465"/>
      <c r="DL175" s="465"/>
      <c r="DM175" s="465"/>
      <c r="DN175" s="465"/>
      <c r="DO175" s="465"/>
      <c r="DP175" s="465"/>
      <c r="DQ175" s="465"/>
      <c r="DR175" s="465"/>
      <c r="DS175" s="465"/>
      <c r="DT175" s="465"/>
      <c r="DU175" s="465"/>
      <c r="DV175" s="465"/>
      <c r="DW175" s="465"/>
      <c r="DX175" s="465"/>
      <c r="EF175" s="465"/>
      <c r="EG175" s="465"/>
      <c r="EH175" s="465"/>
    </row>
    <row r="176" spans="1:203" ht="18.899999999999999" customHeight="1">
      <c r="E176" s="465"/>
      <c r="F176" s="465"/>
      <c r="G176" s="465"/>
      <c r="H176" s="465"/>
      <c r="I176" s="465"/>
      <c r="J176" s="465"/>
      <c r="K176" s="465"/>
      <c r="L176" s="465"/>
      <c r="AZ176" s="465"/>
      <c r="BA176" s="465"/>
      <c r="BB176" s="465"/>
      <c r="BC176" s="465"/>
      <c r="BD176" s="465"/>
      <c r="BE176" s="465"/>
      <c r="DJ176" s="465"/>
      <c r="DK176" s="465"/>
      <c r="DL176" s="465"/>
      <c r="DM176" s="465"/>
      <c r="DN176" s="465"/>
      <c r="DO176" s="465"/>
      <c r="DP176" s="465"/>
      <c r="DQ176" s="465"/>
      <c r="DR176" s="465"/>
      <c r="DS176" s="465"/>
      <c r="DT176" s="465"/>
      <c r="DU176" s="465"/>
      <c r="DV176" s="465"/>
      <c r="DW176" s="465"/>
      <c r="DX176" s="465"/>
      <c r="EF176" s="465"/>
      <c r="EG176" s="465"/>
      <c r="EH176" s="465"/>
    </row>
    <row r="177" spans="5:138" ht="18.899999999999999" customHeight="1">
      <c r="E177" s="465"/>
      <c r="F177" s="465"/>
      <c r="G177" s="465"/>
      <c r="H177" s="465"/>
      <c r="I177" s="465"/>
      <c r="J177" s="465"/>
      <c r="K177" s="465"/>
      <c r="L177" s="465"/>
      <c r="AZ177" s="465"/>
      <c r="BA177" s="465"/>
      <c r="BB177" s="465"/>
      <c r="BC177" s="465"/>
      <c r="BD177" s="465"/>
      <c r="BE177" s="465"/>
      <c r="DJ177" s="465"/>
      <c r="DK177" s="465"/>
      <c r="DL177" s="465"/>
      <c r="DM177" s="465"/>
      <c r="DN177" s="465"/>
      <c r="DO177" s="465"/>
      <c r="DP177" s="465"/>
      <c r="DQ177" s="465"/>
      <c r="DR177" s="465"/>
      <c r="DS177" s="465"/>
      <c r="DT177" s="465"/>
      <c r="DU177" s="465"/>
      <c r="DV177" s="465"/>
      <c r="DW177" s="465"/>
      <c r="DX177" s="465"/>
      <c r="EF177" s="465"/>
      <c r="EG177" s="465"/>
      <c r="EH177" s="465"/>
    </row>
    <row r="178" spans="5:138" ht="18.899999999999999" customHeight="1">
      <c r="E178" s="465"/>
      <c r="F178" s="465"/>
      <c r="G178" s="465"/>
      <c r="H178" s="465"/>
      <c r="I178" s="465"/>
      <c r="J178" s="465"/>
      <c r="K178" s="465"/>
      <c r="L178" s="465"/>
      <c r="AZ178" s="465"/>
      <c r="BA178" s="465"/>
      <c r="BB178" s="465"/>
      <c r="BC178" s="465"/>
      <c r="BD178" s="465"/>
      <c r="BE178" s="465"/>
      <c r="DJ178" s="465"/>
      <c r="DK178" s="465"/>
      <c r="DL178" s="465"/>
      <c r="DM178" s="465"/>
      <c r="DN178" s="465"/>
      <c r="DO178" s="465"/>
      <c r="DP178" s="465"/>
      <c r="DQ178" s="465"/>
      <c r="DR178" s="465"/>
      <c r="DS178" s="465"/>
      <c r="DT178" s="465"/>
      <c r="DU178" s="465"/>
      <c r="DV178" s="465"/>
      <c r="DW178" s="465"/>
      <c r="DX178" s="465"/>
      <c r="EF178" s="465"/>
      <c r="EG178" s="465"/>
      <c r="EH178" s="465"/>
    </row>
    <row r="179" spans="5:138" ht="18.899999999999999" customHeight="1">
      <c r="E179" s="465"/>
      <c r="F179" s="465"/>
      <c r="G179" s="465"/>
      <c r="H179" s="465"/>
      <c r="I179" s="465"/>
      <c r="J179" s="465"/>
      <c r="K179" s="465"/>
      <c r="L179" s="465"/>
      <c r="AZ179" s="465"/>
      <c r="BA179" s="465"/>
      <c r="BB179" s="465"/>
      <c r="BC179" s="465"/>
      <c r="BD179" s="465"/>
      <c r="BE179" s="465"/>
      <c r="DJ179" s="465"/>
      <c r="DK179" s="465"/>
      <c r="DL179" s="465"/>
      <c r="DM179" s="465"/>
      <c r="DN179" s="465"/>
      <c r="DO179" s="465"/>
      <c r="DP179" s="465"/>
      <c r="DQ179" s="465"/>
      <c r="DR179" s="465"/>
      <c r="DS179" s="465"/>
      <c r="DT179" s="465"/>
      <c r="DU179" s="465"/>
      <c r="DV179" s="465"/>
      <c r="DW179" s="465"/>
      <c r="DX179" s="465"/>
      <c r="EF179" s="465"/>
      <c r="EG179" s="465"/>
      <c r="EH179" s="465"/>
    </row>
    <row r="180" spans="5:138" ht="18.899999999999999" customHeight="1">
      <c r="E180" s="465"/>
      <c r="F180" s="465"/>
      <c r="G180" s="465"/>
      <c r="H180" s="465"/>
      <c r="I180" s="465"/>
      <c r="J180" s="465"/>
      <c r="K180" s="465"/>
      <c r="L180" s="465"/>
      <c r="AZ180" s="465"/>
      <c r="BA180" s="465"/>
      <c r="BB180" s="465"/>
      <c r="BC180" s="465"/>
      <c r="BD180" s="465"/>
      <c r="BE180" s="465"/>
      <c r="DJ180" s="465"/>
      <c r="DK180" s="465"/>
      <c r="DL180" s="465"/>
      <c r="DM180" s="465"/>
      <c r="DN180" s="465"/>
      <c r="DO180" s="465"/>
      <c r="DP180" s="465"/>
      <c r="DQ180" s="465"/>
      <c r="DR180" s="465"/>
      <c r="DS180" s="465"/>
      <c r="DT180" s="465"/>
      <c r="DU180" s="465"/>
      <c r="DV180" s="465"/>
      <c r="DW180" s="465"/>
      <c r="DX180" s="465"/>
      <c r="EF180" s="465"/>
      <c r="EG180" s="465"/>
      <c r="EH180" s="465"/>
    </row>
    <row r="181" spans="5:138" ht="18.899999999999999" customHeight="1">
      <c r="E181" s="465"/>
      <c r="F181" s="465"/>
      <c r="G181" s="465"/>
      <c r="H181" s="465"/>
      <c r="I181" s="465"/>
      <c r="J181" s="465"/>
      <c r="K181" s="465"/>
      <c r="L181" s="465"/>
      <c r="AZ181" s="465"/>
      <c r="BA181" s="465"/>
      <c r="BB181" s="465"/>
      <c r="BC181" s="465"/>
      <c r="BD181" s="465"/>
      <c r="BE181" s="465"/>
      <c r="DJ181" s="465"/>
      <c r="DK181" s="465"/>
      <c r="DL181" s="465"/>
      <c r="DM181" s="465"/>
      <c r="DN181" s="465"/>
      <c r="DO181" s="465"/>
      <c r="DP181" s="465"/>
      <c r="DQ181" s="465"/>
      <c r="DR181" s="465"/>
      <c r="DS181" s="465"/>
      <c r="DT181" s="465"/>
      <c r="DU181" s="465"/>
      <c r="DV181" s="465"/>
      <c r="DW181" s="465"/>
      <c r="DX181" s="465"/>
      <c r="EF181" s="465"/>
      <c r="EG181" s="465"/>
      <c r="EH181" s="465"/>
    </row>
    <row r="182" spans="5:138" ht="18.899999999999999" customHeight="1">
      <c r="E182" s="465"/>
      <c r="F182" s="465"/>
      <c r="G182" s="465"/>
      <c r="H182" s="465"/>
      <c r="I182" s="465"/>
      <c r="J182" s="465"/>
      <c r="K182" s="465"/>
      <c r="L182" s="465"/>
      <c r="AZ182" s="465"/>
      <c r="BA182" s="465"/>
      <c r="BB182" s="465"/>
      <c r="BC182" s="465"/>
      <c r="BD182" s="465"/>
      <c r="BE182" s="465"/>
      <c r="DJ182" s="465"/>
      <c r="DK182" s="465"/>
      <c r="DL182" s="465"/>
      <c r="DM182" s="465"/>
      <c r="DN182" s="465"/>
      <c r="DO182" s="465"/>
      <c r="DP182" s="465"/>
      <c r="DQ182" s="465"/>
      <c r="DR182" s="465"/>
      <c r="DS182" s="465"/>
      <c r="DT182" s="465"/>
      <c r="DU182" s="465"/>
      <c r="DV182" s="465"/>
      <c r="DW182" s="465"/>
      <c r="DX182" s="465"/>
      <c r="EF182" s="465"/>
      <c r="EG182" s="465"/>
      <c r="EH182" s="465"/>
    </row>
    <row r="183" spans="5:138" ht="18.899999999999999" customHeight="1">
      <c r="E183" s="465"/>
      <c r="F183" s="465"/>
      <c r="G183" s="465"/>
      <c r="H183" s="465"/>
      <c r="I183" s="465"/>
      <c r="J183" s="465"/>
      <c r="K183" s="465"/>
      <c r="L183" s="465"/>
      <c r="AZ183" s="465"/>
      <c r="BA183" s="465"/>
      <c r="BB183" s="465"/>
      <c r="BC183" s="465"/>
      <c r="BD183" s="465"/>
      <c r="BE183" s="465"/>
      <c r="DJ183" s="465"/>
      <c r="DK183" s="465"/>
      <c r="DL183" s="465"/>
      <c r="DM183" s="465"/>
      <c r="DN183" s="465"/>
      <c r="DO183" s="465"/>
      <c r="DP183" s="465"/>
      <c r="DQ183" s="465"/>
      <c r="DR183" s="465"/>
      <c r="DS183" s="465"/>
      <c r="DT183" s="465"/>
      <c r="DU183" s="465"/>
      <c r="DV183" s="465"/>
      <c r="DW183" s="465"/>
      <c r="DX183" s="465"/>
      <c r="EF183" s="465"/>
      <c r="EG183" s="465"/>
      <c r="EH183" s="465"/>
    </row>
    <row r="184" spans="5:138" ht="18.899999999999999" customHeight="1">
      <c r="E184" s="465"/>
      <c r="F184" s="465"/>
      <c r="G184" s="465"/>
      <c r="H184" s="465"/>
      <c r="I184" s="465"/>
      <c r="J184" s="465"/>
      <c r="K184" s="465"/>
      <c r="L184" s="465"/>
      <c r="AZ184" s="465"/>
      <c r="BA184" s="465"/>
      <c r="BB184" s="465"/>
      <c r="BC184" s="465"/>
      <c r="BD184" s="465"/>
      <c r="BE184" s="465"/>
      <c r="DJ184" s="465"/>
      <c r="DK184" s="465"/>
      <c r="DL184" s="465"/>
      <c r="DM184" s="465"/>
      <c r="DN184" s="465"/>
      <c r="DO184" s="465"/>
      <c r="DP184" s="465"/>
      <c r="DQ184" s="465"/>
      <c r="DR184" s="465"/>
      <c r="DS184" s="465"/>
      <c r="DT184" s="465"/>
      <c r="DU184" s="465"/>
      <c r="DV184" s="465"/>
      <c r="DW184" s="465"/>
      <c r="DX184" s="465"/>
      <c r="EF184" s="465"/>
      <c r="EG184" s="465"/>
      <c r="EH184" s="465"/>
    </row>
    <row r="185" spans="5:138" ht="18.899999999999999" customHeight="1">
      <c r="E185" s="465"/>
      <c r="F185" s="465"/>
      <c r="G185" s="465"/>
      <c r="H185" s="465"/>
      <c r="I185" s="465"/>
      <c r="J185" s="465"/>
      <c r="K185" s="465"/>
      <c r="L185" s="465"/>
      <c r="AZ185" s="465"/>
      <c r="BA185" s="465"/>
      <c r="BB185" s="465"/>
      <c r="BC185" s="465"/>
      <c r="BD185" s="465"/>
      <c r="BE185" s="465"/>
      <c r="DJ185" s="465"/>
      <c r="DK185" s="465"/>
      <c r="DL185" s="465"/>
      <c r="DM185" s="465"/>
      <c r="DN185" s="465"/>
      <c r="DO185" s="465"/>
      <c r="DP185" s="465"/>
      <c r="DQ185" s="465"/>
      <c r="DR185" s="465"/>
      <c r="DS185" s="465"/>
      <c r="DT185" s="465"/>
      <c r="DU185" s="465"/>
      <c r="DV185" s="465"/>
      <c r="DW185" s="465"/>
      <c r="DX185" s="465"/>
      <c r="EF185" s="465"/>
      <c r="EG185" s="465"/>
      <c r="EH185" s="465"/>
    </row>
    <row r="186" spans="5:138" ht="18.899999999999999" customHeight="1">
      <c r="E186" s="465"/>
      <c r="F186" s="465"/>
      <c r="G186" s="465"/>
      <c r="H186" s="465"/>
      <c r="I186" s="465"/>
      <c r="J186" s="465"/>
      <c r="K186" s="465"/>
      <c r="L186" s="465"/>
      <c r="AZ186" s="465"/>
      <c r="BA186" s="465"/>
      <c r="BB186" s="465"/>
      <c r="BC186" s="465"/>
      <c r="BD186" s="465"/>
      <c r="BE186" s="465"/>
      <c r="DJ186" s="465"/>
      <c r="DK186" s="465"/>
      <c r="DL186" s="465"/>
      <c r="DM186" s="465"/>
      <c r="DN186" s="465"/>
      <c r="DO186" s="465"/>
      <c r="DP186" s="465"/>
      <c r="DQ186" s="465"/>
      <c r="DR186" s="465"/>
      <c r="DS186" s="465"/>
      <c r="DT186" s="465"/>
      <c r="DU186" s="465"/>
      <c r="DV186" s="465"/>
      <c r="DW186" s="465"/>
      <c r="DX186" s="465"/>
      <c r="EF186" s="465"/>
      <c r="EG186" s="465"/>
      <c r="EH186" s="465"/>
    </row>
    <row r="187" spans="5:138" ht="18.899999999999999" customHeight="1">
      <c r="E187" s="465"/>
      <c r="F187" s="465"/>
      <c r="G187" s="465"/>
      <c r="H187" s="465"/>
      <c r="I187" s="465"/>
      <c r="J187" s="465"/>
      <c r="K187" s="465"/>
      <c r="L187" s="465"/>
      <c r="AZ187" s="465"/>
      <c r="BA187" s="465"/>
      <c r="BB187" s="465"/>
      <c r="BC187" s="465"/>
      <c r="BD187" s="465"/>
      <c r="BE187" s="465"/>
      <c r="DJ187" s="465"/>
      <c r="DK187" s="465"/>
      <c r="DL187" s="465"/>
      <c r="DM187" s="465"/>
      <c r="DN187" s="465"/>
      <c r="DO187" s="465"/>
      <c r="DP187" s="465"/>
      <c r="DQ187" s="465"/>
      <c r="DR187" s="465"/>
      <c r="DS187" s="465"/>
      <c r="DT187" s="465"/>
      <c r="DU187" s="465"/>
      <c r="DV187" s="465"/>
      <c r="DW187" s="465"/>
      <c r="DX187" s="465"/>
      <c r="EF187" s="465"/>
      <c r="EG187" s="465"/>
      <c r="EH187" s="465"/>
    </row>
    <row r="188" spans="5:138" ht="18.899999999999999" customHeight="1">
      <c r="E188" s="465"/>
      <c r="F188" s="465"/>
      <c r="G188" s="465"/>
      <c r="H188" s="465"/>
      <c r="I188" s="465"/>
      <c r="J188" s="465"/>
      <c r="K188" s="465"/>
      <c r="L188" s="465"/>
      <c r="AZ188" s="465"/>
      <c r="BA188" s="465"/>
      <c r="BB188" s="465"/>
      <c r="BC188" s="465"/>
      <c r="BD188" s="465"/>
      <c r="BE188" s="465"/>
      <c r="DJ188" s="465"/>
      <c r="DK188" s="465"/>
      <c r="DL188" s="465"/>
      <c r="DM188" s="465"/>
      <c r="DN188" s="465"/>
      <c r="DO188" s="465"/>
      <c r="DP188" s="465"/>
      <c r="DQ188" s="465"/>
      <c r="DR188" s="465"/>
      <c r="DS188" s="465"/>
      <c r="DT188" s="465"/>
      <c r="DU188" s="465"/>
      <c r="DV188" s="465"/>
      <c r="DW188" s="465"/>
      <c r="DX188" s="465"/>
      <c r="EF188" s="465"/>
      <c r="EG188" s="465"/>
      <c r="EH188" s="465"/>
    </row>
    <row r="189" spans="5:138" ht="18.899999999999999" customHeight="1">
      <c r="E189" s="465"/>
      <c r="F189" s="465"/>
      <c r="G189" s="465"/>
      <c r="H189" s="465"/>
      <c r="I189" s="465"/>
      <c r="J189" s="465"/>
      <c r="K189" s="465"/>
      <c r="L189" s="465"/>
      <c r="AZ189" s="465"/>
      <c r="BA189" s="465"/>
      <c r="BB189" s="465"/>
      <c r="BC189" s="465"/>
      <c r="BD189" s="465"/>
      <c r="BE189" s="465"/>
      <c r="DJ189" s="465"/>
      <c r="DK189" s="465"/>
      <c r="DL189" s="465"/>
      <c r="DM189" s="465"/>
      <c r="DN189" s="465"/>
      <c r="DO189" s="465"/>
      <c r="DP189" s="465"/>
      <c r="DQ189" s="465"/>
      <c r="DR189" s="465"/>
      <c r="DS189" s="465"/>
      <c r="DT189" s="465"/>
      <c r="DU189" s="465"/>
      <c r="DV189" s="465"/>
      <c r="DW189" s="465"/>
      <c r="DX189" s="465"/>
      <c r="EF189" s="465"/>
      <c r="EG189" s="465"/>
      <c r="EH189" s="465"/>
    </row>
    <row r="190" spans="5:138" ht="18.899999999999999" customHeight="1">
      <c r="E190" s="465"/>
      <c r="F190" s="465"/>
      <c r="G190" s="465"/>
      <c r="H190" s="465"/>
      <c r="I190" s="465"/>
      <c r="J190" s="465"/>
      <c r="K190" s="465"/>
      <c r="L190" s="465"/>
      <c r="AZ190" s="465"/>
      <c r="BA190" s="465"/>
      <c r="BB190" s="465"/>
      <c r="BC190" s="465"/>
      <c r="BD190" s="465"/>
      <c r="BE190" s="465"/>
      <c r="DJ190" s="465"/>
      <c r="DK190" s="465"/>
      <c r="DL190" s="465"/>
      <c r="DM190" s="465"/>
      <c r="DN190" s="465"/>
      <c r="DO190" s="465"/>
      <c r="DP190" s="465"/>
      <c r="DQ190" s="465"/>
      <c r="DR190" s="465"/>
      <c r="DS190" s="465"/>
      <c r="DT190" s="465"/>
      <c r="DU190" s="465"/>
      <c r="DV190" s="465"/>
      <c r="DW190" s="465"/>
      <c r="DX190" s="465"/>
      <c r="EF190" s="465"/>
      <c r="EG190" s="465"/>
      <c r="EH190" s="465"/>
    </row>
    <row r="191" spans="5:138" ht="18.899999999999999" customHeight="1">
      <c r="E191" s="465"/>
      <c r="F191" s="465"/>
      <c r="G191" s="465"/>
      <c r="H191" s="465"/>
      <c r="I191" s="465"/>
      <c r="J191" s="465"/>
      <c r="K191" s="465"/>
      <c r="L191" s="465"/>
      <c r="AZ191" s="465"/>
      <c r="BA191" s="465"/>
      <c r="BB191" s="465"/>
      <c r="BC191" s="465"/>
      <c r="BD191" s="465"/>
      <c r="BE191" s="465"/>
      <c r="DJ191" s="465"/>
      <c r="DK191" s="465"/>
      <c r="DL191" s="465"/>
      <c r="DM191" s="465"/>
      <c r="DN191" s="465"/>
      <c r="DO191" s="465"/>
      <c r="DP191" s="465"/>
      <c r="DQ191" s="465"/>
      <c r="DR191" s="465"/>
      <c r="DS191" s="465"/>
      <c r="DT191" s="465"/>
      <c r="DU191" s="465"/>
      <c r="DV191" s="465"/>
      <c r="DW191" s="465"/>
      <c r="DX191" s="465"/>
      <c r="EF191" s="465"/>
      <c r="EG191" s="465"/>
      <c r="EH191" s="465"/>
    </row>
    <row r="192" spans="5:138" ht="18.899999999999999" customHeight="1">
      <c r="E192" s="465"/>
      <c r="F192" s="465"/>
      <c r="G192" s="465"/>
      <c r="H192" s="465"/>
      <c r="I192" s="465"/>
      <c r="J192" s="465"/>
      <c r="K192" s="465"/>
      <c r="L192" s="465"/>
      <c r="AZ192" s="465"/>
      <c r="BA192" s="465"/>
      <c r="BB192" s="465"/>
      <c r="BC192" s="465"/>
      <c r="BD192" s="465"/>
      <c r="BE192" s="465"/>
      <c r="DJ192" s="465"/>
      <c r="DK192" s="465"/>
      <c r="DL192" s="465"/>
      <c r="DM192" s="465"/>
      <c r="DN192" s="465"/>
      <c r="DO192" s="465"/>
      <c r="DP192" s="465"/>
      <c r="DQ192" s="465"/>
      <c r="DR192" s="465"/>
      <c r="DS192" s="465"/>
      <c r="DT192" s="465"/>
      <c r="DU192" s="465"/>
      <c r="DV192" s="465"/>
      <c r="DW192" s="465"/>
      <c r="DX192" s="465"/>
      <c r="EF192" s="465"/>
      <c r="EG192" s="465"/>
      <c r="EH192" s="465"/>
    </row>
    <row r="193" spans="5:138" ht="18.899999999999999" customHeight="1">
      <c r="E193" s="465"/>
      <c r="F193" s="465"/>
      <c r="G193" s="465"/>
      <c r="H193" s="465"/>
      <c r="I193" s="465"/>
      <c r="J193" s="465"/>
      <c r="K193" s="465"/>
      <c r="L193" s="465"/>
      <c r="AZ193" s="465"/>
      <c r="BA193" s="465"/>
      <c r="BB193" s="465"/>
      <c r="BC193" s="465"/>
      <c r="BD193" s="465"/>
      <c r="BE193" s="465"/>
      <c r="DJ193" s="465"/>
      <c r="DK193" s="465"/>
      <c r="DL193" s="465"/>
      <c r="DM193" s="465"/>
      <c r="DN193" s="465"/>
      <c r="DO193" s="465"/>
      <c r="DP193" s="465"/>
      <c r="DQ193" s="465"/>
      <c r="DR193" s="465"/>
      <c r="DS193" s="465"/>
      <c r="DT193" s="465"/>
      <c r="DU193" s="465"/>
      <c r="DV193" s="465"/>
      <c r="DW193" s="465"/>
      <c r="DX193" s="465"/>
      <c r="EF193" s="465"/>
      <c r="EG193" s="465"/>
      <c r="EH193" s="465"/>
    </row>
    <row r="194" spans="5:138" ht="18.899999999999999" customHeight="1">
      <c r="E194" s="465"/>
      <c r="F194" s="465"/>
      <c r="G194" s="465"/>
      <c r="H194" s="465"/>
      <c r="I194" s="465"/>
      <c r="J194" s="465"/>
      <c r="K194" s="465"/>
      <c r="L194" s="465"/>
      <c r="AZ194" s="465"/>
      <c r="BA194" s="465"/>
      <c r="BB194" s="465"/>
      <c r="BC194" s="465"/>
      <c r="BD194" s="465"/>
      <c r="BE194" s="465"/>
    </row>
    <row r="195" spans="5:138" ht="18.899999999999999" customHeight="1">
      <c r="E195" s="465"/>
      <c r="F195" s="465"/>
      <c r="G195" s="465"/>
      <c r="H195" s="465"/>
      <c r="I195" s="465"/>
      <c r="J195" s="465"/>
      <c r="K195" s="465"/>
      <c r="L195" s="465"/>
      <c r="AZ195" s="465"/>
      <c r="BA195" s="465"/>
      <c r="BB195" s="465"/>
      <c r="BC195" s="465"/>
      <c r="BD195" s="465"/>
      <c r="BE195" s="465"/>
    </row>
    <row r="196" spans="5:138" ht="18.899999999999999" customHeight="1">
      <c r="E196" s="465"/>
      <c r="F196" s="465"/>
      <c r="G196" s="465"/>
      <c r="H196" s="465"/>
      <c r="I196" s="465"/>
      <c r="J196" s="465"/>
      <c r="K196" s="465"/>
      <c r="L196" s="465"/>
      <c r="AZ196" s="465"/>
      <c r="BA196" s="465"/>
      <c r="BB196" s="465"/>
      <c r="BC196" s="465"/>
      <c r="BD196" s="465"/>
      <c r="BE196" s="465"/>
    </row>
    <row r="197" spans="5:138" ht="18.899999999999999" customHeight="1">
      <c r="E197" s="465"/>
      <c r="F197" s="465"/>
      <c r="G197" s="465"/>
      <c r="H197" s="465"/>
      <c r="I197" s="465"/>
      <c r="J197" s="465"/>
      <c r="K197" s="465"/>
      <c r="L197" s="465"/>
      <c r="AZ197" s="465"/>
      <c r="BA197" s="465"/>
      <c r="BB197" s="465"/>
      <c r="BC197" s="465"/>
      <c r="BD197" s="465"/>
      <c r="BE197" s="465"/>
    </row>
    <row r="198" spans="5:138" ht="18.899999999999999" customHeight="1">
      <c r="E198" s="465"/>
      <c r="F198" s="465"/>
      <c r="G198" s="465"/>
      <c r="H198" s="465"/>
      <c r="I198" s="465"/>
      <c r="J198" s="465"/>
      <c r="K198" s="465"/>
      <c r="L198" s="465"/>
      <c r="AZ198" s="465"/>
      <c r="BA198" s="465"/>
      <c r="BB198" s="465"/>
      <c r="BC198" s="465"/>
      <c r="BD198" s="465"/>
      <c r="BE198" s="465"/>
    </row>
    <row r="199" spans="5:138" ht="18.899999999999999" customHeight="1">
      <c r="E199" s="465"/>
      <c r="F199" s="465"/>
      <c r="G199" s="465"/>
      <c r="H199" s="465"/>
      <c r="I199" s="465"/>
      <c r="J199" s="465"/>
      <c r="K199" s="465"/>
      <c r="L199" s="465"/>
      <c r="AZ199" s="465"/>
      <c r="BA199" s="465"/>
      <c r="BB199" s="465"/>
      <c r="BC199" s="465"/>
      <c r="BD199" s="465"/>
      <c r="BE199" s="465"/>
    </row>
    <row r="200" spans="5:138" ht="18.899999999999999" customHeight="1">
      <c r="E200" s="465"/>
      <c r="F200" s="465"/>
      <c r="G200" s="465"/>
      <c r="H200" s="465"/>
      <c r="I200" s="465"/>
      <c r="J200" s="465"/>
      <c r="K200" s="465"/>
      <c r="L200" s="465"/>
      <c r="AZ200" s="465"/>
      <c r="BA200" s="465"/>
      <c r="BB200" s="465"/>
      <c r="BC200" s="465"/>
      <c r="BD200" s="465"/>
      <c r="BE200" s="465"/>
    </row>
    <row r="201" spans="5:138" ht="18.899999999999999" customHeight="1">
      <c r="E201" s="465"/>
      <c r="F201" s="465"/>
      <c r="G201" s="465"/>
      <c r="H201" s="465"/>
      <c r="I201" s="465"/>
      <c r="J201" s="465"/>
      <c r="K201" s="465"/>
      <c r="L201" s="465"/>
      <c r="AZ201" s="465"/>
      <c r="BA201" s="465"/>
      <c r="BB201" s="465"/>
      <c r="BC201" s="465"/>
      <c r="BD201" s="465"/>
      <c r="BE201" s="465"/>
    </row>
    <row r="202" spans="5:138" ht="18.899999999999999" customHeight="1">
      <c r="E202" s="465"/>
      <c r="F202" s="465"/>
      <c r="G202" s="465"/>
      <c r="H202" s="465"/>
      <c r="I202" s="465"/>
      <c r="J202" s="465"/>
      <c r="K202" s="465"/>
      <c r="L202" s="465"/>
      <c r="AZ202" s="465"/>
      <c r="BA202" s="465"/>
      <c r="BB202" s="465"/>
      <c r="BC202" s="465"/>
      <c r="BD202" s="465"/>
      <c r="BE202" s="465"/>
    </row>
    <row r="203" spans="5:138" ht="18.899999999999999" customHeight="1">
      <c r="E203" s="465"/>
      <c r="F203" s="465"/>
      <c r="G203" s="465"/>
      <c r="H203" s="465"/>
      <c r="I203" s="465"/>
      <c r="J203" s="465"/>
      <c r="K203" s="465"/>
      <c r="L203" s="465"/>
      <c r="AZ203" s="465"/>
      <c r="BA203" s="465"/>
      <c r="BB203" s="465"/>
      <c r="BC203" s="465"/>
      <c r="BD203" s="465"/>
      <c r="BE203" s="465"/>
    </row>
    <row r="204" spans="5:138" ht="18.899999999999999" customHeight="1">
      <c r="E204" s="465"/>
      <c r="F204" s="465"/>
      <c r="G204" s="465"/>
      <c r="H204" s="465"/>
      <c r="I204" s="465"/>
      <c r="J204" s="465"/>
      <c r="K204" s="465"/>
      <c r="L204" s="465"/>
      <c r="AZ204" s="465"/>
      <c r="BA204" s="465"/>
      <c r="BB204" s="465"/>
      <c r="BC204" s="465"/>
      <c r="BD204" s="465"/>
      <c r="BE204" s="465"/>
    </row>
    <row r="205" spans="5:138" ht="18.899999999999999" customHeight="1">
      <c r="E205" s="465"/>
      <c r="F205" s="465"/>
      <c r="G205" s="465"/>
      <c r="H205" s="465"/>
      <c r="I205" s="465"/>
      <c r="J205" s="465"/>
      <c r="K205" s="465"/>
      <c r="L205" s="465"/>
      <c r="AZ205" s="465"/>
      <c r="BA205" s="465"/>
      <c r="BB205" s="465"/>
      <c r="BC205" s="465"/>
      <c r="BD205" s="465"/>
      <c r="BE205" s="465"/>
    </row>
    <row r="206" spans="5:138" ht="18.899999999999999" customHeight="1">
      <c r="E206" s="465"/>
      <c r="F206" s="465"/>
      <c r="G206" s="465"/>
      <c r="H206" s="465"/>
      <c r="I206" s="465"/>
      <c r="J206" s="465"/>
      <c r="K206" s="465"/>
      <c r="L206" s="465"/>
      <c r="AZ206" s="465"/>
      <c r="BA206" s="465"/>
      <c r="BB206" s="465"/>
      <c r="BC206" s="465"/>
      <c r="BD206" s="465"/>
      <c r="BE206" s="465"/>
    </row>
    <row r="207" spans="5:138" ht="18.899999999999999" customHeight="1">
      <c r="E207" s="465"/>
      <c r="F207" s="465"/>
      <c r="G207" s="465"/>
      <c r="H207" s="465"/>
      <c r="I207" s="465"/>
      <c r="J207" s="465"/>
      <c r="K207" s="465"/>
      <c r="L207" s="465"/>
      <c r="AZ207" s="465"/>
      <c r="BA207" s="465"/>
      <c r="BB207" s="465"/>
      <c r="BC207" s="465"/>
      <c r="BD207" s="465"/>
      <c r="BE207" s="465"/>
    </row>
    <row r="208" spans="5:138" ht="18.899999999999999" customHeight="1">
      <c r="E208" s="465"/>
      <c r="F208" s="465"/>
      <c r="G208" s="465"/>
      <c r="H208" s="465"/>
      <c r="I208" s="465"/>
      <c r="J208" s="465"/>
      <c r="K208" s="465"/>
      <c r="L208" s="465"/>
      <c r="AZ208" s="465"/>
      <c r="BA208" s="465"/>
      <c r="BB208" s="465"/>
      <c r="BC208" s="465"/>
      <c r="BD208" s="465"/>
      <c r="BE208" s="465"/>
    </row>
    <row r="209" spans="5:57" ht="18.899999999999999" customHeight="1">
      <c r="E209" s="465"/>
      <c r="F209" s="465"/>
      <c r="G209" s="465"/>
      <c r="H209" s="465"/>
      <c r="I209" s="465"/>
      <c r="J209" s="465"/>
      <c r="K209" s="465"/>
      <c r="L209" s="465"/>
      <c r="AZ209" s="465"/>
      <c r="BA209" s="465"/>
      <c r="BB209" s="465"/>
      <c r="BC209" s="465"/>
      <c r="BD209" s="465"/>
      <c r="BE209" s="465"/>
    </row>
    <row r="210" spans="5:57" ht="18.899999999999999" customHeight="1">
      <c r="E210" s="465"/>
      <c r="F210" s="465"/>
      <c r="G210" s="465"/>
      <c r="H210" s="465"/>
      <c r="I210" s="465"/>
      <c r="J210" s="465"/>
      <c r="K210" s="465"/>
      <c r="L210" s="465"/>
      <c r="AZ210" s="465"/>
      <c r="BA210" s="465"/>
      <c r="BB210" s="465"/>
      <c r="BC210" s="465"/>
      <c r="BD210" s="465"/>
      <c r="BE210" s="465"/>
    </row>
    <row r="211" spans="5:57" ht="18.899999999999999" customHeight="1">
      <c r="E211" s="465"/>
      <c r="F211" s="465"/>
      <c r="G211" s="465"/>
      <c r="H211" s="465"/>
      <c r="I211" s="465"/>
      <c r="J211" s="465"/>
      <c r="K211" s="465"/>
      <c r="L211" s="465"/>
      <c r="AZ211" s="465"/>
      <c r="BA211" s="465"/>
      <c r="BB211" s="465"/>
      <c r="BC211" s="465"/>
      <c r="BD211" s="465"/>
      <c r="BE211" s="465"/>
    </row>
    <row r="212" spans="5:57" ht="18.899999999999999" customHeight="1">
      <c r="E212" s="465"/>
      <c r="F212" s="465"/>
      <c r="G212" s="465"/>
      <c r="H212" s="465"/>
      <c r="I212" s="465"/>
      <c r="J212" s="465"/>
      <c r="K212" s="465"/>
      <c r="L212" s="465"/>
      <c r="AZ212" s="465"/>
      <c r="BA212" s="465"/>
      <c r="BB212" s="465"/>
      <c r="BC212" s="465"/>
      <c r="BD212" s="465"/>
      <c r="BE212" s="465"/>
    </row>
    <row r="213" spans="5:57" ht="18.899999999999999" customHeight="1">
      <c r="E213" s="465"/>
      <c r="F213" s="465"/>
      <c r="G213" s="465"/>
      <c r="H213" s="465"/>
      <c r="I213" s="465"/>
      <c r="J213" s="465"/>
      <c r="K213" s="465"/>
      <c r="L213" s="465"/>
      <c r="AZ213" s="465"/>
      <c r="BA213" s="465"/>
      <c r="BB213" s="465"/>
      <c r="BC213" s="465"/>
      <c r="BD213" s="465"/>
      <c r="BE213" s="465"/>
    </row>
    <row r="214" spans="5:57" ht="18.899999999999999" customHeight="1">
      <c r="E214" s="465"/>
      <c r="F214" s="465"/>
      <c r="G214" s="465"/>
      <c r="H214" s="465"/>
      <c r="I214" s="465"/>
      <c r="J214" s="465"/>
      <c r="K214" s="465"/>
      <c r="L214" s="465"/>
      <c r="AZ214" s="465"/>
      <c r="BA214" s="465"/>
      <c r="BB214" s="465"/>
      <c r="BC214" s="465"/>
      <c r="BD214" s="465"/>
      <c r="BE214" s="465"/>
    </row>
    <row r="215" spans="5:57" ht="18.899999999999999" customHeight="1">
      <c r="E215" s="465"/>
      <c r="F215" s="465"/>
      <c r="G215" s="465"/>
      <c r="H215" s="465"/>
      <c r="I215" s="465"/>
      <c r="J215" s="465"/>
      <c r="K215" s="465"/>
      <c r="L215" s="465"/>
      <c r="AZ215" s="465"/>
      <c r="BA215" s="465"/>
      <c r="BB215" s="465"/>
      <c r="BC215" s="465"/>
      <c r="BD215" s="465"/>
      <c r="BE215" s="465"/>
    </row>
    <row r="216" spans="5:57" ht="18.899999999999999" customHeight="1">
      <c r="E216" s="465"/>
      <c r="F216" s="465"/>
      <c r="G216" s="465"/>
      <c r="H216" s="465"/>
      <c r="I216" s="465"/>
      <c r="J216" s="465"/>
      <c r="K216" s="465"/>
      <c r="L216" s="465"/>
      <c r="AZ216" s="465"/>
      <c r="BA216" s="465"/>
      <c r="BB216" s="465"/>
      <c r="BC216" s="465"/>
      <c r="BD216" s="465"/>
      <c r="BE216" s="465"/>
    </row>
    <row r="217" spans="5:57" ht="18.899999999999999" customHeight="1">
      <c r="E217" s="465"/>
      <c r="F217" s="465"/>
      <c r="G217" s="465"/>
      <c r="H217" s="465"/>
      <c r="I217" s="465"/>
      <c r="J217" s="465"/>
      <c r="K217" s="465"/>
      <c r="L217" s="465"/>
      <c r="AZ217" s="465"/>
      <c r="BA217" s="465"/>
      <c r="BB217" s="465"/>
      <c r="BC217" s="465"/>
      <c r="BD217" s="465"/>
      <c r="BE217" s="465"/>
    </row>
    <row r="218" spans="5:57" ht="18.899999999999999" customHeight="1">
      <c r="E218" s="465"/>
      <c r="F218" s="465"/>
      <c r="G218" s="465"/>
      <c r="H218" s="465"/>
      <c r="I218" s="465"/>
      <c r="J218" s="465"/>
      <c r="K218" s="465"/>
      <c r="L218" s="465"/>
      <c r="AZ218" s="465"/>
      <c r="BA218" s="465"/>
      <c r="BB218" s="465"/>
      <c r="BC218" s="465"/>
      <c r="BD218" s="465"/>
      <c r="BE218" s="465"/>
    </row>
    <row r="219" spans="5:57" ht="18.899999999999999" customHeight="1">
      <c r="E219" s="465"/>
      <c r="F219" s="465"/>
      <c r="G219" s="465"/>
      <c r="H219" s="465"/>
      <c r="I219" s="465"/>
      <c r="J219" s="465"/>
      <c r="K219" s="465"/>
      <c r="L219" s="465"/>
      <c r="AZ219" s="465"/>
      <c r="BA219" s="465"/>
      <c r="BB219" s="465"/>
      <c r="BC219" s="465"/>
      <c r="BD219" s="465"/>
      <c r="BE219" s="465"/>
    </row>
    <row r="220" spans="5:57" ht="18.899999999999999" customHeight="1">
      <c r="E220" s="465"/>
      <c r="F220" s="465"/>
      <c r="G220" s="465"/>
      <c r="H220" s="465"/>
      <c r="I220" s="465"/>
      <c r="J220" s="465"/>
      <c r="K220" s="465"/>
      <c r="L220" s="465"/>
      <c r="AZ220" s="465"/>
      <c r="BA220" s="465"/>
      <c r="BB220" s="465"/>
      <c r="BC220" s="465"/>
      <c r="BD220" s="465"/>
      <c r="BE220" s="465"/>
    </row>
    <row r="221" spans="5:57" ht="18.899999999999999" customHeight="1">
      <c r="E221" s="465"/>
      <c r="F221" s="465"/>
      <c r="G221" s="465"/>
      <c r="H221" s="465"/>
      <c r="I221" s="465"/>
      <c r="J221" s="465"/>
      <c r="K221" s="465"/>
      <c r="L221" s="465"/>
      <c r="AZ221" s="465"/>
      <c r="BA221" s="465"/>
      <c r="BB221" s="465"/>
      <c r="BC221" s="465"/>
      <c r="BD221" s="465"/>
      <c r="BE221" s="465"/>
    </row>
    <row r="222" spans="5:57" ht="18.899999999999999" customHeight="1">
      <c r="E222" s="465"/>
      <c r="F222" s="465"/>
      <c r="G222" s="465"/>
      <c r="H222" s="465"/>
      <c r="I222" s="465"/>
      <c r="J222" s="465"/>
      <c r="K222" s="465"/>
      <c r="L222" s="465"/>
      <c r="AZ222" s="465"/>
      <c r="BA222" s="465"/>
      <c r="BB222" s="465"/>
      <c r="BC222" s="465"/>
      <c r="BD222" s="465"/>
      <c r="BE222" s="465"/>
    </row>
    <row r="223" spans="5:57" ht="18.899999999999999" customHeight="1">
      <c r="E223" s="465"/>
      <c r="F223" s="465"/>
      <c r="G223" s="465"/>
      <c r="H223" s="465"/>
      <c r="I223" s="465"/>
      <c r="J223" s="465"/>
      <c r="K223" s="465"/>
      <c r="L223" s="465"/>
      <c r="AZ223" s="465"/>
      <c r="BA223" s="465"/>
      <c r="BB223" s="465"/>
      <c r="BC223" s="465"/>
      <c r="BD223" s="465"/>
      <c r="BE223" s="465"/>
    </row>
    <row r="224" spans="5:57" ht="18.899999999999999" customHeight="1">
      <c r="E224" s="465"/>
      <c r="F224" s="465"/>
      <c r="G224" s="465"/>
      <c r="H224" s="465"/>
      <c r="I224" s="465"/>
      <c r="J224" s="465"/>
      <c r="K224" s="465"/>
      <c r="L224" s="465"/>
      <c r="AZ224" s="465"/>
      <c r="BA224" s="465"/>
      <c r="BB224" s="465"/>
      <c r="BC224" s="465"/>
      <c r="BD224" s="465"/>
      <c r="BE224" s="465"/>
    </row>
    <row r="225" spans="5:57" ht="18.899999999999999" customHeight="1">
      <c r="E225" s="465"/>
      <c r="F225" s="465"/>
      <c r="G225" s="465"/>
      <c r="H225" s="465"/>
      <c r="I225" s="465"/>
      <c r="J225" s="465"/>
      <c r="K225" s="465"/>
      <c r="L225" s="465"/>
      <c r="AZ225" s="465"/>
      <c r="BA225" s="465"/>
      <c r="BB225" s="465"/>
      <c r="BC225" s="465"/>
      <c r="BD225" s="465"/>
      <c r="BE225" s="465"/>
    </row>
    <row r="226" spans="5:57" ht="18.899999999999999" customHeight="1">
      <c r="E226" s="465"/>
      <c r="F226" s="465"/>
      <c r="G226" s="465"/>
      <c r="H226" s="465"/>
      <c r="I226" s="465"/>
      <c r="J226" s="465"/>
      <c r="K226" s="465"/>
      <c r="L226" s="465"/>
      <c r="AZ226" s="465"/>
      <c r="BA226" s="465"/>
      <c r="BB226" s="465"/>
      <c r="BC226" s="465"/>
      <c r="BD226" s="465"/>
      <c r="BE226" s="465"/>
    </row>
    <row r="227" spans="5:57" ht="18.899999999999999" customHeight="1">
      <c r="E227" s="465"/>
      <c r="F227" s="465"/>
      <c r="G227" s="465"/>
      <c r="H227" s="465"/>
      <c r="I227" s="465"/>
      <c r="J227" s="465"/>
      <c r="K227" s="465"/>
      <c r="L227" s="465"/>
      <c r="AZ227" s="465"/>
      <c r="BA227" s="465"/>
      <c r="BB227" s="465"/>
      <c r="BC227" s="465"/>
      <c r="BD227" s="465"/>
      <c r="BE227" s="465"/>
    </row>
    <row r="228" spans="5:57" ht="18.899999999999999" customHeight="1">
      <c r="E228" s="465"/>
      <c r="F228" s="465"/>
      <c r="G228" s="465"/>
      <c r="H228" s="465"/>
      <c r="I228" s="465"/>
      <c r="J228" s="465"/>
      <c r="K228" s="465"/>
      <c r="L228" s="465"/>
      <c r="AZ228" s="465"/>
      <c r="BA228" s="465"/>
      <c r="BB228" s="465"/>
      <c r="BC228" s="465"/>
      <c r="BD228" s="465"/>
      <c r="BE228" s="465"/>
    </row>
    <row r="229" spans="5:57" ht="18.899999999999999" customHeight="1">
      <c r="E229" s="465"/>
      <c r="F229" s="465"/>
      <c r="G229" s="465"/>
      <c r="H229" s="465"/>
      <c r="I229" s="465"/>
      <c r="J229" s="465"/>
      <c r="K229" s="465"/>
      <c r="L229" s="465"/>
      <c r="AZ229" s="465"/>
      <c r="BA229" s="465"/>
      <c r="BB229" s="465"/>
      <c r="BC229" s="465"/>
      <c r="BD229" s="465"/>
      <c r="BE229" s="465"/>
    </row>
    <row r="230" spans="5:57" ht="18.899999999999999" customHeight="1">
      <c r="E230" s="465"/>
      <c r="F230" s="465"/>
      <c r="G230" s="465"/>
      <c r="H230" s="465"/>
      <c r="I230" s="465"/>
      <c r="J230" s="465"/>
      <c r="K230" s="465"/>
      <c r="L230" s="465"/>
      <c r="AZ230" s="465"/>
      <c r="BA230" s="465"/>
      <c r="BB230" s="465"/>
      <c r="BC230" s="465"/>
      <c r="BD230" s="465"/>
      <c r="BE230" s="465"/>
    </row>
    <row r="231" spans="5:57" ht="13.8">
      <c r="E231" s="465"/>
      <c r="F231" s="465"/>
      <c r="G231" s="465"/>
      <c r="H231" s="465"/>
      <c r="I231" s="465"/>
      <c r="J231" s="465"/>
      <c r="K231" s="465"/>
      <c r="L231" s="465"/>
      <c r="AZ231" s="465"/>
      <c r="BA231" s="465"/>
      <c r="BB231" s="465"/>
      <c r="BC231" s="465"/>
      <c r="BD231" s="465"/>
      <c r="BE231" s="465"/>
    </row>
    <row r="232" spans="5:57" ht="13.8">
      <c r="E232" s="465"/>
      <c r="F232" s="465"/>
      <c r="G232" s="465"/>
      <c r="H232" s="465"/>
      <c r="I232" s="465"/>
      <c r="J232" s="465"/>
      <c r="K232" s="465"/>
      <c r="L232" s="465"/>
      <c r="AZ232" s="465"/>
      <c r="BA232" s="465"/>
      <c r="BB232" s="465"/>
      <c r="BC232" s="465"/>
      <c r="BD232" s="465"/>
      <c r="BE232" s="465"/>
    </row>
    <row r="233" spans="5:57" ht="13.8">
      <c r="E233" s="465"/>
      <c r="F233" s="465"/>
      <c r="G233" s="465"/>
      <c r="H233" s="465"/>
      <c r="I233" s="465"/>
      <c r="J233" s="465"/>
      <c r="K233" s="465"/>
      <c r="L233" s="465"/>
      <c r="AZ233" s="465"/>
      <c r="BA233" s="465"/>
      <c r="BB233" s="465"/>
      <c r="BC233" s="465"/>
      <c r="BD233" s="465"/>
      <c r="BE233" s="465"/>
    </row>
    <row r="234" spans="5:57" ht="13.8">
      <c r="E234" s="465"/>
      <c r="F234" s="465"/>
      <c r="G234" s="465"/>
      <c r="H234" s="465"/>
      <c r="I234" s="465"/>
      <c r="J234" s="465"/>
      <c r="K234" s="465"/>
      <c r="L234" s="465"/>
      <c r="AZ234" s="465"/>
      <c r="BA234" s="465"/>
      <c r="BB234" s="465"/>
      <c r="BC234" s="465"/>
      <c r="BD234" s="465"/>
      <c r="BE234" s="465"/>
    </row>
    <row r="235" spans="5:57" ht="13.8">
      <c r="E235" s="465"/>
      <c r="F235" s="465"/>
      <c r="G235" s="465"/>
      <c r="H235" s="465"/>
      <c r="I235" s="465"/>
      <c r="J235" s="465"/>
      <c r="K235" s="465"/>
      <c r="L235" s="465"/>
      <c r="AZ235" s="465"/>
      <c r="BA235" s="465"/>
      <c r="BB235" s="465"/>
      <c r="BC235" s="465"/>
      <c r="BD235" s="465"/>
      <c r="BE235" s="465"/>
    </row>
    <row r="236" spans="5:57" ht="13.8">
      <c r="E236" s="465"/>
      <c r="F236" s="465"/>
      <c r="G236" s="465"/>
      <c r="H236" s="465"/>
      <c r="I236" s="465"/>
      <c r="J236" s="465"/>
      <c r="K236" s="465"/>
      <c r="L236" s="465"/>
      <c r="AZ236" s="465"/>
      <c r="BA236" s="465"/>
      <c r="BB236" s="465"/>
      <c r="BC236" s="465"/>
      <c r="BD236" s="465"/>
      <c r="BE236" s="465"/>
    </row>
    <row r="237" spans="5:57" ht="13.8">
      <c r="E237" s="465"/>
      <c r="F237" s="465"/>
      <c r="G237" s="465"/>
      <c r="H237" s="465"/>
      <c r="I237" s="465"/>
      <c r="J237" s="465"/>
      <c r="K237" s="465"/>
      <c r="L237" s="465"/>
      <c r="AZ237" s="465"/>
      <c r="BA237" s="465"/>
      <c r="BB237" s="465"/>
      <c r="BC237" s="465"/>
      <c r="BD237" s="465"/>
      <c r="BE237" s="465"/>
    </row>
    <row r="238" spans="5:57" ht="13.8">
      <c r="E238" s="465"/>
      <c r="F238" s="465"/>
      <c r="G238" s="465"/>
      <c r="H238" s="465"/>
      <c r="I238" s="465"/>
      <c r="J238" s="465"/>
      <c r="K238" s="465"/>
      <c r="L238" s="465"/>
      <c r="AZ238" s="465"/>
      <c r="BA238" s="465"/>
      <c r="BB238" s="465"/>
      <c r="BC238" s="465"/>
      <c r="BD238" s="465"/>
      <c r="BE238" s="465"/>
    </row>
    <row r="239" spans="5:57" ht="13.8">
      <c r="E239" s="465"/>
      <c r="F239" s="465"/>
      <c r="G239" s="465"/>
      <c r="H239" s="465"/>
      <c r="I239" s="465"/>
      <c r="J239" s="465"/>
      <c r="K239" s="465"/>
      <c r="L239" s="465"/>
      <c r="AZ239" s="465"/>
      <c r="BA239" s="465"/>
      <c r="BB239" s="465"/>
      <c r="BC239" s="465"/>
      <c r="BD239" s="465"/>
      <c r="BE239" s="465"/>
    </row>
    <row r="240" spans="5:57" ht="13.8">
      <c r="E240" s="465"/>
      <c r="F240" s="465"/>
      <c r="G240" s="465"/>
      <c r="H240" s="465"/>
      <c r="I240" s="465"/>
      <c r="J240" s="465"/>
      <c r="K240" s="465"/>
      <c r="L240" s="465"/>
      <c r="AZ240" s="465"/>
      <c r="BA240" s="465"/>
      <c r="BB240" s="465"/>
      <c r="BC240" s="465"/>
      <c r="BD240" s="465"/>
      <c r="BE240" s="465"/>
    </row>
    <row r="241" spans="5:57" ht="13.8">
      <c r="E241" s="465"/>
      <c r="F241" s="465"/>
      <c r="G241" s="465"/>
      <c r="H241" s="465"/>
      <c r="I241" s="465"/>
      <c r="J241" s="465"/>
      <c r="K241" s="465"/>
      <c r="L241" s="465"/>
      <c r="AZ241" s="465"/>
      <c r="BA241" s="465"/>
      <c r="BB241" s="465"/>
      <c r="BC241" s="465"/>
      <c r="BD241" s="465"/>
      <c r="BE241" s="465"/>
    </row>
    <row r="242" spans="5:57" ht="13.8">
      <c r="E242" s="465"/>
      <c r="F242" s="465"/>
      <c r="G242" s="465"/>
      <c r="H242" s="465"/>
      <c r="I242" s="465"/>
      <c r="J242" s="465"/>
      <c r="K242" s="465"/>
      <c r="L242" s="465"/>
      <c r="AZ242" s="465"/>
      <c r="BA242" s="465"/>
      <c r="BB242" s="465"/>
      <c r="BC242" s="465"/>
      <c r="BD242" s="465"/>
      <c r="BE242" s="465"/>
    </row>
    <row r="243" spans="5:57" ht="13.8">
      <c r="E243" s="465"/>
      <c r="F243" s="465"/>
      <c r="G243" s="465"/>
      <c r="H243" s="465"/>
      <c r="I243" s="465"/>
      <c r="J243" s="465"/>
      <c r="K243" s="465"/>
      <c r="L243" s="465"/>
      <c r="AZ243" s="465"/>
      <c r="BA243" s="465"/>
      <c r="BB243" s="465"/>
      <c r="BC243" s="465"/>
      <c r="BD243" s="465"/>
      <c r="BE243" s="465"/>
    </row>
    <row r="244" spans="5:57" ht="13.8">
      <c r="E244" s="465"/>
      <c r="F244" s="465"/>
      <c r="G244" s="465"/>
      <c r="H244" s="465"/>
      <c r="I244" s="465"/>
      <c r="J244" s="465"/>
      <c r="K244" s="465"/>
      <c r="L244" s="465"/>
      <c r="AZ244" s="465"/>
      <c r="BA244" s="465"/>
      <c r="BB244" s="465"/>
      <c r="BC244" s="465"/>
      <c r="BD244" s="465"/>
      <c r="BE244" s="465"/>
    </row>
    <row r="245" spans="5:57" ht="13.8">
      <c r="E245" s="465"/>
      <c r="F245" s="465"/>
      <c r="G245" s="465"/>
      <c r="H245" s="465"/>
      <c r="I245" s="465"/>
      <c r="J245" s="465"/>
      <c r="K245" s="465"/>
      <c r="L245" s="465"/>
      <c r="AZ245" s="465"/>
      <c r="BA245" s="465"/>
      <c r="BB245" s="465"/>
      <c r="BC245" s="465"/>
      <c r="BD245" s="465"/>
      <c r="BE245" s="465"/>
    </row>
    <row r="246" spans="5:57" ht="13.8">
      <c r="E246" s="465"/>
      <c r="F246" s="465"/>
      <c r="G246" s="465"/>
      <c r="H246" s="465"/>
      <c r="I246" s="465"/>
      <c r="J246" s="465"/>
      <c r="K246" s="465"/>
      <c r="L246" s="465"/>
      <c r="AZ246" s="465"/>
      <c r="BA246" s="465"/>
      <c r="BB246" s="465"/>
      <c r="BC246" s="465"/>
      <c r="BD246" s="465"/>
      <c r="BE246" s="465"/>
    </row>
    <row r="247" spans="5:57" ht="13.8">
      <c r="E247" s="465"/>
      <c r="F247" s="465"/>
      <c r="G247" s="465"/>
      <c r="H247" s="465"/>
      <c r="I247" s="465"/>
      <c r="J247" s="465"/>
      <c r="K247" s="465"/>
      <c r="L247" s="465"/>
      <c r="AZ247" s="465"/>
      <c r="BA247" s="465"/>
      <c r="BB247" s="465"/>
      <c r="BC247" s="465"/>
      <c r="BD247" s="465"/>
      <c r="BE247" s="465"/>
    </row>
    <row r="248" spans="5:57" ht="13.8">
      <c r="E248" s="465"/>
      <c r="F248" s="465"/>
      <c r="G248" s="465"/>
      <c r="H248" s="465"/>
      <c r="I248" s="465"/>
      <c r="J248" s="465"/>
      <c r="K248" s="465"/>
      <c r="L248" s="465"/>
      <c r="AZ248" s="465"/>
      <c r="BA248" s="465"/>
      <c r="BB248" s="465"/>
      <c r="BC248" s="465"/>
      <c r="BD248" s="465"/>
      <c r="BE248" s="465"/>
    </row>
    <row r="249" spans="5:57" ht="13.8">
      <c r="E249" s="465"/>
      <c r="F249" s="465"/>
      <c r="G249" s="465"/>
      <c r="H249" s="465"/>
      <c r="I249" s="465"/>
      <c r="J249" s="465"/>
      <c r="K249" s="465"/>
      <c r="L249" s="465"/>
      <c r="AZ249" s="465"/>
      <c r="BA249" s="465"/>
      <c r="BB249" s="465"/>
      <c r="BC249" s="465"/>
      <c r="BD249" s="465"/>
      <c r="BE249" s="465"/>
    </row>
    <row r="250" spans="5:57" ht="13.8">
      <c r="E250" s="465"/>
      <c r="F250" s="465"/>
      <c r="G250" s="465"/>
      <c r="H250" s="465"/>
      <c r="I250" s="465"/>
      <c r="J250" s="465"/>
      <c r="K250" s="465"/>
      <c r="L250" s="465"/>
      <c r="AZ250" s="465"/>
      <c r="BA250" s="465"/>
      <c r="BB250" s="465"/>
      <c r="BC250" s="465"/>
      <c r="BD250" s="465"/>
      <c r="BE250" s="465"/>
    </row>
    <row r="251" spans="5:57" ht="13.8">
      <c r="E251" s="465"/>
      <c r="F251" s="465"/>
      <c r="G251" s="465"/>
      <c r="H251" s="465"/>
      <c r="I251" s="465"/>
      <c r="J251" s="465"/>
      <c r="K251" s="465"/>
      <c r="L251" s="465"/>
      <c r="AZ251" s="465"/>
      <c r="BA251" s="465"/>
      <c r="BB251" s="465"/>
      <c r="BC251" s="465"/>
      <c r="BD251" s="465"/>
      <c r="BE251" s="465"/>
    </row>
    <row r="252" spans="5:57" ht="13.8">
      <c r="E252" s="465"/>
      <c r="F252" s="465"/>
      <c r="G252" s="465"/>
      <c r="H252" s="465"/>
      <c r="I252" s="465"/>
      <c r="J252" s="465"/>
      <c r="K252" s="465"/>
      <c r="L252" s="465"/>
      <c r="AZ252" s="465"/>
      <c r="BA252" s="465"/>
      <c r="BB252" s="465"/>
      <c r="BC252" s="465"/>
      <c r="BD252" s="465"/>
      <c r="BE252" s="465"/>
    </row>
    <row r="253" spans="5:57" ht="13.8">
      <c r="E253" s="465"/>
      <c r="F253" s="465"/>
      <c r="G253" s="465"/>
      <c r="H253" s="465"/>
      <c r="I253" s="465"/>
      <c r="J253" s="465"/>
      <c r="K253" s="465"/>
      <c r="L253" s="465"/>
      <c r="AZ253" s="465"/>
      <c r="BA253" s="465"/>
      <c r="BB253" s="465"/>
      <c r="BC253" s="465"/>
      <c r="BD253" s="465"/>
      <c r="BE253" s="465"/>
    </row>
    <row r="254" spans="5:57" ht="13.8">
      <c r="E254" s="465"/>
      <c r="F254" s="465"/>
      <c r="G254" s="465"/>
      <c r="H254" s="465"/>
      <c r="I254" s="465"/>
      <c r="J254" s="465"/>
      <c r="K254" s="465"/>
      <c r="L254" s="465"/>
      <c r="AZ254" s="465"/>
      <c r="BA254" s="465"/>
      <c r="BB254" s="465"/>
      <c r="BC254" s="465"/>
      <c r="BD254" s="465"/>
      <c r="BE254" s="465"/>
    </row>
    <row r="255" spans="5:57" ht="13.8">
      <c r="E255" s="465"/>
      <c r="F255" s="465"/>
      <c r="G255" s="465"/>
      <c r="H255" s="465"/>
      <c r="I255" s="465"/>
      <c r="J255" s="465"/>
      <c r="K255" s="465"/>
      <c r="L255" s="465"/>
      <c r="AZ255" s="465"/>
      <c r="BA255" s="465"/>
      <c r="BB255" s="465"/>
      <c r="BC255" s="465"/>
      <c r="BD255" s="465"/>
      <c r="BE255" s="465"/>
    </row>
    <row r="256" spans="5:57" ht="13.8">
      <c r="E256" s="465"/>
      <c r="F256" s="465"/>
      <c r="G256" s="465"/>
      <c r="H256" s="465"/>
      <c r="I256" s="465"/>
      <c r="J256" s="465"/>
      <c r="K256" s="465"/>
      <c r="L256" s="465"/>
      <c r="AZ256" s="465"/>
      <c r="BA256" s="465"/>
      <c r="BB256" s="465"/>
      <c r="BC256" s="465"/>
      <c r="BD256" s="465"/>
      <c r="BE256" s="465"/>
    </row>
    <row r="257" spans="5:57" ht="13.8">
      <c r="E257" s="465"/>
      <c r="F257" s="465"/>
      <c r="G257" s="465"/>
      <c r="H257" s="465"/>
      <c r="I257" s="465"/>
      <c r="J257" s="465"/>
      <c r="K257" s="465"/>
      <c r="L257" s="465"/>
      <c r="AZ257" s="465"/>
      <c r="BA257" s="465"/>
      <c r="BB257" s="465"/>
      <c r="BC257" s="465"/>
      <c r="BD257" s="465"/>
      <c r="BE257" s="465"/>
    </row>
    <row r="258" spans="5:57" ht="13.8">
      <c r="E258" s="465"/>
      <c r="F258" s="465"/>
      <c r="G258" s="465"/>
      <c r="H258" s="465"/>
      <c r="I258" s="465"/>
      <c r="J258" s="465"/>
      <c r="K258" s="465"/>
      <c r="L258" s="465"/>
      <c r="AZ258" s="465"/>
      <c r="BA258" s="465"/>
      <c r="BB258" s="465"/>
      <c r="BC258" s="465"/>
      <c r="BD258" s="465"/>
      <c r="BE258" s="465"/>
    </row>
    <row r="259" spans="5:57" ht="13.8">
      <c r="E259" s="465"/>
      <c r="F259" s="465"/>
      <c r="G259" s="465"/>
      <c r="H259" s="465"/>
      <c r="I259" s="465"/>
      <c r="J259" s="465"/>
      <c r="K259" s="465"/>
      <c r="L259" s="465"/>
      <c r="AZ259" s="465"/>
      <c r="BA259" s="465"/>
      <c r="BB259" s="465"/>
      <c r="BC259" s="465"/>
      <c r="BD259" s="465"/>
      <c r="BE259" s="465"/>
    </row>
    <row r="260" spans="5:57" ht="13.8">
      <c r="E260" s="465"/>
      <c r="F260" s="465"/>
      <c r="G260" s="465"/>
      <c r="H260" s="465"/>
      <c r="I260" s="465"/>
      <c r="J260" s="465"/>
      <c r="K260" s="465"/>
      <c r="L260" s="465"/>
      <c r="AZ260" s="465"/>
      <c r="BA260" s="465"/>
      <c r="BB260" s="465"/>
      <c r="BC260" s="465"/>
      <c r="BD260" s="465"/>
      <c r="BE260" s="465"/>
    </row>
    <row r="261" spans="5:57" ht="13.8">
      <c r="E261" s="465"/>
      <c r="F261" s="465"/>
      <c r="G261" s="465"/>
      <c r="H261" s="465"/>
      <c r="I261" s="465"/>
      <c r="J261" s="465"/>
      <c r="K261" s="465"/>
      <c r="L261" s="465"/>
      <c r="AZ261" s="465"/>
      <c r="BA261" s="465"/>
      <c r="BB261" s="465"/>
      <c r="BC261" s="465"/>
      <c r="BD261" s="465"/>
      <c r="BE261" s="465"/>
    </row>
    <row r="262" spans="5:57" ht="13.8">
      <c r="E262" s="465"/>
      <c r="F262" s="465"/>
      <c r="G262" s="465"/>
      <c r="H262" s="465"/>
      <c r="I262" s="465"/>
      <c r="J262" s="465"/>
      <c r="K262" s="465"/>
      <c r="L262" s="465"/>
      <c r="AZ262" s="465"/>
      <c r="BA262" s="465"/>
      <c r="BB262" s="465"/>
      <c r="BC262" s="465"/>
      <c r="BD262" s="465"/>
      <c r="BE262" s="465"/>
    </row>
    <row r="263" spans="5:57" ht="13.8">
      <c r="E263" s="465"/>
      <c r="F263" s="465"/>
      <c r="G263" s="465"/>
      <c r="H263" s="465"/>
      <c r="I263" s="465"/>
      <c r="J263" s="465"/>
      <c r="K263" s="465"/>
      <c r="L263" s="465"/>
      <c r="AZ263" s="465"/>
      <c r="BA263" s="465"/>
      <c r="BB263" s="465"/>
      <c r="BC263" s="465"/>
      <c r="BD263" s="465"/>
      <c r="BE263" s="465"/>
    </row>
    <row r="264" spans="5:57" ht="13.8">
      <c r="E264" s="465"/>
      <c r="F264" s="465"/>
      <c r="G264" s="465"/>
      <c r="H264" s="465"/>
      <c r="I264" s="465"/>
      <c r="J264" s="465"/>
      <c r="K264" s="465"/>
      <c r="L264" s="465"/>
      <c r="AZ264" s="465"/>
      <c r="BA264" s="465"/>
      <c r="BB264" s="465"/>
      <c r="BC264" s="465"/>
      <c r="BD264" s="465"/>
      <c r="BE264" s="465"/>
    </row>
    <row r="265" spans="5:57" ht="13.8">
      <c r="E265" s="465"/>
      <c r="F265" s="465"/>
      <c r="G265" s="465"/>
      <c r="H265" s="465"/>
      <c r="I265" s="465"/>
      <c r="J265" s="465"/>
      <c r="K265" s="465"/>
      <c r="L265" s="465"/>
      <c r="AZ265" s="465"/>
      <c r="BA265" s="465"/>
      <c r="BB265" s="465"/>
      <c r="BC265" s="465"/>
      <c r="BD265" s="465"/>
      <c r="BE265" s="465"/>
    </row>
    <row r="266" spans="5:57" ht="13.8">
      <c r="E266" s="465"/>
      <c r="F266" s="465"/>
      <c r="G266" s="465"/>
      <c r="H266" s="465"/>
      <c r="I266" s="465"/>
      <c r="J266" s="465"/>
      <c r="K266" s="465"/>
      <c r="L266" s="465"/>
      <c r="AZ266" s="465"/>
      <c r="BA266" s="465"/>
      <c r="BB266" s="465"/>
      <c r="BC266" s="465"/>
      <c r="BD266" s="465"/>
      <c r="BE266" s="465"/>
    </row>
    <row r="267" spans="5:57" ht="13.8">
      <c r="E267" s="465"/>
      <c r="F267" s="465"/>
      <c r="G267" s="465"/>
      <c r="H267" s="465"/>
      <c r="I267" s="465"/>
      <c r="J267" s="465"/>
      <c r="K267" s="465"/>
      <c r="L267" s="465"/>
      <c r="AZ267" s="465"/>
      <c r="BA267" s="465"/>
      <c r="BB267" s="465"/>
      <c r="BC267" s="465"/>
      <c r="BD267" s="465"/>
      <c r="BE267" s="465"/>
    </row>
    <row r="268" spans="5:57" ht="18.899999999999999" customHeight="1">
      <c r="E268" s="465"/>
      <c r="F268" s="465"/>
      <c r="G268" s="465"/>
      <c r="H268" s="465"/>
      <c r="I268" s="465"/>
      <c r="J268" s="465"/>
      <c r="K268" s="465"/>
      <c r="L268" s="465"/>
      <c r="AZ268" s="465"/>
      <c r="BA268" s="465"/>
      <c r="BB268" s="465"/>
      <c r="BC268" s="465"/>
      <c r="BD268" s="465"/>
      <c r="BE268" s="465"/>
    </row>
    <row r="269" spans="5:57" ht="18.899999999999999" customHeight="1">
      <c r="E269" s="465"/>
      <c r="F269" s="465"/>
      <c r="G269" s="465"/>
      <c r="H269" s="465"/>
      <c r="I269" s="465"/>
      <c r="J269" s="465"/>
      <c r="K269" s="465"/>
      <c r="L269" s="465"/>
      <c r="AZ269" s="465"/>
      <c r="BA269" s="465"/>
      <c r="BB269" s="465"/>
      <c r="BC269" s="465"/>
      <c r="BD269" s="465"/>
      <c r="BE269" s="465"/>
    </row>
    <row r="270" spans="5:57" ht="18.899999999999999" customHeight="1">
      <c r="E270" s="465"/>
      <c r="F270" s="465"/>
      <c r="G270" s="465"/>
      <c r="H270" s="465"/>
      <c r="I270" s="465"/>
      <c r="J270" s="465"/>
      <c r="K270" s="465"/>
      <c r="L270" s="465"/>
      <c r="AZ270" s="465"/>
      <c r="BA270" s="465"/>
      <c r="BB270" s="465"/>
      <c r="BC270" s="465"/>
      <c r="BD270" s="465"/>
      <c r="BE270" s="465"/>
    </row>
    <row r="271" spans="5:57" ht="18.899999999999999" customHeight="1">
      <c r="E271" s="465"/>
      <c r="F271" s="465"/>
      <c r="G271" s="465"/>
      <c r="H271" s="465"/>
      <c r="I271" s="465"/>
      <c r="J271" s="465"/>
      <c r="K271" s="465"/>
      <c r="L271" s="465"/>
      <c r="AZ271" s="465"/>
      <c r="BA271" s="465"/>
      <c r="BB271" s="465"/>
      <c r="BC271" s="465"/>
      <c r="BD271" s="465"/>
      <c r="BE271" s="465"/>
    </row>
    <row r="272" spans="5:57" ht="18.899999999999999" customHeight="1">
      <c r="E272" s="465"/>
      <c r="F272" s="465"/>
      <c r="G272" s="465"/>
      <c r="H272" s="465"/>
      <c r="I272" s="465"/>
      <c r="J272" s="465"/>
      <c r="K272" s="465"/>
      <c r="L272" s="465"/>
      <c r="AZ272" s="465"/>
      <c r="BA272" s="465"/>
      <c r="BB272" s="465"/>
      <c r="BC272" s="465"/>
      <c r="BD272" s="465"/>
      <c r="BE272" s="465"/>
    </row>
    <row r="273" spans="5:57" ht="18.899999999999999" customHeight="1">
      <c r="E273" s="465"/>
      <c r="F273" s="465"/>
      <c r="G273" s="465"/>
      <c r="H273" s="465"/>
      <c r="I273" s="465"/>
      <c r="J273" s="465"/>
      <c r="K273" s="465"/>
      <c r="L273" s="465"/>
      <c r="AZ273" s="465"/>
      <c r="BA273" s="465"/>
      <c r="BB273" s="465"/>
      <c r="BC273" s="465"/>
      <c r="BD273" s="465"/>
      <c r="BE273" s="465"/>
    </row>
    <row r="274" spans="5:57" ht="18.899999999999999" customHeight="1">
      <c r="E274" s="465"/>
      <c r="F274" s="465"/>
      <c r="G274" s="465"/>
      <c r="H274" s="465"/>
      <c r="I274" s="465"/>
      <c r="J274" s="465"/>
      <c r="K274" s="465"/>
      <c r="L274" s="465"/>
      <c r="AZ274" s="465"/>
      <c r="BA274" s="465"/>
      <c r="BB274" s="465"/>
      <c r="BC274" s="465"/>
      <c r="BD274" s="465"/>
      <c r="BE274" s="465"/>
    </row>
    <row r="275" spans="5:57" ht="18.899999999999999" customHeight="1">
      <c r="E275" s="465"/>
      <c r="F275" s="465"/>
      <c r="G275" s="465"/>
      <c r="H275" s="465"/>
      <c r="I275" s="465"/>
      <c r="J275" s="465"/>
      <c r="K275" s="465"/>
      <c r="L275" s="465"/>
      <c r="AZ275" s="465"/>
      <c r="BA275" s="465"/>
      <c r="BB275" s="465"/>
      <c r="BC275" s="465"/>
      <c r="BD275" s="465"/>
      <c r="BE275" s="465"/>
    </row>
    <row r="276" spans="5:57" ht="18.899999999999999" customHeight="1">
      <c r="E276" s="465"/>
      <c r="F276" s="465"/>
      <c r="G276" s="465"/>
      <c r="H276" s="465"/>
      <c r="I276" s="465"/>
      <c r="J276" s="465"/>
      <c r="K276" s="465"/>
      <c r="L276" s="465"/>
      <c r="AZ276" s="465"/>
      <c r="BA276" s="465"/>
      <c r="BB276" s="465"/>
      <c r="BC276" s="465"/>
      <c r="BD276" s="465"/>
      <c r="BE276" s="465"/>
    </row>
    <row r="277" spans="5:57" ht="18.899999999999999" customHeight="1">
      <c r="E277" s="465"/>
      <c r="F277" s="465"/>
      <c r="G277" s="465"/>
      <c r="H277" s="465"/>
      <c r="I277" s="465"/>
      <c r="J277" s="465"/>
      <c r="K277" s="465"/>
      <c r="L277" s="465"/>
      <c r="AZ277" s="465"/>
      <c r="BA277" s="465"/>
      <c r="BB277" s="465"/>
      <c r="BC277" s="465"/>
      <c r="BD277" s="465"/>
      <c r="BE277" s="465"/>
    </row>
    <row r="278" spans="5:57" ht="18.899999999999999" customHeight="1">
      <c r="E278" s="465"/>
      <c r="F278" s="465"/>
      <c r="G278" s="465"/>
      <c r="H278" s="465"/>
      <c r="I278" s="465"/>
      <c r="J278" s="465"/>
      <c r="K278" s="465"/>
      <c r="L278" s="465"/>
      <c r="AZ278" s="465"/>
      <c r="BA278" s="465"/>
      <c r="BB278" s="465"/>
      <c r="BC278" s="465"/>
      <c r="BD278" s="465"/>
      <c r="BE278" s="465"/>
    </row>
    <row r="279" spans="5:57" ht="18.899999999999999" customHeight="1">
      <c r="E279" s="465"/>
      <c r="F279" s="465"/>
      <c r="G279" s="465"/>
      <c r="H279" s="465"/>
      <c r="I279" s="465"/>
      <c r="J279" s="465"/>
      <c r="K279" s="465"/>
      <c r="L279" s="465"/>
      <c r="AZ279" s="465"/>
      <c r="BA279" s="465"/>
      <c r="BB279" s="465"/>
      <c r="BC279" s="465"/>
      <c r="BD279" s="465"/>
      <c r="BE279" s="465"/>
    </row>
    <row r="280" spans="5:57" ht="18.899999999999999" customHeight="1">
      <c r="E280" s="465"/>
      <c r="F280" s="465"/>
      <c r="G280" s="465"/>
      <c r="H280" s="465"/>
      <c r="I280" s="465"/>
      <c r="J280" s="465"/>
      <c r="K280" s="465"/>
      <c r="L280" s="465"/>
      <c r="AZ280" s="465"/>
      <c r="BA280" s="465"/>
      <c r="BB280" s="465"/>
      <c r="BC280" s="465"/>
      <c r="BD280" s="465"/>
      <c r="BE280" s="465"/>
    </row>
    <row r="281" spans="5:57" ht="18.899999999999999" customHeight="1">
      <c r="E281" s="465"/>
      <c r="F281" s="465"/>
      <c r="G281" s="465"/>
      <c r="H281" s="465"/>
      <c r="I281" s="465"/>
      <c r="J281" s="465"/>
      <c r="K281" s="465"/>
      <c r="L281" s="465"/>
      <c r="AZ281" s="465"/>
      <c r="BA281" s="465"/>
      <c r="BB281" s="465"/>
      <c r="BC281" s="465"/>
      <c r="BD281" s="465"/>
      <c r="BE281" s="465"/>
    </row>
    <row r="282" spans="5:57" ht="18.899999999999999" customHeight="1">
      <c r="E282" s="465"/>
      <c r="F282" s="465"/>
      <c r="G282" s="465"/>
      <c r="H282" s="465"/>
      <c r="I282" s="465"/>
      <c r="J282" s="465"/>
      <c r="K282" s="465"/>
      <c r="L282" s="465"/>
      <c r="AZ282" s="465"/>
      <c r="BA282" s="465"/>
      <c r="BB282" s="465"/>
      <c r="BC282" s="465"/>
      <c r="BD282" s="465"/>
      <c r="BE282" s="465"/>
    </row>
    <row r="283" spans="5:57" ht="18.899999999999999" customHeight="1">
      <c r="E283" s="465"/>
      <c r="F283" s="465"/>
      <c r="G283" s="465"/>
      <c r="H283" s="465"/>
      <c r="I283" s="465"/>
      <c r="J283" s="465"/>
      <c r="K283" s="465"/>
      <c r="L283" s="465"/>
      <c r="AZ283" s="465"/>
      <c r="BA283" s="465"/>
      <c r="BB283" s="465"/>
      <c r="BC283" s="465"/>
      <c r="BD283" s="465"/>
      <c r="BE283" s="465"/>
    </row>
    <row r="284" spans="5:57" ht="18.899999999999999" customHeight="1">
      <c r="E284" s="465"/>
      <c r="F284" s="465"/>
      <c r="G284" s="465"/>
      <c r="H284" s="465"/>
      <c r="I284" s="465"/>
      <c r="J284" s="465"/>
      <c r="K284" s="465"/>
      <c r="L284" s="465"/>
      <c r="AZ284" s="465"/>
      <c r="BA284" s="465"/>
      <c r="BB284" s="465"/>
      <c r="BC284" s="465"/>
      <c r="BD284" s="465"/>
      <c r="BE284" s="465"/>
    </row>
    <row r="285" spans="5:57" ht="18.899999999999999" customHeight="1">
      <c r="E285" s="465"/>
      <c r="F285" s="465"/>
      <c r="G285" s="465"/>
      <c r="H285" s="465"/>
      <c r="I285" s="465"/>
      <c r="J285" s="465"/>
      <c r="K285" s="465"/>
      <c r="L285" s="465"/>
      <c r="AZ285" s="465"/>
      <c r="BA285" s="465"/>
      <c r="BB285" s="465"/>
      <c r="BC285" s="465"/>
      <c r="BD285" s="465"/>
      <c r="BE285" s="465"/>
    </row>
    <row r="286" spans="5:57" ht="18.899999999999999" customHeight="1">
      <c r="E286" s="465"/>
      <c r="F286" s="465"/>
      <c r="G286" s="465"/>
      <c r="H286" s="465"/>
      <c r="I286" s="465"/>
      <c r="J286" s="465"/>
      <c r="K286" s="465"/>
      <c r="L286" s="465"/>
      <c r="AZ286" s="465"/>
      <c r="BA286" s="465"/>
      <c r="BB286" s="465"/>
      <c r="BC286" s="465"/>
      <c r="BD286" s="465"/>
      <c r="BE286" s="465"/>
    </row>
    <row r="287" spans="5:57" ht="18.899999999999999" customHeight="1">
      <c r="E287" s="465"/>
      <c r="F287" s="465"/>
      <c r="G287" s="465"/>
      <c r="H287" s="465"/>
      <c r="I287" s="465"/>
      <c r="J287" s="465"/>
      <c r="K287" s="465"/>
      <c r="L287" s="465"/>
      <c r="AZ287" s="465"/>
      <c r="BA287" s="465"/>
      <c r="BB287" s="465"/>
      <c r="BC287" s="465"/>
      <c r="BD287" s="465"/>
      <c r="BE287" s="465"/>
    </row>
    <row r="288" spans="5:57" ht="18.899999999999999" customHeight="1">
      <c r="E288" s="465"/>
      <c r="F288" s="465"/>
      <c r="G288" s="465"/>
      <c r="H288" s="465"/>
      <c r="I288" s="465"/>
      <c r="J288" s="465"/>
      <c r="K288" s="465"/>
      <c r="L288" s="465"/>
      <c r="AZ288" s="465"/>
      <c r="BA288" s="465"/>
      <c r="BB288" s="465"/>
      <c r="BC288" s="465"/>
      <c r="BD288" s="465"/>
      <c r="BE288" s="465"/>
    </row>
    <row r="289" spans="5:57" ht="18.899999999999999" customHeight="1">
      <c r="E289" s="465"/>
      <c r="F289" s="465"/>
      <c r="G289" s="465"/>
      <c r="H289" s="465"/>
      <c r="I289" s="465"/>
      <c r="J289" s="465"/>
      <c r="K289" s="465"/>
      <c r="L289" s="465"/>
      <c r="AZ289" s="465"/>
      <c r="BA289" s="465"/>
      <c r="BB289" s="465"/>
      <c r="BC289" s="465"/>
      <c r="BD289" s="465"/>
      <c r="BE289" s="465"/>
    </row>
    <row r="290" spans="5:57" ht="18.899999999999999" customHeight="1">
      <c r="E290" s="465"/>
      <c r="F290" s="465"/>
      <c r="G290" s="465"/>
      <c r="H290" s="465"/>
      <c r="I290" s="465"/>
      <c r="J290" s="465"/>
      <c r="K290" s="465"/>
      <c r="L290" s="465"/>
      <c r="AZ290" s="465"/>
      <c r="BA290" s="465"/>
      <c r="BB290" s="465"/>
      <c r="BC290" s="465"/>
      <c r="BD290" s="465"/>
      <c r="BE290" s="465"/>
    </row>
    <row r="291" spans="5:57" ht="18.899999999999999" customHeight="1">
      <c r="E291" s="465"/>
      <c r="F291" s="465"/>
      <c r="G291" s="465"/>
      <c r="H291" s="465"/>
      <c r="I291" s="465"/>
      <c r="J291" s="465"/>
      <c r="K291" s="465"/>
      <c r="L291" s="465"/>
      <c r="AZ291" s="465"/>
      <c r="BA291" s="465"/>
      <c r="BB291" s="465"/>
      <c r="BC291" s="465"/>
      <c r="BD291" s="465"/>
      <c r="BE291" s="465"/>
    </row>
    <row r="292" spans="5:57" ht="18.899999999999999" customHeight="1">
      <c r="E292" s="465"/>
      <c r="F292" s="465"/>
      <c r="G292" s="465"/>
      <c r="H292" s="465"/>
      <c r="I292" s="465"/>
      <c r="J292" s="465"/>
      <c r="K292" s="465"/>
      <c r="L292" s="465"/>
      <c r="AZ292" s="465"/>
      <c r="BA292" s="465"/>
      <c r="BB292" s="465"/>
      <c r="BC292" s="465"/>
      <c r="BD292" s="465"/>
      <c r="BE292" s="465"/>
    </row>
    <row r="293" spans="5:57" ht="18.899999999999999" customHeight="1">
      <c r="E293" s="465"/>
      <c r="F293" s="465"/>
      <c r="G293" s="465"/>
      <c r="H293" s="465"/>
      <c r="I293" s="465"/>
      <c r="J293" s="465"/>
      <c r="K293" s="465"/>
      <c r="L293" s="465"/>
      <c r="AZ293" s="465"/>
      <c r="BA293" s="465"/>
      <c r="BB293" s="465"/>
      <c r="BC293" s="465"/>
      <c r="BD293" s="465"/>
      <c r="BE293" s="465"/>
    </row>
    <row r="294" spans="5:57" ht="18.899999999999999" customHeight="1">
      <c r="E294" s="465"/>
      <c r="F294" s="465"/>
      <c r="G294" s="465"/>
      <c r="H294" s="465"/>
      <c r="I294" s="465"/>
      <c r="J294" s="465"/>
      <c r="K294" s="465"/>
      <c r="L294" s="465"/>
      <c r="AZ294" s="465"/>
      <c r="BA294" s="465"/>
      <c r="BB294" s="465"/>
      <c r="BC294" s="465"/>
      <c r="BD294" s="465"/>
      <c r="BE294" s="465"/>
    </row>
    <row r="295" spans="5:57" ht="18.899999999999999" customHeight="1">
      <c r="E295" s="465"/>
      <c r="F295" s="465"/>
      <c r="G295" s="465"/>
      <c r="H295" s="465"/>
      <c r="I295" s="465"/>
      <c r="J295" s="465"/>
      <c r="K295" s="465"/>
      <c r="L295" s="465"/>
      <c r="AZ295" s="465"/>
      <c r="BA295" s="465"/>
      <c r="BB295" s="465"/>
      <c r="BC295" s="465"/>
      <c r="BD295" s="465"/>
      <c r="BE295" s="465"/>
    </row>
    <row r="296" spans="5:57" ht="18.899999999999999" customHeight="1">
      <c r="E296" s="465"/>
      <c r="F296" s="465"/>
      <c r="G296" s="465"/>
      <c r="H296" s="465"/>
      <c r="I296" s="465"/>
      <c r="J296" s="465"/>
      <c r="K296" s="465"/>
      <c r="L296" s="465"/>
      <c r="AZ296" s="465"/>
      <c r="BA296" s="465"/>
      <c r="BB296" s="465"/>
      <c r="BC296" s="465"/>
      <c r="BD296" s="465"/>
      <c r="BE296" s="465"/>
    </row>
    <row r="297" spans="5:57" ht="18.899999999999999" customHeight="1">
      <c r="E297" s="465"/>
      <c r="F297" s="465"/>
      <c r="G297" s="465"/>
      <c r="H297" s="465"/>
      <c r="I297" s="465"/>
      <c r="J297" s="465"/>
      <c r="K297" s="465"/>
      <c r="L297" s="465"/>
      <c r="AZ297" s="465"/>
      <c r="BA297" s="465"/>
      <c r="BB297" s="465"/>
      <c r="BC297" s="465"/>
      <c r="BD297" s="465"/>
      <c r="BE297" s="465"/>
    </row>
    <row r="298" spans="5:57" ht="18.899999999999999" customHeight="1">
      <c r="E298" s="465"/>
      <c r="F298" s="465"/>
      <c r="G298" s="465"/>
      <c r="H298" s="465"/>
      <c r="I298" s="465"/>
      <c r="J298" s="465"/>
      <c r="K298" s="465"/>
      <c r="L298" s="465"/>
      <c r="AZ298" s="465"/>
      <c r="BA298" s="465"/>
      <c r="BB298" s="465"/>
      <c r="BC298" s="465"/>
      <c r="BD298" s="465"/>
      <c r="BE298" s="465"/>
    </row>
    <row r="299" spans="5:57" ht="18.899999999999999" customHeight="1">
      <c r="E299" s="465"/>
      <c r="F299" s="465"/>
      <c r="G299" s="465"/>
      <c r="H299" s="465"/>
      <c r="I299" s="465"/>
      <c r="J299" s="465"/>
      <c r="K299" s="465"/>
      <c r="L299" s="465"/>
      <c r="AZ299" s="465"/>
      <c r="BA299" s="465"/>
      <c r="BB299" s="465"/>
      <c r="BC299" s="465"/>
      <c r="BD299" s="465"/>
      <c r="BE299" s="465"/>
    </row>
    <row r="300" spans="5:57" ht="18.899999999999999" customHeight="1">
      <c r="E300" s="465"/>
      <c r="F300" s="465"/>
      <c r="G300" s="465"/>
      <c r="H300" s="465"/>
      <c r="I300" s="465"/>
      <c r="J300" s="465"/>
      <c r="K300" s="465"/>
      <c r="L300" s="465"/>
      <c r="AZ300" s="465"/>
      <c r="BA300" s="465"/>
      <c r="BB300" s="465"/>
      <c r="BC300" s="465"/>
      <c r="BD300" s="465"/>
      <c r="BE300" s="465"/>
    </row>
    <row r="301" spans="5:57" ht="18.899999999999999" customHeight="1">
      <c r="E301" s="465"/>
      <c r="F301" s="465"/>
      <c r="G301" s="465"/>
      <c r="H301" s="465"/>
      <c r="I301" s="465"/>
      <c r="J301" s="465"/>
      <c r="K301" s="465"/>
      <c r="L301" s="465"/>
      <c r="AZ301" s="465"/>
      <c r="BA301" s="465"/>
      <c r="BB301" s="465"/>
      <c r="BC301" s="465"/>
      <c r="BD301" s="465"/>
      <c r="BE301" s="465"/>
    </row>
    <row r="302" spans="5:57" ht="18.899999999999999" customHeight="1">
      <c r="E302" s="465"/>
      <c r="F302" s="465"/>
      <c r="G302" s="465"/>
      <c r="H302" s="465"/>
      <c r="I302" s="465"/>
      <c r="J302" s="465"/>
      <c r="K302" s="465"/>
      <c r="L302" s="465"/>
      <c r="AZ302" s="465"/>
      <c r="BA302" s="465"/>
      <c r="BB302" s="465"/>
      <c r="BC302" s="465"/>
      <c r="BD302" s="465"/>
      <c r="BE302" s="465"/>
    </row>
    <row r="303" spans="5:57" ht="18.899999999999999" customHeight="1">
      <c r="E303" s="465"/>
      <c r="F303" s="465"/>
      <c r="G303" s="465"/>
      <c r="H303" s="465"/>
      <c r="I303" s="465"/>
      <c r="J303" s="465"/>
      <c r="K303" s="465"/>
      <c r="L303" s="465"/>
      <c r="AZ303" s="465"/>
      <c r="BA303" s="465"/>
      <c r="BB303" s="465"/>
      <c r="BC303" s="465"/>
      <c r="BD303" s="465"/>
      <c r="BE303" s="465"/>
    </row>
    <row r="304" spans="5:57" ht="18.899999999999999" customHeight="1">
      <c r="E304" s="465"/>
      <c r="F304" s="465"/>
      <c r="G304" s="465"/>
      <c r="H304" s="465"/>
      <c r="I304" s="465"/>
      <c r="J304" s="465"/>
      <c r="K304" s="465"/>
      <c r="L304" s="465"/>
      <c r="AZ304" s="465"/>
      <c r="BA304" s="465"/>
      <c r="BB304" s="465"/>
      <c r="BC304" s="465"/>
      <c r="BD304" s="465"/>
      <c r="BE304" s="465"/>
    </row>
    <row r="305" spans="5:57" ht="18.899999999999999" customHeight="1">
      <c r="E305" s="465"/>
      <c r="F305" s="465"/>
      <c r="G305" s="465"/>
      <c r="H305" s="465"/>
      <c r="I305" s="465"/>
      <c r="J305" s="465"/>
      <c r="K305" s="465"/>
      <c r="L305" s="465"/>
      <c r="AZ305" s="465"/>
      <c r="BA305" s="465"/>
      <c r="BB305" s="465"/>
      <c r="BC305" s="465"/>
      <c r="BD305" s="465"/>
      <c r="BE305" s="465"/>
    </row>
    <row r="306" spans="5:57" ht="18.899999999999999" customHeight="1">
      <c r="E306" s="465"/>
      <c r="F306" s="465"/>
      <c r="G306" s="465"/>
      <c r="H306" s="465"/>
      <c r="I306" s="465"/>
      <c r="J306" s="465"/>
      <c r="K306" s="465"/>
      <c r="L306" s="465"/>
      <c r="AZ306" s="465"/>
      <c r="BA306" s="465"/>
      <c r="BB306" s="465"/>
      <c r="BC306" s="465"/>
      <c r="BD306" s="465"/>
      <c r="BE306" s="465"/>
    </row>
    <row r="307" spans="5:57" ht="18.899999999999999" customHeight="1">
      <c r="E307" s="465"/>
      <c r="F307" s="465"/>
      <c r="G307" s="465"/>
      <c r="H307" s="465"/>
      <c r="I307" s="465"/>
      <c r="J307" s="465"/>
      <c r="K307" s="465"/>
      <c r="L307" s="465"/>
      <c r="AZ307" s="465"/>
      <c r="BA307" s="465"/>
      <c r="BB307" s="465"/>
      <c r="BC307" s="465"/>
      <c r="BD307" s="465"/>
      <c r="BE307" s="465"/>
    </row>
    <row r="308" spans="5:57" ht="18.899999999999999" customHeight="1">
      <c r="E308" s="465"/>
      <c r="F308" s="465"/>
      <c r="G308" s="465"/>
      <c r="H308" s="465"/>
      <c r="I308" s="465"/>
      <c r="J308" s="465"/>
      <c r="K308" s="465"/>
      <c r="L308" s="465"/>
      <c r="AZ308" s="465"/>
      <c r="BA308" s="465"/>
      <c r="BB308" s="465"/>
      <c r="BC308" s="465"/>
      <c r="BD308" s="465"/>
      <c r="BE308" s="465"/>
    </row>
    <row r="309" spans="5:57" ht="18.899999999999999" customHeight="1">
      <c r="E309" s="465"/>
      <c r="F309" s="465"/>
      <c r="G309" s="465"/>
      <c r="H309" s="465"/>
      <c r="I309" s="465"/>
      <c r="J309" s="465"/>
      <c r="K309" s="465"/>
      <c r="L309" s="465"/>
      <c r="AZ309" s="465"/>
      <c r="BA309" s="465"/>
      <c r="BB309" s="465"/>
      <c r="BC309" s="465"/>
      <c r="BD309" s="465"/>
      <c r="BE309" s="465"/>
    </row>
    <row r="310" spans="5:57" ht="18.899999999999999" customHeight="1">
      <c r="E310" s="465"/>
      <c r="F310" s="465"/>
      <c r="G310" s="465"/>
      <c r="H310" s="465"/>
      <c r="I310" s="465"/>
      <c r="J310" s="465"/>
      <c r="K310" s="465"/>
      <c r="L310" s="465"/>
      <c r="AZ310" s="465"/>
      <c r="BA310" s="465"/>
      <c r="BB310" s="465"/>
      <c r="BC310" s="465"/>
      <c r="BD310" s="465"/>
      <c r="BE310" s="465"/>
    </row>
    <row r="311" spans="5:57" ht="18.899999999999999" customHeight="1">
      <c r="E311" s="465"/>
      <c r="F311" s="465"/>
      <c r="G311" s="465"/>
      <c r="H311" s="465"/>
      <c r="I311" s="465"/>
      <c r="J311" s="465"/>
      <c r="K311" s="465"/>
      <c r="L311" s="465"/>
      <c r="AZ311" s="465"/>
      <c r="BA311" s="465"/>
      <c r="BB311" s="465"/>
      <c r="BC311" s="465"/>
      <c r="BD311" s="465"/>
      <c r="BE311" s="465"/>
    </row>
    <row r="312" spans="5:57" ht="18.899999999999999" customHeight="1">
      <c r="E312" s="465"/>
      <c r="F312" s="465"/>
      <c r="G312" s="465"/>
      <c r="H312" s="465"/>
      <c r="I312" s="465"/>
      <c r="J312" s="465"/>
      <c r="K312" s="465"/>
      <c r="L312" s="465"/>
      <c r="AZ312" s="465"/>
      <c r="BA312" s="465"/>
      <c r="BB312" s="465"/>
      <c r="BC312" s="465"/>
      <c r="BD312" s="465"/>
      <c r="BE312" s="465"/>
    </row>
    <row r="313" spans="5:57" ht="18.899999999999999" customHeight="1">
      <c r="E313" s="465"/>
      <c r="F313" s="465"/>
      <c r="G313" s="465"/>
      <c r="H313" s="465"/>
      <c r="I313" s="465"/>
      <c r="J313" s="465"/>
      <c r="K313" s="465"/>
      <c r="L313" s="465"/>
      <c r="AZ313" s="465"/>
      <c r="BA313" s="465"/>
      <c r="BB313" s="465"/>
      <c r="BC313" s="465"/>
      <c r="BD313" s="465"/>
      <c r="BE313" s="465"/>
    </row>
    <row r="314" spans="5:57" ht="18.899999999999999" customHeight="1">
      <c r="E314" s="465"/>
      <c r="F314" s="465"/>
      <c r="G314" s="465"/>
      <c r="H314" s="465"/>
      <c r="I314" s="465"/>
      <c r="J314" s="465"/>
      <c r="K314" s="465"/>
      <c r="L314" s="465"/>
      <c r="AZ314" s="465"/>
      <c r="BA314" s="465"/>
      <c r="BB314" s="465"/>
      <c r="BC314" s="465"/>
      <c r="BD314" s="465"/>
      <c r="BE314" s="465"/>
    </row>
    <row r="315" spans="5:57" ht="18.899999999999999" customHeight="1">
      <c r="E315" s="465"/>
      <c r="F315" s="465"/>
      <c r="G315" s="465"/>
      <c r="H315" s="465"/>
      <c r="I315" s="465"/>
      <c r="J315" s="465"/>
      <c r="K315" s="465"/>
      <c r="L315" s="465"/>
      <c r="AZ315" s="465"/>
      <c r="BA315" s="465"/>
      <c r="BB315" s="465"/>
      <c r="BC315" s="465"/>
      <c r="BD315" s="465"/>
      <c r="BE315" s="465"/>
    </row>
    <row r="316" spans="5:57" ht="18.899999999999999" customHeight="1">
      <c r="E316" s="465"/>
      <c r="F316" s="465"/>
      <c r="G316" s="465"/>
      <c r="H316" s="465"/>
      <c r="I316" s="465"/>
      <c r="J316" s="465"/>
      <c r="K316" s="465"/>
      <c r="L316" s="465"/>
      <c r="AZ316" s="465"/>
      <c r="BA316" s="465"/>
      <c r="BB316" s="465"/>
      <c r="BC316" s="465"/>
      <c r="BD316" s="465"/>
      <c r="BE316" s="465"/>
    </row>
    <row r="317" spans="5:57" ht="18.899999999999999" customHeight="1">
      <c r="E317" s="465"/>
      <c r="F317" s="465"/>
      <c r="G317" s="465"/>
      <c r="H317" s="465"/>
      <c r="I317" s="465"/>
      <c r="J317" s="465"/>
      <c r="K317" s="465"/>
      <c r="L317" s="465"/>
      <c r="AZ317" s="465"/>
      <c r="BA317" s="465"/>
      <c r="BB317" s="465"/>
      <c r="BC317" s="465"/>
      <c r="BD317" s="465"/>
      <c r="BE317" s="465"/>
    </row>
    <row r="318" spans="5:57" ht="18.899999999999999" customHeight="1">
      <c r="E318" s="465"/>
      <c r="F318" s="465"/>
      <c r="G318" s="465"/>
      <c r="H318" s="465"/>
      <c r="I318" s="465"/>
      <c r="J318" s="465"/>
      <c r="K318" s="465"/>
      <c r="L318" s="465"/>
      <c r="AZ318" s="465"/>
      <c r="BA318" s="465"/>
      <c r="BB318" s="465"/>
      <c r="BC318" s="465"/>
      <c r="BD318" s="465"/>
      <c r="BE318" s="465"/>
    </row>
    <row r="319" spans="5:57" ht="18.899999999999999" customHeight="1">
      <c r="E319" s="465"/>
      <c r="F319" s="465"/>
      <c r="G319" s="465"/>
      <c r="H319" s="465"/>
      <c r="I319" s="465"/>
      <c r="J319" s="465"/>
      <c r="K319" s="465"/>
      <c r="L319" s="465"/>
      <c r="AZ319" s="465"/>
      <c r="BA319" s="465"/>
      <c r="BB319" s="465"/>
      <c r="BC319" s="465"/>
      <c r="BD319" s="465"/>
      <c r="BE319" s="465"/>
    </row>
    <row r="320" spans="5:57" ht="18.899999999999999" customHeight="1">
      <c r="E320" s="465"/>
      <c r="F320" s="465"/>
      <c r="G320" s="465"/>
      <c r="H320" s="465"/>
      <c r="I320" s="465"/>
      <c r="J320" s="465"/>
      <c r="K320" s="465"/>
      <c r="L320" s="465"/>
      <c r="AZ320" s="465"/>
      <c r="BA320" s="465"/>
      <c r="BB320" s="465"/>
      <c r="BC320" s="465"/>
      <c r="BD320" s="465"/>
      <c r="BE320" s="465"/>
    </row>
    <row r="321" spans="5:57" ht="18.899999999999999" customHeight="1">
      <c r="E321" s="465"/>
      <c r="F321" s="465"/>
      <c r="G321" s="465"/>
      <c r="H321" s="465"/>
      <c r="I321" s="465"/>
      <c r="J321" s="465"/>
      <c r="K321" s="465"/>
      <c r="L321" s="465"/>
      <c r="AZ321" s="465"/>
      <c r="BA321" s="465"/>
      <c r="BB321" s="465"/>
      <c r="BC321" s="465"/>
      <c r="BD321" s="465"/>
      <c r="BE321" s="465"/>
    </row>
    <row r="322" spans="5:57" ht="18.899999999999999" customHeight="1">
      <c r="E322" s="465"/>
      <c r="F322" s="465"/>
      <c r="G322" s="465"/>
      <c r="H322" s="465"/>
      <c r="I322" s="465"/>
      <c r="J322" s="465"/>
      <c r="K322" s="465"/>
      <c r="L322" s="465"/>
      <c r="AZ322" s="465"/>
      <c r="BA322" s="465"/>
      <c r="BB322" s="465"/>
      <c r="BC322" s="465"/>
      <c r="BD322" s="465"/>
      <c r="BE322" s="465"/>
    </row>
    <row r="323" spans="5:57" ht="18.899999999999999" customHeight="1">
      <c r="E323" s="465"/>
      <c r="F323" s="465"/>
      <c r="G323" s="465"/>
      <c r="H323" s="465"/>
      <c r="I323" s="465"/>
      <c r="J323" s="465"/>
      <c r="K323" s="465"/>
      <c r="L323" s="465"/>
      <c r="AZ323" s="465"/>
      <c r="BA323" s="465"/>
      <c r="BB323" s="465"/>
      <c r="BC323" s="465"/>
      <c r="BD323" s="465"/>
      <c r="BE323" s="465"/>
    </row>
    <row r="324" spans="5:57" ht="18.899999999999999" customHeight="1">
      <c r="E324" s="465"/>
      <c r="F324" s="465"/>
      <c r="G324" s="465"/>
      <c r="H324" s="465"/>
      <c r="I324" s="465"/>
      <c r="J324" s="465"/>
      <c r="K324" s="465"/>
      <c r="L324" s="465"/>
      <c r="AZ324" s="465"/>
      <c r="BA324" s="465"/>
      <c r="BB324" s="465"/>
      <c r="BC324" s="465"/>
      <c r="BD324" s="465"/>
      <c r="BE324" s="465"/>
    </row>
    <row r="325" spans="5:57" ht="18.899999999999999" customHeight="1">
      <c r="E325" s="465"/>
      <c r="F325" s="465"/>
      <c r="G325" s="465"/>
      <c r="H325" s="465"/>
      <c r="I325" s="465"/>
      <c r="J325" s="465"/>
      <c r="K325" s="465"/>
      <c r="L325" s="465"/>
      <c r="AZ325" s="465"/>
      <c r="BA325" s="465"/>
      <c r="BB325" s="465"/>
      <c r="BC325" s="465"/>
      <c r="BD325" s="465"/>
      <c r="BE325" s="465"/>
    </row>
    <row r="326" spans="5:57" ht="18.899999999999999" customHeight="1">
      <c r="E326" s="465"/>
      <c r="F326" s="465"/>
      <c r="G326" s="465"/>
      <c r="H326" s="465"/>
      <c r="I326" s="465"/>
      <c r="J326" s="465"/>
      <c r="K326" s="465"/>
      <c r="L326" s="465"/>
      <c r="AZ326" s="465"/>
      <c r="BA326" s="465"/>
      <c r="BB326" s="465"/>
      <c r="BC326" s="465"/>
      <c r="BD326" s="465"/>
      <c r="BE326" s="465"/>
    </row>
    <row r="327" spans="5:57" ht="18.899999999999999" customHeight="1">
      <c r="E327" s="465"/>
      <c r="F327" s="465"/>
      <c r="G327" s="465"/>
      <c r="H327" s="465"/>
      <c r="I327" s="465"/>
      <c r="J327" s="465"/>
      <c r="K327" s="465"/>
      <c r="L327" s="465"/>
      <c r="AZ327" s="465"/>
      <c r="BA327" s="465"/>
      <c r="BB327" s="465"/>
      <c r="BC327" s="465"/>
      <c r="BD327" s="465"/>
      <c r="BE327" s="465"/>
    </row>
    <row r="328" spans="5:57" ht="18.899999999999999" customHeight="1">
      <c r="E328" s="465"/>
      <c r="F328" s="465"/>
      <c r="G328" s="465"/>
      <c r="H328" s="465"/>
      <c r="I328" s="465"/>
      <c r="J328" s="465"/>
      <c r="K328" s="465"/>
      <c r="L328" s="465"/>
      <c r="AZ328" s="465"/>
      <c r="BA328" s="465"/>
      <c r="BB328" s="465"/>
      <c r="BC328" s="465"/>
      <c r="BD328" s="465"/>
      <c r="BE328" s="465"/>
    </row>
    <row r="329" spans="5:57" ht="18.899999999999999" customHeight="1">
      <c r="E329" s="465"/>
      <c r="F329" s="465"/>
      <c r="G329" s="465"/>
      <c r="H329" s="465"/>
      <c r="I329" s="465"/>
      <c r="J329" s="465"/>
      <c r="K329" s="465"/>
      <c r="L329" s="465"/>
      <c r="AZ329" s="465"/>
      <c r="BA329" s="465"/>
      <c r="BB329" s="465"/>
      <c r="BC329" s="465"/>
      <c r="BD329" s="465"/>
      <c r="BE329" s="465"/>
    </row>
    <row r="330" spans="5:57" ht="18.899999999999999" customHeight="1">
      <c r="E330" s="465"/>
      <c r="F330" s="465"/>
      <c r="G330" s="465"/>
      <c r="H330" s="465"/>
      <c r="I330" s="465"/>
      <c r="J330" s="465"/>
      <c r="K330" s="465"/>
      <c r="L330" s="465"/>
      <c r="AZ330" s="465"/>
      <c r="BA330" s="465"/>
      <c r="BB330" s="465"/>
      <c r="BC330" s="465"/>
      <c r="BD330" s="465"/>
      <c r="BE330" s="465"/>
    </row>
    <row r="331" spans="5:57" ht="18.899999999999999" customHeight="1">
      <c r="E331" s="465"/>
      <c r="F331" s="465"/>
      <c r="G331" s="465"/>
      <c r="H331" s="465"/>
      <c r="I331" s="465"/>
      <c r="J331" s="465"/>
      <c r="K331" s="465"/>
      <c r="L331" s="465"/>
      <c r="AZ331" s="465"/>
      <c r="BA331" s="465"/>
      <c r="BB331" s="465"/>
      <c r="BC331" s="465"/>
      <c r="BD331" s="465"/>
      <c r="BE331" s="465"/>
    </row>
    <row r="332" spans="5:57" ht="18.899999999999999" customHeight="1">
      <c r="E332" s="465"/>
      <c r="F332" s="465"/>
      <c r="G332" s="465"/>
      <c r="H332" s="465"/>
      <c r="I332" s="465"/>
      <c r="J332" s="465"/>
      <c r="K332" s="465"/>
      <c r="L332" s="465"/>
      <c r="AZ332" s="465"/>
      <c r="BA332" s="465"/>
      <c r="BB332" s="465"/>
      <c r="BC332" s="465"/>
      <c r="BD332" s="465"/>
      <c r="BE332" s="465"/>
    </row>
    <row r="333" spans="5:57" ht="18.899999999999999" customHeight="1">
      <c r="E333" s="465"/>
      <c r="F333" s="465"/>
      <c r="G333" s="465"/>
      <c r="H333" s="465"/>
      <c r="I333" s="465"/>
      <c r="J333" s="465"/>
      <c r="K333" s="465"/>
      <c r="L333" s="465"/>
      <c r="AZ333" s="465"/>
      <c r="BA333" s="465"/>
      <c r="BB333" s="465"/>
      <c r="BC333" s="465"/>
      <c r="BD333" s="465"/>
      <c r="BE333" s="465"/>
    </row>
    <row r="334" spans="5:57" ht="18.899999999999999" customHeight="1">
      <c r="E334" s="465"/>
      <c r="F334" s="465"/>
      <c r="G334" s="465"/>
      <c r="H334" s="465"/>
      <c r="I334" s="465"/>
      <c r="J334" s="465"/>
      <c r="K334" s="465"/>
      <c r="L334" s="465"/>
      <c r="AZ334" s="465"/>
      <c r="BA334" s="465"/>
      <c r="BB334" s="465"/>
      <c r="BC334" s="465"/>
      <c r="BD334" s="465"/>
      <c r="BE334" s="465"/>
    </row>
    <row r="335" spans="5:57" ht="18.899999999999999" customHeight="1">
      <c r="E335" s="465"/>
      <c r="F335" s="465"/>
      <c r="G335" s="465"/>
      <c r="H335" s="465"/>
      <c r="I335" s="465"/>
      <c r="J335" s="465"/>
      <c r="K335" s="465"/>
      <c r="L335" s="465"/>
      <c r="AZ335" s="465"/>
      <c r="BA335" s="465"/>
      <c r="BB335" s="465"/>
      <c r="BC335" s="465"/>
      <c r="BD335" s="465"/>
      <c r="BE335" s="465"/>
    </row>
    <row r="336" spans="5:57" ht="18.899999999999999" customHeight="1">
      <c r="E336" s="465"/>
      <c r="F336" s="465"/>
      <c r="G336" s="465"/>
      <c r="H336" s="465"/>
      <c r="I336" s="465"/>
      <c r="J336" s="465"/>
      <c r="K336" s="465"/>
      <c r="L336" s="465"/>
      <c r="AZ336" s="465"/>
      <c r="BA336" s="465"/>
      <c r="BB336" s="465"/>
      <c r="BC336" s="465"/>
      <c r="BD336" s="465"/>
      <c r="BE336" s="465"/>
    </row>
    <row r="337" spans="5:57" ht="18.899999999999999" customHeight="1">
      <c r="E337" s="465"/>
      <c r="F337" s="465"/>
      <c r="G337" s="465"/>
      <c r="H337" s="465"/>
      <c r="I337" s="465"/>
      <c r="J337" s="465"/>
      <c r="K337" s="465"/>
      <c r="L337" s="465"/>
      <c r="AZ337" s="465"/>
      <c r="BA337" s="465"/>
      <c r="BB337" s="465"/>
      <c r="BC337" s="465"/>
      <c r="BD337" s="465"/>
      <c r="BE337" s="465"/>
    </row>
    <row r="338" spans="5:57" ht="18.899999999999999" customHeight="1">
      <c r="E338" s="465"/>
      <c r="F338" s="465"/>
      <c r="G338" s="465"/>
      <c r="H338" s="465"/>
      <c r="I338" s="465"/>
      <c r="J338" s="465"/>
      <c r="K338" s="465"/>
      <c r="L338" s="465"/>
      <c r="AZ338" s="465"/>
      <c r="BA338" s="465"/>
      <c r="BB338" s="465"/>
      <c r="BC338" s="465"/>
      <c r="BD338" s="465"/>
      <c r="BE338" s="465"/>
    </row>
    <row r="339" spans="5:57" ht="18.899999999999999" customHeight="1">
      <c r="E339" s="465"/>
      <c r="F339" s="465"/>
      <c r="G339" s="465"/>
      <c r="H339" s="465"/>
      <c r="I339" s="465"/>
      <c r="J339" s="465"/>
      <c r="K339" s="465"/>
      <c r="L339" s="465"/>
      <c r="AZ339" s="465"/>
      <c r="BA339" s="465"/>
      <c r="BB339" s="465"/>
      <c r="BC339" s="465"/>
      <c r="BD339" s="465"/>
      <c r="BE339" s="465"/>
    </row>
    <row r="340" spans="5:57" ht="18.899999999999999" customHeight="1">
      <c r="E340" s="465"/>
      <c r="F340" s="465"/>
      <c r="G340" s="465"/>
      <c r="H340" s="465"/>
      <c r="I340" s="465"/>
      <c r="J340" s="465"/>
      <c r="K340" s="465"/>
      <c r="L340" s="465"/>
      <c r="AZ340" s="465"/>
      <c r="BA340" s="465"/>
      <c r="BB340" s="465"/>
      <c r="BC340" s="465"/>
      <c r="BD340" s="465"/>
      <c r="BE340" s="465"/>
    </row>
    <row r="341" spans="5:57" ht="18.899999999999999" customHeight="1">
      <c r="E341" s="465"/>
      <c r="F341" s="465"/>
      <c r="G341" s="465"/>
      <c r="H341" s="465"/>
      <c r="I341" s="465"/>
      <c r="J341" s="465"/>
      <c r="K341" s="465"/>
      <c r="L341" s="465"/>
      <c r="AZ341" s="465"/>
      <c r="BA341" s="465"/>
      <c r="BB341" s="465"/>
      <c r="BC341" s="465"/>
      <c r="BD341" s="465"/>
      <c r="BE341" s="465"/>
    </row>
    <row r="342" spans="5:57" ht="18.899999999999999" customHeight="1">
      <c r="E342" s="465"/>
      <c r="F342" s="465"/>
      <c r="G342" s="465"/>
      <c r="H342" s="465"/>
      <c r="I342" s="465"/>
      <c r="J342" s="465"/>
      <c r="K342" s="465"/>
      <c r="L342" s="465"/>
      <c r="AZ342" s="465"/>
      <c r="BA342" s="465"/>
      <c r="BB342" s="465"/>
      <c r="BC342" s="465"/>
      <c r="BD342" s="465"/>
      <c r="BE342" s="465"/>
    </row>
    <row r="343" spans="5:57" ht="18.899999999999999" customHeight="1">
      <c r="E343" s="465"/>
      <c r="F343" s="465"/>
      <c r="G343" s="465"/>
      <c r="H343" s="465"/>
      <c r="I343" s="465"/>
      <c r="J343" s="465"/>
      <c r="K343" s="465"/>
      <c r="L343" s="465"/>
      <c r="AZ343" s="465"/>
      <c r="BA343" s="465"/>
      <c r="BB343" s="465"/>
      <c r="BC343" s="465"/>
      <c r="BD343" s="465"/>
      <c r="BE343" s="465"/>
    </row>
    <row r="344" spans="5:57" ht="18.899999999999999" customHeight="1">
      <c r="E344" s="465"/>
      <c r="F344" s="465"/>
      <c r="G344" s="465"/>
      <c r="H344" s="465"/>
      <c r="I344" s="465"/>
      <c r="J344" s="465"/>
      <c r="K344" s="465"/>
      <c r="L344" s="465"/>
      <c r="AZ344" s="465"/>
      <c r="BA344" s="465"/>
      <c r="BB344" s="465"/>
      <c r="BC344" s="465"/>
      <c r="BD344" s="465"/>
      <c r="BE344" s="465"/>
    </row>
    <row r="345" spans="5:57" ht="18.899999999999999" customHeight="1">
      <c r="E345" s="465"/>
      <c r="F345" s="465"/>
      <c r="G345" s="465"/>
      <c r="H345" s="465"/>
      <c r="I345" s="465"/>
      <c r="J345" s="465"/>
      <c r="K345" s="465"/>
      <c r="L345" s="465"/>
      <c r="AZ345" s="465"/>
      <c r="BA345" s="465"/>
      <c r="BB345" s="465"/>
      <c r="BC345" s="465"/>
      <c r="BD345" s="465"/>
      <c r="BE345" s="465"/>
    </row>
    <row r="346" spans="5:57" ht="18.899999999999999" customHeight="1">
      <c r="E346" s="465"/>
      <c r="F346" s="465"/>
      <c r="G346" s="465"/>
      <c r="H346" s="465"/>
      <c r="I346" s="465"/>
      <c r="J346" s="465"/>
      <c r="K346" s="465"/>
      <c r="L346" s="465"/>
      <c r="AZ346" s="465"/>
      <c r="BA346" s="465"/>
      <c r="BB346" s="465"/>
      <c r="BC346" s="465"/>
      <c r="BD346" s="465"/>
      <c r="BE346" s="465"/>
    </row>
    <row r="347" spans="5:57" ht="18.899999999999999" customHeight="1">
      <c r="E347" s="465"/>
      <c r="F347" s="465"/>
      <c r="G347" s="465"/>
      <c r="H347" s="465"/>
      <c r="I347" s="465"/>
      <c r="J347" s="465"/>
      <c r="K347" s="465"/>
      <c r="L347" s="465"/>
      <c r="AZ347" s="465"/>
      <c r="BA347" s="465"/>
      <c r="BB347" s="465"/>
      <c r="BC347" s="465"/>
      <c r="BD347" s="465"/>
      <c r="BE347" s="465"/>
    </row>
    <row r="348" spans="5:57" ht="18.899999999999999" customHeight="1">
      <c r="E348" s="465"/>
      <c r="F348" s="465"/>
      <c r="G348" s="465"/>
      <c r="H348" s="465"/>
      <c r="I348" s="465"/>
      <c r="J348" s="465"/>
      <c r="K348" s="465"/>
      <c r="L348" s="465"/>
      <c r="AZ348" s="465"/>
      <c r="BA348" s="465"/>
      <c r="BB348" s="465"/>
      <c r="BC348" s="465"/>
      <c r="BD348" s="465"/>
      <c r="BE348" s="465"/>
    </row>
    <row r="349" spans="5:57" ht="18.899999999999999" customHeight="1">
      <c r="E349" s="465"/>
      <c r="F349" s="465"/>
      <c r="G349" s="465"/>
      <c r="H349" s="465"/>
      <c r="I349" s="465"/>
      <c r="J349" s="465"/>
      <c r="K349" s="465"/>
      <c r="L349" s="465"/>
      <c r="AZ349" s="465"/>
      <c r="BA349" s="465"/>
      <c r="BB349" s="465"/>
      <c r="BC349" s="465"/>
      <c r="BD349" s="465"/>
      <c r="BE349" s="465"/>
    </row>
    <row r="350" spans="5:57" ht="18.899999999999999" customHeight="1">
      <c r="E350" s="465"/>
      <c r="F350" s="465"/>
      <c r="G350" s="465"/>
      <c r="H350" s="465"/>
      <c r="I350" s="465"/>
      <c r="J350" s="465"/>
      <c r="K350" s="465"/>
      <c r="L350" s="465"/>
      <c r="AZ350" s="465"/>
      <c r="BA350" s="465"/>
      <c r="BB350" s="465"/>
      <c r="BC350" s="465"/>
      <c r="BD350" s="465"/>
      <c r="BE350" s="465"/>
    </row>
    <row r="351" spans="5:57" ht="18.899999999999999" customHeight="1">
      <c r="E351" s="465"/>
      <c r="F351" s="465"/>
      <c r="G351" s="465"/>
      <c r="H351" s="465"/>
      <c r="I351" s="465"/>
      <c r="J351" s="465"/>
      <c r="K351" s="465"/>
      <c r="L351" s="465"/>
      <c r="AZ351" s="465"/>
      <c r="BA351" s="465"/>
      <c r="BB351" s="465"/>
      <c r="BC351" s="465"/>
      <c r="BD351" s="465"/>
      <c r="BE351" s="465"/>
    </row>
    <row r="352" spans="5:57" ht="18.899999999999999" customHeight="1">
      <c r="E352" s="465"/>
      <c r="F352" s="465"/>
      <c r="G352" s="465"/>
      <c r="H352" s="465"/>
      <c r="I352" s="465"/>
      <c r="J352" s="465"/>
      <c r="K352" s="465"/>
      <c r="L352" s="465"/>
      <c r="AZ352" s="465"/>
      <c r="BA352" s="465"/>
      <c r="BB352" s="465"/>
      <c r="BC352" s="465"/>
      <c r="BD352" s="465"/>
      <c r="BE352" s="465"/>
    </row>
    <row r="353" spans="5:57" ht="18.899999999999999" customHeight="1">
      <c r="E353" s="465"/>
      <c r="F353" s="465"/>
      <c r="G353" s="465"/>
      <c r="H353" s="465"/>
      <c r="I353" s="465"/>
      <c r="J353" s="465"/>
      <c r="K353" s="465"/>
      <c r="L353" s="465"/>
      <c r="AZ353" s="465"/>
      <c r="BA353" s="465"/>
      <c r="BB353" s="465"/>
      <c r="BC353" s="465"/>
      <c r="BD353" s="465"/>
      <c r="BE353" s="465"/>
    </row>
    <row r="354" spans="5:57" ht="18.899999999999999" customHeight="1">
      <c r="E354" s="465"/>
      <c r="F354" s="465"/>
      <c r="G354" s="465"/>
      <c r="H354" s="465"/>
      <c r="I354" s="465"/>
      <c r="J354" s="465"/>
      <c r="K354" s="465"/>
      <c r="L354" s="465"/>
      <c r="AZ354" s="465"/>
      <c r="BA354" s="465"/>
      <c r="BB354" s="465"/>
      <c r="BC354" s="465"/>
      <c r="BD354" s="465"/>
      <c r="BE354" s="465"/>
    </row>
    <row r="355" spans="5:57" ht="18.899999999999999" customHeight="1">
      <c r="E355" s="465"/>
      <c r="F355" s="465"/>
      <c r="G355" s="465"/>
      <c r="H355" s="465"/>
      <c r="I355" s="465"/>
      <c r="J355" s="465"/>
      <c r="K355" s="465"/>
      <c r="L355" s="465"/>
      <c r="AZ355" s="465"/>
      <c r="BA355" s="465"/>
      <c r="BB355" s="465"/>
      <c r="BC355" s="465"/>
      <c r="BD355" s="465"/>
      <c r="BE355" s="465"/>
    </row>
    <row r="356" spans="5:57" ht="18.899999999999999" customHeight="1">
      <c r="E356" s="465"/>
      <c r="F356" s="465"/>
      <c r="G356" s="465"/>
      <c r="H356" s="465"/>
      <c r="I356" s="465"/>
      <c r="J356" s="465"/>
      <c r="K356" s="465"/>
      <c r="L356" s="465"/>
      <c r="AZ356" s="465"/>
      <c r="BA356" s="465"/>
      <c r="BB356" s="465"/>
      <c r="BC356" s="465"/>
      <c r="BD356" s="465"/>
      <c r="BE356" s="465"/>
    </row>
    <row r="357" spans="5:57" ht="18.899999999999999" customHeight="1">
      <c r="E357" s="465"/>
      <c r="F357" s="465"/>
      <c r="G357" s="465"/>
      <c r="H357" s="465"/>
      <c r="I357" s="465"/>
      <c r="J357" s="465"/>
      <c r="K357" s="465"/>
      <c r="L357" s="465"/>
      <c r="AZ357" s="465"/>
      <c r="BA357" s="465"/>
      <c r="BB357" s="465"/>
      <c r="BC357" s="465"/>
      <c r="BD357" s="465"/>
      <c r="BE357" s="465"/>
    </row>
    <row r="358" spans="5:57" ht="18.899999999999999" customHeight="1">
      <c r="E358" s="465"/>
      <c r="F358" s="465"/>
      <c r="G358" s="465"/>
      <c r="H358" s="465"/>
      <c r="I358" s="465"/>
      <c r="J358" s="465"/>
      <c r="K358" s="465"/>
      <c r="L358" s="465"/>
      <c r="AZ358" s="465"/>
      <c r="BA358" s="465"/>
      <c r="BB358" s="465"/>
      <c r="BC358" s="465"/>
      <c r="BD358" s="465"/>
      <c r="BE358" s="465"/>
    </row>
    <row r="359" spans="5:57" ht="18.899999999999999" customHeight="1">
      <c r="E359" s="465"/>
      <c r="F359" s="465"/>
      <c r="G359" s="465"/>
      <c r="H359" s="465"/>
      <c r="I359" s="465"/>
      <c r="J359" s="465"/>
      <c r="K359" s="465"/>
      <c r="L359" s="465"/>
      <c r="AZ359" s="465"/>
      <c r="BA359" s="465"/>
      <c r="BB359" s="465"/>
      <c r="BC359" s="465"/>
      <c r="BD359" s="465"/>
      <c r="BE359" s="465"/>
    </row>
    <row r="360" spans="5:57" ht="18.899999999999999" customHeight="1">
      <c r="E360" s="465"/>
      <c r="F360" s="465"/>
      <c r="G360" s="465"/>
      <c r="H360" s="465"/>
      <c r="I360" s="465"/>
      <c r="J360" s="465"/>
      <c r="K360" s="465"/>
      <c r="L360" s="465"/>
      <c r="AZ360" s="465"/>
      <c r="BA360" s="465"/>
      <c r="BB360" s="465"/>
      <c r="BC360" s="465"/>
      <c r="BD360" s="465"/>
      <c r="BE360" s="465"/>
    </row>
    <row r="361" spans="5:57" ht="18.899999999999999" customHeight="1">
      <c r="E361" s="465"/>
      <c r="F361" s="465"/>
      <c r="G361" s="465"/>
      <c r="H361" s="465"/>
      <c r="I361" s="465"/>
      <c r="J361" s="465"/>
      <c r="K361" s="465"/>
      <c r="L361" s="465"/>
      <c r="AZ361" s="465"/>
      <c r="BA361" s="465"/>
      <c r="BB361" s="465"/>
      <c r="BC361" s="465"/>
      <c r="BD361" s="465"/>
      <c r="BE361" s="465"/>
    </row>
    <row r="362" spans="5:57" ht="18.899999999999999" customHeight="1">
      <c r="E362" s="465"/>
      <c r="F362" s="465"/>
      <c r="G362" s="465"/>
      <c r="H362" s="465"/>
      <c r="I362" s="465"/>
      <c r="J362" s="465"/>
      <c r="K362" s="465"/>
      <c r="L362" s="465"/>
      <c r="AZ362" s="465"/>
      <c r="BA362" s="465"/>
      <c r="BB362" s="465"/>
      <c r="BC362" s="465"/>
      <c r="BD362" s="465"/>
      <c r="BE362" s="465"/>
    </row>
    <row r="363" spans="5:57" ht="18.899999999999999" customHeight="1">
      <c r="E363" s="465"/>
      <c r="F363" s="465"/>
      <c r="G363" s="465"/>
      <c r="H363" s="465"/>
      <c r="I363" s="465"/>
      <c r="J363" s="465"/>
      <c r="K363" s="465"/>
      <c r="L363" s="465"/>
      <c r="AZ363" s="465"/>
      <c r="BA363" s="465"/>
      <c r="BB363" s="465"/>
      <c r="BC363" s="465"/>
      <c r="BD363" s="465"/>
      <c r="BE363" s="465"/>
    </row>
    <row r="364" spans="5:57" ht="18.899999999999999" customHeight="1">
      <c r="E364" s="465"/>
      <c r="F364" s="465"/>
      <c r="G364" s="465"/>
      <c r="H364" s="465"/>
      <c r="I364" s="465"/>
      <c r="J364" s="465"/>
      <c r="K364" s="465"/>
      <c r="L364" s="465"/>
      <c r="AZ364" s="465"/>
      <c r="BA364" s="465"/>
      <c r="BB364" s="465"/>
      <c r="BC364" s="465"/>
      <c r="BD364" s="465"/>
      <c r="BE364" s="465"/>
    </row>
    <row r="365" spans="5:57" ht="18.899999999999999" customHeight="1">
      <c r="E365" s="465"/>
      <c r="F365" s="465"/>
      <c r="G365" s="465"/>
      <c r="H365" s="465"/>
      <c r="I365" s="465"/>
      <c r="J365" s="465"/>
      <c r="K365" s="465"/>
      <c r="L365" s="465"/>
      <c r="AZ365" s="465"/>
      <c r="BA365" s="465"/>
      <c r="BB365" s="465"/>
      <c r="BC365" s="465"/>
      <c r="BD365" s="465"/>
      <c r="BE365" s="465"/>
    </row>
    <row r="366" spans="5:57" ht="18.899999999999999" customHeight="1">
      <c r="E366" s="465"/>
      <c r="F366" s="465"/>
      <c r="G366" s="465"/>
      <c r="H366" s="465"/>
      <c r="I366" s="465"/>
      <c r="J366" s="465"/>
      <c r="K366" s="465"/>
      <c r="L366" s="465"/>
      <c r="AZ366" s="465"/>
      <c r="BA366" s="465"/>
      <c r="BB366" s="465"/>
      <c r="BC366" s="465"/>
      <c r="BD366" s="465"/>
      <c r="BE366" s="465"/>
    </row>
    <row r="367" spans="5:57" ht="18.899999999999999" customHeight="1">
      <c r="E367" s="465"/>
      <c r="F367" s="465"/>
      <c r="G367" s="465"/>
      <c r="H367" s="465"/>
      <c r="I367" s="465"/>
      <c r="J367" s="465"/>
      <c r="K367" s="465"/>
      <c r="L367" s="465"/>
      <c r="AZ367" s="465"/>
      <c r="BA367" s="465"/>
      <c r="BB367" s="465"/>
      <c r="BC367" s="465"/>
      <c r="BD367" s="465"/>
      <c r="BE367" s="465"/>
    </row>
    <row r="368" spans="5:57" ht="18.899999999999999" customHeight="1">
      <c r="E368" s="465"/>
      <c r="F368" s="465"/>
      <c r="G368" s="465"/>
      <c r="H368" s="465"/>
      <c r="I368" s="465"/>
      <c r="J368" s="465"/>
      <c r="K368" s="465"/>
      <c r="L368" s="465"/>
      <c r="AZ368" s="465"/>
      <c r="BA368" s="465"/>
      <c r="BB368" s="465"/>
      <c r="BC368" s="465"/>
      <c r="BD368" s="465"/>
      <c r="BE368" s="465"/>
    </row>
    <row r="369" spans="5:57" ht="18.899999999999999" customHeight="1">
      <c r="E369" s="465"/>
      <c r="F369" s="465"/>
      <c r="G369" s="465"/>
      <c r="H369" s="465"/>
      <c r="I369" s="465"/>
      <c r="J369" s="465"/>
      <c r="K369" s="465"/>
      <c r="L369" s="465"/>
      <c r="AZ369" s="465"/>
      <c r="BA369" s="465"/>
      <c r="BB369" s="465"/>
      <c r="BC369" s="465"/>
      <c r="BD369" s="465"/>
      <c r="BE369" s="465"/>
    </row>
    <row r="370" spans="5:57" ht="18.899999999999999" customHeight="1">
      <c r="E370" s="465"/>
      <c r="F370" s="465"/>
      <c r="G370" s="465"/>
      <c r="H370" s="465"/>
      <c r="I370" s="465"/>
      <c r="J370" s="465"/>
      <c r="K370" s="465"/>
      <c r="L370" s="465"/>
      <c r="AZ370" s="465"/>
      <c r="BA370" s="465"/>
      <c r="BB370" s="465"/>
      <c r="BC370" s="465"/>
      <c r="BD370" s="465"/>
      <c r="BE370" s="465"/>
    </row>
    <row r="371" spans="5:57" ht="18.899999999999999" customHeight="1">
      <c r="E371" s="465"/>
      <c r="F371" s="465"/>
      <c r="G371" s="465"/>
      <c r="H371" s="465"/>
      <c r="I371" s="465"/>
      <c r="J371" s="465"/>
      <c r="K371" s="465"/>
      <c r="L371" s="465"/>
      <c r="AZ371" s="465"/>
      <c r="BA371" s="465"/>
      <c r="BB371" s="465"/>
      <c r="BC371" s="465"/>
      <c r="BD371" s="465"/>
      <c r="BE371" s="465"/>
    </row>
    <row r="372" spans="5:57" ht="18.899999999999999" customHeight="1">
      <c r="E372" s="465"/>
      <c r="F372" s="465"/>
      <c r="G372" s="465"/>
      <c r="H372" s="465"/>
      <c r="I372" s="465"/>
      <c r="J372" s="465"/>
      <c r="K372" s="465"/>
      <c r="L372" s="465"/>
      <c r="AZ372" s="465"/>
      <c r="BA372" s="465"/>
      <c r="BB372" s="465"/>
      <c r="BC372" s="465"/>
      <c r="BD372" s="465"/>
      <c r="BE372" s="465"/>
    </row>
    <row r="373" spans="5:57" ht="18.899999999999999" customHeight="1">
      <c r="E373" s="465"/>
      <c r="F373" s="465"/>
      <c r="G373" s="465"/>
      <c r="H373" s="465"/>
      <c r="I373" s="465"/>
      <c r="J373" s="465"/>
      <c r="K373" s="465"/>
      <c r="L373" s="465"/>
      <c r="AZ373" s="465"/>
      <c r="BA373" s="465"/>
      <c r="BB373" s="465"/>
      <c r="BC373" s="465"/>
      <c r="BD373" s="465"/>
      <c r="BE373" s="465"/>
    </row>
    <row r="374" spans="5:57" ht="18.899999999999999" customHeight="1">
      <c r="E374" s="465"/>
      <c r="F374" s="465"/>
      <c r="G374" s="465"/>
      <c r="H374" s="465"/>
      <c r="I374" s="465"/>
      <c r="J374" s="465"/>
      <c r="K374" s="465"/>
      <c r="L374" s="465"/>
      <c r="AZ374" s="465"/>
      <c r="BA374" s="465"/>
      <c r="BB374" s="465"/>
      <c r="BC374" s="465"/>
      <c r="BD374" s="465"/>
      <c r="BE374" s="465"/>
    </row>
    <row r="375" spans="5:57" ht="18.899999999999999" customHeight="1">
      <c r="E375" s="465"/>
      <c r="F375" s="465"/>
      <c r="G375" s="465"/>
      <c r="H375" s="465"/>
      <c r="I375" s="465"/>
      <c r="J375" s="465"/>
      <c r="K375" s="465"/>
      <c r="L375" s="465"/>
      <c r="AZ375" s="465"/>
      <c r="BA375" s="465"/>
      <c r="BB375" s="465"/>
      <c r="BC375" s="465"/>
      <c r="BD375" s="465"/>
      <c r="BE375" s="465"/>
    </row>
    <row r="376" spans="5:57" ht="18.899999999999999" customHeight="1">
      <c r="E376" s="465"/>
      <c r="F376" s="465"/>
      <c r="G376" s="465"/>
      <c r="H376" s="465"/>
      <c r="I376" s="465"/>
      <c r="J376" s="465"/>
      <c r="K376" s="465"/>
      <c r="L376" s="465"/>
      <c r="AZ376" s="465"/>
      <c r="BA376" s="465"/>
      <c r="BB376" s="465"/>
      <c r="BC376" s="465"/>
      <c r="BD376" s="465"/>
      <c r="BE376" s="465"/>
    </row>
    <row r="377" spans="5:57" ht="18.899999999999999" customHeight="1">
      <c r="E377" s="465"/>
      <c r="F377" s="465"/>
      <c r="G377" s="465"/>
      <c r="H377" s="465"/>
      <c r="I377" s="465"/>
      <c r="J377" s="465"/>
      <c r="K377" s="465"/>
      <c r="L377" s="465"/>
      <c r="AZ377" s="465"/>
      <c r="BA377" s="465"/>
      <c r="BB377" s="465"/>
      <c r="BC377" s="465"/>
      <c r="BD377" s="465"/>
      <c r="BE377" s="465"/>
    </row>
    <row r="378" spans="5:57" ht="18.899999999999999" customHeight="1">
      <c r="E378" s="465"/>
      <c r="F378" s="465"/>
      <c r="G378" s="465"/>
      <c r="H378" s="465"/>
      <c r="I378" s="465"/>
      <c r="J378" s="465"/>
      <c r="K378" s="465"/>
      <c r="L378" s="465"/>
      <c r="AZ378" s="465"/>
      <c r="BA378" s="465"/>
      <c r="BB378" s="465"/>
      <c r="BC378" s="465"/>
      <c r="BD378" s="465"/>
      <c r="BE378" s="465"/>
    </row>
    <row r="379" spans="5:57" ht="18.899999999999999" customHeight="1">
      <c r="E379" s="465"/>
      <c r="F379" s="465"/>
      <c r="G379" s="465"/>
      <c r="H379" s="465"/>
      <c r="I379" s="465"/>
      <c r="J379" s="465"/>
      <c r="K379" s="465"/>
      <c r="L379" s="465"/>
      <c r="AZ379" s="465"/>
      <c r="BA379" s="465"/>
      <c r="BB379" s="465"/>
      <c r="BC379" s="465"/>
      <c r="BD379" s="465"/>
      <c r="BE379" s="465"/>
    </row>
    <row r="380" spans="5:57" ht="18.899999999999999" customHeight="1">
      <c r="E380" s="465"/>
      <c r="F380" s="465"/>
      <c r="G380" s="465"/>
      <c r="H380" s="465"/>
      <c r="I380" s="465"/>
      <c r="J380" s="465"/>
      <c r="K380" s="465"/>
      <c r="L380" s="465"/>
      <c r="AZ380" s="465"/>
      <c r="BA380" s="465"/>
      <c r="BB380" s="465"/>
      <c r="BC380" s="465"/>
      <c r="BD380" s="465"/>
      <c r="BE380" s="465"/>
    </row>
    <row r="381" spans="5:57" ht="18.899999999999999" customHeight="1">
      <c r="E381" s="465"/>
      <c r="F381" s="465"/>
      <c r="G381" s="465"/>
      <c r="H381" s="465"/>
      <c r="I381" s="465"/>
      <c r="J381" s="465"/>
      <c r="K381" s="465"/>
      <c r="L381" s="465"/>
      <c r="AZ381" s="465"/>
      <c r="BA381" s="465"/>
      <c r="BB381" s="465"/>
      <c r="BC381" s="465"/>
      <c r="BD381" s="465"/>
      <c r="BE381" s="465"/>
    </row>
    <row r="382" spans="5:57" ht="18.899999999999999" customHeight="1">
      <c r="E382" s="465"/>
      <c r="F382" s="465"/>
      <c r="G382" s="465"/>
      <c r="H382" s="465"/>
      <c r="I382" s="465"/>
      <c r="J382" s="465"/>
      <c r="K382" s="465"/>
      <c r="L382" s="465"/>
      <c r="AZ382" s="465"/>
      <c r="BA382" s="465"/>
      <c r="BB382" s="465"/>
      <c r="BC382" s="465"/>
      <c r="BD382" s="465"/>
      <c r="BE382" s="465"/>
    </row>
    <row r="383" spans="5:57" ht="18.899999999999999" customHeight="1">
      <c r="E383" s="465"/>
      <c r="F383" s="465"/>
      <c r="G383" s="465"/>
      <c r="H383" s="465"/>
      <c r="I383" s="465"/>
      <c r="J383" s="465"/>
      <c r="K383" s="465"/>
      <c r="L383" s="465"/>
      <c r="AZ383" s="465"/>
      <c r="BA383" s="465"/>
      <c r="BB383" s="465"/>
      <c r="BC383" s="465"/>
      <c r="BD383" s="465"/>
      <c r="BE383" s="465"/>
    </row>
    <row r="384" spans="5:57" ht="18.899999999999999" customHeight="1">
      <c r="E384" s="465"/>
      <c r="F384" s="465"/>
      <c r="G384" s="465"/>
      <c r="H384" s="465"/>
      <c r="I384" s="465"/>
      <c r="J384" s="465"/>
      <c r="K384" s="465"/>
      <c r="L384" s="465"/>
      <c r="AZ384" s="465"/>
      <c r="BA384" s="465"/>
      <c r="BB384" s="465"/>
      <c r="BC384" s="465"/>
      <c r="BD384" s="465"/>
      <c r="BE384" s="465"/>
    </row>
    <row r="385" spans="5:57" ht="18.899999999999999" customHeight="1">
      <c r="E385" s="465"/>
      <c r="F385" s="465"/>
      <c r="G385" s="465"/>
      <c r="H385" s="465"/>
      <c r="I385" s="465"/>
      <c r="J385" s="465"/>
      <c r="K385" s="465"/>
      <c r="L385" s="465"/>
      <c r="AZ385" s="465"/>
      <c r="BA385" s="465"/>
      <c r="BB385" s="465"/>
      <c r="BC385" s="465"/>
      <c r="BD385" s="465"/>
      <c r="BE385" s="465"/>
    </row>
    <row r="386" spans="5:57" ht="18.899999999999999" customHeight="1">
      <c r="E386" s="465"/>
      <c r="F386" s="465"/>
      <c r="G386" s="465"/>
      <c r="H386" s="465"/>
      <c r="I386" s="465"/>
      <c r="J386" s="465"/>
      <c r="K386" s="465"/>
      <c r="L386" s="465"/>
      <c r="AZ386" s="465"/>
      <c r="BA386" s="465"/>
      <c r="BB386" s="465"/>
      <c r="BC386" s="465"/>
      <c r="BD386" s="465"/>
      <c r="BE386" s="465"/>
    </row>
    <row r="387" spans="5:57" ht="18.899999999999999" customHeight="1">
      <c r="E387" s="465"/>
      <c r="F387" s="465"/>
      <c r="G387" s="465"/>
      <c r="H387" s="465"/>
      <c r="I387" s="465"/>
      <c r="J387" s="465"/>
      <c r="K387" s="465"/>
      <c r="L387" s="465"/>
      <c r="AZ387" s="465"/>
      <c r="BA387" s="465"/>
      <c r="BB387" s="465"/>
      <c r="BC387" s="465"/>
      <c r="BD387" s="465"/>
      <c r="BE387" s="465"/>
    </row>
    <row r="388" spans="5:57" ht="18.899999999999999" customHeight="1">
      <c r="E388" s="465"/>
      <c r="F388" s="465"/>
      <c r="G388" s="465"/>
      <c r="H388" s="465"/>
      <c r="I388" s="465"/>
      <c r="J388" s="465"/>
      <c r="K388" s="465"/>
      <c r="L388" s="465"/>
      <c r="AZ388" s="465"/>
      <c r="BA388" s="465"/>
      <c r="BB388" s="465"/>
      <c r="BC388" s="465"/>
      <c r="BD388" s="465"/>
      <c r="BE388" s="465"/>
    </row>
    <row r="389" spans="5:57" ht="18.899999999999999" customHeight="1">
      <c r="E389" s="465"/>
      <c r="F389" s="465"/>
      <c r="G389" s="465"/>
      <c r="H389" s="465"/>
      <c r="I389" s="465"/>
      <c r="J389" s="465"/>
      <c r="K389" s="465"/>
      <c r="L389" s="465"/>
      <c r="AZ389" s="465"/>
      <c r="BA389" s="465"/>
      <c r="BB389" s="465"/>
      <c r="BC389" s="465"/>
      <c r="BD389" s="465"/>
      <c r="BE389" s="465"/>
    </row>
    <row r="390" spans="5:57" ht="18.899999999999999" customHeight="1">
      <c r="E390" s="465"/>
      <c r="F390" s="465"/>
      <c r="G390" s="465"/>
      <c r="H390" s="465"/>
      <c r="I390" s="465"/>
      <c r="J390" s="465"/>
      <c r="K390" s="465"/>
      <c r="L390" s="465"/>
      <c r="AZ390" s="465"/>
      <c r="BA390" s="465"/>
      <c r="BB390" s="465"/>
      <c r="BC390" s="465"/>
      <c r="BD390" s="465"/>
      <c r="BE390" s="465"/>
    </row>
    <row r="391" spans="5:57" ht="18.899999999999999" customHeight="1">
      <c r="E391" s="465"/>
      <c r="F391" s="465"/>
      <c r="G391" s="465"/>
      <c r="H391" s="465"/>
      <c r="I391" s="465"/>
      <c r="J391" s="465"/>
      <c r="K391" s="465"/>
      <c r="L391" s="465"/>
      <c r="AZ391" s="465"/>
      <c r="BA391" s="465"/>
      <c r="BB391" s="465"/>
      <c r="BC391" s="465"/>
      <c r="BD391" s="465"/>
      <c r="BE391" s="465"/>
    </row>
    <row r="392" spans="5:57" ht="18.899999999999999" customHeight="1">
      <c r="E392" s="465"/>
      <c r="F392" s="465"/>
      <c r="G392" s="465"/>
      <c r="H392" s="465"/>
      <c r="I392" s="465"/>
      <c r="J392" s="465"/>
      <c r="K392" s="465"/>
      <c r="L392" s="465"/>
      <c r="AZ392" s="465"/>
      <c r="BA392" s="465"/>
      <c r="BB392" s="465"/>
      <c r="BC392" s="465"/>
      <c r="BD392" s="465"/>
      <c r="BE392" s="465"/>
    </row>
    <row r="393" spans="5:57" ht="18.899999999999999" customHeight="1">
      <c r="E393" s="465"/>
      <c r="F393" s="465"/>
      <c r="G393" s="465"/>
      <c r="H393" s="465"/>
      <c r="I393" s="465"/>
      <c r="J393" s="465"/>
      <c r="K393" s="465"/>
      <c r="L393" s="465"/>
      <c r="AZ393" s="465"/>
      <c r="BA393" s="465"/>
      <c r="BB393" s="465"/>
      <c r="BC393" s="465"/>
      <c r="BD393" s="465"/>
      <c r="BE393" s="465"/>
    </row>
    <row r="394" spans="5:57" ht="18.899999999999999" customHeight="1">
      <c r="E394" s="465"/>
      <c r="F394" s="465"/>
      <c r="G394" s="465"/>
      <c r="H394" s="465"/>
      <c r="I394" s="465"/>
      <c r="J394" s="465"/>
      <c r="K394" s="465"/>
      <c r="L394" s="465"/>
      <c r="AZ394" s="465"/>
      <c r="BA394" s="465"/>
      <c r="BB394" s="465"/>
      <c r="BC394" s="465"/>
      <c r="BD394" s="465"/>
      <c r="BE394" s="465"/>
    </row>
    <row r="395" spans="5:57" ht="18.899999999999999" customHeight="1">
      <c r="E395" s="465"/>
      <c r="F395" s="465"/>
      <c r="G395" s="465"/>
      <c r="H395" s="465"/>
      <c r="I395" s="465"/>
      <c r="J395" s="465"/>
      <c r="K395" s="465"/>
      <c r="L395" s="465"/>
      <c r="AZ395" s="465"/>
      <c r="BA395" s="465"/>
      <c r="BB395" s="465"/>
      <c r="BC395" s="465"/>
      <c r="BD395" s="465"/>
      <c r="BE395" s="465"/>
    </row>
    <row r="396" spans="5:57" ht="18.899999999999999" customHeight="1">
      <c r="E396" s="465"/>
      <c r="F396" s="465"/>
      <c r="G396" s="465"/>
      <c r="H396" s="465"/>
      <c r="I396" s="465"/>
      <c r="J396" s="465"/>
      <c r="K396" s="465"/>
      <c r="L396" s="465"/>
      <c r="AZ396" s="465"/>
      <c r="BA396" s="465"/>
      <c r="BB396" s="465"/>
      <c r="BC396" s="465"/>
      <c r="BD396" s="465"/>
      <c r="BE396" s="465"/>
    </row>
    <row r="397" spans="5:57" ht="18.899999999999999" customHeight="1">
      <c r="E397" s="465"/>
      <c r="F397" s="465"/>
      <c r="G397" s="465"/>
      <c r="H397" s="465"/>
      <c r="I397" s="465"/>
      <c r="J397" s="465"/>
      <c r="K397" s="465"/>
      <c r="L397" s="465"/>
      <c r="AZ397" s="465"/>
      <c r="BA397" s="465"/>
      <c r="BB397" s="465"/>
      <c r="BC397" s="465"/>
      <c r="BD397" s="465"/>
      <c r="BE397" s="465"/>
    </row>
    <row r="398" spans="5:57" ht="18.899999999999999" customHeight="1">
      <c r="E398" s="465"/>
      <c r="F398" s="465"/>
      <c r="G398" s="465"/>
      <c r="H398" s="465"/>
      <c r="I398" s="465"/>
      <c r="J398" s="465"/>
      <c r="K398" s="465"/>
      <c r="L398" s="465"/>
      <c r="AZ398" s="465"/>
      <c r="BA398" s="465"/>
      <c r="BB398" s="465"/>
      <c r="BC398" s="465"/>
      <c r="BD398" s="465"/>
      <c r="BE398" s="465"/>
    </row>
    <row r="399" spans="5:57" ht="18.899999999999999" customHeight="1">
      <c r="E399" s="465"/>
      <c r="F399" s="465"/>
      <c r="G399" s="465"/>
      <c r="H399" s="465"/>
      <c r="I399" s="465"/>
      <c r="J399" s="465"/>
      <c r="K399" s="465"/>
      <c r="L399" s="465"/>
      <c r="AZ399" s="465"/>
      <c r="BA399" s="465"/>
      <c r="BB399" s="465"/>
      <c r="BC399" s="465"/>
      <c r="BD399" s="465"/>
      <c r="BE399" s="465"/>
    </row>
    <row r="400" spans="5:57" ht="18.899999999999999" customHeight="1">
      <c r="E400" s="465"/>
      <c r="F400" s="465"/>
      <c r="G400" s="465"/>
      <c r="H400" s="465"/>
      <c r="I400" s="465"/>
      <c r="J400" s="465"/>
      <c r="K400" s="465"/>
      <c r="L400" s="465"/>
      <c r="AZ400" s="465"/>
      <c r="BA400" s="465"/>
      <c r="BB400" s="465"/>
      <c r="BC400" s="465"/>
      <c r="BD400" s="465"/>
      <c r="BE400" s="465"/>
    </row>
    <row r="401" spans="5:57" ht="18.899999999999999" customHeight="1">
      <c r="E401" s="465"/>
      <c r="F401" s="465"/>
      <c r="G401" s="465"/>
      <c r="H401" s="465"/>
      <c r="I401" s="465"/>
      <c r="J401" s="465"/>
      <c r="K401" s="465"/>
      <c r="L401" s="465"/>
      <c r="AZ401" s="465"/>
      <c r="BA401" s="465"/>
      <c r="BB401" s="465"/>
      <c r="BC401" s="465"/>
      <c r="BD401" s="465"/>
      <c r="BE401" s="465"/>
    </row>
    <row r="402" spans="5:57" ht="18.899999999999999" customHeight="1">
      <c r="E402" s="465"/>
      <c r="F402" s="465"/>
      <c r="G402" s="465"/>
      <c r="H402" s="465"/>
      <c r="I402" s="465"/>
      <c r="J402" s="465"/>
      <c r="K402" s="465"/>
      <c r="L402" s="465"/>
      <c r="AZ402" s="465"/>
      <c r="BA402" s="465"/>
      <c r="BB402" s="465"/>
      <c r="BC402" s="465"/>
      <c r="BD402" s="465"/>
      <c r="BE402" s="465"/>
    </row>
    <row r="403" spans="5:57" ht="18.899999999999999" customHeight="1">
      <c r="E403" s="465"/>
      <c r="F403" s="465"/>
      <c r="G403" s="465"/>
      <c r="H403" s="465"/>
      <c r="I403" s="465"/>
      <c r="J403" s="465"/>
      <c r="K403" s="465"/>
      <c r="L403" s="465"/>
      <c r="AZ403" s="465"/>
      <c r="BA403" s="465"/>
      <c r="BB403" s="465"/>
      <c r="BC403" s="465"/>
      <c r="BD403" s="465"/>
      <c r="BE403" s="465"/>
    </row>
    <row r="404" spans="5:57" ht="18.899999999999999" customHeight="1">
      <c r="E404" s="465"/>
      <c r="F404" s="465"/>
      <c r="G404" s="465"/>
      <c r="H404" s="465"/>
      <c r="I404" s="465"/>
      <c r="J404" s="465"/>
      <c r="K404" s="465"/>
      <c r="L404" s="465"/>
      <c r="AZ404" s="465"/>
      <c r="BA404" s="465"/>
      <c r="BB404" s="465"/>
      <c r="BC404" s="465"/>
      <c r="BD404" s="465"/>
      <c r="BE404" s="465"/>
    </row>
    <row r="405" spans="5:57" ht="18.899999999999999" customHeight="1">
      <c r="E405" s="465"/>
      <c r="F405" s="465"/>
      <c r="G405" s="465"/>
      <c r="H405" s="465"/>
      <c r="I405" s="465"/>
      <c r="J405" s="465"/>
      <c r="K405" s="465"/>
      <c r="L405" s="465"/>
      <c r="AZ405" s="465"/>
      <c r="BA405" s="465"/>
      <c r="BB405" s="465"/>
      <c r="BC405" s="465"/>
      <c r="BD405" s="465"/>
      <c r="BE405" s="465"/>
    </row>
    <row r="406" spans="5:57" ht="18.899999999999999" customHeight="1">
      <c r="E406" s="465"/>
      <c r="F406" s="465"/>
      <c r="G406" s="465"/>
      <c r="H406" s="465"/>
      <c r="I406" s="465"/>
      <c r="J406" s="465"/>
      <c r="K406" s="465"/>
      <c r="L406" s="465"/>
      <c r="AZ406" s="465"/>
      <c r="BA406" s="465"/>
      <c r="BB406" s="465"/>
      <c r="BC406" s="465"/>
      <c r="BD406" s="465"/>
      <c r="BE406" s="465"/>
    </row>
    <row r="407" spans="5:57" ht="18.899999999999999" customHeight="1">
      <c r="E407" s="465"/>
      <c r="F407" s="465"/>
      <c r="G407" s="465"/>
      <c r="H407" s="465"/>
      <c r="I407" s="465"/>
      <c r="J407" s="465"/>
      <c r="K407" s="465"/>
      <c r="L407" s="465"/>
      <c r="AZ407" s="465"/>
      <c r="BA407" s="465"/>
      <c r="BB407" s="465"/>
      <c r="BC407" s="465"/>
      <c r="BD407" s="465"/>
      <c r="BE407" s="465"/>
    </row>
    <row r="408" spans="5:57" ht="18.899999999999999" customHeight="1">
      <c r="E408" s="465"/>
      <c r="F408" s="465"/>
      <c r="G408" s="465"/>
      <c r="H408" s="465"/>
      <c r="I408" s="465"/>
      <c r="J408" s="465"/>
      <c r="K408" s="465"/>
      <c r="L408" s="465"/>
      <c r="AZ408" s="465"/>
      <c r="BA408" s="465"/>
      <c r="BB408" s="465"/>
      <c r="BC408" s="465"/>
      <c r="BD408" s="465"/>
      <c r="BE408" s="465"/>
    </row>
    <row r="409" spans="5:57" ht="18.899999999999999" customHeight="1">
      <c r="E409" s="465"/>
      <c r="F409" s="465"/>
      <c r="G409" s="465"/>
      <c r="H409" s="465"/>
      <c r="I409" s="465"/>
      <c r="J409" s="465"/>
      <c r="K409" s="465"/>
      <c r="L409" s="465"/>
      <c r="AZ409" s="465"/>
      <c r="BA409" s="465"/>
      <c r="BB409" s="465"/>
      <c r="BC409" s="465"/>
      <c r="BD409" s="465"/>
      <c r="BE409" s="465"/>
    </row>
    <row r="410" spans="5:57" ht="18.899999999999999" customHeight="1">
      <c r="E410" s="465"/>
      <c r="F410" s="465"/>
      <c r="G410" s="465"/>
      <c r="H410" s="465"/>
      <c r="I410" s="465"/>
      <c r="J410" s="465"/>
      <c r="K410" s="465"/>
      <c r="L410" s="465"/>
      <c r="AZ410" s="465"/>
      <c r="BA410" s="465"/>
      <c r="BB410" s="465"/>
      <c r="BC410" s="465"/>
      <c r="BD410" s="465"/>
      <c r="BE410" s="465"/>
    </row>
    <row r="411" spans="5:57" ht="18.899999999999999" customHeight="1">
      <c r="E411" s="465"/>
      <c r="F411" s="465"/>
      <c r="G411" s="465"/>
      <c r="H411" s="465"/>
      <c r="I411" s="465"/>
      <c r="J411" s="465"/>
      <c r="K411" s="465"/>
      <c r="L411" s="465"/>
      <c r="AZ411" s="465"/>
      <c r="BA411" s="465"/>
      <c r="BB411" s="465"/>
      <c r="BC411" s="465"/>
      <c r="BD411" s="465"/>
      <c r="BE411" s="465"/>
    </row>
    <row r="412" spans="5:57" ht="18.899999999999999" customHeight="1">
      <c r="E412" s="465"/>
      <c r="F412" s="465"/>
      <c r="G412" s="465"/>
      <c r="H412" s="465"/>
      <c r="I412" s="465"/>
      <c r="J412" s="465"/>
      <c r="K412" s="465"/>
      <c r="L412" s="465"/>
      <c r="AZ412" s="465"/>
      <c r="BA412" s="465"/>
      <c r="BB412" s="465"/>
      <c r="BC412" s="465"/>
      <c r="BD412" s="465"/>
      <c r="BE412" s="465"/>
    </row>
    <row r="413" spans="5:57" ht="18.899999999999999" customHeight="1">
      <c r="E413" s="465"/>
      <c r="F413" s="465"/>
      <c r="G413" s="465"/>
      <c r="H413" s="465"/>
      <c r="I413" s="465"/>
      <c r="J413" s="465"/>
      <c r="K413" s="465"/>
      <c r="L413" s="465"/>
      <c r="AZ413" s="465"/>
      <c r="BA413" s="465"/>
      <c r="BB413" s="465"/>
      <c r="BC413" s="465"/>
      <c r="BD413" s="465"/>
      <c r="BE413" s="465"/>
    </row>
    <row r="414" spans="5:57" ht="18.899999999999999" customHeight="1">
      <c r="E414" s="465"/>
      <c r="F414" s="465"/>
      <c r="G414" s="465"/>
      <c r="H414" s="465"/>
      <c r="I414" s="465"/>
      <c r="J414" s="465"/>
      <c r="K414" s="465"/>
      <c r="L414" s="465"/>
      <c r="AZ414" s="465"/>
      <c r="BA414" s="465"/>
      <c r="BB414" s="465"/>
      <c r="BC414" s="465"/>
      <c r="BD414" s="465"/>
      <c r="BE414" s="465"/>
    </row>
    <row r="415" spans="5:57" ht="18.899999999999999" customHeight="1">
      <c r="E415" s="465"/>
      <c r="F415" s="465"/>
      <c r="G415" s="465"/>
      <c r="H415" s="465"/>
      <c r="I415" s="465"/>
      <c r="J415" s="465"/>
      <c r="K415" s="465"/>
      <c r="L415" s="465"/>
      <c r="AZ415" s="465"/>
      <c r="BA415" s="465"/>
      <c r="BB415" s="465"/>
      <c r="BC415" s="465"/>
      <c r="BD415" s="465"/>
      <c r="BE415" s="465"/>
    </row>
    <row r="416" spans="5:57" ht="18.899999999999999" customHeight="1">
      <c r="E416" s="465"/>
      <c r="F416" s="465"/>
      <c r="G416" s="465"/>
      <c r="H416" s="465"/>
      <c r="I416" s="465"/>
      <c r="J416" s="465"/>
      <c r="K416" s="465"/>
      <c r="L416" s="465"/>
      <c r="AZ416" s="465"/>
      <c r="BA416" s="465"/>
      <c r="BB416" s="465"/>
      <c r="BC416" s="465"/>
      <c r="BD416" s="465"/>
      <c r="BE416" s="465"/>
    </row>
    <row r="417" spans="5:57" ht="18.899999999999999" customHeight="1">
      <c r="E417" s="465"/>
      <c r="F417" s="465"/>
      <c r="G417" s="465"/>
      <c r="H417" s="465"/>
      <c r="I417" s="465"/>
      <c r="J417" s="465"/>
      <c r="K417" s="465"/>
      <c r="L417" s="465"/>
      <c r="AZ417" s="465"/>
      <c r="BA417" s="465"/>
      <c r="BB417" s="465"/>
      <c r="BC417" s="465"/>
      <c r="BD417" s="465"/>
      <c r="BE417" s="465"/>
    </row>
    <row r="418" spans="5:57" ht="18.899999999999999" customHeight="1">
      <c r="E418" s="465"/>
      <c r="F418" s="465"/>
      <c r="G418" s="465"/>
      <c r="H418" s="465"/>
      <c r="I418" s="465"/>
      <c r="J418" s="465"/>
      <c r="K418" s="465"/>
      <c r="L418" s="465"/>
      <c r="AZ418" s="465"/>
      <c r="BA418" s="465"/>
      <c r="BB418" s="465"/>
      <c r="BC418" s="465"/>
      <c r="BD418" s="465"/>
      <c r="BE418" s="465"/>
    </row>
    <row r="419" spans="5:57" ht="18.899999999999999" customHeight="1">
      <c r="E419" s="465"/>
      <c r="F419" s="465"/>
      <c r="G419" s="465"/>
      <c r="H419" s="465"/>
      <c r="I419" s="465"/>
      <c r="J419" s="465"/>
      <c r="K419" s="465"/>
      <c r="L419" s="465"/>
      <c r="AZ419" s="465"/>
      <c r="BA419" s="465"/>
      <c r="BB419" s="465"/>
      <c r="BC419" s="465"/>
      <c r="BD419" s="465"/>
      <c r="BE419" s="465"/>
    </row>
    <row r="420" spans="5:57" ht="18.899999999999999" customHeight="1">
      <c r="E420" s="465"/>
      <c r="F420" s="465"/>
      <c r="G420" s="465"/>
      <c r="H420" s="465"/>
      <c r="I420" s="465"/>
      <c r="J420" s="465"/>
      <c r="K420" s="465"/>
      <c r="L420" s="465"/>
      <c r="AZ420" s="465"/>
      <c r="BA420" s="465"/>
      <c r="BB420" s="465"/>
      <c r="BC420" s="465"/>
      <c r="BD420" s="465"/>
      <c r="BE420" s="465"/>
    </row>
    <row r="421" spans="5:57" ht="18.899999999999999" customHeight="1">
      <c r="E421" s="465"/>
      <c r="F421" s="465"/>
      <c r="G421" s="465"/>
      <c r="H421" s="465"/>
      <c r="I421" s="465"/>
      <c r="J421" s="465"/>
      <c r="K421" s="465"/>
      <c r="L421" s="465"/>
      <c r="AZ421" s="465"/>
      <c r="BA421" s="465"/>
      <c r="BB421" s="465"/>
      <c r="BC421" s="465"/>
      <c r="BD421" s="465"/>
      <c r="BE421" s="465"/>
    </row>
    <row r="422" spans="5:57" ht="18.899999999999999" customHeight="1">
      <c r="E422" s="465"/>
      <c r="F422" s="465"/>
      <c r="G422" s="465"/>
      <c r="H422" s="465"/>
      <c r="I422" s="465"/>
      <c r="J422" s="465"/>
      <c r="K422" s="465"/>
      <c r="L422" s="465"/>
      <c r="AZ422" s="465"/>
      <c r="BA422" s="465"/>
      <c r="BB422" s="465"/>
      <c r="BC422" s="465"/>
      <c r="BD422" s="465"/>
      <c r="BE422" s="465"/>
    </row>
    <row r="423" spans="5:57" ht="18.899999999999999" customHeight="1">
      <c r="E423" s="465"/>
      <c r="F423" s="465"/>
      <c r="G423" s="465"/>
      <c r="H423" s="465"/>
      <c r="I423" s="465"/>
      <c r="J423" s="465"/>
      <c r="K423" s="465"/>
      <c r="L423" s="465"/>
      <c r="AZ423" s="465"/>
      <c r="BA423" s="465"/>
      <c r="BB423" s="465"/>
      <c r="BC423" s="465"/>
      <c r="BD423" s="465"/>
      <c r="BE423" s="465"/>
    </row>
    <row r="424" spans="5:57" ht="18.899999999999999" customHeight="1">
      <c r="E424" s="465"/>
      <c r="F424" s="465"/>
      <c r="G424" s="465"/>
      <c r="H424" s="465"/>
      <c r="I424" s="465"/>
      <c r="J424" s="465"/>
      <c r="K424" s="465"/>
      <c r="L424" s="465"/>
      <c r="AZ424" s="465"/>
      <c r="BA424" s="465"/>
      <c r="BB424" s="465"/>
      <c r="BC424" s="465"/>
      <c r="BD424" s="465"/>
      <c r="BE424" s="465"/>
    </row>
    <row r="425" spans="5:57" ht="18.899999999999999" customHeight="1">
      <c r="E425" s="465"/>
      <c r="F425" s="465"/>
      <c r="G425" s="465"/>
      <c r="H425" s="465"/>
      <c r="I425" s="465"/>
      <c r="J425" s="465"/>
      <c r="K425" s="465"/>
      <c r="L425" s="465"/>
      <c r="AZ425" s="465"/>
      <c r="BA425" s="465"/>
      <c r="BB425" s="465"/>
      <c r="BC425" s="465"/>
      <c r="BD425" s="465"/>
      <c r="BE425" s="465"/>
    </row>
    <row r="426" spans="5:57" ht="18.899999999999999" customHeight="1">
      <c r="E426" s="465"/>
      <c r="F426" s="465"/>
      <c r="G426" s="465"/>
      <c r="H426" s="465"/>
      <c r="I426" s="465"/>
      <c r="J426" s="465"/>
      <c r="K426" s="465"/>
      <c r="L426" s="465"/>
      <c r="AZ426" s="465"/>
      <c r="BA426" s="465"/>
      <c r="BB426" s="465"/>
      <c r="BC426" s="465"/>
      <c r="BD426" s="465"/>
      <c r="BE426" s="465"/>
    </row>
    <row r="427" spans="5:57" ht="18.899999999999999" customHeight="1">
      <c r="E427" s="465"/>
      <c r="F427" s="465"/>
      <c r="G427" s="465"/>
      <c r="H427" s="465"/>
      <c r="I427" s="465"/>
      <c r="J427" s="465"/>
      <c r="K427" s="465"/>
      <c r="L427" s="465"/>
      <c r="AZ427" s="465"/>
      <c r="BA427" s="465"/>
      <c r="BB427" s="465"/>
      <c r="BC427" s="465"/>
      <c r="BD427" s="465"/>
      <c r="BE427" s="465"/>
    </row>
    <row r="428" spans="5:57" ht="18.899999999999999" customHeight="1">
      <c r="E428" s="465"/>
      <c r="F428" s="465"/>
      <c r="G428" s="465"/>
      <c r="H428" s="465"/>
      <c r="I428" s="465"/>
      <c r="J428" s="465"/>
      <c r="K428" s="465"/>
      <c r="L428" s="465"/>
      <c r="AZ428" s="465"/>
      <c r="BA428" s="465"/>
      <c r="BB428" s="465"/>
      <c r="BC428" s="465"/>
      <c r="BD428" s="465"/>
      <c r="BE428" s="465"/>
    </row>
    <row r="429" spans="5:57" ht="18.899999999999999" customHeight="1">
      <c r="E429" s="465"/>
      <c r="F429" s="465"/>
      <c r="G429" s="465"/>
      <c r="H429" s="465"/>
      <c r="I429" s="465"/>
      <c r="J429" s="465"/>
      <c r="K429" s="465"/>
      <c r="L429" s="465"/>
      <c r="AZ429" s="465"/>
      <c r="BA429" s="465"/>
      <c r="BB429" s="465"/>
      <c r="BC429" s="465"/>
      <c r="BD429" s="465"/>
      <c r="BE429" s="465"/>
    </row>
    <row r="430" spans="5:57" ht="18.899999999999999" customHeight="1">
      <c r="E430" s="465"/>
      <c r="F430" s="465"/>
      <c r="G430" s="465"/>
      <c r="H430" s="465"/>
      <c r="I430" s="465"/>
      <c r="J430" s="465"/>
      <c r="K430" s="465"/>
      <c r="L430" s="465"/>
      <c r="AZ430" s="465"/>
      <c r="BA430" s="465"/>
      <c r="BB430" s="465"/>
      <c r="BC430" s="465"/>
      <c r="BD430" s="465"/>
      <c r="BE430" s="465"/>
    </row>
    <row r="431" spans="5:57" ht="18.899999999999999" customHeight="1">
      <c r="E431" s="465"/>
      <c r="F431" s="465"/>
      <c r="G431" s="465"/>
      <c r="H431" s="465"/>
      <c r="I431" s="465"/>
      <c r="J431" s="465"/>
      <c r="K431" s="465"/>
      <c r="L431" s="465"/>
      <c r="AZ431" s="465"/>
      <c r="BA431" s="465"/>
      <c r="BB431" s="465"/>
      <c r="BC431" s="465"/>
      <c r="BD431" s="465"/>
      <c r="BE431" s="465"/>
    </row>
    <row r="432" spans="5:57" ht="18.899999999999999" customHeight="1">
      <c r="E432" s="465"/>
      <c r="F432" s="465"/>
      <c r="G432" s="465"/>
      <c r="H432" s="465"/>
      <c r="I432" s="465"/>
      <c r="J432" s="465"/>
      <c r="K432" s="465"/>
      <c r="L432" s="465"/>
      <c r="AZ432" s="465"/>
      <c r="BA432" s="465"/>
      <c r="BB432" s="465"/>
      <c r="BC432" s="465"/>
      <c r="BD432" s="465"/>
      <c r="BE432" s="465"/>
    </row>
    <row r="433" spans="5:57" ht="18.899999999999999" customHeight="1">
      <c r="E433" s="465"/>
      <c r="F433" s="465"/>
      <c r="G433" s="465"/>
      <c r="H433" s="465"/>
      <c r="I433" s="465"/>
      <c r="J433" s="465"/>
      <c r="K433" s="465"/>
      <c r="L433" s="465"/>
      <c r="AZ433" s="465"/>
      <c r="BA433" s="465"/>
      <c r="BB433" s="465"/>
      <c r="BC433" s="465"/>
      <c r="BD433" s="465"/>
      <c r="BE433" s="465"/>
    </row>
    <row r="434" spans="5:57" ht="18.899999999999999" customHeight="1">
      <c r="E434" s="465"/>
      <c r="F434" s="465"/>
      <c r="G434" s="465"/>
      <c r="H434" s="465"/>
      <c r="I434" s="465"/>
      <c r="J434" s="465"/>
      <c r="K434" s="465"/>
      <c r="L434" s="465"/>
      <c r="AZ434" s="465"/>
      <c r="BA434" s="465"/>
      <c r="BB434" s="465"/>
      <c r="BC434" s="465"/>
      <c r="BD434" s="465"/>
      <c r="BE434" s="465"/>
    </row>
    <row r="435" spans="5:57" ht="18.899999999999999" customHeight="1">
      <c r="E435" s="465"/>
      <c r="F435" s="465"/>
      <c r="G435" s="465"/>
      <c r="H435" s="465"/>
      <c r="I435" s="465"/>
      <c r="J435" s="465"/>
      <c r="K435" s="465"/>
      <c r="L435" s="465"/>
      <c r="AZ435" s="465"/>
      <c r="BA435" s="465"/>
      <c r="BB435" s="465"/>
      <c r="BC435" s="465"/>
      <c r="BD435" s="465"/>
      <c r="BE435" s="465"/>
    </row>
    <row r="436" spans="5:57" ht="18.899999999999999" customHeight="1">
      <c r="E436" s="465"/>
      <c r="F436" s="465"/>
      <c r="G436" s="465"/>
      <c r="H436" s="465"/>
      <c r="I436" s="465"/>
      <c r="J436" s="465"/>
      <c r="K436" s="465"/>
      <c r="L436" s="465"/>
      <c r="AZ436" s="465"/>
      <c r="BA436" s="465"/>
      <c r="BB436" s="465"/>
      <c r="BC436" s="465"/>
      <c r="BD436" s="465"/>
      <c r="BE436" s="465"/>
    </row>
    <row r="437" spans="5:57" ht="18.899999999999999" customHeight="1">
      <c r="E437" s="465"/>
      <c r="F437" s="465"/>
      <c r="G437" s="465"/>
      <c r="H437" s="465"/>
      <c r="I437" s="465"/>
      <c r="J437" s="465"/>
      <c r="K437" s="465"/>
      <c r="L437" s="465"/>
      <c r="AZ437" s="465"/>
      <c r="BA437" s="465"/>
      <c r="BB437" s="465"/>
      <c r="BC437" s="465"/>
      <c r="BD437" s="465"/>
      <c r="BE437" s="465"/>
    </row>
    <row r="438" spans="5:57" ht="18.899999999999999" customHeight="1">
      <c r="E438" s="465"/>
      <c r="F438" s="465"/>
      <c r="G438" s="465"/>
      <c r="H438" s="465"/>
      <c r="I438" s="465"/>
      <c r="J438" s="465"/>
      <c r="K438" s="465"/>
      <c r="L438" s="465"/>
      <c r="AZ438" s="465"/>
      <c r="BA438" s="465"/>
      <c r="BB438" s="465"/>
      <c r="BC438" s="465"/>
      <c r="BD438" s="465"/>
      <c r="BE438" s="465"/>
    </row>
    <row r="439" spans="5:57" ht="18.899999999999999" customHeight="1">
      <c r="E439" s="465"/>
      <c r="F439" s="465"/>
      <c r="G439" s="465"/>
      <c r="H439" s="465"/>
      <c r="I439" s="465"/>
      <c r="J439" s="465"/>
      <c r="K439" s="465"/>
      <c r="L439" s="465"/>
      <c r="AZ439" s="465"/>
      <c r="BA439" s="465"/>
      <c r="BB439" s="465"/>
      <c r="BC439" s="465"/>
      <c r="BD439" s="465"/>
      <c r="BE439" s="465"/>
    </row>
    <row r="440" spans="5:57" ht="18.899999999999999" customHeight="1">
      <c r="E440" s="465"/>
      <c r="F440" s="465"/>
      <c r="G440" s="465"/>
      <c r="H440" s="465"/>
      <c r="I440" s="465"/>
      <c r="J440" s="465"/>
      <c r="K440" s="465"/>
      <c r="L440" s="465"/>
      <c r="AZ440" s="465"/>
      <c r="BA440" s="465"/>
      <c r="BB440" s="465"/>
      <c r="BC440" s="465"/>
      <c r="BD440" s="465"/>
      <c r="BE440" s="465"/>
    </row>
    <row r="441" spans="5:57" ht="18.899999999999999" customHeight="1">
      <c r="E441" s="465"/>
      <c r="F441" s="465"/>
      <c r="G441" s="465"/>
      <c r="H441" s="465"/>
      <c r="I441" s="465"/>
      <c r="J441" s="465"/>
      <c r="K441" s="465"/>
      <c r="L441" s="465"/>
      <c r="AZ441" s="465"/>
      <c r="BA441" s="465"/>
      <c r="BB441" s="465"/>
      <c r="BC441" s="465"/>
      <c r="BD441" s="465"/>
      <c r="BE441" s="465"/>
    </row>
    <row r="442" spans="5:57" ht="18.899999999999999" customHeight="1">
      <c r="E442" s="465"/>
      <c r="F442" s="465"/>
      <c r="G442" s="465"/>
      <c r="H442" s="465"/>
      <c r="I442" s="465"/>
      <c r="J442" s="465"/>
      <c r="K442" s="465"/>
      <c r="L442" s="465"/>
      <c r="AZ442" s="465"/>
      <c r="BA442" s="465"/>
      <c r="BB442" s="465"/>
      <c r="BC442" s="465"/>
      <c r="BD442" s="465"/>
      <c r="BE442" s="465"/>
    </row>
    <row r="443" spans="5:57" ht="18.899999999999999" customHeight="1">
      <c r="E443" s="465"/>
      <c r="F443" s="465"/>
      <c r="G443" s="465"/>
      <c r="H443" s="465"/>
      <c r="I443" s="465"/>
      <c r="J443" s="465"/>
      <c r="K443" s="465"/>
      <c r="L443" s="465"/>
      <c r="AZ443" s="465"/>
      <c r="BA443" s="465"/>
      <c r="BB443" s="465"/>
      <c r="BC443" s="465"/>
      <c r="BD443" s="465"/>
      <c r="BE443" s="465"/>
    </row>
    <row r="444" spans="5:57" ht="18.899999999999999" customHeight="1">
      <c r="E444" s="465"/>
      <c r="F444" s="465"/>
      <c r="G444" s="465"/>
      <c r="H444" s="465"/>
      <c r="I444" s="465"/>
      <c r="J444" s="465"/>
      <c r="K444" s="465"/>
      <c r="L444" s="465"/>
      <c r="AZ444" s="465"/>
      <c r="BA444" s="465"/>
      <c r="BB444" s="465"/>
      <c r="BC444" s="465"/>
      <c r="BD444" s="465"/>
      <c r="BE444" s="465"/>
    </row>
    <row r="445" spans="5:57" ht="18.899999999999999" customHeight="1">
      <c r="E445" s="465"/>
      <c r="F445" s="465"/>
      <c r="G445" s="465"/>
      <c r="H445" s="465"/>
      <c r="I445" s="465"/>
      <c r="J445" s="465"/>
      <c r="K445" s="465"/>
      <c r="L445" s="465"/>
      <c r="AZ445" s="465"/>
      <c r="BA445" s="465"/>
      <c r="BB445" s="465"/>
      <c r="BC445" s="465"/>
      <c r="BD445" s="465"/>
      <c r="BE445" s="465"/>
    </row>
    <row r="446" spans="5:57" ht="18.899999999999999" customHeight="1">
      <c r="E446" s="465"/>
      <c r="F446" s="465"/>
      <c r="G446" s="465"/>
      <c r="H446" s="465"/>
      <c r="I446" s="465"/>
      <c r="J446" s="465"/>
      <c r="K446" s="465"/>
      <c r="L446" s="465"/>
      <c r="AZ446" s="465"/>
      <c r="BA446" s="465"/>
      <c r="BB446" s="465"/>
      <c r="BC446" s="465"/>
      <c r="BD446" s="465"/>
      <c r="BE446" s="465"/>
    </row>
    <row r="447" spans="5:57" ht="18.899999999999999" customHeight="1">
      <c r="E447" s="465"/>
      <c r="F447" s="465"/>
      <c r="G447" s="465"/>
      <c r="H447" s="465"/>
      <c r="I447" s="465"/>
      <c r="J447" s="465"/>
      <c r="K447" s="465"/>
      <c r="L447" s="465"/>
      <c r="AZ447" s="465"/>
      <c r="BA447" s="465"/>
      <c r="BB447" s="465"/>
      <c r="BC447" s="465"/>
      <c r="BD447" s="465"/>
      <c r="BE447" s="465"/>
    </row>
    <row r="448" spans="5:57" ht="18.899999999999999" customHeight="1">
      <c r="E448" s="465"/>
      <c r="F448" s="465"/>
      <c r="G448" s="465"/>
      <c r="H448" s="465"/>
      <c r="I448" s="465"/>
      <c r="J448" s="465"/>
      <c r="K448" s="465"/>
      <c r="L448" s="465"/>
      <c r="AZ448" s="465"/>
      <c r="BA448" s="465"/>
      <c r="BB448" s="465"/>
      <c r="BC448" s="465"/>
      <c r="BD448" s="465"/>
      <c r="BE448" s="465"/>
    </row>
    <row r="449" spans="5:57" ht="18.899999999999999" customHeight="1">
      <c r="E449" s="465"/>
      <c r="F449" s="465"/>
      <c r="G449" s="465"/>
      <c r="H449" s="465"/>
      <c r="I449" s="465"/>
      <c r="J449" s="465"/>
      <c r="K449" s="465"/>
      <c r="L449" s="465"/>
      <c r="AZ449" s="465"/>
      <c r="BA449" s="465"/>
      <c r="BB449" s="465"/>
      <c r="BC449" s="465"/>
      <c r="BD449" s="465"/>
      <c r="BE449" s="465"/>
    </row>
    <row r="450" spans="5:57" ht="18.899999999999999" customHeight="1">
      <c r="E450" s="465"/>
      <c r="F450" s="465"/>
      <c r="G450" s="465"/>
      <c r="H450" s="465"/>
      <c r="I450" s="465"/>
      <c r="J450" s="465"/>
      <c r="K450" s="465"/>
      <c r="L450" s="465"/>
      <c r="AZ450" s="465"/>
      <c r="BA450" s="465"/>
      <c r="BB450" s="465"/>
      <c r="BC450" s="465"/>
      <c r="BD450" s="465"/>
      <c r="BE450" s="465"/>
    </row>
    <row r="451" spans="5:57" ht="18.899999999999999" customHeight="1">
      <c r="E451" s="465"/>
      <c r="F451" s="465"/>
      <c r="G451" s="465"/>
      <c r="H451" s="465"/>
      <c r="I451" s="465"/>
      <c r="J451" s="465"/>
      <c r="K451" s="465"/>
      <c r="L451" s="465"/>
      <c r="AZ451" s="465"/>
      <c r="BA451" s="465"/>
      <c r="BB451" s="465"/>
      <c r="BC451" s="465"/>
      <c r="BD451" s="465"/>
      <c r="BE451" s="465"/>
    </row>
    <row r="452" spans="5:57" ht="18.899999999999999" customHeight="1">
      <c r="E452" s="465"/>
      <c r="F452" s="465"/>
      <c r="G452" s="465"/>
      <c r="H452" s="465"/>
      <c r="I452" s="465"/>
      <c r="J452" s="465"/>
      <c r="K452" s="465"/>
      <c r="L452" s="465"/>
      <c r="AZ452" s="465"/>
      <c r="BA452" s="465"/>
      <c r="BB452" s="465"/>
      <c r="BC452" s="465"/>
      <c r="BD452" s="465"/>
      <c r="BE452" s="465"/>
    </row>
    <row r="453" spans="5:57" ht="18.899999999999999" customHeight="1">
      <c r="E453" s="465"/>
      <c r="F453" s="465"/>
      <c r="G453" s="465"/>
      <c r="H453" s="465"/>
      <c r="I453" s="465"/>
      <c r="J453" s="465"/>
      <c r="K453" s="465"/>
      <c r="L453" s="465"/>
      <c r="AZ453" s="465"/>
      <c r="BA453" s="465"/>
      <c r="BB453" s="465"/>
      <c r="BC453" s="465"/>
      <c r="BD453" s="465"/>
      <c r="BE453" s="465"/>
    </row>
    <row r="454" spans="5:57" ht="18.899999999999999" customHeight="1">
      <c r="E454" s="465"/>
      <c r="F454" s="465"/>
      <c r="G454" s="465"/>
      <c r="H454" s="465"/>
      <c r="I454" s="465"/>
      <c r="J454" s="465"/>
      <c r="K454" s="465"/>
      <c r="L454" s="465"/>
      <c r="AZ454" s="465"/>
      <c r="BA454" s="465"/>
      <c r="BB454" s="465"/>
      <c r="BC454" s="465"/>
      <c r="BD454" s="465"/>
      <c r="BE454" s="465"/>
    </row>
    <row r="455" spans="5:57" ht="18.899999999999999" customHeight="1">
      <c r="E455" s="465"/>
      <c r="F455" s="465"/>
      <c r="G455" s="465"/>
      <c r="H455" s="465"/>
      <c r="I455" s="465"/>
      <c r="J455" s="465"/>
      <c r="K455" s="465"/>
      <c r="L455" s="465"/>
      <c r="AZ455" s="465"/>
      <c r="BA455" s="465"/>
      <c r="BB455" s="465"/>
      <c r="BC455" s="465"/>
      <c r="BD455" s="465"/>
      <c r="BE455" s="465"/>
    </row>
    <row r="456" spans="5:57" ht="18.899999999999999" customHeight="1">
      <c r="E456" s="465"/>
      <c r="F456" s="465"/>
      <c r="G456" s="465"/>
      <c r="H456" s="465"/>
      <c r="I456" s="465"/>
      <c r="J456" s="465"/>
      <c r="K456" s="465"/>
      <c r="L456" s="465"/>
      <c r="AZ456" s="465"/>
      <c r="BA456" s="465"/>
      <c r="BB456" s="465"/>
      <c r="BC456" s="465"/>
      <c r="BD456" s="465"/>
      <c r="BE456" s="465"/>
    </row>
    <row r="457" spans="5:57" ht="18.899999999999999" customHeight="1">
      <c r="E457" s="465"/>
      <c r="F457" s="465"/>
      <c r="G457" s="465"/>
      <c r="H457" s="465"/>
      <c r="I457" s="465"/>
      <c r="J457" s="465"/>
      <c r="K457" s="465"/>
      <c r="L457" s="465"/>
      <c r="AZ457" s="465"/>
      <c r="BA457" s="465"/>
      <c r="BB457" s="465"/>
      <c r="BC457" s="465"/>
      <c r="BD457" s="465"/>
      <c r="BE457" s="465"/>
    </row>
    <row r="458" spans="5:57" ht="18.899999999999999" customHeight="1">
      <c r="E458" s="465"/>
      <c r="F458" s="465"/>
      <c r="G458" s="465"/>
      <c r="H458" s="465"/>
      <c r="I458" s="465"/>
      <c r="J458" s="465"/>
      <c r="K458" s="465"/>
      <c r="L458" s="465"/>
      <c r="AZ458" s="465"/>
      <c r="BA458" s="465"/>
      <c r="BB458" s="465"/>
      <c r="BC458" s="465"/>
      <c r="BD458" s="465"/>
      <c r="BE458" s="465"/>
    </row>
    <row r="459" spans="5:57" ht="18.899999999999999" customHeight="1">
      <c r="E459" s="465"/>
      <c r="F459" s="465"/>
      <c r="G459" s="465"/>
      <c r="H459" s="465"/>
      <c r="I459" s="465"/>
      <c r="J459" s="465"/>
      <c r="K459" s="465"/>
      <c r="L459" s="465"/>
      <c r="AZ459" s="465"/>
      <c r="BA459" s="465"/>
      <c r="BB459" s="465"/>
      <c r="BC459" s="465"/>
      <c r="BD459" s="465"/>
      <c r="BE459" s="465"/>
    </row>
    <row r="460" spans="5:57" ht="18.899999999999999" customHeight="1">
      <c r="E460" s="465"/>
      <c r="F460" s="465"/>
      <c r="G460" s="465"/>
      <c r="H460" s="465"/>
      <c r="I460" s="465"/>
      <c r="J460" s="465"/>
      <c r="K460" s="465"/>
      <c r="L460" s="465"/>
      <c r="AZ460" s="465"/>
      <c r="BA460" s="465"/>
      <c r="BB460" s="465"/>
      <c r="BC460" s="465"/>
      <c r="BD460" s="465"/>
      <c r="BE460" s="465"/>
    </row>
    <row r="461" spans="5:57" ht="18.899999999999999" customHeight="1">
      <c r="E461" s="465"/>
      <c r="F461" s="465"/>
      <c r="G461" s="465"/>
      <c r="H461" s="465"/>
      <c r="I461" s="465"/>
      <c r="J461" s="465"/>
      <c r="K461" s="465"/>
      <c r="L461" s="465"/>
      <c r="AZ461" s="465"/>
      <c r="BA461" s="465"/>
      <c r="BB461" s="465"/>
      <c r="BC461" s="465"/>
      <c r="BD461" s="465"/>
      <c r="BE461" s="465"/>
    </row>
    <row r="462" spans="5:57" ht="18.899999999999999" customHeight="1">
      <c r="E462" s="465"/>
      <c r="F462" s="465"/>
      <c r="G462" s="465"/>
      <c r="H462" s="465"/>
      <c r="I462" s="465"/>
      <c r="J462" s="465"/>
      <c r="K462" s="465"/>
      <c r="L462" s="465"/>
      <c r="AZ462" s="465"/>
      <c r="BA462" s="465"/>
      <c r="BB462" s="465"/>
      <c r="BC462" s="465"/>
      <c r="BD462" s="465"/>
      <c r="BE462" s="465"/>
    </row>
    <row r="463" spans="5:57" ht="18.899999999999999" customHeight="1">
      <c r="E463" s="465"/>
      <c r="F463" s="465"/>
      <c r="G463" s="465"/>
      <c r="H463" s="465"/>
      <c r="I463" s="465"/>
      <c r="J463" s="465"/>
      <c r="K463" s="465"/>
      <c r="L463" s="465"/>
      <c r="AZ463" s="465"/>
      <c r="BA463" s="465"/>
      <c r="BB463" s="465"/>
      <c r="BC463" s="465"/>
      <c r="BD463" s="465"/>
      <c r="BE463" s="465"/>
    </row>
    <row r="464" spans="5:57" ht="18.899999999999999" customHeight="1">
      <c r="E464" s="465"/>
      <c r="F464" s="465"/>
      <c r="G464" s="465"/>
      <c r="H464" s="465"/>
      <c r="I464" s="465"/>
      <c r="J464" s="465"/>
      <c r="K464" s="465"/>
      <c r="L464" s="465"/>
      <c r="AZ464" s="465"/>
      <c r="BA464" s="465"/>
      <c r="BB464" s="465"/>
      <c r="BC464" s="465"/>
      <c r="BD464" s="465"/>
      <c r="BE464" s="465"/>
    </row>
    <row r="465" spans="5:57" ht="18.899999999999999" customHeight="1">
      <c r="E465" s="465"/>
      <c r="F465" s="465"/>
      <c r="G465" s="465"/>
      <c r="H465" s="465"/>
      <c r="I465" s="465"/>
      <c r="J465" s="465"/>
      <c r="K465" s="465"/>
      <c r="L465" s="465"/>
      <c r="AZ465" s="465"/>
      <c r="BA465" s="465"/>
      <c r="BB465" s="465"/>
      <c r="BC465" s="465"/>
      <c r="BD465" s="465"/>
      <c r="BE465" s="465"/>
    </row>
    <row r="466" spans="5:57" ht="18.899999999999999" customHeight="1">
      <c r="E466" s="465"/>
      <c r="F466" s="465"/>
      <c r="G466" s="465"/>
      <c r="H466" s="465"/>
      <c r="I466" s="465"/>
      <c r="J466" s="465"/>
      <c r="K466" s="465"/>
      <c r="L466" s="465"/>
      <c r="AZ466" s="465"/>
      <c r="BA466" s="465"/>
      <c r="BB466" s="465"/>
      <c r="BC466" s="465"/>
      <c r="BD466" s="465"/>
      <c r="BE466" s="465"/>
    </row>
    <row r="467" spans="5:57" ht="18.899999999999999" customHeight="1">
      <c r="E467" s="465"/>
      <c r="F467" s="465"/>
      <c r="G467" s="465"/>
      <c r="H467" s="465"/>
      <c r="I467" s="465"/>
      <c r="J467" s="465"/>
      <c r="K467" s="465"/>
      <c r="L467" s="465"/>
      <c r="AZ467" s="465"/>
      <c r="BA467" s="465"/>
      <c r="BB467" s="465"/>
      <c r="BC467" s="465"/>
      <c r="BD467" s="465"/>
      <c r="BE467" s="465"/>
    </row>
    <row r="468" spans="5:57" ht="18.899999999999999" customHeight="1">
      <c r="E468" s="465"/>
      <c r="F468" s="465"/>
      <c r="G468" s="465"/>
      <c r="H468" s="465"/>
      <c r="I468" s="465"/>
      <c r="J468" s="465"/>
      <c r="K468" s="465"/>
      <c r="L468" s="465"/>
      <c r="AZ468" s="465"/>
      <c r="BA468" s="465"/>
      <c r="BB468" s="465"/>
      <c r="BC468" s="465"/>
      <c r="BD468" s="465"/>
      <c r="BE468" s="465"/>
    </row>
    <row r="469" spans="5:57" ht="18.899999999999999" customHeight="1">
      <c r="E469" s="465"/>
      <c r="F469" s="465"/>
      <c r="G469" s="465"/>
      <c r="H469" s="465"/>
      <c r="I469" s="465"/>
      <c r="J469" s="465"/>
      <c r="K469" s="465"/>
      <c r="L469" s="465"/>
      <c r="AZ469" s="465"/>
      <c r="BA469" s="465"/>
      <c r="BB469" s="465"/>
      <c r="BC469" s="465"/>
      <c r="BD469" s="465"/>
      <c r="BE469" s="465"/>
    </row>
    <row r="470" spans="5:57" ht="18.899999999999999" customHeight="1">
      <c r="E470" s="465"/>
      <c r="F470" s="465"/>
      <c r="G470" s="465"/>
      <c r="H470" s="465"/>
      <c r="I470" s="465"/>
      <c r="J470" s="465"/>
      <c r="K470" s="465"/>
      <c r="L470" s="465"/>
      <c r="AZ470" s="465"/>
      <c r="BA470" s="465"/>
      <c r="BB470" s="465"/>
      <c r="BC470" s="465"/>
      <c r="BD470" s="465"/>
      <c r="BE470" s="465"/>
    </row>
    <row r="471" spans="5:57" ht="18.899999999999999" customHeight="1">
      <c r="E471" s="465"/>
      <c r="F471" s="465"/>
      <c r="G471" s="465"/>
      <c r="H471" s="465"/>
      <c r="I471" s="465"/>
      <c r="J471" s="465"/>
      <c r="K471" s="465"/>
      <c r="L471" s="465"/>
      <c r="AZ471" s="465"/>
      <c r="BA471" s="465"/>
      <c r="BB471" s="465"/>
      <c r="BC471" s="465"/>
      <c r="BD471" s="465"/>
      <c r="BE471" s="465"/>
    </row>
    <row r="472" spans="5:57" ht="18.899999999999999" customHeight="1">
      <c r="E472" s="465"/>
      <c r="F472" s="465"/>
      <c r="G472" s="465"/>
      <c r="H472" s="465"/>
      <c r="I472" s="465"/>
      <c r="J472" s="465"/>
      <c r="K472" s="465"/>
      <c r="L472" s="465"/>
      <c r="AZ472" s="465"/>
      <c r="BA472" s="465"/>
      <c r="BB472" s="465"/>
      <c r="BC472" s="465"/>
      <c r="BD472" s="465"/>
      <c r="BE472" s="465"/>
    </row>
    <row r="473" spans="5:57" ht="18.899999999999999" customHeight="1">
      <c r="E473" s="465"/>
      <c r="F473" s="465"/>
      <c r="G473" s="465"/>
      <c r="H473" s="465"/>
      <c r="I473" s="465"/>
      <c r="J473" s="465"/>
      <c r="K473" s="465"/>
      <c r="L473" s="465"/>
      <c r="AZ473" s="465"/>
      <c r="BA473" s="465"/>
      <c r="BB473" s="465"/>
      <c r="BC473" s="465"/>
      <c r="BD473" s="465"/>
      <c r="BE473" s="465"/>
    </row>
    <row r="474" spans="5:57" ht="18.899999999999999" customHeight="1">
      <c r="E474" s="465"/>
      <c r="F474" s="465"/>
      <c r="G474" s="465"/>
      <c r="H474" s="465"/>
      <c r="I474" s="465"/>
      <c r="J474" s="465"/>
      <c r="K474" s="465"/>
      <c r="L474" s="465"/>
      <c r="AZ474" s="465"/>
      <c r="BA474" s="465"/>
      <c r="BB474" s="465"/>
      <c r="BC474" s="465"/>
      <c r="BD474" s="465"/>
      <c r="BE474" s="465"/>
    </row>
    <row r="475" spans="5:57" ht="18.899999999999999" customHeight="1">
      <c r="E475" s="465"/>
      <c r="F475" s="465"/>
      <c r="G475" s="465"/>
      <c r="H475" s="465"/>
      <c r="I475" s="465"/>
      <c r="J475" s="465"/>
      <c r="K475" s="465"/>
      <c r="L475" s="465"/>
      <c r="AZ475" s="465"/>
      <c r="BA475" s="465"/>
      <c r="BB475" s="465"/>
      <c r="BC475" s="465"/>
      <c r="BD475" s="465"/>
      <c r="BE475" s="465"/>
    </row>
    <row r="476" spans="5:57" ht="18.899999999999999" customHeight="1">
      <c r="E476" s="465"/>
      <c r="F476" s="465"/>
      <c r="G476" s="465"/>
      <c r="H476" s="465"/>
      <c r="I476" s="465"/>
      <c r="J476" s="465"/>
      <c r="K476" s="465"/>
      <c r="L476" s="465"/>
      <c r="AZ476" s="465"/>
      <c r="BA476" s="465"/>
      <c r="BB476" s="465"/>
      <c r="BC476" s="465"/>
      <c r="BD476" s="465"/>
      <c r="BE476" s="465"/>
    </row>
    <row r="477" spans="5:57" ht="18.899999999999999" customHeight="1">
      <c r="E477" s="465"/>
      <c r="F477" s="465"/>
      <c r="G477" s="465"/>
      <c r="H477" s="465"/>
      <c r="I477" s="465"/>
      <c r="J477" s="465"/>
      <c r="K477" s="465"/>
      <c r="L477" s="465"/>
      <c r="AZ477" s="465"/>
      <c r="BA477" s="465"/>
      <c r="BB477" s="465"/>
      <c r="BC477" s="465"/>
      <c r="BD477" s="465"/>
      <c r="BE477" s="465"/>
    </row>
    <row r="478" spans="5:57" ht="18.899999999999999" customHeight="1">
      <c r="E478" s="465"/>
      <c r="F478" s="465"/>
      <c r="G478" s="465"/>
      <c r="H478" s="465"/>
      <c r="I478" s="465"/>
      <c r="J478" s="465"/>
      <c r="K478" s="465"/>
      <c r="L478" s="465"/>
      <c r="AZ478" s="465"/>
      <c r="BA478" s="465"/>
      <c r="BB478" s="465"/>
      <c r="BC478" s="465"/>
      <c r="BD478" s="465"/>
      <c r="BE478" s="465"/>
    </row>
    <row r="479" spans="5:57" ht="18.899999999999999" customHeight="1">
      <c r="E479" s="465"/>
      <c r="F479" s="465"/>
      <c r="G479" s="465"/>
      <c r="H479" s="465"/>
      <c r="I479" s="465"/>
      <c r="J479" s="465"/>
      <c r="K479" s="465"/>
      <c r="L479" s="465"/>
      <c r="AZ479" s="465"/>
      <c r="BA479" s="465"/>
      <c r="BB479" s="465"/>
      <c r="BC479" s="465"/>
      <c r="BD479" s="465"/>
      <c r="BE479" s="465"/>
    </row>
    <row r="480" spans="5:57" ht="18.899999999999999" customHeight="1">
      <c r="E480" s="465"/>
      <c r="F480" s="465"/>
      <c r="G480" s="465"/>
      <c r="H480" s="465"/>
      <c r="I480" s="465"/>
      <c r="J480" s="465"/>
      <c r="K480" s="465"/>
      <c r="L480" s="465"/>
      <c r="AZ480" s="465"/>
      <c r="BA480" s="465"/>
      <c r="BB480" s="465"/>
      <c r="BC480" s="465"/>
      <c r="BD480" s="465"/>
      <c r="BE480" s="465"/>
    </row>
    <row r="481" spans="5:57" ht="18.899999999999999" customHeight="1">
      <c r="E481" s="465"/>
      <c r="F481" s="465"/>
      <c r="G481" s="465"/>
      <c r="H481" s="465"/>
      <c r="I481" s="465"/>
      <c r="J481" s="465"/>
      <c r="K481" s="465"/>
      <c r="L481" s="465"/>
      <c r="AZ481" s="465"/>
      <c r="BA481" s="465"/>
      <c r="BB481" s="465"/>
      <c r="BC481" s="465"/>
      <c r="BD481" s="465"/>
      <c r="BE481" s="465"/>
    </row>
    <row r="482" spans="5:57" ht="18.899999999999999" customHeight="1">
      <c r="E482" s="465"/>
      <c r="F482" s="465"/>
      <c r="G482" s="465"/>
      <c r="H482" s="465"/>
      <c r="I482" s="465"/>
      <c r="J482" s="465"/>
      <c r="K482" s="465"/>
      <c r="L482" s="465"/>
      <c r="AZ482" s="465"/>
      <c r="BA482" s="465"/>
      <c r="BB482" s="465"/>
      <c r="BC482" s="465"/>
      <c r="BD482" s="465"/>
      <c r="BE482" s="465"/>
    </row>
    <row r="483" spans="5:57" ht="18.899999999999999" customHeight="1">
      <c r="E483" s="465"/>
      <c r="F483" s="465"/>
      <c r="G483" s="465"/>
      <c r="H483" s="465"/>
      <c r="I483" s="465"/>
      <c r="J483" s="465"/>
      <c r="K483" s="465"/>
      <c r="L483" s="465"/>
      <c r="AZ483" s="465"/>
      <c r="BA483" s="465"/>
      <c r="BB483" s="465"/>
      <c r="BC483" s="465"/>
      <c r="BD483" s="465"/>
      <c r="BE483" s="465"/>
    </row>
    <row r="484" spans="5:57" ht="18.899999999999999" customHeight="1">
      <c r="E484" s="465"/>
      <c r="F484" s="465"/>
      <c r="G484" s="465"/>
      <c r="H484" s="465"/>
      <c r="I484" s="465"/>
      <c r="J484" s="465"/>
      <c r="K484" s="465"/>
      <c r="L484" s="465"/>
      <c r="AZ484" s="465"/>
      <c r="BA484" s="465"/>
      <c r="BB484" s="465"/>
      <c r="BC484" s="465"/>
      <c r="BD484" s="465"/>
      <c r="BE484" s="465"/>
    </row>
    <row r="485" spans="5:57" ht="18.899999999999999" customHeight="1">
      <c r="E485" s="465"/>
      <c r="F485" s="465"/>
      <c r="G485" s="465"/>
      <c r="H485" s="465"/>
      <c r="I485" s="465"/>
      <c r="J485" s="465"/>
      <c r="K485" s="465"/>
      <c r="L485" s="465"/>
      <c r="AZ485" s="465"/>
      <c r="BA485" s="465"/>
      <c r="BB485" s="465"/>
      <c r="BC485" s="465"/>
      <c r="BD485" s="465"/>
      <c r="BE485" s="465"/>
    </row>
    <row r="486" spans="5:57" ht="18.899999999999999" customHeight="1">
      <c r="E486" s="465"/>
      <c r="F486" s="465"/>
      <c r="G486" s="465"/>
      <c r="H486" s="465"/>
      <c r="I486" s="465"/>
      <c r="J486" s="465"/>
      <c r="K486" s="465"/>
      <c r="L486" s="465"/>
      <c r="AZ486" s="465"/>
      <c r="BA486" s="465"/>
      <c r="BB486" s="465"/>
      <c r="BC486" s="465"/>
      <c r="BD486" s="465"/>
      <c r="BE486" s="465"/>
    </row>
    <row r="487" spans="5:57" ht="18.899999999999999" customHeight="1">
      <c r="E487" s="465"/>
      <c r="F487" s="465"/>
      <c r="G487" s="465"/>
      <c r="H487" s="465"/>
      <c r="I487" s="465"/>
      <c r="J487" s="465"/>
      <c r="K487" s="465"/>
      <c r="L487" s="465"/>
      <c r="AZ487" s="465"/>
      <c r="BA487" s="465"/>
      <c r="BB487" s="465"/>
      <c r="BC487" s="465"/>
      <c r="BD487" s="465"/>
      <c r="BE487" s="465"/>
    </row>
    <row r="488" spans="5:57" ht="18.899999999999999" customHeight="1">
      <c r="E488" s="465"/>
      <c r="F488" s="465"/>
      <c r="G488" s="465"/>
      <c r="H488" s="465"/>
      <c r="I488" s="465"/>
      <c r="J488" s="465"/>
      <c r="K488" s="465"/>
      <c r="L488" s="465"/>
      <c r="AZ488" s="465"/>
      <c r="BA488" s="465"/>
      <c r="BB488" s="465"/>
      <c r="BC488" s="465"/>
      <c r="BD488" s="465"/>
      <c r="BE488" s="465"/>
    </row>
    <row r="489" spans="5:57" ht="18.899999999999999" customHeight="1">
      <c r="E489" s="465"/>
      <c r="F489" s="465"/>
      <c r="G489" s="465"/>
      <c r="H489" s="465"/>
      <c r="I489" s="465"/>
      <c r="J489" s="465"/>
      <c r="K489" s="465"/>
      <c r="L489" s="465"/>
      <c r="AZ489" s="465"/>
      <c r="BA489" s="465"/>
      <c r="BB489" s="465"/>
      <c r="BC489" s="465"/>
      <c r="BD489" s="465"/>
      <c r="BE489" s="465"/>
    </row>
    <row r="490" spans="5:57" ht="18.899999999999999" customHeight="1">
      <c r="E490" s="465"/>
      <c r="F490" s="465"/>
      <c r="G490" s="465"/>
      <c r="H490" s="465"/>
      <c r="I490" s="465"/>
      <c r="J490" s="465"/>
      <c r="K490" s="465"/>
      <c r="L490" s="465"/>
      <c r="AZ490" s="465"/>
      <c r="BA490" s="465"/>
      <c r="BB490" s="465"/>
      <c r="BC490" s="465"/>
      <c r="BD490" s="465"/>
      <c r="BE490" s="465"/>
    </row>
    <row r="491" spans="5:57" ht="18.899999999999999" customHeight="1">
      <c r="E491" s="465"/>
      <c r="F491" s="465"/>
      <c r="G491" s="465"/>
      <c r="H491" s="465"/>
      <c r="I491" s="465"/>
      <c r="J491" s="465"/>
      <c r="K491" s="465"/>
      <c r="L491" s="465"/>
      <c r="AZ491" s="465"/>
      <c r="BA491" s="465"/>
      <c r="BB491" s="465"/>
      <c r="BC491" s="465"/>
      <c r="BD491" s="465"/>
      <c r="BE491" s="465"/>
    </row>
    <row r="492" spans="5:57" ht="18.899999999999999" customHeight="1">
      <c r="E492" s="465"/>
      <c r="F492" s="465"/>
      <c r="G492" s="465"/>
      <c r="H492" s="465"/>
      <c r="I492" s="465"/>
      <c r="J492" s="465"/>
      <c r="K492" s="465"/>
      <c r="L492" s="465"/>
      <c r="AZ492" s="465"/>
      <c r="BA492" s="465"/>
      <c r="BB492" s="465"/>
      <c r="BC492" s="465"/>
      <c r="BD492" s="465"/>
      <c r="BE492" s="465"/>
    </row>
    <row r="493" spans="5:57" ht="18.899999999999999" customHeight="1">
      <c r="E493" s="465"/>
      <c r="F493" s="465"/>
      <c r="G493" s="465"/>
      <c r="H493" s="465"/>
      <c r="I493" s="465"/>
      <c r="J493" s="465"/>
      <c r="K493" s="465"/>
      <c r="L493" s="465"/>
      <c r="AZ493" s="465"/>
      <c r="BA493" s="465"/>
      <c r="BB493" s="465"/>
      <c r="BC493" s="465"/>
      <c r="BD493" s="465"/>
      <c r="BE493" s="465"/>
    </row>
    <row r="494" spans="5:57" ht="18.899999999999999" customHeight="1">
      <c r="E494" s="465"/>
      <c r="F494" s="465"/>
      <c r="G494" s="465"/>
      <c r="H494" s="465"/>
      <c r="I494" s="465"/>
      <c r="J494" s="465"/>
      <c r="K494" s="465"/>
      <c r="L494" s="465"/>
      <c r="AZ494" s="465"/>
      <c r="BA494" s="465"/>
      <c r="BB494" s="465"/>
      <c r="BC494" s="465"/>
      <c r="BD494" s="465"/>
      <c r="BE494" s="465"/>
    </row>
    <row r="495" spans="5:57" ht="18.899999999999999" customHeight="1">
      <c r="E495" s="465"/>
      <c r="F495" s="465"/>
      <c r="G495" s="465"/>
      <c r="H495" s="465"/>
      <c r="I495" s="465"/>
      <c r="J495" s="465"/>
      <c r="K495" s="465"/>
      <c r="L495" s="465"/>
      <c r="AZ495" s="465"/>
      <c r="BA495" s="465"/>
      <c r="BB495" s="465"/>
      <c r="BC495" s="465"/>
      <c r="BD495" s="465"/>
      <c r="BE495" s="465"/>
    </row>
    <row r="496" spans="5:57" ht="18.899999999999999" customHeight="1">
      <c r="E496" s="465"/>
      <c r="F496" s="465"/>
      <c r="G496" s="465"/>
      <c r="H496" s="465"/>
      <c r="I496" s="465"/>
      <c r="J496" s="465"/>
      <c r="K496" s="465"/>
      <c r="L496" s="465"/>
      <c r="AZ496" s="465"/>
      <c r="BA496" s="465"/>
      <c r="BB496" s="465"/>
      <c r="BC496" s="465"/>
      <c r="BD496" s="465"/>
      <c r="BE496" s="465"/>
    </row>
    <row r="497" spans="5:57" ht="18.899999999999999" customHeight="1">
      <c r="E497" s="465"/>
      <c r="F497" s="465"/>
      <c r="G497" s="465"/>
      <c r="H497" s="465"/>
      <c r="I497" s="465"/>
      <c r="J497" s="465"/>
      <c r="K497" s="465"/>
      <c r="L497" s="465"/>
      <c r="AZ497" s="465"/>
      <c r="BA497" s="465"/>
      <c r="BB497" s="465"/>
      <c r="BC497" s="465"/>
      <c r="BD497" s="465"/>
      <c r="BE497" s="465"/>
    </row>
    <row r="498" spans="5:57" ht="18.899999999999999" customHeight="1">
      <c r="E498" s="465"/>
      <c r="F498" s="465"/>
      <c r="G498" s="465"/>
      <c r="H498" s="465"/>
      <c r="I498" s="465"/>
      <c r="J498" s="465"/>
      <c r="K498" s="465"/>
      <c r="L498" s="465"/>
      <c r="AZ498" s="465"/>
      <c r="BA498" s="465"/>
      <c r="BB498" s="465"/>
      <c r="BC498" s="465"/>
      <c r="BD498" s="465"/>
      <c r="BE498" s="465"/>
    </row>
    <row r="499" spans="5:57" ht="18.899999999999999" customHeight="1">
      <c r="E499" s="465"/>
      <c r="F499" s="465"/>
      <c r="G499" s="465"/>
      <c r="H499" s="465"/>
      <c r="I499" s="465"/>
      <c r="J499" s="465"/>
      <c r="K499" s="465"/>
      <c r="L499" s="465"/>
      <c r="AZ499" s="465"/>
      <c r="BA499" s="465"/>
      <c r="BB499" s="465"/>
      <c r="BC499" s="465"/>
      <c r="BD499" s="465"/>
      <c r="BE499" s="465"/>
    </row>
    <row r="500" spans="5:57" ht="18.899999999999999" customHeight="1">
      <c r="E500" s="465"/>
      <c r="F500" s="465"/>
      <c r="G500" s="465"/>
      <c r="H500" s="465"/>
      <c r="I500" s="465"/>
      <c r="J500" s="465"/>
      <c r="K500" s="465"/>
      <c r="L500" s="465"/>
      <c r="AZ500" s="465"/>
      <c r="BA500" s="465"/>
      <c r="BB500" s="465"/>
      <c r="BC500" s="465"/>
      <c r="BD500" s="465"/>
      <c r="BE500" s="465"/>
    </row>
    <row r="501" spans="5:57" ht="18.899999999999999" customHeight="1">
      <c r="E501" s="465"/>
      <c r="F501" s="465"/>
      <c r="G501" s="465"/>
      <c r="H501" s="465"/>
      <c r="I501" s="465"/>
      <c r="J501" s="465"/>
      <c r="K501" s="465"/>
      <c r="L501" s="465"/>
      <c r="AZ501" s="465"/>
      <c r="BA501" s="465"/>
      <c r="BB501" s="465"/>
      <c r="BC501" s="465"/>
      <c r="BD501" s="465"/>
      <c r="BE501" s="465"/>
    </row>
    <row r="502" spans="5:57" ht="18.899999999999999" customHeight="1">
      <c r="E502" s="465"/>
      <c r="F502" s="465"/>
      <c r="G502" s="465"/>
      <c r="H502" s="465"/>
      <c r="I502" s="465"/>
      <c r="J502" s="465"/>
      <c r="K502" s="465"/>
      <c r="L502" s="465"/>
      <c r="AZ502" s="465"/>
      <c r="BA502" s="465"/>
      <c r="BB502" s="465"/>
      <c r="BC502" s="465"/>
      <c r="BD502" s="465"/>
      <c r="BE502" s="465"/>
    </row>
    <row r="503" spans="5:57" ht="18.899999999999999" customHeight="1">
      <c r="E503" s="465"/>
      <c r="F503" s="465"/>
      <c r="G503" s="465"/>
      <c r="H503" s="465"/>
      <c r="I503" s="465"/>
      <c r="J503" s="465"/>
      <c r="K503" s="465"/>
      <c r="L503" s="465"/>
      <c r="AZ503" s="465"/>
      <c r="BA503" s="465"/>
      <c r="BB503" s="465"/>
      <c r="BC503" s="465"/>
      <c r="BD503" s="465"/>
      <c r="BE503" s="465"/>
    </row>
    <row r="504" spans="5:57" ht="18.899999999999999" customHeight="1">
      <c r="E504" s="465"/>
      <c r="F504" s="465"/>
      <c r="G504" s="465"/>
      <c r="H504" s="465"/>
      <c r="I504" s="465"/>
      <c r="J504" s="465"/>
      <c r="K504" s="465"/>
      <c r="L504" s="465"/>
      <c r="AZ504" s="465"/>
      <c r="BA504" s="465"/>
      <c r="BB504" s="465"/>
      <c r="BC504" s="465"/>
      <c r="BD504" s="465"/>
      <c r="BE504" s="465"/>
    </row>
    <row r="505" spans="5:57" ht="18.899999999999999" customHeight="1">
      <c r="E505" s="465"/>
      <c r="F505" s="465"/>
      <c r="G505" s="465"/>
      <c r="H505" s="465"/>
      <c r="I505" s="465"/>
      <c r="J505" s="465"/>
      <c r="K505" s="465"/>
      <c r="L505" s="465"/>
      <c r="AZ505" s="465"/>
      <c r="BA505" s="465"/>
      <c r="BB505" s="465"/>
      <c r="BC505" s="465"/>
      <c r="BD505" s="465"/>
      <c r="BE505" s="465"/>
    </row>
    <row r="506" spans="5:57" ht="18.899999999999999" customHeight="1">
      <c r="E506" s="465"/>
      <c r="F506" s="465"/>
      <c r="G506" s="465"/>
      <c r="H506" s="465"/>
      <c r="I506" s="465"/>
      <c r="J506" s="465"/>
      <c r="K506" s="465"/>
      <c r="L506" s="465"/>
      <c r="AZ506" s="465"/>
      <c r="BA506" s="465"/>
      <c r="BB506" s="465"/>
      <c r="BC506" s="465"/>
      <c r="BD506" s="465"/>
      <c r="BE506" s="465"/>
    </row>
    <row r="507" spans="5:57" ht="18.899999999999999" customHeight="1">
      <c r="E507" s="465"/>
      <c r="F507" s="465"/>
      <c r="G507" s="465"/>
      <c r="H507" s="465"/>
      <c r="I507" s="465"/>
      <c r="J507" s="465"/>
      <c r="K507" s="465"/>
      <c r="L507" s="465"/>
      <c r="AZ507" s="465"/>
      <c r="BA507" s="465"/>
      <c r="BB507" s="465"/>
      <c r="BC507" s="465"/>
      <c r="BD507" s="465"/>
      <c r="BE507" s="465"/>
    </row>
    <row r="508" spans="5:57" ht="18.899999999999999" customHeight="1">
      <c r="E508" s="465"/>
      <c r="F508" s="465"/>
      <c r="G508" s="465"/>
      <c r="H508" s="465"/>
      <c r="I508" s="465"/>
      <c r="J508" s="465"/>
      <c r="K508" s="465"/>
      <c r="L508" s="465"/>
      <c r="AZ508" s="465"/>
      <c r="BA508" s="465"/>
      <c r="BB508" s="465"/>
      <c r="BC508" s="465"/>
      <c r="BD508" s="465"/>
      <c r="BE508" s="465"/>
    </row>
    <row r="509" spans="5:57" ht="18.899999999999999" customHeight="1">
      <c r="E509" s="465"/>
      <c r="F509" s="465"/>
      <c r="G509" s="465"/>
      <c r="H509" s="465"/>
      <c r="I509" s="465"/>
      <c r="J509" s="465"/>
      <c r="K509" s="465"/>
      <c r="L509" s="465"/>
      <c r="AZ509" s="465"/>
      <c r="BA509" s="465"/>
      <c r="BB509" s="465"/>
      <c r="BC509" s="465"/>
      <c r="BD509" s="465"/>
      <c r="BE509" s="465"/>
    </row>
    <row r="510" spans="5:57" ht="18.899999999999999" customHeight="1">
      <c r="E510" s="465"/>
      <c r="F510" s="465"/>
      <c r="G510" s="465"/>
      <c r="H510" s="465"/>
      <c r="I510" s="465"/>
      <c r="J510" s="465"/>
      <c r="K510" s="465"/>
      <c r="L510" s="465"/>
      <c r="AZ510" s="465"/>
      <c r="BA510" s="465"/>
      <c r="BB510" s="465"/>
      <c r="BC510" s="465"/>
      <c r="BD510" s="465"/>
      <c r="BE510" s="465"/>
    </row>
    <row r="511" spans="5:57" ht="18.899999999999999" customHeight="1">
      <c r="E511" s="465"/>
      <c r="F511" s="465"/>
      <c r="G511" s="465"/>
      <c r="H511" s="465"/>
      <c r="I511" s="465"/>
      <c r="J511" s="465"/>
      <c r="K511" s="465"/>
      <c r="L511" s="465"/>
      <c r="AZ511" s="465"/>
      <c r="BA511" s="465"/>
      <c r="BB511" s="465"/>
      <c r="BC511" s="465"/>
      <c r="BD511" s="465"/>
      <c r="BE511" s="465"/>
    </row>
    <row r="512" spans="5:57" ht="18.899999999999999" customHeight="1">
      <c r="E512" s="465"/>
      <c r="F512" s="465"/>
      <c r="G512" s="465"/>
      <c r="H512" s="465"/>
      <c r="I512" s="465"/>
      <c r="J512" s="465"/>
      <c r="K512" s="465"/>
      <c r="L512" s="465"/>
      <c r="AZ512" s="465"/>
      <c r="BA512" s="465"/>
      <c r="BB512" s="465"/>
      <c r="BC512" s="465"/>
      <c r="BD512" s="465"/>
      <c r="BE512" s="465"/>
    </row>
    <row r="513" spans="5:57" ht="18.899999999999999" customHeight="1">
      <c r="E513" s="465"/>
      <c r="F513" s="465"/>
      <c r="G513" s="465"/>
      <c r="H513" s="465"/>
      <c r="I513" s="465"/>
      <c r="J513" s="465"/>
      <c r="K513" s="465"/>
      <c r="L513" s="465"/>
      <c r="AZ513" s="465"/>
      <c r="BA513" s="465"/>
      <c r="BB513" s="465"/>
      <c r="BC513" s="465"/>
      <c r="BD513" s="465"/>
      <c r="BE513" s="465"/>
    </row>
    <row r="514" spans="5:57" ht="18.899999999999999" customHeight="1">
      <c r="E514" s="465"/>
      <c r="F514" s="465"/>
      <c r="G514" s="465"/>
      <c r="H514" s="465"/>
      <c r="I514" s="465"/>
      <c r="J514" s="465"/>
      <c r="K514" s="465"/>
      <c r="L514" s="465"/>
      <c r="AZ514" s="465"/>
      <c r="BA514" s="465"/>
      <c r="BB514" s="465"/>
      <c r="BC514" s="465"/>
      <c r="BD514" s="465"/>
      <c r="BE514" s="465"/>
    </row>
    <row r="515" spans="5:57" ht="18.899999999999999" customHeight="1">
      <c r="E515" s="465"/>
      <c r="F515" s="465"/>
      <c r="G515" s="465"/>
      <c r="H515" s="465"/>
      <c r="I515" s="465"/>
      <c r="J515" s="465"/>
      <c r="K515" s="465"/>
      <c r="L515" s="465"/>
      <c r="AZ515" s="465"/>
      <c r="BA515" s="465"/>
      <c r="BB515" s="465"/>
      <c r="BC515" s="465"/>
      <c r="BD515" s="465"/>
      <c r="BE515" s="465"/>
    </row>
    <row r="516" spans="5:57" ht="18.899999999999999" customHeight="1">
      <c r="E516" s="465"/>
      <c r="F516" s="465"/>
      <c r="G516" s="465"/>
      <c r="H516" s="465"/>
      <c r="I516" s="465"/>
      <c r="J516" s="465"/>
      <c r="K516" s="465"/>
      <c r="L516" s="465"/>
      <c r="AZ516" s="465"/>
      <c r="BA516" s="465"/>
      <c r="BB516" s="465"/>
      <c r="BC516" s="465"/>
      <c r="BD516" s="465"/>
      <c r="BE516" s="465"/>
    </row>
    <row r="517" spans="5:57" ht="18.899999999999999" customHeight="1">
      <c r="E517" s="465"/>
      <c r="F517" s="465"/>
      <c r="G517" s="465"/>
      <c r="H517" s="465"/>
      <c r="I517" s="465"/>
      <c r="J517" s="465"/>
      <c r="K517" s="465"/>
      <c r="L517" s="465"/>
      <c r="AZ517" s="465"/>
      <c r="BA517" s="465"/>
      <c r="BB517" s="465"/>
      <c r="BC517" s="465"/>
      <c r="BD517" s="465"/>
      <c r="BE517" s="465"/>
    </row>
    <row r="518" spans="5:57" ht="18.899999999999999" customHeight="1">
      <c r="E518" s="465"/>
      <c r="F518" s="465"/>
      <c r="G518" s="465"/>
      <c r="H518" s="465"/>
      <c r="I518" s="465"/>
      <c r="J518" s="465"/>
      <c r="K518" s="465"/>
      <c r="L518" s="465"/>
      <c r="AZ518" s="465"/>
      <c r="BA518" s="465"/>
      <c r="BB518" s="465"/>
      <c r="BC518" s="465"/>
      <c r="BD518" s="465"/>
      <c r="BE518" s="465"/>
    </row>
    <row r="519" spans="5:57" ht="18.899999999999999" customHeight="1">
      <c r="E519" s="465"/>
      <c r="F519" s="465"/>
      <c r="G519" s="465"/>
      <c r="H519" s="465"/>
      <c r="I519" s="465"/>
      <c r="J519" s="465"/>
      <c r="K519" s="465"/>
      <c r="L519" s="465"/>
      <c r="AZ519" s="465"/>
      <c r="BA519" s="465"/>
      <c r="BB519" s="465"/>
      <c r="BC519" s="465"/>
      <c r="BD519" s="465"/>
      <c r="BE519" s="465"/>
    </row>
    <row r="520" spans="5:57" ht="18.899999999999999" customHeight="1">
      <c r="E520" s="465"/>
      <c r="F520" s="465"/>
      <c r="G520" s="465"/>
      <c r="H520" s="465"/>
      <c r="I520" s="465"/>
      <c r="J520" s="465"/>
      <c r="K520" s="465"/>
      <c r="L520" s="465"/>
      <c r="AZ520" s="465"/>
      <c r="BA520" s="465"/>
      <c r="BB520" s="465"/>
      <c r="BC520" s="465"/>
      <c r="BD520" s="465"/>
      <c r="BE520" s="465"/>
    </row>
    <row r="521" spans="5:57" ht="18.899999999999999" customHeight="1">
      <c r="E521" s="465"/>
      <c r="F521" s="465"/>
      <c r="G521" s="465"/>
      <c r="H521" s="465"/>
      <c r="I521" s="465"/>
      <c r="J521" s="465"/>
      <c r="K521" s="465"/>
      <c r="L521" s="465"/>
      <c r="AZ521" s="465"/>
      <c r="BA521" s="465"/>
      <c r="BB521" s="465"/>
      <c r="BC521" s="465"/>
      <c r="BD521" s="465"/>
      <c r="BE521" s="465"/>
    </row>
    <row r="522" spans="5:57" ht="18.899999999999999" customHeight="1">
      <c r="E522" s="465"/>
      <c r="F522" s="465"/>
      <c r="G522" s="465"/>
      <c r="H522" s="465"/>
      <c r="I522" s="465"/>
      <c r="J522" s="465"/>
      <c r="K522" s="465"/>
      <c r="L522" s="465"/>
      <c r="AZ522" s="465"/>
      <c r="BA522" s="465"/>
      <c r="BB522" s="465"/>
      <c r="BC522" s="465"/>
      <c r="BD522" s="465"/>
      <c r="BE522" s="465"/>
    </row>
    <row r="523" spans="5:57" ht="18.899999999999999" customHeight="1">
      <c r="E523" s="465"/>
      <c r="F523" s="465"/>
      <c r="G523" s="465"/>
      <c r="H523" s="465"/>
      <c r="I523" s="465"/>
      <c r="J523" s="465"/>
      <c r="K523" s="465"/>
      <c r="L523" s="465"/>
      <c r="AZ523" s="465"/>
      <c r="BA523" s="465"/>
      <c r="BB523" s="465"/>
      <c r="BC523" s="465"/>
      <c r="BD523" s="465"/>
      <c r="BE523" s="465"/>
    </row>
    <row r="524" spans="5:57" ht="18.899999999999999" customHeight="1">
      <c r="E524" s="465"/>
      <c r="F524" s="465"/>
      <c r="G524" s="465"/>
      <c r="H524" s="465"/>
      <c r="I524" s="465"/>
      <c r="J524" s="465"/>
      <c r="K524" s="465"/>
      <c r="L524" s="465"/>
      <c r="AZ524" s="465"/>
      <c r="BA524" s="465"/>
      <c r="BB524" s="465"/>
      <c r="BC524" s="465"/>
      <c r="BD524" s="465"/>
      <c r="BE524" s="465"/>
    </row>
    <row r="525" spans="5:57" ht="18.899999999999999" customHeight="1">
      <c r="E525" s="465"/>
      <c r="F525" s="465"/>
      <c r="G525" s="465"/>
      <c r="H525" s="465"/>
      <c r="I525" s="465"/>
      <c r="J525" s="465"/>
      <c r="K525" s="465"/>
      <c r="L525" s="465"/>
      <c r="AZ525" s="465"/>
      <c r="BA525" s="465"/>
      <c r="BB525" s="465"/>
      <c r="BC525" s="465"/>
      <c r="BD525" s="465"/>
      <c r="BE525" s="465"/>
    </row>
    <row r="526" spans="5:57" ht="18.899999999999999" customHeight="1">
      <c r="E526" s="465"/>
      <c r="F526" s="465"/>
      <c r="G526" s="465"/>
      <c r="H526" s="465"/>
      <c r="I526" s="465"/>
      <c r="J526" s="465"/>
      <c r="K526" s="465"/>
      <c r="L526" s="465"/>
      <c r="AZ526" s="465"/>
      <c r="BA526" s="465"/>
      <c r="BB526" s="465"/>
      <c r="BC526" s="465"/>
      <c r="BD526" s="465"/>
      <c r="BE526" s="465"/>
    </row>
    <row r="527" spans="5:57" ht="18.899999999999999" customHeight="1">
      <c r="E527" s="465"/>
      <c r="F527" s="465"/>
      <c r="G527" s="465"/>
      <c r="H527" s="465"/>
      <c r="I527" s="465"/>
      <c r="J527" s="465"/>
      <c r="K527" s="465"/>
      <c r="L527" s="465"/>
      <c r="AZ527" s="465"/>
      <c r="BA527" s="465"/>
      <c r="BB527" s="465"/>
      <c r="BC527" s="465"/>
      <c r="BD527" s="465"/>
      <c r="BE527" s="465"/>
    </row>
    <row r="528" spans="5:57" ht="18.899999999999999" customHeight="1">
      <c r="E528" s="465"/>
      <c r="F528" s="465"/>
      <c r="G528" s="465"/>
      <c r="H528" s="465"/>
      <c r="I528" s="465"/>
      <c r="J528" s="465"/>
      <c r="K528" s="465"/>
      <c r="L528" s="465"/>
      <c r="AZ528" s="465"/>
      <c r="BA528" s="465"/>
      <c r="BB528" s="465"/>
      <c r="BC528" s="465"/>
      <c r="BD528" s="465"/>
      <c r="BE528" s="465"/>
    </row>
    <row r="529" spans="5:57" ht="18.899999999999999" customHeight="1">
      <c r="E529" s="465"/>
      <c r="F529" s="465"/>
      <c r="G529" s="465"/>
      <c r="H529" s="465"/>
      <c r="I529" s="465"/>
      <c r="J529" s="465"/>
      <c r="K529" s="465"/>
      <c r="L529" s="465"/>
      <c r="AZ529" s="465"/>
      <c r="BA529" s="465"/>
      <c r="BB529" s="465"/>
      <c r="BC529" s="465"/>
      <c r="BD529" s="465"/>
      <c r="BE529" s="465"/>
    </row>
    <row r="530" spans="5:57" ht="18.899999999999999" customHeight="1">
      <c r="E530" s="465"/>
      <c r="F530" s="465"/>
      <c r="G530" s="465"/>
      <c r="H530" s="465"/>
      <c r="I530" s="465"/>
      <c r="J530" s="465"/>
      <c r="K530" s="465"/>
      <c r="L530" s="465"/>
      <c r="AZ530" s="465"/>
      <c r="BA530" s="465"/>
      <c r="BB530" s="465"/>
      <c r="BC530" s="465"/>
      <c r="BD530" s="465"/>
      <c r="BE530" s="465"/>
    </row>
    <row r="531" spans="5:57" ht="18.899999999999999" customHeight="1">
      <c r="E531" s="465"/>
      <c r="F531" s="465"/>
      <c r="G531" s="465"/>
      <c r="H531" s="465"/>
      <c r="I531" s="465"/>
      <c r="J531" s="465"/>
      <c r="K531" s="465"/>
      <c r="L531" s="465"/>
      <c r="AZ531" s="465"/>
      <c r="BA531" s="465"/>
      <c r="BB531" s="465"/>
      <c r="BC531" s="465"/>
      <c r="BD531" s="465"/>
      <c r="BE531" s="465"/>
    </row>
    <row r="532" spans="5:57" ht="18.899999999999999" customHeight="1">
      <c r="E532" s="465"/>
      <c r="F532" s="465"/>
      <c r="G532" s="465"/>
      <c r="H532" s="465"/>
      <c r="I532" s="465"/>
      <c r="J532" s="465"/>
      <c r="K532" s="465"/>
      <c r="L532" s="465"/>
      <c r="AZ532" s="465"/>
      <c r="BA532" s="465"/>
      <c r="BB532" s="465"/>
      <c r="BC532" s="465"/>
      <c r="BD532" s="465"/>
      <c r="BE532" s="465"/>
    </row>
    <row r="533" spans="5:57" ht="18.899999999999999" customHeight="1">
      <c r="E533" s="465"/>
      <c r="F533" s="465"/>
      <c r="G533" s="465"/>
      <c r="H533" s="465"/>
      <c r="I533" s="465"/>
      <c r="J533" s="465"/>
      <c r="K533" s="465"/>
      <c r="L533" s="465"/>
      <c r="AZ533" s="465"/>
      <c r="BA533" s="465"/>
      <c r="BB533" s="465"/>
      <c r="BC533" s="465"/>
      <c r="BD533" s="465"/>
      <c r="BE533" s="465"/>
    </row>
    <row r="534" spans="5:57" ht="18.899999999999999" customHeight="1">
      <c r="E534" s="465"/>
      <c r="F534" s="465"/>
      <c r="G534" s="465"/>
      <c r="H534" s="465"/>
      <c r="I534" s="465"/>
      <c r="J534" s="465"/>
      <c r="K534" s="465"/>
      <c r="L534" s="465"/>
      <c r="AZ534" s="465"/>
      <c r="BA534" s="465"/>
      <c r="BB534" s="465"/>
      <c r="BC534" s="465"/>
      <c r="BD534" s="465"/>
      <c r="BE534" s="465"/>
    </row>
    <row r="535" spans="5:57" ht="18.899999999999999" customHeight="1">
      <c r="E535" s="465"/>
      <c r="F535" s="465"/>
      <c r="G535" s="465"/>
      <c r="H535" s="465"/>
      <c r="I535" s="465"/>
      <c r="J535" s="465"/>
      <c r="K535" s="465"/>
      <c r="L535" s="465"/>
      <c r="AZ535" s="465"/>
      <c r="BA535" s="465"/>
      <c r="BB535" s="465"/>
      <c r="BC535" s="465"/>
      <c r="BD535" s="465"/>
      <c r="BE535" s="465"/>
    </row>
    <row r="536" spans="5:57" ht="18.899999999999999" customHeight="1">
      <c r="E536" s="465"/>
      <c r="F536" s="465"/>
      <c r="G536" s="465"/>
      <c r="H536" s="465"/>
      <c r="I536" s="465"/>
      <c r="J536" s="465"/>
      <c r="K536" s="465"/>
      <c r="L536" s="465"/>
      <c r="AZ536" s="465"/>
      <c r="BA536" s="465"/>
      <c r="BB536" s="465"/>
      <c r="BC536" s="465"/>
      <c r="BD536" s="465"/>
      <c r="BE536" s="465"/>
    </row>
    <row r="537" spans="5:57" ht="18.899999999999999" customHeight="1">
      <c r="E537" s="465"/>
      <c r="F537" s="465"/>
      <c r="G537" s="465"/>
      <c r="H537" s="465"/>
      <c r="I537" s="465"/>
      <c r="J537" s="465"/>
      <c r="K537" s="465"/>
      <c r="L537" s="465"/>
      <c r="AZ537" s="465"/>
      <c r="BA537" s="465"/>
      <c r="BB537" s="465"/>
      <c r="BC537" s="465"/>
      <c r="BD537" s="465"/>
      <c r="BE537" s="465"/>
    </row>
    <row r="538" spans="5:57" ht="18.899999999999999" customHeight="1">
      <c r="E538" s="465"/>
      <c r="F538" s="465"/>
      <c r="G538" s="465"/>
      <c r="H538" s="465"/>
      <c r="I538" s="465"/>
      <c r="J538" s="465"/>
      <c r="K538" s="465"/>
      <c r="L538" s="465"/>
      <c r="AZ538" s="465"/>
      <c r="BA538" s="465"/>
      <c r="BB538" s="465"/>
      <c r="BC538" s="465"/>
      <c r="BD538" s="465"/>
      <c r="BE538" s="465"/>
    </row>
    <row r="539" spans="5:57" ht="18.899999999999999" customHeight="1">
      <c r="E539" s="465"/>
      <c r="F539" s="465"/>
      <c r="G539" s="465"/>
      <c r="H539" s="465"/>
      <c r="I539" s="465"/>
      <c r="J539" s="465"/>
      <c r="K539" s="465"/>
      <c r="L539" s="465"/>
      <c r="AZ539" s="465"/>
      <c r="BA539" s="465"/>
      <c r="BB539" s="465"/>
      <c r="BC539" s="465"/>
      <c r="BD539" s="465"/>
      <c r="BE539" s="465"/>
    </row>
    <row r="540" spans="5:57" ht="18.899999999999999" customHeight="1">
      <c r="E540" s="465"/>
      <c r="F540" s="465"/>
      <c r="G540" s="465"/>
      <c r="H540" s="465"/>
      <c r="I540" s="465"/>
      <c r="J540" s="465"/>
      <c r="K540" s="465"/>
      <c r="L540" s="465"/>
      <c r="AZ540" s="465"/>
      <c r="BA540" s="465"/>
      <c r="BB540" s="465"/>
      <c r="BC540" s="465"/>
      <c r="BD540" s="465"/>
      <c r="BE540" s="465"/>
    </row>
    <row r="541" spans="5:57" ht="18.899999999999999" customHeight="1">
      <c r="E541" s="465"/>
      <c r="F541" s="465"/>
      <c r="G541" s="465"/>
      <c r="H541" s="465"/>
      <c r="I541" s="465"/>
      <c r="J541" s="465"/>
      <c r="K541" s="465"/>
      <c r="L541" s="465"/>
      <c r="AZ541" s="465"/>
      <c r="BA541" s="465"/>
      <c r="BB541" s="465"/>
      <c r="BC541" s="465"/>
      <c r="BD541" s="465"/>
      <c r="BE541" s="465"/>
    </row>
    <row r="542" spans="5:57" ht="18.899999999999999" customHeight="1">
      <c r="E542" s="465"/>
      <c r="F542" s="465"/>
      <c r="G542" s="465"/>
      <c r="H542" s="465"/>
      <c r="I542" s="465"/>
      <c r="J542" s="465"/>
      <c r="K542" s="465"/>
      <c r="L542" s="465"/>
      <c r="AZ542" s="465"/>
      <c r="BA542" s="465"/>
      <c r="BB542" s="465"/>
      <c r="BC542" s="465"/>
      <c r="BD542" s="465"/>
      <c r="BE542" s="465"/>
    </row>
    <row r="543" spans="5:57" ht="18.899999999999999" customHeight="1">
      <c r="E543" s="465"/>
      <c r="F543" s="465"/>
      <c r="G543" s="465"/>
      <c r="H543" s="465"/>
      <c r="I543" s="465"/>
      <c r="J543" s="465"/>
      <c r="K543" s="465"/>
      <c r="L543" s="465"/>
      <c r="AZ543" s="465"/>
      <c r="BA543" s="465"/>
      <c r="BB543" s="465"/>
      <c r="BC543" s="465"/>
      <c r="BD543" s="465"/>
      <c r="BE543" s="465"/>
    </row>
    <row r="544" spans="5:57" ht="18.899999999999999" customHeight="1">
      <c r="E544" s="465"/>
      <c r="F544" s="465"/>
      <c r="G544" s="465"/>
      <c r="H544" s="465"/>
      <c r="I544" s="465"/>
      <c r="J544" s="465"/>
      <c r="K544" s="465"/>
      <c r="L544" s="465"/>
      <c r="AZ544" s="465"/>
      <c r="BA544" s="465"/>
      <c r="BB544" s="465"/>
      <c r="BC544" s="465"/>
      <c r="BD544" s="465"/>
      <c r="BE544" s="465"/>
    </row>
    <row r="545" spans="5:57" ht="18.899999999999999" customHeight="1">
      <c r="E545" s="465"/>
      <c r="F545" s="465"/>
      <c r="G545" s="465"/>
      <c r="H545" s="465"/>
      <c r="I545" s="465"/>
      <c r="J545" s="465"/>
      <c r="K545" s="465"/>
      <c r="L545" s="465"/>
      <c r="AZ545" s="465"/>
      <c r="BA545" s="465"/>
      <c r="BB545" s="465"/>
      <c r="BC545" s="465"/>
      <c r="BD545" s="465"/>
      <c r="BE545" s="465"/>
    </row>
    <row r="546" spans="5:57" ht="18.899999999999999" customHeight="1">
      <c r="E546" s="465"/>
      <c r="F546" s="465"/>
      <c r="G546" s="465"/>
      <c r="H546" s="465"/>
      <c r="I546" s="465"/>
      <c r="J546" s="465"/>
      <c r="K546" s="465"/>
      <c r="L546" s="465"/>
      <c r="AZ546" s="465"/>
      <c r="BA546" s="465"/>
      <c r="BB546" s="465"/>
      <c r="BC546" s="465"/>
      <c r="BD546" s="465"/>
      <c r="BE546" s="465"/>
    </row>
    <row r="547" spans="5:57" ht="18.899999999999999" customHeight="1">
      <c r="E547" s="465"/>
      <c r="F547" s="465"/>
      <c r="G547" s="465"/>
      <c r="H547" s="465"/>
      <c r="I547" s="465"/>
      <c r="J547" s="465"/>
      <c r="K547" s="465"/>
      <c r="L547" s="465"/>
      <c r="AZ547" s="465"/>
      <c r="BA547" s="465"/>
      <c r="BB547" s="465"/>
      <c r="BC547" s="465"/>
      <c r="BD547" s="465"/>
      <c r="BE547" s="465"/>
    </row>
    <row r="548" spans="5:57" ht="18.899999999999999" customHeight="1">
      <c r="E548" s="465"/>
      <c r="F548" s="465"/>
      <c r="G548" s="465"/>
      <c r="H548" s="465"/>
      <c r="I548" s="465"/>
      <c r="J548" s="465"/>
      <c r="K548" s="465"/>
      <c r="L548" s="465"/>
      <c r="AZ548" s="465"/>
      <c r="BA548" s="465"/>
      <c r="BB548" s="465"/>
      <c r="BC548" s="465"/>
      <c r="BD548" s="465"/>
      <c r="BE548" s="465"/>
    </row>
    <row r="549" spans="5:57" ht="18.899999999999999" customHeight="1">
      <c r="E549" s="465"/>
      <c r="F549" s="465"/>
      <c r="G549" s="465"/>
      <c r="H549" s="465"/>
      <c r="I549" s="465"/>
      <c r="J549" s="465"/>
      <c r="K549" s="465"/>
      <c r="L549" s="465"/>
      <c r="AZ549" s="465"/>
      <c r="BA549" s="465"/>
      <c r="BB549" s="465"/>
      <c r="BC549" s="465"/>
      <c r="BD549" s="465"/>
      <c r="BE549" s="465"/>
    </row>
    <row r="550" spans="5:57" ht="18.899999999999999" customHeight="1">
      <c r="E550" s="465"/>
      <c r="F550" s="465"/>
      <c r="G550" s="465"/>
      <c r="H550" s="465"/>
      <c r="I550" s="465"/>
      <c r="J550" s="465"/>
      <c r="K550" s="465"/>
      <c r="L550" s="465"/>
      <c r="AZ550" s="465"/>
      <c r="BA550" s="465"/>
      <c r="BB550" s="465"/>
      <c r="BC550" s="465"/>
      <c r="BD550" s="465"/>
      <c r="BE550" s="465"/>
    </row>
    <row r="551" spans="5:57" ht="18.899999999999999" customHeight="1">
      <c r="E551" s="465"/>
      <c r="F551" s="465"/>
      <c r="G551" s="465"/>
      <c r="H551" s="465"/>
      <c r="I551" s="465"/>
      <c r="J551" s="465"/>
      <c r="K551" s="465"/>
      <c r="L551" s="465"/>
      <c r="AZ551" s="465"/>
      <c r="BA551" s="465"/>
      <c r="BB551" s="465"/>
      <c r="BC551" s="465"/>
      <c r="BD551" s="465"/>
      <c r="BE551" s="465"/>
    </row>
    <row r="552" spans="5:57" ht="18.899999999999999" customHeight="1">
      <c r="E552" s="465"/>
      <c r="F552" s="465"/>
      <c r="G552" s="465"/>
      <c r="H552" s="465"/>
      <c r="I552" s="465"/>
      <c r="J552" s="465"/>
      <c r="K552" s="465"/>
      <c r="L552" s="465"/>
      <c r="AZ552" s="465"/>
      <c r="BA552" s="465"/>
      <c r="BB552" s="465"/>
      <c r="BC552" s="465"/>
      <c r="BD552" s="465"/>
      <c r="BE552" s="465"/>
    </row>
    <row r="553" spans="5:57" ht="18.899999999999999" customHeight="1">
      <c r="E553" s="465"/>
      <c r="F553" s="465"/>
      <c r="G553" s="465"/>
      <c r="H553" s="465"/>
      <c r="I553" s="465"/>
      <c r="J553" s="465"/>
      <c r="K553" s="465"/>
      <c r="L553" s="465"/>
      <c r="AZ553" s="465"/>
      <c r="BA553" s="465"/>
      <c r="BB553" s="465"/>
      <c r="BC553" s="465"/>
      <c r="BD553" s="465"/>
      <c r="BE553" s="465"/>
    </row>
    <row r="554" spans="5:57" ht="18.899999999999999" customHeight="1">
      <c r="E554" s="465"/>
      <c r="F554" s="465"/>
      <c r="G554" s="465"/>
      <c r="H554" s="465"/>
      <c r="I554" s="465"/>
      <c r="J554" s="465"/>
      <c r="K554" s="465"/>
      <c r="L554" s="465"/>
      <c r="AZ554" s="465"/>
      <c r="BA554" s="465"/>
      <c r="BB554" s="465"/>
      <c r="BC554" s="465"/>
      <c r="BD554" s="465"/>
      <c r="BE554" s="465"/>
    </row>
    <row r="555" spans="5:57" ht="18.899999999999999" customHeight="1">
      <c r="E555" s="465"/>
      <c r="F555" s="465"/>
      <c r="G555" s="465"/>
      <c r="H555" s="465"/>
      <c r="I555" s="465"/>
      <c r="J555" s="465"/>
      <c r="K555" s="465"/>
      <c r="L555" s="465"/>
      <c r="AZ555" s="465"/>
      <c r="BA555" s="465"/>
      <c r="BB555" s="465"/>
      <c r="BC555" s="465"/>
      <c r="BD555" s="465"/>
      <c r="BE555" s="465"/>
    </row>
    <row r="556" spans="5:57" ht="18.899999999999999" customHeight="1">
      <c r="E556" s="465"/>
      <c r="F556" s="465"/>
      <c r="G556" s="465"/>
      <c r="H556" s="465"/>
      <c r="I556" s="465"/>
      <c r="J556" s="465"/>
      <c r="K556" s="465"/>
      <c r="L556" s="465"/>
      <c r="AZ556" s="465"/>
      <c r="BA556" s="465"/>
      <c r="BB556" s="465"/>
      <c r="BC556" s="465"/>
      <c r="BD556" s="465"/>
      <c r="BE556" s="465"/>
    </row>
    <row r="557" spans="5:57" ht="18.899999999999999" customHeight="1">
      <c r="E557" s="465"/>
      <c r="F557" s="465"/>
      <c r="G557" s="465"/>
      <c r="H557" s="465"/>
      <c r="I557" s="465"/>
      <c r="J557" s="465"/>
      <c r="K557" s="465"/>
      <c r="L557" s="465"/>
      <c r="AZ557" s="465"/>
      <c r="BA557" s="465"/>
      <c r="BB557" s="465"/>
      <c r="BC557" s="465"/>
      <c r="BD557" s="465"/>
      <c r="BE557" s="465"/>
    </row>
    <row r="558" spans="5:57" ht="18.899999999999999" customHeight="1">
      <c r="E558" s="465"/>
      <c r="F558" s="465"/>
      <c r="G558" s="465"/>
      <c r="H558" s="465"/>
      <c r="I558" s="465"/>
      <c r="J558" s="465"/>
      <c r="K558" s="465"/>
      <c r="L558" s="465"/>
      <c r="AZ558" s="465"/>
      <c r="BA558" s="465"/>
      <c r="BB558" s="465"/>
      <c r="BC558" s="465"/>
      <c r="BD558" s="465"/>
      <c r="BE558" s="465"/>
    </row>
    <row r="559" spans="5:57" ht="18.899999999999999" customHeight="1">
      <c r="E559" s="465"/>
      <c r="F559" s="465"/>
      <c r="G559" s="465"/>
      <c r="H559" s="465"/>
      <c r="I559" s="465"/>
      <c r="J559" s="465"/>
      <c r="K559" s="465"/>
      <c r="L559" s="465"/>
      <c r="AZ559" s="465"/>
      <c r="BA559" s="465"/>
      <c r="BB559" s="465"/>
      <c r="BC559" s="465"/>
      <c r="BD559" s="465"/>
      <c r="BE559" s="465"/>
    </row>
    <row r="560" spans="5:57" ht="18.899999999999999" customHeight="1">
      <c r="E560" s="465"/>
      <c r="F560" s="465"/>
      <c r="G560" s="465"/>
      <c r="H560" s="465"/>
      <c r="I560" s="465"/>
      <c r="J560" s="465"/>
      <c r="K560" s="465"/>
      <c r="L560" s="465"/>
      <c r="AZ560" s="465"/>
      <c r="BA560" s="465"/>
      <c r="BB560" s="465"/>
      <c r="BC560" s="465"/>
      <c r="BD560" s="465"/>
      <c r="BE560" s="465"/>
    </row>
    <row r="561" spans="5:57" ht="18.899999999999999" customHeight="1">
      <c r="E561" s="465"/>
      <c r="F561" s="465"/>
      <c r="G561" s="465"/>
      <c r="H561" s="465"/>
      <c r="I561" s="465"/>
      <c r="J561" s="465"/>
      <c r="K561" s="465"/>
      <c r="L561" s="465"/>
      <c r="AZ561" s="465"/>
      <c r="BA561" s="465"/>
      <c r="BB561" s="465"/>
      <c r="BC561" s="465"/>
      <c r="BD561" s="465"/>
      <c r="BE561" s="465"/>
    </row>
    <row r="562" spans="5:57" ht="18.899999999999999" customHeight="1">
      <c r="E562" s="465"/>
      <c r="F562" s="465"/>
      <c r="G562" s="465"/>
      <c r="H562" s="465"/>
      <c r="I562" s="465"/>
      <c r="J562" s="465"/>
      <c r="K562" s="465"/>
      <c r="L562" s="465"/>
      <c r="AZ562" s="465"/>
      <c r="BA562" s="465"/>
      <c r="BB562" s="465"/>
      <c r="BC562" s="465"/>
      <c r="BD562" s="465"/>
      <c r="BE562" s="465"/>
    </row>
    <row r="563" spans="5:57" ht="18.899999999999999" customHeight="1">
      <c r="E563" s="465"/>
      <c r="F563" s="465"/>
      <c r="G563" s="465"/>
      <c r="H563" s="465"/>
      <c r="I563" s="465"/>
      <c r="J563" s="465"/>
      <c r="K563" s="465"/>
      <c r="L563" s="465"/>
      <c r="AZ563" s="465"/>
      <c r="BA563" s="465"/>
      <c r="BB563" s="465"/>
      <c r="BC563" s="465"/>
      <c r="BD563" s="465"/>
      <c r="BE563" s="465"/>
    </row>
    <row r="564" spans="5:57" ht="18.899999999999999" customHeight="1">
      <c r="E564" s="465"/>
      <c r="F564" s="465"/>
      <c r="G564" s="465"/>
      <c r="H564" s="465"/>
      <c r="I564" s="465"/>
      <c r="J564" s="465"/>
      <c r="K564" s="465"/>
      <c r="L564" s="465"/>
      <c r="AZ564" s="465"/>
      <c r="BA564" s="465"/>
      <c r="BB564" s="465"/>
      <c r="BC564" s="465"/>
      <c r="BD564" s="465"/>
      <c r="BE564" s="465"/>
    </row>
    <row r="565" spans="5:57" ht="18.899999999999999" customHeight="1">
      <c r="E565" s="465"/>
      <c r="F565" s="465"/>
      <c r="G565" s="465"/>
      <c r="H565" s="465"/>
      <c r="I565" s="465"/>
      <c r="J565" s="465"/>
      <c r="K565" s="465"/>
      <c r="L565" s="465"/>
      <c r="AZ565" s="465"/>
      <c r="BA565" s="465"/>
      <c r="BB565" s="465"/>
      <c r="BC565" s="465"/>
      <c r="BD565" s="465"/>
      <c r="BE565" s="465"/>
    </row>
    <row r="566" spans="5:57" ht="18.899999999999999" customHeight="1">
      <c r="E566" s="465"/>
      <c r="F566" s="465"/>
      <c r="G566" s="465"/>
      <c r="H566" s="465"/>
      <c r="I566" s="465"/>
      <c r="J566" s="465"/>
      <c r="K566" s="465"/>
      <c r="L566" s="465"/>
      <c r="AZ566" s="465"/>
      <c r="BA566" s="465"/>
      <c r="BB566" s="465"/>
      <c r="BC566" s="465"/>
      <c r="BD566" s="465"/>
      <c r="BE566" s="465"/>
    </row>
    <row r="567" spans="5:57" ht="18.899999999999999" customHeight="1">
      <c r="E567" s="465"/>
      <c r="F567" s="465"/>
      <c r="G567" s="465"/>
      <c r="H567" s="465"/>
      <c r="I567" s="465"/>
      <c r="J567" s="465"/>
      <c r="K567" s="465"/>
      <c r="L567" s="465"/>
      <c r="AZ567" s="465"/>
      <c r="BA567" s="465"/>
      <c r="BB567" s="465"/>
      <c r="BC567" s="465"/>
      <c r="BD567" s="465"/>
      <c r="BE567" s="465"/>
    </row>
    <row r="568" spans="5:57" ht="18.899999999999999" customHeight="1">
      <c r="E568" s="465"/>
      <c r="F568" s="465"/>
      <c r="G568" s="465"/>
      <c r="H568" s="465"/>
      <c r="I568" s="465"/>
      <c r="J568" s="465"/>
      <c r="K568" s="465"/>
      <c r="L568" s="465"/>
      <c r="AZ568" s="465"/>
      <c r="BA568" s="465"/>
      <c r="BB568" s="465"/>
      <c r="BC568" s="465"/>
      <c r="BD568" s="465"/>
      <c r="BE568" s="465"/>
    </row>
    <row r="569" spans="5:57" ht="18.899999999999999" customHeight="1">
      <c r="E569" s="465"/>
      <c r="F569" s="465"/>
      <c r="G569" s="465"/>
      <c r="H569" s="465"/>
      <c r="I569" s="465"/>
      <c r="J569" s="465"/>
      <c r="K569" s="465"/>
      <c r="L569" s="465"/>
      <c r="AZ569" s="465"/>
      <c r="BA569" s="465"/>
      <c r="BB569" s="465"/>
      <c r="BC569" s="465"/>
      <c r="BD569" s="465"/>
      <c r="BE569" s="465"/>
    </row>
    <row r="570" spans="5:57" ht="18.899999999999999" customHeight="1">
      <c r="E570" s="465"/>
      <c r="F570" s="465"/>
      <c r="G570" s="465"/>
      <c r="H570" s="465"/>
      <c r="I570" s="465"/>
      <c r="J570" s="465"/>
      <c r="K570" s="465"/>
      <c r="L570" s="465"/>
      <c r="AZ570" s="465"/>
      <c r="BA570" s="465"/>
      <c r="BB570" s="465"/>
      <c r="BC570" s="465"/>
      <c r="BD570" s="465"/>
      <c r="BE570" s="465"/>
    </row>
    <row r="571" spans="5:57" ht="18.899999999999999" customHeight="1">
      <c r="E571" s="465"/>
      <c r="F571" s="465"/>
      <c r="G571" s="465"/>
      <c r="H571" s="465"/>
      <c r="I571" s="465"/>
      <c r="J571" s="465"/>
      <c r="K571" s="465"/>
      <c r="L571" s="465"/>
      <c r="AZ571" s="465"/>
      <c r="BA571" s="465"/>
      <c r="BB571" s="465"/>
      <c r="BC571" s="465"/>
      <c r="BD571" s="465"/>
      <c r="BE571" s="465"/>
    </row>
    <row r="572" spans="5:57" ht="18.899999999999999" customHeight="1">
      <c r="E572" s="465"/>
      <c r="F572" s="465"/>
      <c r="G572" s="465"/>
      <c r="H572" s="465"/>
      <c r="I572" s="465"/>
      <c r="J572" s="465"/>
      <c r="K572" s="465"/>
      <c r="L572" s="465"/>
      <c r="AZ572" s="465"/>
      <c r="BA572" s="465"/>
      <c r="BB572" s="465"/>
      <c r="BC572" s="465"/>
      <c r="BD572" s="465"/>
      <c r="BE572" s="465"/>
    </row>
    <row r="573" spans="5:57" ht="18.899999999999999" customHeight="1">
      <c r="E573" s="465"/>
      <c r="F573" s="465"/>
      <c r="G573" s="465"/>
      <c r="H573" s="465"/>
      <c r="I573" s="465"/>
      <c r="J573" s="465"/>
      <c r="K573" s="465"/>
      <c r="L573" s="465"/>
      <c r="AZ573" s="465"/>
      <c r="BA573" s="465"/>
      <c r="BB573" s="465"/>
      <c r="BC573" s="465"/>
      <c r="BD573" s="465"/>
      <c r="BE573" s="465"/>
    </row>
    <row r="574" spans="5:57" ht="18.899999999999999" customHeight="1">
      <c r="E574" s="465"/>
      <c r="F574" s="465"/>
      <c r="G574" s="465"/>
      <c r="H574" s="465"/>
      <c r="I574" s="465"/>
      <c r="J574" s="465"/>
      <c r="K574" s="465"/>
      <c r="L574" s="465"/>
      <c r="AZ574" s="465"/>
      <c r="BA574" s="465"/>
      <c r="BB574" s="465"/>
      <c r="BC574" s="465"/>
      <c r="BD574" s="465"/>
      <c r="BE574" s="465"/>
    </row>
    <row r="575" spans="5:57" ht="18.899999999999999" customHeight="1">
      <c r="E575" s="465"/>
      <c r="F575" s="465"/>
      <c r="G575" s="465"/>
      <c r="H575" s="465"/>
      <c r="I575" s="465"/>
      <c r="J575" s="465"/>
      <c r="K575" s="465"/>
      <c r="L575" s="465"/>
      <c r="AZ575" s="465"/>
      <c r="BA575" s="465"/>
      <c r="BB575" s="465"/>
      <c r="BC575" s="465"/>
      <c r="BD575" s="465"/>
      <c r="BE575" s="465"/>
    </row>
    <row r="576" spans="5:57" ht="18.899999999999999" customHeight="1">
      <c r="E576" s="465"/>
      <c r="F576" s="465"/>
      <c r="G576" s="465"/>
      <c r="H576" s="465"/>
      <c r="I576" s="465"/>
      <c r="J576" s="465"/>
      <c r="K576" s="465"/>
      <c r="L576" s="465"/>
      <c r="AZ576" s="465"/>
      <c r="BA576" s="465"/>
      <c r="BB576" s="465"/>
      <c r="BC576" s="465"/>
      <c r="BD576" s="465"/>
      <c r="BE576" s="465"/>
    </row>
    <row r="577" spans="5:57" ht="18.899999999999999" customHeight="1">
      <c r="E577" s="465"/>
      <c r="F577" s="465"/>
      <c r="G577" s="465"/>
      <c r="H577" s="465"/>
      <c r="I577" s="465"/>
      <c r="J577" s="465"/>
      <c r="K577" s="465"/>
      <c r="L577" s="465"/>
      <c r="AZ577" s="465"/>
      <c r="BA577" s="465"/>
      <c r="BB577" s="465"/>
      <c r="BC577" s="465"/>
      <c r="BD577" s="465"/>
      <c r="BE577" s="465"/>
    </row>
    <row r="578" spans="5:57" ht="18.899999999999999" customHeight="1">
      <c r="E578" s="465"/>
      <c r="F578" s="465"/>
      <c r="G578" s="465"/>
      <c r="H578" s="465"/>
      <c r="I578" s="465"/>
      <c r="J578" s="465"/>
      <c r="K578" s="465"/>
      <c r="L578" s="465"/>
      <c r="AZ578" s="465"/>
      <c r="BA578" s="465"/>
      <c r="BB578" s="465"/>
      <c r="BC578" s="465"/>
      <c r="BD578" s="465"/>
      <c r="BE578" s="465"/>
    </row>
    <row r="579" spans="5:57" ht="18.899999999999999" customHeight="1">
      <c r="E579" s="465"/>
      <c r="F579" s="465"/>
      <c r="G579" s="465"/>
      <c r="H579" s="465"/>
      <c r="I579" s="465"/>
      <c r="J579" s="465"/>
      <c r="K579" s="465"/>
      <c r="L579" s="465"/>
      <c r="AZ579" s="465"/>
      <c r="BA579" s="465"/>
      <c r="BB579" s="465"/>
      <c r="BC579" s="465"/>
      <c r="BD579" s="465"/>
      <c r="BE579" s="465"/>
    </row>
    <row r="580" spans="5:57" ht="18.899999999999999" customHeight="1">
      <c r="E580" s="465"/>
      <c r="F580" s="465"/>
      <c r="G580" s="465"/>
      <c r="H580" s="465"/>
      <c r="I580" s="465"/>
      <c r="J580" s="465"/>
      <c r="K580" s="465"/>
      <c r="L580" s="465"/>
      <c r="AZ580" s="465"/>
      <c r="BA580" s="465"/>
      <c r="BB580" s="465"/>
      <c r="BC580" s="465"/>
      <c r="BD580" s="465"/>
      <c r="BE580" s="465"/>
    </row>
    <row r="581" spans="5:57" ht="18.899999999999999" customHeight="1">
      <c r="E581" s="465"/>
      <c r="F581" s="465"/>
      <c r="G581" s="465"/>
      <c r="H581" s="465"/>
      <c r="I581" s="465"/>
      <c r="J581" s="465"/>
      <c r="K581" s="465"/>
      <c r="L581" s="465"/>
      <c r="AZ581" s="465"/>
      <c r="BA581" s="465"/>
      <c r="BB581" s="465"/>
      <c r="BC581" s="465"/>
      <c r="BD581" s="465"/>
      <c r="BE581" s="465"/>
    </row>
    <row r="582" spans="5:57" ht="18.899999999999999" customHeight="1">
      <c r="E582" s="465"/>
      <c r="F582" s="465"/>
      <c r="G582" s="465"/>
      <c r="H582" s="465"/>
      <c r="I582" s="465"/>
      <c r="J582" s="465"/>
      <c r="K582" s="465"/>
      <c r="L582" s="465"/>
      <c r="AZ582" s="465"/>
      <c r="BA582" s="465"/>
      <c r="BB582" s="465"/>
      <c r="BC582" s="465"/>
      <c r="BD582" s="465"/>
      <c r="BE582" s="465"/>
    </row>
    <row r="583" spans="5:57" ht="18.899999999999999" customHeight="1">
      <c r="E583" s="465"/>
      <c r="F583" s="465"/>
      <c r="G583" s="465"/>
      <c r="H583" s="465"/>
      <c r="I583" s="465"/>
      <c r="J583" s="465"/>
      <c r="K583" s="465"/>
      <c r="L583" s="465"/>
      <c r="AZ583" s="465"/>
      <c r="BA583" s="465"/>
      <c r="BB583" s="465"/>
      <c r="BC583" s="465"/>
      <c r="BD583" s="465"/>
      <c r="BE583" s="465"/>
    </row>
    <row r="584" spans="5:57" ht="18.899999999999999" customHeight="1">
      <c r="E584" s="465"/>
      <c r="F584" s="465"/>
      <c r="G584" s="465"/>
      <c r="H584" s="465"/>
      <c r="I584" s="465"/>
      <c r="J584" s="465"/>
      <c r="K584" s="465"/>
      <c r="L584" s="465"/>
      <c r="AZ584" s="465"/>
      <c r="BA584" s="465"/>
      <c r="BB584" s="465"/>
      <c r="BC584" s="465"/>
      <c r="BD584" s="465"/>
      <c r="BE584" s="465"/>
    </row>
    <row r="585" spans="5:57" ht="18.899999999999999" customHeight="1">
      <c r="E585" s="465"/>
      <c r="F585" s="465"/>
      <c r="G585" s="465"/>
      <c r="H585" s="465"/>
      <c r="I585" s="465"/>
      <c r="J585" s="465"/>
      <c r="K585" s="465"/>
      <c r="L585" s="465"/>
      <c r="AZ585" s="465"/>
      <c r="BA585" s="465"/>
      <c r="BB585" s="465"/>
      <c r="BC585" s="465"/>
      <c r="BD585" s="465"/>
      <c r="BE585" s="465"/>
    </row>
    <row r="586" spans="5:57" ht="18.899999999999999" customHeight="1">
      <c r="E586" s="465"/>
      <c r="F586" s="465"/>
      <c r="G586" s="465"/>
      <c r="H586" s="465"/>
      <c r="I586" s="465"/>
      <c r="J586" s="465"/>
      <c r="K586" s="465"/>
      <c r="L586" s="465"/>
      <c r="AZ586" s="465"/>
      <c r="BA586" s="465"/>
      <c r="BB586" s="465"/>
      <c r="BC586" s="465"/>
      <c r="BD586" s="465"/>
      <c r="BE586" s="465"/>
    </row>
    <row r="587" spans="5:57" ht="18.899999999999999" customHeight="1">
      <c r="E587" s="465"/>
      <c r="F587" s="465"/>
      <c r="G587" s="465"/>
      <c r="H587" s="465"/>
      <c r="I587" s="465"/>
      <c r="J587" s="465"/>
      <c r="K587" s="465"/>
      <c r="L587" s="465"/>
      <c r="AZ587" s="465"/>
      <c r="BA587" s="465"/>
      <c r="BB587" s="465"/>
      <c r="BC587" s="465"/>
      <c r="BD587" s="465"/>
      <c r="BE587" s="465"/>
    </row>
    <row r="588" spans="5:57" ht="18.899999999999999" customHeight="1">
      <c r="E588" s="465"/>
      <c r="F588" s="465"/>
      <c r="G588" s="465"/>
      <c r="H588" s="465"/>
      <c r="I588" s="465"/>
      <c r="J588" s="465"/>
      <c r="K588" s="465"/>
      <c r="L588" s="465"/>
      <c r="AZ588" s="465"/>
      <c r="BA588" s="465"/>
      <c r="BB588" s="465"/>
      <c r="BC588" s="465"/>
      <c r="BD588" s="465"/>
      <c r="BE588" s="465"/>
    </row>
    <row r="589" spans="5:57" ht="18.899999999999999" customHeight="1">
      <c r="E589" s="465"/>
      <c r="F589" s="465"/>
      <c r="G589" s="465"/>
      <c r="H589" s="465"/>
      <c r="I589" s="465"/>
      <c r="J589" s="465"/>
      <c r="K589" s="465"/>
      <c r="L589" s="465"/>
      <c r="AZ589" s="465"/>
      <c r="BA589" s="465"/>
      <c r="BB589" s="465"/>
      <c r="BC589" s="465"/>
      <c r="BD589" s="465"/>
      <c r="BE589" s="465"/>
    </row>
    <row r="590" spans="5:57" ht="18.899999999999999" customHeight="1">
      <c r="E590" s="465"/>
      <c r="F590" s="465"/>
      <c r="G590" s="465"/>
      <c r="H590" s="465"/>
      <c r="I590" s="465"/>
      <c r="J590" s="465"/>
      <c r="K590" s="465"/>
      <c r="L590" s="465"/>
      <c r="AZ590" s="465"/>
      <c r="BA590" s="465"/>
      <c r="BB590" s="465"/>
      <c r="BC590" s="465"/>
      <c r="BD590" s="465"/>
      <c r="BE590" s="465"/>
    </row>
    <row r="591" spans="5:57" ht="18.899999999999999" customHeight="1">
      <c r="E591" s="465"/>
      <c r="F591" s="465"/>
      <c r="G591" s="465"/>
      <c r="H591" s="465"/>
      <c r="I591" s="465"/>
      <c r="J591" s="465"/>
      <c r="K591" s="465"/>
      <c r="L591" s="465"/>
      <c r="AZ591" s="465"/>
      <c r="BA591" s="465"/>
      <c r="BB591" s="465"/>
      <c r="BC591" s="465"/>
      <c r="BD591" s="465"/>
      <c r="BE591" s="465"/>
    </row>
  </sheetData>
  <mergeCells count="76">
    <mergeCell ref="EN4:EN5"/>
    <mergeCell ref="EJ4:EJ5"/>
    <mergeCell ref="EK4:EK5"/>
    <mergeCell ref="EO4:EO5"/>
    <mergeCell ref="EI4:EI5"/>
    <mergeCell ref="EM4:EM5"/>
    <mergeCell ref="EL4:EL5"/>
    <mergeCell ref="CF4:CF5"/>
    <mergeCell ref="CG4:CG5"/>
    <mergeCell ref="AZ4:BL4"/>
    <mergeCell ref="BZ4:BZ5"/>
    <mergeCell ref="CB4:CB5"/>
    <mergeCell ref="CD4:CD5"/>
    <mergeCell ref="CE4:CE5"/>
    <mergeCell ref="BY4:BY5"/>
    <mergeCell ref="A4:A5"/>
    <mergeCell ref="B4:B5"/>
    <mergeCell ref="C4:C5"/>
    <mergeCell ref="CC4:CC5"/>
    <mergeCell ref="CA4:CA5"/>
    <mergeCell ref="BM4:BX4"/>
    <mergeCell ref="CH4:DI4"/>
    <mergeCell ref="DR4:DR5"/>
    <mergeCell ref="DO4:DO5"/>
    <mergeCell ref="DL4:DL5"/>
    <mergeCell ref="DN4:DN5"/>
    <mergeCell ref="DM4:DM5"/>
    <mergeCell ref="DQ4:DQ5"/>
    <mergeCell ref="DP4:DP5"/>
    <mergeCell ref="DK4:DK5"/>
    <mergeCell ref="DJ4:DJ5"/>
    <mergeCell ref="DX4:DX5"/>
    <mergeCell ref="DW4:DW5"/>
    <mergeCell ref="EF4:EF5"/>
    <mergeCell ref="ED4:ED5"/>
    <mergeCell ref="EH4:EH5"/>
    <mergeCell ref="EG4:EG5"/>
    <mergeCell ref="X29:Y29"/>
    <mergeCell ref="D4:D5"/>
    <mergeCell ref="M4:AY4"/>
    <mergeCell ref="X27:Y27"/>
    <mergeCell ref="GV4:GV5"/>
    <mergeCell ref="FK4:FK5"/>
    <mergeCell ref="FH4:FH5"/>
    <mergeCell ref="FI4:FI5"/>
    <mergeCell ref="FJ4:FJ5"/>
    <mergeCell ref="GU4:GU5"/>
    <mergeCell ref="EP4:EP5"/>
    <mergeCell ref="EQ4:EQ5"/>
    <mergeCell ref="EW4:EW5"/>
    <mergeCell ref="EU4:EU5"/>
    <mergeCell ref="EV4:EV5"/>
    <mergeCell ref="ET4:ET5"/>
    <mergeCell ref="FL4:FL5"/>
    <mergeCell ref="EA4:EA5"/>
    <mergeCell ref="DS4:DS5"/>
    <mergeCell ref="FB4:FB5"/>
    <mergeCell ref="EE4:EE5"/>
    <mergeCell ref="EB4:EB5"/>
    <mergeCell ref="EC4:EC5"/>
    <mergeCell ref="DU4:DU5"/>
    <mergeCell ref="ER4:ER5"/>
    <mergeCell ref="DZ4:DZ5"/>
    <mergeCell ref="ES4:ES5"/>
    <mergeCell ref="EX4:EX5"/>
    <mergeCell ref="FC4:FC5"/>
    <mergeCell ref="DT4:DT5"/>
    <mergeCell ref="DV4:DV5"/>
    <mergeCell ref="DY4:DY5"/>
    <mergeCell ref="EY4:EY5"/>
    <mergeCell ref="FA4:FA5"/>
    <mergeCell ref="FG4:FG5"/>
    <mergeCell ref="FD4:FD5"/>
    <mergeCell ref="FE4:FE5"/>
    <mergeCell ref="FF4:FF5"/>
    <mergeCell ref="EZ4:EZ5"/>
  </mergeCells>
  <phoneticPr fontId="0" type="noConversion"/>
  <printOptions horizontalCentered="1"/>
  <pageMargins left="1" right="0.25" top="0.75" bottom="0.75" header="0.5" footer="0.5"/>
  <pageSetup paperSize="8" orientation="landscape" blackAndWhite="1" useFirstPageNumber="1" r:id="rId1"/>
  <headerFooter alignWithMargins="0">
    <oddFooter>&amp;CBaûng keâ truï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9"/>
  <dimension ref="A3:FB189"/>
  <sheetViews>
    <sheetView showGridLines="0" showZeros="0" zoomScale="120" workbookViewId="0">
      <selection activeCell="S34" sqref="S34"/>
    </sheetView>
  </sheetViews>
  <sheetFormatPr defaultColWidth="9.109375" defaultRowHeight="18.899999999999999" customHeight="1"/>
  <cols>
    <col min="1" max="1" width="14.44140625" style="2174" customWidth="1"/>
    <col min="2" max="2" width="5.109375" style="2174" customWidth="1"/>
    <col min="3" max="3" width="7.88671875" style="2289" customWidth="1"/>
    <col min="4" max="5" width="4.88671875" style="2289" customWidth="1"/>
    <col min="6" max="6" width="5.5546875" style="2289" bestFit="1" customWidth="1"/>
    <col min="7" max="7" width="4.88671875" style="2289" customWidth="1"/>
    <col min="8" max="8" width="3.88671875" style="2289" customWidth="1"/>
    <col min="9" max="10" width="3.88671875" style="2174" customWidth="1"/>
    <col min="11" max="11" width="17.5546875" style="2197" customWidth="1"/>
    <col min="12" max="16" width="5.5546875" style="2174" customWidth="1"/>
    <col min="17" max="17" width="3.88671875" style="2197" bestFit="1" customWidth="1"/>
    <col min="18" max="29" width="3.88671875" style="2197" customWidth="1"/>
    <col min="30" max="30" width="3.88671875" style="2197" bestFit="1" customWidth="1"/>
    <col min="31" max="34" width="3.88671875" style="2197" customWidth="1"/>
    <col min="35" max="35" width="3.88671875" style="2197" bestFit="1" customWidth="1"/>
    <col min="36" max="44" width="3.88671875" style="2197" customWidth="1"/>
    <col min="45" max="45" width="3.88671875" style="2174" bestFit="1" customWidth="1"/>
    <col min="46" max="52" width="3.88671875" style="2174" customWidth="1"/>
    <col min="53" max="53" width="3.88671875" style="2174" bestFit="1" customWidth="1"/>
    <col min="54" max="56" width="3.88671875" style="2174" customWidth="1"/>
    <col min="57" max="57" width="3.88671875" style="2174" bestFit="1" customWidth="1"/>
    <col min="58" max="58" width="3.88671875" style="2197" bestFit="1" customWidth="1"/>
    <col min="59" max="59" width="5.5546875" style="2197" bestFit="1" customWidth="1"/>
    <col min="60" max="69" width="3.88671875" style="2197" customWidth="1"/>
    <col min="70" max="70" width="3.88671875" style="2197" bestFit="1" customWidth="1"/>
    <col min="71" max="72" width="3.88671875" style="2174" customWidth="1"/>
    <col min="73" max="75" width="3.88671875" style="2174" bestFit="1" customWidth="1"/>
    <col min="76" max="76" width="3.88671875" style="2197" bestFit="1" customWidth="1"/>
    <col min="77" max="78" width="3.88671875" style="2197" customWidth="1"/>
    <col min="79" max="80" width="3.88671875" style="2197" bestFit="1" customWidth="1"/>
    <col min="81" max="87" width="3.88671875" style="2197" customWidth="1"/>
    <col min="88" max="88" width="3.88671875" style="2197" bestFit="1" customWidth="1"/>
    <col min="89" max="96" width="3.5546875" style="2197" customWidth="1"/>
    <col min="97" max="97" width="4.6640625" style="2290" customWidth="1"/>
    <col min="98" max="98" width="4.44140625" style="2290" customWidth="1"/>
    <col min="99" max="99" width="4.6640625" style="2290" customWidth="1"/>
    <col min="100" max="100" width="5" style="2290" customWidth="1"/>
    <col min="101" max="102" width="4.6640625" style="2290" customWidth="1"/>
    <col min="103" max="103" width="5" style="2290" customWidth="1"/>
    <col min="104" max="104" width="3.88671875" style="2290" bestFit="1" customWidth="1"/>
    <col min="105" max="106" width="3.88671875" style="2290" customWidth="1"/>
    <col min="107" max="107" width="3.88671875" style="2290" bestFit="1" customWidth="1"/>
    <col min="108" max="110" width="3.88671875" style="2291" customWidth="1"/>
    <col min="111" max="111" width="5.33203125" style="2291" customWidth="1"/>
    <col min="112" max="112" width="3.88671875" style="2291" customWidth="1"/>
    <col min="113" max="120" width="5.44140625" style="2291" customWidth="1"/>
    <col min="121" max="121" width="3.88671875" style="2291" customWidth="1"/>
    <col min="122" max="122" width="3.88671875" style="2291" bestFit="1" customWidth="1"/>
    <col min="123" max="126" width="3.88671875" style="2291" customWidth="1"/>
    <col min="127" max="127" width="3.88671875" style="2291" bestFit="1" customWidth="1"/>
    <col min="128" max="128" width="3.88671875" style="2291" customWidth="1"/>
    <col min="129" max="129" width="3.88671875" style="2291" bestFit="1" customWidth="1"/>
    <col min="130" max="135" width="3.88671875" style="2291" customWidth="1"/>
    <col min="136" max="136" width="3.88671875" style="2290" customWidth="1"/>
    <col min="137" max="137" width="9.88671875" style="2290" customWidth="1"/>
    <col min="138" max="138" width="3.88671875" style="2250" bestFit="1" customWidth="1"/>
    <col min="139" max="139" width="2.33203125" style="2174" bestFit="1" customWidth="1"/>
    <col min="140" max="140" width="7.44140625" style="2174" bestFit="1" customWidth="1"/>
    <col min="141" max="141" width="8.44140625" style="2174" bestFit="1" customWidth="1"/>
    <col min="142" max="142" width="7.44140625" style="2174" bestFit="1" customWidth="1"/>
    <col min="143" max="146" width="8.5546875" style="2174" bestFit="1" customWidth="1"/>
    <col min="147" max="158" width="9.109375" style="2174" customWidth="1"/>
    <col min="159" max="16384" width="9.109375" style="2174"/>
  </cols>
  <sheetData>
    <row r="3" spans="1:158" s="2155" customFormat="1" ht="17.399999999999999">
      <c r="A3" s="2153" t="s">
        <v>5881</v>
      </c>
      <c r="B3" s="2024"/>
      <c r="C3" s="2154"/>
      <c r="D3" s="2154"/>
      <c r="E3" s="2154"/>
      <c r="F3" s="2154"/>
      <c r="G3" s="2154"/>
      <c r="H3" s="2154"/>
      <c r="I3" s="2024"/>
      <c r="J3" s="2024"/>
      <c r="K3" s="2026"/>
      <c r="L3" s="2024"/>
      <c r="M3" s="2027"/>
      <c r="N3" s="2027"/>
      <c r="O3" s="2027"/>
      <c r="P3" s="2027"/>
      <c r="Q3" s="2028"/>
      <c r="R3" s="2028"/>
      <c r="S3" s="2028"/>
      <c r="T3" s="2028"/>
      <c r="U3" s="2028"/>
      <c r="V3" s="2028"/>
      <c r="W3" s="2028"/>
      <c r="X3" s="2028"/>
      <c r="Y3" s="2028"/>
      <c r="Z3" s="2028"/>
      <c r="AA3" s="2028"/>
      <c r="AB3" s="2028"/>
      <c r="AC3" s="2028"/>
      <c r="AD3" s="2028"/>
      <c r="AE3" s="2028"/>
      <c r="AF3" s="2028"/>
      <c r="AG3" s="2028"/>
      <c r="AH3" s="2028"/>
      <c r="AI3" s="2028"/>
      <c r="AJ3" s="2028"/>
      <c r="AK3" s="2028"/>
      <c r="AL3" s="2028"/>
      <c r="AM3" s="2028"/>
      <c r="AN3" s="2028"/>
      <c r="AO3" s="2028"/>
      <c r="AP3" s="2028"/>
      <c r="AQ3" s="2028"/>
      <c r="AR3" s="2028"/>
      <c r="AS3" s="2027"/>
      <c r="AT3" s="2027"/>
      <c r="AU3" s="2027"/>
      <c r="AV3" s="2027"/>
      <c r="AW3" s="2027"/>
      <c r="AX3" s="2027"/>
      <c r="AY3" s="2027"/>
      <c r="AZ3" s="2027"/>
      <c r="BA3" s="2027"/>
      <c r="BB3" s="2027"/>
      <c r="BC3" s="2027"/>
      <c r="BD3" s="2027"/>
      <c r="BE3" s="2027"/>
      <c r="BF3" s="2028"/>
      <c r="BG3" s="2028"/>
      <c r="BH3" s="2028"/>
      <c r="BI3" s="2028"/>
      <c r="BJ3" s="2028"/>
      <c r="BK3" s="2028"/>
      <c r="BL3" s="2028"/>
      <c r="BM3" s="2028"/>
      <c r="BN3" s="2028"/>
      <c r="BO3" s="2028"/>
      <c r="BP3" s="2028"/>
      <c r="BQ3" s="2028"/>
      <c r="BR3" s="2028"/>
      <c r="BS3" s="2027"/>
      <c r="BT3" s="2027"/>
      <c r="BU3" s="2027"/>
      <c r="BV3" s="2027"/>
      <c r="BW3" s="2027"/>
      <c r="BX3" s="2028"/>
      <c r="BY3" s="2028"/>
      <c r="BZ3" s="2028"/>
      <c r="CA3" s="2028"/>
      <c r="CB3" s="2028"/>
      <c r="CC3" s="2028"/>
      <c r="CD3" s="2028"/>
      <c r="CE3" s="2028"/>
      <c r="CF3" s="2028"/>
      <c r="CG3" s="2028"/>
      <c r="CH3" s="2028"/>
      <c r="CI3" s="2028"/>
      <c r="CJ3" s="2028"/>
      <c r="CK3" s="2028"/>
      <c r="CL3" s="2028"/>
      <c r="CM3" s="2028"/>
      <c r="CN3" s="2028"/>
      <c r="CO3" s="2028"/>
      <c r="CP3" s="2028"/>
      <c r="CQ3" s="2028"/>
      <c r="CR3" s="2028"/>
      <c r="CS3" s="2027"/>
      <c r="CT3" s="2027"/>
      <c r="CU3" s="2027"/>
      <c r="CV3" s="2027"/>
      <c r="CW3" s="2027"/>
      <c r="CX3" s="2027"/>
      <c r="CY3" s="2027"/>
      <c r="CZ3" s="2027"/>
      <c r="DA3" s="2027"/>
      <c r="DB3" s="2027"/>
      <c r="DC3" s="2027"/>
      <c r="DD3" s="2028"/>
      <c r="DE3" s="2028"/>
      <c r="DF3" s="2028"/>
      <c r="DG3" s="2028"/>
      <c r="DH3" s="2028"/>
      <c r="DI3" s="2028"/>
      <c r="DJ3" s="2028"/>
      <c r="DK3" s="2028"/>
      <c r="DL3" s="2028"/>
      <c r="DM3" s="2028"/>
      <c r="DN3" s="2028"/>
      <c r="DO3" s="2028"/>
      <c r="DP3" s="2028"/>
      <c r="DQ3" s="2028"/>
      <c r="DR3" s="2028"/>
      <c r="DS3" s="2028"/>
      <c r="DT3" s="2028"/>
      <c r="DU3" s="2028"/>
      <c r="DV3" s="2028"/>
      <c r="DW3" s="2028"/>
      <c r="DX3" s="2028"/>
      <c r="DY3" s="2028"/>
      <c r="DZ3" s="2028"/>
      <c r="EA3" s="2028"/>
      <c r="EB3" s="2028"/>
      <c r="EC3" s="2028"/>
      <c r="ED3" s="2028"/>
      <c r="EE3" s="2028"/>
      <c r="EF3" s="2027"/>
      <c r="EG3" s="2027"/>
      <c r="EH3" s="2031"/>
    </row>
    <row r="4" spans="1:158" s="2155" customFormat="1" ht="18" thickBot="1">
      <c r="A4" s="2506" t="s">
        <v>5882</v>
      </c>
      <c r="B4" s="2506"/>
      <c r="C4" s="2506"/>
      <c r="D4" s="2506"/>
      <c r="E4" s="2506"/>
      <c r="F4" s="2506"/>
      <c r="G4" s="2506"/>
      <c r="H4" s="2506"/>
      <c r="I4" s="2506"/>
      <c r="J4" s="2506"/>
      <c r="K4" s="2506"/>
      <c r="L4" s="2506"/>
      <c r="M4" s="2506"/>
      <c r="N4" s="2506"/>
      <c r="O4" s="2506"/>
      <c r="P4" s="2506"/>
      <c r="Q4" s="2506"/>
      <c r="R4" s="2506"/>
      <c r="S4" s="2506"/>
      <c r="T4" s="2506"/>
      <c r="U4" s="2506"/>
      <c r="V4" s="2506"/>
      <c r="W4" s="2506"/>
      <c r="X4" s="2506"/>
      <c r="Y4" s="2506"/>
      <c r="Z4" s="2506"/>
      <c r="AA4" s="2506"/>
      <c r="AB4" s="2506"/>
      <c r="AC4" s="2506"/>
      <c r="AD4" s="2506"/>
      <c r="AE4" s="2506"/>
      <c r="AF4" s="2506"/>
      <c r="AG4" s="2506"/>
      <c r="AH4" s="2506"/>
      <c r="AI4" s="2506"/>
      <c r="AJ4" s="2506"/>
      <c r="AK4" s="2506"/>
      <c r="AL4" s="2506"/>
      <c r="AM4" s="2506"/>
      <c r="AN4" s="2506"/>
      <c r="AO4" s="2506"/>
      <c r="AP4" s="2506"/>
      <c r="AQ4" s="2506"/>
      <c r="AR4" s="2506"/>
      <c r="AS4" s="2506"/>
      <c r="AT4" s="2506"/>
      <c r="AU4" s="2506"/>
      <c r="AV4" s="2506"/>
      <c r="AW4" s="2506"/>
      <c r="AX4" s="2506"/>
      <c r="AY4" s="2506"/>
      <c r="AZ4" s="2506"/>
      <c r="BA4" s="2506"/>
      <c r="BB4" s="2506"/>
      <c r="BC4" s="2506"/>
      <c r="BD4" s="2506"/>
      <c r="BE4" s="2506"/>
      <c r="BF4" s="2506"/>
      <c r="BG4" s="2506"/>
      <c r="BH4" s="2506"/>
      <c r="BI4" s="2506"/>
      <c r="BJ4" s="2506"/>
      <c r="BK4" s="2506"/>
      <c r="BL4" s="2506"/>
      <c r="BM4" s="2506"/>
      <c r="BN4" s="2506"/>
      <c r="BO4" s="2506"/>
      <c r="BP4" s="2506"/>
      <c r="BQ4" s="2506"/>
      <c r="BR4" s="2506"/>
      <c r="BS4" s="2506"/>
      <c r="BT4" s="2506"/>
      <c r="BU4" s="2506"/>
      <c r="BV4" s="2506"/>
      <c r="BW4" s="2506"/>
      <c r="BX4" s="2506"/>
      <c r="BY4" s="2506"/>
      <c r="BZ4" s="2506"/>
      <c r="CA4" s="2506"/>
      <c r="CB4" s="2506"/>
      <c r="CC4" s="2506"/>
      <c r="CD4" s="2506"/>
      <c r="CE4" s="2506"/>
      <c r="CF4" s="2506"/>
      <c r="CG4" s="2506"/>
      <c r="CH4" s="2506"/>
      <c r="CI4" s="2506"/>
      <c r="CJ4" s="2506"/>
      <c r="CK4" s="2506"/>
      <c r="CL4" s="2506"/>
      <c r="CM4" s="2506"/>
      <c r="CN4" s="2506"/>
      <c r="CO4" s="2506"/>
      <c r="CP4" s="2506"/>
      <c r="CQ4" s="2506"/>
      <c r="CR4" s="2506"/>
      <c r="CS4" s="2506"/>
      <c r="CT4" s="2506"/>
      <c r="CU4" s="2506"/>
      <c r="CV4" s="2506"/>
      <c r="CW4" s="2506"/>
      <c r="CX4" s="2506"/>
      <c r="CY4" s="2506"/>
      <c r="CZ4" s="2506"/>
      <c r="DA4" s="2506"/>
      <c r="DB4" s="2506"/>
      <c r="DC4" s="2506"/>
      <c r="DD4" s="2506"/>
      <c r="DE4" s="2506"/>
      <c r="DF4" s="2506"/>
      <c r="DG4" s="2506"/>
      <c r="DH4" s="2506"/>
      <c r="DI4" s="2506"/>
      <c r="DJ4" s="2506"/>
      <c r="DK4" s="2506"/>
      <c r="DL4" s="2506"/>
      <c r="DM4" s="2506"/>
      <c r="DN4" s="2506"/>
      <c r="DO4" s="2506"/>
      <c r="DP4" s="2506"/>
      <c r="DQ4" s="2506"/>
      <c r="DR4" s="2506"/>
      <c r="DS4" s="2506"/>
      <c r="DT4" s="2506"/>
      <c r="DU4" s="2506"/>
      <c r="DV4" s="2506"/>
      <c r="DW4" s="2506"/>
      <c r="DX4" s="2506"/>
      <c r="DY4" s="2506"/>
      <c r="DZ4" s="2506"/>
      <c r="EA4" s="2506"/>
      <c r="EB4" s="2506"/>
      <c r="EC4" s="2506"/>
      <c r="ED4" s="2506"/>
      <c r="EE4" s="2506"/>
      <c r="EF4" s="2506"/>
      <c r="EG4" s="2506"/>
      <c r="EH4" s="2506"/>
    </row>
    <row r="5" spans="1:158" ht="18" customHeight="1" thickTop="1">
      <c r="A5" s="2516" t="s">
        <v>3983</v>
      </c>
      <c r="B5" s="2518" t="s">
        <v>5828</v>
      </c>
      <c r="C5" s="2520" t="s">
        <v>5883</v>
      </c>
      <c r="D5" s="2510" t="s">
        <v>5884</v>
      </c>
      <c r="E5" s="2510" t="s">
        <v>5885</v>
      </c>
      <c r="F5" s="2510" t="s">
        <v>5886</v>
      </c>
      <c r="G5" s="2520" t="s">
        <v>5887</v>
      </c>
      <c r="H5" s="2520" t="s">
        <v>5888</v>
      </c>
      <c r="I5" s="2524" t="s">
        <v>3925</v>
      </c>
      <c r="J5" s="2524" t="s">
        <v>5889</v>
      </c>
      <c r="K5" s="2524" t="s">
        <v>3927</v>
      </c>
      <c r="L5" s="2156" t="s">
        <v>1133</v>
      </c>
      <c r="M5" s="2157"/>
      <c r="N5" s="2157"/>
      <c r="O5" s="2157"/>
      <c r="P5" s="2158"/>
      <c r="Q5" s="2156" t="s">
        <v>3929</v>
      </c>
      <c r="R5" s="2159"/>
      <c r="S5" s="2159"/>
      <c r="T5" s="2159"/>
      <c r="U5" s="2159"/>
      <c r="V5" s="2159"/>
      <c r="W5" s="2159"/>
      <c r="X5" s="2159"/>
      <c r="Y5" s="2160"/>
      <c r="Z5" s="2159"/>
      <c r="AA5" s="2161"/>
      <c r="AB5" s="2162"/>
      <c r="AC5" s="2162"/>
      <c r="AD5" s="2162"/>
      <c r="AE5" s="2162"/>
      <c r="AF5" s="2162"/>
      <c r="AG5" s="2162"/>
      <c r="AH5" s="2162"/>
      <c r="AI5" s="2162"/>
      <c r="AJ5" s="2162"/>
      <c r="AK5" s="2162"/>
      <c r="AL5" s="2162"/>
      <c r="AM5" s="2162"/>
      <c r="AN5" s="2162"/>
      <c r="AO5" s="2162"/>
      <c r="AP5" s="2162"/>
      <c r="AQ5" s="2162"/>
      <c r="AR5" s="2162"/>
      <c r="AS5" s="2163" t="s">
        <v>5830</v>
      </c>
      <c r="AT5" s="2162"/>
      <c r="AU5" s="2162"/>
      <c r="AV5" s="2162"/>
      <c r="AW5" s="2164"/>
      <c r="AX5" s="2165"/>
      <c r="AY5" s="2166"/>
      <c r="AZ5" s="2162"/>
      <c r="BA5" s="2162"/>
      <c r="BB5" s="2162"/>
      <c r="BC5" s="2162"/>
      <c r="BD5" s="2162"/>
      <c r="BE5" s="2162"/>
      <c r="BF5" s="2167" t="s">
        <v>3930</v>
      </c>
      <c r="BG5" s="2168"/>
      <c r="BH5" s="2169"/>
      <c r="BI5" s="2169"/>
      <c r="BJ5" s="2169"/>
      <c r="BK5" s="2169"/>
      <c r="BL5" s="2169"/>
      <c r="BM5" s="2169"/>
      <c r="BN5" s="2169"/>
      <c r="BO5" s="2169"/>
      <c r="BP5" s="2169"/>
      <c r="BQ5" s="2169"/>
      <c r="BR5" s="2170"/>
      <c r="BS5" s="2504" t="s">
        <v>3931</v>
      </c>
      <c r="BT5" s="2504" t="s">
        <v>3549</v>
      </c>
      <c r="BU5" s="2504" t="s">
        <v>3549</v>
      </c>
      <c r="BV5" s="2504" t="s">
        <v>5833</v>
      </c>
      <c r="BW5" s="2504" t="s">
        <v>3550</v>
      </c>
      <c r="BX5" s="2163" t="s">
        <v>4286</v>
      </c>
      <c r="BY5" s="2162"/>
      <c r="BZ5" s="2162"/>
      <c r="CA5" s="2162"/>
      <c r="CB5" s="2162"/>
      <c r="CC5" s="2162"/>
      <c r="CD5" s="2162"/>
      <c r="CE5" s="2162"/>
      <c r="CF5" s="2162"/>
      <c r="CG5" s="2162"/>
      <c r="CH5" s="2162"/>
      <c r="CI5" s="2162"/>
      <c r="CJ5" s="2162"/>
      <c r="CK5" s="2162"/>
      <c r="CL5" s="2162"/>
      <c r="CM5" s="2162"/>
      <c r="CN5" s="2162"/>
      <c r="CO5" s="2162"/>
      <c r="CP5" s="2162"/>
      <c r="CQ5" s="2162"/>
      <c r="CR5" s="2162"/>
      <c r="CS5" s="2514" t="s">
        <v>4036</v>
      </c>
      <c r="CT5" s="2514" t="s">
        <v>4037</v>
      </c>
      <c r="CU5" s="2514" t="s">
        <v>4038</v>
      </c>
      <c r="CV5" s="2522" t="s">
        <v>5893</v>
      </c>
      <c r="CW5" s="2512" t="s">
        <v>5894</v>
      </c>
      <c r="CX5" s="2507" t="s">
        <v>5895</v>
      </c>
      <c r="CY5" s="2507" t="s">
        <v>5896</v>
      </c>
      <c r="CZ5" s="2514" t="s">
        <v>4832</v>
      </c>
      <c r="DA5" s="2514" t="s">
        <v>4040</v>
      </c>
      <c r="DB5" s="2514" t="s">
        <v>4833</v>
      </c>
      <c r="DC5" s="2514" t="s">
        <v>5897</v>
      </c>
      <c r="DD5" s="2529" t="s">
        <v>5898</v>
      </c>
      <c r="DE5" s="2529" t="s">
        <v>5899</v>
      </c>
      <c r="DF5" s="2529" t="s">
        <v>5900</v>
      </c>
      <c r="DG5" s="2507" t="s">
        <v>5901</v>
      </c>
      <c r="DH5" s="2529" t="s">
        <v>5902</v>
      </c>
      <c r="DI5" s="2507" t="s">
        <v>5903</v>
      </c>
      <c r="DJ5" s="2529" t="s">
        <v>5904</v>
      </c>
      <c r="DK5" s="2528" t="s">
        <v>4058</v>
      </c>
      <c r="DL5" s="2528" t="s">
        <v>4203</v>
      </c>
      <c r="DM5" s="2528" t="s">
        <v>4059</v>
      </c>
      <c r="DN5" s="2528" t="s">
        <v>4060</v>
      </c>
      <c r="DO5" s="2528" t="s">
        <v>4061</v>
      </c>
      <c r="DP5" s="2528" t="s">
        <v>4063</v>
      </c>
      <c r="DQ5" s="2528" t="s">
        <v>4063</v>
      </c>
      <c r="DR5" s="2504" t="s">
        <v>303</v>
      </c>
      <c r="DS5" s="2504" t="s">
        <v>1918</v>
      </c>
      <c r="DT5" s="2504" t="s">
        <v>1772</v>
      </c>
      <c r="DU5" s="2504" t="s">
        <v>1300</v>
      </c>
      <c r="DV5" s="2504" t="s">
        <v>1830</v>
      </c>
      <c r="DW5" s="2504" t="s">
        <v>287</v>
      </c>
      <c r="DX5" s="2504" t="s">
        <v>1822</v>
      </c>
      <c r="DY5" s="2504" t="s">
        <v>1208</v>
      </c>
      <c r="DZ5" s="2504" t="s">
        <v>1209</v>
      </c>
      <c r="EA5" s="2171"/>
      <c r="EB5" s="2172"/>
      <c r="EC5" s="2172"/>
      <c r="ED5" s="2172"/>
      <c r="EE5" s="2172"/>
      <c r="EF5" s="2173"/>
      <c r="EG5" s="2507" t="s">
        <v>5890</v>
      </c>
      <c r="EH5" s="2526" t="s">
        <v>3373</v>
      </c>
    </row>
    <row r="6" spans="1:158" s="2182" customFormat="1" ht="127.8">
      <c r="A6" s="2517"/>
      <c r="B6" s="2519"/>
      <c r="C6" s="2521"/>
      <c r="D6" s="2511"/>
      <c r="E6" s="2511"/>
      <c r="F6" s="2511"/>
      <c r="G6" s="2521"/>
      <c r="H6" s="2521"/>
      <c r="I6" s="2525"/>
      <c r="J6" s="2525"/>
      <c r="K6" s="2525"/>
      <c r="L6" s="2175" t="s">
        <v>621</v>
      </c>
      <c r="M6" s="2175" t="s">
        <v>2101</v>
      </c>
      <c r="N6" s="2175" t="s">
        <v>622</v>
      </c>
      <c r="O6" s="2175" t="s">
        <v>623</v>
      </c>
      <c r="P6" s="2175" t="s">
        <v>1816</v>
      </c>
      <c r="Q6" s="2176" t="s">
        <v>646</v>
      </c>
      <c r="R6" s="2176" t="s">
        <v>338</v>
      </c>
      <c r="S6" s="2176" t="s">
        <v>483</v>
      </c>
      <c r="T6" s="2176" t="s">
        <v>1480</v>
      </c>
      <c r="U6" s="2176" t="s">
        <v>1481</v>
      </c>
      <c r="V6" s="2176" t="s">
        <v>1479</v>
      </c>
      <c r="W6" s="2176" t="s">
        <v>1817</v>
      </c>
      <c r="X6" s="2176" t="s">
        <v>305</v>
      </c>
      <c r="Y6" s="2176" t="s">
        <v>624</v>
      </c>
      <c r="Z6" s="2176" t="s">
        <v>938</v>
      </c>
      <c r="AA6" s="2176" t="s">
        <v>625</v>
      </c>
      <c r="AB6" s="2176" t="s">
        <v>582</v>
      </c>
      <c r="AC6" s="2176" t="s">
        <v>1705</v>
      </c>
      <c r="AD6" s="2176" t="s">
        <v>1704</v>
      </c>
      <c r="AE6" s="2176" t="s">
        <v>1774</v>
      </c>
      <c r="AF6" s="2176" t="s">
        <v>350</v>
      </c>
      <c r="AG6" s="2176" t="s">
        <v>339</v>
      </c>
      <c r="AH6" s="2176" t="s">
        <v>1706</v>
      </c>
      <c r="AI6" s="2176" t="s">
        <v>1727</v>
      </c>
      <c r="AJ6" s="2176" t="s">
        <v>1707</v>
      </c>
      <c r="AK6" s="2176" t="s">
        <v>15</v>
      </c>
      <c r="AL6" s="2176" t="s">
        <v>16</v>
      </c>
      <c r="AM6" s="2176" t="s">
        <v>1708</v>
      </c>
      <c r="AN6" s="2176" t="s">
        <v>1757</v>
      </c>
      <c r="AO6" s="2176" t="s">
        <v>304</v>
      </c>
      <c r="AP6" s="2176" t="s">
        <v>1760</v>
      </c>
      <c r="AQ6" s="2176" t="s">
        <v>541</v>
      </c>
      <c r="AR6" s="2176" t="s">
        <v>564</v>
      </c>
      <c r="AS6" s="2177" t="str">
        <f>"CX10-"&amp;$EI$6</f>
        <v>CX10-C</v>
      </c>
      <c r="AT6" s="2177" t="str">
        <f>"CL10-"&amp;$EI$6</f>
        <v>CL10-C</v>
      </c>
      <c r="AU6" s="2177" t="str">
        <f>"CXX10-"&amp;$EI$6</f>
        <v>CXX10-C</v>
      </c>
      <c r="AV6" s="2177" t="str">
        <f>"CX12-"&amp;$EI$6</f>
        <v>CX12-C</v>
      </c>
      <c r="AW6" s="2177" t="str">
        <f>"CL12-"&amp;$EI$6</f>
        <v>CL12-C</v>
      </c>
      <c r="AX6" s="2177" t="str">
        <f>"CXX12-"&amp;$EI$6</f>
        <v>CXX12-C</v>
      </c>
      <c r="AY6" s="2177" t="str">
        <f>"CX14-"&amp;$EI$6</f>
        <v>CX14-C</v>
      </c>
      <c r="AZ6" s="2177" t="str">
        <f>"CL14-"&amp;$EI$6</f>
        <v>CL14-C</v>
      </c>
      <c r="BA6" s="2177" t="str">
        <f>"CXX14-"&amp;$EI$6</f>
        <v>CXX14-C</v>
      </c>
      <c r="BB6" s="2177" t="str">
        <f>"CX20-"&amp;$EI$6</f>
        <v>CX20-C</v>
      </c>
      <c r="BC6" s="2177" t="str">
        <f>"CK-"&amp;$EI$6</f>
        <v>CK-C</v>
      </c>
      <c r="BD6" s="2177" t="str">
        <f>"CKK-"&amp;$EI$6</f>
        <v>CKK-C</v>
      </c>
      <c r="BE6" s="2177" t="s">
        <v>3977</v>
      </c>
      <c r="BF6" s="2176" t="s">
        <v>2042</v>
      </c>
      <c r="BG6" s="2176" t="s">
        <v>1759</v>
      </c>
      <c r="BH6" s="2176" t="s">
        <v>90</v>
      </c>
      <c r="BI6" s="2176" t="s">
        <v>1459</v>
      </c>
      <c r="BJ6" s="2176" t="s">
        <v>787</v>
      </c>
      <c r="BK6" s="2176" t="s">
        <v>787</v>
      </c>
      <c r="BL6" s="2176" t="s">
        <v>91</v>
      </c>
      <c r="BM6" s="2176" t="s">
        <v>1254</v>
      </c>
      <c r="BN6" s="2176" t="s">
        <v>92</v>
      </c>
      <c r="BO6" s="2176" t="s">
        <v>1376</v>
      </c>
      <c r="BP6" s="2176" t="s">
        <v>93</v>
      </c>
      <c r="BQ6" s="2176" t="s">
        <v>1377</v>
      </c>
      <c r="BR6" s="2176" t="s">
        <v>565</v>
      </c>
      <c r="BS6" s="2505"/>
      <c r="BT6" s="2505"/>
      <c r="BU6" s="2505"/>
      <c r="BV6" s="2505"/>
      <c r="BW6" s="2505"/>
      <c r="BX6" s="2176" t="s">
        <v>3716</v>
      </c>
      <c r="BY6" s="2176" t="s">
        <v>673</v>
      </c>
      <c r="BZ6" s="2176" t="s">
        <v>594</v>
      </c>
      <c r="CA6" s="2176" t="s">
        <v>3744</v>
      </c>
      <c r="CB6" s="2176" t="s">
        <v>3742</v>
      </c>
      <c r="CC6" s="2176" t="s">
        <v>3720</v>
      </c>
      <c r="CD6" s="2176" t="s">
        <v>79</v>
      </c>
      <c r="CE6" s="2176" t="s">
        <v>5891</v>
      </c>
      <c r="CF6" s="2176" t="s">
        <v>675</v>
      </c>
      <c r="CG6" s="2176" t="s">
        <v>3718</v>
      </c>
      <c r="CH6" s="2176" t="s">
        <v>1463</v>
      </c>
      <c r="CI6" s="2176" t="s">
        <v>3745</v>
      </c>
      <c r="CJ6" s="2176" t="s">
        <v>50</v>
      </c>
      <c r="CK6" s="2176" t="s">
        <v>832</v>
      </c>
      <c r="CL6" s="2176" t="s">
        <v>3747</v>
      </c>
      <c r="CM6" s="2176" t="s">
        <v>1274</v>
      </c>
      <c r="CN6" s="2176" t="s">
        <v>1944</v>
      </c>
      <c r="CO6" s="2176" t="s">
        <v>1067</v>
      </c>
      <c r="CP6" s="2176" t="s">
        <v>1943</v>
      </c>
      <c r="CQ6" s="2176" t="s">
        <v>5892</v>
      </c>
      <c r="CR6" s="2176" t="s">
        <v>1210</v>
      </c>
      <c r="CS6" s="2515"/>
      <c r="CT6" s="2515"/>
      <c r="CU6" s="2515"/>
      <c r="CV6" s="2523"/>
      <c r="CW6" s="2513"/>
      <c r="CX6" s="2508"/>
      <c r="CY6" s="2508"/>
      <c r="CZ6" s="2515"/>
      <c r="DA6" s="2515"/>
      <c r="DB6" s="2515"/>
      <c r="DC6" s="2515"/>
      <c r="DD6" s="2530"/>
      <c r="DE6" s="2530"/>
      <c r="DF6" s="2530"/>
      <c r="DG6" s="2508"/>
      <c r="DH6" s="2530"/>
      <c r="DI6" s="2508"/>
      <c r="DJ6" s="2530"/>
      <c r="DK6" s="2509"/>
      <c r="DL6" s="2509"/>
      <c r="DM6" s="2509"/>
      <c r="DN6" s="2509"/>
      <c r="DO6" s="2509"/>
      <c r="DP6" s="2509"/>
      <c r="DQ6" s="2509"/>
      <c r="DR6" s="2509"/>
      <c r="DS6" s="2509"/>
      <c r="DT6" s="2509"/>
      <c r="DU6" s="2509"/>
      <c r="DV6" s="2509"/>
      <c r="DW6" s="2509"/>
      <c r="DX6" s="2509"/>
      <c r="DY6" s="2509"/>
      <c r="DZ6" s="2509"/>
      <c r="EA6" s="2178" t="s">
        <v>5905</v>
      </c>
      <c r="EB6" s="2178" t="s">
        <v>5906</v>
      </c>
      <c r="EC6" s="2178" t="s">
        <v>5855</v>
      </c>
      <c r="ED6" s="2178" t="s">
        <v>5907</v>
      </c>
      <c r="EE6" s="2178" t="s">
        <v>5878</v>
      </c>
      <c r="EF6" s="2179" t="s">
        <v>5908</v>
      </c>
      <c r="EG6" s="2508"/>
      <c r="EH6" s="2527"/>
      <c r="EI6" s="2180" t="s">
        <v>1489</v>
      </c>
      <c r="EJ6" s="2181" t="s">
        <v>750</v>
      </c>
      <c r="EK6" s="2182" t="str">
        <f>IF(EJ6="P","Polymer","treo 2 bát")</f>
        <v>Polymer</v>
      </c>
    </row>
    <row r="7" spans="1:158" ht="18.899999999999999" customHeight="1">
      <c r="A7" s="2183" t="s">
        <v>5909</v>
      </c>
      <c r="B7" s="2184"/>
      <c r="C7" s="2184"/>
      <c r="D7" s="2184"/>
      <c r="E7" s="2184"/>
      <c r="F7" s="2184"/>
      <c r="G7" s="2184"/>
      <c r="H7" s="2184"/>
      <c r="I7" s="2184"/>
      <c r="J7" s="2184"/>
      <c r="K7" s="2184"/>
      <c r="L7" s="2184"/>
      <c r="M7" s="2184"/>
      <c r="N7" s="2184"/>
      <c r="O7" s="2184"/>
      <c r="P7" s="2184"/>
      <c r="Q7" s="2184"/>
      <c r="R7" s="2184"/>
      <c r="S7" s="2184"/>
      <c r="T7" s="2184"/>
      <c r="U7" s="2184"/>
      <c r="V7" s="2184"/>
      <c r="W7" s="2184"/>
      <c r="X7" s="2184"/>
      <c r="Y7" s="2184"/>
      <c r="Z7" s="2184"/>
      <c r="AA7" s="2184"/>
      <c r="AB7" s="2184"/>
      <c r="AC7" s="2184"/>
      <c r="AD7" s="2184"/>
      <c r="AE7" s="2184"/>
      <c r="AF7" s="2184"/>
      <c r="AG7" s="2184"/>
      <c r="AH7" s="2184"/>
      <c r="AI7" s="2184"/>
      <c r="AJ7" s="2184"/>
      <c r="AK7" s="2184"/>
      <c r="AL7" s="2184"/>
      <c r="AM7" s="2184"/>
      <c r="AN7" s="2184"/>
      <c r="AO7" s="2184"/>
      <c r="AP7" s="2184"/>
      <c r="AQ7" s="2184"/>
      <c r="AR7" s="2184"/>
      <c r="AS7" s="2184"/>
      <c r="AT7" s="2184"/>
      <c r="AU7" s="2184"/>
      <c r="AV7" s="2184"/>
      <c r="AW7" s="2184"/>
      <c r="AX7" s="2184"/>
      <c r="AY7" s="2184"/>
      <c r="AZ7" s="2184"/>
      <c r="BA7" s="2184"/>
      <c r="BB7" s="2184"/>
      <c r="BC7" s="2184"/>
      <c r="BD7" s="2184"/>
      <c r="BE7" s="2184"/>
      <c r="BF7" s="2184"/>
      <c r="BG7" s="2184"/>
      <c r="BH7" s="2184"/>
      <c r="BI7" s="2184"/>
      <c r="BJ7" s="2184"/>
      <c r="BK7" s="2184"/>
      <c r="BL7" s="2184"/>
      <c r="BM7" s="2184"/>
      <c r="BN7" s="2184"/>
      <c r="BO7" s="2184"/>
      <c r="BP7" s="2184"/>
      <c r="BQ7" s="2184"/>
      <c r="BR7" s="2184"/>
      <c r="BS7" s="2184"/>
      <c r="BT7" s="2184"/>
      <c r="BU7" s="2184"/>
      <c r="BV7" s="2184"/>
      <c r="BW7" s="2184"/>
      <c r="BX7" s="2184"/>
      <c r="BY7" s="2184"/>
      <c r="BZ7" s="2184"/>
      <c r="CA7" s="2184"/>
      <c r="CB7" s="2184"/>
      <c r="CC7" s="2184"/>
      <c r="CD7" s="2184"/>
      <c r="CE7" s="2184"/>
      <c r="CF7" s="2184"/>
      <c r="CG7" s="2184"/>
      <c r="CH7" s="2184"/>
      <c r="CI7" s="2184"/>
      <c r="CJ7" s="2184"/>
      <c r="CK7" s="2184"/>
      <c r="CL7" s="2184"/>
      <c r="CM7" s="2184"/>
      <c r="CN7" s="2184"/>
      <c r="CO7" s="2184"/>
      <c r="CP7" s="2184"/>
      <c r="CQ7" s="2184"/>
      <c r="CR7" s="2184"/>
      <c r="CS7" s="2184"/>
      <c r="CT7" s="2184"/>
      <c r="CU7" s="2184"/>
      <c r="CV7" s="2184"/>
      <c r="CW7" s="2184"/>
      <c r="CX7" s="2184"/>
      <c r="CY7" s="2184"/>
      <c r="CZ7" s="2184"/>
      <c r="DA7" s="2184"/>
      <c r="DB7" s="2184"/>
      <c r="DC7" s="2184"/>
      <c r="DD7" s="2184"/>
      <c r="DE7" s="2184"/>
      <c r="DF7" s="2184"/>
      <c r="DG7" s="2184"/>
      <c r="DH7" s="2184"/>
      <c r="DI7" s="2184"/>
      <c r="DJ7" s="2184"/>
      <c r="DK7" s="2184"/>
      <c r="DL7" s="2184"/>
      <c r="DM7" s="2184"/>
      <c r="DN7" s="2184"/>
      <c r="DO7" s="2184"/>
      <c r="DP7" s="2184"/>
      <c r="DQ7" s="2184"/>
      <c r="DR7" s="2184"/>
      <c r="DS7" s="2184"/>
      <c r="DT7" s="2184"/>
      <c r="DU7" s="2184"/>
      <c r="DV7" s="2184"/>
      <c r="DW7" s="2184"/>
      <c r="DX7" s="2184"/>
      <c r="DY7" s="2184"/>
      <c r="DZ7" s="2184"/>
      <c r="EA7" s="2184"/>
      <c r="EB7" s="2184"/>
      <c r="EC7" s="2184"/>
      <c r="ED7" s="2184"/>
      <c r="EE7" s="2184"/>
      <c r="EF7" s="2184"/>
      <c r="EG7" s="2184"/>
      <c r="EH7" s="2185"/>
    </row>
    <row r="8" spans="1:158" s="2197" customFormat="1" ht="18" customHeight="1">
      <c r="A8" s="2186" t="s">
        <v>546</v>
      </c>
      <c r="B8" s="2083"/>
      <c r="C8" s="2187"/>
      <c r="D8" s="2187"/>
      <c r="E8" s="2187"/>
      <c r="F8" s="2187"/>
      <c r="G8" s="2187"/>
      <c r="H8" s="2187"/>
      <c r="I8" s="2188"/>
      <c r="J8" s="2087"/>
      <c r="K8" s="2087"/>
      <c r="L8" s="2087"/>
      <c r="M8" s="2087"/>
      <c r="N8" s="2087"/>
      <c r="O8" s="2087"/>
      <c r="P8" s="2087"/>
      <c r="Q8" s="2087"/>
      <c r="R8" s="2087"/>
      <c r="S8" s="2087"/>
      <c r="T8" s="2087"/>
      <c r="U8" s="2087"/>
      <c r="V8" s="2087"/>
      <c r="W8" s="2087"/>
      <c r="X8" s="2087"/>
      <c r="Y8" s="2087"/>
      <c r="Z8" s="2087"/>
      <c r="AA8" s="2087"/>
      <c r="AB8" s="2087"/>
      <c r="AC8" s="2087"/>
      <c r="AD8" s="2087"/>
      <c r="AE8" s="2087"/>
      <c r="AF8" s="2087"/>
      <c r="AG8" s="2087"/>
      <c r="AH8" s="2087"/>
      <c r="AI8" s="2087"/>
      <c r="AJ8" s="2087"/>
      <c r="AK8" s="2087"/>
      <c r="AL8" s="2087"/>
      <c r="AM8" s="2087"/>
      <c r="AN8" s="2087"/>
      <c r="AO8" s="2087"/>
      <c r="AP8" s="2087"/>
      <c r="AQ8" s="2087"/>
      <c r="AR8" s="2087"/>
      <c r="AS8" s="2087"/>
      <c r="AT8" s="2087"/>
      <c r="AU8" s="2087"/>
      <c r="AV8" s="2087"/>
      <c r="AW8" s="2087"/>
      <c r="AX8" s="2098"/>
      <c r="AY8" s="2087"/>
      <c r="AZ8" s="2087"/>
      <c r="BA8" s="2087"/>
      <c r="BB8" s="2087"/>
      <c r="BC8" s="2087"/>
      <c r="BD8" s="2087"/>
      <c r="BE8" s="2087"/>
      <c r="BF8" s="2087"/>
      <c r="BG8" s="2189"/>
      <c r="BH8" s="2087"/>
      <c r="BI8" s="2087"/>
      <c r="BJ8" s="2087"/>
      <c r="BK8" s="2087"/>
      <c r="BL8" s="2087"/>
      <c r="BM8" s="2087"/>
      <c r="BN8" s="2087"/>
      <c r="BO8" s="2087"/>
      <c r="BP8" s="2087"/>
      <c r="BQ8" s="2087"/>
      <c r="BR8" s="2087"/>
      <c r="BS8" s="2087"/>
      <c r="BT8" s="2087"/>
      <c r="BU8" s="2087"/>
      <c r="BV8" s="2087"/>
      <c r="BW8" s="2087"/>
      <c r="BX8" s="2098"/>
      <c r="BY8" s="2098"/>
      <c r="BZ8" s="2087"/>
      <c r="CA8" s="2098"/>
      <c r="CB8" s="2087"/>
      <c r="CC8" s="2087"/>
      <c r="CD8" s="2087"/>
      <c r="CE8" s="2087"/>
      <c r="CF8" s="2087"/>
      <c r="CG8" s="2087"/>
      <c r="CH8" s="2087"/>
      <c r="CI8" s="2087"/>
      <c r="CJ8" s="2087"/>
      <c r="CK8" s="2087"/>
      <c r="CL8" s="2087"/>
      <c r="CM8" s="2087"/>
      <c r="CN8" s="2087"/>
      <c r="CO8" s="2087"/>
      <c r="CP8" s="2087"/>
      <c r="CQ8" s="2087"/>
      <c r="CR8" s="2087"/>
      <c r="CS8" s="2087"/>
      <c r="CT8" s="2087"/>
      <c r="CU8" s="2098"/>
      <c r="CV8" s="2098"/>
      <c r="CW8" s="2098"/>
      <c r="CX8" s="2098"/>
      <c r="CY8" s="2098"/>
      <c r="CZ8" s="2098"/>
      <c r="DA8" s="2087"/>
      <c r="DB8" s="2087"/>
      <c r="DC8" s="2098"/>
      <c r="DD8" s="2087"/>
      <c r="DE8" s="2087"/>
      <c r="DF8" s="2087"/>
      <c r="DG8" s="2087"/>
      <c r="DH8" s="2087"/>
      <c r="DI8" s="2098"/>
      <c r="DJ8" s="2087"/>
      <c r="DK8" s="2087"/>
      <c r="DL8" s="2087"/>
      <c r="DM8" s="2087"/>
      <c r="DN8" s="2087"/>
      <c r="DO8" s="2087"/>
      <c r="DP8" s="2087"/>
      <c r="DQ8" s="2087"/>
      <c r="DR8" s="2087"/>
      <c r="DS8" s="2087"/>
      <c r="DT8" s="2087"/>
      <c r="DU8" s="2087"/>
      <c r="DV8" s="2087"/>
      <c r="DW8" s="2087"/>
      <c r="DX8" s="2087"/>
      <c r="DY8" s="2087"/>
      <c r="DZ8" s="2087"/>
      <c r="EA8" s="2087"/>
      <c r="EB8" s="2087"/>
      <c r="EC8" s="2087"/>
      <c r="ED8" s="2087"/>
      <c r="EE8" s="2087"/>
      <c r="EF8" s="2087"/>
      <c r="EG8" s="2087"/>
      <c r="EH8" s="2190"/>
      <c r="EI8" s="2191"/>
      <c r="EJ8" s="2103"/>
      <c r="EK8" s="2192"/>
      <c r="EL8" s="2193"/>
      <c r="EM8" s="2192"/>
      <c r="EN8" s="2193"/>
      <c r="EO8" s="2192"/>
      <c r="EP8" s="2192"/>
      <c r="EQ8" s="2192"/>
      <c r="ER8" s="2192"/>
      <c r="ES8" s="2192"/>
      <c r="ET8" s="2192"/>
      <c r="EU8" s="2192"/>
      <c r="EV8" s="2192"/>
      <c r="EW8" s="2192"/>
      <c r="EX8" s="2192"/>
      <c r="EY8" s="2103"/>
      <c r="EZ8" s="2194"/>
      <c r="FA8" s="2195"/>
      <c r="FB8" s="2196"/>
    </row>
    <row r="9" spans="1:158" s="2197" customFormat="1" ht="18.899999999999999" customHeight="1">
      <c r="A9" s="2198">
        <v>2</v>
      </c>
      <c r="B9" s="2083"/>
      <c r="C9" s="2187"/>
      <c r="D9" s="2187"/>
      <c r="E9" s="2187"/>
      <c r="F9" s="2187"/>
      <c r="G9" s="2187"/>
      <c r="H9" s="2187"/>
      <c r="I9" s="2188"/>
      <c r="J9" s="2087"/>
      <c r="K9" s="2087"/>
      <c r="L9" s="2087"/>
      <c r="M9" s="2083"/>
      <c r="N9" s="2083"/>
      <c r="O9" s="2087"/>
      <c r="P9" s="2087"/>
      <c r="Q9" s="2087"/>
      <c r="R9" s="2087"/>
      <c r="S9" s="2087"/>
      <c r="T9" s="2087"/>
      <c r="U9" s="2087"/>
      <c r="V9" s="2087"/>
      <c r="W9" s="2087"/>
      <c r="X9" s="2087"/>
      <c r="Y9" s="2098"/>
      <c r="Z9" s="2087"/>
      <c r="AA9" s="2087"/>
      <c r="AB9" s="2087"/>
      <c r="AC9" s="2087"/>
      <c r="AD9" s="2087"/>
      <c r="AE9" s="2087"/>
      <c r="AF9" s="2087"/>
      <c r="AG9" s="2087"/>
      <c r="AH9" s="2087"/>
      <c r="AI9" s="2087"/>
      <c r="AJ9" s="2087"/>
      <c r="AK9" s="2087"/>
      <c r="AL9" s="2087"/>
      <c r="AM9" s="2087"/>
      <c r="AN9" s="2087"/>
      <c r="AO9" s="2087"/>
      <c r="AP9" s="2087"/>
      <c r="AQ9" s="2087"/>
      <c r="AR9" s="2087"/>
      <c r="AS9" s="2087"/>
      <c r="AT9" s="2087"/>
      <c r="AU9" s="2087"/>
      <c r="AV9" s="2087"/>
      <c r="AW9" s="2087"/>
      <c r="AX9" s="2098"/>
      <c r="AY9" s="2087"/>
      <c r="AZ9" s="2087"/>
      <c r="BA9" s="2087"/>
      <c r="BB9" s="2087"/>
      <c r="BC9" s="2087"/>
      <c r="BD9" s="2087"/>
      <c r="BE9" s="2087"/>
      <c r="BF9" s="2087"/>
      <c r="BG9" s="2189"/>
      <c r="BH9" s="2087"/>
      <c r="BI9" s="2087"/>
      <c r="BJ9" s="2087"/>
      <c r="BK9" s="2087"/>
      <c r="BL9" s="2087"/>
      <c r="BM9" s="2087"/>
      <c r="BN9" s="2087"/>
      <c r="BO9" s="2087"/>
      <c r="BP9" s="2087"/>
      <c r="BQ9" s="2087"/>
      <c r="BR9" s="2087"/>
      <c r="BS9" s="2087"/>
      <c r="BT9" s="2087"/>
      <c r="BU9" s="2087"/>
      <c r="BV9" s="2087"/>
      <c r="BW9" s="2087"/>
      <c r="BX9" s="2098"/>
      <c r="BY9" s="2098"/>
      <c r="BZ9" s="2087"/>
      <c r="CA9" s="2098"/>
      <c r="CB9" s="2087"/>
      <c r="CC9" s="2087"/>
      <c r="CD9" s="2087"/>
      <c r="CE9" s="2087"/>
      <c r="CF9" s="2087"/>
      <c r="CG9" s="2087"/>
      <c r="CH9" s="2087"/>
      <c r="CI9" s="2087"/>
      <c r="CJ9" s="2087"/>
      <c r="CK9" s="2087"/>
      <c r="CL9" s="2087"/>
      <c r="CM9" s="2087"/>
      <c r="CN9" s="2087"/>
      <c r="CO9" s="2087"/>
      <c r="CP9" s="2087"/>
      <c r="CQ9" s="2087"/>
      <c r="CR9" s="2087"/>
      <c r="CS9" s="2087"/>
      <c r="CT9" s="2087"/>
      <c r="CU9" s="2098"/>
      <c r="CV9" s="2098"/>
      <c r="CW9" s="2098"/>
      <c r="CX9" s="2098"/>
      <c r="CY9" s="2098"/>
      <c r="CZ9" s="2098"/>
      <c r="DA9" s="2087"/>
      <c r="DB9" s="2087"/>
      <c r="DC9" s="2098"/>
      <c r="DD9" s="2087"/>
      <c r="DE9" s="2087"/>
      <c r="DF9" s="2087"/>
      <c r="DG9" s="2087"/>
      <c r="DH9" s="2087"/>
      <c r="DI9" s="2098"/>
      <c r="DJ9" s="2087"/>
      <c r="DK9" s="2087"/>
      <c r="DL9" s="2087"/>
      <c r="DM9" s="2087"/>
      <c r="DN9" s="2087"/>
      <c r="DO9" s="2087"/>
      <c r="DP9" s="2087"/>
      <c r="DQ9" s="2087"/>
      <c r="DR9" s="2087"/>
      <c r="DS9" s="2087"/>
      <c r="DT9" s="2087"/>
      <c r="DU9" s="2087"/>
      <c r="DV9" s="2087"/>
      <c r="DW9" s="2087"/>
      <c r="DX9" s="2087"/>
      <c r="DY9" s="2087"/>
      <c r="DZ9" s="2087"/>
      <c r="EA9" s="2087"/>
      <c r="EB9" s="2087"/>
      <c r="EC9" s="2087"/>
      <c r="ED9" s="2087"/>
      <c r="EE9" s="2087"/>
      <c r="EF9" s="2087"/>
      <c r="EG9" s="2087"/>
      <c r="EH9" s="2190"/>
      <c r="EI9" s="2191"/>
      <c r="EJ9" s="2103"/>
      <c r="EK9" s="2192"/>
      <c r="EL9" s="2193"/>
      <c r="EM9" s="2192"/>
      <c r="EN9" s="2193"/>
      <c r="EO9" s="2192"/>
      <c r="EP9" s="2192"/>
      <c r="EQ9" s="2192"/>
      <c r="ER9" s="2192"/>
      <c r="ES9" s="2192"/>
      <c r="ET9" s="2192"/>
      <c r="EU9" s="2192"/>
      <c r="EV9" s="2192"/>
      <c r="EW9" s="2192"/>
      <c r="EX9" s="2192"/>
      <c r="EY9" s="2103"/>
      <c r="EZ9" s="2194"/>
      <c r="FA9" s="2195"/>
      <c r="FB9" s="2196"/>
    </row>
    <row r="10" spans="1:158" s="2197" customFormat="1" ht="18.899999999999999" customHeight="1">
      <c r="A10" s="2198">
        <v>3</v>
      </c>
      <c r="B10" s="2083"/>
      <c r="C10" s="2187"/>
      <c r="D10" s="2187"/>
      <c r="E10" s="2187"/>
      <c r="F10" s="2187"/>
      <c r="G10" s="2187"/>
      <c r="H10" s="2187"/>
      <c r="I10" s="2188"/>
      <c r="J10" s="2087"/>
      <c r="K10" s="2087"/>
      <c r="L10" s="2087"/>
      <c r="M10" s="2083"/>
      <c r="N10" s="2083"/>
      <c r="O10" s="2087"/>
      <c r="P10" s="2087"/>
      <c r="Q10" s="2087"/>
      <c r="R10" s="2087"/>
      <c r="S10" s="2087"/>
      <c r="T10" s="2087"/>
      <c r="U10" s="2087"/>
      <c r="V10" s="2087"/>
      <c r="W10" s="2087"/>
      <c r="X10" s="2087"/>
      <c r="Y10" s="2098"/>
      <c r="Z10" s="2087"/>
      <c r="AA10" s="2087"/>
      <c r="AB10" s="2087"/>
      <c r="AC10" s="2087"/>
      <c r="AD10" s="2087"/>
      <c r="AE10" s="2087"/>
      <c r="AF10" s="2087"/>
      <c r="AG10" s="2087"/>
      <c r="AH10" s="2087"/>
      <c r="AI10" s="2087"/>
      <c r="AJ10" s="2087"/>
      <c r="AK10" s="2087"/>
      <c r="AL10" s="2087"/>
      <c r="AM10" s="2087"/>
      <c r="AN10" s="2087"/>
      <c r="AO10" s="2087"/>
      <c r="AP10" s="2087"/>
      <c r="AQ10" s="2087"/>
      <c r="AR10" s="2087"/>
      <c r="AS10" s="2087"/>
      <c r="AT10" s="2087"/>
      <c r="AU10" s="2087"/>
      <c r="AV10" s="2087"/>
      <c r="AW10" s="2087"/>
      <c r="AX10" s="2098"/>
      <c r="AY10" s="2087"/>
      <c r="AZ10" s="2087"/>
      <c r="BA10" s="2087"/>
      <c r="BB10" s="2087"/>
      <c r="BC10" s="2087"/>
      <c r="BD10" s="2087"/>
      <c r="BE10" s="2087"/>
      <c r="BF10" s="2087"/>
      <c r="BG10" s="2189"/>
      <c r="BH10" s="2087"/>
      <c r="BI10" s="2087"/>
      <c r="BJ10" s="2087"/>
      <c r="BK10" s="2087"/>
      <c r="BL10" s="2087"/>
      <c r="BM10" s="2087"/>
      <c r="BN10" s="2087"/>
      <c r="BO10" s="2087"/>
      <c r="BP10" s="2087"/>
      <c r="BQ10" s="2087"/>
      <c r="BR10" s="2087"/>
      <c r="BS10" s="2087"/>
      <c r="BT10" s="2087"/>
      <c r="BU10" s="2087"/>
      <c r="BV10" s="2087"/>
      <c r="BW10" s="2087"/>
      <c r="BX10" s="2098"/>
      <c r="BY10" s="2098"/>
      <c r="BZ10" s="2087"/>
      <c r="CA10" s="2098"/>
      <c r="CB10" s="2087"/>
      <c r="CC10" s="2087"/>
      <c r="CD10" s="2087"/>
      <c r="CE10" s="2087"/>
      <c r="CF10" s="2087"/>
      <c r="CG10" s="2087"/>
      <c r="CH10" s="2087"/>
      <c r="CI10" s="2087"/>
      <c r="CJ10" s="2087"/>
      <c r="CK10" s="2087"/>
      <c r="CL10" s="2087"/>
      <c r="CM10" s="2087"/>
      <c r="CN10" s="2087"/>
      <c r="CO10" s="2087"/>
      <c r="CP10" s="2087"/>
      <c r="CQ10" s="2087"/>
      <c r="CR10" s="2087"/>
      <c r="CS10" s="2087"/>
      <c r="CT10" s="2087"/>
      <c r="CU10" s="2098"/>
      <c r="CV10" s="2098"/>
      <c r="CW10" s="2098"/>
      <c r="CX10" s="2098"/>
      <c r="CY10" s="2098"/>
      <c r="CZ10" s="2098"/>
      <c r="DA10" s="2087"/>
      <c r="DB10" s="2087"/>
      <c r="DC10" s="2098"/>
      <c r="DD10" s="2087"/>
      <c r="DE10" s="2087"/>
      <c r="DF10" s="2087"/>
      <c r="DG10" s="2087"/>
      <c r="DH10" s="2087"/>
      <c r="DI10" s="2098"/>
      <c r="DJ10" s="2087"/>
      <c r="DK10" s="2087"/>
      <c r="DL10" s="2087"/>
      <c r="DM10" s="2087"/>
      <c r="DN10" s="2087"/>
      <c r="DO10" s="2087"/>
      <c r="DP10" s="2087"/>
      <c r="DQ10" s="2087"/>
      <c r="DR10" s="2087"/>
      <c r="DS10" s="2087"/>
      <c r="DT10" s="2087"/>
      <c r="DU10" s="2087"/>
      <c r="DV10" s="2087"/>
      <c r="DW10" s="2087"/>
      <c r="DX10" s="2087"/>
      <c r="DY10" s="2087"/>
      <c r="DZ10" s="2087"/>
      <c r="EA10" s="2087"/>
      <c r="EB10" s="2087"/>
      <c r="EC10" s="2087"/>
      <c r="ED10" s="2087"/>
      <c r="EE10" s="2087"/>
      <c r="EF10" s="2087"/>
      <c r="EG10" s="2087"/>
      <c r="EH10" s="2190"/>
      <c r="EI10" s="2191"/>
      <c r="EJ10" s="2103"/>
      <c r="EK10" s="2192"/>
      <c r="EL10" s="2193"/>
      <c r="EM10" s="2192"/>
      <c r="EN10" s="2193"/>
      <c r="EO10" s="2192"/>
      <c r="EP10" s="2192"/>
      <c r="EQ10" s="2192"/>
      <c r="ER10" s="2192"/>
      <c r="ES10" s="2192"/>
      <c r="ET10" s="2192"/>
      <c r="EU10" s="2192"/>
      <c r="EV10" s="2192"/>
      <c r="EW10" s="2192"/>
      <c r="EX10" s="2192"/>
      <c r="EY10" s="2103"/>
      <c r="EZ10" s="2194"/>
      <c r="FA10" s="2195"/>
      <c r="FB10" s="2196"/>
    </row>
    <row r="11" spans="1:158" s="2197" customFormat="1" ht="18.899999999999999" customHeight="1">
      <c r="A11" s="2198">
        <v>4</v>
      </c>
      <c r="B11" s="2083"/>
      <c r="C11" s="2187"/>
      <c r="D11" s="2187"/>
      <c r="E11" s="2187"/>
      <c r="F11" s="2187"/>
      <c r="G11" s="2187"/>
      <c r="H11" s="2187"/>
      <c r="I11" s="2188"/>
      <c r="J11" s="2087"/>
      <c r="K11" s="2087"/>
      <c r="L11" s="2087"/>
      <c r="M11" s="2083"/>
      <c r="N11" s="2083"/>
      <c r="O11" s="2087"/>
      <c r="P11" s="2087"/>
      <c r="Q11" s="2087"/>
      <c r="R11" s="2087"/>
      <c r="S11" s="2087"/>
      <c r="T11" s="2087"/>
      <c r="U11" s="2087"/>
      <c r="V11" s="2087"/>
      <c r="W11" s="2087"/>
      <c r="X11" s="2087"/>
      <c r="Y11" s="2098"/>
      <c r="Z11" s="2087"/>
      <c r="AA11" s="2087"/>
      <c r="AB11" s="2087"/>
      <c r="AC11" s="2087"/>
      <c r="AD11" s="2087"/>
      <c r="AE11" s="2087"/>
      <c r="AF11" s="2087"/>
      <c r="AG11" s="2087"/>
      <c r="AH11" s="2087"/>
      <c r="AI11" s="2087"/>
      <c r="AJ11" s="2087"/>
      <c r="AK11" s="2087"/>
      <c r="AL11" s="2087"/>
      <c r="AM11" s="2087"/>
      <c r="AN11" s="2087"/>
      <c r="AO11" s="2087"/>
      <c r="AP11" s="2087"/>
      <c r="AQ11" s="2087"/>
      <c r="AR11" s="2087"/>
      <c r="AS11" s="2087"/>
      <c r="AT11" s="2087"/>
      <c r="AU11" s="2087"/>
      <c r="AV11" s="2087"/>
      <c r="AW11" s="2087"/>
      <c r="AX11" s="2098"/>
      <c r="AY11" s="2087"/>
      <c r="AZ11" s="2087"/>
      <c r="BA11" s="2087"/>
      <c r="BB11" s="2087"/>
      <c r="BC11" s="2087"/>
      <c r="BD11" s="2087"/>
      <c r="BE11" s="2087"/>
      <c r="BF11" s="2087"/>
      <c r="BG11" s="2189"/>
      <c r="BH11" s="2087"/>
      <c r="BI11" s="2087"/>
      <c r="BJ11" s="2087"/>
      <c r="BK11" s="2087"/>
      <c r="BL11" s="2087"/>
      <c r="BM11" s="2087"/>
      <c r="BN11" s="2087"/>
      <c r="BO11" s="2087"/>
      <c r="BP11" s="2087"/>
      <c r="BQ11" s="2087"/>
      <c r="BR11" s="2087"/>
      <c r="BS11" s="2087"/>
      <c r="BT11" s="2087"/>
      <c r="BU11" s="2087"/>
      <c r="BV11" s="2087"/>
      <c r="BW11" s="2087"/>
      <c r="BX11" s="2098"/>
      <c r="BY11" s="2098"/>
      <c r="BZ11" s="2087"/>
      <c r="CA11" s="2098"/>
      <c r="CB11" s="2087"/>
      <c r="CC11" s="2087"/>
      <c r="CD11" s="2087"/>
      <c r="CE11" s="2087"/>
      <c r="CF11" s="2087"/>
      <c r="CG11" s="2087"/>
      <c r="CH11" s="2087"/>
      <c r="CI11" s="2087"/>
      <c r="CJ11" s="2087"/>
      <c r="CK11" s="2087"/>
      <c r="CL11" s="2087"/>
      <c r="CM11" s="2087"/>
      <c r="CN11" s="2087"/>
      <c r="CO11" s="2087"/>
      <c r="CP11" s="2087"/>
      <c r="CQ11" s="2087"/>
      <c r="CR11" s="2087"/>
      <c r="CS11" s="2087"/>
      <c r="CT11" s="2087"/>
      <c r="CU11" s="2098"/>
      <c r="CV11" s="2098"/>
      <c r="CW11" s="2098"/>
      <c r="CX11" s="2098"/>
      <c r="CY11" s="2098"/>
      <c r="CZ11" s="2098"/>
      <c r="DA11" s="2087"/>
      <c r="DB11" s="2087"/>
      <c r="DC11" s="2098"/>
      <c r="DD11" s="2087"/>
      <c r="DE11" s="2087"/>
      <c r="DF11" s="2087"/>
      <c r="DG11" s="2087"/>
      <c r="DH11" s="2087"/>
      <c r="DI11" s="2098"/>
      <c r="DJ11" s="2087"/>
      <c r="DK11" s="2087"/>
      <c r="DL11" s="2087"/>
      <c r="DM11" s="2087"/>
      <c r="DN11" s="2087"/>
      <c r="DO11" s="2087"/>
      <c r="DP11" s="2087"/>
      <c r="DQ11" s="2087"/>
      <c r="DR11" s="2087"/>
      <c r="DS11" s="2087"/>
      <c r="DT11" s="2087"/>
      <c r="DU11" s="2087"/>
      <c r="DV11" s="2087"/>
      <c r="DW11" s="2087"/>
      <c r="DX11" s="2087"/>
      <c r="DY11" s="2087"/>
      <c r="DZ11" s="2087"/>
      <c r="EA11" s="2087"/>
      <c r="EB11" s="2087"/>
      <c r="EC11" s="2087"/>
      <c r="ED11" s="2087"/>
      <c r="EE11" s="2087"/>
      <c r="EF11" s="2087"/>
      <c r="EG11" s="2087"/>
      <c r="EH11" s="2190"/>
      <c r="EI11" s="2191"/>
      <c r="EJ11" s="2103"/>
      <c r="EK11" s="2192"/>
      <c r="EL11" s="2193"/>
      <c r="EM11" s="2192"/>
      <c r="EN11" s="2193"/>
      <c r="EO11" s="2192"/>
      <c r="EP11" s="2192"/>
      <c r="EQ11" s="2192"/>
      <c r="ER11" s="2192"/>
      <c r="ES11" s="2192"/>
      <c r="ET11" s="2192"/>
      <c r="EU11" s="2192"/>
      <c r="EV11" s="2192"/>
      <c r="EW11" s="2192"/>
      <c r="EX11" s="2192"/>
      <c r="EY11" s="2103"/>
      <c r="EZ11" s="2194"/>
      <c r="FA11" s="2195"/>
      <c r="FB11" s="2196"/>
    </row>
    <row r="12" spans="1:158" s="2197" customFormat="1" ht="18.899999999999999" customHeight="1">
      <c r="A12" s="2198">
        <v>5</v>
      </c>
      <c r="B12" s="2083"/>
      <c r="C12" s="2187"/>
      <c r="D12" s="2187"/>
      <c r="E12" s="2187"/>
      <c r="F12" s="2187"/>
      <c r="G12" s="2187"/>
      <c r="H12" s="2187"/>
      <c r="I12" s="2188"/>
      <c r="J12" s="2087"/>
      <c r="K12" s="2087"/>
      <c r="L12" s="2087"/>
      <c r="M12" s="2083"/>
      <c r="N12" s="2083"/>
      <c r="O12" s="2087"/>
      <c r="P12" s="2087"/>
      <c r="Q12" s="2087"/>
      <c r="R12" s="2087"/>
      <c r="S12" s="2087"/>
      <c r="T12" s="2087"/>
      <c r="U12" s="2087"/>
      <c r="V12" s="2087"/>
      <c r="W12" s="2087"/>
      <c r="X12" s="2087"/>
      <c r="Y12" s="2098"/>
      <c r="Z12" s="2087"/>
      <c r="AA12" s="2087"/>
      <c r="AB12" s="2087"/>
      <c r="AC12" s="2087"/>
      <c r="AD12" s="2087"/>
      <c r="AE12" s="2087"/>
      <c r="AF12" s="2087"/>
      <c r="AG12" s="2087"/>
      <c r="AH12" s="2087"/>
      <c r="AI12" s="2087"/>
      <c r="AJ12" s="2087"/>
      <c r="AK12" s="2087"/>
      <c r="AL12" s="2087"/>
      <c r="AM12" s="2087"/>
      <c r="AN12" s="2087"/>
      <c r="AO12" s="2087"/>
      <c r="AP12" s="2087"/>
      <c r="AQ12" s="2087"/>
      <c r="AR12" s="2087"/>
      <c r="AS12" s="2087"/>
      <c r="AT12" s="2087"/>
      <c r="AU12" s="2087"/>
      <c r="AV12" s="2087"/>
      <c r="AW12" s="2087"/>
      <c r="AX12" s="2098"/>
      <c r="AY12" s="2087"/>
      <c r="AZ12" s="2087"/>
      <c r="BA12" s="2087"/>
      <c r="BB12" s="2087"/>
      <c r="BC12" s="2087"/>
      <c r="BD12" s="2087"/>
      <c r="BE12" s="2087"/>
      <c r="BF12" s="2087"/>
      <c r="BG12" s="2189"/>
      <c r="BH12" s="2087"/>
      <c r="BI12" s="2087"/>
      <c r="BJ12" s="2087"/>
      <c r="BK12" s="2087"/>
      <c r="BL12" s="2087"/>
      <c r="BM12" s="2087"/>
      <c r="BN12" s="2087"/>
      <c r="BO12" s="2087"/>
      <c r="BP12" s="2087"/>
      <c r="BQ12" s="2087"/>
      <c r="BR12" s="2087"/>
      <c r="BS12" s="2087"/>
      <c r="BT12" s="2087"/>
      <c r="BU12" s="2087"/>
      <c r="BV12" s="2087"/>
      <c r="BW12" s="2087"/>
      <c r="BX12" s="2098"/>
      <c r="BY12" s="2098"/>
      <c r="BZ12" s="2087"/>
      <c r="CA12" s="2098"/>
      <c r="CB12" s="2087"/>
      <c r="CC12" s="2087"/>
      <c r="CD12" s="2087"/>
      <c r="CE12" s="2087"/>
      <c r="CF12" s="2087"/>
      <c r="CG12" s="2087"/>
      <c r="CH12" s="2087"/>
      <c r="CI12" s="2087"/>
      <c r="CJ12" s="2087"/>
      <c r="CK12" s="2087"/>
      <c r="CL12" s="2087"/>
      <c r="CM12" s="2087"/>
      <c r="CN12" s="2087"/>
      <c r="CO12" s="2087"/>
      <c r="CP12" s="2087"/>
      <c r="CQ12" s="2087"/>
      <c r="CR12" s="2087"/>
      <c r="CS12" s="2087"/>
      <c r="CT12" s="2087"/>
      <c r="CU12" s="2098"/>
      <c r="CV12" s="2098"/>
      <c r="CW12" s="2098"/>
      <c r="CX12" s="2098"/>
      <c r="CY12" s="2098"/>
      <c r="CZ12" s="2098"/>
      <c r="DA12" s="2087"/>
      <c r="DB12" s="2087"/>
      <c r="DC12" s="2098"/>
      <c r="DD12" s="2087"/>
      <c r="DE12" s="2087"/>
      <c r="DF12" s="2087"/>
      <c r="DG12" s="2087"/>
      <c r="DH12" s="2087"/>
      <c r="DI12" s="2098"/>
      <c r="DJ12" s="2087"/>
      <c r="DK12" s="2087"/>
      <c r="DL12" s="2087"/>
      <c r="DM12" s="2087"/>
      <c r="DN12" s="2087"/>
      <c r="DO12" s="2087"/>
      <c r="DP12" s="2087"/>
      <c r="DQ12" s="2087"/>
      <c r="DR12" s="2087"/>
      <c r="DS12" s="2087"/>
      <c r="DT12" s="2087"/>
      <c r="DU12" s="2087"/>
      <c r="DV12" s="2087"/>
      <c r="DW12" s="2087"/>
      <c r="DX12" s="2087"/>
      <c r="DY12" s="2087"/>
      <c r="DZ12" s="2087"/>
      <c r="EA12" s="2087"/>
      <c r="EB12" s="2087"/>
      <c r="EC12" s="2087"/>
      <c r="ED12" s="2087"/>
      <c r="EE12" s="2087"/>
      <c r="EF12" s="2087"/>
      <c r="EG12" s="2087"/>
      <c r="EH12" s="2190"/>
      <c r="EI12" s="2191"/>
      <c r="EJ12" s="2103"/>
      <c r="EK12" s="2192"/>
      <c r="EL12" s="2193"/>
      <c r="EM12" s="2192"/>
      <c r="EN12" s="2193"/>
      <c r="EO12" s="2192"/>
      <c r="EP12" s="2192"/>
      <c r="EQ12" s="2192"/>
      <c r="ER12" s="2192"/>
      <c r="ES12" s="2192"/>
      <c r="ET12" s="2192"/>
      <c r="EU12" s="2192"/>
      <c r="EV12" s="2192"/>
      <c r="EW12" s="2192"/>
      <c r="EX12" s="2192"/>
      <c r="EY12" s="2103"/>
      <c r="EZ12" s="2194"/>
      <c r="FA12" s="2195"/>
      <c r="FB12" s="2196"/>
    </row>
    <row r="13" spans="1:158" s="2197" customFormat="1" ht="18.899999999999999" customHeight="1">
      <c r="A13" s="2198">
        <v>6</v>
      </c>
      <c r="B13" s="2083"/>
      <c r="C13" s="2187"/>
      <c r="D13" s="2187"/>
      <c r="E13" s="2187"/>
      <c r="F13" s="2187"/>
      <c r="G13" s="2187"/>
      <c r="H13" s="2187"/>
      <c r="I13" s="2188"/>
      <c r="J13" s="2087"/>
      <c r="K13" s="2087"/>
      <c r="L13" s="2087"/>
      <c r="M13" s="2083"/>
      <c r="N13" s="2083"/>
      <c r="O13" s="2087"/>
      <c r="P13" s="2087"/>
      <c r="Q13" s="2087"/>
      <c r="R13" s="2087"/>
      <c r="S13" s="2087"/>
      <c r="T13" s="2087"/>
      <c r="U13" s="2087"/>
      <c r="V13" s="2087"/>
      <c r="W13" s="2087"/>
      <c r="X13" s="2087"/>
      <c r="Y13" s="2098"/>
      <c r="Z13" s="2087"/>
      <c r="AA13" s="2087"/>
      <c r="AB13" s="2087"/>
      <c r="AC13" s="2087"/>
      <c r="AD13" s="2087"/>
      <c r="AE13" s="2087"/>
      <c r="AF13" s="2087"/>
      <c r="AG13" s="2087"/>
      <c r="AH13" s="2087"/>
      <c r="AI13" s="2087"/>
      <c r="AJ13" s="2087"/>
      <c r="AK13" s="2087"/>
      <c r="AL13" s="2087"/>
      <c r="AM13" s="2087"/>
      <c r="AN13" s="2087"/>
      <c r="AO13" s="2087"/>
      <c r="AP13" s="2087"/>
      <c r="AQ13" s="2087"/>
      <c r="AR13" s="2087"/>
      <c r="AS13" s="2087"/>
      <c r="AT13" s="2087"/>
      <c r="AU13" s="2087"/>
      <c r="AV13" s="2087"/>
      <c r="AW13" s="2087"/>
      <c r="AX13" s="2098"/>
      <c r="AY13" s="2087"/>
      <c r="AZ13" s="2087"/>
      <c r="BA13" s="2087"/>
      <c r="BB13" s="2087"/>
      <c r="BC13" s="2087"/>
      <c r="BD13" s="2087"/>
      <c r="BE13" s="2087"/>
      <c r="BF13" s="2087"/>
      <c r="BG13" s="2189"/>
      <c r="BH13" s="2087"/>
      <c r="BI13" s="2087"/>
      <c r="BJ13" s="2087"/>
      <c r="BK13" s="2087"/>
      <c r="BL13" s="2087"/>
      <c r="BM13" s="2087"/>
      <c r="BN13" s="2087"/>
      <c r="BO13" s="2087"/>
      <c r="BP13" s="2087"/>
      <c r="BQ13" s="2087"/>
      <c r="BR13" s="2087"/>
      <c r="BS13" s="2087"/>
      <c r="BT13" s="2087"/>
      <c r="BU13" s="2087"/>
      <c r="BV13" s="2087"/>
      <c r="BW13" s="2087"/>
      <c r="BX13" s="2098"/>
      <c r="BY13" s="2098"/>
      <c r="BZ13" s="2087"/>
      <c r="CA13" s="2098"/>
      <c r="CB13" s="2087"/>
      <c r="CC13" s="2087"/>
      <c r="CD13" s="2087"/>
      <c r="CE13" s="2087"/>
      <c r="CF13" s="2087"/>
      <c r="CG13" s="2087"/>
      <c r="CH13" s="2087"/>
      <c r="CI13" s="2087"/>
      <c r="CJ13" s="2087"/>
      <c r="CK13" s="2087"/>
      <c r="CL13" s="2087"/>
      <c r="CM13" s="2087"/>
      <c r="CN13" s="2087"/>
      <c r="CO13" s="2087"/>
      <c r="CP13" s="2087"/>
      <c r="CQ13" s="2087"/>
      <c r="CR13" s="2087"/>
      <c r="CS13" s="2087"/>
      <c r="CT13" s="2087"/>
      <c r="CU13" s="2098"/>
      <c r="CV13" s="2098"/>
      <c r="CW13" s="2098"/>
      <c r="CX13" s="2098"/>
      <c r="CY13" s="2098"/>
      <c r="CZ13" s="2098"/>
      <c r="DA13" s="2087"/>
      <c r="DB13" s="2087"/>
      <c r="DC13" s="2098"/>
      <c r="DD13" s="2087"/>
      <c r="DE13" s="2087"/>
      <c r="DF13" s="2087"/>
      <c r="DG13" s="2087"/>
      <c r="DH13" s="2087"/>
      <c r="DI13" s="2098"/>
      <c r="DJ13" s="2087"/>
      <c r="DK13" s="2087"/>
      <c r="DL13" s="2087"/>
      <c r="DM13" s="2087"/>
      <c r="DN13" s="2087"/>
      <c r="DO13" s="2087"/>
      <c r="DP13" s="2087"/>
      <c r="DQ13" s="2087"/>
      <c r="DR13" s="2087"/>
      <c r="DS13" s="2087"/>
      <c r="DT13" s="2087"/>
      <c r="DU13" s="2087"/>
      <c r="DV13" s="2087"/>
      <c r="DW13" s="2087"/>
      <c r="DX13" s="2087"/>
      <c r="DY13" s="2087"/>
      <c r="DZ13" s="2087"/>
      <c r="EA13" s="2087"/>
      <c r="EB13" s="2087"/>
      <c r="EC13" s="2087"/>
      <c r="ED13" s="2087"/>
      <c r="EE13" s="2087"/>
      <c r="EF13" s="2087"/>
      <c r="EG13" s="2087"/>
      <c r="EH13" s="2190"/>
      <c r="EI13" s="2191"/>
      <c r="EJ13" s="2103"/>
      <c r="EK13" s="2192"/>
      <c r="EL13" s="2193"/>
      <c r="EM13" s="2192"/>
      <c r="EN13" s="2193"/>
      <c r="EO13" s="2192"/>
      <c r="EP13" s="2192"/>
      <c r="EQ13" s="2192"/>
      <c r="ER13" s="2192"/>
      <c r="ES13" s="2192"/>
      <c r="ET13" s="2192"/>
      <c r="EU13" s="2192"/>
      <c r="EV13" s="2192"/>
      <c r="EW13" s="2192"/>
      <c r="EX13" s="2192"/>
      <c r="EY13" s="2103"/>
      <c r="EZ13" s="2194"/>
      <c r="FA13" s="2195"/>
      <c r="FB13" s="2196"/>
    </row>
    <row r="14" spans="1:158" s="2197" customFormat="1" ht="18.899999999999999" customHeight="1">
      <c r="A14" s="2198">
        <v>7</v>
      </c>
      <c r="B14" s="2083"/>
      <c r="C14" s="2187"/>
      <c r="D14" s="2187"/>
      <c r="E14" s="2187"/>
      <c r="F14" s="2187"/>
      <c r="G14" s="2187"/>
      <c r="H14" s="2187"/>
      <c r="I14" s="2188"/>
      <c r="J14" s="2087"/>
      <c r="K14" s="2087"/>
      <c r="L14" s="2087"/>
      <c r="M14" s="2083"/>
      <c r="N14" s="2083"/>
      <c r="O14" s="2087"/>
      <c r="P14" s="2087"/>
      <c r="Q14" s="2087"/>
      <c r="R14" s="2087"/>
      <c r="S14" s="2087"/>
      <c r="T14" s="2087"/>
      <c r="U14" s="2087"/>
      <c r="V14" s="2087"/>
      <c r="W14" s="2087"/>
      <c r="X14" s="2087"/>
      <c r="Y14" s="2098"/>
      <c r="Z14" s="2087"/>
      <c r="AA14" s="2087"/>
      <c r="AB14" s="2087"/>
      <c r="AC14" s="2087"/>
      <c r="AD14" s="2087"/>
      <c r="AE14" s="2087"/>
      <c r="AF14" s="2087"/>
      <c r="AG14" s="2087"/>
      <c r="AH14" s="2087"/>
      <c r="AI14" s="2087"/>
      <c r="AJ14" s="2087"/>
      <c r="AK14" s="2087"/>
      <c r="AL14" s="2087"/>
      <c r="AM14" s="2087"/>
      <c r="AN14" s="2087"/>
      <c r="AO14" s="2087"/>
      <c r="AP14" s="2087"/>
      <c r="AQ14" s="2087"/>
      <c r="AR14" s="2087"/>
      <c r="AS14" s="2087"/>
      <c r="AT14" s="2087"/>
      <c r="AU14" s="2087"/>
      <c r="AV14" s="2087"/>
      <c r="AW14" s="2087"/>
      <c r="AX14" s="2098"/>
      <c r="AY14" s="2087"/>
      <c r="AZ14" s="2087"/>
      <c r="BA14" s="2087"/>
      <c r="BB14" s="2087"/>
      <c r="BC14" s="2087"/>
      <c r="BD14" s="2087"/>
      <c r="BE14" s="2087"/>
      <c r="BF14" s="2087"/>
      <c r="BG14" s="2189"/>
      <c r="BH14" s="2087"/>
      <c r="BI14" s="2087"/>
      <c r="BJ14" s="2087"/>
      <c r="BK14" s="2087"/>
      <c r="BL14" s="2087"/>
      <c r="BM14" s="2087"/>
      <c r="BN14" s="2087"/>
      <c r="BO14" s="2087"/>
      <c r="BP14" s="2087"/>
      <c r="BQ14" s="2087"/>
      <c r="BR14" s="2087"/>
      <c r="BS14" s="2087"/>
      <c r="BT14" s="2087"/>
      <c r="BU14" s="2087"/>
      <c r="BV14" s="2087"/>
      <c r="BW14" s="2087"/>
      <c r="BX14" s="2098"/>
      <c r="BY14" s="2098"/>
      <c r="BZ14" s="2087"/>
      <c r="CA14" s="2098"/>
      <c r="CB14" s="2087"/>
      <c r="CC14" s="2087"/>
      <c r="CD14" s="2087"/>
      <c r="CE14" s="2087"/>
      <c r="CF14" s="2087"/>
      <c r="CG14" s="2087"/>
      <c r="CH14" s="2087"/>
      <c r="CI14" s="2087"/>
      <c r="CJ14" s="2087"/>
      <c r="CK14" s="2087"/>
      <c r="CL14" s="2087"/>
      <c r="CM14" s="2087"/>
      <c r="CN14" s="2087"/>
      <c r="CO14" s="2087"/>
      <c r="CP14" s="2087"/>
      <c r="CQ14" s="2087"/>
      <c r="CR14" s="2087"/>
      <c r="CS14" s="2087"/>
      <c r="CT14" s="2087"/>
      <c r="CU14" s="2098"/>
      <c r="CV14" s="2098"/>
      <c r="CW14" s="2098"/>
      <c r="CX14" s="2098"/>
      <c r="CY14" s="2098"/>
      <c r="CZ14" s="2098"/>
      <c r="DA14" s="2087"/>
      <c r="DB14" s="2087"/>
      <c r="DC14" s="2098"/>
      <c r="DD14" s="2087"/>
      <c r="DE14" s="2087"/>
      <c r="DF14" s="2087"/>
      <c r="DG14" s="2087"/>
      <c r="DH14" s="2087"/>
      <c r="DI14" s="2098"/>
      <c r="DJ14" s="2087"/>
      <c r="DK14" s="2087"/>
      <c r="DL14" s="2087"/>
      <c r="DM14" s="2087"/>
      <c r="DN14" s="2087"/>
      <c r="DO14" s="2087"/>
      <c r="DP14" s="2087"/>
      <c r="DQ14" s="2087"/>
      <c r="DR14" s="2087"/>
      <c r="DS14" s="2087"/>
      <c r="DT14" s="2087"/>
      <c r="DU14" s="2087"/>
      <c r="DV14" s="2087"/>
      <c r="DW14" s="2087"/>
      <c r="DX14" s="2087"/>
      <c r="DY14" s="2087"/>
      <c r="DZ14" s="2087"/>
      <c r="EA14" s="2087"/>
      <c r="EB14" s="2087"/>
      <c r="EC14" s="2087"/>
      <c r="ED14" s="2087"/>
      <c r="EE14" s="2087"/>
      <c r="EF14" s="2087"/>
      <c r="EG14" s="2087"/>
      <c r="EH14" s="2190"/>
      <c r="EI14" s="2191"/>
      <c r="EJ14" s="2103"/>
      <c r="EK14" s="2192"/>
      <c r="EL14" s="2193"/>
      <c r="EM14" s="2192"/>
      <c r="EN14" s="2193"/>
      <c r="EO14" s="2192"/>
      <c r="EP14" s="2192"/>
      <c r="EQ14" s="2192"/>
      <c r="ER14" s="2192"/>
      <c r="ES14" s="2192"/>
      <c r="ET14" s="2192"/>
      <c r="EU14" s="2192"/>
      <c r="EV14" s="2192"/>
      <c r="EW14" s="2192"/>
      <c r="EX14" s="2192"/>
      <c r="EY14" s="2103"/>
      <c r="EZ14" s="2194"/>
      <c r="FA14" s="2195"/>
      <c r="FB14" s="2196"/>
    </row>
    <row r="15" spans="1:158" s="2197" customFormat="1" ht="18.899999999999999" customHeight="1">
      <c r="A15" s="2198">
        <v>8</v>
      </c>
      <c r="B15" s="2083"/>
      <c r="C15" s="2187"/>
      <c r="D15" s="2187"/>
      <c r="E15" s="2187"/>
      <c r="F15" s="2187"/>
      <c r="G15" s="2187"/>
      <c r="H15" s="2187"/>
      <c r="I15" s="2188"/>
      <c r="J15" s="2087"/>
      <c r="K15" s="2087"/>
      <c r="L15" s="2087"/>
      <c r="M15" s="2083"/>
      <c r="N15" s="2083"/>
      <c r="O15" s="2087"/>
      <c r="P15" s="2087"/>
      <c r="Q15" s="2087"/>
      <c r="R15" s="2087"/>
      <c r="S15" s="2087"/>
      <c r="T15" s="2087"/>
      <c r="U15" s="2087"/>
      <c r="V15" s="2087"/>
      <c r="W15" s="2087"/>
      <c r="X15" s="2087"/>
      <c r="Y15" s="2098"/>
      <c r="Z15" s="2087"/>
      <c r="AA15" s="2087"/>
      <c r="AB15" s="2087"/>
      <c r="AC15" s="2087"/>
      <c r="AD15" s="2087"/>
      <c r="AE15" s="2087"/>
      <c r="AF15" s="2087"/>
      <c r="AG15" s="2087"/>
      <c r="AH15" s="2087"/>
      <c r="AI15" s="2087"/>
      <c r="AJ15" s="2087"/>
      <c r="AK15" s="2087"/>
      <c r="AL15" s="2087"/>
      <c r="AM15" s="2087"/>
      <c r="AN15" s="2087"/>
      <c r="AO15" s="2087"/>
      <c r="AP15" s="2087"/>
      <c r="AQ15" s="2087"/>
      <c r="AR15" s="2087"/>
      <c r="AS15" s="2087"/>
      <c r="AT15" s="2087"/>
      <c r="AU15" s="2087"/>
      <c r="AV15" s="2087"/>
      <c r="AW15" s="2087"/>
      <c r="AX15" s="2098"/>
      <c r="AY15" s="2087"/>
      <c r="AZ15" s="2087"/>
      <c r="BA15" s="2087"/>
      <c r="BB15" s="2087"/>
      <c r="BC15" s="2087"/>
      <c r="BD15" s="2087"/>
      <c r="BE15" s="2087"/>
      <c r="BF15" s="2087"/>
      <c r="BG15" s="2189"/>
      <c r="BH15" s="2087"/>
      <c r="BI15" s="2087"/>
      <c r="BJ15" s="2087"/>
      <c r="BK15" s="2087"/>
      <c r="BL15" s="2087"/>
      <c r="BM15" s="2087"/>
      <c r="BN15" s="2087"/>
      <c r="BO15" s="2087"/>
      <c r="BP15" s="2087"/>
      <c r="BQ15" s="2087"/>
      <c r="BR15" s="2087"/>
      <c r="BS15" s="2087"/>
      <c r="BT15" s="2087"/>
      <c r="BU15" s="2087"/>
      <c r="BV15" s="2087"/>
      <c r="BW15" s="2087"/>
      <c r="BX15" s="2098"/>
      <c r="BY15" s="2098"/>
      <c r="BZ15" s="2087"/>
      <c r="CA15" s="2098"/>
      <c r="CB15" s="2087"/>
      <c r="CC15" s="2087"/>
      <c r="CD15" s="2087"/>
      <c r="CE15" s="2087"/>
      <c r="CF15" s="2087"/>
      <c r="CG15" s="2087"/>
      <c r="CH15" s="2087"/>
      <c r="CI15" s="2087"/>
      <c r="CJ15" s="2087"/>
      <c r="CK15" s="2087"/>
      <c r="CL15" s="2087"/>
      <c r="CM15" s="2087"/>
      <c r="CN15" s="2087"/>
      <c r="CO15" s="2087"/>
      <c r="CP15" s="2087"/>
      <c r="CQ15" s="2087"/>
      <c r="CR15" s="2087"/>
      <c r="CS15" s="2087"/>
      <c r="CT15" s="2087"/>
      <c r="CU15" s="2098"/>
      <c r="CV15" s="2098"/>
      <c r="CW15" s="2098"/>
      <c r="CX15" s="2098"/>
      <c r="CY15" s="2098"/>
      <c r="CZ15" s="2098"/>
      <c r="DA15" s="2087"/>
      <c r="DB15" s="2087"/>
      <c r="DC15" s="2098"/>
      <c r="DD15" s="2087"/>
      <c r="DE15" s="2087"/>
      <c r="DF15" s="2087"/>
      <c r="DG15" s="2087"/>
      <c r="DH15" s="2087"/>
      <c r="DI15" s="2098"/>
      <c r="DJ15" s="2087"/>
      <c r="DK15" s="2087"/>
      <c r="DL15" s="2087"/>
      <c r="DM15" s="2087"/>
      <c r="DN15" s="2087"/>
      <c r="DO15" s="2087"/>
      <c r="DP15" s="2087"/>
      <c r="DQ15" s="2087"/>
      <c r="DR15" s="2087"/>
      <c r="DS15" s="2087"/>
      <c r="DT15" s="2087"/>
      <c r="DU15" s="2087"/>
      <c r="DV15" s="2087"/>
      <c r="DW15" s="2087"/>
      <c r="DX15" s="2087"/>
      <c r="DY15" s="2087"/>
      <c r="DZ15" s="2087"/>
      <c r="EA15" s="2087"/>
      <c r="EB15" s="2087"/>
      <c r="EC15" s="2087"/>
      <c r="ED15" s="2087"/>
      <c r="EE15" s="2087"/>
      <c r="EF15" s="2087"/>
      <c r="EG15" s="2087"/>
      <c r="EH15" s="2190"/>
      <c r="EI15" s="2191"/>
      <c r="EJ15" s="2103"/>
      <c r="EK15" s="2192"/>
      <c r="EL15" s="2193"/>
      <c r="EM15" s="2192"/>
      <c r="EN15" s="2193"/>
      <c r="EO15" s="2192"/>
      <c r="EP15" s="2192"/>
      <c r="EQ15" s="2192"/>
      <c r="ER15" s="2192"/>
      <c r="ES15" s="2192"/>
      <c r="ET15" s="2192"/>
      <c r="EU15" s="2192"/>
      <c r="EV15" s="2192"/>
      <c r="EW15" s="2192"/>
      <c r="EX15" s="2192"/>
      <c r="EY15" s="2103"/>
      <c r="EZ15" s="2194"/>
      <c r="FA15" s="2195"/>
      <c r="FB15" s="2196"/>
    </row>
    <row r="16" spans="1:158" s="2197" customFormat="1" ht="13.8">
      <c r="A16" s="2198">
        <v>9</v>
      </c>
      <c r="B16" s="2083"/>
      <c r="C16" s="2187"/>
      <c r="D16" s="2187"/>
      <c r="E16" s="2187"/>
      <c r="F16" s="2187"/>
      <c r="G16" s="2187"/>
      <c r="H16" s="2187"/>
      <c r="I16" s="2188"/>
      <c r="J16" s="2087"/>
      <c r="K16" s="2087"/>
      <c r="L16" s="2087"/>
      <c r="M16" s="2083"/>
      <c r="N16" s="2083"/>
      <c r="O16" s="2087"/>
      <c r="P16" s="2087"/>
      <c r="Q16" s="2087"/>
      <c r="R16" s="2087"/>
      <c r="S16" s="2087"/>
      <c r="T16" s="2087"/>
      <c r="U16" s="2087"/>
      <c r="V16" s="2087"/>
      <c r="W16" s="2087"/>
      <c r="X16" s="2087"/>
      <c r="Y16" s="2098"/>
      <c r="Z16" s="2087"/>
      <c r="AA16" s="2087"/>
      <c r="AB16" s="2087"/>
      <c r="AC16" s="2087"/>
      <c r="AD16" s="2087"/>
      <c r="AE16" s="2087"/>
      <c r="AF16" s="2087"/>
      <c r="AG16" s="2087"/>
      <c r="AH16" s="2087"/>
      <c r="AI16" s="2087"/>
      <c r="AJ16" s="2087"/>
      <c r="AK16" s="2087"/>
      <c r="AL16" s="2087"/>
      <c r="AM16" s="2087"/>
      <c r="AN16" s="2087"/>
      <c r="AO16" s="2087"/>
      <c r="AP16" s="2087"/>
      <c r="AQ16" s="2087"/>
      <c r="AR16" s="2087"/>
      <c r="AS16" s="2087"/>
      <c r="AT16" s="2087"/>
      <c r="AU16" s="2087"/>
      <c r="AV16" s="2087"/>
      <c r="AW16" s="2087"/>
      <c r="AX16" s="2098"/>
      <c r="AY16" s="2087"/>
      <c r="AZ16" s="2087"/>
      <c r="BA16" s="2087"/>
      <c r="BB16" s="2087"/>
      <c r="BC16" s="2087"/>
      <c r="BD16" s="2087"/>
      <c r="BE16" s="2087"/>
      <c r="BF16" s="2087"/>
      <c r="BG16" s="2189"/>
      <c r="BH16" s="2087"/>
      <c r="BI16" s="2087"/>
      <c r="BJ16" s="2087"/>
      <c r="BK16" s="2087"/>
      <c r="BL16" s="2087"/>
      <c r="BM16" s="2087"/>
      <c r="BN16" s="2087"/>
      <c r="BO16" s="2087"/>
      <c r="BP16" s="2087"/>
      <c r="BQ16" s="2087"/>
      <c r="BR16" s="2087"/>
      <c r="BS16" s="2087"/>
      <c r="BT16" s="2087"/>
      <c r="BU16" s="2087"/>
      <c r="BV16" s="2087"/>
      <c r="BW16" s="2087"/>
      <c r="BX16" s="2098"/>
      <c r="BY16" s="2098"/>
      <c r="BZ16" s="2087"/>
      <c r="CA16" s="2098"/>
      <c r="CB16" s="2087"/>
      <c r="CC16" s="2087"/>
      <c r="CD16" s="2087"/>
      <c r="CE16" s="2087"/>
      <c r="CF16" s="2087"/>
      <c r="CG16" s="2087"/>
      <c r="CH16" s="2087"/>
      <c r="CI16" s="2087"/>
      <c r="CJ16" s="2087"/>
      <c r="CK16" s="2087"/>
      <c r="CL16" s="2087"/>
      <c r="CM16" s="2087"/>
      <c r="CN16" s="2087"/>
      <c r="CO16" s="2087"/>
      <c r="CP16" s="2087"/>
      <c r="CQ16" s="2087"/>
      <c r="CR16" s="2087"/>
      <c r="CS16" s="2087"/>
      <c r="CT16" s="2087"/>
      <c r="CU16" s="2098"/>
      <c r="CV16" s="2098"/>
      <c r="CW16" s="2098"/>
      <c r="CX16" s="2098"/>
      <c r="CY16" s="2098"/>
      <c r="CZ16" s="2098"/>
      <c r="DA16" s="2087"/>
      <c r="DB16" s="2087"/>
      <c r="DC16" s="2098"/>
      <c r="DD16" s="2087"/>
      <c r="DE16" s="2087"/>
      <c r="DF16" s="2087"/>
      <c r="DG16" s="2087"/>
      <c r="DH16" s="2087"/>
      <c r="DI16" s="2098"/>
      <c r="DJ16" s="2087"/>
      <c r="DK16" s="2087"/>
      <c r="DL16" s="2087"/>
      <c r="DM16" s="2087"/>
      <c r="DN16" s="2087"/>
      <c r="DO16" s="2087"/>
      <c r="DP16" s="2087"/>
      <c r="DQ16" s="2087"/>
      <c r="DR16" s="2087"/>
      <c r="DS16" s="2087"/>
      <c r="DT16" s="2087"/>
      <c r="DU16" s="2087"/>
      <c r="DV16" s="2087"/>
      <c r="DW16" s="2087"/>
      <c r="DX16" s="2087"/>
      <c r="DY16" s="2087"/>
      <c r="DZ16" s="2087"/>
      <c r="EA16" s="2087"/>
      <c r="EB16" s="2087"/>
      <c r="EC16" s="2087"/>
      <c r="ED16" s="2087"/>
      <c r="EE16" s="2087"/>
      <c r="EF16" s="2087"/>
      <c r="EG16" s="2087"/>
      <c r="EH16" s="2190"/>
      <c r="EI16" s="2191"/>
      <c r="EJ16" s="2192"/>
      <c r="EK16" s="2192"/>
      <c r="EL16" s="2192"/>
      <c r="EM16" s="2192"/>
      <c r="EN16" s="2192"/>
      <c r="EO16" s="2192"/>
      <c r="EP16" s="2192"/>
      <c r="EQ16" s="2192"/>
      <c r="ER16" s="2192"/>
      <c r="ES16" s="2192"/>
      <c r="ET16" s="2192"/>
      <c r="EU16" s="2192"/>
      <c r="EV16" s="2192"/>
      <c r="EW16" s="2192"/>
      <c r="EX16" s="2192"/>
      <c r="EY16" s="2103"/>
      <c r="EZ16" s="2194"/>
      <c r="FA16" s="2195"/>
      <c r="FB16" s="2196"/>
    </row>
    <row r="17" spans="1:158" s="2197" customFormat="1" ht="18.899999999999999" customHeight="1">
      <c r="A17" s="2198">
        <v>10</v>
      </c>
      <c r="B17" s="2083"/>
      <c r="C17" s="2187"/>
      <c r="D17" s="2187"/>
      <c r="E17" s="2187"/>
      <c r="F17" s="2187"/>
      <c r="G17" s="2187"/>
      <c r="H17" s="2187"/>
      <c r="I17" s="2188"/>
      <c r="J17" s="2087"/>
      <c r="K17" s="2087"/>
      <c r="L17" s="2087"/>
      <c r="M17" s="2083"/>
      <c r="N17" s="2083"/>
      <c r="O17" s="2087"/>
      <c r="P17" s="2087"/>
      <c r="Q17" s="2087"/>
      <c r="R17" s="2087"/>
      <c r="S17" s="2087"/>
      <c r="T17" s="2087"/>
      <c r="U17" s="2087"/>
      <c r="V17" s="2087"/>
      <c r="W17" s="2087"/>
      <c r="X17" s="2087"/>
      <c r="Y17" s="2098"/>
      <c r="Z17" s="2087"/>
      <c r="AA17" s="2087"/>
      <c r="AB17" s="2087"/>
      <c r="AC17" s="2087"/>
      <c r="AD17" s="2087"/>
      <c r="AE17" s="2087"/>
      <c r="AF17" s="2087"/>
      <c r="AG17" s="2087"/>
      <c r="AH17" s="2087"/>
      <c r="AI17" s="2087"/>
      <c r="AJ17" s="2087"/>
      <c r="AK17" s="2087"/>
      <c r="AL17" s="2087"/>
      <c r="AM17" s="2087"/>
      <c r="AN17" s="2087"/>
      <c r="AO17" s="2087"/>
      <c r="AP17" s="2087"/>
      <c r="AQ17" s="2087"/>
      <c r="AR17" s="2087"/>
      <c r="AS17" s="2087"/>
      <c r="AT17" s="2087"/>
      <c r="AU17" s="2087"/>
      <c r="AV17" s="2087"/>
      <c r="AW17" s="2087"/>
      <c r="AX17" s="2098"/>
      <c r="AY17" s="2087"/>
      <c r="AZ17" s="2087"/>
      <c r="BA17" s="2087"/>
      <c r="BB17" s="2087"/>
      <c r="BC17" s="2087"/>
      <c r="BD17" s="2087"/>
      <c r="BE17" s="2087"/>
      <c r="BF17" s="2087"/>
      <c r="BG17" s="2189"/>
      <c r="BH17" s="2087"/>
      <c r="BI17" s="2087"/>
      <c r="BJ17" s="2087"/>
      <c r="BK17" s="2087"/>
      <c r="BL17" s="2087"/>
      <c r="BM17" s="2087"/>
      <c r="BN17" s="2087"/>
      <c r="BO17" s="2087"/>
      <c r="BP17" s="2087"/>
      <c r="BQ17" s="2087"/>
      <c r="BR17" s="2087"/>
      <c r="BS17" s="2087"/>
      <c r="BT17" s="2087"/>
      <c r="BU17" s="2087"/>
      <c r="BV17" s="2087"/>
      <c r="BW17" s="2087"/>
      <c r="BX17" s="2098"/>
      <c r="BY17" s="2098"/>
      <c r="BZ17" s="2087"/>
      <c r="CA17" s="2098"/>
      <c r="CB17" s="2087"/>
      <c r="CC17" s="2087"/>
      <c r="CD17" s="2087"/>
      <c r="CE17" s="2087"/>
      <c r="CF17" s="2087"/>
      <c r="CG17" s="2087"/>
      <c r="CH17" s="2087"/>
      <c r="CI17" s="2087"/>
      <c r="CJ17" s="2087"/>
      <c r="CK17" s="2087"/>
      <c r="CL17" s="2087"/>
      <c r="CM17" s="2087"/>
      <c r="CN17" s="2087"/>
      <c r="CO17" s="2087"/>
      <c r="CP17" s="2087"/>
      <c r="CQ17" s="2087"/>
      <c r="CR17" s="2087"/>
      <c r="CS17" s="2087"/>
      <c r="CT17" s="2087"/>
      <c r="CU17" s="2098"/>
      <c r="CV17" s="2098"/>
      <c r="CW17" s="2098"/>
      <c r="CX17" s="2098"/>
      <c r="CY17" s="2098"/>
      <c r="CZ17" s="2098"/>
      <c r="DA17" s="2087"/>
      <c r="DB17" s="2087"/>
      <c r="DC17" s="2098"/>
      <c r="DD17" s="2087"/>
      <c r="DE17" s="2087"/>
      <c r="DF17" s="2087"/>
      <c r="DG17" s="2087"/>
      <c r="DH17" s="2087"/>
      <c r="DI17" s="2098"/>
      <c r="DJ17" s="2087"/>
      <c r="DK17" s="2087"/>
      <c r="DL17" s="2087"/>
      <c r="DM17" s="2087"/>
      <c r="DN17" s="2087"/>
      <c r="DO17" s="2087"/>
      <c r="DP17" s="2087"/>
      <c r="DQ17" s="2087"/>
      <c r="DR17" s="2087"/>
      <c r="DS17" s="2087"/>
      <c r="DT17" s="2087"/>
      <c r="DU17" s="2087"/>
      <c r="DV17" s="2087"/>
      <c r="DW17" s="2087"/>
      <c r="DX17" s="2087"/>
      <c r="DY17" s="2087"/>
      <c r="DZ17" s="2087"/>
      <c r="EA17" s="2087"/>
      <c r="EB17" s="2087"/>
      <c r="EC17" s="2087"/>
      <c r="ED17" s="2087"/>
      <c r="EE17" s="2087"/>
      <c r="EF17" s="2087"/>
      <c r="EG17" s="2087"/>
      <c r="EH17" s="2190"/>
      <c r="EI17" s="2199"/>
      <c r="EJ17" s="2193"/>
      <c r="EK17" s="2193"/>
      <c r="EL17" s="2193"/>
      <c r="EM17" s="2193"/>
      <c r="EN17" s="2193"/>
      <c r="EO17" s="2193"/>
      <c r="EP17" s="2193"/>
      <c r="EQ17" s="2193"/>
      <c r="ER17" s="2193"/>
      <c r="ES17" s="2193"/>
      <c r="ET17" s="2193"/>
      <c r="EU17" s="2193"/>
      <c r="EV17" s="2193"/>
      <c r="EW17" s="2193"/>
      <c r="EX17" s="2193"/>
      <c r="EY17" s="2200"/>
      <c r="EZ17" s="2201"/>
      <c r="FA17" s="2202"/>
      <c r="FB17" s="2196"/>
    </row>
    <row r="18" spans="1:158" s="2197" customFormat="1" ht="18.899999999999999" customHeight="1">
      <c r="A18" s="2198">
        <v>11</v>
      </c>
      <c r="B18" s="2083"/>
      <c r="C18" s="2187"/>
      <c r="D18" s="2187"/>
      <c r="E18" s="2187"/>
      <c r="F18" s="2187"/>
      <c r="G18" s="2187"/>
      <c r="H18" s="2187"/>
      <c r="I18" s="2188"/>
      <c r="J18" s="2087"/>
      <c r="K18" s="2087"/>
      <c r="L18" s="2087"/>
      <c r="M18" s="2083"/>
      <c r="N18" s="2083"/>
      <c r="O18" s="2087"/>
      <c r="P18" s="2087"/>
      <c r="Q18" s="2087"/>
      <c r="R18" s="2087"/>
      <c r="S18" s="2087"/>
      <c r="T18" s="2087"/>
      <c r="U18" s="2087"/>
      <c r="V18" s="2087"/>
      <c r="W18" s="2087"/>
      <c r="X18" s="2087"/>
      <c r="Y18" s="2098"/>
      <c r="Z18" s="2087"/>
      <c r="AA18" s="2087"/>
      <c r="AB18" s="2087"/>
      <c r="AC18" s="2087"/>
      <c r="AD18" s="2087"/>
      <c r="AE18" s="2087"/>
      <c r="AF18" s="2087"/>
      <c r="AG18" s="2087"/>
      <c r="AH18" s="2087"/>
      <c r="AI18" s="2087"/>
      <c r="AJ18" s="2087"/>
      <c r="AK18" s="2087"/>
      <c r="AL18" s="2087"/>
      <c r="AM18" s="2087"/>
      <c r="AN18" s="2087"/>
      <c r="AO18" s="2087"/>
      <c r="AP18" s="2087"/>
      <c r="AQ18" s="2087"/>
      <c r="AR18" s="2087"/>
      <c r="AS18" s="2087"/>
      <c r="AT18" s="2087"/>
      <c r="AU18" s="2087"/>
      <c r="AV18" s="2087"/>
      <c r="AW18" s="2087"/>
      <c r="AX18" s="2098"/>
      <c r="AY18" s="2087"/>
      <c r="AZ18" s="2087"/>
      <c r="BA18" s="2087"/>
      <c r="BB18" s="2087"/>
      <c r="BC18" s="2087"/>
      <c r="BD18" s="2087"/>
      <c r="BE18" s="2087"/>
      <c r="BF18" s="2087"/>
      <c r="BG18" s="2189"/>
      <c r="BH18" s="2087"/>
      <c r="BI18" s="2087"/>
      <c r="BJ18" s="2087"/>
      <c r="BK18" s="2087"/>
      <c r="BL18" s="2087"/>
      <c r="BM18" s="2087"/>
      <c r="BN18" s="2087"/>
      <c r="BO18" s="2087"/>
      <c r="BP18" s="2087"/>
      <c r="BQ18" s="2087"/>
      <c r="BR18" s="2087"/>
      <c r="BS18" s="2087"/>
      <c r="BT18" s="2087"/>
      <c r="BU18" s="2087"/>
      <c r="BV18" s="2087"/>
      <c r="BW18" s="2087"/>
      <c r="BX18" s="2098"/>
      <c r="BY18" s="2098"/>
      <c r="BZ18" s="2087"/>
      <c r="CA18" s="2098"/>
      <c r="CB18" s="2087"/>
      <c r="CC18" s="2087"/>
      <c r="CD18" s="2087"/>
      <c r="CE18" s="2087"/>
      <c r="CF18" s="2087"/>
      <c r="CG18" s="2087"/>
      <c r="CH18" s="2087"/>
      <c r="CI18" s="2087"/>
      <c r="CJ18" s="2087"/>
      <c r="CK18" s="2087"/>
      <c r="CL18" s="2087"/>
      <c r="CM18" s="2087"/>
      <c r="CN18" s="2087"/>
      <c r="CO18" s="2087"/>
      <c r="CP18" s="2087"/>
      <c r="CQ18" s="2087"/>
      <c r="CR18" s="2087"/>
      <c r="CS18" s="2087"/>
      <c r="CT18" s="2087"/>
      <c r="CU18" s="2098"/>
      <c r="CV18" s="2098"/>
      <c r="CW18" s="2098"/>
      <c r="CX18" s="2098"/>
      <c r="CY18" s="2098"/>
      <c r="CZ18" s="2098"/>
      <c r="DA18" s="2087"/>
      <c r="DB18" s="2087"/>
      <c r="DC18" s="2098"/>
      <c r="DD18" s="2087"/>
      <c r="DE18" s="2087"/>
      <c r="DF18" s="2087"/>
      <c r="DG18" s="2087"/>
      <c r="DH18" s="2087"/>
      <c r="DI18" s="2098"/>
      <c r="DJ18" s="2087"/>
      <c r="DK18" s="2087"/>
      <c r="DL18" s="2087"/>
      <c r="DM18" s="2087"/>
      <c r="DN18" s="2087"/>
      <c r="DO18" s="2087"/>
      <c r="DP18" s="2087"/>
      <c r="DQ18" s="2087"/>
      <c r="DR18" s="2087"/>
      <c r="DS18" s="2087"/>
      <c r="DT18" s="2087"/>
      <c r="DU18" s="2087"/>
      <c r="DV18" s="2087"/>
      <c r="DW18" s="2087"/>
      <c r="DX18" s="2087"/>
      <c r="DY18" s="2087"/>
      <c r="DZ18" s="2087"/>
      <c r="EA18" s="2087"/>
      <c r="EB18" s="2087"/>
      <c r="EC18" s="2087"/>
      <c r="ED18" s="2087"/>
      <c r="EE18" s="2087"/>
      <c r="EF18" s="2087"/>
      <c r="EG18" s="2087"/>
      <c r="EH18" s="2190"/>
      <c r="EI18" s="2199"/>
      <c r="EJ18" s="2193"/>
      <c r="EK18" s="2192"/>
      <c r="EL18" s="2192"/>
      <c r="EM18" s="2192"/>
      <c r="EN18" s="2192"/>
      <c r="EO18" s="2192"/>
      <c r="EP18" s="2192"/>
      <c r="EQ18" s="2192"/>
      <c r="ER18" s="2192"/>
      <c r="ES18" s="2192"/>
      <c r="ET18" s="2192"/>
      <c r="EU18" s="2192"/>
      <c r="EV18" s="2192"/>
      <c r="EW18" s="2192"/>
      <c r="EX18" s="2192"/>
      <c r="EY18" s="2103"/>
      <c r="EZ18" s="2194"/>
      <c r="FA18" s="2195"/>
      <c r="FB18" s="2196"/>
    </row>
    <row r="19" spans="1:158" s="2197" customFormat="1" ht="18.899999999999999" customHeight="1">
      <c r="A19" s="2198">
        <v>12</v>
      </c>
      <c r="B19" s="2083"/>
      <c r="C19" s="2187"/>
      <c r="D19" s="2187"/>
      <c r="E19" s="2187"/>
      <c r="F19" s="2187"/>
      <c r="G19" s="2187"/>
      <c r="H19" s="2187"/>
      <c r="I19" s="2188"/>
      <c r="J19" s="2087"/>
      <c r="K19" s="2087"/>
      <c r="L19" s="2087"/>
      <c r="M19" s="2083"/>
      <c r="N19" s="2083"/>
      <c r="O19" s="2087"/>
      <c r="P19" s="2087"/>
      <c r="Q19" s="2087"/>
      <c r="R19" s="2087"/>
      <c r="S19" s="2087"/>
      <c r="T19" s="2087"/>
      <c r="U19" s="2087"/>
      <c r="V19" s="2087"/>
      <c r="W19" s="2087"/>
      <c r="X19" s="2087"/>
      <c r="Y19" s="2098"/>
      <c r="Z19" s="2087"/>
      <c r="AA19" s="2087"/>
      <c r="AB19" s="2087"/>
      <c r="AC19" s="2087"/>
      <c r="AD19" s="2087"/>
      <c r="AE19" s="2087"/>
      <c r="AF19" s="2087"/>
      <c r="AG19" s="2087"/>
      <c r="AH19" s="2087"/>
      <c r="AI19" s="2087"/>
      <c r="AJ19" s="2087"/>
      <c r="AK19" s="2087"/>
      <c r="AL19" s="2087"/>
      <c r="AM19" s="2087"/>
      <c r="AN19" s="2087"/>
      <c r="AO19" s="2087"/>
      <c r="AP19" s="2087"/>
      <c r="AQ19" s="2087"/>
      <c r="AR19" s="2087"/>
      <c r="AS19" s="2087"/>
      <c r="AT19" s="2087"/>
      <c r="AU19" s="2087"/>
      <c r="AV19" s="2087"/>
      <c r="AW19" s="2087"/>
      <c r="AX19" s="2098"/>
      <c r="AY19" s="2087"/>
      <c r="AZ19" s="2087"/>
      <c r="BA19" s="2087"/>
      <c r="BB19" s="2087"/>
      <c r="BC19" s="2087"/>
      <c r="BD19" s="2087"/>
      <c r="BE19" s="2087"/>
      <c r="BF19" s="2087"/>
      <c r="BG19" s="2189"/>
      <c r="BH19" s="2087"/>
      <c r="BI19" s="2087"/>
      <c r="BJ19" s="2087"/>
      <c r="BK19" s="2087"/>
      <c r="BL19" s="2087"/>
      <c r="BM19" s="2087"/>
      <c r="BN19" s="2087"/>
      <c r="BO19" s="2087"/>
      <c r="BP19" s="2087"/>
      <c r="BQ19" s="2087"/>
      <c r="BR19" s="2087"/>
      <c r="BS19" s="2087"/>
      <c r="BT19" s="2087"/>
      <c r="BU19" s="2087"/>
      <c r="BV19" s="2087"/>
      <c r="BW19" s="2087"/>
      <c r="BX19" s="2098"/>
      <c r="BY19" s="2098"/>
      <c r="BZ19" s="2087"/>
      <c r="CA19" s="2098"/>
      <c r="CB19" s="2087"/>
      <c r="CC19" s="2087"/>
      <c r="CD19" s="2087"/>
      <c r="CE19" s="2087"/>
      <c r="CF19" s="2087"/>
      <c r="CG19" s="2087"/>
      <c r="CH19" s="2087"/>
      <c r="CI19" s="2087"/>
      <c r="CJ19" s="2087"/>
      <c r="CK19" s="2087"/>
      <c r="CL19" s="2087"/>
      <c r="CM19" s="2087"/>
      <c r="CN19" s="2087"/>
      <c r="CO19" s="2087"/>
      <c r="CP19" s="2087"/>
      <c r="CQ19" s="2087"/>
      <c r="CR19" s="2087"/>
      <c r="CS19" s="2087"/>
      <c r="CT19" s="2087"/>
      <c r="CU19" s="2098"/>
      <c r="CV19" s="2098"/>
      <c r="CW19" s="2098"/>
      <c r="CX19" s="2098"/>
      <c r="CY19" s="2098"/>
      <c r="CZ19" s="2098"/>
      <c r="DA19" s="2087"/>
      <c r="DB19" s="2087"/>
      <c r="DC19" s="2098"/>
      <c r="DD19" s="2087"/>
      <c r="DE19" s="2087"/>
      <c r="DF19" s="2087"/>
      <c r="DG19" s="2087"/>
      <c r="DH19" s="2087"/>
      <c r="DI19" s="2098"/>
      <c r="DJ19" s="2087"/>
      <c r="DK19" s="2087"/>
      <c r="DL19" s="2087"/>
      <c r="DM19" s="2087"/>
      <c r="DN19" s="2087"/>
      <c r="DO19" s="2087"/>
      <c r="DP19" s="2087"/>
      <c r="DQ19" s="2087"/>
      <c r="DR19" s="2087"/>
      <c r="DS19" s="2087"/>
      <c r="DT19" s="2087"/>
      <c r="DU19" s="2087"/>
      <c r="DV19" s="2087"/>
      <c r="DW19" s="2087"/>
      <c r="DX19" s="2087"/>
      <c r="DY19" s="2087"/>
      <c r="DZ19" s="2087"/>
      <c r="EA19" s="2087"/>
      <c r="EB19" s="2087"/>
      <c r="EC19" s="2087"/>
      <c r="ED19" s="2087"/>
      <c r="EE19" s="2087"/>
      <c r="EF19" s="2087"/>
      <c r="EG19" s="2087"/>
      <c r="EH19" s="2190"/>
      <c r="EI19" s="2199"/>
      <c r="EJ19" s="2193"/>
      <c r="EK19" s="2192"/>
      <c r="EL19" s="2192"/>
      <c r="EM19" s="2192"/>
      <c r="EN19" s="2192"/>
      <c r="EO19" s="2192"/>
      <c r="EP19" s="2192"/>
      <c r="EQ19" s="2192"/>
      <c r="ER19" s="2192"/>
      <c r="ES19" s="2192"/>
      <c r="ET19" s="2192"/>
      <c r="EU19" s="2192"/>
      <c r="EV19" s="2192"/>
      <c r="EW19" s="2192"/>
      <c r="EX19" s="2192"/>
      <c r="EY19" s="2103"/>
      <c r="EZ19" s="2194"/>
      <c r="FA19" s="2195"/>
      <c r="FB19" s="2196"/>
    </row>
    <row r="20" spans="1:158" s="2197" customFormat="1" ht="18.899999999999999" customHeight="1">
      <c r="A20" s="2198">
        <v>13</v>
      </c>
      <c r="B20" s="2083"/>
      <c r="C20" s="2187"/>
      <c r="D20" s="2187"/>
      <c r="E20" s="2187"/>
      <c r="F20" s="2187"/>
      <c r="G20" s="2187"/>
      <c r="H20" s="2187"/>
      <c r="I20" s="2188"/>
      <c r="J20" s="2087"/>
      <c r="K20" s="2087"/>
      <c r="L20" s="2087"/>
      <c r="M20" s="2083"/>
      <c r="N20" s="2083"/>
      <c r="O20" s="2087"/>
      <c r="P20" s="2087"/>
      <c r="Q20" s="2087"/>
      <c r="R20" s="2087"/>
      <c r="S20" s="2087"/>
      <c r="T20" s="2087"/>
      <c r="U20" s="2087"/>
      <c r="V20" s="2087"/>
      <c r="W20" s="2087"/>
      <c r="X20" s="2087"/>
      <c r="Y20" s="2098"/>
      <c r="Z20" s="2087"/>
      <c r="AA20" s="2087"/>
      <c r="AB20" s="2087"/>
      <c r="AC20" s="2087"/>
      <c r="AD20" s="2087"/>
      <c r="AE20" s="2087"/>
      <c r="AF20" s="2087"/>
      <c r="AG20" s="2087"/>
      <c r="AH20" s="2087"/>
      <c r="AI20" s="2087"/>
      <c r="AJ20" s="2087"/>
      <c r="AK20" s="2087"/>
      <c r="AL20" s="2087"/>
      <c r="AM20" s="2087"/>
      <c r="AN20" s="2087"/>
      <c r="AO20" s="2087"/>
      <c r="AP20" s="2087"/>
      <c r="AQ20" s="2087"/>
      <c r="AR20" s="2087"/>
      <c r="AS20" s="2087"/>
      <c r="AT20" s="2087"/>
      <c r="AU20" s="2087"/>
      <c r="AV20" s="2087"/>
      <c r="AW20" s="2087"/>
      <c r="AX20" s="2098"/>
      <c r="AY20" s="2087"/>
      <c r="AZ20" s="2087"/>
      <c r="BA20" s="2087"/>
      <c r="BB20" s="2087"/>
      <c r="BC20" s="2087"/>
      <c r="BD20" s="2087"/>
      <c r="BE20" s="2087"/>
      <c r="BF20" s="2087"/>
      <c r="BG20" s="2189"/>
      <c r="BH20" s="2087"/>
      <c r="BI20" s="2087"/>
      <c r="BJ20" s="2087"/>
      <c r="BK20" s="2087"/>
      <c r="BL20" s="2087"/>
      <c r="BM20" s="2087"/>
      <c r="BN20" s="2087"/>
      <c r="BO20" s="2087"/>
      <c r="BP20" s="2087"/>
      <c r="BQ20" s="2087"/>
      <c r="BR20" s="2087"/>
      <c r="BS20" s="2087"/>
      <c r="BT20" s="2087"/>
      <c r="BU20" s="2087"/>
      <c r="BV20" s="2087"/>
      <c r="BW20" s="2087"/>
      <c r="BX20" s="2098"/>
      <c r="BY20" s="2098"/>
      <c r="BZ20" s="2087"/>
      <c r="CA20" s="2098"/>
      <c r="CB20" s="2087"/>
      <c r="CC20" s="2087"/>
      <c r="CD20" s="2087"/>
      <c r="CE20" s="2087"/>
      <c r="CF20" s="2087"/>
      <c r="CG20" s="2087"/>
      <c r="CH20" s="2087"/>
      <c r="CI20" s="2087"/>
      <c r="CJ20" s="2087"/>
      <c r="CK20" s="2087"/>
      <c r="CL20" s="2087"/>
      <c r="CM20" s="2087"/>
      <c r="CN20" s="2087"/>
      <c r="CO20" s="2087"/>
      <c r="CP20" s="2087"/>
      <c r="CQ20" s="2087"/>
      <c r="CR20" s="2087"/>
      <c r="CS20" s="2087"/>
      <c r="CT20" s="2087"/>
      <c r="CU20" s="2098"/>
      <c r="CV20" s="2098"/>
      <c r="CW20" s="2098"/>
      <c r="CX20" s="2098"/>
      <c r="CY20" s="2098"/>
      <c r="CZ20" s="2098"/>
      <c r="DA20" s="2087"/>
      <c r="DB20" s="2087"/>
      <c r="DC20" s="2098"/>
      <c r="DD20" s="2087"/>
      <c r="DE20" s="2087"/>
      <c r="DF20" s="2087"/>
      <c r="DG20" s="2087"/>
      <c r="DH20" s="2087"/>
      <c r="DI20" s="2098"/>
      <c r="DJ20" s="2087"/>
      <c r="DK20" s="2087"/>
      <c r="DL20" s="2087"/>
      <c r="DM20" s="2087"/>
      <c r="DN20" s="2087"/>
      <c r="DO20" s="2087"/>
      <c r="DP20" s="2087"/>
      <c r="DQ20" s="2087"/>
      <c r="DR20" s="2087"/>
      <c r="DS20" s="2087"/>
      <c r="DT20" s="2087"/>
      <c r="DU20" s="2087"/>
      <c r="DV20" s="2087"/>
      <c r="DW20" s="2087"/>
      <c r="DX20" s="2087"/>
      <c r="DY20" s="2087"/>
      <c r="DZ20" s="2087"/>
      <c r="EA20" s="2087"/>
      <c r="EB20" s="2087"/>
      <c r="EC20" s="2087"/>
      <c r="ED20" s="2087"/>
      <c r="EE20" s="2087"/>
      <c r="EF20" s="2087"/>
      <c r="EG20" s="2087"/>
      <c r="EH20" s="2190"/>
      <c r="EI20" s="2199"/>
      <c r="EJ20" s="2193"/>
      <c r="EK20" s="2192"/>
      <c r="EL20" s="2192"/>
      <c r="EM20" s="2192"/>
      <c r="EN20" s="2192"/>
      <c r="EO20" s="2192"/>
      <c r="EP20" s="2192"/>
      <c r="EQ20" s="2192"/>
      <c r="ER20" s="2192"/>
      <c r="ES20" s="2192"/>
      <c r="ET20" s="2192"/>
      <c r="EU20" s="2192"/>
      <c r="EV20" s="2192"/>
      <c r="EW20" s="2192"/>
      <c r="EX20" s="2192"/>
      <c r="EY20" s="2103"/>
      <c r="EZ20" s="2194"/>
      <c r="FA20" s="2195"/>
      <c r="FB20" s="2196"/>
    </row>
    <row r="21" spans="1:158" s="2197" customFormat="1" ht="18.899999999999999" customHeight="1">
      <c r="A21" s="2198">
        <v>14</v>
      </c>
      <c r="B21" s="2083"/>
      <c r="C21" s="2187"/>
      <c r="D21" s="2187"/>
      <c r="E21" s="2187"/>
      <c r="F21" s="2187"/>
      <c r="G21" s="2187"/>
      <c r="H21" s="2187"/>
      <c r="I21" s="2188"/>
      <c r="J21" s="2087"/>
      <c r="K21" s="2087"/>
      <c r="L21" s="2087"/>
      <c r="M21" s="2083"/>
      <c r="N21" s="2083"/>
      <c r="O21" s="2087"/>
      <c r="P21" s="2087"/>
      <c r="Q21" s="2087"/>
      <c r="R21" s="2087"/>
      <c r="S21" s="2087"/>
      <c r="T21" s="2087"/>
      <c r="U21" s="2087"/>
      <c r="V21" s="2087"/>
      <c r="W21" s="2087"/>
      <c r="X21" s="2087"/>
      <c r="Y21" s="2098"/>
      <c r="Z21" s="2087"/>
      <c r="AA21" s="2087"/>
      <c r="AB21" s="2087"/>
      <c r="AC21" s="2087"/>
      <c r="AD21" s="2087"/>
      <c r="AE21" s="2087"/>
      <c r="AF21" s="2087"/>
      <c r="AG21" s="2087"/>
      <c r="AH21" s="2087"/>
      <c r="AI21" s="2087"/>
      <c r="AJ21" s="2087"/>
      <c r="AK21" s="2087"/>
      <c r="AL21" s="2087"/>
      <c r="AM21" s="2087"/>
      <c r="AN21" s="2087"/>
      <c r="AO21" s="2087"/>
      <c r="AP21" s="2087"/>
      <c r="AQ21" s="2087"/>
      <c r="AR21" s="2087"/>
      <c r="AS21" s="2087"/>
      <c r="AT21" s="2087"/>
      <c r="AU21" s="2087"/>
      <c r="AV21" s="2087"/>
      <c r="AW21" s="2087"/>
      <c r="AX21" s="2098"/>
      <c r="AY21" s="2087"/>
      <c r="AZ21" s="2087"/>
      <c r="BA21" s="2087"/>
      <c r="BB21" s="2087"/>
      <c r="BC21" s="2087"/>
      <c r="BD21" s="2087"/>
      <c r="BE21" s="2087"/>
      <c r="BF21" s="2087"/>
      <c r="BG21" s="2189"/>
      <c r="BH21" s="2087"/>
      <c r="BI21" s="2087"/>
      <c r="BJ21" s="2087"/>
      <c r="BK21" s="2087"/>
      <c r="BL21" s="2087"/>
      <c r="BM21" s="2087"/>
      <c r="BN21" s="2087"/>
      <c r="BO21" s="2087"/>
      <c r="BP21" s="2087"/>
      <c r="BQ21" s="2087"/>
      <c r="BR21" s="2087"/>
      <c r="BS21" s="2087"/>
      <c r="BT21" s="2087"/>
      <c r="BU21" s="2087"/>
      <c r="BV21" s="2087"/>
      <c r="BW21" s="2087"/>
      <c r="BX21" s="2098"/>
      <c r="BY21" s="2098"/>
      <c r="BZ21" s="2087"/>
      <c r="CA21" s="2098"/>
      <c r="CB21" s="2087"/>
      <c r="CC21" s="2087"/>
      <c r="CD21" s="2087"/>
      <c r="CE21" s="2087"/>
      <c r="CF21" s="2087"/>
      <c r="CG21" s="2087"/>
      <c r="CH21" s="2087"/>
      <c r="CI21" s="2087"/>
      <c r="CJ21" s="2087"/>
      <c r="CK21" s="2087"/>
      <c r="CL21" s="2087"/>
      <c r="CM21" s="2087"/>
      <c r="CN21" s="2087"/>
      <c r="CO21" s="2087"/>
      <c r="CP21" s="2087"/>
      <c r="CQ21" s="2087"/>
      <c r="CR21" s="2087"/>
      <c r="CS21" s="2087"/>
      <c r="CT21" s="2087"/>
      <c r="CU21" s="2098"/>
      <c r="CV21" s="2098"/>
      <c r="CW21" s="2098"/>
      <c r="CX21" s="2098"/>
      <c r="CY21" s="2098"/>
      <c r="CZ21" s="2098"/>
      <c r="DA21" s="2087"/>
      <c r="DB21" s="2087"/>
      <c r="DC21" s="2098"/>
      <c r="DD21" s="2087"/>
      <c r="DE21" s="2087"/>
      <c r="DF21" s="2087"/>
      <c r="DG21" s="2087"/>
      <c r="DH21" s="2087"/>
      <c r="DI21" s="2098"/>
      <c r="DJ21" s="2087"/>
      <c r="DK21" s="2087"/>
      <c r="DL21" s="2087"/>
      <c r="DM21" s="2087"/>
      <c r="DN21" s="2087"/>
      <c r="DO21" s="2087"/>
      <c r="DP21" s="2087"/>
      <c r="DQ21" s="2087"/>
      <c r="DR21" s="2087"/>
      <c r="DS21" s="2087"/>
      <c r="DT21" s="2087"/>
      <c r="DU21" s="2087"/>
      <c r="DV21" s="2087"/>
      <c r="DW21" s="2087"/>
      <c r="DX21" s="2087"/>
      <c r="DY21" s="2087"/>
      <c r="DZ21" s="2087"/>
      <c r="EA21" s="2087"/>
      <c r="EB21" s="2087"/>
      <c r="EC21" s="2087"/>
      <c r="ED21" s="2087"/>
      <c r="EE21" s="2087"/>
      <c r="EF21" s="2087"/>
      <c r="EG21" s="2087"/>
      <c r="EH21" s="2190"/>
      <c r="EI21" s="2199"/>
      <c r="EJ21" s="2193"/>
      <c r="EK21" s="2192"/>
      <c r="EL21" s="2192"/>
      <c r="EM21" s="2192"/>
      <c r="EN21" s="2192"/>
      <c r="EO21" s="2192"/>
      <c r="EP21" s="2192"/>
      <c r="EQ21" s="2192"/>
      <c r="ER21" s="2192"/>
      <c r="ES21" s="2192"/>
      <c r="ET21" s="2192"/>
      <c r="EU21" s="2192"/>
      <c r="EV21" s="2192"/>
      <c r="EW21" s="2192"/>
      <c r="EX21" s="2192"/>
      <c r="EY21" s="2103"/>
      <c r="EZ21" s="2194"/>
      <c r="FA21" s="2195"/>
      <c r="FB21" s="2196"/>
    </row>
    <row r="22" spans="1:158" s="2197" customFormat="1" ht="18.899999999999999" customHeight="1">
      <c r="A22" s="2198">
        <v>15</v>
      </c>
      <c r="B22" s="2083"/>
      <c r="C22" s="2187"/>
      <c r="D22" s="2187"/>
      <c r="E22" s="2187"/>
      <c r="F22" s="2187"/>
      <c r="G22" s="2187"/>
      <c r="H22" s="2187"/>
      <c r="I22" s="2188"/>
      <c r="J22" s="2087"/>
      <c r="K22" s="2087"/>
      <c r="L22" s="2087"/>
      <c r="M22" s="2083"/>
      <c r="N22" s="2083"/>
      <c r="O22" s="2087"/>
      <c r="P22" s="2087"/>
      <c r="Q22" s="2087"/>
      <c r="R22" s="2087"/>
      <c r="S22" s="2087"/>
      <c r="T22" s="2087"/>
      <c r="U22" s="2087"/>
      <c r="V22" s="2087"/>
      <c r="W22" s="2087"/>
      <c r="X22" s="2087"/>
      <c r="Y22" s="2098"/>
      <c r="Z22" s="2087"/>
      <c r="AA22" s="2087"/>
      <c r="AB22" s="2087"/>
      <c r="AC22" s="2087"/>
      <c r="AD22" s="2087"/>
      <c r="AE22" s="2087"/>
      <c r="AF22" s="2087"/>
      <c r="AG22" s="2087"/>
      <c r="AH22" s="2087"/>
      <c r="AI22" s="2087"/>
      <c r="AJ22" s="2087"/>
      <c r="AK22" s="2087"/>
      <c r="AL22" s="2087"/>
      <c r="AM22" s="2087"/>
      <c r="AN22" s="2087"/>
      <c r="AO22" s="2087"/>
      <c r="AP22" s="2087"/>
      <c r="AQ22" s="2087"/>
      <c r="AR22" s="2087"/>
      <c r="AS22" s="2087"/>
      <c r="AT22" s="2087"/>
      <c r="AU22" s="2087"/>
      <c r="AV22" s="2087"/>
      <c r="AW22" s="2087"/>
      <c r="AX22" s="2098"/>
      <c r="AY22" s="2087"/>
      <c r="AZ22" s="2087"/>
      <c r="BA22" s="2087"/>
      <c r="BB22" s="2087"/>
      <c r="BC22" s="2087"/>
      <c r="BD22" s="2087"/>
      <c r="BE22" s="2087"/>
      <c r="BF22" s="2087"/>
      <c r="BG22" s="2189"/>
      <c r="BH22" s="2087"/>
      <c r="BI22" s="2087"/>
      <c r="BJ22" s="2087"/>
      <c r="BK22" s="2087"/>
      <c r="BL22" s="2087"/>
      <c r="BM22" s="2087"/>
      <c r="BN22" s="2087"/>
      <c r="BO22" s="2087"/>
      <c r="BP22" s="2087"/>
      <c r="BQ22" s="2087"/>
      <c r="BR22" s="2087"/>
      <c r="BS22" s="2087"/>
      <c r="BT22" s="2087"/>
      <c r="BU22" s="2087"/>
      <c r="BV22" s="2087"/>
      <c r="BW22" s="2087"/>
      <c r="BX22" s="2098"/>
      <c r="BY22" s="2098"/>
      <c r="BZ22" s="2087"/>
      <c r="CA22" s="2098"/>
      <c r="CB22" s="2087"/>
      <c r="CC22" s="2087"/>
      <c r="CD22" s="2087"/>
      <c r="CE22" s="2087"/>
      <c r="CF22" s="2087"/>
      <c r="CG22" s="2087"/>
      <c r="CH22" s="2087"/>
      <c r="CI22" s="2087"/>
      <c r="CJ22" s="2087"/>
      <c r="CK22" s="2087"/>
      <c r="CL22" s="2087"/>
      <c r="CM22" s="2087"/>
      <c r="CN22" s="2087"/>
      <c r="CO22" s="2087"/>
      <c r="CP22" s="2087"/>
      <c r="CQ22" s="2087"/>
      <c r="CR22" s="2087"/>
      <c r="CS22" s="2087"/>
      <c r="CT22" s="2087"/>
      <c r="CU22" s="2098"/>
      <c r="CV22" s="2098"/>
      <c r="CW22" s="2098"/>
      <c r="CX22" s="2098"/>
      <c r="CY22" s="2098"/>
      <c r="CZ22" s="2098"/>
      <c r="DA22" s="2087"/>
      <c r="DB22" s="2087"/>
      <c r="DC22" s="2098"/>
      <c r="DD22" s="2087"/>
      <c r="DE22" s="2087"/>
      <c r="DF22" s="2087"/>
      <c r="DG22" s="2087"/>
      <c r="DH22" s="2087"/>
      <c r="DI22" s="2098"/>
      <c r="DJ22" s="2087"/>
      <c r="DK22" s="2087"/>
      <c r="DL22" s="2087"/>
      <c r="DM22" s="2087"/>
      <c r="DN22" s="2087"/>
      <c r="DO22" s="2087"/>
      <c r="DP22" s="2087"/>
      <c r="DQ22" s="2087"/>
      <c r="DR22" s="2087"/>
      <c r="DS22" s="2087"/>
      <c r="DT22" s="2087"/>
      <c r="DU22" s="2087"/>
      <c r="DV22" s="2087"/>
      <c r="DW22" s="2087"/>
      <c r="DX22" s="2087"/>
      <c r="DY22" s="2087"/>
      <c r="DZ22" s="2087"/>
      <c r="EA22" s="2087"/>
      <c r="EB22" s="2087"/>
      <c r="EC22" s="2087"/>
      <c r="ED22" s="2087"/>
      <c r="EE22" s="2087"/>
      <c r="EF22" s="2087"/>
      <c r="EG22" s="2087"/>
      <c r="EH22" s="2190"/>
      <c r="EI22" s="2199"/>
      <c r="EJ22" s="2193"/>
      <c r="EK22" s="2192"/>
      <c r="EL22" s="2192"/>
      <c r="EM22" s="2192"/>
      <c r="EN22" s="2192"/>
      <c r="EO22" s="2192"/>
      <c r="EP22" s="2192"/>
      <c r="EQ22" s="2192"/>
      <c r="ER22" s="2192"/>
      <c r="ES22" s="2192"/>
      <c r="ET22" s="2192"/>
      <c r="EU22" s="2192"/>
      <c r="EV22" s="2192"/>
      <c r="EW22" s="2192"/>
      <c r="EX22" s="2192"/>
      <c r="EY22" s="2103"/>
      <c r="EZ22" s="2194"/>
      <c r="FA22" s="2195"/>
      <c r="FB22" s="2196"/>
    </row>
    <row r="23" spans="1:158" s="2197" customFormat="1" ht="18.899999999999999" customHeight="1">
      <c r="A23" s="2203" t="s">
        <v>547</v>
      </c>
      <c r="B23" s="2204"/>
      <c r="C23" s="2205"/>
      <c r="D23" s="2205"/>
      <c r="E23" s="2205"/>
      <c r="F23" s="2205"/>
      <c r="G23" s="2205"/>
      <c r="H23" s="2205"/>
      <c r="I23" s="2206"/>
      <c r="J23" s="2207"/>
      <c r="K23" s="2207"/>
      <c r="L23" s="2207"/>
      <c r="M23" s="2204"/>
      <c r="N23" s="2204"/>
      <c r="O23" s="2207"/>
      <c r="P23" s="2207"/>
      <c r="Q23" s="2207"/>
      <c r="R23" s="2207"/>
      <c r="S23" s="2207"/>
      <c r="T23" s="2207"/>
      <c r="U23" s="2207"/>
      <c r="V23" s="2207"/>
      <c r="W23" s="2207"/>
      <c r="X23" s="2207"/>
      <c r="Y23" s="2208"/>
      <c r="Z23" s="2207"/>
      <c r="AA23" s="2207"/>
      <c r="AB23" s="2207"/>
      <c r="AC23" s="2207"/>
      <c r="AD23" s="2207"/>
      <c r="AE23" s="2207"/>
      <c r="AF23" s="2207"/>
      <c r="AG23" s="2207"/>
      <c r="AH23" s="2207"/>
      <c r="AI23" s="2207"/>
      <c r="AJ23" s="2207"/>
      <c r="AK23" s="2207"/>
      <c r="AL23" s="2207"/>
      <c r="AM23" s="2207"/>
      <c r="AN23" s="2207"/>
      <c r="AO23" s="2207"/>
      <c r="AP23" s="2207"/>
      <c r="AQ23" s="2207"/>
      <c r="AR23" s="2207"/>
      <c r="AS23" s="2207"/>
      <c r="AT23" s="2207"/>
      <c r="AU23" s="2207"/>
      <c r="AV23" s="2207"/>
      <c r="AW23" s="2207"/>
      <c r="AX23" s="2208"/>
      <c r="AY23" s="2207"/>
      <c r="AZ23" s="2207"/>
      <c r="BA23" s="2207"/>
      <c r="BB23" s="2207"/>
      <c r="BC23" s="2207"/>
      <c r="BD23" s="2207"/>
      <c r="BE23" s="2207"/>
      <c r="BF23" s="2207"/>
      <c r="BG23" s="2209"/>
      <c r="BH23" s="2207"/>
      <c r="BI23" s="2207"/>
      <c r="BJ23" s="2207"/>
      <c r="BK23" s="2207"/>
      <c r="BL23" s="2207"/>
      <c r="BM23" s="2207"/>
      <c r="BN23" s="2207"/>
      <c r="BO23" s="2207"/>
      <c r="BP23" s="2207"/>
      <c r="BQ23" s="2207"/>
      <c r="BR23" s="2207"/>
      <c r="BS23" s="2207"/>
      <c r="BT23" s="2207"/>
      <c r="BU23" s="2207"/>
      <c r="BV23" s="2207"/>
      <c r="BW23" s="2207"/>
      <c r="BX23" s="2208"/>
      <c r="BY23" s="2208"/>
      <c r="BZ23" s="2207"/>
      <c r="CA23" s="2208"/>
      <c r="CB23" s="2207"/>
      <c r="CC23" s="2207"/>
      <c r="CD23" s="2207"/>
      <c r="CE23" s="2207"/>
      <c r="CF23" s="2207"/>
      <c r="CG23" s="2207"/>
      <c r="CH23" s="2207"/>
      <c r="CI23" s="2207"/>
      <c r="CJ23" s="2207"/>
      <c r="CK23" s="2207"/>
      <c r="CL23" s="2207"/>
      <c r="CM23" s="2207"/>
      <c r="CN23" s="2207"/>
      <c r="CO23" s="2207"/>
      <c r="CP23" s="2207"/>
      <c r="CQ23" s="2207"/>
      <c r="CR23" s="2207"/>
      <c r="CS23" s="2207"/>
      <c r="CT23" s="2207"/>
      <c r="CU23" s="2208"/>
      <c r="CV23" s="2208"/>
      <c r="CW23" s="2208"/>
      <c r="CX23" s="2208"/>
      <c r="CY23" s="2208"/>
      <c r="CZ23" s="2208"/>
      <c r="DA23" s="2207"/>
      <c r="DB23" s="2207"/>
      <c r="DC23" s="2208"/>
      <c r="DD23" s="2207"/>
      <c r="DE23" s="2207"/>
      <c r="DF23" s="2207"/>
      <c r="DG23" s="2207"/>
      <c r="DH23" s="2207"/>
      <c r="DI23" s="2208"/>
      <c r="DJ23" s="2207"/>
      <c r="DK23" s="2207"/>
      <c r="DL23" s="2207"/>
      <c r="DM23" s="2207"/>
      <c r="DN23" s="2207"/>
      <c r="DO23" s="2207"/>
      <c r="DP23" s="2207"/>
      <c r="DQ23" s="2207"/>
      <c r="DR23" s="2207"/>
      <c r="DS23" s="2207"/>
      <c r="DT23" s="2207"/>
      <c r="DU23" s="2207"/>
      <c r="DV23" s="2207"/>
      <c r="DW23" s="2207"/>
      <c r="DX23" s="2207"/>
      <c r="DY23" s="2207"/>
      <c r="DZ23" s="2207"/>
      <c r="EA23" s="2207"/>
      <c r="EB23" s="2207"/>
      <c r="EC23" s="2207"/>
      <c r="ED23" s="2207"/>
      <c r="EE23" s="2207"/>
      <c r="EF23" s="2207"/>
      <c r="EG23" s="2207"/>
      <c r="EH23" s="2210"/>
      <c r="EI23" s="2199"/>
      <c r="EJ23" s="2193"/>
      <c r="EK23" s="2192"/>
      <c r="EL23" s="2192"/>
      <c r="EM23" s="2192"/>
      <c r="EN23" s="2192"/>
      <c r="EO23" s="2192"/>
      <c r="EP23" s="2192"/>
      <c r="EQ23" s="2192"/>
      <c r="ER23" s="2192"/>
      <c r="ES23" s="2192"/>
      <c r="ET23" s="2192"/>
      <c r="EU23" s="2192"/>
      <c r="EV23" s="2192"/>
      <c r="EW23" s="2192"/>
      <c r="EX23" s="2192"/>
      <c r="EY23" s="2103"/>
      <c r="EZ23" s="2194"/>
      <c r="FA23" s="2195"/>
      <c r="FB23" s="2196"/>
    </row>
    <row r="24" spans="1:158" s="2223" customFormat="1" ht="18.899999999999999" customHeight="1">
      <c r="A24" s="2211" t="s">
        <v>5910</v>
      </c>
      <c r="B24" s="2212"/>
      <c r="C24" s="2213"/>
      <c r="D24" s="2213">
        <f>+D23</f>
        <v>0</v>
      </c>
      <c r="E24" s="2213">
        <f>+E23</f>
        <v>0</v>
      </c>
      <c r="F24" s="2213">
        <f>+F23</f>
        <v>0</v>
      </c>
      <c r="G24" s="2213"/>
      <c r="H24" s="2213"/>
      <c r="I24" s="2214"/>
      <c r="J24" s="2215"/>
      <c r="K24" s="2215"/>
      <c r="L24" s="2215"/>
      <c r="M24" s="2212"/>
      <c r="N24" s="2212"/>
      <c r="O24" s="2215">
        <f t="shared" ref="O24:AT24" si="0">SUM(O8:O23)</f>
        <v>0</v>
      </c>
      <c r="P24" s="2215">
        <f t="shared" si="0"/>
        <v>0</v>
      </c>
      <c r="Q24" s="2215">
        <f t="shared" si="0"/>
        <v>0</v>
      </c>
      <c r="R24" s="2215">
        <f t="shared" si="0"/>
        <v>0</v>
      </c>
      <c r="S24" s="2215">
        <f t="shared" si="0"/>
        <v>0</v>
      </c>
      <c r="T24" s="2215">
        <f t="shared" si="0"/>
        <v>0</v>
      </c>
      <c r="U24" s="2215">
        <f t="shared" si="0"/>
        <v>0</v>
      </c>
      <c r="V24" s="2215">
        <f t="shared" si="0"/>
        <v>0</v>
      </c>
      <c r="W24" s="2215">
        <f t="shared" si="0"/>
        <v>0</v>
      </c>
      <c r="X24" s="2215">
        <f t="shared" si="0"/>
        <v>0</v>
      </c>
      <c r="Y24" s="2215">
        <f t="shared" si="0"/>
        <v>0</v>
      </c>
      <c r="Z24" s="2215">
        <f t="shared" si="0"/>
        <v>0</v>
      </c>
      <c r="AA24" s="2215">
        <f t="shared" si="0"/>
        <v>0</v>
      </c>
      <c r="AB24" s="2215">
        <f t="shared" si="0"/>
        <v>0</v>
      </c>
      <c r="AC24" s="2215">
        <f t="shared" si="0"/>
        <v>0</v>
      </c>
      <c r="AD24" s="2215">
        <f t="shared" si="0"/>
        <v>0</v>
      </c>
      <c r="AE24" s="2215">
        <f t="shared" si="0"/>
        <v>0</v>
      </c>
      <c r="AF24" s="2215">
        <f t="shared" si="0"/>
        <v>0</v>
      </c>
      <c r="AG24" s="2215">
        <f t="shared" si="0"/>
        <v>0</v>
      </c>
      <c r="AH24" s="2215">
        <f t="shared" si="0"/>
        <v>0</v>
      </c>
      <c r="AI24" s="2215">
        <f t="shared" si="0"/>
        <v>0</v>
      </c>
      <c r="AJ24" s="2215">
        <f t="shared" si="0"/>
        <v>0</v>
      </c>
      <c r="AK24" s="2215">
        <f t="shared" si="0"/>
        <v>0</v>
      </c>
      <c r="AL24" s="2215">
        <f t="shared" si="0"/>
        <v>0</v>
      </c>
      <c r="AM24" s="2215">
        <f t="shared" si="0"/>
        <v>0</v>
      </c>
      <c r="AN24" s="2215">
        <f t="shared" si="0"/>
        <v>0</v>
      </c>
      <c r="AO24" s="2215">
        <f t="shared" si="0"/>
        <v>0</v>
      </c>
      <c r="AP24" s="2215">
        <f t="shared" si="0"/>
        <v>0</v>
      </c>
      <c r="AQ24" s="2215">
        <f t="shared" si="0"/>
        <v>0</v>
      </c>
      <c r="AR24" s="2215">
        <f t="shared" si="0"/>
        <v>0</v>
      </c>
      <c r="AS24" s="2215">
        <f t="shared" si="0"/>
        <v>0</v>
      </c>
      <c r="AT24" s="2215">
        <f t="shared" si="0"/>
        <v>0</v>
      </c>
      <c r="AU24" s="2215">
        <f t="shared" ref="AU24:BZ24" si="1">SUM(AU8:AU23)</f>
        <v>0</v>
      </c>
      <c r="AV24" s="2215">
        <f t="shared" si="1"/>
        <v>0</v>
      </c>
      <c r="AW24" s="2215">
        <f t="shared" si="1"/>
        <v>0</v>
      </c>
      <c r="AX24" s="2215">
        <f t="shared" si="1"/>
        <v>0</v>
      </c>
      <c r="AY24" s="2215">
        <f t="shared" si="1"/>
        <v>0</v>
      </c>
      <c r="AZ24" s="2215">
        <f t="shared" si="1"/>
        <v>0</v>
      </c>
      <c r="BA24" s="2215">
        <f t="shared" si="1"/>
        <v>0</v>
      </c>
      <c r="BB24" s="2215">
        <f t="shared" si="1"/>
        <v>0</v>
      </c>
      <c r="BC24" s="2215">
        <f t="shared" si="1"/>
        <v>0</v>
      </c>
      <c r="BD24" s="2215">
        <f t="shared" si="1"/>
        <v>0</v>
      </c>
      <c r="BE24" s="2215">
        <f t="shared" si="1"/>
        <v>0</v>
      </c>
      <c r="BF24" s="2215">
        <f t="shared" si="1"/>
        <v>0</v>
      </c>
      <c r="BG24" s="2215">
        <f t="shared" si="1"/>
        <v>0</v>
      </c>
      <c r="BH24" s="2215">
        <f t="shared" si="1"/>
        <v>0</v>
      </c>
      <c r="BI24" s="2215">
        <f t="shared" si="1"/>
        <v>0</v>
      </c>
      <c r="BJ24" s="2215">
        <f t="shared" si="1"/>
        <v>0</v>
      </c>
      <c r="BK24" s="2215">
        <f t="shared" si="1"/>
        <v>0</v>
      </c>
      <c r="BL24" s="2215">
        <f t="shared" si="1"/>
        <v>0</v>
      </c>
      <c r="BM24" s="2215">
        <f t="shared" si="1"/>
        <v>0</v>
      </c>
      <c r="BN24" s="2215">
        <f t="shared" si="1"/>
        <v>0</v>
      </c>
      <c r="BO24" s="2215">
        <f t="shared" si="1"/>
        <v>0</v>
      </c>
      <c r="BP24" s="2215">
        <f t="shared" si="1"/>
        <v>0</v>
      </c>
      <c r="BQ24" s="2215">
        <f t="shared" si="1"/>
        <v>0</v>
      </c>
      <c r="BR24" s="2215">
        <f t="shared" si="1"/>
        <v>0</v>
      </c>
      <c r="BS24" s="2215">
        <f t="shared" si="1"/>
        <v>0</v>
      </c>
      <c r="BT24" s="2215">
        <f t="shared" si="1"/>
        <v>0</v>
      </c>
      <c r="BU24" s="2215">
        <f t="shared" si="1"/>
        <v>0</v>
      </c>
      <c r="BV24" s="2215">
        <f t="shared" si="1"/>
        <v>0</v>
      </c>
      <c r="BW24" s="2215">
        <f t="shared" si="1"/>
        <v>0</v>
      </c>
      <c r="BX24" s="2215">
        <f t="shared" si="1"/>
        <v>0</v>
      </c>
      <c r="BY24" s="2215">
        <f t="shared" si="1"/>
        <v>0</v>
      </c>
      <c r="BZ24" s="2215">
        <f t="shared" si="1"/>
        <v>0</v>
      </c>
      <c r="CA24" s="2215">
        <f t="shared" ref="CA24:DF24" si="2">SUM(CA8:CA23)</f>
        <v>0</v>
      </c>
      <c r="CB24" s="2215">
        <f t="shared" si="2"/>
        <v>0</v>
      </c>
      <c r="CC24" s="2215">
        <f t="shared" si="2"/>
        <v>0</v>
      </c>
      <c r="CD24" s="2215">
        <f t="shared" si="2"/>
        <v>0</v>
      </c>
      <c r="CE24" s="2215">
        <f t="shared" si="2"/>
        <v>0</v>
      </c>
      <c r="CF24" s="2215">
        <f t="shared" si="2"/>
        <v>0</v>
      </c>
      <c r="CG24" s="2215">
        <f t="shared" si="2"/>
        <v>0</v>
      </c>
      <c r="CH24" s="2215">
        <f t="shared" si="2"/>
        <v>0</v>
      </c>
      <c r="CI24" s="2215">
        <f t="shared" si="2"/>
        <v>0</v>
      </c>
      <c r="CJ24" s="2215">
        <f t="shared" si="2"/>
        <v>0</v>
      </c>
      <c r="CK24" s="2215">
        <f t="shared" si="2"/>
        <v>0</v>
      </c>
      <c r="CL24" s="2215">
        <f t="shared" si="2"/>
        <v>0</v>
      </c>
      <c r="CM24" s="2215">
        <f t="shared" si="2"/>
        <v>0</v>
      </c>
      <c r="CN24" s="2215">
        <f t="shared" si="2"/>
        <v>0</v>
      </c>
      <c r="CO24" s="2215">
        <f t="shared" si="2"/>
        <v>0</v>
      </c>
      <c r="CP24" s="2215">
        <f t="shared" si="2"/>
        <v>0</v>
      </c>
      <c r="CQ24" s="2215">
        <f t="shared" si="2"/>
        <v>0</v>
      </c>
      <c r="CR24" s="2215">
        <f t="shared" si="2"/>
        <v>0</v>
      </c>
      <c r="CS24" s="2215">
        <f t="shared" si="2"/>
        <v>0</v>
      </c>
      <c r="CT24" s="2215">
        <f t="shared" si="2"/>
        <v>0</v>
      </c>
      <c r="CU24" s="2215">
        <f t="shared" si="2"/>
        <v>0</v>
      </c>
      <c r="CV24" s="2215">
        <f t="shared" si="2"/>
        <v>0</v>
      </c>
      <c r="CW24" s="2215">
        <f t="shared" si="2"/>
        <v>0</v>
      </c>
      <c r="CX24" s="2215">
        <f t="shared" si="2"/>
        <v>0</v>
      </c>
      <c r="CY24" s="2215">
        <f t="shared" si="2"/>
        <v>0</v>
      </c>
      <c r="CZ24" s="2215">
        <f t="shared" si="2"/>
        <v>0</v>
      </c>
      <c r="DA24" s="2215">
        <f t="shared" si="2"/>
        <v>0</v>
      </c>
      <c r="DB24" s="2215">
        <f t="shared" si="2"/>
        <v>0</v>
      </c>
      <c r="DC24" s="2215">
        <f t="shared" si="2"/>
        <v>0</v>
      </c>
      <c r="DD24" s="2215">
        <f t="shared" si="2"/>
        <v>0</v>
      </c>
      <c r="DE24" s="2215">
        <f t="shared" si="2"/>
        <v>0</v>
      </c>
      <c r="DF24" s="2215">
        <f t="shared" si="2"/>
        <v>0</v>
      </c>
      <c r="DG24" s="2215">
        <f t="shared" ref="DG24:EG24" si="3">SUM(DG8:DG23)</f>
        <v>0</v>
      </c>
      <c r="DH24" s="2215">
        <f t="shared" si="3"/>
        <v>0</v>
      </c>
      <c r="DI24" s="2215">
        <f t="shared" si="3"/>
        <v>0</v>
      </c>
      <c r="DJ24" s="2215">
        <f t="shared" si="3"/>
        <v>0</v>
      </c>
      <c r="DK24" s="2215">
        <f t="shared" si="3"/>
        <v>0</v>
      </c>
      <c r="DL24" s="2215">
        <f t="shared" si="3"/>
        <v>0</v>
      </c>
      <c r="DM24" s="2215">
        <f t="shared" si="3"/>
        <v>0</v>
      </c>
      <c r="DN24" s="2215">
        <f t="shared" si="3"/>
        <v>0</v>
      </c>
      <c r="DO24" s="2215">
        <f t="shared" si="3"/>
        <v>0</v>
      </c>
      <c r="DP24" s="2215">
        <f t="shared" si="3"/>
        <v>0</v>
      </c>
      <c r="DQ24" s="2215">
        <f t="shared" si="3"/>
        <v>0</v>
      </c>
      <c r="DR24" s="2215">
        <f t="shared" si="3"/>
        <v>0</v>
      </c>
      <c r="DS24" s="2215">
        <f t="shared" si="3"/>
        <v>0</v>
      </c>
      <c r="DT24" s="2215">
        <f t="shared" si="3"/>
        <v>0</v>
      </c>
      <c r="DU24" s="2215">
        <f t="shared" si="3"/>
        <v>0</v>
      </c>
      <c r="DV24" s="2215">
        <f t="shared" si="3"/>
        <v>0</v>
      </c>
      <c r="DW24" s="2215">
        <f t="shared" si="3"/>
        <v>0</v>
      </c>
      <c r="DX24" s="2215">
        <f t="shared" si="3"/>
        <v>0</v>
      </c>
      <c r="DY24" s="2215">
        <f t="shared" si="3"/>
        <v>0</v>
      </c>
      <c r="DZ24" s="2215">
        <f t="shared" si="3"/>
        <v>0</v>
      </c>
      <c r="EA24" s="2215">
        <f t="shared" si="3"/>
        <v>0</v>
      </c>
      <c r="EB24" s="2215">
        <f t="shared" si="3"/>
        <v>0</v>
      </c>
      <c r="EC24" s="2215">
        <f t="shared" si="3"/>
        <v>0</v>
      </c>
      <c r="ED24" s="2215">
        <f t="shared" si="3"/>
        <v>0</v>
      </c>
      <c r="EE24" s="2215">
        <f t="shared" si="3"/>
        <v>0</v>
      </c>
      <c r="EF24" s="2215">
        <f t="shared" si="3"/>
        <v>0</v>
      </c>
      <c r="EG24" s="2215">
        <f t="shared" si="3"/>
        <v>0</v>
      </c>
      <c r="EH24" s="2216"/>
      <c r="EI24" s="2217"/>
      <c r="EJ24" s="2218"/>
      <c r="EK24" s="2219"/>
      <c r="EL24" s="2219"/>
      <c r="EM24" s="2219"/>
      <c r="EN24" s="2219"/>
      <c r="EO24" s="2219"/>
      <c r="EP24" s="2219"/>
      <c r="EQ24" s="2219"/>
      <c r="ER24" s="2219"/>
      <c r="ES24" s="2219"/>
      <c r="ET24" s="2219"/>
      <c r="EU24" s="2219"/>
      <c r="EV24" s="2219"/>
      <c r="EW24" s="2219"/>
      <c r="EX24" s="2219"/>
      <c r="EY24" s="2111"/>
      <c r="EZ24" s="2220"/>
      <c r="FA24" s="2221"/>
      <c r="FB24" s="2222"/>
    </row>
    <row r="25" spans="1:158" ht="18.899999999999999" customHeight="1">
      <c r="A25" s="2224" t="s">
        <v>5911</v>
      </c>
      <c r="B25" s="2225"/>
      <c r="C25" s="2225"/>
      <c r="D25" s="2225"/>
      <c r="E25" s="2225"/>
      <c r="F25" s="2225"/>
      <c r="G25" s="2225"/>
      <c r="H25" s="2225"/>
      <c r="I25" s="2225"/>
      <c r="J25" s="2225"/>
      <c r="K25" s="2225"/>
      <c r="L25" s="2225"/>
      <c r="M25" s="2225"/>
      <c r="N25" s="2225"/>
      <c r="O25" s="2225"/>
      <c r="P25" s="2225"/>
      <c r="Q25" s="2225"/>
      <c r="R25" s="2225"/>
      <c r="S25" s="2225"/>
      <c r="T25" s="2225"/>
      <c r="U25" s="2225"/>
      <c r="V25" s="2225"/>
      <c r="W25" s="2225"/>
      <c r="X25" s="2225"/>
      <c r="Y25" s="2225"/>
      <c r="Z25" s="2225"/>
      <c r="AA25" s="2225"/>
      <c r="AB25" s="2225"/>
      <c r="AC25" s="2225"/>
      <c r="AD25" s="2225"/>
      <c r="AE25" s="2225"/>
      <c r="AF25" s="2225"/>
      <c r="AG25" s="2225"/>
      <c r="AH25" s="2225"/>
      <c r="AI25" s="2225"/>
      <c r="AJ25" s="2225"/>
      <c r="AK25" s="2225"/>
      <c r="AL25" s="2225"/>
      <c r="AM25" s="2225"/>
      <c r="AN25" s="2225"/>
      <c r="AO25" s="2225"/>
      <c r="AP25" s="2225"/>
      <c r="AQ25" s="2225"/>
      <c r="AR25" s="2225"/>
      <c r="AS25" s="2225"/>
      <c r="AT25" s="2225"/>
      <c r="AU25" s="2225"/>
      <c r="AV25" s="2225"/>
      <c r="AW25" s="2225"/>
      <c r="AX25" s="2225"/>
      <c r="AY25" s="2225"/>
      <c r="AZ25" s="2225"/>
      <c r="BA25" s="2225"/>
      <c r="BB25" s="2225"/>
      <c r="BC25" s="2225"/>
      <c r="BD25" s="2225"/>
      <c r="BE25" s="2225"/>
      <c r="BF25" s="2225"/>
      <c r="BG25" s="2225"/>
      <c r="BH25" s="2225"/>
      <c r="BI25" s="2225"/>
      <c r="BJ25" s="2225"/>
      <c r="BK25" s="2225"/>
      <c r="BL25" s="2225"/>
      <c r="BM25" s="2225"/>
      <c r="BN25" s="2225"/>
      <c r="BO25" s="2225"/>
      <c r="BP25" s="2225"/>
      <c r="BQ25" s="2225"/>
      <c r="BR25" s="2225"/>
      <c r="BS25" s="2225"/>
      <c r="BT25" s="2225"/>
      <c r="BU25" s="2225"/>
      <c r="BV25" s="2225"/>
      <c r="BW25" s="2225"/>
      <c r="BX25" s="2225"/>
      <c r="BY25" s="2225"/>
      <c r="BZ25" s="2225"/>
      <c r="CA25" s="2225"/>
      <c r="CB25" s="2225"/>
      <c r="CC25" s="2225"/>
      <c r="CD25" s="2225"/>
      <c r="CE25" s="2225"/>
      <c r="CF25" s="2225"/>
      <c r="CG25" s="2225"/>
      <c r="CH25" s="2225"/>
      <c r="CI25" s="2225"/>
      <c r="CJ25" s="2225"/>
      <c r="CK25" s="2225"/>
      <c r="CL25" s="2225"/>
      <c r="CM25" s="2225"/>
      <c r="CN25" s="2225"/>
      <c r="CO25" s="2225"/>
      <c r="CP25" s="2225"/>
      <c r="CQ25" s="2225"/>
      <c r="CR25" s="2225"/>
      <c r="CS25" s="2225"/>
      <c r="CT25" s="2225"/>
      <c r="CU25" s="2225"/>
      <c r="CV25" s="2225"/>
      <c r="CW25" s="2225"/>
      <c r="CX25" s="2225"/>
      <c r="CY25" s="2225"/>
      <c r="CZ25" s="2225"/>
      <c r="DA25" s="2225"/>
      <c r="DB25" s="2225"/>
      <c r="DC25" s="2225"/>
      <c r="DD25" s="2225"/>
      <c r="DE25" s="2225"/>
      <c r="DF25" s="2225"/>
      <c r="DG25" s="2225"/>
      <c r="DH25" s="2225"/>
      <c r="DI25" s="2225"/>
      <c r="DJ25" s="2225"/>
      <c r="DK25" s="2225"/>
      <c r="DL25" s="2225"/>
      <c r="DM25" s="2225"/>
      <c r="DN25" s="2225"/>
      <c r="DO25" s="2225"/>
      <c r="DP25" s="2225"/>
      <c r="DQ25" s="2225"/>
      <c r="DR25" s="2225"/>
      <c r="DS25" s="2225"/>
      <c r="DT25" s="2225"/>
      <c r="DU25" s="2225"/>
      <c r="DV25" s="2225"/>
      <c r="DW25" s="2225"/>
      <c r="DX25" s="2225"/>
      <c r="DY25" s="2225"/>
      <c r="DZ25" s="2225"/>
      <c r="EA25" s="2225"/>
      <c r="EB25" s="2225"/>
      <c r="EC25" s="2225"/>
      <c r="ED25" s="2225"/>
      <c r="EE25" s="2225"/>
      <c r="EF25" s="2225"/>
      <c r="EG25" s="2225"/>
      <c r="EH25" s="2226"/>
    </row>
    <row r="26" spans="1:158" s="2197" customFormat="1" ht="18" customHeight="1">
      <c r="A26" s="2227" t="s">
        <v>2102</v>
      </c>
      <c r="B26" s="2228"/>
      <c r="C26" s="2229"/>
      <c r="D26" s="2229"/>
      <c r="E26" s="2229"/>
      <c r="F26" s="2229"/>
      <c r="G26" s="2229"/>
      <c r="H26" s="2229"/>
      <c r="I26" s="2230"/>
      <c r="J26" s="2231"/>
      <c r="K26" s="2231"/>
      <c r="L26" s="2231"/>
      <c r="M26" s="2231"/>
      <c r="N26" s="2231"/>
      <c r="O26" s="2231"/>
      <c r="P26" s="2231"/>
      <c r="Q26" s="2231"/>
      <c r="R26" s="2231"/>
      <c r="S26" s="2231"/>
      <c r="T26" s="2231"/>
      <c r="U26" s="2231"/>
      <c r="V26" s="2231"/>
      <c r="W26" s="2231"/>
      <c r="X26" s="2231"/>
      <c r="Y26" s="2231"/>
      <c r="Z26" s="2231"/>
      <c r="AA26" s="2231"/>
      <c r="AB26" s="2231"/>
      <c r="AC26" s="2231"/>
      <c r="AD26" s="2231"/>
      <c r="AE26" s="2231"/>
      <c r="AF26" s="2231"/>
      <c r="AG26" s="2231"/>
      <c r="AH26" s="2231"/>
      <c r="AI26" s="2231"/>
      <c r="AJ26" s="2231"/>
      <c r="AK26" s="2231"/>
      <c r="AL26" s="2231"/>
      <c r="AM26" s="2231"/>
      <c r="AN26" s="2231"/>
      <c r="AO26" s="2231"/>
      <c r="AP26" s="2231"/>
      <c r="AQ26" s="2231"/>
      <c r="AR26" s="2231"/>
      <c r="AS26" s="2231"/>
      <c r="AT26" s="2231"/>
      <c r="AU26" s="2231"/>
      <c r="AV26" s="2231"/>
      <c r="AW26" s="2231"/>
      <c r="AX26" s="567"/>
      <c r="AY26" s="2231"/>
      <c r="AZ26" s="2231"/>
      <c r="BA26" s="2231"/>
      <c r="BB26" s="2231"/>
      <c r="BC26" s="2231"/>
      <c r="BD26" s="2231"/>
      <c r="BE26" s="2231"/>
      <c r="BF26" s="2231"/>
      <c r="BG26" s="2232"/>
      <c r="BH26" s="2231"/>
      <c r="BI26" s="2231"/>
      <c r="BJ26" s="2231"/>
      <c r="BK26" s="2231"/>
      <c r="BL26" s="2231"/>
      <c r="BM26" s="2231"/>
      <c r="BN26" s="2231"/>
      <c r="BO26" s="2231"/>
      <c r="BP26" s="2231"/>
      <c r="BQ26" s="2231"/>
      <c r="BR26" s="2231"/>
      <c r="BS26" s="2231"/>
      <c r="BT26" s="2231"/>
      <c r="BU26" s="2231"/>
      <c r="BV26" s="2231"/>
      <c r="BW26" s="2231"/>
      <c r="BX26" s="567"/>
      <c r="BY26" s="567"/>
      <c r="BZ26" s="2231"/>
      <c r="CA26" s="567"/>
      <c r="CB26" s="2231"/>
      <c r="CC26" s="2231"/>
      <c r="CD26" s="2231"/>
      <c r="CE26" s="2231"/>
      <c r="CF26" s="2231"/>
      <c r="CG26" s="2231"/>
      <c r="CH26" s="2231"/>
      <c r="CI26" s="2231"/>
      <c r="CJ26" s="2231"/>
      <c r="CK26" s="2231"/>
      <c r="CL26" s="2231"/>
      <c r="CM26" s="2231"/>
      <c r="CN26" s="2231"/>
      <c r="CO26" s="2231"/>
      <c r="CP26" s="2231"/>
      <c r="CQ26" s="2231"/>
      <c r="CR26" s="2231"/>
      <c r="CS26" s="2231"/>
      <c r="CT26" s="2231"/>
      <c r="CU26" s="567"/>
      <c r="CV26" s="567"/>
      <c r="CW26" s="567"/>
      <c r="CX26" s="567"/>
      <c r="CY26" s="567"/>
      <c r="CZ26" s="567"/>
      <c r="DA26" s="2231"/>
      <c r="DB26" s="2231"/>
      <c r="DC26" s="567"/>
      <c r="DD26" s="2231"/>
      <c r="DE26" s="2231"/>
      <c r="DF26" s="2231"/>
      <c r="DG26" s="2231"/>
      <c r="DH26" s="2231"/>
      <c r="DI26" s="567"/>
      <c r="DJ26" s="2231"/>
      <c r="DK26" s="2231"/>
      <c r="DL26" s="2231"/>
      <c r="DM26" s="2231"/>
      <c r="DN26" s="2231"/>
      <c r="DO26" s="2231"/>
      <c r="DP26" s="2231"/>
      <c r="DQ26" s="2231"/>
      <c r="DR26" s="2231"/>
      <c r="DS26" s="2231"/>
      <c r="DT26" s="2231"/>
      <c r="DU26" s="2231"/>
      <c r="DV26" s="2231"/>
      <c r="DW26" s="2231"/>
      <c r="DX26" s="2231"/>
      <c r="DY26" s="2231"/>
      <c r="DZ26" s="2231"/>
      <c r="EA26" s="2231"/>
      <c r="EB26" s="2231"/>
      <c r="EC26" s="2231"/>
      <c r="ED26" s="2231"/>
      <c r="EE26" s="2231"/>
      <c r="EF26" s="2231"/>
      <c r="EG26" s="2231"/>
      <c r="EH26" s="2233"/>
      <c r="EI26" s="2191"/>
      <c r="EJ26" s="2103"/>
      <c r="EK26" s="2192"/>
      <c r="EL26" s="2193"/>
      <c r="EM26" s="2192"/>
      <c r="EN26" s="2193"/>
      <c r="EO26" s="2192"/>
      <c r="EP26" s="2192"/>
      <c r="EQ26" s="2192"/>
      <c r="ER26" s="2192"/>
      <c r="ES26" s="2192"/>
      <c r="ET26" s="2192"/>
      <c r="EU26" s="2192"/>
      <c r="EV26" s="2192"/>
      <c r="EW26" s="2192"/>
      <c r="EX26" s="2192"/>
      <c r="EY26" s="2103"/>
      <c r="EZ26" s="2194"/>
      <c r="FA26" s="2195"/>
      <c r="FB26" s="2196"/>
    </row>
    <row r="27" spans="1:158" s="2197" customFormat="1" ht="18.899999999999999" customHeight="1">
      <c r="A27" s="2186" t="s">
        <v>2099</v>
      </c>
      <c r="B27" s="2083"/>
      <c r="C27" s="2187"/>
      <c r="D27" s="2187"/>
      <c r="E27" s="2187"/>
      <c r="F27" s="2187"/>
      <c r="G27" s="2187"/>
      <c r="H27" s="2187"/>
      <c r="I27" s="2188"/>
      <c r="J27" s="2087"/>
      <c r="K27" s="2087"/>
      <c r="L27" s="2087"/>
      <c r="M27" s="2083"/>
      <c r="N27" s="2083"/>
      <c r="O27" s="2087"/>
      <c r="P27" s="2087"/>
      <c r="Q27" s="2087"/>
      <c r="R27" s="2087"/>
      <c r="S27" s="2087"/>
      <c r="T27" s="2087"/>
      <c r="U27" s="2087"/>
      <c r="V27" s="2087"/>
      <c r="W27" s="2087"/>
      <c r="X27" s="2087"/>
      <c r="Y27" s="2098"/>
      <c r="Z27" s="2087"/>
      <c r="AA27" s="2087"/>
      <c r="AB27" s="2087"/>
      <c r="AC27" s="2087"/>
      <c r="AD27" s="2087"/>
      <c r="AE27" s="2087"/>
      <c r="AF27" s="2087"/>
      <c r="AG27" s="2087"/>
      <c r="AH27" s="2087"/>
      <c r="AI27" s="2087"/>
      <c r="AJ27" s="2087"/>
      <c r="AK27" s="2087"/>
      <c r="AL27" s="2087"/>
      <c r="AM27" s="2087"/>
      <c r="AN27" s="2087"/>
      <c r="AO27" s="2087"/>
      <c r="AP27" s="2087"/>
      <c r="AQ27" s="2087"/>
      <c r="AR27" s="2087"/>
      <c r="AS27" s="2087"/>
      <c r="AT27" s="2087"/>
      <c r="AU27" s="2087"/>
      <c r="AV27" s="2087"/>
      <c r="AW27" s="2087"/>
      <c r="AX27" s="2098"/>
      <c r="AY27" s="2087"/>
      <c r="AZ27" s="2087"/>
      <c r="BA27" s="2087"/>
      <c r="BB27" s="2087"/>
      <c r="BC27" s="2087"/>
      <c r="BD27" s="2087"/>
      <c r="BE27" s="2087"/>
      <c r="BF27" s="2087"/>
      <c r="BG27" s="2189"/>
      <c r="BH27" s="2087"/>
      <c r="BI27" s="2087"/>
      <c r="BJ27" s="2087"/>
      <c r="BK27" s="2087"/>
      <c r="BL27" s="2087"/>
      <c r="BM27" s="2087"/>
      <c r="BN27" s="2087"/>
      <c r="BO27" s="2087"/>
      <c r="BP27" s="2087"/>
      <c r="BQ27" s="2087"/>
      <c r="BR27" s="2087"/>
      <c r="BS27" s="2087"/>
      <c r="BT27" s="2087"/>
      <c r="BU27" s="2087"/>
      <c r="BV27" s="2087"/>
      <c r="BW27" s="2087"/>
      <c r="BX27" s="2098"/>
      <c r="BY27" s="2098"/>
      <c r="BZ27" s="2087"/>
      <c r="CA27" s="2098"/>
      <c r="CB27" s="2087"/>
      <c r="CC27" s="2087"/>
      <c r="CD27" s="2087"/>
      <c r="CE27" s="2087"/>
      <c r="CF27" s="2087"/>
      <c r="CG27" s="2087"/>
      <c r="CH27" s="2087"/>
      <c r="CI27" s="2087"/>
      <c r="CJ27" s="2087"/>
      <c r="CK27" s="2087"/>
      <c r="CL27" s="2087"/>
      <c r="CM27" s="2087"/>
      <c r="CN27" s="2087"/>
      <c r="CO27" s="2087"/>
      <c r="CP27" s="2087"/>
      <c r="CQ27" s="2087"/>
      <c r="CR27" s="2087"/>
      <c r="CS27" s="2087"/>
      <c r="CT27" s="2087"/>
      <c r="CU27" s="2098"/>
      <c r="CV27" s="2098"/>
      <c r="CW27" s="2098"/>
      <c r="CX27" s="2098"/>
      <c r="CY27" s="2098"/>
      <c r="CZ27" s="2098"/>
      <c r="DA27" s="2087"/>
      <c r="DB27" s="2087"/>
      <c r="DC27" s="2098"/>
      <c r="DD27" s="2087"/>
      <c r="DE27" s="2087"/>
      <c r="DF27" s="2087"/>
      <c r="DG27" s="2087"/>
      <c r="DH27" s="2087"/>
      <c r="DI27" s="2098"/>
      <c r="DJ27" s="2087"/>
      <c r="DK27" s="2087"/>
      <c r="DL27" s="2087"/>
      <c r="DM27" s="2087"/>
      <c r="DN27" s="2087"/>
      <c r="DO27" s="2087"/>
      <c r="DP27" s="2087"/>
      <c r="DQ27" s="2087"/>
      <c r="DR27" s="2087"/>
      <c r="DS27" s="2087"/>
      <c r="DT27" s="2087"/>
      <c r="DU27" s="2087"/>
      <c r="DV27" s="2087"/>
      <c r="DW27" s="2087"/>
      <c r="DX27" s="2087"/>
      <c r="DY27" s="2087"/>
      <c r="DZ27" s="2087"/>
      <c r="EA27" s="2087"/>
      <c r="EB27" s="2087"/>
      <c r="EC27" s="2087"/>
      <c r="ED27" s="2087"/>
      <c r="EE27" s="2087"/>
      <c r="EF27" s="2087"/>
      <c r="EG27" s="2087"/>
      <c r="EH27" s="2190"/>
      <c r="EI27" s="2191"/>
      <c r="EJ27" s="2103"/>
      <c r="EK27" s="2192"/>
      <c r="EL27" s="2193"/>
      <c r="EM27" s="2192"/>
      <c r="EN27" s="2193"/>
      <c r="EO27" s="2192"/>
      <c r="EP27" s="2192"/>
      <c r="EQ27" s="2192"/>
      <c r="ER27" s="2192"/>
      <c r="ES27" s="2192"/>
      <c r="ET27" s="2192"/>
      <c r="EU27" s="2192"/>
      <c r="EV27" s="2192"/>
      <c r="EW27" s="2192"/>
      <c r="EX27" s="2192"/>
      <c r="EY27" s="2103"/>
      <c r="EZ27" s="2194"/>
      <c r="FA27" s="2195"/>
      <c r="FB27" s="2196"/>
    </row>
    <row r="28" spans="1:158" s="2197" customFormat="1" ht="18.899999999999999" customHeight="1">
      <c r="A28" s="2198">
        <v>2</v>
      </c>
      <c r="B28" s="2083"/>
      <c r="C28" s="2187"/>
      <c r="D28" s="2187"/>
      <c r="E28" s="2187"/>
      <c r="F28" s="2187"/>
      <c r="G28" s="2187"/>
      <c r="H28" s="2187"/>
      <c r="I28" s="2188"/>
      <c r="J28" s="2087"/>
      <c r="K28" s="2087"/>
      <c r="L28" s="2087"/>
      <c r="M28" s="2083"/>
      <c r="N28" s="2083"/>
      <c r="O28" s="2087"/>
      <c r="P28" s="2087"/>
      <c r="Q28" s="2087"/>
      <c r="R28" s="2087"/>
      <c r="S28" s="2087"/>
      <c r="T28" s="2087"/>
      <c r="U28" s="2087"/>
      <c r="V28" s="2087"/>
      <c r="W28" s="2087"/>
      <c r="X28" s="2087"/>
      <c r="Y28" s="2098"/>
      <c r="Z28" s="2087"/>
      <c r="AA28" s="2087"/>
      <c r="AB28" s="2087"/>
      <c r="AC28" s="2087"/>
      <c r="AD28" s="2087"/>
      <c r="AE28" s="2087"/>
      <c r="AF28" s="2087"/>
      <c r="AG28" s="2087"/>
      <c r="AH28" s="2087"/>
      <c r="AI28" s="2087"/>
      <c r="AJ28" s="2087"/>
      <c r="AK28" s="2087"/>
      <c r="AL28" s="2087"/>
      <c r="AM28" s="2087"/>
      <c r="AN28" s="2087"/>
      <c r="AO28" s="2087"/>
      <c r="AP28" s="2087"/>
      <c r="AQ28" s="2087"/>
      <c r="AR28" s="2087"/>
      <c r="AS28" s="2087"/>
      <c r="AT28" s="2087"/>
      <c r="AU28" s="2087"/>
      <c r="AV28" s="2087"/>
      <c r="AW28" s="2087"/>
      <c r="AX28" s="2098"/>
      <c r="AY28" s="2087"/>
      <c r="AZ28" s="2087"/>
      <c r="BA28" s="2087"/>
      <c r="BB28" s="2087"/>
      <c r="BC28" s="2087"/>
      <c r="BD28" s="2087"/>
      <c r="BE28" s="2087"/>
      <c r="BF28" s="2087"/>
      <c r="BG28" s="2189"/>
      <c r="BH28" s="2087"/>
      <c r="BI28" s="2087"/>
      <c r="BJ28" s="2087"/>
      <c r="BK28" s="2087"/>
      <c r="BL28" s="2087"/>
      <c r="BM28" s="2087"/>
      <c r="BN28" s="2087"/>
      <c r="BO28" s="2087"/>
      <c r="BP28" s="2087"/>
      <c r="BQ28" s="2087"/>
      <c r="BR28" s="2087"/>
      <c r="BS28" s="2087"/>
      <c r="BT28" s="2087"/>
      <c r="BU28" s="2087"/>
      <c r="BV28" s="2087"/>
      <c r="BW28" s="2087"/>
      <c r="BX28" s="2098"/>
      <c r="BY28" s="2098"/>
      <c r="BZ28" s="2087"/>
      <c r="CA28" s="2098"/>
      <c r="CB28" s="2087"/>
      <c r="CC28" s="2087"/>
      <c r="CD28" s="2087"/>
      <c r="CE28" s="2087"/>
      <c r="CF28" s="2087"/>
      <c r="CG28" s="2087"/>
      <c r="CH28" s="2087"/>
      <c r="CI28" s="2087"/>
      <c r="CJ28" s="2087"/>
      <c r="CK28" s="2087"/>
      <c r="CL28" s="2087"/>
      <c r="CM28" s="2087"/>
      <c r="CN28" s="2087"/>
      <c r="CO28" s="2087"/>
      <c r="CP28" s="2087"/>
      <c r="CQ28" s="2087"/>
      <c r="CR28" s="2087"/>
      <c r="CS28" s="2087"/>
      <c r="CT28" s="2087"/>
      <c r="CU28" s="2098"/>
      <c r="CV28" s="2098"/>
      <c r="CW28" s="2098"/>
      <c r="CX28" s="2098"/>
      <c r="CY28" s="2098"/>
      <c r="CZ28" s="2098"/>
      <c r="DA28" s="2087"/>
      <c r="DB28" s="2087"/>
      <c r="DC28" s="2098"/>
      <c r="DD28" s="2087"/>
      <c r="DE28" s="2087"/>
      <c r="DF28" s="2087"/>
      <c r="DG28" s="2087"/>
      <c r="DH28" s="2087"/>
      <c r="DI28" s="2098"/>
      <c r="DJ28" s="2087"/>
      <c r="DK28" s="2087"/>
      <c r="DL28" s="2087"/>
      <c r="DM28" s="2087"/>
      <c r="DN28" s="2087"/>
      <c r="DO28" s="2087"/>
      <c r="DP28" s="2087"/>
      <c r="DQ28" s="2087"/>
      <c r="DR28" s="2087"/>
      <c r="DS28" s="2087"/>
      <c r="DT28" s="2087"/>
      <c r="DU28" s="2087"/>
      <c r="DV28" s="2087"/>
      <c r="DW28" s="2087"/>
      <c r="DX28" s="2087"/>
      <c r="DY28" s="2087"/>
      <c r="DZ28" s="2087"/>
      <c r="EA28" s="2087"/>
      <c r="EB28" s="2087"/>
      <c r="EC28" s="2087"/>
      <c r="ED28" s="2087"/>
      <c r="EE28" s="2087"/>
      <c r="EF28" s="2087"/>
      <c r="EG28" s="2087"/>
      <c r="EH28" s="2190"/>
      <c r="EI28" s="2191"/>
      <c r="EJ28" s="2103"/>
      <c r="EK28" s="2192"/>
      <c r="EL28" s="2193"/>
      <c r="EM28" s="2192"/>
      <c r="EN28" s="2193"/>
      <c r="EO28" s="2192"/>
      <c r="EP28" s="2192"/>
      <c r="EQ28" s="2192"/>
      <c r="ER28" s="2192"/>
      <c r="ES28" s="2192"/>
      <c r="ET28" s="2192"/>
      <c r="EU28" s="2192"/>
      <c r="EV28" s="2192"/>
      <c r="EW28" s="2192"/>
      <c r="EX28" s="2192"/>
      <c r="EY28" s="2103"/>
      <c r="EZ28" s="2194"/>
      <c r="FA28" s="2195"/>
      <c r="FB28" s="2196"/>
    </row>
    <row r="29" spans="1:158" s="2197" customFormat="1" ht="18.899999999999999" customHeight="1">
      <c r="A29" s="2198">
        <v>3</v>
      </c>
      <c r="B29" s="2083"/>
      <c r="C29" s="2187"/>
      <c r="D29" s="2187"/>
      <c r="E29" s="2187"/>
      <c r="F29" s="2187"/>
      <c r="G29" s="2187"/>
      <c r="H29" s="2187"/>
      <c r="I29" s="2188"/>
      <c r="J29" s="2087"/>
      <c r="K29" s="2087"/>
      <c r="L29" s="2087"/>
      <c r="M29" s="2083"/>
      <c r="N29" s="2083"/>
      <c r="O29" s="2087"/>
      <c r="P29" s="2087"/>
      <c r="Q29" s="2087"/>
      <c r="R29" s="2087"/>
      <c r="S29" s="2087"/>
      <c r="T29" s="2087"/>
      <c r="U29" s="2087"/>
      <c r="V29" s="2087"/>
      <c r="W29" s="2087"/>
      <c r="X29" s="2087"/>
      <c r="Y29" s="2098"/>
      <c r="Z29" s="2087"/>
      <c r="AA29" s="2087"/>
      <c r="AB29" s="2087"/>
      <c r="AC29" s="2087"/>
      <c r="AD29" s="2087"/>
      <c r="AE29" s="2087"/>
      <c r="AF29" s="2087"/>
      <c r="AG29" s="2087"/>
      <c r="AH29" s="2087"/>
      <c r="AI29" s="2087"/>
      <c r="AJ29" s="2087"/>
      <c r="AK29" s="2087"/>
      <c r="AL29" s="2087"/>
      <c r="AM29" s="2087"/>
      <c r="AN29" s="2087"/>
      <c r="AO29" s="2087"/>
      <c r="AP29" s="2087"/>
      <c r="AQ29" s="2087"/>
      <c r="AR29" s="2087"/>
      <c r="AS29" s="2087"/>
      <c r="AT29" s="2087"/>
      <c r="AU29" s="2087"/>
      <c r="AV29" s="2087"/>
      <c r="AW29" s="2087"/>
      <c r="AX29" s="2098"/>
      <c r="AY29" s="2087"/>
      <c r="AZ29" s="2087"/>
      <c r="BA29" s="2087"/>
      <c r="BB29" s="2087"/>
      <c r="BC29" s="2087"/>
      <c r="BD29" s="2087"/>
      <c r="BE29" s="2087"/>
      <c r="BF29" s="2087"/>
      <c r="BG29" s="2189"/>
      <c r="BH29" s="2087"/>
      <c r="BI29" s="2087"/>
      <c r="BJ29" s="2087"/>
      <c r="BK29" s="2087"/>
      <c r="BL29" s="2087"/>
      <c r="BM29" s="2087"/>
      <c r="BN29" s="2087"/>
      <c r="BO29" s="2087"/>
      <c r="BP29" s="2087"/>
      <c r="BQ29" s="2087"/>
      <c r="BR29" s="2087"/>
      <c r="BS29" s="2087"/>
      <c r="BT29" s="2087"/>
      <c r="BU29" s="2087"/>
      <c r="BV29" s="2087"/>
      <c r="BW29" s="2087"/>
      <c r="BX29" s="2098"/>
      <c r="BY29" s="2098"/>
      <c r="BZ29" s="2087"/>
      <c r="CA29" s="2098"/>
      <c r="CB29" s="2087"/>
      <c r="CC29" s="2087"/>
      <c r="CD29" s="2087"/>
      <c r="CE29" s="2087"/>
      <c r="CF29" s="2087"/>
      <c r="CG29" s="2087"/>
      <c r="CH29" s="2087"/>
      <c r="CI29" s="2087"/>
      <c r="CJ29" s="2087"/>
      <c r="CK29" s="2087"/>
      <c r="CL29" s="2087"/>
      <c r="CM29" s="2087"/>
      <c r="CN29" s="2087"/>
      <c r="CO29" s="2087"/>
      <c r="CP29" s="2087"/>
      <c r="CQ29" s="2087"/>
      <c r="CR29" s="2087"/>
      <c r="CS29" s="2087"/>
      <c r="CT29" s="2087"/>
      <c r="CU29" s="2098"/>
      <c r="CV29" s="2098"/>
      <c r="CW29" s="2098"/>
      <c r="CX29" s="2098"/>
      <c r="CY29" s="2098"/>
      <c r="CZ29" s="2098"/>
      <c r="DA29" s="2087"/>
      <c r="DB29" s="2087"/>
      <c r="DC29" s="2098"/>
      <c r="DD29" s="2087"/>
      <c r="DE29" s="2087"/>
      <c r="DF29" s="2087"/>
      <c r="DG29" s="2087"/>
      <c r="DH29" s="2087"/>
      <c r="DI29" s="2098"/>
      <c r="DJ29" s="2087"/>
      <c r="DK29" s="2087"/>
      <c r="DL29" s="2087"/>
      <c r="DM29" s="2087"/>
      <c r="DN29" s="2087"/>
      <c r="DO29" s="2087"/>
      <c r="DP29" s="2087"/>
      <c r="DQ29" s="2087"/>
      <c r="DR29" s="2087"/>
      <c r="DS29" s="2087"/>
      <c r="DT29" s="2087"/>
      <c r="DU29" s="2087"/>
      <c r="DV29" s="2087"/>
      <c r="DW29" s="2087"/>
      <c r="DX29" s="2087"/>
      <c r="DY29" s="2087"/>
      <c r="DZ29" s="2087"/>
      <c r="EA29" s="2087"/>
      <c r="EB29" s="2087"/>
      <c r="EC29" s="2087"/>
      <c r="ED29" s="2087"/>
      <c r="EE29" s="2087"/>
      <c r="EF29" s="2087"/>
      <c r="EG29" s="2087"/>
      <c r="EH29" s="2190"/>
      <c r="EI29" s="2191"/>
      <c r="EJ29" s="2103"/>
      <c r="EK29" s="2192"/>
      <c r="EL29" s="2193"/>
      <c r="EM29" s="2192"/>
      <c r="EN29" s="2193"/>
      <c r="EO29" s="2192"/>
      <c r="EP29" s="2192"/>
      <c r="EQ29" s="2192"/>
      <c r="ER29" s="2192"/>
      <c r="ES29" s="2192"/>
      <c r="ET29" s="2192"/>
      <c r="EU29" s="2192"/>
      <c r="EV29" s="2192"/>
      <c r="EW29" s="2192"/>
      <c r="EX29" s="2192"/>
      <c r="EY29" s="2103"/>
      <c r="EZ29" s="2194"/>
      <c r="FA29" s="2195"/>
      <c r="FB29" s="2196"/>
    </row>
    <row r="30" spans="1:158" s="2197" customFormat="1" ht="18.899999999999999" customHeight="1">
      <c r="A30" s="2198">
        <v>4</v>
      </c>
      <c r="B30" s="2083"/>
      <c r="C30" s="2187"/>
      <c r="D30" s="2187"/>
      <c r="E30" s="2187"/>
      <c r="F30" s="2187"/>
      <c r="G30" s="2187"/>
      <c r="H30" s="2187"/>
      <c r="I30" s="2188"/>
      <c r="J30" s="2087"/>
      <c r="K30" s="2087"/>
      <c r="L30" s="2087"/>
      <c r="M30" s="2083"/>
      <c r="N30" s="2083"/>
      <c r="O30" s="2087"/>
      <c r="P30" s="2087"/>
      <c r="Q30" s="2087"/>
      <c r="R30" s="2087"/>
      <c r="S30" s="2087"/>
      <c r="T30" s="2087"/>
      <c r="U30" s="2087"/>
      <c r="V30" s="2087"/>
      <c r="W30" s="2087"/>
      <c r="X30" s="2087"/>
      <c r="Y30" s="2098"/>
      <c r="Z30" s="2087"/>
      <c r="AA30" s="2087"/>
      <c r="AB30" s="2087"/>
      <c r="AC30" s="2087"/>
      <c r="AD30" s="2087"/>
      <c r="AE30" s="2087"/>
      <c r="AF30" s="2087"/>
      <c r="AG30" s="2087"/>
      <c r="AH30" s="2087"/>
      <c r="AI30" s="2087"/>
      <c r="AJ30" s="2087"/>
      <c r="AK30" s="2087"/>
      <c r="AL30" s="2087"/>
      <c r="AM30" s="2087"/>
      <c r="AN30" s="2087"/>
      <c r="AO30" s="2087"/>
      <c r="AP30" s="2087"/>
      <c r="AQ30" s="2087"/>
      <c r="AR30" s="2087"/>
      <c r="AS30" s="2087"/>
      <c r="AT30" s="2087"/>
      <c r="AU30" s="2087"/>
      <c r="AV30" s="2087"/>
      <c r="AW30" s="2087"/>
      <c r="AX30" s="2098"/>
      <c r="AY30" s="2087"/>
      <c r="AZ30" s="2087"/>
      <c r="BA30" s="2087"/>
      <c r="BB30" s="2087"/>
      <c r="BC30" s="2087"/>
      <c r="BD30" s="2087"/>
      <c r="BE30" s="2087"/>
      <c r="BF30" s="2087"/>
      <c r="BG30" s="2189"/>
      <c r="BH30" s="2087"/>
      <c r="BI30" s="2087"/>
      <c r="BJ30" s="2087"/>
      <c r="BK30" s="2087"/>
      <c r="BL30" s="2087"/>
      <c r="BM30" s="2087"/>
      <c r="BN30" s="2087"/>
      <c r="BO30" s="2087"/>
      <c r="BP30" s="2087"/>
      <c r="BQ30" s="2087"/>
      <c r="BR30" s="2087"/>
      <c r="BS30" s="2087"/>
      <c r="BT30" s="2087"/>
      <c r="BU30" s="2087"/>
      <c r="BV30" s="2087"/>
      <c r="BW30" s="2087"/>
      <c r="BX30" s="2098"/>
      <c r="BY30" s="2098"/>
      <c r="BZ30" s="2087"/>
      <c r="CA30" s="2098"/>
      <c r="CB30" s="2087"/>
      <c r="CC30" s="2087"/>
      <c r="CD30" s="2087"/>
      <c r="CE30" s="2087"/>
      <c r="CF30" s="2087"/>
      <c r="CG30" s="2087"/>
      <c r="CH30" s="2087"/>
      <c r="CI30" s="2087"/>
      <c r="CJ30" s="2087"/>
      <c r="CK30" s="2087"/>
      <c r="CL30" s="2087"/>
      <c r="CM30" s="2087"/>
      <c r="CN30" s="2087"/>
      <c r="CO30" s="2087"/>
      <c r="CP30" s="2087"/>
      <c r="CQ30" s="2087"/>
      <c r="CR30" s="2087"/>
      <c r="CS30" s="2087"/>
      <c r="CT30" s="2087"/>
      <c r="CU30" s="2098"/>
      <c r="CV30" s="2098"/>
      <c r="CW30" s="2098"/>
      <c r="CX30" s="2098"/>
      <c r="CY30" s="2098"/>
      <c r="CZ30" s="2098"/>
      <c r="DA30" s="2087"/>
      <c r="DB30" s="2087"/>
      <c r="DC30" s="2098"/>
      <c r="DD30" s="2087"/>
      <c r="DE30" s="2087"/>
      <c r="DF30" s="2087"/>
      <c r="DG30" s="2087"/>
      <c r="DH30" s="2087"/>
      <c r="DI30" s="2098"/>
      <c r="DJ30" s="2087"/>
      <c r="DK30" s="2087"/>
      <c r="DL30" s="2087"/>
      <c r="DM30" s="2087"/>
      <c r="DN30" s="2087"/>
      <c r="DO30" s="2087"/>
      <c r="DP30" s="2087"/>
      <c r="DQ30" s="2087"/>
      <c r="DR30" s="2087"/>
      <c r="DS30" s="2087"/>
      <c r="DT30" s="2087"/>
      <c r="DU30" s="2087"/>
      <c r="DV30" s="2087"/>
      <c r="DW30" s="2087"/>
      <c r="DX30" s="2087"/>
      <c r="DY30" s="2087"/>
      <c r="DZ30" s="2087"/>
      <c r="EA30" s="2087"/>
      <c r="EB30" s="2087"/>
      <c r="EC30" s="2087"/>
      <c r="ED30" s="2087"/>
      <c r="EE30" s="2087"/>
      <c r="EF30" s="2087"/>
      <c r="EG30" s="2087"/>
      <c r="EH30" s="2190"/>
      <c r="EI30" s="2191"/>
      <c r="EJ30" s="2103"/>
      <c r="EK30" s="2192"/>
      <c r="EL30" s="2193"/>
      <c r="EM30" s="2192"/>
      <c r="EN30" s="2193"/>
      <c r="EO30" s="2192"/>
      <c r="EP30" s="2192"/>
      <c r="EQ30" s="2192"/>
      <c r="ER30" s="2192"/>
      <c r="ES30" s="2192"/>
      <c r="ET30" s="2192"/>
      <c r="EU30" s="2192"/>
      <c r="EV30" s="2192"/>
      <c r="EW30" s="2192"/>
      <c r="EX30" s="2192"/>
      <c r="EY30" s="2103"/>
      <c r="EZ30" s="2194"/>
      <c r="FA30" s="2195"/>
      <c r="FB30" s="2196"/>
    </row>
    <row r="31" spans="1:158" s="2197" customFormat="1" ht="18.899999999999999" customHeight="1">
      <c r="A31" s="2198">
        <v>5</v>
      </c>
      <c r="B31" s="2083"/>
      <c r="C31" s="2187"/>
      <c r="D31" s="2187"/>
      <c r="E31" s="2187"/>
      <c r="F31" s="2187"/>
      <c r="G31" s="2187"/>
      <c r="H31" s="2187"/>
      <c r="I31" s="2188"/>
      <c r="J31" s="2087"/>
      <c r="K31" s="2087"/>
      <c r="L31" s="2087"/>
      <c r="M31" s="2083"/>
      <c r="N31" s="2083"/>
      <c r="O31" s="2087"/>
      <c r="P31" s="2087"/>
      <c r="Q31" s="2087"/>
      <c r="R31" s="2087"/>
      <c r="S31" s="2087"/>
      <c r="T31" s="2087"/>
      <c r="U31" s="2087"/>
      <c r="V31" s="2087"/>
      <c r="W31" s="2087"/>
      <c r="X31" s="2087"/>
      <c r="Y31" s="2098"/>
      <c r="Z31" s="2087"/>
      <c r="AA31" s="2087"/>
      <c r="AB31" s="2087"/>
      <c r="AC31" s="2087"/>
      <c r="AD31" s="2087"/>
      <c r="AE31" s="2087"/>
      <c r="AF31" s="2087"/>
      <c r="AG31" s="2087"/>
      <c r="AH31" s="2087"/>
      <c r="AI31" s="2087"/>
      <c r="AJ31" s="2087"/>
      <c r="AK31" s="2087"/>
      <c r="AL31" s="2087"/>
      <c r="AM31" s="2087"/>
      <c r="AN31" s="2087"/>
      <c r="AO31" s="2087"/>
      <c r="AP31" s="2087"/>
      <c r="AQ31" s="2087"/>
      <c r="AR31" s="2087"/>
      <c r="AS31" s="2087"/>
      <c r="AT31" s="2087"/>
      <c r="AU31" s="2087"/>
      <c r="AV31" s="2087"/>
      <c r="AW31" s="2087"/>
      <c r="AX31" s="2098"/>
      <c r="AY31" s="2087"/>
      <c r="AZ31" s="2087"/>
      <c r="BA31" s="2087"/>
      <c r="BB31" s="2087"/>
      <c r="BC31" s="2087"/>
      <c r="BD31" s="2087"/>
      <c r="BE31" s="2087"/>
      <c r="BF31" s="2087"/>
      <c r="BG31" s="2189"/>
      <c r="BH31" s="2087"/>
      <c r="BI31" s="2087"/>
      <c r="BJ31" s="2087"/>
      <c r="BK31" s="2087"/>
      <c r="BL31" s="2087"/>
      <c r="BM31" s="2087"/>
      <c r="BN31" s="2087"/>
      <c r="BO31" s="2087"/>
      <c r="BP31" s="2087"/>
      <c r="BQ31" s="2087"/>
      <c r="BR31" s="2087"/>
      <c r="BS31" s="2087"/>
      <c r="BT31" s="2087"/>
      <c r="BU31" s="2087"/>
      <c r="BV31" s="2087"/>
      <c r="BW31" s="2087"/>
      <c r="BX31" s="2098"/>
      <c r="BY31" s="2098"/>
      <c r="BZ31" s="2087"/>
      <c r="CA31" s="2098"/>
      <c r="CB31" s="2087"/>
      <c r="CC31" s="2087"/>
      <c r="CD31" s="2087"/>
      <c r="CE31" s="2087"/>
      <c r="CF31" s="2087"/>
      <c r="CG31" s="2087"/>
      <c r="CH31" s="2087"/>
      <c r="CI31" s="2087"/>
      <c r="CJ31" s="2087"/>
      <c r="CK31" s="2087"/>
      <c r="CL31" s="2087"/>
      <c r="CM31" s="2087"/>
      <c r="CN31" s="2087"/>
      <c r="CO31" s="2087"/>
      <c r="CP31" s="2087"/>
      <c r="CQ31" s="2087"/>
      <c r="CR31" s="2087"/>
      <c r="CS31" s="2087"/>
      <c r="CT31" s="2087"/>
      <c r="CU31" s="2098"/>
      <c r="CV31" s="2098"/>
      <c r="CW31" s="2098"/>
      <c r="CX31" s="2098"/>
      <c r="CY31" s="2098"/>
      <c r="CZ31" s="2098"/>
      <c r="DA31" s="2087"/>
      <c r="DB31" s="2087"/>
      <c r="DC31" s="2098"/>
      <c r="DD31" s="2087"/>
      <c r="DE31" s="2087"/>
      <c r="DF31" s="2087"/>
      <c r="DG31" s="2087"/>
      <c r="DH31" s="2087"/>
      <c r="DI31" s="2098"/>
      <c r="DJ31" s="2087"/>
      <c r="DK31" s="2087"/>
      <c r="DL31" s="2087"/>
      <c r="DM31" s="2087"/>
      <c r="DN31" s="2087"/>
      <c r="DO31" s="2087"/>
      <c r="DP31" s="2087"/>
      <c r="DQ31" s="2087"/>
      <c r="DR31" s="2087"/>
      <c r="DS31" s="2087"/>
      <c r="DT31" s="2087"/>
      <c r="DU31" s="2087"/>
      <c r="DV31" s="2087"/>
      <c r="DW31" s="2087"/>
      <c r="DX31" s="2087"/>
      <c r="DY31" s="2087"/>
      <c r="DZ31" s="2087"/>
      <c r="EA31" s="2087"/>
      <c r="EB31" s="2087"/>
      <c r="EC31" s="2087"/>
      <c r="ED31" s="2087"/>
      <c r="EE31" s="2087"/>
      <c r="EF31" s="2087"/>
      <c r="EG31" s="2087"/>
      <c r="EH31" s="2190"/>
      <c r="EI31" s="2191"/>
      <c r="EJ31" s="2103"/>
      <c r="EK31" s="2192"/>
      <c r="EL31" s="2193"/>
      <c r="EM31" s="2192"/>
      <c r="EN31" s="2193"/>
      <c r="EO31" s="2192"/>
      <c r="EP31" s="2192"/>
      <c r="EQ31" s="2192"/>
      <c r="ER31" s="2192"/>
      <c r="ES31" s="2192"/>
      <c r="ET31" s="2192"/>
      <c r="EU31" s="2192"/>
      <c r="EV31" s="2192"/>
      <c r="EW31" s="2192"/>
      <c r="EX31" s="2192"/>
      <c r="EY31" s="2103"/>
      <c r="EZ31" s="2194"/>
      <c r="FA31" s="2195"/>
      <c r="FB31" s="2196"/>
    </row>
    <row r="32" spans="1:158" s="2197" customFormat="1" ht="18.899999999999999" customHeight="1">
      <c r="A32" s="2198">
        <v>6</v>
      </c>
      <c r="B32" s="2083"/>
      <c r="C32" s="2187"/>
      <c r="D32" s="2187"/>
      <c r="E32" s="2187"/>
      <c r="F32" s="2187"/>
      <c r="G32" s="2187"/>
      <c r="H32" s="2187"/>
      <c r="I32" s="2188"/>
      <c r="J32" s="2087"/>
      <c r="K32" s="2087"/>
      <c r="L32" s="2087"/>
      <c r="M32" s="2083"/>
      <c r="N32" s="2083"/>
      <c r="O32" s="2087"/>
      <c r="P32" s="2087"/>
      <c r="Q32" s="2087"/>
      <c r="R32" s="2087"/>
      <c r="S32" s="2087"/>
      <c r="T32" s="2087"/>
      <c r="U32" s="2087"/>
      <c r="V32" s="2087"/>
      <c r="W32" s="2087"/>
      <c r="X32" s="2087"/>
      <c r="Y32" s="2098"/>
      <c r="Z32" s="2087"/>
      <c r="AA32" s="2087"/>
      <c r="AB32" s="2087"/>
      <c r="AC32" s="2087"/>
      <c r="AD32" s="2087"/>
      <c r="AE32" s="2087"/>
      <c r="AF32" s="2087"/>
      <c r="AG32" s="2087"/>
      <c r="AH32" s="2087"/>
      <c r="AI32" s="2087"/>
      <c r="AJ32" s="2087"/>
      <c r="AK32" s="2087"/>
      <c r="AL32" s="2087"/>
      <c r="AM32" s="2087"/>
      <c r="AN32" s="2087"/>
      <c r="AO32" s="2087"/>
      <c r="AP32" s="2087"/>
      <c r="AQ32" s="2087"/>
      <c r="AR32" s="2087"/>
      <c r="AS32" s="2087"/>
      <c r="AT32" s="2087"/>
      <c r="AU32" s="2087"/>
      <c r="AV32" s="2087"/>
      <c r="AW32" s="2087"/>
      <c r="AX32" s="2098"/>
      <c r="AY32" s="2087"/>
      <c r="AZ32" s="2087"/>
      <c r="BA32" s="2087"/>
      <c r="BB32" s="2087"/>
      <c r="BC32" s="2087"/>
      <c r="BD32" s="2087"/>
      <c r="BE32" s="2087"/>
      <c r="BF32" s="2087"/>
      <c r="BG32" s="2189"/>
      <c r="BH32" s="2087"/>
      <c r="BI32" s="2087"/>
      <c r="BJ32" s="2087"/>
      <c r="BK32" s="2087"/>
      <c r="BL32" s="2087"/>
      <c r="BM32" s="2087"/>
      <c r="BN32" s="2087"/>
      <c r="BO32" s="2087"/>
      <c r="BP32" s="2087"/>
      <c r="BQ32" s="2087"/>
      <c r="BR32" s="2087"/>
      <c r="BS32" s="2087"/>
      <c r="BT32" s="2087"/>
      <c r="BU32" s="2087"/>
      <c r="BV32" s="2087"/>
      <c r="BW32" s="2087"/>
      <c r="BX32" s="2098"/>
      <c r="BY32" s="2098"/>
      <c r="BZ32" s="2087"/>
      <c r="CA32" s="2098"/>
      <c r="CB32" s="2087"/>
      <c r="CC32" s="2087"/>
      <c r="CD32" s="2087"/>
      <c r="CE32" s="2087"/>
      <c r="CF32" s="2087"/>
      <c r="CG32" s="2087"/>
      <c r="CH32" s="2087"/>
      <c r="CI32" s="2087"/>
      <c r="CJ32" s="2087"/>
      <c r="CK32" s="2087"/>
      <c r="CL32" s="2087"/>
      <c r="CM32" s="2087"/>
      <c r="CN32" s="2087"/>
      <c r="CO32" s="2087"/>
      <c r="CP32" s="2087"/>
      <c r="CQ32" s="2087"/>
      <c r="CR32" s="2087"/>
      <c r="CS32" s="2087"/>
      <c r="CT32" s="2087"/>
      <c r="CU32" s="2098"/>
      <c r="CV32" s="2098"/>
      <c r="CW32" s="2098"/>
      <c r="CX32" s="2098"/>
      <c r="CY32" s="2098"/>
      <c r="CZ32" s="2098"/>
      <c r="DA32" s="2087"/>
      <c r="DB32" s="2087"/>
      <c r="DC32" s="2098"/>
      <c r="DD32" s="2087"/>
      <c r="DE32" s="2087"/>
      <c r="DF32" s="2087"/>
      <c r="DG32" s="2087"/>
      <c r="DH32" s="2087"/>
      <c r="DI32" s="2098"/>
      <c r="DJ32" s="2087"/>
      <c r="DK32" s="2087"/>
      <c r="DL32" s="2087"/>
      <c r="DM32" s="2087"/>
      <c r="DN32" s="2087"/>
      <c r="DO32" s="2087"/>
      <c r="DP32" s="2087"/>
      <c r="DQ32" s="2087"/>
      <c r="DR32" s="2087"/>
      <c r="DS32" s="2087"/>
      <c r="DT32" s="2087"/>
      <c r="DU32" s="2087"/>
      <c r="DV32" s="2087"/>
      <c r="DW32" s="2087"/>
      <c r="DX32" s="2087"/>
      <c r="DY32" s="2087"/>
      <c r="DZ32" s="2087"/>
      <c r="EA32" s="2087"/>
      <c r="EB32" s="2087"/>
      <c r="EC32" s="2087"/>
      <c r="ED32" s="2087"/>
      <c r="EE32" s="2087"/>
      <c r="EF32" s="2087"/>
      <c r="EG32" s="2087"/>
      <c r="EH32" s="2190"/>
      <c r="EI32" s="2191"/>
      <c r="EJ32" s="2103"/>
      <c r="EK32" s="2192"/>
      <c r="EL32" s="2193"/>
      <c r="EM32" s="2192"/>
      <c r="EN32" s="2193"/>
      <c r="EO32" s="2192"/>
      <c r="EP32" s="2192"/>
      <c r="EQ32" s="2192"/>
      <c r="ER32" s="2192"/>
      <c r="ES32" s="2192"/>
      <c r="ET32" s="2192"/>
      <c r="EU32" s="2192"/>
      <c r="EV32" s="2192"/>
      <c r="EW32" s="2192"/>
      <c r="EX32" s="2192"/>
      <c r="EY32" s="2103"/>
      <c r="EZ32" s="2194"/>
      <c r="FA32" s="2195"/>
      <c r="FB32" s="2196"/>
    </row>
    <row r="33" spans="1:158" s="2197" customFormat="1" ht="18.899999999999999" customHeight="1">
      <c r="A33" s="2198">
        <v>7</v>
      </c>
      <c r="B33" s="2083"/>
      <c r="C33" s="2187"/>
      <c r="D33" s="2187"/>
      <c r="E33" s="2187"/>
      <c r="F33" s="2187"/>
      <c r="G33" s="2187"/>
      <c r="H33" s="2187"/>
      <c r="I33" s="2188"/>
      <c r="J33" s="2087"/>
      <c r="K33" s="2087"/>
      <c r="L33" s="2087"/>
      <c r="M33" s="2083"/>
      <c r="N33" s="2083"/>
      <c r="O33" s="2087"/>
      <c r="P33" s="2087"/>
      <c r="Q33" s="2087"/>
      <c r="R33" s="2087"/>
      <c r="S33" s="2087"/>
      <c r="T33" s="2087"/>
      <c r="U33" s="2087"/>
      <c r="V33" s="2087"/>
      <c r="W33" s="2087"/>
      <c r="X33" s="2087"/>
      <c r="Y33" s="2098"/>
      <c r="Z33" s="2087"/>
      <c r="AA33" s="2087"/>
      <c r="AB33" s="2087"/>
      <c r="AC33" s="2087"/>
      <c r="AD33" s="2087"/>
      <c r="AE33" s="2087"/>
      <c r="AF33" s="2087"/>
      <c r="AG33" s="2087"/>
      <c r="AH33" s="2087"/>
      <c r="AI33" s="2087"/>
      <c r="AJ33" s="2087"/>
      <c r="AK33" s="2087"/>
      <c r="AL33" s="2087"/>
      <c r="AM33" s="2087"/>
      <c r="AN33" s="2087"/>
      <c r="AO33" s="2087"/>
      <c r="AP33" s="2087"/>
      <c r="AQ33" s="2087"/>
      <c r="AR33" s="2087"/>
      <c r="AS33" s="2087"/>
      <c r="AT33" s="2087"/>
      <c r="AU33" s="2087"/>
      <c r="AV33" s="2087"/>
      <c r="AW33" s="2087"/>
      <c r="AX33" s="2098"/>
      <c r="AY33" s="2087"/>
      <c r="AZ33" s="2087"/>
      <c r="BA33" s="2087"/>
      <c r="BB33" s="2087"/>
      <c r="BC33" s="2087"/>
      <c r="BD33" s="2087"/>
      <c r="BE33" s="2087"/>
      <c r="BF33" s="2087"/>
      <c r="BG33" s="2189"/>
      <c r="BH33" s="2087"/>
      <c r="BI33" s="2087"/>
      <c r="BJ33" s="2087"/>
      <c r="BK33" s="2087"/>
      <c r="BL33" s="2087"/>
      <c r="BM33" s="2087"/>
      <c r="BN33" s="2087"/>
      <c r="BO33" s="2087"/>
      <c r="BP33" s="2087"/>
      <c r="BQ33" s="2087"/>
      <c r="BR33" s="2087"/>
      <c r="BS33" s="2087"/>
      <c r="BT33" s="2087"/>
      <c r="BU33" s="2087"/>
      <c r="BV33" s="2087"/>
      <c r="BW33" s="2087"/>
      <c r="BX33" s="2098"/>
      <c r="BY33" s="2098"/>
      <c r="BZ33" s="2087"/>
      <c r="CA33" s="2098"/>
      <c r="CB33" s="2087"/>
      <c r="CC33" s="2087"/>
      <c r="CD33" s="2087"/>
      <c r="CE33" s="2087"/>
      <c r="CF33" s="2087"/>
      <c r="CG33" s="2087"/>
      <c r="CH33" s="2087"/>
      <c r="CI33" s="2087"/>
      <c r="CJ33" s="2087"/>
      <c r="CK33" s="2087"/>
      <c r="CL33" s="2087"/>
      <c r="CM33" s="2087"/>
      <c r="CN33" s="2087"/>
      <c r="CO33" s="2087"/>
      <c r="CP33" s="2087"/>
      <c r="CQ33" s="2087"/>
      <c r="CR33" s="2087"/>
      <c r="CS33" s="2087"/>
      <c r="CT33" s="2087"/>
      <c r="CU33" s="2098"/>
      <c r="CV33" s="2098"/>
      <c r="CW33" s="2098"/>
      <c r="CX33" s="2098"/>
      <c r="CY33" s="2098"/>
      <c r="CZ33" s="2098"/>
      <c r="DA33" s="2087"/>
      <c r="DB33" s="2087"/>
      <c r="DC33" s="2098"/>
      <c r="DD33" s="2087"/>
      <c r="DE33" s="2087"/>
      <c r="DF33" s="2087"/>
      <c r="DG33" s="2087"/>
      <c r="DH33" s="2087"/>
      <c r="DI33" s="2098"/>
      <c r="DJ33" s="2087"/>
      <c r="DK33" s="2087"/>
      <c r="DL33" s="2087"/>
      <c r="DM33" s="2087"/>
      <c r="DN33" s="2087"/>
      <c r="DO33" s="2087"/>
      <c r="DP33" s="2087"/>
      <c r="DQ33" s="2087"/>
      <c r="DR33" s="2087"/>
      <c r="DS33" s="2087"/>
      <c r="DT33" s="2087"/>
      <c r="DU33" s="2087"/>
      <c r="DV33" s="2087"/>
      <c r="DW33" s="2087"/>
      <c r="DX33" s="2087"/>
      <c r="DY33" s="2087"/>
      <c r="DZ33" s="2087"/>
      <c r="EA33" s="2087"/>
      <c r="EB33" s="2087"/>
      <c r="EC33" s="2087"/>
      <c r="ED33" s="2087"/>
      <c r="EE33" s="2087"/>
      <c r="EF33" s="2087"/>
      <c r="EG33" s="2087"/>
      <c r="EH33" s="2190"/>
      <c r="EI33" s="2191"/>
      <c r="EJ33" s="2103"/>
      <c r="EK33" s="2192"/>
      <c r="EL33" s="2193"/>
      <c r="EM33" s="2192"/>
      <c r="EN33" s="2193"/>
      <c r="EO33" s="2192"/>
      <c r="EP33" s="2192"/>
      <c r="EQ33" s="2192"/>
      <c r="ER33" s="2192"/>
      <c r="ES33" s="2192"/>
      <c r="ET33" s="2192"/>
      <c r="EU33" s="2192"/>
      <c r="EV33" s="2192"/>
      <c r="EW33" s="2192"/>
      <c r="EX33" s="2192"/>
      <c r="EY33" s="2103"/>
      <c r="EZ33" s="2194"/>
      <c r="FA33" s="2195"/>
      <c r="FB33" s="2196"/>
    </row>
    <row r="34" spans="1:158" s="2197" customFormat="1" ht="13.8">
      <c r="A34" s="2198">
        <v>8</v>
      </c>
      <c r="B34" s="2083"/>
      <c r="C34" s="2187"/>
      <c r="D34" s="2187"/>
      <c r="E34" s="2187"/>
      <c r="F34" s="2187"/>
      <c r="G34" s="2187"/>
      <c r="H34" s="2187"/>
      <c r="I34" s="2188"/>
      <c r="J34" s="2087"/>
      <c r="K34" s="2087"/>
      <c r="L34" s="2087"/>
      <c r="M34" s="2083"/>
      <c r="N34" s="2083"/>
      <c r="O34" s="2087"/>
      <c r="P34" s="2087"/>
      <c r="Q34" s="2087"/>
      <c r="R34" s="2087"/>
      <c r="S34" s="2087"/>
      <c r="T34" s="2087"/>
      <c r="U34" s="2087"/>
      <c r="V34" s="2087"/>
      <c r="W34" s="2087"/>
      <c r="X34" s="2087"/>
      <c r="Y34" s="2098"/>
      <c r="Z34" s="2087"/>
      <c r="AA34" s="2087"/>
      <c r="AB34" s="2087"/>
      <c r="AC34" s="2087"/>
      <c r="AD34" s="2087"/>
      <c r="AE34" s="2087"/>
      <c r="AF34" s="2087"/>
      <c r="AG34" s="2087"/>
      <c r="AH34" s="2087"/>
      <c r="AI34" s="2087"/>
      <c r="AJ34" s="2087"/>
      <c r="AK34" s="2087"/>
      <c r="AL34" s="2087"/>
      <c r="AM34" s="2087"/>
      <c r="AN34" s="2087"/>
      <c r="AO34" s="2087"/>
      <c r="AP34" s="2087"/>
      <c r="AQ34" s="2087"/>
      <c r="AR34" s="2087"/>
      <c r="AS34" s="2087"/>
      <c r="AT34" s="2087"/>
      <c r="AU34" s="2087"/>
      <c r="AV34" s="2087"/>
      <c r="AW34" s="2087"/>
      <c r="AX34" s="2098"/>
      <c r="AY34" s="2087"/>
      <c r="AZ34" s="2087"/>
      <c r="BA34" s="2087"/>
      <c r="BB34" s="2087"/>
      <c r="BC34" s="2087"/>
      <c r="BD34" s="2087"/>
      <c r="BE34" s="2087"/>
      <c r="BF34" s="2087"/>
      <c r="BG34" s="2189"/>
      <c r="BH34" s="2087"/>
      <c r="BI34" s="2087"/>
      <c r="BJ34" s="2087"/>
      <c r="BK34" s="2087"/>
      <c r="BL34" s="2087"/>
      <c r="BM34" s="2087"/>
      <c r="BN34" s="2087"/>
      <c r="BO34" s="2087"/>
      <c r="BP34" s="2087"/>
      <c r="BQ34" s="2087"/>
      <c r="BR34" s="2087"/>
      <c r="BS34" s="2087"/>
      <c r="BT34" s="2087"/>
      <c r="BU34" s="2087"/>
      <c r="BV34" s="2087"/>
      <c r="BW34" s="2087"/>
      <c r="BX34" s="2098"/>
      <c r="BY34" s="2098"/>
      <c r="BZ34" s="2087"/>
      <c r="CA34" s="2098"/>
      <c r="CB34" s="2087"/>
      <c r="CC34" s="2087"/>
      <c r="CD34" s="2087"/>
      <c r="CE34" s="2087"/>
      <c r="CF34" s="2087"/>
      <c r="CG34" s="2087"/>
      <c r="CH34" s="2087"/>
      <c r="CI34" s="2087"/>
      <c r="CJ34" s="2087"/>
      <c r="CK34" s="2087"/>
      <c r="CL34" s="2087"/>
      <c r="CM34" s="2087"/>
      <c r="CN34" s="2087"/>
      <c r="CO34" s="2087"/>
      <c r="CP34" s="2087"/>
      <c r="CQ34" s="2087"/>
      <c r="CR34" s="2087"/>
      <c r="CS34" s="2087"/>
      <c r="CT34" s="2087"/>
      <c r="CU34" s="2098"/>
      <c r="CV34" s="2098"/>
      <c r="CW34" s="2098"/>
      <c r="CX34" s="2098"/>
      <c r="CY34" s="2098"/>
      <c r="CZ34" s="2098"/>
      <c r="DA34" s="2087"/>
      <c r="DB34" s="2087"/>
      <c r="DC34" s="2098"/>
      <c r="DD34" s="2087"/>
      <c r="DE34" s="2087"/>
      <c r="DF34" s="2087"/>
      <c r="DG34" s="2087"/>
      <c r="DH34" s="2087"/>
      <c r="DI34" s="2098"/>
      <c r="DJ34" s="2087"/>
      <c r="DK34" s="2087"/>
      <c r="DL34" s="2087"/>
      <c r="DM34" s="2087"/>
      <c r="DN34" s="2087"/>
      <c r="DO34" s="2087"/>
      <c r="DP34" s="2087"/>
      <c r="DQ34" s="2087"/>
      <c r="DR34" s="2087"/>
      <c r="DS34" s="2087"/>
      <c r="DT34" s="2087"/>
      <c r="DU34" s="2087"/>
      <c r="DV34" s="2087"/>
      <c r="DW34" s="2087"/>
      <c r="DX34" s="2087"/>
      <c r="DY34" s="2087"/>
      <c r="DZ34" s="2087"/>
      <c r="EA34" s="2087"/>
      <c r="EB34" s="2087"/>
      <c r="EC34" s="2087"/>
      <c r="ED34" s="2087"/>
      <c r="EE34" s="2087"/>
      <c r="EF34" s="2087"/>
      <c r="EG34" s="2087"/>
      <c r="EH34" s="2190"/>
      <c r="EI34" s="2191"/>
      <c r="EJ34" s="2192"/>
      <c r="EK34" s="2192"/>
      <c r="EL34" s="2192"/>
      <c r="EM34" s="2192"/>
      <c r="EN34" s="2192"/>
      <c r="EO34" s="2192"/>
      <c r="EP34" s="2192"/>
      <c r="EQ34" s="2192"/>
      <c r="ER34" s="2192"/>
      <c r="ES34" s="2192"/>
      <c r="ET34" s="2192"/>
      <c r="EU34" s="2192"/>
      <c r="EV34" s="2192"/>
      <c r="EW34" s="2192"/>
      <c r="EX34" s="2192"/>
      <c r="EY34" s="2103"/>
      <c r="EZ34" s="2194"/>
      <c r="FA34" s="2195"/>
      <c r="FB34" s="2196"/>
    </row>
    <row r="35" spans="1:158" s="2197" customFormat="1" ht="18.899999999999999" customHeight="1">
      <c r="A35" s="2198">
        <v>9</v>
      </c>
      <c r="B35" s="2083"/>
      <c r="C35" s="2187"/>
      <c r="D35" s="2187"/>
      <c r="E35" s="2187"/>
      <c r="F35" s="2187"/>
      <c r="G35" s="2187"/>
      <c r="H35" s="2187"/>
      <c r="I35" s="2188"/>
      <c r="J35" s="2087"/>
      <c r="K35" s="2087"/>
      <c r="L35" s="2087"/>
      <c r="M35" s="2083"/>
      <c r="N35" s="2083"/>
      <c r="O35" s="2087"/>
      <c r="P35" s="2087"/>
      <c r="Q35" s="2087"/>
      <c r="R35" s="2087"/>
      <c r="S35" s="2087"/>
      <c r="T35" s="2087"/>
      <c r="U35" s="2087"/>
      <c r="V35" s="2087"/>
      <c r="W35" s="2087"/>
      <c r="X35" s="2087"/>
      <c r="Y35" s="2098"/>
      <c r="Z35" s="2087"/>
      <c r="AA35" s="2087"/>
      <c r="AB35" s="2087"/>
      <c r="AC35" s="2087"/>
      <c r="AD35" s="2087"/>
      <c r="AE35" s="2087"/>
      <c r="AF35" s="2087"/>
      <c r="AG35" s="2087"/>
      <c r="AH35" s="2087"/>
      <c r="AI35" s="2087"/>
      <c r="AJ35" s="2087"/>
      <c r="AK35" s="2087"/>
      <c r="AL35" s="2087"/>
      <c r="AM35" s="2087"/>
      <c r="AN35" s="2087"/>
      <c r="AO35" s="2087"/>
      <c r="AP35" s="2087"/>
      <c r="AQ35" s="2087"/>
      <c r="AR35" s="2087"/>
      <c r="AS35" s="2087"/>
      <c r="AT35" s="2087"/>
      <c r="AU35" s="2087"/>
      <c r="AV35" s="2087"/>
      <c r="AW35" s="2087"/>
      <c r="AX35" s="2098"/>
      <c r="AY35" s="2087"/>
      <c r="AZ35" s="2087"/>
      <c r="BA35" s="2087"/>
      <c r="BB35" s="2087"/>
      <c r="BC35" s="2087"/>
      <c r="BD35" s="2087"/>
      <c r="BE35" s="2087"/>
      <c r="BF35" s="2087"/>
      <c r="BG35" s="2189"/>
      <c r="BH35" s="2087"/>
      <c r="BI35" s="2087"/>
      <c r="BJ35" s="2087"/>
      <c r="BK35" s="2087"/>
      <c r="BL35" s="2087"/>
      <c r="BM35" s="2087"/>
      <c r="BN35" s="2087"/>
      <c r="BO35" s="2087"/>
      <c r="BP35" s="2087"/>
      <c r="BQ35" s="2087"/>
      <c r="BR35" s="2087"/>
      <c r="BS35" s="2087"/>
      <c r="BT35" s="2087"/>
      <c r="BU35" s="2087"/>
      <c r="BV35" s="2087"/>
      <c r="BW35" s="2087"/>
      <c r="BX35" s="2098"/>
      <c r="BY35" s="2098"/>
      <c r="BZ35" s="2087"/>
      <c r="CA35" s="2098"/>
      <c r="CB35" s="2087"/>
      <c r="CC35" s="2087"/>
      <c r="CD35" s="2087"/>
      <c r="CE35" s="2087"/>
      <c r="CF35" s="2087"/>
      <c r="CG35" s="2087"/>
      <c r="CH35" s="2087"/>
      <c r="CI35" s="2087"/>
      <c r="CJ35" s="2087"/>
      <c r="CK35" s="2087"/>
      <c r="CL35" s="2087"/>
      <c r="CM35" s="2087"/>
      <c r="CN35" s="2087"/>
      <c r="CO35" s="2087"/>
      <c r="CP35" s="2087"/>
      <c r="CQ35" s="2087"/>
      <c r="CR35" s="2087"/>
      <c r="CS35" s="2087"/>
      <c r="CT35" s="2087"/>
      <c r="CU35" s="2098"/>
      <c r="CV35" s="2098"/>
      <c r="CW35" s="2098"/>
      <c r="CX35" s="2098"/>
      <c r="CY35" s="2098"/>
      <c r="CZ35" s="2098"/>
      <c r="DA35" s="2087"/>
      <c r="DB35" s="2087"/>
      <c r="DC35" s="2098"/>
      <c r="DD35" s="2087"/>
      <c r="DE35" s="2087"/>
      <c r="DF35" s="2087"/>
      <c r="DG35" s="2087"/>
      <c r="DH35" s="2087"/>
      <c r="DI35" s="2098"/>
      <c r="DJ35" s="2087"/>
      <c r="DK35" s="2087"/>
      <c r="DL35" s="2087"/>
      <c r="DM35" s="2087"/>
      <c r="DN35" s="2087"/>
      <c r="DO35" s="2087"/>
      <c r="DP35" s="2087"/>
      <c r="DQ35" s="2087"/>
      <c r="DR35" s="2087"/>
      <c r="DS35" s="2087"/>
      <c r="DT35" s="2087"/>
      <c r="DU35" s="2087"/>
      <c r="DV35" s="2087"/>
      <c r="DW35" s="2087"/>
      <c r="DX35" s="2087"/>
      <c r="DY35" s="2087"/>
      <c r="DZ35" s="2087"/>
      <c r="EA35" s="2087"/>
      <c r="EB35" s="2087"/>
      <c r="EC35" s="2087"/>
      <c r="ED35" s="2087"/>
      <c r="EE35" s="2087"/>
      <c r="EF35" s="2087"/>
      <c r="EG35" s="2087"/>
      <c r="EH35" s="2190"/>
      <c r="EI35" s="2199"/>
      <c r="EJ35" s="2193"/>
      <c r="EK35" s="2193"/>
      <c r="EL35" s="2193"/>
      <c r="EM35" s="2193"/>
      <c r="EN35" s="2193"/>
      <c r="EO35" s="2193"/>
      <c r="EP35" s="2193"/>
      <c r="EQ35" s="2193"/>
      <c r="ER35" s="2193"/>
      <c r="ES35" s="2193"/>
      <c r="ET35" s="2193"/>
      <c r="EU35" s="2193"/>
      <c r="EV35" s="2193"/>
      <c r="EW35" s="2193"/>
      <c r="EX35" s="2193"/>
      <c r="EY35" s="2200"/>
      <c r="EZ35" s="2201"/>
      <c r="FA35" s="2202"/>
      <c r="FB35" s="2196"/>
    </row>
    <row r="36" spans="1:158" s="2197" customFormat="1" ht="18.899999999999999" customHeight="1">
      <c r="A36" s="2198">
        <v>10</v>
      </c>
      <c r="B36" s="2083"/>
      <c r="C36" s="2187"/>
      <c r="D36" s="2187"/>
      <c r="E36" s="2187"/>
      <c r="F36" s="2187"/>
      <c r="G36" s="2187"/>
      <c r="H36" s="2187"/>
      <c r="I36" s="2188"/>
      <c r="J36" s="2087"/>
      <c r="K36" s="2087"/>
      <c r="L36" s="2087"/>
      <c r="M36" s="2083"/>
      <c r="N36" s="2083"/>
      <c r="O36" s="2087"/>
      <c r="P36" s="2087"/>
      <c r="Q36" s="2087"/>
      <c r="R36" s="2087"/>
      <c r="S36" s="2087"/>
      <c r="T36" s="2087"/>
      <c r="U36" s="2087"/>
      <c r="V36" s="2087"/>
      <c r="W36" s="2087"/>
      <c r="X36" s="2087"/>
      <c r="Y36" s="2098"/>
      <c r="Z36" s="2087"/>
      <c r="AA36" s="2087"/>
      <c r="AB36" s="2087"/>
      <c r="AC36" s="2087"/>
      <c r="AD36" s="2087"/>
      <c r="AE36" s="2087"/>
      <c r="AF36" s="2087"/>
      <c r="AG36" s="2087"/>
      <c r="AH36" s="2087"/>
      <c r="AI36" s="2087"/>
      <c r="AJ36" s="2087"/>
      <c r="AK36" s="2087"/>
      <c r="AL36" s="2087"/>
      <c r="AM36" s="2087"/>
      <c r="AN36" s="2087"/>
      <c r="AO36" s="2087"/>
      <c r="AP36" s="2087"/>
      <c r="AQ36" s="2087"/>
      <c r="AR36" s="2087"/>
      <c r="AS36" s="2087"/>
      <c r="AT36" s="2087"/>
      <c r="AU36" s="2087"/>
      <c r="AV36" s="2087"/>
      <c r="AW36" s="2087"/>
      <c r="AX36" s="2098"/>
      <c r="AY36" s="2087"/>
      <c r="AZ36" s="2087"/>
      <c r="BA36" s="2087"/>
      <c r="BB36" s="2087"/>
      <c r="BC36" s="2087"/>
      <c r="BD36" s="2087"/>
      <c r="BE36" s="2087"/>
      <c r="BF36" s="2087"/>
      <c r="BG36" s="2189"/>
      <c r="BH36" s="2087"/>
      <c r="BI36" s="2087"/>
      <c r="BJ36" s="2087"/>
      <c r="BK36" s="2087"/>
      <c r="BL36" s="2087"/>
      <c r="BM36" s="2087"/>
      <c r="BN36" s="2087"/>
      <c r="BO36" s="2087"/>
      <c r="BP36" s="2087"/>
      <c r="BQ36" s="2087"/>
      <c r="BR36" s="2087"/>
      <c r="BS36" s="2087"/>
      <c r="BT36" s="2087"/>
      <c r="BU36" s="2087"/>
      <c r="BV36" s="2087"/>
      <c r="BW36" s="2087"/>
      <c r="BX36" s="2098"/>
      <c r="BY36" s="2098"/>
      <c r="BZ36" s="2087"/>
      <c r="CA36" s="2098"/>
      <c r="CB36" s="2087"/>
      <c r="CC36" s="2087"/>
      <c r="CD36" s="2087"/>
      <c r="CE36" s="2087"/>
      <c r="CF36" s="2087"/>
      <c r="CG36" s="2087"/>
      <c r="CH36" s="2087"/>
      <c r="CI36" s="2087"/>
      <c r="CJ36" s="2087"/>
      <c r="CK36" s="2087"/>
      <c r="CL36" s="2087"/>
      <c r="CM36" s="2087"/>
      <c r="CN36" s="2087"/>
      <c r="CO36" s="2087"/>
      <c r="CP36" s="2087"/>
      <c r="CQ36" s="2087"/>
      <c r="CR36" s="2087"/>
      <c r="CS36" s="2087"/>
      <c r="CT36" s="2087"/>
      <c r="CU36" s="2098"/>
      <c r="CV36" s="2098"/>
      <c r="CW36" s="2098"/>
      <c r="CX36" s="2098"/>
      <c r="CY36" s="2098"/>
      <c r="CZ36" s="2098"/>
      <c r="DA36" s="2087"/>
      <c r="DB36" s="2087"/>
      <c r="DC36" s="2098"/>
      <c r="DD36" s="2087"/>
      <c r="DE36" s="2087"/>
      <c r="DF36" s="2087"/>
      <c r="DG36" s="2087"/>
      <c r="DH36" s="2087"/>
      <c r="DI36" s="2098"/>
      <c r="DJ36" s="2087"/>
      <c r="DK36" s="2087"/>
      <c r="DL36" s="2087"/>
      <c r="DM36" s="2087"/>
      <c r="DN36" s="2087"/>
      <c r="DO36" s="2087"/>
      <c r="DP36" s="2087"/>
      <c r="DQ36" s="2087"/>
      <c r="DR36" s="2087"/>
      <c r="DS36" s="2087"/>
      <c r="DT36" s="2087"/>
      <c r="DU36" s="2087"/>
      <c r="DV36" s="2087"/>
      <c r="DW36" s="2087"/>
      <c r="DX36" s="2087"/>
      <c r="DY36" s="2087"/>
      <c r="DZ36" s="2087"/>
      <c r="EA36" s="2087"/>
      <c r="EB36" s="2087"/>
      <c r="EC36" s="2087"/>
      <c r="ED36" s="2087"/>
      <c r="EE36" s="2087"/>
      <c r="EF36" s="2087"/>
      <c r="EG36" s="2087"/>
      <c r="EH36" s="2190"/>
      <c r="EI36" s="2199"/>
      <c r="EJ36" s="2193"/>
      <c r="EK36" s="2192"/>
      <c r="EL36" s="2192"/>
      <c r="EM36" s="2192"/>
      <c r="EN36" s="2192"/>
      <c r="EO36" s="2192"/>
      <c r="EP36" s="2192"/>
      <c r="EQ36" s="2192"/>
      <c r="ER36" s="2192"/>
      <c r="ES36" s="2192"/>
      <c r="ET36" s="2192"/>
      <c r="EU36" s="2192"/>
      <c r="EV36" s="2192"/>
      <c r="EW36" s="2192"/>
      <c r="EX36" s="2192"/>
      <c r="EY36" s="2103"/>
      <c r="EZ36" s="2194"/>
      <c r="FA36" s="2195"/>
      <c r="FB36" s="2196"/>
    </row>
    <row r="37" spans="1:158" s="2197" customFormat="1" ht="18.899999999999999" customHeight="1">
      <c r="A37" s="2198">
        <v>10</v>
      </c>
      <c r="B37" s="2083"/>
      <c r="C37" s="2187"/>
      <c r="D37" s="2187"/>
      <c r="E37" s="2187"/>
      <c r="F37" s="2187"/>
      <c r="G37" s="2187"/>
      <c r="H37" s="2187"/>
      <c r="I37" s="2188"/>
      <c r="J37" s="2087"/>
      <c r="K37" s="2087"/>
      <c r="L37" s="2087"/>
      <c r="M37" s="2083"/>
      <c r="N37" s="2083"/>
      <c r="O37" s="2087"/>
      <c r="P37" s="2087"/>
      <c r="Q37" s="2087"/>
      <c r="R37" s="2087"/>
      <c r="S37" s="2087"/>
      <c r="T37" s="2087"/>
      <c r="U37" s="2087"/>
      <c r="V37" s="2087"/>
      <c r="W37" s="2087"/>
      <c r="X37" s="2087"/>
      <c r="Y37" s="2098"/>
      <c r="Z37" s="2087"/>
      <c r="AA37" s="2087"/>
      <c r="AB37" s="2087"/>
      <c r="AC37" s="2087"/>
      <c r="AD37" s="2087"/>
      <c r="AE37" s="2087"/>
      <c r="AF37" s="2087"/>
      <c r="AG37" s="2087"/>
      <c r="AH37" s="2087"/>
      <c r="AI37" s="2087"/>
      <c r="AJ37" s="2087"/>
      <c r="AK37" s="2087"/>
      <c r="AL37" s="2087"/>
      <c r="AM37" s="2087"/>
      <c r="AN37" s="2087"/>
      <c r="AO37" s="2087"/>
      <c r="AP37" s="2087"/>
      <c r="AQ37" s="2087"/>
      <c r="AR37" s="2087"/>
      <c r="AS37" s="2087"/>
      <c r="AT37" s="2087"/>
      <c r="AU37" s="2087"/>
      <c r="AV37" s="2087"/>
      <c r="AW37" s="2087"/>
      <c r="AX37" s="2098"/>
      <c r="AY37" s="2087"/>
      <c r="AZ37" s="2087"/>
      <c r="BA37" s="2087"/>
      <c r="BB37" s="2087"/>
      <c r="BC37" s="2087"/>
      <c r="BD37" s="2087"/>
      <c r="BE37" s="2087"/>
      <c r="BF37" s="2087"/>
      <c r="BG37" s="2189"/>
      <c r="BH37" s="2087"/>
      <c r="BI37" s="2087"/>
      <c r="BJ37" s="2087"/>
      <c r="BK37" s="2087"/>
      <c r="BL37" s="2087"/>
      <c r="BM37" s="2087"/>
      <c r="BN37" s="2087"/>
      <c r="BO37" s="2087"/>
      <c r="BP37" s="2087"/>
      <c r="BQ37" s="2087"/>
      <c r="BR37" s="2087"/>
      <c r="BS37" s="2087"/>
      <c r="BT37" s="2087"/>
      <c r="BU37" s="2087"/>
      <c r="BV37" s="2087"/>
      <c r="BW37" s="2087"/>
      <c r="BX37" s="2098"/>
      <c r="BY37" s="2098"/>
      <c r="BZ37" s="2087"/>
      <c r="CA37" s="2098"/>
      <c r="CB37" s="2087"/>
      <c r="CC37" s="2087"/>
      <c r="CD37" s="2087"/>
      <c r="CE37" s="2087"/>
      <c r="CF37" s="2087"/>
      <c r="CG37" s="2087"/>
      <c r="CH37" s="2087"/>
      <c r="CI37" s="2087"/>
      <c r="CJ37" s="2087"/>
      <c r="CK37" s="2087"/>
      <c r="CL37" s="2087"/>
      <c r="CM37" s="2087"/>
      <c r="CN37" s="2087"/>
      <c r="CO37" s="2087"/>
      <c r="CP37" s="2087"/>
      <c r="CQ37" s="2087"/>
      <c r="CR37" s="2087"/>
      <c r="CS37" s="2087"/>
      <c r="CT37" s="2087"/>
      <c r="CU37" s="2098"/>
      <c r="CV37" s="2098"/>
      <c r="CW37" s="2098"/>
      <c r="CX37" s="2098"/>
      <c r="CY37" s="2098"/>
      <c r="CZ37" s="2098"/>
      <c r="DA37" s="2087"/>
      <c r="DB37" s="2087"/>
      <c r="DC37" s="2098"/>
      <c r="DD37" s="2087"/>
      <c r="DE37" s="2087"/>
      <c r="DF37" s="2087"/>
      <c r="DG37" s="2087"/>
      <c r="DH37" s="2087"/>
      <c r="DI37" s="2098"/>
      <c r="DJ37" s="2087"/>
      <c r="DK37" s="2087"/>
      <c r="DL37" s="2087"/>
      <c r="DM37" s="2087"/>
      <c r="DN37" s="2087"/>
      <c r="DO37" s="2087"/>
      <c r="DP37" s="2087"/>
      <c r="DQ37" s="2087"/>
      <c r="DR37" s="2087"/>
      <c r="DS37" s="2087"/>
      <c r="DT37" s="2087"/>
      <c r="DU37" s="2087"/>
      <c r="DV37" s="2087"/>
      <c r="DW37" s="2087"/>
      <c r="DX37" s="2087"/>
      <c r="DY37" s="2087"/>
      <c r="DZ37" s="2087"/>
      <c r="EA37" s="2087"/>
      <c r="EB37" s="2087"/>
      <c r="EC37" s="2087"/>
      <c r="ED37" s="2087"/>
      <c r="EE37" s="2087"/>
      <c r="EF37" s="2087"/>
      <c r="EG37" s="2087"/>
      <c r="EH37" s="2190"/>
      <c r="EI37" s="2199"/>
      <c r="EJ37" s="2193"/>
      <c r="EK37" s="2192"/>
      <c r="EL37" s="2192"/>
      <c r="EM37" s="2192"/>
      <c r="EN37" s="2192"/>
      <c r="EO37" s="2192"/>
      <c r="EP37" s="2192"/>
      <c r="EQ37" s="2192"/>
      <c r="ER37" s="2192"/>
      <c r="ES37" s="2192"/>
      <c r="ET37" s="2192"/>
      <c r="EU37" s="2192"/>
      <c r="EV37" s="2192"/>
      <c r="EW37" s="2192"/>
      <c r="EX37" s="2192"/>
      <c r="EY37" s="2103"/>
      <c r="EZ37" s="2194"/>
      <c r="FA37" s="2195"/>
      <c r="FB37" s="2196"/>
    </row>
    <row r="38" spans="1:158" s="2197" customFormat="1" ht="18.899999999999999" customHeight="1">
      <c r="A38" s="2203">
        <v>12</v>
      </c>
      <c r="B38" s="2204"/>
      <c r="C38" s="2205"/>
      <c r="D38" s="2205"/>
      <c r="E38" s="2187"/>
      <c r="F38" s="2187"/>
      <c r="G38" s="2205"/>
      <c r="H38" s="2205"/>
      <c r="I38" s="2206"/>
      <c r="J38" s="2207"/>
      <c r="K38" s="2207"/>
      <c r="L38" s="2207"/>
      <c r="M38" s="2204"/>
      <c r="N38" s="2204"/>
      <c r="O38" s="2207"/>
      <c r="P38" s="2207"/>
      <c r="Q38" s="2207"/>
      <c r="R38" s="2207"/>
      <c r="S38" s="2207"/>
      <c r="T38" s="2207"/>
      <c r="U38" s="2207"/>
      <c r="V38" s="2207"/>
      <c r="W38" s="2207"/>
      <c r="X38" s="2207"/>
      <c r="Y38" s="2208"/>
      <c r="Z38" s="2207"/>
      <c r="AA38" s="2207"/>
      <c r="AB38" s="2207"/>
      <c r="AC38" s="2207"/>
      <c r="AD38" s="2207"/>
      <c r="AE38" s="2207"/>
      <c r="AF38" s="2207"/>
      <c r="AG38" s="2207"/>
      <c r="AH38" s="2207"/>
      <c r="AI38" s="2207"/>
      <c r="AJ38" s="2207"/>
      <c r="AK38" s="2207"/>
      <c r="AL38" s="2207"/>
      <c r="AM38" s="2207"/>
      <c r="AN38" s="2207"/>
      <c r="AO38" s="2207"/>
      <c r="AP38" s="2207"/>
      <c r="AQ38" s="2207"/>
      <c r="AR38" s="2207"/>
      <c r="AS38" s="2207"/>
      <c r="AT38" s="2207"/>
      <c r="AU38" s="2207"/>
      <c r="AV38" s="2207"/>
      <c r="AW38" s="2207"/>
      <c r="AX38" s="2208"/>
      <c r="AY38" s="2207"/>
      <c r="AZ38" s="2207"/>
      <c r="BA38" s="2207"/>
      <c r="BB38" s="2207"/>
      <c r="BC38" s="2207"/>
      <c r="BD38" s="2207"/>
      <c r="BE38" s="2207"/>
      <c r="BF38" s="2207"/>
      <c r="BG38" s="2209"/>
      <c r="BH38" s="2207"/>
      <c r="BI38" s="2207"/>
      <c r="BJ38" s="2207"/>
      <c r="BK38" s="2207"/>
      <c r="BL38" s="2207"/>
      <c r="BM38" s="2207"/>
      <c r="BN38" s="2207"/>
      <c r="BO38" s="2207"/>
      <c r="BP38" s="2207"/>
      <c r="BQ38" s="2207"/>
      <c r="BR38" s="2207"/>
      <c r="BS38" s="2207"/>
      <c r="BT38" s="2207"/>
      <c r="BU38" s="2207"/>
      <c r="BV38" s="2207"/>
      <c r="BW38" s="2207"/>
      <c r="BX38" s="2208"/>
      <c r="BY38" s="2208"/>
      <c r="BZ38" s="2207"/>
      <c r="CA38" s="2208"/>
      <c r="CB38" s="2207"/>
      <c r="CC38" s="2207"/>
      <c r="CD38" s="2207"/>
      <c r="CE38" s="2207"/>
      <c r="CF38" s="2207"/>
      <c r="CG38" s="2207"/>
      <c r="CH38" s="2207"/>
      <c r="CI38" s="2207"/>
      <c r="CJ38" s="2207"/>
      <c r="CK38" s="2207"/>
      <c r="CL38" s="2207"/>
      <c r="CM38" s="2207"/>
      <c r="CN38" s="2207"/>
      <c r="CO38" s="2207"/>
      <c r="CP38" s="2207"/>
      <c r="CQ38" s="2207"/>
      <c r="CR38" s="2207"/>
      <c r="CS38" s="2207"/>
      <c r="CT38" s="2207"/>
      <c r="CU38" s="2208"/>
      <c r="CV38" s="2208"/>
      <c r="CW38" s="2208"/>
      <c r="CX38" s="2208"/>
      <c r="CY38" s="2208"/>
      <c r="CZ38" s="2208"/>
      <c r="DA38" s="2207"/>
      <c r="DB38" s="2207"/>
      <c r="DC38" s="2208"/>
      <c r="DD38" s="2207"/>
      <c r="DE38" s="2207"/>
      <c r="DF38" s="2207"/>
      <c r="DG38" s="2207"/>
      <c r="DH38" s="2207"/>
      <c r="DI38" s="2208"/>
      <c r="DJ38" s="2207"/>
      <c r="DK38" s="2207"/>
      <c r="DL38" s="2207"/>
      <c r="DM38" s="2207"/>
      <c r="DN38" s="2207"/>
      <c r="DO38" s="2207"/>
      <c r="DP38" s="2207"/>
      <c r="DQ38" s="2207"/>
      <c r="DR38" s="2207"/>
      <c r="DS38" s="2207"/>
      <c r="DT38" s="2207"/>
      <c r="DU38" s="2207"/>
      <c r="DV38" s="2207"/>
      <c r="DW38" s="2207"/>
      <c r="DX38" s="2207"/>
      <c r="DY38" s="2207"/>
      <c r="DZ38" s="2207"/>
      <c r="EA38" s="2207"/>
      <c r="EB38" s="2207"/>
      <c r="EC38" s="2207"/>
      <c r="ED38" s="2207"/>
      <c r="EE38" s="2207"/>
      <c r="EF38" s="2207"/>
      <c r="EG38" s="2207"/>
      <c r="EH38" s="2210"/>
      <c r="EI38" s="2199"/>
      <c r="EJ38" s="2193"/>
      <c r="EK38" s="2192"/>
      <c r="EL38" s="2192"/>
      <c r="EM38" s="2192"/>
      <c r="EN38" s="2192"/>
      <c r="EO38" s="2192"/>
      <c r="EP38" s="2192"/>
      <c r="EQ38" s="2192"/>
      <c r="ER38" s="2192"/>
      <c r="ES38" s="2192"/>
      <c r="ET38" s="2192"/>
      <c r="EU38" s="2192"/>
      <c r="EV38" s="2192"/>
      <c r="EW38" s="2192"/>
      <c r="EX38" s="2192"/>
      <c r="EY38" s="2103"/>
      <c r="EZ38" s="2194"/>
      <c r="FA38" s="2195"/>
      <c r="FB38" s="2196"/>
    </row>
    <row r="39" spans="1:158" s="2197" customFormat="1" ht="18.899999999999999" customHeight="1">
      <c r="A39" s="2198" t="s">
        <v>5912</v>
      </c>
      <c r="B39" s="2083"/>
      <c r="C39" s="2187"/>
      <c r="D39" s="2187"/>
      <c r="E39" s="2187"/>
      <c r="F39" s="2187"/>
      <c r="G39" s="2187"/>
      <c r="H39" s="2187"/>
      <c r="I39" s="2188"/>
      <c r="J39" s="2087"/>
      <c r="K39" s="2087"/>
      <c r="L39" s="2087"/>
      <c r="M39" s="2083"/>
      <c r="N39" s="2083"/>
      <c r="O39" s="2087"/>
      <c r="P39" s="2087"/>
      <c r="Q39" s="2087"/>
      <c r="R39" s="2087"/>
      <c r="S39" s="2087"/>
      <c r="T39" s="2087"/>
      <c r="U39" s="2087"/>
      <c r="V39" s="2087"/>
      <c r="W39" s="2087"/>
      <c r="X39" s="2087"/>
      <c r="Y39" s="2098"/>
      <c r="Z39" s="2087"/>
      <c r="AA39" s="2087"/>
      <c r="AB39" s="2087"/>
      <c r="AC39" s="2087"/>
      <c r="AD39" s="2087"/>
      <c r="AE39" s="2087"/>
      <c r="AF39" s="2087"/>
      <c r="AG39" s="2087"/>
      <c r="AH39" s="2087"/>
      <c r="AI39" s="2087"/>
      <c r="AJ39" s="2087"/>
      <c r="AK39" s="2087"/>
      <c r="AL39" s="2087"/>
      <c r="AM39" s="2087"/>
      <c r="AN39" s="2087"/>
      <c r="AO39" s="2087"/>
      <c r="AP39" s="2087"/>
      <c r="AQ39" s="2087"/>
      <c r="AR39" s="2087"/>
      <c r="AS39" s="2087"/>
      <c r="AT39" s="2087"/>
      <c r="AU39" s="2087"/>
      <c r="AV39" s="2087"/>
      <c r="AW39" s="2087"/>
      <c r="AX39" s="2098"/>
      <c r="AY39" s="2087"/>
      <c r="AZ39" s="2087"/>
      <c r="BA39" s="2087"/>
      <c r="BB39" s="2087"/>
      <c r="BC39" s="2087"/>
      <c r="BD39" s="2087"/>
      <c r="BE39" s="2087"/>
      <c r="BF39" s="2087"/>
      <c r="BG39" s="2189"/>
      <c r="BH39" s="2087"/>
      <c r="BI39" s="2087"/>
      <c r="BJ39" s="2087"/>
      <c r="BK39" s="2087"/>
      <c r="BL39" s="2087"/>
      <c r="BM39" s="2087"/>
      <c r="BN39" s="2087"/>
      <c r="BO39" s="2087"/>
      <c r="BP39" s="2087"/>
      <c r="BQ39" s="2087"/>
      <c r="BR39" s="2087"/>
      <c r="BS39" s="2087"/>
      <c r="BT39" s="2087"/>
      <c r="BU39" s="2087"/>
      <c r="BV39" s="2087"/>
      <c r="BW39" s="2087"/>
      <c r="BX39" s="2098"/>
      <c r="BY39" s="2098"/>
      <c r="BZ39" s="2087"/>
      <c r="CA39" s="2098"/>
      <c r="CB39" s="2087"/>
      <c r="CC39" s="2087"/>
      <c r="CD39" s="2087"/>
      <c r="CE39" s="2087"/>
      <c r="CF39" s="2087"/>
      <c r="CG39" s="2087"/>
      <c r="CH39" s="2087"/>
      <c r="CI39" s="2087"/>
      <c r="CJ39" s="2087"/>
      <c r="CK39" s="2087"/>
      <c r="CL39" s="2087"/>
      <c r="CM39" s="2087"/>
      <c r="CN39" s="2087"/>
      <c r="CO39" s="2087"/>
      <c r="CP39" s="2087"/>
      <c r="CQ39" s="2087"/>
      <c r="CR39" s="2087"/>
      <c r="CS39" s="2087"/>
      <c r="CT39" s="2087"/>
      <c r="CU39" s="2098"/>
      <c r="CV39" s="2098"/>
      <c r="CW39" s="2098"/>
      <c r="CX39" s="2098"/>
      <c r="CY39" s="2098"/>
      <c r="CZ39" s="2098"/>
      <c r="DA39" s="2087"/>
      <c r="DB39" s="2087"/>
      <c r="DC39" s="2098"/>
      <c r="DD39" s="2087"/>
      <c r="DE39" s="2087"/>
      <c r="DF39" s="2087"/>
      <c r="DG39" s="2087"/>
      <c r="DH39" s="2087"/>
      <c r="DI39" s="2098"/>
      <c r="DJ39" s="2087"/>
      <c r="DK39" s="2087"/>
      <c r="DL39" s="2087"/>
      <c r="DM39" s="2087"/>
      <c r="DN39" s="2087"/>
      <c r="DO39" s="2087"/>
      <c r="DP39" s="2087"/>
      <c r="DQ39" s="2087"/>
      <c r="DR39" s="2087"/>
      <c r="DS39" s="2087"/>
      <c r="DT39" s="2087"/>
      <c r="DU39" s="2087"/>
      <c r="DV39" s="2087"/>
      <c r="DW39" s="2087"/>
      <c r="DX39" s="2087"/>
      <c r="DY39" s="2087"/>
      <c r="DZ39" s="2087"/>
      <c r="EA39" s="2087"/>
      <c r="EB39" s="2087"/>
      <c r="EC39" s="2087"/>
      <c r="ED39" s="2087"/>
      <c r="EE39" s="2087"/>
      <c r="EF39" s="2087"/>
      <c r="EG39" s="2087"/>
      <c r="EH39" s="2190"/>
      <c r="EI39" s="2199"/>
      <c r="EJ39" s="2193"/>
      <c r="EK39" s="2192"/>
      <c r="EL39" s="2192"/>
      <c r="EM39" s="2192"/>
      <c r="EN39" s="2192"/>
      <c r="EO39" s="2192"/>
      <c r="EP39" s="2192"/>
      <c r="EQ39" s="2192"/>
      <c r="ER39" s="2192"/>
      <c r="ES39" s="2192"/>
      <c r="ET39" s="2192"/>
      <c r="EU39" s="2192"/>
      <c r="EV39" s="2192"/>
      <c r="EW39" s="2192"/>
      <c r="EX39" s="2192"/>
      <c r="EY39" s="2103"/>
      <c r="EZ39" s="2194"/>
      <c r="FA39" s="2195"/>
      <c r="FB39" s="2196"/>
    </row>
    <row r="40" spans="1:158" s="2223" customFormat="1" ht="13.8">
      <c r="A40" s="2211" t="s">
        <v>5913</v>
      </c>
      <c r="B40" s="2212"/>
      <c r="C40" s="2213"/>
      <c r="D40" s="2213"/>
      <c r="E40" s="2213"/>
      <c r="F40" s="2213">
        <f>+F39</f>
        <v>0</v>
      </c>
      <c r="G40" s="2213"/>
      <c r="H40" s="2213"/>
      <c r="I40" s="2214"/>
      <c r="J40" s="2215"/>
      <c r="K40" s="2215"/>
      <c r="L40" s="2215"/>
      <c r="M40" s="2212"/>
      <c r="N40" s="2212"/>
      <c r="O40" s="2215">
        <f t="shared" ref="O40:AT40" si="4">SUM(O26:O39)</f>
        <v>0</v>
      </c>
      <c r="P40" s="2215">
        <f t="shared" si="4"/>
        <v>0</v>
      </c>
      <c r="Q40" s="2215">
        <f t="shared" si="4"/>
        <v>0</v>
      </c>
      <c r="R40" s="2215">
        <f t="shared" si="4"/>
        <v>0</v>
      </c>
      <c r="S40" s="2215">
        <f t="shared" si="4"/>
        <v>0</v>
      </c>
      <c r="T40" s="2215">
        <f t="shared" si="4"/>
        <v>0</v>
      </c>
      <c r="U40" s="2215">
        <f t="shared" si="4"/>
        <v>0</v>
      </c>
      <c r="V40" s="2215">
        <f t="shared" si="4"/>
        <v>0</v>
      </c>
      <c r="W40" s="2215">
        <f t="shared" si="4"/>
        <v>0</v>
      </c>
      <c r="X40" s="2215">
        <f t="shared" si="4"/>
        <v>0</v>
      </c>
      <c r="Y40" s="2215">
        <f t="shared" si="4"/>
        <v>0</v>
      </c>
      <c r="Z40" s="2215">
        <f t="shared" si="4"/>
        <v>0</v>
      </c>
      <c r="AA40" s="2215">
        <f t="shared" si="4"/>
        <v>0</v>
      </c>
      <c r="AB40" s="2215">
        <f t="shared" si="4"/>
        <v>0</v>
      </c>
      <c r="AC40" s="2215">
        <f t="shared" si="4"/>
        <v>0</v>
      </c>
      <c r="AD40" s="2215">
        <f t="shared" si="4"/>
        <v>0</v>
      </c>
      <c r="AE40" s="2215">
        <f t="shared" si="4"/>
        <v>0</v>
      </c>
      <c r="AF40" s="2215">
        <f t="shared" si="4"/>
        <v>0</v>
      </c>
      <c r="AG40" s="2215">
        <f t="shared" si="4"/>
        <v>0</v>
      </c>
      <c r="AH40" s="2215">
        <f t="shared" si="4"/>
        <v>0</v>
      </c>
      <c r="AI40" s="2215">
        <f t="shared" si="4"/>
        <v>0</v>
      </c>
      <c r="AJ40" s="2215">
        <f t="shared" si="4"/>
        <v>0</v>
      </c>
      <c r="AK40" s="2215">
        <f t="shared" si="4"/>
        <v>0</v>
      </c>
      <c r="AL40" s="2215">
        <f t="shared" si="4"/>
        <v>0</v>
      </c>
      <c r="AM40" s="2215">
        <f t="shared" si="4"/>
        <v>0</v>
      </c>
      <c r="AN40" s="2215">
        <f t="shared" si="4"/>
        <v>0</v>
      </c>
      <c r="AO40" s="2215">
        <f t="shared" si="4"/>
        <v>0</v>
      </c>
      <c r="AP40" s="2215">
        <f t="shared" si="4"/>
        <v>0</v>
      </c>
      <c r="AQ40" s="2215">
        <f t="shared" si="4"/>
        <v>0</v>
      </c>
      <c r="AR40" s="2215">
        <f t="shared" si="4"/>
        <v>0</v>
      </c>
      <c r="AS40" s="2215">
        <f t="shared" si="4"/>
        <v>0</v>
      </c>
      <c r="AT40" s="2215">
        <f t="shared" si="4"/>
        <v>0</v>
      </c>
      <c r="AU40" s="2215">
        <f t="shared" ref="AU40:BZ40" si="5">SUM(AU26:AU39)</f>
        <v>0</v>
      </c>
      <c r="AV40" s="2215">
        <f t="shared" si="5"/>
        <v>0</v>
      </c>
      <c r="AW40" s="2215">
        <f t="shared" si="5"/>
        <v>0</v>
      </c>
      <c r="AX40" s="2215">
        <f t="shared" si="5"/>
        <v>0</v>
      </c>
      <c r="AY40" s="2215">
        <f t="shared" si="5"/>
        <v>0</v>
      </c>
      <c r="AZ40" s="2215">
        <f t="shared" si="5"/>
        <v>0</v>
      </c>
      <c r="BA40" s="2215">
        <f t="shared" si="5"/>
        <v>0</v>
      </c>
      <c r="BB40" s="2215">
        <f t="shared" si="5"/>
        <v>0</v>
      </c>
      <c r="BC40" s="2215">
        <f t="shared" si="5"/>
        <v>0</v>
      </c>
      <c r="BD40" s="2215">
        <f t="shared" si="5"/>
        <v>0</v>
      </c>
      <c r="BE40" s="2215">
        <f t="shared" si="5"/>
        <v>0</v>
      </c>
      <c r="BF40" s="2215">
        <f t="shared" si="5"/>
        <v>0</v>
      </c>
      <c r="BG40" s="2215">
        <f t="shared" si="5"/>
        <v>0</v>
      </c>
      <c r="BH40" s="2215">
        <f t="shared" si="5"/>
        <v>0</v>
      </c>
      <c r="BI40" s="2215">
        <f t="shared" si="5"/>
        <v>0</v>
      </c>
      <c r="BJ40" s="2215">
        <f t="shared" si="5"/>
        <v>0</v>
      </c>
      <c r="BK40" s="2215">
        <f t="shared" si="5"/>
        <v>0</v>
      </c>
      <c r="BL40" s="2215">
        <f t="shared" si="5"/>
        <v>0</v>
      </c>
      <c r="BM40" s="2215">
        <f t="shared" si="5"/>
        <v>0</v>
      </c>
      <c r="BN40" s="2215">
        <f t="shared" si="5"/>
        <v>0</v>
      </c>
      <c r="BO40" s="2215">
        <f t="shared" si="5"/>
        <v>0</v>
      </c>
      <c r="BP40" s="2215">
        <f t="shared" si="5"/>
        <v>0</v>
      </c>
      <c r="BQ40" s="2215">
        <f t="shared" si="5"/>
        <v>0</v>
      </c>
      <c r="BR40" s="2215">
        <f t="shared" si="5"/>
        <v>0</v>
      </c>
      <c r="BS40" s="2215">
        <f t="shared" si="5"/>
        <v>0</v>
      </c>
      <c r="BT40" s="2215">
        <f t="shared" si="5"/>
        <v>0</v>
      </c>
      <c r="BU40" s="2215">
        <f t="shared" si="5"/>
        <v>0</v>
      </c>
      <c r="BV40" s="2215">
        <f t="shared" si="5"/>
        <v>0</v>
      </c>
      <c r="BW40" s="2215">
        <f t="shared" si="5"/>
        <v>0</v>
      </c>
      <c r="BX40" s="2215">
        <f t="shared" si="5"/>
        <v>0</v>
      </c>
      <c r="BY40" s="2215">
        <f t="shared" si="5"/>
        <v>0</v>
      </c>
      <c r="BZ40" s="2215">
        <f t="shared" si="5"/>
        <v>0</v>
      </c>
      <c r="CA40" s="2215">
        <f t="shared" ref="CA40:DF40" si="6">SUM(CA26:CA39)</f>
        <v>0</v>
      </c>
      <c r="CB40" s="2215">
        <f t="shared" si="6"/>
        <v>0</v>
      </c>
      <c r="CC40" s="2215">
        <f t="shared" si="6"/>
        <v>0</v>
      </c>
      <c r="CD40" s="2215">
        <f t="shared" si="6"/>
        <v>0</v>
      </c>
      <c r="CE40" s="2215">
        <f t="shared" si="6"/>
        <v>0</v>
      </c>
      <c r="CF40" s="2215">
        <f t="shared" si="6"/>
        <v>0</v>
      </c>
      <c r="CG40" s="2215">
        <f t="shared" si="6"/>
        <v>0</v>
      </c>
      <c r="CH40" s="2215">
        <f t="shared" si="6"/>
        <v>0</v>
      </c>
      <c r="CI40" s="2215">
        <f t="shared" si="6"/>
        <v>0</v>
      </c>
      <c r="CJ40" s="2215">
        <f t="shared" si="6"/>
        <v>0</v>
      </c>
      <c r="CK40" s="2215">
        <f t="shared" si="6"/>
        <v>0</v>
      </c>
      <c r="CL40" s="2215">
        <f t="shared" si="6"/>
        <v>0</v>
      </c>
      <c r="CM40" s="2215">
        <f t="shared" si="6"/>
        <v>0</v>
      </c>
      <c r="CN40" s="2215">
        <f t="shared" si="6"/>
        <v>0</v>
      </c>
      <c r="CO40" s="2215">
        <f t="shared" si="6"/>
        <v>0</v>
      </c>
      <c r="CP40" s="2215">
        <f t="shared" si="6"/>
        <v>0</v>
      </c>
      <c r="CQ40" s="2215">
        <f t="shared" si="6"/>
        <v>0</v>
      </c>
      <c r="CR40" s="2215">
        <f t="shared" si="6"/>
        <v>0</v>
      </c>
      <c r="CS40" s="2215">
        <f t="shared" si="6"/>
        <v>0</v>
      </c>
      <c r="CT40" s="2215">
        <f t="shared" si="6"/>
        <v>0</v>
      </c>
      <c r="CU40" s="2215">
        <f t="shared" si="6"/>
        <v>0</v>
      </c>
      <c r="CV40" s="2215">
        <f t="shared" si="6"/>
        <v>0</v>
      </c>
      <c r="CW40" s="2215">
        <f t="shared" si="6"/>
        <v>0</v>
      </c>
      <c r="CX40" s="2215">
        <f t="shared" si="6"/>
        <v>0</v>
      </c>
      <c r="CY40" s="2215">
        <f t="shared" si="6"/>
        <v>0</v>
      </c>
      <c r="CZ40" s="2215">
        <f t="shared" si="6"/>
        <v>0</v>
      </c>
      <c r="DA40" s="2215">
        <f t="shared" si="6"/>
        <v>0</v>
      </c>
      <c r="DB40" s="2215">
        <f t="shared" si="6"/>
        <v>0</v>
      </c>
      <c r="DC40" s="2215">
        <f t="shared" si="6"/>
        <v>0</v>
      </c>
      <c r="DD40" s="2215">
        <f t="shared" si="6"/>
        <v>0</v>
      </c>
      <c r="DE40" s="2215">
        <f t="shared" si="6"/>
        <v>0</v>
      </c>
      <c r="DF40" s="2215">
        <f t="shared" si="6"/>
        <v>0</v>
      </c>
      <c r="DG40" s="2215">
        <f t="shared" ref="DG40:EG40" si="7">SUM(DG26:DG39)</f>
        <v>0</v>
      </c>
      <c r="DH40" s="2215">
        <f t="shared" si="7"/>
        <v>0</v>
      </c>
      <c r="DI40" s="2215">
        <f t="shared" si="7"/>
        <v>0</v>
      </c>
      <c r="DJ40" s="2215">
        <f t="shared" si="7"/>
        <v>0</v>
      </c>
      <c r="DK40" s="2215">
        <f t="shared" si="7"/>
        <v>0</v>
      </c>
      <c r="DL40" s="2215">
        <f t="shared" si="7"/>
        <v>0</v>
      </c>
      <c r="DM40" s="2215">
        <f t="shared" si="7"/>
        <v>0</v>
      </c>
      <c r="DN40" s="2215">
        <f t="shared" si="7"/>
        <v>0</v>
      </c>
      <c r="DO40" s="2215">
        <f t="shared" si="7"/>
        <v>0</v>
      </c>
      <c r="DP40" s="2215">
        <f t="shared" si="7"/>
        <v>0</v>
      </c>
      <c r="DQ40" s="2215">
        <f t="shared" si="7"/>
        <v>0</v>
      </c>
      <c r="DR40" s="2215">
        <f t="shared" si="7"/>
        <v>0</v>
      </c>
      <c r="DS40" s="2215">
        <f t="shared" si="7"/>
        <v>0</v>
      </c>
      <c r="DT40" s="2215">
        <f t="shared" si="7"/>
        <v>0</v>
      </c>
      <c r="DU40" s="2215">
        <f t="shared" si="7"/>
        <v>0</v>
      </c>
      <c r="DV40" s="2215">
        <f t="shared" si="7"/>
        <v>0</v>
      </c>
      <c r="DW40" s="2215">
        <f t="shared" si="7"/>
        <v>0</v>
      </c>
      <c r="DX40" s="2215">
        <f t="shared" si="7"/>
        <v>0</v>
      </c>
      <c r="DY40" s="2215">
        <f t="shared" si="7"/>
        <v>0</v>
      </c>
      <c r="DZ40" s="2215">
        <f t="shared" si="7"/>
        <v>0</v>
      </c>
      <c r="EA40" s="2215">
        <f t="shared" si="7"/>
        <v>0</v>
      </c>
      <c r="EB40" s="2215">
        <f t="shared" si="7"/>
        <v>0</v>
      </c>
      <c r="EC40" s="2215">
        <f t="shared" si="7"/>
        <v>0</v>
      </c>
      <c r="ED40" s="2215">
        <f t="shared" si="7"/>
        <v>0</v>
      </c>
      <c r="EE40" s="2215">
        <f t="shared" si="7"/>
        <v>0</v>
      </c>
      <c r="EF40" s="2215">
        <f t="shared" si="7"/>
        <v>0</v>
      </c>
      <c r="EG40" s="2215">
        <f t="shared" si="7"/>
        <v>0</v>
      </c>
      <c r="EH40" s="2216"/>
      <c r="EI40" s="2217"/>
      <c r="EJ40" s="2218"/>
      <c r="EK40" s="2219"/>
      <c r="EL40" s="2219"/>
      <c r="EM40" s="2219"/>
      <c r="EN40" s="2219"/>
      <c r="EO40" s="2219"/>
      <c r="EP40" s="2219"/>
      <c r="EQ40" s="2219"/>
      <c r="ER40" s="2219"/>
      <c r="ES40" s="2219"/>
      <c r="ET40" s="2219"/>
      <c r="EU40" s="2219"/>
      <c r="EV40" s="2219"/>
      <c r="EW40" s="2219"/>
      <c r="EX40" s="2219"/>
      <c r="EY40" s="2111"/>
      <c r="EZ40" s="2220"/>
      <c r="FA40" s="2221"/>
      <c r="FB40" s="2222"/>
    </row>
    <row r="41" spans="1:158" ht="13.8">
      <c r="A41" s="2224" t="s">
        <v>5914</v>
      </c>
      <c r="B41" s="2225"/>
      <c r="C41" s="2225"/>
      <c r="D41" s="2225"/>
      <c r="E41" s="2225"/>
      <c r="F41" s="2225"/>
      <c r="G41" s="2225"/>
      <c r="H41" s="2225"/>
      <c r="I41" s="2225"/>
      <c r="J41" s="2225"/>
      <c r="K41" s="2225"/>
      <c r="L41" s="2225"/>
      <c r="M41" s="2225"/>
      <c r="N41" s="2225"/>
      <c r="O41" s="2225"/>
      <c r="P41" s="2225"/>
      <c r="Q41" s="2225"/>
      <c r="R41" s="2225"/>
      <c r="S41" s="2225"/>
      <c r="T41" s="2225"/>
      <c r="U41" s="2225"/>
      <c r="V41" s="2225"/>
      <c r="W41" s="2225"/>
      <c r="X41" s="2225"/>
      <c r="Y41" s="2225"/>
      <c r="Z41" s="2225"/>
      <c r="AA41" s="2225"/>
      <c r="AB41" s="2225"/>
      <c r="AC41" s="2225"/>
      <c r="AD41" s="2225"/>
      <c r="AE41" s="2225"/>
      <c r="AF41" s="2225"/>
      <c r="AG41" s="2225"/>
      <c r="AH41" s="2225"/>
      <c r="AI41" s="2225"/>
      <c r="AJ41" s="2225"/>
      <c r="AK41" s="2225"/>
      <c r="AL41" s="2225"/>
      <c r="AM41" s="2225"/>
      <c r="AN41" s="2225"/>
      <c r="AO41" s="2225"/>
      <c r="AP41" s="2225"/>
      <c r="AQ41" s="2225"/>
      <c r="AR41" s="2225"/>
      <c r="AS41" s="2225"/>
      <c r="AT41" s="2225"/>
      <c r="AU41" s="2225"/>
      <c r="AV41" s="2225"/>
      <c r="AW41" s="2225"/>
      <c r="AX41" s="2225"/>
      <c r="AY41" s="2225"/>
      <c r="AZ41" s="2225"/>
      <c r="BA41" s="2225"/>
      <c r="BB41" s="2225"/>
      <c r="BC41" s="2225"/>
      <c r="BD41" s="2225"/>
      <c r="BE41" s="2225"/>
      <c r="BF41" s="2225"/>
      <c r="BG41" s="2225"/>
      <c r="BH41" s="2225"/>
      <c r="BI41" s="2225"/>
      <c r="BJ41" s="2225"/>
      <c r="BK41" s="2225"/>
      <c r="BL41" s="2225"/>
      <c r="BM41" s="2225"/>
      <c r="BN41" s="2225"/>
      <c r="BO41" s="2225"/>
      <c r="BP41" s="2225"/>
      <c r="BQ41" s="2225"/>
      <c r="BR41" s="2225"/>
      <c r="BS41" s="2225"/>
      <c r="BT41" s="2225"/>
      <c r="BU41" s="2225"/>
      <c r="BV41" s="2225"/>
      <c r="BW41" s="2225"/>
      <c r="BX41" s="2225"/>
      <c r="BY41" s="2225"/>
      <c r="BZ41" s="2225"/>
      <c r="CA41" s="2225"/>
      <c r="CB41" s="2225"/>
      <c r="CC41" s="2225"/>
      <c r="CD41" s="2225"/>
      <c r="CE41" s="2225"/>
      <c r="CF41" s="2225"/>
      <c r="CG41" s="2225"/>
      <c r="CH41" s="2225"/>
      <c r="CI41" s="2225"/>
      <c r="CJ41" s="2225"/>
      <c r="CK41" s="2225"/>
      <c r="CL41" s="2225"/>
      <c r="CM41" s="2225"/>
      <c r="CN41" s="2225"/>
      <c r="CO41" s="2225"/>
      <c r="CP41" s="2225"/>
      <c r="CQ41" s="2225"/>
      <c r="CR41" s="2225"/>
      <c r="CS41" s="2225"/>
      <c r="CT41" s="2225"/>
      <c r="CU41" s="2225"/>
      <c r="CV41" s="2225"/>
      <c r="CW41" s="2225"/>
      <c r="CX41" s="2225"/>
      <c r="CY41" s="2225"/>
      <c r="CZ41" s="2225"/>
      <c r="DA41" s="2225"/>
      <c r="DB41" s="2225"/>
      <c r="DC41" s="2225"/>
      <c r="DD41" s="2225"/>
      <c r="DE41" s="2225"/>
      <c r="DF41" s="2225"/>
      <c r="DG41" s="2225"/>
      <c r="DH41" s="2225"/>
      <c r="DI41" s="2225"/>
      <c r="DJ41" s="2225"/>
      <c r="DK41" s="2225"/>
      <c r="DL41" s="2225"/>
      <c r="DM41" s="2225"/>
      <c r="DN41" s="2225"/>
      <c r="DO41" s="2225"/>
      <c r="DP41" s="2225"/>
      <c r="DQ41" s="2225"/>
      <c r="DR41" s="2225"/>
      <c r="DS41" s="2225"/>
      <c r="DT41" s="2225"/>
      <c r="DU41" s="2225"/>
      <c r="DV41" s="2225"/>
      <c r="DW41" s="2225"/>
      <c r="DX41" s="2225"/>
      <c r="DY41" s="2225"/>
      <c r="DZ41" s="2225"/>
      <c r="EA41" s="2225"/>
      <c r="EB41" s="2225"/>
      <c r="EC41" s="2225"/>
      <c r="ED41" s="2225"/>
      <c r="EE41" s="2225"/>
      <c r="EF41" s="2225"/>
      <c r="EG41" s="2225"/>
      <c r="EH41" s="2226"/>
    </row>
    <row r="42" spans="1:158" s="2197" customFormat="1" ht="18" customHeight="1">
      <c r="A42" s="2227" t="s">
        <v>547</v>
      </c>
      <c r="B42" s="2228"/>
      <c r="C42" s="2229"/>
      <c r="D42" s="2229"/>
      <c r="E42" s="2229"/>
      <c r="F42" s="2229"/>
      <c r="G42" s="2229"/>
      <c r="H42" s="2229"/>
      <c r="I42" s="2230"/>
      <c r="J42" s="2231"/>
      <c r="K42" s="2231"/>
      <c r="L42" s="2231"/>
      <c r="M42" s="2231"/>
      <c r="N42" s="2231"/>
      <c r="O42" s="2231"/>
      <c r="P42" s="2231"/>
      <c r="Q42" s="2231"/>
      <c r="R42" s="2231"/>
      <c r="S42" s="2231"/>
      <c r="T42" s="2231"/>
      <c r="U42" s="2231"/>
      <c r="V42" s="2231"/>
      <c r="W42" s="2231"/>
      <c r="X42" s="2231"/>
      <c r="Y42" s="2231"/>
      <c r="Z42" s="2231"/>
      <c r="AA42" s="2231"/>
      <c r="AB42" s="2231"/>
      <c r="AC42" s="2231"/>
      <c r="AD42" s="2231"/>
      <c r="AE42" s="2231"/>
      <c r="AF42" s="2231"/>
      <c r="AG42" s="2231"/>
      <c r="AH42" s="2231"/>
      <c r="AI42" s="2231"/>
      <c r="AJ42" s="2231"/>
      <c r="AK42" s="2231"/>
      <c r="AL42" s="2231"/>
      <c r="AM42" s="2231"/>
      <c r="AN42" s="2231"/>
      <c r="AO42" s="2231"/>
      <c r="AP42" s="2231"/>
      <c r="AQ42" s="2231"/>
      <c r="AR42" s="2231"/>
      <c r="AS42" s="2231"/>
      <c r="AT42" s="2231"/>
      <c r="AU42" s="2231"/>
      <c r="AV42" s="2231"/>
      <c r="AW42" s="2231"/>
      <c r="AX42" s="567"/>
      <c r="AY42" s="2231"/>
      <c r="AZ42" s="2231"/>
      <c r="BA42" s="2231"/>
      <c r="BB42" s="2231"/>
      <c r="BC42" s="2231"/>
      <c r="BD42" s="2231"/>
      <c r="BE42" s="2231"/>
      <c r="BF42" s="2231"/>
      <c r="BG42" s="2232"/>
      <c r="BH42" s="2231"/>
      <c r="BI42" s="2231"/>
      <c r="BJ42" s="2231"/>
      <c r="BK42" s="2231"/>
      <c r="BL42" s="2231"/>
      <c r="BM42" s="2231"/>
      <c r="BN42" s="2231"/>
      <c r="BO42" s="2231"/>
      <c r="BP42" s="2231"/>
      <c r="BQ42" s="2231"/>
      <c r="BR42" s="2231"/>
      <c r="BS42" s="2231"/>
      <c r="BT42" s="2231"/>
      <c r="BU42" s="2231"/>
      <c r="BV42" s="2231"/>
      <c r="BW42" s="2231"/>
      <c r="BX42" s="567"/>
      <c r="BY42" s="567"/>
      <c r="BZ42" s="2231"/>
      <c r="CA42" s="567"/>
      <c r="CB42" s="2231"/>
      <c r="CC42" s="2231"/>
      <c r="CD42" s="2231"/>
      <c r="CE42" s="2231"/>
      <c r="CF42" s="2231"/>
      <c r="CG42" s="2231"/>
      <c r="CH42" s="2231"/>
      <c r="CI42" s="2231"/>
      <c r="CJ42" s="2231"/>
      <c r="CK42" s="2231"/>
      <c r="CL42" s="2231"/>
      <c r="CM42" s="2231"/>
      <c r="CN42" s="2231"/>
      <c r="CO42" s="2231"/>
      <c r="CP42" s="2231"/>
      <c r="CQ42" s="2231"/>
      <c r="CR42" s="2231"/>
      <c r="CS42" s="2231"/>
      <c r="CT42" s="2231"/>
      <c r="CU42" s="567"/>
      <c r="CV42" s="567"/>
      <c r="CW42" s="567"/>
      <c r="CX42" s="567"/>
      <c r="CY42" s="567"/>
      <c r="CZ42" s="567"/>
      <c r="DA42" s="2231"/>
      <c r="DB42" s="2231"/>
      <c r="DC42" s="567"/>
      <c r="DD42" s="2231"/>
      <c r="DE42" s="2231"/>
      <c r="DF42" s="2231"/>
      <c r="DG42" s="2231"/>
      <c r="DH42" s="2231"/>
      <c r="DI42" s="567"/>
      <c r="DJ42" s="2231"/>
      <c r="DK42" s="2231"/>
      <c r="DL42" s="2231"/>
      <c r="DM42" s="2231"/>
      <c r="DN42" s="2231"/>
      <c r="DO42" s="2231"/>
      <c r="DP42" s="2231"/>
      <c r="DQ42" s="2231"/>
      <c r="DR42" s="2231"/>
      <c r="DS42" s="2231"/>
      <c r="DT42" s="2231"/>
      <c r="DU42" s="2231"/>
      <c r="DV42" s="2231"/>
      <c r="DW42" s="2231"/>
      <c r="DX42" s="2231"/>
      <c r="DY42" s="2231"/>
      <c r="DZ42" s="2231"/>
      <c r="EA42" s="2231"/>
      <c r="EB42" s="2231"/>
      <c r="EC42" s="2231"/>
      <c r="ED42" s="2231"/>
      <c r="EE42" s="2231"/>
      <c r="EF42" s="2231"/>
      <c r="EG42" s="2231"/>
      <c r="EH42" s="2233"/>
      <c r="EI42" s="2191"/>
      <c r="EJ42" s="2103"/>
      <c r="EK42" s="2192"/>
      <c r="EL42" s="2193"/>
      <c r="EM42" s="2192"/>
      <c r="EN42" s="2193"/>
      <c r="EO42" s="2192"/>
      <c r="EP42" s="2192"/>
      <c r="EQ42" s="2192"/>
      <c r="ER42" s="2192"/>
      <c r="ES42" s="2192"/>
      <c r="ET42" s="2192"/>
      <c r="EU42" s="2192"/>
      <c r="EV42" s="2192"/>
      <c r="EW42" s="2192"/>
      <c r="EX42" s="2192"/>
      <c r="EY42" s="2103"/>
      <c r="EZ42" s="2194"/>
      <c r="FA42" s="2195"/>
      <c r="FB42" s="2196"/>
    </row>
    <row r="43" spans="1:158" s="2197" customFormat="1" ht="18.899999999999999" customHeight="1">
      <c r="A43" s="2186" t="s">
        <v>2100</v>
      </c>
      <c r="B43" s="2083"/>
      <c r="C43" s="2187"/>
      <c r="D43" s="2187"/>
      <c r="E43" s="2187"/>
      <c r="F43" s="2187"/>
      <c r="G43" s="2187"/>
      <c r="H43" s="2187"/>
      <c r="I43" s="2188"/>
      <c r="J43" s="2087"/>
      <c r="K43" s="2087"/>
      <c r="L43" s="2087"/>
      <c r="M43" s="2083"/>
      <c r="N43" s="2083"/>
      <c r="O43" s="2087"/>
      <c r="P43" s="2087"/>
      <c r="Q43" s="2087"/>
      <c r="R43" s="2087"/>
      <c r="S43" s="2087"/>
      <c r="T43" s="2087"/>
      <c r="U43" s="2087"/>
      <c r="V43" s="2087"/>
      <c r="W43" s="2087"/>
      <c r="X43" s="2087"/>
      <c r="Y43" s="2098"/>
      <c r="Z43" s="2087"/>
      <c r="AA43" s="2087"/>
      <c r="AB43" s="2087"/>
      <c r="AC43" s="2087"/>
      <c r="AD43" s="2087"/>
      <c r="AE43" s="2087"/>
      <c r="AF43" s="2087"/>
      <c r="AG43" s="2087"/>
      <c r="AH43" s="2087"/>
      <c r="AI43" s="2087"/>
      <c r="AJ43" s="2087"/>
      <c r="AK43" s="2087"/>
      <c r="AL43" s="2087"/>
      <c r="AM43" s="2087"/>
      <c r="AN43" s="2087"/>
      <c r="AO43" s="2087"/>
      <c r="AP43" s="2087"/>
      <c r="AQ43" s="2087"/>
      <c r="AR43" s="2087"/>
      <c r="AS43" s="2087"/>
      <c r="AT43" s="2087"/>
      <c r="AU43" s="2087"/>
      <c r="AV43" s="2087"/>
      <c r="AW43" s="2087"/>
      <c r="AX43" s="2098"/>
      <c r="AY43" s="2087"/>
      <c r="AZ43" s="2087"/>
      <c r="BA43" s="2087"/>
      <c r="BB43" s="2087"/>
      <c r="BC43" s="2087"/>
      <c r="BD43" s="2087"/>
      <c r="BE43" s="2087"/>
      <c r="BF43" s="2087"/>
      <c r="BG43" s="2189"/>
      <c r="BH43" s="2087"/>
      <c r="BI43" s="2087"/>
      <c r="BJ43" s="2087"/>
      <c r="BK43" s="2087"/>
      <c r="BL43" s="2087"/>
      <c r="BM43" s="2087"/>
      <c r="BN43" s="2087"/>
      <c r="BO43" s="2087"/>
      <c r="BP43" s="2087"/>
      <c r="BQ43" s="2087"/>
      <c r="BR43" s="2087"/>
      <c r="BS43" s="2087"/>
      <c r="BT43" s="2087"/>
      <c r="BU43" s="2087"/>
      <c r="BV43" s="2087"/>
      <c r="BW43" s="2087"/>
      <c r="BX43" s="2098"/>
      <c r="BY43" s="2098"/>
      <c r="BZ43" s="2087"/>
      <c r="CA43" s="2098"/>
      <c r="CB43" s="2087"/>
      <c r="CC43" s="2087"/>
      <c r="CD43" s="2087"/>
      <c r="CE43" s="2087"/>
      <c r="CF43" s="2087"/>
      <c r="CG43" s="2087"/>
      <c r="CH43" s="2087"/>
      <c r="CI43" s="2087"/>
      <c r="CJ43" s="2087"/>
      <c r="CK43" s="2087"/>
      <c r="CL43" s="2087"/>
      <c r="CM43" s="2087"/>
      <c r="CN43" s="2087"/>
      <c r="CO43" s="2087"/>
      <c r="CP43" s="2087"/>
      <c r="CQ43" s="2087"/>
      <c r="CR43" s="2087"/>
      <c r="CS43" s="2087"/>
      <c r="CT43" s="2087"/>
      <c r="CU43" s="2098"/>
      <c r="CV43" s="2098"/>
      <c r="CW43" s="2098"/>
      <c r="CX43" s="2098"/>
      <c r="CY43" s="2098"/>
      <c r="CZ43" s="2098"/>
      <c r="DA43" s="2087"/>
      <c r="DB43" s="2087"/>
      <c r="DC43" s="2098"/>
      <c r="DD43" s="2087"/>
      <c r="DE43" s="2087"/>
      <c r="DF43" s="2087"/>
      <c r="DG43" s="2087"/>
      <c r="DH43" s="2087"/>
      <c r="DI43" s="2098"/>
      <c r="DJ43" s="2087"/>
      <c r="DK43" s="2087"/>
      <c r="DL43" s="2087"/>
      <c r="DM43" s="2087"/>
      <c r="DN43" s="2087"/>
      <c r="DO43" s="2087"/>
      <c r="DP43" s="2087"/>
      <c r="DQ43" s="2087"/>
      <c r="DR43" s="2087"/>
      <c r="DS43" s="2087"/>
      <c r="DT43" s="2087"/>
      <c r="DU43" s="2087"/>
      <c r="DV43" s="2087"/>
      <c r="DW43" s="2087"/>
      <c r="DX43" s="2087"/>
      <c r="DY43" s="2087"/>
      <c r="DZ43" s="2087"/>
      <c r="EA43" s="2087"/>
      <c r="EB43" s="2087"/>
      <c r="EC43" s="2087"/>
      <c r="ED43" s="2087"/>
      <c r="EE43" s="2087"/>
      <c r="EF43" s="2087"/>
      <c r="EG43" s="2087"/>
      <c r="EH43" s="2190"/>
      <c r="EI43" s="2191"/>
      <c r="EJ43" s="2103"/>
      <c r="EK43" s="2192"/>
      <c r="EL43" s="2193"/>
      <c r="EM43" s="2192"/>
      <c r="EN43" s="2193"/>
      <c r="EO43" s="2192"/>
      <c r="EP43" s="2192"/>
      <c r="EQ43" s="2192"/>
      <c r="ER43" s="2192"/>
      <c r="ES43" s="2192"/>
      <c r="ET43" s="2192"/>
      <c r="EU43" s="2192"/>
      <c r="EV43" s="2192"/>
      <c r="EW43" s="2192"/>
      <c r="EX43" s="2192"/>
      <c r="EY43" s="2103"/>
      <c r="EZ43" s="2194"/>
      <c r="FA43" s="2195"/>
      <c r="FB43" s="2196"/>
    </row>
    <row r="44" spans="1:158" s="2223" customFormat="1" ht="18.899999999999999" customHeight="1">
      <c r="A44" s="2186" t="s">
        <v>5915</v>
      </c>
      <c r="B44" s="2234"/>
      <c r="C44" s="2235"/>
      <c r="D44" s="2235">
        <f>+D43</f>
        <v>0</v>
      </c>
      <c r="E44" s="2235">
        <f>+E43</f>
        <v>0</v>
      </c>
      <c r="F44" s="2235">
        <f>+F43</f>
        <v>0</v>
      </c>
      <c r="G44" s="2235"/>
      <c r="H44" s="2235"/>
      <c r="I44" s="2236"/>
      <c r="J44" s="2105"/>
      <c r="K44" s="2105"/>
      <c r="L44" s="2105">
        <f t="shared" ref="L44:AQ44" si="8">SUM(L42:L43)</f>
        <v>0</v>
      </c>
      <c r="M44" s="2105">
        <f t="shared" si="8"/>
        <v>0</v>
      </c>
      <c r="N44" s="2105">
        <f t="shared" si="8"/>
        <v>0</v>
      </c>
      <c r="O44" s="2105">
        <f t="shared" si="8"/>
        <v>0</v>
      </c>
      <c r="P44" s="2105">
        <f t="shared" si="8"/>
        <v>0</v>
      </c>
      <c r="Q44" s="2105">
        <f t="shared" si="8"/>
        <v>0</v>
      </c>
      <c r="R44" s="2105">
        <f t="shared" si="8"/>
        <v>0</v>
      </c>
      <c r="S44" s="2105">
        <f t="shared" si="8"/>
        <v>0</v>
      </c>
      <c r="T44" s="2105">
        <f t="shared" si="8"/>
        <v>0</v>
      </c>
      <c r="U44" s="2105">
        <f t="shared" si="8"/>
        <v>0</v>
      </c>
      <c r="V44" s="2105">
        <f t="shared" si="8"/>
        <v>0</v>
      </c>
      <c r="W44" s="2105">
        <f t="shared" si="8"/>
        <v>0</v>
      </c>
      <c r="X44" s="2105">
        <f t="shared" si="8"/>
        <v>0</v>
      </c>
      <c r="Y44" s="2105">
        <f t="shared" si="8"/>
        <v>0</v>
      </c>
      <c r="Z44" s="2105">
        <f t="shared" si="8"/>
        <v>0</v>
      </c>
      <c r="AA44" s="2105">
        <f t="shared" si="8"/>
        <v>0</v>
      </c>
      <c r="AB44" s="2105">
        <f t="shared" si="8"/>
        <v>0</v>
      </c>
      <c r="AC44" s="2105">
        <f t="shared" si="8"/>
        <v>0</v>
      </c>
      <c r="AD44" s="2105">
        <f t="shared" si="8"/>
        <v>0</v>
      </c>
      <c r="AE44" s="2105">
        <f t="shared" si="8"/>
        <v>0</v>
      </c>
      <c r="AF44" s="2105">
        <f t="shared" si="8"/>
        <v>0</v>
      </c>
      <c r="AG44" s="2105">
        <f t="shared" si="8"/>
        <v>0</v>
      </c>
      <c r="AH44" s="2105">
        <f t="shared" si="8"/>
        <v>0</v>
      </c>
      <c r="AI44" s="2105">
        <f t="shared" si="8"/>
        <v>0</v>
      </c>
      <c r="AJ44" s="2105">
        <f t="shared" si="8"/>
        <v>0</v>
      </c>
      <c r="AK44" s="2105">
        <f t="shared" si="8"/>
        <v>0</v>
      </c>
      <c r="AL44" s="2105">
        <f t="shared" si="8"/>
        <v>0</v>
      </c>
      <c r="AM44" s="2105">
        <f t="shared" si="8"/>
        <v>0</v>
      </c>
      <c r="AN44" s="2105">
        <f t="shared" si="8"/>
        <v>0</v>
      </c>
      <c r="AO44" s="2105">
        <f t="shared" si="8"/>
        <v>0</v>
      </c>
      <c r="AP44" s="2105">
        <f t="shared" si="8"/>
        <v>0</v>
      </c>
      <c r="AQ44" s="2105">
        <f t="shared" si="8"/>
        <v>0</v>
      </c>
      <c r="AR44" s="2105">
        <f t="shared" ref="AR44:BW44" si="9">SUM(AR42:AR43)</f>
        <v>0</v>
      </c>
      <c r="AS44" s="2105">
        <f t="shared" si="9"/>
        <v>0</v>
      </c>
      <c r="AT44" s="2105">
        <f t="shared" si="9"/>
        <v>0</v>
      </c>
      <c r="AU44" s="2105">
        <f t="shared" si="9"/>
        <v>0</v>
      </c>
      <c r="AV44" s="2105">
        <f t="shared" si="9"/>
        <v>0</v>
      </c>
      <c r="AW44" s="2105">
        <f t="shared" si="9"/>
        <v>0</v>
      </c>
      <c r="AX44" s="2105">
        <f t="shared" si="9"/>
        <v>0</v>
      </c>
      <c r="AY44" s="2105">
        <f t="shared" si="9"/>
        <v>0</v>
      </c>
      <c r="AZ44" s="2105">
        <f t="shared" si="9"/>
        <v>0</v>
      </c>
      <c r="BA44" s="2105">
        <f t="shared" si="9"/>
        <v>0</v>
      </c>
      <c r="BB44" s="2105">
        <f t="shared" si="9"/>
        <v>0</v>
      </c>
      <c r="BC44" s="2105">
        <f t="shared" si="9"/>
        <v>0</v>
      </c>
      <c r="BD44" s="2105">
        <f t="shared" si="9"/>
        <v>0</v>
      </c>
      <c r="BE44" s="2105">
        <f t="shared" si="9"/>
        <v>0</v>
      </c>
      <c r="BF44" s="2105">
        <f t="shared" si="9"/>
        <v>0</v>
      </c>
      <c r="BG44" s="2105">
        <f t="shared" si="9"/>
        <v>0</v>
      </c>
      <c r="BH44" s="2105">
        <f t="shared" si="9"/>
        <v>0</v>
      </c>
      <c r="BI44" s="2105">
        <f t="shared" si="9"/>
        <v>0</v>
      </c>
      <c r="BJ44" s="2105">
        <f t="shared" si="9"/>
        <v>0</v>
      </c>
      <c r="BK44" s="2105">
        <f t="shared" si="9"/>
        <v>0</v>
      </c>
      <c r="BL44" s="2105">
        <f t="shared" si="9"/>
        <v>0</v>
      </c>
      <c r="BM44" s="2105">
        <f t="shared" si="9"/>
        <v>0</v>
      </c>
      <c r="BN44" s="2105">
        <f t="shared" si="9"/>
        <v>0</v>
      </c>
      <c r="BO44" s="2105">
        <f t="shared" si="9"/>
        <v>0</v>
      </c>
      <c r="BP44" s="2105">
        <f t="shared" si="9"/>
        <v>0</v>
      </c>
      <c r="BQ44" s="2105">
        <f t="shared" si="9"/>
        <v>0</v>
      </c>
      <c r="BR44" s="2105">
        <f t="shared" si="9"/>
        <v>0</v>
      </c>
      <c r="BS44" s="2105">
        <f t="shared" si="9"/>
        <v>0</v>
      </c>
      <c r="BT44" s="2105">
        <f t="shared" si="9"/>
        <v>0</v>
      </c>
      <c r="BU44" s="2105">
        <f t="shared" si="9"/>
        <v>0</v>
      </c>
      <c r="BV44" s="2105">
        <f t="shared" si="9"/>
        <v>0</v>
      </c>
      <c r="BW44" s="2105">
        <f t="shared" si="9"/>
        <v>0</v>
      </c>
      <c r="BX44" s="2105">
        <f t="shared" ref="BX44:DC44" si="10">SUM(BX42:BX43)</f>
        <v>0</v>
      </c>
      <c r="BY44" s="2105">
        <f t="shared" si="10"/>
        <v>0</v>
      </c>
      <c r="BZ44" s="2105">
        <f t="shared" si="10"/>
        <v>0</v>
      </c>
      <c r="CA44" s="2105">
        <f t="shared" si="10"/>
        <v>0</v>
      </c>
      <c r="CB44" s="2105">
        <f t="shared" si="10"/>
        <v>0</v>
      </c>
      <c r="CC44" s="2105">
        <f t="shared" si="10"/>
        <v>0</v>
      </c>
      <c r="CD44" s="2105">
        <f t="shared" si="10"/>
        <v>0</v>
      </c>
      <c r="CE44" s="2105">
        <f t="shared" si="10"/>
        <v>0</v>
      </c>
      <c r="CF44" s="2105">
        <f t="shared" si="10"/>
        <v>0</v>
      </c>
      <c r="CG44" s="2105">
        <f t="shared" si="10"/>
        <v>0</v>
      </c>
      <c r="CH44" s="2105">
        <f t="shared" si="10"/>
        <v>0</v>
      </c>
      <c r="CI44" s="2105">
        <f t="shared" si="10"/>
        <v>0</v>
      </c>
      <c r="CJ44" s="2105">
        <f t="shared" si="10"/>
        <v>0</v>
      </c>
      <c r="CK44" s="2105">
        <f t="shared" si="10"/>
        <v>0</v>
      </c>
      <c r="CL44" s="2105">
        <f t="shared" si="10"/>
        <v>0</v>
      </c>
      <c r="CM44" s="2105">
        <f t="shared" si="10"/>
        <v>0</v>
      </c>
      <c r="CN44" s="2105">
        <f t="shared" si="10"/>
        <v>0</v>
      </c>
      <c r="CO44" s="2105">
        <f t="shared" si="10"/>
        <v>0</v>
      </c>
      <c r="CP44" s="2105">
        <f t="shared" si="10"/>
        <v>0</v>
      </c>
      <c r="CQ44" s="2105">
        <f t="shared" si="10"/>
        <v>0</v>
      </c>
      <c r="CR44" s="2105">
        <f t="shared" si="10"/>
        <v>0</v>
      </c>
      <c r="CS44" s="2105">
        <f t="shared" si="10"/>
        <v>0</v>
      </c>
      <c r="CT44" s="2105">
        <f t="shared" si="10"/>
        <v>0</v>
      </c>
      <c r="CU44" s="2105">
        <f t="shared" si="10"/>
        <v>0</v>
      </c>
      <c r="CV44" s="2105">
        <f t="shared" si="10"/>
        <v>0</v>
      </c>
      <c r="CW44" s="2105">
        <f t="shared" si="10"/>
        <v>0</v>
      </c>
      <c r="CX44" s="2105">
        <f t="shared" si="10"/>
        <v>0</v>
      </c>
      <c r="CY44" s="2105">
        <f t="shared" si="10"/>
        <v>0</v>
      </c>
      <c r="CZ44" s="2105">
        <f t="shared" si="10"/>
        <v>0</v>
      </c>
      <c r="DA44" s="2105">
        <f t="shared" si="10"/>
        <v>0</v>
      </c>
      <c r="DB44" s="2105">
        <f t="shared" si="10"/>
        <v>0</v>
      </c>
      <c r="DC44" s="2105">
        <f t="shared" si="10"/>
        <v>0</v>
      </c>
      <c r="DD44" s="2105">
        <f t="shared" ref="DD44:EG44" si="11">SUM(DD42:DD43)</f>
        <v>0</v>
      </c>
      <c r="DE44" s="2105">
        <f t="shared" si="11"/>
        <v>0</v>
      </c>
      <c r="DF44" s="2105">
        <f t="shared" si="11"/>
        <v>0</v>
      </c>
      <c r="DG44" s="2105">
        <f t="shared" si="11"/>
        <v>0</v>
      </c>
      <c r="DH44" s="2105">
        <f t="shared" si="11"/>
        <v>0</v>
      </c>
      <c r="DI44" s="2105">
        <f t="shared" si="11"/>
        <v>0</v>
      </c>
      <c r="DJ44" s="2105">
        <f t="shared" si="11"/>
        <v>0</v>
      </c>
      <c r="DK44" s="2105">
        <f t="shared" si="11"/>
        <v>0</v>
      </c>
      <c r="DL44" s="2105">
        <f t="shared" si="11"/>
        <v>0</v>
      </c>
      <c r="DM44" s="2105">
        <f t="shared" si="11"/>
        <v>0</v>
      </c>
      <c r="DN44" s="2105">
        <f t="shared" si="11"/>
        <v>0</v>
      </c>
      <c r="DO44" s="2105">
        <f t="shared" si="11"/>
        <v>0</v>
      </c>
      <c r="DP44" s="2105">
        <f t="shared" si="11"/>
        <v>0</v>
      </c>
      <c r="DQ44" s="2105">
        <f t="shared" si="11"/>
        <v>0</v>
      </c>
      <c r="DR44" s="2105">
        <f t="shared" si="11"/>
        <v>0</v>
      </c>
      <c r="DS44" s="2105">
        <f t="shared" si="11"/>
        <v>0</v>
      </c>
      <c r="DT44" s="2105">
        <f t="shared" si="11"/>
        <v>0</v>
      </c>
      <c r="DU44" s="2105">
        <f t="shared" si="11"/>
        <v>0</v>
      </c>
      <c r="DV44" s="2105">
        <f t="shared" si="11"/>
        <v>0</v>
      </c>
      <c r="DW44" s="2105">
        <f t="shared" si="11"/>
        <v>0</v>
      </c>
      <c r="DX44" s="2105">
        <f t="shared" si="11"/>
        <v>0</v>
      </c>
      <c r="DY44" s="2105">
        <f t="shared" si="11"/>
        <v>0</v>
      </c>
      <c r="DZ44" s="2105">
        <f t="shared" si="11"/>
        <v>0</v>
      </c>
      <c r="EA44" s="2105">
        <f t="shared" si="11"/>
        <v>0</v>
      </c>
      <c r="EB44" s="2105">
        <f t="shared" si="11"/>
        <v>0</v>
      </c>
      <c r="EC44" s="2105">
        <f t="shared" si="11"/>
        <v>0</v>
      </c>
      <c r="ED44" s="2105">
        <f t="shared" si="11"/>
        <v>0</v>
      </c>
      <c r="EE44" s="2105">
        <f t="shared" si="11"/>
        <v>0</v>
      </c>
      <c r="EF44" s="2105">
        <f t="shared" si="11"/>
        <v>0</v>
      </c>
      <c r="EG44" s="2105">
        <f t="shared" si="11"/>
        <v>0</v>
      </c>
      <c r="EH44" s="2237"/>
      <c r="EI44" s="2217"/>
      <c r="EJ44" s="2218"/>
      <c r="EK44" s="2219"/>
      <c r="EL44" s="2219"/>
      <c r="EM44" s="2219"/>
      <c r="EN44" s="2219"/>
      <c r="EO44" s="2219"/>
      <c r="EP44" s="2219"/>
      <c r="EQ44" s="2219"/>
      <c r="ER44" s="2219"/>
      <c r="ES44" s="2219"/>
      <c r="ET44" s="2219"/>
      <c r="EU44" s="2219"/>
      <c r="EV44" s="2219"/>
      <c r="EW44" s="2219"/>
      <c r="EX44" s="2219"/>
      <c r="EY44" s="2111"/>
      <c r="EZ44" s="2220"/>
      <c r="FA44" s="2221"/>
      <c r="FB44" s="2222"/>
    </row>
    <row r="45" spans="1:158" s="2223" customFormat="1" ht="18.899999999999999" customHeight="1" thickBot="1">
      <c r="A45" s="2238" t="s">
        <v>3982</v>
      </c>
      <c r="B45" s="2239">
        <f>SUM(B8:B44)</f>
        <v>0</v>
      </c>
      <c r="C45" s="2240">
        <f>SUM(C8:C24)</f>
        <v>0</v>
      </c>
      <c r="D45" s="2240">
        <f>+D24+D40+D44</f>
        <v>0</v>
      </c>
      <c r="E45" s="2240">
        <f>+E24+E40+E44</f>
        <v>0</v>
      </c>
      <c r="F45" s="2240">
        <f>+F24+F40+F44</f>
        <v>0</v>
      </c>
      <c r="G45" s="2240" t="e">
        <f>+G24+G40+#REF!+G44</f>
        <v>#REF!</v>
      </c>
      <c r="H45" s="2240" t="e">
        <f>+H24+H40+#REF!+H44</f>
        <v>#REF!</v>
      </c>
      <c r="I45" s="2240" t="e">
        <f>+I24+I40+#REF!+I44</f>
        <v>#REF!</v>
      </c>
      <c r="J45" s="2240" t="e">
        <f>+J24+J40+#REF!+J44</f>
        <v>#REF!</v>
      </c>
      <c r="K45" s="2240">
        <f t="shared" ref="K45:AP45" si="12">+K24+K40+K44</f>
        <v>0</v>
      </c>
      <c r="L45" s="2240">
        <f t="shared" si="12"/>
        <v>0</v>
      </c>
      <c r="M45" s="2240">
        <f t="shared" si="12"/>
        <v>0</v>
      </c>
      <c r="N45" s="2240">
        <f t="shared" si="12"/>
        <v>0</v>
      </c>
      <c r="O45" s="2240">
        <f t="shared" si="12"/>
        <v>0</v>
      </c>
      <c r="P45" s="2240">
        <f t="shared" si="12"/>
        <v>0</v>
      </c>
      <c r="Q45" s="2240">
        <f t="shared" si="12"/>
        <v>0</v>
      </c>
      <c r="R45" s="2240">
        <f t="shared" si="12"/>
        <v>0</v>
      </c>
      <c r="S45" s="2240">
        <f t="shared" si="12"/>
        <v>0</v>
      </c>
      <c r="T45" s="2240">
        <f t="shared" si="12"/>
        <v>0</v>
      </c>
      <c r="U45" s="2240">
        <f t="shared" si="12"/>
        <v>0</v>
      </c>
      <c r="V45" s="2240">
        <f t="shared" si="12"/>
        <v>0</v>
      </c>
      <c r="W45" s="2240">
        <f t="shared" si="12"/>
        <v>0</v>
      </c>
      <c r="X45" s="2240">
        <f t="shared" si="12"/>
        <v>0</v>
      </c>
      <c r="Y45" s="2240">
        <f t="shared" si="12"/>
        <v>0</v>
      </c>
      <c r="Z45" s="2240">
        <f t="shared" si="12"/>
        <v>0</v>
      </c>
      <c r="AA45" s="2240">
        <f t="shared" si="12"/>
        <v>0</v>
      </c>
      <c r="AB45" s="2240">
        <f t="shared" si="12"/>
        <v>0</v>
      </c>
      <c r="AC45" s="2240">
        <f t="shared" si="12"/>
        <v>0</v>
      </c>
      <c r="AD45" s="2240">
        <f t="shared" si="12"/>
        <v>0</v>
      </c>
      <c r="AE45" s="2240">
        <f t="shared" si="12"/>
        <v>0</v>
      </c>
      <c r="AF45" s="2240">
        <f t="shared" si="12"/>
        <v>0</v>
      </c>
      <c r="AG45" s="2240">
        <f t="shared" si="12"/>
        <v>0</v>
      </c>
      <c r="AH45" s="2240">
        <f t="shared" si="12"/>
        <v>0</v>
      </c>
      <c r="AI45" s="2240">
        <f t="shared" si="12"/>
        <v>0</v>
      </c>
      <c r="AJ45" s="2240">
        <f t="shared" si="12"/>
        <v>0</v>
      </c>
      <c r="AK45" s="2240">
        <f t="shared" si="12"/>
        <v>0</v>
      </c>
      <c r="AL45" s="2240">
        <f t="shared" si="12"/>
        <v>0</v>
      </c>
      <c r="AM45" s="2240">
        <f t="shared" si="12"/>
        <v>0</v>
      </c>
      <c r="AN45" s="2240">
        <f t="shared" si="12"/>
        <v>0</v>
      </c>
      <c r="AO45" s="2240">
        <f t="shared" si="12"/>
        <v>0</v>
      </c>
      <c r="AP45" s="2240">
        <f t="shared" si="12"/>
        <v>0</v>
      </c>
      <c r="AQ45" s="2240">
        <f t="shared" ref="AQ45:BV45" si="13">+AQ24+AQ40+AQ44</f>
        <v>0</v>
      </c>
      <c r="AR45" s="2240">
        <f t="shared" si="13"/>
        <v>0</v>
      </c>
      <c r="AS45" s="2240">
        <f t="shared" si="13"/>
        <v>0</v>
      </c>
      <c r="AT45" s="2240">
        <f t="shared" si="13"/>
        <v>0</v>
      </c>
      <c r="AU45" s="2240">
        <f t="shared" si="13"/>
        <v>0</v>
      </c>
      <c r="AV45" s="2240">
        <f t="shared" si="13"/>
        <v>0</v>
      </c>
      <c r="AW45" s="2240">
        <f t="shared" si="13"/>
        <v>0</v>
      </c>
      <c r="AX45" s="2240">
        <f t="shared" si="13"/>
        <v>0</v>
      </c>
      <c r="AY45" s="2240">
        <f t="shared" si="13"/>
        <v>0</v>
      </c>
      <c r="AZ45" s="2240">
        <f t="shared" si="13"/>
        <v>0</v>
      </c>
      <c r="BA45" s="2240">
        <f t="shared" si="13"/>
        <v>0</v>
      </c>
      <c r="BB45" s="2240">
        <f t="shared" si="13"/>
        <v>0</v>
      </c>
      <c r="BC45" s="2240">
        <f t="shared" si="13"/>
        <v>0</v>
      </c>
      <c r="BD45" s="2240">
        <f t="shared" si="13"/>
        <v>0</v>
      </c>
      <c r="BE45" s="2240">
        <f t="shared" si="13"/>
        <v>0</v>
      </c>
      <c r="BF45" s="2240">
        <f t="shared" si="13"/>
        <v>0</v>
      </c>
      <c r="BG45" s="2240">
        <f t="shared" si="13"/>
        <v>0</v>
      </c>
      <c r="BH45" s="2240">
        <f t="shared" si="13"/>
        <v>0</v>
      </c>
      <c r="BI45" s="2240">
        <f t="shared" si="13"/>
        <v>0</v>
      </c>
      <c r="BJ45" s="2240">
        <f t="shared" si="13"/>
        <v>0</v>
      </c>
      <c r="BK45" s="2240">
        <f t="shared" si="13"/>
        <v>0</v>
      </c>
      <c r="BL45" s="2240">
        <f t="shared" si="13"/>
        <v>0</v>
      </c>
      <c r="BM45" s="2240">
        <f t="shared" si="13"/>
        <v>0</v>
      </c>
      <c r="BN45" s="2240">
        <f t="shared" si="13"/>
        <v>0</v>
      </c>
      <c r="BO45" s="2240">
        <f t="shared" si="13"/>
        <v>0</v>
      </c>
      <c r="BP45" s="2240">
        <f t="shared" si="13"/>
        <v>0</v>
      </c>
      <c r="BQ45" s="2240">
        <f t="shared" si="13"/>
        <v>0</v>
      </c>
      <c r="BR45" s="2240">
        <f t="shared" si="13"/>
        <v>0</v>
      </c>
      <c r="BS45" s="2240">
        <f t="shared" si="13"/>
        <v>0</v>
      </c>
      <c r="BT45" s="2240">
        <f t="shared" si="13"/>
        <v>0</v>
      </c>
      <c r="BU45" s="2240">
        <f t="shared" si="13"/>
        <v>0</v>
      </c>
      <c r="BV45" s="2240">
        <f t="shared" si="13"/>
        <v>0</v>
      </c>
      <c r="BW45" s="2240">
        <f t="shared" ref="BW45:DB45" si="14">+BW24+BW40+BW44</f>
        <v>0</v>
      </c>
      <c r="BX45" s="2240">
        <f t="shared" si="14"/>
        <v>0</v>
      </c>
      <c r="BY45" s="2240">
        <f t="shared" si="14"/>
        <v>0</v>
      </c>
      <c r="BZ45" s="2240">
        <f t="shared" si="14"/>
        <v>0</v>
      </c>
      <c r="CA45" s="2240">
        <f t="shared" si="14"/>
        <v>0</v>
      </c>
      <c r="CB45" s="2240">
        <f t="shared" si="14"/>
        <v>0</v>
      </c>
      <c r="CC45" s="2240">
        <f t="shared" si="14"/>
        <v>0</v>
      </c>
      <c r="CD45" s="2240">
        <f t="shared" si="14"/>
        <v>0</v>
      </c>
      <c r="CE45" s="2240">
        <f t="shared" si="14"/>
        <v>0</v>
      </c>
      <c r="CF45" s="2240">
        <f t="shared" si="14"/>
        <v>0</v>
      </c>
      <c r="CG45" s="2240">
        <f t="shared" si="14"/>
        <v>0</v>
      </c>
      <c r="CH45" s="2240">
        <f t="shared" si="14"/>
        <v>0</v>
      </c>
      <c r="CI45" s="2240">
        <f t="shared" si="14"/>
        <v>0</v>
      </c>
      <c r="CJ45" s="2240">
        <f t="shared" si="14"/>
        <v>0</v>
      </c>
      <c r="CK45" s="2240">
        <f t="shared" si="14"/>
        <v>0</v>
      </c>
      <c r="CL45" s="2240">
        <f t="shared" si="14"/>
        <v>0</v>
      </c>
      <c r="CM45" s="2240">
        <f t="shared" si="14"/>
        <v>0</v>
      </c>
      <c r="CN45" s="2240">
        <f t="shared" si="14"/>
        <v>0</v>
      </c>
      <c r="CO45" s="2240">
        <f t="shared" si="14"/>
        <v>0</v>
      </c>
      <c r="CP45" s="2240">
        <f t="shared" si="14"/>
        <v>0</v>
      </c>
      <c r="CQ45" s="2240">
        <f t="shared" si="14"/>
        <v>0</v>
      </c>
      <c r="CR45" s="2240">
        <f t="shared" si="14"/>
        <v>0</v>
      </c>
      <c r="CS45" s="2240">
        <f t="shared" si="14"/>
        <v>0</v>
      </c>
      <c r="CT45" s="2240">
        <f t="shared" si="14"/>
        <v>0</v>
      </c>
      <c r="CU45" s="2240">
        <f t="shared" si="14"/>
        <v>0</v>
      </c>
      <c r="CV45" s="2240">
        <f t="shared" si="14"/>
        <v>0</v>
      </c>
      <c r="CW45" s="2240">
        <f t="shared" si="14"/>
        <v>0</v>
      </c>
      <c r="CX45" s="2240">
        <f t="shared" si="14"/>
        <v>0</v>
      </c>
      <c r="CY45" s="2240">
        <f t="shared" si="14"/>
        <v>0</v>
      </c>
      <c r="CZ45" s="2240">
        <f t="shared" si="14"/>
        <v>0</v>
      </c>
      <c r="DA45" s="2240">
        <f t="shared" si="14"/>
        <v>0</v>
      </c>
      <c r="DB45" s="2240">
        <f t="shared" si="14"/>
        <v>0</v>
      </c>
      <c r="DC45" s="2240">
        <f t="shared" ref="DC45:DY45" si="15">+DC24+DC40+DC44</f>
        <v>0</v>
      </c>
      <c r="DD45" s="2240">
        <f t="shared" si="15"/>
        <v>0</v>
      </c>
      <c r="DE45" s="2240">
        <f t="shared" si="15"/>
        <v>0</v>
      </c>
      <c r="DF45" s="2240">
        <f t="shared" si="15"/>
        <v>0</v>
      </c>
      <c r="DG45" s="2240">
        <f t="shared" si="15"/>
        <v>0</v>
      </c>
      <c r="DH45" s="2240">
        <f t="shared" si="15"/>
        <v>0</v>
      </c>
      <c r="DI45" s="2240">
        <f t="shared" si="15"/>
        <v>0</v>
      </c>
      <c r="DJ45" s="2240">
        <f t="shared" si="15"/>
        <v>0</v>
      </c>
      <c r="DK45" s="2240">
        <f t="shared" si="15"/>
        <v>0</v>
      </c>
      <c r="DL45" s="2240">
        <f t="shared" si="15"/>
        <v>0</v>
      </c>
      <c r="DM45" s="2240">
        <f t="shared" si="15"/>
        <v>0</v>
      </c>
      <c r="DN45" s="2240">
        <f t="shared" si="15"/>
        <v>0</v>
      </c>
      <c r="DO45" s="2240">
        <f t="shared" si="15"/>
        <v>0</v>
      </c>
      <c r="DP45" s="2240">
        <f t="shared" si="15"/>
        <v>0</v>
      </c>
      <c r="DQ45" s="2240">
        <f t="shared" si="15"/>
        <v>0</v>
      </c>
      <c r="DR45" s="2240">
        <f t="shared" si="15"/>
        <v>0</v>
      </c>
      <c r="DS45" s="2240">
        <f t="shared" si="15"/>
        <v>0</v>
      </c>
      <c r="DT45" s="2240">
        <f t="shared" si="15"/>
        <v>0</v>
      </c>
      <c r="DU45" s="2240">
        <f t="shared" si="15"/>
        <v>0</v>
      </c>
      <c r="DV45" s="2240">
        <f t="shared" si="15"/>
        <v>0</v>
      </c>
      <c r="DW45" s="2240">
        <f t="shared" si="15"/>
        <v>0</v>
      </c>
      <c r="DX45" s="2240">
        <f t="shared" si="15"/>
        <v>0</v>
      </c>
      <c r="DY45" s="2240">
        <f t="shared" si="15"/>
        <v>0</v>
      </c>
      <c r="DZ45" s="2240" t="e">
        <f>+DZ24+DZ40+#REF!+DZ44</f>
        <v>#REF!</v>
      </c>
      <c r="EA45" s="2240" t="e">
        <f>+EA24+EA40+#REF!+EA44</f>
        <v>#REF!</v>
      </c>
      <c r="EB45" s="2240" t="e">
        <f>+EB24+EB40+#REF!+EB44</f>
        <v>#REF!</v>
      </c>
      <c r="EC45" s="2240" t="e">
        <f>+EC24+EC40+#REF!+EC44</f>
        <v>#REF!</v>
      </c>
      <c r="ED45" s="2240" t="e">
        <f>+ED24+ED40+#REF!+ED44</f>
        <v>#REF!</v>
      </c>
      <c r="EE45" s="2240" t="e">
        <f>+EE24+EE40+#REF!+EE44</f>
        <v>#REF!</v>
      </c>
      <c r="EF45" s="2240" t="e">
        <f>+EF24+EF40+#REF!+EF44</f>
        <v>#REF!</v>
      </c>
      <c r="EG45" s="2240" t="e">
        <f>+EG24+EG40+#REF!+EG44</f>
        <v>#REF!</v>
      </c>
      <c r="EH45" s="2241"/>
      <c r="EI45" s="2242"/>
      <c r="EK45" s="2133"/>
      <c r="EL45" s="467"/>
      <c r="EM45" s="467"/>
      <c r="EN45" s="467"/>
      <c r="EO45" s="467"/>
      <c r="EP45" s="2243"/>
      <c r="EQ45" s="2242"/>
    </row>
    <row r="46" spans="1:158" ht="18.899999999999999" customHeight="1">
      <c r="A46" s="2244"/>
      <c r="B46" s="2244"/>
      <c r="C46" s="2245"/>
      <c r="D46" s="2245"/>
      <c r="E46" s="2245"/>
      <c r="F46" s="2245"/>
      <c r="G46" s="2245"/>
      <c r="H46" s="2245"/>
      <c r="I46" s="2244"/>
      <c r="J46" s="2244"/>
      <c r="K46" s="2246"/>
      <c r="L46" s="419" t="s">
        <v>5916</v>
      </c>
      <c r="M46" s="2247"/>
      <c r="N46" s="2247"/>
      <c r="O46" s="2247"/>
      <c r="P46" s="2247"/>
      <c r="Q46" s="2246"/>
      <c r="R46" s="2246"/>
      <c r="S46" s="2246"/>
      <c r="T46" s="2246"/>
      <c r="U46" s="2246"/>
      <c r="V46" s="2246"/>
      <c r="W46" s="2246"/>
      <c r="X46" s="2246"/>
      <c r="Y46" s="2246"/>
      <c r="Z46" s="2246"/>
      <c r="AA46" s="2246"/>
      <c r="AB46" s="2246"/>
      <c r="AC46" s="2246"/>
      <c r="AD46" s="2246"/>
      <c r="AE46" s="2246"/>
      <c r="AF46" s="2246"/>
      <c r="AG46" s="2246"/>
      <c r="AH46" s="2246"/>
      <c r="AI46" s="2246"/>
      <c r="AJ46" s="2246"/>
      <c r="AK46" s="2246"/>
      <c r="AL46" s="2246"/>
      <c r="AM46" s="2246"/>
      <c r="AN46" s="2246"/>
      <c r="AO46" s="2246"/>
      <c r="AP46" s="2246"/>
      <c r="AQ46" s="2246"/>
      <c r="AR46" s="2246"/>
      <c r="AS46" s="2244"/>
      <c r="AT46" s="2244"/>
      <c r="AU46" s="2244"/>
      <c r="AV46" s="2244"/>
      <c r="AW46" s="2244"/>
      <c r="AX46" s="2244"/>
      <c r="AY46" s="2244"/>
      <c r="AZ46" s="2244"/>
      <c r="BA46" s="2244"/>
      <c r="BB46" s="2244"/>
      <c r="BC46" s="2244"/>
      <c r="BD46" s="2244"/>
      <c r="BE46" s="2244"/>
      <c r="BF46" s="2246"/>
      <c r="BG46" s="2246"/>
      <c r="BH46" s="2246"/>
      <c r="BI46" s="2246"/>
      <c r="BJ46" s="2246"/>
      <c r="BK46" s="2246"/>
      <c r="BL46" s="2246"/>
      <c r="BM46" s="2246"/>
      <c r="BN46" s="2246"/>
      <c r="BO46" s="2246"/>
      <c r="BP46" s="2246"/>
      <c r="BQ46" s="2246"/>
      <c r="BR46" s="2246"/>
      <c r="BS46" s="2244"/>
      <c r="BT46" s="2244"/>
      <c r="BU46" s="2244"/>
      <c r="BV46" s="2244"/>
      <c r="BW46" s="2244"/>
      <c r="BX46" s="2246"/>
      <c r="BY46" s="2246"/>
      <c r="BZ46" s="2246"/>
      <c r="CA46" s="2246"/>
      <c r="CB46" s="2246"/>
      <c r="CD46" s="2246"/>
      <c r="CE46" s="2246"/>
      <c r="CF46" s="2246"/>
      <c r="CG46" s="2246"/>
      <c r="CH46" s="2246"/>
      <c r="CI46" s="2246"/>
      <c r="CJ46" s="2246"/>
      <c r="CK46" s="2246"/>
      <c r="CM46" s="2246"/>
      <c r="CN46" s="2246"/>
      <c r="CO46" s="2246"/>
      <c r="CP46" s="2246"/>
      <c r="CQ46" s="2246"/>
      <c r="CR46" s="2246"/>
      <c r="CS46" s="2248"/>
      <c r="CT46" s="2248"/>
      <c r="CU46" s="2248"/>
      <c r="CV46" s="2248"/>
      <c r="CW46" s="2248"/>
      <c r="CX46" s="2248"/>
      <c r="CY46" s="2248"/>
      <c r="CZ46" s="2248"/>
      <c r="DA46" s="2248"/>
      <c r="DB46" s="2248"/>
      <c r="DC46" s="2248"/>
      <c r="DD46" s="2249"/>
      <c r="DE46" s="2249"/>
      <c r="DF46" s="2249"/>
      <c r="DG46" s="2249"/>
      <c r="DH46" s="2249"/>
      <c r="DI46" s="2249"/>
      <c r="DJ46" s="2249"/>
      <c r="DK46" s="2249"/>
      <c r="DL46" s="2249"/>
      <c r="DM46" s="2249"/>
      <c r="DN46" s="2249"/>
      <c r="DO46" s="2249"/>
      <c r="DP46" s="2249"/>
      <c r="DQ46" s="2249"/>
      <c r="DR46" s="2249"/>
      <c r="DS46" s="2249"/>
      <c r="DT46" s="2249"/>
      <c r="DU46" s="2249"/>
      <c r="DV46" s="2249"/>
      <c r="DW46" s="2249"/>
      <c r="DX46" s="2249"/>
      <c r="DY46" s="2249"/>
      <c r="DZ46" s="2249"/>
      <c r="EA46" s="2249"/>
      <c r="EB46" s="2249"/>
      <c r="EC46" s="2249"/>
      <c r="ED46" s="2249"/>
      <c r="EE46" s="2249"/>
      <c r="EF46" s="2248"/>
      <c r="EG46" s="2248"/>
      <c r="EJ46" s="2138">
        <v>50</v>
      </c>
      <c r="EK46" s="2138">
        <v>70</v>
      </c>
      <c r="EL46" s="2138">
        <v>95</v>
      </c>
      <c r="EM46" s="2138">
        <v>120</v>
      </c>
      <c r="EN46" s="2138">
        <v>150</v>
      </c>
      <c r="EO46" s="2138">
        <v>185</v>
      </c>
      <c r="EP46" s="2138">
        <v>240</v>
      </c>
    </row>
    <row r="47" spans="1:158" ht="18.899999999999999" customHeight="1">
      <c r="A47" s="2251" t="s">
        <v>190</v>
      </c>
      <c r="B47" s="2244" t="s">
        <v>698</v>
      </c>
      <c r="C47" s="2252"/>
      <c r="D47" s="2252"/>
      <c r="E47" s="2252"/>
      <c r="F47" s="2252"/>
      <c r="G47" s="2252"/>
      <c r="H47" s="2253" t="s">
        <v>866</v>
      </c>
      <c r="I47" s="2244"/>
      <c r="J47" s="2254"/>
      <c r="K47" s="2246"/>
      <c r="L47" s="2251" t="s">
        <v>190</v>
      </c>
      <c r="M47" s="2244" t="s">
        <v>698</v>
      </c>
      <c r="N47" s="2244" t="s">
        <v>698</v>
      </c>
      <c r="O47" s="2244"/>
      <c r="P47" s="2255">
        <f>C47*1.03</f>
        <v>0</v>
      </c>
      <c r="Q47" s="2256"/>
      <c r="R47" s="2246" t="s">
        <v>866</v>
      </c>
      <c r="S47" s="2246"/>
      <c r="T47" s="2246"/>
      <c r="U47" s="2246"/>
      <c r="V47" s="2246"/>
      <c r="W47" s="2246"/>
      <c r="X47" s="2246"/>
      <c r="Y47" s="2246"/>
      <c r="Z47" s="2246"/>
      <c r="AA47" s="2246"/>
      <c r="AB47" s="2246"/>
      <c r="AC47" s="2246"/>
      <c r="AD47" s="2246"/>
      <c r="AE47" s="2246"/>
      <c r="AF47" s="2246"/>
      <c r="AG47" s="2246"/>
      <c r="AH47" s="2246"/>
      <c r="AI47" s="2246"/>
      <c r="AJ47" s="2246"/>
      <c r="AK47" s="2246"/>
      <c r="AL47" s="2246"/>
      <c r="AM47" s="2246"/>
      <c r="AN47" s="2246"/>
      <c r="AO47" s="2246"/>
      <c r="AP47" s="2246"/>
      <c r="AQ47" s="2246"/>
      <c r="AR47" s="2246"/>
      <c r="AS47" s="2244"/>
      <c r="AT47" s="2244"/>
      <c r="AU47" s="2244"/>
      <c r="AV47" s="2244"/>
      <c r="AW47" s="2244"/>
      <c r="AX47" s="2244"/>
      <c r="AY47" s="2244"/>
      <c r="AZ47" s="2244"/>
      <c r="BA47" s="2244"/>
      <c r="BB47" s="2244"/>
      <c r="BC47" s="2244"/>
      <c r="BD47" s="2244"/>
      <c r="BE47" s="2244"/>
      <c r="BF47" s="2246"/>
      <c r="BG47" s="2246"/>
      <c r="BH47" s="2246"/>
      <c r="BI47" s="2246"/>
      <c r="BJ47" s="2246"/>
      <c r="BK47" s="2246"/>
      <c r="BL47" s="2246"/>
      <c r="BM47" s="2246"/>
      <c r="BN47" s="2246"/>
      <c r="BO47" s="2246"/>
      <c r="BP47" s="2246"/>
      <c r="BQ47" s="2246"/>
      <c r="BR47" s="2246"/>
      <c r="BS47" s="2244"/>
      <c r="BT47" s="2244"/>
      <c r="BU47" s="2244"/>
      <c r="BV47" s="2244"/>
      <c r="BW47" s="2244"/>
      <c r="BX47" s="2246"/>
      <c r="BY47" s="2246"/>
      <c r="BZ47" s="2246"/>
      <c r="CA47" s="2246"/>
      <c r="CB47" s="2246"/>
      <c r="CC47" s="2246"/>
      <c r="CD47" s="2246"/>
      <c r="CE47" s="2246"/>
      <c r="CF47" s="2246"/>
      <c r="CG47" s="2246"/>
      <c r="CH47" s="2246"/>
      <c r="CI47" s="2246"/>
      <c r="CJ47" s="2246"/>
      <c r="CK47" s="2246"/>
      <c r="CL47" s="2246"/>
      <c r="CM47" s="2246"/>
      <c r="CN47" s="2246"/>
      <c r="CO47" s="2246"/>
      <c r="CP47" s="2246"/>
      <c r="CQ47" s="2246"/>
      <c r="CR47" s="2246"/>
      <c r="CS47" s="2248"/>
      <c r="CT47" s="2248"/>
      <c r="CU47" s="2248"/>
      <c r="CV47" s="2248"/>
      <c r="CW47" s="2248"/>
      <c r="CX47" s="2248"/>
      <c r="CY47" s="2248"/>
      <c r="CZ47" s="2248"/>
      <c r="DA47" s="2248"/>
      <c r="DB47" s="2248"/>
      <c r="DC47" s="2248"/>
      <c r="DD47" s="2249"/>
      <c r="DE47" s="2249"/>
      <c r="DF47" s="2249"/>
      <c r="DG47" s="2249"/>
      <c r="DH47" s="2249"/>
      <c r="DI47" s="2249"/>
      <c r="DJ47" s="2249"/>
      <c r="DK47" s="2249"/>
      <c r="DL47" s="2249"/>
      <c r="DM47" s="2249"/>
      <c r="DN47" s="2249"/>
      <c r="DO47" s="2249"/>
      <c r="DP47" s="2249"/>
      <c r="DQ47" s="2249"/>
      <c r="DR47" s="2249"/>
      <c r="DS47" s="2249"/>
      <c r="DT47" s="2249"/>
      <c r="DU47" s="2249"/>
      <c r="DV47" s="2249"/>
      <c r="DW47" s="2249"/>
      <c r="DX47" s="2249"/>
      <c r="DY47" s="2249"/>
      <c r="DZ47" s="2249"/>
      <c r="EA47" s="2249"/>
      <c r="EB47" s="2249"/>
      <c r="EC47" s="2249"/>
      <c r="ED47" s="2249"/>
      <c r="EE47" s="2249"/>
      <c r="EF47" s="2248"/>
      <c r="EG47" s="2248"/>
    </row>
    <row r="48" spans="1:158" ht="18.899999999999999" customHeight="1">
      <c r="A48" s="2251" t="s">
        <v>191</v>
      </c>
      <c r="B48" s="2244" t="s">
        <v>698</v>
      </c>
      <c r="C48" s="2252">
        <f>+D45*3*3+E45*2*3+F45*3</f>
        <v>0</v>
      </c>
      <c r="D48" s="2252"/>
      <c r="E48" s="2252"/>
      <c r="F48" s="2252"/>
      <c r="G48" s="2252"/>
      <c r="H48" s="2253" t="s">
        <v>866</v>
      </c>
      <c r="I48" s="2244"/>
      <c r="J48" s="2254"/>
      <c r="K48" s="2246"/>
      <c r="L48" s="2251" t="s">
        <v>191</v>
      </c>
      <c r="M48" s="2244" t="s">
        <v>698</v>
      </c>
      <c r="N48" s="2244" t="s">
        <v>698</v>
      </c>
      <c r="O48" s="2244"/>
      <c r="P48" s="2255">
        <f>C48*1.02</f>
        <v>0</v>
      </c>
      <c r="Q48" s="2256"/>
      <c r="R48" s="2246" t="s">
        <v>866</v>
      </c>
      <c r="S48" s="2246"/>
      <c r="T48" s="2246"/>
      <c r="U48" s="2246"/>
      <c r="V48" s="2246"/>
      <c r="W48" s="2246"/>
      <c r="X48" s="2246"/>
      <c r="Y48" s="2246"/>
      <c r="Z48" s="2246"/>
      <c r="AA48" s="2246"/>
      <c r="AB48" s="2246"/>
      <c r="AC48" s="2246"/>
      <c r="AD48" s="2246"/>
      <c r="AE48" s="2246"/>
      <c r="AF48" s="2246"/>
      <c r="AG48" s="2246"/>
      <c r="AH48" s="2246"/>
      <c r="AI48" s="2246"/>
      <c r="AJ48" s="2246"/>
      <c r="AK48" s="2246"/>
      <c r="AL48" s="2246"/>
      <c r="AM48" s="2246"/>
      <c r="AN48" s="2246"/>
      <c r="AO48" s="2246"/>
      <c r="AP48" s="2246"/>
      <c r="AQ48" s="2246"/>
      <c r="AR48" s="2246"/>
      <c r="AS48" s="2244"/>
      <c r="AT48" s="2244"/>
      <c r="AU48" s="2244"/>
      <c r="AV48" s="2244"/>
      <c r="AW48" s="2244"/>
      <c r="AX48" s="2244"/>
      <c r="AY48" s="2244"/>
      <c r="AZ48" s="2244"/>
      <c r="BA48" s="2244"/>
      <c r="BB48" s="2244"/>
      <c r="BC48" s="2244"/>
      <c r="BD48" s="2244"/>
      <c r="BE48" s="2244"/>
      <c r="BF48" s="2246"/>
      <c r="BG48" s="2246"/>
      <c r="BH48" s="2246"/>
      <c r="BI48" s="2246"/>
      <c r="BJ48" s="2246"/>
      <c r="BK48" s="2246"/>
      <c r="BL48" s="2246"/>
      <c r="BM48" s="2246"/>
      <c r="BN48" s="2246"/>
      <c r="BO48" s="2246"/>
      <c r="BP48" s="2246"/>
      <c r="BQ48" s="2246"/>
      <c r="BR48" s="2246"/>
      <c r="BS48" s="2244"/>
      <c r="BT48" s="2244"/>
      <c r="BU48" s="2244"/>
      <c r="BV48" s="2244"/>
      <c r="BW48" s="2244"/>
      <c r="BX48" s="2246"/>
      <c r="BY48" s="2246"/>
      <c r="BZ48" s="2246"/>
      <c r="CA48" s="2246"/>
      <c r="CB48" s="2246"/>
      <c r="CC48" s="2246"/>
      <c r="CD48" s="2246"/>
      <c r="CE48" s="2246"/>
      <c r="CF48" s="2246"/>
      <c r="CG48" s="2246"/>
      <c r="CH48" s="2246"/>
      <c r="CI48" s="2246"/>
      <c r="CJ48" s="2246"/>
      <c r="CK48" s="2246"/>
      <c r="CL48" s="2246"/>
      <c r="CM48" s="2246"/>
      <c r="CN48" s="2246"/>
      <c r="CO48" s="2246"/>
      <c r="CP48" s="2246"/>
      <c r="CQ48" s="2246"/>
      <c r="CR48" s="2246"/>
      <c r="CS48" s="2248"/>
      <c r="CT48" s="2248"/>
      <c r="CU48" s="2248"/>
      <c r="CV48" s="2248"/>
      <c r="CW48" s="2248"/>
      <c r="CX48" s="2248"/>
      <c r="CY48" s="2248"/>
      <c r="CZ48" s="2248"/>
      <c r="DA48" s="2248"/>
      <c r="DB48" s="2248"/>
      <c r="DC48" s="2248"/>
      <c r="DD48" s="2249"/>
      <c r="DE48" s="2249"/>
      <c r="DF48" s="2249"/>
      <c r="DG48" s="2249"/>
      <c r="DH48" s="2249"/>
      <c r="DI48" s="2249"/>
      <c r="DJ48" s="2249"/>
      <c r="DK48" s="2249"/>
      <c r="DL48" s="2249"/>
      <c r="DM48" s="2249"/>
      <c r="DN48" s="2249"/>
      <c r="DO48" s="2249"/>
      <c r="DP48" s="2249"/>
      <c r="DQ48" s="2249"/>
      <c r="DR48" s="2249"/>
      <c r="DS48" s="2249"/>
      <c r="DT48" s="2249"/>
      <c r="DU48" s="2249"/>
      <c r="DV48" s="2249"/>
      <c r="DW48" s="2249"/>
      <c r="DX48" s="2249"/>
      <c r="DY48" s="2249"/>
      <c r="DZ48" s="2249"/>
      <c r="EA48" s="2249"/>
      <c r="EB48" s="2249"/>
      <c r="EC48" s="2249"/>
      <c r="ED48" s="2249"/>
      <c r="EE48" s="2249"/>
      <c r="EF48" s="2248"/>
      <c r="EG48" s="2248"/>
    </row>
    <row r="49" spans="1:137" ht="18.899999999999999" customHeight="1">
      <c r="A49" s="2251" t="s">
        <v>1023</v>
      </c>
      <c r="B49" s="2244" t="s">
        <v>698</v>
      </c>
      <c r="C49" s="2252"/>
      <c r="D49" s="2252"/>
      <c r="E49" s="2252"/>
      <c r="F49" s="2252"/>
      <c r="G49" s="2252"/>
      <c r="H49" s="2253" t="s">
        <v>866</v>
      </c>
      <c r="I49" s="2244"/>
      <c r="J49" s="2254"/>
      <c r="K49" s="2246"/>
      <c r="L49" s="2251" t="s">
        <v>1023</v>
      </c>
      <c r="M49" s="2244" t="s">
        <v>698</v>
      </c>
      <c r="N49" s="2244" t="s">
        <v>698</v>
      </c>
      <c r="O49" s="2244"/>
      <c r="P49" s="2255">
        <f>C49*1.03</f>
        <v>0</v>
      </c>
      <c r="Q49" s="2256"/>
      <c r="R49" s="2246" t="s">
        <v>866</v>
      </c>
      <c r="S49" s="2246"/>
      <c r="T49" s="2246"/>
      <c r="U49" s="2246"/>
      <c r="V49" s="2246"/>
      <c r="W49" s="2246"/>
      <c r="X49" s="2246"/>
      <c r="Y49" s="2246"/>
      <c r="Z49" s="2246"/>
      <c r="AA49" s="2246"/>
      <c r="AB49" s="2246"/>
      <c r="AC49" s="2246"/>
      <c r="AD49" s="2246"/>
      <c r="AE49" s="2246"/>
      <c r="AF49" s="2246"/>
      <c r="AG49" s="2246"/>
      <c r="AH49" s="2246"/>
      <c r="AI49" s="2246"/>
      <c r="AJ49" s="2246"/>
      <c r="AK49" s="2246"/>
      <c r="AL49" s="2246"/>
      <c r="AM49" s="2246"/>
      <c r="AN49" s="2246"/>
      <c r="AO49" s="2246"/>
      <c r="AP49" s="2246"/>
      <c r="AQ49" s="2246"/>
      <c r="AR49" s="2246"/>
      <c r="AS49" s="2244"/>
      <c r="AT49" s="2244"/>
      <c r="AU49" s="2244"/>
      <c r="AV49" s="2244"/>
      <c r="AW49" s="2244"/>
      <c r="AX49" s="2244"/>
      <c r="AY49" s="2244"/>
      <c r="AZ49" s="2244"/>
      <c r="BA49" s="2244"/>
      <c r="BB49" s="2244"/>
      <c r="BC49" s="2244"/>
      <c r="BD49" s="2244"/>
      <c r="BE49" s="2244"/>
      <c r="BF49" s="2246"/>
      <c r="BG49" s="2246"/>
      <c r="BH49" s="2246"/>
      <c r="BI49" s="2246"/>
      <c r="BJ49" s="2246"/>
      <c r="BK49" s="2246"/>
      <c r="BL49" s="2246"/>
      <c r="BM49" s="2246"/>
      <c r="BN49" s="2246"/>
      <c r="BO49" s="2246"/>
      <c r="BP49" s="2246"/>
      <c r="BQ49" s="2246"/>
      <c r="BR49" s="2246"/>
      <c r="BS49" s="2244"/>
      <c r="BT49" s="2244"/>
      <c r="BU49" s="2244"/>
      <c r="BV49" s="2244"/>
      <c r="BW49" s="2244"/>
      <c r="BX49" s="2246"/>
      <c r="BY49" s="2246"/>
      <c r="BZ49" s="2246"/>
      <c r="CA49" s="2246"/>
      <c r="CB49" s="2246"/>
      <c r="CC49" s="2246"/>
      <c r="CD49" s="2246"/>
      <c r="CE49" s="2246"/>
      <c r="CF49" s="2246"/>
      <c r="CG49" s="2246"/>
      <c r="CH49" s="2246"/>
      <c r="CI49" s="2246"/>
      <c r="CJ49" s="2246"/>
      <c r="CK49" s="2246"/>
      <c r="CL49" s="2246"/>
      <c r="CM49" s="2246"/>
      <c r="CN49" s="2246"/>
      <c r="CO49" s="2246"/>
      <c r="CP49" s="2246"/>
      <c r="CQ49" s="2246"/>
      <c r="CR49" s="2246"/>
      <c r="CS49" s="2248"/>
      <c r="CT49" s="2248"/>
      <c r="CU49" s="2248"/>
      <c r="CV49" s="2248"/>
      <c r="CW49" s="2248"/>
      <c r="CX49" s="2248"/>
      <c r="CY49" s="2248"/>
      <c r="CZ49" s="2248"/>
      <c r="DA49" s="2248"/>
      <c r="DB49" s="2248"/>
      <c r="DC49" s="2248"/>
      <c r="DD49" s="2249"/>
      <c r="DE49" s="2249"/>
      <c r="DF49" s="2249"/>
      <c r="DG49" s="2249"/>
      <c r="DH49" s="2249"/>
      <c r="DI49" s="2249"/>
      <c r="DJ49" s="2249"/>
      <c r="DK49" s="2249"/>
      <c r="DL49" s="2249"/>
      <c r="DM49" s="2249"/>
      <c r="DN49" s="2249"/>
      <c r="DO49" s="2249"/>
      <c r="DP49" s="2249"/>
      <c r="DQ49" s="2249"/>
      <c r="DR49" s="2249"/>
      <c r="DS49" s="2249"/>
      <c r="DT49" s="2249"/>
      <c r="DU49" s="2249"/>
      <c r="DV49" s="2249"/>
      <c r="DW49" s="2249"/>
      <c r="DX49" s="2249"/>
      <c r="DY49" s="2249"/>
      <c r="DZ49" s="2249"/>
      <c r="EA49" s="2249"/>
      <c r="EB49" s="2249"/>
      <c r="EC49" s="2249"/>
      <c r="ED49" s="2249"/>
      <c r="EE49" s="2249"/>
      <c r="EF49" s="2248"/>
      <c r="EG49" s="2248"/>
    </row>
    <row r="50" spans="1:137" ht="18.899999999999999" customHeight="1">
      <c r="A50" s="2251" t="s">
        <v>1070</v>
      </c>
      <c r="B50" s="2244" t="s">
        <v>698</v>
      </c>
      <c r="C50" s="2252">
        <f>+D45+E45+F45</f>
        <v>0</v>
      </c>
      <c r="D50" s="2252"/>
      <c r="E50" s="2252"/>
      <c r="F50" s="2252"/>
      <c r="G50" s="2252"/>
      <c r="H50" s="2253" t="s">
        <v>866</v>
      </c>
      <c r="I50" s="2244"/>
      <c r="J50" s="2254"/>
      <c r="K50" s="2246"/>
      <c r="L50" s="2251" t="s">
        <v>1070</v>
      </c>
      <c r="M50" s="2244" t="s">
        <v>698</v>
      </c>
      <c r="N50" s="2244" t="s">
        <v>698</v>
      </c>
      <c r="O50" s="2244"/>
      <c r="P50" s="2255">
        <f>C50*1.02</f>
        <v>0</v>
      </c>
      <c r="Q50" s="2256"/>
      <c r="R50" s="2246" t="s">
        <v>866</v>
      </c>
      <c r="S50" s="2246"/>
      <c r="T50" s="2246"/>
      <c r="U50" s="2246"/>
      <c r="V50" s="2246"/>
      <c r="W50" s="2246"/>
      <c r="X50" s="2246"/>
      <c r="Y50" s="2246"/>
      <c r="Z50" s="2246"/>
      <c r="AA50" s="2246"/>
      <c r="AB50" s="2246"/>
      <c r="AC50" s="2246"/>
      <c r="AD50" s="2246"/>
      <c r="AE50" s="2246"/>
      <c r="AF50" s="2246"/>
      <c r="AG50" s="2246"/>
      <c r="AH50" s="2246"/>
      <c r="AI50" s="2246"/>
      <c r="AJ50" s="2246"/>
      <c r="AK50" s="2246"/>
      <c r="AL50" s="2246"/>
      <c r="AM50" s="2246"/>
      <c r="AN50" s="2246"/>
      <c r="AO50" s="2246"/>
      <c r="AP50" s="2246"/>
      <c r="AQ50" s="2246"/>
      <c r="AR50" s="2246"/>
      <c r="AS50" s="2244"/>
      <c r="AT50" s="2244"/>
      <c r="AU50" s="2244"/>
      <c r="AV50" s="2244"/>
      <c r="AW50" s="2244"/>
      <c r="AX50" s="2244"/>
      <c r="AY50" s="2244"/>
      <c r="AZ50" s="2244"/>
      <c r="BA50" s="2244"/>
      <c r="BB50" s="2244"/>
      <c r="BC50" s="2244"/>
      <c r="BD50" s="2244"/>
      <c r="BE50" s="2244"/>
      <c r="BF50" s="2246"/>
      <c r="BG50" s="2246"/>
      <c r="BH50" s="2246"/>
      <c r="BI50" s="2246"/>
      <c r="BJ50" s="2246"/>
      <c r="BK50" s="2246"/>
      <c r="BL50" s="2246"/>
      <c r="BM50" s="2246"/>
      <c r="BN50" s="2246"/>
      <c r="BO50" s="2246"/>
      <c r="BP50" s="2246"/>
      <c r="BQ50" s="2246"/>
      <c r="BR50" s="2246"/>
      <c r="BS50" s="2244"/>
      <c r="BT50" s="2244"/>
      <c r="BU50" s="2244"/>
      <c r="BV50" s="2244"/>
      <c r="BW50" s="2244"/>
      <c r="BX50" s="2246"/>
      <c r="BY50" s="2246"/>
      <c r="BZ50" s="2246"/>
      <c r="CA50" s="2246"/>
      <c r="CB50" s="2246"/>
      <c r="CC50" s="2246"/>
      <c r="CD50" s="2246"/>
      <c r="CE50" s="2246"/>
      <c r="CF50" s="2246"/>
      <c r="CG50" s="2246"/>
      <c r="CH50" s="2246"/>
      <c r="CI50" s="2246"/>
      <c r="CJ50" s="2246"/>
      <c r="CK50" s="2246"/>
      <c r="CL50" s="2246"/>
      <c r="CM50" s="2246"/>
      <c r="CN50" s="2246"/>
      <c r="CO50" s="2246"/>
      <c r="CP50" s="2246"/>
      <c r="CQ50" s="2246"/>
      <c r="CR50" s="2246"/>
      <c r="CS50" s="2248"/>
      <c r="CT50" s="2248"/>
      <c r="CU50" s="2248"/>
      <c r="CV50" s="2248"/>
      <c r="CW50" s="2248"/>
      <c r="CX50" s="2248"/>
      <c r="CY50" s="2248"/>
      <c r="CZ50" s="2248"/>
      <c r="DA50" s="2248"/>
      <c r="DB50" s="2248"/>
      <c r="DC50" s="2248"/>
      <c r="DD50" s="2249"/>
      <c r="DE50" s="2249"/>
      <c r="DF50" s="2249"/>
      <c r="DG50" s="2249"/>
      <c r="DH50" s="2249"/>
      <c r="DI50" s="2249"/>
      <c r="DJ50" s="2249"/>
      <c r="DK50" s="2249"/>
      <c r="DL50" s="2249"/>
      <c r="DM50" s="2249"/>
      <c r="DN50" s="2249"/>
      <c r="DO50" s="2249"/>
      <c r="DP50" s="2249"/>
      <c r="DQ50" s="2249"/>
      <c r="DR50" s="2249"/>
      <c r="DS50" s="2249"/>
      <c r="DT50" s="2249"/>
      <c r="DU50" s="2249"/>
      <c r="DV50" s="2249"/>
      <c r="DW50" s="2249"/>
      <c r="DX50" s="2249"/>
      <c r="DY50" s="2249"/>
      <c r="DZ50" s="2249"/>
      <c r="EA50" s="2249"/>
      <c r="EB50" s="2249"/>
      <c r="EC50" s="2249"/>
      <c r="ED50" s="2249"/>
      <c r="EE50" s="2249"/>
      <c r="EF50" s="2248"/>
      <c r="EG50" s="2248"/>
    </row>
    <row r="51" spans="1:137" ht="18.899999999999999" customHeight="1">
      <c r="A51" s="2251" t="s">
        <v>2069</v>
      </c>
      <c r="B51" s="2244" t="s">
        <v>698</v>
      </c>
      <c r="C51" s="2252"/>
      <c r="D51" s="2252"/>
      <c r="E51" s="2252"/>
      <c r="F51" s="2252"/>
      <c r="G51" s="2252"/>
      <c r="H51" s="2253" t="s">
        <v>866</v>
      </c>
      <c r="I51" s="2244"/>
      <c r="J51" s="2254"/>
      <c r="K51" s="2246"/>
      <c r="L51" s="2251" t="s">
        <v>2069</v>
      </c>
      <c r="M51" s="2244" t="s">
        <v>698</v>
      </c>
      <c r="N51" s="2244" t="s">
        <v>698</v>
      </c>
      <c r="O51" s="2244"/>
      <c r="P51" s="2255">
        <f t="shared" ref="P51:P61" si="16">C51*1.03</f>
        <v>0</v>
      </c>
      <c r="Q51" s="2256"/>
      <c r="R51" s="2246" t="s">
        <v>866</v>
      </c>
      <c r="S51" s="2246"/>
      <c r="T51" s="2246"/>
      <c r="U51" s="2246"/>
      <c r="V51" s="2246"/>
      <c r="W51" s="2246"/>
      <c r="X51" s="2246"/>
      <c r="Y51" s="2246"/>
      <c r="Z51" s="2246"/>
      <c r="AA51" s="2246"/>
      <c r="AB51" s="2246"/>
      <c r="AC51" s="2246"/>
      <c r="AD51" s="2246"/>
      <c r="AE51" s="2246"/>
      <c r="AF51" s="2246"/>
      <c r="AG51" s="2246"/>
      <c r="AH51" s="2246"/>
      <c r="AI51" s="2246"/>
      <c r="AJ51" s="2246"/>
      <c r="AK51" s="2246"/>
      <c r="AL51" s="2246"/>
      <c r="AM51" s="2246"/>
      <c r="AN51" s="2246"/>
      <c r="AO51" s="2246"/>
      <c r="AP51" s="2246"/>
      <c r="AQ51" s="2246"/>
      <c r="AR51" s="2246"/>
      <c r="AS51" s="2244"/>
      <c r="AT51" s="2244"/>
      <c r="AU51" s="2244"/>
      <c r="AV51" s="2244"/>
      <c r="AW51" s="2244"/>
      <c r="AX51" s="2244"/>
      <c r="AY51" s="2244"/>
      <c r="AZ51" s="2244"/>
      <c r="BA51" s="2244"/>
      <c r="BB51" s="2244"/>
      <c r="BC51" s="2244"/>
      <c r="BD51" s="2244"/>
      <c r="BE51" s="2244"/>
      <c r="BF51" s="2246"/>
      <c r="BG51" s="2246"/>
      <c r="BH51" s="2246"/>
      <c r="BI51" s="2246"/>
      <c r="BJ51" s="2246"/>
      <c r="BK51" s="2246"/>
      <c r="BL51" s="2246"/>
      <c r="BM51" s="2246"/>
      <c r="BN51" s="2246"/>
      <c r="BO51" s="2246"/>
      <c r="BP51" s="2246"/>
      <c r="BQ51" s="2246"/>
      <c r="BR51" s="2246"/>
      <c r="BS51" s="2244"/>
      <c r="BT51" s="2244"/>
      <c r="BU51" s="2244"/>
      <c r="BV51" s="2244"/>
      <c r="BW51" s="2244"/>
      <c r="BX51" s="2246"/>
      <c r="BY51" s="2246"/>
      <c r="BZ51" s="2246"/>
      <c r="CA51" s="2246"/>
      <c r="CB51" s="2246"/>
      <c r="CC51" s="2246"/>
      <c r="CD51" s="2246"/>
      <c r="CE51" s="2246"/>
      <c r="CF51" s="2246"/>
      <c r="CG51" s="2246"/>
      <c r="CH51" s="2246"/>
      <c r="CI51" s="2246"/>
      <c r="CJ51" s="2246"/>
      <c r="CK51" s="2246"/>
      <c r="CL51" s="2246"/>
      <c r="CM51" s="2246"/>
      <c r="CN51" s="2246"/>
      <c r="CO51" s="2246"/>
      <c r="CP51" s="2246"/>
      <c r="CQ51" s="2246"/>
      <c r="CR51" s="2246"/>
      <c r="CS51" s="2248"/>
      <c r="CT51" s="2248"/>
      <c r="CU51" s="2248"/>
      <c r="CV51" s="2248"/>
      <c r="CW51" s="2248"/>
      <c r="CX51" s="2248"/>
      <c r="CY51" s="2248"/>
      <c r="CZ51" s="2248"/>
      <c r="DA51" s="2248"/>
      <c r="DB51" s="2248"/>
      <c r="DC51" s="2248"/>
      <c r="DD51" s="2249"/>
      <c r="DE51" s="2249"/>
      <c r="DF51" s="2249"/>
      <c r="DG51" s="2249"/>
      <c r="DH51" s="2249"/>
      <c r="DI51" s="2249"/>
      <c r="DJ51" s="2249"/>
      <c r="DK51" s="2249"/>
      <c r="DL51" s="2249"/>
      <c r="DM51" s="2249"/>
      <c r="DN51" s="2249"/>
      <c r="DO51" s="2249"/>
      <c r="DP51" s="2249"/>
      <c r="DQ51" s="2249"/>
      <c r="DR51" s="2249"/>
      <c r="DS51" s="2249"/>
      <c r="DT51" s="2249"/>
      <c r="DU51" s="2249"/>
      <c r="DV51" s="2249"/>
      <c r="DW51" s="2249"/>
      <c r="DX51" s="2249"/>
      <c r="DY51" s="2249"/>
      <c r="DZ51" s="2249"/>
      <c r="EA51" s="2249"/>
      <c r="EB51" s="2249"/>
      <c r="EC51" s="2249"/>
      <c r="ED51" s="2249"/>
      <c r="EE51" s="2249"/>
      <c r="EF51" s="2248"/>
      <c r="EG51" s="2248"/>
    </row>
    <row r="52" spans="1:137" ht="18.899999999999999" customHeight="1">
      <c r="A52" s="2251" t="s">
        <v>876</v>
      </c>
      <c r="B52" s="2244" t="s">
        <v>698</v>
      </c>
      <c r="C52" s="2252"/>
      <c r="D52" s="2252"/>
      <c r="E52" s="2252"/>
      <c r="F52" s="2252"/>
      <c r="G52" s="2252"/>
      <c r="H52" s="2253" t="s">
        <v>866</v>
      </c>
      <c r="I52" s="2244"/>
      <c r="J52" s="2254"/>
      <c r="K52" s="2246"/>
      <c r="L52" s="2251" t="s">
        <v>876</v>
      </c>
      <c r="M52" s="2244" t="s">
        <v>698</v>
      </c>
      <c r="N52" s="2244" t="s">
        <v>698</v>
      </c>
      <c r="O52" s="2244"/>
      <c r="P52" s="2257">
        <f t="shared" si="16"/>
        <v>0</v>
      </c>
      <c r="Q52" s="2258"/>
      <c r="R52" s="2246" t="s">
        <v>866</v>
      </c>
      <c r="S52" s="2246"/>
      <c r="T52" s="2246"/>
      <c r="U52" s="2246"/>
      <c r="V52" s="2246"/>
      <c r="W52" s="2246"/>
      <c r="X52" s="2246"/>
      <c r="Y52" s="2246"/>
      <c r="Z52" s="2246"/>
      <c r="AA52" s="2246"/>
      <c r="AB52" s="2246"/>
      <c r="AC52" s="2246"/>
      <c r="AD52" s="2246"/>
      <c r="AE52" s="2246"/>
      <c r="AF52" s="2246"/>
      <c r="AG52" s="2246"/>
      <c r="AH52" s="2246"/>
      <c r="AI52" s="2246"/>
      <c r="AJ52" s="2246"/>
      <c r="AK52" s="2246"/>
      <c r="AL52" s="2246"/>
      <c r="AM52" s="2246"/>
      <c r="AN52" s="2246"/>
      <c r="AO52" s="2246"/>
      <c r="AP52" s="2246"/>
      <c r="AQ52" s="2246"/>
      <c r="AR52" s="2246"/>
      <c r="AS52" s="2244"/>
      <c r="AT52" s="2244"/>
      <c r="AU52" s="2244"/>
      <c r="AV52" s="2244"/>
      <c r="AW52" s="2244"/>
      <c r="AX52" s="2244"/>
      <c r="AY52" s="2244"/>
      <c r="AZ52" s="2244"/>
      <c r="BA52" s="2244"/>
      <c r="BB52" s="2244"/>
      <c r="BC52" s="2244"/>
      <c r="BD52" s="2244"/>
      <c r="BE52" s="2244"/>
      <c r="BF52" s="2246"/>
      <c r="BG52" s="2246"/>
      <c r="BH52" s="2246"/>
      <c r="BI52" s="2246"/>
      <c r="BJ52" s="2246"/>
      <c r="BK52" s="2246"/>
      <c r="BL52" s="2246"/>
      <c r="BM52" s="2246"/>
      <c r="BN52" s="2246"/>
      <c r="BO52" s="2246"/>
      <c r="BP52" s="2246"/>
      <c r="BQ52" s="2246"/>
      <c r="BR52" s="2246"/>
      <c r="BS52" s="2244"/>
      <c r="BT52" s="2244"/>
      <c r="BU52" s="2244"/>
      <c r="BV52" s="2244"/>
      <c r="BW52" s="2244"/>
      <c r="BX52" s="2246"/>
      <c r="BY52" s="2246"/>
      <c r="BZ52" s="2246"/>
      <c r="CA52" s="2246"/>
      <c r="CB52" s="2246"/>
      <c r="CC52" s="2246"/>
      <c r="CD52" s="2246"/>
      <c r="CE52" s="2246"/>
      <c r="CF52" s="2246"/>
      <c r="CG52" s="2246"/>
      <c r="CH52" s="2246"/>
      <c r="CI52" s="2246"/>
      <c r="CJ52" s="2246"/>
      <c r="CK52" s="2246"/>
      <c r="CL52" s="2246"/>
      <c r="CM52" s="2246"/>
      <c r="CN52" s="2246"/>
      <c r="CO52" s="2246"/>
      <c r="CP52" s="2246"/>
      <c r="CQ52" s="2246"/>
      <c r="CR52" s="2246"/>
      <c r="CS52" s="2248"/>
      <c r="CT52" s="2248"/>
      <c r="CU52" s="2248"/>
      <c r="CV52" s="2248"/>
      <c r="CW52" s="2248"/>
      <c r="CX52" s="2248"/>
      <c r="CY52" s="2248"/>
      <c r="CZ52" s="2248"/>
      <c r="DA52" s="2248"/>
      <c r="DB52" s="2248"/>
      <c r="DC52" s="2248"/>
      <c r="DD52" s="2249"/>
      <c r="DE52" s="2249"/>
      <c r="DF52" s="2249"/>
      <c r="DG52" s="2249"/>
      <c r="DH52" s="2249"/>
      <c r="DI52" s="2249"/>
      <c r="DJ52" s="2249"/>
      <c r="DK52" s="2249"/>
      <c r="DL52" s="2249"/>
      <c r="DM52" s="2249"/>
      <c r="DN52" s="2249"/>
      <c r="DO52" s="2249"/>
      <c r="DP52" s="2249"/>
      <c r="DQ52" s="2249"/>
      <c r="DR52" s="2249"/>
      <c r="DS52" s="2249"/>
      <c r="DT52" s="2249"/>
      <c r="DU52" s="2249"/>
      <c r="DV52" s="2249"/>
      <c r="DW52" s="2249"/>
      <c r="DX52" s="2249"/>
      <c r="DY52" s="2249"/>
      <c r="DZ52" s="2249"/>
      <c r="EA52" s="2249"/>
      <c r="EB52" s="2249"/>
      <c r="EC52" s="2249"/>
      <c r="ED52" s="2249"/>
      <c r="EE52" s="2249"/>
      <c r="EF52" s="2248"/>
      <c r="EG52" s="2248"/>
    </row>
    <row r="53" spans="1:137" ht="18.899999999999999" customHeight="1">
      <c r="A53" s="2251" t="s">
        <v>472</v>
      </c>
      <c r="B53" s="2244" t="s">
        <v>698</v>
      </c>
      <c r="C53" s="2252"/>
      <c r="D53" s="2252"/>
      <c r="E53" s="2252"/>
      <c r="F53" s="2252"/>
      <c r="G53" s="2252"/>
      <c r="H53" s="2253" t="s">
        <v>866</v>
      </c>
      <c r="I53" s="2244"/>
      <c r="J53" s="2254"/>
      <c r="K53" s="2246"/>
      <c r="L53" s="2251" t="s">
        <v>472</v>
      </c>
      <c r="M53" s="2244" t="s">
        <v>698</v>
      </c>
      <c r="N53" s="2244" t="s">
        <v>698</v>
      </c>
      <c r="O53" s="2244"/>
      <c r="P53" s="2257">
        <f t="shared" si="16"/>
        <v>0</v>
      </c>
      <c r="Q53" s="2258"/>
      <c r="R53" s="2246" t="s">
        <v>866</v>
      </c>
      <c r="S53" s="2246"/>
      <c r="T53" s="2246"/>
      <c r="U53" s="2246"/>
      <c r="V53" s="2246"/>
      <c r="W53" s="2246"/>
      <c r="X53" s="2246"/>
      <c r="Y53" s="2246"/>
      <c r="Z53" s="2246"/>
      <c r="AA53" s="2246"/>
      <c r="AB53" s="2246"/>
      <c r="AC53" s="2246"/>
      <c r="AD53" s="2246"/>
      <c r="AE53" s="2246"/>
      <c r="AF53" s="2246"/>
      <c r="AG53" s="2246"/>
      <c r="AH53" s="2246"/>
      <c r="AI53" s="2246"/>
      <c r="AJ53" s="2246"/>
      <c r="AK53" s="2246"/>
      <c r="AL53" s="2246"/>
      <c r="AM53" s="2246"/>
      <c r="AN53" s="2246"/>
      <c r="AO53" s="2246"/>
      <c r="AP53" s="2246"/>
      <c r="AQ53" s="2246"/>
      <c r="AR53" s="2246"/>
      <c r="AS53" s="2244"/>
      <c r="AT53" s="2244"/>
      <c r="AU53" s="2244"/>
      <c r="AV53" s="2244"/>
      <c r="AW53" s="2244"/>
      <c r="AX53" s="2244"/>
      <c r="AY53" s="2244"/>
      <c r="AZ53" s="2244"/>
      <c r="BA53" s="2244"/>
      <c r="BB53" s="2244"/>
      <c r="BC53" s="2244"/>
      <c r="BD53" s="2244"/>
      <c r="BE53" s="2244"/>
      <c r="BF53" s="2246"/>
      <c r="BG53" s="2246"/>
      <c r="BH53" s="2246"/>
      <c r="BI53" s="2246"/>
      <c r="BJ53" s="2246"/>
      <c r="BK53" s="2246"/>
      <c r="BL53" s="2246"/>
      <c r="BM53" s="2246"/>
      <c r="BN53" s="2246"/>
      <c r="BO53" s="2246"/>
      <c r="BP53" s="2246"/>
      <c r="BQ53" s="2246"/>
      <c r="BR53" s="2246"/>
      <c r="BS53" s="2244"/>
      <c r="BT53" s="2244"/>
      <c r="BU53" s="2244"/>
      <c r="BV53" s="2244"/>
      <c r="BW53" s="2244"/>
      <c r="BX53" s="2259"/>
      <c r="BY53" s="2246"/>
      <c r="BZ53" s="2246"/>
      <c r="CA53" s="2246"/>
      <c r="CB53" s="2246"/>
      <c r="CC53" s="2246"/>
      <c r="CD53" s="2246"/>
      <c r="CE53" s="2246"/>
      <c r="CF53" s="2246"/>
      <c r="CG53" s="2246"/>
      <c r="CH53" s="2246"/>
      <c r="CI53" s="2246"/>
      <c r="CJ53" s="2246"/>
      <c r="CK53" s="2246"/>
      <c r="CL53" s="2246"/>
      <c r="CM53" s="2246"/>
      <c r="CN53" s="2246"/>
      <c r="CO53" s="2246"/>
      <c r="CP53" s="2246"/>
      <c r="CQ53" s="2246"/>
      <c r="CR53" s="2246"/>
      <c r="CS53" s="2248"/>
      <c r="CT53" s="2248"/>
      <c r="CU53" s="2248"/>
      <c r="CV53" s="2248"/>
      <c r="CW53" s="2248"/>
      <c r="CX53" s="2248"/>
      <c r="CY53" s="2248"/>
      <c r="CZ53" s="2248"/>
      <c r="DA53" s="2248"/>
      <c r="DB53" s="2248"/>
      <c r="DC53" s="2248"/>
      <c r="DD53" s="2249"/>
      <c r="DE53" s="2249"/>
      <c r="DF53" s="2249"/>
      <c r="DG53" s="2249"/>
      <c r="DH53" s="2249"/>
      <c r="DI53" s="2249"/>
      <c r="DJ53" s="2249"/>
      <c r="DK53" s="2249"/>
      <c r="DL53" s="2249"/>
      <c r="DM53" s="2249"/>
      <c r="DN53" s="2249"/>
      <c r="DO53" s="2249"/>
      <c r="DP53" s="2249"/>
      <c r="DQ53" s="2249"/>
      <c r="DR53" s="2249"/>
      <c r="DS53" s="2249"/>
      <c r="DT53" s="2249"/>
      <c r="DU53" s="2249"/>
      <c r="DV53" s="2249"/>
      <c r="DW53" s="2249"/>
      <c r="DX53" s="2249"/>
      <c r="DY53" s="2249"/>
      <c r="DZ53" s="2249"/>
      <c r="EA53" s="2249"/>
      <c r="EB53" s="2249"/>
      <c r="EC53" s="2249"/>
      <c r="ED53" s="2249"/>
      <c r="EE53" s="2249"/>
      <c r="EF53" s="2248"/>
      <c r="EG53" s="2248"/>
    </row>
    <row r="54" spans="1:137" ht="18.899999999999999" customHeight="1">
      <c r="A54" s="2260" t="s">
        <v>141</v>
      </c>
      <c r="B54" s="2244" t="s">
        <v>698</v>
      </c>
      <c r="C54" s="2252"/>
      <c r="D54" s="2252"/>
      <c r="E54" s="2252"/>
      <c r="F54" s="2252"/>
      <c r="G54" s="2252"/>
      <c r="H54" s="2253" t="s">
        <v>866</v>
      </c>
      <c r="I54" s="2244"/>
      <c r="J54" s="2254"/>
      <c r="K54" s="2246"/>
      <c r="L54" s="2260" t="s">
        <v>141</v>
      </c>
      <c r="M54" s="2244" t="s">
        <v>698</v>
      </c>
      <c r="N54" s="2244" t="s">
        <v>698</v>
      </c>
      <c r="O54" s="2244"/>
      <c r="P54" s="2255">
        <f t="shared" si="16"/>
        <v>0</v>
      </c>
      <c r="Q54" s="2256"/>
      <c r="R54" s="2246" t="s">
        <v>866</v>
      </c>
      <c r="S54" s="2246"/>
      <c r="T54" s="2246"/>
      <c r="U54" s="2246"/>
      <c r="V54" s="2246"/>
      <c r="W54" s="2246"/>
      <c r="X54" s="2246"/>
      <c r="Y54" s="2246"/>
      <c r="Z54" s="2246"/>
      <c r="AA54" s="2246"/>
      <c r="AB54" s="2246"/>
      <c r="AC54" s="2246"/>
      <c r="AD54" s="2246"/>
      <c r="AE54" s="2246"/>
      <c r="AF54" s="2246"/>
      <c r="AG54" s="2246"/>
      <c r="AH54" s="2246"/>
      <c r="AI54" s="2246"/>
      <c r="AJ54" s="2246"/>
      <c r="AK54" s="2246"/>
      <c r="AL54" s="2246"/>
      <c r="AM54" s="2246"/>
      <c r="AN54" s="2246"/>
      <c r="AO54" s="2246"/>
      <c r="AP54" s="2246"/>
      <c r="AQ54" s="2246"/>
      <c r="AR54" s="2246"/>
      <c r="AS54" s="2244"/>
      <c r="AT54" s="2244"/>
      <c r="AU54" s="2244"/>
      <c r="AV54" s="2244"/>
      <c r="AW54" s="2244"/>
      <c r="AX54" s="2244"/>
      <c r="AY54" s="2244"/>
      <c r="AZ54" s="2244"/>
      <c r="BA54" s="2244"/>
      <c r="BB54" s="2244"/>
      <c r="BC54" s="2244"/>
      <c r="BD54" s="2244"/>
      <c r="BE54" s="2244"/>
      <c r="BF54" s="2246"/>
      <c r="BG54" s="2246"/>
      <c r="BH54" s="2246"/>
      <c r="BI54" s="2246"/>
      <c r="BJ54" s="2246"/>
      <c r="BK54" s="2246"/>
      <c r="BL54" s="2246"/>
      <c r="BM54" s="2246"/>
      <c r="BN54" s="2246"/>
      <c r="BO54" s="2246"/>
      <c r="BP54" s="2246"/>
      <c r="BQ54" s="2246"/>
      <c r="BR54" s="2246"/>
      <c r="BS54" s="2244"/>
      <c r="BT54" s="2244"/>
      <c r="BU54" s="2244"/>
      <c r="BV54" s="2244"/>
      <c r="BW54" s="2244"/>
      <c r="BX54" s="2246"/>
      <c r="BY54" s="2246"/>
      <c r="BZ54" s="2246"/>
      <c r="CA54" s="2246"/>
      <c r="CB54" s="2246"/>
      <c r="CC54" s="2246"/>
      <c r="CD54" s="2246"/>
      <c r="CE54" s="2246"/>
      <c r="CF54" s="2246"/>
      <c r="CG54" s="2246"/>
      <c r="CH54" s="2246"/>
      <c r="CI54" s="2246"/>
      <c r="CJ54" s="2246"/>
      <c r="CK54" s="2246"/>
      <c r="CL54" s="2246"/>
      <c r="CM54" s="2246"/>
      <c r="CN54" s="2246"/>
      <c r="CO54" s="2246"/>
      <c r="CP54" s="2246"/>
      <c r="CQ54" s="2246"/>
      <c r="CR54" s="2246"/>
      <c r="CS54" s="2248"/>
      <c r="CT54" s="2248"/>
      <c r="CU54" s="2248"/>
      <c r="CV54" s="2248"/>
      <c r="CW54" s="2248"/>
      <c r="CX54" s="2248"/>
      <c r="CY54" s="2248"/>
      <c r="CZ54" s="2248"/>
      <c r="DA54" s="2248"/>
      <c r="DB54" s="2248"/>
      <c r="DC54" s="2248"/>
      <c r="DD54" s="2249"/>
      <c r="DE54" s="2249"/>
      <c r="DF54" s="2249"/>
      <c r="DG54" s="2249"/>
      <c r="DH54" s="2249"/>
      <c r="DI54" s="2249"/>
      <c r="DJ54" s="2249"/>
      <c r="DK54" s="2249"/>
      <c r="DL54" s="2249"/>
      <c r="DM54" s="2249"/>
      <c r="DN54" s="2249"/>
      <c r="DO54" s="2249"/>
      <c r="DP54" s="2249"/>
      <c r="DQ54" s="2249"/>
      <c r="DR54" s="2249"/>
      <c r="DS54" s="2249"/>
      <c r="DT54" s="2249"/>
      <c r="DU54" s="2249"/>
      <c r="DV54" s="2249"/>
      <c r="DW54" s="2249"/>
      <c r="DX54" s="2249"/>
      <c r="DY54" s="2249"/>
      <c r="DZ54" s="2249"/>
      <c r="EA54" s="2249"/>
      <c r="EB54" s="2249"/>
      <c r="EC54" s="2249"/>
      <c r="ED54" s="2249"/>
      <c r="EE54" s="2249"/>
      <c r="EF54" s="2248"/>
      <c r="EG54" s="2248"/>
    </row>
    <row r="55" spans="1:137" ht="18.899999999999999" customHeight="1">
      <c r="A55" s="2260" t="s">
        <v>142</v>
      </c>
      <c r="B55" s="2244" t="s">
        <v>698</v>
      </c>
      <c r="C55" s="2252"/>
      <c r="D55" s="2252"/>
      <c r="E55" s="2252"/>
      <c r="F55" s="2252"/>
      <c r="G55" s="2252"/>
      <c r="H55" s="2253" t="s">
        <v>866</v>
      </c>
      <c r="I55" s="2244"/>
      <c r="J55" s="2254"/>
      <c r="K55" s="2246"/>
      <c r="L55" s="2260" t="s">
        <v>142</v>
      </c>
      <c r="M55" s="2244" t="s">
        <v>698</v>
      </c>
      <c r="N55" s="2244" t="s">
        <v>698</v>
      </c>
      <c r="O55" s="2244"/>
      <c r="P55" s="2255">
        <f t="shared" si="16"/>
        <v>0</v>
      </c>
      <c r="Q55" s="2256"/>
      <c r="R55" s="2246" t="s">
        <v>866</v>
      </c>
      <c r="S55" s="2246"/>
      <c r="T55" s="2246"/>
      <c r="U55" s="2246"/>
      <c r="V55" s="2246"/>
      <c r="W55" s="2246"/>
      <c r="X55" s="2246"/>
      <c r="Y55" s="2246"/>
      <c r="Z55" s="2246"/>
      <c r="AA55" s="2246"/>
      <c r="AB55" s="2246"/>
      <c r="AC55" s="2246"/>
      <c r="AD55" s="2246"/>
      <c r="AE55" s="2246"/>
      <c r="AF55" s="2246"/>
      <c r="AG55" s="2246"/>
      <c r="AH55" s="2246"/>
      <c r="AI55" s="2246"/>
      <c r="AJ55" s="2246"/>
      <c r="AK55" s="2246"/>
      <c r="AL55" s="2246"/>
      <c r="AM55" s="2246"/>
      <c r="AN55" s="2246"/>
      <c r="AO55" s="2246"/>
      <c r="AP55" s="2246"/>
      <c r="AQ55" s="2246"/>
      <c r="AR55" s="2246"/>
      <c r="AS55" s="2244"/>
      <c r="AT55" s="2244"/>
      <c r="AU55" s="2244"/>
      <c r="AV55" s="2244"/>
      <c r="AW55" s="2244"/>
      <c r="AX55" s="2244"/>
      <c r="AY55" s="2244"/>
      <c r="AZ55" s="2244"/>
      <c r="BA55" s="2244"/>
      <c r="BB55" s="2244"/>
      <c r="BC55" s="2244"/>
      <c r="BD55" s="2244"/>
      <c r="BE55" s="2244"/>
      <c r="BF55" s="2246"/>
      <c r="BG55" s="2246"/>
      <c r="BH55" s="2246"/>
      <c r="BI55" s="2246"/>
      <c r="BJ55" s="2246"/>
      <c r="BK55" s="2246"/>
      <c r="BL55" s="2246"/>
      <c r="BM55" s="2246"/>
      <c r="BN55" s="2246"/>
      <c r="BO55" s="2246"/>
      <c r="BP55" s="2246"/>
      <c r="BQ55" s="2246"/>
      <c r="BR55" s="2246"/>
      <c r="BS55" s="2244"/>
      <c r="BT55" s="2244"/>
      <c r="BU55" s="2244"/>
      <c r="BV55" s="2244"/>
      <c r="BW55" s="2244"/>
      <c r="BX55" s="2259"/>
      <c r="BY55" s="2246"/>
      <c r="BZ55" s="2246"/>
      <c r="CA55" s="2246"/>
      <c r="CB55" s="2246"/>
      <c r="CC55" s="2246"/>
      <c r="CD55" s="2246"/>
      <c r="CE55" s="2246"/>
      <c r="CF55" s="2246"/>
      <c r="CG55" s="2246"/>
      <c r="CH55" s="2246"/>
      <c r="CI55" s="2246"/>
      <c r="CJ55" s="2246"/>
      <c r="CK55" s="2246"/>
      <c r="CL55" s="2246"/>
      <c r="CM55" s="2246"/>
      <c r="CN55" s="2246"/>
      <c r="CO55" s="2246"/>
      <c r="CP55" s="2246"/>
      <c r="CQ55" s="2246"/>
      <c r="CR55" s="2246"/>
      <c r="CS55" s="2248"/>
      <c r="CT55" s="2248"/>
      <c r="CU55" s="2248"/>
      <c r="CV55" s="2248"/>
      <c r="CW55" s="2248"/>
      <c r="CX55" s="2248"/>
      <c r="CY55" s="2248"/>
      <c r="CZ55" s="2248"/>
      <c r="DA55" s="2248"/>
      <c r="DB55" s="2248"/>
      <c r="DC55" s="2248"/>
      <c r="DD55" s="2249"/>
      <c r="DE55" s="2249"/>
      <c r="DF55" s="2249"/>
      <c r="DG55" s="2249"/>
      <c r="DH55" s="2249"/>
      <c r="DI55" s="2249"/>
      <c r="DJ55" s="2249"/>
      <c r="DK55" s="2249"/>
      <c r="DL55" s="2249"/>
      <c r="DM55" s="2249"/>
      <c r="DN55" s="2249"/>
      <c r="DO55" s="2249"/>
      <c r="DP55" s="2249"/>
      <c r="DQ55" s="2249"/>
      <c r="DR55" s="2249"/>
      <c r="DS55" s="2249"/>
      <c r="DT55" s="2249"/>
      <c r="DU55" s="2249"/>
      <c r="DV55" s="2249"/>
      <c r="DW55" s="2249"/>
      <c r="DX55" s="2249"/>
      <c r="DY55" s="2249"/>
      <c r="DZ55" s="2249"/>
      <c r="EA55" s="2249"/>
      <c r="EB55" s="2249"/>
      <c r="EC55" s="2249"/>
      <c r="ED55" s="2249"/>
      <c r="EE55" s="2249"/>
      <c r="EF55" s="2248"/>
      <c r="EG55" s="2248"/>
    </row>
    <row r="56" spans="1:137" ht="18.899999999999999" customHeight="1">
      <c r="A56" s="2260" t="s">
        <v>802</v>
      </c>
      <c r="B56" s="2244" t="s">
        <v>698</v>
      </c>
      <c r="C56" s="2252"/>
      <c r="D56" s="2252"/>
      <c r="E56" s="2252"/>
      <c r="F56" s="2252"/>
      <c r="G56" s="2252"/>
      <c r="H56" s="2253" t="s">
        <v>866</v>
      </c>
      <c r="I56" s="2244"/>
      <c r="J56" s="2254"/>
      <c r="K56" s="2246"/>
      <c r="L56" s="2260" t="s">
        <v>802</v>
      </c>
      <c r="M56" s="2244" t="s">
        <v>698</v>
      </c>
      <c r="N56" s="2244" t="s">
        <v>698</v>
      </c>
      <c r="O56" s="2244"/>
      <c r="P56" s="2255">
        <f t="shared" si="16"/>
        <v>0</v>
      </c>
      <c r="Q56" s="2256"/>
      <c r="R56" s="2246" t="s">
        <v>866</v>
      </c>
      <c r="S56" s="2246"/>
      <c r="T56" s="2246"/>
      <c r="U56" s="2246"/>
      <c r="V56" s="2246"/>
      <c r="W56" s="2246"/>
      <c r="X56" s="2246"/>
      <c r="Y56" s="2246"/>
      <c r="Z56" s="2246"/>
      <c r="AA56" s="2246"/>
      <c r="AB56" s="2246"/>
      <c r="AC56" s="2246"/>
      <c r="AD56" s="2246"/>
      <c r="AE56" s="2246"/>
      <c r="AF56" s="2246"/>
      <c r="AG56" s="2246"/>
      <c r="AH56" s="2246"/>
      <c r="AI56" s="2246"/>
      <c r="AJ56" s="2246"/>
      <c r="AK56" s="2246"/>
      <c r="AL56" s="2246"/>
      <c r="AM56" s="2246"/>
      <c r="AN56" s="2246"/>
      <c r="AO56" s="2246"/>
      <c r="AP56" s="2246"/>
      <c r="AQ56" s="2246"/>
      <c r="AR56" s="2246"/>
      <c r="AS56" s="2244"/>
      <c r="AT56" s="2244"/>
      <c r="AU56" s="2244"/>
      <c r="AV56" s="2244"/>
      <c r="AW56" s="2244"/>
      <c r="AX56" s="2244"/>
      <c r="AY56" s="2244"/>
      <c r="AZ56" s="2244"/>
      <c r="BA56" s="2244"/>
      <c r="BB56" s="2244"/>
      <c r="BC56" s="2244"/>
      <c r="BD56" s="2244"/>
      <c r="BE56" s="2244"/>
      <c r="BF56" s="2246"/>
      <c r="BG56" s="2246"/>
      <c r="BH56" s="2246"/>
      <c r="BI56" s="2246"/>
      <c r="BJ56" s="2246"/>
      <c r="BK56" s="2246"/>
      <c r="BL56" s="2246"/>
      <c r="BM56" s="2246"/>
      <c r="BN56" s="2246"/>
      <c r="BO56" s="2246"/>
      <c r="BP56" s="2246"/>
      <c r="BQ56" s="2246"/>
      <c r="BR56" s="2246"/>
      <c r="BS56" s="2244"/>
      <c r="BT56" s="2244"/>
      <c r="BU56" s="2244"/>
      <c r="BV56" s="2244"/>
      <c r="BW56" s="2244"/>
      <c r="BX56" s="2246"/>
      <c r="BY56" s="2246"/>
      <c r="BZ56" s="2246"/>
      <c r="CA56" s="2246"/>
      <c r="CB56" s="2246"/>
      <c r="CC56" s="2246"/>
      <c r="CD56" s="2246"/>
      <c r="CE56" s="2246"/>
      <c r="CF56" s="2246"/>
      <c r="CG56" s="2246"/>
      <c r="CH56" s="2246"/>
      <c r="CI56" s="2246"/>
      <c r="CJ56" s="2246"/>
      <c r="CK56" s="2246"/>
      <c r="CL56" s="2246"/>
      <c r="CM56" s="2246"/>
      <c r="CN56" s="2246"/>
      <c r="CO56" s="2246"/>
      <c r="CP56" s="2246"/>
      <c r="CQ56" s="2246"/>
      <c r="CR56" s="2246"/>
      <c r="CS56" s="2248"/>
      <c r="CT56" s="2248"/>
      <c r="CU56" s="2248"/>
      <c r="CV56" s="2248"/>
      <c r="CW56" s="2248"/>
      <c r="CX56" s="2248"/>
      <c r="CY56" s="2248"/>
      <c r="CZ56" s="2248"/>
      <c r="DA56" s="2248"/>
      <c r="DB56" s="2248"/>
      <c r="DC56" s="2248"/>
      <c r="DD56" s="2249"/>
      <c r="DE56" s="2249"/>
      <c r="DF56" s="2249"/>
      <c r="DG56" s="2249"/>
      <c r="DH56" s="2249"/>
      <c r="DI56" s="2249"/>
      <c r="DJ56" s="2249"/>
      <c r="DK56" s="2249"/>
      <c r="DL56" s="2249"/>
      <c r="DM56" s="2249"/>
      <c r="DN56" s="2249"/>
      <c r="DO56" s="2249"/>
      <c r="DP56" s="2249"/>
      <c r="DQ56" s="2249"/>
      <c r="DR56" s="2249"/>
      <c r="DS56" s="2249"/>
      <c r="DT56" s="2249"/>
      <c r="DU56" s="2249"/>
      <c r="DV56" s="2249"/>
      <c r="DW56" s="2249"/>
      <c r="DX56" s="2249"/>
      <c r="DY56" s="2249"/>
      <c r="DZ56" s="2249"/>
      <c r="EA56" s="2249"/>
      <c r="EB56" s="2249"/>
      <c r="EC56" s="2249"/>
      <c r="ED56" s="2249"/>
      <c r="EE56" s="2249"/>
      <c r="EF56" s="2248"/>
      <c r="EG56" s="2248"/>
    </row>
    <row r="57" spans="1:137" ht="18.899999999999999" customHeight="1">
      <c r="A57" s="2260" t="s">
        <v>1668</v>
      </c>
      <c r="B57" s="2244" t="s">
        <v>698</v>
      </c>
      <c r="C57" s="2252"/>
      <c r="D57" s="2252"/>
      <c r="E57" s="2252"/>
      <c r="F57" s="2252"/>
      <c r="G57" s="2252"/>
      <c r="H57" s="2253" t="s">
        <v>866</v>
      </c>
      <c r="I57" s="2244"/>
      <c r="J57" s="2254"/>
      <c r="K57" s="2246"/>
      <c r="L57" s="2260" t="s">
        <v>1668</v>
      </c>
      <c r="M57" s="2244" t="s">
        <v>698</v>
      </c>
      <c r="N57" s="2244" t="s">
        <v>698</v>
      </c>
      <c r="O57" s="2244"/>
      <c r="P57" s="2255">
        <f t="shared" si="16"/>
        <v>0</v>
      </c>
      <c r="Q57" s="2256"/>
      <c r="R57" s="2246" t="s">
        <v>866</v>
      </c>
      <c r="S57" s="2246"/>
      <c r="T57" s="2246"/>
      <c r="U57" s="2246"/>
      <c r="V57" s="2246"/>
      <c r="W57" s="2246"/>
      <c r="X57" s="2246"/>
      <c r="Y57" s="2246"/>
      <c r="Z57" s="2246"/>
      <c r="AA57" s="2246"/>
      <c r="AB57" s="2246"/>
      <c r="AC57" s="2246"/>
      <c r="AD57" s="2246"/>
      <c r="AE57" s="2246"/>
      <c r="AF57" s="2246"/>
      <c r="AG57" s="2246"/>
      <c r="AH57" s="2246"/>
      <c r="AI57" s="2246"/>
      <c r="AJ57" s="2246"/>
      <c r="AK57" s="2246"/>
      <c r="AL57" s="2246"/>
      <c r="AM57" s="2246"/>
      <c r="AN57" s="2246"/>
      <c r="AO57" s="2246"/>
      <c r="AP57" s="2246"/>
      <c r="AQ57" s="2246"/>
      <c r="AR57" s="2246"/>
      <c r="AS57" s="2244"/>
      <c r="AT57" s="2244"/>
      <c r="AU57" s="2244"/>
      <c r="AV57" s="2244"/>
      <c r="AW57" s="2244"/>
      <c r="AX57" s="2244"/>
      <c r="AY57" s="2244"/>
      <c r="AZ57" s="2244"/>
      <c r="BA57" s="2244"/>
      <c r="BB57" s="2244"/>
      <c r="BC57" s="2244"/>
      <c r="BD57" s="2244"/>
      <c r="BE57" s="2244"/>
      <c r="BF57" s="2246"/>
      <c r="BG57" s="2246"/>
      <c r="BH57" s="2246"/>
      <c r="BI57" s="2246"/>
      <c r="BJ57" s="2246"/>
      <c r="BK57" s="2246"/>
      <c r="BL57" s="2246"/>
      <c r="BM57" s="2246"/>
      <c r="BN57" s="2246"/>
      <c r="BO57" s="2246"/>
      <c r="BP57" s="2246"/>
      <c r="BQ57" s="2246"/>
      <c r="BR57" s="2246"/>
      <c r="BS57" s="2244"/>
      <c r="BT57" s="2244"/>
      <c r="BU57" s="2244"/>
      <c r="BV57" s="2244"/>
      <c r="BW57" s="2244"/>
      <c r="BX57" s="2259"/>
      <c r="BY57" s="2246"/>
      <c r="BZ57" s="2246"/>
      <c r="CA57" s="2246"/>
      <c r="CB57" s="2246"/>
      <c r="CC57" s="2246"/>
      <c r="CD57" s="2246"/>
      <c r="CE57" s="2246"/>
      <c r="CF57" s="2246"/>
      <c r="CG57" s="2246"/>
      <c r="CH57" s="2246"/>
      <c r="CI57" s="2246"/>
      <c r="CJ57" s="2246"/>
      <c r="CK57" s="2246"/>
      <c r="CL57" s="2246"/>
      <c r="CM57" s="2246"/>
      <c r="CN57" s="2246"/>
      <c r="CO57" s="2246"/>
      <c r="CP57" s="2246"/>
      <c r="CQ57" s="2246"/>
      <c r="CR57" s="2246"/>
      <c r="CS57" s="2248"/>
      <c r="CT57" s="2248"/>
      <c r="CU57" s="2248"/>
      <c r="CV57" s="2248"/>
      <c r="CW57" s="2248"/>
      <c r="CX57" s="2248"/>
      <c r="CY57" s="2248"/>
      <c r="CZ57" s="2248"/>
      <c r="DA57" s="2248"/>
      <c r="DB57" s="2248"/>
      <c r="DC57" s="2248"/>
      <c r="DD57" s="2249"/>
      <c r="DE57" s="2249"/>
      <c r="DF57" s="2249"/>
      <c r="DG57" s="2249"/>
      <c r="DH57" s="2249"/>
      <c r="DI57" s="2249"/>
      <c r="DJ57" s="2249"/>
      <c r="DK57" s="2249"/>
      <c r="DL57" s="2249"/>
      <c r="DM57" s="2249"/>
      <c r="DN57" s="2249"/>
      <c r="DO57" s="2249"/>
      <c r="DP57" s="2249"/>
      <c r="DQ57" s="2249"/>
      <c r="DR57" s="2249"/>
      <c r="DS57" s="2249"/>
      <c r="DT57" s="2249"/>
      <c r="DU57" s="2249"/>
      <c r="DV57" s="2249"/>
      <c r="DW57" s="2249"/>
      <c r="DX57" s="2249"/>
      <c r="DY57" s="2249"/>
      <c r="DZ57" s="2249"/>
      <c r="EA57" s="2249"/>
      <c r="EB57" s="2249"/>
      <c r="EC57" s="2249"/>
      <c r="ED57" s="2249"/>
      <c r="EE57" s="2249"/>
      <c r="EF57" s="2248"/>
      <c r="EG57" s="2248"/>
    </row>
    <row r="58" spans="1:137" ht="18.899999999999999" customHeight="1">
      <c r="A58" s="2260" t="s">
        <v>189</v>
      </c>
      <c r="B58" s="2244" t="s">
        <v>698</v>
      </c>
      <c r="C58" s="2252"/>
      <c r="D58" s="2252"/>
      <c r="E58" s="2252"/>
      <c r="F58" s="2252"/>
      <c r="G58" s="2252"/>
      <c r="H58" s="2253" t="s">
        <v>866</v>
      </c>
      <c r="I58" s="2244"/>
      <c r="J58" s="2254"/>
      <c r="K58" s="2246"/>
      <c r="L58" s="2260" t="s">
        <v>189</v>
      </c>
      <c r="M58" s="2244" t="s">
        <v>698</v>
      </c>
      <c r="N58" s="2244" t="s">
        <v>698</v>
      </c>
      <c r="O58" s="2244"/>
      <c r="P58" s="2255">
        <f t="shared" si="16"/>
        <v>0</v>
      </c>
      <c r="Q58" s="2256"/>
      <c r="R58" s="2246" t="s">
        <v>866</v>
      </c>
      <c r="S58" s="2246"/>
      <c r="T58" s="2246"/>
      <c r="U58" s="2246"/>
      <c r="V58" s="2246"/>
      <c r="W58" s="2246"/>
      <c r="X58" s="2246"/>
      <c r="Y58" s="2246"/>
      <c r="Z58" s="2246"/>
      <c r="AA58" s="2246"/>
      <c r="AB58" s="2246"/>
      <c r="AC58" s="2246"/>
      <c r="AD58" s="2246"/>
      <c r="AE58" s="2246"/>
      <c r="AF58" s="2246"/>
      <c r="AG58" s="2246"/>
      <c r="AH58" s="2246"/>
      <c r="AI58" s="2246"/>
      <c r="AJ58" s="2246"/>
      <c r="AK58" s="2246"/>
      <c r="AL58" s="2246"/>
      <c r="AM58" s="2246"/>
      <c r="AN58" s="2246"/>
      <c r="AO58" s="2246"/>
      <c r="AP58" s="2246"/>
      <c r="AQ58" s="2246"/>
      <c r="AR58" s="2246"/>
      <c r="AS58" s="2244"/>
      <c r="AT58" s="2244"/>
      <c r="AU58" s="2244"/>
      <c r="AV58" s="2244"/>
      <c r="AW58" s="2244"/>
      <c r="AX58" s="2244"/>
      <c r="AY58" s="2244"/>
      <c r="AZ58" s="2244"/>
      <c r="BA58" s="2244"/>
      <c r="BB58" s="2244"/>
      <c r="BC58" s="2244"/>
      <c r="BD58" s="2244"/>
      <c r="BE58" s="2244"/>
      <c r="BF58" s="2246"/>
      <c r="BG58" s="2246"/>
      <c r="BH58" s="2246"/>
      <c r="BI58" s="2246"/>
      <c r="BJ58" s="2246"/>
      <c r="BK58" s="2246"/>
      <c r="BL58" s="2246"/>
      <c r="BM58" s="2246"/>
      <c r="BN58" s="2246"/>
      <c r="BO58" s="2246"/>
      <c r="BP58" s="2246"/>
      <c r="BQ58" s="2246"/>
      <c r="BR58" s="2246"/>
      <c r="BS58" s="2244"/>
      <c r="BT58" s="2244"/>
      <c r="BU58" s="2244"/>
      <c r="BV58" s="2244"/>
      <c r="BW58" s="2244"/>
      <c r="BX58" s="2246"/>
      <c r="BY58" s="2246"/>
      <c r="BZ58" s="2246"/>
      <c r="CA58" s="2246"/>
      <c r="CB58" s="2246"/>
      <c r="CC58" s="2246"/>
      <c r="CD58" s="2246"/>
      <c r="CE58" s="2246"/>
      <c r="CF58" s="2246"/>
      <c r="CG58" s="2246"/>
      <c r="CH58" s="2246"/>
      <c r="CI58" s="2246"/>
      <c r="CJ58" s="2246"/>
      <c r="CK58" s="2246"/>
      <c r="CL58" s="2246"/>
      <c r="CM58" s="2246"/>
      <c r="CN58" s="2246"/>
      <c r="CO58" s="2246"/>
      <c r="CP58" s="2246"/>
      <c r="CQ58" s="2246"/>
      <c r="CR58" s="2246"/>
      <c r="CS58" s="2248"/>
      <c r="CT58" s="2248"/>
      <c r="CU58" s="2248"/>
      <c r="CV58" s="2248"/>
      <c r="CW58" s="2248"/>
      <c r="CX58" s="2248"/>
      <c r="CY58" s="2248"/>
      <c r="CZ58" s="2248"/>
      <c r="DA58" s="2248"/>
      <c r="DB58" s="2248"/>
      <c r="DC58" s="2248"/>
      <c r="DD58" s="2249"/>
      <c r="DE58" s="2249"/>
      <c r="DF58" s="2249"/>
      <c r="DG58" s="2249"/>
      <c r="DH58" s="2249"/>
      <c r="DI58" s="2249"/>
      <c r="DJ58" s="2249"/>
      <c r="DK58" s="2249"/>
      <c r="DL58" s="2249"/>
      <c r="DM58" s="2249"/>
      <c r="DN58" s="2249"/>
      <c r="DO58" s="2249"/>
      <c r="DP58" s="2249"/>
      <c r="DQ58" s="2249"/>
      <c r="DR58" s="2249"/>
      <c r="DS58" s="2249"/>
      <c r="DT58" s="2249"/>
      <c r="DU58" s="2249"/>
      <c r="DV58" s="2249"/>
      <c r="DW58" s="2249"/>
      <c r="DX58" s="2249"/>
      <c r="DY58" s="2249"/>
      <c r="DZ58" s="2249"/>
      <c r="EA58" s="2249"/>
      <c r="EB58" s="2249"/>
      <c r="EC58" s="2249"/>
      <c r="ED58" s="2249"/>
      <c r="EE58" s="2249"/>
      <c r="EF58" s="2248"/>
      <c r="EG58" s="2248"/>
    </row>
    <row r="59" spans="1:137" ht="18.899999999999999" customHeight="1">
      <c r="A59" s="2260" t="s">
        <v>2068</v>
      </c>
      <c r="B59" s="2244" t="s">
        <v>698</v>
      </c>
      <c r="C59" s="2252"/>
      <c r="D59" s="2252"/>
      <c r="E59" s="2252"/>
      <c r="F59" s="2252"/>
      <c r="G59" s="2252"/>
      <c r="H59" s="2253" t="s">
        <v>866</v>
      </c>
      <c r="I59" s="2244"/>
      <c r="J59" s="2254"/>
      <c r="K59" s="2246"/>
      <c r="L59" s="2260" t="s">
        <v>2068</v>
      </c>
      <c r="M59" s="2244" t="s">
        <v>698</v>
      </c>
      <c r="N59" s="2244" t="s">
        <v>698</v>
      </c>
      <c r="O59" s="2244"/>
      <c r="P59" s="2255">
        <f t="shared" si="16"/>
        <v>0</v>
      </c>
      <c r="Q59" s="2256"/>
      <c r="R59" s="2246" t="s">
        <v>866</v>
      </c>
      <c r="S59" s="2246"/>
      <c r="T59" s="2246"/>
      <c r="U59" s="2246"/>
      <c r="V59" s="2246"/>
      <c r="W59" s="2246"/>
      <c r="X59" s="2246"/>
      <c r="Y59" s="2246"/>
      <c r="Z59" s="2246"/>
      <c r="AA59" s="2246"/>
      <c r="AB59" s="2246"/>
      <c r="AC59" s="2246"/>
      <c r="AD59" s="2246"/>
      <c r="AE59" s="2246"/>
      <c r="AF59" s="2246"/>
      <c r="AG59" s="2246"/>
      <c r="AH59" s="2246"/>
      <c r="AI59" s="2246"/>
      <c r="AJ59" s="2246"/>
      <c r="AK59" s="2246"/>
      <c r="AL59" s="2246"/>
      <c r="AM59" s="2246"/>
      <c r="AN59" s="2246"/>
      <c r="AO59" s="2246"/>
      <c r="AP59" s="2246"/>
      <c r="AQ59" s="2246"/>
      <c r="AR59" s="2246"/>
      <c r="AS59" s="2244"/>
      <c r="AT59" s="2244"/>
      <c r="AU59" s="2244"/>
      <c r="AV59" s="2244"/>
      <c r="AW59" s="2244"/>
      <c r="AX59" s="2244"/>
      <c r="AY59" s="2244"/>
      <c r="AZ59" s="2244"/>
      <c r="BA59" s="2244"/>
      <c r="BB59" s="2244"/>
      <c r="BC59" s="2244"/>
      <c r="BD59" s="2244"/>
      <c r="BE59" s="2244"/>
      <c r="BF59" s="2246"/>
      <c r="BG59" s="2246"/>
      <c r="BH59" s="2246"/>
      <c r="BI59" s="2246"/>
      <c r="BJ59" s="2246"/>
      <c r="BK59" s="2246"/>
      <c r="BL59" s="2246"/>
      <c r="BM59" s="2246"/>
      <c r="BN59" s="2246"/>
      <c r="BO59" s="2246"/>
      <c r="BP59" s="2246"/>
      <c r="BQ59" s="2246"/>
      <c r="BR59" s="2246"/>
      <c r="BS59" s="2244"/>
      <c r="BT59" s="2244"/>
      <c r="BU59" s="2244"/>
      <c r="BV59" s="2244"/>
      <c r="BW59" s="2244"/>
      <c r="BX59" s="2246"/>
      <c r="BY59" s="2246"/>
      <c r="BZ59" s="2246"/>
      <c r="CA59" s="2246"/>
      <c r="CB59" s="2246"/>
      <c r="CC59" s="2246"/>
      <c r="CD59" s="2246"/>
      <c r="CE59" s="2246"/>
      <c r="CF59" s="2246"/>
      <c r="CG59" s="2246"/>
      <c r="CH59" s="2246"/>
      <c r="CI59" s="2246"/>
      <c r="CJ59" s="2246"/>
      <c r="CK59" s="2246"/>
      <c r="CL59" s="2246"/>
      <c r="CM59" s="2246"/>
      <c r="CN59" s="2246"/>
      <c r="CO59" s="2246"/>
      <c r="CP59" s="2246"/>
      <c r="CQ59" s="2246"/>
      <c r="CR59" s="2246"/>
      <c r="CS59" s="2248"/>
      <c r="CT59" s="2248"/>
      <c r="CU59" s="2248"/>
      <c r="CV59" s="2248"/>
      <c r="CW59" s="2248"/>
      <c r="CX59" s="2248"/>
      <c r="CY59" s="2248"/>
      <c r="CZ59" s="2248"/>
      <c r="DA59" s="2248"/>
      <c r="DB59" s="2248"/>
      <c r="DC59" s="2248"/>
      <c r="DD59" s="2249"/>
      <c r="DE59" s="2249"/>
      <c r="DF59" s="2249"/>
      <c r="DG59" s="2249"/>
      <c r="DH59" s="2249"/>
      <c r="DI59" s="2249"/>
      <c r="DJ59" s="2249"/>
      <c r="DK59" s="2249"/>
      <c r="DL59" s="2249"/>
      <c r="DM59" s="2249"/>
      <c r="DN59" s="2249"/>
      <c r="DO59" s="2249"/>
      <c r="DP59" s="2249"/>
      <c r="DQ59" s="2249"/>
      <c r="DR59" s="2249"/>
      <c r="DS59" s="2249"/>
      <c r="DT59" s="2249"/>
      <c r="DU59" s="2249"/>
      <c r="DV59" s="2249"/>
      <c r="DW59" s="2249"/>
      <c r="DX59" s="2249"/>
      <c r="DY59" s="2249"/>
      <c r="DZ59" s="2249"/>
      <c r="EA59" s="2249"/>
      <c r="EB59" s="2249"/>
      <c r="EC59" s="2249"/>
      <c r="ED59" s="2249"/>
      <c r="EE59" s="2249"/>
      <c r="EF59" s="2248"/>
      <c r="EG59" s="2248"/>
    </row>
    <row r="60" spans="1:137" ht="18.899999999999999" customHeight="1">
      <c r="A60" s="2260" t="s">
        <v>2067</v>
      </c>
      <c r="B60" s="2244" t="s">
        <v>698</v>
      </c>
      <c r="C60" s="2252"/>
      <c r="D60" s="2252"/>
      <c r="E60" s="2252"/>
      <c r="F60" s="2252"/>
      <c r="G60" s="2252"/>
      <c r="H60" s="2253" t="s">
        <v>866</v>
      </c>
      <c r="I60" s="2244"/>
      <c r="J60" s="2254"/>
      <c r="K60" s="2246"/>
      <c r="L60" s="2260" t="s">
        <v>2067</v>
      </c>
      <c r="M60" s="2244" t="s">
        <v>698</v>
      </c>
      <c r="N60" s="2244" t="s">
        <v>698</v>
      </c>
      <c r="O60" s="2244"/>
      <c r="P60" s="2255">
        <f t="shared" si="16"/>
        <v>0</v>
      </c>
      <c r="Q60" s="2256"/>
      <c r="R60" s="2246" t="s">
        <v>866</v>
      </c>
      <c r="S60" s="2246"/>
      <c r="T60" s="2246"/>
      <c r="U60" s="2246"/>
      <c r="V60" s="2246"/>
      <c r="W60" s="2246"/>
      <c r="X60" s="2246"/>
      <c r="Y60" s="2246"/>
      <c r="Z60" s="2246"/>
      <c r="AA60" s="2246"/>
      <c r="AB60" s="2246"/>
      <c r="AC60" s="2246"/>
      <c r="AD60" s="2246"/>
      <c r="AE60" s="2246"/>
      <c r="AF60" s="2246"/>
      <c r="AG60" s="2246"/>
      <c r="AH60" s="2246"/>
      <c r="AI60" s="2246"/>
      <c r="AJ60" s="2246"/>
      <c r="AK60" s="2246"/>
      <c r="AL60" s="2246"/>
      <c r="AM60" s="2246"/>
      <c r="AN60" s="2246"/>
      <c r="AO60" s="2246"/>
      <c r="AP60" s="2246"/>
      <c r="AQ60" s="2246"/>
      <c r="AR60" s="2246"/>
      <c r="AS60" s="2244"/>
      <c r="AT60" s="2244"/>
      <c r="AU60" s="2244"/>
      <c r="AV60" s="2244"/>
      <c r="AW60" s="2244"/>
      <c r="AX60" s="2244"/>
      <c r="AY60" s="2244"/>
      <c r="AZ60" s="2244"/>
      <c r="BA60" s="2244"/>
      <c r="BB60" s="2244"/>
      <c r="BC60" s="2244"/>
      <c r="BD60" s="2244"/>
      <c r="BE60" s="2244"/>
      <c r="BF60" s="2246"/>
      <c r="BG60" s="2246"/>
      <c r="BH60" s="2246"/>
      <c r="BI60" s="2246"/>
      <c r="BJ60" s="2246"/>
      <c r="BK60" s="2246"/>
      <c r="BL60" s="2246"/>
      <c r="BM60" s="2246"/>
      <c r="BN60" s="2246"/>
      <c r="BO60" s="2246"/>
      <c r="BP60" s="2246"/>
      <c r="BQ60" s="2246"/>
      <c r="BR60" s="2246"/>
      <c r="BS60" s="2244"/>
      <c r="BT60" s="2244"/>
      <c r="BU60" s="2244"/>
      <c r="BV60" s="2244"/>
      <c r="BW60" s="2244"/>
      <c r="BX60" s="2246"/>
      <c r="BY60" s="2246"/>
      <c r="BZ60" s="2246"/>
      <c r="CA60" s="2246"/>
      <c r="CB60" s="2246"/>
      <c r="CC60" s="2246"/>
      <c r="CD60" s="2246"/>
      <c r="CE60" s="2246"/>
      <c r="CF60" s="2246"/>
      <c r="CG60" s="2246"/>
      <c r="CH60" s="2246"/>
      <c r="CI60" s="2246"/>
      <c r="CJ60" s="2246"/>
      <c r="CK60" s="2246"/>
      <c r="CL60" s="2246"/>
      <c r="CM60" s="2246"/>
      <c r="CN60" s="2246"/>
      <c r="CO60" s="2246"/>
      <c r="CP60" s="2246"/>
      <c r="CQ60" s="2246"/>
      <c r="CR60" s="2246"/>
      <c r="CS60" s="2248"/>
      <c r="CT60" s="2248"/>
      <c r="CU60" s="2248"/>
      <c r="CV60" s="2248"/>
      <c r="CW60" s="2248"/>
      <c r="CX60" s="2248"/>
      <c r="CY60" s="2248"/>
      <c r="CZ60" s="2248"/>
      <c r="DA60" s="2248"/>
      <c r="DB60" s="2248"/>
      <c r="DC60" s="2248"/>
      <c r="DD60" s="2249"/>
      <c r="DE60" s="2249"/>
      <c r="DF60" s="2249"/>
      <c r="DG60" s="2249"/>
      <c r="DH60" s="2249"/>
      <c r="DI60" s="2249"/>
      <c r="DJ60" s="2249"/>
      <c r="DK60" s="2249"/>
      <c r="DL60" s="2249"/>
      <c r="DM60" s="2249"/>
      <c r="DN60" s="2249"/>
      <c r="DO60" s="2249"/>
      <c r="DP60" s="2249"/>
      <c r="DQ60" s="2249"/>
      <c r="DR60" s="2249"/>
      <c r="DS60" s="2249"/>
      <c r="DT60" s="2249"/>
      <c r="DU60" s="2249"/>
      <c r="DV60" s="2249"/>
      <c r="DW60" s="2249"/>
      <c r="DX60" s="2249"/>
      <c r="DY60" s="2249"/>
      <c r="DZ60" s="2249"/>
      <c r="EA60" s="2249"/>
      <c r="EB60" s="2249"/>
      <c r="EC60" s="2249"/>
      <c r="ED60" s="2249"/>
      <c r="EE60" s="2249"/>
      <c r="EF60" s="2248"/>
      <c r="EG60" s="2248"/>
    </row>
    <row r="61" spans="1:137" ht="18.899999999999999" customHeight="1">
      <c r="A61" s="2261" t="s">
        <v>976</v>
      </c>
      <c r="B61" s="2244" t="s">
        <v>698</v>
      </c>
      <c r="C61" s="2262"/>
      <c r="D61" s="2262"/>
      <c r="E61" s="2262"/>
      <c r="F61" s="2262"/>
      <c r="G61" s="2262"/>
      <c r="H61" s="2253" t="s">
        <v>866</v>
      </c>
      <c r="I61" s="2244"/>
      <c r="K61" s="2246"/>
      <c r="L61" s="2261" t="s">
        <v>976</v>
      </c>
      <c r="M61" s="2244" t="s">
        <v>698</v>
      </c>
      <c r="N61" s="2244" t="s">
        <v>698</v>
      </c>
      <c r="O61" s="2244"/>
      <c r="P61" s="2255">
        <f t="shared" si="16"/>
        <v>0</v>
      </c>
      <c r="Q61" s="2256"/>
      <c r="R61" s="2246" t="s">
        <v>866</v>
      </c>
      <c r="S61" s="2246"/>
      <c r="T61" s="2246"/>
      <c r="U61" s="2246"/>
      <c r="V61" s="2246"/>
      <c r="W61" s="2246"/>
      <c r="X61" s="2246"/>
      <c r="Y61" s="2246"/>
      <c r="Z61" s="2246"/>
      <c r="AA61" s="2246"/>
      <c r="AB61" s="2246"/>
      <c r="AC61" s="2246"/>
      <c r="AD61" s="2246"/>
      <c r="AE61" s="2246"/>
      <c r="AF61" s="2246"/>
      <c r="AG61" s="2246"/>
      <c r="AH61" s="2246"/>
      <c r="AI61" s="2246"/>
      <c r="AJ61" s="2246"/>
      <c r="AK61" s="2246"/>
      <c r="AL61" s="2246"/>
      <c r="AM61" s="2246"/>
      <c r="AN61" s="2246"/>
      <c r="AO61" s="2246"/>
      <c r="AP61" s="2246"/>
      <c r="AQ61" s="2246"/>
      <c r="AR61" s="2246"/>
      <c r="AS61" s="2244"/>
      <c r="AT61" s="2244"/>
      <c r="AU61" s="2244"/>
      <c r="AV61" s="2244"/>
      <c r="AW61" s="2244"/>
      <c r="AX61" s="2244"/>
      <c r="AY61" s="2244"/>
      <c r="AZ61" s="2244"/>
      <c r="BA61" s="2244"/>
      <c r="BB61" s="2244"/>
      <c r="BC61" s="2244"/>
      <c r="BD61" s="2244"/>
      <c r="BE61" s="2244"/>
      <c r="BF61" s="2246"/>
      <c r="BG61" s="2246"/>
      <c r="BH61" s="2246"/>
      <c r="BI61" s="2246"/>
      <c r="BJ61" s="2246"/>
      <c r="BK61" s="2246"/>
      <c r="BL61" s="2246"/>
      <c r="BM61" s="2246"/>
      <c r="BN61" s="2246"/>
      <c r="BO61" s="2246"/>
      <c r="BP61" s="2246"/>
      <c r="BQ61" s="2246"/>
      <c r="BR61" s="2246"/>
      <c r="BS61" s="2244"/>
      <c r="BT61" s="2244"/>
      <c r="BU61" s="2244"/>
      <c r="BV61" s="2244"/>
      <c r="BW61" s="2244"/>
      <c r="BX61" s="2246"/>
      <c r="BY61" s="2246"/>
      <c r="BZ61" s="2246"/>
      <c r="CA61" s="2246"/>
      <c r="CB61" s="2246"/>
      <c r="CC61" s="2246"/>
      <c r="CD61" s="2246"/>
      <c r="CE61" s="2246"/>
      <c r="CF61" s="2246"/>
      <c r="CG61" s="2246"/>
      <c r="CH61" s="2246"/>
      <c r="CI61" s="2246"/>
      <c r="CJ61" s="2246"/>
      <c r="CK61" s="2246"/>
      <c r="CL61" s="2246"/>
      <c r="CM61" s="2246"/>
      <c r="CN61" s="2246"/>
      <c r="CO61" s="2246"/>
      <c r="CP61" s="2246"/>
      <c r="CQ61" s="2246"/>
      <c r="CR61" s="2246"/>
      <c r="CS61" s="2248"/>
      <c r="CT61" s="2248"/>
      <c r="CU61" s="2248"/>
      <c r="CV61" s="2248"/>
      <c r="CW61" s="2248"/>
      <c r="CX61" s="2248"/>
      <c r="CY61" s="2248"/>
      <c r="CZ61" s="2248"/>
      <c r="DA61" s="2248"/>
      <c r="DB61" s="2248"/>
      <c r="DC61" s="2248"/>
      <c r="DD61" s="2249"/>
      <c r="DE61" s="2249"/>
      <c r="DF61" s="2249"/>
      <c r="DG61" s="2249"/>
      <c r="DH61" s="2249"/>
      <c r="DI61" s="2249"/>
      <c r="DJ61" s="2249"/>
      <c r="DK61" s="2249"/>
      <c r="DL61" s="2249"/>
      <c r="DM61" s="2249"/>
      <c r="DN61" s="2249"/>
      <c r="DO61" s="2249"/>
      <c r="DP61" s="2249"/>
      <c r="DQ61" s="2249"/>
      <c r="DR61" s="2249"/>
      <c r="DS61" s="2249"/>
      <c r="DT61" s="2249"/>
      <c r="DU61" s="2249"/>
      <c r="DV61" s="2249"/>
      <c r="DW61" s="2249"/>
      <c r="DX61" s="2249"/>
      <c r="DY61" s="2249"/>
      <c r="DZ61" s="2249"/>
      <c r="EA61" s="2249"/>
      <c r="EB61" s="2249"/>
      <c r="EC61" s="2249"/>
      <c r="ED61" s="2249"/>
      <c r="EE61" s="2249"/>
      <c r="EF61" s="2248"/>
      <c r="EG61" s="2248"/>
    </row>
    <row r="62" spans="1:137" ht="18.899999999999999" customHeight="1">
      <c r="A62" s="2263" t="s">
        <v>1752</v>
      </c>
      <c r="B62" s="2263"/>
      <c r="C62" s="2263"/>
      <c r="D62" s="2144"/>
      <c r="E62" s="2144"/>
      <c r="F62" s="2144"/>
      <c r="G62" s="2252"/>
      <c r="H62" s="2253" t="s">
        <v>866</v>
      </c>
      <c r="I62" s="2244"/>
      <c r="J62" s="2254"/>
      <c r="K62" s="2246"/>
      <c r="L62" s="2261" t="s">
        <v>1752</v>
      </c>
      <c r="M62" s="2244" t="s">
        <v>698</v>
      </c>
      <c r="N62" s="2244" t="s">
        <v>698</v>
      </c>
      <c r="O62" s="2244"/>
      <c r="P62" s="2255">
        <f>G62*1.02</f>
        <v>0</v>
      </c>
      <c r="Q62" s="2256"/>
      <c r="R62" s="2246" t="s">
        <v>866</v>
      </c>
      <c r="S62" s="2246"/>
      <c r="T62" s="2246"/>
      <c r="U62" s="2246"/>
      <c r="V62" s="2246"/>
      <c r="W62" s="2246"/>
      <c r="X62" s="2246"/>
      <c r="Y62" s="2246"/>
      <c r="Z62" s="2246"/>
      <c r="AA62" s="2246"/>
      <c r="AB62" s="2246"/>
      <c r="AC62" s="2246"/>
      <c r="AD62" s="2246"/>
      <c r="AE62" s="2246"/>
      <c r="AF62" s="2246"/>
      <c r="AG62" s="2246"/>
      <c r="AH62" s="2246"/>
      <c r="AI62" s="2246"/>
      <c r="AJ62" s="2246"/>
      <c r="AK62" s="2246"/>
      <c r="AL62" s="2246"/>
      <c r="AM62" s="2246"/>
      <c r="AN62" s="2246"/>
      <c r="AO62" s="2246"/>
      <c r="AP62" s="2246"/>
      <c r="AQ62" s="2246"/>
      <c r="AR62" s="2246"/>
      <c r="AS62" s="2244"/>
      <c r="AT62" s="2244"/>
      <c r="AU62" s="2244"/>
      <c r="AV62" s="2244"/>
      <c r="AW62" s="2244"/>
      <c r="AX62" s="2244"/>
      <c r="AY62" s="2244"/>
      <c r="AZ62" s="2244"/>
      <c r="BA62" s="2244"/>
      <c r="BB62" s="2244"/>
      <c r="BC62" s="2244"/>
      <c r="BD62" s="2244"/>
      <c r="BE62" s="2244"/>
      <c r="BF62" s="2246"/>
      <c r="BG62" s="2246"/>
      <c r="BH62" s="2246"/>
      <c r="BI62" s="2246"/>
      <c r="BJ62" s="2246"/>
      <c r="BK62" s="2246"/>
      <c r="BL62" s="2246"/>
      <c r="BM62" s="2246"/>
      <c r="BN62" s="2246"/>
      <c r="BO62" s="2246"/>
      <c r="BP62" s="2246"/>
      <c r="BQ62" s="2246"/>
      <c r="BR62" s="2246"/>
      <c r="BS62" s="2244"/>
      <c r="BT62" s="2244"/>
      <c r="BU62" s="2244"/>
      <c r="BV62" s="2244"/>
      <c r="BW62" s="2244"/>
      <c r="BX62" s="2246"/>
      <c r="BY62" s="2246"/>
      <c r="BZ62" s="2246"/>
      <c r="CA62" s="2246"/>
      <c r="CB62" s="2246"/>
      <c r="CC62" s="2246"/>
      <c r="CD62" s="2246"/>
      <c r="CE62" s="2246"/>
      <c r="CF62" s="2246"/>
      <c r="CG62" s="2246"/>
      <c r="CH62" s="2246"/>
      <c r="CI62" s="2246"/>
      <c r="CJ62" s="2246"/>
      <c r="CK62" s="2246"/>
      <c r="CL62" s="2246"/>
      <c r="CM62" s="2246"/>
      <c r="CN62" s="2246"/>
      <c r="CO62" s="2246"/>
      <c r="CP62" s="2246"/>
      <c r="CQ62" s="2246"/>
      <c r="CR62" s="2246"/>
      <c r="CS62" s="2248"/>
      <c r="CT62" s="2248"/>
      <c r="CU62" s="2248"/>
      <c r="CV62" s="2248"/>
      <c r="CW62" s="2248"/>
      <c r="CX62" s="2248"/>
      <c r="CY62" s="2248"/>
      <c r="CZ62" s="2248"/>
      <c r="DA62" s="2248"/>
      <c r="DB62" s="2248"/>
      <c r="DC62" s="2248"/>
      <c r="DD62" s="2249"/>
      <c r="DE62" s="2249"/>
      <c r="DF62" s="2249"/>
      <c r="DG62" s="2249"/>
      <c r="DH62" s="2249"/>
      <c r="DI62" s="2249"/>
      <c r="DJ62" s="2249"/>
      <c r="DK62" s="2249"/>
      <c r="DL62" s="2249"/>
      <c r="DM62" s="2249"/>
      <c r="DN62" s="2249"/>
      <c r="DO62" s="2249"/>
      <c r="DP62" s="2249"/>
      <c r="DQ62" s="2249"/>
      <c r="DR62" s="2249"/>
      <c r="DS62" s="2249"/>
      <c r="DT62" s="2249"/>
      <c r="DU62" s="2249"/>
      <c r="DV62" s="2249"/>
      <c r="DW62" s="2249"/>
      <c r="DX62" s="2249"/>
      <c r="DY62" s="2249"/>
      <c r="DZ62" s="2249"/>
      <c r="EA62" s="2249"/>
      <c r="EB62" s="2249"/>
      <c r="EC62" s="2249"/>
      <c r="ED62" s="2249"/>
      <c r="EE62" s="2249"/>
      <c r="EF62" s="2248"/>
      <c r="EG62" s="2248"/>
    </row>
    <row r="63" spans="1:137" ht="18.899999999999999" customHeight="1">
      <c r="A63" s="2261" t="s">
        <v>1751</v>
      </c>
      <c r="B63" s="2244" t="s">
        <v>698</v>
      </c>
      <c r="C63" s="2252"/>
      <c r="D63" s="2252"/>
      <c r="E63" s="2252"/>
      <c r="F63" s="2252"/>
      <c r="G63" s="2252"/>
      <c r="H63" s="2253" t="s">
        <v>866</v>
      </c>
      <c r="I63" s="2244"/>
      <c r="J63" s="2254"/>
      <c r="K63" s="2246"/>
      <c r="L63" s="2261" t="s">
        <v>1751</v>
      </c>
      <c r="M63" s="2244" t="s">
        <v>698</v>
      </c>
      <c r="N63" s="2244" t="s">
        <v>698</v>
      </c>
      <c r="O63" s="2244"/>
      <c r="P63" s="2255">
        <f>C63*1.03</f>
        <v>0</v>
      </c>
      <c r="Q63" s="2256"/>
      <c r="R63" s="2246" t="s">
        <v>866</v>
      </c>
      <c r="S63" s="2246"/>
      <c r="T63" s="2246"/>
      <c r="U63" s="2246"/>
      <c r="V63" s="2246"/>
      <c r="W63" s="2246"/>
      <c r="X63" s="2246"/>
      <c r="Y63" s="2246"/>
      <c r="Z63" s="2246"/>
      <c r="AA63" s="2246"/>
      <c r="AB63" s="2246"/>
      <c r="AC63" s="2246"/>
      <c r="AD63" s="2246"/>
      <c r="AE63" s="2246"/>
      <c r="AF63" s="2246"/>
      <c r="AG63" s="2246"/>
      <c r="AH63" s="2246"/>
      <c r="AI63" s="2246"/>
      <c r="AJ63" s="2246"/>
      <c r="AK63" s="2246"/>
      <c r="AL63" s="2246"/>
      <c r="AM63" s="2246"/>
      <c r="AN63" s="2246"/>
      <c r="AO63" s="2246"/>
      <c r="AP63" s="2246"/>
      <c r="AQ63" s="2246"/>
      <c r="AR63" s="2246"/>
      <c r="AS63" s="2244"/>
      <c r="AT63" s="2244"/>
      <c r="AU63" s="2244"/>
      <c r="AV63" s="2244"/>
      <c r="AW63" s="2244"/>
      <c r="AX63" s="2244"/>
      <c r="AY63" s="2244"/>
      <c r="AZ63" s="2244"/>
      <c r="BA63" s="2244"/>
      <c r="BB63" s="2244"/>
      <c r="BC63" s="2244"/>
      <c r="BD63" s="2244"/>
      <c r="BE63" s="2244"/>
      <c r="BF63" s="2246"/>
      <c r="BG63" s="2246"/>
      <c r="BH63" s="2246"/>
      <c r="BI63" s="2246"/>
      <c r="BJ63" s="2246"/>
      <c r="BK63" s="2246"/>
      <c r="BL63" s="2246"/>
      <c r="BM63" s="2246"/>
      <c r="BN63" s="2246"/>
      <c r="BO63" s="2246"/>
      <c r="BP63" s="2246"/>
      <c r="BQ63" s="2246"/>
      <c r="BR63" s="2246"/>
      <c r="BS63" s="2244"/>
      <c r="BT63" s="2244"/>
      <c r="BU63" s="2244"/>
      <c r="BV63" s="2244"/>
      <c r="BW63" s="2244"/>
      <c r="BX63" s="2246"/>
      <c r="BY63" s="2246"/>
      <c r="BZ63" s="2246"/>
      <c r="CA63" s="2246"/>
      <c r="CB63" s="2246"/>
      <c r="CC63" s="2246"/>
      <c r="CD63" s="2246"/>
      <c r="CE63" s="2246"/>
      <c r="CF63" s="2246"/>
      <c r="CG63" s="2246"/>
      <c r="CH63" s="2246"/>
      <c r="CI63" s="2246"/>
      <c r="CJ63" s="2246"/>
      <c r="CK63" s="2246"/>
      <c r="CL63" s="2246"/>
      <c r="CM63" s="2246"/>
      <c r="CN63" s="2246"/>
      <c r="CO63" s="2246"/>
      <c r="CP63" s="2246"/>
      <c r="CQ63" s="2246"/>
      <c r="CR63" s="2246"/>
      <c r="CS63" s="2248"/>
      <c r="CT63" s="2248"/>
      <c r="CU63" s="2248"/>
      <c r="CV63" s="2248"/>
      <c r="CW63" s="2248"/>
      <c r="CX63" s="2248"/>
      <c r="CY63" s="2248"/>
      <c r="CZ63" s="2248"/>
      <c r="DA63" s="2248"/>
      <c r="DB63" s="2248"/>
      <c r="DC63" s="2248"/>
      <c r="DD63" s="2249"/>
      <c r="DE63" s="2249"/>
      <c r="DF63" s="2249"/>
      <c r="DG63" s="2249"/>
      <c r="DH63" s="2249"/>
      <c r="DI63" s="2249"/>
      <c r="DJ63" s="2249"/>
      <c r="DK63" s="2249"/>
      <c r="DL63" s="2249"/>
      <c r="DM63" s="2249"/>
      <c r="DN63" s="2249"/>
      <c r="DO63" s="2249"/>
      <c r="DP63" s="2249"/>
      <c r="DQ63" s="2249"/>
      <c r="DR63" s="2249"/>
      <c r="DS63" s="2249"/>
      <c r="DT63" s="2249"/>
      <c r="DU63" s="2249"/>
      <c r="DV63" s="2249"/>
      <c r="DW63" s="2249"/>
      <c r="DX63" s="2249"/>
      <c r="DY63" s="2249"/>
      <c r="DZ63" s="2249"/>
      <c r="EA63" s="2249"/>
      <c r="EB63" s="2249"/>
      <c r="EC63" s="2249"/>
      <c r="ED63" s="2249"/>
      <c r="EE63" s="2249"/>
      <c r="EF63" s="2248"/>
      <c r="EG63" s="2248"/>
    </row>
    <row r="64" spans="1:137" ht="18.899999999999999" customHeight="1">
      <c r="A64" s="2261" t="s">
        <v>1750</v>
      </c>
      <c r="B64" s="2244" t="s">
        <v>698</v>
      </c>
      <c r="C64" s="2262"/>
      <c r="D64" s="2262"/>
      <c r="E64" s="2262"/>
      <c r="F64" s="2262"/>
      <c r="G64" s="2262"/>
      <c r="H64" s="2253" t="s">
        <v>866</v>
      </c>
      <c r="I64" s="2244"/>
      <c r="K64" s="2246"/>
      <c r="L64" s="2261" t="s">
        <v>1750</v>
      </c>
      <c r="M64" s="2244" t="s">
        <v>698</v>
      </c>
      <c r="N64" s="2244" t="s">
        <v>698</v>
      </c>
      <c r="O64" s="2244"/>
      <c r="P64" s="2255">
        <f>C64*1.03</f>
        <v>0</v>
      </c>
      <c r="Q64" s="2256"/>
      <c r="R64" s="2246" t="s">
        <v>866</v>
      </c>
      <c r="S64" s="2246"/>
      <c r="T64" s="2246"/>
      <c r="U64" s="2246"/>
      <c r="V64" s="2246"/>
      <c r="W64" s="2246"/>
      <c r="X64" s="2246"/>
      <c r="Y64" s="2246"/>
      <c r="Z64" s="2246"/>
      <c r="AA64" s="2246"/>
      <c r="AB64" s="2246"/>
      <c r="AC64" s="2246"/>
      <c r="AD64" s="2246"/>
      <c r="AE64" s="2246"/>
      <c r="AF64" s="2246"/>
      <c r="AG64" s="2246"/>
      <c r="AH64" s="2246"/>
      <c r="AI64" s="2246"/>
      <c r="AJ64" s="2246"/>
      <c r="AK64" s="2246"/>
      <c r="AL64" s="2246"/>
      <c r="AM64" s="2246"/>
      <c r="AN64" s="2246"/>
      <c r="AO64" s="2246"/>
      <c r="AP64" s="2246"/>
      <c r="AQ64" s="2246"/>
      <c r="AR64" s="2246"/>
      <c r="AS64" s="2244"/>
      <c r="AT64" s="2244"/>
      <c r="AU64" s="2244"/>
      <c r="AV64" s="2244"/>
      <c r="AW64" s="2244"/>
      <c r="AX64" s="2244"/>
      <c r="AY64" s="2244"/>
      <c r="AZ64" s="2244"/>
      <c r="BA64" s="2244"/>
      <c r="BB64" s="2244"/>
      <c r="BC64" s="2244"/>
      <c r="BD64" s="2244"/>
      <c r="BE64" s="2244"/>
      <c r="BF64" s="2246"/>
      <c r="BG64" s="2246"/>
      <c r="BH64" s="2246"/>
      <c r="BI64" s="2246"/>
      <c r="BJ64" s="2246"/>
      <c r="BK64" s="2246"/>
      <c r="BL64" s="2246"/>
      <c r="BM64" s="2246"/>
      <c r="BN64" s="2246"/>
      <c r="BO64" s="2246"/>
      <c r="BP64" s="2246"/>
      <c r="BQ64" s="2246"/>
      <c r="BR64" s="2246"/>
      <c r="BS64" s="2244"/>
      <c r="BT64" s="2244"/>
      <c r="BU64" s="2244"/>
      <c r="BV64" s="2244"/>
      <c r="BW64" s="2244"/>
      <c r="BX64" s="2246"/>
      <c r="BY64" s="2246"/>
      <c r="BZ64" s="2246"/>
      <c r="CA64" s="2246"/>
      <c r="CB64" s="2246"/>
      <c r="CC64" s="2246"/>
      <c r="CD64" s="2246"/>
      <c r="CE64" s="2246"/>
      <c r="CF64" s="2246"/>
      <c r="CG64" s="2246"/>
      <c r="CH64" s="2246"/>
      <c r="CI64" s="2246"/>
      <c r="CJ64" s="2246"/>
      <c r="CK64" s="2246"/>
      <c r="CL64" s="2246"/>
      <c r="CM64" s="2246"/>
      <c r="CN64" s="2246"/>
      <c r="CO64" s="2246"/>
      <c r="CP64" s="2246"/>
      <c r="CQ64" s="2246"/>
      <c r="CR64" s="2246"/>
      <c r="CS64" s="2248"/>
      <c r="CT64" s="2248"/>
      <c r="CU64" s="2248"/>
      <c r="CV64" s="2248"/>
      <c r="CW64" s="2248"/>
      <c r="CX64" s="2248"/>
      <c r="CY64" s="2248"/>
      <c r="CZ64" s="2248"/>
      <c r="DA64" s="2248"/>
      <c r="DB64" s="2248"/>
      <c r="DC64" s="2248"/>
      <c r="DD64" s="2249"/>
      <c r="DE64" s="2249"/>
      <c r="DF64" s="2249"/>
      <c r="DG64" s="2249"/>
      <c r="DH64" s="2249"/>
      <c r="DI64" s="2249"/>
      <c r="DJ64" s="2249"/>
      <c r="DK64" s="2249"/>
      <c r="DL64" s="2249"/>
      <c r="DM64" s="2249"/>
      <c r="DN64" s="2249"/>
      <c r="DO64" s="2249"/>
      <c r="DP64" s="2249"/>
      <c r="DQ64" s="2249"/>
      <c r="DR64" s="2249"/>
      <c r="DS64" s="2249"/>
      <c r="DT64" s="2249"/>
      <c r="DU64" s="2249"/>
      <c r="DV64" s="2249"/>
      <c r="DW64" s="2249"/>
      <c r="DX64" s="2249"/>
      <c r="DY64" s="2249"/>
      <c r="DZ64" s="2249"/>
      <c r="EA64" s="2249"/>
      <c r="EB64" s="2249"/>
      <c r="EC64" s="2249"/>
      <c r="ED64" s="2249"/>
      <c r="EE64" s="2249"/>
      <c r="EF64" s="2248"/>
      <c r="EG64" s="2248"/>
    </row>
    <row r="65" spans="1:137" ht="18.899999999999999" customHeight="1">
      <c r="A65" s="2261" t="s">
        <v>1749</v>
      </c>
      <c r="B65" s="2244" t="s">
        <v>698</v>
      </c>
      <c r="C65" s="2252"/>
      <c r="D65" s="2252"/>
      <c r="E65" s="2252"/>
      <c r="F65" s="2252"/>
      <c r="G65" s="2252"/>
      <c r="H65" s="2253" t="s">
        <v>866</v>
      </c>
      <c r="I65" s="2244"/>
      <c r="J65" s="2254"/>
      <c r="K65" s="2246"/>
      <c r="L65" s="2261" t="s">
        <v>1749</v>
      </c>
      <c r="M65" s="2244" t="s">
        <v>698</v>
      </c>
      <c r="N65" s="2244" t="s">
        <v>698</v>
      </c>
      <c r="O65" s="2244"/>
      <c r="P65" s="2255">
        <f>C65*1.03</f>
        <v>0</v>
      </c>
      <c r="Q65" s="2256"/>
      <c r="R65" s="2246" t="s">
        <v>866</v>
      </c>
      <c r="S65" s="2246"/>
      <c r="T65" s="2246"/>
      <c r="U65" s="2246"/>
      <c r="V65" s="2246"/>
      <c r="W65" s="2246"/>
      <c r="X65" s="2246"/>
      <c r="Y65" s="2246"/>
      <c r="Z65" s="2246"/>
      <c r="AA65" s="2246"/>
      <c r="AB65" s="2246"/>
      <c r="AC65" s="2246"/>
      <c r="AD65" s="2246"/>
      <c r="AE65" s="2246"/>
      <c r="AF65" s="2246"/>
      <c r="AG65" s="2246"/>
      <c r="AH65" s="2246"/>
      <c r="AI65" s="2246"/>
      <c r="AJ65" s="2246"/>
      <c r="AK65" s="2246"/>
      <c r="AL65" s="2246"/>
      <c r="AM65" s="2246"/>
      <c r="AN65" s="2246"/>
      <c r="AO65" s="2246"/>
      <c r="AP65" s="2246"/>
      <c r="AQ65" s="2246"/>
      <c r="AR65" s="2246"/>
      <c r="AS65" s="2244"/>
      <c r="AT65" s="2244"/>
      <c r="AU65" s="2244"/>
      <c r="AV65" s="2244"/>
      <c r="AW65" s="2244"/>
      <c r="AX65" s="2244"/>
      <c r="AY65" s="2244"/>
      <c r="AZ65" s="2244"/>
      <c r="BA65" s="2244"/>
      <c r="BB65" s="2244"/>
      <c r="BC65" s="2244"/>
      <c r="BD65" s="2244"/>
      <c r="BE65" s="2244"/>
      <c r="BF65" s="2246"/>
      <c r="BG65" s="2246"/>
      <c r="BH65" s="2246"/>
      <c r="BI65" s="2246"/>
      <c r="BJ65" s="2246"/>
      <c r="BK65" s="2246"/>
      <c r="BL65" s="2246"/>
      <c r="BM65" s="2246"/>
      <c r="BN65" s="2246"/>
      <c r="BO65" s="2246"/>
      <c r="BP65" s="2246"/>
      <c r="BQ65" s="2246"/>
      <c r="BR65" s="2246"/>
      <c r="BS65" s="2244"/>
      <c r="BT65" s="2244"/>
      <c r="BU65" s="2244"/>
      <c r="BV65" s="2244"/>
      <c r="BW65" s="2244"/>
      <c r="BX65" s="2246"/>
      <c r="BY65" s="2246"/>
      <c r="BZ65" s="2246"/>
      <c r="CA65" s="2246"/>
      <c r="CB65" s="2246"/>
      <c r="CC65" s="2246"/>
      <c r="CD65" s="2246"/>
      <c r="CE65" s="2246"/>
      <c r="CF65" s="2246"/>
      <c r="CG65" s="2246"/>
      <c r="CH65" s="2246"/>
      <c r="CI65" s="2246"/>
      <c r="CJ65" s="2246"/>
      <c r="CK65" s="2246"/>
      <c r="CL65" s="2246"/>
      <c r="CM65" s="2246"/>
      <c r="CN65" s="2246"/>
      <c r="CO65" s="2246"/>
      <c r="CP65" s="2246"/>
      <c r="CQ65" s="2246"/>
      <c r="CR65" s="2246"/>
      <c r="CS65" s="2248"/>
      <c r="CT65" s="2248"/>
      <c r="CU65" s="2248"/>
      <c r="CV65" s="2248"/>
      <c r="CW65" s="2248"/>
      <c r="CX65" s="2248"/>
      <c r="CY65" s="2248"/>
      <c r="CZ65" s="2248"/>
      <c r="DA65" s="2248"/>
      <c r="DB65" s="2248"/>
      <c r="DC65" s="2248"/>
      <c r="DD65" s="2249"/>
      <c r="DE65" s="2249"/>
      <c r="DF65" s="2249"/>
      <c r="DG65" s="2249"/>
      <c r="DH65" s="2249"/>
      <c r="DI65" s="2249"/>
      <c r="DJ65" s="2249"/>
      <c r="DK65" s="2249"/>
      <c r="DL65" s="2249"/>
      <c r="DM65" s="2249"/>
      <c r="DN65" s="2249"/>
      <c r="DO65" s="2249"/>
      <c r="DP65" s="2249"/>
      <c r="DQ65" s="2249"/>
      <c r="DR65" s="2249"/>
      <c r="DS65" s="2249"/>
      <c r="DT65" s="2249"/>
      <c r="DU65" s="2249"/>
      <c r="DV65" s="2249"/>
      <c r="DW65" s="2249"/>
      <c r="DX65" s="2249"/>
      <c r="DY65" s="2249"/>
      <c r="DZ65" s="2249"/>
      <c r="EA65" s="2249"/>
      <c r="EB65" s="2249"/>
      <c r="EC65" s="2249"/>
      <c r="ED65" s="2249"/>
      <c r="EE65" s="2249"/>
      <c r="EF65" s="2248"/>
      <c r="EG65" s="2248"/>
    </row>
    <row r="66" spans="1:137" ht="18.899999999999999" customHeight="1">
      <c r="A66" s="2261" t="s">
        <v>803</v>
      </c>
      <c r="B66" s="2244" t="s">
        <v>698</v>
      </c>
      <c r="C66" s="2262"/>
      <c r="D66" s="2262"/>
      <c r="E66" s="2262"/>
      <c r="F66" s="2262"/>
      <c r="G66" s="2262"/>
      <c r="H66" s="2253" t="s">
        <v>866</v>
      </c>
      <c r="I66" s="2244"/>
      <c r="K66" s="2246"/>
      <c r="L66" s="2261" t="s">
        <v>803</v>
      </c>
      <c r="M66" s="2244" t="s">
        <v>698</v>
      </c>
      <c r="N66" s="2244" t="s">
        <v>698</v>
      </c>
      <c r="O66" s="2244"/>
      <c r="P66" s="2255">
        <f>C66*1.03</f>
        <v>0</v>
      </c>
      <c r="Q66" s="2256"/>
      <c r="R66" s="2246" t="s">
        <v>866</v>
      </c>
      <c r="S66" s="2246"/>
      <c r="T66" s="2246"/>
      <c r="U66" s="2246"/>
      <c r="V66" s="2246"/>
      <c r="W66" s="2246"/>
      <c r="X66" s="2246"/>
      <c r="Y66" s="2246"/>
      <c r="Z66" s="2246"/>
      <c r="AA66" s="2246"/>
      <c r="AB66" s="2246"/>
      <c r="AC66" s="2246"/>
      <c r="AD66" s="2246"/>
      <c r="AE66" s="2246"/>
      <c r="AF66" s="2246"/>
      <c r="AG66" s="2246"/>
      <c r="AH66" s="2246"/>
      <c r="AI66" s="2246"/>
      <c r="AJ66" s="2246"/>
      <c r="AK66" s="2246"/>
      <c r="AL66" s="2246"/>
      <c r="AM66" s="2246"/>
      <c r="AN66" s="2246"/>
      <c r="AO66" s="2246"/>
      <c r="AP66" s="2246"/>
      <c r="AQ66" s="2246"/>
      <c r="AR66" s="2246"/>
      <c r="AS66" s="2244"/>
      <c r="AT66" s="2244"/>
      <c r="AU66" s="2244"/>
      <c r="AV66" s="2244"/>
      <c r="AW66" s="2244"/>
      <c r="AX66" s="2244"/>
      <c r="AY66" s="2244"/>
      <c r="AZ66" s="2244"/>
      <c r="BA66" s="2244"/>
      <c r="BB66" s="2244"/>
      <c r="BC66" s="2244"/>
      <c r="BD66" s="2244"/>
      <c r="BE66" s="2244"/>
      <c r="BF66" s="2246"/>
      <c r="BG66" s="2246"/>
      <c r="BH66" s="2246"/>
      <c r="BI66" s="2246"/>
      <c r="BJ66" s="2246"/>
      <c r="BK66" s="2246"/>
      <c r="BL66" s="2246"/>
      <c r="BM66" s="2246"/>
      <c r="BN66" s="2246"/>
      <c r="BO66" s="2246"/>
      <c r="BP66" s="2246"/>
      <c r="BQ66" s="2246"/>
      <c r="BR66" s="2246"/>
      <c r="BS66" s="2244"/>
      <c r="BT66" s="2244"/>
      <c r="BU66" s="2244"/>
      <c r="BV66" s="2244"/>
      <c r="BW66" s="2244"/>
      <c r="BX66" s="2246"/>
      <c r="BY66" s="2246"/>
      <c r="BZ66" s="2246"/>
      <c r="CA66" s="2246"/>
      <c r="CB66" s="2246"/>
      <c r="CC66" s="2246"/>
      <c r="CD66" s="2246"/>
      <c r="CE66" s="2246"/>
      <c r="CF66" s="2246"/>
      <c r="CG66" s="2246"/>
      <c r="CH66" s="2246"/>
      <c r="CI66" s="2246"/>
      <c r="CJ66" s="2246"/>
      <c r="CK66" s="2246"/>
      <c r="CL66" s="2246"/>
      <c r="CM66" s="2246"/>
      <c r="CN66" s="2246"/>
      <c r="CO66" s="2246"/>
      <c r="CP66" s="2246"/>
      <c r="CQ66" s="2246"/>
      <c r="CR66" s="2246"/>
      <c r="CS66" s="2248"/>
      <c r="CT66" s="2248"/>
      <c r="CU66" s="2248"/>
      <c r="CV66" s="2248"/>
      <c r="CW66" s="2248"/>
      <c r="CX66" s="2248"/>
      <c r="CY66" s="2248"/>
      <c r="CZ66" s="2248"/>
      <c r="DA66" s="2248"/>
      <c r="DB66" s="2248"/>
      <c r="DC66" s="2248"/>
      <c r="DD66" s="2249"/>
      <c r="DE66" s="2249"/>
      <c r="DF66" s="2249"/>
      <c r="DG66" s="2249"/>
      <c r="DH66" s="2249"/>
      <c r="DI66" s="2249"/>
      <c r="DJ66" s="2249"/>
      <c r="DK66" s="2249"/>
      <c r="DL66" s="2249"/>
      <c r="DM66" s="2249"/>
      <c r="DN66" s="2249"/>
      <c r="DO66" s="2249"/>
      <c r="DP66" s="2249"/>
      <c r="DQ66" s="2249"/>
      <c r="DR66" s="2249"/>
      <c r="DS66" s="2249"/>
      <c r="DT66" s="2249"/>
      <c r="DU66" s="2249"/>
      <c r="DV66" s="2249"/>
      <c r="DW66" s="2249"/>
      <c r="DX66" s="2249"/>
      <c r="DY66" s="2249"/>
      <c r="DZ66" s="2249"/>
      <c r="EA66" s="2249"/>
      <c r="EB66" s="2249"/>
      <c r="EC66" s="2249"/>
      <c r="ED66" s="2249"/>
      <c r="EE66" s="2249"/>
      <c r="EF66" s="2248"/>
      <c r="EG66" s="2248"/>
    </row>
    <row r="67" spans="1:137" ht="18.899999999999999" customHeight="1">
      <c r="B67" s="2254"/>
      <c r="C67" s="2264"/>
      <c r="D67" s="2264"/>
      <c r="E67" s="2264"/>
      <c r="F67" s="2264"/>
      <c r="G67" s="2264"/>
      <c r="H67" s="2264"/>
      <c r="I67" s="2244"/>
      <c r="K67" s="2246"/>
      <c r="L67" s="2244"/>
      <c r="M67" s="2247"/>
      <c r="N67" s="2247"/>
      <c r="O67" s="2247"/>
      <c r="P67" s="2247"/>
      <c r="Q67" s="2246"/>
      <c r="R67" s="2246"/>
      <c r="S67" s="2246"/>
      <c r="T67" s="2246"/>
      <c r="U67" s="2246"/>
      <c r="V67" s="2246"/>
      <c r="W67" s="2246"/>
      <c r="X67" s="2246"/>
      <c r="Y67" s="2246"/>
      <c r="Z67" s="2246"/>
      <c r="AA67" s="2246"/>
      <c r="AB67" s="2246"/>
      <c r="AC67" s="2246"/>
      <c r="AD67" s="2246"/>
      <c r="AE67" s="2246"/>
      <c r="AF67" s="2246"/>
      <c r="AG67" s="2246"/>
      <c r="AH67" s="2246"/>
      <c r="AI67" s="2246"/>
      <c r="AJ67" s="2246"/>
      <c r="AK67" s="2246"/>
      <c r="AL67" s="2246"/>
      <c r="AM67" s="2246"/>
      <c r="AN67" s="2246"/>
      <c r="AO67" s="2246"/>
      <c r="AP67" s="2246"/>
      <c r="AQ67" s="2246"/>
      <c r="AR67" s="2246"/>
      <c r="AS67" s="2244"/>
      <c r="AT67" s="2244"/>
      <c r="AU67" s="2244"/>
      <c r="AV67" s="2244"/>
      <c r="AW67" s="2244"/>
      <c r="AX67" s="2244"/>
      <c r="AY67" s="2244"/>
      <c r="AZ67" s="2244"/>
      <c r="BA67" s="2244"/>
      <c r="BB67" s="2244"/>
      <c r="BC67" s="2244"/>
      <c r="BD67" s="2244"/>
      <c r="BE67" s="2244"/>
      <c r="BF67" s="2246"/>
      <c r="BG67" s="2246"/>
      <c r="BH67" s="2246"/>
      <c r="BI67" s="2246"/>
      <c r="BJ67" s="2246"/>
      <c r="BK67" s="2246"/>
      <c r="BL67" s="2246"/>
      <c r="BM67" s="2246"/>
      <c r="BN67" s="2246"/>
      <c r="BO67" s="2246"/>
      <c r="BP67" s="2246"/>
      <c r="BQ67" s="2246"/>
      <c r="BR67" s="2246"/>
      <c r="BS67" s="2244"/>
      <c r="BT67" s="2244"/>
      <c r="BU67" s="2244"/>
      <c r="BV67" s="2244"/>
      <c r="BW67" s="2244"/>
      <c r="BX67" s="2246"/>
      <c r="BY67" s="2246"/>
      <c r="BZ67" s="2246"/>
      <c r="CA67" s="2246"/>
      <c r="CB67" s="2246"/>
      <c r="CC67" s="2246"/>
      <c r="CD67" s="2246"/>
      <c r="CE67" s="2246"/>
      <c r="CF67" s="2246"/>
      <c r="CG67" s="2246"/>
      <c r="CH67" s="2246"/>
      <c r="CI67" s="2246"/>
      <c r="CJ67" s="2246"/>
      <c r="CK67" s="2246"/>
      <c r="CL67" s="2246"/>
      <c r="CM67" s="2246"/>
      <c r="CN67" s="2246"/>
      <c r="CO67" s="2246"/>
      <c r="CP67" s="2246"/>
      <c r="CQ67" s="2246"/>
      <c r="CR67" s="2246"/>
      <c r="CS67" s="2248"/>
      <c r="CT67" s="2248"/>
      <c r="CU67" s="2248"/>
      <c r="CV67" s="2248"/>
      <c r="CW67" s="2248"/>
      <c r="CX67" s="2248"/>
      <c r="CY67" s="2248"/>
      <c r="CZ67" s="2248"/>
      <c r="DA67" s="2248"/>
      <c r="DB67" s="2248"/>
      <c r="DC67" s="2248"/>
      <c r="DD67" s="2249"/>
      <c r="DE67" s="2249"/>
      <c r="DF67" s="2249"/>
      <c r="DG67" s="2249"/>
      <c r="DH67" s="2249"/>
      <c r="DI67" s="2249"/>
      <c r="DJ67" s="2249"/>
      <c r="DK67" s="2249"/>
      <c r="DL67" s="2249"/>
      <c r="DM67" s="2249"/>
      <c r="DN67" s="2249"/>
      <c r="DO67" s="2249"/>
      <c r="DP67" s="2249"/>
      <c r="DQ67" s="2249"/>
      <c r="DR67" s="2249"/>
      <c r="DS67" s="2249"/>
      <c r="DT67" s="2249"/>
      <c r="DU67" s="2249"/>
      <c r="DV67" s="2249"/>
      <c r="DW67" s="2249"/>
      <c r="DX67" s="2249"/>
      <c r="DY67" s="2249"/>
      <c r="DZ67" s="2249"/>
      <c r="EA67" s="2249"/>
      <c r="EB67" s="2249"/>
      <c r="EC67" s="2249"/>
      <c r="ED67" s="2249"/>
      <c r="EE67" s="2249"/>
      <c r="EF67" s="2248"/>
      <c r="EG67" s="2248"/>
    </row>
    <row r="68" spans="1:137" ht="18.899999999999999" customHeight="1" thickBot="1">
      <c r="A68" s="2265"/>
      <c r="B68" s="2244"/>
      <c r="C68" s="2245"/>
      <c r="D68" s="2245"/>
      <c r="E68" s="2245"/>
      <c r="F68" s="2245"/>
      <c r="G68" s="2245"/>
      <c r="H68" s="2245"/>
      <c r="I68" s="2244"/>
      <c r="J68" s="2244"/>
      <c r="K68" s="2246"/>
      <c r="L68" s="2244"/>
      <c r="M68" s="2247"/>
      <c r="N68" s="2247"/>
      <c r="O68" s="2247"/>
      <c r="P68" s="2266"/>
      <c r="Q68" s="2246"/>
      <c r="R68" s="2246"/>
      <c r="S68" s="2246"/>
      <c r="T68" s="2246"/>
      <c r="U68" s="2246"/>
      <c r="V68" s="2246"/>
      <c r="W68" s="2246"/>
      <c r="X68" s="2246"/>
      <c r="Y68" s="2246"/>
      <c r="Z68" s="2246"/>
      <c r="AA68" s="2246"/>
      <c r="AB68" s="2246"/>
      <c r="AC68" s="2246"/>
      <c r="AD68" s="2246"/>
      <c r="AE68" s="2246"/>
      <c r="AF68" s="2246"/>
      <c r="AG68" s="2246"/>
      <c r="AH68" s="2246"/>
      <c r="AI68" s="2246"/>
      <c r="AJ68" s="2246"/>
      <c r="AK68" s="2246"/>
      <c r="AL68" s="2246"/>
      <c r="AM68" s="2246"/>
      <c r="AN68" s="2246"/>
      <c r="AO68" s="2246"/>
      <c r="AP68" s="2246"/>
      <c r="AQ68" s="2246"/>
      <c r="AR68" s="2246"/>
      <c r="AS68" s="2244"/>
      <c r="AT68" s="2244"/>
      <c r="AU68" s="2244"/>
      <c r="AV68" s="2244"/>
      <c r="AW68" s="2244"/>
      <c r="AX68" s="2244"/>
      <c r="AY68" s="2244"/>
      <c r="AZ68" s="2244"/>
      <c r="BA68" s="2244"/>
      <c r="BB68" s="2244"/>
      <c r="BC68" s="2244"/>
      <c r="BD68" s="2244"/>
      <c r="BE68" s="2244"/>
      <c r="BF68" s="2246"/>
      <c r="BG68" s="2246"/>
      <c r="BH68" s="2246"/>
      <c r="BI68" s="2246"/>
      <c r="BJ68" s="2246"/>
      <c r="BK68" s="2246"/>
      <c r="BL68" s="2246"/>
      <c r="BM68" s="2246"/>
      <c r="BN68" s="2246"/>
      <c r="BO68" s="2246"/>
      <c r="BP68" s="2246"/>
      <c r="BQ68" s="2246"/>
      <c r="BR68" s="2246"/>
      <c r="BS68" s="2244"/>
      <c r="BT68" s="2244"/>
      <c r="BU68" s="2244"/>
      <c r="BV68" s="2244"/>
      <c r="BW68" s="2244"/>
      <c r="BX68" s="2246"/>
      <c r="BY68" s="2246"/>
      <c r="BZ68" s="2246"/>
      <c r="CA68" s="2246"/>
      <c r="CB68" s="2246"/>
      <c r="CC68" s="2246"/>
      <c r="CD68" s="2246"/>
      <c r="CE68" s="2246"/>
      <c r="CF68" s="2246"/>
      <c r="CG68" s="2246"/>
      <c r="CH68" s="2246"/>
      <c r="CI68" s="2246"/>
      <c r="CJ68" s="2246"/>
      <c r="CK68" s="2246"/>
      <c r="CL68" s="2246"/>
      <c r="CM68" s="2246"/>
      <c r="CN68" s="2246"/>
      <c r="CO68" s="2246"/>
      <c r="CP68" s="2246"/>
      <c r="CQ68" s="2246"/>
      <c r="CR68" s="2246"/>
      <c r="CS68" s="2248"/>
      <c r="CT68" s="2248"/>
      <c r="CU68" s="2248"/>
      <c r="CV68" s="2248"/>
      <c r="CW68" s="2248"/>
      <c r="CX68" s="2248"/>
      <c r="CY68" s="2248"/>
      <c r="CZ68" s="2248"/>
      <c r="DA68" s="2248"/>
      <c r="DB68" s="2248"/>
      <c r="DC68" s="2248"/>
      <c r="DD68" s="2249"/>
      <c r="DE68" s="2249"/>
      <c r="DF68" s="2249"/>
      <c r="DG68" s="2249"/>
      <c r="DH68" s="2249"/>
      <c r="DI68" s="2249"/>
      <c r="DJ68" s="2249"/>
      <c r="DK68" s="2249"/>
      <c r="DL68" s="2249"/>
      <c r="DM68" s="2249"/>
      <c r="DN68" s="2249"/>
      <c r="DO68" s="2249"/>
      <c r="DP68" s="2249"/>
      <c r="DQ68" s="2249"/>
      <c r="DR68" s="2249"/>
      <c r="DS68" s="2249"/>
      <c r="DT68" s="2249"/>
      <c r="DU68" s="2249"/>
      <c r="DV68" s="2249"/>
      <c r="DW68" s="2249"/>
      <c r="DX68" s="2249"/>
      <c r="DY68" s="2249"/>
      <c r="DZ68" s="2249"/>
      <c r="EA68" s="2249"/>
      <c r="EB68" s="2249"/>
      <c r="EC68" s="2249"/>
      <c r="ED68" s="2249"/>
      <c r="EE68" s="2249"/>
      <c r="EF68" s="2248"/>
      <c r="EG68" s="2248"/>
    </row>
    <row r="69" spans="1:137" ht="18.899999999999999" customHeight="1">
      <c r="A69" s="2244"/>
      <c r="B69" s="2244"/>
      <c r="C69" s="2245"/>
      <c r="D69" s="2245"/>
      <c r="E69" s="2245"/>
      <c r="F69" s="2245"/>
      <c r="G69" s="2245"/>
      <c r="H69" s="2245"/>
      <c r="I69" s="2244"/>
      <c r="J69" s="2244"/>
      <c r="K69" s="2267" t="s">
        <v>1136</v>
      </c>
      <c r="L69" s="2098"/>
      <c r="M69" s="2098"/>
      <c r="N69" s="2098"/>
      <c r="O69" s="2098"/>
      <c r="P69" s="2098">
        <v>1</v>
      </c>
      <c r="Q69" s="2098">
        <f t="shared" ref="Q69:BE69" si="17">VLOOKUP($K69,pp_3XDM,Q$89,0)</f>
        <v>0</v>
      </c>
      <c r="R69" s="2098">
        <f t="shared" si="17"/>
        <v>0</v>
      </c>
      <c r="S69" s="2098">
        <f t="shared" si="17"/>
        <v>0</v>
      </c>
      <c r="T69" s="2098">
        <f t="shared" si="17"/>
        <v>0</v>
      </c>
      <c r="U69" s="2098">
        <f t="shared" si="17"/>
        <v>0</v>
      </c>
      <c r="V69" s="2098">
        <f t="shared" si="17"/>
        <v>0</v>
      </c>
      <c r="W69" s="2098">
        <f t="shared" si="17"/>
        <v>0</v>
      </c>
      <c r="X69" s="2098">
        <f t="shared" si="17"/>
        <v>0</v>
      </c>
      <c r="Y69" s="2098">
        <f t="shared" si="17"/>
        <v>0</v>
      </c>
      <c r="Z69" s="2098">
        <f t="shared" si="17"/>
        <v>0</v>
      </c>
      <c r="AA69" s="2098">
        <f t="shared" si="17"/>
        <v>0</v>
      </c>
      <c r="AB69" s="2098">
        <f t="shared" si="17"/>
        <v>0</v>
      </c>
      <c r="AC69" s="2098">
        <f t="shared" si="17"/>
        <v>0</v>
      </c>
      <c r="AD69" s="2098">
        <f t="shared" si="17"/>
        <v>0</v>
      </c>
      <c r="AE69" s="2098">
        <f t="shared" si="17"/>
        <v>0</v>
      </c>
      <c r="AF69" s="2098">
        <f t="shared" si="17"/>
        <v>0</v>
      </c>
      <c r="AG69" s="2098">
        <f t="shared" si="17"/>
        <v>0</v>
      </c>
      <c r="AH69" s="2098">
        <f t="shared" si="17"/>
        <v>0</v>
      </c>
      <c r="AI69" s="2098">
        <f t="shared" si="17"/>
        <v>0</v>
      </c>
      <c r="AJ69" s="2098">
        <f t="shared" si="17"/>
        <v>0</v>
      </c>
      <c r="AK69" s="2098">
        <f t="shared" si="17"/>
        <v>0</v>
      </c>
      <c r="AL69" s="2098">
        <f t="shared" si="17"/>
        <v>0</v>
      </c>
      <c r="AM69" s="2098">
        <f t="shared" si="17"/>
        <v>0</v>
      </c>
      <c r="AN69" s="2098">
        <f t="shared" si="17"/>
        <v>0</v>
      </c>
      <c r="AO69" s="2098">
        <f t="shared" si="17"/>
        <v>0</v>
      </c>
      <c r="AP69" s="2098">
        <f t="shared" si="17"/>
        <v>0</v>
      </c>
      <c r="AQ69" s="2098">
        <f t="shared" si="17"/>
        <v>0</v>
      </c>
      <c r="AR69" s="2098">
        <f t="shared" si="17"/>
        <v>0</v>
      </c>
      <c r="AS69" s="2098">
        <f t="shared" si="17"/>
        <v>0</v>
      </c>
      <c r="AT69" s="2098">
        <f t="shared" si="17"/>
        <v>0</v>
      </c>
      <c r="AU69" s="2098">
        <f t="shared" si="17"/>
        <v>0</v>
      </c>
      <c r="AV69" s="2098">
        <f t="shared" si="17"/>
        <v>0</v>
      </c>
      <c r="AW69" s="2098">
        <f t="shared" si="17"/>
        <v>0</v>
      </c>
      <c r="AX69" s="2098">
        <f t="shared" si="17"/>
        <v>0</v>
      </c>
      <c r="AY69" s="2098">
        <f t="shared" si="17"/>
        <v>0</v>
      </c>
      <c r="AZ69" s="2098">
        <f t="shared" si="17"/>
        <v>0</v>
      </c>
      <c r="BA69" s="2098">
        <f t="shared" si="17"/>
        <v>0</v>
      </c>
      <c r="BB69" s="2098">
        <f t="shared" si="17"/>
        <v>0</v>
      </c>
      <c r="BC69" s="2098">
        <f t="shared" si="17"/>
        <v>0</v>
      </c>
      <c r="BD69" s="2098">
        <f t="shared" si="17"/>
        <v>0</v>
      </c>
      <c r="BE69" s="2098">
        <f t="shared" si="17"/>
        <v>0</v>
      </c>
      <c r="BF69" s="2098"/>
      <c r="BG69" s="2098"/>
      <c r="BH69" s="2098">
        <f t="shared" ref="BH69:CW69" si="18">VLOOKUP($K69,pp_3XDM,BH$89,0)</f>
        <v>0</v>
      </c>
      <c r="BI69" s="2098">
        <f t="shared" si="18"/>
        <v>0</v>
      </c>
      <c r="BJ69" s="2098">
        <f t="shared" si="18"/>
        <v>0</v>
      </c>
      <c r="BK69" s="2098">
        <f t="shared" si="18"/>
        <v>0</v>
      </c>
      <c r="BL69" s="2098">
        <f t="shared" si="18"/>
        <v>0</v>
      </c>
      <c r="BM69" s="2098">
        <f t="shared" si="18"/>
        <v>0</v>
      </c>
      <c r="BN69" s="2098">
        <f t="shared" si="18"/>
        <v>0</v>
      </c>
      <c r="BO69" s="2098">
        <f t="shared" si="18"/>
        <v>0</v>
      </c>
      <c r="BP69" s="2098">
        <f t="shared" si="18"/>
        <v>0</v>
      </c>
      <c r="BQ69" s="2098">
        <f t="shared" si="18"/>
        <v>0</v>
      </c>
      <c r="BR69" s="2098">
        <f t="shared" si="18"/>
        <v>0</v>
      </c>
      <c r="BS69" s="2098">
        <f t="shared" si="18"/>
        <v>0</v>
      </c>
      <c r="BT69" s="2098">
        <f t="shared" si="18"/>
        <v>0</v>
      </c>
      <c r="BU69" s="2098">
        <f t="shared" si="18"/>
        <v>0</v>
      </c>
      <c r="BV69" s="2098">
        <f t="shared" si="18"/>
        <v>0</v>
      </c>
      <c r="BW69" s="2098">
        <f t="shared" si="18"/>
        <v>0</v>
      </c>
      <c r="BX69" s="2098">
        <f t="shared" si="18"/>
        <v>0</v>
      </c>
      <c r="BY69" s="2098">
        <f t="shared" si="18"/>
        <v>0</v>
      </c>
      <c r="BZ69" s="2098">
        <f t="shared" si="18"/>
        <v>0</v>
      </c>
      <c r="CA69" s="2098">
        <f t="shared" si="18"/>
        <v>0</v>
      </c>
      <c r="CB69" s="2098">
        <f t="shared" si="18"/>
        <v>0</v>
      </c>
      <c r="CC69" s="2098">
        <f t="shared" si="18"/>
        <v>0</v>
      </c>
      <c r="CD69" s="2098">
        <f t="shared" si="18"/>
        <v>0</v>
      </c>
      <c r="CE69" s="2098">
        <f t="shared" si="18"/>
        <v>0</v>
      </c>
      <c r="CF69" s="2098">
        <f t="shared" si="18"/>
        <v>0</v>
      </c>
      <c r="CG69" s="2098">
        <f t="shared" si="18"/>
        <v>0</v>
      </c>
      <c r="CH69" s="2098">
        <f t="shared" si="18"/>
        <v>0</v>
      </c>
      <c r="CI69" s="2098">
        <f t="shared" si="18"/>
        <v>0</v>
      </c>
      <c r="CJ69" s="2098">
        <f t="shared" si="18"/>
        <v>0</v>
      </c>
      <c r="CK69" s="2098">
        <f t="shared" si="18"/>
        <v>0</v>
      </c>
      <c r="CL69" s="2098">
        <f t="shared" si="18"/>
        <v>0</v>
      </c>
      <c r="CM69" s="2098">
        <f t="shared" si="18"/>
        <v>0</v>
      </c>
      <c r="CN69" s="2098">
        <f t="shared" si="18"/>
        <v>0</v>
      </c>
      <c r="CO69" s="2098">
        <f t="shared" si="18"/>
        <v>0</v>
      </c>
      <c r="CP69" s="2098">
        <f t="shared" si="18"/>
        <v>0</v>
      </c>
      <c r="CQ69" s="2098">
        <f t="shared" si="18"/>
        <v>0</v>
      </c>
      <c r="CR69" s="2098">
        <f t="shared" si="18"/>
        <v>0</v>
      </c>
      <c r="CS69" s="2098">
        <f t="shared" si="18"/>
        <v>0</v>
      </c>
      <c r="CT69" s="2098">
        <f t="shared" si="18"/>
        <v>0</v>
      </c>
      <c r="CU69" s="2098">
        <f t="shared" si="18"/>
        <v>1</v>
      </c>
      <c r="CV69" s="2098">
        <f t="shared" si="18"/>
        <v>0</v>
      </c>
      <c r="CW69" s="2098">
        <f t="shared" si="18"/>
        <v>0</v>
      </c>
      <c r="CX69" s="2098"/>
      <c r="CY69" s="2098"/>
      <c r="CZ69" s="2098">
        <f t="shared" ref="CZ69:DX69" si="19">VLOOKUP($K69,pp_3XDM,CZ$89,0)</f>
        <v>0</v>
      </c>
      <c r="DA69" s="2098">
        <f t="shared" si="19"/>
        <v>0</v>
      </c>
      <c r="DB69" s="2098">
        <f t="shared" si="19"/>
        <v>0</v>
      </c>
      <c r="DC69" s="2098">
        <f t="shared" si="19"/>
        <v>0</v>
      </c>
      <c r="DD69" s="2098">
        <f t="shared" si="19"/>
        <v>0</v>
      </c>
      <c r="DE69" s="2098">
        <f t="shared" si="19"/>
        <v>0</v>
      </c>
      <c r="DF69" s="2098">
        <f t="shared" si="19"/>
        <v>0</v>
      </c>
      <c r="DG69" s="2098">
        <f t="shared" si="19"/>
        <v>0</v>
      </c>
      <c r="DH69" s="2098">
        <f t="shared" si="19"/>
        <v>0</v>
      </c>
      <c r="DI69" s="2098">
        <f t="shared" si="19"/>
        <v>0</v>
      </c>
      <c r="DJ69" s="2098">
        <f t="shared" si="19"/>
        <v>0</v>
      </c>
      <c r="DK69" s="2098">
        <f t="shared" si="19"/>
        <v>0</v>
      </c>
      <c r="DL69" s="2098">
        <f t="shared" si="19"/>
        <v>0</v>
      </c>
      <c r="DM69" s="2098">
        <f t="shared" si="19"/>
        <v>0</v>
      </c>
      <c r="DN69" s="2098">
        <f t="shared" si="19"/>
        <v>0</v>
      </c>
      <c r="DO69" s="2098">
        <f t="shared" si="19"/>
        <v>0</v>
      </c>
      <c r="DP69" s="2098">
        <f t="shared" si="19"/>
        <v>0</v>
      </c>
      <c r="DQ69" s="2098">
        <f t="shared" si="19"/>
        <v>0</v>
      </c>
      <c r="DR69" s="2098">
        <f t="shared" si="19"/>
        <v>0</v>
      </c>
      <c r="DS69" s="2098">
        <f t="shared" si="19"/>
        <v>0</v>
      </c>
      <c r="DT69" s="2098">
        <f t="shared" si="19"/>
        <v>0</v>
      </c>
      <c r="DU69" s="2098">
        <f t="shared" si="19"/>
        <v>0</v>
      </c>
      <c r="DV69" s="2098">
        <f t="shared" si="19"/>
        <v>0</v>
      </c>
      <c r="DW69" s="2098">
        <f t="shared" si="19"/>
        <v>0</v>
      </c>
      <c r="DX69" s="2098">
        <f t="shared" si="19"/>
        <v>0</v>
      </c>
      <c r="DY69" s="2098"/>
      <c r="DZ69" s="2098"/>
      <c r="EA69" s="2268"/>
      <c r="EB69" s="2268"/>
      <c r="EC69" s="2268"/>
      <c r="ED69" s="2268"/>
      <c r="EE69" s="2268"/>
      <c r="EF69" s="2269"/>
      <c r="EG69" s="2270"/>
    </row>
    <row r="70" spans="1:137" ht="18.899999999999999" customHeight="1">
      <c r="A70" s="2244"/>
      <c r="B70" s="2244"/>
      <c r="C70" s="2245"/>
      <c r="D70" s="2245"/>
      <c r="E70" s="2245"/>
      <c r="F70" s="2245"/>
      <c r="G70" s="2245"/>
      <c r="H70" s="2245"/>
      <c r="I70" s="2244"/>
      <c r="J70" s="2244"/>
      <c r="K70" s="2271" t="s">
        <v>1499</v>
      </c>
      <c r="L70" s="2272"/>
      <c r="M70" s="2272"/>
      <c r="N70" s="2272"/>
      <c r="O70" s="2272"/>
      <c r="P70" s="2272"/>
      <c r="Q70" s="2273"/>
      <c r="R70" s="2273"/>
      <c r="S70" s="2273"/>
      <c r="T70" s="2273"/>
      <c r="U70" s="2273"/>
      <c r="V70" s="2273"/>
      <c r="W70" s="2273"/>
      <c r="X70" s="2273"/>
      <c r="Y70" s="2273"/>
      <c r="Z70" s="2273"/>
      <c r="AA70" s="2273"/>
      <c r="AB70" s="2273"/>
      <c r="AC70" s="2273"/>
      <c r="AD70" s="2273"/>
      <c r="AE70" s="2273"/>
      <c r="AF70" s="2273"/>
      <c r="AG70" s="2273"/>
      <c r="AH70" s="2273"/>
      <c r="AI70" s="2273"/>
      <c r="AJ70" s="2273"/>
      <c r="AK70" s="2273"/>
      <c r="AL70" s="2273"/>
      <c r="AM70" s="2273"/>
      <c r="AN70" s="2273"/>
      <c r="AO70" s="2273"/>
      <c r="AP70" s="2273"/>
      <c r="AQ70" s="2273"/>
      <c r="AR70" s="2273"/>
      <c r="AS70" s="2272"/>
      <c r="AT70" s="2272"/>
      <c r="AU70" s="2272"/>
      <c r="AV70" s="2272"/>
      <c r="AW70" s="2272"/>
      <c r="AX70" s="2272"/>
      <c r="AY70" s="2272"/>
      <c r="AZ70" s="2272"/>
      <c r="BA70" s="2272"/>
      <c r="BB70" s="2272"/>
      <c r="BC70" s="2272"/>
      <c r="BD70" s="2272"/>
      <c r="BE70" s="2272"/>
      <c r="BF70" s="2273"/>
      <c r="BG70" s="2273"/>
      <c r="BH70" s="2273"/>
      <c r="BI70" s="2273"/>
      <c r="BJ70" s="2273"/>
      <c r="BK70" s="2273"/>
      <c r="BL70" s="2273"/>
      <c r="BM70" s="2273"/>
      <c r="BN70" s="2273"/>
      <c r="BO70" s="2273"/>
      <c r="BP70" s="2273"/>
      <c r="BQ70" s="2273"/>
      <c r="BR70" s="2273"/>
      <c r="BS70" s="2272"/>
      <c r="BT70" s="2272"/>
      <c r="BU70" s="2272"/>
      <c r="BV70" s="2272"/>
      <c r="BW70" s="2272"/>
      <c r="BX70" s="2273">
        <v>1</v>
      </c>
      <c r="BY70" s="2273"/>
      <c r="BZ70" s="2273"/>
      <c r="CA70" s="2273"/>
      <c r="CB70" s="2273"/>
      <c r="CC70" s="2273"/>
      <c r="CD70" s="2273"/>
      <c r="CE70" s="2273"/>
      <c r="CF70" s="2273"/>
      <c r="CG70" s="2273"/>
      <c r="CH70" s="2273"/>
      <c r="CI70" s="2273"/>
      <c r="CJ70" s="2273"/>
      <c r="CK70" s="2273"/>
      <c r="CL70" s="2273"/>
      <c r="CM70" s="2273"/>
      <c r="CN70" s="2273"/>
      <c r="CO70" s="2273"/>
      <c r="CP70" s="2273"/>
      <c r="CQ70" s="2273"/>
      <c r="CR70" s="2273"/>
      <c r="CS70" s="2272">
        <v>1</v>
      </c>
      <c r="CT70" s="2272"/>
      <c r="CU70" s="2272">
        <v>2</v>
      </c>
      <c r="CV70" s="2272"/>
      <c r="CW70" s="2272"/>
      <c r="CX70" s="2272"/>
      <c r="CY70" s="2272"/>
      <c r="CZ70" s="2272">
        <v>1</v>
      </c>
      <c r="DA70" s="2272"/>
      <c r="DB70" s="2272"/>
      <c r="DC70" s="2274"/>
      <c r="DD70" s="2275"/>
      <c r="DE70" s="2275"/>
      <c r="DF70" s="2275"/>
      <c r="DG70" s="2275"/>
      <c r="DH70" s="2275"/>
      <c r="DI70" s="2275"/>
      <c r="DJ70" s="2275"/>
      <c r="DK70" s="2275"/>
      <c r="DL70" s="2275"/>
      <c r="DM70" s="2275"/>
      <c r="DN70" s="2275"/>
      <c r="DO70" s="2275"/>
      <c r="DP70" s="2275"/>
      <c r="DQ70" s="2275"/>
      <c r="DR70" s="2275"/>
      <c r="DS70" s="2275"/>
      <c r="DT70" s="2275"/>
      <c r="DU70" s="2275"/>
      <c r="DV70" s="2275"/>
      <c r="DW70" s="2275"/>
      <c r="DX70" s="2275"/>
      <c r="DY70" s="2275"/>
      <c r="DZ70" s="2275"/>
      <c r="EA70" s="2275"/>
      <c r="EB70" s="2275"/>
      <c r="EC70" s="2275"/>
      <c r="ED70" s="2275"/>
      <c r="EE70" s="2275"/>
      <c r="EF70" s="2276"/>
      <c r="EG70" s="2145"/>
    </row>
    <row r="71" spans="1:137" ht="18.899999999999999" customHeight="1">
      <c r="A71" s="2244"/>
      <c r="B71" s="2244"/>
      <c r="C71" s="2245"/>
      <c r="D71" s="2245"/>
      <c r="E71" s="2245"/>
      <c r="F71" s="2245"/>
      <c r="G71" s="2245"/>
      <c r="H71" s="2245"/>
      <c r="I71" s="2244"/>
      <c r="J71" s="2244"/>
      <c r="K71" s="2277" t="s">
        <v>830</v>
      </c>
      <c r="L71" s="2272"/>
      <c r="M71" s="2272"/>
      <c r="N71" s="2272"/>
      <c r="O71" s="2272"/>
      <c r="P71" s="2272"/>
      <c r="Q71" s="2273"/>
      <c r="R71" s="2273"/>
      <c r="S71" s="2273"/>
      <c r="T71" s="2273"/>
      <c r="U71" s="2273"/>
      <c r="V71" s="2273"/>
      <c r="W71" s="2273"/>
      <c r="X71" s="2273"/>
      <c r="Y71" s="2273"/>
      <c r="Z71" s="2273"/>
      <c r="AA71" s="2273"/>
      <c r="AB71" s="2273"/>
      <c r="AC71" s="2273"/>
      <c r="AD71" s="2273"/>
      <c r="AE71" s="2273"/>
      <c r="AF71" s="2273"/>
      <c r="AG71" s="2273"/>
      <c r="AH71" s="2273"/>
      <c r="AI71" s="2273"/>
      <c r="AJ71" s="2273"/>
      <c r="AK71" s="2273"/>
      <c r="AL71" s="2273"/>
      <c r="AM71" s="2273"/>
      <c r="AN71" s="2273"/>
      <c r="AO71" s="2273"/>
      <c r="AP71" s="2273"/>
      <c r="AQ71" s="2273"/>
      <c r="AR71" s="2273"/>
      <c r="AS71" s="2272"/>
      <c r="AT71" s="2272"/>
      <c r="AU71" s="2272"/>
      <c r="AV71" s="2272"/>
      <c r="AW71" s="2272"/>
      <c r="AX71" s="2272"/>
      <c r="AY71" s="2272"/>
      <c r="AZ71" s="2272"/>
      <c r="BA71" s="2272"/>
      <c r="BB71" s="2272"/>
      <c r="BC71" s="2272"/>
      <c r="BD71" s="2272"/>
      <c r="BE71" s="2272"/>
      <c r="BF71" s="2273"/>
      <c r="BG71" s="2273"/>
      <c r="BH71" s="2273"/>
      <c r="BI71" s="2273"/>
      <c r="BJ71" s="2273"/>
      <c r="BK71" s="2273"/>
      <c r="BL71" s="2273"/>
      <c r="BM71" s="2273"/>
      <c r="BN71" s="2273"/>
      <c r="BO71" s="2273"/>
      <c r="BP71" s="2273"/>
      <c r="BQ71" s="2273"/>
      <c r="BR71" s="2273"/>
      <c r="BS71" s="2272"/>
      <c r="BT71" s="2272"/>
      <c r="BU71" s="2272"/>
      <c r="BV71" s="2272"/>
      <c r="BW71" s="2272"/>
      <c r="BX71" s="2273">
        <v>1</v>
      </c>
      <c r="BY71" s="2273"/>
      <c r="BZ71" s="2273"/>
      <c r="CA71" s="2273"/>
      <c r="CB71" s="2273">
        <v>1</v>
      </c>
      <c r="CC71" s="2273"/>
      <c r="CD71" s="2273"/>
      <c r="CE71" s="2273"/>
      <c r="CF71" s="2273"/>
      <c r="CG71" s="2273"/>
      <c r="CH71" s="2273"/>
      <c r="CI71" s="2273"/>
      <c r="CJ71" s="2273"/>
      <c r="CK71" s="2273"/>
      <c r="CL71" s="2273"/>
      <c r="CM71" s="2273"/>
      <c r="CN71" s="2273"/>
      <c r="CO71" s="2273"/>
      <c r="CP71" s="2273"/>
      <c r="CQ71" s="2273"/>
      <c r="CR71" s="2273"/>
      <c r="CS71" s="2272">
        <v>1</v>
      </c>
      <c r="CT71" s="2272"/>
      <c r="CU71" s="2272">
        <v>3</v>
      </c>
      <c r="CV71" s="2272"/>
      <c r="CW71" s="2272"/>
      <c r="CX71" s="2272"/>
      <c r="CY71" s="2272"/>
      <c r="CZ71" s="2272">
        <v>1</v>
      </c>
      <c r="DA71" s="2272"/>
      <c r="DB71" s="2272"/>
      <c r="DC71" s="2274"/>
      <c r="DD71" s="2275"/>
      <c r="DE71" s="2275"/>
      <c r="DF71" s="2275"/>
      <c r="DG71" s="2275"/>
      <c r="DH71" s="2275"/>
      <c r="DI71" s="2275"/>
      <c r="DJ71" s="2275"/>
      <c r="DK71" s="2275"/>
      <c r="DL71" s="2275"/>
      <c r="DM71" s="2275"/>
      <c r="DN71" s="2275"/>
      <c r="DO71" s="2275"/>
      <c r="DP71" s="2275"/>
      <c r="DQ71" s="2275"/>
      <c r="DR71" s="2275"/>
      <c r="DS71" s="2275"/>
      <c r="DT71" s="2275"/>
      <c r="DU71" s="2275"/>
      <c r="DV71" s="2275"/>
      <c r="DW71" s="2275"/>
      <c r="DX71" s="2275"/>
      <c r="DY71" s="2275"/>
      <c r="DZ71" s="2275"/>
      <c r="EA71" s="2275"/>
      <c r="EB71" s="2275"/>
      <c r="EC71" s="2275"/>
      <c r="ED71" s="2275"/>
      <c r="EE71" s="2275"/>
      <c r="EF71" s="2276"/>
      <c r="EG71" s="2145"/>
    </row>
    <row r="72" spans="1:137" ht="18.899999999999999" customHeight="1">
      <c r="A72" s="2244"/>
      <c r="B72" s="2244"/>
      <c r="C72" s="2245"/>
      <c r="D72" s="2245"/>
      <c r="E72" s="2245"/>
      <c r="F72" s="2245"/>
      <c r="G72" s="2245"/>
      <c r="H72" s="2245"/>
      <c r="I72" s="2244"/>
      <c r="J72" s="2244"/>
      <c r="K72" s="2278" t="s">
        <v>1457</v>
      </c>
      <c r="L72" s="2279"/>
      <c r="M72" s="2279"/>
      <c r="N72" s="2279"/>
      <c r="O72" s="2279"/>
      <c r="P72" s="2279"/>
      <c r="Q72" s="2275"/>
      <c r="R72" s="2275"/>
      <c r="S72" s="2275"/>
      <c r="T72" s="2275"/>
      <c r="U72" s="2275"/>
      <c r="V72" s="2275"/>
      <c r="W72" s="2275"/>
      <c r="X72" s="2275"/>
      <c r="Y72" s="2275"/>
      <c r="Z72" s="2275"/>
      <c r="AA72" s="2275"/>
      <c r="AB72" s="2275"/>
      <c r="AC72" s="2275"/>
      <c r="AD72" s="2275"/>
      <c r="AE72" s="2275"/>
      <c r="AF72" s="2275"/>
      <c r="AG72" s="2275"/>
      <c r="AH72" s="2275"/>
      <c r="AI72" s="2275"/>
      <c r="AJ72" s="2275"/>
      <c r="AK72" s="2275"/>
      <c r="AL72" s="2275"/>
      <c r="AM72" s="2275"/>
      <c r="AN72" s="2275"/>
      <c r="AO72" s="2275"/>
      <c r="AP72" s="2275"/>
      <c r="AQ72" s="2275"/>
      <c r="AR72" s="2275"/>
      <c r="AS72" s="2279"/>
      <c r="AT72" s="2279"/>
      <c r="AU72" s="2279"/>
      <c r="AV72" s="2279"/>
      <c r="AW72" s="2279"/>
      <c r="AX72" s="2279"/>
      <c r="AY72" s="2279"/>
      <c r="AZ72" s="2279"/>
      <c r="BA72" s="2279"/>
      <c r="BB72" s="2279"/>
      <c r="BC72" s="2279"/>
      <c r="BD72" s="2279"/>
      <c r="BE72" s="2279"/>
      <c r="BF72" s="2275"/>
      <c r="BG72" s="2275"/>
      <c r="BH72" s="2275"/>
      <c r="BI72" s="2275"/>
      <c r="BJ72" s="2275"/>
      <c r="BK72" s="2275"/>
      <c r="BL72" s="2275"/>
      <c r="BM72" s="2275"/>
      <c r="BN72" s="2275"/>
      <c r="BO72" s="2275"/>
      <c r="BP72" s="2275"/>
      <c r="BQ72" s="2275">
        <v>1</v>
      </c>
      <c r="BR72" s="2275"/>
      <c r="BS72" s="2279"/>
      <c r="BT72" s="2279"/>
      <c r="BU72" s="2279"/>
      <c r="BV72" s="2279"/>
      <c r="BW72" s="2279"/>
      <c r="BX72" s="2275"/>
      <c r="BY72" s="2275">
        <v>1</v>
      </c>
      <c r="BZ72" s="2275"/>
      <c r="CA72" s="2275"/>
      <c r="CB72" s="2275"/>
      <c r="CC72" s="2275"/>
      <c r="CD72" s="2275"/>
      <c r="CE72" s="2275"/>
      <c r="CF72" s="2275"/>
      <c r="CG72" s="2275"/>
      <c r="CH72" s="2275"/>
      <c r="CI72" s="2275"/>
      <c r="CJ72" s="2275"/>
      <c r="CK72" s="2275"/>
      <c r="CL72" s="2275"/>
      <c r="CM72" s="2275"/>
      <c r="CN72" s="2275"/>
      <c r="CO72" s="2275"/>
      <c r="CP72" s="2275"/>
      <c r="CQ72" s="2275"/>
      <c r="CR72" s="2275"/>
      <c r="CS72" s="2279"/>
      <c r="CT72" s="2279">
        <v>1</v>
      </c>
      <c r="CU72" s="2279">
        <v>4</v>
      </c>
      <c r="CV72" s="2279"/>
      <c r="CW72" s="2279"/>
      <c r="CX72" s="2279"/>
      <c r="CY72" s="2279"/>
      <c r="CZ72" s="2279">
        <v>1</v>
      </c>
      <c r="DA72" s="2279"/>
      <c r="DB72" s="2279"/>
      <c r="DC72" s="2280"/>
      <c r="DD72" s="2275"/>
      <c r="DE72" s="2275"/>
      <c r="DF72" s="2275"/>
      <c r="DG72" s="2275"/>
      <c r="DH72" s="2275"/>
      <c r="DI72" s="2275"/>
      <c r="DJ72" s="2275"/>
      <c r="DK72" s="2275"/>
      <c r="DL72" s="2275"/>
      <c r="DM72" s="2275"/>
      <c r="DN72" s="2275"/>
      <c r="DO72" s="2275"/>
      <c r="DP72" s="2275"/>
      <c r="DQ72" s="2275"/>
      <c r="DR72" s="2275"/>
      <c r="DS72" s="2275"/>
      <c r="DT72" s="2275"/>
      <c r="DU72" s="2275"/>
      <c r="DV72" s="2275"/>
      <c r="DW72" s="2275"/>
      <c r="DX72" s="2275"/>
      <c r="DY72" s="2275"/>
      <c r="DZ72" s="2275"/>
      <c r="EA72" s="2275"/>
      <c r="EB72" s="2275"/>
      <c r="EC72" s="2275"/>
      <c r="ED72" s="2275"/>
      <c r="EE72" s="2275"/>
      <c r="EF72" s="2276"/>
      <c r="EG72" s="2145"/>
    </row>
    <row r="73" spans="1:137" ht="18.899999999999999" customHeight="1">
      <c r="A73" s="2244"/>
      <c r="B73" s="2244"/>
      <c r="C73" s="2245"/>
      <c r="D73" s="2245"/>
      <c r="E73" s="2245"/>
      <c r="F73" s="2245"/>
      <c r="G73" s="2245"/>
      <c r="H73" s="2245"/>
      <c r="I73" s="2244"/>
      <c r="J73" s="2244"/>
      <c r="K73" s="2278" t="s">
        <v>831</v>
      </c>
      <c r="L73" s="2279"/>
      <c r="M73" s="2279"/>
      <c r="N73" s="2279"/>
      <c r="O73" s="2279"/>
      <c r="P73" s="2279"/>
      <c r="Q73" s="2275"/>
      <c r="R73" s="2275"/>
      <c r="S73" s="2275"/>
      <c r="T73" s="2275"/>
      <c r="U73" s="2275"/>
      <c r="V73" s="2275"/>
      <c r="W73" s="2275"/>
      <c r="X73" s="2275"/>
      <c r="Y73" s="2275"/>
      <c r="Z73" s="2275"/>
      <c r="AA73" s="2275"/>
      <c r="AB73" s="2275"/>
      <c r="AC73" s="2275"/>
      <c r="AD73" s="2275"/>
      <c r="AE73" s="2275"/>
      <c r="AF73" s="2275"/>
      <c r="AG73" s="2275"/>
      <c r="AH73" s="2275"/>
      <c r="AI73" s="2275"/>
      <c r="AJ73" s="2275"/>
      <c r="AK73" s="2275"/>
      <c r="AL73" s="2275"/>
      <c r="AM73" s="2275"/>
      <c r="AN73" s="2275"/>
      <c r="AO73" s="2275"/>
      <c r="AP73" s="2275"/>
      <c r="AQ73" s="2275"/>
      <c r="AR73" s="2275"/>
      <c r="AS73" s="2279"/>
      <c r="AT73" s="2279"/>
      <c r="AU73" s="2279"/>
      <c r="AV73" s="2279"/>
      <c r="AW73" s="2279"/>
      <c r="AX73" s="2279"/>
      <c r="AY73" s="2279"/>
      <c r="AZ73" s="2279"/>
      <c r="BA73" s="2279"/>
      <c r="BB73" s="2279"/>
      <c r="BC73" s="2279"/>
      <c r="BD73" s="2279"/>
      <c r="BE73" s="2279"/>
      <c r="BF73" s="2275"/>
      <c r="BG73" s="2275"/>
      <c r="BH73" s="2275"/>
      <c r="BI73" s="2275"/>
      <c r="BJ73" s="2275"/>
      <c r="BK73" s="2275"/>
      <c r="BL73" s="2275"/>
      <c r="BM73" s="2275"/>
      <c r="BN73" s="2275"/>
      <c r="BO73" s="2275"/>
      <c r="BP73" s="2275"/>
      <c r="BQ73" s="2275">
        <v>1</v>
      </c>
      <c r="BR73" s="2275"/>
      <c r="BS73" s="2279"/>
      <c r="BT73" s="2279"/>
      <c r="BU73" s="2279"/>
      <c r="BV73" s="2279"/>
      <c r="BW73" s="2279"/>
      <c r="BX73" s="2275"/>
      <c r="BY73" s="2275">
        <v>1</v>
      </c>
      <c r="BZ73" s="2275"/>
      <c r="CA73" s="2275"/>
      <c r="CB73" s="2275"/>
      <c r="CC73" s="2275">
        <v>1</v>
      </c>
      <c r="CD73" s="2275"/>
      <c r="CE73" s="2275"/>
      <c r="CF73" s="2275"/>
      <c r="CG73" s="2275"/>
      <c r="CH73" s="2275"/>
      <c r="CI73" s="2275"/>
      <c r="CJ73" s="2275"/>
      <c r="CK73" s="2275"/>
      <c r="CL73" s="2275"/>
      <c r="CM73" s="2275"/>
      <c r="CN73" s="2275"/>
      <c r="CO73" s="2275"/>
      <c r="CP73" s="2275"/>
      <c r="CQ73" s="2275"/>
      <c r="CR73" s="2275"/>
      <c r="CS73" s="2279"/>
      <c r="CT73" s="2279">
        <v>1</v>
      </c>
      <c r="CU73" s="2279">
        <v>6</v>
      </c>
      <c r="CV73" s="2279"/>
      <c r="CW73" s="2279"/>
      <c r="CX73" s="2279"/>
      <c r="CY73" s="2279"/>
      <c r="CZ73" s="2279">
        <v>1</v>
      </c>
      <c r="DA73" s="2279"/>
      <c r="DB73" s="2279"/>
      <c r="DC73" s="2280"/>
      <c r="DD73" s="2275"/>
      <c r="DE73" s="2275"/>
      <c r="DF73" s="2275"/>
      <c r="DG73" s="2275"/>
      <c r="DH73" s="2275"/>
      <c r="DI73" s="2275"/>
      <c r="DJ73" s="2275"/>
      <c r="DK73" s="2275"/>
      <c r="DL73" s="2275"/>
      <c r="DM73" s="2275"/>
      <c r="DN73" s="2275"/>
      <c r="DO73" s="2275"/>
      <c r="DP73" s="2275"/>
      <c r="DQ73" s="2275"/>
      <c r="DR73" s="2275"/>
      <c r="DS73" s="2275"/>
      <c r="DT73" s="2275"/>
      <c r="DU73" s="2275"/>
      <c r="DV73" s="2275"/>
      <c r="DW73" s="2275"/>
      <c r="DX73" s="2275"/>
      <c r="DY73" s="2275"/>
      <c r="DZ73" s="2275"/>
      <c r="EA73" s="2275"/>
      <c r="EB73" s="2275"/>
      <c r="EC73" s="2275"/>
      <c r="ED73" s="2275"/>
      <c r="EE73" s="2275"/>
      <c r="EF73" s="2276"/>
      <c r="EG73" s="2145"/>
    </row>
    <row r="74" spans="1:137" ht="18.899999999999999" customHeight="1">
      <c r="A74" s="2244"/>
      <c r="B74" s="2244"/>
      <c r="C74" s="2245"/>
      <c r="D74" s="2245"/>
      <c r="E74" s="2245"/>
      <c r="F74" s="2245"/>
      <c r="G74" s="2245"/>
      <c r="H74" s="2245"/>
      <c r="I74" s="2244"/>
      <c r="J74" s="2244"/>
      <c r="K74" s="2278" t="s">
        <v>65</v>
      </c>
      <c r="L74" s="2279"/>
      <c r="M74" s="2279"/>
      <c r="N74" s="2279"/>
      <c r="O74" s="2279"/>
      <c r="P74" s="2279"/>
      <c r="Q74" s="2275"/>
      <c r="R74" s="2275"/>
      <c r="S74" s="2275"/>
      <c r="T74" s="2275"/>
      <c r="U74" s="2275"/>
      <c r="V74" s="2275"/>
      <c r="W74" s="2275"/>
      <c r="X74" s="2275"/>
      <c r="Y74" s="2275"/>
      <c r="Z74" s="2275"/>
      <c r="AA74" s="2275"/>
      <c r="AB74" s="2275"/>
      <c r="AC74" s="2275"/>
      <c r="AD74" s="2275"/>
      <c r="AE74" s="2275"/>
      <c r="AF74" s="2275"/>
      <c r="AG74" s="2275"/>
      <c r="AH74" s="2275"/>
      <c r="AI74" s="2275"/>
      <c r="AJ74" s="2275"/>
      <c r="AK74" s="2275"/>
      <c r="AL74" s="2275"/>
      <c r="AM74" s="2275"/>
      <c r="AN74" s="2275"/>
      <c r="AO74" s="2275"/>
      <c r="AP74" s="2275"/>
      <c r="AQ74" s="2275"/>
      <c r="AR74" s="2275"/>
      <c r="AS74" s="2279"/>
      <c r="AT74" s="2279"/>
      <c r="AU74" s="2279"/>
      <c r="AV74" s="2279"/>
      <c r="AW74" s="2279"/>
      <c r="AX74" s="2279"/>
      <c r="AY74" s="2279"/>
      <c r="AZ74" s="2279"/>
      <c r="BA74" s="2279"/>
      <c r="BB74" s="2279"/>
      <c r="BC74" s="2279"/>
      <c r="BD74" s="2279"/>
      <c r="BE74" s="2279"/>
      <c r="BF74" s="2275"/>
      <c r="BG74" s="2275"/>
      <c r="BH74" s="2275"/>
      <c r="BI74" s="2275"/>
      <c r="BJ74" s="2275"/>
      <c r="BK74" s="2275"/>
      <c r="BL74" s="2275"/>
      <c r="BM74" s="2275"/>
      <c r="BN74" s="2275"/>
      <c r="BO74" s="2275"/>
      <c r="BP74" s="2275"/>
      <c r="BQ74" s="2275">
        <v>4</v>
      </c>
      <c r="BR74" s="2275"/>
      <c r="BS74" s="2279"/>
      <c r="BT74" s="2279"/>
      <c r="BU74" s="2279"/>
      <c r="BV74" s="2279"/>
      <c r="BW74" s="2279"/>
      <c r="BX74" s="2275"/>
      <c r="BY74" s="2275"/>
      <c r="BZ74" s="2275"/>
      <c r="CA74" s="2275"/>
      <c r="CB74" s="2275"/>
      <c r="CC74" s="2275"/>
      <c r="CD74" s="2275"/>
      <c r="CE74" s="2275"/>
      <c r="CF74" s="2275"/>
      <c r="CG74" s="2275"/>
      <c r="CH74" s="2275"/>
      <c r="CI74" s="2275"/>
      <c r="CJ74" s="2275">
        <v>1</v>
      </c>
      <c r="CK74" s="2275"/>
      <c r="CL74" s="2275"/>
      <c r="CM74" s="2275">
        <v>1</v>
      </c>
      <c r="CN74" s="2275"/>
      <c r="CO74" s="2275"/>
      <c r="CP74" s="2275">
        <v>1</v>
      </c>
      <c r="CQ74" s="2275"/>
      <c r="CR74" s="2275"/>
      <c r="CS74" s="2279"/>
      <c r="CT74" s="2279"/>
      <c r="CU74" s="2279">
        <v>6</v>
      </c>
      <c r="CV74" s="2279"/>
      <c r="CW74" s="2279"/>
      <c r="CX74" s="2279"/>
      <c r="CY74" s="2279"/>
      <c r="CZ74" s="2279"/>
      <c r="DA74" s="2279"/>
      <c r="DB74" s="2279"/>
      <c r="DC74" s="2280">
        <v>2</v>
      </c>
      <c r="DD74" s="2275"/>
      <c r="DE74" s="2275"/>
      <c r="DF74" s="2275"/>
      <c r="DG74" s="2275"/>
      <c r="DH74" s="2275"/>
      <c r="DI74" s="2275"/>
      <c r="DJ74" s="2275">
        <v>6</v>
      </c>
      <c r="DK74" s="2275"/>
      <c r="DL74" s="2275"/>
      <c r="DM74" s="2275"/>
      <c r="DN74" s="2275"/>
      <c r="DO74" s="2275"/>
      <c r="DP74" s="2275"/>
      <c r="DQ74" s="2275">
        <v>6</v>
      </c>
      <c r="DR74" s="2275"/>
      <c r="DS74" s="2275"/>
      <c r="DT74" s="2275"/>
      <c r="DU74" s="2275"/>
      <c r="DV74" s="2275"/>
      <c r="DW74" s="2275"/>
      <c r="DX74" s="2275"/>
      <c r="DY74" s="2275"/>
      <c r="DZ74" s="2275"/>
      <c r="EA74" s="2275"/>
      <c r="EB74" s="2275"/>
      <c r="EC74" s="2275"/>
      <c r="ED74" s="2275"/>
      <c r="EE74" s="2275"/>
      <c r="EF74" s="2276"/>
      <c r="EG74" s="2145"/>
    </row>
    <row r="75" spans="1:137" ht="18.899999999999999" customHeight="1">
      <c r="A75" s="2244"/>
      <c r="B75" s="2244"/>
      <c r="C75" s="2245"/>
      <c r="D75" s="2245"/>
      <c r="E75" s="2245"/>
      <c r="F75" s="2245"/>
      <c r="G75" s="2245"/>
      <c r="H75" s="2245"/>
      <c r="I75" s="2244"/>
      <c r="J75" s="2244"/>
      <c r="K75" s="2278" t="s">
        <v>66</v>
      </c>
      <c r="L75" s="2279"/>
      <c r="M75" s="2279"/>
      <c r="N75" s="2279"/>
      <c r="O75" s="2279"/>
      <c r="P75" s="2279"/>
      <c r="Q75" s="2275"/>
      <c r="R75" s="2275"/>
      <c r="S75" s="2275"/>
      <c r="T75" s="2275"/>
      <c r="U75" s="2275"/>
      <c r="V75" s="2275"/>
      <c r="W75" s="2275"/>
      <c r="X75" s="2275"/>
      <c r="Y75" s="2275"/>
      <c r="Z75" s="2275"/>
      <c r="AA75" s="2275"/>
      <c r="AB75" s="2275"/>
      <c r="AC75" s="2275"/>
      <c r="AD75" s="2275"/>
      <c r="AE75" s="2275"/>
      <c r="AF75" s="2275"/>
      <c r="AG75" s="2275"/>
      <c r="AH75" s="2275"/>
      <c r="AI75" s="2275"/>
      <c r="AJ75" s="2275"/>
      <c r="AK75" s="2275"/>
      <c r="AL75" s="2275"/>
      <c r="AM75" s="2275"/>
      <c r="AN75" s="2275"/>
      <c r="AO75" s="2275"/>
      <c r="AP75" s="2275"/>
      <c r="AQ75" s="2275"/>
      <c r="AR75" s="2275"/>
      <c r="AS75" s="2279"/>
      <c r="AT75" s="2279"/>
      <c r="AU75" s="2279"/>
      <c r="AV75" s="2279"/>
      <c r="AW75" s="2279"/>
      <c r="AX75" s="2279"/>
      <c r="AY75" s="2279"/>
      <c r="AZ75" s="2279"/>
      <c r="BA75" s="2279"/>
      <c r="BB75" s="2279"/>
      <c r="BC75" s="2279"/>
      <c r="BD75" s="2279"/>
      <c r="BE75" s="2279"/>
      <c r="BF75" s="2275"/>
      <c r="BG75" s="2275"/>
      <c r="BH75" s="2275"/>
      <c r="BI75" s="2275"/>
      <c r="BJ75" s="2275"/>
      <c r="BK75" s="2275"/>
      <c r="BL75" s="2275"/>
      <c r="BM75" s="2275"/>
      <c r="BN75" s="2275"/>
      <c r="BO75" s="2275"/>
      <c r="BP75" s="2275"/>
      <c r="BQ75" s="2275">
        <v>3</v>
      </c>
      <c r="BR75" s="2275"/>
      <c r="BS75" s="2279"/>
      <c r="BT75" s="2279"/>
      <c r="BU75" s="2279"/>
      <c r="BV75" s="2279"/>
      <c r="BW75" s="2279"/>
      <c r="BX75" s="2275"/>
      <c r="BY75" s="2275">
        <v>1</v>
      </c>
      <c r="BZ75" s="2275"/>
      <c r="CA75" s="2275"/>
      <c r="CB75" s="2275"/>
      <c r="CC75" s="2275"/>
      <c r="CD75" s="2275"/>
      <c r="CE75" s="2275"/>
      <c r="CF75" s="2275"/>
      <c r="CG75" s="2275"/>
      <c r="CH75" s="2275"/>
      <c r="CI75" s="2275"/>
      <c r="CJ75" s="2275">
        <v>1</v>
      </c>
      <c r="CK75" s="2275"/>
      <c r="CL75" s="2275"/>
      <c r="CM75" s="2275">
        <v>1</v>
      </c>
      <c r="CN75" s="2275"/>
      <c r="CO75" s="2275"/>
      <c r="CP75" s="2275">
        <v>1</v>
      </c>
      <c r="CQ75" s="2275"/>
      <c r="CR75" s="2275"/>
      <c r="CS75" s="2279"/>
      <c r="CT75" s="2279"/>
      <c r="CU75" s="2279">
        <v>4</v>
      </c>
      <c r="CV75" s="2279"/>
      <c r="CW75" s="2279"/>
      <c r="CX75" s="2279"/>
      <c r="CY75" s="2279"/>
      <c r="CZ75" s="2279"/>
      <c r="DA75" s="2279"/>
      <c r="DB75" s="2279"/>
      <c r="DC75" s="2280">
        <v>2</v>
      </c>
      <c r="DD75" s="2275"/>
      <c r="DE75" s="2275"/>
      <c r="DF75" s="2275"/>
      <c r="DG75" s="2275"/>
      <c r="DH75" s="2275"/>
      <c r="DI75" s="2275"/>
      <c r="DJ75" s="2275">
        <v>6</v>
      </c>
      <c r="DK75" s="2275"/>
      <c r="DL75" s="2275"/>
      <c r="DM75" s="2275"/>
      <c r="DN75" s="2275"/>
      <c r="DO75" s="2275"/>
      <c r="DP75" s="2275"/>
      <c r="DQ75" s="2275">
        <v>6</v>
      </c>
      <c r="DR75" s="2275"/>
      <c r="DS75" s="2275"/>
      <c r="DT75" s="2275"/>
      <c r="DU75" s="2275"/>
      <c r="DV75" s="2275"/>
      <c r="DW75" s="2275"/>
      <c r="DX75" s="2275"/>
      <c r="DY75" s="2275"/>
      <c r="DZ75" s="2275"/>
      <c r="EA75" s="2275"/>
      <c r="EB75" s="2275"/>
      <c r="EC75" s="2275"/>
      <c r="ED75" s="2275"/>
      <c r="EE75" s="2275"/>
      <c r="EF75" s="2276"/>
      <c r="EG75" s="2145"/>
    </row>
    <row r="76" spans="1:137" ht="18.899999999999999" customHeight="1">
      <c r="A76" s="2244"/>
      <c r="B76" s="2244"/>
      <c r="C76" s="2245"/>
      <c r="D76" s="2245"/>
      <c r="E76" s="2245"/>
      <c r="F76" s="2245"/>
      <c r="G76" s="2245"/>
      <c r="H76" s="2245"/>
      <c r="I76" s="2244"/>
      <c r="J76" s="2244"/>
      <c r="K76" s="2278" t="s">
        <v>67</v>
      </c>
      <c r="L76" s="2279"/>
      <c r="M76" s="2279"/>
      <c r="N76" s="2279"/>
      <c r="O76" s="2279"/>
      <c r="P76" s="2279"/>
      <c r="Q76" s="2275"/>
      <c r="R76" s="2275"/>
      <c r="S76" s="2275"/>
      <c r="T76" s="2275"/>
      <c r="U76" s="2275"/>
      <c r="V76" s="2275"/>
      <c r="W76" s="2275"/>
      <c r="X76" s="2275"/>
      <c r="Y76" s="2275"/>
      <c r="Z76" s="2275"/>
      <c r="AA76" s="2275"/>
      <c r="AB76" s="2275"/>
      <c r="AC76" s="2275"/>
      <c r="AD76" s="2275"/>
      <c r="AE76" s="2275"/>
      <c r="AF76" s="2275"/>
      <c r="AG76" s="2275"/>
      <c r="AH76" s="2275"/>
      <c r="AI76" s="2275"/>
      <c r="AJ76" s="2275"/>
      <c r="AK76" s="2275"/>
      <c r="AL76" s="2275"/>
      <c r="AM76" s="2275"/>
      <c r="AN76" s="2275"/>
      <c r="AO76" s="2275"/>
      <c r="AP76" s="2275"/>
      <c r="AQ76" s="2275"/>
      <c r="AR76" s="2275"/>
      <c r="AS76" s="2279"/>
      <c r="AT76" s="2279"/>
      <c r="AU76" s="2279"/>
      <c r="AV76" s="2279"/>
      <c r="AW76" s="2279"/>
      <c r="AX76" s="2279"/>
      <c r="AY76" s="2279"/>
      <c r="AZ76" s="2279"/>
      <c r="BA76" s="2279"/>
      <c r="BB76" s="2279"/>
      <c r="BC76" s="2279"/>
      <c r="BD76" s="2279"/>
      <c r="BE76" s="2279"/>
      <c r="BF76" s="2275"/>
      <c r="BG76" s="2275"/>
      <c r="BH76" s="2275"/>
      <c r="BI76" s="2275"/>
      <c r="BJ76" s="2275"/>
      <c r="BK76" s="2275"/>
      <c r="BL76" s="2275"/>
      <c r="BM76" s="2275"/>
      <c r="BN76" s="2275"/>
      <c r="BO76" s="2275"/>
      <c r="BP76" s="2275"/>
      <c r="BQ76" s="2275">
        <v>4</v>
      </c>
      <c r="BR76" s="2275"/>
      <c r="BS76" s="2279"/>
      <c r="BT76" s="2279"/>
      <c r="BU76" s="2279"/>
      <c r="BV76" s="2279"/>
      <c r="BW76" s="2279"/>
      <c r="BX76" s="2275"/>
      <c r="BY76" s="2275"/>
      <c r="BZ76" s="2275"/>
      <c r="CA76" s="2275"/>
      <c r="CB76" s="2275"/>
      <c r="CC76" s="2275"/>
      <c r="CD76" s="2275"/>
      <c r="CE76" s="2275"/>
      <c r="CF76" s="2275"/>
      <c r="CG76" s="2275"/>
      <c r="CH76" s="2275"/>
      <c r="CI76" s="2275"/>
      <c r="CJ76" s="2275">
        <v>1</v>
      </c>
      <c r="CK76" s="2275"/>
      <c r="CL76" s="2275"/>
      <c r="CM76" s="2275">
        <v>1</v>
      </c>
      <c r="CN76" s="2275"/>
      <c r="CO76" s="2275"/>
      <c r="CP76" s="2275">
        <v>1</v>
      </c>
      <c r="CQ76" s="2275"/>
      <c r="CR76" s="2275"/>
      <c r="CS76" s="2279"/>
      <c r="CT76" s="2279"/>
      <c r="CU76" s="2279">
        <v>6</v>
      </c>
      <c r="CV76" s="2279"/>
      <c r="CW76" s="2279">
        <v>6</v>
      </c>
      <c r="CX76" s="2279"/>
      <c r="CY76" s="2279"/>
      <c r="CZ76" s="2279"/>
      <c r="DA76" s="2279"/>
      <c r="DB76" s="2279"/>
      <c r="DC76" s="2280">
        <v>2</v>
      </c>
      <c r="DD76" s="2275"/>
      <c r="DE76" s="2275"/>
      <c r="DF76" s="2275"/>
      <c r="DG76" s="2275"/>
      <c r="DH76" s="2275"/>
      <c r="DI76" s="2275"/>
      <c r="DJ76" s="2275">
        <v>6</v>
      </c>
      <c r="DK76" s="2275"/>
      <c r="DL76" s="2275"/>
      <c r="DM76" s="2275"/>
      <c r="DN76" s="2275"/>
      <c r="DO76" s="2275"/>
      <c r="DP76" s="2275"/>
      <c r="DQ76" s="2275">
        <v>6</v>
      </c>
      <c r="DR76" s="2275"/>
      <c r="DS76" s="2275"/>
      <c r="DT76" s="2275"/>
      <c r="DU76" s="2275"/>
      <c r="DV76" s="2275"/>
      <c r="DW76" s="2275"/>
      <c r="DX76" s="2275"/>
      <c r="DY76" s="2275"/>
      <c r="DZ76" s="2275"/>
      <c r="EA76" s="2275"/>
      <c r="EB76" s="2275"/>
      <c r="EC76" s="2275"/>
      <c r="ED76" s="2275"/>
      <c r="EE76" s="2275"/>
      <c r="EF76" s="2276"/>
      <c r="EG76" s="2145"/>
    </row>
    <row r="77" spans="1:137" ht="18.899999999999999" customHeight="1">
      <c r="A77" s="2244"/>
      <c r="B77" s="2244"/>
      <c r="C77" s="2245"/>
      <c r="D77" s="2245"/>
      <c r="E77" s="2245"/>
      <c r="F77" s="2245"/>
      <c r="G77" s="2245"/>
      <c r="H77" s="2245"/>
      <c r="I77" s="2244"/>
      <c r="J77" s="2244"/>
      <c r="K77" s="2278" t="s">
        <v>1135</v>
      </c>
      <c r="L77" s="2279"/>
      <c r="M77" s="2279"/>
      <c r="N77" s="2279"/>
      <c r="O77" s="2279"/>
      <c r="P77" s="2279"/>
      <c r="Q77" s="2275"/>
      <c r="R77" s="2275"/>
      <c r="S77" s="2275"/>
      <c r="T77" s="2275"/>
      <c r="U77" s="2275"/>
      <c r="V77" s="2275"/>
      <c r="W77" s="2275"/>
      <c r="X77" s="2275"/>
      <c r="Y77" s="2275"/>
      <c r="Z77" s="2275"/>
      <c r="AA77" s="2275"/>
      <c r="AB77" s="2275"/>
      <c r="AC77" s="2275"/>
      <c r="AD77" s="2275"/>
      <c r="AE77" s="2275"/>
      <c r="AF77" s="2275"/>
      <c r="AG77" s="2275"/>
      <c r="AH77" s="2275"/>
      <c r="AI77" s="2275"/>
      <c r="AJ77" s="2275"/>
      <c r="AK77" s="2275"/>
      <c r="AL77" s="2275"/>
      <c r="AM77" s="2275"/>
      <c r="AN77" s="2275"/>
      <c r="AO77" s="2275"/>
      <c r="AP77" s="2275"/>
      <c r="AQ77" s="2275"/>
      <c r="AR77" s="2275"/>
      <c r="AS77" s="2279"/>
      <c r="AT77" s="2279"/>
      <c r="AU77" s="2279"/>
      <c r="AV77" s="2279"/>
      <c r="AW77" s="2279"/>
      <c r="AX77" s="2279"/>
      <c r="AY77" s="2279"/>
      <c r="AZ77" s="2279"/>
      <c r="BA77" s="2279"/>
      <c r="BB77" s="2279"/>
      <c r="BC77" s="2279"/>
      <c r="BD77" s="2279"/>
      <c r="BE77" s="2279"/>
      <c r="BF77" s="2275"/>
      <c r="BG77" s="2275"/>
      <c r="BH77" s="2275"/>
      <c r="BI77" s="2275"/>
      <c r="BJ77" s="2275"/>
      <c r="BK77" s="2275"/>
      <c r="BL77" s="2275"/>
      <c r="BM77" s="2275"/>
      <c r="BN77" s="2275"/>
      <c r="BO77" s="2275"/>
      <c r="BP77" s="2275"/>
      <c r="BQ77" s="2275">
        <v>2</v>
      </c>
      <c r="BR77" s="2275"/>
      <c r="BS77" s="2279"/>
      <c r="BT77" s="2279"/>
      <c r="BU77" s="2279"/>
      <c r="BV77" s="2279"/>
      <c r="BW77" s="2279"/>
      <c r="BX77" s="2275"/>
      <c r="BY77" s="2275"/>
      <c r="BZ77" s="2275"/>
      <c r="CA77" s="2275"/>
      <c r="CB77" s="2275"/>
      <c r="CC77" s="2275"/>
      <c r="CD77" s="2275"/>
      <c r="CE77" s="2275"/>
      <c r="CF77" s="2275"/>
      <c r="CG77" s="2275"/>
      <c r="CH77" s="2275"/>
      <c r="CI77" s="2275"/>
      <c r="CJ77" s="2275">
        <v>1</v>
      </c>
      <c r="CK77" s="2275"/>
      <c r="CL77" s="2275"/>
      <c r="CM77" s="2275">
        <v>1</v>
      </c>
      <c r="CN77" s="2275"/>
      <c r="CO77" s="2275"/>
      <c r="CP77" s="2275">
        <v>1</v>
      </c>
      <c r="CQ77" s="2275"/>
      <c r="CR77" s="2275"/>
      <c r="CS77" s="2279"/>
      <c r="CT77" s="2279"/>
      <c r="CU77" s="2279"/>
      <c r="CV77" s="2279"/>
      <c r="CW77" s="2279">
        <v>3</v>
      </c>
      <c r="CX77" s="2279"/>
      <c r="CY77" s="2279"/>
      <c r="CZ77" s="2279"/>
      <c r="DA77" s="2279"/>
      <c r="DB77" s="2279"/>
      <c r="DC77" s="2280">
        <v>1</v>
      </c>
      <c r="DD77" s="2275"/>
      <c r="DE77" s="2275"/>
      <c r="DF77" s="2275"/>
      <c r="DG77" s="2275"/>
      <c r="DH77" s="2275"/>
      <c r="DI77" s="2275"/>
      <c r="DJ77" s="2275"/>
      <c r="DK77" s="2275"/>
      <c r="DL77" s="2275"/>
      <c r="DM77" s="2275"/>
      <c r="DN77" s="2275"/>
      <c r="DO77" s="2275"/>
      <c r="DP77" s="2275"/>
      <c r="DQ77" s="2275"/>
      <c r="DR77" s="2275"/>
      <c r="DS77" s="2275"/>
      <c r="DT77" s="2275"/>
      <c r="DU77" s="2275"/>
      <c r="DV77" s="2275"/>
      <c r="DW77" s="2275"/>
      <c r="DX77" s="2275"/>
      <c r="DY77" s="2275"/>
      <c r="DZ77" s="2275"/>
      <c r="EA77" s="2275"/>
      <c r="EB77" s="2275"/>
      <c r="EC77" s="2275"/>
      <c r="ED77" s="2275"/>
      <c r="EE77" s="2275"/>
      <c r="EF77" s="2276"/>
      <c r="EG77" s="2145"/>
    </row>
    <row r="78" spans="1:137" ht="18.899999999999999" customHeight="1">
      <c r="A78" s="2244"/>
      <c r="B78" s="2244"/>
      <c r="C78" s="2245"/>
      <c r="D78" s="2245"/>
      <c r="E78" s="2245"/>
      <c r="F78" s="2245"/>
      <c r="G78" s="2245"/>
      <c r="H78" s="2245"/>
      <c r="I78" s="2244"/>
      <c r="J78" s="2244"/>
      <c r="K78" s="2278" t="s">
        <v>1136</v>
      </c>
      <c r="L78" s="2279"/>
      <c r="M78" s="2279"/>
      <c r="N78" s="2279"/>
      <c r="O78" s="2279"/>
      <c r="P78" s="2279"/>
      <c r="Q78" s="2275"/>
      <c r="R78" s="2275"/>
      <c r="S78" s="2275"/>
      <c r="T78" s="2275"/>
      <c r="U78" s="2275"/>
      <c r="V78" s="2275"/>
      <c r="W78" s="2275"/>
      <c r="X78" s="2275"/>
      <c r="Y78" s="2275"/>
      <c r="Z78" s="2275"/>
      <c r="AA78" s="2275"/>
      <c r="AB78" s="2275"/>
      <c r="AC78" s="2275"/>
      <c r="AD78" s="2275"/>
      <c r="AE78" s="2275"/>
      <c r="AF78" s="2275"/>
      <c r="AG78" s="2275"/>
      <c r="AH78" s="2275"/>
      <c r="AI78" s="2275"/>
      <c r="AJ78" s="2275"/>
      <c r="AK78" s="2275"/>
      <c r="AL78" s="2275"/>
      <c r="AM78" s="2275"/>
      <c r="AN78" s="2275"/>
      <c r="AO78" s="2275"/>
      <c r="AP78" s="2275"/>
      <c r="AQ78" s="2275"/>
      <c r="AR78" s="2275"/>
      <c r="AS78" s="2279"/>
      <c r="AT78" s="2279"/>
      <c r="AU78" s="2279"/>
      <c r="AV78" s="2279"/>
      <c r="AW78" s="2279"/>
      <c r="AX78" s="2279"/>
      <c r="AY78" s="2279"/>
      <c r="AZ78" s="2279"/>
      <c r="BA78" s="2279"/>
      <c r="BB78" s="2279"/>
      <c r="BC78" s="2279"/>
      <c r="BD78" s="2279"/>
      <c r="BE78" s="2279"/>
      <c r="BF78" s="2275"/>
      <c r="BG78" s="2275"/>
      <c r="BH78" s="2275"/>
      <c r="BI78" s="2275"/>
      <c r="BJ78" s="2275"/>
      <c r="BK78" s="2275"/>
      <c r="BL78" s="2275"/>
      <c r="BM78" s="2275"/>
      <c r="BN78" s="2275"/>
      <c r="BO78" s="2275"/>
      <c r="BP78" s="2275"/>
      <c r="BQ78" s="2275"/>
      <c r="BR78" s="2275"/>
      <c r="BS78" s="2279"/>
      <c r="BT78" s="2279"/>
      <c r="BU78" s="2279"/>
      <c r="BV78" s="2279"/>
      <c r="BW78" s="2279"/>
      <c r="BX78" s="2275"/>
      <c r="BY78" s="2275"/>
      <c r="BZ78" s="2275"/>
      <c r="CA78" s="2275"/>
      <c r="CB78" s="2275"/>
      <c r="CC78" s="2275"/>
      <c r="CD78" s="2275"/>
      <c r="CE78" s="2275"/>
      <c r="CF78" s="2275">
        <v>1</v>
      </c>
      <c r="CG78" s="2275"/>
      <c r="CH78" s="2275"/>
      <c r="CI78" s="2275"/>
      <c r="CJ78" s="2275"/>
      <c r="CK78" s="2275"/>
      <c r="CL78" s="2275"/>
      <c r="CM78" s="2275"/>
      <c r="CN78" s="2275"/>
      <c r="CO78" s="2275"/>
      <c r="CP78" s="2275"/>
      <c r="CQ78" s="2275"/>
      <c r="CR78" s="2275"/>
      <c r="CS78" s="2279"/>
      <c r="CT78" s="2279"/>
      <c r="CU78" s="2279">
        <v>3</v>
      </c>
      <c r="CV78" s="2279"/>
      <c r="CW78" s="2279"/>
      <c r="CX78" s="2279"/>
      <c r="CY78" s="2279"/>
      <c r="CZ78" s="2279"/>
      <c r="DA78" s="2279"/>
      <c r="DB78" s="2279"/>
      <c r="DC78" s="2280"/>
      <c r="DD78" s="2275"/>
      <c r="DE78" s="2275"/>
      <c r="DF78" s="2275"/>
      <c r="DG78" s="2275"/>
      <c r="DH78" s="2275"/>
      <c r="DI78" s="2275"/>
      <c r="DJ78" s="2275"/>
      <c r="DK78" s="2275"/>
      <c r="DL78" s="2275"/>
      <c r="DM78" s="2275"/>
      <c r="DN78" s="2275"/>
      <c r="DO78" s="2275"/>
      <c r="DP78" s="2275"/>
      <c r="DQ78" s="2275"/>
      <c r="DR78" s="2275"/>
      <c r="DS78" s="2275"/>
      <c r="DT78" s="2275"/>
      <c r="DU78" s="2275"/>
      <c r="DV78" s="2275"/>
      <c r="DW78" s="2275"/>
      <c r="DX78" s="2275"/>
      <c r="DY78" s="2275"/>
      <c r="DZ78" s="2275"/>
      <c r="EA78" s="2275"/>
      <c r="EB78" s="2275"/>
      <c r="EC78" s="2275"/>
      <c r="ED78" s="2275"/>
      <c r="EE78" s="2275"/>
      <c r="EF78" s="2276"/>
      <c r="EG78" s="2145"/>
    </row>
    <row r="79" spans="1:137" ht="18.899999999999999" customHeight="1">
      <c r="A79" s="2244"/>
      <c r="B79" s="2244"/>
      <c r="C79" s="2245"/>
      <c r="D79" s="2245"/>
      <c r="E79" s="2245"/>
      <c r="F79" s="2245"/>
      <c r="G79" s="2245"/>
      <c r="H79" s="2245"/>
      <c r="I79" s="2244"/>
      <c r="J79" s="2244"/>
      <c r="K79" s="2278" t="s">
        <v>1137</v>
      </c>
      <c r="L79" s="2279"/>
      <c r="M79" s="2279"/>
      <c r="N79" s="2279"/>
      <c r="O79" s="2279"/>
      <c r="P79" s="2279"/>
      <c r="Q79" s="2275"/>
      <c r="R79" s="2275"/>
      <c r="S79" s="2275"/>
      <c r="T79" s="2275"/>
      <c r="U79" s="2275"/>
      <c r="V79" s="2275"/>
      <c r="W79" s="2275"/>
      <c r="X79" s="2275"/>
      <c r="Y79" s="2275"/>
      <c r="Z79" s="2275"/>
      <c r="AA79" s="2275"/>
      <c r="AB79" s="2275"/>
      <c r="AC79" s="2275"/>
      <c r="AD79" s="2275"/>
      <c r="AE79" s="2275"/>
      <c r="AF79" s="2275"/>
      <c r="AG79" s="2275"/>
      <c r="AH79" s="2275"/>
      <c r="AI79" s="2275"/>
      <c r="AJ79" s="2275"/>
      <c r="AK79" s="2275"/>
      <c r="AL79" s="2275"/>
      <c r="AM79" s="2275"/>
      <c r="AN79" s="2275"/>
      <c r="AO79" s="2275"/>
      <c r="AP79" s="2275"/>
      <c r="AQ79" s="2275"/>
      <c r="AR79" s="2275"/>
      <c r="AS79" s="2279"/>
      <c r="AT79" s="2279"/>
      <c r="AU79" s="2279"/>
      <c r="AV79" s="2279"/>
      <c r="AW79" s="2279"/>
      <c r="AX79" s="2279"/>
      <c r="AY79" s="2279"/>
      <c r="AZ79" s="2279"/>
      <c r="BA79" s="2279"/>
      <c r="BB79" s="2279"/>
      <c r="BC79" s="2279"/>
      <c r="BD79" s="2279"/>
      <c r="BE79" s="2279"/>
      <c r="BF79" s="2275"/>
      <c r="BG79" s="2275"/>
      <c r="BH79" s="2275"/>
      <c r="BI79" s="2275"/>
      <c r="BJ79" s="2275"/>
      <c r="BK79" s="2275"/>
      <c r="BL79" s="2275"/>
      <c r="BM79" s="2275"/>
      <c r="BN79" s="2275"/>
      <c r="BO79" s="2275"/>
      <c r="BP79" s="2275"/>
      <c r="BQ79" s="2275"/>
      <c r="BR79" s="2275"/>
      <c r="BS79" s="2279"/>
      <c r="BT79" s="2279"/>
      <c r="BU79" s="2279"/>
      <c r="BV79" s="2279"/>
      <c r="BW79" s="2279"/>
      <c r="BX79" s="2275"/>
      <c r="BY79" s="2275"/>
      <c r="BZ79" s="2275"/>
      <c r="CA79" s="2275"/>
      <c r="CB79" s="2275"/>
      <c r="CC79" s="2275"/>
      <c r="CD79" s="2275"/>
      <c r="CE79" s="2275"/>
      <c r="CF79" s="2275"/>
      <c r="CG79" s="2275"/>
      <c r="CH79" s="2275"/>
      <c r="CI79" s="2275"/>
      <c r="CJ79" s="2275"/>
      <c r="CK79" s="2275"/>
      <c r="CL79" s="2275"/>
      <c r="CM79" s="2275"/>
      <c r="CN79" s="2275"/>
      <c r="CO79" s="2275"/>
      <c r="CP79" s="2275"/>
      <c r="CQ79" s="2275"/>
      <c r="CR79" s="2275"/>
      <c r="CS79" s="2279"/>
      <c r="CT79" s="2279"/>
      <c r="CU79" s="2279"/>
      <c r="CV79" s="2279"/>
      <c r="CW79" s="2279"/>
      <c r="CX79" s="2279"/>
      <c r="CY79" s="2279"/>
      <c r="CZ79" s="2279"/>
      <c r="DA79" s="2279"/>
      <c r="DB79" s="2279"/>
      <c r="DC79" s="2280"/>
      <c r="DD79" s="2275"/>
      <c r="DE79" s="2275"/>
      <c r="DF79" s="2275"/>
      <c r="DG79" s="2275"/>
      <c r="DH79" s="2275"/>
      <c r="DI79" s="2275"/>
      <c r="DJ79" s="2275"/>
      <c r="DK79" s="2275"/>
      <c r="DL79" s="2275"/>
      <c r="DM79" s="2275"/>
      <c r="DN79" s="2275"/>
      <c r="DO79" s="2275"/>
      <c r="DP79" s="2275"/>
      <c r="DQ79" s="2275"/>
      <c r="DR79" s="2275"/>
      <c r="DS79" s="2275"/>
      <c r="DT79" s="2275"/>
      <c r="DU79" s="2275"/>
      <c r="DV79" s="2275"/>
      <c r="DW79" s="2275"/>
      <c r="DX79" s="2275"/>
      <c r="DY79" s="2275"/>
      <c r="DZ79" s="2275"/>
      <c r="EA79" s="2275"/>
      <c r="EB79" s="2275"/>
      <c r="EC79" s="2275"/>
      <c r="ED79" s="2275"/>
      <c r="EE79" s="2275"/>
      <c r="EF79" s="2276"/>
      <c r="EG79" s="2145"/>
    </row>
    <row r="80" spans="1:137" ht="18.899999999999999" customHeight="1">
      <c r="A80" s="2244"/>
      <c r="B80" s="2244"/>
      <c r="C80" s="2245"/>
      <c r="D80" s="2245"/>
      <c r="E80" s="2245"/>
      <c r="F80" s="2245"/>
      <c r="G80" s="2245"/>
      <c r="H80" s="2245"/>
      <c r="I80" s="2244"/>
      <c r="J80" s="2244"/>
      <c r="K80" s="2278" t="s">
        <v>1566</v>
      </c>
      <c r="L80" s="2279"/>
      <c r="M80" s="2279"/>
      <c r="N80" s="2279"/>
      <c r="O80" s="2279"/>
      <c r="P80" s="2279"/>
      <c r="Q80" s="2275"/>
      <c r="R80" s="2275"/>
      <c r="S80" s="2275"/>
      <c r="T80" s="2275"/>
      <c r="U80" s="2275"/>
      <c r="V80" s="2275"/>
      <c r="W80" s="2275"/>
      <c r="X80" s="2275"/>
      <c r="Y80" s="2275"/>
      <c r="Z80" s="2275"/>
      <c r="AA80" s="2275"/>
      <c r="AB80" s="2275"/>
      <c r="AC80" s="2275"/>
      <c r="AD80" s="2275"/>
      <c r="AE80" s="2275"/>
      <c r="AF80" s="2275"/>
      <c r="AG80" s="2275"/>
      <c r="AH80" s="2275"/>
      <c r="AI80" s="2275"/>
      <c r="AJ80" s="2275"/>
      <c r="AK80" s="2275"/>
      <c r="AL80" s="2275"/>
      <c r="AM80" s="2275"/>
      <c r="AN80" s="2275"/>
      <c r="AO80" s="2275"/>
      <c r="AP80" s="2275"/>
      <c r="AQ80" s="2275"/>
      <c r="AR80" s="2275"/>
      <c r="AS80" s="2279"/>
      <c r="AT80" s="2279"/>
      <c r="AU80" s="2279"/>
      <c r="AV80" s="2279"/>
      <c r="AW80" s="2279"/>
      <c r="AX80" s="2279"/>
      <c r="AY80" s="2279"/>
      <c r="AZ80" s="2279"/>
      <c r="BA80" s="2279"/>
      <c r="BB80" s="2279"/>
      <c r="BC80" s="2279"/>
      <c r="BD80" s="2279"/>
      <c r="BE80" s="2279"/>
      <c r="BF80" s="2275"/>
      <c r="BG80" s="2275"/>
      <c r="BH80" s="2275"/>
      <c r="BI80" s="2275"/>
      <c r="BJ80" s="2275"/>
      <c r="BK80" s="2275"/>
      <c r="BL80" s="2275"/>
      <c r="BM80" s="2275"/>
      <c r="BN80" s="2275"/>
      <c r="BO80" s="2275"/>
      <c r="BP80" s="2275"/>
      <c r="BQ80" s="2275">
        <v>1</v>
      </c>
      <c r="BR80" s="2275"/>
      <c r="BS80" s="2279"/>
      <c r="BT80" s="2279"/>
      <c r="BU80" s="2279"/>
      <c r="BV80" s="2279"/>
      <c r="BW80" s="2279"/>
      <c r="BX80" s="2275"/>
      <c r="BY80" s="2275"/>
      <c r="BZ80" s="2275"/>
      <c r="CA80" s="2275"/>
      <c r="CB80" s="2275"/>
      <c r="CC80" s="2275"/>
      <c r="CD80" s="2275"/>
      <c r="CE80" s="2275"/>
      <c r="CF80" s="2275"/>
      <c r="CG80" s="2275">
        <v>1</v>
      </c>
      <c r="CH80" s="2275"/>
      <c r="CI80" s="2275"/>
      <c r="CJ80" s="2275"/>
      <c r="CK80" s="2275"/>
      <c r="CL80" s="2275"/>
      <c r="CM80" s="2275"/>
      <c r="CN80" s="2275"/>
      <c r="CO80" s="2275"/>
      <c r="CP80" s="2275"/>
      <c r="CQ80" s="2275"/>
      <c r="CR80" s="2275"/>
      <c r="CS80" s="2279"/>
      <c r="CT80" s="2279"/>
      <c r="CU80" s="2279">
        <v>6</v>
      </c>
      <c r="CV80" s="2279"/>
      <c r="CW80" s="2279"/>
      <c r="CX80" s="2279"/>
      <c r="CY80" s="2279"/>
      <c r="CZ80" s="2279"/>
      <c r="DA80" s="2279"/>
      <c r="DB80" s="2279"/>
      <c r="DC80" s="2280"/>
      <c r="DD80" s="2275"/>
      <c r="DE80" s="2275"/>
      <c r="DF80" s="2275"/>
      <c r="DG80" s="2275"/>
      <c r="DH80" s="2275"/>
      <c r="DI80" s="2275"/>
      <c r="DJ80" s="2275"/>
      <c r="DK80" s="2275"/>
      <c r="DL80" s="2275"/>
      <c r="DM80" s="2275"/>
      <c r="DN80" s="2275"/>
      <c r="DO80" s="2275"/>
      <c r="DP80" s="2275"/>
      <c r="DQ80" s="2275"/>
      <c r="DR80" s="2275"/>
      <c r="DS80" s="2275"/>
      <c r="DT80" s="2275"/>
      <c r="DU80" s="2275"/>
      <c r="DV80" s="2275"/>
      <c r="DW80" s="2275"/>
      <c r="DX80" s="2275"/>
      <c r="DY80" s="2275"/>
      <c r="DZ80" s="2275"/>
      <c r="EA80" s="2275"/>
      <c r="EB80" s="2275"/>
      <c r="EC80" s="2275"/>
      <c r="ED80" s="2275"/>
      <c r="EE80" s="2275"/>
      <c r="EF80" s="2276"/>
      <c r="EG80" s="2145"/>
    </row>
    <row r="81" spans="1:137" ht="18.899999999999999" customHeight="1">
      <c r="A81" s="2244"/>
      <c r="B81" s="2244"/>
      <c r="C81" s="2245"/>
      <c r="D81" s="2245"/>
      <c r="E81" s="2245"/>
      <c r="F81" s="2245"/>
      <c r="G81" s="2245"/>
      <c r="H81" s="2245"/>
      <c r="I81" s="2244"/>
      <c r="J81" s="2244"/>
      <c r="K81" s="2278" t="s">
        <v>942</v>
      </c>
      <c r="L81" s="2279"/>
      <c r="M81" s="2279"/>
      <c r="N81" s="2279"/>
      <c r="O81" s="2279"/>
      <c r="P81" s="2279"/>
      <c r="Q81" s="2275"/>
      <c r="R81" s="2275"/>
      <c r="S81" s="2275"/>
      <c r="T81" s="2275"/>
      <c r="U81" s="2275"/>
      <c r="V81" s="2275"/>
      <c r="W81" s="2275"/>
      <c r="X81" s="2275"/>
      <c r="Y81" s="2275"/>
      <c r="Z81" s="2275"/>
      <c r="AA81" s="2275"/>
      <c r="AB81" s="2275"/>
      <c r="AC81" s="2275"/>
      <c r="AD81" s="2275"/>
      <c r="AE81" s="2275"/>
      <c r="AF81" s="2275"/>
      <c r="AG81" s="2275"/>
      <c r="AH81" s="2275"/>
      <c r="AI81" s="2275"/>
      <c r="AJ81" s="2275"/>
      <c r="AK81" s="2275"/>
      <c r="AL81" s="2275"/>
      <c r="AM81" s="2275"/>
      <c r="AN81" s="2275"/>
      <c r="AO81" s="2275"/>
      <c r="AP81" s="2275"/>
      <c r="AQ81" s="2275"/>
      <c r="AR81" s="2275"/>
      <c r="AS81" s="2279"/>
      <c r="AT81" s="2279"/>
      <c r="AU81" s="2279"/>
      <c r="AV81" s="2279"/>
      <c r="AW81" s="2279"/>
      <c r="AX81" s="2279"/>
      <c r="AY81" s="2279"/>
      <c r="AZ81" s="2279"/>
      <c r="BA81" s="2279"/>
      <c r="BB81" s="2279"/>
      <c r="BC81" s="2279"/>
      <c r="BD81" s="2279"/>
      <c r="BE81" s="2279"/>
      <c r="BF81" s="2275"/>
      <c r="BG81" s="2275"/>
      <c r="BH81" s="2275"/>
      <c r="BI81" s="2275"/>
      <c r="BJ81" s="2275"/>
      <c r="BK81" s="2275"/>
      <c r="BL81" s="2275"/>
      <c r="BM81" s="2275"/>
      <c r="BN81" s="2275"/>
      <c r="BO81" s="2275"/>
      <c r="BP81" s="2275"/>
      <c r="BQ81" s="2275">
        <v>2</v>
      </c>
      <c r="BR81" s="2275"/>
      <c r="BS81" s="2279"/>
      <c r="BT81" s="2279"/>
      <c r="BU81" s="2279"/>
      <c r="BV81" s="2279"/>
      <c r="BW81" s="2279"/>
      <c r="BX81" s="2275"/>
      <c r="BY81" s="2275"/>
      <c r="BZ81" s="2275"/>
      <c r="CA81" s="2275">
        <v>1</v>
      </c>
      <c r="CB81" s="2275"/>
      <c r="CC81" s="2275"/>
      <c r="CD81" s="2275"/>
      <c r="CE81" s="2275"/>
      <c r="CF81" s="2275"/>
      <c r="CG81" s="2275"/>
      <c r="CH81" s="2275"/>
      <c r="CI81" s="2275"/>
      <c r="CJ81" s="2275"/>
      <c r="CK81" s="2275"/>
      <c r="CL81" s="2275"/>
      <c r="CM81" s="2275"/>
      <c r="CN81" s="2275"/>
      <c r="CO81" s="2275"/>
      <c r="CP81" s="2275"/>
      <c r="CQ81" s="2275"/>
      <c r="CR81" s="2275"/>
      <c r="CS81" s="2279"/>
      <c r="CT81" s="2279"/>
      <c r="CU81" s="2279"/>
      <c r="CV81" s="2279"/>
      <c r="CW81" s="2279">
        <v>3</v>
      </c>
      <c r="CX81" s="2279"/>
      <c r="CY81" s="2279"/>
      <c r="CZ81" s="2279"/>
      <c r="DA81" s="2279"/>
      <c r="DB81" s="2279"/>
      <c r="DC81" s="2280">
        <v>1</v>
      </c>
      <c r="DD81" s="2275"/>
      <c r="DE81" s="2275"/>
      <c r="DF81" s="2275"/>
      <c r="DG81" s="2275"/>
      <c r="DH81" s="2275"/>
      <c r="DI81" s="2275"/>
      <c r="DJ81" s="2275"/>
      <c r="DK81" s="2275"/>
      <c r="DL81" s="2275"/>
      <c r="DM81" s="2275"/>
      <c r="DN81" s="2275"/>
      <c r="DO81" s="2275"/>
      <c r="DP81" s="2275"/>
      <c r="DQ81" s="2275"/>
      <c r="DR81" s="2275"/>
      <c r="DS81" s="2275"/>
      <c r="DT81" s="2275"/>
      <c r="DU81" s="2275"/>
      <c r="DV81" s="2275"/>
      <c r="DW81" s="2275"/>
      <c r="DX81" s="2275"/>
      <c r="DY81" s="2275"/>
      <c r="DZ81" s="2275"/>
      <c r="EA81" s="2275"/>
      <c r="EB81" s="2275"/>
      <c r="EC81" s="2275"/>
      <c r="ED81" s="2275"/>
      <c r="EE81" s="2275"/>
      <c r="EF81" s="2276"/>
      <c r="EG81" s="2145"/>
    </row>
    <row r="82" spans="1:137" ht="18.899999999999999" customHeight="1">
      <c r="A82" s="2244"/>
      <c r="B82" s="2244"/>
      <c r="C82" s="2245"/>
      <c r="D82" s="2245"/>
      <c r="E82" s="2245"/>
      <c r="F82" s="2245"/>
      <c r="G82" s="2245"/>
      <c r="H82" s="2245"/>
      <c r="I82" s="2244"/>
      <c r="J82" s="2244"/>
      <c r="K82" s="2281" t="s">
        <v>1138</v>
      </c>
      <c r="L82" s="2279"/>
      <c r="M82" s="2279"/>
      <c r="N82" s="2279"/>
      <c r="O82" s="2279"/>
      <c r="P82" s="2279"/>
      <c r="Q82" s="2275"/>
      <c r="R82" s="2275"/>
      <c r="S82" s="2275"/>
      <c r="T82" s="2275"/>
      <c r="U82" s="2275"/>
      <c r="V82" s="2275"/>
      <c r="W82" s="2275"/>
      <c r="X82" s="2275"/>
      <c r="Y82" s="2275"/>
      <c r="Z82" s="2275"/>
      <c r="AA82" s="2275"/>
      <c r="AB82" s="2275"/>
      <c r="AC82" s="2275"/>
      <c r="AD82" s="2275"/>
      <c r="AE82" s="2275"/>
      <c r="AF82" s="2275"/>
      <c r="AG82" s="2275"/>
      <c r="AH82" s="2275"/>
      <c r="AI82" s="2275"/>
      <c r="AJ82" s="2275"/>
      <c r="AK82" s="2275"/>
      <c r="AL82" s="2275"/>
      <c r="AM82" s="2275"/>
      <c r="AN82" s="2275"/>
      <c r="AO82" s="2275"/>
      <c r="AP82" s="2275"/>
      <c r="AQ82" s="2275"/>
      <c r="AR82" s="2275"/>
      <c r="AS82" s="2279"/>
      <c r="AT82" s="2279"/>
      <c r="AU82" s="2279"/>
      <c r="AV82" s="2279"/>
      <c r="AW82" s="2279"/>
      <c r="AX82" s="2279"/>
      <c r="AY82" s="2279"/>
      <c r="AZ82" s="2279"/>
      <c r="BA82" s="2279"/>
      <c r="BB82" s="2279"/>
      <c r="BC82" s="2279"/>
      <c r="BD82" s="2279"/>
      <c r="BE82" s="2279"/>
      <c r="BF82" s="2275"/>
      <c r="BG82" s="2275"/>
      <c r="BH82" s="2275"/>
      <c r="BI82" s="2275"/>
      <c r="BJ82" s="2275"/>
      <c r="BK82" s="2275"/>
      <c r="BL82" s="2275"/>
      <c r="BM82" s="2275"/>
      <c r="BN82" s="2275"/>
      <c r="BO82" s="2275"/>
      <c r="BP82" s="2275"/>
      <c r="BQ82" s="2275">
        <v>4</v>
      </c>
      <c r="BR82" s="2275"/>
      <c r="BS82" s="2279"/>
      <c r="BT82" s="2279"/>
      <c r="BU82" s="2279"/>
      <c r="BV82" s="2279"/>
      <c r="BW82" s="2279"/>
      <c r="BX82" s="2275"/>
      <c r="BY82" s="2275"/>
      <c r="BZ82" s="2275"/>
      <c r="CA82" s="2275"/>
      <c r="CB82" s="2275"/>
      <c r="CC82" s="2275"/>
      <c r="CD82" s="2275"/>
      <c r="CE82" s="2275"/>
      <c r="CF82" s="2275"/>
      <c r="CG82" s="2275"/>
      <c r="CH82" s="2275"/>
      <c r="CI82" s="2275"/>
      <c r="CJ82" s="2275"/>
      <c r="CK82" s="2275"/>
      <c r="CL82" s="2275"/>
      <c r="CM82" s="2275"/>
      <c r="CN82" s="2275"/>
      <c r="CO82" s="2275"/>
      <c r="CP82" s="2275"/>
      <c r="CQ82" s="2275"/>
      <c r="CR82" s="2275"/>
      <c r="CS82" s="2279"/>
      <c r="CT82" s="2279"/>
      <c r="CU82" s="2279">
        <v>18</v>
      </c>
      <c r="CV82" s="2279"/>
      <c r="CW82" s="2279">
        <v>18</v>
      </c>
      <c r="CX82" s="2279"/>
      <c r="CY82" s="2279"/>
      <c r="CZ82" s="2279"/>
      <c r="DA82" s="2279"/>
      <c r="DB82" s="2279"/>
      <c r="DC82" s="2280">
        <v>4</v>
      </c>
      <c r="DD82" s="2275"/>
      <c r="DE82" s="2275"/>
      <c r="DF82" s="2275"/>
      <c r="DG82" s="2275"/>
      <c r="DH82" s="2275"/>
      <c r="DI82" s="2275"/>
      <c r="DJ82" s="2275">
        <v>18</v>
      </c>
      <c r="DK82" s="2275"/>
      <c r="DL82" s="2275"/>
      <c r="DM82" s="2275"/>
      <c r="DN82" s="2275"/>
      <c r="DO82" s="2275"/>
      <c r="DP82" s="2275"/>
      <c r="DQ82" s="2275">
        <v>18</v>
      </c>
      <c r="DR82" s="2275"/>
      <c r="DS82" s="2275"/>
      <c r="DT82" s="2275"/>
      <c r="DU82" s="2275"/>
      <c r="DV82" s="2275"/>
      <c r="DW82" s="2275"/>
      <c r="DX82" s="2275"/>
      <c r="DY82" s="2275"/>
      <c r="DZ82" s="2275"/>
      <c r="EA82" s="2275"/>
      <c r="EB82" s="2275"/>
      <c r="EC82" s="2275"/>
      <c r="ED82" s="2275"/>
      <c r="EE82" s="2275"/>
      <c r="EF82" s="2276"/>
      <c r="EG82" s="2145"/>
    </row>
    <row r="83" spans="1:137" ht="18.899999999999999" customHeight="1">
      <c r="A83" s="2244"/>
      <c r="B83" s="2244"/>
      <c r="C83" s="2245"/>
      <c r="D83" s="2245"/>
      <c r="E83" s="2245"/>
      <c r="F83" s="2245"/>
      <c r="G83" s="2245"/>
      <c r="H83" s="2245"/>
      <c r="I83" s="2244"/>
      <c r="J83" s="2244"/>
      <c r="K83" s="2278" t="s">
        <v>1139</v>
      </c>
      <c r="L83" s="2279"/>
      <c r="M83" s="2279"/>
      <c r="N83" s="2279"/>
      <c r="O83" s="2279"/>
      <c r="P83" s="2279"/>
      <c r="Q83" s="2275"/>
      <c r="R83" s="2275"/>
      <c r="S83" s="2275"/>
      <c r="T83" s="2275"/>
      <c r="U83" s="2275"/>
      <c r="V83" s="2275"/>
      <c r="W83" s="2275"/>
      <c r="X83" s="2275"/>
      <c r="Y83" s="2275"/>
      <c r="Z83" s="2275"/>
      <c r="AA83" s="2275"/>
      <c r="AB83" s="2275"/>
      <c r="AC83" s="2275"/>
      <c r="AD83" s="2275"/>
      <c r="AE83" s="2275"/>
      <c r="AF83" s="2275"/>
      <c r="AG83" s="2275"/>
      <c r="AH83" s="2275"/>
      <c r="AI83" s="2275"/>
      <c r="AJ83" s="2275"/>
      <c r="AK83" s="2275"/>
      <c r="AL83" s="2275"/>
      <c r="AM83" s="2275"/>
      <c r="AN83" s="2275"/>
      <c r="AO83" s="2275"/>
      <c r="AP83" s="2275"/>
      <c r="AQ83" s="2275"/>
      <c r="AR83" s="2275"/>
      <c r="AS83" s="2279"/>
      <c r="AT83" s="2279"/>
      <c r="AU83" s="2279"/>
      <c r="AV83" s="2279"/>
      <c r="AW83" s="2279"/>
      <c r="AX83" s="2279"/>
      <c r="AY83" s="2279"/>
      <c r="AZ83" s="2279"/>
      <c r="BA83" s="2279"/>
      <c r="BB83" s="2279"/>
      <c r="BC83" s="2279"/>
      <c r="BD83" s="2279"/>
      <c r="BE83" s="2279"/>
      <c r="BF83" s="2275"/>
      <c r="BG83" s="2275"/>
      <c r="BH83" s="2275"/>
      <c r="BI83" s="2275"/>
      <c r="BJ83" s="2275"/>
      <c r="BK83" s="2275"/>
      <c r="BL83" s="2275"/>
      <c r="BM83" s="2275"/>
      <c r="BN83" s="2275"/>
      <c r="BO83" s="2275"/>
      <c r="BP83" s="2275"/>
      <c r="BQ83" s="2275"/>
      <c r="BR83" s="2275"/>
      <c r="BS83" s="2279"/>
      <c r="BT83" s="2279"/>
      <c r="BU83" s="2279"/>
      <c r="BV83" s="2279"/>
      <c r="BW83" s="2279"/>
      <c r="BX83" s="2275"/>
      <c r="BY83" s="2275"/>
      <c r="BZ83" s="2275"/>
      <c r="CA83" s="2275"/>
      <c r="CB83" s="2275"/>
      <c r="CC83" s="2275"/>
      <c r="CD83" s="2275">
        <v>1</v>
      </c>
      <c r="CE83" s="2275"/>
      <c r="CF83" s="2275"/>
      <c r="CG83" s="2275"/>
      <c r="CH83" s="2275"/>
      <c r="CI83" s="2275"/>
      <c r="CJ83" s="2275"/>
      <c r="CK83" s="2275"/>
      <c r="CL83" s="2275">
        <v>1</v>
      </c>
      <c r="CM83" s="2275"/>
      <c r="CN83" s="2275"/>
      <c r="CO83" s="2275"/>
      <c r="CP83" s="2275"/>
      <c r="CQ83" s="2275"/>
      <c r="CR83" s="2275"/>
      <c r="CS83" s="2279"/>
      <c r="CT83" s="2279"/>
      <c r="CU83" s="2279">
        <v>9</v>
      </c>
      <c r="CV83" s="2279"/>
      <c r="CW83" s="2279"/>
      <c r="CX83" s="2279"/>
      <c r="CY83" s="2279"/>
      <c r="CZ83" s="2279">
        <v>2</v>
      </c>
      <c r="DA83" s="2279"/>
      <c r="DB83" s="2279"/>
      <c r="DC83" s="2280"/>
      <c r="DD83" s="2275"/>
      <c r="DE83" s="2275"/>
      <c r="DF83" s="2275"/>
      <c r="DG83" s="2275"/>
      <c r="DH83" s="2275"/>
      <c r="DI83" s="2275"/>
      <c r="DJ83" s="2275"/>
      <c r="DK83" s="2275"/>
      <c r="DL83" s="2275"/>
      <c r="DM83" s="2275"/>
      <c r="DN83" s="2275"/>
      <c r="DO83" s="2275"/>
      <c r="DP83" s="2275"/>
      <c r="DQ83" s="2275"/>
      <c r="DR83" s="2275"/>
      <c r="DS83" s="2275"/>
      <c r="DT83" s="2275"/>
      <c r="DU83" s="2275"/>
      <c r="DV83" s="2275"/>
      <c r="DW83" s="2275"/>
      <c r="DX83" s="2275"/>
      <c r="DY83" s="2275"/>
      <c r="DZ83" s="2275"/>
      <c r="EA83" s="2275"/>
      <c r="EB83" s="2275"/>
      <c r="EC83" s="2275"/>
      <c r="ED83" s="2275"/>
      <c r="EE83" s="2275"/>
      <c r="EF83" s="2276"/>
      <c r="EG83" s="2145"/>
    </row>
    <row r="84" spans="1:137" ht="18.899999999999999" customHeight="1">
      <c r="A84" s="2244"/>
      <c r="B84" s="2244"/>
      <c r="C84" s="2245"/>
      <c r="D84" s="2245"/>
      <c r="E84" s="2245"/>
      <c r="F84" s="2245"/>
      <c r="G84" s="2245"/>
      <c r="H84" s="2245"/>
      <c r="I84" s="2244"/>
      <c r="J84" s="2244"/>
      <c r="K84" s="2278" t="s">
        <v>941</v>
      </c>
      <c r="L84" s="2279"/>
      <c r="M84" s="2279"/>
      <c r="N84" s="2279"/>
      <c r="O84" s="2279"/>
      <c r="P84" s="2279"/>
      <c r="Q84" s="2275"/>
      <c r="R84" s="2275"/>
      <c r="S84" s="2275"/>
      <c r="T84" s="2275"/>
      <c r="U84" s="2275"/>
      <c r="V84" s="2275"/>
      <c r="W84" s="2275"/>
      <c r="X84" s="2275"/>
      <c r="Y84" s="2275"/>
      <c r="Z84" s="2275"/>
      <c r="AA84" s="2275"/>
      <c r="AB84" s="2275"/>
      <c r="AC84" s="2275"/>
      <c r="AD84" s="2275"/>
      <c r="AE84" s="2275"/>
      <c r="AF84" s="2275"/>
      <c r="AG84" s="2275"/>
      <c r="AH84" s="2275"/>
      <c r="AI84" s="2275"/>
      <c r="AJ84" s="2275"/>
      <c r="AK84" s="2275"/>
      <c r="AL84" s="2275"/>
      <c r="AM84" s="2275"/>
      <c r="AN84" s="2275"/>
      <c r="AO84" s="2275"/>
      <c r="AP84" s="2275"/>
      <c r="AQ84" s="2275"/>
      <c r="AR84" s="2275"/>
      <c r="AS84" s="2279"/>
      <c r="AT84" s="2279"/>
      <c r="AU84" s="2279"/>
      <c r="AV84" s="2279"/>
      <c r="AW84" s="2279"/>
      <c r="AX84" s="2279"/>
      <c r="AY84" s="2279"/>
      <c r="AZ84" s="2279"/>
      <c r="BA84" s="2279"/>
      <c r="BB84" s="2279"/>
      <c r="BC84" s="2279"/>
      <c r="BD84" s="2279"/>
      <c r="BE84" s="2279"/>
      <c r="BF84" s="2275"/>
      <c r="BG84" s="2275"/>
      <c r="BH84" s="2275"/>
      <c r="BI84" s="2275"/>
      <c r="BJ84" s="2275"/>
      <c r="BK84" s="2275"/>
      <c r="BL84" s="2275"/>
      <c r="BM84" s="2275"/>
      <c r="BN84" s="2275"/>
      <c r="BO84" s="2275"/>
      <c r="BP84" s="2275"/>
      <c r="BQ84" s="2275">
        <v>2</v>
      </c>
      <c r="BR84" s="2275"/>
      <c r="BS84" s="2279"/>
      <c r="BT84" s="2279"/>
      <c r="BU84" s="2279"/>
      <c r="BV84" s="2279"/>
      <c r="BW84" s="2279"/>
      <c r="BX84" s="2275"/>
      <c r="BY84" s="2275">
        <v>1</v>
      </c>
      <c r="BZ84" s="2275"/>
      <c r="CA84" s="2275">
        <v>1</v>
      </c>
      <c r="CB84" s="2275"/>
      <c r="CC84" s="2275"/>
      <c r="CD84" s="2275"/>
      <c r="CE84" s="2275"/>
      <c r="CF84" s="2275"/>
      <c r="CG84" s="2275"/>
      <c r="CH84" s="2275"/>
      <c r="CI84" s="2275"/>
      <c r="CJ84" s="2275"/>
      <c r="CK84" s="2275"/>
      <c r="CL84" s="2275"/>
      <c r="CM84" s="2275"/>
      <c r="CN84" s="2275">
        <v>1</v>
      </c>
      <c r="CO84" s="2275"/>
      <c r="CP84" s="2275"/>
      <c r="CQ84" s="2275">
        <v>1</v>
      </c>
      <c r="CR84" s="2275"/>
      <c r="CS84" s="2279"/>
      <c r="CT84" s="2279"/>
      <c r="CU84" s="2279">
        <v>6</v>
      </c>
      <c r="CV84" s="2279"/>
      <c r="CW84" s="2279">
        <v>12</v>
      </c>
      <c r="CX84" s="2279"/>
      <c r="CY84" s="2279"/>
      <c r="CZ84" s="2279"/>
      <c r="DA84" s="2279"/>
      <c r="DB84" s="2279"/>
      <c r="DC84" s="2280">
        <v>3</v>
      </c>
      <c r="DD84" s="2275"/>
      <c r="DE84" s="2275"/>
      <c r="DF84" s="2275"/>
      <c r="DG84" s="2275"/>
      <c r="DH84" s="2275"/>
      <c r="DI84" s="2275"/>
      <c r="DJ84" s="2275">
        <v>6</v>
      </c>
      <c r="DK84" s="2275"/>
      <c r="DL84" s="2275"/>
      <c r="DM84" s="2275"/>
      <c r="DN84" s="2275"/>
      <c r="DO84" s="2275"/>
      <c r="DP84" s="2275"/>
      <c r="DQ84" s="2275">
        <v>6</v>
      </c>
      <c r="DR84" s="2275"/>
      <c r="DS84" s="2275"/>
      <c r="DT84" s="2275"/>
      <c r="DU84" s="2275"/>
      <c r="DV84" s="2275"/>
      <c r="DW84" s="2275"/>
      <c r="DX84" s="2275"/>
      <c r="DY84" s="2275"/>
      <c r="DZ84" s="2275"/>
      <c r="EA84" s="2275"/>
      <c r="EB84" s="2275"/>
      <c r="EC84" s="2275"/>
      <c r="ED84" s="2275"/>
      <c r="EE84" s="2275"/>
      <c r="EF84" s="2276"/>
      <c r="EG84" s="2145"/>
    </row>
    <row r="85" spans="1:137" ht="18.899999999999999" customHeight="1">
      <c r="A85" s="2244"/>
      <c r="B85" s="2244"/>
      <c r="C85" s="2245"/>
      <c r="D85" s="2245"/>
      <c r="E85" s="2245"/>
      <c r="F85" s="2245"/>
      <c r="G85" s="2245"/>
      <c r="H85" s="2245"/>
      <c r="I85" s="2244"/>
      <c r="J85" s="2244"/>
      <c r="K85" s="2278" t="s">
        <v>943</v>
      </c>
      <c r="L85" s="2279"/>
      <c r="M85" s="2279"/>
      <c r="N85" s="2279"/>
      <c r="O85" s="2279"/>
      <c r="P85" s="2279"/>
      <c r="Q85" s="2275"/>
      <c r="R85" s="2275"/>
      <c r="S85" s="2275"/>
      <c r="T85" s="2275"/>
      <c r="U85" s="2275"/>
      <c r="V85" s="2275"/>
      <c r="W85" s="2275"/>
      <c r="X85" s="2275"/>
      <c r="Y85" s="2275"/>
      <c r="Z85" s="2275"/>
      <c r="AA85" s="2275"/>
      <c r="AB85" s="2275"/>
      <c r="AC85" s="2275"/>
      <c r="AD85" s="2275"/>
      <c r="AE85" s="2275"/>
      <c r="AF85" s="2275"/>
      <c r="AG85" s="2275"/>
      <c r="AH85" s="2275"/>
      <c r="AI85" s="2275"/>
      <c r="AJ85" s="2275"/>
      <c r="AK85" s="2275"/>
      <c r="AL85" s="2275"/>
      <c r="AM85" s="2275"/>
      <c r="AN85" s="2275"/>
      <c r="AO85" s="2275"/>
      <c r="AP85" s="2275"/>
      <c r="AQ85" s="2275"/>
      <c r="AR85" s="2275"/>
      <c r="AS85" s="2279"/>
      <c r="AT85" s="2279"/>
      <c r="AU85" s="2279"/>
      <c r="AV85" s="2279"/>
      <c r="AW85" s="2279"/>
      <c r="AX85" s="2279"/>
      <c r="AY85" s="2279"/>
      <c r="AZ85" s="2279"/>
      <c r="BA85" s="2279"/>
      <c r="BB85" s="2279"/>
      <c r="BC85" s="2279"/>
      <c r="BD85" s="2279"/>
      <c r="BE85" s="2279"/>
      <c r="BF85" s="2275"/>
      <c r="BG85" s="2275"/>
      <c r="BH85" s="2275"/>
      <c r="BI85" s="2275"/>
      <c r="BJ85" s="2275"/>
      <c r="BK85" s="2275"/>
      <c r="BL85" s="2275"/>
      <c r="BM85" s="2275"/>
      <c r="BN85" s="2275"/>
      <c r="BO85" s="2275"/>
      <c r="BP85" s="2275"/>
      <c r="BQ85" s="2275"/>
      <c r="BR85" s="2275"/>
      <c r="BS85" s="2279"/>
      <c r="BT85" s="2279"/>
      <c r="BU85" s="2279"/>
      <c r="BV85" s="2279"/>
      <c r="BW85" s="2279"/>
      <c r="BX85" s="2275"/>
      <c r="BY85" s="2275">
        <v>1</v>
      </c>
      <c r="BZ85" s="2275">
        <v>1</v>
      </c>
      <c r="CA85" s="2275">
        <v>1</v>
      </c>
      <c r="CB85" s="2275"/>
      <c r="CC85" s="2275"/>
      <c r="CD85" s="2275"/>
      <c r="CE85" s="2275"/>
      <c r="CF85" s="2275"/>
      <c r="CG85" s="2275"/>
      <c r="CH85" s="2275"/>
      <c r="CI85" s="2275"/>
      <c r="CJ85" s="2275"/>
      <c r="CK85" s="2275"/>
      <c r="CL85" s="2275"/>
      <c r="CM85" s="2275"/>
      <c r="CN85" s="2275">
        <v>1</v>
      </c>
      <c r="CO85" s="2275"/>
      <c r="CP85" s="2275"/>
      <c r="CQ85" s="2275">
        <v>1</v>
      </c>
      <c r="CR85" s="2275">
        <v>1</v>
      </c>
      <c r="CS85" s="2279"/>
      <c r="CT85" s="2279"/>
      <c r="CU85" s="2279">
        <f>6+3+3+4</f>
        <v>16</v>
      </c>
      <c r="CV85" s="2279"/>
      <c r="CW85" s="2279">
        <v>12</v>
      </c>
      <c r="CX85" s="2279"/>
      <c r="CY85" s="2279"/>
      <c r="CZ85" s="2279"/>
      <c r="DA85" s="2279">
        <v>1</v>
      </c>
      <c r="DB85" s="2279"/>
      <c r="DC85" s="2280">
        <v>4</v>
      </c>
      <c r="DD85" s="2275"/>
      <c r="DE85" s="2275"/>
      <c r="DF85" s="2275"/>
      <c r="DG85" s="2275"/>
      <c r="DH85" s="2275"/>
      <c r="DI85" s="2275"/>
      <c r="DJ85" s="2275">
        <v>12</v>
      </c>
      <c r="DK85" s="2275"/>
      <c r="DL85" s="2275"/>
      <c r="DM85" s="2275"/>
      <c r="DN85" s="2275"/>
      <c r="DO85" s="2275"/>
      <c r="DP85" s="2275"/>
      <c r="DQ85" s="2275">
        <v>12</v>
      </c>
      <c r="DR85" s="2275"/>
      <c r="DS85" s="2275"/>
      <c r="DT85" s="2275"/>
      <c r="DU85" s="2275"/>
      <c r="DV85" s="2275"/>
      <c r="DW85" s="2275"/>
      <c r="DX85" s="2275"/>
      <c r="DY85" s="2275"/>
      <c r="DZ85" s="2275"/>
      <c r="EA85" s="2275"/>
      <c r="EB85" s="2275"/>
      <c r="EC85" s="2275"/>
      <c r="ED85" s="2275"/>
      <c r="EE85" s="2275"/>
      <c r="EF85" s="2276"/>
      <c r="EG85" s="2145"/>
    </row>
    <row r="86" spans="1:137" ht="18.899999999999999" customHeight="1">
      <c r="A86" s="2244"/>
      <c r="B86" s="2244"/>
      <c r="C86" s="2245"/>
      <c r="D86" s="2245"/>
      <c r="E86" s="2245"/>
      <c r="F86" s="2245"/>
      <c r="G86" s="2245"/>
      <c r="H86" s="2245"/>
      <c r="I86" s="2244"/>
      <c r="J86" s="2244"/>
      <c r="K86" s="2281" t="s">
        <v>944</v>
      </c>
      <c r="L86" s="2279"/>
      <c r="M86" s="2279"/>
      <c r="N86" s="2279"/>
      <c r="O86" s="2279"/>
      <c r="P86" s="2279"/>
      <c r="Q86" s="2275"/>
      <c r="R86" s="2275"/>
      <c r="S86" s="2275"/>
      <c r="T86" s="2275"/>
      <c r="U86" s="2275"/>
      <c r="V86" s="2275"/>
      <c r="W86" s="2275"/>
      <c r="X86" s="2275"/>
      <c r="Y86" s="2275"/>
      <c r="Z86" s="2275"/>
      <c r="AA86" s="2275"/>
      <c r="AB86" s="2275"/>
      <c r="AC86" s="2275"/>
      <c r="AD86" s="2275"/>
      <c r="AE86" s="2275"/>
      <c r="AF86" s="2275"/>
      <c r="AG86" s="2275"/>
      <c r="AH86" s="2275"/>
      <c r="AI86" s="2275"/>
      <c r="AJ86" s="2275"/>
      <c r="AK86" s="2275"/>
      <c r="AL86" s="2275"/>
      <c r="AM86" s="2275"/>
      <c r="AN86" s="2275"/>
      <c r="AO86" s="2275"/>
      <c r="AP86" s="2275"/>
      <c r="AQ86" s="2275"/>
      <c r="AR86" s="2275"/>
      <c r="AS86" s="2279"/>
      <c r="AT86" s="2279"/>
      <c r="AU86" s="2279"/>
      <c r="AV86" s="2279"/>
      <c r="AW86" s="2279"/>
      <c r="AX86" s="2279"/>
      <c r="AY86" s="2279"/>
      <c r="AZ86" s="2279"/>
      <c r="BA86" s="2279"/>
      <c r="BB86" s="2279"/>
      <c r="BC86" s="2279"/>
      <c r="BD86" s="2279"/>
      <c r="BE86" s="2279"/>
      <c r="BF86" s="2275"/>
      <c r="BG86" s="2275"/>
      <c r="BH86" s="2275"/>
      <c r="BI86" s="2275"/>
      <c r="BJ86" s="2275"/>
      <c r="BK86" s="2275"/>
      <c r="BL86" s="2275"/>
      <c r="BM86" s="2275"/>
      <c r="BN86" s="2275"/>
      <c r="BO86" s="2275"/>
      <c r="BP86" s="2275"/>
      <c r="BQ86" s="2275">
        <v>1</v>
      </c>
      <c r="BR86" s="2275"/>
      <c r="BS86" s="2279"/>
      <c r="BT86" s="2279"/>
      <c r="BU86" s="2279"/>
      <c r="BV86" s="2279"/>
      <c r="BW86" s="2279"/>
      <c r="BX86" s="2275"/>
      <c r="BY86" s="2275"/>
      <c r="BZ86" s="2275"/>
      <c r="CA86" s="2275">
        <v>1</v>
      </c>
      <c r="CB86" s="2275">
        <v>1</v>
      </c>
      <c r="CC86" s="2275"/>
      <c r="CD86" s="2275"/>
      <c r="CE86" s="2275"/>
      <c r="CF86" s="2275"/>
      <c r="CG86" s="2275"/>
      <c r="CH86" s="2275"/>
      <c r="CI86" s="2275"/>
      <c r="CJ86" s="2275"/>
      <c r="CK86" s="2275"/>
      <c r="CL86" s="2275"/>
      <c r="CM86" s="2275"/>
      <c r="CN86" s="2275"/>
      <c r="CO86" s="2275"/>
      <c r="CP86" s="2275"/>
      <c r="CQ86" s="2275"/>
      <c r="CR86" s="2275"/>
      <c r="CS86" s="2279"/>
      <c r="CT86" s="2279"/>
      <c r="CU86" s="2279">
        <f>1+5</f>
        <v>6</v>
      </c>
      <c r="CV86" s="2279"/>
      <c r="CW86" s="2279">
        <v>6</v>
      </c>
      <c r="CX86" s="2279"/>
      <c r="CY86" s="2279"/>
      <c r="CZ86" s="2279"/>
      <c r="DA86" s="2279"/>
      <c r="DB86" s="2279"/>
      <c r="DC86" s="2280"/>
      <c r="DD86" s="2275"/>
      <c r="DE86" s="2275"/>
      <c r="DF86" s="2275"/>
      <c r="DG86" s="2275"/>
      <c r="DH86" s="2275"/>
      <c r="DI86" s="2275"/>
      <c r="DJ86" s="2275">
        <v>6</v>
      </c>
      <c r="DK86" s="2275"/>
      <c r="DL86" s="2275"/>
      <c r="DM86" s="2275"/>
      <c r="DN86" s="2275"/>
      <c r="DO86" s="2275"/>
      <c r="DP86" s="2275"/>
      <c r="DQ86" s="2275">
        <v>6</v>
      </c>
      <c r="DR86" s="2275"/>
      <c r="DS86" s="2275"/>
      <c r="DT86" s="2275"/>
      <c r="DU86" s="2275"/>
      <c r="DV86" s="2275"/>
      <c r="DW86" s="2275"/>
      <c r="DX86" s="2275"/>
      <c r="DY86" s="2275"/>
      <c r="DZ86" s="2275"/>
      <c r="EA86" s="2275"/>
      <c r="EB86" s="2275"/>
      <c r="EC86" s="2275"/>
      <c r="ED86" s="2275"/>
      <c r="EE86" s="2275"/>
      <c r="EF86" s="2276"/>
      <c r="EG86" s="2145"/>
    </row>
    <row r="87" spans="1:137" ht="18.899999999999999" customHeight="1">
      <c r="A87" s="2244"/>
      <c r="B87" s="2244"/>
      <c r="C87" s="2245"/>
      <c r="D87" s="2245"/>
      <c r="E87" s="2245"/>
      <c r="F87" s="2245"/>
      <c r="G87" s="2245"/>
      <c r="H87" s="2245"/>
      <c r="I87" s="2244"/>
      <c r="J87" s="2244"/>
      <c r="K87" s="2278" t="s">
        <v>1422</v>
      </c>
      <c r="L87" s="2279"/>
      <c r="M87" s="2279"/>
      <c r="N87" s="2279"/>
      <c r="O87" s="2279"/>
      <c r="P87" s="2279"/>
      <c r="Q87" s="2275"/>
      <c r="R87" s="2275"/>
      <c r="S87" s="2275"/>
      <c r="T87" s="2275"/>
      <c r="U87" s="2275"/>
      <c r="V87" s="2275"/>
      <c r="W87" s="2275"/>
      <c r="X87" s="2275"/>
      <c r="Y87" s="2275"/>
      <c r="Z87" s="2275"/>
      <c r="AA87" s="2275"/>
      <c r="AB87" s="2275"/>
      <c r="AC87" s="2275"/>
      <c r="AD87" s="2275"/>
      <c r="AE87" s="2275"/>
      <c r="AF87" s="2275"/>
      <c r="AG87" s="2275"/>
      <c r="AH87" s="2275"/>
      <c r="AI87" s="2275"/>
      <c r="AJ87" s="2275"/>
      <c r="AK87" s="2275"/>
      <c r="AL87" s="2275"/>
      <c r="AM87" s="2275"/>
      <c r="AN87" s="2275"/>
      <c r="AO87" s="2275"/>
      <c r="AP87" s="2275"/>
      <c r="AQ87" s="2275"/>
      <c r="AR87" s="2275"/>
      <c r="AS87" s="2279"/>
      <c r="AT87" s="2279"/>
      <c r="AU87" s="2279"/>
      <c r="AV87" s="2279"/>
      <c r="AW87" s="2279"/>
      <c r="AX87" s="2279"/>
      <c r="AY87" s="2279"/>
      <c r="AZ87" s="2279"/>
      <c r="BA87" s="2279"/>
      <c r="BB87" s="2279"/>
      <c r="BC87" s="2279"/>
      <c r="BD87" s="2279"/>
      <c r="BE87" s="2279"/>
      <c r="BF87" s="2275"/>
      <c r="BG87" s="2275"/>
      <c r="BH87" s="2275"/>
      <c r="BI87" s="2275"/>
      <c r="BJ87" s="2275"/>
      <c r="BK87" s="2275"/>
      <c r="BL87" s="2275"/>
      <c r="BM87" s="2275"/>
      <c r="BN87" s="2275"/>
      <c r="BO87" s="2275"/>
      <c r="BP87" s="2275"/>
      <c r="BQ87" s="2275"/>
      <c r="BR87" s="2275"/>
      <c r="BS87" s="2279"/>
      <c r="BT87" s="2279"/>
      <c r="BU87" s="2279"/>
      <c r="BV87" s="2279"/>
      <c r="BW87" s="2279"/>
      <c r="BX87" s="2275"/>
      <c r="BY87" s="2275"/>
      <c r="BZ87" s="2275"/>
      <c r="CA87" s="2275"/>
      <c r="CB87" s="2275"/>
      <c r="CC87" s="2275"/>
      <c r="CD87" s="2275"/>
      <c r="CE87" s="2275">
        <v>1</v>
      </c>
      <c r="CF87" s="2275"/>
      <c r="CG87" s="2275"/>
      <c r="CH87" s="2275"/>
      <c r="CI87" s="2275"/>
      <c r="CJ87" s="2275"/>
      <c r="CK87" s="2275"/>
      <c r="CL87" s="2275"/>
      <c r="CM87" s="2275"/>
      <c r="CN87" s="2275"/>
      <c r="CO87" s="2275"/>
      <c r="CP87" s="2275"/>
      <c r="CQ87" s="2275"/>
      <c r="CR87" s="2275"/>
      <c r="CS87" s="2279"/>
      <c r="CT87" s="2279"/>
      <c r="CU87" s="2279">
        <v>6</v>
      </c>
      <c r="CV87" s="2279"/>
      <c r="CW87" s="2279"/>
      <c r="CX87" s="2279"/>
      <c r="CY87" s="2279"/>
      <c r="CZ87" s="2279"/>
      <c r="DA87" s="2279"/>
      <c r="DB87" s="2279"/>
      <c r="DC87" s="2280"/>
      <c r="DD87" s="2275"/>
      <c r="DE87" s="2275"/>
      <c r="DF87" s="2275"/>
      <c r="DG87" s="2275"/>
      <c r="DH87" s="2275"/>
      <c r="DI87" s="2275"/>
      <c r="DJ87" s="2275"/>
      <c r="DK87" s="2275"/>
      <c r="DL87" s="2275"/>
      <c r="DM87" s="2275"/>
      <c r="DN87" s="2275"/>
      <c r="DO87" s="2275"/>
      <c r="DP87" s="2275"/>
      <c r="DQ87" s="2275"/>
      <c r="DR87" s="2275"/>
      <c r="DS87" s="2275"/>
      <c r="DT87" s="2275"/>
      <c r="DU87" s="2275"/>
      <c r="DV87" s="2275"/>
      <c r="DW87" s="2275"/>
      <c r="DX87" s="2275"/>
      <c r="DY87" s="2275"/>
      <c r="DZ87" s="2275"/>
      <c r="EA87" s="2275"/>
      <c r="EB87" s="2275"/>
      <c r="EC87" s="2275"/>
      <c r="ED87" s="2275"/>
      <c r="EE87" s="2275"/>
      <c r="EF87" s="2276"/>
      <c r="EG87" s="2145"/>
    </row>
    <row r="88" spans="1:137" ht="18.899999999999999" customHeight="1">
      <c r="A88" s="2244"/>
      <c r="B88" s="2244"/>
      <c r="C88" s="2245"/>
      <c r="D88" s="2245"/>
      <c r="E88" s="2245"/>
      <c r="F88" s="2245"/>
      <c r="G88" s="2245"/>
      <c r="H88" s="2245"/>
      <c r="I88" s="2244"/>
      <c r="J88" s="2244"/>
      <c r="K88" s="2282" t="s">
        <v>1423</v>
      </c>
      <c r="L88" s="2283"/>
      <c r="M88" s="2283"/>
      <c r="N88" s="2283"/>
      <c r="O88" s="2283"/>
      <c r="P88" s="2283"/>
      <c r="Q88" s="2284"/>
      <c r="R88" s="2284"/>
      <c r="S88" s="2284"/>
      <c r="T88" s="2284"/>
      <c r="U88" s="2284"/>
      <c r="V88" s="2284"/>
      <c r="W88" s="2284"/>
      <c r="X88" s="2284"/>
      <c r="Y88" s="2284"/>
      <c r="Z88" s="2284"/>
      <c r="AA88" s="2284"/>
      <c r="AB88" s="2284"/>
      <c r="AC88" s="2284"/>
      <c r="AD88" s="2284"/>
      <c r="AE88" s="2284"/>
      <c r="AF88" s="2284"/>
      <c r="AG88" s="2284"/>
      <c r="AH88" s="2284"/>
      <c r="AI88" s="2284"/>
      <c r="AJ88" s="2284"/>
      <c r="AK88" s="2284"/>
      <c r="AL88" s="2284"/>
      <c r="AM88" s="2284"/>
      <c r="AN88" s="2284"/>
      <c r="AO88" s="2284"/>
      <c r="AP88" s="2284"/>
      <c r="AQ88" s="2284"/>
      <c r="AR88" s="2284"/>
      <c r="AS88" s="2283"/>
      <c r="AT88" s="2283"/>
      <c r="AU88" s="2283"/>
      <c r="AV88" s="2283"/>
      <c r="AW88" s="2283"/>
      <c r="AX88" s="2283"/>
      <c r="AY88" s="2283"/>
      <c r="AZ88" s="2283"/>
      <c r="BA88" s="2283"/>
      <c r="BB88" s="2283"/>
      <c r="BC88" s="2283"/>
      <c r="BD88" s="2283"/>
      <c r="BE88" s="2283"/>
      <c r="BF88" s="2284"/>
      <c r="BG88" s="2284"/>
      <c r="BH88" s="2284"/>
      <c r="BI88" s="2284"/>
      <c r="BJ88" s="2284"/>
      <c r="BK88" s="2284"/>
      <c r="BL88" s="2284"/>
      <c r="BM88" s="2284"/>
      <c r="BN88" s="2284"/>
      <c r="BO88" s="2284"/>
      <c r="BP88" s="2284"/>
      <c r="BQ88" s="2284"/>
      <c r="BR88" s="2284"/>
      <c r="BS88" s="2283"/>
      <c r="BT88" s="2283"/>
      <c r="BU88" s="2283"/>
      <c r="BV88" s="2283"/>
      <c r="BW88" s="2283"/>
      <c r="BX88" s="2284"/>
      <c r="BY88" s="2284"/>
      <c r="BZ88" s="2284"/>
      <c r="CA88" s="2284"/>
      <c r="CB88" s="2284"/>
      <c r="CC88" s="2284"/>
      <c r="CD88" s="2284">
        <v>1</v>
      </c>
      <c r="CE88" s="2284"/>
      <c r="CF88" s="2284"/>
      <c r="CG88" s="2284"/>
      <c r="CH88" s="2284"/>
      <c r="CI88" s="2284"/>
      <c r="CJ88" s="2284"/>
      <c r="CK88" s="2284"/>
      <c r="CL88" s="2284"/>
      <c r="CM88" s="2284"/>
      <c r="CN88" s="2284"/>
      <c r="CO88" s="2284"/>
      <c r="CP88" s="2284"/>
      <c r="CQ88" s="2284"/>
      <c r="CR88" s="2284"/>
      <c r="CS88" s="2283"/>
      <c r="CT88" s="2283"/>
      <c r="CU88" s="2283">
        <v>3</v>
      </c>
      <c r="CV88" s="2283"/>
      <c r="CW88" s="2283"/>
      <c r="CX88" s="2283"/>
      <c r="CY88" s="2283"/>
      <c r="CZ88" s="2283"/>
      <c r="DA88" s="2283"/>
      <c r="DB88" s="2283"/>
      <c r="DC88" s="2285"/>
      <c r="DD88" s="2275"/>
      <c r="DE88" s="2275"/>
      <c r="DF88" s="2275"/>
      <c r="DG88" s="2275"/>
      <c r="DH88" s="2275"/>
      <c r="DI88" s="2275"/>
      <c r="DJ88" s="2275"/>
      <c r="DK88" s="2275"/>
      <c r="DL88" s="2275"/>
      <c r="DM88" s="2275"/>
      <c r="DN88" s="2275"/>
      <c r="DO88" s="2275"/>
      <c r="DP88" s="2275"/>
      <c r="DQ88" s="2275"/>
      <c r="DR88" s="2275"/>
      <c r="DS88" s="2275"/>
      <c r="DT88" s="2275"/>
      <c r="DU88" s="2275"/>
      <c r="DV88" s="2275"/>
      <c r="DW88" s="2275"/>
      <c r="DX88" s="2275"/>
      <c r="DY88" s="2275"/>
      <c r="DZ88" s="2275"/>
      <c r="EA88" s="2275"/>
      <c r="EB88" s="2275"/>
      <c r="EC88" s="2275"/>
      <c r="ED88" s="2275"/>
      <c r="EE88" s="2275"/>
      <c r="EF88" s="2276"/>
      <c r="EG88" s="2145"/>
    </row>
    <row r="89" spans="1:137" ht="18.899999999999999" customHeight="1" thickBot="1">
      <c r="A89" s="2244"/>
      <c r="B89" s="2244"/>
      <c r="C89" s="2245"/>
      <c r="D89" s="2245"/>
      <c r="E89" s="2245"/>
      <c r="F89" s="2245"/>
      <c r="G89" s="2245"/>
      <c r="H89" s="2245"/>
      <c r="I89" s="2244"/>
      <c r="J89" s="2244"/>
      <c r="K89" s="2286">
        <v>1</v>
      </c>
      <c r="L89" s="2287">
        <v>2</v>
      </c>
      <c r="M89" s="2287">
        <v>3</v>
      </c>
      <c r="N89" s="2287">
        <v>3</v>
      </c>
      <c r="O89" s="2287">
        <v>3</v>
      </c>
      <c r="P89" s="2287">
        <v>4</v>
      </c>
      <c r="Q89" s="2288">
        <v>5</v>
      </c>
      <c r="R89" s="2288">
        <v>6</v>
      </c>
      <c r="S89" s="2288">
        <v>7</v>
      </c>
      <c r="T89" s="2288">
        <v>8</v>
      </c>
      <c r="U89" s="2288">
        <v>9</v>
      </c>
      <c r="V89" s="2288">
        <v>10</v>
      </c>
      <c r="W89" s="2288">
        <v>11</v>
      </c>
      <c r="X89" s="2288">
        <v>12</v>
      </c>
      <c r="Y89" s="2288">
        <v>13</v>
      </c>
      <c r="Z89" s="2288">
        <v>14</v>
      </c>
      <c r="AA89" s="2288">
        <v>15</v>
      </c>
      <c r="AB89" s="2288">
        <v>16</v>
      </c>
      <c r="AC89" s="2288">
        <v>17</v>
      </c>
      <c r="AD89" s="2288">
        <v>18</v>
      </c>
      <c r="AE89" s="2288">
        <v>19</v>
      </c>
      <c r="AF89" s="2288">
        <v>20</v>
      </c>
      <c r="AG89" s="2288">
        <v>21</v>
      </c>
      <c r="AH89" s="2288">
        <v>22</v>
      </c>
      <c r="AI89" s="2288">
        <v>10</v>
      </c>
      <c r="AJ89" s="2288">
        <v>11</v>
      </c>
      <c r="AK89" s="2288">
        <v>12</v>
      </c>
      <c r="AL89" s="2288">
        <v>13</v>
      </c>
      <c r="AM89" s="2288">
        <v>14</v>
      </c>
      <c r="AN89" s="2288">
        <v>15</v>
      </c>
      <c r="AO89" s="2288">
        <v>16</v>
      </c>
      <c r="AP89" s="2288">
        <v>17</v>
      </c>
      <c r="AQ89" s="2288">
        <v>18</v>
      </c>
      <c r="AR89" s="2288">
        <v>26</v>
      </c>
      <c r="AS89" s="2287">
        <v>27</v>
      </c>
      <c r="AT89" s="2287">
        <v>28</v>
      </c>
      <c r="AU89" s="2287">
        <v>29</v>
      </c>
      <c r="AV89" s="2287">
        <v>30</v>
      </c>
      <c r="AW89" s="2287">
        <v>31</v>
      </c>
      <c r="AX89" s="2287">
        <v>32</v>
      </c>
      <c r="AY89" s="2287">
        <v>33</v>
      </c>
      <c r="AZ89" s="2287">
        <v>34</v>
      </c>
      <c r="BA89" s="2287">
        <v>35</v>
      </c>
      <c r="BB89" s="2287">
        <v>35</v>
      </c>
      <c r="BC89" s="2287">
        <v>36</v>
      </c>
      <c r="BD89" s="2287">
        <v>37</v>
      </c>
      <c r="BE89" s="2287">
        <v>38</v>
      </c>
      <c r="BF89" s="2288"/>
      <c r="BG89" s="2288"/>
      <c r="BH89" s="2288">
        <v>39</v>
      </c>
      <c r="BI89" s="2288">
        <v>39</v>
      </c>
      <c r="BJ89" s="2288">
        <v>40</v>
      </c>
      <c r="BK89" s="2288">
        <v>41</v>
      </c>
      <c r="BL89" s="2288">
        <v>42</v>
      </c>
      <c r="BM89" s="2288">
        <v>43</v>
      </c>
      <c r="BN89" s="2288">
        <v>44</v>
      </c>
      <c r="BO89" s="2288">
        <v>43</v>
      </c>
      <c r="BP89" s="2288">
        <v>44</v>
      </c>
      <c r="BQ89" s="2288">
        <v>45</v>
      </c>
      <c r="BR89" s="2288">
        <v>46</v>
      </c>
      <c r="BS89" s="2287">
        <v>47</v>
      </c>
      <c r="BT89" s="2287">
        <v>48</v>
      </c>
      <c r="BU89" s="2287">
        <v>49</v>
      </c>
      <c r="BV89" s="2287">
        <v>49</v>
      </c>
      <c r="BW89" s="2287">
        <v>49</v>
      </c>
      <c r="BX89" s="2288">
        <v>50</v>
      </c>
      <c r="BY89" s="2288">
        <v>51</v>
      </c>
      <c r="BZ89" s="2288">
        <v>52</v>
      </c>
      <c r="CA89" s="2288">
        <v>53</v>
      </c>
      <c r="CB89" s="2288">
        <v>54</v>
      </c>
      <c r="CC89" s="2288">
        <v>55</v>
      </c>
      <c r="CD89" s="2288">
        <v>56</v>
      </c>
      <c r="CE89" s="2288">
        <v>57</v>
      </c>
      <c r="CF89" s="2288">
        <v>58</v>
      </c>
      <c r="CG89" s="2288">
        <v>59</v>
      </c>
      <c r="CH89" s="2288">
        <v>60</v>
      </c>
      <c r="CI89" s="2288">
        <v>63</v>
      </c>
      <c r="CJ89" s="2288">
        <v>66</v>
      </c>
      <c r="CK89" s="2288">
        <v>64</v>
      </c>
      <c r="CL89" s="2288">
        <v>65</v>
      </c>
      <c r="CM89" s="2288">
        <v>66</v>
      </c>
      <c r="CN89" s="2288">
        <v>67</v>
      </c>
      <c r="CO89" s="2288">
        <v>68</v>
      </c>
      <c r="CP89" s="2288">
        <v>69</v>
      </c>
      <c r="CQ89" s="2288">
        <v>70</v>
      </c>
      <c r="CR89" s="2288">
        <v>71</v>
      </c>
      <c r="CS89" s="2287">
        <v>72</v>
      </c>
      <c r="CT89" s="2287">
        <v>73</v>
      </c>
      <c r="CU89" s="2287">
        <v>74</v>
      </c>
      <c r="CV89" s="2287">
        <v>75</v>
      </c>
      <c r="CW89" s="2287">
        <v>76</v>
      </c>
      <c r="CX89" s="2287"/>
      <c r="CY89" s="2287"/>
      <c r="CZ89" s="2287">
        <v>77</v>
      </c>
      <c r="DA89" s="2287">
        <v>78</v>
      </c>
      <c r="DB89" s="2287">
        <v>79</v>
      </c>
      <c r="DC89" s="2287">
        <v>80</v>
      </c>
      <c r="DD89" s="2288">
        <v>81</v>
      </c>
      <c r="DE89" s="2288">
        <v>81</v>
      </c>
      <c r="DF89" s="2288">
        <v>82</v>
      </c>
      <c r="DG89" s="2288">
        <v>82</v>
      </c>
      <c r="DH89" s="2288">
        <v>82</v>
      </c>
      <c r="DI89" s="2288">
        <v>82</v>
      </c>
      <c r="DJ89" s="2288">
        <v>83</v>
      </c>
      <c r="DK89" s="2288">
        <v>82</v>
      </c>
      <c r="DL89" s="2288">
        <v>82</v>
      </c>
      <c r="DM89" s="2288">
        <v>82</v>
      </c>
      <c r="DN89" s="2288">
        <v>82</v>
      </c>
      <c r="DO89" s="2288">
        <v>82</v>
      </c>
      <c r="DP89" s="2288">
        <v>82</v>
      </c>
      <c r="DQ89" s="2288">
        <v>83</v>
      </c>
      <c r="DR89" s="2288">
        <v>81</v>
      </c>
      <c r="DS89" s="2288">
        <v>81</v>
      </c>
      <c r="DT89" s="2288">
        <v>81</v>
      </c>
      <c r="DU89" s="2288">
        <v>81</v>
      </c>
      <c r="DV89" s="2288">
        <v>81</v>
      </c>
      <c r="DW89" s="2288">
        <v>81</v>
      </c>
      <c r="DX89" s="2288">
        <v>81</v>
      </c>
      <c r="DY89" s="2288"/>
      <c r="DZ89" s="2288"/>
      <c r="EA89" s="2288">
        <v>88</v>
      </c>
      <c r="EB89" s="2288">
        <v>89</v>
      </c>
      <c r="EC89" s="2288">
        <v>87</v>
      </c>
      <c r="ED89" s="2288">
        <v>87</v>
      </c>
      <c r="EE89" s="2288">
        <v>88</v>
      </c>
      <c r="EF89" s="2287">
        <v>90</v>
      </c>
      <c r="EG89" s="2149"/>
    </row>
    <row r="90" spans="1:137" ht="18.899999999999999" customHeight="1">
      <c r="A90" s="2244"/>
      <c r="B90" s="2244"/>
      <c r="C90" s="2245"/>
      <c r="D90" s="2245"/>
      <c r="E90" s="2245"/>
      <c r="F90" s="2245"/>
      <c r="G90" s="2245"/>
      <c r="H90" s="2245"/>
      <c r="I90" s="2244"/>
      <c r="J90" s="2244"/>
      <c r="K90" s="2246"/>
      <c r="L90" s="2244"/>
      <c r="M90" s="2247"/>
      <c r="N90" s="2247"/>
      <c r="O90" s="2247"/>
      <c r="P90" s="2247"/>
      <c r="Q90" s="2246"/>
      <c r="R90" s="2246"/>
      <c r="S90" s="2246"/>
      <c r="T90" s="2246"/>
      <c r="U90" s="2246"/>
      <c r="V90" s="2246"/>
      <c r="W90" s="2246"/>
      <c r="X90" s="2246"/>
      <c r="Y90" s="2246"/>
      <c r="Z90" s="2246"/>
      <c r="AA90" s="2246"/>
      <c r="AB90" s="2246"/>
      <c r="AC90" s="2246"/>
      <c r="AD90" s="2246"/>
      <c r="AE90" s="2246"/>
      <c r="AF90" s="2246"/>
      <c r="AG90" s="2246"/>
      <c r="AH90" s="2246"/>
      <c r="AI90" s="2246"/>
      <c r="AJ90" s="2246"/>
      <c r="AK90" s="2246"/>
      <c r="AL90" s="2246"/>
      <c r="AM90" s="2246"/>
      <c r="AN90" s="2246"/>
      <c r="AO90" s="2246"/>
      <c r="AP90" s="2246"/>
      <c r="AQ90" s="2246"/>
      <c r="AR90" s="2246"/>
      <c r="AS90" s="2244"/>
      <c r="AT90" s="2244"/>
      <c r="AU90" s="2244"/>
      <c r="AV90" s="2244"/>
      <c r="AW90" s="2244"/>
      <c r="AX90" s="2244"/>
      <c r="AY90" s="2244"/>
      <c r="AZ90" s="2244"/>
      <c r="BA90" s="2244"/>
      <c r="BB90" s="2244"/>
      <c r="BC90" s="2244"/>
      <c r="BD90" s="2244"/>
      <c r="BE90" s="2244"/>
      <c r="BF90" s="2246"/>
      <c r="BG90" s="2246"/>
      <c r="BH90" s="2246"/>
      <c r="BI90" s="2246"/>
      <c r="BJ90" s="2246"/>
      <c r="BK90" s="2246"/>
      <c r="BL90" s="2246"/>
      <c r="BM90" s="2246"/>
      <c r="BN90" s="2246"/>
      <c r="BO90" s="2246"/>
      <c r="BP90" s="2246"/>
      <c r="BQ90" s="2246"/>
      <c r="BR90" s="2246"/>
      <c r="BS90" s="2244"/>
      <c r="BT90" s="2244"/>
      <c r="BU90" s="2244"/>
      <c r="BV90" s="2244"/>
      <c r="BW90" s="2244"/>
      <c r="BX90" s="2246"/>
      <c r="BY90" s="2246"/>
      <c r="BZ90" s="2246"/>
      <c r="CA90" s="2246"/>
      <c r="CB90" s="2246"/>
      <c r="CC90" s="2246"/>
      <c r="CD90" s="2246"/>
      <c r="CE90" s="2246"/>
      <c r="CF90" s="2246"/>
      <c r="CG90" s="2246"/>
      <c r="CH90" s="2246"/>
      <c r="CI90" s="2246"/>
      <c r="CJ90" s="2246"/>
      <c r="CK90" s="2246"/>
      <c r="CL90" s="2246"/>
      <c r="CM90" s="2246"/>
      <c r="CN90" s="2246"/>
      <c r="CO90" s="2246"/>
      <c r="CP90" s="2246"/>
      <c r="CQ90" s="2246"/>
      <c r="CR90" s="2246"/>
      <c r="CS90" s="2248"/>
      <c r="CT90" s="2248"/>
      <c r="CU90" s="2248"/>
      <c r="CV90" s="2248"/>
      <c r="CW90" s="2248"/>
      <c r="CX90" s="2248"/>
      <c r="CY90" s="2248"/>
      <c r="CZ90" s="2248"/>
      <c r="DA90" s="2248"/>
      <c r="DB90" s="2248"/>
      <c r="DC90" s="2248"/>
      <c r="DD90" s="2249"/>
      <c r="DE90" s="2249"/>
      <c r="DF90" s="2249"/>
      <c r="DG90" s="2249"/>
      <c r="DH90" s="2249"/>
      <c r="DI90" s="2249"/>
      <c r="DJ90" s="2249"/>
      <c r="DK90" s="2249"/>
      <c r="DL90" s="2249"/>
      <c r="DM90" s="2249"/>
      <c r="DN90" s="2249"/>
      <c r="DO90" s="2249"/>
      <c r="DP90" s="2249"/>
      <c r="DQ90" s="2249"/>
      <c r="DR90" s="2249"/>
      <c r="DS90" s="2249"/>
      <c r="DT90" s="2249"/>
      <c r="DU90" s="2249"/>
      <c r="DV90" s="2249"/>
      <c r="DW90" s="2249"/>
      <c r="DX90" s="2249"/>
      <c r="DY90" s="2249"/>
      <c r="DZ90" s="2249"/>
      <c r="EA90" s="2249"/>
      <c r="EB90" s="2249"/>
      <c r="EC90" s="2249"/>
      <c r="ED90" s="2249"/>
      <c r="EE90" s="2249"/>
      <c r="EF90" s="2248"/>
      <c r="EG90" s="2248"/>
    </row>
    <row r="91" spans="1:137" ht="18.899999999999999" customHeight="1">
      <c r="A91" s="2244"/>
      <c r="B91" s="2244"/>
      <c r="C91" s="2245"/>
      <c r="D91" s="2245"/>
      <c r="E91" s="2245"/>
      <c r="F91" s="2245"/>
      <c r="G91" s="2245"/>
      <c r="H91" s="2245"/>
      <c r="I91" s="2244"/>
      <c r="J91" s="2244"/>
      <c r="K91" s="2246"/>
      <c r="L91" s="2244"/>
      <c r="M91" s="2247"/>
      <c r="N91" s="2247"/>
      <c r="O91" s="2247"/>
      <c r="P91" s="2247"/>
      <c r="Q91" s="2246"/>
      <c r="R91" s="2246"/>
      <c r="S91" s="2246"/>
      <c r="T91" s="2246"/>
      <c r="U91" s="2246"/>
      <c r="V91" s="2246"/>
      <c r="W91" s="2246"/>
      <c r="X91" s="2246"/>
      <c r="Y91" s="2246"/>
      <c r="Z91" s="2246"/>
      <c r="AA91" s="2246"/>
      <c r="AB91" s="2246"/>
      <c r="AC91" s="2246"/>
      <c r="AD91" s="2246"/>
      <c r="AE91" s="2246"/>
      <c r="AF91" s="2246"/>
      <c r="AG91" s="2246"/>
      <c r="AH91" s="2246"/>
      <c r="AI91" s="2246"/>
      <c r="AJ91" s="2246"/>
      <c r="AK91" s="2246"/>
      <c r="AL91" s="2246"/>
      <c r="AM91" s="2246"/>
      <c r="AN91" s="2246"/>
      <c r="AO91" s="2246"/>
      <c r="AP91" s="2246"/>
      <c r="AQ91" s="2246"/>
      <c r="AR91" s="2246"/>
      <c r="AS91" s="2244"/>
      <c r="AT91" s="2244"/>
      <c r="AU91" s="2244"/>
      <c r="AV91" s="2244"/>
      <c r="AW91" s="2244"/>
      <c r="AX91" s="2244"/>
      <c r="AY91" s="2244"/>
      <c r="AZ91" s="2244"/>
      <c r="BA91" s="2244"/>
      <c r="BB91" s="2244"/>
      <c r="BC91" s="2244"/>
      <c r="BD91" s="2244"/>
      <c r="BE91" s="2244"/>
      <c r="BF91" s="2246"/>
      <c r="BG91" s="2246"/>
      <c r="BH91" s="2246"/>
      <c r="BI91" s="2246"/>
      <c r="BJ91" s="2246"/>
      <c r="BK91" s="2246"/>
      <c r="BL91" s="2246"/>
      <c r="BM91" s="2246"/>
      <c r="BN91" s="2246"/>
      <c r="BO91" s="2246"/>
      <c r="BP91" s="2246"/>
      <c r="BQ91" s="2246"/>
      <c r="BR91" s="2246"/>
      <c r="BS91" s="2244"/>
      <c r="BT91" s="2244"/>
      <c r="BU91" s="2244"/>
      <c r="BV91" s="2244"/>
      <c r="BW91" s="2244"/>
      <c r="BX91" s="2246"/>
      <c r="BY91" s="2246"/>
      <c r="BZ91" s="2246"/>
      <c r="CA91" s="2246"/>
      <c r="CB91" s="2246"/>
      <c r="CC91" s="2246"/>
      <c r="CD91" s="2246"/>
      <c r="CE91" s="2246"/>
      <c r="CF91" s="2246"/>
      <c r="CG91" s="2246"/>
      <c r="CH91" s="2246"/>
      <c r="CI91" s="2246"/>
      <c r="CJ91" s="2246"/>
      <c r="CK91" s="2246"/>
      <c r="CL91" s="2246"/>
      <c r="CM91" s="2246"/>
      <c r="CN91" s="2246"/>
      <c r="CO91" s="2246"/>
      <c r="CP91" s="2246"/>
      <c r="CQ91" s="2246"/>
      <c r="CR91" s="2246"/>
      <c r="CS91" s="2248"/>
      <c r="CT91" s="2248"/>
      <c r="CU91" s="2248"/>
      <c r="CV91" s="2248"/>
      <c r="CW91" s="2248"/>
      <c r="CX91" s="2248"/>
      <c r="CY91" s="2248"/>
      <c r="CZ91" s="2248"/>
      <c r="DA91" s="2248"/>
      <c r="DB91" s="2248"/>
      <c r="DC91" s="2248"/>
      <c r="DD91" s="2249"/>
      <c r="DE91" s="2249"/>
      <c r="DF91" s="2249"/>
      <c r="DG91" s="2249"/>
      <c r="DH91" s="2249"/>
      <c r="DI91" s="2249"/>
      <c r="DJ91" s="2249"/>
      <c r="DK91" s="2249"/>
      <c r="DL91" s="2249"/>
      <c r="DM91" s="2249"/>
      <c r="DN91" s="2249"/>
      <c r="DO91" s="2249"/>
      <c r="DP91" s="2249"/>
      <c r="DQ91" s="2249"/>
      <c r="DR91" s="2249"/>
      <c r="DS91" s="2249"/>
      <c r="DT91" s="2249"/>
      <c r="DU91" s="2249"/>
      <c r="DV91" s="2249"/>
      <c r="DW91" s="2249"/>
      <c r="DX91" s="2249"/>
      <c r="DY91" s="2249"/>
      <c r="DZ91" s="2249"/>
      <c r="EA91" s="2249"/>
      <c r="EB91" s="2249"/>
      <c r="EC91" s="2249"/>
      <c r="ED91" s="2249"/>
      <c r="EE91" s="2249"/>
      <c r="EF91" s="2248"/>
      <c r="EG91" s="2248"/>
    </row>
    <row r="92" spans="1:137" ht="18.899999999999999" customHeight="1">
      <c r="A92" s="2244"/>
      <c r="B92" s="2244"/>
      <c r="C92" s="2245"/>
      <c r="D92" s="2245"/>
      <c r="E92" s="2245"/>
      <c r="F92" s="2245"/>
      <c r="G92" s="2245"/>
      <c r="H92" s="2245"/>
      <c r="I92" s="2244"/>
      <c r="J92" s="2244"/>
      <c r="K92" s="2246"/>
      <c r="L92" s="2244"/>
      <c r="M92" s="2247"/>
      <c r="N92" s="2247"/>
      <c r="O92" s="2247"/>
      <c r="P92" s="2247"/>
      <c r="Q92" s="2246"/>
      <c r="R92" s="2246"/>
      <c r="S92" s="2246"/>
      <c r="T92" s="2246"/>
      <c r="U92" s="2246"/>
      <c r="V92" s="2246"/>
      <c r="W92" s="2246"/>
      <c r="X92" s="2246"/>
      <c r="Y92" s="2246"/>
      <c r="Z92" s="2246"/>
      <c r="AA92" s="2246"/>
      <c r="AB92" s="2246"/>
      <c r="AC92" s="2246"/>
      <c r="AD92" s="2246"/>
      <c r="AE92" s="2246"/>
      <c r="AF92" s="2246"/>
      <c r="AG92" s="2246"/>
      <c r="AH92" s="2246"/>
      <c r="AI92" s="2246"/>
      <c r="AJ92" s="2246"/>
      <c r="AK92" s="2246"/>
      <c r="AL92" s="2246"/>
      <c r="AM92" s="2246"/>
      <c r="AN92" s="2246"/>
      <c r="AO92" s="2246"/>
      <c r="AP92" s="2246"/>
      <c r="AQ92" s="2246"/>
      <c r="AR92" s="2246"/>
      <c r="AS92" s="2244"/>
      <c r="AT92" s="2244"/>
      <c r="AU92" s="2244"/>
      <c r="AV92" s="2244"/>
      <c r="AW92" s="2244"/>
      <c r="AX92" s="2244"/>
      <c r="AY92" s="2244"/>
      <c r="AZ92" s="2244"/>
      <c r="BA92" s="2244"/>
      <c r="BB92" s="2244"/>
      <c r="BC92" s="2244"/>
      <c r="BD92" s="2244"/>
      <c r="BE92" s="2244"/>
      <c r="BF92" s="2246"/>
      <c r="BG92" s="2246"/>
      <c r="BH92" s="2246"/>
      <c r="BI92" s="2246"/>
      <c r="BJ92" s="2246"/>
      <c r="BK92" s="2246"/>
      <c r="BL92" s="2246"/>
      <c r="BM92" s="2246"/>
      <c r="BN92" s="2246"/>
      <c r="BO92" s="2246"/>
      <c r="BP92" s="2246"/>
      <c r="BQ92" s="2246"/>
      <c r="BR92" s="2246"/>
      <c r="BS92" s="2244"/>
      <c r="BT92" s="2244"/>
      <c r="BU92" s="2244"/>
      <c r="BV92" s="2244"/>
      <c r="BW92" s="2244"/>
      <c r="BX92" s="2246"/>
      <c r="BY92" s="2246"/>
      <c r="BZ92" s="2246"/>
      <c r="CA92" s="2246"/>
      <c r="CB92" s="2246"/>
      <c r="CC92" s="2246"/>
      <c r="CD92" s="2246"/>
      <c r="CE92" s="2246"/>
      <c r="CF92" s="2246"/>
      <c r="CG92" s="2246"/>
      <c r="CH92" s="2246"/>
      <c r="CI92" s="2246"/>
      <c r="CJ92" s="2246"/>
      <c r="CK92" s="2246"/>
      <c r="CL92" s="2246"/>
      <c r="CM92" s="2246"/>
      <c r="CN92" s="2246"/>
      <c r="CO92" s="2246"/>
      <c r="CP92" s="2246"/>
      <c r="CQ92" s="2246"/>
      <c r="CR92" s="2246"/>
      <c r="CS92" s="2248"/>
      <c r="CT92" s="2248"/>
      <c r="CU92" s="2248"/>
      <c r="CV92" s="2248"/>
      <c r="CW92" s="2248"/>
      <c r="CX92" s="2248"/>
      <c r="CY92" s="2248"/>
      <c r="CZ92" s="2248"/>
      <c r="DA92" s="2248"/>
      <c r="DB92" s="2248"/>
      <c r="DC92" s="2248"/>
      <c r="DD92" s="2249"/>
      <c r="DE92" s="2249"/>
      <c r="DF92" s="2249"/>
      <c r="DG92" s="2249"/>
      <c r="DH92" s="2249"/>
      <c r="DI92" s="2249"/>
      <c r="DJ92" s="2249"/>
      <c r="DK92" s="2249"/>
      <c r="DL92" s="2249"/>
      <c r="DM92" s="2249"/>
      <c r="DN92" s="2249"/>
      <c r="DO92" s="2249"/>
      <c r="DP92" s="2249"/>
      <c r="DQ92" s="2249"/>
      <c r="DR92" s="2249"/>
      <c r="DS92" s="2249"/>
      <c r="DT92" s="2249"/>
      <c r="DU92" s="2249"/>
      <c r="DV92" s="2249"/>
      <c r="DW92" s="2249"/>
      <c r="DX92" s="2249"/>
      <c r="DY92" s="2249"/>
      <c r="DZ92" s="2249"/>
      <c r="EA92" s="2249"/>
      <c r="EB92" s="2249"/>
      <c r="EC92" s="2249"/>
      <c r="ED92" s="2249"/>
      <c r="EE92" s="2249"/>
      <c r="EF92" s="2248"/>
      <c r="EG92" s="2248"/>
    </row>
    <row r="93" spans="1:137" ht="18.899999999999999" customHeight="1">
      <c r="A93" s="2244"/>
      <c r="B93" s="2244"/>
      <c r="C93" s="2245"/>
      <c r="D93" s="2245"/>
      <c r="E93" s="2245"/>
      <c r="F93" s="2245"/>
      <c r="G93" s="2245"/>
      <c r="H93" s="2245"/>
      <c r="I93" s="2244"/>
      <c r="J93" s="2244"/>
      <c r="K93" s="2246"/>
      <c r="L93" s="2244"/>
      <c r="M93" s="2247"/>
      <c r="N93" s="2247"/>
      <c r="O93" s="2247"/>
      <c r="P93" s="2247"/>
      <c r="Q93" s="2246"/>
      <c r="R93" s="2246"/>
      <c r="S93" s="2246"/>
      <c r="T93" s="2246"/>
      <c r="U93" s="2246"/>
      <c r="V93" s="2246"/>
      <c r="W93" s="2246"/>
      <c r="X93" s="2246"/>
      <c r="Y93" s="2246"/>
      <c r="Z93" s="2246"/>
      <c r="AA93" s="2246"/>
      <c r="AB93" s="2246"/>
      <c r="AC93" s="2246"/>
      <c r="AD93" s="2246"/>
      <c r="AE93" s="2246"/>
      <c r="AF93" s="2246"/>
      <c r="AG93" s="2246"/>
      <c r="AH93" s="2246"/>
      <c r="AI93" s="2246"/>
      <c r="AJ93" s="2246"/>
      <c r="AK93" s="2246"/>
      <c r="AL93" s="2246"/>
      <c r="AM93" s="2246"/>
      <c r="AN93" s="2246"/>
      <c r="AO93" s="2246"/>
      <c r="AP93" s="2246"/>
      <c r="AQ93" s="2246"/>
      <c r="AR93" s="2246"/>
      <c r="AS93" s="2244"/>
      <c r="AT93" s="2244"/>
      <c r="AU93" s="2244"/>
      <c r="AV93" s="2244"/>
      <c r="AW93" s="2244"/>
      <c r="AX93" s="2244"/>
      <c r="AY93" s="2244"/>
      <c r="AZ93" s="2244"/>
      <c r="BA93" s="2244"/>
      <c r="BB93" s="2244"/>
      <c r="BC93" s="2244"/>
      <c r="BD93" s="2244"/>
      <c r="BE93" s="2244"/>
      <c r="BF93" s="2246"/>
      <c r="BG93" s="2246"/>
      <c r="BH93" s="2246"/>
      <c r="BI93" s="2246"/>
      <c r="BJ93" s="2246"/>
      <c r="BK93" s="2246"/>
      <c r="BL93" s="2246"/>
      <c r="BM93" s="2246"/>
      <c r="BN93" s="2246"/>
      <c r="BO93" s="2246"/>
      <c r="BP93" s="2246"/>
      <c r="BQ93" s="2246"/>
      <c r="BR93" s="2246"/>
      <c r="BS93" s="2244"/>
      <c r="BT93" s="2244"/>
      <c r="BU93" s="2244"/>
      <c r="BV93" s="2244"/>
      <c r="BW93" s="2244"/>
      <c r="BX93" s="2246"/>
      <c r="BY93" s="2246"/>
      <c r="BZ93" s="2246"/>
      <c r="CA93" s="2246"/>
      <c r="CB93" s="2246"/>
      <c r="CC93" s="2246"/>
      <c r="CD93" s="2246"/>
      <c r="CE93" s="2246"/>
      <c r="CF93" s="2246"/>
      <c r="CG93" s="2246"/>
      <c r="CH93" s="2246"/>
      <c r="CI93" s="2246"/>
      <c r="CJ93" s="2246"/>
      <c r="CK93" s="2246"/>
      <c r="CL93" s="2246"/>
      <c r="CM93" s="2246"/>
      <c r="CN93" s="2246"/>
      <c r="CO93" s="2246"/>
      <c r="CP93" s="2246"/>
      <c r="CQ93" s="2246"/>
      <c r="CR93" s="2246"/>
      <c r="CS93" s="2248"/>
      <c r="CT93" s="2248"/>
      <c r="CU93" s="2248"/>
      <c r="CV93" s="2248"/>
      <c r="CW93" s="2248"/>
      <c r="CX93" s="2248"/>
      <c r="CY93" s="2248"/>
      <c r="CZ93" s="2248"/>
      <c r="DA93" s="2248"/>
      <c r="DB93" s="2248"/>
      <c r="DC93" s="2248"/>
      <c r="DD93" s="2249"/>
      <c r="DE93" s="2249"/>
      <c r="DF93" s="2249"/>
      <c r="DG93" s="2249"/>
      <c r="DH93" s="2249"/>
      <c r="DI93" s="2249"/>
      <c r="DJ93" s="2249"/>
      <c r="DK93" s="2249"/>
      <c r="DL93" s="2249"/>
      <c r="DM93" s="2249"/>
      <c r="DN93" s="2249"/>
      <c r="DO93" s="2249"/>
      <c r="DP93" s="2249"/>
      <c r="DQ93" s="2249"/>
      <c r="DR93" s="2249"/>
      <c r="DS93" s="2249"/>
      <c r="DT93" s="2249"/>
      <c r="DU93" s="2249"/>
      <c r="DV93" s="2249"/>
      <c r="DW93" s="2249"/>
      <c r="DX93" s="2249"/>
      <c r="DY93" s="2249"/>
      <c r="DZ93" s="2249"/>
      <c r="EA93" s="2249"/>
      <c r="EB93" s="2249"/>
      <c r="EC93" s="2249"/>
      <c r="ED93" s="2249"/>
      <c r="EE93" s="2249"/>
      <c r="EF93" s="2248"/>
      <c r="EG93" s="2248"/>
    </row>
    <row r="94" spans="1:137" ht="18.899999999999999" customHeight="1">
      <c r="A94" s="2244"/>
      <c r="B94" s="2244"/>
      <c r="C94" s="2245"/>
      <c r="D94" s="2245"/>
      <c r="E94" s="2245"/>
      <c r="F94" s="2245"/>
      <c r="G94" s="2245"/>
      <c r="H94" s="2245"/>
      <c r="I94" s="2244"/>
      <c r="J94" s="2244"/>
      <c r="K94" s="2246"/>
      <c r="L94" s="2244"/>
      <c r="M94" s="2247"/>
      <c r="N94" s="2247"/>
      <c r="O94" s="2247"/>
      <c r="P94" s="2247"/>
      <c r="Q94" s="2246"/>
      <c r="R94" s="2246"/>
      <c r="S94" s="2246"/>
      <c r="T94" s="2246"/>
      <c r="U94" s="2246"/>
      <c r="V94" s="2246"/>
      <c r="W94" s="2246"/>
      <c r="X94" s="2246"/>
      <c r="Y94" s="2246"/>
      <c r="Z94" s="2246"/>
      <c r="AA94" s="2246"/>
      <c r="AB94" s="2246"/>
      <c r="AC94" s="2246"/>
      <c r="AD94" s="2246"/>
      <c r="AE94" s="2246"/>
      <c r="AF94" s="2246"/>
      <c r="AG94" s="2246"/>
      <c r="AH94" s="2246"/>
      <c r="AI94" s="2246"/>
      <c r="AJ94" s="2246"/>
      <c r="AK94" s="2246"/>
      <c r="AL94" s="2246"/>
      <c r="AM94" s="2246"/>
      <c r="AN94" s="2246"/>
      <c r="AO94" s="2246"/>
      <c r="AP94" s="2246"/>
      <c r="AQ94" s="2246"/>
      <c r="AR94" s="2246"/>
      <c r="AS94" s="2244"/>
      <c r="AT94" s="2244"/>
      <c r="AU94" s="2244"/>
      <c r="AV94" s="2244"/>
      <c r="AW94" s="2244"/>
      <c r="AX94" s="2244"/>
      <c r="AY94" s="2244"/>
      <c r="AZ94" s="2244"/>
      <c r="BA94" s="2244"/>
      <c r="BB94" s="2244"/>
      <c r="BC94" s="2244"/>
      <c r="BD94" s="2244"/>
      <c r="BE94" s="2244"/>
      <c r="BF94" s="2246"/>
      <c r="BG94" s="2246"/>
      <c r="BH94" s="2246"/>
      <c r="BI94" s="2246"/>
      <c r="BJ94" s="2246"/>
      <c r="BK94" s="2246"/>
      <c r="BL94" s="2246"/>
      <c r="BM94" s="2246"/>
      <c r="BN94" s="2246"/>
      <c r="BO94" s="2246"/>
      <c r="BP94" s="2246"/>
      <c r="BQ94" s="2246"/>
      <c r="BR94" s="2246"/>
      <c r="BS94" s="2244"/>
      <c r="BT94" s="2244"/>
      <c r="BU94" s="2244"/>
      <c r="BV94" s="2244"/>
      <c r="BW94" s="2244"/>
      <c r="BX94" s="2246"/>
      <c r="BY94" s="2246"/>
      <c r="BZ94" s="2246"/>
      <c r="CA94" s="2246"/>
      <c r="CB94" s="2246"/>
      <c r="CC94" s="2246"/>
      <c r="CD94" s="2246"/>
      <c r="CE94" s="2246"/>
      <c r="CF94" s="2246"/>
      <c r="CG94" s="2246"/>
      <c r="CH94" s="2246"/>
      <c r="CI94" s="2246"/>
      <c r="CJ94" s="2246"/>
      <c r="CK94" s="2246"/>
      <c r="CL94" s="2246"/>
      <c r="CM94" s="2246"/>
      <c r="CN94" s="2246"/>
      <c r="CO94" s="2246"/>
      <c r="CP94" s="2246"/>
      <c r="CQ94" s="2246"/>
      <c r="CR94" s="2246"/>
      <c r="CS94" s="2248"/>
      <c r="CT94" s="2248"/>
      <c r="CU94" s="2248"/>
      <c r="CV94" s="2248"/>
      <c r="CW94" s="2248"/>
      <c r="CX94" s="2248"/>
      <c r="CY94" s="2248"/>
      <c r="CZ94" s="2248"/>
      <c r="DA94" s="2248"/>
      <c r="DB94" s="2248"/>
      <c r="DC94" s="2248"/>
      <c r="DD94" s="2249"/>
      <c r="DE94" s="2249"/>
      <c r="DF94" s="2249"/>
      <c r="DG94" s="2249"/>
      <c r="DH94" s="2249"/>
      <c r="DI94" s="2249"/>
      <c r="DJ94" s="2249"/>
      <c r="DK94" s="2249"/>
      <c r="DL94" s="2249"/>
      <c r="DM94" s="2249"/>
      <c r="DN94" s="2249"/>
      <c r="DO94" s="2249"/>
      <c r="DP94" s="2249"/>
      <c r="DQ94" s="2249"/>
      <c r="DR94" s="2249"/>
      <c r="DS94" s="2249"/>
      <c r="DT94" s="2249"/>
      <c r="DU94" s="2249"/>
      <c r="DV94" s="2249"/>
      <c r="DW94" s="2249"/>
      <c r="DX94" s="2249"/>
      <c r="DY94" s="2249"/>
      <c r="DZ94" s="2249"/>
      <c r="EA94" s="2249"/>
      <c r="EB94" s="2249"/>
      <c r="EC94" s="2249"/>
      <c r="ED94" s="2249"/>
      <c r="EE94" s="2249"/>
      <c r="EF94" s="2248"/>
      <c r="EG94" s="2248"/>
    </row>
    <row r="95" spans="1:137" ht="18.899999999999999" customHeight="1">
      <c r="A95" s="2244"/>
      <c r="B95" s="2244"/>
      <c r="C95" s="2245"/>
      <c r="D95" s="2245"/>
      <c r="E95" s="2245"/>
      <c r="F95" s="2245"/>
      <c r="G95" s="2245"/>
      <c r="H95" s="2245"/>
      <c r="I95" s="2244"/>
      <c r="J95" s="2244"/>
      <c r="K95" s="2246"/>
      <c r="L95" s="2244"/>
      <c r="M95" s="2247"/>
      <c r="N95" s="2247"/>
      <c r="O95" s="2247"/>
      <c r="P95" s="2247"/>
      <c r="Q95" s="2246"/>
      <c r="R95" s="2246"/>
      <c r="S95" s="2246"/>
      <c r="T95" s="2246"/>
      <c r="U95" s="2246"/>
      <c r="V95" s="2246"/>
      <c r="W95" s="2246"/>
      <c r="X95" s="2246"/>
      <c r="Y95" s="2246"/>
      <c r="Z95" s="2246"/>
      <c r="AA95" s="2246"/>
      <c r="AB95" s="2246"/>
      <c r="AC95" s="2246"/>
      <c r="AD95" s="2246"/>
      <c r="AE95" s="2246"/>
      <c r="AF95" s="2246"/>
      <c r="AG95" s="2246"/>
      <c r="AH95" s="2246"/>
      <c r="AI95" s="2246"/>
      <c r="AJ95" s="2246"/>
      <c r="AK95" s="2246"/>
      <c r="AL95" s="2246"/>
      <c r="AM95" s="2246"/>
      <c r="AN95" s="2246"/>
      <c r="AO95" s="2246"/>
      <c r="AP95" s="2246"/>
      <c r="AQ95" s="2246"/>
      <c r="AR95" s="2246"/>
      <c r="AS95" s="2244"/>
      <c r="AT95" s="2244"/>
      <c r="AU95" s="2244"/>
      <c r="AV95" s="2244"/>
      <c r="AW95" s="2244"/>
      <c r="AX95" s="2244"/>
      <c r="AY95" s="2244"/>
      <c r="AZ95" s="2244"/>
      <c r="BA95" s="2244"/>
      <c r="BB95" s="2244"/>
      <c r="BC95" s="2244"/>
      <c r="BD95" s="2244"/>
      <c r="BE95" s="2244"/>
      <c r="BF95" s="2246"/>
      <c r="BG95" s="2246"/>
      <c r="BH95" s="2246"/>
      <c r="BI95" s="2246"/>
      <c r="BJ95" s="2246"/>
      <c r="BK95" s="2246"/>
      <c r="BL95" s="2246"/>
      <c r="BM95" s="2246"/>
      <c r="BN95" s="2246"/>
      <c r="BO95" s="2246"/>
      <c r="BP95" s="2246"/>
      <c r="BQ95" s="2246"/>
      <c r="BR95" s="2246"/>
      <c r="BS95" s="2244"/>
      <c r="BT95" s="2244"/>
      <c r="BU95" s="2244"/>
      <c r="BV95" s="2244"/>
      <c r="BW95" s="2244"/>
      <c r="BX95" s="2246"/>
      <c r="BY95" s="2246"/>
      <c r="BZ95" s="2246"/>
      <c r="CA95" s="2246"/>
      <c r="CB95" s="2246"/>
      <c r="CC95" s="2246"/>
      <c r="CD95" s="2246"/>
      <c r="CE95" s="2246"/>
      <c r="CF95" s="2246"/>
      <c r="CG95" s="2246"/>
      <c r="CH95" s="2246"/>
      <c r="CI95" s="2246"/>
      <c r="CJ95" s="2246"/>
      <c r="CK95" s="2246"/>
      <c r="CL95" s="2246"/>
      <c r="CM95" s="2246"/>
      <c r="CN95" s="2246"/>
      <c r="CO95" s="2246"/>
      <c r="CP95" s="2246"/>
      <c r="CQ95" s="2246"/>
      <c r="CR95" s="2246"/>
      <c r="CS95" s="2248"/>
      <c r="CT95" s="2248"/>
      <c r="CU95" s="2248"/>
      <c r="CV95" s="2248"/>
      <c r="CW95" s="2248"/>
      <c r="CX95" s="2248"/>
      <c r="CY95" s="2248"/>
      <c r="CZ95" s="2248"/>
      <c r="DA95" s="2248"/>
      <c r="DB95" s="2248"/>
      <c r="DC95" s="2248"/>
      <c r="DD95" s="2249"/>
      <c r="DE95" s="2249"/>
      <c r="DF95" s="2249"/>
      <c r="DG95" s="2249"/>
      <c r="DH95" s="2249"/>
      <c r="DI95" s="2249"/>
      <c r="DJ95" s="2249"/>
      <c r="DK95" s="2249"/>
      <c r="DL95" s="2249"/>
      <c r="DM95" s="2249"/>
      <c r="DN95" s="2249"/>
      <c r="DO95" s="2249"/>
      <c r="DP95" s="2249"/>
      <c r="DQ95" s="2249"/>
      <c r="DR95" s="2249"/>
      <c r="DS95" s="2249"/>
      <c r="DT95" s="2249"/>
      <c r="DU95" s="2249"/>
      <c r="DV95" s="2249"/>
      <c r="DW95" s="2249"/>
      <c r="DX95" s="2249"/>
      <c r="DY95" s="2249"/>
      <c r="DZ95" s="2249"/>
      <c r="EA95" s="2249"/>
      <c r="EB95" s="2249"/>
      <c r="EC95" s="2249"/>
      <c r="ED95" s="2249"/>
      <c r="EE95" s="2249"/>
      <c r="EF95" s="2248"/>
      <c r="EG95" s="2248"/>
    </row>
    <row r="96" spans="1:137" ht="18.899999999999999" customHeight="1">
      <c r="A96" s="2244"/>
      <c r="B96" s="2244"/>
      <c r="C96" s="2245"/>
      <c r="D96" s="2245"/>
      <c r="E96" s="2245"/>
      <c r="F96" s="2245"/>
      <c r="G96" s="2245"/>
      <c r="H96" s="2245"/>
      <c r="I96" s="2244"/>
      <c r="J96" s="2244"/>
      <c r="K96" s="2246"/>
      <c r="L96" s="2244"/>
      <c r="M96" s="2247"/>
      <c r="N96" s="2247"/>
      <c r="O96" s="2247"/>
      <c r="P96" s="2247"/>
      <c r="Q96" s="2246"/>
      <c r="R96" s="2246"/>
      <c r="S96" s="2246"/>
      <c r="T96" s="2246"/>
      <c r="U96" s="2246"/>
      <c r="V96" s="2246"/>
      <c r="W96" s="2246"/>
      <c r="X96" s="2246"/>
      <c r="Y96" s="2246"/>
      <c r="Z96" s="2246"/>
      <c r="AA96" s="2246"/>
      <c r="AB96" s="2246"/>
      <c r="AC96" s="2246"/>
      <c r="AD96" s="2246"/>
      <c r="AE96" s="2246"/>
      <c r="AF96" s="2246"/>
      <c r="AG96" s="2246"/>
      <c r="AH96" s="2246"/>
      <c r="AI96" s="2246"/>
      <c r="AJ96" s="2246"/>
      <c r="AK96" s="2246"/>
      <c r="AL96" s="2246"/>
      <c r="AM96" s="2246"/>
      <c r="AN96" s="2246"/>
      <c r="AO96" s="2246"/>
      <c r="AP96" s="2246"/>
      <c r="AQ96" s="2246"/>
      <c r="AR96" s="2246"/>
      <c r="AS96" s="2244"/>
      <c r="AT96" s="2244"/>
      <c r="AU96" s="2244"/>
      <c r="AV96" s="2244"/>
      <c r="AW96" s="2244"/>
      <c r="AX96" s="2244"/>
      <c r="AY96" s="2244"/>
      <c r="AZ96" s="2244"/>
      <c r="BA96" s="2244"/>
      <c r="BB96" s="2244"/>
      <c r="BC96" s="2244"/>
      <c r="BD96" s="2244"/>
      <c r="BE96" s="2244"/>
      <c r="BF96" s="2246"/>
      <c r="BG96" s="2246"/>
      <c r="BH96" s="2246"/>
      <c r="BI96" s="2246"/>
      <c r="BJ96" s="2246"/>
      <c r="BK96" s="2246"/>
      <c r="BL96" s="2246"/>
      <c r="BM96" s="2246"/>
      <c r="BN96" s="2246"/>
      <c r="BO96" s="2246"/>
      <c r="BP96" s="2246"/>
      <c r="BQ96" s="2246"/>
      <c r="BR96" s="2246"/>
      <c r="BS96" s="2244"/>
      <c r="BT96" s="2244"/>
      <c r="BU96" s="2244"/>
      <c r="BV96" s="2244"/>
      <c r="BW96" s="2244"/>
      <c r="BX96" s="2246"/>
      <c r="BY96" s="2246"/>
      <c r="BZ96" s="2246"/>
      <c r="CA96" s="2246"/>
      <c r="CB96" s="2246"/>
      <c r="CC96" s="2246"/>
      <c r="CD96" s="2246"/>
      <c r="CE96" s="2246"/>
      <c r="CF96" s="2246"/>
      <c r="CG96" s="2246"/>
      <c r="CH96" s="2246"/>
      <c r="CI96" s="2246"/>
      <c r="CJ96" s="2246"/>
      <c r="CK96" s="2246"/>
      <c r="CL96" s="2246"/>
      <c r="CM96" s="2246"/>
      <c r="CN96" s="2246"/>
      <c r="CO96" s="2246"/>
      <c r="CP96" s="2246"/>
      <c r="CQ96" s="2246"/>
      <c r="CR96" s="2246"/>
      <c r="CS96" s="2248"/>
      <c r="CT96" s="2248"/>
      <c r="CU96" s="2248"/>
      <c r="CV96" s="2248"/>
      <c r="CW96" s="2248"/>
      <c r="CX96" s="2248"/>
      <c r="CY96" s="2248"/>
      <c r="CZ96" s="2248"/>
      <c r="DA96" s="2248"/>
      <c r="DB96" s="2248"/>
      <c r="DC96" s="2248"/>
      <c r="DD96" s="2249"/>
      <c r="DE96" s="2249"/>
      <c r="DF96" s="2249"/>
      <c r="DG96" s="2249"/>
      <c r="DH96" s="2249"/>
      <c r="DI96" s="2249"/>
      <c r="DJ96" s="2249"/>
      <c r="DK96" s="2249"/>
      <c r="DL96" s="2249"/>
      <c r="DM96" s="2249"/>
      <c r="DN96" s="2249"/>
      <c r="DO96" s="2249"/>
      <c r="DP96" s="2249"/>
      <c r="DQ96" s="2249"/>
      <c r="DR96" s="2249"/>
      <c r="DS96" s="2249"/>
      <c r="DT96" s="2249"/>
      <c r="DU96" s="2249"/>
      <c r="DV96" s="2249"/>
      <c r="DW96" s="2249"/>
      <c r="DX96" s="2249"/>
      <c r="DY96" s="2249"/>
      <c r="DZ96" s="2249"/>
      <c r="EA96" s="2249"/>
      <c r="EB96" s="2249"/>
      <c r="EC96" s="2249"/>
      <c r="ED96" s="2249"/>
      <c r="EE96" s="2249"/>
      <c r="EF96" s="2248"/>
      <c r="EG96" s="2248"/>
    </row>
    <row r="97" spans="1:137" ht="18.899999999999999" customHeight="1">
      <c r="A97" s="2244"/>
      <c r="B97" s="2244"/>
      <c r="C97" s="2245"/>
      <c r="D97" s="2245"/>
      <c r="E97" s="2245"/>
      <c r="F97" s="2245"/>
      <c r="G97" s="2245"/>
      <c r="H97" s="2245"/>
      <c r="I97" s="2244"/>
      <c r="J97" s="2244"/>
      <c r="K97" s="2246"/>
      <c r="L97" s="2244"/>
      <c r="M97" s="2247"/>
      <c r="N97" s="2247"/>
      <c r="O97" s="2247"/>
      <c r="P97" s="2247"/>
      <c r="Q97" s="2246"/>
      <c r="R97" s="2246"/>
      <c r="S97" s="2246"/>
      <c r="T97" s="2246"/>
      <c r="U97" s="2246"/>
      <c r="V97" s="2246"/>
      <c r="W97" s="2246"/>
      <c r="X97" s="2246"/>
      <c r="Y97" s="2246"/>
      <c r="Z97" s="2246"/>
      <c r="AA97" s="2246"/>
      <c r="AB97" s="2246"/>
      <c r="AC97" s="2246"/>
      <c r="AD97" s="2246"/>
      <c r="AE97" s="2246"/>
      <c r="AF97" s="2246"/>
      <c r="AG97" s="2246"/>
      <c r="AH97" s="2246"/>
      <c r="AI97" s="2246"/>
      <c r="AJ97" s="2246"/>
      <c r="AK97" s="2246"/>
      <c r="AL97" s="2246"/>
      <c r="AM97" s="2246"/>
      <c r="AN97" s="2246"/>
      <c r="AO97" s="2246"/>
      <c r="AP97" s="2246"/>
      <c r="AQ97" s="2246"/>
      <c r="AR97" s="2246"/>
      <c r="AS97" s="2244"/>
      <c r="AT97" s="2244"/>
      <c r="AU97" s="2244"/>
      <c r="AV97" s="2244"/>
      <c r="AW97" s="2244"/>
      <c r="AX97" s="2244"/>
      <c r="AY97" s="2244"/>
      <c r="AZ97" s="2244"/>
      <c r="BA97" s="2244"/>
      <c r="BB97" s="2244"/>
      <c r="BC97" s="2244"/>
      <c r="BD97" s="2244"/>
      <c r="BE97" s="2244"/>
      <c r="BF97" s="2246"/>
      <c r="BG97" s="2246"/>
      <c r="BH97" s="2246"/>
      <c r="BI97" s="2246"/>
      <c r="BJ97" s="2246"/>
      <c r="BK97" s="2246"/>
      <c r="BL97" s="2246"/>
      <c r="BM97" s="2246"/>
      <c r="BN97" s="2246"/>
      <c r="BO97" s="2246"/>
      <c r="BP97" s="2246"/>
      <c r="BQ97" s="2246"/>
      <c r="BR97" s="2246"/>
      <c r="BS97" s="2244"/>
      <c r="BT97" s="2244"/>
      <c r="BU97" s="2244"/>
      <c r="BV97" s="2244"/>
      <c r="BW97" s="2244"/>
      <c r="BX97" s="2246"/>
      <c r="BY97" s="2246"/>
      <c r="BZ97" s="2246"/>
      <c r="CA97" s="2246"/>
      <c r="CB97" s="2246"/>
      <c r="CC97" s="2246"/>
      <c r="CD97" s="2246"/>
      <c r="CE97" s="2246"/>
      <c r="CF97" s="2246"/>
      <c r="CG97" s="2246"/>
      <c r="CH97" s="2246"/>
      <c r="CI97" s="2246"/>
      <c r="CJ97" s="2246"/>
      <c r="CK97" s="2246"/>
      <c r="CL97" s="2246"/>
      <c r="CM97" s="2246"/>
      <c r="CN97" s="2246"/>
      <c r="CO97" s="2246"/>
      <c r="CP97" s="2246"/>
      <c r="CQ97" s="2246"/>
      <c r="CR97" s="2246"/>
      <c r="CS97" s="2248"/>
      <c r="CT97" s="2248"/>
      <c r="CU97" s="2248"/>
      <c r="CV97" s="2248"/>
      <c r="CW97" s="2248"/>
      <c r="CX97" s="2248"/>
      <c r="CY97" s="2248"/>
      <c r="CZ97" s="2248"/>
      <c r="DA97" s="2248"/>
      <c r="DB97" s="2248"/>
      <c r="DC97" s="2248"/>
      <c r="DD97" s="2249"/>
      <c r="DE97" s="2249"/>
      <c r="DF97" s="2249"/>
      <c r="DG97" s="2249"/>
      <c r="DH97" s="2249"/>
      <c r="DI97" s="2249"/>
      <c r="DJ97" s="2249"/>
      <c r="DK97" s="2249"/>
      <c r="DL97" s="2249"/>
      <c r="DM97" s="2249"/>
      <c r="DN97" s="2249"/>
      <c r="DO97" s="2249"/>
      <c r="DP97" s="2249"/>
      <c r="DQ97" s="2249"/>
      <c r="DR97" s="2249"/>
      <c r="DS97" s="2249"/>
      <c r="DT97" s="2249"/>
      <c r="DU97" s="2249"/>
      <c r="DV97" s="2249"/>
      <c r="DW97" s="2249"/>
      <c r="DX97" s="2249"/>
      <c r="DY97" s="2249"/>
      <c r="DZ97" s="2249"/>
      <c r="EA97" s="2249"/>
      <c r="EB97" s="2249"/>
      <c r="EC97" s="2249"/>
      <c r="ED97" s="2249"/>
      <c r="EE97" s="2249"/>
      <c r="EF97" s="2248"/>
      <c r="EG97" s="2248"/>
    </row>
    <row r="98" spans="1:137" ht="18.899999999999999" customHeight="1">
      <c r="A98" s="2244"/>
      <c r="B98" s="2244"/>
      <c r="C98" s="2245"/>
      <c r="D98" s="2245"/>
      <c r="E98" s="2245"/>
      <c r="F98" s="2245"/>
      <c r="G98" s="2245"/>
      <c r="H98" s="2245"/>
      <c r="I98" s="2244"/>
      <c r="J98" s="2244"/>
      <c r="K98" s="2246"/>
      <c r="L98" s="2244"/>
      <c r="M98" s="2247"/>
      <c r="N98" s="2247"/>
      <c r="O98" s="2247"/>
      <c r="P98" s="2247"/>
      <c r="Q98" s="2246"/>
      <c r="R98" s="2246"/>
      <c r="S98" s="2246"/>
      <c r="T98" s="2246"/>
      <c r="U98" s="2246"/>
      <c r="V98" s="2246"/>
      <c r="W98" s="2246"/>
      <c r="X98" s="2246"/>
      <c r="Y98" s="2246"/>
      <c r="Z98" s="2246"/>
      <c r="AA98" s="2246"/>
      <c r="AB98" s="2246"/>
      <c r="AC98" s="2246"/>
      <c r="AD98" s="2246"/>
      <c r="AE98" s="2246"/>
      <c r="AF98" s="2246"/>
      <c r="AG98" s="2246"/>
      <c r="AH98" s="2246"/>
      <c r="AI98" s="2246"/>
      <c r="AJ98" s="2246"/>
      <c r="AK98" s="2246"/>
      <c r="AL98" s="2246"/>
      <c r="AM98" s="2246"/>
      <c r="AN98" s="2246"/>
      <c r="AO98" s="2246"/>
      <c r="AP98" s="2246"/>
      <c r="AQ98" s="2246"/>
      <c r="AR98" s="2246"/>
      <c r="AS98" s="2244"/>
      <c r="AT98" s="2244"/>
      <c r="AU98" s="2244"/>
      <c r="AV98" s="2244"/>
      <c r="AW98" s="2244"/>
      <c r="AX98" s="2244"/>
      <c r="AY98" s="2244"/>
      <c r="AZ98" s="2244"/>
      <c r="BA98" s="2244"/>
      <c r="BB98" s="2244"/>
      <c r="BC98" s="2244"/>
      <c r="BD98" s="2244"/>
      <c r="BE98" s="2244"/>
      <c r="BF98" s="2246"/>
      <c r="BG98" s="2246"/>
      <c r="BH98" s="2246"/>
      <c r="BI98" s="2246"/>
      <c r="BJ98" s="2246"/>
      <c r="BK98" s="2246"/>
      <c r="BL98" s="2246"/>
      <c r="BM98" s="2246"/>
      <c r="BN98" s="2246"/>
      <c r="BO98" s="2246"/>
      <c r="BP98" s="2246"/>
      <c r="BQ98" s="2246"/>
      <c r="BR98" s="2246"/>
      <c r="BS98" s="2244"/>
      <c r="BT98" s="2244"/>
      <c r="BU98" s="2244"/>
      <c r="BV98" s="2244"/>
      <c r="BW98" s="2244"/>
      <c r="BX98" s="2246"/>
      <c r="BY98" s="2246"/>
      <c r="BZ98" s="2246"/>
      <c r="CA98" s="2246"/>
      <c r="CB98" s="2246"/>
      <c r="CC98" s="2246"/>
      <c r="CD98" s="2246"/>
      <c r="CE98" s="2246"/>
      <c r="CF98" s="2246"/>
      <c r="CG98" s="2246"/>
      <c r="CH98" s="2246"/>
      <c r="CI98" s="2246"/>
      <c r="CJ98" s="2246"/>
      <c r="CK98" s="2246"/>
      <c r="CL98" s="2246"/>
      <c r="CM98" s="2246"/>
      <c r="CN98" s="2246"/>
      <c r="CO98" s="2246"/>
      <c r="CP98" s="2246"/>
      <c r="CQ98" s="2246"/>
      <c r="CR98" s="2246"/>
      <c r="CS98" s="2248"/>
      <c r="CT98" s="2248"/>
      <c r="CU98" s="2248"/>
      <c r="CV98" s="2248"/>
      <c r="CW98" s="2248"/>
      <c r="CX98" s="2248"/>
      <c r="CY98" s="2248"/>
      <c r="CZ98" s="2248"/>
      <c r="DA98" s="2248"/>
      <c r="DB98" s="2248"/>
      <c r="DC98" s="2248"/>
      <c r="DD98" s="2249"/>
      <c r="DE98" s="2249"/>
      <c r="DF98" s="2249"/>
      <c r="DG98" s="2249"/>
      <c r="DH98" s="2249"/>
      <c r="DI98" s="2249"/>
      <c r="DJ98" s="2249"/>
      <c r="DK98" s="2249"/>
      <c r="DL98" s="2249"/>
      <c r="DM98" s="2249"/>
      <c r="DN98" s="2249"/>
      <c r="DO98" s="2249"/>
      <c r="DP98" s="2249"/>
      <c r="DQ98" s="2249"/>
      <c r="DR98" s="2249"/>
      <c r="DS98" s="2249"/>
      <c r="DT98" s="2249"/>
      <c r="DU98" s="2249"/>
      <c r="DV98" s="2249"/>
      <c r="DW98" s="2249"/>
      <c r="DX98" s="2249"/>
      <c r="DY98" s="2249"/>
      <c r="DZ98" s="2249"/>
      <c r="EA98" s="2249"/>
      <c r="EB98" s="2249"/>
      <c r="EC98" s="2249"/>
      <c r="ED98" s="2249"/>
      <c r="EE98" s="2249"/>
      <c r="EF98" s="2248"/>
      <c r="EG98" s="2248"/>
    </row>
    <row r="99" spans="1:137" ht="18.899999999999999" customHeight="1">
      <c r="A99" s="2244"/>
      <c r="B99" s="2244"/>
      <c r="C99" s="2245"/>
      <c r="D99" s="2245"/>
      <c r="E99" s="2245"/>
      <c r="F99" s="2245"/>
      <c r="G99" s="2245"/>
      <c r="H99" s="2245"/>
      <c r="I99" s="2244"/>
      <c r="J99" s="2244"/>
      <c r="K99" s="2246"/>
      <c r="L99" s="2244"/>
      <c r="M99" s="2247"/>
      <c r="N99" s="2247"/>
      <c r="O99" s="2247"/>
      <c r="P99" s="2247"/>
      <c r="Q99" s="2246"/>
      <c r="R99" s="2246"/>
      <c r="S99" s="2246"/>
      <c r="T99" s="2246"/>
      <c r="U99" s="2246"/>
      <c r="V99" s="2246"/>
      <c r="W99" s="2246"/>
      <c r="X99" s="2246"/>
      <c r="Y99" s="2246"/>
      <c r="Z99" s="2246"/>
      <c r="AA99" s="2246"/>
      <c r="AB99" s="2246"/>
      <c r="AC99" s="2246"/>
      <c r="AD99" s="2246"/>
      <c r="AE99" s="2246"/>
      <c r="AF99" s="2246"/>
      <c r="AG99" s="2246"/>
      <c r="AH99" s="2246"/>
      <c r="AI99" s="2246"/>
      <c r="AJ99" s="2246"/>
      <c r="AK99" s="2246"/>
      <c r="AL99" s="2246"/>
      <c r="AM99" s="2246"/>
      <c r="AN99" s="2246"/>
      <c r="AO99" s="2246"/>
      <c r="AP99" s="2246"/>
      <c r="AQ99" s="2246"/>
      <c r="AR99" s="2246"/>
      <c r="AS99" s="2244"/>
      <c r="AT99" s="2244"/>
      <c r="AU99" s="2244"/>
      <c r="AV99" s="2244"/>
      <c r="AW99" s="2244"/>
      <c r="AX99" s="2244"/>
      <c r="AY99" s="2244"/>
      <c r="AZ99" s="2244"/>
      <c r="BA99" s="2244"/>
      <c r="BB99" s="2244"/>
      <c r="BC99" s="2244"/>
      <c r="BD99" s="2244"/>
      <c r="BE99" s="2244"/>
      <c r="BF99" s="2246"/>
      <c r="BG99" s="2246"/>
      <c r="BH99" s="2246"/>
      <c r="BI99" s="2246"/>
      <c r="BJ99" s="2246"/>
      <c r="BK99" s="2246"/>
      <c r="BL99" s="2246"/>
      <c r="BM99" s="2246"/>
      <c r="BN99" s="2246"/>
      <c r="BO99" s="2246"/>
      <c r="BP99" s="2246"/>
      <c r="BQ99" s="2246"/>
      <c r="BR99" s="2246"/>
      <c r="BS99" s="2244"/>
      <c r="BT99" s="2244"/>
      <c r="BU99" s="2244"/>
      <c r="BV99" s="2244"/>
      <c r="BW99" s="2244"/>
      <c r="BX99" s="2246"/>
      <c r="BY99" s="2246"/>
      <c r="BZ99" s="2246"/>
      <c r="CA99" s="2246"/>
      <c r="CB99" s="2246"/>
      <c r="CC99" s="2246"/>
      <c r="CD99" s="2246"/>
      <c r="CE99" s="2246"/>
      <c r="CF99" s="2246"/>
      <c r="CG99" s="2246"/>
      <c r="CH99" s="2246"/>
      <c r="CI99" s="2246"/>
      <c r="CJ99" s="2246"/>
      <c r="CK99" s="2246"/>
      <c r="CL99" s="2246"/>
      <c r="CM99" s="2246"/>
      <c r="CN99" s="2246"/>
      <c r="CO99" s="2246"/>
      <c r="CP99" s="2246"/>
      <c r="CQ99" s="2246"/>
      <c r="CR99" s="2246"/>
      <c r="CS99" s="2248"/>
      <c r="CT99" s="2248"/>
      <c r="CU99" s="2248"/>
      <c r="CV99" s="2248"/>
      <c r="CW99" s="2248"/>
      <c r="CX99" s="2248"/>
      <c r="CY99" s="2248"/>
      <c r="CZ99" s="2248"/>
      <c r="DA99" s="2248"/>
      <c r="DB99" s="2248"/>
      <c r="DC99" s="2248"/>
      <c r="DD99" s="2249"/>
      <c r="DE99" s="2249"/>
      <c r="DF99" s="2249"/>
      <c r="DG99" s="2249"/>
      <c r="DH99" s="2249"/>
      <c r="DI99" s="2249"/>
      <c r="DJ99" s="2249"/>
      <c r="DK99" s="2249"/>
      <c r="DL99" s="2249"/>
      <c r="DM99" s="2249"/>
      <c r="DN99" s="2249"/>
      <c r="DO99" s="2249"/>
      <c r="DP99" s="2249"/>
      <c r="DQ99" s="2249"/>
      <c r="DR99" s="2249"/>
      <c r="DS99" s="2249"/>
      <c r="DT99" s="2249"/>
      <c r="DU99" s="2249"/>
      <c r="DV99" s="2249"/>
      <c r="DW99" s="2249"/>
      <c r="DX99" s="2249"/>
      <c r="DY99" s="2249"/>
      <c r="DZ99" s="2249"/>
      <c r="EA99" s="2249"/>
      <c r="EB99" s="2249"/>
      <c r="EC99" s="2249"/>
      <c r="ED99" s="2249"/>
      <c r="EE99" s="2249"/>
      <c r="EF99" s="2248"/>
      <c r="EG99" s="2248"/>
    </row>
    <row r="100" spans="1:137" ht="18.899999999999999" customHeight="1">
      <c r="A100" s="2244"/>
      <c r="B100" s="2244"/>
      <c r="C100" s="2245"/>
      <c r="D100" s="2245"/>
      <c r="E100" s="2245"/>
      <c r="F100" s="2245"/>
      <c r="G100" s="2245"/>
      <c r="H100" s="2245"/>
      <c r="I100" s="2244"/>
      <c r="J100" s="2244"/>
      <c r="K100" s="2246"/>
      <c r="L100" s="2244"/>
      <c r="M100" s="2247"/>
      <c r="N100" s="2247"/>
      <c r="O100" s="2247"/>
      <c r="P100" s="2247"/>
      <c r="Q100" s="2246"/>
      <c r="R100" s="2246"/>
      <c r="S100" s="2246"/>
      <c r="T100" s="2246"/>
      <c r="U100" s="2246"/>
      <c r="V100" s="2246"/>
      <c r="W100" s="2246"/>
      <c r="X100" s="2246"/>
      <c r="Y100" s="2246"/>
      <c r="Z100" s="2246"/>
      <c r="AA100" s="2246"/>
      <c r="AB100" s="2246"/>
      <c r="AC100" s="2246"/>
      <c r="AD100" s="2246"/>
      <c r="AE100" s="2246"/>
      <c r="AF100" s="2246"/>
      <c r="AG100" s="2246"/>
      <c r="AH100" s="2246"/>
      <c r="AI100" s="2246"/>
      <c r="AJ100" s="2246"/>
      <c r="AK100" s="2246"/>
      <c r="AL100" s="2246"/>
      <c r="AM100" s="2246"/>
      <c r="AN100" s="2246"/>
      <c r="AO100" s="2246"/>
      <c r="AP100" s="2246"/>
      <c r="AQ100" s="2246"/>
      <c r="AR100" s="2246"/>
      <c r="AS100" s="2244"/>
      <c r="AT100" s="2244"/>
      <c r="AU100" s="2244"/>
      <c r="AV100" s="2244"/>
      <c r="AW100" s="2244"/>
      <c r="AX100" s="2244"/>
      <c r="AY100" s="2244"/>
      <c r="AZ100" s="2244"/>
      <c r="BA100" s="2244"/>
      <c r="BB100" s="2244"/>
      <c r="BC100" s="2244"/>
      <c r="BD100" s="2244"/>
      <c r="BE100" s="2244"/>
      <c r="BF100" s="2246"/>
      <c r="BG100" s="2246"/>
      <c r="BH100" s="2246"/>
      <c r="BI100" s="2246"/>
      <c r="BJ100" s="2246"/>
      <c r="BK100" s="2246"/>
      <c r="BL100" s="2246"/>
      <c r="BM100" s="2246"/>
      <c r="BN100" s="2246"/>
      <c r="BO100" s="2246"/>
      <c r="BP100" s="2246"/>
      <c r="BQ100" s="2246"/>
      <c r="BR100" s="2246"/>
      <c r="BS100" s="2244"/>
      <c r="BT100" s="2244"/>
      <c r="BU100" s="2244"/>
      <c r="BV100" s="2244"/>
      <c r="BW100" s="2244"/>
      <c r="BX100" s="2246"/>
      <c r="BY100" s="2246"/>
      <c r="BZ100" s="2246"/>
      <c r="CA100" s="2246"/>
      <c r="CB100" s="2246"/>
      <c r="CC100" s="2246"/>
      <c r="CD100" s="2246"/>
      <c r="CE100" s="2246"/>
      <c r="CF100" s="2246"/>
      <c r="CG100" s="2246"/>
      <c r="CH100" s="2246"/>
      <c r="CI100" s="2246"/>
      <c r="CJ100" s="2246"/>
      <c r="CK100" s="2246"/>
      <c r="CL100" s="2246"/>
      <c r="CM100" s="2246"/>
      <c r="CN100" s="2246"/>
      <c r="CO100" s="2246"/>
      <c r="CP100" s="2246"/>
      <c r="CQ100" s="2246"/>
      <c r="CR100" s="2246"/>
      <c r="CS100" s="2248"/>
      <c r="CT100" s="2248"/>
      <c r="CU100" s="2248"/>
      <c r="CV100" s="2248"/>
      <c r="CW100" s="2248"/>
      <c r="CX100" s="2248"/>
      <c r="CY100" s="2248"/>
      <c r="CZ100" s="2248"/>
      <c r="DA100" s="2248"/>
      <c r="DB100" s="2248"/>
      <c r="DC100" s="2248"/>
      <c r="DD100" s="2249"/>
      <c r="DE100" s="2249"/>
      <c r="DF100" s="2249"/>
      <c r="DG100" s="2249"/>
      <c r="DH100" s="2249"/>
      <c r="DI100" s="2249"/>
      <c r="DJ100" s="2249"/>
      <c r="DK100" s="2249"/>
      <c r="DL100" s="2249"/>
      <c r="DM100" s="2249"/>
      <c r="DN100" s="2249"/>
      <c r="DO100" s="2249"/>
      <c r="DP100" s="2249"/>
      <c r="DQ100" s="2249"/>
      <c r="DR100" s="2249"/>
      <c r="DS100" s="2249"/>
      <c r="DT100" s="2249"/>
      <c r="DU100" s="2249"/>
      <c r="DV100" s="2249"/>
      <c r="DW100" s="2249"/>
      <c r="DX100" s="2249"/>
      <c r="DY100" s="2249"/>
      <c r="DZ100" s="2249"/>
      <c r="EA100" s="2249"/>
      <c r="EB100" s="2249"/>
      <c r="EC100" s="2249"/>
      <c r="ED100" s="2249"/>
      <c r="EE100" s="2249"/>
      <c r="EF100" s="2248"/>
      <c r="EG100" s="2248"/>
    </row>
    <row r="101" spans="1:137" ht="18.899999999999999" customHeight="1">
      <c r="A101" s="2244"/>
      <c r="B101" s="2244"/>
      <c r="C101" s="2245"/>
      <c r="D101" s="2245"/>
      <c r="E101" s="2245"/>
      <c r="F101" s="2245"/>
      <c r="G101" s="2245"/>
      <c r="H101" s="2245"/>
      <c r="I101" s="2244"/>
      <c r="J101" s="2244"/>
      <c r="K101" s="2246"/>
      <c r="L101" s="2244"/>
      <c r="M101" s="2247"/>
      <c r="N101" s="2247"/>
      <c r="O101" s="2247"/>
      <c r="P101" s="2247"/>
      <c r="Q101" s="2246"/>
      <c r="R101" s="2246"/>
      <c r="S101" s="2246"/>
      <c r="T101" s="2246"/>
      <c r="U101" s="2246"/>
      <c r="V101" s="2246"/>
      <c r="W101" s="2246"/>
      <c r="X101" s="2246"/>
      <c r="Y101" s="2246"/>
      <c r="Z101" s="2246"/>
      <c r="AA101" s="2246"/>
      <c r="AB101" s="2246"/>
      <c r="AC101" s="2246"/>
      <c r="AD101" s="2246"/>
      <c r="AE101" s="2246"/>
      <c r="AF101" s="2246"/>
      <c r="AG101" s="2246"/>
      <c r="AH101" s="2246"/>
      <c r="AI101" s="2246"/>
      <c r="AJ101" s="2246"/>
      <c r="AK101" s="2246"/>
      <c r="AL101" s="2246"/>
      <c r="AM101" s="2246"/>
      <c r="AN101" s="2246"/>
      <c r="AO101" s="2246"/>
      <c r="AP101" s="2246"/>
      <c r="AQ101" s="2246"/>
      <c r="AR101" s="2246"/>
      <c r="AS101" s="2244"/>
      <c r="AT101" s="2244"/>
      <c r="AU101" s="2244"/>
      <c r="AV101" s="2244"/>
      <c r="AW101" s="2244"/>
      <c r="AX101" s="2244"/>
      <c r="AY101" s="2244"/>
      <c r="AZ101" s="2244"/>
      <c r="BA101" s="2244"/>
      <c r="BB101" s="2244"/>
      <c r="BC101" s="2244"/>
      <c r="BD101" s="2244"/>
      <c r="BE101" s="2244"/>
      <c r="BF101" s="2246"/>
      <c r="BG101" s="2246"/>
      <c r="BH101" s="2246"/>
      <c r="BI101" s="2246"/>
      <c r="BJ101" s="2246"/>
      <c r="BK101" s="2246"/>
      <c r="BL101" s="2246"/>
      <c r="BM101" s="2246"/>
      <c r="BN101" s="2246"/>
      <c r="BO101" s="2246"/>
      <c r="BP101" s="2246"/>
      <c r="BQ101" s="2246"/>
      <c r="BR101" s="2246"/>
      <c r="BS101" s="2244"/>
      <c r="BT101" s="2244"/>
      <c r="BU101" s="2244"/>
      <c r="BV101" s="2244"/>
      <c r="BW101" s="2244"/>
      <c r="BX101" s="2246"/>
      <c r="BY101" s="2246"/>
      <c r="BZ101" s="2246"/>
      <c r="CA101" s="2246"/>
      <c r="CB101" s="2246"/>
      <c r="CC101" s="2246"/>
      <c r="CD101" s="2246"/>
      <c r="CE101" s="2246"/>
      <c r="CF101" s="2246"/>
      <c r="CG101" s="2246"/>
      <c r="CH101" s="2246"/>
      <c r="CI101" s="2246"/>
      <c r="CJ101" s="2246"/>
      <c r="CK101" s="2246"/>
      <c r="CL101" s="2246"/>
      <c r="CM101" s="2246"/>
      <c r="CN101" s="2246"/>
      <c r="CO101" s="2246"/>
      <c r="CP101" s="2246"/>
      <c r="CQ101" s="2246"/>
      <c r="CR101" s="2246"/>
      <c r="CS101" s="2248"/>
      <c r="CT101" s="2248"/>
      <c r="CU101" s="2248"/>
      <c r="CV101" s="2248"/>
      <c r="CW101" s="2248"/>
      <c r="CX101" s="2248"/>
      <c r="CY101" s="2248"/>
      <c r="CZ101" s="2248"/>
      <c r="DA101" s="2248"/>
      <c r="DB101" s="2248"/>
      <c r="DC101" s="2248"/>
      <c r="DD101" s="2249"/>
      <c r="DE101" s="2249"/>
      <c r="DF101" s="2249"/>
      <c r="DG101" s="2249"/>
      <c r="DH101" s="2249"/>
      <c r="DI101" s="2249"/>
      <c r="DJ101" s="2249"/>
      <c r="DK101" s="2249"/>
      <c r="DL101" s="2249"/>
      <c r="DM101" s="2249"/>
      <c r="DN101" s="2249"/>
      <c r="DO101" s="2249"/>
      <c r="DP101" s="2249"/>
      <c r="DQ101" s="2249"/>
      <c r="DR101" s="2249"/>
      <c r="DS101" s="2249"/>
      <c r="DT101" s="2249"/>
      <c r="DU101" s="2249"/>
      <c r="DV101" s="2249"/>
      <c r="DW101" s="2249"/>
      <c r="DX101" s="2249"/>
      <c r="DY101" s="2249"/>
      <c r="DZ101" s="2249"/>
      <c r="EA101" s="2249"/>
      <c r="EB101" s="2249"/>
      <c r="EC101" s="2249"/>
      <c r="ED101" s="2249"/>
      <c r="EE101" s="2249"/>
      <c r="EF101" s="2248"/>
      <c r="EG101" s="2248"/>
    </row>
    <row r="102" spans="1:137" ht="18.899999999999999" customHeight="1">
      <c r="A102" s="2244"/>
      <c r="B102" s="2244"/>
      <c r="C102" s="2245"/>
      <c r="D102" s="2245"/>
      <c r="E102" s="2245"/>
      <c r="F102" s="2245"/>
      <c r="G102" s="2245"/>
      <c r="H102" s="2245"/>
      <c r="I102" s="2244"/>
      <c r="J102" s="2244"/>
      <c r="K102" s="2246"/>
      <c r="L102" s="2244"/>
      <c r="M102" s="2247"/>
      <c r="N102" s="2247"/>
      <c r="O102" s="2247"/>
      <c r="P102" s="2247"/>
      <c r="Q102" s="2246"/>
      <c r="R102" s="2246"/>
      <c r="S102" s="2246"/>
      <c r="T102" s="2246"/>
      <c r="U102" s="2246"/>
      <c r="V102" s="2246"/>
      <c r="W102" s="2246"/>
      <c r="X102" s="2246"/>
      <c r="Y102" s="2246"/>
      <c r="Z102" s="2246"/>
      <c r="AA102" s="2246"/>
      <c r="AB102" s="2246"/>
      <c r="AC102" s="2246"/>
      <c r="AD102" s="2246"/>
      <c r="AE102" s="2246"/>
      <c r="AF102" s="2246"/>
      <c r="AG102" s="2246"/>
      <c r="AH102" s="2246"/>
      <c r="AI102" s="2246"/>
      <c r="AJ102" s="2246"/>
      <c r="AK102" s="2246"/>
      <c r="AL102" s="2246"/>
      <c r="AM102" s="2246"/>
      <c r="AN102" s="2246"/>
      <c r="AO102" s="2246"/>
      <c r="AP102" s="2246"/>
      <c r="AQ102" s="2246"/>
      <c r="AR102" s="2246"/>
      <c r="AS102" s="2244"/>
      <c r="AT102" s="2244"/>
      <c r="AU102" s="2244"/>
      <c r="AV102" s="2244"/>
      <c r="AW102" s="2244"/>
      <c r="AX102" s="2244"/>
      <c r="AY102" s="2244"/>
      <c r="AZ102" s="2244"/>
      <c r="BA102" s="2244"/>
      <c r="BB102" s="2244"/>
      <c r="BC102" s="2244"/>
      <c r="BD102" s="2244"/>
      <c r="BE102" s="2244"/>
      <c r="BF102" s="2246"/>
      <c r="BG102" s="2246"/>
      <c r="BH102" s="2246"/>
      <c r="BI102" s="2246"/>
      <c r="BJ102" s="2246"/>
      <c r="BK102" s="2246"/>
      <c r="BL102" s="2246"/>
      <c r="BM102" s="2246"/>
      <c r="BN102" s="2246"/>
      <c r="BO102" s="2246"/>
      <c r="BP102" s="2246"/>
      <c r="BQ102" s="2246"/>
      <c r="BR102" s="2246"/>
      <c r="BS102" s="2244"/>
      <c r="BT102" s="2244"/>
      <c r="BU102" s="2244"/>
      <c r="BV102" s="2244"/>
      <c r="BW102" s="2244"/>
      <c r="BX102" s="2246"/>
      <c r="BY102" s="2246"/>
      <c r="BZ102" s="2246"/>
      <c r="CA102" s="2246"/>
      <c r="CB102" s="2246"/>
      <c r="CC102" s="2246"/>
      <c r="CD102" s="2246"/>
      <c r="CE102" s="2246"/>
      <c r="CF102" s="2246"/>
      <c r="CG102" s="2246"/>
      <c r="CH102" s="2246"/>
      <c r="CI102" s="2246"/>
      <c r="CJ102" s="2246"/>
      <c r="CK102" s="2246"/>
      <c r="CL102" s="2246"/>
      <c r="CM102" s="2246"/>
      <c r="CN102" s="2246"/>
      <c r="CO102" s="2246"/>
      <c r="CP102" s="2246"/>
      <c r="CQ102" s="2246"/>
      <c r="CR102" s="2246"/>
      <c r="CS102" s="2248"/>
      <c r="CT102" s="2248"/>
      <c r="CU102" s="2248"/>
      <c r="CV102" s="2248"/>
      <c r="CW102" s="2248"/>
      <c r="CX102" s="2248"/>
      <c r="CY102" s="2248"/>
      <c r="CZ102" s="2248"/>
      <c r="DA102" s="2248"/>
      <c r="DB102" s="2248"/>
      <c r="DC102" s="2248"/>
      <c r="DD102" s="2249"/>
      <c r="DE102" s="2249"/>
      <c r="DF102" s="2249"/>
      <c r="DG102" s="2249"/>
      <c r="DH102" s="2249"/>
      <c r="DI102" s="2249"/>
      <c r="DJ102" s="2249"/>
      <c r="DK102" s="2249"/>
      <c r="DL102" s="2249"/>
      <c r="DM102" s="2249"/>
      <c r="DN102" s="2249"/>
      <c r="DO102" s="2249"/>
      <c r="DP102" s="2249"/>
      <c r="DQ102" s="2249"/>
      <c r="DR102" s="2249"/>
      <c r="DS102" s="2249"/>
      <c r="DT102" s="2249"/>
      <c r="DU102" s="2249"/>
      <c r="DV102" s="2249"/>
      <c r="DW102" s="2249"/>
      <c r="DX102" s="2249"/>
      <c r="DY102" s="2249"/>
      <c r="DZ102" s="2249"/>
      <c r="EA102" s="2249"/>
      <c r="EB102" s="2249"/>
      <c r="EC102" s="2249"/>
      <c r="ED102" s="2249"/>
      <c r="EE102" s="2249"/>
      <c r="EF102" s="2248"/>
      <c r="EG102" s="2248"/>
    </row>
    <row r="103" spans="1:137" ht="18.899999999999999" customHeight="1">
      <c r="A103" s="2244"/>
      <c r="B103" s="2244"/>
      <c r="C103" s="2245"/>
      <c r="D103" s="2245"/>
      <c r="E103" s="2245"/>
      <c r="F103" s="2245"/>
      <c r="G103" s="2245"/>
      <c r="H103" s="2245"/>
      <c r="I103" s="2244"/>
      <c r="J103" s="2244"/>
      <c r="K103" s="2246"/>
      <c r="L103" s="2244"/>
      <c r="M103" s="2247"/>
      <c r="N103" s="2247"/>
      <c r="O103" s="2247"/>
      <c r="P103" s="2247"/>
      <c r="Q103" s="2246"/>
      <c r="R103" s="2246"/>
      <c r="S103" s="2246"/>
      <c r="T103" s="2246"/>
      <c r="U103" s="2246"/>
      <c r="V103" s="2246"/>
      <c r="W103" s="2246"/>
      <c r="X103" s="2246"/>
      <c r="Y103" s="2246"/>
      <c r="Z103" s="2246"/>
      <c r="AA103" s="2246"/>
      <c r="AB103" s="2246"/>
      <c r="AC103" s="2246"/>
      <c r="AD103" s="2246"/>
      <c r="AE103" s="2246"/>
      <c r="AF103" s="2246"/>
      <c r="AG103" s="2246"/>
      <c r="AH103" s="2246"/>
      <c r="AI103" s="2246"/>
      <c r="AJ103" s="2246"/>
      <c r="AK103" s="2246"/>
      <c r="AL103" s="2246"/>
      <c r="AM103" s="2246"/>
      <c r="AN103" s="2246"/>
      <c r="AO103" s="2246"/>
      <c r="AP103" s="2246"/>
      <c r="AQ103" s="2246"/>
      <c r="AR103" s="2246"/>
      <c r="AS103" s="2244"/>
      <c r="AT103" s="2244"/>
      <c r="AU103" s="2244"/>
      <c r="AV103" s="2244"/>
      <c r="AW103" s="2244"/>
      <c r="AX103" s="2244"/>
      <c r="AY103" s="2244"/>
      <c r="AZ103" s="2244"/>
      <c r="BA103" s="2244"/>
      <c r="BB103" s="2244"/>
      <c r="BC103" s="2244"/>
      <c r="BD103" s="2244"/>
      <c r="BE103" s="2244"/>
      <c r="BF103" s="2246"/>
      <c r="BG103" s="2246"/>
      <c r="BH103" s="2246"/>
      <c r="BI103" s="2246"/>
      <c r="BJ103" s="2246"/>
      <c r="BK103" s="2246"/>
      <c r="BL103" s="2246"/>
      <c r="BM103" s="2246"/>
      <c r="BN103" s="2246"/>
      <c r="BO103" s="2246"/>
      <c r="BP103" s="2246"/>
      <c r="BQ103" s="2246"/>
      <c r="BR103" s="2246"/>
      <c r="BS103" s="2244"/>
      <c r="BT103" s="2244"/>
      <c r="BU103" s="2244"/>
      <c r="BV103" s="2244"/>
      <c r="BW103" s="2244"/>
      <c r="BX103" s="2246"/>
      <c r="BY103" s="2246"/>
      <c r="BZ103" s="2246"/>
      <c r="CA103" s="2246"/>
      <c r="CB103" s="2246"/>
      <c r="CC103" s="2246"/>
      <c r="CD103" s="2246"/>
      <c r="CE103" s="2246"/>
      <c r="CF103" s="2246"/>
      <c r="CG103" s="2246"/>
      <c r="CH103" s="2246"/>
      <c r="CI103" s="2246"/>
      <c r="CJ103" s="2246"/>
      <c r="CK103" s="2246"/>
      <c r="CL103" s="2246"/>
      <c r="CM103" s="2246"/>
      <c r="CN103" s="2246"/>
      <c r="CO103" s="2246"/>
      <c r="CP103" s="2246"/>
      <c r="CQ103" s="2246"/>
      <c r="CR103" s="2246"/>
      <c r="CS103" s="2248"/>
      <c r="CT103" s="2248"/>
      <c r="CU103" s="2248"/>
      <c r="CV103" s="2248"/>
      <c r="CW103" s="2248"/>
      <c r="CX103" s="2248"/>
      <c r="CY103" s="2248"/>
      <c r="CZ103" s="2248"/>
      <c r="DA103" s="2248"/>
      <c r="DB103" s="2248"/>
      <c r="DC103" s="2248"/>
      <c r="DD103" s="2249"/>
      <c r="DE103" s="2249"/>
      <c r="DF103" s="2249"/>
      <c r="DG103" s="2249"/>
      <c r="DH103" s="2249"/>
      <c r="DI103" s="2249"/>
      <c r="DJ103" s="2249"/>
      <c r="DK103" s="2249"/>
      <c r="DL103" s="2249"/>
      <c r="DM103" s="2249"/>
      <c r="DN103" s="2249"/>
      <c r="DO103" s="2249"/>
      <c r="DP103" s="2249"/>
      <c r="DQ103" s="2249"/>
      <c r="DR103" s="2249"/>
      <c r="DS103" s="2249"/>
      <c r="DT103" s="2249"/>
      <c r="DU103" s="2249"/>
      <c r="DV103" s="2249"/>
      <c r="DW103" s="2249"/>
      <c r="DX103" s="2249"/>
      <c r="DY103" s="2249"/>
      <c r="DZ103" s="2249"/>
      <c r="EA103" s="2249"/>
      <c r="EB103" s="2249"/>
      <c r="EC103" s="2249"/>
      <c r="ED103" s="2249"/>
      <c r="EE103" s="2249"/>
      <c r="EF103" s="2248"/>
      <c r="EG103" s="2248"/>
    </row>
    <row r="104" spans="1:137" ht="18.899999999999999" customHeight="1">
      <c r="A104" s="2244"/>
      <c r="B104" s="2244"/>
      <c r="C104" s="2245"/>
      <c r="D104" s="2245"/>
      <c r="E104" s="2245"/>
      <c r="F104" s="2245"/>
      <c r="G104" s="2245"/>
      <c r="H104" s="2245"/>
      <c r="I104" s="2244"/>
      <c r="J104" s="2244"/>
      <c r="K104" s="2246"/>
      <c r="L104" s="2244"/>
      <c r="M104" s="2247"/>
      <c r="N104" s="2247"/>
      <c r="O104" s="2247"/>
      <c r="P104" s="2247"/>
      <c r="Q104" s="2246"/>
      <c r="R104" s="2246"/>
      <c r="S104" s="2246"/>
      <c r="T104" s="2246"/>
      <c r="U104" s="2246"/>
      <c r="V104" s="2246"/>
      <c r="W104" s="2246"/>
      <c r="X104" s="2246"/>
      <c r="Y104" s="2246"/>
      <c r="Z104" s="2246"/>
      <c r="AA104" s="2246"/>
      <c r="AB104" s="2246"/>
      <c r="AC104" s="2246"/>
      <c r="AD104" s="2246"/>
      <c r="AE104" s="2246"/>
      <c r="AF104" s="2246"/>
      <c r="AG104" s="2246"/>
      <c r="AH104" s="2246"/>
      <c r="AI104" s="2246"/>
      <c r="AJ104" s="2246"/>
      <c r="AK104" s="2246"/>
      <c r="AL104" s="2246"/>
      <c r="AM104" s="2246"/>
      <c r="AN104" s="2246"/>
      <c r="AO104" s="2246"/>
      <c r="AP104" s="2246"/>
      <c r="AQ104" s="2246"/>
      <c r="AR104" s="2246"/>
      <c r="AS104" s="2244"/>
      <c r="AT104" s="2244"/>
      <c r="AU104" s="2244"/>
      <c r="AV104" s="2244"/>
      <c r="AW104" s="2244"/>
      <c r="AX104" s="2244"/>
      <c r="AY104" s="2244"/>
      <c r="AZ104" s="2244"/>
      <c r="BA104" s="2244"/>
      <c r="BB104" s="2244"/>
      <c r="BC104" s="2244"/>
      <c r="BD104" s="2244"/>
      <c r="BE104" s="2244"/>
      <c r="BF104" s="2246"/>
      <c r="BG104" s="2246"/>
      <c r="BH104" s="2246"/>
      <c r="BI104" s="2246"/>
      <c r="BJ104" s="2246"/>
      <c r="BK104" s="2246"/>
      <c r="BL104" s="2246"/>
      <c r="BM104" s="2246"/>
      <c r="BN104" s="2246"/>
      <c r="BO104" s="2246"/>
      <c r="BP104" s="2246"/>
      <c r="BQ104" s="2246"/>
      <c r="BR104" s="2246"/>
      <c r="BS104" s="2244"/>
      <c r="BT104" s="2244"/>
      <c r="BU104" s="2244"/>
      <c r="BV104" s="2244"/>
      <c r="BW104" s="2244"/>
      <c r="BX104" s="2246"/>
      <c r="BY104" s="2246"/>
      <c r="BZ104" s="2246"/>
      <c r="CA104" s="2246"/>
      <c r="CB104" s="2246"/>
      <c r="CC104" s="2246"/>
      <c r="CD104" s="2246"/>
      <c r="CE104" s="2246"/>
      <c r="CF104" s="2246"/>
      <c r="CG104" s="2246"/>
      <c r="CH104" s="2246"/>
      <c r="CI104" s="2246"/>
      <c r="CJ104" s="2246"/>
      <c r="CK104" s="2246"/>
      <c r="CL104" s="2246"/>
      <c r="CM104" s="2246"/>
      <c r="CN104" s="2246"/>
      <c r="CO104" s="2246"/>
      <c r="CP104" s="2246"/>
      <c r="CQ104" s="2246"/>
      <c r="CR104" s="2246"/>
      <c r="CS104" s="2248"/>
      <c r="CT104" s="2248"/>
      <c r="CU104" s="2248"/>
      <c r="CV104" s="2248"/>
      <c r="CW104" s="2248"/>
      <c r="CX104" s="2248"/>
      <c r="CY104" s="2248"/>
      <c r="CZ104" s="2248"/>
      <c r="DA104" s="2248"/>
      <c r="DB104" s="2248"/>
      <c r="DC104" s="2248"/>
      <c r="DD104" s="2249"/>
      <c r="DE104" s="2249"/>
      <c r="DF104" s="2249"/>
      <c r="DG104" s="2249"/>
      <c r="DH104" s="2249"/>
      <c r="DI104" s="2249"/>
      <c r="DJ104" s="2249"/>
      <c r="DK104" s="2249"/>
      <c r="DL104" s="2249"/>
      <c r="DM104" s="2249"/>
      <c r="DN104" s="2249"/>
      <c r="DO104" s="2249"/>
      <c r="DP104" s="2249"/>
      <c r="DQ104" s="2249"/>
      <c r="DR104" s="2249"/>
      <c r="DS104" s="2249"/>
      <c r="DT104" s="2249"/>
      <c r="DU104" s="2249"/>
      <c r="DV104" s="2249"/>
      <c r="DW104" s="2249"/>
      <c r="DX104" s="2249"/>
      <c r="DY104" s="2249"/>
      <c r="DZ104" s="2249"/>
      <c r="EA104" s="2249"/>
      <c r="EB104" s="2249"/>
      <c r="EC104" s="2249"/>
      <c r="ED104" s="2249"/>
      <c r="EE104" s="2249"/>
      <c r="EF104" s="2248"/>
      <c r="EG104" s="2248"/>
    </row>
    <row r="105" spans="1:137" ht="18.899999999999999" customHeight="1">
      <c r="A105" s="2244"/>
      <c r="B105" s="2244"/>
      <c r="C105" s="2245"/>
      <c r="D105" s="2245"/>
      <c r="E105" s="2245"/>
      <c r="F105" s="2245"/>
      <c r="G105" s="2245"/>
      <c r="H105" s="2245"/>
      <c r="I105" s="2244"/>
      <c r="J105" s="2244"/>
      <c r="K105" s="2246"/>
      <c r="L105" s="2244"/>
      <c r="M105" s="2247"/>
      <c r="N105" s="2247"/>
      <c r="O105" s="2247"/>
      <c r="P105" s="2247"/>
      <c r="Q105" s="2246"/>
      <c r="R105" s="2246"/>
      <c r="S105" s="2246"/>
      <c r="T105" s="2246"/>
      <c r="U105" s="2246"/>
      <c r="V105" s="2246"/>
      <c r="W105" s="2246"/>
      <c r="X105" s="2246"/>
      <c r="Y105" s="2246"/>
      <c r="Z105" s="2246"/>
      <c r="AA105" s="2246"/>
      <c r="AB105" s="2246"/>
      <c r="AC105" s="2246"/>
      <c r="AD105" s="2246"/>
      <c r="AE105" s="2246"/>
      <c r="AF105" s="2246"/>
      <c r="AG105" s="2246"/>
      <c r="AH105" s="2246"/>
      <c r="AI105" s="2246"/>
      <c r="AJ105" s="2246"/>
      <c r="AK105" s="2246"/>
      <c r="AL105" s="2246"/>
      <c r="AM105" s="2246"/>
      <c r="AN105" s="2246"/>
      <c r="AO105" s="2246"/>
      <c r="AP105" s="2246"/>
      <c r="AQ105" s="2246"/>
      <c r="AR105" s="2246"/>
      <c r="AS105" s="2244"/>
      <c r="AT105" s="2244"/>
      <c r="AU105" s="2244"/>
      <c r="AV105" s="2244"/>
      <c r="AW105" s="2244"/>
      <c r="AX105" s="2244"/>
      <c r="AY105" s="2244"/>
      <c r="AZ105" s="2244"/>
      <c r="BA105" s="2244"/>
      <c r="BB105" s="2244"/>
      <c r="BC105" s="2244"/>
      <c r="BD105" s="2244"/>
      <c r="BE105" s="2244"/>
      <c r="BF105" s="2246"/>
      <c r="BG105" s="2246"/>
      <c r="BH105" s="2246"/>
      <c r="BI105" s="2246"/>
      <c r="BJ105" s="2246"/>
      <c r="BK105" s="2246"/>
      <c r="BL105" s="2246"/>
      <c r="BM105" s="2246"/>
      <c r="BN105" s="2246"/>
      <c r="BO105" s="2246"/>
      <c r="BP105" s="2246"/>
      <c r="BQ105" s="2246"/>
      <c r="BR105" s="2246"/>
      <c r="BS105" s="2244"/>
      <c r="BT105" s="2244"/>
      <c r="BU105" s="2244"/>
      <c r="BV105" s="2244"/>
      <c r="BW105" s="2244"/>
      <c r="BX105" s="2246"/>
      <c r="BY105" s="2246"/>
      <c r="BZ105" s="2246"/>
      <c r="CA105" s="2246"/>
      <c r="CB105" s="2246"/>
      <c r="CC105" s="2246"/>
      <c r="CD105" s="2246"/>
      <c r="CE105" s="2246"/>
      <c r="CF105" s="2246"/>
      <c r="CG105" s="2246"/>
      <c r="CH105" s="2246"/>
      <c r="CI105" s="2246"/>
      <c r="CJ105" s="2246"/>
      <c r="CK105" s="2246"/>
      <c r="CL105" s="2246"/>
      <c r="CM105" s="2246"/>
      <c r="CN105" s="2246"/>
      <c r="CO105" s="2246"/>
      <c r="CP105" s="2246"/>
      <c r="CQ105" s="2246"/>
      <c r="CR105" s="2246"/>
      <c r="CS105" s="2248"/>
      <c r="CT105" s="2248"/>
      <c r="CU105" s="2248"/>
      <c r="CV105" s="2248"/>
      <c r="CW105" s="2248"/>
      <c r="CX105" s="2248"/>
      <c r="CY105" s="2248"/>
      <c r="CZ105" s="2248"/>
      <c r="DA105" s="2248"/>
      <c r="DB105" s="2248"/>
      <c r="DC105" s="2248"/>
      <c r="DD105" s="2249"/>
      <c r="DE105" s="2249"/>
      <c r="DF105" s="2249"/>
      <c r="DG105" s="2249"/>
      <c r="DH105" s="2249"/>
      <c r="DI105" s="2249"/>
      <c r="DJ105" s="2249"/>
      <c r="DK105" s="2249"/>
      <c r="DL105" s="2249"/>
      <c r="DM105" s="2249"/>
      <c r="DN105" s="2249"/>
      <c r="DO105" s="2249"/>
      <c r="DP105" s="2249"/>
      <c r="DQ105" s="2249"/>
      <c r="DR105" s="2249"/>
      <c r="DS105" s="2249"/>
      <c r="DT105" s="2249"/>
      <c r="DU105" s="2249"/>
      <c r="DV105" s="2249"/>
      <c r="DW105" s="2249"/>
      <c r="DX105" s="2249"/>
      <c r="DY105" s="2249"/>
      <c r="DZ105" s="2249"/>
      <c r="EA105" s="2249"/>
      <c r="EB105" s="2249"/>
      <c r="EC105" s="2249"/>
      <c r="ED105" s="2249"/>
      <c r="EE105" s="2249"/>
      <c r="EF105" s="2248"/>
      <c r="EG105" s="2248"/>
    </row>
    <row r="106" spans="1:137" ht="18.899999999999999" customHeight="1">
      <c r="A106" s="2244"/>
      <c r="B106" s="2244"/>
      <c r="C106" s="2245"/>
      <c r="D106" s="2245"/>
      <c r="E106" s="2245"/>
      <c r="F106" s="2245"/>
      <c r="G106" s="2245"/>
      <c r="H106" s="2245"/>
      <c r="I106" s="2244"/>
      <c r="J106" s="2244"/>
      <c r="K106" s="2246"/>
      <c r="L106" s="2244"/>
      <c r="M106" s="2247"/>
      <c r="N106" s="2247"/>
      <c r="O106" s="2247"/>
      <c r="P106" s="2247"/>
      <c r="Q106" s="2246"/>
      <c r="R106" s="2246"/>
      <c r="S106" s="2246"/>
      <c r="T106" s="2246"/>
      <c r="U106" s="2246"/>
      <c r="V106" s="2246"/>
      <c r="W106" s="2246"/>
      <c r="X106" s="2246"/>
      <c r="Y106" s="2246"/>
      <c r="Z106" s="2246"/>
      <c r="AA106" s="2246"/>
      <c r="AB106" s="2246"/>
      <c r="AC106" s="2246"/>
      <c r="AD106" s="2246"/>
      <c r="AE106" s="2246"/>
      <c r="AF106" s="2246"/>
      <c r="AG106" s="2246"/>
      <c r="AH106" s="2246"/>
      <c r="AI106" s="2246"/>
      <c r="AJ106" s="2246"/>
      <c r="AK106" s="2246"/>
      <c r="AL106" s="2246"/>
      <c r="AM106" s="2246"/>
      <c r="AN106" s="2246"/>
      <c r="AO106" s="2246"/>
      <c r="AP106" s="2246"/>
      <c r="AQ106" s="2246"/>
      <c r="AR106" s="2246"/>
      <c r="AS106" s="2244"/>
      <c r="AT106" s="2244"/>
      <c r="AU106" s="2244"/>
      <c r="AV106" s="2244"/>
      <c r="AW106" s="2244"/>
      <c r="AX106" s="2244"/>
      <c r="AY106" s="2244"/>
      <c r="AZ106" s="2244"/>
      <c r="BA106" s="2244"/>
      <c r="BB106" s="2244"/>
      <c r="BC106" s="2244"/>
      <c r="BD106" s="2244"/>
      <c r="BE106" s="2244"/>
      <c r="BF106" s="2246"/>
      <c r="BG106" s="2246"/>
      <c r="BH106" s="2246"/>
      <c r="BI106" s="2246"/>
      <c r="BJ106" s="2246"/>
      <c r="BK106" s="2246"/>
      <c r="BL106" s="2246"/>
      <c r="BM106" s="2246"/>
      <c r="BN106" s="2246"/>
      <c r="BO106" s="2246"/>
      <c r="BP106" s="2246"/>
      <c r="BQ106" s="2246"/>
      <c r="BR106" s="2246"/>
      <c r="BS106" s="2244"/>
      <c r="BT106" s="2244"/>
      <c r="BU106" s="2244"/>
      <c r="BV106" s="2244"/>
      <c r="BW106" s="2244"/>
      <c r="BX106" s="2246"/>
      <c r="BY106" s="2246"/>
      <c r="BZ106" s="2246"/>
      <c r="CA106" s="2246"/>
      <c r="CB106" s="2246"/>
      <c r="CC106" s="2246"/>
      <c r="CD106" s="2246"/>
      <c r="CE106" s="2246"/>
      <c r="CF106" s="2246"/>
      <c r="CG106" s="2246"/>
      <c r="CH106" s="2246"/>
      <c r="CI106" s="2246"/>
      <c r="CJ106" s="2246"/>
      <c r="CK106" s="2246"/>
      <c r="CL106" s="2246"/>
      <c r="CM106" s="2246"/>
      <c r="CN106" s="2246"/>
      <c r="CO106" s="2246"/>
      <c r="CP106" s="2246"/>
      <c r="CQ106" s="2246"/>
      <c r="CR106" s="2246"/>
      <c r="CS106" s="2248"/>
      <c r="CT106" s="2248"/>
      <c r="CU106" s="2248"/>
      <c r="CV106" s="2248"/>
      <c r="CW106" s="2248"/>
      <c r="CX106" s="2248"/>
      <c r="CY106" s="2248"/>
      <c r="CZ106" s="2248"/>
      <c r="DA106" s="2248"/>
      <c r="DB106" s="2248"/>
      <c r="DC106" s="2248"/>
      <c r="DD106" s="2249"/>
      <c r="DE106" s="2249"/>
      <c r="DF106" s="2249"/>
      <c r="DG106" s="2249"/>
      <c r="DH106" s="2249"/>
      <c r="DI106" s="2249"/>
      <c r="DJ106" s="2249"/>
      <c r="DK106" s="2249"/>
      <c r="DL106" s="2249"/>
      <c r="DM106" s="2249"/>
      <c r="DN106" s="2249"/>
      <c r="DO106" s="2249"/>
      <c r="DP106" s="2249"/>
      <c r="DQ106" s="2249"/>
      <c r="DR106" s="2249"/>
      <c r="DS106" s="2249"/>
      <c r="DT106" s="2249"/>
      <c r="DU106" s="2249"/>
      <c r="DV106" s="2249"/>
      <c r="DW106" s="2249"/>
      <c r="DX106" s="2249"/>
      <c r="DY106" s="2249"/>
      <c r="DZ106" s="2249"/>
      <c r="EA106" s="2249"/>
      <c r="EB106" s="2249"/>
      <c r="EC106" s="2249"/>
      <c r="ED106" s="2249"/>
      <c r="EE106" s="2249"/>
      <c r="EF106" s="2248"/>
      <c r="EG106" s="2248"/>
    </row>
    <row r="107" spans="1:137" ht="18.899999999999999" customHeight="1">
      <c r="A107" s="2244"/>
      <c r="B107" s="2244"/>
      <c r="C107" s="2245"/>
      <c r="D107" s="2245"/>
      <c r="E107" s="2245"/>
      <c r="F107" s="2245"/>
      <c r="G107" s="2245"/>
      <c r="H107" s="2245"/>
      <c r="I107" s="2244"/>
      <c r="J107" s="2244"/>
      <c r="K107" s="2246"/>
      <c r="L107" s="2244"/>
      <c r="M107" s="2247"/>
      <c r="N107" s="2247"/>
      <c r="O107" s="2247"/>
      <c r="P107" s="2247"/>
      <c r="Q107" s="2246"/>
      <c r="R107" s="2246"/>
      <c r="S107" s="2246"/>
      <c r="T107" s="2246"/>
      <c r="U107" s="2246"/>
      <c r="V107" s="2246"/>
      <c r="W107" s="2246"/>
      <c r="X107" s="2246"/>
      <c r="Y107" s="2246"/>
      <c r="Z107" s="2246"/>
      <c r="AA107" s="2246"/>
      <c r="AB107" s="2246"/>
      <c r="AC107" s="2246"/>
      <c r="AD107" s="2246"/>
      <c r="AE107" s="2246"/>
      <c r="AF107" s="2246"/>
      <c r="AG107" s="2246"/>
      <c r="AH107" s="2246"/>
      <c r="AI107" s="2246"/>
      <c r="AJ107" s="2246"/>
      <c r="AK107" s="2246"/>
      <c r="AL107" s="2246"/>
      <c r="AM107" s="2246"/>
      <c r="AN107" s="2246"/>
      <c r="AO107" s="2246"/>
      <c r="AP107" s="2246"/>
      <c r="AQ107" s="2246"/>
      <c r="AR107" s="2246"/>
      <c r="AS107" s="2244"/>
      <c r="AT107" s="2244"/>
      <c r="AU107" s="2244"/>
      <c r="AV107" s="2244"/>
      <c r="AW107" s="2244"/>
      <c r="AX107" s="2244"/>
      <c r="AY107" s="2244"/>
      <c r="AZ107" s="2244"/>
      <c r="BA107" s="2244"/>
      <c r="BB107" s="2244"/>
      <c r="BC107" s="2244"/>
      <c r="BD107" s="2244"/>
      <c r="BE107" s="2244"/>
      <c r="BF107" s="2246"/>
      <c r="BG107" s="2246"/>
      <c r="BH107" s="2246"/>
      <c r="BI107" s="2246"/>
      <c r="BJ107" s="2246"/>
      <c r="BK107" s="2246"/>
      <c r="BL107" s="2246"/>
      <c r="BM107" s="2246"/>
      <c r="BN107" s="2246"/>
      <c r="BO107" s="2246"/>
      <c r="BP107" s="2246"/>
      <c r="BQ107" s="2246"/>
      <c r="BR107" s="2246"/>
      <c r="BS107" s="2244"/>
      <c r="BT107" s="2244"/>
      <c r="BU107" s="2244"/>
      <c r="BV107" s="2244"/>
      <c r="BW107" s="2244"/>
      <c r="BX107" s="2246"/>
      <c r="BY107" s="2246"/>
      <c r="BZ107" s="2246"/>
      <c r="CA107" s="2246"/>
      <c r="CB107" s="2246"/>
      <c r="CC107" s="2246"/>
      <c r="CD107" s="2246"/>
      <c r="CE107" s="2246"/>
      <c r="CF107" s="2246"/>
      <c r="CG107" s="2246"/>
      <c r="CH107" s="2246"/>
      <c r="CI107" s="2246"/>
      <c r="CJ107" s="2246"/>
      <c r="CK107" s="2246"/>
      <c r="CL107" s="2246"/>
      <c r="CM107" s="2246"/>
      <c r="CN107" s="2246"/>
      <c r="CO107" s="2246"/>
      <c r="CP107" s="2246"/>
      <c r="CQ107" s="2246"/>
      <c r="CR107" s="2246"/>
      <c r="CS107" s="2248"/>
      <c r="CT107" s="2248"/>
      <c r="CU107" s="2248"/>
      <c r="CV107" s="2248"/>
      <c r="CW107" s="2248"/>
      <c r="CX107" s="2248"/>
      <c r="CY107" s="2248"/>
      <c r="CZ107" s="2248"/>
      <c r="DA107" s="2248"/>
      <c r="DB107" s="2248"/>
      <c r="DC107" s="2248"/>
      <c r="DD107" s="2249"/>
      <c r="DE107" s="2249"/>
      <c r="DF107" s="2249"/>
      <c r="DG107" s="2249"/>
      <c r="DH107" s="2249"/>
      <c r="DI107" s="2249"/>
      <c r="DJ107" s="2249"/>
      <c r="DK107" s="2249"/>
      <c r="DL107" s="2249"/>
      <c r="DM107" s="2249"/>
      <c r="DN107" s="2249"/>
      <c r="DO107" s="2249"/>
      <c r="DP107" s="2249"/>
      <c r="DQ107" s="2249"/>
      <c r="DR107" s="2249"/>
      <c r="DS107" s="2249"/>
      <c r="DT107" s="2249"/>
      <c r="DU107" s="2249"/>
      <c r="DV107" s="2249"/>
      <c r="DW107" s="2249"/>
      <c r="DX107" s="2249"/>
      <c r="DY107" s="2249"/>
      <c r="DZ107" s="2249"/>
      <c r="EA107" s="2249"/>
      <c r="EB107" s="2249"/>
      <c r="EC107" s="2249"/>
      <c r="ED107" s="2249"/>
      <c r="EE107" s="2249"/>
      <c r="EF107" s="2248"/>
      <c r="EG107" s="2248"/>
    </row>
    <row r="108" spans="1:137" ht="18.899999999999999" customHeight="1">
      <c r="A108" s="2244"/>
      <c r="B108" s="2244"/>
      <c r="C108" s="2245"/>
      <c r="D108" s="2245"/>
      <c r="E108" s="2245"/>
      <c r="F108" s="2245"/>
      <c r="G108" s="2245"/>
      <c r="H108" s="2245"/>
      <c r="I108" s="2244"/>
      <c r="J108" s="2244"/>
      <c r="K108" s="2246"/>
      <c r="L108" s="2244"/>
      <c r="M108" s="2247"/>
      <c r="N108" s="2247"/>
      <c r="O108" s="2247"/>
      <c r="P108" s="2247"/>
      <c r="Q108" s="2246"/>
      <c r="R108" s="2246"/>
      <c r="S108" s="2246"/>
      <c r="T108" s="2246"/>
      <c r="U108" s="2246"/>
      <c r="V108" s="2246"/>
      <c r="W108" s="2246"/>
      <c r="X108" s="2246"/>
      <c r="Y108" s="2246"/>
      <c r="Z108" s="2246"/>
      <c r="AA108" s="2246"/>
      <c r="AB108" s="2246"/>
      <c r="AC108" s="2246"/>
      <c r="AD108" s="2246"/>
      <c r="AE108" s="2246"/>
      <c r="AF108" s="2246"/>
      <c r="AG108" s="2246"/>
      <c r="AH108" s="2246"/>
      <c r="AI108" s="2246"/>
      <c r="AJ108" s="2246"/>
      <c r="AK108" s="2246"/>
      <c r="AL108" s="2246"/>
      <c r="AM108" s="2246"/>
      <c r="AN108" s="2246"/>
      <c r="AO108" s="2246"/>
      <c r="AP108" s="2246"/>
      <c r="AQ108" s="2246"/>
      <c r="AR108" s="2246"/>
      <c r="AS108" s="2244"/>
      <c r="AT108" s="2244"/>
      <c r="AU108" s="2244"/>
      <c r="AV108" s="2244"/>
      <c r="AW108" s="2244"/>
      <c r="AX108" s="2244"/>
      <c r="AY108" s="2244"/>
      <c r="AZ108" s="2244"/>
      <c r="BA108" s="2244"/>
      <c r="BB108" s="2244"/>
      <c r="BC108" s="2244"/>
      <c r="BD108" s="2244"/>
      <c r="BE108" s="2244"/>
      <c r="BF108" s="2246"/>
      <c r="BG108" s="2246"/>
      <c r="BH108" s="2246"/>
      <c r="BI108" s="2246"/>
      <c r="BJ108" s="2246"/>
      <c r="BK108" s="2246"/>
      <c r="BL108" s="2246"/>
      <c r="BM108" s="2246"/>
      <c r="BN108" s="2246"/>
      <c r="BO108" s="2246"/>
      <c r="BP108" s="2246"/>
      <c r="BQ108" s="2246"/>
      <c r="BR108" s="2246"/>
      <c r="BS108" s="2244"/>
      <c r="BT108" s="2244"/>
      <c r="BU108" s="2244"/>
      <c r="BV108" s="2244"/>
      <c r="BW108" s="2244"/>
      <c r="BX108" s="2246"/>
      <c r="BY108" s="2246"/>
      <c r="BZ108" s="2246"/>
      <c r="CA108" s="2246"/>
      <c r="CB108" s="2246"/>
      <c r="CC108" s="2246"/>
      <c r="CD108" s="2246"/>
      <c r="CE108" s="2246"/>
      <c r="CF108" s="2246"/>
      <c r="CG108" s="2246"/>
      <c r="CH108" s="2246"/>
      <c r="CI108" s="2246"/>
      <c r="CJ108" s="2246"/>
      <c r="CK108" s="2246"/>
      <c r="CL108" s="2246"/>
      <c r="CM108" s="2246"/>
      <c r="CN108" s="2246"/>
      <c r="CO108" s="2246"/>
      <c r="CP108" s="2246"/>
      <c r="CQ108" s="2246"/>
      <c r="CR108" s="2246"/>
      <c r="CS108" s="2248"/>
      <c r="CT108" s="2248"/>
      <c r="CU108" s="2248"/>
      <c r="CV108" s="2248"/>
      <c r="CW108" s="2248"/>
      <c r="CX108" s="2248"/>
      <c r="CY108" s="2248"/>
      <c r="CZ108" s="2248"/>
      <c r="DA108" s="2248"/>
      <c r="DB108" s="2248"/>
      <c r="DC108" s="2248"/>
      <c r="DD108" s="2249"/>
      <c r="DE108" s="2249"/>
      <c r="DF108" s="2249"/>
      <c r="DG108" s="2249"/>
      <c r="DH108" s="2249"/>
      <c r="DI108" s="2249"/>
      <c r="DJ108" s="2249"/>
      <c r="DK108" s="2249"/>
      <c r="DL108" s="2249"/>
      <c r="DM108" s="2249"/>
      <c r="DN108" s="2249"/>
      <c r="DO108" s="2249"/>
      <c r="DP108" s="2249"/>
      <c r="DQ108" s="2249"/>
      <c r="DR108" s="2249"/>
      <c r="DS108" s="2249"/>
      <c r="DT108" s="2249"/>
      <c r="DU108" s="2249"/>
      <c r="DV108" s="2249"/>
      <c r="DW108" s="2249"/>
      <c r="DX108" s="2249"/>
      <c r="DY108" s="2249"/>
      <c r="DZ108" s="2249"/>
      <c r="EA108" s="2249"/>
      <c r="EB108" s="2249"/>
      <c r="EC108" s="2249"/>
      <c r="ED108" s="2249"/>
      <c r="EE108" s="2249"/>
      <c r="EF108" s="2248"/>
      <c r="EG108" s="2248"/>
    </row>
    <row r="109" spans="1:137" ht="18.899999999999999" customHeight="1">
      <c r="A109" s="2244"/>
      <c r="B109" s="2244"/>
      <c r="C109" s="2245"/>
      <c r="D109" s="2245"/>
      <c r="E109" s="2245"/>
      <c r="F109" s="2245"/>
      <c r="G109" s="2245"/>
      <c r="H109" s="2245"/>
      <c r="I109" s="2244"/>
      <c r="J109" s="2244"/>
      <c r="K109" s="2246"/>
      <c r="L109" s="2244"/>
      <c r="M109" s="2247"/>
      <c r="N109" s="2247"/>
      <c r="O109" s="2247"/>
      <c r="P109" s="2247"/>
      <c r="Q109" s="2246"/>
      <c r="R109" s="2246"/>
      <c r="S109" s="2246"/>
      <c r="T109" s="2246"/>
      <c r="U109" s="2246"/>
      <c r="V109" s="2246"/>
      <c r="W109" s="2246"/>
      <c r="X109" s="2246"/>
      <c r="Y109" s="2246"/>
      <c r="Z109" s="2246"/>
      <c r="AA109" s="2246"/>
      <c r="AB109" s="2246"/>
      <c r="AC109" s="2246"/>
      <c r="AD109" s="2246"/>
      <c r="AE109" s="2246"/>
      <c r="AF109" s="2246"/>
      <c r="AG109" s="2246"/>
      <c r="AH109" s="2246"/>
      <c r="AI109" s="2246"/>
      <c r="AJ109" s="2246"/>
      <c r="AK109" s="2246"/>
      <c r="AL109" s="2246"/>
      <c r="AM109" s="2246"/>
      <c r="AN109" s="2246"/>
      <c r="AO109" s="2246"/>
      <c r="AP109" s="2246"/>
      <c r="AQ109" s="2246"/>
      <c r="AR109" s="2246"/>
      <c r="AS109" s="2244"/>
      <c r="AT109" s="2244"/>
      <c r="AU109" s="2244"/>
      <c r="AV109" s="2244"/>
      <c r="AW109" s="2244"/>
      <c r="AX109" s="2244"/>
      <c r="AY109" s="2244"/>
      <c r="AZ109" s="2244"/>
      <c r="BA109" s="2244"/>
      <c r="BB109" s="2244"/>
      <c r="BC109" s="2244"/>
      <c r="BD109" s="2244"/>
      <c r="BE109" s="2244"/>
      <c r="BF109" s="2246"/>
      <c r="BG109" s="2246"/>
      <c r="BH109" s="2246"/>
      <c r="BI109" s="2246"/>
      <c r="BJ109" s="2246"/>
      <c r="BK109" s="2246"/>
      <c r="BL109" s="2246"/>
      <c r="BM109" s="2246"/>
      <c r="BN109" s="2246"/>
      <c r="BO109" s="2246"/>
      <c r="BP109" s="2246"/>
      <c r="BQ109" s="2246"/>
      <c r="BR109" s="2246"/>
      <c r="BS109" s="2244"/>
      <c r="BT109" s="2244"/>
      <c r="BU109" s="2244"/>
      <c r="BV109" s="2244"/>
      <c r="BW109" s="2244"/>
      <c r="BX109" s="2246"/>
      <c r="BY109" s="2246"/>
      <c r="BZ109" s="2246"/>
      <c r="CA109" s="2246"/>
      <c r="CB109" s="2246"/>
      <c r="CC109" s="2246"/>
      <c r="CD109" s="2246"/>
      <c r="CE109" s="2246"/>
      <c r="CF109" s="2246"/>
      <c r="CG109" s="2246"/>
      <c r="CH109" s="2246"/>
      <c r="CI109" s="2246"/>
      <c r="CJ109" s="2246"/>
      <c r="CK109" s="2246"/>
      <c r="CL109" s="2246"/>
      <c r="CM109" s="2246"/>
      <c r="CN109" s="2246"/>
      <c r="CO109" s="2246"/>
      <c r="CP109" s="2246"/>
      <c r="CQ109" s="2246"/>
      <c r="CR109" s="2246"/>
      <c r="CS109" s="2248"/>
      <c r="CT109" s="2248"/>
      <c r="CU109" s="2248"/>
      <c r="CV109" s="2248"/>
      <c r="CW109" s="2248"/>
      <c r="CX109" s="2248"/>
      <c r="CY109" s="2248"/>
      <c r="CZ109" s="2248"/>
      <c r="DA109" s="2248"/>
      <c r="DB109" s="2248"/>
      <c r="DC109" s="2248"/>
      <c r="DD109" s="2249"/>
      <c r="DE109" s="2249"/>
      <c r="DF109" s="2249"/>
      <c r="DG109" s="2249"/>
      <c r="DH109" s="2249"/>
      <c r="DI109" s="2249"/>
      <c r="DJ109" s="2249"/>
      <c r="DK109" s="2249"/>
      <c r="DL109" s="2249"/>
      <c r="DM109" s="2249"/>
      <c r="DN109" s="2249"/>
      <c r="DO109" s="2249"/>
      <c r="DP109" s="2249"/>
      <c r="DQ109" s="2249"/>
      <c r="DR109" s="2249"/>
      <c r="DS109" s="2249"/>
      <c r="DT109" s="2249"/>
      <c r="DU109" s="2249"/>
      <c r="DV109" s="2249"/>
      <c r="DW109" s="2249"/>
      <c r="DX109" s="2249"/>
      <c r="DY109" s="2249"/>
      <c r="DZ109" s="2249"/>
      <c r="EA109" s="2249"/>
      <c r="EB109" s="2249"/>
      <c r="EC109" s="2249"/>
      <c r="ED109" s="2249"/>
      <c r="EE109" s="2249"/>
      <c r="EF109" s="2248"/>
      <c r="EG109" s="2248"/>
    </row>
    <row r="110" spans="1:137" ht="18.899999999999999" customHeight="1">
      <c r="A110" s="2244"/>
      <c r="B110" s="2244"/>
      <c r="C110" s="2245"/>
      <c r="D110" s="2245"/>
      <c r="E110" s="2245"/>
      <c r="F110" s="2245"/>
      <c r="G110" s="2245"/>
      <c r="H110" s="2245"/>
      <c r="I110" s="2244"/>
      <c r="J110" s="2244"/>
      <c r="K110" s="2246"/>
      <c r="L110" s="2244"/>
      <c r="M110" s="2247"/>
      <c r="N110" s="2247"/>
      <c r="O110" s="2247"/>
      <c r="P110" s="2247"/>
      <c r="Q110" s="2246"/>
      <c r="R110" s="2246"/>
      <c r="S110" s="2246"/>
      <c r="T110" s="2246"/>
      <c r="U110" s="2246"/>
      <c r="V110" s="2246"/>
      <c r="W110" s="2246"/>
      <c r="X110" s="2246"/>
      <c r="Y110" s="2246"/>
      <c r="Z110" s="2246"/>
      <c r="AA110" s="2246"/>
      <c r="AB110" s="2246"/>
      <c r="AC110" s="2246"/>
      <c r="AD110" s="2246"/>
      <c r="AE110" s="2246"/>
      <c r="AF110" s="2246"/>
      <c r="AG110" s="2246"/>
      <c r="AH110" s="2246"/>
      <c r="AI110" s="2246"/>
      <c r="AJ110" s="2246"/>
      <c r="AK110" s="2246"/>
      <c r="AL110" s="2246"/>
      <c r="AM110" s="2246"/>
      <c r="AN110" s="2246"/>
      <c r="AO110" s="2246"/>
      <c r="AP110" s="2246"/>
      <c r="AQ110" s="2246"/>
      <c r="AR110" s="2246"/>
      <c r="AS110" s="2244"/>
      <c r="AT110" s="2244"/>
      <c r="AU110" s="2244"/>
      <c r="AV110" s="2244"/>
      <c r="AW110" s="2244"/>
      <c r="AX110" s="2244"/>
      <c r="AY110" s="2244"/>
      <c r="AZ110" s="2244"/>
      <c r="BA110" s="2244"/>
      <c r="BB110" s="2244"/>
      <c r="BC110" s="2244"/>
      <c r="BD110" s="2244"/>
      <c r="BE110" s="2244"/>
      <c r="BF110" s="2246"/>
      <c r="BG110" s="2246"/>
      <c r="BH110" s="2246"/>
      <c r="BI110" s="2246"/>
      <c r="BJ110" s="2246"/>
      <c r="BK110" s="2246"/>
      <c r="BL110" s="2246"/>
      <c r="BM110" s="2246"/>
      <c r="BN110" s="2246"/>
      <c r="BO110" s="2246"/>
      <c r="BP110" s="2246"/>
      <c r="BQ110" s="2246"/>
      <c r="BR110" s="2246"/>
      <c r="BS110" s="2244"/>
      <c r="BT110" s="2244"/>
      <c r="BU110" s="2244"/>
      <c r="BV110" s="2244"/>
      <c r="BW110" s="2244"/>
      <c r="BX110" s="2246"/>
      <c r="BY110" s="2246"/>
      <c r="BZ110" s="2246"/>
      <c r="CA110" s="2246"/>
      <c r="CB110" s="2246"/>
      <c r="CC110" s="2246"/>
      <c r="CD110" s="2246"/>
      <c r="CE110" s="2246"/>
      <c r="CF110" s="2246"/>
      <c r="CG110" s="2246"/>
      <c r="CH110" s="2246"/>
      <c r="CI110" s="2246"/>
      <c r="CJ110" s="2246"/>
      <c r="CK110" s="2246"/>
      <c r="CL110" s="2246"/>
      <c r="CM110" s="2246"/>
      <c r="CN110" s="2246"/>
      <c r="CO110" s="2246"/>
      <c r="CP110" s="2246"/>
      <c r="CQ110" s="2246"/>
      <c r="CR110" s="2246"/>
      <c r="CS110" s="2248"/>
      <c r="CT110" s="2248"/>
      <c r="CU110" s="2248"/>
      <c r="CV110" s="2248"/>
      <c r="CW110" s="2248"/>
      <c r="CX110" s="2248"/>
      <c r="CY110" s="2248"/>
      <c r="CZ110" s="2248"/>
      <c r="DA110" s="2248"/>
      <c r="DB110" s="2248"/>
      <c r="DC110" s="2248"/>
      <c r="DD110" s="2249"/>
      <c r="DE110" s="2249"/>
      <c r="DF110" s="2249"/>
      <c r="DG110" s="2249"/>
      <c r="DH110" s="2249"/>
      <c r="DI110" s="2249"/>
      <c r="DJ110" s="2249"/>
      <c r="DK110" s="2249"/>
      <c r="DL110" s="2249"/>
      <c r="DM110" s="2249"/>
      <c r="DN110" s="2249"/>
      <c r="DO110" s="2249"/>
      <c r="DP110" s="2249"/>
      <c r="DQ110" s="2249"/>
      <c r="DR110" s="2249"/>
      <c r="DS110" s="2249"/>
      <c r="DT110" s="2249"/>
      <c r="DU110" s="2249"/>
      <c r="DV110" s="2249"/>
      <c r="DW110" s="2249"/>
      <c r="DX110" s="2249"/>
      <c r="DY110" s="2249"/>
      <c r="DZ110" s="2249"/>
      <c r="EA110" s="2249"/>
      <c r="EB110" s="2249"/>
      <c r="EC110" s="2249"/>
      <c r="ED110" s="2249"/>
      <c r="EE110" s="2249"/>
      <c r="EF110" s="2248"/>
      <c r="EG110" s="2248"/>
    </row>
    <row r="111" spans="1:137" ht="18.899999999999999" customHeight="1">
      <c r="A111" s="2244"/>
      <c r="B111" s="2244"/>
      <c r="C111" s="2245"/>
      <c r="D111" s="2245"/>
      <c r="E111" s="2245"/>
      <c r="F111" s="2245"/>
      <c r="G111" s="2245"/>
      <c r="H111" s="2245"/>
      <c r="I111" s="2244"/>
      <c r="J111" s="2244"/>
      <c r="K111" s="2246"/>
      <c r="L111" s="2244"/>
      <c r="M111" s="2244"/>
      <c r="N111" s="2244"/>
      <c r="O111" s="2244"/>
      <c r="P111" s="2244"/>
      <c r="Q111" s="2246"/>
      <c r="R111" s="2246"/>
      <c r="S111" s="2246"/>
      <c r="T111" s="2246"/>
      <c r="U111" s="2246"/>
      <c r="V111" s="2246"/>
      <c r="W111" s="2246"/>
      <c r="X111" s="2246"/>
      <c r="Y111" s="2246"/>
      <c r="Z111" s="2246"/>
      <c r="AA111" s="2246"/>
      <c r="AB111" s="2246"/>
      <c r="AC111" s="2246"/>
      <c r="AD111" s="2246"/>
      <c r="AE111" s="2246"/>
      <c r="AF111" s="2246"/>
      <c r="AG111" s="2246"/>
      <c r="AH111" s="2246"/>
      <c r="AI111" s="2246"/>
      <c r="AJ111" s="2246"/>
      <c r="AK111" s="2246"/>
      <c r="AL111" s="2246"/>
      <c r="AM111" s="2246"/>
      <c r="AN111" s="2246"/>
      <c r="AO111" s="2246"/>
      <c r="AP111" s="2246"/>
      <c r="AQ111" s="2246"/>
      <c r="AR111" s="2246"/>
      <c r="AS111" s="2244"/>
      <c r="AT111" s="2244"/>
      <c r="AU111" s="2244"/>
      <c r="AV111" s="2244"/>
      <c r="AW111" s="2244"/>
      <c r="AX111" s="2244"/>
      <c r="AY111" s="2244"/>
      <c r="AZ111" s="2244"/>
      <c r="BA111" s="2244"/>
      <c r="BB111" s="2244"/>
      <c r="BC111" s="2244"/>
      <c r="BD111" s="2244"/>
      <c r="BE111" s="2244"/>
      <c r="BF111" s="2246"/>
      <c r="BG111" s="2246"/>
      <c r="BH111" s="2246"/>
      <c r="BI111" s="2246"/>
      <c r="BJ111" s="2246"/>
      <c r="BK111" s="2246"/>
      <c r="BL111" s="2246"/>
      <c r="BM111" s="2246"/>
      <c r="BN111" s="2246"/>
      <c r="BO111" s="2246"/>
      <c r="BP111" s="2246"/>
      <c r="BQ111" s="2246"/>
      <c r="BR111" s="2246"/>
      <c r="BS111" s="2244"/>
      <c r="BT111" s="2244"/>
      <c r="BU111" s="2244"/>
      <c r="BV111" s="2244"/>
      <c r="BW111" s="2244"/>
      <c r="BX111" s="2246"/>
      <c r="BY111" s="2246"/>
      <c r="BZ111" s="2246"/>
      <c r="CA111" s="2246"/>
      <c r="CB111" s="2246"/>
      <c r="CC111" s="2246"/>
      <c r="CD111" s="2246"/>
      <c r="CE111" s="2246"/>
      <c r="CF111" s="2246"/>
      <c r="CG111" s="2246"/>
      <c r="CH111" s="2246"/>
      <c r="CI111" s="2246"/>
      <c r="CJ111" s="2246"/>
      <c r="CK111" s="2246"/>
      <c r="CL111" s="2246"/>
      <c r="CM111" s="2246"/>
      <c r="CN111" s="2246"/>
      <c r="CO111" s="2246"/>
      <c r="CP111" s="2246"/>
      <c r="CQ111" s="2246"/>
      <c r="CR111" s="2246"/>
      <c r="CS111" s="2248"/>
      <c r="CT111" s="2248"/>
      <c r="CU111" s="2248"/>
      <c r="CV111" s="2248"/>
      <c r="CW111" s="2248"/>
      <c r="CX111" s="2248"/>
      <c r="CY111" s="2248"/>
      <c r="CZ111" s="2248"/>
      <c r="DA111" s="2248"/>
      <c r="DB111" s="2248"/>
      <c r="DC111" s="2248"/>
      <c r="DD111" s="2249"/>
      <c r="DE111" s="2249"/>
      <c r="DF111" s="2249"/>
      <c r="DG111" s="2249"/>
      <c r="DH111" s="2249"/>
      <c r="DI111" s="2249"/>
      <c r="DJ111" s="2249"/>
      <c r="DK111" s="2249"/>
      <c r="DL111" s="2249"/>
      <c r="DM111" s="2249"/>
      <c r="DN111" s="2249"/>
      <c r="DO111" s="2249"/>
      <c r="DP111" s="2249"/>
      <c r="DQ111" s="2249"/>
      <c r="DR111" s="2249"/>
      <c r="DS111" s="2249"/>
      <c r="DT111" s="2249"/>
      <c r="DU111" s="2249"/>
      <c r="DV111" s="2249"/>
      <c r="DW111" s="2249"/>
      <c r="DX111" s="2249"/>
      <c r="DY111" s="2249"/>
      <c r="DZ111" s="2249"/>
      <c r="EA111" s="2249"/>
      <c r="EB111" s="2249"/>
      <c r="EC111" s="2249"/>
      <c r="ED111" s="2249"/>
      <c r="EE111" s="2249"/>
      <c r="EF111" s="2248"/>
      <c r="EG111" s="2248"/>
    </row>
    <row r="112" spans="1:137" ht="18.899999999999999" customHeight="1">
      <c r="A112" s="2244"/>
      <c r="B112" s="2244"/>
      <c r="C112" s="2245"/>
      <c r="D112" s="2245"/>
      <c r="E112" s="2245"/>
      <c r="F112" s="2245"/>
      <c r="G112" s="2245"/>
      <c r="H112" s="2245"/>
      <c r="I112" s="2244"/>
      <c r="J112" s="2244"/>
      <c r="K112" s="2246"/>
      <c r="L112" s="2244"/>
      <c r="M112" s="2244"/>
      <c r="N112" s="2244"/>
      <c r="O112" s="2244"/>
      <c r="P112" s="2244"/>
      <c r="Q112" s="2246"/>
      <c r="R112" s="2246"/>
      <c r="S112" s="2246"/>
      <c r="T112" s="2246"/>
      <c r="U112" s="2246"/>
      <c r="V112" s="2246"/>
      <c r="W112" s="2246"/>
      <c r="X112" s="2246"/>
      <c r="Y112" s="2246"/>
      <c r="Z112" s="2246"/>
      <c r="AA112" s="2246"/>
      <c r="AB112" s="2246"/>
      <c r="AC112" s="2246"/>
      <c r="AD112" s="2246"/>
      <c r="AE112" s="2246"/>
      <c r="AF112" s="2246"/>
      <c r="AG112" s="2246"/>
      <c r="AH112" s="2246"/>
      <c r="AI112" s="2246"/>
      <c r="AJ112" s="2246"/>
      <c r="AK112" s="2246"/>
      <c r="AL112" s="2246"/>
      <c r="AM112" s="2246"/>
      <c r="AN112" s="2246"/>
      <c r="AO112" s="2246"/>
      <c r="AP112" s="2246"/>
      <c r="AQ112" s="2246"/>
      <c r="AR112" s="2246"/>
      <c r="AS112" s="2244"/>
      <c r="AT112" s="2244"/>
      <c r="AU112" s="2244"/>
      <c r="AV112" s="2244"/>
      <c r="AW112" s="2244"/>
      <c r="AX112" s="2244"/>
      <c r="AY112" s="2244"/>
      <c r="AZ112" s="2244"/>
      <c r="BA112" s="2244"/>
      <c r="BB112" s="2244"/>
      <c r="BC112" s="2244"/>
      <c r="BD112" s="2244"/>
      <c r="BE112" s="2244"/>
      <c r="BF112" s="2246"/>
      <c r="BG112" s="2246"/>
      <c r="BH112" s="2246"/>
      <c r="BI112" s="2246"/>
      <c r="BJ112" s="2246"/>
      <c r="BK112" s="2246"/>
      <c r="BL112" s="2246"/>
      <c r="BM112" s="2246"/>
      <c r="BN112" s="2246"/>
      <c r="BO112" s="2246"/>
      <c r="BP112" s="2246"/>
      <c r="BQ112" s="2246"/>
      <c r="BR112" s="2246"/>
      <c r="BS112" s="2244"/>
      <c r="BT112" s="2244"/>
      <c r="BU112" s="2244"/>
      <c r="BV112" s="2244"/>
      <c r="BW112" s="2244"/>
      <c r="BX112" s="2246"/>
      <c r="BY112" s="2246"/>
      <c r="BZ112" s="2246"/>
      <c r="CA112" s="2246"/>
      <c r="CB112" s="2246"/>
      <c r="CC112" s="2246"/>
      <c r="CD112" s="2246"/>
      <c r="CE112" s="2246"/>
      <c r="CF112" s="2246"/>
      <c r="CG112" s="2246"/>
      <c r="CH112" s="2246"/>
      <c r="CI112" s="2246"/>
      <c r="CJ112" s="2246"/>
      <c r="CK112" s="2246"/>
      <c r="CL112" s="2246"/>
      <c r="CM112" s="2246"/>
      <c r="CN112" s="2246"/>
      <c r="CO112" s="2246"/>
      <c r="CP112" s="2246"/>
      <c r="CQ112" s="2246"/>
      <c r="CR112" s="2246"/>
      <c r="CS112" s="2248"/>
      <c r="CT112" s="2248"/>
      <c r="CU112" s="2248"/>
      <c r="CV112" s="2248"/>
      <c r="CW112" s="2248"/>
      <c r="CX112" s="2248"/>
      <c r="CY112" s="2248"/>
      <c r="CZ112" s="2248"/>
      <c r="DA112" s="2248"/>
      <c r="DB112" s="2248"/>
      <c r="DC112" s="2248"/>
      <c r="DD112" s="2249"/>
      <c r="DE112" s="2249"/>
      <c r="DF112" s="2249"/>
      <c r="DG112" s="2249"/>
      <c r="DH112" s="2249"/>
      <c r="DI112" s="2249"/>
      <c r="DJ112" s="2249"/>
      <c r="DK112" s="2249"/>
      <c r="DL112" s="2249"/>
      <c r="DM112" s="2249"/>
      <c r="DN112" s="2249"/>
      <c r="DO112" s="2249"/>
      <c r="DP112" s="2249"/>
      <c r="DQ112" s="2249"/>
      <c r="DR112" s="2249"/>
      <c r="DS112" s="2249"/>
      <c r="DT112" s="2249"/>
      <c r="DU112" s="2249"/>
      <c r="DV112" s="2249"/>
      <c r="DW112" s="2249"/>
      <c r="DX112" s="2249"/>
      <c r="DY112" s="2249"/>
      <c r="DZ112" s="2249"/>
      <c r="EA112" s="2249"/>
      <c r="EB112" s="2249"/>
      <c r="EC112" s="2249"/>
      <c r="ED112" s="2249"/>
      <c r="EE112" s="2249"/>
      <c r="EF112" s="2248"/>
      <c r="EG112" s="2248"/>
    </row>
    <row r="113" spans="1:137" ht="18.899999999999999" customHeight="1">
      <c r="A113" s="2244"/>
      <c r="B113" s="2244"/>
      <c r="C113" s="2245"/>
      <c r="D113" s="2245"/>
      <c r="E113" s="2245"/>
      <c r="F113" s="2245"/>
      <c r="G113" s="2245"/>
      <c r="H113" s="2245"/>
      <c r="I113" s="2244"/>
      <c r="J113" s="2244"/>
      <c r="K113" s="2246"/>
      <c r="L113" s="2244"/>
      <c r="M113" s="2244"/>
      <c r="N113" s="2244"/>
      <c r="O113" s="2244"/>
      <c r="P113" s="2244"/>
      <c r="Q113" s="2246"/>
      <c r="R113" s="2246"/>
      <c r="S113" s="2246"/>
      <c r="T113" s="2246"/>
      <c r="U113" s="2246"/>
      <c r="V113" s="2246"/>
      <c r="W113" s="2246"/>
      <c r="X113" s="2246"/>
      <c r="Y113" s="2246"/>
      <c r="Z113" s="2246"/>
      <c r="AA113" s="2246"/>
      <c r="AB113" s="2246"/>
      <c r="AC113" s="2246"/>
      <c r="AD113" s="2246"/>
      <c r="AE113" s="2246"/>
      <c r="AF113" s="2246"/>
      <c r="AG113" s="2246"/>
      <c r="AH113" s="2246"/>
      <c r="AI113" s="2246"/>
      <c r="AJ113" s="2246"/>
      <c r="AK113" s="2246"/>
      <c r="AL113" s="2246"/>
      <c r="AM113" s="2246"/>
      <c r="AN113" s="2246"/>
      <c r="AO113" s="2246"/>
      <c r="AP113" s="2246"/>
      <c r="AQ113" s="2246"/>
      <c r="AR113" s="2246"/>
      <c r="AS113" s="2244"/>
      <c r="AT113" s="2244"/>
      <c r="AU113" s="2244"/>
      <c r="AV113" s="2244"/>
      <c r="AW113" s="2244"/>
      <c r="AX113" s="2244"/>
      <c r="AY113" s="2244"/>
      <c r="AZ113" s="2244"/>
      <c r="BA113" s="2244"/>
      <c r="BB113" s="2244"/>
      <c r="BC113" s="2244"/>
      <c r="BD113" s="2244"/>
      <c r="BE113" s="2244"/>
      <c r="BF113" s="2246"/>
      <c r="BG113" s="2246"/>
      <c r="BH113" s="2246"/>
      <c r="BI113" s="2246"/>
      <c r="BJ113" s="2246"/>
      <c r="BK113" s="2246"/>
      <c r="BL113" s="2246"/>
      <c r="BM113" s="2246"/>
      <c r="BN113" s="2246"/>
      <c r="BO113" s="2246"/>
      <c r="BP113" s="2246"/>
      <c r="BQ113" s="2246"/>
      <c r="BR113" s="2246"/>
      <c r="BS113" s="2244"/>
      <c r="BT113" s="2244"/>
      <c r="BU113" s="2244"/>
      <c r="BV113" s="2244"/>
      <c r="BW113" s="2244"/>
      <c r="BX113" s="2246"/>
      <c r="BY113" s="2246"/>
      <c r="BZ113" s="2246"/>
      <c r="CA113" s="2246"/>
      <c r="CB113" s="2246"/>
      <c r="CC113" s="2246"/>
      <c r="CD113" s="2246"/>
      <c r="CE113" s="2246"/>
      <c r="CF113" s="2246"/>
      <c r="CG113" s="2246"/>
      <c r="CH113" s="2246"/>
      <c r="CI113" s="2246"/>
      <c r="CJ113" s="2246"/>
      <c r="CK113" s="2246"/>
      <c r="CL113" s="2246"/>
      <c r="CM113" s="2246"/>
      <c r="CN113" s="2246"/>
      <c r="CO113" s="2246"/>
      <c r="CP113" s="2246"/>
      <c r="CQ113" s="2246"/>
      <c r="CR113" s="2246"/>
      <c r="CS113" s="2248"/>
      <c r="CT113" s="2248"/>
      <c r="CU113" s="2248"/>
      <c r="CV113" s="2248"/>
      <c r="CW113" s="2248"/>
      <c r="CX113" s="2248"/>
      <c r="CY113" s="2248"/>
      <c r="CZ113" s="2248"/>
      <c r="DA113" s="2248"/>
      <c r="DB113" s="2248"/>
      <c r="DC113" s="2248"/>
      <c r="DD113" s="2249"/>
      <c r="DE113" s="2249"/>
      <c r="DF113" s="2249"/>
      <c r="DG113" s="2249"/>
      <c r="DH113" s="2249"/>
      <c r="DI113" s="2249"/>
      <c r="DJ113" s="2249"/>
      <c r="DK113" s="2249"/>
      <c r="DL113" s="2249"/>
      <c r="DM113" s="2249"/>
      <c r="DN113" s="2249"/>
      <c r="DO113" s="2249"/>
      <c r="DP113" s="2249"/>
      <c r="DQ113" s="2249"/>
      <c r="DR113" s="2249"/>
      <c r="DS113" s="2249"/>
      <c r="DT113" s="2249"/>
      <c r="DU113" s="2249"/>
      <c r="DV113" s="2249"/>
      <c r="DW113" s="2249"/>
      <c r="DX113" s="2249"/>
      <c r="DY113" s="2249"/>
      <c r="DZ113" s="2249"/>
      <c r="EA113" s="2249"/>
      <c r="EB113" s="2249"/>
      <c r="EC113" s="2249"/>
      <c r="ED113" s="2249"/>
      <c r="EE113" s="2249"/>
      <c r="EF113" s="2248"/>
      <c r="EG113" s="2248"/>
    </row>
    <row r="114" spans="1:137" ht="18.899999999999999" customHeight="1">
      <c r="A114" s="2244"/>
      <c r="B114" s="2244"/>
      <c r="C114" s="2245"/>
      <c r="D114" s="2245"/>
      <c r="E114" s="2245"/>
      <c r="F114" s="2245"/>
      <c r="G114" s="2245"/>
      <c r="H114" s="2245"/>
      <c r="I114" s="2244"/>
      <c r="J114" s="2244"/>
      <c r="K114" s="2246"/>
      <c r="L114" s="2244"/>
      <c r="M114" s="2244"/>
      <c r="N114" s="2244"/>
      <c r="O114" s="2244"/>
      <c r="P114" s="2244"/>
      <c r="Q114" s="2246"/>
      <c r="R114" s="2246"/>
      <c r="S114" s="2246"/>
      <c r="T114" s="2246"/>
      <c r="U114" s="2246"/>
      <c r="V114" s="2246"/>
      <c r="W114" s="2246"/>
      <c r="X114" s="2246"/>
      <c r="Y114" s="2246"/>
      <c r="Z114" s="2246"/>
      <c r="AA114" s="2246"/>
      <c r="AB114" s="2246"/>
      <c r="AC114" s="2246"/>
      <c r="AD114" s="2246"/>
      <c r="AE114" s="2246"/>
      <c r="AF114" s="2246"/>
      <c r="AG114" s="2246"/>
      <c r="AH114" s="2246"/>
      <c r="AI114" s="2246"/>
      <c r="AJ114" s="2246"/>
      <c r="AK114" s="2246"/>
      <c r="AL114" s="2246"/>
      <c r="AM114" s="2246"/>
      <c r="AN114" s="2246"/>
      <c r="AO114" s="2246"/>
      <c r="AP114" s="2246"/>
      <c r="AQ114" s="2246"/>
      <c r="AR114" s="2246"/>
      <c r="AS114" s="2244"/>
      <c r="AT114" s="2244"/>
      <c r="AU114" s="2244"/>
      <c r="AV114" s="2244"/>
      <c r="AW114" s="2244"/>
      <c r="AX114" s="2244"/>
      <c r="AY114" s="2244"/>
      <c r="AZ114" s="2244"/>
      <c r="BA114" s="2244"/>
      <c r="BB114" s="2244"/>
      <c r="BC114" s="2244"/>
      <c r="BD114" s="2244"/>
      <c r="BE114" s="2244"/>
      <c r="BF114" s="2246"/>
      <c r="BG114" s="2246"/>
      <c r="BH114" s="2246"/>
      <c r="BI114" s="2246"/>
      <c r="BJ114" s="2246"/>
      <c r="BK114" s="2246"/>
      <c r="BL114" s="2246"/>
      <c r="BM114" s="2246"/>
      <c r="BN114" s="2246"/>
      <c r="BO114" s="2246"/>
      <c r="BP114" s="2246"/>
      <c r="BQ114" s="2246"/>
      <c r="BR114" s="2246"/>
      <c r="BS114" s="2244"/>
      <c r="BT114" s="2244"/>
      <c r="BU114" s="2244"/>
      <c r="BV114" s="2244"/>
      <c r="BW114" s="2244"/>
      <c r="BX114" s="2246"/>
      <c r="BY114" s="2246"/>
      <c r="BZ114" s="2246"/>
      <c r="CA114" s="2246"/>
      <c r="CB114" s="2246"/>
      <c r="CC114" s="2246"/>
      <c r="CD114" s="2246"/>
      <c r="CE114" s="2246"/>
      <c r="CF114" s="2246"/>
      <c r="CG114" s="2246"/>
      <c r="CH114" s="2246"/>
      <c r="CI114" s="2246"/>
      <c r="CJ114" s="2246"/>
      <c r="CK114" s="2246"/>
      <c r="CL114" s="2246"/>
      <c r="CM114" s="2246"/>
      <c r="CN114" s="2246"/>
      <c r="CO114" s="2246"/>
      <c r="CP114" s="2246"/>
      <c r="CQ114" s="2246"/>
      <c r="CR114" s="2246"/>
      <c r="CS114" s="2248"/>
      <c r="CT114" s="2248"/>
      <c r="CU114" s="2248"/>
      <c r="CV114" s="2248"/>
      <c r="CW114" s="2248"/>
      <c r="CX114" s="2248"/>
      <c r="CY114" s="2248"/>
      <c r="CZ114" s="2248"/>
      <c r="DA114" s="2248"/>
      <c r="DB114" s="2248"/>
      <c r="DC114" s="2248"/>
      <c r="DD114" s="2249"/>
      <c r="DE114" s="2249"/>
      <c r="DF114" s="2249"/>
      <c r="DG114" s="2249"/>
      <c r="DH114" s="2249"/>
      <c r="DI114" s="2249"/>
      <c r="DJ114" s="2249"/>
      <c r="DK114" s="2249"/>
      <c r="DL114" s="2249"/>
      <c r="DM114" s="2249"/>
      <c r="DN114" s="2249"/>
      <c r="DO114" s="2249"/>
      <c r="DP114" s="2249"/>
      <c r="DQ114" s="2249"/>
      <c r="DR114" s="2249"/>
      <c r="DS114" s="2249"/>
      <c r="DT114" s="2249"/>
      <c r="DU114" s="2249"/>
      <c r="DV114" s="2249"/>
      <c r="DW114" s="2249"/>
      <c r="DX114" s="2249"/>
      <c r="DY114" s="2249"/>
      <c r="DZ114" s="2249"/>
      <c r="EA114" s="2249"/>
      <c r="EB114" s="2249"/>
      <c r="EC114" s="2249"/>
      <c r="ED114" s="2249"/>
      <c r="EE114" s="2249"/>
      <c r="EF114" s="2248"/>
      <c r="EG114" s="2248"/>
    </row>
    <row r="115" spans="1:137" ht="18.899999999999999" customHeight="1">
      <c r="A115" s="2244"/>
      <c r="B115" s="2244"/>
      <c r="C115" s="2245"/>
      <c r="D115" s="2245"/>
      <c r="E115" s="2245"/>
      <c r="F115" s="2245"/>
      <c r="G115" s="2245"/>
      <c r="H115" s="2245"/>
      <c r="I115" s="2244"/>
      <c r="J115" s="2244"/>
      <c r="K115" s="2246"/>
      <c r="L115" s="2244"/>
      <c r="M115" s="2244"/>
      <c r="N115" s="2244"/>
      <c r="O115" s="2244"/>
      <c r="P115" s="2244"/>
      <c r="Q115" s="2246"/>
      <c r="R115" s="2246"/>
      <c r="S115" s="2246"/>
      <c r="T115" s="2246"/>
      <c r="U115" s="2246"/>
      <c r="V115" s="2246"/>
      <c r="W115" s="2246"/>
      <c r="X115" s="2246"/>
      <c r="Y115" s="2246"/>
      <c r="Z115" s="2246"/>
      <c r="AA115" s="2246"/>
      <c r="AB115" s="2246"/>
      <c r="AC115" s="2246"/>
      <c r="AD115" s="2246"/>
      <c r="AE115" s="2246"/>
      <c r="AF115" s="2246"/>
      <c r="AG115" s="2246"/>
      <c r="AH115" s="2246"/>
      <c r="AI115" s="2246"/>
      <c r="AJ115" s="2246"/>
      <c r="AK115" s="2246"/>
      <c r="AL115" s="2246"/>
      <c r="AM115" s="2246"/>
      <c r="AN115" s="2246"/>
      <c r="AO115" s="2246"/>
      <c r="AP115" s="2246"/>
      <c r="AQ115" s="2246"/>
      <c r="AR115" s="2246"/>
      <c r="AS115" s="2244"/>
      <c r="AT115" s="2244"/>
      <c r="AU115" s="2244"/>
      <c r="AV115" s="2244"/>
      <c r="AW115" s="2244"/>
      <c r="AX115" s="2244"/>
      <c r="AY115" s="2244"/>
      <c r="AZ115" s="2244"/>
      <c r="BA115" s="2244"/>
      <c r="BB115" s="2244"/>
      <c r="BC115" s="2244"/>
      <c r="BD115" s="2244"/>
      <c r="BE115" s="2244"/>
      <c r="BF115" s="2246"/>
      <c r="BG115" s="2246"/>
      <c r="BH115" s="2246"/>
      <c r="BI115" s="2246"/>
      <c r="BJ115" s="2246"/>
      <c r="BK115" s="2246"/>
      <c r="BL115" s="2246"/>
      <c r="BM115" s="2246"/>
      <c r="BN115" s="2246"/>
      <c r="BO115" s="2246"/>
      <c r="BP115" s="2246"/>
      <c r="BQ115" s="2246"/>
      <c r="BR115" s="2246"/>
      <c r="BS115" s="2244"/>
      <c r="BT115" s="2244"/>
      <c r="BU115" s="2244"/>
      <c r="BV115" s="2244"/>
      <c r="BW115" s="2244"/>
      <c r="BX115" s="2246"/>
      <c r="BY115" s="2246"/>
      <c r="BZ115" s="2246"/>
      <c r="CA115" s="2246"/>
      <c r="CB115" s="2246"/>
      <c r="CC115" s="2246"/>
      <c r="CD115" s="2246"/>
      <c r="CE115" s="2246"/>
      <c r="CF115" s="2246"/>
      <c r="CG115" s="2246"/>
      <c r="CH115" s="2246"/>
      <c r="CI115" s="2246"/>
      <c r="CJ115" s="2246"/>
      <c r="CK115" s="2246"/>
      <c r="CL115" s="2246"/>
      <c r="CM115" s="2246"/>
      <c r="CN115" s="2246"/>
      <c r="CO115" s="2246"/>
      <c r="CP115" s="2246"/>
      <c r="CQ115" s="2246"/>
      <c r="CR115" s="2246"/>
      <c r="CS115" s="2248"/>
      <c r="CT115" s="2248"/>
      <c r="CU115" s="2248"/>
      <c r="CV115" s="2248"/>
      <c r="CW115" s="2248"/>
      <c r="CX115" s="2248"/>
      <c r="CY115" s="2248"/>
      <c r="CZ115" s="2248"/>
      <c r="DA115" s="2248"/>
      <c r="DB115" s="2248"/>
      <c r="DC115" s="2248"/>
      <c r="DD115" s="2249"/>
      <c r="DE115" s="2249"/>
      <c r="DF115" s="2249"/>
      <c r="DG115" s="2249"/>
      <c r="DH115" s="2249"/>
      <c r="DI115" s="2249"/>
      <c r="DJ115" s="2249"/>
      <c r="DK115" s="2249"/>
      <c r="DL115" s="2249"/>
      <c r="DM115" s="2249"/>
      <c r="DN115" s="2249"/>
      <c r="DO115" s="2249"/>
      <c r="DP115" s="2249"/>
      <c r="DQ115" s="2249"/>
      <c r="DR115" s="2249"/>
      <c r="DS115" s="2249"/>
      <c r="DT115" s="2249"/>
      <c r="DU115" s="2249"/>
      <c r="DV115" s="2249"/>
      <c r="DW115" s="2249"/>
      <c r="DX115" s="2249"/>
      <c r="DY115" s="2249"/>
      <c r="DZ115" s="2249"/>
      <c r="EA115" s="2249"/>
      <c r="EB115" s="2249"/>
      <c r="EC115" s="2249"/>
      <c r="ED115" s="2249"/>
      <c r="EE115" s="2249"/>
      <c r="EF115" s="2248"/>
      <c r="EG115" s="2248"/>
    </row>
    <row r="116" spans="1:137" ht="18.899999999999999" customHeight="1">
      <c r="A116" s="2244"/>
      <c r="B116" s="2244"/>
      <c r="C116" s="2245"/>
      <c r="D116" s="2245"/>
      <c r="E116" s="2245"/>
      <c r="F116" s="2245"/>
      <c r="G116" s="2245"/>
      <c r="H116" s="2245"/>
      <c r="I116" s="2244"/>
      <c r="J116" s="2244"/>
      <c r="K116" s="2246"/>
      <c r="L116" s="2244"/>
      <c r="M116" s="2244"/>
      <c r="N116" s="2244"/>
      <c r="O116" s="2244"/>
      <c r="P116" s="2244"/>
      <c r="Q116" s="2246"/>
      <c r="R116" s="2246"/>
      <c r="S116" s="2246"/>
      <c r="T116" s="2246"/>
      <c r="U116" s="2246"/>
      <c r="V116" s="2246"/>
      <c r="W116" s="2246"/>
      <c r="X116" s="2246"/>
      <c r="Y116" s="2246"/>
      <c r="Z116" s="2246"/>
      <c r="AA116" s="2246"/>
      <c r="AB116" s="2246"/>
      <c r="AC116" s="2246"/>
      <c r="AD116" s="2246"/>
      <c r="AE116" s="2246"/>
      <c r="AF116" s="2246"/>
      <c r="AG116" s="2246"/>
      <c r="AH116" s="2246"/>
      <c r="AI116" s="2246"/>
      <c r="AJ116" s="2246"/>
      <c r="AK116" s="2246"/>
      <c r="AL116" s="2246"/>
      <c r="AM116" s="2246"/>
      <c r="AN116" s="2246"/>
      <c r="AO116" s="2246"/>
      <c r="AP116" s="2246"/>
      <c r="AQ116" s="2246"/>
      <c r="AR116" s="2246"/>
      <c r="AS116" s="2244"/>
      <c r="AT116" s="2244"/>
      <c r="AU116" s="2244"/>
      <c r="AV116" s="2244"/>
      <c r="AW116" s="2244"/>
      <c r="AX116" s="2244"/>
      <c r="AY116" s="2244"/>
      <c r="AZ116" s="2244"/>
      <c r="BA116" s="2244"/>
      <c r="BB116" s="2244"/>
      <c r="BC116" s="2244"/>
      <c r="BD116" s="2244"/>
      <c r="BE116" s="2244"/>
      <c r="BF116" s="2246"/>
      <c r="BG116" s="2246"/>
      <c r="BH116" s="2246"/>
      <c r="BI116" s="2246"/>
      <c r="BJ116" s="2246"/>
      <c r="BK116" s="2246"/>
      <c r="BL116" s="2246"/>
      <c r="BM116" s="2246"/>
      <c r="BN116" s="2246"/>
      <c r="BO116" s="2246"/>
      <c r="BP116" s="2246"/>
      <c r="BQ116" s="2246"/>
      <c r="BR116" s="2246"/>
      <c r="BS116" s="2244"/>
      <c r="BT116" s="2244"/>
      <c r="BU116" s="2244"/>
      <c r="BV116" s="2244"/>
      <c r="BW116" s="2244"/>
      <c r="BX116" s="2246"/>
      <c r="BY116" s="2246"/>
      <c r="BZ116" s="2246"/>
      <c r="CA116" s="2246"/>
      <c r="CB116" s="2246"/>
      <c r="CC116" s="2246"/>
      <c r="CD116" s="2246"/>
      <c r="CE116" s="2246"/>
      <c r="CF116" s="2246"/>
      <c r="CG116" s="2246"/>
      <c r="CH116" s="2246"/>
      <c r="CI116" s="2246"/>
      <c r="CJ116" s="2246"/>
      <c r="CK116" s="2246"/>
      <c r="CL116" s="2246"/>
      <c r="CM116" s="2246"/>
      <c r="CN116" s="2246"/>
      <c r="CO116" s="2246"/>
      <c r="CP116" s="2246"/>
      <c r="CQ116" s="2246"/>
      <c r="CR116" s="2246"/>
      <c r="CS116" s="2248"/>
      <c r="CT116" s="2248"/>
      <c r="CU116" s="2248"/>
      <c r="CV116" s="2248"/>
      <c r="CW116" s="2248"/>
      <c r="CX116" s="2248"/>
      <c r="CY116" s="2248"/>
      <c r="CZ116" s="2248"/>
      <c r="DA116" s="2248"/>
      <c r="DB116" s="2248"/>
      <c r="DC116" s="2248"/>
      <c r="DD116" s="2249"/>
      <c r="DE116" s="2249"/>
      <c r="DF116" s="2249"/>
      <c r="DG116" s="2249"/>
      <c r="DH116" s="2249"/>
      <c r="DI116" s="2249"/>
      <c r="DJ116" s="2249"/>
      <c r="DK116" s="2249"/>
      <c r="DL116" s="2249"/>
      <c r="DM116" s="2249"/>
      <c r="DN116" s="2249"/>
      <c r="DO116" s="2249"/>
      <c r="DP116" s="2249"/>
      <c r="DQ116" s="2249"/>
      <c r="DR116" s="2249"/>
      <c r="DS116" s="2249"/>
      <c r="DT116" s="2249"/>
      <c r="DU116" s="2249"/>
      <c r="DV116" s="2249"/>
      <c r="DW116" s="2249"/>
      <c r="DX116" s="2249"/>
      <c r="DY116" s="2249"/>
      <c r="DZ116" s="2249"/>
      <c r="EA116" s="2249"/>
      <c r="EB116" s="2249"/>
      <c r="EC116" s="2249"/>
      <c r="ED116" s="2249"/>
      <c r="EE116" s="2249"/>
      <c r="EF116" s="2248"/>
      <c r="EG116" s="2248"/>
    </row>
    <row r="117" spans="1:137" ht="18.899999999999999" customHeight="1">
      <c r="A117" s="2244"/>
      <c r="B117" s="2244"/>
      <c r="C117" s="2245"/>
      <c r="D117" s="2245"/>
      <c r="E117" s="2245"/>
      <c r="F117" s="2245"/>
      <c r="G117" s="2245"/>
      <c r="H117" s="2245"/>
      <c r="I117" s="2244"/>
      <c r="J117" s="2244"/>
      <c r="K117" s="2246"/>
      <c r="L117" s="2244"/>
      <c r="M117" s="2244"/>
      <c r="N117" s="2244"/>
      <c r="O117" s="2244"/>
      <c r="P117" s="2244"/>
      <c r="Q117" s="2246"/>
      <c r="R117" s="2246"/>
      <c r="S117" s="2246"/>
      <c r="T117" s="2246"/>
      <c r="U117" s="2246"/>
      <c r="V117" s="2246"/>
      <c r="W117" s="2246"/>
      <c r="X117" s="2246"/>
      <c r="Y117" s="2246"/>
      <c r="Z117" s="2246"/>
      <c r="AA117" s="2246"/>
      <c r="AB117" s="2246"/>
      <c r="AC117" s="2246"/>
      <c r="AD117" s="2246"/>
      <c r="AE117" s="2246"/>
      <c r="AF117" s="2246"/>
      <c r="AG117" s="2246"/>
      <c r="AH117" s="2246"/>
      <c r="AI117" s="2246"/>
      <c r="AJ117" s="2246"/>
      <c r="AK117" s="2246"/>
      <c r="AL117" s="2246"/>
      <c r="AM117" s="2246"/>
      <c r="AN117" s="2246"/>
      <c r="AO117" s="2246"/>
      <c r="AP117" s="2246"/>
      <c r="AQ117" s="2246"/>
      <c r="AR117" s="2246"/>
      <c r="AS117" s="2244"/>
      <c r="AT117" s="2244"/>
      <c r="AU117" s="2244"/>
      <c r="AV117" s="2244"/>
      <c r="AW117" s="2244"/>
      <c r="AX117" s="2244"/>
      <c r="AY117" s="2244"/>
      <c r="AZ117" s="2244"/>
      <c r="BA117" s="2244"/>
      <c r="BB117" s="2244"/>
      <c r="BC117" s="2244"/>
      <c r="BD117" s="2244"/>
      <c r="BE117" s="2244"/>
      <c r="BF117" s="2246"/>
      <c r="BG117" s="2246"/>
      <c r="BH117" s="2246"/>
      <c r="BI117" s="2246"/>
      <c r="BJ117" s="2246"/>
      <c r="BK117" s="2246"/>
      <c r="BL117" s="2246"/>
      <c r="BM117" s="2246"/>
      <c r="BN117" s="2246"/>
      <c r="BO117" s="2246"/>
      <c r="BP117" s="2246"/>
      <c r="BQ117" s="2246"/>
      <c r="BR117" s="2246"/>
      <c r="BS117" s="2244"/>
      <c r="BT117" s="2244"/>
      <c r="BU117" s="2244"/>
      <c r="BV117" s="2244"/>
      <c r="BW117" s="2244"/>
      <c r="BX117" s="2246"/>
      <c r="BY117" s="2246"/>
      <c r="BZ117" s="2246"/>
      <c r="CA117" s="2246"/>
      <c r="CB117" s="2246"/>
      <c r="CC117" s="2246"/>
      <c r="CD117" s="2246"/>
      <c r="CE117" s="2246"/>
      <c r="CF117" s="2246"/>
      <c r="CG117" s="2246"/>
      <c r="CH117" s="2246"/>
      <c r="CI117" s="2246"/>
      <c r="CJ117" s="2246"/>
      <c r="CK117" s="2246"/>
      <c r="CL117" s="2246"/>
      <c r="CM117" s="2246"/>
      <c r="CN117" s="2246"/>
      <c r="CO117" s="2246"/>
      <c r="CP117" s="2246"/>
      <c r="CQ117" s="2246"/>
      <c r="CR117" s="2246"/>
      <c r="CS117" s="2248"/>
      <c r="CT117" s="2248"/>
      <c r="CU117" s="2248"/>
      <c r="CV117" s="2248"/>
      <c r="CW117" s="2248"/>
      <c r="CX117" s="2248"/>
      <c r="CY117" s="2248"/>
      <c r="CZ117" s="2248"/>
      <c r="DA117" s="2248"/>
      <c r="DB117" s="2248"/>
      <c r="DC117" s="2248"/>
      <c r="DD117" s="2249"/>
      <c r="DE117" s="2249"/>
      <c r="DF117" s="2249"/>
      <c r="DG117" s="2249"/>
      <c r="DH117" s="2249"/>
      <c r="DI117" s="2249"/>
      <c r="DJ117" s="2249"/>
      <c r="DK117" s="2249"/>
      <c r="DL117" s="2249"/>
      <c r="DM117" s="2249"/>
      <c r="DN117" s="2249"/>
      <c r="DO117" s="2249"/>
      <c r="DP117" s="2249"/>
      <c r="DQ117" s="2249"/>
      <c r="DR117" s="2249"/>
      <c r="DS117" s="2249"/>
      <c r="DT117" s="2249"/>
      <c r="DU117" s="2249"/>
      <c r="DV117" s="2249"/>
      <c r="DW117" s="2249"/>
      <c r="DX117" s="2249"/>
      <c r="DY117" s="2249"/>
      <c r="DZ117" s="2249"/>
      <c r="EA117" s="2249"/>
      <c r="EB117" s="2249"/>
      <c r="EC117" s="2249"/>
      <c r="ED117" s="2249"/>
      <c r="EE117" s="2249"/>
      <c r="EF117" s="2248"/>
      <c r="EG117" s="2248"/>
    </row>
    <row r="118" spans="1:137" ht="18.899999999999999" customHeight="1">
      <c r="A118" s="2244"/>
      <c r="B118" s="2244"/>
      <c r="C118" s="2245"/>
      <c r="D118" s="2245"/>
      <c r="E118" s="2245"/>
      <c r="F118" s="2245"/>
      <c r="G118" s="2245"/>
      <c r="H118" s="2245"/>
      <c r="I118" s="2244"/>
      <c r="J118" s="2244"/>
      <c r="K118" s="2246"/>
      <c r="L118" s="2244"/>
      <c r="M118" s="2244"/>
      <c r="N118" s="2244"/>
      <c r="O118" s="2244"/>
      <c r="P118" s="2244"/>
      <c r="Q118" s="2246"/>
      <c r="R118" s="2246"/>
      <c r="S118" s="2246"/>
      <c r="T118" s="2246"/>
      <c r="U118" s="2246"/>
      <c r="V118" s="2246"/>
      <c r="W118" s="2246"/>
      <c r="X118" s="2246"/>
      <c r="Y118" s="2246"/>
      <c r="Z118" s="2246"/>
      <c r="AA118" s="2246"/>
      <c r="AB118" s="2246"/>
      <c r="AC118" s="2246"/>
      <c r="AD118" s="2246"/>
      <c r="AE118" s="2246"/>
      <c r="AF118" s="2246"/>
      <c r="AG118" s="2246"/>
      <c r="AH118" s="2246"/>
      <c r="AI118" s="2246"/>
      <c r="AJ118" s="2246"/>
      <c r="AK118" s="2246"/>
      <c r="AL118" s="2246"/>
      <c r="AM118" s="2246"/>
      <c r="AN118" s="2246"/>
      <c r="AO118" s="2246"/>
      <c r="AP118" s="2246"/>
      <c r="AQ118" s="2246"/>
      <c r="AR118" s="2246"/>
      <c r="AS118" s="2244"/>
      <c r="AT118" s="2244"/>
      <c r="AU118" s="2244"/>
      <c r="AV118" s="2244"/>
      <c r="AW118" s="2244"/>
      <c r="AX118" s="2244"/>
      <c r="AY118" s="2244"/>
      <c r="AZ118" s="2244"/>
      <c r="BA118" s="2244"/>
      <c r="BB118" s="2244"/>
      <c r="BC118" s="2244"/>
      <c r="BD118" s="2244"/>
      <c r="BE118" s="2244"/>
      <c r="BF118" s="2246"/>
      <c r="BG118" s="2246"/>
      <c r="BH118" s="2246"/>
      <c r="BI118" s="2246"/>
      <c r="BJ118" s="2246"/>
      <c r="BK118" s="2246"/>
      <c r="BL118" s="2246"/>
      <c r="BM118" s="2246"/>
      <c r="BN118" s="2246"/>
      <c r="BO118" s="2246"/>
      <c r="BP118" s="2246"/>
      <c r="BQ118" s="2246"/>
      <c r="BR118" s="2246"/>
      <c r="BS118" s="2244"/>
      <c r="BT118" s="2244"/>
      <c r="BU118" s="2244"/>
      <c r="BV118" s="2244"/>
      <c r="BW118" s="2244"/>
      <c r="BX118" s="2246"/>
      <c r="BY118" s="2246"/>
      <c r="BZ118" s="2246"/>
      <c r="CA118" s="2246"/>
      <c r="CB118" s="2246"/>
      <c r="CC118" s="2246"/>
      <c r="CD118" s="2246"/>
      <c r="CE118" s="2246"/>
      <c r="CF118" s="2246"/>
      <c r="CG118" s="2246"/>
      <c r="CH118" s="2246"/>
      <c r="CI118" s="2246"/>
      <c r="CJ118" s="2246"/>
      <c r="CK118" s="2246"/>
      <c r="CL118" s="2246"/>
      <c r="CM118" s="2246"/>
      <c r="CN118" s="2246"/>
      <c r="CO118" s="2246"/>
      <c r="CP118" s="2246"/>
      <c r="CQ118" s="2246"/>
      <c r="CR118" s="2246"/>
      <c r="CS118" s="2248"/>
      <c r="CT118" s="2248"/>
      <c r="CU118" s="2248"/>
      <c r="CV118" s="2248"/>
      <c r="CW118" s="2248"/>
      <c r="CX118" s="2248"/>
      <c r="CY118" s="2248"/>
      <c r="CZ118" s="2248"/>
      <c r="DA118" s="2248"/>
      <c r="DB118" s="2248"/>
      <c r="DC118" s="2248"/>
      <c r="DD118" s="2249"/>
      <c r="DE118" s="2249"/>
      <c r="DF118" s="2249"/>
      <c r="DG118" s="2249"/>
      <c r="DH118" s="2249"/>
      <c r="DI118" s="2249"/>
      <c r="DJ118" s="2249"/>
      <c r="DK118" s="2249"/>
      <c r="DL118" s="2249"/>
      <c r="DM118" s="2249"/>
      <c r="DN118" s="2249"/>
      <c r="DO118" s="2249"/>
      <c r="DP118" s="2249"/>
      <c r="DQ118" s="2249"/>
      <c r="DR118" s="2249"/>
      <c r="DS118" s="2249"/>
      <c r="DT118" s="2249"/>
      <c r="DU118" s="2249"/>
      <c r="DV118" s="2249"/>
      <c r="DW118" s="2249"/>
      <c r="DX118" s="2249"/>
      <c r="DY118" s="2249"/>
      <c r="DZ118" s="2249"/>
      <c r="EA118" s="2249"/>
      <c r="EB118" s="2249"/>
      <c r="EC118" s="2249"/>
      <c r="ED118" s="2249"/>
      <c r="EE118" s="2249"/>
      <c r="EF118" s="2248"/>
      <c r="EG118" s="2248"/>
    </row>
    <row r="119" spans="1:137" ht="18.899999999999999" customHeight="1">
      <c r="A119" s="2244"/>
      <c r="B119" s="2244"/>
      <c r="C119" s="2245"/>
      <c r="D119" s="2245"/>
      <c r="E119" s="2245"/>
      <c r="F119" s="2245"/>
      <c r="G119" s="2245"/>
      <c r="H119" s="2245"/>
      <c r="I119" s="2244"/>
      <c r="J119" s="2244"/>
      <c r="K119" s="2246"/>
      <c r="L119" s="2244"/>
      <c r="M119" s="2244"/>
      <c r="N119" s="2244"/>
      <c r="O119" s="2244"/>
      <c r="P119" s="2244"/>
      <c r="Q119" s="2246"/>
      <c r="R119" s="2246"/>
      <c r="S119" s="2246"/>
      <c r="T119" s="2246"/>
      <c r="U119" s="2246"/>
      <c r="V119" s="2246"/>
      <c r="W119" s="2246"/>
      <c r="X119" s="2246"/>
      <c r="Y119" s="2246"/>
      <c r="Z119" s="2246"/>
      <c r="AA119" s="2246"/>
      <c r="AB119" s="2246"/>
      <c r="AC119" s="2246"/>
      <c r="AD119" s="2246"/>
      <c r="AE119" s="2246"/>
      <c r="AF119" s="2246"/>
      <c r="AG119" s="2246"/>
      <c r="AH119" s="2246"/>
      <c r="AI119" s="2246"/>
      <c r="AJ119" s="2246"/>
      <c r="AK119" s="2246"/>
      <c r="AL119" s="2246"/>
      <c r="AM119" s="2246"/>
      <c r="AN119" s="2246"/>
      <c r="AO119" s="2246"/>
      <c r="AP119" s="2246"/>
      <c r="AQ119" s="2246"/>
      <c r="AR119" s="2246"/>
      <c r="AS119" s="2244"/>
      <c r="AT119" s="2244"/>
      <c r="AU119" s="2244"/>
      <c r="AV119" s="2244"/>
      <c r="AW119" s="2244"/>
      <c r="AX119" s="2244"/>
      <c r="AY119" s="2244"/>
      <c r="AZ119" s="2244"/>
      <c r="BA119" s="2244"/>
      <c r="BB119" s="2244"/>
      <c r="BC119" s="2244"/>
      <c r="BD119" s="2244"/>
      <c r="BE119" s="2244"/>
      <c r="BF119" s="2246"/>
      <c r="BG119" s="2246"/>
      <c r="BH119" s="2246"/>
      <c r="BI119" s="2246"/>
      <c r="BJ119" s="2246"/>
      <c r="BK119" s="2246"/>
      <c r="BL119" s="2246"/>
      <c r="BM119" s="2246"/>
      <c r="BN119" s="2246"/>
      <c r="BO119" s="2246"/>
      <c r="BP119" s="2246"/>
      <c r="BQ119" s="2246"/>
      <c r="BR119" s="2246"/>
      <c r="BS119" s="2244"/>
      <c r="BT119" s="2244"/>
      <c r="BU119" s="2244"/>
      <c r="BV119" s="2244"/>
      <c r="BW119" s="2244"/>
      <c r="BX119" s="2246"/>
      <c r="BY119" s="2246"/>
      <c r="BZ119" s="2246"/>
      <c r="CA119" s="2246"/>
      <c r="CB119" s="2246"/>
      <c r="CC119" s="2246"/>
      <c r="CD119" s="2246"/>
      <c r="CE119" s="2246"/>
      <c r="CF119" s="2246"/>
      <c r="CG119" s="2246"/>
      <c r="CH119" s="2246"/>
      <c r="CI119" s="2246"/>
      <c r="CJ119" s="2246"/>
      <c r="CK119" s="2246"/>
      <c r="CL119" s="2246"/>
      <c r="CM119" s="2246"/>
      <c r="CN119" s="2246"/>
      <c r="CO119" s="2246"/>
      <c r="CP119" s="2246"/>
      <c r="CQ119" s="2246"/>
      <c r="CR119" s="2246"/>
      <c r="CS119" s="2248"/>
      <c r="CT119" s="2248"/>
      <c r="CU119" s="2248"/>
      <c r="CV119" s="2248"/>
      <c r="CW119" s="2248"/>
      <c r="CX119" s="2248"/>
      <c r="CY119" s="2248"/>
      <c r="CZ119" s="2248"/>
      <c r="DA119" s="2248"/>
      <c r="DB119" s="2248"/>
      <c r="DC119" s="2248"/>
      <c r="DD119" s="2249"/>
      <c r="DE119" s="2249"/>
      <c r="DF119" s="2249"/>
      <c r="DG119" s="2249"/>
      <c r="DH119" s="2249"/>
      <c r="DI119" s="2249"/>
      <c r="DJ119" s="2249"/>
      <c r="DK119" s="2249"/>
      <c r="DL119" s="2249"/>
      <c r="DM119" s="2249"/>
      <c r="DN119" s="2249"/>
      <c r="DO119" s="2249"/>
      <c r="DP119" s="2249"/>
      <c r="DQ119" s="2249"/>
      <c r="DR119" s="2249"/>
      <c r="DS119" s="2249"/>
      <c r="DT119" s="2249"/>
      <c r="DU119" s="2249"/>
      <c r="DV119" s="2249"/>
      <c r="DW119" s="2249"/>
      <c r="DX119" s="2249"/>
      <c r="DY119" s="2249"/>
      <c r="DZ119" s="2249"/>
      <c r="EA119" s="2249"/>
      <c r="EB119" s="2249"/>
      <c r="EC119" s="2249"/>
      <c r="ED119" s="2249"/>
      <c r="EE119" s="2249"/>
      <c r="EF119" s="2248"/>
      <c r="EG119" s="2248"/>
    </row>
    <row r="120" spans="1:137" ht="18.899999999999999" customHeight="1">
      <c r="A120" s="2244"/>
      <c r="B120" s="2244"/>
      <c r="C120" s="2245"/>
      <c r="D120" s="2245"/>
      <c r="E120" s="2245"/>
      <c r="F120" s="2245"/>
      <c r="G120" s="2245"/>
      <c r="H120" s="2245"/>
      <c r="I120" s="2244"/>
      <c r="J120" s="2244"/>
      <c r="K120" s="2246"/>
      <c r="L120" s="2244"/>
      <c r="M120" s="2244"/>
      <c r="N120" s="2244"/>
      <c r="O120" s="2244"/>
      <c r="P120" s="2244"/>
      <c r="Q120" s="2246"/>
      <c r="R120" s="2246"/>
      <c r="S120" s="2246"/>
      <c r="T120" s="2246"/>
      <c r="U120" s="2246"/>
      <c r="V120" s="2246"/>
      <c r="W120" s="2246"/>
      <c r="X120" s="2246"/>
      <c r="Y120" s="2246"/>
      <c r="Z120" s="2246"/>
      <c r="AA120" s="2246"/>
      <c r="AB120" s="2246"/>
      <c r="AC120" s="2246"/>
      <c r="AD120" s="2246"/>
      <c r="AE120" s="2246"/>
      <c r="AF120" s="2246"/>
      <c r="AG120" s="2246"/>
      <c r="AH120" s="2246"/>
      <c r="AI120" s="2246"/>
      <c r="AJ120" s="2246"/>
      <c r="AK120" s="2246"/>
      <c r="AL120" s="2246"/>
      <c r="AM120" s="2246"/>
      <c r="AN120" s="2246"/>
      <c r="AO120" s="2246"/>
      <c r="AP120" s="2246"/>
      <c r="AQ120" s="2246"/>
      <c r="AR120" s="2246"/>
      <c r="AS120" s="2244"/>
      <c r="AT120" s="2244"/>
      <c r="AU120" s="2244"/>
      <c r="AV120" s="2244"/>
      <c r="AW120" s="2244"/>
      <c r="AX120" s="2244"/>
      <c r="AY120" s="2244"/>
      <c r="AZ120" s="2244"/>
      <c r="BA120" s="2244"/>
      <c r="BB120" s="2244"/>
      <c r="BC120" s="2244"/>
      <c r="BD120" s="2244"/>
      <c r="BE120" s="2244"/>
      <c r="BF120" s="2246"/>
      <c r="BG120" s="2246"/>
      <c r="BH120" s="2246"/>
      <c r="BI120" s="2246"/>
      <c r="BJ120" s="2246"/>
      <c r="BK120" s="2246"/>
      <c r="BL120" s="2246"/>
      <c r="BM120" s="2246"/>
      <c r="BN120" s="2246"/>
      <c r="BO120" s="2246"/>
      <c r="BP120" s="2246"/>
      <c r="BQ120" s="2246"/>
      <c r="BR120" s="2246"/>
      <c r="BS120" s="2244"/>
      <c r="BT120" s="2244"/>
      <c r="BU120" s="2244"/>
      <c r="BV120" s="2244"/>
      <c r="BW120" s="2244"/>
      <c r="BX120" s="2246"/>
      <c r="BY120" s="2246"/>
      <c r="BZ120" s="2246"/>
      <c r="CA120" s="2246"/>
      <c r="CB120" s="2246"/>
      <c r="CC120" s="2246"/>
      <c r="CD120" s="2246"/>
      <c r="CE120" s="2246"/>
      <c r="CF120" s="2246"/>
      <c r="CG120" s="2246"/>
      <c r="CH120" s="2246"/>
      <c r="CI120" s="2246"/>
      <c r="CJ120" s="2246"/>
      <c r="CK120" s="2246"/>
      <c r="CL120" s="2246"/>
      <c r="CM120" s="2246"/>
      <c r="CN120" s="2246"/>
      <c r="CO120" s="2246"/>
      <c r="CP120" s="2246"/>
      <c r="CQ120" s="2246"/>
      <c r="CR120" s="2246"/>
      <c r="CS120" s="2248"/>
      <c r="CT120" s="2248"/>
      <c r="CU120" s="2248"/>
      <c r="CV120" s="2248"/>
      <c r="CW120" s="2248"/>
      <c r="CX120" s="2248"/>
      <c r="CY120" s="2248"/>
      <c r="CZ120" s="2248"/>
      <c r="DA120" s="2248"/>
      <c r="DB120" s="2248"/>
      <c r="DC120" s="2248"/>
      <c r="DD120" s="2249"/>
      <c r="DE120" s="2249"/>
      <c r="DF120" s="2249"/>
      <c r="DG120" s="2249"/>
      <c r="DH120" s="2249"/>
      <c r="DI120" s="2249"/>
      <c r="DJ120" s="2249"/>
      <c r="DK120" s="2249"/>
      <c r="DL120" s="2249"/>
      <c r="DM120" s="2249"/>
      <c r="DN120" s="2249"/>
      <c r="DO120" s="2249"/>
      <c r="DP120" s="2249"/>
      <c r="DQ120" s="2249"/>
      <c r="DR120" s="2249"/>
      <c r="DS120" s="2249"/>
      <c r="DT120" s="2249"/>
      <c r="DU120" s="2249"/>
      <c r="DV120" s="2249"/>
      <c r="DW120" s="2249"/>
      <c r="DX120" s="2249"/>
      <c r="DY120" s="2249"/>
      <c r="DZ120" s="2249"/>
      <c r="EA120" s="2249"/>
      <c r="EB120" s="2249"/>
      <c r="EC120" s="2249"/>
      <c r="ED120" s="2249"/>
      <c r="EE120" s="2249"/>
      <c r="EF120" s="2248"/>
      <c r="EG120" s="2248"/>
    </row>
    <row r="121" spans="1:137" ht="18.899999999999999" customHeight="1">
      <c r="A121" s="2244"/>
      <c r="B121" s="2244"/>
      <c r="C121" s="2245"/>
      <c r="D121" s="2245"/>
      <c r="E121" s="2245"/>
      <c r="F121" s="2245"/>
      <c r="G121" s="2245"/>
      <c r="H121" s="2245"/>
      <c r="I121" s="2244"/>
      <c r="J121" s="2244"/>
      <c r="K121" s="2246"/>
      <c r="L121" s="2244"/>
      <c r="M121" s="2244"/>
      <c r="N121" s="2244"/>
      <c r="O121" s="2244"/>
      <c r="P121" s="2244"/>
      <c r="Q121" s="2246"/>
      <c r="R121" s="2246"/>
      <c r="S121" s="2246"/>
      <c r="T121" s="2246"/>
      <c r="U121" s="2246"/>
      <c r="V121" s="2246"/>
      <c r="W121" s="2246"/>
      <c r="X121" s="2246"/>
      <c r="Y121" s="2246"/>
      <c r="Z121" s="2246"/>
      <c r="AA121" s="2246"/>
      <c r="AB121" s="2246"/>
      <c r="AC121" s="2246"/>
      <c r="AD121" s="2246"/>
      <c r="AE121" s="2246"/>
      <c r="AF121" s="2246"/>
      <c r="AG121" s="2246"/>
      <c r="AH121" s="2246"/>
      <c r="AI121" s="2246"/>
      <c r="AJ121" s="2246"/>
      <c r="AK121" s="2246"/>
      <c r="AL121" s="2246"/>
      <c r="AM121" s="2246"/>
      <c r="AN121" s="2246"/>
      <c r="AO121" s="2246"/>
      <c r="AP121" s="2246"/>
      <c r="AQ121" s="2246"/>
      <c r="AR121" s="2246"/>
      <c r="AS121" s="2244"/>
      <c r="AT121" s="2244"/>
      <c r="AU121" s="2244"/>
      <c r="AV121" s="2244"/>
      <c r="AW121" s="2244"/>
      <c r="AX121" s="2244"/>
      <c r="AY121" s="2244"/>
      <c r="AZ121" s="2244"/>
      <c r="BA121" s="2244"/>
      <c r="BB121" s="2244"/>
      <c r="BC121" s="2244"/>
      <c r="BD121" s="2244"/>
      <c r="BE121" s="2244"/>
      <c r="BF121" s="2246"/>
      <c r="BG121" s="2246"/>
      <c r="BH121" s="2246"/>
      <c r="BI121" s="2246"/>
      <c r="BJ121" s="2246"/>
      <c r="BK121" s="2246"/>
      <c r="BL121" s="2246"/>
      <c r="BM121" s="2246"/>
      <c r="BN121" s="2246"/>
      <c r="BO121" s="2246"/>
      <c r="BP121" s="2246"/>
      <c r="BQ121" s="2246"/>
      <c r="BR121" s="2246"/>
      <c r="BS121" s="2244"/>
      <c r="BT121" s="2244"/>
      <c r="BU121" s="2244"/>
      <c r="BV121" s="2244"/>
      <c r="BW121" s="2244"/>
      <c r="BX121" s="2246"/>
      <c r="BY121" s="2246"/>
      <c r="BZ121" s="2246"/>
      <c r="CA121" s="2246"/>
      <c r="CB121" s="2246"/>
      <c r="CC121" s="2246"/>
      <c r="CD121" s="2246"/>
      <c r="CE121" s="2246"/>
      <c r="CF121" s="2246"/>
      <c r="CG121" s="2246"/>
      <c r="CH121" s="2246"/>
      <c r="CI121" s="2246"/>
      <c r="CJ121" s="2246"/>
      <c r="CK121" s="2246"/>
      <c r="CL121" s="2246"/>
      <c r="CM121" s="2246"/>
      <c r="CN121" s="2246"/>
      <c r="CO121" s="2246"/>
      <c r="CP121" s="2246"/>
      <c r="CQ121" s="2246"/>
      <c r="CR121" s="2246"/>
      <c r="CS121" s="2248"/>
      <c r="CT121" s="2248"/>
      <c r="CU121" s="2248"/>
      <c r="CV121" s="2248"/>
      <c r="CW121" s="2248"/>
      <c r="CX121" s="2248"/>
      <c r="CY121" s="2248"/>
      <c r="CZ121" s="2248"/>
      <c r="DA121" s="2248"/>
      <c r="DB121" s="2248"/>
      <c r="DC121" s="2248"/>
      <c r="DD121" s="2249"/>
      <c r="DE121" s="2249"/>
      <c r="DF121" s="2249"/>
      <c r="DG121" s="2249"/>
      <c r="DH121" s="2249"/>
      <c r="DI121" s="2249"/>
      <c r="DJ121" s="2249"/>
      <c r="DK121" s="2249"/>
      <c r="DL121" s="2249"/>
      <c r="DM121" s="2249"/>
      <c r="DN121" s="2249"/>
      <c r="DO121" s="2249"/>
      <c r="DP121" s="2249"/>
      <c r="DQ121" s="2249"/>
      <c r="DR121" s="2249"/>
      <c r="DS121" s="2249"/>
      <c r="DT121" s="2249"/>
      <c r="DU121" s="2249"/>
      <c r="DV121" s="2249"/>
      <c r="DW121" s="2249"/>
      <c r="DX121" s="2249"/>
      <c r="DY121" s="2249"/>
      <c r="DZ121" s="2249"/>
      <c r="EA121" s="2249"/>
      <c r="EB121" s="2249"/>
      <c r="EC121" s="2249"/>
      <c r="ED121" s="2249"/>
      <c r="EE121" s="2249"/>
      <c r="EF121" s="2248"/>
      <c r="EG121" s="2248"/>
    </row>
    <row r="122" spans="1:137" ht="18.899999999999999" customHeight="1">
      <c r="A122" s="2244"/>
      <c r="B122" s="2244"/>
      <c r="C122" s="2245"/>
      <c r="D122" s="2245"/>
      <c r="E122" s="2245"/>
      <c r="F122" s="2245"/>
      <c r="G122" s="2245"/>
      <c r="H122" s="2245"/>
      <c r="I122" s="2244"/>
      <c r="J122" s="2244"/>
      <c r="K122" s="2246"/>
      <c r="L122" s="2244"/>
      <c r="M122" s="2244"/>
      <c r="N122" s="2244"/>
      <c r="O122" s="2244"/>
      <c r="P122" s="2244"/>
      <c r="Q122" s="2246"/>
      <c r="R122" s="2246"/>
      <c r="S122" s="2246"/>
      <c r="T122" s="2246"/>
      <c r="U122" s="2246"/>
      <c r="V122" s="2246"/>
      <c r="W122" s="2246"/>
      <c r="X122" s="2246"/>
      <c r="Y122" s="2246"/>
      <c r="Z122" s="2246"/>
      <c r="AA122" s="2246"/>
      <c r="AB122" s="2246"/>
      <c r="AC122" s="2246"/>
      <c r="AD122" s="2246"/>
      <c r="AE122" s="2246"/>
      <c r="AF122" s="2246"/>
      <c r="AG122" s="2246"/>
      <c r="AH122" s="2246"/>
      <c r="AI122" s="2246"/>
      <c r="AJ122" s="2246"/>
      <c r="AK122" s="2246"/>
      <c r="AL122" s="2246"/>
      <c r="AM122" s="2246"/>
      <c r="AN122" s="2246"/>
      <c r="AO122" s="2246"/>
      <c r="AP122" s="2246"/>
      <c r="AQ122" s="2246"/>
      <c r="AR122" s="2246"/>
      <c r="AS122" s="2244"/>
      <c r="AT122" s="2244"/>
      <c r="AU122" s="2244"/>
      <c r="AV122" s="2244"/>
      <c r="AW122" s="2244"/>
      <c r="AX122" s="2244"/>
      <c r="AY122" s="2244"/>
      <c r="AZ122" s="2244"/>
      <c r="BA122" s="2244"/>
      <c r="BB122" s="2244"/>
      <c r="BC122" s="2244"/>
      <c r="BD122" s="2244"/>
      <c r="BE122" s="2244"/>
      <c r="BF122" s="2246"/>
      <c r="BG122" s="2246"/>
      <c r="BH122" s="2246"/>
      <c r="BI122" s="2246"/>
      <c r="BJ122" s="2246"/>
      <c r="BK122" s="2246"/>
      <c r="BL122" s="2246"/>
      <c r="BM122" s="2246"/>
      <c r="BN122" s="2246"/>
      <c r="BO122" s="2246"/>
      <c r="BP122" s="2246"/>
      <c r="BQ122" s="2246"/>
      <c r="BR122" s="2246"/>
      <c r="BS122" s="2244"/>
      <c r="BT122" s="2244"/>
      <c r="BU122" s="2244"/>
      <c r="BV122" s="2244"/>
      <c r="BW122" s="2244"/>
      <c r="BX122" s="2246"/>
      <c r="BY122" s="2246"/>
      <c r="BZ122" s="2246"/>
      <c r="CA122" s="2246"/>
      <c r="CB122" s="2246"/>
      <c r="CC122" s="2246"/>
      <c r="CD122" s="2246"/>
      <c r="CE122" s="2246"/>
      <c r="CF122" s="2246"/>
      <c r="CG122" s="2246"/>
      <c r="CH122" s="2246"/>
      <c r="CI122" s="2246"/>
      <c r="CJ122" s="2246"/>
      <c r="CK122" s="2246"/>
      <c r="CL122" s="2246"/>
      <c r="CM122" s="2246"/>
      <c r="CN122" s="2246"/>
      <c r="CO122" s="2246"/>
      <c r="CP122" s="2246"/>
      <c r="CQ122" s="2246"/>
      <c r="CR122" s="2246"/>
      <c r="CS122" s="2248"/>
      <c r="CT122" s="2248"/>
      <c r="CU122" s="2248"/>
      <c r="CV122" s="2248"/>
      <c r="CW122" s="2248"/>
      <c r="CX122" s="2248"/>
      <c r="CY122" s="2248"/>
      <c r="CZ122" s="2248"/>
      <c r="DA122" s="2248"/>
      <c r="DB122" s="2248"/>
      <c r="DC122" s="2248"/>
      <c r="DD122" s="2249"/>
      <c r="DE122" s="2249"/>
      <c r="DF122" s="2249"/>
      <c r="DG122" s="2249"/>
      <c r="DH122" s="2249"/>
      <c r="DI122" s="2249"/>
      <c r="DJ122" s="2249"/>
      <c r="DK122" s="2249"/>
      <c r="DL122" s="2249"/>
      <c r="DM122" s="2249"/>
      <c r="DN122" s="2249"/>
      <c r="DO122" s="2249"/>
      <c r="DP122" s="2249"/>
      <c r="DQ122" s="2249"/>
      <c r="DR122" s="2249"/>
      <c r="DS122" s="2249"/>
      <c r="DT122" s="2249"/>
      <c r="DU122" s="2249"/>
      <c r="DV122" s="2249"/>
      <c r="DW122" s="2249"/>
      <c r="DX122" s="2249"/>
      <c r="DY122" s="2249"/>
      <c r="DZ122" s="2249"/>
      <c r="EA122" s="2249"/>
      <c r="EB122" s="2249"/>
      <c r="EC122" s="2249"/>
      <c r="ED122" s="2249"/>
      <c r="EE122" s="2249"/>
      <c r="EF122" s="2248"/>
      <c r="EG122" s="2248"/>
    </row>
    <row r="123" spans="1:137" ht="18.899999999999999" customHeight="1">
      <c r="A123" s="2244"/>
      <c r="B123" s="2244"/>
      <c r="C123" s="2245"/>
      <c r="D123" s="2245"/>
      <c r="E123" s="2245"/>
      <c r="F123" s="2245"/>
      <c r="G123" s="2245"/>
      <c r="H123" s="2245"/>
      <c r="I123" s="2244"/>
      <c r="J123" s="2244"/>
      <c r="K123" s="2246"/>
      <c r="L123" s="2244"/>
      <c r="M123" s="2244"/>
      <c r="N123" s="2244"/>
      <c r="O123" s="2244"/>
      <c r="P123" s="2244"/>
      <c r="Q123" s="2246"/>
      <c r="R123" s="2246"/>
      <c r="S123" s="2246"/>
      <c r="T123" s="2246"/>
      <c r="U123" s="2246"/>
      <c r="V123" s="2246"/>
      <c r="W123" s="2246"/>
      <c r="X123" s="2246"/>
      <c r="Y123" s="2246"/>
      <c r="Z123" s="2246"/>
      <c r="AA123" s="2246"/>
      <c r="AB123" s="2246"/>
      <c r="AC123" s="2246"/>
      <c r="AD123" s="2246"/>
      <c r="AE123" s="2246"/>
      <c r="AF123" s="2246"/>
      <c r="AG123" s="2246"/>
      <c r="AH123" s="2246"/>
      <c r="AI123" s="2246"/>
      <c r="AJ123" s="2246"/>
      <c r="AK123" s="2246"/>
      <c r="AL123" s="2246"/>
      <c r="AM123" s="2246"/>
      <c r="AN123" s="2246"/>
      <c r="AO123" s="2246"/>
      <c r="AP123" s="2246"/>
      <c r="AQ123" s="2246"/>
      <c r="AR123" s="2246"/>
      <c r="AS123" s="2244"/>
      <c r="AT123" s="2244"/>
      <c r="AU123" s="2244"/>
      <c r="AV123" s="2244"/>
      <c r="AW123" s="2244"/>
      <c r="AX123" s="2244"/>
      <c r="AY123" s="2244"/>
      <c r="AZ123" s="2244"/>
      <c r="BA123" s="2244"/>
      <c r="BB123" s="2244"/>
      <c r="BC123" s="2244"/>
      <c r="BD123" s="2244"/>
      <c r="BE123" s="2244"/>
      <c r="BF123" s="2246"/>
      <c r="BG123" s="2246"/>
      <c r="BH123" s="2246"/>
      <c r="BI123" s="2246"/>
      <c r="BJ123" s="2246"/>
      <c r="BK123" s="2246"/>
      <c r="BL123" s="2246"/>
      <c r="BM123" s="2246"/>
      <c r="BN123" s="2246"/>
      <c r="BO123" s="2246"/>
      <c r="BP123" s="2246"/>
      <c r="BQ123" s="2246"/>
      <c r="BR123" s="2246"/>
      <c r="BS123" s="2244"/>
      <c r="BT123" s="2244"/>
      <c r="BU123" s="2244"/>
      <c r="BV123" s="2244"/>
      <c r="BW123" s="2244"/>
      <c r="BX123" s="2246"/>
      <c r="BY123" s="2246"/>
      <c r="BZ123" s="2246"/>
      <c r="CA123" s="2246"/>
      <c r="CB123" s="2246"/>
      <c r="CC123" s="2246"/>
      <c r="CD123" s="2246"/>
      <c r="CE123" s="2246"/>
      <c r="CF123" s="2246"/>
      <c r="CG123" s="2246"/>
      <c r="CH123" s="2246"/>
      <c r="CI123" s="2246"/>
      <c r="CJ123" s="2246"/>
      <c r="CK123" s="2246"/>
      <c r="CL123" s="2246"/>
      <c r="CM123" s="2246"/>
      <c r="CN123" s="2246"/>
      <c r="CO123" s="2246"/>
      <c r="CP123" s="2246"/>
      <c r="CQ123" s="2246"/>
      <c r="CR123" s="2246"/>
      <c r="CS123" s="2248"/>
      <c r="CT123" s="2248"/>
      <c r="CU123" s="2248"/>
      <c r="CV123" s="2248"/>
      <c r="CW123" s="2248"/>
      <c r="CX123" s="2248"/>
      <c r="CY123" s="2248"/>
      <c r="CZ123" s="2248"/>
      <c r="DA123" s="2248"/>
      <c r="DB123" s="2248"/>
      <c r="DC123" s="2248"/>
      <c r="DD123" s="2249"/>
      <c r="DE123" s="2249"/>
      <c r="DF123" s="2249"/>
      <c r="DG123" s="2249"/>
      <c r="DH123" s="2249"/>
      <c r="DI123" s="2249"/>
      <c r="DJ123" s="2249"/>
      <c r="DK123" s="2249"/>
      <c r="DL123" s="2249"/>
      <c r="DM123" s="2249"/>
      <c r="DN123" s="2249"/>
      <c r="DO123" s="2249"/>
      <c r="DP123" s="2249"/>
      <c r="DQ123" s="2249"/>
      <c r="DR123" s="2249"/>
      <c r="DS123" s="2249"/>
      <c r="DT123" s="2249"/>
      <c r="DU123" s="2249"/>
      <c r="DV123" s="2249"/>
      <c r="DW123" s="2249"/>
      <c r="DX123" s="2249"/>
      <c r="DY123" s="2249"/>
      <c r="DZ123" s="2249"/>
      <c r="EA123" s="2249"/>
      <c r="EB123" s="2249"/>
      <c r="EC123" s="2249"/>
      <c r="ED123" s="2249"/>
      <c r="EE123" s="2249"/>
      <c r="EF123" s="2248"/>
      <c r="EG123" s="2248"/>
    </row>
    <row r="124" spans="1:137" ht="18.899999999999999" customHeight="1">
      <c r="A124" s="2244"/>
      <c r="B124" s="2244"/>
      <c r="C124" s="2245"/>
      <c r="D124" s="2245"/>
      <c r="E124" s="2245"/>
      <c r="F124" s="2245"/>
      <c r="G124" s="2245"/>
      <c r="H124" s="2245"/>
      <c r="I124" s="2244"/>
      <c r="J124" s="2244"/>
      <c r="K124" s="2246"/>
      <c r="L124" s="2244"/>
      <c r="M124" s="2244"/>
      <c r="N124" s="2244"/>
      <c r="O124" s="2244"/>
      <c r="P124" s="2244"/>
      <c r="Q124" s="2246"/>
      <c r="R124" s="2246"/>
      <c r="S124" s="2246"/>
      <c r="T124" s="2246"/>
      <c r="U124" s="2246"/>
      <c r="V124" s="2246"/>
      <c r="W124" s="2246"/>
      <c r="X124" s="2246"/>
      <c r="Y124" s="2246"/>
      <c r="Z124" s="2246"/>
      <c r="AA124" s="2246"/>
      <c r="AB124" s="2246"/>
      <c r="AC124" s="2246"/>
      <c r="AD124" s="2246"/>
      <c r="AE124" s="2246"/>
      <c r="AF124" s="2246"/>
      <c r="AG124" s="2246"/>
      <c r="AH124" s="2246"/>
      <c r="AI124" s="2246"/>
      <c r="AJ124" s="2246"/>
      <c r="AK124" s="2246"/>
      <c r="AL124" s="2246"/>
      <c r="AM124" s="2246"/>
      <c r="AN124" s="2246"/>
      <c r="AO124" s="2246"/>
      <c r="AP124" s="2246"/>
      <c r="AQ124" s="2246"/>
      <c r="AR124" s="2246"/>
      <c r="AS124" s="2244"/>
      <c r="AT124" s="2244"/>
      <c r="AU124" s="2244"/>
      <c r="AV124" s="2244"/>
      <c r="AW124" s="2244"/>
      <c r="AX124" s="2244"/>
      <c r="AY124" s="2244"/>
      <c r="AZ124" s="2244"/>
      <c r="BA124" s="2244"/>
      <c r="BB124" s="2244"/>
      <c r="BC124" s="2244"/>
      <c r="BD124" s="2244"/>
      <c r="BE124" s="2244"/>
      <c r="BF124" s="2246"/>
      <c r="BG124" s="2246"/>
      <c r="BH124" s="2246"/>
      <c r="BI124" s="2246"/>
      <c r="BJ124" s="2246"/>
      <c r="BK124" s="2246"/>
      <c r="BL124" s="2246"/>
      <c r="BM124" s="2246"/>
      <c r="BN124" s="2246"/>
      <c r="BO124" s="2246"/>
      <c r="BP124" s="2246"/>
      <c r="BQ124" s="2246"/>
      <c r="BR124" s="2246"/>
      <c r="BS124" s="2244"/>
      <c r="BT124" s="2244"/>
      <c r="BU124" s="2244"/>
      <c r="BV124" s="2244"/>
      <c r="BW124" s="2244"/>
      <c r="BX124" s="2246"/>
      <c r="BY124" s="2246"/>
      <c r="BZ124" s="2246"/>
      <c r="CA124" s="2246"/>
      <c r="CB124" s="2246"/>
      <c r="CC124" s="2246"/>
      <c r="CD124" s="2246"/>
      <c r="CE124" s="2246"/>
      <c r="CF124" s="2246"/>
      <c r="CG124" s="2246"/>
      <c r="CH124" s="2246"/>
      <c r="CI124" s="2246"/>
      <c r="CJ124" s="2246"/>
      <c r="CK124" s="2246"/>
      <c r="CL124" s="2246"/>
      <c r="CM124" s="2246"/>
      <c r="CN124" s="2246"/>
      <c r="CO124" s="2246"/>
      <c r="CP124" s="2246"/>
      <c r="CQ124" s="2246"/>
      <c r="CR124" s="2246"/>
      <c r="CS124" s="2248"/>
      <c r="CT124" s="2248"/>
      <c r="CU124" s="2248"/>
      <c r="CV124" s="2248"/>
      <c r="CW124" s="2248"/>
      <c r="CX124" s="2248"/>
      <c r="CY124" s="2248"/>
      <c r="CZ124" s="2248"/>
      <c r="DA124" s="2248"/>
      <c r="DB124" s="2248"/>
      <c r="DC124" s="2248"/>
      <c r="DD124" s="2249"/>
      <c r="DE124" s="2249"/>
      <c r="DF124" s="2249"/>
      <c r="DG124" s="2249"/>
      <c r="DH124" s="2249"/>
      <c r="DI124" s="2249"/>
      <c r="DJ124" s="2249"/>
      <c r="DK124" s="2249"/>
      <c r="DL124" s="2249"/>
      <c r="DM124" s="2249"/>
      <c r="DN124" s="2249"/>
      <c r="DO124" s="2249"/>
      <c r="DP124" s="2249"/>
      <c r="DQ124" s="2249"/>
      <c r="DR124" s="2249"/>
      <c r="DS124" s="2249"/>
      <c r="DT124" s="2249"/>
      <c r="DU124" s="2249"/>
      <c r="DV124" s="2249"/>
      <c r="DW124" s="2249"/>
      <c r="DX124" s="2249"/>
      <c r="DY124" s="2249"/>
      <c r="DZ124" s="2249"/>
      <c r="EA124" s="2249"/>
      <c r="EB124" s="2249"/>
      <c r="EC124" s="2249"/>
      <c r="ED124" s="2249"/>
      <c r="EE124" s="2249"/>
      <c r="EF124" s="2248"/>
      <c r="EG124" s="2248"/>
    </row>
    <row r="125" spans="1:137" ht="18.899999999999999" customHeight="1">
      <c r="A125" s="2244"/>
      <c r="B125" s="2244"/>
      <c r="C125" s="2245"/>
      <c r="D125" s="2245"/>
      <c r="E125" s="2245"/>
      <c r="F125" s="2245"/>
      <c r="G125" s="2245"/>
      <c r="H125" s="2245"/>
      <c r="I125" s="2244"/>
      <c r="J125" s="2244"/>
      <c r="K125" s="2246"/>
      <c r="L125" s="2244"/>
      <c r="M125" s="2244"/>
      <c r="N125" s="2244"/>
      <c r="O125" s="2244"/>
      <c r="P125" s="2244"/>
      <c r="Q125" s="2246"/>
      <c r="R125" s="2246"/>
      <c r="S125" s="2246"/>
      <c r="T125" s="2246"/>
      <c r="U125" s="2246"/>
      <c r="V125" s="2246"/>
      <c r="W125" s="2246"/>
      <c r="X125" s="2246"/>
      <c r="Y125" s="2246"/>
      <c r="Z125" s="2246"/>
      <c r="AA125" s="2246"/>
      <c r="AB125" s="2246"/>
      <c r="AC125" s="2246"/>
      <c r="AD125" s="2246"/>
      <c r="AE125" s="2246"/>
      <c r="AF125" s="2246"/>
      <c r="AG125" s="2246"/>
      <c r="AH125" s="2246"/>
      <c r="AI125" s="2246"/>
      <c r="AJ125" s="2246"/>
      <c r="AK125" s="2246"/>
      <c r="AL125" s="2246"/>
      <c r="AM125" s="2246"/>
      <c r="AN125" s="2246"/>
      <c r="AO125" s="2246"/>
      <c r="AP125" s="2246"/>
      <c r="AQ125" s="2246"/>
      <c r="AR125" s="2246"/>
      <c r="AS125" s="2244"/>
      <c r="AT125" s="2244"/>
      <c r="AU125" s="2244"/>
      <c r="AV125" s="2244"/>
      <c r="AW125" s="2244"/>
      <c r="AX125" s="2244"/>
      <c r="AY125" s="2244"/>
      <c r="AZ125" s="2244"/>
      <c r="BA125" s="2244"/>
      <c r="BB125" s="2244"/>
      <c r="BC125" s="2244"/>
      <c r="BD125" s="2244"/>
      <c r="BE125" s="2244"/>
      <c r="BF125" s="2246"/>
      <c r="BG125" s="2246"/>
      <c r="BH125" s="2246"/>
      <c r="BI125" s="2246"/>
      <c r="BJ125" s="2246"/>
      <c r="BK125" s="2246"/>
      <c r="BL125" s="2246"/>
      <c r="BM125" s="2246"/>
      <c r="BN125" s="2246"/>
      <c r="BO125" s="2246"/>
      <c r="BP125" s="2246"/>
      <c r="BQ125" s="2246"/>
      <c r="BR125" s="2246"/>
      <c r="BS125" s="2244"/>
      <c r="BT125" s="2244"/>
      <c r="BU125" s="2244"/>
      <c r="BV125" s="2244"/>
      <c r="BW125" s="2244"/>
      <c r="BX125" s="2246"/>
      <c r="BY125" s="2246"/>
      <c r="BZ125" s="2246"/>
      <c r="CA125" s="2246"/>
      <c r="CB125" s="2246"/>
      <c r="CC125" s="2246"/>
      <c r="CD125" s="2246"/>
      <c r="CE125" s="2246"/>
      <c r="CF125" s="2246"/>
      <c r="CG125" s="2246"/>
      <c r="CH125" s="2246"/>
      <c r="CI125" s="2246"/>
      <c r="CJ125" s="2246"/>
      <c r="CK125" s="2246"/>
      <c r="CL125" s="2246"/>
      <c r="CM125" s="2246"/>
      <c r="CN125" s="2246"/>
      <c r="CO125" s="2246"/>
      <c r="CP125" s="2246"/>
      <c r="CQ125" s="2246"/>
      <c r="CR125" s="2246"/>
      <c r="CS125" s="2248"/>
      <c r="CT125" s="2248"/>
      <c r="CU125" s="2248"/>
      <c r="CV125" s="2248"/>
      <c r="CW125" s="2248"/>
      <c r="CX125" s="2248"/>
      <c r="CY125" s="2248"/>
      <c r="CZ125" s="2248"/>
      <c r="DA125" s="2248"/>
      <c r="DB125" s="2248"/>
      <c r="DC125" s="2248"/>
      <c r="DD125" s="2249"/>
      <c r="DE125" s="2249"/>
      <c r="DF125" s="2249"/>
      <c r="DG125" s="2249"/>
      <c r="DH125" s="2249"/>
      <c r="DI125" s="2249"/>
      <c r="DJ125" s="2249"/>
      <c r="DK125" s="2249"/>
      <c r="DL125" s="2249"/>
      <c r="DM125" s="2249"/>
      <c r="DN125" s="2249"/>
      <c r="DO125" s="2249"/>
      <c r="DP125" s="2249"/>
      <c r="DQ125" s="2249"/>
      <c r="DR125" s="2249"/>
      <c r="DS125" s="2249"/>
      <c r="DT125" s="2249"/>
      <c r="DU125" s="2249"/>
      <c r="DV125" s="2249"/>
      <c r="DW125" s="2249"/>
      <c r="DX125" s="2249"/>
      <c r="DY125" s="2249"/>
      <c r="DZ125" s="2249"/>
      <c r="EA125" s="2249"/>
      <c r="EB125" s="2249"/>
      <c r="EC125" s="2249"/>
      <c r="ED125" s="2249"/>
      <c r="EE125" s="2249"/>
      <c r="EF125" s="2248"/>
      <c r="EG125" s="2248"/>
    </row>
    <row r="126" spans="1:137" ht="18.899999999999999" customHeight="1">
      <c r="A126" s="2244"/>
      <c r="B126" s="2244"/>
      <c r="C126" s="2245"/>
      <c r="D126" s="2245"/>
      <c r="E126" s="2245"/>
      <c r="F126" s="2245"/>
      <c r="G126" s="2245"/>
      <c r="H126" s="2245"/>
      <c r="I126" s="2244"/>
      <c r="J126" s="2244"/>
      <c r="K126" s="2246"/>
      <c r="L126" s="2244"/>
      <c r="M126" s="2244"/>
      <c r="N126" s="2244"/>
      <c r="O126" s="2244"/>
      <c r="P126" s="2244"/>
      <c r="Q126" s="2246"/>
      <c r="R126" s="2246"/>
      <c r="S126" s="2246"/>
      <c r="T126" s="2246"/>
      <c r="U126" s="2246"/>
      <c r="V126" s="2246"/>
      <c r="W126" s="2246"/>
      <c r="X126" s="2246"/>
      <c r="Y126" s="2246"/>
      <c r="Z126" s="2246"/>
      <c r="AA126" s="2246"/>
      <c r="AB126" s="2246"/>
      <c r="AC126" s="2246"/>
      <c r="AD126" s="2246"/>
      <c r="AE126" s="2246"/>
      <c r="AF126" s="2246"/>
      <c r="AG126" s="2246"/>
      <c r="AH126" s="2246"/>
      <c r="AI126" s="2246"/>
      <c r="AJ126" s="2246"/>
      <c r="AK126" s="2246"/>
      <c r="AL126" s="2246"/>
      <c r="AM126" s="2246"/>
      <c r="AN126" s="2246"/>
      <c r="AO126" s="2246"/>
      <c r="AP126" s="2246"/>
      <c r="AQ126" s="2246"/>
      <c r="AR126" s="2246"/>
      <c r="AS126" s="2244"/>
      <c r="AT126" s="2244"/>
      <c r="AU126" s="2244"/>
      <c r="AV126" s="2244"/>
      <c r="AW126" s="2244"/>
      <c r="AX126" s="2244"/>
      <c r="AY126" s="2244"/>
      <c r="AZ126" s="2244"/>
      <c r="BA126" s="2244"/>
      <c r="BB126" s="2244"/>
      <c r="BC126" s="2244"/>
      <c r="BD126" s="2244"/>
      <c r="BE126" s="2244"/>
      <c r="BF126" s="2246"/>
      <c r="BG126" s="2246"/>
      <c r="BH126" s="2246"/>
      <c r="BI126" s="2246"/>
      <c r="BJ126" s="2246"/>
      <c r="BK126" s="2246"/>
      <c r="BL126" s="2246"/>
      <c r="BM126" s="2246"/>
      <c r="BN126" s="2246"/>
      <c r="BO126" s="2246"/>
      <c r="BP126" s="2246"/>
      <c r="BQ126" s="2246"/>
      <c r="BR126" s="2246"/>
      <c r="BS126" s="2244"/>
      <c r="BT126" s="2244"/>
      <c r="BU126" s="2244"/>
      <c r="BV126" s="2244"/>
      <c r="BW126" s="2244"/>
      <c r="BX126" s="2246"/>
      <c r="BY126" s="2246"/>
      <c r="BZ126" s="2246"/>
      <c r="CA126" s="2246"/>
      <c r="CB126" s="2246"/>
      <c r="CC126" s="2246"/>
      <c r="CD126" s="2246"/>
      <c r="CE126" s="2246"/>
      <c r="CF126" s="2246"/>
      <c r="CG126" s="2246"/>
      <c r="CH126" s="2246"/>
      <c r="CI126" s="2246"/>
      <c r="CJ126" s="2246"/>
      <c r="CK126" s="2246"/>
      <c r="CL126" s="2246"/>
      <c r="CM126" s="2246"/>
      <c r="CN126" s="2246"/>
      <c r="CO126" s="2246"/>
      <c r="CP126" s="2246"/>
      <c r="CQ126" s="2246"/>
      <c r="CR126" s="2246"/>
      <c r="CS126" s="2248"/>
      <c r="CT126" s="2248"/>
      <c r="CU126" s="2248"/>
      <c r="CV126" s="2248"/>
      <c r="CW126" s="2248"/>
      <c r="CX126" s="2248"/>
      <c r="CY126" s="2248"/>
      <c r="CZ126" s="2248"/>
      <c r="DA126" s="2248"/>
      <c r="DB126" s="2248"/>
      <c r="DC126" s="2248"/>
      <c r="DD126" s="2249"/>
      <c r="DE126" s="2249"/>
      <c r="DF126" s="2249"/>
      <c r="DG126" s="2249"/>
      <c r="DH126" s="2249"/>
      <c r="DI126" s="2249"/>
      <c r="DJ126" s="2249"/>
      <c r="DK126" s="2249"/>
      <c r="DL126" s="2249"/>
      <c r="DM126" s="2249"/>
      <c r="DN126" s="2249"/>
      <c r="DO126" s="2249"/>
      <c r="DP126" s="2249"/>
      <c r="DQ126" s="2249"/>
      <c r="DR126" s="2249"/>
      <c r="DS126" s="2249"/>
      <c r="DT126" s="2249"/>
      <c r="DU126" s="2249"/>
      <c r="DV126" s="2249"/>
      <c r="DW126" s="2249"/>
      <c r="DX126" s="2249"/>
      <c r="DY126" s="2249"/>
      <c r="DZ126" s="2249"/>
      <c r="EA126" s="2249"/>
      <c r="EB126" s="2249"/>
      <c r="EC126" s="2249"/>
      <c r="ED126" s="2249"/>
      <c r="EE126" s="2249"/>
      <c r="EF126" s="2248"/>
      <c r="EG126" s="2248"/>
    </row>
    <row r="127" spans="1:137" ht="18.899999999999999" customHeight="1">
      <c r="A127" s="2244"/>
      <c r="B127" s="2244"/>
      <c r="C127" s="2245"/>
      <c r="D127" s="2245"/>
      <c r="E127" s="2245"/>
      <c r="F127" s="2245"/>
      <c r="G127" s="2245"/>
      <c r="H127" s="2245"/>
      <c r="I127" s="2244"/>
      <c r="J127" s="2244"/>
      <c r="K127" s="2246"/>
      <c r="L127" s="2244"/>
      <c r="M127" s="2244"/>
      <c r="N127" s="2244"/>
      <c r="O127" s="2244"/>
      <c r="P127" s="2244"/>
      <c r="Q127" s="2246"/>
      <c r="R127" s="2246"/>
      <c r="S127" s="2246"/>
      <c r="T127" s="2246"/>
      <c r="U127" s="2246"/>
      <c r="V127" s="2246"/>
      <c r="W127" s="2246"/>
      <c r="X127" s="2246"/>
      <c r="Y127" s="2246"/>
      <c r="Z127" s="2246"/>
      <c r="AA127" s="2246"/>
      <c r="AB127" s="2246"/>
      <c r="AC127" s="2246"/>
      <c r="AD127" s="2246"/>
      <c r="AE127" s="2246"/>
      <c r="AF127" s="2246"/>
      <c r="AG127" s="2246"/>
      <c r="AH127" s="2246"/>
      <c r="AI127" s="2246"/>
      <c r="AJ127" s="2246"/>
      <c r="AK127" s="2246"/>
      <c r="AL127" s="2246"/>
      <c r="AM127" s="2246"/>
      <c r="AN127" s="2246"/>
      <c r="AO127" s="2246"/>
      <c r="AP127" s="2246"/>
      <c r="AQ127" s="2246"/>
      <c r="AR127" s="2246"/>
      <c r="AS127" s="2244"/>
      <c r="AT127" s="2244"/>
      <c r="AU127" s="2244"/>
      <c r="AV127" s="2244"/>
      <c r="AW127" s="2244"/>
      <c r="AX127" s="2244"/>
      <c r="AY127" s="2244"/>
      <c r="AZ127" s="2244"/>
      <c r="BA127" s="2244"/>
      <c r="BB127" s="2244"/>
      <c r="BC127" s="2244"/>
      <c r="BD127" s="2244"/>
      <c r="BE127" s="2244"/>
      <c r="BF127" s="2246"/>
      <c r="BG127" s="2246"/>
      <c r="BH127" s="2246"/>
      <c r="BI127" s="2246"/>
      <c r="BJ127" s="2246"/>
      <c r="BK127" s="2246"/>
      <c r="BL127" s="2246"/>
      <c r="BM127" s="2246"/>
      <c r="BN127" s="2246"/>
      <c r="BO127" s="2246"/>
      <c r="BP127" s="2246"/>
      <c r="BQ127" s="2246"/>
      <c r="BR127" s="2246"/>
      <c r="BS127" s="2244"/>
      <c r="BT127" s="2244"/>
      <c r="BU127" s="2244"/>
      <c r="BV127" s="2244"/>
      <c r="BW127" s="2244"/>
      <c r="BX127" s="2246"/>
      <c r="BY127" s="2246"/>
      <c r="BZ127" s="2246"/>
      <c r="CA127" s="2246"/>
      <c r="CB127" s="2246"/>
      <c r="CC127" s="2246"/>
      <c r="CD127" s="2246"/>
      <c r="CE127" s="2246"/>
      <c r="CF127" s="2246"/>
      <c r="CG127" s="2246"/>
      <c r="CH127" s="2246"/>
      <c r="CI127" s="2246"/>
      <c r="CJ127" s="2246"/>
      <c r="CK127" s="2246"/>
      <c r="CL127" s="2246"/>
      <c r="CM127" s="2246"/>
      <c r="CN127" s="2246"/>
      <c r="CO127" s="2246"/>
      <c r="CP127" s="2246"/>
      <c r="CQ127" s="2246"/>
      <c r="CR127" s="2246"/>
      <c r="CS127" s="2248"/>
      <c r="CT127" s="2248"/>
      <c r="CU127" s="2248"/>
      <c r="CV127" s="2248"/>
      <c r="CW127" s="2248"/>
      <c r="CX127" s="2248"/>
      <c r="CY127" s="2248"/>
      <c r="CZ127" s="2248"/>
      <c r="DA127" s="2248"/>
      <c r="DB127" s="2248"/>
      <c r="DC127" s="2248"/>
      <c r="DD127" s="2249"/>
      <c r="DE127" s="2249"/>
      <c r="DF127" s="2249"/>
      <c r="DG127" s="2249"/>
      <c r="DH127" s="2249"/>
      <c r="DI127" s="2249"/>
      <c r="DJ127" s="2249"/>
      <c r="DK127" s="2249"/>
      <c r="DL127" s="2249"/>
      <c r="DM127" s="2249"/>
      <c r="DN127" s="2249"/>
      <c r="DO127" s="2249"/>
      <c r="DP127" s="2249"/>
      <c r="DQ127" s="2249"/>
      <c r="DR127" s="2249"/>
      <c r="DS127" s="2249"/>
      <c r="DT127" s="2249"/>
      <c r="DU127" s="2249"/>
      <c r="DV127" s="2249"/>
      <c r="DW127" s="2249"/>
      <c r="DX127" s="2249"/>
      <c r="DY127" s="2249"/>
      <c r="DZ127" s="2249"/>
      <c r="EA127" s="2249"/>
      <c r="EB127" s="2249"/>
      <c r="EC127" s="2249"/>
      <c r="ED127" s="2249"/>
      <c r="EE127" s="2249"/>
      <c r="EF127" s="2248"/>
      <c r="EG127" s="2248"/>
    </row>
    <row r="128" spans="1:137" ht="18.899999999999999" customHeight="1">
      <c r="A128" s="2244"/>
      <c r="B128" s="2244"/>
      <c r="C128" s="2245"/>
      <c r="D128" s="2245"/>
      <c r="E128" s="2245"/>
      <c r="F128" s="2245"/>
      <c r="G128" s="2245"/>
      <c r="H128" s="2245"/>
      <c r="I128" s="2244"/>
      <c r="J128" s="2244"/>
      <c r="K128" s="2246"/>
      <c r="L128" s="2244"/>
      <c r="M128" s="2244"/>
      <c r="N128" s="2244"/>
      <c r="O128" s="2244"/>
      <c r="P128" s="2244"/>
      <c r="Q128" s="2246"/>
      <c r="R128" s="2246"/>
      <c r="S128" s="2246"/>
      <c r="T128" s="2246"/>
      <c r="U128" s="2246"/>
      <c r="V128" s="2246"/>
      <c r="W128" s="2246"/>
      <c r="X128" s="2246"/>
      <c r="Y128" s="2246"/>
      <c r="Z128" s="2246"/>
      <c r="AA128" s="2246"/>
      <c r="AB128" s="2246"/>
      <c r="AC128" s="2246"/>
      <c r="AD128" s="2246"/>
      <c r="AE128" s="2246"/>
      <c r="AF128" s="2246"/>
      <c r="AG128" s="2246"/>
      <c r="AH128" s="2246"/>
      <c r="AI128" s="2246"/>
      <c r="AJ128" s="2246"/>
      <c r="AK128" s="2246"/>
      <c r="AL128" s="2246"/>
      <c r="AM128" s="2246"/>
      <c r="AN128" s="2246"/>
      <c r="AO128" s="2246"/>
      <c r="AP128" s="2246"/>
      <c r="AQ128" s="2246"/>
      <c r="AR128" s="2246"/>
      <c r="AS128" s="2244"/>
      <c r="AT128" s="2244"/>
      <c r="AU128" s="2244"/>
      <c r="AV128" s="2244"/>
      <c r="AW128" s="2244"/>
      <c r="AX128" s="2244"/>
      <c r="AY128" s="2244"/>
      <c r="AZ128" s="2244"/>
      <c r="BA128" s="2244"/>
      <c r="BB128" s="2244"/>
      <c r="BC128" s="2244"/>
      <c r="BD128" s="2244"/>
      <c r="BE128" s="2244"/>
      <c r="BF128" s="2246"/>
      <c r="BG128" s="2246"/>
      <c r="BH128" s="2246"/>
      <c r="BI128" s="2246"/>
      <c r="BJ128" s="2246"/>
      <c r="BK128" s="2246"/>
      <c r="BL128" s="2246"/>
      <c r="BM128" s="2246"/>
      <c r="BN128" s="2246"/>
      <c r="BO128" s="2246"/>
      <c r="BP128" s="2246"/>
      <c r="BQ128" s="2246"/>
      <c r="BR128" s="2246"/>
      <c r="BS128" s="2244"/>
      <c r="BT128" s="2244"/>
      <c r="BU128" s="2244"/>
      <c r="BV128" s="2244"/>
      <c r="BW128" s="2244"/>
      <c r="BX128" s="2246"/>
      <c r="BY128" s="2246"/>
      <c r="BZ128" s="2246"/>
      <c r="CA128" s="2246"/>
      <c r="CB128" s="2246"/>
      <c r="CC128" s="2246"/>
      <c r="CD128" s="2246"/>
      <c r="CE128" s="2246"/>
      <c r="CF128" s="2246"/>
      <c r="CG128" s="2246"/>
      <c r="CH128" s="2246"/>
      <c r="CI128" s="2246"/>
      <c r="CJ128" s="2246"/>
      <c r="CK128" s="2246"/>
      <c r="CL128" s="2246"/>
      <c r="CM128" s="2246"/>
      <c r="CN128" s="2246"/>
      <c r="CO128" s="2246"/>
      <c r="CP128" s="2246"/>
      <c r="CQ128" s="2246"/>
      <c r="CR128" s="2246"/>
      <c r="CS128" s="2248"/>
      <c r="CT128" s="2248"/>
      <c r="CU128" s="2248"/>
      <c r="CV128" s="2248"/>
      <c r="CW128" s="2248"/>
      <c r="CX128" s="2248"/>
      <c r="CY128" s="2248"/>
      <c r="CZ128" s="2248"/>
      <c r="DA128" s="2248"/>
      <c r="DB128" s="2248"/>
      <c r="DC128" s="2248"/>
      <c r="DD128" s="2249"/>
      <c r="DE128" s="2249"/>
      <c r="DF128" s="2249"/>
      <c r="DG128" s="2249"/>
      <c r="DH128" s="2249"/>
      <c r="DI128" s="2249"/>
      <c r="DJ128" s="2249"/>
      <c r="DK128" s="2249"/>
      <c r="DL128" s="2249"/>
      <c r="DM128" s="2249"/>
      <c r="DN128" s="2249"/>
      <c r="DO128" s="2249"/>
      <c r="DP128" s="2249"/>
      <c r="DQ128" s="2249"/>
      <c r="DR128" s="2249"/>
      <c r="DS128" s="2249"/>
      <c r="DT128" s="2249"/>
      <c r="DU128" s="2249"/>
      <c r="DV128" s="2249"/>
      <c r="DW128" s="2249"/>
      <c r="DX128" s="2249"/>
      <c r="DY128" s="2249"/>
      <c r="DZ128" s="2249"/>
      <c r="EA128" s="2249"/>
      <c r="EB128" s="2249"/>
      <c r="EC128" s="2249"/>
      <c r="ED128" s="2249"/>
      <c r="EE128" s="2249"/>
      <c r="EF128" s="2248"/>
      <c r="EG128" s="2248"/>
    </row>
    <row r="129" spans="1:137" ht="18.899999999999999" customHeight="1">
      <c r="A129" s="2244"/>
      <c r="B129" s="2244"/>
      <c r="C129" s="2245"/>
      <c r="D129" s="2245"/>
      <c r="E129" s="2245"/>
      <c r="F129" s="2245"/>
      <c r="G129" s="2245"/>
      <c r="H129" s="2245"/>
      <c r="I129" s="2244"/>
      <c r="J129" s="2244"/>
      <c r="K129" s="2246"/>
      <c r="L129" s="2244"/>
      <c r="M129" s="2244"/>
      <c r="N129" s="2244"/>
      <c r="O129" s="2244"/>
      <c r="P129" s="2244"/>
      <c r="Q129" s="2246"/>
      <c r="R129" s="2246"/>
      <c r="S129" s="2246"/>
      <c r="T129" s="2246"/>
      <c r="U129" s="2246"/>
      <c r="V129" s="2246"/>
      <c r="W129" s="2246"/>
      <c r="X129" s="2246"/>
      <c r="Y129" s="2246"/>
      <c r="Z129" s="2246"/>
      <c r="AA129" s="2246"/>
      <c r="AB129" s="2246"/>
      <c r="AC129" s="2246"/>
      <c r="AD129" s="2246"/>
      <c r="AE129" s="2246"/>
      <c r="AF129" s="2246"/>
      <c r="AG129" s="2246"/>
      <c r="AH129" s="2246"/>
      <c r="AI129" s="2246"/>
      <c r="AJ129" s="2246"/>
      <c r="AK129" s="2246"/>
      <c r="AL129" s="2246"/>
      <c r="AM129" s="2246"/>
      <c r="AN129" s="2246"/>
      <c r="AO129" s="2246"/>
      <c r="AP129" s="2246"/>
      <c r="AQ129" s="2246"/>
      <c r="AR129" s="2246"/>
      <c r="AS129" s="2244"/>
      <c r="AT129" s="2244"/>
      <c r="AU129" s="2244"/>
      <c r="AV129" s="2244"/>
      <c r="AW129" s="2244"/>
      <c r="AX129" s="2244"/>
      <c r="AY129" s="2244"/>
      <c r="AZ129" s="2244"/>
      <c r="BA129" s="2244"/>
      <c r="BB129" s="2244"/>
      <c r="BC129" s="2244"/>
      <c r="BD129" s="2244"/>
      <c r="BE129" s="2244"/>
      <c r="BF129" s="2246"/>
      <c r="BG129" s="2246"/>
      <c r="BH129" s="2246"/>
      <c r="BI129" s="2246"/>
      <c r="BJ129" s="2246"/>
      <c r="BK129" s="2246"/>
      <c r="BL129" s="2246"/>
      <c r="BM129" s="2246"/>
      <c r="BN129" s="2246"/>
      <c r="BO129" s="2246"/>
      <c r="BP129" s="2246"/>
      <c r="BQ129" s="2246"/>
      <c r="BR129" s="2246"/>
      <c r="BS129" s="2244"/>
      <c r="BT129" s="2244"/>
      <c r="BU129" s="2244"/>
      <c r="BV129" s="2244"/>
      <c r="BW129" s="2244"/>
      <c r="BX129" s="2246"/>
      <c r="BY129" s="2246"/>
      <c r="BZ129" s="2246"/>
      <c r="CA129" s="2246"/>
      <c r="CB129" s="2246"/>
      <c r="CC129" s="2246"/>
      <c r="CD129" s="2246"/>
      <c r="CE129" s="2246"/>
      <c r="CF129" s="2246"/>
      <c r="CG129" s="2246"/>
      <c r="CH129" s="2246"/>
      <c r="CI129" s="2246"/>
      <c r="CJ129" s="2246"/>
      <c r="CK129" s="2246"/>
      <c r="CL129" s="2246"/>
      <c r="CM129" s="2246"/>
      <c r="CN129" s="2246"/>
      <c r="CO129" s="2246"/>
      <c r="CP129" s="2246"/>
      <c r="CQ129" s="2246"/>
      <c r="CR129" s="2246"/>
      <c r="CS129" s="2248"/>
      <c r="CT129" s="2248"/>
      <c r="CU129" s="2248"/>
      <c r="CV129" s="2248"/>
      <c r="CW129" s="2248"/>
      <c r="CX129" s="2248"/>
      <c r="CY129" s="2248"/>
      <c r="CZ129" s="2248"/>
      <c r="DA129" s="2248"/>
      <c r="DB129" s="2248"/>
      <c r="DC129" s="2248"/>
      <c r="DD129" s="2249"/>
      <c r="DE129" s="2249"/>
      <c r="DF129" s="2249"/>
      <c r="DG129" s="2249"/>
      <c r="DH129" s="2249"/>
      <c r="DI129" s="2249"/>
      <c r="DJ129" s="2249"/>
      <c r="DK129" s="2249"/>
      <c r="DL129" s="2249"/>
      <c r="DM129" s="2249"/>
      <c r="DN129" s="2249"/>
      <c r="DO129" s="2249"/>
      <c r="DP129" s="2249"/>
      <c r="DQ129" s="2249"/>
      <c r="DR129" s="2249"/>
      <c r="DS129" s="2249"/>
      <c r="DT129" s="2249"/>
      <c r="DU129" s="2249"/>
      <c r="DV129" s="2249"/>
      <c r="DW129" s="2249"/>
      <c r="DX129" s="2249"/>
      <c r="DY129" s="2249"/>
      <c r="DZ129" s="2249"/>
      <c r="EA129" s="2249"/>
      <c r="EB129" s="2249"/>
      <c r="EC129" s="2249"/>
      <c r="ED129" s="2249"/>
      <c r="EE129" s="2249"/>
      <c r="EF129" s="2248"/>
      <c r="EG129" s="2248"/>
    </row>
    <row r="130" spans="1:137" ht="18.899999999999999" customHeight="1">
      <c r="A130" s="2244"/>
      <c r="B130" s="2244"/>
      <c r="C130" s="2245"/>
      <c r="D130" s="2245"/>
      <c r="E130" s="2245"/>
      <c r="F130" s="2245"/>
      <c r="G130" s="2245"/>
      <c r="H130" s="2245"/>
      <c r="I130" s="2244"/>
      <c r="J130" s="2244"/>
      <c r="K130" s="2246"/>
      <c r="L130" s="2244"/>
      <c r="M130" s="2244"/>
      <c r="N130" s="2244"/>
      <c r="O130" s="2244"/>
      <c r="P130" s="2244"/>
      <c r="Q130" s="2246"/>
      <c r="R130" s="2246"/>
      <c r="S130" s="2246"/>
      <c r="T130" s="2246"/>
      <c r="U130" s="2246"/>
      <c r="V130" s="2246"/>
      <c r="W130" s="2246"/>
      <c r="X130" s="2246"/>
      <c r="Y130" s="2246"/>
      <c r="Z130" s="2246"/>
      <c r="AA130" s="2246"/>
      <c r="AB130" s="2246"/>
      <c r="AC130" s="2246"/>
      <c r="AD130" s="2246"/>
      <c r="AE130" s="2246"/>
      <c r="AF130" s="2246"/>
      <c r="AG130" s="2246"/>
      <c r="AH130" s="2246"/>
      <c r="AI130" s="2246"/>
      <c r="AJ130" s="2246"/>
      <c r="AK130" s="2246"/>
      <c r="AL130" s="2246"/>
      <c r="AM130" s="2246"/>
      <c r="AN130" s="2246"/>
      <c r="AO130" s="2246"/>
      <c r="AP130" s="2246"/>
      <c r="AQ130" s="2246"/>
      <c r="AR130" s="2246"/>
      <c r="AS130" s="2244"/>
      <c r="AT130" s="2244"/>
      <c r="AU130" s="2244"/>
      <c r="AV130" s="2244"/>
      <c r="AW130" s="2244"/>
      <c r="AX130" s="2244"/>
      <c r="AY130" s="2244"/>
      <c r="AZ130" s="2244"/>
      <c r="BA130" s="2244"/>
      <c r="BB130" s="2244"/>
      <c r="BC130" s="2244"/>
      <c r="BD130" s="2244"/>
      <c r="BE130" s="2244"/>
      <c r="BF130" s="2246"/>
      <c r="BG130" s="2246"/>
      <c r="BH130" s="2246"/>
      <c r="BI130" s="2246"/>
      <c r="BJ130" s="2246"/>
      <c r="BK130" s="2246"/>
      <c r="BL130" s="2246"/>
      <c r="BM130" s="2246"/>
      <c r="BN130" s="2246"/>
      <c r="BO130" s="2246"/>
      <c r="BP130" s="2246"/>
      <c r="BQ130" s="2246"/>
      <c r="BR130" s="2246"/>
      <c r="BS130" s="2244"/>
      <c r="BT130" s="2244"/>
      <c r="BU130" s="2244"/>
      <c r="BV130" s="2244"/>
      <c r="BW130" s="2244"/>
      <c r="BX130" s="2246"/>
      <c r="BY130" s="2246"/>
      <c r="BZ130" s="2246"/>
      <c r="CA130" s="2246"/>
      <c r="CB130" s="2246"/>
      <c r="CC130" s="2246"/>
      <c r="CD130" s="2246"/>
      <c r="CE130" s="2246"/>
      <c r="CF130" s="2246"/>
      <c r="CG130" s="2246"/>
      <c r="CH130" s="2246"/>
      <c r="CI130" s="2246"/>
      <c r="CJ130" s="2246"/>
      <c r="CK130" s="2246"/>
      <c r="CL130" s="2246"/>
      <c r="CM130" s="2246"/>
      <c r="CN130" s="2246"/>
      <c r="CO130" s="2246"/>
      <c r="CP130" s="2246"/>
      <c r="CQ130" s="2246"/>
      <c r="CR130" s="2246"/>
      <c r="CS130" s="2248"/>
      <c r="CT130" s="2248"/>
      <c r="CU130" s="2248"/>
      <c r="CV130" s="2248"/>
      <c r="CW130" s="2248"/>
      <c r="CX130" s="2248"/>
      <c r="CY130" s="2248"/>
      <c r="CZ130" s="2248"/>
      <c r="DA130" s="2248"/>
      <c r="DB130" s="2248"/>
      <c r="DC130" s="2248"/>
      <c r="DD130" s="2249"/>
      <c r="DE130" s="2249"/>
      <c r="DF130" s="2249"/>
      <c r="DG130" s="2249"/>
      <c r="DH130" s="2249"/>
      <c r="DI130" s="2249"/>
      <c r="DJ130" s="2249"/>
      <c r="DK130" s="2249"/>
      <c r="DL130" s="2249"/>
      <c r="DM130" s="2249"/>
      <c r="DN130" s="2249"/>
      <c r="DO130" s="2249"/>
      <c r="DP130" s="2249"/>
      <c r="DQ130" s="2249"/>
      <c r="DR130" s="2249"/>
      <c r="DS130" s="2249"/>
      <c r="DT130" s="2249"/>
      <c r="DU130" s="2249"/>
      <c r="DV130" s="2249"/>
      <c r="DW130" s="2249"/>
      <c r="DX130" s="2249"/>
      <c r="DY130" s="2249"/>
      <c r="DZ130" s="2249"/>
      <c r="EA130" s="2249"/>
      <c r="EB130" s="2249"/>
      <c r="EC130" s="2249"/>
      <c r="ED130" s="2249"/>
      <c r="EE130" s="2249"/>
      <c r="EF130" s="2248"/>
      <c r="EG130" s="2248"/>
    </row>
    <row r="131" spans="1:137" ht="18.899999999999999" customHeight="1">
      <c r="A131" s="2244"/>
      <c r="B131" s="2244"/>
      <c r="C131" s="2245"/>
      <c r="D131" s="2245"/>
      <c r="E131" s="2245"/>
      <c r="F131" s="2245"/>
      <c r="G131" s="2245"/>
      <c r="H131" s="2245"/>
      <c r="I131" s="2244"/>
      <c r="J131" s="2244"/>
      <c r="K131" s="2246"/>
      <c r="L131" s="2244"/>
      <c r="M131" s="2244"/>
      <c r="N131" s="2244"/>
      <c r="O131" s="2244"/>
      <c r="P131" s="2244"/>
      <c r="Q131" s="2246"/>
      <c r="R131" s="2246"/>
      <c r="S131" s="2246"/>
      <c r="T131" s="2246"/>
      <c r="U131" s="2246"/>
      <c r="V131" s="2246"/>
      <c r="W131" s="2246"/>
      <c r="X131" s="2246"/>
      <c r="Y131" s="2246"/>
      <c r="Z131" s="2246"/>
      <c r="AA131" s="2246"/>
      <c r="AB131" s="2246"/>
      <c r="AC131" s="2246"/>
      <c r="AD131" s="2246"/>
      <c r="AE131" s="2246"/>
      <c r="AF131" s="2246"/>
      <c r="AG131" s="2246"/>
      <c r="AH131" s="2246"/>
      <c r="AI131" s="2246"/>
      <c r="AJ131" s="2246"/>
      <c r="AK131" s="2246"/>
      <c r="AL131" s="2246"/>
      <c r="AM131" s="2246"/>
      <c r="AN131" s="2246"/>
      <c r="AO131" s="2246"/>
      <c r="AP131" s="2246"/>
      <c r="AQ131" s="2246"/>
      <c r="AR131" s="2246"/>
      <c r="AS131" s="2244"/>
      <c r="AT131" s="2244"/>
      <c r="AU131" s="2244"/>
      <c r="AV131" s="2244"/>
      <c r="AW131" s="2244"/>
      <c r="AX131" s="2244"/>
      <c r="AY131" s="2244"/>
      <c r="AZ131" s="2244"/>
      <c r="BA131" s="2244"/>
      <c r="BB131" s="2244"/>
      <c r="BC131" s="2244"/>
      <c r="BD131" s="2244"/>
      <c r="BE131" s="2244"/>
      <c r="BF131" s="2246"/>
      <c r="BG131" s="2246"/>
      <c r="BH131" s="2246"/>
      <c r="BI131" s="2246"/>
      <c r="BJ131" s="2246"/>
      <c r="BK131" s="2246"/>
      <c r="BL131" s="2246"/>
      <c r="BM131" s="2246"/>
      <c r="BN131" s="2246"/>
      <c r="BO131" s="2246"/>
      <c r="BP131" s="2246"/>
      <c r="BQ131" s="2246"/>
      <c r="BR131" s="2246"/>
      <c r="BS131" s="2244"/>
      <c r="BT131" s="2244"/>
      <c r="BU131" s="2244"/>
      <c r="BV131" s="2244"/>
      <c r="BW131" s="2244"/>
      <c r="BX131" s="2246"/>
      <c r="BY131" s="2246"/>
      <c r="BZ131" s="2246"/>
      <c r="CA131" s="2246"/>
      <c r="CB131" s="2246"/>
      <c r="CC131" s="2246"/>
      <c r="CD131" s="2246"/>
      <c r="CE131" s="2246"/>
      <c r="CF131" s="2246"/>
      <c r="CG131" s="2246"/>
      <c r="CH131" s="2246"/>
      <c r="CI131" s="2246"/>
      <c r="CJ131" s="2246"/>
      <c r="CK131" s="2246"/>
      <c r="CL131" s="2246"/>
      <c r="CM131" s="2246"/>
      <c r="CN131" s="2246"/>
      <c r="CO131" s="2246"/>
      <c r="CP131" s="2246"/>
      <c r="CQ131" s="2246"/>
      <c r="CR131" s="2246"/>
      <c r="CS131" s="2248"/>
      <c r="CT131" s="2248"/>
      <c r="CU131" s="2248"/>
      <c r="CV131" s="2248"/>
      <c r="CW131" s="2248"/>
      <c r="CX131" s="2248"/>
      <c r="CY131" s="2248"/>
      <c r="CZ131" s="2248"/>
      <c r="DA131" s="2248"/>
      <c r="DB131" s="2248"/>
      <c r="DC131" s="2248"/>
      <c r="DD131" s="2249"/>
      <c r="DE131" s="2249"/>
      <c r="DF131" s="2249"/>
      <c r="DG131" s="2249"/>
      <c r="DH131" s="2249"/>
      <c r="DI131" s="2249"/>
      <c r="DJ131" s="2249"/>
      <c r="DK131" s="2249"/>
      <c r="DL131" s="2249"/>
      <c r="DM131" s="2249"/>
      <c r="DN131" s="2249"/>
      <c r="DO131" s="2249"/>
      <c r="DP131" s="2249"/>
      <c r="DQ131" s="2249"/>
      <c r="DR131" s="2249"/>
      <c r="DS131" s="2249"/>
      <c r="DT131" s="2249"/>
      <c r="DU131" s="2249"/>
      <c r="DV131" s="2249"/>
      <c r="DW131" s="2249"/>
      <c r="DX131" s="2249"/>
      <c r="DY131" s="2249"/>
      <c r="DZ131" s="2249"/>
      <c r="EA131" s="2249"/>
      <c r="EB131" s="2249"/>
      <c r="EC131" s="2249"/>
      <c r="ED131" s="2249"/>
      <c r="EE131" s="2249"/>
      <c r="EF131" s="2248"/>
      <c r="EG131" s="2248"/>
    </row>
    <row r="132" spans="1:137" ht="18.899999999999999" customHeight="1">
      <c r="A132" s="2244"/>
      <c r="B132" s="2244"/>
      <c r="C132" s="2245"/>
      <c r="D132" s="2245"/>
      <c r="E132" s="2245"/>
      <c r="F132" s="2245"/>
      <c r="G132" s="2245"/>
      <c r="H132" s="2245"/>
      <c r="I132" s="2244"/>
      <c r="J132" s="2244"/>
      <c r="K132" s="2246"/>
      <c r="L132" s="2244"/>
      <c r="M132" s="2244"/>
      <c r="N132" s="2244"/>
      <c r="O132" s="2244"/>
      <c r="P132" s="2244"/>
      <c r="Q132" s="2246"/>
      <c r="R132" s="2246"/>
      <c r="S132" s="2246"/>
      <c r="T132" s="2246"/>
      <c r="U132" s="2246"/>
      <c r="V132" s="2246"/>
      <c r="W132" s="2246"/>
      <c r="X132" s="2246"/>
      <c r="Y132" s="2246"/>
      <c r="Z132" s="2246"/>
      <c r="AA132" s="2246"/>
      <c r="AB132" s="2246"/>
      <c r="AC132" s="2246"/>
      <c r="AD132" s="2246"/>
      <c r="AE132" s="2246"/>
      <c r="AF132" s="2246"/>
      <c r="AG132" s="2246"/>
      <c r="AH132" s="2246"/>
      <c r="AI132" s="2246"/>
      <c r="AJ132" s="2246"/>
      <c r="AK132" s="2246"/>
      <c r="AL132" s="2246"/>
      <c r="AM132" s="2246"/>
      <c r="AN132" s="2246"/>
      <c r="AO132" s="2246"/>
      <c r="AP132" s="2246"/>
      <c r="AQ132" s="2246"/>
      <c r="AR132" s="2246"/>
      <c r="AS132" s="2244"/>
      <c r="AT132" s="2244"/>
      <c r="AU132" s="2244"/>
      <c r="AV132" s="2244"/>
      <c r="AW132" s="2244"/>
      <c r="AX132" s="2244"/>
      <c r="AY132" s="2244"/>
      <c r="AZ132" s="2244"/>
      <c r="BA132" s="2244"/>
      <c r="BB132" s="2244"/>
      <c r="BC132" s="2244"/>
      <c r="BD132" s="2244"/>
      <c r="BE132" s="2244"/>
      <c r="BF132" s="2246"/>
      <c r="BG132" s="2246"/>
      <c r="BH132" s="2246"/>
      <c r="BI132" s="2246"/>
      <c r="BJ132" s="2246"/>
      <c r="BK132" s="2246"/>
      <c r="BL132" s="2246"/>
      <c r="BM132" s="2246"/>
      <c r="BN132" s="2246"/>
      <c r="BO132" s="2246"/>
      <c r="BP132" s="2246"/>
      <c r="BQ132" s="2246"/>
      <c r="BR132" s="2246"/>
      <c r="BS132" s="2244"/>
      <c r="BT132" s="2244"/>
      <c r="BU132" s="2244"/>
      <c r="BV132" s="2244"/>
      <c r="BW132" s="2244"/>
      <c r="BX132" s="2246"/>
      <c r="BY132" s="2246"/>
      <c r="BZ132" s="2246"/>
      <c r="CA132" s="2246"/>
      <c r="CB132" s="2246"/>
      <c r="CC132" s="2246"/>
      <c r="CD132" s="2246"/>
      <c r="CE132" s="2246"/>
      <c r="CF132" s="2246"/>
      <c r="CG132" s="2246"/>
      <c r="CH132" s="2246"/>
      <c r="CI132" s="2246"/>
      <c r="CJ132" s="2246"/>
      <c r="CK132" s="2246"/>
      <c r="CL132" s="2246"/>
      <c r="CM132" s="2246"/>
      <c r="CN132" s="2246"/>
      <c r="CO132" s="2246"/>
      <c r="CP132" s="2246"/>
      <c r="CQ132" s="2246"/>
      <c r="CR132" s="2246"/>
      <c r="CS132" s="2248"/>
      <c r="CT132" s="2248"/>
      <c r="CU132" s="2248"/>
      <c r="CV132" s="2248"/>
      <c r="CW132" s="2248"/>
      <c r="CX132" s="2248"/>
      <c r="CY132" s="2248"/>
      <c r="CZ132" s="2248"/>
      <c r="DA132" s="2248"/>
      <c r="DB132" s="2248"/>
      <c r="DC132" s="2248"/>
      <c r="DD132" s="2249"/>
      <c r="DE132" s="2249"/>
      <c r="DF132" s="2249"/>
      <c r="DG132" s="2249"/>
      <c r="DH132" s="2249"/>
      <c r="DI132" s="2249"/>
      <c r="DJ132" s="2249"/>
      <c r="DK132" s="2249"/>
      <c r="DL132" s="2249"/>
      <c r="DM132" s="2249"/>
      <c r="DN132" s="2249"/>
      <c r="DO132" s="2249"/>
      <c r="DP132" s="2249"/>
      <c r="DQ132" s="2249"/>
      <c r="DR132" s="2249"/>
      <c r="DS132" s="2249"/>
      <c r="DT132" s="2249"/>
      <c r="DU132" s="2249"/>
      <c r="DV132" s="2249"/>
      <c r="DW132" s="2249"/>
      <c r="DX132" s="2249"/>
      <c r="DY132" s="2249"/>
      <c r="DZ132" s="2249"/>
      <c r="EA132" s="2249"/>
      <c r="EB132" s="2249"/>
      <c r="EC132" s="2249"/>
      <c r="ED132" s="2249"/>
      <c r="EE132" s="2249"/>
      <c r="EF132" s="2248"/>
      <c r="EG132" s="2248"/>
    </row>
    <row r="133" spans="1:137" ht="18.899999999999999" customHeight="1">
      <c r="A133" s="2244"/>
      <c r="B133" s="2244"/>
      <c r="C133" s="2245"/>
      <c r="D133" s="2245"/>
      <c r="E133" s="2245"/>
      <c r="F133" s="2245"/>
      <c r="G133" s="2245"/>
      <c r="H133" s="2245"/>
      <c r="I133" s="2244"/>
      <c r="J133" s="2244"/>
      <c r="K133" s="2246"/>
      <c r="L133" s="2244"/>
      <c r="M133" s="2244"/>
      <c r="N133" s="2244"/>
      <c r="O133" s="2244"/>
      <c r="P133" s="2244"/>
      <c r="Q133" s="2246"/>
      <c r="R133" s="2246"/>
      <c r="S133" s="2246"/>
      <c r="T133" s="2246"/>
      <c r="U133" s="2246"/>
      <c r="V133" s="2246"/>
      <c r="W133" s="2246"/>
      <c r="X133" s="2246"/>
      <c r="Y133" s="2246"/>
      <c r="Z133" s="2246"/>
      <c r="AA133" s="2246"/>
      <c r="AB133" s="2246"/>
      <c r="AC133" s="2246"/>
      <c r="AD133" s="2246"/>
      <c r="AE133" s="2246"/>
      <c r="AF133" s="2246"/>
      <c r="AG133" s="2246"/>
      <c r="AH133" s="2246"/>
      <c r="AI133" s="2246"/>
      <c r="AJ133" s="2246"/>
      <c r="AK133" s="2246"/>
      <c r="AL133" s="2246"/>
      <c r="AM133" s="2246"/>
      <c r="AN133" s="2246"/>
      <c r="AO133" s="2246"/>
      <c r="AP133" s="2246"/>
      <c r="AQ133" s="2246"/>
      <c r="AR133" s="2246"/>
      <c r="AS133" s="2244"/>
      <c r="AT133" s="2244"/>
      <c r="AU133" s="2244"/>
      <c r="AV133" s="2244"/>
      <c r="AW133" s="2244"/>
      <c r="AX133" s="2244"/>
      <c r="AY133" s="2244"/>
      <c r="AZ133" s="2244"/>
      <c r="BA133" s="2244"/>
      <c r="BB133" s="2244"/>
      <c r="BC133" s="2244"/>
      <c r="BD133" s="2244"/>
      <c r="BE133" s="2244"/>
      <c r="BF133" s="2246"/>
      <c r="BG133" s="2246"/>
      <c r="BH133" s="2246"/>
      <c r="BI133" s="2246"/>
      <c r="BJ133" s="2246"/>
      <c r="BK133" s="2246"/>
      <c r="BL133" s="2246"/>
      <c r="BM133" s="2246"/>
      <c r="BN133" s="2246"/>
      <c r="BO133" s="2246"/>
      <c r="BP133" s="2246"/>
      <c r="BQ133" s="2246"/>
      <c r="BR133" s="2246"/>
      <c r="BS133" s="2244"/>
      <c r="BT133" s="2244"/>
      <c r="BU133" s="2244"/>
      <c r="BV133" s="2244"/>
      <c r="BW133" s="2244"/>
      <c r="BX133" s="2246"/>
      <c r="BY133" s="2246"/>
      <c r="BZ133" s="2246"/>
      <c r="CA133" s="2246"/>
      <c r="CB133" s="2246"/>
      <c r="CC133" s="2246"/>
      <c r="CD133" s="2246"/>
      <c r="CE133" s="2246"/>
      <c r="CF133" s="2246"/>
      <c r="CG133" s="2246"/>
      <c r="CH133" s="2246"/>
      <c r="CI133" s="2246"/>
      <c r="CJ133" s="2246"/>
      <c r="CK133" s="2246"/>
      <c r="CL133" s="2246"/>
      <c r="CM133" s="2246"/>
      <c r="CN133" s="2246"/>
      <c r="CO133" s="2246"/>
      <c r="CP133" s="2246"/>
      <c r="CQ133" s="2246"/>
      <c r="CR133" s="2246"/>
      <c r="CS133" s="2248"/>
      <c r="CT133" s="2248"/>
      <c r="CU133" s="2248"/>
      <c r="CV133" s="2248"/>
      <c r="CW133" s="2248"/>
      <c r="CX133" s="2248"/>
      <c r="CY133" s="2248"/>
      <c r="CZ133" s="2248"/>
      <c r="DA133" s="2248"/>
      <c r="DB133" s="2248"/>
      <c r="DC133" s="2248"/>
      <c r="DD133" s="2249"/>
      <c r="DE133" s="2249"/>
      <c r="DF133" s="2249"/>
      <c r="DG133" s="2249"/>
      <c r="DH133" s="2249"/>
      <c r="DI133" s="2249"/>
      <c r="DJ133" s="2249"/>
      <c r="DK133" s="2249"/>
      <c r="DL133" s="2249"/>
      <c r="DM133" s="2249"/>
      <c r="DN133" s="2249"/>
      <c r="DO133" s="2249"/>
      <c r="DP133" s="2249"/>
      <c r="DQ133" s="2249"/>
      <c r="DR133" s="2249"/>
      <c r="DS133" s="2249"/>
      <c r="DT133" s="2249"/>
      <c r="DU133" s="2249"/>
      <c r="DV133" s="2249"/>
      <c r="DW133" s="2249"/>
      <c r="DX133" s="2249"/>
      <c r="DY133" s="2249"/>
      <c r="DZ133" s="2249"/>
      <c r="EA133" s="2249"/>
      <c r="EB133" s="2249"/>
      <c r="EC133" s="2249"/>
      <c r="ED133" s="2249"/>
      <c r="EE133" s="2249"/>
      <c r="EF133" s="2248"/>
      <c r="EG133" s="2248"/>
    </row>
    <row r="134" spans="1:137" ht="18.899999999999999" customHeight="1">
      <c r="A134" s="2244"/>
      <c r="B134" s="2244"/>
      <c r="C134" s="2245"/>
      <c r="D134" s="2245"/>
      <c r="E134" s="2245"/>
      <c r="F134" s="2245"/>
      <c r="G134" s="2245"/>
      <c r="H134" s="2245"/>
      <c r="I134" s="2244"/>
      <c r="J134" s="2244"/>
      <c r="K134" s="2246"/>
      <c r="L134" s="2244"/>
      <c r="M134" s="2244"/>
      <c r="N134" s="2244"/>
      <c r="O134" s="2244"/>
      <c r="P134" s="2244"/>
      <c r="Q134" s="2246"/>
      <c r="R134" s="2246"/>
      <c r="S134" s="2246"/>
      <c r="T134" s="2246"/>
      <c r="U134" s="2246"/>
      <c r="V134" s="2246"/>
      <c r="W134" s="2246"/>
      <c r="X134" s="2246"/>
      <c r="Y134" s="2246"/>
      <c r="Z134" s="2246"/>
      <c r="AA134" s="2246"/>
      <c r="AB134" s="2246"/>
      <c r="AC134" s="2246"/>
      <c r="AD134" s="2246"/>
      <c r="AE134" s="2246"/>
      <c r="AF134" s="2246"/>
      <c r="AG134" s="2246"/>
      <c r="AH134" s="2246"/>
      <c r="AI134" s="2246"/>
      <c r="AJ134" s="2246"/>
      <c r="AK134" s="2246"/>
      <c r="AL134" s="2246"/>
      <c r="AM134" s="2246"/>
      <c r="AN134" s="2246"/>
      <c r="AO134" s="2246"/>
      <c r="AP134" s="2246"/>
      <c r="AQ134" s="2246"/>
      <c r="AR134" s="2246"/>
      <c r="AS134" s="2244"/>
      <c r="AT134" s="2244"/>
      <c r="AU134" s="2244"/>
      <c r="AV134" s="2244"/>
      <c r="AW134" s="2244"/>
      <c r="AX134" s="2244"/>
      <c r="AY134" s="2244"/>
      <c r="AZ134" s="2244"/>
      <c r="BA134" s="2244"/>
      <c r="BB134" s="2244"/>
      <c r="BC134" s="2244"/>
      <c r="BD134" s="2244"/>
      <c r="BE134" s="2244"/>
      <c r="BF134" s="2246"/>
      <c r="BG134" s="2246"/>
      <c r="BH134" s="2246"/>
      <c r="BI134" s="2246"/>
      <c r="BJ134" s="2246"/>
      <c r="BK134" s="2246"/>
      <c r="BL134" s="2246"/>
      <c r="BM134" s="2246"/>
      <c r="BN134" s="2246"/>
      <c r="BO134" s="2246"/>
      <c r="BP134" s="2246"/>
      <c r="BQ134" s="2246"/>
      <c r="BR134" s="2246"/>
      <c r="BS134" s="2244"/>
      <c r="BT134" s="2244"/>
      <c r="BU134" s="2244"/>
      <c r="BV134" s="2244"/>
      <c r="BW134" s="2244"/>
      <c r="BX134" s="2246"/>
      <c r="BY134" s="2246"/>
      <c r="BZ134" s="2246"/>
      <c r="CA134" s="2246"/>
      <c r="CB134" s="2246"/>
      <c r="CC134" s="2246"/>
      <c r="CD134" s="2246"/>
      <c r="CE134" s="2246"/>
      <c r="CF134" s="2246"/>
      <c r="CG134" s="2246"/>
      <c r="CH134" s="2246"/>
      <c r="CI134" s="2246"/>
      <c r="CJ134" s="2246"/>
      <c r="CK134" s="2246"/>
      <c r="CL134" s="2246"/>
      <c r="CM134" s="2246"/>
      <c r="CN134" s="2246"/>
      <c r="CO134" s="2246"/>
      <c r="CP134" s="2246"/>
      <c r="CQ134" s="2246"/>
      <c r="CR134" s="2246"/>
      <c r="CS134" s="2248"/>
      <c r="CT134" s="2248"/>
      <c r="CU134" s="2248"/>
      <c r="CV134" s="2248"/>
      <c r="CW134" s="2248"/>
      <c r="CX134" s="2248"/>
      <c r="CY134" s="2248"/>
      <c r="CZ134" s="2248"/>
      <c r="DA134" s="2248"/>
      <c r="DB134" s="2248"/>
      <c r="DC134" s="2248"/>
      <c r="DD134" s="2249"/>
      <c r="DE134" s="2249"/>
      <c r="DF134" s="2249"/>
      <c r="DG134" s="2249"/>
      <c r="DH134" s="2249"/>
      <c r="DI134" s="2249"/>
      <c r="DJ134" s="2249"/>
      <c r="DK134" s="2249"/>
      <c r="DL134" s="2249"/>
      <c r="DM134" s="2249"/>
      <c r="DN134" s="2249"/>
      <c r="DO134" s="2249"/>
      <c r="DP134" s="2249"/>
      <c r="DQ134" s="2249"/>
      <c r="DR134" s="2249"/>
      <c r="DS134" s="2249"/>
      <c r="DT134" s="2249"/>
      <c r="DU134" s="2249"/>
      <c r="DV134" s="2249"/>
      <c r="DW134" s="2249"/>
      <c r="DX134" s="2249"/>
      <c r="DY134" s="2249"/>
      <c r="DZ134" s="2249"/>
      <c r="EA134" s="2249"/>
      <c r="EB134" s="2249"/>
      <c r="EC134" s="2249"/>
      <c r="ED134" s="2249"/>
      <c r="EE134" s="2249"/>
      <c r="EF134" s="2248"/>
      <c r="EG134" s="2248"/>
    </row>
    <row r="135" spans="1:137" ht="18.899999999999999" customHeight="1">
      <c r="A135" s="2244"/>
      <c r="B135" s="2244"/>
      <c r="C135" s="2245"/>
      <c r="D135" s="2245"/>
      <c r="E135" s="2245"/>
      <c r="F135" s="2245"/>
      <c r="G135" s="2245"/>
      <c r="H135" s="2245"/>
      <c r="I135" s="2244"/>
      <c r="J135" s="2244"/>
      <c r="K135" s="2246"/>
      <c r="L135" s="2244"/>
      <c r="M135" s="2244"/>
      <c r="N135" s="2244"/>
      <c r="O135" s="2244"/>
      <c r="P135" s="2244"/>
      <c r="Q135" s="2246"/>
      <c r="R135" s="2246"/>
      <c r="S135" s="2246"/>
      <c r="T135" s="2246"/>
      <c r="U135" s="2246"/>
      <c r="V135" s="2246"/>
      <c r="W135" s="2246"/>
      <c r="X135" s="2246"/>
      <c r="Y135" s="2246"/>
      <c r="Z135" s="2246"/>
      <c r="AA135" s="2246"/>
      <c r="AB135" s="2246"/>
      <c r="AC135" s="2246"/>
      <c r="AD135" s="2246"/>
      <c r="AE135" s="2246"/>
      <c r="AF135" s="2246"/>
      <c r="AG135" s="2246"/>
      <c r="AH135" s="2246"/>
      <c r="AI135" s="2246"/>
      <c r="AJ135" s="2246"/>
      <c r="AK135" s="2246"/>
      <c r="AL135" s="2246"/>
      <c r="AM135" s="2246"/>
      <c r="AN135" s="2246"/>
      <c r="AO135" s="2246"/>
      <c r="AP135" s="2246"/>
      <c r="AQ135" s="2246"/>
      <c r="AR135" s="2246"/>
      <c r="AS135" s="2244"/>
      <c r="AT135" s="2244"/>
      <c r="AU135" s="2244"/>
      <c r="AV135" s="2244"/>
      <c r="AW135" s="2244"/>
      <c r="AX135" s="2244"/>
      <c r="AY135" s="2244"/>
      <c r="AZ135" s="2244"/>
      <c r="BA135" s="2244"/>
      <c r="BB135" s="2244"/>
      <c r="BC135" s="2244"/>
      <c r="BD135" s="2244"/>
      <c r="BE135" s="2244"/>
      <c r="BF135" s="2246"/>
      <c r="BG135" s="2246"/>
      <c r="BH135" s="2246"/>
      <c r="BI135" s="2246"/>
      <c r="BJ135" s="2246"/>
      <c r="BK135" s="2246"/>
      <c r="BL135" s="2246"/>
      <c r="BM135" s="2246"/>
      <c r="BN135" s="2246"/>
      <c r="BO135" s="2246"/>
      <c r="BP135" s="2246"/>
      <c r="BQ135" s="2246"/>
      <c r="BR135" s="2246"/>
      <c r="BS135" s="2244"/>
      <c r="BT135" s="2244"/>
      <c r="BU135" s="2244"/>
      <c r="BV135" s="2244"/>
      <c r="BW135" s="2244"/>
      <c r="BX135" s="2246"/>
      <c r="BY135" s="2246"/>
      <c r="BZ135" s="2246"/>
      <c r="CA135" s="2246"/>
      <c r="CB135" s="2246"/>
      <c r="CC135" s="2246"/>
      <c r="CD135" s="2246"/>
      <c r="CE135" s="2246"/>
      <c r="CF135" s="2246"/>
      <c r="CG135" s="2246"/>
      <c r="CH135" s="2246"/>
      <c r="CI135" s="2246"/>
      <c r="CJ135" s="2246"/>
      <c r="CK135" s="2246"/>
      <c r="CL135" s="2246"/>
      <c r="CM135" s="2246"/>
      <c r="CN135" s="2246"/>
      <c r="CO135" s="2246"/>
      <c r="CP135" s="2246"/>
      <c r="CQ135" s="2246"/>
      <c r="CR135" s="2246"/>
      <c r="CS135" s="2248"/>
      <c r="CT135" s="2248"/>
      <c r="CU135" s="2248"/>
      <c r="CV135" s="2248"/>
      <c r="CW135" s="2248"/>
      <c r="CX135" s="2248"/>
      <c r="CY135" s="2248"/>
      <c r="CZ135" s="2248"/>
      <c r="DA135" s="2248"/>
      <c r="DB135" s="2248"/>
      <c r="DC135" s="2248"/>
      <c r="DD135" s="2249"/>
      <c r="DE135" s="2249"/>
      <c r="DF135" s="2249"/>
      <c r="DG135" s="2249"/>
      <c r="DH135" s="2249"/>
      <c r="DI135" s="2249"/>
      <c r="DJ135" s="2249"/>
      <c r="DK135" s="2249"/>
      <c r="DL135" s="2249"/>
      <c r="DM135" s="2249"/>
      <c r="DN135" s="2249"/>
      <c r="DO135" s="2249"/>
      <c r="DP135" s="2249"/>
      <c r="DQ135" s="2249"/>
      <c r="DR135" s="2249"/>
      <c r="DS135" s="2249"/>
      <c r="DT135" s="2249"/>
      <c r="DU135" s="2249"/>
      <c r="DV135" s="2249"/>
      <c r="DW135" s="2249"/>
      <c r="DX135" s="2249"/>
      <c r="DY135" s="2249"/>
      <c r="DZ135" s="2249"/>
      <c r="EA135" s="2249"/>
      <c r="EB135" s="2249"/>
      <c r="EC135" s="2249"/>
      <c r="ED135" s="2249"/>
      <c r="EE135" s="2249"/>
      <c r="EF135" s="2248"/>
      <c r="EG135" s="2248"/>
    </row>
    <row r="136" spans="1:137" ht="18.899999999999999" customHeight="1">
      <c r="A136" s="2244"/>
      <c r="B136" s="2244"/>
      <c r="C136" s="2245"/>
      <c r="D136" s="2245"/>
      <c r="E136" s="2245"/>
      <c r="F136" s="2245"/>
      <c r="G136" s="2245"/>
      <c r="H136" s="2245"/>
      <c r="I136" s="2244"/>
      <c r="J136" s="2244"/>
      <c r="K136" s="2246"/>
      <c r="L136" s="2244"/>
      <c r="M136" s="2244"/>
      <c r="N136" s="2244"/>
      <c r="O136" s="2244"/>
      <c r="P136" s="2244"/>
      <c r="Q136" s="2246"/>
      <c r="R136" s="2246"/>
      <c r="S136" s="2246"/>
      <c r="T136" s="2246"/>
      <c r="U136" s="2246"/>
      <c r="V136" s="2246"/>
      <c r="W136" s="2246"/>
      <c r="X136" s="2246"/>
      <c r="Y136" s="2246"/>
      <c r="Z136" s="2246"/>
      <c r="AA136" s="2246"/>
      <c r="AB136" s="2246"/>
      <c r="AC136" s="2246"/>
      <c r="AD136" s="2246"/>
      <c r="AE136" s="2246"/>
      <c r="AF136" s="2246"/>
      <c r="AG136" s="2246"/>
      <c r="AH136" s="2246"/>
      <c r="AI136" s="2246"/>
      <c r="AJ136" s="2246"/>
      <c r="AK136" s="2246"/>
      <c r="AL136" s="2246"/>
      <c r="AM136" s="2246"/>
      <c r="AN136" s="2246"/>
      <c r="AO136" s="2246"/>
      <c r="AP136" s="2246"/>
      <c r="AQ136" s="2246"/>
      <c r="AR136" s="2246"/>
      <c r="AS136" s="2244"/>
      <c r="AT136" s="2244"/>
      <c r="AU136" s="2244"/>
      <c r="AV136" s="2244"/>
      <c r="AW136" s="2244"/>
      <c r="AX136" s="2244"/>
      <c r="AY136" s="2244"/>
      <c r="AZ136" s="2244"/>
      <c r="BA136" s="2244"/>
      <c r="BB136" s="2244"/>
      <c r="BC136" s="2244"/>
      <c r="BD136" s="2244"/>
      <c r="BE136" s="2244"/>
      <c r="BF136" s="2246"/>
      <c r="BG136" s="2246"/>
      <c r="BH136" s="2246"/>
      <c r="BI136" s="2246"/>
      <c r="BJ136" s="2246"/>
      <c r="BK136" s="2246"/>
      <c r="BL136" s="2246"/>
      <c r="BM136" s="2246"/>
      <c r="BN136" s="2246"/>
      <c r="BO136" s="2246"/>
      <c r="BP136" s="2246"/>
      <c r="BQ136" s="2246"/>
      <c r="BR136" s="2246"/>
      <c r="BS136" s="2244"/>
      <c r="BT136" s="2244"/>
      <c r="BU136" s="2244"/>
      <c r="BV136" s="2244"/>
      <c r="BW136" s="2244"/>
      <c r="BX136" s="2246"/>
      <c r="BY136" s="2246"/>
      <c r="BZ136" s="2246"/>
      <c r="CA136" s="2246"/>
      <c r="CB136" s="2246"/>
      <c r="CC136" s="2246"/>
      <c r="CD136" s="2246"/>
      <c r="CE136" s="2246"/>
      <c r="CF136" s="2246"/>
      <c r="CG136" s="2246"/>
      <c r="CH136" s="2246"/>
      <c r="CI136" s="2246"/>
      <c r="CJ136" s="2246"/>
      <c r="CK136" s="2246"/>
      <c r="CL136" s="2246"/>
      <c r="CM136" s="2246"/>
      <c r="CN136" s="2246"/>
      <c r="CO136" s="2246"/>
      <c r="CP136" s="2246"/>
      <c r="CQ136" s="2246"/>
      <c r="CR136" s="2246"/>
      <c r="CS136" s="2248"/>
      <c r="CT136" s="2248"/>
      <c r="CU136" s="2248"/>
      <c r="CV136" s="2248"/>
      <c r="CW136" s="2248"/>
      <c r="CX136" s="2248"/>
      <c r="CY136" s="2248"/>
      <c r="CZ136" s="2248"/>
      <c r="DA136" s="2248"/>
      <c r="DB136" s="2248"/>
      <c r="DC136" s="2248"/>
      <c r="DD136" s="2249"/>
      <c r="DE136" s="2249"/>
      <c r="DF136" s="2249"/>
      <c r="DG136" s="2249"/>
      <c r="DH136" s="2249"/>
      <c r="DI136" s="2249"/>
      <c r="DJ136" s="2249"/>
      <c r="DK136" s="2249"/>
      <c r="DL136" s="2249"/>
      <c r="DM136" s="2249"/>
      <c r="DN136" s="2249"/>
      <c r="DO136" s="2249"/>
      <c r="DP136" s="2249"/>
      <c r="DQ136" s="2249"/>
      <c r="DR136" s="2249"/>
      <c r="DS136" s="2249"/>
      <c r="DT136" s="2249"/>
      <c r="DU136" s="2249"/>
      <c r="DV136" s="2249"/>
      <c r="DW136" s="2249"/>
      <c r="DX136" s="2249"/>
      <c r="DY136" s="2249"/>
      <c r="DZ136" s="2249"/>
      <c r="EA136" s="2249"/>
      <c r="EB136" s="2249"/>
      <c r="EC136" s="2249"/>
      <c r="ED136" s="2249"/>
      <c r="EE136" s="2249"/>
      <c r="EF136" s="2248"/>
      <c r="EG136" s="2248"/>
    </row>
    <row r="137" spans="1:137" ht="18.899999999999999" customHeight="1">
      <c r="A137" s="2244"/>
      <c r="B137" s="2244"/>
      <c r="C137" s="2245"/>
      <c r="D137" s="2245"/>
      <c r="E137" s="2245"/>
      <c r="F137" s="2245"/>
      <c r="G137" s="2245"/>
      <c r="H137" s="2245"/>
      <c r="I137" s="2244"/>
      <c r="J137" s="2244"/>
      <c r="K137" s="2246"/>
      <c r="L137" s="2244"/>
      <c r="M137" s="2244"/>
      <c r="N137" s="2244"/>
      <c r="O137" s="2244"/>
      <c r="P137" s="2244"/>
      <c r="Q137" s="2246"/>
      <c r="R137" s="2246"/>
      <c r="S137" s="2246"/>
      <c r="T137" s="2246"/>
      <c r="U137" s="2246"/>
      <c r="V137" s="2246"/>
      <c r="W137" s="2246"/>
      <c r="X137" s="2246"/>
      <c r="Y137" s="2246"/>
      <c r="Z137" s="2246"/>
      <c r="AA137" s="2246"/>
      <c r="AB137" s="2246"/>
      <c r="AC137" s="2246"/>
      <c r="AD137" s="2246"/>
      <c r="AE137" s="2246"/>
      <c r="AF137" s="2246"/>
      <c r="AG137" s="2246"/>
      <c r="AH137" s="2246"/>
      <c r="AI137" s="2246"/>
      <c r="AJ137" s="2246"/>
      <c r="AK137" s="2246"/>
      <c r="AL137" s="2246"/>
      <c r="AM137" s="2246"/>
      <c r="AN137" s="2246"/>
      <c r="AO137" s="2246"/>
      <c r="AP137" s="2246"/>
      <c r="AQ137" s="2246"/>
      <c r="AR137" s="2246"/>
      <c r="AS137" s="2244"/>
      <c r="AT137" s="2244"/>
      <c r="AU137" s="2244"/>
      <c r="AV137" s="2244"/>
      <c r="AW137" s="2244"/>
      <c r="AX137" s="2244"/>
      <c r="AY137" s="2244"/>
      <c r="AZ137" s="2244"/>
      <c r="BA137" s="2244"/>
      <c r="BB137" s="2244"/>
      <c r="BC137" s="2244"/>
      <c r="BD137" s="2244"/>
      <c r="BE137" s="2244"/>
      <c r="BF137" s="2246"/>
      <c r="BG137" s="2246"/>
      <c r="BH137" s="2246"/>
      <c r="BI137" s="2246"/>
      <c r="BJ137" s="2246"/>
      <c r="BK137" s="2246"/>
      <c r="BL137" s="2246"/>
      <c r="BM137" s="2246"/>
      <c r="BN137" s="2246"/>
      <c r="BO137" s="2246"/>
      <c r="BP137" s="2246"/>
      <c r="BQ137" s="2246"/>
      <c r="BR137" s="2246"/>
      <c r="BS137" s="2244"/>
      <c r="BT137" s="2244"/>
      <c r="BU137" s="2244"/>
      <c r="BV137" s="2244"/>
      <c r="BW137" s="2244"/>
      <c r="BX137" s="2246"/>
      <c r="BY137" s="2246"/>
      <c r="BZ137" s="2246"/>
      <c r="CA137" s="2246"/>
      <c r="CB137" s="2246"/>
      <c r="CC137" s="2246"/>
      <c r="CD137" s="2246"/>
      <c r="CE137" s="2246"/>
      <c r="CF137" s="2246"/>
      <c r="CG137" s="2246"/>
      <c r="CH137" s="2246"/>
      <c r="CI137" s="2246"/>
      <c r="CJ137" s="2246"/>
      <c r="CK137" s="2246"/>
      <c r="CL137" s="2246"/>
      <c r="CM137" s="2246"/>
      <c r="CN137" s="2246"/>
      <c r="CO137" s="2246"/>
      <c r="CP137" s="2246"/>
      <c r="CQ137" s="2246"/>
      <c r="CR137" s="2246"/>
      <c r="CS137" s="2248"/>
      <c r="CT137" s="2248"/>
      <c r="CU137" s="2248"/>
      <c r="CV137" s="2248"/>
      <c r="CW137" s="2248"/>
      <c r="CX137" s="2248"/>
      <c r="CY137" s="2248"/>
      <c r="CZ137" s="2248"/>
      <c r="DA137" s="2248"/>
      <c r="DB137" s="2248"/>
      <c r="DC137" s="2248"/>
      <c r="DD137" s="2249"/>
      <c r="DE137" s="2249"/>
      <c r="DF137" s="2249"/>
      <c r="DG137" s="2249"/>
      <c r="DH137" s="2249"/>
      <c r="DI137" s="2249"/>
      <c r="DJ137" s="2249"/>
      <c r="DK137" s="2249"/>
      <c r="DL137" s="2249"/>
      <c r="DM137" s="2249"/>
      <c r="DN137" s="2249"/>
      <c r="DO137" s="2249"/>
      <c r="DP137" s="2249"/>
      <c r="DQ137" s="2249"/>
      <c r="DR137" s="2249"/>
      <c r="DS137" s="2249"/>
      <c r="DT137" s="2249"/>
      <c r="DU137" s="2249"/>
      <c r="DV137" s="2249"/>
      <c r="DW137" s="2249"/>
      <c r="DX137" s="2249"/>
      <c r="DY137" s="2249"/>
      <c r="DZ137" s="2249"/>
      <c r="EA137" s="2249"/>
      <c r="EB137" s="2249"/>
      <c r="EC137" s="2249"/>
      <c r="ED137" s="2249"/>
      <c r="EE137" s="2249"/>
      <c r="EF137" s="2248"/>
      <c r="EG137" s="2248"/>
    </row>
    <row r="138" spans="1:137" ht="18.899999999999999" customHeight="1">
      <c r="A138" s="2244"/>
      <c r="B138" s="2244"/>
      <c r="C138" s="2245"/>
      <c r="D138" s="2245"/>
      <c r="E138" s="2245"/>
      <c r="F138" s="2245"/>
      <c r="G138" s="2245"/>
      <c r="H138" s="2245"/>
      <c r="I138" s="2244"/>
      <c r="J138" s="2244"/>
      <c r="K138" s="2246"/>
      <c r="L138" s="2244"/>
      <c r="M138" s="2244"/>
      <c r="N138" s="2244"/>
      <c r="O138" s="2244"/>
      <c r="P138" s="2244"/>
      <c r="Q138" s="2246"/>
      <c r="R138" s="2246"/>
      <c r="S138" s="2246"/>
      <c r="T138" s="2246"/>
      <c r="U138" s="2246"/>
      <c r="V138" s="2246"/>
      <c r="W138" s="2246"/>
      <c r="X138" s="2246"/>
      <c r="Y138" s="2246"/>
      <c r="Z138" s="2246"/>
      <c r="AA138" s="2246"/>
      <c r="AB138" s="2246"/>
      <c r="AC138" s="2246"/>
      <c r="AD138" s="2246"/>
      <c r="AE138" s="2246"/>
      <c r="AF138" s="2246"/>
      <c r="AG138" s="2246"/>
      <c r="AH138" s="2246"/>
      <c r="AI138" s="2246"/>
      <c r="AJ138" s="2246"/>
      <c r="AK138" s="2246"/>
      <c r="AL138" s="2246"/>
      <c r="AM138" s="2246"/>
      <c r="AN138" s="2246"/>
      <c r="AO138" s="2246"/>
      <c r="AP138" s="2246"/>
      <c r="AQ138" s="2246"/>
      <c r="AR138" s="2246"/>
      <c r="AS138" s="2244"/>
      <c r="AT138" s="2244"/>
      <c r="AU138" s="2244"/>
      <c r="AV138" s="2244"/>
      <c r="AW138" s="2244"/>
      <c r="AX138" s="2244"/>
      <c r="AY138" s="2244"/>
      <c r="AZ138" s="2244"/>
      <c r="BA138" s="2244"/>
      <c r="BB138" s="2244"/>
      <c r="BC138" s="2244"/>
      <c r="BD138" s="2244"/>
      <c r="BE138" s="2244"/>
      <c r="BF138" s="2246"/>
      <c r="BG138" s="2246"/>
      <c r="BH138" s="2246"/>
      <c r="BI138" s="2246"/>
      <c r="BJ138" s="2246"/>
      <c r="BK138" s="2246"/>
      <c r="BL138" s="2246"/>
      <c r="BM138" s="2246"/>
      <c r="BN138" s="2246"/>
      <c r="BO138" s="2246"/>
      <c r="BP138" s="2246"/>
      <c r="BQ138" s="2246"/>
      <c r="BR138" s="2246"/>
      <c r="BS138" s="2244"/>
      <c r="BT138" s="2244"/>
      <c r="BU138" s="2244"/>
      <c r="BV138" s="2244"/>
      <c r="BW138" s="2244"/>
      <c r="BX138" s="2246"/>
      <c r="BY138" s="2246"/>
      <c r="BZ138" s="2246"/>
      <c r="CA138" s="2246"/>
      <c r="CB138" s="2246"/>
      <c r="CC138" s="2246"/>
      <c r="CD138" s="2246"/>
      <c r="CE138" s="2246"/>
      <c r="CF138" s="2246"/>
      <c r="CG138" s="2246"/>
      <c r="CH138" s="2246"/>
      <c r="CI138" s="2246"/>
      <c r="CJ138" s="2246"/>
      <c r="CK138" s="2246"/>
      <c r="CL138" s="2246"/>
      <c r="CM138" s="2246"/>
      <c r="CN138" s="2246"/>
      <c r="CO138" s="2246"/>
      <c r="CP138" s="2246"/>
      <c r="CQ138" s="2246"/>
      <c r="CR138" s="2246"/>
      <c r="CS138" s="2248"/>
      <c r="CT138" s="2248"/>
      <c r="CU138" s="2248"/>
      <c r="CV138" s="2248"/>
      <c r="CW138" s="2248"/>
      <c r="CX138" s="2248"/>
      <c r="CY138" s="2248"/>
      <c r="CZ138" s="2248"/>
      <c r="DA138" s="2248"/>
      <c r="DB138" s="2248"/>
      <c r="DC138" s="2248"/>
      <c r="DD138" s="2249"/>
      <c r="DE138" s="2249"/>
      <c r="DF138" s="2249"/>
      <c r="DG138" s="2249"/>
      <c r="DH138" s="2249"/>
      <c r="DI138" s="2249"/>
      <c r="DJ138" s="2249"/>
      <c r="DK138" s="2249"/>
      <c r="DL138" s="2249"/>
      <c r="DM138" s="2249"/>
      <c r="DN138" s="2249"/>
      <c r="DO138" s="2249"/>
      <c r="DP138" s="2249"/>
      <c r="DQ138" s="2249"/>
      <c r="DR138" s="2249"/>
      <c r="DS138" s="2249"/>
      <c r="DT138" s="2249"/>
      <c r="DU138" s="2249"/>
      <c r="DV138" s="2249"/>
      <c r="DW138" s="2249"/>
      <c r="DX138" s="2249"/>
      <c r="DY138" s="2249"/>
      <c r="DZ138" s="2249"/>
      <c r="EA138" s="2249"/>
      <c r="EB138" s="2249"/>
      <c r="EC138" s="2249"/>
      <c r="ED138" s="2249"/>
      <c r="EE138" s="2249"/>
      <c r="EF138" s="2248"/>
      <c r="EG138" s="2248"/>
    </row>
    <row r="139" spans="1:137" ht="18.899999999999999" customHeight="1">
      <c r="A139" s="2244"/>
      <c r="B139" s="2244"/>
      <c r="C139" s="2245"/>
      <c r="D139" s="2245"/>
      <c r="E139" s="2245"/>
      <c r="F139" s="2245"/>
      <c r="G139" s="2245"/>
      <c r="H139" s="2245"/>
      <c r="I139" s="2244"/>
      <c r="J139" s="2244"/>
      <c r="K139" s="2246"/>
      <c r="L139" s="2244"/>
      <c r="M139" s="2244"/>
      <c r="N139" s="2244"/>
      <c r="O139" s="2244"/>
      <c r="P139" s="2244"/>
      <c r="Q139" s="2246"/>
      <c r="R139" s="2246"/>
      <c r="S139" s="2246"/>
      <c r="T139" s="2246"/>
      <c r="U139" s="2246"/>
      <c r="V139" s="2246"/>
      <c r="W139" s="2246"/>
      <c r="X139" s="2246"/>
      <c r="Y139" s="2246"/>
      <c r="Z139" s="2246"/>
      <c r="AA139" s="2246"/>
      <c r="AB139" s="2246"/>
      <c r="AC139" s="2246"/>
      <c r="AD139" s="2246"/>
      <c r="AE139" s="2246"/>
      <c r="AF139" s="2246"/>
      <c r="AG139" s="2246"/>
      <c r="AH139" s="2246"/>
      <c r="AI139" s="2246"/>
      <c r="AJ139" s="2246"/>
      <c r="AK139" s="2246"/>
      <c r="AL139" s="2246"/>
      <c r="AM139" s="2246"/>
      <c r="AN139" s="2246"/>
      <c r="AO139" s="2246"/>
      <c r="AP139" s="2246"/>
      <c r="AQ139" s="2246"/>
      <c r="AR139" s="2246"/>
      <c r="AS139" s="2244"/>
      <c r="AT139" s="2244"/>
      <c r="AU139" s="2244"/>
      <c r="AV139" s="2244"/>
      <c r="AW139" s="2244"/>
      <c r="AX139" s="2244"/>
      <c r="AY139" s="2244"/>
      <c r="AZ139" s="2244"/>
      <c r="BA139" s="2244"/>
      <c r="BB139" s="2244"/>
      <c r="BC139" s="2244"/>
      <c r="BD139" s="2244"/>
      <c r="BE139" s="2244"/>
      <c r="BF139" s="2246"/>
      <c r="BG139" s="2246"/>
      <c r="BH139" s="2246"/>
      <c r="BI139" s="2246"/>
      <c r="BJ139" s="2246"/>
      <c r="BK139" s="2246"/>
      <c r="BL139" s="2246"/>
      <c r="BM139" s="2246"/>
      <c r="BN139" s="2246"/>
      <c r="BO139" s="2246"/>
      <c r="BP139" s="2246"/>
      <c r="BQ139" s="2246"/>
      <c r="BR139" s="2246"/>
      <c r="BS139" s="2244"/>
      <c r="BT139" s="2244"/>
      <c r="BU139" s="2244"/>
      <c r="BV139" s="2244"/>
      <c r="BW139" s="2244"/>
      <c r="BX139" s="2246"/>
      <c r="BY139" s="2246"/>
      <c r="BZ139" s="2246"/>
      <c r="CA139" s="2246"/>
      <c r="CB139" s="2246"/>
      <c r="CC139" s="2246"/>
      <c r="CD139" s="2246"/>
      <c r="CE139" s="2246"/>
      <c r="CF139" s="2246"/>
      <c r="CG139" s="2246"/>
      <c r="CH139" s="2246"/>
      <c r="CI139" s="2246"/>
      <c r="CJ139" s="2246"/>
      <c r="CK139" s="2246"/>
      <c r="CL139" s="2246"/>
      <c r="CM139" s="2246"/>
      <c r="CN139" s="2246"/>
      <c r="CO139" s="2246"/>
      <c r="CP139" s="2246"/>
      <c r="CQ139" s="2246"/>
      <c r="CR139" s="2246"/>
      <c r="CS139" s="2248"/>
      <c r="CT139" s="2248"/>
      <c r="CU139" s="2248"/>
      <c r="CV139" s="2248"/>
      <c r="CW139" s="2248"/>
      <c r="CX139" s="2248"/>
      <c r="CY139" s="2248"/>
      <c r="CZ139" s="2248"/>
      <c r="DA139" s="2248"/>
      <c r="DB139" s="2248"/>
      <c r="DC139" s="2248"/>
      <c r="DD139" s="2249"/>
      <c r="DE139" s="2249"/>
      <c r="DF139" s="2249"/>
      <c r="DG139" s="2249"/>
      <c r="DH139" s="2249"/>
      <c r="DI139" s="2249"/>
      <c r="DJ139" s="2249"/>
      <c r="DK139" s="2249"/>
      <c r="DL139" s="2249"/>
      <c r="DM139" s="2249"/>
      <c r="DN139" s="2249"/>
      <c r="DO139" s="2249"/>
      <c r="DP139" s="2249"/>
      <c r="DQ139" s="2249"/>
      <c r="DR139" s="2249"/>
      <c r="DS139" s="2249"/>
      <c r="DT139" s="2249"/>
      <c r="DU139" s="2249"/>
      <c r="DV139" s="2249"/>
      <c r="DW139" s="2249"/>
      <c r="DX139" s="2249"/>
      <c r="DY139" s="2249"/>
      <c r="DZ139" s="2249"/>
      <c r="EA139" s="2249"/>
      <c r="EB139" s="2249"/>
      <c r="EC139" s="2249"/>
      <c r="ED139" s="2249"/>
      <c r="EE139" s="2249"/>
      <c r="EF139" s="2248"/>
      <c r="EG139" s="2248"/>
    </row>
    <row r="140" spans="1:137" ht="18.899999999999999" customHeight="1">
      <c r="A140" s="2244"/>
      <c r="B140" s="2244"/>
      <c r="C140" s="2245"/>
      <c r="D140" s="2245"/>
      <c r="E140" s="2245"/>
      <c r="F140" s="2245"/>
      <c r="G140" s="2245"/>
      <c r="H140" s="2245"/>
      <c r="I140" s="2244"/>
      <c r="J140" s="2244"/>
      <c r="K140" s="2246"/>
      <c r="L140" s="2244"/>
      <c r="M140" s="2244"/>
      <c r="N140" s="2244"/>
      <c r="O140" s="2244"/>
      <c r="P140" s="2244"/>
      <c r="Q140" s="2246"/>
      <c r="R140" s="2246"/>
      <c r="S140" s="2246"/>
      <c r="T140" s="2246"/>
      <c r="U140" s="2246"/>
      <c r="V140" s="2246"/>
      <c r="W140" s="2246"/>
      <c r="X140" s="2246"/>
      <c r="Y140" s="2246"/>
      <c r="Z140" s="2246"/>
      <c r="AA140" s="2246"/>
      <c r="AB140" s="2246"/>
      <c r="AC140" s="2246"/>
      <c r="AD140" s="2246"/>
      <c r="AE140" s="2246"/>
      <c r="AF140" s="2246"/>
      <c r="AG140" s="2246"/>
      <c r="AH140" s="2246"/>
      <c r="AI140" s="2246"/>
      <c r="AJ140" s="2246"/>
      <c r="AK140" s="2246"/>
      <c r="AL140" s="2246"/>
      <c r="AM140" s="2246"/>
      <c r="AN140" s="2246"/>
      <c r="AO140" s="2246"/>
      <c r="AP140" s="2246"/>
      <c r="AQ140" s="2246"/>
      <c r="AR140" s="2246"/>
      <c r="AS140" s="2244"/>
      <c r="AT140" s="2244"/>
      <c r="AU140" s="2244"/>
      <c r="AV140" s="2244"/>
      <c r="AW140" s="2244"/>
      <c r="AX140" s="2244"/>
      <c r="AY140" s="2244"/>
      <c r="AZ140" s="2244"/>
      <c r="BA140" s="2244"/>
      <c r="BB140" s="2244"/>
      <c r="BC140" s="2244"/>
      <c r="BD140" s="2244"/>
      <c r="BE140" s="2244"/>
      <c r="BF140" s="2246"/>
      <c r="BG140" s="2246"/>
      <c r="BH140" s="2246"/>
      <c r="BI140" s="2246"/>
      <c r="BJ140" s="2246"/>
      <c r="BK140" s="2246"/>
      <c r="BL140" s="2246"/>
      <c r="BM140" s="2246"/>
      <c r="BN140" s="2246"/>
      <c r="BO140" s="2246"/>
      <c r="BP140" s="2246"/>
      <c r="BQ140" s="2246"/>
      <c r="BR140" s="2246"/>
      <c r="BS140" s="2244"/>
      <c r="BT140" s="2244"/>
      <c r="BU140" s="2244"/>
      <c r="BV140" s="2244"/>
      <c r="BW140" s="2244"/>
      <c r="BX140" s="2246"/>
      <c r="BY140" s="2246"/>
      <c r="BZ140" s="2246"/>
      <c r="CA140" s="2246"/>
      <c r="CB140" s="2246"/>
      <c r="CC140" s="2246"/>
      <c r="CD140" s="2246"/>
      <c r="CE140" s="2246"/>
      <c r="CF140" s="2246"/>
      <c r="CG140" s="2246"/>
      <c r="CH140" s="2246"/>
      <c r="CI140" s="2246"/>
      <c r="CJ140" s="2246"/>
      <c r="CK140" s="2246"/>
      <c r="CL140" s="2246"/>
      <c r="CM140" s="2246"/>
      <c r="CN140" s="2246"/>
      <c r="CO140" s="2246"/>
      <c r="CP140" s="2246"/>
      <c r="CQ140" s="2246"/>
      <c r="CR140" s="2246"/>
      <c r="CS140" s="2248"/>
      <c r="CT140" s="2248"/>
      <c r="CU140" s="2248"/>
      <c r="CV140" s="2248"/>
      <c r="CW140" s="2248"/>
      <c r="CX140" s="2248"/>
      <c r="CY140" s="2248"/>
      <c r="CZ140" s="2248"/>
      <c r="DA140" s="2248"/>
      <c r="DB140" s="2248"/>
      <c r="DC140" s="2248"/>
      <c r="DD140" s="2249"/>
      <c r="DE140" s="2249"/>
      <c r="DF140" s="2249"/>
      <c r="DG140" s="2249"/>
      <c r="DH140" s="2249"/>
      <c r="DI140" s="2249"/>
      <c r="DJ140" s="2249"/>
      <c r="DK140" s="2249"/>
      <c r="DL140" s="2249"/>
      <c r="DM140" s="2249"/>
      <c r="DN140" s="2249"/>
      <c r="DO140" s="2249"/>
      <c r="DP140" s="2249"/>
      <c r="DQ140" s="2249"/>
      <c r="DR140" s="2249"/>
      <c r="DS140" s="2249"/>
      <c r="DT140" s="2249"/>
      <c r="DU140" s="2249"/>
      <c r="DV140" s="2249"/>
      <c r="DW140" s="2249"/>
      <c r="DX140" s="2249"/>
      <c r="DY140" s="2249"/>
      <c r="DZ140" s="2249"/>
      <c r="EA140" s="2249"/>
      <c r="EB140" s="2249"/>
      <c r="EC140" s="2249"/>
      <c r="ED140" s="2249"/>
      <c r="EE140" s="2249"/>
      <c r="EF140" s="2248"/>
      <c r="EG140" s="2248"/>
    </row>
    <row r="141" spans="1:137" ht="18.899999999999999" customHeight="1">
      <c r="A141" s="2244"/>
      <c r="B141" s="2244"/>
      <c r="C141" s="2245"/>
      <c r="D141" s="2245"/>
      <c r="E141" s="2245"/>
      <c r="F141" s="2245"/>
      <c r="G141" s="2245"/>
      <c r="H141" s="2245"/>
      <c r="I141" s="2244"/>
      <c r="J141" s="2244"/>
      <c r="K141" s="2246"/>
      <c r="L141" s="2244"/>
      <c r="M141" s="2244"/>
      <c r="N141" s="2244"/>
      <c r="O141" s="2244"/>
      <c r="P141" s="2244"/>
      <c r="Q141" s="2246"/>
      <c r="R141" s="2246"/>
      <c r="S141" s="2246"/>
      <c r="T141" s="2246"/>
      <c r="U141" s="2246"/>
      <c r="V141" s="2246"/>
      <c r="W141" s="2246"/>
      <c r="X141" s="2246"/>
      <c r="Y141" s="2246"/>
      <c r="Z141" s="2246"/>
      <c r="AA141" s="2246"/>
      <c r="AB141" s="2246"/>
      <c r="AC141" s="2246"/>
      <c r="AD141" s="2246"/>
      <c r="AE141" s="2246"/>
      <c r="AF141" s="2246"/>
      <c r="AG141" s="2246"/>
      <c r="AH141" s="2246"/>
      <c r="AI141" s="2246"/>
      <c r="AJ141" s="2246"/>
      <c r="AK141" s="2246"/>
      <c r="AL141" s="2246"/>
      <c r="AM141" s="2246"/>
      <c r="AN141" s="2246"/>
      <c r="AO141" s="2246"/>
      <c r="AP141" s="2246"/>
      <c r="AQ141" s="2246"/>
      <c r="AR141" s="2246"/>
      <c r="AS141" s="2244"/>
      <c r="AT141" s="2244"/>
      <c r="AU141" s="2244"/>
      <c r="AV141" s="2244"/>
      <c r="AW141" s="2244"/>
      <c r="AX141" s="2244"/>
      <c r="AY141" s="2244"/>
      <c r="AZ141" s="2244"/>
      <c r="BA141" s="2244"/>
      <c r="BB141" s="2244"/>
      <c r="BC141" s="2244"/>
      <c r="BD141" s="2244"/>
      <c r="BE141" s="2244"/>
      <c r="BF141" s="2246"/>
      <c r="BG141" s="2246"/>
      <c r="BH141" s="2246"/>
      <c r="BI141" s="2246"/>
      <c r="BJ141" s="2246"/>
      <c r="BK141" s="2246"/>
      <c r="BL141" s="2246"/>
      <c r="BM141" s="2246"/>
      <c r="BN141" s="2246"/>
      <c r="BO141" s="2246"/>
      <c r="BP141" s="2246"/>
      <c r="BQ141" s="2246"/>
      <c r="BR141" s="2246"/>
      <c r="BS141" s="2244"/>
      <c r="BT141" s="2244"/>
      <c r="BU141" s="2244"/>
      <c r="BV141" s="2244"/>
      <c r="BW141" s="2244"/>
      <c r="BX141" s="2246"/>
      <c r="BY141" s="2246"/>
      <c r="BZ141" s="2246"/>
      <c r="CA141" s="2246"/>
      <c r="CB141" s="2246"/>
      <c r="CC141" s="2246"/>
      <c r="CD141" s="2246"/>
      <c r="CE141" s="2246"/>
      <c r="CF141" s="2246"/>
      <c r="CG141" s="2246"/>
      <c r="CH141" s="2246"/>
      <c r="CI141" s="2246"/>
      <c r="CJ141" s="2246"/>
      <c r="CK141" s="2246"/>
      <c r="CL141" s="2246"/>
      <c r="CM141" s="2246"/>
      <c r="CN141" s="2246"/>
      <c r="CO141" s="2246"/>
      <c r="CP141" s="2246"/>
      <c r="CQ141" s="2246"/>
      <c r="CR141" s="2246"/>
      <c r="CS141" s="2248"/>
      <c r="CT141" s="2248"/>
      <c r="CU141" s="2248"/>
      <c r="CV141" s="2248"/>
      <c r="CW141" s="2248"/>
      <c r="CX141" s="2248"/>
      <c r="CY141" s="2248"/>
      <c r="CZ141" s="2248"/>
      <c r="DA141" s="2248"/>
      <c r="DB141" s="2248"/>
      <c r="DC141" s="2248"/>
      <c r="DD141" s="2249"/>
      <c r="DE141" s="2249"/>
      <c r="DF141" s="2249"/>
      <c r="DG141" s="2249"/>
      <c r="DH141" s="2249"/>
      <c r="DI141" s="2249"/>
      <c r="DJ141" s="2249"/>
      <c r="DK141" s="2249"/>
      <c r="DL141" s="2249"/>
      <c r="DM141" s="2249"/>
      <c r="DN141" s="2249"/>
      <c r="DO141" s="2249"/>
      <c r="DP141" s="2249"/>
      <c r="DQ141" s="2249"/>
      <c r="DR141" s="2249"/>
      <c r="DS141" s="2249"/>
      <c r="DT141" s="2249"/>
      <c r="DU141" s="2249"/>
      <c r="DV141" s="2249"/>
      <c r="DW141" s="2249"/>
      <c r="DX141" s="2249"/>
      <c r="DY141" s="2249"/>
      <c r="DZ141" s="2249"/>
      <c r="EA141" s="2249"/>
      <c r="EB141" s="2249"/>
      <c r="EC141" s="2249"/>
      <c r="ED141" s="2249"/>
      <c r="EE141" s="2249"/>
      <c r="EF141" s="2248"/>
      <c r="EG141" s="2248"/>
    </row>
    <row r="142" spans="1:137" ht="18.899999999999999" customHeight="1">
      <c r="A142" s="2244"/>
      <c r="B142" s="2244"/>
      <c r="C142" s="2245"/>
      <c r="D142" s="2245"/>
      <c r="E142" s="2245"/>
      <c r="F142" s="2245"/>
      <c r="G142" s="2245"/>
      <c r="H142" s="2245"/>
      <c r="I142" s="2244"/>
      <c r="J142" s="2244"/>
      <c r="K142" s="2246"/>
      <c r="L142" s="2244"/>
      <c r="M142" s="2244"/>
      <c r="N142" s="2244"/>
      <c r="O142" s="2244"/>
      <c r="P142" s="2244"/>
      <c r="Q142" s="2246"/>
      <c r="R142" s="2246"/>
      <c r="S142" s="2246"/>
      <c r="T142" s="2246"/>
      <c r="U142" s="2246"/>
      <c r="V142" s="2246"/>
      <c r="W142" s="2246"/>
      <c r="X142" s="2246"/>
      <c r="Y142" s="2246"/>
      <c r="Z142" s="2246"/>
      <c r="AA142" s="2246"/>
      <c r="AB142" s="2246"/>
      <c r="AC142" s="2246"/>
      <c r="AD142" s="2246"/>
      <c r="AE142" s="2246"/>
      <c r="AF142" s="2246"/>
      <c r="AG142" s="2246"/>
      <c r="AH142" s="2246"/>
      <c r="AI142" s="2246"/>
      <c r="AJ142" s="2246"/>
      <c r="AK142" s="2246"/>
      <c r="AL142" s="2246"/>
      <c r="AM142" s="2246"/>
      <c r="AN142" s="2246"/>
      <c r="AO142" s="2246"/>
      <c r="AP142" s="2246"/>
      <c r="AQ142" s="2246"/>
      <c r="AR142" s="2246"/>
      <c r="AS142" s="2244"/>
      <c r="AT142" s="2244"/>
      <c r="AU142" s="2244"/>
      <c r="AV142" s="2244"/>
      <c r="AW142" s="2244"/>
      <c r="AX142" s="2244"/>
      <c r="AY142" s="2244"/>
      <c r="AZ142" s="2244"/>
      <c r="BA142" s="2244"/>
      <c r="BB142" s="2244"/>
      <c r="BC142" s="2244"/>
      <c r="BD142" s="2244"/>
      <c r="BE142" s="2244"/>
      <c r="BF142" s="2246"/>
      <c r="BG142" s="2246"/>
      <c r="BH142" s="2246"/>
      <c r="BI142" s="2246"/>
      <c r="BJ142" s="2246"/>
      <c r="BK142" s="2246"/>
      <c r="BL142" s="2246"/>
      <c r="BM142" s="2246"/>
      <c r="BN142" s="2246"/>
      <c r="BO142" s="2246"/>
      <c r="BP142" s="2246"/>
      <c r="BQ142" s="2246"/>
      <c r="BR142" s="2246"/>
      <c r="BS142" s="2244"/>
      <c r="BT142" s="2244"/>
      <c r="BU142" s="2244"/>
      <c r="BV142" s="2244"/>
      <c r="BW142" s="2244"/>
      <c r="BX142" s="2246"/>
      <c r="BY142" s="2246"/>
      <c r="BZ142" s="2246"/>
      <c r="CA142" s="2246"/>
      <c r="CB142" s="2246"/>
      <c r="CC142" s="2246"/>
      <c r="CD142" s="2246"/>
      <c r="CE142" s="2246"/>
      <c r="CF142" s="2246"/>
      <c r="CG142" s="2246"/>
      <c r="CH142" s="2246"/>
      <c r="CI142" s="2246"/>
      <c r="CJ142" s="2246"/>
      <c r="CK142" s="2246"/>
      <c r="CL142" s="2246"/>
      <c r="CM142" s="2246"/>
      <c r="CN142" s="2246"/>
      <c r="CO142" s="2246"/>
      <c r="CP142" s="2246"/>
      <c r="CQ142" s="2246"/>
      <c r="CR142" s="2246"/>
      <c r="CS142" s="2248"/>
      <c r="CT142" s="2248"/>
      <c r="CU142" s="2248"/>
      <c r="CV142" s="2248"/>
      <c r="CW142" s="2248"/>
      <c r="CX142" s="2248"/>
      <c r="CY142" s="2248"/>
      <c r="CZ142" s="2248"/>
      <c r="DA142" s="2248"/>
      <c r="DB142" s="2248"/>
      <c r="DC142" s="2248"/>
      <c r="DD142" s="2249"/>
      <c r="DE142" s="2249"/>
      <c r="DF142" s="2249"/>
      <c r="DG142" s="2249"/>
      <c r="DH142" s="2249"/>
      <c r="DI142" s="2249"/>
      <c r="DJ142" s="2249"/>
      <c r="DK142" s="2249"/>
      <c r="DL142" s="2249"/>
      <c r="DM142" s="2249"/>
      <c r="DN142" s="2249"/>
      <c r="DO142" s="2249"/>
      <c r="DP142" s="2249"/>
      <c r="DQ142" s="2249"/>
      <c r="DR142" s="2249"/>
      <c r="DS142" s="2249"/>
      <c r="DT142" s="2249"/>
      <c r="DU142" s="2249"/>
      <c r="DV142" s="2249"/>
      <c r="DW142" s="2249"/>
      <c r="DX142" s="2249"/>
      <c r="DY142" s="2249"/>
      <c r="DZ142" s="2249"/>
      <c r="EA142" s="2249"/>
      <c r="EB142" s="2249"/>
      <c r="EC142" s="2249"/>
      <c r="ED142" s="2249"/>
      <c r="EE142" s="2249"/>
      <c r="EF142" s="2248"/>
      <c r="EG142" s="2248"/>
    </row>
    <row r="143" spans="1:137" ht="18.899999999999999" customHeight="1">
      <c r="A143" s="2244"/>
      <c r="B143" s="2244"/>
      <c r="C143" s="2245"/>
      <c r="D143" s="2245"/>
      <c r="E143" s="2245"/>
      <c r="F143" s="2245"/>
      <c r="G143" s="2245"/>
      <c r="H143" s="2245"/>
      <c r="I143" s="2244"/>
      <c r="J143" s="2244"/>
      <c r="K143" s="2246"/>
      <c r="L143" s="2244"/>
      <c r="M143" s="2244"/>
      <c r="N143" s="2244"/>
      <c r="O143" s="2244"/>
      <c r="P143" s="2244"/>
      <c r="Q143" s="2246"/>
      <c r="R143" s="2246"/>
      <c r="S143" s="2246"/>
      <c r="T143" s="2246"/>
      <c r="U143" s="2246"/>
      <c r="V143" s="2246"/>
      <c r="W143" s="2246"/>
      <c r="X143" s="2246"/>
      <c r="Y143" s="2246"/>
      <c r="Z143" s="2246"/>
      <c r="AA143" s="2246"/>
      <c r="AB143" s="2246"/>
      <c r="AC143" s="2246"/>
      <c r="AD143" s="2246"/>
      <c r="AE143" s="2246"/>
      <c r="AF143" s="2246"/>
      <c r="AG143" s="2246"/>
      <c r="AH143" s="2246"/>
      <c r="AI143" s="2246"/>
      <c r="AJ143" s="2246"/>
      <c r="AK143" s="2246"/>
      <c r="AL143" s="2246"/>
      <c r="AM143" s="2246"/>
      <c r="AN143" s="2246"/>
      <c r="AO143" s="2246"/>
      <c r="AP143" s="2246"/>
      <c r="AQ143" s="2246"/>
      <c r="AR143" s="2246"/>
      <c r="AS143" s="2244"/>
      <c r="AT143" s="2244"/>
      <c r="AU143" s="2244"/>
      <c r="AV143" s="2244"/>
      <c r="AW143" s="2244"/>
      <c r="AX143" s="2244"/>
      <c r="AY143" s="2244"/>
      <c r="AZ143" s="2244"/>
      <c r="BA143" s="2244"/>
      <c r="BB143" s="2244"/>
      <c r="BC143" s="2244"/>
      <c r="BD143" s="2244"/>
      <c r="BE143" s="2244"/>
      <c r="BF143" s="2246"/>
      <c r="BG143" s="2246"/>
      <c r="BH143" s="2246"/>
      <c r="BI143" s="2246"/>
      <c r="BJ143" s="2246"/>
      <c r="BK143" s="2246"/>
      <c r="BL143" s="2246"/>
      <c r="BM143" s="2246"/>
      <c r="BN143" s="2246"/>
      <c r="BO143" s="2246"/>
      <c r="BP143" s="2246"/>
      <c r="BQ143" s="2246"/>
      <c r="BR143" s="2246"/>
      <c r="BS143" s="2244"/>
      <c r="BT143" s="2244"/>
      <c r="BU143" s="2244"/>
      <c r="BV143" s="2244"/>
      <c r="BW143" s="2244"/>
      <c r="BX143" s="2246"/>
      <c r="BY143" s="2246"/>
      <c r="BZ143" s="2246"/>
      <c r="CA143" s="2246"/>
      <c r="CB143" s="2246"/>
      <c r="CC143" s="2246"/>
      <c r="CD143" s="2246"/>
      <c r="CE143" s="2246"/>
      <c r="CF143" s="2246"/>
      <c r="CG143" s="2246"/>
      <c r="CH143" s="2246"/>
      <c r="CI143" s="2246"/>
      <c r="CJ143" s="2246"/>
      <c r="CK143" s="2246"/>
      <c r="CL143" s="2246"/>
      <c r="CM143" s="2246"/>
      <c r="CN143" s="2246"/>
      <c r="CO143" s="2246"/>
      <c r="CP143" s="2246"/>
      <c r="CQ143" s="2246"/>
      <c r="CR143" s="2246"/>
      <c r="CS143" s="2248"/>
      <c r="CT143" s="2248"/>
      <c r="CU143" s="2248"/>
      <c r="CV143" s="2248"/>
      <c r="CW143" s="2248"/>
      <c r="CX143" s="2248"/>
      <c r="CY143" s="2248"/>
      <c r="CZ143" s="2248"/>
      <c r="DA143" s="2248"/>
      <c r="DB143" s="2248"/>
      <c r="DC143" s="2248"/>
      <c r="DD143" s="2249"/>
      <c r="DE143" s="2249"/>
      <c r="DF143" s="2249"/>
      <c r="DG143" s="2249"/>
      <c r="DH143" s="2249"/>
      <c r="DI143" s="2249"/>
      <c r="DJ143" s="2249"/>
      <c r="DK143" s="2249"/>
      <c r="DL143" s="2249"/>
      <c r="DM143" s="2249"/>
      <c r="DN143" s="2249"/>
      <c r="DO143" s="2249"/>
      <c r="DP143" s="2249"/>
      <c r="DQ143" s="2249"/>
      <c r="DR143" s="2249"/>
      <c r="DS143" s="2249"/>
      <c r="DT143" s="2249"/>
      <c r="DU143" s="2249"/>
      <c r="DV143" s="2249"/>
      <c r="DW143" s="2249"/>
      <c r="DX143" s="2249"/>
      <c r="DY143" s="2249"/>
      <c r="DZ143" s="2249"/>
      <c r="EA143" s="2249"/>
      <c r="EB143" s="2249"/>
      <c r="EC143" s="2249"/>
      <c r="ED143" s="2249"/>
      <c r="EE143" s="2249"/>
      <c r="EF143" s="2248"/>
      <c r="EG143" s="2248"/>
    </row>
    <row r="144" spans="1:137" ht="18.899999999999999" customHeight="1">
      <c r="A144" s="2244"/>
      <c r="B144" s="2244"/>
      <c r="C144" s="2245"/>
      <c r="D144" s="2245"/>
      <c r="E144" s="2245"/>
      <c r="F144" s="2245"/>
      <c r="G144" s="2245"/>
      <c r="H144" s="2245"/>
      <c r="I144" s="2244"/>
      <c r="J144" s="2244"/>
      <c r="K144" s="2246"/>
      <c r="L144" s="2244"/>
      <c r="M144" s="2244"/>
      <c r="N144" s="2244"/>
      <c r="O144" s="2244"/>
      <c r="P144" s="2244"/>
      <c r="Q144" s="2246"/>
      <c r="R144" s="2246"/>
      <c r="S144" s="2246"/>
      <c r="T144" s="2246"/>
      <c r="U144" s="2246"/>
      <c r="V144" s="2246"/>
      <c r="W144" s="2246"/>
      <c r="X144" s="2246"/>
      <c r="Y144" s="2246"/>
      <c r="Z144" s="2246"/>
      <c r="AA144" s="2246"/>
      <c r="AB144" s="2246"/>
      <c r="AC144" s="2246"/>
      <c r="AD144" s="2246"/>
      <c r="AE144" s="2246"/>
      <c r="AF144" s="2246"/>
      <c r="AG144" s="2246"/>
      <c r="AH144" s="2246"/>
      <c r="AI144" s="2246"/>
      <c r="AJ144" s="2246"/>
      <c r="AK144" s="2246"/>
      <c r="AL144" s="2246"/>
      <c r="AM144" s="2246"/>
      <c r="AN144" s="2246"/>
      <c r="AO144" s="2246"/>
      <c r="AP144" s="2246"/>
      <c r="AQ144" s="2246"/>
      <c r="AR144" s="2246"/>
      <c r="AS144" s="2244"/>
      <c r="AT144" s="2244"/>
      <c r="AU144" s="2244"/>
      <c r="AV144" s="2244"/>
      <c r="AW144" s="2244"/>
      <c r="AX144" s="2244"/>
      <c r="AY144" s="2244"/>
      <c r="AZ144" s="2244"/>
      <c r="BA144" s="2244"/>
      <c r="BB144" s="2244"/>
      <c r="BC144" s="2244"/>
      <c r="BD144" s="2244"/>
      <c r="BE144" s="2244"/>
      <c r="BF144" s="2246"/>
      <c r="BG144" s="2246"/>
      <c r="BH144" s="2246"/>
      <c r="BI144" s="2246"/>
      <c r="BJ144" s="2246"/>
      <c r="BK144" s="2246"/>
      <c r="BL144" s="2246"/>
      <c r="BM144" s="2246"/>
      <c r="BN144" s="2246"/>
      <c r="BO144" s="2246"/>
      <c r="BP144" s="2246"/>
      <c r="BQ144" s="2246"/>
      <c r="BR144" s="2246"/>
      <c r="BS144" s="2244"/>
      <c r="BT144" s="2244"/>
      <c r="BU144" s="2244"/>
      <c r="BV144" s="2244"/>
      <c r="BW144" s="2244"/>
      <c r="BX144" s="2246"/>
      <c r="BY144" s="2246"/>
      <c r="BZ144" s="2246"/>
      <c r="CA144" s="2246"/>
      <c r="CB144" s="2246"/>
      <c r="CC144" s="2246"/>
      <c r="CD144" s="2246"/>
      <c r="CE144" s="2246"/>
      <c r="CF144" s="2246"/>
      <c r="CG144" s="2246"/>
      <c r="CH144" s="2246"/>
      <c r="CI144" s="2246"/>
      <c r="CJ144" s="2246"/>
      <c r="CK144" s="2246"/>
      <c r="CL144" s="2246"/>
      <c r="CM144" s="2246"/>
      <c r="CN144" s="2246"/>
      <c r="CO144" s="2246"/>
      <c r="CP144" s="2246"/>
      <c r="CQ144" s="2246"/>
      <c r="CR144" s="2246"/>
      <c r="CS144" s="2248"/>
      <c r="CT144" s="2248"/>
      <c r="CU144" s="2248"/>
      <c r="CV144" s="2248"/>
      <c r="CW144" s="2248"/>
      <c r="CX144" s="2248"/>
      <c r="CY144" s="2248"/>
      <c r="CZ144" s="2248"/>
      <c r="DA144" s="2248"/>
      <c r="DB144" s="2248"/>
      <c r="DC144" s="2248"/>
      <c r="DD144" s="2249"/>
      <c r="DE144" s="2249"/>
      <c r="DF144" s="2249"/>
      <c r="DG144" s="2249"/>
      <c r="DH144" s="2249"/>
      <c r="DI144" s="2249"/>
      <c r="DJ144" s="2249"/>
      <c r="DK144" s="2249"/>
      <c r="DL144" s="2249"/>
      <c r="DM144" s="2249"/>
      <c r="DN144" s="2249"/>
      <c r="DO144" s="2249"/>
      <c r="DP144" s="2249"/>
      <c r="DQ144" s="2249"/>
      <c r="DR144" s="2249"/>
      <c r="DS144" s="2249"/>
      <c r="DT144" s="2249"/>
      <c r="DU144" s="2249"/>
      <c r="DV144" s="2249"/>
      <c r="DW144" s="2249"/>
      <c r="DX144" s="2249"/>
      <c r="DY144" s="2249"/>
      <c r="DZ144" s="2249"/>
      <c r="EA144" s="2249"/>
      <c r="EB144" s="2249"/>
      <c r="EC144" s="2249"/>
      <c r="ED144" s="2249"/>
      <c r="EE144" s="2249"/>
      <c r="EF144" s="2248"/>
      <c r="EG144" s="2248"/>
    </row>
    <row r="145" spans="1:137" ht="18.899999999999999" customHeight="1">
      <c r="A145" s="2244"/>
      <c r="B145" s="2244"/>
      <c r="C145" s="2245"/>
      <c r="D145" s="2245"/>
      <c r="E145" s="2245"/>
      <c r="F145" s="2245"/>
      <c r="G145" s="2245"/>
      <c r="H145" s="2245"/>
      <c r="I145" s="2244"/>
      <c r="J145" s="2244"/>
      <c r="K145" s="2246"/>
      <c r="L145" s="2244"/>
      <c r="M145" s="2244"/>
      <c r="N145" s="2244"/>
      <c r="O145" s="2244"/>
      <c r="P145" s="2244"/>
      <c r="Q145" s="2246"/>
      <c r="R145" s="2246"/>
      <c r="S145" s="2246"/>
      <c r="T145" s="2246"/>
      <c r="U145" s="2246"/>
      <c r="V145" s="2246"/>
      <c r="W145" s="2246"/>
      <c r="X145" s="2246"/>
      <c r="Y145" s="2246"/>
      <c r="Z145" s="2246"/>
      <c r="AA145" s="2246"/>
      <c r="AB145" s="2246"/>
      <c r="AC145" s="2246"/>
      <c r="AD145" s="2246"/>
      <c r="AE145" s="2246"/>
      <c r="AF145" s="2246"/>
      <c r="AG145" s="2246"/>
      <c r="AH145" s="2246"/>
      <c r="AI145" s="2246"/>
      <c r="AJ145" s="2246"/>
      <c r="AK145" s="2246"/>
      <c r="AL145" s="2246"/>
      <c r="AM145" s="2246"/>
      <c r="AN145" s="2246"/>
      <c r="AO145" s="2246"/>
      <c r="AP145" s="2246"/>
      <c r="AQ145" s="2246"/>
      <c r="AR145" s="2246"/>
      <c r="AS145" s="2244"/>
      <c r="AT145" s="2244"/>
      <c r="AU145" s="2244"/>
      <c r="AV145" s="2244"/>
      <c r="AW145" s="2244"/>
      <c r="AX145" s="2244"/>
      <c r="AY145" s="2244"/>
      <c r="AZ145" s="2244"/>
      <c r="BA145" s="2244"/>
      <c r="BB145" s="2244"/>
      <c r="BC145" s="2244"/>
      <c r="BD145" s="2244"/>
      <c r="BE145" s="2244"/>
      <c r="BF145" s="2246"/>
      <c r="BG145" s="2246"/>
      <c r="BH145" s="2246"/>
      <c r="BI145" s="2246"/>
      <c r="BJ145" s="2246"/>
      <c r="BK145" s="2246"/>
      <c r="BL145" s="2246"/>
      <c r="BM145" s="2246"/>
      <c r="BN145" s="2246"/>
      <c r="BO145" s="2246"/>
      <c r="BP145" s="2246"/>
      <c r="BQ145" s="2246"/>
      <c r="BR145" s="2246"/>
      <c r="BS145" s="2244"/>
      <c r="BT145" s="2244"/>
      <c r="BU145" s="2244"/>
      <c r="BV145" s="2244"/>
      <c r="BW145" s="2244"/>
      <c r="BX145" s="2246"/>
      <c r="BY145" s="2246"/>
      <c r="BZ145" s="2246"/>
      <c r="CA145" s="2246"/>
      <c r="CB145" s="2246"/>
      <c r="CC145" s="2246"/>
      <c r="CD145" s="2246"/>
      <c r="CE145" s="2246"/>
      <c r="CF145" s="2246"/>
      <c r="CG145" s="2246"/>
      <c r="CH145" s="2246"/>
      <c r="CI145" s="2246"/>
      <c r="CJ145" s="2246"/>
      <c r="CK145" s="2246"/>
      <c r="CL145" s="2246"/>
      <c r="CM145" s="2246"/>
      <c r="CN145" s="2246"/>
      <c r="CO145" s="2246"/>
      <c r="CP145" s="2246"/>
      <c r="CQ145" s="2246"/>
      <c r="CR145" s="2246"/>
      <c r="CS145" s="2248"/>
      <c r="CT145" s="2248"/>
      <c r="CU145" s="2248"/>
      <c r="CV145" s="2248"/>
      <c r="CW145" s="2248"/>
      <c r="CX145" s="2248"/>
      <c r="CY145" s="2248"/>
      <c r="CZ145" s="2248"/>
      <c r="DA145" s="2248"/>
      <c r="DB145" s="2248"/>
      <c r="DC145" s="2248"/>
      <c r="DD145" s="2249"/>
      <c r="DE145" s="2249"/>
      <c r="DF145" s="2249"/>
      <c r="DG145" s="2249"/>
      <c r="DH145" s="2249"/>
      <c r="DI145" s="2249"/>
      <c r="DJ145" s="2249"/>
      <c r="DK145" s="2249"/>
      <c r="DL145" s="2249"/>
      <c r="DM145" s="2249"/>
      <c r="DN145" s="2249"/>
      <c r="DO145" s="2249"/>
      <c r="DP145" s="2249"/>
      <c r="DQ145" s="2249"/>
      <c r="DR145" s="2249"/>
      <c r="DS145" s="2249"/>
      <c r="DT145" s="2249"/>
      <c r="DU145" s="2249"/>
      <c r="DV145" s="2249"/>
      <c r="DW145" s="2249"/>
      <c r="DX145" s="2249"/>
      <c r="DY145" s="2249"/>
      <c r="DZ145" s="2249"/>
      <c r="EA145" s="2249"/>
      <c r="EB145" s="2249"/>
      <c r="EC145" s="2249"/>
      <c r="ED145" s="2249"/>
      <c r="EE145" s="2249"/>
      <c r="EF145" s="2248"/>
      <c r="EG145" s="2248"/>
    </row>
    <row r="146" spans="1:137" ht="18.899999999999999" customHeight="1">
      <c r="A146" s="2244"/>
      <c r="B146" s="2244"/>
      <c r="C146" s="2245"/>
      <c r="D146" s="2245"/>
      <c r="E146" s="2245"/>
      <c r="F146" s="2245"/>
      <c r="G146" s="2245"/>
      <c r="H146" s="2245"/>
      <c r="I146" s="2244"/>
      <c r="J146" s="2244"/>
      <c r="K146" s="2246"/>
      <c r="L146" s="2244"/>
      <c r="M146" s="2244"/>
      <c r="N146" s="2244"/>
      <c r="O146" s="2244"/>
      <c r="P146" s="2244"/>
      <c r="Q146" s="2246"/>
      <c r="R146" s="2246"/>
      <c r="S146" s="2246"/>
      <c r="T146" s="2246"/>
      <c r="U146" s="2246"/>
      <c r="V146" s="2246"/>
      <c r="W146" s="2246"/>
      <c r="X146" s="2246"/>
      <c r="Y146" s="2246"/>
      <c r="Z146" s="2246"/>
      <c r="AA146" s="2246"/>
      <c r="AB146" s="2246"/>
      <c r="AC146" s="2246"/>
      <c r="AD146" s="2246"/>
      <c r="AE146" s="2246"/>
      <c r="AF146" s="2246"/>
      <c r="AG146" s="2246"/>
      <c r="AH146" s="2246"/>
      <c r="AI146" s="2246"/>
      <c r="AJ146" s="2246"/>
      <c r="AK146" s="2246"/>
      <c r="AL146" s="2246"/>
      <c r="AM146" s="2246"/>
      <c r="AN146" s="2246"/>
      <c r="AO146" s="2246"/>
      <c r="AP146" s="2246"/>
      <c r="AQ146" s="2246"/>
      <c r="AR146" s="2246"/>
      <c r="AS146" s="2244"/>
      <c r="AT146" s="2244"/>
      <c r="AU146" s="2244"/>
      <c r="AV146" s="2244"/>
      <c r="AW146" s="2244"/>
      <c r="AX146" s="2244"/>
      <c r="AY146" s="2244"/>
      <c r="AZ146" s="2244"/>
      <c r="BA146" s="2244"/>
      <c r="BB146" s="2244"/>
      <c r="BC146" s="2244"/>
      <c r="BD146" s="2244"/>
      <c r="BE146" s="2244"/>
      <c r="BF146" s="2246"/>
      <c r="BG146" s="2246"/>
      <c r="BH146" s="2246"/>
      <c r="BI146" s="2246"/>
      <c r="BJ146" s="2246"/>
      <c r="BK146" s="2246"/>
      <c r="BL146" s="2246"/>
      <c r="BM146" s="2246"/>
      <c r="BN146" s="2246"/>
      <c r="BO146" s="2246"/>
      <c r="BP146" s="2246"/>
      <c r="BQ146" s="2246"/>
      <c r="BR146" s="2246"/>
      <c r="BS146" s="2244"/>
      <c r="BT146" s="2244"/>
      <c r="BU146" s="2244"/>
      <c r="BV146" s="2244"/>
      <c r="BW146" s="2244"/>
      <c r="BX146" s="2246"/>
      <c r="BY146" s="2246"/>
      <c r="BZ146" s="2246"/>
      <c r="CA146" s="2246"/>
      <c r="CB146" s="2246"/>
      <c r="CC146" s="2246"/>
      <c r="CD146" s="2246"/>
      <c r="CE146" s="2246"/>
      <c r="CF146" s="2246"/>
      <c r="CG146" s="2246"/>
      <c r="CH146" s="2246"/>
      <c r="CI146" s="2246"/>
      <c r="CJ146" s="2246"/>
      <c r="CK146" s="2246"/>
      <c r="CL146" s="2246"/>
      <c r="CM146" s="2246"/>
      <c r="CN146" s="2246"/>
      <c r="CO146" s="2246"/>
      <c r="CP146" s="2246"/>
      <c r="CQ146" s="2246"/>
      <c r="CR146" s="2246"/>
      <c r="CS146" s="2248"/>
      <c r="CT146" s="2248"/>
      <c r="CU146" s="2248"/>
      <c r="CV146" s="2248"/>
      <c r="CW146" s="2248"/>
      <c r="CX146" s="2248"/>
      <c r="CY146" s="2248"/>
      <c r="CZ146" s="2248"/>
      <c r="DA146" s="2248"/>
      <c r="DB146" s="2248"/>
      <c r="DC146" s="2248"/>
      <c r="DD146" s="2249"/>
      <c r="DE146" s="2249"/>
      <c r="DF146" s="2249"/>
      <c r="DG146" s="2249"/>
      <c r="DH146" s="2249"/>
      <c r="DI146" s="2249"/>
      <c r="DJ146" s="2249"/>
      <c r="DK146" s="2249"/>
      <c r="DL146" s="2249"/>
      <c r="DM146" s="2249"/>
      <c r="DN146" s="2249"/>
      <c r="DO146" s="2249"/>
      <c r="DP146" s="2249"/>
      <c r="DQ146" s="2249"/>
      <c r="DR146" s="2249"/>
      <c r="DS146" s="2249"/>
      <c r="DT146" s="2249"/>
      <c r="DU146" s="2249"/>
      <c r="DV146" s="2249"/>
      <c r="DW146" s="2249"/>
      <c r="DX146" s="2249"/>
      <c r="DY146" s="2249"/>
      <c r="DZ146" s="2249"/>
      <c r="EA146" s="2249"/>
      <c r="EB146" s="2249"/>
      <c r="EC146" s="2249"/>
      <c r="ED146" s="2249"/>
      <c r="EE146" s="2249"/>
      <c r="EF146" s="2248"/>
      <c r="EG146" s="2248"/>
    </row>
    <row r="147" spans="1:137" ht="18.899999999999999" customHeight="1">
      <c r="A147" s="2244"/>
      <c r="B147" s="2244"/>
      <c r="C147" s="2245"/>
      <c r="D147" s="2245"/>
      <c r="E147" s="2245"/>
      <c r="F147" s="2245"/>
      <c r="G147" s="2245"/>
      <c r="H147" s="2245"/>
      <c r="I147" s="2244"/>
      <c r="J147" s="2244"/>
      <c r="K147" s="2246"/>
      <c r="L147" s="2244"/>
      <c r="M147" s="2244"/>
      <c r="N147" s="2244"/>
      <c r="O147" s="2244"/>
      <c r="P147" s="2244"/>
      <c r="Q147" s="2246"/>
      <c r="R147" s="2246"/>
      <c r="S147" s="2246"/>
      <c r="T147" s="2246"/>
      <c r="U147" s="2246"/>
      <c r="V147" s="2246"/>
      <c r="W147" s="2246"/>
      <c r="X147" s="2246"/>
      <c r="Y147" s="2246"/>
      <c r="Z147" s="2246"/>
      <c r="AA147" s="2246"/>
      <c r="AB147" s="2246"/>
      <c r="AC147" s="2246"/>
      <c r="AD147" s="2246"/>
      <c r="AE147" s="2246"/>
      <c r="AF147" s="2246"/>
      <c r="AG147" s="2246"/>
      <c r="AH147" s="2246"/>
      <c r="AI147" s="2246"/>
      <c r="AJ147" s="2246"/>
      <c r="AK147" s="2246"/>
      <c r="AL147" s="2246"/>
      <c r="AM147" s="2246"/>
      <c r="AN147" s="2246"/>
      <c r="AO147" s="2246"/>
      <c r="AP147" s="2246"/>
      <c r="AQ147" s="2246"/>
      <c r="AR147" s="2246"/>
      <c r="AS147" s="2244"/>
      <c r="AT147" s="2244"/>
      <c r="AU147" s="2244"/>
      <c r="AV147" s="2244"/>
      <c r="AW147" s="2244"/>
      <c r="AX147" s="2244"/>
      <c r="AY147" s="2244"/>
      <c r="AZ147" s="2244"/>
      <c r="BA147" s="2244"/>
      <c r="BB147" s="2244"/>
      <c r="BC147" s="2244"/>
      <c r="BD147" s="2244"/>
      <c r="BE147" s="2244"/>
      <c r="BF147" s="2246"/>
      <c r="BG147" s="2246"/>
      <c r="BH147" s="2246"/>
      <c r="BI147" s="2246"/>
      <c r="BJ147" s="2246"/>
      <c r="BK147" s="2246"/>
      <c r="BL147" s="2246"/>
      <c r="BM147" s="2246"/>
      <c r="BN147" s="2246"/>
      <c r="BO147" s="2246"/>
      <c r="BP147" s="2246"/>
      <c r="BQ147" s="2246"/>
      <c r="BR147" s="2246"/>
      <c r="BS147" s="2244"/>
      <c r="BT147" s="2244"/>
      <c r="BU147" s="2244"/>
      <c r="BV147" s="2244"/>
      <c r="BW147" s="2244"/>
      <c r="BX147" s="2246"/>
      <c r="BY147" s="2246"/>
      <c r="BZ147" s="2246"/>
      <c r="CA147" s="2246"/>
      <c r="CB147" s="2246"/>
      <c r="CC147" s="2246"/>
      <c r="CD147" s="2246"/>
      <c r="CE147" s="2246"/>
      <c r="CF147" s="2246"/>
      <c r="CG147" s="2246"/>
      <c r="CH147" s="2246"/>
      <c r="CI147" s="2246"/>
      <c r="CJ147" s="2246"/>
      <c r="CK147" s="2246"/>
      <c r="CL147" s="2246"/>
      <c r="CM147" s="2246"/>
      <c r="CN147" s="2246"/>
      <c r="CO147" s="2246"/>
      <c r="CP147" s="2246"/>
      <c r="CQ147" s="2246"/>
      <c r="CR147" s="2246"/>
      <c r="CS147" s="2248"/>
      <c r="CT147" s="2248"/>
      <c r="CU147" s="2248"/>
      <c r="CV147" s="2248"/>
      <c r="CW147" s="2248"/>
      <c r="CX147" s="2248"/>
      <c r="CY147" s="2248"/>
      <c r="CZ147" s="2248"/>
      <c r="DA147" s="2248"/>
      <c r="DB147" s="2248"/>
      <c r="DC147" s="2248"/>
      <c r="DD147" s="2249"/>
      <c r="DE147" s="2249"/>
      <c r="DF147" s="2249"/>
      <c r="DG147" s="2249"/>
      <c r="DH147" s="2249"/>
      <c r="DI147" s="2249"/>
      <c r="DJ147" s="2249"/>
      <c r="DK147" s="2249"/>
      <c r="DL147" s="2249"/>
      <c r="DM147" s="2249"/>
      <c r="DN147" s="2249"/>
      <c r="DO147" s="2249"/>
      <c r="DP147" s="2249"/>
      <c r="DQ147" s="2249"/>
      <c r="DR147" s="2249"/>
      <c r="DS147" s="2249"/>
      <c r="DT147" s="2249"/>
      <c r="DU147" s="2249"/>
      <c r="DV147" s="2249"/>
      <c r="DW147" s="2249"/>
      <c r="DX147" s="2249"/>
      <c r="DY147" s="2249"/>
      <c r="DZ147" s="2249"/>
      <c r="EA147" s="2249"/>
      <c r="EB147" s="2249"/>
      <c r="EC147" s="2249"/>
      <c r="ED147" s="2249"/>
      <c r="EE147" s="2249"/>
      <c r="EF147" s="2248"/>
      <c r="EG147" s="2248"/>
    </row>
    <row r="148" spans="1:137" ht="18.899999999999999" customHeight="1">
      <c r="A148" s="2244"/>
      <c r="B148" s="2244"/>
      <c r="C148" s="2245"/>
      <c r="D148" s="2245"/>
      <c r="E148" s="2245"/>
      <c r="F148" s="2245"/>
      <c r="G148" s="2245"/>
      <c r="H148" s="2245"/>
      <c r="I148" s="2244"/>
      <c r="J148" s="2244"/>
      <c r="K148" s="2246"/>
      <c r="L148" s="2244"/>
      <c r="M148" s="2244"/>
      <c r="N148" s="2244"/>
      <c r="O148" s="2244"/>
      <c r="P148" s="2244"/>
      <c r="Q148" s="2246"/>
      <c r="R148" s="2246"/>
      <c r="S148" s="2246"/>
      <c r="T148" s="2246"/>
      <c r="U148" s="2246"/>
      <c r="V148" s="2246"/>
      <c r="W148" s="2246"/>
      <c r="X148" s="2246"/>
      <c r="Y148" s="2246"/>
      <c r="Z148" s="2246"/>
      <c r="AA148" s="2246"/>
      <c r="AB148" s="2246"/>
      <c r="AC148" s="2246"/>
      <c r="AD148" s="2246"/>
      <c r="AE148" s="2246"/>
      <c r="AF148" s="2246"/>
      <c r="AG148" s="2246"/>
      <c r="AH148" s="2246"/>
      <c r="AI148" s="2246"/>
      <c r="AJ148" s="2246"/>
      <c r="AK148" s="2246"/>
      <c r="AL148" s="2246"/>
      <c r="AM148" s="2246"/>
      <c r="AN148" s="2246"/>
      <c r="AO148" s="2246"/>
      <c r="AP148" s="2246"/>
      <c r="AQ148" s="2246"/>
      <c r="AR148" s="2246"/>
      <c r="AS148" s="2244"/>
      <c r="AT148" s="2244"/>
      <c r="AU148" s="2244"/>
      <c r="AV148" s="2244"/>
      <c r="AW148" s="2244"/>
      <c r="AX148" s="2244"/>
      <c r="AY148" s="2244"/>
      <c r="AZ148" s="2244"/>
      <c r="BA148" s="2244"/>
      <c r="BB148" s="2244"/>
      <c r="BC148" s="2244"/>
      <c r="BD148" s="2244"/>
      <c r="BE148" s="2244"/>
      <c r="BF148" s="2246"/>
      <c r="BG148" s="2246"/>
      <c r="BH148" s="2246"/>
      <c r="BI148" s="2246"/>
      <c r="BJ148" s="2246"/>
      <c r="BK148" s="2246"/>
      <c r="BL148" s="2246"/>
      <c r="BM148" s="2246"/>
      <c r="BN148" s="2246"/>
      <c r="BO148" s="2246"/>
      <c r="BP148" s="2246"/>
      <c r="BQ148" s="2246"/>
      <c r="BR148" s="2246"/>
      <c r="BS148" s="2244"/>
      <c r="BT148" s="2244"/>
      <c r="BU148" s="2244"/>
      <c r="BV148" s="2244"/>
      <c r="BW148" s="2244"/>
      <c r="BX148" s="2246"/>
      <c r="BY148" s="2246"/>
      <c r="BZ148" s="2246"/>
      <c r="CA148" s="2246"/>
      <c r="CB148" s="2246"/>
      <c r="CC148" s="2246"/>
      <c r="CD148" s="2246"/>
      <c r="CE148" s="2246"/>
      <c r="CF148" s="2246"/>
      <c r="CG148" s="2246"/>
      <c r="CH148" s="2246"/>
      <c r="CI148" s="2246"/>
      <c r="CJ148" s="2246"/>
      <c r="CK148" s="2246"/>
      <c r="CL148" s="2246"/>
      <c r="CM148" s="2246"/>
      <c r="CN148" s="2246"/>
      <c r="CO148" s="2246"/>
      <c r="CP148" s="2246"/>
      <c r="CQ148" s="2246"/>
      <c r="CR148" s="2246"/>
      <c r="CS148" s="2248"/>
      <c r="CT148" s="2248"/>
      <c r="CU148" s="2248"/>
      <c r="CV148" s="2248"/>
      <c r="CW148" s="2248"/>
      <c r="CX148" s="2248"/>
      <c r="CY148" s="2248"/>
      <c r="CZ148" s="2248"/>
      <c r="DA148" s="2248"/>
      <c r="DB148" s="2248"/>
      <c r="DC148" s="2248"/>
      <c r="DD148" s="2249"/>
      <c r="DE148" s="2249"/>
      <c r="DF148" s="2249"/>
      <c r="DG148" s="2249"/>
      <c r="DH148" s="2249"/>
      <c r="DI148" s="2249"/>
      <c r="DJ148" s="2249"/>
      <c r="DK148" s="2249"/>
      <c r="DL148" s="2249"/>
      <c r="DM148" s="2249"/>
      <c r="DN148" s="2249"/>
      <c r="DO148" s="2249"/>
      <c r="DP148" s="2249"/>
      <c r="DQ148" s="2249"/>
      <c r="DR148" s="2249"/>
      <c r="DS148" s="2249"/>
      <c r="DT148" s="2249"/>
      <c r="DU148" s="2249"/>
      <c r="DV148" s="2249"/>
      <c r="DW148" s="2249"/>
      <c r="DX148" s="2249"/>
      <c r="DY148" s="2249"/>
      <c r="DZ148" s="2249"/>
      <c r="EA148" s="2249"/>
      <c r="EB148" s="2249"/>
      <c r="EC148" s="2249"/>
      <c r="ED148" s="2249"/>
      <c r="EE148" s="2249"/>
      <c r="EF148" s="2248"/>
      <c r="EG148" s="2248"/>
    </row>
    <row r="149" spans="1:137" ht="18.899999999999999" customHeight="1">
      <c r="A149" s="2244"/>
      <c r="B149" s="2244"/>
      <c r="C149" s="2245"/>
      <c r="D149" s="2245"/>
      <c r="E149" s="2245"/>
      <c r="F149" s="2245"/>
      <c r="G149" s="2245"/>
      <c r="H149" s="2245"/>
      <c r="I149" s="2244"/>
      <c r="J149" s="2244"/>
      <c r="K149" s="2246"/>
      <c r="L149" s="2244"/>
      <c r="M149" s="2244"/>
      <c r="N149" s="2244"/>
      <c r="O149" s="2244"/>
      <c r="P149" s="2244"/>
      <c r="Q149" s="2246"/>
      <c r="R149" s="2246"/>
      <c r="S149" s="2246"/>
      <c r="T149" s="2246"/>
      <c r="U149" s="2246"/>
      <c r="V149" s="2246"/>
      <c r="W149" s="2246"/>
      <c r="X149" s="2246"/>
      <c r="Y149" s="2246"/>
      <c r="Z149" s="2246"/>
      <c r="AA149" s="2246"/>
      <c r="AB149" s="2246"/>
      <c r="AC149" s="2246"/>
      <c r="AD149" s="2246"/>
      <c r="AE149" s="2246"/>
      <c r="AF149" s="2246"/>
      <c r="AG149" s="2246"/>
      <c r="AH149" s="2246"/>
      <c r="AI149" s="2246"/>
      <c r="AJ149" s="2246"/>
      <c r="AK149" s="2246"/>
      <c r="AL149" s="2246"/>
      <c r="AM149" s="2246"/>
      <c r="AN149" s="2246"/>
      <c r="AO149" s="2246"/>
      <c r="AP149" s="2246"/>
      <c r="AQ149" s="2246"/>
      <c r="AR149" s="2246"/>
      <c r="AS149" s="2244"/>
      <c r="AT149" s="2244"/>
      <c r="AU149" s="2244"/>
      <c r="AV149" s="2244"/>
      <c r="AW149" s="2244"/>
      <c r="AX149" s="2244"/>
      <c r="AY149" s="2244"/>
      <c r="AZ149" s="2244"/>
      <c r="BA149" s="2244"/>
      <c r="BB149" s="2244"/>
      <c r="BC149" s="2244"/>
      <c r="BD149" s="2244"/>
      <c r="BE149" s="2244"/>
      <c r="BF149" s="2246"/>
      <c r="BG149" s="2246"/>
      <c r="BH149" s="2246"/>
      <c r="BI149" s="2246"/>
      <c r="BJ149" s="2246"/>
      <c r="BK149" s="2246"/>
      <c r="BL149" s="2246"/>
      <c r="BM149" s="2246"/>
      <c r="BN149" s="2246"/>
      <c r="BO149" s="2246"/>
      <c r="BP149" s="2246"/>
      <c r="BQ149" s="2246"/>
      <c r="BR149" s="2246"/>
      <c r="BS149" s="2244"/>
      <c r="BT149" s="2244"/>
      <c r="BU149" s="2244"/>
      <c r="BV149" s="2244"/>
      <c r="BW149" s="2244"/>
      <c r="BX149" s="2246"/>
      <c r="BY149" s="2246"/>
      <c r="BZ149" s="2246"/>
      <c r="CA149" s="2246"/>
      <c r="CB149" s="2246"/>
      <c r="CC149" s="2246"/>
      <c r="CD149" s="2246"/>
      <c r="CE149" s="2246"/>
      <c r="CF149" s="2246"/>
      <c r="CG149" s="2246"/>
      <c r="CH149" s="2246"/>
      <c r="CI149" s="2246"/>
      <c r="CJ149" s="2246"/>
      <c r="CK149" s="2246"/>
      <c r="CL149" s="2246"/>
      <c r="CM149" s="2246"/>
      <c r="CN149" s="2246"/>
      <c r="CO149" s="2246"/>
      <c r="CP149" s="2246"/>
      <c r="CQ149" s="2246"/>
      <c r="CR149" s="2246"/>
      <c r="CS149" s="2248"/>
      <c r="CT149" s="2248"/>
      <c r="CU149" s="2248"/>
      <c r="CV149" s="2248"/>
      <c r="CW149" s="2248"/>
      <c r="CX149" s="2248"/>
      <c r="CY149" s="2248"/>
      <c r="CZ149" s="2248"/>
      <c r="DA149" s="2248"/>
      <c r="DB149" s="2248"/>
      <c r="DC149" s="2248"/>
      <c r="DD149" s="2249"/>
      <c r="DE149" s="2249"/>
      <c r="DF149" s="2249"/>
      <c r="DG149" s="2249"/>
      <c r="DH149" s="2249"/>
      <c r="DI149" s="2249"/>
      <c r="DJ149" s="2249"/>
      <c r="DK149" s="2249"/>
      <c r="DL149" s="2249"/>
      <c r="DM149" s="2249"/>
      <c r="DN149" s="2249"/>
      <c r="DO149" s="2249"/>
      <c r="DP149" s="2249"/>
      <c r="DQ149" s="2249"/>
      <c r="DR149" s="2249"/>
      <c r="DS149" s="2249"/>
      <c r="DT149" s="2249"/>
      <c r="DU149" s="2249"/>
      <c r="DV149" s="2249"/>
      <c r="DW149" s="2249"/>
      <c r="DX149" s="2249"/>
      <c r="DY149" s="2249"/>
      <c r="DZ149" s="2249"/>
      <c r="EA149" s="2249"/>
      <c r="EB149" s="2249"/>
      <c r="EC149" s="2249"/>
      <c r="ED149" s="2249"/>
      <c r="EE149" s="2249"/>
      <c r="EF149" s="2248"/>
      <c r="EG149" s="2248"/>
    </row>
    <row r="150" spans="1:137" ht="18.899999999999999" customHeight="1">
      <c r="A150" s="2244"/>
      <c r="B150" s="2244"/>
      <c r="C150" s="2245"/>
      <c r="D150" s="2245"/>
      <c r="E150" s="2245"/>
      <c r="F150" s="2245"/>
      <c r="G150" s="2245"/>
      <c r="H150" s="2245"/>
      <c r="I150" s="2244"/>
      <c r="J150" s="2244"/>
      <c r="K150" s="2246"/>
      <c r="L150" s="2244"/>
      <c r="M150" s="2244"/>
      <c r="N150" s="2244"/>
      <c r="O150" s="2244"/>
      <c r="P150" s="2244"/>
      <c r="Q150" s="2246"/>
      <c r="R150" s="2246"/>
      <c r="S150" s="2246"/>
      <c r="T150" s="2246"/>
      <c r="U150" s="2246"/>
      <c r="V150" s="2246"/>
      <c r="W150" s="2246"/>
      <c r="X150" s="2246"/>
      <c r="Y150" s="2246"/>
      <c r="Z150" s="2246"/>
      <c r="AA150" s="2246"/>
      <c r="AB150" s="2246"/>
      <c r="AC150" s="2246"/>
      <c r="AD150" s="2246"/>
      <c r="AE150" s="2246"/>
      <c r="AF150" s="2246"/>
      <c r="AG150" s="2246"/>
      <c r="AH150" s="2246"/>
      <c r="AI150" s="2246"/>
      <c r="AJ150" s="2246"/>
      <c r="AK150" s="2246"/>
      <c r="AL150" s="2246"/>
      <c r="AM150" s="2246"/>
      <c r="AN150" s="2246"/>
      <c r="AO150" s="2246"/>
      <c r="AP150" s="2246"/>
      <c r="AQ150" s="2246"/>
      <c r="AR150" s="2246"/>
      <c r="AS150" s="2244"/>
      <c r="AT150" s="2244"/>
      <c r="AU150" s="2244"/>
      <c r="AV150" s="2244"/>
      <c r="AW150" s="2244"/>
      <c r="AX150" s="2244"/>
      <c r="AY150" s="2244"/>
      <c r="AZ150" s="2244"/>
      <c r="BA150" s="2244"/>
      <c r="BB150" s="2244"/>
      <c r="BC150" s="2244"/>
      <c r="BD150" s="2244"/>
      <c r="BE150" s="2244"/>
      <c r="BF150" s="2246"/>
      <c r="BG150" s="2246"/>
      <c r="BH150" s="2246"/>
      <c r="BI150" s="2246"/>
      <c r="BJ150" s="2246"/>
      <c r="BK150" s="2246"/>
      <c r="BL150" s="2246"/>
      <c r="BM150" s="2246"/>
      <c r="BN150" s="2246"/>
      <c r="BO150" s="2246"/>
      <c r="BP150" s="2246"/>
      <c r="BQ150" s="2246"/>
      <c r="BR150" s="2246"/>
      <c r="BS150" s="2244"/>
      <c r="BT150" s="2244"/>
      <c r="BU150" s="2244"/>
      <c r="BV150" s="2244"/>
      <c r="BW150" s="2244"/>
      <c r="BX150" s="2246"/>
      <c r="BY150" s="2246"/>
      <c r="BZ150" s="2246"/>
      <c r="CA150" s="2246"/>
      <c r="CB150" s="2246"/>
      <c r="CC150" s="2246"/>
      <c r="CD150" s="2246"/>
      <c r="CE150" s="2246"/>
      <c r="CF150" s="2246"/>
      <c r="CG150" s="2246"/>
      <c r="CH150" s="2246"/>
      <c r="CI150" s="2246"/>
      <c r="CJ150" s="2246"/>
      <c r="CK150" s="2246"/>
      <c r="CL150" s="2246"/>
      <c r="CM150" s="2246"/>
      <c r="CN150" s="2246"/>
      <c r="CO150" s="2246"/>
      <c r="CP150" s="2246"/>
      <c r="CQ150" s="2246"/>
      <c r="CR150" s="2246"/>
      <c r="CS150" s="2248"/>
      <c r="CT150" s="2248"/>
      <c r="CU150" s="2248"/>
      <c r="CV150" s="2248"/>
      <c r="CW150" s="2248"/>
      <c r="CX150" s="2248"/>
      <c r="CY150" s="2248"/>
      <c r="CZ150" s="2248"/>
      <c r="DA150" s="2248"/>
      <c r="DB150" s="2248"/>
      <c r="DC150" s="2248"/>
      <c r="DD150" s="2249"/>
      <c r="DE150" s="2249"/>
      <c r="DF150" s="2249"/>
      <c r="DG150" s="2249"/>
      <c r="DH150" s="2249"/>
      <c r="DI150" s="2249"/>
      <c r="DJ150" s="2249"/>
      <c r="DK150" s="2249"/>
      <c r="DL150" s="2249"/>
      <c r="DM150" s="2249"/>
      <c r="DN150" s="2249"/>
      <c r="DO150" s="2249"/>
      <c r="DP150" s="2249"/>
      <c r="DQ150" s="2249"/>
      <c r="DR150" s="2249"/>
      <c r="DS150" s="2249"/>
      <c r="DT150" s="2249"/>
      <c r="DU150" s="2249"/>
      <c r="DV150" s="2249"/>
      <c r="DW150" s="2249"/>
      <c r="DX150" s="2249"/>
      <c r="DY150" s="2249"/>
      <c r="DZ150" s="2249"/>
      <c r="EA150" s="2249"/>
      <c r="EB150" s="2249"/>
      <c r="EC150" s="2249"/>
      <c r="ED150" s="2249"/>
      <c r="EE150" s="2249"/>
      <c r="EF150" s="2248"/>
      <c r="EG150" s="2248"/>
    </row>
    <row r="151" spans="1:137" ht="18.899999999999999" customHeight="1">
      <c r="A151" s="2244"/>
      <c r="B151" s="2244"/>
      <c r="C151" s="2245"/>
      <c r="D151" s="2245"/>
      <c r="E151" s="2245"/>
      <c r="F151" s="2245"/>
      <c r="G151" s="2245"/>
      <c r="H151" s="2245"/>
      <c r="I151" s="2244"/>
      <c r="J151" s="2244"/>
      <c r="K151" s="2246"/>
      <c r="L151" s="2244"/>
      <c r="M151" s="2244"/>
      <c r="N151" s="2244"/>
      <c r="O151" s="2244"/>
      <c r="P151" s="2244"/>
      <c r="Q151" s="2246"/>
      <c r="R151" s="2246"/>
      <c r="S151" s="2246"/>
      <c r="T151" s="2246"/>
      <c r="U151" s="2246"/>
      <c r="V151" s="2246"/>
      <c r="W151" s="2246"/>
      <c r="X151" s="2246"/>
      <c r="Y151" s="2246"/>
      <c r="Z151" s="2246"/>
      <c r="AA151" s="2246"/>
      <c r="AB151" s="2246"/>
      <c r="AC151" s="2246"/>
      <c r="AD151" s="2246"/>
      <c r="AE151" s="2246"/>
      <c r="AF151" s="2246"/>
      <c r="AG151" s="2246"/>
      <c r="AH151" s="2246"/>
      <c r="AI151" s="2246"/>
      <c r="AJ151" s="2246"/>
      <c r="AK151" s="2246"/>
      <c r="AL151" s="2246"/>
      <c r="AM151" s="2246"/>
      <c r="AN151" s="2246"/>
      <c r="AO151" s="2246"/>
      <c r="AP151" s="2246"/>
      <c r="AQ151" s="2246"/>
      <c r="AR151" s="2246"/>
      <c r="AS151" s="2244"/>
      <c r="AT151" s="2244"/>
      <c r="AU151" s="2244"/>
      <c r="AV151" s="2244"/>
      <c r="AW151" s="2244"/>
      <c r="AX151" s="2244"/>
      <c r="AY151" s="2244"/>
      <c r="AZ151" s="2244"/>
      <c r="BA151" s="2244"/>
      <c r="BB151" s="2244"/>
      <c r="BC151" s="2244"/>
      <c r="BD151" s="2244"/>
      <c r="BE151" s="2244"/>
      <c r="BF151" s="2246"/>
      <c r="BG151" s="2246"/>
      <c r="BH151" s="2246"/>
      <c r="BI151" s="2246"/>
      <c r="BJ151" s="2246"/>
      <c r="BK151" s="2246"/>
      <c r="BL151" s="2246"/>
      <c r="BM151" s="2246"/>
      <c r="BN151" s="2246"/>
      <c r="BO151" s="2246"/>
      <c r="BP151" s="2246"/>
      <c r="BQ151" s="2246"/>
      <c r="BR151" s="2246"/>
      <c r="BS151" s="2244"/>
      <c r="BT151" s="2244"/>
      <c r="BU151" s="2244"/>
      <c r="BV151" s="2244"/>
      <c r="BW151" s="2244"/>
      <c r="BX151" s="2246"/>
      <c r="BY151" s="2246"/>
      <c r="BZ151" s="2246"/>
      <c r="CA151" s="2246"/>
      <c r="CB151" s="2246"/>
      <c r="CC151" s="2246"/>
      <c r="CD151" s="2246"/>
      <c r="CE151" s="2246"/>
      <c r="CF151" s="2246"/>
      <c r="CG151" s="2246"/>
      <c r="CH151" s="2246"/>
      <c r="CI151" s="2246"/>
      <c r="CJ151" s="2246"/>
      <c r="CK151" s="2246"/>
      <c r="CL151" s="2246"/>
      <c r="CM151" s="2246"/>
      <c r="CN151" s="2246"/>
      <c r="CO151" s="2246"/>
      <c r="CP151" s="2246"/>
      <c r="CQ151" s="2246"/>
      <c r="CR151" s="2246"/>
      <c r="CS151" s="2248"/>
      <c r="CT151" s="2248"/>
      <c r="CU151" s="2248"/>
      <c r="CV151" s="2248"/>
      <c r="CW151" s="2248"/>
      <c r="CX151" s="2248"/>
      <c r="CY151" s="2248"/>
      <c r="CZ151" s="2248"/>
      <c r="DA151" s="2248"/>
      <c r="DB151" s="2248"/>
      <c r="DC151" s="2248"/>
      <c r="DD151" s="2249"/>
      <c r="DE151" s="2249"/>
      <c r="DF151" s="2249"/>
      <c r="DG151" s="2249"/>
      <c r="DH151" s="2249"/>
      <c r="DI151" s="2249"/>
      <c r="DJ151" s="2249"/>
      <c r="DK151" s="2249"/>
      <c r="DL151" s="2249"/>
      <c r="DM151" s="2249"/>
      <c r="DN151" s="2249"/>
      <c r="DO151" s="2249"/>
      <c r="DP151" s="2249"/>
      <c r="DQ151" s="2249"/>
      <c r="DR151" s="2249"/>
      <c r="DS151" s="2249"/>
      <c r="DT151" s="2249"/>
      <c r="DU151" s="2249"/>
      <c r="DV151" s="2249"/>
      <c r="DW151" s="2249"/>
      <c r="DX151" s="2249"/>
      <c r="DY151" s="2249"/>
      <c r="DZ151" s="2249"/>
      <c r="EA151" s="2249"/>
      <c r="EB151" s="2249"/>
      <c r="EC151" s="2249"/>
      <c r="ED151" s="2249"/>
      <c r="EE151" s="2249"/>
      <c r="EF151" s="2248"/>
      <c r="EG151" s="2248"/>
    </row>
    <row r="152" spans="1:137" ht="18.899999999999999" customHeight="1">
      <c r="A152" s="2244"/>
      <c r="B152" s="2244"/>
      <c r="C152" s="2245"/>
      <c r="D152" s="2245"/>
      <c r="E152" s="2245"/>
      <c r="F152" s="2245"/>
      <c r="G152" s="2245"/>
      <c r="H152" s="2245"/>
      <c r="I152" s="2244"/>
      <c r="J152" s="2244"/>
      <c r="K152" s="2246"/>
      <c r="L152" s="2244"/>
      <c r="M152" s="2244"/>
      <c r="N152" s="2244"/>
      <c r="O152" s="2244"/>
      <c r="P152" s="2244"/>
      <c r="Q152" s="2246"/>
      <c r="R152" s="2246"/>
      <c r="S152" s="2246"/>
      <c r="T152" s="2246"/>
      <c r="U152" s="2246"/>
      <c r="V152" s="2246"/>
      <c r="W152" s="2246"/>
      <c r="X152" s="2246"/>
      <c r="Y152" s="2246"/>
      <c r="Z152" s="2246"/>
      <c r="AA152" s="2246"/>
      <c r="AB152" s="2246"/>
      <c r="AC152" s="2246"/>
      <c r="AD152" s="2246"/>
      <c r="AE152" s="2246"/>
      <c r="AF152" s="2246"/>
      <c r="AG152" s="2246"/>
      <c r="AH152" s="2246"/>
      <c r="AI152" s="2246"/>
      <c r="AJ152" s="2246"/>
      <c r="AK152" s="2246"/>
      <c r="AL152" s="2246"/>
      <c r="AM152" s="2246"/>
      <c r="AN152" s="2246"/>
      <c r="AO152" s="2246"/>
      <c r="AP152" s="2246"/>
      <c r="AQ152" s="2246"/>
      <c r="AR152" s="2246"/>
      <c r="AS152" s="2244"/>
      <c r="AT152" s="2244"/>
      <c r="AU152" s="2244"/>
      <c r="AV152" s="2244"/>
      <c r="AW152" s="2244"/>
      <c r="AX152" s="2244"/>
      <c r="AY152" s="2244"/>
      <c r="AZ152" s="2244"/>
      <c r="BA152" s="2244"/>
      <c r="BB152" s="2244"/>
      <c r="BC152" s="2244"/>
      <c r="BD152" s="2244"/>
      <c r="BE152" s="2244"/>
      <c r="BF152" s="2246"/>
      <c r="BG152" s="2246"/>
      <c r="BH152" s="2246"/>
      <c r="BI152" s="2246"/>
      <c r="BJ152" s="2246"/>
      <c r="BK152" s="2246"/>
      <c r="BL152" s="2246"/>
      <c r="BM152" s="2246"/>
      <c r="BN152" s="2246"/>
      <c r="BO152" s="2246"/>
      <c r="BP152" s="2246"/>
      <c r="BQ152" s="2246"/>
      <c r="BR152" s="2246"/>
      <c r="BS152" s="2244"/>
      <c r="BT152" s="2244"/>
      <c r="BU152" s="2244"/>
      <c r="BV152" s="2244"/>
      <c r="BW152" s="2244"/>
      <c r="BX152" s="2246"/>
      <c r="BY152" s="2246"/>
      <c r="BZ152" s="2246"/>
      <c r="CA152" s="2246"/>
      <c r="CB152" s="2246"/>
      <c r="CC152" s="2246"/>
      <c r="CD152" s="2246"/>
      <c r="CE152" s="2246"/>
      <c r="CF152" s="2246"/>
      <c r="CG152" s="2246"/>
      <c r="CH152" s="2246"/>
      <c r="CI152" s="2246"/>
      <c r="CJ152" s="2246"/>
      <c r="CK152" s="2246"/>
      <c r="CL152" s="2246"/>
      <c r="CM152" s="2246"/>
      <c r="CN152" s="2246"/>
      <c r="CO152" s="2246"/>
      <c r="CP152" s="2246"/>
      <c r="CQ152" s="2246"/>
      <c r="CR152" s="2246"/>
      <c r="CS152" s="2248"/>
      <c r="CT152" s="2248"/>
      <c r="CU152" s="2248"/>
      <c r="CV152" s="2248"/>
      <c r="CW152" s="2248"/>
      <c r="CX152" s="2248"/>
      <c r="CY152" s="2248"/>
      <c r="CZ152" s="2248"/>
      <c r="DA152" s="2248"/>
      <c r="DB152" s="2248"/>
      <c r="DC152" s="2248"/>
      <c r="DD152" s="2249"/>
      <c r="DE152" s="2249"/>
      <c r="DF152" s="2249"/>
      <c r="DG152" s="2249"/>
      <c r="DH152" s="2249"/>
      <c r="DI152" s="2249"/>
      <c r="DJ152" s="2249"/>
      <c r="DK152" s="2249"/>
      <c r="DL152" s="2249"/>
      <c r="DM152" s="2249"/>
      <c r="DN152" s="2249"/>
      <c r="DO152" s="2249"/>
      <c r="DP152" s="2249"/>
      <c r="DQ152" s="2249"/>
      <c r="DR152" s="2249"/>
      <c r="DS152" s="2249"/>
      <c r="DT152" s="2249"/>
      <c r="DU152" s="2249"/>
      <c r="DV152" s="2249"/>
      <c r="DW152" s="2249"/>
      <c r="DX152" s="2249"/>
      <c r="DY152" s="2249"/>
      <c r="DZ152" s="2249"/>
      <c r="EA152" s="2249"/>
      <c r="EB152" s="2249"/>
      <c r="EC152" s="2249"/>
      <c r="ED152" s="2249"/>
      <c r="EE152" s="2249"/>
      <c r="EF152" s="2248"/>
      <c r="EG152" s="2248"/>
    </row>
    <row r="153" spans="1:137" ht="18.899999999999999" customHeight="1">
      <c r="A153" s="2244"/>
      <c r="B153" s="2244"/>
      <c r="C153" s="2245"/>
      <c r="D153" s="2245"/>
      <c r="E153" s="2245"/>
      <c r="F153" s="2245"/>
      <c r="G153" s="2245"/>
      <c r="H153" s="2245"/>
      <c r="I153" s="2244"/>
      <c r="J153" s="2244"/>
      <c r="K153" s="2246"/>
      <c r="L153" s="2244"/>
      <c r="M153" s="2244"/>
      <c r="N153" s="2244"/>
      <c r="O153" s="2244"/>
      <c r="P153" s="2244"/>
      <c r="Q153" s="2246"/>
      <c r="R153" s="2246"/>
      <c r="S153" s="2246"/>
      <c r="T153" s="2246"/>
      <c r="U153" s="2246"/>
      <c r="V153" s="2246"/>
      <c r="W153" s="2246"/>
      <c r="X153" s="2246"/>
      <c r="Y153" s="2246"/>
      <c r="Z153" s="2246"/>
      <c r="AA153" s="2246"/>
      <c r="AB153" s="2246"/>
      <c r="AC153" s="2246"/>
      <c r="AD153" s="2246"/>
      <c r="AE153" s="2246"/>
      <c r="AF153" s="2246"/>
      <c r="AG153" s="2246"/>
      <c r="AH153" s="2246"/>
      <c r="AI153" s="2246"/>
      <c r="AJ153" s="2246"/>
      <c r="AK153" s="2246"/>
      <c r="AL153" s="2246"/>
      <c r="AM153" s="2246"/>
      <c r="AN153" s="2246"/>
      <c r="AO153" s="2246"/>
      <c r="AP153" s="2246"/>
      <c r="AQ153" s="2246"/>
      <c r="AR153" s="2246"/>
      <c r="AS153" s="2244"/>
      <c r="AT153" s="2244"/>
      <c r="AU153" s="2244"/>
      <c r="AV153" s="2244"/>
      <c r="AW153" s="2244"/>
      <c r="AX153" s="2244"/>
      <c r="AY153" s="2244"/>
      <c r="AZ153" s="2244"/>
      <c r="BA153" s="2244"/>
      <c r="BB153" s="2244"/>
      <c r="BC153" s="2244"/>
      <c r="BD153" s="2244"/>
      <c r="BE153" s="2244"/>
      <c r="BF153" s="2246"/>
      <c r="BG153" s="2246"/>
      <c r="BH153" s="2246"/>
      <c r="BI153" s="2246"/>
      <c r="BJ153" s="2246"/>
      <c r="BK153" s="2246"/>
      <c r="BL153" s="2246"/>
      <c r="BM153" s="2246"/>
      <c r="BN153" s="2246"/>
      <c r="BO153" s="2246"/>
      <c r="BP153" s="2246"/>
      <c r="BQ153" s="2246"/>
      <c r="BR153" s="2246"/>
      <c r="BS153" s="2244"/>
      <c r="BT153" s="2244"/>
      <c r="BU153" s="2244"/>
      <c r="BV153" s="2244"/>
      <c r="BW153" s="2244"/>
      <c r="BX153" s="2246"/>
      <c r="BY153" s="2246"/>
      <c r="BZ153" s="2246"/>
      <c r="CA153" s="2246"/>
      <c r="CB153" s="2246"/>
      <c r="CC153" s="2246"/>
      <c r="CD153" s="2246"/>
      <c r="CE153" s="2246"/>
      <c r="CF153" s="2246"/>
      <c r="CG153" s="2246"/>
      <c r="CH153" s="2246"/>
      <c r="CI153" s="2246"/>
      <c r="CJ153" s="2246"/>
      <c r="CK153" s="2246"/>
      <c r="CL153" s="2246"/>
      <c r="CM153" s="2246"/>
      <c r="CN153" s="2246"/>
      <c r="CO153" s="2246"/>
      <c r="CP153" s="2246"/>
      <c r="CQ153" s="2246"/>
      <c r="CR153" s="2246"/>
      <c r="CS153" s="2248"/>
      <c r="CT153" s="2248"/>
      <c r="CU153" s="2248"/>
      <c r="CV153" s="2248"/>
      <c r="CW153" s="2248"/>
      <c r="CX153" s="2248"/>
      <c r="CY153" s="2248"/>
      <c r="CZ153" s="2248"/>
      <c r="DA153" s="2248"/>
      <c r="DB153" s="2248"/>
      <c r="DC153" s="2248"/>
      <c r="DD153" s="2249"/>
      <c r="DE153" s="2249"/>
      <c r="DF153" s="2249"/>
      <c r="DG153" s="2249"/>
      <c r="DH153" s="2249"/>
      <c r="DI153" s="2249"/>
      <c r="DJ153" s="2249"/>
      <c r="DK153" s="2249"/>
      <c r="DL153" s="2249"/>
      <c r="DM153" s="2249"/>
      <c r="DN153" s="2249"/>
      <c r="DO153" s="2249"/>
      <c r="DP153" s="2249"/>
      <c r="DQ153" s="2249"/>
      <c r="DR153" s="2249"/>
      <c r="DS153" s="2249"/>
      <c r="DT153" s="2249"/>
      <c r="DU153" s="2249"/>
      <c r="DV153" s="2249"/>
      <c r="DW153" s="2249"/>
      <c r="DX153" s="2249"/>
      <c r="DY153" s="2249"/>
      <c r="DZ153" s="2249"/>
      <c r="EA153" s="2249"/>
      <c r="EB153" s="2249"/>
      <c r="EC153" s="2249"/>
      <c r="ED153" s="2249"/>
      <c r="EE153" s="2249"/>
      <c r="EF153" s="2248"/>
      <c r="EG153" s="2248"/>
    </row>
    <row r="154" spans="1:137" ht="18.899999999999999" customHeight="1">
      <c r="A154" s="2244"/>
      <c r="B154" s="2244"/>
      <c r="C154" s="2245"/>
      <c r="D154" s="2245"/>
      <c r="E154" s="2245"/>
      <c r="F154" s="2245"/>
      <c r="G154" s="2245"/>
      <c r="H154" s="2245"/>
      <c r="I154" s="2244"/>
      <c r="J154" s="2244"/>
      <c r="K154" s="2246"/>
      <c r="L154" s="2244"/>
      <c r="M154" s="2244"/>
      <c r="N154" s="2244"/>
      <c r="O154" s="2244"/>
      <c r="P154" s="2244"/>
      <c r="Q154" s="2246"/>
      <c r="R154" s="2246"/>
      <c r="S154" s="2246"/>
      <c r="T154" s="2246"/>
      <c r="U154" s="2246"/>
      <c r="V154" s="2246"/>
      <c r="W154" s="2246"/>
      <c r="X154" s="2246"/>
      <c r="Y154" s="2246"/>
      <c r="Z154" s="2246"/>
      <c r="AA154" s="2246"/>
      <c r="AB154" s="2246"/>
      <c r="AC154" s="2246"/>
      <c r="AD154" s="2246"/>
      <c r="AE154" s="2246"/>
      <c r="AF154" s="2246"/>
      <c r="AG154" s="2246"/>
      <c r="AH154" s="2246"/>
      <c r="AI154" s="2246"/>
      <c r="AJ154" s="2246"/>
      <c r="AK154" s="2246"/>
      <c r="AL154" s="2246"/>
      <c r="AM154" s="2246"/>
      <c r="AN154" s="2246"/>
      <c r="AO154" s="2246"/>
      <c r="AP154" s="2246"/>
      <c r="AQ154" s="2246"/>
      <c r="AR154" s="2246"/>
      <c r="AS154" s="2244"/>
      <c r="AT154" s="2244"/>
      <c r="AU154" s="2244"/>
      <c r="AV154" s="2244"/>
      <c r="AW154" s="2244"/>
      <c r="AX154" s="2244"/>
      <c r="AY154" s="2244"/>
      <c r="AZ154" s="2244"/>
      <c r="BA154" s="2244"/>
      <c r="BB154" s="2244"/>
      <c r="BC154" s="2244"/>
      <c r="BD154" s="2244"/>
      <c r="BE154" s="2244"/>
      <c r="BF154" s="2246"/>
      <c r="BG154" s="2246"/>
      <c r="BH154" s="2246"/>
      <c r="BI154" s="2246"/>
      <c r="BJ154" s="2246"/>
      <c r="BK154" s="2246"/>
      <c r="BL154" s="2246"/>
      <c r="BM154" s="2246"/>
      <c r="BN154" s="2246"/>
      <c r="BO154" s="2246"/>
      <c r="BP154" s="2246"/>
      <c r="BQ154" s="2246"/>
      <c r="BR154" s="2246"/>
      <c r="BS154" s="2244"/>
      <c r="BT154" s="2244"/>
      <c r="BU154" s="2244"/>
      <c r="BV154" s="2244"/>
      <c r="BW154" s="2244"/>
      <c r="BX154" s="2246"/>
      <c r="BY154" s="2246"/>
      <c r="BZ154" s="2246"/>
      <c r="CA154" s="2246"/>
      <c r="CB154" s="2246"/>
      <c r="CC154" s="2246"/>
      <c r="CD154" s="2246"/>
      <c r="CE154" s="2246"/>
      <c r="CF154" s="2246"/>
      <c r="CG154" s="2246"/>
      <c r="CH154" s="2246"/>
      <c r="CI154" s="2246"/>
      <c r="CJ154" s="2246"/>
      <c r="CK154" s="2246"/>
      <c r="CL154" s="2246"/>
      <c r="CM154" s="2246"/>
      <c r="CN154" s="2246"/>
      <c r="CO154" s="2246"/>
      <c r="CP154" s="2246"/>
      <c r="CQ154" s="2246"/>
      <c r="CR154" s="2246"/>
      <c r="CS154" s="2248"/>
      <c r="CT154" s="2248"/>
      <c r="CU154" s="2248"/>
      <c r="CV154" s="2248"/>
      <c r="CW154" s="2248"/>
      <c r="CX154" s="2248"/>
      <c r="CY154" s="2248"/>
      <c r="CZ154" s="2248"/>
      <c r="DA154" s="2248"/>
      <c r="DB154" s="2248"/>
      <c r="DC154" s="2248"/>
      <c r="DD154" s="2249"/>
      <c r="DE154" s="2249"/>
      <c r="DF154" s="2249"/>
      <c r="DG154" s="2249"/>
      <c r="DH154" s="2249"/>
      <c r="DI154" s="2249"/>
      <c r="DJ154" s="2249"/>
      <c r="DK154" s="2249"/>
      <c r="DL154" s="2249"/>
      <c r="DM154" s="2249"/>
      <c r="DN154" s="2249"/>
      <c r="DO154" s="2249"/>
      <c r="DP154" s="2249"/>
      <c r="DQ154" s="2249"/>
      <c r="DR154" s="2249"/>
      <c r="DS154" s="2249"/>
      <c r="DT154" s="2249"/>
      <c r="DU154" s="2249"/>
      <c r="DV154" s="2249"/>
      <c r="DW154" s="2249"/>
      <c r="DX154" s="2249"/>
      <c r="DY154" s="2249"/>
      <c r="DZ154" s="2249"/>
      <c r="EA154" s="2249"/>
      <c r="EB154" s="2249"/>
      <c r="EC154" s="2249"/>
      <c r="ED154" s="2249"/>
      <c r="EE154" s="2249"/>
      <c r="EF154" s="2248"/>
      <c r="EG154" s="2248"/>
    </row>
    <row r="155" spans="1:137" ht="18.899999999999999" customHeight="1">
      <c r="A155" s="2244"/>
      <c r="B155" s="2244"/>
      <c r="C155" s="2245"/>
      <c r="D155" s="2245"/>
      <c r="E155" s="2245"/>
      <c r="F155" s="2245"/>
      <c r="G155" s="2245"/>
      <c r="H155" s="2245"/>
      <c r="I155" s="2244"/>
      <c r="J155" s="2244"/>
      <c r="K155" s="2246"/>
      <c r="L155" s="2244"/>
      <c r="M155" s="2244"/>
      <c r="N155" s="2244"/>
      <c r="O155" s="2244"/>
      <c r="P155" s="2244"/>
      <c r="Q155" s="2246"/>
      <c r="R155" s="2246"/>
      <c r="S155" s="2246"/>
      <c r="T155" s="2246"/>
      <c r="U155" s="2246"/>
      <c r="V155" s="2246"/>
      <c r="W155" s="2246"/>
      <c r="X155" s="2246"/>
      <c r="Y155" s="2246"/>
      <c r="Z155" s="2246"/>
      <c r="AA155" s="2246"/>
      <c r="AB155" s="2246"/>
      <c r="AC155" s="2246"/>
      <c r="AD155" s="2246"/>
      <c r="AE155" s="2246"/>
      <c r="AF155" s="2246"/>
      <c r="AG155" s="2246"/>
      <c r="AH155" s="2246"/>
      <c r="AI155" s="2246"/>
      <c r="AJ155" s="2246"/>
      <c r="AK155" s="2246"/>
      <c r="AL155" s="2246"/>
      <c r="AM155" s="2246"/>
      <c r="AN155" s="2246"/>
      <c r="AO155" s="2246"/>
      <c r="AP155" s="2246"/>
      <c r="AQ155" s="2246"/>
      <c r="AR155" s="2246"/>
      <c r="AS155" s="2244"/>
      <c r="AT155" s="2244"/>
      <c r="AU155" s="2244"/>
      <c r="AV155" s="2244"/>
      <c r="AW155" s="2244"/>
      <c r="AX155" s="2244"/>
      <c r="AY155" s="2244"/>
      <c r="AZ155" s="2244"/>
      <c r="BA155" s="2244"/>
      <c r="BB155" s="2244"/>
      <c r="BC155" s="2244"/>
      <c r="BD155" s="2244"/>
      <c r="BE155" s="2244"/>
      <c r="BF155" s="2246"/>
      <c r="BG155" s="2246"/>
      <c r="BH155" s="2246"/>
      <c r="BI155" s="2246"/>
      <c r="BJ155" s="2246"/>
      <c r="BK155" s="2246"/>
      <c r="BL155" s="2246"/>
      <c r="BM155" s="2246"/>
      <c r="BN155" s="2246"/>
      <c r="BO155" s="2246"/>
      <c r="BP155" s="2246"/>
      <c r="BQ155" s="2246"/>
      <c r="BR155" s="2246"/>
      <c r="BS155" s="2244"/>
      <c r="BT155" s="2244"/>
      <c r="BU155" s="2244"/>
      <c r="BV155" s="2244"/>
      <c r="BW155" s="2244"/>
      <c r="BX155" s="2246"/>
      <c r="BY155" s="2246"/>
      <c r="BZ155" s="2246"/>
      <c r="CA155" s="2246"/>
      <c r="CB155" s="2246"/>
      <c r="CC155" s="2246"/>
      <c r="CD155" s="2246"/>
      <c r="CE155" s="2246"/>
      <c r="CF155" s="2246"/>
      <c r="CG155" s="2246"/>
      <c r="CH155" s="2246"/>
      <c r="CI155" s="2246"/>
      <c r="CJ155" s="2246"/>
      <c r="CK155" s="2246"/>
      <c r="CL155" s="2246"/>
      <c r="CM155" s="2246"/>
      <c r="CN155" s="2246"/>
      <c r="CO155" s="2246"/>
      <c r="CP155" s="2246"/>
      <c r="CQ155" s="2246"/>
      <c r="CR155" s="2246"/>
      <c r="CS155" s="2248"/>
      <c r="CT155" s="2248"/>
      <c r="CU155" s="2248"/>
      <c r="CV155" s="2248"/>
      <c r="CW155" s="2248"/>
      <c r="CX155" s="2248"/>
      <c r="CY155" s="2248"/>
      <c r="CZ155" s="2248"/>
      <c r="DA155" s="2248"/>
      <c r="DB155" s="2248"/>
      <c r="DC155" s="2248"/>
      <c r="DD155" s="2249"/>
      <c r="DE155" s="2249"/>
      <c r="DF155" s="2249"/>
      <c r="DG155" s="2249"/>
      <c r="DH155" s="2249"/>
      <c r="DI155" s="2249"/>
      <c r="DJ155" s="2249"/>
      <c r="DK155" s="2249"/>
      <c r="DL155" s="2249"/>
      <c r="DM155" s="2249"/>
      <c r="DN155" s="2249"/>
      <c r="DO155" s="2249"/>
      <c r="DP155" s="2249"/>
      <c r="DQ155" s="2249"/>
      <c r="DR155" s="2249"/>
      <c r="DS155" s="2249"/>
      <c r="DT155" s="2249"/>
      <c r="DU155" s="2249"/>
      <c r="DV155" s="2249"/>
      <c r="DW155" s="2249"/>
      <c r="DX155" s="2249"/>
      <c r="DY155" s="2249"/>
      <c r="DZ155" s="2249"/>
      <c r="EA155" s="2249"/>
      <c r="EB155" s="2249"/>
      <c r="EC155" s="2249"/>
      <c r="ED155" s="2249"/>
      <c r="EE155" s="2249"/>
      <c r="EF155" s="2248"/>
      <c r="EG155" s="2248"/>
    </row>
    <row r="156" spans="1:137" ht="18.899999999999999" customHeight="1">
      <c r="A156" s="2244"/>
      <c r="B156" s="2244"/>
      <c r="C156" s="2245"/>
      <c r="D156" s="2245"/>
      <c r="E156" s="2245"/>
      <c r="F156" s="2245"/>
      <c r="G156" s="2245"/>
      <c r="H156" s="2245"/>
      <c r="I156" s="2244"/>
      <c r="J156" s="2244"/>
      <c r="K156" s="2246"/>
      <c r="L156" s="2244"/>
      <c r="M156" s="2244"/>
      <c r="N156" s="2244"/>
      <c r="O156" s="2244"/>
      <c r="P156" s="2244"/>
      <c r="Q156" s="2246"/>
      <c r="R156" s="2246"/>
      <c r="S156" s="2246"/>
      <c r="T156" s="2246"/>
      <c r="U156" s="2246"/>
      <c r="V156" s="2246"/>
      <c r="W156" s="2246"/>
      <c r="X156" s="2246"/>
      <c r="Y156" s="2246"/>
      <c r="Z156" s="2246"/>
      <c r="AA156" s="2246"/>
      <c r="AB156" s="2246"/>
      <c r="AC156" s="2246"/>
      <c r="AD156" s="2246"/>
      <c r="AE156" s="2246"/>
      <c r="AF156" s="2246"/>
      <c r="AG156" s="2246"/>
      <c r="AH156" s="2246"/>
      <c r="AI156" s="2246"/>
      <c r="AJ156" s="2246"/>
      <c r="AK156" s="2246"/>
      <c r="AL156" s="2246"/>
      <c r="AM156" s="2246"/>
      <c r="AN156" s="2246"/>
      <c r="AO156" s="2246"/>
      <c r="AP156" s="2246"/>
      <c r="AQ156" s="2246"/>
      <c r="AR156" s="2246"/>
      <c r="AS156" s="2244"/>
      <c r="AT156" s="2244"/>
      <c r="AU156" s="2244"/>
      <c r="AV156" s="2244"/>
      <c r="AW156" s="2244"/>
      <c r="AX156" s="2244"/>
      <c r="AY156" s="2244"/>
      <c r="AZ156" s="2244"/>
      <c r="BA156" s="2244"/>
      <c r="BB156" s="2244"/>
      <c r="BC156" s="2244"/>
      <c r="BD156" s="2244"/>
      <c r="BE156" s="2244"/>
      <c r="BF156" s="2246"/>
      <c r="BG156" s="2246"/>
      <c r="BH156" s="2246"/>
      <c r="BI156" s="2246"/>
      <c r="BJ156" s="2246"/>
      <c r="BK156" s="2246"/>
      <c r="BL156" s="2246"/>
      <c r="BM156" s="2246"/>
      <c r="BN156" s="2246"/>
      <c r="BO156" s="2246"/>
      <c r="BP156" s="2246"/>
      <c r="BQ156" s="2246"/>
      <c r="BR156" s="2246"/>
      <c r="BS156" s="2244"/>
      <c r="BT156" s="2244"/>
      <c r="BU156" s="2244"/>
      <c r="BV156" s="2244"/>
      <c r="BW156" s="2244"/>
      <c r="BX156" s="2246"/>
      <c r="BY156" s="2246"/>
      <c r="BZ156" s="2246"/>
      <c r="CA156" s="2246"/>
      <c r="CB156" s="2246"/>
      <c r="CC156" s="2246"/>
      <c r="CD156" s="2246"/>
      <c r="CE156" s="2246"/>
      <c r="CF156" s="2246"/>
      <c r="CG156" s="2246"/>
      <c r="CH156" s="2246"/>
      <c r="CI156" s="2246"/>
      <c r="CJ156" s="2246"/>
      <c r="CK156" s="2246"/>
      <c r="CL156" s="2246"/>
      <c r="CM156" s="2246"/>
      <c r="CN156" s="2246"/>
      <c r="CO156" s="2246"/>
      <c r="CP156" s="2246"/>
      <c r="CQ156" s="2246"/>
      <c r="CR156" s="2246"/>
      <c r="CS156" s="2248"/>
      <c r="CT156" s="2248"/>
      <c r="CU156" s="2248"/>
      <c r="CV156" s="2248"/>
      <c r="CW156" s="2248"/>
      <c r="CX156" s="2248"/>
      <c r="CY156" s="2248"/>
      <c r="CZ156" s="2248"/>
      <c r="DA156" s="2248"/>
      <c r="DB156" s="2248"/>
      <c r="DC156" s="2248"/>
      <c r="DD156" s="2249"/>
      <c r="DE156" s="2249"/>
      <c r="DF156" s="2249"/>
      <c r="DG156" s="2249"/>
      <c r="DH156" s="2249"/>
      <c r="DI156" s="2249"/>
      <c r="DJ156" s="2249"/>
      <c r="DK156" s="2249"/>
      <c r="DL156" s="2249"/>
      <c r="DM156" s="2249"/>
      <c r="DN156" s="2249"/>
      <c r="DO156" s="2249"/>
      <c r="DP156" s="2249"/>
      <c r="DQ156" s="2249"/>
      <c r="DR156" s="2249"/>
      <c r="DS156" s="2249"/>
      <c r="DT156" s="2249"/>
      <c r="DU156" s="2249"/>
      <c r="DV156" s="2249"/>
      <c r="DW156" s="2249"/>
      <c r="DX156" s="2249"/>
      <c r="DY156" s="2249"/>
      <c r="DZ156" s="2249"/>
      <c r="EA156" s="2249"/>
      <c r="EB156" s="2249"/>
      <c r="EC156" s="2249"/>
      <c r="ED156" s="2249"/>
      <c r="EE156" s="2249"/>
      <c r="EF156" s="2248"/>
      <c r="EG156" s="2248"/>
    </row>
    <row r="157" spans="1:137" ht="18.899999999999999" customHeight="1">
      <c r="A157" s="2244"/>
      <c r="B157" s="2244"/>
      <c r="C157" s="2245"/>
      <c r="D157" s="2245"/>
      <c r="E157" s="2245"/>
      <c r="F157" s="2245"/>
      <c r="G157" s="2245"/>
      <c r="H157" s="2245"/>
      <c r="I157" s="2244"/>
      <c r="J157" s="2244"/>
      <c r="K157" s="2246"/>
      <c r="L157" s="2244"/>
      <c r="M157" s="2244"/>
      <c r="N157" s="2244"/>
      <c r="O157" s="2244"/>
      <c r="P157" s="2244"/>
      <c r="Q157" s="2246"/>
      <c r="R157" s="2246"/>
      <c r="S157" s="2246"/>
      <c r="T157" s="2246"/>
      <c r="U157" s="2246"/>
      <c r="V157" s="2246"/>
      <c r="W157" s="2246"/>
      <c r="X157" s="2246"/>
      <c r="Y157" s="2246"/>
      <c r="Z157" s="2246"/>
      <c r="AA157" s="2246"/>
      <c r="AB157" s="2246"/>
      <c r="AC157" s="2246"/>
      <c r="AD157" s="2246"/>
      <c r="AE157" s="2246"/>
      <c r="AF157" s="2246"/>
      <c r="AG157" s="2246"/>
      <c r="AH157" s="2246"/>
      <c r="AI157" s="2246"/>
      <c r="AJ157" s="2246"/>
      <c r="AK157" s="2246"/>
      <c r="AL157" s="2246"/>
      <c r="AM157" s="2246"/>
      <c r="AN157" s="2246"/>
      <c r="AO157" s="2246"/>
      <c r="AP157" s="2246"/>
      <c r="AQ157" s="2246"/>
      <c r="AR157" s="2246"/>
      <c r="AS157" s="2244"/>
      <c r="AT157" s="2244"/>
      <c r="AU157" s="2244"/>
      <c r="AV157" s="2244"/>
      <c r="AW157" s="2244"/>
      <c r="AX157" s="2244"/>
      <c r="AY157" s="2244"/>
      <c r="AZ157" s="2244"/>
      <c r="BA157" s="2244"/>
      <c r="BB157" s="2244"/>
      <c r="BC157" s="2244"/>
      <c r="BD157" s="2244"/>
      <c r="BE157" s="2244"/>
      <c r="BF157" s="2246"/>
      <c r="BG157" s="2246"/>
      <c r="BH157" s="2246"/>
      <c r="BI157" s="2246"/>
      <c r="BJ157" s="2246"/>
      <c r="BK157" s="2246"/>
      <c r="BL157" s="2246"/>
      <c r="BM157" s="2246"/>
      <c r="BN157" s="2246"/>
      <c r="BO157" s="2246"/>
      <c r="BP157" s="2246"/>
      <c r="BQ157" s="2246"/>
      <c r="BR157" s="2246"/>
      <c r="BS157" s="2244"/>
      <c r="BT157" s="2244"/>
      <c r="BU157" s="2244"/>
      <c r="BV157" s="2244"/>
      <c r="BW157" s="2244"/>
      <c r="BX157" s="2246"/>
      <c r="BY157" s="2246"/>
      <c r="BZ157" s="2246"/>
      <c r="CA157" s="2246"/>
      <c r="CB157" s="2246"/>
      <c r="CC157" s="2246"/>
      <c r="CD157" s="2246"/>
      <c r="CE157" s="2246"/>
      <c r="CF157" s="2246"/>
      <c r="CG157" s="2246"/>
      <c r="CH157" s="2246"/>
      <c r="CI157" s="2246"/>
      <c r="CJ157" s="2246"/>
      <c r="CK157" s="2246"/>
      <c r="CL157" s="2246"/>
      <c r="CM157" s="2246"/>
      <c r="CN157" s="2246"/>
      <c r="CO157" s="2246"/>
      <c r="CP157" s="2246"/>
      <c r="CQ157" s="2246"/>
      <c r="CR157" s="2246"/>
      <c r="CS157" s="2248"/>
      <c r="CT157" s="2248"/>
      <c r="CU157" s="2248"/>
      <c r="CV157" s="2248"/>
      <c r="CW157" s="2248"/>
      <c r="CX157" s="2248"/>
      <c r="CY157" s="2248"/>
      <c r="CZ157" s="2248"/>
      <c r="DA157" s="2248"/>
      <c r="DB157" s="2248"/>
      <c r="DC157" s="2248"/>
      <c r="DD157" s="2249"/>
      <c r="DE157" s="2249"/>
      <c r="DF157" s="2249"/>
      <c r="DG157" s="2249"/>
      <c r="DH157" s="2249"/>
      <c r="DI157" s="2249"/>
      <c r="DJ157" s="2249"/>
      <c r="DK157" s="2249"/>
      <c r="DL157" s="2249"/>
      <c r="DM157" s="2249"/>
      <c r="DN157" s="2249"/>
      <c r="DO157" s="2249"/>
      <c r="DP157" s="2249"/>
      <c r="DQ157" s="2249"/>
      <c r="DR157" s="2249"/>
      <c r="DS157" s="2249"/>
      <c r="DT157" s="2249"/>
      <c r="DU157" s="2249"/>
      <c r="DV157" s="2249"/>
      <c r="DW157" s="2249"/>
      <c r="DX157" s="2249"/>
      <c r="DY157" s="2249"/>
      <c r="DZ157" s="2249"/>
      <c r="EA157" s="2249"/>
      <c r="EB157" s="2249"/>
      <c r="EC157" s="2249"/>
      <c r="ED157" s="2249"/>
      <c r="EE157" s="2249"/>
      <c r="EF157" s="2248"/>
      <c r="EG157" s="2248"/>
    </row>
    <row r="158" spans="1:137" ht="18.899999999999999" customHeight="1">
      <c r="A158" s="2244"/>
      <c r="B158" s="2244"/>
      <c r="C158" s="2245"/>
      <c r="D158" s="2245"/>
      <c r="E158" s="2245"/>
      <c r="F158" s="2245"/>
      <c r="G158" s="2245"/>
      <c r="H158" s="2245"/>
      <c r="I158" s="2244"/>
      <c r="J158" s="2244"/>
      <c r="K158" s="2246"/>
      <c r="L158" s="2244"/>
      <c r="M158" s="2244"/>
      <c r="N158" s="2244"/>
      <c r="O158" s="2244"/>
      <c r="P158" s="2244"/>
      <c r="Q158" s="2246"/>
      <c r="R158" s="2246"/>
      <c r="S158" s="2246"/>
      <c r="T158" s="2246"/>
      <c r="U158" s="2246"/>
      <c r="V158" s="2246"/>
      <c r="W158" s="2246"/>
      <c r="X158" s="2246"/>
      <c r="Y158" s="2246"/>
      <c r="Z158" s="2246"/>
      <c r="AA158" s="2246"/>
      <c r="AB158" s="2246"/>
      <c r="AC158" s="2246"/>
      <c r="AD158" s="2246"/>
      <c r="AE158" s="2246"/>
      <c r="AF158" s="2246"/>
      <c r="AG158" s="2246"/>
      <c r="AH158" s="2246"/>
      <c r="AI158" s="2246"/>
      <c r="AJ158" s="2246"/>
      <c r="AK158" s="2246"/>
      <c r="AL158" s="2246"/>
      <c r="AM158" s="2246"/>
      <c r="AN158" s="2246"/>
      <c r="AO158" s="2246"/>
      <c r="AP158" s="2246"/>
      <c r="AQ158" s="2246"/>
      <c r="AR158" s="2246"/>
      <c r="AS158" s="2244"/>
      <c r="AT158" s="2244"/>
      <c r="AU158" s="2244"/>
      <c r="AV158" s="2244"/>
      <c r="AW158" s="2244"/>
      <c r="AX158" s="2244"/>
      <c r="AY158" s="2244"/>
      <c r="AZ158" s="2244"/>
      <c r="BA158" s="2244"/>
      <c r="BB158" s="2244"/>
      <c r="BC158" s="2244"/>
      <c r="BD158" s="2244"/>
      <c r="BE158" s="2244"/>
      <c r="BF158" s="2246"/>
      <c r="BG158" s="2246"/>
      <c r="BH158" s="2246"/>
      <c r="BI158" s="2246"/>
      <c r="BJ158" s="2246"/>
      <c r="BK158" s="2246"/>
      <c r="BL158" s="2246"/>
      <c r="BM158" s="2246"/>
      <c r="BN158" s="2246"/>
      <c r="BO158" s="2246"/>
      <c r="BP158" s="2246"/>
      <c r="BQ158" s="2246"/>
      <c r="BR158" s="2246"/>
      <c r="BS158" s="2244"/>
      <c r="BT158" s="2244"/>
      <c r="BU158" s="2244"/>
      <c r="BV158" s="2244"/>
      <c r="BW158" s="2244"/>
      <c r="BX158" s="2246"/>
      <c r="BY158" s="2246"/>
      <c r="BZ158" s="2246"/>
      <c r="CA158" s="2246"/>
      <c r="CB158" s="2246"/>
      <c r="CC158" s="2246"/>
      <c r="CD158" s="2246"/>
      <c r="CE158" s="2246"/>
      <c r="CF158" s="2246"/>
      <c r="CG158" s="2246"/>
      <c r="CH158" s="2246"/>
      <c r="CI158" s="2246"/>
      <c r="CJ158" s="2246"/>
      <c r="CK158" s="2246"/>
      <c r="CL158" s="2246"/>
      <c r="CM158" s="2246"/>
      <c r="CN158" s="2246"/>
      <c r="CO158" s="2246"/>
      <c r="CP158" s="2246"/>
      <c r="CQ158" s="2246"/>
      <c r="CR158" s="2246"/>
      <c r="CS158" s="2248"/>
      <c r="CT158" s="2248"/>
      <c r="CU158" s="2248"/>
      <c r="CV158" s="2248"/>
      <c r="CW158" s="2248"/>
      <c r="CX158" s="2248"/>
      <c r="CY158" s="2248"/>
      <c r="CZ158" s="2248"/>
      <c r="DA158" s="2248"/>
      <c r="DB158" s="2248"/>
      <c r="DC158" s="2248"/>
      <c r="DD158" s="2249"/>
      <c r="DE158" s="2249"/>
      <c r="DF158" s="2249"/>
      <c r="DG158" s="2249"/>
      <c r="DH158" s="2249"/>
      <c r="DI158" s="2249"/>
      <c r="DJ158" s="2249"/>
      <c r="DK158" s="2249"/>
      <c r="DL158" s="2249"/>
      <c r="DM158" s="2249"/>
      <c r="DN158" s="2249"/>
      <c r="DO158" s="2249"/>
      <c r="DP158" s="2249"/>
      <c r="DQ158" s="2249"/>
      <c r="DR158" s="2249"/>
      <c r="DS158" s="2249"/>
      <c r="DT158" s="2249"/>
      <c r="DU158" s="2249"/>
      <c r="DV158" s="2249"/>
      <c r="DW158" s="2249"/>
      <c r="DX158" s="2249"/>
      <c r="DY158" s="2249"/>
      <c r="DZ158" s="2249"/>
      <c r="EA158" s="2249"/>
      <c r="EB158" s="2249"/>
      <c r="EC158" s="2249"/>
      <c r="ED158" s="2249"/>
      <c r="EE158" s="2249"/>
      <c r="EF158" s="2248"/>
      <c r="EG158" s="2248"/>
    </row>
    <row r="159" spans="1:137" ht="18.899999999999999" customHeight="1">
      <c r="A159" s="2244"/>
      <c r="B159" s="2244"/>
      <c r="C159" s="2245"/>
      <c r="D159" s="2245"/>
      <c r="E159" s="2245"/>
      <c r="F159" s="2245"/>
      <c r="G159" s="2245"/>
      <c r="H159" s="2245"/>
      <c r="I159" s="2244"/>
      <c r="J159" s="2244"/>
      <c r="K159" s="2246"/>
      <c r="L159" s="2244"/>
      <c r="M159" s="2244"/>
      <c r="N159" s="2244"/>
      <c r="O159" s="2244"/>
      <c r="P159" s="2244"/>
      <c r="Q159" s="2246"/>
      <c r="R159" s="2246"/>
      <c r="S159" s="2246"/>
      <c r="T159" s="2246"/>
      <c r="U159" s="2246"/>
      <c r="V159" s="2246"/>
      <c r="W159" s="2246"/>
      <c r="X159" s="2246"/>
      <c r="Y159" s="2246"/>
      <c r="Z159" s="2246"/>
      <c r="AA159" s="2246"/>
      <c r="AB159" s="2246"/>
      <c r="AC159" s="2246"/>
      <c r="AD159" s="2246"/>
      <c r="AE159" s="2246"/>
      <c r="AF159" s="2246"/>
      <c r="AG159" s="2246"/>
      <c r="AH159" s="2246"/>
      <c r="AI159" s="2246"/>
      <c r="AJ159" s="2246"/>
      <c r="AK159" s="2246"/>
      <c r="AL159" s="2246"/>
      <c r="AM159" s="2246"/>
      <c r="AN159" s="2246"/>
      <c r="AO159" s="2246"/>
      <c r="AP159" s="2246"/>
      <c r="AQ159" s="2246"/>
      <c r="AR159" s="2246"/>
      <c r="AS159" s="2244"/>
      <c r="AT159" s="2244"/>
      <c r="AU159" s="2244"/>
      <c r="AV159" s="2244"/>
      <c r="AW159" s="2244"/>
      <c r="AX159" s="2244"/>
      <c r="AY159" s="2244"/>
      <c r="AZ159" s="2244"/>
      <c r="BA159" s="2244"/>
      <c r="BB159" s="2244"/>
      <c r="BC159" s="2244"/>
      <c r="BD159" s="2244"/>
      <c r="BE159" s="2244"/>
      <c r="BF159" s="2246"/>
      <c r="BG159" s="2246"/>
      <c r="BH159" s="2246"/>
      <c r="BI159" s="2246"/>
      <c r="BJ159" s="2246"/>
      <c r="BK159" s="2246"/>
      <c r="BL159" s="2246"/>
      <c r="BM159" s="2246"/>
      <c r="BN159" s="2246"/>
      <c r="BO159" s="2246"/>
      <c r="BP159" s="2246"/>
      <c r="BQ159" s="2246"/>
      <c r="BR159" s="2246"/>
      <c r="BS159" s="2244"/>
      <c r="BT159" s="2244"/>
      <c r="BU159" s="2244"/>
      <c r="BV159" s="2244"/>
      <c r="BW159" s="2244"/>
      <c r="BX159" s="2246"/>
      <c r="BY159" s="2246"/>
      <c r="BZ159" s="2246"/>
      <c r="CA159" s="2246"/>
      <c r="CB159" s="2246"/>
      <c r="CC159" s="2246"/>
      <c r="CD159" s="2246"/>
      <c r="CE159" s="2246"/>
      <c r="CF159" s="2246"/>
      <c r="CG159" s="2246"/>
      <c r="CH159" s="2246"/>
      <c r="CI159" s="2246"/>
      <c r="CJ159" s="2246"/>
      <c r="CK159" s="2246"/>
      <c r="CL159" s="2246"/>
      <c r="CM159" s="2246"/>
      <c r="CN159" s="2246"/>
      <c r="CO159" s="2246"/>
      <c r="CP159" s="2246"/>
      <c r="CQ159" s="2246"/>
      <c r="CR159" s="2246"/>
      <c r="CS159" s="2248"/>
      <c r="CT159" s="2248"/>
      <c r="CU159" s="2248"/>
      <c r="CV159" s="2248"/>
      <c r="CW159" s="2248"/>
      <c r="CX159" s="2248"/>
      <c r="CY159" s="2248"/>
      <c r="CZ159" s="2248"/>
      <c r="DA159" s="2248"/>
      <c r="DB159" s="2248"/>
      <c r="DC159" s="2248"/>
      <c r="DD159" s="2249"/>
      <c r="DE159" s="2249"/>
      <c r="DF159" s="2249"/>
      <c r="DG159" s="2249"/>
      <c r="DH159" s="2249"/>
      <c r="DI159" s="2249"/>
      <c r="DJ159" s="2249"/>
      <c r="DK159" s="2249"/>
      <c r="DL159" s="2249"/>
      <c r="DM159" s="2249"/>
      <c r="DN159" s="2249"/>
      <c r="DO159" s="2249"/>
      <c r="DP159" s="2249"/>
      <c r="DQ159" s="2249"/>
      <c r="DR159" s="2249"/>
      <c r="DS159" s="2249"/>
      <c r="DT159" s="2249"/>
      <c r="DU159" s="2249"/>
      <c r="DV159" s="2249"/>
      <c r="DW159" s="2249"/>
      <c r="DX159" s="2249"/>
      <c r="DY159" s="2249"/>
      <c r="DZ159" s="2249"/>
      <c r="EA159" s="2249"/>
      <c r="EB159" s="2249"/>
      <c r="EC159" s="2249"/>
      <c r="ED159" s="2249"/>
      <c r="EE159" s="2249"/>
      <c r="EF159" s="2248"/>
      <c r="EG159" s="2248"/>
    </row>
    <row r="160" spans="1:137" ht="18.899999999999999" customHeight="1">
      <c r="A160" s="2244"/>
      <c r="B160" s="2244"/>
      <c r="C160" s="2245"/>
      <c r="D160" s="2245"/>
      <c r="E160" s="2245"/>
      <c r="F160" s="2245"/>
      <c r="G160" s="2245"/>
      <c r="H160" s="2245"/>
      <c r="I160" s="2244"/>
      <c r="J160" s="2244"/>
      <c r="K160" s="2246"/>
      <c r="L160" s="2244"/>
      <c r="M160" s="2244"/>
      <c r="N160" s="2244"/>
      <c r="O160" s="2244"/>
      <c r="P160" s="2244"/>
      <c r="Q160" s="2246"/>
      <c r="R160" s="2246"/>
      <c r="S160" s="2246"/>
      <c r="T160" s="2246"/>
      <c r="U160" s="2246"/>
      <c r="V160" s="2246"/>
      <c r="W160" s="2246"/>
      <c r="X160" s="2246"/>
      <c r="Y160" s="2246"/>
      <c r="Z160" s="2246"/>
      <c r="AA160" s="2246"/>
      <c r="AB160" s="2246"/>
      <c r="AC160" s="2246"/>
      <c r="AD160" s="2246"/>
      <c r="AE160" s="2246"/>
      <c r="AF160" s="2246"/>
      <c r="AG160" s="2246"/>
      <c r="AH160" s="2246"/>
      <c r="AI160" s="2246"/>
      <c r="AJ160" s="2246"/>
      <c r="AK160" s="2246"/>
      <c r="AL160" s="2246"/>
      <c r="AM160" s="2246"/>
      <c r="AN160" s="2246"/>
      <c r="AO160" s="2246"/>
      <c r="AP160" s="2246"/>
      <c r="AQ160" s="2246"/>
      <c r="AR160" s="2246"/>
      <c r="AS160" s="2244"/>
      <c r="AT160" s="2244"/>
      <c r="AU160" s="2244"/>
      <c r="AV160" s="2244"/>
      <c r="AW160" s="2244"/>
      <c r="AX160" s="2244"/>
      <c r="AY160" s="2244"/>
      <c r="AZ160" s="2244"/>
      <c r="BA160" s="2244"/>
      <c r="BB160" s="2244"/>
      <c r="BC160" s="2244"/>
      <c r="BD160" s="2244"/>
      <c r="BE160" s="2244"/>
      <c r="BF160" s="2246"/>
      <c r="BG160" s="2246"/>
      <c r="BH160" s="2246"/>
      <c r="BI160" s="2246"/>
      <c r="BJ160" s="2246"/>
      <c r="BK160" s="2246"/>
      <c r="BL160" s="2246"/>
      <c r="BM160" s="2246"/>
      <c r="BN160" s="2246"/>
      <c r="BO160" s="2246"/>
      <c r="BP160" s="2246"/>
      <c r="BQ160" s="2246"/>
      <c r="BR160" s="2246"/>
      <c r="BS160" s="2244"/>
      <c r="BT160" s="2244"/>
      <c r="BU160" s="2244"/>
      <c r="BV160" s="2244"/>
      <c r="BW160" s="2244"/>
      <c r="BX160" s="2246"/>
      <c r="BY160" s="2246"/>
      <c r="BZ160" s="2246"/>
      <c r="CA160" s="2246"/>
      <c r="CB160" s="2246"/>
      <c r="CC160" s="2246"/>
      <c r="CD160" s="2246"/>
      <c r="CE160" s="2246"/>
      <c r="CF160" s="2246"/>
      <c r="CG160" s="2246"/>
      <c r="CH160" s="2246"/>
      <c r="CI160" s="2246"/>
      <c r="CJ160" s="2246"/>
      <c r="CK160" s="2246"/>
      <c r="CL160" s="2246"/>
      <c r="CM160" s="2246"/>
      <c r="CN160" s="2246"/>
      <c r="CO160" s="2246"/>
      <c r="CP160" s="2246"/>
      <c r="CQ160" s="2246"/>
      <c r="CR160" s="2246"/>
      <c r="CS160" s="2248"/>
      <c r="CT160" s="2248"/>
      <c r="CU160" s="2248"/>
      <c r="CV160" s="2248"/>
      <c r="CW160" s="2248"/>
      <c r="CX160" s="2248"/>
      <c r="CY160" s="2248"/>
      <c r="CZ160" s="2248"/>
      <c r="DA160" s="2248"/>
      <c r="DB160" s="2248"/>
      <c r="DC160" s="2248"/>
      <c r="DD160" s="2249"/>
      <c r="DE160" s="2249"/>
      <c r="DF160" s="2249"/>
      <c r="DG160" s="2249"/>
      <c r="DH160" s="2249"/>
      <c r="DI160" s="2249"/>
      <c r="DJ160" s="2249"/>
      <c r="DK160" s="2249"/>
      <c r="DL160" s="2249"/>
      <c r="DM160" s="2249"/>
      <c r="DN160" s="2249"/>
      <c r="DO160" s="2249"/>
      <c r="DP160" s="2249"/>
      <c r="DQ160" s="2249"/>
      <c r="DR160" s="2249"/>
      <c r="DS160" s="2249"/>
      <c r="DT160" s="2249"/>
      <c r="DU160" s="2249"/>
      <c r="DV160" s="2249"/>
      <c r="DW160" s="2249"/>
      <c r="DX160" s="2249"/>
      <c r="DY160" s="2249"/>
      <c r="DZ160" s="2249"/>
      <c r="EA160" s="2249"/>
      <c r="EB160" s="2249"/>
      <c r="EC160" s="2249"/>
      <c r="ED160" s="2249"/>
      <c r="EE160" s="2249"/>
      <c r="EF160" s="2248"/>
      <c r="EG160" s="2248"/>
    </row>
    <row r="161" spans="1:137" ht="18.899999999999999" customHeight="1">
      <c r="A161" s="2244"/>
      <c r="B161" s="2244"/>
      <c r="C161" s="2245"/>
      <c r="D161" s="2245"/>
      <c r="E161" s="2245"/>
      <c r="F161" s="2245"/>
      <c r="G161" s="2245"/>
      <c r="H161" s="2245"/>
      <c r="I161" s="2244"/>
      <c r="J161" s="2244"/>
      <c r="K161" s="2246"/>
      <c r="L161" s="2244"/>
      <c r="M161" s="2244"/>
      <c r="N161" s="2244"/>
      <c r="O161" s="2244"/>
      <c r="P161" s="2244"/>
      <c r="Q161" s="2246"/>
      <c r="R161" s="2246"/>
      <c r="S161" s="2246"/>
      <c r="T161" s="2246"/>
      <c r="U161" s="2246"/>
      <c r="V161" s="2246"/>
      <c r="W161" s="2246"/>
      <c r="X161" s="2246"/>
      <c r="Y161" s="2246"/>
      <c r="Z161" s="2246"/>
      <c r="AA161" s="2246"/>
      <c r="AB161" s="2246"/>
      <c r="AC161" s="2246"/>
      <c r="AD161" s="2246"/>
      <c r="AE161" s="2246"/>
      <c r="AF161" s="2246"/>
      <c r="AG161" s="2246"/>
      <c r="AH161" s="2246"/>
      <c r="AI161" s="2246"/>
      <c r="AJ161" s="2246"/>
      <c r="AK161" s="2246"/>
      <c r="AL161" s="2246"/>
      <c r="AM161" s="2246"/>
      <c r="AN161" s="2246"/>
      <c r="AO161" s="2246"/>
      <c r="AP161" s="2246"/>
      <c r="AQ161" s="2246"/>
      <c r="AR161" s="2246"/>
      <c r="AS161" s="2244"/>
      <c r="AT161" s="2244"/>
      <c r="AU161" s="2244"/>
      <c r="AV161" s="2244"/>
      <c r="AW161" s="2244"/>
      <c r="AX161" s="2244"/>
      <c r="AY161" s="2244"/>
      <c r="AZ161" s="2244"/>
      <c r="BA161" s="2244"/>
      <c r="BB161" s="2244"/>
      <c r="BC161" s="2244"/>
      <c r="BD161" s="2244"/>
      <c r="BE161" s="2244"/>
      <c r="BF161" s="2246"/>
      <c r="BG161" s="2246"/>
      <c r="BH161" s="2246"/>
      <c r="BI161" s="2246"/>
      <c r="BJ161" s="2246"/>
      <c r="BK161" s="2246"/>
      <c r="BL161" s="2246"/>
      <c r="BM161" s="2246"/>
      <c r="BN161" s="2246"/>
      <c r="BO161" s="2246"/>
      <c r="BP161" s="2246"/>
      <c r="BQ161" s="2246"/>
      <c r="BR161" s="2246"/>
      <c r="BS161" s="2244"/>
      <c r="BT161" s="2244"/>
      <c r="BU161" s="2244"/>
      <c r="BV161" s="2244"/>
      <c r="BW161" s="2244"/>
      <c r="BX161" s="2246"/>
      <c r="BY161" s="2246"/>
      <c r="BZ161" s="2246"/>
      <c r="CA161" s="2246"/>
      <c r="CB161" s="2246"/>
      <c r="CC161" s="2246"/>
      <c r="CD161" s="2246"/>
      <c r="CE161" s="2246"/>
      <c r="CF161" s="2246"/>
      <c r="CG161" s="2246"/>
      <c r="CH161" s="2246"/>
      <c r="CI161" s="2246"/>
      <c r="CJ161" s="2246"/>
      <c r="CK161" s="2246"/>
      <c r="CL161" s="2246"/>
      <c r="CM161" s="2246"/>
      <c r="CN161" s="2246"/>
      <c r="CO161" s="2246"/>
      <c r="CP161" s="2246"/>
      <c r="CQ161" s="2246"/>
      <c r="CR161" s="2246"/>
      <c r="CS161" s="2248"/>
      <c r="CT161" s="2248"/>
      <c r="CU161" s="2248"/>
      <c r="CV161" s="2248"/>
      <c r="CW161" s="2248"/>
      <c r="CX161" s="2248"/>
      <c r="CY161" s="2248"/>
      <c r="CZ161" s="2248"/>
      <c r="DA161" s="2248"/>
      <c r="DB161" s="2248"/>
      <c r="DC161" s="2248"/>
      <c r="DD161" s="2249"/>
      <c r="DE161" s="2249"/>
      <c r="DF161" s="2249"/>
      <c r="DG161" s="2249"/>
      <c r="DH161" s="2249"/>
      <c r="DI161" s="2249"/>
      <c r="DJ161" s="2249"/>
      <c r="DK161" s="2249"/>
      <c r="DL161" s="2249"/>
      <c r="DM161" s="2249"/>
      <c r="DN161" s="2249"/>
      <c r="DO161" s="2249"/>
      <c r="DP161" s="2249"/>
      <c r="DQ161" s="2249"/>
      <c r="DR161" s="2249"/>
      <c r="DS161" s="2249"/>
      <c r="DT161" s="2249"/>
      <c r="DU161" s="2249"/>
      <c r="DV161" s="2249"/>
      <c r="DW161" s="2249"/>
      <c r="DX161" s="2249"/>
      <c r="DY161" s="2249"/>
      <c r="DZ161" s="2249"/>
      <c r="EA161" s="2249"/>
      <c r="EB161" s="2249"/>
      <c r="EC161" s="2249"/>
      <c r="ED161" s="2249"/>
      <c r="EE161" s="2249"/>
      <c r="EF161" s="2248"/>
      <c r="EG161" s="2248"/>
    </row>
    <row r="162" spans="1:137" ht="18.899999999999999" customHeight="1">
      <c r="A162" s="2244"/>
      <c r="B162" s="2244"/>
      <c r="C162" s="2245"/>
      <c r="D162" s="2245"/>
      <c r="E162" s="2245"/>
      <c r="F162" s="2245"/>
      <c r="G162" s="2245"/>
      <c r="H162" s="2245"/>
      <c r="I162" s="2244"/>
      <c r="J162" s="2244"/>
      <c r="K162" s="2246"/>
      <c r="L162" s="2244"/>
      <c r="M162" s="2244"/>
      <c r="N162" s="2244"/>
      <c r="O162" s="2244"/>
      <c r="P162" s="2244"/>
      <c r="Q162" s="2246"/>
      <c r="R162" s="2246"/>
      <c r="S162" s="2246"/>
      <c r="T162" s="2246"/>
      <c r="U162" s="2246"/>
      <c r="V162" s="2246"/>
      <c r="W162" s="2246"/>
      <c r="X162" s="2246"/>
      <c r="Y162" s="2246"/>
      <c r="Z162" s="2246"/>
      <c r="AA162" s="2246"/>
      <c r="AB162" s="2246"/>
      <c r="AC162" s="2246"/>
      <c r="AD162" s="2246"/>
      <c r="AE162" s="2246"/>
      <c r="AF162" s="2246"/>
      <c r="AG162" s="2246"/>
      <c r="AH162" s="2246"/>
      <c r="AI162" s="2246"/>
      <c r="AJ162" s="2246"/>
      <c r="AK162" s="2246"/>
      <c r="AL162" s="2246"/>
      <c r="AM162" s="2246"/>
      <c r="AN162" s="2246"/>
      <c r="AO162" s="2246"/>
      <c r="AP162" s="2246"/>
      <c r="AQ162" s="2246"/>
      <c r="AR162" s="2246"/>
      <c r="AS162" s="2244"/>
      <c r="AT162" s="2244"/>
      <c r="AU162" s="2244"/>
      <c r="AV162" s="2244"/>
      <c r="AW162" s="2244"/>
      <c r="AX162" s="2244"/>
      <c r="AY162" s="2244"/>
      <c r="AZ162" s="2244"/>
      <c r="BA162" s="2244"/>
      <c r="BB162" s="2244"/>
      <c r="BC162" s="2244"/>
      <c r="BD162" s="2244"/>
      <c r="BE162" s="2244"/>
      <c r="BF162" s="2246"/>
      <c r="BG162" s="2246"/>
      <c r="BH162" s="2246"/>
      <c r="BI162" s="2246"/>
      <c r="BJ162" s="2246"/>
      <c r="BK162" s="2246"/>
      <c r="BL162" s="2246"/>
      <c r="BM162" s="2246"/>
      <c r="BN162" s="2246"/>
      <c r="BO162" s="2246"/>
      <c r="BP162" s="2246"/>
      <c r="BQ162" s="2246"/>
      <c r="BR162" s="2246"/>
      <c r="BS162" s="2244"/>
      <c r="BT162" s="2244"/>
      <c r="BU162" s="2244"/>
      <c r="BV162" s="2244"/>
      <c r="BW162" s="2244"/>
      <c r="BX162" s="2246"/>
      <c r="BY162" s="2246"/>
      <c r="BZ162" s="2246"/>
      <c r="CA162" s="2246"/>
      <c r="CB162" s="2246"/>
      <c r="CC162" s="2246"/>
      <c r="CD162" s="2246"/>
      <c r="CE162" s="2246"/>
      <c r="CF162" s="2246"/>
      <c r="CG162" s="2246"/>
      <c r="CH162" s="2246"/>
      <c r="CI162" s="2246"/>
      <c r="CJ162" s="2246"/>
      <c r="CK162" s="2246"/>
      <c r="CL162" s="2246"/>
      <c r="CM162" s="2246"/>
      <c r="CN162" s="2246"/>
      <c r="CO162" s="2246"/>
      <c r="CP162" s="2246"/>
      <c r="CQ162" s="2246"/>
      <c r="CR162" s="2246"/>
      <c r="CS162" s="2248"/>
      <c r="CT162" s="2248"/>
      <c r="CU162" s="2248"/>
      <c r="CV162" s="2248"/>
      <c r="CW162" s="2248"/>
      <c r="CX162" s="2248"/>
      <c r="CY162" s="2248"/>
      <c r="CZ162" s="2248"/>
      <c r="DA162" s="2248"/>
      <c r="DB162" s="2248"/>
      <c r="DC162" s="2248"/>
      <c r="DD162" s="2249"/>
      <c r="DE162" s="2249"/>
      <c r="DF162" s="2249"/>
      <c r="DG162" s="2249"/>
      <c r="DH162" s="2249"/>
      <c r="DI162" s="2249"/>
      <c r="DJ162" s="2249"/>
      <c r="DK162" s="2249"/>
      <c r="DL162" s="2249"/>
      <c r="DM162" s="2249"/>
      <c r="DN162" s="2249"/>
      <c r="DO162" s="2249"/>
      <c r="DP162" s="2249"/>
      <c r="DQ162" s="2249"/>
      <c r="DR162" s="2249"/>
      <c r="DS162" s="2249"/>
      <c r="DT162" s="2249"/>
      <c r="DU162" s="2249"/>
      <c r="DV162" s="2249"/>
      <c r="DW162" s="2249"/>
      <c r="DX162" s="2249"/>
      <c r="DY162" s="2249"/>
      <c r="DZ162" s="2249"/>
      <c r="EA162" s="2249"/>
      <c r="EB162" s="2249"/>
      <c r="EC162" s="2249"/>
      <c r="ED162" s="2249"/>
      <c r="EE162" s="2249"/>
      <c r="EF162" s="2248"/>
      <c r="EG162" s="2248"/>
    </row>
    <row r="163" spans="1:137" ht="18.899999999999999" customHeight="1">
      <c r="A163" s="2244"/>
      <c r="B163" s="2244"/>
      <c r="C163" s="2245"/>
      <c r="D163" s="2245"/>
      <c r="E163" s="2245"/>
      <c r="F163" s="2245"/>
      <c r="G163" s="2245"/>
      <c r="H163" s="2245"/>
      <c r="I163" s="2244"/>
      <c r="J163" s="2244"/>
      <c r="K163" s="2246"/>
      <c r="L163" s="2244"/>
      <c r="M163" s="2244"/>
      <c r="N163" s="2244"/>
      <c r="O163" s="2244"/>
      <c r="P163" s="2244"/>
      <c r="Q163" s="2246"/>
      <c r="R163" s="2246"/>
      <c r="S163" s="2246"/>
      <c r="T163" s="2246"/>
      <c r="U163" s="2246"/>
      <c r="V163" s="2246"/>
      <c r="W163" s="2246"/>
      <c r="X163" s="2246"/>
      <c r="Y163" s="2246"/>
      <c r="Z163" s="2246"/>
      <c r="AA163" s="2246"/>
      <c r="AB163" s="2246"/>
      <c r="AC163" s="2246"/>
      <c r="AD163" s="2246"/>
      <c r="AE163" s="2246"/>
      <c r="AF163" s="2246"/>
      <c r="AG163" s="2246"/>
      <c r="AH163" s="2246"/>
      <c r="AI163" s="2246"/>
      <c r="AJ163" s="2246"/>
      <c r="AK163" s="2246"/>
      <c r="AL163" s="2246"/>
      <c r="AM163" s="2246"/>
      <c r="AN163" s="2246"/>
      <c r="AO163" s="2246"/>
      <c r="AP163" s="2246"/>
      <c r="AQ163" s="2246"/>
      <c r="AR163" s="2246"/>
      <c r="AS163" s="2244"/>
      <c r="AT163" s="2244"/>
      <c r="AU163" s="2244"/>
      <c r="AV163" s="2244"/>
      <c r="AW163" s="2244"/>
      <c r="AX163" s="2244"/>
      <c r="AY163" s="2244"/>
      <c r="AZ163" s="2244"/>
      <c r="BA163" s="2244"/>
      <c r="BB163" s="2244"/>
      <c r="BC163" s="2244"/>
      <c r="BD163" s="2244"/>
      <c r="BE163" s="2244"/>
      <c r="BF163" s="2246"/>
      <c r="BG163" s="2246"/>
      <c r="BH163" s="2246"/>
      <c r="BI163" s="2246"/>
      <c r="BJ163" s="2246"/>
      <c r="BK163" s="2246"/>
      <c r="BL163" s="2246"/>
      <c r="BM163" s="2246"/>
      <c r="BN163" s="2246"/>
      <c r="BO163" s="2246"/>
      <c r="BP163" s="2246"/>
      <c r="BQ163" s="2246"/>
      <c r="BR163" s="2246"/>
      <c r="BS163" s="2244"/>
      <c r="BT163" s="2244"/>
      <c r="BU163" s="2244"/>
      <c r="BV163" s="2244"/>
      <c r="BW163" s="2244"/>
      <c r="BX163" s="2246"/>
      <c r="BY163" s="2246"/>
      <c r="BZ163" s="2246"/>
      <c r="CA163" s="2246"/>
      <c r="CB163" s="2246"/>
      <c r="CC163" s="2246"/>
      <c r="CD163" s="2246"/>
      <c r="CE163" s="2246"/>
      <c r="CF163" s="2246"/>
      <c r="CG163" s="2246"/>
      <c r="CH163" s="2246"/>
      <c r="CI163" s="2246"/>
      <c r="CJ163" s="2246"/>
      <c r="CK163" s="2246"/>
      <c r="CL163" s="2246"/>
      <c r="CM163" s="2246"/>
      <c r="CN163" s="2246"/>
      <c r="CO163" s="2246"/>
      <c r="CP163" s="2246"/>
      <c r="CQ163" s="2246"/>
      <c r="CR163" s="2246"/>
      <c r="CS163" s="2248"/>
      <c r="CT163" s="2248"/>
      <c r="CU163" s="2248"/>
      <c r="CV163" s="2248"/>
      <c r="CW163" s="2248"/>
      <c r="CX163" s="2248"/>
      <c r="CY163" s="2248"/>
      <c r="CZ163" s="2248"/>
      <c r="DA163" s="2248"/>
      <c r="DB163" s="2248"/>
      <c r="DC163" s="2248"/>
      <c r="DD163" s="2249"/>
      <c r="DE163" s="2249"/>
      <c r="DF163" s="2249"/>
      <c r="DG163" s="2249"/>
      <c r="DH163" s="2249"/>
      <c r="DI163" s="2249"/>
      <c r="DJ163" s="2249"/>
      <c r="DK163" s="2249"/>
      <c r="DL163" s="2249"/>
      <c r="DM163" s="2249"/>
      <c r="DN163" s="2249"/>
      <c r="DO163" s="2249"/>
      <c r="DP163" s="2249"/>
      <c r="DQ163" s="2249"/>
      <c r="DR163" s="2249"/>
      <c r="DS163" s="2249"/>
      <c r="DT163" s="2249"/>
      <c r="DU163" s="2249"/>
      <c r="DV163" s="2249"/>
      <c r="DW163" s="2249"/>
      <c r="DX163" s="2249"/>
      <c r="DY163" s="2249"/>
      <c r="DZ163" s="2249"/>
      <c r="EA163" s="2249"/>
      <c r="EB163" s="2249"/>
      <c r="EC163" s="2249"/>
      <c r="ED163" s="2249"/>
      <c r="EE163" s="2249"/>
      <c r="EF163" s="2248"/>
      <c r="EG163" s="2248"/>
    </row>
    <row r="164" spans="1:137" ht="18.899999999999999" customHeight="1">
      <c r="A164" s="2244"/>
      <c r="B164" s="2244"/>
      <c r="C164" s="2245"/>
      <c r="D164" s="2245"/>
      <c r="E164" s="2245"/>
      <c r="F164" s="2245"/>
      <c r="G164" s="2245"/>
      <c r="H164" s="2245"/>
      <c r="I164" s="2244"/>
      <c r="J164" s="2244"/>
      <c r="K164" s="2246"/>
      <c r="L164" s="2244"/>
      <c r="M164" s="2244"/>
      <c r="N164" s="2244"/>
      <c r="O164" s="2244"/>
      <c r="P164" s="2244"/>
      <c r="Q164" s="2246"/>
      <c r="R164" s="2246"/>
      <c r="S164" s="2246"/>
      <c r="T164" s="2246"/>
      <c r="U164" s="2246"/>
      <c r="V164" s="2246"/>
      <c r="W164" s="2246"/>
      <c r="X164" s="2246"/>
      <c r="Y164" s="2246"/>
      <c r="Z164" s="2246"/>
      <c r="AA164" s="2246"/>
      <c r="AB164" s="2246"/>
      <c r="AC164" s="2246"/>
      <c r="AD164" s="2246"/>
      <c r="AE164" s="2246"/>
      <c r="AF164" s="2246"/>
      <c r="AG164" s="2246"/>
      <c r="AH164" s="2246"/>
      <c r="AI164" s="2246"/>
      <c r="AJ164" s="2246"/>
      <c r="AK164" s="2246"/>
      <c r="AL164" s="2246"/>
      <c r="AM164" s="2246"/>
      <c r="AN164" s="2246"/>
      <c r="AO164" s="2246"/>
      <c r="AP164" s="2246"/>
      <c r="AQ164" s="2246"/>
      <c r="AR164" s="2246"/>
      <c r="AS164" s="2244"/>
      <c r="AT164" s="2244"/>
      <c r="AU164" s="2244"/>
      <c r="AV164" s="2244"/>
      <c r="AW164" s="2244"/>
      <c r="AX164" s="2244"/>
      <c r="AY164" s="2244"/>
      <c r="AZ164" s="2244"/>
      <c r="BA164" s="2244"/>
      <c r="BB164" s="2244"/>
      <c r="BC164" s="2244"/>
      <c r="BD164" s="2244"/>
      <c r="BE164" s="2244"/>
      <c r="BF164" s="2246"/>
      <c r="BG164" s="2246"/>
      <c r="BH164" s="2246"/>
      <c r="BI164" s="2246"/>
      <c r="BJ164" s="2246"/>
      <c r="BK164" s="2246"/>
      <c r="BL164" s="2246"/>
      <c r="BM164" s="2246"/>
      <c r="BN164" s="2246"/>
      <c r="BO164" s="2246"/>
      <c r="BP164" s="2246"/>
      <c r="BQ164" s="2246"/>
      <c r="BR164" s="2246"/>
      <c r="BS164" s="2244"/>
      <c r="BT164" s="2244"/>
      <c r="BU164" s="2244"/>
      <c r="BV164" s="2244"/>
      <c r="BW164" s="2244"/>
      <c r="BX164" s="2246"/>
      <c r="BY164" s="2246"/>
      <c r="BZ164" s="2246"/>
      <c r="CA164" s="2246"/>
      <c r="CB164" s="2246"/>
      <c r="CC164" s="2246"/>
      <c r="CD164" s="2246"/>
      <c r="CE164" s="2246"/>
      <c r="CF164" s="2246"/>
      <c r="CG164" s="2246"/>
      <c r="CH164" s="2246"/>
      <c r="CI164" s="2246"/>
      <c r="CJ164" s="2246"/>
      <c r="CK164" s="2246"/>
      <c r="CL164" s="2246"/>
      <c r="CM164" s="2246"/>
      <c r="CN164" s="2246"/>
      <c r="CO164" s="2246"/>
      <c r="CP164" s="2246"/>
      <c r="CQ164" s="2246"/>
      <c r="CR164" s="2246"/>
      <c r="CS164" s="2248"/>
      <c r="CT164" s="2248"/>
      <c r="CU164" s="2248"/>
      <c r="CV164" s="2248"/>
      <c r="CW164" s="2248"/>
      <c r="CX164" s="2248"/>
      <c r="CY164" s="2248"/>
      <c r="CZ164" s="2248"/>
      <c r="DA164" s="2248"/>
      <c r="DB164" s="2248"/>
      <c r="DC164" s="2248"/>
      <c r="DD164" s="2249"/>
      <c r="DE164" s="2249"/>
      <c r="DF164" s="2249"/>
      <c r="DG164" s="2249"/>
      <c r="DH164" s="2249"/>
      <c r="DI164" s="2249"/>
      <c r="DJ164" s="2249"/>
      <c r="DK164" s="2249"/>
      <c r="DL164" s="2249"/>
      <c r="DM164" s="2249"/>
      <c r="DN164" s="2249"/>
      <c r="DO164" s="2249"/>
      <c r="DP164" s="2249"/>
      <c r="DQ164" s="2249"/>
      <c r="DR164" s="2249"/>
      <c r="DS164" s="2249"/>
      <c r="DT164" s="2249"/>
      <c r="DU164" s="2249"/>
      <c r="DV164" s="2249"/>
      <c r="DW164" s="2249"/>
      <c r="DX164" s="2249"/>
      <c r="DY164" s="2249"/>
      <c r="DZ164" s="2249"/>
      <c r="EA164" s="2249"/>
      <c r="EB164" s="2249"/>
      <c r="EC164" s="2249"/>
      <c r="ED164" s="2249"/>
      <c r="EE164" s="2249"/>
      <c r="EF164" s="2248"/>
      <c r="EG164" s="2248"/>
    </row>
    <row r="165" spans="1:137" ht="18.899999999999999" customHeight="1">
      <c r="A165" s="2244"/>
      <c r="B165" s="2244"/>
      <c r="C165" s="2245"/>
      <c r="D165" s="2245"/>
      <c r="E165" s="2245"/>
      <c r="F165" s="2245"/>
      <c r="G165" s="2245"/>
      <c r="H165" s="2245"/>
      <c r="I165" s="2244"/>
      <c r="J165" s="2244"/>
      <c r="K165" s="2246"/>
      <c r="L165" s="2244"/>
      <c r="M165" s="2244"/>
      <c r="N165" s="2244"/>
      <c r="O165" s="2244"/>
      <c r="P165" s="2244"/>
      <c r="Q165" s="2246"/>
      <c r="R165" s="2246"/>
      <c r="S165" s="2246"/>
      <c r="T165" s="2246"/>
      <c r="U165" s="2246"/>
      <c r="V165" s="2246"/>
      <c r="W165" s="2246"/>
      <c r="X165" s="2246"/>
      <c r="Y165" s="2246"/>
      <c r="Z165" s="2246"/>
      <c r="AA165" s="2246"/>
      <c r="AB165" s="2246"/>
      <c r="AC165" s="2246"/>
      <c r="AD165" s="2246"/>
      <c r="AE165" s="2246"/>
      <c r="AF165" s="2246"/>
      <c r="AG165" s="2246"/>
      <c r="AH165" s="2246"/>
      <c r="AI165" s="2246"/>
      <c r="AJ165" s="2246"/>
      <c r="AK165" s="2246"/>
      <c r="AL165" s="2246"/>
      <c r="AM165" s="2246"/>
      <c r="AN165" s="2246"/>
      <c r="AO165" s="2246"/>
      <c r="AP165" s="2246"/>
      <c r="AQ165" s="2246"/>
      <c r="AR165" s="2246"/>
      <c r="AS165" s="2244"/>
      <c r="AT165" s="2244"/>
      <c r="AU165" s="2244"/>
      <c r="AV165" s="2244"/>
      <c r="AW165" s="2244"/>
      <c r="AX165" s="2244"/>
      <c r="AY165" s="2244"/>
      <c r="AZ165" s="2244"/>
      <c r="BA165" s="2244"/>
      <c r="BB165" s="2244"/>
      <c r="BC165" s="2244"/>
      <c r="BD165" s="2244"/>
      <c r="BE165" s="2244"/>
      <c r="BF165" s="2246"/>
      <c r="BG165" s="2246"/>
      <c r="BH165" s="2246"/>
      <c r="BI165" s="2246"/>
      <c r="BJ165" s="2246"/>
      <c r="BK165" s="2246"/>
      <c r="BL165" s="2246"/>
      <c r="BM165" s="2246"/>
      <c r="BN165" s="2246"/>
      <c r="BO165" s="2246"/>
      <c r="BP165" s="2246"/>
      <c r="BQ165" s="2246"/>
      <c r="BR165" s="2246"/>
      <c r="BS165" s="2244"/>
      <c r="BT165" s="2244"/>
      <c r="BU165" s="2244"/>
      <c r="BV165" s="2244"/>
      <c r="BW165" s="2244"/>
      <c r="BX165" s="2246"/>
      <c r="BY165" s="2246"/>
      <c r="BZ165" s="2246"/>
      <c r="CA165" s="2246"/>
      <c r="CB165" s="2246"/>
      <c r="CC165" s="2246"/>
      <c r="CD165" s="2246"/>
      <c r="CE165" s="2246"/>
      <c r="CF165" s="2246"/>
      <c r="CG165" s="2246"/>
      <c r="CH165" s="2246"/>
      <c r="CI165" s="2246"/>
      <c r="CJ165" s="2246"/>
      <c r="CK165" s="2246"/>
      <c r="CL165" s="2246"/>
      <c r="CM165" s="2246"/>
      <c r="CN165" s="2246"/>
      <c r="CO165" s="2246"/>
      <c r="CP165" s="2246"/>
      <c r="CQ165" s="2246"/>
      <c r="CR165" s="2246"/>
      <c r="CS165" s="2248"/>
      <c r="CT165" s="2248"/>
      <c r="CU165" s="2248"/>
      <c r="CV165" s="2248"/>
      <c r="CW165" s="2248"/>
      <c r="CX165" s="2248"/>
      <c r="CY165" s="2248"/>
      <c r="CZ165" s="2248"/>
      <c r="DA165" s="2248"/>
      <c r="DB165" s="2248"/>
      <c r="DC165" s="2248"/>
      <c r="DD165" s="2249"/>
      <c r="DE165" s="2249"/>
      <c r="DF165" s="2249"/>
      <c r="DG165" s="2249"/>
      <c r="DH165" s="2249"/>
      <c r="DI165" s="2249"/>
      <c r="DJ165" s="2249"/>
      <c r="DK165" s="2249"/>
      <c r="DL165" s="2249"/>
      <c r="DM165" s="2249"/>
      <c r="DN165" s="2249"/>
      <c r="DO165" s="2249"/>
      <c r="DP165" s="2249"/>
      <c r="DQ165" s="2249"/>
      <c r="DR165" s="2249"/>
      <c r="DS165" s="2249"/>
      <c r="DT165" s="2249"/>
      <c r="DU165" s="2249"/>
      <c r="DV165" s="2249"/>
      <c r="DW165" s="2249"/>
      <c r="DX165" s="2249"/>
      <c r="DY165" s="2249"/>
      <c r="DZ165" s="2249"/>
      <c r="EA165" s="2249"/>
      <c r="EB165" s="2249"/>
      <c r="EC165" s="2249"/>
      <c r="ED165" s="2249"/>
      <c r="EE165" s="2249"/>
      <c r="EF165" s="2248"/>
      <c r="EG165" s="2248"/>
    </row>
    <row r="166" spans="1:137" ht="18.899999999999999" customHeight="1">
      <c r="A166" s="2244"/>
      <c r="B166" s="2244"/>
      <c r="C166" s="2245"/>
      <c r="D166" s="2245"/>
      <c r="E166" s="2245"/>
      <c r="F166" s="2245"/>
      <c r="G166" s="2245"/>
      <c r="H166" s="2245"/>
      <c r="I166" s="2244"/>
      <c r="J166" s="2244"/>
      <c r="K166" s="2246"/>
      <c r="L166" s="2244"/>
      <c r="M166" s="2244"/>
      <c r="N166" s="2244"/>
      <c r="O166" s="2244"/>
      <c r="P166" s="2244"/>
      <c r="Q166" s="2246"/>
      <c r="R166" s="2246"/>
      <c r="S166" s="2246"/>
      <c r="T166" s="2246"/>
      <c r="U166" s="2246"/>
      <c r="V166" s="2246"/>
      <c r="W166" s="2246"/>
      <c r="X166" s="2246"/>
      <c r="Y166" s="2246"/>
      <c r="Z166" s="2246"/>
      <c r="AA166" s="2246"/>
      <c r="AB166" s="2246"/>
      <c r="AC166" s="2246"/>
      <c r="AD166" s="2246"/>
      <c r="AE166" s="2246"/>
      <c r="AF166" s="2246"/>
      <c r="AG166" s="2246"/>
      <c r="AH166" s="2246"/>
      <c r="AI166" s="2246"/>
      <c r="AJ166" s="2246"/>
      <c r="AK166" s="2246"/>
      <c r="AL166" s="2246"/>
      <c r="AM166" s="2246"/>
      <c r="AN166" s="2246"/>
      <c r="AO166" s="2246"/>
      <c r="AP166" s="2246"/>
      <c r="AQ166" s="2246"/>
      <c r="AR166" s="2246"/>
      <c r="AS166" s="2244"/>
      <c r="AT166" s="2244"/>
      <c r="AU166" s="2244"/>
      <c r="AV166" s="2244"/>
      <c r="AW166" s="2244"/>
      <c r="AX166" s="2244"/>
      <c r="AY166" s="2244"/>
      <c r="AZ166" s="2244"/>
      <c r="BA166" s="2244"/>
      <c r="BB166" s="2244"/>
      <c r="BC166" s="2244"/>
      <c r="BD166" s="2244"/>
      <c r="BE166" s="2244"/>
      <c r="BF166" s="2246"/>
      <c r="BG166" s="2246"/>
      <c r="BH166" s="2246"/>
      <c r="BI166" s="2246"/>
      <c r="BJ166" s="2246"/>
      <c r="BK166" s="2246"/>
      <c r="BL166" s="2246"/>
      <c r="BM166" s="2246"/>
      <c r="BN166" s="2246"/>
      <c r="BO166" s="2246"/>
      <c r="BP166" s="2246"/>
      <c r="BQ166" s="2246"/>
      <c r="BR166" s="2246"/>
      <c r="BS166" s="2244"/>
      <c r="BT166" s="2244"/>
      <c r="BU166" s="2244"/>
      <c r="BV166" s="2244"/>
      <c r="BW166" s="2244"/>
      <c r="BX166" s="2246"/>
      <c r="BY166" s="2246"/>
      <c r="BZ166" s="2246"/>
      <c r="CA166" s="2246"/>
      <c r="CB166" s="2246"/>
      <c r="CC166" s="2246"/>
      <c r="CD166" s="2246"/>
      <c r="CE166" s="2246"/>
      <c r="CF166" s="2246"/>
      <c r="CG166" s="2246"/>
      <c r="CH166" s="2246"/>
      <c r="CI166" s="2246"/>
      <c r="CJ166" s="2246"/>
      <c r="CK166" s="2246"/>
      <c r="CL166" s="2246"/>
      <c r="CM166" s="2246"/>
      <c r="CN166" s="2246"/>
      <c r="CO166" s="2246"/>
      <c r="CP166" s="2246"/>
      <c r="CQ166" s="2246"/>
      <c r="CR166" s="2246"/>
      <c r="CS166" s="2248"/>
      <c r="CT166" s="2248"/>
      <c r="CU166" s="2248"/>
      <c r="CV166" s="2248"/>
      <c r="CW166" s="2248"/>
      <c r="CX166" s="2248"/>
      <c r="CY166" s="2248"/>
      <c r="CZ166" s="2248"/>
      <c r="DA166" s="2248"/>
      <c r="DB166" s="2248"/>
      <c r="DC166" s="2248"/>
      <c r="DD166" s="2249"/>
      <c r="DE166" s="2249"/>
      <c r="DF166" s="2249"/>
      <c r="DG166" s="2249"/>
      <c r="DH166" s="2249"/>
      <c r="DI166" s="2249"/>
      <c r="DJ166" s="2249"/>
      <c r="DK166" s="2249"/>
      <c r="DL166" s="2249"/>
      <c r="DM166" s="2249"/>
      <c r="DN166" s="2249"/>
      <c r="DO166" s="2249"/>
      <c r="DP166" s="2249"/>
      <c r="DQ166" s="2249"/>
      <c r="DR166" s="2249"/>
      <c r="DS166" s="2249"/>
      <c r="DT166" s="2249"/>
      <c r="DU166" s="2249"/>
      <c r="DV166" s="2249"/>
      <c r="DW166" s="2249"/>
      <c r="DX166" s="2249"/>
      <c r="DY166" s="2249"/>
      <c r="DZ166" s="2249"/>
      <c r="EA166" s="2249"/>
      <c r="EB166" s="2249"/>
      <c r="EC166" s="2249"/>
      <c r="ED166" s="2249"/>
      <c r="EE166" s="2249"/>
      <c r="EF166" s="2248"/>
      <c r="EG166" s="2248"/>
    </row>
    <row r="167" spans="1:137" ht="18.899999999999999" customHeight="1">
      <c r="A167" s="2244"/>
      <c r="B167" s="2244"/>
      <c r="C167" s="2245"/>
      <c r="D167" s="2245"/>
      <c r="E167" s="2245"/>
      <c r="F167" s="2245"/>
      <c r="G167" s="2245"/>
      <c r="H167" s="2245"/>
      <c r="I167" s="2244"/>
      <c r="J167" s="2244"/>
      <c r="K167" s="2246"/>
      <c r="L167" s="2244"/>
      <c r="M167" s="2244"/>
      <c r="N167" s="2244"/>
      <c r="O167" s="2244"/>
      <c r="P167" s="2244"/>
      <c r="Q167" s="2246"/>
      <c r="R167" s="2246"/>
      <c r="S167" s="2246"/>
      <c r="T167" s="2246"/>
      <c r="U167" s="2246"/>
      <c r="V167" s="2246"/>
      <c r="W167" s="2246"/>
      <c r="X167" s="2246"/>
      <c r="Y167" s="2246"/>
      <c r="Z167" s="2246"/>
      <c r="AA167" s="2246"/>
      <c r="AB167" s="2246"/>
      <c r="AC167" s="2246"/>
      <c r="AD167" s="2246"/>
      <c r="AE167" s="2246"/>
      <c r="AF167" s="2246"/>
      <c r="AG167" s="2246"/>
      <c r="AH167" s="2246"/>
      <c r="AI167" s="2246"/>
      <c r="AJ167" s="2246"/>
      <c r="AK167" s="2246"/>
      <c r="AL167" s="2246"/>
      <c r="AM167" s="2246"/>
      <c r="AN167" s="2246"/>
      <c r="AO167" s="2246"/>
      <c r="AP167" s="2246"/>
      <c r="AQ167" s="2246"/>
      <c r="AR167" s="2246"/>
      <c r="AS167" s="2244"/>
      <c r="AT167" s="2244"/>
      <c r="AU167" s="2244"/>
      <c r="AV167" s="2244"/>
      <c r="AW167" s="2244"/>
      <c r="AX167" s="2244"/>
      <c r="AY167" s="2244"/>
      <c r="AZ167" s="2244"/>
      <c r="BA167" s="2244"/>
      <c r="BB167" s="2244"/>
      <c r="BC167" s="2244"/>
      <c r="BD167" s="2244"/>
      <c r="BE167" s="2244"/>
      <c r="BF167" s="2246"/>
      <c r="BG167" s="2246"/>
      <c r="BH167" s="2246"/>
      <c r="BI167" s="2246"/>
      <c r="BJ167" s="2246"/>
      <c r="BK167" s="2246"/>
      <c r="BL167" s="2246"/>
      <c r="BM167" s="2246"/>
      <c r="BN167" s="2246"/>
      <c r="BO167" s="2246"/>
      <c r="BP167" s="2246"/>
      <c r="BQ167" s="2246"/>
      <c r="BR167" s="2246"/>
      <c r="BS167" s="2244"/>
      <c r="BT167" s="2244"/>
      <c r="BU167" s="2244"/>
      <c r="BV167" s="2244"/>
      <c r="BW167" s="2244"/>
      <c r="BX167" s="2246"/>
      <c r="BY167" s="2246"/>
      <c r="BZ167" s="2246"/>
      <c r="CA167" s="2246"/>
      <c r="CB167" s="2246"/>
      <c r="CC167" s="2246"/>
      <c r="CD167" s="2246"/>
      <c r="CE167" s="2246"/>
      <c r="CF167" s="2246"/>
      <c r="CG167" s="2246"/>
      <c r="CH167" s="2246"/>
      <c r="CI167" s="2246"/>
      <c r="CJ167" s="2246"/>
      <c r="CK167" s="2246"/>
      <c r="CL167" s="2246"/>
      <c r="CM167" s="2246"/>
      <c r="CN167" s="2246"/>
      <c r="CO167" s="2246"/>
      <c r="CP167" s="2246"/>
      <c r="CQ167" s="2246"/>
      <c r="CR167" s="2246"/>
      <c r="CS167" s="2248"/>
      <c r="CT167" s="2248"/>
      <c r="CU167" s="2248"/>
      <c r="CV167" s="2248"/>
      <c r="CW167" s="2248"/>
      <c r="CX167" s="2248"/>
      <c r="CY167" s="2248"/>
      <c r="CZ167" s="2248"/>
      <c r="DA167" s="2248"/>
      <c r="DB167" s="2248"/>
      <c r="DC167" s="2248"/>
      <c r="DD167" s="2249"/>
      <c r="DE167" s="2249"/>
      <c r="DF167" s="2249"/>
      <c r="DG167" s="2249"/>
      <c r="DH167" s="2249"/>
      <c r="DI167" s="2249"/>
      <c r="DJ167" s="2249"/>
      <c r="DK167" s="2249"/>
      <c r="DL167" s="2249"/>
      <c r="DM167" s="2249"/>
      <c r="DN167" s="2249"/>
      <c r="DO167" s="2249"/>
      <c r="DP167" s="2249"/>
      <c r="DQ167" s="2249"/>
      <c r="DR167" s="2249"/>
      <c r="DS167" s="2249"/>
      <c r="DT167" s="2249"/>
      <c r="DU167" s="2249"/>
      <c r="DV167" s="2249"/>
      <c r="DW167" s="2249"/>
      <c r="DX167" s="2249"/>
      <c r="DY167" s="2249"/>
      <c r="DZ167" s="2249"/>
      <c r="EA167" s="2249"/>
      <c r="EB167" s="2249"/>
      <c r="EC167" s="2249"/>
      <c r="ED167" s="2249"/>
      <c r="EE167" s="2249"/>
      <c r="EF167" s="2248"/>
      <c r="EG167" s="2248"/>
    </row>
    <row r="168" spans="1:137" ht="18.899999999999999" customHeight="1">
      <c r="A168" s="2244"/>
      <c r="B168" s="2244"/>
      <c r="C168" s="2245"/>
      <c r="D168" s="2245"/>
      <c r="E168" s="2245"/>
      <c r="F168" s="2245"/>
      <c r="G168" s="2245"/>
      <c r="H168" s="2245"/>
      <c r="I168" s="2244"/>
      <c r="J168" s="2244"/>
      <c r="K168" s="2246"/>
      <c r="L168" s="2244"/>
      <c r="M168" s="2244"/>
      <c r="N168" s="2244"/>
      <c r="O168" s="2244"/>
      <c r="P168" s="2244"/>
      <c r="Q168" s="2246"/>
      <c r="R168" s="2246"/>
      <c r="S168" s="2246"/>
      <c r="T168" s="2246"/>
      <c r="U168" s="2246"/>
      <c r="V168" s="2246"/>
      <c r="W168" s="2246"/>
      <c r="X168" s="2246"/>
      <c r="Y168" s="2246"/>
      <c r="Z168" s="2246"/>
      <c r="AA168" s="2246"/>
      <c r="AB168" s="2246"/>
      <c r="AC168" s="2246"/>
      <c r="AD168" s="2246"/>
      <c r="AE168" s="2246"/>
      <c r="AF168" s="2246"/>
      <c r="AG168" s="2246"/>
      <c r="AH168" s="2246"/>
      <c r="AI168" s="2246"/>
      <c r="AJ168" s="2246"/>
      <c r="AK168" s="2246"/>
      <c r="AL168" s="2246"/>
      <c r="AM168" s="2246"/>
      <c r="AN168" s="2246"/>
      <c r="AO168" s="2246"/>
      <c r="AP168" s="2246"/>
      <c r="AQ168" s="2246"/>
      <c r="AR168" s="2246"/>
      <c r="AS168" s="2244"/>
      <c r="AT168" s="2244"/>
      <c r="AU168" s="2244"/>
      <c r="AV168" s="2244"/>
      <c r="AW168" s="2244"/>
      <c r="AX168" s="2244"/>
      <c r="AY168" s="2244"/>
      <c r="AZ168" s="2244"/>
      <c r="BA168" s="2244"/>
      <c r="BB168" s="2244"/>
      <c r="BC168" s="2244"/>
      <c r="BD168" s="2244"/>
      <c r="BE168" s="2244"/>
      <c r="BF168" s="2246"/>
      <c r="BG168" s="2246"/>
      <c r="BH168" s="2246"/>
      <c r="BI168" s="2246"/>
      <c r="BJ168" s="2246"/>
      <c r="BK168" s="2246"/>
      <c r="BL168" s="2246"/>
      <c r="BM168" s="2246"/>
      <c r="BN168" s="2246"/>
      <c r="BO168" s="2246"/>
      <c r="BP168" s="2246"/>
      <c r="BQ168" s="2246"/>
      <c r="BR168" s="2246"/>
      <c r="BS168" s="2244"/>
      <c r="BT168" s="2244"/>
      <c r="BU168" s="2244"/>
      <c r="BV168" s="2244"/>
      <c r="BW168" s="2244"/>
      <c r="BX168" s="2246"/>
      <c r="BY168" s="2246"/>
      <c r="BZ168" s="2246"/>
      <c r="CA168" s="2246"/>
      <c r="CB168" s="2246"/>
      <c r="CC168" s="2246"/>
      <c r="CD168" s="2246"/>
      <c r="CE168" s="2246"/>
      <c r="CF168" s="2246"/>
      <c r="CG168" s="2246"/>
      <c r="CH168" s="2246"/>
      <c r="CI168" s="2246"/>
      <c r="CJ168" s="2246"/>
      <c r="CK168" s="2246"/>
      <c r="CL168" s="2246"/>
      <c r="CM168" s="2246"/>
      <c r="CN168" s="2246"/>
      <c r="CO168" s="2246"/>
      <c r="CP168" s="2246"/>
      <c r="CQ168" s="2246"/>
      <c r="CR168" s="2246"/>
      <c r="CS168" s="2248"/>
      <c r="CT168" s="2248"/>
      <c r="CU168" s="2248"/>
      <c r="CV168" s="2248"/>
      <c r="CW168" s="2248"/>
      <c r="CX168" s="2248"/>
      <c r="CY168" s="2248"/>
      <c r="CZ168" s="2248"/>
      <c r="DA168" s="2248"/>
      <c r="DB168" s="2248"/>
      <c r="DC168" s="2248"/>
      <c r="DD168" s="2249"/>
      <c r="DE168" s="2249"/>
      <c r="DF168" s="2249"/>
      <c r="DG168" s="2249"/>
      <c r="DH168" s="2249"/>
      <c r="DI168" s="2249"/>
      <c r="DJ168" s="2249"/>
      <c r="DK168" s="2249"/>
      <c r="DL168" s="2249"/>
      <c r="DM168" s="2249"/>
      <c r="DN168" s="2249"/>
      <c r="DO168" s="2249"/>
      <c r="DP168" s="2249"/>
      <c r="DQ168" s="2249"/>
      <c r="DR168" s="2249"/>
      <c r="DS168" s="2249"/>
      <c r="DT168" s="2249"/>
      <c r="DU168" s="2249"/>
      <c r="DV168" s="2249"/>
      <c r="DW168" s="2249"/>
      <c r="DX168" s="2249"/>
      <c r="DY168" s="2249"/>
      <c r="DZ168" s="2249"/>
      <c r="EA168" s="2249"/>
      <c r="EB168" s="2249"/>
      <c r="EC168" s="2249"/>
      <c r="ED168" s="2249"/>
      <c r="EE168" s="2249"/>
      <c r="EF168" s="2248"/>
      <c r="EG168" s="2248"/>
    </row>
    <row r="169" spans="1:137" ht="18.899999999999999" customHeight="1">
      <c r="A169" s="2244"/>
      <c r="B169" s="2244"/>
      <c r="C169" s="2245"/>
      <c r="D169" s="2245"/>
      <c r="E169" s="2245"/>
      <c r="F169" s="2245"/>
      <c r="G169" s="2245"/>
      <c r="H169" s="2245"/>
      <c r="I169" s="2244"/>
      <c r="J169" s="2244"/>
      <c r="K169" s="2246"/>
      <c r="L169" s="2244"/>
      <c r="M169" s="2244"/>
      <c r="N169" s="2244"/>
      <c r="O169" s="2244"/>
      <c r="P169" s="2244"/>
      <c r="Q169" s="2246"/>
      <c r="R169" s="2246"/>
      <c r="S169" s="2246"/>
      <c r="T169" s="2246"/>
      <c r="U169" s="2246"/>
      <c r="V169" s="2246"/>
      <c r="W169" s="2246"/>
      <c r="X169" s="2246"/>
      <c r="Y169" s="2246"/>
      <c r="Z169" s="2246"/>
      <c r="AA169" s="2246"/>
      <c r="AB169" s="2246"/>
      <c r="AC169" s="2246"/>
      <c r="AD169" s="2246"/>
      <c r="AE169" s="2246"/>
      <c r="AF169" s="2246"/>
      <c r="AG169" s="2246"/>
      <c r="AH169" s="2246"/>
      <c r="AI169" s="2246"/>
      <c r="AJ169" s="2246"/>
      <c r="AK169" s="2246"/>
      <c r="AL169" s="2246"/>
      <c r="AM169" s="2246"/>
      <c r="AN169" s="2246"/>
      <c r="AO169" s="2246"/>
      <c r="AP169" s="2246"/>
      <c r="AQ169" s="2246"/>
      <c r="AR169" s="2246"/>
      <c r="AS169" s="2244"/>
      <c r="AT169" s="2244"/>
      <c r="AU169" s="2244"/>
      <c r="AV169" s="2244"/>
      <c r="AW169" s="2244"/>
      <c r="AX169" s="2244"/>
      <c r="AY169" s="2244"/>
      <c r="AZ169" s="2244"/>
      <c r="BA169" s="2244"/>
      <c r="BB169" s="2244"/>
      <c r="BC169" s="2244"/>
      <c r="BD169" s="2244"/>
      <c r="BE169" s="2244"/>
      <c r="BF169" s="2246"/>
      <c r="BG169" s="2246"/>
      <c r="BH169" s="2246"/>
      <c r="BI169" s="2246"/>
      <c r="BJ169" s="2246"/>
      <c r="BK169" s="2246"/>
      <c r="BL169" s="2246"/>
      <c r="BM169" s="2246"/>
      <c r="BN169" s="2246"/>
      <c r="BO169" s="2246"/>
      <c r="BP169" s="2246"/>
      <c r="BQ169" s="2246"/>
      <c r="BR169" s="2246"/>
      <c r="BS169" s="2244"/>
      <c r="BT169" s="2244"/>
      <c r="BU169" s="2244"/>
      <c r="BV169" s="2244"/>
      <c r="BW169" s="2244"/>
      <c r="BX169" s="2246"/>
      <c r="BY169" s="2246"/>
      <c r="BZ169" s="2246"/>
      <c r="CA169" s="2246"/>
      <c r="CB169" s="2246"/>
      <c r="CC169" s="2246"/>
      <c r="CD169" s="2246"/>
      <c r="CE169" s="2246"/>
      <c r="CF169" s="2246"/>
      <c r="CG169" s="2246"/>
      <c r="CH169" s="2246"/>
      <c r="CI169" s="2246"/>
      <c r="CJ169" s="2246"/>
      <c r="CK169" s="2246"/>
      <c r="CL169" s="2246"/>
      <c r="CM169" s="2246"/>
      <c r="CN169" s="2246"/>
      <c r="CO169" s="2246"/>
      <c r="CP169" s="2246"/>
      <c r="CQ169" s="2246"/>
      <c r="CR169" s="2246"/>
      <c r="CS169" s="2248"/>
      <c r="CT169" s="2248"/>
      <c r="CU169" s="2248"/>
      <c r="CV169" s="2248"/>
      <c r="CW169" s="2248"/>
      <c r="CX169" s="2248"/>
      <c r="CY169" s="2248"/>
      <c r="CZ169" s="2248"/>
      <c r="DA169" s="2248"/>
      <c r="DB169" s="2248"/>
      <c r="DC169" s="2248"/>
      <c r="DD169" s="2249"/>
      <c r="DE169" s="2249"/>
      <c r="DF169" s="2249"/>
      <c r="DG169" s="2249"/>
      <c r="DH169" s="2249"/>
      <c r="DI169" s="2249"/>
      <c r="DJ169" s="2249"/>
      <c r="DK169" s="2249"/>
      <c r="DL169" s="2249"/>
      <c r="DM169" s="2249"/>
      <c r="DN169" s="2249"/>
      <c r="DO169" s="2249"/>
      <c r="DP169" s="2249"/>
      <c r="DQ169" s="2249"/>
      <c r="DR169" s="2249"/>
      <c r="DS169" s="2249"/>
      <c r="DT169" s="2249"/>
      <c r="DU169" s="2249"/>
      <c r="DV169" s="2249"/>
      <c r="DW169" s="2249"/>
      <c r="DX169" s="2249"/>
      <c r="DY169" s="2249"/>
      <c r="DZ169" s="2249"/>
      <c r="EA169" s="2249"/>
      <c r="EB169" s="2249"/>
      <c r="EC169" s="2249"/>
      <c r="ED169" s="2249"/>
      <c r="EE169" s="2249"/>
      <c r="EF169" s="2248"/>
      <c r="EG169" s="2248"/>
    </row>
    <row r="170" spans="1:137" ht="18.899999999999999" customHeight="1">
      <c r="A170" s="2244"/>
      <c r="B170" s="2244"/>
      <c r="C170" s="2245"/>
      <c r="D170" s="2245"/>
      <c r="E170" s="2245"/>
      <c r="F170" s="2245"/>
      <c r="G170" s="2245"/>
      <c r="H170" s="2245"/>
      <c r="I170" s="2244"/>
      <c r="J170" s="2244"/>
      <c r="K170" s="2246"/>
      <c r="L170" s="2244"/>
      <c r="M170" s="2244"/>
      <c r="N170" s="2244"/>
      <c r="O170" s="2244"/>
      <c r="P170" s="2244"/>
      <c r="Q170" s="2246"/>
      <c r="R170" s="2246"/>
      <c r="S170" s="2246"/>
      <c r="T170" s="2246"/>
      <c r="U170" s="2246"/>
      <c r="V170" s="2246"/>
      <c r="W170" s="2246"/>
      <c r="X170" s="2246"/>
      <c r="Y170" s="2246"/>
      <c r="Z170" s="2246"/>
      <c r="AA170" s="2246"/>
      <c r="AB170" s="2246"/>
      <c r="AC170" s="2246"/>
      <c r="AD170" s="2246"/>
      <c r="AE170" s="2246"/>
      <c r="AF170" s="2246"/>
      <c r="AG170" s="2246"/>
      <c r="AH170" s="2246"/>
      <c r="AI170" s="2246"/>
      <c r="AJ170" s="2246"/>
      <c r="AK170" s="2246"/>
      <c r="AL170" s="2246"/>
      <c r="AM170" s="2246"/>
      <c r="AN170" s="2246"/>
      <c r="AO170" s="2246"/>
      <c r="AP170" s="2246"/>
      <c r="AQ170" s="2246"/>
      <c r="AR170" s="2246"/>
      <c r="AS170" s="2244"/>
      <c r="AT170" s="2244"/>
      <c r="AU170" s="2244"/>
      <c r="AV170" s="2244"/>
      <c r="AW170" s="2244"/>
      <c r="AX170" s="2244"/>
      <c r="AY170" s="2244"/>
      <c r="AZ170" s="2244"/>
      <c r="BA170" s="2244"/>
      <c r="BB170" s="2244"/>
      <c r="BC170" s="2244"/>
      <c r="BD170" s="2244"/>
      <c r="BE170" s="2244"/>
      <c r="BF170" s="2246"/>
      <c r="BG170" s="2246"/>
      <c r="BH170" s="2246"/>
      <c r="BI170" s="2246"/>
      <c r="BJ170" s="2246"/>
      <c r="BK170" s="2246"/>
      <c r="BL170" s="2246"/>
      <c r="BM170" s="2246"/>
      <c r="BN170" s="2246"/>
      <c r="BO170" s="2246"/>
      <c r="BP170" s="2246"/>
      <c r="BQ170" s="2246"/>
      <c r="BR170" s="2246"/>
      <c r="BS170" s="2244"/>
      <c r="BT170" s="2244"/>
      <c r="BU170" s="2244"/>
      <c r="BV170" s="2244"/>
      <c r="BW170" s="2244"/>
      <c r="BX170" s="2246"/>
      <c r="BY170" s="2246"/>
      <c r="BZ170" s="2246"/>
      <c r="CA170" s="2246"/>
      <c r="CB170" s="2246"/>
      <c r="CC170" s="2246"/>
      <c r="CD170" s="2246"/>
      <c r="CE170" s="2246"/>
      <c r="CF170" s="2246"/>
      <c r="CG170" s="2246"/>
      <c r="CH170" s="2246"/>
      <c r="CI170" s="2246"/>
      <c r="CJ170" s="2246"/>
      <c r="CK170" s="2246"/>
      <c r="CL170" s="2246"/>
      <c r="CM170" s="2246"/>
      <c r="CN170" s="2246"/>
      <c r="CO170" s="2246"/>
      <c r="CP170" s="2246"/>
      <c r="CQ170" s="2246"/>
      <c r="CR170" s="2246"/>
      <c r="CS170" s="2248"/>
      <c r="CT170" s="2248"/>
      <c r="CU170" s="2248"/>
      <c r="CV170" s="2248"/>
      <c r="CW170" s="2248"/>
      <c r="CX170" s="2248"/>
      <c r="CY170" s="2248"/>
      <c r="CZ170" s="2248"/>
      <c r="DA170" s="2248"/>
      <c r="DB170" s="2248"/>
      <c r="DC170" s="2248"/>
      <c r="DD170" s="2249"/>
      <c r="DE170" s="2249"/>
      <c r="DF170" s="2249"/>
      <c r="DG170" s="2249"/>
      <c r="DH170" s="2249"/>
      <c r="DI170" s="2249"/>
      <c r="DJ170" s="2249"/>
      <c r="DK170" s="2249"/>
      <c r="DL170" s="2249"/>
      <c r="DM170" s="2249"/>
      <c r="DN170" s="2249"/>
      <c r="DO170" s="2249"/>
      <c r="DP170" s="2249"/>
      <c r="DQ170" s="2249"/>
      <c r="DR170" s="2249"/>
      <c r="DS170" s="2249"/>
      <c r="DT170" s="2249"/>
      <c r="DU170" s="2249"/>
      <c r="DV170" s="2249"/>
      <c r="DW170" s="2249"/>
      <c r="DX170" s="2249"/>
      <c r="DY170" s="2249"/>
      <c r="DZ170" s="2249"/>
      <c r="EA170" s="2249"/>
      <c r="EB170" s="2249"/>
      <c r="EC170" s="2249"/>
      <c r="ED170" s="2249"/>
      <c r="EE170" s="2249"/>
      <c r="EF170" s="2248"/>
      <c r="EG170" s="2248"/>
    </row>
    <row r="171" spans="1:137" ht="18.899999999999999" customHeight="1">
      <c r="A171" s="2244"/>
      <c r="B171" s="2244"/>
      <c r="C171" s="2245"/>
      <c r="D171" s="2245"/>
      <c r="E171" s="2245"/>
      <c r="F171" s="2245"/>
      <c r="G171" s="2245"/>
      <c r="H171" s="2245"/>
      <c r="I171" s="2244"/>
      <c r="J171" s="2244"/>
      <c r="K171" s="2246"/>
      <c r="L171" s="2244"/>
      <c r="M171" s="2244"/>
      <c r="N171" s="2244"/>
      <c r="O171" s="2244"/>
      <c r="P171" s="2244"/>
      <c r="Q171" s="2246"/>
      <c r="R171" s="2246"/>
      <c r="S171" s="2246"/>
      <c r="T171" s="2246"/>
      <c r="U171" s="2246"/>
      <c r="V171" s="2246"/>
      <c r="W171" s="2246"/>
      <c r="X171" s="2246"/>
      <c r="Y171" s="2246"/>
      <c r="Z171" s="2246"/>
      <c r="AA171" s="2246"/>
      <c r="AB171" s="2246"/>
      <c r="AC171" s="2246"/>
      <c r="AD171" s="2246"/>
      <c r="AE171" s="2246"/>
      <c r="AF171" s="2246"/>
      <c r="AG171" s="2246"/>
      <c r="AH171" s="2246"/>
      <c r="AI171" s="2246"/>
      <c r="AJ171" s="2246"/>
      <c r="AK171" s="2246"/>
      <c r="AL171" s="2246"/>
      <c r="AM171" s="2246"/>
      <c r="AN171" s="2246"/>
      <c r="AO171" s="2246"/>
      <c r="AP171" s="2246"/>
      <c r="AQ171" s="2246"/>
      <c r="AR171" s="2246"/>
      <c r="AS171" s="2244"/>
      <c r="AT171" s="2244"/>
      <c r="AU171" s="2244"/>
      <c r="AV171" s="2244"/>
      <c r="AW171" s="2244"/>
      <c r="AX171" s="2244"/>
      <c r="AY171" s="2244"/>
      <c r="AZ171" s="2244"/>
      <c r="BA171" s="2244"/>
      <c r="BB171" s="2244"/>
      <c r="BC171" s="2244"/>
      <c r="BD171" s="2244"/>
      <c r="BE171" s="2244"/>
      <c r="BF171" s="2246"/>
      <c r="BG171" s="2246"/>
      <c r="BH171" s="2246"/>
      <c r="BI171" s="2246"/>
      <c r="BJ171" s="2246"/>
      <c r="BK171" s="2246"/>
      <c r="BL171" s="2246"/>
      <c r="BM171" s="2246"/>
      <c r="BN171" s="2246"/>
      <c r="BO171" s="2246"/>
      <c r="BP171" s="2246"/>
      <c r="BQ171" s="2246"/>
      <c r="BR171" s="2246"/>
      <c r="BS171" s="2244"/>
      <c r="BT171" s="2244"/>
      <c r="BU171" s="2244"/>
      <c r="BV171" s="2244"/>
      <c r="BW171" s="2244"/>
      <c r="BX171" s="2246"/>
      <c r="BY171" s="2246"/>
      <c r="BZ171" s="2246"/>
      <c r="CA171" s="2246"/>
      <c r="CB171" s="2246"/>
      <c r="CC171" s="2246"/>
      <c r="CD171" s="2246"/>
      <c r="CE171" s="2246"/>
      <c r="CF171" s="2246"/>
      <c r="CG171" s="2246"/>
      <c r="CH171" s="2246"/>
      <c r="CI171" s="2246"/>
      <c r="CJ171" s="2246"/>
      <c r="CK171" s="2246"/>
      <c r="CL171" s="2246"/>
      <c r="CM171" s="2246"/>
      <c r="CN171" s="2246"/>
      <c r="CO171" s="2246"/>
      <c r="CP171" s="2246"/>
      <c r="CQ171" s="2246"/>
      <c r="CR171" s="2246"/>
      <c r="CS171" s="2248"/>
      <c r="CT171" s="2248"/>
      <c r="CU171" s="2248"/>
      <c r="CV171" s="2248"/>
      <c r="CW171" s="2248"/>
      <c r="CX171" s="2248"/>
      <c r="CY171" s="2248"/>
      <c r="CZ171" s="2248"/>
      <c r="DA171" s="2248"/>
      <c r="DB171" s="2248"/>
      <c r="DC171" s="2248"/>
      <c r="DD171" s="2249"/>
      <c r="DE171" s="2249"/>
      <c r="DF171" s="2249"/>
      <c r="DG171" s="2249"/>
      <c r="DH171" s="2249"/>
      <c r="DI171" s="2249"/>
      <c r="DJ171" s="2249"/>
      <c r="DK171" s="2249"/>
      <c r="DL171" s="2249"/>
      <c r="DM171" s="2249"/>
      <c r="DN171" s="2249"/>
      <c r="DO171" s="2249"/>
      <c r="DP171" s="2249"/>
      <c r="DQ171" s="2249"/>
      <c r="DR171" s="2249"/>
      <c r="DS171" s="2249"/>
      <c r="DT171" s="2249"/>
      <c r="DU171" s="2249"/>
      <c r="DV171" s="2249"/>
      <c r="DW171" s="2249"/>
      <c r="DX171" s="2249"/>
      <c r="DY171" s="2249"/>
      <c r="DZ171" s="2249"/>
      <c r="EA171" s="2249"/>
      <c r="EB171" s="2249"/>
      <c r="EC171" s="2249"/>
      <c r="ED171" s="2249"/>
      <c r="EE171" s="2249"/>
      <c r="EF171" s="2248"/>
      <c r="EG171" s="2248"/>
    </row>
    <row r="172" spans="1:137" ht="18.899999999999999" customHeight="1">
      <c r="A172" s="2244"/>
      <c r="B172" s="2244"/>
      <c r="C172" s="2245"/>
      <c r="D172" s="2245"/>
      <c r="E172" s="2245"/>
      <c r="F172" s="2245"/>
      <c r="G172" s="2245"/>
      <c r="H172" s="2245"/>
      <c r="I172" s="2244"/>
      <c r="J172" s="2244"/>
      <c r="K172" s="2246"/>
      <c r="L172" s="2244"/>
      <c r="M172" s="2244"/>
      <c r="N172" s="2244"/>
      <c r="O172" s="2244"/>
      <c r="P172" s="2244"/>
      <c r="Q172" s="2246"/>
      <c r="R172" s="2246"/>
      <c r="S172" s="2246"/>
      <c r="T172" s="2246"/>
      <c r="U172" s="2246"/>
      <c r="V172" s="2246"/>
      <c r="W172" s="2246"/>
      <c r="X172" s="2246"/>
      <c r="Y172" s="2246"/>
      <c r="Z172" s="2246"/>
      <c r="AA172" s="2246"/>
      <c r="AB172" s="2246"/>
      <c r="AC172" s="2246"/>
      <c r="AD172" s="2246"/>
      <c r="AE172" s="2246"/>
      <c r="AF172" s="2246"/>
      <c r="AG172" s="2246"/>
      <c r="AH172" s="2246"/>
      <c r="AI172" s="2246"/>
      <c r="AJ172" s="2246"/>
      <c r="AK172" s="2246"/>
      <c r="AL172" s="2246"/>
      <c r="AM172" s="2246"/>
      <c r="AN172" s="2246"/>
      <c r="AO172" s="2246"/>
      <c r="AP172" s="2246"/>
      <c r="AQ172" s="2246"/>
      <c r="AR172" s="2246"/>
      <c r="AS172" s="2244"/>
      <c r="AT172" s="2244"/>
      <c r="AU172" s="2244"/>
      <c r="AV172" s="2244"/>
      <c r="AW172" s="2244"/>
      <c r="AX172" s="2244"/>
      <c r="AY172" s="2244"/>
      <c r="AZ172" s="2244"/>
      <c r="BA172" s="2244"/>
      <c r="BB172" s="2244"/>
      <c r="BC172" s="2244"/>
      <c r="BD172" s="2244"/>
      <c r="BE172" s="2244"/>
      <c r="BF172" s="2246"/>
      <c r="BG172" s="2246"/>
      <c r="BH172" s="2246"/>
      <c r="BI172" s="2246"/>
      <c r="BJ172" s="2246"/>
      <c r="BK172" s="2246"/>
      <c r="BL172" s="2246"/>
      <c r="BM172" s="2246"/>
      <c r="BN172" s="2246"/>
      <c r="BO172" s="2246"/>
      <c r="BP172" s="2246"/>
      <c r="BQ172" s="2246"/>
      <c r="BR172" s="2246"/>
      <c r="BS172" s="2244"/>
      <c r="BT172" s="2244"/>
      <c r="BU172" s="2244"/>
      <c r="BV172" s="2244"/>
      <c r="BW172" s="2244"/>
      <c r="BX172" s="2246"/>
      <c r="BY172" s="2246"/>
      <c r="BZ172" s="2246"/>
      <c r="CA172" s="2246"/>
      <c r="CB172" s="2246"/>
      <c r="CC172" s="2246"/>
      <c r="CD172" s="2246"/>
      <c r="CE172" s="2246"/>
      <c r="CF172" s="2246"/>
      <c r="CG172" s="2246"/>
      <c r="CH172" s="2246"/>
      <c r="CI172" s="2246"/>
      <c r="CJ172" s="2246"/>
      <c r="CK172" s="2246"/>
      <c r="CL172" s="2246"/>
      <c r="CM172" s="2246"/>
      <c r="CN172" s="2246"/>
      <c r="CO172" s="2246"/>
      <c r="CP172" s="2246"/>
      <c r="CQ172" s="2246"/>
      <c r="CR172" s="2246"/>
      <c r="CS172" s="2248"/>
      <c r="CT172" s="2248"/>
      <c r="CU172" s="2248"/>
      <c r="CV172" s="2248"/>
      <c r="CW172" s="2248"/>
      <c r="CX172" s="2248"/>
      <c r="CY172" s="2248"/>
      <c r="CZ172" s="2248"/>
      <c r="DA172" s="2248"/>
      <c r="DB172" s="2248"/>
      <c r="DC172" s="2248"/>
      <c r="DD172" s="2249"/>
      <c r="DE172" s="2249"/>
      <c r="DF172" s="2249"/>
      <c r="DG172" s="2249"/>
      <c r="DH172" s="2249"/>
      <c r="DI172" s="2249"/>
      <c r="DJ172" s="2249"/>
      <c r="DK172" s="2249"/>
      <c r="DL172" s="2249"/>
      <c r="DM172" s="2249"/>
      <c r="DN172" s="2249"/>
      <c r="DO172" s="2249"/>
      <c r="DP172" s="2249"/>
      <c r="DQ172" s="2249"/>
      <c r="DR172" s="2249"/>
      <c r="DS172" s="2249"/>
      <c r="DT172" s="2249"/>
      <c r="DU172" s="2249"/>
      <c r="DV172" s="2249"/>
      <c r="DW172" s="2249"/>
      <c r="DX172" s="2249"/>
      <c r="DY172" s="2249"/>
      <c r="DZ172" s="2249"/>
      <c r="EA172" s="2249"/>
      <c r="EB172" s="2249"/>
      <c r="EC172" s="2249"/>
      <c r="ED172" s="2249"/>
      <c r="EE172" s="2249"/>
      <c r="EF172" s="2248"/>
      <c r="EG172" s="2248"/>
    </row>
    <row r="173" spans="1:137" ht="18.899999999999999" customHeight="1">
      <c r="A173" s="2244"/>
      <c r="B173" s="2244"/>
      <c r="C173" s="2245"/>
      <c r="D173" s="2245"/>
      <c r="E173" s="2245"/>
      <c r="F173" s="2245"/>
      <c r="G173" s="2245"/>
      <c r="H173" s="2245"/>
      <c r="I173" s="2244"/>
      <c r="J173" s="2244"/>
      <c r="K173" s="2246"/>
      <c r="L173" s="2244"/>
      <c r="M173" s="2244"/>
      <c r="N173" s="2244"/>
      <c r="O173" s="2244"/>
      <c r="P173" s="2244"/>
      <c r="Q173" s="2246"/>
      <c r="R173" s="2246"/>
      <c r="S173" s="2246"/>
      <c r="T173" s="2246"/>
      <c r="U173" s="2246"/>
      <c r="V173" s="2246"/>
      <c r="W173" s="2246"/>
      <c r="X173" s="2246"/>
      <c r="Y173" s="2246"/>
      <c r="Z173" s="2246"/>
      <c r="AA173" s="2246"/>
      <c r="AB173" s="2246"/>
      <c r="AC173" s="2246"/>
      <c r="AD173" s="2246"/>
      <c r="AE173" s="2246"/>
      <c r="AF173" s="2246"/>
      <c r="AG173" s="2246"/>
      <c r="AH173" s="2246"/>
      <c r="AI173" s="2246"/>
      <c r="AJ173" s="2246"/>
      <c r="AK173" s="2246"/>
      <c r="AL173" s="2246"/>
      <c r="AM173" s="2246"/>
      <c r="AN173" s="2246"/>
      <c r="AO173" s="2246"/>
      <c r="AP173" s="2246"/>
      <c r="AQ173" s="2246"/>
      <c r="AR173" s="2246"/>
      <c r="AS173" s="2244"/>
      <c r="AT173" s="2244"/>
      <c r="AU173" s="2244"/>
      <c r="AV173" s="2244"/>
      <c r="AW173" s="2244"/>
      <c r="AX173" s="2244"/>
      <c r="AY173" s="2244"/>
      <c r="AZ173" s="2244"/>
      <c r="BA173" s="2244"/>
      <c r="BB173" s="2244"/>
      <c r="BC173" s="2244"/>
      <c r="BD173" s="2244"/>
      <c r="BE173" s="2244"/>
      <c r="BF173" s="2246"/>
      <c r="BG173" s="2246"/>
      <c r="BH173" s="2246"/>
      <c r="BI173" s="2246"/>
      <c r="BJ173" s="2246"/>
      <c r="BK173" s="2246"/>
      <c r="BL173" s="2246"/>
      <c r="BM173" s="2246"/>
      <c r="BN173" s="2246"/>
      <c r="BO173" s="2246"/>
      <c r="BP173" s="2246"/>
      <c r="BQ173" s="2246"/>
      <c r="BR173" s="2246"/>
      <c r="BS173" s="2244"/>
      <c r="BT173" s="2244"/>
      <c r="BU173" s="2244"/>
      <c r="BV173" s="2244"/>
      <c r="BW173" s="2244"/>
      <c r="BX173" s="2246"/>
      <c r="BY173" s="2246"/>
      <c r="BZ173" s="2246"/>
      <c r="CA173" s="2246"/>
      <c r="CB173" s="2246"/>
      <c r="CC173" s="2246"/>
      <c r="CD173" s="2246"/>
      <c r="CE173" s="2246"/>
      <c r="CF173" s="2246"/>
      <c r="CG173" s="2246"/>
      <c r="CH173" s="2246"/>
      <c r="CI173" s="2246"/>
      <c r="CJ173" s="2246"/>
      <c r="CK173" s="2246"/>
      <c r="CL173" s="2246"/>
      <c r="CM173" s="2246"/>
      <c r="CN173" s="2246"/>
      <c r="CO173" s="2246"/>
      <c r="CP173" s="2246"/>
      <c r="CQ173" s="2246"/>
      <c r="CR173" s="2246"/>
      <c r="CS173" s="2248"/>
      <c r="CT173" s="2248"/>
      <c r="CU173" s="2248"/>
      <c r="CV173" s="2248"/>
      <c r="CW173" s="2248"/>
      <c r="CX173" s="2248"/>
      <c r="CY173" s="2248"/>
      <c r="CZ173" s="2248"/>
      <c r="DA173" s="2248"/>
      <c r="DB173" s="2248"/>
      <c r="DC173" s="2248"/>
      <c r="DD173" s="2249"/>
      <c r="DE173" s="2249"/>
      <c r="DF173" s="2249"/>
      <c r="DG173" s="2249"/>
      <c r="DH173" s="2249"/>
      <c r="DI173" s="2249"/>
      <c r="DJ173" s="2249"/>
      <c r="DK173" s="2249"/>
      <c r="DL173" s="2249"/>
      <c r="DM173" s="2249"/>
      <c r="DN173" s="2249"/>
      <c r="DO173" s="2249"/>
      <c r="DP173" s="2249"/>
      <c r="DQ173" s="2249"/>
      <c r="DR173" s="2249"/>
      <c r="DS173" s="2249"/>
      <c r="DT173" s="2249"/>
      <c r="DU173" s="2249"/>
      <c r="DV173" s="2249"/>
      <c r="DW173" s="2249"/>
      <c r="DX173" s="2249"/>
      <c r="DY173" s="2249"/>
      <c r="DZ173" s="2249"/>
      <c r="EA173" s="2249"/>
      <c r="EB173" s="2249"/>
      <c r="EC173" s="2249"/>
      <c r="ED173" s="2249"/>
      <c r="EE173" s="2249"/>
      <c r="EF173" s="2248"/>
      <c r="EG173" s="2248"/>
    </row>
    <row r="174" spans="1:137" ht="18.899999999999999" customHeight="1">
      <c r="A174" s="2244"/>
      <c r="B174" s="2244"/>
      <c r="C174" s="2245"/>
      <c r="D174" s="2245"/>
      <c r="E174" s="2245"/>
      <c r="F174" s="2245"/>
      <c r="G174" s="2245"/>
      <c r="H174" s="2245"/>
      <c r="I174" s="2244"/>
      <c r="J174" s="2244"/>
      <c r="K174" s="2246"/>
      <c r="L174" s="2244"/>
      <c r="M174" s="2244"/>
      <c r="N174" s="2244"/>
      <c r="O174" s="2244"/>
      <c r="P174" s="2244"/>
      <c r="Q174" s="2246"/>
      <c r="R174" s="2246"/>
      <c r="S174" s="2246"/>
      <c r="T174" s="2246"/>
      <c r="U174" s="2246"/>
      <c r="V174" s="2246"/>
      <c r="W174" s="2246"/>
      <c r="X174" s="2246"/>
      <c r="Y174" s="2246"/>
      <c r="Z174" s="2246"/>
      <c r="AA174" s="2246"/>
      <c r="AB174" s="2246"/>
      <c r="AC174" s="2246"/>
      <c r="AD174" s="2246"/>
      <c r="AE174" s="2246"/>
      <c r="AF174" s="2246"/>
      <c r="AG174" s="2246"/>
      <c r="AH174" s="2246"/>
      <c r="AI174" s="2246"/>
      <c r="AJ174" s="2246"/>
      <c r="AK174" s="2246"/>
      <c r="AL174" s="2246"/>
      <c r="AM174" s="2246"/>
      <c r="AN174" s="2246"/>
      <c r="AO174" s="2246"/>
      <c r="AP174" s="2246"/>
      <c r="AQ174" s="2246"/>
      <c r="AR174" s="2246"/>
      <c r="AS174" s="2244"/>
      <c r="AT174" s="2244"/>
      <c r="AU174" s="2244"/>
      <c r="AV174" s="2244"/>
      <c r="AW174" s="2244"/>
      <c r="AX174" s="2244"/>
      <c r="AY174" s="2244"/>
      <c r="AZ174" s="2244"/>
      <c r="BA174" s="2244"/>
      <c r="BB174" s="2244"/>
      <c r="BC174" s="2244"/>
      <c r="BD174" s="2244"/>
      <c r="BE174" s="2244"/>
      <c r="BF174" s="2246"/>
      <c r="BG174" s="2246"/>
      <c r="BH174" s="2246"/>
      <c r="BI174" s="2246"/>
      <c r="BJ174" s="2246"/>
      <c r="BK174" s="2246"/>
      <c r="BL174" s="2246"/>
      <c r="BM174" s="2246"/>
      <c r="BN174" s="2246"/>
      <c r="BO174" s="2246"/>
      <c r="BP174" s="2246"/>
      <c r="BQ174" s="2246"/>
      <c r="BR174" s="2246"/>
      <c r="BS174" s="2244"/>
      <c r="BT174" s="2244"/>
      <c r="BU174" s="2244"/>
      <c r="BV174" s="2244"/>
      <c r="BW174" s="2244"/>
      <c r="BX174" s="2246"/>
      <c r="BY174" s="2246"/>
      <c r="BZ174" s="2246"/>
      <c r="CA174" s="2246"/>
      <c r="CB174" s="2246"/>
      <c r="CC174" s="2246"/>
      <c r="CD174" s="2246"/>
      <c r="CE174" s="2246"/>
      <c r="CF174" s="2246"/>
      <c r="CG174" s="2246"/>
      <c r="CH174" s="2246"/>
      <c r="CI174" s="2246"/>
      <c r="CJ174" s="2246"/>
      <c r="CK174" s="2246"/>
      <c r="CL174" s="2246"/>
      <c r="CM174" s="2246"/>
      <c r="CN174" s="2246"/>
      <c r="CO174" s="2246"/>
      <c r="CP174" s="2246"/>
      <c r="CQ174" s="2246"/>
      <c r="CR174" s="2246"/>
      <c r="CS174" s="2248"/>
      <c r="CT174" s="2248"/>
      <c r="CU174" s="2248"/>
      <c r="CV174" s="2248"/>
      <c r="CW174" s="2248"/>
      <c r="CX174" s="2248"/>
      <c r="CY174" s="2248"/>
      <c r="CZ174" s="2248"/>
      <c r="DA174" s="2248"/>
      <c r="DB174" s="2248"/>
      <c r="DC174" s="2248"/>
      <c r="DD174" s="2249"/>
      <c r="DE174" s="2249"/>
      <c r="DF174" s="2249"/>
      <c r="DG174" s="2249"/>
      <c r="DH174" s="2249"/>
      <c r="DI174" s="2249"/>
      <c r="DJ174" s="2249"/>
      <c r="DK174" s="2249"/>
      <c r="DL174" s="2249"/>
      <c r="DM174" s="2249"/>
      <c r="DN174" s="2249"/>
      <c r="DO174" s="2249"/>
      <c r="DP174" s="2249"/>
      <c r="DQ174" s="2249"/>
      <c r="DR174" s="2249"/>
      <c r="DS174" s="2249"/>
      <c r="DT174" s="2249"/>
      <c r="DU174" s="2249"/>
      <c r="DV174" s="2249"/>
      <c r="DW174" s="2249"/>
      <c r="DX174" s="2249"/>
      <c r="DY174" s="2249"/>
      <c r="DZ174" s="2249"/>
      <c r="EA174" s="2249"/>
      <c r="EB174" s="2249"/>
      <c r="EC174" s="2249"/>
      <c r="ED174" s="2249"/>
      <c r="EE174" s="2249"/>
      <c r="EF174" s="2248"/>
      <c r="EG174" s="2248"/>
    </row>
    <row r="175" spans="1:137" ht="18.899999999999999" customHeight="1">
      <c r="A175" s="2244"/>
      <c r="B175" s="2244"/>
      <c r="C175" s="2245"/>
      <c r="D175" s="2245"/>
      <c r="E175" s="2245"/>
      <c r="F175" s="2245"/>
      <c r="G175" s="2245"/>
      <c r="H175" s="2245"/>
      <c r="I175" s="2244"/>
      <c r="J175" s="2244"/>
      <c r="K175" s="2246"/>
      <c r="L175" s="2244"/>
      <c r="M175" s="2244"/>
      <c r="N175" s="2244"/>
      <c r="O175" s="2244"/>
      <c r="P175" s="2244"/>
      <c r="Q175" s="2246"/>
      <c r="R175" s="2246"/>
      <c r="S175" s="2246"/>
      <c r="T175" s="2246"/>
      <c r="U175" s="2246"/>
      <c r="V175" s="2246"/>
      <c r="W175" s="2246"/>
      <c r="X175" s="2246"/>
      <c r="Y175" s="2246"/>
      <c r="Z175" s="2246"/>
      <c r="AA175" s="2246"/>
      <c r="AB175" s="2246"/>
      <c r="AC175" s="2246"/>
      <c r="AD175" s="2246"/>
      <c r="AE175" s="2246"/>
      <c r="AF175" s="2246"/>
      <c r="AG175" s="2246"/>
      <c r="AH175" s="2246"/>
      <c r="AI175" s="2246"/>
      <c r="AJ175" s="2246"/>
      <c r="AK175" s="2246"/>
      <c r="AL175" s="2246"/>
      <c r="AM175" s="2246"/>
      <c r="AN175" s="2246"/>
      <c r="AO175" s="2246"/>
      <c r="AP175" s="2246"/>
      <c r="AQ175" s="2246"/>
      <c r="AR175" s="2246"/>
      <c r="AS175" s="2244"/>
      <c r="AT175" s="2244"/>
      <c r="AU175" s="2244"/>
      <c r="AV175" s="2244"/>
      <c r="AW175" s="2244"/>
      <c r="AX175" s="2244"/>
      <c r="AY175" s="2244"/>
      <c r="AZ175" s="2244"/>
      <c r="BA175" s="2244"/>
      <c r="BB175" s="2244"/>
      <c r="BC175" s="2244"/>
      <c r="BD175" s="2244"/>
      <c r="BE175" s="2244"/>
      <c r="BF175" s="2246"/>
      <c r="BG175" s="2246"/>
      <c r="BH175" s="2246"/>
      <c r="BI175" s="2246"/>
      <c r="BJ175" s="2246"/>
      <c r="BK175" s="2246"/>
      <c r="BL175" s="2246"/>
      <c r="BM175" s="2246"/>
      <c r="BN175" s="2246"/>
      <c r="BO175" s="2246"/>
      <c r="BP175" s="2246"/>
      <c r="BQ175" s="2246"/>
      <c r="BR175" s="2246"/>
      <c r="BS175" s="2244"/>
      <c r="BT175" s="2244"/>
      <c r="BU175" s="2244"/>
      <c r="BV175" s="2244"/>
      <c r="BW175" s="2244"/>
      <c r="BX175" s="2246"/>
      <c r="BY175" s="2246"/>
      <c r="BZ175" s="2246"/>
      <c r="CA175" s="2246"/>
      <c r="CB175" s="2246"/>
      <c r="CC175" s="2246"/>
      <c r="CD175" s="2246"/>
      <c r="CE175" s="2246"/>
      <c r="CF175" s="2246"/>
      <c r="CG175" s="2246"/>
      <c r="CH175" s="2246"/>
      <c r="CI175" s="2246"/>
      <c r="CJ175" s="2246"/>
      <c r="CK175" s="2246"/>
      <c r="CL175" s="2246"/>
      <c r="CM175" s="2246"/>
      <c r="CN175" s="2246"/>
      <c r="CO175" s="2246"/>
      <c r="CP175" s="2246"/>
      <c r="CQ175" s="2246"/>
      <c r="CR175" s="2246"/>
      <c r="CS175" s="2248"/>
      <c r="CT175" s="2248"/>
      <c r="CU175" s="2248"/>
      <c r="CV175" s="2248"/>
      <c r="CW175" s="2248"/>
      <c r="CX175" s="2248"/>
      <c r="CY175" s="2248"/>
      <c r="CZ175" s="2248"/>
      <c r="DA175" s="2248"/>
      <c r="DB175" s="2248"/>
      <c r="DC175" s="2248"/>
      <c r="DD175" s="2249"/>
      <c r="DE175" s="2249"/>
      <c r="DF175" s="2249"/>
      <c r="DG175" s="2249"/>
      <c r="DH175" s="2249"/>
      <c r="DI175" s="2249"/>
      <c r="DJ175" s="2249"/>
      <c r="DK175" s="2249"/>
      <c r="DL175" s="2249"/>
      <c r="DM175" s="2249"/>
      <c r="DN175" s="2249"/>
      <c r="DO175" s="2249"/>
      <c r="DP175" s="2249"/>
      <c r="DQ175" s="2249"/>
      <c r="DR175" s="2249"/>
      <c r="DS175" s="2249"/>
      <c r="DT175" s="2249"/>
      <c r="DU175" s="2249"/>
      <c r="DV175" s="2249"/>
      <c r="DW175" s="2249"/>
      <c r="DX175" s="2249"/>
      <c r="DY175" s="2249"/>
      <c r="DZ175" s="2249"/>
      <c r="EA175" s="2249"/>
      <c r="EB175" s="2249"/>
      <c r="EC175" s="2249"/>
      <c r="ED175" s="2249"/>
      <c r="EE175" s="2249"/>
      <c r="EF175" s="2248"/>
      <c r="EG175" s="2248"/>
    </row>
    <row r="176" spans="1:137" ht="18.899999999999999" customHeight="1">
      <c r="A176" s="2244"/>
      <c r="B176" s="2244"/>
      <c r="C176" s="2245"/>
      <c r="D176" s="2245"/>
      <c r="E176" s="2245"/>
      <c r="F176" s="2245"/>
      <c r="G176" s="2245"/>
      <c r="H176" s="2245"/>
      <c r="I176" s="2244"/>
      <c r="J176" s="2244"/>
      <c r="K176" s="2246"/>
      <c r="L176" s="2244"/>
      <c r="M176" s="2244"/>
      <c r="N176" s="2244"/>
      <c r="O176" s="2244"/>
      <c r="P176" s="2244"/>
      <c r="Q176" s="2246"/>
      <c r="R176" s="2246"/>
      <c r="S176" s="2246"/>
      <c r="T176" s="2246"/>
      <c r="U176" s="2246"/>
      <c r="V176" s="2246"/>
      <c r="W176" s="2246"/>
      <c r="X176" s="2246"/>
      <c r="Y176" s="2246"/>
      <c r="Z176" s="2246"/>
      <c r="AA176" s="2246"/>
      <c r="AB176" s="2246"/>
      <c r="AC176" s="2246"/>
      <c r="AD176" s="2246"/>
      <c r="AE176" s="2246"/>
      <c r="AF176" s="2246"/>
      <c r="AG176" s="2246"/>
      <c r="AH176" s="2246"/>
      <c r="AI176" s="2246"/>
      <c r="AJ176" s="2246"/>
      <c r="AK176" s="2246"/>
      <c r="AL176" s="2246"/>
      <c r="AM176" s="2246"/>
      <c r="AN176" s="2246"/>
      <c r="AO176" s="2246"/>
      <c r="AP176" s="2246"/>
      <c r="AQ176" s="2246"/>
      <c r="AR176" s="2246"/>
      <c r="AS176" s="2244"/>
      <c r="AT176" s="2244"/>
      <c r="AU176" s="2244"/>
      <c r="AV176" s="2244"/>
      <c r="AW176" s="2244"/>
      <c r="AX176" s="2244"/>
      <c r="AY176" s="2244"/>
      <c r="AZ176" s="2244"/>
      <c r="BA176" s="2244"/>
      <c r="BB176" s="2244"/>
      <c r="BC176" s="2244"/>
      <c r="BD176" s="2244"/>
      <c r="BE176" s="2244"/>
      <c r="BF176" s="2246"/>
      <c r="BG176" s="2246"/>
      <c r="BH176" s="2246"/>
      <c r="BI176" s="2246"/>
      <c r="BJ176" s="2246"/>
      <c r="BK176" s="2246"/>
      <c r="BL176" s="2246"/>
      <c r="BM176" s="2246"/>
      <c r="BN176" s="2246"/>
      <c r="BO176" s="2246"/>
      <c r="BP176" s="2246"/>
      <c r="BQ176" s="2246"/>
      <c r="BR176" s="2246"/>
      <c r="BS176" s="2244"/>
      <c r="BT176" s="2244"/>
      <c r="BU176" s="2244"/>
      <c r="BV176" s="2244"/>
      <c r="BW176" s="2244"/>
      <c r="BX176" s="2246"/>
      <c r="BY176" s="2246"/>
      <c r="BZ176" s="2246"/>
      <c r="CA176" s="2246"/>
      <c r="CB176" s="2246"/>
      <c r="CC176" s="2246"/>
      <c r="CD176" s="2246"/>
      <c r="CE176" s="2246"/>
      <c r="CF176" s="2246"/>
      <c r="CG176" s="2246"/>
      <c r="CH176" s="2246"/>
      <c r="CI176" s="2246"/>
      <c r="CJ176" s="2246"/>
      <c r="CK176" s="2246"/>
      <c r="CL176" s="2246"/>
      <c r="CM176" s="2246"/>
      <c r="CN176" s="2246"/>
      <c r="CO176" s="2246"/>
      <c r="CP176" s="2246"/>
      <c r="CQ176" s="2246"/>
      <c r="CR176" s="2246"/>
      <c r="CS176" s="2248"/>
      <c r="CT176" s="2248"/>
      <c r="CU176" s="2248"/>
      <c r="CV176" s="2248"/>
      <c r="CW176" s="2248"/>
      <c r="CX176" s="2248"/>
      <c r="CY176" s="2248"/>
      <c r="CZ176" s="2248"/>
      <c r="DA176" s="2248"/>
      <c r="DB176" s="2248"/>
      <c r="DC176" s="2248"/>
      <c r="DD176" s="2249"/>
      <c r="DE176" s="2249"/>
      <c r="DF176" s="2249"/>
      <c r="DG176" s="2249"/>
      <c r="DH176" s="2249"/>
      <c r="DI176" s="2249"/>
      <c r="DJ176" s="2249"/>
      <c r="DK176" s="2249"/>
      <c r="DL176" s="2249"/>
      <c r="DM176" s="2249"/>
      <c r="DN176" s="2249"/>
      <c r="DO176" s="2249"/>
      <c r="DP176" s="2249"/>
      <c r="DQ176" s="2249"/>
      <c r="DR176" s="2249"/>
      <c r="DS176" s="2249"/>
      <c r="DT176" s="2249"/>
      <c r="DU176" s="2249"/>
      <c r="DV176" s="2249"/>
      <c r="DW176" s="2249"/>
      <c r="DX176" s="2249"/>
      <c r="DY176" s="2249"/>
      <c r="DZ176" s="2249"/>
      <c r="EA176" s="2249"/>
      <c r="EB176" s="2249"/>
      <c r="EC176" s="2249"/>
      <c r="ED176" s="2249"/>
      <c r="EE176" s="2249"/>
      <c r="EF176" s="2248"/>
      <c r="EG176" s="2248"/>
    </row>
    <row r="177" spans="1:137" ht="18.899999999999999" customHeight="1">
      <c r="A177" s="2244"/>
      <c r="B177" s="2244"/>
      <c r="C177" s="2245"/>
      <c r="D177" s="2245"/>
      <c r="E177" s="2245"/>
      <c r="F177" s="2245"/>
      <c r="G177" s="2245"/>
      <c r="H177" s="2245"/>
      <c r="I177" s="2244"/>
      <c r="J177" s="2244"/>
      <c r="K177" s="2246"/>
      <c r="L177" s="2244"/>
      <c r="M177" s="2244"/>
      <c r="N177" s="2244"/>
      <c r="O177" s="2244"/>
      <c r="P177" s="2244"/>
      <c r="Q177" s="2246"/>
      <c r="R177" s="2246"/>
      <c r="S177" s="2246"/>
      <c r="T177" s="2246"/>
      <c r="U177" s="2246"/>
      <c r="V177" s="2246"/>
      <c r="W177" s="2246"/>
      <c r="X177" s="2246"/>
      <c r="Y177" s="2246"/>
      <c r="Z177" s="2246"/>
      <c r="AA177" s="2246"/>
      <c r="AB177" s="2246"/>
      <c r="AC177" s="2246"/>
      <c r="AD177" s="2246"/>
      <c r="AE177" s="2246"/>
      <c r="AF177" s="2246"/>
      <c r="AG177" s="2246"/>
      <c r="AH177" s="2246"/>
      <c r="AI177" s="2246"/>
      <c r="AJ177" s="2246"/>
      <c r="AK177" s="2246"/>
      <c r="AL177" s="2246"/>
      <c r="AM177" s="2246"/>
      <c r="AN177" s="2246"/>
      <c r="AO177" s="2246"/>
      <c r="AP177" s="2246"/>
      <c r="AQ177" s="2246"/>
      <c r="AR177" s="2246"/>
      <c r="AS177" s="2244"/>
      <c r="AT177" s="2244"/>
      <c r="AU177" s="2244"/>
      <c r="AV177" s="2244"/>
      <c r="AW177" s="2244"/>
      <c r="AX177" s="2244"/>
      <c r="AY177" s="2244"/>
      <c r="AZ177" s="2244"/>
      <c r="BA177" s="2244"/>
      <c r="BB177" s="2244"/>
      <c r="BC177" s="2244"/>
      <c r="BD177" s="2244"/>
      <c r="BE177" s="2244"/>
      <c r="BF177" s="2246"/>
      <c r="BG177" s="2246"/>
      <c r="BH177" s="2246"/>
      <c r="BI177" s="2246"/>
      <c r="BJ177" s="2246"/>
      <c r="BK177" s="2246"/>
      <c r="BL177" s="2246"/>
      <c r="BM177" s="2246"/>
      <c r="BN177" s="2246"/>
      <c r="BO177" s="2246"/>
      <c r="BP177" s="2246"/>
      <c r="BQ177" s="2246"/>
      <c r="BR177" s="2246"/>
      <c r="BS177" s="2244"/>
      <c r="BT177" s="2244"/>
      <c r="BU177" s="2244"/>
      <c r="BV177" s="2244"/>
      <c r="BW177" s="2244"/>
      <c r="BX177" s="2246"/>
      <c r="BY177" s="2246"/>
      <c r="BZ177" s="2246"/>
      <c r="CA177" s="2246"/>
      <c r="CB177" s="2246"/>
      <c r="CC177" s="2246"/>
      <c r="CD177" s="2246"/>
      <c r="CE177" s="2246"/>
      <c r="CF177" s="2246"/>
      <c r="CG177" s="2246"/>
      <c r="CH177" s="2246"/>
      <c r="CI177" s="2246"/>
      <c r="CJ177" s="2246"/>
      <c r="CK177" s="2246"/>
      <c r="CL177" s="2246"/>
      <c r="CM177" s="2246"/>
      <c r="CN177" s="2246"/>
      <c r="CO177" s="2246"/>
      <c r="CP177" s="2246"/>
      <c r="CQ177" s="2246"/>
      <c r="CR177" s="2246"/>
      <c r="CS177" s="2248"/>
      <c r="CT177" s="2248"/>
      <c r="CU177" s="2248"/>
      <c r="CV177" s="2248"/>
      <c r="CW177" s="2248"/>
      <c r="CX177" s="2248"/>
      <c r="CY177" s="2248"/>
      <c r="CZ177" s="2248"/>
      <c r="DA177" s="2248"/>
      <c r="DB177" s="2248"/>
      <c r="DC177" s="2248"/>
      <c r="DD177" s="2249"/>
      <c r="DE177" s="2249"/>
      <c r="DF177" s="2249"/>
      <c r="DG177" s="2249"/>
      <c r="DH177" s="2249"/>
      <c r="DI177" s="2249"/>
      <c r="DJ177" s="2249"/>
      <c r="DK177" s="2249"/>
      <c r="DL177" s="2249"/>
      <c r="DM177" s="2249"/>
      <c r="DN177" s="2249"/>
      <c r="DO177" s="2249"/>
      <c r="DP177" s="2249"/>
      <c r="DQ177" s="2249"/>
      <c r="DR177" s="2249"/>
      <c r="DS177" s="2249"/>
      <c r="DT177" s="2249"/>
      <c r="DU177" s="2249"/>
      <c r="DV177" s="2249"/>
      <c r="DW177" s="2249"/>
      <c r="DX177" s="2249"/>
      <c r="DY177" s="2249"/>
      <c r="DZ177" s="2249"/>
      <c r="EA177" s="2249"/>
      <c r="EB177" s="2249"/>
      <c r="EC177" s="2249"/>
      <c r="ED177" s="2249"/>
      <c r="EE177" s="2249"/>
      <c r="EF177" s="2248"/>
      <c r="EG177" s="2248"/>
    </row>
    <row r="178" spans="1:137" ht="18.899999999999999" customHeight="1">
      <c r="A178" s="2244"/>
      <c r="B178" s="2244"/>
      <c r="C178" s="2245"/>
      <c r="D178" s="2245"/>
      <c r="E178" s="2245"/>
      <c r="F178" s="2245"/>
      <c r="G178" s="2245"/>
      <c r="H178" s="2245"/>
      <c r="I178" s="2244"/>
      <c r="J178" s="2244"/>
      <c r="K178" s="2246"/>
      <c r="L178" s="2244"/>
      <c r="M178" s="2244"/>
      <c r="N178" s="2244"/>
      <c r="O178" s="2244"/>
      <c r="P178" s="2244"/>
      <c r="Q178" s="2246"/>
      <c r="R178" s="2246"/>
      <c r="S178" s="2246"/>
      <c r="T178" s="2246"/>
      <c r="U178" s="2246"/>
      <c r="V178" s="2246"/>
      <c r="W178" s="2246"/>
      <c r="X178" s="2246"/>
      <c r="Y178" s="2246"/>
      <c r="Z178" s="2246"/>
      <c r="AA178" s="2246"/>
      <c r="AB178" s="2246"/>
      <c r="AC178" s="2246"/>
      <c r="AD178" s="2246"/>
      <c r="AE178" s="2246"/>
      <c r="AF178" s="2246"/>
      <c r="AG178" s="2246"/>
      <c r="AH178" s="2246"/>
      <c r="AI178" s="2246"/>
      <c r="AJ178" s="2246"/>
      <c r="AK178" s="2246"/>
      <c r="AL178" s="2246"/>
      <c r="AM178" s="2246"/>
      <c r="AN178" s="2246"/>
      <c r="AO178" s="2246"/>
      <c r="AP178" s="2246"/>
      <c r="AQ178" s="2246"/>
      <c r="AR178" s="2246"/>
      <c r="AS178" s="2244"/>
      <c r="AT178" s="2244"/>
      <c r="AU178" s="2244"/>
      <c r="AV178" s="2244"/>
      <c r="AW178" s="2244"/>
      <c r="AX178" s="2244"/>
      <c r="AY178" s="2244"/>
      <c r="AZ178" s="2244"/>
      <c r="BA178" s="2244"/>
      <c r="BB178" s="2244"/>
      <c r="BC178" s="2244"/>
      <c r="BD178" s="2244"/>
      <c r="BE178" s="2244"/>
      <c r="BF178" s="2246"/>
      <c r="BG178" s="2246"/>
      <c r="BH178" s="2246"/>
      <c r="BI178" s="2246"/>
      <c r="BJ178" s="2246"/>
      <c r="BK178" s="2246"/>
      <c r="BL178" s="2246"/>
      <c r="BM178" s="2246"/>
      <c r="BN178" s="2246"/>
      <c r="BO178" s="2246"/>
      <c r="BP178" s="2246"/>
      <c r="BQ178" s="2246"/>
      <c r="BR178" s="2246"/>
      <c r="BS178" s="2244"/>
      <c r="BT178" s="2244"/>
      <c r="BU178" s="2244"/>
      <c r="BV178" s="2244"/>
      <c r="BW178" s="2244"/>
      <c r="BX178" s="2246"/>
      <c r="BY178" s="2246"/>
      <c r="BZ178" s="2246"/>
      <c r="CA178" s="2246"/>
      <c r="CB178" s="2246"/>
      <c r="CC178" s="2246"/>
      <c r="CD178" s="2246"/>
      <c r="CE178" s="2246"/>
      <c r="CF178" s="2246"/>
      <c r="CG178" s="2246"/>
      <c r="CH178" s="2246"/>
      <c r="CI178" s="2246"/>
      <c r="CJ178" s="2246"/>
      <c r="CK178" s="2246"/>
      <c r="CL178" s="2246"/>
      <c r="CM178" s="2246"/>
      <c r="CN178" s="2246"/>
      <c r="CO178" s="2246"/>
      <c r="CP178" s="2246"/>
      <c r="CQ178" s="2246"/>
      <c r="CR178" s="2246"/>
      <c r="CS178" s="2248"/>
      <c r="CT178" s="2248"/>
      <c r="CU178" s="2248"/>
      <c r="CV178" s="2248"/>
      <c r="CW178" s="2248"/>
      <c r="CX178" s="2248"/>
      <c r="CY178" s="2248"/>
      <c r="CZ178" s="2248"/>
      <c r="DA178" s="2248"/>
      <c r="DB178" s="2248"/>
      <c r="DC178" s="2248"/>
      <c r="DD178" s="2249"/>
      <c r="DE178" s="2249"/>
      <c r="DF178" s="2249"/>
      <c r="DG178" s="2249"/>
      <c r="DH178" s="2249"/>
      <c r="DI178" s="2249"/>
      <c r="DJ178" s="2249"/>
      <c r="DK178" s="2249"/>
      <c r="DL178" s="2249"/>
      <c r="DM178" s="2249"/>
      <c r="DN178" s="2249"/>
      <c r="DO178" s="2249"/>
      <c r="DP178" s="2249"/>
      <c r="DQ178" s="2249"/>
      <c r="DR178" s="2249"/>
      <c r="DS178" s="2249"/>
      <c r="DT178" s="2249"/>
      <c r="DU178" s="2249"/>
      <c r="DV178" s="2249"/>
      <c r="DW178" s="2249"/>
      <c r="DX178" s="2249"/>
      <c r="DY178" s="2249"/>
      <c r="DZ178" s="2249"/>
      <c r="EA178" s="2249"/>
      <c r="EB178" s="2249"/>
      <c r="EC178" s="2249"/>
      <c r="ED178" s="2249"/>
      <c r="EE178" s="2249"/>
      <c r="EF178" s="2248"/>
      <c r="EG178" s="2248"/>
    </row>
    <row r="179" spans="1:137" ht="18.899999999999999" customHeight="1">
      <c r="A179" s="2244"/>
      <c r="B179" s="2244"/>
      <c r="C179" s="2245"/>
      <c r="D179" s="2245"/>
      <c r="E179" s="2245"/>
      <c r="F179" s="2245"/>
      <c r="G179" s="2245"/>
      <c r="H179" s="2245"/>
      <c r="I179" s="2244"/>
      <c r="J179" s="2244"/>
      <c r="K179" s="2246"/>
      <c r="L179" s="2244"/>
      <c r="M179" s="2244"/>
      <c r="N179" s="2244"/>
      <c r="O179" s="2244"/>
      <c r="P179" s="2244"/>
      <c r="Q179" s="2246"/>
      <c r="R179" s="2246"/>
      <c r="S179" s="2246"/>
      <c r="T179" s="2246"/>
      <c r="U179" s="2246"/>
      <c r="V179" s="2246"/>
      <c r="W179" s="2246"/>
      <c r="X179" s="2246"/>
      <c r="Y179" s="2246"/>
      <c r="Z179" s="2246"/>
      <c r="AA179" s="2246"/>
      <c r="AB179" s="2246"/>
      <c r="AC179" s="2246"/>
      <c r="AD179" s="2246"/>
      <c r="AE179" s="2246"/>
      <c r="AF179" s="2246"/>
      <c r="AG179" s="2246"/>
      <c r="AH179" s="2246"/>
      <c r="AI179" s="2246"/>
      <c r="AJ179" s="2246"/>
      <c r="AK179" s="2246"/>
      <c r="AL179" s="2246"/>
      <c r="AM179" s="2246"/>
      <c r="AN179" s="2246"/>
      <c r="AO179" s="2246"/>
      <c r="AP179" s="2246"/>
      <c r="AQ179" s="2246"/>
      <c r="AR179" s="2246"/>
      <c r="AS179" s="2244"/>
      <c r="AT179" s="2244"/>
      <c r="AU179" s="2244"/>
      <c r="AV179" s="2244"/>
      <c r="AW179" s="2244"/>
      <c r="AX179" s="2244"/>
      <c r="AY179" s="2244"/>
      <c r="AZ179" s="2244"/>
      <c r="BA179" s="2244"/>
      <c r="BB179" s="2244"/>
      <c r="BC179" s="2244"/>
      <c r="BD179" s="2244"/>
      <c r="BE179" s="2244"/>
      <c r="BF179" s="2246"/>
      <c r="BG179" s="2246"/>
      <c r="BH179" s="2246"/>
      <c r="BI179" s="2246"/>
      <c r="BJ179" s="2246"/>
      <c r="BK179" s="2246"/>
      <c r="BL179" s="2246"/>
      <c r="BM179" s="2246"/>
      <c r="BN179" s="2246"/>
      <c r="BO179" s="2246"/>
      <c r="BP179" s="2246"/>
      <c r="BQ179" s="2246"/>
      <c r="BR179" s="2246"/>
      <c r="BS179" s="2244"/>
      <c r="BT179" s="2244"/>
      <c r="BU179" s="2244"/>
      <c r="BV179" s="2244"/>
      <c r="BW179" s="2244"/>
      <c r="BX179" s="2246"/>
      <c r="BY179" s="2246"/>
      <c r="BZ179" s="2246"/>
      <c r="CA179" s="2246"/>
      <c r="CB179" s="2246"/>
      <c r="CC179" s="2246"/>
      <c r="CD179" s="2246"/>
      <c r="CE179" s="2246"/>
      <c r="CF179" s="2246"/>
      <c r="CG179" s="2246"/>
      <c r="CH179" s="2246"/>
      <c r="CI179" s="2246"/>
      <c r="CJ179" s="2246"/>
      <c r="CK179" s="2246"/>
      <c r="CL179" s="2246"/>
      <c r="CM179" s="2246"/>
      <c r="CN179" s="2246"/>
      <c r="CO179" s="2246"/>
      <c r="CP179" s="2246"/>
      <c r="CQ179" s="2246"/>
      <c r="CR179" s="2246"/>
      <c r="CS179" s="2248"/>
      <c r="CT179" s="2248"/>
      <c r="CU179" s="2248"/>
      <c r="CV179" s="2248"/>
      <c r="CW179" s="2248"/>
      <c r="CX179" s="2248"/>
      <c r="CY179" s="2248"/>
      <c r="CZ179" s="2248"/>
      <c r="DA179" s="2248"/>
      <c r="DB179" s="2248"/>
      <c r="DC179" s="2248"/>
      <c r="DD179" s="2249"/>
      <c r="DE179" s="2249"/>
      <c r="DF179" s="2249"/>
      <c r="DG179" s="2249"/>
      <c r="DH179" s="2249"/>
      <c r="DI179" s="2249"/>
      <c r="DJ179" s="2249"/>
      <c r="DK179" s="2249"/>
      <c r="DL179" s="2249"/>
      <c r="DM179" s="2249"/>
      <c r="DN179" s="2249"/>
      <c r="DO179" s="2249"/>
      <c r="DP179" s="2249"/>
      <c r="DQ179" s="2249"/>
      <c r="DR179" s="2249"/>
      <c r="DS179" s="2249"/>
      <c r="DT179" s="2249"/>
      <c r="DU179" s="2249"/>
      <c r="DV179" s="2249"/>
      <c r="DW179" s="2249"/>
      <c r="DX179" s="2249"/>
      <c r="DY179" s="2249"/>
      <c r="DZ179" s="2249"/>
      <c r="EA179" s="2249"/>
      <c r="EB179" s="2249"/>
      <c r="EC179" s="2249"/>
      <c r="ED179" s="2249"/>
      <c r="EE179" s="2249"/>
      <c r="EF179" s="2248"/>
      <c r="EG179" s="2248"/>
    </row>
    <row r="180" spans="1:137" ht="18.899999999999999" customHeight="1">
      <c r="A180" s="2244"/>
      <c r="B180" s="2244"/>
      <c r="C180" s="2245"/>
      <c r="D180" s="2245"/>
      <c r="E180" s="2245"/>
      <c r="F180" s="2245"/>
      <c r="G180" s="2245"/>
      <c r="H180" s="2245"/>
      <c r="I180" s="2244"/>
      <c r="J180" s="2244"/>
      <c r="K180" s="2246"/>
      <c r="L180" s="2244"/>
      <c r="M180" s="2244"/>
      <c r="N180" s="2244"/>
      <c r="O180" s="2244"/>
      <c r="P180" s="2244"/>
      <c r="Q180" s="2246"/>
      <c r="R180" s="2246"/>
      <c r="S180" s="2246"/>
      <c r="T180" s="2246"/>
      <c r="U180" s="2246"/>
      <c r="V180" s="2246"/>
      <c r="W180" s="2246"/>
      <c r="X180" s="2246"/>
      <c r="Y180" s="2246"/>
      <c r="Z180" s="2246"/>
      <c r="AA180" s="2246"/>
      <c r="AB180" s="2246"/>
      <c r="AC180" s="2246"/>
      <c r="AD180" s="2246"/>
      <c r="AE180" s="2246"/>
      <c r="AF180" s="2246"/>
      <c r="AG180" s="2246"/>
      <c r="AH180" s="2246"/>
      <c r="AI180" s="2246"/>
      <c r="AJ180" s="2246"/>
      <c r="AK180" s="2246"/>
      <c r="AL180" s="2246"/>
      <c r="AM180" s="2246"/>
      <c r="AN180" s="2246"/>
      <c r="AO180" s="2246"/>
      <c r="AP180" s="2246"/>
      <c r="AQ180" s="2246"/>
      <c r="AR180" s="2246"/>
      <c r="AS180" s="2244"/>
      <c r="AT180" s="2244"/>
      <c r="AU180" s="2244"/>
      <c r="AV180" s="2244"/>
      <c r="AW180" s="2244"/>
      <c r="AX180" s="2244"/>
      <c r="AY180" s="2244"/>
      <c r="AZ180" s="2244"/>
      <c r="BA180" s="2244"/>
      <c r="BB180" s="2244"/>
      <c r="BC180" s="2244"/>
      <c r="BD180" s="2244"/>
      <c r="BE180" s="2244"/>
      <c r="BF180" s="2246"/>
      <c r="BG180" s="2246"/>
      <c r="BH180" s="2246"/>
      <c r="BI180" s="2246"/>
      <c r="BJ180" s="2246"/>
      <c r="BK180" s="2246"/>
      <c r="BL180" s="2246"/>
      <c r="BM180" s="2246"/>
      <c r="BN180" s="2246"/>
      <c r="BO180" s="2246"/>
      <c r="BP180" s="2246"/>
      <c r="BQ180" s="2246"/>
      <c r="BR180" s="2246"/>
      <c r="BS180" s="2244"/>
      <c r="BT180" s="2244"/>
      <c r="BU180" s="2244"/>
      <c r="BV180" s="2244"/>
      <c r="BW180" s="2244"/>
      <c r="BX180" s="2246"/>
      <c r="BY180" s="2246"/>
      <c r="BZ180" s="2246"/>
      <c r="CA180" s="2246"/>
      <c r="CB180" s="2246"/>
      <c r="CC180" s="2246"/>
      <c r="CD180" s="2246"/>
      <c r="CE180" s="2246"/>
      <c r="CF180" s="2246"/>
      <c r="CG180" s="2246"/>
      <c r="CH180" s="2246"/>
      <c r="CI180" s="2246"/>
      <c r="CJ180" s="2246"/>
      <c r="CK180" s="2246"/>
      <c r="CL180" s="2246"/>
      <c r="CM180" s="2246"/>
      <c r="CN180" s="2246"/>
      <c r="CO180" s="2246"/>
      <c r="CP180" s="2246"/>
      <c r="CQ180" s="2246"/>
      <c r="CR180" s="2246"/>
      <c r="CS180" s="2248"/>
      <c r="CT180" s="2248"/>
      <c r="CU180" s="2248"/>
      <c r="CV180" s="2248"/>
      <c r="CW180" s="2248"/>
      <c r="CX180" s="2248"/>
      <c r="CY180" s="2248"/>
      <c r="CZ180" s="2248"/>
      <c r="DA180" s="2248"/>
      <c r="DB180" s="2248"/>
      <c r="DC180" s="2248"/>
      <c r="DD180" s="2249"/>
      <c r="DE180" s="2249"/>
      <c r="DF180" s="2249"/>
      <c r="DG180" s="2249"/>
      <c r="DH180" s="2249"/>
      <c r="DI180" s="2249"/>
      <c r="DJ180" s="2249"/>
      <c r="DK180" s="2249"/>
      <c r="DL180" s="2249"/>
      <c r="DM180" s="2249"/>
      <c r="DN180" s="2249"/>
      <c r="DO180" s="2249"/>
      <c r="DP180" s="2249"/>
      <c r="DQ180" s="2249"/>
      <c r="DR180" s="2249"/>
      <c r="DS180" s="2249"/>
      <c r="DT180" s="2249"/>
      <c r="DU180" s="2249"/>
      <c r="DV180" s="2249"/>
      <c r="DW180" s="2249"/>
      <c r="DX180" s="2249"/>
      <c r="DY180" s="2249"/>
      <c r="DZ180" s="2249"/>
      <c r="EA180" s="2249"/>
      <c r="EB180" s="2249"/>
      <c r="EC180" s="2249"/>
      <c r="ED180" s="2249"/>
      <c r="EE180" s="2249"/>
      <c r="EF180" s="2248"/>
      <c r="EG180" s="2248"/>
    </row>
    <row r="181" spans="1:137" ht="18.899999999999999" customHeight="1">
      <c r="A181" s="2244"/>
      <c r="B181" s="2244"/>
      <c r="C181" s="2245"/>
      <c r="D181" s="2245"/>
      <c r="E181" s="2245"/>
      <c r="F181" s="2245"/>
      <c r="G181" s="2245"/>
      <c r="H181" s="2245"/>
      <c r="I181" s="2244"/>
      <c r="J181" s="2244"/>
      <c r="K181" s="2246"/>
      <c r="L181" s="2244"/>
      <c r="M181" s="2244"/>
      <c r="N181" s="2244"/>
      <c r="O181" s="2244"/>
      <c r="P181" s="2244"/>
      <c r="Q181" s="2246"/>
      <c r="R181" s="2246"/>
      <c r="S181" s="2246"/>
      <c r="T181" s="2246"/>
      <c r="U181" s="2246"/>
      <c r="V181" s="2246"/>
      <c r="W181" s="2246"/>
      <c r="X181" s="2246"/>
      <c r="Y181" s="2246"/>
      <c r="Z181" s="2246"/>
      <c r="AA181" s="2246"/>
      <c r="AB181" s="2246"/>
      <c r="AC181" s="2246"/>
      <c r="AD181" s="2246"/>
      <c r="AE181" s="2246"/>
      <c r="AF181" s="2246"/>
      <c r="AG181" s="2246"/>
      <c r="AH181" s="2246"/>
      <c r="AI181" s="2246"/>
      <c r="AJ181" s="2246"/>
      <c r="AK181" s="2246"/>
      <c r="AL181" s="2246"/>
      <c r="AM181" s="2246"/>
      <c r="AN181" s="2246"/>
      <c r="AO181" s="2246"/>
      <c r="AP181" s="2246"/>
      <c r="AQ181" s="2246"/>
      <c r="AR181" s="2246"/>
      <c r="AS181" s="2244"/>
      <c r="AT181" s="2244"/>
      <c r="AU181" s="2244"/>
      <c r="AV181" s="2244"/>
      <c r="AW181" s="2244"/>
      <c r="AX181" s="2244"/>
      <c r="AY181" s="2244"/>
      <c r="AZ181" s="2244"/>
      <c r="BA181" s="2244"/>
      <c r="BB181" s="2244"/>
      <c r="BC181" s="2244"/>
      <c r="BD181" s="2244"/>
      <c r="BE181" s="2244"/>
      <c r="BF181" s="2246"/>
      <c r="BG181" s="2246"/>
      <c r="BH181" s="2246"/>
      <c r="BI181" s="2246"/>
      <c r="BJ181" s="2246"/>
      <c r="BK181" s="2246"/>
      <c r="BL181" s="2246"/>
      <c r="BM181" s="2246"/>
      <c r="BN181" s="2246"/>
      <c r="BO181" s="2246"/>
      <c r="BP181" s="2246"/>
      <c r="BQ181" s="2246"/>
      <c r="BR181" s="2246"/>
      <c r="BS181" s="2244"/>
      <c r="BT181" s="2244"/>
      <c r="BU181" s="2244"/>
      <c r="BV181" s="2244"/>
      <c r="BW181" s="2244"/>
      <c r="BX181" s="2246"/>
      <c r="BY181" s="2246"/>
      <c r="BZ181" s="2246"/>
      <c r="CA181" s="2246"/>
      <c r="CB181" s="2246"/>
      <c r="CC181" s="2246"/>
      <c r="CD181" s="2246"/>
      <c r="CE181" s="2246"/>
      <c r="CF181" s="2246"/>
      <c r="CG181" s="2246"/>
      <c r="CH181" s="2246"/>
      <c r="CI181" s="2246"/>
      <c r="CJ181" s="2246"/>
      <c r="CK181" s="2246"/>
      <c r="CL181" s="2246"/>
      <c r="CM181" s="2246"/>
      <c r="CN181" s="2246"/>
      <c r="CO181" s="2246"/>
      <c r="CP181" s="2246"/>
      <c r="CQ181" s="2246"/>
      <c r="CR181" s="2246"/>
      <c r="CS181" s="2248"/>
      <c r="CT181" s="2248"/>
      <c r="CU181" s="2248"/>
      <c r="CV181" s="2248"/>
      <c r="CW181" s="2248"/>
      <c r="CX181" s="2248"/>
      <c r="CY181" s="2248"/>
      <c r="CZ181" s="2248"/>
      <c r="DA181" s="2248"/>
      <c r="DB181" s="2248"/>
      <c r="DC181" s="2248"/>
      <c r="DD181" s="2249"/>
      <c r="DE181" s="2249"/>
      <c r="DF181" s="2249"/>
      <c r="DG181" s="2249"/>
      <c r="DH181" s="2249"/>
      <c r="DI181" s="2249"/>
      <c r="DJ181" s="2249"/>
      <c r="DK181" s="2249"/>
      <c r="DL181" s="2249"/>
      <c r="DM181" s="2249"/>
      <c r="DN181" s="2249"/>
      <c r="DO181" s="2249"/>
      <c r="DP181" s="2249"/>
      <c r="DQ181" s="2249"/>
      <c r="DR181" s="2249"/>
      <c r="DS181" s="2249"/>
      <c r="DT181" s="2249"/>
      <c r="DU181" s="2249"/>
      <c r="DV181" s="2249"/>
      <c r="DW181" s="2249"/>
      <c r="DX181" s="2249"/>
      <c r="DY181" s="2249"/>
      <c r="DZ181" s="2249"/>
      <c r="EA181" s="2249"/>
      <c r="EB181" s="2249"/>
      <c r="EC181" s="2249"/>
      <c r="ED181" s="2249"/>
      <c r="EE181" s="2249"/>
      <c r="EF181" s="2248"/>
      <c r="EG181" s="2248"/>
    </row>
    <row r="182" spans="1:137" ht="18.899999999999999" customHeight="1">
      <c r="A182" s="2244"/>
      <c r="B182" s="2244"/>
      <c r="C182" s="2245"/>
      <c r="D182" s="2245"/>
      <c r="E182" s="2245"/>
      <c r="F182" s="2245"/>
      <c r="G182" s="2245"/>
      <c r="H182" s="2245"/>
      <c r="I182" s="2244"/>
      <c r="J182" s="2244"/>
      <c r="K182" s="2246"/>
      <c r="L182" s="2244"/>
      <c r="M182" s="2244"/>
      <c r="N182" s="2244"/>
      <c r="O182" s="2244"/>
      <c r="P182" s="2244"/>
      <c r="Q182" s="2246"/>
      <c r="R182" s="2246"/>
      <c r="S182" s="2246"/>
      <c r="T182" s="2246"/>
      <c r="U182" s="2246"/>
      <c r="V182" s="2246"/>
      <c r="W182" s="2246"/>
      <c r="X182" s="2246"/>
      <c r="Y182" s="2246"/>
      <c r="Z182" s="2246"/>
      <c r="AA182" s="2246"/>
      <c r="AB182" s="2246"/>
      <c r="AC182" s="2246"/>
      <c r="AD182" s="2246"/>
      <c r="AE182" s="2246"/>
      <c r="AF182" s="2246"/>
      <c r="AG182" s="2246"/>
      <c r="AH182" s="2246"/>
      <c r="AI182" s="2246"/>
      <c r="AJ182" s="2246"/>
      <c r="AK182" s="2246"/>
      <c r="AL182" s="2246"/>
      <c r="AM182" s="2246"/>
      <c r="AN182" s="2246"/>
      <c r="AO182" s="2246"/>
      <c r="AP182" s="2246"/>
      <c r="AQ182" s="2246"/>
      <c r="AR182" s="2246"/>
      <c r="AS182" s="2244"/>
      <c r="AT182" s="2244"/>
      <c r="AU182" s="2244"/>
      <c r="AV182" s="2244"/>
      <c r="AW182" s="2244"/>
      <c r="AX182" s="2244"/>
      <c r="AY182" s="2244"/>
      <c r="AZ182" s="2244"/>
      <c r="BA182" s="2244"/>
      <c r="BB182" s="2244"/>
      <c r="BC182" s="2244"/>
      <c r="BD182" s="2244"/>
      <c r="BE182" s="2244"/>
      <c r="BF182" s="2246"/>
      <c r="BG182" s="2246"/>
      <c r="BH182" s="2246"/>
      <c r="BI182" s="2246"/>
      <c r="BJ182" s="2246"/>
      <c r="BK182" s="2246"/>
      <c r="BL182" s="2246"/>
      <c r="BM182" s="2246"/>
      <c r="BN182" s="2246"/>
      <c r="BO182" s="2246"/>
      <c r="BP182" s="2246"/>
      <c r="BQ182" s="2246"/>
      <c r="BR182" s="2246"/>
      <c r="BS182" s="2244"/>
      <c r="BT182" s="2244"/>
      <c r="BU182" s="2244"/>
      <c r="BV182" s="2244"/>
      <c r="BW182" s="2244"/>
      <c r="BX182" s="2246"/>
      <c r="BY182" s="2246"/>
      <c r="BZ182" s="2246"/>
      <c r="CA182" s="2246"/>
      <c r="CB182" s="2246"/>
      <c r="CC182" s="2246"/>
      <c r="CD182" s="2246"/>
      <c r="CE182" s="2246"/>
      <c r="CF182" s="2246"/>
      <c r="CG182" s="2246"/>
      <c r="CH182" s="2246"/>
      <c r="CI182" s="2246"/>
      <c r="CJ182" s="2246"/>
      <c r="CK182" s="2246"/>
      <c r="CL182" s="2246"/>
      <c r="CM182" s="2246"/>
      <c r="CN182" s="2246"/>
      <c r="CO182" s="2246"/>
      <c r="CP182" s="2246"/>
      <c r="CQ182" s="2246"/>
      <c r="CR182" s="2246"/>
      <c r="CS182" s="2248"/>
      <c r="CT182" s="2248"/>
      <c r="CU182" s="2248"/>
      <c r="CV182" s="2248"/>
      <c r="CW182" s="2248"/>
      <c r="CX182" s="2248"/>
      <c r="CY182" s="2248"/>
      <c r="CZ182" s="2248"/>
      <c r="DA182" s="2248"/>
      <c r="DB182" s="2248"/>
      <c r="DC182" s="2248"/>
      <c r="DD182" s="2249"/>
      <c r="DE182" s="2249"/>
      <c r="DF182" s="2249"/>
      <c r="DG182" s="2249"/>
      <c r="DH182" s="2249"/>
      <c r="DI182" s="2249"/>
      <c r="DJ182" s="2249"/>
      <c r="DK182" s="2249"/>
      <c r="DL182" s="2249"/>
      <c r="DM182" s="2249"/>
      <c r="DN182" s="2249"/>
      <c r="DO182" s="2249"/>
      <c r="DP182" s="2249"/>
      <c r="DQ182" s="2249"/>
      <c r="DR182" s="2249"/>
      <c r="DS182" s="2249"/>
      <c r="DT182" s="2249"/>
      <c r="DU182" s="2249"/>
      <c r="DV182" s="2249"/>
      <c r="DW182" s="2249"/>
      <c r="DX182" s="2249"/>
      <c r="DY182" s="2249"/>
      <c r="DZ182" s="2249"/>
      <c r="EA182" s="2249"/>
      <c r="EB182" s="2249"/>
      <c r="EC182" s="2249"/>
      <c r="ED182" s="2249"/>
      <c r="EE182" s="2249"/>
      <c r="EF182" s="2248"/>
      <c r="EG182" s="2248"/>
    </row>
    <row r="183" spans="1:137" ht="18.899999999999999" customHeight="1">
      <c r="A183" s="2244"/>
      <c r="B183" s="2244"/>
      <c r="C183" s="2245"/>
      <c r="D183" s="2245"/>
      <c r="E183" s="2245"/>
      <c r="F183" s="2245"/>
      <c r="G183" s="2245"/>
      <c r="H183" s="2245"/>
      <c r="I183" s="2244"/>
      <c r="J183" s="2244"/>
      <c r="K183" s="2246"/>
      <c r="L183" s="2244"/>
      <c r="M183" s="2244"/>
      <c r="N183" s="2244"/>
      <c r="O183" s="2244"/>
      <c r="P183" s="2244"/>
      <c r="Q183" s="2246"/>
      <c r="R183" s="2246"/>
      <c r="S183" s="2246"/>
      <c r="T183" s="2246"/>
      <c r="U183" s="2246"/>
      <c r="V183" s="2246"/>
      <c r="W183" s="2246"/>
      <c r="X183" s="2246"/>
      <c r="Y183" s="2246"/>
      <c r="Z183" s="2246"/>
      <c r="AA183" s="2246"/>
      <c r="AB183" s="2246"/>
      <c r="AC183" s="2246"/>
      <c r="AD183" s="2246"/>
      <c r="AE183" s="2246"/>
      <c r="AF183" s="2246"/>
      <c r="AG183" s="2246"/>
      <c r="AH183" s="2246"/>
      <c r="AI183" s="2246"/>
      <c r="AJ183" s="2246"/>
      <c r="AK183" s="2246"/>
      <c r="AL183" s="2246"/>
      <c r="AM183" s="2246"/>
      <c r="AN183" s="2246"/>
      <c r="AO183" s="2246"/>
      <c r="AP183" s="2246"/>
      <c r="AQ183" s="2246"/>
      <c r="AR183" s="2246"/>
      <c r="AS183" s="2244"/>
      <c r="AT183" s="2244"/>
      <c r="AU183" s="2244"/>
      <c r="AV183" s="2244"/>
      <c r="AW183" s="2244"/>
      <c r="AX183" s="2244"/>
      <c r="AY183" s="2244"/>
      <c r="AZ183" s="2244"/>
      <c r="BA183" s="2244"/>
      <c r="BB183" s="2244"/>
      <c r="BC183" s="2244"/>
      <c r="BD183" s="2244"/>
      <c r="BE183" s="2244"/>
      <c r="BF183" s="2246"/>
      <c r="BG183" s="2246"/>
      <c r="BH183" s="2246"/>
      <c r="BI183" s="2246"/>
      <c r="BJ183" s="2246"/>
      <c r="BK183" s="2246"/>
      <c r="BL183" s="2246"/>
      <c r="BM183" s="2246"/>
      <c r="BN183" s="2246"/>
      <c r="BO183" s="2246"/>
      <c r="BP183" s="2246"/>
      <c r="BQ183" s="2246"/>
      <c r="BR183" s="2246"/>
      <c r="BS183" s="2244"/>
      <c r="BT183" s="2244"/>
      <c r="BU183" s="2244"/>
      <c r="BV183" s="2244"/>
      <c r="BW183" s="2244"/>
      <c r="BX183" s="2246"/>
      <c r="BY183" s="2246"/>
      <c r="BZ183" s="2246"/>
      <c r="CA183" s="2246"/>
      <c r="CB183" s="2246"/>
      <c r="CC183" s="2246"/>
      <c r="CD183" s="2246"/>
      <c r="CE183" s="2246"/>
      <c r="CF183" s="2246"/>
      <c r="CG183" s="2246"/>
      <c r="CH183" s="2246"/>
      <c r="CI183" s="2246"/>
      <c r="CJ183" s="2246"/>
      <c r="CK183" s="2246"/>
      <c r="CL183" s="2246"/>
      <c r="CM183" s="2246"/>
      <c r="CN183" s="2246"/>
      <c r="CO183" s="2246"/>
      <c r="CP183" s="2246"/>
      <c r="CQ183" s="2246"/>
      <c r="CR183" s="2246"/>
      <c r="CS183" s="2248"/>
      <c r="CT183" s="2248"/>
      <c r="CU183" s="2248"/>
      <c r="CV183" s="2248"/>
      <c r="CW183" s="2248"/>
      <c r="CX183" s="2248"/>
      <c r="CY183" s="2248"/>
      <c r="CZ183" s="2248"/>
      <c r="DA183" s="2248"/>
      <c r="DB183" s="2248"/>
      <c r="DC183" s="2248"/>
      <c r="DD183" s="2249"/>
      <c r="DE183" s="2249"/>
      <c r="DF183" s="2249"/>
      <c r="DG183" s="2249"/>
      <c r="DH183" s="2249"/>
      <c r="DI183" s="2249"/>
      <c r="DJ183" s="2249"/>
      <c r="DK183" s="2249"/>
      <c r="DL183" s="2249"/>
      <c r="DM183" s="2249"/>
      <c r="DN183" s="2249"/>
      <c r="DO183" s="2249"/>
      <c r="DP183" s="2249"/>
      <c r="DQ183" s="2249"/>
      <c r="DR183" s="2249"/>
      <c r="DS183" s="2249"/>
      <c r="DT183" s="2249"/>
      <c r="DU183" s="2249"/>
      <c r="DV183" s="2249"/>
      <c r="DW183" s="2249"/>
      <c r="DX183" s="2249"/>
      <c r="DY183" s="2249"/>
      <c r="DZ183" s="2249"/>
      <c r="EA183" s="2249"/>
      <c r="EB183" s="2249"/>
      <c r="EC183" s="2249"/>
      <c r="ED183" s="2249"/>
      <c r="EE183" s="2249"/>
      <c r="EF183" s="2248"/>
      <c r="EG183" s="2248"/>
    </row>
    <row r="184" spans="1:137" ht="18.899999999999999" customHeight="1">
      <c r="A184" s="2244"/>
      <c r="B184" s="2244"/>
      <c r="C184" s="2245"/>
      <c r="D184" s="2245"/>
      <c r="E184" s="2245"/>
      <c r="F184" s="2245"/>
      <c r="G184" s="2245"/>
      <c r="H184" s="2245"/>
      <c r="I184" s="2244"/>
      <c r="J184" s="2244"/>
      <c r="K184" s="2246"/>
      <c r="L184" s="2244"/>
      <c r="M184" s="2244"/>
      <c r="N184" s="2244"/>
      <c r="O184" s="2244"/>
      <c r="P184" s="2244"/>
      <c r="Q184" s="2246"/>
      <c r="R184" s="2246"/>
      <c r="S184" s="2246"/>
      <c r="T184" s="2246"/>
      <c r="U184" s="2246"/>
      <c r="V184" s="2246"/>
      <c r="W184" s="2246"/>
      <c r="X184" s="2246"/>
      <c r="Y184" s="2246"/>
      <c r="Z184" s="2246"/>
      <c r="AA184" s="2246"/>
      <c r="AB184" s="2246"/>
      <c r="AC184" s="2246"/>
      <c r="AD184" s="2246"/>
      <c r="AE184" s="2246"/>
      <c r="AF184" s="2246"/>
      <c r="AG184" s="2246"/>
      <c r="AH184" s="2246"/>
      <c r="AI184" s="2246"/>
      <c r="AJ184" s="2246"/>
      <c r="AK184" s="2246"/>
      <c r="AL184" s="2246"/>
      <c r="AM184" s="2246"/>
      <c r="AN184" s="2246"/>
      <c r="AO184" s="2246"/>
      <c r="AP184" s="2246"/>
      <c r="AQ184" s="2246"/>
      <c r="AR184" s="2246"/>
      <c r="AS184" s="2244"/>
      <c r="AT184" s="2244"/>
      <c r="AU184" s="2244"/>
      <c r="AV184" s="2244"/>
      <c r="AW184" s="2244"/>
      <c r="AX184" s="2244"/>
      <c r="AY184" s="2244"/>
      <c r="AZ184" s="2244"/>
      <c r="BA184" s="2244"/>
      <c r="BB184" s="2244"/>
      <c r="BC184" s="2244"/>
      <c r="BD184" s="2244"/>
      <c r="BE184" s="2244"/>
      <c r="BF184" s="2246"/>
      <c r="BG184" s="2246"/>
      <c r="BH184" s="2246"/>
      <c r="BI184" s="2246"/>
      <c r="BJ184" s="2246"/>
      <c r="BK184" s="2246"/>
      <c r="BL184" s="2246"/>
      <c r="BM184" s="2246"/>
      <c r="BN184" s="2246"/>
      <c r="BO184" s="2246"/>
      <c r="BP184" s="2246"/>
      <c r="BQ184" s="2246"/>
      <c r="BR184" s="2246"/>
      <c r="BS184" s="2244"/>
      <c r="BT184" s="2244"/>
      <c r="BU184" s="2244"/>
      <c r="BV184" s="2244"/>
      <c r="BW184" s="2244"/>
      <c r="BX184" s="2246"/>
      <c r="BY184" s="2246"/>
      <c r="BZ184" s="2246"/>
      <c r="CA184" s="2246"/>
      <c r="CB184" s="2246"/>
      <c r="CC184" s="2246"/>
      <c r="CD184" s="2246"/>
      <c r="CE184" s="2246"/>
      <c r="CF184" s="2246"/>
      <c r="CG184" s="2246"/>
      <c r="CH184" s="2246"/>
      <c r="CI184" s="2246"/>
      <c r="CJ184" s="2246"/>
      <c r="CK184" s="2246"/>
      <c r="CL184" s="2246"/>
      <c r="CM184" s="2246"/>
      <c r="CN184" s="2246"/>
      <c r="CO184" s="2246"/>
      <c r="CP184" s="2246"/>
      <c r="CQ184" s="2246"/>
      <c r="CR184" s="2246"/>
      <c r="CS184" s="2248"/>
      <c r="CT184" s="2248"/>
      <c r="CU184" s="2248"/>
      <c r="CV184" s="2248"/>
      <c r="CW184" s="2248"/>
      <c r="CX184" s="2248"/>
      <c r="CY184" s="2248"/>
      <c r="CZ184" s="2248"/>
      <c r="DA184" s="2248"/>
      <c r="DB184" s="2248"/>
      <c r="DC184" s="2248"/>
      <c r="DD184" s="2249"/>
      <c r="DE184" s="2249"/>
      <c r="DF184" s="2249"/>
      <c r="DG184" s="2249"/>
      <c r="DH184" s="2249"/>
      <c r="DI184" s="2249"/>
      <c r="DJ184" s="2249"/>
      <c r="DK184" s="2249"/>
      <c r="DL184" s="2249"/>
      <c r="DM184" s="2249"/>
      <c r="DN184" s="2249"/>
      <c r="DO184" s="2249"/>
      <c r="DP184" s="2249"/>
      <c r="DQ184" s="2249"/>
      <c r="DR184" s="2249"/>
      <c r="DS184" s="2249"/>
      <c r="DT184" s="2249"/>
      <c r="DU184" s="2249"/>
      <c r="DV184" s="2249"/>
      <c r="DW184" s="2249"/>
      <c r="DX184" s="2249"/>
      <c r="DY184" s="2249"/>
      <c r="DZ184" s="2249"/>
      <c r="EA184" s="2249"/>
      <c r="EB184" s="2249"/>
      <c r="EC184" s="2249"/>
      <c r="ED184" s="2249"/>
      <c r="EE184" s="2249"/>
      <c r="EF184" s="2248"/>
      <c r="EG184" s="2248"/>
    </row>
    <row r="185" spans="1:137" ht="18.899999999999999" customHeight="1">
      <c r="A185" s="2244"/>
      <c r="B185" s="2244"/>
      <c r="C185" s="2245"/>
      <c r="D185" s="2245"/>
      <c r="E185" s="2245"/>
      <c r="F185" s="2245"/>
      <c r="G185" s="2245"/>
      <c r="H185" s="2245"/>
      <c r="I185" s="2244"/>
      <c r="J185" s="2244"/>
      <c r="K185" s="2246"/>
      <c r="L185" s="2244"/>
      <c r="M185" s="2244"/>
      <c r="N185" s="2244"/>
      <c r="O185" s="2244"/>
      <c r="P185" s="2244"/>
      <c r="Q185" s="2246"/>
      <c r="R185" s="2246"/>
      <c r="S185" s="2246"/>
      <c r="T185" s="2246"/>
      <c r="U185" s="2246"/>
      <c r="V185" s="2246"/>
      <c r="W185" s="2246"/>
      <c r="X185" s="2246"/>
      <c r="Y185" s="2246"/>
      <c r="Z185" s="2246"/>
      <c r="AA185" s="2246"/>
      <c r="AB185" s="2246"/>
      <c r="AC185" s="2246"/>
      <c r="AD185" s="2246"/>
      <c r="AE185" s="2246"/>
      <c r="AF185" s="2246"/>
      <c r="AG185" s="2246"/>
      <c r="AH185" s="2246"/>
      <c r="AI185" s="2246"/>
      <c r="AJ185" s="2246"/>
      <c r="AK185" s="2246"/>
      <c r="AL185" s="2246"/>
      <c r="AM185" s="2246"/>
      <c r="AN185" s="2246"/>
      <c r="AO185" s="2246"/>
      <c r="AP185" s="2246"/>
      <c r="AQ185" s="2246"/>
      <c r="AR185" s="2246"/>
      <c r="AS185" s="2244"/>
      <c r="AT185" s="2244"/>
      <c r="AU185" s="2244"/>
      <c r="AV185" s="2244"/>
      <c r="AW185" s="2244"/>
      <c r="AX185" s="2244"/>
      <c r="AY185" s="2244"/>
      <c r="AZ185" s="2244"/>
      <c r="BA185" s="2244"/>
      <c r="BB185" s="2244"/>
      <c r="BC185" s="2244"/>
      <c r="BD185" s="2244"/>
      <c r="BE185" s="2244"/>
      <c r="BF185" s="2246"/>
      <c r="BG185" s="2246"/>
      <c r="BH185" s="2246"/>
      <c r="BI185" s="2246"/>
      <c r="BJ185" s="2246"/>
      <c r="BK185" s="2246"/>
      <c r="BL185" s="2246"/>
      <c r="BM185" s="2246"/>
      <c r="BN185" s="2246"/>
      <c r="BO185" s="2246"/>
      <c r="BP185" s="2246"/>
      <c r="BQ185" s="2246"/>
      <c r="BR185" s="2246"/>
      <c r="BS185" s="2244"/>
      <c r="BT185" s="2244"/>
      <c r="BU185" s="2244"/>
      <c r="BV185" s="2244"/>
      <c r="BW185" s="2244"/>
      <c r="BX185" s="2246"/>
      <c r="BY185" s="2246"/>
      <c r="BZ185" s="2246"/>
      <c r="CA185" s="2246"/>
      <c r="CB185" s="2246"/>
      <c r="CC185" s="2246"/>
      <c r="CD185" s="2246"/>
      <c r="CE185" s="2246"/>
      <c r="CF185" s="2246"/>
      <c r="CG185" s="2246"/>
      <c r="CH185" s="2246"/>
      <c r="CI185" s="2246"/>
      <c r="CJ185" s="2246"/>
      <c r="CK185" s="2246"/>
      <c r="CL185" s="2246"/>
      <c r="CM185" s="2246"/>
      <c r="CN185" s="2246"/>
      <c r="CO185" s="2246"/>
      <c r="CP185" s="2246"/>
      <c r="CQ185" s="2246"/>
      <c r="CR185" s="2246"/>
      <c r="CS185" s="2248"/>
      <c r="CT185" s="2248"/>
      <c r="CU185" s="2248"/>
      <c r="CV185" s="2248"/>
      <c r="CW185" s="2248"/>
      <c r="CX185" s="2248"/>
      <c r="CY185" s="2248"/>
      <c r="CZ185" s="2248"/>
      <c r="DA185" s="2248"/>
      <c r="DB185" s="2248"/>
      <c r="DC185" s="2248"/>
      <c r="DD185" s="2249"/>
      <c r="DE185" s="2249"/>
      <c r="DF185" s="2249"/>
      <c r="DG185" s="2249"/>
      <c r="DH185" s="2249"/>
      <c r="DI185" s="2249"/>
      <c r="DJ185" s="2249"/>
      <c r="DK185" s="2249"/>
      <c r="DL185" s="2249"/>
      <c r="DM185" s="2249"/>
      <c r="DN185" s="2249"/>
      <c r="DO185" s="2249"/>
      <c r="DP185" s="2249"/>
      <c r="DQ185" s="2249"/>
      <c r="DR185" s="2249"/>
      <c r="DS185" s="2249"/>
      <c r="DT185" s="2249"/>
      <c r="DU185" s="2249"/>
      <c r="DV185" s="2249"/>
      <c r="DW185" s="2249"/>
      <c r="DX185" s="2249"/>
      <c r="DY185" s="2249"/>
      <c r="DZ185" s="2249"/>
      <c r="EA185" s="2249"/>
      <c r="EB185" s="2249"/>
      <c r="EC185" s="2249"/>
      <c r="ED185" s="2249"/>
      <c r="EE185" s="2249"/>
      <c r="EF185" s="2248"/>
      <c r="EG185" s="2248"/>
    </row>
    <row r="186" spans="1:137" ht="18.899999999999999" customHeight="1">
      <c r="A186" s="2244"/>
      <c r="B186" s="2244"/>
      <c r="C186" s="2245"/>
      <c r="D186" s="2245"/>
      <c r="E186" s="2245"/>
      <c r="F186" s="2245"/>
      <c r="G186" s="2245"/>
      <c r="H186" s="2245"/>
      <c r="I186" s="2244"/>
      <c r="J186" s="2244"/>
      <c r="K186" s="2246"/>
      <c r="L186" s="2244"/>
      <c r="M186" s="2244"/>
      <c r="N186" s="2244"/>
      <c r="O186" s="2244"/>
      <c r="P186" s="2244"/>
      <c r="Q186" s="2246"/>
      <c r="R186" s="2246"/>
      <c r="S186" s="2246"/>
      <c r="T186" s="2246"/>
      <c r="U186" s="2246"/>
      <c r="V186" s="2246"/>
      <c r="W186" s="2246"/>
      <c r="X186" s="2246"/>
      <c r="Y186" s="2246"/>
      <c r="Z186" s="2246"/>
      <c r="AA186" s="2246"/>
      <c r="AB186" s="2246"/>
      <c r="AC186" s="2246"/>
      <c r="AD186" s="2246"/>
      <c r="AE186" s="2246"/>
      <c r="AF186" s="2246"/>
      <c r="AG186" s="2246"/>
      <c r="AH186" s="2246"/>
      <c r="AI186" s="2246"/>
      <c r="AJ186" s="2246"/>
      <c r="AK186" s="2246"/>
      <c r="AL186" s="2246"/>
      <c r="AM186" s="2246"/>
      <c r="AN186" s="2246"/>
      <c r="AO186" s="2246"/>
      <c r="AP186" s="2246"/>
      <c r="AQ186" s="2246"/>
      <c r="AR186" s="2246"/>
      <c r="AS186" s="2244"/>
      <c r="AT186" s="2244"/>
      <c r="AU186" s="2244"/>
      <c r="AV186" s="2244"/>
      <c r="AW186" s="2244"/>
      <c r="AX186" s="2244"/>
      <c r="AY186" s="2244"/>
      <c r="AZ186" s="2244"/>
      <c r="BA186" s="2244"/>
      <c r="BB186" s="2244"/>
      <c r="BC186" s="2244"/>
      <c r="BD186" s="2244"/>
      <c r="BE186" s="2244"/>
      <c r="BF186" s="2246"/>
      <c r="BG186" s="2246"/>
      <c r="BH186" s="2246"/>
      <c r="BI186" s="2246"/>
      <c r="BJ186" s="2246"/>
      <c r="BK186" s="2246"/>
      <c r="BL186" s="2246"/>
      <c r="BM186" s="2246"/>
      <c r="BN186" s="2246"/>
      <c r="BO186" s="2246"/>
      <c r="BP186" s="2246"/>
      <c r="BQ186" s="2246"/>
      <c r="BR186" s="2246"/>
      <c r="BS186" s="2244"/>
      <c r="BT186" s="2244"/>
      <c r="BU186" s="2244"/>
      <c r="BV186" s="2244"/>
      <c r="BW186" s="2244"/>
      <c r="BX186" s="2246"/>
      <c r="BY186" s="2246"/>
      <c r="BZ186" s="2246"/>
      <c r="CA186" s="2246"/>
      <c r="CB186" s="2246"/>
      <c r="CC186" s="2246"/>
      <c r="CD186" s="2246"/>
      <c r="CE186" s="2246"/>
      <c r="CF186" s="2246"/>
      <c r="CG186" s="2246"/>
      <c r="CH186" s="2246"/>
      <c r="CI186" s="2246"/>
      <c r="CJ186" s="2246"/>
      <c r="CK186" s="2246"/>
      <c r="CL186" s="2246"/>
      <c r="CM186" s="2246"/>
      <c r="CN186" s="2246"/>
      <c r="CO186" s="2246"/>
      <c r="CP186" s="2246"/>
      <c r="CQ186" s="2246"/>
      <c r="CR186" s="2246"/>
      <c r="CS186" s="2248"/>
      <c r="CT186" s="2248"/>
      <c r="CU186" s="2248"/>
      <c r="CV186" s="2248"/>
      <c r="CW186" s="2248"/>
      <c r="CX186" s="2248"/>
      <c r="CY186" s="2248"/>
      <c r="CZ186" s="2248"/>
      <c r="DA186" s="2248"/>
      <c r="DB186" s="2248"/>
      <c r="DC186" s="2248"/>
      <c r="DD186" s="2249"/>
      <c r="DE186" s="2249"/>
      <c r="DF186" s="2249"/>
      <c r="DG186" s="2249"/>
      <c r="DH186" s="2249"/>
      <c r="DI186" s="2249"/>
      <c r="DJ186" s="2249"/>
      <c r="DK186" s="2249"/>
      <c r="DL186" s="2249"/>
      <c r="DM186" s="2249"/>
      <c r="DN186" s="2249"/>
      <c r="DO186" s="2249"/>
      <c r="DP186" s="2249"/>
      <c r="DQ186" s="2249"/>
      <c r="DR186" s="2249"/>
      <c r="DS186" s="2249"/>
      <c r="DT186" s="2249"/>
      <c r="DU186" s="2249"/>
      <c r="DV186" s="2249"/>
      <c r="DW186" s="2249"/>
      <c r="DX186" s="2249"/>
      <c r="DY186" s="2249"/>
      <c r="DZ186" s="2249"/>
      <c r="EA186" s="2249"/>
      <c r="EB186" s="2249"/>
      <c r="EC186" s="2249"/>
      <c r="ED186" s="2249"/>
      <c r="EE186" s="2249"/>
      <c r="EF186" s="2248"/>
      <c r="EG186" s="2248"/>
    </row>
    <row r="187" spans="1:137" ht="18.899999999999999" customHeight="1">
      <c r="A187" s="2244"/>
      <c r="B187" s="2244"/>
      <c r="C187" s="2245"/>
      <c r="D187" s="2245"/>
      <c r="E187" s="2245"/>
      <c r="F187" s="2245"/>
      <c r="G187" s="2245"/>
      <c r="H187" s="2245"/>
      <c r="I187" s="2244"/>
      <c r="J187" s="2244"/>
      <c r="K187" s="2246"/>
      <c r="L187" s="2244"/>
      <c r="M187" s="2244"/>
      <c r="N187" s="2244"/>
      <c r="O187" s="2244"/>
      <c r="P187" s="2244"/>
      <c r="Q187" s="2246"/>
      <c r="R187" s="2246"/>
      <c r="S187" s="2246"/>
      <c r="T187" s="2246"/>
      <c r="U187" s="2246"/>
      <c r="V187" s="2246"/>
      <c r="W187" s="2246"/>
      <c r="X187" s="2246"/>
      <c r="Y187" s="2246"/>
      <c r="Z187" s="2246"/>
      <c r="AA187" s="2246"/>
      <c r="AB187" s="2246"/>
      <c r="AC187" s="2246"/>
      <c r="AD187" s="2246"/>
      <c r="AE187" s="2246"/>
      <c r="AF187" s="2246"/>
      <c r="AG187" s="2246"/>
      <c r="AH187" s="2246"/>
      <c r="AI187" s="2246"/>
      <c r="AJ187" s="2246"/>
      <c r="AK187" s="2246"/>
      <c r="AL187" s="2246"/>
      <c r="AM187" s="2246"/>
      <c r="AN187" s="2246"/>
      <c r="AO187" s="2246"/>
      <c r="AP187" s="2246"/>
      <c r="AQ187" s="2246"/>
      <c r="AR187" s="2246"/>
      <c r="AS187" s="2244"/>
      <c r="AT187" s="2244"/>
      <c r="AU187" s="2244"/>
      <c r="AV187" s="2244"/>
      <c r="AW187" s="2244"/>
      <c r="AX187" s="2244"/>
      <c r="AY187" s="2244"/>
      <c r="AZ187" s="2244"/>
      <c r="BA187" s="2244"/>
      <c r="BB187" s="2244"/>
      <c r="BC187" s="2244"/>
      <c r="BD187" s="2244"/>
      <c r="BE187" s="2244"/>
      <c r="BF187" s="2246"/>
      <c r="BG187" s="2246"/>
      <c r="BH187" s="2246"/>
      <c r="BI187" s="2246"/>
      <c r="BJ187" s="2246"/>
      <c r="BK187" s="2246"/>
      <c r="BL187" s="2246"/>
      <c r="BM187" s="2246"/>
      <c r="BN187" s="2246"/>
      <c r="BO187" s="2246"/>
      <c r="BP187" s="2246"/>
      <c r="BQ187" s="2246"/>
      <c r="BR187" s="2246"/>
      <c r="BS187" s="2244"/>
      <c r="BT187" s="2244"/>
      <c r="BU187" s="2244"/>
      <c r="BV187" s="2244"/>
      <c r="BW187" s="2244"/>
      <c r="BX187" s="2246"/>
      <c r="BY187" s="2246"/>
      <c r="BZ187" s="2246"/>
      <c r="CA187" s="2246"/>
      <c r="CB187" s="2246"/>
      <c r="CC187" s="2246"/>
      <c r="CD187" s="2246"/>
      <c r="CE187" s="2246"/>
      <c r="CF187" s="2246"/>
      <c r="CG187" s="2246"/>
      <c r="CH187" s="2246"/>
      <c r="CI187" s="2246"/>
      <c r="CJ187" s="2246"/>
      <c r="CK187" s="2246"/>
      <c r="CL187" s="2246"/>
      <c r="CM187" s="2246"/>
      <c r="CN187" s="2246"/>
      <c r="CO187" s="2246"/>
      <c r="CP187" s="2246"/>
      <c r="CQ187" s="2246"/>
      <c r="CR187" s="2246"/>
      <c r="CS187" s="2248"/>
      <c r="CT187" s="2248"/>
      <c r="CU187" s="2248"/>
      <c r="CV187" s="2248"/>
      <c r="CW187" s="2248"/>
      <c r="CX187" s="2248"/>
      <c r="CY187" s="2248"/>
      <c r="CZ187" s="2248"/>
      <c r="DA187" s="2248"/>
      <c r="DB187" s="2248"/>
      <c r="DC187" s="2248"/>
      <c r="DD187" s="2249"/>
      <c r="DE187" s="2249"/>
      <c r="DF187" s="2249"/>
      <c r="DG187" s="2249"/>
      <c r="DH187" s="2249"/>
      <c r="DI187" s="2249"/>
      <c r="DJ187" s="2249"/>
      <c r="DK187" s="2249"/>
      <c r="DL187" s="2249"/>
      <c r="DM187" s="2249"/>
      <c r="DN187" s="2249"/>
      <c r="DO187" s="2249"/>
      <c r="DP187" s="2249"/>
      <c r="DQ187" s="2249"/>
      <c r="DR187" s="2249"/>
      <c r="DS187" s="2249"/>
      <c r="DT187" s="2249"/>
      <c r="DU187" s="2249"/>
      <c r="DV187" s="2249"/>
      <c r="DW187" s="2249"/>
      <c r="DX187" s="2249"/>
      <c r="DY187" s="2249"/>
      <c r="DZ187" s="2249"/>
      <c r="EA187" s="2249"/>
      <c r="EB187" s="2249"/>
      <c r="EC187" s="2249"/>
      <c r="ED187" s="2249"/>
      <c r="EE187" s="2249"/>
      <c r="EF187" s="2248"/>
      <c r="EG187" s="2248"/>
    </row>
    <row r="188" spans="1:137" ht="18.899999999999999" customHeight="1">
      <c r="A188" s="2244"/>
      <c r="B188" s="2244"/>
      <c r="C188" s="2245"/>
      <c r="D188" s="2245"/>
      <c r="E188" s="2245"/>
      <c r="F188" s="2245"/>
      <c r="G188" s="2245"/>
      <c r="H188" s="2245"/>
      <c r="I188" s="2244"/>
      <c r="J188" s="2244"/>
      <c r="K188" s="2246"/>
      <c r="L188" s="2244"/>
      <c r="M188" s="2244"/>
      <c r="N188" s="2244"/>
      <c r="O188" s="2244"/>
      <c r="P188" s="2244"/>
      <c r="Q188" s="2246"/>
      <c r="R188" s="2246"/>
      <c r="S188" s="2246"/>
      <c r="T188" s="2246"/>
      <c r="U188" s="2246"/>
      <c r="V188" s="2246"/>
      <c r="W188" s="2246"/>
      <c r="X188" s="2246"/>
      <c r="Y188" s="2246"/>
      <c r="Z188" s="2246"/>
      <c r="AA188" s="2246"/>
      <c r="AB188" s="2246"/>
      <c r="AC188" s="2246"/>
      <c r="AD188" s="2246"/>
      <c r="AE188" s="2246"/>
      <c r="AF188" s="2246"/>
      <c r="AG188" s="2246"/>
      <c r="AH188" s="2246"/>
      <c r="AI188" s="2246"/>
      <c r="AJ188" s="2246"/>
      <c r="AK188" s="2246"/>
      <c r="AL188" s="2246"/>
      <c r="AM188" s="2246"/>
      <c r="AN188" s="2246"/>
      <c r="AO188" s="2246"/>
      <c r="AP188" s="2246"/>
      <c r="AQ188" s="2246"/>
      <c r="AR188" s="2246"/>
      <c r="AS188" s="2244"/>
      <c r="AT188" s="2244"/>
      <c r="AU188" s="2244"/>
      <c r="AV188" s="2244"/>
      <c r="AW188" s="2244"/>
      <c r="AX188" s="2244"/>
      <c r="AY188" s="2244"/>
      <c r="AZ188" s="2244"/>
      <c r="BA188" s="2244"/>
      <c r="BB188" s="2244"/>
      <c r="BC188" s="2244"/>
      <c r="BD188" s="2244"/>
      <c r="BE188" s="2244"/>
      <c r="BF188" s="2246"/>
      <c r="BG188" s="2246"/>
      <c r="BH188" s="2246"/>
      <c r="BI188" s="2246"/>
      <c r="BJ188" s="2246"/>
      <c r="BK188" s="2246"/>
      <c r="BL188" s="2246"/>
      <c r="BM188" s="2246"/>
      <c r="BN188" s="2246"/>
      <c r="BO188" s="2246"/>
      <c r="BP188" s="2246"/>
      <c r="BQ188" s="2246"/>
      <c r="BR188" s="2246"/>
      <c r="BS188" s="2244"/>
      <c r="BT188" s="2244"/>
      <c r="BU188" s="2244"/>
      <c r="BV188" s="2244"/>
      <c r="BW188" s="2244"/>
      <c r="BX188" s="2246"/>
      <c r="BY188" s="2246"/>
      <c r="BZ188" s="2246"/>
      <c r="CA188" s="2246"/>
      <c r="CB188" s="2246"/>
      <c r="CC188" s="2246"/>
      <c r="CD188" s="2246"/>
      <c r="CE188" s="2246"/>
      <c r="CF188" s="2246"/>
      <c r="CG188" s="2246"/>
      <c r="CH188" s="2246"/>
      <c r="CI188" s="2246"/>
      <c r="CJ188" s="2246"/>
      <c r="CK188" s="2246"/>
      <c r="CL188" s="2246"/>
      <c r="CM188" s="2246"/>
      <c r="CN188" s="2246"/>
      <c r="CO188" s="2246"/>
      <c r="CP188" s="2246"/>
      <c r="CQ188" s="2246"/>
      <c r="CR188" s="2246"/>
      <c r="CS188" s="2248"/>
      <c r="CT188" s="2248"/>
      <c r="CU188" s="2248"/>
      <c r="CV188" s="2248"/>
      <c r="CW188" s="2248"/>
      <c r="CX188" s="2248"/>
      <c r="CY188" s="2248"/>
      <c r="CZ188" s="2248"/>
      <c r="DA188" s="2248"/>
      <c r="DB188" s="2248"/>
      <c r="DC188" s="2248"/>
      <c r="DD188" s="2249"/>
      <c r="DE188" s="2249"/>
      <c r="DF188" s="2249"/>
      <c r="DG188" s="2249"/>
      <c r="DH188" s="2249"/>
      <c r="DI188" s="2249"/>
      <c r="DJ188" s="2249"/>
      <c r="DK188" s="2249"/>
      <c r="DL188" s="2249"/>
      <c r="DM188" s="2249"/>
      <c r="DN188" s="2249"/>
      <c r="DO188" s="2249"/>
      <c r="DP188" s="2249"/>
      <c r="DQ188" s="2249"/>
      <c r="DR188" s="2249"/>
      <c r="DS188" s="2249"/>
      <c r="DT188" s="2249"/>
      <c r="DU188" s="2249"/>
      <c r="DV188" s="2249"/>
      <c r="DW188" s="2249"/>
      <c r="DX188" s="2249"/>
      <c r="DY188" s="2249"/>
      <c r="DZ188" s="2249"/>
      <c r="EA188" s="2249"/>
      <c r="EB188" s="2249"/>
      <c r="EC188" s="2249"/>
      <c r="ED188" s="2249"/>
      <c r="EE188" s="2249"/>
      <c r="EF188" s="2248"/>
      <c r="EG188" s="2248"/>
    </row>
    <row r="189" spans="1:137" ht="18.899999999999999" customHeight="1">
      <c r="A189" s="2244"/>
      <c r="B189" s="2244"/>
      <c r="C189" s="2245"/>
      <c r="D189" s="2245"/>
      <c r="E189" s="2245"/>
      <c r="F189" s="2245"/>
      <c r="G189" s="2245"/>
      <c r="H189" s="2245"/>
      <c r="I189" s="2244"/>
      <c r="J189" s="2244"/>
      <c r="K189" s="2246"/>
      <c r="L189" s="2244"/>
      <c r="M189" s="2244"/>
      <c r="N189" s="2244"/>
      <c r="O189" s="2244"/>
      <c r="P189" s="2244"/>
      <c r="Q189" s="2246"/>
      <c r="R189" s="2246"/>
      <c r="S189" s="2246"/>
      <c r="T189" s="2246"/>
      <c r="U189" s="2246"/>
      <c r="V189" s="2246"/>
      <c r="W189" s="2246"/>
      <c r="X189" s="2246"/>
      <c r="Y189" s="2246"/>
      <c r="Z189" s="2246"/>
      <c r="AA189" s="2246"/>
      <c r="AB189" s="2246"/>
      <c r="AC189" s="2246"/>
      <c r="AD189" s="2246"/>
      <c r="AE189" s="2246"/>
      <c r="AF189" s="2246"/>
      <c r="AG189" s="2246"/>
      <c r="AH189" s="2246"/>
      <c r="AI189" s="2246"/>
      <c r="AJ189" s="2246"/>
      <c r="AK189" s="2246"/>
      <c r="AL189" s="2246"/>
      <c r="AM189" s="2246"/>
      <c r="AN189" s="2246"/>
      <c r="AO189" s="2246"/>
      <c r="AP189" s="2246"/>
      <c r="AQ189" s="2246"/>
      <c r="AR189" s="2246"/>
      <c r="AS189" s="2244"/>
      <c r="AT189" s="2244"/>
      <c r="AU189" s="2244"/>
      <c r="AV189" s="2244"/>
      <c r="AW189" s="2244"/>
      <c r="AX189" s="2244"/>
      <c r="AY189" s="2244"/>
      <c r="AZ189" s="2244"/>
      <c r="BA189" s="2244"/>
      <c r="BB189" s="2244"/>
      <c r="BC189" s="2244"/>
      <c r="BD189" s="2244"/>
      <c r="BE189" s="2244"/>
      <c r="BF189" s="2246"/>
      <c r="BG189" s="2246"/>
      <c r="BH189" s="2246"/>
      <c r="BI189" s="2246"/>
      <c r="BJ189" s="2246"/>
      <c r="BK189" s="2246"/>
      <c r="BL189" s="2246"/>
      <c r="BM189" s="2246"/>
      <c r="BN189" s="2246"/>
      <c r="BO189" s="2246"/>
      <c r="BP189" s="2246"/>
      <c r="BQ189" s="2246"/>
      <c r="BR189" s="2246"/>
      <c r="BS189" s="2244"/>
      <c r="BT189" s="2244"/>
      <c r="BU189" s="2244"/>
      <c r="BV189" s="2244"/>
      <c r="BW189" s="2244"/>
      <c r="BX189" s="2246"/>
      <c r="BY189" s="2246"/>
      <c r="BZ189" s="2246"/>
      <c r="CA189" s="2246"/>
      <c r="CB189" s="2246"/>
      <c r="CC189" s="2246"/>
      <c r="CD189" s="2246"/>
      <c r="CE189" s="2246"/>
      <c r="CF189" s="2246"/>
      <c r="CG189" s="2246"/>
      <c r="CH189" s="2246"/>
      <c r="CI189" s="2246"/>
      <c r="CJ189" s="2246"/>
      <c r="CK189" s="2246"/>
      <c r="CL189" s="2246"/>
      <c r="CM189" s="2246"/>
      <c r="CN189" s="2246"/>
      <c r="CO189" s="2246"/>
      <c r="CP189" s="2246"/>
      <c r="CQ189" s="2246"/>
      <c r="CR189" s="2246"/>
      <c r="CS189" s="2248"/>
      <c r="CT189" s="2248"/>
      <c r="CU189" s="2248"/>
      <c r="CV189" s="2248"/>
      <c r="CW189" s="2248"/>
      <c r="CX189" s="2248"/>
      <c r="CY189" s="2248"/>
      <c r="CZ189" s="2248"/>
      <c r="DA189" s="2248"/>
      <c r="DB189" s="2248"/>
      <c r="DC189" s="2248"/>
      <c r="DD189" s="2249"/>
      <c r="DE189" s="2249"/>
      <c r="DF189" s="2249"/>
      <c r="DG189" s="2249"/>
      <c r="DH189" s="2249"/>
      <c r="DI189" s="2249"/>
      <c r="DJ189" s="2249"/>
      <c r="DK189" s="2249"/>
      <c r="DL189" s="2249"/>
      <c r="DM189" s="2249"/>
      <c r="DN189" s="2249"/>
      <c r="DO189" s="2249"/>
      <c r="DP189" s="2249"/>
      <c r="DQ189" s="2249"/>
      <c r="DR189" s="2249"/>
      <c r="DS189" s="2249"/>
      <c r="DT189" s="2249"/>
      <c r="DU189" s="2249"/>
      <c r="DV189" s="2249"/>
      <c r="DW189" s="2249"/>
      <c r="DX189" s="2249"/>
      <c r="DY189" s="2249"/>
      <c r="DZ189" s="2249"/>
      <c r="EA189" s="2249"/>
      <c r="EB189" s="2249"/>
      <c r="EC189" s="2249"/>
      <c r="ED189" s="2249"/>
      <c r="EE189" s="2249"/>
      <c r="EF189" s="2248"/>
      <c r="EG189" s="2248"/>
    </row>
  </sheetData>
  <mergeCells count="53">
    <mergeCell ref="F5:F6"/>
    <mergeCell ref="DF5:DF6"/>
    <mergeCell ref="DH5:DH6"/>
    <mergeCell ref="H5:H6"/>
    <mergeCell ref="CT5:CT6"/>
    <mergeCell ref="DG5:DG6"/>
    <mergeCell ref="DD5:DD6"/>
    <mergeCell ref="CU5:CU6"/>
    <mergeCell ref="DE5:DE6"/>
    <mergeCell ref="BT5:BT6"/>
    <mergeCell ref="G5:G6"/>
    <mergeCell ref="BS5:BS6"/>
    <mergeCell ref="K5:K6"/>
    <mergeCell ref="DU5:DU6"/>
    <mergeCell ref="BU5:BU6"/>
    <mergeCell ref="DK5:DK6"/>
    <mergeCell ref="DI5:DI6"/>
    <mergeCell ref="DJ5:DJ6"/>
    <mergeCell ref="DL5:DL6"/>
    <mergeCell ref="DO5:DO6"/>
    <mergeCell ref="DM5:DM6"/>
    <mergeCell ref="E5:E6"/>
    <mergeCell ref="EH5:EH6"/>
    <mergeCell ref="CS5:CS6"/>
    <mergeCell ref="CZ5:CZ6"/>
    <mergeCell ref="DR5:DR6"/>
    <mergeCell ref="DC5:DC6"/>
    <mergeCell ref="EG5:EG6"/>
    <mergeCell ref="DX5:DX6"/>
    <mergeCell ref="DT5:DT6"/>
    <mergeCell ref="DN5:DN6"/>
    <mergeCell ref="DB5:DB6"/>
    <mergeCell ref="DP5:DP6"/>
    <mergeCell ref="DV5:DV6"/>
    <mergeCell ref="DW5:DW6"/>
    <mergeCell ref="DS5:DS6"/>
    <mergeCell ref="DQ5:DQ6"/>
    <mergeCell ref="A4:EH4"/>
    <mergeCell ref="CX5:CX6"/>
    <mergeCell ref="CY5:CY6"/>
    <mergeCell ref="DY5:DY6"/>
    <mergeCell ref="DZ5:DZ6"/>
    <mergeCell ref="D5:D6"/>
    <mergeCell ref="BV5:BV6"/>
    <mergeCell ref="CW5:CW6"/>
    <mergeCell ref="DA5:DA6"/>
    <mergeCell ref="A5:A6"/>
    <mergeCell ref="B5:B6"/>
    <mergeCell ref="C5:C6"/>
    <mergeCell ref="CV5:CV6"/>
    <mergeCell ref="I5:I6"/>
    <mergeCell ref="BW5:BW6"/>
    <mergeCell ref="J5:J6"/>
  </mergeCells>
  <phoneticPr fontId="0" type="noConversion"/>
  <printOptions horizontalCentered="1"/>
  <pageMargins left="0.35433070866141736" right="0.23622047244094491" top="0.9055118110236221" bottom="0.47244094488188981" header="0.51181102362204722" footer="0.27559055118110237"/>
  <pageSetup paperSize="9" scale="80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BI49"/>
  <sheetViews>
    <sheetView showZeros="0" zoomScale="90" zoomScaleNormal="90" workbookViewId="0">
      <selection activeCell="S34" sqref="S34"/>
    </sheetView>
  </sheetViews>
  <sheetFormatPr defaultColWidth="9.109375" defaultRowHeight="13.8"/>
  <cols>
    <col min="1" max="1" width="23.109375" style="32" customWidth="1"/>
    <col min="2" max="2" width="6" style="32" hidden="1" customWidth="1"/>
    <col min="3" max="3" width="8.5546875" style="32" customWidth="1"/>
    <col min="4" max="4" width="5.33203125" style="32" hidden="1" customWidth="1"/>
    <col min="5" max="5" width="8.88671875" style="32" customWidth="1"/>
    <col min="6" max="8" width="6" style="32" hidden="1" customWidth="1"/>
    <col min="9" max="9" width="8.88671875" style="32" customWidth="1"/>
    <col min="10" max="14" width="6" style="32" hidden="1" customWidth="1"/>
    <col min="15" max="15" width="6.6640625" style="32" hidden="1" customWidth="1"/>
    <col min="16" max="16" width="6.88671875" style="32" hidden="1" customWidth="1"/>
    <col min="17" max="17" width="9.33203125" style="32" customWidth="1"/>
    <col min="18" max="18" width="8.5546875" style="32" customWidth="1"/>
    <col min="19" max="20" width="6" style="32" hidden="1" customWidth="1"/>
    <col min="21" max="21" width="8" style="32" customWidth="1"/>
    <col min="22" max="22" width="9.109375" style="32" customWidth="1"/>
    <col min="23" max="30" width="6" style="32" hidden="1" customWidth="1"/>
    <col min="31" max="31" width="7.109375" style="32" hidden="1" customWidth="1"/>
    <col min="32" max="32" width="8.33203125" style="32" hidden="1" customWidth="1"/>
    <col min="33" max="33" width="7.44140625" style="32" hidden="1" customWidth="1"/>
    <col min="34" max="36" width="9.33203125" style="32" hidden="1" customWidth="1"/>
    <col min="37" max="39" width="7.44140625" style="32" hidden="1" customWidth="1"/>
    <col min="40" max="40" width="10" style="32" customWidth="1"/>
    <col min="41" max="41" width="11" style="32" customWidth="1"/>
    <col min="42" max="42" width="6.33203125" style="32" hidden="1" customWidth="1"/>
    <col min="43" max="43" width="14.109375" style="32" customWidth="1"/>
    <col min="44" max="46" width="7.44140625" style="32" hidden="1" customWidth="1"/>
    <col min="47" max="49" width="8.109375" style="32" hidden="1" customWidth="1"/>
    <col min="50" max="53" width="5.88671875" style="32" hidden="1" customWidth="1"/>
    <col min="54" max="54" width="5.88671875" style="441" hidden="1" customWidth="1"/>
    <col min="55" max="55" width="6.88671875" style="441" hidden="1" customWidth="1"/>
    <col min="56" max="56" width="15.6640625" style="441" customWidth="1"/>
    <col min="57" max="57" width="8.44140625" style="441" hidden="1" customWidth="1"/>
    <col min="58" max="58" width="8.88671875" style="441" hidden="1" customWidth="1"/>
    <col min="59" max="59" width="8.6640625" style="441" hidden="1" customWidth="1"/>
    <col min="60" max="60" width="8.109375" style="441" hidden="1" customWidth="1"/>
    <col min="61" max="61" width="19.109375" style="32" customWidth="1"/>
    <col min="62" max="16384" width="9.109375" style="32"/>
  </cols>
  <sheetData>
    <row r="1" spans="1:61" ht="20.399999999999999">
      <c r="A1" s="439" t="s">
        <v>4024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0"/>
      <c r="Y1" s="440"/>
      <c r="Z1" s="440"/>
      <c r="AA1" s="440"/>
      <c r="AB1" s="440"/>
      <c r="AC1" s="440"/>
      <c r="AD1" s="440"/>
      <c r="AE1" s="440"/>
      <c r="AF1" s="440"/>
      <c r="AG1" s="440"/>
      <c r="AH1" s="440"/>
      <c r="AI1" s="440"/>
      <c r="AJ1" s="440"/>
      <c r="AK1" s="440"/>
      <c r="AL1" s="440"/>
      <c r="AM1" s="440"/>
      <c r="AN1" s="440"/>
      <c r="AO1" s="440"/>
      <c r="AP1" s="440"/>
      <c r="AQ1" s="440"/>
      <c r="AR1" s="440"/>
      <c r="AS1" s="440"/>
      <c r="AT1" s="440"/>
      <c r="AU1" s="440"/>
      <c r="AV1" s="440"/>
      <c r="AW1" s="440"/>
      <c r="AX1" s="440"/>
      <c r="AY1" s="440"/>
      <c r="AZ1" s="440"/>
      <c r="BA1" s="440"/>
      <c r="BB1" s="440"/>
      <c r="BC1" s="440"/>
      <c r="BD1" s="440"/>
      <c r="BE1" s="440"/>
      <c r="BF1" s="440"/>
      <c r="BG1" s="440"/>
      <c r="BH1" s="440"/>
      <c r="BI1" s="440"/>
    </row>
    <row r="2" spans="1:61" ht="10.5" customHeight="1"/>
    <row r="3" spans="1:61" ht="20.25" customHeight="1">
      <c r="A3" s="2563" t="s">
        <v>3995</v>
      </c>
      <c r="B3" s="2555" t="s">
        <v>3996</v>
      </c>
      <c r="C3" s="2531" t="s">
        <v>5735</v>
      </c>
      <c r="D3" s="2531" t="s">
        <v>5711</v>
      </c>
      <c r="E3" s="2531" t="s">
        <v>5693</v>
      </c>
      <c r="F3" s="2555" t="s">
        <v>3997</v>
      </c>
      <c r="G3" s="2555" t="s">
        <v>3998</v>
      </c>
      <c r="H3" s="2555" t="s">
        <v>3999</v>
      </c>
      <c r="I3" s="2531" t="s">
        <v>5736</v>
      </c>
      <c r="J3" s="2531" t="s">
        <v>5694</v>
      </c>
      <c r="K3" s="2531" t="s">
        <v>4000</v>
      </c>
      <c r="L3" s="2531" t="s">
        <v>4001</v>
      </c>
      <c r="M3" s="2531" t="s">
        <v>4002</v>
      </c>
      <c r="N3" s="2531" t="s">
        <v>4003</v>
      </c>
      <c r="O3" s="2531" t="s">
        <v>5666</v>
      </c>
      <c r="P3" s="2531" t="s">
        <v>5723</v>
      </c>
      <c r="Q3" s="2531" t="s">
        <v>5718</v>
      </c>
      <c r="R3" s="2531" t="s">
        <v>5738</v>
      </c>
      <c r="S3" s="2531" t="s">
        <v>4004</v>
      </c>
      <c r="T3" s="2531" t="s">
        <v>4005</v>
      </c>
      <c r="U3" s="2531" t="s">
        <v>5713</v>
      </c>
      <c r="V3" s="2531" t="s">
        <v>4006</v>
      </c>
      <c r="W3" s="2531" t="s">
        <v>5701</v>
      </c>
      <c r="X3" s="2531" t="s">
        <v>5702</v>
      </c>
      <c r="Y3" s="2531" t="s">
        <v>5737</v>
      </c>
      <c r="Z3" s="2531" t="s">
        <v>5696</v>
      </c>
      <c r="AA3" s="2531" t="s">
        <v>5717</v>
      </c>
      <c r="AB3" s="2531" t="s">
        <v>1881</v>
      </c>
      <c r="AC3" s="2531" t="s">
        <v>5695</v>
      </c>
      <c r="AD3" s="2531" t="s">
        <v>5695</v>
      </c>
      <c r="AE3" s="2531" t="s">
        <v>5682</v>
      </c>
      <c r="AF3" s="2531" t="s">
        <v>1882</v>
      </c>
      <c r="AG3" s="2534" t="s">
        <v>4011</v>
      </c>
      <c r="AH3" s="2535"/>
      <c r="AI3" s="2535"/>
      <c r="AJ3" s="2535"/>
      <c r="AK3" s="2535"/>
      <c r="AL3" s="2535"/>
      <c r="AM3" s="2536"/>
      <c r="AN3" s="1827"/>
      <c r="AO3" s="1828" t="s">
        <v>4011</v>
      </c>
      <c r="AP3" s="1828"/>
      <c r="AQ3" s="1829"/>
      <c r="AR3" s="1828"/>
      <c r="AS3" s="1828"/>
      <c r="AT3" s="1829"/>
      <c r="AU3" s="2537" t="s">
        <v>4012</v>
      </c>
      <c r="AV3" s="2538"/>
      <c r="AW3" s="2539"/>
      <c r="AX3" s="2548" t="s">
        <v>4013</v>
      </c>
      <c r="AY3" s="2549"/>
      <c r="AZ3" s="2549"/>
      <c r="BA3" s="2549"/>
      <c r="BB3" s="2549"/>
      <c r="BC3" s="2550"/>
      <c r="BD3" s="2550"/>
      <c r="BE3" s="2550"/>
      <c r="BF3" s="2551"/>
      <c r="BG3" s="2555" t="s">
        <v>4022</v>
      </c>
      <c r="BH3" s="2555" t="s">
        <v>4023</v>
      </c>
      <c r="BI3" s="2543" t="s">
        <v>3373</v>
      </c>
    </row>
    <row r="4" spans="1:61" ht="35.25" customHeight="1">
      <c r="A4" s="2564"/>
      <c r="B4" s="2556"/>
      <c r="C4" s="2532"/>
      <c r="D4" s="2532"/>
      <c r="E4" s="2532"/>
      <c r="F4" s="2556"/>
      <c r="G4" s="2556"/>
      <c r="H4" s="2556"/>
      <c r="I4" s="2532"/>
      <c r="J4" s="2532"/>
      <c r="K4" s="2532"/>
      <c r="L4" s="2532"/>
      <c r="M4" s="2532"/>
      <c r="N4" s="2532"/>
      <c r="O4" s="2532"/>
      <c r="P4" s="2532"/>
      <c r="Q4" s="2532"/>
      <c r="R4" s="2532"/>
      <c r="S4" s="2532"/>
      <c r="T4" s="2532"/>
      <c r="U4" s="2532"/>
      <c r="V4" s="2532"/>
      <c r="W4" s="2532"/>
      <c r="X4" s="2532"/>
      <c r="Y4" s="2532"/>
      <c r="Z4" s="2532"/>
      <c r="AA4" s="2532"/>
      <c r="AB4" s="2532"/>
      <c r="AC4" s="2532"/>
      <c r="AD4" s="2532"/>
      <c r="AE4" s="2532"/>
      <c r="AF4" s="2532"/>
      <c r="AG4" s="2546" t="s">
        <v>4007</v>
      </c>
      <c r="AH4" s="2534" t="s">
        <v>2098</v>
      </c>
      <c r="AI4" s="2535"/>
      <c r="AJ4" s="2536"/>
      <c r="AK4" s="438" t="s">
        <v>2103</v>
      </c>
      <c r="AL4" s="438"/>
      <c r="AM4" s="438"/>
      <c r="AN4" s="2558" t="s">
        <v>4007</v>
      </c>
      <c r="AO4" s="2560" t="s">
        <v>5706</v>
      </c>
      <c r="AP4" s="2561"/>
      <c r="AQ4" s="2562"/>
      <c r="AR4" s="438" t="s">
        <v>5667</v>
      </c>
      <c r="AS4" s="438"/>
      <c r="AT4" s="438"/>
      <c r="AU4" s="2540"/>
      <c r="AV4" s="2541"/>
      <c r="AW4" s="2542"/>
      <c r="AX4" s="2552"/>
      <c r="AY4" s="2553"/>
      <c r="AZ4" s="2553"/>
      <c r="BA4" s="2553"/>
      <c r="BB4" s="2553"/>
      <c r="BC4" s="2553"/>
      <c r="BD4" s="2553"/>
      <c r="BE4" s="2553"/>
      <c r="BF4" s="2554"/>
      <c r="BG4" s="2556"/>
      <c r="BH4" s="2556"/>
      <c r="BI4" s="2544"/>
    </row>
    <row r="5" spans="1:61" ht="117" customHeight="1">
      <c r="A5" s="2565"/>
      <c r="B5" s="2557"/>
      <c r="C5" s="2533"/>
      <c r="D5" s="2533"/>
      <c r="E5" s="2533"/>
      <c r="F5" s="2557"/>
      <c r="G5" s="2557"/>
      <c r="H5" s="2557"/>
      <c r="I5" s="2533"/>
      <c r="J5" s="2533"/>
      <c r="K5" s="2533"/>
      <c r="L5" s="2533"/>
      <c r="M5" s="2533"/>
      <c r="N5" s="2533"/>
      <c r="O5" s="2533"/>
      <c r="P5" s="2533"/>
      <c r="Q5" s="2533"/>
      <c r="R5" s="2533"/>
      <c r="S5" s="2533"/>
      <c r="T5" s="2533"/>
      <c r="U5" s="2533"/>
      <c r="V5" s="2533"/>
      <c r="W5" s="2533"/>
      <c r="X5" s="2533"/>
      <c r="Y5" s="2533"/>
      <c r="Z5" s="2533"/>
      <c r="AA5" s="2533"/>
      <c r="AB5" s="2533"/>
      <c r="AC5" s="2533"/>
      <c r="AD5" s="2533"/>
      <c r="AE5" s="2533"/>
      <c r="AF5" s="2533"/>
      <c r="AG5" s="2547"/>
      <c r="AH5" s="437" t="s">
        <v>4008</v>
      </c>
      <c r="AI5" s="437" t="s">
        <v>4009</v>
      </c>
      <c r="AJ5" s="437" t="s">
        <v>4010</v>
      </c>
      <c r="AK5" s="437" t="s">
        <v>4008</v>
      </c>
      <c r="AL5" s="437" t="s">
        <v>4009</v>
      </c>
      <c r="AM5" s="437" t="s">
        <v>4010</v>
      </c>
      <c r="AN5" s="2559"/>
      <c r="AO5" s="1830" t="s">
        <v>4008</v>
      </c>
      <c r="AP5" s="1830" t="s">
        <v>4009</v>
      </c>
      <c r="AQ5" s="1830" t="s">
        <v>4010</v>
      </c>
      <c r="AR5" s="437" t="s">
        <v>4008</v>
      </c>
      <c r="AS5" s="437" t="s">
        <v>4009</v>
      </c>
      <c r="AT5" s="437" t="s">
        <v>4010</v>
      </c>
      <c r="AU5" s="442" t="s">
        <v>4019</v>
      </c>
      <c r="AV5" s="442" t="s">
        <v>4020</v>
      </c>
      <c r="AW5" s="442" t="s">
        <v>4021</v>
      </c>
      <c r="AX5" s="437" t="s">
        <v>4014</v>
      </c>
      <c r="AY5" s="437" t="s">
        <v>4015</v>
      </c>
      <c r="AZ5" s="437" t="s">
        <v>4016</v>
      </c>
      <c r="BA5" s="437" t="s">
        <v>4015</v>
      </c>
      <c r="BB5" s="437" t="s">
        <v>4017</v>
      </c>
      <c r="BC5" s="1830" t="s">
        <v>5719</v>
      </c>
      <c r="BD5" s="1830" t="s">
        <v>5739</v>
      </c>
      <c r="BE5" s="1830" t="s">
        <v>5697</v>
      </c>
      <c r="BF5" s="1830" t="s">
        <v>4018</v>
      </c>
      <c r="BG5" s="2557"/>
      <c r="BH5" s="2557"/>
      <c r="BI5" s="2545"/>
    </row>
    <row r="6" spans="1:61" ht="22.5" customHeight="1">
      <c r="A6" s="1826" t="s">
        <v>5668</v>
      </c>
      <c r="B6" s="444"/>
      <c r="C6" s="444"/>
      <c r="D6" s="444"/>
      <c r="E6" s="444"/>
      <c r="F6" s="444"/>
      <c r="G6" s="444"/>
      <c r="H6" s="444"/>
      <c r="I6" s="444"/>
      <c r="J6" s="444"/>
      <c r="K6" s="444"/>
      <c r="L6" s="444"/>
      <c r="M6" s="445"/>
      <c r="N6" s="445"/>
      <c r="O6" s="445"/>
      <c r="P6" s="445"/>
      <c r="Q6" s="445"/>
      <c r="R6" s="445"/>
      <c r="S6" s="445"/>
      <c r="T6" s="445"/>
      <c r="U6" s="445"/>
      <c r="V6" s="445"/>
      <c r="W6" s="445"/>
      <c r="X6" s="445"/>
      <c r="Y6" s="445"/>
      <c r="Z6" s="445"/>
      <c r="AA6" s="445"/>
      <c r="AB6" s="445"/>
      <c r="AC6" s="445"/>
      <c r="AD6" s="445"/>
      <c r="AE6" s="445"/>
      <c r="AF6" s="445"/>
      <c r="AG6" s="445"/>
      <c r="AH6" s="445"/>
      <c r="AI6" s="445"/>
      <c r="AJ6" s="445"/>
      <c r="AK6" s="445"/>
      <c r="AL6" s="445"/>
      <c r="AM6" s="446"/>
      <c r="AN6" s="445"/>
      <c r="AO6" s="445"/>
      <c r="AP6" s="445"/>
      <c r="AQ6" s="445"/>
      <c r="AR6" s="445"/>
      <c r="AS6" s="445"/>
      <c r="AT6" s="446"/>
      <c r="AU6" s="447"/>
      <c r="AV6" s="447"/>
      <c r="AW6" s="447"/>
      <c r="AX6" s="445"/>
      <c r="AY6" s="445"/>
      <c r="AZ6" s="445"/>
      <c r="BA6" s="445"/>
      <c r="BB6" s="445"/>
      <c r="BC6" s="445"/>
      <c r="BD6" s="445"/>
      <c r="BE6" s="445"/>
      <c r="BF6" s="445"/>
      <c r="BG6" s="445"/>
      <c r="BH6" s="445"/>
      <c r="BI6" s="448"/>
    </row>
    <row r="7" spans="1:61" ht="20.100000000000001" customHeight="1">
      <c r="A7" s="449" t="s">
        <v>5753</v>
      </c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50"/>
      <c r="N7" s="450"/>
      <c r="O7" s="450"/>
      <c r="P7" s="450"/>
      <c r="Q7" s="450"/>
      <c r="R7" s="450"/>
      <c r="S7" s="450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1"/>
      <c r="AH7" s="450"/>
      <c r="AI7" s="450"/>
      <c r="AJ7" s="452"/>
      <c r="AK7" s="450"/>
      <c r="AL7" s="450"/>
      <c r="AM7" s="452"/>
      <c r="AN7" s="451"/>
      <c r="AO7" s="450"/>
      <c r="AP7" s="450"/>
      <c r="AQ7" s="452"/>
      <c r="AR7" s="450"/>
      <c r="AS7" s="450"/>
      <c r="AT7" s="452"/>
      <c r="AU7" s="450"/>
      <c r="AV7" s="450"/>
      <c r="AW7" s="450"/>
      <c r="AX7" s="452"/>
      <c r="AY7" s="450"/>
      <c r="AZ7" s="450"/>
      <c r="BA7" s="452"/>
      <c r="BB7" s="450"/>
      <c r="BC7" s="452"/>
      <c r="BD7" s="452"/>
      <c r="BE7" s="452"/>
      <c r="BF7" s="452"/>
      <c r="BG7" s="453"/>
      <c r="BH7" s="453"/>
      <c r="BI7" s="453"/>
    </row>
    <row r="8" spans="1:61" ht="25.5" customHeight="1">
      <c r="A8" s="458" t="s">
        <v>4025</v>
      </c>
      <c r="B8" s="459">
        <f>SUM(B7:B7)</f>
        <v>0</v>
      </c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459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60"/>
      <c r="AH8" s="459"/>
      <c r="AI8" s="459"/>
      <c r="AJ8" s="460"/>
      <c r="AK8" s="459"/>
      <c r="AL8" s="459"/>
      <c r="AM8" s="460"/>
      <c r="AN8" s="460"/>
      <c r="AO8" s="459"/>
      <c r="AP8" s="459"/>
      <c r="AQ8" s="460"/>
      <c r="AR8" s="459"/>
      <c r="AS8" s="459"/>
      <c r="AT8" s="460"/>
      <c r="AU8" s="459"/>
      <c r="AV8" s="459"/>
      <c r="AW8" s="459"/>
      <c r="AX8" s="460"/>
      <c r="AY8" s="459"/>
      <c r="AZ8" s="459"/>
      <c r="BA8" s="459"/>
      <c r="BB8" s="459"/>
      <c r="BC8" s="459"/>
      <c r="BD8" s="459"/>
      <c r="BE8" s="459">
        <f>SUM(BE7:BE7)</f>
        <v>0</v>
      </c>
      <c r="BF8" s="459">
        <f>SUM(BF7:BF7)</f>
        <v>0</v>
      </c>
      <c r="BG8" s="459">
        <f>SUM(BG7:BG7)</f>
        <v>0</v>
      </c>
      <c r="BH8" s="459">
        <f>SUM(BH7:BH7)</f>
        <v>0</v>
      </c>
      <c r="BI8" s="459"/>
    </row>
    <row r="9" spans="1:61" hidden="1">
      <c r="A9" s="443" t="s">
        <v>4027</v>
      </c>
      <c r="B9" s="444"/>
      <c r="C9" s="444"/>
      <c r="D9" s="444"/>
      <c r="E9" s="444"/>
      <c r="F9" s="444"/>
      <c r="G9" s="444"/>
      <c r="H9" s="444"/>
      <c r="I9" s="444"/>
      <c r="J9" s="444"/>
      <c r="K9" s="444"/>
      <c r="L9" s="444"/>
      <c r="M9" s="445"/>
      <c r="N9" s="445"/>
      <c r="O9" s="445"/>
      <c r="P9" s="445"/>
      <c r="Q9" s="445"/>
      <c r="R9" s="445"/>
      <c r="S9" s="445"/>
      <c r="T9" s="445"/>
      <c r="U9" s="445"/>
      <c r="V9" s="445"/>
      <c r="W9" s="445"/>
      <c r="X9" s="445"/>
      <c r="Y9" s="445"/>
      <c r="Z9" s="445"/>
      <c r="AA9" s="445"/>
      <c r="AB9" s="445"/>
      <c r="AC9" s="445"/>
      <c r="AD9" s="445"/>
      <c r="AE9" s="445"/>
      <c r="AF9" s="445"/>
      <c r="AG9" s="445"/>
      <c r="AH9" s="445"/>
      <c r="AI9" s="445"/>
      <c r="AJ9" s="445"/>
      <c r="AK9" s="445"/>
      <c r="AL9" s="445"/>
      <c r="AM9" s="446"/>
      <c r="AN9" s="445"/>
      <c r="AO9" s="445"/>
      <c r="AP9" s="445"/>
      <c r="AQ9" s="445"/>
      <c r="AR9" s="445"/>
      <c r="AS9" s="445"/>
      <c r="AT9" s="446"/>
      <c r="AU9" s="445"/>
      <c r="AV9" s="445"/>
      <c r="AW9" s="445"/>
      <c r="AX9" s="445"/>
      <c r="AY9" s="445"/>
      <c r="AZ9" s="445"/>
      <c r="BA9" s="445"/>
      <c r="BB9" s="445"/>
      <c r="BC9" s="445"/>
      <c r="BD9" s="445"/>
      <c r="BE9" s="445"/>
      <c r="BF9" s="445"/>
      <c r="BG9" s="445"/>
      <c r="BH9" s="445"/>
      <c r="BI9" s="448"/>
    </row>
    <row r="10" spans="1:61" hidden="1">
      <c r="A10" s="449" t="s">
        <v>4026</v>
      </c>
      <c r="B10" s="449"/>
      <c r="C10" s="449"/>
      <c r="D10" s="449"/>
      <c r="E10" s="449"/>
      <c r="F10" s="449"/>
      <c r="G10" s="449"/>
      <c r="H10" s="449"/>
      <c r="I10" s="449"/>
      <c r="J10" s="449"/>
      <c r="K10" s="449"/>
      <c r="L10" s="449"/>
      <c r="M10" s="450"/>
      <c r="N10" s="450"/>
      <c r="O10" s="450"/>
      <c r="P10" s="450"/>
      <c r="Q10" s="450"/>
      <c r="R10" s="450"/>
      <c r="S10" s="450"/>
      <c r="T10" s="450"/>
      <c r="U10" s="450"/>
      <c r="V10" s="450"/>
      <c r="W10" s="450"/>
      <c r="X10" s="450"/>
      <c r="Y10" s="450"/>
      <c r="Z10" s="450"/>
      <c r="AA10" s="450"/>
      <c r="AB10" s="450"/>
      <c r="AC10" s="450"/>
      <c r="AD10" s="450"/>
      <c r="AE10" s="450"/>
      <c r="AF10" s="450"/>
      <c r="AG10" s="451"/>
      <c r="AH10" s="450"/>
      <c r="AI10" s="450"/>
      <c r="AJ10" s="452"/>
      <c r="AK10" s="450"/>
      <c r="AL10" s="450"/>
      <c r="AM10" s="452"/>
      <c r="AN10" s="451"/>
      <c r="AO10" s="450"/>
      <c r="AP10" s="450"/>
      <c r="AQ10" s="452"/>
      <c r="AR10" s="450"/>
      <c r="AS10" s="450"/>
      <c r="AT10" s="452"/>
      <c r="AU10" s="450"/>
      <c r="AV10" s="450"/>
      <c r="AW10" s="450"/>
      <c r="AX10" s="450"/>
      <c r="AY10" s="450"/>
      <c r="AZ10" s="450"/>
      <c r="BA10" s="450"/>
      <c r="BB10" s="450"/>
      <c r="BC10" s="450"/>
      <c r="BD10" s="450"/>
      <c r="BE10" s="450"/>
      <c r="BF10" s="450"/>
      <c r="BG10" s="450"/>
      <c r="BH10" s="450"/>
      <c r="BI10" s="450"/>
    </row>
    <row r="11" spans="1:61" hidden="1">
      <c r="A11" s="449" t="s">
        <v>466</v>
      </c>
      <c r="B11" s="449"/>
      <c r="C11" s="449"/>
      <c r="D11" s="449"/>
      <c r="E11" s="449"/>
      <c r="F11" s="449"/>
      <c r="G11" s="449"/>
      <c r="H11" s="449"/>
      <c r="I11" s="449"/>
      <c r="J11" s="449"/>
      <c r="K11" s="449"/>
      <c r="L11" s="449"/>
      <c r="M11" s="450"/>
      <c r="N11" s="450"/>
      <c r="O11" s="450"/>
      <c r="P11" s="450"/>
      <c r="Q11" s="450"/>
      <c r="R11" s="450"/>
      <c r="S11" s="450"/>
      <c r="T11" s="450"/>
      <c r="U11" s="450"/>
      <c r="V11" s="450"/>
      <c r="W11" s="450"/>
      <c r="X11" s="450"/>
      <c r="Y11" s="450"/>
      <c r="Z11" s="450"/>
      <c r="AA11" s="450"/>
      <c r="AB11" s="450"/>
      <c r="AC11" s="450"/>
      <c r="AD11" s="450"/>
      <c r="AE11" s="450"/>
      <c r="AF11" s="450"/>
      <c r="AG11" s="451"/>
      <c r="AH11" s="450"/>
      <c r="AI11" s="450"/>
      <c r="AJ11" s="452"/>
      <c r="AK11" s="450"/>
      <c r="AL11" s="450"/>
      <c r="AM11" s="452"/>
      <c r="AN11" s="451"/>
      <c r="AO11" s="450"/>
      <c r="AP11" s="450"/>
      <c r="AQ11" s="452"/>
      <c r="AR11" s="450"/>
      <c r="AS11" s="450"/>
      <c r="AT11" s="452"/>
      <c r="AU11" s="450"/>
      <c r="AV11" s="450"/>
      <c r="AW11" s="450"/>
      <c r="AX11" s="450"/>
      <c r="AY11" s="450"/>
      <c r="AZ11" s="450"/>
      <c r="BA11" s="450"/>
      <c r="BB11" s="450"/>
      <c r="BC11" s="450"/>
      <c r="BD11" s="450"/>
      <c r="BE11" s="450"/>
      <c r="BF11" s="450"/>
      <c r="BG11" s="453"/>
      <c r="BH11" s="453"/>
      <c r="BI11" s="453"/>
    </row>
    <row r="12" spans="1:61" hidden="1">
      <c r="A12" s="449" t="s">
        <v>1540</v>
      </c>
      <c r="B12" s="454"/>
      <c r="C12" s="454"/>
      <c r="D12" s="454"/>
      <c r="E12" s="454"/>
      <c r="F12" s="454"/>
      <c r="G12" s="454"/>
      <c r="H12" s="454"/>
      <c r="I12" s="454"/>
      <c r="J12" s="454"/>
      <c r="K12" s="454"/>
      <c r="L12" s="454"/>
      <c r="M12" s="455"/>
      <c r="N12" s="455"/>
      <c r="O12" s="455"/>
      <c r="P12" s="455"/>
      <c r="Q12" s="455"/>
      <c r="R12" s="455"/>
      <c r="S12" s="455"/>
      <c r="T12" s="455"/>
      <c r="U12" s="455"/>
      <c r="V12" s="455"/>
      <c r="W12" s="455"/>
      <c r="X12" s="455"/>
      <c r="Y12" s="455"/>
      <c r="Z12" s="455"/>
      <c r="AA12" s="455"/>
      <c r="AB12" s="455"/>
      <c r="AC12" s="455"/>
      <c r="AD12" s="455"/>
      <c r="AE12" s="455"/>
      <c r="AF12" s="455"/>
      <c r="AG12" s="451"/>
      <c r="AH12" s="455"/>
      <c r="AI12" s="455"/>
      <c r="AJ12" s="452"/>
      <c r="AK12" s="455"/>
      <c r="AL12" s="455"/>
      <c r="AM12" s="452"/>
      <c r="AN12" s="451"/>
      <c r="AO12" s="455"/>
      <c r="AP12" s="455"/>
      <c r="AQ12" s="452"/>
      <c r="AR12" s="455"/>
      <c r="AS12" s="455"/>
      <c r="AT12" s="452"/>
      <c r="AU12" s="455"/>
      <c r="AV12" s="455"/>
      <c r="AW12" s="455"/>
      <c r="AX12" s="455"/>
      <c r="AY12" s="455"/>
      <c r="AZ12" s="455"/>
      <c r="BA12" s="455"/>
      <c r="BB12" s="455"/>
      <c r="BC12" s="455"/>
      <c r="BD12" s="455"/>
      <c r="BE12" s="455"/>
      <c r="BF12" s="455"/>
      <c r="BG12" s="456"/>
      <c r="BH12" s="456"/>
      <c r="BI12" s="456"/>
    </row>
    <row r="13" spans="1:61" hidden="1">
      <c r="A13" s="449" t="s">
        <v>1140</v>
      </c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4"/>
      <c r="M13" s="455"/>
      <c r="N13" s="455"/>
      <c r="O13" s="455"/>
      <c r="P13" s="455"/>
      <c r="Q13" s="455"/>
      <c r="R13" s="455"/>
      <c r="S13" s="455"/>
      <c r="T13" s="455"/>
      <c r="U13" s="455"/>
      <c r="V13" s="455"/>
      <c r="W13" s="455"/>
      <c r="X13" s="455"/>
      <c r="Y13" s="455"/>
      <c r="Z13" s="455"/>
      <c r="AA13" s="455"/>
      <c r="AB13" s="455"/>
      <c r="AC13" s="455"/>
      <c r="AD13" s="455"/>
      <c r="AE13" s="455"/>
      <c r="AF13" s="455"/>
      <c r="AG13" s="451"/>
      <c r="AH13" s="455"/>
      <c r="AI13" s="455"/>
      <c r="AJ13" s="452"/>
      <c r="AK13" s="455"/>
      <c r="AL13" s="455"/>
      <c r="AM13" s="452"/>
      <c r="AN13" s="451"/>
      <c r="AO13" s="455"/>
      <c r="AP13" s="455"/>
      <c r="AQ13" s="452"/>
      <c r="AR13" s="455"/>
      <c r="AS13" s="455"/>
      <c r="AT13" s="452"/>
      <c r="AU13" s="455"/>
      <c r="AV13" s="455"/>
      <c r="AW13" s="455"/>
      <c r="AX13" s="455"/>
      <c r="AY13" s="455"/>
      <c r="AZ13" s="455"/>
      <c r="BA13" s="455"/>
      <c r="BB13" s="455"/>
      <c r="BC13" s="455"/>
      <c r="BD13" s="455"/>
      <c r="BE13" s="455"/>
      <c r="BF13" s="455"/>
      <c r="BG13" s="456"/>
      <c r="BH13" s="456"/>
      <c r="BI13" s="456"/>
    </row>
    <row r="14" spans="1:61" hidden="1">
      <c r="A14" s="454" t="s">
        <v>1141</v>
      </c>
      <c r="B14" s="454"/>
      <c r="C14" s="454"/>
      <c r="D14" s="454"/>
      <c r="E14" s="454"/>
      <c r="F14" s="454"/>
      <c r="G14" s="454"/>
      <c r="H14" s="454"/>
      <c r="I14" s="454"/>
      <c r="J14" s="454"/>
      <c r="K14" s="454"/>
      <c r="L14" s="454"/>
      <c r="M14" s="455"/>
      <c r="N14" s="455"/>
      <c r="O14" s="455"/>
      <c r="P14" s="455"/>
      <c r="Q14" s="455"/>
      <c r="R14" s="455"/>
      <c r="S14" s="455"/>
      <c r="T14" s="455"/>
      <c r="U14" s="455"/>
      <c r="V14" s="455"/>
      <c r="W14" s="455"/>
      <c r="X14" s="455"/>
      <c r="Y14" s="455"/>
      <c r="Z14" s="455"/>
      <c r="AA14" s="455"/>
      <c r="AB14" s="455"/>
      <c r="AC14" s="455"/>
      <c r="AD14" s="455"/>
      <c r="AE14" s="455"/>
      <c r="AF14" s="455"/>
      <c r="AG14" s="457"/>
      <c r="AH14" s="455"/>
      <c r="AI14" s="455"/>
      <c r="AJ14" s="452"/>
      <c r="AK14" s="455"/>
      <c r="AL14" s="455"/>
      <c r="AM14" s="452"/>
      <c r="AN14" s="457"/>
      <c r="AO14" s="455"/>
      <c r="AP14" s="455"/>
      <c r="AQ14" s="452"/>
      <c r="AR14" s="455"/>
      <c r="AS14" s="455"/>
      <c r="AT14" s="452"/>
      <c r="AU14" s="455"/>
      <c r="AV14" s="455"/>
      <c r="AW14" s="455"/>
      <c r="AX14" s="455"/>
      <c r="AY14" s="455"/>
      <c r="AZ14" s="455"/>
      <c r="BA14" s="455"/>
      <c r="BB14" s="455"/>
      <c r="BC14" s="455"/>
      <c r="BD14" s="455"/>
      <c r="BE14" s="455"/>
      <c r="BF14" s="455"/>
      <c r="BG14" s="455"/>
      <c r="BH14" s="455"/>
      <c r="BI14" s="455"/>
    </row>
    <row r="15" spans="1:61" hidden="1">
      <c r="A15" s="454" t="s">
        <v>1142</v>
      </c>
      <c r="B15" s="454"/>
      <c r="C15" s="454"/>
      <c r="D15" s="454"/>
      <c r="E15" s="454"/>
      <c r="F15" s="454"/>
      <c r="G15" s="454"/>
      <c r="H15" s="454"/>
      <c r="I15" s="454"/>
      <c r="J15" s="454"/>
      <c r="K15" s="454"/>
      <c r="L15" s="454"/>
      <c r="M15" s="455"/>
      <c r="N15" s="455"/>
      <c r="O15" s="455"/>
      <c r="P15" s="455"/>
      <c r="Q15" s="455"/>
      <c r="R15" s="455"/>
      <c r="S15" s="455"/>
      <c r="T15" s="455"/>
      <c r="U15" s="455"/>
      <c r="V15" s="455"/>
      <c r="W15" s="455"/>
      <c r="X15" s="455"/>
      <c r="Y15" s="455"/>
      <c r="Z15" s="455"/>
      <c r="AA15" s="455"/>
      <c r="AB15" s="455"/>
      <c r="AC15" s="455"/>
      <c r="AD15" s="455"/>
      <c r="AE15" s="455"/>
      <c r="AF15" s="455"/>
      <c r="AG15" s="457"/>
      <c r="AH15" s="455"/>
      <c r="AI15" s="455"/>
      <c r="AJ15" s="452"/>
      <c r="AK15" s="455"/>
      <c r="AL15" s="455"/>
      <c r="AM15" s="452"/>
      <c r="AN15" s="457"/>
      <c r="AO15" s="455"/>
      <c r="AP15" s="455"/>
      <c r="AQ15" s="452"/>
      <c r="AR15" s="455"/>
      <c r="AS15" s="455"/>
      <c r="AT15" s="452"/>
      <c r="AU15" s="455"/>
      <c r="AV15" s="455"/>
      <c r="AW15" s="455"/>
      <c r="AX15" s="455"/>
      <c r="AY15" s="455"/>
      <c r="AZ15" s="455"/>
      <c r="BA15" s="455"/>
      <c r="BB15" s="455"/>
      <c r="BC15" s="455"/>
      <c r="BD15" s="455"/>
      <c r="BE15" s="455"/>
      <c r="BF15" s="455"/>
      <c r="BG15" s="455"/>
      <c r="BH15" s="455"/>
      <c r="BI15" s="455"/>
    </row>
    <row r="16" spans="1:61" hidden="1">
      <c r="A16" s="454" t="s">
        <v>1143</v>
      </c>
      <c r="B16" s="454"/>
      <c r="C16" s="454"/>
      <c r="D16" s="454"/>
      <c r="E16" s="454"/>
      <c r="F16" s="454"/>
      <c r="G16" s="454"/>
      <c r="H16" s="454"/>
      <c r="I16" s="454"/>
      <c r="J16" s="454"/>
      <c r="K16" s="454"/>
      <c r="L16" s="454"/>
      <c r="M16" s="455"/>
      <c r="N16" s="455"/>
      <c r="O16" s="455"/>
      <c r="P16" s="455"/>
      <c r="Q16" s="455"/>
      <c r="R16" s="455"/>
      <c r="S16" s="455"/>
      <c r="T16" s="455"/>
      <c r="U16" s="455"/>
      <c r="V16" s="455"/>
      <c r="W16" s="455"/>
      <c r="X16" s="455"/>
      <c r="Y16" s="455"/>
      <c r="Z16" s="455"/>
      <c r="AA16" s="455"/>
      <c r="AB16" s="455"/>
      <c r="AC16" s="455"/>
      <c r="AD16" s="455"/>
      <c r="AE16" s="455"/>
      <c r="AF16" s="455"/>
      <c r="AG16" s="457"/>
      <c r="AH16" s="455"/>
      <c r="AI16" s="455"/>
      <c r="AJ16" s="452"/>
      <c r="AK16" s="455"/>
      <c r="AL16" s="455"/>
      <c r="AM16" s="452"/>
      <c r="AN16" s="457"/>
      <c r="AO16" s="455"/>
      <c r="AP16" s="455"/>
      <c r="AQ16" s="452"/>
      <c r="AR16" s="455"/>
      <c r="AS16" s="455"/>
      <c r="AT16" s="452"/>
      <c r="AU16" s="455"/>
      <c r="AV16" s="455"/>
      <c r="AW16" s="455"/>
      <c r="AX16" s="455"/>
      <c r="AY16" s="455"/>
      <c r="AZ16" s="455"/>
      <c r="BA16" s="455"/>
      <c r="BB16" s="455"/>
      <c r="BC16" s="455"/>
      <c r="BD16" s="455"/>
      <c r="BE16" s="455"/>
      <c r="BF16" s="455"/>
      <c r="BG16" s="455"/>
      <c r="BH16" s="455"/>
      <c r="BI16" s="455"/>
    </row>
    <row r="17" spans="1:61" ht="22.5" hidden="1" customHeight="1">
      <c r="A17" s="454" t="s">
        <v>1880</v>
      </c>
      <c r="B17" s="454"/>
      <c r="C17" s="454"/>
      <c r="D17" s="454"/>
      <c r="E17" s="454"/>
      <c r="F17" s="454"/>
      <c r="G17" s="454"/>
      <c r="H17" s="454"/>
      <c r="I17" s="454"/>
      <c r="J17" s="454"/>
      <c r="K17" s="454"/>
      <c r="L17" s="454"/>
      <c r="M17" s="455"/>
      <c r="N17" s="455"/>
      <c r="O17" s="455"/>
      <c r="P17" s="455"/>
      <c r="Q17" s="455"/>
      <c r="R17" s="455"/>
      <c r="S17" s="455"/>
      <c r="T17" s="455"/>
      <c r="U17" s="455"/>
      <c r="V17" s="455"/>
      <c r="W17" s="455"/>
      <c r="X17" s="455"/>
      <c r="Y17" s="455"/>
      <c r="Z17" s="455"/>
      <c r="AA17" s="455"/>
      <c r="AB17" s="455"/>
      <c r="AC17" s="455"/>
      <c r="AD17" s="455"/>
      <c r="AE17" s="455"/>
      <c r="AF17" s="455"/>
      <c r="AG17" s="457"/>
      <c r="AH17" s="455"/>
      <c r="AI17" s="455"/>
      <c r="AJ17" s="452"/>
      <c r="AK17" s="455"/>
      <c r="AL17" s="455"/>
      <c r="AM17" s="452"/>
      <c r="AN17" s="457"/>
      <c r="AO17" s="455"/>
      <c r="AP17" s="455"/>
      <c r="AQ17" s="452"/>
      <c r="AR17" s="455"/>
      <c r="AS17" s="455"/>
      <c r="AT17" s="452"/>
      <c r="AU17" s="455"/>
      <c r="AV17" s="455"/>
      <c r="AW17" s="455"/>
      <c r="AX17" s="455"/>
      <c r="AY17" s="455"/>
      <c r="AZ17" s="455"/>
      <c r="BA17" s="455"/>
      <c r="BB17" s="455"/>
      <c r="BC17" s="455"/>
      <c r="BD17" s="455"/>
      <c r="BE17" s="455"/>
      <c r="BF17" s="455"/>
      <c r="BG17" s="455"/>
      <c r="BH17" s="455"/>
      <c r="BI17" s="455"/>
    </row>
    <row r="18" spans="1:61" hidden="1">
      <c r="A18" s="458" t="s">
        <v>4028</v>
      </c>
      <c r="B18" s="459">
        <f t="shared" ref="B18:BF18" si="0">SUM(B10:B17)</f>
        <v>0</v>
      </c>
      <c r="C18" s="459">
        <f t="shared" si="0"/>
        <v>0</v>
      </c>
      <c r="D18" s="459">
        <f>SUM(D10:D17)</f>
        <v>0</v>
      </c>
      <c r="E18" s="459">
        <f>SUM(E10:E17)</f>
        <v>0</v>
      </c>
      <c r="F18" s="459">
        <f t="shared" si="0"/>
        <v>0</v>
      </c>
      <c r="G18" s="459">
        <f t="shared" si="0"/>
        <v>0</v>
      </c>
      <c r="H18" s="459">
        <f t="shared" si="0"/>
        <v>0</v>
      </c>
      <c r="I18" s="459">
        <f>SUM(I10:I17)</f>
        <v>0</v>
      </c>
      <c r="J18" s="459">
        <f>SUM(J10:J17)</f>
        <v>0</v>
      </c>
      <c r="K18" s="459">
        <f t="shared" si="0"/>
        <v>0</v>
      </c>
      <c r="L18" s="459">
        <f t="shared" si="0"/>
        <v>0</v>
      </c>
      <c r="M18" s="459">
        <f t="shared" si="0"/>
        <v>0</v>
      </c>
      <c r="N18" s="459">
        <f t="shared" si="0"/>
        <v>0</v>
      </c>
      <c r="O18" s="459">
        <f>SUM(O10:O17)</f>
        <v>0</v>
      </c>
      <c r="P18" s="459">
        <f>SUM(P10:P17)</f>
        <v>0</v>
      </c>
      <c r="Q18" s="459">
        <f>SUM(Q10:Q17)</f>
        <v>0</v>
      </c>
      <c r="R18" s="459">
        <f>SUM(R10:R17)</f>
        <v>0</v>
      </c>
      <c r="S18" s="459">
        <f t="shared" si="0"/>
        <v>0</v>
      </c>
      <c r="T18" s="459">
        <f t="shared" si="0"/>
        <v>0</v>
      </c>
      <c r="U18" s="459">
        <f>SUM(U10:U17)</f>
        <v>0</v>
      </c>
      <c r="V18" s="459">
        <f t="shared" si="0"/>
        <v>0</v>
      </c>
      <c r="W18" s="459">
        <f t="shared" si="0"/>
        <v>0</v>
      </c>
      <c r="X18" s="459">
        <f>SUM(X10:X17)</f>
        <v>0</v>
      </c>
      <c r="Y18" s="459">
        <f>SUM(Y10:Y17)</f>
        <v>0</v>
      </c>
      <c r="Z18" s="459">
        <f>SUM(Z10:Z17)</f>
        <v>0</v>
      </c>
      <c r="AA18" s="459">
        <f>SUM(AA10:AA17)</f>
        <v>0</v>
      </c>
      <c r="AB18" s="459">
        <f t="shared" si="0"/>
        <v>0</v>
      </c>
      <c r="AC18" s="459">
        <f>SUM(AC10:AC17)</f>
        <v>0</v>
      </c>
      <c r="AD18" s="459">
        <f t="shared" si="0"/>
        <v>0</v>
      </c>
      <c r="AE18" s="459">
        <f>SUM(AE10:AE17)</f>
        <v>0</v>
      </c>
      <c r="AF18" s="459">
        <f t="shared" si="0"/>
        <v>0</v>
      </c>
      <c r="AG18" s="459">
        <f t="shared" si="0"/>
        <v>0</v>
      </c>
      <c r="AH18" s="459">
        <f t="shared" si="0"/>
        <v>0</v>
      </c>
      <c r="AI18" s="459">
        <f t="shared" si="0"/>
        <v>0</v>
      </c>
      <c r="AJ18" s="460">
        <f t="shared" si="0"/>
        <v>0</v>
      </c>
      <c r="AK18" s="459">
        <f t="shared" si="0"/>
        <v>0</v>
      </c>
      <c r="AL18" s="459">
        <f t="shared" si="0"/>
        <v>0</v>
      </c>
      <c r="AM18" s="460">
        <f t="shared" si="0"/>
        <v>0</v>
      </c>
      <c r="AN18" s="459">
        <f t="shared" ref="AN18:AT18" si="1">SUM(AN10:AN17)</f>
        <v>0</v>
      </c>
      <c r="AO18" s="459">
        <f t="shared" si="1"/>
        <v>0</v>
      </c>
      <c r="AP18" s="459">
        <f t="shared" si="1"/>
        <v>0</v>
      </c>
      <c r="AQ18" s="460">
        <f t="shared" si="1"/>
        <v>0</v>
      </c>
      <c r="AR18" s="459">
        <f t="shared" si="1"/>
        <v>0</v>
      </c>
      <c r="AS18" s="459">
        <f t="shared" si="1"/>
        <v>0</v>
      </c>
      <c r="AT18" s="460">
        <f t="shared" si="1"/>
        <v>0</v>
      </c>
      <c r="AU18" s="459">
        <f t="shared" si="0"/>
        <v>0</v>
      </c>
      <c r="AV18" s="459">
        <f t="shared" si="0"/>
        <v>0</v>
      </c>
      <c r="AW18" s="459">
        <f t="shared" si="0"/>
        <v>0</v>
      </c>
      <c r="AX18" s="459">
        <f t="shared" si="0"/>
        <v>0</v>
      </c>
      <c r="AY18" s="459">
        <f t="shared" si="0"/>
        <v>0</v>
      </c>
      <c r="AZ18" s="459">
        <f t="shared" si="0"/>
        <v>0</v>
      </c>
      <c r="BA18" s="459">
        <f t="shared" si="0"/>
        <v>0</v>
      </c>
      <c r="BB18" s="459">
        <f t="shared" si="0"/>
        <v>0</v>
      </c>
      <c r="BC18" s="459">
        <f>SUM(BC10:BC17)</f>
        <v>0</v>
      </c>
      <c r="BD18" s="459">
        <f>SUM(BD10:BD17)</f>
        <v>0</v>
      </c>
      <c r="BE18" s="459">
        <f>SUM(BE10:BE17)</f>
        <v>0</v>
      </c>
      <c r="BF18" s="459">
        <f t="shared" si="0"/>
        <v>0</v>
      </c>
      <c r="BG18" s="459"/>
      <c r="BH18" s="459"/>
      <c r="BI18" s="459"/>
    </row>
    <row r="19" spans="1:61" hidden="1">
      <c r="A19" s="443" t="s">
        <v>4029</v>
      </c>
      <c r="B19" s="444"/>
      <c r="C19" s="444"/>
      <c r="D19" s="444"/>
      <c r="E19" s="444"/>
      <c r="F19" s="444"/>
      <c r="G19" s="444"/>
      <c r="H19" s="444"/>
      <c r="I19" s="444"/>
      <c r="J19" s="444"/>
      <c r="K19" s="444"/>
      <c r="L19" s="444"/>
      <c r="M19" s="445"/>
      <c r="N19" s="445"/>
      <c r="O19" s="445"/>
      <c r="P19" s="445"/>
      <c r="Q19" s="445"/>
      <c r="R19" s="445"/>
      <c r="S19" s="445"/>
      <c r="T19" s="445"/>
      <c r="U19" s="445"/>
      <c r="V19" s="445"/>
      <c r="W19" s="445"/>
      <c r="X19" s="445"/>
      <c r="Y19" s="445"/>
      <c r="Z19" s="445"/>
      <c r="AA19" s="445"/>
      <c r="AB19" s="445"/>
      <c r="AC19" s="445"/>
      <c r="AD19" s="445"/>
      <c r="AE19" s="445"/>
      <c r="AF19" s="445"/>
      <c r="AG19" s="445"/>
      <c r="AH19" s="445"/>
      <c r="AI19" s="445"/>
      <c r="AJ19" s="445"/>
      <c r="AK19" s="445"/>
      <c r="AL19" s="445"/>
      <c r="AM19" s="446"/>
      <c r="AN19" s="445"/>
      <c r="AO19" s="445"/>
      <c r="AP19" s="445"/>
      <c r="AQ19" s="445"/>
      <c r="AR19" s="445"/>
      <c r="AS19" s="445"/>
      <c r="AT19" s="446"/>
      <c r="AU19" s="445"/>
      <c r="AV19" s="445"/>
      <c r="AW19" s="445"/>
      <c r="AX19" s="445"/>
      <c r="AY19" s="445"/>
      <c r="AZ19" s="445"/>
      <c r="BA19" s="445"/>
      <c r="BB19" s="445"/>
      <c r="BC19" s="445"/>
      <c r="BD19" s="445"/>
      <c r="BE19" s="445"/>
      <c r="BF19" s="445"/>
      <c r="BG19" s="445"/>
      <c r="BH19" s="445"/>
      <c r="BI19" s="448"/>
    </row>
    <row r="20" spans="1:61" hidden="1">
      <c r="A20" s="449" t="s">
        <v>4030</v>
      </c>
      <c r="B20" s="449"/>
      <c r="C20" s="449"/>
      <c r="D20" s="449"/>
      <c r="E20" s="449"/>
      <c r="F20" s="449"/>
      <c r="G20" s="449"/>
      <c r="H20" s="449"/>
      <c r="I20" s="449"/>
      <c r="J20" s="449"/>
      <c r="K20" s="449"/>
      <c r="L20" s="449"/>
      <c r="M20" s="450"/>
      <c r="N20" s="450"/>
      <c r="O20" s="450"/>
      <c r="P20" s="450"/>
      <c r="Q20" s="450"/>
      <c r="R20" s="450"/>
      <c r="S20" s="450"/>
      <c r="T20" s="450"/>
      <c r="U20" s="450"/>
      <c r="V20" s="450"/>
      <c r="W20" s="450"/>
      <c r="X20" s="450"/>
      <c r="Y20" s="450"/>
      <c r="Z20" s="450"/>
      <c r="AA20" s="450"/>
      <c r="AB20" s="450"/>
      <c r="AC20" s="450"/>
      <c r="AD20" s="450"/>
      <c r="AE20" s="450"/>
      <c r="AF20" s="450"/>
      <c r="AG20" s="451"/>
      <c r="AH20" s="450"/>
      <c r="AI20" s="450"/>
      <c r="AJ20" s="452"/>
      <c r="AK20" s="450"/>
      <c r="AL20" s="450"/>
      <c r="AM20" s="452"/>
      <c r="AN20" s="451"/>
      <c r="AO20" s="450"/>
      <c r="AP20" s="450"/>
      <c r="AQ20" s="452"/>
      <c r="AR20" s="450"/>
      <c r="AS20" s="450"/>
      <c r="AT20" s="452"/>
      <c r="AU20" s="450"/>
      <c r="AV20" s="450"/>
      <c r="AW20" s="450"/>
      <c r="AX20" s="450"/>
      <c r="AY20" s="450"/>
      <c r="AZ20" s="450"/>
      <c r="BA20" s="450"/>
      <c r="BB20" s="450"/>
      <c r="BC20" s="450"/>
      <c r="BD20" s="450"/>
      <c r="BE20" s="450"/>
      <c r="BF20" s="450"/>
      <c r="BG20" s="450"/>
      <c r="BH20" s="450"/>
      <c r="BI20" s="450"/>
    </row>
    <row r="21" spans="1:61" hidden="1">
      <c r="A21" s="449" t="s">
        <v>466</v>
      </c>
      <c r="B21" s="449"/>
      <c r="C21" s="449"/>
      <c r="D21" s="449"/>
      <c r="E21" s="449"/>
      <c r="F21" s="449"/>
      <c r="G21" s="449"/>
      <c r="H21" s="449"/>
      <c r="I21" s="449"/>
      <c r="J21" s="449"/>
      <c r="K21" s="449"/>
      <c r="L21" s="449"/>
      <c r="M21" s="450"/>
      <c r="N21" s="450"/>
      <c r="O21" s="450"/>
      <c r="P21" s="450"/>
      <c r="Q21" s="450"/>
      <c r="R21" s="450"/>
      <c r="S21" s="450"/>
      <c r="T21" s="450"/>
      <c r="U21" s="450"/>
      <c r="V21" s="450"/>
      <c r="W21" s="450"/>
      <c r="X21" s="450"/>
      <c r="Y21" s="450"/>
      <c r="Z21" s="450"/>
      <c r="AA21" s="450"/>
      <c r="AB21" s="450"/>
      <c r="AC21" s="450"/>
      <c r="AD21" s="450"/>
      <c r="AE21" s="450"/>
      <c r="AF21" s="450"/>
      <c r="AG21" s="451"/>
      <c r="AH21" s="450"/>
      <c r="AI21" s="450"/>
      <c r="AJ21" s="452"/>
      <c r="AK21" s="450"/>
      <c r="AL21" s="450"/>
      <c r="AM21" s="452"/>
      <c r="AN21" s="451"/>
      <c r="AO21" s="450"/>
      <c r="AP21" s="450"/>
      <c r="AQ21" s="452"/>
      <c r="AR21" s="450"/>
      <c r="AS21" s="450"/>
      <c r="AT21" s="452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/>
      <c r="BF21" s="450"/>
      <c r="BG21" s="453"/>
      <c r="BH21" s="453"/>
      <c r="BI21" s="453"/>
    </row>
    <row r="22" spans="1:61" hidden="1">
      <c r="A22" s="449" t="s">
        <v>1540</v>
      </c>
      <c r="B22" s="454"/>
      <c r="C22" s="454"/>
      <c r="D22" s="454"/>
      <c r="E22" s="454"/>
      <c r="F22" s="454"/>
      <c r="G22" s="454"/>
      <c r="H22" s="454"/>
      <c r="I22" s="454"/>
      <c r="J22" s="454"/>
      <c r="K22" s="454"/>
      <c r="L22" s="454"/>
      <c r="M22" s="455"/>
      <c r="N22" s="455"/>
      <c r="O22" s="455"/>
      <c r="P22" s="455"/>
      <c r="Q22" s="455"/>
      <c r="R22" s="455"/>
      <c r="S22" s="455"/>
      <c r="T22" s="455"/>
      <c r="U22" s="455"/>
      <c r="V22" s="455"/>
      <c r="W22" s="455"/>
      <c r="X22" s="455"/>
      <c r="Y22" s="455"/>
      <c r="Z22" s="455"/>
      <c r="AA22" s="455"/>
      <c r="AB22" s="455"/>
      <c r="AC22" s="455"/>
      <c r="AD22" s="455"/>
      <c r="AE22" s="455"/>
      <c r="AF22" s="455"/>
      <c r="AG22" s="451"/>
      <c r="AH22" s="455"/>
      <c r="AI22" s="455"/>
      <c r="AJ22" s="452"/>
      <c r="AK22" s="455"/>
      <c r="AL22" s="455"/>
      <c r="AM22" s="452"/>
      <c r="AN22" s="451"/>
      <c r="AO22" s="455"/>
      <c r="AP22" s="455"/>
      <c r="AQ22" s="452"/>
      <c r="AR22" s="455"/>
      <c r="AS22" s="455"/>
      <c r="AT22" s="452"/>
      <c r="AU22" s="455"/>
      <c r="AV22" s="455"/>
      <c r="AW22" s="455"/>
      <c r="AX22" s="455"/>
      <c r="AY22" s="455"/>
      <c r="AZ22" s="455"/>
      <c r="BA22" s="455"/>
      <c r="BB22" s="455"/>
      <c r="BC22" s="455"/>
      <c r="BD22" s="455"/>
      <c r="BE22" s="455"/>
      <c r="BF22" s="455"/>
      <c r="BG22" s="456"/>
      <c r="BH22" s="456"/>
      <c r="BI22" s="456"/>
    </row>
    <row r="23" spans="1:61" hidden="1">
      <c r="A23" s="449" t="s">
        <v>1140</v>
      </c>
      <c r="B23" s="454"/>
      <c r="C23" s="454"/>
      <c r="D23" s="454"/>
      <c r="E23" s="454"/>
      <c r="F23" s="454"/>
      <c r="G23" s="454"/>
      <c r="H23" s="454"/>
      <c r="I23" s="454"/>
      <c r="J23" s="454"/>
      <c r="K23" s="454"/>
      <c r="L23" s="454"/>
      <c r="M23" s="455"/>
      <c r="N23" s="455"/>
      <c r="O23" s="455"/>
      <c r="P23" s="455"/>
      <c r="Q23" s="455"/>
      <c r="R23" s="455"/>
      <c r="S23" s="455"/>
      <c r="T23" s="455"/>
      <c r="U23" s="455"/>
      <c r="V23" s="455"/>
      <c r="W23" s="455"/>
      <c r="X23" s="455"/>
      <c r="Y23" s="455"/>
      <c r="Z23" s="455"/>
      <c r="AA23" s="455"/>
      <c r="AB23" s="455"/>
      <c r="AC23" s="455"/>
      <c r="AD23" s="455"/>
      <c r="AE23" s="455"/>
      <c r="AF23" s="455"/>
      <c r="AG23" s="451"/>
      <c r="AH23" s="455"/>
      <c r="AI23" s="455"/>
      <c r="AJ23" s="452"/>
      <c r="AK23" s="455"/>
      <c r="AL23" s="455"/>
      <c r="AM23" s="452"/>
      <c r="AN23" s="451"/>
      <c r="AO23" s="455"/>
      <c r="AP23" s="455"/>
      <c r="AQ23" s="452"/>
      <c r="AR23" s="455"/>
      <c r="AS23" s="455"/>
      <c r="AT23" s="452"/>
      <c r="AU23" s="455"/>
      <c r="AV23" s="455"/>
      <c r="AW23" s="455"/>
      <c r="AX23" s="455"/>
      <c r="AY23" s="455"/>
      <c r="AZ23" s="455"/>
      <c r="BA23" s="455"/>
      <c r="BB23" s="455"/>
      <c r="BC23" s="455"/>
      <c r="BD23" s="455"/>
      <c r="BE23" s="455"/>
      <c r="BF23" s="455"/>
      <c r="BG23" s="456"/>
      <c r="BH23" s="456"/>
      <c r="BI23" s="456"/>
    </row>
    <row r="24" spans="1:61" hidden="1">
      <c r="A24" s="454" t="s">
        <v>1141</v>
      </c>
      <c r="B24" s="454"/>
      <c r="C24" s="454"/>
      <c r="D24" s="454"/>
      <c r="E24" s="454"/>
      <c r="F24" s="454"/>
      <c r="G24" s="454"/>
      <c r="H24" s="454"/>
      <c r="I24" s="454"/>
      <c r="J24" s="454"/>
      <c r="K24" s="454"/>
      <c r="L24" s="454"/>
      <c r="M24" s="455"/>
      <c r="N24" s="455"/>
      <c r="O24" s="455"/>
      <c r="P24" s="455"/>
      <c r="Q24" s="455"/>
      <c r="R24" s="455"/>
      <c r="S24" s="455"/>
      <c r="T24" s="455"/>
      <c r="U24" s="455"/>
      <c r="V24" s="455"/>
      <c r="W24" s="455"/>
      <c r="X24" s="455"/>
      <c r="Y24" s="455"/>
      <c r="Z24" s="455"/>
      <c r="AA24" s="455"/>
      <c r="AB24" s="455"/>
      <c r="AC24" s="455"/>
      <c r="AD24" s="455"/>
      <c r="AE24" s="455"/>
      <c r="AF24" s="455"/>
      <c r="AG24" s="457"/>
      <c r="AH24" s="455"/>
      <c r="AI24" s="455"/>
      <c r="AJ24" s="452"/>
      <c r="AK24" s="455"/>
      <c r="AL24" s="455"/>
      <c r="AM24" s="452"/>
      <c r="AN24" s="457"/>
      <c r="AO24" s="455"/>
      <c r="AP24" s="455"/>
      <c r="AQ24" s="452"/>
      <c r="AR24" s="455"/>
      <c r="AS24" s="455"/>
      <c r="AT24" s="452"/>
      <c r="AU24" s="455"/>
      <c r="AV24" s="455"/>
      <c r="AW24" s="455"/>
      <c r="AX24" s="455"/>
      <c r="AY24" s="455"/>
      <c r="AZ24" s="455"/>
      <c r="BA24" s="455"/>
      <c r="BB24" s="455"/>
      <c r="BC24" s="455"/>
      <c r="BD24" s="455"/>
      <c r="BE24" s="455"/>
      <c r="BF24" s="455"/>
      <c r="BG24" s="455"/>
      <c r="BH24" s="455"/>
      <c r="BI24" s="455"/>
    </row>
    <row r="25" spans="1:61" hidden="1">
      <c r="A25" s="454" t="s">
        <v>1142</v>
      </c>
      <c r="B25" s="454"/>
      <c r="C25" s="454"/>
      <c r="D25" s="454"/>
      <c r="E25" s="454"/>
      <c r="F25" s="454"/>
      <c r="G25" s="454"/>
      <c r="H25" s="454"/>
      <c r="I25" s="454"/>
      <c r="J25" s="454"/>
      <c r="K25" s="454"/>
      <c r="L25" s="454"/>
      <c r="M25" s="455"/>
      <c r="N25" s="455"/>
      <c r="O25" s="455"/>
      <c r="P25" s="455"/>
      <c r="Q25" s="455"/>
      <c r="R25" s="455"/>
      <c r="S25" s="455"/>
      <c r="T25" s="455"/>
      <c r="U25" s="455"/>
      <c r="V25" s="455"/>
      <c r="W25" s="455"/>
      <c r="X25" s="455"/>
      <c r="Y25" s="455"/>
      <c r="Z25" s="455"/>
      <c r="AA25" s="455"/>
      <c r="AB25" s="455"/>
      <c r="AC25" s="455"/>
      <c r="AD25" s="455"/>
      <c r="AE25" s="455"/>
      <c r="AF25" s="455"/>
      <c r="AG25" s="457"/>
      <c r="AH25" s="455"/>
      <c r="AI25" s="455"/>
      <c r="AJ25" s="452"/>
      <c r="AK25" s="455"/>
      <c r="AL25" s="455"/>
      <c r="AM25" s="452"/>
      <c r="AN25" s="457"/>
      <c r="AO25" s="455"/>
      <c r="AP25" s="455"/>
      <c r="AQ25" s="452"/>
      <c r="AR25" s="455"/>
      <c r="AS25" s="455"/>
      <c r="AT25" s="452"/>
      <c r="AU25" s="455"/>
      <c r="AV25" s="455"/>
      <c r="AW25" s="455"/>
      <c r="AX25" s="455"/>
      <c r="AY25" s="455"/>
      <c r="AZ25" s="455"/>
      <c r="BA25" s="455"/>
      <c r="BB25" s="455"/>
      <c r="BC25" s="455"/>
      <c r="BD25" s="455"/>
      <c r="BE25" s="455"/>
      <c r="BF25" s="455"/>
      <c r="BG25" s="455"/>
      <c r="BH25" s="455"/>
      <c r="BI25" s="455"/>
    </row>
    <row r="26" spans="1:61" hidden="1">
      <c r="A26" s="454" t="s">
        <v>1143</v>
      </c>
      <c r="B26" s="454"/>
      <c r="C26" s="454"/>
      <c r="D26" s="454"/>
      <c r="E26" s="454"/>
      <c r="F26" s="454"/>
      <c r="G26" s="454"/>
      <c r="H26" s="454"/>
      <c r="I26" s="454"/>
      <c r="J26" s="454"/>
      <c r="K26" s="454"/>
      <c r="L26" s="454"/>
      <c r="M26" s="455"/>
      <c r="N26" s="455"/>
      <c r="O26" s="455"/>
      <c r="P26" s="455"/>
      <c r="Q26" s="455"/>
      <c r="R26" s="455"/>
      <c r="S26" s="455"/>
      <c r="T26" s="455"/>
      <c r="U26" s="455"/>
      <c r="V26" s="455"/>
      <c r="W26" s="455"/>
      <c r="X26" s="455"/>
      <c r="Y26" s="455"/>
      <c r="Z26" s="455"/>
      <c r="AA26" s="455"/>
      <c r="AB26" s="455"/>
      <c r="AC26" s="455"/>
      <c r="AD26" s="455"/>
      <c r="AE26" s="455"/>
      <c r="AF26" s="455"/>
      <c r="AG26" s="457"/>
      <c r="AH26" s="455"/>
      <c r="AI26" s="455"/>
      <c r="AJ26" s="452"/>
      <c r="AK26" s="455"/>
      <c r="AL26" s="455"/>
      <c r="AM26" s="452"/>
      <c r="AN26" s="457"/>
      <c r="AO26" s="455"/>
      <c r="AP26" s="455"/>
      <c r="AQ26" s="452"/>
      <c r="AR26" s="455"/>
      <c r="AS26" s="455"/>
      <c r="AT26" s="452"/>
      <c r="AU26" s="455"/>
      <c r="AV26" s="455"/>
      <c r="AW26" s="455"/>
      <c r="AX26" s="455"/>
      <c r="AY26" s="455"/>
      <c r="AZ26" s="455"/>
      <c r="BA26" s="455"/>
      <c r="BB26" s="455"/>
      <c r="BC26" s="457"/>
      <c r="BD26" s="457"/>
      <c r="BE26" s="457"/>
      <c r="BF26" s="457"/>
      <c r="BG26" s="457"/>
      <c r="BH26" s="457"/>
      <c r="BI26" s="455"/>
    </row>
    <row r="27" spans="1:61" hidden="1">
      <c r="A27" s="454" t="s">
        <v>1765</v>
      </c>
      <c r="B27" s="454"/>
      <c r="C27" s="454"/>
      <c r="D27" s="454"/>
      <c r="E27" s="454"/>
      <c r="F27" s="454"/>
      <c r="G27" s="454"/>
      <c r="H27" s="454"/>
      <c r="I27" s="454"/>
      <c r="J27" s="454"/>
      <c r="K27" s="454"/>
      <c r="L27" s="454"/>
      <c r="M27" s="455"/>
      <c r="N27" s="455"/>
      <c r="O27" s="455"/>
      <c r="P27" s="455"/>
      <c r="Q27" s="455"/>
      <c r="R27" s="455"/>
      <c r="S27" s="455"/>
      <c r="T27" s="455"/>
      <c r="U27" s="455"/>
      <c r="V27" s="455"/>
      <c r="W27" s="455"/>
      <c r="X27" s="455"/>
      <c r="Y27" s="455"/>
      <c r="Z27" s="455"/>
      <c r="AA27" s="455"/>
      <c r="AB27" s="455"/>
      <c r="AC27" s="455"/>
      <c r="AD27" s="455"/>
      <c r="AE27" s="455"/>
      <c r="AF27" s="455"/>
      <c r="AG27" s="457"/>
      <c r="AH27" s="455"/>
      <c r="AI27" s="455"/>
      <c r="AJ27" s="452"/>
      <c r="AK27" s="455"/>
      <c r="AL27" s="455"/>
      <c r="AM27" s="452"/>
      <c r="AN27" s="457"/>
      <c r="AO27" s="455"/>
      <c r="AP27" s="455"/>
      <c r="AQ27" s="452"/>
      <c r="AR27" s="455"/>
      <c r="AS27" s="455"/>
      <c r="AT27" s="452"/>
      <c r="AU27" s="455"/>
      <c r="AV27" s="455"/>
      <c r="AW27" s="455"/>
      <c r="AX27" s="455"/>
      <c r="AY27" s="455"/>
      <c r="AZ27" s="455"/>
      <c r="BA27" s="455"/>
      <c r="BB27" s="455"/>
      <c r="BC27" s="455"/>
      <c r="BD27" s="455"/>
      <c r="BE27" s="455"/>
      <c r="BF27" s="455"/>
      <c r="BG27" s="455"/>
      <c r="BH27" s="455"/>
      <c r="BI27" s="455"/>
    </row>
    <row r="28" spans="1:61" hidden="1">
      <c r="A28" s="458" t="s">
        <v>4031</v>
      </c>
      <c r="B28" s="459">
        <f t="shared" ref="B28:BH28" si="2">SUM(B20:B27)</f>
        <v>0</v>
      </c>
      <c r="C28" s="459">
        <f t="shared" si="2"/>
        <v>0</v>
      </c>
      <c r="D28" s="459">
        <f>SUM(D20:D27)</f>
        <v>0</v>
      </c>
      <c r="E28" s="459">
        <f>SUM(E20:E27)</f>
        <v>0</v>
      </c>
      <c r="F28" s="459">
        <f t="shared" si="2"/>
        <v>0</v>
      </c>
      <c r="G28" s="459">
        <f t="shared" si="2"/>
        <v>0</v>
      </c>
      <c r="H28" s="459">
        <f t="shared" si="2"/>
        <v>0</v>
      </c>
      <c r="I28" s="459">
        <f>SUM(I20:I27)</f>
        <v>0</v>
      </c>
      <c r="J28" s="459">
        <f>SUM(J20:J27)</f>
        <v>0</v>
      </c>
      <c r="K28" s="459">
        <f t="shared" si="2"/>
        <v>0</v>
      </c>
      <c r="L28" s="459">
        <f t="shared" si="2"/>
        <v>0</v>
      </c>
      <c r="M28" s="459">
        <f t="shared" si="2"/>
        <v>0</v>
      </c>
      <c r="N28" s="459">
        <f t="shared" si="2"/>
        <v>0</v>
      </c>
      <c r="O28" s="459">
        <f>SUM(O20:O27)</f>
        <v>0</v>
      </c>
      <c r="P28" s="459">
        <f>SUM(P20:P27)</f>
        <v>0</v>
      </c>
      <c r="Q28" s="459">
        <f>SUM(Q20:Q27)</f>
        <v>0</v>
      </c>
      <c r="R28" s="459">
        <f>SUM(R20:R27)</f>
        <v>0</v>
      </c>
      <c r="S28" s="459">
        <f t="shared" si="2"/>
        <v>0</v>
      </c>
      <c r="T28" s="459">
        <f t="shared" si="2"/>
        <v>0</v>
      </c>
      <c r="U28" s="459">
        <f>SUM(U20:U27)</f>
        <v>0</v>
      </c>
      <c r="V28" s="459">
        <f t="shared" si="2"/>
        <v>0</v>
      </c>
      <c r="W28" s="459">
        <f t="shared" si="2"/>
        <v>0</v>
      </c>
      <c r="X28" s="459">
        <f>SUM(X20:X27)</f>
        <v>0</v>
      </c>
      <c r="Y28" s="459">
        <f>SUM(Y20:Y27)</f>
        <v>0</v>
      </c>
      <c r="Z28" s="459">
        <f>SUM(Z20:Z27)</f>
        <v>0</v>
      </c>
      <c r="AA28" s="459">
        <f>SUM(AA20:AA27)</f>
        <v>0</v>
      </c>
      <c r="AB28" s="459">
        <f t="shared" si="2"/>
        <v>0</v>
      </c>
      <c r="AC28" s="459">
        <f>SUM(AC20:AC27)</f>
        <v>0</v>
      </c>
      <c r="AD28" s="459">
        <f t="shared" si="2"/>
        <v>0</v>
      </c>
      <c r="AE28" s="459">
        <f>SUM(AE20:AE27)</f>
        <v>0</v>
      </c>
      <c r="AF28" s="459">
        <f t="shared" si="2"/>
        <v>0</v>
      </c>
      <c r="AG28" s="460">
        <f t="shared" si="2"/>
        <v>0</v>
      </c>
      <c r="AH28" s="459">
        <f t="shared" si="2"/>
        <v>0</v>
      </c>
      <c r="AI28" s="459">
        <f t="shared" si="2"/>
        <v>0</v>
      </c>
      <c r="AJ28" s="460">
        <f>SUM(AJ20:AJ27)</f>
        <v>0</v>
      </c>
      <c r="AK28" s="459">
        <f t="shared" si="2"/>
        <v>0</v>
      </c>
      <c r="AL28" s="459">
        <f t="shared" si="2"/>
        <v>0</v>
      </c>
      <c r="AM28" s="460">
        <f t="shared" si="2"/>
        <v>0</v>
      </c>
      <c r="AN28" s="460">
        <f t="shared" ref="AN28:AT28" si="3">SUM(AN20:AN27)</f>
        <v>0</v>
      </c>
      <c r="AO28" s="459">
        <f t="shared" si="3"/>
        <v>0</v>
      </c>
      <c r="AP28" s="459">
        <f t="shared" si="3"/>
        <v>0</v>
      </c>
      <c r="AQ28" s="460">
        <f t="shared" si="3"/>
        <v>0</v>
      </c>
      <c r="AR28" s="459">
        <f t="shared" si="3"/>
        <v>0</v>
      </c>
      <c r="AS28" s="459">
        <f t="shared" si="3"/>
        <v>0</v>
      </c>
      <c r="AT28" s="460">
        <f t="shared" si="3"/>
        <v>0</v>
      </c>
      <c r="AU28" s="459">
        <f t="shared" si="2"/>
        <v>0</v>
      </c>
      <c r="AV28" s="459">
        <f t="shared" si="2"/>
        <v>0</v>
      </c>
      <c r="AW28" s="459">
        <f t="shared" si="2"/>
        <v>0</v>
      </c>
      <c r="AX28" s="459">
        <f t="shared" si="2"/>
        <v>0</v>
      </c>
      <c r="AY28" s="459">
        <f t="shared" si="2"/>
        <v>0</v>
      </c>
      <c r="AZ28" s="459">
        <f t="shared" si="2"/>
        <v>0</v>
      </c>
      <c r="BA28" s="459">
        <f t="shared" si="2"/>
        <v>0</v>
      </c>
      <c r="BB28" s="459">
        <f t="shared" si="2"/>
        <v>0</v>
      </c>
      <c r="BC28" s="459">
        <f>SUM(BC20:BC27)</f>
        <v>0</v>
      </c>
      <c r="BD28" s="459">
        <f>SUM(BD20:BD27)</f>
        <v>0</v>
      </c>
      <c r="BE28" s="459">
        <f>SUM(BE20:BE27)</f>
        <v>0</v>
      </c>
      <c r="BF28" s="459">
        <f t="shared" si="2"/>
        <v>0</v>
      </c>
      <c r="BG28" s="459">
        <f t="shared" si="2"/>
        <v>0</v>
      </c>
      <c r="BH28" s="459">
        <f t="shared" si="2"/>
        <v>0</v>
      </c>
      <c r="BI28" s="459"/>
    </row>
    <row r="29" spans="1:61" hidden="1">
      <c r="A29" s="443" t="s">
        <v>4032</v>
      </c>
      <c r="B29" s="444"/>
      <c r="C29" s="444"/>
      <c r="D29" s="444"/>
      <c r="E29" s="444"/>
      <c r="F29" s="444"/>
      <c r="G29" s="444"/>
      <c r="H29" s="444"/>
      <c r="I29" s="444"/>
      <c r="J29" s="444"/>
      <c r="K29" s="444"/>
      <c r="L29" s="444"/>
      <c r="M29" s="445"/>
      <c r="N29" s="445"/>
      <c r="O29" s="445"/>
      <c r="P29" s="445"/>
      <c r="Q29" s="445"/>
      <c r="R29" s="445"/>
      <c r="S29" s="445"/>
      <c r="T29" s="445"/>
      <c r="U29" s="445"/>
      <c r="V29" s="445"/>
      <c r="W29" s="445"/>
      <c r="X29" s="445"/>
      <c r="Y29" s="445"/>
      <c r="Z29" s="445"/>
      <c r="AA29" s="445"/>
      <c r="AB29" s="445"/>
      <c r="AC29" s="445"/>
      <c r="AD29" s="445"/>
      <c r="AE29" s="445"/>
      <c r="AF29" s="445"/>
      <c r="AG29" s="445"/>
      <c r="AH29" s="445"/>
      <c r="AI29" s="445"/>
      <c r="AJ29" s="445"/>
      <c r="AK29" s="445"/>
      <c r="AL29" s="445"/>
      <c r="AM29" s="446"/>
      <c r="AN29" s="445"/>
      <c r="AO29" s="445"/>
      <c r="AP29" s="445"/>
      <c r="AQ29" s="445"/>
      <c r="AR29" s="445"/>
      <c r="AS29" s="445"/>
      <c r="AT29" s="446"/>
      <c r="AU29" s="445"/>
      <c r="AV29" s="445"/>
      <c r="AW29" s="445"/>
      <c r="AX29" s="445"/>
      <c r="AY29" s="445"/>
      <c r="AZ29" s="445"/>
      <c r="BA29" s="445"/>
      <c r="BB29" s="445"/>
      <c r="BC29" s="445"/>
      <c r="BD29" s="445"/>
      <c r="BE29" s="445"/>
      <c r="BF29" s="445"/>
      <c r="BG29" s="445"/>
      <c r="BH29" s="445"/>
      <c r="BI29" s="448"/>
    </row>
    <row r="30" spans="1:61" hidden="1">
      <c r="A30" s="449"/>
      <c r="B30" s="449"/>
      <c r="C30" s="449"/>
      <c r="D30" s="449"/>
      <c r="E30" s="449"/>
      <c r="F30" s="449"/>
      <c r="G30" s="449"/>
      <c r="H30" s="449"/>
      <c r="I30" s="449"/>
      <c r="J30" s="449"/>
      <c r="K30" s="449"/>
      <c r="L30" s="449"/>
      <c r="M30" s="450"/>
      <c r="N30" s="450"/>
      <c r="O30" s="450"/>
      <c r="P30" s="450"/>
      <c r="Q30" s="450"/>
      <c r="R30" s="450"/>
      <c r="S30" s="450"/>
      <c r="T30" s="450"/>
      <c r="U30" s="450"/>
      <c r="V30" s="450"/>
      <c r="W30" s="450"/>
      <c r="X30" s="450"/>
      <c r="Y30" s="450"/>
      <c r="Z30" s="450"/>
      <c r="AA30" s="450"/>
      <c r="AB30" s="450"/>
      <c r="AC30" s="450"/>
      <c r="AD30" s="450"/>
      <c r="AE30" s="450"/>
      <c r="AF30" s="450"/>
      <c r="AG30" s="451"/>
      <c r="AH30" s="450"/>
      <c r="AI30" s="450"/>
      <c r="AJ30" s="452"/>
      <c r="AK30" s="450"/>
      <c r="AL30" s="450"/>
      <c r="AM30" s="452"/>
      <c r="AN30" s="451"/>
      <c r="AO30" s="450"/>
      <c r="AP30" s="450"/>
      <c r="AQ30" s="452"/>
      <c r="AR30" s="450"/>
      <c r="AS30" s="450"/>
      <c r="AT30" s="452"/>
      <c r="AU30" s="450"/>
      <c r="AV30" s="450"/>
      <c r="AW30" s="450"/>
      <c r="AX30" s="450"/>
      <c r="AY30" s="450"/>
      <c r="AZ30" s="450"/>
      <c r="BA30" s="450"/>
      <c r="BB30" s="450"/>
      <c r="BC30" s="450"/>
      <c r="BD30" s="450"/>
      <c r="BE30" s="450"/>
      <c r="BF30" s="450"/>
      <c r="BG30" s="450"/>
      <c r="BH30" s="450"/>
      <c r="BI30" s="450"/>
    </row>
    <row r="31" spans="1:61" hidden="1">
      <c r="A31" s="449"/>
      <c r="B31" s="449"/>
      <c r="C31" s="449"/>
      <c r="D31" s="449"/>
      <c r="E31" s="449"/>
      <c r="F31" s="449"/>
      <c r="G31" s="449"/>
      <c r="H31" s="449"/>
      <c r="I31" s="449"/>
      <c r="J31" s="449"/>
      <c r="K31" s="449"/>
      <c r="L31" s="449"/>
      <c r="M31" s="450"/>
      <c r="N31" s="450"/>
      <c r="O31" s="450"/>
      <c r="P31" s="450"/>
      <c r="Q31" s="450"/>
      <c r="R31" s="450"/>
      <c r="S31" s="450"/>
      <c r="T31" s="450"/>
      <c r="U31" s="450"/>
      <c r="V31" s="450"/>
      <c r="W31" s="450"/>
      <c r="X31" s="450"/>
      <c r="Y31" s="450"/>
      <c r="Z31" s="450"/>
      <c r="AA31" s="450"/>
      <c r="AB31" s="450"/>
      <c r="AC31" s="450"/>
      <c r="AD31" s="450"/>
      <c r="AE31" s="450"/>
      <c r="AF31" s="450"/>
      <c r="AG31" s="451"/>
      <c r="AH31" s="450"/>
      <c r="AI31" s="450"/>
      <c r="AJ31" s="452"/>
      <c r="AK31" s="450"/>
      <c r="AL31" s="450"/>
      <c r="AM31" s="452"/>
      <c r="AN31" s="451"/>
      <c r="AO31" s="450"/>
      <c r="AP31" s="450"/>
      <c r="AQ31" s="452"/>
      <c r="AR31" s="450"/>
      <c r="AS31" s="450"/>
      <c r="AT31" s="452"/>
      <c r="AU31" s="450"/>
      <c r="AV31" s="450"/>
      <c r="AW31" s="450"/>
      <c r="AX31" s="450"/>
      <c r="AY31" s="450"/>
      <c r="AZ31" s="450"/>
      <c r="BA31" s="450"/>
      <c r="BB31" s="450"/>
      <c r="BC31" s="450"/>
      <c r="BD31" s="450"/>
      <c r="BE31" s="450"/>
      <c r="BF31" s="450"/>
      <c r="BG31" s="453"/>
      <c r="BH31" s="453"/>
      <c r="BI31" s="453"/>
    </row>
    <row r="32" spans="1:61" hidden="1">
      <c r="A32" s="449"/>
      <c r="B32" s="454"/>
      <c r="C32" s="454"/>
      <c r="D32" s="454"/>
      <c r="E32" s="454"/>
      <c r="F32" s="454"/>
      <c r="G32" s="454"/>
      <c r="H32" s="454"/>
      <c r="I32" s="454"/>
      <c r="J32" s="454"/>
      <c r="K32" s="454"/>
      <c r="L32" s="454"/>
      <c r="M32" s="455"/>
      <c r="N32" s="455"/>
      <c r="O32" s="455"/>
      <c r="P32" s="455"/>
      <c r="Q32" s="455"/>
      <c r="R32" s="455"/>
      <c r="S32" s="455"/>
      <c r="T32" s="455"/>
      <c r="U32" s="455"/>
      <c r="V32" s="455"/>
      <c r="W32" s="455"/>
      <c r="X32" s="455"/>
      <c r="Y32" s="455"/>
      <c r="Z32" s="455"/>
      <c r="AA32" s="455"/>
      <c r="AB32" s="455"/>
      <c r="AC32" s="455"/>
      <c r="AD32" s="455"/>
      <c r="AE32" s="455"/>
      <c r="AF32" s="455"/>
      <c r="AG32" s="451"/>
      <c r="AH32" s="455"/>
      <c r="AI32" s="455"/>
      <c r="AJ32" s="452"/>
      <c r="AK32" s="455"/>
      <c r="AL32" s="455"/>
      <c r="AM32" s="452"/>
      <c r="AN32" s="451"/>
      <c r="AO32" s="455"/>
      <c r="AP32" s="455"/>
      <c r="AQ32" s="452"/>
      <c r="AR32" s="455"/>
      <c r="AS32" s="455"/>
      <c r="AT32" s="452"/>
      <c r="AU32" s="455"/>
      <c r="AV32" s="455"/>
      <c r="AW32" s="455"/>
      <c r="AX32" s="455"/>
      <c r="AY32" s="455"/>
      <c r="AZ32" s="455"/>
      <c r="BA32" s="455"/>
      <c r="BB32" s="455"/>
      <c r="BC32" s="455"/>
      <c r="BD32" s="455"/>
      <c r="BE32" s="455"/>
      <c r="BF32" s="455"/>
      <c r="BG32" s="456"/>
      <c r="BH32" s="456"/>
      <c r="BI32" s="456"/>
    </row>
    <row r="33" spans="1:61" hidden="1">
      <c r="A33" s="449"/>
      <c r="B33" s="454"/>
      <c r="C33" s="454"/>
      <c r="D33" s="454"/>
      <c r="E33" s="454"/>
      <c r="F33" s="454"/>
      <c r="G33" s="454"/>
      <c r="H33" s="454"/>
      <c r="I33" s="454"/>
      <c r="J33" s="454"/>
      <c r="K33" s="454"/>
      <c r="L33" s="454"/>
      <c r="M33" s="455"/>
      <c r="N33" s="455"/>
      <c r="O33" s="455"/>
      <c r="P33" s="455"/>
      <c r="Q33" s="455"/>
      <c r="R33" s="455"/>
      <c r="S33" s="455"/>
      <c r="T33" s="455"/>
      <c r="U33" s="455"/>
      <c r="V33" s="455"/>
      <c r="W33" s="455"/>
      <c r="X33" s="455"/>
      <c r="Y33" s="455"/>
      <c r="Z33" s="455"/>
      <c r="AA33" s="455"/>
      <c r="AB33" s="455"/>
      <c r="AC33" s="455"/>
      <c r="AD33" s="455"/>
      <c r="AE33" s="455"/>
      <c r="AF33" s="455"/>
      <c r="AG33" s="451"/>
      <c r="AH33" s="455"/>
      <c r="AI33" s="455"/>
      <c r="AJ33" s="452"/>
      <c r="AK33" s="455"/>
      <c r="AL33" s="455"/>
      <c r="AM33" s="452"/>
      <c r="AN33" s="451"/>
      <c r="AO33" s="455"/>
      <c r="AP33" s="455"/>
      <c r="AQ33" s="452"/>
      <c r="AR33" s="455"/>
      <c r="AS33" s="455"/>
      <c r="AT33" s="452"/>
      <c r="AU33" s="455"/>
      <c r="AV33" s="455"/>
      <c r="AW33" s="455"/>
      <c r="AX33" s="455"/>
      <c r="AY33" s="455"/>
      <c r="AZ33" s="455"/>
      <c r="BA33" s="455"/>
      <c r="BB33" s="455"/>
      <c r="BC33" s="455"/>
      <c r="BD33" s="455"/>
      <c r="BE33" s="455"/>
      <c r="BF33" s="455"/>
      <c r="BG33" s="456"/>
      <c r="BH33" s="456"/>
      <c r="BI33" s="456"/>
    </row>
    <row r="34" spans="1:61" hidden="1">
      <c r="A34" s="454"/>
      <c r="B34" s="454"/>
      <c r="C34" s="454"/>
      <c r="D34" s="454"/>
      <c r="E34" s="454"/>
      <c r="F34" s="454"/>
      <c r="G34" s="454"/>
      <c r="H34" s="454"/>
      <c r="I34" s="454"/>
      <c r="J34" s="454"/>
      <c r="K34" s="454"/>
      <c r="L34" s="454"/>
      <c r="M34" s="455"/>
      <c r="N34" s="455"/>
      <c r="O34" s="455"/>
      <c r="P34" s="455"/>
      <c r="Q34" s="455"/>
      <c r="R34" s="455"/>
      <c r="S34" s="455"/>
      <c r="T34" s="455"/>
      <c r="U34" s="455"/>
      <c r="V34" s="455"/>
      <c r="W34" s="455"/>
      <c r="X34" s="455"/>
      <c r="Y34" s="455"/>
      <c r="Z34" s="455"/>
      <c r="AA34" s="455"/>
      <c r="AB34" s="455"/>
      <c r="AC34" s="455"/>
      <c r="AD34" s="455"/>
      <c r="AE34" s="455"/>
      <c r="AF34" s="455"/>
      <c r="AG34" s="457"/>
      <c r="AH34" s="455"/>
      <c r="AI34" s="455"/>
      <c r="AJ34" s="452"/>
      <c r="AK34" s="455"/>
      <c r="AL34" s="455"/>
      <c r="AM34" s="452"/>
      <c r="AN34" s="457"/>
      <c r="AO34" s="455"/>
      <c r="AP34" s="455"/>
      <c r="AQ34" s="452"/>
      <c r="AR34" s="455"/>
      <c r="AS34" s="455"/>
      <c r="AT34" s="452"/>
      <c r="AU34" s="455"/>
      <c r="AV34" s="455"/>
      <c r="AW34" s="455"/>
      <c r="AX34" s="455"/>
      <c r="AY34" s="455"/>
      <c r="AZ34" s="455"/>
      <c r="BA34" s="455"/>
      <c r="BB34" s="455"/>
      <c r="BC34" s="455"/>
      <c r="BD34" s="455"/>
      <c r="BE34" s="455"/>
      <c r="BF34" s="455"/>
      <c r="BG34" s="455"/>
      <c r="BH34" s="455"/>
      <c r="BI34" s="455"/>
    </row>
    <row r="35" spans="1:61" hidden="1">
      <c r="A35" s="454"/>
      <c r="B35" s="454"/>
      <c r="C35" s="454"/>
      <c r="D35" s="454"/>
      <c r="E35" s="454"/>
      <c r="F35" s="454"/>
      <c r="G35" s="454"/>
      <c r="H35" s="454"/>
      <c r="I35" s="454"/>
      <c r="J35" s="454"/>
      <c r="K35" s="454"/>
      <c r="L35" s="454"/>
      <c r="M35" s="455"/>
      <c r="N35" s="455"/>
      <c r="O35" s="455"/>
      <c r="P35" s="455"/>
      <c r="Q35" s="455"/>
      <c r="R35" s="455"/>
      <c r="S35" s="455"/>
      <c r="T35" s="455"/>
      <c r="U35" s="455"/>
      <c r="V35" s="455"/>
      <c r="W35" s="455"/>
      <c r="X35" s="455"/>
      <c r="Y35" s="455"/>
      <c r="Z35" s="455"/>
      <c r="AA35" s="455"/>
      <c r="AB35" s="455"/>
      <c r="AC35" s="455"/>
      <c r="AD35" s="455"/>
      <c r="AE35" s="455"/>
      <c r="AF35" s="455"/>
      <c r="AG35" s="457"/>
      <c r="AH35" s="455"/>
      <c r="AI35" s="455"/>
      <c r="AJ35" s="452"/>
      <c r="AK35" s="455"/>
      <c r="AL35" s="455"/>
      <c r="AM35" s="452"/>
      <c r="AN35" s="457"/>
      <c r="AO35" s="455"/>
      <c r="AP35" s="455"/>
      <c r="AQ35" s="452"/>
      <c r="AR35" s="455"/>
      <c r="AS35" s="455"/>
      <c r="AT35" s="452"/>
      <c r="AU35" s="455"/>
      <c r="AV35" s="455"/>
      <c r="AW35" s="455"/>
      <c r="AX35" s="455"/>
      <c r="AY35" s="455"/>
      <c r="AZ35" s="455"/>
      <c r="BA35" s="455"/>
      <c r="BB35" s="455"/>
      <c r="BC35" s="457"/>
      <c r="BD35" s="457"/>
      <c r="BE35" s="457"/>
      <c r="BF35" s="457"/>
      <c r="BG35" s="457"/>
      <c r="BH35" s="457"/>
      <c r="BI35" s="455"/>
    </row>
    <row r="36" spans="1:61" hidden="1">
      <c r="A36" s="454"/>
      <c r="B36" s="454"/>
      <c r="C36" s="454"/>
      <c r="D36" s="454"/>
      <c r="E36" s="454"/>
      <c r="F36" s="454"/>
      <c r="G36" s="454"/>
      <c r="H36" s="454"/>
      <c r="I36" s="454"/>
      <c r="J36" s="454"/>
      <c r="K36" s="454"/>
      <c r="L36" s="454"/>
      <c r="M36" s="455"/>
      <c r="N36" s="455"/>
      <c r="O36" s="455"/>
      <c r="P36" s="455"/>
      <c r="Q36" s="455"/>
      <c r="R36" s="455"/>
      <c r="S36" s="455"/>
      <c r="T36" s="455"/>
      <c r="U36" s="455"/>
      <c r="V36" s="455"/>
      <c r="W36" s="455"/>
      <c r="X36" s="455"/>
      <c r="Y36" s="455"/>
      <c r="Z36" s="455"/>
      <c r="AA36" s="455"/>
      <c r="AB36" s="455"/>
      <c r="AC36" s="455"/>
      <c r="AD36" s="455"/>
      <c r="AE36" s="455"/>
      <c r="AF36" s="455"/>
      <c r="AG36" s="457"/>
      <c r="AH36" s="455"/>
      <c r="AI36" s="455"/>
      <c r="AJ36" s="452"/>
      <c r="AK36" s="455"/>
      <c r="AL36" s="455"/>
      <c r="AM36" s="452"/>
      <c r="AN36" s="457"/>
      <c r="AO36" s="455"/>
      <c r="AP36" s="455"/>
      <c r="AQ36" s="452"/>
      <c r="AR36" s="455"/>
      <c r="AS36" s="455"/>
      <c r="AT36" s="452"/>
      <c r="AU36" s="455"/>
      <c r="AV36" s="455"/>
      <c r="AW36" s="455"/>
      <c r="AX36" s="455"/>
      <c r="AY36" s="455"/>
      <c r="AZ36" s="455"/>
      <c r="BA36" s="455"/>
      <c r="BB36" s="455"/>
      <c r="BC36" s="457"/>
      <c r="BD36" s="457"/>
      <c r="BE36" s="457"/>
      <c r="BF36" s="457"/>
      <c r="BG36" s="457"/>
      <c r="BH36" s="457"/>
      <c r="BI36" s="455"/>
    </row>
    <row r="37" spans="1:61" hidden="1">
      <c r="A37" s="454"/>
      <c r="B37" s="454"/>
      <c r="C37" s="454"/>
      <c r="D37" s="454"/>
      <c r="E37" s="454"/>
      <c r="F37" s="454"/>
      <c r="G37" s="454"/>
      <c r="H37" s="454"/>
      <c r="I37" s="454"/>
      <c r="J37" s="454"/>
      <c r="K37" s="454"/>
      <c r="L37" s="454"/>
      <c r="M37" s="455"/>
      <c r="N37" s="455"/>
      <c r="O37" s="455"/>
      <c r="P37" s="455"/>
      <c r="Q37" s="455"/>
      <c r="R37" s="455"/>
      <c r="S37" s="455"/>
      <c r="T37" s="455"/>
      <c r="U37" s="455"/>
      <c r="V37" s="455"/>
      <c r="W37" s="455"/>
      <c r="X37" s="455"/>
      <c r="Y37" s="455"/>
      <c r="Z37" s="455"/>
      <c r="AA37" s="455"/>
      <c r="AB37" s="455"/>
      <c r="AC37" s="455"/>
      <c r="AD37" s="455"/>
      <c r="AE37" s="455"/>
      <c r="AF37" s="455"/>
      <c r="AG37" s="457"/>
      <c r="AH37" s="455"/>
      <c r="AI37" s="455"/>
      <c r="AJ37" s="452"/>
      <c r="AK37" s="455"/>
      <c r="AL37" s="455"/>
      <c r="AM37" s="452"/>
      <c r="AN37" s="457"/>
      <c r="AO37" s="455"/>
      <c r="AP37" s="455"/>
      <c r="AQ37" s="452"/>
      <c r="AR37" s="455"/>
      <c r="AS37" s="455"/>
      <c r="AT37" s="452"/>
      <c r="AU37" s="455"/>
      <c r="AV37" s="455"/>
      <c r="AW37" s="455"/>
      <c r="AX37" s="455"/>
      <c r="AY37" s="455"/>
      <c r="AZ37" s="455"/>
      <c r="BA37" s="455"/>
      <c r="BB37" s="455"/>
      <c r="BC37" s="455"/>
      <c r="BD37" s="455"/>
      <c r="BE37" s="455"/>
      <c r="BF37" s="455"/>
      <c r="BG37" s="455"/>
      <c r="BH37" s="455"/>
      <c r="BI37" s="455"/>
    </row>
    <row r="38" spans="1:61" hidden="1">
      <c r="A38" s="458"/>
      <c r="B38" s="459"/>
      <c r="C38" s="459"/>
      <c r="D38" s="459"/>
      <c r="E38" s="459"/>
      <c r="F38" s="459"/>
      <c r="G38" s="459"/>
      <c r="H38" s="459"/>
      <c r="I38" s="459"/>
      <c r="J38" s="459"/>
      <c r="K38" s="459"/>
      <c r="L38" s="459"/>
      <c r="M38" s="459"/>
      <c r="N38" s="459"/>
      <c r="O38" s="459"/>
      <c r="P38" s="459"/>
      <c r="Q38" s="459"/>
      <c r="R38" s="459"/>
      <c r="S38" s="459"/>
      <c r="T38" s="459"/>
      <c r="U38" s="459"/>
      <c r="V38" s="459"/>
      <c r="W38" s="459"/>
      <c r="X38" s="459"/>
      <c r="Y38" s="459"/>
      <c r="Z38" s="459"/>
      <c r="AA38" s="459"/>
      <c r="AB38" s="459"/>
      <c r="AC38" s="459"/>
      <c r="AD38" s="459"/>
      <c r="AE38" s="459"/>
      <c r="AF38" s="459"/>
      <c r="AG38" s="459"/>
      <c r="AH38" s="459"/>
      <c r="AI38" s="459"/>
      <c r="AJ38" s="460"/>
      <c r="AK38" s="459"/>
      <c r="AL38" s="459"/>
      <c r="AM38" s="460"/>
      <c r="AN38" s="459"/>
      <c r="AO38" s="459"/>
      <c r="AP38" s="459"/>
      <c r="AQ38" s="460"/>
      <c r="AR38" s="459"/>
      <c r="AS38" s="459"/>
      <c r="AT38" s="460"/>
      <c r="AU38" s="459"/>
      <c r="AV38" s="459"/>
      <c r="AW38" s="459"/>
      <c r="AX38" s="459"/>
      <c r="AY38" s="459"/>
      <c r="AZ38" s="459"/>
      <c r="BA38" s="459"/>
      <c r="BB38" s="459"/>
      <c r="BC38" s="459"/>
      <c r="BD38" s="459"/>
      <c r="BE38" s="459"/>
      <c r="BF38" s="459"/>
      <c r="BG38" s="459"/>
      <c r="BH38" s="459"/>
      <c r="BI38" s="459"/>
    </row>
    <row r="39" spans="1:61">
      <c r="A39" s="461"/>
      <c r="B39" s="461"/>
      <c r="C39" s="461"/>
      <c r="D39" s="461"/>
      <c r="E39" s="461"/>
      <c r="F39" s="461"/>
      <c r="G39" s="461"/>
      <c r="H39" s="461"/>
      <c r="I39" s="461"/>
      <c r="J39" s="461"/>
      <c r="K39" s="461"/>
      <c r="L39" s="461"/>
      <c r="M39" s="462"/>
      <c r="N39" s="462"/>
      <c r="O39" s="462"/>
      <c r="P39" s="462"/>
      <c r="Q39" s="462"/>
      <c r="R39" s="462"/>
      <c r="S39" s="462"/>
      <c r="T39" s="462"/>
      <c r="U39" s="462"/>
      <c r="V39" s="462"/>
      <c r="W39" s="462"/>
      <c r="X39" s="462"/>
      <c r="Y39" s="462"/>
      <c r="Z39" s="462"/>
      <c r="AA39" s="462"/>
      <c r="AB39" s="462"/>
      <c r="AC39" s="462"/>
      <c r="AD39" s="462"/>
      <c r="AE39" s="462"/>
      <c r="AF39" s="462"/>
      <c r="AG39" s="462"/>
      <c r="AH39" s="462"/>
      <c r="AI39" s="462"/>
      <c r="AJ39" s="462"/>
      <c r="AK39" s="462"/>
      <c r="AL39" s="462"/>
      <c r="AM39" s="462"/>
      <c r="AN39" s="462"/>
      <c r="AO39" s="462"/>
      <c r="AP39" s="462"/>
      <c r="AQ39" s="462"/>
      <c r="AR39" s="462"/>
      <c r="AS39" s="462"/>
      <c r="AT39" s="462"/>
      <c r="AU39" s="462"/>
      <c r="AV39" s="462"/>
      <c r="AW39" s="462"/>
      <c r="AX39" s="462"/>
      <c r="AY39" s="462"/>
      <c r="AZ39" s="462"/>
      <c r="BA39" s="462"/>
      <c r="BB39" s="462"/>
      <c r="BC39" s="462"/>
      <c r="BD39" s="462"/>
      <c r="BE39" s="462"/>
      <c r="BF39" s="462"/>
      <c r="BG39" s="462"/>
      <c r="BH39" s="462"/>
      <c r="BI39" s="462"/>
    </row>
    <row r="40" spans="1:61" ht="27.75" customHeight="1">
      <c r="A40" s="463" t="s">
        <v>3982</v>
      </c>
      <c r="B40" s="459">
        <f t="shared" ref="B40:BH40" si="4">+B8+B18+B28+B38</f>
        <v>0</v>
      </c>
      <c r="C40" s="459">
        <f t="shared" si="4"/>
        <v>0</v>
      </c>
      <c r="D40" s="459">
        <f>+D8+D18+D28+D38</f>
        <v>0</v>
      </c>
      <c r="E40" s="459">
        <f>+E8+E18+E28+E38</f>
        <v>0</v>
      </c>
      <c r="F40" s="459">
        <f t="shared" si="4"/>
        <v>0</v>
      </c>
      <c r="G40" s="459">
        <f t="shared" si="4"/>
        <v>0</v>
      </c>
      <c r="H40" s="459">
        <f t="shared" si="4"/>
        <v>0</v>
      </c>
      <c r="I40" s="459">
        <f>+I8+I18+I28+I38</f>
        <v>0</v>
      </c>
      <c r="J40" s="459">
        <f>+J8+J18+J28+J38</f>
        <v>0</v>
      </c>
      <c r="K40" s="459">
        <f t="shared" si="4"/>
        <v>0</v>
      </c>
      <c r="L40" s="459">
        <f t="shared" si="4"/>
        <v>0</v>
      </c>
      <c r="M40" s="459">
        <f t="shared" si="4"/>
        <v>0</v>
      </c>
      <c r="N40" s="459">
        <f t="shared" si="4"/>
        <v>0</v>
      </c>
      <c r="O40" s="459">
        <f>+O8+O18+O28+O38</f>
        <v>0</v>
      </c>
      <c r="P40" s="459">
        <f>+P8+P18+P28+P38</f>
        <v>0</v>
      </c>
      <c r="Q40" s="459">
        <f>+Q8+Q18+Q28+Q38</f>
        <v>0</v>
      </c>
      <c r="R40" s="459">
        <f>+R8+R18+R28+R38</f>
        <v>0</v>
      </c>
      <c r="S40" s="459">
        <f t="shared" si="4"/>
        <v>0</v>
      </c>
      <c r="T40" s="459">
        <f t="shared" si="4"/>
        <v>0</v>
      </c>
      <c r="U40" s="459">
        <f>+U8+U18+U28+U38</f>
        <v>0</v>
      </c>
      <c r="V40" s="459">
        <f t="shared" si="4"/>
        <v>0</v>
      </c>
      <c r="W40" s="459">
        <f t="shared" si="4"/>
        <v>0</v>
      </c>
      <c r="X40" s="459">
        <f>+X8+X18+X28+X38</f>
        <v>0</v>
      </c>
      <c r="Y40" s="459">
        <f>+Y8+Y18+Y28+Y38</f>
        <v>0</v>
      </c>
      <c r="Z40" s="459">
        <f>+Z8+Z18+Z28+Z38</f>
        <v>0</v>
      </c>
      <c r="AA40" s="459">
        <f>+AA8+AA18+AA28+AA38</f>
        <v>0</v>
      </c>
      <c r="AB40" s="459">
        <f t="shared" si="4"/>
        <v>0</v>
      </c>
      <c r="AC40" s="459">
        <f>+AC8+AC18+AC28+AC38</f>
        <v>0</v>
      </c>
      <c r="AD40" s="459">
        <f t="shared" si="4"/>
        <v>0</v>
      </c>
      <c r="AE40" s="459">
        <f>+AE8+AE18+AE28+AE38</f>
        <v>0</v>
      </c>
      <c r="AF40" s="459">
        <f t="shared" si="4"/>
        <v>0</v>
      </c>
      <c r="AG40" s="459">
        <f t="shared" si="4"/>
        <v>0</v>
      </c>
      <c r="AH40" s="459">
        <f t="shared" si="4"/>
        <v>0</v>
      </c>
      <c r="AI40" s="459">
        <f t="shared" si="4"/>
        <v>0</v>
      </c>
      <c r="AJ40" s="460">
        <f>+AJ8+AJ18+AJ28+AJ38</f>
        <v>0</v>
      </c>
      <c r="AK40" s="459">
        <f t="shared" si="4"/>
        <v>0</v>
      </c>
      <c r="AL40" s="459">
        <f t="shared" si="4"/>
        <v>0</v>
      </c>
      <c r="AM40" s="460">
        <f t="shared" ref="AM40:AT40" si="5">+AM8+AM18+AM28+AM38</f>
        <v>0</v>
      </c>
      <c r="AN40" s="459">
        <f t="shared" si="5"/>
        <v>0</v>
      </c>
      <c r="AO40" s="459">
        <f t="shared" si="5"/>
        <v>0</v>
      </c>
      <c r="AP40" s="459">
        <f t="shared" si="5"/>
        <v>0</v>
      </c>
      <c r="AQ40" s="460">
        <f t="shared" si="5"/>
        <v>0</v>
      </c>
      <c r="AR40" s="459">
        <f t="shared" si="5"/>
        <v>0</v>
      </c>
      <c r="AS40" s="459">
        <f t="shared" si="5"/>
        <v>0</v>
      </c>
      <c r="AT40" s="460">
        <f t="shared" si="5"/>
        <v>0</v>
      </c>
      <c r="AU40" s="459">
        <f t="shared" si="4"/>
        <v>0</v>
      </c>
      <c r="AV40" s="459">
        <f t="shared" si="4"/>
        <v>0</v>
      </c>
      <c r="AW40" s="459">
        <f t="shared" si="4"/>
        <v>0</v>
      </c>
      <c r="AX40" s="459">
        <f t="shared" si="4"/>
        <v>0</v>
      </c>
      <c r="AY40" s="459">
        <f t="shared" si="4"/>
        <v>0</v>
      </c>
      <c r="AZ40" s="459">
        <f t="shared" si="4"/>
        <v>0</v>
      </c>
      <c r="BA40" s="459">
        <f t="shared" si="4"/>
        <v>0</v>
      </c>
      <c r="BB40" s="459">
        <f t="shared" si="4"/>
        <v>0</v>
      </c>
      <c r="BC40" s="459">
        <f>+BC8+BC18+BC28+BC38</f>
        <v>0</v>
      </c>
      <c r="BD40" s="459">
        <f>+BD8+BD18+BD28+BD38</f>
        <v>0</v>
      </c>
      <c r="BE40" s="459">
        <f>+BE8+BE18+BE28+BE38</f>
        <v>0</v>
      </c>
      <c r="BF40" s="459">
        <f t="shared" si="4"/>
        <v>0</v>
      </c>
      <c r="BG40" s="459">
        <f t="shared" si="4"/>
        <v>0</v>
      </c>
      <c r="BH40" s="459">
        <f t="shared" si="4"/>
        <v>0</v>
      </c>
      <c r="BI40" s="464"/>
    </row>
    <row r="46" spans="1:61">
      <c r="N46" s="32">
        <f>(0.177-N45)*0</f>
        <v>0</v>
      </c>
      <c r="Q46" s="32">
        <f>(0.177-Q45)*0</f>
        <v>0</v>
      </c>
      <c r="R46" s="32">
        <f>(0.177-R45)*0</f>
        <v>0</v>
      </c>
      <c r="AG46" s="32">
        <f>(0.277-N45)*0</f>
        <v>0</v>
      </c>
      <c r="AN46" s="32">
        <f>(0.277-AD45)*0</f>
        <v>0</v>
      </c>
    </row>
    <row r="47" spans="1:61">
      <c r="N47" s="32">
        <f>(0.5+0.383)*0.4/2*0</f>
        <v>0</v>
      </c>
      <c r="Q47" s="32">
        <f>(0.5+0.383)*0.4/2*0</f>
        <v>0</v>
      </c>
      <c r="R47" s="32">
        <f>(0.5+0.383)*0.4/2*0</f>
        <v>0</v>
      </c>
    </row>
    <row r="49" spans="14:18">
      <c r="N49" s="32">
        <f>N47+N43</f>
        <v>0</v>
      </c>
      <c r="Q49" s="32">
        <f>Q47+Q43</f>
        <v>0</v>
      </c>
      <c r="R49" s="32">
        <f>R47+R43</f>
        <v>0</v>
      </c>
    </row>
  </sheetData>
  <mergeCells count="42">
    <mergeCell ref="Q3:Q5"/>
    <mergeCell ref="S3:S5"/>
    <mergeCell ref="AA3:AA5"/>
    <mergeCell ref="P3:P5"/>
    <mergeCell ref="O3:O5"/>
    <mergeCell ref="Y3:Y5"/>
    <mergeCell ref="R3:R5"/>
    <mergeCell ref="A3:A5"/>
    <mergeCell ref="M3:M5"/>
    <mergeCell ref="N3:N5"/>
    <mergeCell ref="B3:B5"/>
    <mergeCell ref="K3:K5"/>
    <mergeCell ref="F3:F5"/>
    <mergeCell ref="G3:G5"/>
    <mergeCell ref="H3:H5"/>
    <mergeCell ref="L3:L5"/>
    <mergeCell ref="D3:D5"/>
    <mergeCell ref="E3:E5"/>
    <mergeCell ref="J3:J5"/>
    <mergeCell ref="C3:C5"/>
    <mergeCell ref="I3:I5"/>
    <mergeCell ref="AU3:AW4"/>
    <mergeCell ref="BI3:BI5"/>
    <mergeCell ref="AG4:AG5"/>
    <mergeCell ref="AH4:AJ4"/>
    <mergeCell ref="AX3:BF4"/>
    <mergeCell ref="BG3:BG5"/>
    <mergeCell ref="BH3:BH5"/>
    <mergeCell ref="AN4:AN5"/>
    <mergeCell ref="AO4:AQ4"/>
    <mergeCell ref="AE3:AE5"/>
    <mergeCell ref="AG3:AM3"/>
    <mergeCell ref="AF3:AF5"/>
    <mergeCell ref="V3:V5"/>
    <mergeCell ref="T3:T5"/>
    <mergeCell ref="AB3:AB5"/>
    <mergeCell ref="AD3:AD5"/>
    <mergeCell ref="AC3:AC5"/>
    <mergeCell ref="X3:X5"/>
    <mergeCell ref="W3:W5"/>
    <mergeCell ref="Z3:Z5"/>
    <mergeCell ref="U3:U5"/>
  </mergeCells>
  <phoneticPr fontId="0" type="noConversion"/>
  <printOptions horizontalCentered="1"/>
  <pageMargins left="0.23622047244094499" right="0.23622047244094499" top="0.98425196850393704" bottom="0.74803149606299202" header="0.511811023622047" footer="0.511811023622047"/>
  <pageSetup paperSize="9" orientation="landscape" blackAndWhite="1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A181"/>
  <sheetViews>
    <sheetView showGridLines="0" showZeros="0" zoomScale="85" workbookViewId="0">
      <selection activeCell="S34" sqref="S34"/>
    </sheetView>
  </sheetViews>
  <sheetFormatPr defaultColWidth="9.109375" defaultRowHeight="18.899999999999999" customHeight="1"/>
  <cols>
    <col min="1" max="1" width="14.44140625" style="428" customWidth="1"/>
    <col min="2" max="2" width="3.5546875" style="410" customWidth="1"/>
    <col min="3" max="3" width="8.6640625" style="410" customWidth="1"/>
    <col min="4" max="5" width="4.5546875" style="410" customWidth="1"/>
    <col min="6" max="6" width="8.44140625" style="410" customWidth="1"/>
    <col min="7" max="7" width="6.33203125" style="410" bestFit="1" customWidth="1"/>
    <col min="8" max="10" width="4.5546875" style="410" customWidth="1"/>
    <col min="11" max="11" width="5" style="410" customWidth="1"/>
    <col min="12" max="12" width="7.44140625" style="410" customWidth="1"/>
    <col min="13" max="30" width="4.5546875" style="410" customWidth="1"/>
    <col min="31" max="34" width="4.5546875" style="2292" customWidth="1"/>
    <col min="35" max="37" width="4.5546875" style="410" customWidth="1"/>
    <col min="38" max="53" width="4" style="410" customWidth="1"/>
    <col min="54" max="54" width="4.33203125" style="410" customWidth="1"/>
    <col min="55" max="55" width="5" style="410" customWidth="1"/>
    <col min="56" max="56" width="4.33203125" style="410" customWidth="1"/>
    <col min="57" max="57" width="5" style="410" customWidth="1"/>
    <col min="58" max="58" width="4.88671875" style="410" customWidth="1"/>
    <col min="59" max="59" width="5.109375" style="410" customWidth="1"/>
    <col min="60" max="62" width="4.109375" style="410" customWidth="1"/>
    <col min="63" max="63" width="3.88671875" style="410" customWidth="1"/>
    <col min="64" max="65" width="4.5546875" style="410" customWidth="1"/>
    <col min="66" max="66" width="12.33203125" style="2293" customWidth="1"/>
    <col min="67" max="16384" width="9.109375" style="410"/>
  </cols>
  <sheetData>
    <row r="1" spans="1:209" ht="13.8"/>
    <row r="2" spans="1:209" s="2300" customFormat="1" ht="17.399999999999999">
      <c r="A2" s="2294" t="s">
        <v>5934</v>
      </c>
      <c r="B2" s="2295"/>
      <c r="C2" s="2296"/>
      <c r="D2" s="2296"/>
      <c r="E2" s="2296"/>
      <c r="F2" s="2296"/>
      <c r="G2" s="2296"/>
      <c r="H2" s="2296"/>
      <c r="I2" s="2296"/>
      <c r="J2" s="2296"/>
      <c r="K2" s="2296"/>
      <c r="L2" s="2296"/>
      <c r="M2" s="2296"/>
      <c r="N2" s="2296"/>
      <c r="O2" s="2296"/>
      <c r="P2" s="2296"/>
      <c r="Q2" s="2296"/>
      <c r="R2" s="2296"/>
      <c r="S2" s="2296"/>
      <c r="T2" s="2296"/>
      <c r="U2" s="2297"/>
      <c r="V2" s="2296"/>
      <c r="W2" s="2297"/>
      <c r="X2" s="2296"/>
      <c r="Y2" s="2296"/>
      <c r="Z2" s="2296"/>
      <c r="AA2" s="2296"/>
      <c r="AB2" s="2296"/>
      <c r="AC2" s="2296"/>
      <c r="AD2" s="2296"/>
      <c r="AE2" s="2298"/>
      <c r="AF2" s="2298"/>
      <c r="AG2" s="2298"/>
      <c r="AH2" s="2298"/>
      <c r="AI2" s="2296"/>
      <c r="AJ2" s="2296"/>
      <c r="AK2" s="2296"/>
      <c r="AL2" s="2296"/>
      <c r="AM2" s="2296"/>
      <c r="AN2" s="2296"/>
      <c r="AO2" s="2296"/>
      <c r="AP2" s="2296"/>
      <c r="AQ2" s="2296"/>
      <c r="AR2" s="2296"/>
      <c r="AS2" s="2296"/>
      <c r="AT2" s="2296"/>
      <c r="AU2" s="2296"/>
      <c r="AV2" s="2296"/>
      <c r="AW2" s="2296"/>
      <c r="AX2" s="2296"/>
      <c r="AY2" s="2296"/>
      <c r="AZ2" s="2296"/>
      <c r="BA2" s="2296"/>
      <c r="BB2" s="2296"/>
      <c r="BC2" s="2296"/>
      <c r="BD2" s="2296"/>
      <c r="BE2" s="2296"/>
      <c r="BF2" s="2296"/>
      <c r="BG2" s="2296"/>
      <c r="BH2" s="2296"/>
      <c r="BI2" s="2296"/>
      <c r="BJ2" s="2296"/>
      <c r="BK2" s="2296"/>
      <c r="BL2" s="2296"/>
      <c r="BM2" s="2296"/>
      <c r="BN2" s="2299"/>
    </row>
    <row r="3" spans="1:209" s="2300" customFormat="1" ht="24.75" customHeight="1" thickBot="1">
      <c r="A3" s="2301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2297"/>
      <c r="C3" s="2297"/>
      <c r="D3" s="2297"/>
      <c r="E3" s="2297"/>
      <c r="F3" s="2297"/>
      <c r="G3" s="2297"/>
      <c r="H3" s="2297"/>
      <c r="I3" s="2297"/>
      <c r="J3" s="2297"/>
      <c r="K3" s="2297"/>
      <c r="L3" s="2297"/>
      <c r="M3" s="2297"/>
      <c r="N3" s="2297"/>
      <c r="O3" s="2297"/>
      <c r="P3" s="2297"/>
      <c r="Q3" s="2297"/>
      <c r="R3" s="2297"/>
      <c r="S3" s="2297"/>
      <c r="T3" s="2297"/>
      <c r="U3" s="872"/>
      <c r="V3" s="2297"/>
      <c r="W3" s="872"/>
      <c r="X3" s="2297"/>
      <c r="Y3" s="2297"/>
      <c r="Z3" s="2297"/>
      <c r="AA3" s="2297"/>
      <c r="AB3" s="2297"/>
      <c r="AC3" s="2297"/>
      <c r="AD3" s="2297"/>
      <c r="AE3" s="2297"/>
      <c r="AF3" s="2297"/>
      <c r="AG3" s="2297"/>
      <c r="AH3" s="2297"/>
      <c r="AI3" s="2297"/>
      <c r="AJ3" s="2297"/>
      <c r="AK3" s="2297"/>
      <c r="AL3" s="2297"/>
      <c r="AM3" s="2297"/>
      <c r="AN3" s="2297"/>
      <c r="AO3" s="2297"/>
      <c r="AP3" s="2297"/>
      <c r="AQ3" s="2297"/>
      <c r="AR3" s="2297"/>
      <c r="AS3" s="2297"/>
      <c r="AT3" s="2297"/>
      <c r="AU3" s="2297"/>
      <c r="AV3" s="2297"/>
      <c r="AW3" s="2297"/>
      <c r="AX3" s="2297"/>
      <c r="AY3" s="2297"/>
      <c r="AZ3" s="2297"/>
      <c r="BA3" s="2297"/>
      <c r="BB3" s="2297"/>
      <c r="BC3" s="2297"/>
      <c r="BD3" s="2297"/>
      <c r="BE3" s="2297"/>
      <c r="BF3" s="2297"/>
      <c r="BG3" s="2297"/>
      <c r="BH3" s="2297"/>
      <c r="BI3" s="2297"/>
      <c r="BJ3" s="2297"/>
      <c r="BK3" s="2297"/>
      <c r="BL3" s="2297"/>
      <c r="BM3" s="2297"/>
      <c r="BN3" s="2302"/>
    </row>
    <row r="4" spans="1:209" s="409" customFormat="1" ht="18" customHeight="1" thickTop="1">
      <c r="A4" s="2573" t="s">
        <v>3924</v>
      </c>
      <c r="B4" s="2575" t="s">
        <v>5917</v>
      </c>
      <c r="C4" s="2575" t="s">
        <v>5828</v>
      </c>
      <c r="D4" s="2566" t="s">
        <v>1625</v>
      </c>
      <c r="E4" s="2566" t="s">
        <v>347</v>
      </c>
      <c r="F4" s="2566" t="s">
        <v>345</v>
      </c>
      <c r="G4" s="2566" t="s">
        <v>1477</v>
      </c>
      <c r="H4" s="2566" t="s">
        <v>346</v>
      </c>
      <c r="I4" s="2566" t="s">
        <v>1084</v>
      </c>
      <c r="J4" s="2566" t="s">
        <v>3925</v>
      </c>
      <c r="K4" s="2566" t="s">
        <v>3926</v>
      </c>
      <c r="L4" s="2588" t="s">
        <v>5918</v>
      </c>
      <c r="M4" s="2590" t="s">
        <v>1133</v>
      </c>
      <c r="N4" s="2591"/>
      <c r="O4" s="2591"/>
      <c r="P4" s="2591"/>
      <c r="Q4" s="2591"/>
      <c r="R4" s="2577" t="s">
        <v>3929</v>
      </c>
      <c r="S4" s="2578"/>
      <c r="T4" s="2578"/>
      <c r="U4" s="2578"/>
      <c r="V4" s="2578"/>
      <c r="W4" s="2578"/>
      <c r="X4" s="2578"/>
      <c r="Y4" s="2578"/>
      <c r="Z4" s="2303" t="s">
        <v>5919</v>
      </c>
      <c r="AA4" s="2304"/>
      <c r="AB4" s="2304"/>
      <c r="AC4" s="2305"/>
      <c r="AD4" s="2566" t="s">
        <v>5920</v>
      </c>
      <c r="AE4" s="2566" t="s">
        <v>3541</v>
      </c>
      <c r="AF4" s="2566" t="s">
        <v>3542</v>
      </c>
      <c r="AG4" s="2566" t="s">
        <v>3545</v>
      </c>
      <c r="AH4" s="2566" t="s">
        <v>3931</v>
      </c>
      <c r="AI4" s="2592" t="s">
        <v>3932</v>
      </c>
      <c r="AJ4" s="2306" t="s">
        <v>514</v>
      </c>
      <c r="AK4" s="2307"/>
      <c r="AL4" s="2581" t="s">
        <v>3933</v>
      </c>
      <c r="AM4" s="2581" t="s">
        <v>5921</v>
      </c>
      <c r="AN4" s="2581" t="s">
        <v>5922</v>
      </c>
      <c r="AO4" s="2581" t="s">
        <v>4415</v>
      </c>
      <c r="AP4" s="2581" t="s">
        <v>4416</v>
      </c>
      <c r="AQ4" s="2581" t="s">
        <v>5923</v>
      </c>
      <c r="AR4" s="2584" t="s">
        <v>4089</v>
      </c>
      <c r="AS4" s="2585"/>
      <c r="AT4" s="2585"/>
      <c r="AU4" s="2585"/>
      <c r="AV4" s="2585"/>
      <c r="AW4" s="2586"/>
      <c r="AX4" s="2587" t="s">
        <v>5924</v>
      </c>
      <c r="AY4" s="2587"/>
      <c r="AZ4" s="2587"/>
      <c r="BA4" s="2587"/>
      <c r="BB4" s="2308" t="s">
        <v>5925</v>
      </c>
      <c r="BC4" s="2309"/>
      <c r="BD4" s="2308"/>
      <c r="BE4" s="2310" t="s">
        <v>4092</v>
      </c>
      <c r="BF4" s="2309"/>
      <c r="BG4" s="2308"/>
      <c r="BH4" s="2581" t="s">
        <v>3934</v>
      </c>
      <c r="BI4" s="2581" t="s">
        <v>3935</v>
      </c>
      <c r="BJ4" s="2581" t="s">
        <v>3936</v>
      </c>
      <c r="BK4" s="2581" t="s">
        <v>2472</v>
      </c>
      <c r="BL4" s="2575" t="s">
        <v>3937</v>
      </c>
      <c r="BM4" s="2575" t="s">
        <v>5926</v>
      </c>
      <c r="BN4" s="2579" t="s">
        <v>3373</v>
      </c>
    </row>
    <row r="5" spans="1:209" s="409" customFormat="1" ht="142.5" customHeight="1">
      <c r="A5" s="2574"/>
      <c r="B5" s="2576"/>
      <c r="C5" s="2576"/>
      <c r="D5" s="2567"/>
      <c r="E5" s="2567"/>
      <c r="F5" s="2567"/>
      <c r="G5" s="2567"/>
      <c r="H5" s="2567"/>
      <c r="I5" s="2567"/>
      <c r="J5" s="2567"/>
      <c r="K5" s="2567"/>
      <c r="L5" s="2589"/>
      <c r="M5" s="2311" t="s">
        <v>1438</v>
      </c>
      <c r="N5" s="2311" t="s">
        <v>344</v>
      </c>
      <c r="O5" s="2311" t="s">
        <v>1002</v>
      </c>
      <c r="P5" s="2311" t="s">
        <v>816</v>
      </c>
      <c r="Q5" s="2311" t="s">
        <v>621</v>
      </c>
      <c r="R5" s="2312" t="s">
        <v>562</v>
      </c>
      <c r="S5" s="2312" t="s">
        <v>220</v>
      </c>
      <c r="T5" s="2312" t="s">
        <v>515</v>
      </c>
      <c r="U5" s="2312" t="s">
        <v>1003</v>
      </c>
      <c r="V5" s="2312" t="s">
        <v>3710</v>
      </c>
      <c r="W5" s="2312" t="s">
        <v>3711</v>
      </c>
      <c r="X5" s="2312" t="s">
        <v>646</v>
      </c>
      <c r="Y5" s="2313" t="s">
        <v>338</v>
      </c>
      <c r="Z5" s="2314" t="s">
        <v>5927</v>
      </c>
      <c r="AA5" s="2314" t="s">
        <v>5928</v>
      </c>
      <c r="AB5" s="2314" t="s">
        <v>5929</v>
      </c>
      <c r="AC5" s="2314" t="s">
        <v>5930</v>
      </c>
      <c r="AD5" s="2567"/>
      <c r="AE5" s="2567"/>
      <c r="AF5" s="2567"/>
      <c r="AG5" s="2567"/>
      <c r="AH5" s="2567"/>
      <c r="AI5" s="2593"/>
      <c r="AJ5" s="2315" t="s">
        <v>3942</v>
      </c>
      <c r="AK5" s="2315" t="s">
        <v>3943</v>
      </c>
      <c r="AL5" s="2582"/>
      <c r="AM5" s="2582"/>
      <c r="AN5" s="2582"/>
      <c r="AO5" s="2582"/>
      <c r="AP5" s="2582"/>
      <c r="AQ5" s="2582"/>
      <c r="AR5" s="2316" t="s">
        <v>3944</v>
      </c>
      <c r="AS5" s="2316" t="s">
        <v>3946</v>
      </c>
      <c r="AT5" s="2316" t="s">
        <v>3949</v>
      </c>
      <c r="AU5" s="2316" t="s">
        <v>3950</v>
      </c>
      <c r="AV5" s="2316" t="s">
        <v>4303</v>
      </c>
      <c r="AW5" s="2316" t="s">
        <v>3954</v>
      </c>
      <c r="AX5" s="2316" t="s">
        <v>3955</v>
      </c>
      <c r="AY5" s="2316" t="s">
        <v>3956</v>
      </c>
      <c r="AZ5" s="2316" t="s">
        <v>3957</v>
      </c>
      <c r="BA5" s="2316" t="s">
        <v>3958</v>
      </c>
      <c r="BB5" s="2316" t="s">
        <v>5931</v>
      </c>
      <c r="BC5" s="2316" t="s">
        <v>3962</v>
      </c>
      <c r="BD5" s="2316" t="s">
        <v>3961</v>
      </c>
      <c r="BE5" s="2316" t="s">
        <v>5932</v>
      </c>
      <c r="BF5" s="2316" t="s">
        <v>3966</v>
      </c>
      <c r="BG5" s="2316" t="s">
        <v>3965</v>
      </c>
      <c r="BH5" s="2582"/>
      <c r="BI5" s="2582"/>
      <c r="BJ5" s="2582"/>
      <c r="BK5" s="2582"/>
      <c r="BL5" s="2583"/>
      <c r="BM5" s="2583"/>
      <c r="BN5" s="2580"/>
    </row>
    <row r="6" spans="1:209" ht="18" customHeight="1">
      <c r="A6" s="569"/>
      <c r="B6" s="2317"/>
      <c r="C6" s="2317"/>
      <c r="D6" s="2317"/>
      <c r="E6" s="2317"/>
      <c r="F6" s="2317"/>
      <c r="G6" s="2317"/>
      <c r="H6" s="2317"/>
      <c r="I6" s="2317"/>
      <c r="J6" s="2318"/>
      <c r="K6" s="2318"/>
      <c r="L6" s="2318"/>
      <c r="M6" s="2318"/>
      <c r="N6" s="2318"/>
      <c r="O6" s="2318"/>
      <c r="P6" s="2318"/>
      <c r="Q6" s="2318"/>
      <c r="R6" s="2318"/>
      <c r="S6" s="2318"/>
      <c r="T6" s="2318"/>
      <c r="U6" s="2318"/>
      <c r="V6" s="2318"/>
      <c r="W6" s="2318"/>
      <c r="X6" s="2318"/>
      <c r="Y6" s="2318"/>
      <c r="Z6" s="2318"/>
      <c r="AA6" s="2318"/>
      <c r="AB6" s="2318"/>
      <c r="AC6" s="2318"/>
      <c r="AD6" s="2318"/>
      <c r="AE6" s="2318"/>
      <c r="AF6" s="2318"/>
      <c r="AG6" s="2318"/>
      <c r="AH6" s="2318"/>
      <c r="AI6" s="2318"/>
      <c r="AJ6" s="2318"/>
      <c r="AK6" s="2318"/>
      <c r="AL6" s="2318"/>
      <c r="AM6" s="2318"/>
      <c r="AN6" s="2318"/>
      <c r="AO6" s="2318"/>
      <c r="AP6" s="2318"/>
      <c r="AQ6" s="2318"/>
      <c r="AR6" s="2318"/>
      <c r="AS6" s="2318"/>
      <c r="AT6" s="2318"/>
      <c r="AU6" s="2318"/>
      <c r="AV6" s="2318"/>
      <c r="AW6" s="2318"/>
      <c r="AX6" s="2318"/>
      <c r="AY6" s="2318"/>
      <c r="AZ6" s="2318"/>
      <c r="BA6" s="2318"/>
      <c r="BB6" s="2318"/>
      <c r="BC6" s="2318"/>
      <c r="BD6" s="2318"/>
      <c r="BE6" s="2318"/>
      <c r="BF6" s="2318"/>
      <c r="BG6" s="2318"/>
      <c r="BH6" s="2318"/>
      <c r="BI6" s="2318"/>
      <c r="BJ6" s="2318"/>
      <c r="BK6" s="2318"/>
      <c r="BL6" s="2318"/>
      <c r="BM6" s="2318"/>
      <c r="BN6" s="2319"/>
    </row>
    <row r="7" spans="1:209" s="2327" customFormat="1" ht="18.899999999999999" customHeight="1">
      <c r="A7" s="2320" t="s">
        <v>5933</v>
      </c>
      <c r="B7" s="2321"/>
      <c r="C7" s="2322"/>
      <c r="D7" s="2322"/>
      <c r="E7" s="2322"/>
      <c r="F7" s="2322"/>
      <c r="G7" s="2322"/>
      <c r="H7" s="2321"/>
      <c r="I7" s="2321"/>
      <c r="J7" s="2321"/>
      <c r="K7" s="2321"/>
      <c r="L7" s="2323"/>
      <c r="M7" s="2321"/>
      <c r="N7" s="2321"/>
      <c r="O7" s="2321"/>
      <c r="P7" s="2321"/>
      <c r="Q7" s="2321"/>
      <c r="R7" s="2321"/>
      <c r="S7" s="2321"/>
      <c r="T7" s="2321"/>
      <c r="U7" s="2321"/>
      <c r="V7" s="2321"/>
      <c r="W7" s="2321"/>
      <c r="X7" s="2321"/>
      <c r="Y7" s="2321"/>
      <c r="Z7" s="2321"/>
      <c r="AA7" s="2321"/>
      <c r="AB7" s="2321"/>
      <c r="AC7" s="2321"/>
      <c r="AD7" s="2321"/>
      <c r="AE7" s="2321"/>
      <c r="AF7" s="2321"/>
      <c r="AG7" s="2321"/>
      <c r="AH7" s="2321"/>
      <c r="AI7" s="2321"/>
      <c r="AJ7" s="2321"/>
      <c r="AK7" s="2321"/>
      <c r="AL7" s="2321"/>
      <c r="AM7" s="2321"/>
      <c r="AN7" s="2321"/>
      <c r="AO7" s="2321"/>
      <c r="AP7" s="2321"/>
      <c r="AQ7" s="2321"/>
      <c r="AR7" s="2321"/>
      <c r="AS7" s="2321"/>
      <c r="AT7" s="2321"/>
      <c r="AU7" s="2321"/>
      <c r="AV7" s="2321"/>
      <c r="AW7" s="2321"/>
      <c r="AX7" s="2321"/>
      <c r="AY7" s="2321"/>
      <c r="AZ7" s="2321"/>
      <c r="BA7" s="2321"/>
      <c r="BB7" s="2324"/>
      <c r="BC7" s="2321"/>
      <c r="BD7" s="2321"/>
      <c r="BE7" s="2325"/>
      <c r="BF7" s="2321"/>
      <c r="BG7" s="2321"/>
      <c r="BH7" s="2321"/>
      <c r="BI7" s="2321"/>
      <c r="BJ7" s="2325"/>
      <c r="BK7" s="2321"/>
      <c r="BL7" s="2321"/>
      <c r="BM7" s="2321"/>
      <c r="BN7" s="2326"/>
    </row>
    <row r="8" spans="1:209" s="2327" customFormat="1" ht="16.8">
      <c r="A8" s="2328" t="s">
        <v>3</v>
      </c>
      <c r="B8" s="2083"/>
      <c r="C8" s="2329"/>
      <c r="D8" s="2330"/>
      <c r="E8" s="2330"/>
      <c r="F8" s="2330">
        <f t="shared" ref="F8:F34" si="0">C8+F7</f>
        <v>0</v>
      </c>
      <c r="G8" s="2331"/>
      <c r="H8" s="2083"/>
      <c r="I8" s="2083"/>
      <c r="J8" s="2188"/>
      <c r="K8" s="2188"/>
      <c r="L8" s="2332" t="s">
        <v>720</v>
      </c>
      <c r="M8" s="2333"/>
      <c r="N8" s="2333"/>
      <c r="O8" s="2333"/>
      <c r="P8" s="2333"/>
      <c r="Q8" s="2333"/>
      <c r="R8" s="2333"/>
      <c r="S8" s="2333"/>
      <c r="T8" s="2333"/>
      <c r="U8" s="2333"/>
      <c r="V8" s="2333"/>
      <c r="W8" s="2333"/>
      <c r="X8" s="2333"/>
      <c r="Y8" s="2333"/>
      <c r="Z8" s="2333"/>
      <c r="AA8" s="2333"/>
      <c r="AB8" s="2333"/>
      <c r="AC8" s="2333"/>
      <c r="AD8" s="2333"/>
      <c r="AE8" s="2333"/>
      <c r="AF8" s="2333"/>
      <c r="AG8" s="2333"/>
      <c r="AH8" s="2333"/>
      <c r="AI8" s="2333"/>
      <c r="AJ8" s="2333"/>
      <c r="AK8" s="2333"/>
      <c r="AL8" s="2333"/>
      <c r="AM8" s="2333"/>
      <c r="AN8" s="2333"/>
      <c r="AO8" s="2334"/>
      <c r="AP8" s="2333"/>
      <c r="AQ8" s="2333"/>
      <c r="AR8" s="2333"/>
      <c r="AS8" s="2333"/>
      <c r="AT8" s="2333"/>
      <c r="AU8" s="2333"/>
      <c r="AV8" s="2333"/>
      <c r="AW8" s="2333"/>
      <c r="AX8" s="2333"/>
      <c r="AY8" s="2333"/>
      <c r="AZ8" s="2333"/>
      <c r="BA8" s="2333"/>
      <c r="BB8" s="2334"/>
      <c r="BC8" s="2333"/>
      <c r="BD8" s="2333"/>
      <c r="BE8" s="2334"/>
      <c r="BF8" s="2333"/>
      <c r="BG8" s="2333"/>
      <c r="BH8" s="2333"/>
      <c r="BI8" s="2333"/>
      <c r="BJ8" s="2334"/>
      <c r="BK8" s="2334"/>
      <c r="BL8" s="2333"/>
      <c r="BM8" s="2333"/>
      <c r="BN8" s="2335"/>
    </row>
    <row r="9" spans="1:209" s="2327" customFormat="1" ht="18.899999999999999" customHeight="1">
      <c r="A9" s="2328" t="s">
        <v>4</v>
      </c>
      <c r="B9" s="2336"/>
      <c r="C9" s="2337"/>
      <c r="D9" s="2330"/>
      <c r="E9" s="2330"/>
      <c r="F9" s="2330">
        <f t="shared" si="0"/>
        <v>0</v>
      </c>
      <c r="G9" s="2330">
        <f t="shared" ref="G9:G16" si="1">C9+G8</f>
        <v>0</v>
      </c>
      <c r="H9" s="2083"/>
      <c r="I9" s="2083"/>
      <c r="J9" s="2188"/>
      <c r="K9" s="2188"/>
      <c r="L9" s="2332" t="s">
        <v>341</v>
      </c>
      <c r="M9" s="2333"/>
      <c r="N9" s="2333"/>
      <c r="O9" s="2333"/>
      <c r="P9" s="2333"/>
      <c r="Q9" s="2333"/>
      <c r="R9" s="2333"/>
      <c r="S9" s="2333"/>
      <c r="T9" s="2333"/>
      <c r="U9" s="2333"/>
      <c r="V9" s="2333"/>
      <c r="W9" s="2333"/>
      <c r="X9" s="2333"/>
      <c r="Y9" s="2333"/>
      <c r="Z9" s="2333"/>
      <c r="AA9" s="2329"/>
      <c r="AB9" s="2333"/>
      <c r="AC9" s="2333"/>
      <c r="AD9" s="2333"/>
      <c r="AE9" s="2333"/>
      <c r="AF9" s="2333"/>
      <c r="AG9" s="2333"/>
      <c r="AH9" s="2333"/>
      <c r="AI9" s="2333"/>
      <c r="AJ9" s="2333"/>
      <c r="AK9" s="2333"/>
      <c r="AL9" s="2333"/>
      <c r="AM9" s="2333"/>
      <c r="AN9" s="2333"/>
      <c r="AO9" s="2338"/>
      <c r="AP9" s="2333"/>
      <c r="AQ9" s="2333"/>
      <c r="AR9" s="2333"/>
      <c r="AS9" s="2333"/>
      <c r="AT9" s="2333"/>
      <c r="AU9" s="2333"/>
      <c r="AV9" s="2333"/>
      <c r="AW9" s="2333"/>
      <c r="AX9" s="2333"/>
      <c r="AY9" s="2333"/>
      <c r="AZ9" s="2333"/>
      <c r="BA9" s="2333"/>
      <c r="BB9" s="2338"/>
      <c r="BC9" s="2333"/>
      <c r="BD9" s="2333"/>
      <c r="BE9" s="2338"/>
      <c r="BF9" s="2333"/>
      <c r="BG9" s="2333"/>
      <c r="BH9" s="2333"/>
      <c r="BI9" s="2333"/>
      <c r="BJ9" s="2338"/>
      <c r="BK9" s="2338"/>
      <c r="BL9" s="2333"/>
      <c r="BM9" s="2333"/>
      <c r="BN9" s="2335"/>
    </row>
    <row r="10" spans="1:209" s="2327" customFormat="1" ht="16.8">
      <c r="A10" s="2328" t="s">
        <v>5</v>
      </c>
      <c r="B10" s="2083"/>
      <c r="C10" s="2337"/>
      <c r="D10" s="2330"/>
      <c r="E10" s="2330"/>
      <c r="F10" s="2330">
        <f t="shared" si="0"/>
        <v>0</v>
      </c>
      <c r="G10" s="2330">
        <f t="shared" si="1"/>
        <v>0</v>
      </c>
      <c r="H10" s="2083"/>
      <c r="I10" s="2083"/>
      <c r="J10" s="2188"/>
      <c r="K10" s="2188"/>
      <c r="L10" s="2332" t="s">
        <v>341</v>
      </c>
      <c r="M10" s="2333"/>
      <c r="N10" s="2333"/>
      <c r="O10" s="2333"/>
      <c r="P10" s="2333"/>
      <c r="Q10" s="2333"/>
      <c r="R10" s="2333"/>
      <c r="S10" s="2333"/>
      <c r="T10" s="2333"/>
      <c r="U10" s="2333"/>
      <c r="V10" s="2333"/>
      <c r="W10" s="2333"/>
      <c r="X10" s="2333"/>
      <c r="Y10" s="2333"/>
      <c r="Z10" s="2333"/>
      <c r="AA10" s="2329"/>
      <c r="AB10" s="2333"/>
      <c r="AC10" s="2333"/>
      <c r="AD10" s="2333"/>
      <c r="AE10" s="2333"/>
      <c r="AF10" s="2333"/>
      <c r="AG10" s="2333"/>
      <c r="AH10" s="2333"/>
      <c r="AI10" s="2333"/>
      <c r="AJ10" s="2333"/>
      <c r="AK10" s="2333"/>
      <c r="AL10" s="2333"/>
      <c r="AM10" s="2333"/>
      <c r="AN10" s="2333"/>
      <c r="AO10" s="2338"/>
      <c r="AP10" s="2333"/>
      <c r="AQ10" s="2333"/>
      <c r="AR10" s="2333"/>
      <c r="AS10" s="2333"/>
      <c r="AT10" s="2333"/>
      <c r="AU10" s="2333"/>
      <c r="AV10" s="2333"/>
      <c r="AW10" s="2333"/>
      <c r="AX10" s="2333"/>
      <c r="AY10" s="2333"/>
      <c r="AZ10" s="2333"/>
      <c r="BA10" s="2333"/>
      <c r="BB10" s="2338"/>
      <c r="BC10" s="2333"/>
      <c r="BD10" s="2333"/>
      <c r="BE10" s="2338"/>
      <c r="BF10" s="2333"/>
      <c r="BG10" s="2333"/>
      <c r="BH10" s="2333"/>
      <c r="BI10" s="2333"/>
      <c r="BJ10" s="2338"/>
      <c r="BK10" s="2338"/>
      <c r="BL10" s="2333"/>
      <c r="BM10" s="2333"/>
      <c r="BN10" s="2335"/>
    </row>
    <row r="11" spans="1:209" s="2327" customFormat="1" ht="18.899999999999999" customHeight="1">
      <c r="A11" s="2328" t="s">
        <v>6</v>
      </c>
      <c r="B11" s="2083"/>
      <c r="C11" s="2337"/>
      <c r="D11" s="2330"/>
      <c r="E11" s="2330"/>
      <c r="F11" s="2330">
        <f t="shared" si="0"/>
        <v>0</v>
      </c>
      <c r="G11" s="2330">
        <f t="shared" si="1"/>
        <v>0</v>
      </c>
      <c r="H11" s="2083"/>
      <c r="I11" s="2083"/>
      <c r="J11" s="2188"/>
      <c r="K11" s="2188"/>
      <c r="L11" s="2332" t="s">
        <v>341</v>
      </c>
      <c r="M11" s="2333"/>
      <c r="N11" s="2333"/>
      <c r="O11" s="2333"/>
      <c r="P11" s="2333"/>
      <c r="Q11" s="2333"/>
      <c r="R11" s="2333"/>
      <c r="S11" s="2333"/>
      <c r="T11" s="2333"/>
      <c r="U11" s="2333"/>
      <c r="V11" s="2333"/>
      <c r="W11" s="2333"/>
      <c r="X11" s="2333"/>
      <c r="Y11" s="2333"/>
      <c r="Z11" s="2333"/>
      <c r="AA11" s="2329"/>
      <c r="AB11" s="2333"/>
      <c r="AC11" s="2333"/>
      <c r="AD11" s="2333"/>
      <c r="AE11" s="2333"/>
      <c r="AF11" s="2333"/>
      <c r="AG11" s="2333"/>
      <c r="AH11" s="2333"/>
      <c r="AI11" s="2333"/>
      <c r="AJ11" s="2333"/>
      <c r="AK11" s="2333"/>
      <c r="AL11" s="2333"/>
      <c r="AM11" s="2333"/>
      <c r="AN11" s="2333"/>
      <c r="AO11" s="2338"/>
      <c r="AP11" s="2333"/>
      <c r="AQ11" s="2333"/>
      <c r="AR11" s="2333"/>
      <c r="AS11" s="2333"/>
      <c r="AT11" s="2333"/>
      <c r="AU11" s="2333"/>
      <c r="AV11" s="2333"/>
      <c r="AW11" s="2333"/>
      <c r="AX11" s="2333"/>
      <c r="AY11" s="2333"/>
      <c r="AZ11" s="2333"/>
      <c r="BA11" s="2333"/>
      <c r="BB11" s="2338"/>
      <c r="BC11" s="2333"/>
      <c r="BD11" s="2333"/>
      <c r="BE11" s="2338"/>
      <c r="BF11" s="2333"/>
      <c r="BG11" s="2333"/>
      <c r="BH11" s="2333"/>
      <c r="BI11" s="2333"/>
      <c r="BJ11" s="2338"/>
      <c r="BK11" s="2338"/>
      <c r="BL11" s="2333"/>
      <c r="BM11" s="2333"/>
      <c r="BN11" s="2335"/>
      <c r="GJ11" s="2339"/>
      <c r="GK11" s="2339"/>
      <c r="GL11" s="2339"/>
      <c r="GM11" s="2339"/>
      <c r="GN11" s="2339"/>
      <c r="GO11" s="2339"/>
      <c r="GP11" s="2339"/>
      <c r="GQ11" s="2339"/>
      <c r="GR11" s="2339"/>
      <c r="GS11" s="2339"/>
      <c r="GT11" s="2339"/>
      <c r="GU11" s="2339"/>
      <c r="GV11" s="2339"/>
      <c r="GW11" s="2339"/>
      <c r="GX11" s="2339"/>
      <c r="GY11" s="2339"/>
      <c r="GZ11" s="2339"/>
      <c r="HA11" s="2339"/>
    </row>
    <row r="12" spans="1:209" s="2327" customFormat="1" ht="18.899999999999999" customHeight="1">
      <c r="A12" s="2328" t="s">
        <v>7</v>
      </c>
      <c r="B12" s="2083"/>
      <c r="C12" s="2337"/>
      <c r="D12" s="2330"/>
      <c r="E12" s="2330"/>
      <c r="F12" s="2330">
        <f t="shared" si="0"/>
        <v>0</v>
      </c>
      <c r="G12" s="2330">
        <f t="shared" si="1"/>
        <v>0</v>
      </c>
      <c r="H12" s="2083"/>
      <c r="I12" s="2083"/>
      <c r="J12" s="2188"/>
      <c r="K12" s="2188"/>
      <c r="L12" s="2332" t="s">
        <v>615</v>
      </c>
      <c r="M12" s="2333"/>
      <c r="N12" s="2333"/>
      <c r="O12" s="2333"/>
      <c r="P12" s="2333"/>
      <c r="Q12" s="2333"/>
      <c r="R12" s="2333"/>
      <c r="S12" s="2333"/>
      <c r="T12" s="2333"/>
      <c r="U12" s="2333"/>
      <c r="V12" s="2333"/>
      <c r="W12" s="2333"/>
      <c r="X12" s="2333"/>
      <c r="Y12" s="2333"/>
      <c r="Z12" s="2333"/>
      <c r="AA12" s="2329"/>
      <c r="AB12" s="2333"/>
      <c r="AC12" s="2333"/>
      <c r="AD12" s="2333"/>
      <c r="AE12" s="2333"/>
      <c r="AF12" s="2333"/>
      <c r="AG12" s="2333"/>
      <c r="AH12" s="2333"/>
      <c r="AI12" s="2333"/>
      <c r="AJ12" s="2333"/>
      <c r="AK12" s="2333"/>
      <c r="AL12" s="2333"/>
      <c r="AM12" s="2333"/>
      <c r="AN12" s="2333"/>
      <c r="AO12" s="2338"/>
      <c r="AP12" s="2333"/>
      <c r="AQ12" s="2333"/>
      <c r="AR12" s="2333"/>
      <c r="AS12" s="2333"/>
      <c r="AT12" s="2333"/>
      <c r="AU12" s="2333"/>
      <c r="AV12" s="2333"/>
      <c r="AW12" s="2333"/>
      <c r="AX12" s="2333"/>
      <c r="AY12" s="2333"/>
      <c r="AZ12" s="2333"/>
      <c r="BA12" s="2333"/>
      <c r="BB12" s="2338"/>
      <c r="BC12" s="2333"/>
      <c r="BD12" s="2333"/>
      <c r="BE12" s="2338"/>
      <c r="BF12" s="2333"/>
      <c r="BG12" s="2333"/>
      <c r="BH12" s="2333"/>
      <c r="BI12" s="2333"/>
      <c r="BJ12" s="2338"/>
      <c r="BK12" s="2338"/>
      <c r="BL12" s="2333"/>
      <c r="BM12" s="2333"/>
      <c r="BN12" s="2335"/>
    </row>
    <row r="13" spans="1:209" s="2327" customFormat="1" ht="18.899999999999999" customHeight="1">
      <c r="A13" s="2328" t="s">
        <v>8</v>
      </c>
      <c r="B13" s="2083"/>
      <c r="C13" s="2337"/>
      <c r="D13" s="2330"/>
      <c r="E13" s="2330"/>
      <c r="F13" s="2330">
        <f t="shared" si="0"/>
        <v>0</v>
      </c>
      <c r="G13" s="2330">
        <f t="shared" si="1"/>
        <v>0</v>
      </c>
      <c r="H13" s="2083"/>
      <c r="I13" s="2083"/>
      <c r="J13" s="2188"/>
      <c r="K13" s="2188"/>
      <c r="L13" s="2332" t="s">
        <v>615</v>
      </c>
      <c r="M13" s="2333"/>
      <c r="N13" s="2333"/>
      <c r="O13" s="2333"/>
      <c r="P13" s="2333"/>
      <c r="Q13" s="2333"/>
      <c r="R13" s="2333"/>
      <c r="S13" s="2333"/>
      <c r="T13" s="2333"/>
      <c r="U13" s="2333"/>
      <c r="V13" s="2333"/>
      <c r="W13" s="2333"/>
      <c r="X13" s="2333"/>
      <c r="Y13" s="2333"/>
      <c r="Z13" s="2333"/>
      <c r="AA13" s="2329"/>
      <c r="AB13" s="2333"/>
      <c r="AC13" s="2333"/>
      <c r="AD13" s="2333"/>
      <c r="AE13" s="2333"/>
      <c r="AF13" s="2333"/>
      <c r="AG13" s="2333"/>
      <c r="AH13" s="2333"/>
      <c r="AI13" s="2333"/>
      <c r="AJ13" s="2333"/>
      <c r="AK13" s="2333"/>
      <c r="AL13" s="2333"/>
      <c r="AM13" s="2333"/>
      <c r="AN13" s="2333"/>
      <c r="AO13" s="2338"/>
      <c r="AP13" s="2333"/>
      <c r="AQ13" s="2333"/>
      <c r="AR13" s="2333"/>
      <c r="AS13" s="2333"/>
      <c r="AT13" s="2333"/>
      <c r="AU13" s="2333"/>
      <c r="AV13" s="2333"/>
      <c r="AW13" s="2333"/>
      <c r="AX13" s="2333"/>
      <c r="AY13" s="2333"/>
      <c r="AZ13" s="2333"/>
      <c r="BA13" s="2333"/>
      <c r="BB13" s="2338"/>
      <c r="BC13" s="2333"/>
      <c r="BD13" s="2333"/>
      <c r="BE13" s="2338"/>
      <c r="BF13" s="2333"/>
      <c r="BG13" s="2333"/>
      <c r="BH13" s="2333"/>
      <c r="BI13" s="2333"/>
      <c r="BJ13" s="2338"/>
      <c r="BK13" s="2338"/>
      <c r="BL13" s="2333"/>
      <c r="BM13" s="2333"/>
      <c r="BN13" s="2335"/>
    </row>
    <row r="14" spans="1:209" s="2327" customFormat="1" ht="16.8">
      <c r="A14" s="2328" t="s">
        <v>9</v>
      </c>
      <c r="B14" s="2083"/>
      <c r="C14" s="2337"/>
      <c r="D14" s="2330"/>
      <c r="E14" s="2330"/>
      <c r="F14" s="2330">
        <f t="shared" si="0"/>
        <v>0</v>
      </c>
      <c r="G14" s="2330">
        <f t="shared" si="1"/>
        <v>0</v>
      </c>
      <c r="H14" s="2083"/>
      <c r="I14" s="2083"/>
      <c r="J14" s="2188"/>
      <c r="K14" s="2188"/>
      <c r="L14" s="2332" t="s">
        <v>1113</v>
      </c>
      <c r="M14" s="2333"/>
      <c r="N14" s="2333"/>
      <c r="O14" s="2333"/>
      <c r="P14" s="2333"/>
      <c r="Q14" s="2333"/>
      <c r="R14" s="2333"/>
      <c r="S14" s="2333"/>
      <c r="T14" s="2333"/>
      <c r="U14" s="2333"/>
      <c r="V14" s="2333"/>
      <c r="W14" s="2333"/>
      <c r="X14" s="2333"/>
      <c r="Y14" s="2333"/>
      <c r="Z14" s="2333"/>
      <c r="AA14" s="2329"/>
      <c r="AB14" s="2333"/>
      <c r="AC14" s="2333"/>
      <c r="AD14" s="2333"/>
      <c r="AE14" s="2333"/>
      <c r="AF14" s="2333"/>
      <c r="AG14" s="2333"/>
      <c r="AH14" s="2333"/>
      <c r="AI14" s="2333"/>
      <c r="AJ14" s="2333"/>
      <c r="AK14" s="2333"/>
      <c r="AL14" s="2333"/>
      <c r="AM14" s="2333"/>
      <c r="AN14" s="2333"/>
      <c r="AO14" s="2338"/>
      <c r="AP14" s="2333"/>
      <c r="AQ14" s="2333"/>
      <c r="AR14" s="2333"/>
      <c r="AS14" s="2333"/>
      <c r="AT14" s="2333"/>
      <c r="AU14" s="2333"/>
      <c r="AV14" s="2333"/>
      <c r="AW14" s="2333"/>
      <c r="AX14" s="2333"/>
      <c r="AY14" s="2333"/>
      <c r="AZ14" s="2333"/>
      <c r="BA14" s="2333"/>
      <c r="BB14" s="2338"/>
      <c r="BC14" s="2333"/>
      <c r="BD14" s="2333"/>
      <c r="BE14" s="2338"/>
      <c r="BF14" s="2333"/>
      <c r="BG14" s="2333"/>
      <c r="BH14" s="2333"/>
      <c r="BI14" s="2333"/>
      <c r="BJ14" s="2338"/>
      <c r="BK14" s="2338"/>
      <c r="BL14" s="2333"/>
      <c r="BM14" s="2333"/>
      <c r="BN14" s="2335"/>
    </row>
    <row r="15" spans="1:209" s="2327" customFormat="1" ht="18.899999999999999" customHeight="1">
      <c r="A15" s="2328">
        <v>15</v>
      </c>
      <c r="B15" s="2083"/>
      <c r="C15" s="2337"/>
      <c r="D15" s="2330"/>
      <c r="E15" s="2330"/>
      <c r="F15" s="2330">
        <f t="shared" si="0"/>
        <v>0</v>
      </c>
      <c r="G15" s="2330">
        <f t="shared" si="1"/>
        <v>0</v>
      </c>
      <c r="H15" s="2083"/>
      <c r="I15" s="2083"/>
      <c r="J15" s="2188"/>
      <c r="K15" s="2188"/>
      <c r="L15" s="2332" t="s">
        <v>615</v>
      </c>
      <c r="M15" s="2333"/>
      <c r="N15" s="2333"/>
      <c r="O15" s="2333"/>
      <c r="P15" s="2333"/>
      <c r="Q15" s="2333"/>
      <c r="R15" s="2333"/>
      <c r="S15" s="2333"/>
      <c r="T15" s="2333"/>
      <c r="U15" s="2333"/>
      <c r="V15" s="2333"/>
      <c r="W15" s="2333"/>
      <c r="X15" s="2333"/>
      <c r="Y15" s="2333"/>
      <c r="Z15" s="2333"/>
      <c r="AA15" s="2329"/>
      <c r="AB15" s="2333"/>
      <c r="AC15" s="2333"/>
      <c r="AD15" s="2333"/>
      <c r="AE15" s="2333"/>
      <c r="AF15" s="2333"/>
      <c r="AG15" s="2333"/>
      <c r="AH15" s="2333"/>
      <c r="AI15" s="2333"/>
      <c r="AJ15" s="2333"/>
      <c r="AK15" s="2333"/>
      <c r="AL15" s="2333"/>
      <c r="AM15" s="2333"/>
      <c r="AN15" s="2333"/>
      <c r="AO15" s="2338"/>
      <c r="AP15" s="2333"/>
      <c r="AQ15" s="2333"/>
      <c r="AR15" s="2333"/>
      <c r="AS15" s="2333"/>
      <c r="AT15" s="2333"/>
      <c r="AU15" s="2333"/>
      <c r="AV15" s="2333"/>
      <c r="AW15" s="2333"/>
      <c r="AX15" s="2333"/>
      <c r="AY15" s="2333"/>
      <c r="AZ15" s="2333"/>
      <c r="BA15" s="2333"/>
      <c r="BB15" s="2338"/>
      <c r="BC15" s="2333"/>
      <c r="BD15" s="2333"/>
      <c r="BE15" s="2338"/>
      <c r="BF15" s="2333"/>
      <c r="BG15" s="2333"/>
      <c r="BH15" s="2333"/>
      <c r="BI15" s="2333"/>
      <c r="BJ15" s="2338"/>
      <c r="BK15" s="2338"/>
      <c r="BL15" s="2333"/>
      <c r="BM15" s="2333"/>
      <c r="BN15" s="2335"/>
      <c r="GJ15" s="2339"/>
      <c r="GK15" s="2339"/>
      <c r="GL15" s="2339"/>
      <c r="GM15" s="2339"/>
      <c r="GN15" s="2339"/>
      <c r="GO15" s="2339"/>
      <c r="GP15" s="2339"/>
      <c r="GQ15" s="2339"/>
      <c r="GR15" s="2339"/>
      <c r="GS15" s="2339"/>
      <c r="GT15" s="2339"/>
      <c r="GU15" s="2339"/>
      <c r="GV15" s="2339"/>
      <c r="GW15" s="2339"/>
      <c r="GX15" s="2339"/>
      <c r="GY15" s="2339"/>
      <c r="GZ15" s="2339"/>
      <c r="HA15" s="2339"/>
    </row>
    <row r="16" spans="1:209" s="2327" customFormat="1" ht="18.899999999999999" customHeight="1">
      <c r="A16" s="2328">
        <v>16</v>
      </c>
      <c r="B16" s="2083"/>
      <c r="C16" s="2337"/>
      <c r="D16" s="2330"/>
      <c r="E16" s="2330"/>
      <c r="F16" s="2330">
        <f t="shared" si="0"/>
        <v>0</v>
      </c>
      <c r="G16" s="2330">
        <f t="shared" si="1"/>
        <v>0</v>
      </c>
      <c r="H16" s="2083"/>
      <c r="I16" s="2083"/>
      <c r="J16" s="2188"/>
      <c r="K16" s="2188"/>
      <c r="L16" s="2332" t="s">
        <v>1113</v>
      </c>
      <c r="M16" s="2333"/>
      <c r="N16" s="2333"/>
      <c r="O16" s="2333"/>
      <c r="P16" s="2333"/>
      <c r="Q16" s="2333"/>
      <c r="R16" s="2333"/>
      <c r="S16" s="2333"/>
      <c r="T16" s="2333"/>
      <c r="U16" s="2333"/>
      <c r="V16" s="2333"/>
      <c r="W16" s="2333"/>
      <c r="X16" s="2333"/>
      <c r="Y16" s="2333"/>
      <c r="Z16" s="2333"/>
      <c r="AA16" s="2329"/>
      <c r="AB16" s="2333"/>
      <c r="AC16" s="2333"/>
      <c r="AD16" s="2333"/>
      <c r="AE16" s="2333"/>
      <c r="AF16" s="2333"/>
      <c r="AG16" s="2333"/>
      <c r="AH16" s="2333"/>
      <c r="AI16" s="2333"/>
      <c r="AJ16" s="2333"/>
      <c r="AK16" s="2333"/>
      <c r="AL16" s="2333"/>
      <c r="AM16" s="2333"/>
      <c r="AN16" s="2333"/>
      <c r="AO16" s="2338"/>
      <c r="AP16" s="2333"/>
      <c r="AQ16" s="2333"/>
      <c r="AR16" s="2333"/>
      <c r="AS16" s="2333"/>
      <c r="AT16" s="2333"/>
      <c r="AU16" s="2333"/>
      <c r="AV16" s="2333"/>
      <c r="AW16" s="2333"/>
      <c r="AX16" s="2333"/>
      <c r="AY16" s="2333"/>
      <c r="AZ16" s="2333"/>
      <c r="BA16" s="2333"/>
      <c r="BB16" s="2338"/>
      <c r="BC16" s="2333"/>
      <c r="BD16" s="2333"/>
      <c r="BE16" s="2338"/>
      <c r="BF16" s="2333"/>
      <c r="BG16" s="2333"/>
      <c r="BH16" s="2333"/>
      <c r="BI16" s="2333"/>
      <c r="BJ16" s="2338"/>
      <c r="BK16" s="2338"/>
      <c r="BL16" s="2333"/>
      <c r="BM16" s="2333"/>
      <c r="BN16" s="2335"/>
    </row>
    <row r="17" spans="1:209" s="2350" customFormat="1" ht="18.899999999999999" customHeight="1">
      <c r="A17" s="2340">
        <v>15</v>
      </c>
      <c r="B17" s="2341"/>
      <c r="C17" s="2342"/>
      <c r="D17" s="2343"/>
      <c r="E17" s="2343"/>
      <c r="F17" s="2343">
        <f t="shared" si="0"/>
        <v>0</v>
      </c>
      <c r="G17" s="2344"/>
      <c r="H17" s="2341"/>
      <c r="I17" s="2341"/>
      <c r="J17" s="2345"/>
      <c r="K17" s="2345"/>
      <c r="L17" s="2345" t="s">
        <v>615</v>
      </c>
      <c r="M17" s="2346"/>
      <c r="N17" s="2346"/>
      <c r="O17" s="2346"/>
      <c r="P17" s="2346"/>
      <c r="Q17" s="2346"/>
      <c r="R17" s="2346"/>
      <c r="S17" s="2346"/>
      <c r="T17" s="2346"/>
      <c r="U17" s="2346"/>
      <c r="V17" s="2346"/>
      <c r="W17" s="2346"/>
      <c r="X17" s="2346"/>
      <c r="Y17" s="2346"/>
      <c r="Z17" s="2346"/>
      <c r="AA17" s="2347"/>
      <c r="AB17" s="2346"/>
      <c r="AC17" s="2346"/>
      <c r="AD17" s="2346"/>
      <c r="AE17" s="2346"/>
      <c r="AF17" s="2346"/>
      <c r="AG17" s="2346"/>
      <c r="AH17" s="2346"/>
      <c r="AI17" s="2346"/>
      <c r="AJ17" s="2346"/>
      <c r="AK17" s="2346"/>
      <c r="AL17" s="2346"/>
      <c r="AM17" s="2346"/>
      <c r="AN17" s="2346"/>
      <c r="AO17" s="2348"/>
      <c r="AP17" s="2346"/>
      <c r="AQ17" s="2346"/>
      <c r="AR17" s="2346"/>
      <c r="AS17" s="2346"/>
      <c r="AT17" s="2346"/>
      <c r="AU17" s="2346"/>
      <c r="AV17" s="2346"/>
      <c r="AW17" s="2346"/>
      <c r="AX17" s="2346"/>
      <c r="AY17" s="2346"/>
      <c r="AZ17" s="2346"/>
      <c r="BA17" s="2346"/>
      <c r="BB17" s="2348"/>
      <c r="BC17" s="2346"/>
      <c r="BD17" s="2346"/>
      <c r="BE17" s="2348"/>
      <c r="BF17" s="2346"/>
      <c r="BG17" s="2346"/>
      <c r="BH17" s="2346"/>
      <c r="BI17" s="2346"/>
      <c r="BJ17" s="2348"/>
      <c r="BK17" s="2348"/>
      <c r="BL17" s="2346"/>
      <c r="BM17" s="2346"/>
      <c r="BN17" s="2349"/>
    </row>
    <row r="18" spans="1:209" s="2327" customFormat="1" ht="16.8">
      <c r="A18" s="2328">
        <v>14</v>
      </c>
      <c r="B18" s="2083"/>
      <c r="C18" s="2337"/>
      <c r="D18" s="2330"/>
      <c r="E18" s="2330"/>
      <c r="F18" s="2330">
        <f t="shared" si="0"/>
        <v>0</v>
      </c>
      <c r="G18" s="2330">
        <f>C18+G16</f>
        <v>0</v>
      </c>
      <c r="H18" s="2083"/>
      <c r="I18" s="2083"/>
      <c r="J18" s="2188"/>
      <c r="K18" s="2188"/>
      <c r="L18" s="2351" t="s">
        <v>615</v>
      </c>
      <c r="M18" s="2333"/>
      <c r="N18" s="2333"/>
      <c r="O18" s="2333"/>
      <c r="P18" s="2333"/>
      <c r="Q18" s="2333"/>
      <c r="R18" s="2333"/>
      <c r="S18" s="2333"/>
      <c r="T18" s="2333"/>
      <c r="U18" s="2333"/>
      <c r="V18" s="2333"/>
      <c r="W18" s="2333"/>
      <c r="X18" s="2333"/>
      <c r="Y18" s="2333"/>
      <c r="Z18" s="2333"/>
      <c r="AA18" s="2329"/>
      <c r="AB18" s="2333"/>
      <c r="AC18" s="2333"/>
      <c r="AD18" s="2333"/>
      <c r="AE18" s="2333"/>
      <c r="AF18" s="2333"/>
      <c r="AG18" s="2333"/>
      <c r="AH18" s="2333"/>
      <c r="AI18" s="2333"/>
      <c r="AJ18" s="2333"/>
      <c r="AK18" s="2333"/>
      <c r="AL18" s="2333"/>
      <c r="AM18" s="2333"/>
      <c r="AN18" s="2333"/>
      <c r="AO18" s="2338"/>
      <c r="AP18" s="2333"/>
      <c r="AQ18" s="2333"/>
      <c r="AR18" s="2333"/>
      <c r="AS18" s="2333"/>
      <c r="AT18" s="2333"/>
      <c r="AU18" s="2333"/>
      <c r="AV18" s="2333"/>
      <c r="AW18" s="2333"/>
      <c r="AX18" s="2333"/>
      <c r="AY18" s="2333"/>
      <c r="AZ18" s="2333"/>
      <c r="BA18" s="2333"/>
      <c r="BB18" s="2338"/>
      <c r="BC18" s="2333"/>
      <c r="BD18" s="2333"/>
      <c r="BE18" s="2338"/>
      <c r="BF18" s="2333"/>
      <c r="BG18" s="2333"/>
      <c r="BH18" s="2333"/>
      <c r="BI18" s="2333"/>
      <c r="BJ18" s="2338"/>
      <c r="BK18" s="2338"/>
      <c r="BL18" s="2333"/>
      <c r="BM18" s="2333"/>
      <c r="BN18" s="2335"/>
    </row>
    <row r="19" spans="1:209" s="2327" customFormat="1" ht="18.899999999999999" customHeight="1">
      <c r="A19" s="2328">
        <v>12</v>
      </c>
      <c r="B19" s="2083"/>
      <c r="C19" s="2337"/>
      <c r="D19" s="2330"/>
      <c r="E19" s="2330"/>
      <c r="F19" s="2330">
        <f t="shared" si="0"/>
        <v>0</v>
      </c>
      <c r="G19" s="2330">
        <f t="shared" ref="G19:G34" si="2">C19+G18</f>
        <v>0</v>
      </c>
      <c r="H19" s="2083"/>
      <c r="I19" s="2083"/>
      <c r="J19" s="2188"/>
      <c r="K19" s="2188"/>
      <c r="L19" s="2351" t="s">
        <v>1506</v>
      </c>
      <c r="M19" s="2333"/>
      <c r="N19" s="2333"/>
      <c r="O19" s="2333"/>
      <c r="P19" s="2333"/>
      <c r="Q19" s="2333"/>
      <c r="R19" s="2333"/>
      <c r="S19" s="2333"/>
      <c r="T19" s="2333"/>
      <c r="U19" s="2333"/>
      <c r="V19" s="2333"/>
      <c r="W19" s="2333"/>
      <c r="X19" s="2333"/>
      <c r="Y19" s="2333"/>
      <c r="Z19" s="2333"/>
      <c r="AA19" s="2329"/>
      <c r="AB19" s="2333"/>
      <c r="AC19" s="2333"/>
      <c r="AD19" s="2333"/>
      <c r="AE19" s="2333"/>
      <c r="AF19" s="2333"/>
      <c r="AG19" s="2333"/>
      <c r="AH19" s="2333"/>
      <c r="AI19" s="2333"/>
      <c r="AJ19" s="2333"/>
      <c r="AK19" s="2333"/>
      <c r="AL19" s="2333"/>
      <c r="AM19" s="2333"/>
      <c r="AN19" s="2333"/>
      <c r="AO19" s="2338"/>
      <c r="AP19" s="2333"/>
      <c r="AQ19" s="2333"/>
      <c r="AR19" s="2333"/>
      <c r="AS19" s="2333"/>
      <c r="AT19" s="2333"/>
      <c r="AU19" s="2333"/>
      <c r="AV19" s="2333"/>
      <c r="AW19" s="2333"/>
      <c r="AX19" s="2333"/>
      <c r="AY19" s="2333"/>
      <c r="AZ19" s="2333"/>
      <c r="BA19" s="2333"/>
      <c r="BB19" s="2338"/>
      <c r="BC19" s="2333"/>
      <c r="BD19" s="2333"/>
      <c r="BE19" s="2338"/>
      <c r="BF19" s="2333"/>
      <c r="BG19" s="2333"/>
      <c r="BH19" s="2333"/>
      <c r="BI19" s="2333"/>
      <c r="BJ19" s="2338"/>
      <c r="BK19" s="2338"/>
      <c r="BL19" s="2333"/>
      <c r="BM19" s="2333"/>
      <c r="BN19" s="2335"/>
      <c r="GJ19" s="2339"/>
      <c r="GK19" s="2339"/>
      <c r="GL19" s="2339"/>
      <c r="GM19" s="2339"/>
      <c r="GN19" s="2339"/>
      <c r="GO19" s="2339"/>
      <c r="GP19" s="2339"/>
      <c r="GQ19" s="2339"/>
      <c r="GR19" s="2339"/>
      <c r="GS19" s="2339"/>
      <c r="GT19" s="2339"/>
      <c r="GU19" s="2339"/>
      <c r="GV19" s="2339"/>
      <c r="GW19" s="2339"/>
      <c r="GX19" s="2339"/>
      <c r="GY19" s="2339"/>
      <c r="GZ19" s="2339"/>
      <c r="HA19" s="2339"/>
    </row>
    <row r="20" spans="1:209" s="2327" customFormat="1" ht="18.899999999999999" customHeight="1">
      <c r="A20" s="2328">
        <v>11</v>
      </c>
      <c r="B20" s="2083"/>
      <c r="C20" s="2337"/>
      <c r="D20" s="2330"/>
      <c r="E20" s="2330"/>
      <c r="F20" s="2330">
        <f t="shared" si="0"/>
        <v>0</v>
      </c>
      <c r="G20" s="2330">
        <f t="shared" si="2"/>
        <v>0</v>
      </c>
      <c r="H20" s="2083"/>
      <c r="I20" s="2083"/>
      <c r="J20" s="2188"/>
      <c r="K20" s="2188"/>
      <c r="L20" s="2351" t="s">
        <v>615</v>
      </c>
      <c r="M20" s="2333"/>
      <c r="N20" s="2333"/>
      <c r="O20" s="2333"/>
      <c r="P20" s="2333"/>
      <c r="Q20" s="2333"/>
      <c r="R20" s="2333"/>
      <c r="S20" s="2333"/>
      <c r="T20" s="2333"/>
      <c r="U20" s="2333"/>
      <c r="V20" s="2333"/>
      <c r="W20" s="2333"/>
      <c r="X20" s="2333"/>
      <c r="Y20" s="2333"/>
      <c r="Z20" s="2333"/>
      <c r="AA20" s="2329"/>
      <c r="AB20" s="2333"/>
      <c r="AC20" s="2333"/>
      <c r="AD20" s="2333"/>
      <c r="AE20" s="2333"/>
      <c r="AF20" s="2333"/>
      <c r="AG20" s="2333"/>
      <c r="AH20" s="2333"/>
      <c r="AI20" s="2333"/>
      <c r="AJ20" s="2333"/>
      <c r="AK20" s="2333"/>
      <c r="AL20" s="2333"/>
      <c r="AM20" s="2333"/>
      <c r="AN20" s="2333"/>
      <c r="AO20" s="2338"/>
      <c r="AP20" s="2333"/>
      <c r="AQ20" s="2333"/>
      <c r="AR20" s="2333"/>
      <c r="AS20" s="2333"/>
      <c r="AT20" s="2333"/>
      <c r="AU20" s="2333"/>
      <c r="AV20" s="2333"/>
      <c r="AW20" s="2333"/>
      <c r="AX20" s="2333"/>
      <c r="AY20" s="2333"/>
      <c r="AZ20" s="2333"/>
      <c r="BA20" s="2333"/>
      <c r="BB20" s="2338"/>
      <c r="BC20" s="2333"/>
      <c r="BD20" s="2333"/>
      <c r="BE20" s="2338"/>
      <c r="BF20" s="2333"/>
      <c r="BG20" s="2333"/>
      <c r="BH20" s="2333"/>
      <c r="BI20" s="2333"/>
      <c r="BJ20" s="2338"/>
      <c r="BK20" s="2338"/>
      <c r="BL20" s="2333"/>
      <c r="BM20" s="2333"/>
      <c r="BN20" s="2335"/>
    </row>
    <row r="21" spans="1:209" s="2327" customFormat="1" ht="18.899999999999999" customHeight="1">
      <c r="A21" s="2328">
        <v>10</v>
      </c>
      <c r="B21" s="2083"/>
      <c r="C21" s="2337"/>
      <c r="D21" s="2330"/>
      <c r="E21" s="2330"/>
      <c r="F21" s="2330">
        <f t="shared" si="0"/>
        <v>0</v>
      </c>
      <c r="G21" s="2330">
        <f t="shared" si="2"/>
        <v>0</v>
      </c>
      <c r="H21" s="2083"/>
      <c r="I21" s="2083"/>
      <c r="J21" s="2188"/>
      <c r="K21" s="2188"/>
      <c r="L21" s="2351" t="s">
        <v>341</v>
      </c>
      <c r="M21" s="2333"/>
      <c r="N21" s="2333"/>
      <c r="O21" s="2333"/>
      <c r="P21" s="2333"/>
      <c r="Q21" s="2333"/>
      <c r="R21" s="2333"/>
      <c r="S21" s="2333"/>
      <c r="T21" s="2333"/>
      <c r="U21" s="2333"/>
      <c r="V21" s="2333"/>
      <c r="W21" s="2333"/>
      <c r="X21" s="2333"/>
      <c r="Y21" s="2333"/>
      <c r="Z21" s="2333"/>
      <c r="AA21" s="2329"/>
      <c r="AB21" s="2333"/>
      <c r="AC21" s="2333"/>
      <c r="AD21" s="2333"/>
      <c r="AE21" s="2333"/>
      <c r="AF21" s="2333"/>
      <c r="AG21" s="2333"/>
      <c r="AH21" s="2333"/>
      <c r="AI21" s="2333"/>
      <c r="AJ21" s="2333"/>
      <c r="AK21" s="2333"/>
      <c r="AL21" s="2333"/>
      <c r="AM21" s="2333"/>
      <c r="AN21" s="2333"/>
      <c r="AO21" s="2338"/>
      <c r="AP21" s="2333"/>
      <c r="AQ21" s="2333"/>
      <c r="AR21" s="2333"/>
      <c r="AS21" s="2333"/>
      <c r="AT21" s="2333"/>
      <c r="AU21" s="2333"/>
      <c r="AV21" s="2333"/>
      <c r="AW21" s="2333"/>
      <c r="AX21" s="2333"/>
      <c r="AY21" s="2333"/>
      <c r="AZ21" s="2333"/>
      <c r="BA21" s="2333"/>
      <c r="BB21" s="2338"/>
      <c r="BC21" s="2333"/>
      <c r="BD21" s="2333"/>
      <c r="BE21" s="2338"/>
      <c r="BF21" s="2333"/>
      <c r="BG21" s="2333"/>
      <c r="BH21" s="2333"/>
      <c r="BI21" s="2333"/>
      <c r="BJ21" s="2338"/>
      <c r="BK21" s="2338"/>
      <c r="BL21" s="2333"/>
      <c r="BM21" s="2333"/>
      <c r="BN21" s="2335"/>
    </row>
    <row r="22" spans="1:209" s="2327" customFormat="1" ht="18.899999999999999" customHeight="1">
      <c r="A22" s="2328" t="s">
        <v>11</v>
      </c>
      <c r="B22" s="2083"/>
      <c r="C22" s="2337"/>
      <c r="D22" s="2330"/>
      <c r="E22" s="2330"/>
      <c r="F22" s="2330">
        <f t="shared" si="0"/>
        <v>0</v>
      </c>
      <c r="G22" s="2330">
        <f t="shared" si="2"/>
        <v>0</v>
      </c>
      <c r="H22" s="2083"/>
      <c r="I22" s="2083"/>
      <c r="J22" s="2188"/>
      <c r="K22" s="2188"/>
      <c r="L22" s="2351" t="s">
        <v>615</v>
      </c>
      <c r="M22" s="2333"/>
      <c r="N22" s="2333"/>
      <c r="O22" s="2333"/>
      <c r="P22" s="2333"/>
      <c r="Q22" s="2333"/>
      <c r="R22" s="2333"/>
      <c r="S22" s="2333"/>
      <c r="T22" s="2333"/>
      <c r="U22" s="2333"/>
      <c r="V22" s="2333"/>
      <c r="W22" s="2333"/>
      <c r="X22" s="2333"/>
      <c r="Y22" s="2333"/>
      <c r="Z22" s="2333"/>
      <c r="AA22" s="2329"/>
      <c r="AB22" s="2333"/>
      <c r="AC22" s="2333"/>
      <c r="AD22" s="2333"/>
      <c r="AE22" s="2333"/>
      <c r="AF22" s="2333"/>
      <c r="AG22" s="2333"/>
      <c r="AH22" s="2333"/>
      <c r="AI22" s="2333"/>
      <c r="AJ22" s="2333"/>
      <c r="AK22" s="2333"/>
      <c r="AL22" s="2333"/>
      <c r="AM22" s="2333"/>
      <c r="AN22" s="2333"/>
      <c r="AO22" s="2338"/>
      <c r="AP22" s="2333"/>
      <c r="AQ22" s="2333"/>
      <c r="AR22" s="2333"/>
      <c r="AS22" s="2333"/>
      <c r="AT22" s="2333"/>
      <c r="AU22" s="2333"/>
      <c r="AV22" s="2333"/>
      <c r="AW22" s="2333"/>
      <c r="AX22" s="2333"/>
      <c r="AY22" s="2333"/>
      <c r="AZ22" s="2333"/>
      <c r="BA22" s="2333"/>
      <c r="BB22" s="2338"/>
      <c r="BC22" s="2333"/>
      <c r="BD22" s="2333"/>
      <c r="BE22" s="2338"/>
      <c r="BF22" s="2333"/>
      <c r="BG22" s="2333"/>
      <c r="BH22" s="2333"/>
      <c r="BI22" s="2333"/>
      <c r="BJ22" s="2333"/>
      <c r="BK22" s="2338"/>
      <c r="BL22" s="2333"/>
      <c r="BM22" s="2333"/>
      <c r="BN22" s="2335"/>
      <c r="GJ22" s="2339"/>
      <c r="GK22" s="2339"/>
      <c r="GL22" s="2339"/>
      <c r="GM22" s="2339"/>
      <c r="GN22" s="2339"/>
      <c r="GO22" s="2339"/>
      <c r="GP22" s="2339"/>
      <c r="GQ22" s="2339"/>
      <c r="GR22" s="2339"/>
      <c r="GS22" s="2339"/>
      <c r="GT22" s="2339"/>
      <c r="GU22" s="2339"/>
      <c r="GV22" s="2339"/>
      <c r="GW22" s="2339"/>
      <c r="GX22" s="2339"/>
      <c r="GY22" s="2339"/>
      <c r="GZ22" s="2339"/>
      <c r="HA22" s="2339"/>
    </row>
    <row r="23" spans="1:209" s="2327" customFormat="1" ht="18.899999999999999" customHeight="1">
      <c r="A23" s="2328"/>
      <c r="B23" s="2083"/>
      <c r="C23" s="2337"/>
      <c r="D23" s="2330"/>
      <c r="E23" s="2330"/>
      <c r="F23" s="2330">
        <f t="shared" si="0"/>
        <v>0</v>
      </c>
      <c r="G23" s="2330">
        <f t="shared" si="2"/>
        <v>0</v>
      </c>
      <c r="H23" s="2083"/>
      <c r="I23" s="2083"/>
      <c r="J23" s="2188"/>
      <c r="K23" s="2188"/>
      <c r="L23" s="2351" t="s">
        <v>615</v>
      </c>
      <c r="M23" s="2333"/>
      <c r="N23" s="2333"/>
      <c r="O23" s="2333"/>
      <c r="P23" s="2333"/>
      <c r="Q23" s="2333"/>
      <c r="R23" s="2333"/>
      <c r="S23" s="2333"/>
      <c r="T23" s="2333"/>
      <c r="U23" s="2333"/>
      <c r="V23" s="2333"/>
      <c r="W23" s="2333"/>
      <c r="X23" s="2333"/>
      <c r="Y23" s="2333"/>
      <c r="Z23" s="2333"/>
      <c r="AA23" s="2333"/>
      <c r="AB23" s="2333"/>
      <c r="AC23" s="2333"/>
      <c r="AD23" s="2333"/>
      <c r="AE23" s="2333"/>
      <c r="AF23" s="2333"/>
      <c r="AG23" s="2333"/>
      <c r="AH23" s="2333"/>
      <c r="AI23" s="2333"/>
      <c r="AJ23" s="2333"/>
      <c r="AK23" s="2333"/>
      <c r="AL23" s="2333"/>
      <c r="AM23" s="2333"/>
      <c r="AN23" s="2333"/>
      <c r="AO23" s="2333"/>
      <c r="AP23" s="2333"/>
      <c r="AQ23" s="2333"/>
      <c r="AR23" s="2333"/>
      <c r="AS23" s="2333"/>
      <c r="AT23" s="2333"/>
      <c r="AU23" s="2333"/>
      <c r="AV23" s="2333"/>
      <c r="AW23" s="2333"/>
      <c r="AX23" s="2333"/>
      <c r="AY23" s="2333"/>
      <c r="AZ23" s="2333"/>
      <c r="BA23" s="2333"/>
      <c r="BB23" s="2333"/>
      <c r="BC23" s="2333"/>
      <c r="BD23" s="2333"/>
      <c r="BE23" s="2333"/>
      <c r="BF23" s="2333"/>
      <c r="BG23" s="2333"/>
      <c r="BH23" s="2333"/>
      <c r="BI23" s="2333"/>
      <c r="BJ23" s="2333"/>
      <c r="BK23" s="2333"/>
      <c r="BL23" s="2333"/>
      <c r="BM23" s="2333"/>
      <c r="BN23" s="2335"/>
    </row>
    <row r="24" spans="1:209" s="2327" customFormat="1" ht="18.899999999999999" customHeight="1">
      <c r="A24" s="2328"/>
      <c r="B24" s="2083"/>
      <c r="C24" s="2337"/>
      <c r="D24" s="2330"/>
      <c r="E24" s="2330"/>
      <c r="F24" s="2330">
        <f t="shared" si="0"/>
        <v>0</v>
      </c>
      <c r="G24" s="2330">
        <f t="shared" si="2"/>
        <v>0</v>
      </c>
      <c r="H24" s="2083"/>
      <c r="I24" s="2083"/>
      <c r="J24" s="2188"/>
      <c r="K24" s="2188"/>
      <c r="L24" s="2351" t="s">
        <v>615</v>
      </c>
      <c r="M24" s="2333"/>
      <c r="N24" s="2333"/>
      <c r="O24" s="2333"/>
      <c r="P24" s="2333"/>
      <c r="Q24" s="2333"/>
      <c r="R24" s="2333"/>
      <c r="S24" s="2333"/>
      <c r="T24" s="2333"/>
      <c r="U24" s="2333"/>
      <c r="V24" s="2333"/>
      <c r="W24" s="2333"/>
      <c r="X24" s="2333"/>
      <c r="Y24" s="2333"/>
      <c r="Z24" s="2333"/>
      <c r="AA24" s="2333"/>
      <c r="AB24" s="2333"/>
      <c r="AC24" s="2333"/>
      <c r="AD24" s="2333"/>
      <c r="AE24" s="2333"/>
      <c r="AF24" s="2333"/>
      <c r="AG24" s="2333"/>
      <c r="AH24" s="2333"/>
      <c r="AI24" s="2333"/>
      <c r="AJ24" s="2333"/>
      <c r="AK24" s="2333"/>
      <c r="AL24" s="2333"/>
      <c r="AM24" s="2333"/>
      <c r="AN24" s="2333"/>
      <c r="AO24" s="2333"/>
      <c r="AP24" s="2333"/>
      <c r="AQ24" s="2333"/>
      <c r="AR24" s="2333"/>
      <c r="AS24" s="2333"/>
      <c r="AT24" s="2333"/>
      <c r="AU24" s="2333"/>
      <c r="AV24" s="2333"/>
      <c r="AW24" s="2333"/>
      <c r="AX24" s="2333"/>
      <c r="AY24" s="2333"/>
      <c r="AZ24" s="2333"/>
      <c r="BA24" s="2333"/>
      <c r="BB24" s="2333"/>
      <c r="BC24" s="2333"/>
      <c r="BD24" s="2333"/>
      <c r="BE24" s="2333"/>
      <c r="BF24" s="2333"/>
      <c r="BG24" s="2333"/>
      <c r="BH24" s="2333"/>
      <c r="BI24" s="2333"/>
      <c r="BJ24" s="2333"/>
      <c r="BK24" s="2333"/>
      <c r="BL24" s="2333"/>
      <c r="BM24" s="2333"/>
      <c r="BN24" s="2335"/>
    </row>
    <row r="25" spans="1:209" s="2327" customFormat="1" ht="18.899999999999999" customHeight="1">
      <c r="A25" s="2328"/>
      <c r="B25" s="2083"/>
      <c r="C25" s="2337"/>
      <c r="D25" s="2330"/>
      <c r="E25" s="2330"/>
      <c r="F25" s="2330">
        <f t="shared" si="0"/>
        <v>0</v>
      </c>
      <c r="G25" s="2330">
        <f t="shared" si="2"/>
        <v>0</v>
      </c>
      <c r="H25" s="2083"/>
      <c r="I25" s="2083"/>
      <c r="J25" s="2188"/>
      <c r="K25" s="2188"/>
      <c r="L25" s="2351" t="s">
        <v>341</v>
      </c>
      <c r="M25" s="2333"/>
      <c r="N25" s="2333"/>
      <c r="O25" s="2333"/>
      <c r="P25" s="2333"/>
      <c r="Q25" s="2333"/>
      <c r="R25" s="2333"/>
      <c r="S25" s="2333"/>
      <c r="T25" s="2333"/>
      <c r="U25" s="2333"/>
      <c r="V25" s="2333"/>
      <c r="W25" s="2333"/>
      <c r="X25" s="2333"/>
      <c r="Y25" s="2333"/>
      <c r="Z25" s="2333"/>
      <c r="AA25" s="2333"/>
      <c r="AB25" s="2333"/>
      <c r="AC25" s="2333"/>
      <c r="AD25" s="2333"/>
      <c r="AE25" s="2333"/>
      <c r="AF25" s="2333"/>
      <c r="AG25" s="2333"/>
      <c r="AH25" s="2333"/>
      <c r="AI25" s="2333"/>
      <c r="AJ25" s="2333"/>
      <c r="AK25" s="2333"/>
      <c r="AL25" s="2333"/>
      <c r="AM25" s="2333"/>
      <c r="AN25" s="2333"/>
      <c r="AO25" s="2333"/>
      <c r="AP25" s="2333"/>
      <c r="AQ25" s="2333"/>
      <c r="AR25" s="2333"/>
      <c r="AS25" s="2333"/>
      <c r="AT25" s="2333"/>
      <c r="AU25" s="2333"/>
      <c r="AV25" s="2333"/>
      <c r="AW25" s="2333"/>
      <c r="AX25" s="2333"/>
      <c r="AY25" s="2333"/>
      <c r="AZ25" s="2333"/>
      <c r="BA25" s="2333"/>
      <c r="BB25" s="2333"/>
      <c r="BC25" s="2333"/>
      <c r="BD25" s="2333"/>
      <c r="BE25" s="2333"/>
      <c r="BF25" s="2333"/>
      <c r="BG25" s="2333"/>
      <c r="BH25" s="2333"/>
      <c r="BI25" s="2333"/>
      <c r="BJ25" s="2333"/>
      <c r="BK25" s="2333"/>
      <c r="BL25" s="2333"/>
      <c r="BM25" s="2333"/>
      <c r="BN25" s="2335"/>
    </row>
    <row r="26" spans="1:209" s="2327" customFormat="1" ht="18.899999999999999" customHeight="1">
      <c r="A26" s="2328"/>
      <c r="B26" s="2083"/>
      <c r="C26" s="2337"/>
      <c r="D26" s="2330"/>
      <c r="E26" s="2330"/>
      <c r="F26" s="2330">
        <f t="shared" si="0"/>
        <v>0</v>
      </c>
      <c r="G26" s="2330">
        <f t="shared" si="2"/>
        <v>0</v>
      </c>
      <c r="H26" s="2083"/>
      <c r="I26" s="2083"/>
      <c r="J26" s="2188"/>
      <c r="K26" s="2188"/>
      <c r="L26" s="2351" t="s">
        <v>341</v>
      </c>
      <c r="M26" s="2333"/>
      <c r="N26" s="2333"/>
      <c r="O26" s="2333"/>
      <c r="P26" s="2333"/>
      <c r="Q26" s="2333"/>
      <c r="R26" s="2333"/>
      <c r="S26" s="2333"/>
      <c r="T26" s="2333"/>
      <c r="U26" s="2333"/>
      <c r="V26" s="2333"/>
      <c r="W26" s="2333"/>
      <c r="X26" s="2333"/>
      <c r="Y26" s="2333"/>
      <c r="Z26" s="2333"/>
      <c r="AA26" s="2333"/>
      <c r="AB26" s="2333"/>
      <c r="AC26" s="2333"/>
      <c r="AD26" s="2333"/>
      <c r="AE26" s="2333"/>
      <c r="AF26" s="2333"/>
      <c r="AG26" s="2333"/>
      <c r="AH26" s="2333"/>
      <c r="AI26" s="2333"/>
      <c r="AJ26" s="2333"/>
      <c r="AK26" s="2333"/>
      <c r="AL26" s="2333"/>
      <c r="AM26" s="2333"/>
      <c r="AN26" s="2333"/>
      <c r="AO26" s="2333"/>
      <c r="AP26" s="2333"/>
      <c r="AQ26" s="2333"/>
      <c r="AR26" s="2333"/>
      <c r="AS26" s="2333"/>
      <c r="AT26" s="2333"/>
      <c r="AU26" s="2333"/>
      <c r="AV26" s="2333"/>
      <c r="AW26" s="2333"/>
      <c r="AX26" s="2333"/>
      <c r="AY26" s="2333"/>
      <c r="AZ26" s="2333"/>
      <c r="BA26" s="2333"/>
      <c r="BB26" s="2333"/>
      <c r="BC26" s="2333"/>
      <c r="BD26" s="2333"/>
      <c r="BE26" s="2333"/>
      <c r="BF26" s="2333"/>
      <c r="BG26" s="2333"/>
      <c r="BH26" s="2333"/>
      <c r="BI26" s="2333"/>
      <c r="BJ26" s="2333"/>
      <c r="BK26" s="2333"/>
      <c r="BL26" s="2333"/>
      <c r="BM26" s="2333"/>
      <c r="BN26" s="2335"/>
      <c r="GJ26" s="2339"/>
      <c r="GK26" s="2339"/>
      <c r="GL26" s="2339"/>
      <c r="GM26" s="2339"/>
      <c r="GN26" s="2339"/>
      <c r="GO26" s="2339"/>
      <c r="GP26" s="2339"/>
      <c r="GQ26" s="2339"/>
      <c r="GR26" s="2339"/>
      <c r="GS26" s="2339"/>
      <c r="GT26" s="2339"/>
      <c r="GU26" s="2339"/>
      <c r="GV26" s="2339"/>
      <c r="GW26" s="2339"/>
      <c r="GX26" s="2339"/>
      <c r="GY26" s="2339"/>
      <c r="GZ26" s="2339"/>
      <c r="HA26" s="2339"/>
    </row>
    <row r="27" spans="1:209" s="2327" customFormat="1" ht="18.899999999999999" customHeight="1">
      <c r="A27" s="2328"/>
      <c r="B27" s="2083"/>
      <c r="C27" s="2337"/>
      <c r="D27" s="2330"/>
      <c r="E27" s="2330"/>
      <c r="F27" s="2330">
        <f t="shared" si="0"/>
        <v>0</v>
      </c>
      <c r="G27" s="2330">
        <f t="shared" si="2"/>
        <v>0</v>
      </c>
      <c r="H27" s="2083"/>
      <c r="I27" s="2083"/>
      <c r="J27" s="2188"/>
      <c r="K27" s="2188"/>
      <c r="L27" s="2351" t="s">
        <v>341</v>
      </c>
      <c r="M27" s="2333"/>
      <c r="N27" s="2333"/>
      <c r="O27" s="2333"/>
      <c r="P27" s="2333"/>
      <c r="Q27" s="2333"/>
      <c r="R27" s="2333"/>
      <c r="S27" s="2333"/>
      <c r="T27" s="2333"/>
      <c r="U27" s="2333"/>
      <c r="V27" s="2333"/>
      <c r="W27" s="2333"/>
      <c r="X27" s="2333"/>
      <c r="Y27" s="2333"/>
      <c r="Z27" s="2333"/>
      <c r="AA27" s="2333"/>
      <c r="AB27" s="2333"/>
      <c r="AC27" s="2333"/>
      <c r="AD27" s="2333"/>
      <c r="AE27" s="2333"/>
      <c r="AF27" s="2333"/>
      <c r="AG27" s="2333"/>
      <c r="AH27" s="2333"/>
      <c r="AI27" s="2333"/>
      <c r="AJ27" s="2333"/>
      <c r="AK27" s="2333"/>
      <c r="AL27" s="2333"/>
      <c r="AM27" s="2333"/>
      <c r="AN27" s="2333"/>
      <c r="AO27" s="2333"/>
      <c r="AP27" s="2333"/>
      <c r="AQ27" s="2333"/>
      <c r="AR27" s="2333"/>
      <c r="AS27" s="2333"/>
      <c r="AT27" s="2333"/>
      <c r="AU27" s="2333"/>
      <c r="AV27" s="2333"/>
      <c r="AW27" s="2333"/>
      <c r="AX27" s="2333"/>
      <c r="AY27" s="2333"/>
      <c r="AZ27" s="2333"/>
      <c r="BA27" s="2333"/>
      <c r="BB27" s="2333"/>
      <c r="BC27" s="2333"/>
      <c r="BD27" s="2333"/>
      <c r="BE27" s="2333"/>
      <c r="BF27" s="2333"/>
      <c r="BG27" s="2333"/>
      <c r="BH27" s="2333"/>
      <c r="BI27" s="2333"/>
      <c r="BJ27" s="2333"/>
      <c r="BK27" s="2333"/>
      <c r="BL27" s="2333"/>
      <c r="BM27" s="2333"/>
      <c r="BN27" s="2335"/>
    </row>
    <row r="28" spans="1:209" s="2327" customFormat="1" ht="18.899999999999999" customHeight="1">
      <c r="A28" s="2328"/>
      <c r="B28" s="2083"/>
      <c r="C28" s="2337"/>
      <c r="D28" s="2330"/>
      <c r="E28" s="2330"/>
      <c r="F28" s="2330">
        <f t="shared" si="0"/>
        <v>0</v>
      </c>
      <c r="G28" s="2330">
        <f t="shared" si="2"/>
        <v>0</v>
      </c>
      <c r="H28" s="2083"/>
      <c r="I28" s="2083"/>
      <c r="J28" s="2188"/>
      <c r="K28" s="2188"/>
      <c r="L28" s="2351" t="s">
        <v>1457</v>
      </c>
      <c r="M28" s="2333"/>
      <c r="N28" s="2333"/>
      <c r="O28" s="2333"/>
      <c r="P28" s="2333"/>
      <c r="Q28" s="2333"/>
      <c r="R28" s="2333"/>
      <c r="S28" s="2333"/>
      <c r="T28" s="2333"/>
      <c r="U28" s="2333"/>
      <c r="V28" s="2333"/>
      <c r="W28" s="2333"/>
      <c r="X28" s="2333"/>
      <c r="Y28" s="2333"/>
      <c r="Z28" s="2333"/>
      <c r="AA28" s="2333"/>
      <c r="AB28" s="2333"/>
      <c r="AC28" s="2333"/>
      <c r="AD28" s="2333"/>
      <c r="AE28" s="2333"/>
      <c r="AF28" s="2333"/>
      <c r="AG28" s="2333"/>
      <c r="AH28" s="2333"/>
      <c r="AI28" s="2333"/>
      <c r="AJ28" s="2333"/>
      <c r="AK28" s="2333"/>
      <c r="AL28" s="2333"/>
      <c r="AM28" s="2333"/>
      <c r="AN28" s="2333"/>
      <c r="AO28" s="2333"/>
      <c r="AP28" s="2333"/>
      <c r="AQ28" s="2333"/>
      <c r="AR28" s="2333"/>
      <c r="AS28" s="2333"/>
      <c r="AT28" s="2333"/>
      <c r="AU28" s="2333"/>
      <c r="AV28" s="2333"/>
      <c r="AW28" s="2333"/>
      <c r="AX28" s="2333"/>
      <c r="AY28" s="2333"/>
      <c r="AZ28" s="2333"/>
      <c r="BA28" s="2333"/>
      <c r="BB28" s="2333"/>
      <c r="BC28" s="2333"/>
      <c r="BD28" s="2333"/>
      <c r="BE28" s="2333"/>
      <c r="BF28" s="2333"/>
      <c r="BG28" s="2333"/>
      <c r="BH28" s="2333"/>
      <c r="BI28" s="2333"/>
      <c r="BJ28" s="2333"/>
      <c r="BK28" s="2333"/>
      <c r="BL28" s="2333"/>
      <c r="BM28" s="2333"/>
      <c r="BN28" s="2335"/>
    </row>
    <row r="29" spans="1:209" s="2327" customFormat="1" ht="18.899999999999999" customHeight="1">
      <c r="A29" s="2328"/>
      <c r="B29" s="2083"/>
      <c r="C29" s="2337"/>
      <c r="D29" s="2330"/>
      <c r="E29" s="2330"/>
      <c r="F29" s="2330">
        <f t="shared" si="0"/>
        <v>0</v>
      </c>
      <c r="G29" s="2330">
        <f t="shared" si="2"/>
        <v>0</v>
      </c>
      <c r="H29" s="2083"/>
      <c r="I29" s="2083"/>
      <c r="J29" s="2188"/>
      <c r="K29" s="2188"/>
      <c r="L29" s="2351" t="s">
        <v>341</v>
      </c>
      <c r="M29" s="2333"/>
      <c r="N29" s="2333"/>
      <c r="O29" s="2333"/>
      <c r="P29" s="2333"/>
      <c r="Q29" s="2333"/>
      <c r="R29" s="2333"/>
      <c r="S29" s="2333"/>
      <c r="T29" s="2333"/>
      <c r="U29" s="2333"/>
      <c r="V29" s="2333"/>
      <c r="W29" s="2333"/>
      <c r="X29" s="2333"/>
      <c r="Y29" s="2333"/>
      <c r="Z29" s="2333"/>
      <c r="AA29" s="2333"/>
      <c r="AB29" s="2333"/>
      <c r="AC29" s="2333"/>
      <c r="AD29" s="2333"/>
      <c r="AE29" s="2333"/>
      <c r="AF29" s="2333"/>
      <c r="AG29" s="2333"/>
      <c r="AH29" s="2333"/>
      <c r="AI29" s="2333"/>
      <c r="AJ29" s="2333"/>
      <c r="AK29" s="2333"/>
      <c r="AL29" s="2333"/>
      <c r="AM29" s="2333"/>
      <c r="AN29" s="2333"/>
      <c r="AO29" s="2333"/>
      <c r="AP29" s="2333"/>
      <c r="AQ29" s="2333"/>
      <c r="AR29" s="2333"/>
      <c r="AS29" s="2333"/>
      <c r="AT29" s="2333"/>
      <c r="AU29" s="2333"/>
      <c r="AV29" s="2333"/>
      <c r="AW29" s="2333"/>
      <c r="AX29" s="2333"/>
      <c r="AY29" s="2333"/>
      <c r="AZ29" s="2333"/>
      <c r="BA29" s="2333"/>
      <c r="BB29" s="2333"/>
      <c r="BC29" s="2333"/>
      <c r="BD29" s="2333"/>
      <c r="BE29" s="2333"/>
      <c r="BF29" s="2333"/>
      <c r="BG29" s="2333"/>
      <c r="BH29" s="2333"/>
      <c r="BI29" s="2333"/>
      <c r="BJ29" s="2333"/>
      <c r="BK29" s="2333"/>
      <c r="BL29" s="2333"/>
      <c r="BM29" s="2333"/>
      <c r="BN29" s="2335"/>
      <c r="GJ29" s="2339"/>
      <c r="GK29" s="2339"/>
      <c r="GL29" s="2339"/>
      <c r="GM29" s="2339"/>
      <c r="GN29" s="2339"/>
      <c r="GO29" s="2339"/>
      <c r="GP29" s="2339"/>
      <c r="GQ29" s="2339"/>
      <c r="GR29" s="2339"/>
      <c r="GS29" s="2339"/>
      <c r="GT29" s="2339"/>
      <c r="GU29" s="2339"/>
      <c r="GV29" s="2339"/>
      <c r="GW29" s="2339"/>
      <c r="GX29" s="2339"/>
      <c r="GY29" s="2339"/>
      <c r="GZ29" s="2339"/>
      <c r="HA29" s="2339"/>
    </row>
    <row r="30" spans="1:209" s="2327" customFormat="1" ht="18.899999999999999" customHeight="1">
      <c r="A30" s="2328"/>
      <c r="B30" s="2083"/>
      <c r="C30" s="2337"/>
      <c r="D30" s="2330"/>
      <c r="E30" s="2330"/>
      <c r="F30" s="2330">
        <f t="shared" si="0"/>
        <v>0</v>
      </c>
      <c r="G30" s="2330">
        <f t="shared" si="2"/>
        <v>0</v>
      </c>
      <c r="H30" s="2083"/>
      <c r="I30" s="2083"/>
      <c r="J30" s="2188"/>
      <c r="K30" s="2188"/>
      <c r="L30" s="2351" t="s">
        <v>341</v>
      </c>
      <c r="M30" s="2333"/>
      <c r="N30" s="2333"/>
      <c r="O30" s="2333"/>
      <c r="P30" s="2333"/>
      <c r="Q30" s="2333"/>
      <c r="R30" s="2333"/>
      <c r="S30" s="2333"/>
      <c r="T30" s="2333"/>
      <c r="U30" s="2333"/>
      <c r="V30" s="2333"/>
      <c r="W30" s="2333"/>
      <c r="X30" s="2333"/>
      <c r="Y30" s="2333"/>
      <c r="Z30" s="2333"/>
      <c r="AA30" s="2333"/>
      <c r="AB30" s="2333"/>
      <c r="AC30" s="2333"/>
      <c r="AD30" s="2333"/>
      <c r="AE30" s="2333"/>
      <c r="AF30" s="2333"/>
      <c r="AG30" s="2333"/>
      <c r="AH30" s="2333"/>
      <c r="AI30" s="2333"/>
      <c r="AJ30" s="2333"/>
      <c r="AK30" s="2333"/>
      <c r="AL30" s="2333"/>
      <c r="AM30" s="2333"/>
      <c r="AN30" s="2333"/>
      <c r="AO30" s="2333"/>
      <c r="AP30" s="2333"/>
      <c r="AQ30" s="2333"/>
      <c r="AR30" s="2333"/>
      <c r="AS30" s="2333"/>
      <c r="AT30" s="2333"/>
      <c r="AU30" s="2333"/>
      <c r="AV30" s="2333"/>
      <c r="AW30" s="2333"/>
      <c r="AX30" s="2333"/>
      <c r="AY30" s="2333"/>
      <c r="AZ30" s="2333"/>
      <c r="BA30" s="2333"/>
      <c r="BB30" s="2333"/>
      <c r="BC30" s="2333"/>
      <c r="BD30" s="2333"/>
      <c r="BE30" s="2333"/>
      <c r="BF30" s="2333"/>
      <c r="BG30" s="2333"/>
      <c r="BH30" s="2333"/>
      <c r="BI30" s="2333"/>
      <c r="BJ30" s="2333"/>
      <c r="BK30" s="2333"/>
      <c r="BL30" s="2333"/>
      <c r="BM30" s="2333"/>
      <c r="BN30" s="2335"/>
    </row>
    <row r="31" spans="1:209" s="2327" customFormat="1" ht="18.899999999999999" customHeight="1">
      <c r="A31" s="2328"/>
      <c r="B31" s="2083"/>
      <c r="C31" s="2337"/>
      <c r="D31" s="2330"/>
      <c r="E31" s="2330"/>
      <c r="F31" s="2330">
        <f t="shared" si="0"/>
        <v>0</v>
      </c>
      <c r="G31" s="2330">
        <f t="shared" si="2"/>
        <v>0</v>
      </c>
      <c r="H31" s="2083"/>
      <c r="I31" s="2083"/>
      <c r="J31" s="2188"/>
      <c r="K31" s="2188"/>
      <c r="L31" s="2351" t="s">
        <v>341</v>
      </c>
      <c r="M31" s="2333"/>
      <c r="N31" s="2333"/>
      <c r="O31" s="2333"/>
      <c r="P31" s="2333"/>
      <c r="Q31" s="2333"/>
      <c r="R31" s="2333"/>
      <c r="S31" s="2333"/>
      <c r="T31" s="2333"/>
      <c r="U31" s="2333"/>
      <c r="V31" s="2333"/>
      <c r="W31" s="2333"/>
      <c r="X31" s="2333"/>
      <c r="Y31" s="2333"/>
      <c r="Z31" s="2333"/>
      <c r="AA31" s="2333"/>
      <c r="AB31" s="2333"/>
      <c r="AC31" s="2333"/>
      <c r="AD31" s="2333"/>
      <c r="AE31" s="2333"/>
      <c r="AF31" s="2333"/>
      <c r="AG31" s="2333"/>
      <c r="AH31" s="2333"/>
      <c r="AI31" s="2333"/>
      <c r="AJ31" s="2333"/>
      <c r="AK31" s="2333"/>
      <c r="AL31" s="2333"/>
      <c r="AM31" s="2333"/>
      <c r="AN31" s="2333"/>
      <c r="AO31" s="2333"/>
      <c r="AP31" s="2333"/>
      <c r="AQ31" s="2333"/>
      <c r="AR31" s="2333"/>
      <c r="AS31" s="2333"/>
      <c r="AT31" s="2333"/>
      <c r="AU31" s="2333"/>
      <c r="AV31" s="2333"/>
      <c r="AW31" s="2333"/>
      <c r="AX31" s="2333"/>
      <c r="AY31" s="2333"/>
      <c r="AZ31" s="2333"/>
      <c r="BA31" s="2333"/>
      <c r="BB31" s="2333"/>
      <c r="BC31" s="2333"/>
      <c r="BD31" s="2333"/>
      <c r="BE31" s="2333"/>
      <c r="BF31" s="2333"/>
      <c r="BG31" s="2333"/>
      <c r="BH31" s="2333"/>
      <c r="BI31" s="2333"/>
      <c r="BJ31" s="2333"/>
      <c r="BK31" s="2333"/>
      <c r="BL31" s="2333"/>
      <c r="BM31" s="2333"/>
      <c r="BN31" s="2335"/>
    </row>
    <row r="32" spans="1:209" s="2327" customFormat="1" ht="18.899999999999999" customHeight="1">
      <c r="A32" s="2328"/>
      <c r="B32" s="2083"/>
      <c r="C32" s="2337"/>
      <c r="D32" s="2330"/>
      <c r="E32" s="2330"/>
      <c r="F32" s="2330">
        <f t="shared" si="0"/>
        <v>0</v>
      </c>
      <c r="G32" s="2330">
        <f t="shared" si="2"/>
        <v>0</v>
      </c>
      <c r="H32" s="2083"/>
      <c r="I32" s="2083"/>
      <c r="J32" s="2188"/>
      <c r="K32" s="2188"/>
      <c r="L32" s="2351" t="s">
        <v>341</v>
      </c>
      <c r="M32" s="2333"/>
      <c r="N32" s="2333"/>
      <c r="O32" s="2333"/>
      <c r="P32" s="2333"/>
      <c r="Q32" s="2333"/>
      <c r="R32" s="2333"/>
      <c r="S32" s="2333"/>
      <c r="T32" s="2333"/>
      <c r="U32" s="2333"/>
      <c r="V32" s="2333"/>
      <c r="W32" s="2333"/>
      <c r="X32" s="2333"/>
      <c r="Y32" s="2333"/>
      <c r="Z32" s="2333"/>
      <c r="AA32" s="2333"/>
      <c r="AB32" s="2333"/>
      <c r="AC32" s="2333"/>
      <c r="AD32" s="2333"/>
      <c r="AE32" s="2333"/>
      <c r="AF32" s="2333"/>
      <c r="AG32" s="2333"/>
      <c r="AH32" s="2333"/>
      <c r="AI32" s="2333"/>
      <c r="AJ32" s="2333"/>
      <c r="AK32" s="2333"/>
      <c r="AL32" s="2333"/>
      <c r="AM32" s="2333"/>
      <c r="AN32" s="2333"/>
      <c r="AO32" s="2333"/>
      <c r="AP32" s="2333"/>
      <c r="AQ32" s="2333"/>
      <c r="AR32" s="2333"/>
      <c r="AS32" s="2333"/>
      <c r="AT32" s="2333"/>
      <c r="AU32" s="2333"/>
      <c r="AV32" s="2333"/>
      <c r="AW32" s="2333"/>
      <c r="AX32" s="2333"/>
      <c r="AY32" s="2333"/>
      <c r="AZ32" s="2333"/>
      <c r="BA32" s="2333"/>
      <c r="BB32" s="2333"/>
      <c r="BC32" s="2333"/>
      <c r="BD32" s="2333"/>
      <c r="BE32" s="2333"/>
      <c r="BF32" s="2333"/>
      <c r="BG32" s="2333"/>
      <c r="BH32" s="2333"/>
      <c r="BI32" s="2333"/>
      <c r="BJ32" s="2333"/>
      <c r="BK32" s="2333"/>
      <c r="BL32" s="2333"/>
      <c r="BM32" s="2333"/>
      <c r="BN32" s="2335"/>
      <c r="GJ32" s="2339"/>
      <c r="GK32" s="2339"/>
      <c r="GL32" s="2339"/>
      <c r="GM32" s="2339"/>
      <c r="GN32" s="2339"/>
      <c r="GO32" s="2339"/>
      <c r="GP32" s="2339"/>
      <c r="GQ32" s="2339"/>
      <c r="GR32" s="2339"/>
      <c r="GS32" s="2339"/>
      <c r="GT32" s="2339"/>
      <c r="GU32" s="2339"/>
      <c r="GV32" s="2339"/>
      <c r="GW32" s="2339"/>
      <c r="GX32" s="2339"/>
      <c r="GY32" s="2339"/>
      <c r="GZ32" s="2339"/>
      <c r="HA32" s="2339"/>
    </row>
    <row r="33" spans="1:209" s="2327" customFormat="1" ht="18.899999999999999" customHeight="1">
      <c r="A33" s="2328"/>
      <c r="B33" s="2083"/>
      <c r="C33" s="2337"/>
      <c r="D33" s="2330"/>
      <c r="E33" s="2330"/>
      <c r="F33" s="2330">
        <f t="shared" si="0"/>
        <v>0</v>
      </c>
      <c r="G33" s="2330">
        <f t="shared" si="2"/>
        <v>0</v>
      </c>
      <c r="H33" s="2083"/>
      <c r="I33" s="2083"/>
      <c r="J33" s="2188"/>
      <c r="K33" s="2188"/>
      <c r="L33" s="2351" t="s">
        <v>341</v>
      </c>
      <c r="M33" s="2333"/>
      <c r="N33" s="2333"/>
      <c r="O33" s="2333"/>
      <c r="P33" s="2333"/>
      <c r="Q33" s="2333"/>
      <c r="R33" s="2333"/>
      <c r="S33" s="2333"/>
      <c r="T33" s="2333"/>
      <c r="U33" s="2333"/>
      <c r="V33" s="2333"/>
      <c r="W33" s="2333"/>
      <c r="X33" s="2333"/>
      <c r="Y33" s="2333"/>
      <c r="Z33" s="2333"/>
      <c r="AA33" s="2333"/>
      <c r="AB33" s="2333"/>
      <c r="AC33" s="2333"/>
      <c r="AD33" s="2333"/>
      <c r="AE33" s="2333"/>
      <c r="AF33" s="2333"/>
      <c r="AG33" s="2333"/>
      <c r="AH33" s="2333"/>
      <c r="AI33" s="2333"/>
      <c r="AJ33" s="2333"/>
      <c r="AK33" s="2333"/>
      <c r="AL33" s="2333"/>
      <c r="AM33" s="2333"/>
      <c r="AN33" s="2333"/>
      <c r="AO33" s="2333"/>
      <c r="AP33" s="2333"/>
      <c r="AQ33" s="2333"/>
      <c r="AR33" s="2333"/>
      <c r="AS33" s="2333"/>
      <c r="AT33" s="2333"/>
      <c r="AU33" s="2333"/>
      <c r="AV33" s="2333"/>
      <c r="AW33" s="2333"/>
      <c r="AX33" s="2333"/>
      <c r="AY33" s="2333"/>
      <c r="AZ33" s="2333"/>
      <c r="BA33" s="2333"/>
      <c r="BB33" s="2333"/>
      <c r="BC33" s="2333"/>
      <c r="BD33" s="2333"/>
      <c r="BE33" s="2333"/>
      <c r="BF33" s="2333"/>
      <c r="BG33" s="2333"/>
      <c r="BH33" s="2333"/>
      <c r="BI33" s="2333"/>
      <c r="BJ33" s="2333"/>
      <c r="BK33" s="2333"/>
      <c r="BL33" s="2333"/>
      <c r="BM33" s="2333"/>
      <c r="BN33" s="2335"/>
    </row>
    <row r="34" spans="1:209" s="2327" customFormat="1" ht="18.899999999999999" customHeight="1">
      <c r="A34" s="2328" t="s">
        <v>10</v>
      </c>
      <c r="B34" s="2083"/>
      <c r="C34" s="2337"/>
      <c r="D34" s="2352"/>
      <c r="E34" s="2352"/>
      <c r="F34" s="2330">
        <f t="shared" si="0"/>
        <v>0</v>
      </c>
      <c r="G34" s="2330">
        <f t="shared" si="2"/>
        <v>0</v>
      </c>
      <c r="H34" s="2083"/>
      <c r="I34" s="2353"/>
      <c r="J34" s="2354"/>
      <c r="K34" s="2354"/>
      <c r="L34" s="2351" t="s">
        <v>615</v>
      </c>
      <c r="M34" s="2355"/>
      <c r="N34" s="2355"/>
      <c r="O34" s="2355"/>
      <c r="P34" s="2355"/>
      <c r="Q34" s="2355"/>
      <c r="R34" s="2355"/>
      <c r="S34" s="2355"/>
      <c r="T34" s="2333"/>
      <c r="U34" s="2355"/>
      <c r="V34" s="2355"/>
      <c r="W34" s="2355"/>
      <c r="X34" s="2355"/>
      <c r="Y34" s="2355"/>
      <c r="Z34" s="2355"/>
      <c r="AA34" s="2355"/>
      <c r="AB34" s="2333"/>
      <c r="AC34" s="2355"/>
      <c r="AD34" s="2333"/>
      <c r="AE34" s="2355"/>
      <c r="AF34" s="2333"/>
      <c r="AG34" s="2355"/>
      <c r="AH34" s="2355"/>
      <c r="AI34" s="2355"/>
      <c r="AJ34" s="2355"/>
      <c r="AK34" s="2355"/>
      <c r="AL34" s="2355"/>
      <c r="AM34" s="2355"/>
      <c r="AN34" s="2355"/>
      <c r="AO34" s="2333"/>
      <c r="AP34" s="2355"/>
      <c r="AQ34" s="2355"/>
      <c r="AR34" s="2355"/>
      <c r="AS34" s="2355"/>
      <c r="AT34" s="2355"/>
      <c r="AU34" s="2355"/>
      <c r="AV34" s="2333"/>
      <c r="AW34" s="2355"/>
      <c r="AX34" s="2355"/>
      <c r="AY34" s="2355"/>
      <c r="AZ34" s="2355"/>
      <c r="BA34" s="2333"/>
      <c r="BB34" s="2355"/>
      <c r="BC34" s="2355"/>
      <c r="BD34" s="2355"/>
      <c r="BE34" s="2355"/>
      <c r="BF34" s="2355"/>
      <c r="BG34" s="2355"/>
      <c r="BH34" s="2355"/>
      <c r="BI34" s="2355"/>
      <c r="BJ34" s="2355"/>
      <c r="BK34" s="2355"/>
      <c r="BL34" s="2355"/>
      <c r="BM34" s="2355"/>
      <c r="BN34" s="2356"/>
    </row>
    <row r="35" spans="1:209" s="2360" customFormat="1" ht="13.8">
      <c r="A35" s="2571" t="s">
        <v>4010</v>
      </c>
      <c r="B35" s="2572"/>
      <c r="C35" s="2357">
        <f>SUM(C7:C34)</f>
        <v>0</v>
      </c>
      <c r="D35" s="2357">
        <f>D34</f>
        <v>0</v>
      </c>
      <c r="E35" s="2357">
        <f>E34</f>
        <v>0</v>
      </c>
      <c r="F35" s="2357">
        <f>F34*0</f>
        <v>0</v>
      </c>
      <c r="G35" s="2357">
        <f>G34</f>
        <v>0</v>
      </c>
      <c r="H35" s="2358">
        <f>H34</f>
        <v>0</v>
      </c>
      <c r="I35" s="2358">
        <f>I34</f>
        <v>0</v>
      </c>
      <c r="J35" s="2358">
        <f>J34</f>
        <v>0</v>
      </c>
      <c r="K35" s="2358">
        <f>K34</f>
        <v>0</v>
      </c>
      <c r="L35" s="2358"/>
      <c r="M35" s="2358">
        <f>SUM(M7:M34)</f>
        <v>0</v>
      </c>
      <c r="N35" s="2358"/>
      <c r="O35" s="2358"/>
      <c r="P35" s="2358">
        <f t="shared" ref="P35:AU35" si="3">SUM(P7:P34)</f>
        <v>0</v>
      </c>
      <c r="Q35" s="2358">
        <f t="shared" si="3"/>
        <v>0</v>
      </c>
      <c r="R35" s="2358">
        <f t="shared" si="3"/>
        <v>0</v>
      </c>
      <c r="S35" s="2358">
        <f t="shared" si="3"/>
        <v>0</v>
      </c>
      <c r="T35" s="2358">
        <f t="shared" si="3"/>
        <v>0</v>
      </c>
      <c r="U35" s="2358">
        <f t="shared" si="3"/>
        <v>0</v>
      </c>
      <c r="V35" s="2358">
        <f t="shared" si="3"/>
        <v>0</v>
      </c>
      <c r="W35" s="2358">
        <f t="shared" si="3"/>
        <v>0</v>
      </c>
      <c r="X35" s="2358">
        <f t="shared" si="3"/>
        <v>0</v>
      </c>
      <c r="Y35" s="2358">
        <f t="shared" si="3"/>
        <v>0</v>
      </c>
      <c r="Z35" s="2358">
        <f t="shared" si="3"/>
        <v>0</v>
      </c>
      <c r="AA35" s="2358">
        <f t="shared" si="3"/>
        <v>0</v>
      </c>
      <c r="AB35" s="2358">
        <f t="shared" si="3"/>
        <v>0</v>
      </c>
      <c r="AC35" s="2358">
        <f t="shared" si="3"/>
        <v>0</v>
      </c>
      <c r="AD35" s="2358">
        <f t="shared" si="3"/>
        <v>0</v>
      </c>
      <c r="AE35" s="2358">
        <f t="shared" si="3"/>
        <v>0</v>
      </c>
      <c r="AF35" s="2358">
        <f t="shared" si="3"/>
        <v>0</v>
      </c>
      <c r="AG35" s="2358">
        <f t="shared" si="3"/>
        <v>0</v>
      </c>
      <c r="AH35" s="2358">
        <f t="shared" si="3"/>
        <v>0</v>
      </c>
      <c r="AI35" s="2358">
        <f t="shared" si="3"/>
        <v>0</v>
      </c>
      <c r="AJ35" s="2358">
        <f t="shared" si="3"/>
        <v>0</v>
      </c>
      <c r="AK35" s="2358">
        <f t="shared" si="3"/>
        <v>0</v>
      </c>
      <c r="AL35" s="2358">
        <f t="shared" si="3"/>
        <v>0</v>
      </c>
      <c r="AM35" s="2358">
        <f t="shared" si="3"/>
        <v>0</v>
      </c>
      <c r="AN35" s="2358">
        <f t="shared" si="3"/>
        <v>0</v>
      </c>
      <c r="AO35" s="2358">
        <f t="shared" si="3"/>
        <v>0</v>
      </c>
      <c r="AP35" s="2358">
        <f t="shared" si="3"/>
        <v>0</v>
      </c>
      <c r="AQ35" s="2358">
        <f t="shared" si="3"/>
        <v>0</v>
      </c>
      <c r="AR35" s="2358">
        <f t="shared" si="3"/>
        <v>0</v>
      </c>
      <c r="AS35" s="2358">
        <f t="shared" si="3"/>
        <v>0</v>
      </c>
      <c r="AT35" s="2358">
        <f t="shared" si="3"/>
        <v>0</v>
      </c>
      <c r="AU35" s="2358">
        <f t="shared" si="3"/>
        <v>0</v>
      </c>
      <c r="AV35" s="2358">
        <f t="shared" ref="AV35:BM35" si="4">SUM(AV7:AV34)</f>
        <v>0</v>
      </c>
      <c r="AW35" s="2358">
        <f t="shared" si="4"/>
        <v>0</v>
      </c>
      <c r="AX35" s="2358">
        <f t="shared" si="4"/>
        <v>0</v>
      </c>
      <c r="AY35" s="2358">
        <f t="shared" si="4"/>
        <v>0</v>
      </c>
      <c r="AZ35" s="2358">
        <f t="shared" si="4"/>
        <v>0</v>
      </c>
      <c r="BA35" s="2358">
        <f t="shared" si="4"/>
        <v>0</v>
      </c>
      <c r="BB35" s="2358">
        <f t="shared" si="4"/>
        <v>0</v>
      </c>
      <c r="BC35" s="2358">
        <f t="shared" si="4"/>
        <v>0</v>
      </c>
      <c r="BD35" s="2358">
        <f t="shared" si="4"/>
        <v>0</v>
      </c>
      <c r="BE35" s="2358">
        <f t="shared" si="4"/>
        <v>0</v>
      </c>
      <c r="BF35" s="2358">
        <f t="shared" si="4"/>
        <v>0</v>
      </c>
      <c r="BG35" s="2358">
        <f t="shared" si="4"/>
        <v>0</v>
      </c>
      <c r="BH35" s="2358">
        <f t="shared" si="4"/>
        <v>0</v>
      </c>
      <c r="BI35" s="2358">
        <f t="shared" si="4"/>
        <v>0</v>
      </c>
      <c r="BJ35" s="2358">
        <f t="shared" si="4"/>
        <v>0</v>
      </c>
      <c r="BK35" s="2358">
        <f t="shared" si="4"/>
        <v>0</v>
      </c>
      <c r="BL35" s="2358">
        <f t="shared" si="4"/>
        <v>0</v>
      </c>
      <c r="BM35" s="2358">
        <f t="shared" si="4"/>
        <v>0</v>
      </c>
      <c r="BN35" s="2359"/>
      <c r="BO35" s="413"/>
      <c r="BP35" s="413"/>
      <c r="BQ35" s="413"/>
      <c r="BR35" s="413"/>
      <c r="BS35" s="413"/>
      <c r="BT35" s="413"/>
      <c r="BU35" s="413"/>
      <c r="BV35" s="413"/>
      <c r="BW35" s="413"/>
      <c r="BX35" s="413"/>
      <c r="BY35" s="413"/>
      <c r="BZ35" s="413"/>
      <c r="CA35" s="413"/>
      <c r="CB35" s="413"/>
      <c r="CC35" s="413"/>
      <c r="CD35" s="413"/>
      <c r="CE35" s="413"/>
      <c r="CF35" s="413"/>
      <c r="CG35" s="413"/>
      <c r="CH35" s="413"/>
      <c r="CI35" s="413"/>
      <c r="CJ35" s="413"/>
      <c r="CK35" s="413"/>
      <c r="CL35" s="413"/>
      <c r="CM35" s="413"/>
      <c r="CN35" s="413"/>
      <c r="CO35" s="413"/>
      <c r="CP35" s="413"/>
      <c r="CQ35" s="413"/>
      <c r="CR35" s="413"/>
      <c r="CS35" s="413"/>
      <c r="CT35" s="413"/>
      <c r="CU35" s="413"/>
      <c r="CV35" s="413"/>
      <c r="CW35" s="413"/>
      <c r="CX35" s="413"/>
      <c r="CY35" s="413"/>
      <c r="CZ35" s="413"/>
      <c r="DA35" s="413"/>
      <c r="DB35" s="413"/>
      <c r="DC35" s="413"/>
      <c r="DD35" s="413"/>
      <c r="DE35" s="413"/>
      <c r="DF35" s="413"/>
      <c r="DG35" s="413"/>
      <c r="DH35" s="413"/>
      <c r="DI35" s="413"/>
      <c r="DJ35" s="413"/>
      <c r="DK35" s="413"/>
      <c r="DL35" s="413"/>
      <c r="DM35" s="413"/>
      <c r="DN35" s="413"/>
      <c r="DO35" s="413"/>
      <c r="DP35" s="413"/>
      <c r="DQ35" s="413"/>
      <c r="DR35" s="413"/>
      <c r="DS35" s="413"/>
      <c r="DT35" s="413"/>
      <c r="DU35" s="413"/>
      <c r="DV35" s="413"/>
      <c r="DW35" s="413"/>
      <c r="DX35" s="413"/>
      <c r="DY35" s="413"/>
      <c r="DZ35" s="413"/>
      <c r="EA35" s="413"/>
      <c r="EB35" s="413"/>
      <c r="EC35" s="413"/>
      <c r="ED35" s="413"/>
      <c r="EE35" s="413"/>
      <c r="EF35" s="413"/>
      <c r="EG35" s="413"/>
      <c r="EH35" s="413"/>
      <c r="EI35" s="413"/>
      <c r="EJ35" s="413"/>
      <c r="EK35" s="413"/>
      <c r="EL35" s="413"/>
      <c r="EM35" s="413"/>
      <c r="EN35" s="413"/>
      <c r="EO35" s="413"/>
      <c r="EP35" s="413"/>
      <c r="EQ35" s="413"/>
      <c r="ER35" s="413"/>
      <c r="ES35" s="413"/>
      <c r="ET35" s="413"/>
      <c r="EU35" s="413"/>
      <c r="EV35" s="413"/>
      <c r="EW35" s="413"/>
      <c r="EX35" s="413"/>
      <c r="EY35" s="413"/>
      <c r="EZ35" s="413"/>
      <c r="FA35" s="413"/>
      <c r="FB35" s="413"/>
      <c r="FC35" s="413"/>
      <c r="FD35" s="413"/>
      <c r="FE35" s="413"/>
      <c r="FF35" s="413"/>
      <c r="FG35" s="413"/>
      <c r="FH35" s="413"/>
      <c r="FI35" s="413"/>
      <c r="FJ35" s="413"/>
      <c r="FK35" s="413"/>
      <c r="FL35" s="413"/>
      <c r="FM35" s="413"/>
      <c r="FN35" s="413"/>
      <c r="FO35" s="413"/>
      <c r="FP35" s="413"/>
      <c r="FQ35" s="413"/>
      <c r="FR35" s="413"/>
      <c r="FS35" s="413"/>
      <c r="FT35" s="413"/>
      <c r="FU35" s="413"/>
      <c r="FV35" s="413"/>
      <c r="FW35" s="413"/>
      <c r="FX35" s="413"/>
      <c r="FY35" s="413"/>
      <c r="FZ35" s="413"/>
      <c r="GA35" s="413"/>
      <c r="GB35" s="413"/>
      <c r="GC35" s="413"/>
      <c r="GD35" s="413"/>
      <c r="GE35" s="413"/>
      <c r="GF35" s="413"/>
      <c r="GG35" s="413"/>
      <c r="GH35" s="413"/>
      <c r="GI35" s="413"/>
      <c r="GJ35" s="410"/>
      <c r="GK35" s="410"/>
      <c r="GL35" s="410"/>
      <c r="GM35" s="410"/>
      <c r="GN35" s="410"/>
      <c r="GO35" s="410"/>
      <c r="GP35" s="410"/>
      <c r="GQ35" s="410"/>
      <c r="GR35" s="410"/>
      <c r="GS35" s="410"/>
      <c r="GT35" s="410"/>
      <c r="GU35" s="410"/>
      <c r="GV35" s="410"/>
      <c r="GW35" s="410"/>
      <c r="GX35" s="410"/>
      <c r="GY35" s="410"/>
      <c r="GZ35" s="410"/>
      <c r="HA35" s="410"/>
    </row>
    <row r="36" spans="1:209" ht="13.8">
      <c r="A36" s="569"/>
      <c r="B36" s="2317"/>
      <c r="C36" s="2361"/>
      <c r="D36" s="2361"/>
      <c r="E36" s="2361"/>
      <c r="F36" s="2361"/>
      <c r="G36" s="2361"/>
      <c r="H36" s="2317"/>
      <c r="I36" s="2317"/>
      <c r="J36" s="2318"/>
      <c r="K36" s="2318"/>
      <c r="L36" s="2318"/>
      <c r="M36" s="2318"/>
      <c r="N36" s="2318"/>
      <c r="O36" s="2318"/>
      <c r="P36" s="2318"/>
      <c r="Q36" s="2318"/>
      <c r="R36" s="2318"/>
      <c r="S36" s="2318"/>
      <c r="T36" s="2318"/>
      <c r="U36" s="2318"/>
      <c r="V36" s="2318"/>
      <c r="W36" s="2318"/>
      <c r="X36" s="2318"/>
      <c r="Y36" s="2318"/>
      <c r="Z36" s="2318"/>
      <c r="AA36" s="2318"/>
      <c r="AB36" s="2318"/>
      <c r="AC36" s="2318"/>
      <c r="AD36" s="2318"/>
      <c r="AE36" s="2318"/>
      <c r="AF36" s="2318"/>
      <c r="AG36" s="2318"/>
      <c r="AH36" s="2318"/>
      <c r="AI36" s="2318"/>
      <c r="AJ36" s="2318"/>
      <c r="AK36" s="2318"/>
      <c r="AL36" s="2318"/>
      <c r="AM36" s="2318"/>
      <c r="AN36" s="2318"/>
      <c r="AO36" s="2318"/>
      <c r="AP36" s="2318"/>
      <c r="AQ36" s="2318"/>
      <c r="AR36" s="2318"/>
      <c r="AS36" s="2318"/>
      <c r="AT36" s="2318"/>
      <c r="AU36" s="2318"/>
      <c r="AV36" s="2318"/>
      <c r="AW36" s="2318"/>
      <c r="AX36" s="2318"/>
      <c r="AY36" s="2318"/>
      <c r="AZ36" s="2318"/>
      <c r="BA36" s="2318"/>
      <c r="BB36" s="2318"/>
      <c r="BC36" s="2318"/>
      <c r="BD36" s="2318"/>
      <c r="BE36" s="2318"/>
      <c r="BF36" s="2318"/>
      <c r="BG36" s="2318"/>
      <c r="BH36" s="2318"/>
      <c r="BI36" s="2318"/>
      <c r="BJ36" s="2318"/>
      <c r="BK36" s="2318"/>
      <c r="BL36" s="2318"/>
      <c r="BM36" s="2318"/>
      <c r="BN36" s="2319"/>
    </row>
    <row r="37" spans="1:209" ht="13.8">
      <c r="A37" s="2362"/>
      <c r="B37" s="2321"/>
      <c r="C37" s="2321"/>
      <c r="D37" s="2321"/>
      <c r="E37" s="2321"/>
      <c r="F37" s="2321"/>
      <c r="G37" s="2321"/>
      <c r="H37" s="2321"/>
      <c r="I37" s="2321"/>
      <c r="J37" s="2321"/>
      <c r="K37" s="2321"/>
      <c r="L37" s="2323"/>
      <c r="M37" s="2321"/>
      <c r="N37" s="2321"/>
      <c r="O37" s="2321"/>
      <c r="P37" s="2321"/>
      <c r="Q37" s="2321"/>
      <c r="R37" s="2321"/>
      <c r="S37" s="2321"/>
      <c r="T37" s="2321"/>
      <c r="U37" s="2321"/>
      <c r="V37" s="2321"/>
      <c r="W37" s="2321"/>
      <c r="X37" s="2321"/>
      <c r="Y37" s="2321"/>
      <c r="Z37" s="2321"/>
      <c r="AA37" s="2321"/>
      <c r="AB37" s="2321"/>
      <c r="AC37" s="2321"/>
      <c r="AD37" s="2321"/>
      <c r="AE37" s="2321"/>
      <c r="AF37" s="2321"/>
      <c r="AG37" s="2321"/>
      <c r="AH37" s="2321"/>
      <c r="AI37" s="2321"/>
      <c r="AJ37" s="2321"/>
      <c r="AK37" s="2321"/>
      <c r="AL37" s="2321"/>
      <c r="AM37" s="2321"/>
      <c r="AN37" s="2321"/>
      <c r="AO37" s="2321"/>
      <c r="AP37" s="2321"/>
      <c r="AQ37" s="2321"/>
      <c r="AR37" s="2321"/>
      <c r="AS37" s="2321"/>
      <c r="AT37" s="2321"/>
      <c r="AU37" s="2321"/>
      <c r="AV37" s="2321"/>
      <c r="AW37" s="2321"/>
      <c r="AX37" s="2321"/>
      <c r="AY37" s="2321"/>
      <c r="AZ37" s="2321"/>
      <c r="BA37" s="2321"/>
      <c r="BB37" s="2321"/>
      <c r="BC37" s="2321"/>
      <c r="BD37" s="2321"/>
      <c r="BE37" s="2321"/>
      <c r="BF37" s="2321"/>
      <c r="BG37" s="2321"/>
      <c r="BH37" s="2321"/>
      <c r="BI37" s="2321"/>
      <c r="BJ37" s="2321"/>
      <c r="BK37" s="2321"/>
      <c r="BL37" s="2321"/>
      <c r="BM37" s="2321"/>
      <c r="BN37" s="2326"/>
    </row>
    <row r="38" spans="1:209" ht="13.8">
      <c r="A38" s="2363"/>
      <c r="B38" s="2083"/>
      <c r="C38" s="2337"/>
      <c r="D38" s="2337"/>
      <c r="E38" s="2337"/>
      <c r="F38" s="2337">
        <f t="shared" ref="F38:F66" si="5">C38+F37</f>
        <v>0</v>
      </c>
      <c r="G38" s="2083"/>
      <c r="H38" s="2083"/>
      <c r="I38" s="2083"/>
      <c r="J38" s="2188"/>
      <c r="K38" s="2188"/>
      <c r="L38" s="2332" t="s">
        <v>615</v>
      </c>
      <c r="M38" s="412"/>
      <c r="N38" s="412"/>
      <c r="O38" s="412"/>
      <c r="P38" s="412"/>
      <c r="Q38" s="412"/>
      <c r="R38" s="412"/>
      <c r="S38" s="412"/>
      <c r="T38" s="412"/>
      <c r="U38" s="412"/>
      <c r="V38" s="412"/>
      <c r="W38" s="412"/>
      <c r="X38" s="412"/>
      <c r="Y38" s="412"/>
      <c r="Z38" s="412"/>
      <c r="AA38" s="412"/>
      <c r="AB38" s="412"/>
      <c r="AC38" s="412"/>
      <c r="AD38" s="412"/>
      <c r="AE38" s="412"/>
      <c r="AF38" s="412"/>
      <c r="AG38" s="412"/>
      <c r="AH38" s="412"/>
      <c r="AI38" s="412"/>
      <c r="AJ38" s="412"/>
      <c r="AK38" s="412"/>
      <c r="AL38" s="412"/>
      <c r="AM38" s="412"/>
      <c r="AN38" s="412"/>
      <c r="AO38" s="412"/>
      <c r="AP38" s="412"/>
      <c r="AQ38" s="412"/>
      <c r="AR38" s="412"/>
      <c r="AS38" s="412"/>
      <c r="AT38" s="412"/>
      <c r="AU38" s="412"/>
      <c r="AV38" s="412"/>
      <c r="AW38" s="412"/>
      <c r="AX38" s="412"/>
      <c r="AY38" s="412"/>
      <c r="AZ38" s="412"/>
      <c r="BA38" s="412"/>
      <c r="BB38" s="412"/>
      <c r="BC38" s="412"/>
      <c r="BD38" s="412"/>
      <c r="BE38" s="412"/>
      <c r="BF38" s="412"/>
      <c r="BG38" s="412"/>
      <c r="BH38" s="412"/>
      <c r="BI38" s="412"/>
      <c r="BJ38" s="412"/>
      <c r="BK38" s="412"/>
      <c r="BL38" s="412"/>
      <c r="BM38" s="412"/>
      <c r="BN38" s="2364"/>
    </row>
    <row r="39" spans="1:209" ht="13.8">
      <c r="A39" s="2328"/>
      <c r="B39" s="2234"/>
      <c r="C39" s="2365"/>
      <c r="D39" s="2337"/>
      <c r="E39" s="2337"/>
      <c r="F39" s="2337">
        <f t="shared" si="5"/>
        <v>0</v>
      </c>
      <c r="G39" s="2083"/>
      <c r="H39" s="2083"/>
      <c r="I39" s="2083"/>
      <c r="J39" s="2188"/>
      <c r="K39" s="2188"/>
      <c r="L39" s="2351" t="s">
        <v>341</v>
      </c>
      <c r="M39" s="412"/>
      <c r="N39" s="412"/>
      <c r="O39" s="412"/>
      <c r="P39" s="412"/>
      <c r="Q39" s="412"/>
      <c r="R39" s="412"/>
      <c r="S39" s="412"/>
      <c r="T39" s="412"/>
      <c r="U39" s="412"/>
      <c r="V39" s="412"/>
      <c r="W39" s="412"/>
      <c r="X39" s="412"/>
      <c r="Y39" s="412"/>
      <c r="Z39" s="412"/>
      <c r="AA39" s="412"/>
      <c r="AB39" s="412"/>
      <c r="AC39" s="412"/>
      <c r="AD39" s="412"/>
      <c r="AE39" s="412"/>
      <c r="AF39" s="412"/>
      <c r="AG39" s="412"/>
      <c r="AH39" s="412"/>
      <c r="AI39" s="412"/>
      <c r="AJ39" s="412"/>
      <c r="AK39" s="412"/>
      <c r="AL39" s="412"/>
      <c r="AM39" s="412"/>
      <c r="AN39" s="412"/>
      <c r="AO39" s="412"/>
      <c r="AP39" s="412"/>
      <c r="AQ39" s="412"/>
      <c r="AR39" s="412"/>
      <c r="AS39" s="412"/>
      <c r="AT39" s="412"/>
      <c r="AU39" s="412"/>
      <c r="AV39" s="412"/>
      <c r="AW39" s="412"/>
      <c r="AX39" s="412"/>
      <c r="AY39" s="412"/>
      <c r="AZ39" s="412"/>
      <c r="BA39" s="412"/>
      <c r="BB39" s="412"/>
      <c r="BC39" s="412"/>
      <c r="BD39" s="412"/>
      <c r="BE39" s="412"/>
      <c r="BF39" s="412"/>
      <c r="BG39" s="412"/>
      <c r="BH39" s="412"/>
      <c r="BI39" s="412"/>
      <c r="BJ39" s="412"/>
      <c r="BK39" s="412"/>
      <c r="BL39" s="412"/>
      <c r="BM39" s="412"/>
      <c r="BN39" s="2364"/>
    </row>
    <row r="40" spans="1:209" ht="13.8">
      <c r="A40" s="2363"/>
      <c r="B40" s="2083"/>
      <c r="C40" s="2365"/>
      <c r="D40" s="2337"/>
      <c r="E40" s="2337"/>
      <c r="F40" s="2337">
        <f t="shared" si="5"/>
        <v>0</v>
      </c>
      <c r="G40" s="2083"/>
      <c r="H40" s="2083"/>
      <c r="I40" s="2083"/>
      <c r="J40" s="2188"/>
      <c r="K40" s="2188"/>
      <c r="L40" s="2351" t="s">
        <v>341</v>
      </c>
      <c r="M40" s="412"/>
      <c r="N40" s="412"/>
      <c r="O40" s="412"/>
      <c r="P40" s="412"/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/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/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/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  <c r="BL40" s="412"/>
      <c r="BM40" s="412"/>
      <c r="BN40" s="2364"/>
    </row>
    <row r="41" spans="1:209" ht="13.8">
      <c r="A41" s="2328"/>
      <c r="B41" s="2083"/>
      <c r="C41" s="2365"/>
      <c r="D41" s="2337"/>
      <c r="E41" s="2337"/>
      <c r="F41" s="2337">
        <f t="shared" si="5"/>
        <v>0</v>
      </c>
      <c r="G41" s="2083"/>
      <c r="H41" s="2083"/>
      <c r="I41" s="2083"/>
      <c r="J41" s="2188"/>
      <c r="K41" s="2188"/>
      <c r="L41" s="2351" t="s">
        <v>341</v>
      </c>
      <c r="M41" s="412"/>
      <c r="N41" s="412"/>
      <c r="O41" s="412"/>
      <c r="P41" s="412"/>
      <c r="Q41" s="412"/>
      <c r="R41" s="412"/>
      <c r="S41" s="412"/>
      <c r="T41" s="412"/>
      <c r="U41" s="412"/>
      <c r="V41" s="412"/>
      <c r="W41" s="412"/>
      <c r="X41" s="412"/>
      <c r="Y41" s="412"/>
      <c r="Z41" s="412"/>
      <c r="AA41" s="412"/>
      <c r="AB41" s="412"/>
      <c r="AC41" s="412"/>
      <c r="AD41" s="412"/>
      <c r="AE41" s="412"/>
      <c r="AF41" s="412"/>
      <c r="AG41" s="412"/>
      <c r="AH41" s="412"/>
      <c r="AI41" s="412"/>
      <c r="AJ41" s="412"/>
      <c r="AK41" s="412"/>
      <c r="AL41" s="412"/>
      <c r="AM41" s="412"/>
      <c r="AN41" s="412"/>
      <c r="AO41" s="412"/>
      <c r="AP41" s="412"/>
      <c r="AQ41" s="412"/>
      <c r="AR41" s="412"/>
      <c r="AS41" s="412"/>
      <c r="AT41" s="412"/>
      <c r="AU41" s="412"/>
      <c r="AV41" s="412"/>
      <c r="AW41" s="412"/>
      <c r="AX41" s="412"/>
      <c r="AY41" s="412"/>
      <c r="AZ41" s="412"/>
      <c r="BA41" s="412"/>
      <c r="BB41" s="412"/>
      <c r="BC41" s="412"/>
      <c r="BD41" s="412"/>
      <c r="BE41" s="412"/>
      <c r="BF41" s="412"/>
      <c r="BG41" s="412"/>
      <c r="BH41" s="412"/>
      <c r="BI41" s="412"/>
      <c r="BJ41" s="412"/>
      <c r="BK41" s="412"/>
      <c r="BL41" s="412"/>
      <c r="BM41" s="412"/>
      <c r="BN41" s="2364"/>
      <c r="GJ41" s="409"/>
      <c r="GK41" s="409"/>
      <c r="GL41" s="409"/>
      <c r="GM41" s="409"/>
      <c r="GN41" s="409"/>
      <c r="GO41" s="409"/>
      <c r="GP41" s="409"/>
      <c r="GQ41" s="409"/>
      <c r="GR41" s="409"/>
      <c r="GS41" s="409"/>
      <c r="GT41" s="409"/>
      <c r="GU41" s="409"/>
      <c r="GV41" s="409"/>
      <c r="GW41" s="409"/>
      <c r="GX41" s="409"/>
      <c r="GY41" s="409"/>
      <c r="GZ41" s="409"/>
      <c r="HA41" s="409"/>
    </row>
    <row r="42" spans="1:209" ht="13.8">
      <c r="A42" s="2363"/>
      <c r="B42" s="2083"/>
      <c r="C42" s="2365"/>
      <c r="D42" s="2337"/>
      <c r="E42" s="2337"/>
      <c r="F42" s="2337">
        <f t="shared" si="5"/>
        <v>0</v>
      </c>
      <c r="G42" s="2083"/>
      <c r="H42" s="2083"/>
      <c r="I42" s="2083"/>
      <c r="J42" s="2188"/>
      <c r="K42" s="2188"/>
      <c r="L42" s="2351" t="s">
        <v>615</v>
      </c>
      <c r="M42" s="412"/>
      <c r="N42" s="412"/>
      <c r="O42" s="412"/>
      <c r="P42" s="412"/>
      <c r="Q42" s="412"/>
      <c r="R42" s="412"/>
      <c r="S42" s="412"/>
      <c r="T42" s="412"/>
      <c r="U42" s="412"/>
      <c r="V42" s="412"/>
      <c r="W42" s="412"/>
      <c r="X42" s="412"/>
      <c r="Y42" s="412"/>
      <c r="Z42" s="412"/>
      <c r="AA42" s="412"/>
      <c r="AB42" s="412"/>
      <c r="AC42" s="412"/>
      <c r="AD42" s="412"/>
      <c r="AE42" s="412"/>
      <c r="AF42" s="412"/>
      <c r="AG42" s="412"/>
      <c r="AH42" s="412"/>
      <c r="AI42" s="412"/>
      <c r="AJ42" s="412"/>
      <c r="AK42" s="412"/>
      <c r="AL42" s="412"/>
      <c r="AM42" s="412"/>
      <c r="AN42" s="412"/>
      <c r="AO42" s="412"/>
      <c r="AP42" s="412"/>
      <c r="AQ42" s="412"/>
      <c r="AR42" s="412"/>
      <c r="AS42" s="412"/>
      <c r="AT42" s="412"/>
      <c r="AU42" s="412"/>
      <c r="AV42" s="412"/>
      <c r="AW42" s="412"/>
      <c r="AX42" s="412"/>
      <c r="AY42" s="412"/>
      <c r="AZ42" s="412"/>
      <c r="BA42" s="412"/>
      <c r="BB42" s="412"/>
      <c r="BC42" s="412"/>
      <c r="BD42" s="412"/>
      <c r="BE42" s="412"/>
      <c r="BF42" s="412"/>
      <c r="BG42" s="412"/>
      <c r="BH42" s="412"/>
      <c r="BI42" s="412"/>
      <c r="BJ42" s="412"/>
      <c r="BK42" s="412"/>
      <c r="BL42" s="412"/>
      <c r="BM42" s="412"/>
      <c r="BN42" s="2364"/>
    </row>
    <row r="43" spans="1:209" ht="13.8">
      <c r="A43" s="2328"/>
      <c r="B43" s="2083"/>
      <c r="C43" s="2365"/>
      <c r="D43" s="2337"/>
      <c r="E43" s="2337"/>
      <c r="F43" s="2337">
        <f t="shared" si="5"/>
        <v>0</v>
      </c>
      <c r="G43" s="2083"/>
      <c r="H43" s="2083"/>
      <c r="I43" s="2083"/>
      <c r="J43" s="2188"/>
      <c r="K43" s="2188"/>
      <c r="L43" s="2351" t="s">
        <v>615</v>
      </c>
      <c r="M43" s="412"/>
      <c r="N43" s="412"/>
      <c r="O43" s="412"/>
      <c r="P43" s="412"/>
      <c r="Q43" s="412"/>
      <c r="R43" s="412"/>
      <c r="S43" s="412"/>
      <c r="T43" s="412"/>
      <c r="U43" s="412"/>
      <c r="V43" s="412"/>
      <c r="W43" s="412"/>
      <c r="X43" s="412"/>
      <c r="Y43" s="412"/>
      <c r="Z43" s="412"/>
      <c r="AA43" s="412"/>
      <c r="AB43" s="412"/>
      <c r="AC43" s="412"/>
      <c r="AD43" s="412"/>
      <c r="AE43" s="412"/>
      <c r="AF43" s="412"/>
      <c r="AG43" s="412"/>
      <c r="AH43" s="412"/>
      <c r="AI43" s="412"/>
      <c r="AJ43" s="412"/>
      <c r="AK43" s="412"/>
      <c r="AL43" s="412"/>
      <c r="AM43" s="412"/>
      <c r="AN43" s="412"/>
      <c r="AO43" s="412"/>
      <c r="AP43" s="412"/>
      <c r="AQ43" s="412"/>
      <c r="AR43" s="412"/>
      <c r="AS43" s="412"/>
      <c r="AT43" s="412"/>
      <c r="AU43" s="412"/>
      <c r="AV43" s="412"/>
      <c r="AW43" s="412"/>
      <c r="AX43" s="412"/>
      <c r="AY43" s="412"/>
      <c r="AZ43" s="412"/>
      <c r="BA43" s="412"/>
      <c r="BB43" s="412"/>
      <c r="BC43" s="412"/>
      <c r="BD43" s="412"/>
      <c r="BE43" s="412"/>
      <c r="BF43" s="412"/>
      <c r="BG43" s="412"/>
      <c r="BH43" s="412"/>
      <c r="BI43" s="412"/>
      <c r="BJ43" s="412"/>
      <c r="BK43" s="412"/>
      <c r="BL43" s="412"/>
      <c r="BM43" s="412"/>
      <c r="BN43" s="2364"/>
    </row>
    <row r="44" spans="1:209" ht="13.8">
      <c r="A44" s="2363"/>
      <c r="B44" s="2083"/>
      <c r="C44" s="2365"/>
      <c r="D44" s="2337"/>
      <c r="E44" s="2337"/>
      <c r="F44" s="2337">
        <f t="shared" si="5"/>
        <v>0</v>
      </c>
      <c r="G44" s="2083"/>
      <c r="H44" s="2083"/>
      <c r="I44" s="2083"/>
      <c r="J44" s="2188"/>
      <c r="K44" s="2188"/>
      <c r="L44" s="2351" t="s">
        <v>341</v>
      </c>
      <c r="M44" s="412"/>
      <c r="N44" s="412"/>
      <c r="O44" s="412"/>
      <c r="P44" s="412"/>
      <c r="Q44" s="412"/>
      <c r="R44" s="412"/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/>
      <c r="AD44" s="412"/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/>
      <c r="AP44" s="412"/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/>
      <c r="BB44" s="412"/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412"/>
      <c r="BN44" s="2364"/>
    </row>
    <row r="45" spans="1:209" ht="13.8">
      <c r="A45" s="2328"/>
      <c r="B45" s="2083"/>
      <c r="C45" s="2365"/>
      <c r="D45" s="2337"/>
      <c r="E45" s="2337"/>
      <c r="F45" s="2337">
        <f t="shared" si="5"/>
        <v>0</v>
      </c>
      <c r="G45" s="2083"/>
      <c r="H45" s="2083"/>
      <c r="I45" s="2083"/>
      <c r="J45" s="2188"/>
      <c r="K45" s="2188"/>
      <c r="L45" s="2351" t="s">
        <v>341</v>
      </c>
      <c r="M45" s="412"/>
      <c r="N45" s="412"/>
      <c r="O45" s="412"/>
      <c r="P45" s="412"/>
      <c r="Q45" s="412"/>
      <c r="R45" s="412"/>
      <c r="S45" s="412"/>
      <c r="T45" s="412"/>
      <c r="U45" s="412"/>
      <c r="V45" s="412"/>
      <c r="W45" s="412"/>
      <c r="X45" s="412"/>
      <c r="Y45" s="412"/>
      <c r="Z45" s="412"/>
      <c r="AA45" s="412"/>
      <c r="AB45" s="412"/>
      <c r="AC45" s="412"/>
      <c r="AD45" s="412"/>
      <c r="AE45" s="412"/>
      <c r="AF45" s="412"/>
      <c r="AG45" s="412"/>
      <c r="AH45" s="412"/>
      <c r="AI45" s="412"/>
      <c r="AJ45" s="412"/>
      <c r="AK45" s="412"/>
      <c r="AL45" s="412"/>
      <c r="AM45" s="412"/>
      <c r="AN45" s="412"/>
      <c r="AO45" s="412"/>
      <c r="AP45" s="412"/>
      <c r="AQ45" s="412"/>
      <c r="AR45" s="412"/>
      <c r="AS45" s="412"/>
      <c r="AT45" s="412"/>
      <c r="AU45" s="412"/>
      <c r="AV45" s="412"/>
      <c r="AW45" s="412"/>
      <c r="AX45" s="412"/>
      <c r="AY45" s="412"/>
      <c r="AZ45" s="412"/>
      <c r="BA45" s="412"/>
      <c r="BB45" s="412"/>
      <c r="BC45" s="412"/>
      <c r="BD45" s="412"/>
      <c r="BE45" s="412"/>
      <c r="BF45" s="412"/>
      <c r="BG45" s="412"/>
      <c r="BH45" s="412"/>
      <c r="BI45" s="412"/>
      <c r="BJ45" s="412"/>
      <c r="BK45" s="412"/>
      <c r="BL45" s="412"/>
      <c r="BM45" s="412"/>
      <c r="BN45" s="2364"/>
      <c r="GJ45" s="409"/>
      <c r="GK45" s="409"/>
      <c r="GL45" s="409"/>
      <c r="GM45" s="409"/>
      <c r="GN45" s="409"/>
      <c r="GO45" s="409"/>
      <c r="GP45" s="409"/>
      <c r="GQ45" s="409"/>
      <c r="GR45" s="409"/>
      <c r="GS45" s="409"/>
      <c r="GT45" s="409"/>
      <c r="GU45" s="409"/>
      <c r="GV45" s="409"/>
      <c r="GW45" s="409"/>
      <c r="GX45" s="409"/>
      <c r="GY45" s="409"/>
      <c r="GZ45" s="409"/>
      <c r="HA45" s="409"/>
    </row>
    <row r="46" spans="1:209" ht="13.8">
      <c r="A46" s="2363"/>
      <c r="B46" s="2083"/>
      <c r="C46" s="2365"/>
      <c r="D46" s="2337"/>
      <c r="E46" s="2337"/>
      <c r="F46" s="2337">
        <f t="shared" si="5"/>
        <v>0</v>
      </c>
      <c r="G46" s="2083"/>
      <c r="H46" s="2083"/>
      <c r="I46" s="2083"/>
      <c r="J46" s="2188"/>
      <c r="K46" s="2188"/>
      <c r="L46" s="2351" t="s">
        <v>341</v>
      </c>
      <c r="M46" s="412"/>
      <c r="N46" s="412"/>
      <c r="O46" s="412"/>
      <c r="P46" s="412"/>
      <c r="Q46" s="412"/>
      <c r="R46" s="412"/>
      <c r="S46" s="412"/>
      <c r="T46" s="412"/>
      <c r="U46" s="412"/>
      <c r="V46" s="412"/>
      <c r="W46" s="412"/>
      <c r="X46" s="412"/>
      <c r="Y46" s="412"/>
      <c r="Z46" s="412"/>
      <c r="AA46" s="412"/>
      <c r="AB46" s="412"/>
      <c r="AC46" s="412"/>
      <c r="AD46" s="412"/>
      <c r="AE46" s="412"/>
      <c r="AF46" s="412"/>
      <c r="AG46" s="412"/>
      <c r="AH46" s="412"/>
      <c r="AI46" s="412"/>
      <c r="AJ46" s="412"/>
      <c r="AK46" s="412"/>
      <c r="AL46" s="412"/>
      <c r="AM46" s="412"/>
      <c r="AN46" s="412"/>
      <c r="AO46" s="412"/>
      <c r="AP46" s="412"/>
      <c r="AQ46" s="412"/>
      <c r="AR46" s="412"/>
      <c r="AS46" s="412"/>
      <c r="AT46" s="412"/>
      <c r="AU46" s="412"/>
      <c r="AV46" s="412"/>
      <c r="AW46" s="412"/>
      <c r="AX46" s="412"/>
      <c r="AY46" s="412"/>
      <c r="AZ46" s="412"/>
      <c r="BA46" s="412"/>
      <c r="BB46" s="412"/>
      <c r="BC46" s="412"/>
      <c r="BD46" s="412"/>
      <c r="BE46" s="412"/>
      <c r="BF46" s="412"/>
      <c r="BG46" s="412"/>
      <c r="BH46" s="412"/>
      <c r="BI46" s="412"/>
      <c r="BJ46" s="412"/>
      <c r="BK46" s="412"/>
      <c r="BL46" s="412"/>
      <c r="BM46" s="412"/>
      <c r="BN46" s="2364"/>
    </row>
    <row r="47" spans="1:209" ht="13.8">
      <c r="A47" s="2328"/>
      <c r="B47" s="2083"/>
      <c r="C47" s="2365"/>
      <c r="D47" s="2337"/>
      <c r="E47" s="2337"/>
      <c r="F47" s="2337">
        <f t="shared" si="5"/>
        <v>0</v>
      </c>
      <c r="G47" s="2083"/>
      <c r="H47" s="2083"/>
      <c r="I47" s="2083"/>
      <c r="J47" s="2188"/>
      <c r="K47" s="2188"/>
      <c r="L47" s="2351" t="s">
        <v>341</v>
      </c>
      <c r="M47" s="412"/>
      <c r="N47" s="412"/>
      <c r="O47" s="412"/>
      <c r="P47" s="412"/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/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/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/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  <c r="BL47" s="412"/>
      <c r="BM47" s="412"/>
      <c r="BN47" s="2364"/>
    </row>
    <row r="48" spans="1:209" ht="13.8">
      <c r="A48" s="2363"/>
      <c r="B48" s="2083"/>
      <c r="C48" s="2365"/>
      <c r="D48" s="2337"/>
      <c r="E48" s="2337"/>
      <c r="F48" s="2337">
        <f t="shared" si="5"/>
        <v>0</v>
      </c>
      <c r="G48" s="2083"/>
      <c r="H48" s="2083"/>
      <c r="I48" s="2083"/>
      <c r="J48" s="2188"/>
      <c r="K48" s="2188"/>
      <c r="L48" s="2351" t="s">
        <v>341</v>
      </c>
      <c r="M48" s="412"/>
      <c r="N48" s="412"/>
      <c r="O48" s="412"/>
      <c r="P48" s="412"/>
      <c r="Q48" s="412"/>
      <c r="R48" s="412"/>
      <c r="S48" s="412"/>
      <c r="T48" s="412"/>
      <c r="U48" s="412"/>
      <c r="V48" s="412"/>
      <c r="W48" s="412"/>
      <c r="X48" s="412"/>
      <c r="Y48" s="412"/>
      <c r="Z48" s="412"/>
      <c r="AA48" s="412"/>
      <c r="AB48" s="412"/>
      <c r="AC48" s="412"/>
      <c r="AD48" s="412"/>
      <c r="AE48" s="412"/>
      <c r="AF48" s="412"/>
      <c r="AG48" s="412"/>
      <c r="AH48" s="412"/>
      <c r="AI48" s="412"/>
      <c r="AJ48" s="412"/>
      <c r="AK48" s="412"/>
      <c r="AL48" s="412"/>
      <c r="AM48" s="412"/>
      <c r="AN48" s="412"/>
      <c r="AO48" s="412"/>
      <c r="AP48" s="412"/>
      <c r="AQ48" s="412"/>
      <c r="AR48" s="412"/>
      <c r="AS48" s="412"/>
      <c r="AT48" s="412"/>
      <c r="AU48" s="412"/>
      <c r="AV48" s="412"/>
      <c r="AW48" s="412"/>
      <c r="AX48" s="412"/>
      <c r="AY48" s="412"/>
      <c r="AZ48" s="412"/>
      <c r="BA48" s="412"/>
      <c r="BB48" s="412"/>
      <c r="BC48" s="412"/>
      <c r="BD48" s="412"/>
      <c r="BE48" s="412"/>
      <c r="BF48" s="412"/>
      <c r="BG48" s="412"/>
      <c r="BH48" s="412"/>
      <c r="BI48" s="412"/>
      <c r="BJ48" s="412"/>
      <c r="BK48" s="412"/>
      <c r="BL48" s="412"/>
      <c r="BM48" s="412"/>
      <c r="BN48" s="2364"/>
    </row>
    <row r="49" spans="1:209" ht="13.8">
      <c r="A49" s="2328"/>
      <c r="B49" s="2083"/>
      <c r="C49" s="2365"/>
      <c r="D49" s="2337"/>
      <c r="E49" s="2337"/>
      <c r="F49" s="2337">
        <f t="shared" si="5"/>
        <v>0</v>
      </c>
      <c r="G49" s="2083"/>
      <c r="H49" s="2083"/>
      <c r="I49" s="2083"/>
      <c r="J49" s="2188"/>
      <c r="K49" s="2188"/>
      <c r="L49" s="2351" t="s">
        <v>341</v>
      </c>
      <c r="M49" s="412"/>
      <c r="N49" s="412"/>
      <c r="O49" s="412"/>
      <c r="P49" s="412"/>
      <c r="Q49" s="412"/>
      <c r="R49" s="412"/>
      <c r="S49" s="412"/>
      <c r="T49" s="412"/>
      <c r="U49" s="412"/>
      <c r="V49" s="412"/>
      <c r="W49" s="412"/>
      <c r="X49" s="412"/>
      <c r="Y49" s="412"/>
      <c r="Z49" s="412"/>
      <c r="AA49" s="412"/>
      <c r="AB49" s="412"/>
      <c r="AC49" s="412"/>
      <c r="AD49" s="412"/>
      <c r="AE49" s="412"/>
      <c r="AF49" s="412"/>
      <c r="AG49" s="412"/>
      <c r="AH49" s="412"/>
      <c r="AI49" s="412"/>
      <c r="AJ49" s="412"/>
      <c r="AK49" s="412"/>
      <c r="AL49" s="412"/>
      <c r="AM49" s="412"/>
      <c r="AN49" s="412"/>
      <c r="AO49" s="412"/>
      <c r="AP49" s="412"/>
      <c r="AQ49" s="412"/>
      <c r="AR49" s="412"/>
      <c r="AS49" s="412"/>
      <c r="AT49" s="412"/>
      <c r="AU49" s="412"/>
      <c r="AV49" s="412"/>
      <c r="AW49" s="412"/>
      <c r="AX49" s="412"/>
      <c r="AY49" s="412"/>
      <c r="AZ49" s="412"/>
      <c r="BA49" s="412"/>
      <c r="BB49" s="412"/>
      <c r="BC49" s="412"/>
      <c r="BD49" s="412"/>
      <c r="BE49" s="412"/>
      <c r="BF49" s="412"/>
      <c r="BG49" s="412"/>
      <c r="BH49" s="412"/>
      <c r="BI49" s="412"/>
      <c r="BJ49" s="412"/>
      <c r="BK49" s="412"/>
      <c r="BL49" s="412"/>
      <c r="BM49" s="412"/>
      <c r="BN49" s="2364"/>
      <c r="GJ49" s="409"/>
      <c r="GK49" s="409"/>
      <c r="GL49" s="409"/>
      <c r="GM49" s="409"/>
      <c r="GN49" s="409"/>
      <c r="GO49" s="409"/>
      <c r="GP49" s="409"/>
      <c r="GQ49" s="409"/>
      <c r="GR49" s="409"/>
      <c r="GS49" s="409"/>
      <c r="GT49" s="409"/>
      <c r="GU49" s="409"/>
      <c r="GV49" s="409"/>
      <c r="GW49" s="409"/>
      <c r="GX49" s="409"/>
      <c r="GY49" s="409"/>
      <c r="GZ49" s="409"/>
      <c r="HA49" s="409"/>
    </row>
    <row r="50" spans="1:209" ht="13.8">
      <c r="A50" s="2363"/>
      <c r="B50" s="2083"/>
      <c r="C50" s="2365"/>
      <c r="D50" s="2337"/>
      <c r="E50" s="2337"/>
      <c r="F50" s="2337">
        <f t="shared" si="5"/>
        <v>0</v>
      </c>
      <c r="G50" s="2083"/>
      <c r="H50" s="2083"/>
      <c r="I50" s="2083"/>
      <c r="J50" s="2188"/>
      <c r="K50" s="2188"/>
      <c r="L50" s="2351" t="s">
        <v>341</v>
      </c>
      <c r="M50" s="412"/>
      <c r="N50" s="412"/>
      <c r="O50" s="412"/>
      <c r="P50" s="412"/>
      <c r="Q50" s="412"/>
      <c r="R50" s="412"/>
      <c r="S50" s="412"/>
      <c r="T50" s="412"/>
      <c r="U50" s="412"/>
      <c r="V50" s="412"/>
      <c r="W50" s="412"/>
      <c r="X50" s="412"/>
      <c r="Y50" s="412"/>
      <c r="Z50" s="412"/>
      <c r="AA50" s="412"/>
      <c r="AB50" s="412"/>
      <c r="AC50" s="412"/>
      <c r="AD50" s="412"/>
      <c r="AE50" s="412"/>
      <c r="AF50" s="412"/>
      <c r="AG50" s="412"/>
      <c r="AH50" s="412"/>
      <c r="AI50" s="412"/>
      <c r="AJ50" s="412"/>
      <c r="AK50" s="412"/>
      <c r="AL50" s="412"/>
      <c r="AM50" s="412"/>
      <c r="AN50" s="412"/>
      <c r="AO50" s="412"/>
      <c r="AP50" s="412"/>
      <c r="AQ50" s="412"/>
      <c r="AR50" s="412"/>
      <c r="AS50" s="412"/>
      <c r="AT50" s="412"/>
      <c r="AU50" s="412"/>
      <c r="AV50" s="412"/>
      <c r="AW50" s="412"/>
      <c r="AX50" s="412"/>
      <c r="AY50" s="412"/>
      <c r="AZ50" s="412"/>
      <c r="BA50" s="412"/>
      <c r="BB50" s="412"/>
      <c r="BC50" s="412"/>
      <c r="BD50" s="412"/>
      <c r="BE50" s="412"/>
      <c r="BF50" s="412"/>
      <c r="BG50" s="412"/>
      <c r="BH50" s="412"/>
      <c r="BI50" s="412"/>
      <c r="BJ50" s="412"/>
      <c r="BK50" s="412"/>
      <c r="BL50" s="412"/>
      <c r="BM50" s="412"/>
      <c r="BN50" s="2364"/>
    </row>
    <row r="51" spans="1:209" ht="13.8">
      <c r="A51" s="2328"/>
      <c r="B51" s="2083"/>
      <c r="C51" s="2365"/>
      <c r="D51" s="2337"/>
      <c r="E51" s="2337"/>
      <c r="F51" s="2337">
        <f t="shared" si="5"/>
        <v>0</v>
      </c>
      <c r="G51" s="2083"/>
      <c r="H51" s="2083"/>
      <c r="I51" s="2083"/>
      <c r="J51" s="2188"/>
      <c r="K51" s="2188"/>
      <c r="L51" s="2351" t="s">
        <v>615</v>
      </c>
      <c r="M51" s="412"/>
      <c r="N51" s="412"/>
      <c r="O51" s="412"/>
      <c r="P51" s="412"/>
      <c r="Q51" s="412"/>
      <c r="R51" s="412"/>
      <c r="S51" s="412"/>
      <c r="T51" s="412"/>
      <c r="U51" s="412"/>
      <c r="V51" s="412"/>
      <c r="W51" s="412"/>
      <c r="X51" s="412"/>
      <c r="Y51" s="412"/>
      <c r="Z51" s="412"/>
      <c r="AA51" s="412"/>
      <c r="AB51" s="412"/>
      <c r="AC51" s="412"/>
      <c r="AD51" s="412"/>
      <c r="AE51" s="412"/>
      <c r="AF51" s="412"/>
      <c r="AG51" s="412"/>
      <c r="AH51" s="412"/>
      <c r="AI51" s="412"/>
      <c r="AJ51" s="412"/>
      <c r="AK51" s="412"/>
      <c r="AL51" s="412"/>
      <c r="AM51" s="412"/>
      <c r="AN51" s="412"/>
      <c r="AO51" s="412"/>
      <c r="AP51" s="412"/>
      <c r="AQ51" s="412"/>
      <c r="AR51" s="412"/>
      <c r="AS51" s="412"/>
      <c r="AT51" s="412"/>
      <c r="AU51" s="412"/>
      <c r="AV51" s="412"/>
      <c r="AW51" s="412"/>
      <c r="AX51" s="412"/>
      <c r="AY51" s="412"/>
      <c r="AZ51" s="412"/>
      <c r="BA51" s="412"/>
      <c r="BB51" s="412"/>
      <c r="BC51" s="412"/>
      <c r="BD51" s="412"/>
      <c r="BE51" s="412"/>
      <c r="BF51" s="412"/>
      <c r="BG51" s="412"/>
      <c r="BH51" s="412"/>
      <c r="BI51" s="412"/>
      <c r="BJ51" s="412"/>
      <c r="BK51" s="412"/>
      <c r="BL51" s="412"/>
      <c r="BM51" s="412"/>
      <c r="BN51" s="2364"/>
    </row>
    <row r="52" spans="1:209" ht="13.8">
      <c r="A52" s="2328"/>
      <c r="B52" s="2083"/>
      <c r="C52" s="2365"/>
      <c r="D52" s="2337"/>
      <c r="E52" s="2337"/>
      <c r="F52" s="2337">
        <f t="shared" si="5"/>
        <v>0</v>
      </c>
      <c r="G52" s="2083"/>
      <c r="H52" s="2083"/>
      <c r="I52" s="2083"/>
      <c r="J52" s="2188"/>
      <c r="K52" s="2188"/>
      <c r="L52" s="2351" t="s">
        <v>341</v>
      </c>
      <c r="M52" s="412"/>
      <c r="N52" s="412"/>
      <c r="O52" s="412"/>
      <c r="P52" s="412"/>
      <c r="Q52" s="412"/>
      <c r="R52" s="412"/>
      <c r="S52" s="412"/>
      <c r="T52" s="412"/>
      <c r="U52" s="412"/>
      <c r="V52" s="412"/>
      <c r="W52" s="412"/>
      <c r="X52" s="412"/>
      <c r="Y52" s="412"/>
      <c r="Z52" s="412"/>
      <c r="AA52" s="412"/>
      <c r="AB52" s="412"/>
      <c r="AC52" s="412"/>
      <c r="AD52" s="412"/>
      <c r="AE52" s="412"/>
      <c r="AF52" s="412"/>
      <c r="AG52" s="412"/>
      <c r="AH52" s="412"/>
      <c r="AI52" s="412"/>
      <c r="AJ52" s="412"/>
      <c r="AK52" s="412"/>
      <c r="AL52" s="412"/>
      <c r="AM52" s="412"/>
      <c r="AN52" s="412"/>
      <c r="AO52" s="412"/>
      <c r="AP52" s="412"/>
      <c r="AQ52" s="412"/>
      <c r="AR52" s="412"/>
      <c r="AS52" s="412"/>
      <c r="AT52" s="412"/>
      <c r="AU52" s="412"/>
      <c r="AV52" s="412"/>
      <c r="AW52" s="412"/>
      <c r="AX52" s="412"/>
      <c r="AY52" s="412"/>
      <c r="AZ52" s="412"/>
      <c r="BA52" s="412"/>
      <c r="BB52" s="412"/>
      <c r="BC52" s="412"/>
      <c r="BD52" s="412"/>
      <c r="BE52" s="412"/>
      <c r="BF52" s="412"/>
      <c r="BG52" s="412"/>
      <c r="BH52" s="412"/>
      <c r="BI52" s="412"/>
      <c r="BJ52" s="412"/>
      <c r="BK52" s="412"/>
      <c r="BL52" s="412"/>
      <c r="BM52" s="412"/>
      <c r="BN52" s="2364"/>
    </row>
    <row r="53" spans="1:209" ht="13.8">
      <c r="A53" s="2328"/>
      <c r="B53" s="2083"/>
      <c r="C53" s="2365"/>
      <c r="D53" s="2337"/>
      <c r="E53" s="2337"/>
      <c r="F53" s="2337">
        <f t="shared" si="5"/>
        <v>0</v>
      </c>
      <c r="G53" s="2083"/>
      <c r="H53" s="2083"/>
      <c r="I53" s="2083"/>
      <c r="J53" s="2188"/>
      <c r="K53" s="2188"/>
      <c r="L53" s="2351" t="s">
        <v>341</v>
      </c>
      <c r="M53" s="412"/>
      <c r="N53" s="412"/>
      <c r="O53" s="412"/>
      <c r="P53" s="412"/>
      <c r="Q53" s="412"/>
      <c r="R53" s="412"/>
      <c r="S53" s="412"/>
      <c r="T53" s="412"/>
      <c r="U53" s="412"/>
      <c r="V53" s="412"/>
      <c r="W53" s="412"/>
      <c r="X53" s="412"/>
      <c r="Y53" s="412"/>
      <c r="Z53" s="412"/>
      <c r="AA53" s="412"/>
      <c r="AB53" s="412"/>
      <c r="AC53" s="412"/>
      <c r="AD53" s="412"/>
      <c r="AE53" s="412"/>
      <c r="AF53" s="412"/>
      <c r="AG53" s="412"/>
      <c r="AH53" s="412"/>
      <c r="AI53" s="412"/>
      <c r="AJ53" s="412"/>
      <c r="AK53" s="412"/>
      <c r="AL53" s="412"/>
      <c r="AM53" s="412"/>
      <c r="AN53" s="412"/>
      <c r="AO53" s="412"/>
      <c r="AP53" s="412"/>
      <c r="AQ53" s="412"/>
      <c r="AR53" s="412"/>
      <c r="AS53" s="412"/>
      <c r="AT53" s="412"/>
      <c r="AU53" s="412"/>
      <c r="AV53" s="412"/>
      <c r="AW53" s="412"/>
      <c r="AX53" s="412"/>
      <c r="AY53" s="412"/>
      <c r="AZ53" s="412"/>
      <c r="BA53" s="412"/>
      <c r="BB53" s="412"/>
      <c r="BC53" s="412"/>
      <c r="BD53" s="412"/>
      <c r="BE53" s="412"/>
      <c r="BF53" s="412"/>
      <c r="BG53" s="412"/>
      <c r="BH53" s="412"/>
      <c r="BI53" s="412"/>
      <c r="BJ53" s="412"/>
      <c r="BK53" s="412"/>
      <c r="BL53" s="412"/>
      <c r="BM53" s="412"/>
      <c r="BN53" s="2364"/>
      <c r="GJ53" s="409"/>
      <c r="GK53" s="409"/>
      <c r="GL53" s="409"/>
      <c r="GM53" s="409"/>
      <c r="GN53" s="409"/>
      <c r="GO53" s="409"/>
      <c r="GP53" s="409"/>
      <c r="GQ53" s="409"/>
      <c r="GR53" s="409"/>
      <c r="GS53" s="409"/>
      <c r="GT53" s="409"/>
      <c r="GU53" s="409"/>
      <c r="GV53" s="409"/>
      <c r="GW53" s="409"/>
      <c r="GX53" s="409"/>
      <c r="GY53" s="409"/>
      <c r="GZ53" s="409"/>
      <c r="HA53" s="409"/>
    </row>
    <row r="54" spans="1:209" ht="13.8">
      <c r="A54" s="2328"/>
      <c r="B54" s="2083"/>
      <c r="C54" s="2365"/>
      <c r="D54" s="2337"/>
      <c r="E54" s="2337"/>
      <c r="F54" s="2337">
        <f t="shared" si="5"/>
        <v>0</v>
      </c>
      <c r="G54" s="2083"/>
      <c r="H54" s="2083"/>
      <c r="I54" s="2083"/>
      <c r="J54" s="2188"/>
      <c r="K54" s="2188"/>
      <c r="L54" s="2351" t="s">
        <v>341</v>
      </c>
      <c r="M54" s="412"/>
      <c r="N54" s="412"/>
      <c r="O54" s="412"/>
      <c r="P54" s="412"/>
      <c r="Q54" s="412"/>
      <c r="R54" s="412"/>
      <c r="S54" s="412"/>
      <c r="T54" s="412"/>
      <c r="U54" s="412"/>
      <c r="V54" s="412"/>
      <c r="W54" s="412"/>
      <c r="X54" s="412"/>
      <c r="Y54" s="412"/>
      <c r="Z54" s="412"/>
      <c r="AA54" s="412"/>
      <c r="AB54" s="412"/>
      <c r="AC54" s="412"/>
      <c r="AD54" s="412"/>
      <c r="AE54" s="412"/>
      <c r="AF54" s="412"/>
      <c r="AG54" s="412"/>
      <c r="AH54" s="412"/>
      <c r="AI54" s="412"/>
      <c r="AJ54" s="412"/>
      <c r="AK54" s="412"/>
      <c r="AL54" s="412"/>
      <c r="AM54" s="412"/>
      <c r="AN54" s="412"/>
      <c r="AO54" s="412"/>
      <c r="AP54" s="412"/>
      <c r="AQ54" s="412"/>
      <c r="AR54" s="412"/>
      <c r="AS54" s="412"/>
      <c r="AT54" s="412"/>
      <c r="AU54" s="412"/>
      <c r="AV54" s="412"/>
      <c r="AW54" s="412"/>
      <c r="AX54" s="412"/>
      <c r="AY54" s="412"/>
      <c r="AZ54" s="412"/>
      <c r="BA54" s="412"/>
      <c r="BB54" s="412"/>
      <c r="BC54" s="412"/>
      <c r="BD54" s="412"/>
      <c r="BE54" s="412"/>
      <c r="BF54" s="412"/>
      <c r="BG54" s="412"/>
      <c r="BH54" s="412"/>
      <c r="BI54" s="412"/>
      <c r="BJ54" s="412"/>
      <c r="BK54" s="412"/>
      <c r="BL54" s="412"/>
      <c r="BM54" s="412"/>
      <c r="BN54" s="2364"/>
    </row>
    <row r="55" spans="1:209" ht="13.8">
      <c r="A55" s="2328"/>
      <c r="B55" s="2083"/>
      <c r="C55" s="2365"/>
      <c r="D55" s="2337"/>
      <c r="E55" s="2337"/>
      <c r="F55" s="2337">
        <f t="shared" si="5"/>
        <v>0</v>
      </c>
      <c r="G55" s="2083"/>
      <c r="H55" s="2083"/>
      <c r="I55" s="2083"/>
      <c r="J55" s="2188"/>
      <c r="K55" s="2188"/>
      <c r="L55" s="2351" t="s">
        <v>341</v>
      </c>
      <c r="M55" s="412"/>
      <c r="N55" s="412"/>
      <c r="O55" s="412"/>
      <c r="P55" s="412"/>
      <c r="Q55" s="412"/>
      <c r="R55" s="412"/>
      <c r="S55" s="412"/>
      <c r="T55" s="412"/>
      <c r="U55" s="412"/>
      <c r="V55" s="412"/>
      <c r="W55" s="412"/>
      <c r="X55" s="412"/>
      <c r="Y55" s="412"/>
      <c r="Z55" s="412"/>
      <c r="AA55" s="412"/>
      <c r="AB55" s="412"/>
      <c r="AC55" s="412"/>
      <c r="AD55" s="412"/>
      <c r="AE55" s="412"/>
      <c r="AF55" s="412"/>
      <c r="AG55" s="412"/>
      <c r="AH55" s="412"/>
      <c r="AI55" s="412"/>
      <c r="AJ55" s="412"/>
      <c r="AK55" s="412"/>
      <c r="AL55" s="412"/>
      <c r="AM55" s="412"/>
      <c r="AN55" s="412"/>
      <c r="AO55" s="412"/>
      <c r="AP55" s="412"/>
      <c r="AQ55" s="412"/>
      <c r="AR55" s="412"/>
      <c r="AS55" s="412"/>
      <c r="AT55" s="412"/>
      <c r="AU55" s="412"/>
      <c r="AV55" s="412"/>
      <c r="AW55" s="412"/>
      <c r="AX55" s="412"/>
      <c r="AY55" s="412"/>
      <c r="AZ55" s="412"/>
      <c r="BA55" s="412"/>
      <c r="BB55" s="412"/>
      <c r="BC55" s="412"/>
      <c r="BD55" s="412"/>
      <c r="BE55" s="412"/>
      <c r="BF55" s="412"/>
      <c r="BG55" s="412"/>
      <c r="BH55" s="412"/>
      <c r="BI55" s="412"/>
      <c r="BJ55" s="412"/>
      <c r="BK55" s="412"/>
      <c r="BL55" s="412"/>
      <c r="BM55" s="412"/>
      <c r="BN55" s="2364"/>
    </row>
    <row r="56" spans="1:209" ht="13.8">
      <c r="A56" s="2328"/>
      <c r="B56" s="2083"/>
      <c r="C56" s="2365"/>
      <c r="D56" s="2337"/>
      <c r="E56" s="2337"/>
      <c r="F56" s="2337">
        <f t="shared" si="5"/>
        <v>0</v>
      </c>
      <c r="G56" s="2083"/>
      <c r="H56" s="2083"/>
      <c r="I56" s="2083"/>
      <c r="J56" s="2188"/>
      <c r="K56" s="2188"/>
      <c r="L56" s="2351" t="s">
        <v>341</v>
      </c>
      <c r="M56" s="412"/>
      <c r="N56" s="412"/>
      <c r="O56" s="412"/>
      <c r="P56" s="412"/>
      <c r="Q56" s="412"/>
      <c r="R56" s="412"/>
      <c r="S56" s="412"/>
      <c r="T56" s="412"/>
      <c r="U56" s="412"/>
      <c r="V56" s="412"/>
      <c r="W56" s="412"/>
      <c r="X56" s="412"/>
      <c r="Y56" s="412"/>
      <c r="Z56" s="412"/>
      <c r="AA56" s="412"/>
      <c r="AB56" s="412"/>
      <c r="AC56" s="412"/>
      <c r="AD56" s="412"/>
      <c r="AE56" s="412"/>
      <c r="AF56" s="412"/>
      <c r="AG56" s="412"/>
      <c r="AH56" s="412"/>
      <c r="AI56" s="412"/>
      <c r="AJ56" s="412"/>
      <c r="AK56" s="412"/>
      <c r="AL56" s="412"/>
      <c r="AM56" s="412"/>
      <c r="AN56" s="412"/>
      <c r="AO56" s="412"/>
      <c r="AP56" s="412"/>
      <c r="AQ56" s="412"/>
      <c r="AR56" s="412"/>
      <c r="AS56" s="412"/>
      <c r="AT56" s="412"/>
      <c r="AU56" s="412"/>
      <c r="AV56" s="412"/>
      <c r="AW56" s="412"/>
      <c r="AX56" s="412"/>
      <c r="AY56" s="412"/>
      <c r="AZ56" s="412"/>
      <c r="BA56" s="412"/>
      <c r="BB56" s="412"/>
      <c r="BC56" s="412"/>
      <c r="BD56" s="412"/>
      <c r="BE56" s="412"/>
      <c r="BF56" s="412"/>
      <c r="BG56" s="412"/>
      <c r="BH56" s="412"/>
      <c r="BI56" s="412"/>
      <c r="BJ56" s="412"/>
      <c r="BK56" s="412"/>
      <c r="BL56" s="412"/>
      <c r="BM56" s="412"/>
      <c r="BN56" s="2364"/>
    </row>
    <row r="57" spans="1:209" ht="13.8">
      <c r="A57" s="2328"/>
      <c r="B57" s="2083"/>
      <c r="C57" s="2365"/>
      <c r="D57" s="2337"/>
      <c r="E57" s="2337"/>
      <c r="F57" s="2337">
        <f t="shared" si="5"/>
        <v>0</v>
      </c>
      <c r="G57" s="2083"/>
      <c r="H57" s="2083"/>
      <c r="I57" s="2083"/>
      <c r="J57" s="2188"/>
      <c r="K57" s="2188"/>
      <c r="L57" s="2351" t="s">
        <v>341</v>
      </c>
      <c r="M57" s="412"/>
      <c r="N57" s="412"/>
      <c r="O57" s="412"/>
      <c r="P57" s="412"/>
      <c r="Q57" s="412"/>
      <c r="R57" s="412"/>
      <c r="S57" s="412"/>
      <c r="T57" s="412"/>
      <c r="U57" s="412"/>
      <c r="V57" s="412"/>
      <c r="W57" s="412"/>
      <c r="X57" s="412"/>
      <c r="Y57" s="412"/>
      <c r="Z57" s="412"/>
      <c r="AA57" s="412"/>
      <c r="AB57" s="412"/>
      <c r="AC57" s="412"/>
      <c r="AD57" s="412"/>
      <c r="AE57" s="412"/>
      <c r="AF57" s="412"/>
      <c r="AG57" s="412"/>
      <c r="AH57" s="412"/>
      <c r="AI57" s="412"/>
      <c r="AJ57" s="412"/>
      <c r="AK57" s="412"/>
      <c r="AL57" s="412"/>
      <c r="AM57" s="412"/>
      <c r="AN57" s="412"/>
      <c r="AO57" s="412"/>
      <c r="AP57" s="412"/>
      <c r="AQ57" s="412"/>
      <c r="AR57" s="412"/>
      <c r="AS57" s="412"/>
      <c r="AT57" s="412"/>
      <c r="AU57" s="412"/>
      <c r="AV57" s="412"/>
      <c r="AW57" s="412"/>
      <c r="AX57" s="412"/>
      <c r="AY57" s="412"/>
      <c r="AZ57" s="412"/>
      <c r="BA57" s="412"/>
      <c r="BB57" s="412"/>
      <c r="BC57" s="412"/>
      <c r="BD57" s="412"/>
      <c r="BE57" s="412"/>
      <c r="BF57" s="412"/>
      <c r="BG57" s="412"/>
      <c r="BH57" s="412"/>
      <c r="BI57" s="412"/>
      <c r="BJ57" s="412"/>
      <c r="BK57" s="412"/>
      <c r="BL57" s="412"/>
      <c r="BM57" s="412"/>
      <c r="BN57" s="2364"/>
      <c r="GJ57" s="409"/>
      <c r="GK57" s="409"/>
      <c r="GL57" s="409"/>
      <c r="GM57" s="409"/>
      <c r="GN57" s="409"/>
      <c r="GO57" s="409"/>
      <c r="GP57" s="409"/>
      <c r="GQ57" s="409"/>
      <c r="GR57" s="409"/>
      <c r="GS57" s="409"/>
      <c r="GT57" s="409"/>
      <c r="GU57" s="409"/>
      <c r="GV57" s="409"/>
      <c r="GW57" s="409"/>
      <c r="GX57" s="409"/>
      <c r="GY57" s="409"/>
      <c r="GZ57" s="409"/>
      <c r="HA57" s="409"/>
    </row>
    <row r="58" spans="1:209" ht="13.8">
      <c r="A58" s="2328"/>
      <c r="B58" s="2083"/>
      <c r="C58" s="2365"/>
      <c r="D58" s="2337"/>
      <c r="E58" s="2337"/>
      <c r="F58" s="2337">
        <f t="shared" si="5"/>
        <v>0</v>
      </c>
      <c r="G58" s="2083"/>
      <c r="H58" s="2083"/>
      <c r="I58" s="2083"/>
      <c r="J58" s="2188"/>
      <c r="K58" s="2188"/>
      <c r="L58" s="2351" t="s">
        <v>341</v>
      </c>
      <c r="M58" s="412"/>
      <c r="N58" s="412"/>
      <c r="O58" s="412"/>
      <c r="P58" s="412"/>
      <c r="Q58" s="412"/>
      <c r="R58" s="412"/>
      <c r="S58" s="412"/>
      <c r="T58" s="412"/>
      <c r="U58" s="412"/>
      <c r="V58" s="412"/>
      <c r="W58" s="412"/>
      <c r="X58" s="412"/>
      <c r="Y58" s="412"/>
      <c r="Z58" s="412"/>
      <c r="AA58" s="412"/>
      <c r="AB58" s="412"/>
      <c r="AC58" s="412"/>
      <c r="AD58" s="412"/>
      <c r="AE58" s="412"/>
      <c r="AF58" s="412"/>
      <c r="AG58" s="412"/>
      <c r="AH58" s="412"/>
      <c r="AI58" s="412"/>
      <c r="AJ58" s="412"/>
      <c r="AK58" s="412"/>
      <c r="AL58" s="412"/>
      <c r="AM58" s="412"/>
      <c r="AN58" s="412"/>
      <c r="AO58" s="412"/>
      <c r="AP58" s="412"/>
      <c r="AQ58" s="412"/>
      <c r="AR58" s="412"/>
      <c r="AS58" s="412"/>
      <c r="AT58" s="412"/>
      <c r="AU58" s="412"/>
      <c r="AV58" s="412"/>
      <c r="AW58" s="412"/>
      <c r="AX58" s="412"/>
      <c r="AY58" s="412"/>
      <c r="AZ58" s="412"/>
      <c r="BA58" s="412"/>
      <c r="BB58" s="412"/>
      <c r="BC58" s="412"/>
      <c r="BD58" s="412"/>
      <c r="BE58" s="412"/>
      <c r="BF58" s="412"/>
      <c r="BG58" s="412"/>
      <c r="BH58" s="412"/>
      <c r="BI58" s="412"/>
      <c r="BJ58" s="412"/>
      <c r="BK58" s="412"/>
      <c r="BL58" s="412"/>
      <c r="BM58" s="412"/>
      <c r="BN58" s="2364"/>
    </row>
    <row r="59" spans="1:209" ht="13.8">
      <c r="A59" s="2328"/>
      <c r="B59" s="2083"/>
      <c r="C59" s="2365"/>
      <c r="D59" s="2337"/>
      <c r="E59" s="2337"/>
      <c r="F59" s="2337">
        <f t="shared" si="5"/>
        <v>0</v>
      </c>
      <c r="G59" s="2083"/>
      <c r="H59" s="2083"/>
      <c r="I59" s="2083"/>
      <c r="J59" s="2188"/>
      <c r="K59" s="2188"/>
      <c r="L59" s="2351" t="s">
        <v>341</v>
      </c>
      <c r="M59" s="412"/>
      <c r="N59" s="412"/>
      <c r="O59" s="412"/>
      <c r="P59" s="412"/>
      <c r="Q59" s="412"/>
      <c r="R59" s="412"/>
      <c r="S59" s="412"/>
      <c r="T59" s="412"/>
      <c r="U59" s="412"/>
      <c r="V59" s="412"/>
      <c r="W59" s="412"/>
      <c r="X59" s="412"/>
      <c r="Y59" s="412"/>
      <c r="Z59" s="412"/>
      <c r="AA59" s="412"/>
      <c r="AB59" s="412"/>
      <c r="AC59" s="412"/>
      <c r="AD59" s="412"/>
      <c r="AE59" s="412"/>
      <c r="AF59" s="412"/>
      <c r="AG59" s="412"/>
      <c r="AH59" s="412"/>
      <c r="AI59" s="412"/>
      <c r="AJ59" s="412"/>
      <c r="AK59" s="412"/>
      <c r="AL59" s="412"/>
      <c r="AM59" s="412"/>
      <c r="AN59" s="412"/>
      <c r="AO59" s="412"/>
      <c r="AP59" s="412"/>
      <c r="AQ59" s="412"/>
      <c r="AR59" s="412"/>
      <c r="AS59" s="412"/>
      <c r="AT59" s="412"/>
      <c r="AU59" s="412"/>
      <c r="AV59" s="412"/>
      <c r="AW59" s="412"/>
      <c r="AX59" s="412"/>
      <c r="AY59" s="412"/>
      <c r="AZ59" s="412"/>
      <c r="BA59" s="412"/>
      <c r="BB59" s="412"/>
      <c r="BC59" s="412"/>
      <c r="BD59" s="412"/>
      <c r="BE59" s="412"/>
      <c r="BF59" s="412"/>
      <c r="BG59" s="412"/>
      <c r="BH59" s="412"/>
      <c r="BI59" s="412"/>
      <c r="BJ59" s="412"/>
      <c r="BK59" s="412"/>
      <c r="BL59" s="412"/>
      <c r="BM59" s="412"/>
      <c r="BN59" s="2364"/>
    </row>
    <row r="60" spans="1:209" ht="13.8">
      <c r="A60" s="2328"/>
      <c r="B60" s="2083"/>
      <c r="C60" s="2365"/>
      <c r="D60" s="2337"/>
      <c r="E60" s="2337"/>
      <c r="F60" s="2337">
        <f t="shared" si="5"/>
        <v>0</v>
      </c>
      <c r="G60" s="2083"/>
      <c r="H60" s="2083"/>
      <c r="I60" s="2083"/>
      <c r="J60" s="2188"/>
      <c r="K60" s="2188"/>
      <c r="L60" s="2351" t="s">
        <v>341</v>
      </c>
      <c r="M60" s="412"/>
      <c r="N60" s="412"/>
      <c r="O60" s="412"/>
      <c r="P60" s="412"/>
      <c r="Q60" s="412"/>
      <c r="R60" s="412"/>
      <c r="S60" s="412"/>
      <c r="T60" s="412"/>
      <c r="U60" s="412"/>
      <c r="V60" s="412"/>
      <c r="W60" s="412"/>
      <c r="X60" s="412"/>
      <c r="Y60" s="412"/>
      <c r="Z60" s="412"/>
      <c r="AA60" s="412"/>
      <c r="AB60" s="412"/>
      <c r="AC60" s="412"/>
      <c r="AD60" s="412"/>
      <c r="AE60" s="412"/>
      <c r="AF60" s="412"/>
      <c r="AG60" s="412"/>
      <c r="AH60" s="412"/>
      <c r="AI60" s="412"/>
      <c r="AJ60" s="412"/>
      <c r="AK60" s="412"/>
      <c r="AL60" s="412"/>
      <c r="AM60" s="412"/>
      <c r="AN60" s="412"/>
      <c r="AO60" s="412"/>
      <c r="AP60" s="412"/>
      <c r="AQ60" s="412"/>
      <c r="AR60" s="412"/>
      <c r="AS60" s="412"/>
      <c r="AT60" s="412"/>
      <c r="AU60" s="412"/>
      <c r="AV60" s="412"/>
      <c r="AW60" s="412"/>
      <c r="AX60" s="412"/>
      <c r="AY60" s="412"/>
      <c r="AZ60" s="412"/>
      <c r="BA60" s="412"/>
      <c r="BB60" s="412"/>
      <c r="BC60" s="412"/>
      <c r="BD60" s="412"/>
      <c r="BE60" s="412"/>
      <c r="BF60" s="412"/>
      <c r="BG60" s="412"/>
      <c r="BH60" s="412"/>
      <c r="BI60" s="412"/>
      <c r="BJ60" s="412"/>
      <c r="BK60" s="412"/>
      <c r="BL60" s="412"/>
      <c r="BM60" s="412"/>
      <c r="BN60" s="2364"/>
    </row>
    <row r="61" spans="1:209" ht="13.8">
      <c r="A61" s="2328"/>
      <c r="B61" s="2083"/>
      <c r="C61" s="2365"/>
      <c r="D61" s="2337"/>
      <c r="E61" s="2337"/>
      <c r="F61" s="2337">
        <f t="shared" si="5"/>
        <v>0</v>
      </c>
      <c r="G61" s="2083"/>
      <c r="H61" s="2083"/>
      <c r="I61" s="2083"/>
      <c r="J61" s="2188"/>
      <c r="K61" s="2188"/>
      <c r="L61" s="2351" t="s">
        <v>341</v>
      </c>
      <c r="M61" s="412"/>
      <c r="N61" s="412"/>
      <c r="O61" s="412"/>
      <c r="P61" s="412"/>
      <c r="Q61" s="412"/>
      <c r="R61" s="412"/>
      <c r="S61" s="412"/>
      <c r="T61" s="412"/>
      <c r="U61" s="412"/>
      <c r="V61" s="412"/>
      <c r="W61" s="412"/>
      <c r="X61" s="412"/>
      <c r="Y61" s="412"/>
      <c r="Z61" s="412"/>
      <c r="AA61" s="412"/>
      <c r="AB61" s="412"/>
      <c r="AC61" s="412"/>
      <c r="AD61" s="412"/>
      <c r="AE61" s="412"/>
      <c r="AF61" s="412"/>
      <c r="AG61" s="412"/>
      <c r="AH61" s="412"/>
      <c r="AI61" s="412"/>
      <c r="AJ61" s="412"/>
      <c r="AK61" s="412"/>
      <c r="AL61" s="412"/>
      <c r="AM61" s="412"/>
      <c r="AN61" s="412"/>
      <c r="AO61" s="412"/>
      <c r="AP61" s="412"/>
      <c r="AQ61" s="412"/>
      <c r="AR61" s="412"/>
      <c r="AS61" s="412"/>
      <c r="AT61" s="412"/>
      <c r="AU61" s="412"/>
      <c r="AV61" s="412"/>
      <c r="AW61" s="412"/>
      <c r="AX61" s="412"/>
      <c r="AY61" s="412"/>
      <c r="AZ61" s="412"/>
      <c r="BA61" s="412"/>
      <c r="BB61" s="412"/>
      <c r="BC61" s="412"/>
      <c r="BD61" s="412"/>
      <c r="BE61" s="412"/>
      <c r="BF61" s="412"/>
      <c r="BG61" s="412"/>
      <c r="BH61" s="412"/>
      <c r="BI61" s="412"/>
      <c r="BJ61" s="412"/>
      <c r="BK61" s="412"/>
      <c r="BL61" s="412"/>
      <c r="BM61" s="412"/>
      <c r="BN61" s="2364"/>
      <c r="GJ61" s="409"/>
      <c r="GK61" s="409"/>
      <c r="GL61" s="409"/>
      <c r="GM61" s="409"/>
      <c r="GN61" s="409"/>
      <c r="GO61" s="409"/>
      <c r="GP61" s="409"/>
      <c r="GQ61" s="409"/>
      <c r="GR61" s="409"/>
      <c r="GS61" s="409"/>
      <c r="GT61" s="409"/>
      <c r="GU61" s="409"/>
      <c r="GV61" s="409"/>
      <c r="GW61" s="409"/>
      <c r="GX61" s="409"/>
      <c r="GY61" s="409"/>
      <c r="GZ61" s="409"/>
      <c r="HA61" s="409"/>
    </row>
    <row r="62" spans="1:209" ht="13.8">
      <c r="A62" s="2328"/>
      <c r="B62" s="2083"/>
      <c r="C62" s="2365"/>
      <c r="D62" s="2337"/>
      <c r="E62" s="2337"/>
      <c r="F62" s="2337">
        <f t="shared" si="5"/>
        <v>0</v>
      </c>
      <c r="G62" s="2083"/>
      <c r="H62" s="2083"/>
      <c r="I62" s="2083"/>
      <c r="J62" s="2188"/>
      <c r="K62" s="2188"/>
      <c r="L62" s="2351" t="s">
        <v>341</v>
      </c>
      <c r="M62" s="412"/>
      <c r="N62" s="412"/>
      <c r="O62" s="412"/>
      <c r="P62" s="412"/>
      <c r="Q62" s="412"/>
      <c r="R62" s="412"/>
      <c r="S62" s="412"/>
      <c r="T62" s="412"/>
      <c r="U62" s="412"/>
      <c r="V62" s="412"/>
      <c r="W62" s="412"/>
      <c r="X62" s="412"/>
      <c r="Y62" s="412"/>
      <c r="Z62" s="412"/>
      <c r="AA62" s="412"/>
      <c r="AB62" s="412"/>
      <c r="AC62" s="412"/>
      <c r="AD62" s="412"/>
      <c r="AE62" s="412"/>
      <c r="AF62" s="412"/>
      <c r="AG62" s="412"/>
      <c r="AH62" s="412"/>
      <c r="AI62" s="412"/>
      <c r="AJ62" s="412"/>
      <c r="AK62" s="412"/>
      <c r="AL62" s="412"/>
      <c r="AM62" s="412"/>
      <c r="AN62" s="412"/>
      <c r="AO62" s="412"/>
      <c r="AP62" s="412"/>
      <c r="AQ62" s="412"/>
      <c r="AR62" s="412"/>
      <c r="AS62" s="412"/>
      <c r="AT62" s="412"/>
      <c r="AU62" s="412"/>
      <c r="AV62" s="412"/>
      <c r="AW62" s="412"/>
      <c r="AX62" s="412"/>
      <c r="AY62" s="412"/>
      <c r="AZ62" s="412"/>
      <c r="BA62" s="412"/>
      <c r="BB62" s="412"/>
      <c r="BC62" s="412"/>
      <c r="BD62" s="412"/>
      <c r="BE62" s="412"/>
      <c r="BF62" s="412"/>
      <c r="BG62" s="412"/>
      <c r="BH62" s="412"/>
      <c r="BI62" s="412"/>
      <c r="BJ62" s="412"/>
      <c r="BK62" s="412"/>
      <c r="BL62" s="412"/>
      <c r="BM62" s="412"/>
      <c r="BN62" s="2364"/>
    </row>
    <row r="63" spans="1:209" ht="13.8">
      <c r="A63" s="2328"/>
      <c r="B63" s="2083"/>
      <c r="C63" s="2365"/>
      <c r="D63" s="2337"/>
      <c r="E63" s="2337"/>
      <c r="F63" s="2337">
        <f t="shared" si="5"/>
        <v>0</v>
      </c>
      <c r="G63" s="2083"/>
      <c r="H63" s="2083"/>
      <c r="I63" s="2083"/>
      <c r="J63" s="2188"/>
      <c r="K63" s="2188"/>
      <c r="L63" s="2351" t="s">
        <v>341</v>
      </c>
      <c r="M63" s="412"/>
      <c r="N63" s="412"/>
      <c r="O63" s="412"/>
      <c r="P63" s="412"/>
      <c r="Q63" s="412"/>
      <c r="R63" s="412"/>
      <c r="S63" s="412"/>
      <c r="T63" s="412"/>
      <c r="U63" s="412"/>
      <c r="V63" s="412"/>
      <c r="W63" s="412"/>
      <c r="X63" s="412"/>
      <c r="Y63" s="412"/>
      <c r="Z63" s="412"/>
      <c r="AA63" s="412"/>
      <c r="AB63" s="412"/>
      <c r="AC63" s="412"/>
      <c r="AD63" s="412"/>
      <c r="AE63" s="412"/>
      <c r="AF63" s="412"/>
      <c r="AG63" s="412"/>
      <c r="AH63" s="412"/>
      <c r="AI63" s="412"/>
      <c r="AJ63" s="412"/>
      <c r="AK63" s="412"/>
      <c r="AL63" s="412"/>
      <c r="AM63" s="412"/>
      <c r="AN63" s="412"/>
      <c r="AO63" s="412"/>
      <c r="AP63" s="412"/>
      <c r="AQ63" s="412"/>
      <c r="AR63" s="412"/>
      <c r="AS63" s="412"/>
      <c r="AT63" s="412"/>
      <c r="AU63" s="412"/>
      <c r="AV63" s="412"/>
      <c r="AW63" s="412"/>
      <c r="AX63" s="412"/>
      <c r="AY63" s="412"/>
      <c r="AZ63" s="412"/>
      <c r="BA63" s="412"/>
      <c r="BB63" s="412"/>
      <c r="BC63" s="412"/>
      <c r="BD63" s="412"/>
      <c r="BE63" s="412"/>
      <c r="BF63" s="412"/>
      <c r="BG63" s="412"/>
      <c r="BH63" s="412"/>
      <c r="BI63" s="412"/>
      <c r="BJ63" s="412"/>
      <c r="BK63" s="412"/>
      <c r="BL63" s="412"/>
      <c r="BM63" s="412"/>
      <c r="BN63" s="2364"/>
    </row>
    <row r="64" spans="1:209" ht="13.8">
      <c r="A64" s="2328"/>
      <c r="B64" s="2083"/>
      <c r="C64" s="2365"/>
      <c r="D64" s="2337"/>
      <c r="E64" s="2337"/>
      <c r="F64" s="2337">
        <f t="shared" si="5"/>
        <v>0</v>
      </c>
      <c r="G64" s="2083"/>
      <c r="H64" s="2083"/>
      <c r="I64" s="2083"/>
      <c r="J64" s="2188"/>
      <c r="K64" s="2188"/>
      <c r="L64" s="2351" t="s">
        <v>341</v>
      </c>
      <c r="M64" s="412"/>
      <c r="N64" s="412"/>
      <c r="O64" s="412"/>
      <c r="P64" s="412"/>
      <c r="Q64" s="412"/>
      <c r="R64" s="412"/>
      <c r="S64" s="412"/>
      <c r="T64" s="412"/>
      <c r="U64" s="412"/>
      <c r="V64" s="412"/>
      <c r="W64" s="412"/>
      <c r="X64" s="412"/>
      <c r="Y64" s="412"/>
      <c r="Z64" s="412"/>
      <c r="AA64" s="412"/>
      <c r="AB64" s="412"/>
      <c r="AC64" s="412"/>
      <c r="AD64" s="412"/>
      <c r="AE64" s="412"/>
      <c r="AF64" s="412"/>
      <c r="AG64" s="412"/>
      <c r="AH64" s="412"/>
      <c r="AI64" s="412"/>
      <c r="AJ64" s="412"/>
      <c r="AK64" s="412"/>
      <c r="AL64" s="412"/>
      <c r="AM64" s="412"/>
      <c r="AN64" s="412"/>
      <c r="AO64" s="412"/>
      <c r="AP64" s="412"/>
      <c r="AQ64" s="412"/>
      <c r="AR64" s="412"/>
      <c r="AS64" s="412"/>
      <c r="AT64" s="412"/>
      <c r="AU64" s="412"/>
      <c r="AV64" s="412"/>
      <c r="AW64" s="412"/>
      <c r="AX64" s="412"/>
      <c r="AY64" s="412"/>
      <c r="AZ64" s="412"/>
      <c r="BA64" s="412"/>
      <c r="BB64" s="412"/>
      <c r="BC64" s="412"/>
      <c r="BD64" s="412"/>
      <c r="BE64" s="412"/>
      <c r="BF64" s="412"/>
      <c r="BG64" s="412"/>
      <c r="BH64" s="412"/>
      <c r="BI64" s="412"/>
      <c r="BJ64" s="412"/>
      <c r="BK64" s="412"/>
      <c r="BL64" s="412"/>
      <c r="BM64" s="412"/>
      <c r="BN64" s="2364"/>
    </row>
    <row r="65" spans="1:209" ht="13.8">
      <c r="A65" s="2328"/>
      <c r="B65" s="2083"/>
      <c r="C65" s="2365"/>
      <c r="D65" s="2337"/>
      <c r="E65" s="2337"/>
      <c r="F65" s="2337">
        <f t="shared" si="5"/>
        <v>0</v>
      </c>
      <c r="G65" s="2083"/>
      <c r="H65" s="2083"/>
      <c r="I65" s="2083"/>
      <c r="J65" s="2188"/>
      <c r="K65" s="2188"/>
      <c r="L65" s="2351" t="s">
        <v>341</v>
      </c>
      <c r="M65" s="412"/>
      <c r="N65" s="412"/>
      <c r="O65" s="412"/>
      <c r="P65" s="412"/>
      <c r="Q65" s="412"/>
      <c r="R65" s="412"/>
      <c r="S65" s="412"/>
      <c r="T65" s="412"/>
      <c r="U65" s="412"/>
      <c r="V65" s="412"/>
      <c r="W65" s="412"/>
      <c r="X65" s="412"/>
      <c r="Y65" s="412"/>
      <c r="Z65" s="412"/>
      <c r="AA65" s="412"/>
      <c r="AB65" s="412"/>
      <c r="AC65" s="412"/>
      <c r="AD65" s="412"/>
      <c r="AE65" s="412"/>
      <c r="AF65" s="412"/>
      <c r="AG65" s="412"/>
      <c r="AH65" s="412"/>
      <c r="AI65" s="412"/>
      <c r="AJ65" s="412"/>
      <c r="AK65" s="412"/>
      <c r="AL65" s="412"/>
      <c r="AM65" s="412"/>
      <c r="AN65" s="412"/>
      <c r="AO65" s="412"/>
      <c r="AP65" s="412"/>
      <c r="AQ65" s="412"/>
      <c r="AR65" s="412"/>
      <c r="AS65" s="412"/>
      <c r="AT65" s="412"/>
      <c r="AU65" s="412"/>
      <c r="AV65" s="412"/>
      <c r="AW65" s="412"/>
      <c r="AX65" s="412"/>
      <c r="AY65" s="412"/>
      <c r="AZ65" s="412"/>
      <c r="BA65" s="412"/>
      <c r="BB65" s="412"/>
      <c r="BC65" s="412"/>
      <c r="BD65" s="412"/>
      <c r="BE65" s="412"/>
      <c r="BF65" s="412"/>
      <c r="BG65" s="412"/>
      <c r="BH65" s="412"/>
      <c r="BI65" s="412"/>
      <c r="BJ65" s="412"/>
      <c r="BK65" s="412"/>
      <c r="BL65" s="412"/>
      <c r="BM65" s="412"/>
      <c r="BN65" s="2364"/>
      <c r="GJ65" s="409"/>
      <c r="GK65" s="409"/>
      <c r="GL65" s="409"/>
      <c r="GM65" s="409"/>
      <c r="GN65" s="409"/>
      <c r="GO65" s="409"/>
      <c r="GP65" s="409"/>
      <c r="GQ65" s="409"/>
      <c r="GR65" s="409"/>
      <c r="GS65" s="409"/>
      <c r="GT65" s="409"/>
      <c r="GU65" s="409"/>
      <c r="GV65" s="409"/>
      <c r="GW65" s="409"/>
      <c r="GX65" s="409"/>
      <c r="GY65" s="409"/>
      <c r="GZ65" s="409"/>
      <c r="HA65" s="409"/>
    </row>
    <row r="66" spans="1:209" ht="13.8">
      <c r="A66" s="2328"/>
      <c r="B66" s="2083"/>
      <c r="C66" s="2365"/>
      <c r="D66" s="2337"/>
      <c r="E66" s="2337"/>
      <c r="F66" s="2337">
        <f t="shared" si="5"/>
        <v>0</v>
      </c>
      <c r="G66" s="2083"/>
      <c r="H66" s="2083"/>
      <c r="I66" s="2083"/>
      <c r="J66" s="2188"/>
      <c r="K66" s="2188"/>
      <c r="L66" s="2351" t="s">
        <v>1113</v>
      </c>
      <c r="M66" s="412"/>
      <c r="N66" s="412"/>
      <c r="O66" s="412"/>
      <c r="P66" s="412"/>
      <c r="Q66" s="412"/>
      <c r="R66" s="412"/>
      <c r="S66" s="412"/>
      <c r="T66" s="412"/>
      <c r="U66" s="412"/>
      <c r="V66" s="412"/>
      <c r="W66" s="412"/>
      <c r="X66" s="412"/>
      <c r="Y66" s="412"/>
      <c r="Z66" s="412"/>
      <c r="AA66" s="412"/>
      <c r="AB66" s="412"/>
      <c r="AC66" s="412"/>
      <c r="AD66" s="412"/>
      <c r="AE66" s="412"/>
      <c r="AF66" s="412"/>
      <c r="AG66" s="412"/>
      <c r="AH66" s="412"/>
      <c r="AI66" s="412"/>
      <c r="AJ66" s="412"/>
      <c r="AK66" s="412"/>
      <c r="AL66" s="412"/>
      <c r="AM66" s="412"/>
      <c r="AN66" s="412"/>
      <c r="AO66" s="412"/>
      <c r="AP66" s="412"/>
      <c r="AQ66" s="412"/>
      <c r="AR66" s="412"/>
      <c r="AS66" s="412"/>
      <c r="AT66" s="412"/>
      <c r="AU66" s="412"/>
      <c r="AV66" s="412"/>
      <c r="AW66" s="412"/>
      <c r="AX66" s="412"/>
      <c r="AY66" s="412"/>
      <c r="AZ66" s="412"/>
      <c r="BA66" s="412"/>
      <c r="BB66" s="412"/>
      <c r="BC66" s="412"/>
      <c r="BD66" s="412"/>
      <c r="BE66" s="412"/>
      <c r="BF66" s="412"/>
      <c r="BG66" s="412"/>
      <c r="BH66" s="412"/>
      <c r="BI66" s="412"/>
      <c r="BJ66" s="412"/>
      <c r="BK66" s="412"/>
      <c r="BL66" s="412"/>
      <c r="BM66" s="412"/>
      <c r="BN66" s="2364"/>
    </row>
    <row r="67" spans="1:209" s="2360" customFormat="1" ht="13.8">
      <c r="A67" s="2571" t="s">
        <v>4010</v>
      </c>
      <c r="B67" s="2572"/>
      <c r="C67" s="2366">
        <f>SUM(C37:C66)</f>
        <v>0</v>
      </c>
      <c r="D67" s="2357">
        <f t="shared" ref="D67:I67" si="6">D66</f>
        <v>0</v>
      </c>
      <c r="E67" s="2357">
        <f t="shared" si="6"/>
        <v>0</v>
      </c>
      <c r="F67" s="2357">
        <f t="shared" si="6"/>
        <v>0</v>
      </c>
      <c r="G67" s="2357">
        <f t="shared" si="6"/>
        <v>0</v>
      </c>
      <c r="H67" s="2357">
        <f t="shared" si="6"/>
        <v>0</v>
      </c>
      <c r="I67" s="2357">
        <f t="shared" si="6"/>
        <v>0</v>
      </c>
      <c r="J67" s="2357"/>
      <c r="K67" s="2357"/>
      <c r="L67" s="2358"/>
      <c r="M67" s="2358">
        <f>SUM(M37:M66)</f>
        <v>0</v>
      </c>
      <c r="N67" s="2358"/>
      <c r="O67" s="2358"/>
      <c r="P67" s="2358">
        <f t="shared" ref="P67:AU67" si="7">SUM(P37:P66)</f>
        <v>0</v>
      </c>
      <c r="Q67" s="2358">
        <f t="shared" si="7"/>
        <v>0</v>
      </c>
      <c r="R67" s="2358">
        <f t="shared" si="7"/>
        <v>0</v>
      </c>
      <c r="S67" s="2358">
        <f t="shared" si="7"/>
        <v>0</v>
      </c>
      <c r="T67" s="2358">
        <f t="shared" si="7"/>
        <v>0</v>
      </c>
      <c r="U67" s="2358">
        <f t="shared" si="7"/>
        <v>0</v>
      </c>
      <c r="V67" s="2358">
        <f t="shared" si="7"/>
        <v>0</v>
      </c>
      <c r="W67" s="2358">
        <f t="shared" si="7"/>
        <v>0</v>
      </c>
      <c r="X67" s="2358">
        <f t="shared" si="7"/>
        <v>0</v>
      </c>
      <c r="Y67" s="2358">
        <f t="shared" si="7"/>
        <v>0</v>
      </c>
      <c r="Z67" s="2358">
        <f t="shared" si="7"/>
        <v>0</v>
      </c>
      <c r="AA67" s="2358">
        <f t="shared" si="7"/>
        <v>0</v>
      </c>
      <c r="AB67" s="2358">
        <f t="shared" si="7"/>
        <v>0</v>
      </c>
      <c r="AC67" s="2358">
        <f t="shared" si="7"/>
        <v>0</v>
      </c>
      <c r="AD67" s="2358">
        <f t="shared" si="7"/>
        <v>0</v>
      </c>
      <c r="AE67" s="2358">
        <f t="shared" si="7"/>
        <v>0</v>
      </c>
      <c r="AF67" s="2358">
        <f t="shared" si="7"/>
        <v>0</v>
      </c>
      <c r="AG67" s="2358">
        <f t="shared" si="7"/>
        <v>0</v>
      </c>
      <c r="AH67" s="2358">
        <f t="shared" si="7"/>
        <v>0</v>
      </c>
      <c r="AI67" s="2358">
        <f t="shared" si="7"/>
        <v>0</v>
      </c>
      <c r="AJ67" s="2358">
        <f t="shared" si="7"/>
        <v>0</v>
      </c>
      <c r="AK67" s="2358">
        <f t="shared" si="7"/>
        <v>0</v>
      </c>
      <c r="AL67" s="2358">
        <f t="shared" si="7"/>
        <v>0</v>
      </c>
      <c r="AM67" s="2358">
        <f t="shared" si="7"/>
        <v>0</v>
      </c>
      <c r="AN67" s="2358">
        <f t="shared" si="7"/>
        <v>0</v>
      </c>
      <c r="AO67" s="2358">
        <f t="shared" si="7"/>
        <v>0</v>
      </c>
      <c r="AP67" s="2358">
        <f t="shared" si="7"/>
        <v>0</v>
      </c>
      <c r="AQ67" s="2358">
        <f t="shared" si="7"/>
        <v>0</v>
      </c>
      <c r="AR67" s="2358">
        <f t="shared" si="7"/>
        <v>0</v>
      </c>
      <c r="AS67" s="2358">
        <f t="shared" si="7"/>
        <v>0</v>
      </c>
      <c r="AT67" s="2358">
        <f t="shared" si="7"/>
        <v>0</v>
      </c>
      <c r="AU67" s="2358">
        <f t="shared" si="7"/>
        <v>0</v>
      </c>
      <c r="AV67" s="2358">
        <f t="shared" ref="AV67:BM67" si="8">SUM(AV37:AV66)</f>
        <v>0</v>
      </c>
      <c r="AW67" s="2358">
        <f t="shared" si="8"/>
        <v>0</v>
      </c>
      <c r="AX67" s="2358">
        <f t="shared" si="8"/>
        <v>0</v>
      </c>
      <c r="AY67" s="2358">
        <f t="shared" si="8"/>
        <v>0</v>
      </c>
      <c r="AZ67" s="2358">
        <f t="shared" si="8"/>
        <v>0</v>
      </c>
      <c r="BA67" s="2358">
        <f t="shared" si="8"/>
        <v>0</v>
      </c>
      <c r="BB67" s="2358">
        <f t="shared" si="8"/>
        <v>0</v>
      </c>
      <c r="BC67" s="2358">
        <f t="shared" si="8"/>
        <v>0</v>
      </c>
      <c r="BD67" s="2358">
        <f t="shared" si="8"/>
        <v>0</v>
      </c>
      <c r="BE67" s="2358">
        <f t="shared" si="8"/>
        <v>0</v>
      </c>
      <c r="BF67" s="2358">
        <f t="shared" si="8"/>
        <v>0</v>
      </c>
      <c r="BG67" s="2358">
        <f t="shared" si="8"/>
        <v>0</v>
      </c>
      <c r="BH67" s="2358">
        <f t="shared" si="8"/>
        <v>0</v>
      </c>
      <c r="BI67" s="2358">
        <f t="shared" si="8"/>
        <v>0</v>
      </c>
      <c r="BJ67" s="2358">
        <f t="shared" si="8"/>
        <v>0</v>
      </c>
      <c r="BK67" s="2358">
        <f t="shared" si="8"/>
        <v>0</v>
      </c>
      <c r="BL67" s="2358">
        <f t="shared" si="8"/>
        <v>0</v>
      </c>
      <c r="BM67" s="2358">
        <f t="shared" si="8"/>
        <v>0</v>
      </c>
      <c r="BN67" s="2359"/>
      <c r="BO67" s="413"/>
      <c r="BP67" s="413"/>
      <c r="BQ67" s="413"/>
      <c r="BR67" s="413"/>
      <c r="BS67" s="413"/>
      <c r="BT67" s="413"/>
      <c r="BU67" s="413"/>
      <c r="BV67" s="413"/>
      <c r="BW67" s="413"/>
      <c r="BX67" s="413"/>
      <c r="BY67" s="413"/>
      <c r="BZ67" s="413"/>
      <c r="CA67" s="413"/>
      <c r="CB67" s="413"/>
      <c r="CC67" s="413"/>
      <c r="CD67" s="413"/>
      <c r="CE67" s="413"/>
      <c r="CF67" s="413"/>
      <c r="CG67" s="413"/>
      <c r="CH67" s="413"/>
      <c r="CI67" s="413"/>
      <c r="CJ67" s="413"/>
      <c r="CK67" s="413"/>
      <c r="CL67" s="413"/>
      <c r="CM67" s="413"/>
      <c r="CN67" s="413"/>
      <c r="CO67" s="413"/>
      <c r="CP67" s="413"/>
      <c r="CQ67" s="413"/>
      <c r="CR67" s="413"/>
      <c r="CS67" s="413"/>
      <c r="CT67" s="413"/>
      <c r="CU67" s="413"/>
      <c r="CV67" s="413"/>
      <c r="CW67" s="413"/>
      <c r="CX67" s="413"/>
      <c r="CY67" s="413"/>
      <c r="CZ67" s="413"/>
      <c r="DA67" s="413"/>
      <c r="DB67" s="413"/>
      <c r="DC67" s="413"/>
      <c r="DD67" s="413"/>
      <c r="DE67" s="413"/>
      <c r="DF67" s="413"/>
      <c r="DG67" s="413"/>
      <c r="DH67" s="413"/>
      <c r="DI67" s="413"/>
      <c r="DJ67" s="413"/>
      <c r="DK67" s="413"/>
      <c r="DL67" s="413"/>
      <c r="DM67" s="413"/>
      <c r="DN67" s="413"/>
      <c r="DO67" s="413"/>
      <c r="DP67" s="413"/>
      <c r="DQ67" s="413"/>
      <c r="DR67" s="413"/>
      <c r="DS67" s="413"/>
      <c r="DT67" s="413"/>
      <c r="DU67" s="413"/>
      <c r="DV67" s="413"/>
      <c r="DW67" s="413"/>
      <c r="DX67" s="413"/>
      <c r="DY67" s="413"/>
      <c r="DZ67" s="413"/>
      <c r="EA67" s="413"/>
      <c r="EB67" s="413"/>
      <c r="EC67" s="413"/>
      <c r="ED67" s="413"/>
      <c r="EE67" s="413"/>
      <c r="EF67" s="413"/>
      <c r="EG67" s="413"/>
      <c r="EH67" s="413"/>
      <c r="EI67" s="413"/>
      <c r="EJ67" s="413"/>
      <c r="EK67" s="413"/>
      <c r="EL67" s="413"/>
      <c r="EM67" s="413"/>
      <c r="EN67" s="413"/>
      <c r="EO67" s="413"/>
      <c r="EP67" s="413"/>
      <c r="EQ67" s="413"/>
      <c r="ER67" s="413"/>
      <c r="ES67" s="413"/>
      <c r="ET67" s="413"/>
      <c r="EU67" s="413"/>
      <c r="EV67" s="413"/>
      <c r="EW67" s="413"/>
      <c r="EX67" s="413"/>
      <c r="EY67" s="413"/>
      <c r="EZ67" s="413"/>
      <c r="FA67" s="413"/>
      <c r="FB67" s="413"/>
      <c r="FC67" s="413"/>
      <c r="FD67" s="413"/>
      <c r="FE67" s="413"/>
      <c r="FF67" s="413"/>
      <c r="FG67" s="413"/>
      <c r="FH67" s="413"/>
      <c r="FI67" s="413"/>
      <c r="FJ67" s="413"/>
      <c r="FK67" s="413"/>
      <c r="FL67" s="413"/>
      <c r="FM67" s="413"/>
      <c r="FN67" s="413"/>
      <c r="FO67" s="413"/>
      <c r="FP67" s="413"/>
      <c r="FQ67" s="413"/>
      <c r="FR67" s="413"/>
      <c r="FS67" s="413"/>
      <c r="FT67" s="413"/>
      <c r="FU67" s="413"/>
      <c r="FV67" s="413"/>
      <c r="FW67" s="413"/>
      <c r="FX67" s="413"/>
      <c r="FY67" s="413"/>
      <c r="FZ67" s="413"/>
      <c r="GA67" s="413"/>
      <c r="GB67" s="413"/>
      <c r="GC67" s="413"/>
      <c r="GD67" s="413"/>
      <c r="GE67" s="413"/>
      <c r="GF67" s="413"/>
      <c r="GG67" s="413"/>
      <c r="GH67" s="413"/>
      <c r="GI67" s="413"/>
      <c r="GJ67" s="410"/>
      <c r="GK67" s="410"/>
      <c r="GL67" s="410"/>
      <c r="GM67" s="410"/>
      <c r="GN67" s="410"/>
      <c r="GO67" s="410"/>
      <c r="GP67" s="410"/>
      <c r="GQ67" s="410"/>
      <c r="GR67" s="410"/>
      <c r="GS67" s="410"/>
      <c r="GT67" s="410"/>
      <c r="GU67" s="410"/>
      <c r="GV67" s="410"/>
      <c r="GW67" s="410"/>
      <c r="GX67" s="410"/>
      <c r="GY67" s="410"/>
      <c r="GZ67" s="410"/>
      <c r="HA67" s="410"/>
    </row>
    <row r="68" spans="1:209" ht="13.8">
      <c r="A68" s="2367"/>
      <c r="B68" s="2361"/>
      <c r="C68" s="2361"/>
      <c r="D68" s="2361"/>
      <c r="E68" s="2361"/>
      <c r="F68" s="2361"/>
      <c r="G68" s="2361"/>
      <c r="H68" s="2361"/>
      <c r="I68" s="2361"/>
      <c r="J68" s="2339"/>
      <c r="K68" s="2339"/>
      <c r="L68" s="2339"/>
      <c r="M68" s="2361"/>
      <c r="N68" s="2361"/>
      <c r="O68" s="2361"/>
      <c r="P68" s="2361"/>
      <c r="Q68" s="2361"/>
      <c r="R68" s="2339"/>
      <c r="S68" s="2339"/>
      <c r="T68" s="2339"/>
      <c r="U68" s="2339"/>
      <c r="V68" s="2339"/>
      <c r="W68" s="2339"/>
      <c r="X68" s="2339"/>
      <c r="Y68" s="2339"/>
      <c r="Z68" s="2339"/>
      <c r="AA68" s="2339"/>
      <c r="AB68" s="2339"/>
      <c r="AC68" s="2339"/>
      <c r="AD68" s="2339"/>
      <c r="AE68" s="2368"/>
      <c r="AF68" s="2368"/>
      <c r="AG68" s="2368"/>
      <c r="AH68" s="2368"/>
      <c r="AI68" s="2361"/>
      <c r="AJ68" s="2361"/>
      <c r="AK68" s="2361"/>
      <c r="AL68" s="2361"/>
      <c r="AM68" s="2361"/>
      <c r="AN68" s="2361"/>
      <c r="AO68" s="2361"/>
      <c r="AP68" s="2361"/>
      <c r="AQ68" s="2361"/>
      <c r="AR68" s="2361"/>
      <c r="AS68" s="2361"/>
      <c r="AT68" s="2361"/>
      <c r="AU68" s="2361"/>
      <c r="AV68" s="2361"/>
      <c r="AW68" s="2361"/>
      <c r="AX68" s="2361"/>
      <c r="AY68" s="2361"/>
      <c r="AZ68" s="2361"/>
      <c r="BA68" s="2361"/>
      <c r="BB68" s="2361"/>
      <c r="BC68" s="2361"/>
      <c r="BD68" s="2361"/>
      <c r="BE68" s="2361"/>
      <c r="BF68" s="2361"/>
      <c r="BG68" s="2361"/>
      <c r="BH68" s="2361"/>
      <c r="BI68" s="2361"/>
      <c r="BJ68" s="2361"/>
      <c r="BK68" s="2361"/>
      <c r="BL68" s="2361"/>
      <c r="BM68" s="2361"/>
      <c r="BN68" s="2369"/>
    </row>
    <row r="69" spans="1:209" s="413" customFormat="1" ht="18.899999999999999" customHeight="1" thickBot="1">
      <c r="A69" s="2569" t="s">
        <v>4068</v>
      </c>
      <c r="B69" s="2570"/>
      <c r="C69" s="2370">
        <f t="shared" ref="C69:I69" si="9">C35+C67</f>
        <v>0</v>
      </c>
      <c r="D69" s="2370">
        <f t="shared" si="9"/>
        <v>0</v>
      </c>
      <c r="E69" s="2370">
        <f t="shared" si="9"/>
        <v>0</v>
      </c>
      <c r="F69" s="2370">
        <f t="shared" si="9"/>
        <v>0</v>
      </c>
      <c r="G69" s="2370">
        <f t="shared" si="9"/>
        <v>0</v>
      </c>
      <c r="H69" s="2370">
        <f t="shared" si="9"/>
        <v>0</v>
      </c>
      <c r="I69" s="2370">
        <f t="shared" si="9"/>
        <v>0</v>
      </c>
      <c r="J69" s="2370"/>
      <c r="K69" s="2370"/>
      <c r="L69" s="2370"/>
      <c r="M69" s="2371">
        <f t="shared" ref="M69:AR69" si="10">M35+M67</f>
        <v>0</v>
      </c>
      <c r="N69" s="2371">
        <f t="shared" si="10"/>
        <v>0</v>
      </c>
      <c r="O69" s="2371">
        <f t="shared" si="10"/>
        <v>0</v>
      </c>
      <c r="P69" s="2371">
        <f t="shared" si="10"/>
        <v>0</v>
      </c>
      <c r="Q69" s="2371">
        <f t="shared" si="10"/>
        <v>0</v>
      </c>
      <c r="R69" s="2371">
        <f t="shared" si="10"/>
        <v>0</v>
      </c>
      <c r="S69" s="2371">
        <f t="shared" si="10"/>
        <v>0</v>
      </c>
      <c r="T69" s="2371">
        <f t="shared" si="10"/>
        <v>0</v>
      </c>
      <c r="U69" s="2371">
        <f t="shared" si="10"/>
        <v>0</v>
      </c>
      <c r="V69" s="2371">
        <f t="shared" si="10"/>
        <v>0</v>
      </c>
      <c r="W69" s="2371">
        <f t="shared" si="10"/>
        <v>0</v>
      </c>
      <c r="X69" s="2371">
        <f t="shared" si="10"/>
        <v>0</v>
      </c>
      <c r="Y69" s="2371">
        <f t="shared" si="10"/>
        <v>0</v>
      </c>
      <c r="Z69" s="2371">
        <f t="shared" si="10"/>
        <v>0</v>
      </c>
      <c r="AA69" s="2371">
        <f t="shared" si="10"/>
        <v>0</v>
      </c>
      <c r="AB69" s="2371">
        <f t="shared" si="10"/>
        <v>0</v>
      </c>
      <c r="AC69" s="2371">
        <f t="shared" si="10"/>
        <v>0</v>
      </c>
      <c r="AD69" s="2371">
        <f t="shared" si="10"/>
        <v>0</v>
      </c>
      <c r="AE69" s="2371">
        <f t="shared" si="10"/>
        <v>0</v>
      </c>
      <c r="AF69" s="2371">
        <f t="shared" si="10"/>
        <v>0</v>
      </c>
      <c r="AG69" s="2371">
        <f t="shared" si="10"/>
        <v>0</v>
      </c>
      <c r="AH69" s="2371">
        <f t="shared" si="10"/>
        <v>0</v>
      </c>
      <c r="AI69" s="2371">
        <f t="shared" si="10"/>
        <v>0</v>
      </c>
      <c r="AJ69" s="2371">
        <f t="shared" si="10"/>
        <v>0</v>
      </c>
      <c r="AK69" s="2371">
        <f t="shared" si="10"/>
        <v>0</v>
      </c>
      <c r="AL69" s="2371">
        <f t="shared" si="10"/>
        <v>0</v>
      </c>
      <c r="AM69" s="2371">
        <f t="shared" si="10"/>
        <v>0</v>
      </c>
      <c r="AN69" s="2371">
        <f t="shared" si="10"/>
        <v>0</v>
      </c>
      <c r="AO69" s="2371">
        <f t="shared" si="10"/>
        <v>0</v>
      </c>
      <c r="AP69" s="2371">
        <f t="shared" si="10"/>
        <v>0</v>
      </c>
      <c r="AQ69" s="2371">
        <f t="shared" si="10"/>
        <v>0</v>
      </c>
      <c r="AR69" s="2371">
        <f t="shared" si="10"/>
        <v>0</v>
      </c>
      <c r="AS69" s="2371">
        <f t="shared" ref="AS69:BM69" si="11">AS35+AS67</f>
        <v>0</v>
      </c>
      <c r="AT69" s="2371">
        <f t="shared" si="11"/>
        <v>0</v>
      </c>
      <c r="AU69" s="2371">
        <f t="shared" si="11"/>
        <v>0</v>
      </c>
      <c r="AV69" s="2371">
        <f t="shared" si="11"/>
        <v>0</v>
      </c>
      <c r="AW69" s="2371">
        <f t="shared" si="11"/>
        <v>0</v>
      </c>
      <c r="AX69" s="2371">
        <f t="shared" si="11"/>
        <v>0</v>
      </c>
      <c r="AY69" s="2371">
        <f t="shared" si="11"/>
        <v>0</v>
      </c>
      <c r="AZ69" s="2371">
        <f t="shared" si="11"/>
        <v>0</v>
      </c>
      <c r="BA69" s="2371">
        <f t="shared" si="11"/>
        <v>0</v>
      </c>
      <c r="BB69" s="2371">
        <f t="shared" si="11"/>
        <v>0</v>
      </c>
      <c r="BC69" s="2371">
        <f t="shared" si="11"/>
        <v>0</v>
      </c>
      <c r="BD69" s="2371">
        <f t="shared" si="11"/>
        <v>0</v>
      </c>
      <c r="BE69" s="2371">
        <f t="shared" si="11"/>
        <v>0</v>
      </c>
      <c r="BF69" s="2371">
        <f t="shared" si="11"/>
        <v>0</v>
      </c>
      <c r="BG69" s="2371">
        <f t="shared" si="11"/>
        <v>0</v>
      </c>
      <c r="BH69" s="2371">
        <f t="shared" si="11"/>
        <v>0</v>
      </c>
      <c r="BI69" s="2371">
        <f t="shared" si="11"/>
        <v>0</v>
      </c>
      <c r="BJ69" s="2371">
        <f t="shared" si="11"/>
        <v>0</v>
      </c>
      <c r="BK69" s="2371">
        <f t="shared" si="11"/>
        <v>0</v>
      </c>
      <c r="BL69" s="2371">
        <f t="shared" si="11"/>
        <v>0</v>
      </c>
      <c r="BM69" s="2371">
        <f t="shared" si="11"/>
        <v>0</v>
      </c>
      <c r="BN69" s="2372"/>
      <c r="GJ69" s="410"/>
      <c r="GK69" s="410"/>
      <c r="GL69" s="410"/>
      <c r="GM69" s="410"/>
      <c r="GN69" s="410"/>
      <c r="GO69" s="410"/>
      <c r="GP69" s="410"/>
      <c r="GQ69" s="410"/>
      <c r="GR69" s="410"/>
      <c r="GS69" s="410"/>
      <c r="GT69" s="410"/>
      <c r="GU69" s="410"/>
      <c r="GV69" s="410"/>
      <c r="GW69" s="410"/>
      <c r="GX69" s="410"/>
      <c r="GY69" s="410"/>
      <c r="GZ69" s="410"/>
      <c r="HA69" s="410"/>
    </row>
    <row r="70" spans="1:209" s="2374" customFormat="1" ht="18.899999999999999" customHeight="1" thickTop="1">
      <c r="A70" s="2373"/>
      <c r="I70" s="2375"/>
      <c r="J70" s="2375"/>
      <c r="K70" s="2375"/>
      <c r="L70" s="2376"/>
      <c r="M70" s="2375"/>
      <c r="N70" s="2375"/>
      <c r="O70" s="2375"/>
      <c r="P70" s="2375"/>
      <c r="Q70" s="2375"/>
      <c r="R70" s="2375"/>
      <c r="S70" s="2375"/>
      <c r="T70" s="2375"/>
      <c r="U70" s="2375"/>
      <c r="V70" s="2375"/>
      <c r="W70" s="2375"/>
      <c r="X70" s="2375"/>
      <c r="Y70" s="2375"/>
      <c r="Z70" s="2375"/>
      <c r="AA70" s="2375"/>
      <c r="AB70" s="2375"/>
      <c r="AC70" s="2375"/>
      <c r="AD70" s="2375"/>
      <c r="AE70" s="2375"/>
      <c r="AF70" s="2375"/>
      <c r="AG70" s="2375"/>
      <c r="AH70" s="2375"/>
      <c r="AI70" s="2375"/>
      <c r="AJ70" s="2375"/>
      <c r="AK70" s="2375"/>
      <c r="AL70" s="2375"/>
      <c r="AM70" s="2375"/>
      <c r="AN70" s="2375"/>
      <c r="AO70" s="2375"/>
      <c r="AP70" s="2375"/>
      <c r="AQ70" s="2375"/>
      <c r="AR70" s="2375"/>
      <c r="AS70" s="2375"/>
      <c r="AT70" s="2375"/>
      <c r="AU70" s="2375"/>
      <c r="AV70" s="2375"/>
      <c r="AW70" s="2375"/>
      <c r="AX70" s="2375"/>
      <c r="AY70" s="2375"/>
      <c r="AZ70" s="2375"/>
      <c r="BA70" s="2375"/>
      <c r="BB70" s="2375"/>
      <c r="BC70" s="2375"/>
      <c r="BD70" s="2375"/>
      <c r="BE70" s="2375"/>
      <c r="BF70" s="2375"/>
      <c r="BG70" s="2375"/>
      <c r="BH70" s="2375"/>
      <c r="BI70" s="2375"/>
      <c r="BJ70" s="2375"/>
      <c r="BK70" s="2375"/>
      <c r="BL70" s="2375"/>
      <c r="BM70" s="2375"/>
      <c r="BN70" s="2377"/>
      <c r="GJ70" s="410"/>
      <c r="GK70" s="410"/>
      <c r="GL70" s="410"/>
      <c r="GM70" s="410"/>
      <c r="GN70" s="410"/>
      <c r="GO70" s="410"/>
      <c r="GP70" s="410"/>
      <c r="GQ70" s="410"/>
      <c r="GR70" s="410"/>
      <c r="GS70" s="410"/>
      <c r="GT70" s="410"/>
      <c r="GU70" s="410"/>
      <c r="GV70" s="410"/>
      <c r="GW70" s="410"/>
      <c r="GX70" s="410"/>
      <c r="GY70" s="410"/>
      <c r="GZ70" s="410"/>
      <c r="HA70" s="410"/>
    </row>
    <row r="71" spans="1:209" ht="18.899999999999999" customHeight="1">
      <c r="A71" s="2568" t="s">
        <v>3970</v>
      </c>
      <c r="B71" s="2568"/>
      <c r="C71" s="414">
        <f>D69*3+E69*3</f>
        <v>0</v>
      </c>
      <c r="D71" s="414"/>
      <c r="E71" s="414"/>
      <c r="F71" s="414"/>
      <c r="G71" s="414"/>
      <c r="H71" s="414"/>
      <c r="R71" s="2378"/>
      <c r="AE71" s="410"/>
      <c r="AF71" s="410"/>
      <c r="AG71" s="410"/>
      <c r="AH71" s="410"/>
      <c r="AN71" s="2379"/>
      <c r="AO71" s="2379"/>
      <c r="AP71" s="2379"/>
      <c r="AQ71" s="2379"/>
      <c r="AR71" s="2379"/>
      <c r="AS71" s="2379"/>
      <c r="AT71" s="2379"/>
      <c r="AU71" s="2379"/>
      <c r="AV71" s="2379"/>
      <c r="AW71" s="2379"/>
      <c r="AX71" s="2379"/>
      <c r="AY71" s="2379"/>
      <c r="AZ71" s="2379"/>
      <c r="BA71" s="2379"/>
      <c r="BB71" s="2379"/>
      <c r="BC71" s="2379"/>
      <c r="BD71" s="2379"/>
      <c r="BE71" s="2379"/>
      <c r="BF71" s="2379"/>
      <c r="BG71" s="2379"/>
      <c r="BH71" s="2379"/>
      <c r="BI71" s="2379"/>
      <c r="BJ71" s="2379"/>
      <c r="BK71" s="2379"/>
      <c r="BL71" s="2379"/>
      <c r="BM71" s="2379"/>
      <c r="GJ71" s="409"/>
      <c r="GK71" s="409"/>
      <c r="GL71" s="409"/>
      <c r="GM71" s="409"/>
      <c r="GN71" s="409"/>
      <c r="GO71" s="409"/>
      <c r="GP71" s="409"/>
      <c r="GQ71" s="409"/>
      <c r="GR71" s="409"/>
      <c r="GS71" s="409"/>
      <c r="GT71" s="409"/>
      <c r="GU71" s="409"/>
      <c r="GV71" s="409"/>
      <c r="GW71" s="409"/>
      <c r="GX71" s="409"/>
      <c r="GY71" s="409"/>
      <c r="GZ71" s="409"/>
      <c r="HA71" s="409"/>
    </row>
    <row r="72" spans="1:209" ht="18.899999999999999" customHeight="1">
      <c r="A72" s="2568" t="s">
        <v>3971</v>
      </c>
      <c r="B72" s="2568"/>
      <c r="C72" s="418">
        <f>D69</f>
        <v>0</v>
      </c>
      <c r="D72" s="414"/>
      <c r="E72" s="414"/>
      <c r="F72" s="414"/>
      <c r="G72" s="414"/>
      <c r="H72" s="414"/>
      <c r="R72" s="419"/>
      <c r="S72" s="420"/>
      <c r="T72" s="420"/>
      <c r="V72" s="420"/>
      <c r="AE72" s="410"/>
      <c r="AF72" s="410"/>
      <c r="AG72" s="410"/>
      <c r="AH72" s="410"/>
      <c r="AN72" s="2379"/>
      <c r="AO72" s="2379"/>
      <c r="AP72" s="2379"/>
      <c r="AQ72" s="2379"/>
      <c r="AR72" s="2379"/>
      <c r="AS72" s="2379"/>
      <c r="AT72" s="2379"/>
      <c r="AU72" s="2379"/>
      <c r="AV72" s="2379"/>
      <c r="AW72" s="2379"/>
      <c r="AX72" s="2379"/>
      <c r="AY72" s="2379"/>
      <c r="AZ72" s="2379"/>
      <c r="BA72" s="2379"/>
      <c r="BB72" s="2379"/>
      <c r="BC72" s="2379"/>
      <c r="BD72" s="2379"/>
      <c r="BE72" s="2379"/>
      <c r="BF72" s="2379"/>
      <c r="BG72" s="2379"/>
      <c r="BH72" s="2379"/>
      <c r="BI72" s="2379"/>
      <c r="BJ72" s="2379"/>
      <c r="BK72" s="2379"/>
      <c r="BL72" s="2379"/>
      <c r="BM72" s="2379"/>
    </row>
    <row r="73" spans="1:209" ht="18.899999999999999" customHeight="1">
      <c r="A73" s="2568" t="s">
        <v>3972</v>
      </c>
      <c r="B73" s="2568"/>
      <c r="C73" s="421">
        <f>E69</f>
        <v>0</v>
      </c>
      <c r="D73" s="422"/>
      <c r="E73" s="422"/>
      <c r="F73" s="422"/>
      <c r="G73" s="422"/>
      <c r="H73" s="422"/>
      <c r="R73" s="423"/>
      <c r="U73" s="2378"/>
      <c r="W73" s="2378"/>
      <c r="AE73" s="410"/>
      <c r="AF73" s="410"/>
      <c r="AG73" s="410"/>
      <c r="AH73" s="410"/>
    </row>
    <row r="74" spans="1:209" ht="18.899999999999999" customHeight="1">
      <c r="A74" s="2568" t="s">
        <v>5935</v>
      </c>
      <c r="B74" s="2568"/>
      <c r="C74" s="421">
        <f>F69</f>
        <v>0</v>
      </c>
      <c r="D74" s="422"/>
      <c r="E74" s="422"/>
      <c r="F74" s="422"/>
      <c r="G74" s="422"/>
      <c r="H74" s="422"/>
      <c r="R74" s="423"/>
      <c r="U74" s="2378"/>
      <c r="W74" s="2378"/>
      <c r="AE74" s="410"/>
      <c r="AF74" s="410"/>
      <c r="AG74" s="410"/>
      <c r="AH74" s="410"/>
    </row>
    <row r="75" spans="1:209" ht="18.899999999999999" customHeight="1">
      <c r="A75" s="2568" t="s">
        <v>5936</v>
      </c>
      <c r="B75" s="2568"/>
      <c r="C75" s="421">
        <f>G69</f>
        <v>0</v>
      </c>
      <c r="D75" s="422"/>
      <c r="E75" s="422"/>
      <c r="F75" s="422"/>
      <c r="G75" s="422"/>
      <c r="H75" s="422"/>
      <c r="R75" s="423"/>
      <c r="U75" s="2378"/>
      <c r="W75" s="2378"/>
      <c r="AE75" s="410"/>
      <c r="AF75" s="410"/>
      <c r="AG75" s="410"/>
      <c r="AH75" s="410"/>
    </row>
    <row r="76" spans="1:209" ht="18.899999999999999" customHeight="1">
      <c r="A76" s="2568" t="s">
        <v>5937</v>
      </c>
      <c r="B76" s="2568"/>
      <c r="C76" s="418">
        <f>H69</f>
        <v>0</v>
      </c>
      <c r="D76" s="414"/>
      <c r="E76" s="414"/>
      <c r="F76" s="414"/>
      <c r="G76" s="414"/>
      <c r="H76" s="414"/>
      <c r="K76" s="425"/>
      <c r="M76" s="413"/>
      <c r="N76" s="413"/>
      <c r="O76" s="413"/>
      <c r="R76" s="426"/>
      <c r="U76" s="2378"/>
      <c r="W76" s="2378"/>
      <c r="AE76" s="410"/>
      <c r="AF76" s="410"/>
      <c r="AG76" s="410"/>
      <c r="AH76" s="410"/>
    </row>
    <row r="77" spans="1:209" ht="18.899999999999999" customHeight="1">
      <c r="A77" s="2568" t="s">
        <v>3975</v>
      </c>
      <c r="B77" s="2568"/>
      <c r="C77" s="421">
        <f>I69</f>
        <v>0</v>
      </c>
      <c r="D77" s="422"/>
      <c r="E77" s="422"/>
      <c r="F77" s="422"/>
      <c r="G77" s="422"/>
      <c r="H77" s="422"/>
      <c r="M77" s="413"/>
      <c r="N77" s="413"/>
      <c r="O77" s="413"/>
      <c r="R77" s="423"/>
      <c r="U77" s="2378"/>
      <c r="W77" s="2378"/>
      <c r="AE77" s="410"/>
      <c r="AF77" s="410"/>
      <c r="AG77" s="410"/>
      <c r="AH77" s="410"/>
    </row>
    <row r="78" spans="1:209" ht="18.899999999999999" customHeight="1">
      <c r="B78" s="2378"/>
      <c r="C78" s="2380"/>
      <c r="D78" s="2380"/>
      <c r="E78" s="2380"/>
      <c r="F78" s="2380"/>
      <c r="G78" s="2380"/>
      <c r="H78" s="2380"/>
      <c r="U78" s="2378"/>
      <c r="W78" s="2378"/>
      <c r="AE78" s="410"/>
      <c r="AF78" s="410"/>
      <c r="AG78" s="410"/>
      <c r="AH78" s="410"/>
    </row>
    <row r="79" spans="1:209" ht="18.899999999999999" customHeight="1">
      <c r="AE79" s="410"/>
      <c r="AF79" s="410"/>
      <c r="AG79" s="410"/>
      <c r="AH79" s="410"/>
      <c r="GJ79" s="409"/>
      <c r="GK79" s="409"/>
      <c r="GL79" s="409"/>
      <c r="GM79" s="409"/>
      <c r="GN79" s="409"/>
      <c r="GO79" s="409"/>
      <c r="GP79" s="409"/>
      <c r="GQ79" s="409"/>
      <c r="GR79" s="409"/>
      <c r="GS79" s="409"/>
      <c r="GT79" s="409"/>
      <c r="GU79" s="409"/>
      <c r="GV79" s="409"/>
      <c r="GW79" s="409"/>
      <c r="GX79" s="409"/>
      <c r="GY79" s="409"/>
      <c r="GZ79" s="409"/>
      <c r="HA79" s="409"/>
    </row>
    <row r="80" spans="1:209" ht="18.899999999999999" customHeight="1">
      <c r="AE80" s="410"/>
      <c r="AF80" s="410"/>
      <c r="AG80" s="410"/>
      <c r="AH80" s="410"/>
    </row>
    <row r="81" spans="31:209" ht="18.899999999999999" customHeight="1">
      <c r="AE81" s="410"/>
      <c r="AF81" s="410"/>
      <c r="AG81" s="410"/>
      <c r="AH81" s="410"/>
    </row>
    <row r="82" spans="31:209" ht="18.899999999999999" customHeight="1">
      <c r="AE82" s="410"/>
      <c r="AF82" s="410"/>
      <c r="AG82" s="410"/>
      <c r="AH82" s="410"/>
    </row>
    <row r="83" spans="31:209" ht="18.899999999999999" customHeight="1">
      <c r="AE83" s="410"/>
      <c r="AF83" s="410"/>
      <c r="AG83" s="410"/>
      <c r="AH83" s="410"/>
    </row>
    <row r="84" spans="31:209" ht="18.899999999999999" customHeight="1">
      <c r="AE84" s="410"/>
      <c r="AF84" s="410"/>
      <c r="AG84" s="410"/>
      <c r="AH84" s="410"/>
    </row>
    <row r="85" spans="31:209" ht="18.899999999999999" customHeight="1">
      <c r="AE85" s="410"/>
      <c r="AF85" s="410"/>
      <c r="AG85" s="410"/>
      <c r="AH85" s="410"/>
    </row>
    <row r="86" spans="31:209" ht="18.899999999999999" customHeight="1">
      <c r="AE86" s="410"/>
      <c r="AF86" s="410"/>
      <c r="AG86" s="410"/>
      <c r="AH86" s="410"/>
      <c r="GJ86" s="409"/>
      <c r="GK86" s="409"/>
      <c r="GL86" s="409"/>
      <c r="GM86" s="409"/>
      <c r="GN86" s="409"/>
      <c r="GO86" s="409"/>
      <c r="GP86" s="409"/>
      <c r="GQ86" s="409"/>
      <c r="GR86" s="409"/>
      <c r="GS86" s="409"/>
      <c r="GT86" s="409"/>
      <c r="GU86" s="409"/>
      <c r="GV86" s="409"/>
      <c r="GW86" s="409"/>
      <c r="GX86" s="409"/>
      <c r="GY86" s="409"/>
      <c r="GZ86" s="409"/>
      <c r="HA86" s="409"/>
    </row>
    <row r="87" spans="31:209" ht="18.899999999999999" customHeight="1">
      <c r="AE87" s="410"/>
      <c r="AF87" s="410"/>
      <c r="AG87" s="410"/>
      <c r="AH87" s="410"/>
    </row>
    <row r="88" spans="31:209" ht="18.899999999999999" customHeight="1">
      <c r="AE88" s="410"/>
      <c r="AF88" s="410"/>
      <c r="AG88" s="410"/>
      <c r="AH88" s="410"/>
    </row>
    <row r="89" spans="31:209" ht="18.899999999999999" customHeight="1">
      <c r="AE89" s="410"/>
      <c r="AF89" s="410"/>
      <c r="AG89" s="410"/>
      <c r="AH89" s="410"/>
    </row>
    <row r="90" spans="31:209" ht="18.899999999999999" customHeight="1">
      <c r="AE90" s="410"/>
      <c r="AF90" s="410"/>
      <c r="AG90" s="410"/>
      <c r="AH90" s="410"/>
    </row>
    <row r="91" spans="31:209" ht="18.899999999999999" customHeight="1">
      <c r="AE91" s="410"/>
      <c r="AF91" s="410"/>
      <c r="AG91" s="410"/>
      <c r="AH91" s="410"/>
    </row>
    <row r="92" spans="31:209" ht="18.899999999999999" customHeight="1">
      <c r="AE92" s="410"/>
      <c r="AF92" s="410"/>
      <c r="AG92" s="410"/>
      <c r="AH92" s="410"/>
    </row>
    <row r="93" spans="31:209" ht="18.899999999999999" customHeight="1">
      <c r="AE93" s="410"/>
      <c r="AF93" s="410"/>
      <c r="AG93" s="410"/>
      <c r="AH93" s="410"/>
      <c r="GJ93" s="409"/>
      <c r="GK93" s="409"/>
      <c r="GL93" s="409"/>
      <c r="GM93" s="409"/>
      <c r="GN93" s="409"/>
      <c r="GO93" s="409"/>
      <c r="GP93" s="409"/>
      <c r="GQ93" s="409"/>
      <c r="GR93" s="409"/>
      <c r="GS93" s="409"/>
      <c r="GT93" s="409"/>
      <c r="GU93" s="409"/>
      <c r="GV93" s="409"/>
      <c r="GW93" s="409"/>
      <c r="GX93" s="409"/>
      <c r="GY93" s="409"/>
      <c r="GZ93" s="409"/>
      <c r="HA93" s="409"/>
    </row>
    <row r="94" spans="31:209" ht="18.899999999999999" customHeight="1">
      <c r="AE94" s="410"/>
      <c r="AF94" s="410"/>
      <c r="AG94" s="410"/>
      <c r="AH94" s="410"/>
    </row>
    <row r="95" spans="31:209" ht="18.899999999999999" customHeight="1">
      <c r="AE95" s="410"/>
      <c r="AF95" s="410"/>
      <c r="AG95" s="410"/>
      <c r="AH95" s="410"/>
    </row>
    <row r="96" spans="31:209" ht="18.899999999999999" customHeight="1">
      <c r="AE96" s="410"/>
      <c r="AF96" s="410"/>
      <c r="AG96" s="410"/>
      <c r="AH96" s="410"/>
    </row>
    <row r="97" spans="31:209" ht="18.899999999999999" customHeight="1">
      <c r="AE97" s="410"/>
      <c r="AF97" s="410"/>
      <c r="AG97" s="410"/>
      <c r="AH97" s="410"/>
    </row>
    <row r="98" spans="31:209" ht="18.899999999999999" customHeight="1">
      <c r="AE98" s="410"/>
      <c r="AF98" s="410"/>
      <c r="AG98" s="410"/>
      <c r="AH98" s="410"/>
    </row>
    <row r="99" spans="31:209" ht="18.899999999999999" customHeight="1">
      <c r="AE99" s="410"/>
      <c r="AF99" s="410"/>
      <c r="AG99" s="410"/>
      <c r="AH99" s="410"/>
    </row>
    <row r="100" spans="31:209" ht="18.899999999999999" customHeight="1">
      <c r="AE100" s="410"/>
      <c r="AF100" s="410"/>
      <c r="AG100" s="410"/>
      <c r="AH100" s="410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</row>
    <row r="101" spans="31:209" ht="18.899999999999999" customHeight="1">
      <c r="AE101" s="410"/>
      <c r="AF101" s="410"/>
      <c r="AG101" s="410"/>
      <c r="AH101" s="410"/>
    </row>
    <row r="102" spans="31:209" ht="18.899999999999999" customHeight="1">
      <c r="AE102" s="410"/>
      <c r="AF102" s="410"/>
      <c r="AG102" s="410"/>
      <c r="AH102" s="410"/>
    </row>
    <row r="103" spans="31:209" ht="18.899999999999999" customHeight="1">
      <c r="AE103" s="410"/>
      <c r="AF103" s="410"/>
      <c r="AG103" s="410"/>
      <c r="AH103" s="410"/>
    </row>
    <row r="104" spans="31:209" ht="18.899999999999999" customHeight="1">
      <c r="AE104" s="410"/>
      <c r="AF104" s="410"/>
      <c r="AG104" s="410"/>
      <c r="AH104" s="410"/>
    </row>
    <row r="105" spans="31:209" ht="18.899999999999999" customHeight="1">
      <c r="AE105" s="410"/>
      <c r="AF105" s="410"/>
      <c r="AG105" s="410"/>
      <c r="AH105" s="410"/>
    </row>
    <row r="106" spans="31:209" ht="18.899999999999999" customHeight="1">
      <c r="AE106" s="410"/>
      <c r="AF106" s="410"/>
      <c r="AG106" s="410"/>
      <c r="AH106" s="410"/>
    </row>
    <row r="107" spans="31:209" ht="18.899999999999999" customHeight="1">
      <c r="AE107" s="410"/>
      <c r="AF107" s="410"/>
      <c r="AG107" s="410"/>
      <c r="AH107" s="410"/>
    </row>
    <row r="108" spans="31:209" ht="18.899999999999999" customHeight="1">
      <c r="AE108" s="410"/>
      <c r="AF108" s="410"/>
      <c r="AG108" s="410"/>
      <c r="AH108" s="410"/>
    </row>
    <row r="109" spans="31:209" ht="18.899999999999999" customHeight="1">
      <c r="AE109" s="410"/>
      <c r="AF109" s="410"/>
      <c r="AG109" s="410"/>
      <c r="AH109" s="410"/>
    </row>
    <row r="110" spans="31:209" ht="18.899999999999999" customHeight="1">
      <c r="AE110" s="410"/>
      <c r="AF110" s="410"/>
      <c r="AG110" s="410"/>
      <c r="AH110" s="410"/>
    </row>
    <row r="111" spans="31:209" ht="18.899999999999999" customHeight="1">
      <c r="AE111" s="410"/>
      <c r="AF111" s="410"/>
      <c r="AG111" s="410"/>
      <c r="AH111" s="410"/>
    </row>
    <row r="112" spans="31:209" ht="18.899999999999999" customHeight="1">
      <c r="AE112" s="410"/>
      <c r="AF112" s="410"/>
      <c r="AG112" s="410"/>
      <c r="AH112" s="410"/>
    </row>
    <row r="113" spans="31:34" ht="18.899999999999999" customHeight="1">
      <c r="AE113" s="410"/>
      <c r="AF113" s="410"/>
      <c r="AG113" s="410"/>
      <c r="AH113" s="410"/>
    </row>
    <row r="114" spans="31:34" ht="18.899999999999999" customHeight="1">
      <c r="AE114" s="410"/>
      <c r="AF114" s="410"/>
      <c r="AG114" s="410"/>
      <c r="AH114" s="410"/>
    </row>
    <row r="115" spans="31:34" ht="18.899999999999999" customHeight="1">
      <c r="AE115" s="410"/>
      <c r="AF115" s="410"/>
      <c r="AG115" s="410"/>
      <c r="AH115" s="410"/>
    </row>
    <row r="116" spans="31:34" ht="18.899999999999999" customHeight="1">
      <c r="AE116" s="410"/>
      <c r="AF116" s="410"/>
      <c r="AG116" s="410"/>
      <c r="AH116" s="410"/>
    </row>
    <row r="117" spans="31:34" ht="18.899999999999999" customHeight="1">
      <c r="AE117" s="410"/>
      <c r="AF117" s="410"/>
      <c r="AG117" s="410"/>
      <c r="AH117" s="410"/>
    </row>
    <row r="118" spans="31:34" ht="18.899999999999999" customHeight="1">
      <c r="AE118" s="410"/>
      <c r="AF118" s="410"/>
      <c r="AG118" s="410"/>
      <c r="AH118" s="410"/>
    </row>
    <row r="119" spans="31:34" ht="18.899999999999999" customHeight="1">
      <c r="AE119" s="410"/>
      <c r="AF119" s="410"/>
      <c r="AG119" s="410"/>
      <c r="AH119" s="410"/>
    </row>
    <row r="120" spans="31:34" ht="18.899999999999999" customHeight="1">
      <c r="AE120" s="410"/>
      <c r="AF120" s="410"/>
      <c r="AG120" s="410"/>
      <c r="AH120" s="410"/>
    </row>
    <row r="121" spans="31:34" ht="18.899999999999999" customHeight="1">
      <c r="AE121" s="410"/>
      <c r="AF121" s="410"/>
      <c r="AG121" s="410"/>
      <c r="AH121" s="410"/>
    </row>
    <row r="122" spans="31:34" ht="18.899999999999999" customHeight="1">
      <c r="AE122" s="410"/>
      <c r="AF122" s="410"/>
      <c r="AG122" s="410"/>
      <c r="AH122" s="410"/>
    </row>
    <row r="123" spans="31:34" ht="18.899999999999999" customHeight="1">
      <c r="AE123" s="410"/>
      <c r="AF123" s="410"/>
      <c r="AG123" s="410"/>
      <c r="AH123" s="410"/>
    </row>
    <row r="124" spans="31:34" ht="18.899999999999999" customHeight="1">
      <c r="AE124" s="410"/>
      <c r="AF124" s="410"/>
      <c r="AG124" s="410"/>
      <c r="AH124" s="410"/>
    </row>
    <row r="125" spans="31:34" ht="18.899999999999999" customHeight="1">
      <c r="AE125" s="410"/>
      <c r="AF125" s="410"/>
      <c r="AG125" s="410"/>
      <c r="AH125" s="410"/>
    </row>
    <row r="126" spans="31:34" ht="18.899999999999999" customHeight="1">
      <c r="AE126" s="410"/>
      <c r="AF126" s="410"/>
      <c r="AG126" s="410"/>
      <c r="AH126" s="410"/>
    </row>
    <row r="127" spans="31:34" ht="18.899999999999999" customHeight="1">
      <c r="AE127" s="410"/>
      <c r="AF127" s="410"/>
      <c r="AG127" s="410"/>
      <c r="AH127" s="410"/>
    </row>
    <row r="128" spans="31:34" ht="18.899999999999999" customHeight="1">
      <c r="AE128" s="410"/>
      <c r="AF128" s="410"/>
      <c r="AG128" s="410"/>
      <c r="AH128" s="410"/>
    </row>
    <row r="129" spans="31:34" ht="18.899999999999999" customHeight="1">
      <c r="AE129" s="410"/>
      <c r="AF129" s="410"/>
      <c r="AG129" s="410"/>
      <c r="AH129" s="410"/>
    </row>
    <row r="130" spans="31:34" ht="18.899999999999999" customHeight="1">
      <c r="AE130" s="410"/>
      <c r="AF130" s="410"/>
      <c r="AG130" s="410"/>
      <c r="AH130" s="410"/>
    </row>
    <row r="131" spans="31:34" ht="18.899999999999999" customHeight="1">
      <c r="AE131" s="410"/>
      <c r="AF131" s="410"/>
      <c r="AG131" s="410"/>
      <c r="AH131" s="410"/>
    </row>
    <row r="132" spans="31:34" ht="18.899999999999999" customHeight="1">
      <c r="AE132" s="410"/>
      <c r="AF132" s="410"/>
      <c r="AG132" s="410"/>
      <c r="AH132" s="410"/>
    </row>
    <row r="133" spans="31:34" ht="18.899999999999999" customHeight="1">
      <c r="AE133" s="410"/>
      <c r="AF133" s="410"/>
      <c r="AG133" s="410"/>
      <c r="AH133" s="410"/>
    </row>
    <row r="134" spans="31:34" ht="18.899999999999999" customHeight="1">
      <c r="AE134" s="410"/>
      <c r="AF134" s="410"/>
      <c r="AG134" s="410"/>
      <c r="AH134" s="410"/>
    </row>
    <row r="135" spans="31:34" ht="18.899999999999999" customHeight="1">
      <c r="AE135" s="410"/>
      <c r="AF135" s="410"/>
      <c r="AG135" s="410"/>
      <c r="AH135" s="410"/>
    </row>
    <row r="136" spans="31:34" ht="18.899999999999999" customHeight="1">
      <c r="AE136" s="410"/>
      <c r="AF136" s="410"/>
      <c r="AG136" s="410"/>
      <c r="AH136" s="410"/>
    </row>
    <row r="137" spans="31:34" ht="18.899999999999999" customHeight="1">
      <c r="AE137" s="410"/>
      <c r="AF137" s="410"/>
      <c r="AG137" s="410"/>
      <c r="AH137" s="410"/>
    </row>
    <row r="138" spans="31:34" ht="18.899999999999999" customHeight="1">
      <c r="AE138" s="410"/>
      <c r="AF138" s="410"/>
      <c r="AG138" s="410"/>
      <c r="AH138" s="410"/>
    </row>
    <row r="139" spans="31:34" ht="18.899999999999999" customHeight="1">
      <c r="AE139" s="410"/>
      <c r="AF139" s="410"/>
      <c r="AG139" s="410"/>
      <c r="AH139" s="410"/>
    </row>
    <row r="140" spans="31:34" ht="18.899999999999999" customHeight="1">
      <c r="AE140" s="410"/>
      <c r="AF140" s="410"/>
      <c r="AG140" s="410"/>
      <c r="AH140" s="410"/>
    </row>
    <row r="141" spans="31:34" ht="18.899999999999999" customHeight="1">
      <c r="AE141" s="410"/>
      <c r="AF141" s="410"/>
      <c r="AG141" s="410"/>
      <c r="AH141" s="410"/>
    </row>
    <row r="142" spans="31:34" ht="18.899999999999999" customHeight="1">
      <c r="AE142" s="410"/>
      <c r="AF142" s="410"/>
      <c r="AG142" s="410"/>
      <c r="AH142" s="410"/>
    </row>
    <row r="143" spans="31:34" ht="18.899999999999999" customHeight="1">
      <c r="AE143" s="410"/>
      <c r="AF143" s="410"/>
      <c r="AG143" s="410"/>
      <c r="AH143" s="410"/>
    </row>
    <row r="144" spans="31:34" ht="18.899999999999999" customHeight="1">
      <c r="AE144" s="410"/>
      <c r="AF144" s="410"/>
      <c r="AG144" s="410"/>
      <c r="AH144" s="410"/>
    </row>
    <row r="145" spans="31:34" ht="18.899999999999999" customHeight="1">
      <c r="AE145" s="410"/>
      <c r="AF145" s="410"/>
      <c r="AG145" s="410"/>
      <c r="AH145" s="410"/>
    </row>
    <row r="146" spans="31:34" ht="18.899999999999999" customHeight="1">
      <c r="AE146" s="410"/>
      <c r="AF146" s="410"/>
      <c r="AG146" s="410"/>
      <c r="AH146" s="410"/>
    </row>
    <row r="147" spans="31:34" ht="18.899999999999999" customHeight="1">
      <c r="AE147" s="410"/>
      <c r="AF147" s="410"/>
      <c r="AG147" s="410"/>
      <c r="AH147" s="410"/>
    </row>
    <row r="148" spans="31:34" ht="18.899999999999999" customHeight="1">
      <c r="AE148" s="410"/>
      <c r="AF148" s="410"/>
      <c r="AG148" s="410"/>
      <c r="AH148" s="410"/>
    </row>
    <row r="149" spans="31:34" ht="18.899999999999999" customHeight="1">
      <c r="AE149" s="410"/>
      <c r="AF149" s="410"/>
      <c r="AG149" s="410"/>
      <c r="AH149" s="410"/>
    </row>
    <row r="150" spans="31:34" ht="18.899999999999999" customHeight="1">
      <c r="AE150" s="410"/>
      <c r="AF150" s="410"/>
      <c r="AG150" s="410"/>
      <c r="AH150" s="410"/>
    </row>
    <row r="151" spans="31:34" ht="18.899999999999999" customHeight="1">
      <c r="AE151" s="410"/>
      <c r="AF151" s="410"/>
      <c r="AG151" s="410"/>
      <c r="AH151" s="410"/>
    </row>
    <row r="152" spans="31:34" ht="18.899999999999999" customHeight="1">
      <c r="AE152" s="410"/>
      <c r="AF152" s="410"/>
      <c r="AG152" s="410"/>
      <c r="AH152" s="410"/>
    </row>
    <row r="153" spans="31:34" ht="18.899999999999999" customHeight="1">
      <c r="AE153" s="410"/>
      <c r="AF153" s="410"/>
      <c r="AG153" s="410"/>
      <c r="AH153" s="410"/>
    </row>
    <row r="154" spans="31:34" ht="18.899999999999999" customHeight="1">
      <c r="AE154" s="410"/>
      <c r="AF154" s="410"/>
      <c r="AG154" s="410"/>
      <c r="AH154" s="410"/>
    </row>
    <row r="155" spans="31:34" ht="18.899999999999999" customHeight="1">
      <c r="AE155" s="410"/>
      <c r="AF155" s="410"/>
      <c r="AG155" s="410"/>
      <c r="AH155" s="410"/>
    </row>
    <row r="156" spans="31:34" ht="18.899999999999999" customHeight="1">
      <c r="AE156" s="410"/>
      <c r="AF156" s="410"/>
      <c r="AG156" s="410"/>
      <c r="AH156" s="410"/>
    </row>
    <row r="157" spans="31:34" ht="18.899999999999999" customHeight="1">
      <c r="AE157" s="410"/>
      <c r="AF157" s="410"/>
      <c r="AG157" s="410"/>
      <c r="AH157" s="410"/>
    </row>
    <row r="158" spans="31:34" ht="18.899999999999999" customHeight="1">
      <c r="AE158" s="410"/>
      <c r="AF158" s="410"/>
      <c r="AG158" s="410"/>
      <c r="AH158" s="410"/>
    </row>
    <row r="159" spans="31:34" ht="18.899999999999999" customHeight="1">
      <c r="AE159" s="410"/>
      <c r="AF159" s="410"/>
      <c r="AG159" s="410"/>
      <c r="AH159" s="410"/>
    </row>
    <row r="160" spans="31:34" ht="18.899999999999999" customHeight="1">
      <c r="AE160" s="410"/>
      <c r="AF160" s="410"/>
      <c r="AG160" s="410"/>
      <c r="AH160" s="410"/>
    </row>
    <row r="161" spans="31:34" ht="18.899999999999999" customHeight="1">
      <c r="AE161" s="410"/>
      <c r="AF161" s="410"/>
      <c r="AG161" s="410"/>
      <c r="AH161" s="410"/>
    </row>
    <row r="162" spans="31:34" ht="18.899999999999999" customHeight="1">
      <c r="AE162" s="410"/>
      <c r="AF162" s="410"/>
      <c r="AG162" s="410"/>
      <c r="AH162" s="410"/>
    </row>
    <row r="163" spans="31:34" ht="18.899999999999999" customHeight="1">
      <c r="AE163" s="410"/>
      <c r="AF163" s="410"/>
      <c r="AG163" s="410"/>
      <c r="AH163" s="410"/>
    </row>
    <row r="164" spans="31:34" ht="18.899999999999999" customHeight="1">
      <c r="AE164" s="410"/>
      <c r="AF164" s="410"/>
      <c r="AG164" s="410"/>
      <c r="AH164" s="410"/>
    </row>
    <row r="165" spans="31:34" ht="18.899999999999999" customHeight="1">
      <c r="AE165" s="410"/>
      <c r="AF165" s="410"/>
      <c r="AG165" s="410"/>
      <c r="AH165" s="410"/>
    </row>
    <row r="166" spans="31:34" ht="18.899999999999999" customHeight="1">
      <c r="AE166" s="410"/>
      <c r="AF166" s="410"/>
      <c r="AG166" s="410"/>
      <c r="AH166" s="410"/>
    </row>
    <row r="167" spans="31:34" ht="18.899999999999999" customHeight="1">
      <c r="AE167" s="410"/>
      <c r="AF167" s="410"/>
      <c r="AG167" s="410"/>
      <c r="AH167" s="410"/>
    </row>
    <row r="168" spans="31:34" ht="18.899999999999999" customHeight="1">
      <c r="AE168" s="410"/>
      <c r="AF168" s="410"/>
      <c r="AG168" s="410"/>
      <c r="AH168" s="410"/>
    </row>
    <row r="169" spans="31:34" ht="18.899999999999999" customHeight="1">
      <c r="AE169" s="410"/>
      <c r="AF169" s="410"/>
      <c r="AG169" s="410"/>
      <c r="AH169" s="410"/>
    </row>
    <row r="170" spans="31:34" ht="18.899999999999999" customHeight="1">
      <c r="AE170" s="410"/>
      <c r="AF170" s="410"/>
      <c r="AG170" s="410"/>
      <c r="AH170" s="410"/>
    </row>
    <row r="171" spans="31:34" ht="18.899999999999999" customHeight="1">
      <c r="AE171" s="410"/>
      <c r="AF171" s="410"/>
      <c r="AG171" s="410"/>
      <c r="AH171" s="410"/>
    </row>
    <row r="172" spans="31:34" ht="18.899999999999999" customHeight="1">
      <c r="AE172" s="410"/>
      <c r="AF172" s="410"/>
      <c r="AG172" s="410"/>
      <c r="AH172" s="410"/>
    </row>
    <row r="173" spans="31:34" ht="18.899999999999999" customHeight="1">
      <c r="AE173" s="410"/>
      <c r="AF173" s="410"/>
      <c r="AG173" s="410"/>
      <c r="AH173" s="410"/>
    </row>
    <row r="174" spans="31:34" ht="18.899999999999999" customHeight="1">
      <c r="AE174" s="410"/>
      <c r="AF174" s="410"/>
      <c r="AG174" s="410"/>
      <c r="AH174" s="410"/>
    </row>
    <row r="175" spans="31:34" ht="18.899999999999999" customHeight="1">
      <c r="AE175" s="410"/>
      <c r="AF175" s="410"/>
      <c r="AG175" s="410"/>
      <c r="AH175" s="410"/>
    </row>
    <row r="176" spans="31:34" ht="18.899999999999999" customHeight="1">
      <c r="AE176" s="410"/>
      <c r="AF176" s="410"/>
      <c r="AG176" s="410"/>
      <c r="AH176" s="410"/>
    </row>
    <row r="177" spans="31:34" ht="18.899999999999999" customHeight="1">
      <c r="AE177" s="410"/>
      <c r="AF177" s="410"/>
      <c r="AG177" s="410"/>
      <c r="AH177" s="410"/>
    </row>
    <row r="178" spans="31:34" ht="18.899999999999999" customHeight="1">
      <c r="AE178" s="410"/>
      <c r="AF178" s="410"/>
      <c r="AG178" s="410"/>
      <c r="AH178" s="410"/>
    </row>
    <row r="179" spans="31:34" ht="18.899999999999999" customHeight="1">
      <c r="AE179" s="410"/>
      <c r="AF179" s="410"/>
      <c r="AG179" s="410"/>
      <c r="AH179" s="410"/>
    </row>
    <row r="180" spans="31:34" ht="18.899999999999999" customHeight="1">
      <c r="AE180" s="410"/>
      <c r="AF180" s="410"/>
      <c r="AG180" s="410"/>
      <c r="AH180" s="410"/>
    </row>
    <row r="181" spans="31:34" ht="18.899999999999999" customHeight="1">
      <c r="AE181" s="410"/>
      <c r="AF181" s="410"/>
      <c r="AG181" s="410"/>
      <c r="AH181" s="410"/>
    </row>
  </sheetData>
  <mergeCells count="45">
    <mergeCell ref="F4:F5"/>
    <mergeCell ref="AN4:AN5"/>
    <mergeCell ref="AO4:AO5"/>
    <mergeCell ref="AP4:AP5"/>
    <mergeCell ref="G4:G5"/>
    <mergeCell ref="AE4:AE5"/>
    <mergeCell ref="AL4:AL5"/>
    <mergeCell ref="AM4:AM5"/>
    <mergeCell ref="H4:H5"/>
    <mergeCell ref="I4:I5"/>
    <mergeCell ref="K4:K5"/>
    <mergeCell ref="L4:L5"/>
    <mergeCell ref="M4:Q4"/>
    <mergeCell ref="AI4:AI5"/>
    <mergeCell ref="AF4:AF5"/>
    <mergeCell ref="AG4:AG5"/>
    <mergeCell ref="AH4:AH5"/>
    <mergeCell ref="R4:Y4"/>
    <mergeCell ref="AD4:AD5"/>
    <mergeCell ref="BN4:BN5"/>
    <mergeCell ref="BJ4:BJ5"/>
    <mergeCell ref="BK4:BK5"/>
    <mergeCell ref="BL4:BL5"/>
    <mergeCell ref="BM4:BM5"/>
    <mergeCell ref="BH4:BH5"/>
    <mergeCell ref="BI4:BI5"/>
    <mergeCell ref="AR4:AW4"/>
    <mergeCell ref="AX4:BA4"/>
    <mergeCell ref="AQ4:AQ5"/>
    <mergeCell ref="E4:E5"/>
    <mergeCell ref="J4:J5"/>
    <mergeCell ref="A77:B77"/>
    <mergeCell ref="A71:B71"/>
    <mergeCell ref="A72:B72"/>
    <mergeCell ref="A73:B73"/>
    <mergeCell ref="A74:B74"/>
    <mergeCell ref="A76:B76"/>
    <mergeCell ref="A75:B75"/>
    <mergeCell ref="A69:B69"/>
    <mergeCell ref="A67:B67"/>
    <mergeCell ref="A4:A5"/>
    <mergeCell ref="B4:B5"/>
    <mergeCell ref="C4:C5"/>
    <mergeCell ref="D4:D5"/>
    <mergeCell ref="A35:B3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8"/>
  <dimension ref="A2:AJ50"/>
  <sheetViews>
    <sheetView showGridLines="0" showZeros="0" zoomScale="85" workbookViewId="0">
      <pane ySplit="5" topLeftCell="A6" activePane="bottomLeft" state="frozen"/>
      <selection activeCell="S34" sqref="S34"/>
      <selection pane="bottomLeft" activeCell="S34" sqref="S34"/>
    </sheetView>
  </sheetViews>
  <sheetFormatPr defaultColWidth="9.109375" defaultRowHeight="16.8"/>
  <cols>
    <col min="1" max="1" width="15" style="2381" bestFit="1" customWidth="1"/>
    <col min="2" max="2" width="23" style="2381" bestFit="1" customWidth="1"/>
    <col min="3" max="3" width="10.6640625" style="2381" bestFit="1" customWidth="1"/>
    <col min="4" max="4" width="14.109375" style="2381" bestFit="1" customWidth="1"/>
    <col min="5" max="5" width="8" style="2381" bestFit="1" customWidth="1"/>
    <col min="6" max="6" width="14.109375" style="2381" bestFit="1" customWidth="1"/>
    <col min="7" max="7" width="8" style="2381" bestFit="1" customWidth="1"/>
    <col min="8" max="8" width="6" style="2381" bestFit="1" customWidth="1"/>
    <col min="9" max="10" width="5.33203125" style="2381" bestFit="1" customWidth="1"/>
    <col min="11" max="11" width="11.5546875" style="2381" customWidth="1"/>
    <col min="12" max="12" width="12.109375" style="2381" customWidth="1"/>
    <col min="13" max="13" width="12.6640625" style="2381" customWidth="1"/>
    <col min="14" max="15" width="6.44140625" style="2381" customWidth="1"/>
    <col min="16" max="16" width="7.5546875" style="2381" customWidth="1"/>
    <col min="17" max="17" width="7" style="2381" customWidth="1"/>
    <col min="18" max="18" width="6.6640625" style="2381" customWidth="1"/>
    <col min="19" max="19" width="7.5546875" style="2381" customWidth="1"/>
    <col min="20" max="20" width="7" style="2381" customWidth="1"/>
    <col min="21" max="21" width="6.6640625" style="2381" customWidth="1"/>
    <col min="22" max="22" width="8.109375" style="2381" customWidth="1"/>
    <col min="23" max="23" width="7" style="2381" customWidth="1"/>
    <col min="24" max="24" width="7.5546875" style="2381" customWidth="1"/>
    <col min="25" max="25" width="12.109375" style="2381" customWidth="1"/>
    <col min="26" max="26" width="12.33203125" style="2381" customWidth="1"/>
    <col min="27" max="27" width="11.6640625" style="2381" customWidth="1"/>
    <col min="28" max="28" width="11.33203125" style="2381" customWidth="1"/>
    <col min="29" max="29" width="9" style="2381" customWidth="1"/>
    <col min="30" max="36" width="9.109375" style="2381"/>
    <col min="37" max="16384" width="9.109375" style="6"/>
  </cols>
  <sheetData>
    <row r="2" spans="1:36" ht="20.399999999999999">
      <c r="A2" s="2600" t="s">
        <v>5938</v>
      </c>
      <c r="B2" s="2600"/>
      <c r="C2" s="2600"/>
      <c r="D2" s="2600"/>
      <c r="E2" s="2600"/>
      <c r="F2" s="2600"/>
      <c r="G2" s="2600"/>
      <c r="H2" s="2600"/>
      <c r="I2" s="2600"/>
      <c r="J2" s="2600"/>
      <c r="K2" s="2600"/>
      <c r="L2" s="2600"/>
      <c r="M2" s="2600"/>
      <c r="N2" s="2600"/>
      <c r="O2" s="2600"/>
      <c r="P2" s="2600"/>
      <c r="Q2" s="2600"/>
      <c r="R2" s="2600"/>
      <c r="S2" s="2600"/>
      <c r="T2" s="2600"/>
      <c r="U2" s="2600"/>
      <c r="V2" s="2600"/>
      <c r="W2" s="2600"/>
      <c r="X2" s="2600"/>
      <c r="Y2" s="2600"/>
      <c r="Z2" s="2600"/>
      <c r="AA2" s="2600"/>
      <c r="AB2" s="2600"/>
      <c r="AC2" s="2600"/>
    </row>
    <row r="3" spans="1:36" ht="7.5" customHeight="1"/>
    <row r="4" spans="1:36" ht="24" customHeight="1">
      <c r="A4" s="2598" t="s">
        <v>5959</v>
      </c>
      <c r="B4" s="2598" t="s">
        <v>5939</v>
      </c>
      <c r="C4" s="2598" t="s">
        <v>5940</v>
      </c>
      <c r="D4" s="2604" t="s">
        <v>5941</v>
      </c>
      <c r="E4" s="2605"/>
      <c r="F4" s="2604" t="s">
        <v>5942</v>
      </c>
      <c r="G4" s="2605"/>
      <c r="H4" s="2595" t="s">
        <v>5943</v>
      </c>
      <c r="I4" s="2596"/>
      <c r="J4" s="2595" t="s">
        <v>5944</v>
      </c>
      <c r="K4" s="2596"/>
      <c r="L4" s="2595" t="s">
        <v>5945</v>
      </c>
      <c r="M4" s="2603"/>
      <c r="N4" s="2595" t="s">
        <v>405</v>
      </c>
      <c r="O4" s="2596"/>
      <c r="P4" s="2595" t="s">
        <v>4091</v>
      </c>
      <c r="Q4" s="2597"/>
      <c r="R4" s="2596"/>
      <c r="S4" s="2595" t="s">
        <v>4092</v>
      </c>
      <c r="T4" s="2597"/>
      <c r="U4" s="2596"/>
      <c r="V4" s="2598" t="s">
        <v>5946</v>
      </c>
      <c r="W4" s="2595" t="s">
        <v>5947</v>
      </c>
      <c r="X4" s="2596"/>
      <c r="Y4" s="2594" t="s">
        <v>5919</v>
      </c>
      <c r="Z4" s="2594"/>
      <c r="AA4" s="2601" t="s">
        <v>5948</v>
      </c>
      <c r="AB4" s="2601" t="s">
        <v>5949</v>
      </c>
      <c r="AC4" s="2601" t="s">
        <v>5950</v>
      </c>
    </row>
    <row r="5" spans="1:36" ht="37.5" customHeight="1">
      <c r="A5" s="2599"/>
      <c r="B5" s="2599"/>
      <c r="C5" s="2599"/>
      <c r="D5" s="2382" t="s">
        <v>5951</v>
      </c>
      <c r="E5" s="2382" t="s">
        <v>5952</v>
      </c>
      <c r="F5" s="2382" t="s">
        <v>5951</v>
      </c>
      <c r="G5" s="2382" t="s">
        <v>5952</v>
      </c>
      <c r="H5" s="2383" t="s">
        <v>2000</v>
      </c>
      <c r="I5" s="2383" t="s">
        <v>2001</v>
      </c>
      <c r="J5" s="2383" t="s">
        <v>2000</v>
      </c>
      <c r="K5" s="2383" t="s">
        <v>1811</v>
      </c>
      <c r="L5" s="2383" t="s">
        <v>889</v>
      </c>
      <c r="M5" s="2383" t="s">
        <v>1958</v>
      </c>
      <c r="N5" s="2383" t="s">
        <v>5953</v>
      </c>
      <c r="O5" s="2383" t="s">
        <v>5954</v>
      </c>
      <c r="P5" s="2383" t="s">
        <v>1686</v>
      </c>
      <c r="Q5" s="2383" t="s">
        <v>1684</v>
      </c>
      <c r="R5" s="2383" t="s">
        <v>1685</v>
      </c>
      <c r="S5" s="2383" t="s">
        <v>1686</v>
      </c>
      <c r="T5" s="2383" t="s">
        <v>1684</v>
      </c>
      <c r="U5" s="2383" t="s">
        <v>1685</v>
      </c>
      <c r="V5" s="2599"/>
      <c r="W5" s="2383" t="s">
        <v>5955</v>
      </c>
      <c r="X5" s="2383" t="s">
        <v>5956</v>
      </c>
      <c r="Y5" s="2018" t="s">
        <v>5957</v>
      </c>
      <c r="Z5" s="2018" t="s">
        <v>5958</v>
      </c>
      <c r="AA5" s="2602"/>
      <c r="AB5" s="2602"/>
      <c r="AC5" s="2602"/>
    </row>
    <row r="6" spans="1:36">
      <c r="A6" s="2325" t="s">
        <v>5933</v>
      </c>
      <c r="B6" s="2324"/>
      <c r="C6" s="2324"/>
      <c r="D6" s="2325"/>
      <c r="E6" s="2325"/>
      <c r="F6" s="2325"/>
      <c r="G6" s="2324"/>
      <c r="H6" s="2324"/>
      <c r="I6" s="2324"/>
      <c r="J6" s="2324"/>
      <c r="K6" s="2324"/>
      <c r="L6" s="2324"/>
      <c r="M6" s="2324"/>
      <c r="N6" s="2324"/>
      <c r="O6" s="2324"/>
      <c r="P6" s="2324"/>
      <c r="Q6" s="2324"/>
      <c r="R6" s="2324"/>
      <c r="S6" s="2325"/>
      <c r="T6" s="2325"/>
      <c r="U6" s="2325"/>
      <c r="V6" s="2325"/>
      <c r="W6" s="2325"/>
      <c r="X6" s="2325"/>
      <c r="Y6" s="2325"/>
      <c r="Z6" s="2325"/>
      <c r="AA6" s="2324"/>
      <c r="AB6" s="2324"/>
      <c r="AC6" s="2324"/>
    </row>
    <row r="7" spans="1:36">
      <c r="A7" s="2334" t="s">
        <v>1184</v>
      </c>
      <c r="B7" s="2334"/>
      <c r="C7" s="2334"/>
      <c r="D7" s="2334"/>
      <c r="E7" s="2334"/>
      <c r="F7" s="2334"/>
      <c r="G7" s="2334"/>
      <c r="H7" s="2334"/>
      <c r="I7" s="2334"/>
      <c r="J7" s="2334"/>
      <c r="K7" s="2334"/>
      <c r="L7" s="2334"/>
      <c r="M7" s="2334"/>
      <c r="N7" s="2334"/>
      <c r="O7" s="2334"/>
      <c r="P7" s="2334"/>
      <c r="Q7" s="2334"/>
      <c r="R7" s="2334"/>
      <c r="S7" s="2334"/>
      <c r="T7" s="2334"/>
      <c r="U7" s="2334"/>
      <c r="V7" s="2334"/>
      <c r="W7" s="2334"/>
      <c r="X7" s="2334"/>
      <c r="Y7" s="2334"/>
      <c r="Z7" s="2334"/>
      <c r="AA7" s="2334"/>
      <c r="AB7" s="2334"/>
      <c r="AC7" s="2334"/>
    </row>
    <row r="8" spans="1:36">
      <c r="A8" s="2384">
        <v>2</v>
      </c>
      <c r="B8" s="2334"/>
      <c r="C8" s="2338"/>
      <c r="D8" s="2338"/>
      <c r="E8" s="2338"/>
      <c r="F8" s="2338"/>
      <c r="G8" s="2338"/>
      <c r="H8" s="2338"/>
      <c r="I8" s="2334"/>
      <c r="J8" s="2338"/>
      <c r="K8" s="2338"/>
      <c r="L8" s="2338"/>
      <c r="M8" s="2334"/>
      <c r="N8" s="2338"/>
      <c r="O8" s="2338"/>
      <c r="P8" s="2338"/>
      <c r="Q8" s="2338"/>
      <c r="R8" s="2338"/>
      <c r="S8" s="2338"/>
      <c r="T8" s="2338"/>
      <c r="U8" s="2338"/>
      <c r="V8" s="2338"/>
      <c r="W8" s="2338"/>
      <c r="X8" s="2338"/>
      <c r="Y8" s="2338"/>
      <c r="Z8" s="2338"/>
      <c r="AA8" s="2334"/>
      <c r="AB8" s="2338"/>
      <c r="AC8" s="2338"/>
    </row>
    <row r="9" spans="1:36">
      <c r="A9" s="2385">
        <v>3</v>
      </c>
      <c r="B9" s="2334"/>
      <c r="C9" s="2338"/>
      <c r="D9" s="2338"/>
      <c r="E9" s="2338"/>
      <c r="F9" s="2338"/>
      <c r="G9" s="2338"/>
      <c r="H9" s="2338"/>
      <c r="I9" s="2334"/>
      <c r="J9" s="2338"/>
      <c r="K9" s="2338"/>
      <c r="L9" s="2338"/>
      <c r="M9" s="2334"/>
      <c r="N9" s="2338"/>
      <c r="O9" s="2338"/>
      <c r="P9" s="2338"/>
      <c r="Q9" s="2338"/>
      <c r="R9" s="2338"/>
      <c r="S9" s="2338"/>
      <c r="T9" s="2338"/>
      <c r="U9" s="2338"/>
      <c r="V9" s="2338"/>
      <c r="W9" s="2338"/>
      <c r="X9" s="2338"/>
      <c r="Y9" s="2338"/>
      <c r="Z9" s="2338"/>
      <c r="AA9" s="2334"/>
      <c r="AB9" s="2338"/>
      <c r="AC9" s="2338"/>
    </row>
    <row r="10" spans="1:36">
      <c r="A10" s="2384">
        <v>4</v>
      </c>
      <c r="B10" s="2334"/>
      <c r="C10" s="2338"/>
      <c r="D10" s="2338"/>
      <c r="E10" s="2338"/>
      <c r="F10" s="2338"/>
      <c r="G10" s="2338"/>
      <c r="H10" s="2338"/>
      <c r="I10" s="2334"/>
      <c r="J10" s="2338"/>
      <c r="K10" s="2338"/>
      <c r="L10" s="2338"/>
      <c r="M10" s="2334"/>
      <c r="N10" s="2338"/>
      <c r="O10" s="2338"/>
      <c r="P10" s="2338"/>
      <c r="Q10" s="2338"/>
      <c r="R10" s="2338"/>
      <c r="S10" s="2338"/>
      <c r="T10" s="2338"/>
      <c r="U10" s="2338"/>
      <c r="V10" s="2338"/>
      <c r="W10" s="2338"/>
      <c r="X10" s="2338"/>
      <c r="Y10" s="2338"/>
      <c r="Z10" s="2338"/>
      <c r="AA10" s="2334"/>
      <c r="AB10" s="2338"/>
      <c r="AC10" s="2338"/>
    </row>
    <row r="11" spans="1:36">
      <c r="A11" s="2385">
        <v>5</v>
      </c>
      <c r="B11" s="2334"/>
      <c r="C11" s="2338"/>
      <c r="D11" s="2338"/>
      <c r="E11" s="2338"/>
      <c r="F11" s="2338"/>
      <c r="G11" s="2338"/>
      <c r="H11" s="2338"/>
      <c r="I11" s="2334"/>
      <c r="J11" s="2338"/>
      <c r="K11" s="2338"/>
      <c r="L11" s="2338"/>
      <c r="M11" s="2334"/>
      <c r="N11" s="2338"/>
      <c r="O11" s="2338"/>
      <c r="P11" s="2338"/>
      <c r="Q11" s="2338"/>
      <c r="R11" s="2338"/>
      <c r="S11" s="2338"/>
      <c r="T11" s="2338"/>
      <c r="U11" s="2338"/>
      <c r="V11" s="2338"/>
      <c r="W11" s="2338"/>
      <c r="X11" s="2338"/>
      <c r="Y11" s="2338"/>
      <c r="Z11" s="2338"/>
      <c r="AA11" s="2334"/>
      <c r="AB11" s="2338"/>
      <c r="AC11" s="2338"/>
    </row>
    <row r="12" spans="1:36">
      <c r="A12" s="2384">
        <v>6</v>
      </c>
      <c r="B12" s="2334"/>
      <c r="C12" s="2338"/>
      <c r="D12" s="2338"/>
      <c r="E12" s="2338"/>
      <c r="F12" s="2338"/>
      <c r="G12" s="2338"/>
      <c r="H12" s="2338"/>
      <c r="I12" s="2334"/>
      <c r="J12" s="2338"/>
      <c r="K12" s="2338"/>
      <c r="L12" s="2338"/>
      <c r="M12" s="2334"/>
      <c r="N12" s="2338"/>
      <c r="O12" s="2338"/>
      <c r="P12" s="2338"/>
      <c r="Q12" s="2338"/>
      <c r="R12" s="2338"/>
      <c r="S12" s="2338"/>
      <c r="T12" s="2338"/>
      <c r="U12" s="2338"/>
      <c r="V12" s="2338"/>
      <c r="W12" s="2338"/>
      <c r="X12" s="2338"/>
      <c r="Y12" s="2338"/>
      <c r="Z12" s="2338"/>
      <c r="AA12" s="2334"/>
      <c r="AB12" s="2338"/>
      <c r="AC12" s="2338"/>
    </row>
    <row r="13" spans="1:36">
      <c r="A13" s="2385">
        <v>7</v>
      </c>
      <c r="B13" s="2334"/>
      <c r="C13" s="2338"/>
      <c r="D13" s="2338"/>
      <c r="E13" s="2338"/>
      <c r="F13" s="2338"/>
      <c r="G13" s="2338"/>
      <c r="H13" s="2338"/>
      <c r="I13" s="2334"/>
      <c r="J13" s="2338"/>
      <c r="K13" s="2338"/>
      <c r="L13" s="2338"/>
      <c r="M13" s="2334"/>
      <c r="N13" s="2338"/>
      <c r="O13" s="2338"/>
      <c r="P13" s="2338"/>
      <c r="Q13" s="2338"/>
      <c r="R13" s="2338"/>
      <c r="S13" s="2338"/>
      <c r="T13" s="2338"/>
      <c r="U13" s="2338"/>
      <c r="V13" s="2338"/>
      <c r="W13" s="2338"/>
      <c r="X13" s="2338"/>
      <c r="Y13" s="2338"/>
      <c r="Z13" s="2338"/>
      <c r="AA13" s="2334"/>
      <c r="AB13" s="2338"/>
      <c r="AC13" s="2338"/>
    </row>
    <row r="14" spans="1:36" s="8" customFormat="1" ht="17.399999999999999">
      <c r="A14" s="2386">
        <v>1</v>
      </c>
      <c r="B14" s="2387"/>
      <c r="C14" s="2388"/>
      <c r="D14" s="2388"/>
      <c r="E14" s="2388"/>
      <c r="F14" s="2388"/>
      <c r="G14" s="2388"/>
      <c r="H14" s="2388"/>
      <c r="I14" s="2334"/>
      <c r="J14" s="2388"/>
      <c r="K14" s="2388"/>
      <c r="L14" s="2388"/>
      <c r="M14" s="2334"/>
      <c r="N14" s="2388"/>
      <c r="O14" s="2388"/>
      <c r="P14" s="2388"/>
      <c r="Q14" s="2388"/>
      <c r="R14" s="2388"/>
      <c r="S14" s="2388"/>
      <c r="T14" s="2388"/>
      <c r="U14" s="2388"/>
      <c r="V14" s="2388"/>
      <c r="W14" s="2388"/>
      <c r="X14" s="2388"/>
      <c r="Y14" s="2388"/>
      <c r="Z14" s="2388"/>
      <c r="AA14" s="2387"/>
      <c r="AB14" s="2388"/>
      <c r="AC14" s="2388"/>
      <c r="AD14" s="2389"/>
      <c r="AE14" s="2389"/>
      <c r="AF14" s="2389"/>
      <c r="AG14" s="2389"/>
      <c r="AH14" s="2389"/>
      <c r="AI14" s="2389"/>
      <c r="AJ14" s="2389"/>
    </row>
    <row r="15" spans="1:36">
      <c r="A15" s="2384">
        <v>8</v>
      </c>
      <c r="B15" s="2334"/>
      <c r="C15" s="2338"/>
      <c r="D15" s="2338"/>
      <c r="E15" s="2338"/>
      <c r="F15" s="2338"/>
      <c r="G15" s="2338"/>
      <c r="H15" s="2338"/>
      <c r="I15" s="2334"/>
      <c r="J15" s="2338"/>
      <c r="K15" s="2338"/>
      <c r="L15" s="2338"/>
      <c r="M15" s="2334"/>
      <c r="N15" s="2338"/>
      <c r="O15" s="2338"/>
      <c r="P15" s="2338"/>
      <c r="Q15" s="2338"/>
      <c r="R15" s="2338"/>
      <c r="S15" s="2338"/>
      <c r="T15" s="2338"/>
      <c r="U15" s="2338"/>
      <c r="V15" s="2338"/>
      <c r="W15" s="2338"/>
      <c r="X15" s="2338"/>
      <c r="Y15" s="2338"/>
      <c r="Z15" s="2338"/>
      <c r="AA15" s="2334"/>
      <c r="AB15" s="2338"/>
      <c r="AC15" s="2338"/>
    </row>
    <row r="16" spans="1:36">
      <c r="A16" s="2385">
        <v>9</v>
      </c>
      <c r="B16" s="2334"/>
      <c r="C16" s="2338"/>
      <c r="D16" s="2338"/>
      <c r="E16" s="2338"/>
      <c r="F16" s="2338"/>
      <c r="G16" s="2338"/>
      <c r="H16" s="2338"/>
      <c r="I16" s="2334"/>
      <c r="J16" s="2338"/>
      <c r="K16" s="2338"/>
      <c r="L16" s="2338"/>
      <c r="M16" s="2334"/>
      <c r="N16" s="2338"/>
      <c r="O16" s="2338"/>
      <c r="P16" s="2338"/>
      <c r="Q16" s="2338"/>
      <c r="R16" s="2338"/>
      <c r="S16" s="2338"/>
      <c r="T16" s="2338"/>
      <c r="U16" s="2338"/>
      <c r="V16" s="2338"/>
      <c r="W16" s="2338"/>
      <c r="X16" s="2338"/>
      <c r="Y16" s="2338"/>
      <c r="Z16" s="2338"/>
      <c r="AA16" s="2334"/>
      <c r="AB16" s="2338"/>
      <c r="AC16" s="2338"/>
    </row>
    <row r="17" spans="1:36" s="8" customFormat="1" ht="17.399999999999999">
      <c r="A17" s="2387" t="s">
        <v>5933</v>
      </c>
      <c r="B17" s="2387"/>
      <c r="C17" s="2388"/>
      <c r="D17" s="2388"/>
      <c r="E17" s="2388"/>
      <c r="F17" s="2388"/>
      <c r="G17" s="2388"/>
      <c r="H17" s="2388"/>
      <c r="I17" s="2334"/>
      <c r="J17" s="2388"/>
      <c r="K17" s="2388"/>
      <c r="L17" s="2388"/>
      <c r="M17" s="2334"/>
      <c r="N17" s="2388"/>
      <c r="O17" s="2388"/>
      <c r="P17" s="2388"/>
      <c r="Q17" s="2388"/>
      <c r="R17" s="2388"/>
      <c r="S17" s="2388"/>
      <c r="T17" s="2388"/>
      <c r="U17" s="2388"/>
      <c r="V17" s="2388"/>
      <c r="W17" s="2388"/>
      <c r="X17" s="2388"/>
      <c r="Y17" s="2388"/>
      <c r="Z17" s="2388"/>
      <c r="AA17" s="2387"/>
      <c r="AB17" s="2388"/>
      <c r="AC17" s="2388"/>
      <c r="AD17" s="2389"/>
      <c r="AE17" s="2389"/>
      <c r="AF17" s="2389"/>
      <c r="AG17" s="2389"/>
      <c r="AH17" s="2389"/>
      <c r="AI17" s="2389"/>
      <c r="AJ17" s="2389"/>
    </row>
    <row r="18" spans="1:36" s="7" customFormat="1" ht="17.399999999999999">
      <c r="A18" s="2384">
        <v>10</v>
      </c>
      <c r="B18" s="2334"/>
      <c r="C18" s="2390"/>
      <c r="D18" s="2390"/>
      <c r="E18" s="2390"/>
      <c r="F18" s="2390"/>
      <c r="G18" s="2391"/>
      <c r="H18" s="2390"/>
      <c r="I18" s="2334"/>
      <c r="J18" s="2390"/>
      <c r="K18" s="2390"/>
      <c r="L18" s="2391"/>
      <c r="M18" s="2334"/>
      <c r="N18" s="2390"/>
      <c r="O18" s="2390"/>
      <c r="P18" s="2390"/>
      <c r="Q18" s="2390"/>
      <c r="R18" s="2390"/>
      <c r="S18" s="2390"/>
      <c r="T18" s="2390"/>
      <c r="U18" s="2390"/>
      <c r="V18" s="2390"/>
      <c r="W18" s="2390"/>
      <c r="X18" s="2390"/>
      <c r="Y18" s="2390"/>
      <c r="Z18" s="2338"/>
      <c r="AA18" s="2334"/>
      <c r="AB18" s="2390"/>
      <c r="AC18" s="2390"/>
      <c r="AD18" s="2392"/>
      <c r="AE18" s="2392"/>
      <c r="AF18" s="2392"/>
      <c r="AG18" s="2392"/>
      <c r="AH18" s="2392"/>
      <c r="AI18" s="2392"/>
      <c r="AJ18" s="2392"/>
    </row>
    <row r="19" spans="1:36">
      <c r="A19" s="2385">
        <v>11</v>
      </c>
      <c r="B19" s="2334"/>
      <c r="C19" s="2338"/>
      <c r="D19" s="2338"/>
      <c r="E19" s="2338"/>
      <c r="F19" s="2338"/>
      <c r="G19" s="2338"/>
      <c r="H19" s="2338"/>
      <c r="I19" s="2334"/>
      <c r="J19" s="2338"/>
      <c r="K19" s="2338"/>
      <c r="L19" s="2338"/>
      <c r="M19" s="2334"/>
      <c r="N19" s="2338"/>
      <c r="O19" s="2338"/>
      <c r="P19" s="2338"/>
      <c r="Q19" s="2338"/>
      <c r="R19" s="2338"/>
      <c r="S19" s="2338"/>
      <c r="T19" s="2338"/>
      <c r="U19" s="2338"/>
      <c r="V19" s="2338"/>
      <c r="W19" s="2338"/>
      <c r="X19" s="2338"/>
      <c r="Y19" s="2338"/>
      <c r="Z19" s="2338"/>
      <c r="AA19" s="2334"/>
      <c r="AB19" s="2338"/>
      <c r="AC19" s="2338"/>
    </row>
    <row r="20" spans="1:36">
      <c r="A20" s="2384">
        <v>12</v>
      </c>
      <c r="B20" s="2334"/>
      <c r="C20" s="2338"/>
      <c r="D20" s="2338"/>
      <c r="E20" s="2338"/>
      <c r="F20" s="2338"/>
      <c r="G20" s="2338"/>
      <c r="H20" s="2338"/>
      <c r="I20" s="2334"/>
      <c r="J20" s="2338"/>
      <c r="K20" s="2338"/>
      <c r="L20" s="2338"/>
      <c r="M20" s="2334"/>
      <c r="N20" s="2338"/>
      <c r="O20" s="2338"/>
      <c r="P20" s="2338"/>
      <c r="Q20" s="2338"/>
      <c r="R20" s="2338"/>
      <c r="S20" s="2338"/>
      <c r="T20" s="2338"/>
      <c r="U20" s="2338"/>
      <c r="V20" s="2338"/>
      <c r="W20" s="2338"/>
      <c r="X20" s="2338"/>
      <c r="Y20" s="2338"/>
      <c r="Z20" s="2338"/>
      <c r="AA20" s="2334"/>
      <c r="AB20" s="2338"/>
      <c r="AC20" s="2338"/>
    </row>
    <row r="21" spans="1:36">
      <c r="A21" s="2385">
        <v>13</v>
      </c>
      <c r="B21" s="2334"/>
      <c r="C21" s="2338"/>
      <c r="D21" s="2338"/>
      <c r="E21" s="2338"/>
      <c r="F21" s="2338"/>
      <c r="G21" s="2338"/>
      <c r="H21" s="2338"/>
      <c r="I21" s="2334"/>
      <c r="J21" s="2338"/>
      <c r="K21" s="2338"/>
      <c r="L21" s="2338"/>
      <c r="M21" s="2334"/>
      <c r="N21" s="2338"/>
      <c r="O21" s="2338"/>
      <c r="P21" s="2338"/>
      <c r="Q21" s="2338"/>
      <c r="R21" s="2338"/>
      <c r="S21" s="2338"/>
      <c r="T21" s="2338"/>
      <c r="U21" s="2338"/>
      <c r="V21" s="2338"/>
      <c r="W21" s="2338"/>
      <c r="X21" s="2338"/>
      <c r="Y21" s="2338"/>
      <c r="Z21" s="2338"/>
      <c r="AA21" s="2334"/>
      <c r="AB21" s="2338"/>
      <c r="AC21" s="2338"/>
    </row>
    <row r="22" spans="1:36">
      <c r="A22" s="2384">
        <v>14</v>
      </c>
      <c r="B22" s="2334"/>
      <c r="C22" s="2338"/>
      <c r="D22" s="2338"/>
      <c r="E22" s="2338"/>
      <c r="F22" s="2338"/>
      <c r="G22" s="2338"/>
      <c r="H22" s="2338"/>
      <c r="I22" s="2334"/>
      <c r="J22" s="2338"/>
      <c r="K22" s="2338"/>
      <c r="L22" s="2338"/>
      <c r="M22" s="2334"/>
      <c r="N22" s="2338"/>
      <c r="O22" s="2338"/>
      <c r="P22" s="2338"/>
      <c r="Q22" s="2338"/>
      <c r="R22" s="2338"/>
      <c r="S22" s="2338"/>
      <c r="T22" s="2338"/>
      <c r="U22" s="2338"/>
      <c r="V22" s="2338"/>
      <c r="W22" s="2338"/>
      <c r="X22" s="2338"/>
      <c r="Y22" s="2338"/>
      <c r="Z22" s="2338"/>
      <c r="AA22" s="2334"/>
      <c r="AB22" s="2338"/>
      <c r="AC22" s="2338"/>
    </row>
    <row r="23" spans="1:36">
      <c r="A23" s="2385">
        <v>15</v>
      </c>
      <c r="B23" s="2334"/>
      <c r="C23" s="2338"/>
      <c r="D23" s="2338"/>
      <c r="E23" s="2338"/>
      <c r="F23" s="2338"/>
      <c r="G23" s="2338"/>
      <c r="H23" s="2338"/>
      <c r="I23" s="2334"/>
      <c r="J23" s="2338"/>
      <c r="K23" s="2338"/>
      <c r="L23" s="2338"/>
      <c r="M23" s="2334"/>
      <c r="N23" s="2338"/>
      <c r="O23" s="2338"/>
      <c r="P23" s="2338"/>
      <c r="Q23" s="2338"/>
      <c r="R23" s="2338"/>
      <c r="S23" s="2338"/>
      <c r="T23" s="2338"/>
      <c r="U23" s="2338"/>
      <c r="V23" s="2338"/>
      <c r="W23" s="2338"/>
      <c r="X23" s="2338"/>
      <c r="Y23" s="2338"/>
      <c r="Z23" s="2338"/>
      <c r="AA23" s="2334"/>
      <c r="AB23" s="2338"/>
      <c r="AC23" s="2338"/>
    </row>
    <row r="24" spans="1:36" s="8" customFormat="1" ht="17.399999999999999">
      <c r="A24" s="2386">
        <v>11</v>
      </c>
      <c r="B24" s="2387"/>
      <c r="C24" s="2388"/>
      <c r="D24" s="2388"/>
      <c r="E24" s="2388"/>
      <c r="F24" s="2388"/>
      <c r="G24" s="2388"/>
      <c r="H24" s="2388"/>
      <c r="I24" s="2334"/>
      <c r="J24" s="2388"/>
      <c r="K24" s="2388"/>
      <c r="L24" s="2388"/>
      <c r="M24" s="2334"/>
      <c r="N24" s="2388"/>
      <c r="O24" s="2388"/>
      <c r="P24" s="2388"/>
      <c r="Q24" s="2388"/>
      <c r="R24" s="2388"/>
      <c r="S24" s="2388"/>
      <c r="T24" s="2388"/>
      <c r="U24" s="2388"/>
      <c r="V24" s="2388"/>
      <c r="W24" s="2388"/>
      <c r="X24" s="2388"/>
      <c r="Y24" s="2388"/>
      <c r="Z24" s="2388"/>
      <c r="AA24" s="2387"/>
      <c r="AB24" s="2388"/>
      <c r="AC24" s="2388"/>
      <c r="AD24" s="2389"/>
      <c r="AE24" s="2389"/>
      <c r="AF24" s="2389"/>
      <c r="AG24" s="2389"/>
      <c r="AH24" s="2389"/>
      <c r="AI24" s="2389"/>
      <c r="AJ24" s="2389"/>
    </row>
    <row r="25" spans="1:36">
      <c r="A25" s="2384">
        <v>16</v>
      </c>
      <c r="B25" s="2334"/>
      <c r="C25" s="2338"/>
      <c r="D25" s="2338"/>
      <c r="E25" s="2338"/>
      <c r="F25" s="2338"/>
      <c r="G25" s="2338"/>
      <c r="H25" s="2338"/>
      <c r="I25" s="2334"/>
      <c r="J25" s="2338"/>
      <c r="K25" s="2338"/>
      <c r="L25" s="2338"/>
      <c r="M25" s="2334"/>
      <c r="N25" s="2338"/>
      <c r="O25" s="2338"/>
      <c r="P25" s="2338"/>
      <c r="Q25" s="2338"/>
      <c r="R25" s="2338"/>
      <c r="S25" s="2338"/>
      <c r="T25" s="2338"/>
      <c r="U25" s="2338"/>
      <c r="V25" s="2338"/>
      <c r="W25" s="2338"/>
      <c r="X25" s="2338"/>
      <c r="Y25" s="2338"/>
      <c r="Z25" s="2338"/>
      <c r="AA25" s="2334"/>
      <c r="AB25" s="2338"/>
      <c r="AC25" s="2338"/>
    </row>
    <row r="26" spans="1:36">
      <c r="A26" s="2385">
        <v>17</v>
      </c>
      <c r="B26" s="2334"/>
      <c r="C26" s="2338"/>
      <c r="D26" s="2338"/>
      <c r="E26" s="2338"/>
      <c r="F26" s="2338"/>
      <c r="G26" s="2338"/>
      <c r="H26" s="2338"/>
      <c r="I26" s="2334"/>
      <c r="J26" s="2338"/>
      <c r="K26" s="2338"/>
      <c r="L26" s="2338"/>
      <c r="M26" s="2334"/>
      <c r="N26" s="2338"/>
      <c r="O26" s="2338"/>
      <c r="P26" s="2338"/>
      <c r="Q26" s="2338"/>
      <c r="R26" s="2338"/>
      <c r="S26" s="2338"/>
      <c r="T26" s="2338"/>
      <c r="U26" s="2338"/>
      <c r="V26" s="2338"/>
      <c r="W26" s="2338"/>
      <c r="X26" s="2338"/>
      <c r="Y26" s="2338"/>
      <c r="Z26" s="2338"/>
      <c r="AA26" s="2334"/>
      <c r="AB26" s="2338"/>
      <c r="AC26" s="2338"/>
    </row>
    <row r="27" spans="1:36">
      <c r="A27" s="2384">
        <v>18</v>
      </c>
      <c r="B27" s="2334"/>
      <c r="C27" s="2338"/>
      <c r="D27" s="2338"/>
      <c r="E27" s="2338"/>
      <c r="F27" s="2338"/>
      <c r="G27" s="2338"/>
      <c r="H27" s="2338"/>
      <c r="I27" s="2334"/>
      <c r="J27" s="2338"/>
      <c r="K27" s="2338"/>
      <c r="L27" s="2338"/>
      <c r="M27" s="2334"/>
      <c r="N27" s="2338"/>
      <c r="O27" s="2338"/>
      <c r="P27" s="2338"/>
      <c r="Q27" s="2338"/>
      <c r="R27" s="2338"/>
      <c r="S27" s="2338"/>
      <c r="T27" s="2338"/>
      <c r="U27" s="2338"/>
      <c r="V27" s="2338"/>
      <c r="W27" s="2338"/>
      <c r="X27" s="2338"/>
      <c r="Y27" s="2338"/>
      <c r="Z27" s="2338"/>
      <c r="AA27" s="2334"/>
      <c r="AB27" s="2338"/>
      <c r="AC27" s="2338"/>
    </row>
    <row r="28" spans="1:36" s="8" customFormat="1" ht="17.399999999999999">
      <c r="A28" s="2386">
        <v>17</v>
      </c>
      <c r="B28" s="2387"/>
      <c r="C28" s="2388"/>
      <c r="D28" s="2388"/>
      <c r="E28" s="2388"/>
      <c r="F28" s="2388"/>
      <c r="G28" s="2388"/>
      <c r="H28" s="2388"/>
      <c r="I28" s="2334"/>
      <c r="J28" s="2388"/>
      <c r="K28" s="2388"/>
      <c r="L28" s="2388"/>
      <c r="M28" s="2334"/>
      <c r="N28" s="2388"/>
      <c r="O28" s="2388"/>
      <c r="P28" s="2388"/>
      <c r="Q28" s="2388"/>
      <c r="R28" s="2388"/>
      <c r="S28" s="2388"/>
      <c r="T28" s="2388"/>
      <c r="U28" s="2388"/>
      <c r="V28" s="2388"/>
      <c r="W28" s="2388"/>
      <c r="X28" s="2388"/>
      <c r="Y28" s="2388"/>
      <c r="Z28" s="2388"/>
      <c r="AA28" s="2387"/>
      <c r="AB28" s="2388"/>
      <c r="AC28" s="2388"/>
      <c r="AD28" s="2389"/>
      <c r="AE28" s="2389"/>
      <c r="AF28" s="2389"/>
      <c r="AG28" s="2389"/>
      <c r="AH28" s="2389"/>
      <c r="AI28" s="2389"/>
      <c r="AJ28" s="2389"/>
    </row>
    <row r="29" spans="1:36">
      <c r="A29" s="2385">
        <v>19</v>
      </c>
      <c r="B29" s="2334"/>
      <c r="C29" s="2338"/>
      <c r="D29" s="2338"/>
      <c r="E29" s="2338"/>
      <c r="F29" s="2338"/>
      <c r="G29" s="2338"/>
      <c r="H29" s="2338"/>
      <c r="I29" s="2334"/>
      <c r="J29" s="2338"/>
      <c r="K29" s="2338"/>
      <c r="L29" s="2338"/>
      <c r="M29" s="2334"/>
      <c r="N29" s="2338"/>
      <c r="O29" s="2338"/>
      <c r="P29" s="2338"/>
      <c r="Q29" s="2338"/>
      <c r="R29" s="2338"/>
      <c r="S29" s="2338"/>
      <c r="T29" s="2338"/>
      <c r="U29" s="2338"/>
      <c r="V29" s="2338"/>
      <c r="W29" s="2338"/>
      <c r="X29" s="2338"/>
      <c r="Y29" s="2338"/>
      <c r="Z29" s="2338"/>
      <c r="AA29" s="2334"/>
      <c r="AB29" s="2338"/>
      <c r="AC29" s="2338"/>
    </row>
    <row r="30" spans="1:36" s="8" customFormat="1" ht="17.399999999999999">
      <c r="A30" s="2386">
        <v>17</v>
      </c>
      <c r="B30" s="2387"/>
      <c r="C30" s="2388"/>
      <c r="D30" s="2388"/>
      <c r="E30" s="2388"/>
      <c r="F30" s="2388"/>
      <c r="G30" s="2388"/>
      <c r="H30" s="2388"/>
      <c r="I30" s="2334"/>
      <c r="J30" s="2388"/>
      <c r="K30" s="2388"/>
      <c r="L30" s="2388"/>
      <c r="M30" s="2334"/>
      <c r="N30" s="2388"/>
      <c r="O30" s="2388"/>
      <c r="P30" s="2388"/>
      <c r="Q30" s="2388"/>
      <c r="R30" s="2388"/>
      <c r="S30" s="2388"/>
      <c r="T30" s="2388"/>
      <c r="U30" s="2388"/>
      <c r="V30" s="2388"/>
      <c r="W30" s="2388"/>
      <c r="X30" s="2388"/>
      <c r="Y30" s="2388"/>
      <c r="Z30" s="2388"/>
      <c r="AA30" s="2387"/>
      <c r="AB30" s="2388"/>
      <c r="AC30" s="2388"/>
      <c r="AD30" s="2389"/>
      <c r="AE30" s="2389"/>
      <c r="AF30" s="2389"/>
      <c r="AG30" s="2389"/>
      <c r="AH30" s="2389"/>
      <c r="AI30" s="2389"/>
      <c r="AJ30" s="2389"/>
    </row>
    <row r="31" spans="1:36">
      <c r="A31" s="2384">
        <v>20</v>
      </c>
      <c r="B31" s="2334"/>
      <c r="C31" s="2338"/>
      <c r="D31" s="2338"/>
      <c r="E31" s="2338"/>
      <c r="F31" s="2338"/>
      <c r="G31" s="2338"/>
      <c r="H31" s="2338"/>
      <c r="I31" s="2334"/>
      <c r="J31" s="2338"/>
      <c r="K31" s="2338"/>
      <c r="L31" s="2338"/>
      <c r="M31" s="2334"/>
      <c r="N31" s="2338"/>
      <c r="O31" s="2338"/>
      <c r="P31" s="2338"/>
      <c r="Q31" s="2338"/>
      <c r="R31" s="2338"/>
      <c r="S31" s="2338"/>
      <c r="T31" s="2338"/>
      <c r="U31" s="2338"/>
      <c r="V31" s="2338"/>
      <c r="W31" s="2338"/>
      <c r="X31" s="2338"/>
      <c r="Y31" s="2338"/>
      <c r="Z31" s="2338"/>
      <c r="AA31" s="2334"/>
      <c r="AB31" s="2338"/>
      <c r="AC31" s="2338"/>
    </row>
    <row r="32" spans="1:36">
      <c r="A32" s="2385">
        <v>21</v>
      </c>
      <c r="B32" s="2334"/>
      <c r="C32" s="2338"/>
      <c r="D32" s="2338"/>
      <c r="E32" s="2338"/>
      <c r="F32" s="2338"/>
      <c r="G32" s="2338"/>
      <c r="H32" s="2338"/>
      <c r="I32" s="2334"/>
      <c r="J32" s="2338"/>
      <c r="K32" s="2338"/>
      <c r="L32" s="2338"/>
      <c r="M32" s="2334"/>
      <c r="N32" s="2338"/>
      <c r="O32" s="2338"/>
      <c r="P32" s="2338"/>
      <c r="Q32" s="2338"/>
      <c r="R32" s="2338"/>
      <c r="S32" s="2338"/>
      <c r="T32" s="2338"/>
      <c r="U32" s="2338"/>
      <c r="V32" s="2338"/>
      <c r="W32" s="2338"/>
      <c r="X32" s="2338"/>
      <c r="Y32" s="2338"/>
      <c r="Z32" s="2338"/>
      <c r="AA32" s="2334"/>
      <c r="AB32" s="2338"/>
      <c r="AC32" s="2338"/>
    </row>
    <row r="33" spans="1:29">
      <c r="A33" s="2384">
        <v>22</v>
      </c>
      <c r="B33" s="2334"/>
      <c r="C33" s="2338"/>
      <c r="D33" s="2338"/>
      <c r="E33" s="2338"/>
      <c r="F33" s="2338"/>
      <c r="G33" s="2338"/>
      <c r="H33" s="2338"/>
      <c r="I33" s="2334"/>
      <c r="J33" s="2338"/>
      <c r="K33" s="2338"/>
      <c r="L33" s="2338"/>
      <c r="M33" s="2334"/>
      <c r="N33" s="2338"/>
      <c r="O33" s="2338"/>
      <c r="P33" s="2338"/>
      <c r="Q33" s="2338"/>
      <c r="R33" s="2338"/>
      <c r="S33" s="2338"/>
      <c r="T33" s="2338"/>
      <c r="U33" s="2338"/>
      <c r="V33" s="2338"/>
      <c r="W33" s="2338"/>
      <c r="X33" s="2338"/>
      <c r="Y33" s="2338"/>
      <c r="Z33" s="2338"/>
      <c r="AA33" s="2334"/>
      <c r="AB33" s="2338"/>
      <c r="AC33" s="2338"/>
    </row>
    <row r="34" spans="1:29">
      <c r="A34" s="2385">
        <v>23</v>
      </c>
      <c r="B34" s="2334"/>
      <c r="C34" s="2338"/>
      <c r="D34" s="2338"/>
      <c r="E34" s="2338"/>
      <c r="F34" s="2338"/>
      <c r="G34" s="2338"/>
      <c r="H34" s="2338"/>
      <c r="I34" s="2334"/>
      <c r="J34" s="2338"/>
      <c r="K34" s="2338"/>
      <c r="L34" s="2338"/>
      <c r="M34" s="2334"/>
      <c r="N34" s="2338"/>
      <c r="O34" s="2338"/>
      <c r="P34" s="2338"/>
      <c r="Q34" s="2338"/>
      <c r="R34" s="2338"/>
      <c r="S34" s="2338"/>
      <c r="T34" s="2338"/>
      <c r="U34" s="2338"/>
      <c r="V34" s="2338"/>
      <c r="W34" s="2338"/>
      <c r="X34" s="2338"/>
      <c r="Y34" s="2338"/>
      <c r="Z34" s="2338"/>
      <c r="AA34" s="2334"/>
      <c r="AB34" s="2338"/>
      <c r="AC34" s="2338"/>
    </row>
    <row r="35" spans="1:29">
      <c r="A35" s="2384"/>
      <c r="B35" s="2338"/>
      <c r="C35" s="2338"/>
      <c r="D35" s="2338"/>
      <c r="E35" s="2338"/>
      <c r="F35" s="2338"/>
      <c r="G35" s="2338"/>
      <c r="H35" s="2338"/>
      <c r="I35" s="2338"/>
      <c r="J35" s="2338"/>
      <c r="K35" s="2338"/>
      <c r="L35" s="2338"/>
      <c r="M35" s="2338"/>
      <c r="N35" s="2338"/>
      <c r="O35" s="2338"/>
      <c r="P35" s="2338"/>
      <c r="Q35" s="2338"/>
      <c r="R35" s="2338"/>
      <c r="S35" s="2338"/>
      <c r="T35" s="2338"/>
      <c r="U35" s="2338"/>
      <c r="V35" s="2338"/>
      <c r="W35" s="2338"/>
      <c r="X35" s="2338"/>
      <c r="Y35" s="2338"/>
      <c r="Z35" s="2338"/>
      <c r="AA35" s="2338"/>
      <c r="AB35" s="2338"/>
      <c r="AC35" s="2338"/>
    </row>
    <row r="36" spans="1:29">
      <c r="A36" s="2393"/>
      <c r="B36" s="2394"/>
      <c r="C36" s="2394"/>
      <c r="D36" s="2394"/>
      <c r="E36" s="2394"/>
      <c r="F36" s="2394"/>
      <c r="G36" s="2394"/>
      <c r="H36" s="2394"/>
      <c r="I36" s="2394"/>
      <c r="J36" s="2394"/>
      <c r="K36" s="2394"/>
      <c r="L36" s="2394"/>
      <c r="M36" s="2394"/>
      <c r="N36" s="2394"/>
      <c r="O36" s="2394"/>
      <c r="P36" s="2394"/>
      <c r="Q36" s="2394"/>
      <c r="R36" s="2394"/>
      <c r="S36" s="2394"/>
      <c r="T36" s="2394"/>
      <c r="U36" s="2394"/>
      <c r="V36" s="2394"/>
      <c r="W36" s="2394"/>
      <c r="X36" s="2394"/>
      <c r="Y36" s="2394"/>
      <c r="Z36" s="2394"/>
      <c r="AA36" s="2394"/>
      <c r="AB36" s="2394"/>
      <c r="AC36" s="2394"/>
    </row>
    <row r="37" spans="1:29">
      <c r="A37" s="2395" t="s">
        <v>5960</v>
      </c>
      <c r="B37" s="2396">
        <f>SUM(B$7:B36)</f>
        <v>0</v>
      </c>
      <c r="C37" s="2396">
        <f>SUM(C$7:C36)</f>
        <v>0</v>
      </c>
      <c r="D37" s="2396">
        <f>SUM(D$6:D36)</f>
        <v>0</v>
      </c>
      <c r="E37" s="2396">
        <f>SUM(E$6:E36)</f>
        <v>0</v>
      </c>
      <c r="F37" s="2397">
        <f>SUM(F$6:F36)</f>
        <v>0</v>
      </c>
      <c r="G37" s="2397">
        <f>SUM(G$6:G36)</f>
        <v>0</v>
      </c>
      <c r="H37" s="2398">
        <f>SUM(H$6:H36)</f>
        <v>0</v>
      </c>
      <c r="I37" s="2396">
        <f>SUM(I$6:I36)</f>
        <v>0</v>
      </c>
      <c r="J37" s="2396">
        <f>SUM(J$6:J36)</f>
        <v>0</v>
      </c>
      <c r="K37" s="2396">
        <f>SUM(K$6:K36)</f>
        <v>0</v>
      </c>
      <c r="L37" s="2396">
        <f>SUM(L$6:L36)</f>
        <v>0</v>
      </c>
      <c r="M37" s="2396">
        <f>SUM(M$6:M36)</f>
        <v>0</v>
      </c>
      <c r="N37" s="2396">
        <f>SUM(N$6:N36)</f>
        <v>0</v>
      </c>
      <c r="O37" s="2396">
        <f>SUM(O$6:O36)</f>
        <v>0</v>
      </c>
      <c r="P37" s="2396">
        <f>SUM(P$6:P36)</f>
        <v>0</v>
      </c>
      <c r="Q37" s="2396">
        <f>SUM(Q$6:Q36)</f>
        <v>0</v>
      </c>
      <c r="R37" s="2396">
        <f>SUM(R$6:R36)</f>
        <v>0</v>
      </c>
      <c r="S37" s="2396">
        <f>SUM(S$6:S36)</f>
        <v>0</v>
      </c>
      <c r="T37" s="2396">
        <f>SUM(T$6:T36)</f>
        <v>0</v>
      </c>
      <c r="U37" s="2396">
        <f>SUM(U$6:U36)</f>
        <v>0</v>
      </c>
      <c r="V37" s="2396">
        <f>SUM(V$6:V36)</f>
        <v>0</v>
      </c>
      <c r="W37" s="2396">
        <f>SUM(W$6:W36)</f>
        <v>0</v>
      </c>
      <c r="X37" s="2396">
        <f>SUM(X$6:X36)</f>
        <v>0</v>
      </c>
      <c r="Y37" s="2398">
        <f>SUM(Y$6:Y36)</f>
        <v>0</v>
      </c>
      <c r="Z37" s="2396">
        <f>SUM(Z$6:Z36)</f>
        <v>0</v>
      </c>
      <c r="AA37" s="2396">
        <f>SUM(AA$6:AA36)</f>
        <v>0</v>
      </c>
      <c r="AB37" s="2396">
        <f>SUM(AB$6:AB36)</f>
        <v>0</v>
      </c>
      <c r="AC37" s="2396">
        <f>SUM(AC$6:AC36)</f>
        <v>0</v>
      </c>
    </row>
    <row r="40" spans="1:29">
      <c r="A40" s="2399" t="s">
        <v>1785</v>
      </c>
      <c r="B40" s="2400">
        <f>G37+F37</f>
        <v>0</v>
      </c>
      <c r="G40" s="2401"/>
    </row>
    <row r="41" spans="1:29">
      <c r="A41" s="2399" t="s">
        <v>1579</v>
      </c>
      <c r="B41" s="2402">
        <f>D37+E37</f>
        <v>0</v>
      </c>
    </row>
    <row r="42" spans="1:29">
      <c r="A42" s="2399" t="s">
        <v>701</v>
      </c>
      <c r="B42" s="2402"/>
    </row>
    <row r="43" spans="1:29">
      <c r="A43" s="2399" t="s">
        <v>1401</v>
      </c>
      <c r="B43" s="2402">
        <f>C37*4</f>
        <v>0</v>
      </c>
    </row>
    <row r="44" spans="1:29">
      <c r="A44" s="2399" t="s">
        <v>1692</v>
      </c>
      <c r="B44" s="2402">
        <f>B37</f>
        <v>0</v>
      </c>
    </row>
    <row r="45" spans="1:29">
      <c r="B45" s="2402"/>
    </row>
    <row r="46" spans="1:29">
      <c r="B46" s="2402"/>
    </row>
    <row r="47" spans="1:29">
      <c r="B47" s="2402"/>
    </row>
    <row r="48" spans="1:29">
      <c r="B48" s="2402"/>
    </row>
    <row r="49" spans="2:2">
      <c r="B49" s="2402"/>
    </row>
    <row r="50" spans="2:2">
      <c r="B50" s="2402"/>
    </row>
  </sheetData>
  <mergeCells count="18">
    <mergeCell ref="A2:AC2"/>
    <mergeCell ref="B4:B5"/>
    <mergeCell ref="A4:A5"/>
    <mergeCell ref="AC4:AC5"/>
    <mergeCell ref="AB4:AB5"/>
    <mergeCell ref="AA4:AA5"/>
    <mergeCell ref="H4:I4"/>
    <mergeCell ref="J4:K4"/>
    <mergeCell ref="C4:C5"/>
    <mergeCell ref="L4:M4"/>
    <mergeCell ref="F4:G4"/>
    <mergeCell ref="D4:E4"/>
    <mergeCell ref="Y4:Z4"/>
    <mergeCell ref="N4:O4"/>
    <mergeCell ref="W4:X4"/>
    <mergeCell ref="S4:U4"/>
    <mergeCell ref="P4:R4"/>
    <mergeCell ref="V4:V5"/>
  </mergeCells>
  <phoneticPr fontId="0" type="noConversion"/>
  <pageMargins left="0.98" right="0.12" top="0.81" bottom="0.76" header="0.5" footer="0.54"/>
  <pageSetup paperSize="9" orientation="portrait" blackAndWhite="1" useFirstPageNumber="1" r:id="rId1"/>
  <headerFooter alignWithMargins="0">
    <oddFooter>&amp;CBaûng keâ caùp ñeøn&amp;RPage&amp;P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8">
    <tabColor rgb="FFFF0000"/>
  </sheetPr>
  <dimension ref="A1:KR59"/>
  <sheetViews>
    <sheetView showGridLines="0" showZeros="0" topLeftCell="A4" zoomScale="85" zoomScaleNormal="85" workbookViewId="0">
      <pane xSplit="103" ySplit="2" topLeftCell="CZ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 outlineLevelRow="1"/>
  <cols>
    <col min="1" max="1" width="10.44140625" style="1889" customWidth="1"/>
    <col min="2" max="2" width="7.33203125" style="1847" hidden="1" customWidth="1"/>
    <col min="3" max="3" width="9" style="1847" customWidth="1"/>
    <col min="4" max="4" width="8.5546875" style="539" customWidth="1"/>
    <col min="5" max="9" width="3.6640625" style="539" hidden="1" customWidth="1"/>
    <col min="10" max="10" width="6.44140625" style="539" customWidth="1"/>
    <col min="11" max="11" width="5.88671875" style="539" hidden="1" customWidth="1"/>
    <col min="12" max="12" width="3.6640625" style="539" hidden="1" customWidth="1"/>
    <col min="13" max="13" width="7.109375" style="539" hidden="1" customWidth="1"/>
    <col min="14" max="14" width="6.44140625" style="539" customWidth="1"/>
    <col min="15" max="15" width="6.109375" style="1847" customWidth="1"/>
    <col min="16" max="16" width="5.5546875" style="1847" hidden="1" customWidth="1"/>
    <col min="17" max="20" width="3.6640625" style="1847" hidden="1" customWidth="1"/>
    <col min="21" max="21" width="7" style="1847" customWidth="1"/>
    <col min="22" max="22" width="5" style="1847" hidden="1" customWidth="1"/>
    <col min="23" max="23" width="3.88671875" style="1847" hidden="1" customWidth="1"/>
    <col min="24" max="30" width="3.6640625" style="1847" hidden="1" customWidth="1"/>
    <col min="31" max="31" width="6.109375" style="1847" hidden="1" customWidth="1"/>
    <col min="32" max="32" width="5.44140625" style="1847" hidden="1" customWidth="1"/>
    <col min="33" max="33" width="5.88671875" style="1847" hidden="1" customWidth="1"/>
    <col min="34" max="34" width="6.109375" style="1847" hidden="1" customWidth="1"/>
    <col min="35" max="35" width="5.88671875" style="1847" hidden="1" customWidth="1"/>
    <col min="36" max="36" width="6" style="1847" customWidth="1"/>
    <col min="37" max="37" width="5" style="1847" hidden="1" customWidth="1"/>
    <col min="38" max="38" width="3.88671875" style="1847" hidden="1" customWidth="1"/>
    <col min="39" max="41" width="3.6640625" style="1847" hidden="1" customWidth="1"/>
    <col min="42" max="42" width="3.88671875" style="1847" hidden="1" customWidth="1"/>
    <col min="43" max="48" width="3.6640625" style="1847" hidden="1" customWidth="1"/>
    <col min="49" max="50" width="5" style="1847" hidden="1" customWidth="1"/>
    <col min="51" max="55" width="3.6640625" style="1847" hidden="1" customWidth="1"/>
    <col min="56" max="57" width="3.88671875" style="1847" hidden="1" customWidth="1"/>
    <col min="58" max="58" width="3.6640625" style="1847" hidden="1" customWidth="1"/>
    <col min="59" max="59" width="5" style="1847" hidden="1" customWidth="1"/>
    <col min="60" max="60" width="3.6640625" style="1847" hidden="1" customWidth="1"/>
    <col min="61" max="61" width="3.88671875" style="1847" hidden="1" customWidth="1"/>
    <col min="62" max="72" width="3.6640625" style="1847" hidden="1" customWidth="1"/>
    <col min="73" max="73" width="5.5546875" style="1847" customWidth="1"/>
    <col min="74" max="74" width="5" style="1847" hidden="1" customWidth="1"/>
    <col min="75" max="76" width="3.6640625" style="1847" hidden="1" customWidth="1"/>
    <col min="77" max="77" width="6" style="1847" hidden="1" customWidth="1"/>
    <col min="78" max="81" width="3.6640625" style="1847" hidden="1" customWidth="1"/>
    <col min="82" max="82" width="6.109375" style="1847" hidden="1" customWidth="1"/>
    <col min="83" max="83" width="6.109375" style="1847" customWidth="1"/>
    <col min="84" max="84" width="3.6640625" style="1847" hidden="1" customWidth="1"/>
    <col min="85" max="85" width="6.5546875" style="1847" hidden="1" customWidth="1"/>
    <col min="86" max="86" width="3.88671875" style="1847" hidden="1" customWidth="1"/>
    <col min="87" max="87" width="6.109375" style="1847" customWidth="1"/>
    <col min="88" max="88" width="6" style="1847" customWidth="1"/>
    <col min="89" max="90" width="3.6640625" style="1847" hidden="1" customWidth="1"/>
    <col min="91" max="91" width="5.5546875" style="1847" customWidth="1"/>
    <col min="92" max="97" width="3.6640625" style="1847" hidden="1" customWidth="1"/>
    <col min="98" max="98" width="5" style="1847" hidden="1" customWidth="1"/>
    <col min="99" max="99" width="3.33203125" style="1847" hidden="1" customWidth="1"/>
    <col min="100" max="103" width="3.6640625" style="1847" hidden="1" customWidth="1"/>
    <col min="104" max="104" width="6.109375" style="1847" customWidth="1"/>
    <col min="105" max="105" width="6.109375" style="1847" bestFit="1" customWidth="1"/>
    <col min="106" max="107" width="3.6640625" style="1847" hidden="1" customWidth="1"/>
    <col min="108" max="108" width="6.109375" style="1847" bestFit="1" customWidth="1"/>
    <col min="109" max="110" width="3.88671875" style="1847" hidden="1" customWidth="1"/>
    <col min="111" max="111" width="5.6640625" style="1847" customWidth="1"/>
    <col min="112" max="113" width="3.6640625" style="1847" hidden="1" customWidth="1"/>
    <col min="114" max="114" width="5" style="1847" hidden="1" customWidth="1"/>
    <col min="115" max="115" width="3.88671875" style="1847" hidden="1" customWidth="1"/>
    <col min="116" max="116" width="3.6640625" style="1847" hidden="1" customWidth="1"/>
    <col min="117" max="117" width="5" style="1847" customWidth="1"/>
    <col min="118" max="118" width="5.109375" style="1847" customWidth="1"/>
    <col min="119" max="120" width="3.6640625" style="1847" hidden="1" customWidth="1"/>
    <col min="121" max="122" width="3.88671875" style="1847" hidden="1" customWidth="1"/>
    <col min="123" max="123" width="5" style="1847" hidden="1" customWidth="1"/>
    <col min="124" max="124" width="6.109375" style="1855" customWidth="1"/>
    <col min="125" max="129" width="3.6640625" style="1847" hidden="1" customWidth="1"/>
    <col min="130" max="130" width="5" style="1847" bestFit="1" customWidth="1"/>
    <col min="131" max="131" width="5.5546875" style="1847" customWidth="1"/>
    <col min="132" max="132" width="3.88671875" style="1847" hidden="1" customWidth="1"/>
    <col min="133" max="133" width="3.6640625" style="1847" hidden="1" customWidth="1"/>
    <col min="134" max="134" width="3.88671875" style="1847" hidden="1" customWidth="1"/>
    <col min="135" max="135" width="3.6640625" style="1847" hidden="1" customWidth="1"/>
    <col min="136" max="136" width="5" style="1847" hidden="1" customWidth="1"/>
    <col min="137" max="144" width="3.6640625" style="1847" hidden="1" customWidth="1"/>
    <col min="145" max="145" width="5" style="1847" hidden="1" customWidth="1"/>
    <col min="146" max="146" width="5.6640625" style="1847" customWidth="1"/>
    <col min="147" max="152" width="3.6640625" style="1847" hidden="1" customWidth="1"/>
    <col min="153" max="153" width="6.109375" style="1847" hidden="1" customWidth="1"/>
    <col min="154" max="157" width="3.6640625" style="1847" hidden="1" customWidth="1"/>
    <col min="158" max="158" width="7.88671875" style="1847" hidden="1" customWidth="1"/>
    <col min="159" max="161" width="3.6640625" style="1847" hidden="1" customWidth="1"/>
    <col min="162" max="162" width="7.88671875" style="1847" hidden="1" customWidth="1"/>
    <col min="163" max="169" width="3.6640625" style="1847" hidden="1" customWidth="1"/>
    <col min="170" max="170" width="8" style="1847" customWidth="1"/>
    <col min="171" max="174" width="3.6640625" style="1847" hidden="1" customWidth="1"/>
    <col min="175" max="175" width="7.88671875" style="1847" hidden="1" customWidth="1"/>
    <col min="176" max="177" width="3.6640625" style="1847" hidden="1" customWidth="1"/>
    <col min="178" max="178" width="6.6640625" style="1847" customWidth="1"/>
    <col min="179" max="179" width="6.109375" style="1847" hidden="1" customWidth="1"/>
    <col min="180" max="180" width="5" style="1847" hidden="1" customWidth="1"/>
    <col min="181" max="181" width="6.109375" style="1847" customWidth="1"/>
    <col min="182" max="182" width="3.6640625" style="1847" hidden="1" customWidth="1"/>
    <col min="183" max="184" width="5" style="1847" hidden="1" customWidth="1"/>
    <col min="185" max="187" width="3.6640625" style="1847" hidden="1" customWidth="1"/>
    <col min="188" max="188" width="5.44140625" style="1847" customWidth="1"/>
    <col min="189" max="189" width="5.33203125" style="1847" customWidth="1"/>
    <col min="190" max="190" width="5.33203125" style="1847" hidden="1" customWidth="1"/>
    <col min="191" max="192" width="3.6640625" style="1847" hidden="1" customWidth="1"/>
    <col min="193" max="193" width="6.109375" style="1847" customWidth="1"/>
    <col min="194" max="194" width="5.6640625" style="1847" customWidth="1"/>
    <col min="195" max="197" width="3.6640625" style="1847" hidden="1" customWidth="1"/>
    <col min="198" max="198" width="6.44140625" style="1847" hidden="1" customWidth="1"/>
    <col min="199" max="200" width="3.88671875" style="1847" hidden="1" customWidth="1"/>
    <col min="201" max="201" width="7.109375" style="1847" hidden="1" customWidth="1"/>
    <col min="202" max="202" width="3.6640625" style="1847" hidden="1" customWidth="1"/>
    <col min="203" max="203" width="3.88671875" style="1847" hidden="1" customWidth="1"/>
    <col min="204" max="204" width="6.109375" style="1847" customWidth="1"/>
    <col min="205" max="206" width="5" style="1847" hidden="1" customWidth="1"/>
    <col min="207" max="207" width="3.6640625" style="1847" hidden="1" customWidth="1"/>
    <col min="208" max="208" width="5" style="1847" customWidth="1"/>
    <col min="209" max="209" width="3.88671875" style="1847" hidden="1" customWidth="1"/>
    <col min="210" max="213" width="3.6640625" style="1847" hidden="1" customWidth="1"/>
    <col min="214" max="216" width="3.88671875" style="1847" hidden="1" customWidth="1"/>
    <col min="217" max="217" width="3.6640625" style="1847" hidden="1" customWidth="1"/>
    <col min="218" max="218" width="3.88671875" style="1847" hidden="1" customWidth="1"/>
    <col min="219" max="224" width="3.6640625" style="1847" hidden="1" customWidth="1"/>
    <col min="225" max="232" width="5" style="1847" hidden="1" customWidth="1"/>
    <col min="233" max="233" width="5.6640625" style="1847" customWidth="1"/>
    <col min="234" max="234" width="3.6640625" style="1847" hidden="1" customWidth="1"/>
    <col min="235" max="235" width="6.109375" style="1847" hidden="1" customWidth="1"/>
    <col min="236" max="237" width="3.6640625" style="1847" hidden="1" customWidth="1"/>
    <col min="238" max="238" width="7.88671875" style="1847" hidden="1" customWidth="1"/>
    <col min="239" max="242" width="3.6640625" style="1847" hidden="1" customWidth="1"/>
    <col min="243" max="243" width="5.5546875" style="1847" hidden="1" customWidth="1"/>
    <col min="244" max="244" width="9.5546875" style="1847" customWidth="1"/>
    <col min="245" max="247" width="3.6640625" style="1847" hidden="1" customWidth="1"/>
    <col min="248" max="248" width="7.88671875" style="1847" hidden="1" customWidth="1"/>
    <col min="249" max="250" width="3.6640625" style="1847" hidden="1" customWidth="1"/>
    <col min="251" max="251" width="0.6640625" style="1847" hidden="1" customWidth="1"/>
    <col min="252" max="252" width="5.5546875" style="1847" customWidth="1"/>
    <col min="253" max="254" width="3.6640625" style="1847" hidden="1" customWidth="1"/>
    <col min="255" max="255" width="6" style="1847" customWidth="1"/>
    <col min="256" max="256" width="6" style="1847" hidden="1" customWidth="1"/>
    <col min="257" max="260" width="3.6640625" style="1847" hidden="1" customWidth="1"/>
    <col min="261" max="261" width="5.5546875" style="1847" customWidth="1"/>
    <col min="262" max="262" width="6.44140625" style="1847" customWidth="1"/>
    <col min="263" max="263" width="5.44140625" style="1847" hidden="1" customWidth="1"/>
    <col min="264" max="265" width="3.6640625" style="1847" hidden="1" customWidth="1"/>
    <col min="266" max="267" width="6.109375" style="1847" customWidth="1"/>
    <col min="268" max="271" width="3.6640625" style="1847" hidden="1" customWidth="1"/>
    <col min="272" max="272" width="6.109375" style="1847" hidden="1" customWidth="1"/>
    <col min="273" max="273" width="5.33203125" style="1847" hidden="1" customWidth="1"/>
    <col min="274" max="274" width="5.6640625" style="1847" hidden="1" customWidth="1"/>
    <col min="275" max="275" width="3.6640625" style="1847" hidden="1" customWidth="1"/>
    <col min="276" max="276" width="5.88671875" style="1847" customWidth="1"/>
    <col min="277" max="277" width="3.6640625" style="1847" hidden="1" customWidth="1"/>
    <col min="278" max="278" width="3.88671875" style="1847" hidden="1" customWidth="1"/>
    <col min="279" max="279" width="3.6640625" style="1847" hidden="1" customWidth="1"/>
    <col min="280" max="280" width="5.5546875" style="1847" customWidth="1"/>
    <col min="281" max="281" width="3.88671875" style="1847" hidden="1" customWidth="1"/>
    <col min="282" max="285" width="3.6640625" style="1847" hidden="1" customWidth="1"/>
    <col min="286" max="288" width="3.88671875" style="1847" hidden="1" customWidth="1"/>
    <col min="289" max="289" width="3.6640625" style="1847" hidden="1" customWidth="1"/>
    <col min="290" max="290" width="3.88671875" style="1847" hidden="1" customWidth="1"/>
    <col min="291" max="291" width="3.6640625" style="1847" hidden="1" customWidth="1"/>
    <col min="292" max="295" width="5" style="1847" hidden="1" customWidth="1"/>
    <col min="296" max="296" width="3.88671875" style="1847" hidden="1" customWidth="1"/>
    <col min="297" max="297" width="5" style="1847" hidden="1" customWidth="1"/>
    <col min="298" max="298" width="3.88671875" style="1847" hidden="1" customWidth="1"/>
    <col min="299" max="300" width="3.6640625" style="1847" hidden="1" customWidth="1"/>
    <col min="301" max="301" width="6" style="1847" customWidth="1"/>
    <col min="302" max="302" width="7.44140625" style="1847" hidden="1" customWidth="1"/>
    <col min="303" max="303" width="10" style="1847" customWidth="1"/>
    <col min="304" max="16384" width="9.109375" style="1847"/>
  </cols>
  <sheetData>
    <row r="1" spans="1:304" ht="13.8"/>
    <row r="2" spans="1:304" s="536" customFormat="1" ht="19.5" customHeight="1">
      <c r="A2" s="2632" t="s">
        <v>5768</v>
      </c>
      <c r="B2" s="2632"/>
      <c r="C2" s="2632"/>
      <c r="D2" s="2632"/>
      <c r="E2" s="2632"/>
      <c r="F2" s="2632"/>
      <c r="G2" s="2632"/>
      <c r="H2" s="2632"/>
      <c r="I2" s="2632"/>
      <c r="J2" s="2632"/>
      <c r="K2" s="2632"/>
      <c r="L2" s="2632"/>
      <c r="M2" s="2632"/>
      <c r="N2" s="2632"/>
      <c r="O2" s="2632"/>
      <c r="P2" s="2632"/>
      <c r="Q2" s="2632"/>
      <c r="R2" s="2632"/>
      <c r="S2" s="2632"/>
      <c r="T2" s="2632"/>
      <c r="U2" s="2632"/>
      <c r="V2" s="2632"/>
      <c r="W2" s="2632"/>
      <c r="X2" s="2632"/>
      <c r="Y2" s="2632"/>
      <c r="Z2" s="2632"/>
      <c r="AA2" s="2632"/>
      <c r="AB2" s="2632"/>
      <c r="AC2" s="2632"/>
      <c r="AD2" s="2632"/>
      <c r="AE2" s="2632"/>
      <c r="AF2" s="2632"/>
      <c r="AG2" s="2632"/>
      <c r="AH2" s="2632"/>
      <c r="AI2" s="2632"/>
      <c r="AJ2" s="2632"/>
      <c r="AK2" s="2632"/>
      <c r="AL2" s="2632"/>
      <c r="AM2" s="2632"/>
      <c r="AN2" s="2632"/>
      <c r="AO2" s="2632"/>
      <c r="AP2" s="2632"/>
      <c r="AQ2" s="2632"/>
      <c r="AR2" s="2632"/>
      <c r="AS2" s="2632"/>
      <c r="AT2" s="2632"/>
      <c r="AU2" s="2632"/>
      <c r="AV2" s="2632"/>
      <c r="AW2" s="2632"/>
      <c r="AX2" s="2632"/>
      <c r="AY2" s="2632"/>
      <c r="AZ2" s="2632"/>
      <c r="BA2" s="2632"/>
      <c r="BB2" s="2632"/>
      <c r="BC2" s="2632"/>
      <c r="BD2" s="2632"/>
      <c r="BE2" s="2632"/>
      <c r="BF2" s="2632"/>
      <c r="BG2" s="2632"/>
      <c r="BH2" s="2632"/>
      <c r="BI2" s="2632"/>
      <c r="BJ2" s="2632"/>
      <c r="BK2" s="2632"/>
      <c r="BL2" s="2632"/>
      <c r="BM2" s="2632"/>
      <c r="BN2" s="2632"/>
      <c r="BO2" s="2632"/>
      <c r="BP2" s="2632"/>
      <c r="BQ2" s="2632"/>
      <c r="BR2" s="2632"/>
      <c r="BS2" s="2632"/>
      <c r="BT2" s="2632"/>
      <c r="BU2" s="2632"/>
      <c r="BV2" s="2632"/>
      <c r="BW2" s="2632"/>
      <c r="BX2" s="2632"/>
      <c r="BY2" s="2632"/>
      <c r="BZ2" s="2632"/>
      <c r="CA2" s="2632"/>
      <c r="CB2" s="2632"/>
      <c r="CC2" s="2632"/>
      <c r="CD2" s="2632"/>
      <c r="CE2" s="2632"/>
      <c r="CF2" s="2632"/>
      <c r="CG2" s="2632"/>
      <c r="CH2" s="2632"/>
      <c r="CI2" s="2632"/>
      <c r="CJ2" s="2632"/>
      <c r="CK2" s="2632"/>
      <c r="CL2" s="2632"/>
      <c r="CM2" s="2632"/>
      <c r="CN2" s="2632"/>
      <c r="CO2" s="2632"/>
      <c r="CP2" s="2632"/>
      <c r="CQ2" s="2632"/>
      <c r="CR2" s="2632"/>
      <c r="CS2" s="2632"/>
      <c r="CT2" s="2632"/>
      <c r="CU2" s="2632"/>
      <c r="CV2" s="2632"/>
      <c r="CW2" s="2632"/>
      <c r="CX2" s="2632"/>
      <c r="CY2" s="2632"/>
      <c r="CZ2" s="2632"/>
      <c r="DA2" s="2632"/>
      <c r="DB2" s="2632"/>
      <c r="DC2" s="2632"/>
      <c r="DD2" s="2632"/>
      <c r="DE2" s="2632"/>
      <c r="DF2" s="2632"/>
      <c r="DG2" s="2632"/>
      <c r="DH2" s="2632"/>
      <c r="DI2" s="2632"/>
      <c r="DJ2" s="2632"/>
      <c r="DK2" s="2632"/>
      <c r="DL2" s="2632"/>
      <c r="DM2" s="2632"/>
      <c r="DN2" s="2632"/>
      <c r="DO2" s="2632"/>
      <c r="DP2" s="2632"/>
      <c r="DQ2" s="2632"/>
      <c r="DR2" s="2632"/>
      <c r="DS2" s="2632"/>
      <c r="DT2" s="2632"/>
      <c r="DU2" s="2632"/>
      <c r="DV2" s="2632"/>
      <c r="DW2" s="2632"/>
      <c r="DX2" s="2632"/>
      <c r="DY2" s="2632"/>
      <c r="DZ2" s="2632"/>
      <c r="EA2" s="2632"/>
      <c r="EB2" s="2632"/>
      <c r="EC2" s="2632"/>
      <c r="ED2" s="2632"/>
      <c r="EE2" s="2632"/>
      <c r="EF2" s="2632"/>
      <c r="EG2" s="2632"/>
      <c r="EH2" s="2632"/>
      <c r="EI2" s="2632"/>
      <c r="EJ2" s="2632"/>
      <c r="EK2" s="2632"/>
      <c r="EL2" s="2632"/>
      <c r="EM2" s="2632"/>
      <c r="EN2" s="2632"/>
      <c r="EO2" s="2632"/>
      <c r="EP2" s="2632"/>
      <c r="EQ2" s="2632"/>
      <c r="ER2" s="2632"/>
      <c r="ES2" s="2632"/>
      <c r="ET2" s="2632"/>
      <c r="EU2" s="2632"/>
      <c r="EV2" s="2632"/>
      <c r="EW2" s="2632"/>
      <c r="EX2" s="2632"/>
      <c r="EY2" s="2632"/>
      <c r="EZ2" s="2632"/>
      <c r="FA2" s="2632"/>
      <c r="FB2" s="2632"/>
      <c r="FC2" s="2632"/>
      <c r="FD2" s="2632"/>
      <c r="FE2" s="2632"/>
      <c r="FF2" s="2632"/>
      <c r="FG2" s="2632"/>
      <c r="FH2" s="2632"/>
      <c r="FI2" s="2632"/>
      <c r="FJ2" s="2632"/>
      <c r="FK2" s="2632"/>
      <c r="FL2" s="2632"/>
      <c r="FM2" s="2632"/>
      <c r="FN2" s="2632"/>
      <c r="FO2" s="2632"/>
      <c r="FP2" s="2632"/>
      <c r="FQ2" s="2632"/>
      <c r="FR2" s="2632"/>
      <c r="FS2" s="2632"/>
      <c r="FT2" s="2632"/>
      <c r="FU2" s="2632"/>
      <c r="FV2" s="2632"/>
      <c r="FW2" s="2632"/>
      <c r="FX2" s="2632"/>
      <c r="FY2" s="2632"/>
      <c r="FZ2" s="2632"/>
      <c r="GA2" s="2632"/>
      <c r="GB2" s="2632"/>
      <c r="GC2" s="2632"/>
      <c r="GD2" s="2632"/>
      <c r="GE2" s="2632"/>
      <c r="GF2" s="2632"/>
      <c r="GG2" s="2632"/>
      <c r="GH2" s="2632"/>
      <c r="GI2" s="2632"/>
      <c r="GJ2" s="2632"/>
      <c r="GK2" s="2632"/>
      <c r="GL2" s="2632"/>
      <c r="GM2" s="2632"/>
      <c r="GN2" s="2632"/>
      <c r="GO2" s="2632"/>
      <c r="GP2" s="2632"/>
      <c r="GQ2" s="2632"/>
      <c r="GR2" s="2632"/>
      <c r="GS2" s="2632"/>
      <c r="GT2" s="2632"/>
      <c r="GU2" s="2632"/>
      <c r="GV2" s="2632"/>
      <c r="GW2" s="2632"/>
      <c r="GX2" s="2632"/>
      <c r="GY2" s="2632"/>
      <c r="GZ2" s="2632"/>
      <c r="HA2" s="2632"/>
      <c r="HB2" s="2632"/>
      <c r="HC2" s="2632"/>
      <c r="HD2" s="2632"/>
      <c r="HE2" s="2632"/>
      <c r="HF2" s="2632"/>
      <c r="HG2" s="2632"/>
      <c r="HH2" s="2632"/>
      <c r="HI2" s="2632"/>
      <c r="HJ2" s="2632"/>
      <c r="HK2" s="2632"/>
      <c r="HL2" s="2632"/>
      <c r="HM2" s="2632"/>
      <c r="HN2" s="2632"/>
      <c r="HO2" s="2632"/>
      <c r="HP2" s="2632"/>
      <c r="HQ2" s="2632"/>
      <c r="HR2" s="2632"/>
      <c r="HS2" s="2632"/>
      <c r="HT2" s="2632"/>
      <c r="HU2" s="2632"/>
      <c r="HV2" s="2632"/>
      <c r="HW2" s="2632"/>
      <c r="HX2" s="2632"/>
      <c r="HY2" s="2632"/>
      <c r="HZ2" s="2632"/>
      <c r="IA2" s="2632"/>
      <c r="IB2" s="2632"/>
      <c r="IC2" s="2632"/>
      <c r="ID2" s="2632"/>
      <c r="IE2" s="2632"/>
      <c r="IF2" s="2632"/>
      <c r="IG2" s="2632"/>
      <c r="IH2" s="2632"/>
      <c r="II2" s="2632"/>
      <c r="IJ2" s="2632"/>
      <c r="IK2" s="2632"/>
      <c r="IL2" s="2632"/>
      <c r="IM2" s="2632"/>
      <c r="IN2" s="2632"/>
      <c r="IO2" s="2632"/>
      <c r="IP2" s="2632"/>
      <c r="IQ2" s="2632"/>
      <c r="IR2" s="2632"/>
      <c r="IS2" s="2632"/>
      <c r="IT2" s="2632"/>
      <c r="IU2" s="2632"/>
      <c r="IV2" s="2632"/>
      <c r="IW2" s="2632"/>
      <c r="IX2" s="2632"/>
      <c r="IY2" s="2632"/>
      <c r="IZ2" s="2632"/>
      <c r="JA2" s="2632"/>
      <c r="JB2" s="2632"/>
      <c r="JC2" s="2632"/>
      <c r="JD2" s="2632"/>
      <c r="JE2" s="2632"/>
      <c r="JF2" s="2632"/>
      <c r="JG2" s="2632"/>
      <c r="JH2" s="2632"/>
      <c r="JI2" s="2632"/>
      <c r="JJ2" s="2632"/>
      <c r="JK2" s="2632"/>
      <c r="JL2" s="2632"/>
      <c r="JM2" s="2632"/>
      <c r="JN2" s="2632"/>
      <c r="JO2" s="2632"/>
      <c r="JP2" s="2632"/>
      <c r="JQ2" s="2632"/>
      <c r="JR2" s="2632"/>
      <c r="JS2" s="2632"/>
      <c r="JT2" s="2632"/>
      <c r="JU2" s="2632"/>
      <c r="JV2" s="2632"/>
      <c r="JW2" s="2632"/>
      <c r="JX2" s="2632"/>
      <c r="JY2" s="2632"/>
      <c r="JZ2" s="2632"/>
      <c r="KA2" s="2632"/>
      <c r="KB2" s="2632"/>
      <c r="KC2" s="2632"/>
      <c r="KD2" s="2632"/>
      <c r="KE2" s="2632"/>
      <c r="KF2" s="2632"/>
      <c r="KG2" s="2632"/>
      <c r="KH2" s="2632"/>
      <c r="KI2" s="2632"/>
      <c r="KJ2" s="2632"/>
      <c r="KK2" s="2632"/>
      <c r="KL2" s="2632"/>
      <c r="KM2" s="2632"/>
      <c r="KN2" s="2632"/>
      <c r="KO2" s="2632"/>
      <c r="KP2" s="2632"/>
      <c r="KQ2" s="2632"/>
    </row>
    <row r="3" spans="1:304" s="1850" customFormat="1" ht="24.75" customHeight="1" thickBot="1">
      <c r="A3" s="2633" t="str">
        <f>"CÔNG TRÌNH: "&amp;Solieu!C5</f>
        <v>CÔNG TRÌNH:  Đường dây trung thế 22kV và TBA 3P-1250kVA trang trại tổng hợp Nguyễn Đăng Nam</v>
      </c>
      <c r="B3" s="2633"/>
      <c r="C3" s="2633"/>
      <c r="D3" s="2633"/>
      <c r="E3" s="2633"/>
      <c r="F3" s="2633"/>
      <c r="G3" s="2633"/>
      <c r="H3" s="2633"/>
      <c r="I3" s="2633"/>
      <c r="J3" s="2633"/>
      <c r="K3" s="2633"/>
      <c r="L3" s="2633"/>
      <c r="M3" s="2633"/>
      <c r="N3" s="2633"/>
      <c r="O3" s="2633"/>
      <c r="P3" s="2633"/>
      <c r="Q3" s="2633"/>
      <c r="R3" s="2633"/>
      <c r="S3" s="2633"/>
      <c r="T3" s="2633"/>
      <c r="U3" s="2633"/>
      <c r="V3" s="2633"/>
      <c r="W3" s="2633"/>
      <c r="X3" s="2633"/>
      <c r="Y3" s="2633"/>
      <c r="Z3" s="2633"/>
      <c r="AA3" s="2633"/>
      <c r="AB3" s="2633"/>
      <c r="AC3" s="2633"/>
      <c r="AD3" s="2633"/>
      <c r="AE3" s="2633"/>
      <c r="AF3" s="2633"/>
      <c r="AG3" s="2633"/>
      <c r="AH3" s="2633"/>
      <c r="AI3" s="2633"/>
      <c r="AJ3" s="2633"/>
      <c r="AK3" s="2633"/>
      <c r="AL3" s="2633"/>
      <c r="AM3" s="2633"/>
      <c r="AN3" s="2633"/>
      <c r="AO3" s="2633"/>
      <c r="AP3" s="2633"/>
      <c r="AQ3" s="2633"/>
      <c r="AR3" s="2633"/>
      <c r="AS3" s="2633"/>
      <c r="AT3" s="2633"/>
      <c r="AU3" s="2633"/>
      <c r="AV3" s="2633"/>
      <c r="AW3" s="2633"/>
      <c r="AX3" s="2633"/>
      <c r="AY3" s="2633"/>
      <c r="AZ3" s="2633"/>
      <c r="BA3" s="2633"/>
      <c r="BB3" s="2633"/>
      <c r="BC3" s="2633"/>
      <c r="BD3" s="2633"/>
      <c r="BE3" s="2633"/>
      <c r="BF3" s="2633"/>
      <c r="BG3" s="2633"/>
      <c r="BH3" s="2633"/>
      <c r="BI3" s="2633"/>
      <c r="BJ3" s="2633"/>
      <c r="BK3" s="2633"/>
      <c r="BL3" s="2633"/>
      <c r="BM3" s="2633"/>
      <c r="BN3" s="2633"/>
      <c r="BO3" s="2633"/>
      <c r="BP3" s="2633"/>
      <c r="BQ3" s="2633"/>
      <c r="BR3" s="2633"/>
      <c r="BS3" s="2633"/>
      <c r="BT3" s="2633"/>
      <c r="BU3" s="2633"/>
      <c r="BV3" s="2633"/>
      <c r="BW3" s="2633"/>
      <c r="BX3" s="2633"/>
      <c r="BY3" s="2633"/>
      <c r="BZ3" s="2633"/>
      <c r="CA3" s="2633"/>
      <c r="CB3" s="2633"/>
      <c r="CC3" s="2633"/>
      <c r="CD3" s="2633"/>
      <c r="CE3" s="2633"/>
      <c r="CF3" s="2633"/>
      <c r="CG3" s="2633"/>
      <c r="CH3" s="2633"/>
      <c r="CI3" s="2633"/>
      <c r="CJ3" s="2633"/>
      <c r="CK3" s="2633"/>
      <c r="CL3" s="2633"/>
      <c r="CM3" s="2633"/>
      <c r="CN3" s="2633"/>
      <c r="CO3" s="2633"/>
      <c r="CP3" s="2633"/>
      <c r="CQ3" s="2633"/>
      <c r="CR3" s="2633"/>
      <c r="CS3" s="2633"/>
      <c r="CT3" s="2633"/>
      <c r="CU3" s="2633"/>
      <c r="CV3" s="2633"/>
      <c r="CW3" s="2633"/>
      <c r="CX3" s="2633"/>
      <c r="CY3" s="2633"/>
      <c r="CZ3" s="2633"/>
      <c r="DA3" s="2633"/>
      <c r="DB3" s="2633"/>
      <c r="DC3" s="2633"/>
      <c r="DD3" s="2633"/>
      <c r="DE3" s="2633"/>
      <c r="DF3" s="2633"/>
      <c r="DG3" s="2633"/>
      <c r="DH3" s="2633"/>
      <c r="DI3" s="2633"/>
      <c r="DJ3" s="2633"/>
      <c r="DK3" s="2633"/>
      <c r="DL3" s="2633"/>
      <c r="DM3" s="2633"/>
      <c r="DN3" s="2633"/>
      <c r="DO3" s="2633"/>
      <c r="DP3" s="2633"/>
      <c r="DQ3" s="2633"/>
      <c r="DR3" s="2633"/>
      <c r="DS3" s="2633"/>
      <c r="DT3" s="2633"/>
      <c r="DU3" s="2633"/>
      <c r="DV3" s="2633"/>
      <c r="DW3" s="2633"/>
      <c r="DX3" s="2633"/>
      <c r="DY3" s="2633"/>
      <c r="DZ3" s="2633"/>
      <c r="EA3" s="2633"/>
      <c r="EB3" s="2633"/>
      <c r="EC3" s="2633"/>
      <c r="ED3" s="2633"/>
      <c r="EE3" s="2633"/>
      <c r="EF3" s="2633"/>
      <c r="EG3" s="2633"/>
      <c r="EH3" s="2633"/>
      <c r="EI3" s="2633"/>
      <c r="EJ3" s="2633"/>
      <c r="EK3" s="2633"/>
      <c r="EL3" s="2633"/>
      <c r="EM3" s="2633"/>
      <c r="EN3" s="2633"/>
      <c r="EO3" s="2633"/>
      <c r="EP3" s="2633"/>
      <c r="EQ3" s="2633"/>
      <c r="ER3" s="2633"/>
      <c r="ES3" s="2633"/>
      <c r="ET3" s="2633"/>
      <c r="EU3" s="2633"/>
      <c r="EV3" s="2633"/>
      <c r="EW3" s="2633"/>
      <c r="EX3" s="2633"/>
      <c r="EY3" s="2633"/>
      <c r="EZ3" s="2633"/>
      <c r="FA3" s="2633"/>
      <c r="FB3" s="2633"/>
      <c r="FC3" s="2633"/>
      <c r="FD3" s="2633"/>
      <c r="FE3" s="2633"/>
      <c r="FF3" s="2633"/>
      <c r="FG3" s="2633"/>
      <c r="FH3" s="2633"/>
      <c r="FI3" s="2633"/>
      <c r="FJ3" s="2633"/>
      <c r="FK3" s="2633"/>
      <c r="FL3" s="2633"/>
      <c r="FM3" s="2633"/>
      <c r="FN3" s="2633"/>
      <c r="FO3" s="2633"/>
      <c r="FP3" s="2633"/>
      <c r="FQ3" s="2633"/>
      <c r="FR3" s="2633"/>
      <c r="FS3" s="2633"/>
      <c r="FT3" s="2633"/>
      <c r="FU3" s="2633"/>
      <c r="FV3" s="2633"/>
      <c r="FW3" s="2633"/>
      <c r="FX3" s="2633"/>
      <c r="FY3" s="2633"/>
      <c r="FZ3" s="2633"/>
      <c r="GA3" s="2633"/>
      <c r="GB3" s="2633"/>
      <c r="GC3" s="2633"/>
      <c r="GD3" s="2633"/>
      <c r="GE3" s="2633"/>
      <c r="GF3" s="2633"/>
      <c r="GG3" s="2633"/>
      <c r="GH3" s="2633"/>
      <c r="GI3" s="2633"/>
      <c r="GJ3" s="2633"/>
      <c r="GK3" s="2633"/>
      <c r="GL3" s="2633"/>
      <c r="GM3" s="2633"/>
      <c r="GN3" s="2633"/>
      <c r="GO3" s="2633"/>
      <c r="GP3" s="2633"/>
      <c r="GQ3" s="2633"/>
      <c r="GR3" s="2633"/>
      <c r="GS3" s="2633"/>
      <c r="GT3" s="2633"/>
      <c r="GU3" s="2633"/>
      <c r="GV3" s="2633"/>
      <c r="GW3" s="2633"/>
      <c r="GX3" s="2633"/>
      <c r="GY3" s="2633"/>
      <c r="GZ3" s="2633"/>
      <c r="HA3" s="2633"/>
      <c r="HB3" s="2633"/>
      <c r="HC3" s="2633"/>
      <c r="HD3" s="2633"/>
      <c r="HE3" s="2633"/>
      <c r="HF3" s="2633"/>
      <c r="HG3" s="2633"/>
      <c r="HH3" s="2633"/>
      <c r="HI3" s="2633"/>
      <c r="HJ3" s="2633"/>
      <c r="HK3" s="2633"/>
      <c r="HL3" s="2633"/>
      <c r="HM3" s="2633"/>
      <c r="HN3" s="2633"/>
      <c r="HO3" s="2633"/>
      <c r="HP3" s="2633"/>
      <c r="HQ3" s="2633"/>
      <c r="HR3" s="2633"/>
      <c r="HS3" s="2633"/>
      <c r="HT3" s="2633"/>
      <c r="HU3" s="2633"/>
      <c r="HV3" s="2633"/>
      <c r="HW3" s="2633"/>
      <c r="HX3" s="2633"/>
      <c r="HY3" s="2633"/>
      <c r="HZ3" s="2633"/>
      <c r="IA3" s="2633"/>
      <c r="IB3" s="2633"/>
      <c r="IC3" s="2633"/>
      <c r="ID3" s="2633"/>
      <c r="IE3" s="2633"/>
      <c r="IF3" s="2633"/>
      <c r="IG3" s="2633"/>
      <c r="IH3" s="2633"/>
      <c r="II3" s="2633"/>
      <c r="IJ3" s="2633"/>
      <c r="IK3" s="2633"/>
      <c r="IL3" s="2633"/>
      <c r="IM3" s="2633"/>
      <c r="IN3" s="2633"/>
      <c r="IO3" s="2633"/>
      <c r="IP3" s="2633"/>
      <c r="IQ3" s="2633"/>
      <c r="IR3" s="2633"/>
      <c r="IS3" s="2633"/>
      <c r="IT3" s="2633"/>
      <c r="IU3" s="2633"/>
      <c r="IV3" s="2633"/>
      <c r="IW3" s="2633"/>
      <c r="IX3" s="2633"/>
      <c r="IY3" s="2633"/>
      <c r="IZ3" s="2633"/>
      <c r="JA3" s="2633"/>
      <c r="JB3" s="2633"/>
      <c r="JC3" s="2633"/>
      <c r="JD3" s="2633"/>
      <c r="JE3" s="2633"/>
      <c r="JF3" s="2633"/>
      <c r="JG3" s="2633"/>
      <c r="JH3" s="2633"/>
      <c r="JI3" s="2633"/>
      <c r="JJ3" s="2633"/>
      <c r="JK3" s="2633"/>
      <c r="JL3" s="2633"/>
      <c r="JM3" s="2633"/>
      <c r="JN3" s="2633"/>
      <c r="JO3" s="2633"/>
      <c r="JP3" s="2633"/>
      <c r="JQ3" s="2633"/>
      <c r="JR3" s="2633"/>
      <c r="JS3" s="2633"/>
      <c r="JT3" s="2633"/>
      <c r="JU3" s="2633"/>
      <c r="JV3" s="2633"/>
      <c r="JW3" s="2633"/>
      <c r="JX3" s="2633"/>
      <c r="JY3" s="2633"/>
      <c r="JZ3" s="2633"/>
      <c r="KA3" s="2633"/>
      <c r="KB3" s="2633"/>
      <c r="KC3" s="2633"/>
      <c r="KD3" s="2633"/>
      <c r="KE3" s="2633"/>
      <c r="KF3" s="2633"/>
      <c r="KG3" s="2633"/>
      <c r="KH3" s="2633"/>
      <c r="KI3" s="2633"/>
      <c r="KJ3" s="2633"/>
      <c r="KK3" s="2633"/>
      <c r="KL3" s="2633"/>
      <c r="KM3" s="2633"/>
      <c r="KN3" s="2633"/>
      <c r="KO3" s="2633"/>
      <c r="KP3" s="2633"/>
      <c r="KQ3" s="2633"/>
    </row>
    <row r="4" spans="1:304" ht="22.5" customHeight="1" thickTop="1">
      <c r="A4" s="2634" t="s">
        <v>3976</v>
      </c>
      <c r="B4" s="2610" t="s">
        <v>4771</v>
      </c>
      <c r="C4" s="2616" t="s">
        <v>4769</v>
      </c>
      <c r="D4" s="2620" t="s">
        <v>5771</v>
      </c>
      <c r="E4" s="2612" t="s">
        <v>2125</v>
      </c>
      <c r="F4" s="2612" t="s">
        <v>2131</v>
      </c>
      <c r="G4" s="2612" t="s">
        <v>4450</v>
      </c>
      <c r="H4" s="2612" t="s">
        <v>4749</v>
      </c>
      <c r="I4" s="2612" t="s">
        <v>4764</v>
      </c>
      <c r="J4" s="2612" t="s">
        <v>4033</v>
      </c>
      <c r="K4" s="2612" t="s">
        <v>4559</v>
      </c>
      <c r="L4" s="2612" t="s">
        <v>4773</v>
      </c>
      <c r="M4" s="2612" t="s">
        <v>5770</v>
      </c>
      <c r="N4" s="2612" t="s">
        <v>5756</v>
      </c>
      <c r="O4" s="2614" t="s">
        <v>3927</v>
      </c>
      <c r="P4" s="812" t="s">
        <v>1133</v>
      </c>
      <c r="Q4" s="813"/>
      <c r="R4" s="813"/>
      <c r="S4" s="813"/>
      <c r="T4" s="813"/>
      <c r="U4" s="1846" t="s">
        <v>1133</v>
      </c>
      <c r="V4" s="813"/>
      <c r="W4" s="813"/>
      <c r="X4" s="812" t="s">
        <v>3391</v>
      </c>
      <c r="Y4" s="813"/>
      <c r="Z4" s="813"/>
      <c r="AA4" s="813"/>
      <c r="AB4" s="813"/>
      <c r="AC4" s="813"/>
      <c r="AD4" s="813"/>
      <c r="AE4" s="2618" t="s">
        <v>3391</v>
      </c>
      <c r="AF4" s="2618"/>
      <c r="AG4" s="2618"/>
      <c r="AH4" s="2618"/>
      <c r="AI4" s="2618"/>
      <c r="AJ4" s="2619"/>
      <c r="AK4" s="813"/>
      <c r="AL4" s="813"/>
      <c r="AM4" s="813"/>
      <c r="AN4" s="813"/>
      <c r="AO4" s="813"/>
      <c r="AP4" s="813"/>
      <c r="AQ4" s="813"/>
      <c r="AR4" s="2622" t="s">
        <v>3978</v>
      </c>
      <c r="AS4" s="2618"/>
      <c r="AT4" s="2618"/>
      <c r="AU4" s="2618"/>
      <c r="AV4" s="2618"/>
      <c r="AW4" s="2618"/>
      <c r="AX4" s="2618"/>
      <c r="AY4" s="2618"/>
      <c r="AZ4" s="2618"/>
      <c r="BA4" s="2618"/>
      <c r="BB4" s="2618"/>
      <c r="BC4" s="2618"/>
      <c r="BD4" s="2619"/>
      <c r="BE4" s="2622" t="s">
        <v>4285</v>
      </c>
      <c r="BF4" s="2618"/>
      <c r="BG4" s="2618"/>
      <c r="BH4" s="2618"/>
      <c r="BI4" s="2618"/>
      <c r="BJ4" s="2618"/>
      <c r="BK4" s="2618"/>
      <c r="BL4" s="2618"/>
      <c r="BM4" s="2618"/>
      <c r="BN4" s="2618"/>
      <c r="BO4" s="2618"/>
      <c r="BP4" s="2618"/>
      <c r="BQ4" s="2614" t="s">
        <v>3542</v>
      </c>
      <c r="BR4" s="2614" t="s">
        <v>3543</v>
      </c>
      <c r="BS4" s="2614" t="s">
        <v>3551</v>
      </c>
      <c r="BT4" s="2614" t="s">
        <v>3545</v>
      </c>
      <c r="BU4" s="2614" t="s">
        <v>3931</v>
      </c>
      <c r="BV4" s="2608" t="s">
        <v>3546</v>
      </c>
      <c r="BW4" s="2614" t="s">
        <v>3549</v>
      </c>
      <c r="BX4" s="2614" t="s">
        <v>3547</v>
      </c>
      <c r="BY4" s="2622" t="s">
        <v>4286</v>
      </c>
      <c r="BZ4" s="2618"/>
      <c r="CA4" s="2618"/>
      <c r="CB4" s="2618"/>
      <c r="CC4" s="2618"/>
      <c r="CD4" s="2618"/>
      <c r="CE4" s="2618"/>
      <c r="CF4" s="2618"/>
      <c r="CG4" s="2618"/>
      <c r="CH4" s="2618"/>
      <c r="CI4" s="2618"/>
      <c r="CJ4" s="2618"/>
      <c r="CK4" s="2618"/>
      <c r="CL4" s="2618"/>
      <c r="CM4" s="2618"/>
      <c r="CN4" s="2618"/>
      <c r="CO4" s="2618"/>
      <c r="CP4" s="2618"/>
      <c r="CQ4" s="2618"/>
      <c r="CR4" s="2618"/>
      <c r="CS4" s="2618"/>
      <c r="CT4" s="2618"/>
      <c r="CU4" s="2618"/>
      <c r="CV4" s="2618"/>
      <c r="CW4" s="2619"/>
      <c r="CX4" s="2606" t="s">
        <v>4036</v>
      </c>
      <c r="CY4" s="2606" t="s">
        <v>4037</v>
      </c>
      <c r="CZ4" s="2606" t="s">
        <v>4470</v>
      </c>
      <c r="DA4" s="2627" t="s">
        <v>4177</v>
      </c>
      <c r="DB4" s="2606" t="s">
        <v>4284</v>
      </c>
      <c r="DC4" s="2606" t="s">
        <v>4290</v>
      </c>
      <c r="DD4" s="2606" t="s">
        <v>4178</v>
      </c>
      <c r="DE4" s="2606" t="s">
        <v>4039</v>
      </c>
      <c r="DF4" s="2606" t="s">
        <v>4181</v>
      </c>
      <c r="DG4" s="2627" t="s">
        <v>4182</v>
      </c>
      <c r="DH4" s="2606" t="s">
        <v>4752</v>
      </c>
      <c r="DI4" s="2606" t="s">
        <v>4753</v>
      </c>
      <c r="DJ4" s="2606" t="s">
        <v>4048</v>
      </c>
      <c r="DK4" s="2606" t="s">
        <v>4049</v>
      </c>
      <c r="DL4" s="2606" t="s">
        <v>4050</v>
      </c>
      <c r="DM4" s="2606" t="s">
        <v>2512</v>
      </c>
      <c r="DN4" s="2606" t="s">
        <v>1931</v>
      </c>
      <c r="DO4" s="2606" t="s">
        <v>2513</v>
      </c>
      <c r="DP4" s="2606" t="s">
        <v>616</v>
      </c>
      <c r="DQ4" s="2606" t="s">
        <v>4751</v>
      </c>
      <c r="DR4" s="2606" t="s">
        <v>4614</v>
      </c>
      <c r="DS4" s="2606" t="s">
        <v>4768</v>
      </c>
      <c r="DT4" s="2606" t="s">
        <v>5765</v>
      </c>
      <c r="DU4" s="2606" t="s">
        <v>4754</v>
      </c>
      <c r="DV4" s="2606" t="s">
        <v>4755</v>
      </c>
      <c r="DW4" s="2606" t="s">
        <v>4756</v>
      </c>
      <c r="DX4" s="2606" t="s">
        <v>4757</v>
      </c>
      <c r="DY4" s="2606" t="s">
        <v>4758</v>
      </c>
      <c r="DZ4" s="2606" t="s">
        <v>4614</v>
      </c>
      <c r="EA4" s="2606" t="s">
        <v>4051</v>
      </c>
      <c r="EB4" s="2606" t="s">
        <v>4052</v>
      </c>
      <c r="EC4" s="2606" t="s">
        <v>4053</v>
      </c>
      <c r="ED4" s="2606" t="s">
        <v>4054</v>
      </c>
      <c r="EE4" s="2606" t="s">
        <v>4055</v>
      </c>
      <c r="EF4" s="2606" t="s">
        <v>4056</v>
      </c>
      <c r="EG4" s="2606" t="s">
        <v>4057</v>
      </c>
      <c r="EH4" s="2606" t="s">
        <v>4058</v>
      </c>
      <c r="EI4" s="2606" t="s">
        <v>4203</v>
      </c>
      <c r="EJ4" s="2606" t="s">
        <v>4059</v>
      </c>
      <c r="EK4" s="2606" t="s">
        <v>4060</v>
      </c>
      <c r="EL4" s="2606" t="s">
        <v>4061</v>
      </c>
      <c r="EM4" s="2606" t="s">
        <v>4062</v>
      </c>
      <c r="EN4" s="2606" t="s">
        <v>4063</v>
      </c>
      <c r="EO4" s="2606" t="s">
        <v>1918</v>
      </c>
      <c r="EP4" s="2606" t="s">
        <v>1772</v>
      </c>
      <c r="EQ4" s="2606" t="s">
        <v>1822</v>
      </c>
      <c r="ER4" s="2606" t="s">
        <v>1300</v>
      </c>
      <c r="ES4" s="2606" t="s">
        <v>1830</v>
      </c>
      <c r="ET4" s="2606" t="s">
        <v>287</v>
      </c>
      <c r="EU4" s="2606" t="s">
        <v>303</v>
      </c>
      <c r="EV4" s="2606" t="s">
        <v>1208</v>
      </c>
      <c r="EW4" s="758"/>
      <c r="EX4" s="2629" t="s">
        <v>5782</v>
      </c>
      <c r="EY4" s="2630"/>
      <c r="EZ4" s="2630"/>
      <c r="FA4" s="2630"/>
      <c r="FB4" s="2630"/>
      <c r="FC4" s="2630"/>
      <c r="FD4" s="2630"/>
      <c r="FE4" s="2630"/>
      <c r="FF4" s="2630"/>
      <c r="FG4" s="2630"/>
      <c r="FH4" s="2630"/>
      <c r="FI4" s="2630"/>
      <c r="FJ4" s="2630"/>
      <c r="FK4" s="2630"/>
      <c r="FL4" s="2630"/>
      <c r="FM4" s="2630"/>
      <c r="FN4" s="2630"/>
      <c r="FO4" s="2630"/>
      <c r="FP4" s="2630"/>
      <c r="FQ4" s="2630"/>
      <c r="FR4" s="2630"/>
      <c r="FS4" s="2630"/>
      <c r="FT4" s="2630"/>
      <c r="FU4" s="2630"/>
      <c r="FV4" s="2630"/>
      <c r="FW4" s="2630"/>
      <c r="FX4" s="2630"/>
      <c r="FY4" s="2630"/>
      <c r="FZ4" s="2630"/>
      <c r="GA4" s="2630"/>
      <c r="GB4" s="2630"/>
      <c r="GC4" s="2630"/>
      <c r="GD4" s="2630"/>
      <c r="GE4" s="2630"/>
      <c r="GF4" s="2630"/>
      <c r="GG4" s="2630"/>
      <c r="GH4" s="2630"/>
      <c r="GI4" s="2630"/>
      <c r="GJ4" s="2630"/>
      <c r="GK4" s="2630"/>
      <c r="GL4" s="2630"/>
      <c r="GM4" s="2630"/>
      <c r="GN4" s="2630"/>
      <c r="GO4" s="2630"/>
      <c r="GP4" s="2630"/>
      <c r="GQ4" s="2630"/>
      <c r="GR4" s="2630"/>
      <c r="GS4" s="2630"/>
      <c r="GT4" s="2630"/>
      <c r="GU4" s="2630"/>
      <c r="GV4" s="2630"/>
      <c r="GW4" s="2630"/>
      <c r="GX4" s="2630"/>
      <c r="GY4" s="2630"/>
      <c r="GZ4" s="2630"/>
      <c r="HA4" s="2630"/>
      <c r="HB4" s="2630"/>
      <c r="HC4" s="2630"/>
      <c r="HD4" s="2630"/>
      <c r="HE4" s="2630"/>
      <c r="HF4" s="2630"/>
      <c r="HG4" s="2630"/>
      <c r="HH4" s="2630"/>
      <c r="HI4" s="2630"/>
      <c r="HJ4" s="2630"/>
      <c r="HK4" s="2630"/>
      <c r="HL4" s="2630"/>
      <c r="HM4" s="2630"/>
      <c r="HN4" s="2630"/>
      <c r="HO4" s="2630"/>
      <c r="HP4" s="2630"/>
      <c r="HQ4" s="2630"/>
      <c r="HR4" s="2630"/>
      <c r="HS4" s="2630"/>
      <c r="HT4" s="2630"/>
      <c r="HU4" s="2630"/>
      <c r="HV4" s="2630"/>
      <c r="HW4" s="2630"/>
      <c r="HX4" s="2630"/>
      <c r="HY4" s="2630"/>
      <c r="HZ4" s="2630"/>
      <c r="IA4" s="2630"/>
      <c r="IB4" s="2630"/>
      <c r="IC4" s="2630"/>
      <c r="ID4" s="2630"/>
      <c r="IE4" s="2630"/>
      <c r="IF4" s="2630"/>
      <c r="IG4" s="2630"/>
      <c r="IH4" s="2630"/>
      <c r="II4" s="2630"/>
      <c r="IJ4" s="2630"/>
      <c r="IK4" s="2630"/>
      <c r="IL4" s="2630"/>
      <c r="IM4" s="2630"/>
      <c r="IN4" s="2630"/>
      <c r="IO4" s="2630"/>
      <c r="IP4" s="2630"/>
      <c r="IQ4" s="2630"/>
      <c r="IR4" s="2630"/>
      <c r="IS4" s="2630"/>
      <c r="IT4" s="2630"/>
      <c r="IU4" s="2630"/>
      <c r="IV4" s="2630"/>
      <c r="IW4" s="2630"/>
      <c r="IX4" s="2630"/>
      <c r="IY4" s="2630"/>
      <c r="IZ4" s="2630"/>
      <c r="JA4" s="2630"/>
      <c r="JB4" s="2630"/>
      <c r="JC4" s="2630"/>
      <c r="JD4" s="2630"/>
      <c r="JE4" s="2630"/>
      <c r="JF4" s="2630"/>
      <c r="JG4" s="2630"/>
      <c r="JH4" s="2630"/>
      <c r="JI4" s="2630"/>
      <c r="JJ4" s="2630"/>
      <c r="JK4" s="2630"/>
      <c r="JL4" s="2630"/>
      <c r="JM4" s="2630"/>
      <c r="JN4" s="2630"/>
      <c r="JO4" s="2630"/>
      <c r="JP4" s="2630"/>
      <c r="JQ4" s="2630"/>
      <c r="JR4" s="2630"/>
      <c r="JS4" s="2630"/>
      <c r="JT4" s="2630"/>
      <c r="JU4" s="2630"/>
      <c r="JV4" s="2630"/>
      <c r="JW4" s="2630"/>
      <c r="JX4" s="2630"/>
      <c r="JY4" s="2630"/>
      <c r="JZ4" s="2630"/>
      <c r="KA4" s="2630"/>
      <c r="KB4" s="2630"/>
      <c r="KC4" s="2630"/>
      <c r="KD4" s="2630"/>
      <c r="KE4" s="2630"/>
      <c r="KF4" s="2630"/>
      <c r="KG4" s="2630"/>
      <c r="KH4" s="2630"/>
      <c r="KI4" s="2630"/>
      <c r="KJ4" s="2630"/>
      <c r="KK4" s="2630"/>
      <c r="KL4" s="2630"/>
      <c r="KM4" s="2630"/>
      <c r="KN4" s="2630"/>
      <c r="KO4" s="2631"/>
      <c r="KP4" s="814"/>
      <c r="KQ4" s="2623" t="s">
        <v>3373</v>
      </c>
    </row>
    <row r="5" spans="1:304" s="536" customFormat="1" ht="150" customHeight="1">
      <c r="A5" s="2635"/>
      <c r="B5" s="2611"/>
      <c r="C5" s="2617"/>
      <c r="D5" s="2621"/>
      <c r="E5" s="2613"/>
      <c r="F5" s="2613"/>
      <c r="G5" s="2613"/>
      <c r="H5" s="2613"/>
      <c r="I5" s="2613"/>
      <c r="J5" s="2613"/>
      <c r="K5" s="2613"/>
      <c r="L5" s="2613"/>
      <c r="M5" s="2613"/>
      <c r="N5" s="2613"/>
      <c r="O5" s="2615"/>
      <c r="P5" s="1848" t="s">
        <v>4174</v>
      </c>
      <c r="Q5" s="1848" t="s">
        <v>4175</v>
      </c>
      <c r="R5" s="1848" t="s">
        <v>1438</v>
      </c>
      <c r="S5" s="1848" t="s">
        <v>816</v>
      </c>
      <c r="T5" s="1848" t="s">
        <v>621</v>
      </c>
      <c r="U5" s="1848" t="s">
        <v>650</v>
      </c>
      <c r="V5" s="1848" t="s">
        <v>2141</v>
      </c>
      <c r="W5" s="1848" t="s">
        <v>623</v>
      </c>
      <c r="X5" s="1848" t="s">
        <v>515</v>
      </c>
      <c r="Y5" s="1848" t="s">
        <v>3710</v>
      </c>
      <c r="Z5" s="1848" t="s">
        <v>3711</v>
      </c>
      <c r="AA5" s="1848" t="s">
        <v>646</v>
      </c>
      <c r="AB5" s="1848" t="s">
        <v>338</v>
      </c>
      <c r="AC5" s="1848" t="s">
        <v>4034</v>
      </c>
      <c r="AD5" s="1848" t="s">
        <v>3713</v>
      </c>
      <c r="AE5" s="1848" t="s">
        <v>988</v>
      </c>
      <c r="AF5" s="1848" t="s">
        <v>624</v>
      </c>
      <c r="AG5" s="1848" t="s">
        <v>938</v>
      </c>
      <c r="AH5" s="1848" t="s">
        <v>3735</v>
      </c>
      <c r="AI5" s="1848" t="s">
        <v>3736</v>
      </c>
      <c r="AJ5" s="1848" t="s">
        <v>3737</v>
      </c>
      <c r="AK5" s="1845" t="s">
        <v>4790</v>
      </c>
      <c r="AL5" s="1845" t="s">
        <v>4789</v>
      </c>
      <c r="AM5" s="1848" t="s">
        <v>298</v>
      </c>
      <c r="AN5" s="1848" t="s">
        <v>1706</v>
      </c>
      <c r="AO5" s="1848" t="s">
        <v>1727</v>
      </c>
      <c r="AP5" s="1848" t="s">
        <v>3738</v>
      </c>
      <c r="AQ5" s="1848" t="s">
        <v>3739</v>
      </c>
      <c r="AR5" s="1848" t="s">
        <v>1612</v>
      </c>
      <c r="AS5" s="1848" t="s">
        <v>1611</v>
      </c>
      <c r="AT5" s="1848" t="s">
        <v>1482</v>
      </c>
      <c r="AU5" s="1848" t="s">
        <v>1483</v>
      </c>
      <c r="AV5" s="1848" t="s">
        <v>1484</v>
      </c>
      <c r="AW5" s="1848" t="s">
        <v>1833</v>
      </c>
      <c r="AX5" s="1848" t="s">
        <v>1834</v>
      </c>
      <c r="AY5" s="1848" t="s">
        <v>1835</v>
      </c>
      <c r="AZ5" s="534" t="s">
        <v>1836</v>
      </c>
      <c r="BA5" s="534" t="s">
        <v>676</v>
      </c>
      <c r="BB5" s="534" t="s">
        <v>1587</v>
      </c>
      <c r="BC5" s="534" t="s">
        <v>1726</v>
      </c>
      <c r="BD5" s="1848" t="s">
        <v>1725</v>
      </c>
      <c r="BE5" s="1848" t="s">
        <v>2042</v>
      </c>
      <c r="BF5" s="1848" t="s">
        <v>2043</v>
      </c>
      <c r="BG5" s="1848" t="s">
        <v>4838</v>
      </c>
      <c r="BH5" s="1848" t="s">
        <v>4839</v>
      </c>
      <c r="BI5" s="1848" t="s">
        <v>1759</v>
      </c>
      <c r="BJ5" s="1848" t="s">
        <v>90</v>
      </c>
      <c r="BK5" s="1848" t="s">
        <v>787</v>
      </c>
      <c r="BL5" s="1848" t="s">
        <v>91</v>
      </c>
      <c r="BM5" s="1848" t="s">
        <v>1254</v>
      </c>
      <c r="BN5" s="1848" t="s">
        <v>92</v>
      </c>
      <c r="BO5" s="1848" t="s">
        <v>1376</v>
      </c>
      <c r="BP5" s="1848" t="s">
        <v>93</v>
      </c>
      <c r="BQ5" s="2615"/>
      <c r="BR5" s="2615"/>
      <c r="BS5" s="2615"/>
      <c r="BT5" s="2615"/>
      <c r="BU5" s="2615"/>
      <c r="BV5" s="2609"/>
      <c r="BW5" s="2615"/>
      <c r="BX5" s="2615"/>
      <c r="BY5" s="1848" t="s">
        <v>3720</v>
      </c>
      <c r="BZ5" s="1848" t="s">
        <v>79</v>
      </c>
      <c r="CA5" s="1848" t="s">
        <v>2111</v>
      </c>
      <c r="CB5" s="1848" t="s">
        <v>3741</v>
      </c>
      <c r="CC5" s="1848" t="s">
        <v>920</v>
      </c>
      <c r="CD5" s="1848" t="s">
        <v>3718</v>
      </c>
      <c r="CE5" s="1848" t="s">
        <v>1463</v>
      </c>
      <c r="CF5" s="1848" t="s">
        <v>3719</v>
      </c>
      <c r="CG5" s="1848" t="s">
        <v>566</v>
      </c>
      <c r="CH5" s="1848" t="s">
        <v>3742</v>
      </c>
      <c r="CI5" s="1848" t="s">
        <v>3744</v>
      </c>
      <c r="CJ5" s="1848" t="s">
        <v>1910</v>
      </c>
      <c r="CK5" s="1848" t="s">
        <v>912</v>
      </c>
      <c r="CL5" s="1848" t="s">
        <v>3717</v>
      </c>
      <c r="CM5" s="1848" t="s">
        <v>2110</v>
      </c>
      <c r="CN5" s="1848" t="s">
        <v>3745</v>
      </c>
      <c r="CO5" s="1848" t="s">
        <v>674</v>
      </c>
      <c r="CP5" s="1848" t="s">
        <v>50</v>
      </c>
      <c r="CQ5" s="1848" t="s">
        <v>832</v>
      </c>
      <c r="CR5" s="1848" t="s">
        <v>3746</v>
      </c>
      <c r="CS5" s="1848" t="s">
        <v>2050</v>
      </c>
      <c r="CT5" s="1845" t="s">
        <v>4811</v>
      </c>
      <c r="CU5" s="1845" t="s">
        <v>4812</v>
      </c>
      <c r="CV5" s="1848" t="s">
        <v>4035</v>
      </c>
      <c r="CW5" s="1848" t="s">
        <v>1210</v>
      </c>
      <c r="CX5" s="2607" t="s">
        <v>4064</v>
      </c>
      <c r="CY5" s="2607" t="s">
        <v>4064</v>
      </c>
      <c r="CZ5" s="2607" t="s">
        <v>4064</v>
      </c>
      <c r="DA5" s="2628"/>
      <c r="DB5" s="2607"/>
      <c r="DC5" s="2607"/>
      <c r="DD5" s="2607"/>
      <c r="DE5" s="2607"/>
      <c r="DF5" s="2607"/>
      <c r="DG5" s="2628"/>
      <c r="DH5" s="2607"/>
      <c r="DI5" s="2607"/>
      <c r="DJ5" s="2607"/>
      <c r="DK5" s="2607"/>
      <c r="DL5" s="2607"/>
      <c r="DM5" s="2607"/>
      <c r="DN5" s="2607"/>
      <c r="DO5" s="2607"/>
      <c r="DP5" s="2607"/>
      <c r="DQ5" s="2607"/>
      <c r="DR5" s="2607"/>
      <c r="DS5" s="2607"/>
      <c r="DT5" s="2607"/>
      <c r="DU5" s="2607"/>
      <c r="DV5" s="2607"/>
      <c r="DW5" s="2607"/>
      <c r="DX5" s="2607"/>
      <c r="DY5" s="2607"/>
      <c r="DZ5" s="2607"/>
      <c r="EA5" s="2607"/>
      <c r="EB5" s="2607"/>
      <c r="EC5" s="2607"/>
      <c r="ED5" s="2607"/>
      <c r="EE5" s="2607"/>
      <c r="EF5" s="2607"/>
      <c r="EG5" s="2607"/>
      <c r="EH5" s="2607"/>
      <c r="EI5" s="2607"/>
      <c r="EJ5" s="2607"/>
      <c r="EK5" s="2607"/>
      <c r="EL5" s="2607"/>
      <c r="EM5" s="2607"/>
      <c r="EN5" s="2607"/>
      <c r="EO5" s="2607"/>
      <c r="EP5" s="2607"/>
      <c r="EQ5" s="2607"/>
      <c r="ER5" s="2607"/>
      <c r="ES5" s="2607"/>
      <c r="ET5" s="2607"/>
      <c r="EU5" s="2607"/>
      <c r="EV5" s="2607"/>
      <c r="EW5" s="759" t="s">
        <v>4867</v>
      </c>
      <c r="EX5" s="1853" t="s">
        <v>4763</v>
      </c>
      <c r="EY5" s="1950" t="s">
        <v>4759</v>
      </c>
      <c r="EZ5" s="1950" t="s">
        <v>4760</v>
      </c>
      <c r="FA5" s="1950" t="s">
        <v>4761</v>
      </c>
      <c r="FB5" s="1950" t="s">
        <v>4762</v>
      </c>
      <c r="FC5" s="1950" t="s">
        <v>4117</v>
      </c>
      <c r="FD5" s="1950" t="s">
        <v>4118</v>
      </c>
      <c r="FE5" s="1950" t="s">
        <v>4119</v>
      </c>
      <c r="FF5" s="1950" t="s">
        <v>4121</v>
      </c>
      <c r="FG5" s="1950" t="s">
        <v>4122</v>
      </c>
      <c r="FH5" s="1950" t="s">
        <v>4123</v>
      </c>
      <c r="FI5" s="1950" t="s">
        <v>4124</v>
      </c>
      <c r="FJ5" s="1950" t="s">
        <v>4120</v>
      </c>
      <c r="FK5" s="1950" t="s">
        <v>4125</v>
      </c>
      <c r="FL5" s="1950" t="s">
        <v>4130</v>
      </c>
      <c r="FM5" s="1950" t="s">
        <v>4131</v>
      </c>
      <c r="FN5" s="1951" t="s">
        <v>5757</v>
      </c>
      <c r="FO5" s="1951" t="s">
        <v>4128</v>
      </c>
      <c r="FP5" s="1951" t="s">
        <v>4129</v>
      </c>
      <c r="FQ5" s="1951" t="s">
        <v>4126</v>
      </c>
      <c r="FR5" s="1951" t="s">
        <v>4132</v>
      </c>
      <c r="FS5" s="1951" t="s">
        <v>4885</v>
      </c>
      <c r="FT5" s="1951" t="s">
        <v>4886</v>
      </c>
      <c r="FU5" s="1951" t="s">
        <v>4887</v>
      </c>
      <c r="FV5" s="1951" t="s">
        <v>5773</v>
      </c>
      <c r="FW5" s="1951" t="s">
        <v>4134</v>
      </c>
      <c r="FX5" s="1951" t="s">
        <v>4135</v>
      </c>
      <c r="FY5" s="1951" t="s">
        <v>4558</v>
      </c>
      <c r="FZ5" s="1951" t="s">
        <v>4556</v>
      </c>
      <c r="GA5" s="1951" t="s">
        <v>4137</v>
      </c>
      <c r="GB5" s="1951" t="s">
        <v>4617</v>
      </c>
      <c r="GC5" s="1951" t="s">
        <v>4139</v>
      </c>
      <c r="GD5" s="1951" t="s">
        <v>4140</v>
      </c>
      <c r="GE5" s="1951" t="s">
        <v>4141</v>
      </c>
      <c r="GF5" s="1951" t="s">
        <v>4142</v>
      </c>
      <c r="GG5" s="1951" t="s">
        <v>4143</v>
      </c>
      <c r="GH5" s="1951" t="s">
        <v>4144</v>
      </c>
      <c r="GI5" s="1951" t="s">
        <v>4147</v>
      </c>
      <c r="GJ5" s="1951" t="s">
        <v>4148</v>
      </c>
      <c r="GK5" s="1951" t="s">
        <v>4149</v>
      </c>
      <c r="GL5" s="1951" t="s">
        <v>4150</v>
      </c>
      <c r="GM5" s="1951" t="s">
        <v>4146</v>
      </c>
      <c r="GN5" s="1951" t="s">
        <v>4145</v>
      </c>
      <c r="GO5" s="1951" t="s">
        <v>4151</v>
      </c>
      <c r="GP5" s="1951" t="s">
        <v>4152</v>
      </c>
      <c r="GQ5" s="1951" t="s">
        <v>4153</v>
      </c>
      <c r="GR5" s="1951" t="s">
        <v>4165</v>
      </c>
      <c r="GS5" s="1951" t="s">
        <v>4166</v>
      </c>
      <c r="GT5" s="1951" t="s">
        <v>4167</v>
      </c>
      <c r="GU5" s="1951" t="s">
        <v>4807</v>
      </c>
      <c r="GV5" s="1951" t="s">
        <v>5775</v>
      </c>
      <c r="GW5" s="1951" t="s">
        <v>4169</v>
      </c>
      <c r="GX5" s="1951" t="s">
        <v>4170</v>
      </c>
      <c r="GY5" s="1951" t="s">
        <v>4171</v>
      </c>
      <c r="GZ5" s="1951" t="s">
        <v>4155</v>
      </c>
      <c r="HA5" s="1951" t="s">
        <v>4156</v>
      </c>
      <c r="HB5" s="1951" t="s">
        <v>4157</v>
      </c>
      <c r="HC5" s="1951" t="s">
        <v>4154</v>
      </c>
      <c r="HD5" s="1951" t="s">
        <v>4158</v>
      </c>
      <c r="HE5" s="1951" t="s">
        <v>4159</v>
      </c>
      <c r="HF5" s="1951" t="s">
        <v>4872</v>
      </c>
      <c r="HG5" s="1951" t="s">
        <v>4160</v>
      </c>
      <c r="HH5" s="1951" t="s">
        <v>4161</v>
      </c>
      <c r="HI5" s="1951" t="s">
        <v>4283</v>
      </c>
      <c r="HJ5" s="1951" t="s">
        <v>4433</v>
      </c>
      <c r="HK5" s="1951" t="s">
        <v>4774</v>
      </c>
      <c r="HL5" s="1951" t="s">
        <v>4775</v>
      </c>
      <c r="HM5" s="1951" t="s">
        <v>4776</v>
      </c>
      <c r="HN5" s="1951" t="s">
        <v>4777</v>
      </c>
      <c r="HO5" s="1951" t="s">
        <v>4778</v>
      </c>
      <c r="HP5" s="1951" t="s">
        <v>4779</v>
      </c>
      <c r="HQ5" s="1951" t="s">
        <v>4865</v>
      </c>
      <c r="HR5" s="1951" t="s">
        <v>4162</v>
      </c>
      <c r="HS5" s="1951" t="s">
        <v>4163</v>
      </c>
      <c r="HT5" s="1951" t="s">
        <v>4164</v>
      </c>
      <c r="HU5" s="1951" t="s">
        <v>4109</v>
      </c>
      <c r="HV5" s="1951" t="s">
        <v>4434</v>
      </c>
      <c r="HW5" s="1951" t="s">
        <v>3557</v>
      </c>
      <c r="HX5" s="1951" t="s">
        <v>4172</v>
      </c>
      <c r="HY5" s="1951" t="s">
        <v>4173</v>
      </c>
      <c r="HZ5" s="1951" t="s">
        <v>4226</v>
      </c>
      <c r="IA5" s="1951" t="s">
        <v>4866</v>
      </c>
      <c r="IB5" s="1951" t="s">
        <v>4227</v>
      </c>
      <c r="IC5" s="1951" t="s">
        <v>4228</v>
      </c>
      <c r="ID5" s="1951" t="s">
        <v>4229</v>
      </c>
      <c r="IE5" s="1951" t="s">
        <v>4230</v>
      </c>
      <c r="IF5" s="1951" t="s">
        <v>4231</v>
      </c>
      <c r="IG5" s="1951" t="s">
        <v>4232</v>
      </c>
      <c r="IH5" s="1951" t="s">
        <v>4233</v>
      </c>
      <c r="II5" s="1951" t="s">
        <v>4234</v>
      </c>
      <c r="IJ5" s="1951" t="s">
        <v>5772</v>
      </c>
      <c r="IK5" s="1951" t="s">
        <v>4236</v>
      </c>
      <c r="IL5" s="1951" t="s">
        <v>4237</v>
      </c>
      <c r="IM5" s="1951" t="s">
        <v>4238</v>
      </c>
      <c r="IN5" s="1951" t="s">
        <v>4888</v>
      </c>
      <c r="IO5" s="1951" t="s">
        <v>4889</v>
      </c>
      <c r="IP5" s="1951" t="s">
        <v>4890</v>
      </c>
      <c r="IQ5" s="1951" t="s">
        <v>4239</v>
      </c>
      <c r="IR5" s="1951" t="s">
        <v>5774</v>
      </c>
      <c r="IS5" s="1951" t="s">
        <v>4240</v>
      </c>
      <c r="IT5" s="1951" t="s">
        <v>4241</v>
      </c>
      <c r="IU5" s="1951" t="s">
        <v>4557</v>
      </c>
      <c r="IV5" s="1951" t="s">
        <v>4243</v>
      </c>
      <c r="IW5" s="1951" t="s">
        <v>4244</v>
      </c>
      <c r="IX5" s="1951" t="s">
        <v>4245</v>
      </c>
      <c r="IY5" s="1951" t="s">
        <v>4246</v>
      </c>
      <c r="IZ5" s="1951" t="s">
        <v>4247</v>
      </c>
      <c r="JA5" s="1951" t="s">
        <v>4248</v>
      </c>
      <c r="JB5" s="1951" t="s">
        <v>4249</v>
      </c>
      <c r="JC5" s="1951" t="s">
        <v>4250</v>
      </c>
      <c r="JD5" s="1951" t="s">
        <v>4251</v>
      </c>
      <c r="JE5" s="1951" t="s">
        <v>4252</v>
      </c>
      <c r="JF5" s="1951" t="s">
        <v>4253</v>
      </c>
      <c r="JG5" s="1951" t="s">
        <v>4254</v>
      </c>
      <c r="JH5" s="1951" t="s">
        <v>4441</v>
      </c>
      <c r="JI5" s="1951" t="s">
        <v>4442</v>
      </c>
      <c r="JJ5" s="1951" t="s">
        <v>4257</v>
      </c>
      <c r="JK5" s="1951" t="s">
        <v>4258</v>
      </c>
      <c r="JL5" s="1951" t="s">
        <v>4259</v>
      </c>
      <c r="JM5" s="1951" t="s">
        <v>4260</v>
      </c>
      <c r="JN5" s="1951" t="s">
        <v>4261</v>
      </c>
      <c r="JO5" s="1951" t="s">
        <v>4262</v>
      </c>
      <c r="JP5" s="1951" t="s">
        <v>4263</v>
      </c>
      <c r="JQ5" s="1951" t="s">
        <v>4264</v>
      </c>
      <c r="JR5" s="1951" t="s">
        <v>4265</v>
      </c>
      <c r="JS5" s="1951" t="s">
        <v>4266</v>
      </c>
      <c r="JT5" s="1951" t="s">
        <v>4267</v>
      </c>
      <c r="JU5" s="1951" t="s">
        <v>4268</v>
      </c>
      <c r="JV5" s="1951" t="s">
        <v>4269</v>
      </c>
      <c r="JW5" s="1951" t="s">
        <v>4270</v>
      </c>
      <c r="JX5" s="1951" t="s">
        <v>4271</v>
      </c>
      <c r="JY5" s="1951" t="s">
        <v>4272</v>
      </c>
      <c r="JZ5" s="1951" t="s">
        <v>4871</v>
      </c>
      <c r="KA5" s="1951" t="s">
        <v>4274</v>
      </c>
      <c r="KB5" s="1951" t="s">
        <v>4275</v>
      </c>
      <c r="KC5" s="1951" t="s">
        <v>4870</v>
      </c>
      <c r="KD5" s="1951" t="s">
        <v>4808</v>
      </c>
      <c r="KE5" s="1951" t="s">
        <v>4809</v>
      </c>
      <c r="KF5" s="1951" t="s">
        <v>4868</v>
      </c>
      <c r="KG5" s="1951" t="s">
        <v>4276</v>
      </c>
      <c r="KH5" s="1951" t="s">
        <v>4277</v>
      </c>
      <c r="KI5" s="1951" t="s">
        <v>4278</v>
      </c>
      <c r="KJ5" s="1951" t="s">
        <v>4279</v>
      </c>
      <c r="KK5" s="1951" t="s">
        <v>4869</v>
      </c>
      <c r="KL5" s="1951" t="s">
        <v>4864</v>
      </c>
      <c r="KM5" s="1951" t="s">
        <v>4280</v>
      </c>
      <c r="KN5" s="1951" t="s">
        <v>4281</v>
      </c>
      <c r="KO5" s="1951" t="s">
        <v>4282</v>
      </c>
      <c r="KP5" s="759" t="s">
        <v>4358</v>
      </c>
      <c r="KQ5" s="2624"/>
    </row>
    <row r="6" spans="1:304" ht="21.75" customHeight="1">
      <c r="A6" s="540" t="s">
        <v>5769</v>
      </c>
      <c r="B6" s="815"/>
      <c r="C6" s="815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  <c r="AF6" s="541"/>
      <c r="AG6" s="541"/>
      <c r="AH6" s="541"/>
      <c r="AI6" s="541"/>
      <c r="AJ6" s="541"/>
      <c r="AK6" s="541"/>
      <c r="AL6" s="541"/>
      <c r="AM6" s="541"/>
      <c r="AN6" s="541"/>
      <c r="AO6" s="541"/>
      <c r="AP6" s="541"/>
      <c r="AQ6" s="541"/>
      <c r="AR6" s="541"/>
      <c r="AS6" s="541"/>
      <c r="AT6" s="541"/>
      <c r="AU6" s="541"/>
      <c r="AV6" s="541"/>
      <c r="AW6" s="541"/>
      <c r="AX6" s="541"/>
      <c r="AY6" s="541"/>
      <c r="AZ6" s="541"/>
      <c r="BA6" s="541"/>
      <c r="BB6" s="541"/>
      <c r="BC6" s="541"/>
      <c r="BD6" s="541"/>
      <c r="BE6" s="541"/>
      <c r="BF6" s="541"/>
      <c r="BG6" s="541"/>
      <c r="BH6" s="541"/>
      <c r="BI6" s="541"/>
      <c r="BJ6" s="541"/>
      <c r="BK6" s="541"/>
      <c r="BL6" s="541"/>
      <c r="BM6" s="541"/>
      <c r="BN6" s="541"/>
      <c r="BO6" s="541"/>
      <c r="BP6" s="541"/>
      <c r="BQ6" s="541"/>
      <c r="BR6" s="541"/>
      <c r="BS6" s="541"/>
      <c r="BT6" s="541"/>
      <c r="BU6" s="541"/>
      <c r="BV6" s="541"/>
      <c r="BW6" s="541"/>
      <c r="BX6" s="541"/>
      <c r="BY6" s="541"/>
      <c r="BZ6" s="541"/>
      <c r="CA6" s="541"/>
      <c r="CB6" s="541"/>
      <c r="CC6" s="541"/>
      <c r="CD6" s="541"/>
      <c r="CE6" s="541"/>
      <c r="CF6" s="541"/>
      <c r="CG6" s="541"/>
      <c r="CH6" s="541"/>
      <c r="CI6" s="541"/>
      <c r="CJ6" s="541"/>
      <c r="CK6" s="541"/>
      <c r="CL6" s="541"/>
      <c r="CM6" s="541"/>
      <c r="CN6" s="541"/>
      <c r="CO6" s="541"/>
      <c r="CP6" s="541"/>
      <c r="CQ6" s="541"/>
      <c r="CR6" s="541"/>
      <c r="CS6" s="541"/>
      <c r="CT6" s="541"/>
      <c r="CU6" s="541"/>
      <c r="CV6" s="541"/>
      <c r="CW6" s="541"/>
      <c r="CX6" s="541"/>
      <c r="CY6" s="541"/>
      <c r="CZ6" s="541"/>
      <c r="DA6" s="541"/>
      <c r="DB6" s="541"/>
      <c r="DC6" s="541"/>
      <c r="DD6" s="541"/>
      <c r="DE6" s="541"/>
      <c r="DF6" s="541"/>
      <c r="DG6" s="541"/>
      <c r="DH6" s="541"/>
      <c r="DI6" s="541"/>
      <c r="DJ6" s="541"/>
      <c r="DK6" s="541"/>
      <c r="DL6" s="541"/>
      <c r="DM6" s="541"/>
      <c r="DN6" s="541"/>
      <c r="DO6" s="541"/>
      <c r="DP6" s="541"/>
      <c r="DQ6" s="541"/>
      <c r="DR6" s="541"/>
      <c r="DS6" s="541"/>
      <c r="DT6" s="541"/>
      <c r="DU6" s="541"/>
      <c r="DV6" s="541"/>
      <c r="DW6" s="541"/>
      <c r="DX6" s="541"/>
      <c r="DY6" s="541"/>
      <c r="DZ6" s="541"/>
      <c r="EA6" s="541"/>
      <c r="EB6" s="541"/>
      <c r="EC6" s="541"/>
      <c r="ED6" s="541"/>
      <c r="EE6" s="541"/>
      <c r="EF6" s="541"/>
      <c r="EG6" s="541"/>
      <c r="EH6" s="541"/>
      <c r="EI6" s="541"/>
      <c r="EJ6" s="541"/>
      <c r="EK6" s="541"/>
      <c r="EL6" s="541"/>
      <c r="EM6" s="541"/>
      <c r="EN6" s="541"/>
      <c r="EO6" s="541"/>
      <c r="EP6" s="541"/>
      <c r="EQ6" s="541"/>
      <c r="ER6" s="541"/>
      <c r="ES6" s="541"/>
      <c r="ET6" s="541"/>
      <c r="EU6" s="541"/>
      <c r="EV6" s="541"/>
      <c r="EW6" s="1952"/>
      <c r="EX6" s="1854"/>
      <c r="EY6" s="1952"/>
      <c r="EZ6" s="1952"/>
      <c r="FA6" s="1952"/>
      <c r="FB6" s="1952"/>
      <c r="FC6" s="1952"/>
      <c r="FD6" s="1952"/>
      <c r="FE6" s="1952"/>
      <c r="FF6" s="1952"/>
      <c r="FG6" s="1952"/>
      <c r="FH6" s="1952"/>
      <c r="FI6" s="1952"/>
      <c r="FJ6" s="1952"/>
      <c r="FK6" s="1952"/>
      <c r="FL6" s="1952"/>
      <c r="FM6" s="1952"/>
      <c r="FN6" s="1952"/>
      <c r="FO6" s="1952"/>
      <c r="FP6" s="1952"/>
      <c r="FQ6" s="1952"/>
      <c r="FR6" s="1952"/>
      <c r="FS6" s="1952"/>
      <c r="FT6" s="1952"/>
      <c r="FU6" s="1952"/>
      <c r="FV6" s="1952"/>
      <c r="FW6" s="1952"/>
      <c r="FX6" s="1952"/>
      <c r="FY6" s="1952"/>
      <c r="FZ6" s="1952"/>
      <c r="GA6" s="1952"/>
      <c r="GB6" s="1952"/>
      <c r="GC6" s="1952"/>
      <c r="GD6" s="1952"/>
      <c r="GE6" s="1952"/>
      <c r="GF6" s="1952"/>
      <c r="GG6" s="1952"/>
      <c r="GH6" s="1952"/>
      <c r="GI6" s="1952"/>
      <c r="GJ6" s="1952"/>
      <c r="GK6" s="1952"/>
      <c r="GL6" s="1952"/>
      <c r="GM6" s="1952"/>
      <c r="GN6" s="1952"/>
      <c r="GO6" s="1952"/>
      <c r="GP6" s="1952"/>
      <c r="GQ6" s="1952"/>
      <c r="GR6" s="1952"/>
      <c r="GS6" s="1952"/>
      <c r="GT6" s="1952"/>
      <c r="GU6" s="1952"/>
      <c r="GV6" s="1952"/>
      <c r="GW6" s="1952"/>
      <c r="GX6" s="1952"/>
      <c r="GY6" s="1952"/>
      <c r="GZ6" s="1952"/>
      <c r="HA6" s="1952"/>
      <c r="HB6" s="1952"/>
      <c r="HC6" s="1952"/>
      <c r="HD6" s="1952"/>
      <c r="HE6" s="1952"/>
      <c r="HF6" s="1952"/>
      <c r="HG6" s="1952"/>
      <c r="HH6" s="1952"/>
      <c r="HI6" s="1952"/>
      <c r="HJ6" s="1952"/>
      <c r="HK6" s="1952"/>
      <c r="HL6" s="1952"/>
      <c r="HM6" s="1952"/>
      <c r="HN6" s="1952"/>
      <c r="HO6" s="1952"/>
      <c r="HP6" s="1952"/>
      <c r="HQ6" s="1952"/>
      <c r="HR6" s="1952"/>
      <c r="HS6" s="1952"/>
      <c r="HT6" s="1952"/>
      <c r="HU6" s="1952"/>
      <c r="HV6" s="1952"/>
      <c r="HW6" s="1952"/>
      <c r="HX6" s="1952"/>
      <c r="HY6" s="1952"/>
      <c r="HZ6" s="1952"/>
      <c r="IA6" s="1952"/>
      <c r="IB6" s="1952"/>
      <c r="IC6" s="1952"/>
      <c r="ID6" s="1952"/>
      <c r="IE6" s="1952"/>
      <c r="IF6" s="1952"/>
      <c r="IG6" s="1952"/>
      <c r="IH6" s="1952"/>
      <c r="II6" s="1952"/>
      <c r="IJ6" s="1952"/>
      <c r="IK6" s="1952"/>
      <c r="IL6" s="1952"/>
      <c r="IM6" s="1952"/>
      <c r="IN6" s="1952"/>
      <c r="IO6" s="1952"/>
      <c r="IP6" s="1952"/>
      <c r="IQ6" s="1952"/>
      <c r="IR6" s="1952"/>
      <c r="IS6" s="1952"/>
      <c r="IT6" s="1952"/>
      <c r="IU6" s="1952"/>
      <c r="IV6" s="1952"/>
      <c r="IW6" s="1952"/>
      <c r="IX6" s="1952"/>
      <c r="IY6" s="1952"/>
      <c r="IZ6" s="1952"/>
      <c r="JA6" s="1952"/>
      <c r="JB6" s="1952"/>
      <c r="JC6" s="1952"/>
      <c r="JD6" s="1952"/>
      <c r="JE6" s="1952"/>
      <c r="JF6" s="1952"/>
      <c r="JG6" s="1952"/>
      <c r="JH6" s="1952"/>
      <c r="JI6" s="1952"/>
      <c r="JJ6" s="1952"/>
      <c r="JK6" s="1952"/>
      <c r="JL6" s="1952"/>
      <c r="JM6" s="1952"/>
      <c r="JN6" s="1952"/>
      <c r="JO6" s="1952"/>
      <c r="JP6" s="1952"/>
      <c r="JQ6" s="1952"/>
      <c r="JR6" s="1952"/>
      <c r="JS6" s="1952"/>
      <c r="JT6" s="1952"/>
      <c r="JU6" s="1952"/>
      <c r="JV6" s="1952"/>
      <c r="JW6" s="1952"/>
      <c r="JX6" s="1952"/>
      <c r="JY6" s="1952"/>
      <c r="JZ6" s="1952"/>
      <c r="KA6" s="1952"/>
      <c r="KB6" s="1952"/>
      <c r="KC6" s="1952"/>
      <c r="KD6" s="1952"/>
      <c r="KE6" s="1952"/>
      <c r="KF6" s="1952"/>
      <c r="KG6" s="1952"/>
      <c r="KH6" s="1952"/>
      <c r="KI6" s="1952"/>
      <c r="KJ6" s="1952"/>
      <c r="KK6" s="1952"/>
      <c r="KL6" s="1952"/>
      <c r="KM6" s="1952"/>
      <c r="KN6" s="1952"/>
      <c r="KO6" s="1952"/>
      <c r="KP6" s="541"/>
      <c r="KQ6" s="542"/>
    </row>
    <row r="7" spans="1:304" s="1867" customFormat="1" ht="20.100000000000001" customHeight="1" outlineLevel="1">
      <c r="A7" s="1857"/>
      <c r="B7" s="1857"/>
      <c r="C7" s="1858"/>
      <c r="D7" s="1858"/>
      <c r="E7" s="1859"/>
      <c r="F7" s="1859"/>
      <c r="G7" s="1859"/>
      <c r="H7" s="1859"/>
      <c r="I7" s="1859"/>
      <c r="J7" s="1859"/>
      <c r="K7" s="1859"/>
      <c r="L7" s="1859"/>
      <c r="M7" s="1859"/>
      <c r="N7" s="1859"/>
      <c r="O7" s="1859"/>
      <c r="P7" s="1859"/>
      <c r="Q7" s="1859"/>
      <c r="R7" s="1859"/>
      <c r="S7" s="1859"/>
      <c r="T7" s="1859"/>
      <c r="U7" s="1859"/>
      <c r="V7" s="1859"/>
      <c r="W7" s="1859"/>
      <c r="X7" s="1859"/>
      <c r="Y7" s="1859"/>
      <c r="Z7" s="1859"/>
      <c r="AA7" s="1859"/>
      <c r="AB7" s="1859"/>
      <c r="AC7" s="1859"/>
      <c r="AD7" s="1859"/>
      <c r="AE7" s="1859"/>
      <c r="AF7" s="1859"/>
      <c r="AG7" s="1859"/>
      <c r="AH7" s="1859"/>
      <c r="AI7" s="1859"/>
      <c r="AJ7" s="1859"/>
      <c r="AK7" s="1859"/>
      <c r="AL7" s="1859"/>
      <c r="AM7" s="1859"/>
      <c r="AN7" s="1859"/>
      <c r="AO7" s="1859"/>
      <c r="AP7" s="1859"/>
      <c r="AQ7" s="1859"/>
      <c r="AR7" s="1859"/>
      <c r="AS7" s="1859"/>
      <c r="AT7" s="1859"/>
      <c r="AU7" s="1859"/>
      <c r="AV7" s="1859"/>
      <c r="AW7" s="1859"/>
      <c r="AX7" s="1859"/>
      <c r="AY7" s="1859"/>
      <c r="AZ7" s="1859"/>
      <c r="BA7" s="1859"/>
      <c r="BB7" s="1859"/>
      <c r="BC7" s="1859"/>
      <c r="BD7" s="1859"/>
      <c r="BE7" s="1859"/>
      <c r="BF7" s="1859"/>
      <c r="BG7" s="1859"/>
      <c r="BH7" s="1859"/>
      <c r="BI7" s="1859"/>
      <c r="BJ7" s="1859"/>
      <c r="BK7" s="1859"/>
      <c r="BL7" s="1859"/>
      <c r="BM7" s="1859"/>
      <c r="BN7" s="1859"/>
      <c r="BO7" s="1859"/>
      <c r="BP7" s="1859"/>
      <c r="BQ7" s="1859"/>
      <c r="BR7" s="1859"/>
      <c r="BS7" s="1859"/>
      <c r="BT7" s="1859"/>
      <c r="BU7" s="1859"/>
      <c r="BV7" s="1859"/>
      <c r="BW7" s="1859"/>
      <c r="BX7" s="1859"/>
      <c r="BY7" s="1859"/>
      <c r="BZ7" s="1859"/>
      <c r="CA7" s="1859"/>
      <c r="CB7" s="1859"/>
      <c r="CC7" s="1859"/>
      <c r="CD7" s="1859"/>
      <c r="CE7" s="1859"/>
      <c r="CF7" s="1859"/>
      <c r="CG7" s="1859"/>
      <c r="CH7" s="1859"/>
      <c r="CI7" s="1859"/>
      <c r="CJ7" s="1859"/>
      <c r="CK7" s="1859"/>
      <c r="CL7" s="1859"/>
      <c r="CM7" s="1859"/>
      <c r="CN7" s="1859"/>
      <c r="CO7" s="1859"/>
      <c r="CP7" s="1859"/>
      <c r="CQ7" s="1859"/>
      <c r="CR7" s="1859"/>
      <c r="CS7" s="1859"/>
      <c r="CT7" s="1859"/>
      <c r="CU7" s="1859"/>
      <c r="CV7" s="1859"/>
      <c r="CW7" s="1859"/>
      <c r="CX7" s="1859"/>
      <c r="CY7" s="1859"/>
      <c r="CZ7" s="1859"/>
      <c r="DA7" s="1859"/>
      <c r="DB7" s="1859"/>
      <c r="DC7" s="1859"/>
      <c r="DD7" s="1859"/>
      <c r="DE7" s="1859"/>
      <c r="DF7" s="1859"/>
      <c r="DG7" s="1859"/>
      <c r="DH7" s="1859"/>
      <c r="DI7" s="1859"/>
      <c r="DJ7" s="1859"/>
      <c r="DK7" s="1859"/>
      <c r="DL7" s="1859"/>
      <c r="DM7" s="1859"/>
      <c r="DN7" s="1859"/>
      <c r="DO7" s="1859"/>
      <c r="DP7" s="1859"/>
      <c r="DQ7" s="1859"/>
      <c r="DR7" s="1859"/>
      <c r="DS7" s="1859"/>
      <c r="DT7" s="1859"/>
      <c r="DU7" s="1859"/>
      <c r="DV7" s="1859"/>
      <c r="DW7" s="1859"/>
      <c r="DX7" s="1859"/>
      <c r="DY7" s="1859"/>
      <c r="DZ7" s="1859"/>
      <c r="EA7" s="1859"/>
      <c r="EB7" s="1859"/>
      <c r="EC7" s="1859"/>
      <c r="ED7" s="1859"/>
      <c r="EE7" s="1859"/>
      <c r="EF7" s="1859"/>
      <c r="EG7" s="1859"/>
      <c r="EH7" s="1859"/>
      <c r="EI7" s="1859"/>
      <c r="EJ7" s="1859"/>
      <c r="EK7" s="1859"/>
      <c r="EL7" s="1859"/>
      <c r="EM7" s="1859"/>
      <c r="EN7" s="1859"/>
      <c r="EO7" s="1859"/>
      <c r="EP7" s="1859"/>
      <c r="EQ7" s="1859"/>
      <c r="ER7" s="1859"/>
      <c r="ES7" s="1859"/>
      <c r="ET7" s="1859"/>
      <c r="EU7" s="1859"/>
      <c r="EV7" s="1859"/>
      <c r="EW7" s="1860"/>
      <c r="EX7" s="1861"/>
      <c r="EY7" s="1859"/>
      <c r="EZ7" s="1859"/>
      <c r="FA7" s="1859"/>
      <c r="FB7" s="1859"/>
      <c r="FC7" s="1859"/>
      <c r="FD7" s="1859"/>
      <c r="FE7" s="1859"/>
      <c r="FF7" s="1859"/>
      <c r="FG7" s="1859"/>
      <c r="FH7" s="1859"/>
      <c r="FI7" s="1859"/>
      <c r="FJ7" s="1859"/>
      <c r="FK7" s="1859"/>
      <c r="FL7" s="1859"/>
      <c r="FM7" s="1859"/>
      <c r="FN7" s="1859"/>
      <c r="FO7" s="1859"/>
      <c r="FP7" s="1859"/>
      <c r="FQ7" s="1859"/>
      <c r="FR7" s="1859"/>
      <c r="FS7" s="1859"/>
      <c r="FT7" s="1859"/>
      <c r="FU7" s="1859"/>
      <c r="FV7" s="1859"/>
      <c r="FW7" s="1859"/>
      <c r="FX7" s="1859"/>
      <c r="FY7" s="1859"/>
      <c r="FZ7" s="1859"/>
      <c r="GA7" s="1862"/>
      <c r="GB7" s="1859"/>
      <c r="GC7" s="1859"/>
      <c r="GD7" s="1859"/>
      <c r="GE7" s="1859"/>
      <c r="GF7" s="1859"/>
      <c r="GG7" s="1859"/>
      <c r="GH7" s="1859"/>
      <c r="GI7" s="1859"/>
      <c r="GJ7" s="1859"/>
      <c r="GK7" s="1859"/>
      <c r="GL7" s="1859"/>
      <c r="GM7" s="1859"/>
      <c r="GN7" s="1859"/>
      <c r="GO7" s="1859"/>
      <c r="GP7" s="1859"/>
      <c r="GQ7" s="1859"/>
      <c r="GR7" s="1859"/>
      <c r="GS7" s="1859"/>
      <c r="GT7" s="1859"/>
      <c r="GU7" s="1859"/>
      <c r="GV7" s="1859"/>
      <c r="GW7" s="1859"/>
      <c r="GX7" s="1859"/>
      <c r="GY7" s="1859"/>
      <c r="GZ7" s="1859"/>
      <c r="HA7" s="1859"/>
      <c r="HB7" s="1859"/>
      <c r="HC7" s="1859"/>
      <c r="HD7" s="1859"/>
      <c r="HE7" s="1859"/>
      <c r="HF7" s="1859"/>
      <c r="HG7" s="1859"/>
      <c r="HH7" s="1859"/>
      <c r="HI7" s="1859"/>
      <c r="HJ7" s="1863"/>
      <c r="HK7" s="1863"/>
      <c r="HL7" s="1863"/>
      <c r="HM7" s="1863"/>
      <c r="HN7" s="1863"/>
      <c r="HO7" s="1863"/>
      <c r="HP7" s="1863"/>
      <c r="HQ7" s="1863"/>
      <c r="HR7" s="1863"/>
      <c r="HS7" s="1863"/>
      <c r="HT7" s="1863"/>
      <c r="HU7" s="1863"/>
      <c r="HV7" s="1863"/>
      <c r="HW7" s="1863"/>
      <c r="HX7" s="1863"/>
      <c r="HY7" s="1863"/>
      <c r="HZ7" s="1863"/>
      <c r="IA7" s="1863"/>
      <c r="IB7" s="1863"/>
      <c r="IC7" s="1863"/>
      <c r="ID7" s="1864"/>
      <c r="IE7" s="1863"/>
      <c r="IF7" s="1863"/>
      <c r="IG7" s="1863"/>
      <c r="IH7" s="1863"/>
      <c r="II7" s="1863"/>
      <c r="IJ7" s="1863"/>
      <c r="IK7" s="1863"/>
      <c r="IL7" s="1863"/>
      <c r="IM7" s="1863"/>
      <c r="IN7" s="1863"/>
      <c r="IO7" s="1863"/>
      <c r="IP7" s="1863"/>
      <c r="IQ7" s="1863"/>
      <c r="IR7" s="1863"/>
      <c r="IS7" s="1863"/>
      <c r="IT7" s="1863"/>
      <c r="IU7" s="1863"/>
      <c r="IV7" s="1865"/>
      <c r="IW7" s="1863"/>
      <c r="IX7" s="1863"/>
      <c r="IY7" s="1863"/>
      <c r="IZ7" s="1863"/>
      <c r="JA7" s="1863"/>
      <c r="JB7" s="1863"/>
      <c r="JC7" s="1863"/>
      <c r="JD7" s="1863"/>
      <c r="JE7" s="1863"/>
      <c r="JF7" s="1863"/>
      <c r="JG7" s="1863"/>
      <c r="JH7" s="1863"/>
      <c r="JI7" s="1863"/>
      <c r="JJ7" s="1863"/>
      <c r="JK7" s="1863"/>
      <c r="JL7" s="1864"/>
      <c r="JM7" s="1864"/>
      <c r="JN7" s="1864"/>
      <c r="JO7" s="1864"/>
      <c r="JP7" s="1864"/>
      <c r="JQ7" s="1864"/>
      <c r="JR7" s="1864"/>
      <c r="JS7" s="1864"/>
      <c r="JT7" s="1864"/>
      <c r="JU7" s="1864"/>
      <c r="JV7" s="1864"/>
      <c r="JW7" s="1864"/>
      <c r="JX7" s="1864"/>
      <c r="JY7" s="1864"/>
      <c r="JZ7" s="1864"/>
      <c r="KA7" s="1864"/>
      <c r="KB7" s="1864"/>
      <c r="KC7" s="1864"/>
      <c r="KD7" s="1864"/>
      <c r="KE7" s="1864"/>
      <c r="KF7" s="1864"/>
      <c r="KG7" s="1864"/>
      <c r="KH7" s="1864"/>
      <c r="KI7" s="1864"/>
      <c r="KJ7" s="1863"/>
      <c r="KK7" s="1864"/>
      <c r="KL7" s="1863"/>
      <c r="KM7" s="1863"/>
      <c r="KN7" s="1863"/>
      <c r="KO7" s="1863"/>
      <c r="KP7" s="1863"/>
      <c r="KQ7" s="1866"/>
    </row>
    <row r="8" spans="1:304" s="1867" customFormat="1" ht="20.100000000000001" customHeight="1" outlineLevel="1">
      <c r="A8" s="1857"/>
      <c r="B8" s="1857"/>
      <c r="C8" s="1858"/>
      <c r="D8" s="1858"/>
      <c r="E8" s="1859"/>
      <c r="F8" s="1859"/>
      <c r="G8" s="1859"/>
      <c r="H8" s="1859"/>
      <c r="I8" s="1859"/>
      <c r="J8" s="1859"/>
      <c r="K8" s="1859"/>
      <c r="L8" s="1859"/>
      <c r="M8" s="1859"/>
      <c r="N8" s="1859"/>
      <c r="O8" s="1859"/>
      <c r="P8" s="1859"/>
      <c r="Q8" s="1859"/>
      <c r="R8" s="1859"/>
      <c r="S8" s="1859"/>
      <c r="T8" s="1859"/>
      <c r="U8" s="1859"/>
      <c r="V8" s="1859"/>
      <c r="W8" s="1859"/>
      <c r="X8" s="1859"/>
      <c r="Y8" s="1859"/>
      <c r="Z8" s="1859"/>
      <c r="AA8" s="1859"/>
      <c r="AB8" s="1859"/>
      <c r="AC8" s="1859"/>
      <c r="AD8" s="1859"/>
      <c r="AE8" s="1859"/>
      <c r="AF8" s="1859"/>
      <c r="AG8" s="1859"/>
      <c r="AH8" s="1859"/>
      <c r="AI8" s="1859"/>
      <c r="AJ8" s="1859"/>
      <c r="AK8" s="1859"/>
      <c r="AL8" s="1859"/>
      <c r="AM8" s="1859"/>
      <c r="AN8" s="1859"/>
      <c r="AO8" s="1859"/>
      <c r="AP8" s="1859"/>
      <c r="AQ8" s="1859"/>
      <c r="AR8" s="1859"/>
      <c r="AS8" s="1859"/>
      <c r="AT8" s="1859"/>
      <c r="AU8" s="1859"/>
      <c r="AV8" s="1859"/>
      <c r="AW8" s="1859"/>
      <c r="AX8" s="1859"/>
      <c r="AY8" s="1859"/>
      <c r="AZ8" s="1859"/>
      <c r="BA8" s="1859"/>
      <c r="BB8" s="1859"/>
      <c r="BC8" s="1859"/>
      <c r="BD8" s="1859"/>
      <c r="BE8" s="1859"/>
      <c r="BF8" s="1859"/>
      <c r="BG8" s="1859"/>
      <c r="BH8" s="1859"/>
      <c r="BI8" s="1859"/>
      <c r="BJ8" s="1859"/>
      <c r="BK8" s="1859"/>
      <c r="BL8" s="1859"/>
      <c r="BM8" s="1859"/>
      <c r="BN8" s="1859"/>
      <c r="BO8" s="1859"/>
      <c r="BP8" s="1859"/>
      <c r="BQ8" s="1859"/>
      <c r="BR8" s="1859"/>
      <c r="BS8" s="1859"/>
      <c r="BT8" s="1859"/>
      <c r="BU8" s="1859"/>
      <c r="BV8" s="1859"/>
      <c r="BW8" s="1859"/>
      <c r="BX8" s="1859"/>
      <c r="BY8" s="1859"/>
      <c r="BZ8" s="1859"/>
      <c r="CA8" s="1859"/>
      <c r="CB8" s="1859"/>
      <c r="CC8" s="1859"/>
      <c r="CD8" s="1859"/>
      <c r="CE8" s="1859"/>
      <c r="CF8" s="1859"/>
      <c r="CG8" s="1859"/>
      <c r="CH8" s="1859"/>
      <c r="CI8" s="1859"/>
      <c r="CJ8" s="1859"/>
      <c r="CK8" s="1859"/>
      <c r="CL8" s="1859"/>
      <c r="CM8" s="1859"/>
      <c r="CN8" s="1859"/>
      <c r="CO8" s="1859"/>
      <c r="CP8" s="1859"/>
      <c r="CQ8" s="1859"/>
      <c r="CR8" s="1859"/>
      <c r="CS8" s="1859"/>
      <c r="CT8" s="1859"/>
      <c r="CU8" s="1859"/>
      <c r="CV8" s="1859"/>
      <c r="CW8" s="1859"/>
      <c r="CX8" s="1859"/>
      <c r="CY8" s="1859"/>
      <c r="CZ8" s="1859"/>
      <c r="DA8" s="1859"/>
      <c r="DB8" s="1859"/>
      <c r="DC8" s="1859"/>
      <c r="DD8" s="1859"/>
      <c r="DE8" s="1859"/>
      <c r="DF8" s="1859"/>
      <c r="DG8" s="1859"/>
      <c r="DH8" s="1859"/>
      <c r="DI8" s="1859"/>
      <c r="DJ8" s="1859"/>
      <c r="DK8" s="1859"/>
      <c r="DL8" s="1859"/>
      <c r="DM8" s="1859"/>
      <c r="DN8" s="1859"/>
      <c r="DO8" s="1859"/>
      <c r="DP8" s="1859"/>
      <c r="DQ8" s="1859"/>
      <c r="DR8" s="1859"/>
      <c r="DS8" s="1859"/>
      <c r="DT8" s="1859"/>
      <c r="DU8" s="1859"/>
      <c r="DV8" s="1859"/>
      <c r="DW8" s="1859"/>
      <c r="DX8" s="1859"/>
      <c r="DY8" s="1859"/>
      <c r="DZ8" s="1859"/>
      <c r="EA8" s="1859"/>
      <c r="EB8" s="1859"/>
      <c r="EC8" s="1859"/>
      <c r="ED8" s="1859"/>
      <c r="EE8" s="1859"/>
      <c r="EF8" s="1859"/>
      <c r="EG8" s="1859"/>
      <c r="EH8" s="1859"/>
      <c r="EI8" s="1859"/>
      <c r="EJ8" s="1859"/>
      <c r="EK8" s="1859"/>
      <c r="EL8" s="1859"/>
      <c r="EM8" s="1859"/>
      <c r="EN8" s="1859"/>
      <c r="EO8" s="1859"/>
      <c r="EP8" s="1859"/>
      <c r="EQ8" s="1859"/>
      <c r="ER8" s="1859"/>
      <c r="ES8" s="1859"/>
      <c r="ET8" s="1859"/>
      <c r="EU8" s="1859"/>
      <c r="EV8" s="1859"/>
      <c r="EW8" s="1860"/>
      <c r="EX8" s="1861"/>
      <c r="EY8" s="1859"/>
      <c r="EZ8" s="1859"/>
      <c r="FA8" s="1859"/>
      <c r="FB8" s="1859"/>
      <c r="FC8" s="1859"/>
      <c r="FD8" s="1859"/>
      <c r="FE8" s="1859"/>
      <c r="FF8" s="1859"/>
      <c r="FG8" s="1859"/>
      <c r="FH8" s="1859"/>
      <c r="FI8" s="1859"/>
      <c r="FJ8" s="1859"/>
      <c r="FK8" s="1859"/>
      <c r="FL8" s="1859"/>
      <c r="FM8" s="1859"/>
      <c r="FN8" s="1859"/>
      <c r="FO8" s="1859"/>
      <c r="FP8" s="1859"/>
      <c r="FQ8" s="1859"/>
      <c r="FR8" s="1859"/>
      <c r="FS8" s="1859"/>
      <c r="FT8" s="1859"/>
      <c r="FU8" s="1859"/>
      <c r="FV8" s="1859"/>
      <c r="FW8" s="1859"/>
      <c r="FX8" s="1859"/>
      <c r="FY8" s="1859"/>
      <c r="FZ8" s="1859"/>
      <c r="GA8" s="1862"/>
      <c r="GB8" s="1859"/>
      <c r="GC8" s="1859"/>
      <c r="GD8" s="1859"/>
      <c r="GE8" s="1859"/>
      <c r="GF8" s="1859"/>
      <c r="GG8" s="1859"/>
      <c r="GH8" s="1859"/>
      <c r="GI8" s="1859"/>
      <c r="GJ8" s="1859"/>
      <c r="GK8" s="1859"/>
      <c r="GL8" s="1859"/>
      <c r="GM8" s="1859"/>
      <c r="GN8" s="1859"/>
      <c r="GO8" s="1859"/>
      <c r="GP8" s="1859"/>
      <c r="GQ8" s="1859"/>
      <c r="GR8" s="1859"/>
      <c r="GS8" s="1859"/>
      <c r="GT8" s="1859"/>
      <c r="GU8" s="1859"/>
      <c r="GV8" s="1859"/>
      <c r="GW8" s="1859"/>
      <c r="GX8" s="1859"/>
      <c r="GY8" s="1859"/>
      <c r="GZ8" s="1859"/>
      <c r="HA8" s="1859"/>
      <c r="HB8" s="1859"/>
      <c r="HC8" s="1859"/>
      <c r="HD8" s="1859"/>
      <c r="HE8" s="1859"/>
      <c r="HF8" s="1859"/>
      <c r="HG8" s="1859"/>
      <c r="HH8" s="1859"/>
      <c r="HI8" s="1859"/>
      <c r="HJ8" s="1863"/>
      <c r="HK8" s="1863"/>
      <c r="HL8" s="1863"/>
      <c r="HM8" s="1863"/>
      <c r="HN8" s="1863"/>
      <c r="HO8" s="1863"/>
      <c r="HP8" s="1863"/>
      <c r="HQ8" s="1863"/>
      <c r="HR8" s="1863"/>
      <c r="HS8" s="1863"/>
      <c r="HT8" s="1863"/>
      <c r="HU8" s="1863"/>
      <c r="HV8" s="1863"/>
      <c r="HW8" s="1863"/>
      <c r="HX8" s="1863"/>
      <c r="HY8" s="1863"/>
      <c r="HZ8" s="1863"/>
      <c r="IA8" s="1863"/>
      <c r="IB8" s="1863"/>
      <c r="IC8" s="1863"/>
      <c r="ID8" s="1864"/>
      <c r="IE8" s="1863"/>
      <c r="IF8" s="1863"/>
      <c r="IG8" s="1863"/>
      <c r="IH8" s="1863"/>
      <c r="II8" s="1863"/>
      <c r="IJ8" s="1863"/>
      <c r="IK8" s="1863"/>
      <c r="IL8" s="1863"/>
      <c r="IM8" s="1863"/>
      <c r="IN8" s="1863"/>
      <c r="IO8" s="1863"/>
      <c r="IP8" s="1863"/>
      <c r="IQ8" s="1863"/>
      <c r="IR8" s="1863"/>
      <c r="IS8" s="1863"/>
      <c r="IT8" s="1863"/>
      <c r="IU8" s="1863"/>
      <c r="IV8" s="1865"/>
      <c r="IW8" s="1863"/>
      <c r="IX8" s="1863"/>
      <c r="IY8" s="1863"/>
      <c r="IZ8" s="1863"/>
      <c r="JA8" s="1863"/>
      <c r="JB8" s="1863"/>
      <c r="JC8" s="1863"/>
      <c r="JD8" s="1863"/>
      <c r="JE8" s="1863"/>
      <c r="JF8" s="1863"/>
      <c r="JG8" s="1863"/>
      <c r="JH8" s="1863"/>
      <c r="JI8" s="1863"/>
      <c r="JJ8" s="1863"/>
      <c r="JK8" s="1863"/>
      <c r="JL8" s="1864"/>
      <c r="JM8" s="1864"/>
      <c r="JN8" s="1864"/>
      <c r="JO8" s="1864"/>
      <c r="JP8" s="1864"/>
      <c r="JQ8" s="1864"/>
      <c r="JR8" s="1864"/>
      <c r="JS8" s="1864"/>
      <c r="JT8" s="1864"/>
      <c r="JU8" s="1864"/>
      <c r="JV8" s="1864"/>
      <c r="JW8" s="1864"/>
      <c r="JX8" s="1864"/>
      <c r="JY8" s="1864"/>
      <c r="JZ8" s="1864"/>
      <c r="KA8" s="1864"/>
      <c r="KB8" s="1864"/>
      <c r="KC8" s="1864"/>
      <c r="KD8" s="1864"/>
      <c r="KE8" s="1864"/>
      <c r="KF8" s="1864"/>
      <c r="KG8" s="1864"/>
      <c r="KH8" s="1864"/>
      <c r="KI8" s="1864"/>
      <c r="KJ8" s="1863"/>
      <c r="KK8" s="1864"/>
      <c r="KL8" s="1863"/>
      <c r="KM8" s="1863"/>
      <c r="KN8" s="1863"/>
      <c r="KO8" s="1863"/>
      <c r="KP8" s="1863"/>
      <c r="KQ8" s="1866"/>
    </row>
    <row r="9" spans="1:304" s="1876" customFormat="1" ht="20.100000000000001" hidden="1" customHeight="1" outlineLevel="1">
      <c r="A9" s="1892"/>
      <c r="B9" s="1870"/>
      <c r="C9" s="1871"/>
      <c r="D9" s="1871"/>
      <c r="E9" s="1862"/>
      <c r="F9" s="1862"/>
      <c r="G9" s="1862"/>
      <c r="H9" s="1862"/>
      <c r="I9" s="1862"/>
      <c r="J9" s="1862"/>
      <c r="K9" s="1862"/>
      <c r="L9" s="1862"/>
      <c r="M9" s="1862"/>
      <c r="N9" s="1862"/>
      <c r="O9" s="1862"/>
      <c r="P9" s="1862"/>
      <c r="Q9" s="1862"/>
      <c r="R9" s="1862"/>
      <c r="S9" s="1862"/>
      <c r="T9" s="1862"/>
      <c r="U9" s="1862"/>
      <c r="V9" s="1862"/>
      <c r="W9" s="1862"/>
      <c r="X9" s="1862"/>
      <c r="Y9" s="1862"/>
      <c r="Z9" s="1862"/>
      <c r="AA9" s="1862"/>
      <c r="AB9" s="1862"/>
      <c r="AC9" s="1862"/>
      <c r="AD9" s="1862"/>
      <c r="AE9" s="1862"/>
      <c r="AF9" s="1859"/>
      <c r="AG9" s="1862"/>
      <c r="AH9" s="1862"/>
      <c r="AI9" s="1862"/>
      <c r="AJ9" s="1859"/>
      <c r="AK9" s="1862"/>
      <c r="AL9" s="1862"/>
      <c r="AM9" s="1862"/>
      <c r="AN9" s="1862"/>
      <c r="AO9" s="1862"/>
      <c r="AP9" s="1862"/>
      <c r="AQ9" s="1862"/>
      <c r="AR9" s="1862"/>
      <c r="AS9" s="1862"/>
      <c r="AT9" s="1862"/>
      <c r="AU9" s="1862"/>
      <c r="AV9" s="1862"/>
      <c r="AW9" s="1862"/>
      <c r="AX9" s="1862"/>
      <c r="AY9" s="1862"/>
      <c r="AZ9" s="1862"/>
      <c r="BA9" s="1862"/>
      <c r="BB9" s="1862"/>
      <c r="BC9" s="1862"/>
      <c r="BD9" s="1862"/>
      <c r="BE9" s="1862"/>
      <c r="BF9" s="1862"/>
      <c r="BG9" s="1862"/>
      <c r="BH9" s="1862"/>
      <c r="BI9" s="1862"/>
      <c r="BJ9" s="1862"/>
      <c r="BK9" s="1862"/>
      <c r="BL9" s="1862"/>
      <c r="BM9" s="1862"/>
      <c r="BN9" s="1862"/>
      <c r="BO9" s="1862"/>
      <c r="BP9" s="1862"/>
      <c r="BQ9" s="1862"/>
      <c r="BR9" s="1862"/>
      <c r="BS9" s="1862"/>
      <c r="BT9" s="1862"/>
      <c r="BU9" s="1862"/>
      <c r="BV9" s="1862"/>
      <c r="BW9" s="1862"/>
      <c r="BX9" s="1862"/>
      <c r="BY9" s="1862"/>
      <c r="BZ9" s="1862"/>
      <c r="CA9" s="1862"/>
      <c r="CB9" s="1862"/>
      <c r="CC9" s="1862"/>
      <c r="CD9" s="1862"/>
      <c r="CE9" s="1862"/>
      <c r="CF9" s="1862"/>
      <c r="CG9" s="1862"/>
      <c r="CH9" s="1862"/>
      <c r="CI9" s="1862"/>
      <c r="CJ9" s="1862"/>
      <c r="CK9" s="1862"/>
      <c r="CL9" s="1862"/>
      <c r="CM9" s="1862"/>
      <c r="CN9" s="1862"/>
      <c r="CO9" s="1862"/>
      <c r="CP9" s="1862"/>
      <c r="CQ9" s="1862"/>
      <c r="CR9" s="1862"/>
      <c r="CS9" s="1862"/>
      <c r="CT9" s="1862"/>
      <c r="CU9" s="1862"/>
      <c r="CV9" s="1862"/>
      <c r="CW9" s="1862"/>
      <c r="CX9" s="1862"/>
      <c r="CY9" s="1862"/>
      <c r="CZ9" s="1862"/>
      <c r="DA9" s="1862"/>
      <c r="DB9" s="1862"/>
      <c r="DC9" s="1862"/>
      <c r="DD9" s="1862"/>
      <c r="DE9" s="1862"/>
      <c r="DF9" s="1862"/>
      <c r="DG9" s="1862"/>
      <c r="DH9" s="1862"/>
      <c r="DI9" s="1862"/>
      <c r="DJ9" s="1862"/>
      <c r="DK9" s="1862"/>
      <c r="DL9" s="1862"/>
      <c r="DM9" s="1862"/>
      <c r="DN9" s="1862"/>
      <c r="DO9" s="1862"/>
      <c r="DP9" s="1862"/>
      <c r="DQ9" s="1862"/>
      <c r="DR9" s="1862"/>
      <c r="DS9" s="1862"/>
      <c r="DT9" s="1862"/>
      <c r="DU9" s="1862"/>
      <c r="DV9" s="1862"/>
      <c r="DW9" s="1862"/>
      <c r="DX9" s="1862"/>
      <c r="DY9" s="1862"/>
      <c r="DZ9" s="1862"/>
      <c r="EA9" s="1862"/>
      <c r="EB9" s="1862"/>
      <c r="EC9" s="1862"/>
      <c r="ED9" s="1862"/>
      <c r="EE9" s="1862"/>
      <c r="EF9" s="1862"/>
      <c r="EG9" s="1862"/>
      <c r="EH9" s="1862"/>
      <c r="EI9" s="1862"/>
      <c r="EJ9" s="1862"/>
      <c r="EK9" s="1862"/>
      <c r="EL9" s="1862"/>
      <c r="EM9" s="1862"/>
      <c r="EN9" s="1862"/>
      <c r="EO9" s="1862"/>
      <c r="EP9" s="1862"/>
      <c r="EQ9" s="1862"/>
      <c r="ER9" s="1862"/>
      <c r="ES9" s="1862"/>
      <c r="ET9" s="1862"/>
      <c r="EU9" s="1862"/>
      <c r="EV9" s="1862"/>
      <c r="EW9" s="1872"/>
      <c r="EX9" s="1873"/>
      <c r="EY9" s="1862"/>
      <c r="EZ9" s="1862"/>
      <c r="FA9" s="1862"/>
      <c r="FB9" s="1862"/>
      <c r="FC9" s="1862"/>
      <c r="FD9" s="1862"/>
      <c r="FE9" s="1862"/>
      <c r="FF9" s="1862"/>
      <c r="FG9" s="1862"/>
      <c r="FH9" s="1862"/>
      <c r="FI9" s="1862"/>
      <c r="FJ9" s="1862"/>
      <c r="FK9" s="1862"/>
      <c r="FL9" s="1862"/>
      <c r="FM9" s="1862"/>
      <c r="FN9" s="1859"/>
      <c r="FO9" s="1862"/>
      <c r="FP9" s="1862"/>
      <c r="FQ9" s="1862"/>
      <c r="FR9" s="1862"/>
      <c r="FS9" s="1862"/>
      <c r="FT9" s="1862"/>
      <c r="FU9" s="1862"/>
      <c r="FV9" s="1862"/>
      <c r="FW9" s="1862"/>
      <c r="FX9" s="1862"/>
      <c r="FY9" s="1862"/>
      <c r="FZ9" s="1862"/>
      <c r="GA9" s="1862"/>
      <c r="GB9" s="1862"/>
      <c r="GC9" s="1862"/>
      <c r="GD9" s="1862"/>
      <c r="GE9" s="1862"/>
      <c r="GF9" s="1862"/>
      <c r="GG9" s="1862"/>
      <c r="GH9" s="1862"/>
      <c r="GI9" s="1862"/>
      <c r="GJ9" s="1862"/>
      <c r="GK9" s="1862"/>
      <c r="GL9" s="1862"/>
      <c r="GM9" s="1862"/>
      <c r="GN9" s="1862"/>
      <c r="GO9" s="1862"/>
      <c r="GP9" s="1862"/>
      <c r="GQ9" s="1862"/>
      <c r="GR9" s="1862"/>
      <c r="GS9" s="1862"/>
      <c r="GT9" s="1862"/>
      <c r="GU9" s="1862"/>
      <c r="GV9" s="1862"/>
      <c r="GW9" s="1862"/>
      <c r="GX9" s="1862"/>
      <c r="GY9" s="1862"/>
      <c r="GZ9" s="1862"/>
      <c r="HA9" s="1862"/>
      <c r="HB9" s="1862"/>
      <c r="HC9" s="1862"/>
      <c r="HD9" s="1862"/>
      <c r="HE9" s="1862"/>
      <c r="HF9" s="1862"/>
      <c r="HG9" s="1862"/>
      <c r="HH9" s="1862"/>
      <c r="HI9" s="1862"/>
      <c r="HJ9" s="1865"/>
      <c r="HK9" s="1865"/>
      <c r="HL9" s="1865"/>
      <c r="HM9" s="1865"/>
      <c r="HN9" s="1865"/>
      <c r="HO9" s="1865"/>
      <c r="HP9" s="1865"/>
      <c r="HQ9" s="1865"/>
      <c r="HR9" s="1865"/>
      <c r="HS9" s="1865"/>
      <c r="HT9" s="1865"/>
      <c r="HU9" s="1865"/>
      <c r="HV9" s="1865"/>
      <c r="HW9" s="1865"/>
      <c r="HX9" s="1865"/>
      <c r="HY9" s="1865"/>
      <c r="HZ9" s="1865"/>
      <c r="IA9" s="1865"/>
      <c r="IB9" s="1865"/>
      <c r="IC9" s="1865"/>
      <c r="ID9" s="1874"/>
      <c r="IE9" s="1865"/>
      <c r="IF9" s="1865"/>
      <c r="IG9" s="1865"/>
      <c r="IH9" s="1865"/>
      <c r="II9" s="1865"/>
      <c r="IJ9" s="1863"/>
      <c r="IK9" s="1865"/>
      <c r="IL9" s="1865"/>
      <c r="IM9" s="1865"/>
      <c r="IN9" s="1865"/>
      <c r="IO9" s="1865"/>
      <c r="IP9" s="1865"/>
      <c r="IQ9" s="1865"/>
      <c r="IR9" s="1865"/>
      <c r="IS9" s="1865"/>
      <c r="IT9" s="1865"/>
      <c r="IU9" s="1865"/>
      <c r="IV9" s="1865"/>
      <c r="IW9" s="1865"/>
      <c r="IX9" s="1865"/>
      <c r="IY9" s="1865"/>
      <c r="IZ9" s="1865"/>
      <c r="JA9" s="1865"/>
      <c r="JB9" s="1865"/>
      <c r="JC9" s="1865"/>
      <c r="JD9" s="1865"/>
      <c r="JE9" s="1865"/>
      <c r="JF9" s="1865"/>
      <c r="JG9" s="1865"/>
      <c r="JH9" s="1865"/>
      <c r="JI9" s="1865"/>
      <c r="JJ9" s="1865"/>
      <c r="JK9" s="1865"/>
      <c r="JL9" s="1874"/>
      <c r="JM9" s="1874"/>
      <c r="JN9" s="1874"/>
      <c r="JO9" s="1874"/>
      <c r="JP9" s="1874"/>
      <c r="JQ9" s="1874"/>
      <c r="JR9" s="1874"/>
      <c r="JS9" s="1874"/>
      <c r="JT9" s="1874"/>
      <c r="JU9" s="1874"/>
      <c r="JV9" s="1874"/>
      <c r="JW9" s="1874"/>
      <c r="JX9" s="1874"/>
      <c r="JY9" s="1874"/>
      <c r="JZ9" s="1874"/>
      <c r="KA9" s="1874"/>
      <c r="KB9" s="1874"/>
      <c r="KC9" s="1874"/>
      <c r="KD9" s="1874"/>
      <c r="KE9" s="1874"/>
      <c r="KF9" s="1874"/>
      <c r="KG9" s="1874"/>
      <c r="KH9" s="1874"/>
      <c r="KI9" s="1874"/>
      <c r="KJ9" s="1865"/>
      <c r="KK9" s="1874"/>
      <c r="KL9" s="1865"/>
      <c r="KM9" s="1865"/>
      <c r="KN9" s="1865"/>
      <c r="KO9" s="1865"/>
      <c r="KP9" s="1865"/>
      <c r="KQ9" s="1875"/>
      <c r="KR9" s="1867"/>
    </row>
    <row r="10" spans="1:304" s="1867" customFormat="1" ht="20.100000000000001" customHeight="1" outlineLevel="1">
      <c r="A10" s="1857"/>
      <c r="B10" s="1857"/>
      <c r="C10" s="1858"/>
      <c r="D10" s="1858"/>
      <c r="E10" s="1859"/>
      <c r="F10" s="1859"/>
      <c r="G10" s="1859"/>
      <c r="H10" s="1859"/>
      <c r="I10" s="1859"/>
      <c r="J10" s="1859"/>
      <c r="K10" s="1859"/>
      <c r="L10" s="1859"/>
      <c r="M10" s="1859"/>
      <c r="N10" s="1859"/>
      <c r="O10" s="1859"/>
      <c r="P10" s="1859"/>
      <c r="Q10" s="1859"/>
      <c r="R10" s="1859"/>
      <c r="S10" s="1859"/>
      <c r="T10" s="1859"/>
      <c r="U10" s="1859"/>
      <c r="V10" s="1859"/>
      <c r="W10" s="1859"/>
      <c r="X10" s="1859"/>
      <c r="Y10" s="1859"/>
      <c r="Z10" s="1859"/>
      <c r="AA10" s="1859"/>
      <c r="AB10" s="1859"/>
      <c r="AC10" s="1859"/>
      <c r="AD10" s="1859"/>
      <c r="AE10" s="1859"/>
      <c r="AF10" s="1859"/>
      <c r="AG10" s="1859"/>
      <c r="AH10" s="1859"/>
      <c r="AI10" s="1859"/>
      <c r="AJ10" s="1859"/>
      <c r="AK10" s="1859"/>
      <c r="AL10" s="1859"/>
      <c r="AM10" s="1859"/>
      <c r="AN10" s="1859"/>
      <c r="AO10" s="1859"/>
      <c r="AP10" s="1859"/>
      <c r="AQ10" s="1859"/>
      <c r="AR10" s="1859"/>
      <c r="AS10" s="1859"/>
      <c r="AT10" s="1859"/>
      <c r="AU10" s="1859"/>
      <c r="AV10" s="1859"/>
      <c r="AW10" s="1859"/>
      <c r="AX10" s="1859"/>
      <c r="AY10" s="1859"/>
      <c r="AZ10" s="1859"/>
      <c r="BA10" s="1859"/>
      <c r="BB10" s="1859"/>
      <c r="BC10" s="1859"/>
      <c r="BD10" s="1859"/>
      <c r="BE10" s="1859"/>
      <c r="BF10" s="1859"/>
      <c r="BG10" s="1859"/>
      <c r="BH10" s="1859"/>
      <c r="BI10" s="1859"/>
      <c r="BJ10" s="1859"/>
      <c r="BK10" s="1859"/>
      <c r="BL10" s="1859"/>
      <c r="BM10" s="1859"/>
      <c r="BN10" s="1859"/>
      <c r="BO10" s="1859"/>
      <c r="BP10" s="1859"/>
      <c r="BQ10" s="1859"/>
      <c r="BR10" s="1859"/>
      <c r="BS10" s="1859"/>
      <c r="BT10" s="1859"/>
      <c r="BU10" s="1859"/>
      <c r="BV10" s="1859"/>
      <c r="BW10" s="1859"/>
      <c r="BX10" s="1859"/>
      <c r="BY10" s="1859"/>
      <c r="BZ10" s="1859"/>
      <c r="CA10" s="1859"/>
      <c r="CB10" s="1859"/>
      <c r="CC10" s="1859"/>
      <c r="CD10" s="1859"/>
      <c r="CE10" s="1859"/>
      <c r="CF10" s="1859"/>
      <c r="CG10" s="1859"/>
      <c r="CH10" s="1859"/>
      <c r="CI10" s="1859"/>
      <c r="CJ10" s="1859"/>
      <c r="CK10" s="1859"/>
      <c r="CL10" s="1859"/>
      <c r="CM10" s="1859"/>
      <c r="CN10" s="1859"/>
      <c r="CO10" s="1859"/>
      <c r="CP10" s="1859"/>
      <c r="CQ10" s="1859"/>
      <c r="CR10" s="1859"/>
      <c r="CS10" s="1859"/>
      <c r="CT10" s="1859"/>
      <c r="CU10" s="1859"/>
      <c r="CV10" s="1859"/>
      <c r="CW10" s="1859"/>
      <c r="CX10" s="1859"/>
      <c r="CY10" s="1859"/>
      <c r="CZ10" s="1859"/>
      <c r="DA10" s="1859"/>
      <c r="DB10" s="1859"/>
      <c r="DC10" s="1859"/>
      <c r="DD10" s="1859"/>
      <c r="DE10" s="1859"/>
      <c r="DF10" s="1859"/>
      <c r="DG10" s="1859"/>
      <c r="DH10" s="1859"/>
      <c r="DI10" s="1859"/>
      <c r="DJ10" s="1859"/>
      <c r="DK10" s="1859"/>
      <c r="DL10" s="1859"/>
      <c r="DM10" s="1859"/>
      <c r="DN10" s="1859"/>
      <c r="DO10" s="1859"/>
      <c r="DP10" s="1859"/>
      <c r="DQ10" s="1859"/>
      <c r="DR10" s="1859"/>
      <c r="DS10" s="1859"/>
      <c r="DT10" s="1859"/>
      <c r="DU10" s="1859"/>
      <c r="DV10" s="1859"/>
      <c r="DW10" s="1859"/>
      <c r="DX10" s="1859"/>
      <c r="DY10" s="1859"/>
      <c r="DZ10" s="1859"/>
      <c r="EA10" s="1859"/>
      <c r="EB10" s="1859"/>
      <c r="EC10" s="1859"/>
      <c r="ED10" s="1859"/>
      <c r="EE10" s="1859"/>
      <c r="EF10" s="1859"/>
      <c r="EG10" s="1859"/>
      <c r="EH10" s="1859"/>
      <c r="EI10" s="1859"/>
      <c r="EJ10" s="1859"/>
      <c r="EK10" s="1859"/>
      <c r="EL10" s="1859"/>
      <c r="EM10" s="1859"/>
      <c r="EN10" s="1859"/>
      <c r="EO10" s="1859"/>
      <c r="EP10" s="1859"/>
      <c r="EQ10" s="1859"/>
      <c r="ER10" s="1859"/>
      <c r="ES10" s="1859"/>
      <c r="ET10" s="1859"/>
      <c r="EU10" s="1859"/>
      <c r="EV10" s="1859"/>
      <c r="EW10" s="1860"/>
      <c r="EX10" s="1861"/>
      <c r="EY10" s="1859"/>
      <c r="EZ10" s="1859"/>
      <c r="FA10" s="1859"/>
      <c r="FB10" s="1859"/>
      <c r="FC10" s="1859"/>
      <c r="FD10" s="1859"/>
      <c r="FE10" s="1859"/>
      <c r="FF10" s="1859"/>
      <c r="FG10" s="1859"/>
      <c r="FH10" s="1859"/>
      <c r="FI10" s="1859"/>
      <c r="FJ10" s="1859"/>
      <c r="FK10" s="1859"/>
      <c r="FL10" s="1859"/>
      <c r="FM10" s="1859"/>
      <c r="FN10" s="1859"/>
      <c r="FO10" s="1859"/>
      <c r="FP10" s="1859"/>
      <c r="FQ10" s="1859"/>
      <c r="FR10" s="1859"/>
      <c r="FS10" s="1859"/>
      <c r="FT10" s="1859"/>
      <c r="FU10" s="1859"/>
      <c r="FV10" s="1859"/>
      <c r="FW10" s="1859"/>
      <c r="FX10" s="1859"/>
      <c r="FY10" s="1859"/>
      <c r="FZ10" s="1859"/>
      <c r="GA10" s="1862"/>
      <c r="GB10" s="1859"/>
      <c r="GC10" s="1859"/>
      <c r="GD10" s="1859"/>
      <c r="GE10" s="1859"/>
      <c r="GF10" s="1859"/>
      <c r="GG10" s="1859"/>
      <c r="GH10" s="1859"/>
      <c r="GI10" s="1859"/>
      <c r="GJ10" s="1859"/>
      <c r="GK10" s="1859"/>
      <c r="GL10" s="1859"/>
      <c r="GM10" s="1859"/>
      <c r="GN10" s="1859"/>
      <c r="GO10" s="1859"/>
      <c r="GP10" s="1859"/>
      <c r="GQ10" s="1859"/>
      <c r="GR10" s="1859"/>
      <c r="GS10" s="1859"/>
      <c r="GT10" s="1859"/>
      <c r="GU10" s="1859"/>
      <c r="GV10" s="1859"/>
      <c r="GW10" s="1859"/>
      <c r="GX10" s="1859"/>
      <c r="GY10" s="1859"/>
      <c r="GZ10" s="1859"/>
      <c r="HA10" s="1859"/>
      <c r="HB10" s="1859"/>
      <c r="HC10" s="1859"/>
      <c r="HD10" s="1859"/>
      <c r="HE10" s="1859"/>
      <c r="HF10" s="1859"/>
      <c r="HG10" s="1859"/>
      <c r="HH10" s="1859"/>
      <c r="HI10" s="1859"/>
      <c r="HJ10" s="1863"/>
      <c r="HK10" s="1863"/>
      <c r="HL10" s="1863"/>
      <c r="HM10" s="1863"/>
      <c r="HN10" s="1863"/>
      <c r="HO10" s="1863"/>
      <c r="HP10" s="1863"/>
      <c r="HQ10" s="1863"/>
      <c r="HR10" s="1863"/>
      <c r="HS10" s="1863"/>
      <c r="HT10" s="1863"/>
      <c r="HU10" s="1863"/>
      <c r="HV10" s="1863"/>
      <c r="HW10" s="1863"/>
      <c r="HX10" s="1863"/>
      <c r="HY10" s="1863"/>
      <c r="HZ10" s="1863"/>
      <c r="IA10" s="1863"/>
      <c r="IB10" s="1863"/>
      <c r="IC10" s="1863"/>
      <c r="ID10" s="1864"/>
      <c r="IE10" s="1863"/>
      <c r="IF10" s="1863"/>
      <c r="IG10" s="1863"/>
      <c r="IH10" s="1863"/>
      <c r="II10" s="1863"/>
      <c r="IJ10" s="1863"/>
      <c r="IK10" s="1863"/>
      <c r="IL10" s="1863"/>
      <c r="IM10" s="1863"/>
      <c r="IN10" s="1863"/>
      <c r="IO10" s="1863"/>
      <c r="IP10" s="1863"/>
      <c r="IQ10" s="1863"/>
      <c r="IR10" s="1863"/>
      <c r="IS10" s="1863"/>
      <c r="IT10" s="1863"/>
      <c r="IU10" s="1863"/>
      <c r="IV10" s="1865"/>
      <c r="IW10" s="1863"/>
      <c r="IX10" s="1863"/>
      <c r="IY10" s="1863"/>
      <c r="IZ10" s="1863"/>
      <c r="JA10" s="1863"/>
      <c r="JB10" s="1863"/>
      <c r="JC10" s="1863"/>
      <c r="JD10" s="1863"/>
      <c r="JE10" s="1863"/>
      <c r="JF10" s="1863"/>
      <c r="JG10" s="1863"/>
      <c r="JH10" s="1863"/>
      <c r="JI10" s="1863"/>
      <c r="JJ10" s="1863"/>
      <c r="JK10" s="1863"/>
      <c r="JL10" s="1864"/>
      <c r="JM10" s="1864"/>
      <c r="JN10" s="1864"/>
      <c r="JO10" s="1864"/>
      <c r="JP10" s="1864"/>
      <c r="JQ10" s="1864"/>
      <c r="JR10" s="1864"/>
      <c r="JS10" s="1864"/>
      <c r="JT10" s="1864"/>
      <c r="JU10" s="1864"/>
      <c r="JV10" s="1864"/>
      <c r="JW10" s="1864"/>
      <c r="JX10" s="1864"/>
      <c r="JY10" s="1864"/>
      <c r="JZ10" s="1864"/>
      <c r="KA10" s="1864"/>
      <c r="KB10" s="1864"/>
      <c r="KC10" s="1864"/>
      <c r="KD10" s="1864"/>
      <c r="KE10" s="1864"/>
      <c r="KF10" s="1864"/>
      <c r="KG10" s="1864"/>
      <c r="KH10" s="1864"/>
      <c r="KI10" s="1864"/>
      <c r="KJ10" s="1863"/>
      <c r="KK10" s="1864"/>
      <c r="KL10" s="1863"/>
      <c r="KM10" s="1863"/>
      <c r="KN10" s="1863"/>
      <c r="KO10" s="1863"/>
      <c r="KP10" s="1863"/>
      <c r="KQ10" s="1866"/>
    </row>
    <row r="11" spans="1:304" s="1867" customFormat="1" ht="20.100000000000001" hidden="1" customHeight="1" outlineLevel="1">
      <c r="A11" s="1857"/>
      <c r="B11" s="1857"/>
      <c r="C11" s="1858"/>
      <c r="D11" s="1858"/>
      <c r="E11" s="1859"/>
      <c r="F11" s="1859"/>
      <c r="G11" s="1859"/>
      <c r="H11" s="1859"/>
      <c r="I11" s="1859"/>
      <c r="J11" s="1859"/>
      <c r="K11" s="1859"/>
      <c r="L11" s="1859"/>
      <c r="M11" s="1859"/>
      <c r="N11" s="1859"/>
      <c r="O11" s="1859"/>
      <c r="P11" s="1859"/>
      <c r="Q11" s="1859"/>
      <c r="R11" s="1859"/>
      <c r="S11" s="1859"/>
      <c r="T11" s="1859"/>
      <c r="U11" s="1859"/>
      <c r="V11" s="1859"/>
      <c r="W11" s="1859"/>
      <c r="X11" s="1859"/>
      <c r="Y11" s="1859"/>
      <c r="Z11" s="1859"/>
      <c r="AA11" s="1859"/>
      <c r="AB11" s="1859"/>
      <c r="AC11" s="1859"/>
      <c r="AD11" s="1859"/>
      <c r="AE11" s="1859"/>
      <c r="AF11" s="1859"/>
      <c r="AG11" s="1859"/>
      <c r="AH11" s="1859"/>
      <c r="AI11" s="1859"/>
      <c r="AJ11" s="1859"/>
      <c r="AK11" s="1859"/>
      <c r="AL11" s="1859"/>
      <c r="AM11" s="1859"/>
      <c r="AN11" s="1859"/>
      <c r="AO11" s="1859"/>
      <c r="AP11" s="1859"/>
      <c r="AQ11" s="1859"/>
      <c r="AR11" s="1859"/>
      <c r="AS11" s="1859"/>
      <c r="AT11" s="1859"/>
      <c r="AU11" s="1859"/>
      <c r="AV11" s="1859"/>
      <c r="AW11" s="1859"/>
      <c r="AX11" s="1859"/>
      <c r="AY11" s="1859"/>
      <c r="AZ11" s="1859"/>
      <c r="BA11" s="1859"/>
      <c r="BB11" s="1859"/>
      <c r="BC11" s="1859"/>
      <c r="BD11" s="1859"/>
      <c r="BE11" s="1859"/>
      <c r="BF11" s="1859"/>
      <c r="BG11" s="1859"/>
      <c r="BH11" s="1859"/>
      <c r="BI11" s="1859"/>
      <c r="BJ11" s="1859"/>
      <c r="BK11" s="1859"/>
      <c r="BL11" s="1859"/>
      <c r="BM11" s="1859"/>
      <c r="BN11" s="1859"/>
      <c r="BO11" s="1859"/>
      <c r="BP11" s="1859"/>
      <c r="BQ11" s="1859"/>
      <c r="BR11" s="1859"/>
      <c r="BS11" s="1859"/>
      <c r="BT11" s="1859"/>
      <c r="BU11" s="1859"/>
      <c r="BV11" s="1859"/>
      <c r="BW11" s="1859"/>
      <c r="BX11" s="1859"/>
      <c r="BY11" s="1859"/>
      <c r="BZ11" s="1859"/>
      <c r="CA11" s="1859"/>
      <c r="CB11" s="1859"/>
      <c r="CC11" s="1859"/>
      <c r="CD11" s="1859"/>
      <c r="CE11" s="1859"/>
      <c r="CF11" s="1859"/>
      <c r="CG11" s="1859"/>
      <c r="CH11" s="1859"/>
      <c r="CI11" s="1859"/>
      <c r="CJ11" s="1859"/>
      <c r="CK11" s="1859"/>
      <c r="CL11" s="1859"/>
      <c r="CM11" s="1859"/>
      <c r="CN11" s="1859"/>
      <c r="CO11" s="1859"/>
      <c r="CP11" s="1859"/>
      <c r="CQ11" s="1859"/>
      <c r="CR11" s="1859"/>
      <c r="CS11" s="1859"/>
      <c r="CT11" s="1859"/>
      <c r="CU11" s="1859"/>
      <c r="CV11" s="1859"/>
      <c r="CW11" s="1859"/>
      <c r="CX11" s="1859"/>
      <c r="CY11" s="1859"/>
      <c r="CZ11" s="1859"/>
      <c r="DA11" s="1859"/>
      <c r="DB11" s="1859"/>
      <c r="DC11" s="1859"/>
      <c r="DD11" s="1859"/>
      <c r="DE11" s="1859"/>
      <c r="DF11" s="1859"/>
      <c r="DG11" s="1859"/>
      <c r="DH11" s="1859"/>
      <c r="DI11" s="1859"/>
      <c r="DJ11" s="1859"/>
      <c r="DK11" s="1859"/>
      <c r="DL11" s="1859"/>
      <c r="DM11" s="1859"/>
      <c r="DN11" s="1859"/>
      <c r="DO11" s="1859"/>
      <c r="DP11" s="1859"/>
      <c r="DQ11" s="1859"/>
      <c r="DR11" s="1859"/>
      <c r="DS11" s="1859"/>
      <c r="DT11" s="1859"/>
      <c r="DU11" s="1859"/>
      <c r="DV11" s="1859"/>
      <c r="DW11" s="1859"/>
      <c r="DX11" s="1859"/>
      <c r="DY11" s="1859"/>
      <c r="DZ11" s="1859"/>
      <c r="EA11" s="1859"/>
      <c r="EB11" s="1859"/>
      <c r="EC11" s="1859"/>
      <c r="ED11" s="1859"/>
      <c r="EE11" s="1859"/>
      <c r="EF11" s="1859"/>
      <c r="EG11" s="1859"/>
      <c r="EH11" s="1859"/>
      <c r="EI11" s="1859"/>
      <c r="EJ11" s="1859"/>
      <c r="EK11" s="1859"/>
      <c r="EL11" s="1859"/>
      <c r="EM11" s="1859"/>
      <c r="EN11" s="1859"/>
      <c r="EO11" s="1859"/>
      <c r="EP11" s="1859"/>
      <c r="EQ11" s="1859"/>
      <c r="ER11" s="1859"/>
      <c r="ES11" s="1859"/>
      <c r="ET11" s="1859"/>
      <c r="EU11" s="1859"/>
      <c r="EV11" s="1859"/>
      <c r="EW11" s="1860"/>
      <c r="EX11" s="1861"/>
      <c r="EY11" s="1859"/>
      <c r="EZ11" s="1859"/>
      <c r="FA11" s="1859"/>
      <c r="FB11" s="1859"/>
      <c r="FC11" s="1859"/>
      <c r="FD11" s="1859"/>
      <c r="FE11" s="1859"/>
      <c r="FF11" s="1859"/>
      <c r="FG11" s="1859"/>
      <c r="FH11" s="1859"/>
      <c r="FI11" s="1859"/>
      <c r="FJ11" s="1859"/>
      <c r="FK11" s="1859"/>
      <c r="FL11" s="1859"/>
      <c r="FM11" s="1859"/>
      <c r="FN11" s="1859"/>
      <c r="FO11" s="1859"/>
      <c r="FP11" s="1859"/>
      <c r="FQ11" s="1859"/>
      <c r="FR11" s="1859"/>
      <c r="FS11" s="1859"/>
      <c r="FT11" s="1859"/>
      <c r="FU11" s="1859"/>
      <c r="FV11" s="1859"/>
      <c r="FW11" s="1859"/>
      <c r="FX11" s="1859"/>
      <c r="FY11" s="1859"/>
      <c r="FZ11" s="1859"/>
      <c r="GA11" s="1862"/>
      <c r="GB11" s="1859"/>
      <c r="GC11" s="1859"/>
      <c r="GD11" s="1859"/>
      <c r="GE11" s="1859"/>
      <c r="GF11" s="1859"/>
      <c r="GG11" s="1859"/>
      <c r="GH11" s="1859"/>
      <c r="GI11" s="1859"/>
      <c r="GJ11" s="1859"/>
      <c r="GK11" s="1859"/>
      <c r="GL11" s="1859"/>
      <c r="GM11" s="1859"/>
      <c r="GN11" s="1859"/>
      <c r="GO11" s="1859"/>
      <c r="GP11" s="1859"/>
      <c r="GQ11" s="1859"/>
      <c r="GR11" s="1859"/>
      <c r="GS11" s="1859"/>
      <c r="GT11" s="1859"/>
      <c r="GU11" s="1859"/>
      <c r="GV11" s="1859"/>
      <c r="GW11" s="1859"/>
      <c r="GX11" s="1859"/>
      <c r="GY11" s="1859"/>
      <c r="GZ11" s="1859"/>
      <c r="HA11" s="1859"/>
      <c r="HB11" s="1859"/>
      <c r="HC11" s="1859"/>
      <c r="HD11" s="1859"/>
      <c r="HE11" s="1859"/>
      <c r="HF11" s="1859"/>
      <c r="HG11" s="1859"/>
      <c r="HH11" s="1859"/>
      <c r="HI11" s="1859"/>
      <c r="HJ11" s="1863"/>
      <c r="HK11" s="1863"/>
      <c r="HL11" s="1863"/>
      <c r="HM11" s="1863"/>
      <c r="HN11" s="1863"/>
      <c r="HO11" s="1863"/>
      <c r="HP11" s="1863"/>
      <c r="HQ11" s="1863"/>
      <c r="HR11" s="1863"/>
      <c r="HS11" s="1863"/>
      <c r="HT11" s="1863"/>
      <c r="HU11" s="1863"/>
      <c r="HV11" s="1863"/>
      <c r="HW11" s="1863"/>
      <c r="HX11" s="1863"/>
      <c r="HY11" s="1863"/>
      <c r="HZ11" s="1863"/>
      <c r="IA11" s="1863"/>
      <c r="IB11" s="1863"/>
      <c r="IC11" s="1863"/>
      <c r="ID11" s="1864"/>
      <c r="IE11" s="1863"/>
      <c r="IF11" s="1863"/>
      <c r="IG11" s="1863"/>
      <c r="IH11" s="1863"/>
      <c r="II11" s="1863"/>
      <c r="IJ11" s="1863"/>
      <c r="IK11" s="1863"/>
      <c r="IL11" s="1863"/>
      <c r="IM11" s="1863"/>
      <c r="IN11" s="1863"/>
      <c r="IO11" s="1863"/>
      <c r="IP11" s="1863"/>
      <c r="IQ11" s="1863"/>
      <c r="IR11" s="1863"/>
      <c r="IS11" s="1863"/>
      <c r="IT11" s="1863"/>
      <c r="IU11" s="1863"/>
      <c r="IV11" s="1865"/>
      <c r="IW11" s="1863"/>
      <c r="IX11" s="1863"/>
      <c r="IY11" s="1863"/>
      <c r="IZ11" s="1863"/>
      <c r="JA11" s="1863"/>
      <c r="JB11" s="1863"/>
      <c r="JC11" s="1863"/>
      <c r="JD11" s="1863"/>
      <c r="JE11" s="1863"/>
      <c r="JF11" s="1863"/>
      <c r="JG11" s="1863"/>
      <c r="JH11" s="1863"/>
      <c r="JI11" s="1863"/>
      <c r="JJ11" s="1863"/>
      <c r="JK11" s="1863"/>
      <c r="JL11" s="1864"/>
      <c r="JM11" s="1864"/>
      <c r="JN11" s="1864"/>
      <c r="JO11" s="1864"/>
      <c r="JP11" s="1864"/>
      <c r="JQ11" s="1864"/>
      <c r="JR11" s="1864"/>
      <c r="JS11" s="1864"/>
      <c r="JT11" s="1864"/>
      <c r="JU11" s="1864"/>
      <c r="JV11" s="1864"/>
      <c r="JW11" s="1864"/>
      <c r="JX11" s="1864"/>
      <c r="JY11" s="1864"/>
      <c r="JZ11" s="1864"/>
      <c r="KA11" s="1864"/>
      <c r="KB11" s="1864"/>
      <c r="KC11" s="1864"/>
      <c r="KD11" s="1864"/>
      <c r="KE11" s="1864"/>
      <c r="KF11" s="1864"/>
      <c r="KG11" s="1864"/>
      <c r="KH11" s="1864"/>
      <c r="KI11" s="1864"/>
      <c r="KJ11" s="1863"/>
      <c r="KK11" s="1864"/>
      <c r="KL11" s="1863"/>
      <c r="KM11" s="1863"/>
      <c r="KN11" s="1863"/>
      <c r="KO11" s="1863"/>
      <c r="KP11" s="1863"/>
      <c r="KQ11" s="1866"/>
    </row>
    <row r="12" spans="1:304" s="1867" customFormat="1" ht="20.100000000000001" hidden="1" customHeight="1" outlineLevel="1">
      <c r="A12" s="1857"/>
      <c r="B12" s="1857"/>
      <c r="C12" s="1858"/>
      <c r="D12" s="1858"/>
      <c r="E12" s="1859"/>
      <c r="F12" s="1859"/>
      <c r="G12" s="1859"/>
      <c r="H12" s="1859"/>
      <c r="I12" s="1859"/>
      <c r="J12" s="1859"/>
      <c r="K12" s="1859"/>
      <c r="L12" s="1859"/>
      <c r="M12" s="1859"/>
      <c r="N12" s="1859"/>
      <c r="O12" s="1859"/>
      <c r="P12" s="1859"/>
      <c r="Q12" s="1859"/>
      <c r="R12" s="1859"/>
      <c r="S12" s="1859"/>
      <c r="T12" s="1859"/>
      <c r="U12" s="1859"/>
      <c r="V12" s="1859"/>
      <c r="W12" s="1859"/>
      <c r="X12" s="1859"/>
      <c r="Y12" s="1859"/>
      <c r="Z12" s="1859"/>
      <c r="AA12" s="1859"/>
      <c r="AB12" s="1859"/>
      <c r="AC12" s="1859"/>
      <c r="AD12" s="1859"/>
      <c r="AE12" s="1859"/>
      <c r="AF12" s="1859"/>
      <c r="AG12" s="1859"/>
      <c r="AH12" s="1859"/>
      <c r="AI12" s="1859"/>
      <c r="AJ12" s="1859"/>
      <c r="AK12" s="1859"/>
      <c r="AL12" s="1859"/>
      <c r="AM12" s="1859"/>
      <c r="AN12" s="1859"/>
      <c r="AO12" s="1859"/>
      <c r="AP12" s="1859"/>
      <c r="AQ12" s="1859"/>
      <c r="AR12" s="1859"/>
      <c r="AS12" s="1859"/>
      <c r="AT12" s="1859"/>
      <c r="AU12" s="1859"/>
      <c r="AV12" s="1859"/>
      <c r="AW12" s="1859"/>
      <c r="AX12" s="1859"/>
      <c r="AY12" s="1859"/>
      <c r="AZ12" s="1859"/>
      <c r="BA12" s="1859"/>
      <c r="BB12" s="1859"/>
      <c r="BC12" s="1859"/>
      <c r="BD12" s="1859"/>
      <c r="BE12" s="1859"/>
      <c r="BF12" s="1859"/>
      <c r="BG12" s="1859"/>
      <c r="BH12" s="1859"/>
      <c r="BI12" s="1859"/>
      <c r="BJ12" s="1859"/>
      <c r="BK12" s="1859"/>
      <c r="BL12" s="1859"/>
      <c r="BM12" s="1859"/>
      <c r="BN12" s="1859"/>
      <c r="BO12" s="1859"/>
      <c r="BP12" s="1859"/>
      <c r="BQ12" s="1859"/>
      <c r="BR12" s="1859"/>
      <c r="BS12" s="1859"/>
      <c r="BT12" s="1859"/>
      <c r="BU12" s="1859"/>
      <c r="BV12" s="1859"/>
      <c r="BW12" s="1859"/>
      <c r="BX12" s="1859"/>
      <c r="BY12" s="1859"/>
      <c r="BZ12" s="1859"/>
      <c r="CA12" s="1859"/>
      <c r="CB12" s="1859"/>
      <c r="CC12" s="1859"/>
      <c r="CD12" s="1859"/>
      <c r="CE12" s="1859"/>
      <c r="CF12" s="1859"/>
      <c r="CG12" s="1859"/>
      <c r="CH12" s="1859"/>
      <c r="CI12" s="1859"/>
      <c r="CJ12" s="1859"/>
      <c r="CK12" s="1859"/>
      <c r="CL12" s="1859"/>
      <c r="CM12" s="1859"/>
      <c r="CN12" s="1859"/>
      <c r="CO12" s="1859"/>
      <c r="CP12" s="1859"/>
      <c r="CQ12" s="1859"/>
      <c r="CR12" s="1859"/>
      <c r="CS12" s="1859"/>
      <c r="CT12" s="1859"/>
      <c r="CU12" s="1859"/>
      <c r="CV12" s="1859"/>
      <c r="CW12" s="1859"/>
      <c r="CX12" s="1859"/>
      <c r="CY12" s="1859"/>
      <c r="CZ12" s="1859"/>
      <c r="DA12" s="1859"/>
      <c r="DB12" s="1859"/>
      <c r="DC12" s="1859"/>
      <c r="DD12" s="1859"/>
      <c r="DE12" s="1859"/>
      <c r="DF12" s="1859"/>
      <c r="DG12" s="1859"/>
      <c r="DH12" s="1859"/>
      <c r="DI12" s="1859"/>
      <c r="DJ12" s="1859"/>
      <c r="DK12" s="1859"/>
      <c r="DL12" s="1859"/>
      <c r="DM12" s="1859"/>
      <c r="DN12" s="1859"/>
      <c r="DO12" s="1859"/>
      <c r="DP12" s="1859"/>
      <c r="DQ12" s="1859"/>
      <c r="DR12" s="1859"/>
      <c r="DS12" s="1859"/>
      <c r="DT12" s="1859"/>
      <c r="DU12" s="1859"/>
      <c r="DV12" s="1859"/>
      <c r="DW12" s="1859"/>
      <c r="DX12" s="1859"/>
      <c r="DY12" s="1859"/>
      <c r="DZ12" s="1859"/>
      <c r="EA12" s="1859"/>
      <c r="EB12" s="1859"/>
      <c r="EC12" s="1859"/>
      <c r="ED12" s="1859"/>
      <c r="EE12" s="1859"/>
      <c r="EF12" s="1859"/>
      <c r="EG12" s="1859"/>
      <c r="EH12" s="1859"/>
      <c r="EI12" s="1859"/>
      <c r="EJ12" s="1859"/>
      <c r="EK12" s="1859"/>
      <c r="EL12" s="1859"/>
      <c r="EM12" s="1859"/>
      <c r="EN12" s="1859"/>
      <c r="EO12" s="1859"/>
      <c r="EP12" s="1859"/>
      <c r="EQ12" s="1859"/>
      <c r="ER12" s="1859"/>
      <c r="ES12" s="1859"/>
      <c r="ET12" s="1859"/>
      <c r="EU12" s="1859"/>
      <c r="EV12" s="1859"/>
      <c r="EW12" s="1860"/>
      <c r="EX12" s="1861"/>
      <c r="EY12" s="1859"/>
      <c r="EZ12" s="1859"/>
      <c r="FA12" s="1859"/>
      <c r="FB12" s="1859"/>
      <c r="FC12" s="1859"/>
      <c r="FD12" s="1859"/>
      <c r="FE12" s="1859"/>
      <c r="FF12" s="1859"/>
      <c r="FG12" s="1859"/>
      <c r="FH12" s="1859"/>
      <c r="FI12" s="1859"/>
      <c r="FJ12" s="1859"/>
      <c r="FK12" s="1859"/>
      <c r="FL12" s="1859"/>
      <c r="FM12" s="1859"/>
      <c r="FN12" s="1859"/>
      <c r="FO12" s="1859"/>
      <c r="FP12" s="1859"/>
      <c r="FQ12" s="1859"/>
      <c r="FR12" s="1859"/>
      <c r="FS12" s="1859"/>
      <c r="FT12" s="1859"/>
      <c r="FU12" s="1859"/>
      <c r="FV12" s="1859"/>
      <c r="FW12" s="1859"/>
      <c r="FX12" s="1859"/>
      <c r="FY12" s="1859"/>
      <c r="FZ12" s="1859"/>
      <c r="GA12" s="1862"/>
      <c r="GB12" s="1859"/>
      <c r="GC12" s="1859"/>
      <c r="GD12" s="1859"/>
      <c r="GE12" s="1859"/>
      <c r="GF12" s="1859"/>
      <c r="GG12" s="1859"/>
      <c r="GH12" s="1859"/>
      <c r="GI12" s="1859"/>
      <c r="GJ12" s="1859"/>
      <c r="GK12" s="1859"/>
      <c r="GL12" s="1859"/>
      <c r="GM12" s="1859"/>
      <c r="GN12" s="1859"/>
      <c r="GO12" s="1859"/>
      <c r="GP12" s="1859"/>
      <c r="GQ12" s="1859"/>
      <c r="GR12" s="1859"/>
      <c r="GS12" s="1859"/>
      <c r="GT12" s="1859"/>
      <c r="GU12" s="1859"/>
      <c r="GV12" s="1859"/>
      <c r="GW12" s="1859"/>
      <c r="GX12" s="1859"/>
      <c r="GY12" s="1859"/>
      <c r="GZ12" s="1859"/>
      <c r="HA12" s="1859"/>
      <c r="HB12" s="1859"/>
      <c r="HC12" s="1859"/>
      <c r="HD12" s="1859"/>
      <c r="HE12" s="1859"/>
      <c r="HF12" s="1859"/>
      <c r="HG12" s="1859"/>
      <c r="HH12" s="1859"/>
      <c r="HI12" s="1859"/>
      <c r="HJ12" s="1863"/>
      <c r="HK12" s="1863"/>
      <c r="HL12" s="1863"/>
      <c r="HM12" s="1863"/>
      <c r="HN12" s="1863"/>
      <c r="HO12" s="1863"/>
      <c r="HP12" s="1863"/>
      <c r="HQ12" s="1863"/>
      <c r="HR12" s="1863"/>
      <c r="HS12" s="1863"/>
      <c r="HT12" s="1863"/>
      <c r="HU12" s="1863"/>
      <c r="HV12" s="1863"/>
      <c r="HW12" s="1863"/>
      <c r="HX12" s="1863"/>
      <c r="HY12" s="1863"/>
      <c r="HZ12" s="1863"/>
      <c r="IA12" s="1863"/>
      <c r="IB12" s="1863"/>
      <c r="IC12" s="1863"/>
      <c r="ID12" s="1864"/>
      <c r="IE12" s="1863"/>
      <c r="IF12" s="1863"/>
      <c r="IG12" s="1863"/>
      <c r="IH12" s="1863"/>
      <c r="II12" s="1863"/>
      <c r="IJ12" s="1863"/>
      <c r="IK12" s="1863"/>
      <c r="IL12" s="1863"/>
      <c r="IM12" s="1863"/>
      <c r="IN12" s="1863"/>
      <c r="IO12" s="1863"/>
      <c r="IP12" s="1863"/>
      <c r="IQ12" s="1863"/>
      <c r="IR12" s="1863"/>
      <c r="IS12" s="1863"/>
      <c r="IT12" s="1863"/>
      <c r="IU12" s="1863"/>
      <c r="IV12" s="1865"/>
      <c r="IW12" s="1863"/>
      <c r="IX12" s="1863"/>
      <c r="IY12" s="1863"/>
      <c r="IZ12" s="1863"/>
      <c r="JA12" s="1863"/>
      <c r="JB12" s="1863"/>
      <c r="JC12" s="1863"/>
      <c r="JD12" s="1863"/>
      <c r="JE12" s="1863"/>
      <c r="JF12" s="1863"/>
      <c r="JG12" s="1863"/>
      <c r="JH12" s="1863"/>
      <c r="JI12" s="1863"/>
      <c r="JJ12" s="1863"/>
      <c r="JK12" s="1863"/>
      <c r="JL12" s="1864"/>
      <c r="JM12" s="1864"/>
      <c r="JN12" s="1864"/>
      <c r="JO12" s="1864"/>
      <c r="JP12" s="1864"/>
      <c r="JQ12" s="1864"/>
      <c r="JR12" s="1864"/>
      <c r="JS12" s="1864"/>
      <c r="JT12" s="1864"/>
      <c r="JU12" s="1864"/>
      <c r="JV12" s="1864"/>
      <c r="JW12" s="1864"/>
      <c r="JX12" s="1864"/>
      <c r="JY12" s="1864"/>
      <c r="JZ12" s="1864"/>
      <c r="KA12" s="1864"/>
      <c r="KB12" s="1864"/>
      <c r="KC12" s="1864"/>
      <c r="KD12" s="1864"/>
      <c r="KE12" s="1864"/>
      <c r="KF12" s="1864"/>
      <c r="KG12" s="1864"/>
      <c r="KH12" s="1864"/>
      <c r="KI12" s="1864"/>
      <c r="KJ12" s="1863"/>
      <c r="KK12" s="1864"/>
      <c r="KL12" s="1863"/>
      <c r="KM12" s="1863"/>
      <c r="KN12" s="1863"/>
      <c r="KO12" s="1863"/>
      <c r="KP12" s="1863"/>
      <c r="KQ12" s="1866"/>
    </row>
    <row r="13" spans="1:304" s="1867" customFormat="1" ht="20.100000000000001" customHeight="1" outlineLevel="1">
      <c r="A13" s="1857"/>
      <c r="B13" s="1857"/>
      <c r="C13" s="1858"/>
      <c r="D13" s="1858"/>
      <c r="E13" s="1859"/>
      <c r="F13" s="1859"/>
      <c r="G13" s="1859"/>
      <c r="H13" s="1859"/>
      <c r="I13" s="1859"/>
      <c r="J13" s="1859"/>
      <c r="K13" s="1859"/>
      <c r="L13" s="1859"/>
      <c r="M13" s="1859"/>
      <c r="N13" s="1859"/>
      <c r="O13" s="1859"/>
      <c r="P13" s="1859"/>
      <c r="Q13" s="1859"/>
      <c r="R13" s="1859"/>
      <c r="S13" s="1859"/>
      <c r="T13" s="1859"/>
      <c r="U13" s="1859"/>
      <c r="V13" s="1859"/>
      <c r="W13" s="1859"/>
      <c r="X13" s="1859"/>
      <c r="Y13" s="1859"/>
      <c r="Z13" s="1859"/>
      <c r="AA13" s="1859"/>
      <c r="AB13" s="1859"/>
      <c r="AC13" s="1859"/>
      <c r="AD13" s="1859"/>
      <c r="AE13" s="1859"/>
      <c r="AF13" s="1859"/>
      <c r="AG13" s="1859"/>
      <c r="AH13" s="1859"/>
      <c r="AI13" s="1859"/>
      <c r="AJ13" s="1859"/>
      <c r="AK13" s="1859"/>
      <c r="AL13" s="1859"/>
      <c r="AM13" s="1859"/>
      <c r="AN13" s="1859"/>
      <c r="AO13" s="1859"/>
      <c r="AP13" s="1859"/>
      <c r="AQ13" s="1859"/>
      <c r="AR13" s="1859"/>
      <c r="AS13" s="1859"/>
      <c r="AT13" s="1859"/>
      <c r="AU13" s="1859"/>
      <c r="AV13" s="1859"/>
      <c r="AW13" s="1859"/>
      <c r="AX13" s="1859"/>
      <c r="AY13" s="1859"/>
      <c r="AZ13" s="1859"/>
      <c r="BA13" s="1859"/>
      <c r="BB13" s="1859"/>
      <c r="BC13" s="1859"/>
      <c r="BD13" s="1859"/>
      <c r="BE13" s="1859"/>
      <c r="BF13" s="1859"/>
      <c r="BG13" s="1859"/>
      <c r="BH13" s="1859"/>
      <c r="BI13" s="1859"/>
      <c r="BJ13" s="1859"/>
      <c r="BK13" s="1859"/>
      <c r="BL13" s="1859"/>
      <c r="BM13" s="1859"/>
      <c r="BN13" s="1859"/>
      <c r="BO13" s="1859"/>
      <c r="BP13" s="1859"/>
      <c r="BQ13" s="1859"/>
      <c r="BR13" s="1859"/>
      <c r="BS13" s="1859"/>
      <c r="BT13" s="1859"/>
      <c r="BU13" s="1859"/>
      <c r="BV13" s="1859"/>
      <c r="BW13" s="1859"/>
      <c r="BX13" s="1859"/>
      <c r="BY13" s="1859"/>
      <c r="BZ13" s="1859"/>
      <c r="CA13" s="1859"/>
      <c r="CB13" s="1859"/>
      <c r="CC13" s="1859"/>
      <c r="CD13" s="1859"/>
      <c r="CE13" s="1859"/>
      <c r="CF13" s="1859"/>
      <c r="CG13" s="1859"/>
      <c r="CH13" s="1859"/>
      <c r="CI13" s="1859"/>
      <c r="CJ13" s="1859"/>
      <c r="CK13" s="1859"/>
      <c r="CL13" s="1859"/>
      <c r="CM13" s="1859"/>
      <c r="CN13" s="1859"/>
      <c r="CO13" s="1859"/>
      <c r="CP13" s="1859"/>
      <c r="CQ13" s="1859"/>
      <c r="CR13" s="1859"/>
      <c r="CS13" s="1859"/>
      <c r="CT13" s="1859"/>
      <c r="CU13" s="1859"/>
      <c r="CV13" s="1859"/>
      <c r="CW13" s="1859"/>
      <c r="CX13" s="1859"/>
      <c r="CY13" s="1859"/>
      <c r="CZ13" s="1859"/>
      <c r="DA13" s="1859"/>
      <c r="DB13" s="1859"/>
      <c r="DC13" s="1859"/>
      <c r="DD13" s="1859"/>
      <c r="DE13" s="1859"/>
      <c r="DF13" s="1859"/>
      <c r="DG13" s="1859"/>
      <c r="DH13" s="1859"/>
      <c r="DI13" s="1859"/>
      <c r="DJ13" s="1859"/>
      <c r="DK13" s="1859"/>
      <c r="DL13" s="1859"/>
      <c r="DM13" s="1859"/>
      <c r="DN13" s="1859"/>
      <c r="DO13" s="1859"/>
      <c r="DP13" s="1859"/>
      <c r="DQ13" s="1859"/>
      <c r="DR13" s="1859"/>
      <c r="DS13" s="1859"/>
      <c r="DT13" s="1859"/>
      <c r="DU13" s="1859"/>
      <c r="DV13" s="1859"/>
      <c r="DW13" s="1859"/>
      <c r="DX13" s="1859"/>
      <c r="DY13" s="1859"/>
      <c r="DZ13" s="1859"/>
      <c r="EA13" s="1859"/>
      <c r="EB13" s="1859"/>
      <c r="EC13" s="1859"/>
      <c r="ED13" s="1859"/>
      <c r="EE13" s="1859"/>
      <c r="EF13" s="1859"/>
      <c r="EG13" s="1859"/>
      <c r="EH13" s="1859"/>
      <c r="EI13" s="1859"/>
      <c r="EJ13" s="1859"/>
      <c r="EK13" s="1859"/>
      <c r="EL13" s="1859"/>
      <c r="EM13" s="1859"/>
      <c r="EN13" s="1859"/>
      <c r="EO13" s="1859"/>
      <c r="EP13" s="1859"/>
      <c r="EQ13" s="1859"/>
      <c r="ER13" s="1859"/>
      <c r="ES13" s="1859"/>
      <c r="ET13" s="1859"/>
      <c r="EU13" s="1859"/>
      <c r="EV13" s="1859"/>
      <c r="EW13" s="1860"/>
      <c r="EX13" s="1861"/>
      <c r="EY13" s="1859"/>
      <c r="EZ13" s="1859"/>
      <c r="FA13" s="1859"/>
      <c r="FB13" s="1859"/>
      <c r="FC13" s="1859"/>
      <c r="FD13" s="1859"/>
      <c r="FE13" s="1859"/>
      <c r="FF13" s="1859"/>
      <c r="FG13" s="1859"/>
      <c r="FH13" s="1859"/>
      <c r="FI13" s="1859"/>
      <c r="FJ13" s="1859"/>
      <c r="FK13" s="1859"/>
      <c r="FL13" s="1859"/>
      <c r="FM13" s="1859"/>
      <c r="FN13" s="1859"/>
      <c r="FO13" s="1859"/>
      <c r="FP13" s="1859"/>
      <c r="FQ13" s="1859"/>
      <c r="FR13" s="1859"/>
      <c r="FS13" s="1859"/>
      <c r="FT13" s="1859"/>
      <c r="FU13" s="1859"/>
      <c r="FV13" s="1859"/>
      <c r="FW13" s="1859"/>
      <c r="FX13" s="1859"/>
      <c r="FY13" s="1859"/>
      <c r="FZ13" s="1859"/>
      <c r="GA13" s="1862"/>
      <c r="GB13" s="1859"/>
      <c r="GC13" s="1859"/>
      <c r="GD13" s="1859"/>
      <c r="GE13" s="1859"/>
      <c r="GF13" s="1859"/>
      <c r="GG13" s="1859"/>
      <c r="GH13" s="1859"/>
      <c r="GI13" s="1859"/>
      <c r="GJ13" s="1859"/>
      <c r="GK13" s="1859"/>
      <c r="GL13" s="1859"/>
      <c r="GM13" s="1859"/>
      <c r="GN13" s="1859"/>
      <c r="GO13" s="1859"/>
      <c r="GP13" s="1859"/>
      <c r="GQ13" s="1859"/>
      <c r="GR13" s="1859"/>
      <c r="GS13" s="1859"/>
      <c r="GT13" s="1859"/>
      <c r="GU13" s="1859"/>
      <c r="GV13" s="1859"/>
      <c r="GW13" s="1859"/>
      <c r="GX13" s="1859"/>
      <c r="GY13" s="1859"/>
      <c r="GZ13" s="1859"/>
      <c r="HA13" s="1859"/>
      <c r="HB13" s="1859"/>
      <c r="HC13" s="1859"/>
      <c r="HD13" s="1859"/>
      <c r="HE13" s="1859"/>
      <c r="HF13" s="1859"/>
      <c r="HG13" s="1859"/>
      <c r="HH13" s="1859"/>
      <c r="HI13" s="1859"/>
      <c r="HJ13" s="1863"/>
      <c r="HK13" s="1863"/>
      <c r="HL13" s="1863"/>
      <c r="HM13" s="1863"/>
      <c r="HN13" s="1863"/>
      <c r="HO13" s="1863"/>
      <c r="HP13" s="1863"/>
      <c r="HQ13" s="1863"/>
      <c r="HR13" s="1863"/>
      <c r="HS13" s="1863"/>
      <c r="HT13" s="1863"/>
      <c r="HU13" s="1863"/>
      <c r="HV13" s="1863"/>
      <c r="HW13" s="1863"/>
      <c r="HX13" s="1863"/>
      <c r="HY13" s="1863"/>
      <c r="HZ13" s="1863"/>
      <c r="IA13" s="1863"/>
      <c r="IB13" s="1863"/>
      <c r="IC13" s="1863"/>
      <c r="ID13" s="1864"/>
      <c r="IE13" s="1863"/>
      <c r="IF13" s="1863"/>
      <c r="IG13" s="1863"/>
      <c r="IH13" s="1863"/>
      <c r="II13" s="1863"/>
      <c r="IJ13" s="1863"/>
      <c r="IK13" s="1863"/>
      <c r="IL13" s="1863"/>
      <c r="IM13" s="1863"/>
      <c r="IN13" s="1863"/>
      <c r="IO13" s="1863"/>
      <c r="IP13" s="1863"/>
      <c r="IQ13" s="1863"/>
      <c r="IR13" s="1863"/>
      <c r="IS13" s="1863"/>
      <c r="IT13" s="1863"/>
      <c r="IU13" s="1863"/>
      <c r="IV13" s="1865"/>
      <c r="IW13" s="1863"/>
      <c r="IX13" s="1863"/>
      <c r="IY13" s="1863"/>
      <c r="IZ13" s="1863"/>
      <c r="JA13" s="1863"/>
      <c r="JB13" s="1863"/>
      <c r="JC13" s="1863"/>
      <c r="JD13" s="1863"/>
      <c r="JE13" s="1863"/>
      <c r="JF13" s="1863"/>
      <c r="JG13" s="1863"/>
      <c r="JH13" s="1863"/>
      <c r="JI13" s="1863"/>
      <c r="JJ13" s="1863"/>
      <c r="JK13" s="1863"/>
      <c r="JL13" s="1864"/>
      <c r="JM13" s="1864"/>
      <c r="JN13" s="1864"/>
      <c r="JO13" s="1864"/>
      <c r="JP13" s="1864"/>
      <c r="JQ13" s="1864"/>
      <c r="JR13" s="1864"/>
      <c r="JS13" s="1864"/>
      <c r="JT13" s="1864"/>
      <c r="JU13" s="1864"/>
      <c r="JV13" s="1864"/>
      <c r="JW13" s="1864"/>
      <c r="JX13" s="1864"/>
      <c r="JY13" s="1864"/>
      <c r="JZ13" s="1864"/>
      <c r="KA13" s="1864"/>
      <c r="KB13" s="1864"/>
      <c r="KC13" s="1864"/>
      <c r="KD13" s="1864"/>
      <c r="KE13" s="1864"/>
      <c r="KF13" s="1864"/>
      <c r="KG13" s="1864"/>
      <c r="KH13" s="1864"/>
      <c r="KI13" s="1864"/>
      <c r="KJ13" s="1863"/>
      <c r="KK13" s="1864"/>
      <c r="KL13" s="1863"/>
      <c r="KM13" s="1863"/>
      <c r="KN13" s="1863"/>
      <c r="KO13" s="1863"/>
      <c r="KP13" s="1863"/>
      <c r="KQ13" s="1866"/>
    </row>
    <row r="14" spans="1:304" s="1867" customFormat="1" ht="20.100000000000001" hidden="1" customHeight="1" outlineLevel="1">
      <c r="A14" s="1857"/>
      <c r="B14" s="1857"/>
      <c r="C14" s="1858"/>
      <c r="D14" s="1858"/>
      <c r="E14" s="1859"/>
      <c r="F14" s="1859"/>
      <c r="G14" s="1859"/>
      <c r="H14" s="1859"/>
      <c r="I14" s="1859"/>
      <c r="J14" s="1859"/>
      <c r="K14" s="1859"/>
      <c r="L14" s="1859"/>
      <c r="M14" s="1859"/>
      <c r="N14" s="1859"/>
      <c r="O14" s="1859"/>
      <c r="P14" s="1859"/>
      <c r="Q14" s="1859"/>
      <c r="R14" s="1859"/>
      <c r="S14" s="1859"/>
      <c r="T14" s="1859"/>
      <c r="U14" s="1859"/>
      <c r="V14" s="1859"/>
      <c r="W14" s="1859"/>
      <c r="X14" s="1859"/>
      <c r="Y14" s="1859"/>
      <c r="Z14" s="1859"/>
      <c r="AA14" s="1859"/>
      <c r="AB14" s="1859"/>
      <c r="AC14" s="1859"/>
      <c r="AD14" s="1859"/>
      <c r="AE14" s="1859"/>
      <c r="AF14" s="1859"/>
      <c r="AG14" s="1859"/>
      <c r="AH14" s="1859"/>
      <c r="AI14" s="1859"/>
      <c r="AJ14" s="1859"/>
      <c r="AK14" s="1859"/>
      <c r="AL14" s="1859"/>
      <c r="AM14" s="1859"/>
      <c r="AN14" s="1859"/>
      <c r="AO14" s="1859"/>
      <c r="AP14" s="1859"/>
      <c r="AQ14" s="1859"/>
      <c r="AR14" s="1859"/>
      <c r="AS14" s="1859"/>
      <c r="AT14" s="1859"/>
      <c r="AU14" s="1859"/>
      <c r="AV14" s="1859"/>
      <c r="AW14" s="1859"/>
      <c r="AX14" s="1859"/>
      <c r="AY14" s="1859"/>
      <c r="AZ14" s="1859"/>
      <c r="BA14" s="1859"/>
      <c r="BB14" s="1859"/>
      <c r="BC14" s="1859"/>
      <c r="BD14" s="1859"/>
      <c r="BE14" s="1859"/>
      <c r="BF14" s="1859"/>
      <c r="BG14" s="1859"/>
      <c r="BH14" s="1859"/>
      <c r="BI14" s="1859"/>
      <c r="BJ14" s="1859"/>
      <c r="BK14" s="1859"/>
      <c r="BL14" s="1859"/>
      <c r="BM14" s="1859"/>
      <c r="BN14" s="1859"/>
      <c r="BO14" s="1859"/>
      <c r="BP14" s="1859"/>
      <c r="BQ14" s="1859"/>
      <c r="BR14" s="1859"/>
      <c r="BS14" s="1859"/>
      <c r="BT14" s="1859"/>
      <c r="BU14" s="1859"/>
      <c r="BV14" s="1859"/>
      <c r="BW14" s="1859"/>
      <c r="BX14" s="1859"/>
      <c r="BY14" s="1859"/>
      <c r="BZ14" s="1859"/>
      <c r="CA14" s="1859"/>
      <c r="CB14" s="1859"/>
      <c r="CC14" s="1859"/>
      <c r="CD14" s="1859"/>
      <c r="CE14" s="1859"/>
      <c r="CF14" s="1859"/>
      <c r="CG14" s="1859"/>
      <c r="CH14" s="1859"/>
      <c r="CI14" s="1859"/>
      <c r="CJ14" s="1859"/>
      <c r="CK14" s="1859"/>
      <c r="CL14" s="1859"/>
      <c r="CM14" s="1859"/>
      <c r="CN14" s="1859"/>
      <c r="CO14" s="1859"/>
      <c r="CP14" s="1859"/>
      <c r="CQ14" s="1859"/>
      <c r="CR14" s="1859"/>
      <c r="CS14" s="1859"/>
      <c r="CT14" s="1859"/>
      <c r="CU14" s="1859"/>
      <c r="CV14" s="1859"/>
      <c r="CW14" s="1859"/>
      <c r="CX14" s="1859"/>
      <c r="CY14" s="1859"/>
      <c r="CZ14" s="1859"/>
      <c r="DA14" s="1859"/>
      <c r="DB14" s="1859"/>
      <c r="DC14" s="1859"/>
      <c r="DD14" s="1859"/>
      <c r="DE14" s="1859"/>
      <c r="DF14" s="1859"/>
      <c r="DG14" s="1859"/>
      <c r="DH14" s="1859"/>
      <c r="DI14" s="1859"/>
      <c r="DJ14" s="1859"/>
      <c r="DK14" s="1859"/>
      <c r="DL14" s="1859"/>
      <c r="DM14" s="1859"/>
      <c r="DN14" s="1859"/>
      <c r="DO14" s="1859"/>
      <c r="DP14" s="1859"/>
      <c r="DQ14" s="1859"/>
      <c r="DR14" s="1859"/>
      <c r="DS14" s="1859"/>
      <c r="DT14" s="1859"/>
      <c r="DU14" s="1859"/>
      <c r="DV14" s="1859"/>
      <c r="DW14" s="1859"/>
      <c r="DX14" s="1859"/>
      <c r="DY14" s="1859"/>
      <c r="DZ14" s="1859"/>
      <c r="EA14" s="1859"/>
      <c r="EB14" s="1859"/>
      <c r="EC14" s="1859"/>
      <c r="ED14" s="1859"/>
      <c r="EE14" s="1859"/>
      <c r="EF14" s="1859"/>
      <c r="EG14" s="1859"/>
      <c r="EH14" s="1859"/>
      <c r="EI14" s="1859"/>
      <c r="EJ14" s="1859"/>
      <c r="EK14" s="1859"/>
      <c r="EL14" s="1859"/>
      <c r="EM14" s="1859"/>
      <c r="EN14" s="1859"/>
      <c r="EO14" s="1859"/>
      <c r="EP14" s="1859"/>
      <c r="EQ14" s="1859"/>
      <c r="ER14" s="1859"/>
      <c r="ES14" s="1859"/>
      <c r="ET14" s="1859"/>
      <c r="EU14" s="1859"/>
      <c r="EV14" s="1859"/>
      <c r="EW14" s="1860"/>
      <c r="EX14" s="1861"/>
      <c r="EY14" s="1859"/>
      <c r="EZ14" s="1859"/>
      <c r="FA14" s="1859"/>
      <c r="FB14" s="1859"/>
      <c r="FC14" s="1859"/>
      <c r="FD14" s="1859"/>
      <c r="FE14" s="1859"/>
      <c r="FF14" s="1859"/>
      <c r="FG14" s="1859"/>
      <c r="FH14" s="1859"/>
      <c r="FI14" s="1859"/>
      <c r="FJ14" s="1859"/>
      <c r="FK14" s="1859"/>
      <c r="FL14" s="1859"/>
      <c r="FM14" s="1859"/>
      <c r="FN14" s="1859"/>
      <c r="FO14" s="1859"/>
      <c r="FP14" s="1859"/>
      <c r="FQ14" s="1859"/>
      <c r="FR14" s="1859"/>
      <c r="FS14" s="1859"/>
      <c r="FT14" s="1859"/>
      <c r="FU14" s="1859"/>
      <c r="FV14" s="1859"/>
      <c r="FW14" s="1859"/>
      <c r="FX14" s="1859"/>
      <c r="FY14" s="1859"/>
      <c r="FZ14" s="1859"/>
      <c r="GA14" s="1862"/>
      <c r="GB14" s="1859"/>
      <c r="GC14" s="1859"/>
      <c r="GD14" s="1859"/>
      <c r="GE14" s="1859"/>
      <c r="GF14" s="1859"/>
      <c r="GG14" s="1859"/>
      <c r="GH14" s="1859"/>
      <c r="GI14" s="1859"/>
      <c r="GJ14" s="1859"/>
      <c r="GK14" s="1859"/>
      <c r="GL14" s="1859"/>
      <c r="GM14" s="1859"/>
      <c r="GN14" s="1859"/>
      <c r="GO14" s="1859"/>
      <c r="GP14" s="1859"/>
      <c r="GQ14" s="1859"/>
      <c r="GR14" s="1859"/>
      <c r="GS14" s="1859"/>
      <c r="GT14" s="1859"/>
      <c r="GU14" s="1859"/>
      <c r="GV14" s="1859"/>
      <c r="GW14" s="1859"/>
      <c r="GX14" s="1859"/>
      <c r="GY14" s="1859"/>
      <c r="GZ14" s="1859"/>
      <c r="HA14" s="1859"/>
      <c r="HB14" s="1859"/>
      <c r="HC14" s="1859"/>
      <c r="HD14" s="1859"/>
      <c r="HE14" s="1859"/>
      <c r="HF14" s="1859"/>
      <c r="HG14" s="1859"/>
      <c r="HH14" s="1859"/>
      <c r="HI14" s="1859"/>
      <c r="HJ14" s="1863"/>
      <c r="HK14" s="1863"/>
      <c r="HL14" s="1863"/>
      <c r="HM14" s="1863"/>
      <c r="HN14" s="1863"/>
      <c r="HO14" s="1863"/>
      <c r="HP14" s="1863"/>
      <c r="HQ14" s="1863"/>
      <c r="HR14" s="1863"/>
      <c r="HS14" s="1863"/>
      <c r="HT14" s="1863"/>
      <c r="HU14" s="1863"/>
      <c r="HV14" s="1863"/>
      <c r="HW14" s="1863"/>
      <c r="HX14" s="1863"/>
      <c r="HY14" s="1863"/>
      <c r="HZ14" s="1863"/>
      <c r="IA14" s="1863"/>
      <c r="IB14" s="1863"/>
      <c r="IC14" s="1863"/>
      <c r="ID14" s="1864"/>
      <c r="IE14" s="1863"/>
      <c r="IF14" s="1863"/>
      <c r="IG14" s="1863"/>
      <c r="IH14" s="1863"/>
      <c r="II14" s="1863"/>
      <c r="IJ14" s="1863"/>
      <c r="IK14" s="1863"/>
      <c r="IL14" s="1863"/>
      <c r="IM14" s="1863"/>
      <c r="IN14" s="1863"/>
      <c r="IO14" s="1863"/>
      <c r="IP14" s="1863"/>
      <c r="IQ14" s="1863"/>
      <c r="IR14" s="1863"/>
      <c r="IS14" s="1863"/>
      <c r="IT14" s="1863"/>
      <c r="IU14" s="1863"/>
      <c r="IV14" s="1865"/>
      <c r="IW14" s="1863"/>
      <c r="IX14" s="1863"/>
      <c r="IY14" s="1863"/>
      <c r="IZ14" s="1863"/>
      <c r="JA14" s="1863"/>
      <c r="JB14" s="1863"/>
      <c r="JC14" s="1863"/>
      <c r="JD14" s="1863"/>
      <c r="JE14" s="1863"/>
      <c r="JF14" s="1863"/>
      <c r="JG14" s="1863"/>
      <c r="JH14" s="1863"/>
      <c r="JI14" s="1863"/>
      <c r="JJ14" s="1863"/>
      <c r="JK14" s="1863"/>
      <c r="JL14" s="1864"/>
      <c r="JM14" s="1864"/>
      <c r="JN14" s="1864"/>
      <c r="JO14" s="1864"/>
      <c r="JP14" s="1864"/>
      <c r="JQ14" s="1864"/>
      <c r="JR14" s="1864"/>
      <c r="JS14" s="1864"/>
      <c r="JT14" s="1864"/>
      <c r="JU14" s="1864"/>
      <c r="JV14" s="1864"/>
      <c r="JW14" s="1864"/>
      <c r="JX14" s="1864"/>
      <c r="JY14" s="1864"/>
      <c r="JZ14" s="1864"/>
      <c r="KA14" s="1864"/>
      <c r="KB14" s="1864"/>
      <c r="KC14" s="1864"/>
      <c r="KD14" s="1864"/>
      <c r="KE14" s="1864"/>
      <c r="KF14" s="1864"/>
      <c r="KG14" s="1864"/>
      <c r="KH14" s="1864"/>
      <c r="KI14" s="1864"/>
      <c r="KJ14" s="1863"/>
      <c r="KK14" s="1864"/>
      <c r="KL14" s="1863"/>
      <c r="KM14" s="1863"/>
      <c r="KN14" s="1863"/>
      <c r="KO14" s="1863"/>
      <c r="KP14" s="1863"/>
      <c r="KQ14" s="1866"/>
    </row>
    <row r="15" spans="1:304" s="1867" customFormat="1" ht="20.100000000000001" hidden="1" customHeight="1" outlineLevel="1">
      <c r="A15" s="1857"/>
      <c r="B15" s="1857"/>
      <c r="C15" s="1858"/>
      <c r="D15" s="1858"/>
      <c r="E15" s="1859"/>
      <c r="F15" s="1859"/>
      <c r="G15" s="1859"/>
      <c r="H15" s="1859"/>
      <c r="I15" s="1859"/>
      <c r="J15" s="1859"/>
      <c r="K15" s="1859"/>
      <c r="L15" s="1859"/>
      <c r="M15" s="1859"/>
      <c r="N15" s="1859"/>
      <c r="O15" s="1859"/>
      <c r="P15" s="1859"/>
      <c r="Q15" s="1859"/>
      <c r="R15" s="1859"/>
      <c r="S15" s="1859"/>
      <c r="T15" s="1859"/>
      <c r="U15" s="1859"/>
      <c r="V15" s="1859"/>
      <c r="W15" s="1859"/>
      <c r="X15" s="1859"/>
      <c r="Y15" s="1859"/>
      <c r="Z15" s="1859"/>
      <c r="AA15" s="1859"/>
      <c r="AB15" s="1859"/>
      <c r="AC15" s="1859"/>
      <c r="AD15" s="1859"/>
      <c r="AE15" s="1859"/>
      <c r="AF15" s="1859"/>
      <c r="AG15" s="1859"/>
      <c r="AH15" s="1859"/>
      <c r="AI15" s="1859"/>
      <c r="AJ15" s="1859"/>
      <c r="AK15" s="1859"/>
      <c r="AL15" s="1859"/>
      <c r="AM15" s="1859"/>
      <c r="AN15" s="1859"/>
      <c r="AO15" s="1859"/>
      <c r="AP15" s="1859"/>
      <c r="AQ15" s="1859"/>
      <c r="AR15" s="1859"/>
      <c r="AS15" s="1859"/>
      <c r="AT15" s="1859"/>
      <c r="AU15" s="1859"/>
      <c r="AV15" s="1859"/>
      <c r="AW15" s="1859"/>
      <c r="AX15" s="1859"/>
      <c r="AY15" s="1859"/>
      <c r="AZ15" s="1859"/>
      <c r="BA15" s="1859"/>
      <c r="BB15" s="1859"/>
      <c r="BC15" s="1859"/>
      <c r="BD15" s="1859"/>
      <c r="BE15" s="1859"/>
      <c r="BF15" s="1859"/>
      <c r="BG15" s="1859"/>
      <c r="BH15" s="1859"/>
      <c r="BI15" s="1859"/>
      <c r="BJ15" s="1859"/>
      <c r="BK15" s="1859"/>
      <c r="BL15" s="1859"/>
      <c r="BM15" s="1859"/>
      <c r="BN15" s="1859"/>
      <c r="BO15" s="1859"/>
      <c r="BP15" s="1859"/>
      <c r="BQ15" s="1859"/>
      <c r="BR15" s="1859"/>
      <c r="BS15" s="1859"/>
      <c r="BT15" s="1859"/>
      <c r="BU15" s="1859"/>
      <c r="BV15" s="1859"/>
      <c r="BW15" s="1859"/>
      <c r="BX15" s="1859"/>
      <c r="BY15" s="1859"/>
      <c r="BZ15" s="1859"/>
      <c r="CA15" s="1859"/>
      <c r="CB15" s="1859"/>
      <c r="CC15" s="1859"/>
      <c r="CD15" s="1859"/>
      <c r="CE15" s="1859"/>
      <c r="CF15" s="1859"/>
      <c r="CG15" s="1859"/>
      <c r="CH15" s="1859"/>
      <c r="CI15" s="1859"/>
      <c r="CJ15" s="1859"/>
      <c r="CK15" s="1859"/>
      <c r="CL15" s="1859"/>
      <c r="CM15" s="1859"/>
      <c r="CN15" s="1859"/>
      <c r="CO15" s="1859"/>
      <c r="CP15" s="1859"/>
      <c r="CQ15" s="1859"/>
      <c r="CR15" s="1859"/>
      <c r="CS15" s="1859"/>
      <c r="CT15" s="1859"/>
      <c r="CU15" s="1859"/>
      <c r="CV15" s="1859"/>
      <c r="CW15" s="1859"/>
      <c r="CX15" s="1859"/>
      <c r="CY15" s="1859"/>
      <c r="CZ15" s="1859"/>
      <c r="DA15" s="1859"/>
      <c r="DB15" s="1859"/>
      <c r="DC15" s="1859"/>
      <c r="DD15" s="1859"/>
      <c r="DE15" s="1859"/>
      <c r="DF15" s="1859"/>
      <c r="DG15" s="1859"/>
      <c r="DH15" s="1859"/>
      <c r="DI15" s="1859"/>
      <c r="DJ15" s="1859"/>
      <c r="DK15" s="1859"/>
      <c r="DL15" s="1859"/>
      <c r="DM15" s="1859"/>
      <c r="DN15" s="1859"/>
      <c r="DO15" s="1859"/>
      <c r="DP15" s="1859"/>
      <c r="DQ15" s="1859"/>
      <c r="DR15" s="1859"/>
      <c r="DS15" s="1859"/>
      <c r="DT15" s="1859"/>
      <c r="DU15" s="1859"/>
      <c r="DV15" s="1859"/>
      <c r="DW15" s="1859"/>
      <c r="DX15" s="1859"/>
      <c r="DY15" s="1859"/>
      <c r="DZ15" s="1859"/>
      <c r="EA15" s="1859"/>
      <c r="EB15" s="1859"/>
      <c r="EC15" s="1859"/>
      <c r="ED15" s="1859"/>
      <c r="EE15" s="1859"/>
      <c r="EF15" s="1859"/>
      <c r="EG15" s="1859"/>
      <c r="EH15" s="1859"/>
      <c r="EI15" s="1859"/>
      <c r="EJ15" s="1859"/>
      <c r="EK15" s="1859"/>
      <c r="EL15" s="1859"/>
      <c r="EM15" s="1859"/>
      <c r="EN15" s="1859"/>
      <c r="EO15" s="1859"/>
      <c r="EP15" s="1859"/>
      <c r="EQ15" s="1859"/>
      <c r="ER15" s="1859"/>
      <c r="ES15" s="1859"/>
      <c r="ET15" s="1859"/>
      <c r="EU15" s="1859"/>
      <c r="EV15" s="1859"/>
      <c r="EW15" s="1860"/>
      <c r="EX15" s="1861"/>
      <c r="EY15" s="1859"/>
      <c r="EZ15" s="1859"/>
      <c r="FA15" s="1859"/>
      <c r="FB15" s="1859"/>
      <c r="FC15" s="1859"/>
      <c r="FD15" s="1859"/>
      <c r="FE15" s="1859"/>
      <c r="FF15" s="1859"/>
      <c r="FG15" s="1859"/>
      <c r="FH15" s="1859"/>
      <c r="FI15" s="1859"/>
      <c r="FJ15" s="1859"/>
      <c r="FK15" s="1859"/>
      <c r="FL15" s="1859"/>
      <c r="FM15" s="1859"/>
      <c r="FN15" s="1859"/>
      <c r="FO15" s="1859"/>
      <c r="FP15" s="1859"/>
      <c r="FQ15" s="1859"/>
      <c r="FR15" s="1859"/>
      <c r="FS15" s="1859"/>
      <c r="FT15" s="1859"/>
      <c r="FU15" s="1859"/>
      <c r="FV15" s="1859"/>
      <c r="FW15" s="1859"/>
      <c r="FX15" s="1859"/>
      <c r="FY15" s="1859"/>
      <c r="FZ15" s="1859"/>
      <c r="GA15" s="1862"/>
      <c r="GB15" s="1859"/>
      <c r="GC15" s="1859"/>
      <c r="GD15" s="1859"/>
      <c r="GE15" s="1859"/>
      <c r="GF15" s="1859"/>
      <c r="GG15" s="1859"/>
      <c r="GH15" s="1859"/>
      <c r="GI15" s="1859"/>
      <c r="GJ15" s="1859"/>
      <c r="GK15" s="1859"/>
      <c r="GL15" s="1859"/>
      <c r="GM15" s="1859"/>
      <c r="GN15" s="1859"/>
      <c r="GO15" s="1859"/>
      <c r="GP15" s="1859"/>
      <c r="GQ15" s="1859"/>
      <c r="GR15" s="1859"/>
      <c r="GS15" s="1859"/>
      <c r="GT15" s="1859"/>
      <c r="GU15" s="1859"/>
      <c r="GV15" s="1859"/>
      <c r="GW15" s="1859"/>
      <c r="GX15" s="1859"/>
      <c r="GY15" s="1859"/>
      <c r="GZ15" s="1859"/>
      <c r="HA15" s="1859"/>
      <c r="HB15" s="1859"/>
      <c r="HC15" s="1859"/>
      <c r="HD15" s="1859"/>
      <c r="HE15" s="1859"/>
      <c r="HF15" s="1859"/>
      <c r="HG15" s="1859"/>
      <c r="HH15" s="1859"/>
      <c r="HI15" s="1859"/>
      <c r="HJ15" s="1863"/>
      <c r="HK15" s="1863"/>
      <c r="HL15" s="1863"/>
      <c r="HM15" s="1863"/>
      <c r="HN15" s="1863"/>
      <c r="HO15" s="1863"/>
      <c r="HP15" s="1863"/>
      <c r="HQ15" s="1863"/>
      <c r="HR15" s="1863"/>
      <c r="HS15" s="1863"/>
      <c r="HT15" s="1863"/>
      <c r="HU15" s="1863"/>
      <c r="HV15" s="1863"/>
      <c r="HW15" s="1863"/>
      <c r="HX15" s="1863"/>
      <c r="HY15" s="1863"/>
      <c r="HZ15" s="1863"/>
      <c r="IA15" s="1863"/>
      <c r="IB15" s="1863"/>
      <c r="IC15" s="1863"/>
      <c r="ID15" s="1864"/>
      <c r="IE15" s="1863"/>
      <c r="IF15" s="1863"/>
      <c r="IG15" s="1863"/>
      <c r="IH15" s="1863"/>
      <c r="II15" s="1863"/>
      <c r="IJ15" s="1863"/>
      <c r="IK15" s="1863"/>
      <c r="IL15" s="1863"/>
      <c r="IM15" s="1863"/>
      <c r="IN15" s="1863"/>
      <c r="IO15" s="1863"/>
      <c r="IP15" s="1863"/>
      <c r="IQ15" s="1863"/>
      <c r="IR15" s="1863"/>
      <c r="IS15" s="1863"/>
      <c r="IT15" s="1863"/>
      <c r="IU15" s="1863"/>
      <c r="IV15" s="1865"/>
      <c r="IW15" s="1863"/>
      <c r="IX15" s="1863"/>
      <c r="IY15" s="1863"/>
      <c r="IZ15" s="1863"/>
      <c r="JA15" s="1863"/>
      <c r="JB15" s="1863"/>
      <c r="JC15" s="1863"/>
      <c r="JD15" s="1863"/>
      <c r="JE15" s="1863"/>
      <c r="JF15" s="1863"/>
      <c r="JG15" s="1863"/>
      <c r="JH15" s="1863"/>
      <c r="JI15" s="1863"/>
      <c r="JJ15" s="1863"/>
      <c r="JK15" s="1863"/>
      <c r="JL15" s="1864"/>
      <c r="JM15" s="1864"/>
      <c r="JN15" s="1864"/>
      <c r="JO15" s="1864"/>
      <c r="JP15" s="1864"/>
      <c r="JQ15" s="1864"/>
      <c r="JR15" s="1864"/>
      <c r="JS15" s="1864"/>
      <c r="JT15" s="1864"/>
      <c r="JU15" s="1864"/>
      <c r="JV15" s="1864"/>
      <c r="JW15" s="1864"/>
      <c r="JX15" s="1864"/>
      <c r="JY15" s="1864"/>
      <c r="JZ15" s="1864"/>
      <c r="KA15" s="1864"/>
      <c r="KB15" s="1864"/>
      <c r="KC15" s="1864"/>
      <c r="KD15" s="1864"/>
      <c r="KE15" s="1864"/>
      <c r="KF15" s="1864"/>
      <c r="KG15" s="1864"/>
      <c r="KH15" s="1864"/>
      <c r="KI15" s="1864"/>
      <c r="KJ15" s="1863"/>
      <c r="KK15" s="1864"/>
      <c r="KL15" s="1863"/>
      <c r="KM15" s="1863"/>
      <c r="KN15" s="1863"/>
      <c r="KO15" s="1863"/>
      <c r="KP15" s="1863"/>
      <c r="KQ15" s="1866"/>
    </row>
    <row r="16" spans="1:304" s="1867" customFormat="1" ht="20.100000000000001" hidden="1" customHeight="1" outlineLevel="1">
      <c r="A16" s="1857"/>
      <c r="B16" s="1857"/>
      <c r="C16" s="1858"/>
      <c r="D16" s="1858"/>
      <c r="E16" s="1859"/>
      <c r="F16" s="1859"/>
      <c r="G16" s="1859"/>
      <c r="H16" s="1859"/>
      <c r="I16" s="1859"/>
      <c r="J16" s="1859"/>
      <c r="K16" s="1859"/>
      <c r="L16" s="1859"/>
      <c r="M16" s="1859"/>
      <c r="N16" s="1859"/>
      <c r="O16" s="1859"/>
      <c r="P16" s="1859"/>
      <c r="Q16" s="1859"/>
      <c r="R16" s="1859"/>
      <c r="S16" s="1859"/>
      <c r="T16" s="1859"/>
      <c r="U16" s="1859"/>
      <c r="V16" s="1859"/>
      <c r="W16" s="1859"/>
      <c r="X16" s="1859"/>
      <c r="Y16" s="1859"/>
      <c r="Z16" s="1859"/>
      <c r="AA16" s="1859"/>
      <c r="AB16" s="1859"/>
      <c r="AC16" s="1859"/>
      <c r="AD16" s="1859"/>
      <c r="AE16" s="1859"/>
      <c r="AF16" s="1859"/>
      <c r="AG16" s="1859"/>
      <c r="AH16" s="1859"/>
      <c r="AI16" s="1859"/>
      <c r="AJ16" s="1859"/>
      <c r="AK16" s="1859"/>
      <c r="AL16" s="1859"/>
      <c r="AM16" s="1859"/>
      <c r="AN16" s="1859"/>
      <c r="AO16" s="1859"/>
      <c r="AP16" s="1859"/>
      <c r="AQ16" s="1859"/>
      <c r="AR16" s="1859"/>
      <c r="AS16" s="1859"/>
      <c r="AT16" s="1859"/>
      <c r="AU16" s="1859"/>
      <c r="AV16" s="1859"/>
      <c r="AW16" s="1859"/>
      <c r="AX16" s="1859"/>
      <c r="AY16" s="1859"/>
      <c r="AZ16" s="1859"/>
      <c r="BA16" s="1859"/>
      <c r="BB16" s="1859"/>
      <c r="BC16" s="1859"/>
      <c r="BD16" s="1859"/>
      <c r="BE16" s="1859"/>
      <c r="BF16" s="1859"/>
      <c r="BG16" s="1859"/>
      <c r="BH16" s="1859"/>
      <c r="BI16" s="1859"/>
      <c r="BJ16" s="1859"/>
      <c r="BK16" s="1859"/>
      <c r="BL16" s="1859"/>
      <c r="BM16" s="1859"/>
      <c r="BN16" s="1859"/>
      <c r="BO16" s="1859"/>
      <c r="BP16" s="1859"/>
      <c r="BQ16" s="1859"/>
      <c r="BR16" s="1859"/>
      <c r="BS16" s="1859"/>
      <c r="BT16" s="1859"/>
      <c r="BU16" s="1859"/>
      <c r="BV16" s="1859"/>
      <c r="BW16" s="1859"/>
      <c r="BX16" s="1859"/>
      <c r="BY16" s="1859"/>
      <c r="BZ16" s="1859"/>
      <c r="CA16" s="1859"/>
      <c r="CB16" s="1859"/>
      <c r="CC16" s="1859"/>
      <c r="CD16" s="1859"/>
      <c r="CE16" s="1859"/>
      <c r="CF16" s="1859"/>
      <c r="CG16" s="1859"/>
      <c r="CH16" s="1859"/>
      <c r="CI16" s="1859"/>
      <c r="CJ16" s="1859"/>
      <c r="CK16" s="1859"/>
      <c r="CL16" s="1859"/>
      <c r="CM16" s="1859"/>
      <c r="CN16" s="1859"/>
      <c r="CO16" s="1859"/>
      <c r="CP16" s="1859"/>
      <c r="CQ16" s="1859"/>
      <c r="CR16" s="1859"/>
      <c r="CS16" s="1859"/>
      <c r="CT16" s="1859"/>
      <c r="CU16" s="1859"/>
      <c r="CV16" s="1859"/>
      <c r="CW16" s="1859"/>
      <c r="CX16" s="1859"/>
      <c r="CY16" s="1859"/>
      <c r="CZ16" s="1859"/>
      <c r="DA16" s="1859"/>
      <c r="DB16" s="1859"/>
      <c r="DC16" s="1859"/>
      <c r="DD16" s="1859"/>
      <c r="DE16" s="1859"/>
      <c r="DF16" s="1859"/>
      <c r="DG16" s="1859"/>
      <c r="DH16" s="1859"/>
      <c r="DI16" s="1859"/>
      <c r="DJ16" s="1859"/>
      <c r="DK16" s="1859"/>
      <c r="DL16" s="1859"/>
      <c r="DM16" s="1859"/>
      <c r="DN16" s="1859"/>
      <c r="DO16" s="1859"/>
      <c r="DP16" s="1859"/>
      <c r="DQ16" s="1859"/>
      <c r="DR16" s="1859"/>
      <c r="DS16" s="1859"/>
      <c r="DT16" s="1859"/>
      <c r="DU16" s="1859"/>
      <c r="DV16" s="1859"/>
      <c r="DW16" s="1859"/>
      <c r="DX16" s="1859"/>
      <c r="DY16" s="1859"/>
      <c r="DZ16" s="1859"/>
      <c r="EA16" s="1859"/>
      <c r="EB16" s="1859"/>
      <c r="EC16" s="1859"/>
      <c r="ED16" s="1859"/>
      <c r="EE16" s="1859"/>
      <c r="EF16" s="1859"/>
      <c r="EG16" s="1859"/>
      <c r="EH16" s="1859"/>
      <c r="EI16" s="1859"/>
      <c r="EJ16" s="1859"/>
      <c r="EK16" s="1859"/>
      <c r="EL16" s="1859"/>
      <c r="EM16" s="1859"/>
      <c r="EN16" s="1859"/>
      <c r="EO16" s="1859"/>
      <c r="EP16" s="1859"/>
      <c r="EQ16" s="1859"/>
      <c r="ER16" s="1859"/>
      <c r="ES16" s="1859"/>
      <c r="ET16" s="1859"/>
      <c r="EU16" s="1859"/>
      <c r="EV16" s="1859"/>
      <c r="EW16" s="1860"/>
      <c r="EX16" s="1861"/>
      <c r="EY16" s="1859"/>
      <c r="EZ16" s="1859"/>
      <c r="FA16" s="1859"/>
      <c r="FB16" s="1859"/>
      <c r="FC16" s="1859"/>
      <c r="FD16" s="1859"/>
      <c r="FE16" s="1859"/>
      <c r="FF16" s="1859"/>
      <c r="FG16" s="1859"/>
      <c r="FH16" s="1859"/>
      <c r="FI16" s="1859"/>
      <c r="FJ16" s="1859"/>
      <c r="FK16" s="1859"/>
      <c r="FL16" s="1859"/>
      <c r="FM16" s="1859"/>
      <c r="FN16" s="1859"/>
      <c r="FO16" s="1859"/>
      <c r="FP16" s="1859"/>
      <c r="FQ16" s="1859"/>
      <c r="FR16" s="1859"/>
      <c r="FS16" s="1859"/>
      <c r="FT16" s="1859"/>
      <c r="FU16" s="1859"/>
      <c r="FV16" s="1859"/>
      <c r="FW16" s="1859"/>
      <c r="FX16" s="1859"/>
      <c r="FY16" s="1859"/>
      <c r="FZ16" s="1859"/>
      <c r="GA16" s="1862"/>
      <c r="GB16" s="1859"/>
      <c r="GC16" s="1859"/>
      <c r="GD16" s="1859"/>
      <c r="GE16" s="1859"/>
      <c r="GF16" s="1859"/>
      <c r="GG16" s="1859"/>
      <c r="GH16" s="1859"/>
      <c r="GI16" s="1859"/>
      <c r="GJ16" s="1859"/>
      <c r="GK16" s="1859"/>
      <c r="GL16" s="1859"/>
      <c r="GM16" s="1859"/>
      <c r="GN16" s="1859"/>
      <c r="GO16" s="1859"/>
      <c r="GP16" s="1859"/>
      <c r="GQ16" s="1859"/>
      <c r="GR16" s="1859"/>
      <c r="GS16" s="1859"/>
      <c r="GT16" s="1859"/>
      <c r="GU16" s="1859"/>
      <c r="GV16" s="1859"/>
      <c r="GW16" s="1859"/>
      <c r="GX16" s="1859"/>
      <c r="GY16" s="1859"/>
      <c r="GZ16" s="1859"/>
      <c r="HA16" s="1859"/>
      <c r="HB16" s="1859"/>
      <c r="HC16" s="1859"/>
      <c r="HD16" s="1859"/>
      <c r="HE16" s="1859"/>
      <c r="HF16" s="1859"/>
      <c r="HG16" s="1859"/>
      <c r="HH16" s="1859"/>
      <c r="HI16" s="1859"/>
      <c r="HJ16" s="1863"/>
      <c r="HK16" s="1863"/>
      <c r="HL16" s="1863"/>
      <c r="HM16" s="1863"/>
      <c r="HN16" s="1863"/>
      <c r="HO16" s="1863"/>
      <c r="HP16" s="1863"/>
      <c r="HQ16" s="1863"/>
      <c r="HR16" s="1863"/>
      <c r="HS16" s="1863"/>
      <c r="HT16" s="1863"/>
      <c r="HU16" s="1863"/>
      <c r="HV16" s="1863"/>
      <c r="HW16" s="1863"/>
      <c r="HX16" s="1863"/>
      <c r="HY16" s="1863"/>
      <c r="HZ16" s="1863"/>
      <c r="IA16" s="1863"/>
      <c r="IB16" s="1863"/>
      <c r="IC16" s="1863"/>
      <c r="ID16" s="1864"/>
      <c r="IE16" s="1863"/>
      <c r="IF16" s="1863"/>
      <c r="IG16" s="1863"/>
      <c r="IH16" s="1863"/>
      <c r="II16" s="1863"/>
      <c r="IJ16" s="1863"/>
      <c r="IK16" s="1863"/>
      <c r="IL16" s="1863"/>
      <c r="IM16" s="1863"/>
      <c r="IN16" s="1863"/>
      <c r="IO16" s="1863"/>
      <c r="IP16" s="1863"/>
      <c r="IQ16" s="1863"/>
      <c r="IR16" s="1863"/>
      <c r="IS16" s="1863"/>
      <c r="IT16" s="1863"/>
      <c r="IU16" s="1863"/>
      <c r="IV16" s="1865"/>
      <c r="IW16" s="1863"/>
      <c r="IX16" s="1863"/>
      <c r="IY16" s="1863"/>
      <c r="IZ16" s="1863"/>
      <c r="JA16" s="1863"/>
      <c r="JB16" s="1863"/>
      <c r="JC16" s="1863"/>
      <c r="JD16" s="1863"/>
      <c r="JE16" s="1863"/>
      <c r="JF16" s="1863"/>
      <c r="JG16" s="1863"/>
      <c r="JH16" s="1863"/>
      <c r="JI16" s="1863"/>
      <c r="JJ16" s="1863"/>
      <c r="JK16" s="1863"/>
      <c r="JL16" s="1864"/>
      <c r="JM16" s="1864"/>
      <c r="JN16" s="1864"/>
      <c r="JO16" s="1864"/>
      <c r="JP16" s="1864"/>
      <c r="JQ16" s="1864"/>
      <c r="JR16" s="1864"/>
      <c r="JS16" s="1864"/>
      <c r="JT16" s="1864"/>
      <c r="JU16" s="1864"/>
      <c r="JV16" s="1864"/>
      <c r="JW16" s="1864"/>
      <c r="JX16" s="1864"/>
      <c r="JY16" s="1864"/>
      <c r="JZ16" s="1864"/>
      <c r="KA16" s="1864"/>
      <c r="KB16" s="1864"/>
      <c r="KC16" s="1864"/>
      <c r="KD16" s="1864"/>
      <c r="KE16" s="1864"/>
      <c r="KF16" s="1864"/>
      <c r="KG16" s="1864"/>
      <c r="KH16" s="1864"/>
      <c r="KI16" s="1864"/>
      <c r="KJ16" s="1863"/>
      <c r="KK16" s="1864"/>
      <c r="KL16" s="1863"/>
      <c r="KM16" s="1863"/>
      <c r="KN16" s="1863"/>
      <c r="KO16" s="1863"/>
      <c r="KP16" s="1863"/>
      <c r="KQ16" s="1866"/>
    </row>
    <row r="17" spans="1:304" s="1867" customFormat="1" ht="20.100000000000001" hidden="1" customHeight="1" outlineLevel="1">
      <c r="A17" s="1857"/>
      <c r="B17" s="1857"/>
      <c r="C17" s="1858"/>
      <c r="D17" s="1858"/>
      <c r="E17" s="1859"/>
      <c r="F17" s="1859"/>
      <c r="G17" s="1859"/>
      <c r="H17" s="1859"/>
      <c r="I17" s="1859"/>
      <c r="J17" s="1859"/>
      <c r="K17" s="1859"/>
      <c r="L17" s="1859"/>
      <c r="M17" s="1859"/>
      <c r="N17" s="1859"/>
      <c r="O17" s="1859"/>
      <c r="P17" s="1859"/>
      <c r="Q17" s="1859"/>
      <c r="R17" s="1859"/>
      <c r="S17" s="1859"/>
      <c r="T17" s="1859"/>
      <c r="U17" s="1859"/>
      <c r="V17" s="1859"/>
      <c r="W17" s="1859"/>
      <c r="X17" s="1859"/>
      <c r="Y17" s="1859"/>
      <c r="Z17" s="1859"/>
      <c r="AA17" s="1859"/>
      <c r="AB17" s="1859"/>
      <c r="AC17" s="1859"/>
      <c r="AD17" s="1859"/>
      <c r="AE17" s="1859"/>
      <c r="AF17" s="1859"/>
      <c r="AG17" s="1859"/>
      <c r="AH17" s="1859"/>
      <c r="AI17" s="1859"/>
      <c r="AJ17" s="1859"/>
      <c r="AK17" s="1859"/>
      <c r="AL17" s="1859"/>
      <c r="AM17" s="1859"/>
      <c r="AN17" s="1859"/>
      <c r="AO17" s="1859"/>
      <c r="AP17" s="1859"/>
      <c r="AQ17" s="1859"/>
      <c r="AR17" s="1859"/>
      <c r="AS17" s="1859"/>
      <c r="AT17" s="1859"/>
      <c r="AU17" s="1859"/>
      <c r="AV17" s="1859"/>
      <c r="AW17" s="1859"/>
      <c r="AX17" s="1859"/>
      <c r="AY17" s="1859"/>
      <c r="AZ17" s="1859"/>
      <c r="BA17" s="1859"/>
      <c r="BB17" s="1859"/>
      <c r="BC17" s="1859"/>
      <c r="BD17" s="1859"/>
      <c r="BE17" s="1859"/>
      <c r="BF17" s="1859"/>
      <c r="BG17" s="1859"/>
      <c r="BH17" s="1859"/>
      <c r="BI17" s="1859"/>
      <c r="BJ17" s="1859"/>
      <c r="BK17" s="1859"/>
      <c r="BL17" s="1859"/>
      <c r="BM17" s="1859"/>
      <c r="BN17" s="1859"/>
      <c r="BO17" s="1859"/>
      <c r="BP17" s="1859"/>
      <c r="BQ17" s="1859"/>
      <c r="BR17" s="1859"/>
      <c r="BS17" s="1859"/>
      <c r="BT17" s="1859"/>
      <c r="BU17" s="1859"/>
      <c r="BV17" s="1859"/>
      <c r="BW17" s="1859"/>
      <c r="BX17" s="1859"/>
      <c r="BY17" s="1859"/>
      <c r="BZ17" s="1859"/>
      <c r="CA17" s="1859"/>
      <c r="CB17" s="1859"/>
      <c r="CC17" s="1859"/>
      <c r="CD17" s="1859"/>
      <c r="CE17" s="1859"/>
      <c r="CF17" s="1859"/>
      <c r="CG17" s="1859"/>
      <c r="CH17" s="1859"/>
      <c r="CI17" s="1859"/>
      <c r="CJ17" s="1859"/>
      <c r="CK17" s="1859"/>
      <c r="CL17" s="1859"/>
      <c r="CM17" s="1859"/>
      <c r="CN17" s="1859"/>
      <c r="CO17" s="1859"/>
      <c r="CP17" s="1859"/>
      <c r="CQ17" s="1859"/>
      <c r="CR17" s="1859"/>
      <c r="CS17" s="1859"/>
      <c r="CT17" s="1859"/>
      <c r="CU17" s="1859"/>
      <c r="CV17" s="1859"/>
      <c r="CW17" s="1859"/>
      <c r="CX17" s="1859"/>
      <c r="CY17" s="1859"/>
      <c r="CZ17" s="1859"/>
      <c r="DA17" s="1859"/>
      <c r="DB17" s="1859"/>
      <c r="DC17" s="1859"/>
      <c r="DD17" s="1859"/>
      <c r="DE17" s="1859"/>
      <c r="DF17" s="1859"/>
      <c r="DG17" s="1859"/>
      <c r="DH17" s="1859"/>
      <c r="DI17" s="1859"/>
      <c r="DJ17" s="1859"/>
      <c r="DK17" s="1859"/>
      <c r="DL17" s="1859"/>
      <c r="DM17" s="1859"/>
      <c r="DN17" s="1859"/>
      <c r="DO17" s="1859"/>
      <c r="DP17" s="1859"/>
      <c r="DQ17" s="1859"/>
      <c r="DR17" s="1859"/>
      <c r="DS17" s="1859"/>
      <c r="DT17" s="1859"/>
      <c r="DU17" s="1859"/>
      <c r="DV17" s="1859"/>
      <c r="DW17" s="1859"/>
      <c r="DX17" s="1859"/>
      <c r="DY17" s="1859"/>
      <c r="DZ17" s="1859"/>
      <c r="EA17" s="1859"/>
      <c r="EB17" s="1859"/>
      <c r="EC17" s="1859"/>
      <c r="ED17" s="1859"/>
      <c r="EE17" s="1859"/>
      <c r="EF17" s="1859"/>
      <c r="EG17" s="1859"/>
      <c r="EH17" s="1859"/>
      <c r="EI17" s="1859"/>
      <c r="EJ17" s="1859"/>
      <c r="EK17" s="1859"/>
      <c r="EL17" s="1859"/>
      <c r="EM17" s="1859"/>
      <c r="EN17" s="1859"/>
      <c r="EO17" s="1859"/>
      <c r="EP17" s="1859"/>
      <c r="EQ17" s="1859"/>
      <c r="ER17" s="1859"/>
      <c r="ES17" s="1859"/>
      <c r="ET17" s="1859"/>
      <c r="EU17" s="1859"/>
      <c r="EV17" s="1859"/>
      <c r="EW17" s="1860"/>
      <c r="EX17" s="1861"/>
      <c r="EY17" s="1859"/>
      <c r="EZ17" s="1859"/>
      <c r="FA17" s="1859"/>
      <c r="FB17" s="1859"/>
      <c r="FC17" s="1859"/>
      <c r="FD17" s="1859"/>
      <c r="FE17" s="1859"/>
      <c r="FF17" s="1859"/>
      <c r="FG17" s="1859"/>
      <c r="FH17" s="1859"/>
      <c r="FI17" s="1859"/>
      <c r="FJ17" s="1859"/>
      <c r="FK17" s="1859"/>
      <c r="FL17" s="1859"/>
      <c r="FM17" s="1859"/>
      <c r="FN17" s="1859"/>
      <c r="FO17" s="1859"/>
      <c r="FP17" s="1859"/>
      <c r="FQ17" s="1859"/>
      <c r="FR17" s="1859"/>
      <c r="FS17" s="1859"/>
      <c r="FT17" s="1859"/>
      <c r="FU17" s="1859"/>
      <c r="FV17" s="1859"/>
      <c r="FW17" s="1859"/>
      <c r="FX17" s="1859"/>
      <c r="FY17" s="1859"/>
      <c r="FZ17" s="1859"/>
      <c r="GA17" s="1862"/>
      <c r="GB17" s="1859"/>
      <c r="GC17" s="1859"/>
      <c r="GD17" s="1859"/>
      <c r="GE17" s="1859"/>
      <c r="GF17" s="1859"/>
      <c r="GG17" s="1859"/>
      <c r="GH17" s="1859"/>
      <c r="GI17" s="1859"/>
      <c r="GJ17" s="1859"/>
      <c r="GK17" s="1859"/>
      <c r="GL17" s="1859"/>
      <c r="GM17" s="1859"/>
      <c r="GN17" s="1859"/>
      <c r="GO17" s="1859"/>
      <c r="GP17" s="1859"/>
      <c r="GQ17" s="1859"/>
      <c r="GR17" s="1859"/>
      <c r="GS17" s="1859"/>
      <c r="GT17" s="1859"/>
      <c r="GU17" s="1859"/>
      <c r="GV17" s="1859"/>
      <c r="GW17" s="1859"/>
      <c r="GX17" s="1859"/>
      <c r="GY17" s="1859"/>
      <c r="GZ17" s="1859"/>
      <c r="HA17" s="1859"/>
      <c r="HB17" s="1859"/>
      <c r="HC17" s="1859"/>
      <c r="HD17" s="1859"/>
      <c r="HE17" s="1859"/>
      <c r="HF17" s="1859"/>
      <c r="HG17" s="1859"/>
      <c r="HH17" s="1859"/>
      <c r="HI17" s="1859"/>
      <c r="HJ17" s="1863"/>
      <c r="HK17" s="1863"/>
      <c r="HL17" s="1863"/>
      <c r="HM17" s="1863"/>
      <c r="HN17" s="1863"/>
      <c r="HO17" s="1863"/>
      <c r="HP17" s="1863"/>
      <c r="HQ17" s="1863"/>
      <c r="HR17" s="1863"/>
      <c r="HS17" s="1863"/>
      <c r="HT17" s="1863"/>
      <c r="HU17" s="1863"/>
      <c r="HV17" s="1863"/>
      <c r="HW17" s="1863"/>
      <c r="HX17" s="1863"/>
      <c r="HY17" s="1863"/>
      <c r="HZ17" s="1863"/>
      <c r="IA17" s="1863"/>
      <c r="IB17" s="1863"/>
      <c r="IC17" s="1863"/>
      <c r="ID17" s="1864"/>
      <c r="IE17" s="1863"/>
      <c r="IF17" s="1863"/>
      <c r="IG17" s="1863"/>
      <c r="IH17" s="1863"/>
      <c r="II17" s="1863"/>
      <c r="IJ17" s="1863"/>
      <c r="IK17" s="1863"/>
      <c r="IL17" s="1863"/>
      <c r="IM17" s="1863"/>
      <c r="IN17" s="1863"/>
      <c r="IO17" s="1863"/>
      <c r="IP17" s="1863"/>
      <c r="IQ17" s="1863"/>
      <c r="IR17" s="1863"/>
      <c r="IS17" s="1863"/>
      <c r="IT17" s="1863"/>
      <c r="IU17" s="1863"/>
      <c r="IV17" s="1865"/>
      <c r="IW17" s="1863"/>
      <c r="IX17" s="1863"/>
      <c r="IY17" s="1863"/>
      <c r="IZ17" s="1863"/>
      <c r="JA17" s="1863"/>
      <c r="JB17" s="1863"/>
      <c r="JC17" s="1863"/>
      <c r="JD17" s="1863"/>
      <c r="JE17" s="1863"/>
      <c r="JF17" s="1863"/>
      <c r="JG17" s="1863"/>
      <c r="JH17" s="1863"/>
      <c r="JI17" s="1863"/>
      <c r="JJ17" s="1863"/>
      <c r="JK17" s="1863"/>
      <c r="JL17" s="1864"/>
      <c r="JM17" s="1864"/>
      <c r="JN17" s="1864"/>
      <c r="JO17" s="1864"/>
      <c r="JP17" s="1864"/>
      <c r="JQ17" s="1864"/>
      <c r="JR17" s="1864"/>
      <c r="JS17" s="1864"/>
      <c r="JT17" s="1864"/>
      <c r="JU17" s="1864"/>
      <c r="JV17" s="1864"/>
      <c r="JW17" s="1864"/>
      <c r="JX17" s="1864"/>
      <c r="JY17" s="1864"/>
      <c r="JZ17" s="1864"/>
      <c r="KA17" s="1864"/>
      <c r="KB17" s="1864"/>
      <c r="KC17" s="1864"/>
      <c r="KD17" s="1864"/>
      <c r="KE17" s="1864"/>
      <c r="KF17" s="1864"/>
      <c r="KG17" s="1864"/>
      <c r="KH17" s="1864"/>
      <c r="KI17" s="1864"/>
      <c r="KJ17" s="1863"/>
      <c r="KK17" s="1864"/>
      <c r="KL17" s="1863"/>
      <c r="KM17" s="1863"/>
      <c r="KN17" s="1863"/>
      <c r="KO17" s="1863"/>
      <c r="KP17" s="1863"/>
      <c r="KQ17" s="1866"/>
    </row>
    <row r="18" spans="1:304" s="1876" customFormat="1" ht="20.100000000000001" hidden="1" customHeight="1" outlineLevel="1">
      <c r="A18" s="1892"/>
      <c r="B18" s="1870"/>
      <c r="C18" s="1871"/>
      <c r="D18" s="1871"/>
      <c r="E18" s="1862"/>
      <c r="F18" s="1862"/>
      <c r="G18" s="1862"/>
      <c r="H18" s="1862"/>
      <c r="I18" s="1862"/>
      <c r="J18" s="1862"/>
      <c r="K18" s="1862"/>
      <c r="L18" s="1862"/>
      <c r="M18" s="1862"/>
      <c r="N18" s="1862"/>
      <c r="O18" s="1862"/>
      <c r="P18" s="1862"/>
      <c r="Q18" s="1862"/>
      <c r="R18" s="1862"/>
      <c r="S18" s="1862"/>
      <c r="T18" s="1862"/>
      <c r="U18" s="1862"/>
      <c r="V18" s="1862"/>
      <c r="W18" s="1862"/>
      <c r="X18" s="1862"/>
      <c r="Y18" s="1862"/>
      <c r="Z18" s="1862"/>
      <c r="AA18" s="1862"/>
      <c r="AB18" s="1862"/>
      <c r="AC18" s="1862"/>
      <c r="AD18" s="1862"/>
      <c r="AE18" s="1862"/>
      <c r="AF18" s="1859"/>
      <c r="AG18" s="1862"/>
      <c r="AH18" s="1862"/>
      <c r="AI18" s="1862"/>
      <c r="AJ18" s="1859"/>
      <c r="AK18" s="1862"/>
      <c r="AL18" s="1862"/>
      <c r="AM18" s="1862"/>
      <c r="AN18" s="1862"/>
      <c r="AO18" s="1862"/>
      <c r="AP18" s="1862"/>
      <c r="AQ18" s="1862"/>
      <c r="AR18" s="1862"/>
      <c r="AS18" s="1862"/>
      <c r="AT18" s="1862"/>
      <c r="AU18" s="1862"/>
      <c r="AV18" s="1862"/>
      <c r="AW18" s="1862"/>
      <c r="AX18" s="1862"/>
      <c r="AY18" s="1862"/>
      <c r="AZ18" s="1862"/>
      <c r="BA18" s="1862"/>
      <c r="BB18" s="1862"/>
      <c r="BC18" s="1862"/>
      <c r="BD18" s="1862"/>
      <c r="BE18" s="1862"/>
      <c r="BF18" s="1862"/>
      <c r="BG18" s="1862"/>
      <c r="BH18" s="1862"/>
      <c r="BI18" s="1862"/>
      <c r="BJ18" s="1862"/>
      <c r="BK18" s="1862"/>
      <c r="BL18" s="1862"/>
      <c r="BM18" s="1862"/>
      <c r="BN18" s="1862"/>
      <c r="BO18" s="1862"/>
      <c r="BP18" s="1862"/>
      <c r="BQ18" s="1862"/>
      <c r="BR18" s="1862"/>
      <c r="BS18" s="1862"/>
      <c r="BT18" s="1862"/>
      <c r="BU18" s="1862"/>
      <c r="BV18" s="1862"/>
      <c r="BW18" s="1862"/>
      <c r="BX18" s="1862"/>
      <c r="BY18" s="1862"/>
      <c r="BZ18" s="1862"/>
      <c r="CA18" s="1862"/>
      <c r="CB18" s="1862"/>
      <c r="CC18" s="1862"/>
      <c r="CD18" s="1862"/>
      <c r="CE18" s="1862"/>
      <c r="CF18" s="1862"/>
      <c r="CG18" s="1862"/>
      <c r="CH18" s="1862"/>
      <c r="CI18" s="1862"/>
      <c r="CJ18" s="1862"/>
      <c r="CK18" s="1862"/>
      <c r="CL18" s="1862"/>
      <c r="CM18" s="1862"/>
      <c r="CN18" s="1862"/>
      <c r="CO18" s="1862"/>
      <c r="CP18" s="1862"/>
      <c r="CQ18" s="1862"/>
      <c r="CR18" s="1862"/>
      <c r="CS18" s="1862"/>
      <c r="CT18" s="1862"/>
      <c r="CU18" s="1862"/>
      <c r="CV18" s="1862"/>
      <c r="CW18" s="1862"/>
      <c r="CX18" s="1862"/>
      <c r="CY18" s="1862"/>
      <c r="CZ18" s="1862"/>
      <c r="DA18" s="1862"/>
      <c r="DB18" s="1862"/>
      <c r="DC18" s="1862"/>
      <c r="DD18" s="1862"/>
      <c r="DE18" s="1862"/>
      <c r="DF18" s="1862"/>
      <c r="DG18" s="1862"/>
      <c r="DH18" s="1862"/>
      <c r="DI18" s="1862"/>
      <c r="DJ18" s="1862"/>
      <c r="DK18" s="1862"/>
      <c r="DL18" s="1862"/>
      <c r="DM18" s="1862"/>
      <c r="DN18" s="1862"/>
      <c r="DO18" s="1862"/>
      <c r="DP18" s="1862"/>
      <c r="DQ18" s="1862"/>
      <c r="DR18" s="1862"/>
      <c r="DS18" s="1862"/>
      <c r="DT18" s="1862"/>
      <c r="DU18" s="1862"/>
      <c r="DV18" s="1862"/>
      <c r="DW18" s="1862"/>
      <c r="DX18" s="1862"/>
      <c r="DY18" s="1862"/>
      <c r="DZ18" s="1862"/>
      <c r="EA18" s="1862"/>
      <c r="EB18" s="1862"/>
      <c r="EC18" s="1862"/>
      <c r="ED18" s="1862"/>
      <c r="EE18" s="1862"/>
      <c r="EF18" s="1862"/>
      <c r="EG18" s="1862"/>
      <c r="EH18" s="1862"/>
      <c r="EI18" s="1862"/>
      <c r="EJ18" s="1862"/>
      <c r="EK18" s="1862"/>
      <c r="EL18" s="1862"/>
      <c r="EM18" s="1862"/>
      <c r="EN18" s="1862"/>
      <c r="EO18" s="1862"/>
      <c r="EP18" s="1862"/>
      <c r="EQ18" s="1862"/>
      <c r="ER18" s="1862"/>
      <c r="ES18" s="1862"/>
      <c r="ET18" s="1862"/>
      <c r="EU18" s="1862"/>
      <c r="EV18" s="1862"/>
      <c r="EW18" s="1872"/>
      <c r="EX18" s="1873"/>
      <c r="EY18" s="1862"/>
      <c r="EZ18" s="1862"/>
      <c r="FA18" s="1862"/>
      <c r="FB18" s="1862"/>
      <c r="FC18" s="1862"/>
      <c r="FD18" s="1862"/>
      <c r="FE18" s="1862"/>
      <c r="FF18" s="1862"/>
      <c r="FG18" s="1862"/>
      <c r="FH18" s="1862"/>
      <c r="FI18" s="1862"/>
      <c r="FJ18" s="1862"/>
      <c r="FK18" s="1862"/>
      <c r="FL18" s="1862"/>
      <c r="FM18" s="1862"/>
      <c r="FN18" s="1859"/>
      <c r="FO18" s="1862"/>
      <c r="FP18" s="1862"/>
      <c r="FQ18" s="1862"/>
      <c r="FR18" s="1862"/>
      <c r="FS18" s="1862"/>
      <c r="FT18" s="1862"/>
      <c r="FU18" s="1862"/>
      <c r="FV18" s="1862"/>
      <c r="FW18" s="1862"/>
      <c r="FX18" s="1862"/>
      <c r="FY18" s="1862"/>
      <c r="FZ18" s="1862"/>
      <c r="GA18" s="1862"/>
      <c r="GB18" s="1862"/>
      <c r="GC18" s="1862"/>
      <c r="GD18" s="1862"/>
      <c r="GE18" s="1862"/>
      <c r="GF18" s="1862"/>
      <c r="GG18" s="1862"/>
      <c r="GH18" s="1862"/>
      <c r="GI18" s="1862"/>
      <c r="GJ18" s="1862"/>
      <c r="GK18" s="1862"/>
      <c r="GL18" s="1862"/>
      <c r="GM18" s="1862"/>
      <c r="GN18" s="1862"/>
      <c r="GO18" s="1862"/>
      <c r="GP18" s="1862"/>
      <c r="GQ18" s="1862"/>
      <c r="GR18" s="1862"/>
      <c r="GS18" s="1862"/>
      <c r="GT18" s="1862"/>
      <c r="GU18" s="1862"/>
      <c r="GV18" s="1862"/>
      <c r="GW18" s="1862"/>
      <c r="GX18" s="1862"/>
      <c r="GY18" s="1862"/>
      <c r="GZ18" s="1862"/>
      <c r="HA18" s="1862"/>
      <c r="HB18" s="1862"/>
      <c r="HC18" s="1862"/>
      <c r="HD18" s="1862"/>
      <c r="HE18" s="1862"/>
      <c r="HF18" s="1862"/>
      <c r="HG18" s="1862"/>
      <c r="HH18" s="1862"/>
      <c r="HI18" s="1862"/>
      <c r="HJ18" s="1865"/>
      <c r="HK18" s="1865"/>
      <c r="HL18" s="1865"/>
      <c r="HM18" s="1865"/>
      <c r="HN18" s="1865"/>
      <c r="HO18" s="1865"/>
      <c r="HP18" s="1865"/>
      <c r="HQ18" s="1865"/>
      <c r="HR18" s="1865"/>
      <c r="HS18" s="1865"/>
      <c r="HT18" s="1865"/>
      <c r="HU18" s="1865"/>
      <c r="HV18" s="1865"/>
      <c r="HW18" s="1865"/>
      <c r="HX18" s="1865"/>
      <c r="HY18" s="1865"/>
      <c r="HZ18" s="1865"/>
      <c r="IA18" s="1865"/>
      <c r="IB18" s="1865"/>
      <c r="IC18" s="1865"/>
      <c r="ID18" s="1874"/>
      <c r="IE18" s="1865"/>
      <c r="IF18" s="1865"/>
      <c r="IG18" s="1865"/>
      <c r="IH18" s="1865"/>
      <c r="II18" s="1865"/>
      <c r="IJ18" s="1863"/>
      <c r="IK18" s="1865"/>
      <c r="IL18" s="1865"/>
      <c r="IM18" s="1865"/>
      <c r="IN18" s="1865"/>
      <c r="IO18" s="1865"/>
      <c r="IP18" s="1865"/>
      <c r="IQ18" s="1865"/>
      <c r="IR18" s="1865"/>
      <c r="IS18" s="1865"/>
      <c r="IT18" s="1865"/>
      <c r="IU18" s="1865"/>
      <c r="IV18" s="1865"/>
      <c r="IW18" s="1865"/>
      <c r="IX18" s="1865"/>
      <c r="IY18" s="1865"/>
      <c r="IZ18" s="1865"/>
      <c r="JA18" s="1865"/>
      <c r="JB18" s="1865"/>
      <c r="JC18" s="1865"/>
      <c r="JD18" s="1865"/>
      <c r="JE18" s="1865"/>
      <c r="JF18" s="1865"/>
      <c r="JG18" s="1865"/>
      <c r="JH18" s="1865"/>
      <c r="JI18" s="1865"/>
      <c r="JJ18" s="1865"/>
      <c r="JK18" s="1865"/>
      <c r="JL18" s="1874"/>
      <c r="JM18" s="1874"/>
      <c r="JN18" s="1874"/>
      <c r="JO18" s="1874"/>
      <c r="JP18" s="1874"/>
      <c r="JQ18" s="1874"/>
      <c r="JR18" s="1874"/>
      <c r="JS18" s="1874"/>
      <c r="JT18" s="1874"/>
      <c r="JU18" s="1874"/>
      <c r="JV18" s="1874"/>
      <c r="JW18" s="1874"/>
      <c r="JX18" s="1874"/>
      <c r="JY18" s="1874"/>
      <c r="JZ18" s="1874"/>
      <c r="KA18" s="1874"/>
      <c r="KB18" s="1874"/>
      <c r="KC18" s="1874"/>
      <c r="KD18" s="1874"/>
      <c r="KE18" s="1874"/>
      <c r="KF18" s="1874"/>
      <c r="KG18" s="1874"/>
      <c r="KH18" s="1874"/>
      <c r="KI18" s="1874"/>
      <c r="KJ18" s="1865"/>
      <c r="KK18" s="1874"/>
      <c r="KL18" s="1865"/>
      <c r="KM18" s="1865"/>
      <c r="KN18" s="1865"/>
      <c r="KO18" s="1865"/>
      <c r="KP18" s="1865"/>
      <c r="KQ18" s="1875"/>
      <c r="KR18" s="1867"/>
    </row>
    <row r="19" spans="1:304" s="1867" customFormat="1" ht="20.100000000000001" hidden="1" customHeight="1" outlineLevel="1">
      <c r="A19" s="1857"/>
      <c r="B19" s="1857"/>
      <c r="C19" s="1858"/>
      <c r="D19" s="1858"/>
      <c r="E19" s="1859"/>
      <c r="F19" s="1859"/>
      <c r="G19" s="1859"/>
      <c r="H19" s="1859"/>
      <c r="I19" s="1859"/>
      <c r="J19" s="1859"/>
      <c r="K19" s="1859"/>
      <c r="L19" s="1859"/>
      <c r="M19" s="1859"/>
      <c r="N19" s="1859"/>
      <c r="O19" s="1859"/>
      <c r="P19" s="1859"/>
      <c r="Q19" s="1859"/>
      <c r="R19" s="1859"/>
      <c r="S19" s="1859"/>
      <c r="T19" s="1859"/>
      <c r="U19" s="1859"/>
      <c r="V19" s="1859"/>
      <c r="W19" s="1859"/>
      <c r="X19" s="1859"/>
      <c r="Y19" s="1859"/>
      <c r="Z19" s="1859"/>
      <c r="AA19" s="1859"/>
      <c r="AB19" s="1859"/>
      <c r="AC19" s="1859"/>
      <c r="AD19" s="1859"/>
      <c r="AE19" s="1859"/>
      <c r="AF19" s="1859"/>
      <c r="AG19" s="1859"/>
      <c r="AH19" s="1859"/>
      <c r="AI19" s="1859"/>
      <c r="AJ19" s="1859"/>
      <c r="AK19" s="1859"/>
      <c r="AL19" s="1859"/>
      <c r="AM19" s="1859"/>
      <c r="AN19" s="1859"/>
      <c r="AO19" s="1859"/>
      <c r="AP19" s="1859"/>
      <c r="AQ19" s="1859"/>
      <c r="AR19" s="1859"/>
      <c r="AS19" s="1859"/>
      <c r="AT19" s="1859"/>
      <c r="AU19" s="1859"/>
      <c r="AV19" s="1859"/>
      <c r="AW19" s="1859"/>
      <c r="AX19" s="1859"/>
      <c r="AY19" s="1859"/>
      <c r="AZ19" s="1859"/>
      <c r="BA19" s="1859"/>
      <c r="BB19" s="1859"/>
      <c r="BC19" s="1859"/>
      <c r="BD19" s="1859"/>
      <c r="BE19" s="1859"/>
      <c r="BF19" s="1859"/>
      <c r="BG19" s="1859"/>
      <c r="BH19" s="1859"/>
      <c r="BI19" s="1859"/>
      <c r="BJ19" s="1859"/>
      <c r="BK19" s="1859"/>
      <c r="BL19" s="1859"/>
      <c r="BM19" s="1859"/>
      <c r="BN19" s="1859"/>
      <c r="BO19" s="1859"/>
      <c r="BP19" s="1859"/>
      <c r="BQ19" s="1859"/>
      <c r="BR19" s="1859"/>
      <c r="BS19" s="1859"/>
      <c r="BT19" s="1859"/>
      <c r="BU19" s="1859"/>
      <c r="BV19" s="1859"/>
      <c r="BW19" s="1859"/>
      <c r="BX19" s="1859"/>
      <c r="BY19" s="1859"/>
      <c r="BZ19" s="1859"/>
      <c r="CA19" s="1859"/>
      <c r="CB19" s="1859"/>
      <c r="CC19" s="1859"/>
      <c r="CD19" s="1859"/>
      <c r="CE19" s="1859"/>
      <c r="CF19" s="1859"/>
      <c r="CG19" s="1859"/>
      <c r="CH19" s="1859"/>
      <c r="CI19" s="1859"/>
      <c r="CJ19" s="1859"/>
      <c r="CK19" s="1859"/>
      <c r="CL19" s="1859"/>
      <c r="CM19" s="1859"/>
      <c r="CN19" s="1859"/>
      <c r="CO19" s="1859"/>
      <c r="CP19" s="1859"/>
      <c r="CQ19" s="1859"/>
      <c r="CR19" s="1859"/>
      <c r="CS19" s="1859"/>
      <c r="CT19" s="1859"/>
      <c r="CU19" s="1859"/>
      <c r="CV19" s="1859"/>
      <c r="CW19" s="1859"/>
      <c r="CX19" s="1859"/>
      <c r="CY19" s="1859"/>
      <c r="CZ19" s="1859"/>
      <c r="DA19" s="1859"/>
      <c r="DB19" s="1859"/>
      <c r="DC19" s="1859"/>
      <c r="DD19" s="1859"/>
      <c r="DE19" s="1859"/>
      <c r="DF19" s="1859"/>
      <c r="DG19" s="1859"/>
      <c r="DH19" s="1859"/>
      <c r="DI19" s="1859"/>
      <c r="DJ19" s="1859"/>
      <c r="DK19" s="1859"/>
      <c r="DL19" s="1859"/>
      <c r="DM19" s="1859"/>
      <c r="DN19" s="1859"/>
      <c r="DO19" s="1859"/>
      <c r="DP19" s="1859"/>
      <c r="DQ19" s="1859"/>
      <c r="DR19" s="1859"/>
      <c r="DS19" s="1859"/>
      <c r="DT19" s="1859"/>
      <c r="DU19" s="1859"/>
      <c r="DV19" s="1859"/>
      <c r="DW19" s="1859"/>
      <c r="DX19" s="1859"/>
      <c r="DY19" s="1859"/>
      <c r="DZ19" s="1859"/>
      <c r="EA19" s="1859"/>
      <c r="EB19" s="1859"/>
      <c r="EC19" s="1859"/>
      <c r="ED19" s="1859"/>
      <c r="EE19" s="1859"/>
      <c r="EF19" s="1859"/>
      <c r="EG19" s="1859"/>
      <c r="EH19" s="1859"/>
      <c r="EI19" s="1859"/>
      <c r="EJ19" s="1859"/>
      <c r="EK19" s="1859"/>
      <c r="EL19" s="1859"/>
      <c r="EM19" s="1859"/>
      <c r="EN19" s="1859"/>
      <c r="EO19" s="1859"/>
      <c r="EP19" s="1859"/>
      <c r="EQ19" s="1859"/>
      <c r="ER19" s="1859"/>
      <c r="ES19" s="1859"/>
      <c r="ET19" s="1859"/>
      <c r="EU19" s="1859"/>
      <c r="EV19" s="1859"/>
      <c r="EW19" s="1860"/>
      <c r="EX19" s="1861"/>
      <c r="EY19" s="1859"/>
      <c r="EZ19" s="1859"/>
      <c r="FA19" s="1859"/>
      <c r="FB19" s="1859"/>
      <c r="FC19" s="1859"/>
      <c r="FD19" s="1859"/>
      <c r="FE19" s="1859"/>
      <c r="FF19" s="1859"/>
      <c r="FG19" s="1859"/>
      <c r="FH19" s="1859"/>
      <c r="FI19" s="1859"/>
      <c r="FJ19" s="1859"/>
      <c r="FK19" s="1859"/>
      <c r="FL19" s="1859"/>
      <c r="FM19" s="1859"/>
      <c r="FN19" s="1859"/>
      <c r="FO19" s="1859"/>
      <c r="FP19" s="1859"/>
      <c r="FQ19" s="1859"/>
      <c r="FR19" s="1859"/>
      <c r="FS19" s="1859"/>
      <c r="FT19" s="1859"/>
      <c r="FU19" s="1859"/>
      <c r="FV19" s="1859"/>
      <c r="FW19" s="1859"/>
      <c r="FX19" s="1859"/>
      <c r="FY19" s="1859"/>
      <c r="FZ19" s="1859"/>
      <c r="GA19" s="1862"/>
      <c r="GB19" s="1859"/>
      <c r="GC19" s="1859"/>
      <c r="GD19" s="1859"/>
      <c r="GE19" s="1859"/>
      <c r="GF19" s="1859"/>
      <c r="GG19" s="1859"/>
      <c r="GH19" s="1859"/>
      <c r="GI19" s="1859"/>
      <c r="GJ19" s="1859"/>
      <c r="GK19" s="1859"/>
      <c r="GL19" s="1859"/>
      <c r="GM19" s="1859"/>
      <c r="GN19" s="1859"/>
      <c r="GO19" s="1859"/>
      <c r="GP19" s="1859"/>
      <c r="GQ19" s="1859"/>
      <c r="GR19" s="1859"/>
      <c r="GS19" s="1859"/>
      <c r="GT19" s="1859"/>
      <c r="GU19" s="1859"/>
      <c r="GV19" s="1859"/>
      <c r="GW19" s="1859"/>
      <c r="GX19" s="1859"/>
      <c r="GY19" s="1859"/>
      <c r="GZ19" s="1859"/>
      <c r="HA19" s="1859"/>
      <c r="HB19" s="1859"/>
      <c r="HC19" s="1859"/>
      <c r="HD19" s="1859"/>
      <c r="HE19" s="1859"/>
      <c r="HF19" s="1859"/>
      <c r="HG19" s="1859"/>
      <c r="HH19" s="1859"/>
      <c r="HI19" s="1859"/>
      <c r="HJ19" s="1863"/>
      <c r="HK19" s="1863"/>
      <c r="HL19" s="1863"/>
      <c r="HM19" s="1863"/>
      <c r="HN19" s="1863"/>
      <c r="HO19" s="1863"/>
      <c r="HP19" s="1863"/>
      <c r="HQ19" s="1863"/>
      <c r="HR19" s="1863"/>
      <c r="HS19" s="1863"/>
      <c r="HT19" s="1863"/>
      <c r="HU19" s="1863"/>
      <c r="HV19" s="1863"/>
      <c r="HW19" s="1863"/>
      <c r="HX19" s="1863"/>
      <c r="HY19" s="1863"/>
      <c r="HZ19" s="1863"/>
      <c r="IA19" s="1863"/>
      <c r="IB19" s="1863"/>
      <c r="IC19" s="1863"/>
      <c r="ID19" s="1864"/>
      <c r="IE19" s="1863"/>
      <c r="IF19" s="1863"/>
      <c r="IG19" s="1863"/>
      <c r="IH19" s="1863"/>
      <c r="II19" s="1863"/>
      <c r="IJ19" s="1863"/>
      <c r="IK19" s="1863"/>
      <c r="IL19" s="1863"/>
      <c r="IM19" s="1863"/>
      <c r="IN19" s="1863"/>
      <c r="IO19" s="1863"/>
      <c r="IP19" s="1863"/>
      <c r="IQ19" s="1863"/>
      <c r="IR19" s="1863"/>
      <c r="IS19" s="1863"/>
      <c r="IT19" s="1863"/>
      <c r="IU19" s="1863"/>
      <c r="IV19" s="1865"/>
      <c r="IW19" s="1863"/>
      <c r="IX19" s="1863"/>
      <c r="IY19" s="1863"/>
      <c r="IZ19" s="1863"/>
      <c r="JA19" s="1863"/>
      <c r="JB19" s="1863"/>
      <c r="JC19" s="1863"/>
      <c r="JD19" s="1863"/>
      <c r="JE19" s="1863"/>
      <c r="JF19" s="1863"/>
      <c r="JG19" s="1863"/>
      <c r="JH19" s="1863"/>
      <c r="JI19" s="1863"/>
      <c r="JJ19" s="1863"/>
      <c r="JK19" s="1863"/>
      <c r="JL19" s="1864"/>
      <c r="JM19" s="1864"/>
      <c r="JN19" s="1864"/>
      <c r="JO19" s="1864"/>
      <c r="JP19" s="1864"/>
      <c r="JQ19" s="1864"/>
      <c r="JR19" s="1864"/>
      <c r="JS19" s="1864"/>
      <c r="JT19" s="1864"/>
      <c r="JU19" s="1864"/>
      <c r="JV19" s="1864"/>
      <c r="JW19" s="1864"/>
      <c r="JX19" s="1864"/>
      <c r="JY19" s="1864"/>
      <c r="JZ19" s="1864"/>
      <c r="KA19" s="1864"/>
      <c r="KB19" s="1864"/>
      <c r="KC19" s="1864"/>
      <c r="KD19" s="1864"/>
      <c r="KE19" s="1864"/>
      <c r="KF19" s="1864"/>
      <c r="KG19" s="1864"/>
      <c r="KH19" s="1864"/>
      <c r="KI19" s="1864"/>
      <c r="KJ19" s="1863"/>
      <c r="KK19" s="1864"/>
      <c r="KL19" s="1863"/>
      <c r="KM19" s="1863"/>
      <c r="KN19" s="1863"/>
      <c r="KO19" s="1863"/>
      <c r="KP19" s="1863"/>
      <c r="KQ19" s="1866"/>
    </row>
    <row r="20" spans="1:304" s="1876" customFormat="1" ht="20.100000000000001" hidden="1" customHeight="1" outlineLevel="1">
      <c r="A20" s="1892"/>
      <c r="B20" s="1870"/>
      <c r="C20" s="1871"/>
      <c r="D20" s="1871"/>
      <c r="E20" s="1862"/>
      <c r="F20" s="1862"/>
      <c r="G20" s="1862"/>
      <c r="H20" s="1862"/>
      <c r="I20" s="1862"/>
      <c r="J20" s="1862"/>
      <c r="K20" s="1862"/>
      <c r="L20" s="1862"/>
      <c r="M20" s="1862"/>
      <c r="N20" s="1862"/>
      <c r="O20" s="1862"/>
      <c r="P20" s="1862"/>
      <c r="Q20" s="1862"/>
      <c r="R20" s="1862"/>
      <c r="S20" s="1862"/>
      <c r="T20" s="1862"/>
      <c r="U20" s="1862"/>
      <c r="V20" s="1862"/>
      <c r="W20" s="1862"/>
      <c r="X20" s="1862"/>
      <c r="Y20" s="1862"/>
      <c r="Z20" s="1862"/>
      <c r="AA20" s="1862"/>
      <c r="AB20" s="1862"/>
      <c r="AC20" s="1862"/>
      <c r="AD20" s="1862"/>
      <c r="AE20" s="1862"/>
      <c r="AF20" s="1859"/>
      <c r="AG20" s="1862"/>
      <c r="AH20" s="1862"/>
      <c r="AI20" s="1862"/>
      <c r="AJ20" s="1859"/>
      <c r="AK20" s="1862"/>
      <c r="AL20" s="1862"/>
      <c r="AM20" s="1862"/>
      <c r="AN20" s="1862"/>
      <c r="AO20" s="1862"/>
      <c r="AP20" s="1862"/>
      <c r="AQ20" s="1862"/>
      <c r="AR20" s="1862"/>
      <c r="AS20" s="1862"/>
      <c r="AT20" s="1862"/>
      <c r="AU20" s="1862"/>
      <c r="AV20" s="1862"/>
      <c r="AW20" s="1862"/>
      <c r="AX20" s="1862"/>
      <c r="AY20" s="1862"/>
      <c r="AZ20" s="1862"/>
      <c r="BA20" s="1862"/>
      <c r="BB20" s="1862"/>
      <c r="BC20" s="1862"/>
      <c r="BD20" s="1862"/>
      <c r="BE20" s="1862"/>
      <c r="BF20" s="1862"/>
      <c r="BG20" s="1862"/>
      <c r="BH20" s="1862"/>
      <c r="BI20" s="1862"/>
      <c r="BJ20" s="1862"/>
      <c r="BK20" s="1862"/>
      <c r="BL20" s="1862"/>
      <c r="BM20" s="1862"/>
      <c r="BN20" s="1862"/>
      <c r="BO20" s="1862"/>
      <c r="BP20" s="1862"/>
      <c r="BQ20" s="1862"/>
      <c r="BR20" s="1862"/>
      <c r="BS20" s="1862"/>
      <c r="BT20" s="1862"/>
      <c r="BU20" s="1862"/>
      <c r="BV20" s="1862"/>
      <c r="BW20" s="1862"/>
      <c r="BX20" s="1862"/>
      <c r="BY20" s="1862"/>
      <c r="BZ20" s="1862"/>
      <c r="CA20" s="1862"/>
      <c r="CB20" s="1862"/>
      <c r="CC20" s="1862"/>
      <c r="CD20" s="1862"/>
      <c r="CE20" s="1862"/>
      <c r="CF20" s="1862"/>
      <c r="CG20" s="1862"/>
      <c r="CH20" s="1862"/>
      <c r="CI20" s="1862"/>
      <c r="CJ20" s="1862"/>
      <c r="CK20" s="1862"/>
      <c r="CL20" s="1862"/>
      <c r="CM20" s="1862"/>
      <c r="CN20" s="1862"/>
      <c r="CO20" s="1862"/>
      <c r="CP20" s="1862"/>
      <c r="CQ20" s="1862"/>
      <c r="CR20" s="1862"/>
      <c r="CS20" s="1862"/>
      <c r="CT20" s="1862"/>
      <c r="CU20" s="1862"/>
      <c r="CV20" s="1862"/>
      <c r="CW20" s="1862"/>
      <c r="CX20" s="1862"/>
      <c r="CY20" s="1862"/>
      <c r="CZ20" s="1862"/>
      <c r="DA20" s="1862"/>
      <c r="DB20" s="1862"/>
      <c r="DC20" s="1862"/>
      <c r="DD20" s="1862"/>
      <c r="DE20" s="1862"/>
      <c r="DF20" s="1862"/>
      <c r="DG20" s="1862"/>
      <c r="DH20" s="1862"/>
      <c r="DI20" s="1862"/>
      <c r="DJ20" s="1862"/>
      <c r="DK20" s="1862"/>
      <c r="DL20" s="1862"/>
      <c r="DM20" s="1862"/>
      <c r="DN20" s="1862"/>
      <c r="DO20" s="1862"/>
      <c r="DP20" s="1862"/>
      <c r="DQ20" s="1862"/>
      <c r="DR20" s="1862"/>
      <c r="DS20" s="1862"/>
      <c r="DT20" s="1862"/>
      <c r="DU20" s="1862"/>
      <c r="DV20" s="1862"/>
      <c r="DW20" s="1862"/>
      <c r="DX20" s="1862"/>
      <c r="DY20" s="1862"/>
      <c r="DZ20" s="1862"/>
      <c r="EA20" s="1862"/>
      <c r="EB20" s="1862"/>
      <c r="EC20" s="1862"/>
      <c r="ED20" s="1862"/>
      <c r="EE20" s="1862"/>
      <c r="EF20" s="1862"/>
      <c r="EG20" s="1862"/>
      <c r="EH20" s="1862"/>
      <c r="EI20" s="1862"/>
      <c r="EJ20" s="1862"/>
      <c r="EK20" s="1862"/>
      <c r="EL20" s="1862"/>
      <c r="EM20" s="1862"/>
      <c r="EN20" s="1862"/>
      <c r="EO20" s="1862"/>
      <c r="EP20" s="1862"/>
      <c r="EQ20" s="1862"/>
      <c r="ER20" s="1862"/>
      <c r="ES20" s="1862"/>
      <c r="ET20" s="1862"/>
      <c r="EU20" s="1862"/>
      <c r="EV20" s="1862"/>
      <c r="EW20" s="1872"/>
      <c r="EX20" s="1873"/>
      <c r="EY20" s="1862"/>
      <c r="EZ20" s="1862"/>
      <c r="FA20" s="1862"/>
      <c r="FB20" s="1862"/>
      <c r="FC20" s="1862"/>
      <c r="FD20" s="1862"/>
      <c r="FE20" s="1862"/>
      <c r="FF20" s="1862"/>
      <c r="FG20" s="1862"/>
      <c r="FH20" s="1862"/>
      <c r="FI20" s="1862"/>
      <c r="FJ20" s="1862"/>
      <c r="FK20" s="1862"/>
      <c r="FL20" s="1862"/>
      <c r="FM20" s="1862"/>
      <c r="FN20" s="1859"/>
      <c r="FO20" s="1862"/>
      <c r="FP20" s="1862"/>
      <c r="FQ20" s="1862"/>
      <c r="FR20" s="1862"/>
      <c r="FS20" s="1862"/>
      <c r="FT20" s="1862"/>
      <c r="FU20" s="1862"/>
      <c r="FV20" s="1862"/>
      <c r="FW20" s="1862"/>
      <c r="FX20" s="1862"/>
      <c r="FY20" s="1862"/>
      <c r="FZ20" s="1862"/>
      <c r="GA20" s="1862"/>
      <c r="GB20" s="1862"/>
      <c r="GC20" s="1862"/>
      <c r="GD20" s="1862"/>
      <c r="GE20" s="1862"/>
      <c r="GF20" s="1862"/>
      <c r="GG20" s="1862"/>
      <c r="GH20" s="1862"/>
      <c r="GI20" s="1862"/>
      <c r="GJ20" s="1862"/>
      <c r="GK20" s="1862"/>
      <c r="GL20" s="1862"/>
      <c r="GM20" s="1862"/>
      <c r="GN20" s="1862"/>
      <c r="GO20" s="1862"/>
      <c r="GP20" s="1862"/>
      <c r="GQ20" s="1862"/>
      <c r="GR20" s="1862"/>
      <c r="GS20" s="1862"/>
      <c r="GT20" s="1862"/>
      <c r="GU20" s="1862"/>
      <c r="GV20" s="1862"/>
      <c r="GW20" s="1862"/>
      <c r="GX20" s="1862"/>
      <c r="GY20" s="1862"/>
      <c r="GZ20" s="1862"/>
      <c r="HA20" s="1862"/>
      <c r="HB20" s="1862"/>
      <c r="HC20" s="1862"/>
      <c r="HD20" s="1862"/>
      <c r="HE20" s="1862"/>
      <c r="HF20" s="1862"/>
      <c r="HG20" s="1862"/>
      <c r="HH20" s="1862"/>
      <c r="HI20" s="1862"/>
      <c r="HJ20" s="1865"/>
      <c r="HK20" s="1865"/>
      <c r="HL20" s="1865"/>
      <c r="HM20" s="1865"/>
      <c r="HN20" s="1865"/>
      <c r="HO20" s="1865"/>
      <c r="HP20" s="1865"/>
      <c r="HQ20" s="1865"/>
      <c r="HR20" s="1865"/>
      <c r="HS20" s="1865"/>
      <c r="HT20" s="1865"/>
      <c r="HU20" s="1865"/>
      <c r="HV20" s="1865"/>
      <c r="HW20" s="1865"/>
      <c r="HX20" s="1865"/>
      <c r="HY20" s="1865"/>
      <c r="HZ20" s="1865"/>
      <c r="IA20" s="1865"/>
      <c r="IB20" s="1865"/>
      <c r="IC20" s="1865"/>
      <c r="ID20" s="1874"/>
      <c r="IE20" s="1865"/>
      <c r="IF20" s="1865"/>
      <c r="IG20" s="1865"/>
      <c r="IH20" s="1865"/>
      <c r="II20" s="1865"/>
      <c r="IJ20" s="1863"/>
      <c r="IK20" s="1865"/>
      <c r="IL20" s="1865"/>
      <c r="IM20" s="1865"/>
      <c r="IN20" s="1865"/>
      <c r="IO20" s="1865"/>
      <c r="IP20" s="1865"/>
      <c r="IQ20" s="1865"/>
      <c r="IR20" s="1865"/>
      <c r="IS20" s="1865"/>
      <c r="IT20" s="1865"/>
      <c r="IU20" s="1865"/>
      <c r="IV20" s="1865"/>
      <c r="IW20" s="1865"/>
      <c r="IX20" s="1865"/>
      <c r="IY20" s="1865"/>
      <c r="IZ20" s="1865"/>
      <c r="JA20" s="1865"/>
      <c r="JB20" s="1865"/>
      <c r="JC20" s="1865"/>
      <c r="JD20" s="1865"/>
      <c r="JE20" s="1865"/>
      <c r="JF20" s="1865"/>
      <c r="JG20" s="1865"/>
      <c r="JH20" s="1865"/>
      <c r="JI20" s="1865"/>
      <c r="JJ20" s="1865"/>
      <c r="JK20" s="1865"/>
      <c r="JL20" s="1874"/>
      <c r="JM20" s="1874"/>
      <c r="JN20" s="1874"/>
      <c r="JO20" s="1874"/>
      <c r="JP20" s="1874"/>
      <c r="JQ20" s="1874"/>
      <c r="JR20" s="1874"/>
      <c r="JS20" s="1874"/>
      <c r="JT20" s="1874"/>
      <c r="JU20" s="1874"/>
      <c r="JV20" s="1874"/>
      <c r="JW20" s="1874"/>
      <c r="JX20" s="1874"/>
      <c r="JY20" s="1874"/>
      <c r="JZ20" s="1874"/>
      <c r="KA20" s="1874"/>
      <c r="KB20" s="1874"/>
      <c r="KC20" s="1874"/>
      <c r="KD20" s="1874"/>
      <c r="KE20" s="1874"/>
      <c r="KF20" s="1874"/>
      <c r="KG20" s="1874"/>
      <c r="KH20" s="1874"/>
      <c r="KI20" s="1874"/>
      <c r="KJ20" s="1865"/>
      <c r="KK20" s="1874"/>
      <c r="KL20" s="1865"/>
      <c r="KM20" s="1865"/>
      <c r="KN20" s="1865"/>
      <c r="KO20" s="1865"/>
      <c r="KP20" s="1865"/>
      <c r="KQ20" s="1875"/>
      <c r="KR20" s="1867"/>
    </row>
    <row r="21" spans="1:304" s="1867" customFormat="1" ht="20.100000000000001" hidden="1" customHeight="1" outlineLevel="1">
      <c r="A21" s="1857"/>
      <c r="B21" s="1857"/>
      <c r="C21" s="1858"/>
      <c r="D21" s="1858"/>
      <c r="E21" s="1859"/>
      <c r="F21" s="1859"/>
      <c r="G21" s="1859"/>
      <c r="H21" s="1859"/>
      <c r="I21" s="1859"/>
      <c r="J21" s="1859"/>
      <c r="K21" s="1859"/>
      <c r="L21" s="1859"/>
      <c r="M21" s="1859"/>
      <c r="N21" s="1859"/>
      <c r="O21" s="1859"/>
      <c r="P21" s="1859"/>
      <c r="Q21" s="1859"/>
      <c r="R21" s="1859"/>
      <c r="S21" s="1859"/>
      <c r="T21" s="1859"/>
      <c r="U21" s="1859"/>
      <c r="V21" s="1859"/>
      <c r="W21" s="1859"/>
      <c r="X21" s="1859"/>
      <c r="Y21" s="1859"/>
      <c r="Z21" s="1859"/>
      <c r="AA21" s="1859"/>
      <c r="AB21" s="1859"/>
      <c r="AC21" s="1859"/>
      <c r="AD21" s="1859"/>
      <c r="AE21" s="1859"/>
      <c r="AF21" s="1859"/>
      <c r="AG21" s="1859"/>
      <c r="AH21" s="1859"/>
      <c r="AI21" s="1859"/>
      <c r="AJ21" s="1859"/>
      <c r="AK21" s="1859"/>
      <c r="AL21" s="1859"/>
      <c r="AM21" s="1859"/>
      <c r="AN21" s="1859"/>
      <c r="AO21" s="1859"/>
      <c r="AP21" s="1859"/>
      <c r="AQ21" s="1859"/>
      <c r="AR21" s="1859"/>
      <c r="AS21" s="1859"/>
      <c r="AT21" s="1859"/>
      <c r="AU21" s="1859"/>
      <c r="AV21" s="1859"/>
      <c r="AW21" s="1859"/>
      <c r="AX21" s="1859"/>
      <c r="AY21" s="1859"/>
      <c r="AZ21" s="1859"/>
      <c r="BA21" s="1859"/>
      <c r="BB21" s="1859"/>
      <c r="BC21" s="1859"/>
      <c r="BD21" s="1859"/>
      <c r="BE21" s="1859"/>
      <c r="BF21" s="1859"/>
      <c r="BG21" s="1859"/>
      <c r="BH21" s="1859"/>
      <c r="BI21" s="1859"/>
      <c r="BJ21" s="1859"/>
      <c r="BK21" s="1859"/>
      <c r="BL21" s="1859"/>
      <c r="BM21" s="1859"/>
      <c r="BN21" s="1859"/>
      <c r="BO21" s="1859"/>
      <c r="BP21" s="1859"/>
      <c r="BQ21" s="1859"/>
      <c r="BR21" s="1859"/>
      <c r="BS21" s="1859"/>
      <c r="BT21" s="1859"/>
      <c r="BU21" s="1859"/>
      <c r="BV21" s="1859"/>
      <c r="BW21" s="1859"/>
      <c r="BX21" s="1859"/>
      <c r="BY21" s="1859"/>
      <c r="BZ21" s="1859"/>
      <c r="CA21" s="1859"/>
      <c r="CB21" s="1859"/>
      <c r="CC21" s="1859"/>
      <c r="CD21" s="1859"/>
      <c r="CE21" s="1859"/>
      <c r="CF21" s="1859"/>
      <c r="CG21" s="1859"/>
      <c r="CH21" s="1859"/>
      <c r="CI21" s="1859"/>
      <c r="CJ21" s="1859"/>
      <c r="CK21" s="1859"/>
      <c r="CL21" s="1859"/>
      <c r="CM21" s="1859"/>
      <c r="CN21" s="1859"/>
      <c r="CO21" s="1859"/>
      <c r="CP21" s="1859"/>
      <c r="CQ21" s="1859"/>
      <c r="CR21" s="1859"/>
      <c r="CS21" s="1859"/>
      <c r="CT21" s="1859"/>
      <c r="CU21" s="1859"/>
      <c r="CV21" s="1859"/>
      <c r="CW21" s="1859"/>
      <c r="CX21" s="1859"/>
      <c r="CY21" s="1859"/>
      <c r="CZ21" s="1859"/>
      <c r="DA21" s="1859"/>
      <c r="DB21" s="1859"/>
      <c r="DC21" s="1859"/>
      <c r="DD21" s="1859"/>
      <c r="DE21" s="1859"/>
      <c r="DF21" s="1859"/>
      <c r="DG21" s="1859"/>
      <c r="DH21" s="1859"/>
      <c r="DI21" s="1859"/>
      <c r="DJ21" s="1859"/>
      <c r="DK21" s="1859"/>
      <c r="DL21" s="1859"/>
      <c r="DM21" s="1859"/>
      <c r="DN21" s="1859"/>
      <c r="DO21" s="1859"/>
      <c r="DP21" s="1859"/>
      <c r="DQ21" s="1859"/>
      <c r="DR21" s="1859"/>
      <c r="DS21" s="1859"/>
      <c r="DT21" s="1859"/>
      <c r="DU21" s="1859"/>
      <c r="DV21" s="1859"/>
      <c r="DW21" s="1859"/>
      <c r="DX21" s="1859"/>
      <c r="DY21" s="1859"/>
      <c r="DZ21" s="1859"/>
      <c r="EA21" s="1859"/>
      <c r="EB21" s="1859"/>
      <c r="EC21" s="1859"/>
      <c r="ED21" s="1859"/>
      <c r="EE21" s="1859"/>
      <c r="EF21" s="1859"/>
      <c r="EG21" s="1859"/>
      <c r="EH21" s="1859"/>
      <c r="EI21" s="1859"/>
      <c r="EJ21" s="1859"/>
      <c r="EK21" s="1859"/>
      <c r="EL21" s="1859"/>
      <c r="EM21" s="1859"/>
      <c r="EN21" s="1859"/>
      <c r="EO21" s="1859"/>
      <c r="EP21" s="1859"/>
      <c r="EQ21" s="1859"/>
      <c r="ER21" s="1859"/>
      <c r="ES21" s="1859"/>
      <c r="ET21" s="1859"/>
      <c r="EU21" s="1859"/>
      <c r="EV21" s="1859"/>
      <c r="EW21" s="1860"/>
      <c r="EX21" s="1861"/>
      <c r="EY21" s="1859"/>
      <c r="EZ21" s="1859"/>
      <c r="FA21" s="1859"/>
      <c r="FB21" s="1859"/>
      <c r="FC21" s="1859"/>
      <c r="FD21" s="1859"/>
      <c r="FE21" s="1859"/>
      <c r="FF21" s="1859"/>
      <c r="FG21" s="1859"/>
      <c r="FH21" s="1859"/>
      <c r="FI21" s="1859"/>
      <c r="FJ21" s="1859"/>
      <c r="FK21" s="1859"/>
      <c r="FL21" s="1859"/>
      <c r="FM21" s="1859"/>
      <c r="FN21" s="1859"/>
      <c r="FO21" s="1859"/>
      <c r="FP21" s="1859"/>
      <c r="FQ21" s="1859"/>
      <c r="FR21" s="1859"/>
      <c r="FS21" s="1859"/>
      <c r="FT21" s="1859"/>
      <c r="FU21" s="1859"/>
      <c r="FV21" s="1859"/>
      <c r="FW21" s="1859"/>
      <c r="FX21" s="1859"/>
      <c r="FY21" s="1859"/>
      <c r="FZ21" s="1859"/>
      <c r="GA21" s="1862"/>
      <c r="GB21" s="1859"/>
      <c r="GC21" s="1859"/>
      <c r="GD21" s="1859"/>
      <c r="GE21" s="1859"/>
      <c r="GF21" s="1859"/>
      <c r="GG21" s="1859"/>
      <c r="GH21" s="1859"/>
      <c r="GI21" s="1859"/>
      <c r="GJ21" s="1859"/>
      <c r="GK21" s="1859"/>
      <c r="GL21" s="1859"/>
      <c r="GM21" s="1859"/>
      <c r="GN21" s="1859"/>
      <c r="GO21" s="1859"/>
      <c r="GP21" s="1859"/>
      <c r="GQ21" s="1859"/>
      <c r="GR21" s="1859"/>
      <c r="GS21" s="1859"/>
      <c r="GT21" s="1859"/>
      <c r="GU21" s="1859"/>
      <c r="GV21" s="1859"/>
      <c r="GW21" s="1859"/>
      <c r="GX21" s="1859"/>
      <c r="GY21" s="1859"/>
      <c r="GZ21" s="1859"/>
      <c r="HA21" s="1859"/>
      <c r="HB21" s="1859"/>
      <c r="HC21" s="1859"/>
      <c r="HD21" s="1859"/>
      <c r="HE21" s="1859"/>
      <c r="HF21" s="1859"/>
      <c r="HG21" s="1859"/>
      <c r="HH21" s="1859"/>
      <c r="HI21" s="1859"/>
      <c r="HJ21" s="1863"/>
      <c r="HK21" s="1863"/>
      <c r="HL21" s="1863"/>
      <c r="HM21" s="1863"/>
      <c r="HN21" s="1863"/>
      <c r="HO21" s="1863"/>
      <c r="HP21" s="1863"/>
      <c r="HQ21" s="1863"/>
      <c r="HR21" s="1863"/>
      <c r="HS21" s="1863"/>
      <c r="HT21" s="1863"/>
      <c r="HU21" s="1863"/>
      <c r="HV21" s="1863"/>
      <c r="HW21" s="1863"/>
      <c r="HX21" s="1863"/>
      <c r="HY21" s="1863"/>
      <c r="HZ21" s="1863"/>
      <c r="IA21" s="1863"/>
      <c r="IB21" s="1863"/>
      <c r="IC21" s="1863"/>
      <c r="ID21" s="1864"/>
      <c r="IE21" s="1863"/>
      <c r="IF21" s="1863"/>
      <c r="IG21" s="1863"/>
      <c r="IH21" s="1863"/>
      <c r="II21" s="1863"/>
      <c r="IJ21" s="1863"/>
      <c r="IK21" s="1863"/>
      <c r="IL21" s="1863"/>
      <c r="IM21" s="1863"/>
      <c r="IN21" s="1863"/>
      <c r="IO21" s="1863"/>
      <c r="IP21" s="1863"/>
      <c r="IQ21" s="1863"/>
      <c r="IR21" s="1863"/>
      <c r="IS21" s="1863"/>
      <c r="IT21" s="1863"/>
      <c r="IU21" s="1863"/>
      <c r="IV21" s="1865"/>
      <c r="IW21" s="1863"/>
      <c r="IX21" s="1863"/>
      <c r="IY21" s="1863"/>
      <c r="IZ21" s="1863"/>
      <c r="JA21" s="1863"/>
      <c r="JB21" s="1863"/>
      <c r="JC21" s="1863"/>
      <c r="JD21" s="1863"/>
      <c r="JE21" s="1863"/>
      <c r="JF21" s="1863"/>
      <c r="JG21" s="1863"/>
      <c r="JH21" s="1863"/>
      <c r="JI21" s="1863"/>
      <c r="JJ21" s="1863"/>
      <c r="JK21" s="1863"/>
      <c r="JL21" s="1864"/>
      <c r="JM21" s="1864"/>
      <c r="JN21" s="1864"/>
      <c r="JO21" s="1864"/>
      <c r="JP21" s="1864"/>
      <c r="JQ21" s="1864"/>
      <c r="JR21" s="1864"/>
      <c r="JS21" s="1864"/>
      <c r="JT21" s="1864"/>
      <c r="JU21" s="1864"/>
      <c r="JV21" s="1864"/>
      <c r="JW21" s="1864"/>
      <c r="JX21" s="1864"/>
      <c r="JY21" s="1864"/>
      <c r="JZ21" s="1864"/>
      <c r="KA21" s="1864"/>
      <c r="KB21" s="1864"/>
      <c r="KC21" s="1864"/>
      <c r="KD21" s="1864"/>
      <c r="KE21" s="1864"/>
      <c r="KF21" s="1864"/>
      <c r="KG21" s="1864"/>
      <c r="KH21" s="1864"/>
      <c r="KI21" s="1864"/>
      <c r="KJ21" s="1863"/>
      <c r="KK21" s="1864"/>
      <c r="KL21" s="1863"/>
      <c r="KM21" s="1863"/>
      <c r="KN21" s="1863"/>
      <c r="KO21" s="1863"/>
      <c r="KP21" s="1863"/>
      <c r="KQ21" s="1866"/>
    </row>
    <row r="22" spans="1:304" s="1876" customFormat="1" ht="20.100000000000001" hidden="1" customHeight="1" outlineLevel="1">
      <c r="A22" s="1892"/>
      <c r="B22" s="1870"/>
      <c r="C22" s="1871"/>
      <c r="D22" s="1871"/>
      <c r="E22" s="1862"/>
      <c r="F22" s="1862"/>
      <c r="G22" s="1862"/>
      <c r="H22" s="1862"/>
      <c r="I22" s="1862"/>
      <c r="J22" s="1862"/>
      <c r="K22" s="1862"/>
      <c r="L22" s="1862"/>
      <c r="M22" s="1862"/>
      <c r="N22" s="1862"/>
      <c r="O22" s="1862"/>
      <c r="P22" s="1862"/>
      <c r="Q22" s="1862"/>
      <c r="R22" s="1862"/>
      <c r="S22" s="1862"/>
      <c r="T22" s="1862"/>
      <c r="U22" s="1862"/>
      <c r="V22" s="1862"/>
      <c r="W22" s="1862"/>
      <c r="X22" s="1862"/>
      <c r="Y22" s="1862"/>
      <c r="Z22" s="1862"/>
      <c r="AA22" s="1862"/>
      <c r="AB22" s="1862"/>
      <c r="AC22" s="1862"/>
      <c r="AD22" s="1862"/>
      <c r="AE22" s="1862"/>
      <c r="AF22" s="1859"/>
      <c r="AG22" s="1862"/>
      <c r="AH22" s="1862"/>
      <c r="AI22" s="1862"/>
      <c r="AJ22" s="1859"/>
      <c r="AK22" s="1862"/>
      <c r="AL22" s="1862"/>
      <c r="AM22" s="1862"/>
      <c r="AN22" s="1862"/>
      <c r="AO22" s="1862"/>
      <c r="AP22" s="1862"/>
      <c r="AQ22" s="1862"/>
      <c r="AR22" s="1862"/>
      <c r="AS22" s="1862"/>
      <c r="AT22" s="1862"/>
      <c r="AU22" s="1862"/>
      <c r="AV22" s="1862"/>
      <c r="AW22" s="1862"/>
      <c r="AX22" s="1862"/>
      <c r="AY22" s="1862"/>
      <c r="AZ22" s="1862"/>
      <c r="BA22" s="1862"/>
      <c r="BB22" s="1862"/>
      <c r="BC22" s="1862"/>
      <c r="BD22" s="1862"/>
      <c r="BE22" s="1862"/>
      <c r="BF22" s="1862"/>
      <c r="BG22" s="1862"/>
      <c r="BH22" s="1862"/>
      <c r="BI22" s="1862"/>
      <c r="BJ22" s="1862"/>
      <c r="BK22" s="1862"/>
      <c r="BL22" s="1862"/>
      <c r="BM22" s="1862"/>
      <c r="BN22" s="1862"/>
      <c r="BO22" s="1862"/>
      <c r="BP22" s="1862"/>
      <c r="BQ22" s="1862"/>
      <c r="BR22" s="1862"/>
      <c r="BS22" s="1862"/>
      <c r="BT22" s="1862"/>
      <c r="BU22" s="1862"/>
      <c r="BV22" s="1862"/>
      <c r="BW22" s="1862"/>
      <c r="BX22" s="1862"/>
      <c r="BY22" s="1862"/>
      <c r="BZ22" s="1862"/>
      <c r="CA22" s="1862"/>
      <c r="CB22" s="1862"/>
      <c r="CC22" s="1862"/>
      <c r="CD22" s="1862"/>
      <c r="CE22" s="1862"/>
      <c r="CF22" s="1862"/>
      <c r="CG22" s="1862"/>
      <c r="CH22" s="1862"/>
      <c r="CI22" s="1862"/>
      <c r="CJ22" s="1862"/>
      <c r="CK22" s="1862"/>
      <c r="CL22" s="1862"/>
      <c r="CM22" s="1862"/>
      <c r="CN22" s="1862"/>
      <c r="CO22" s="1862"/>
      <c r="CP22" s="1862"/>
      <c r="CQ22" s="1862"/>
      <c r="CR22" s="1862"/>
      <c r="CS22" s="1862"/>
      <c r="CT22" s="1862"/>
      <c r="CU22" s="1862"/>
      <c r="CV22" s="1862"/>
      <c r="CW22" s="1862"/>
      <c r="CX22" s="1862"/>
      <c r="CY22" s="1862"/>
      <c r="CZ22" s="1862"/>
      <c r="DA22" s="1862"/>
      <c r="DB22" s="1862"/>
      <c r="DC22" s="1862"/>
      <c r="DD22" s="1862"/>
      <c r="DE22" s="1862"/>
      <c r="DF22" s="1862"/>
      <c r="DG22" s="1862"/>
      <c r="DH22" s="1862"/>
      <c r="DI22" s="1862"/>
      <c r="DJ22" s="1862"/>
      <c r="DK22" s="1862"/>
      <c r="DL22" s="1862"/>
      <c r="DM22" s="1862"/>
      <c r="DN22" s="1862"/>
      <c r="DO22" s="1862"/>
      <c r="DP22" s="1862"/>
      <c r="DQ22" s="1862"/>
      <c r="DR22" s="1862"/>
      <c r="DS22" s="1862"/>
      <c r="DT22" s="1862"/>
      <c r="DU22" s="1862"/>
      <c r="DV22" s="1862"/>
      <c r="DW22" s="1862"/>
      <c r="DX22" s="1862"/>
      <c r="DY22" s="1862"/>
      <c r="DZ22" s="1862"/>
      <c r="EA22" s="1862"/>
      <c r="EB22" s="1862"/>
      <c r="EC22" s="1862"/>
      <c r="ED22" s="1862"/>
      <c r="EE22" s="1862"/>
      <c r="EF22" s="1862"/>
      <c r="EG22" s="1862"/>
      <c r="EH22" s="1862"/>
      <c r="EI22" s="1862"/>
      <c r="EJ22" s="1862"/>
      <c r="EK22" s="1862"/>
      <c r="EL22" s="1862"/>
      <c r="EM22" s="1862"/>
      <c r="EN22" s="1862"/>
      <c r="EO22" s="1862"/>
      <c r="EP22" s="1862"/>
      <c r="EQ22" s="1862"/>
      <c r="ER22" s="1862"/>
      <c r="ES22" s="1862"/>
      <c r="ET22" s="1862"/>
      <c r="EU22" s="1862"/>
      <c r="EV22" s="1862"/>
      <c r="EW22" s="1872"/>
      <c r="EX22" s="1873"/>
      <c r="EY22" s="1862"/>
      <c r="EZ22" s="1862"/>
      <c r="FA22" s="1862"/>
      <c r="FB22" s="1862"/>
      <c r="FC22" s="1862"/>
      <c r="FD22" s="1862"/>
      <c r="FE22" s="1862"/>
      <c r="FF22" s="1862"/>
      <c r="FG22" s="1862"/>
      <c r="FH22" s="1862"/>
      <c r="FI22" s="1862"/>
      <c r="FJ22" s="1862"/>
      <c r="FK22" s="1862"/>
      <c r="FL22" s="1862"/>
      <c r="FM22" s="1862"/>
      <c r="FN22" s="1859"/>
      <c r="FO22" s="1862"/>
      <c r="FP22" s="1862"/>
      <c r="FQ22" s="1862"/>
      <c r="FR22" s="1862"/>
      <c r="FS22" s="1862"/>
      <c r="FT22" s="1862"/>
      <c r="FU22" s="1862"/>
      <c r="FV22" s="1862"/>
      <c r="FW22" s="1862"/>
      <c r="FX22" s="1862"/>
      <c r="FY22" s="1862"/>
      <c r="FZ22" s="1862"/>
      <c r="GA22" s="1862"/>
      <c r="GB22" s="1862"/>
      <c r="GC22" s="1862"/>
      <c r="GD22" s="1862"/>
      <c r="GE22" s="1862"/>
      <c r="GF22" s="1862"/>
      <c r="GG22" s="1862"/>
      <c r="GH22" s="1862"/>
      <c r="GI22" s="1862"/>
      <c r="GJ22" s="1862"/>
      <c r="GK22" s="1862"/>
      <c r="GL22" s="1862"/>
      <c r="GM22" s="1862"/>
      <c r="GN22" s="1862"/>
      <c r="GO22" s="1862"/>
      <c r="GP22" s="1862"/>
      <c r="GQ22" s="1862"/>
      <c r="GR22" s="1862"/>
      <c r="GS22" s="1862"/>
      <c r="GT22" s="1862"/>
      <c r="GU22" s="1862"/>
      <c r="GV22" s="1862"/>
      <c r="GW22" s="1862"/>
      <c r="GX22" s="1862"/>
      <c r="GY22" s="1862"/>
      <c r="GZ22" s="1862"/>
      <c r="HA22" s="1862"/>
      <c r="HB22" s="1862"/>
      <c r="HC22" s="1862"/>
      <c r="HD22" s="1862"/>
      <c r="HE22" s="1862"/>
      <c r="HF22" s="1862"/>
      <c r="HG22" s="1862"/>
      <c r="HH22" s="1862"/>
      <c r="HI22" s="1862"/>
      <c r="HJ22" s="1865"/>
      <c r="HK22" s="1865"/>
      <c r="HL22" s="1865"/>
      <c r="HM22" s="1865"/>
      <c r="HN22" s="1865"/>
      <c r="HO22" s="1865"/>
      <c r="HP22" s="1865"/>
      <c r="HQ22" s="1865"/>
      <c r="HR22" s="1865"/>
      <c r="HS22" s="1865"/>
      <c r="HT22" s="1865"/>
      <c r="HU22" s="1865"/>
      <c r="HV22" s="1865"/>
      <c r="HW22" s="1865"/>
      <c r="HX22" s="1865"/>
      <c r="HY22" s="1865"/>
      <c r="HZ22" s="1865"/>
      <c r="IA22" s="1865"/>
      <c r="IB22" s="1865"/>
      <c r="IC22" s="1865"/>
      <c r="ID22" s="1874"/>
      <c r="IE22" s="1865"/>
      <c r="IF22" s="1865"/>
      <c r="IG22" s="1865"/>
      <c r="IH22" s="1865"/>
      <c r="II22" s="1865"/>
      <c r="IJ22" s="1863"/>
      <c r="IK22" s="1865"/>
      <c r="IL22" s="1865"/>
      <c r="IM22" s="1865"/>
      <c r="IN22" s="1865"/>
      <c r="IO22" s="1865"/>
      <c r="IP22" s="1865"/>
      <c r="IQ22" s="1865"/>
      <c r="IR22" s="1865"/>
      <c r="IS22" s="1865"/>
      <c r="IT22" s="1865"/>
      <c r="IU22" s="1865"/>
      <c r="IV22" s="1865"/>
      <c r="IW22" s="1865"/>
      <c r="IX22" s="1865"/>
      <c r="IY22" s="1865"/>
      <c r="IZ22" s="1865"/>
      <c r="JA22" s="1865"/>
      <c r="JB22" s="1865"/>
      <c r="JC22" s="1865"/>
      <c r="JD22" s="1865"/>
      <c r="JE22" s="1865"/>
      <c r="JF22" s="1865"/>
      <c r="JG22" s="1865"/>
      <c r="JH22" s="1865"/>
      <c r="JI22" s="1865"/>
      <c r="JJ22" s="1865"/>
      <c r="JK22" s="1865"/>
      <c r="JL22" s="1874"/>
      <c r="JM22" s="1874"/>
      <c r="JN22" s="1874"/>
      <c r="JO22" s="1874"/>
      <c r="JP22" s="1874"/>
      <c r="JQ22" s="1874"/>
      <c r="JR22" s="1874"/>
      <c r="JS22" s="1874"/>
      <c r="JT22" s="1874"/>
      <c r="JU22" s="1874"/>
      <c r="JV22" s="1874"/>
      <c r="JW22" s="1874"/>
      <c r="JX22" s="1874"/>
      <c r="JY22" s="1874"/>
      <c r="JZ22" s="1874"/>
      <c r="KA22" s="1874"/>
      <c r="KB22" s="1874"/>
      <c r="KC22" s="1874"/>
      <c r="KD22" s="1874"/>
      <c r="KE22" s="1874"/>
      <c r="KF22" s="1874"/>
      <c r="KG22" s="1874"/>
      <c r="KH22" s="1874"/>
      <c r="KI22" s="1874"/>
      <c r="KJ22" s="1865"/>
      <c r="KK22" s="1874"/>
      <c r="KL22" s="1865"/>
      <c r="KM22" s="1865"/>
      <c r="KN22" s="1865"/>
      <c r="KO22" s="1865"/>
      <c r="KP22" s="1865"/>
      <c r="KQ22" s="1875"/>
      <c r="KR22" s="1867"/>
    </row>
    <row r="23" spans="1:304" s="1867" customFormat="1" ht="20.100000000000001" customHeight="1" outlineLevel="1">
      <c r="A23" s="1857"/>
      <c r="B23" s="1857"/>
      <c r="C23" s="1858"/>
      <c r="D23" s="1858"/>
      <c r="E23" s="1859"/>
      <c r="F23" s="1859"/>
      <c r="G23" s="1859"/>
      <c r="H23" s="1859"/>
      <c r="I23" s="1859"/>
      <c r="J23" s="1859"/>
      <c r="K23" s="1859"/>
      <c r="L23" s="1859"/>
      <c r="M23" s="1859"/>
      <c r="N23" s="1859"/>
      <c r="O23" s="1859"/>
      <c r="P23" s="1859"/>
      <c r="Q23" s="1859"/>
      <c r="R23" s="1859"/>
      <c r="S23" s="1859"/>
      <c r="T23" s="1859"/>
      <c r="U23" s="1859"/>
      <c r="V23" s="1859"/>
      <c r="W23" s="1859"/>
      <c r="X23" s="1859"/>
      <c r="Y23" s="1859"/>
      <c r="Z23" s="1859"/>
      <c r="AA23" s="1859"/>
      <c r="AB23" s="1859"/>
      <c r="AC23" s="1859"/>
      <c r="AD23" s="1859"/>
      <c r="AE23" s="1859"/>
      <c r="AF23" s="1859"/>
      <c r="AG23" s="1859"/>
      <c r="AH23" s="1859"/>
      <c r="AI23" s="1859"/>
      <c r="AJ23" s="1859"/>
      <c r="AK23" s="1859"/>
      <c r="AL23" s="1859"/>
      <c r="AM23" s="1859"/>
      <c r="AN23" s="1859"/>
      <c r="AO23" s="1859"/>
      <c r="AP23" s="1859"/>
      <c r="AQ23" s="1859"/>
      <c r="AR23" s="1859"/>
      <c r="AS23" s="1859"/>
      <c r="AT23" s="1859"/>
      <c r="AU23" s="1859"/>
      <c r="AV23" s="1859"/>
      <c r="AW23" s="1859"/>
      <c r="AX23" s="1859"/>
      <c r="AY23" s="1859"/>
      <c r="AZ23" s="1859"/>
      <c r="BA23" s="1859"/>
      <c r="BB23" s="1859"/>
      <c r="BC23" s="1859"/>
      <c r="BD23" s="1859"/>
      <c r="BE23" s="1859"/>
      <c r="BF23" s="1859"/>
      <c r="BG23" s="1859"/>
      <c r="BH23" s="1859"/>
      <c r="BI23" s="1859"/>
      <c r="BJ23" s="1859"/>
      <c r="BK23" s="1859"/>
      <c r="BL23" s="1859"/>
      <c r="BM23" s="1859"/>
      <c r="BN23" s="1859"/>
      <c r="BO23" s="1859"/>
      <c r="BP23" s="1859"/>
      <c r="BQ23" s="1859"/>
      <c r="BR23" s="1859"/>
      <c r="BS23" s="1859"/>
      <c r="BT23" s="1859"/>
      <c r="BU23" s="1859"/>
      <c r="BV23" s="1859"/>
      <c r="BW23" s="1859"/>
      <c r="BX23" s="1859"/>
      <c r="BY23" s="1859"/>
      <c r="BZ23" s="1859"/>
      <c r="CA23" s="1859"/>
      <c r="CB23" s="1859"/>
      <c r="CC23" s="1859"/>
      <c r="CD23" s="1859"/>
      <c r="CE23" s="1859"/>
      <c r="CF23" s="1859"/>
      <c r="CG23" s="1859"/>
      <c r="CH23" s="1859"/>
      <c r="CI23" s="1859"/>
      <c r="CJ23" s="1859"/>
      <c r="CK23" s="1859"/>
      <c r="CL23" s="1859"/>
      <c r="CM23" s="1859"/>
      <c r="CN23" s="1859"/>
      <c r="CO23" s="1859"/>
      <c r="CP23" s="1859"/>
      <c r="CQ23" s="1859"/>
      <c r="CR23" s="1859"/>
      <c r="CS23" s="1859"/>
      <c r="CT23" s="1859"/>
      <c r="CU23" s="1859"/>
      <c r="CV23" s="1859"/>
      <c r="CW23" s="1859"/>
      <c r="CX23" s="1859"/>
      <c r="CY23" s="1859"/>
      <c r="CZ23" s="1859"/>
      <c r="DA23" s="1859"/>
      <c r="DB23" s="1859"/>
      <c r="DC23" s="1859"/>
      <c r="DD23" s="1859"/>
      <c r="DE23" s="1859"/>
      <c r="DF23" s="1859"/>
      <c r="DG23" s="1859"/>
      <c r="DH23" s="1859"/>
      <c r="DI23" s="1859"/>
      <c r="DJ23" s="1859"/>
      <c r="DK23" s="1859"/>
      <c r="DL23" s="1859"/>
      <c r="DM23" s="1859"/>
      <c r="DN23" s="1859"/>
      <c r="DO23" s="1859"/>
      <c r="DP23" s="1859"/>
      <c r="DQ23" s="1859"/>
      <c r="DR23" s="1859"/>
      <c r="DS23" s="1859"/>
      <c r="DT23" s="1859"/>
      <c r="DU23" s="1859"/>
      <c r="DV23" s="1859"/>
      <c r="DW23" s="1859"/>
      <c r="DX23" s="1859"/>
      <c r="DY23" s="1859"/>
      <c r="DZ23" s="1859"/>
      <c r="EA23" s="1859"/>
      <c r="EB23" s="1859"/>
      <c r="EC23" s="1859"/>
      <c r="ED23" s="1859"/>
      <c r="EE23" s="1859"/>
      <c r="EF23" s="1859"/>
      <c r="EG23" s="1859"/>
      <c r="EH23" s="1859"/>
      <c r="EI23" s="1859"/>
      <c r="EJ23" s="1859"/>
      <c r="EK23" s="1859"/>
      <c r="EL23" s="1859"/>
      <c r="EM23" s="1859"/>
      <c r="EN23" s="1859"/>
      <c r="EO23" s="1859"/>
      <c r="EP23" s="1859"/>
      <c r="EQ23" s="1859"/>
      <c r="ER23" s="1859"/>
      <c r="ES23" s="1859"/>
      <c r="ET23" s="1859"/>
      <c r="EU23" s="1859"/>
      <c r="EV23" s="1859"/>
      <c r="EW23" s="1860"/>
      <c r="EX23" s="1861"/>
      <c r="EY23" s="1859"/>
      <c r="EZ23" s="1859"/>
      <c r="FA23" s="1859"/>
      <c r="FB23" s="1859"/>
      <c r="FC23" s="1859"/>
      <c r="FD23" s="1859"/>
      <c r="FE23" s="1859"/>
      <c r="FF23" s="1859"/>
      <c r="FG23" s="1859"/>
      <c r="FH23" s="1859"/>
      <c r="FI23" s="1859"/>
      <c r="FJ23" s="1859"/>
      <c r="FK23" s="1859"/>
      <c r="FL23" s="1859"/>
      <c r="FM23" s="1859"/>
      <c r="FN23" s="1859"/>
      <c r="FO23" s="1859"/>
      <c r="FP23" s="1859"/>
      <c r="FQ23" s="1859"/>
      <c r="FR23" s="1859"/>
      <c r="FS23" s="1859"/>
      <c r="FT23" s="1859"/>
      <c r="FU23" s="1859"/>
      <c r="FV23" s="1859"/>
      <c r="FW23" s="1859"/>
      <c r="FX23" s="1859"/>
      <c r="FY23" s="1859"/>
      <c r="FZ23" s="1859"/>
      <c r="GA23" s="1862"/>
      <c r="GB23" s="1859"/>
      <c r="GC23" s="1859"/>
      <c r="GD23" s="1859"/>
      <c r="GE23" s="1859"/>
      <c r="GF23" s="1859"/>
      <c r="GG23" s="1859"/>
      <c r="GH23" s="1859"/>
      <c r="GI23" s="1859"/>
      <c r="GJ23" s="1859"/>
      <c r="GK23" s="1859"/>
      <c r="GL23" s="1859"/>
      <c r="GM23" s="1859"/>
      <c r="GN23" s="1859"/>
      <c r="GO23" s="1859"/>
      <c r="GP23" s="1859"/>
      <c r="GQ23" s="1859"/>
      <c r="GR23" s="1859"/>
      <c r="GS23" s="1859"/>
      <c r="GT23" s="1859"/>
      <c r="GU23" s="1859"/>
      <c r="GV23" s="1859"/>
      <c r="GW23" s="1859"/>
      <c r="GX23" s="1859"/>
      <c r="GY23" s="1859"/>
      <c r="GZ23" s="1859"/>
      <c r="HA23" s="1859"/>
      <c r="HB23" s="1859"/>
      <c r="HC23" s="1859"/>
      <c r="HD23" s="1859"/>
      <c r="HE23" s="1859"/>
      <c r="HF23" s="1859"/>
      <c r="HG23" s="1859"/>
      <c r="HH23" s="1859"/>
      <c r="HI23" s="1859"/>
      <c r="HJ23" s="1863"/>
      <c r="HK23" s="1863"/>
      <c r="HL23" s="1863"/>
      <c r="HM23" s="1863"/>
      <c r="HN23" s="1863"/>
      <c r="HO23" s="1863"/>
      <c r="HP23" s="1863"/>
      <c r="HQ23" s="1863"/>
      <c r="HR23" s="1863"/>
      <c r="HS23" s="1863"/>
      <c r="HT23" s="1863"/>
      <c r="HU23" s="1863"/>
      <c r="HV23" s="1863"/>
      <c r="HW23" s="1863"/>
      <c r="HX23" s="1863"/>
      <c r="HY23" s="1863"/>
      <c r="HZ23" s="1863"/>
      <c r="IA23" s="1863"/>
      <c r="IB23" s="1863"/>
      <c r="IC23" s="1863"/>
      <c r="ID23" s="1864"/>
      <c r="IE23" s="1863"/>
      <c r="IF23" s="1863"/>
      <c r="IG23" s="1863"/>
      <c r="IH23" s="1863"/>
      <c r="II23" s="1863"/>
      <c r="IJ23" s="1863"/>
      <c r="IK23" s="1863"/>
      <c r="IL23" s="1863"/>
      <c r="IM23" s="1863"/>
      <c r="IN23" s="1863"/>
      <c r="IO23" s="1863"/>
      <c r="IP23" s="1863"/>
      <c r="IQ23" s="1863"/>
      <c r="IR23" s="1863"/>
      <c r="IS23" s="1863"/>
      <c r="IT23" s="1863"/>
      <c r="IU23" s="1863"/>
      <c r="IV23" s="1865"/>
      <c r="IW23" s="1863"/>
      <c r="IX23" s="1863"/>
      <c r="IY23" s="1863"/>
      <c r="IZ23" s="1863"/>
      <c r="JA23" s="1863"/>
      <c r="JB23" s="1863"/>
      <c r="JC23" s="1863"/>
      <c r="JD23" s="1863"/>
      <c r="JE23" s="1863"/>
      <c r="JF23" s="1863"/>
      <c r="JG23" s="1863"/>
      <c r="JH23" s="1863"/>
      <c r="JI23" s="1863"/>
      <c r="JJ23" s="1863"/>
      <c r="JK23" s="1863"/>
      <c r="JL23" s="1864"/>
      <c r="JM23" s="1864"/>
      <c r="JN23" s="1864"/>
      <c r="JO23" s="1864"/>
      <c r="JP23" s="1864"/>
      <c r="JQ23" s="1864"/>
      <c r="JR23" s="1864"/>
      <c r="JS23" s="1864"/>
      <c r="JT23" s="1864"/>
      <c r="JU23" s="1864"/>
      <c r="JV23" s="1864"/>
      <c r="JW23" s="1864"/>
      <c r="JX23" s="1864"/>
      <c r="JY23" s="1864"/>
      <c r="JZ23" s="1864"/>
      <c r="KA23" s="1864"/>
      <c r="KB23" s="1864"/>
      <c r="KC23" s="1864"/>
      <c r="KD23" s="1864"/>
      <c r="KE23" s="1864"/>
      <c r="KF23" s="1864"/>
      <c r="KG23" s="1864"/>
      <c r="KH23" s="1864"/>
      <c r="KI23" s="1864"/>
      <c r="KJ23" s="1863"/>
      <c r="KK23" s="1864"/>
      <c r="KL23" s="1863"/>
      <c r="KM23" s="1863"/>
      <c r="KN23" s="1863"/>
      <c r="KO23" s="1863"/>
      <c r="KP23" s="1863"/>
      <c r="KQ23" s="1866"/>
    </row>
    <row r="24" spans="1:304" s="1867" customFormat="1" ht="20.100000000000001" hidden="1" customHeight="1" outlineLevel="1">
      <c r="A24" s="1857"/>
      <c r="B24" s="1857"/>
      <c r="C24" s="1858"/>
      <c r="D24" s="1858"/>
      <c r="E24" s="1859"/>
      <c r="F24" s="1859"/>
      <c r="G24" s="1859"/>
      <c r="H24" s="1859"/>
      <c r="I24" s="1859"/>
      <c r="J24" s="1859"/>
      <c r="K24" s="1859"/>
      <c r="L24" s="1859"/>
      <c r="M24" s="1859"/>
      <c r="N24" s="1859"/>
      <c r="O24" s="1859"/>
      <c r="P24" s="1859"/>
      <c r="Q24" s="1859"/>
      <c r="R24" s="1859"/>
      <c r="S24" s="1859"/>
      <c r="T24" s="1859"/>
      <c r="U24" s="1859"/>
      <c r="V24" s="1859"/>
      <c r="W24" s="1859"/>
      <c r="X24" s="1859"/>
      <c r="Y24" s="1859"/>
      <c r="Z24" s="1859"/>
      <c r="AA24" s="1859"/>
      <c r="AB24" s="1859"/>
      <c r="AC24" s="1859"/>
      <c r="AD24" s="1859"/>
      <c r="AE24" s="1859"/>
      <c r="AF24" s="1859"/>
      <c r="AG24" s="1859"/>
      <c r="AH24" s="1859"/>
      <c r="AI24" s="1859"/>
      <c r="AJ24" s="1859"/>
      <c r="AK24" s="1859"/>
      <c r="AL24" s="1859"/>
      <c r="AM24" s="1859"/>
      <c r="AN24" s="1859"/>
      <c r="AO24" s="1859"/>
      <c r="AP24" s="1859"/>
      <c r="AQ24" s="1859"/>
      <c r="AR24" s="1859"/>
      <c r="AS24" s="1859"/>
      <c r="AT24" s="1859"/>
      <c r="AU24" s="1859"/>
      <c r="AV24" s="1859"/>
      <c r="AW24" s="1859"/>
      <c r="AX24" s="1859"/>
      <c r="AY24" s="1859"/>
      <c r="AZ24" s="1859"/>
      <c r="BA24" s="1859"/>
      <c r="BB24" s="1859"/>
      <c r="BC24" s="1859"/>
      <c r="BD24" s="1859"/>
      <c r="BE24" s="1859"/>
      <c r="BF24" s="1859"/>
      <c r="BG24" s="1859"/>
      <c r="BH24" s="1859"/>
      <c r="BI24" s="1859"/>
      <c r="BJ24" s="1859"/>
      <c r="BK24" s="1859"/>
      <c r="BL24" s="1859"/>
      <c r="BM24" s="1859"/>
      <c r="BN24" s="1859"/>
      <c r="BO24" s="1859"/>
      <c r="BP24" s="1859"/>
      <c r="BQ24" s="1859"/>
      <c r="BR24" s="1859"/>
      <c r="BS24" s="1859"/>
      <c r="BT24" s="1859"/>
      <c r="BU24" s="1859"/>
      <c r="BV24" s="1859"/>
      <c r="BW24" s="1859"/>
      <c r="BX24" s="1859"/>
      <c r="BY24" s="1859"/>
      <c r="BZ24" s="1859"/>
      <c r="CA24" s="1859"/>
      <c r="CB24" s="1859"/>
      <c r="CC24" s="1859"/>
      <c r="CD24" s="1859"/>
      <c r="CE24" s="1859"/>
      <c r="CF24" s="1859"/>
      <c r="CG24" s="1859"/>
      <c r="CH24" s="1859"/>
      <c r="CI24" s="1859"/>
      <c r="CJ24" s="1859"/>
      <c r="CK24" s="1859"/>
      <c r="CL24" s="1859"/>
      <c r="CM24" s="1859"/>
      <c r="CN24" s="1859"/>
      <c r="CO24" s="1859"/>
      <c r="CP24" s="1859"/>
      <c r="CQ24" s="1859"/>
      <c r="CR24" s="1859"/>
      <c r="CS24" s="1859"/>
      <c r="CT24" s="1859"/>
      <c r="CU24" s="1859"/>
      <c r="CV24" s="1859"/>
      <c r="CW24" s="1859"/>
      <c r="CX24" s="1859"/>
      <c r="CY24" s="1859"/>
      <c r="CZ24" s="1859"/>
      <c r="DA24" s="1859"/>
      <c r="DB24" s="1859"/>
      <c r="DC24" s="1859"/>
      <c r="DD24" s="1859"/>
      <c r="DE24" s="1859"/>
      <c r="DF24" s="1859"/>
      <c r="DG24" s="1859"/>
      <c r="DH24" s="1859"/>
      <c r="DI24" s="1859"/>
      <c r="DJ24" s="1859"/>
      <c r="DK24" s="1859"/>
      <c r="DL24" s="1859"/>
      <c r="DM24" s="1859"/>
      <c r="DN24" s="1859"/>
      <c r="DO24" s="1859"/>
      <c r="DP24" s="1859"/>
      <c r="DQ24" s="1859"/>
      <c r="DR24" s="1859"/>
      <c r="DS24" s="1859"/>
      <c r="DT24" s="1859"/>
      <c r="DU24" s="1859"/>
      <c r="DV24" s="1859"/>
      <c r="DW24" s="1859"/>
      <c r="DX24" s="1859"/>
      <c r="DY24" s="1859"/>
      <c r="DZ24" s="1859"/>
      <c r="EA24" s="1859"/>
      <c r="EB24" s="1859"/>
      <c r="EC24" s="1859"/>
      <c r="ED24" s="1859"/>
      <c r="EE24" s="1859"/>
      <c r="EF24" s="1859"/>
      <c r="EG24" s="1859"/>
      <c r="EH24" s="1859"/>
      <c r="EI24" s="1859"/>
      <c r="EJ24" s="1859"/>
      <c r="EK24" s="1859"/>
      <c r="EL24" s="1859"/>
      <c r="EM24" s="1859"/>
      <c r="EN24" s="1859"/>
      <c r="EO24" s="1859"/>
      <c r="EP24" s="1859"/>
      <c r="EQ24" s="1859"/>
      <c r="ER24" s="1859"/>
      <c r="ES24" s="1859"/>
      <c r="ET24" s="1859"/>
      <c r="EU24" s="1859"/>
      <c r="EV24" s="1859"/>
      <c r="EW24" s="1860"/>
      <c r="EX24" s="1861"/>
      <c r="EY24" s="1859"/>
      <c r="EZ24" s="1859"/>
      <c r="FA24" s="1859"/>
      <c r="FB24" s="1859"/>
      <c r="FC24" s="1859"/>
      <c r="FD24" s="1859"/>
      <c r="FE24" s="1859"/>
      <c r="FF24" s="1859"/>
      <c r="FG24" s="1859"/>
      <c r="FH24" s="1859"/>
      <c r="FI24" s="1859"/>
      <c r="FJ24" s="1859"/>
      <c r="FK24" s="1859"/>
      <c r="FL24" s="1859"/>
      <c r="FM24" s="1859"/>
      <c r="FN24" s="1859"/>
      <c r="FO24" s="1859"/>
      <c r="FP24" s="1859"/>
      <c r="FQ24" s="1859"/>
      <c r="FR24" s="1859"/>
      <c r="FS24" s="1859"/>
      <c r="FT24" s="1859"/>
      <c r="FU24" s="1859"/>
      <c r="FV24" s="1859"/>
      <c r="FW24" s="1859"/>
      <c r="FX24" s="1859"/>
      <c r="FY24" s="1859"/>
      <c r="FZ24" s="1859"/>
      <c r="GA24" s="1862"/>
      <c r="GB24" s="1859"/>
      <c r="GC24" s="1859"/>
      <c r="GD24" s="1859"/>
      <c r="GE24" s="1859"/>
      <c r="GF24" s="1859"/>
      <c r="GG24" s="1859"/>
      <c r="GH24" s="1859"/>
      <c r="GI24" s="1859"/>
      <c r="GJ24" s="1859"/>
      <c r="GK24" s="1859"/>
      <c r="GL24" s="1859"/>
      <c r="GM24" s="1859"/>
      <c r="GN24" s="1859"/>
      <c r="GO24" s="1859"/>
      <c r="GP24" s="1859"/>
      <c r="GQ24" s="1859"/>
      <c r="GR24" s="1859"/>
      <c r="GS24" s="1859"/>
      <c r="GT24" s="1859"/>
      <c r="GU24" s="1859"/>
      <c r="GV24" s="1859"/>
      <c r="GW24" s="1859"/>
      <c r="GX24" s="1859"/>
      <c r="GY24" s="1859"/>
      <c r="GZ24" s="1859"/>
      <c r="HA24" s="1859"/>
      <c r="HB24" s="1859"/>
      <c r="HC24" s="1859"/>
      <c r="HD24" s="1859"/>
      <c r="HE24" s="1859"/>
      <c r="HF24" s="1859"/>
      <c r="HG24" s="1859"/>
      <c r="HH24" s="1859"/>
      <c r="HI24" s="1859"/>
      <c r="HJ24" s="1863"/>
      <c r="HK24" s="1863"/>
      <c r="HL24" s="1863"/>
      <c r="HM24" s="1863"/>
      <c r="HN24" s="1863"/>
      <c r="HO24" s="1863"/>
      <c r="HP24" s="1863"/>
      <c r="HQ24" s="1863"/>
      <c r="HR24" s="1863"/>
      <c r="HS24" s="1863"/>
      <c r="HT24" s="1863"/>
      <c r="HU24" s="1863"/>
      <c r="HV24" s="1863"/>
      <c r="HW24" s="1863"/>
      <c r="HX24" s="1863"/>
      <c r="HY24" s="1863"/>
      <c r="HZ24" s="1863"/>
      <c r="IA24" s="1863"/>
      <c r="IB24" s="1863"/>
      <c r="IC24" s="1863"/>
      <c r="ID24" s="1864"/>
      <c r="IE24" s="1863"/>
      <c r="IF24" s="1863"/>
      <c r="IG24" s="1863"/>
      <c r="IH24" s="1863"/>
      <c r="II24" s="1863"/>
      <c r="IJ24" s="1863"/>
      <c r="IK24" s="1863"/>
      <c r="IL24" s="1863"/>
      <c r="IM24" s="1863"/>
      <c r="IN24" s="1863"/>
      <c r="IO24" s="1863"/>
      <c r="IP24" s="1863"/>
      <c r="IQ24" s="1863"/>
      <c r="IR24" s="1863"/>
      <c r="IS24" s="1863"/>
      <c r="IT24" s="1863"/>
      <c r="IU24" s="1863"/>
      <c r="IV24" s="1865"/>
      <c r="IW24" s="1863"/>
      <c r="IX24" s="1863"/>
      <c r="IY24" s="1863"/>
      <c r="IZ24" s="1863"/>
      <c r="JA24" s="1863"/>
      <c r="JB24" s="1863"/>
      <c r="JC24" s="1863"/>
      <c r="JD24" s="1863"/>
      <c r="JE24" s="1863"/>
      <c r="JF24" s="1863"/>
      <c r="JG24" s="1863"/>
      <c r="JH24" s="1863"/>
      <c r="JI24" s="1863"/>
      <c r="JJ24" s="1863"/>
      <c r="JK24" s="1863"/>
      <c r="JL24" s="1864"/>
      <c r="JM24" s="1864"/>
      <c r="JN24" s="1864"/>
      <c r="JO24" s="1864"/>
      <c r="JP24" s="1864"/>
      <c r="JQ24" s="1864"/>
      <c r="JR24" s="1864"/>
      <c r="JS24" s="1864"/>
      <c r="JT24" s="1864"/>
      <c r="JU24" s="1864"/>
      <c r="JV24" s="1864"/>
      <c r="JW24" s="1864"/>
      <c r="JX24" s="1864"/>
      <c r="JY24" s="1864"/>
      <c r="JZ24" s="1864"/>
      <c r="KA24" s="1864"/>
      <c r="KB24" s="1864"/>
      <c r="KC24" s="1864"/>
      <c r="KD24" s="1864"/>
      <c r="KE24" s="1864"/>
      <c r="KF24" s="1864"/>
      <c r="KG24" s="1864"/>
      <c r="KH24" s="1864"/>
      <c r="KI24" s="1864"/>
      <c r="KJ24" s="1863"/>
      <c r="KK24" s="1864"/>
      <c r="KL24" s="1863"/>
      <c r="KM24" s="1863"/>
      <c r="KN24" s="1863"/>
      <c r="KO24" s="1863"/>
      <c r="KP24" s="1863"/>
      <c r="KQ24" s="1866"/>
    </row>
    <row r="25" spans="1:304" s="1867" customFormat="1" ht="20.100000000000001" hidden="1" customHeight="1" outlineLevel="1">
      <c r="A25" s="1857"/>
      <c r="B25" s="1857"/>
      <c r="C25" s="1858"/>
      <c r="D25" s="1858"/>
      <c r="E25" s="1859"/>
      <c r="F25" s="1859"/>
      <c r="G25" s="1859"/>
      <c r="H25" s="1859"/>
      <c r="I25" s="1859"/>
      <c r="J25" s="1859"/>
      <c r="K25" s="1859"/>
      <c r="L25" s="1859"/>
      <c r="M25" s="1859"/>
      <c r="N25" s="1859"/>
      <c r="O25" s="1859"/>
      <c r="P25" s="1859"/>
      <c r="Q25" s="1859"/>
      <c r="R25" s="1859"/>
      <c r="S25" s="1859"/>
      <c r="T25" s="1859"/>
      <c r="U25" s="1859"/>
      <c r="V25" s="1859"/>
      <c r="W25" s="1859"/>
      <c r="X25" s="1859"/>
      <c r="Y25" s="1859"/>
      <c r="Z25" s="1859"/>
      <c r="AA25" s="1859"/>
      <c r="AB25" s="1859"/>
      <c r="AC25" s="1859"/>
      <c r="AD25" s="1859"/>
      <c r="AE25" s="1859"/>
      <c r="AF25" s="1859"/>
      <c r="AG25" s="1859"/>
      <c r="AH25" s="1859"/>
      <c r="AI25" s="1859"/>
      <c r="AJ25" s="1859"/>
      <c r="AK25" s="1859"/>
      <c r="AL25" s="1859"/>
      <c r="AM25" s="1859"/>
      <c r="AN25" s="1859"/>
      <c r="AO25" s="1859"/>
      <c r="AP25" s="1859"/>
      <c r="AQ25" s="1859"/>
      <c r="AR25" s="1859"/>
      <c r="AS25" s="1859"/>
      <c r="AT25" s="1859"/>
      <c r="AU25" s="1859"/>
      <c r="AV25" s="1859"/>
      <c r="AW25" s="1859"/>
      <c r="AX25" s="1859"/>
      <c r="AY25" s="1859"/>
      <c r="AZ25" s="1859"/>
      <c r="BA25" s="1859"/>
      <c r="BB25" s="1859"/>
      <c r="BC25" s="1859"/>
      <c r="BD25" s="1859"/>
      <c r="BE25" s="1859"/>
      <c r="BF25" s="1859"/>
      <c r="BG25" s="1859"/>
      <c r="BH25" s="1859"/>
      <c r="BI25" s="1859"/>
      <c r="BJ25" s="1859"/>
      <c r="BK25" s="1859"/>
      <c r="BL25" s="1859"/>
      <c r="BM25" s="1859"/>
      <c r="BN25" s="1859"/>
      <c r="BO25" s="1859"/>
      <c r="BP25" s="1859"/>
      <c r="BQ25" s="1859"/>
      <c r="BR25" s="1859"/>
      <c r="BS25" s="1859"/>
      <c r="BT25" s="1859"/>
      <c r="BU25" s="1859"/>
      <c r="BV25" s="1859"/>
      <c r="BW25" s="1859"/>
      <c r="BX25" s="1859"/>
      <c r="BY25" s="1859"/>
      <c r="BZ25" s="1859"/>
      <c r="CA25" s="1859"/>
      <c r="CB25" s="1859"/>
      <c r="CC25" s="1859"/>
      <c r="CD25" s="1859"/>
      <c r="CE25" s="1859"/>
      <c r="CF25" s="1859"/>
      <c r="CG25" s="1859"/>
      <c r="CH25" s="1859"/>
      <c r="CI25" s="1859"/>
      <c r="CJ25" s="1859"/>
      <c r="CK25" s="1859"/>
      <c r="CL25" s="1859"/>
      <c r="CM25" s="1859"/>
      <c r="CN25" s="1859"/>
      <c r="CO25" s="1859"/>
      <c r="CP25" s="1859"/>
      <c r="CQ25" s="1859"/>
      <c r="CR25" s="1859"/>
      <c r="CS25" s="1859"/>
      <c r="CT25" s="1859"/>
      <c r="CU25" s="1859"/>
      <c r="CV25" s="1859"/>
      <c r="CW25" s="1859"/>
      <c r="CX25" s="1859"/>
      <c r="CY25" s="1859"/>
      <c r="CZ25" s="1859"/>
      <c r="DA25" s="1859"/>
      <c r="DB25" s="1859"/>
      <c r="DC25" s="1859"/>
      <c r="DD25" s="1859"/>
      <c r="DE25" s="1859"/>
      <c r="DF25" s="1859"/>
      <c r="DG25" s="1859"/>
      <c r="DH25" s="1859"/>
      <c r="DI25" s="1859"/>
      <c r="DJ25" s="1859"/>
      <c r="DK25" s="1859"/>
      <c r="DL25" s="1859"/>
      <c r="DM25" s="1859"/>
      <c r="DN25" s="1859"/>
      <c r="DO25" s="1859"/>
      <c r="DP25" s="1859"/>
      <c r="DQ25" s="1859"/>
      <c r="DR25" s="1859"/>
      <c r="DS25" s="1859"/>
      <c r="DT25" s="1859"/>
      <c r="DU25" s="1859"/>
      <c r="DV25" s="1859"/>
      <c r="DW25" s="1859"/>
      <c r="DX25" s="1859"/>
      <c r="DY25" s="1859"/>
      <c r="DZ25" s="1859"/>
      <c r="EA25" s="1859"/>
      <c r="EB25" s="1859"/>
      <c r="EC25" s="1859"/>
      <c r="ED25" s="1859"/>
      <c r="EE25" s="1859"/>
      <c r="EF25" s="1859"/>
      <c r="EG25" s="1859"/>
      <c r="EH25" s="1859"/>
      <c r="EI25" s="1859"/>
      <c r="EJ25" s="1859"/>
      <c r="EK25" s="1859"/>
      <c r="EL25" s="1859"/>
      <c r="EM25" s="1859"/>
      <c r="EN25" s="1859"/>
      <c r="EO25" s="1859"/>
      <c r="EP25" s="1859"/>
      <c r="EQ25" s="1859"/>
      <c r="ER25" s="1859"/>
      <c r="ES25" s="1859"/>
      <c r="ET25" s="1859"/>
      <c r="EU25" s="1859"/>
      <c r="EV25" s="1859"/>
      <c r="EW25" s="1860"/>
      <c r="EX25" s="1861"/>
      <c r="EY25" s="1859"/>
      <c r="EZ25" s="1859"/>
      <c r="FA25" s="1859"/>
      <c r="FB25" s="1859"/>
      <c r="FC25" s="1859"/>
      <c r="FD25" s="1859"/>
      <c r="FE25" s="1859"/>
      <c r="FF25" s="1859"/>
      <c r="FG25" s="1859"/>
      <c r="FH25" s="1859"/>
      <c r="FI25" s="1859"/>
      <c r="FJ25" s="1859"/>
      <c r="FK25" s="1859"/>
      <c r="FL25" s="1859"/>
      <c r="FM25" s="1859"/>
      <c r="FN25" s="1859"/>
      <c r="FO25" s="1859"/>
      <c r="FP25" s="1859"/>
      <c r="FQ25" s="1859"/>
      <c r="FR25" s="1859"/>
      <c r="FS25" s="1859"/>
      <c r="FT25" s="1859"/>
      <c r="FU25" s="1859"/>
      <c r="FV25" s="1859"/>
      <c r="FW25" s="1859"/>
      <c r="FX25" s="1859"/>
      <c r="FY25" s="1859"/>
      <c r="FZ25" s="1859"/>
      <c r="GA25" s="1862"/>
      <c r="GB25" s="1859"/>
      <c r="GC25" s="1859"/>
      <c r="GD25" s="1859"/>
      <c r="GE25" s="1859"/>
      <c r="GF25" s="1859"/>
      <c r="GG25" s="1859"/>
      <c r="GH25" s="1859"/>
      <c r="GI25" s="1859"/>
      <c r="GJ25" s="1859"/>
      <c r="GK25" s="1859"/>
      <c r="GL25" s="1859"/>
      <c r="GM25" s="1859"/>
      <c r="GN25" s="1859"/>
      <c r="GO25" s="1859"/>
      <c r="GP25" s="1859"/>
      <c r="GQ25" s="1859"/>
      <c r="GR25" s="1859"/>
      <c r="GS25" s="1859"/>
      <c r="GT25" s="1859"/>
      <c r="GU25" s="1859"/>
      <c r="GV25" s="1859"/>
      <c r="GW25" s="1859"/>
      <c r="GX25" s="1859"/>
      <c r="GY25" s="1859"/>
      <c r="GZ25" s="1859"/>
      <c r="HA25" s="1859"/>
      <c r="HB25" s="1859"/>
      <c r="HC25" s="1859"/>
      <c r="HD25" s="1859"/>
      <c r="HE25" s="1859"/>
      <c r="HF25" s="1859"/>
      <c r="HG25" s="1859"/>
      <c r="HH25" s="1859"/>
      <c r="HI25" s="1859"/>
      <c r="HJ25" s="1863"/>
      <c r="HK25" s="1863"/>
      <c r="HL25" s="1863"/>
      <c r="HM25" s="1863"/>
      <c r="HN25" s="1863"/>
      <c r="HO25" s="1863"/>
      <c r="HP25" s="1863"/>
      <c r="HQ25" s="1863"/>
      <c r="HR25" s="1863"/>
      <c r="HS25" s="1863"/>
      <c r="HT25" s="1863"/>
      <c r="HU25" s="1863"/>
      <c r="HV25" s="1863"/>
      <c r="HW25" s="1863"/>
      <c r="HX25" s="1863"/>
      <c r="HY25" s="1863"/>
      <c r="HZ25" s="1863"/>
      <c r="IA25" s="1863"/>
      <c r="IB25" s="1863"/>
      <c r="IC25" s="1863"/>
      <c r="ID25" s="1864"/>
      <c r="IE25" s="1863"/>
      <c r="IF25" s="1863"/>
      <c r="IG25" s="1863"/>
      <c r="IH25" s="1863"/>
      <c r="II25" s="1863"/>
      <c r="IJ25" s="1863"/>
      <c r="IK25" s="1863"/>
      <c r="IL25" s="1863"/>
      <c r="IM25" s="1863"/>
      <c r="IN25" s="1863"/>
      <c r="IO25" s="1863"/>
      <c r="IP25" s="1863"/>
      <c r="IQ25" s="1863"/>
      <c r="IR25" s="1863"/>
      <c r="IS25" s="1863"/>
      <c r="IT25" s="1863"/>
      <c r="IU25" s="1863"/>
      <c r="IV25" s="1865"/>
      <c r="IW25" s="1863"/>
      <c r="IX25" s="1863"/>
      <c r="IY25" s="1863"/>
      <c r="IZ25" s="1863"/>
      <c r="JA25" s="1863"/>
      <c r="JB25" s="1863"/>
      <c r="JC25" s="1863"/>
      <c r="JD25" s="1863"/>
      <c r="JE25" s="1863"/>
      <c r="JF25" s="1863"/>
      <c r="JG25" s="1863"/>
      <c r="JH25" s="1863"/>
      <c r="JI25" s="1863"/>
      <c r="JJ25" s="1863"/>
      <c r="JK25" s="1863"/>
      <c r="JL25" s="1864"/>
      <c r="JM25" s="1864"/>
      <c r="JN25" s="1864"/>
      <c r="JO25" s="1864"/>
      <c r="JP25" s="1864"/>
      <c r="JQ25" s="1864"/>
      <c r="JR25" s="1864"/>
      <c r="JS25" s="1864"/>
      <c r="JT25" s="1864"/>
      <c r="JU25" s="1864"/>
      <c r="JV25" s="1864"/>
      <c r="JW25" s="1864"/>
      <c r="JX25" s="1864"/>
      <c r="JY25" s="1864"/>
      <c r="JZ25" s="1864"/>
      <c r="KA25" s="1864"/>
      <c r="KB25" s="1864"/>
      <c r="KC25" s="1864"/>
      <c r="KD25" s="1864"/>
      <c r="KE25" s="1864"/>
      <c r="KF25" s="1864"/>
      <c r="KG25" s="1864"/>
      <c r="KH25" s="1864"/>
      <c r="KI25" s="1864"/>
      <c r="KJ25" s="1863"/>
      <c r="KK25" s="1864"/>
      <c r="KL25" s="1863"/>
      <c r="KM25" s="1863"/>
      <c r="KN25" s="1863"/>
      <c r="KO25" s="1863"/>
      <c r="KP25" s="1863"/>
      <c r="KQ25" s="1866"/>
    </row>
    <row r="26" spans="1:304" s="1876" customFormat="1" ht="20.100000000000001" hidden="1" customHeight="1" outlineLevel="1">
      <c r="A26" s="1892"/>
      <c r="B26" s="1870"/>
      <c r="C26" s="1871"/>
      <c r="D26" s="1871"/>
      <c r="E26" s="1862"/>
      <c r="F26" s="1862"/>
      <c r="G26" s="1862"/>
      <c r="H26" s="1862"/>
      <c r="I26" s="1862"/>
      <c r="J26" s="1862"/>
      <c r="K26" s="1862"/>
      <c r="L26" s="1862"/>
      <c r="M26" s="1862"/>
      <c r="N26" s="1862"/>
      <c r="O26" s="1862"/>
      <c r="P26" s="1862"/>
      <c r="Q26" s="1862"/>
      <c r="R26" s="1862"/>
      <c r="S26" s="1862"/>
      <c r="T26" s="1862"/>
      <c r="U26" s="1862"/>
      <c r="V26" s="1862"/>
      <c r="W26" s="1862"/>
      <c r="X26" s="1862"/>
      <c r="Y26" s="1862"/>
      <c r="Z26" s="1862"/>
      <c r="AA26" s="1862"/>
      <c r="AB26" s="1862"/>
      <c r="AC26" s="1862"/>
      <c r="AD26" s="1862"/>
      <c r="AE26" s="1862"/>
      <c r="AF26" s="1859"/>
      <c r="AG26" s="1862"/>
      <c r="AH26" s="1862"/>
      <c r="AI26" s="1862"/>
      <c r="AJ26" s="1859"/>
      <c r="AK26" s="1862"/>
      <c r="AL26" s="1862"/>
      <c r="AM26" s="1862"/>
      <c r="AN26" s="1862"/>
      <c r="AO26" s="1862"/>
      <c r="AP26" s="1862"/>
      <c r="AQ26" s="1862"/>
      <c r="AR26" s="1862"/>
      <c r="AS26" s="1862"/>
      <c r="AT26" s="1862"/>
      <c r="AU26" s="1862"/>
      <c r="AV26" s="1862"/>
      <c r="AW26" s="1862"/>
      <c r="AX26" s="1862"/>
      <c r="AY26" s="1862"/>
      <c r="AZ26" s="1862"/>
      <c r="BA26" s="1862"/>
      <c r="BB26" s="1862"/>
      <c r="BC26" s="1862"/>
      <c r="BD26" s="1862"/>
      <c r="BE26" s="1862"/>
      <c r="BF26" s="1862"/>
      <c r="BG26" s="1862"/>
      <c r="BH26" s="1862"/>
      <c r="BI26" s="1862"/>
      <c r="BJ26" s="1862"/>
      <c r="BK26" s="1862"/>
      <c r="BL26" s="1862"/>
      <c r="BM26" s="1862"/>
      <c r="BN26" s="1862"/>
      <c r="BO26" s="1862"/>
      <c r="BP26" s="1862"/>
      <c r="BQ26" s="1862"/>
      <c r="BR26" s="1862"/>
      <c r="BS26" s="1862"/>
      <c r="BT26" s="1862"/>
      <c r="BU26" s="1862"/>
      <c r="BV26" s="1862"/>
      <c r="BW26" s="1862"/>
      <c r="BX26" s="1862"/>
      <c r="BY26" s="1862"/>
      <c r="BZ26" s="1862"/>
      <c r="CA26" s="1862"/>
      <c r="CB26" s="1862"/>
      <c r="CC26" s="1862"/>
      <c r="CD26" s="1862"/>
      <c r="CE26" s="1862"/>
      <c r="CF26" s="1862"/>
      <c r="CG26" s="1862"/>
      <c r="CH26" s="1862"/>
      <c r="CI26" s="1862"/>
      <c r="CJ26" s="1862"/>
      <c r="CK26" s="1862"/>
      <c r="CL26" s="1862"/>
      <c r="CM26" s="1862"/>
      <c r="CN26" s="1862"/>
      <c r="CO26" s="1862"/>
      <c r="CP26" s="1862"/>
      <c r="CQ26" s="1862"/>
      <c r="CR26" s="1862"/>
      <c r="CS26" s="1862"/>
      <c r="CT26" s="1862"/>
      <c r="CU26" s="1862"/>
      <c r="CV26" s="1862"/>
      <c r="CW26" s="1862"/>
      <c r="CX26" s="1862"/>
      <c r="CY26" s="1862"/>
      <c r="CZ26" s="1862"/>
      <c r="DA26" s="1862"/>
      <c r="DB26" s="1862"/>
      <c r="DC26" s="1862"/>
      <c r="DD26" s="1862"/>
      <c r="DE26" s="1862"/>
      <c r="DF26" s="1862"/>
      <c r="DG26" s="1862"/>
      <c r="DH26" s="1862"/>
      <c r="DI26" s="1862"/>
      <c r="DJ26" s="1862"/>
      <c r="DK26" s="1862"/>
      <c r="DL26" s="1862"/>
      <c r="DM26" s="1862"/>
      <c r="DN26" s="1862"/>
      <c r="DO26" s="1862"/>
      <c r="DP26" s="1862"/>
      <c r="DQ26" s="1862"/>
      <c r="DR26" s="1862"/>
      <c r="DS26" s="1862"/>
      <c r="DT26" s="1862"/>
      <c r="DU26" s="1862"/>
      <c r="DV26" s="1862"/>
      <c r="DW26" s="1862"/>
      <c r="DX26" s="1862"/>
      <c r="DY26" s="1862"/>
      <c r="DZ26" s="1862"/>
      <c r="EA26" s="1862"/>
      <c r="EB26" s="1862"/>
      <c r="EC26" s="1862"/>
      <c r="ED26" s="1862"/>
      <c r="EE26" s="1862"/>
      <c r="EF26" s="1862"/>
      <c r="EG26" s="1862"/>
      <c r="EH26" s="1862"/>
      <c r="EI26" s="1862"/>
      <c r="EJ26" s="1862"/>
      <c r="EK26" s="1862"/>
      <c r="EL26" s="1862"/>
      <c r="EM26" s="1862"/>
      <c r="EN26" s="1862"/>
      <c r="EO26" s="1862"/>
      <c r="EP26" s="1862"/>
      <c r="EQ26" s="1862"/>
      <c r="ER26" s="1862"/>
      <c r="ES26" s="1862"/>
      <c r="ET26" s="1862"/>
      <c r="EU26" s="1862"/>
      <c r="EV26" s="1862"/>
      <c r="EW26" s="1872"/>
      <c r="EX26" s="1873"/>
      <c r="EY26" s="1862"/>
      <c r="EZ26" s="1862"/>
      <c r="FA26" s="1862"/>
      <c r="FB26" s="1862"/>
      <c r="FC26" s="1862"/>
      <c r="FD26" s="1862"/>
      <c r="FE26" s="1862"/>
      <c r="FF26" s="1862"/>
      <c r="FG26" s="1862"/>
      <c r="FH26" s="1862"/>
      <c r="FI26" s="1862"/>
      <c r="FJ26" s="1862"/>
      <c r="FK26" s="1862"/>
      <c r="FL26" s="1862"/>
      <c r="FM26" s="1862"/>
      <c r="FN26" s="1859"/>
      <c r="FO26" s="1862"/>
      <c r="FP26" s="1862"/>
      <c r="FQ26" s="1862"/>
      <c r="FR26" s="1862"/>
      <c r="FS26" s="1862"/>
      <c r="FT26" s="1862"/>
      <c r="FU26" s="1862"/>
      <c r="FV26" s="1862"/>
      <c r="FW26" s="1862"/>
      <c r="FX26" s="1862"/>
      <c r="FY26" s="1862"/>
      <c r="FZ26" s="1862"/>
      <c r="GA26" s="1862"/>
      <c r="GB26" s="1862"/>
      <c r="GC26" s="1862"/>
      <c r="GD26" s="1862"/>
      <c r="GE26" s="1862"/>
      <c r="GF26" s="1862"/>
      <c r="GG26" s="1862"/>
      <c r="GH26" s="1862"/>
      <c r="GI26" s="1862"/>
      <c r="GJ26" s="1862"/>
      <c r="GK26" s="1862"/>
      <c r="GL26" s="1862"/>
      <c r="GM26" s="1862"/>
      <c r="GN26" s="1862"/>
      <c r="GO26" s="1862"/>
      <c r="GP26" s="1862"/>
      <c r="GQ26" s="1862"/>
      <c r="GR26" s="1862"/>
      <c r="GS26" s="1862"/>
      <c r="GT26" s="1862"/>
      <c r="GU26" s="1862"/>
      <c r="GV26" s="1862"/>
      <c r="GW26" s="1862"/>
      <c r="GX26" s="1862"/>
      <c r="GY26" s="1862"/>
      <c r="GZ26" s="1862"/>
      <c r="HA26" s="1862"/>
      <c r="HB26" s="1862"/>
      <c r="HC26" s="1862"/>
      <c r="HD26" s="1862"/>
      <c r="HE26" s="1862"/>
      <c r="HF26" s="1862"/>
      <c r="HG26" s="1862"/>
      <c r="HH26" s="1862"/>
      <c r="HI26" s="1862"/>
      <c r="HJ26" s="1865"/>
      <c r="HK26" s="1865"/>
      <c r="HL26" s="1865"/>
      <c r="HM26" s="1865"/>
      <c r="HN26" s="1865"/>
      <c r="HO26" s="1865"/>
      <c r="HP26" s="1865"/>
      <c r="HQ26" s="1865"/>
      <c r="HR26" s="1865"/>
      <c r="HS26" s="1865"/>
      <c r="HT26" s="1865"/>
      <c r="HU26" s="1865"/>
      <c r="HV26" s="1865"/>
      <c r="HW26" s="1865"/>
      <c r="HX26" s="1865"/>
      <c r="HY26" s="1865"/>
      <c r="HZ26" s="1865"/>
      <c r="IA26" s="1865"/>
      <c r="IB26" s="1865"/>
      <c r="IC26" s="1865"/>
      <c r="ID26" s="1874"/>
      <c r="IE26" s="1865"/>
      <c r="IF26" s="1865"/>
      <c r="IG26" s="1865"/>
      <c r="IH26" s="1865"/>
      <c r="II26" s="1865"/>
      <c r="IJ26" s="1863"/>
      <c r="IK26" s="1865"/>
      <c r="IL26" s="1865"/>
      <c r="IM26" s="1865"/>
      <c r="IN26" s="1865"/>
      <c r="IO26" s="1865"/>
      <c r="IP26" s="1865"/>
      <c r="IQ26" s="1865"/>
      <c r="IR26" s="1865"/>
      <c r="IS26" s="1865"/>
      <c r="IT26" s="1865"/>
      <c r="IU26" s="1865"/>
      <c r="IV26" s="1865"/>
      <c r="IW26" s="1865"/>
      <c r="IX26" s="1865"/>
      <c r="IY26" s="1865"/>
      <c r="IZ26" s="1865"/>
      <c r="JA26" s="1865"/>
      <c r="JB26" s="1865"/>
      <c r="JC26" s="1865"/>
      <c r="JD26" s="1865"/>
      <c r="JE26" s="1865"/>
      <c r="JF26" s="1865"/>
      <c r="JG26" s="1865"/>
      <c r="JH26" s="1865"/>
      <c r="JI26" s="1865"/>
      <c r="JJ26" s="1865"/>
      <c r="JK26" s="1865"/>
      <c r="JL26" s="1874"/>
      <c r="JM26" s="1874"/>
      <c r="JN26" s="1874"/>
      <c r="JO26" s="1874"/>
      <c r="JP26" s="1874"/>
      <c r="JQ26" s="1874"/>
      <c r="JR26" s="1874"/>
      <c r="JS26" s="1874"/>
      <c r="JT26" s="1874"/>
      <c r="JU26" s="1874"/>
      <c r="JV26" s="1874"/>
      <c r="JW26" s="1874"/>
      <c r="JX26" s="1874"/>
      <c r="JY26" s="1874"/>
      <c r="JZ26" s="1874"/>
      <c r="KA26" s="1874"/>
      <c r="KB26" s="1874"/>
      <c r="KC26" s="1874"/>
      <c r="KD26" s="1874"/>
      <c r="KE26" s="1874"/>
      <c r="KF26" s="1874"/>
      <c r="KG26" s="1874"/>
      <c r="KH26" s="1874"/>
      <c r="KI26" s="1874"/>
      <c r="KJ26" s="1865"/>
      <c r="KK26" s="1874"/>
      <c r="KL26" s="1865"/>
      <c r="KM26" s="1865"/>
      <c r="KN26" s="1865"/>
      <c r="KO26" s="1865"/>
      <c r="KP26" s="1865"/>
      <c r="KQ26" s="1875"/>
      <c r="KR26" s="1867"/>
    </row>
    <row r="27" spans="1:304" s="1867" customFormat="1" ht="20.100000000000001" customHeight="1" outlineLevel="1">
      <c r="A27" s="1857"/>
      <c r="B27" s="1857"/>
      <c r="C27" s="1858"/>
      <c r="D27" s="1858"/>
      <c r="E27" s="1859"/>
      <c r="F27" s="1859"/>
      <c r="G27" s="1859"/>
      <c r="H27" s="1859"/>
      <c r="I27" s="1859"/>
      <c r="J27" s="1859"/>
      <c r="K27" s="1859"/>
      <c r="L27" s="1859"/>
      <c r="M27" s="1859"/>
      <c r="N27" s="1859"/>
      <c r="O27" s="1859"/>
      <c r="P27" s="1859"/>
      <c r="Q27" s="1859"/>
      <c r="R27" s="1859"/>
      <c r="S27" s="1859"/>
      <c r="T27" s="1859"/>
      <c r="U27" s="1859"/>
      <c r="V27" s="1859"/>
      <c r="W27" s="1859"/>
      <c r="X27" s="1859"/>
      <c r="Y27" s="1859"/>
      <c r="Z27" s="1859"/>
      <c r="AA27" s="1859"/>
      <c r="AB27" s="1859"/>
      <c r="AC27" s="1859"/>
      <c r="AD27" s="1859"/>
      <c r="AE27" s="1859"/>
      <c r="AF27" s="1859"/>
      <c r="AG27" s="1859"/>
      <c r="AH27" s="1859"/>
      <c r="AI27" s="1859"/>
      <c r="AJ27" s="1859"/>
      <c r="AK27" s="1859"/>
      <c r="AL27" s="1859"/>
      <c r="AM27" s="1859"/>
      <c r="AN27" s="1859"/>
      <c r="AO27" s="1859"/>
      <c r="AP27" s="1859"/>
      <c r="AQ27" s="1859"/>
      <c r="AR27" s="1859"/>
      <c r="AS27" s="1859"/>
      <c r="AT27" s="1859"/>
      <c r="AU27" s="1859"/>
      <c r="AV27" s="1859"/>
      <c r="AW27" s="1859"/>
      <c r="AX27" s="1859"/>
      <c r="AY27" s="1859"/>
      <c r="AZ27" s="1859"/>
      <c r="BA27" s="1859"/>
      <c r="BB27" s="1859"/>
      <c r="BC27" s="1859"/>
      <c r="BD27" s="1859"/>
      <c r="BE27" s="1859"/>
      <c r="BF27" s="1859"/>
      <c r="BG27" s="1859"/>
      <c r="BH27" s="1859"/>
      <c r="BI27" s="1859"/>
      <c r="BJ27" s="1859"/>
      <c r="BK27" s="1859"/>
      <c r="BL27" s="1859"/>
      <c r="BM27" s="1859"/>
      <c r="BN27" s="1859"/>
      <c r="BO27" s="1859"/>
      <c r="BP27" s="1859"/>
      <c r="BQ27" s="1859"/>
      <c r="BR27" s="1859"/>
      <c r="BS27" s="1859"/>
      <c r="BT27" s="1859"/>
      <c r="BU27" s="1859"/>
      <c r="BV27" s="1859"/>
      <c r="BW27" s="1859"/>
      <c r="BX27" s="1859"/>
      <c r="BY27" s="1859"/>
      <c r="BZ27" s="1859"/>
      <c r="CA27" s="1859"/>
      <c r="CB27" s="1859"/>
      <c r="CC27" s="1859"/>
      <c r="CD27" s="1859"/>
      <c r="CE27" s="1859"/>
      <c r="CF27" s="1859"/>
      <c r="CG27" s="1859"/>
      <c r="CH27" s="1859"/>
      <c r="CI27" s="1859"/>
      <c r="CJ27" s="1859"/>
      <c r="CK27" s="1859"/>
      <c r="CL27" s="1859"/>
      <c r="CM27" s="1859"/>
      <c r="CN27" s="1859"/>
      <c r="CO27" s="1859"/>
      <c r="CP27" s="1859"/>
      <c r="CQ27" s="1859"/>
      <c r="CR27" s="1859"/>
      <c r="CS27" s="1859"/>
      <c r="CT27" s="1859"/>
      <c r="CU27" s="1859"/>
      <c r="CV27" s="1859"/>
      <c r="CW27" s="1859"/>
      <c r="CX27" s="1859"/>
      <c r="CY27" s="1859"/>
      <c r="CZ27" s="1859"/>
      <c r="DA27" s="1859"/>
      <c r="DB27" s="1859"/>
      <c r="DC27" s="1859"/>
      <c r="DD27" s="1859"/>
      <c r="DE27" s="1859"/>
      <c r="DF27" s="1859"/>
      <c r="DG27" s="1859"/>
      <c r="DH27" s="1859"/>
      <c r="DI27" s="1859"/>
      <c r="DJ27" s="1859"/>
      <c r="DK27" s="1859"/>
      <c r="DL27" s="1859"/>
      <c r="DM27" s="1859"/>
      <c r="DN27" s="1859"/>
      <c r="DO27" s="1859"/>
      <c r="DP27" s="1859"/>
      <c r="DQ27" s="1859"/>
      <c r="DR27" s="1859"/>
      <c r="DS27" s="1859"/>
      <c r="DT27" s="1859"/>
      <c r="DU27" s="1859"/>
      <c r="DV27" s="1859"/>
      <c r="DW27" s="1859"/>
      <c r="DX27" s="1859"/>
      <c r="DY27" s="1859"/>
      <c r="DZ27" s="1859"/>
      <c r="EA27" s="1859"/>
      <c r="EB27" s="1859"/>
      <c r="EC27" s="1859"/>
      <c r="ED27" s="1859"/>
      <c r="EE27" s="1859"/>
      <c r="EF27" s="1859"/>
      <c r="EG27" s="1859"/>
      <c r="EH27" s="1859"/>
      <c r="EI27" s="1859"/>
      <c r="EJ27" s="1859"/>
      <c r="EK27" s="1859"/>
      <c r="EL27" s="1859"/>
      <c r="EM27" s="1859"/>
      <c r="EN27" s="1859"/>
      <c r="EO27" s="1859"/>
      <c r="EP27" s="1859"/>
      <c r="EQ27" s="1859"/>
      <c r="ER27" s="1859"/>
      <c r="ES27" s="1859"/>
      <c r="ET27" s="1859"/>
      <c r="EU27" s="1859"/>
      <c r="EV27" s="1859"/>
      <c r="EW27" s="1860"/>
      <c r="EX27" s="1861"/>
      <c r="EY27" s="1859"/>
      <c r="EZ27" s="1859"/>
      <c r="FA27" s="1859"/>
      <c r="FB27" s="1859"/>
      <c r="FC27" s="1859"/>
      <c r="FD27" s="1859"/>
      <c r="FE27" s="1859"/>
      <c r="FF27" s="1859"/>
      <c r="FG27" s="1859"/>
      <c r="FH27" s="1859"/>
      <c r="FI27" s="1859"/>
      <c r="FJ27" s="1859"/>
      <c r="FK27" s="1859"/>
      <c r="FL27" s="1859"/>
      <c r="FM27" s="1859"/>
      <c r="FN27" s="1859"/>
      <c r="FO27" s="1859"/>
      <c r="FP27" s="1859"/>
      <c r="FQ27" s="1859"/>
      <c r="FR27" s="1859"/>
      <c r="FS27" s="1859"/>
      <c r="FT27" s="1859"/>
      <c r="FU27" s="1859"/>
      <c r="FV27" s="1859"/>
      <c r="FW27" s="1859"/>
      <c r="FX27" s="1859"/>
      <c r="FY27" s="1859"/>
      <c r="FZ27" s="1859"/>
      <c r="GA27" s="1862"/>
      <c r="GB27" s="1859"/>
      <c r="GC27" s="1859"/>
      <c r="GD27" s="1859"/>
      <c r="GE27" s="1859"/>
      <c r="GF27" s="1859"/>
      <c r="GG27" s="1859"/>
      <c r="GH27" s="1859"/>
      <c r="GI27" s="1859"/>
      <c r="GJ27" s="1859"/>
      <c r="GK27" s="1859"/>
      <c r="GL27" s="1859"/>
      <c r="GM27" s="1859"/>
      <c r="GN27" s="1859"/>
      <c r="GO27" s="1859"/>
      <c r="GP27" s="1859"/>
      <c r="GQ27" s="1859"/>
      <c r="GR27" s="1859"/>
      <c r="GS27" s="1859"/>
      <c r="GT27" s="1859"/>
      <c r="GU27" s="1859"/>
      <c r="GV27" s="1859"/>
      <c r="GW27" s="1859"/>
      <c r="GX27" s="1859"/>
      <c r="GY27" s="1859"/>
      <c r="GZ27" s="1859"/>
      <c r="HA27" s="1859"/>
      <c r="HB27" s="1859"/>
      <c r="HC27" s="1859"/>
      <c r="HD27" s="1859"/>
      <c r="HE27" s="1859"/>
      <c r="HF27" s="1859"/>
      <c r="HG27" s="1859"/>
      <c r="HH27" s="1859"/>
      <c r="HI27" s="1859"/>
      <c r="HJ27" s="1863"/>
      <c r="HK27" s="1863"/>
      <c r="HL27" s="1863"/>
      <c r="HM27" s="1863"/>
      <c r="HN27" s="1863"/>
      <c r="HO27" s="1863"/>
      <c r="HP27" s="1863"/>
      <c r="HQ27" s="1863"/>
      <c r="HR27" s="1863"/>
      <c r="HS27" s="1863"/>
      <c r="HT27" s="1863"/>
      <c r="HU27" s="1863"/>
      <c r="HV27" s="1863"/>
      <c r="HW27" s="1863"/>
      <c r="HX27" s="1863"/>
      <c r="HY27" s="1863"/>
      <c r="HZ27" s="1863"/>
      <c r="IA27" s="1863"/>
      <c r="IB27" s="1863"/>
      <c r="IC27" s="1863"/>
      <c r="ID27" s="1864"/>
      <c r="IE27" s="1863"/>
      <c r="IF27" s="1863"/>
      <c r="IG27" s="1863"/>
      <c r="IH27" s="1863"/>
      <c r="II27" s="1863"/>
      <c r="IJ27" s="1863"/>
      <c r="IK27" s="1863"/>
      <c r="IL27" s="1863"/>
      <c r="IM27" s="1863"/>
      <c r="IN27" s="1863"/>
      <c r="IO27" s="1863"/>
      <c r="IP27" s="1863"/>
      <c r="IQ27" s="1863"/>
      <c r="IR27" s="1863"/>
      <c r="IS27" s="1863"/>
      <c r="IT27" s="1863"/>
      <c r="IU27" s="1863"/>
      <c r="IV27" s="1865"/>
      <c r="IW27" s="1863"/>
      <c r="IX27" s="1863"/>
      <c r="IY27" s="1863"/>
      <c r="IZ27" s="1863"/>
      <c r="JA27" s="1863"/>
      <c r="JB27" s="1863"/>
      <c r="JC27" s="1863"/>
      <c r="JD27" s="1863"/>
      <c r="JE27" s="1863"/>
      <c r="JF27" s="1863"/>
      <c r="JG27" s="1863"/>
      <c r="JH27" s="1863"/>
      <c r="JI27" s="1863"/>
      <c r="JJ27" s="1863"/>
      <c r="JK27" s="1863"/>
      <c r="JL27" s="1864"/>
      <c r="JM27" s="1864"/>
      <c r="JN27" s="1864"/>
      <c r="JO27" s="1864"/>
      <c r="JP27" s="1864"/>
      <c r="JQ27" s="1864"/>
      <c r="JR27" s="1864"/>
      <c r="JS27" s="1864"/>
      <c r="JT27" s="1864"/>
      <c r="JU27" s="1864"/>
      <c r="JV27" s="1864"/>
      <c r="JW27" s="1864"/>
      <c r="JX27" s="1864"/>
      <c r="JY27" s="1864"/>
      <c r="JZ27" s="1864"/>
      <c r="KA27" s="1864"/>
      <c r="KB27" s="1864"/>
      <c r="KC27" s="1864"/>
      <c r="KD27" s="1864"/>
      <c r="KE27" s="1864"/>
      <c r="KF27" s="1864"/>
      <c r="KG27" s="1864"/>
      <c r="KH27" s="1864"/>
      <c r="KI27" s="1864"/>
      <c r="KJ27" s="1863"/>
      <c r="KK27" s="1864"/>
      <c r="KL27" s="1863"/>
      <c r="KM27" s="1863"/>
      <c r="KN27" s="1863"/>
      <c r="KO27" s="1863"/>
      <c r="KP27" s="1863"/>
      <c r="KQ27" s="1866"/>
    </row>
    <row r="28" spans="1:304" s="1867" customFormat="1" ht="20.100000000000001" hidden="1" customHeight="1" outlineLevel="1">
      <c r="A28" s="1857"/>
      <c r="B28" s="1857"/>
      <c r="C28" s="1858"/>
      <c r="D28" s="1858"/>
      <c r="E28" s="1859"/>
      <c r="F28" s="1859"/>
      <c r="G28" s="1859"/>
      <c r="H28" s="1859"/>
      <c r="I28" s="1859"/>
      <c r="J28" s="1859"/>
      <c r="K28" s="1859"/>
      <c r="L28" s="1859"/>
      <c r="M28" s="1859"/>
      <c r="N28" s="1859"/>
      <c r="O28" s="1859"/>
      <c r="P28" s="1859"/>
      <c r="Q28" s="1859"/>
      <c r="R28" s="1859"/>
      <c r="S28" s="1859"/>
      <c r="T28" s="1859"/>
      <c r="U28" s="1859"/>
      <c r="V28" s="1859"/>
      <c r="W28" s="1859"/>
      <c r="X28" s="1859"/>
      <c r="Y28" s="1859"/>
      <c r="Z28" s="1859"/>
      <c r="AA28" s="1859"/>
      <c r="AB28" s="1859"/>
      <c r="AC28" s="1859"/>
      <c r="AD28" s="1859"/>
      <c r="AE28" s="1859"/>
      <c r="AF28" s="1859"/>
      <c r="AG28" s="1859"/>
      <c r="AH28" s="1859"/>
      <c r="AI28" s="1859"/>
      <c r="AJ28" s="1859"/>
      <c r="AK28" s="1859"/>
      <c r="AL28" s="1859"/>
      <c r="AM28" s="1859"/>
      <c r="AN28" s="1859"/>
      <c r="AO28" s="1859"/>
      <c r="AP28" s="1859"/>
      <c r="AQ28" s="1859"/>
      <c r="AR28" s="1859"/>
      <c r="AS28" s="1859"/>
      <c r="AT28" s="1859"/>
      <c r="AU28" s="1859"/>
      <c r="AV28" s="1859"/>
      <c r="AW28" s="1859"/>
      <c r="AX28" s="1859"/>
      <c r="AY28" s="1859"/>
      <c r="AZ28" s="1859"/>
      <c r="BA28" s="1859"/>
      <c r="BB28" s="1859"/>
      <c r="BC28" s="1859"/>
      <c r="BD28" s="1859"/>
      <c r="BE28" s="1859"/>
      <c r="BF28" s="1859"/>
      <c r="BG28" s="1859"/>
      <c r="BH28" s="1859"/>
      <c r="BI28" s="1859"/>
      <c r="BJ28" s="1859"/>
      <c r="BK28" s="1859"/>
      <c r="BL28" s="1859"/>
      <c r="BM28" s="1859"/>
      <c r="BN28" s="1859"/>
      <c r="BO28" s="1859"/>
      <c r="BP28" s="1859"/>
      <c r="BQ28" s="1859"/>
      <c r="BR28" s="1859"/>
      <c r="BS28" s="1859"/>
      <c r="BT28" s="1859"/>
      <c r="BU28" s="1859"/>
      <c r="BV28" s="1859"/>
      <c r="BW28" s="1859"/>
      <c r="BX28" s="1859"/>
      <c r="BY28" s="1859"/>
      <c r="BZ28" s="1859"/>
      <c r="CA28" s="1859"/>
      <c r="CB28" s="1859"/>
      <c r="CC28" s="1859"/>
      <c r="CD28" s="1859"/>
      <c r="CE28" s="1859"/>
      <c r="CF28" s="1859"/>
      <c r="CG28" s="1859"/>
      <c r="CH28" s="1859"/>
      <c r="CI28" s="1859"/>
      <c r="CJ28" s="1859"/>
      <c r="CK28" s="1859"/>
      <c r="CL28" s="1859"/>
      <c r="CM28" s="1859"/>
      <c r="CN28" s="1859"/>
      <c r="CO28" s="1859"/>
      <c r="CP28" s="1859"/>
      <c r="CQ28" s="1859"/>
      <c r="CR28" s="1859"/>
      <c r="CS28" s="1859"/>
      <c r="CT28" s="1859"/>
      <c r="CU28" s="1859"/>
      <c r="CV28" s="1859"/>
      <c r="CW28" s="1859"/>
      <c r="CX28" s="1859"/>
      <c r="CY28" s="1859"/>
      <c r="CZ28" s="1859"/>
      <c r="DA28" s="1859"/>
      <c r="DB28" s="1859"/>
      <c r="DC28" s="1859"/>
      <c r="DD28" s="1859"/>
      <c r="DE28" s="1859"/>
      <c r="DF28" s="1859"/>
      <c r="DG28" s="1859"/>
      <c r="DH28" s="1859"/>
      <c r="DI28" s="1859"/>
      <c r="DJ28" s="1859"/>
      <c r="DK28" s="1859"/>
      <c r="DL28" s="1859"/>
      <c r="DM28" s="1859"/>
      <c r="DN28" s="1859"/>
      <c r="DO28" s="1859"/>
      <c r="DP28" s="1859"/>
      <c r="DQ28" s="1859"/>
      <c r="DR28" s="1859"/>
      <c r="DS28" s="1859"/>
      <c r="DT28" s="1859"/>
      <c r="DU28" s="1859"/>
      <c r="DV28" s="1859"/>
      <c r="DW28" s="1859"/>
      <c r="DX28" s="1859"/>
      <c r="DY28" s="1859"/>
      <c r="DZ28" s="1859"/>
      <c r="EA28" s="1859"/>
      <c r="EB28" s="1859"/>
      <c r="EC28" s="1859"/>
      <c r="ED28" s="1859"/>
      <c r="EE28" s="1859"/>
      <c r="EF28" s="1859"/>
      <c r="EG28" s="1859"/>
      <c r="EH28" s="1859"/>
      <c r="EI28" s="1859"/>
      <c r="EJ28" s="1859"/>
      <c r="EK28" s="1859"/>
      <c r="EL28" s="1859"/>
      <c r="EM28" s="1859"/>
      <c r="EN28" s="1859"/>
      <c r="EO28" s="1859"/>
      <c r="EP28" s="1859"/>
      <c r="EQ28" s="1859"/>
      <c r="ER28" s="1859"/>
      <c r="ES28" s="1859"/>
      <c r="ET28" s="1859"/>
      <c r="EU28" s="1859"/>
      <c r="EV28" s="1859"/>
      <c r="EW28" s="1860"/>
      <c r="EX28" s="1861"/>
      <c r="EY28" s="1859"/>
      <c r="EZ28" s="1859"/>
      <c r="FA28" s="1859"/>
      <c r="FB28" s="1859"/>
      <c r="FC28" s="1859"/>
      <c r="FD28" s="1859"/>
      <c r="FE28" s="1859"/>
      <c r="FF28" s="1859"/>
      <c r="FG28" s="1859"/>
      <c r="FH28" s="1859"/>
      <c r="FI28" s="1859"/>
      <c r="FJ28" s="1859"/>
      <c r="FK28" s="1859"/>
      <c r="FL28" s="1859"/>
      <c r="FM28" s="1859"/>
      <c r="FN28" s="1859"/>
      <c r="FO28" s="1859"/>
      <c r="FP28" s="1859"/>
      <c r="FQ28" s="1859"/>
      <c r="FR28" s="1859"/>
      <c r="FS28" s="1859"/>
      <c r="FT28" s="1859"/>
      <c r="FU28" s="1859"/>
      <c r="FV28" s="1859"/>
      <c r="FW28" s="1859"/>
      <c r="FX28" s="1859"/>
      <c r="FY28" s="1859"/>
      <c r="FZ28" s="1859"/>
      <c r="GA28" s="1862"/>
      <c r="GB28" s="1859"/>
      <c r="GC28" s="1859"/>
      <c r="GD28" s="1859"/>
      <c r="GE28" s="1859"/>
      <c r="GF28" s="1859"/>
      <c r="GG28" s="1859"/>
      <c r="GH28" s="1859"/>
      <c r="GI28" s="1859"/>
      <c r="GJ28" s="1859"/>
      <c r="GK28" s="1859"/>
      <c r="GL28" s="1859"/>
      <c r="GM28" s="1859"/>
      <c r="GN28" s="1859"/>
      <c r="GO28" s="1859"/>
      <c r="GP28" s="1859"/>
      <c r="GQ28" s="1859"/>
      <c r="GR28" s="1859"/>
      <c r="GS28" s="1859"/>
      <c r="GT28" s="1859"/>
      <c r="GU28" s="1859"/>
      <c r="GV28" s="1859"/>
      <c r="GW28" s="1859"/>
      <c r="GX28" s="1859"/>
      <c r="GY28" s="1859"/>
      <c r="GZ28" s="1859"/>
      <c r="HA28" s="1859"/>
      <c r="HB28" s="1859"/>
      <c r="HC28" s="1859"/>
      <c r="HD28" s="1859"/>
      <c r="HE28" s="1859"/>
      <c r="HF28" s="1859"/>
      <c r="HG28" s="1859"/>
      <c r="HH28" s="1859"/>
      <c r="HI28" s="1859"/>
      <c r="HJ28" s="1863"/>
      <c r="HK28" s="1863"/>
      <c r="HL28" s="1863"/>
      <c r="HM28" s="1863"/>
      <c r="HN28" s="1863"/>
      <c r="HO28" s="1863"/>
      <c r="HP28" s="1863"/>
      <c r="HQ28" s="1863"/>
      <c r="HR28" s="1863"/>
      <c r="HS28" s="1863"/>
      <c r="HT28" s="1863"/>
      <c r="HU28" s="1863"/>
      <c r="HV28" s="1863"/>
      <c r="HW28" s="1863"/>
      <c r="HX28" s="1863"/>
      <c r="HY28" s="1863"/>
      <c r="HZ28" s="1863"/>
      <c r="IA28" s="1863"/>
      <c r="IB28" s="1863"/>
      <c r="IC28" s="1863"/>
      <c r="ID28" s="1864"/>
      <c r="IE28" s="1863"/>
      <c r="IF28" s="1863"/>
      <c r="IG28" s="1863"/>
      <c r="IH28" s="1863"/>
      <c r="II28" s="1863"/>
      <c r="IJ28" s="1863"/>
      <c r="IK28" s="1863"/>
      <c r="IL28" s="1863"/>
      <c r="IM28" s="1863"/>
      <c r="IN28" s="1863"/>
      <c r="IO28" s="1863"/>
      <c r="IP28" s="1863"/>
      <c r="IQ28" s="1863"/>
      <c r="IR28" s="1863"/>
      <c r="IS28" s="1863"/>
      <c r="IT28" s="1863"/>
      <c r="IU28" s="1863"/>
      <c r="IV28" s="1865"/>
      <c r="IW28" s="1863"/>
      <c r="IX28" s="1863"/>
      <c r="IY28" s="1863"/>
      <c r="IZ28" s="1863"/>
      <c r="JA28" s="1863"/>
      <c r="JB28" s="1863"/>
      <c r="JC28" s="1863"/>
      <c r="JD28" s="1863"/>
      <c r="JE28" s="1863"/>
      <c r="JF28" s="1863"/>
      <c r="JG28" s="1863"/>
      <c r="JH28" s="1863"/>
      <c r="JI28" s="1863"/>
      <c r="JJ28" s="1863"/>
      <c r="JK28" s="1863"/>
      <c r="JL28" s="1864"/>
      <c r="JM28" s="1864"/>
      <c r="JN28" s="1864"/>
      <c r="JO28" s="1864"/>
      <c r="JP28" s="1864"/>
      <c r="JQ28" s="1864"/>
      <c r="JR28" s="1864"/>
      <c r="JS28" s="1864"/>
      <c r="JT28" s="1864"/>
      <c r="JU28" s="1864"/>
      <c r="JV28" s="1864"/>
      <c r="JW28" s="1864"/>
      <c r="JX28" s="1864"/>
      <c r="JY28" s="1864"/>
      <c r="JZ28" s="1864"/>
      <c r="KA28" s="1864"/>
      <c r="KB28" s="1864"/>
      <c r="KC28" s="1864"/>
      <c r="KD28" s="1864"/>
      <c r="KE28" s="1864"/>
      <c r="KF28" s="1864"/>
      <c r="KG28" s="1864"/>
      <c r="KH28" s="1864"/>
      <c r="KI28" s="1864"/>
      <c r="KJ28" s="1863"/>
      <c r="KK28" s="1864"/>
      <c r="KL28" s="1863"/>
      <c r="KM28" s="1863"/>
      <c r="KN28" s="1863"/>
      <c r="KO28" s="1863"/>
      <c r="KP28" s="1863"/>
      <c r="KQ28" s="1866"/>
    </row>
    <row r="29" spans="1:304" s="1867" customFormat="1" ht="20.100000000000001" hidden="1" customHeight="1" outlineLevel="1">
      <c r="A29" s="1857"/>
      <c r="B29" s="1857"/>
      <c r="C29" s="1858"/>
      <c r="D29" s="1858"/>
      <c r="E29" s="1859"/>
      <c r="F29" s="1859"/>
      <c r="G29" s="1859"/>
      <c r="H29" s="1859"/>
      <c r="I29" s="1859"/>
      <c r="J29" s="1859"/>
      <c r="K29" s="1859"/>
      <c r="L29" s="1859"/>
      <c r="M29" s="1859"/>
      <c r="N29" s="1859"/>
      <c r="O29" s="1859"/>
      <c r="P29" s="1859"/>
      <c r="Q29" s="1859"/>
      <c r="R29" s="1859"/>
      <c r="S29" s="1859"/>
      <c r="T29" s="1859"/>
      <c r="U29" s="1859"/>
      <c r="V29" s="1859"/>
      <c r="W29" s="1859"/>
      <c r="X29" s="1859"/>
      <c r="Y29" s="1859"/>
      <c r="Z29" s="1859"/>
      <c r="AA29" s="1859"/>
      <c r="AB29" s="1859"/>
      <c r="AC29" s="1859"/>
      <c r="AD29" s="1859"/>
      <c r="AE29" s="1859"/>
      <c r="AF29" s="1859"/>
      <c r="AG29" s="1859"/>
      <c r="AH29" s="1859"/>
      <c r="AI29" s="1859"/>
      <c r="AJ29" s="1859"/>
      <c r="AK29" s="1859"/>
      <c r="AL29" s="1859"/>
      <c r="AM29" s="1859"/>
      <c r="AN29" s="1859"/>
      <c r="AO29" s="1859"/>
      <c r="AP29" s="1859"/>
      <c r="AQ29" s="1859"/>
      <c r="AR29" s="1859"/>
      <c r="AS29" s="1859"/>
      <c r="AT29" s="1859"/>
      <c r="AU29" s="1859"/>
      <c r="AV29" s="1859"/>
      <c r="AW29" s="1859"/>
      <c r="AX29" s="1859"/>
      <c r="AY29" s="1859"/>
      <c r="AZ29" s="1859"/>
      <c r="BA29" s="1859"/>
      <c r="BB29" s="1859"/>
      <c r="BC29" s="1859"/>
      <c r="BD29" s="1859"/>
      <c r="BE29" s="1859"/>
      <c r="BF29" s="1859"/>
      <c r="BG29" s="1859"/>
      <c r="BH29" s="1859"/>
      <c r="BI29" s="1859"/>
      <c r="BJ29" s="1859"/>
      <c r="BK29" s="1859"/>
      <c r="BL29" s="1859"/>
      <c r="BM29" s="1859"/>
      <c r="BN29" s="1859"/>
      <c r="BO29" s="1859"/>
      <c r="BP29" s="1859"/>
      <c r="BQ29" s="1859"/>
      <c r="BR29" s="1859"/>
      <c r="BS29" s="1859"/>
      <c r="BT29" s="1859"/>
      <c r="BU29" s="1859"/>
      <c r="BV29" s="1859"/>
      <c r="BW29" s="1859"/>
      <c r="BX29" s="1859"/>
      <c r="BY29" s="1859"/>
      <c r="BZ29" s="1859"/>
      <c r="CA29" s="1859"/>
      <c r="CB29" s="1859"/>
      <c r="CC29" s="1859"/>
      <c r="CD29" s="1859"/>
      <c r="CE29" s="1859"/>
      <c r="CF29" s="1859"/>
      <c r="CG29" s="1859"/>
      <c r="CH29" s="1859"/>
      <c r="CI29" s="1859"/>
      <c r="CJ29" s="1859"/>
      <c r="CK29" s="1859"/>
      <c r="CL29" s="1859"/>
      <c r="CM29" s="1859"/>
      <c r="CN29" s="1859"/>
      <c r="CO29" s="1859"/>
      <c r="CP29" s="1859"/>
      <c r="CQ29" s="1859"/>
      <c r="CR29" s="1859"/>
      <c r="CS29" s="1859"/>
      <c r="CT29" s="1859"/>
      <c r="CU29" s="1859"/>
      <c r="CV29" s="1859"/>
      <c r="CW29" s="1859"/>
      <c r="CX29" s="1859"/>
      <c r="CY29" s="1859"/>
      <c r="CZ29" s="1859"/>
      <c r="DA29" s="1859"/>
      <c r="DB29" s="1859"/>
      <c r="DC29" s="1859"/>
      <c r="DD29" s="1859"/>
      <c r="DE29" s="1859"/>
      <c r="DF29" s="1859"/>
      <c r="DG29" s="1859"/>
      <c r="DH29" s="1859"/>
      <c r="DI29" s="1859"/>
      <c r="DJ29" s="1859"/>
      <c r="DK29" s="1859"/>
      <c r="DL29" s="1859"/>
      <c r="DM29" s="1859"/>
      <c r="DN29" s="1859"/>
      <c r="DO29" s="1859"/>
      <c r="DP29" s="1859"/>
      <c r="DQ29" s="1859"/>
      <c r="DR29" s="1859"/>
      <c r="DS29" s="1859"/>
      <c r="DT29" s="1859"/>
      <c r="DU29" s="1859"/>
      <c r="DV29" s="1859"/>
      <c r="DW29" s="1859"/>
      <c r="DX29" s="1859"/>
      <c r="DY29" s="1859"/>
      <c r="DZ29" s="1859"/>
      <c r="EA29" s="1859"/>
      <c r="EB29" s="1859"/>
      <c r="EC29" s="1859"/>
      <c r="ED29" s="1859"/>
      <c r="EE29" s="1859"/>
      <c r="EF29" s="1859"/>
      <c r="EG29" s="1859"/>
      <c r="EH29" s="1859"/>
      <c r="EI29" s="1859"/>
      <c r="EJ29" s="1859"/>
      <c r="EK29" s="1859"/>
      <c r="EL29" s="1859"/>
      <c r="EM29" s="1859"/>
      <c r="EN29" s="1859"/>
      <c r="EO29" s="1859"/>
      <c r="EP29" s="1859"/>
      <c r="EQ29" s="1859"/>
      <c r="ER29" s="1859"/>
      <c r="ES29" s="1859"/>
      <c r="ET29" s="1859"/>
      <c r="EU29" s="1859"/>
      <c r="EV29" s="1859"/>
      <c r="EW29" s="1860"/>
      <c r="EX29" s="1861"/>
      <c r="EY29" s="1859"/>
      <c r="EZ29" s="1859"/>
      <c r="FA29" s="1859"/>
      <c r="FB29" s="1859"/>
      <c r="FC29" s="1859"/>
      <c r="FD29" s="1859"/>
      <c r="FE29" s="1859"/>
      <c r="FF29" s="1859"/>
      <c r="FG29" s="1859"/>
      <c r="FH29" s="1859"/>
      <c r="FI29" s="1859"/>
      <c r="FJ29" s="1859"/>
      <c r="FK29" s="1859"/>
      <c r="FL29" s="1859"/>
      <c r="FM29" s="1859"/>
      <c r="FN29" s="1859"/>
      <c r="FO29" s="1859"/>
      <c r="FP29" s="1859"/>
      <c r="FQ29" s="1859"/>
      <c r="FR29" s="1859"/>
      <c r="FS29" s="1859"/>
      <c r="FT29" s="1859"/>
      <c r="FU29" s="1859"/>
      <c r="FV29" s="1859"/>
      <c r="FW29" s="1859"/>
      <c r="FX29" s="1859"/>
      <c r="FY29" s="1859"/>
      <c r="FZ29" s="1859"/>
      <c r="GA29" s="1862"/>
      <c r="GB29" s="1859"/>
      <c r="GC29" s="1859"/>
      <c r="GD29" s="1859"/>
      <c r="GE29" s="1859"/>
      <c r="GF29" s="1859"/>
      <c r="GG29" s="1859"/>
      <c r="GH29" s="1859"/>
      <c r="GI29" s="1859"/>
      <c r="GJ29" s="1859"/>
      <c r="GK29" s="1859"/>
      <c r="GL29" s="1859"/>
      <c r="GM29" s="1859"/>
      <c r="GN29" s="1859"/>
      <c r="GO29" s="1859"/>
      <c r="GP29" s="1859"/>
      <c r="GQ29" s="1859"/>
      <c r="GR29" s="1859"/>
      <c r="GS29" s="1859"/>
      <c r="GT29" s="1859"/>
      <c r="GU29" s="1859"/>
      <c r="GV29" s="1859"/>
      <c r="GW29" s="1859"/>
      <c r="GX29" s="1859"/>
      <c r="GY29" s="1859"/>
      <c r="GZ29" s="1859"/>
      <c r="HA29" s="1859"/>
      <c r="HB29" s="1859"/>
      <c r="HC29" s="1859"/>
      <c r="HD29" s="1859"/>
      <c r="HE29" s="1859"/>
      <c r="HF29" s="1859"/>
      <c r="HG29" s="1859"/>
      <c r="HH29" s="1859"/>
      <c r="HI29" s="1859"/>
      <c r="HJ29" s="1863"/>
      <c r="HK29" s="1863"/>
      <c r="HL29" s="1863"/>
      <c r="HM29" s="1863"/>
      <c r="HN29" s="1863"/>
      <c r="HO29" s="1863"/>
      <c r="HP29" s="1863"/>
      <c r="HQ29" s="1863"/>
      <c r="HR29" s="1863"/>
      <c r="HS29" s="1863"/>
      <c r="HT29" s="1863"/>
      <c r="HU29" s="1863"/>
      <c r="HV29" s="1863"/>
      <c r="HW29" s="1863"/>
      <c r="HX29" s="1863"/>
      <c r="HY29" s="1863"/>
      <c r="HZ29" s="1863"/>
      <c r="IA29" s="1863"/>
      <c r="IB29" s="1863"/>
      <c r="IC29" s="1863"/>
      <c r="ID29" s="1864"/>
      <c r="IE29" s="1863"/>
      <c r="IF29" s="1863"/>
      <c r="IG29" s="1863"/>
      <c r="IH29" s="1863"/>
      <c r="II29" s="1863"/>
      <c r="IJ29" s="1863"/>
      <c r="IK29" s="1863"/>
      <c r="IL29" s="1863"/>
      <c r="IM29" s="1863"/>
      <c r="IN29" s="1863"/>
      <c r="IO29" s="1863"/>
      <c r="IP29" s="1863"/>
      <c r="IQ29" s="1863"/>
      <c r="IR29" s="1863"/>
      <c r="IS29" s="1863"/>
      <c r="IT29" s="1863"/>
      <c r="IU29" s="1863"/>
      <c r="IV29" s="1865"/>
      <c r="IW29" s="1863"/>
      <c r="IX29" s="1863"/>
      <c r="IY29" s="1863"/>
      <c r="IZ29" s="1863"/>
      <c r="JA29" s="1863"/>
      <c r="JB29" s="1863"/>
      <c r="JC29" s="1863"/>
      <c r="JD29" s="1863"/>
      <c r="JE29" s="1863"/>
      <c r="JF29" s="1863"/>
      <c r="JG29" s="1863"/>
      <c r="JH29" s="1863"/>
      <c r="JI29" s="1863"/>
      <c r="JJ29" s="1863"/>
      <c r="JK29" s="1863"/>
      <c r="JL29" s="1864"/>
      <c r="JM29" s="1864"/>
      <c r="JN29" s="1864"/>
      <c r="JO29" s="1864"/>
      <c r="JP29" s="1864"/>
      <c r="JQ29" s="1864"/>
      <c r="JR29" s="1864"/>
      <c r="JS29" s="1864"/>
      <c r="JT29" s="1864"/>
      <c r="JU29" s="1864"/>
      <c r="JV29" s="1864"/>
      <c r="JW29" s="1864"/>
      <c r="JX29" s="1864"/>
      <c r="JY29" s="1864"/>
      <c r="JZ29" s="1864"/>
      <c r="KA29" s="1864"/>
      <c r="KB29" s="1864"/>
      <c r="KC29" s="1864"/>
      <c r="KD29" s="1864"/>
      <c r="KE29" s="1864"/>
      <c r="KF29" s="1864"/>
      <c r="KG29" s="1864"/>
      <c r="KH29" s="1864"/>
      <c r="KI29" s="1864"/>
      <c r="KJ29" s="1863"/>
      <c r="KK29" s="1864"/>
      <c r="KL29" s="1863"/>
      <c r="KM29" s="1863"/>
      <c r="KN29" s="1863"/>
      <c r="KO29" s="1863"/>
      <c r="KP29" s="1863"/>
      <c r="KQ29" s="1866"/>
    </row>
    <row r="30" spans="1:304" s="1867" customFormat="1" ht="20.100000000000001" hidden="1" customHeight="1" outlineLevel="1">
      <c r="A30" s="1857"/>
      <c r="B30" s="1857"/>
      <c r="C30" s="1858"/>
      <c r="D30" s="1858"/>
      <c r="E30" s="1859"/>
      <c r="F30" s="1859"/>
      <c r="G30" s="1859"/>
      <c r="H30" s="1859"/>
      <c r="I30" s="1859"/>
      <c r="J30" s="1859"/>
      <c r="K30" s="1859"/>
      <c r="L30" s="1859"/>
      <c r="M30" s="1859"/>
      <c r="N30" s="1859"/>
      <c r="O30" s="1859"/>
      <c r="P30" s="1859"/>
      <c r="Q30" s="1859"/>
      <c r="R30" s="1859"/>
      <c r="S30" s="1859"/>
      <c r="T30" s="1859"/>
      <c r="U30" s="1859"/>
      <c r="V30" s="1859"/>
      <c r="W30" s="1859"/>
      <c r="X30" s="1859"/>
      <c r="Y30" s="1859"/>
      <c r="Z30" s="1859"/>
      <c r="AA30" s="1859"/>
      <c r="AB30" s="1859"/>
      <c r="AC30" s="1859"/>
      <c r="AD30" s="1859"/>
      <c r="AE30" s="1859"/>
      <c r="AF30" s="1859"/>
      <c r="AG30" s="1859"/>
      <c r="AH30" s="1859"/>
      <c r="AI30" s="1859"/>
      <c r="AJ30" s="1859"/>
      <c r="AK30" s="1859"/>
      <c r="AL30" s="1859"/>
      <c r="AM30" s="1859"/>
      <c r="AN30" s="1859"/>
      <c r="AO30" s="1859"/>
      <c r="AP30" s="1859"/>
      <c r="AQ30" s="1859"/>
      <c r="AR30" s="1859"/>
      <c r="AS30" s="1859"/>
      <c r="AT30" s="1859"/>
      <c r="AU30" s="1859"/>
      <c r="AV30" s="1859"/>
      <c r="AW30" s="1859"/>
      <c r="AX30" s="1859"/>
      <c r="AY30" s="1859"/>
      <c r="AZ30" s="1859"/>
      <c r="BA30" s="1859"/>
      <c r="BB30" s="1859"/>
      <c r="BC30" s="1859"/>
      <c r="BD30" s="1859"/>
      <c r="BE30" s="1859"/>
      <c r="BF30" s="1859"/>
      <c r="BG30" s="1859"/>
      <c r="BH30" s="1859"/>
      <c r="BI30" s="1859"/>
      <c r="BJ30" s="1859"/>
      <c r="BK30" s="1859"/>
      <c r="BL30" s="1859"/>
      <c r="BM30" s="1859"/>
      <c r="BN30" s="1859"/>
      <c r="BO30" s="1859"/>
      <c r="BP30" s="1859"/>
      <c r="BQ30" s="1859"/>
      <c r="BR30" s="1859"/>
      <c r="BS30" s="1859"/>
      <c r="BT30" s="1859"/>
      <c r="BU30" s="1859"/>
      <c r="BV30" s="1859"/>
      <c r="BW30" s="1859"/>
      <c r="BX30" s="1859"/>
      <c r="BY30" s="1859"/>
      <c r="BZ30" s="1859"/>
      <c r="CA30" s="1859"/>
      <c r="CB30" s="1859"/>
      <c r="CC30" s="1859"/>
      <c r="CD30" s="1859"/>
      <c r="CE30" s="1859"/>
      <c r="CF30" s="1859"/>
      <c r="CG30" s="1859"/>
      <c r="CH30" s="1859"/>
      <c r="CI30" s="1859"/>
      <c r="CJ30" s="1859"/>
      <c r="CK30" s="1859"/>
      <c r="CL30" s="1859"/>
      <c r="CM30" s="1859"/>
      <c r="CN30" s="1859"/>
      <c r="CO30" s="1859"/>
      <c r="CP30" s="1859"/>
      <c r="CQ30" s="1859"/>
      <c r="CR30" s="1859"/>
      <c r="CS30" s="1859"/>
      <c r="CT30" s="1859"/>
      <c r="CU30" s="1859"/>
      <c r="CV30" s="1859"/>
      <c r="CW30" s="1859"/>
      <c r="CX30" s="1859"/>
      <c r="CY30" s="1859"/>
      <c r="CZ30" s="1859"/>
      <c r="DA30" s="1859"/>
      <c r="DB30" s="1859"/>
      <c r="DC30" s="1859"/>
      <c r="DD30" s="1859"/>
      <c r="DE30" s="1859"/>
      <c r="DF30" s="1859"/>
      <c r="DG30" s="1859"/>
      <c r="DH30" s="1859"/>
      <c r="DI30" s="1859"/>
      <c r="DJ30" s="1859"/>
      <c r="DK30" s="1859"/>
      <c r="DL30" s="1859"/>
      <c r="DM30" s="1859"/>
      <c r="DN30" s="1859"/>
      <c r="DO30" s="1859"/>
      <c r="DP30" s="1859"/>
      <c r="DQ30" s="1859"/>
      <c r="DR30" s="1859"/>
      <c r="DS30" s="1859"/>
      <c r="DT30" s="1859"/>
      <c r="DU30" s="1859"/>
      <c r="DV30" s="1859"/>
      <c r="DW30" s="1859"/>
      <c r="DX30" s="1859"/>
      <c r="DY30" s="1859"/>
      <c r="DZ30" s="1859"/>
      <c r="EA30" s="1859"/>
      <c r="EB30" s="1859"/>
      <c r="EC30" s="1859"/>
      <c r="ED30" s="1859"/>
      <c r="EE30" s="1859"/>
      <c r="EF30" s="1859"/>
      <c r="EG30" s="1859"/>
      <c r="EH30" s="1859"/>
      <c r="EI30" s="1859"/>
      <c r="EJ30" s="1859"/>
      <c r="EK30" s="1859"/>
      <c r="EL30" s="1859"/>
      <c r="EM30" s="1859"/>
      <c r="EN30" s="1859"/>
      <c r="EO30" s="1859"/>
      <c r="EP30" s="1859"/>
      <c r="EQ30" s="1859"/>
      <c r="ER30" s="1859"/>
      <c r="ES30" s="1859"/>
      <c r="ET30" s="1859"/>
      <c r="EU30" s="1859"/>
      <c r="EV30" s="1859"/>
      <c r="EW30" s="1860"/>
      <c r="EX30" s="1861"/>
      <c r="EY30" s="1859"/>
      <c r="EZ30" s="1859"/>
      <c r="FA30" s="1859"/>
      <c r="FB30" s="1859"/>
      <c r="FC30" s="1859"/>
      <c r="FD30" s="1859"/>
      <c r="FE30" s="1859"/>
      <c r="FF30" s="1859"/>
      <c r="FG30" s="1859"/>
      <c r="FH30" s="1859"/>
      <c r="FI30" s="1859"/>
      <c r="FJ30" s="1859"/>
      <c r="FK30" s="1859"/>
      <c r="FL30" s="1859"/>
      <c r="FM30" s="1859"/>
      <c r="FN30" s="1859"/>
      <c r="FO30" s="1859"/>
      <c r="FP30" s="1859"/>
      <c r="FQ30" s="1859"/>
      <c r="FR30" s="1859"/>
      <c r="FS30" s="1859"/>
      <c r="FT30" s="1859"/>
      <c r="FU30" s="1859"/>
      <c r="FV30" s="1859"/>
      <c r="FW30" s="1859"/>
      <c r="FX30" s="1859"/>
      <c r="FY30" s="1859"/>
      <c r="FZ30" s="1859"/>
      <c r="GA30" s="1862"/>
      <c r="GB30" s="1859"/>
      <c r="GC30" s="1859"/>
      <c r="GD30" s="1859"/>
      <c r="GE30" s="1859"/>
      <c r="GF30" s="1859"/>
      <c r="GG30" s="1859"/>
      <c r="GH30" s="1859"/>
      <c r="GI30" s="1859"/>
      <c r="GJ30" s="1859"/>
      <c r="GK30" s="1859"/>
      <c r="GL30" s="1859"/>
      <c r="GM30" s="1859"/>
      <c r="GN30" s="1859"/>
      <c r="GO30" s="1859"/>
      <c r="GP30" s="1859"/>
      <c r="GQ30" s="1859"/>
      <c r="GR30" s="1859"/>
      <c r="GS30" s="1859"/>
      <c r="GT30" s="1859"/>
      <c r="GU30" s="1859"/>
      <c r="GV30" s="1859"/>
      <c r="GW30" s="1859"/>
      <c r="GX30" s="1859"/>
      <c r="GY30" s="1859"/>
      <c r="GZ30" s="1859"/>
      <c r="HA30" s="1859"/>
      <c r="HB30" s="1859"/>
      <c r="HC30" s="1859"/>
      <c r="HD30" s="1859"/>
      <c r="HE30" s="1859"/>
      <c r="HF30" s="1859"/>
      <c r="HG30" s="1859"/>
      <c r="HH30" s="1859"/>
      <c r="HI30" s="1859"/>
      <c r="HJ30" s="1863"/>
      <c r="HK30" s="1863"/>
      <c r="HL30" s="1863"/>
      <c r="HM30" s="1863"/>
      <c r="HN30" s="1863"/>
      <c r="HO30" s="1863"/>
      <c r="HP30" s="1863"/>
      <c r="HQ30" s="1863"/>
      <c r="HR30" s="1863"/>
      <c r="HS30" s="1863"/>
      <c r="HT30" s="1863"/>
      <c r="HU30" s="1863"/>
      <c r="HV30" s="1863"/>
      <c r="HW30" s="1863"/>
      <c r="HX30" s="1863"/>
      <c r="HY30" s="1863"/>
      <c r="HZ30" s="1863"/>
      <c r="IA30" s="1863"/>
      <c r="IB30" s="1863"/>
      <c r="IC30" s="1863"/>
      <c r="ID30" s="1864"/>
      <c r="IE30" s="1863"/>
      <c r="IF30" s="1863"/>
      <c r="IG30" s="1863"/>
      <c r="IH30" s="1863"/>
      <c r="II30" s="1863"/>
      <c r="IJ30" s="1863"/>
      <c r="IK30" s="1863"/>
      <c r="IL30" s="1863"/>
      <c r="IM30" s="1863"/>
      <c r="IN30" s="1863"/>
      <c r="IO30" s="1863"/>
      <c r="IP30" s="1863"/>
      <c r="IQ30" s="1863"/>
      <c r="IR30" s="1863"/>
      <c r="IS30" s="1863"/>
      <c r="IT30" s="1863"/>
      <c r="IU30" s="1863"/>
      <c r="IV30" s="1865"/>
      <c r="IW30" s="1863"/>
      <c r="IX30" s="1863"/>
      <c r="IY30" s="1863"/>
      <c r="IZ30" s="1863"/>
      <c r="JA30" s="1863"/>
      <c r="JB30" s="1863"/>
      <c r="JC30" s="1863"/>
      <c r="JD30" s="1863"/>
      <c r="JE30" s="1863"/>
      <c r="JF30" s="1863"/>
      <c r="JG30" s="1863"/>
      <c r="JH30" s="1863"/>
      <c r="JI30" s="1863"/>
      <c r="JJ30" s="1863"/>
      <c r="JK30" s="1863"/>
      <c r="JL30" s="1864"/>
      <c r="JM30" s="1864"/>
      <c r="JN30" s="1864"/>
      <c r="JO30" s="1864"/>
      <c r="JP30" s="1864"/>
      <c r="JQ30" s="1864"/>
      <c r="JR30" s="1864"/>
      <c r="JS30" s="1864"/>
      <c r="JT30" s="1864"/>
      <c r="JU30" s="1864"/>
      <c r="JV30" s="1864"/>
      <c r="JW30" s="1864"/>
      <c r="JX30" s="1864"/>
      <c r="JY30" s="1864"/>
      <c r="JZ30" s="1864"/>
      <c r="KA30" s="1864"/>
      <c r="KB30" s="1864"/>
      <c r="KC30" s="1864"/>
      <c r="KD30" s="1864"/>
      <c r="KE30" s="1864"/>
      <c r="KF30" s="1864"/>
      <c r="KG30" s="1864"/>
      <c r="KH30" s="1864"/>
      <c r="KI30" s="1864"/>
      <c r="KJ30" s="1863"/>
      <c r="KK30" s="1864"/>
      <c r="KL30" s="1863"/>
      <c r="KM30" s="1863"/>
      <c r="KN30" s="1863"/>
      <c r="KO30" s="1863"/>
      <c r="KP30" s="1863"/>
      <c r="KQ30" s="1866"/>
    </row>
    <row r="31" spans="1:304" s="1867" customFormat="1" ht="20.100000000000001" hidden="1" customHeight="1" outlineLevel="1">
      <c r="A31" s="1857"/>
      <c r="B31" s="1857"/>
      <c r="C31" s="1858"/>
      <c r="D31" s="1858"/>
      <c r="E31" s="1859"/>
      <c r="F31" s="1859"/>
      <c r="G31" s="1859"/>
      <c r="H31" s="1859"/>
      <c r="I31" s="1859"/>
      <c r="J31" s="1859"/>
      <c r="K31" s="1859"/>
      <c r="L31" s="1859"/>
      <c r="M31" s="1859"/>
      <c r="N31" s="1859"/>
      <c r="O31" s="1859"/>
      <c r="P31" s="1859"/>
      <c r="Q31" s="1859"/>
      <c r="R31" s="1859"/>
      <c r="S31" s="1859"/>
      <c r="T31" s="1859"/>
      <c r="U31" s="1859"/>
      <c r="V31" s="1859"/>
      <c r="W31" s="1859"/>
      <c r="X31" s="1859"/>
      <c r="Y31" s="1859"/>
      <c r="Z31" s="1859"/>
      <c r="AA31" s="1859"/>
      <c r="AB31" s="1859"/>
      <c r="AC31" s="1859"/>
      <c r="AD31" s="1859"/>
      <c r="AE31" s="1859"/>
      <c r="AF31" s="1859"/>
      <c r="AG31" s="1859"/>
      <c r="AH31" s="1859"/>
      <c r="AI31" s="1859"/>
      <c r="AJ31" s="1859"/>
      <c r="AK31" s="1859"/>
      <c r="AL31" s="1859"/>
      <c r="AM31" s="1859"/>
      <c r="AN31" s="1859"/>
      <c r="AO31" s="1859"/>
      <c r="AP31" s="1859"/>
      <c r="AQ31" s="1859"/>
      <c r="AR31" s="1859"/>
      <c r="AS31" s="1859"/>
      <c r="AT31" s="1859"/>
      <c r="AU31" s="1859"/>
      <c r="AV31" s="1859"/>
      <c r="AW31" s="1859"/>
      <c r="AX31" s="1859"/>
      <c r="AY31" s="1859"/>
      <c r="AZ31" s="1859"/>
      <c r="BA31" s="1859"/>
      <c r="BB31" s="1859"/>
      <c r="BC31" s="1859"/>
      <c r="BD31" s="1859"/>
      <c r="BE31" s="1859"/>
      <c r="BF31" s="1859"/>
      <c r="BG31" s="1859"/>
      <c r="BH31" s="1859"/>
      <c r="BI31" s="1859"/>
      <c r="BJ31" s="1859"/>
      <c r="BK31" s="1859"/>
      <c r="BL31" s="1859"/>
      <c r="BM31" s="1859"/>
      <c r="BN31" s="1859"/>
      <c r="BO31" s="1859"/>
      <c r="BP31" s="1859"/>
      <c r="BQ31" s="1859"/>
      <c r="BR31" s="1859"/>
      <c r="BS31" s="1859"/>
      <c r="BT31" s="1859"/>
      <c r="BU31" s="1859"/>
      <c r="BV31" s="1859"/>
      <c r="BW31" s="1859"/>
      <c r="BX31" s="1859"/>
      <c r="BY31" s="1859"/>
      <c r="BZ31" s="1859"/>
      <c r="CA31" s="1859"/>
      <c r="CB31" s="1859"/>
      <c r="CC31" s="1859"/>
      <c r="CD31" s="1859"/>
      <c r="CE31" s="1859"/>
      <c r="CF31" s="1859"/>
      <c r="CG31" s="1859"/>
      <c r="CH31" s="1859"/>
      <c r="CI31" s="1859"/>
      <c r="CJ31" s="1859"/>
      <c r="CK31" s="1859"/>
      <c r="CL31" s="1859"/>
      <c r="CM31" s="1859"/>
      <c r="CN31" s="1859"/>
      <c r="CO31" s="1859"/>
      <c r="CP31" s="1859"/>
      <c r="CQ31" s="1859"/>
      <c r="CR31" s="1859"/>
      <c r="CS31" s="1859"/>
      <c r="CT31" s="1859"/>
      <c r="CU31" s="1859"/>
      <c r="CV31" s="1859"/>
      <c r="CW31" s="1859"/>
      <c r="CX31" s="1859"/>
      <c r="CY31" s="1859"/>
      <c r="CZ31" s="1859"/>
      <c r="DA31" s="1859"/>
      <c r="DB31" s="1859"/>
      <c r="DC31" s="1859"/>
      <c r="DD31" s="1859"/>
      <c r="DE31" s="1859"/>
      <c r="DF31" s="1859"/>
      <c r="DG31" s="1859"/>
      <c r="DH31" s="1859"/>
      <c r="DI31" s="1859"/>
      <c r="DJ31" s="1859"/>
      <c r="DK31" s="1859"/>
      <c r="DL31" s="1859"/>
      <c r="DM31" s="1859"/>
      <c r="DN31" s="1859"/>
      <c r="DO31" s="1859"/>
      <c r="DP31" s="1859"/>
      <c r="DQ31" s="1859"/>
      <c r="DR31" s="1859"/>
      <c r="DS31" s="1859"/>
      <c r="DT31" s="1859"/>
      <c r="DU31" s="1859"/>
      <c r="DV31" s="1859"/>
      <c r="DW31" s="1859"/>
      <c r="DX31" s="1859"/>
      <c r="DY31" s="1859"/>
      <c r="DZ31" s="1859"/>
      <c r="EA31" s="1859"/>
      <c r="EB31" s="1859"/>
      <c r="EC31" s="1859"/>
      <c r="ED31" s="1859"/>
      <c r="EE31" s="1859"/>
      <c r="EF31" s="1859"/>
      <c r="EG31" s="1859"/>
      <c r="EH31" s="1859"/>
      <c r="EI31" s="1859"/>
      <c r="EJ31" s="1859"/>
      <c r="EK31" s="1859"/>
      <c r="EL31" s="1859"/>
      <c r="EM31" s="1859"/>
      <c r="EN31" s="1859"/>
      <c r="EO31" s="1859"/>
      <c r="EP31" s="1859"/>
      <c r="EQ31" s="1859"/>
      <c r="ER31" s="1859"/>
      <c r="ES31" s="1859"/>
      <c r="ET31" s="1859"/>
      <c r="EU31" s="1859"/>
      <c r="EV31" s="1859"/>
      <c r="EW31" s="1860"/>
      <c r="EX31" s="1861"/>
      <c r="EY31" s="1859"/>
      <c r="EZ31" s="1859"/>
      <c r="FA31" s="1859"/>
      <c r="FB31" s="1859"/>
      <c r="FC31" s="1859"/>
      <c r="FD31" s="1859"/>
      <c r="FE31" s="1859"/>
      <c r="FF31" s="1859"/>
      <c r="FG31" s="1859"/>
      <c r="FH31" s="1859"/>
      <c r="FI31" s="1859"/>
      <c r="FJ31" s="1859"/>
      <c r="FK31" s="1859"/>
      <c r="FL31" s="1859"/>
      <c r="FM31" s="1859"/>
      <c r="FN31" s="1859"/>
      <c r="FO31" s="1859"/>
      <c r="FP31" s="1859"/>
      <c r="FQ31" s="1859"/>
      <c r="FR31" s="1859"/>
      <c r="FS31" s="1859"/>
      <c r="FT31" s="1859"/>
      <c r="FU31" s="1859"/>
      <c r="FV31" s="1859"/>
      <c r="FW31" s="1859"/>
      <c r="FX31" s="1859"/>
      <c r="FY31" s="1859"/>
      <c r="FZ31" s="1859"/>
      <c r="GA31" s="1862"/>
      <c r="GB31" s="1859"/>
      <c r="GC31" s="1859"/>
      <c r="GD31" s="1859"/>
      <c r="GE31" s="1859"/>
      <c r="GF31" s="1859"/>
      <c r="GG31" s="1859"/>
      <c r="GH31" s="1859"/>
      <c r="GI31" s="1859"/>
      <c r="GJ31" s="1859"/>
      <c r="GK31" s="1859"/>
      <c r="GL31" s="1859"/>
      <c r="GM31" s="1859"/>
      <c r="GN31" s="1859"/>
      <c r="GO31" s="1859"/>
      <c r="GP31" s="1859"/>
      <c r="GQ31" s="1859"/>
      <c r="GR31" s="1859"/>
      <c r="GS31" s="1859"/>
      <c r="GT31" s="1859"/>
      <c r="GU31" s="1859"/>
      <c r="GV31" s="1859"/>
      <c r="GW31" s="1859"/>
      <c r="GX31" s="1859"/>
      <c r="GY31" s="1859"/>
      <c r="GZ31" s="1859"/>
      <c r="HA31" s="1859"/>
      <c r="HB31" s="1859"/>
      <c r="HC31" s="1859"/>
      <c r="HD31" s="1859"/>
      <c r="HE31" s="1859"/>
      <c r="HF31" s="1859"/>
      <c r="HG31" s="1859"/>
      <c r="HH31" s="1859"/>
      <c r="HI31" s="1859"/>
      <c r="HJ31" s="1863"/>
      <c r="HK31" s="1863"/>
      <c r="HL31" s="1863"/>
      <c r="HM31" s="1863"/>
      <c r="HN31" s="1863"/>
      <c r="HO31" s="1863"/>
      <c r="HP31" s="1863"/>
      <c r="HQ31" s="1863"/>
      <c r="HR31" s="1863"/>
      <c r="HS31" s="1863"/>
      <c r="HT31" s="1863"/>
      <c r="HU31" s="1863"/>
      <c r="HV31" s="1863"/>
      <c r="HW31" s="1863"/>
      <c r="HX31" s="1863"/>
      <c r="HY31" s="1863"/>
      <c r="HZ31" s="1863"/>
      <c r="IA31" s="1863"/>
      <c r="IB31" s="1863"/>
      <c r="IC31" s="1863"/>
      <c r="ID31" s="1864"/>
      <c r="IE31" s="1863"/>
      <c r="IF31" s="1863"/>
      <c r="IG31" s="1863"/>
      <c r="IH31" s="1863"/>
      <c r="II31" s="1863"/>
      <c r="IJ31" s="1863"/>
      <c r="IK31" s="1863"/>
      <c r="IL31" s="1863"/>
      <c r="IM31" s="1863"/>
      <c r="IN31" s="1863"/>
      <c r="IO31" s="1863"/>
      <c r="IP31" s="1863"/>
      <c r="IQ31" s="1863"/>
      <c r="IR31" s="1863"/>
      <c r="IS31" s="1863"/>
      <c r="IT31" s="1863"/>
      <c r="IU31" s="1863"/>
      <c r="IV31" s="1865"/>
      <c r="IW31" s="1863"/>
      <c r="IX31" s="1863"/>
      <c r="IY31" s="1863"/>
      <c r="IZ31" s="1863"/>
      <c r="JA31" s="1863"/>
      <c r="JB31" s="1863"/>
      <c r="JC31" s="1863"/>
      <c r="JD31" s="1863"/>
      <c r="JE31" s="1863"/>
      <c r="JF31" s="1863"/>
      <c r="JG31" s="1863"/>
      <c r="JH31" s="1863"/>
      <c r="JI31" s="1863"/>
      <c r="JJ31" s="1863"/>
      <c r="JK31" s="1863"/>
      <c r="JL31" s="1864"/>
      <c r="JM31" s="1864"/>
      <c r="JN31" s="1864"/>
      <c r="JO31" s="1864"/>
      <c r="JP31" s="1864"/>
      <c r="JQ31" s="1864"/>
      <c r="JR31" s="1864"/>
      <c r="JS31" s="1864"/>
      <c r="JT31" s="1864"/>
      <c r="JU31" s="1864"/>
      <c r="JV31" s="1864"/>
      <c r="JW31" s="1864"/>
      <c r="JX31" s="1864"/>
      <c r="JY31" s="1864"/>
      <c r="JZ31" s="1864"/>
      <c r="KA31" s="1864"/>
      <c r="KB31" s="1864"/>
      <c r="KC31" s="1864"/>
      <c r="KD31" s="1864"/>
      <c r="KE31" s="1864"/>
      <c r="KF31" s="1864"/>
      <c r="KG31" s="1864"/>
      <c r="KH31" s="1864"/>
      <c r="KI31" s="1864"/>
      <c r="KJ31" s="1863"/>
      <c r="KK31" s="1864"/>
      <c r="KL31" s="1863"/>
      <c r="KM31" s="1863"/>
      <c r="KN31" s="1863"/>
      <c r="KO31" s="1863"/>
      <c r="KP31" s="1863"/>
      <c r="KQ31" s="1866"/>
    </row>
    <row r="32" spans="1:304" s="1876" customFormat="1" ht="20.100000000000001" hidden="1" customHeight="1" outlineLevel="1">
      <c r="A32" s="1892"/>
      <c r="B32" s="1870"/>
      <c r="C32" s="1871"/>
      <c r="D32" s="1871"/>
      <c r="E32" s="1862"/>
      <c r="F32" s="1862"/>
      <c r="G32" s="1862"/>
      <c r="H32" s="1862"/>
      <c r="I32" s="1862"/>
      <c r="J32" s="1862"/>
      <c r="K32" s="1862"/>
      <c r="L32" s="1862"/>
      <c r="M32" s="1862"/>
      <c r="N32" s="1862"/>
      <c r="O32" s="1862"/>
      <c r="P32" s="1862"/>
      <c r="Q32" s="1862"/>
      <c r="R32" s="1862"/>
      <c r="S32" s="1862"/>
      <c r="T32" s="1862"/>
      <c r="U32" s="1862"/>
      <c r="V32" s="1862"/>
      <c r="W32" s="1862"/>
      <c r="X32" s="1862"/>
      <c r="Y32" s="1862"/>
      <c r="Z32" s="1862"/>
      <c r="AA32" s="1862"/>
      <c r="AB32" s="1862"/>
      <c r="AC32" s="1862"/>
      <c r="AD32" s="1862"/>
      <c r="AE32" s="1862"/>
      <c r="AF32" s="1859"/>
      <c r="AG32" s="1862"/>
      <c r="AH32" s="1862"/>
      <c r="AI32" s="1862"/>
      <c r="AJ32" s="1859"/>
      <c r="AK32" s="1862"/>
      <c r="AL32" s="1862"/>
      <c r="AM32" s="1862"/>
      <c r="AN32" s="1862"/>
      <c r="AO32" s="1862"/>
      <c r="AP32" s="1862"/>
      <c r="AQ32" s="1862"/>
      <c r="AR32" s="1862"/>
      <c r="AS32" s="1862"/>
      <c r="AT32" s="1862"/>
      <c r="AU32" s="1862"/>
      <c r="AV32" s="1862"/>
      <c r="AW32" s="1862"/>
      <c r="AX32" s="1862"/>
      <c r="AY32" s="1862"/>
      <c r="AZ32" s="1862"/>
      <c r="BA32" s="1862"/>
      <c r="BB32" s="1862"/>
      <c r="BC32" s="1862"/>
      <c r="BD32" s="1862"/>
      <c r="BE32" s="1862"/>
      <c r="BF32" s="1862"/>
      <c r="BG32" s="1862"/>
      <c r="BH32" s="1862"/>
      <c r="BI32" s="1862"/>
      <c r="BJ32" s="1862"/>
      <c r="BK32" s="1862"/>
      <c r="BL32" s="1862"/>
      <c r="BM32" s="1862"/>
      <c r="BN32" s="1862"/>
      <c r="BO32" s="1862"/>
      <c r="BP32" s="1862"/>
      <c r="BQ32" s="1862"/>
      <c r="BR32" s="1862"/>
      <c r="BS32" s="1862"/>
      <c r="BT32" s="1862"/>
      <c r="BU32" s="1862"/>
      <c r="BV32" s="1862"/>
      <c r="BW32" s="1862"/>
      <c r="BX32" s="1862"/>
      <c r="BY32" s="1862"/>
      <c r="BZ32" s="1862"/>
      <c r="CA32" s="1862"/>
      <c r="CB32" s="1862"/>
      <c r="CC32" s="1862"/>
      <c r="CD32" s="1862"/>
      <c r="CE32" s="1862"/>
      <c r="CF32" s="1862"/>
      <c r="CG32" s="1862"/>
      <c r="CH32" s="1862"/>
      <c r="CI32" s="1862"/>
      <c r="CJ32" s="1862"/>
      <c r="CK32" s="1862"/>
      <c r="CL32" s="1862"/>
      <c r="CM32" s="1862"/>
      <c r="CN32" s="1862"/>
      <c r="CO32" s="1862"/>
      <c r="CP32" s="1862"/>
      <c r="CQ32" s="1862"/>
      <c r="CR32" s="1862"/>
      <c r="CS32" s="1862"/>
      <c r="CT32" s="1862"/>
      <c r="CU32" s="1862"/>
      <c r="CV32" s="1862"/>
      <c r="CW32" s="1862"/>
      <c r="CX32" s="1862"/>
      <c r="CY32" s="1862"/>
      <c r="CZ32" s="1862"/>
      <c r="DA32" s="1862"/>
      <c r="DB32" s="1862"/>
      <c r="DC32" s="1862"/>
      <c r="DD32" s="1862"/>
      <c r="DE32" s="1862"/>
      <c r="DF32" s="1862"/>
      <c r="DG32" s="1862"/>
      <c r="DH32" s="1862"/>
      <c r="DI32" s="1862"/>
      <c r="DJ32" s="1862"/>
      <c r="DK32" s="1862"/>
      <c r="DL32" s="1862"/>
      <c r="DM32" s="1862"/>
      <c r="DN32" s="1862"/>
      <c r="DO32" s="1862"/>
      <c r="DP32" s="1862"/>
      <c r="DQ32" s="1862"/>
      <c r="DR32" s="1862"/>
      <c r="DS32" s="1862"/>
      <c r="DT32" s="1862"/>
      <c r="DU32" s="1862"/>
      <c r="DV32" s="1862"/>
      <c r="DW32" s="1862"/>
      <c r="DX32" s="1862"/>
      <c r="DY32" s="1862"/>
      <c r="DZ32" s="1862"/>
      <c r="EA32" s="1862"/>
      <c r="EB32" s="1862"/>
      <c r="EC32" s="1862"/>
      <c r="ED32" s="1862"/>
      <c r="EE32" s="1862"/>
      <c r="EF32" s="1862"/>
      <c r="EG32" s="1862"/>
      <c r="EH32" s="1862"/>
      <c r="EI32" s="1862"/>
      <c r="EJ32" s="1862"/>
      <c r="EK32" s="1862"/>
      <c r="EL32" s="1862"/>
      <c r="EM32" s="1862"/>
      <c r="EN32" s="1862"/>
      <c r="EO32" s="1862"/>
      <c r="EP32" s="1862"/>
      <c r="EQ32" s="1862"/>
      <c r="ER32" s="1862"/>
      <c r="ES32" s="1862"/>
      <c r="ET32" s="1862"/>
      <c r="EU32" s="1862"/>
      <c r="EV32" s="1862"/>
      <c r="EW32" s="1872"/>
      <c r="EX32" s="1873"/>
      <c r="EY32" s="1862"/>
      <c r="EZ32" s="1862"/>
      <c r="FA32" s="1862"/>
      <c r="FB32" s="1862"/>
      <c r="FC32" s="1862"/>
      <c r="FD32" s="1862"/>
      <c r="FE32" s="1862"/>
      <c r="FF32" s="1862"/>
      <c r="FG32" s="1862"/>
      <c r="FH32" s="1862"/>
      <c r="FI32" s="1862"/>
      <c r="FJ32" s="1862"/>
      <c r="FK32" s="1862"/>
      <c r="FL32" s="1862"/>
      <c r="FM32" s="1862"/>
      <c r="FN32" s="1859"/>
      <c r="FO32" s="1862"/>
      <c r="FP32" s="1862"/>
      <c r="FQ32" s="1862"/>
      <c r="FR32" s="1862"/>
      <c r="FS32" s="1862"/>
      <c r="FT32" s="1862"/>
      <c r="FU32" s="1862"/>
      <c r="FV32" s="1862"/>
      <c r="FW32" s="1862"/>
      <c r="FX32" s="1862"/>
      <c r="FY32" s="1862"/>
      <c r="FZ32" s="1862"/>
      <c r="GA32" s="1862"/>
      <c r="GB32" s="1862"/>
      <c r="GC32" s="1862"/>
      <c r="GD32" s="1862"/>
      <c r="GE32" s="1862"/>
      <c r="GF32" s="1862"/>
      <c r="GG32" s="1862"/>
      <c r="GH32" s="1862"/>
      <c r="GI32" s="1862"/>
      <c r="GJ32" s="1862"/>
      <c r="GK32" s="1862"/>
      <c r="GL32" s="1862"/>
      <c r="GM32" s="1862"/>
      <c r="GN32" s="1862"/>
      <c r="GO32" s="1862"/>
      <c r="GP32" s="1862"/>
      <c r="GQ32" s="1862"/>
      <c r="GR32" s="1862"/>
      <c r="GS32" s="1862"/>
      <c r="GT32" s="1862"/>
      <c r="GU32" s="1862"/>
      <c r="GV32" s="1862"/>
      <c r="GW32" s="1862"/>
      <c r="GX32" s="1862"/>
      <c r="GY32" s="1862"/>
      <c r="GZ32" s="1862"/>
      <c r="HA32" s="1862"/>
      <c r="HB32" s="1862"/>
      <c r="HC32" s="1862"/>
      <c r="HD32" s="1862"/>
      <c r="HE32" s="1862"/>
      <c r="HF32" s="1862"/>
      <c r="HG32" s="1862"/>
      <c r="HH32" s="1862"/>
      <c r="HI32" s="1862"/>
      <c r="HJ32" s="1865"/>
      <c r="HK32" s="1865"/>
      <c r="HL32" s="1865"/>
      <c r="HM32" s="1865"/>
      <c r="HN32" s="1865"/>
      <c r="HO32" s="1865"/>
      <c r="HP32" s="1865"/>
      <c r="HQ32" s="1865"/>
      <c r="HR32" s="1865"/>
      <c r="HS32" s="1865"/>
      <c r="HT32" s="1865"/>
      <c r="HU32" s="1865"/>
      <c r="HV32" s="1865"/>
      <c r="HW32" s="1865"/>
      <c r="HX32" s="1865"/>
      <c r="HY32" s="1865"/>
      <c r="HZ32" s="1865"/>
      <c r="IA32" s="1865"/>
      <c r="IB32" s="1865"/>
      <c r="IC32" s="1865"/>
      <c r="ID32" s="1874"/>
      <c r="IE32" s="1865"/>
      <c r="IF32" s="1865"/>
      <c r="IG32" s="1865"/>
      <c r="IH32" s="1865"/>
      <c r="II32" s="1865"/>
      <c r="IJ32" s="1863"/>
      <c r="IK32" s="1865"/>
      <c r="IL32" s="1865"/>
      <c r="IM32" s="1865"/>
      <c r="IN32" s="1865"/>
      <c r="IO32" s="1865"/>
      <c r="IP32" s="1865"/>
      <c r="IQ32" s="1865"/>
      <c r="IR32" s="1865"/>
      <c r="IS32" s="1865"/>
      <c r="IT32" s="1865"/>
      <c r="IU32" s="1865"/>
      <c r="IV32" s="1865"/>
      <c r="IW32" s="1865"/>
      <c r="IX32" s="1865"/>
      <c r="IY32" s="1865"/>
      <c r="IZ32" s="1865"/>
      <c r="JA32" s="1865"/>
      <c r="JB32" s="1865"/>
      <c r="JC32" s="1865"/>
      <c r="JD32" s="1865"/>
      <c r="JE32" s="1865"/>
      <c r="JF32" s="1865"/>
      <c r="JG32" s="1865"/>
      <c r="JH32" s="1865"/>
      <c r="JI32" s="1865"/>
      <c r="JJ32" s="1865"/>
      <c r="JK32" s="1865"/>
      <c r="JL32" s="1874"/>
      <c r="JM32" s="1874"/>
      <c r="JN32" s="1874"/>
      <c r="JO32" s="1874"/>
      <c r="JP32" s="1874"/>
      <c r="JQ32" s="1874"/>
      <c r="JR32" s="1874"/>
      <c r="JS32" s="1874"/>
      <c r="JT32" s="1874"/>
      <c r="JU32" s="1874"/>
      <c r="JV32" s="1874"/>
      <c r="JW32" s="1874"/>
      <c r="JX32" s="1874"/>
      <c r="JY32" s="1874"/>
      <c r="JZ32" s="1874"/>
      <c r="KA32" s="1874"/>
      <c r="KB32" s="1874"/>
      <c r="KC32" s="1874"/>
      <c r="KD32" s="1874"/>
      <c r="KE32" s="1874"/>
      <c r="KF32" s="1874"/>
      <c r="KG32" s="1874"/>
      <c r="KH32" s="1874"/>
      <c r="KI32" s="1874"/>
      <c r="KJ32" s="1865"/>
      <c r="KK32" s="1874"/>
      <c r="KL32" s="1865"/>
      <c r="KM32" s="1865"/>
      <c r="KN32" s="1865"/>
      <c r="KO32" s="1865"/>
      <c r="KP32" s="1865"/>
      <c r="KQ32" s="1875"/>
      <c r="KR32" s="1867"/>
    </row>
    <row r="33" spans="1:304" s="1867" customFormat="1" ht="20.100000000000001" hidden="1" customHeight="1" outlineLevel="1">
      <c r="A33" s="1857"/>
      <c r="B33" s="1857"/>
      <c r="C33" s="1858"/>
      <c r="D33" s="1858"/>
      <c r="E33" s="1859"/>
      <c r="F33" s="1859"/>
      <c r="G33" s="1859"/>
      <c r="H33" s="1859"/>
      <c r="I33" s="1859"/>
      <c r="J33" s="1859"/>
      <c r="K33" s="1859"/>
      <c r="L33" s="1859"/>
      <c r="M33" s="1859"/>
      <c r="N33" s="1859"/>
      <c r="O33" s="1859"/>
      <c r="P33" s="1859"/>
      <c r="Q33" s="1859"/>
      <c r="R33" s="1859"/>
      <c r="S33" s="1859"/>
      <c r="T33" s="1859"/>
      <c r="U33" s="1859"/>
      <c r="V33" s="1859"/>
      <c r="W33" s="1859"/>
      <c r="X33" s="1859"/>
      <c r="Y33" s="1859"/>
      <c r="Z33" s="1859"/>
      <c r="AA33" s="1859"/>
      <c r="AB33" s="1859"/>
      <c r="AC33" s="1859"/>
      <c r="AD33" s="1859"/>
      <c r="AE33" s="1859"/>
      <c r="AF33" s="1859"/>
      <c r="AG33" s="1859"/>
      <c r="AH33" s="1859"/>
      <c r="AI33" s="1859"/>
      <c r="AJ33" s="1859"/>
      <c r="AK33" s="1859"/>
      <c r="AL33" s="1859"/>
      <c r="AM33" s="1859"/>
      <c r="AN33" s="1859"/>
      <c r="AO33" s="1859"/>
      <c r="AP33" s="1859"/>
      <c r="AQ33" s="1859"/>
      <c r="AR33" s="1859"/>
      <c r="AS33" s="1859"/>
      <c r="AT33" s="1859"/>
      <c r="AU33" s="1859"/>
      <c r="AV33" s="1859"/>
      <c r="AW33" s="1859"/>
      <c r="AX33" s="1859"/>
      <c r="AY33" s="1859"/>
      <c r="AZ33" s="1859"/>
      <c r="BA33" s="1859"/>
      <c r="BB33" s="1859"/>
      <c r="BC33" s="1859"/>
      <c r="BD33" s="1859"/>
      <c r="BE33" s="1859"/>
      <c r="BF33" s="1859"/>
      <c r="BG33" s="1859"/>
      <c r="BH33" s="1859"/>
      <c r="BI33" s="1859"/>
      <c r="BJ33" s="1859"/>
      <c r="BK33" s="1859"/>
      <c r="BL33" s="1859"/>
      <c r="BM33" s="1859"/>
      <c r="BN33" s="1859"/>
      <c r="BO33" s="1859"/>
      <c r="BP33" s="1859"/>
      <c r="BQ33" s="1859"/>
      <c r="BR33" s="1859"/>
      <c r="BS33" s="1859"/>
      <c r="BT33" s="1859"/>
      <c r="BU33" s="1859"/>
      <c r="BV33" s="1859"/>
      <c r="BW33" s="1859"/>
      <c r="BX33" s="1859"/>
      <c r="BY33" s="1859"/>
      <c r="BZ33" s="1859"/>
      <c r="CA33" s="1859"/>
      <c r="CB33" s="1859"/>
      <c r="CC33" s="1859"/>
      <c r="CD33" s="1859"/>
      <c r="CE33" s="1859"/>
      <c r="CF33" s="1859"/>
      <c r="CG33" s="1859"/>
      <c r="CH33" s="1859"/>
      <c r="CI33" s="1859"/>
      <c r="CJ33" s="1859"/>
      <c r="CK33" s="1859"/>
      <c r="CL33" s="1859"/>
      <c r="CM33" s="1859"/>
      <c r="CN33" s="1859"/>
      <c r="CO33" s="1859"/>
      <c r="CP33" s="1859"/>
      <c r="CQ33" s="1859"/>
      <c r="CR33" s="1859"/>
      <c r="CS33" s="1859"/>
      <c r="CT33" s="1859"/>
      <c r="CU33" s="1859"/>
      <c r="CV33" s="1859"/>
      <c r="CW33" s="1859"/>
      <c r="CX33" s="1859"/>
      <c r="CY33" s="1859"/>
      <c r="CZ33" s="1859"/>
      <c r="DA33" s="1859"/>
      <c r="DB33" s="1859"/>
      <c r="DC33" s="1859"/>
      <c r="DD33" s="1859"/>
      <c r="DE33" s="1859"/>
      <c r="DF33" s="1859"/>
      <c r="DG33" s="1859"/>
      <c r="DH33" s="1859"/>
      <c r="DI33" s="1859"/>
      <c r="DJ33" s="1859"/>
      <c r="DK33" s="1859"/>
      <c r="DL33" s="1859"/>
      <c r="DM33" s="1859"/>
      <c r="DN33" s="1859"/>
      <c r="DO33" s="1859"/>
      <c r="DP33" s="1859"/>
      <c r="DQ33" s="1859"/>
      <c r="DR33" s="1859"/>
      <c r="DS33" s="1859"/>
      <c r="DT33" s="1859"/>
      <c r="DU33" s="1859"/>
      <c r="DV33" s="1859"/>
      <c r="DW33" s="1859"/>
      <c r="DX33" s="1859"/>
      <c r="DY33" s="1859"/>
      <c r="DZ33" s="1859"/>
      <c r="EA33" s="1859"/>
      <c r="EB33" s="1859"/>
      <c r="EC33" s="1859"/>
      <c r="ED33" s="1859"/>
      <c r="EE33" s="1859"/>
      <c r="EF33" s="1859"/>
      <c r="EG33" s="1859"/>
      <c r="EH33" s="1859"/>
      <c r="EI33" s="1859"/>
      <c r="EJ33" s="1859"/>
      <c r="EK33" s="1859"/>
      <c r="EL33" s="1859"/>
      <c r="EM33" s="1859"/>
      <c r="EN33" s="1859"/>
      <c r="EO33" s="1859"/>
      <c r="EP33" s="1859"/>
      <c r="EQ33" s="1859"/>
      <c r="ER33" s="1859"/>
      <c r="ES33" s="1859"/>
      <c r="ET33" s="1859"/>
      <c r="EU33" s="1859"/>
      <c r="EV33" s="1859"/>
      <c r="EW33" s="1860"/>
      <c r="EX33" s="1861"/>
      <c r="EY33" s="1859"/>
      <c r="EZ33" s="1859"/>
      <c r="FA33" s="1859"/>
      <c r="FB33" s="1859"/>
      <c r="FC33" s="1859"/>
      <c r="FD33" s="1859"/>
      <c r="FE33" s="1859"/>
      <c r="FF33" s="1859"/>
      <c r="FG33" s="1859"/>
      <c r="FH33" s="1859"/>
      <c r="FI33" s="1859"/>
      <c r="FJ33" s="1859"/>
      <c r="FK33" s="1859"/>
      <c r="FL33" s="1859"/>
      <c r="FM33" s="1859"/>
      <c r="FN33" s="1859"/>
      <c r="FO33" s="1859"/>
      <c r="FP33" s="1859"/>
      <c r="FQ33" s="1859"/>
      <c r="FR33" s="1859"/>
      <c r="FS33" s="1859"/>
      <c r="FT33" s="1859"/>
      <c r="FU33" s="1859"/>
      <c r="FV33" s="1859"/>
      <c r="FW33" s="1859"/>
      <c r="FX33" s="1859"/>
      <c r="FY33" s="1859"/>
      <c r="FZ33" s="1859"/>
      <c r="GA33" s="1862"/>
      <c r="GB33" s="1859"/>
      <c r="GC33" s="1859"/>
      <c r="GD33" s="1859"/>
      <c r="GE33" s="1859"/>
      <c r="GF33" s="1859"/>
      <c r="GG33" s="1859"/>
      <c r="GH33" s="1859"/>
      <c r="GI33" s="1859"/>
      <c r="GJ33" s="1859"/>
      <c r="GK33" s="1859"/>
      <c r="GL33" s="1859"/>
      <c r="GM33" s="1859"/>
      <c r="GN33" s="1859"/>
      <c r="GO33" s="1859"/>
      <c r="GP33" s="1859"/>
      <c r="GQ33" s="1859"/>
      <c r="GR33" s="1859"/>
      <c r="GS33" s="1859"/>
      <c r="GT33" s="1859"/>
      <c r="GU33" s="1859"/>
      <c r="GV33" s="1859"/>
      <c r="GW33" s="1859"/>
      <c r="GX33" s="1859"/>
      <c r="GY33" s="1859"/>
      <c r="GZ33" s="1859"/>
      <c r="HA33" s="1859"/>
      <c r="HB33" s="1859"/>
      <c r="HC33" s="1859"/>
      <c r="HD33" s="1859"/>
      <c r="HE33" s="1859"/>
      <c r="HF33" s="1859"/>
      <c r="HG33" s="1859"/>
      <c r="HH33" s="1859"/>
      <c r="HI33" s="1859"/>
      <c r="HJ33" s="1863"/>
      <c r="HK33" s="1863"/>
      <c r="HL33" s="1863"/>
      <c r="HM33" s="1863"/>
      <c r="HN33" s="1863"/>
      <c r="HO33" s="1863"/>
      <c r="HP33" s="1863"/>
      <c r="HQ33" s="1863"/>
      <c r="HR33" s="1863"/>
      <c r="HS33" s="1863"/>
      <c r="HT33" s="1863"/>
      <c r="HU33" s="1863"/>
      <c r="HV33" s="1863"/>
      <c r="HW33" s="1863"/>
      <c r="HX33" s="1863"/>
      <c r="HY33" s="1863"/>
      <c r="HZ33" s="1863"/>
      <c r="IA33" s="1863"/>
      <c r="IB33" s="1863"/>
      <c r="IC33" s="1863"/>
      <c r="ID33" s="1864"/>
      <c r="IE33" s="1863"/>
      <c r="IF33" s="1863"/>
      <c r="IG33" s="1863"/>
      <c r="IH33" s="1863"/>
      <c r="II33" s="1863"/>
      <c r="IJ33" s="1863"/>
      <c r="IK33" s="1863"/>
      <c r="IL33" s="1863"/>
      <c r="IM33" s="1863"/>
      <c r="IN33" s="1863"/>
      <c r="IO33" s="1863"/>
      <c r="IP33" s="1863"/>
      <c r="IQ33" s="1863"/>
      <c r="IR33" s="1863"/>
      <c r="IS33" s="1863"/>
      <c r="IT33" s="1863"/>
      <c r="IU33" s="1863"/>
      <c r="IV33" s="1865"/>
      <c r="IW33" s="1863"/>
      <c r="IX33" s="1863"/>
      <c r="IY33" s="1863"/>
      <c r="IZ33" s="1863"/>
      <c r="JA33" s="1863"/>
      <c r="JB33" s="1863"/>
      <c r="JC33" s="1863"/>
      <c r="JD33" s="1863"/>
      <c r="JE33" s="1863"/>
      <c r="JF33" s="1863"/>
      <c r="JG33" s="1863"/>
      <c r="JH33" s="1863"/>
      <c r="JI33" s="1863"/>
      <c r="JJ33" s="1863"/>
      <c r="JK33" s="1863"/>
      <c r="JL33" s="1864"/>
      <c r="JM33" s="1864"/>
      <c r="JN33" s="1864"/>
      <c r="JO33" s="1864"/>
      <c r="JP33" s="1864"/>
      <c r="JQ33" s="1864"/>
      <c r="JR33" s="1864"/>
      <c r="JS33" s="1864"/>
      <c r="JT33" s="1864"/>
      <c r="JU33" s="1864"/>
      <c r="JV33" s="1864"/>
      <c r="JW33" s="1864"/>
      <c r="JX33" s="1864"/>
      <c r="JY33" s="1864"/>
      <c r="JZ33" s="1864"/>
      <c r="KA33" s="1864"/>
      <c r="KB33" s="1864"/>
      <c r="KC33" s="1864"/>
      <c r="KD33" s="1864"/>
      <c r="KE33" s="1864"/>
      <c r="KF33" s="1864"/>
      <c r="KG33" s="1864"/>
      <c r="KH33" s="1864"/>
      <c r="KI33" s="1864"/>
      <c r="KJ33" s="1863"/>
      <c r="KK33" s="1864"/>
      <c r="KL33" s="1863"/>
      <c r="KM33" s="1863"/>
      <c r="KN33" s="1863"/>
      <c r="KO33" s="1863"/>
      <c r="KP33" s="1863"/>
      <c r="KQ33" s="1866"/>
    </row>
    <row r="34" spans="1:304" s="1876" customFormat="1" ht="20.100000000000001" hidden="1" customHeight="1" outlineLevel="1">
      <c r="A34" s="1892"/>
      <c r="B34" s="1870"/>
      <c r="C34" s="1871"/>
      <c r="D34" s="1871"/>
      <c r="E34" s="1862"/>
      <c r="F34" s="1862"/>
      <c r="G34" s="1862"/>
      <c r="H34" s="1862"/>
      <c r="I34" s="1862"/>
      <c r="J34" s="1862"/>
      <c r="K34" s="1862"/>
      <c r="L34" s="1862"/>
      <c r="M34" s="1862"/>
      <c r="N34" s="1862"/>
      <c r="O34" s="1862"/>
      <c r="P34" s="1862"/>
      <c r="Q34" s="1862"/>
      <c r="R34" s="1862"/>
      <c r="S34" s="1862"/>
      <c r="T34" s="1862"/>
      <c r="U34" s="1862"/>
      <c r="V34" s="1862"/>
      <c r="W34" s="1862"/>
      <c r="X34" s="1862"/>
      <c r="Y34" s="1862"/>
      <c r="Z34" s="1862"/>
      <c r="AA34" s="1862"/>
      <c r="AB34" s="1862"/>
      <c r="AC34" s="1862"/>
      <c r="AD34" s="1862"/>
      <c r="AE34" s="1862"/>
      <c r="AF34" s="1859"/>
      <c r="AG34" s="1862"/>
      <c r="AH34" s="1862"/>
      <c r="AI34" s="1862"/>
      <c r="AJ34" s="1859"/>
      <c r="AK34" s="1862"/>
      <c r="AL34" s="1862"/>
      <c r="AM34" s="1862"/>
      <c r="AN34" s="1862"/>
      <c r="AO34" s="1862"/>
      <c r="AP34" s="1862"/>
      <c r="AQ34" s="1862"/>
      <c r="AR34" s="1862"/>
      <c r="AS34" s="1862"/>
      <c r="AT34" s="1862"/>
      <c r="AU34" s="1862"/>
      <c r="AV34" s="1862"/>
      <c r="AW34" s="1862"/>
      <c r="AX34" s="1862"/>
      <c r="AY34" s="1862"/>
      <c r="AZ34" s="1862"/>
      <c r="BA34" s="1862"/>
      <c r="BB34" s="1862"/>
      <c r="BC34" s="1862"/>
      <c r="BD34" s="1862"/>
      <c r="BE34" s="1862"/>
      <c r="BF34" s="1862"/>
      <c r="BG34" s="1862"/>
      <c r="BH34" s="1862"/>
      <c r="BI34" s="1862"/>
      <c r="BJ34" s="1862"/>
      <c r="BK34" s="1862"/>
      <c r="BL34" s="1862"/>
      <c r="BM34" s="1862"/>
      <c r="BN34" s="1862"/>
      <c r="BO34" s="1862"/>
      <c r="BP34" s="1862"/>
      <c r="BQ34" s="1862"/>
      <c r="BR34" s="1862"/>
      <c r="BS34" s="1862"/>
      <c r="BT34" s="1862"/>
      <c r="BU34" s="1862"/>
      <c r="BV34" s="1862"/>
      <c r="BW34" s="1862"/>
      <c r="BX34" s="1862"/>
      <c r="BY34" s="1862"/>
      <c r="BZ34" s="1862"/>
      <c r="CA34" s="1862"/>
      <c r="CB34" s="1862"/>
      <c r="CC34" s="1862"/>
      <c r="CD34" s="1862"/>
      <c r="CE34" s="1862"/>
      <c r="CF34" s="1862"/>
      <c r="CG34" s="1862"/>
      <c r="CH34" s="1862"/>
      <c r="CI34" s="1862"/>
      <c r="CJ34" s="1862"/>
      <c r="CK34" s="1862"/>
      <c r="CL34" s="1862"/>
      <c r="CM34" s="1862"/>
      <c r="CN34" s="1862"/>
      <c r="CO34" s="1862"/>
      <c r="CP34" s="1862"/>
      <c r="CQ34" s="1862"/>
      <c r="CR34" s="1862"/>
      <c r="CS34" s="1862"/>
      <c r="CT34" s="1862"/>
      <c r="CU34" s="1862"/>
      <c r="CV34" s="1862"/>
      <c r="CW34" s="1862"/>
      <c r="CX34" s="1862"/>
      <c r="CY34" s="1862"/>
      <c r="CZ34" s="1862"/>
      <c r="DA34" s="1862"/>
      <c r="DB34" s="1862"/>
      <c r="DC34" s="1862"/>
      <c r="DD34" s="1862"/>
      <c r="DE34" s="1862"/>
      <c r="DF34" s="1862"/>
      <c r="DG34" s="1862"/>
      <c r="DH34" s="1862"/>
      <c r="DI34" s="1862"/>
      <c r="DJ34" s="1862"/>
      <c r="DK34" s="1862"/>
      <c r="DL34" s="1862"/>
      <c r="DM34" s="1862"/>
      <c r="DN34" s="1862"/>
      <c r="DO34" s="1862"/>
      <c r="DP34" s="1862"/>
      <c r="DQ34" s="1862"/>
      <c r="DR34" s="1862"/>
      <c r="DS34" s="1862"/>
      <c r="DT34" s="1862"/>
      <c r="DU34" s="1862"/>
      <c r="DV34" s="1862"/>
      <c r="DW34" s="1862"/>
      <c r="DX34" s="1862"/>
      <c r="DY34" s="1862"/>
      <c r="DZ34" s="1862"/>
      <c r="EA34" s="1862"/>
      <c r="EB34" s="1862"/>
      <c r="EC34" s="1862"/>
      <c r="ED34" s="1862"/>
      <c r="EE34" s="1862"/>
      <c r="EF34" s="1862"/>
      <c r="EG34" s="1862"/>
      <c r="EH34" s="1862"/>
      <c r="EI34" s="1862"/>
      <c r="EJ34" s="1862"/>
      <c r="EK34" s="1862"/>
      <c r="EL34" s="1862"/>
      <c r="EM34" s="1862"/>
      <c r="EN34" s="1862"/>
      <c r="EO34" s="1862"/>
      <c r="EP34" s="1862"/>
      <c r="EQ34" s="1862"/>
      <c r="ER34" s="1862"/>
      <c r="ES34" s="1862"/>
      <c r="ET34" s="1862"/>
      <c r="EU34" s="1862"/>
      <c r="EV34" s="1862"/>
      <c r="EW34" s="1872"/>
      <c r="EX34" s="1873"/>
      <c r="EY34" s="1862"/>
      <c r="EZ34" s="1862"/>
      <c r="FA34" s="1862"/>
      <c r="FB34" s="1862"/>
      <c r="FC34" s="1862"/>
      <c r="FD34" s="1862"/>
      <c r="FE34" s="1862"/>
      <c r="FF34" s="1862"/>
      <c r="FG34" s="1862"/>
      <c r="FH34" s="1862"/>
      <c r="FI34" s="1862"/>
      <c r="FJ34" s="1862"/>
      <c r="FK34" s="1862"/>
      <c r="FL34" s="1862"/>
      <c r="FM34" s="1862"/>
      <c r="FN34" s="1859"/>
      <c r="FO34" s="1862"/>
      <c r="FP34" s="1862"/>
      <c r="FQ34" s="1862"/>
      <c r="FR34" s="1862"/>
      <c r="FS34" s="1862"/>
      <c r="FT34" s="1862"/>
      <c r="FU34" s="1862"/>
      <c r="FV34" s="1862"/>
      <c r="FW34" s="1862"/>
      <c r="FX34" s="1862"/>
      <c r="FY34" s="1862"/>
      <c r="FZ34" s="1862"/>
      <c r="GA34" s="1862"/>
      <c r="GB34" s="1862"/>
      <c r="GC34" s="1862"/>
      <c r="GD34" s="1862"/>
      <c r="GE34" s="1862"/>
      <c r="GF34" s="1862"/>
      <c r="GG34" s="1862"/>
      <c r="GH34" s="1862"/>
      <c r="GI34" s="1862"/>
      <c r="GJ34" s="1862"/>
      <c r="GK34" s="1862"/>
      <c r="GL34" s="1862"/>
      <c r="GM34" s="1862"/>
      <c r="GN34" s="1862"/>
      <c r="GO34" s="1862"/>
      <c r="GP34" s="1862"/>
      <c r="GQ34" s="1862"/>
      <c r="GR34" s="1862"/>
      <c r="GS34" s="1862"/>
      <c r="GT34" s="1862"/>
      <c r="GU34" s="1862"/>
      <c r="GV34" s="1862"/>
      <c r="GW34" s="1862"/>
      <c r="GX34" s="1862"/>
      <c r="GY34" s="1862"/>
      <c r="GZ34" s="1862"/>
      <c r="HA34" s="1862"/>
      <c r="HB34" s="1862"/>
      <c r="HC34" s="1862"/>
      <c r="HD34" s="1862"/>
      <c r="HE34" s="1862"/>
      <c r="HF34" s="1862"/>
      <c r="HG34" s="1862"/>
      <c r="HH34" s="1862"/>
      <c r="HI34" s="1862"/>
      <c r="HJ34" s="1865"/>
      <c r="HK34" s="1865"/>
      <c r="HL34" s="1865"/>
      <c r="HM34" s="1865"/>
      <c r="HN34" s="1865"/>
      <c r="HO34" s="1865"/>
      <c r="HP34" s="1865"/>
      <c r="HQ34" s="1865"/>
      <c r="HR34" s="1865"/>
      <c r="HS34" s="1865"/>
      <c r="HT34" s="1865"/>
      <c r="HU34" s="1865"/>
      <c r="HV34" s="1865"/>
      <c r="HW34" s="1865"/>
      <c r="HX34" s="1865"/>
      <c r="HY34" s="1865"/>
      <c r="HZ34" s="1865"/>
      <c r="IA34" s="1865"/>
      <c r="IB34" s="1865"/>
      <c r="IC34" s="1865"/>
      <c r="ID34" s="1874"/>
      <c r="IE34" s="1865"/>
      <c r="IF34" s="1865"/>
      <c r="IG34" s="1865"/>
      <c r="IH34" s="1865"/>
      <c r="II34" s="1865"/>
      <c r="IJ34" s="1863"/>
      <c r="IK34" s="1865"/>
      <c r="IL34" s="1865"/>
      <c r="IM34" s="1865"/>
      <c r="IN34" s="1865"/>
      <c r="IO34" s="1865"/>
      <c r="IP34" s="1865"/>
      <c r="IQ34" s="1865"/>
      <c r="IR34" s="1865"/>
      <c r="IS34" s="1865"/>
      <c r="IT34" s="1865"/>
      <c r="IU34" s="1865"/>
      <c r="IV34" s="1865"/>
      <c r="IW34" s="1865"/>
      <c r="IX34" s="1865"/>
      <c r="IY34" s="1865"/>
      <c r="IZ34" s="1865"/>
      <c r="JA34" s="1865"/>
      <c r="JB34" s="1865"/>
      <c r="JC34" s="1865"/>
      <c r="JD34" s="1865"/>
      <c r="JE34" s="1865"/>
      <c r="JF34" s="1865"/>
      <c r="JG34" s="1865"/>
      <c r="JH34" s="1865"/>
      <c r="JI34" s="1865"/>
      <c r="JJ34" s="1865"/>
      <c r="JK34" s="1865"/>
      <c r="JL34" s="1874"/>
      <c r="JM34" s="1874"/>
      <c r="JN34" s="1874"/>
      <c r="JO34" s="1874"/>
      <c r="JP34" s="1874"/>
      <c r="JQ34" s="1874"/>
      <c r="JR34" s="1874"/>
      <c r="JS34" s="1874"/>
      <c r="JT34" s="1874"/>
      <c r="JU34" s="1874"/>
      <c r="JV34" s="1874"/>
      <c r="JW34" s="1874"/>
      <c r="JX34" s="1874"/>
      <c r="JY34" s="1874"/>
      <c r="JZ34" s="1874"/>
      <c r="KA34" s="1874"/>
      <c r="KB34" s="1874"/>
      <c r="KC34" s="1874"/>
      <c r="KD34" s="1874"/>
      <c r="KE34" s="1874"/>
      <c r="KF34" s="1874"/>
      <c r="KG34" s="1874"/>
      <c r="KH34" s="1874"/>
      <c r="KI34" s="1874"/>
      <c r="KJ34" s="1865"/>
      <c r="KK34" s="1874"/>
      <c r="KL34" s="1865"/>
      <c r="KM34" s="1865"/>
      <c r="KN34" s="1865"/>
      <c r="KO34" s="1865"/>
      <c r="KP34" s="1865"/>
      <c r="KQ34" s="1875"/>
      <c r="KR34" s="1867"/>
    </row>
    <row r="35" spans="1:304" s="1867" customFormat="1" ht="20.100000000000001" hidden="1" customHeight="1" outlineLevel="1">
      <c r="A35" s="1857"/>
      <c r="B35" s="1857"/>
      <c r="C35" s="1858"/>
      <c r="D35" s="1858"/>
      <c r="E35" s="1859"/>
      <c r="F35" s="1859"/>
      <c r="G35" s="1859"/>
      <c r="H35" s="1859"/>
      <c r="I35" s="1859"/>
      <c r="J35" s="1859"/>
      <c r="K35" s="1859"/>
      <c r="L35" s="1859"/>
      <c r="M35" s="1859"/>
      <c r="N35" s="1859"/>
      <c r="O35" s="1859"/>
      <c r="P35" s="1859"/>
      <c r="Q35" s="1859"/>
      <c r="R35" s="1859"/>
      <c r="S35" s="1859"/>
      <c r="T35" s="1859"/>
      <c r="U35" s="1859"/>
      <c r="V35" s="1859"/>
      <c r="W35" s="1859"/>
      <c r="X35" s="1859"/>
      <c r="Y35" s="1859"/>
      <c r="Z35" s="1859"/>
      <c r="AA35" s="1859"/>
      <c r="AB35" s="1859"/>
      <c r="AC35" s="1859"/>
      <c r="AD35" s="1859"/>
      <c r="AE35" s="1859"/>
      <c r="AF35" s="1859"/>
      <c r="AG35" s="1859"/>
      <c r="AH35" s="1859"/>
      <c r="AI35" s="1859"/>
      <c r="AJ35" s="1859"/>
      <c r="AK35" s="1859"/>
      <c r="AL35" s="1859"/>
      <c r="AM35" s="1859"/>
      <c r="AN35" s="1859"/>
      <c r="AO35" s="1859"/>
      <c r="AP35" s="1859"/>
      <c r="AQ35" s="1859"/>
      <c r="AR35" s="1859"/>
      <c r="AS35" s="1859"/>
      <c r="AT35" s="1859"/>
      <c r="AU35" s="1859"/>
      <c r="AV35" s="1859"/>
      <c r="AW35" s="1859"/>
      <c r="AX35" s="1859"/>
      <c r="AY35" s="1859"/>
      <c r="AZ35" s="1859"/>
      <c r="BA35" s="1859"/>
      <c r="BB35" s="1859"/>
      <c r="BC35" s="1859"/>
      <c r="BD35" s="1859"/>
      <c r="BE35" s="1859"/>
      <c r="BF35" s="1859"/>
      <c r="BG35" s="1859"/>
      <c r="BH35" s="1859"/>
      <c r="BI35" s="1859"/>
      <c r="BJ35" s="1859"/>
      <c r="BK35" s="1859"/>
      <c r="BL35" s="1859"/>
      <c r="BM35" s="1859"/>
      <c r="BN35" s="1859"/>
      <c r="BO35" s="1859"/>
      <c r="BP35" s="1859"/>
      <c r="BQ35" s="1859"/>
      <c r="BR35" s="1859"/>
      <c r="BS35" s="1859"/>
      <c r="BT35" s="1859"/>
      <c r="BU35" s="1859"/>
      <c r="BV35" s="1859"/>
      <c r="BW35" s="1859"/>
      <c r="BX35" s="1859"/>
      <c r="BY35" s="1859"/>
      <c r="BZ35" s="1859"/>
      <c r="CA35" s="1859"/>
      <c r="CB35" s="1859"/>
      <c r="CC35" s="1859"/>
      <c r="CD35" s="1859"/>
      <c r="CE35" s="1859"/>
      <c r="CF35" s="1859"/>
      <c r="CG35" s="1859"/>
      <c r="CH35" s="1859"/>
      <c r="CI35" s="1859"/>
      <c r="CJ35" s="1859"/>
      <c r="CK35" s="1859"/>
      <c r="CL35" s="1859"/>
      <c r="CM35" s="1859"/>
      <c r="CN35" s="1859"/>
      <c r="CO35" s="1859"/>
      <c r="CP35" s="1859"/>
      <c r="CQ35" s="1859"/>
      <c r="CR35" s="1859"/>
      <c r="CS35" s="1859"/>
      <c r="CT35" s="1859"/>
      <c r="CU35" s="1859"/>
      <c r="CV35" s="1859"/>
      <c r="CW35" s="1859"/>
      <c r="CX35" s="1859"/>
      <c r="CY35" s="1859"/>
      <c r="CZ35" s="1859"/>
      <c r="DA35" s="1859"/>
      <c r="DB35" s="1859"/>
      <c r="DC35" s="1859"/>
      <c r="DD35" s="1859"/>
      <c r="DE35" s="1859"/>
      <c r="DF35" s="1859"/>
      <c r="DG35" s="1859"/>
      <c r="DH35" s="1859"/>
      <c r="DI35" s="1859"/>
      <c r="DJ35" s="1859"/>
      <c r="DK35" s="1859"/>
      <c r="DL35" s="1859"/>
      <c r="DM35" s="1859"/>
      <c r="DN35" s="1859"/>
      <c r="DO35" s="1859"/>
      <c r="DP35" s="1859"/>
      <c r="DQ35" s="1859"/>
      <c r="DR35" s="1859"/>
      <c r="DS35" s="1859"/>
      <c r="DT35" s="1859"/>
      <c r="DU35" s="1859"/>
      <c r="DV35" s="1859"/>
      <c r="DW35" s="1859"/>
      <c r="DX35" s="1859"/>
      <c r="DY35" s="1859"/>
      <c r="DZ35" s="1859"/>
      <c r="EA35" s="1859"/>
      <c r="EB35" s="1859"/>
      <c r="EC35" s="1859"/>
      <c r="ED35" s="1859"/>
      <c r="EE35" s="1859"/>
      <c r="EF35" s="1859"/>
      <c r="EG35" s="1859"/>
      <c r="EH35" s="1859"/>
      <c r="EI35" s="1859"/>
      <c r="EJ35" s="1859"/>
      <c r="EK35" s="1859"/>
      <c r="EL35" s="1859"/>
      <c r="EM35" s="1859"/>
      <c r="EN35" s="1859"/>
      <c r="EO35" s="1859"/>
      <c r="EP35" s="1859"/>
      <c r="EQ35" s="1859"/>
      <c r="ER35" s="1859"/>
      <c r="ES35" s="1859"/>
      <c r="ET35" s="1859"/>
      <c r="EU35" s="1859"/>
      <c r="EV35" s="1859"/>
      <c r="EW35" s="1860"/>
      <c r="EX35" s="1861"/>
      <c r="EY35" s="1859"/>
      <c r="EZ35" s="1859"/>
      <c r="FA35" s="1859"/>
      <c r="FB35" s="1859"/>
      <c r="FC35" s="1859"/>
      <c r="FD35" s="1859"/>
      <c r="FE35" s="1859"/>
      <c r="FF35" s="1859"/>
      <c r="FG35" s="1859"/>
      <c r="FH35" s="1859"/>
      <c r="FI35" s="1859"/>
      <c r="FJ35" s="1859"/>
      <c r="FK35" s="1859"/>
      <c r="FL35" s="1859"/>
      <c r="FM35" s="1859"/>
      <c r="FN35" s="1859"/>
      <c r="FO35" s="1859"/>
      <c r="FP35" s="1859"/>
      <c r="FQ35" s="1859"/>
      <c r="FR35" s="1859"/>
      <c r="FS35" s="1859"/>
      <c r="FT35" s="1859"/>
      <c r="FU35" s="1859"/>
      <c r="FV35" s="1859"/>
      <c r="FW35" s="1859"/>
      <c r="FX35" s="1859"/>
      <c r="FY35" s="1859"/>
      <c r="FZ35" s="1859"/>
      <c r="GA35" s="1862"/>
      <c r="GB35" s="1859"/>
      <c r="GC35" s="1859"/>
      <c r="GD35" s="1859"/>
      <c r="GE35" s="1859"/>
      <c r="GF35" s="1859"/>
      <c r="GG35" s="1859"/>
      <c r="GH35" s="1859"/>
      <c r="GI35" s="1859"/>
      <c r="GJ35" s="1859"/>
      <c r="GK35" s="1859"/>
      <c r="GL35" s="1859"/>
      <c r="GM35" s="1859"/>
      <c r="GN35" s="1859"/>
      <c r="GO35" s="1859"/>
      <c r="GP35" s="1859"/>
      <c r="GQ35" s="1859"/>
      <c r="GR35" s="1859"/>
      <c r="GS35" s="1859"/>
      <c r="GT35" s="1859"/>
      <c r="GU35" s="1859"/>
      <c r="GV35" s="1859"/>
      <c r="GW35" s="1859"/>
      <c r="GX35" s="1859"/>
      <c r="GY35" s="1859"/>
      <c r="GZ35" s="1859"/>
      <c r="HA35" s="1859"/>
      <c r="HB35" s="1859"/>
      <c r="HC35" s="1859"/>
      <c r="HD35" s="1859"/>
      <c r="HE35" s="1859"/>
      <c r="HF35" s="1859"/>
      <c r="HG35" s="1859"/>
      <c r="HH35" s="1859"/>
      <c r="HI35" s="1859"/>
      <c r="HJ35" s="1863"/>
      <c r="HK35" s="1863"/>
      <c r="HL35" s="1863"/>
      <c r="HM35" s="1863"/>
      <c r="HN35" s="1863"/>
      <c r="HO35" s="1863"/>
      <c r="HP35" s="1863"/>
      <c r="HQ35" s="1863"/>
      <c r="HR35" s="1863"/>
      <c r="HS35" s="1863"/>
      <c r="HT35" s="1863"/>
      <c r="HU35" s="1863"/>
      <c r="HV35" s="1863"/>
      <c r="HW35" s="1863"/>
      <c r="HX35" s="1863"/>
      <c r="HY35" s="1863"/>
      <c r="HZ35" s="1863"/>
      <c r="IA35" s="1863"/>
      <c r="IB35" s="1863"/>
      <c r="IC35" s="1863"/>
      <c r="ID35" s="1864"/>
      <c r="IE35" s="1863"/>
      <c r="IF35" s="1863"/>
      <c r="IG35" s="1863"/>
      <c r="IH35" s="1863"/>
      <c r="II35" s="1863"/>
      <c r="IJ35" s="1863"/>
      <c r="IK35" s="1863"/>
      <c r="IL35" s="1863"/>
      <c r="IM35" s="1863"/>
      <c r="IN35" s="1863"/>
      <c r="IO35" s="1863"/>
      <c r="IP35" s="1863"/>
      <c r="IQ35" s="1863"/>
      <c r="IR35" s="1863"/>
      <c r="IS35" s="1863"/>
      <c r="IT35" s="1863"/>
      <c r="IU35" s="1863"/>
      <c r="IV35" s="1865"/>
      <c r="IW35" s="1863"/>
      <c r="IX35" s="1863"/>
      <c r="IY35" s="1863"/>
      <c r="IZ35" s="1863"/>
      <c r="JA35" s="1863"/>
      <c r="JB35" s="1863"/>
      <c r="JC35" s="1863"/>
      <c r="JD35" s="1863"/>
      <c r="JE35" s="1863"/>
      <c r="JF35" s="1863"/>
      <c r="JG35" s="1863"/>
      <c r="JH35" s="1863"/>
      <c r="JI35" s="1863"/>
      <c r="JJ35" s="1863"/>
      <c r="JK35" s="1863"/>
      <c r="JL35" s="1864"/>
      <c r="JM35" s="1864"/>
      <c r="JN35" s="1864"/>
      <c r="JO35" s="1864"/>
      <c r="JP35" s="1864"/>
      <c r="JQ35" s="1864"/>
      <c r="JR35" s="1864"/>
      <c r="JS35" s="1864"/>
      <c r="JT35" s="1864"/>
      <c r="JU35" s="1864"/>
      <c r="JV35" s="1864"/>
      <c r="JW35" s="1864"/>
      <c r="JX35" s="1864"/>
      <c r="JY35" s="1864"/>
      <c r="JZ35" s="1864"/>
      <c r="KA35" s="1864"/>
      <c r="KB35" s="1864"/>
      <c r="KC35" s="1864"/>
      <c r="KD35" s="1864"/>
      <c r="KE35" s="1864"/>
      <c r="KF35" s="1864"/>
      <c r="KG35" s="1864"/>
      <c r="KH35" s="1864"/>
      <c r="KI35" s="1864"/>
      <c r="KJ35" s="1863"/>
      <c r="KK35" s="1864"/>
      <c r="KL35" s="1863"/>
      <c r="KM35" s="1863"/>
      <c r="KN35" s="1863"/>
      <c r="KO35" s="1863"/>
      <c r="KP35" s="1863"/>
      <c r="KQ35" s="1866"/>
    </row>
    <row r="36" spans="1:304" s="1876" customFormat="1" ht="20.100000000000001" hidden="1" customHeight="1" outlineLevel="1">
      <c r="A36" s="1892"/>
      <c r="B36" s="1870"/>
      <c r="C36" s="1871"/>
      <c r="D36" s="1871"/>
      <c r="E36" s="1862"/>
      <c r="F36" s="1862"/>
      <c r="G36" s="1862"/>
      <c r="H36" s="1862"/>
      <c r="I36" s="1862"/>
      <c r="J36" s="1862"/>
      <c r="K36" s="1862"/>
      <c r="L36" s="1862"/>
      <c r="M36" s="1862"/>
      <c r="N36" s="1862"/>
      <c r="O36" s="1862"/>
      <c r="P36" s="1862"/>
      <c r="Q36" s="1862"/>
      <c r="R36" s="1862"/>
      <c r="S36" s="1862"/>
      <c r="T36" s="1862"/>
      <c r="U36" s="1862"/>
      <c r="V36" s="1862"/>
      <c r="W36" s="1862"/>
      <c r="X36" s="1862"/>
      <c r="Y36" s="1862"/>
      <c r="Z36" s="1862"/>
      <c r="AA36" s="1862"/>
      <c r="AB36" s="1862"/>
      <c r="AC36" s="1862"/>
      <c r="AD36" s="1862"/>
      <c r="AE36" s="1862"/>
      <c r="AF36" s="1859"/>
      <c r="AG36" s="1862"/>
      <c r="AH36" s="1862"/>
      <c r="AI36" s="1862"/>
      <c r="AJ36" s="1859"/>
      <c r="AK36" s="1862"/>
      <c r="AL36" s="1862"/>
      <c r="AM36" s="1862"/>
      <c r="AN36" s="1862"/>
      <c r="AO36" s="1862"/>
      <c r="AP36" s="1862"/>
      <c r="AQ36" s="1862"/>
      <c r="AR36" s="1862"/>
      <c r="AS36" s="1862"/>
      <c r="AT36" s="1862"/>
      <c r="AU36" s="1862"/>
      <c r="AV36" s="1862"/>
      <c r="AW36" s="1862"/>
      <c r="AX36" s="1862"/>
      <c r="AY36" s="1862"/>
      <c r="AZ36" s="1862"/>
      <c r="BA36" s="1862"/>
      <c r="BB36" s="1862"/>
      <c r="BC36" s="1862"/>
      <c r="BD36" s="1862"/>
      <c r="BE36" s="1862"/>
      <c r="BF36" s="1862"/>
      <c r="BG36" s="1862"/>
      <c r="BH36" s="1862"/>
      <c r="BI36" s="1862"/>
      <c r="BJ36" s="1862"/>
      <c r="BK36" s="1862"/>
      <c r="BL36" s="1862"/>
      <c r="BM36" s="1862"/>
      <c r="BN36" s="1862"/>
      <c r="BO36" s="1862"/>
      <c r="BP36" s="1862"/>
      <c r="BQ36" s="1862"/>
      <c r="BR36" s="1862"/>
      <c r="BS36" s="1862"/>
      <c r="BT36" s="1862"/>
      <c r="BU36" s="1862"/>
      <c r="BV36" s="1862"/>
      <c r="BW36" s="1862"/>
      <c r="BX36" s="1862"/>
      <c r="BY36" s="1862"/>
      <c r="BZ36" s="1862"/>
      <c r="CA36" s="1862"/>
      <c r="CB36" s="1862"/>
      <c r="CC36" s="1862"/>
      <c r="CD36" s="1862"/>
      <c r="CE36" s="1862"/>
      <c r="CF36" s="1862"/>
      <c r="CG36" s="1862"/>
      <c r="CH36" s="1862"/>
      <c r="CI36" s="1862"/>
      <c r="CJ36" s="1862"/>
      <c r="CK36" s="1862"/>
      <c r="CL36" s="1862"/>
      <c r="CM36" s="1862"/>
      <c r="CN36" s="1862"/>
      <c r="CO36" s="1862"/>
      <c r="CP36" s="1862"/>
      <c r="CQ36" s="1862"/>
      <c r="CR36" s="1862"/>
      <c r="CS36" s="1862"/>
      <c r="CT36" s="1862"/>
      <c r="CU36" s="1862"/>
      <c r="CV36" s="1862"/>
      <c r="CW36" s="1862"/>
      <c r="CX36" s="1862"/>
      <c r="CY36" s="1862"/>
      <c r="CZ36" s="1862"/>
      <c r="DA36" s="1862"/>
      <c r="DB36" s="1862"/>
      <c r="DC36" s="1862"/>
      <c r="DD36" s="1862"/>
      <c r="DE36" s="1862"/>
      <c r="DF36" s="1862"/>
      <c r="DG36" s="1862"/>
      <c r="DH36" s="1862"/>
      <c r="DI36" s="1862"/>
      <c r="DJ36" s="1862"/>
      <c r="DK36" s="1862"/>
      <c r="DL36" s="1862"/>
      <c r="DM36" s="1862"/>
      <c r="DN36" s="1862"/>
      <c r="DO36" s="1862"/>
      <c r="DP36" s="1862"/>
      <c r="DQ36" s="1862"/>
      <c r="DR36" s="1862"/>
      <c r="DS36" s="1862"/>
      <c r="DT36" s="1862"/>
      <c r="DU36" s="1862"/>
      <c r="DV36" s="1862"/>
      <c r="DW36" s="1862"/>
      <c r="DX36" s="1862"/>
      <c r="DY36" s="1862"/>
      <c r="DZ36" s="1862"/>
      <c r="EA36" s="1862"/>
      <c r="EB36" s="1862"/>
      <c r="EC36" s="1862"/>
      <c r="ED36" s="1862"/>
      <c r="EE36" s="1862"/>
      <c r="EF36" s="1862"/>
      <c r="EG36" s="1862"/>
      <c r="EH36" s="1862"/>
      <c r="EI36" s="1862"/>
      <c r="EJ36" s="1862"/>
      <c r="EK36" s="1862"/>
      <c r="EL36" s="1862"/>
      <c r="EM36" s="1862"/>
      <c r="EN36" s="1862"/>
      <c r="EO36" s="1862"/>
      <c r="EP36" s="1862"/>
      <c r="EQ36" s="1862"/>
      <c r="ER36" s="1862"/>
      <c r="ES36" s="1862"/>
      <c r="ET36" s="1862"/>
      <c r="EU36" s="1862"/>
      <c r="EV36" s="1862"/>
      <c r="EW36" s="1872"/>
      <c r="EX36" s="1873"/>
      <c r="EY36" s="1862"/>
      <c r="EZ36" s="1862"/>
      <c r="FA36" s="1862"/>
      <c r="FB36" s="1862"/>
      <c r="FC36" s="1862"/>
      <c r="FD36" s="1862"/>
      <c r="FE36" s="1862"/>
      <c r="FF36" s="1862"/>
      <c r="FG36" s="1862"/>
      <c r="FH36" s="1862"/>
      <c r="FI36" s="1862"/>
      <c r="FJ36" s="1862"/>
      <c r="FK36" s="1862"/>
      <c r="FL36" s="1862"/>
      <c r="FM36" s="1862"/>
      <c r="FN36" s="1859"/>
      <c r="FO36" s="1862"/>
      <c r="FP36" s="1862"/>
      <c r="FQ36" s="1862"/>
      <c r="FR36" s="1862"/>
      <c r="FS36" s="1862"/>
      <c r="FT36" s="1862"/>
      <c r="FU36" s="1862"/>
      <c r="FV36" s="1862"/>
      <c r="FW36" s="1862"/>
      <c r="FX36" s="1862"/>
      <c r="FY36" s="1862"/>
      <c r="FZ36" s="1862"/>
      <c r="GA36" s="1862"/>
      <c r="GB36" s="1862"/>
      <c r="GC36" s="1862"/>
      <c r="GD36" s="1862"/>
      <c r="GE36" s="1862"/>
      <c r="GF36" s="1862"/>
      <c r="GG36" s="1862"/>
      <c r="GH36" s="1862"/>
      <c r="GI36" s="1862"/>
      <c r="GJ36" s="1862"/>
      <c r="GK36" s="1862"/>
      <c r="GL36" s="1862"/>
      <c r="GM36" s="1862"/>
      <c r="GN36" s="1862"/>
      <c r="GO36" s="1862"/>
      <c r="GP36" s="1862"/>
      <c r="GQ36" s="1862"/>
      <c r="GR36" s="1862"/>
      <c r="GS36" s="1862"/>
      <c r="GT36" s="1862"/>
      <c r="GU36" s="1862"/>
      <c r="GV36" s="1862"/>
      <c r="GW36" s="1862"/>
      <c r="GX36" s="1862"/>
      <c r="GY36" s="1862"/>
      <c r="GZ36" s="1862"/>
      <c r="HA36" s="1862"/>
      <c r="HB36" s="1862"/>
      <c r="HC36" s="1862"/>
      <c r="HD36" s="1862"/>
      <c r="HE36" s="1862"/>
      <c r="HF36" s="1862"/>
      <c r="HG36" s="1862"/>
      <c r="HH36" s="1862"/>
      <c r="HI36" s="1862"/>
      <c r="HJ36" s="1865"/>
      <c r="HK36" s="1865"/>
      <c r="HL36" s="1865"/>
      <c r="HM36" s="1865"/>
      <c r="HN36" s="1865"/>
      <c r="HO36" s="1865"/>
      <c r="HP36" s="1865"/>
      <c r="HQ36" s="1865"/>
      <c r="HR36" s="1865"/>
      <c r="HS36" s="1865"/>
      <c r="HT36" s="1865"/>
      <c r="HU36" s="1865"/>
      <c r="HV36" s="1865"/>
      <c r="HW36" s="1865"/>
      <c r="HX36" s="1865"/>
      <c r="HY36" s="1865"/>
      <c r="HZ36" s="1865"/>
      <c r="IA36" s="1865"/>
      <c r="IB36" s="1865"/>
      <c r="IC36" s="1865"/>
      <c r="ID36" s="1874"/>
      <c r="IE36" s="1865"/>
      <c r="IF36" s="1865"/>
      <c r="IG36" s="1865"/>
      <c r="IH36" s="1865"/>
      <c r="II36" s="1865"/>
      <c r="IJ36" s="1863"/>
      <c r="IK36" s="1865"/>
      <c r="IL36" s="1865"/>
      <c r="IM36" s="1865"/>
      <c r="IN36" s="1865"/>
      <c r="IO36" s="1865"/>
      <c r="IP36" s="1865"/>
      <c r="IQ36" s="1865"/>
      <c r="IR36" s="1865"/>
      <c r="IS36" s="1865"/>
      <c r="IT36" s="1865"/>
      <c r="IU36" s="1865"/>
      <c r="IV36" s="1865"/>
      <c r="IW36" s="1865"/>
      <c r="IX36" s="1865"/>
      <c r="IY36" s="1865"/>
      <c r="IZ36" s="1865"/>
      <c r="JA36" s="1865"/>
      <c r="JB36" s="1865"/>
      <c r="JC36" s="1865"/>
      <c r="JD36" s="1865"/>
      <c r="JE36" s="1865"/>
      <c r="JF36" s="1865"/>
      <c r="JG36" s="1865"/>
      <c r="JH36" s="1865"/>
      <c r="JI36" s="1865"/>
      <c r="JJ36" s="1865"/>
      <c r="JK36" s="1865"/>
      <c r="JL36" s="1874"/>
      <c r="JM36" s="1874"/>
      <c r="JN36" s="1874"/>
      <c r="JO36" s="1874"/>
      <c r="JP36" s="1874"/>
      <c r="JQ36" s="1874"/>
      <c r="JR36" s="1874"/>
      <c r="JS36" s="1874"/>
      <c r="JT36" s="1874"/>
      <c r="JU36" s="1874"/>
      <c r="JV36" s="1874"/>
      <c r="JW36" s="1874"/>
      <c r="JX36" s="1874"/>
      <c r="JY36" s="1874"/>
      <c r="JZ36" s="1874"/>
      <c r="KA36" s="1874"/>
      <c r="KB36" s="1874"/>
      <c r="KC36" s="1874"/>
      <c r="KD36" s="1874"/>
      <c r="KE36" s="1874"/>
      <c r="KF36" s="1874"/>
      <c r="KG36" s="1874"/>
      <c r="KH36" s="1874"/>
      <c r="KI36" s="1874"/>
      <c r="KJ36" s="1865"/>
      <c r="KK36" s="1874"/>
      <c r="KL36" s="1865"/>
      <c r="KM36" s="1865"/>
      <c r="KN36" s="1865"/>
      <c r="KO36" s="1865"/>
      <c r="KP36" s="1865"/>
      <c r="KQ36" s="1875"/>
      <c r="KR36" s="1867"/>
    </row>
    <row r="37" spans="1:304" s="1867" customFormat="1" ht="20.100000000000001" hidden="1" customHeight="1" outlineLevel="1">
      <c r="A37" s="1857"/>
      <c r="B37" s="1857"/>
      <c r="C37" s="1858"/>
      <c r="D37" s="1858"/>
      <c r="E37" s="1859"/>
      <c r="F37" s="1859"/>
      <c r="G37" s="1859"/>
      <c r="H37" s="1859"/>
      <c r="I37" s="1859"/>
      <c r="J37" s="1859"/>
      <c r="K37" s="1859"/>
      <c r="L37" s="1859"/>
      <c r="M37" s="1859"/>
      <c r="N37" s="1859"/>
      <c r="O37" s="1859"/>
      <c r="P37" s="1859"/>
      <c r="Q37" s="1859"/>
      <c r="R37" s="1859"/>
      <c r="S37" s="1859"/>
      <c r="T37" s="1859"/>
      <c r="U37" s="1859"/>
      <c r="V37" s="1859"/>
      <c r="W37" s="1859"/>
      <c r="X37" s="1859"/>
      <c r="Y37" s="1859"/>
      <c r="Z37" s="1859"/>
      <c r="AA37" s="1859"/>
      <c r="AB37" s="1859"/>
      <c r="AC37" s="1859"/>
      <c r="AD37" s="1859"/>
      <c r="AE37" s="1859"/>
      <c r="AF37" s="1859"/>
      <c r="AG37" s="1859"/>
      <c r="AH37" s="1859"/>
      <c r="AI37" s="1859"/>
      <c r="AJ37" s="1859"/>
      <c r="AK37" s="1859"/>
      <c r="AL37" s="1859"/>
      <c r="AM37" s="1859"/>
      <c r="AN37" s="1859"/>
      <c r="AO37" s="1859"/>
      <c r="AP37" s="1859"/>
      <c r="AQ37" s="1859"/>
      <c r="AR37" s="1859"/>
      <c r="AS37" s="1859"/>
      <c r="AT37" s="1859"/>
      <c r="AU37" s="1859"/>
      <c r="AV37" s="1859"/>
      <c r="AW37" s="1859"/>
      <c r="AX37" s="1859"/>
      <c r="AY37" s="1859"/>
      <c r="AZ37" s="1859"/>
      <c r="BA37" s="1859"/>
      <c r="BB37" s="1859"/>
      <c r="BC37" s="1859"/>
      <c r="BD37" s="1859"/>
      <c r="BE37" s="1859"/>
      <c r="BF37" s="1859"/>
      <c r="BG37" s="1859"/>
      <c r="BH37" s="1859"/>
      <c r="BI37" s="1859"/>
      <c r="BJ37" s="1859"/>
      <c r="BK37" s="1859"/>
      <c r="BL37" s="1859"/>
      <c r="BM37" s="1859"/>
      <c r="BN37" s="1859"/>
      <c r="BO37" s="1859"/>
      <c r="BP37" s="1859"/>
      <c r="BQ37" s="1859"/>
      <c r="BR37" s="1859"/>
      <c r="BS37" s="1859"/>
      <c r="BT37" s="1859"/>
      <c r="BU37" s="1859"/>
      <c r="BV37" s="1859"/>
      <c r="BW37" s="1859"/>
      <c r="BX37" s="1859"/>
      <c r="BY37" s="1859"/>
      <c r="BZ37" s="1859"/>
      <c r="CA37" s="1859"/>
      <c r="CB37" s="1859"/>
      <c r="CC37" s="1859"/>
      <c r="CD37" s="1859"/>
      <c r="CE37" s="1859"/>
      <c r="CF37" s="1859"/>
      <c r="CG37" s="1859"/>
      <c r="CH37" s="1859"/>
      <c r="CI37" s="1859"/>
      <c r="CJ37" s="1859"/>
      <c r="CK37" s="1859"/>
      <c r="CL37" s="1859"/>
      <c r="CM37" s="1859"/>
      <c r="CN37" s="1859"/>
      <c r="CO37" s="1859"/>
      <c r="CP37" s="1859"/>
      <c r="CQ37" s="1859"/>
      <c r="CR37" s="1859"/>
      <c r="CS37" s="1859"/>
      <c r="CT37" s="1859"/>
      <c r="CU37" s="1859"/>
      <c r="CV37" s="1859"/>
      <c r="CW37" s="1859"/>
      <c r="CX37" s="1859"/>
      <c r="CY37" s="1859"/>
      <c r="CZ37" s="1859"/>
      <c r="DA37" s="1859"/>
      <c r="DB37" s="1859"/>
      <c r="DC37" s="1859"/>
      <c r="DD37" s="1859"/>
      <c r="DE37" s="1859"/>
      <c r="DF37" s="1859"/>
      <c r="DG37" s="1859"/>
      <c r="DH37" s="1859"/>
      <c r="DI37" s="1859"/>
      <c r="DJ37" s="1859"/>
      <c r="DK37" s="1859"/>
      <c r="DL37" s="1859"/>
      <c r="DM37" s="1859"/>
      <c r="DN37" s="1859"/>
      <c r="DO37" s="1859"/>
      <c r="DP37" s="1859"/>
      <c r="DQ37" s="1859"/>
      <c r="DR37" s="1859"/>
      <c r="DS37" s="1859"/>
      <c r="DT37" s="1859"/>
      <c r="DU37" s="1859"/>
      <c r="DV37" s="1859"/>
      <c r="DW37" s="1859"/>
      <c r="DX37" s="1859"/>
      <c r="DY37" s="1859"/>
      <c r="DZ37" s="1859"/>
      <c r="EA37" s="1859"/>
      <c r="EB37" s="1859"/>
      <c r="EC37" s="1859"/>
      <c r="ED37" s="1859"/>
      <c r="EE37" s="1859"/>
      <c r="EF37" s="1859"/>
      <c r="EG37" s="1859"/>
      <c r="EH37" s="1859"/>
      <c r="EI37" s="1859"/>
      <c r="EJ37" s="1859"/>
      <c r="EK37" s="1859"/>
      <c r="EL37" s="1859"/>
      <c r="EM37" s="1859"/>
      <c r="EN37" s="1859"/>
      <c r="EO37" s="1859"/>
      <c r="EP37" s="1859"/>
      <c r="EQ37" s="1859"/>
      <c r="ER37" s="1859"/>
      <c r="ES37" s="1859"/>
      <c r="ET37" s="1859"/>
      <c r="EU37" s="1859"/>
      <c r="EV37" s="1859"/>
      <c r="EW37" s="1860"/>
      <c r="EX37" s="1861"/>
      <c r="EY37" s="1859"/>
      <c r="EZ37" s="1859"/>
      <c r="FA37" s="1859"/>
      <c r="FB37" s="1859"/>
      <c r="FC37" s="1859"/>
      <c r="FD37" s="1859"/>
      <c r="FE37" s="1859"/>
      <c r="FF37" s="1859"/>
      <c r="FG37" s="1859"/>
      <c r="FH37" s="1859"/>
      <c r="FI37" s="1859"/>
      <c r="FJ37" s="1859"/>
      <c r="FK37" s="1859"/>
      <c r="FL37" s="1859"/>
      <c r="FM37" s="1859"/>
      <c r="FN37" s="1859"/>
      <c r="FO37" s="1859"/>
      <c r="FP37" s="1859"/>
      <c r="FQ37" s="1859"/>
      <c r="FR37" s="1859"/>
      <c r="FS37" s="1859"/>
      <c r="FT37" s="1859"/>
      <c r="FU37" s="1859"/>
      <c r="FV37" s="1859"/>
      <c r="FW37" s="1859"/>
      <c r="FX37" s="1859"/>
      <c r="FY37" s="1859"/>
      <c r="FZ37" s="1859"/>
      <c r="GA37" s="1862"/>
      <c r="GB37" s="1859"/>
      <c r="GC37" s="1859"/>
      <c r="GD37" s="1859"/>
      <c r="GE37" s="1859"/>
      <c r="GF37" s="1859"/>
      <c r="GG37" s="1859"/>
      <c r="GH37" s="1859"/>
      <c r="GI37" s="1859"/>
      <c r="GJ37" s="1859"/>
      <c r="GK37" s="1859"/>
      <c r="GL37" s="1859"/>
      <c r="GM37" s="1859"/>
      <c r="GN37" s="1859"/>
      <c r="GO37" s="1859"/>
      <c r="GP37" s="1859"/>
      <c r="GQ37" s="1859"/>
      <c r="GR37" s="1859"/>
      <c r="GS37" s="1859"/>
      <c r="GT37" s="1859"/>
      <c r="GU37" s="1859"/>
      <c r="GV37" s="1859"/>
      <c r="GW37" s="1859"/>
      <c r="GX37" s="1859"/>
      <c r="GY37" s="1859"/>
      <c r="GZ37" s="1859"/>
      <c r="HA37" s="1859"/>
      <c r="HB37" s="1859"/>
      <c r="HC37" s="1859"/>
      <c r="HD37" s="1859"/>
      <c r="HE37" s="1859"/>
      <c r="HF37" s="1859"/>
      <c r="HG37" s="1859"/>
      <c r="HH37" s="1859"/>
      <c r="HI37" s="1859"/>
      <c r="HJ37" s="1863"/>
      <c r="HK37" s="1863"/>
      <c r="HL37" s="1863"/>
      <c r="HM37" s="1863"/>
      <c r="HN37" s="1863"/>
      <c r="HO37" s="1863"/>
      <c r="HP37" s="1863"/>
      <c r="HQ37" s="1863"/>
      <c r="HR37" s="1863"/>
      <c r="HS37" s="1863"/>
      <c r="HT37" s="1863"/>
      <c r="HU37" s="1863"/>
      <c r="HV37" s="1863"/>
      <c r="HW37" s="1863"/>
      <c r="HX37" s="1863"/>
      <c r="HY37" s="1863"/>
      <c r="HZ37" s="1863"/>
      <c r="IA37" s="1863"/>
      <c r="IB37" s="1863"/>
      <c r="IC37" s="1863"/>
      <c r="ID37" s="1864"/>
      <c r="IE37" s="1863"/>
      <c r="IF37" s="1863"/>
      <c r="IG37" s="1863"/>
      <c r="IH37" s="1863"/>
      <c r="II37" s="1863"/>
      <c r="IJ37" s="1863"/>
      <c r="IK37" s="1863"/>
      <c r="IL37" s="1863"/>
      <c r="IM37" s="1863"/>
      <c r="IN37" s="1863"/>
      <c r="IO37" s="1863"/>
      <c r="IP37" s="1863"/>
      <c r="IQ37" s="1863"/>
      <c r="IR37" s="1863"/>
      <c r="IS37" s="1863"/>
      <c r="IT37" s="1863"/>
      <c r="IU37" s="1863"/>
      <c r="IV37" s="1865"/>
      <c r="IW37" s="1863"/>
      <c r="IX37" s="1863"/>
      <c r="IY37" s="1863"/>
      <c r="IZ37" s="1863"/>
      <c r="JA37" s="1863"/>
      <c r="JB37" s="1863"/>
      <c r="JC37" s="1863"/>
      <c r="JD37" s="1863"/>
      <c r="JE37" s="1863"/>
      <c r="JF37" s="1863"/>
      <c r="JG37" s="1863"/>
      <c r="JH37" s="1863"/>
      <c r="JI37" s="1863"/>
      <c r="JJ37" s="1863"/>
      <c r="JK37" s="1863"/>
      <c r="JL37" s="1864"/>
      <c r="JM37" s="1864"/>
      <c r="JN37" s="1864"/>
      <c r="JO37" s="1864"/>
      <c r="JP37" s="1864"/>
      <c r="JQ37" s="1864"/>
      <c r="JR37" s="1864"/>
      <c r="JS37" s="1864"/>
      <c r="JT37" s="1864"/>
      <c r="JU37" s="1864"/>
      <c r="JV37" s="1864"/>
      <c r="JW37" s="1864"/>
      <c r="JX37" s="1864"/>
      <c r="JY37" s="1864"/>
      <c r="JZ37" s="1864"/>
      <c r="KA37" s="1864"/>
      <c r="KB37" s="1864"/>
      <c r="KC37" s="1864"/>
      <c r="KD37" s="1864"/>
      <c r="KE37" s="1864"/>
      <c r="KF37" s="1864"/>
      <c r="KG37" s="1864"/>
      <c r="KH37" s="1864"/>
      <c r="KI37" s="1864"/>
      <c r="KJ37" s="1863"/>
      <c r="KK37" s="1864"/>
      <c r="KL37" s="1863"/>
      <c r="KM37" s="1863"/>
      <c r="KN37" s="1863"/>
      <c r="KO37" s="1863"/>
      <c r="KP37" s="1863"/>
      <c r="KQ37" s="1866"/>
    </row>
    <row r="38" spans="1:304" s="1867" customFormat="1" ht="20.100000000000001" customHeight="1" outlineLevel="1">
      <c r="A38" s="1857"/>
      <c r="B38" s="1857"/>
      <c r="C38" s="1858"/>
      <c r="D38" s="1868"/>
      <c r="E38" s="1859"/>
      <c r="F38" s="1859"/>
      <c r="G38" s="1859"/>
      <c r="H38" s="1859"/>
      <c r="I38" s="1859"/>
      <c r="J38" s="1859"/>
      <c r="K38" s="1859"/>
      <c r="L38" s="1859"/>
      <c r="M38" s="1859"/>
      <c r="N38" s="1859"/>
      <c r="O38" s="1859"/>
      <c r="P38" s="1859"/>
      <c r="Q38" s="1859"/>
      <c r="R38" s="1859"/>
      <c r="S38" s="1859"/>
      <c r="T38" s="1859"/>
      <c r="U38" s="1859"/>
      <c r="V38" s="1859"/>
      <c r="W38" s="1859"/>
      <c r="X38" s="1859"/>
      <c r="Y38" s="1859"/>
      <c r="Z38" s="1859"/>
      <c r="AA38" s="1859"/>
      <c r="AB38" s="1859"/>
      <c r="AC38" s="1859"/>
      <c r="AD38" s="1859"/>
      <c r="AE38" s="1859"/>
      <c r="AF38" s="1859"/>
      <c r="AG38" s="1859"/>
      <c r="AH38" s="1859"/>
      <c r="AI38" s="1859"/>
      <c r="AJ38" s="1859"/>
      <c r="AK38" s="1859"/>
      <c r="AL38" s="1859"/>
      <c r="AM38" s="1859"/>
      <c r="AN38" s="1859"/>
      <c r="AO38" s="1859"/>
      <c r="AP38" s="1859"/>
      <c r="AQ38" s="1859"/>
      <c r="AR38" s="1859"/>
      <c r="AS38" s="1859"/>
      <c r="AT38" s="1859"/>
      <c r="AU38" s="1859"/>
      <c r="AV38" s="1859"/>
      <c r="AW38" s="1859"/>
      <c r="AX38" s="1859"/>
      <c r="AY38" s="1859"/>
      <c r="AZ38" s="1859"/>
      <c r="BA38" s="1859"/>
      <c r="BB38" s="1859"/>
      <c r="BC38" s="1859"/>
      <c r="BD38" s="1859"/>
      <c r="BE38" s="1859"/>
      <c r="BF38" s="1859"/>
      <c r="BG38" s="1859"/>
      <c r="BH38" s="1859"/>
      <c r="BI38" s="1859"/>
      <c r="BJ38" s="1859"/>
      <c r="BK38" s="1859"/>
      <c r="BL38" s="1859"/>
      <c r="BM38" s="1859"/>
      <c r="BN38" s="1859"/>
      <c r="BO38" s="1859"/>
      <c r="BP38" s="1859"/>
      <c r="BQ38" s="1859"/>
      <c r="BR38" s="1859"/>
      <c r="BS38" s="1859"/>
      <c r="BT38" s="1859"/>
      <c r="BU38" s="1859"/>
      <c r="BV38" s="1859"/>
      <c r="BW38" s="1859"/>
      <c r="BX38" s="1859"/>
      <c r="BY38" s="1859"/>
      <c r="BZ38" s="1859"/>
      <c r="CA38" s="1859"/>
      <c r="CB38" s="1859"/>
      <c r="CC38" s="1859"/>
      <c r="CD38" s="1859"/>
      <c r="CE38" s="1859"/>
      <c r="CF38" s="1859"/>
      <c r="CG38" s="1859"/>
      <c r="CH38" s="1859"/>
      <c r="CI38" s="1859"/>
      <c r="CJ38" s="1859"/>
      <c r="CK38" s="1859"/>
      <c r="CL38" s="1859"/>
      <c r="CM38" s="1859"/>
      <c r="CN38" s="1859"/>
      <c r="CO38" s="1859"/>
      <c r="CP38" s="1859"/>
      <c r="CQ38" s="1859"/>
      <c r="CR38" s="1859"/>
      <c r="CS38" s="1859"/>
      <c r="CT38" s="1859"/>
      <c r="CU38" s="1859"/>
      <c r="CV38" s="1859"/>
      <c r="CW38" s="1859"/>
      <c r="CX38" s="1859"/>
      <c r="CY38" s="1859"/>
      <c r="CZ38" s="1859"/>
      <c r="DA38" s="1859"/>
      <c r="DB38" s="1859"/>
      <c r="DC38" s="1859"/>
      <c r="DD38" s="1859"/>
      <c r="DE38" s="1859"/>
      <c r="DF38" s="1859"/>
      <c r="DG38" s="1859"/>
      <c r="DH38" s="1859"/>
      <c r="DI38" s="1859"/>
      <c r="DJ38" s="1859"/>
      <c r="DK38" s="1859"/>
      <c r="DL38" s="1859"/>
      <c r="DM38" s="1859"/>
      <c r="DN38" s="1859"/>
      <c r="DO38" s="1859"/>
      <c r="DP38" s="1859"/>
      <c r="DQ38" s="1859"/>
      <c r="DR38" s="1859"/>
      <c r="DS38" s="1859"/>
      <c r="DT38" s="1859"/>
      <c r="DU38" s="1859"/>
      <c r="DV38" s="1859"/>
      <c r="DW38" s="1859"/>
      <c r="DX38" s="1859"/>
      <c r="DY38" s="1859"/>
      <c r="DZ38" s="1859"/>
      <c r="EA38" s="1859"/>
      <c r="EB38" s="1859"/>
      <c r="EC38" s="1859"/>
      <c r="ED38" s="1859"/>
      <c r="EE38" s="1859"/>
      <c r="EF38" s="1859"/>
      <c r="EG38" s="1859"/>
      <c r="EH38" s="1859"/>
      <c r="EI38" s="1859"/>
      <c r="EJ38" s="1859"/>
      <c r="EK38" s="1859"/>
      <c r="EL38" s="1859"/>
      <c r="EM38" s="1859"/>
      <c r="EN38" s="1859"/>
      <c r="EO38" s="1859"/>
      <c r="EP38" s="1859"/>
      <c r="EQ38" s="1859"/>
      <c r="ER38" s="1859"/>
      <c r="ES38" s="1859"/>
      <c r="ET38" s="1859"/>
      <c r="EU38" s="1859"/>
      <c r="EV38" s="1859"/>
      <c r="EW38" s="1860"/>
      <c r="EX38" s="1861"/>
      <c r="EY38" s="1859"/>
      <c r="EZ38" s="1859"/>
      <c r="FA38" s="1859"/>
      <c r="FB38" s="1859"/>
      <c r="FC38" s="1859"/>
      <c r="FD38" s="1859"/>
      <c r="FE38" s="1859"/>
      <c r="FF38" s="1859"/>
      <c r="FG38" s="1859"/>
      <c r="FH38" s="1859"/>
      <c r="FI38" s="1859"/>
      <c r="FJ38" s="1859"/>
      <c r="FK38" s="1859"/>
      <c r="FL38" s="1859"/>
      <c r="FM38" s="1859"/>
      <c r="FN38" s="1859"/>
      <c r="FO38" s="1859"/>
      <c r="FP38" s="1859"/>
      <c r="FQ38" s="1859"/>
      <c r="FR38" s="1859"/>
      <c r="FS38" s="1859"/>
      <c r="FT38" s="1859"/>
      <c r="FU38" s="1859"/>
      <c r="FV38" s="1859"/>
      <c r="FW38" s="1859"/>
      <c r="FX38" s="1859"/>
      <c r="FY38" s="1859"/>
      <c r="FZ38" s="1859"/>
      <c r="GA38" s="1862"/>
      <c r="GB38" s="1859"/>
      <c r="GC38" s="1859"/>
      <c r="GD38" s="1859"/>
      <c r="GE38" s="1859"/>
      <c r="GF38" s="1859"/>
      <c r="GG38" s="1859"/>
      <c r="GH38" s="1859"/>
      <c r="GI38" s="1859"/>
      <c r="GJ38" s="1859"/>
      <c r="GK38" s="1859"/>
      <c r="GL38" s="1859"/>
      <c r="GM38" s="1859"/>
      <c r="GN38" s="1859"/>
      <c r="GO38" s="1859"/>
      <c r="GP38" s="1859"/>
      <c r="GQ38" s="1859"/>
      <c r="GR38" s="1859"/>
      <c r="GS38" s="1859"/>
      <c r="GT38" s="1859"/>
      <c r="GU38" s="1859"/>
      <c r="GV38" s="1859"/>
      <c r="GW38" s="1859"/>
      <c r="GX38" s="1859"/>
      <c r="GY38" s="1859"/>
      <c r="GZ38" s="1859"/>
      <c r="HA38" s="1859"/>
      <c r="HB38" s="1859"/>
      <c r="HC38" s="1859"/>
      <c r="HD38" s="1859"/>
      <c r="HE38" s="1859"/>
      <c r="HF38" s="1859"/>
      <c r="HG38" s="1859"/>
      <c r="HH38" s="1859"/>
      <c r="HI38" s="1859"/>
      <c r="HJ38" s="1864"/>
      <c r="HK38" s="1864"/>
      <c r="HL38" s="1864"/>
      <c r="HM38" s="1864"/>
      <c r="HN38" s="1864"/>
      <c r="HO38" s="1864"/>
      <c r="HP38" s="1864"/>
      <c r="HQ38" s="1864"/>
      <c r="HR38" s="1864"/>
      <c r="HS38" s="1864"/>
      <c r="HT38" s="1864"/>
      <c r="HU38" s="1864"/>
      <c r="HV38" s="1864"/>
      <c r="HW38" s="1864"/>
      <c r="HX38" s="1864"/>
      <c r="HY38" s="1864"/>
      <c r="HZ38" s="1864"/>
      <c r="IA38" s="1863"/>
      <c r="IB38" s="1864"/>
      <c r="IC38" s="1864"/>
      <c r="ID38" s="1864"/>
      <c r="IE38" s="1864"/>
      <c r="IF38" s="1864"/>
      <c r="IG38" s="1864"/>
      <c r="IH38" s="1864"/>
      <c r="II38" s="1864"/>
      <c r="IJ38" s="1863"/>
      <c r="IK38" s="1864"/>
      <c r="IL38" s="1864"/>
      <c r="IM38" s="1864"/>
      <c r="IN38" s="1864"/>
      <c r="IO38" s="1864"/>
      <c r="IP38" s="1864"/>
      <c r="IQ38" s="1864"/>
      <c r="IR38" s="1864"/>
      <c r="IS38" s="1864"/>
      <c r="IT38" s="1864"/>
      <c r="IU38" s="1864"/>
      <c r="IV38" s="1865"/>
      <c r="IW38" s="1864"/>
      <c r="IX38" s="1864"/>
      <c r="IY38" s="1864"/>
      <c r="IZ38" s="1864"/>
      <c r="JA38" s="1864"/>
      <c r="JB38" s="1864"/>
      <c r="JC38" s="1864"/>
      <c r="JD38" s="1864"/>
      <c r="JE38" s="1864"/>
      <c r="JF38" s="1864"/>
      <c r="JG38" s="1864"/>
      <c r="JH38" s="1864"/>
      <c r="JI38" s="1864"/>
      <c r="JJ38" s="1864"/>
      <c r="JK38" s="1864"/>
      <c r="JL38" s="1864"/>
      <c r="JM38" s="1864"/>
      <c r="JN38" s="1864"/>
      <c r="JO38" s="1864"/>
      <c r="JP38" s="1864"/>
      <c r="JQ38" s="1864"/>
      <c r="JR38" s="1864"/>
      <c r="JS38" s="1864"/>
      <c r="JT38" s="1864"/>
      <c r="JU38" s="1864"/>
      <c r="JV38" s="1864"/>
      <c r="JW38" s="1864"/>
      <c r="JX38" s="1864"/>
      <c r="JY38" s="1864"/>
      <c r="JZ38" s="1864"/>
      <c r="KA38" s="1864"/>
      <c r="KB38" s="1864"/>
      <c r="KC38" s="1864"/>
      <c r="KD38" s="1864"/>
      <c r="KE38" s="1864"/>
      <c r="KF38" s="1864"/>
      <c r="KG38" s="1864"/>
      <c r="KH38" s="1864"/>
      <c r="KI38" s="1864"/>
      <c r="KJ38" s="1864"/>
      <c r="KK38" s="1864"/>
      <c r="KL38" s="1864"/>
      <c r="KM38" s="1864"/>
      <c r="KN38" s="1864"/>
      <c r="KO38" s="1864"/>
      <c r="KP38" s="1864"/>
      <c r="KQ38" s="1869"/>
    </row>
    <row r="39" spans="1:304" s="1876" customFormat="1" ht="20.100000000000001" customHeight="1" outlineLevel="1">
      <c r="A39" s="1892"/>
      <c r="B39" s="1870"/>
      <c r="C39" s="1871"/>
      <c r="D39" s="1871"/>
      <c r="E39" s="1862"/>
      <c r="F39" s="1862"/>
      <c r="G39" s="1862"/>
      <c r="H39" s="1862"/>
      <c r="I39" s="1862"/>
      <c r="J39" s="1862"/>
      <c r="K39" s="1862"/>
      <c r="L39" s="1862"/>
      <c r="M39" s="1862"/>
      <c r="N39" s="1862"/>
      <c r="O39" s="1862"/>
      <c r="P39" s="1862"/>
      <c r="Q39" s="1862"/>
      <c r="R39" s="1862"/>
      <c r="S39" s="1862"/>
      <c r="T39" s="1862"/>
      <c r="U39" s="1862"/>
      <c r="V39" s="1862"/>
      <c r="W39" s="1862"/>
      <c r="X39" s="1862"/>
      <c r="Y39" s="1862"/>
      <c r="Z39" s="1862"/>
      <c r="AA39" s="1862"/>
      <c r="AB39" s="1862"/>
      <c r="AC39" s="1862"/>
      <c r="AD39" s="1862"/>
      <c r="AE39" s="1862"/>
      <c r="AF39" s="1859"/>
      <c r="AG39" s="1862"/>
      <c r="AH39" s="1862"/>
      <c r="AI39" s="1862"/>
      <c r="AJ39" s="1859"/>
      <c r="AK39" s="1862"/>
      <c r="AL39" s="1862"/>
      <c r="AM39" s="1862"/>
      <c r="AN39" s="1862"/>
      <c r="AO39" s="1862"/>
      <c r="AP39" s="1862"/>
      <c r="AQ39" s="1862"/>
      <c r="AR39" s="1862"/>
      <c r="AS39" s="1862"/>
      <c r="AT39" s="1862"/>
      <c r="AU39" s="1862"/>
      <c r="AV39" s="1862"/>
      <c r="AW39" s="1862"/>
      <c r="AX39" s="1862"/>
      <c r="AY39" s="1862"/>
      <c r="AZ39" s="1862"/>
      <c r="BA39" s="1862"/>
      <c r="BB39" s="1862"/>
      <c r="BC39" s="1862"/>
      <c r="BD39" s="1862"/>
      <c r="BE39" s="1862"/>
      <c r="BF39" s="1862"/>
      <c r="BG39" s="1862"/>
      <c r="BH39" s="1862"/>
      <c r="BI39" s="1862"/>
      <c r="BJ39" s="1862"/>
      <c r="BK39" s="1862"/>
      <c r="BL39" s="1862"/>
      <c r="BM39" s="1862"/>
      <c r="BN39" s="1862"/>
      <c r="BO39" s="1862"/>
      <c r="BP39" s="1862"/>
      <c r="BQ39" s="1862"/>
      <c r="BR39" s="1862"/>
      <c r="BS39" s="1862"/>
      <c r="BT39" s="1862"/>
      <c r="BU39" s="1862"/>
      <c r="BV39" s="1862"/>
      <c r="BW39" s="1862"/>
      <c r="BX39" s="1862"/>
      <c r="BY39" s="1862"/>
      <c r="BZ39" s="1862"/>
      <c r="CA39" s="1862"/>
      <c r="CB39" s="1862"/>
      <c r="CC39" s="1862"/>
      <c r="CD39" s="1862"/>
      <c r="CE39" s="1862"/>
      <c r="CF39" s="1862"/>
      <c r="CG39" s="1862"/>
      <c r="CH39" s="1862"/>
      <c r="CI39" s="1862"/>
      <c r="CJ39" s="1862"/>
      <c r="CK39" s="1862"/>
      <c r="CL39" s="1862"/>
      <c r="CM39" s="1862"/>
      <c r="CN39" s="1862"/>
      <c r="CO39" s="1862"/>
      <c r="CP39" s="1862"/>
      <c r="CQ39" s="1862"/>
      <c r="CR39" s="1862"/>
      <c r="CS39" s="1862"/>
      <c r="CT39" s="1862"/>
      <c r="CU39" s="1862"/>
      <c r="CV39" s="1862"/>
      <c r="CW39" s="1862"/>
      <c r="CX39" s="1862"/>
      <c r="CY39" s="1862"/>
      <c r="CZ39" s="1862"/>
      <c r="DA39" s="1862"/>
      <c r="DB39" s="1862"/>
      <c r="DC39" s="1862"/>
      <c r="DD39" s="1862"/>
      <c r="DE39" s="1862"/>
      <c r="DF39" s="1862"/>
      <c r="DG39" s="1862"/>
      <c r="DH39" s="1862"/>
      <c r="DI39" s="1862"/>
      <c r="DJ39" s="1862"/>
      <c r="DK39" s="1862"/>
      <c r="DL39" s="1862"/>
      <c r="DM39" s="1862"/>
      <c r="DN39" s="1862"/>
      <c r="DO39" s="1862"/>
      <c r="DP39" s="1862"/>
      <c r="DQ39" s="1862"/>
      <c r="DR39" s="1862"/>
      <c r="DS39" s="1862"/>
      <c r="DT39" s="1862"/>
      <c r="DU39" s="1862"/>
      <c r="DV39" s="1862"/>
      <c r="DW39" s="1862"/>
      <c r="DX39" s="1862"/>
      <c r="DY39" s="1862"/>
      <c r="DZ39" s="1862"/>
      <c r="EA39" s="1862"/>
      <c r="EB39" s="1862"/>
      <c r="EC39" s="1862"/>
      <c r="ED39" s="1862"/>
      <c r="EE39" s="1862"/>
      <c r="EF39" s="1862"/>
      <c r="EG39" s="1862"/>
      <c r="EH39" s="1862"/>
      <c r="EI39" s="1862"/>
      <c r="EJ39" s="1862"/>
      <c r="EK39" s="1862"/>
      <c r="EL39" s="1862"/>
      <c r="EM39" s="1862"/>
      <c r="EN39" s="1862"/>
      <c r="EO39" s="1862"/>
      <c r="EP39" s="1862"/>
      <c r="EQ39" s="1862"/>
      <c r="ER39" s="1862"/>
      <c r="ES39" s="1862"/>
      <c r="ET39" s="1862"/>
      <c r="EU39" s="1862"/>
      <c r="EV39" s="1862"/>
      <c r="EW39" s="1872"/>
      <c r="EX39" s="1873"/>
      <c r="EY39" s="1862"/>
      <c r="EZ39" s="1862"/>
      <c r="FA39" s="1862"/>
      <c r="FB39" s="1862"/>
      <c r="FC39" s="1862"/>
      <c r="FD39" s="1862"/>
      <c r="FE39" s="1862"/>
      <c r="FF39" s="1862"/>
      <c r="FG39" s="1862"/>
      <c r="FH39" s="1862"/>
      <c r="FI39" s="1862"/>
      <c r="FJ39" s="1862"/>
      <c r="FK39" s="1862"/>
      <c r="FL39" s="1862"/>
      <c r="FM39" s="1862"/>
      <c r="FN39" s="1859"/>
      <c r="FO39" s="1862"/>
      <c r="FP39" s="1862"/>
      <c r="FQ39" s="1862"/>
      <c r="FR39" s="1862"/>
      <c r="FS39" s="1862"/>
      <c r="FT39" s="1862"/>
      <c r="FU39" s="1862"/>
      <c r="FV39" s="1862"/>
      <c r="FW39" s="1862"/>
      <c r="FX39" s="1862"/>
      <c r="FY39" s="1862"/>
      <c r="FZ39" s="1862"/>
      <c r="GA39" s="1862"/>
      <c r="GB39" s="1862"/>
      <c r="GC39" s="1862"/>
      <c r="GD39" s="1862"/>
      <c r="GE39" s="1862"/>
      <c r="GF39" s="1862"/>
      <c r="GG39" s="1862"/>
      <c r="GH39" s="1862"/>
      <c r="GI39" s="1862"/>
      <c r="GJ39" s="1862"/>
      <c r="GK39" s="1862"/>
      <c r="GL39" s="1862"/>
      <c r="GM39" s="1862"/>
      <c r="GN39" s="1862"/>
      <c r="GO39" s="1862"/>
      <c r="GP39" s="1862"/>
      <c r="GQ39" s="1862"/>
      <c r="GR39" s="1862"/>
      <c r="GS39" s="1862"/>
      <c r="GT39" s="1862"/>
      <c r="GU39" s="1862"/>
      <c r="GV39" s="1862"/>
      <c r="GW39" s="1862"/>
      <c r="GX39" s="1862"/>
      <c r="GY39" s="1862"/>
      <c r="GZ39" s="1862"/>
      <c r="HA39" s="1862"/>
      <c r="HB39" s="1862"/>
      <c r="HC39" s="1862"/>
      <c r="HD39" s="1862"/>
      <c r="HE39" s="1862"/>
      <c r="HF39" s="1862"/>
      <c r="HG39" s="1862"/>
      <c r="HH39" s="1862"/>
      <c r="HI39" s="1862"/>
      <c r="HJ39" s="1865"/>
      <c r="HK39" s="1865"/>
      <c r="HL39" s="1865"/>
      <c r="HM39" s="1865"/>
      <c r="HN39" s="1865"/>
      <c r="HO39" s="1865"/>
      <c r="HP39" s="1865"/>
      <c r="HQ39" s="1865"/>
      <c r="HR39" s="1865"/>
      <c r="HS39" s="1865"/>
      <c r="HT39" s="1865"/>
      <c r="HU39" s="1865"/>
      <c r="HV39" s="1865"/>
      <c r="HW39" s="1865"/>
      <c r="HX39" s="1865"/>
      <c r="HY39" s="1865"/>
      <c r="HZ39" s="1865"/>
      <c r="IA39" s="1865"/>
      <c r="IB39" s="1865"/>
      <c r="IC39" s="1865"/>
      <c r="ID39" s="1874"/>
      <c r="IE39" s="1865"/>
      <c r="IF39" s="1865"/>
      <c r="IG39" s="1865"/>
      <c r="IH39" s="1865"/>
      <c r="II39" s="1865"/>
      <c r="IJ39" s="1863"/>
      <c r="IK39" s="1865"/>
      <c r="IL39" s="1865"/>
      <c r="IM39" s="1865"/>
      <c r="IN39" s="1865"/>
      <c r="IO39" s="1865"/>
      <c r="IP39" s="1865"/>
      <c r="IQ39" s="1865"/>
      <c r="IR39" s="1865"/>
      <c r="IS39" s="1865"/>
      <c r="IT39" s="1865"/>
      <c r="IU39" s="1865"/>
      <c r="IV39" s="1865"/>
      <c r="IW39" s="1865"/>
      <c r="IX39" s="1865"/>
      <c r="IY39" s="1865"/>
      <c r="IZ39" s="1865"/>
      <c r="JA39" s="1865"/>
      <c r="JB39" s="1865"/>
      <c r="JC39" s="1865"/>
      <c r="JD39" s="1865"/>
      <c r="JE39" s="1865"/>
      <c r="JF39" s="1865"/>
      <c r="JG39" s="1865"/>
      <c r="JH39" s="1865"/>
      <c r="JI39" s="1865"/>
      <c r="JJ39" s="1865"/>
      <c r="JK39" s="1865"/>
      <c r="JL39" s="1874"/>
      <c r="JM39" s="1874"/>
      <c r="JN39" s="1874"/>
      <c r="JO39" s="1874"/>
      <c r="JP39" s="1874"/>
      <c r="JQ39" s="1874"/>
      <c r="JR39" s="1874"/>
      <c r="JS39" s="1874"/>
      <c r="JT39" s="1874"/>
      <c r="JU39" s="1874"/>
      <c r="JV39" s="1874"/>
      <c r="JW39" s="1874"/>
      <c r="JX39" s="1874"/>
      <c r="JY39" s="1874"/>
      <c r="JZ39" s="1874"/>
      <c r="KA39" s="1874"/>
      <c r="KB39" s="1874"/>
      <c r="KC39" s="1874"/>
      <c r="KD39" s="1874"/>
      <c r="KE39" s="1874"/>
      <c r="KF39" s="1874"/>
      <c r="KG39" s="1874"/>
      <c r="KH39" s="1874"/>
      <c r="KI39" s="1874"/>
      <c r="KJ39" s="1865"/>
      <c r="KK39" s="1874"/>
      <c r="KL39" s="1865"/>
      <c r="KM39" s="1865"/>
      <c r="KN39" s="1865"/>
      <c r="KO39" s="1865"/>
      <c r="KP39" s="1865"/>
      <c r="KQ39" s="1875"/>
      <c r="KR39" s="1867"/>
    </row>
    <row r="40" spans="1:304" s="1887" customFormat="1" ht="13.8" outlineLevel="1">
      <c r="A40" s="1877"/>
      <c r="B40" s="1877"/>
      <c r="C40" s="1878"/>
      <c r="D40" s="1879"/>
      <c r="E40" s="1880"/>
      <c r="F40" s="1880"/>
      <c r="G40" s="1880"/>
      <c r="H40" s="1880"/>
      <c r="I40" s="1880"/>
      <c r="J40" s="1880"/>
      <c r="K40" s="1880"/>
      <c r="L40" s="1880"/>
      <c r="M40" s="1880"/>
      <c r="N40" s="1880"/>
      <c r="O40" s="1880"/>
      <c r="P40" s="1880"/>
      <c r="Q40" s="1880"/>
      <c r="R40" s="1880"/>
      <c r="S40" s="1880"/>
      <c r="T40" s="1880"/>
      <c r="U40" s="1880"/>
      <c r="V40" s="1880"/>
      <c r="W40" s="1880"/>
      <c r="X40" s="1880"/>
      <c r="Y40" s="1880"/>
      <c r="Z40" s="1880"/>
      <c r="AA40" s="1880"/>
      <c r="AB40" s="1880"/>
      <c r="AC40" s="1880"/>
      <c r="AD40" s="1880"/>
      <c r="AE40" s="1880"/>
      <c r="AF40" s="1880"/>
      <c r="AG40" s="1880"/>
      <c r="AH40" s="1880"/>
      <c r="AI40" s="1880"/>
      <c r="AJ40" s="1880"/>
      <c r="AK40" s="1880"/>
      <c r="AL40" s="1880"/>
      <c r="AM40" s="1880"/>
      <c r="AN40" s="1880"/>
      <c r="AO40" s="1880"/>
      <c r="AP40" s="1880"/>
      <c r="AQ40" s="1880"/>
      <c r="AR40" s="1880"/>
      <c r="AS40" s="1880"/>
      <c r="AT40" s="1880"/>
      <c r="AU40" s="1880"/>
      <c r="AV40" s="1880"/>
      <c r="AW40" s="1880"/>
      <c r="AX40" s="1880"/>
      <c r="AY40" s="1880"/>
      <c r="AZ40" s="1880"/>
      <c r="BA40" s="1880"/>
      <c r="BB40" s="1880"/>
      <c r="BC40" s="1880"/>
      <c r="BD40" s="1880"/>
      <c r="BE40" s="1880"/>
      <c r="BF40" s="1880"/>
      <c r="BG40" s="1880"/>
      <c r="BH40" s="1880"/>
      <c r="BI40" s="1880"/>
      <c r="BJ40" s="1880"/>
      <c r="BK40" s="1880"/>
      <c r="BL40" s="1880"/>
      <c r="BM40" s="1880"/>
      <c r="BN40" s="1880"/>
      <c r="BO40" s="1880"/>
      <c r="BP40" s="1880"/>
      <c r="BQ40" s="1880"/>
      <c r="BR40" s="1880"/>
      <c r="BS40" s="1880"/>
      <c r="BT40" s="1880"/>
      <c r="BU40" s="1880"/>
      <c r="BV40" s="1880"/>
      <c r="BW40" s="1880"/>
      <c r="BX40" s="1880"/>
      <c r="BY40" s="1880"/>
      <c r="BZ40" s="1880"/>
      <c r="CA40" s="1880"/>
      <c r="CB40" s="1880"/>
      <c r="CC40" s="1880"/>
      <c r="CD40" s="1880"/>
      <c r="CE40" s="1880"/>
      <c r="CF40" s="1880"/>
      <c r="CG40" s="1880"/>
      <c r="CH40" s="1880"/>
      <c r="CI40" s="1880"/>
      <c r="CJ40" s="1880"/>
      <c r="CK40" s="1880"/>
      <c r="CL40" s="1880"/>
      <c r="CM40" s="1880"/>
      <c r="CN40" s="1880"/>
      <c r="CO40" s="1880"/>
      <c r="CP40" s="1880"/>
      <c r="CQ40" s="1880"/>
      <c r="CR40" s="1880"/>
      <c r="CS40" s="1880"/>
      <c r="CT40" s="1880"/>
      <c r="CU40" s="1880"/>
      <c r="CV40" s="1880"/>
      <c r="CW40" s="1880"/>
      <c r="CX40" s="1880"/>
      <c r="CY40" s="1880"/>
      <c r="CZ40" s="1880"/>
      <c r="DA40" s="1880"/>
      <c r="DB40" s="1880"/>
      <c r="DC40" s="1880"/>
      <c r="DD40" s="1880"/>
      <c r="DE40" s="1880"/>
      <c r="DF40" s="1880"/>
      <c r="DG40" s="1880"/>
      <c r="DH40" s="1880"/>
      <c r="DI40" s="1880"/>
      <c r="DJ40" s="1880"/>
      <c r="DK40" s="1880"/>
      <c r="DL40" s="1880"/>
      <c r="DM40" s="1880"/>
      <c r="DN40" s="1880"/>
      <c r="DO40" s="1880"/>
      <c r="DP40" s="1880"/>
      <c r="DQ40" s="1880"/>
      <c r="DR40" s="1880"/>
      <c r="DS40" s="1880"/>
      <c r="DT40" s="1880"/>
      <c r="DU40" s="1880"/>
      <c r="DV40" s="1880"/>
      <c r="DW40" s="1880"/>
      <c r="DX40" s="1880"/>
      <c r="DY40" s="1880"/>
      <c r="DZ40" s="1880"/>
      <c r="EA40" s="1880"/>
      <c r="EB40" s="1880"/>
      <c r="EC40" s="1880"/>
      <c r="ED40" s="1880"/>
      <c r="EE40" s="1880"/>
      <c r="EF40" s="1880"/>
      <c r="EG40" s="1880"/>
      <c r="EH40" s="1880"/>
      <c r="EI40" s="1880"/>
      <c r="EJ40" s="1880"/>
      <c r="EK40" s="1880"/>
      <c r="EL40" s="1880"/>
      <c r="EM40" s="1880"/>
      <c r="EN40" s="1880"/>
      <c r="EO40" s="1880"/>
      <c r="EP40" s="1880"/>
      <c r="EQ40" s="1880"/>
      <c r="ER40" s="1880"/>
      <c r="ES40" s="1880"/>
      <c r="ET40" s="1880"/>
      <c r="EU40" s="1880"/>
      <c r="EV40" s="1880"/>
      <c r="EW40" s="1881"/>
      <c r="EX40" s="1882"/>
      <c r="EY40" s="1880"/>
      <c r="EZ40" s="1880"/>
      <c r="FA40" s="1880"/>
      <c r="FB40" s="1880"/>
      <c r="FC40" s="1880"/>
      <c r="FD40" s="1880"/>
      <c r="FE40" s="1880"/>
      <c r="FF40" s="1880"/>
      <c r="FG40" s="1880"/>
      <c r="FH40" s="1880"/>
      <c r="FI40" s="1880"/>
      <c r="FJ40" s="1880"/>
      <c r="FK40" s="1880"/>
      <c r="FL40" s="1880"/>
      <c r="FM40" s="1880"/>
      <c r="FN40" s="1880"/>
      <c r="FO40" s="1880"/>
      <c r="FP40" s="1880"/>
      <c r="FQ40" s="1880"/>
      <c r="FR40" s="1880"/>
      <c r="FS40" s="1880"/>
      <c r="FT40" s="1880"/>
      <c r="FU40" s="1880"/>
      <c r="FV40" s="1880"/>
      <c r="FW40" s="1880"/>
      <c r="FX40" s="1880"/>
      <c r="FY40" s="1880"/>
      <c r="FZ40" s="1880"/>
      <c r="GA40" s="1883"/>
      <c r="GB40" s="1880"/>
      <c r="GC40" s="1880"/>
      <c r="GD40" s="1880"/>
      <c r="GE40" s="1880"/>
      <c r="GF40" s="1880"/>
      <c r="GG40" s="1880"/>
      <c r="GH40" s="1880"/>
      <c r="GI40" s="1880"/>
      <c r="GJ40" s="1880"/>
      <c r="GK40" s="1880"/>
      <c r="GL40" s="1880"/>
      <c r="GM40" s="1880"/>
      <c r="GN40" s="1880"/>
      <c r="GO40" s="1880"/>
      <c r="GP40" s="1880"/>
      <c r="GQ40" s="1880"/>
      <c r="GR40" s="1880"/>
      <c r="GS40" s="1880"/>
      <c r="GT40" s="1880"/>
      <c r="GU40" s="1880"/>
      <c r="GV40" s="1880"/>
      <c r="GW40" s="1880"/>
      <c r="GX40" s="1880"/>
      <c r="GY40" s="1880"/>
      <c r="GZ40" s="1880"/>
      <c r="HA40" s="1880"/>
      <c r="HB40" s="1880"/>
      <c r="HC40" s="1880"/>
      <c r="HD40" s="1880"/>
      <c r="HE40" s="1880"/>
      <c r="HF40" s="1880"/>
      <c r="HG40" s="1880"/>
      <c r="HH40" s="1880"/>
      <c r="HI40" s="1880"/>
      <c r="HJ40" s="1884"/>
      <c r="HK40" s="1884"/>
      <c r="HL40" s="1884"/>
      <c r="HM40" s="1884"/>
      <c r="HN40" s="1884"/>
      <c r="HO40" s="1884"/>
      <c r="HP40" s="1884"/>
      <c r="HQ40" s="1884"/>
      <c r="HR40" s="1884"/>
      <c r="HS40" s="1884"/>
      <c r="HT40" s="1884"/>
      <c r="HU40" s="1884"/>
      <c r="HV40" s="1884"/>
      <c r="HW40" s="1884"/>
      <c r="HX40" s="1884"/>
      <c r="HY40" s="1884"/>
      <c r="HZ40" s="1884"/>
      <c r="IA40" s="1885"/>
      <c r="IB40" s="1884"/>
      <c r="IC40" s="1884"/>
      <c r="ID40" s="1884"/>
      <c r="IE40" s="1884"/>
      <c r="IF40" s="1884"/>
      <c r="IG40" s="1884"/>
      <c r="IH40" s="1884"/>
      <c r="II40" s="1884"/>
      <c r="IJ40" s="1885"/>
      <c r="IK40" s="1884"/>
      <c r="IL40" s="1884"/>
      <c r="IM40" s="1884"/>
      <c r="IN40" s="1884"/>
      <c r="IO40" s="1884"/>
      <c r="IP40" s="1884"/>
      <c r="IQ40" s="1884"/>
      <c r="IR40" s="1884"/>
      <c r="IS40" s="1884"/>
      <c r="IT40" s="1884"/>
      <c r="IU40" s="1884"/>
      <c r="IV40" s="1886"/>
      <c r="IW40" s="1884"/>
      <c r="IX40" s="1884"/>
      <c r="IY40" s="1884"/>
      <c r="IZ40" s="1884"/>
      <c r="JA40" s="1884"/>
      <c r="JB40" s="1884"/>
      <c r="JC40" s="1884"/>
      <c r="JD40" s="1884"/>
      <c r="JE40" s="1884"/>
      <c r="JF40" s="1884"/>
      <c r="JG40" s="1884"/>
      <c r="JH40" s="1884"/>
      <c r="JI40" s="1884"/>
      <c r="JJ40" s="1884"/>
      <c r="JK40" s="1884"/>
      <c r="JL40" s="1884"/>
      <c r="JM40" s="1884"/>
      <c r="JN40" s="1884"/>
      <c r="JO40" s="1884"/>
      <c r="JP40" s="1884"/>
      <c r="JQ40" s="1884"/>
      <c r="JR40" s="1884"/>
      <c r="JS40" s="1884"/>
      <c r="JT40" s="1884"/>
      <c r="JU40" s="1884"/>
      <c r="JV40" s="1884"/>
      <c r="JW40" s="1884"/>
      <c r="JX40" s="1884"/>
      <c r="JY40" s="1884"/>
      <c r="JZ40" s="1884"/>
      <c r="KA40" s="1884"/>
      <c r="KB40" s="1884"/>
      <c r="KC40" s="1884"/>
      <c r="KD40" s="1884"/>
      <c r="KE40" s="1884"/>
      <c r="KF40" s="1884"/>
      <c r="KG40" s="1884"/>
      <c r="KH40" s="1884"/>
      <c r="KI40" s="1884"/>
      <c r="KJ40" s="1884"/>
      <c r="KK40" s="1884"/>
      <c r="KL40" s="1884"/>
      <c r="KM40" s="1884"/>
      <c r="KN40" s="1884"/>
      <c r="KO40" s="1884"/>
      <c r="KP40" s="1884"/>
      <c r="KQ40" s="1869"/>
      <c r="KR40" s="1867"/>
    </row>
    <row r="41" spans="1:304" s="545" customFormat="1" ht="24.9" customHeight="1" thickBot="1">
      <c r="A41" s="1893" t="s">
        <v>4452</v>
      </c>
      <c r="B41" s="816"/>
      <c r="C41" s="543">
        <f t="shared" ref="C41:BN41" si="0">+SUM(C6:C40)</f>
        <v>0</v>
      </c>
      <c r="D41" s="543">
        <f t="shared" si="0"/>
        <v>0</v>
      </c>
      <c r="E41" s="543">
        <f t="shared" si="0"/>
        <v>0</v>
      </c>
      <c r="F41" s="543">
        <f t="shared" si="0"/>
        <v>0</v>
      </c>
      <c r="G41" s="543">
        <f t="shared" si="0"/>
        <v>0</v>
      </c>
      <c r="H41" s="543">
        <f t="shared" si="0"/>
        <v>0</v>
      </c>
      <c r="I41" s="543">
        <f t="shared" si="0"/>
        <v>0</v>
      </c>
      <c r="J41" s="543">
        <f t="shared" si="0"/>
        <v>0</v>
      </c>
      <c r="K41" s="543">
        <f t="shared" si="0"/>
        <v>0</v>
      </c>
      <c r="L41" s="543">
        <f t="shared" si="0"/>
        <v>0</v>
      </c>
      <c r="M41" s="543">
        <f t="shared" si="0"/>
        <v>0</v>
      </c>
      <c r="N41" s="543">
        <f t="shared" si="0"/>
        <v>0</v>
      </c>
      <c r="O41" s="543">
        <f t="shared" si="0"/>
        <v>0</v>
      </c>
      <c r="P41" s="543">
        <f t="shared" si="0"/>
        <v>0</v>
      </c>
      <c r="Q41" s="543">
        <f t="shared" si="0"/>
        <v>0</v>
      </c>
      <c r="R41" s="543">
        <f t="shared" si="0"/>
        <v>0</v>
      </c>
      <c r="S41" s="543">
        <f t="shared" si="0"/>
        <v>0</v>
      </c>
      <c r="T41" s="543">
        <f t="shared" si="0"/>
        <v>0</v>
      </c>
      <c r="U41" s="543">
        <f t="shared" si="0"/>
        <v>0</v>
      </c>
      <c r="V41" s="543">
        <f t="shared" si="0"/>
        <v>0</v>
      </c>
      <c r="W41" s="543">
        <f t="shared" si="0"/>
        <v>0</v>
      </c>
      <c r="X41" s="543">
        <f t="shared" si="0"/>
        <v>0</v>
      </c>
      <c r="Y41" s="543">
        <f t="shared" si="0"/>
        <v>0</v>
      </c>
      <c r="Z41" s="543">
        <f t="shared" si="0"/>
        <v>0</v>
      </c>
      <c r="AA41" s="543">
        <f t="shared" si="0"/>
        <v>0</v>
      </c>
      <c r="AB41" s="543">
        <f t="shared" si="0"/>
        <v>0</v>
      </c>
      <c r="AC41" s="543">
        <f t="shared" si="0"/>
        <v>0</v>
      </c>
      <c r="AD41" s="543">
        <f t="shared" si="0"/>
        <v>0</v>
      </c>
      <c r="AE41" s="543">
        <f t="shared" si="0"/>
        <v>0</v>
      </c>
      <c r="AF41" s="543">
        <f t="shared" si="0"/>
        <v>0</v>
      </c>
      <c r="AG41" s="543">
        <f t="shared" si="0"/>
        <v>0</v>
      </c>
      <c r="AH41" s="543">
        <f t="shared" si="0"/>
        <v>0</v>
      </c>
      <c r="AI41" s="543">
        <f t="shared" si="0"/>
        <v>0</v>
      </c>
      <c r="AJ41" s="543">
        <f t="shared" si="0"/>
        <v>0</v>
      </c>
      <c r="AK41" s="543">
        <f t="shared" si="0"/>
        <v>0</v>
      </c>
      <c r="AL41" s="543">
        <f t="shared" si="0"/>
        <v>0</v>
      </c>
      <c r="AM41" s="543">
        <f t="shared" si="0"/>
        <v>0</v>
      </c>
      <c r="AN41" s="543">
        <f t="shared" si="0"/>
        <v>0</v>
      </c>
      <c r="AO41" s="543">
        <f t="shared" si="0"/>
        <v>0</v>
      </c>
      <c r="AP41" s="543">
        <f t="shared" si="0"/>
        <v>0</v>
      </c>
      <c r="AQ41" s="543">
        <f t="shared" si="0"/>
        <v>0</v>
      </c>
      <c r="AR41" s="543">
        <f t="shared" si="0"/>
        <v>0</v>
      </c>
      <c r="AS41" s="543">
        <f t="shared" si="0"/>
        <v>0</v>
      </c>
      <c r="AT41" s="543">
        <f t="shared" si="0"/>
        <v>0</v>
      </c>
      <c r="AU41" s="543">
        <f t="shared" si="0"/>
        <v>0</v>
      </c>
      <c r="AV41" s="543">
        <f t="shared" si="0"/>
        <v>0</v>
      </c>
      <c r="AW41" s="543">
        <f t="shared" si="0"/>
        <v>0</v>
      </c>
      <c r="AX41" s="543">
        <f t="shared" si="0"/>
        <v>0</v>
      </c>
      <c r="AY41" s="543">
        <f t="shared" si="0"/>
        <v>0</v>
      </c>
      <c r="AZ41" s="543">
        <f t="shared" si="0"/>
        <v>0</v>
      </c>
      <c r="BA41" s="543">
        <f t="shared" si="0"/>
        <v>0</v>
      </c>
      <c r="BB41" s="543">
        <f t="shared" si="0"/>
        <v>0</v>
      </c>
      <c r="BC41" s="543">
        <f t="shared" si="0"/>
        <v>0</v>
      </c>
      <c r="BD41" s="543">
        <f t="shared" si="0"/>
        <v>0</v>
      </c>
      <c r="BE41" s="543">
        <f t="shared" si="0"/>
        <v>0</v>
      </c>
      <c r="BF41" s="543">
        <f t="shared" si="0"/>
        <v>0</v>
      </c>
      <c r="BG41" s="543">
        <f t="shared" si="0"/>
        <v>0</v>
      </c>
      <c r="BH41" s="543">
        <f t="shared" si="0"/>
        <v>0</v>
      </c>
      <c r="BI41" s="543">
        <f t="shared" si="0"/>
        <v>0</v>
      </c>
      <c r="BJ41" s="543">
        <f t="shared" si="0"/>
        <v>0</v>
      </c>
      <c r="BK41" s="543">
        <f t="shared" si="0"/>
        <v>0</v>
      </c>
      <c r="BL41" s="543">
        <f t="shared" si="0"/>
        <v>0</v>
      </c>
      <c r="BM41" s="543">
        <f t="shared" si="0"/>
        <v>0</v>
      </c>
      <c r="BN41" s="543">
        <f t="shared" si="0"/>
        <v>0</v>
      </c>
      <c r="BO41" s="543">
        <f t="shared" ref="BO41:DZ41" si="1">+SUM(BO6:BO40)</f>
        <v>0</v>
      </c>
      <c r="BP41" s="543">
        <f t="shared" si="1"/>
        <v>0</v>
      </c>
      <c r="BQ41" s="543">
        <f t="shared" si="1"/>
        <v>0</v>
      </c>
      <c r="BR41" s="543">
        <f t="shared" si="1"/>
        <v>0</v>
      </c>
      <c r="BS41" s="543">
        <f t="shared" si="1"/>
        <v>0</v>
      </c>
      <c r="BT41" s="543">
        <f t="shared" si="1"/>
        <v>0</v>
      </c>
      <c r="BU41" s="543">
        <f t="shared" si="1"/>
        <v>0</v>
      </c>
      <c r="BV41" s="543">
        <f t="shared" si="1"/>
        <v>0</v>
      </c>
      <c r="BW41" s="543">
        <f t="shared" si="1"/>
        <v>0</v>
      </c>
      <c r="BX41" s="543">
        <f t="shared" si="1"/>
        <v>0</v>
      </c>
      <c r="BY41" s="543">
        <f t="shared" si="1"/>
        <v>0</v>
      </c>
      <c r="BZ41" s="543">
        <f t="shared" si="1"/>
        <v>0</v>
      </c>
      <c r="CA41" s="543">
        <f t="shared" si="1"/>
        <v>0</v>
      </c>
      <c r="CB41" s="543">
        <f t="shared" si="1"/>
        <v>0</v>
      </c>
      <c r="CC41" s="543">
        <f t="shared" si="1"/>
        <v>0</v>
      </c>
      <c r="CD41" s="543">
        <f t="shared" si="1"/>
        <v>0</v>
      </c>
      <c r="CE41" s="543">
        <f t="shared" si="1"/>
        <v>0</v>
      </c>
      <c r="CF41" s="543">
        <f t="shared" si="1"/>
        <v>0</v>
      </c>
      <c r="CG41" s="543">
        <f t="shared" si="1"/>
        <v>0</v>
      </c>
      <c r="CH41" s="543">
        <f t="shared" si="1"/>
        <v>0</v>
      </c>
      <c r="CI41" s="543">
        <f t="shared" si="1"/>
        <v>0</v>
      </c>
      <c r="CJ41" s="543">
        <f t="shared" si="1"/>
        <v>0</v>
      </c>
      <c r="CK41" s="543">
        <f t="shared" si="1"/>
        <v>0</v>
      </c>
      <c r="CL41" s="543">
        <f t="shared" si="1"/>
        <v>0</v>
      </c>
      <c r="CM41" s="543">
        <f t="shared" si="1"/>
        <v>0</v>
      </c>
      <c r="CN41" s="543">
        <f t="shared" si="1"/>
        <v>0</v>
      </c>
      <c r="CO41" s="543">
        <f t="shared" si="1"/>
        <v>0</v>
      </c>
      <c r="CP41" s="543">
        <f t="shared" si="1"/>
        <v>0</v>
      </c>
      <c r="CQ41" s="543">
        <f t="shared" si="1"/>
        <v>0</v>
      </c>
      <c r="CR41" s="543">
        <f t="shared" si="1"/>
        <v>0</v>
      </c>
      <c r="CS41" s="543">
        <f t="shared" si="1"/>
        <v>0</v>
      </c>
      <c r="CT41" s="543">
        <f t="shared" si="1"/>
        <v>0</v>
      </c>
      <c r="CU41" s="543">
        <f t="shared" si="1"/>
        <v>0</v>
      </c>
      <c r="CV41" s="543">
        <f t="shared" si="1"/>
        <v>0</v>
      </c>
      <c r="CW41" s="543">
        <f t="shared" si="1"/>
        <v>0</v>
      </c>
      <c r="CX41" s="543">
        <f t="shared" si="1"/>
        <v>0</v>
      </c>
      <c r="CY41" s="543">
        <f t="shared" si="1"/>
        <v>0</v>
      </c>
      <c r="CZ41" s="543">
        <f t="shared" si="1"/>
        <v>0</v>
      </c>
      <c r="DA41" s="543">
        <f t="shared" si="1"/>
        <v>0</v>
      </c>
      <c r="DB41" s="543">
        <f t="shared" si="1"/>
        <v>0</v>
      </c>
      <c r="DC41" s="543">
        <f t="shared" si="1"/>
        <v>0</v>
      </c>
      <c r="DD41" s="543">
        <f t="shared" si="1"/>
        <v>0</v>
      </c>
      <c r="DE41" s="543">
        <f t="shared" si="1"/>
        <v>0</v>
      </c>
      <c r="DF41" s="543">
        <f t="shared" si="1"/>
        <v>0</v>
      </c>
      <c r="DG41" s="543">
        <f t="shared" si="1"/>
        <v>0</v>
      </c>
      <c r="DH41" s="543">
        <f t="shared" si="1"/>
        <v>0</v>
      </c>
      <c r="DI41" s="543">
        <f t="shared" si="1"/>
        <v>0</v>
      </c>
      <c r="DJ41" s="543">
        <f t="shared" si="1"/>
        <v>0</v>
      </c>
      <c r="DK41" s="543">
        <f t="shared" si="1"/>
        <v>0</v>
      </c>
      <c r="DL41" s="543">
        <f t="shared" si="1"/>
        <v>0</v>
      </c>
      <c r="DM41" s="543">
        <f t="shared" si="1"/>
        <v>0</v>
      </c>
      <c r="DN41" s="543">
        <f t="shared" si="1"/>
        <v>0</v>
      </c>
      <c r="DO41" s="543">
        <f t="shared" si="1"/>
        <v>0</v>
      </c>
      <c r="DP41" s="543">
        <f t="shared" si="1"/>
        <v>0</v>
      </c>
      <c r="DQ41" s="543">
        <f t="shared" si="1"/>
        <v>0</v>
      </c>
      <c r="DR41" s="543">
        <f t="shared" si="1"/>
        <v>0</v>
      </c>
      <c r="DS41" s="543">
        <f t="shared" si="1"/>
        <v>0</v>
      </c>
      <c r="DT41" s="543">
        <f t="shared" si="1"/>
        <v>0</v>
      </c>
      <c r="DU41" s="543">
        <f t="shared" si="1"/>
        <v>0</v>
      </c>
      <c r="DV41" s="543">
        <f t="shared" si="1"/>
        <v>0</v>
      </c>
      <c r="DW41" s="543">
        <f t="shared" si="1"/>
        <v>0</v>
      </c>
      <c r="DX41" s="543">
        <f t="shared" si="1"/>
        <v>0</v>
      </c>
      <c r="DY41" s="543">
        <f t="shared" si="1"/>
        <v>0</v>
      </c>
      <c r="DZ41" s="543">
        <f t="shared" si="1"/>
        <v>0</v>
      </c>
      <c r="EA41" s="543">
        <f t="shared" ref="EA41:GL41" si="2">+SUM(EA6:EA40)</f>
        <v>0</v>
      </c>
      <c r="EB41" s="543">
        <f t="shared" si="2"/>
        <v>0</v>
      </c>
      <c r="EC41" s="543">
        <f t="shared" si="2"/>
        <v>0</v>
      </c>
      <c r="ED41" s="543">
        <f t="shared" si="2"/>
        <v>0</v>
      </c>
      <c r="EE41" s="543">
        <f t="shared" si="2"/>
        <v>0</v>
      </c>
      <c r="EF41" s="543">
        <f t="shared" si="2"/>
        <v>0</v>
      </c>
      <c r="EG41" s="543">
        <f t="shared" si="2"/>
        <v>0</v>
      </c>
      <c r="EH41" s="543">
        <f t="shared" si="2"/>
        <v>0</v>
      </c>
      <c r="EI41" s="543">
        <f t="shared" si="2"/>
        <v>0</v>
      </c>
      <c r="EJ41" s="543">
        <f t="shared" si="2"/>
        <v>0</v>
      </c>
      <c r="EK41" s="543">
        <f t="shared" si="2"/>
        <v>0</v>
      </c>
      <c r="EL41" s="543">
        <f t="shared" si="2"/>
        <v>0</v>
      </c>
      <c r="EM41" s="543">
        <f t="shared" si="2"/>
        <v>0</v>
      </c>
      <c r="EN41" s="543">
        <f t="shared" si="2"/>
        <v>0</v>
      </c>
      <c r="EO41" s="543">
        <f t="shared" si="2"/>
        <v>0</v>
      </c>
      <c r="EP41" s="543">
        <f t="shared" si="2"/>
        <v>0</v>
      </c>
      <c r="EQ41" s="543">
        <f t="shared" si="2"/>
        <v>0</v>
      </c>
      <c r="ER41" s="543">
        <f t="shared" si="2"/>
        <v>0</v>
      </c>
      <c r="ES41" s="543">
        <f t="shared" si="2"/>
        <v>0</v>
      </c>
      <c r="ET41" s="543">
        <f t="shared" si="2"/>
        <v>0</v>
      </c>
      <c r="EU41" s="543">
        <f t="shared" si="2"/>
        <v>0</v>
      </c>
      <c r="EV41" s="543">
        <f t="shared" si="2"/>
        <v>0</v>
      </c>
      <c r="EW41" s="1953">
        <f t="shared" si="2"/>
        <v>0</v>
      </c>
      <c r="EX41" s="1954">
        <f t="shared" si="2"/>
        <v>0</v>
      </c>
      <c r="EY41" s="543">
        <f t="shared" si="2"/>
        <v>0</v>
      </c>
      <c r="EZ41" s="543">
        <f t="shared" si="2"/>
        <v>0</v>
      </c>
      <c r="FA41" s="543">
        <f t="shared" si="2"/>
        <v>0</v>
      </c>
      <c r="FB41" s="543">
        <f t="shared" si="2"/>
        <v>0</v>
      </c>
      <c r="FC41" s="543">
        <f t="shared" si="2"/>
        <v>0</v>
      </c>
      <c r="FD41" s="543">
        <f t="shared" si="2"/>
        <v>0</v>
      </c>
      <c r="FE41" s="543">
        <f t="shared" si="2"/>
        <v>0</v>
      </c>
      <c r="FF41" s="543">
        <f t="shared" si="2"/>
        <v>0</v>
      </c>
      <c r="FG41" s="543">
        <f t="shared" si="2"/>
        <v>0</v>
      </c>
      <c r="FH41" s="543">
        <f t="shared" si="2"/>
        <v>0</v>
      </c>
      <c r="FI41" s="543">
        <f t="shared" si="2"/>
        <v>0</v>
      </c>
      <c r="FJ41" s="543">
        <f t="shared" si="2"/>
        <v>0</v>
      </c>
      <c r="FK41" s="543">
        <f t="shared" si="2"/>
        <v>0</v>
      </c>
      <c r="FL41" s="543">
        <f t="shared" si="2"/>
        <v>0</v>
      </c>
      <c r="FM41" s="543">
        <f t="shared" si="2"/>
        <v>0</v>
      </c>
      <c r="FN41" s="543">
        <f t="shared" si="2"/>
        <v>0</v>
      </c>
      <c r="FO41" s="543">
        <f t="shared" si="2"/>
        <v>0</v>
      </c>
      <c r="FP41" s="543">
        <f t="shared" si="2"/>
        <v>0</v>
      </c>
      <c r="FQ41" s="543">
        <f t="shared" si="2"/>
        <v>0</v>
      </c>
      <c r="FR41" s="543">
        <f t="shared" si="2"/>
        <v>0</v>
      </c>
      <c r="FS41" s="543">
        <f t="shared" si="2"/>
        <v>0</v>
      </c>
      <c r="FT41" s="543">
        <f t="shared" si="2"/>
        <v>0</v>
      </c>
      <c r="FU41" s="543">
        <f t="shared" si="2"/>
        <v>0</v>
      </c>
      <c r="FV41" s="543">
        <f t="shared" si="2"/>
        <v>0</v>
      </c>
      <c r="FW41" s="543">
        <f t="shared" si="2"/>
        <v>0</v>
      </c>
      <c r="FX41" s="543">
        <f t="shared" si="2"/>
        <v>0</v>
      </c>
      <c r="FY41" s="543">
        <f t="shared" si="2"/>
        <v>0</v>
      </c>
      <c r="FZ41" s="543">
        <f t="shared" si="2"/>
        <v>0</v>
      </c>
      <c r="GA41" s="543">
        <f t="shared" si="2"/>
        <v>0</v>
      </c>
      <c r="GB41" s="543">
        <f t="shared" si="2"/>
        <v>0</v>
      </c>
      <c r="GC41" s="543">
        <f t="shared" si="2"/>
        <v>0</v>
      </c>
      <c r="GD41" s="543">
        <f t="shared" si="2"/>
        <v>0</v>
      </c>
      <c r="GE41" s="543">
        <f t="shared" si="2"/>
        <v>0</v>
      </c>
      <c r="GF41" s="543">
        <f t="shared" si="2"/>
        <v>0</v>
      </c>
      <c r="GG41" s="543">
        <f t="shared" si="2"/>
        <v>0</v>
      </c>
      <c r="GH41" s="543">
        <f t="shared" si="2"/>
        <v>0</v>
      </c>
      <c r="GI41" s="543">
        <f t="shared" si="2"/>
        <v>0</v>
      </c>
      <c r="GJ41" s="543">
        <f t="shared" si="2"/>
        <v>0</v>
      </c>
      <c r="GK41" s="543">
        <f t="shared" si="2"/>
        <v>0</v>
      </c>
      <c r="GL41" s="543">
        <f t="shared" si="2"/>
        <v>0</v>
      </c>
      <c r="GM41" s="543">
        <f t="shared" ref="GM41:IX41" si="3">+SUM(GM6:GM40)</f>
        <v>0</v>
      </c>
      <c r="GN41" s="543">
        <f t="shared" si="3"/>
        <v>0</v>
      </c>
      <c r="GO41" s="543">
        <f t="shared" si="3"/>
        <v>0</v>
      </c>
      <c r="GP41" s="543">
        <f t="shared" si="3"/>
        <v>0</v>
      </c>
      <c r="GQ41" s="543">
        <f t="shared" si="3"/>
        <v>0</v>
      </c>
      <c r="GR41" s="543">
        <f t="shared" si="3"/>
        <v>0</v>
      </c>
      <c r="GS41" s="543">
        <f t="shared" si="3"/>
        <v>0</v>
      </c>
      <c r="GT41" s="543">
        <f t="shared" si="3"/>
        <v>0</v>
      </c>
      <c r="GU41" s="543">
        <f t="shared" si="3"/>
        <v>0</v>
      </c>
      <c r="GV41" s="543">
        <f t="shared" si="3"/>
        <v>0</v>
      </c>
      <c r="GW41" s="543">
        <f t="shared" si="3"/>
        <v>0</v>
      </c>
      <c r="GX41" s="543">
        <f t="shared" si="3"/>
        <v>0</v>
      </c>
      <c r="GY41" s="543">
        <f t="shared" si="3"/>
        <v>0</v>
      </c>
      <c r="GZ41" s="543">
        <f t="shared" si="3"/>
        <v>0</v>
      </c>
      <c r="HA41" s="543">
        <f t="shared" si="3"/>
        <v>0</v>
      </c>
      <c r="HB41" s="543">
        <f t="shared" si="3"/>
        <v>0</v>
      </c>
      <c r="HC41" s="543">
        <f t="shared" si="3"/>
        <v>0</v>
      </c>
      <c r="HD41" s="543">
        <f t="shared" si="3"/>
        <v>0</v>
      </c>
      <c r="HE41" s="543">
        <f t="shared" si="3"/>
        <v>0</v>
      </c>
      <c r="HF41" s="543">
        <f t="shared" si="3"/>
        <v>0</v>
      </c>
      <c r="HG41" s="543">
        <f t="shared" si="3"/>
        <v>0</v>
      </c>
      <c r="HH41" s="543">
        <f t="shared" si="3"/>
        <v>0</v>
      </c>
      <c r="HI41" s="543">
        <f t="shared" si="3"/>
        <v>0</v>
      </c>
      <c r="HJ41" s="543">
        <f t="shared" si="3"/>
        <v>0</v>
      </c>
      <c r="HK41" s="543">
        <f t="shared" si="3"/>
        <v>0</v>
      </c>
      <c r="HL41" s="543">
        <f t="shared" si="3"/>
        <v>0</v>
      </c>
      <c r="HM41" s="543">
        <f t="shared" si="3"/>
        <v>0</v>
      </c>
      <c r="HN41" s="543">
        <f t="shared" si="3"/>
        <v>0</v>
      </c>
      <c r="HO41" s="543">
        <f t="shared" si="3"/>
        <v>0</v>
      </c>
      <c r="HP41" s="543">
        <f t="shared" si="3"/>
        <v>0</v>
      </c>
      <c r="HQ41" s="543">
        <f t="shared" si="3"/>
        <v>0</v>
      </c>
      <c r="HR41" s="543">
        <f t="shared" si="3"/>
        <v>0</v>
      </c>
      <c r="HS41" s="543">
        <f t="shared" si="3"/>
        <v>0</v>
      </c>
      <c r="HT41" s="543">
        <f t="shared" si="3"/>
        <v>0</v>
      </c>
      <c r="HU41" s="543">
        <f t="shared" si="3"/>
        <v>0</v>
      </c>
      <c r="HV41" s="543">
        <f t="shared" si="3"/>
        <v>0</v>
      </c>
      <c r="HW41" s="543">
        <f t="shared" si="3"/>
        <v>0</v>
      </c>
      <c r="HX41" s="543">
        <f t="shared" si="3"/>
        <v>0</v>
      </c>
      <c r="HY41" s="543">
        <f t="shared" si="3"/>
        <v>0</v>
      </c>
      <c r="HZ41" s="543">
        <f t="shared" si="3"/>
        <v>0</v>
      </c>
      <c r="IA41" s="543">
        <f t="shared" si="3"/>
        <v>0</v>
      </c>
      <c r="IB41" s="543">
        <f t="shared" si="3"/>
        <v>0</v>
      </c>
      <c r="IC41" s="543">
        <f t="shared" si="3"/>
        <v>0</v>
      </c>
      <c r="ID41" s="543">
        <f t="shared" si="3"/>
        <v>0</v>
      </c>
      <c r="IE41" s="543">
        <f t="shared" si="3"/>
        <v>0</v>
      </c>
      <c r="IF41" s="543">
        <f t="shared" si="3"/>
        <v>0</v>
      </c>
      <c r="IG41" s="543">
        <f t="shared" si="3"/>
        <v>0</v>
      </c>
      <c r="IH41" s="543">
        <f t="shared" si="3"/>
        <v>0</v>
      </c>
      <c r="II41" s="543">
        <f t="shared" si="3"/>
        <v>0</v>
      </c>
      <c r="IJ41" s="543">
        <f t="shared" si="3"/>
        <v>0</v>
      </c>
      <c r="IK41" s="543">
        <f t="shared" si="3"/>
        <v>0</v>
      </c>
      <c r="IL41" s="543">
        <f t="shared" si="3"/>
        <v>0</v>
      </c>
      <c r="IM41" s="543">
        <f t="shared" si="3"/>
        <v>0</v>
      </c>
      <c r="IN41" s="543">
        <f t="shared" si="3"/>
        <v>0</v>
      </c>
      <c r="IO41" s="543">
        <f t="shared" si="3"/>
        <v>0</v>
      </c>
      <c r="IP41" s="543">
        <f t="shared" si="3"/>
        <v>0</v>
      </c>
      <c r="IQ41" s="543">
        <f t="shared" si="3"/>
        <v>0</v>
      </c>
      <c r="IR41" s="543">
        <f t="shared" si="3"/>
        <v>0</v>
      </c>
      <c r="IS41" s="543">
        <f t="shared" si="3"/>
        <v>0</v>
      </c>
      <c r="IT41" s="543">
        <f t="shared" si="3"/>
        <v>0</v>
      </c>
      <c r="IU41" s="543">
        <f t="shared" si="3"/>
        <v>0</v>
      </c>
      <c r="IV41" s="543">
        <f t="shared" si="3"/>
        <v>0</v>
      </c>
      <c r="IW41" s="543">
        <f t="shared" si="3"/>
        <v>0</v>
      </c>
      <c r="IX41" s="543">
        <f t="shared" si="3"/>
        <v>0</v>
      </c>
      <c r="IY41" s="543">
        <f t="shared" ref="IY41:KP41" si="4">+SUM(IY6:IY40)</f>
        <v>0</v>
      </c>
      <c r="IZ41" s="543">
        <f t="shared" si="4"/>
        <v>0</v>
      </c>
      <c r="JA41" s="543">
        <f t="shared" si="4"/>
        <v>0</v>
      </c>
      <c r="JB41" s="543">
        <f t="shared" si="4"/>
        <v>0</v>
      </c>
      <c r="JC41" s="543">
        <f t="shared" si="4"/>
        <v>0</v>
      </c>
      <c r="JD41" s="543">
        <f t="shared" si="4"/>
        <v>0</v>
      </c>
      <c r="JE41" s="543">
        <f t="shared" si="4"/>
        <v>0</v>
      </c>
      <c r="JF41" s="543">
        <f t="shared" si="4"/>
        <v>0</v>
      </c>
      <c r="JG41" s="543">
        <f t="shared" si="4"/>
        <v>0</v>
      </c>
      <c r="JH41" s="543">
        <f t="shared" si="4"/>
        <v>0</v>
      </c>
      <c r="JI41" s="543">
        <f t="shared" si="4"/>
        <v>0</v>
      </c>
      <c r="JJ41" s="543">
        <f t="shared" si="4"/>
        <v>0</v>
      </c>
      <c r="JK41" s="543">
        <f t="shared" si="4"/>
        <v>0</v>
      </c>
      <c r="JL41" s="543">
        <f t="shared" si="4"/>
        <v>0</v>
      </c>
      <c r="JM41" s="543">
        <f t="shared" si="4"/>
        <v>0</v>
      </c>
      <c r="JN41" s="543">
        <f t="shared" si="4"/>
        <v>0</v>
      </c>
      <c r="JO41" s="543">
        <f t="shared" si="4"/>
        <v>0</v>
      </c>
      <c r="JP41" s="543">
        <f t="shared" si="4"/>
        <v>0</v>
      </c>
      <c r="JQ41" s="543">
        <f t="shared" si="4"/>
        <v>0</v>
      </c>
      <c r="JR41" s="543">
        <f t="shared" si="4"/>
        <v>0</v>
      </c>
      <c r="JS41" s="543">
        <f t="shared" si="4"/>
        <v>0</v>
      </c>
      <c r="JT41" s="543">
        <f t="shared" si="4"/>
        <v>0</v>
      </c>
      <c r="JU41" s="543">
        <f t="shared" si="4"/>
        <v>0</v>
      </c>
      <c r="JV41" s="543">
        <f t="shared" si="4"/>
        <v>0</v>
      </c>
      <c r="JW41" s="543">
        <f t="shared" si="4"/>
        <v>0</v>
      </c>
      <c r="JX41" s="543">
        <f t="shared" si="4"/>
        <v>0</v>
      </c>
      <c r="JY41" s="543">
        <f t="shared" si="4"/>
        <v>0</v>
      </c>
      <c r="JZ41" s="543">
        <f t="shared" si="4"/>
        <v>0</v>
      </c>
      <c r="KA41" s="543">
        <f t="shared" si="4"/>
        <v>0</v>
      </c>
      <c r="KB41" s="543">
        <f t="shared" si="4"/>
        <v>0</v>
      </c>
      <c r="KC41" s="543">
        <f t="shared" si="4"/>
        <v>0</v>
      </c>
      <c r="KD41" s="543">
        <f t="shared" si="4"/>
        <v>0</v>
      </c>
      <c r="KE41" s="543">
        <f t="shared" si="4"/>
        <v>0</v>
      </c>
      <c r="KF41" s="543">
        <f t="shared" si="4"/>
        <v>0</v>
      </c>
      <c r="KG41" s="543">
        <f t="shared" si="4"/>
        <v>0</v>
      </c>
      <c r="KH41" s="543">
        <f t="shared" si="4"/>
        <v>0</v>
      </c>
      <c r="KI41" s="543">
        <f t="shared" si="4"/>
        <v>0</v>
      </c>
      <c r="KJ41" s="543">
        <f t="shared" si="4"/>
        <v>0</v>
      </c>
      <c r="KK41" s="543">
        <f t="shared" si="4"/>
        <v>0</v>
      </c>
      <c r="KL41" s="543">
        <f t="shared" si="4"/>
        <v>0</v>
      </c>
      <c r="KM41" s="543">
        <f t="shared" si="4"/>
        <v>0</v>
      </c>
      <c r="KN41" s="543">
        <f t="shared" si="4"/>
        <v>0</v>
      </c>
      <c r="KO41" s="543">
        <f t="shared" si="4"/>
        <v>0</v>
      </c>
      <c r="KP41" s="543">
        <f t="shared" si="4"/>
        <v>0</v>
      </c>
      <c r="KQ41" s="544"/>
    </row>
    <row r="42" spans="1:304" ht="18.899999999999999" customHeight="1" thickTop="1">
      <c r="E42" s="546"/>
      <c r="F42" s="546"/>
      <c r="G42" s="546"/>
      <c r="H42" s="546"/>
      <c r="I42" s="546"/>
      <c r="J42" s="546"/>
      <c r="K42" s="546"/>
      <c r="L42" s="546"/>
      <c r="M42" s="546"/>
      <c r="N42" s="546"/>
      <c r="P42" s="547" t="s">
        <v>846</v>
      </c>
    </row>
    <row r="43" spans="1:304" ht="18.899999999999999" customHeight="1">
      <c r="A43" s="1889" t="s">
        <v>190</v>
      </c>
      <c r="D43" s="539" t="s">
        <v>698</v>
      </c>
      <c r="E43" s="546"/>
      <c r="F43" s="546"/>
      <c r="G43" s="546"/>
      <c r="H43" s="546"/>
      <c r="I43" s="546"/>
      <c r="J43" s="546"/>
      <c r="K43" s="546"/>
      <c r="L43" s="546"/>
      <c r="M43" s="473" t="s">
        <v>1457</v>
      </c>
      <c r="N43" s="546"/>
      <c r="O43" s="468">
        <f>COUNTIF($O$38:$O$41,"G")</f>
        <v>0</v>
      </c>
      <c r="P43" s="1847" t="s">
        <v>190</v>
      </c>
      <c r="Q43" s="1847" t="s">
        <v>698</v>
      </c>
      <c r="U43" s="2625">
        <f>1.02*E43</f>
        <v>0</v>
      </c>
      <c r="V43" s="2625"/>
      <c r="W43" s="2625"/>
      <c r="X43" s="2625"/>
      <c r="Y43" s="2625"/>
      <c r="Z43" s="2625"/>
      <c r="AA43" s="2625"/>
      <c r="AB43" s="2625"/>
      <c r="AC43" s="2625"/>
      <c r="AD43" s="2625"/>
      <c r="AE43" s="2625"/>
      <c r="AF43" s="2625"/>
      <c r="AG43" s="2625"/>
      <c r="AH43" s="2625"/>
      <c r="AI43" s="2625"/>
      <c r="AJ43" s="2625"/>
      <c r="AK43" s="2625"/>
      <c r="AL43" s="2625"/>
      <c r="AM43" s="2625"/>
      <c r="AN43" s="2625"/>
      <c r="AO43" s="2625"/>
      <c r="AP43" s="2625"/>
      <c r="AQ43" s="2625"/>
      <c r="AR43" s="2625"/>
      <c r="AS43" s="2625"/>
      <c r="AT43" s="2625"/>
      <c r="AU43" s="2625"/>
      <c r="AV43" s="2625"/>
      <c r="AW43" s="2625"/>
      <c r="CI43" s="548"/>
      <c r="IJ43" s="539">
        <f>IJ41-FN41</f>
        <v>0</v>
      </c>
    </row>
    <row r="44" spans="1:304" ht="18.899999999999999" customHeight="1">
      <c r="A44" s="1889" t="s">
        <v>191</v>
      </c>
      <c r="D44" s="539" t="s">
        <v>698</v>
      </c>
      <c r="E44" s="546"/>
      <c r="F44" s="546"/>
      <c r="G44" s="546"/>
      <c r="H44" s="546"/>
      <c r="I44" s="546"/>
      <c r="J44" s="546"/>
      <c r="K44" s="546"/>
      <c r="L44" s="546"/>
      <c r="M44" s="1035" t="s">
        <v>4801</v>
      </c>
      <c r="N44" s="546"/>
      <c r="O44" s="468">
        <f>COUNTIF($O$38:$O$41,"GDT")</f>
        <v>0</v>
      </c>
      <c r="P44" s="1847" t="s">
        <v>191</v>
      </c>
      <c r="Q44" s="1847" t="s">
        <v>698</v>
      </c>
      <c r="U44" s="2626"/>
      <c r="V44" s="2625"/>
      <c r="W44" s="2625"/>
      <c r="X44" s="2625"/>
      <c r="Y44" s="2625"/>
      <c r="Z44" s="2625"/>
      <c r="AA44" s="2625"/>
      <c r="AB44" s="2625"/>
      <c r="AC44" s="2625"/>
      <c r="AD44" s="2625"/>
      <c r="AE44" s="2625"/>
      <c r="AF44" s="2625"/>
      <c r="AG44" s="2625"/>
      <c r="AH44" s="2625"/>
      <c r="AI44" s="2625"/>
      <c r="AJ44" s="2625"/>
      <c r="AK44" s="2625"/>
      <c r="AL44" s="2625"/>
      <c r="AM44" s="2625"/>
      <c r="AN44" s="2625"/>
      <c r="AO44" s="2625"/>
      <c r="AP44" s="2625"/>
      <c r="AQ44" s="2625"/>
      <c r="AR44" s="2625"/>
      <c r="AS44" s="2625"/>
      <c r="AT44" s="2625"/>
      <c r="AU44" s="2625"/>
      <c r="AV44" s="2625"/>
      <c r="AW44" s="2625"/>
    </row>
    <row r="45" spans="1:304" ht="18.899999999999999" customHeight="1">
      <c r="A45" s="1889" t="s">
        <v>1023</v>
      </c>
      <c r="D45" s="539" t="s">
        <v>698</v>
      </c>
      <c r="E45" s="546"/>
      <c r="F45" s="546"/>
      <c r="G45" s="546"/>
      <c r="H45" s="546"/>
      <c r="I45" s="546"/>
      <c r="J45" s="546"/>
      <c r="K45" s="546"/>
      <c r="L45" s="546"/>
      <c r="M45" s="473" t="s">
        <v>4788</v>
      </c>
      <c r="N45" s="546"/>
      <c r="O45" s="468">
        <f>COUNTIF($O$38:$O$41,"2DT")</f>
        <v>0</v>
      </c>
      <c r="P45" s="1847" t="s">
        <v>1023</v>
      </c>
      <c r="Q45" s="1847" t="s">
        <v>698</v>
      </c>
      <c r="U45" s="2625">
        <f>1.02*E45</f>
        <v>0</v>
      </c>
      <c r="V45" s="2625"/>
      <c r="W45" s="2625"/>
      <c r="X45" s="2625"/>
      <c r="Y45" s="2625"/>
      <c r="Z45" s="2625"/>
      <c r="AA45" s="2625"/>
      <c r="AB45" s="2625"/>
      <c r="AC45" s="2625"/>
      <c r="AD45" s="2625"/>
      <c r="AE45" s="2625"/>
      <c r="AF45" s="2625"/>
      <c r="AG45" s="2625"/>
      <c r="AH45" s="2625"/>
      <c r="AI45" s="2625"/>
      <c r="AJ45" s="2625"/>
      <c r="AK45" s="2625"/>
      <c r="AL45" s="2625"/>
      <c r="AM45" s="2625"/>
      <c r="AN45" s="2625"/>
      <c r="AO45" s="2625"/>
      <c r="AP45" s="2625"/>
      <c r="AQ45" s="2625"/>
      <c r="AR45" s="2625"/>
      <c r="AS45" s="2625"/>
      <c r="AT45" s="2625"/>
      <c r="AU45" s="2625"/>
      <c r="AV45" s="2625"/>
      <c r="AW45" s="2625"/>
    </row>
    <row r="46" spans="1:304" ht="18.899999999999999" customHeight="1">
      <c r="A46" s="1889" t="s">
        <v>1070</v>
      </c>
      <c r="D46" s="539" t="s">
        <v>698</v>
      </c>
      <c r="E46" s="546"/>
      <c r="F46" s="546"/>
      <c r="G46" s="546"/>
      <c r="H46" s="546"/>
      <c r="I46" s="546"/>
      <c r="J46" s="546"/>
      <c r="K46" s="546"/>
      <c r="L46" s="546"/>
      <c r="M46" s="473" t="s">
        <v>183</v>
      </c>
      <c r="N46" s="546"/>
      <c r="O46" s="468">
        <f>COUNTIF($O$38:$O$41,"3DT")</f>
        <v>0</v>
      </c>
      <c r="P46" s="1847" t="s">
        <v>1070</v>
      </c>
      <c r="Q46" s="1847" t="s">
        <v>698</v>
      </c>
      <c r="U46" s="1847">
        <f>1.02*E46</f>
        <v>0</v>
      </c>
      <c r="W46" s="1847">
        <f>1.02*O46</f>
        <v>0</v>
      </c>
      <c r="X46" s="549"/>
      <c r="Y46" s="549"/>
      <c r="Z46" s="549"/>
      <c r="AA46" s="1847" t="s">
        <v>866</v>
      </c>
      <c r="AX46" s="550"/>
    </row>
    <row r="47" spans="1:304" ht="18.899999999999999" customHeight="1">
      <c r="A47" s="1889" t="s">
        <v>2069</v>
      </c>
      <c r="D47" s="539" t="s">
        <v>698</v>
      </c>
      <c r="E47" s="546"/>
      <c r="F47" s="546"/>
      <c r="G47" s="546"/>
      <c r="H47" s="546"/>
      <c r="I47" s="546"/>
      <c r="J47" s="546"/>
      <c r="K47" s="546"/>
      <c r="L47" s="546"/>
      <c r="M47" s="473" t="s">
        <v>341</v>
      </c>
      <c r="N47" s="546"/>
      <c r="O47" s="468">
        <f>COUNTIF($O$38:$O$41,"I")</f>
        <v>0</v>
      </c>
      <c r="P47" s="1847" t="s">
        <v>2069</v>
      </c>
      <c r="Q47" s="1847" t="s">
        <v>698</v>
      </c>
      <c r="X47" s="549"/>
      <c r="Y47" s="549"/>
      <c r="Z47" s="549"/>
      <c r="AA47" s="1847" t="s">
        <v>866</v>
      </c>
    </row>
    <row r="48" spans="1:304" ht="18.899999999999999" customHeight="1">
      <c r="A48" s="1889" t="s">
        <v>876</v>
      </c>
      <c r="D48" s="539" t="s">
        <v>698</v>
      </c>
      <c r="E48" s="546"/>
      <c r="F48" s="546"/>
      <c r="G48" s="546"/>
      <c r="H48" s="546"/>
      <c r="I48" s="546"/>
      <c r="J48" s="546"/>
      <c r="K48" s="546"/>
      <c r="L48" s="546"/>
      <c r="M48" s="473" t="s">
        <v>4787</v>
      </c>
      <c r="N48" s="546"/>
      <c r="O48" s="468">
        <f>COUNTIF($O$38:$O$41,"IDT")</f>
        <v>0</v>
      </c>
      <c r="P48" s="1847" t="s">
        <v>876</v>
      </c>
      <c r="Q48" s="1847" t="s">
        <v>698</v>
      </c>
      <c r="X48" s="549"/>
      <c r="Y48" s="549"/>
      <c r="Z48" s="549"/>
      <c r="AA48" s="1847" t="s">
        <v>866</v>
      </c>
    </row>
    <row r="49" spans="1:50" ht="18.899999999999999" customHeight="1">
      <c r="A49" s="1889" t="s">
        <v>472</v>
      </c>
      <c r="D49" s="539" t="s">
        <v>698</v>
      </c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P49" s="1847" t="s">
        <v>472</v>
      </c>
      <c r="Q49" s="1847" t="s">
        <v>698</v>
      </c>
      <c r="X49" s="549"/>
      <c r="Y49" s="549"/>
      <c r="Z49" s="549"/>
      <c r="AA49" s="1847" t="s">
        <v>866</v>
      </c>
    </row>
    <row r="50" spans="1:50" ht="18.899999999999999" customHeight="1">
      <c r="A50" s="1889" t="s">
        <v>976</v>
      </c>
      <c r="D50" s="539" t="s">
        <v>698</v>
      </c>
      <c r="E50" s="546"/>
      <c r="F50" s="546"/>
      <c r="G50" s="546"/>
      <c r="H50" s="546"/>
      <c r="I50" s="546"/>
      <c r="J50" s="546"/>
      <c r="K50" s="546"/>
      <c r="L50" s="546"/>
      <c r="M50" s="546"/>
      <c r="N50" s="546"/>
      <c r="P50" s="1847" t="s">
        <v>976</v>
      </c>
      <c r="Q50" s="1847" t="s">
        <v>698</v>
      </c>
      <c r="X50" s="549"/>
      <c r="Y50" s="549"/>
      <c r="Z50" s="549"/>
      <c r="AA50" s="1847" t="s">
        <v>866</v>
      </c>
      <c r="AX50" s="550"/>
    </row>
    <row r="51" spans="1:50" ht="18.899999999999999" customHeight="1">
      <c r="A51" s="1889" t="s">
        <v>1752</v>
      </c>
      <c r="D51" s="539" t="s">
        <v>698</v>
      </c>
      <c r="E51" s="546"/>
      <c r="F51" s="546"/>
      <c r="G51" s="546"/>
      <c r="H51" s="546"/>
      <c r="I51" s="546"/>
      <c r="J51" s="546"/>
      <c r="K51" s="546"/>
      <c r="L51" s="546"/>
      <c r="M51" s="546"/>
      <c r="N51" s="546"/>
      <c r="P51" s="1847" t="s">
        <v>1752</v>
      </c>
      <c r="Q51" s="1847" t="s">
        <v>698</v>
      </c>
      <c r="X51" s="549"/>
      <c r="Y51" s="549"/>
      <c r="Z51" s="549"/>
      <c r="AA51" s="1847" t="s">
        <v>866</v>
      </c>
      <c r="AX51" s="550"/>
    </row>
    <row r="52" spans="1:50" ht="18.899999999999999" customHeight="1">
      <c r="A52" s="1889" t="s">
        <v>1751</v>
      </c>
      <c r="D52" s="539" t="s">
        <v>698</v>
      </c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P52" s="1847" t="s">
        <v>1751</v>
      </c>
      <c r="Q52" s="1847" t="s">
        <v>698</v>
      </c>
      <c r="X52" s="549"/>
      <c r="Y52" s="549"/>
      <c r="Z52" s="549"/>
      <c r="AA52" s="1847" t="s">
        <v>866</v>
      </c>
    </row>
    <row r="53" spans="1:50" ht="18.899999999999999" customHeight="1">
      <c r="A53" s="1889" t="s">
        <v>1750</v>
      </c>
      <c r="D53" s="539" t="s">
        <v>698</v>
      </c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P53" s="1847" t="s">
        <v>1750</v>
      </c>
      <c r="Q53" s="1847" t="s">
        <v>698</v>
      </c>
      <c r="X53" s="549"/>
      <c r="Y53" s="549"/>
      <c r="Z53" s="549"/>
      <c r="AA53" s="1847" t="s">
        <v>866</v>
      </c>
      <c r="AX53" s="550"/>
    </row>
    <row r="54" spans="1:50" ht="18.899999999999999" customHeight="1">
      <c r="A54" s="1889" t="s">
        <v>1749</v>
      </c>
      <c r="D54" s="539" t="s">
        <v>698</v>
      </c>
      <c r="E54" s="546"/>
      <c r="F54" s="546"/>
      <c r="G54" s="546"/>
      <c r="H54" s="546"/>
      <c r="I54" s="546"/>
      <c r="J54" s="546"/>
      <c r="K54" s="546"/>
      <c r="L54" s="546"/>
      <c r="M54" s="546"/>
      <c r="N54" s="546"/>
      <c r="P54" s="1847" t="s">
        <v>1749</v>
      </c>
      <c r="Q54" s="1847" t="s">
        <v>698</v>
      </c>
      <c r="X54" s="549"/>
      <c r="Y54" s="549"/>
      <c r="Z54" s="549"/>
      <c r="AA54" s="1847" t="s">
        <v>866</v>
      </c>
      <c r="AX54" s="550"/>
    </row>
    <row r="55" spans="1:50" ht="18.899999999999999" customHeight="1">
      <c r="A55" s="1889" t="s">
        <v>803</v>
      </c>
      <c r="D55" s="539" t="s">
        <v>698</v>
      </c>
      <c r="E55" s="546"/>
      <c r="F55" s="546"/>
      <c r="G55" s="546"/>
      <c r="H55" s="546"/>
      <c r="I55" s="546"/>
      <c r="J55" s="546"/>
      <c r="K55" s="546"/>
      <c r="L55" s="546"/>
      <c r="M55" s="546"/>
      <c r="N55" s="546"/>
      <c r="P55" s="1847" t="s">
        <v>803</v>
      </c>
      <c r="Q55" s="1847" t="s">
        <v>698</v>
      </c>
      <c r="X55" s="549"/>
      <c r="Y55" s="549"/>
      <c r="Z55" s="549"/>
      <c r="AA55" s="1847" t="s">
        <v>866</v>
      </c>
      <c r="AX55" s="550"/>
    </row>
    <row r="56" spans="1:50" ht="18.899999999999999" customHeight="1">
      <c r="A56" s="1889" t="s">
        <v>1201</v>
      </c>
      <c r="D56" s="539" t="s">
        <v>698</v>
      </c>
      <c r="E56" s="546"/>
      <c r="F56" s="546"/>
      <c r="G56" s="546"/>
      <c r="H56" s="546"/>
      <c r="I56" s="546"/>
      <c r="J56" s="546"/>
      <c r="K56" s="546"/>
      <c r="L56" s="546"/>
      <c r="M56" s="546"/>
      <c r="N56" s="546"/>
      <c r="P56" s="1847" t="s">
        <v>1201</v>
      </c>
      <c r="X56" s="549"/>
      <c r="Y56" s="549"/>
      <c r="Z56" s="549"/>
      <c r="AX56" s="550"/>
    </row>
    <row r="57" spans="1:50" ht="18.899999999999999" customHeight="1">
      <c r="A57" s="1889" t="s">
        <v>1046</v>
      </c>
      <c r="D57" s="539" t="s">
        <v>698</v>
      </c>
      <c r="E57" s="546"/>
      <c r="F57" s="546"/>
      <c r="G57" s="546"/>
      <c r="H57" s="546"/>
      <c r="I57" s="546"/>
      <c r="J57" s="546"/>
      <c r="K57" s="546"/>
      <c r="L57" s="546"/>
      <c r="M57" s="546"/>
      <c r="N57" s="546"/>
      <c r="P57" s="1847" t="s">
        <v>1046</v>
      </c>
      <c r="AX57" s="550"/>
    </row>
    <row r="58" spans="1:50" ht="18.899999999999999" customHeight="1">
      <c r="A58" s="1889" t="s">
        <v>2018</v>
      </c>
      <c r="D58" s="539" t="s">
        <v>698</v>
      </c>
      <c r="P58" s="1847" t="s">
        <v>2018</v>
      </c>
      <c r="AX58" s="550"/>
    </row>
    <row r="59" spans="1:50" ht="18.899999999999999" customHeight="1">
      <c r="U59" s="551"/>
      <c r="V59" s="551"/>
      <c r="W59" s="551"/>
      <c r="X59" s="549"/>
      <c r="Y59" s="549"/>
      <c r="Z59" s="549"/>
    </row>
  </sheetData>
  <mergeCells count="85">
    <mergeCell ref="EX4:KO4"/>
    <mergeCell ref="A2:KQ2"/>
    <mergeCell ref="A3:KQ3"/>
    <mergeCell ref="CX4:CX5"/>
    <mergeCell ref="DC4:DC5"/>
    <mergeCell ref="DF4:DF5"/>
    <mergeCell ref="DM4:DM5"/>
    <mergeCell ref="EO4:EO5"/>
    <mergeCell ref="EI4:EI5"/>
    <mergeCell ref="EN4:EN5"/>
    <mergeCell ref="EL4:EL5"/>
    <mergeCell ref="ER4:ER5"/>
    <mergeCell ref="EM4:EM5"/>
    <mergeCell ref="EU4:EU5"/>
    <mergeCell ref="EV4:EV5"/>
    <mergeCell ref="A4:A5"/>
    <mergeCell ref="K4:K5"/>
    <mergeCell ref="O4:O5"/>
    <mergeCell ref="G4:G5"/>
    <mergeCell ref="F4:F5"/>
    <mergeCell ref="J4:J5"/>
    <mergeCell ref="N4:N5"/>
    <mergeCell ref="ET4:ET5"/>
    <mergeCell ref="ES4:ES5"/>
    <mergeCell ref="BU4:BU5"/>
    <mergeCell ref="BX4:BX5"/>
    <mergeCell ref="CZ4:CZ5"/>
    <mergeCell ref="DG4:DG5"/>
    <mergeCell ref="DO4:DO5"/>
    <mergeCell ref="DA4:DA5"/>
    <mergeCell ref="DL4:DL5"/>
    <mergeCell ref="DJ4:DJ5"/>
    <mergeCell ref="DK4:DK5"/>
    <mergeCell ref="DN4:DN5"/>
    <mergeCell ref="EK4:EK5"/>
    <mergeCell ref="EJ4:EJ5"/>
    <mergeCell ref="DB4:DB5"/>
    <mergeCell ref="DH4:DH5"/>
    <mergeCell ref="KQ4:KQ5"/>
    <mergeCell ref="U45:AW45"/>
    <mergeCell ref="EP4:EP5"/>
    <mergeCell ref="EQ4:EQ5"/>
    <mergeCell ref="EH4:EH5"/>
    <mergeCell ref="U43:AW43"/>
    <mergeCell ref="U44:AW44"/>
    <mergeCell ref="CY4:CY5"/>
    <mergeCell ref="BW4:BW5"/>
    <mergeCell ref="BE4:BP4"/>
    <mergeCell ref="BY4:CW4"/>
    <mergeCell ref="DE4:DE5"/>
    <mergeCell ref="DD4:DD5"/>
    <mergeCell ref="ED4:ED5"/>
    <mergeCell ref="DY4:DY5"/>
    <mergeCell ref="DS4:DS5"/>
    <mergeCell ref="DI4:DI5"/>
    <mergeCell ref="BV4:BV5"/>
    <mergeCell ref="B4:B5"/>
    <mergeCell ref="M4:M5"/>
    <mergeCell ref="L4:L5"/>
    <mergeCell ref="H4:H5"/>
    <mergeCell ref="I4:I5"/>
    <mergeCell ref="BS4:BS5"/>
    <mergeCell ref="C4:C5"/>
    <mergeCell ref="AE4:AJ4"/>
    <mergeCell ref="D4:D5"/>
    <mergeCell ref="E4:E5"/>
    <mergeCell ref="BT4:BT5"/>
    <mergeCell ref="BQ4:BQ5"/>
    <mergeCell ref="AR4:BD4"/>
    <mergeCell ref="BR4:BR5"/>
    <mergeCell ref="EG4:EG5"/>
    <mergeCell ref="EC4:EC5"/>
    <mergeCell ref="EB4:EB5"/>
    <mergeCell ref="DP4:DP5"/>
    <mergeCell ref="EA4:EA5"/>
    <mergeCell ref="EF4:EF5"/>
    <mergeCell ref="EE4:EE5"/>
    <mergeCell ref="DQ4:DQ5"/>
    <mergeCell ref="DR4:DR5"/>
    <mergeCell ref="DU4:DU5"/>
    <mergeCell ref="DV4:DV5"/>
    <mergeCell ref="DW4:DW5"/>
    <mergeCell ref="DX4:DX5"/>
    <mergeCell ref="DZ4:DZ5"/>
    <mergeCell ref="DT4:DT5"/>
  </mergeCells>
  <phoneticPr fontId="0" type="noConversion"/>
  <printOptions horizontalCentered="1"/>
  <pageMargins left="0.35" right="0.2" top="0.55000000000000004" bottom="0.25" header="0.5" footer="0.25"/>
  <pageSetup paperSize="8" scale="70" orientation="landscape" blackAndWhite="1" r:id="rId1"/>
  <headerFooter alignWithMargins="0">
    <oddFooter>&amp;CBaûng keâ trụ di dời, cải tạo&amp;RTrang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42">
    <tabColor rgb="FFFF0000"/>
  </sheetPr>
  <dimension ref="A1:JG254"/>
  <sheetViews>
    <sheetView showGridLines="0" showZeros="0" tabSelected="1" zoomScale="91" zoomScaleNormal="91" workbookViewId="0">
      <selection activeCell="BO12" sqref="BO12"/>
    </sheetView>
  </sheetViews>
  <sheetFormatPr defaultColWidth="9.33203125" defaultRowHeight="18.899999999999999" customHeight="1" outlineLevelRow="1"/>
  <cols>
    <col min="1" max="1" width="12" style="465" customWidth="1"/>
    <col min="2" max="2" width="7.109375" style="465" customWidth="1"/>
    <col min="3" max="3" width="7.109375" style="532" customWidth="1"/>
    <col min="4" max="4" width="7.88671875" style="532" customWidth="1"/>
    <col min="5" max="5" width="9.44140625" style="532" hidden="1" customWidth="1"/>
    <col min="6" max="6" width="7.109375" style="532" hidden="1" customWidth="1"/>
    <col min="7" max="7" width="11.88671875" style="465" customWidth="1"/>
    <col min="8" max="8" width="4.44140625" style="465" hidden="1" customWidth="1"/>
    <col min="9" max="10" width="3.88671875" style="465" customWidth="1"/>
    <col min="11" max="11" width="5.109375" style="465" hidden="1" customWidth="1"/>
    <col min="12" max="12" width="3.88671875" style="465" hidden="1" customWidth="1"/>
    <col min="13" max="13" width="7" style="465" hidden="1" customWidth="1"/>
    <col min="14" max="14" width="8.44140625" style="465" hidden="1" customWidth="1"/>
    <col min="15" max="15" width="5.44140625" style="465" hidden="1" customWidth="1"/>
    <col min="16" max="16" width="3.88671875" style="465" hidden="1" customWidth="1"/>
    <col min="17" max="17" width="5.44140625" style="465" hidden="1" customWidth="1"/>
    <col min="18" max="21" width="3.88671875" style="465" hidden="1" customWidth="1"/>
    <col min="22" max="22" width="7" style="465" hidden="1" customWidth="1"/>
    <col min="23" max="23" width="3.88671875" style="465" hidden="1" customWidth="1"/>
    <col min="24" max="24" width="5.44140625" style="465" customWidth="1"/>
    <col min="25" max="25" width="5.5546875" style="465" hidden="1" customWidth="1"/>
    <col min="26" max="26" width="3.88671875" style="465" hidden="1" customWidth="1"/>
    <col min="27" max="27" width="5.44140625" style="465" customWidth="1"/>
    <col min="28" max="28" width="6.88671875" style="465" hidden="1" customWidth="1"/>
    <col min="29" max="29" width="7.33203125" style="465" customWidth="1"/>
    <col min="30" max="31" width="5.44140625" style="465" hidden="1" customWidth="1"/>
    <col min="32" max="36" width="3.88671875" style="465" hidden="1" customWidth="1"/>
    <col min="37" max="37" width="5.44140625" style="465" hidden="1" customWidth="1"/>
    <col min="38" max="38" width="4.33203125" style="465" hidden="1" customWidth="1"/>
    <col min="39" max="41" width="3.88671875" style="465" hidden="1" customWidth="1"/>
    <col min="42" max="42" width="5.109375" style="465" customWidth="1"/>
    <col min="43" max="43" width="5.44140625" style="465" hidden="1" customWidth="1"/>
    <col min="44" max="49" width="3.88671875" style="465" hidden="1" customWidth="1"/>
    <col min="50" max="50" width="4.44140625" style="465" hidden="1" customWidth="1"/>
    <col min="51" max="51" width="3.88671875" style="465" hidden="1" customWidth="1"/>
    <col min="52" max="54" width="5.44140625" style="465" hidden="1" customWidth="1"/>
    <col min="55" max="66" width="3.88671875" style="465" hidden="1" customWidth="1"/>
    <col min="67" max="67" width="5.44140625" style="465" customWidth="1"/>
    <col min="68" max="68" width="5.44140625" style="465" hidden="1" customWidth="1"/>
    <col min="69" max="69" width="3.88671875" style="465" hidden="1" customWidth="1"/>
    <col min="70" max="70" width="5.88671875" style="465" hidden="1" customWidth="1"/>
    <col min="71" max="71" width="5.44140625" style="465" hidden="1" customWidth="1"/>
    <col min="72" max="73" width="3.88671875" style="465" hidden="1" customWidth="1"/>
    <col min="74" max="74" width="5.44140625" style="465" hidden="1" customWidth="1"/>
    <col min="75" max="75" width="3.88671875" style="465" hidden="1" customWidth="1"/>
    <col min="76" max="76" width="6.6640625" style="465" hidden="1" customWidth="1"/>
    <col min="77" max="77" width="7.109375" style="465" customWidth="1"/>
    <col min="78" max="79" width="3.88671875" style="465" hidden="1" customWidth="1"/>
    <col min="80" max="80" width="5.44140625" style="465" hidden="1" customWidth="1"/>
    <col min="81" max="81" width="7.33203125" style="465" customWidth="1"/>
    <col min="82" max="82" width="7.44140625" style="465" hidden="1" customWidth="1"/>
    <col min="83" max="84" width="3.88671875" style="465" hidden="1" customWidth="1"/>
    <col min="85" max="85" width="7" style="465" hidden="1" customWidth="1"/>
    <col min="86" max="88" width="3.88671875" style="465" hidden="1" customWidth="1"/>
    <col min="89" max="89" width="3.88671875" style="465" customWidth="1"/>
    <col min="90" max="93" width="3.88671875" style="465" hidden="1" customWidth="1"/>
    <col min="94" max="94" width="5.44140625" style="465" hidden="1" customWidth="1"/>
    <col min="95" max="95" width="3.88671875" style="465" hidden="1" customWidth="1"/>
    <col min="96" max="96" width="6.5546875" style="465" customWidth="1"/>
    <col min="97" max="97" width="5.88671875" style="465" bestFit="1" customWidth="1"/>
    <col min="98" max="98" width="3.88671875" style="465" hidden="1" customWidth="1"/>
    <col min="99" max="99" width="5.44140625" style="465" hidden="1" customWidth="1"/>
    <col min="100" max="100" width="3.88671875" style="465" hidden="1" customWidth="1"/>
    <col min="101" max="101" width="5.44140625" style="465" customWidth="1"/>
    <col min="102" max="102" width="3.88671875" style="465" hidden="1" customWidth="1"/>
    <col min="103" max="103" width="6.109375" style="465" hidden="1" customWidth="1"/>
    <col min="104" max="105" width="3.88671875" style="465" hidden="1" customWidth="1"/>
    <col min="106" max="106" width="5.44140625" style="465" hidden="1" customWidth="1"/>
    <col min="107" max="107" width="5.44140625" style="465" bestFit="1" customWidth="1"/>
    <col min="108" max="108" width="4" style="465" hidden="1" customWidth="1"/>
    <col min="109" max="112" width="3.88671875" style="465" hidden="1" customWidth="1"/>
    <col min="113" max="113" width="3.88671875" style="465" customWidth="1"/>
    <col min="114" max="114" width="3.5546875" style="465" customWidth="1"/>
    <col min="115" max="117" width="3.88671875" style="465" hidden="1" customWidth="1"/>
    <col min="118" max="118" width="5.44140625" style="466" hidden="1" customWidth="1"/>
    <col min="119" max="119" width="4.5546875" style="465" hidden="1" customWidth="1"/>
    <col min="120" max="122" width="3.88671875" style="465" hidden="1" customWidth="1"/>
    <col min="123" max="123" width="6.44140625" style="465" customWidth="1"/>
    <col min="124" max="124" width="3.88671875" style="465" hidden="1" customWidth="1"/>
    <col min="125" max="125" width="6" style="465" customWidth="1"/>
    <col min="126" max="126" width="5.44140625" style="465" hidden="1" customWidth="1"/>
    <col min="127" max="127" width="3.88671875" style="465" hidden="1" customWidth="1"/>
    <col min="128" max="129" width="5.44140625" style="465" hidden="1" customWidth="1"/>
    <col min="130" max="130" width="6.5546875" style="465" customWidth="1"/>
    <col min="131" max="135" width="3.88671875" style="465" hidden="1" customWidth="1"/>
    <col min="136" max="136" width="5.44140625" style="465" customWidth="1"/>
    <col min="137" max="137" width="6.109375" style="465" customWidth="1"/>
    <col min="138" max="138" width="5.44140625" style="465" hidden="1" customWidth="1"/>
    <col min="139" max="139" width="7.44140625" style="465" customWidth="1"/>
    <col min="140" max="144" width="3.88671875" style="465" hidden="1" customWidth="1"/>
    <col min="145" max="145" width="3.88671875" style="465" customWidth="1"/>
    <col min="146" max="161" width="3.88671875" style="465" hidden="1" customWidth="1"/>
    <col min="162" max="162" width="4.109375" style="465" hidden="1" customWidth="1"/>
    <col min="163" max="163" width="5.44140625" style="465" hidden="1" customWidth="1"/>
    <col min="164" max="165" width="3.88671875" style="465" hidden="1" customWidth="1"/>
    <col min="166" max="166" width="5.44140625" style="465" hidden="1" customWidth="1"/>
    <col min="167" max="178" width="3.88671875" style="465" hidden="1" customWidth="1"/>
    <col min="179" max="179" width="5.44140625" style="465" hidden="1" customWidth="1"/>
    <col min="180" max="204" width="3.88671875" style="465" hidden="1" customWidth="1"/>
    <col min="205" max="205" width="5.44140625" style="465" hidden="1" customWidth="1"/>
    <col min="206" max="218" width="3.88671875" style="465" hidden="1" customWidth="1"/>
    <col min="219" max="220" width="5.44140625" style="465" hidden="1" customWidth="1"/>
    <col min="221" max="235" width="3.88671875" style="465" hidden="1" customWidth="1"/>
    <col min="236" max="236" width="5.44140625" style="465" hidden="1" customWidth="1"/>
    <col min="237" max="261" width="3.88671875" style="465" hidden="1" customWidth="1"/>
    <col min="262" max="262" width="1.5546875" style="520" hidden="1" customWidth="1"/>
    <col min="263" max="263" width="16.5546875" style="520" customWidth="1"/>
    <col min="264" max="266" width="9.109375" style="465" customWidth="1"/>
    <col min="267" max="267" width="9.33203125" style="465" bestFit="1"/>
    <col min="268" max="16384" width="9.33203125" style="465"/>
  </cols>
  <sheetData>
    <row r="1" spans="1:267" ht="13.8">
      <c r="C1" s="519"/>
      <c r="D1" s="519"/>
      <c r="E1" s="519"/>
      <c r="F1" s="519"/>
    </row>
    <row r="2" spans="1:267" s="521" customFormat="1" ht="24" customHeight="1">
      <c r="A2" s="2636" t="s">
        <v>4587</v>
      </c>
      <c r="B2" s="2636"/>
      <c r="C2" s="2636"/>
      <c r="D2" s="2636"/>
      <c r="E2" s="2636"/>
      <c r="F2" s="2636"/>
      <c r="G2" s="2636"/>
      <c r="H2" s="2636"/>
      <c r="I2" s="2636"/>
      <c r="J2" s="2636"/>
      <c r="K2" s="2636"/>
      <c r="L2" s="2636"/>
      <c r="M2" s="2636"/>
      <c r="N2" s="2636"/>
      <c r="O2" s="2636"/>
      <c r="P2" s="2636"/>
      <c r="Q2" s="2636"/>
      <c r="R2" s="2636"/>
      <c r="S2" s="2636"/>
      <c r="T2" s="2636"/>
      <c r="U2" s="2636"/>
      <c r="V2" s="2636"/>
      <c r="W2" s="2636"/>
      <c r="X2" s="2636"/>
      <c r="Y2" s="2636"/>
      <c r="Z2" s="2636"/>
      <c r="AA2" s="2636"/>
      <c r="AB2" s="2636"/>
      <c r="AC2" s="2636"/>
      <c r="AD2" s="2636"/>
      <c r="AE2" s="2636"/>
      <c r="AF2" s="2636"/>
      <c r="AG2" s="2636"/>
      <c r="AH2" s="2636"/>
      <c r="AI2" s="2636"/>
      <c r="AJ2" s="2636"/>
      <c r="AK2" s="2636"/>
      <c r="AL2" s="2636"/>
      <c r="AM2" s="2636"/>
      <c r="AN2" s="2636"/>
      <c r="AO2" s="2636"/>
      <c r="AP2" s="2636"/>
      <c r="AQ2" s="2636"/>
      <c r="AR2" s="2636"/>
      <c r="AS2" s="2636"/>
      <c r="AT2" s="2636"/>
      <c r="AU2" s="2636"/>
      <c r="AV2" s="2636"/>
      <c r="AW2" s="2636"/>
      <c r="AX2" s="2636"/>
      <c r="AY2" s="2636"/>
      <c r="AZ2" s="2636"/>
      <c r="BA2" s="2636"/>
      <c r="BB2" s="2636"/>
      <c r="BC2" s="2636"/>
      <c r="BD2" s="2636"/>
      <c r="BE2" s="2636"/>
      <c r="BF2" s="2636"/>
      <c r="BG2" s="2636"/>
      <c r="BH2" s="2636"/>
      <c r="BI2" s="2636"/>
      <c r="BJ2" s="2636"/>
      <c r="BK2" s="2636"/>
      <c r="BL2" s="2636"/>
      <c r="BM2" s="2636"/>
      <c r="BN2" s="2636"/>
      <c r="BO2" s="2636"/>
      <c r="BP2" s="2636"/>
      <c r="BQ2" s="2636"/>
      <c r="BR2" s="2636"/>
      <c r="BS2" s="2636"/>
      <c r="BT2" s="2636"/>
      <c r="BU2" s="2636"/>
      <c r="BV2" s="2636"/>
      <c r="BW2" s="2636"/>
      <c r="BX2" s="2636"/>
      <c r="BY2" s="2636"/>
      <c r="BZ2" s="2636"/>
      <c r="CA2" s="2636"/>
      <c r="CB2" s="2636"/>
      <c r="CC2" s="2636"/>
      <c r="CD2" s="2636"/>
      <c r="CE2" s="2636"/>
      <c r="CF2" s="2636"/>
      <c r="CG2" s="2636"/>
      <c r="CH2" s="2636"/>
      <c r="CI2" s="2636"/>
      <c r="CJ2" s="2636"/>
      <c r="CK2" s="2636"/>
      <c r="CL2" s="2636"/>
      <c r="CM2" s="2636"/>
      <c r="CN2" s="2636"/>
      <c r="CO2" s="2636"/>
      <c r="CP2" s="2636"/>
      <c r="CQ2" s="2636"/>
      <c r="CR2" s="2636"/>
      <c r="CS2" s="2636"/>
      <c r="CT2" s="2636"/>
      <c r="CU2" s="2636"/>
      <c r="CV2" s="2636"/>
      <c r="CW2" s="2636"/>
      <c r="CX2" s="2636"/>
      <c r="CY2" s="2636"/>
      <c r="CZ2" s="2636"/>
      <c r="DA2" s="2636"/>
      <c r="DB2" s="2636"/>
      <c r="DC2" s="2636"/>
      <c r="DD2" s="2636"/>
      <c r="DE2" s="2636"/>
      <c r="DF2" s="2636"/>
      <c r="DG2" s="2636"/>
      <c r="DH2" s="2636"/>
      <c r="DI2" s="2636"/>
      <c r="DJ2" s="2636"/>
      <c r="DK2" s="2636"/>
      <c r="DL2" s="2636"/>
      <c r="DM2" s="2636"/>
      <c r="DN2" s="2636"/>
      <c r="DO2" s="2636"/>
      <c r="DP2" s="2636"/>
      <c r="DQ2" s="2636"/>
      <c r="DR2" s="2636"/>
      <c r="DS2" s="2636"/>
      <c r="DT2" s="2636"/>
      <c r="DU2" s="2636"/>
      <c r="DV2" s="2636"/>
      <c r="DW2" s="2636"/>
      <c r="DX2" s="2636"/>
      <c r="DY2" s="2636"/>
      <c r="DZ2" s="2636"/>
      <c r="EA2" s="2636"/>
      <c r="EB2" s="2636"/>
      <c r="EC2" s="2636"/>
      <c r="ED2" s="2636"/>
      <c r="EE2" s="2636"/>
      <c r="EF2" s="2636"/>
      <c r="EG2" s="2636"/>
      <c r="EH2" s="2636"/>
      <c r="EI2" s="2636"/>
      <c r="EJ2" s="2636"/>
      <c r="EK2" s="2636"/>
      <c r="EL2" s="2636"/>
      <c r="EM2" s="2636"/>
      <c r="EN2" s="2636"/>
      <c r="EO2" s="2636"/>
      <c r="EP2" s="2636"/>
      <c r="EQ2" s="2636"/>
      <c r="ER2" s="2636"/>
      <c r="ES2" s="2636"/>
      <c r="ET2" s="2636"/>
      <c r="EU2" s="2636"/>
      <c r="EV2" s="2636"/>
      <c r="EW2" s="2636"/>
      <c r="EX2" s="2636"/>
      <c r="EY2" s="2636"/>
      <c r="EZ2" s="2636"/>
      <c r="FA2" s="2636"/>
      <c r="FB2" s="2636"/>
      <c r="FC2" s="2636"/>
      <c r="FD2" s="2636"/>
      <c r="FE2" s="2636"/>
      <c r="FF2" s="2636"/>
      <c r="FG2" s="2636"/>
      <c r="FH2" s="2636"/>
      <c r="FI2" s="2636"/>
      <c r="FJ2" s="2636"/>
      <c r="FK2" s="2636"/>
      <c r="FL2" s="2636"/>
      <c r="FM2" s="2636"/>
      <c r="FN2" s="2636"/>
      <c r="FO2" s="2636"/>
      <c r="FP2" s="2636"/>
      <c r="FQ2" s="2636"/>
      <c r="FR2" s="2636"/>
      <c r="FS2" s="2636"/>
      <c r="FT2" s="2636"/>
      <c r="FU2" s="2636"/>
      <c r="FV2" s="2636"/>
      <c r="FW2" s="2636"/>
      <c r="FX2" s="2636"/>
      <c r="FY2" s="2636"/>
      <c r="FZ2" s="2636"/>
      <c r="GA2" s="2636"/>
      <c r="GB2" s="2636"/>
      <c r="GC2" s="2636"/>
      <c r="GD2" s="2636"/>
      <c r="GE2" s="2636"/>
      <c r="GF2" s="2636"/>
      <c r="GG2" s="2636"/>
      <c r="GH2" s="2636"/>
      <c r="GI2" s="2636"/>
      <c r="GJ2" s="2636"/>
      <c r="GK2" s="2636"/>
      <c r="GL2" s="2636"/>
      <c r="GM2" s="2636"/>
      <c r="GN2" s="2636"/>
      <c r="GO2" s="2636"/>
      <c r="GP2" s="2636"/>
      <c r="GQ2" s="2636"/>
      <c r="GR2" s="2636"/>
      <c r="GS2" s="2636"/>
      <c r="GT2" s="2636"/>
      <c r="GU2" s="2636"/>
      <c r="GV2" s="2636"/>
      <c r="GW2" s="2636"/>
      <c r="GX2" s="2636"/>
      <c r="GY2" s="2636"/>
      <c r="GZ2" s="2636"/>
      <c r="HA2" s="2636"/>
      <c r="HB2" s="2636"/>
      <c r="HC2" s="2636"/>
      <c r="HD2" s="2636"/>
      <c r="HE2" s="2636"/>
      <c r="HF2" s="2636"/>
      <c r="HG2" s="2636"/>
      <c r="HH2" s="2636"/>
      <c r="HI2" s="2636"/>
      <c r="HJ2" s="2636"/>
      <c r="HK2" s="2636"/>
      <c r="HL2" s="2636"/>
      <c r="HM2" s="2636"/>
      <c r="HN2" s="2636"/>
      <c r="HO2" s="2636"/>
      <c r="HP2" s="2636"/>
      <c r="HQ2" s="2636"/>
      <c r="HR2" s="2636"/>
      <c r="HS2" s="2636"/>
      <c r="HT2" s="2636"/>
      <c r="HU2" s="2636"/>
      <c r="HV2" s="2636"/>
      <c r="HW2" s="2636"/>
      <c r="HX2" s="2636"/>
      <c r="HY2" s="2636"/>
      <c r="HZ2" s="2636"/>
      <c r="IA2" s="2636"/>
      <c r="IB2" s="2636"/>
      <c r="IC2" s="2636"/>
      <c r="ID2" s="2636"/>
      <c r="IE2" s="2636"/>
      <c r="IF2" s="2636"/>
      <c r="IG2" s="2636"/>
      <c r="IH2" s="2636"/>
      <c r="II2" s="2636"/>
      <c r="IJ2" s="2636"/>
      <c r="IK2" s="2636"/>
      <c r="IL2" s="2636"/>
      <c r="IM2" s="2636"/>
      <c r="IN2" s="2636"/>
      <c r="IO2" s="2636"/>
      <c r="IP2" s="2636"/>
      <c r="IQ2" s="2636"/>
      <c r="IR2" s="2636"/>
      <c r="IS2" s="2636"/>
      <c r="IT2" s="2636"/>
      <c r="IU2" s="2636"/>
      <c r="IV2" s="2636"/>
      <c r="IW2" s="2636"/>
      <c r="IX2" s="2636"/>
      <c r="IY2" s="2636"/>
      <c r="IZ2" s="2636"/>
      <c r="JA2" s="2636"/>
      <c r="JB2" s="2636"/>
      <c r="JC2" s="2636"/>
    </row>
    <row r="3" spans="1:267" s="1899" customFormat="1" ht="23.25" customHeight="1" thickBot="1">
      <c r="A3" s="2637" t="str">
        <f>"CÔNG TRÌNH: "&amp; Solieu!C5</f>
        <v>CÔNG TRÌNH:  Đường dây trung thế 22kV và TBA 3P-1250kVA trang trại tổng hợp Nguyễn Đăng Nam</v>
      </c>
      <c r="B3" s="2637"/>
      <c r="C3" s="2637"/>
      <c r="D3" s="2637"/>
      <c r="E3" s="2637"/>
      <c r="F3" s="2637"/>
      <c r="G3" s="2637"/>
      <c r="H3" s="2637"/>
      <c r="I3" s="2637"/>
      <c r="J3" s="2637"/>
      <c r="K3" s="2637"/>
      <c r="L3" s="2637"/>
      <c r="M3" s="2637"/>
      <c r="N3" s="2637"/>
      <c r="O3" s="2637"/>
      <c r="P3" s="2637"/>
      <c r="Q3" s="2637"/>
      <c r="R3" s="2637"/>
      <c r="S3" s="2637"/>
      <c r="T3" s="2637"/>
      <c r="U3" s="2637"/>
      <c r="V3" s="2637"/>
      <c r="W3" s="2637"/>
      <c r="X3" s="2637"/>
      <c r="Y3" s="2637"/>
      <c r="Z3" s="2637"/>
      <c r="AA3" s="2637"/>
      <c r="AB3" s="2637"/>
      <c r="AC3" s="2637"/>
      <c r="AD3" s="2637"/>
      <c r="AE3" s="2637"/>
      <c r="AF3" s="2637"/>
      <c r="AG3" s="2637"/>
      <c r="AH3" s="2637"/>
      <c r="AI3" s="2637"/>
      <c r="AJ3" s="2637"/>
      <c r="AK3" s="2637"/>
      <c r="AL3" s="2637"/>
      <c r="AM3" s="2637"/>
      <c r="AN3" s="2637"/>
      <c r="AO3" s="2637"/>
      <c r="AP3" s="2637"/>
      <c r="AQ3" s="2637"/>
      <c r="AR3" s="2637"/>
      <c r="AS3" s="2637"/>
      <c r="AT3" s="2637"/>
      <c r="AU3" s="2637"/>
      <c r="AV3" s="2637"/>
      <c r="AW3" s="2637"/>
      <c r="AX3" s="2637"/>
      <c r="AY3" s="2637"/>
      <c r="AZ3" s="2637"/>
      <c r="BA3" s="2637"/>
      <c r="BB3" s="2637"/>
      <c r="BC3" s="2637"/>
      <c r="BD3" s="2637"/>
      <c r="BE3" s="2637"/>
      <c r="BF3" s="2637"/>
      <c r="BG3" s="2637"/>
      <c r="BH3" s="2637"/>
      <c r="BI3" s="2637"/>
      <c r="BJ3" s="2637"/>
      <c r="BK3" s="2637"/>
      <c r="BL3" s="2637"/>
      <c r="BM3" s="2637"/>
      <c r="BN3" s="2637"/>
      <c r="BO3" s="2637"/>
      <c r="BP3" s="2637"/>
      <c r="BQ3" s="2637"/>
      <c r="BR3" s="2637"/>
      <c r="BS3" s="2637"/>
      <c r="BT3" s="2637"/>
      <c r="BU3" s="2637"/>
      <c r="BV3" s="2637"/>
      <c r="BW3" s="2637"/>
      <c r="BX3" s="2637"/>
      <c r="BY3" s="2637"/>
      <c r="BZ3" s="2637"/>
      <c r="CA3" s="2637"/>
      <c r="CB3" s="2637"/>
      <c r="CC3" s="2637"/>
      <c r="CD3" s="2637"/>
      <c r="CE3" s="2637"/>
      <c r="CF3" s="2637"/>
      <c r="CG3" s="2637"/>
      <c r="CH3" s="2637"/>
      <c r="CI3" s="2637"/>
      <c r="CJ3" s="2637"/>
      <c r="CK3" s="2637"/>
      <c r="CL3" s="2637"/>
      <c r="CM3" s="2637"/>
      <c r="CN3" s="2637"/>
      <c r="CO3" s="2637"/>
      <c r="CP3" s="2637"/>
      <c r="CQ3" s="2637"/>
      <c r="CR3" s="2637"/>
      <c r="CS3" s="2637"/>
      <c r="CT3" s="2637"/>
      <c r="CU3" s="2637"/>
      <c r="CV3" s="2637"/>
      <c r="CW3" s="2637"/>
      <c r="CX3" s="2637"/>
      <c r="CY3" s="2637"/>
      <c r="CZ3" s="2637"/>
      <c r="DA3" s="2637"/>
      <c r="DB3" s="2637"/>
      <c r="DC3" s="2637"/>
      <c r="DD3" s="2637"/>
      <c r="DE3" s="2637"/>
      <c r="DF3" s="2637"/>
      <c r="DG3" s="2637"/>
      <c r="DH3" s="2637"/>
      <c r="DI3" s="2637"/>
      <c r="DJ3" s="2637"/>
      <c r="DK3" s="2637"/>
      <c r="DL3" s="2637"/>
      <c r="DM3" s="2637"/>
      <c r="DN3" s="2637"/>
      <c r="DO3" s="2637"/>
      <c r="DP3" s="2637"/>
      <c r="DQ3" s="2637"/>
      <c r="DR3" s="2637"/>
      <c r="DS3" s="2637"/>
      <c r="DT3" s="2637"/>
      <c r="DU3" s="2637"/>
      <c r="DV3" s="2637"/>
      <c r="DW3" s="2637"/>
      <c r="DX3" s="2637"/>
      <c r="DY3" s="2637"/>
      <c r="DZ3" s="2637"/>
      <c r="EA3" s="2637"/>
      <c r="EB3" s="2637"/>
      <c r="EC3" s="2637"/>
      <c r="ED3" s="2637"/>
      <c r="EE3" s="2637"/>
      <c r="EF3" s="2637"/>
      <c r="EG3" s="2637"/>
      <c r="EH3" s="2637"/>
      <c r="EI3" s="2637"/>
      <c r="EJ3" s="2637"/>
      <c r="EK3" s="2637"/>
      <c r="EL3" s="2637"/>
      <c r="EM3" s="2637"/>
      <c r="EN3" s="2637"/>
      <c r="EO3" s="2637"/>
      <c r="EP3" s="2637"/>
      <c r="EQ3" s="2637"/>
      <c r="ER3" s="2637"/>
      <c r="ES3" s="2637"/>
      <c r="ET3" s="2637"/>
      <c r="EU3" s="2637"/>
      <c r="EV3" s="2637"/>
      <c r="EW3" s="2637"/>
      <c r="EX3" s="2637"/>
      <c r="EY3" s="2637"/>
      <c r="EZ3" s="2637"/>
      <c r="FA3" s="2637"/>
      <c r="FB3" s="2637"/>
      <c r="FC3" s="2637"/>
      <c r="FD3" s="2637"/>
      <c r="FE3" s="2637"/>
      <c r="FF3" s="2637"/>
      <c r="FG3" s="2637"/>
      <c r="FH3" s="2637"/>
      <c r="FI3" s="2637"/>
      <c r="FJ3" s="2637"/>
      <c r="FK3" s="2637"/>
      <c r="FL3" s="2637"/>
      <c r="FM3" s="2637"/>
      <c r="FN3" s="2637"/>
      <c r="FO3" s="2637"/>
      <c r="FP3" s="2637"/>
      <c r="FQ3" s="2637"/>
      <c r="FR3" s="2637"/>
      <c r="FS3" s="2637"/>
      <c r="FT3" s="2637"/>
      <c r="FU3" s="2637"/>
      <c r="FV3" s="2637"/>
      <c r="FW3" s="2637"/>
      <c r="FX3" s="2637"/>
      <c r="FY3" s="2637"/>
      <c r="FZ3" s="2637"/>
      <c r="GA3" s="2637"/>
      <c r="GB3" s="2637"/>
      <c r="GC3" s="2637"/>
      <c r="GD3" s="2637"/>
      <c r="GE3" s="2637"/>
      <c r="GF3" s="2637"/>
      <c r="GG3" s="2637"/>
      <c r="GH3" s="2637"/>
      <c r="GI3" s="2637"/>
      <c r="GJ3" s="2637"/>
      <c r="GK3" s="2637"/>
      <c r="GL3" s="2637"/>
      <c r="GM3" s="2637"/>
      <c r="GN3" s="2637"/>
      <c r="GO3" s="2637"/>
      <c r="GP3" s="2637"/>
      <c r="GQ3" s="2637"/>
      <c r="GR3" s="2637"/>
      <c r="GS3" s="2637"/>
      <c r="GT3" s="2637"/>
      <c r="GU3" s="2637"/>
      <c r="GV3" s="2637"/>
      <c r="GW3" s="2637"/>
      <c r="GX3" s="2637"/>
      <c r="GY3" s="2637"/>
      <c r="GZ3" s="2637"/>
      <c r="HA3" s="2637"/>
      <c r="HB3" s="2637"/>
      <c r="HC3" s="2637"/>
      <c r="HD3" s="2637"/>
      <c r="HE3" s="2637"/>
      <c r="HF3" s="2637"/>
      <c r="HG3" s="2637"/>
      <c r="HH3" s="2637"/>
      <c r="HI3" s="2637"/>
      <c r="HJ3" s="2637"/>
      <c r="HK3" s="2637"/>
      <c r="HL3" s="2637"/>
      <c r="HM3" s="2637"/>
      <c r="HN3" s="2637"/>
      <c r="HO3" s="2637"/>
      <c r="HP3" s="2637"/>
      <c r="HQ3" s="2637"/>
      <c r="HR3" s="2637"/>
      <c r="HS3" s="2637"/>
      <c r="HT3" s="2637"/>
      <c r="HU3" s="2637"/>
      <c r="HV3" s="2637"/>
      <c r="HW3" s="2637"/>
      <c r="HX3" s="2637"/>
      <c r="HY3" s="2637"/>
      <c r="HZ3" s="2637"/>
      <c r="IA3" s="2637"/>
      <c r="IB3" s="2637"/>
      <c r="IC3" s="2637"/>
      <c r="ID3" s="2637"/>
      <c r="IE3" s="2637"/>
      <c r="IF3" s="2637"/>
      <c r="IG3" s="2637"/>
      <c r="IH3" s="2637"/>
      <c r="II3" s="2637"/>
      <c r="IJ3" s="2637"/>
      <c r="IK3" s="2637"/>
      <c r="IL3" s="2637"/>
      <c r="IM3" s="2637"/>
      <c r="IN3" s="2637"/>
      <c r="IO3" s="2637"/>
      <c r="IP3" s="2637"/>
      <c r="IQ3" s="2637"/>
      <c r="IR3" s="2637"/>
      <c r="IS3" s="2637"/>
      <c r="IT3" s="2637"/>
      <c r="IU3" s="2637"/>
      <c r="IV3" s="2637"/>
      <c r="IW3" s="2637"/>
      <c r="IX3" s="2637"/>
      <c r="IY3" s="2637"/>
      <c r="IZ3" s="2637"/>
      <c r="JA3" s="2637"/>
      <c r="JB3" s="2637"/>
      <c r="JC3" s="2637"/>
    </row>
    <row r="4" spans="1:267" ht="26.25" customHeight="1" thickTop="1">
      <c r="A4" s="2640" t="s">
        <v>3983</v>
      </c>
      <c r="B4" s="2642" t="s">
        <v>3977</v>
      </c>
      <c r="C4" s="2642" t="s">
        <v>5816</v>
      </c>
      <c r="D4" s="2642" t="s">
        <v>472</v>
      </c>
      <c r="E4" s="2642" t="s">
        <v>5809</v>
      </c>
      <c r="F4" s="2642" t="s">
        <v>4688</v>
      </c>
      <c r="G4" s="2642" t="s">
        <v>3927</v>
      </c>
      <c r="H4" s="2644" t="s">
        <v>3928</v>
      </c>
      <c r="I4" s="2645"/>
      <c r="J4" s="2645"/>
      <c r="K4" s="2645"/>
      <c r="L4" s="2645"/>
      <c r="M4" s="2645"/>
      <c r="N4" s="2645"/>
      <c r="O4" s="2645"/>
      <c r="P4" s="2646"/>
      <c r="Q4" s="1760" t="s">
        <v>3929</v>
      </c>
      <c r="R4" s="1760"/>
      <c r="S4" s="1760"/>
      <c r="T4" s="1760"/>
      <c r="U4" s="1760"/>
      <c r="V4" s="1760"/>
      <c r="W4" s="1760"/>
      <c r="X4" s="1760"/>
      <c r="Y4" s="1760"/>
      <c r="Z4" s="1760"/>
      <c r="AA4" s="1760"/>
      <c r="AB4" s="2644" t="s">
        <v>5754</v>
      </c>
      <c r="AC4" s="2646"/>
      <c r="AD4" s="1760"/>
      <c r="AE4" s="1760"/>
      <c r="AF4" s="1760"/>
      <c r="AG4" s="1760"/>
      <c r="AH4" s="1760"/>
      <c r="AI4" s="1760"/>
      <c r="AJ4" s="1760"/>
      <c r="AK4" s="2644" t="s">
        <v>3978</v>
      </c>
      <c r="AL4" s="2645"/>
      <c r="AM4" s="2645"/>
      <c r="AN4" s="2645"/>
      <c r="AO4" s="2645"/>
      <c r="AP4" s="2645"/>
      <c r="AQ4" s="2645"/>
      <c r="AR4" s="2645"/>
      <c r="AS4" s="2645"/>
      <c r="AT4" s="2645"/>
      <c r="AU4" s="2645"/>
      <c r="AV4" s="2645"/>
      <c r="AW4" s="2645"/>
      <c r="AX4" s="2647" t="s">
        <v>4067</v>
      </c>
      <c r="AY4" s="2648"/>
      <c r="AZ4" s="2648"/>
      <c r="BA4" s="2648"/>
      <c r="BB4" s="2648"/>
      <c r="BC4" s="2648"/>
      <c r="BD4" s="2648"/>
      <c r="BE4" s="2648"/>
      <c r="BF4" s="2648"/>
      <c r="BG4" s="2648"/>
      <c r="BH4" s="2648"/>
      <c r="BI4" s="2649"/>
      <c r="BJ4" s="2608" t="s">
        <v>3542</v>
      </c>
      <c r="BK4" s="2608" t="s">
        <v>3543</v>
      </c>
      <c r="BL4" s="2608" t="s">
        <v>3551</v>
      </c>
      <c r="BM4" s="2608" t="s">
        <v>3545</v>
      </c>
      <c r="BN4" s="2608" t="s">
        <v>3548</v>
      </c>
      <c r="BO4" s="2608" t="s">
        <v>3931</v>
      </c>
      <c r="BP4" s="2608" t="s">
        <v>5787</v>
      </c>
      <c r="BQ4" s="2608" t="s">
        <v>3549</v>
      </c>
      <c r="BR4" s="2608" t="s">
        <v>3547</v>
      </c>
      <c r="BS4" s="2645" t="s">
        <v>4176</v>
      </c>
      <c r="BT4" s="2645"/>
      <c r="BU4" s="2645"/>
      <c r="BV4" s="2645"/>
      <c r="BW4" s="2645"/>
      <c r="BX4" s="2645"/>
      <c r="BY4" s="2645"/>
      <c r="BZ4" s="2645"/>
      <c r="CA4" s="2645"/>
      <c r="CB4" s="2645"/>
      <c r="CC4" s="2645"/>
      <c r="CD4" s="2645"/>
      <c r="CE4" s="2645"/>
      <c r="CF4" s="2645"/>
      <c r="CG4" s="2645"/>
      <c r="CH4" s="2645"/>
      <c r="CI4" s="2645"/>
      <c r="CJ4" s="2645"/>
      <c r="CK4" s="2645"/>
      <c r="CL4" s="2645"/>
      <c r="CM4" s="2645"/>
      <c r="CN4" s="2645"/>
      <c r="CO4" s="2646"/>
      <c r="CP4" s="2638" t="s">
        <v>4036</v>
      </c>
      <c r="CQ4" s="2638" t="s">
        <v>4037</v>
      </c>
      <c r="CR4" s="2638" t="s">
        <v>4038</v>
      </c>
      <c r="CS4" s="2638" t="s">
        <v>5810</v>
      </c>
      <c r="CT4" s="2638" t="s">
        <v>4471</v>
      </c>
      <c r="CU4" s="2638" t="s">
        <v>4284</v>
      </c>
      <c r="CV4" s="2638" t="s">
        <v>4592</v>
      </c>
      <c r="CW4" s="2638" t="s">
        <v>4178</v>
      </c>
      <c r="CX4" s="2638" t="s">
        <v>4039</v>
      </c>
      <c r="CY4" s="2638" t="s">
        <v>4040</v>
      </c>
      <c r="CZ4" s="2638" t="s">
        <v>4041</v>
      </c>
      <c r="DA4" s="2638" t="s">
        <v>4042</v>
      </c>
      <c r="DB4" s="2638" t="s">
        <v>4181</v>
      </c>
      <c r="DC4" s="2638" t="s">
        <v>4182</v>
      </c>
      <c r="DD4" s="2638" t="s">
        <v>4043</v>
      </c>
      <c r="DE4" s="2638" t="s">
        <v>4044</v>
      </c>
      <c r="DF4" s="2638" t="s">
        <v>4045</v>
      </c>
      <c r="DG4" s="2638" t="s">
        <v>4046</v>
      </c>
      <c r="DH4" s="2638" t="s">
        <v>4047</v>
      </c>
      <c r="DI4" s="2638" t="s">
        <v>5813</v>
      </c>
      <c r="DJ4" s="2638" t="s">
        <v>5814</v>
      </c>
      <c r="DK4" s="2638" t="s">
        <v>4048</v>
      </c>
      <c r="DL4" s="2638" t="s">
        <v>4049</v>
      </c>
      <c r="DM4" s="2638" t="s">
        <v>4050</v>
      </c>
      <c r="DN4" s="2638" t="s">
        <v>2512</v>
      </c>
      <c r="DO4" s="2638" t="s">
        <v>1931</v>
      </c>
      <c r="DP4" s="2638" t="s">
        <v>2513</v>
      </c>
      <c r="DQ4" s="2638" t="s">
        <v>616</v>
      </c>
      <c r="DR4" s="2638" t="s">
        <v>4751</v>
      </c>
      <c r="DS4" s="2638" t="s">
        <v>4051</v>
      </c>
      <c r="DT4" s="2638" t="s">
        <v>4052</v>
      </c>
      <c r="DU4" s="2638" t="s">
        <v>4053</v>
      </c>
      <c r="DV4" s="2638" t="s">
        <v>4054</v>
      </c>
      <c r="DW4" s="2638" t="s">
        <v>4055</v>
      </c>
      <c r="DX4" s="2638" t="s">
        <v>4056</v>
      </c>
      <c r="DY4" s="2638" t="s">
        <v>4057</v>
      </c>
      <c r="DZ4" s="2638" t="s">
        <v>5765</v>
      </c>
      <c r="EA4" s="2638" t="s">
        <v>4203</v>
      </c>
      <c r="EB4" s="2638" t="s">
        <v>4059</v>
      </c>
      <c r="EC4" s="2638" t="s">
        <v>4060</v>
      </c>
      <c r="ED4" s="2638" t="s">
        <v>4061</v>
      </c>
      <c r="EE4" s="2638" t="s">
        <v>4062</v>
      </c>
      <c r="EF4" s="2638" t="s">
        <v>4611</v>
      </c>
      <c r="EG4" s="2638" t="s">
        <v>4614</v>
      </c>
      <c r="EH4" s="2638" t="s">
        <v>1918</v>
      </c>
      <c r="EI4" s="2638" t="s">
        <v>1772</v>
      </c>
      <c r="EJ4" s="2638" t="s">
        <v>1822</v>
      </c>
      <c r="EK4" s="2638" t="s">
        <v>1300</v>
      </c>
      <c r="EL4" s="2638" t="s">
        <v>1830</v>
      </c>
      <c r="EM4" s="2638" t="s">
        <v>287</v>
      </c>
      <c r="EN4" s="2638" t="s">
        <v>303</v>
      </c>
      <c r="EO4" s="2638" t="s">
        <v>1208</v>
      </c>
      <c r="EP4" s="2651"/>
      <c r="EQ4" s="2652"/>
      <c r="ER4" s="2652"/>
      <c r="ES4" s="2652"/>
      <c r="ET4" s="2652"/>
      <c r="EU4" s="2652"/>
      <c r="EV4" s="2652"/>
      <c r="EW4" s="2652"/>
      <c r="EX4" s="2652"/>
      <c r="EY4" s="2652"/>
      <c r="EZ4" s="2652"/>
      <c r="FA4" s="2652"/>
      <c r="FB4" s="2652"/>
      <c r="FC4" s="2652"/>
      <c r="FD4" s="2652"/>
      <c r="FE4" s="2652"/>
      <c r="FF4" s="2652"/>
      <c r="FG4" s="2652"/>
      <c r="FH4" s="2652"/>
      <c r="FI4" s="2652"/>
      <c r="FJ4" s="2652"/>
      <c r="FK4" s="2652"/>
      <c r="FL4" s="2652"/>
      <c r="FM4" s="2652"/>
      <c r="FN4" s="2652"/>
      <c r="FO4" s="2652"/>
      <c r="FP4" s="2652"/>
      <c r="FQ4" s="2652"/>
      <c r="FR4" s="2652"/>
      <c r="FS4" s="2652"/>
      <c r="FT4" s="2652"/>
      <c r="FU4" s="2652"/>
      <c r="FV4" s="2652"/>
      <c r="FW4" s="2652"/>
      <c r="FX4" s="2652"/>
      <c r="FY4" s="2652"/>
      <c r="FZ4" s="2652"/>
      <c r="GA4" s="2652"/>
      <c r="GB4" s="2652"/>
      <c r="GC4" s="2652"/>
      <c r="GD4" s="2652"/>
      <c r="GE4" s="2652"/>
      <c r="GF4" s="2652"/>
      <c r="GG4" s="2652"/>
      <c r="GH4" s="2652"/>
      <c r="GI4" s="2652"/>
      <c r="GJ4" s="2652"/>
      <c r="GK4" s="2652"/>
      <c r="GL4" s="2652"/>
      <c r="GM4" s="2652"/>
      <c r="GN4" s="2652"/>
      <c r="GO4" s="2652"/>
      <c r="GP4" s="2652"/>
      <c r="GQ4" s="2652"/>
      <c r="GR4" s="2652"/>
      <c r="GS4" s="2652"/>
      <c r="GT4" s="2652"/>
      <c r="GU4" s="2652"/>
      <c r="GV4" s="2652"/>
      <c r="GW4" s="2652"/>
      <c r="GX4" s="2652"/>
      <c r="GY4" s="2652"/>
      <c r="GZ4" s="2652"/>
      <c r="HA4" s="2652"/>
      <c r="HB4" s="2652"/>
      <c r="HC4" s="2652"/>
      <c r="HD4" s="2652"/>
      <c r="HE4" s="2652"/>
      <c r="HF4" s="2652"/>
      <c r="HG4" s="2652"/>
      <c r="HH4" s="2652"/>
      <c r="HI4" s="2652"/>
      <c r="HJ4" s="2652"/>
      <c r="HK4" s="2652"/>
      <c r="HL4" s="2652"/>
      <c r="HM4" s="2652"/>
      <c r="HN4" s="2652"/>
      <c r="HO4" s="2652"/>
      <c r="HP4" s="2652"/>
      <c r="HQ4" s="2652"/>
      <c r="HR4" s="2652"/>
      <c r="HS4" s="2652"/>
      <c r="HT4" s="2652"/>
      <c r="HU4" s="2652"/>
      <c r="HV4" s="2652"/>
      <c r="HW4" s="2652"/>
      <c r="HX4" s="2652"/>
      <c r="HY4" s="2652"/>
      <c r="HZ4" s="2652"/>
      <c r="IA4" s="2652"/>
      <c r="IB4" s="2652"/>
      <c r="IC4" s="2652"/>
      <c r="ID4" s="2652"/>
      <c r="IE4" s="2652"/>
      <c r="IF4" s="2652"/>
      <c r="IG4" s="2652"/>
      <c r="IH4" s="2652"/>
      <c r="II4" s="2652"/>
      <c r="IJ4" s="2652"/>
      <c r="IK4" s="2652"/>
      <c r="IL4" s="2652"/>
      <c r="IM4" s="2652"/>
      <c r="IN4" s="2652"/>
      <c r="IO4" s="2652"/>
      <c r="IP4" s="2652"/>
      <c r="IQ4" s="2652"/>
      <c r="IR4" s="2652"/>
      <c r="IS4" s="2652"/>
      <c r="IT4" s="2652"/>
      <c r="IU4" s="2652"/>
      <c r="IV4" s="2652"/>
      <c r="IW4" s="2652"/>
      <c r="IX4" s="2652"/>
      <c r="IY4" s="2652"/>
      <c r="IZ4" s="2652"/>
      <c r="JA4" s="2652"/>
      <c r="JB4" s="2653"/>
      <c r="JC4" s="522"/>
      <c r="JD4" s="521"/>
      <c r="JE4" s="521"/>
      <c r="JF4" s="521"/>
      <c r="JG4" s="521"/>
    </row>
    <row r="5" spans="1:267" s="467" customFormat="1" ht="161.25" customHeight="1">
      <c r="A5" s="2641"/>
      <c r="B5" s="2643"/>
      <c r="C5" s="2643"/>
      <c r="D5" s="2643"/>
      <c r="E5" s="2643"/>
      <c r="F5" s="2643"/>
      <c r="G5" s="2650"/>
      <c r="H5" s="1896" t="s">
        <v>4174</v>
      </c>
      <c r="I5" s="1896" t="s">
        <v>1438</v>
      </c>
      <c r="J5" s="1896" t="s">
        <v>5823</v>
      </c>
      <c r="K5" s="1896" t="s">
        <v>1900</v>
      </c>
      <c r="L5" s="1896" t="s">
        <v>816</v>
      </c>
      <c r="M5" s="1896" t="s">
        <v>621</v>
      </c>
      <c r="N5" s="1896" t="s">
        <v>650</v>
      </c>
      <c r="O5" s="1896" t="s">
        <v>2141</v>
      </c>
      <c r="P5" s="1896" t="s">
        <v>623</v>
      </c>
      <c r="Q5" s="1896" t="s">
        <v>515</v>
      </c>
      <c r="R5" s="1896" t="s">
        <v>3710</v>
      </c>
      <c r="S5" s="1896" t="s">
        <v>3711</v>
      </c>
      <c r="T5" s="1896" t="s">
        <v>646</v>
      </c>
      <c r="U5" s="1896" t="s">
        <v>338</v>
      </c>
      <c r="V5" s="1896" t="s">
        <v>4034</v>
      </c>
      <c r="W5" s="1896" t="s">
        <v>3713</v>
      </c>
      <c r="X5" s="1896" t="s">
        <v>988</v>
      </c>
      <c r="Y5" s="1896" t="s">
        <v>624</v>
      </c>
      <c r="Z5" s="1896" t="s">
        <v>1704</v>
      </c>
      <c r="AA5" s="1896" t="s">
        <v>5818</v>
      </c>
      <c r="AB5" s="1896" t="s">
        <v>3736</v>
      </c>
      <c r="AC5" s="1896" t="s">
        <v>3737</v>
      </c>
      <c r="AD5" s="1896" t="s">
        <v>4790</v>
      </c>
      <c r="AE5" s="1896" t="s">
        <v>4789</v>
      </c>
      <c r="AF5" s="1896" t="s">
        <v>298</v>
      </c>
      <c r="AG5" s="1896" t="s">
        <v>1706</v>
      </c>
      <c r="AH5" s="1896" t="s">
        <v>1708</v>
      </c>
      <c r="AI5" s="1896" t="s">
        <v>3738</v>
      </c>
      <c r="AJ5" s="1896" t="s">
        <v>3739</v>
      </c>
      <c r="AK5" s="1897" t="s">
        <v>1612</v>
      </c>
      <c r="AL5" s="1897" t="s">
        <v>1611</v>
      </c>
      <c r="AM5" s="1896" t="s">
        <v>1482</v>
      </c>
      <c r="AN5" s="1896" t="s">
        <v>1483</v>
      </c>
      <c r="AO5" s="1896" t="s">
        <v>1484</v>
      </c>
      <c r="AP5" s="1896" t="s">
        <v>1833</v>
      </c>
      <c r="AQ5" s="1896" t="s">
        <v>1834</v>
      </c>
      <c r="AR5" s="1896" t="s">
        <v>1835</v>
      </c>
      <c r="AS5" s="1898" t="s">
        <v>1836</v>
      </c>
      <c r="AT5" s="1898" t="s">
        <v>676</v>
      </c>
      <c r="AU5" s="1898" t="s">
        <v>1587</v>
      </c>
      <c r="AV5" s="1898" t="s">
        <v>1726</v>
      </c>
      <c r="AW5" s="1896" t="s">
        <v>1725</v>
      </c>
      <c r="AX5" s="1896" t="s">
        <v>2042</v>
      </c>
      <c r="AY5" s="1896" t="s">
        <v>2043</v>
      </c>
      <c r="AZ5" s="1897" t="s">
        <v>4838</v>
      </c>
      <c r="BA5" s="1897" t="s">
        <v>4839</v>
      </c>
      <c r="BB5" s="1896" t="s">
        <v>1759</v>
      </c>
      <c r="BC5" s="1896" t="s">
        <v>90</v>
      </c>
      <c r="BD5" s="1896" t="s">
        <v>787</v>
      </c>
      <c r="BE5" s="1896" t="s">
        <v>91</v>
      </c>
      <c r="BF5" s="1896" t="s">
        <v>1254</v>
      </c>
      <c r="BG5" s="1896" t="s">
        <v>92</v>
      </c>
      <c r="BH5" s="1896" t="s">
        <v>1376</v>
      </c>
      <c r="BI5" s="1896" t="s">
        <v>93</v>
      </c>
      <c r="BJ5" s="2609"/>
      <c r="BK5" s="2609"/>
      <c r="BL5" s="2609"/>
      <c r="BM5" s="2609"/>
      <c r="BN5" s="2609"/>
      <c r="BO5" s="2609"/>
      <c r="BP5" s="2609"/>
      <c r="BQ5" s="2609"/>
      <c r="BR5" s="2609"/>
      <c r="BS5" s="1896" t="s">
        <v>3720</v>
      </c>
      <c r="BT5" s="1896" t="s">
        <v>79</v>
      </c>
      <c r="BU5" s="1896" t="s">
        <v>2111</v>
      </c>
      <c r="BV5" s="1896" t="s">
        <v>3741</v>
      </c>
      <c r="BW5" s="1896" t="s">
        <v>920</v>
      </c>
      <c r="BX5" s="1896" t="s">
        <v>3718</v>
      </c>
      <c r="BY5" s="1896" t="s">
        <v>3718</v>
      </c>
      <c r="BZ5" s="1896" t="s">
        <v>3719</v>
      </c>
      <c r="CA5" s="1896" t="s">
        <v>566</v>
      </c>
      <c r="CB5" s="1896" t="s">
        <v>3742</v>
      </c>
      <c r="CC5" s="1896" t="s">
        <v>3744</v>
      </c>
      <c r="CD5" s="1896" t="s">
        <v>1910</v>
      </c>
      <c r="CE5" s="1896" t="s">
        <v>912</v>
      </c>
      <c r="CF5" s="1896" t="s">
        <v>3717</v>
      </c>
      <c r="CG5" s="1896" t="s">
        <v>2110</v>
      </c>
      <c r="CH5" s="1896" t="s">
        <v>3745</v>
      </c>
      <c r="CI5" s="1896" t="s">
        <v>674</v>
      </c>
      <c r="CJ5" s="1896" t="s">
        <v>50</v>
      </c>
      <c r="CK5" s="1896" t="s">
        <v>5812</v>
      </c>
      <c r="CL5" s="1896" t="s">
        <v>3746</v>
      </c>
      <c r="CM5" s="1896" t="s">
        <v>2050</v>
      </c>
      <c r="CN5" s="1896" t="s">
        <v>4035</v>
      </c>
      <c r="CO5" s="1896" t="s">
        <v>1210</v>
      </c>
      <c r="CP5" s="2639" t="s">
        <v>4064</v>
      </c>
      <c r="CQ5" s="2639" t="s">
        <v>4064</v>
      </c>
      <c r="CR5" s="2639" t="s">
        <v>4064</v>
      </c>
      <c r="CS5" s="2639"/>
      <c r="CT5" s="2639"/>
      <c r="CU5" s="2639"/>
      <c r="CV5" s="2639"/>
      <c r="CW5" s="2639"/>
      <c r="CX5" s="2639"/>
      <c r="CY5" s="2639"/>
      <c r="CZ5" s="2639"/>
      <c r="DA5" s="2639"/>
      <c r="DB5" s="2639"/>
      <c r="DC5" s="2639"/>
      <c r="DD5" s="2639"/>
      <c r="DE5" s="2639"/>
      <c r="DF5" s="2639"/>
      <c r="DG5" s="2639"/>
      <c r="DH5" s="2639"/>
      <c r="DI5" s="2639"/>
      <c r="DJ5" s="2639"/>
      <c r="DK5" s="2639"/>
      <c r="DL5" s="2639"/>
      <c r="DM5" s="2639"/>
      <c r="DN5" s="2639"/>
      <c r="DO5" s="2639"/>
      <c r="DP5" s="2639"/>
      <c r="DQ5" s="2639"/>
      <c r="DR5" s="2639"/>
      <c r="DS5" s="2639"/>
      <c r="DT5" s="2639"/>
      <c r="DU5" s="2639"/>
      <c r="DV5" s="2639"/>
      <c r="DW5" s="2639"/>
      <c r="DX5" s="2639"/>
      <c r="DY5" s="2639"/>
      <c r="DZ5" s="2639"/>
      <c r="EA5" s="2639"/>
      <c r="EB5" s="2639"/>
      <c r="EC5" s="2639"/>
      <c r="ED5" s="2639"/>
      <c r="EE5" s="2639"/>
      <c r="EF5" s="2639"/>
      <c r="EG5" s="2639"/>
      <c r="EH5" s="2639"/>
      <c r="EI5" s="2639"/>
      <c r="EJ5" s="2639"/>
      <c r="EK5" s="2639"/>
      <c r="EL5" s="2639"/>
      <c r="EM5" s="2639"/>
      <c r="EN5" s="2639"/>
      <c r="EO5" s="2639"/>
      <c r="EP5" s="523" t="s">
        <v>4117</v>
      </c>
      <c r="EQ5" s="523" t="s">
        <v>4118</v>
      </c>
      <c r="ER5" s="523" t="s">
        <v>4119</v>
      </c>
      <c r="ES5" s="523" t="s">
        <v>4121</v>
      </c>
      <c r="ET5" s="523" t="s">
        <v>4122</v>
      </c>
      <c r="EU5" s="523" t="s">
        <v>4123</v>
      </c>
      <c r="EV5" s="523" t="s">
        <v>4124</v>
      </c>
      <c r="EW5" s="523" t="s">
        <v>4120</v>
      </c>
      <c r="EX5" s="523" t="s">
        <v>4125</v>
      </c>
      <c r="EY5" s="523" t="s">
        <v>4130</v>
      </c>
      <c r="EZ5" s="523" t="s">
        <v>4131</v>
      </c>
      <c r="FA5" s="523" t="s">
        <v>4127</v>
      </c>
      <c r="FB5" s="523" t="s">
        <v>4128</v>
      </c>
      <c r="FC5" s="523" t="s">
        <v>4129</v>
      </c>
      <c r="FD5" s="523" t="s">
        <v>4126</v>
      </c>
      <c r="FE5" s="523" t="s">
        <v>4132</v>
      </c>
      <c r="FF5" s="523" t="s">
        <v>4133</v>
      </c>
      <c r="FG5" s="523" t="s">
        <v>4134</v>
      </c>
      <c r="FH5" s="523" t="s">
        <v>4135</v>
      </c>
      <c r="FI5" s="523" t="s">
        <v>4136</v>
      </c>
      <c r="FJ5" s="523" t="s">
        <v>4137</v>
      </c>
      <c r="FK5" s="523" t="s">
        <v>4138</v>
      </c>
      <c r="FL5" s="523" t="s">
        <v>4139</v>
      </c>
      <c r="FM5" s="523" t="s">
        <v>4140</v>
      </c>
      <c r="FN5" s="523" t="s">
        <v>4141</v>
      </c>
      <c r="FO5" s="523" t="s">
        <v>4142</v>
      </c>
      <c r="FP5" s="523" t="s">
        <v>4143</v>
      </c>
      <c r="FQ5" s="523" t="s">
        <v>4144</v>
      </c>
      <c r="FR5" s="523" t="s">
        <v>4147</v>
      </c>
      <c r="FS5" s="523" t="s">
        <v>4148</v>
      </c>
      <c r="FT5" s="523" t="s">
        <v>4149</v>
      </c>
      <c r="FU5" s="523" t="s">
        <v>4150</v>
      </c>
      <c r="FV5" s="523" t="s">
        <v>4146</v>
      </c>
      <c r="FW5" s="523" t="s">
        <v>4145</v>
      </c>
      <c r="FX5" s="1888" t="s">
        <v>4151</v>
      </c>
      <c r="FY5" s="1888" t="s">
        <v>4152</v>
      </c>
      <c r="FZ5" s="1888" t="s">
        <v>4153</v>
      </c>
      <c r="GA5" s="1888" t="s">
        <v>4165</v>
      </c>
      <c r="GB5" s="523" t="s">
        <v>4166</v>
      </c>
      <c r="GC5" s="523" t="s">
        <v>4167</v>
      </c>
      <c r="GD5" s="523" t="s">
        <v>4168</v>
      </c>
      <c r="GE5" s="523" t="s">
        <v>4169</v>
      </c>
      <c r="GF5" s="523" t="s">
        <v>4170</v>
      </c>
      <c r="GG5" s="523" t="s">
        <v>4171</v>
      </c>
      <c r="GH5" s="523" t="s">
        <v>4155</v>
      </c>
      <c r="GI5" s="523" t="s">
        <v>4156</v>
      </c>
      <c r="GJ5" s="523" t="s">
        <v>4157</v>
      </c>
      <c r="GK5" s="523" t="s">
        <v>4154</v>
      </c>
      <c r="GL5" s="523" t="s">
        <v>4158</v>
      </c>
      <c r="GM5" s="523" t="s">
        <v>4159</v>
      </c>
      <c r="GN5" s="523" t="s">
        <v>4160</v>
      </c>
      <c r="GO5" s="523" t="s">
        <v>4161</v>
      </c>
      <c r="GP5" s="523" t="s">
        <v>4283</v>
      </c>
      <c r="GQ5" s="523" t="s">
        <v>4162</v>
      </c>
      <c r="GR5" s="523" t="s">
        <v>4163</v>
      </c>
      <c r="GS5" s="523" t="s">
        <v>4164</v>
      </c>
      <c r="GT5" s="523" t="s">
        <v>4109</v>
      </c>
      <c r="GU5" s="523" t="s">
        <v>3557</v>
      </c>
      <c r="GV5" s="523" t="s">
        <v>4172</v>
      </c>
      <c r="GW5" s="523" t="s">
        <v>4173</v>
      </c>
      <c r="GX5" s="523" t="s">
        <v>4226</v>
      </c>
      <c r="GY5" s="523" t="s">
        <v>4227</v>
      </c>
      <c r="GZ5" s="523" t="s">
        <v>4228</v>
      </c>
      <c r="HA5" s="523" t="s">
        <v>4229</v>
      </c>
      <c r="HB5" s="523" t="s">
        <v>4230</v>
      </c>
      <c r="HC5" s="523" t="s">
        <v>4231</v>
      </c>
      <c r="HD5" s="523" t="s">
        <v>4232</v>
      </c>
      <c r="HE5" s="523" t="s">
        <v>4233</v>
      </c>
      <c r="HF5" s="523" t="s">
        <v>4234</v>
      </c>
      <c r="HG5" s="523" t="s">
        <v>4235</v>
      </c>
      <c r="HH5" s="523" t="s">
        <v>4236</v>
      </c>
      <c r="HI5" s="523" t="s">
        <v>4237</v>
      </c>
      <c r="HJ5" s="523" t="s">
        <v>4238</v>
      </c>
      <c r="HK5" s="523" t="s">
        <v>4239</v>
      </c>
      <c r="HL5" s="523" t="s">
        <v>4240</v>
      </c>
      <c r="HM5" s="523" t="s">
        <v>4241</v>
      </c>
      <c r="HN5" s="523" t="s">
        <v>4242</v>
      </c>
      <c r="HO5" s="523" t="s">
        <v>4243</v>
      </c>
      <c r="HP5" s="523" t="s">
        <v>4244</v>
      </c>
      <c r="HQ5" s="523" t="s">
        <v>4245</v>
      </c>
      <c r="HR5" s="523" t="s">
        <v>4246</v>
      </c>
      <c r="HS5" s="523" t="s">
        <v>4247</v>
      </c>
      <c r="HT5" s="523" t="s">
        <v>4248</v>
      </c>
      <c r="HU5" s="523" t="s">
        <v>4249</v>
      </c>
      <c r="HV5" s="523" t="s">
        <v>4250</v>
      </c>
      <c r="HW5" s="523" t="s">
        <v>4251</v>
      </c>
      <c r="HX5" s="523" t="s">
        <v>4252</v>
      </c>
      <c r="HY5" s="523" t="s">
        <v>4253</v>
      </c>
      <c r="HZ5" s="523" t="s">
        <v>4254</v>
      </c>
      <c r="IA5" s="523" t="s">
        <v>4255</v>
      </c>
      <c r="IB5" s="523" t="s">
        <v>4256</v>
      </c>
      <c r="IC5" s="523" t="s">
        <v>4257</v>
      </c>
      <c r="ID5" s="523" t="s">
        <v>4258</v>
      </c>
      <c r="IE5" s="523" t="s">
        <v>4259</v>
      </c>
      <c r="IF5" s="523" t="s">
        <v>4260</v>
      </c>
      <c r="IG5" s="523" t="s">
        <v>4261</v>
      </c>
      <c r="IH5" s="523" t="s">
        <v>4262</v>
      </c>
      <c r="II5" s="523" t="s">
        <v>4263</v>
      </c>
      <c r="IJ5" s="523" t="s">
        <v>4264</v>
      </c>
      <c r="IK5" s="523" t="s">
        <v>4265</v>
      </c>
      <c r="IL5" s="523" t="s">
        <v>4266</v>
      </c>
      <c r="IM5" s="523" t="s">
        <v>4267</v>
      </c>
      <c r="IN5" s="523" t="s">
        <v>4268</v>
      </c>
      <c r="IO5" s="523" t="s">
        <v>4269</v>
      </c>
      <c r="IP5" s="523" t="s">
        <v>4270</v>
      </c>
      <c r="IQ5" s="523" t="s">
        <v>4271</v>
      </c>
      <c r="IR5" s="523" t="s">
        <v>4272</v>
      </c>
      <c r="IS5" s="523" t="s">
        <v>4273</v>
      </c>
      <c r="IT5" s="523" t="s">
        <v>4274</v>
      </c>
      <c r="IU5" s="523" t="s">
        <v>4275</v>
      </c>
      <c r="IV5" s="523" t="s">
        <v>4276</v>
      </c>
      <c r="IW5" s="523" t="s">
        <v>4277</v>
      </c>
      <c r="IX5" s="523" t="s">
        <v>4278</v>
      </c>
      <c r="IY5" s="523" t="s">
        <v>4279</v>
      </c>
      <c r="IZ5" s="523" t="s">
        <v>4280</v>
      </c>
      <c r="JA5" s="523" t="s">
        <v>4281</v>
      </c>
      <c r="JB5" s="524" t="s">
        <v>4282</v>
      </c>
      <c r="JC5" s="525" t="s">
        <v>3373</v>
      </c>
      <c r="JD5" s="521"/>
      <c r="JE5" s="521"/>
      <c r="JF5" s="521"/>
      <c r="JG5" s="521"/>
    </row>
    <row r="6" spans="1:267" ht="24" customHeight="1">
      <c r="A6" s="1956" t="s">
        <v>4066</v>
      </c>
      <c r="B6" s="1957"/>
      <c r="C6" s="1958"/>
      <c r="D6" s="1958"/>
      <c r="E6" s="1958"/>
      <c r="F6" s="1958"/>
      <c r="G6" s="1959"/>
      <c r="H6" s="1959"/>
      <c r="I6" s="1959"/>
      <c r="J6" s="1959"/>
      <c r="K6" s="1959"/>
      <c r="L6" s="1959"/>
      <c r="M6" s="1959"/>
      <c r="N6" s="1957"/>
      <c r="O6" s="1957"/>
      <c r="P6" s="1957"/>
      <c r="Q6" s="1959"/>
      <c r="R6" s="1959"/>
      <c r="S6" s="1959"/>
      <c r="T6" s="1959"/>
      <c r="U6" s="1959"/>
      <c r="V6" s="1959"/>
      <c r="W6" s="1959"/>
      <c r="X6" s="1959"/>
      <c r="Y6" s="1959"/>
      <c r="Z6" s="1959"/>
      <c r="AA6" s="1959"/>
      <c r="AB6" s="1959"/>
      <c r="AC6" s="1959"/>
      <c r="AD6" s="1959"/>
      <c r="AE6" s="1959"/>
      <c r="AF6" s="1959"/>
      <c r="AG6" s="1959"/>
      <c r="AH6" s="1959"/>
      <c r="AI6" s="1959"/>
      <c r="AJ6" s="1959"/>
      <c r="AK6" s="1959"/>
      <c r="AL6" s="1959"/>
      <c r="AM6" s="1959"/>
      <c r="AN6" s="1959"/>
      <c r="AO6" s="1959"/>
      <c r="AP6" s="1959"/>
      <c r="AQ6" s="1959"/>
      <c r="AR6" s="1959"/>
      <c r="AS6" s="1959"/>
      <c r="AT6" s="1959"/>
      <c r="AU6" s="1959"/>
      <c r="AV6" s="1959"/>
      <c r="AW6" s="1959"/>
      <c r="AX6" s="1959"/>
      <c r="AY6" s="1959"/>
      <c r="AZ6" s="1959"/>
      <c r="BA6" s="1959"/>
      <c r="BB6" s="1959"/>
      <c r="BC6" s="1959"/>
      <c r="BD6" s="1959"/>
      <c r="BE6" s="1959"/>
      <c r="BF6" s="1959"/>
      <c r="BG6" s="1959"/>
      <c r="BH6" s="1959"/>
      <c r="BI6" s="1959"/>
      <c r="BJ6" s="1959"/>
      <c r="BK6" s="1959"/>
      <c r="BL6" s="1959"/>
      <c r="BM6" s="1959"/>
      <c r="BN6" s="1959"/>
      <c r="BO6" s="1959"/>
      <c r="BP6" s="1959"/>
      <c r="BQ6" s="1959"/>
      <c r="BR6" s="1959"/>
      <c r="BS6" s="1959"/>
      <c r="BT6" s="1959"/>
      <c r="BU6" s="1959"/>
      <c r="BV6" s="1959"/>
      <c r="BW6" s="1959"/>
      <c r="BX6" s="1959"/>
      <c r="BY6" s="1959"/>
      <c r="BZ6" s="1959"/>
      <c r="CA6" s="1959"/>
      <c r="CB6" s="1959"/>
      <c r="CC6" s="1959"/>
      <c r="CD6" s="1959"/>
      <c r="CE6" s="1959"/>
      <c r="CF6" s="1959"/>
      <c r="CG6" s="1959"/>
      <c r="CH6" s="1959"/>
      <c r="CI6" s="1959"/>
      <c r="CJ6" s="1959"/>
      <c r="CK6" s="1959"/>
      <c r="CL6" s="1959"/>
      <c r="CM6" s="1959"/>
      <c r="CN6" s="1959"/>
      <c r="CO6" s="1959"/>
      <c r="CP6" s="1960"/>
      <c r="CQ6" s="1960"/>
      <c r="CR6" s="1960"/>
      <c r="CS6" s="1960"/>
      <c r="CT6" s="1960"/>
      <c r="CU6" s="1960"/>
      <c r="CV6" s="1960"/>
      <c r="CW6" s="1960"/>
      <c r="CX6" s="1960"/>
      <c r="CY6" s="1960"/>
      <c r="CZ6" s="1960"/>
      <c r="DA6" s="1960"/>
      <c r="DB6" s="1960"/>
      <c r="DC6" s="1960"/>
      <c r="DD6" s="1960"/>
      <c r="DE6" s="1960"/>
      <c r="DF6" s="1960"/>
      <c r="DG6" s="1960"/>
      <c r="DH6" s="1960"/>
      <c r="DI6" s="1960"/>
      <c r="DJ6" s="1960"/>
      <c r="DK6" s="1960"/>
      <c r="DL6" s="1960"/>
      <c r="DM6" s="1960"/>
      <c r="DN6" s="1961"/>
      <c r="DO6" s="1960"/>
      <c r="DP6" s="1960"/>
      <c r="DQ6" s="1960"/>
      <c r="DR6" s="1960"/>
      <c r="DS6" s="1960"/>
      <c r="DT6" s="1960"/>
      <c r="DU6" s="1960"/>
      <c r="DV6" s="1960"/>
      <c r="DW6" s="1960"/>
      <c r="DX6" s="1960"/>
      <c r="DY6" s="1960"/>
      <c r="DZ6" s="1960"/>
      <c r="EA6" s="1960"/>
      <c r="EB6" s="1960"/>
      <c r="EC6" s="1960"/>
      <c r="ED6" s="1960"/>
      <c r="EE6" s="1960"/>
      <c r="EF6" s="1960"/>
      <c r="EG6" s="1960"/>
      <c r="EH6" s="1960"/>
      <c r="EI6" s="1960"/>
      <c r="EJ6" s="1960"/>
      <c r="EK6" s="1960"/>
      <c r="EL6" s="1960"/>
      <c r="EM6" s="1960"/>
      <c r="EN6" s="1960"/>
      <c r="EO6" s="1962"/>
      <c r="EP6" s="1963"/>
      <c r="EQ6" s="1963"/>
      <c r="ER6" s="1963"/>
      <c r="ES6" s="1963"/>
      <c r="ET6" s="1963"/>
      <c r="EU6" s="1963"/>
      <c r="EV6" s="1963"/>
      <c r="EW6" s="1963"/>
      <c r="EX6" s="1963"/>
      <c r="EY6" s="1963"/>
      <c r="EZ6" s="1963"/>
      <c r="FA6" s="1963"/>
      <c r="FB6" s="1963"/>
      <c r="FC6" s="1963"/>
      <c r="FD6" s="1963"/>
      <c r="FE6" s="1963"/>
      <c r="FF6" s="1964" t="s">
        <v>4065</v>
      </c>
      <c r="FG6" s="1960"/>
      <c r="FH6" s="1960"/>
      <c r="FI6" s="1960"/>
      <c r="FJ6" s="1960"/>
      <c r="FK6" s="1960"/>
      <c r="FL6" s="1960"/>
      <c r="FM6" s="1960"/>
      <c r="FN6" s="1960"/>
      <c r="FO6" s="1960"/>
      <c r="FP6" s="1960"/>
      <c r="FQ6" s="1960"/>
      <c r="FR6" s="1960"/>
      <c r="FS6" s="1960"/>
      <c r="FT6" s="1960"/>
      <c r="FU6" s="1960"/>
      <c r="FV6" s="1960"/>
      <c r="FW6" s="1960"/>
      <c r="FX6" s="1960"/>
      <c r="FY6" s="1960"/>
      <c r="FZ6" s="1960"/>
      <c r="GA6" s="1960"/>
      <c r="GB6" s="1960"/>
      <c r="GC6" s="1960"/>
      <c r="GD6" s="1960"/>
      <c r="GE6" s="1960"/>
      <c r="GF6" s="1960"/>
      <c r="GG6" s="1960"/>
      <c r="GH6" s="1960"/>
      <c r="GI6" s="1960"/>
      <c r="GJ6" s="1960"/>
      <c r="GK6" s="1960"/>
      <c r="GL6" s="1960"/>
      <c r="GM6" s="1960"/>
      <c r="GN6" s="1960"/>
      <c r="GO6" s="1960"/>
      <c r="GP6" s="1960"/>
      <c r="GQ6" s="1960"/>
      <c r="GR6" s="1960"/>
      <c r="GS6" s="1960"/>
      <c r="GT6" s="1960"/>
      <c r="GU6" s="1960"/>
      <c r="GV6" s="1960"/>
      <c r="GW6" s="1960"/>
      <c r="GX6" s="1960"/>
      <c r="GY6" s="1960"/>
      <c r="GZ6" s="1960"/>
      <c r="HA6" s="1960"/>
      <c r="HB6" s="1960"/>
      <c r="HC6" s="1960"/>
      <c r="HD6" s="1960"/>
      <c r="HE6" s="1960"/>
      <c r="HF6" s="1960"/>
      <c r="HG6" s="1960"/>
      <c r="HH6" s="1960"/>
      <c r="HI6" s="1960"/>
      <c r="HJ6" s="1960"/>
      <c r="HK6" s="1960"/>
      <c r="HL6" s="1960"/>
      <c r="HM6" s="1960"/>
      <c r="HN6" s="1960"/>
      <c r="HO6" s="1960"/>
      <c r="HP6" s="1960"/>
      <c r="HQ6" s="1960"/>
      <c r="HR6" s="1960"/>
      <c r="HS6" s="1960"/>
      <c r="HT6" s="1960"/>
      <c r="HU6" s="1960"/>
      <c r="HV6" s="1960"/>
      <c r="HW6" s="1960"/>
      <c r="HX6" s="1960"/>
      <c r="HY6" s="1960"/>
      <c r="HZ6" s="1960"/>
      <c r="IA6" s="1960"/>
      <c r="IB6" s="1960"/>
      <c r="IC6" s="1960"/>
      <c r="ID6" s="1960"/>
      <c r="IE6" s="1960"/>
      <c r="IF6" s="1960"/>
      <c r="IG6" s="1960"/>
      <c r="IH6" s="1960"/>
      <c r="II6" s="1960"/>
      <c r="IJ6" s="1960"/>
      <c r="IK6" s="1960"/>
      <c r="IL6" s="1960"/>
      <c r="IM6" s="1960"/>
      <c r="IN6" s="1960"/>
      <c r="IO6" s="1960"/>
      <c r="IP6" s="1960"/>
      <c r="IQ6" s="1960"/>
      <c r="IR6" s="1960"/>
      <c r="IS6" s="1960"/>
      <c r="IT6" s="1960"/>
      <c r="IU6" s="1960"/>
      <c r="IV6" s="1960"/>
      <c r="IW6" s="1960"/>
      <c r="IX6" s="1960"/>
      <c r="IY6" s="1960"/>
      <c r="IZ6" s="1960"/>
      <c r="JA6" s="1962"/>
      <c r="JB6" s="1965"/>
      <c r="JC6" s="1966"/>
      <c r="JD6" s="521"/>
      <c r="JE6" s="521"/>
      <c r="JF6" s="521"/>
      <c r="JG6" s="521"/>
    </row>
    <row r="7" spans="1:267" ht="15.6">
      <c r="A7" s="1971" t="s">
        <v>5822</v>
      </c>
      <c r="B7" s="1968"/>
      <c r="C7" s="1969"/>
      <c r="D7" s="1969"/>
      <c r="E7" s="1969">
        <f>B7</f>
        <v>0</v>
      </c>
      <c r="F7" s="1969"/>
      <c r="G7" s="1970" t="s">
        <v>183</v>
      </c>
      <c r="H7" s="567"/>
      <c r="I7" s="567">
        <v>2</v>
      </c>
      <c r="J7" s="567">
        <v>0</v>
      </c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>
        <v>1</v>
      </c>
      <c r="AB7" s="567"/>
      <c r="AC7" s="567"/>
      <c r="AD7" s="567"/>
      <c r="AE7" s="567"/>
      <c r="AF7" s="567"/>
      <c r="AG7" s="567"/>
      <c r="AH7" s="567"/>
      <c r="AI7" s="567"/>
      <c r="AJ7" s="567"/>
      <c r="AK7" s="567"/>
      <c r="AL7" s="567"/>
      <c r="AM7" s="567"/>
      <c r="AN7" s="567"/>
      <c r="AO7" s="567"/>
      <c r="AP7" s="567">
        <v>1</v>
      </c>
      <c r="AQ7" s="567"/>
      <c r="AR7" s="567"/>
      <c r="AS7" s="567"/>
      <c r="AT7" s="567"/>
      <c r="AU7" s="567"/>
      <c r="AV7" s="567"/>
      <c r="AW7" s="567"/>
      <c r="AX7" s="567"/>
      <c r="AY7" s="567"/>
      <c r="AZ7" s="567"/>
      <c r="BA7" s="567"/>
      <c r="BB7" s="567"/>
      <c r="BC7" s="567"/>
      <c r="BD7" s="567"/>
      <c r="BE7" s="567"/>
      <c r="BF7" s="567"/>
      <c r="BG7" s="567"/>
      <c r="BH7" s="567"/>
      <c r="BI7" s="567"/>
      <c r="BJ7" s="567"/>
      <c r="BK7" s="567"/>
      <c r="BL7" s="567"/>
      <c r="BM7" s="567"/>
      <c r="BN7" s="567"/>
      <c r="BO7" s="567"/>
      <c r="BP7" s="567"/>
      <c r="BQ7" s="567"/>
      <c r="BR7" s="567"/>
      <c r="BS7" s="567"/>
      <c r="BT7" s="567"/>
      <c r="BU7" s="567"/>
      <c r="BV7" s="567"/>
      <c r="BW7" s="567"/>
      <c r="BX7" s="567"/>
      <c r="BY7" s="567"/>
      <c r="BZ7" s="567"/>
      <c r="CA7" s="567"/>
      <c r="CB7" s="567"/>
      <c r="CC7" s="567">
        <v>1</v>
      </c>
      <c r="CD7" s="567"/>
      <c r="CE7" s="567"/>
      <c r="CF7" s="567"/>
      <c r="CG7" s="567"/>
      <c r="CH7" s="567"/>
      <c r="CI7" s="567"/>
      <c r="CJ7" s="567"/>
      <c r="CK7" s="567">
        <v>1</v>
      </c>
      <c r="CL7" s="567"/>
      <c r="CM7" s="567"/>
      <c r="CN7" s="567"/>
      <c r="CO7" s="567"/>
      <c r="CP7" s="567"/>
      <c r="CQ7" s="567"/>
      <c r="CR7" s="567">
        <v>2</v>
      </c>
      <c r="CS7" s="567">
        <v>3</v>
      </c>
      <c r="CT7" s="567"/>
      <c r="CU7" s="567"/>
      <c r="CV7" s="567"/>
      <c r="CW7" s="567"/>
      <c r="CX7" s="567"/>
      <c r="CY7" s="567"/>
      <c r="CZ7" s="567"/>
      <c r="DA7" s="567"/>
      <c r="DB7" s="567"/>
      <c r="DC7" s="567">
        <v>1</v>
      </c>
      <c r="DD7" s="567"/>
      <c r="DE7" s="567"/>
      <c r="DF7" s="567"/>
      <c r="DG7" s="567"/>
      <c r="DH7" s="567"/>
      <c r="DI7" s="567">
        <v>2</v>
      </c>
      <c r="DJ7" s="567"/>
      <c r="DK7" s="567"/>
      <c r="DL7" s="567"/>
      <c r="DM7" s="567"/>
      <c r="DN7" s="567"/>
      <c r="DO7" s="567"/>
      <c r="DP7" s="567"/>
      <c r="DQ7" s="567"/>
      <c r="DR7" s="567"/>
      <c r="DS7" s="567">
        <v>2</v>
      </c>
      <c r="DT7" s="567"/>
      <c r="DU7" s="567">
        <v>6</v>
      </c>
      <c r="DV7" s="567"/>
      <c r="DW7" s="567"/>
      <c r="DX7" s="567"/>
      <c r="DY7" s="567"/>
      <c r="DZ7" s="567">
        <v>6</v>
      </c>
      <c r="EA7" s="567"/>
      <c r="EB7" s="567"/>
      <c r="EC7" s="567"/>
      <c r="ED7" s="567"/>
      <c r="EE7" s="567"/>
      <c r="EF7" s="567">
        <v>1</v>
      </c>
      <c r="EG7" s="567">
        <v>1</v>
      </c>
      <c r="EH7" s="567"/>
      <c r="EI7" s="567">
        <v>3</v>
      </c>
      <c r="EJ7" s="567"/>
      <c r="EK7" s="567"/>
      <c r="EL7" s="567"/>
      <c r="EM7" s="567"/>
      <c r="EN7" s="567"/>
      <c r="EO7" s="568">
        <v>3</v>
      </c>
      <c r="EP7" s="567"/>
      <c r="EQ7" s="567"/>
      <c r="ER7" s="567"/>
      <c r="ES7" s="567"/>
      <c r="ET7" s="567"/>
      <c r="EU7" s="567"/>
      <c r="EV7" s="567"/>
      <c r="EW7" s="567"/>
      <c r="EX7" s="567"/>
      <c r="EY7" s="567"/>
      <c r="EZ7" s="567"/>
      <c r="FA7" s="567"/>
      <c r="FB7" s="567"/>
      <c r="FC7" s="567"/>
      <c r="FD7" s="567"/>
      <c r="FE7" s="567"/>
      <c r="FF7" s="567"/>
      <c r="FG7" s="567"/>
      <c r="FH7" s="567"/>
      <c r="FI7" s="567"/>
      <c r="FJ7" s="567"/>
      <c r="FK7" s="567"/>
      <c r="FL7" s="567"/>
      <c r="FM7" s="567"/>
      <c r="FN7" s="567"/>
      <c r="FO7" s="567"/>
      <c r="FP7" s="567"/>
      <c r="FQ7" s="567"/>
      <c r="FR7" s="567"/>
      <c r="FS7" s="567"/>
      <c r="FT7" s="567"/>
      <c r="FU7" s="567"/>
      <c r="FV7" s="567"/>
      <c r="FW7" s="567"/>
      <c r="FX7" s="567"/>
      <c r="FY7" s="567"/>
      <c r="FZ7" s="567"/>
      <c r="GA7" s="567"/>
      <c r="GB7" s="567"/>
      <c r="GC7" s="567"/>
      <c r="GD7" s="567"/>
      <c r="GE7" s="567"/>
      <c r="GF7" s="567"/>
      <c r="GG7" s="567"/>
      <c r="GH7" s="567"/>
      <c r="GI7" s="567"/>
      <c r="GJ7" s="567"/>
      <c r="GK7" s="567"/>
      <c r="GL7" s="567"/>
      <c r="GM7" s="567"/>
      <c r="GN7" s="567"/>
      <c r="GO7" s="567"/>
      <c r="GP7" s="567"/>
      <c r="GQ7" s="567"/>
      <c r="GR7" s="567"/>
      <c r="GS7" s="567"/>
      <c r="GT7" s="567"/>
      <c r="GU7" s="567"/>
      <c r="GV7" s="567"/>
      <c r="GW7" s="567"/>
      <c r="GX7" s="567"/>
      <c r="GY7" s="567"/>
      <c r="GZ7" s="567"/>
      <c r="HA7" s="567"/>
      <c r="HB7" s="567"/>
      <c r="HC7" s="567"/>
      <c r="HD7" s="567"/>
      <c r="HE7" s="567"/>
      <c r="HF7" s="567"/>
      <c r="HG7" s="567"/>
      <c r="HH7" s="567"/>
      <c r="HI7" s="567"/>
      <c r="HJ7" s="567"/>
      <c r="HK7" s="567"/>
      <c r="HL7" s="567"/>
      <c r="HM7" s="567"/>
      <c r="HN7" s="567"/>
      <c r="HO7" s="567"/>
      <c r="HP7" s="567"/>
      <c r="HQ7" s="567"/>
      <c r="HR7" s="567"/>
      <c r="HS7" s="567"/>
      <c r="HT7" s="567"/>
      <c r="HU7" s="567"/>
      <c r="HV7" s="567"/>
      <c r="HW7" s="567"/>
      <c r="HX7" s="567"/>
      <c r="HY7" s="567"/>
      <c r="HZ7" s="567"/>
      <c r="IA7" s="567"/>
      <c r="IB7" s="567"/>
      <c r="IC7" s="567"/>
      <c r="ID7" s="567"/>
      <c r="IE7" s="567"/>
      <c r="IF7" s="567"/>
      <c r="IG7" s="567"/>
      <c r="IH7" s="567"/>
      <c r="II7" s="567"/>
      <c r="IJ7" s="567"/>
      <c r="IK7" s="567"/>
      <c r="IL7" s="567"/>
      <c r="IM7" s="567"/>
      <c r="IN7" s="567"/>
      <c r="IO7" s="567"/>
      <c r="IP7" s="567"/>
      <c r="IQ7" s="567"/>
      <c r="IR7" s="567"/>
      <c r="IS7" s="567"/>
      <c r="IT7" s="567"/>
      <c r="IU7" s="567"/>
      <c r="IV7" s="567"/>
      <c r="IW7" s="567"/>
      <c r="IX7" s="567"/>
      <c r="IY7" s="567"/>
      <c r="IZ7" s="567"/>
      <c r="JA7" s="567"/>
      <c r="JB7" s="568"/>
      <c r="JC7" s="526"/>
      <c r="JG7" s="528"/>
    </row>
    <row r="8" spans="1:267" ht="15.6">
      <c r="A8" s="1967" t="s">
        <v>5817</v>
      </c>
      <c r="B8" s="1968">
        <v>30</v>
      </c>
      <c r="C8" s="1969">
        <v>30</v>
      </c>
      <c r="D8" s="1969">
        <v>30</v>
      </c>
      <c r="E8" s="1969"/>
      <c r="F8" s="1969"/>
      <c r="G8" s="1970" t="s">
        <v>341</v>
      </c>
      <c r="H8" s="567"/>
      <c r="I8" s="567"/>
      <c r="J8" s="567">
        <v>1</v>
      </c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>
        <v>1</v>
      </c>
      <c r="Y8" s="567"/>
      <c r="Z8" s="567"/>
      <c r="AA8" s="567">
        <v>1</v>
      </c>
      <c r="AB8" s="567"/>
      <c r="AC8" s="567"/>
      <c r="AD8" s="567"/>
      <c r="AE8" s="567"/>
      <c r="AF8" s="567"/>
      <c r="AG8" s="567"/>
      <c r="AH8" s="567"/>
      <c r="AI8" s="567"/>
      <c r="AJ8" s="567"/>
      <c r="AK8" s="567"/>
      <c r="AL8" s="567"/>
      <c r="AM8" s="567"/>
      <c r="AN8" s="567"/>
      <c r="AO8" s="567"/>
      <c r="AP8" s="567">
        <v>1</v>
      </c>
      <c r="AQ8" s="567"/>
      <c r="AR8" s="567"/>
      <c r="AS8" s="567"/>
      <c r="AT8" s="567"/>
      <c r="AU8" s="567"/>
      <c r="AV8" s="567"/>
      <c r="AW8" s="567"/>
      <c r="AX8" s="567"/>
      <c r="AY8" s="567"/>
      <c r="AZ8" s="567"/>
      <c r="BA8" s="567"/>
      <c r="BB8" s="567"/>
      <c r="BC8" s="567"/>
      <c r="BD8" s="567"/>
      <c r="BE8" s="567"/>
      <c r="BF8" s="567"/>
      <c r="BG8" s="567"/>
      <c r="BH8" s="567"/>
      <c r="BI8" s="567"/>
      <c r="BJ8" s="567"/>
      <c r="BK8" s="567"/>
      <c r="BL8" s="567"/>
      <c r="BM8" s="567"/>
      <c r="BN8" s="567"/>
      <c r="BO8" s="567">
        <v>1</v>
      </c>
      <c r="BP8" s="567"/>
      <c r="BQ8" s="567"/>
      <c r="BR8" s="567"/>
      <c r="BS8" s="567"/>
      <c r="BT8" s="567"/>
      <c r="BU8" s="567"/>
      <c r="BV8" s="567"/>
      <c r="BW8" s="567"/>
      <c r="BX8" s="567"/>
      <c r="BY8" s="567">
        <v>1</v>
      </c>
      <c r="BZ8" s="567"/>
      <c r="CA8" s="567"/>
      <c r="CB8" s="567"/>
      <c r="CC8" s="567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>
        <v>6</v>
      </c>
      <c r="CS8" s="567"/>
      <c r="CT8" s="567"/>
      <c r="CU8" s="567"/>
      <c r="CV8" s="567"/>
      <c r="CW8" s="567">
        <v>1</v>
      </c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>
        <v>6</v>
      </c>
      <c r="DK8" s="567"/>
      <c r="DL8" s="567"/>
      <c r="DM8" s="567"/>
      <c r="DN8" s="567"/>
      <c r="DO8" s="567"/>
      <c r="DP8" s="567"/>
      <c r="DQ8" s="567"/>
      <c r="DR8" s="567"/>
      <c r="DS8" s="567"/>
      <c r="DT8" s="567"/>
      <c r="DU8" s="567"/>
      <c r="DV8" s="567"/>
      <c r="DW8" s="567"/>
      <c r="DX8" s="567"/>
      <c r="DY8" s="567"/>
      <c r="DZ8" s="567"/>
      <c r="EA8" s="567"/>
      <c r="EB8" s="567"/>
      <c r="EC8" s="567"/>
      <c r="ED8" s="567"/>
      <c r="EE8" s="567"/>
      <c r="EF8" s="567"/>
      <c r="EG8" s="567"/>
      <c r="EH8" s="567"/>
      <c r="EI8" s="567"/>
      <c r="EJ8" s="567"/>
      <c r="EK8" s="567"/>
      <c r="EL8" s="567"/>
      <c r="EM8" s="567"/>
      <c r="EN8" s="567"/>
      <c r="EO8" s="568"/>
      <c r="EP8" s="567"/>
      <c r="EQ8" s="567"/>
      <c r="ER8" s="567"/>
      <c r="ES8" s="567"/>
      <c r="ET8" s="567"/>
      <c r="EU8" s="567"/>
      <c r="EV8" s="567"/>
      <c r="EW8" s="567"/>
      <c r="EX8" s="567"/>
      <c r="EY8" s="567"/>
      <c r="EZ8" s="567"/>
      <c r="FA8" s="567"/>
      <c r="FB8" s="567"/>
      <c r="FC8" s="567"/>
      <c r="FD8" s="567"/>
      <c r="FE8" s="567"/>
      <c r="FF8" s="567"/>
      <c r="FG8" s="567"/>
      <c r="FH8" s="567"/>
      <c r="FI8" s="567"/>
      <c r="FJ8" s="567"/>
      <c r="FK8" s="567"/>
      <c r="FL8" s="567"/>
      <c r="FM8" s="567"/>
      <c r="FN8" s="567"/>
      <c r="FO8" s="567"/>
      <c r="FP8" s="567"/>
      <c r="FQ8" s="567"/>
      <c r="FR8" s="567"/>
      <c r="FS8" s="567"/>
      <c r="FT8" s="567"/>
      <c r="FU8" s="567"/>
      <c r="FV8" s="567"/>
      <c r="FW8" s="567"/>
      <c r="FX8" s="567"/>
      <c r="FY8" s="567"/>
      <c r="FZ8" s="567"/>
      <c r="GA8" s="567"/>
      <c r="GB8" s="567"/>
      <c r="GC8" s="567"/>
      <c r="GD8" s="567"/>
      <c r="GE8" s="567"/>
      <c r="GF8" s="567"/>
      <c r="GG8" s="567"/>
      <c r="GH8" s="567"/>
      <c r="GI8" s="567"/>
      <c r="GJ8" s="567"/>
      <c r="GK8" s="567"/>
      <c r="GL8" s="567"/>
      <c r="GM8" s="567"/>
      <c r="GN8" s="567"/>
      <c r="GO8" s="567"/>
      <c r="GP8" s="567"/>
      <c r="GQ8" s="567"/>
      <c r="GR8" s="567"/>
      <c r="GS8" s="567"/>
      <c r="GT8" s="567"/>
      <c r="GU8" s="567"/>
      <c r="GV8" s="567"/>
      <c r="GW8" s="567"/>
      <c r="GX8" s="567"/>
      <c r="GY8" s="567"/>
      <c r="GZ8" s="567"/>
      <c r="HA8" s="567"/>
      <c r="HB8" s="567"/>
      <c r="HC8" s="567"/>
      <c r="HD8" s="567"/>
      <c r="HE8" s="567"/>
      <c r="HF8" s="567"/>
      <c r="HG8" s="567"/>
      <c r="HH8" s="567"/>
      <c r="HI8" s="567"/>
      <c r="HJ8" s="567"/>
      <c r="HK8" s="567"/>
      <c r="HL8" s="567"/>
      <c r="HM8" s="567"/>
      <c r="HN8" s="567"/>
      <c r="HO8" s="567"/>
      <c r="HP8" s="567"/>
      <c r="HQ8" s="567"/>
      <c r="HR8" s="567"/>
      <c r="HS8" s="567"/>
      <c r="HT8" s="567"/>
      <c r="HU8" s="567"/>
      <c r="HV8" s="567"/>
      <c r="HW8" s="567"/>
      <c r="HX8" s="567"/>
      <c r="HY8" s="567"/>
      <c r="HZ8" s="567"/>
      <c r="IA8" s="567"/>
      <c r="IB8" s="567"/>
      <c r="IC8" s="567"/>
      <c r="ID8" s="567"/>
      <c r="IE8" s="567"/>
      <c r="IF8" s="567"/>
      <c r="IG8" s="567"/>
      <c r="IH8" s="567"/>
      <c r="II8" s="567"/>
      <c r="IJ8" s="567"/>
      <c r="IK8" s="567"/>
      <c r="IL8" s="567"/>
      <c r="IM8" s="567"/>
      <c r="IN8" s="567"/>
      <c r="IO8" s="567"/>
      <c r="IP8" s="567"/>
      <c r="IQ8" s="567"/>
      <c r="IR8" s="567"/>
      <c r="IS8" s="567"/>
      <c r="IT8" s="567"/>
      <c r="IU8" s="567"/>
      <c r="IV8" s="567"/>
      <c r="IW8" s="567"/>
      <c r="IX8" s="567"/>
      <c r="IY8" s="567"/>
      <c r="IZ8" s="567"/>
      <c r="JA8" s="567"/>
      <c r="JB8" s="568"/>
      <c r="JC8" s="526"/>
      <c r="JG8" s="528"/>
    </row>
    <row r="9" spans="1:267" ht="15.6">
      <c r="A9" s="1967" t="s">
        <v>5826</v>
      </c>
      <c r="B9" s="1973">
        <v>33</v>
      </c>
      <c r="C9" s="1969">
        <v>33</v>
      </c>
      <c r="D9" s="1974">
        <v>33</v>
      </c>
      <c r="E9" s="1974"/>
      <c r="F9" s="1974"/>
      <c r="G9" s="1975" t="s">
        <v>1113</v>
      </c>
      <c r="H9" s="1976"/>
      <c r="I9" s="1976"/>
      <c r="J9" s="1976">
        <v>2</v>
      </c>
      <c r="K9" s="1976"/>
      <c r="L9" s="1976"/>
      <c r="M9" s="1976"/>
      <c r="N9" s="1976"/>
      <c r="O9" s="1976"/>
      <c r="P9" s="1976"/>
      <c r="Q9" s="1976"/>
      <c r="R9" s="1976"/>
      <c r="S9" s="1976"/>
      <c r="T9" s="1976"/>
      <c r="U9" s="1976"/>
      <c r="V9" s="1976"/>
      <c r="W9" s="1976"/>
      <c r="X9" s="1976"/>
      <c r="Y9" s="1976"/>
      <c r="Z9" s="1976"/>
      <c r="AA9" s="1976"/>
      <c r="AB9" s="1976"/>
      <c r="AC9" s="1976">
        <v>1</v>
      </c>
      <c r="AD9" s="1976"/>
      <c r="AE9" s="1976"/>
      <c r="AF9" s="1976"/>
      <c r="AG9" s="1976"/>
      <c r="AH9" s="1976"/>
      <c r="AI9" s="1976"/>
      <c r="AJ9" s="1976"/>
      <c r="AK9" s="1976"/>
      <c r="AL9" s="1976"/>
      <c r="AM9" s="1976"/>
      <c r="AN9" s="1976"/>
      <c r="AO9" s="1976"/>
      <c r="AP9" s="1976"/>
      <c r="AQ9" s="1976"/>
      <c r="AR9" s="1976"/>
      <c r="AS9" s="1976"/>
      <c r="AT9" s="1976"/>
      <c r="AU9" s="1976"/>
      <c r="AV9" s="1976"/>
      <c r="AW9" s="1976"/>
      <c r="AX9" s="1976"/>
      <c r="AY9" s="1976"/>
      <c r="AZ9" s="1976"/>
      <c r="BA9" s="1976"/>
      <c r="BB9" s="1976"/>
      <c r="BC9" s="1976"/>
      <c r="BD9" s="1976"/>
      <c r="BE9" s="1976"/>
      <c r="BF9" s="1976"/>
      <c r="BG9" s="1976"/>
      <c r="BH9" s="1976"/>
      <c r="BI9" s="1976"/>
      <c r="BJ9" s="1976"/>
      <c r="BK9" s="1976"/>
      <c r="BL9" s="1976"/>
      <c r="BM9" s="1976"/>
      <c r="BN9" s="1976"/>
      <c r="BO9" s="1976"/>
      <c r="BP9" s="1976"/>
      <c r="BQ9" s="1976"/>
      <c r="BR9" s="1976"/>
      <c r="BS9" s="1976"/>
      <c r="BT9" s="1976"/>
      <c r="BU9" s="1976"/>
      <c r="BV9" s="1976"/>
      <c r="BW9" s="1976"/>
      <c r="BX9" s="1976"/>
      <c r="BY9" s="1976"/>
      <c r="BZ9" s="1976"/>
      <c r="CA9" s="1976"/>
      <c r="CB9" s="1976"/>
      <c r="CC9" s="1976">
        <v>1</v>
      </c>
      <c r="CD9" s="1976"/>
      <c r="CE9" s="1976"/>
      <c r="CF9" s="1976"/>
      <c r="CG9" s="1976"/>
      <c r="CH9" s="1976"/>
      <c r="CI9" s="1976"/>
      <c r="CJ9" s="1976"/>
      <c r="CK9" s="1976"/>
      <c r="CL9" s="1976"/>
      <c r="CM9" s="1976"/>
      <c r="CN9" s="1976"/>
      <c r="CO9" s="1976"/>
      <c r="CP9" s="1976"/>
      <c r="CQ9" s="1976"/>
      <c r="CR9" s="1976"/>
      <c r="CS9" s="1976">
        <v>3</v>
      </c>
      <c r="CT9" s="1976"/>
      <c r="CU9" s="1976"/>
      <c r="CV9" s="1976"/>
      <c r="CW9" s="1976"/>
      <c r="CX9" s="1976"/>
      <c r="CY9" s="1976"/>
      <c r="CZ9" s="1976"/>
      <c r="DA9" s="1976"/>
      <c r="DB9" s="1976"/>
      <c r="DC9" s="1976">
        <v>1</v>
      </c>
      <c r="DD9" s="1976"/>
      <c r="DE9" s="1976"/>
      <c r="DF9" s="1976"/>
      <c r="DG9" s="1976"/>
      <c r="DH9" s="1976"/>
      <c r="DI9" s="1976"/>
      <c r="DJ9" s="1976"/>
      <c r="DK9" s="1976"/>
      <c r="DL9" s="1976"/>
      <c r="DM9" s="1976"/>
      <c r="DN9" s="1976">
        <v>3</v>
      </c>
      <c r="DO9" s="1976"/>
      <c r="DP9" s="1976"/>
      <c r="DQ9" s="1976"/>
      <c r="DR9" s="1976"/>
      <c r="DS9" s="1976">
        <v>2</v>
      </c>
      <c r="DT9" s="1976"/>
      <c r="DU9" s="1976"/>
      <c r="DV9" s="1976"/>
      <c r="DW9" s="1976"/>
      <c r="DX9" s="1976"/>
      <c r="DY9" s="1976"/>
      <c r="DZ9" s="1976"/>
      <c r="EA9" s="1976"/>
      <c r="EB9" s="1976"/>
      <c r="EC9" s="1976"/>
      <c r="ED9" s="1976"/>
      <c r="EE9" s="1976"/>
      <c r="EF9" s="1976"/>
      <c r="EG9" s="1976"/>
      <c r="EH9" s="1976"/>
      <c r="EI9" s="1976"/>
      <c r="EJ9" s="1976"/>
      <c r="EK9" s="1976"/>
      <c r="EL9" s="1976"/>
      <c r="EM9" s="1976"/>
      <c r="EN9" s="1976"/>
      <c r="EO9" s="1977"/>
      <c r="EP9" s="1976"/>
      <c r="EQ9" s="1976"/>
      <c r="ER9" s="1976"/>
      <c r="ES9" s="1976"/>
      <c r="ET9" s="1976"/>
      <c r="EU9" s="1976"/>
      <c r="EV9" s="1976"/>
      <c r="EW9" s="1976"/>
      <c r="EX9" s="1976"/>
      <c r="EY9" s="1976"/>
      <c r="EZ9" s="1976"/>
      <c r="FA9" s="1976"/>
      <c r="FB9" s="1976"/>
      <c r="FC9" s="1976"/>
      <c r="FD9" s="1976"/>
      <c r="FE9" s="1976"/>
      <c r="FF9" s="1976"/>
      <c r="FG9" s="1976"/>
      <c r="FH9" s="1976"/>
      <c r="FI9" s="1976"/>
      <c r="FJ9" s="1976"/>
      <c r="FK9" s="1976"/>
      <c r="FL9" s="1976"/>
      <c r="FM9" s="1976"/>
      <c r="FN9" s="1976"/>
      <c r="FO9" s="1976"/>
      <c r="FP9" s="1976"/>
      <c r="FQ9" s="1976"/>
      <c r="FR9" s="1976"/>
      <c r="FS9" s="1976"/>
      <c r="FT9" s="1976"/>
      <c r="FU9" s="1976"/>
      <c r="FV9" s="1976"/>
      <c r="FW9" s="1976"/>
      <c r="FX9" s="1976"/>
      <c r="FY9" s="1976"/>
      <c r="FZ9" s="1976"/>
      <c r="GA9" s="1976"/>
      <c r="GB9" s="1976"/>
      <c r="GC9" s="1976"/>
      <c r="GD9" s="1976"/>
      <c r="GE9" s="1976"/>
      <c r="GF9" s="1976"/>
      <c r="GG9" s="1976"/>
      <c r="GH9" s="1976"/>
      <c r="GI9" s="1976"/>
      <c r="GJ9" s="1976"/>
      <c r="GK9" s="1976"/>
      <c r="GL9" s="1976"/>
      <c r="GM9" s="1976"/>
      <c r="GN9" s="1976"/>
      <c r="GO9" s="1976"/>
      <c r="GP9" s="1976"/>
      <c r="GQ9" s="1976"/>
      <c r="GR9" s="1976"/>
      <c r="GS9" s="1976"/>
      <c r="GT9" s="1976"/>
      <c r="GU9" s="1976"/>
      <c r="GV9" s="1976"/>
      <c r="GW9" s="1976"/>
      <c r="GX9" s="1976"/>
      <c r="GY9" s="1976"/>
      <c r="GZ9" s="1976"/>
      <c r="HA9" s="1976"/>
      <c r="HB9" s="1976"/>
      <c r="HC9" s="1976"/>
      <c r="HD9" s="1976"/>
      <c r="HE9" s="1976"/>
      <c r="HF9" s="1976"/>
      <c r="HG9" s="1976"/>
      <c r="HH9" s="1976"/>
      <c r="HI9" s="1976"/>
      <c r="HJ9" s="1976"/>
      <c r="HK9" s="1976"/>
      <c r="HL9" s="1976"/>
      <c r="HM9" s="1976"/>
      <c r="HN9" s="1976"/>
      <c r="HO9" s="1976"/>
      <c r="HP9" s="1976"/>
      <c r="HQ9" s="1976"/>
      <c r="HR9" s="1976"/>
      <c r="HS9" s="1976"/>
      <c r="HT9" s="1976"/>
      <c r="HU9" s="1976"/>
      <c r="HV9" s="1976"/>
      <c r="HW9" s="1976"/>
      <c r="HX9" s="1976"/>
      <c r="HY9" s="1976"/>
      <c r="HZ9" s="1976"/>
      <c r="IA9" s="1976"/>
      <c r="IB9" s="1976"/>
      <c r="IC9" s="1976"/>
      <c r="ID9" s="1976"/>
      <c r="IE9" s="1976"/>
      <c r="IF9" s="1976"/>
      <c r="IG9" s="1976"/>
      <c r="IH9" s="1976"/>
      <c r="II9" s="1976"/>
      <c r="IJ9" s="1976"/>
      <c r="IK9" s="1976"/>
      <c r="IL9" s="1976"/>
      <c r="IM9" s="1976"/>
      <c r="IN9" s="1976"/>
      <c r="IO9" s="1976"/>
      <c r="IP9" s="1976"/>
      <c r="IQ9" s="1976"/>
      <c r="IR9" s="1976"/>
      <c r="IS9" s="1976"/>
      <c r="IT9" s="1976"/>
      <c r="IU9" s="1976"/>
      <c r="IV9" s="1976"/>
      <c r="IW9" s="1976"/>
      <c r="IX9" s="1976"/>
      <c r="IY9" s="1976"/>
      <c r="IZ9" s="1976"/>
      <c r="JA9" s="1976"/>
      <c r="JB9" s="1977"/>
      <c r="JC9" s="1978"/>
      <c r="JG9" s="528"/>
    </row>
    <row r="10" spans="1:267" s="751" customFormat="1" ht="16.2" thickBot="1">
      <c r="A10" s="748" t="s">
        <v>4452</v>
      </c>
      <c r="B10" s="749">
        <f>SUM(B7:B9)</f>
        <v>63</v>
      </c>
      <c r="C10" s="749">
        <f>B10</f>
        <v>63</v>
      </c>
      <c r="D10" s="749">
        <f>B10</f>
        <v>63</v>
      </c>
      <c r="E10" s="749">
        <f t="shared" ref="E10:I10" si="0">E8</f>
        <v>0</v>
      </c>
      <c r="F10" s="749">
        <f t="shared" si="0"/>
        <v>0</v>
      </c>
      <c r="G10" s="749" t="str">
        <f t="shared" si="0"/>
        <v>I</v>
      </c>
      <c r="H10" s="749">
        <f t="shared" si="0"/>
        <v>0</v>
      </c>
      <c r="I10" s="749">
        <f t="shared" si="0"/>
        <v>0</v>
      </c>
      <c r="J10" s="749">
        <f>SUM(J7:J9)</f>
        <v>3</v>
      </c>
      <c r="K10" s="749">
        <f t="shared" ref="K10:BV10" si="1">SUM(K7:K9)</f>
        <v>0</v>
      </c>
      <c r="L10" s="749">
        <f t="shared" si="1"/>
        <v>0</v>
      </c>
      <c r="M10" s="749">
        <f t="shared" si="1"/>
        <v>0</v>
      </c>
      <c r="N10" s="749">
        <f t="shared" si="1"/>
        <v>0</v>
      </c>
      <c r="O10" s="749">
        <f t="shared" si="1"/>
        <v>0</v>
      </c>
      <c r="P10" s="749">
        <f t="shared" si="1"/>
        <v>0</v>
      </c>
      <c r="Q10" s="749">
        <f t="shared" si="1"/>
        <v>0</v>
      </c>
      <c r="R10" s="749">
        <f t="shared" si="1"/>
        <v>0</v>
      </c>
      <c r="S10" s="749">
        <f t="shared" si="1"/>
        <v>0</v>
      </c>
      <c r="T10" s="749">
        <f t="shared" si="1"/>
        <v>0</v>
      </c>
      <c r="U10" s="749">
        <f t="shared" si="1"/>
        <v>0</v>
      </c>
      <c r="V10" s="749">
        <f t="shared" si="1"/>
        <v>0</v>
      </c>
      <c r="W10" s="749">
        <f t="shared" si="1"/>
        <v>0</v>
      </c>
      <c r="X10" s="1979">
        <f t="shared" si="1"/>
        <v>1</v>
      </c>
      <c r="Y10" s="749">
        <f t="shared" si="1"/>
        <v>0</v>
      </c>
      <c r="Z10" s="749">
        <f t="shared" si="1"/>
        <v>0</v>
      </c>
      <c r="AA10" s="1979">
        <f t="shared" si="1"/>
        <v>2</v>
      </c>
      <c r="AB10" s="749">
        <f t="shared" si="1"/>
        <v>0</v>
      </c>
      <c r="AC10" s="1979">
        <f t="shared" si="1"/>
        <v>1</v>
      </c>
      <c r="AD10" s="749">
        <f t="shared" si="1"/>
        <v>0</v>
      </c>
      <c r="AE10" s="749">
        <f t="shared" si="1"/>
        <v>0</v>
      </c>
      <c r="AF10" s="749">
        <f t="shared" si="1"/>
        <v>0</v>
      </c>
      <c r="AG10" s="749">
        <f t="shared" si="1"/>
        <v>0</v>
      </c>
      <c r="AH10" s="749">
        <f t="shared" si="1"/>
        <v>0</v>
      </c>
      <c r="AI10" s="749">
        <f t="shared" si="1"/>
        <v>0</v>
      </c>
      <c r="AJ10" s="749">
        <f t="shared" si="1"/>
        <v>0</v>
      </c>
      <c r="AK10" s="749">
        <f t="shared" si="1"/>
        <v>0</v>
      </c>
      <c r="AL10" s="749">
        <f t="shared" si="1"/>
        <v>0</v>
      </c>
      <c r="AM10" s="749">
        <f t="shared" si="1"/>
        <v>0</v>
      </c>
      <c r="AN10" s="749">
        <f t="shared" si="1"/>
        <v>0</v>
      </c>
      <c r="AO10" s="749">
        <f t="shared" si="1"/>
        <v>0</v>
      </c>
      <c r="AP10" s="1979">
        <f t="shared" si="1"/>
        <v>2</v>
      </c>
      <c r="AQ10" s="749">
        <f t="shared" si="1"/>
        <v>0</v>
      </c>
      <c r="AR10" s="749">
        <f t="shared" si="1"/>
        <v>0</v>
      </c>
      <c r="AS10" s="749">
        <f t="shared" si="1"/>
        <v>0</v>
      </c>
      <c r="AT10" s="749">
        <f t="shared" si="1"/>
        <v>0</v>
      </c>
      <c r="AU10" s="749">
        <f t="shared" si="1"/>
        <v>0</v>
      </c>
      <c r="AV10" s="749">
        <f t="shared" si="1"/>
        <v>0</v>
      </c>
      <c r="AW10" s="749">
        <f t="shared" si="1"/>
        <v>0</v>
      </c>
      <c r="AX10" s="749">
        <f t="shared" si="1"/>
        <v>0</v>
      </c>
      <c r="AY10" s="749">
        <f t="shared" si="1"/>
        <v>0</v>
      </c>
      <c r="AZ10" s="749">
        <f t="shared" si="1"/>
        <v>0</v>
      </c>
      <c r="BA10" s="749">
        <f t="shared" si="1"/>
        <v>0</v>
      </c>
      <c r="BB10" s="749">
        <f t="shared" si="1"/>
        <v>0</v>
      </c>
      <c r="BC10" s="749">
        <f t="shared" si="1"/>
        <v>0</v>
      </c>
      <c r="BD10" s="749">
        <f t="shared" si="1"/>
        <v>0</v>
      </c>
      <c r="BE10" s="749">
        <f t="shared" si="1"/>
        <v>0</v>
      </c>
      <c r="BF10" s="749">
        <f t="shared" si="1"/>
        <v>0</v>
      </c>
      <c r="BG10" s="749">
        <f t="shared" si="1"/>
        <v>0</v>
      </c>
      <c r="BH10" s="749">
        <f t="shared" si="1"/>
        <v>0</v>
      </c>
      <c r="BI10" s="749">
        <f t="shared" si="1"/>
        <v>0</v>
      </c>
      <c r="BJ10" s="749">
        <f t="shared" si="1"/>
        <v>0</v>
      </c>
      <c r="BK10" s="749">
        <f t="shared" si="1"/>
        <v>0</v>
      </c>
      <c r="BL10" s="749">
        <f t="shared" si="1"/>
        <v>0</v>
      </c>
      <c r="BM10" s="749">
        <f t="shared" si="1"/>
        <v>0</v>
      </c>
      <c r="BN10" s="749">
        <f t="shared" si="1"/>
        <v>0</v>
      </c>
      <c r="BO10" s="1979">
        <f t="shared" si="1"/>
        <v>1</v>
      </c>
      <c r="BP10" s="749">
        <f t="shared" si="1"/>
        <v>0</v>
      </c>
      <c r="BQ10" s="749">
        <f t="shared" si="1"/>
        <v>0</v>
      </c>
      <c r="BR10" s="749">
        <f t="shared" si="1"/>
        <v>0</v>
      </c>
      <c r="BS10" s="749">
        <f t="shared" si="1"/>
        <v>0</v>
      </c>
      <c r="BT10" s="749">
        <f t="shared" si="1"/>
        <v>0</v>
      </c>
      <c r="BU10" s="749">
        <f t="shared" si="1"/>
        <v>0</v>
      </c>
      <c r="BV10" s="749">
        <f t="shared" si="1"/>
        <v>0</v>
      </c>
      <c r="BW10" s="749">
        <f t="shared" ref="BW10:EH10" si="2">SUM(BW7:BW9)</f>
        <v>0</v>
      </c>
      <c r="BX10" s="749">
        <f t="shared" si="2"/>
        <v>0</v>
      </c>
      <c r="BY10" s="1979">
        <f t="shared" si="2"/>
        <v>1</v>
      </c>
      <c r="BZ10" s="749">
        <f t="shared" si="2"/>
        <v>0</v>
      </c>
      <c r="CA10" s="749">
        <f t="shared" si="2"/>
        <v>0</v>
      </c>
      <c r="CB10" s="749">
        <f t="shared" si="2"/>
        <v>0</v>
      </c>
      <c r="CC10" s="1979">
        <f t="shared" si="2"/>
        <v>2</v>
      </c>
      <c r="CD10" s="749">
        <f t="shared" si="2"/>
        <v>0</v>
      </c>
      <c r="CE10" s="749">
        <f t="shared" si="2"/>
        <v>0</v>
      </c>
      <c r="CF10" s="749">
        <f t="shared" si="2"/>
        <v>0</v>
      </c>
      <c r="CG10" s="749">
        <f t="shared" si="2"/>
        <v>0</v>
      </c>
      <c r="CH10" s="749">
        <f t="shared" si="2"/>
        <v>0</v>
      </c>
      <c r="CI10" s="749">
        <f t="shared" si="2"/>
        <v>0</v>
      </c>
      <c r="CJ10" s="749">
        <f t="shared" si="2"/>
        <v>0</v>
      </c>
      <c r="CK10" s="749">
        <f t="shared" si="2"/>
        <v>1</v>
      </c>
      <c r="CL10" s="749">
        <f t="shared" si="2"/>
        <v>0</v>
      </c>
      <c r="CM10" s="749">
        <f t="shared" si="2"/>
        <v>0</v>
      </c>
      <c r="CN10" s="749">
        <f t="shared" si="2"/>
        <v>0</v>
      </c>
      <c r="CO10" s="749">
        <f t="shared" si="2"/>
        <v>0</v>
      </c>
      <c r="CP10" s="749">
        <f t="shared" si="2"/>
        <v>0</v>
      </c>
      <c r="CQ10" s="749">
        <f t="shared" si="2"/>
        <v>0</v>
      </c>
      <c r="CR10" s="749">
        <f t="shared" si="2"/>
        <v>8</v>
      </c>
      <c r="CS10" s="749">
        <f t="shared" si="2"/>
        <v>6</v>
      </c>
      <c r="CT10" s="749">
        <f t="shared" si="2"/>
        <v>0</v>
      </c>
      <c r="CU10" s="749">
        <f t="shared" si="2"/>
        <v>0</v>
      </c>
      <c r="CV10" s="749">
        <f t="shared" si="2"/>
        <v>0</v>
      </c>
      <c r="CW10" s="749">
        <f t="shared" si="2"/>
        <v>1</v>
      </c>
      <c r="CX10" s="749">
        <f t="shared" si="2"/>
        <v>0</v>
      </c>
      <c r="CY10" s="749">
        <f t="shared" si="2"/>
        <v>0</v>
      </c>
      <c r="CZ10" s="749">
        <f t="shared" si="2"/>
        <v>0</v>
      </c>
      <c r="DA10" s="749">
        <f t="shared" si="2"/>
        <v>0</v>
      </c>
      <c r="DB10" s="749">
        <f t="shared" si="2"/>
        <v>0</v>
      </c>
      <c r="DC10" s="749">
        <f t="shared" si="2"/>
        <v>2</v>
      </c>
      <c r="DD10" s="749">
        <f t="shared" si="2"/>
        <v>0</v>
      </c>
      <c r="DE10" s="749">
        <f t="shared" si="2"/>
        <v>0</v>
      </c>
      <c r="DF10" s="749">
        <f t="shared" si="2"/>
        <v>0</v>
      </c>
      <c r="DG10" s="749">
        <f t="shared" si="2"/>
        <v>0</v>
      </c>
      <c r="DH10" s="749">
        <f t="shared" si="2"/>
        <v>0</v>
      </c>
      <c r="DI10" s="749">
        <f t="shared" si="2"/>
        <v>2</v>
      </c>
      <c r="DJ10" s="749">
        <f t="shared" si="2"/>
        <v>6</v>
      </c>
      <c r="DK10" s="749">
        <f t="shared" si="2"/>
        <v>0</v>
      </c>
      <c r="DL10" s="749">
        <f t="shared" si="2"/>
        <v>0</v>
      </c>
      <c r="DM10" s="749">
        <f t="shared" si="2"/>
        <v>0</v>
      </c>
      <c r="DN10" s="749"/>
      <c r="DO10" s="749">
        <f t="shared" si="2"/>
        <v>0</v>
      </c>
      <c r="DP10" s="749">
        <f t="shared" si="2"/>
        <v>0</v>
      </c>
      <c r="DQ10" s="749">
        <f t="shared" si="2"/>
        <v>0</v>
      </c>
      <c r="DR10" s="749">
        <f t="shared" si="2"/>
        <v>0</v>
      </c>
      <c r="DS10" s="749">
        <f t="shared" si="2"/>
        <v>4</v>
      </c>
      <c r="DT10" s="749">
        <f t="shared" si="2"/>
        <v>0</v>
      </c>
      <c r="DU10" s="749">
        <f t="shared" si="2"/>
        <v>6</v>
      </c>
      <c r="DV10" s="749">
        <f t="shared" si="2"/>
        <v>0</v>
      </c>
      <c r="DW10" s="749">
        <f t="shared" si="2"/>
        <v>0</v>
      </c>
      <c r="DX10" s="749">
        <f t="shared" si="2"/>
        <v>0</v>
      </c>
      <c r="DY10" s="749">
        <f t="shared" si="2"/>
        <v>0</v>
      </c>
      <c r="DZ10" s="749">
        <f t="shared" si="2"/>
        <v>6</v>
      </c>
      <c r="EA10" s="749">
        <f t="shared" si="2"/>
        <v>0</v>
      </c>
      <c r="EB10" s="749">
        <f t="shared" si="2"/>
        <v>0</v>
      </c>
      <c r="EC10" s="749">
        <f t="shared" si="2"/>
        <v>0</v>
      </c>
      <c r="ED10" s="749">
        <f t="shared" si="2"/>
        <v>0</v>
      </c>
      <c r="EE10" s="749">
        <f t="shared" si="2"/>
        <v>0</v>
      </c>
      <c r="EF10" s="749">
        <f t="shared" si="2"/>
        <v>1</v>
      </c>
      <c r="EG10" s="749">
        <f t="shared" si="2"/>
        <v>1</v>
      </c>
      <c r="EH10" s="749">
        <f t="shared" si="2"/>
        <v>0</v>
      </c>
      <c r="EI10" s="749">
        <f t="shared" ref="EI10:EO10" si="3">SUM(EI7:EI9)</f>
        <v>3</v>
      </c>
      <c r="EJ10" s="749">
        <f t="shared" si="3"/>
        <v>0</v>
      </c>
      <c r="EK10" s="749">
        <f t="shared" si="3"/>
        <v>0</v>
      </c>
      <c r="EL10" s="749">
        <f t="shared" si="3"/>
        <v>0</v>
      </c>
      <c r="EM10" s="749">
        <f t="shared" si="3"/>
        <v>0</v>
      </c>
      <c r="EN10" s="749">
        <f t="shared" si="3"/>
        <v>0</v>
      </c>
      <c r="EO10" s="749">
        <f t="shared" si="3"/>
        <v>3</v>
      </c>
      <c r="EP10" s="749">
        <f t="shared" ref="EP10:GN10" si="4">EP8</f>
        <v>0</v>
      </c>
      <c r="EQ10" s="749">
        <f t="shared" si="4"/>
        <v>0</v>
      </c>
      <c r="ER10" s="749">
        <f t="shared" si="4"/>
        <v>0</v>
      </c>
      <c r="ES10" s="749">
        <f t="shared" si="4"/>
        <v>0</v>
      </c>
      <c r="ET10" s="749">
        <f t="shared" si="4"/>
        <v>0</v>
      </c>
      <c r="EU10" s="749">
        <f t="shared" si="4"/>
        <v>0</v>
      </c>
      <c r="EV10" s="749">
        <f t="shared" si="4"/>
        <v>0</v>
      </c>
      <c r="EW10" s="749">
        <f t="shared" si="4"/>
        <v>0</v>
      </c>
      <c r="EX10" s="749">
        <f t="shared" si="4"/>
        <v>0</v>
      </c>
      <c r="EY10" s="749">
        <f t="shared" si="4"/>
        <v>0</v>
      </c>
      <c r="EZ10" s="749">
        <f t="shared" si="4"/>
        <v>0</v>
      </c>
      <c r="FA10" s="749">
        <f t="shared" si="4"/>
        <v>0</v>
      </c>
      <c r="FB10" s="749">
        <f t="shared" si="4"/>
        <v>0</v>
      </c>
      <c r="FC10" s="749">
        <f t="shared" si="4"/>
        <v>0</v>
      </c>
      <c r="FD10" s="749">
        <f t="shared" si="4"/>
        <v>0</v>
      </c>
      <c r="FE10" s="749">
        <f t="shared" si="4"/>
        <v>0</v>
      </c>
      <c r="FF10" s="749">
        <f t="shared" si="4"/>
        <v>0</v>
      </c>
      <c r="FG10" s="749">
        <f t="shared" si="4"/>
        <v>0</v>
      </c>
      <c r="FH10" s="749">
        <f t="shared" si="4"/>
        <v>0</v>
      </c>
      <c r="FI10" s="749">
        <f t="shared" si="4"/>
        <v>0</v>
      </c>
      <c r="FJ10" s="749">
        <f t="shared" si="4"/>
        <v>0</v>
      </c>
      <c r="FK10" s="749">
        <f t="shared" si="4"/>
        <v>0</v>
      </c>
      <c r="FL10" s="749">
        <f t="shared" si="4"/>
        <v>0</v>
      </c>
      <c r="FM10" s="749">
        <f t="shared" si="4"/>
        <v>0</v>
      </c>
      <c r="FN10" s="749">
        <f t="shared" si="4"/>
        <v>0</v>
      </c>
      <c r="FO10" s="749">
        <f t="shared" si="4"/>
        <v>0</v>
      </c>
      <c r="FP10" s="749">
        <f t="shared" si="4"/>
        <v>0</v>
      </c>
      <c r="FQ10" s="749">
        <f t="shared" si="4"/>
        <v>0</v>
      </c>
      <c r="FR10" s="749">
        <f t="shared" si="4"/>
        <v>0</v>
      </c>
      <c r="FS10" s="749">
        <f t="shared" si="4"/>
        <v>0</v>
      </c>
      <c r="FT10" s="749">
        <f t="shared" si="4"/>
        <v>0</v>
      </c>
      <c r="FU10" s="749">
        <f t="shared" si="4"/>
        <v>0</v>
      </c>
      <c r="FV10" s="749">
        <f t="shared" si="4"/>
        <v>0</v>
      </c>
      <c r="FW10" s="749">
        <f t="shared" si="4"/>
        <v>0</v>
      </c>
      <c r="FX10" s="749">
        <f t="shared" si="4"/>
        <v>0</v>
      </c>
      <c r="FY10" s="749">
        <f t="shared" si="4"/>
        <v>0</v>
      </c>
      <c r="FZ10" s="749">
        <f t="shared" si="4"/>
        <v>0</v>
      </c>
      <c r="GA10" s="749">
        <f t="shared" si="4"/>
        <v>0</v>
      </c>
      <c r="GB10" s="749">
        <f t="shared" si="4"/>
        <v>0</v>
      </c>
      <c r="GC10" s="749">
        <f t="shared" si="4"/>
        <v>0</v>
      </c>
      <c r="GD10" s="749">
        <f t="shared" si="4"/>
        <v>0</v>
      </c>
      <c r="GE10" s="749">
        <f t="shared" si="4"/>
        <v>0</v>
      </c>
      <c r="GF10" s="749">
        <f t="shared" si="4"/>
        <v>0</v>
      </c>
      <c r="GG10" s="749">
        <f t="shared" si="4"/>
        <v>0</v>
      </c>
      <c r="GH10" s="749">
        <f t="shared" si="4"/>
        <v>0</v>
      </c>
      <c r="GI10" s="749">
        <f t="shared" si="4"/>
        <v>0</v>
      </c>
      <c r="GJ10" s="749">
        <f t="shared" si="4"/>
        <v>0</v>
      </c>
      <c r="GK10" s="749">
        <f t="shared" si="4"/>
        <v>0</v>
      </c>
      <c r="GL10" s="749">
        <f t="shared" si="4"/>
        <v>0</v>
      </c>
      <c r="GM10" s="749">
        <f t="shared" si="4"/>
        <v>0</v>
      </c>
      <c r="GN10" s="749">
        <f t="shared" si="4"/>
        <v>0</v>
      </c>
      <c r="GO10" s="749">
        <f t="shared" ref="GO10:IZ10" si="5">GO8</f>
        <v>0</v>
      </c>
      <c r="GP10" s="749">
        <f t="shared" si="5"/>
        <v>0</v>
      </c>
      <c r="GQ10" s="749">
        <f t="shared" si="5"/>
        <v>0</v>
      </c>
      <c r="GR10" s="749">
        <f t="shared" si="5"/>
        <v>0</v>
      </c>
      <c r="GS10" s="749">
        <f t="shared" si="5"/>
        <v>0</v>
      </c>
      <c r="GT10" s="749">
        <f t="shared" si="5"/>
        <v>0</v>
      </c>
      <c r="GU10" s="749">
        <f t="shared" si="5"/>
        <v>0</v>
      </c>
      <c r="GV10" s="749">
        <f t="shared" si="5"/>
        <v>0</v>
      </c>
      <c r="GW10" s="749">
        <f t="shared" si="5"/>
        <v>0</v>
      </c>
      <c r="GX10" s="749">
        <f t="shared" si="5"/>
        <v>0</v>
      </c>
      <c r="GY10" s="749">
        <f t="shared" si="5"/>
        <v>0</v>
      </c>
      <c r="GZ10" s="749">
        <f t="shared" si="5"/>
        <v>0</v>
      </c>
      <c r="HA10" s="749">
        <f t="shared" si="5"/>
        <v>0</v>
      </c>
      <c r="HB10" s="749">
        <f t="shared" si="5"/>
        <v>0</v>
      </c>
      <c r="HC10" s="749">
        <f t="shared" si="5"/>
        <v>0</v>
      </c>
      <c r="HD10" s="749">
        <f t="shared" si="5"/>
        <v>0</v>
      </c>
      <c r="HE10" s="749">
        <f t="shared" si="5"/>
        <v>0</v>
      </c>
      <c r="HF10" s="749">
        <f t="shared" si="5"/>
        <v>0</v>
      </c>
      <c r="HG10" s="749">
        <f t="shared" si="5"/>
        <v>0</v>
      </c>
      <c r="HH10" s="749">
        <f t="shared" si="5"/>
        <v>0</v>
      </c>
      <c r="HI10" s="749">
        <f t="shared" si="5"/>
        <v>0</v>
      </c>
      <c r="HJ10" s="749">
        <f t="shared" si="5"/>
        <v>0</v>
      </c>
      <c r="HK10" s="749">
        <f t="shared" si="5"/>
        <v>0</v>
      </c>
      <c r="HL10" s="749">
        <f t="shared" si="5"/>
        <v>0</v>
      </c>
      <c r="HM10" s="749">
        <f t="shared" si="5"/>
        <v>0</v>
      </c>
      <c r="HN10" s="749">
        <f t="shared" si="5"/>
        <v>0</v>
      </c>
      <c r="HO10" s="749">
        <f t="shared" si="5"/>
        <v>0</v>
      </c>
      <c r="HP10" s="749">
        <f t="shared" si="5"/>
        <v>0</v>
      </c>
      <c r="HQ10" s="749">
        <f t="shared" si="5"/>
        <v>0</v>
      </c>
      <c r="HR10" s="749">
        <f t="shared" si="5"/>
        <v>0</v>
      </c>
      <c r="HS10" s="749">
        <f t="shared" si="5"/>
        <v>0</v>
      </c>
      <c r="HT10" s="749">
        <f t="shared" si="5"/>
        <v>0</v>
      </c>
      <c r="HU10" s="749">
        <f t="shared" si="5"/>
        <v>0</v>
      </c>
      <c r="HV10" s="749">
        <f t="shared" si="5"/>
        <v>0</v>
      </c>
      <c r="HW10" s="749">
        <f t="shared" si="5"/>
        <v>0</v>
      </c>
      <c r="HX10" s="749">
        <f t="shared" si="5"/>
        <v>0</v>
      </c>
      <c r="HY10" s="749">
        <f t="shared" si="5"/>
        <v>0</v>
      </c>
      <c r="HZ10" s="749">
        <f t="shared" si="5"/>
        <v>0</v>
      </c>
      <c r="IA10" s="749">
        <f t="shared" si="5"/>
        <v>0</v>
      </c>
      <c r="IB10" s="749">
        <f t="shared" si="5"/>
        <v>0</v>
      </c>
      <c r="IC10" s="749">
        <f t="shared" si="5"/>
        <v>0</v>
      </c>
      <c r="ID10" s="749">
        <f t="shared" si="5"/>
        <v>0</v>
      </c>
      <c r="IE10" s="749">
        <f t="shared" si="5"/>
        <v>0</v>
      </c>
      <c r="IF10" s="749">
        <f t="shared" si="5"/>
        <v>0</v>
      </c>
      <c r="IG10" s="749">
        <f t="shared" si="5"/>
        <v>0</v>
      </c>
      <c r="IH10" s="749">
        <f t="shared" si="5"/>
        <v>0</v>
      </c>
      <c r="II10" s="749">
        <f t="shared" si="5"/>
        <v>0</v>
      </c>
      <c r="IJ10" s="749">
        <f t="shared" si="5"/>
        <v>0</v>
      </c>
      <c r="IK10" s="749">
        <f t="shared" si="5"/>
        <v>0</v>
      </c>
      <c r="IL10" s="749">
        <f t="shared" si="5"/>
        <v>0</v>
      </c>
      <c r="IM10" s="749">
        <f t="shared" si="5"/>
        <v>0</v>
      </c>
      <c r="IN10" s="749">
        <f t="shared" si="5"/>
        <v>0</v>
      </c>
      <c r="IO10" s="749">
        <f t="shared" si="5"/>
        <v>0</v>
      </c>
      <c r="IP10" s="749">
        <f t="shared" si="5"/>
        <v>0</v>
      </c>
      <c r="IQ10" s="749">
        <f t="shared" si="5"/>
        <v>0</v>
      </c>
      <c r="IR10" s="749">
        <f t="shared" si="5"/>
        <v>0</v>
      </c>
      <c r="IS10" s="749">
        <f t="shared" si="5"/>
        <v>0</v>
      </c>
      <c r="IT10" s="749">
        <f t="shared" si="5"/>
        <v>0</v>
      </c>
      <c r="IU10" s="749">
        <f t="shared" si="5"/>
        <v>0</v>
      </c>
      <c r="IV10" s="749">
        <f t="shared" si="5"/>
        <v>0</v>
      </c>
      <c r="IW10" s="749">
        <f t="shared" si="5"/>
        <v>0</v>
      </c>
      <c r="IX10" s="749">
        <f t="shared" si="5"/>
        <v>0</v>
      </c>
      <c r="IY10" s="749">
        <f t="shared" si="5"/>
        <v>0</v>
      </c>
      <c r="IZ10" s="749">
        <f t="shared" si="5"/>
        <v>0</v>
      </c>
      <c r="JA10" s="749">
        <f t="shared" ref="JA10:JB10" si="6">JA8</f>
        <v>0</v>
      </c>
      <c r="JB10" s="749">
        <f t="shared" si="6"/>
        <v>0</v>
      </c>
      <c r="JC10" s="749">
        <f>SUM(JC7:JC8)</f>
        <v>0</v>
      </c>
      <c r="JD10" s="750"/>
      <c r="JF10" s="750"/>
      <c r="JG10" s="752"/>
    </row>
    <row r="11" spans="1:267" ht="16.2" thickTop="1">
      <c r="A11" s="468"/>
      <c r="B11" s="468"/>
      <c r="C11" s="473"/>
      <c r="D11" s="473"/>
      <c r="E11" s="473"/>
      <c r="F11" s="473" t="s">
        <v>1457</v>
      </c>
      <c r="G11" s="468"/>
      <c r="H11" s="469"/>
      <c r="I11" s="469"/>
      <c r="J11" s="469"/>
      <c r="K11" s="469"/>
      <c r="L11" s="469"/>
      <c r="M11" s="470"/>
      <c r="N11" s="470"/>
      <c r="O11" s="470"/>
      <c r="P11" s="470"/>
      <c r="Q11" s="470"/>
      <c r="R11" s="470"/>
      <c r="S11" s="470"/>
      <c r="T11" s="470"/>
      <c r="U11" s="468"/>
      <c r="V11" s="468"/>
      <c r="W11" s="468"/>
      <c r="X11" s="468"/>
      <c r="Y11" s="468"/>
      <c r="Z11" s="468"/>
      <c r="AA11" s="468"/>
      <c r="AB11" s="468"/>
      <c r="AC11" s="468"/>
      <c r="AD11" s="468"/>
      <c r="AE11" s="468"/>
      <c r="AF11" s="468"/>
      <c r="AG11" s="468"/>
      <c r="AH11" s="468"/>
      <c r="AI11" s="468"/>
      <c r="AJ11" s="468"/>
      <c r="AK11" s="468"/>
      <c r="AL11" s="468"/>
      <c r="AM11" s="468"/>
      <c r="AN11" s="468"/>
      <c r="AO11" s="468"/>
      <c r="AP11" s="468"/>
      <c r="AQ11" s="468"/>
      <c r="AR11" s="468"/>
      <c r="AS11" s="468"/>
      <c r="AT11" s="468"/>
      <c r="AU11" s="468"/>
      <c r="AV11" s="468"/>
      <c r="AW11" s="468"/>
      <c r="AX11" s="468"/>
      <c r="AY11" s="468"/>
      <c r="AZ11" s="468"/>
      <c r="BA11" s="468"/>
      <c r="BB11" s="468"/>
      <c r="BC11" s="468"/>
      <c r="BD11" s="468"/>
      <c r="BE11" s="468"/>
      <c r="BF11" s="468"/>
      <c r="BG11" s="468"/>
      <c r="BH11" s="468"/>
      <c r="BI11" s="468"/>
      <c r="BJ11" s="468"/>
      <c r="BK11" s="468"/>
      <c r="BL11" s="468"/>
      <c r="BM11" s="468"/>
      <c r="BN11" s="468"/>
      <c r="BO11" s="468"/>
      <c r="BP11" s="468"/>
      <c r="BQ11" s="468"/>
      <c r="BR11" s="468"/>
      <c r="BS11" s="468"/>
      <c r="BT11" s="468"/>
      <c r="BU11" s="468"/>
      <c r="BV11" s="468"/>
      <c r="BW11" s="468"/>
      <c r="BX11" s="468"/>
      <c r="BY11" s="468"/>
      <c r="BZ11" s="468"/>
      <c r="CA11" s="468"/>
      <c r="CB11" s="468"/>
      <c r="CC11" s="468"/>
      <c r="CD11" s="468"/>
      <c r="CE11" s="468"/>
      <c r="CF11" s="468"/>
      <c r="CG11" s="468"/>
      <c r="CH11" s="468"/>
      <c r="CI11" s="468"/>
      <c r="CJ11" s="468"/>
      <c r="CK11" s="468"/>
      <c r="CL11" s="468"/>
      <c r="CM11" s="468"/>
      <c r="CN11" s="468"/>
      <c r="CO11" s="468"/>
      <c r="CP11" s="468"/>
      <c r="CQ11" s="468"/>
      <c r="CR11" s="468"/>
      <c r="CS11" s="468"/>
      <c r="CT11" s="468"/>
      <c r="CU11" s="468"/>
      <c r="CV11" s="468"/>
      <c r="CW11" s="468"/>
      <c r="CX11" s="468"/>
      <c r="CY11" s="468"/>
      <c r="CZ11" s="468"/>
      <c r="DA11" s="468"/>
      <c r="DB11" s="468"/>
      <c r="DC11" s="468"/>
      <c r="DD11" s="468"/>
      <c r="DE11" s="468"/>
      <c r="DF11" s="468"/>
      <c r="DG11" s="468"/>
      <c r="DH11" s="468"/>
      <c r="DI11" s="468"/>
      <c r="DJ11" s="468"/>
      <c r="DK11" s="468"/>
      <c r="DL11" s="468"/>
      <c r="DM11" s="468"/>
      <c r="DN11" s="471"/>
      <c r="DO11" s="468"/>
      <c r="DP11" s="468"/>
      <c r="DQ11" s="468"/>
      <c r="DR11" s="468"/>
      <c r="DS11" s="468"/>
      <c r="DT11" s="468"/>
      <c r="DU11" s="468"/>
      <c r="DV11" s="468"/>
      <c r="DW11" s="468"/>
      <c r="DX11" s="468"/>
      <c r="DY11" s="468"/>
      <c r="DZ11" s="468"/>
      <c r="EA11" s="468"/>
      <c r="EB11" s="468"/>
      <c r="EC11" s="468"/>
      <c r="ED11" s="468"/>
      <c r="EE11" s="468"/>
      <c r="EF11" s="468"/>
      <c r="EG11" s="468"/>
      <c r="EH11" s="468"/>
      <c r="EI11" s="468"/>
      <c r="EJ11" s="468"/>
      <c r="EK11" s="468"/>
      <c r="EL11" s="468"/>
      <c r="EM11" s="468"/>
      <c r="EN11" s="468"/>
      <c r="EO11" s="468"/>
      <c r="EP11" s="468"/>
      <c r="EQ11" s="468"/>
      <c r="ER11" s="468"/>
      <c r="ES11" s="468"/>
      <c r="ET11" s="468"/>
      <c r="EU11" s="468"/>
      <c r="EV11" s="468"/>
      <c r="EW11" s="468"/>
      <c r="EX11" s="468"/>
      <c r="EY11" s="468"/>
      <c r="EZ11" s="468"/>
      <c r="FA11" s="468"/>
      <c r="FB11" s="468"/>
      <c r="FC11" s="468"/>
      <c r="FD11" s="468"/>
      <c r="FE11" s="468"/>
      <c r="FF11" s="468"/>
      <c r="FG11" s="468"/>
      <c r="FH11" s="468"/>
      <c r="FI11" s="468"/>
      <c r="FJ11" s="468"/>
      <c r="FK11" s="468"/>
      <c r="FL11" s="468"/>
      <c r="FM11" s="468"/>
      <c r="FN11" s="468"/>
      <c r="FO11" s="468"/>
      <c r="FP11" s="468"/>
      <c r="FQ11" s="468"/>
      <c r="FR11" s="468"/>
      <c r="FS11" s="468"/>
      <c r="FT11" s="468"/>
      <c r="FU11" s="468"/>
      <c r="FV11" s="468"/>
      <c r="FW11" s="468"/>
      <c r="FX11" s="468"/>
      <c r="FY11" s="468"/>
      <c r="FZ11" s="468"/>
      <c r="GA11" s="468"/>
      <c r="GB11" s="468"/>
      <c r="GC11" s="468"/>
      <c r="GD11" s="468"/>
      <c r="GE11" s="468"/>
      <c r="GF11" s="468"/>
      <c r="GG11" s="468"/>
      <c r="GH11" s="468"/>
      <c r="GI11" s="468"/>
      <c r="GJ11" s="468"/>
      <c r="GK11" s="468"/>
      <c r="GL11" s="468"/>
      <c r="GM11" s="468"/>
      <c r="GN11" s="468"/>
      <c r="GO11" s="468"/>
      <c r="GP11" s="468"/>
      <c r="GQ11" s="468"/>
      <c r="GR11" s="468"/>
      <c r="GS11" s="468"/>
      <c r="GT11" s="468"/>
      <c r="GU11" s="468"/>
      <c r="GV11" s="468"/>
      <c r="GW11" s="468"/>
      <c r="GX11" s="468"/>
      <c r="GY11" s="468"/>
      <c r="GZ11" s="468"/>
      <c r="HA11" s="468"/>
      <c r="HB11" s="468"/>
      <c r="HC11" s="468"/>
      <c r="HD11" s="468"/>
      <c r="HE11" s="468"/>
      <c r="HF11" s="468"/>
      <c r="HG11" s="468"/>
      <c r="HH11" s="468"/>
      <c r="HI11" s="468"/>
      <c r="HJ11" s="468"/>
      <c r="HK11" s="468"/>
      <c r="HL11" s="468"/>
      <c r="HM11" s="468"/>
      <c r="HN11" s="468"/>
      <c r="HO11" s="468"/>
      <c r="HP11" s="468"/>
      <c r="HQ11" s="468"/>
      <c r="HR11" s="468"/>
      <c r="HS11" s="468"/>
      <c r="HT11" s="468"/>
      <c r="HU11" s="468"/>
      <c r="HV11" s="468"/>
      <c r="HW11" s="468"/>
      <c r="HX11" s="468"/>
      <c r="HY11" s="468"/>
      <c r="HZ11" s="468"/>
      <c r="IA11" s="468"/>
      <c r="IB11" s="468"/>
      <c r="IC11" s="468"/>
      <c r="ID11" s="468"/>
      <c r="IE11" s="468"/>
      <c r="IF11" s="468"/>
      <c r="IG11" s="468"/>
      <c r="IH11" s="468"/>
      <c r="II11" s="468"/>
      <c r="IJ11" s="468"/>
      <c r="IK11" s="468"/>
      <c r="IL11" s="468"/>
      <c r="IM11" s="468"/>
      <c r="IN11" s="468"/>
      <c r="IO11" s="468"/>
      <c r="IP11" s="468"/>
      <c r="IQ11" s="468"/>
      <c r="IR11" s="468"/>
      <c r="IS11" s="468"/>
      <c r="IT11" s="468"/>
      <c r="IU11" s="468"/>
      <c r="IV11" s="468"/>
      <c r="IW11" s="468"/>
      <c r="IX11" s="468"/>
      <c r="IY11" s="468"/>
      <c r="IZ11" s="468"/>
      <c r="JA11" s="468"/>
      <c r="JE11" s="527"/>
      <c r="JF11" s="527"/>
      <c r="JG11" s="521"/>
    </row>
    <row r="12" spans="1:267" ht="15.6" outlineLevel="1">
      <c r="A12" s="528"/>
      <c r="B12" s="479"/>
      <c r="C12" s="529"/>
      <c r="D12" s="529"/>
      <c r="E12" s="529"/>
      <c r="F12" s="1035" t="s">
        <v>4801</v>
      </c>
      <c r="G12" s="468"/>
      <c r="H12" s="528"/>
      <c r="I12" s="528"/>
      <c r="J12" s="528"/>
      <c r="K12" s="528"/>
      <c r="L12" s="528"/>
      <c r="M12" s="470"/>
      <c r="N12" s="470"/>
      <c r="O12" s="470"/>
      <c r="P12" s="470"/>
      <c r="Q12" s="470"/>
      <c r="R12" s="470"/>
      <c r="S12" s="470"/>
      <c r="T12" s="470"/>
      <c r="U12" s="468"/>
      <c r="V12" s="468"/>
      <c r="W12" s="468"/>
      <c r="X12" s="468"/>
      <c r="Y12" s="468"/>
      <c r="Z12" s="468"/>
      <c r="AA12" s="468"/>
      <c r="AB12" s="468"/>
      <c r="AC12" s="468"/>
      <c r="AD12" s="468"/>
      <c r="AE12" s="468"/>
      <c r="AF12" s="468"/>
      <c r="AG12" s="468"/>
      <c r="AH12" s="468"/>
      <c r="AI12" s="468"/>
      <c r="AJ12" s="468"/>
      <c r="AK12" s="468"/>
      <c r="AL12" s="468"/>
      <c r="AM12" s="468"/>
      <c r="AN12" s="468"/>
      <c r="AO12" s="468"/>
      <c r="AP12" s="468"/>
      <c r="AQ12" s="468"/>
      <c r="AR12" s="468"/>
      <c r="AS12" s="468"/>
      <c r="AT12" s="468"/>
      <c r="AU12" s="468"/>
      <c r="AV12" s="468"/>
      <c r="AW12" s="468"/>
      <c r="AX12" s="468"/>
      <c r="AY12" s="468"/>
      <c r="AZ12" s="468"/>
      <c r="BA12" s="468"/>
      <c r="BB12" s="468"/>
      <c r="BC12" s="468"/>
      <c r="BD12" s="468"/>
      <c r="BE12" s="468"/>
      <c r="BF12" s="468"/>
      <c r="BG12" s="468"/>
      <c r="BH12" s="468"/>
      <c r="BI12" s="468"/>
      <c r="BJ12" s="468"/>
      <c r="BK12" s="468"/>
      <c r="BL12" s="468"/>
      <c r="BM12" s="468"/>
      <c r="BN12" s="468"/>
      <c r="BO12" s="468"/>
      <c r="BP12" s="468"/>
      <c r="BQ12" s="468"/>
      <c r="BR12" s="468"/>
      <c r="BS12" s="468"/>
      <c r="BT12" s="468"/>
      <c r="BU12" s="468"/>
      <c r="BV12" s="468"/>
      <c r="BW12" s="468"/>
      <c r="BX12" s="468"/>
      <c r="BY12" s="468"/>
      <c r="BZ12" s="468"/>
      <c r="CA12" s="468"/>
      <c r="CB12" s="468"/>
      <c r="CC12" s="468"/>
      <c r="CD12" s="468"/>
      <c r="CE12" s="468"/>
      <c r="CF12" s="468"/>
      <c r="CG12" s="468"/>
      <c r="CH12" s="468"/>
      <c r="CI12" s="468"/>
      <c r="CJ12" s="468"/>
      <c r="CK12" s="468"/>
      <c r="CL12" s="468"/>
      <c r="CM12" s="468"/>
      <c r="CN12" s="468"/>
      <c r="CO12" s="468"/>
      <c r="CP12" s="468"/>
      <c r="CQ12" s="468"/>
      <c r="CR12" s="468"/>
      <c r="CS12" s="468"/>
      <c r="CT12" s="468"/>
      <c r="CU12" s="468"/>
      <c r="CV12" s="468"/>
      <c r="CW12" s="468"/>
      <c r="CX12" s="468"/>
      <c r="CY12" s="468"/>
      <c r="CZ12" s="468"/>
      <c r="DA12" s="468"/>
      <c r="DB12" s="468"/>
      <c r="DC12" s="468"/>
      <c r="DD12" s="468"/>
      <c r="DE12" s="468"/>
      <c r="DF12" s="468"/>
      <c r="DG12" s="468"/>
      <c r="DH12" s="468"/>
      <c r="DI12" s="468"/>
      <c r="DJ12" s="468"/>
      <c r="DK12" s="468"/>
      <c r="DL12" s="468"/>
      <c r="DM12" s="468"/>
      <c r="DN12" s="471"/>
      <c r="DO12" s="468"/>
      <c r="DP12" s="468"/>
      <c r="DQ12" s="468"/>
      <c r="DR12" s="468"/>
      <c r="DS12" s="468"/>
      <c r="DT12" s="468"/>
      <c r="DU12" s="468"/>
      <c r="DV12" s="468"/>
      <c r="DW12" s="468"/>
      <c r="DX12" s="468"/>
      <c r="DY12" s="468"/>
      <c r="DZ12" s="468"/>
      <c r="EA12" s="468"/>
      <c r="EB12" s="468"/>
      <c r="EC12" s="468"/>
      <c r="ED12" s="468"/>
      <c r="EE12" s="468"/>
      <c r="EF12" s="468"/>
      <c r="EG12" s="468"/>
      <c r="EH12" s="468"/>
      <c r="EI12" s="468"/>
      <c r="EJ12" s="468"/>
      <c r="EK12" s="468"/>
      <c r="EL12" s="468"/>
      <c r="EM12" s="468"/>
      <c r="EN12" s="468"/>
      <c r="EO12" s="468"/>
      <c r="EP12" s="468"/>
      <c r="EQ12" s="468"/>
      <c r="ER12" s="468"/>
      <c r="ES12" s="468"/>
      <c r="ET12" s="468"/>
      <c r="EU12" s="468"/>
      <c r="EV12" s="468"/>
      <c r="EW12" s="468"/>
      <c r="EX12" s="468"/>
      <c r="EY12" s="468"/>
      <c r="EZ12" s="468"/>
      <c r="FA12" s="468"/>
      <c r="FB12" s="468"/>
      <c r="FC12" s="468"/>
      <c r="FD12" s="468"/>
      <c r="FE12" s="468"/>
      <c r="FF12" s="468"/>
      <c r="FG12" s="468"/>
      <c r="FH12" s="468"/>
      <c r="FI12" s="468"/>
      <c r="FJ12" s="468"/>
      <c r="FK12" s="468"/>
      <c r="FL12" s="468"/>
      <c r="FM12" s="468"/>
      <c r="FN12" s="468"/>
      <c r="FO12" s="468"/>
      <c r="FP12" s="468"/>
      <c r="FQ12" s="468"/>
      <c r="FR12" s="468"/>
      <c r="FS12" s="468"/>
      <c r="FT12" s="468"/>
      <c r="FU12" s="468"/>
      <c r="FV12" s="468"/>
      <c r="FW12" s="468"/>
      <c r="FX12" s="468"/>
      <c r="FY12" s="468"/>
      <c r="FZ12" s="468"/>
      <c r="GA12" s="468"/>
      <c r="GB12" s="468"/>
      <c r="GC12" s="468"/>
      <c r="GD12" s="468"/>
      <c r="GE12" s="468"/>
      <c r="GF12" s="468"/>
      <c r="GG12" s="468"/>
      <c r="GH12" s="468"/>
      <c r="GI12" s="468"/>
      <c r="GJ12" s="468"/>
      <c r="GK12" s="468"/>
      <c r="GL12" s="468"/>
      <c r="GM12" s="468"/>
      <c r="GN12" s="468"/>
      <c r="GO12" s="468"/>
      <c r="GP12" s="468"/>
      <c r="GQ12" s="468"/>
      <c r="GR12" s="468"/>
      <c r="GS12" s="468"/>
      <c r="GT12" s="468"/>
      <c r="GU12" s="468"/>
      <c r="GV12" s="468"/>
      <c r="GW12" s="468"/>
      <c r="GX12" s="468"/>
      <c r="GY12" s="468"/>
      <c r="GZ12" s="468"/>
      <c r="HA12" s="468"/>
      <c r="HB12" s="468"/>
      <c r="HC12" s="468"/>
      <c r="HD12" s="468"/>
      <c r="HE12" s="468"/>
      <c r="HF12" s="468"/>
      <c r="HG12" s="468"/>
      <c r="HH12" s="468"/>
      <c r="HI12" s="468"/>
      <c r="HJ12" s="468"/>
      <c r="HK12" s="468"/>
      <c r="HL12" s="468"/>
      <c r="HM12" s="468"/>
      <c r="HN12" s="468"/>
      <c r="HO12" s="468"/>
      <c r="HP12" s="468"/>
      <c r="HQ12" s="468"/>
      <c r="HR12" s="468"/>
      <c r="HS12" s="468"/>
      <c r="HT12" s="468"/>
      <c r="HU12" s="468"/>
      <c r="HV12" s="468"/>
      <c r="HW12" s="468"/>
      <c r="HX12" s="468"/>
      <c r="HY12" s="468"/>
      <c r="HZ12" s="468"/>
      <c r="IA12" s="468"/>
      <c r="IB12" s="468"/>
      <c r="IC12" s="468"/>
      <c r="ID12" s="468"/>
      <c r="IE12" s="468"/>
      <c r="IF12" s="468"/>
      <c r="IG12" s="468"/>
      <c r="IH12" s="468"/>
      <c r="II12" s="468"/>
      <c r="IJ12" s="468"/>
      <c r="IK12" s="468"/>
      <c r="IL12" s="468"/>
      <c r="IM12" s="468"/>
      <c r="IN12" s="468"/>
      <c r="IO12" s="468"/>
      <c r="IP12" s="468"/>
      <c r="IQ12" s="468"/>
      <c r="IR12" s="468"/>
      <c r="IS12" s="468"/>
      <c r="IT12" s="468"/>
      <c r="IU12" s="468"/>
      <c r="IV12" s="468"/>
      <c r="IW12" s="468"/>
      <c r="IX12" s="468"/>
      <c r="IY12" s="468"/>
      <c r="IZ12" s="468"/>
      <c r="JA12" s="468"/>
      <c r="JG12" s="521"/>
    </row>
    <row r="13" spans="1:267" ht="15.6" outlineLevel="1">
      <c r="A13" s="528"/>
      <c r="B13" s="1972"/>
      <c r="C13" s="529"/>
      <c r="D13" s="529"/>
      <c r="E13" s="472"/>
      <c r="F13" s="473" t="s">
        <v>4788</v>
      </c>
      <c r="G13" s="468"/>
      <c r="H13" s="528"/>
      <c r="I13" s="528"/>
      <c r="J13" s="528"/>
      <c r="K13" s="528"/>
      <c r="L13" s="528"/>
      <c r="M13" s="470"/>
      <c r="N13" s="470"/>
      <c r="O13" s="470"/>
      <c r="P13" s="470"/>
      <c r="Q13" s="470"/>
      <c r="R13" s="470"/>
      <c r="S13" s="470"/>
      <c r="T13" s="470"/>
      <c r="U13" s="468"/>
      <c r="V13" s="468"/>
      <c r="W13" s="468"/>
      <c r="X13" s="468"/>
      <c r="Y13" s="2488"/>
      <c r="Z13" s="248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68"/>
      <c r="AL13" s="468"/>
      <c r="AM13" s="468"/>
      <c r="AN13" s="468"/>
      <c r="AO13" s="468"/>
      <c r="AP13" s="468"/>
      <c r="AQ13" s="468"/>
      <c r="AR13" s="468"/>
      <c r="AS13" s="468"/>
      <c r="AT13" s="468"/>
      <c r="AU13" s="468"/>
      <c r="AV13" s="468"/>
      <c r="AW13" s="468"/>
      <c r="AX13" s="468"/>
      <c r="AY13" s="468"/>
      <c r="AZ13" s="468"/>
      <c r="BA13" s="468"/>
      <c r="BB13" s="468"/>
      <c r="BC13" s="468"/>
      <c r="BD13" s="468"/>
      <c r="BE13" s="468"/>
      <c r="BF13" s="468"/>
      <c r="BG13" s="468"/>
      <c r="BH13" s="468"/>
      <c r="BI13" s="468"/>
      <c r="BJ13" s="468"/>
      <c r="BK13" s="468"/>
      <c r="BL13" s="468"/>
      <c r="BM13" s="468"/>
      <c r="BN13" s="468"/>
      <c r="BO13" s="468"/>
      <c r="BP13" s="468"/>
      <c r="BQ13" s="468"/>
      <c r="BR13" s="468"/>
      <c r="BS13" s="468"/>
      <c r="BT13" s="468"/>
      <c r="BU13" s="468"/>
      <c r="BV13" s="468"/>
      <c r="BW13" s="468"/>
      <c r="BX13" s="468"/>
      <c r="BY13" s="468"/>
      <c r="BZ13" s="468"/>
      <c r="CA13" s="468"/>
      <c r="CB13" s="468"/>
      <c r="CC13" s="468"/>
      <c r="CD13" s="468"/>
      <c r="CE13" s="468"/>
      <c r="CF13" s="468"/>
      <c r="CG13" s="468"/>
      <c r="CH13" s="468"/>
      <c r="CI13" s="468"/>
      <c r="CJ13" s="468"/>
      <c r="CK13" s="468"/>
      <c r="CL13" s="468"/>
      <c r="CM13" s="468"/>
      <c r="CN13" s="468"/>
      <c r="CO13" s="468"/>
      <c r="CP13" s="468"/>
      <c r="CQ13" s="468"/>
      <c r="CR13" s="468"/>
      <c r="CS13" s="468"/>
      <c r="CT13" s="468"/>
      <c r="CU13" s="468"/>
      <c r="CV13" s="468"/>
      <c r="CW13" s="468"/>
      <c r="CX13" s="468"/>
      <c r="CY13" s="468"/>
      <c r="CZ13" s="468"/>
      <c r="DA13" s="468"/>
      <c r="DB13" s="468"/>
      <c r="DC13" s="468"/>
      <c r="DD13" s="468"/>
      <c r="DE13" s="468"/>
      <c r="DF13" s="468"/>
      <c r="DG13" s="468"/>
      <c r="DH13" s="468"/>
      <c r="DI13" s="468"/>
      <c r="DJ13" s="468"/>
      <c r="DK13" s="468"/>
      <c r="DL13" s="468"/>
      <c r="DM13" s="468"/>
      <c r="DN13" s="471"/>
      <c r="DO13" s="468"/>
      <c r="DP13" s="468"/>
      <c r="DQ13" s="468"/>
      <c r="DR13" s="468"/>
      <c r="DS13" s="468"/>
      <c r="DT13" s="468"/>
      <c r="DU13" s="468"/>
      <c r="DV13" s="468"/>
      <c r="DW13" s="468"/>
      <c r="DX13" s="468"/>
      <c r="DY13" s="468"/>
      <c r="DZ13" s="468"/>
      <c r="EA13" s="468"/>
      <c r="EB13" s="468"/>
      <c r="EC13" s="468"/>
      <c r="ED13" s="468"/>
      <c r="EE13" s="468"/>
      <c r="EF13" s="468"/>
      <c r="EG13" s="468"/>
      <c r="EH13" s="468"/>
      <c r="EI13" s="468"/>
      <c r="EJ13" s="468"/>
      <c r="EK13" s="468"/>
      <c r="EL13" s="468"/>
      <c r="EM13" s="468"/>
      <c r="EN13" s="468"/>
      <c r="EO13" s="468"/>
      <c r="EP13" s="468"/>
      <c r="EQ13" s="468"/>
      <c r="ER13" s="468"/>
      <c r="ES13" s="468"/>
      <c r="ET13" s="468"/>
      <c r="EU13" s="468"/>
      <c r="EV13" s="468"/>
      <c r="EW13" s="468"/>
      <c r="EX13" s="468"/>
      <c r="EY13" s="468"/>
      <c r="EZ13" s="468"/>
      <c r="FA13" s="468"/>
      <c r="FB13" s="468"/>
      <c r="FC13" s="468"/>
      <c r="FD13" s="468"/>
      <c r="FE13" s="468"/>
      <c r="FF13" s="468"/>
      <c r="FG13" s="468"/>
      <c r="FH13" s="468"/>
      <c r="FI13" s="468"/>
      <c r="FJ13" s="468"/>
      <c r="FK13" s="468"/>
      <c r="FL13" s="468"/>
      <c r="FM13" s="468"/>
      <c r="FN13" s="468"/>
      <c r="FO13" s="468"/>
      <c r="FP13" s="468"/>
      <c r="FQ13" s="468"/>
      <c r="FR13" s="468"/>
      <c r="FS13" s="468"/>
      <c r="FT13" s="468"/>
      <c r="FU13" s="468"/>
      <c r="FV13" s="468"/>
      <c r="FW13" s="468"/>
      <c r="FX13" s="468"/>
      <c r="FY13" s="468"/>
      <c r="FZ13" s="468"/>
      <c r="GA13" s="468"/>
      <c r="GB13" s="468"/>
      <c r="GC13" s="468"/>
      <c r="GD13" s="468"/>
      <c r="GE13" s="468"/>
      <c r="GF13" s="468"/>
      <c r="GG13" s="468"/>
      <c r="GH13" s="468"/>
      <c r="GI13" s="468"/>
      <c r="GJ13" s="468"/>
      <c r="GK13" s="468"/>
      <c r="GL13" s="468"/>
      <c r="GM13" s="468"/>
      <c r="GN13" s="468"/>
      <c r="GO13" s="468"/>
      <c r="GP13" s="468"/>
      <c r="GQ13" s="468"/>
      <c r="GR13" s="468"/>
      <c r="GS13" s="468"/>
      <c r="GT13" s="468"/>
      <c r="GU13" s="468"/>
      <c r="GV13" s="468"/>
      <c r="GW13" s="468"/>
      <c r="GX13" s="468"/>
      <c r="GY13" s="468"/>
      <c r="GZ13" s="468"/>
      <c r="HA13" s="468"/>
      <c r="HB13" s="468"/>
      <c r="HC13" s="468"/>
      <c r="HD13" s="468"/>
      <c r="HE13" s="468"/>
      <c r="HF13" s="468"/>
      <c r="HG13" s="468"/>
      <c r="HH13" s="468"/>
      <c r="HI13" s="468"/>
      <c r="HJ13" s="468"/>
      <c r="HK13" s="468"/>
      <c r="HL13" s="468"/>
      <c r="HM13" s="468"/>
      <c r="HN13" s="468"/>
      <c r="HO13" s="468"/>
      <c r="HP13" s="468"/>
      <c r="HQ13" s="468"/>
      <c r="HR13" s="468"/>
      <c r="HS13" s="468"/>
      <c r="HT13" s="468"/>
      <c r="HU13" s="468"/>
      <c r="HV13" s="468"/>
      <c r="HW13" s="468"/>
      <c r="HX13" s="468"/>
      <c r="HY13" s="468"/>
      <c r="HZ13" s="468"/>
      <c r="IA13" s="468"/>
      <c r="IB13" s="468"/>
      <c r="IC13" s="468"/>
      <c r="ID13" s="468"/>
      <c r="IE13" s="468"/>
      <c r="IF13" s="468"/>
      <c r="IG13" s="468"/>
      <c r="IH13" s="468"/>
      <c r="II13" s="468"/>
      <c r="IJ13" s="468"/>
      <c r="IK13" s="468"/>
      <c r="IL13" s="468"/>
      <c r="IM13" s="468"/>
      <c r="IN13" s="468"/>
      <c r="IO13" s="468"/>
      <c r="IP13" s="468"/>
      <c r="IQ13" s="468"/>
      <c r="IR13" s="468"/>
      <c r="IS13" s="468"/>
      <c r="IT13" s="468"/>
      <c r="IU13" s="468"/>
      <c r="IV13" s="468"/>
      <c r="IW13" s="468"/>
      <c r="IX13" s="468"/>
      <c r="IY13" s="468"/>
      <c r="IZ13" s="468"/>
      <c r="JA13" s="468"/>
      <c r="JG13" s="521"/>
    </row>
    <row r="14" spans="1:267" ht="15.6" outlineLevel="1">
      <c r="A14" s="528"/>
      <c r="B14" s="475"/>
      <c r="C14" s="472"/>
      <c r="D14" s="472"/>
      <c r="E14" s="472"/>
      <c r="F14" s="473" t="s">
        <v>183</v>
      </c>
      <c r="G14" s="468"/>
      <c r="H14" s="528"/>
      <c r="I14" s="528"/>
      <c r="J14" s="528"/>
      <c r="K14" s="528"/>
      <c r="L14" s="528"/>
      <c r="M14" s="470"/>
      <c r="N14" s="470"/>
      <c r="O14" s="470"/>
      <c r="P14" s="470"/>
      <c r="Q14" s="470"/>
      <c r="R14" s="470"/>
      <c r="S14" s="470"/>
      <c r="T14" s="470"/>
      <c r="U14" s="468"/>
      <c r="V14" s="468"/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468"/>
      <c r="AH14" s="468"/>
      <c r="AI14" s="468"/>
      <c r="AJ14" s="468"/>
      <c r="AK14" s="468"/>
      <c r="AL14" s="468"/>
      <c r="AM14" s="468"/>
      <c r="AN14" s="468"/>
      <c r="AO14" s="468"/>
      <c r="AP14" s="468"/>
      <c r="AQ14" s="468"/>
      <c r="AR14" s="468"/>
      <c r="AS14" s="468"/>
      <c r="AT14" s="468"/>
      <c r="AU14" s="468"/>
      <c r="AV14" s="468"/>
      <c r="AW14" s="468"/>
      <c r="AX14" s="468"/>
      <c r="AY14" s="468"/>
      <c r="AZ14" s="468"/>
      <c r="BA14" s="468"/>
      <c r="BB14" s="468"/>
      <c r="BC14" s="468"/>
      <c r="BD14" s="468"/>
      <c r="BE14" s="468"/>
      <c r="BF14" s="468"/>
      <c r="BG14" s="468"/>
      <c r="BH14" s="468"/>
      <c r="BI14" s="468"/>
      <c r="BJ14" s="468"/>
      <c r="BK14" s="468"/>
      <c r="BL14" s="468"/>
      <c r="BM14" s="468"/>
      <c r="BN14" s="468"/>
      <c r="BO14" s="468"/>
      <c r="BP14" s="468"/>
      <c r="BQ14" s="468"/>
      <c r="BR14" s="468"/>
      <c r="BS14" s="468"/>
      <c r="BT14" s="468"/>
      <c r="BU14" s="468"/>
      <c r="BV14" s="468"/>
      <c r="BW14" s="468"/>
      <c r="BX14" s="468"/>
      <c r="BY14" s="468"/>
      <c r="BZ14" s="468"/>
      <c r="CA14" s="468"/>
      <c r="CB14" s="468"/>
      <c r="CC14" s="468"/>
      <c r="CD14" s="468"/>
      <c r="CE14" s="468"/>
      <c r="CF14" s="468"/>
      <c r="CG14" s="468"/>
      <c r="CH14" s="468"/>
      <c r="CI14" s="468"/>
      <c r="CJ14" s="468"/>
      <c r="CK14" s="468"/>
      <c r="CL14" s="468"/>
      <c r="CM14" s="468"/>
      <c r="CN14" s="468"/>
      <c r="CO14" s="468"/>
      <c r="CP14" s="468"/>
      <c r="CQ14" s="468"/>
      <c r="CR14" s="468"/>
      <c r="CS14" s="468"/>
      <c r="CT14" s="468"/>
      <c r="CU14" s="468"/>
      <c r="CV14" s="468"/>
      <c r="CW14" s="468"/>
      <c r="CX14" s="468"/>
      <c r="CY14" s="468"/>
      <c r="CZ14" s="468"/>
      <c r="DA14" s="468"/>
      <c r="DB14" s="468"/>
      <c r="DC14" s="468"/>
      <c r="DD14" s="468"/>
      <c r="DE14" s="468"/>
      <c r="DF14" s="468"/>
      <c r="DG14" s="468"/>
      <c r="DH14" s="468"/>
      <c r="DI14" s="468"/>
      <c r="DJ14" s="468"/>
      <c r="DK14" s="468"/>
      <c r="DL14" s="468"/>
      <c r="DM14" s="468"/>
      <c r="DN14" s="471"/>
      <c r="DO14" s="468"/>
      <c r="DP14" s="468"/>
      <c r="DQ14" s="468"/>
      <c r="DR14" s="468"/>
      <c r="DS14" s="468"/>
      <c r="DT14" s="468"/>
      <c r="DU14" s="468"/>
      <c r="DV14" s="468"/>
      <c r="DW14" s="468"/>
      <c r="DX14" s="468"/>
      <c r="DY14" s="468"/>
      <c r="DZ14" s="468"/>
      <c r="EA14" s="468"/>
      <c r="EB14" s="468"/>
      <c r="EC14" s="468"/>
      <c r="ED14" s="468"/>
      <c r="EE14" s="468"/>
      <c r="EF14" s="468"/>
      <c r="EG14" s="468"/>
      <c r="EH14" s="468"/>
      <c r="EI14" s="468"/>
      <c r="EJ14" s="468"/>
      <c r="EK14" s="468"/>
      <c r="EL14" s="468"/>
      <c r="EM14" s="468"/>
      <c r="EN14" s="468"/>
      <c r="EO14" s="468"/>
      <c r="EP14" s="468"/>
      <c r="EQ14" s="468"/>
      <c r="ER14" s="468"/>
      <c r="ES14" s="468"/>
      <c r="ET14" s="468"/>
      <c r="EU14" s="468"/>
      <c r="EV14" s="468"/>
      <c r="EW14" s="468"/>
      <c r="EX14" s="468"/>
      <c r="EY14" s="468"/>
      <c r="EZ14" s="468"/>
      <c r="FA14" s="468"/>
      <c r="FB14" s="468"/>
      <c r="FC14" s="468"/>
      <c r="FD14" s="468"/>
      <c r="FE14" s="468"/>
      <c r="FF14" s="468"/>
      <c r="FG14" s="468"/>
      <c r="FH14" s="468"/>
      <c r="FI14" s="468"/>
      <c r="FJ14" s="468"/>
      <c r="FK14" s="468"/>
      <c r="FL14" s="468"/>
      <c r="FM14" s="468"/>
      <c r="FN14" s="468"/>
      <c r="FO14" s="468"/>
      <c r="FP14" s="468"/>
      <c r="FQ14" s="468"/>
      <c r="FR14" s="468"/>
      <c r="FS14" s="468"/>
      <c r="FT14" s="468"/>
      <c r="FU14" s="468"/>
      <c r="FV14" s="468"/>
      <c r="FW14" s="468"/>
      <c r="FX14" s="468"/>
      <c r="FY14" s="468"/>
      <c r="FZ14" s="468"/>
      <c r="GA14" s="468"/>
      <c r="GB14" s="468"/>
      <c r="GC14" s="468"/>
      <c r="GD14" s="468"/>
      <c r="GE14" s="468"/>
      <c r="GF14" s="468"/>
      <c r="GG14" s="468"/>
      <c r="GH14" s="468"/>
      <c r="GI14" s="468"/>
      <c r="GJ14" s="468"/>
      <c r="GK14" s="468"/>
      <c r="GL14" s="468"/>
      <c r="GM14" s="468"/>
      <c r="GN14" s="468"/>
      <c r="GO14" s="468"/>
      <c r="GP14" s="468"/>
      <c r="GQ14" s="468"/>
      <c r="GR14" s="468"/>
      <c r="GS14" s="468"/>
      <c r="GT14" s="468"/>
      <c r="GU14" s="468"/>
      <c r="GV14" s="468"/>
      <c r="GW14" s="468"/>
      <c r="GX14" s="468"/>
      <c r="GY14" s="468"/>
      <c r="GZ14" s="468"/>
      <c r="HA14" s="468"/>
      <c r="HB14" s="468"/>
      <c r="HC14" s="468"/>
      <c r="HD14" s="468"/>
      <c r="HE14" s="468"/>
      <c r="HF14" s="468"/>
      <c r="HG14" s="468"/>
      <c r="HH14" s="468"/>
      <c r="HI14" s="468"/>
      <c r="HJ14" s="468"/>
      <c r="HK14" s="468"/>
      <c r="HL14" s="468"/>
      <c r="HM14" s="468"/>
      <c r="HN14" s="468"/>
      <c r="HO14" s="468"/>
      <c r="HP14" s="468"/>
      <c r="HQ14" s="468"/>
      <c r="HR14" s="468"/>
      <c r="HS14" s="468"/>
      <c r="HT14" s="468"/>
      <c r="HU14" s="468"/>
      <c r="HV14" s="468"/>
      <c r="HW14" s="468"/>
      <c r="HX14" s="468"/>
      <c r="HY14" s="468"/>
      <c r="HZ14" s="468"/>
      <c r="IA14" s="468"/>
      <c r="IB14" s="468"/>
      <c r="IC14" s="468"/>
      <c r="ID14" s="468"/>
      <c r="IE14" s="468"/>
      <c r="IF14" s="468"/>
      <c r="IG14" s="468"/>
      <c r="IH14" s="468"/>
      <c r="II14" s="468"/>
      <c r="IJ14" s="468"/>
      <c r="IK14" s="468"/>
      <c r="IL14" s="468"/>
      <c r="IM14" s="468"/>
      <c r="IN14" s="468"/>
      <c r="IO14" s="468"/>
      <c r="IP14" s="468"/>
      <c r="IQ14" s="468"/>
      <c r="IR14" s="468"/>
      <c r="IS14" s="468"/>
      <c r="IT14" s="468"/>
      <c r="IU14" s="468"/>
      <c r="IV14" s="468"/>
      <c r="IW14" s="468"/>
      <c r="IX14" s="468"/>
      <c r="IY14" s="468"/>
      <c r="IZ14" s="468"/>
      <c r="JA14" s="468"/>
      <c r="JG14" s="521"/>
    </row>
    <row r="15" spans="1:267" ht="15.6" outlineLevel="1">
      <c r="A15" s="528"/>
      <c r="B15" s="475"/>
      <c r="C15" s="472"/>
      <c r="D15" s="472"/>
      <c r="E15" s="472"/>
      <c r="F15" s="473"/>
      <c r="G15" s="468"/>
      <c r="H15" s="528"/>
      <c r="I15" s="528"/>
      <c r="J15" s="528"/>
      <c r="K15" s="528"/>
      <c r="L15" s="528"/>
      <c r="M15" s="470"/>
      <c r="N15" s="470"/>
      <c r="O15" s="470"/>
      <c r="P15" s="470"/>
      <c r="Q15" s="470"/>
      <c r="R15" s="470"/>
      <c r="S15" s="470"/>
      <c r="T15" s="470"/>
      <c r="U15" s="468"/>
      <c r="V15" s="468"/>
      <c r="W15" s="468"/>
      <c r="X15" s="468"/>
      <c r="Y15" s="2488"/>
      <c r="Z15" s="248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68"/>
      <c r="AL15" s="468"/>
      <c r="AM15" s="468"/>
      <c r="AN15" s="468"/>
      <c r="AO15" s="468"/>
      <c r="AP15" s="468"/>
      <c r="AQ15" s="468"/>
      <c r="AR15" s="468"/>
      <c r="AS15" s="468"/>
      <c r="AT15" s="468"/>
      <c r="AU15" s="468"/>
      <c r="AV15" s="468"/>
      <c r="AW15" s="468"/>
      <c r="AX15" s="468"/>
      <c r="AY15" s="468"/>
      <c r="AZ15" s="468"/>
      <c r="BA15" s="468"/>
      <c r="BB15" s="468"/>
      <c r="BC15" s="468"/>
      <c r="BD15" s="468"/>
      <c r="BE15" s="468"/>
      <c r="BF15" s="468"/>
      <c r="BG15" s="468"/>
      <c r="BH15" s="468"/>
      <c r="BI15" s="468"/>
      <c r="BJ15" s="468"/>
      <c r="BK15" s="468"/>
      <c r="BL15" s="468"/>
      <c r="BM15" s="468"/>
      <c r="BN15" s="468"/>
      <c r="BO15" s="468"/>
      <c r="BP15" s="468"/>
      <c r="BQ15" s="468"/>
      <c r="BR15" s="468"/>
      <c r="BS15" s="468"/>
      <c r="BT15" s="468"/>
      <c r="BU15" s="468"/>
      <c r="BV15" s="468"/>
      <c r="BW15" s="468"/>
      <c r="BX15" s="468"/>
      <c r="BY15" s="468"/>
      <c r="BZ15" s="468"/>
      <c r="CA15" s="468"/>
      <c r="CB15" s="468"/>
      <c r="CC15" s="468"/>
      <c r="CD15" s="468"/>
      <c r="CE15" s="468"/>
      <c r="CF15" s="468"/>
      <c r="CG15" s="468"/>
      <c r="CH15" s="468"/>
      <c r="CI15" s="468"/>
      <c r="CJ15" s="468"/>
      <c r="CK15" s="468"/>
      <c r="CL15" s="468"/>
      <c r="CM15" s="468"/>
      <c r="CN15" s="468"/>
      <c r="CO15" s="468"/>
      <c r="CP15" s="468"/>
      <c r="CQ15" s="468"/>
      <c r="CR15" s="468"/>
      <c r="CS15" s="468"/>
      <c r="CT15" s="468"/>
      <c r="CU15" s="468"/>
      <c r="CV15" s="468"/>
      <c r="CW15" s="468"/>
      <c r="CX15" s="468"/>
      <c r="CY15" s="468"/>
      <c r="CZ15" s="468"/>
      <c r="DA15" s="468"/>
      <c r="DB15" s="468"/>
      <c r="DC15" s="468"/>
      <c r="DD15" s="468"/>
      <c r="DE15" s="468"/>
      <c r="DF15" s="468"/>
      <c r="DG15" s="468"/>
      <c r="DH15" s="468"/>
      <c r="DI15" s="468"/>
      <c r="DJ15" s="468"/>
      <c r="DK15" s="468"/>
      <c r="DL15" s="468"/>
      <c r="DM15" s="468"/>
      <c r="DN15" s="471"/>
      <c r="DO15" s="468"/>
      <c r="DP15" s="468"/>
      <c r="DQ15" s="468"/>
      <c r="DR15" s="468"/>
      <c r="DS15" s="468"/>
      <c r="DT15" s="468"/>
      <c r="DU15" s="468"/>
      <c r="DV15" s="468"/>
      <c r="DW15" s="468"/>
      <c r="DX15" s="468"/>
      <c r="DY15" s="468"/>
      <c r="DZ15" s="468"/>
      <c r="EA15" s="468"/>
      <c r="EB15" s="468"/>
      <c r="EC15" s="468"/>
      <c r="ED15" s="468"/>
      <c r="EE15" s="468"/>
      <c r="EF15" s="468"/>
      <c r="EG15" s="468"/>
      <c r="EH15" s="468"/>
      <c r="EI15" s="468"/>
      <c r="EJ15" s="468"/>
      <c r="EK15" s="468"/>
      <c r="EL15" s="468"/>
      <c r="EM15" s="468"/>
      <c r="EN15" s="468"/>
      <c r="EO15" s="468"/>
      <c r="EP15" s="468"/>
      <c r="EQ15" s="468"/>
      <c r="ER15" s="468"/>
      <c r="ES15" s="468"/>
      <c r="ET15" s="468"/>
      <c r="EU15" s="468"/>
      <c r="EV15" s="468"/>
      <c r="EW15" s="468"/>
      <c r="EX15" s="468"/>
      <c r="EY15" s="468"/>
      <c r="EZ15" s="468"/>
      <c r="FA15" s="468"/>
      <c r="FB15" s="468"/>
      <c r="FC15" s="468"/>
      <c r="FD15" s="468"/>
      <c r="FE15" s="468"/>
      <c r="FF15" s="468"/>
      <c r="FG15" s="468"/>
      <c r="FH15" s="468"/>
      <c r="FI15" s="468"/>
      <c r="FJ15" s="468"/>
      <c r="FK15" s="468"/>
      <c r="FL15" s="468"/>
      <c r="FM15" s="468"/>
      <c r="FN15" s="468"/>
      <c r="FO15" s="468"/>
      <c r="FP15" s="468"/>
      <c r="FQ15" s="468"/>
      <c r="FR15" s="468"/>
      <c r="FS15" s="468"/>
      <c r="FT15" s="468"/>
      <c r="FU15" s="468"/>
      <c r="FV15" s="468"/>
      <c r="FW15" s="468"/>
      <c r="FX15" s="468"/>
      <c r="FY15" s="468"/>
      <c r="FZ15" s="468"/>
      <c r="GA15" s="468"/>
      <c r="GB15" s="468"/>
      <c r="GC15" s="468"/>
      <c r="GD15" s="468"/>
      <c r="GE15" s="468"/>
      <c r="GF15" s="468"/>
      <c r="GG15" s="468"/>
      <c r="GH15" s="468"/>
      <c r="GI15" s="468"/>
      <c r="GJ15" s="468"/>
      <c r="GK15" s="468"/>
      <c r="GL15" s="468"/>
      <c r="GM15" s="468"/>
      <c r="GN15" s="468"/>
      <c r="GO15" s="468"/>
      <c r="GP15" s="468"/>
      <c r="GQ15" s="468"/>
      <c r="GR15" s="468"/>
      <c r="GS15" s="468"/>
      <c r="GT15" s="468"/>
      <c r="GU15" s="468"/>
      <c r="GV15" s="468"/>
      <c r="GW15" s="468"/>
      <c r="GX15" s="468"/>
      <c r="GY15" s="468"/>
      <c r="GZ15" s="468"/>
      <c r="HA15" s="468"/>
      <c r="HB15" s="468"/>
      <c r="HC15" s="468"/>
      <c r="HD15" s="468"/>
      <c r="HE15" s="468"/>
      <c r="HF15" s="468"/>
      <c r="HG15" s="468"/>
      <c r="HH15" s="468"/>
      <c r="HI15" s="468"/>
      <c r="HJ15" s="468"/>
      <c r="HK15" s="468"/>
      <c r="HL15" s="468"/>
      <c r="HM15" s="468"/>
      <c r="HN15" s="468"/>
      <c r="HO15" s="468"/>
      <c r="HP15" s="468"/>
      <c r="HQ15" s="468"/>
      <c r="HR15" s="468"/>
      <c r="HS15" s="468"/>
      <c r="HT15" s="468"/>
      <c r="HU15" s="468"/>
      <c r="HV15" s="468"/>
      <c r="HW15" s="468"/>
      <c r="HX15" s="468"/>
      <c r="HY15" s="468"/>
      <c r="HZ15" s="468"/>
      <c r="IA15" s="468"/>
      <c r="IB15" s="468"/>
      <c r="IC15" s="468"/>
      <c r="ID15" s="468"/>
      <c r="IE15" s="468"/>
      <c r="IF15" s="468"/>
      <c r="IG15" s="468"/>
      <c r="IH15" s="468"/>
      <c r="II15" s="468"/>
      <c r="IJ15" s="468"/>
      <c r="IK15" s="468"/>
      <c r="IL15" s="468"/>
      <c r="IM15" s="468"/>
      <c r="IN15" s="468"/>
      <c r="IO15" s="468"/>
      <c r="IP15" s="468"/>
      <c r="IQ15" s="468"/>
      <c r="IR15" s="468"/>
      <c r="IS15" s="468"/>
      <c r="IT15" s="468"/>
      <c r="IU15" s="468"/>
      <c r="IV15" s="468"/>
      <c r="IW15" s="468"/>
      <c r="IX15" s="468"/>
      <c r="IY15" s="468"/>
      <c r="IZ15" s="468"/>
      <c r="JA15" s="468"/>
      <c r="JG15" s="521"/>
    </row>
    <row r="16" spans="1:267" ht="15.6" outlineLevel="1">
      <c r="A16" s="528"/>
      <c r="B16" s="475"/>
      <c r="C16" s="472"/>
      <c r="D16" s="472"/>
      <c r="E16" s="472"/>
      <c r="F16" s="473"/>
      <c r="G16" s="468"/>
      <c r="H16" s="528"/>
      <c r="I16" s="528"/>
      <c r="J16" s="528"/>
      <c r="K16" s="528"/>
      <c r="L16" s="528"/>
      <c r="M16" s="470"/>
      <c r="N16" s="470"/>
      <c r="O16" s="470"/>
      <c r="P16" s="470"/>
      <c r="Q16" s="470"/>
      <c r="R16" s="470"/>
      <c r="S16" s="470"/>
      <c r="T16" s="470"/>
      <c r="U16" s="468"/>
      <c r="V16" s="468"/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468"/>
      <c r="AH16" s="468"/>
      <c r="AI16" s="468"/>
      <c r="AJ16" s="468"/>
      <c r="AK16" s="468"/>
      <c r="AL16" s="468"/>
      <c r="AM16" s="468"/>
      <c r="AN16" s="468"/>
      <c r="AO16" s="468"/>
      <c r="AP16" s="468"/>
      <c r="AQ16" s="468"/>
      <c r="AR16" s="468"/>
      <c r="AS16" s="468"/>
      <c r="AT16" s="468"/>
      <c r="AU16" s="468"/>
      <c r="AV16" s="468"/>
      <c r="AW16" s="468"/>
      <c r="AX16" s="468"/>
      <c r="AY16" s="468"/>
      <c r="AZ16" s="468"/>
      <c r="BA16" s="468"/>
      <c r="BB16" s="468"/>
      <c r="BC16" s="468"/>
      <c r="BD16" s="468"/>
      <c r="BE16" s="468"/>
      <c r="BF16" s="468"/>
      <c r="BG16" s="468"/>
      <c r="BH16" s="468"/>
      <c r="BI16" s="468"/>
      <c r="BJ16" s="468"/>
      <c r="BK16" s="468"/>
      <c r="BL16" s="468"/>
      <c r="BM16" s="468"/>
      <c r="BN16" s="468"/>
      <c r="BO16" s="468"/>
      <c r="BP16" s="468"/>
      <c r="BQ16" s="468"/>
      <c r="BR16" s="468"/>
      <c r="BS16" s="468"/>
      <c r="BT16" s="468"/>
      <c r="BU16" s="468"/>
      <c r="BV16" s="468"/>
      <c r="BW16" s="468"/>
      <c r="BX16" s="468"/>
      <c r="BY16" s="468"/>
      <c r="BZ16" s="468"/>
      <c r="CA16" s="468"/>
      <c r="CB16" s="468"/>
      <c r="CC16" s="468"/>
      <c r="CD16" s="468"/>
      <c r="CE16" s="468"/>
      <c r="CF16" s="468"/>
      <c r="CG16" s="468"/>
      <c r="CH16" s="468"/>
      <c r="CI16" s="468"/>
      <c r="CJ16" s="468"/>
      <c r="CK16" s="468"/>
      <c r="CL16" s="468"/>
      <c r="CM16" s="468"/>
      <c r="CN16" s="468"/>
      <c r="CO16" s="468"/>
      <c r="CP16" s="468"/>
      <c r="CQ16" s="468"/>
      <c r="CR16" s="468"/>
      <c r="CS16" s="468"/>
      <c r="CT16" s="468"/>
      <c r="CU16" s="468"/>
      <c r="CV16" s="468"/>
      <c r="CW16" s="468"/>
      <c r="CX16" s="468"/>
      <c r="CY16" s="468"/>
      <c r="CZ16" s="468"/>
      <c r="DA16" s="468"/>
      <c r="DB16" s="468"/>
      <c r="DC16" s="468"/>
      <c r="DD16" s="468"/>
      <c r="DE16" s="468"/>
      <c r="DF16" s="468"/>
      <c r="DG16" s="468"/>
      <c r="DH16" s="468"/>
      <c r="DI16" s="468"/>
      <c r="DJ16" s="468"/>
      <c r="DK16" s="468"/>
      <c r="DL16" s="468"/>
      <c r="DM16" s="468"/>
      <c r="DN16" s="471"/>
      <c r="DO16" s="468"/>
      <c r="DP16" s="468"/>
      <c r="DQ16" s="468"/>
      <c r="DR16" s="468"/>
      <c r="DS16" s="468"/>
      <c r="DT16" s="468"/>
      <c r="DU16" s="468"/>
      <c r="DV16" s="468"/>
      <c r="DW16" s="468"/>
      <c r="DX16" s="468"/>
      <c r="DY16" s="468"/>
      <c r="DZ16" s="468"/>
      <c r="EA16" s="468"/>
      <c r="EB16" s="468"/>
      <c r="EC16" s="468"/>
      <c r="ED16" s="468"/>
      <c r="EE16" s="468"/>
      <c r="EF16" s="468"/>
      <c r="EG16" s="468"/>
      <c r="EH16" s="468"/>
      <c r="EI16" s="468"/>
      <c r="EJ16" s="468"/>
      <c r="EK16" s="468"/>
      <c r="EL16" s="468"/>
      <c r="EM16" s="468"/>
      <c r="EN16" s="468"/>
      <c r="EO16" s="468"/>
      <c r="EP16" s="468"/>
      <c r="EQ16" s="468"/>
      <c r="ER16" s="468"/>
      <c r="ES16" s="468"/>
      <c r="ET16" s="468"/>
      <c r="EU16" s="468"/>
      <c r="EV16" s="468"/>
      <c r="EW16" s="468"/>
      <c r="EX16" s="468"/>
      <c r="EY16" s="468"/>
      <c r="EZ16" s="468"/>
      <c r="FA16" s="468"/>
      <c r="FB16" s="468"/>
      <c r="FC16" s="468"/>
      <c r="FD16" s="468"/>
      <c r="FE16" s="468"/>
      <c r="FF16" s="468"/>
      <c r="FG16" s="468"/>
      <c r="FH16" s="468"/>
      <c r="FI16" s="468"/>
      <c r="FJ16" s="468"/>
      <c r="FK16" s="468"/>
      <c r="FL16" s="468"/>
      <c r="FM16" s="468"/>
      <c r="FN16" s="468"/>
      <c r="FO16" s="468"/>
      <c r="FP16" s="468"/>
      <c r="FQ16" s="468"/>
      <c r="FR16" s="468"/>
      <c r="FS16" s="468"/>
      <c r="FT16" s="468"/>
      <c r="FU16" s="468"/>
      <c r="FV16" s="468"/>
      <c r="FW16" s="468"/>
      <c r="FX16" s="468"/>
      <c r="FY16" s="468"/>
      <c r="FZ16" s="468"/>
      <c r="GA16" s="468"/>
      <c r="GB16" s="468"/>
      <c r="GC16" s="468"/>
      <c r="GD16" s="468"/>
      <c r="GE16" s="468"/>
      <c r="GF16" s="468"/>
      <c r="GG16" s="468"/>
      <c r="GH16" s="468"/>
      <c r="GI16" s="468"/>
      <c r="GJ16" s="468"/>
      <c r="GK16" s="468"/>
      <c r="GL16" s="468"/>
      <c r="GM16" s="468"/>
      <c r="GN16" s="468"/>
      <c r="GO16" s="468"/>
      <c r="GP16" s="468"/>
      <c r="GQ16" s="468"/>
      <c r="GR16" s="468"/>
      <c r="GS16" s="468"/>
      <c r="GT16" s="468"/>
      <c r="GU16" s="468"/>
      <c r="GV16" s="468"/>
      <c r="GW16" s="468"/>
      <c r="GX16" s="468"/>
      <c r="GY16" s="468"/>
      <c r="GZ16" s="468"/>
      <c r="HA16" s="468"/>
      <c r="HB16" s="468"/>
      <c r="HC16" s="468"/>
      <c r="HD16" s="468"/>
      <c r="HE16" s="468"/>
      <c r="HF16" s="468"/>
      <c r="HG16" s="468"/>
      <c r="HH16" s="468"/>
      <c r="HI16" s="468"/>
      <c r="HJ16" s="468"/>
      <c r="HK16" s="468"/>
      <c r="HL16" s="468"/>
      <c r="HM16" s="468"/>
      <c r="HN16" s="468"/>
      <c r="HO16" s="468"/>
      <c r="HP16" s="468"/>
      <c r="HQ16" s="468"/>
      <c r="HR16" s="468"/>
      <c r="HS16" s="468"/>
      <c r="HT16" s="468"/>
      <c r="HU16" s="468"/>
      <c r="HV16" s="468"/>
      <c r="HW16" s="468"/>
      <c r="HX16" s="468"/>
      <c r="HY16" s="468"/>
      <c r="HZ16" s="468"/>
      <c r="IA16" s="468"/>
      <c r="IB16" s="468"/>
      <c r="IC16" s="468"/>
      <c r="ID16" s="468"/>
      <c r="IE16" s="468"/>
      <c r="IF16" s="468"/>
      <c r="IG16" s="468"/>
      <c r="IH16" s="468"/>
      <c r="II16" s="468"/>
      <c r="IJ16" s="468"/>
      <c r="IK16" s="468"/>
      <c r="IL16" s="468"/>
      <c r="IM16" s="468"/>
      <c r="IN16" s="468"/>
      <c r="IO16" s="468"/>
      <c r="IP16" s="468"/>
      <c r="IQ16" s="468"/>
      <c r="IR16" s="468"/>
      <c r="IS16" s="468"/>
      <c r="IT16" s="468"/>
      <c r="IU16" s="468"/>
      <c r="IV16" s="468"/>
      <c r="IW16" s="468"/>
      <c r="IX16" s="468"/>
      <c r="IY16" s="468"/>
      <c r="IZ16" s="468"/>
      <c r="JA16" s="468"/>
      <c r="JG16" s="521"/>
    </row>
    <row r="17" spans="1:267" ht="15.6" outlineLevel="1">
      <c r="A17" s="528"/>
      <c r="B17" s="475"/>
      <c r="C17" s="472"/>
      <c r="D17" s="472"/>
      <c r="E17" s="472"/>
      <c r="F17" s="472"/>
      <c r="G17" s="528"/>
      <c r="H17" s="528"/>
      <c r="I17" s="528"/>
      <c r="J17" s="528"/>
      <c r="K17" s="528"/>
      <c r="L17" s="528"/>
      <c r="M17" s="470"/>
      <c r="N17" s="470"/>
      <c r="O17" s="470"/>
      <c r="P17" s="470"/>
      <c r="Q17" s="470"/>
      <c r="R17" s="470"/>
      <c r="S17" s="470"/>
      <c r="T17" s="470"/>
      <c r="U17" s="468"/>
      <c r="V17" s="468"/>
      <c r="W17" s="468"/>
      <c r="X17" s="468"/>
      <c r="Y17" s="468"/>
      <c r="Z17" s="468"/>
      <c r="AA17" s="468"/>
      <c r="AB17" s="468"/>
      <c r="AC17" s="468"/>
      <c r="AD17" s="468"/>
      <c r="AE17" s="468"/>
      <c r="AF17" s="468"/>
      <c r="AG17" s="468"/>
      <c r="AH17" s="468"/>
      <c r="AI17" s="468"/>
      <c r="AJ17" s="468"/>
      <c r="AK17" s="468"/>
      <c r="AL17" s="468"/>
      <c r="AM17" s="468"/>
      <c r="AN17" s="468"/>
      <c r="AO17" s="468"/>
      <c r="AP17" s="468"/>
      <c r="AQ17" s="468"/>
      <c r="AR17" s="468"/>
      <c r="AS17" s="468"/>
      <c r="AT17" s="468"/>
      <c r="AU17" s="468"/>
      <c r="AV17" s="468"/>
      <c r="AW17" s="468"/>
      <c r="AX17" s="468"/>
      <c r="AY17" s="468"/>
      <c r="AZ17" s="468"/>
      <c r="BA17" s="468"/>
      <c r="BB17" s="468"/>
      <c r="BC17" s="468"/>
      <c r="BD17" s="468"/>
      <c r="BE17" s="468"/>
      <c r="BF17" s="468"/>
      <c r="BG17" s="468"/>
      <c r="BH17" s="468"/>
      <c r="BI17" s="468"/>
      <c r="BJ17" s="468"/>
      <c r="BK17" s="468"/>
      <c r="BL17" s="468"/>
      <c r="BM17" s="468"/>
      <c r="BN17" s="468"/>
      <c r="BO17" s="468"/>
      <c r="BP17" s="468"/>
      <c r="BQ17" s="468"/>
      <c r="BR17" s="468"/>
      <c r="BS17" s="473"/>
      <c r="BT17" s="473"/>
      <c r="BU17" s="473"/>
      <c r="BV17" s="473"/>
      <c r="BW17" s="473"/>
      <c r="BX17" s="473"/>
      <c r="BY17" s="473"/>
      <c r="BZ17" s="473"/>
      <c r="CA17" s="473"/>
      <c r="CB17" s="473"/>
      <c r="CC17" s="473"/>
      <c r="CD17" s="473"/>
      <c r="CE17" s="473"/>
      <c r="CF17" s="473"/>
      <c r="CG17" s="473"/>
      <c r="CH17" s="468"/>
      <c r="CI17" s="468"/>
      <c r="CJ17" s="468"/>
      <c r="CK17" s="468"/>
      <c r="CL17" s="468"/>
      <c r="CM17" s="468"/>
      <c r="CN17" s="468"/>
      <c r="CO17" s="468"/>
      <c r="CP17" s="468"/>
      <c r="CQ17" s="468"/>
      <c r="CR17" s="468"/>
      <c r="CS17" s="468"/>
      <c r="CT17" s="468"/>
      <c r="CU17" s="468"/>
      <c r="CV17" s="468"/>
      <c r="CW17" s="468"/>
      <c r="CX17" s="468"/>
      <c r="CY17" s="468"/>
      <c r="CZ17" s="468"/>
      <c r="DA17" s="468"/>
      <c r="DB17" s="468"/>
      <c r="DC17" s="468"/>
      <c r="DD17" s="468"/>
      <c r="DE17" s="468"/>
      <c r="DF17" s="468"/>
      <c r="DG17" s="468"/>
      <c r="DH17" s="468"/>
      <c r="DI17" s="468"/>
      <c r="DJ17" s="468"/>
      <c r="DK17" s="468"/>
      <c r="DL17" s="468"/>
      <c r="DM17" s="468"/>
      <c r="DN17" s="471"/>
      <c r="DO17" s="468"/>
      <c r="DP17" s="468"/>
      <c r="DQ17" s="468"/>
      <c r="DR17" s="468"/>
      <c r="DS17" s="468"/>
      <c r="DT17" s="468"/>
      <c r="DU17" s="468"/>
      <c r="DV17" s="468"/>
      <c r="DW17" s="468"/>
      <c r="DX17" s="468"/>
      <c r="DY17" s="468"/>
      <c r="DZ17" s="468"/>
      <c r="EA17" s="468"/>
      <c r="EB17" s="468"/>
      <c r="EC17" s="468"/>
      <c r="ED17" s="468"/>
      <c r="EE17" s="468"/>
      <c r="EF17" s="468"/>
      <c r="EG17" s="468"/>
      <c r="EH17" s="468"/>
      <c r="EI17" s="468"/>
      <c r="EJ17" s="468"/>
      <c r="EK17" s="468"/>
      <c r="EL17" s="468"/>
      <c r="EM17" s="468"/>
      <c r="EN17" s="468"/>
      <c r="EO17" s="468"/>
      <c r="EP17" s="468"/>
      <c r="EQ17" s="468"/>
      <c r="ER17" s="468"/>
      <c r="ES17" s="468"/>
      <c r="ET17" s="468"/>
      <c r="EU17" s="468"/>
      <c r="EV17" s="468"/>
      <c r="EW17" s="468"/>
      <c r="EX17" s="468"/>
      <c r="EY17" s="468"/>
      <c r="EZ17" s="468"/>
      <c r="FA17" s="468"/>
      <c r="FB17" s="468"/>
      <c r="FC17" s="468"/>
      <c r="FD17" s="468"/>
      <c r="FE17" s="468"/>
      <c r="FF17" s="468"/>
      <c r="FG17" s="468"/>
      <c r="FH17" s="468"/>
      <c r="FI17" s="468"/>
      <c r="FJ17" s="468"/>
      <c r="FK17" s="468"/>
      <c r="FL17" s="468"/>
      <c r="FM17" s="468"/>
      <c r="FN17" s="468"/>
      <c r="FO17" s="468"/>
      <c r="FP17" s="468"/>
      <c r="FQ17" s="468"/>
      <c r="FR17" s="468"/>
      <c r="FS17" s="468"/>
      <c r="FT17" s="468"/>
      <c r="FU17" s="468"/>
      <c r="FV17" s="468"/>
      <c r="FW17" s="468"/>
      <c r="FX17" s="468"/>
      <c r="FY17" s="468"/>
      <c r="FZ17" s="468"/>
      <c r="GA17" s="468"/>
      <c r="GB17" s="468"/>
      <c r="GC17" s="468"/>
      <c r="GD17" s="468"/>
      <c r="GE17" s="468"/>
      <c r="GF17" s="468"/>
      <c r="GG17" s="468"/>
      <c r="GH17" s="468"/>
      <c r="GI17" s="468"/>
      <c r="GJ17" s="468"/>
      <c r="GK17" s="468"/>
      <c r="GL17" s="468"/>
      <c r="GM17" s="468"/>
      <c r="GN17" s="468"/>
      <c r="GO17" s="468"/>
      <c r="GP17" s="468"/>
      <c r="GQ17" s="468"/>
      <c r="GR17" s="468"/>
      <c r="GS17" s="468"/>
      <c r="GT17" s="468"/>
      <c r="GU17" s="468"/>
      <c r="GV17" s="468"/>
      <c r="GW17" s="468"/>
      <c r="GX17" s="468"/>
      <c r="GY17" s="468"/>
      <c r="GZ17" s="468"/>
      <c r="HA17" s="468"/>
      <c r="HB17" s="468"/>
      <c r="HC17" s="468"/>
      <c r="HD17" s="468"/>
      <c r="HE17" s="468"/>
      <c r="HF17" s="468"/>
      <c r="HG17" s="468"/>
      <c r="HH17" s="468"/>
      <c r="HI17" s="468"/>
      <c r="HJ17" s="468"/>
      <c r="HK17" s="468"/>
      <c r="HL17" s="468"/>
      <c r="HM17" s="468"/>
      <c r="HN17" s="468"/>
      <c r="HO17" s="468"/>
      <c r="HP17" s="468"/>
      <c r="HQ17" s="468"/>
      <c r="HR17" s="468"/>
      <c r="HS17" s="468"/>
      <c r="HT17" s="468"/>
      <c r="HU17" s="468"/>
      <c r="HV17" s="468"/>
      <c r="HW17" s="468"/>
      <c r="HX17" s="468"/>
      <c r="HY17" s="468"/>
      <c r="HZ17" s="468"/>
      <c r="IA17" s="468"/>
      <c r="IB17" s="468"/>
      <c r="IC17" s="468"/>
      <c r="ID17" s="468"/>
      <c r="IE17" s="468"/>
      <c r="IF17" s="468"/>
      <c r="IG17" s="468"/>
      <c r="IH17" s="468"/>
      <c r="II17" s="468"/>
      <c r="IJ17" s="468"/>
      <c r="IK17" s="468"/>
      <c r="IL17" s="468"/>
      <c r="IM17" s="468"/>
      <c r="IN17" s="468"/>
      <c r="IO17" s="468"/>
      <c r="IP17" s="468"/>
      <c r="IQ17" s="468"/>
      <c r="IR17" s="468"/>
      <c r="IS17" s="468"/>
      <c r="IT17" s="468"/>
      <c r="IU17" s="468"/>
      <c r="IV17" s="468"/>
      <c r="IW17" s="468"/>
      <c r="IX17" s="468"/>
      <c r="IY17" s="468"/>
      <c r="IZ17" s="468"/>
      <c r="JA17" s="468"/>
      <c r="JG17" s="521"/>
    </row>
    <row r="18" spans="1:267" ht="15.6" outlineLevel="1">
      <c r="A18" s="528"/>
      <c r="B18" s="475"/>
      <c r="C18" s="472"/>
      <c r="D18" s="472"/>
      <c r="E18" s="472"/>
      <c r="F18" s="472"/>
      <c r="G18" s="528"/>
      <c r="H18" s="528"/>
      <c r="I18" s="528"/>
      <c r="J18" s="528"/>
      <c r="K18" s="528"/>
      <c r="L18" s="528"/>
      <c r="M18" s="470"/>
      <c r="N18" s="470"/>
      <c r="O18" s="470"/>
      <c r="P18" s="470"/>
      <c r="Q18" s="470"/>
      <c r="R18" s="470"/>
      <c r="S18" s="470"/>
      <c r="T18" s="470"/>
      <c r="U18" s="468"/>
      <c r="V18" s="468"/>
      <c r="W18" s="468"/>
      <c r="X18" s="468"/>
      <c r="Y18" s="468"/>
      <c r="Z18" s="468"/>
      <c r="AA18" s="468"/>
      <c r="AB18" s="468"/>
      <c r="AC18" s="468"/>
      <c r="AD18" s="468"/>
      <c r="AE18" s="468"/>
      <c r="AF18" s="468"/>
      <c r="AG18" s="468"/>
      <c r="AH18" s="468"/>
      <c r="AI18" s="468"/>
      <c r="AJ18" s="468"/>
      <c r="AK18" s="468"/>
      <c r="AL18" s="468"/>
      <c r="AM18" s="468"/>
      <c r="AN18" s="468"/>
      <c r="AO18" s="468"/>
      <c r="AP18" s="468"/>
      <c r="AQ18" s="468"/>
      <c r="AR18" s="468"/>
      <c r="AS18" s="468"/>
      <c r="AT18" s="468"/>
      <c r="AU18" s="468"/>
      <c r="AV18" s="468"/>
      <c r="AW18" s="468"/>
      <c r="AX18" s="468"/>
      <c r="AY18" s="468"/>
      <c r="AZ18" s="468"/>
      <c r="BA18" s="468"/>
      <c r="BB18" s="468"/>
      <c r="BC18" s="468"/>
      <c r="BD18" s="468"/>
      <c r="BE18" s="468"/>
      <c r="BF18" s="468"/>
      <c r="BG18" s="468"/>
      <c r="BH18" s="468"/>
      <c r="BI18" s="468"/>
      <c r="BJ18" s="468"/>
      <c r="BK18" s="468"/>
      <c r="BL18" s="468"/>
      <c r="BM18" s="468"/>
      <c r="BN18" s="468"/>
      <c r="BO18" s="468"/>
      <c r="BP18" s="468"/>
      <c r="BQ18" s="468"/>
      <c r="BR18" s="468"/>
      <c r="BS18" s="473"/>
      <c r="BT18" s="473"/>
      <c r="BU18" s="473"/>
      <c r="BV18" s="473"/>
      <c r="BW18" s="473"/>
      <c r="BX18" s="473"/>
      <c r="BY18" s="473"/>
      <c r="BZ18" s="473"/>
      <c r="CA18" s="473"/>
      <c r="CB18" s="473"/>
      <c r="CC18" s="473"/>
      <c r="CD18" s="473"/>
      <c r="CE18" s="473"/>
      <c r="CF18" s="473"/>
      <c r="CG18" s="473"/>
      <c r="CH18" s="468"/>
      <c r="CI18" s="468"/>
      <c r="CJ18" s="468"/>
      <c r="CK18" s="468"/>
      <c r="CL18" s="468"/>
      <c r="CM18" s="468"/>
      <c r="CN18" s="468"/>
      <c r="CO18" s="468"/>
      <c r="CP18" s="468"/>
      <c r="CQ18" s="468"/>
      <c r="CR18" s="468"/>
      <c r="CS18" s="468"/>
      <c r="CT18" s="468"/>
      <c r="CU18" s="468"/>
      <c r="CV18" s="468"/>
      <c r="CW18" s="468"/>
      <c r="CX18" s="468"/>
      <c r="CY18" s="468"/>
      <c r="CZ18" s="468"/>
      <c r="DA18" s="468"/>
      <c r="DB18" s="468"/>
      <c r="DC18" s="468"/>
      <c r="DD18" s="468"/>
      <c r="DE18" s="468"/>
      <c r="DF18" s="468"/>
      <c r="DG18" s="468"/>
      <c r="DH18" s="468"/>
      <c r="DI18" s="468"/>
      <c r="DJ18" s="468"/>
      <c r="DK18" s="468"/>
      <c r="DL18" s="468"/>
      <c r="DM18" s="468"/>
      <c r="DN18" s="471"/>
      <c r="DO18" s="468"/>
      <c r="DP18" s="468"/>
      <c r="DQ18" s="468"/>
      <c r="DR18" s="468"/>
      <c r="DS18" s="468"/>
      <c r="DT18" s="468"/>
      <c r="DU18" s="468"/>
      <c r="DV18" s="468"/>
      <c r="DW18" s="468"/>
      <c r="DX18" s="468"/>
      <c r="DY18" s="468"/>
      <c r="DZ18" s="468"/>
      <c r="EA18" s="468"/>
      <c r="EB18" s="468"/>
      <c r="EC18" s="468"/>
      <c r="ED18" s="468"/>
      <c r="EE18" s="468"/>
      <c r="EF18" s="468"/>
      <c r="EG18" s="468"/>
      <c r="EH18" s="468"/>
      <c r="EI18" s="468"/>
      <c r="EJ18" s="468"/>
      <c r="EK18" s="468"/>
      <c r="EL18" s="468"/>
      <c r="EM18" s="468"/>
      <c r="EN18" s="468"/>
      <c r="EO18" s="468"/>
      <c r="EP18" s="468"/>
      <c r="EQ18" s="468"/>
      <c r="ER18" s="468"/>
      <c r="ES18" s="468"/>
      <c r="ET18" s="468"/>
      <c r="EU18" s="468"/>
      <c r="EV18" s="468"/>
      <c r="EW18" s="468"/>
      <c r="EX18" s="468"/>
      <c r="EY18" s="468"/>
      <c r="EZ18" s="468"/>
      <c r="FA18" s="468"/>
      <c r="FB18" s="468"/>
      <c r="FC18" s="468"/>
      <c r="FD18" s="468"/>
      <c r="FE18" s="468"/>
      <c r="FF18" s="468"/>
      <c r="FG18" s="468"/>
      <c r="FH18" s="468"/>
      <c r="FI18" s="468"/>
      <c r="FJ18" s="468"/>
      <c r="FK18" s="468"/>
      <c r="FL18" s="468"/>
      <c r="FM18" s="468"/>
      <c r="FN18" s="468"/>
      <c r="FO18" s="468"/>
      <c r="FP18" s="468"/>
      <c r="FQ18" s="468"/>
      <c r="FR18" s="468"/>
      <c r="FS18" s="468"/>
      <c r="FT18" s="468"/>
      <c r="FU18" s="468"/>
      <c r="FV18" s="468"/>
      <c r="FW18" s="468"/>
      <c r="FX18" s="468"/>
      <c r="FY18" s="468"/>
      <c r="FZ18" s="468"/>
      <c r="GA18" s="468"/>
      <c r="GB18" s="468"/>
      <c r="GC18" s="468"/>
      <c r="GD18" s="468"/>
      <c r="GE18" s="468"/>
      <c r="GF18" s="468"/>
      <c r="GG18" s="468"/>
      <c r="GH18" s="468"/>
      <c r="GI18" s="468"/>
      <c r="GJ18" s="468"/>
      <c r="GK18" s="468"/>
      <c r="GL18" s="468"/>
      <c r="GM18" s="468"/>
      <c r="GN18" s="468"/>
      <c r="GO18" s="468"/>
      <c r="GP18" s="468"/>
      <c r="GQ18" s="468"/>
      <c r="GR18" s="468"/>
      <c r="GS18" s="468"/>
      <c r="GT18" s="468"/>
      <c r="GU18" s="468"/>
      <c r="GV18" s="468"/>
      <c r="GW18" s="468"/>
      <c r="GX18" s="468"/>
      <c r="GY18" s="468"/>
      <c r="GZ18" s="468"/>
      <c r="HA18" s="468"/>
      <c r="HB18" s="468"/>
      <c r="HC18" s="468"/>
      <c r="HD18" s="468"/>
      <c r="HE18" s="468"/>
      <c r="HF18" s="468"/>
      <c r="HG18" s="468"/>
      <c r="HH18" s="468"/>
      <c r="HI18" s="468"/>
      <c r="HJ18" s="468"/>
      <c r="HK18" s="468"/>
      <c r="HL18" s="468"/>
      <c r="HM18" s="468"/>
      <c r="HN18" s="468"/>
      <c r="HO18" s="468"/>
      <c r="HP18" s="468"/>
      <c r="HQ18" s="468"/>
      <c r="HR18" s="468"/>
      <c r="HS18" s="468"/>
      <c r="HT18" s="468"/>
      <c r="HU18" s="468"/>
      <c r="HV18" s="468"/>
      <c r="HW18" s="468"/>
      <c r="HX18" s="468"/>
      <c r="HY18" s="468"/>
      <c r="HZ18" s="468"/>
      <c r="IA18" s="468"/>
      <c r="IB18" s="468"/>
      <c r="IC18" s="468"/>
      <c r="ID18" s="468"/>
      <c r="IE18" s="468"/>
      <c r="IF18" s="468"/>
      <c r="IG18" s="468"/>
      <c r="IH18" s="468"/>
      <c r="II18" s="468"/>
      <c r="IJ18" s="468"/>
      <c r="IK18" s="468"/>
      <c r="IL18" s="468"/>
      <c r="IM18" s="468"/>
      <c r="IN18" s="468"/>
      <c r="IO18" s="468"/>
      <c r="IP18" s="468"/>
      <c r="IQ18" s="468"/>
      <c r="IR18" s="468"/>
      <c r="IS18" s="468"/>
      <c r="IT18" s="468"/>
      <c r="IU18" s="468"/>
      <c r="IV18" s="468"/>
      <c r="IW18" s="468"/>
      <c r="IX18" s="468"/>
      <c r="IY18" s="468"/>
      <c r="IZ18" s="468"/>
      <c r="JA18" s="468"/>
      <c r="JG18" s="521"/>
    </row>
    <row r="19" spans="1:267" ht="15.6" outlineLevel="1">
      <c r="A19" s="528"/>
      <c r="B19" s="475"/>
      <c r="C19" s="474"/>
      <c r="D19" s="474"/>
      <c r="E19" s="474"/>
      <c r="F19" s="474"/>
      <c r="G19" s="528"/>
      <c r="H19" s="528"/>
      <c r="I19" s="528"/>
      <c r="J19" s="528"/>
      <c r="K19" s="528"/>
      <c r="L19" s="528"/>
      <c r="M19" s="470"/>
      <c r="N19" s="470"/>
      <c r="O19" s="470"/>
      <c r="P19" s="470"/>
      <c r="Q19" s="470"/>
      <c r="R19" s="470"/>
      <c r="S19" s="470"/>
      <c r="T19" s="470"/>
      <c r="U19" s="468"/>
      <c r="V19" s="468"/>
      <c r="W19" s="468"/>
      <c r="X19" s="468"/>
      <c r="Y19" s="468"/>
      <c r="Z19" s="468"/>
      <c r="AA19" s="468"/>
      <c r="AB19" s="468"/>
      <c r="AC19" s="468"/>
      <c r="AD19" s="468"/>
      <c r="AE19" s="468"/>
      <c r="AF19" s="468"/>
      <c r="AG19" s="468"/>
      <c r="AH19" s="468"/>
      <c r="AI19" s="468"/>
      <c r="AJ19" s="468"/>
      <c r="AK19" s="468"/>
      <c r="AL19" s="468"/>
      <c r="AM19" s="468"/>
      <c r="AN19" s="468"/>
      <c r="AO19" s="468"/>
      <c r="AP19" s="468"/>
      <c r="AQ19" s="468"/>
      <c r="AR19" s="468"/>
      <c r="AS19" s="468"/>
      <c r="AT19" s="468"/>
      <c r="AU19" s="468"/>
      <c r="AV19" s="468"/>
      <c r="AW19" s="468"/>
      <c r="AX19" s="468"/>
      <c r="AY19" s="468"/>
      <c r="AZ19" s="468"/>
      <c r="BA19" s="468"/>
      <c r="BB19" s="468"/>
      <c r="BC19" s="468"/>
      <c r="BD19" s="468"/>
      <c r="BE19" s="468"/>
      <c r="BF19" s="468"/>
      <c r="BG19" s="468"/>
      <c r="BH19" s="468"/>
      <c r="BI19" s="468"/>
      <c r="BJ19" s="468"/>
      <c r="BK19" s="468"/>
      <c r="BL19" s="468"/>
      <c r="BM19" s="468"/>
      <c r="BN19" s="468"/>
      <c r="BO19" s="468"/>
      <c r="BP19" s="468"/>
      <c r="BQ19" s="468"/>
      <c r="BR19" s="468"/>
      <c r="BS19" s="468"/>
      <c r="BT19" s="468"/>
      <c r="BU19" s="468"/>
      <c r="BV19" s="468"/>
      <c r="BW19" s="468"/>
      <c r="BX19" s="468"/>
      <c r="BY19" s="468"/>
      <c r="BZ19" s="468"/>
      <c r="CA19" s="468"/>
      <c r="CB19" s="468"/>
      <c r="CC19" s="468"/>
      <c r="CD19" s="468"/>
      <c r="CE19" s="468"/>
      <c r="CF19" s="468"/>
      <c r="CG19" s="468"/>
      <c r="CH19" s="468"/>
      <c r="CI19" s="468"/>
      <c r="CJ19" s="468"/>
      <c r="CK19" s="468"/>
      <c r="CL19" s="468"/>
      <c r="CM19" s="468"/>
      <c r="CN19" s="468"/>
      <c r="CO19" s="468"/>
      <c r="CP19" s="468"/>
      <c r="CQ19" s="468"/>
      <c r="CR19" s="468"/>
      <c r="CS19" s="468"/>
      <c r="CT19" s="468"/>
      <c r="CU19" s="468"/>
      <c r="CV19" s="468"/>
      <c r="CW19" s="468"/>
      <c r="CX19" s="468"/>
      <c r="CY19" s="468"/>
      <c r="CZ19" s="468"/>
      <c r="DA19" s="468"/>
      <c r="DB19" s="468"/>
      <c r="DC19" s="468"/>
      <c r="DD19" s="468"/>
      <c r="DE19" s="468"/>
      <c r="DF19" s="468"/>
      <c r="DG19" s="468"/>
      <c r="DH19" s="468"/>
      <c r="DI19" s="468"/>
      <c r="DJ19" s="468"/>
      <c r="DK19" s="468"/>
      <c r="DL19" s="468"/>
      <c r="DM19" s="468"/>
      <c r="DN19" s="471"/>
      <c r="DO19" s="468"/>
      <c r="DP19" s="468"/>
      <c r="DQ19" s="468"/>
      <c r="DR19" s="468"/>
      <c r="DS19" s="468"/>
      <c r="DT19" s="468"/>
      <c r="DU19" s="468"/>
      <c r="DV19" s="468"/>
      <c r="DW19" s="468"/>
      <c r="DX19" s="468"/>
      <c r="DY19" s="468"/>
      <c r="DZ19" s="468"/>
      <c r="EA19" s="468"/>
      <c r="EB19" s="468"/>
      <c r="EC19" s="468"/>
      <c r="ED19" s="468"/>
      <c r="EE19" s="468"/>
      <c r="EF19" s="468"/>
      <c r="EG19" s="468"/>
      <c r="EH19" s="468"/>
      <c r="EI19" s="468"/>
      <c r="EJ19" s="468"/>
      <c r="EK19" s="468"/>
      <c r="EL19" s="468"/>
      <c r="EM19" s="468"/>
      <c r="EN19" s="468"/>
      <c r="EO19" s="468"/>
      <c r="EP19" s="468"/>
      <c r="EQ19" s="468"/>
      <c r="ER19" s="468"/>
      <c r="ES19" s="468"/>
      <c r="ET19" s="468"/>
      <c r="EU19" s="468"/>
      <c r="EV19" s="468"/>
      <c r="EW19" s="468"/>
      <c r="EX19" s="468"/>
      <c r="EY19" s="468"/>
      <c r="EZ19" s="468"/>
      <c r="FA19" s="468"/>
      <c r="FB19" s="468"/>
      <c r="FC19" s="468"/>
      <c r="FD19" s="468"/>
      <c r="FE19" s="468"/>
      <c r="FF19" s="468"/>
      <c r="FG19" s="468"/>
      <c r="FH19" s="468"/>
      <c r="FI19" s="468"/>
      <c r="FJ19" s="468"/>
      <c r="FK19" s="468"/>
      <c r="FL19" s="468"/>
      <c r="FM19" s="468"/>
      <c r="FN19" s="468"/>
      <c r="FO19" s="468"/>
      <c r="FP19" s="468"/>
      <c r="FQ19" s="468"/>
      <c r="FR19" s="468"/>
      <c r="FS19" s="468"/>
      <c r="FT19" s="468"/>
      <c r="FU19" s="468"/>
      <c r="FV19" s="468"/>
      <c r="FW19" s="468"/>
      <c r="FX19" s="468"/>
      <c r="FY19" s="468"/>
      <c r="FZ19" s="468"/>
      <c r="GA19" s="468"/>
      <c r="GB19" s="468"/>
      <c r="GC19" s="468"/>
      <c r="GD19" s="468"/>
      <c r="GE19" s="468"/>
      <c r="GF19" s="468"/>
      <c r="GG19" s="468"/>
      <c r="GH19" s="468"/>
      <c r="GI19" s="468"/>
      <c r="GJ19" s="468"/>
      <c r="GK19" s="468"/>
      <c r="GL19" s="468"/>
      <c r="GM19" s="468"/>
      <c r="GN19" s="468"/>
      <c r="GO19" s="468"/>
      <c r="GP19" s="468"/>
      <c r="GQ19" s="468"/>
      <c r="GR19" s="468"/>
      <c r="GS19" s="468"/>
      <c r="GT19" s="468"/>
      <c r="GU19" s="468"/>
      <c r="GV19" s="468"/>
      <c r="GW19" s="468"/>
      <c r="GX19" s="468"/>
      <c r="GY19" s="468"/>
      <c r="GZ19" s="468"/>
      <c r="HA19" s="468"/>
      <c r="HB19" s="468"/>
      <c r="HC19" s="468"/>
      <c r="HD19" s="468"/>
      <c r="HE19" s="468"/>
      <c r="HF19" s="468"/>
      <c r="HG19" s="468"/>
      <c r="HH19" s="468"/>
      <c r="HI19" s="468"/>
      <c r="HJ19" s="468"/>
      <c r="HK19" s="468"/>
      <c r="HL19" s="468"/>
      <c r="HM19" s="468"/>
      <c r="HN19" s="468"/>
      <c r="HO19" s="468"/>
      <c r="HP19" s="468"/>
      <c r="HQ19" s="468"/>
      <c r="HR19" s="468"/>
      <c r="HS19" s="468"/>
      <c r="HT19" s="468"/>
      <c r="HU19" s="468"/>
      <c r="HV19" s="468"/>
      <c r="HW19" s="468"/>
      <c r="HX19" s="468"/>
      <c r="HY19" s="468"/>
      <c r="HZ19" s="468"/>
      <c r="IA19" s="468"/>
      <c r="IB19" s="468"/>
      <c r="IC19" s="468"/>
      <c r="ID19" s="468"/>
      <c r="IE19" s="468"/>
      <c r="IF19" s="468"/>
      <c r="IG19" s="468"/>
      <c r="IH19" s="468"/>
      <c r="II19" s="468"/>
      <c r="IJ19" s="468"/>
      <c r="IK19" s="468"/>
      <c r="IL19" s="468"/>
      <c r="IM19" s="468"/>
      <c r="IN19" s="468"/>
      <c r="IO19" s="468"/>
      <c r="IP19" s="468"/>
      <c r="IQ19" s="468"/>
      <c r="IR19" s="468"/>
      <c r="IS19" s="468"/>
      <c r="IT19" s="468"/>
      <c r="IU19" s="468"/>
      <c r="IV19" s="468"/>
      <c r="IW19" s="468"/>
      <c r="IX19" s="468"/>
      <c r="IY19" s="468"/>
      <c r="IZ19" s="468"/>
      <c r="JA19" s="468"/>
      <c r="JG19" s="521"/>
    </row>
    <row r="20" spans="1:267" ht="15.6" outlineLevel="1">
      <c r="A20" s="528"/>
      <c r="B20" s="475"/>
      <c r="C20" s="473"/>
      <c r="D20" s="473"/>
      <c r="E20" s="473"/>
      <c r="F20" s="473"/>
      <c r="G20" s="528"/>
      <c r="H20" s="528"/>
      <c r="I20" s="528"/>
      <c r="J20" s="528"/>
      <c r="K20" s="528"/>
      <c r="L20" s="528"/>
      <c r="M20" s="470"/>
      <c r="N20" s="470"/>
      <c r="O20" s="470"/>
      <c r="P20" s="470"/>
      <c r="Q20" s="470"/>
      <c r="R20" s="470"/>
      <c r="S20" s="470"/>
      <c r="T20" s="470"/>
      <c r="U20" s="468"/>
      <c r="V20" s="468"/>
      <c r="W20" s="468"/>
      <c r="X20" s="468"/>
      <c r="Y20" s="468"/>
      <c r="Z20" s="468"/>
      <c r="AA20" s="468"/>
      <c r="AB20" s="468"/>
      <c r="AC20" s="468"/>
      <c r="AD20" s="468"/>
      <c r="AE20" s="468"/>
      <c r="AF20" s="468"/>
      <c r="AG20" s="468"/>
      <c r="AH20" s="468"/>
      <c r="AI20" s="468"/>
      <c r="AJ20" s="468"/>
      <c r="AK20" s="468"/>
      <c r="AL20" s="468"/>
      <c r="AM20" s="468"/>
      <c r="AN20" s="468"/>
      <c r="AO20" s="468"/>
      <c r="AP20" s="468"/>
      <c r="AQ20" s="468"/>
      <c r="AR20" s="468"/>
      <c r="AS20" s="468"/>
      <c r="AT20" s="468"/>
      <c r="AU20" s="468"/>
      <c r="AV20" s="468"/>
      <c r="AW20" s="468"/>
      <c r="AX20" s="468"/>
      <c r="AY20" s="468"/>
      <c r="AZ20" s="468"/>
      <c r="BA20" s="468"/>
      <c r="BB20" s="468"/>
      <c r="BC20" s="468"/>
      <c r="BD20" s="468"/>
      <c r="BE20" s="468"/>
      <c r="BF20" s="468"/>
      <c r="BG20" s="468"/>
      <c r="BH20" s="468"/>
      <c r="BI20" s="468"/>
      <c r="BJ20" s="468"/>
      <c r="BK20" s="468"/>
      <c r="BL20" s="468"/>
      <c r="BM20" s="468"/>
      <c r="BN20" s="468"/>
      <c r="BO20" s="468"/>
      <c r="BP20" s="468"/>
      <c r="BQ20" s="468"/>
      <c r="BR20" s="468"/>
      <c r="BS20" s="468"/>
      <c r="BT20" s="468"/>
      <c r="BU20" s="468"/>
      <c r="BV20" s="468"/>
      <c r="BW20" s="468"/>
      <c r="BX20" s="468"/>
      <c r="BY20" s="468"/>
      <c r="BZ20" s="468"/>
      <c r="CA20" s="468"/>
      <c r="CB20" s="468"/>
      <c r="CC20" s="468"/>
      <c r="CD20" s="468"/>
      <c r="CE20" s="468"/>
      <c r="CF20" s="468"/>
      <c r="CG20" s="468"/>
      <c r="CH20" s="468"/>
      <c r="CI20" s="468"/>
      <c r="CJ20" s="468"/>
      <c r="CK20" s="468"/>
      <c r="CL20" s="468"/>
      <c r="CM20" s="468"/>
      <c r="CN20" s="468"/>
      <c r="CO20" s="468"/>
      <c r="CP20" s="468"/>
      <c r="CQ20" s="468"/>
      <c r="CR20" s="468"/>
      <c r="CS20" s="468"/>
      <c r="CT20" s="468"/>
      <c r="CU20" s="468"/>
      <c r="CV20" s="468"/>
      <c r="CW20" s="468"/>
      <c r="CX20" s="468"/>
      <c r="CY20" s="468"/>
      <c r="CZ20" s="468"/>
      <c r="DA20" s="468"/>
      <c r="DB20" s="468"/>
      <c r="DC20" s="468"/>
      <c r="DD20" s="468"/>
      <c r="DE20" s="468"/>
      <c r="DF20" s="468"/>
      <c r="DG20" s="468"/>
      <c r="DH20" s="468"/>
      <c r="DI20" s="468"/>
      <c r="DJ20" s="468"/>
      <c r="DK20" s="468"/>
      <c r="DL20" s="468"/>
      <c r="DM20" s="468"/>
      <c r="DN20" s="471"/>
      <c r="DO20" s="468"/>
      <c r="DP20" s="468"/>
      <c r="DQ20" s="468"/>
      <c r="DR20" s="468"/>
      <c r="DS20" s="468"/>
      <c r="DT20" s="468"/>
      <c r="DU20" s="468"/>
      <c r="DV20" s="468"/>
      <c r="DW20" s="468"/>
      <c r="DX20" s="468"/>
      <c r="DY20" s="468"/>
      <c r="DZ20" s="468"/>
      <c r="EA20" s="468"/>
      <c r="EB20" s="468"/>
      <c r="EC20" s="468"/>
      <c r="ED20" s="468"/>
      <c r="EE20" s="468"/>
      <c r="EF20" s="468"/>
      <c r="EG20" s="468"/>
      <c r="EH20" s="468"/>
      <c r="EI20" s="468"/>
      <c r="EJ20" s="468"/>
      <c r="EK20" s="468"/>
      <c r="EL20" s="468"/>
      <c r="EM20" s="468"/>
      <c r="EN20" s="468"/>
      <c r="EO20" s="468"/>
      <c r="EP20" s="468"/>
      <c r="EQ20" s="468"/>
      <c r="ER20" s="468"/>
      <c r="ES20" s="468"/>
      <c r="ET20" s="468"/>
      <c r="EU20" s="468"/>
      <c r="EV20" s="468"/>
      <c r="EW20" s="468"/>
      <c r="EX20" s="468"/>
      <c r="EY20" s="468"/>
      <c r="EZ20" s="468"/>
      <c r="FA20" s="468"/>
      <c r="FB20" s="468"/>
      <c r="FC20" s="468"/>
      <c r="FD20" s="468"/>
      <c r="FE20" s="468"/>
      <c r="FF20" s="468"/>
      <c r="FG20" s="468"/>
      <c r="FH20" s="468"/>
      <c r="FI20" s="468"/>
      <c r="FJ20" s="468"/>
      <c r="FK20" s="468"/>
      <c r="FL20" s="468"/>
      <c r="FM20" s="468"/>
      <c r="FN20" s="468"/>
      <c r="FO20" s="468"/>
      <c r="FP20" s="468"/>
      <c r="FQ20" s="468"/>
      <c r="FR20" s="468"/>
      <c r="FS20" s="468"/>
      <c r="FT20" s="468"/>
      <c r="FU20" s="468"/>
      <c r="FV20" s="468"/>
      <c r="FW20" s="468"/>
      <c r="FX20" s="468"/>
      <c r="FY20" s="468"/>
      <c r="FZ20" s="468"/>
      <c r="GA20" s="468"/>
      <c r="GB20" s="468"/>
      <c r="GC20" s="468"/>
      <c r="GD20" s="468"/>
      <c r="GE20" s="468"/>
      <c r="GF20" s="468"/>
      <c r="GG20" s="468"/>
      <c r="GH20" s="468"/>
      <c r="GI20" s="468"/>
      <c r="GJ20" s="468"/>
      <c r="GK20" s="468"/>
      <c r="GL20" s="468"/>
      <c r="GM20" s="468"/>
      <c r="GN20" s="468"/>
      <c r="GO20" s="468"/>
      <c r="GP20" s="468"/>
      <c r="GQ20" s="468"/>
      <c r="GR20" s="468"/>
      <c r="GS20" s="468"/>
      <c r="GT20" s="468"/>
      <c r="GU20" s="468"/>
      <c r="GV20" s="468"/>
      <c r="GW20" s="468"/>
      <c r="GX20" s="468"/>
      <c r="GY20" s="468"/>
      <c r="GZ20" s="468"/>
      <c r="HA20" s="468"/>
      <c r="HB20" s="468"/>
      <c r="HC20" s="468"/>
      <c r="HD20" s="468"/>
      <c r="HE20" s="468"/>
      <c r="HF20" s="468"/>
      <c r="HG20" s="468"/>
      <c r="HH20" s="468"/>
      <c r="HI20" s="468"/>
      <c r="HJ20" s="468"/>
      <c r="HK20" s="468"/>
      <c r="HL20" s="468"/>
      <c r="HM20" s="468"/>
      <c r="HN20" s="468"/>
      <c r="HO20" s="468"/>
      <c r="HP20" s="468"/>
      <c r="HQ20" s="468"/>
      <c r="HR20" s="468"/>
      <c r="HS20" s="468"/>
      <c r="HT20" s="468"/>
      <c r="HU20" s="468"/>
      <c r="HV20" s="468"/>
      <c r="HW20" s="468"/>
      <c r="HX20" s="468"/>
      <c r="HY20" s="468"/>
      <c r="HZ20" s="468"/>
      <c r="IA20" s="468"/>
      <c r="IB20" s="468"/>
      <c r="IC20" s="468"/>
      <c r="ID20" s="468"/>
      <c r="IE20" s="468"/>
      <c r="IF20" s="468"/>
      <c r="IG20" s="468"/>
      <c r="IH20" s="468"/>
      <c r="II20" s="468"/>
      <c r="IJ20" s="468"/>
      <c r="IK20" s="468"/>
      <c r="IL20" s="468"/>
      <c r="IM20" s="468"/>
      <c r="IN20" s="468"/>
      <c r="IO20" s="468"/>
      <c r="IP20" s="468"/>
      <c r="IQ20" s="468"/>
      <c r="IR20" s="468"/>
      <c r="IS20" s="468"/>
      <c r="IT20" s="468"/>
      <c r="IU20" s="468"/>
      <c r="IV20" s="468"/>
      <c r="IW20" s="468"/>
      <c r="IX20" s="468"/>
      <c r="IY20" s="468"/>
      <c r="IZ20" s="468"/>
      <c r="JA20" s="468"/>
      <c r="JG20" s="521"/>
    </row>
    <row r="21" spans="1:267" ht="15.6" outlineLevel="1">
      <c r="A21" s="528"/>
      <c r="B21" s="475"/>
      <c r="C21" s="472"/>
      <c r="D21" s="472"/>
      <c r="E21" s="472"/>
      <c r="F21" s="472"/>
      <c r="G21" s="528"/>
      <c r="H21" s="528"/>
      <c r="I21" s="528"/>
      <c r="J21" s="528"/>
      <c r="K21" s="528"/>
      <c r="L21" s="528"/>
      <c r="M21" s="470"/>
      <c r="N21" s="470"/>
      <c r="O21" s="470"/>
      <c r="P21" s="470"/>
      <c r="Q21" s="470"/>
      <c r="R21" s="470"/>
      <c r="S21" s="470"/>
      <c r="T21" s="470"/>
      <c r="U21" s="468"/>
      <c r="V21" s="468"/>
      <c r="W21" s="468"/>
      <c r="X21" s="468"/>
      <c r="Y21" s="468"/>
      <c r="Z21" s="468"/>
      <c r="AA21" s="468"/>
      <c r="AB21" s="468"/>
      <c r="AC21" s="468"/>
      <c r="AD21" s="468"/>
      <c r="AE21" s="468"/>
      <c r="AF21" s="468"/>
      <c r="AG21" s="468"/>
      <c r="AH21" s="468"/>
      <c r="AI21" s="468"/>
      <c r="AJ21" s="468"/>
      <c r="AK21" s="468"/>
      <c r="AL21" s="468"/>
      <c r="AM21" s="468"/>
      <c r="AN21" s="468"/>
      <c r="AO21" s="468"/>
      <c r="AP21" s="468"/>
      <c r="AQ21" s="468"/>
      <c r="AR21" s="468"/>
      <c r="AS21" s="468"/>
      <c r="AT21" s="468"/>
      <c r="AU21" s="468"/>
      <c r="AV21" s="468"/>
      <c r="AW21" s="468"/>
      <c r="AX21" s="468"/>
      <c r="AY21" s="468"/>
      <c r="AZ21" s="468"/>
      <c r="BA21" s="468"/>
      <c r="BB21" s="468"/>
      <c r="BC21" s="468"/>
      <c r="BD21" s="468"/>
      <c r="BE21" s="468"/>
      <c r="BF21" s="468"/>
      <c r="BG21" s="468"/>
      <c r="BH21" s="468"/>
      <c r="BI21" s="468"/>
      <c r="BJ21" s="468"/>
      <c r="BK21" s="468"/>
      <c r="BL21" s="468"/>
      <c r="BM21" s="468"/>
      <c r="BN21" s="468"/>
      <c r="BO21" s="468"/>
      <c r="BP21" s="468"/>
      <c r="BQ21" s="468"/>
      <c r="BR21" s="468"/>
      <c r="BS21" s="468"/>
      <c r="BT21" s="468"/>
      <c r="BU21" s="468"/>
      <c r="BV21" s="468"/>
      <c r="BW21" s="468"/>
      <c r="BX21" s="468"/>
      <c r="BY21" s="468"/>
      <c r="BZ21" s="468"/>
      <c r="CA21" s="468"/>
      <c r="CB21" s="468"/>
      <c r="CC21" s="468"/>
      <c r="CD21" s="468"/>
      <c r="CE21" s="468"/>
      <c r="CF21" s="468"/>
      <c r="CG21" s="468"/>
      <c r="CH21" s="468"/>
      <c r="CI21" s="468"/>
      <c r="CJ21" s="468"/>
      <c r="CK21" s="468"/>
      <c r="CL21" s="468"/>
      <c r="CM21" s="468"/>
      <c r="CN21" s="468"/>
      <c r="CO21" s="468"/>
      <c r="CP21" s="468"/>
      <c r="CQ21" s="468"/>
      <c r="CR21" s="468"/>
      <c r="CS21" s="468"/>
      <c r="CT21" s="468"/>
      <c r="CU21" s="468"/>
      <c r="CV21" s="468"/>
      <c r="CW21" s="468"/>
      <c r="CX21" s="468"/>
      <c r="CY21" s="468"/>
      <c r="CZ21" s="468"/>
      <c r="DA21" s="468"/>
      <c r="DB21" s="468"/>
      <c r="DC21" s="468"/>
      <c r="DD21" s="468"/>
      <c r="DE21" s="468"/>
      <c r="DF21" s="468"/>
      <c r="DG21" s="468"/>
      <c r="DH21" s="468"/>
      <c r="DI21" s="468"/>
      <c r="DJ21" s="468"/>
      <c r="DK21" s="468"/>
      <c r="DL21" s="468"/>
      <c r="DM21" s="468"/>
      <c r="DN21" s="471"/>
      <c r="DO21" s="468"/>
      <c r="DP21" s="468"/>
      <c r="DQ21" s="468"/>
      <c r="DR21" s="468"/>
      <c r="DS21" s="468"/>
      <c r="DT21" s="468"/>
      <c r="DU21" s="468"/>
      <c r="DV21" s="468"/>
      <c r="DW21" s="468"/>
      <c r="DX21" s="468"/>
      <c r="DY21" s="468"/>
      <c r="DZ21" s="468"/>
      <c r="EA21" s="468"/>
      <c r="EB21" s="468"/>
      <c r="EC21" s="468"/>
      <c r="ED21" s="468"/>
      <c r="EE21" s="468"/>
      <c r="EF21" s="468"/>
      <c r="EG21" s="468"/>
      <c r="EH21" s="468"/>
      <c r="EI21" s="468"/>
      <c r="EJ21" s="468"/>
      <c r="EK21" s="468"/>
      <c r="EL21" s="468"/>
      <c r="EM21" s="468"/>
      <c r="EN21" s="468"/>
      <c r="EO21" s="468"/>
      <c r="EP21" s="468"/>
      <c r="EQ21" s="468"/>
      <c r="ER21" s="468"/>
      <c r="ES21" s="468"/>
      <c r="ET21" s="468"/>
      <c r="EU21" s="468"/>
      <c r="EV21" s="468"/>
      <c r="EW21" s="468"/>
      <c r="EX21" s="468"/>
      <c r="EY21" s="468"/>
      <c r="EZ21" s="468"/>
      <c r="FA21" s="468"/>
      <c r="FB21" s="468"/>
      <c r="FC21" s="468"/>
      <c r="FD21" s="468"/>
      <c r="FE21" s="468"/>
      <c r="FF21" s="468"/>
      <c r="FG21" s="468"/>
      <c r="FH21" s="468"/>
      <c r="FI21" s="468"/>
      <c r="FJ21" s="468"/>
      <c r="FK21" s="468"/>
      <c r="FL21" s="468"/>
      <c r="FM21" s="468"/>
      <c r="FN21" s="468"/>
      <c r="FO21" s="468"/>
      <c r="FP21" s="468"/>
      <c r="FQ21" s="468"/>
      <c r="FR21" s="468"/>
      <c r="FS21" s="468"/>
      <c r="FT21" s="468"/>
      <c r="FU21" s="468"/>
      <c r="FV21" s="468"/>
      <c r="FW21" s="468"/>
      <c r="FX21" s="468"/>
      <c r="FY21" s="468"/>
      <c r="FZ21" s="468"/>
      <c r="GA21" s="468"/>
      <c r="GB21" s="468"/>
      <c r="GC21" s="468"/>
      <c r="GD21" s="468"/>
      <c r="GE21" s="468"/>
      <c r="GF21" s="468"/>
      <c r="GG21" s="468"/>
      <c r="GH21" s="468"/>
      <c r="GI21" s="468"/>
      <c r="GJ21" s="468"/>
      <c r="GK21" s="468"/>
      <c r="GL21" s="468"/>
      <c r="GM21" s="468"/>
      <c r="GN21" s="468"/>
      <c r="GO21" s="468"/>
      <c r="GP21" s="468"/>
      <c r="GQ21" s="468"/>
      <c r="GR21" s="468"/>
      <c r="GS21" s="468"/>
      <c r="GT21" s="468"/>
      <c r="GU21" s="468"/>
      <c r="GV21" s="468"/>
      <c r="GW21" s="468"/>
      <c r="GX21" s="468"/>
      <c r="GY21" s="468"/>
      <c r="GZ21" s="468"/>
      <c r="HA21" s="468"/>
      <c r="HB21" s="468"/>
      <c r="HC21" s="468"/>
      <c r="HD21" s="468"/>
      <c r="HE21" s="468"/>
      <c r="HF21" s="468"/>
      <c r="HG21" s="468"/>
      <c r="HH21" s="468"/>
      <c r="HI21" s="468"/>
      <c r="HJ21" s="468"/>
      <c r="HK21" s="468"/>
      <c r="HL21" s="468"/>
      <c r="HM21" s="468"/>
      <c r="HN21" s="468"/>
      <c r="HO21" s="468"/>
      <c r="HP21" s="468"/>
      <c r="HQ21" s="468"/>
      <c r="HR21" s="468"/>
      <c r="HS21" s="468"/>
      <c r="HT21" s="468"/>
      <c r="HU21" s="468"/>
      <c r="HV21" s="468"/>
      <c r="HW21" s="468"/>
      <c r="HX21" s="468"/>
      <c r="HY21" s="468"/>
      <c r="HZ21" s="468"/>
      <c r="IA21" s="468"/>
      <c r="IB21" s="468"/>
      <c r="IC21" s="468"/>
      <c r="ID21" s="468"/>
      <c r="IE21" s="468"/>
      <c r="IF21" s="468"/>
      <c r="IG21" s="468"/>
      <c r="IH21" s="468"/>
      <c r="II21" s="468"/>
      <c r="IJ21" s="468"/>
      <c r="IK21" s="468"/>
      <c r="IL21" s="468"/>
      <c r="IM21" s="468"/>
      <c r="IN21" s="468"/>
      <c r="IO21" s="468"/>
      <c r="IP21" s="468"/>
      <c r="IQ21" s="468"/>
      <c r="IR21" s="468"/>
      <c r="IS21" s="468"/>
      <c r="IT21" s="468"/>
      <c r="IU21" s="468"/>
      <c r="IV21" s="468"/>
      <c r="IW21" s="468"/>
      <c r="IX21" s="468"/>
      <c r="IY21" s="468"/>
      <c r="IZ21" s="468"/>
      <c r="JA21" s="468"/>
      <c r="JG21" s="521"/>
    </row>
    <row r="22" spans="1:267" ht="15.6" outlineLevel="1">
      <c r="A22" s="528"/>
      <c r="B22" s="475"/>
      <c r="C22" s="472"/>
      <c r="D22" s="472"/>
      <c r="E22" s="472"/>
      <c r="F22" s="472"/>
      <c r="G22" s="528"/>
      <c r="H22" s="528"/>
      <c r="I22" s="528"/>
      <c r="J22" s="528"/>
      <c r="K22" s="528"/>
      <c r="L22" s="528"/>
      <c r="M22" s="470"/>
      <c r="N22" s="470"/>
      <c r="O22" s="470"/>
      <c r="P22" s="470"/>
      <c r="Q22" s="470"/>
      <c r="R22" s="470"/>
      <c r="S22" s="470"/>
      <c r="T22" s="470"/>
      <c r="U22" s="468"/>
      <c r="V22" s="468"/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468"/>
      <c r="AH22" s="468"/>
      <c r="AI22" s="468"/>
      <c r="AJ22" s="468"/>
      <c r="AK22" s="468"/>
      <c r="AL22" s="468"/>
      <c r="AM22" s="468"/>
      <c r="AN22" s="468"/>
      <c r="AO22" s="468"/>
      <c r="AP22" s="468"/>
      <c r="AQ22" s="468"/>
      <c r="AR22" s="468"/>
      <c r="AS22" s="468"/>
      <c r="AT22" s="468"/>
      <c r="AU22" s="468"/>
      <c r="AV22" s="468"/>
      <c r="AW22" s="468"/>
      <c r="AX22" s="468"/>
      <c r="AY22" s="468"/>
      <c r="AZ22" s="468"/>
      <c r="BA22" s="468"/>
      <c r="BB22" s="468"/>
      <c r="BC22" s="468"/>
      <c r="BD22" s="468"/>
      <c r="BE22" s="468"/>
      <c r="BF22" s="468"/>
      <c r="BG22" s="468"/>
      <c r="BH22" s="468"/>
      <c r="BI22" s="468"/>
      <c r="BJ22" s="468"/>
      <c r="BK22" s="468"/>
      <c r="BL22" s="468"/>
      <c r="BM22" s="468"/>
      <c r="BN22" s="468"/>
      <c r="BO22" s="468"/>
      <c r="BP22" s="468"/>
      <c r="BQ22" s="468"/>
      <c r="BR22" s="468"/>
      <c r="BS22" s="468"/>
      <c r="BT22" s="468"/>
      <c r="BU22" s="468"/>
      <c r="BV22" s="468"/>
      <c r="BW22" s="468"/>
      <c r="BX22" s="468"/>
      <c r="BY22" s="468"/>
      <c r="BZ22" s="468"/>
      <c r="CA22" s="468"/>
      <c r="CB22" s="468"/>
      <c r="CC22" s="468"/>
      <c r="CD22" s="468"/>
      <c r="CE22" s="468"/>
      <c r="CF22" s="468"/>
      <c r="CG22" s="468"/>
      <c r="CH22" s="468"/>
      <c r="CI22" s="468"/>
      <c r="CJ22" s="468"/>
      <c r="CK22" s="468"/>
      <c r="CL22" s="468"/>
      <c r="CM22" s="468"/>
      <c r="CN22" s="468"/>
      <c r="CO22" s="468"/>
      <c r="CP22" s="468"/>
      <c r="CQ22" s="468"/>
      <c r="CR22" s="468"/>
      <c r="CS22" s="468"/>
      <c r="CT22" s="468"/>
      <c r="CU22" s="468"/>
      <c r="CV22" s="468"/>
      <c r="CW22" s="468"/>
      <c r="CX22" s="468"/>
      <c r="CY22" s="468"/>
      <c r="CZ22" s="468"/>
      <c r="DA22" s="468"/>
      <c r="DB22" s="468"/>
      <c r="DC22" s="468"/>
      <c r="DD22" s="468"/>
      <c r="DE22" s="468"/>
      <c r="DF22" s="468"/>
      <c r="DG22" s="468"/>
      <c r="DH22" s="468"/>
      <c r="DI22" s="468"/>
      <c r="DJ22" s="468"/>
      <c r="DK22" s="468"/>
      <c r="DL22" s="468"/>
      <c r="DM22" s="468"/>
      <c r="DN22" s="471"/>
      <c r="DO22" s="468"/>
      <c r="DP22" s="468"/>
      <c r="DQ22" s="468"/>
      <c r="DR22" s="468"/>
      <c r="DS22" s="468"/>
      <c r="DT22" s="468"/>
      <c r="DU22" s="468"/>
      <c r="DV22" s="468"/>
      <c r="DW22" s="468"/>
      <c r="DX22" s="468"/>
      <c r="DY22" s="468"/>
      <c r="DZ22" s="468"/>
      <c r="EA22" s="468"/>
      <c r="EB22" s="468"/>
      <c r="EC22" s="468"/>
      <c r="ED22" s="468"/>
      <c r="EE22" s="468"/>
      <c r="EF22" s="468"/>
      <c r="EG22" s="468"/>
      <c r="EH22" s="468"/>
      <c r="EI22" s="468"/>
      <c r="EJ22" s="468"/>
      <c r="EK22" s="468"/>
      <c r="EL22" s="468"/>
      <c r="EM22" s="468"/>
      <c r="EN22" s="468"/>
      <c r="EO22" s="468"/>
      <c r="EP22" s="468"/>
      <c r="EQ22" s="468"/>
      <c r="ER22" s="468"/>
      <c r="ES22" s="468"/>
      <c r="ET22" s="468"/>
      <c r="EU22" s="468"/>
      <c r="EV22" s="468"/>
      <c r="EW22" s="468"/>
      <c r="EX22" s="468"/>
      <c r="EY22" s="468"/>
      <c r="EZ22" s="468"/>
      <c r="FA22" s="468"/>
      <c r="FB22" s="468"/>
      <c r="FC22" s="468"/>
      <c r="FD22" s="468"/>
      <c r="FE22" s="468"/>
      <c r="FF22" s="468"/>
      <c r="FG22" s="468"/>
      <c r="FH22" s="468"/>
      <c r="FI22" s="468"/>
      <c r="FJ22" s="468"/>
      <c r="FK22" s="468"/>
      <c r="FL22" s="468"/>
      <c r="FM22" s="468"/>
      <c r="FN22" s="468"/>
      <c r="FO22" s="468"/>
      <c r="FP22" s="468"/>
      <c r="FQ22" s="468"/>
      <c r="FR22" s="468"/>
      <c r="FS22" s="468"/>
      <c r="FT22" s="468"/>
      <c r="FU22" s="468"/>
      <c r="FV22" s="468"/>
      <c r="FW22" s="468"/>
      <c r="FX22" s="468"/>
      <c r="FY22" s="468"/>
      <c r="FZ22" s="468"/>
      <c r="GA22" s="468"/>
      <c r="GB22" s="468"/>
      <c r="GC22" s="468"/>
      <c r="GD22" s="468"/>
      <c r="GE22" s="468"/>
      <c r="GF22" s="468"/>
      <c r="GG22" s="468"/>
      <c r="GH22" s="468"/>
      <c r="GI22" s="468"/>
      <c r="GJ22" s="468"/>
      <c r="GK22" s="468"/>
      <c r="GL22" s="468"/>
      <c r="GM22" s="468"/>
      <c r="GN22" s="468"/>
      <c r="GO22" s="468"/>
      <c r="GP22" s="468"/>
      <c r="GQ22" s="468"/>
      <c r="GR22" s="468"/>
      <c r="GS22" s="468"/>
      <c r="GT22" s="468"/>
      <c r="GU22" s="468"/>
      <c r="GV22" s="468"/>
      <c r="GW22" s="468"/>
      <c r="GX22" s="468"/>
      <c r="GY22" s="468"/>
      <c r="GZ22" s="468"/>
      <c r="HA22" s="468"/>
      <c r="HB22" s="468"/>
      <c r="HC22" s="468"/>
      <c r="HD22" s="468"/>
      <c r="HE22" s="468"/>
      <c r="HF22" s="468"/>
      <c r="HG22" s="468"/>
      <c r="HH22" s="468"/>
      <c r="HI22" s="468"/>
      <c r="HJ22" s="468"/>
      <c r="HK22" s="468"/>
      <c r="HL22" s="468"/>
      <c r="HM22" s="468"/>
      <c r="HN22" s="468"/>
      <c r="HO22" s="468"/>
      <c r="HP22" s="468"/>
      <c r="HQ22" s="468"/>
      <c r="HR22" s="468"/>
      <c r="HS22" s="468"/>
      <c r="HT22" s="468"/>
      <c r="HU22" s="468"/>
      <c r="HV22" s="468"/>
      <c r="HW22" s="468"/>
      <c r="HX22" s="468"/>
      <c r="HY22" s="468"/>
      <c r="HZ22" s="468"/>
      <c r="IA22" s="468"/>
      <c r="IB22" s="468"/>
      <c r="IC22" s="468"/>
      <c r="ID22" s="468"/>
      <c r="IE22" s="468"/>
      <c r="IF22" s="468"/>
      <c r="IG22" s="468"/>
      <c r="IH22" s="468"/>
      <c r="II22" s="468"/>
      <c r="IJ22" s="468"/>
      <c r="IK22" s="468"/>
      <c r="IL22" s="468"/>
      <c r="IM22" s="468"/>
      <c r="IN22" s="468"/>
      <c r="IO22" s="468"/>
      <c r="IP22" s="468"/>
      <c r="IQ22" s="468"/>
      <c r="IR22" s="468"/>
      <c r="IS22" s="468"/>
      <c r="IT22" s="468"/>
      <c r="IU22" s="468"/>
      <c r="IV22" s="468"/>
      <c r="IW22" s="468"/>
      <c r="IX22" s="468"/>
      <c r="IY22" s="468"/>
      <c r="IZ22" s="468"/>
      <c r="JA22" s="468"/>
      <c r="JG22" s="521"/>
    </row>
    <row r="23" spans="1:267" ht="15.6" outlineLevel="1">
      <c r="A23" s="528"/>
      <c r="B23" s="475"/>
      <c r="C23" s="473"/>
      <c r="D23" s="473"/>
      <c r="E23" s="473"/>
      <c r="F23" s="473"/>
      <c r="G23" s="528"/>
      <c r="H23" s="528"/>
      <c r="I23" s="528"/>
      <c r="J23" s="528"/>
      <c r="K23" s="528"/>
      <c r="L23" s="528"/>
      <c r="M23" s="470"/>
      <c r="N23" s="470"/>
      <c r="O23" s="470"/>
      <c r="P23" s="470"/>
      <c r="Q23" s="470"/>
      <c r="R23" s="470"/>
      <c r="S23" s="470"/>
      <c r="T23" s="470"/>
      <c r="U23" s="468"/>
      <c r="V23" s="468"/>
      <c r="W23" s="468"/>
      <c r="X23" s="468"/>
      <c r="Y23" s="468"/>
      <c r="Z23" s="468"/>
      <c r="AA23" s="468"/>
      <c r="AB23" s="468"/>
      <c r="AC23" s="468"/>
      <c r="AD23" s="468"/>
      <c r="AE23" s="468"/>
      <c r="AF23" s="468"/>
      <c r="AG23" s="468"/>
      <c r="AH23" s="468"/>
      <c r="AI23" s="468"/>
      <c r="AJ23" s="468"/>
      <c r="AK23" s="468"/>
      <c r="AL23" s="468"/>
      <c r="AM23" s="468"/>
      <c r="AN23" s="468"/>
      <c r="AO23" s="468"/>
      <c r="AP23" s="468"/>
      <c r="AQ23" s="468"/>
      <c r="AR23" s="468"/>
      <c r="AS23" s="468"/>
      <c r="AT23" s="468"/>
      <c r="AU23" s="468"/>
      <c r="AV23" s="468"/>
      <c r="AW23" s="468"/>
      <c r="AX23" s="468"/>
      <c r="AY23" s="468"/>
      <c r="AZ23" s="468"/>
      <c r="BA23" s="468"/>
      <c r="BB23" s="468"/>
      <c r="BC23" s="468"/>
      <c r="BD23" s="468"/>
      <c r="BE23" s="468"/>
      <c r="BF23" s="468"/>
      <c r="BG23" s="468"/>
      <c r="BH23" s="468"/>
      <c r="BI23" s="468"/>
      <c r="BJ23" s="468"/>
      <c r="BK23" s="468"/>
      <c r="BL23" s="468"/>
      <c r="BM23" s="468"/>
      <c r="BN23" s="468"/>
      <c r="BO23" s="468"/>
      <c r="BP23" s="468"/>
      <c r="BQ23" s="468"/>
      <c r="BR23" s="468"/>
      <c r="BS23" s="468"/>
      <c r="BT23" s="468"/>
      <c r="BU23" s="468"/>
      <c r="BV23" s="468"/>
      <c r="BW23" s="468"/>
      <c r="BX23" s="468"/>
      <c r="BY23" s="468"/>
      <c r="BZ23" s="468"/>
      <c r="CA23" s="468"/>
      <c r="CB23" s="468"/>
      <c r="CC23" s="468"/>
      <c r="CD23" s="468"/>
      <c r="CE23" s="468"/>
      <c r="CF23" s="468"/>
      <c r="CG23" s="468"/>
      <c r="CH23" s="468"/>
      <c r="CI23" s="468"/>
      <c r="CJ23" s="468"/>
      <c r="CK23" s="468"/>
      <c r="CL23" s="468"/>
      <c r="CM23" s="468"/>
      <c r="CN23" s="468"/>
      <c r="CO23" s="468"/>
      <c r="CP23" s="468"/>
      <c r="CQ23" s="468"/>
      <c r="CR23" s="468"/>
      <c r="CS23" s="468"/>
      <c r="CT23" s="468"/>
      <c r="CU23" s="468"/>
      <c r="CV23" s="468"/>
      <c r="CW23" s="468"/>
      <c r="CX23" s="468"/>
      <c r="CY23" s="468"/>
      <c r="CZ23" s="468"/>
      <c r="DA23" s="468"/>
      <c r="DB23" s="468"/>
      <c r="DC23" s="468"/>
      <c r="DD23" s="468"/>
      <c r="DE23" s="468"/>
      <c r="DF23" s="468"/>
      <c r="DG23" s="468"/>
      <c r="DH23" s="468"/>
      <c r="DI23" s="468"/>
      <c r="DJ23" s="468"/>
      <c r="DK23" s="468"/>
      <c r="DL23" s="468"/>
      <c r="DM23" s="468"/>
      <c r="DN23" s="471"/>
      <c r="DO23" s="468"/>
      <c r="DP23" s="468"/>
      <c r="DQ23" s="468"/>
      <c r="DR23" s="468"/>
      <c r="DS23" s="468"/>
      <c r="DT23" s="468"/>
      <c r="DU23" s="468"/>
      <c r="DV23" s="468"/>
      <c r="DW23" s="468"/>
      <c r="DX23" s="468"/>
      <c r="DY23" s="468"/>
      <c r="DZ23" s="468"/>
      <c r="EA23" s="468"/>
      <c r="EB23" s="468"/>
      <c r="EC23" s="468"/>
      <c r="ED23" s="468"/>
      <c r="EE23" s="468"/>
      <c r="EF23" s="468"/>
      <c r="EG23" s="468"/>
      <c r="EH23" s="468"/>
      <c r="EI23" s="468"/>
      <c r="EJ23" s="468"/>
      <c r="EK23" s="468"/>
      <c r="EL23" s="468"/>
      <c r="EM23" s="468"/>
      <c r="EN23" s="468"/>
      <c r="EO23" s="468"/>
      <c r="EP23" s="468"/>
      <c r="EQ23" s="468"/>
      <c r="ER23" s="468"/>
      <c r="ES23" s="468"/>
      <c r="ET23" s="468"/>
      <c r="EU23" s="468"/>
      <c r="EV23" s="468"/>
      <c r="EW23" s="468"/>
      <c r="EX23" s="468"/>
      <c r="EY23" s="468"/>
      <c r="EZ23" s="468"/>
      <c r="FA23" s="468"/>
      <c r="FB23" s="468"/>
      <c r="FC23" s="468"/>
      <c r="FD23" s="468"/>
      <c r="FE23" s="468"/>
      <c r="FF23" s="468"/>
      <c r="FG23" s="468"/>
      <c r="FH23" s="468"/>
      <c r="FI23" s="468"/>
      <c r="FJ23" s="468"/>
      <c r="FK23" s="468"/>
      <c r="FL23" s="468"/>
      <c r="FM23" s="468"/>
      <c r="FN23" s="468"/>
      <c r="FO23" s="468"/>
      <c r="FP23" s="468"/>
      <c r="FQ23" s="468"/>
      <c r="FR23" s="468"/>
      <c r="FS23" s="468"/>
      <c r="FT23" s="468"/>
      <c r="FU23" s="468"/>
      <c r="FV23" s="468"/>
      <c r="FW23" s="468"/>
      <c r="FX23" s="468"/>
      <c r="FY23" s="468"/>
      <c r="FZ23" s="468"/>
      <c r="GA23" s="468"/>
      <c r="GB23" s="468"/>
      <c r="GC23" s="468"/>
      <c r="GD23" s="468"/>
      <c r="GE23" s="468"/>
      <c r="GF23" s="468"/>
      <c r="GG23" s="468"/>
      <c r="GH23" s="468"/>
      <c r="GI23" s="468"/>
      <c r="GJ23" s="468"/>
      <c r="GK23" s="468"/>
      <c r="GL23" s="468"/>
      <c r="GM23" s="468"/>
      <c r="GN23" s="468"/>
      <c r="GO23" s="468"/>
      <c r="GP23" s="468"/>
      <c r="GQ23" s="468"/>
      <c r="GR23" s="468"/>
      <c r="GS23" s="468"/>
      <c r="GT23" s="468"/>
      <c r="GU23" s="468"/>
      <c r="GV23" s="468"/>
      <c r="GW23" s="468"/>
      <c r="GX23" s="468"/>
      <c r="GY23" s="468"/>
      <c r="GZ23" s="468"/>
      <c r="HA23" s="468"/>
      <c r="HB23" s="468"/>
      <c r="HC23" s="468"/>
      <c r="HD23" s="468"/>
      <c r="HE23" s="468"/>
      <c r="HF23" s="468"/>
      <c r="HG23" s="468"/>
      <c r="HH23" s="468"/>
      <c r="HI23" s="468"/>
      <c r="HJ23" s="468"/>
      <c r="HK23" s="468"/>
      <c r="HL23" s="468"/>
      <c r="HM23" s="468"/>
      <c r="HN23" s="468"/>
      <c r="HO23" s="468"/>
      <c r="HP23" s="468"/>
      <c r="HQ23" s="468"/>
      <c r="HR23" s="468"/>
      <c r="HS23" s="468"/>
      <c r="HT23" s="468"/>
      <c r="HU23" s="468"/>
      <c r="HV23" s="468"/>
      <c r="HW23" s="468"/>
      <c r="HX23" s="468"/>
      <c r="HY23" s="468"/>
      <c r="HZ23" s="468"/>
      <c r="IA23" s="468"/>
      <c r="IB23" s="468"/>
      <c r="IC23" s="468"/>
      <c r="ID23" s="468"/>
      <c r="IE23" s="468"/>
      <c r="IF23" s="468"/>
      <c r="IG23" s="468"/>
      <c r="IH23" s="468"/>
      <c r="II23" s="468"/>
      <c r="IJ23" s="468"/>
      <c r="IK23" s="468"/>
      <c r="IL23" s="468"/>
      <c r="IM23" s="468"/>
      <c r="IN23" s="468"/>
      <c r="IO23" s="468"/>
      <c r="IP23" s="468"/>
      <c r="IQ23" s="468"/>
      <c r="IR23" s="468"/>
      <c r="IS23" s="468"/>
      <c r="IT23" s="468"/>
      <c r="IU23" s="468"/>
      <c r="IV23" s="468"/>
      <c r="IW23" s="468"/>
      <c r="IX23" s="468"/>
      <c r="IY23" s="468"/>
      <c r="IZ23" s="468"/>
      <c r="JA23" s="468"/>
      <c r="JG23" s="521"/>
    </row>
    <row r="24" spans="1:267" ht="15.6" outlineLevel="1">
      <c r="A24" s="528"/>
      <c r="B24" s="475"/>
      <c r="C24" s="472"/>
      <c r="D24" s="472"/>
      <c r="E24" s="472"/>
      <c r="F24" s="472"/>
      <c r="G24" s="528"/>
      <c r="H24" s="528"/>
      <c r="I24" s="528"/>
      <c r="J24" s="528"/>
      <c r="K24" s="528"/>
      <c r="L24" s="528"/>
      <c r="M24" s="470"/>
      <c r="N24" s="470"/>
      <c r="O24" s="470"/>
      <c r="P24" s="470"/>
      <c r="Q24" s="470"/>
      <c r="R24" s="470"/>
      <c r="S24" s="470"/>
      <c r="T24" s="470"/>
      <c r="U24" s="468"/>
      <c r="V24" s="468"/>
      <c r="W24" s="468"/>
      <c r="X24" s="468"/>
      <c r="Y24" s="468"/>
      <c r="Z24" s="468"/>
      <c r="AA24" s="468"/>
      <c r="AB24" s="468"/>
      <c r="AC24" s="468"/>
      <c r="AD24" s="468"/>
      <c r="AE24" s="468"/>
      <c r="AF24" s="468"/>
      <c r="AG24" s="468"/>
      <c r="AH24" s="468"/>
      <c r="AI24" s="468"/>
      <c r="AJ24" s="468"/>
      <c r="AK24" s="468"/>
      <c r="AL24" s="468"/>
      <c r="AM24" s="468"/>
      <c r="AN24" s="468"/>
      <c r="AO24" s="468"/>
      <c r="AP24" s="468"/>
      <c r="AQ24" s="468"/>
      <c r="AR24" s="468"/>
      <c r="AS24" s="468"/>
      <c r="AT24" s="468"/>
      <c r="AU24" s="468"/>
      <c r="AV24" s="468"/>
      <c r="AW24" s="468"/>
      <c r="AX24" s="468"/>
      <c r="AY24" s="468"/>
      <c r="AZ24" s="468"/>
      <c r="BA24" s="468"/>
      <c r="BB24" s="468"/>
      <c r="BC24" s="468"/>
      <c r="BD24" s="468"/>
      <c r="BE24" s="468"/>
      <c r="BF24" s="468"/>
      <c r="BG24" s="468"/>
      <c r="BH24" s="468"/>
      <c r="BI24" s="468"/>
      <c r="BJ24" s="468"/>
      <c r="BK24" s="468"/>
      <c r="BL24" s="468"/>
      <c r="BM24" s="468"/>
      <c r="BN24" s="468"/>
      <c r="BO24" s="468"/>
      <c r="BP24" s="468"/>
      <c r="BQ24" s="468"/>
      <c r="BR24" s="468"/>
      <c r="BS24" s="468"/>
      <c r="BT24" s="468"/>
      <c r="BU24" s="468"/>
      <c r="BV24" s="468"/>
      <c r="BW24" s="468"/>
      <c r="BX24" s="468"/>
      <c r="BY24" s="468"/>
      <c r="BZ24" s="468"/>
      <c r="CA24" s="468"/>
      <c r="CB24" s="468"/>
      <c r="CC24" s="468"/>
      <c r="CD24" s="468"/>
      <c r="CE24" s="468"/>
      <c r="CF24" s="468"/>
      <c r="CG24" s="468"/>
      <c r="CH24" s="468"/>
      <c r="CI24" s="468"/>
      <c r="CJ24" s="468"/>
      <c r="CK24" s="468"/>
      <c r="CL24" s="468"/>
      <c r="CM24" s="468"/>
      <c r="CN24" s="468"/>
      <c r="CO24" s="468"/>
      <c r="CP24" s="468"/>
      <c r="CQ24" s="468"/>
      <c r="CR24" s="468"/>
      <c r="CS24" s="468"/>
      <c r="CT24" s="468"/>
      <c r="CU24" s="468"/>
      <c r="CV24" s="468"/>
      <c r="CW24" s="468"/>
      <c r="CX24" s="468"/>
      <c r="CY24" s="468"/>
      <c r="CZ24" s="468"/>
      <c r="DA24" s="468"/>
      <c r="DB24" s="468"/>
      <c r="DC24" s="468"/>
      <c r="DD24" s="468"/>
      <c r="DE24" s="468"/>
      <c r="DF24" s="468"/>
      <c r="DG24" s="468"/>
      <c r="DH24" s="468"/>
      <c r="DI24" s="468"/>
      <c r="DJ24" s="468"/>
      <c r="DK24" s="468"/>
      <c r="DL24" s="468"/>
      <c r="DM24" s="468"/>
      <c r="DN24" s="471"/>
      <c r="DO24" s="468"/>
      <c r="DP24" s="468"/>
      <c r="DQ24" s="468"/>
      <c r="DR24" s="468"/>
      <c r="DS24" s="468"/>
      <c r="DT24" s="468"/>
      <c r="DU24" s="468"/>
      <c r="DV24" s="468"/>
      <c r="DW24" s="468"/>
      <c r="DX24" s="468"/>
      <c r="DY24" s="468"/>
      <c r="DZ24" s="468"/>
      <c r="EA24" s="468"/>
      <c r="EB24" s="468"/>
      <c r="EC24" s="468"/>
      <c r="ED24" s="468"/>
      <c r="EE24" s="468"/>
      <c r="EF24" s="468"/>
      <c r="EG24" s="468"/>
      <c r="EH24" s="468"/>
      <c r="EI24" s="468"/>
      <c r="EJ24" s="468"/>
      <c r="EK24" s="468"/>
      <c r="EL24" s="468"/>
      <c r="EM24" s="468"/>
      <c r="EN24" s="468"/>
      <c r="EO24" s="468"/>
      <c r="EP24" s="468"/>
      <c r="EQ24" s="468"/>
      <c r="ER24" s="468"/>
      <c r="ES24" s="468"/>
      <c r="ET24" s="468"/>
      <c r="EU24" s="468"/>
      <c r="EV24" s="468"/>
      <c r="EW24" s="468"/>
      <c r="EX24" s="468"/>
      <c r="EY24" s="468"/>
      <c r="EZ24" s="468"/>
      <c r="FA24" s="468"/>
      <c r="FB24" s="468"/>
      <c r="FC24" s="468"/>
      <c r="FD24" s="468"/>
      <c r="FE24" s="468"/>
      <c r="FF24" s="468"/>
      <c r="FG24" s="468"/>
      <c r="FH24" s="468"/>
      <c r="FI24" s="468"/>
      <c r="FJ24" s="468"/>
      <c r="FK24" s="468"/>
      <c r="FL24" s="468"/>
      <c r="FM24" s="468"/>
      <c r="FN24" s="468"/>
      <c r="FO24" s="468"/>
      <c r="FP24" s="468"/>
      <c r="FQ24" s="468"/>
      <c r="FR24" s="468"/>
      <c r="FS24" s="468"/>
      <c r="FT24" s="468"/>
      <c r="FU24" s="468"/>
      <c r="FV24" s="468"/>
      <c r="FW24" s="468"/>
      <c r="FX24" s="468"/>
      <c r="FY24" s="468"/>
      <c r="FZ24" s="468"/>
      <c r="GA24" s="468"/>
      <c r="GB24" s="468"/>
      <c r="GC24" s="468"/>
      <c r="GD24" s="468"/>
      <c r="GE24" s="468"/>
      <c r="GF24" s="468"/>
      <c r="GG24" s="468"/>
      <c r="GH24" s="468"/>
      <c r="GI24" s="468"/>
      <c r="GJ24" s="468"/>
      <c r="GK24" s="468"/>
      <c r="GL24" s="468"/>
      <c r="GM24" s="468"/>
      <c r="GN24" s="468"/>
      <c r="GO24" s="468"/>
      <c r="GP24" s="468"/>
      <c r="GQ24" s="468"/>
      <c r="GR24" s="468"/>
      <c r="GS24" s="468"/>
      <c r="GT24" s="468"/>
      <c r="GU24" s="468"/>
      <c r="GV24" s="468"/>
      <c r="GW24" s="468"/>
      <c r="GX24" s="468"/>
      <c r="GY24" s="468"/>
      <c r="GZ24" s="468"/>
      <c r="HA24" s="468"/>
      <c r="HB24" s="468"/>
      <c r="HC24" s="468"/>
      <c r="HD24" s="468"/>
      <c r="HE24" s="468"/>
      <c r="HF24" s="468"/>
      <c r="HG24" s="468"/>
      <c r="HH24" s="468"/>
      <c r="HI24" s="468"/>
      <c r="HJ24" s="468"/>
      <c r="HK24" s="468"/>
      <c r="HL24" s="468"/>
      <c r="HM24" s="468"/>
      <c r="HN24" s="468"/>
      <c r="HO24" s="468"/>
      <c r="HP24" s="468"/>
      <c r="HQ24" s="468"/>
      <c r="HR24" s="468"/>
      <c r="HS24" s="468"/>
      <c r="HT24" s="468"/>
      <c r="HU24" s="468"/>
      <c r="HV24" s="468"/>
      <c r="HW24" s="468"/>
      <c r="HX24" s="468"/>
      <c r="HY24" s="468"/>
      <c r="HZ24" s="468"/>
      <c r="IA24" s="468"/>
      <c r="IB24" s="468"/>
      <c r="IC24" s="468"/>
      <c r="ID24" s="468"/>
      <c r="IE24" s="468"/>
      <c r="IF24" s="468"/>
      <c r="IG24" s="468"/>
      <c r="IH24" s="468"/>
      <c r="II24" s="468"/>
      <c r="IJ24" s="468"/>
      <c r="IK24" s="468"/>
      <c r="IL24" s="468"/>
      <c r="IM24" s="468"/>
      <c r="IN24" s="468"/>
      <c r="IO24" s="468"/>
      <c r="IP24" s="468"/>
      <c r="IQ24" s="468"/>
      <c r="IR24" s="468"/>
      <c r="IS24" s="468"/>
      <c r="IT24" s="468"/>
      <c r="IU24" s="468"/>
      <c r="IV24" s="468"/>
      <c r="IW24" s="468"/>
      <c r="IX24" s="468"/>
      <c r="IY24" s="468"/>
      <c r="IZ24" s="468"/>
      <c r="JA24" s="468"/>
      <c r="JG24" s="521"/>
    </row>
    <row r="25" spans="1:267" ht="15.6" outlineLevel="1">
      <c r="A25" s="528"/>
      <c r="B25" s="475"/>
      <c r="C25" s="473"/>
      <c r="D25" s="473"/>
      <c r="E25" s="473"/>
      <c r="F25" s="473"/>
      <c r="G25" s="528"/>
      <c r="H25" s="528"/>
      <c r="I25" s="528"/>
      <c r="J25" s="528"/>
      <c r="K25" s="528"/>
      <c r="L25" s="528"/>
      <c r="M25" s="470"/>
      <c r="N25" s="470"/>
      <c r="O25" s="470"/>
      <c r="P25" s="470"/>
      <c r="Q25" s="470"/>
      <c r="R25" s="470"/>
      <c r="S25" s="470"/>
      <c r="T25" s="470"/>
      <c r="U25" s="468"/>
      <c r="V25" s="468"/>
      <c r="W25" s="468"/>
      <c r="X25" s="468"/>
      <c r="Y25" s="468"/>
      <c r="Z25" s="468"/>
      <c r="AA25" s="468"/>
      <c r="AB25" s="468"/>
      <c r="AC25" s="468"/>
      <c r="AD25" s="468"/>
      <c r="AE25" s="468"/>
      <c r="AF25" s="468"/>
      <c r="AG25" s="468"/>
      <c r="AH25" s="468"/>
      <c r="AI25" s="468"/>
      <c r="AJ25" s="468"/>
      <c r="AK25" s="468"/>
      <c r="AL25" s="468"/>
      <c r="AM25" s="468"/>
      <c r="AN25" s="468"/>
      <c r="AO25" s="468"/>
      <c r="AP25" s="468"/>
      <c r="AQ25" s="468"/>
      <c r="AR25" s="468"/>
      <c r="AS25" s="468"/>
      <c r="AT25" s="468"/>
      <c r="AU25" s="468"/>
      <c r="AV25" s="468"/>
      <c r="AW25" s="468"/>
      <c r="AX25" s="468"/>
      <c r="AY25" s="468"/>
      <c r="AZ25" s="468"/>
      <c r="BA25" s="468"/>
      <c r="BB25" s="468"/>
      <c r="BC25" s="468"/>
      <c r="BD25" s="468"/>
      <c r="BE25" s="468"/>
      <c r="BF25" s="468"/>
      <c r="BG25" s="468"/>
      <c r="BH25" s="468"/>
      <c r="BI25" s="468"/>
      <c r="BJ25" s="468"/>
      <c r="BK25" s="468"/>
      <c r="BL25" s="468"/>
      <c r="BM25" s="468"/>
      <c r="BN25" s="468"/>
      <c r="BO25" s="468"/>
      <c r="BP25" s="468"/>
      <c r="BQ25" s="468"/>
      <c r="BR25" s="468"/>
      <c r="BS25" s="468"/>
      <c r="BT25" s="468"/>
      <c r="BU25" s="468"/>
      <c r="BV25" s="468"/>
      <c r="BW25" s="468"/>
      <c r="BX25" s="468"/>
      <c r="BY25" s="468"/>
      <c r="BZ25" s="468"/>
      <c r="CA25" s="468"/>
      <c r="CB25" s="468"/>
      <c r="CC25" s="468"/>
      <c r="CD25" s="468"/>
      <c r="CE25" s="468"/>
      <c r="CF25" s="468"/>
      <c r="CG25" s="468"/>
      <c r="CH25" s="468"/>
      <c r="CI25" s="468"/>
      <c r="CJ25" s="468"/>
      <c r="CK25" s="468"/>
      <c r="CL25" s="468"/>
      <c r="CM25" s="468"/>
      <c r="CN25" s="468"/>
      <c r="CO25" s="468"/>
      <c r="CP25" s="468"/>
      <c r="CQ25" s="468"/>
      <c r="CR25" s="468"/>
      <c r="CS25" s="468"/>
      <c r="CT25" s="468"/>
      <c r="CU25" s="468"/>
      <c r="CV25" s="468"/>
      <c r="CW25" s="468"/>
      <c r="CX25" s="468"/>
      <c r="CY25" s="468"/>
      <c r="CZ25" s="468"/>
      <c r="DA25" s="468"/>
      <c r="DB25" s="468"/>
      <c r="DC25" s="468"/>
      <c r="DD25" s="468"/>
      <c r="DE25" s="468"/>
      <c r="DF25" s="468"/>
      <c r="DG25" s="468"/>
      <c r="DH25" s="468"/>
      <c r="DI25" s="468"/>
      <c r="DJ25" s="468"/>
      <c r="DK25" s="468"/>
      <c r="DL25" s="468"/>
      <c r="DM25" s="468"/>
      <c r="DN25" s="471"/>
      <c r="DO25" s="468"/>
      <c r="DP25" s="468"/>
      <c r="DQ25" s="468"/>
      <c r="DR25" s="468"/>
      <c r="DS25" s="468"/>
      <c r="DT25" s="468"/>
      <c r="DU25" s="468"/>
      <c r="DV25" s="468"/>
      <c r="DW25" s="468"/>
      <c r="DX25" s="468"/>
      <c r="DY25" s="468"/>
      <c r="DZ25" s="468"/>
      <c r="EA25" s="468"/>
      <c r="EB25" s="468"/>
      <c r="EC25" s="468"/>
      <c r="ED25" s="468"/>
      <c r="EE25" s="468"/>
      <c r="EF25" s="468"/>
      <c r="EG25" s="468"/>
      <c r="EH25" s="468"/>
      <c r="EI25" s="468"/>
      <c r="EJ25" s="468"/>
      <c r="EK25" s="468"/>
      <c r="EL25" s="468"/>
      <c r="EM25" s="468"/>
      <c r="EN25" s="468"/>
      <c r="EO25" s="468"/>
      <c r="EP25" s="468"/>
      <c r="EQ25" s="468"/>
      <c r="ER25" s="468"/>
      <c r="ES25" s="468"/>
      <c r="ET25" s="468"/>
      <c r="EU25" s="468"/>
      <c r="EV25" s="468"/>
      <c r="EW25" s="468"/>
      <c r="EX25" s="468"/>
      <c r="EY25" s="468"/>
      <c r="EZ25" s="468"/>
      <c r="FA25" s="468"/>
      <c r="FB25" s="468"/>
      <c r="FC25" s="468"/>
      <c r="FD25" s="468"/>
      <c r="FE25" s="468"/>
      <c r="FF25" s="468"/>
      <c r="FG25" s="468"/>
      <c r="FH25" s="468"/>
      <c r="FI25" s="468"/>
      <c r="FJ25" s="468"/>
      <c r="FK25" s="468"/>
      <c r="FL25" s="468"/>
      <c r="FM25" s="468"/>
      <c r="FN25" s="468"/>
      <c r="FO25" s="468"/>
      <c r="FP25" s="468"/>
      <c r="FQ25" s="468"/>
      <c r="FR25" s="468"/>
      <c r="FS25" s="468"/>
      <c r="FT25" s="468"/>
      <c r="FU25" s="468"/>
      <c r="FV25" s="468"/>
      <c r="FW25" s="468"/>
      <c r="FX25" s="468"/>
      <c r="FY25" s="468"/>
      <c r="FZ25" s="468"/>
      <c r="GA25" s="468"/>
      <c r="GB25" s="468"/>
      <c r="GC25" s="468"/>
      <c r="GD25" s="468"/>
      <c r="GE25" s="468"/>
      <c r="GF25" s="468"/>
      <c r="GG25" s="468"/>
      <c r="GH25" s="468"/>
      <c r="GI25" s="468"/>
      <c r="GJ25" s="468"/>
      <c r="GK25" s="468"/>
      <c r="GL25" s="468"/>
      <c r="GM25" s="468"/>
      <c r="GN25" s="468"/>
      <c r="GO25" s="468"/>
      <c r="GP25" s="468"/>
      <c r="GQ25" s="468"/>
      <c r="GR25" s="468"/>
      <c r="GS25" s="468"/>
      <c r="GT25" s="468"/>
      <c r="GU25" s="468"/>
      <c r="GV25" s="468"/>
      <c r="GW25" s="468"/>
      <c r="GX25" s="468"/>
      <c r="GY25" s="468"/>
      <c r="GZ25" s="468"/>
      <c r="HA25" s="468"/>
      <c r="HB25" s="468"/>
      <c r="HC25" s="468"/>
      <c r="HD25" s="468"/>
      <c r="HE25" s="468"/>
      <c r="HF25" s="468"/>
      <c r="HG25" s="468"/>
      <c r="HH25" s="468"/>
      <c r="HI25" s="468"/>
      <c r="HJ25" s="468"/>
      <c r="HK25" s="468"/>
      <c r="HL25" s="468"/>
      <c r="HM25" s="468"/>
      <c r="HN25" s="468"/>
      <c r="HO25" s="468"/>
      <c r="HP25" s="468"/>
      <c r="HQ25" s="468"/>
      <c r="HR25" s="468"/>
      <c r="HS25" s="468"/>
      <c r="HT25" s="468"/>
      <c r="HU25" s="468"/>
      <c r="HV25" s="468"/>
      <c r="HW25" s="468"/>
      <c r="HX25" s="468"/>
      <c r="HY25" s="468"/>
      <c r="HZ25" s="468"/>
      <c r="IA25" s="468"/>
      <c r="IB25" s="468"/>
      <c r="IC25" s="468"/>
      <c r="ID25" s="468"/>
      <c r="IE25" s="468"/>
      <c r="IF25" s="468"/>
      <c r="IG25" s="468"/>
      <c r="IH25" s="468"/>
      <c r="II25" s="468"/>
      <c r="IJ25" s="468"/>
      <c r="IK25" s="468"/>
      <c r="IL25" s="468"/>
      <c r="IM25" s="468"/>
      <c r="IN25" s="468"/>
      <c r="IO25" s="468"/>
      <c r="IP25" s="468"/>
      <c r="IQ25" s="468"/>
      <c r="IR25" s="468"/>
      <c r="IS25" s="468"/>
      <c r="IT25" s="468"/>
      <c r="IU25" s="468"/>
      <c r="IV25" s="468"/>
      <c r="IW25" s="468"/>
      <c r="IX25" s="468"/>
      <c r="IY25" s="468"/>
      <c r="IZ25" s="468"/>
      <c r="JA25" s="468"/>
      <c r="JG25" s="521"/>
    </row>
    <row r="26" spans="1:267" ht="15.6" outlineLevel="1">
      <c r="A26" s="528"/>
      <c r="B26" s="475"/>
      <c r="C26" s="475"/>
      <c r="D26" s="475"/>
      <c r="E26" s="475"/>
      <c r="F26" s="475"/>
      <c r="G26" s="528"/>
      <c r="H26" s="528">
        <f>B10*1.03</f>
        <v>64.89</v>
      </c>
      <c r="I26" s="528"/>
      <c r="J26" s="528"/>
      <c r="K26" s="528"/>
      <c r="L26" s="528"/>
      <c r="M26" s="470"/>
      <c r="N26" s="470"/>
      <c r="O26" s="470"/>
      <c r="P26" s="470"/>
      <c r="Q26" s="470"/>
      <c r="R26" s="470"/>
      <c r="S26" s="470"/>
      <c r="T26" s="470"/>
      <c r="U26" s="468"/>
      <c r="V26" s="468"/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468"/>
      <c r="AI26" s="468"/>
      <c r="AJ26" s="468"/>
      <c r="AK26" s="468"/>
      <c r="AL26" s="468"/>
      <c r="AM26" s="468"/>
      <c r="AN26" s="468"/>
      <c r="AO26" s="468"/>
      <c r="AP26" s="468"/>
      <c r="AQ26" s="468"/>
      <c r="AR26" s="468"/>
      <c r="AS26" s="468"/>
      <c r="AT26" s="468"/>
      <c r="AU26" s="468"/>
      <c r="AV26" s="468"/>
      <c r="AW26" s="468"/>
      <c r="AX26" s="468"/>
      <c r="AY26" s="468"/>
      <c r="AZ26" s="468"/>
      <c r="BA26" s="468"/>
      <c r="BB26" s="468"/>
      <c r="BC26" s="468"/>
      <c r="BD26" s="468"/>
      <c r="BE26" s="468"/>
      <c r="BF26" s="468"/>
      <c r="BG26" s="468"/>
      <c r="BH26" s="468"/>
      <c r="BI26" s="468"/>
      <c r="BJ26" s="468"/>
      <c r="BK26" s="468"/>
      <c r="BL26" s="468"/>
      <c r="BM26" s="468"/>
      <c r="BN26" s="468"/>
      <c r="BO26" s="468"/>
      <c r="BP26" s="468"/>
      <c r="BQ26" s="468"/>
      <c r="BR26" s="468"/>
      <c r="BS26" s="468"/>
      <c r="BT26" s="468"/>
      <c r="BU26" s="468"/>
      <c r="BV26" s="468"/>
      <c r="BW26" s="468"/>
      <c r="BX26" s="468"/>
      <c r="BY26" s="468"/>
      <c r="BZ26" s="468"/>
      <c r="CA26" s="468"/>
      <c r="CB26" s="468"/>
      <c r="CC26" s="468"/>
      <c r="CD26" s="468"/>
      <c r="CE26" s="468"/>
      <c r="CF26" s="468"/>
      <c r="CG26" s="468"/>
      <c r="CH26" s="468"/>
      <c r="CI26" s="468"/>
      <c r="CJ26" s="468"/>
      <c r="CK26" s="468"/>
      <c r="CL26" s="468"/>
      <c r="CM26" s="468"/>
      <c r="CN26" s="468"/>
      <c r="CO26" s="468"/>
      <c r="CP26" s="468"/>
      <c r="CQ26" s="468"/>
      <c r="CR26" s="468"/>
      <c r="CS26" s="468"/>
      <c r="CT26" s="468"/>
      <c r="CU26" s="468"/>
      <c r="CV26" s="468"/>
      <c r="CW26" s="468"/>
      <c r="CX26" s="468"/>
      <c r="CY26" s="468"/>
      <c r="CZ26" s="468"/>
      <c r="DA26" s="468"/>
      <c r="DB26" s="468"/>
      <c r="DC26" s="468"/>
      <c r="DD26" s="468"/>
      <c r="DE26" s="468"/>
      <c r="DF26" s="468"/>
      <c r="DG26" s="468"/>
      <c r="DH26" s="468"/>
      <c r="DI26" s="468"/>
      <c r="DJ26" s="468"/>
      <c r="DK26" s="468"/>
      <c r="DL26" s="468"/>
      <c r="DM26" s="468"/>
      <c r="DN26" s="471"/>
      <c r="DO26" s="468"/>
      <c r="DP26" s="468"/>
      <c r="DQ26" s="468"/>
      <c r="DR26" s="468"/>
      <c r="DS26" s="468"/>
      <c r="DT26" s="468"/>
      <c r="DU26" s="468"/>
      <c r="DV26" s="468"/>
      <c r="DW26" s="468"/>
      <c r="DX26" s="468"/>
      <c r="DY26" s="468"/>
      <c r="DZ26" s="468"/>
      <c r="EA26" s="468"/>
      <c r="EB26" s="468"/>
      <c r="EC26" s="468"/>
      <c r="ED26" s="468"/>
      <c r="EE26" s="468"/>
      <c r="EF26" s="468"/>
      <c r="EG26" s="468"/>
      <c r="EH26" s="468"/>
      <c r="EI26" s="468"/>
      <c r="EJ26" s="468"/>
      <c r="EK26" s="468"/>
      <c r="EL26" s="468"/>
      <c r="EM26" s="468"/>
      <c r="EN26" s="468"/>
      <c r="EO26" s="468"/>
      <c r="EP26" s="468"/>
      <c r="EQ26" s="468"/>
      <c r="ER26" s="468"/>
      <c r="ES26" s="468"/>
      <c r="ET26" s="468"/>
      <c r="EU26" s="468"/>
      <c r="EV26" s="468"/>
      <c r="EW26" s="468"/>
      <c r="EX26" s="468"/>
      <c r="EY26" s="468"/>
      <c r="EZ26" s="468"/>
      <c r="FA26" s="468"/>
      <c r="FB26" s="468"/>
      <c r="FC26" s="468"/>
      <c r="FD26" s="468"/>
      <c r="FE26" s="468"/>
      <c r="FF26" s="468"/>
      <c r="FG26" s="468"/>
      <c r="FH26" s="468"/>
      <c r="FI26" s="468"/>
      <c r="FJ26" s="468"/>
      <c r="FK26" s="468"/>
      <c r="FL26" s="468"/>
      <c r="FM26" s="468"/>
      <c r="FN26" s="468"/>
      <c r="FO26" s="468"/>
      <c r="FP26" s="468"/>
      <c r="FQ26" s="468"/>
      <c r="FR26" s="468"/>
      <c r="FS26" s="468"/>
      <c r="FT26" s="468"/>
      <c r="FU26" s="468"/>
      <c r="FV26" s="468"/>
      <c r="FW26" s="468"/>
      <c r="FX26" s="468"/>
      <c r="FY26" s="468"/>
      <c r="FZ26" s="468"/>
      <c r="GA26" s="468"/>
      <c r="GB26" s="468"/>
      <c r="GC26" s="468"/>
      <c r="GD26" s="468"/>
      <c r="GE26" s="468"/>
      <c r="GF26" s="468"/>
      <c r="GG26" s="468"/>
      <c r="GH26" s="468"/>
      <c r="GI26" s="468"/>
      <c r="GJ26" s="468"/>
      <c r="GK26" s="468"/>
      <c r="GL26" s="468"/>
      <c r="GM26" s="468"/>
      <c r="GN26" s="468"/>
      <c r="GO26" s="468"/>
      <c r="GP26" s="468"/>
      <c r="GQ26" s="468"/>
      <c r="GR26" s="468"/>
      <c r="GS26" s="468"/>
      <c r="GT26" s="468"/>
      <c r="GU26" s="468"/>
      <c r="GV26" s="468"/>
      <c r="GW26" s="468"/>
      <c r="GX26" s="468"/>
      <c r="GY26" s="468"/>
      <c r="GZ26" s="468"/>
      <c r="HA26" s="468"/>
      <c r="HB26" s="468"/>
      <c r="HC26" s="468"/>
      <c r="HD26" s="468"/>
      <c r="HE26" s="468"/>
      <c r="HF26" s="468"/>
      <c r="HG26" s="468"/>
      <c r="HH26" s="468"/>
      <c r="HI26" s="468"/>
      <c r="HJ26" s="468"/>
      <c r="HK26" s="468"/>
      <c r="HL26" s="468"/>
      <c r="HM26" s="468"/>
      <c r="HN26" s="468"/>
      <c r="HO26" s="468"/>
      <c r="HP26" s="468"/>
      <c r="HQ26" s="468"/>
      <c r="HR26" s="468"/>
      <c r="HS26" s="468"/>
      <c r="HT26" s="468"/>
      <c r="HU26" s="468"/>
      <c r="HV26" s="468"/>
      <c r="HW26" s="468"/>
      <c r="HX26" s="468"/>
      <c r="HY26" s="468"/>
      <c r="HZ26" s="468"/>
      <c r="IA26" s="468"/>
      <c r="IB26" s="468"/>
      <c r="IC26" s="468"/>
      <c r="ID26" s="468"/>
      <c r="IE26" s="468"/>
      <c r="IF26" s="468"/>
      <c r="IG26" s="468"/>
      <c r="IH26" s="468"/>
      <c r="II26" s="468"/>
      <c r="IJ26" s="468"/>
      <c r="IK26" s="468"/>
      <c r="IL26" s="468"/>
      <c r="IM26" s="468"/>
      <c r="IN26" s="468"/>
      <c r="IO26" s="468"/>
      <c r="IP26" s="468"/>
      <c r="IQ26" s="468"/>
      <c r="IR26" s="468"/>
      <c r="IS26" s="468"/>
      <c r="IT26" s="468"/>
      <c r="IU26" s="468"/>
      <c r="IV26" s="468"/>
      <c r="IW26" s="468"/>
      <c r="IX26" s="468"/>
      <c r="IY26" s="468"/>
      <c r="IZ26" s="468"/>
      <c r="JA26" s="468"/>
      <c r="JG26" s="521"/>
    </row>
    <row r="27" spans="1:267" ht="15.6" outlineLevel="1">
      <c r="A27" s="528"/>
      <c r="B27" s="475"/>
      <c r="C27" s="473"/>
      <c r="D27" s="473"/>
      <c r="E27" s="473"/>
      <c r="F27" s="473"/>
      <c r="G27" s="470"/>
      <c r="H27" s="470"/>
      <c r="I27" s="470"/>
      <c r="J27" s="470"/>
      <c r="K27" s="470"/>
      <c r="L27" s="470"/>
      <c r="M27" s="470"/>
      <c r="N27" s="470"/>
      <c r="O27" s="470"/>
      <c r="P27" s="470"/>
      <c r="Q27" s="470"/>
      <c r="R27" s="470"/>
      <c r="S27" s="470"/>
      <c r="T27" s="470"/>
      <c r="U27" s="470"/>
      <c r="V27" s="470"/>
      <c r="W27" s="470"/>
      <c r="X27" s="470"/>
      <c r="Y27" s="470"/>
      <c r="Z27" s="470"/>
      <c r="AA27" s="470"/>
      <c r="AB27" s="470"/>
      <c r="AC27" s="470"/>
      <c r="AD27" s="470"/>
      <c r="AE27" s="470"/>
      <c r="AF27" s="470"/>
      <c r="AG27" s="470"/>
      <c r="AH27" s="470"/>
      <c r="AI27" s="470"/>
      <c r="AJ27" s="470"/>
      <c r="AK27" s="470"/>
      <c r="AL27" s="470"/>
      <c r="AM27" s="470"/>
      <c r="AN27" s="470"/>
      <c r="AO27" s="470"/>
      <c r="AP27" s="470"/>
      <c r="AQ27" s="470"/>
      <c r="AR27" s="470"/>
      <c r="AS27" s="470"/>
      <c r="AT27" s="470"/>
      <c r="AU27" s="470"/>
      <c r="AV27" s="470"/>
      <c r="AW27" s="470"/>
      <c r="AX27" s="470"/>
      <c r="AY27" s="470"/>
      <c r="AZ27" s="470"/>
      <c r="BA27" s="470"/>
      <c r="BB27" s="470"/>
      <c r="BC27" s="470"/>
      <c r="BD27" s="470"/>
      <c r="BE27" s="470"/>
      <c r="BF27" s="470"/>
      <c r="BG27" s="470"/>
      <c r="BH27" s="470"/>
      <c r="BI27" s="470"/>
      <c r="BJ27" s="470"/>
      <c r="BK27" s="470"/>
      <c r="BL27" s="470"/>
      <c r="BM27" s="470"/>
      <c r="BN27" s="470"/>
      <c r="BO27" s="470"/>
      <c r="BP27" s="470"/>
      <c r="BQ27" s="470"/>
      <c r="BR27" s="470"/>
      <c r="BS27" s="470"/>
      <c r="BT27" s="470"/>
      <c r="BU27" s="470"/>
      <c r="BV27" s="470"/>
      <c r="BW27" s="470"/>
      <c r="BX27" s="470"/>
      <c r="BY27" s="470"/>
      <c r="BZ27" s="470"/>
      <c r="CA27" s="470"/>
      <c r="CB27" s="470"/>
      <c r="CC27" s="470"/>
      <c r="CD27" s="470"/>
      <c r="CE27" s="470"/>
      <c r="CF27" s="470"/>
      <c r="CG27" s="470"/>
      <c r="CH27" s="470"/>
      <c r="CI27" s="470"/>
      <c r="CJ27" s="470"/>
      <c r="CK27" s="470"/>
      <c r="CL27" s="470"/>
      <c r="CM27" s="470"/>
      <c r="CN27" s="470"/>
      <c r="CO27" s="470"/>
      <c r="CP27" s="470"/>
      <c r="CQ27" s="470"/>
      <c r="CR27" s="470"/>
      <c r="CS27" s="470"/>
      <c r="CT27" s="470"/>
      <c r="CU27" s="470"/>
      <c r="CV27" s="470"/>
      <c r="CW27" s="470"/>
      <c r="CX27" s="470"/>
      <c r="CY27" s="470"/>
      <c r="CZ27" s="470"/>
      <c r="DA27" s="470"/>
      <c r="DB27" s="470"/>
      <c r="DC27" s="470"/>
      <c r="DD27" s="470"/>
      <c r="DE27" s="470"/>
      <c r="DF27" s="470"/>
      <c r="DG27" s="470"/>
      <c r="DH27" s="470"/>
      <c r="DI27" s="470"/>
      <c r="DJ27" s="470"/>
      <c r="DK27" s="470"/>
      <c r="DL27" s="470"/>
      <c r="DM27" s="470"/>
      <c r="DN27" s="476"/>
      <c r="DO27" s="470"/>
      <c r="DP27" s="470"/>
      <c r="DQ27" s="470"/>
      <c r="DR27" s="470"/>
      <c r="DS27" s="470"/>
      <c r="DT27" s="470"/>
      <c r="DU27" s="470"/>
      <c r="DV27" s="470"/>
      <c r="DW27" s="470"/>
      <c r="DX27" s="470"/>
      <c r="DY27" s="470"/>
      <c r="DZ27" s="470"/>
      <c r="EA27" s="470"/>
      <c r="EB27" s="470"/>
      <c r="EC27" s="470"/>
      <c r="ED27" s="470"/>
      <c r="EE27" s="470"/>
      <c r="EF27" s="470"/>
      <c r="EG27" s="470"/>
      <c r="EH27" s="470"/>
      <c r="EI27" s="470"/>
      <c r="EJ27" s="470"/>
      <c r="EK27" s="470"/>
      <c r="EL27" s="470"/>
      <c r="EM27" s="470"/>
      <c r="EN27" s="470"/>
      <c r="EO27" s="470"/>
      <c r="EP27" s="470"/>
      <c r="EQ27" s="470"/>
      <c r="ER27" s="470"/>
      <c r="ES27" s="470"/>
      <c r="ET27" s="470"/>
      <c r="EU27" s="470"/>
      <c r="EV27" s="470"/>
      <c r="EW27" s="470"/>
      <c r="EX27" s="470"/>
      <c r="EY27" s="470"/>
      <c r="EZ27" s="470"/>
      <c r="FA27" s="470"/>
      <c r="FB27" s="470"/>
      <c r="FC27" s="470"/>
      <c r="FD27" s="470"/>
      <c r="FE27" s="470"/>
      <c r="FF27" s="470"/>
      <c r="FG27" s="470"/>
      <c r="FH27" s="470"/>
      <c r="FI27" s="470"/>
      <c r="FJ27" s="470"/>
      <c r="FK27" s="470"/>
      <c r="FL27" s="470"/>
      <c r="FM27" s="470"/>
      <c r="FN27" s="470"/>
      <c r="FO27" s="470"/>
      <c r="FP27" s="470"/>
      <c r="FQ27" s="470"/>
      <c r="FR27" s="470"/>
      <c r="FS27" s="470"/>
      <c r="FT27" s="470"/>
      <c r="FU27" s="470"/>
      <c r="FV27" s="470"/>
      <c r="FW27" s="470"/>
      <c r="FX27" s="470"/>
      <c r="FY27" s="470"/>
      <c r="FZ27" s="470"/>
      <c r="GA27" s="470"/>
      <c r="GB27" s="470"/>
      <c r="GC27" s="470"/>
      <c r="GD27" s="470"/>
      <c r="GE27" s="470"/>
      <c r="GF27" s="470"/>
      <c r="GG27" s="470"/>
      <c r="GH27" s="470"/>
      <c r="GI27" s="470"/>
      <c r="GJ27" s="470"/>
      <c r="GK27" s="470"/>
      <c r="GL27" s="470"/>
      <c r="GM27" s="470"/>
      <c r="GN27" s="470"/>
      <c r="GO27" s="470"/>
      <c r="GP27" s="470"/>
      <c r="GQ27" s="470"/>
      <c r="GR27" s="470"/>
      <c r="GS27" s="470"/>
      <c r="GT27" s="470"/>
      <c r="GU27" s="470"/>
      <c r="GV27" s="470"/>
      <c r="GW27" s="470"/>
      <c r="GX27" s="470"/>
      <c r="GY27" s="470"/>
      <c r="GZ27" s="470"/>
      <c r="HA27" s="470"/>
      <c r="HB27" s="470"/>
      <c r="HC27" s="470"/>
      <c r="HD27" s="470"/>
      <c r="HE27" s="470"/>
      <c r="HF27" s="470"/>
      <c r="HG27" s="470"/>
      <c r="HH27" s="470"/>
      <c r="HI27" s="470"/>
      <c r="HJ27" s="470"/>
      <c r="HK27" s="470"/>
      <c r="HL27" s="470"/>
      <c r="HM27" s="470"/>
      <c r="HN27" s="470"/>
      <c r="HO27" s="470"/>
      <c r="HP27" s="470"/>
      <c r="HQ27" s="470"/>
      <c r="HR27" s="470"/>
      <c r="HS27" s="470"/>
      <c r="HT27" s="470"/>
      <c r="HU27" s="470"/>
      <c r="HV27" s="470"/>
      <c r="HW27" s="470"/>
      <c r="HX27" s="470"/>
      <c r="HY27" s="470"/>
      <c r="HZ27" s="470"/>
      <c r="IA27" s="470"/>
      <c r="IB27" s="470"/>
      <c r="IC27" s="470"/>
      <c r="ID27" s="470"/>
      <c r="IE27" s="470"/>
      <c r="IF27" s="470"/>
      <c r="IG27" s="470"/>
      <c r="IH27" s="470"/>
      <c r="II27" s="470"/>
      <c r="IJ27" s="470"/>
      <c r="IK27" s="470"/>
      <c r="IL27" s="470"/>
      <c r="IM27" s="470"/>
      <c r="IN27" s="470"/>
      <c r="IO27" s="470"/>
      <c r="IP27" s="470"/>
      <c r="IQ27" s="470"/>
      <c r="IR27" s="470"/>
      <c r="IS27" s="470"/>
      <c r="IT27" s="470"/>
      <c r="IU27" s="470"/>
      <c r="IV27" s="470"/>
      <c r="IW27" s="470"/>
      <c r="IX27" s="470"/>
      <c r="IY27" s="470"/>
      <c r="IZ27" s="470"/>
      <c r="JA27" s="470"/>
      <c r="JB27" s="530"/>
      <c r="JC27" s="530"/>
      <c r="JG27" s="521"/>
    </row>
    <row r="28" spans="1:267" ht="15.6" outlineLevel="1">
      <c r="A28" s="528"/>
      <c r="B28" s="475"/>
      <c r="C28" s="473"/>
      <c r="D28" s="473"/>
      <c r="E28" s="473"/>
      <c r="F28" s="473"/>
      <c r="G28" s="470"/>
      <c r="H28" s="470"/>
      <c r="I28" s="470"/>
      <c r="J28" s="470"/>
      <c r="K28" s="470"/>
      <c r="L28" s="470"/>
      <c r="M28" s="470"/>
      <c r="N28" s="470"/>
      <c r="O28" s="470"/>
      <c r="P28" s="470"/>
      <c r="Q28" s="470"/>
      <c r="R28" s="470"/>
      <c r="S28" s="470"/>
      <c r="T28" s="470"/>
      <c r="U28" s="470"/>
      <c r="V28" s="470"/>
      <c r="W28" s="470"/>
      <c r="X28" s="470"/>
      <c r="Y28" s="470"/>
      <c r="Z28" s="470"/>
      <c r="AA28" s="470"/>
      <c r="AB28" s="470"/>
      <c r="AC28" s="470"/>
      <c r="AD28" s="470"/>
      <c r="AE28" s="470"/>
      <c r="AF28" s="470"/>
      <c r="AG28" s="470"/>
      <c r="AH28" s="470"/>
      <c r="AI28" s="470"/>
      <c r="AJ28" s="470"/>
      <c r="AK28" s="470"/>
      <c r="AL28" s="470"/>
      <c r="AM28" s="470"/>
      <c r="AN28" s="470"/>
      <c r="AO28" s="470"/>
      <c r="AP28" s="470"/>
      <c r="AQ28" s="470"/>
      <c r="AR28" s="470"/>
      <c r="AS28" s="470"/>
      <c r="AT28" s="470"/>
      <c r="AU28" s="470"/>
      <c r="AV28" s="470"/>
      <c r="AW28" s="470"/>
      <c r="AX28" s="470"/>
      <c r="AY28" s="470"/>
      <c r="AZ28" s="470"/>
      <c r="BA28" s="470"/>
      <c r="BB28" s="470"/>
      <c r="BC28" s="470"/>
      <c r="BD28" s="470"/>
      <c r="BE28" s="470"/>
      <c r="BF28" s="470"/>
      <c r="BG28" s="470"/>
      <c r="BH28" s="470"/>
      <c r="BI28" s="470"/>
      <c r="BJ28" s="470"/>
      <c r="BK28" s="470"/>
      <c r="BL28" s="470"/>
      <c r="BM28" s="470"/>
      <c r="BN28" s="470"/>
      <c r="BO28" s="470"/>
      <c r="BP28" s="470"/>
      <c r="BQ28" s="470"/>
      <c r="BR28" s="470"/>
      <c r="BS28" s="470"/>
      <c r="BT28" s="470"/>
      <c r="BU28" s="470"/>
      <c r="BV28" s="470"/>
      <c r="BW28" s="470"/>
      <c r="BX28" s="470"/>
      <c r="BY28" s="470"/>
      <c r="BZ28" s="470"/>
      <c r="CA28" s="470"/>
      <c r="CB28" s="470"/>
      <c r="CC28" s="470"/>
      <c r="CD28" s="470"/>
      <c r="CE28" s="470"/>
      <c r="CF28" s="470"/>
      <c r="CG28" s="470"/>
      <c r="CH28" s="470"/>
      <c r="CI28" s="470"/>
      <c r="CJ28" s="470"/>
      <c r="CK28" s="470"/>
      <c r="CL28" s="470"/>
      <c r="CM28" s="470"/>
      <c r="CN28" s="470"/>
      <c r="CO28" s="470"/>
      <c r="CP28" s="470"/>
      <c r="CQ28" s="470"/>
      <c r="CR28" s="470"/>
      <c r="CS28" s="470"/>
      <c r="CT28" s="470"/>
      <c r="CU28" s="470"/>
      <c r="CV28" s="470"/>
      <c r="CW28" s="470"/>
      <c r="CX28" s="470"/>
      <c r="CY28" s="470"/>
      <c r="CZ28" s="470"/>
      <c r="DA28" s="470"/>
      <c r="DB28" s="470"/>
      <c r="DC28" s="470"/>
      <c r="DD28" s="470"/>
      <c r="DE28" s="470"/>
      <c r="DF28" s="470"/>
      <c r="DG28" s="470"/>
      <c r="DH28" s="470"/>
      <c r="DI28" s="470"/>
      <c r="DJ28" s="470"/>
      <c r="DK28" s="470"/>
      <c r="DL28" s="470"/>
      <c r="DM28" s="470"/>
      <c r="DN28" s="476"/>
      <c r="DO28" s="470"/>
      <c r="DP28" s="470"/>
      <c r="DQ28" s="470"/>
      <c r="DR28" s="470"/>
      <c r="DS28" s="470"/>
      <c r="DT28" s="470"/>
      <c r="DU28" s="470"/>
      <c r="DV28" s="470"/>
      <c r="DW28" s="470"/>
      <c r="DX28" s="470"/>
      <c r="DY28" s="470"/>
      <c r="DZ28" s="470"/>
      <c r="EA28" s="470"/>
      <c r="EB28" s="470"/>
      <c r="EC28" s="470"/>
      <c r="ED28" s="470"/>
      <c r="EE28" s="470"/>
      <c r="EF28" s="470"/>
      <c r="EG28" s="470"/>
      <c r="EH28" s="470"/>
      <c r="EI28" s="470"/>
      <c r="EJ28" s="470"/>
      <c r="EK28" s="470"/>
      <c r="EL28" s="470"/>
      <c r="EM28" s="470"/>
      <c r="EN28" s="470"/>
      <c r="EO28" s="470"/>
      <c r="EP28" s="470"/>
      <c r="EQ28" s="470"/>
      <c r="ER28" s="470"/>
      <c r="ES28" s="470"/>
      <c r="ET28" s="470"/>
      <c r="EU28" s="470"/>
      <c r="EV28" s="470"/>
      <c r="EW28" s="470"/>
      <c r="EX28" s="470"/>
      <c r="EY28" s="470"/>
      <c r="EZ28" s="470"/>
      <c r="FA28" s="470"/>
      <c r="FB28" s="470"/>
      <c r="FC28" s="470"/>
      <c r="FD28" s="470"/>
      <c r="FE28" s="470"/>
      <c r="FF28" s="470"/>
      <c r="FG28" s="470"/>
      <c r="FH28" s="470"/>
      <c r="FI28" s="470"/>
      <c r="FJ28" s="470"/>
      <c r="FK28" s="470"/>
      <c r="FL28" s="470"/>
      <c r="FM28" s="470"/>
      <c r="FN28" s="470"/>
      <c r="FO28" s="470"/>
      <c r="FP28" s="470"/>
      <c r="FQ28" s="470"/>
      <c r="FR28" s="470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  <c r="GE28" s="470"/>
      <c r="GF28" s="470"/>
      <c r="GG28" s="470"/>
      <c r="GH28" s="470"/>
      <c r="GI28" s="470"/>
      <c r="GJ28" s="470"/>
      <c r="GK28" s="470"/>
      <c r="GL28" s="470"/>
      <c r="GM28" s="470"/>
      <c r="GN28" s="470"/>
      <c r="GO28" s="470"/>
      <c r="GP28" s="470"/>
      <c r="GQ28" s="470"/>
      <c r="GR28" s="470"/>
      <c r="GS28" s="470"/>
      <c r="GT28" s="470"/>
      <c r="GU28" s="470"/>
      <c r="GV28" s="470"/>
      <c r="GW28" s="470"/>
      <c r="GX28" s="470"/>
      <c r="GY28" s="470"/>
      <c r="GZ28" s="470"/>
      <c r="HA28" s="470"/>
      <c r="HB28" s="470"/>
      <c r="HC28" s="470"/>
      <c r="HD28" s="470"/>
      <c r="HE28" s="470"/>
      <c r="HF28" s="470"/>
      <c r="HG28" s="470"/>
      <c r="HH28" s="470"/>
      <c r="HI28" s="470"/>
      <c r="HJ28" s="470"/>
      <c r="HK28" s="470"/>
      <c r="HL28" s="470"/>
      <c r="HM28" s="470"/>
      <c r="HN28" s="470"/>
      <c r="HO28" s="470"/>
      <c r="HP28" s="470"/>
      <c r="HQ28" s="470"/>
      <c r="HR28" s="470"/>
      <c r="HS28" s="470"/>
      <c r="HT28" s="470"/>
      <c r="HU28" s="470"/>
      <c r="HV28" s="470"/>
      <c r="HW28" s="470"/>
      <c r="HX28" s="470"/>
      <c r="HY28" s="470"/>
      <c r="HZ28" s="470"/>
      <c r="IA28" s="470"/>
      <c r="IB28" s="470"/>
      <c r="IC28" s="470"/>
      <c r="ID28" s="470"/>
      <c r="IE28" s="470"/>
      <c r="IF28" s="470"/>
      <c r="IG28" s="470"/>
      <c r="IH28" s="470"/>
      <c r="II28" s="470"/>
      <c r="IJ28" s="470"/>
      <c r="IK28" s="470"/>
      <c r="IL28" s="470"/>
      <c r="IM28" s="470"/>
      <c r="IN28" s="470"/>
      <c r="IO28" s="470"/>
      <c r="IP28" s="470"/>
      <c r="IQ28" s="470"/>
      <c r="IR28" s="470"/>
      <c r="IS28" s="470"/>
      <c r="IT28" s="470"/>
      <c r="IU28" s="470"/>
      <c r="IV28" s="470"/>
      <c r="IW28" s="470"/>
      <c r="IX28" s="470"/>
      <c r="IY28" s="470"/>
      <c r="IZ28" s="470"/>
      <c r="JA28" s="470"/>
      <c r="JB28" s="530"/>
      <c r="JC28" s="530"/>
      <c r="JG28" s="521"/>
    </row>
    <row r="29" spans="1:267" ht="15.6" outlineLevel="1">
      <c r="A29" s="528"/>
      <c r="B29" s="475"/>
      <c r="C29" s="473"/>
      <c r="D29" s="473"/>
      <c r="E29" s="473"/>
      <c r="F29" s="473"/>
      <c r="G29" s="477"/>
      <c r="H29" s="470"/>
      <c r="I29" s="470"/>
      <c r="J29" s="470"/>
      <c r="K29" s="470"/>
      <c r="L29" s="470"/>
      <c r="M29" s="470"/>
      <c r="N29" s="470"/>
      <c r="O29" s="470"/>
      <c r="P29" s="470"/>
      <c r="Q29" s="470"/>
      <c r="R29" s="470"/>
      <c r="S29" s="470"/>
      <c r="T29" s="470"/>
      <c r="U29" s="470"/>
      <c r="V29" s="470"/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70"/>
      <c r="AM29" s="470"/>
      <c r="AN29" s="470"/>
      <c r="AO29" s="470"/>
      <c r="AP29" s="470"/>
      <c r="AQ29" s="470"/>
      <c r="AR29" s="470"/>
      <c r="AS29" s="470"/>
      <c r="AT29" s="470"/>
      <c r="AU29" s="470"/>
      <c r="AV29" s="470"/>
      <c r="AW29" s="470"/>
      <c r="AX29" s="470"/>
      <c r="AY29" s="470"/>
      <c r="AZ29" s="470"/>
      <c r="BA29" s="470"/>
      <c r="BB29" s="470"/>
      <c r="BC29" s="470"/>
      <c r="BD29" s="470"/>
      <c r="BE29" s="470"/>
      <c r="BF29" s="470"/>
      <c r="BG29" s="470"/>
      <c r="BH29" s="470"/>
      <c r="BI29" s="470"/>
      <c r="BJ29" s="470"/>
      <c r="BK29" s="470"/>
      <c r="BL29" s="470"/>
      <c r="BM29" s="470"/>
      <c r="BN29" s="470"/>
      <c r="BO29" s="470"/>
      <c r="BP29" s="470"/>
      <c r="BQ29" s="470"/>
      <c r="BR29" s="470"/>
      <c r="BS29" s="470"/>
      <c r="BT29" s="470"/>
      <c r="BU29" s="470"/>
      <c r="BV29" s="470"/>
      <c r="BW29" s="470"/>
      <c r="BX29" s="470"/>
      <c r="BY29" s="470"/>
      <c r="BZ29" s="470"/>
      <c r="CA29" s="470"/>
      <c r="CB29" s="470"/>
      <c r="CC29" s="470"/>
      <c r="CD29" s="470"/>
      <c r="CE29" s="470"/>
      <c r="CF29" s="470"/>
      <c r="CG29" s="470"/>
      <c r="CH29" s="470"/>
      <c r="CI29" s="470"/>
      <c r="CJ29" s="470"/>
      <c r="CK29" s="470"/>
      <c r="CL29" s="470"/>
      <c r="CM29" s="470"/>
      <c r="CN29" s="470"/>
      <c r="CO29" s="470"/>
      <c r="CP29" s="470"/>
      <c r="CQ29" s="470"/>
      <c r="CR29" s="470"/>
      <c r="CS29" s="470"/>
      <c r="CT29" s="470"/>
      <c r="CU29" s="470"/>
      <c r="CV29" s="470"/>
      <c r="CW29" s="470"/>
      <c r="CX29" s="470"/>
      <c r="CY29" s="470"/>
      <c r="CZ29" s="470"/>
      <c r="DA29" s="470"/>
      <c r="DB29" s="470"/>
      <c r="DC29" s="470"/>
      <c r="DD29" s="470"/>
      <c r="DE29" s="470"/>
      <c r="DF29" s="470"/>
      <c r="DG29" s="470"/>
      <c r="DH29" s="470"/>
      <c r="DI29" s="470"/>
      <c r="DJ29" s="470"/>
      <c r="DK29" s="470"/>
      <c r="DL29" s="470"/>
      <c r="DM29" s="470"/>
      <c r="DN29" s="476"/>
      <c r="DO29" s="470"/>
      <c r="DP29" s="470"/>
      <c r="DQ29" s="470"/>
      <c r="DR29" s="470"/>
      <c r="DS29" s="470"/>
      <c r="DT29" s="470"/>
      <c r="DU29" s="470"/>
      <c r="DV29" s="470"/>
      <c r="DW29" s="470"/>
      <c r="DX29" s="470"/>
      <c r="DY29" s="470"/>
      <c r="DZ29" s="470"/>
      <c r="EA29" s="470"/>
      <c r="EB29" s="470"/>
      <c r="EC29" s="470"/>
      <c r="ED29" s="470"/>
      <c r="EE29" s="470"/>
      <c r="EF29" s="470"/>
      <c r="EG29" s="470"/>
      <c r="EH29" s="470"/>
      <c r="EI29" s="470"/>
      <c r="EJ29" s="470"/>
      <c r="EK29" s="470"/>
      <c r="EL29" s="470"/>
      <c r="EM29" s="470"/>
      <c r="EN29" s="470"/>
      <c r="EO29" s="470"/>
      <c r="EP29" s="470"/>
      <c r="EQ29" s="470"/>
      <c r="ER29" s="470"/>
      <c r="ES29" s="470"/>
      <c r="ET29" s="470"/>
      <c r="EU29" s="470"/>
      <c r="EV29" s="470"/>
      <c r="EW29" s="470"/>
      <c r="EX29" s="470"/>
      <c r="EY29" s="470"/>
      <c r="EZ29" s="470"/>
      <c r="FA29" s="470"/>
      <c r="FB29" s="470"/>
      <c r="FC29" s="470"/>
      <c r="FD29" s="470"/>
      <c r="FE29" s="470"/>
      <c r="FF29" s="470"/>
      <c r="FG29" s="470"/>
      <c r="FH29" s="470"/>
      <c r="FI29" s="470"/>
      <c r="FJ29" s="470"/>
      <c r="FK29" s="470"/>
      <c r="FL29" s="470"/>
      <c r="FM29" s="470"/>
      <c r="FN29" s="470"/>
      <c r="FO29" s="470"/>
      <c r="FP29" s="470"/>
      <c r="FQ29" s="470"/>
      <c r="FR29" s="470"/>
      <c r="FS29" s="470"/>
      <c r="FT29" s="470"/>
      <c r="FU29" s="470"/>
      <c r="FV29" s="470"/>
      <c r="FW29" s="470"/>
      <c r="FX29" s="470"/>
      <c r="FY29" s="470"/>
      <c r="FZ29" s="470"/>
      <c r="GA29" s="470"/>
      <c r="GB29" s="470"/>
      <c r="GC29" s="470"/>
      <c r="GD29" s="470"/>
      <c r="GE29" s="470"/>
      <c r="GF29" s="470"/>
      <c r="GG29" s="470"/>
      <c r="GH29" s="470"/>
      <c r="GI29" s="470"/>
      <c r="GJ29" s="470"/>
      <c r="GK29" s="470"/>
      <c r="GL29" s="470"/>
      <c r="GM29" s="470"/>
      <c r="GN29" s="470"/>
      <c r="GO29" s="470"/>
      <c r="GP29" s="470"/>
      <c r="GQ29" s="470"/>
      <c r="GR29" s="470"/>
      <c r="GS29" s="470"/>
      <c r="GT29" s="470"/>
      <c r="GU29" s="470"/>
      <c r="GV29" s="470"/>
      <c r="GW29" s="470"/>
      <c r="GX29" s="470"/>
      <c r="GY29" s="470"/>
      <c r="GZ29" s="470"/>
      <c r="HA29" s="470"/>
      <c r="HB29" s="470"/>
      <c r="HC29" s="470"/>
      <c r="HD29" s="470"/>
      <c r="HE29" s="470"/>
      <c r="HF29" s="470"/>
      <c r="HG29" s="470"/>
      <c r="HH29" s="470"/>
      <c r="HI29" s="470"/>
      <c r="HJ29" s="470"/>
      <c r="HK29" s="470"/>
      <c r="HL29" s="470"/>
      <c r="HM29" s="470"/>
      <c r="HN29" s="470"/>
      <c r="HO29" s="470"/>
      <c r="HP29" s="470"/>
      <c r="HQ29" s="470"/>
      <c r="HR29" s="470"/>
      <c r="HS29" s="470"/>
      <c r="HT29" s="470"/>
      <c r="HU29" s="470"/>
      <c r="HV29" s="470"/>
      <c r="HW29" s="470"/>
      <c r="HX29" s="470"/>
      <c r="HY29" s="470"/>
      <c r="HZ29" s="470"/>
      <c r="IA29" s="470"/>
      <c r="IB29" s="470"/>
      <c r="IC29" s="470"/>
      <c r="ID29" s="470"/>
      <c r="IE29" s="470"/>
      <c r="IF29" s="470"/>
      <c r="IG29" s="470"/>
      <c r="IH29" s="470"/>
      <c r="II29" s="470"/>
      <c r="IJ29" s="470"/>
      <c r="IK29" s="470"/>
      <c r="IL29" s="470"/>
      <c r="IM29" s="470"/>
      <c r="IN29" s="470"/>
      <c r="IO29" s="470"/>
      <c r="IP29" s="470"/>
      <c r="IQ29" s="470"/>
      <c r="IR29" s="470"/>
      <c r="IS29" s="470"/>
      <c r="IT29" s="470"/>
      <c r="IU29" s="470"/>
      <c r="IV29" s="470"/>
      <c r="IW29" s="470"/>
      <c r="IX29" s="470"/>
      <c r="IY29" s="470"/>
      <c r="IZ29" s="470"/>
      <c r="JA29" s="470"/>
      <c r="JB29" s="530"/>
      <c r="JC29" s="530"/>
      <c r="JG29" s="521"/>
    </row>
    <row r="30" spans="1:267" ht="15.6" outlineLevel="1">
      <c r="A30" s="528"/>
      <c r="B30" s="475"/>
      <c r="C30" s="473"/>
      <c r="D30" s="473"/>
      <c r="E30" s="473"/>
      <c r="F30" s="473"/>
      <c r="G30" s="477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  <c r="AH30" s="470"/>
      <c r="AI30" s="470"/>
      <c r="AJ30" s="470"/>
      <c r="AK30" s="470"/>
      <c r="AL30" s="470"/>
      <c r="AM30" s="470"/>
      <c r="AN30" s="470"/>
      <c r="AO30" s="470"/>
      <c r="AP30" s="470"/>
      <c r="AQ30" s="470"/>
      <c r="AR30" s="470"/>
      <c r="AS30" s="470"/>
      <c r="AT30" s="470"/>
      <c r="AU30" s="470"/>
      <c r="AV30" s="470"/>
      <c r="AW30" s="470"/>
      <c r="AX30" s="470"/>
      <c r="AY30" s="470"/>
      <c r="AZ30" s="470"/>
      <c r="BA30" s="470"/>
      <c r="BB30" s="470"/>
      <c r="BC30" s="470"/>
      <c r="BD30" s="470"/>
      <c r="BE30" s="470"/>
      <c r="BF30" s="470"/>
      <c r="BG30" s="470"/>
      <c r="BH30" s="470"/>
      <c r="BI30" s="470"/>
      <c r="BJ30" s="470"/>
      <c r="BK30" s="470"/>
      <c r="BL30" s="470"/>
      <c r="BM30" s="470"/>
      <c r="BN30" s="470"/>
      <c r="BO30" s="470"/>
      <c r="BP30" s="470"/>
      <c r="BQ30" s="470"/>
      <c r="BR30" s="470"/>
      <c r="BS30" s="470"/>
      <c r="BT30" s="470"/>
      <c r="BU30" s="470"/>
      <c r="BV30" s="470"/>
      <c r="BW30" s="470"/>
      <c r="BX30" s="470"/>
      <c r="BY30" s="470"/>
      <c r="BZ30" s="470"/>
      <c r="CA30" s="470"/>
      <c r="CB30" s="470"/>
      <c r="CC30" s="470"/>
      <c r="CD30" s="470"/>
      <c r="CE30" s="470"/>
      <c r="CF30" s="470"/>
      <c r="CG30" s="470"/>
      <c r="CH30" s="470"/>
      <c r="CI30" s="470"/>
      <c r="CJ30" s="470"/>
      <c r="CK30" s="470"/>
      <c r="CL30" s="470"/>
      <c r="CM30" s="470"/>
      <c r="CN30" s="470"/>
      <c r="CO30" s="470"/>
      <c r="CP30" s="470"/>
      <c r="CQ30" s="470"/>
      <c r="CR30" s="470"/>
      <c r="CS30" s="470"/>
      <c r="CT30" s="470"/>
      <c r="CU30" s="470"/>
      <c r="CV30" s="470"/>
      <c r="CW30" s="470"/>
      <c r="CX30" s="470"/>
      <c r="CY30" s="470"/>
      <c r="CZ30" s="470"/>
      <c r="DA30" s="470"/>
      <c r="DB30" s="470"/>
      <c r="DC30" s="470"/>
      <c r="DD30" s="470"/>
      <c r="DE30" s="470"/>
      <c r="DF30" s="470"/>
      <c r="DG30" s="470"/>
      <c r="DH30" s="470"/>
      <c r="DI30" s="470"/>
      <c r="DJ30" s="470"/>
      <c r="DK30" s="470"/>
      <c r="DL30" s="470"/>
      <c r="DM30" s="470"/>
      <c r="DN30" s="476"/>
      <c r="DO30" s="470"/>
      <c r="DP30" s="470"/>
      <c r="DQ30" s="470"/>
      <c r="DR30" s="470"/>
      <c r="DS30" s="470"/>
      <c r="DT30" s="470"/>
      <c r="DU30" s="470"/>
      <c r="DV30" s="470"/>
      <c r="DW30" s="470"/>
      <c r="DX30" s="470"/>
      <c r="DY30" s="470"/>
      <c r="DZ30" s="470"/>
      <c r="EA30" s="470"/>
      <c r="EB30" s="470"/>
      <c r="EC30" s="470"/>
      <c r="ED30" s="470"/>
      <c r="EE30" s="470"/>
      <c r="EF30" s="470"/>
      <c r="EG30" s="470"/>
      <c r="EH30" s="470"/>
      <c r="EI30" s="470"/>
      <c r="EJ30" s="470"/>
      <c r="EK30" s="470"/>
      <c r="EL30" s="470"/>
      <c r="EM30" s="470"/>
      <c r="EN30" s="470"/>
      <c r="EO30" s="470"/>
      <c r="EP30" s="470"/>
      <c r="EQ30" s="470"/>
      <c r="ER30" s="470"/>
      <c r="ES30" s="470"/>
      <c r="ET30" s="470"/>
      <c r="EU30" s="470"/>
      <c r="EV30" s="470"/>
      <c r="EW30" s="470"/>
      <c r="EX30" s="470"/>
      <c r="EY30" s="470"/>
      <c r="EZ30" s="470"/>
      <c r="FA30" s="470"/>
      <c r="FB30" s="470"/>
      <c r="FC30" s="470"/>
      <c r="FD30" s="470"/>
      <c r="FE30" s="470"/>
      <c r="FF30" s="470"/>
      <c r="FG30" s="470"/>
      <c r="FH30" s="470"/>
      <c r="FI30" s="470"/>
      <c r="FJ30" s="470"/>
      <c r="FK30" s="470"/>
      <c r="FL30" s="470"/>
      <c r="FM30" s="470"/>
      <c r="FN30" s="470"/>
      <c r="FO30" s="470"/>
      <c r="FP30" s="470"/>
      <c r="FQ30" s="470"/>
      <c r="FR30" s="470"/>
      <c r="FS30" s="470"/>
      <c r="FT30" s="470"/>
      <c r="FU30" s="470"/>
      <c r="FV30" s="470"/>
      <c r="FW30" s="470"/>
      <c r="FX30" s="470"/>
      <c r="FY30" s="470"/>
      <c r="FZ30" s="470"/>
      <c r="GA30" s="470"/>
      <c r="GB30" s="470"/>
      <c r="GC30" s="470"/>
      <c r="GD30" s="470"/>
      <c r="GE30" s="470"/>
      <c r="GF30" s="470"/>
      <c r="GG30" s="470"/>
      <c r="GH30" s="470"/>
      <c r="GI30" s="470"/>
      <c r="GJ30" s="470"/>
      <c r="GK30" s="470"/>
      <c r="GL30" s="470"/>
      <c r="GM30" s="470"/>
      <c r="GN30" s="470"/>
      <c r="GO30" s="470"/>
      <c r="GP30" s="470"/>
      <c r="GQ30" s="470"/>
      <c r="GR30" s="470"/>
      <c r="GS30" s="470"/>
      <c r="GT30" s="470"/>
      <c r="GU30" s="470"/>
      <c r="GV30" s="470"/>
      <c r="GW30" s="470"/>
      <c r="GX30" s="470"/>
      <c r="GY30" s="470"/>
      <c r="GZ30" s="470"/>
      <c r="HA30" s="470"/>
      <c r="HB30" s="470"/>
      <c r="HC30" s="470"/>
      <c r="HD30" s="470"/>
      <c r="HE30" s="470"/>
      <c r="HF30" s="470"/>
      <c r="HG30" s="470"/>
      <c r="HH30" s="470"/>
      <c r="HI30" s="470"/>
      <c r="HJ30" s="470"/>
      <c r="HK30" s="470"/>
      <c r="HL30" s="470"/>
      <c r="HM30" s="470"/>
      <c r="HN30" s="470"/>
      <c r="HO30" s="470"/>
      <c r="HP30" s="470"/>
      <c r="HQ30" s="470"/>
      <c r="HR30" s="470"/>
      <c r="HS30" s="470"/>
      <c r="HT30" s="470"/>
      <c r="HU30" s="470"/>
      <c r="HV30" s="470"/>
      <c r="HW30" s="470"/>
      <c r="HX30" s="470"/>
      <c r="HY30" s="470"/>
      <c r="HZ30" s="470"/>
      <c r="IA30" s="470"/>
      <c r="IB30" s="470"/>
      <c r="IC30" s="470"/>
      <c r="ID30" s="470"/>
      <c r="IE30" s="470"/>
      <c r="IF30" s="470"/>
      <c r="IG30" s="470"/>
      <c r="IH30" s="470"/>
      <c r="II30" s="470"/>
      <c r="IJ30" s="470"/>
      <c r="IK30" s="470"/>
      <c r="IL30" s="470"/>
      <c r="IM30" s="470"/>
      <c r="IN30" s="470"/>
      <c r="IO30" s="470"/>
      <c r="IP30" s="470"/>
      <c r="IQ30" s="470"/>
      <c r="IR30" s="470"/>
      <c r="IS30" s="470"/>
      <c r="IT30" s="470"/>
      <c r="IU30" s="470"/>
      <c r="IV30" s="470"/>
      <c r="IW30" s="470"/>
      <c r="IX30" s="470"/>
      <c r="IY30" s="470"/>
      <c r="IZ30" s="470"/>
      <c r="JA30" s="470"/>
      <c r="JB30" s="530"/>
      <c r="JC30" s="530"/>
      <c r="JG30" s="521"/>
    </row>
    <row r="31" spans="1:267" ht="15.6" outlineLevel="1">
      <c r="A31" s="528"/>
      <c r="B31" s="475"/>
      <c r="C31" s="473"/>
      <c r="D31" s="473"/>
      <c r="E31" s="473"/>
      <c r="F31" s="473"/>
      <c r="G31" s="477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70"/>
      <c r="AL31" s="470"/>
      <c r="AM31" s="470"/>
      <c r="AN31" s="470"/>
      <c r="AO31" s="470"/>
      <c r="AP31" s="470"/>
      <c r="AQ31" s="470"/>
      <c r="AR31" s="470"/>
      <c r="AS31" s="470"/>
      <c r="AT31" s="470"/>
      <c r="AU31" s="470"/>
      <c r="AV31" s="470"/>
      <c r="AW31" s="470"/>
      <c r="AX31" s="470"/>
      <c r="AY31" s="470"/>
      <c r="AZ31" s="470"/>
      <c r="BA31" s="470"/>
      <c r="BB31" s="470"/>
      <c r="BC31" s="470"/>
      <c r="BD31" s="470"/>
      <c r="BE31" s="470"/>
      <c r="BF31" s="470"/>
      <c r="BG31" s="470"/>
      <c r="BH31" s="470"/>
      <c r="BI31" s="470"/>
      <c r="BJ31" s="470"/>
      <c r="BK31" s="470"/>
      <c r="BL31" s="470"/>
      <c r="BM31" s="470"/>
      <c r="BN31" s="470"/>
      <c r="BO31" s="470"/>
      <c r="BP31" s="470"/>
      <c r="BQ31" s="470"/>
      <c r="BR31" s="470"/>
      <c r="BS31" s="470"/>
      <c r="BT31" s="470"/>
      <c r="BU31" s="470"/>
      <c r="BV31" s="470"/>
      <c r="BW31" s="470"/>
      <c r="BX31" s="470"/>
      <c r="BY31" s="470"/>
      <c r="BZ31" s="470"/>
      <c r="CA31" s="470"/>
      <c r="CB31" s="470"/>
      <c r="CC31" s="470"/>
      <c r="CD31" s="470"/>
      <c r="CE31" s="470"/>
      <c r="CF31" s="470"/>
      <c r="CG31" s="470"/>
      <c r="CH31" s="470"/>
      <c r="CI31" s="470"/>
      <c r="CJ31" s="470"/>
      <c r="CK31" s="470"/>
      <c r="CL31" s="470"/>
      <c r="CM31" s="470"/>
      <c r="CN31" s="470"/>
      <c r="CO31" s="470"/>
      <c r="CP31" s="470"/>
      <c r="CQ31" s="470"/>
      <c r="CR31" s="470"/>
      <c r="CS31" s="470"/>
      <c r="CT31" s="470"/>
      <c r="CU31" s="470"/>
      <c r="CV31" s="470"/>
      <c r="CW31" s="470"/>
      <c r="CX31" s="470"/>
      <c r="CY31" s="470"/>
      <c r="CZ31" s="470"/>
      <c r="DA31" s="470"/>
      <c r="DB31" s="470"/>
      <c r="DC31" s="470"/>
      <c r="DD31" s="470"/>
      <c r="DE31" s="470"/>
      <c r="DF31" s="470"/>
      <c r="DG31" s="470"/>
      <c r="DH31" s="470"/>
      <c r="DI31" s="470"/>
      <c r="DJ31" s="470"/>
      <c r="DK31" s="470"/>
      <c r="DL31" s="470"/>
      <c r="DM31" s="470"/>
      <c r="DN31" s="476"/>
      <c r="DO31" s="470"/>
      <c r="DP31" s="470"/>
      <c r="DQ31" s="470"/>
      <c r="DR31" s="470"/>
      <c r="DS31" s="470"/>
      <c r="DT31" s="470"/>
      <c r="DU31" s="470"/>
      <c r="DV31" s="470"/>
      <c r="DW31" s="470"/>
      <c r="DX31" s="470"/>
      <c r="DY31" s="470"/>
      <c r="DZ31" s="470"/>
      <c r="EA31" s="470"/>
      <c r="EB31" s="470"/>
      <c r="EC31" s="470"/>
      <c r="ED31" s="470"/>
      <c r="EE31" s="470"/>
      <c r="EF31" s="470"/>
      <c r="EG31" s="470"/>
      <c r="EH31" s="470"/>
      <c r="EI31" s="470"/>
      <c r="EJ31" s="470"/>
      <c r="EK31" s="470"/>
      <c r="EL31" s="470"/>
      <c r="EM31" s="470"/>
      <c r="EN31" s="470"/>
      <c r="EO31" s="470"/>
      <c r="EP31" s="470"/>
      <c r="EQ31" s="470"/>
      <c r="ER31" s="470"/>
      <c r="ES31" s="470"/>
      <c r="ET31" s="470"/>
      <c r="EU31" s="470"/>
      <c r="EV31" s="470"/>
      <c r="EW31" s="470"/>
      <c r="EX31" s="470"/>
      <c r="EY31" s="470"/>
      <c r="EZ31" s="470"/>
      <c r="FA31" s="470"/>
      <c r="FB31" s="470"/>
      <c r="FC31" s="470"/>
      <c r="FD31" s="470"/>
      <c r="FE31" s="470"/>
      <c r="FF31" s="470"/>
      <c r="FG31" s="470"/>
      <c r="FH31" s="470"/>
      <c r="FI31" s="470"/>
      <c r="FJ31" s="470"/>
      <c r="FK31" s="470"/>
      <c r="FL31" s="470"/>
      <c r="FM31" s="470"/>
      <c r="FN31" s="470"/>
      <c r="FO31" s="470"/>
      <c r="FP31" s="470"/>
      <c r="FQ31" s="470"/>
      <c r="FR31" s="470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  <c r="GE31" s="470"/>
      <c r="GF31" s="470"/>
      <c r="GG31" s="470"/>
      <c r="GH31" s="470"/>
      <c r="GI31" s="470"/>
      <c r="GJ31" s="470"/>
      <c r="GK31" s="470"/>
      <c r="GL31" s="470"/>
      <c r="GM31" s="470"/>
      <c r="GN31" s="470"/>
      <c r="GO31" s="470"/>
      <c r="GP31" s="470"/>
      <c r="GQ31" s="470"/>
      <c r="GR31" s="470"/>
      <c r="GS31" s="470"/>
      <c r="GT31" s="470"/>
      <c r="GU31" s="470"/>
      <c r="GV31" s="470"/>
      <c r="GW31" s="470"/>
      <c r="GX31" s="470"/>
      <c r="GY31" s="470"/>
      <c r="GZ31" s="470"/>
      <c r="HA31" s="470"/>
      <c r="HB31" s="470"/>
      <c r="HC31" s="470"/>
      <c r="HD31" s="470"/>
      <c r="HE31" s="470"/>
      <c r="HF31" s="470"/>
      <c r="HG31" s="470"/>
      <c r="HH31" s="470"/>
      <c r="HI31" s="470"/>
      <c r="HJ31" s="470"/>
      <c r="HK31" s="470"/>
      <c r="HL31" s="470"/>
      <c r="HM31" s="470"/>
      <c r="HN31" s="470"/>
      <c r="HO31" s="470"/>
      <c r="HP31" s="470"/>
      <c r="HQ31" s="470"/>
      <c r="HR31" s="470"/>
      <c r="HS31" s="470"/>
      <c r="HT31" s="470"/>
      <c r="HU31" s="470"/>
      <c r="HV31" s="470"/>
      <c r="HW31" s="470"/>
      <c r="HX31" s="470"/>
      <c r="HY31" s="470"/>
      <c r="HZ31" s="470"/>
      <c r="IA31" s="470"/>
      <c r="IB31" s="470"/>
      <c r="IC31" s="470"/>
      <c r="ID31" s="470"/>
      <c r="IE31" s="470"/>
      <c r="IF31" s="470"/>
      <c r="IG31" s="470"/>
      <c r="IH31" s="470"/>
      <c r="II31" s="470"/>
      <c r="IJ31" s="470"/>
      <c r="IK31" s="470"/>
      <c r="IL31" s="470"/>
      <c r="IM31" s="470"/>
      <c r="IN31" s="470"/>
      <c r="IO31" s="470"/>
      <c r="IP31" s="470"/>
      <c r="IQ31" s="470"/>
      <c r="IR31" s="470"/>
      <c r="IS31" s="470"/>
      <c r="IT31" s="470"/>
      <c r="IU31" s="470"/>
      <c r="IV31" s="470"/>
      <c r="IW31" s="470"/>
      <c r="IX31" s="470"/>
      <c r="IY31" s="470"/>
      <c r="IZ31" s="470"/>
      <c r="JA31" s="470"/>
      <c r="JB31" s="530"/>
      <c r="JC31" s="530"/>
      <c r="JG31" s="521"/>
    </row>
    <row r="32" spans="1:267" ht="15.6">
      <c r="A32" s="531"/>
      <c r="B32" s="468"/>
      <c r="C32" s="473"/>
      <c r="D32" s="473"/>
      <c r="E32" s="473"/>
      <c r="F32" s="473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  <c r="AH32" s="470"/>
      <c r="AI32" s="470"/>
      <c r="AJ32" s="470"/>
      <c r="AK32" s="470"/>
      <c r="AL32" s="470"/>
      <c r="AM32" s="470"/>
      <c r="AN32" s="470"/>
      <c r="AO32" s="470"/>
      <c r="AP32" s="470"/>
      <c r="AQ32" s="470"/>
      <c r="AR32" s="470"/>
      <c r="AS32" s="470"/>
      <c r="AT32" s="470"/>
      <c r="AU32" s="470"/>
      <c r="AV32" s="470"/>
      <c r="AW32" s="470"/>
      <c r="AX32" s="470"/>
      <c r="AY32" s="470"/>
      <c r="AZ32" s="470"/>
      <c r="BA32" s="470"/>
      <c r="BB32" s="470"/>
      <c r="BC32" s="470"/>
      <c r="BD32" s="470"/>
      <c r="BE32" s="470"/>
      <c r="BF32" s="470"/>
      <c r="BG32" s="470"/>
      <c r="BH32" s="470"/>
      <c r="BI32" s="470"/>
      <c r="BJ32" s="470"/>
      <c r="BK32" s="470"/>
      <c r="BL32" s="470"/>
      <c r="BM32" s="470"/>
      <c r="BN32" s="470"/>
      <c r="BO32" s="470"/>
      <c r="BP32" s="470"/>
      <c r="BQ32" s="470"/>
      <c r="BR32" s="470"/>
      <c r="BS32" s="470"/>
      <c r="BT32" s="470"/>
      <c r="BU32" s="470"/>
      <c r="BV32" s="470"/>
      <c r="BW32" s="470"/>
      <c r="BX32" s="470"/>
      <c r="BY32" s="470"/>
      <c r="BZ32" s="470"/>
      <c r="CA32" s="470"/>
      <c r="CB32" s="470"/>
      <c r="CC32" s="470"/>
      <c r="CD32" s="470"/>
      <c r="CE32" s="470"/>
      <c r="CF32" s="470"/>
      <c r="CG32" s="470"/>
      <c r="CH32" s="470"/>
      <c r="CI32" s="470"/>
      <c r="CJ32" s="470"/>
      <c r="CK32" s="470"/>
      <c r="CL32" s="470"/>
      <c r="CM32" s="470"/>
      <c r="CN32" s="470"/>
      <c r="CO32" s="470"/>
      <c r="CP32" s="470"/>
      <c r="CQ32" s="470"/>
      <c r="CR32" s="470"/>
      <c r="CS32" s="470"/>
      <c r="CT32" s="470"/>
      <c r="CU32" s="470"/>
      <c r="CV32" s="470"/>
      <c r="CW32" s="470"/>
      <c r="CX32" s="470"/>
      <c r="CY32" s="470"/>
      <c r="CZ32" s="470"/>
      <c r="DA32" s="470"/>
      <c r="DB32" s="470"/>
      <c r="DC32" s="470"/>
      <c r="DD32" s="470"/>
      <c r="DE32" s="470"/>
      <c r="DF32" s="470"/>
      <c r="DG32" s="470"/>
      <c r="DH32" s="470"/>
      <c r="DI32" s="470"/>
      <c r="DJ32" s="470"/>
      <c r="DK32" s="470"/>
      <c r="DL32" s="470"/>
      <c r="DM32" s="470"/>
      <c r="DN32" s="476"/>
      <c r="DO32" s="470"/>
      <c r="DP32" s="470"/>
      <c r="DQ32" s="470"/>
      <c r="DR32" s="470"/>
      <c r="DS32" s="470"/>
      <c r="DT32" s="470"/>
      <c r="DU32" s="470"/>
      <c r="DV32" s="470"/>
      <c r="DW32" s="470"/>
      <c r="DX32" s="470"/>
      <c r="DY32" s="470"/>
      <c r="DZ32" s="470"/>
      <c r="EA32" s="470"/>
      <c r="EB32" s="470"/>
      <c r="EC32" s="470"/>
      <c r="ED32" s="470"/>
      <c r="EE32" s="470"/>
      <c r="EF32" s="470"/>
      <c r="EG32" s="470"/>
      <c r="EH32" s="470"/>
      <c r="EI32" s="470"/>
      <c r="EJ32" s="470"/>
      <c r="EK32" s="470"/>
      <c r="EL32" s="470"/>
      <c r="EM32" s="470"/>
      <c r="EN32" s="470"/>
      <c r="EO32" s="470"/>
      <c r="EP32" s="470"/>
      <c r="EQ32" s="470"/>
      <c r="ER32" s="470"/>
      <c r="ES32" s="470"/>
      <c r="ET32" s="470"/>
      <c r="EU32" s="470"/>
      <c r="EV32" s="470"/>
      <c r="EW32" s="470"/>
      <c r="EX32" s="470"/>
      <c r="EY32" s="470"/>
      <c r="EZ32" s="470"/>
      <c r="FA32" s="470"/>
      <c r="FB32" s="470"/>
      <c r="FC32" s="470"/>
      <c r="FD32" s="470"/>
      <c r="FE32" s="470"/>
      <c r="FF32" s="470"/>
      <c r="FG32" s="470"/>
      <c r="FH32" s="470"/>
      <c r="FI32" s="470"/>
      <c r="FJ32" s="470"/>
      <c r="FK32" s="470"/>
      <c r="FL32" s="470"/>
      <c r="FM32" s="470"/>
      <c r="FN32" s="470"/>
      <c r="FO32" s="470"/>
      <c r="FP32" s="470"/>
      <c r="FQ32" s="470"/>
      <c r="FR32" s="470"/>
      <c r="FS32" s="470"/>
      <c r="FT32" s="470"/>
      <c r="FU32" s="470"/>
      <c r="FV32" s="470"/>
      <c r="FW32" s="470"/>
      <c r="FX32" s="470"/>
      <c r="FY32" s="470"/>
      <c r="FZ32" s="470"/>
      <c r="GA32" s="470"/>
      <c r="GB32" s="470"/>
      <c r="GC32" s="470"/>
      <c r="GD32" s="470"/>
      <c r="GE32" s="470"/>
      <c r="GF32" s="470"/>
      <c r="GG32" s="470"/>
      <c r="GH32" s="470"/>
      <c r="GI32" s="470"/>
      <c r="GJ32" s="470"/>
      <c r="GK32" s="470"/>
      <c r="GL32" s="470"/>
      <c r="GM32" s="470"/>
      <c r="GN32" s="470"/>
      <c r="GO32" s="470"/>
      <c r="GP32" s="470"/>
      <c r="GQ32" s="470"/>
      <c r="GR32" s="470"/>
      <c r="GS32" s="470"/>
      <c r="GT32" s="470"/>
      <c r="GU32" s="470"/>
      <c r="GV32" s="470"/>
      <c r="GW32" s="470"/>
      <c r="GX32" s="470"/>
      <c r="GY32" s="470"/>
      <c r="GZ32" s="470"/>
      <c r="HA32" s="470"/>
      <c r="HB32" s="470"/>
      <c r="HC32" s="470"/>
      <c r="HD32" s="470"/>
      <c r="HE32" s="470"/>
      <c r="HF32" s="470"/>
      <c r="HG32" s="470"/>
      <c r="HH32" s="470"/>
      <c r="HI32" s="470"/>
      <c r="HJ32" s="470"/>
      <c r="HK32" s="470"/>
      <c r="HL32" s="470"/>
      <c r="HM32" s="470"/>
      <c r="HN32" s="470"/>
      <c r="HO32" s="470"/>
      <c r="HP32" s="470"/>
      <c r="HQ32" s="470"/>
      <c r="HR32" s="470"/>
      <c r="HS32" s="470"/>
      <c r="HT32" s="470"/>
      <c r="HU32" s="470"/>
      <c r="HV32" s="470"/>
      <c r="HW32" s="470"/>
      <c r="HX32" s="470"/>
      <c r="HY32" s="470"/>
      <c r="HZ32" s="470"/>
      <c r="IA32" s="470"/>
      <c r="IB32" s="470"/>
      <c r="IC32" s="470"/>
      <c r="ID32" s="470"/>
      <c r="IE32" s="470"/>
      <c r="IF32" s="470"/>
      <c r="IG32" s="470"/>
      <c r="IH32" s="470"/>
      <c r="II32" s="470"/>
      <c r="IJ32" s="470"/>
      <c r="IK32" s="470"/>
      <c r="IL32" s="470"/>
      <c r="IM32" s="470"/>
      <c r="IN32" s="470"/>
      <c r="IO32" s="470"/>
      <c r="IP32" s="470"/>
      <c r="IQ32" s="470"/>
      <c r="IR32" s="470"/>
      <c r="IS32" s="470"/>
      <c r="IT32" s="470"/>
      <c r="IU32" s="470"/>
      <c r="IV32" s="470"/>
      <c r="IW32" s="470"/>
      <c r="IX32" s="470"/>
      <c r="IY32" s="470"/>
      <c r="IZ32" s="470"/>
      <c r="JA32" s="470"/>
      <c r="JB32" s="530"/>
      <c r="JC32" s="530"/>
      <c r="JG32" s="521"/>
    </row>
    <row r="33" spans="1:267" ht="18.899999999999999" customHeight="1" collapsed="1">
      <c r="A33" s="468"/>
      <c r="B33" s="468"/>
      <c r="C33" s="473"/>
      <c r="D33" s="473"/>
      <c r="E33" s="473"/>
      <c r="F33" s="473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70"/>
      <c r="AL33" s="470"/>
      <c r="AM33" s="470"/>
      <c r="AN33" s="470"/>
      <c r="AO33" s="470"/>
      <c r="AP33" s="470"/>
      <c r="AQ33" s="470"/>
      <c r="AR33" s="470"/>
      <c r="AS33" s="470"/>
      <c r="AT33" s="470"/>
      <c r="AU33" s="470"/>
      <c r="AV33" s="470"/>
      <c r="AW33" s="470"/>
      <c r="AX33" s="470"/>
      <c r="AY33" s="470"/>
      <c r="AZ33" s="470"/>
      <c r="BA33" s="470"/>
      <c r="BB33" s="470"/>
      <c r="BC33" s="470"/>
      <c r="BD33" s="470"/>
      <c r="BE33" s="470"/>
      <c r="BF33" s="470"/>
      <c r="BG33" s="470"/>
      <c r="BH33" s="470"/>
      <c r="BI33" s="470"/>
      <c r="BJ33" s="470"/>
      <c r="BK33" s="470"/>
      <c r="BL33" s="470"/>
      <c r="BM33" s="470"/>
      <c r="BN33" s="470"/>
      <c r="BO33" s="470"/>
      <c r="BP33" s="470"/>
      <c r="BQ33" s="470"/>
      <c r="BR33" s="470"/>
      <c r="BS33" s="470"/>
      <c r="BT33" s="470"/>
      <c r="BU33" s="470"/>
      <c r="BV33" s="470"/>
      <c r="BW33" s="470"/>
      <c r="BX33" s="470"/>
      <c r="BY33" s="470"/>
      <c r="BZ33" s="470"/>
      <c r="CA33" s="470"/>
      <c r="CB33" s="470"/>
      <c r="CC33" s="470"/>
      <c r="CD33" s="470"/>
      <c r="CE33" s="470"/>
      <c r="CF33" s="470"/>
      <c r="CG33" s="470"/>
      <c r="CH33" s="470"/>
      <c r="CI33" s="470"/>
      <c r="CJ33" s="470"/>
      <c r="CK33" s="470"/>
      <c r="CL33" s="470"/>
      <c r="CM33" s="470"/>
      <c r="CN33" s="470"/>
      <c r="CO33" s="470"/>
      <c r="CP33" s="478"/>
      <c r="CQ33" s="470"/>
      <c r="CR33" s="470"/>
      <c r="CS33" s="470"/>
      <c r="CT33" s="470"/>
      <c r="CU33" s="470"/>
      <c r="CV33" s="470"/>
      <c r="CW33" s="470"/>
      <c r="CX33" s="470"/>
      <c r="CY33" s="470"/>
      <c r="CZ33" s="470"/>
      <c r="DA33" s="470"/>
      <c r="DB33" s="470"/>
      <c r="DC33" s="470"/>
      <c r="DD33" s="470"/>
      <c r="DE33" s="470"/>
      <c r="DF33" s="470"/>
      <c r="DG33" s="470"/>
      <c r="DH33" s="470"/>
      <c r="DI33" s="470"/>
      <c r="DJ33" s="470"/>
      <c r="DK33" s="470"/>
      <c r="DL33" s="470"/>
      <c r="DM33" s="470"/>
      <c r="DN33" s="476"/>
      <c r="DO33" s="470"/>
      <c r="DP33" s="470"/>
      <c r="DQ33" s="470"/>
      <c r="DR33" s="470"/>
      <c r="DS33" s="470"/>
      <c r="DT33" s="470"/>
      <c r="DU33" s="470"/>
      <c r="DV33" s="470"/>
      <c r="DW33" s="470"/>
      <c r="DX33" s="470"/>
      <c r="DY33" s="470"/>
      <c r="DZ33" s="470"/>
      <c r="EA33" s="470"/>
      <c r="EB33" s="470"/>
      <c r="EC33" s="470"/>
      <c r="ED33" s="470"/>
      <c r="EE33" s="470"/>
      <c r="EF33" s="470"/>
      <c r="EG33" s="470"/>
      <c r="EH33" s="470"/>
      <c r="EI33" s="470"/>
      <c r="EJ33" s="470"/>
      <c r="EK33" s="470"/>
      <c r="EL33" s="470"/>
      <c r="EM33" s="470"/>
      <c r="EN33" s="470"/>
      <c r="EO33" s="470"/>
      <c r="EP33" s="470"/>
      <c r="EQ33" s="470"/>
      <c r="ER33" s="470"/>
      <c r="ES33" s="470"/>
      <c r="ET33" s="470"/>
      <c r="EU33" s="470"/>
      <c r="EV33" s="470"/>
      <c r="EW33" s="470"/>
      <c r="EX33" s="470"/>
      <c r="EY33" s="470"/>
      <c r="EZ33" s="470"/>
      <c r="FA33" s="470"/>
      <c r="FB33" s="470"/>
      <c r="FC33" s="470"/>
      <c r="FD33" s="470"/>
      <c r="FE33" s="470"/>
      <c r="FF33" s="470"/>
      <c r="FG33" s="470"/>
      <c r="FH33" s="470"/>
      <c r="FI33" s="470"/>
      <c r="FJ33" s="470"/>
      <c r="FK33" s="470"/>
      <c r="FL33" s="470"/>
      <c r="FM33" s="470"/>
      <c r="FN33" s="470"/>
      <c r="FO33" s="470"/>
      <c r="FP33" s="470"/>
      <c r="FQ33" s="470"/>
      <c r="FR33" s="470"/>
      <c r="FS33" s="470"/>
      <c r="FT33" s="470"/>
      <c r="FU33" s="470"/>
      <c r="FV33" s="470"/>
      <c r="FW33" s="470"/>
      <c r="FX33" s="470"/>
      <c r="FY33" s="470"/>
      <c r="FZ33" s="470"/>
      <c r="GA33" s="470"/>
      <c r="GB33" s="470"/>
      <c r="GC33" s="470"/>
      <c r="GD33" s="470"/>
      <c r="GE33" s="470"/>
      <c r="GF33" s="470"/>
      <c r="GG33" s="470"/>
      <c r="GH33" s="470"/>
      <c r="GI33" s="470"/>
      <c r="GJ33" s="470"/>
      <c r="GK33" s="470"/>
      <c r="GL33" s="470"/>
      <c r="GM33" s="470"/>
      <c r="GN33" s="470"/>
      <c r="GO33" s="470"/>
      <c r="GP33" s="470"/>
      <c r="GQ33" s="470"/>
      <c r="GR33" s="470"/>
      <c r="GS33" s="470"/>
      <c r="GT33" s="470"/>
      <c r="GU33" s="470"/>
      <c r="GV33" s="470"/>
      <c r="GW33" s="470"/>
      <c r="GX33" s="470"/>
      <c r="GY33" s="470"/>
      <c r="GZ33" s="470"/>
      <c r="HA33" s="470"/>
      <c r="HB33" s="470"/>
      <c r="HC33" s="470"/>
      <c r="HD33" s="470"/>
      <c r="HE33" s="470"/>
      <c r="HF33" s="470"/>
      <c r="HG33" s="470"/>
      <c r="HH33" s="470"/>
      <c r="HI33" s="470"/>
      <c r="HJ33" s="470"/>
      <c r="HK33" s="470"/>
      <c r="HL33" s="470"/>
      <c r="HM33" s="470"/>
      <c r="HN33" s="470"/>
      <c r="HO33" s="470"/>
      <c r="HP33" s="470"/>
      <c r="HQ33" s="470"/>
      <c r="HR33" s="470"/>
      <c r="HS33" s="470"/>
      <c r="HT33" s="470"/>
      <c r="HU33" s="470"/>
      <c r="HV33" s="470"/>
      <c r="HW33" s="470"/>
      <c r="HX33" s="470"/>
      <c r="HY33" s="470"/>
      <c r="HZ33" s="470"/>
      <c r="IA33" s="470"/>
      <c r="IB33" s="470"/>
      <c r="IC33" s="470"/>
      <c r="ID33" s="470"/>
      <c r="IE33" s="470"/>
      <c r="IF33" s="470"/>
      <c r="IG33" s="470"/>
      <c r="IH33" s="470"/>
      <c r="II33" s="470"/>
      <c r="IJ33" s="470"/>
      <c r="IK33" s="470"/>
      <c r="IL33" s="470"/>
      <c r="IM33" s="470"/>
      <c r="IN33" s="470"/>
      <c r="IO33" s="470"/>
      <c r="IP33" s="470"/>
      <c r="IQ33" s="470"/>
      <c r="IR33" s="470"/>
      <c r="IS33" s="470"/>
      <c r="IT33" s="470"/>
      <c r="IU33" s="470"/>
      <c r="IV33" s="470"/>
      <c r="IW33" s="470"/>
      <c r="IX33" s="470"/>
      <c r="IY33" s="470"/>
      <c r="IZ33" s="470"/>
      <c r="JA33" s="470"/>
      <c r="JB33" s="530"/>
      <c r="JC33" s="530"/>
      <c r="JG33" s="521"/>
    </row>
    <row r="34" spans="1:267" ht="18.899999999999999" customHeight="1">
      <c r="A34" s="468"/>
      <c r="B34" s="468"/>
      <c r="C34" s="473"/>
      <c r="D34" s="473"/>
      <c r="E34" s="473"/>
      <c r="F34" s="473"/>
      <c r="G34" s="470"/>
      <c r="H34" s="470"/>
      <c r="I34" s="470"/>
      <c r="J34" s="470"/>
      <c r="K34" s="470"/>
      <c r="L34" s="470"/>
      <c r="M34" s="470"/>
      <c r="N34" s="470"/>
      <c r="O34" s="470"/>
      <c r="P34" s="470"/>
      <c r="Q34" s="470"/>
      <c r="R34" s="470"/>
      <c r="S34" s="470"/>
      <c r="T34" s="470"/>
      <c r="U34" s="470"/>
      <c r="V34" s="470"/>
      <c r="W34" s="470"/>
      <c r="X34" s="470"/>
      <c r="Y34" s="470"/>
      <c r="Z34" s="470"/>
      <c r="AA34" s="470"/>
      <c r="AB34" s="470"/>
      <c r="AC34" s="470"/>
      <c r="AD34" s="470"/>
      <c r="AE34" s="470"/>
      <c r="AF34" s="470"/>
      <c r="AG34" s="470"/>
      <c r="AH34" s="470"/>
      <c r="AI34" s="470"/>
      <c r="AJ34" s="470"/>
      <c r="AK34" s="470"/>
      <c r="AL34" s="470"/>
      <c r="AM34" s="470"/>
      <c r="AN34" s="470"/>
      <c r="AO34" s="470"/>
      <c r="AP34" s="470"/>
      <c r="AQ34" s="470"/>
      <c r="AR34" s="470"/>
      <c r="AS34" s="470"/>
      <c r="AT34" s="470"/>
      <c r="AU34" s="470"/>
      <c r="AV34" s="470"/>
      <c r="AW34" s="470"/>
      <c r="AX34" s="470"/>
      <c r="AY34" s="470"/>
      <c r="AZ34" s="470"/>
      <c r="BA34" s="470"/>
      <c r="BB34" s="470"/>
      <c r="BC34" s="470"/>
      <c r="BD34" s="470"/>
      <c r="BE34" s="470"/>
      <c r="BF34" s="470"/>
      <c r="BG34" s="470"/>
      <c r="BH34" s="470"/>
      <c r="BI34" s="470"/>
      <c r="BJ34" s="470"/>
      <c r="BK34" s="470"/>
      <c r="BL34" s="470"/>
      <c r="BM34" s="470"/>
      <c r="BN34" s="470"/>
      <c r="BO34" s="470"/>
      <c r="BP34" s="470"/>
      <c r="BQ34" s="470"/>
      <c r="BR34" s="470"/>
      <c r="BS34" s="470"/>
      <c r="BT34" s="470"/>
      <c r="BU34" s="470"/>
      <c r="BV34" s="470"/>
      <c r="BW34" s="470"/>
      <c r="BX34" s="470"/>
      <c r="BY34" s="470"/>
      <c r="BZ34" s="470"/>
      <c r="CA34" s="470"/>
      <c r="CB34" s="470"/>
      <c r="CC34" s="470"/>
      <c r="CD34" s="470"/>
      <c r="CE34" s="470"/>
      <c r="CF34" s="470"/>
      <c r="CG34" s="470"/>
      <c r="CH34" s="470"/>
      <c r="CI34" s="470"/>
      <c r="CJ34" s="470"/>
      <c r="CK34" s="470"/>
      <c r="CL34" s="470"/>
      <c r="CM34" s="470"/>
      <c r="CN34" s="470"/>
      <c r="CO34" s="470"/>
      <c r="CP34" s="470"/>
      <c r="CQ34" s="470"/>
      <c r="CR34" s="470"/>
      <c r="CS34" s="470"/>
      <c r="CT34" s="470"/>
      <c r="CU34" s="470"/>
      <c r="CV34" s="470"/>
      <c r="CW34" s="470"/>
      <c r="CX34" s="470"/>
      <c r="CY34" s="470"/>
      <c r="CZ34" s="470"/>
      <c r="DA34" s="470"/>
      <c r="DB34" s="470"/>
      <c r="DC34" s="470"/>
      <c r="DD34" s="470"/>
      <c r="DE34" s="470"/>
      <c r="DF34" s="470"/>
      <c r="DG34" s="470"/>
      <c r="DH34" s="470"/>
      <c r="DI34" s="470"/>
      <c r="DJ34" s="470"/>
      <c r="DK34" s="470"/>
      <c r="DL34" s="470"/>
      <c r="DM34" s="470"/>
      <c r="DN34" s="476"/>
      <c r="DO34" s="470"/>
      <c r="DP34" s="470"/>
      <c r="DQ34" s="470"/>
      <c r="DR34" s="470"/>
      <c r="DS34" s="470"/>
      <c r="DT34" s="470"/>
      <c r="DU34" s="470"/>
      <c r="DV34" s="470"/>
      <c r="DW34" s="470"/>
      <c r="DX34" s="470"/>
      <c r="DY34" s="470"/>
      <c r="DZ34" s="470"/>
      <c r="EA34" s="470"/>
      <c r="EB34" s="470"/>
      <c r="EC34" s="470"/>
      <c r="ED34" s="470"/>
      <c r="EE34" s="470"/>
      <c r="EF34" s="470"/>
      <c r="EG34" s="470"/>
      <c r="EH34" s="470"/>
      <c r="EI34" s="470"/>
      <c r="EJ34" s="470"/>
      <c r="EK34" s="470"/>
      <c r="EL34" s="470"/>
      <c r="EM34" s="470"/>
      <c r="EN34" s="470"/>
      <c r="EO34" s="470"/>
      <c r="EP34" s="470"/>
      <c r="EQ34" s="470"/>
      <c r="ER34" s="470"/>
      <c r="ES34" s="470"/>
      <c r="ET34" s="470"/>
      <c r="EU34" s="470"/>
      <c r="EV34" s="470"/>
      <c r="EW34" s="470"/>
      <c r="EX34" s="470"/>
      <c r="EY34" s="470"/>
      <c r="EZ34" s="470"/>
      <c r="FA34" s="470"/>
      <c r="FB34" s="470"/>
      <c r="FC34" s="470"/>
      <c r="FD34" s="470"/>
      <c r="FE34" s="470"/>
      <c r="FF34" s="470"/>
      <c r="FG34" s="470"/>
      <c r="FH34" s="470"/>
      <c r="FI34" s="470"/>
      <c r="FJ34" s="470"/>
      <c r="FK34" s="470"/>
      <c r="FL34" s="470"/>
      <c r="FM34" s="470"/>
      <c r="FN34" s="470"/>
      <c r="FO34" s="470"/>
      <c r="FP34" s="470"/>
      <c r="FQ34" s="470"/>
      <c r="FR34" s="470"/>
      <c r="FS34" s="470"/>
      <c r="FT34" s="470"/>
      <c r="FU34" s="470"/>
      <c r="FV34" s="470"/>
      <c r="FW34" s="470"/>
      <c r="FX34" s="470"/>
      <c r="FY34" s="470"/>
      <c r="FZ34" s="470"/>
      <c r="GA34" s="470"/>
      <c r="GB34" s="470"/>
      <c r="GC34" s="470"/>
      <c r="GD34" s="470"/>
      <c r="GE34" s="470"/>
      <c r="GF34" s="470"/>
      <c r="GG34" s="470"/>
      <c r="GH34" s="470"/>
      <c r="GI34" s="470"/>
      <c r="GJ34" s="470"/>
      <c r="GK34" s="470"/>
      <c r="GL34" s="470"/>
      <c r="GM34" s="470"/>
      <c r="GN34" s="470"/>
      <c r="GO34" s="470"/>
      <c r="GP34" s="470"/>
      <c r="GQ34" s="470"/>
      <c r="GR34" s="470"/>
      <c r="GS34" s="470"/>
      <c r="GT34" s="470"/>
      <c r="GU34" s="470"/>
      <c r="GV34" s="470"/>
      <c r="GW34" s="470"/>
      <c r="GX34" s="470"/>
      <c r="GY34" s="470"/>
      <c r="GZ34" s="470"/>
      <c r="HA34" s="470"/>
      <c r="HB34" s="470"/>
      <c r="HC34" s="470"/>
      <c r="HD34" s="470"/>
      <c r="HE34" s="470"/>
      <c r="HF34" s="470"/>
      <c r="HG34" s="470"/>
      <c r="HH34" s="470"/>
      <c r="HI34" s="470"/>
      <c r="HJ34" s="470"/>
      <c r="HK34" s="470"/>
      <c r="HL34" s="470"/>
      <c r="HM34" s="470"/>
      <c r="HN34" s="470"/>
      <c r="HO34" s="470"/>
      <c r="HP34" s="470"/>
      <c r="HQ34" s="470"/>
      <c r="HR34" s="470"/>
      <c r="HS34" s="470"/>
      <c r="HT34" s="470"/>
      <c r="HU34" s="470"/>
      <c r="HV34" s="470"/>
      <c r="HW34" s="470"/>
      <c r="HX34" s="470"/>
      <c r="HY34" s="470"/>
      <c r="HZ34" s="470"/>
      <c r="IA34" s="470"/>
      <c r="IB34" s="470"/>
      <c r="IC34" s="470"/>
      <c r="ID34" s="470"/>
      <c r="IE34" s="470"/>
      <c r="IF34" s="470"/>
      <c r="IG34" s="470"/>
      <c r="IH34" s="470"/>
      <c r="II34" s="470"/>
      <c r="IJ34" s="470"/>
      <c r="IK34" s="470"/>
      <c r="IL34" s="470"/>
      <c r="IM34" s="470"/>
      <c r="IN34" s="470"/>
      <c r="IO34" s="470"/>
      <c r="IP34" s="470"/>
      <c r="IQ34" s="470"/>
      <c r="IR34" s="470"/>
      <c r="IS34" s="470"/>
      <c r="IT34" s="470"/>
      <c r="IU34" s="470"/>
      <c r="IV34" s="470"/>
      <c r="IW34" s="470"/>
      <c r="IX34" s="470"/>
      <c r="IY34" s="470"/>
      <c r="IZ34" s="470"/>
      <c r="JA34" s="470"/>
      <c r="JB34" s="530"/>
      <c r="JC34" s="530"/>
      <c r="JG34" s="521"/>
    </row>
    <row r="35" spans="1:267" ht="18.899999999999999" customHeight="1">
      <c r="A35" s="468"/>
      <c r="B35" s="468"/>
      <c r="C35" s="473"/>
      <c r="D35" s="473"/>
      <c r="E35" s="473"/>
      <c r="F35" s="473"/>
      <c r="G35" s="470"/>
      <c r="H35" s="470"/>
      <c r="I35" s="470"/>
      <c r="J35" s="470"/>
      <c r="K35" s="470"/>
      <c r="L35" s="470"/>
      <c r="M35" s="470"/>
      <c r="N35" s="470"/>
      <c r="O35" s="470"/>
      <c r="P35" s="470"/>
      <c r="Q35" s="470"/>
      <c r="R35" s="470"/>
      <c r="S35" s="470"/>
      <c r="T35" s="470"/>
      <c r="U35" s="470"/>
      <c r="V35" s="470"/>
      <c r="W35" s="470"/>
      <c r="X35" s="470"/>
      <c r="Y35" s="470"/>
      <c r="Z35" s="470"/>
      <c r="AA35" s="470"/>
      <c r="AB35" s="470"/>
      <c r="AC35" s="470"/>
      <c r="AD35" s="470"/>
      <c r="AE35" s="470"/>
      <c r="AF35" s="470"/>
      <c r="AG35" s="470"/>
      <c r="AH35" s="470"/>
      <c r="AI35" s="470"/>
      <c r="AJ35" s="470"/>
      <c r="AK35" s="470"/>
      <c r="AL35" s="470"/>
      <c r="AM35" s="470"/>
      <c r="AN35" s="470"/>
      <c r="AO35" s="470"/>
      <c r="AP35" s="470"/>
      <c r="AQ35" s="470"/>
      <c r="AR35" s="470"/>
      <c r="AS35" s="470"/>
      <c r="AT35" s="470"/>
      <c r="AU35" s="470"/>
      <c r="AV35" s="470"/>
      <c r="AW35" s="470"/>
      <c r="AX35" s="470"/>
      <c r="AY35" s="470"/>
      <c r="AZ35" s="470"/>
      <c r="BA35" s="470"/>
      <c r="BB35" s="470"/>
      <c r="BC35" s="470"/>
      <c r="BD35" s="470"/>
      <c r="BE35" s="470"/>
      <c r="BF35" s="470"/>
      <c r="BG35" s="470"/>
      <c r="BH35" s="470"/>
      <c r="BI35" s="470"/>
      <c r="BJ35" s="470"/>
      <c r="BK35" s="470"/>
      <c r="BL35" s="470"/>
      <c r="BM35" s="470"/>
      <c r="BN35" s="470"/>
      <c r="BO35" s="470"/>
      <c r="BP35" s="470"/>
      <c r="BQ35" s="470"/>
      <c r="BR35" s="470"/>
      <c r="BS35" s="470"/>
      <c r="BT35" s="470"/>
      <c r="BU35" s="470"/>
      <c r="BV35" s="470"/>
      <c r="BW35" s="470"/>
      <c r="BX35" s="470"/>
      <c r="BY35" s="470"/>
      <c r="BZ35" s="470"/>
      <c r="CA35" s="470"/>
      <c r="CB35" s="470"/>
      <c r="CC35" s="470"/>
      <c r="CD35" s="470"/>
      <c r="CE35" s="470"/>
      <c r="CF35" s="470"/>
      <c r="CG35" s="470"/>
      <c r="CH35" s="470"/>
      <c r="CI35" s="470"/>
      <c r="CJ35" s="470"/>
      <c r="CK35" s="470"/>
      <c r="CL35" s="470"/>
      <c r="CM35" s="470"/>
      <c r="CN35" s="470"/>
      <c r="CO35" s="470"/>
      <c r="CP35" s="470"/>
      <c r="CQ35" s="470"/>
      <c r="CR35" s="470"/>
      <c r="CS35" s="470"/>
      <c r="CT35" s="470"/>
      <c r="CU35" s="470"/>
      <c r="CV35" s="470"/>
      <c r="CW35" s="470"/>
      <c r="CX35" s="470"/>
      <c r="CY35" s="470"/>
      <c r="CZ35" s="470"/>
      <c r="DA35" s="470"/>
      <c r="DB35" s="470"/>
      <c r="DC35" s="470"/>
      <c r="DD35" s="470"/>
      <c r="DE35" s="470"/>
      <c r="DF35" s="470"/>
      <c r="DG35" s="470"/>
      <c r="DH35" s="470"/>
      <c r="DI35" s="470"/>
      <c r="DJ35" s="470"/>
      <c r="DK35" s="470"/>
      <c r="DL35" s="470"/>
      <c r="DM35" s="470"/>
      <c r="DN35" s="476"/>
      <c r="DO35" s="470"/>
      <c r="DP35" s="470"/>
      <c r="DQ35" s="470"/>
      <c r="DR35" s="470"/>
      <c r="DS35" s="470"/>
      <c r="DT35" s="470"/>
      <c r="DU35" s="470"/>
      <c r="DV35" s="470"/>
      <c r="DW35" s="470"/>
      <c r="DX35" s="470"/>
      <c r="DY35" s="470"/>
      <c r="DZ35" s="470"/>
      <c r="EA35" s="470"/>
      <c r="EB35" s="470"/>
      <c r="EC35" s="470"/>
      <c r="ED35" s="470"/>
      <c r="EE35" s="470"/>
      <c r="EF35" s="470"/>
      <c r="EG35" s="470"/>
      <c r="EH35" s="470"/>
      <c r="EI35" s="470"/>
      <c r="EJ35" s="470"/>
      <c r="EK35" s="470"/>
      <c r="EL35" s="470"/>
      <c r="EM35" s="470"/>
      <c r="EN35" s="470"/>
      <c r="EO35" s="470"/>
      <c r="EP35" s="470"/>
      <c r="EQ35" s="470"/>
      <c r="ER35" s="470"/>
      <c r="ES35" s="470"/>
      <c r="ET35" s="470"/>
      <c r="EU35" s="470"/>
      <c r="EV35" s="470"/>
      <c r="EW35" s="470"/>
      <c r="EX35" s="470"/>
      <c r="EY35" s="470"/>
      <c r="EZ35" s="470"/>
      <c r="FA35" s="470"/>
      <c r="FB35" s="470"/>
      <c r="FC35" s="470"/>
      <c r="FD35" s="470"/>
      <c r="FE35" s="470"/>
      <c r="FF35" s="470"/>
      <c r="FG35" s="470"/>
      <c r="FH35" s="470"/>
      <c r="FI35" s="470"/>
      <c r="FJ35" s="470"/>
      <c r="FK35" s="470"/>
      <c r="FL35" s="470"/>
      <c r="FM35" s="470"/>
      <c r="FN35" s="470"/>
      <c r="FO35" s="470"/>
      <c r="FP35" s="470"/>
      <c r="FQ35" s="470"/>
      <c r="FR35" s="470"/>
      <c r="FS35" s="470"/>
      <c r="FT35" s="470"/>
      <c r="FU35" s="470"/>
      <c r="FV35" s="470"/>
      <c r="FW35" s="470"/>
      <c r="FX35" s="470"/>
      <c r="FY35" s="470"/>
      <c r="FZ35" s="470"/>
      <c r="GA35" s="470"/>
      <c r="GB35" s="470"/>
      <c r="GC35" s="470"/>
      <c r="GD35" s="470"/>
      <c r="GE35" s="470"/>
      <c r="GF35" s="470"/>
      <c r="GG35" s="470"/>
      <c r="GH35" s="470"/>
      <c r="GI35" s="470"/>
      <c r="GJ35" s="470"/>
      <c r="GK35" s="470"/>
      <c r="GL35" s="470"/>
      <c r="GM35" s="470"/>
      <c r="GN35" s="470"/>
      <c r="GO35" s="470"/>
      <c r="GP35" s="470"/>
      <c r="GQ35" s="470"/>
      <c r="GR35" s="470"/>
      <c r="GS35" s="470"/>
      <c r="GT35" s="470"/>
      <c r="GU35" s="470"/>
      <c r="GV35" s="470"/>
      <c r="GW35" s="470"/>
      <c r="GX35" s="470"/>
      <c r="GY35" s="470"/>
      <c r="GZ35" s="470"/>
      <c r="HA35" s="470"/>
      <c r="HB35" s="470"/>
      <c r="HC35" s="470"/>
      <c r="HD35" s="470"/>
      <c r="HE35" s="470"/>
      <c r="HF35" s="470"/>
      <c r="HG35" s="470"/>
      <c r="HH35" s="470"/>
      <c r="HI35" s="470"/>
      <c r="HJ35" s="470"/>
      <c r="HK35" s="470"/>
      <c r="HL35" s="470"/>
      <c r="HM35" s="470"/>
      <c r="HN35" s="470"/>
      <c r="HO35" s="470"/>
      <c r="HP35" s="470"/>
      <c r="HQ35" s="470"/>
      <c r="HR35" s="470"/>
      <c r="HS35" s="470"/>
      <c r="HT35" s="470"/>
      <c r="HU35" s="470"/>
      <c r="HV35" s="470"/>
      <c r="HW35" s="470"/>
      <c r="HX35" s="470"/>
      <c r="HY35" s="470"/>
      <c r="HZ35" s="470"/>
      <c r="IA35" s="470"/>
      <c r="IB35" s="470"/>
      <c r="IC35" s="470"/>
      <c r="ID35" s="470"/>
      <c r="IE35" s="470"/>
      <c r="IF35" s="470"/>
      <c r="IG35" s="470"/>
      <c r="IH35" s="470"/>
      <c r="II35" s="470"/>
      <c r="IJ35" s="470"/>
      <c r="IK35" s="470"/>
      <c r="IL35" s="470"/>
      <c r="IM35" s="470"/>
      <c r="IN35" s="470"/>
      <c r="IO35" s="470"/>
      <c r="IP35" s="470"/>
      <c r="IQ35" s="470"/>
      <c r="IR35" s="470"/>
      <c r="IS35" s="470"/>
      <c r="IT35" s="470"/>
      <c r="IU35" s="470"/>
      <c r="IV35" s="470"/>
      <c r="IW35" s="470"/>
      <c r="IX35" s="470"/>
      <c r="IY35" s="470"/>
      <c r="IZ35" s="470"/>
      <c r="JA35" s="470"/>
      <c r="JB35" s="530"/>
      <c r="JC35" s="530"/>
      <c r="JG35" s="521"/>
    </row>
    <row r="36" spans="1:267" ht="18.899999999999999" customHeight="1">
      <c r="A36" s="468"/>
      <c r="B36" s="468"/>
      <c r="C36" s="473"/>
      <c r="D36" s="473"/>
      <c r="E36" s="473"/>
      <c r="F36" s="473"/>
      <c r="G36" s="470"/>
      <c r="H36" s="470"/>
      <c r="I36" s="470"/>
      <c r="J36" s="470"/>
      <c r="K36" s="470"/>
      <c r="L36" s="470"/>
      <c r="M36" s="470"/>
      <c r="N36" s="470"/>
      <c r="O36" s="470"/>
      <c r="P36" s="470"/>
      <c r="Q36" s="470"/>
      <c r="R36" s="470"/>
      <c r="S36" s="470"/>
      <c r="T36" s="470"/>
      <c r="U36" s="470"/>
      <c r="V36" s="470"/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470"/>
      <c r="AH36" s="470"/>
      <c r="AI36" s="470"/>
      <c r="AJ36" s="470"/>
      <c r="AK36" s="470"/>
      <c r="AL36" s="470"/>
      <c r="AM36" s="470"/>
      <c r="AN36" s="470"/>
      <c r="AO36" s="470"/>
      <c r="AP36" s="470"/>
      <c r="AQ36" s="470"/>
      <c r="AR36" s="470"/>
      <c r="AS36" s="470"/>
      <c r="AT36" s="470"/>
      <c r="AU36" s="470"/>
      <c r="AV36" s="470"/>
      <c r="AW36" s="470"/>
      <c r="AX36" s="470"/>
      <c r="AY36" s="470"/>
      <c r="AZ36" s="470"/>
      <c r="BA36" s="470"/>
      <c r="BB36" s="470"/>
      <c r="BC36" s="470"/>
      <c r="BD36" s="470"/>
      <c r="BE36" s="470"/>
      <c r="BF36" s="470"/>
      <c r="BG36" s="470"/>
      <c r="BH36" s="470"/>
      <c r="BI36" s="470"/>
      <c r="BJ36" s="470"/>
      <c r="BK36" s="470"/>
      <c r="BL36" s="470"/>
      <c r="BM36" s="470"/>
      <c r="BN36" s="470"/>
      <c r="BO36" s="470"/>
      <c r="BP36" s="470"/>
      <c r="BQ36" s="470"/>
      <c r="BR36" s="470"/>
      <c r="BS36" s="470"/>
      <c r="BT36" s="470"/>
      <c r="BU36" s="470"/>
      <c r="BV36" s="470"/>
      <c r="BW36" s="470"/>
      <c r="BX36" s="470"/>
      <c r="BY36" s="470"/>
      <c r="BZ36" s="470"/>
      <c r="CA36" s="470"/>
      <c r="CB36" s="470"/>
      <c r="CC36" s="470"/>
      <c r="CD36" s="470"/>
      <c r="CE36" s="470"/>
      <c r="CF36" s="470"/>
      <c r="CG36" s="470"/>
      <c r="CH36" s="470"/>
      <c r="CI36" s="470"/>
      <c r="CJ36" s="470"/>
      <c r="CK36" s="470"/>
      <c r="CL36" s="470"/>
      <c r="CM36" s="470"/>
      <c r="CN36" s="470"/>
      <c r="CO36" s="470"/>
      <c r="CP36" s="470"/>
      <c r="CQ36" s="470"/>
      <c r="CR36" s="470"/>
      <c r="CS36" s="470"/>
      <c r="CT36" s="470"/>
      <c r="CU36" s="470"/>
      <c r="CV36" s="470"/>
      <c r="CW36" s="470"/>
      <c r="CX36" s="470"/>
      <c r="CY36" s="470"/>
      <c r="CZ36" s="470"/>
      <c r="DA36" s="470"/>
      <c r="DB36" s="470"/>
      <c r="DC36" s="470"/>
      <c r="DD36" s="470"/>
      <c r="DE36" s="470"/>
      <c r="DF36" s="470"/>
      <c r="DG36" s="470"/>
      <c r="DH36" s="470"/>
      <c r="DI36" s="470"/>
      <c r="DJ36" s="470"/>
      <c r="DK36" s="470"/>
      <c r="DL36" s="470"/>
      <c r="DM36" s="470"/>
      <c r="DN36" s="476"/>
      <c r="DO36" s="470"/>
      <c r="DP36" s="470"/>
      <c r="DQ36" s="470"/>
      <c r="DR36" s="470"/>
      <c r="DS36" s="470"/>
      <c r="DT36" s="470"/>
      <c r="DU36" s="470"/>
      <c r="DV36" s="470"/>
      <c r="DW36" s="470"/>
      <c r="DX36" s="470"/>
      <c r="DY36" s="470"/>
      <c r="DZ36" s="470"/>
      <c r="EA36" s="470"/>
      <c r="EB36" s="470"/>
      <c r="EC36" s="470"/>
      <c r="ED36" s="470"/>
      <c r="EE36" s="470"/>
      <c r="EF36" s="470"/>
      <c r="EG36" s="470"/>
      <c r="EH36" s="470"/>
      <c r="EI36" s="470"/>
      <c r="EJ36" s="470"/>
      <c r="EK36" s="470"/>
      <c r="EL36" s="470"/>
      <c r="EM36" s="470"/>
      <c r="EN36" s="470"/>
      <c r="EO36" s="470"/>
      <c r="EP36" s="470"/>
      <c r="EQ36" s="470"/>
      <c r="ER36" s="470"/>
      <c r="ES36" s="470"/>
      <c r="ET36" s="470"/>
      <c r="EU36" s="470"/>
      <c r="EV36" s="470"/>
      <c r="EW36" s="470"/>
      <c r="EX36" s="470"/>
      <c r="EY36" s="470"/>
      <c r="EZ36" s="470"/>
      <c r="FA36" s="470"/>
      <c r="FB36" s="470"/>
      <c r="FC36" s="470"/>
      <c r="FD36" s="470"/>
      <c r="FE36" s="470"/>
      <c r="FF36" s="470"/>
      <c r="FG36" s="470"/>
      <c r="FH36" s="470"/>
      <c r="FI36" s="470"/>
      <c r="FJ36" s="470"/>
      <c r="FK36" s="470"/>
      <c r="FL36" s="470"/>
      <c r="FM36" s="470"/>
      <c r="FN36" s="470"/>
      <c r="FO36" s="470"/>
      <c r="FP36" s="470"/>
      <c r="FQ36" s="470"/>
      <c r="FR36" s="470"/>
      <c r="FS36" s="470"/>
      <c r="FT36" s="470"/>
      <c r="FU36" s="470"/>
      <c r="FV36" s="470"/>
      <c r="FW36" s="470"/>
      <c r="FX36" s="470"/>
      <c r="FY36" s="470"/>
      <c r="FZ36" s="470"/>
      <c r="GA36" s="470"/>
      <c r="GB36" s="470"/>
      <c r="GC36" s="470"/>
      <c r="GD36" s="470"/>
      <c r="GE36" s="470"/>
      <c r="GF36" s="470"/>
      <c r="GG36" s="470"/>
      <c r="GH36" s="470"/>
      <c r="GI36" s="470"/>
      <c r="GJ36" s="470"/>
      <c r="GK36" s="470"/>
      <c r="GL36" s="470"/>
      <c r="GM36" s="470"/>
      <c r="GN36" s="470"/>
      <c r="GO36" s="470"/>
      <c r="GP36" s="470"/>
      <c r="GQ36" s="470"/>
      <c r="GR36" s="470"/>
      <c r="GS36" s="470"/>
      <c r="GT36" s="470"/>
      <c r="GU36" s="470"/>
      <c r="GV36" s="470"/>
      <c r="GW36" s="470"/>
      <c r="GX36" s="470"/>
      <c r="GY36" s="470"/>
      <c r="GZ36" s="470"/>
      <c r="HA36" s="470"/>
      <c r="HB36" s="470"/>
      <c r="HC36" s="470"/>
      <c r="HD36" s="470"/>
      <c r="HE36" s="470"/>
      <c r="HF36" s="470"/>
      <c r="HG36" s="470"/>
      <c r="HH36" s="470"/>
      <c r="HI36" s="470"/>
      <c r="HJ36" s="470"/>
      <c r="HK36" s="470"/>
      <c r="HL36" s="470"/>
      <c r="HM36" s="470"/>
      <c r="HN36" s="470"/>
      <c r="HO36" s="470"/>
      <c r="HP36" s="470"/>
      <c r="HQ36" s="470"/>
      <c r="HR36" s="470"/>
      <c r="HS36" s="470"/>
      <c r="HT36" s="470"/>
      <c r="HU36" s="470"/>
      <c r="HV36" s="470"/>
      <c r="HW36" s="470"/>
      <c r="HX36" s="470"/>
      <c r="HY36" s="470"/>
      <c r="HZ36" s="470"/>
      <c r="IA36" s="470"/>
      <c r="IB36" s="470"/>
      <c r="IC36" s="470"/>
      <c r="ID36" s="470"/>
      <c r="IE36" s="470"/>
      <c r="IF36" s="470"/>
      <c r="IG36" s="470"/>
      <c r="IH36" s="470"/>
      <c r="II36" s="470"/>
      <c r="IJ36" s="470"/>
      <c r="IK36" s="470"/>
      <c r="IL36" s="470"/>
      <c r="IM36" s="470"/>
      <c r="IN36" s="470"/>
      <c r="IO36" s="470"/>
      <c r="IP36" s="470"/>
      <c r="IQ36" s="470"/>
      <c r="IR36" s="470"/>
      <c r="IS36" s="470"/>
      <c r="IT36" s="470"/>
      <c r="IU36" s="470"/>
      <c r="IV36" s="470"/>
      <c r="IW36" s="470"/>
      <c r="IX36" s="470"/>
      <c r="IY36" s="470"/>
      <c r="IZ36" s="470"/>
      <c r="JA36" s="470"/>
      <c r="JB36" s="530"/>
      <c r="JC36" s="530"/>
      <c r="JG36" s="521"/>
    </row>
    <row r="37" spans="1:267" ht="18.899999999999999" customHeight="1">
      <c r="A37" s="468"/>
      <c r="B37" s="468"/>
      <c r="C37" s="473"/>
      <c r="D37" s="473"/>
      <c r="E37" s="473"/>
      <c r="F37" s="473"/>
      <c r="G37" s="470"/>
      <c r="H37" s="470"/>
      <c r="I37" s="470"/>
      <c r="J37" s="470"/>
      <c r="K37" s="470"/>
      <c r="L37" s="470"/>
      <c r="M37" s="470"/>
      <c r="N37" s="470"/>
      <c r="O37" s="470"/>
      <c r="P37" s="470"/>
      <c r="Q37" s="470"/>
      <c r="R37" s="470"/>
      <c r="S37" s="470"/>
      <c r="T37" s="470"/>
      <c r="U37" s="470"/>
      <c r="V37" s="470"/>
      <c r="W37" s="470"/>
      <c r="X37" s="470"/>
      <c r="Y37" s="470"/>
      <c r="Z37" s="470"/>
      <c r="AA37" s="470"/>
      <c r="AB37" s="470"/>
      <c r="AC37" s="470"/>
      <c r="AD37" s="470"/>
      <c r="AE37" s="470"/>
      <c r="AF37" s="470"/>
      <c r="AG37" s="470"/>
      <c r="AH37" s="470"/>
      <c r="AI37" s="470"/>
      <c r="AJ37" s="470"/>
      <c r="AK37" s="470"/>
      <c r="AL37" s="470"/>
      <c r="AM37" s="470"/>
      <c r="AN37" s="470"/>
      <c r="AO37" s="470"/>
      <c r="AP37" s="470"/>
      <c r="AQ37" s="470"/>
      <c r="AR37" s="470"/>
      <c r="AS37" s="470"/>
      <c r="AT37" s="470"/>
      <c r="AU37" s="470"/>
      <c r="AV37" s="470"/>
      <c r="AW37" s="470"/>
      <c r="AX37" s="470"/>
      <c r="AY37" s="470"/>
      <c r="AZ37" s="470"/>
      <c r="BA37" s="470"/>
      <c r="BB37" s="470"/>
      <c r="BC37" s="470"/>
      <c r="BD37" s="470"/>
      <c r="BE37" s="470"/>
      <c r="BF37" s="470"/>
      <c r="BG37" s="470"/>
      <c r="BH37" s="470"/>
      <c r="BI37" s="470"/>
      <c r="BJ37" s="470"/>
      <c r="BK37" s="470"/>
      <c r="BL37" s="470"/>
      <c r="BM37" s="470"/>
      <c r="BN37" s="470"/>
      <c r="BO37" s="470"/>
      <c r="BP37" s="470"/>
      <c r="BQ37" s="470"/>
      <c r="BR37" s="470"/>
      <c r="BS37" s="470"/>
      <c r="BT37" s="470"/>
      <c r="BU37" s="470"/>
      <c r="BV37" s="470"/>
      <c r="BW37" s="470"/>
      <c r="BX37" s="470"/>
      <c r="BY37" s="470"/>
      <c r="BZ37" s="470"/>
      <c r="CA37" s="470"/>
      <c r="CB37" s="470"/>
      <c r="CC37" s="470"/>
      <c r="CD37" s="470"/>
      <c r="CE37" s="470"/>
      <c r="CF37" s="470"/>
      <c r="CG37" s="470"/>
      <c r="CH37" s="470"/>
      <c r="CI37" s="470"/>
      <c r="CJ37" s="470"/>
      <c r="CK37" s="470"/>
      <c r="CL37" s="470"/>
      <c r="CM37" s="470"/>
      <c r="CN37" s="470"/>
      <c r="CO37" s="470"/>
      <c r="CP37" s="470"/>
      <c r="CQ37" s="470"/>
      <c r="CR37" s="470"/>
      <c r="CS37" s="470"/>
      <c r="CT37" s="470"/>
      <c r="CU37" s="470"/>
      <c r="CV37" s="470"/>
      <c r="CW37" s="470"/>
      <c r="CX37" s="470"/>
      <c r="CY37" s="470"/>
      <c r="CZ37" s="470"/>
      <c r="DA37" s="470"/>
      <c r="DB37" s="470"/>
      <c r="DC37" s="470"/>
      <c r="DD37" s="470"/>
      <c r="DE37" s="470"/>
      <c r="DF37" s="470"/>
      <c r="DG37" s="470"/>
      <c r="DH37" s="470"/>
      <c r="DI37" s="470"/>
      <c r="DJ37" s="470"/>
      <c r="DK37" s="470"/>
      <c r="DL37" s="470"/>
      <c r="DM37" s="470"/>
      <c r="DN37" s="476"/>
      <c r="DO37" s="470"/>
      <c r="DP37" s="470"/>
      <c r="DQ37" s="470"/>
      <c r="DR37" s="470"/>
      <c r="DS37" s="470"/>
      <c r="DT37" s="470"/>
      <c r="DU37" s="470"/>
      <c r="DV37" s="470"/>
      <c r="DW37" s="470"/>
      <c r="DX37" s="470"/>
      <c r="DY37" s="470"/>
      <c r="DZ37" s="470"/>
      <c r="EA37" s="470"/>
      <c r="EB37" s="470"/>
      <c r="EC37" s="470"/>
      <c r="ED37" s="470"/>
      <c r="EE37" s="470"/>
      <c r="EF37" s="470"/>
      <c r="EG37" s="470"/>
      <c r="EH37" s="470"/>
      <c r="EI37" s="470"/>
      <c r="EJ37" s="470"/>
      <c r="EK37" s="470"/>
      <c r="EL37" s="470"/>
      <c r="EM37" s="470"/>
      <c r="EN37" s="470"/>
      <c r="EO37" s="470"/>
      <c r="EP37" s="470"/>
      <c r="EQ37" s="470"/>
      <c r="ER37" s="470"/>
      <c r="ES37" s="470"/>
      <c r="ET37" s="470"/>
      <c r="EU37" s="470"/>
      <c r="EV37" s="470"/>
      <c r="EW37" s="470"/>
      <c r="EX37" s="470"/>
      <c r="EY37" s="470"/>
      <c r="EZ37" s="470"/>
      <c r="FA37" s="470"/>
      <c r="FB37" s="470"/>
      <c r="FC37" s="470"/>
      <c r="FD37" s="470"/>
      <c r="FE37" s="470"/>
      <c r="FF37" s="470"/>
      <c r="FG37" s="470"/>
      <c r="FH37" s="470"/>
      <c r="FI37" s="470"/>
      <c r="FJ37" s="470"/>
      <c r="FK37" s="470"/>
      <c r="FL37" s="470"/>
      <c r="FM37" s="470"/>
      <c r="FN37" s="470"/>
      <c r="FO37" s="470"/>
      <c r="FP37" s="470"/>
      <c r="FQ37" s="470"/>
      <c r="FR37" s="470"/>
      <c r="FS37" s="470"/>
      <c r="FT37" s="470"/>
      <c r="FU37" s="470"/>
      <c r="FV37" s="470"/>
      <c r="FW37" s="470"/>
      <c r="FX37" s="470"/>
      <c r="FY37" s="470"/>
      <c r="FZ37" s="470"/>
      <c r="GA37" s="470"/>
      <c r="GB37" s="470"/>
      <c r="GC37" s="470"/>
      <c r="GD37" s="470"/>
      <c r="GE37" s="470"/>
      <c r="GF37" s="470"/>
      <c r="GG37" s="470"/>
      <c r="GH37" s="470"/>
      <c r="GI37" s="470"/>
      <c r="GJ37" s="470"/>
      <c r="GK37" s="470"/>
      <c r="GL37" s="470"/>
      <c r="GM37" s="470"/>
      <c r="GN37" s="470"/>
      <c r="GO37" s="470"/>
      <c r="GP37" s="470"/>
      <c r="GQ37" s="470"/>
      <c r="GR37" s="470"/>
      <c r="GS37" s="470"/>
      <c r="GT37" s="470"/>
      <c r="GU37" s="470"/>
      <c r="GV37" s="470"/>
      <c r="GW37" s="470"/>
      <c r="GX37" s="470"/>
      <c r="GY37" s="470"/>
      <c r="GZ37" s="470"/>
      <c r="HA37" s="470"/>
      <c r="HB37" s="470"/>
      <c r="HC37" s="470"/>
      <c r="HD37" s="470"/>
      <c r="HE37" s="470"/>
      <c r="HF37" s="470"/>
      <c r="HG37" s="470"/>
      <c r="HH37" s="470"/>
      <c r="HI37" s="470"/>
      <c r="HJ37" s="470"/>
      <c r="HK37" s="470"/>
      <c r="HL37" s="470"/>
      <c r="HM37" s="470"/>
      <c r="HN37" s="470"/>
      <c r="HO37" s="470"/>
      <c r="HP37" s="470"/>
      <c r="HQ37" s="470"/>
      <c r="HR37" s="470"/>
      <c r="HS37" s="470"/>
      <c r="HT37" s="470"/>
      <c r="HU37" s="470"/>
      <c r="HV37" s="470"/>
      <c r="HW37" s="470"/>
      <c r="HX37" s="470"/>
      <c r="HY37" s="470"/>
      <c r="HZ37" s="470"/>
      <c r="IA37" s="470"/>
      <c r="IB37" s="470"/>
      <c r="IC37" s="470"/>
      <c r="ID37" s="470"/>
      <c r="IE37" s="470"/>
      <c r="IF37" s="470"/>
      <c r="IG37" s="470"/>
      <c r="IH37" s="470"/>
      <c r="II37" s="470"/>
      <c r="IJ37" s="470"/>
      <c r="IK37" s="470"/>
      <c r="IL37" s="470"/>
      <c r="IM37" s="470"/>
      <c r="IN37" s="470"/>
      <c r="IO37" s="470"/>
      <c r="IP37" s="470"/>
      <c r="IQ37" s="470"/>
      <c r="IR37" s="470"/>
      <c r="IS37" s="470"/>
      <c r="IT37" s="470"/>
      <c r="IU37" s="470"/>
      <c r="IV37" s="470"/>
      <c r="IW37" s="470"/>
      <c r="IX37" s="470"/>
      <c r="IY37" s="470"/>
      <c r="IZ37" s="470"/>
      <c r="JA37" s="470"/>
      <c r="JB37" s="530"/>
      <c r="JC37" s="530"/>
      <c r="JG37" s="521"/>
    </row>
    <row r="38" spans="1:267" ht="18.899999999999999" customHeight="1">
      <c r="A38" s="468"/>
      <c r="B38" s="468"/>
      <c r="C38" s="473"/>
      <c r="D38" s="473"/>
      <c r="E38" s="473"/>
      <c r="F38" s="473"/>
      <c r="G38" s="470"/>
      <c r="H38" s="470"/>
      <c r="I38" s="470"/>
      <c r="J38" s="470"/>
      <c r="K38" s="470"/>
      <c r="L38" s="470"/>
      <c r="M38" s="470"/>
      <c r="N38" s="470"/>
      <c r="O38" s="470"/>
      <c r="P38" s="470"/>
      <c r="Q38" s="470"/>
      <c r="R38" s="470"/>
      <c r="S38" s="470"/>
      <c r="T38" s="470"/>
      <c r="U38" s="470"/>
      <c r="V38" s="470"/>
      <c r="W38" s="470"/>
      <c r="X38" s="470"/>
      <c r="Y38" s="470"/>
      <c r="Z38" s="470"/>
      <c r="AA38" s="470"/>
      <c r="AB38" s="470"/>
      <c r="AC38" s="470"/>
      <c r="AD38" s="470"/>
      <c r="AE38" s="470"/>
      <c r="AF38" s="470"/>
      <c r="AG38" s="470"/>
      <c r="AH38" s="470"/>
      <c r="AI38" s="470"/>
      <c r="AJ38" s="470"/>
      <c r="AK38" s="470"/>
      <c r="AL38" s="470"/>
      <c r="AM38" s="470"/>
      <c r="AN38" s="470"/>
      <c r="AO38" s="470"/>
      <c r="AP38" s="470"/>
      <c r="AQ38" s="470"/>
      <c r="AR38" s="470"/>
      <c r="AS38" s="470"/>
      <c r="AT38" s="470"/>
      <c r="AU38" s="470"/>
      <c r="AV38" s="470"/>
      <c r="AW38" s="470"/>
      <c r="AX38" s="470"/>
      <c r="AY38" s="470"/>
      <c r="AZ38" s="470"/>
      <c r="BA38" s="470"/>
      <c r="BB38" s="470"/>
      <c r="BC38" s="470"/>
      <c r="BD38" s="470"/>
      <c r="BE38" s="470"/>
      <c r="BF38" s="470"/>
      <c r="BG38" s="470"/>
      <c r="BH38" s="470"/>
      <c r="BI38" s="470"/>
      <c r="BJ38" s="470"/>
      <c r="BK38" s="470"/>
      <c r="BL38" s="470"/>
      <c r="BM38" s="470"/>
      <c r="BN38" s="470"/>
      <c r="BO38" s="470"/>
      <c r="BP38" s="470"/>
      <c r="BQ38" s="470"/>
      <c r="BR38" s="470"/>
      <c r="BS38" s="470"/>
      <c r="BT38" s="470"/>
      <c r="BU38" s="470"/>
      <c r="BV38" s="470"/>
      <c r="BW38" s="470"/>
      <c r="BX38" s="470"/>
      <c r="BY38" s="470"/>
      <c r="BZ38" s="470"/>
      <c r="CA38" s="470"/>
      <c r="CB38" s="470"/>
      <c r="CC38" s="470"/>
      <c r="CD38" s="470"/>
      <c r="CE38" s="470"/>
      <c r="CF38" s="470"/>
      <c r="CG38" s="470"/>
      <c r="CH38" s="470"/>
      <c r="CI38" s="470"/>
      <c r="CJ38" s="470"/>
      <c r="CK38" s="470"/>
      <c r="CL38" s="470"/>
      <c r="CM38" s="470"/>
      <c r="CN38" s="470"/>
      <c r="CO38" s="470"/>
      <c r="CP38" s="470"/>
      <c r="CQ38" s="470"/>
      <c r="CR38" s="470"/>
      <c r="CS38" s="470"/>
      <c r="CT38" s="470"/>
      <c r="CU38" s="470"/>
      <c r="CV38" s="470"/>
      <c r="CW38" s="470"/>
      <c r="CX38" s="470"/>
      <c r="CY38" s="470"/>
      <c r="CZ38" s="470"/>
      <c r="DA38" s="470"/>
      <c r="DB38" s="470"/>
      <c r="DC38" s="470"/>
      <c r="DD38" s="470"/>
      <c r="DE38" s="470"/>
      <c r="DF38" s="470"/>
      <c r="DG38" s="470"/>
      <c r="DH38" s="470"/>
      <c r="DI38" s="470"/>
      <c r="DJ38" s="470"/>
      <c r="DK38" s="470"/>
      <c r="DL38" s="470"/>
      <c r="DM38" s="470"/>
      <c r="DN38" s="476"/>
      <c r="DO38" s="470"/>
      <c r="DP38" s="470"/>
      <c r="DQ38" s="470"/>
      <c r="DR38" s="470"/>
      <c r="DS38" s="470"/>
      <c r="DT38" s="470"/>
      <c r="DU38" s="470"/>
      <c r="DV38" s="470"/>
      <c r="DW38" s="470"/>
      <c r="DX38" s="470"/>
      <c r="DY38" s="470"/>
      <c r="DZ38" s="470"/>
      <c r="EA38" s="470"/>
      <c r="EB38" s="470"/>
      <c r="EC38" s="470"/>
      <c r="ED38" s="470"/>
      <c r="EE38" s="470"/>
      <c r="EF38" s="470"/>
      <c r="EG38" s="470"/>
      <c r="EH38" s="470"/>
      <c r="EI38" s="470"/>
      <c r="EJ38" s="470"/>
      <c r="EK38" s="470"/>
      <c r="EL38" s="470"/>
      <c r="EM38" s="470"/>
      <c r="EN38" s="470"/>
      <c r="EO38" s="470"/>
      <c r="EP38" s="470"/>
      <c r="EQ38" s="470"/>
      <c r="ER38" s="470"/>
      <c r="ES38" s="470"/>
      <c r="ET38" s="470"/>
      <c r="EU38" s="470"/>
      <c r="EV38" s="470"/>
      <c r="EW38" s="470"/>
      <c r="EX38" s="470"/>
      <c r="EY38" s="470"/>
      <c r="EZ38" s="470"/>
      <c r="FA38" s="470"/>
      <c r="FB38" s="470"/>
      <c r="FC38" s="470"/>
      <c r="FD38" s="470"/>
      <c r="FE38" s="470"/>
      <c r="FF38" s="470"/>
      <c r="FG38" s="470"/>
      <c r="FH38" s="470"/>
      <c r="FI38" s="470"/>
      <c r="FJ38" s="470"/>
      <c r="FK38" s="470"/>
      <c r="FL38" s="470"/>
      <c r="FM38" s="470"/>
      <c r="FN38" s="470"/>
      <c r="FO38" s="470"/>
      <c r="FP38" s="470"/>
      <c r="FQ38" s="470"/>
      <c r="FR38" s="470"/>
      <c r="FS38" s="470"/>
      <c r="FT38" s="470"/>
      <c r="FU38" s="470"/>
      <c r="FV38" s="470"/>
      <c r="FW38" s="470"/>
      <c r="FX38" s="470"/>
      <c r="FY38" s="470"/>
      <c r="FZ38" s="470"/>
      <c r="GA38" s="470"/>
      <c r="GB38" s="470"/>
      <c r="GC38" s="470"/>
      <c r="GD38" s="470"/>
      <c r="GE38" s="470"/>
      <c r="GF38" s="470"/>
      <c r="GG38" s="470"/>
      <c r="GH38" s="470"/>
      <c r="GI38" s="470"/>
      <c r="GJ38" s="470"/>
      <c r="GK38" s="470"/>
      <c r="GL38" s="470"/>
      <c r="GM38" s="470"/>
      <c r="GN38" s="470"/>
      <c r="GO38" s="470"/>
      <c r="GP38" s="470"/>
      <c r="GQ38" s="470"/>
      <c r="GR38" s="470"/>
      <c r="GS38" s="470"/>
      <c r="GT38" s="470"/>
      <c r="GU38" s="470"/>
      <c r="GV38" s="470"/>
      <c r="GW38" s="470"/>
      <c r="GX38" s="470"/>
      <c r="GY38" s="470"/>
      <c r="GZ38" s="470"/>
      <c r="HA38" s="470"/>
      <c r="HB38" s="470"/>
      <c r="HC38" s="470"/>
      <c r="HD38" s="470"/>
      <c r="HE38" s="470"/>
      <c r="HF38" s="470"/>
      <c r="HG38" s="470"/>
      <c r="HH38" s="470"/>
      <c r="HI38" s="470"/>
      <c r="HJ38" s="470"/>
      <c r="HK38" s="470"/>
      <c r="HL38" s="470"/>
      <c r="HM38" s="470"/>
      <c r="HN38" s="470"/>
      <c r="HO38" s="470"/>
      <c r="HP38" s="470"/>
      <c r="HQ38" s="470"/>
      <c r="HR38" s="470"/>
      <c r="HS38" s="470"/>
      <c r="HT38" s="470"/>
      <c r="HU38" s="470"/>
      <c r="HV38" s="470"/>
      <c r="HW38" s="470"/>
      <c r="HX38" s="470"/>
      <c r="HY38" s="470"/>
      <c r="HZ38" s="470"/>
      <c r="IA38" s="470"/>
      <c r="IB38" s="470"/>
      <c r="IC38" s="470"/>
      <c r="ID38" s="470"/>
      <c r="IE38" s="470"/>
      <c r="IF38" s="470"/>
      <c r="IG38" s="470"/>
      <c r="IH38" s="470"/>
      <c r="II38" s="470"/>
      <c r="IJ38" s="470"/>
      <c r="IK38" s="470"/>
      <c r="IL38" s="470"/>
      <c r="IM38" s="470"/>
      <c r="IN38" s="470"/>
      <c r="IO38" s="470"/>
      <c r="IP38" s="470"/>
      <c r="IQ38" s="470"/>
      <c r="IR38" s="470"/>
      <c r="IS38" s="470"/>
      <c r="IT38" s="470"/>
      <c r="IU38" s="470"/>
      <c r="IV38" s="470"/>
      <c r="IW38" s="470"/>
      <c r="IX38" s="470"/>
      <c r="IY38" s="470"/>
      <c r="IZ38" s="470"/>
      <c r="JA38" s="470"/>
      <c r="JB38" s="530"/>
      <c r="JC38" s="530"/>
      <c r="JG38" s="521"/>
    </row>
    <row r="39" spans="1:267" ht="18.899999999999999" customHeight="1">
      <c r="A39" s="468"/>
      <c r="B39" s="468"/>
      <c r="C39" s="473"/>
      <c r="D39" s="473"/>
      <c r="E39" s="473"/>
      <c r="F39" s="473"/>
      <c r="G39" s="470"/>
      <c r="H39" s="470"/>
      <c r="I39" s="470"/>
      <c r="J39" s="470"/>
      <c r="K39" s="470"/>
      <c r="L39" s="470"/>
      <c r="M39" s="470"/>
      <c r="N39" s="470"/>
      <c r="O39" s="470"/>
      <c r="P39" s="470"/>
      <c r="Q39" s="470"/>
      <c r="R39" s="470"/>
      <c r="S39" s="470"/>
      <c r="T39" s="470"/>
      <c r="U39" s="470"/>
      <c r="V39" s="470"/>
      <c r="W39" s="470"/>
      <c r="X39" s="470"/>
      <c r="Y39" s="470"/>
      <c r="Z39" s="470"/>
      <c r="AA39" s="470"/>
      <c r="AB39" s="470"/>
      <c r="AC39" s="470"/>
      <c r="AD39" s="470"/>
      <c r="AE39" s="470"/>
      <c r="AF39" s="470"/>
      <c r="AG39" s="470"/>
      <c r="AH39" s="470"/>
      <c r="AI39" s="470"/>
      <c r="AJ39" s="470"/>
      <c r="AK39" s="470"/>
      <c r="AL39" s="470"/>
      <c r="AM39" s="470"/>
      <c r="AN39" s="470"/>
      <c r="AO39" s="470"/>
      <c r="AP39" s="470"/>
      <c r="AQ39" s="470"/>
      <c r="AR39" s="470"/>
      <c r="AS39" s="470"/>
      <c r="AT39" s="470"/>
      <c r="AU39" s="470"/>
      <c r="AV39" s="470"/>
      <c r="AW39" s="470"/>
      <c r="AX39" s="470"/>
      <c r="AY39" s="470"/>
      <c r="AZ39" s="470"/>
      <c r="BA39" s="470"/>
      <c r="BB39" s="470"/>
      <c r="BC39" s="470"/>
      <c r="BD39" s="470"/>
      <c r="BE39" s="470"/>
      <c r="BF39" s="470"/>
      <c r="BG39" s="470"/>
      <c r="BH39" s="470"/>
      <c r="BI39" s="470"/>
      <c r="BJ39" s="470"/>
      <c r="BK39" s="470"/>
      <c r="BL39" s="470"/>
      <c r="BM39" s="470"/>
      <c r="BN39" s="470"/>
      <c r="BO39" s="470"/>
      <c r="BP39" s="470"/>
      <c r="BQ39" s="470"/>
      <c r="BR39" s="470"/>
      <c r="BS39" s="470"/>
      <c r="BT39" s="470"/>
      <c r="BU39" s="470"/>
      <c r="BV39" s="470"/>
      <c r="BW39" s="470"/>
      <c r="BX39" s="470"/>
      <c r="BY39" s="470"/>
      <c r="BZ39" s="470"/>
      <c r="CA39" s="470"/>
      <c r="CB39" s="470"/>
      <c r="CC39" s="470"/>
      <c r="CD39" s="470"/>
      <c r="CE39" s="470"/>
      <c r="CF39" s="470"/>
      <c r="CG39" s="470"/>
      <c r="CH39" s="470"/>
      <c r="CI39" s="470"/>
      <c r="CJ39" s="470"/>
      <c r="CK39" s="470"/>
      <c r="CL39" s="470"/>
      <c r="CM39" s="470"/>
      <c r="CN39" s="470"/>
      <c r="CO39" s="470"/>
      <c r="CP39" s="470"/>
      <c r="CQ39" s="470"/>
      <c r="CR39" s="470"/>
      <c r="CS39" s="470"/>
      <c r="CT39" s="470"/>
      <c r="CU39" s="470"/>
      <c r="CV39" s="470"/>
      <c r="CW39" s="470"/>
      <c r="CX39" s="470"/>
      <c r="CY39" s="470"/>
      <c r="CZ39" s="470"/>
      <c r="DA39" s="470"/>
      <c r="DB39" s="470"/>
      <c r="DC39" s="470"/>
      <c r="DD39" s="470"/>
      <c r="DE39" s="470"/>
      <c r="DF39" s="470"/>
      <c r="DG39" s="470"/>
      <c r="DH39" s="470"/>
      <c r="DI39" s="470"/>
      <c r="DJ39" s="470"/>
      <c r="DK39" s="470"/>
      <c r="DL39" s="470"/>
      <c r="DM39" s="470"/>
      <c r="DN39" s="476"/>
      <c r="DO39" s="470"/>
      <c r="DP39" s="470"/>
      <c r="DQ39" s="470"/>
      <c r="DR39" s="470"/>
      <c r="DS39" s="470"/>
      <c r="DT39" s="470"/>
      <c r="DU39" s="470"/>
      <c r="DV39" s="470"/>
      <c r="DW39" s="470"/>
      <c r="DX39" s="470"/>
      <c r="DY39" s="470"/>
      <c r="DZ39" s="470"/>
      <c r="EA39" s="470"/>
      <c r="EB39" s="470"/>
      <c r="EC39" s="470"/>
      <c r="ED39" s="470"/>
      <c r="EE39" s="470"/>
      <c r="EF39" s="470"/>
      <c r="EG39" s="470"/>
      <c r="EH39" s="470"/>
      <c r="EI39" s="470"/>
      <c r="EJ39" s="470"/>
      <c r="EK39" s="470"/>
      <c r="EL39" s="470"/>
      <c r="EM39" s="470"/>
      <c r="EN39" s="470"/>
      <c r="EO39" s="470"/>
      <c r="EP39" s="470"/>
      <c r="EQ39" s="470"/>
      <c r="ER39" s="470"/>
      <c r="ES39" s="470"/>
      <c r="ET39" s="470"/>
      <c r="EU39" s="470"/>
      <c r="EV39" s="470"/>
      <c r="EW39" s="470"/>
      <c r="EX39" s="470"/>
      <c r="EY39" s="470"/>
      <c r="EZ39" s="470"/>
      <c r="FA39" s="470"/>
      <c r="FB39" s="470"/>
      <c r="FC39" s="470"/>
      <c r="FD39" s="470"/>
      <c r="FE39" s="470"/>
      <c r="FF39" s="470"/>
      <c r="FG39" s="470"/>
      <c r="FH39" s="470"/>
      <c r="FI39" s="470"/>
      <c r="FJ39" s="470"/>
      <c r="FK39" s="470"/>
      <c r="FL39" s="470"/>
      <c r="FM39" s="470"/>
      <c r="FN39" s="470"/>
      <c r="FO39" s="470"/>
      <c r="FP39" s="470"/>
      <c r="FQ39" s="470"/>
      <c r="FR39" s="470"/>
      <c r="FS39" s="470"/>
      <c r="FT39" s="470"/>
      <c r="FU39" s="470"/>
      <c r="FV39" s="470"/>
      <c r="FW39" s="470"/>
      <c r="FX39" s="470"/>
      <c r="FY39" s="470"/>
      <c r="FZ39" s="470"/>
      <c r="GA39" s="470"/>
      <c r="GB39" s="470"/>
      <c r="GC39" s="470"/>
      <c r="GD39" s="470"/>
      <c r="GE39" s="470"/>
      <c r="GF39" s="470"/>
      <c r="GG39" s="470"/>
      <c r="GH39" s="470"/>
      <c r="GI39" s="470"/>
      <c r="GJ39" s="470"/>
      <c r="GK39" s="470"/>
      <c r="GL39" s="470"/>
      <c r="GM39" s="470"/>
      <c r="GN39" s="470"/>
      <c r="GO39" s="470"/>
      <c r="GP39" s="470"/>
      <c r="GQ39" s="470"/>
      <c r="GR39" s="470"/>
      <c r="GS39" s="470"/>
      <c r="GT39" s="470"/>
      <c r="GU39" s="470"/>
      <c r="GV39" s="470"/>
      <c r="GW39" s="470"/>
      <c r="GX39" s="470"/>
      <c r="GY39" s="470"/>
      <c r="GZ39" s="470"/>
      <c r="HA39" s="470"/>
      <c r="HB39" s="470"/>
      <c r="HC39" s="470"/>
      <c r="HD39" s="470"/>
      <c r="HE39" s="470"/>
      <c r="HF39" s="470"/>
      <c r="HG39" s="470"/>
      <c r="HH39" s="470"/>
      <c r="HI39" s="470"/>
      <c r="HJ39" s="470"/>
      <c r="HK39" s="470"/>
      <c r="HL39" s="470"/>
      <c r="HM39" s="470"/>
      <c r="HN39" s="470"/>
      <c r="HO39" s="470"/>
      <c r="HP39" s="470"/>
      <c r="HQ39" s="470"/>
      <c r="HR39" s="470"/>
      <c r="HS39" s="470"/>
      <c r="HT39" s="470"/>
      <c r="HU39" s="470"/>
      <c r="HV39" s="470"/>
      <c r="HW39" s="470"/>
      <c r="HX39" s="470"/>
      <c r="HY39" s="470"/>
      <c r="HZ39" s="470"/>
      <c r="IA39" s="470"/>
      <c r="IB39" s="470"/>
      <c r="IC39" s="470"/>
      <c r="ID39" s="470"/>
      <c r="IE39" s="470"/>
      <c r="IF39" s="470"/>
      <c r="IG39" s="470"/>
      <c r="IH39" s="470"/>
      <c r="II39" s="470"/>
      <c r="IJ39" s="470"/>
      <c r="IK39" s="470"/>
      <c r="IL39" s="470"/>
      <c r="IM39" s="470"/>
      <c r="IN39" s="470"/>
      <c r="IO39" s="470"/>
      <c r="IP39" s="470"/>
      <c r="IQ39" s="470"/>
      <c r="IR39" s="470"/>
      <c r="IS39" s="470"/>
      <c r="IT39" s="470"/>
      <c r="IU39" s="470"/>
      <c r="IV39" s="470"/>
      <c r="IW39" s="470"/>
      <c r="IX39" s="470"/>
      <c r="IY39" s="470"/>
      <c r="IZ39" s="470"/>
      <c r="JA39" s="470"/>
      <c r="JB39" s="530"/>
      <c r="JC39" s="530"/>
      <c r="JG39" s="521"/>
    </row>
    <row r="40" spans="1:267" ht="18.899999999999999" customHeight="1">
      <c r="A40" s="468"/>
      <c r="B40" s="468"/>
      <c r="C40" s="473"/>
      <c r="D40" s="473"/>
      <c r="E40" s="473"/>
      <c r="F40" s="473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0"/>
      <c r="S40" s="470"/>
      <c r="T40" s="470"/>
      <c r="U40" s="470"/>
      <c r="V40" s="470"/>
      <c r="W40" s="470"/>
      <c r="X40" s="470"/>
      <c r="Y40" s="470"/>
      <c r="Z40" s="470"/>
      <c r="AA40" s="470"/>
      <c r="AB40" s="470"/>
      <c r="AC40" s="470"/>
      <c r="AD40" s="470"/>
      <c r="AE40" s="470"/>
      <c r="AF40" s="470"/>
      <c r="AG40" s="470"/>
      <c r="AH40" s="470"/>
      <c r="AI40" s="470"/>
      <c r="AJ40" s="470"/>
      <c r="AK40" s="470"/>
      <c r="AL40" s="470"/>
      <c r="AM40" s="470"/>
      <c r="AN40" s="470"/>
      <c r="AO40" s="470"/>
      <c r="AP40" s="470"/>
      <c r="AQ40" s="470"/>
      <c r="AR40" s="470"/>
      <c r="AS40" s="470"/>
      <c r="AT40" s="470"/>
      <c r="AU40" s="470"/>
      <c r="AV40" s="470"/>
      <c r="AW40" s="470"/>
      <c r="AX40" s="470"/>
      <c r="AY40" s="470"/>
      <c r="AZ40" s="470"/>
      <c r="BA40" s="470"/>
      <c r="BB40" s="470"/>
      <c r="BC40" s="470"/>
      <c r="BD40" s="470"/>
      <c r="BE40" s="470"/>
      <c r="BF40" s="470"/>
      <c r="BG40" s="470"/>
      <c r="BH40" s="470"/>
      <c r="BI40" s="470"/>
      <c r="BJ40" s="470"/>
      <c r="BK40" s="470"/>
      <c r="BL40" s="470"/>
      <c r="BM40" s="470"/>
      <c r="BN40" s="470"/>
      <c r="BO40" s="470"/>
      <c r="BP40" s="470"/>
      <c r="BQ40" s="470"/>
      <c r="BR40" s="470"/>
      <c r="BS40" s="470"/>
      <c r="BT40" s="470"/>
      <c r="BU40" s="470"/>
      <c r="BV40" s="470"/>
      <c r="BW40" s="470"/>
      <c r="BX40" s="470"/>
      <c r="BY40" s="470"/>
      <c r="BZ40" s="470"/>
      <c r="CA40" s="470"/>
      <c r="CB40" s="470"/>
      <c r="CC40" s="470"/>
      <c r="CD40" s="470"/>
      <c r="CE40" s="470"/>
      <c r="CF40" s="470"/>
      <c r="CG40" s="470"/>
      <c r="CH40" s="470"/>
      <c r="CI40" s="470"/>
      <c r="CJ40" s="470"/>
      <c r="CK40" s="470"/>
      <c r="CL40" s="470"/>
      <c r="CM40" s="470"/>
      <c r="CN40" s="470"/>
      <c r="CO40" s="470"/>
      <c r="CP40" s="470"/>
      <c r="CQ40" s="470"/>
      <c r="CR40" s="470"/>
      <c r="CS40" s="470"/>
      <c r="CT40" s="470"/>
      <c r="CU40" s="470"/>
      <c r="CV40" s="470"/>
      <c r="CW40" s="470"/>
      <c r="CX40" s="470"/>
      <c r="CY40" s="470"/>
      <c r="CZ40" s="470"/>
      <c r="DA40" s="470"/>
      <c r="DB40" s="470"/>
      <c r="DC40" s="470"/>
      <c r="DD40" s="470"/>
      <c r="DE40" s="470"/>
      <c r="DF40" s="470"/>
      <c r="DG40" s="470"/>
      <c r="DH40" s="470"/>
      <c r="DI40" s="470"/>
      <c r="DJ40" s="470"/>
      <c r="DK40" s="470"/>
      <c r="DL40" s="470"/>
      <c r="DM40" s="470"/>
      <c r="DN40" s="476"/>
      <c r="DO40" s="470"/>
      <c r="DP40" s="470"/>
      <c r="DQ40" s="470"/>
      <c r="DR40" s="470"/>
      <c r="DS40" s="470"/>
      <c r="DT40" s="470"/>
      <c r="DU40" s="470"/>
      <c r="DV40" s="470"/>
      <c r="DW40" s="470"/>
      <c r="DX40" s="470"/>
      <c r="DY40" s="470"/>
      <c r="DZ40" s="470"/>
      <c r="EA40" s="470"/>
      <c r="EB40" s="470"/>
      <c r="EC40" s="470"/>
      <c r="ED40" s="470"/>
      <c r="EE40" s="470"/>
      <c r="EF40" s="470"/>
      <c r="EG40" s="470"/>
      <c r="EH40" s="470"/>
      <c r="EI40" s="470"/>
      <c r="EJ40" s="470"/>
      <c r="EK40" s="470"/>
      <c r="EL40" s="470"/>
      <c r="EM40" s="470"/>
      <c r="EN40" s="470"/>
      <c r="EO40" s="470"/>
      <c r="EP40" s="470"/>
      <c r="EQ40" s="470"/>
      <c r="ER40" s="470"/>
      <c r="ES40" s="470"/>
      <c r="ET40" s="470"/>
      <c r="EU40" s="470"/>
      <c r="EV40" s="470"/>
      <c r="EW40" s="470"/>
      <c r="EX40" s="470"/>
      <c r="EY40" s="470"/>
      <c r="EZ40" s="470"/>
      <c r="FA40" s="470"/>
      <c r="FB40" s="470"/>
      <c r="FC40" s="470"/>
      <c r="FD40" s="470"/>
      <c r="FE40" s="470"/>
      <c r="FF40" s="470"/>
      <c r="FG40" s="470"/>
      <c r="FH40" s="470"/>
      <c r="FI40" s="470"/>
      <c r="FJ40" s="470"/>
      <c r="FK40" s="470"/>
      <c r="FL40" s="470"/>
      <c r="FM40" s="470"/>
      <c r="FN40" s="470"/>
      <c r="FO40" s="470"/>
      <c r="FP40" s="470"/>
      <c r="FQ40" s="470"/>
      <c r="FR40" s="470"/>
      <c r="FS40" s="470"/>
      <c r="FT40" s="470"/>
      <c r="FU40" s="470"/>
      <c r="FV40" s="470"/>
      <c r="FW40" s="470"/>
      <c r="FX40" s="470"/>
      <c r="FY40" s="470"/>
      <c r="FZ40" s="470"/>
      <c r="GA40" s="470"/>
      <c r="GB40" s="470"/>
      <c r="GC40" s="470"/>
      <c r="GD40" s="470"/>
      <c r="GE40" s="470"/>
      <c r="GF40" s="470"/>
      <c r="GG40" s="470"/>
      <c r="GH40" s="470"/>
      <c r="GI40" s="470"/>
      <c r="GJ40" s="470"/>
      <c r="GK40" s="470"/>
      <c r="GL40" s="470"/>
      <c r="GM40" s="470"/>
      <c r="GN40" s="470"/>
      <c r="GO40" s="470"/>
      <c r="GP40" s="470"/>
      <c r="GQ40" s="470"/>
      <c r="GR40" s="470"/>
      <c r="GS40" s="470"/>
      <c r="GT40" s="470"/>
      <c r="GU40" s="470"/>
      <c r="GV40" s="470"/>
      <c r="GW40" s="470"/>
      <c r="GX40" s="470"/>
      <c r="GY40" s="470"/>
      <c r="GZ40" s="470"/>
      <c r="HA40" s="470"/>
      <c r="HB40" s="470"/>
      <c r="HC40" s="470"/>
      <c r="HD40" s="470"/>
      <c r="HE40" s="470"/>
      <c r="HF40" s="470"/>
      <c r="HG40" s="470"/>
      <c r="HH40" s="470"/>
      <c r="HI40" s="470"/>
      <c r="HJ40" s="470"/>
      <c r="HK40" s="470"/>
      <c r="HL40" s="470"/>
      <c r="HM40" s="470"/>
      <c r="HN40" s="470"/>
      <c r="HO40" s="470"/>
      <c r="HP40" s="470"/>
      <c r="HQ40" s="470"/>
      <c r="HR40" s="470"/>
      <c r="HS40" s="470"/>
      <c r="HT40" s="470"/>
      <c r="HU40" s="470"/>
      <c r="HV40" s="470"/>
      <c r="HW40" s="470"/>
      <c r="HX40" s="470"/>
      <c r="HY40" s="470"/>
      <c r="HZ40" s="470"/>
      <c r="IA40" s="470"/>
      <c r="IB40" s="470"/>
      <c r="IC40" s="470"/>
      <c r="ID40" s="470"/>
      <c r="IE40" s="470"/>
      <c r="IF40" s="470"/>
      <c r="IG40" s="470"/>
      <c r="IH40" s="470"/>
      <c r="II40" s="470"/>
      <c r="IJ40" s="470"/>
      <c r="IK40" s="470"/>
      <c r="IL40" s="470"/>
      <c r="IM40" s="470"/>
      <c r="IN40" s="470"/>
      <c r="IO40" s="470"/>
      <c r="IP40" s="470"/>
      <c r="IQ40" s="470"/>
      <c r="IR40" s="470"/>
      <c r="IS40" s="470"/>
      <c r="IT40" s="470"/>
      <c r="IU40" s="470"/>
      <c r="IV40" s="470"/>
      <c r="IW40" s="470"/>
      <c r="IX40" s="470"/>
      <c r="IY40" s="470"/>
      <c r="IZ40" s="470"/>
      <c r="JA40" s="470"/>
      <c r="JB40" s="530"/>
      <c r="JC40" s="530"/>
      <c r="JG40" s="521"/>
    </row>
    <row r="41" spans="1:267" ht="18.899999999999999" customHeight="1">
      <c r="A41" s="468"/>
      <c r="B41" s="468"/>
      <c r="C41" s="473"/>
      <c r="D41" s="473"/>
      <c r="E41" s="473"/>
      <c r="F41" s="473"/>
      <c r="G41" s="470"/>
      <c r="H41" s="470"/>
      <c r="I41" s="470"/>
      <c r="J41" s="470"/>
      <c r="K41" s="470"/>
      <c r="L41" s="470"/>
      <c r="M41" s="470"/>
      <c r="N41" s="470"/>
      <c r="O41" s="470"/>
      <c r="P41" s="470"/>
      <c r="Q41" s="470"/>
      <c r="R41" s="470"/>
      <c r="S41" s="470"/>
      <c r="T41" s="470"/>
      <c r="U41" s="470"/>
      <c r="V41" s="470"/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70"/>
      <c r="AK41" s="470"/>
      <c r="AL41" s="470"/>
      <c r="AM41" s="470"/>
      <c r="AN41" s="470"/>
      <c r="AO41" s="470"/>
      <c r="AP41" s="470"/>
      <c r="AQ41" s="470"/>
      <c r="AR41" s="470"/>
      <c r="AS41" s="470"/>
      <c r="AT41" s="470"/>
      <c r="AU41" s="470"/>
      <c r="AV41" s="470"/>
      <c r="AW41" s="470"/>
      <c r="AX41" s="470"/>
      <c r="AY41" s="470"/>
      <c r="AZ41" s="470"/>
      <c r="BA41" s="470"/>
      <c r="BB41" s="470"/>
      <c r="BC41" s="470"/>
      <c r="BD41" s="470"/>
      <c r="BE41" s="470"/>
      <c r="BF41" s="470"/>
      <c r="BG41" s="470"/>
      <c r="BH41" s="470"/>
      <c r="BI41" s="470"/>
      <c r="BJ41" s="470"/>
      <c r="BK41" s="470"/>
      <c r="BL41" s="470"/>
      <c r="BM41" s="470"/>
      <c r="BN41" s="470"/>
      <c r="BO41" s="470"/>
      <c r="BP41" s="470"/>
      <c r="BQ41" s="470"/>
      <c r="BR41" s="470"/>
      <c r="BS41" s="470"/>
      <c r="BT41" s="470"/>
      <c r="BU41" s="470"/>
      <c r="BV41" s="470"/>
      <c r="BW41" s="470"/>
      <c r="BX41" s="470"/>
      <c r="BY41" s="470"/>
      <c r="BZ41" s="470"/>
      <c r="CA41" s="470"/>
      <c r="CB41" s="470"/>
      <c r="CC41" s="470"/>
      <c r="CD41" s="470"/>
      <c r="CE41" s="470"/>
      <c r="CF41" s="470"/>
      <c r="CG41" s="470"/>
      <c r="CH41" s="470"/>
      <c r="CI41" s="470"/>
      <c r="CJ41" s="470"/>
      <c r="CK41" s="470"/>
      <c r="CL41" s="470"/>
      <c r="CM41" s="470"/>
      <c r="CN41" s="470"/>
      <c r="CO41" s="470"/>
      <c r="CP41" s="470"/>
      <c r="CQ41" s="470"/>
      <c r="CR41" s="470"/>
      <c r="CS41" s="470"/>
      <c r="CT41" s="470"/>
      <c r="CU41" s="470"/>
      <c r="CV41" s="470"/>
      <c r="CW41" s="470"/>
      <c r="CX41" s="470"/>
      <c r="CY41" s="470"/>
      <c r="CZ41" s="470"/>
      <c r="DA41" s="470"/>
      <c r="DB41" s="470"/>
      <c r="DC41" s="470"/>
      <c r="DD41" s="470"/>
      <c r="DE41" s="470"/>
      <c r="DF41" s="470"/>
      <c r="DG41" s="470"/>
      <c r="DH41" s="470"/>
      <c r="DI41" s="470"/>
      <c r="DJ41" s="470"/>
      <c r="DK41" s="470"/>
      <c r="DL41" s="470"/>
      <c r="DM41" s="470"/>
      <c r="DN41" s="476"/>
      <c r="DO41" s="470"/>
      <c r="DP41" s="470"/>
      <c r="DQ41" s="470"/>
      <c r="DR41" s="470"/>
      <c r="DS41" s="470"/>
      <c r="DT41" s="470"/>
      <c r="DU41" s="470"/>
      <c r="DV41" s="470"/>
      <c r="DW41" s="470"/>
      <c r="DX41" s="470"/>
      <c r="DY41" s="470"/>
      <c r="DZ41" s="470"/>
      <c r="EA41" s="470"/>
      <c r="EB41" s="470"/>
      <c r="EC41" s="470"/>
      <c r="ED41" s="470"/>
      <c r="EE41" s="470"/>
      <c r="EF41" s="470"/>
      <c r="EG41" s="470"/>
      <c r="EH41" s="470"/>
      <c r="EI41" s="470"/>
      <c r="EJ41" s="470"/>
      <c r="EK41" s="470"/>
      <c r="EL41" s="470"/>
      <c r="EM41" s="470"/>
      <c r="EN41" s="470"/>
      <c r="EO41" s="470"/>
      <c r="EP41" s="470"/>
      <c r="EQ41" s="470"/>
      <c r="ER41" s="470"/>
      <c r="ES41" s="470"/>
      <c r="ET41" s="470"/>
      <c r="EU41" s="470"/>
      <c r="EV41" s="470"/>
      <c r="EW41" s="470"/>
      <c r="EX41" s="470"/>
      <c r="EY41" s="470"/>
      <c r="EZ41" s="470"/>
      <c r="FA41" s="470"/>
      <c r="FB41" s="470"/>
      <c r="FC41" s="470"/>
      <c r="FD41" s="470"/>
      <c r="FE41" s="470"/>
      <c r="FF41" s="470"/>
      <c r="FG41" s="470"/>
      <c r="FH41" s="470"/>
      <c r="FI41" s="470"/>
      <c r="FJ41" s="470"/>
      <c r="FK41" s="470"/>
      <c r="FL41" s="470"/>
      <c r="FM41" s="470"/>
      <c r="FN41" s="470"/>
      <c r="FO41" s="470"/>
      <c r="FP41" s="470"/>
      <c r="FQ41" s="470"/>
      <c r="FR41" s="470"/>
      <c r="FS41" s="470"/>
      <c r="FT41" s="470"/>
      <c r="FU41" s="470"/>
      <c r="FV41" s="470"/>
      <c r="FW41" s="470"/>
      <c r="FX41" s="470"/>
      <c r="FY41" s="470"/>
      <c r="FZ41" s="470"/>
      <c r="GA41" s="470"/>
      <c r="GB41" s="470"/>
      <c r="GC41" s="470"/>
      <c r="GD41" s="470"/>
      <c r="GE41" s="470"/>
      <c r="GF41" s="470"/>
      <c r="GG41" s="470"/>
      <c r="GH41" s="470"/>
      <c r="GI41" s="470"/>
      <c r="GJ41" s="470"/>
      <c r="GK41" s="470"/>
      <c r="GL41" s="470"/>
      <c r="GM41" s="470"/>
      <c r="GN41" s="470"/>
      <c r="GO41" s="470"/>
      <c r="GP41" s="470"/>
      <c r="GQ41" s="470"/>
      <c r="GR41" s="470"/>
      <c r="GS41" s="470"/>
      <c r="GT41" s="470"/>
      <c r="GU41" s="470"/>
      <c r="GV41" s="470"/>
      <c r="GW41" s="470"/>
      <c r="GX41" s="470"/>
      <c r="GY41" s="470"/>
      <c r="GZ41" s="470"/>
      <c r="HA41" s="470"/>
      <c r="HB41" s="470"/>
      <c r="HC41" s="470"/>
      <c r="HD41" s="470"/>
      <c r="HE41" s="470"/>
      <c r="HF41" s="470"/>
      <c r="HG41" s="470"/>
      <c r="HH41" s="470"/>
      <c r="HI41" s="470"/>
      <c r="HJ41" s="470"/>
      <c r="HK41" s="470"/>
      <c r="HL41" s="470"/>
      <c r="HM41" s="470"/>
      <c r="HN41" s="470"/>
      <c r="HO41" s="470"/>
      <c r="HP41" s="470"/>
      <c r="HQ41" s="470"/>
      <c r="HR41" s="470"/>
      <c r="HS41" s="470"/>
      <c r="HT41" s="470"/>
      <c r="HU41" s="470"/>
      <c r="HV41" s="470"/>
      <c r="HW41" s="470"/>
      <c r="HX41" s="470"/>
      <c r="HY41" s="470"/>
      <c r="HZ41" s="470"/>
      <c r="IA41" s="470"/>
      <c r="IB41" s="470"/>
      <c r="IC41" s="470"/>
      <c r="ID41" s="470"/>
      <c r="IE41" s="470"/>
      <c r="IF41" s="470"/>
      <c r="IG41" s="470"/>
      <c r="IH41" s="470"/>
      <c r="II41" s="470"/>
      <c r="IJ41" s="470"/>
      <c r="IK41" s="470"/>
      <c r="IL41" s="470"/>
      <c r="IM41" s="470"/>
      <c r="IN41" s="470"/>
      <c r="IO41" s="470"/>
      <c r="IP41" s="470"/>
      <c r="IQ41" s="470"/>
      <c r="IR41" s="470"/>
      <c r="IS41" s="470"/>
      <c r="IT41" s="470"/>
      <c r="IU41" s="470"/>
      <c r="IV41" s="470"/>
      <c r="IW41" s="470"/>
      <c r="IX41" s="470"/>
      <c r="IY41" s="470"/>
      <c r="IZ41" s="470"/>
      <c r="JA41" s="470"/>
      <c r="JB41" s="530"/>
      <c r="JC41" s="530"/>
      <c r="JG41" s="521"/>
    </row>
    <row r="42" spans="1:267" ht="18.899999999999999" customHeight="1">
      <c r="A42" s="468"/>
      <c r="B42" s="468"/>
      <c r="C42" s="473"/>
      <c r="D42" s="473"/>
      <c r="E42" s="473"/>
      <c r="F42" s="473"/>
      <c r="G42" s="470"/>
      <c r="H42" s="470"/>
      <c r="I42" s="470"/>
      <c r="J42" s="470"/>
      <c r="K42" s="470"/>
      <c r="L42" s="470"/>
      <c r="M42" s="470"/>
      <c r="N42" s="470"/>
      <c r="O42" s="470"/>
      <c r="P42" s="470"/>
      <c r="Q42" s="470"/>
      <c r="R42" s="470"/>
      <c r="S42" s="470"/>
      <c r="T42" s="470"/>
      <c r="U42" s="470"/>
      <c r="V42" s="470"/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70"/>
      <c r="AL42" s="470"/>
      <c r="AM42" s="470"/>
      <c r="AN42" s="470"/>
      <c r="AO42" s="470"/>
      <c r="AP42" s="470"/>
      <c r="AQ42" s="470"/>
      <c r="AR42" s="470"/>
      <c r="AS42" s="470"/>
      <c r="AT42" s="470"/>
      <c r="AU42" s="470"/>
      <c r="AV42" s="470"/>
      <c r="AW42" s="470"/>
      <c r="AX42" s="470"/>
      <c r="AY42" s="470"/>
      <c r="AZ42" s="470"/>
      <c r="BA42" s="470"/>
      <c r="BB42" s="470"/>
      <c r="BC42" s="470"/>
      <c r="BD42" s="470"/>
      <c r="BE42" s="470"/>
      <c r="BF42" s="470"/>
      <c r="BG42" s="470"/>
      <c r="BH42" s="470"/>
      <c r="BI42" s="470"/>
      <c r="BJ42" s="470"/>
      <c r="BK42" s="470"/>
      <c r="BL42" s="470"/>
      <c r="BM42" s="470"/>
      <c r="BN42" s="470"/>
      <c r="BO42" s="470"/>
      <c r="BP42" s="470"/>
      <c r="BQ42" s="470"/>
      <c r="BR42" s="470"/>
      <c r="BS42" s="470"/>
      <c r="BT42" s="470"/>
      <c r="BU42" s="470"/>
      <c r="BV42" s="470"/>
      <c r="BW42" s="470"/>
      <c r="BX42" s="470"/>
      <c r="BY42" s="470"/>
      <c r="BZ42" s="470"/>
      <c r="CA42" s="470"/>
      <c r="CB42" s="470"/>
      <c r="CC42" s="470"/>
      <c r="CD42" s="470"/>
      <c r="CE42" s="470"/>
      <c r="CF42" s="470"/>
      <c r="CG42" s="470"/>
      <c r="CH42" s="470"/>
      <c r="CI42" s="470"/>
      <c r="CJ42" s="470"/>
      <c r="CK42" s="470"/>
      <c r="CL42" s="470"/>
      <c r="CM42" s="470"/>
      <c r="CN42" s="470"/>
      <c r="CO42" s="470"/>
      <c r="CP42" s="470"/>
      <c r="CQ42" s="470"/>
      <c r="CR42" s="470"/>
      <c r="CS42" s="470"/>
      <c r="CT42" s="470"/>
      <c r="CU42" s="470"/>
      <c r="CV42" s="470"/>
      <c r="CW42" s="470"/>
      <c r="CX42" s="470"/>
      <c r="CY42" s="470"/>
      <c r="CZ42" s="470"/>
      <c r="DA42" s="470"/>
      <c r="DB42" s="470"/>
      <c r="DC42" s="470"/>
      <c r="DD42" s="470"/>
      <c r="DE42" s="470"/>
      <c r="DF42" s="470"/>
      <c r="DG42" s="470"/>
      <c r="DH42" s="470"/>
      <c r="DI42" s="470"/>
      <c r="DJ42" s="470"/>
      <c r="DK42" s="470"/>
      <c r="DL42" s="470"/>
      <c r="DM42" s="470"/>
      <c r="DN42" s="476"/>
      <c r="DO42" s="470"/>
      <c r="DP42" s="470"/>
      <c r="DQ42" s="470"/>
      <c r="DR42" s="470"/>
      <c r="DS42" s="470"/>
      <c r="DT42" s="470"/>
      <c r="DU42" s="470"/>
      <c r="DV42" s="470"/>
      <c r="DW42" s="470"/>
      <c r="DX42" s="470"/>
      <c r="DY42" s="470"/>
      <c r="DZ42" s="470"/>
      <c r="EA42" s="470"/>
      <c r="EB42" s="470"/>
      <c r="EC42" s="470"/>
      <c r="ED42" s="470"/>
      <c r="EE42" s="470"/>
      <c r="EF42" s="470"/>
      <c r="EG42" s="470"/>
      <c r="EH42" s="470"/>
      <c r="EI42" s="470"/>
      <c r="EJ42" s="470"/>
      <c r="EK42" s="470"/>
      <c r="EL42" s="470"/>
      <c r="EM42" s="470"/>
      <c r="EN42" s="470"/>
      <c r="EO42" s="470"/>
      <c r="EP42" s="470"/>
      <c r="EQ42" s="470"/>
      <c r="ER42" s="470"/>
      <c r="ES42" s="470"/>
      <c r="ET42" s="470"/>
      <c r="EU42" s="470"/>
      <c r="EV42" s="470"/>
      <c r="EW42" s="470"/>
      <c r="EX42" s="470"/>
      <c r="EY42" s="470"/>
      <c r="EZ42" s="470"/>
      <c r="FA42" s="470"/>
      <c r="FB42" s="470"/>
      <c r="FC42" s="470"/>
      <c r="FD42" s="470"/>
      <c r="FE42" s="470"/>
      <c r="FF42" s="470"/>
      <c r="FG42" s="470"/>
      <c r="FH42" s="470"/>
      <c r="FI42" s="470"/>
      <c r="FJ42" s="470"/>
      <c r="FK42" s="470"/>
      <c r="FL42" s="470"/>
      <c r="FM42" s="470"/>
      <c r="FN42" s="470"/>
      <c r="FO42" s="470"/>
      <c r="FP42" s="470"/>
      <c r="FQ42" s="470"/>
      <c r="FR42" s="470"/>
      <c r="FS42" s="470"/>
      <c r="FT42" s="470"/>
      <c r="FU42" s="470"/>
      <c r="FV42" s="470"/>
      <c r="FW42" s="470"/>
      <c r="FX42" s="470"/>
      <c r="FY42" s="470"/>
      <c r="FZ42" s="470"/>
      <c r="GA42" s="470"/>
      <c r="GB42" s="470"/>
      <c r="GC42" s="470"/>
      <c r="GD42" s="470"/>
      <c r="GE42" s="470"/>
      <c r="GF42" s="470"/>
      <c r="GG42" s="470"/>
      <c r="GH42" s="470"/>
      <c r="GI42" s="470"/>
      <c r="GJ42" s="470"/>
      <c r="GK42" s="470"/>
      <c r="GL42" s="470"/>
      <c r="GM42" s="470"/>
      <c r="GN42" s="470"/>
      <c r="GO42" s="470"/>
      <c r="GP42" s="470"/>
      <c r="GQ42" s="470"/>
      <c r="GR42" s="470"/>
      <c r="GS42" s="470"/>
      <c r="GT42" s="470"/>
      <c r="GU42" s="470"/>
      <c r="GV42" s="470"/>
      <c r="GW42" s="470"/>
      <c r="GX42" s="470"/>
      <c r="GY42" s="470"/>
      <c r="GZ42" s="470"/>
      <c r="HA42" s="470"/>
      <c r="HB42" s="470"/>
      <c r="HC42" s="470"/>
      <c r="HD42" s="470"/>
      <c r="HE42" s="470"/>
      <c r="HF42" s="470"/>
      <c r="HG42" s="470"/>
      <c r="HH42" s="470"/>
      <c r="HI42" s="470"/>
      <c r="HJ42" s="470"/>
      <c r="HK42" s="470"/>
      <c r="HL42" s="470"/>
      <c r="HM42" s="470"/>
      <c r="HN42" s="470"/>
      <c r="HO42" s="470"/>
      <c r="HP42" s="470"/>
      <c r="HQ42" s="470"/>
      <c r="HR42" s="470"/>
      <c r="HS42" s="470"/>
      <c r="HT42" s="470"/>
      <c r="HU42" s="470"/>
      <c r="HV42" s="470"/>
      <c r="HW42" s="470"/>
      <c r="HX42" s="470"/>
      <c r="HY42" s="470"/>
      <c r="HZ42" s="470"/>
      <c r="IA42" s="470"/>
      <c r="IB42" s="470"/>
      <c r="IC42" s="470"/>
      <c r="ID42" s="470"/>
      <c r="IE42" s="470"/>
      <c r="IF42" s="470"/>
      <c r="IG42" s="470"/>
      <c r="IH42" s="470"/>
      <c r="II42" s="470"/>
      <c r="IJ42" s="470"/>
      <c r="IK42" s="470"/>
      <c r="IL42" s="470"/>
      <c r="IM42" s="470"/>
      <c r="IN42" s="470"/>
      <c r="IO42" s="470"/>
      <c r="IP42" s="470"/>
      <c r="IQ42" s="470"/>
      <c r="IR42" s="470"/>
      <c r="IS42" s="470"/>
      <c r="IT42" s="470"/>
      <c r="IU42" s="470"/>
      <c r="IV42" s="470"/>
      <c r="IW42" s="470"/>
      <c r="IX42" s="470"/>
      <c r="IY42" s="470"/>
      <c r="IZ42" s="470"/>
      <c r="JA42" s="470"/>
      <c r="JB42" s="530"/>
      <c r="JC42" s="530"/>
      <c r="JG42" s="521"/>
    </row>
    <row r="43" spans="1:267" ht="18.899999999999999" customHeight="1">
      <c r="A43" s="468"/>
      <c r="B43" s="468"/>
      <c r="C43" s="473"/>
      <c r="D43" s="473"/>
      <c r="E43" s="473"/>
      <c r="F43" s="473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  <c r="S43" s="470"/>
      <c r="T43" s="470"/>
      <c r="U43" s="470"/>
      <c r="V43" s="470"/>
      <c r="W43" s="470"/>
      <c r="X43" s="470"/>
      <c r="Y43" s="470"/>
      <c r="Z43" s="470"/>
      <c r="AA43" s="470"/>
      <c r="AB43" s="470"/>
      <c r="AC43" s="470"/>
      <c r="AD43" s="470"/>
      <c r="AE43" s="470"/>
      <c r="AF43" s="470"/>
      <c r="AG43" s="470"/>
      <c r="AH43" s="470"/>
      <c r="AI43" s="470"/>
      <c r="AJ43" s="470"/>
      <c r="AK43" s="470"/>
      <c r="AL43" s="470"/>
      <c r="AM43" s="470"/>
      <c r="AN43" s="470"/>
      <c r="AO43" s="470"/>
      <c r="AP43" s="470"/>
      <c r="AQ43" s="470"/>
      <c r="AR43" s="470"/>
      <c r="AS43" s="470"/>
      <c r="AT43" s="470"/>
      <c r="AU43" s="470"/>
      <c r="AV43" s="470"/>
      <c r="AW43" s="470"/>
      <c r="AX43" s="470"/>
      <c r="AY43" s="470"/>
      <c r="AZ43" s="470"/>
      <c r="BA43" s="470"/>
      <c r="BB43" s="470"/>
      <c r="BC43" s="470"/>
      <c r="BD43" s="470"/>
      <c r="BE43" s="470"/>
      <c r="BF43" s="470"/>
      <c r="BG43" s="470"/>
      <c r="BH43" s="470"/>
      <c r="BI43" s="470"/>
      <c r="BJ43" s="470"/>
      <c r="BK43" s="470"/>
      <c r="BL43" s="470"/>
      <c r="BM43" s="470"/>
      <c r="BN43" s="470"/>
      <c r="BO43" s="470"/>
      <c r="BP43" s="470"/>
      <c r="BQ43" s="470"/>
      <c r="BR43" s="470"/>
      <c r="BS43" s="470"/>
      <c r="BT43" s="470"/>
      <c r="BU43" s="470"/>
      <c r="BV43" s="470"/>
      <c r="BW43" s="470"/>
      <c r="BX43" s="470"/>
      <c r="BY43" s="470"/>
      <c r="BZ43" s="470"/>
      <c r="CA43" s="470"/>
      <c r="CB43" s="470"/>
      <c r="CC43" s="470"/>
      <c r="CD43" s="470"/>
      <c r="CE43" s="470"/>
      <c r="CF43" s="470"/>
      <c r="CG43" s="470"/>
      <c r="CH43" s="470"/>
      <c r="CI43" s="470"/>
      <c r="CJ43" s="470"/>
      <c r="CK43" s="470"/>
      <c r="CL43" s="470"/>
      <c r="CM43" s="470"/>
      <c r="CN43" s="470"/>
      <c r="CO43" s="470"/>
      <c r="CP43" s="470"/>
      <c r="CQ43" s="470"/>
      <c r="CR43" s="470"/>
      <c r="CS43" s="470"/>
      <c r="CT43" s="470"/>
      <c r="CU43" s="470"/>
      <c r="CV43" s="470"/>
      <c r="CW43" s="470"/>
      <c r="CX43" s="470"/>
      <c r="CY43" s="470"/>
      <c r="CZ43" s="470"/>
      <c r="DA43" s="470"/>
      <c r="DB43" s="470"/>
      <c r="DC43" s="470"/>
      <c r="DD43" s="470"/>
      <c r="DE43" s="470"/>
      <c r="DF43" s="470"/>
      <c r="DG43" s="470"/>
      <c r="DH43" s="470"/>
      <c r="DI43" s="470"/>
      <c r="DJ43" s="470"/>
      <c r="DK43" s="470"/>
      <c r="DL43" s="470"/>
      <c r="DM43" s="470"/>
      <c r="DN43" s="476"/>
      <c r="DO43" s="470"/>
      <c r="DP43" s="470"/>
      <c r="DQ43" s="470"/>
      <c r="DR43" s="470"/>
      <c r="DS43" s="470"/>
      <c r="DT43" s="470"/>
      <c r="DU43" s="470"/>
      <c r="DV43" s="470"/>
      <c r="DW43" s="470"/>
      <c r="DX43" s="470"/>
      <c r="DY43" s="470"/>
      <c r="DZ43" s="470"/>
      <c r="EA43" s="470"/>
      <c r="EB43" s="470"/>
      <c r="EC43" s="470"/>
      <c r="ED43" s="470"/>
      <c r="EE43" s="470"/>
      <c r="EF43" s="470"/>
      <c r="EG43" s="470"/>
      <c r="EH43" s="470"/>
      <c r="EI43" s="470"/>
      <c r="EJ43" s="470"/>
      <c r="EK43" s="470"/>
      <c r="EL43" s="470"/>
      <c r="EM43" s="470"/>
      <c r="EN43" s="470"/>
      <c r="EO43" s="470"/>
      <c r="EP43" s="470"/>
      <c r="EQ43" s="470"/>
      <c r="ER43" s="470"/>
      <c r="ES43" s="470"/>
      <c r="ET43" s="470"/>
      <c r="EU43" s="470"/>
      <c r="EV43" s="470"/>
      <c r="EW43" s="470"/>
      <c r="EX43" s="470"/>
      <c r="EY43" s="470"/>
      <c r="EZ43" s="470"/>
      <c r="FA43" s="470"/>
      <c r="FB43" s="470"/>
      <c r="FC43" s="470"/>
      <c r="FD43" s="470"/>
      <c r="FE43" s="470"/>
      <c r="FF43" s="470"/>
      <c r="FG43" s="470"/>
      <c r="FH43" s="470"/>
      <c r="FI43" s="470"/>
      <c r="FJ43" s="470"/>
      <c r="FK43" s="470"/>
      <c r="FL43" s="470"/>
      <c r="FM43" s="470"/>
      <c r="FN43" s="470"/>
      <c r="FO43" s="470"/>
      <c r="FP43" s="470"/>
      <c r="FQ43" s="470"/>
      <c r="FR43" s="470"/>
      <c r="FS43" s="470"/>
      <c r="FT43" s="470"/>
      <c r="FU43" s="470"/>
      <c r="FV43" s="470"/>
      <c r="FW43" s="470"/>
      <c r="FX43" s="470"/>
      <c r="FY43" s="470"/>
      <c r="FZ43" s="470"/>
      <c r="GA43" s="470"/>
      <c r="GB43" s="470"/>
      <c r="GC43" s="470"/>
      <c r="GD43" s="470"/>
      <c r="GE43" s="470"/>
      <c r="GF43" s="470"/>
      <c r="GG43" s="470"/>
      <c r="GH43" s="470"/>
      <c r="GI43" s="470"/>
      <c r="GJ43" s="470"/>
      <c r="GK43" s="470"/>
      <c r="GL43" s="470"/>
      <c r="GM43" s="470"/>
      <c r="GN43" s="470"/>
      <c r="GO43" s="470"/>
      <c r="GP43" s="470"/>
      <c r="GQ43" s="470"/>
      <c r="GR43" s="470"/>
      <c r="GS43" s="470"/>
      <c r="GT43" s="470"/>
      <c r="GU43" s="470"/>
      <c r="GV43" s="470"/>
      <c r="GW43" s="470"/>
      <c r="GX43" s="470"/>
      <c r="GY43" s="470"/>
      <c r="GZ43" s="470"/>
      <c r="HA43" s="470"/>
      <c r="HB43" s="470"/>
      <c r="HC43" s="470"/>
      <c r="HD43" s="470"/>
      <c r="HE43" s="470"/>
      <c r="HF43" s="470"/>
      <c r="HG43" s="470"/>
      <c r="HH43" s="470"/>
      <c r="HI43" s="470"/>
      <c r="HJ43" s="470"/>
      <c r="HK43" s="470"/>
      <c r="HL43" s="470"/>
      <c r="HM43" s="470"/>
      <c r="HN43" s="470"/>
      <c r="HO43" s="470"/>
      <c r="HP43" s="470"/>
      <c r="HQ43" s="470"/>
      <c r="HR43" s="470"/>
      <c r="HS43" s="470"/>
      <c r="HT43" s="470"/>
      <c r="HU43" s="470"/>
      <c r="HV43" s="470"/>
      <c r="HW43" s="470"/>
      <c r="HX43" s="470"/>
      <c r="HY43" s="470"/>
      <c r="HZ43" s="470"/>
      <c r="IA43" s="470"/>
      <c r="IB43" s="470"/>
      <c r="IC43" s="470"/>
      <c r="ID43" s="470"/>
      <c r="IE43" s="470"/>
      <c r="IF43" s="470"/>
      <c r="IG43" s="470"/>
      <c r="IH43" s="470"/>
      <c r="II43" s="470"/>
      <c r="IJ43" s="470"/>
      <c r="IK43" s="470"/>
      <c r="IL43" s="470"/>
      <c r="IM43" s="470"/>
      <c r="IN43" s="470"/>
      <c r="IO43" s="470"/>
      <c r="IP43" s="470"/>
      <c r="IQ43" s="470"/>
      <c r="IR43" s="470"/>
      <c r="IS43" s="470"/>
      <c r="IT43" s="470"/>
      <c r="IU43" s="470"/>
      <c r="IV43" s="470"/>
      <c r="IW43" s="470"/>
      <c r="IX43" s="470"/>
      <c r="IY43" s="470"/>
      <c r="IZ43" s="470"/>
      <c r="JA43" s="470"/>
      <c r="JB43" s="530"/>
      <c r="JC43" s="530"/>
      <c r="JG43" s="521"/>
    </row>
    <row r="44" spans="1:267" ht="18.899999999999999" customHeight="1">
      <c r="A44" s="468"/>
      <c r="B44" s="468"/>
      <c r="C44" s="473"/>
      <c r="D44" s="473"/>
      <c r="E44" s="473"/>
      <c r="F44" s="473"/>
      <c r="G44" s="470"/>
      <c r="H44" s="470"/>
      <c r="I44" s="470"/>
      <c r="J44" s="470"/>
      <c r="K44" s="470"/>
      <c r="L44" s="470"/>
      <c r="M44" s="470"/>
      <c r="N44" s="470"/>
      <c r="O44" s="470"/>
      <c r="P44" s="470"/>
      <c r="Q44" s="470"/>
      <c r="R44" s="470"/>
      <c r="S44" s="470"/>
      <c r="T44" s="470"/>
      <c r="U44" s="470"/>
      <c r="V44" s="470"/>
      <c r="W44" s="470"/>
      <c r="X44" s="470"/>
      <c r="Y44" s="470"/>
      <c r="Z44" s="470"/>
      <c r="AA44" s="470"/>
      <c r="AB44" s="470"/>
      <c r="AC44" s="470"/>
      <c r="AD44" s="470"/>
      <c r="AE44" s="470"/>
      <c r="AF44" s="470"/>
      <c r="AG44" s="470"/>
      <c r="AH44" s="470"/>
      <c r="AI44" s="470"/>
      <c r="AJ44" s="470"/>
      <c r="AK44" s="470"/>
      <c r="AL44" s="470"/>
      <c r="AM44" s="470"/>
      <c r="AN44" s="470"/>
      <c r="AO44" s="470"/>
      <c r="AP44" s="470"/>
      <c r="AQ44" s="470"/>
      <c r="AR44" s="470"/>
      <c r="AS44" s="470"/>
      <c r="AT44" s="470"/>
      <c r="AU44" s="470"/>
      <c r="AV44" s="470"/>
      <c r="AW44" s="470"/>
      <c r="AX44" s="470"/>
      <c r="AY44" s="470"/>
      <c r="AZ44" s="470"/>
      <c r="BA44" s="470"/>
      <c r="BB44" s="470"/>
      <c r="BC44" s="470"/>
      <c r="BD44" s="470"/>
      <c r="BE44" s="470"/>
      <c r="BF44" s="470"/>
      <c r="BG44" s="470"/>
      <c r="BH44" s="470"/>
      <c r="BI44" s="470"/>
      <c r="BJ44" s="470"/>
      <c r="BK44" s="470"/>
      <c r="BL44" s="470"/>
      <c r="BM44" s="470"/>
      <c r="BN44" s="470"/>
      <c r="BO44" s="470"/>
      <c r="BP44" s="470"/>
      <c r="BQ44" s="470"/>
      <c r="BR44" s="470"/>
      <c r="BS44" s="470"/>
      <c r="BT44" s="470"/>
      <c r="BU44" s="470"/>
      <c r="BV44" s="470"/>
      <c r="BW44" s="470"/>
      <c r="BX44" s="470"/>
      <c r="BY44" s="470"/>
      <c r="BZ44" s="470"/>
      <c r="CA44" s="470"/>
      <c r="CB44" s="470"/>
      <c r="CC44" s="470"/>
      <c r="CD44" s="470"/>
      <c r="CE44" s="470"/>
      <c r="CF44" s="470"/>
      <c r="CG44" s="470"/>
      <c r="CH44" s="470"/>
      <c r="CI44" s="470"/>
      <c r="CJ44" s="470"/>
      <c r="CK44" s="470"/>
      <c r="CL44" s="470"/>
      <c r="CM44" s="470"/>
      <c r="CN44" s="470"/>
      <c r="CO44" s="470"/>
      <c r="CP44" s="470"/>
      <c r="CQ44" s="470"/>
      <c r="CR44" s="470"/>
      <c r="CS44" s="470"/>
      <c r="CT44" s="470"/>
      <c r="CU44" s="470"/>
      <c r="CV44" s="470"/>
      <c r="CW44" s="470"/>
      <c r="CX44" s="470"/>
      <c r="CY44" s="470"/>
      <c r="CZ44" s="470"/>
      <c r="DA44" s="470"/>
      <c r="DB44" s="470"/>
      <c r="DC44" s="470"/>
      <c r="DD44" s="470"/>
      <c r="DE44" s="470"/>
      <c r="DF44" s="470"/>
      <c r="DG44" s="470"/>
      <c r="DH44" s="470"/>
      <c r="DI44" s="470"/>
      <c r="DJ44" s="470"/>
      <c r="DK44" s="470"/>
      <c r="DL44" s="470"/>
      <c r="DM44" s="470"/>
      <c r="DN44" s="476"/>
      <c r="DO44" s="470"/>
      <c r="DP44" s="470"/>
      <c r="DQ44" s="470"/>
      <c r="DR44" s="470"/>
      <c r="DS44" s="470"/>
      <c r="DT44" s="470"/>
      <c r="DU44" s="470"/>
      <c r="DV44" s="470"/>
      <c r="DW44" s="470"/>
      <c r="DX44" s="470"/>
      <c r="DY44" s="470"/>
      <c r="DZ44" s="470"/>
      <c r="EA44" s="470"/>
      <c r="EB44" s="470"/>
      <c r="EC44" s="470"/>
      <c r="ED44" s="470"/>
      <c r="EE44" s="470"/>
      <c r="EF44" s="470"/>
      <c r="EG44" s="470"/>
      <c r="EH44" s="470"/>
      <c r="EI44" s="470"/>
      <c r="EJ44" s="470"/>
      <c r="EK44" s="470"/>
      <c r="EL44" s="470"/>
      <c r="EM44" s="470"/>
      <c r="EN44" s="470"/>
      <c r="EO44" s="470"/>
      <c r="EP44" s="470"/>
      <c r="EQ44" s="470"/>
      <c r="ER44" s="470"/>
      <c r="ES44" s="470"/>
      <c r="ET44" s="470"/>
      <c r="EU44" s="470"/>
      <c r="EV44" s="470"/>
      <c r="EW44" s="470"/>
      <c r="EX44" s="470"/>
      <c r="EY44" s="470"/>
      <c r="EZ44" s="470"/>
      <c r="FA44" s="470"/>
      <c r="FB44" s="470"/>
      <c r="FC44" s="470"/>
      <c r="FD44" s="470"/>
      <c r="FE44" s="470"/>
      <c r="FF44" s="470"/>
      <c r="FG44" s="470"/>
      <c r="FH44" s="470"/>
      <c r="FI44" s="470"/>
      <c r="FJ44" s="470"/>
      <c r="FK44" s="470"/>
      <c r="FL44" s="470"/>
      <c r="FM44" s="470"/>
      <c r="FN44" s="470"/>
      <c r="FO44" s="470"/>
      <c r="FP44" s="470"/>
      <c r="FQ44" s="470"/>
      <c r="FR44" s="470"/>
      <c r="FS44" s="470"/>
      <c r="FT44" s="470"/>
      <c r="FU44" s="470"/>
      <c r="FV44" s="470"/>
      <c r="FW44" s="470"/>
      <c r="FX44" s="470"/>
      <c r="FY44" s="470"/>
      <c r="FZ44" s="470"/>
      <c r="GA44" s="470"/>
      <c r="GB44" s="470"/>
      <c r="GC44" s="470"/>
      <c r="GD44" s="470"/>
      <c r="GE44" s="470"/>
      <c r="GF44" s="470"/>
      <c r="GG44" s="470"/>
      <c r="GH44" s="470"/>
      <c r="GI44" s="470"/>
      <c r="GJ44" s="470"/>
      <c r="GK44" s="470"/>
      <c r="GL44" s="470"/>
      <c r="GM44" s="470"/>
      <c r="GN44" s="470"/>
      <c r="GO44" s="470"/>
      <c r="GP44" s="470"/>
      <c r="GQ44" s="470"/>
      <c r="GR44" s="470"/>
      <c r="GS44" s="470"/>
      <c r="GT44" s="470"/>
      <c r="GU44" s="470"/>
      <c r="GV44" s="470"/>
      <c r="GW44" s="470"/>
      <c r="GX44" s="470"/>
      <c r="GY44" s="470"/>
      <c r="GZ44" s="470"/>
      <c r="HA44" s="470"/>
      <c r="HB44" s="470"/>
      <c r="HC44" s="470"/>
      <c r="HD44" s="470"/>
      <c r="HE44" s="470"/>
      <c r="HF44" s="470"/>
      <c r="HG44" s="470"/>
      <c r="HH44" s="470"/>
      <c r="HI44" s="470"/>
      <c r="HJ44" s="470"/>
      <c r="HK44" s="470"/>
      <c r="HL44" s="470"/>
      <c r="HM44" s="470"/>
      <c r="HN44" s="470"/>
      <c r="HO44" s="470"/>
      <c r="HP44" s="470"/>
      <c r="HQ44" s="470"/>
      <c r="HR44" s="470"/>
      <c r="HS44" s="470"/>
      <c r="HT44" s="470"/>
      <c r="HU44" s="470"/>
      <c r="HV44" s="470"/>
      <c r="HW44" s="470"/>
      <c r="HX44" s="470"/>
      <c r="HY44" s="470"/>
      <c r="HZ44" s="470"/>
      <c r="IA44" s="470"/>
      <c r="IB44" s="470"/>
      <c r="IC44" s="470"/>
      <c r="ID44" s="470"/>
      <c r="IE44" s="470"/>
      <c r="IF44" s="470"/>
      <c r="IG44" s="470"/>
      <c r="IH44" s="470"/>
      <c r="II44" s="470"/>
      <c r="IJ44" s="470"/>
      <c r="IK44" s="470"/>
      <c r="IL44" s="470"/>
      <c r="IM44" s="470"/>
      <c r="IN44" s="470"/>
      <c r="IO44" s="470"/>
      <c r="IP44" s="470"/>
      <c r="IQ44" s="470"/>
      <c r="IR44" s="470"/>
      <c r="IS44" s="470"/>
      <c r="IT44" s="470"/>
      <c r="IU44" s="470"/>
      <c r="IV44" s="470"/>
      <c r="IW44" s="470"/>
      <c r="IX44" s="470"/>
      <c r="IY44" s="470"/>
      <c r="IZ44" s="470"/>
      <c r="JA44" s="470"/>
      <c r="JB44" s="530"/>
      <c r="JC44" s="530"/>
      <c r="JG44" s="521"/>
    </row>
    <row r="45" spans="1:267" ht="18.899999999999999" customHeight="1">
      <c r="A45" s="468"/>
      <c r="B45" s="468"/>
      <c r="C45" s="473"/>
      <c r="D45" s="473"/>
      <c r="E45" s="473"/>
      <c r="F45" s="473"/>
      <c r="G45" s="470"/>
      <c r="H45" s="470"/>
      <c r="I45" s="470"/>
      <c r="J45" s="470"/>
      <c r="K45" s="470"/>
      <c r="L45" s="470"/>
      <c r="M45" s="470"/>
      <c r="N45" s="470"/>
      <c r="O45" s="470"/>
      <c r="P45" s="470"/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70"/>
      <c r="AB45" s="470"/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70"/>
      <c r="AN45" s="470"/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70"/>
      <c r="AZ45" s="470"/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70"/>
      <c r="BL45" s="470"/>
      <c r="BM45" s="470"/>
      <c r="BN45" s="470"/>
      <c r="BO45" s="470"/>
      <c r="BP45" s="470"/>
      <c r="BQ45" s="470"/>
      <c r="BR45" s="470"/>
      <c r="BS45" s="470"/>
      <c r="BT45" s="470"/>
      <c r="BU45" s="470"/>
      <c r="BV45" s="470"/>
      <c r="BW45" s="470"/>
      <c r="BX45" s="470"/>
      <c r="BY45" s="470"/>
      <c r="BZ45" s="470"/>
      <c r="CA45" s="470"/>
      <c r="CB45" s="470"/>
      <c r="CC45" s="470"/>
      <c r="CD45" s="470"/>
      <c r="CE45" s="470"/>
      <c r="CF45" s="470"/>
      <c r="CG45" s="470"/>
      <c r="CH45" s="470"/>
      <c r="CI45" s="470"/>
      <c r="CJ45" s="470"/>
      <c r="CK45" s="470"/>
      <c r="CL45" s="470"/>
      <c r="CM45" s="470"/>
      <c r="CN45" s="470"/>
      <c r="CO45" s="470"/>
      <c r="CP45" s="470"/>
      <c r="CQ45" s="470"/>
      <c r="CR45" s="470"/>
      <c r="CS45" s="470"/>
      <c r="CT45" s="470"/>
      <c r="CU45" s="470"/>
      <c r="CV45" s="470"/>
      <c r="CW45" s="470"/>
      <c r="CX45" s="470"/>
      <c r="CY45" s="470"/>
      <c r="CZ45" s="470"/>
      <c r="DA45" s="470"/>
      <c r="DB45" s="470"/>
      <c r="DC45" s="470"/>
      <c r="DD45" s="470"/>
      <c r="DE45" s="470"/>
      <c r="DF45" s="470"/>
      <c r="DG45" s="470"/>
      <c r="DH45" s="470"/>
      <c r="DI45" s="470"/>
      <c r="DJ45" s="470"/>
      <c r="DK45" s="470"/>
      <c r="DL45" s="470"/>
      <c r="DM45" s="470"/>
      <c r="DN45" s="476"/>
      <c r="DO45" s="470"/>
      <c r="DP45" s="470"/>
      <c r="DQ45" s="470"/>
      <c r="DR45" s="470"/>
      <c r="DS45" s="470"/>
      <c r="DT45" s="470"/>
      <c r="DU45" s="470"/>
      <c r="DV45" s="470"/>
      <c r="DW45" s="470"/>
      <c r="DX45" s="470"/>
      <c r="DY45" s="470"/>
      <c r="DZ45" s="470"/>
      <c r="EA45" s="470"/>
      <c r="EB45" s="470"/>
      <c r="EC45" s="470"/>
      <c r="ED45" s="470"/>
      <c r="EE45" s="470"/>
      <c r="EF45" s="470"/>
      <c r="EG45" s="470"/>
      <c r="EH45" s="470"/>
      <c r="EI45" s="470"/>
      <c r="EJ45" s="470"/>
      <c r="EK45" s="470"/>
      <c r="EL45" s="470"/>
      <c r="EM45" s="470"/>
      <c r="EN45" s="470"/>
      <c r="EO45" s="470"/>
      <c r="EP45" s="470"/>
      <c r="EQ45" s="470"/>
      <c r="ER45" s="470"/>
      <c r="ES45" s="470"/>
      <c r="ET45" s="470"/>
      <c r="EU45" s="470"/>
      <c r="EV45" s="470"/>
      <c r="EW45" s="470"/>
      <c r="EX45" s="470"/>
      <c r="EY45" s="470"/>
      <c r="EZ45" s="470"/>
      <c r="FA45" s="470"/>
      <c r="FB45" s="470"/>
      <c r="FC45" s="470"/>
      <c r="FD45" s="470"/>
      <c r="FE45" s="470"/>
      <c r="FF45" s="470"/>
      <c r="FG45" s="470"/>
      <c r="FH45" s="470"/>
      <c r="FI45" s="470"/>
      <c r="FJ45" s="470"/>
      <c r="FK45" s="470"/>
      <c r="FL45" s="470"/>
      <c r="FM45" s="470"/>
      <c r="FN45" s="470"/>
      <c r="FO45" s="470"/>
      <c r="FP45" s="470"/>
      <c r="FQ45" s="470"/>
      <c r="FR45" s="470"/>
      <c r="FS45" s="470"/>
      <c r="FT45" s="470"/>
      <c r="FU45" s="470"/>
      <c r="FV45" s="470"/>
      <c r="FW45" s="470"/>
      <c r="FX45" s="470"/>
      <c r="FY45" s="470"/>
      <c r="FZ45" s="470"/>
      <c r="GA45" s="470"/>
      <c r="GB45" s="470"/>
      <c r="GC45" s="470"/>
      <c r="GD45" s="470"/>
      <c r="GE45" s="470"/>
      <c r="GF45" s="470"/>
      <c r="GG45" s="470"/>
      <c r="GH45" s="470"/>
      <c r="GI45" s="470"/>
      <c r="GJ45" s="470"/>
      <c r="GK45" s="470"/>
      <c r="GL45" s="470"/>
      <c r="GM45" s="470"/>
      <c r="GN45" s="470"/>
      <c r="GO45" s="470"/>
      <c r="GP45" s="470"/>
      <c r="GQ45" s="470"/>
      <c r="GR45" s="470"/>
      <c r="GS45" s="470"/>
      <c r="GT45" s="470"/>
      <c r="GU45" s="470"/>
      <c r="GV45" s="470"/>
      <c r="GW45" s="470"/>
      <c r="GX45" s="470"/>
      <c r="GY45" s="470"/>
      <c r="GZ45" s="470"/>
      <c r="HA45" s="470"/>
      <c r="HB45" s="470"/>
      <c r="HC45" s="470"/>
      <c r="HD45" s="470"/>
      <c r="HE45" s="470"/>
      <c r="HF45" s="470"/>
      <c r="HG45" s="470"/>
      <c r="HH45" s="470"/>
      <c r="HI45" s="470"/>
      <c r="HJ45" s="470"/>
      <c r="HK45" s="470"/>
      <c r="HL45" s="470"/>
      <c r="HM45" s="470"/>
      <c r="HN45" s="470"/>
      <c r="HO45" s="470"/>
      <c r="HP45" s="470"/>
      <c r="HQ45" s="470"/>
      <c r="HR45" s="470"/>
      <c r="HS45" s="470"/>
      <c r="HT45" s="470"/>
      <c r="HU45" s="470"/>
      <c r="HV45" s="470"/>
      <c r="HW45" s="470"/>
      <c r="HX45" s="470"/>
      <c r="HY45" s="470"/>
      <c r="HZ45" s="470"/>
      <c r="IA45" s="470"/>
      <c r="IB45" s="470"/>
      <c r="IC45" s="470"/>
      <c r="ID45" s="470"/>
      <c r="IE45" s="470"/>
      <c r="IF45" s="470"/>
      <c r="IG45" s="470"/>
      <c r="IH45" s="470"/>
      <c r="II45" s="470"/>
      <c r="IJ45" s="470"/>
      <c r="IK45" s="470"/>
      <c r="IL45" s="470"/>
      <c r="IM45" s="470"/>
      <c r="IN45" s="470"/>
      <c r="IO45" s="470"/>
      <c r="IP45" s="470"/>
      <c r="IQ45" s="470"/>
      <c r="IR45" s="470"/>
      <c r="IS45" s="470"/>
      <c r="IT45" s="470"/>
      <c r="IU45" s="470"/>
      <c r="IV45" s="470"/>
      <c r="IW45" s="470"/>
      <c r="IX45" s="470"/>
      <c r="IY45" s="470"/>
      <c r="IZ45" s="470"/>
      <c r="JA45" s="470"/>
      <c r="JB45" s="530"/>
      <c r="JC45" s="530"/>
      <c r="JG45" s="521"/>
    </row>
    <row r="46" spans="1:267" ht="18.899999999999999" customHeight="1">
      <c r="A46" s="468"/>
      <c r="B46" s="468"/>
      <c r="C46" s="473"/>
      <c r="D46" s="473"/>
      <c r="E46" s="473"/>
      <c r="F46" s="473"/>
      <c r="G46" s="478"/>
      <c r="H46" s="470"/>
      <c r="I46" s="470"/>
      <c r="J46" s="470"/>
      <c r="K46" s="470"/>
      <c r="L46" s="470"/>
      <c r="M46" s="470"/>
      <c r="N46" s="470"/>
      <c r="O46" s="470"/>
      <c r="P46" s="470"/>
      <c r="Q46" s="470"/>
      <c r="R46" s="470"/>
      <c r="S46" s="470"/>
      <c r="T46" s="470"/>
      <c r="U46" s="470"/>
      <c r="V46" s="470"/>
      <c r="W46" s="470"/>
      <c r="X46" s="470"/>
      <c r="Y46" s="470"/>
      <c r="Z46" s="470"/>
      <c r="AA46" s="470"/>
      <c r="AB46" s="470"/>
      <c r="AC46" s="470"/>
      <c r="AD46" s="470"/>
      <c r="AE46" s="470"/>
      <c r="AF46" s="470"/>
      <c r="AG46" s="470"/>
      <c r="AH46" s="470"/>
      <c r="AI46" s="470"/>
      <c r="AJ46" s="470"/>
      <c r="AK46" s="470"/>
      <c r="AL46" s="470"/>
      <c r="AM46" s="470"/>
      <c r="AN46" s="470"/>
      <c r="AO46" s="470"/>
      <c r="AP46" s="470"/>
      <c r="AQ46" s="470"/>
      <c r="AR46" s="470"/>
      <c r="AS46" s="470"/>
      <c r="AT46" s="470"/>
      <c r="AU46" s="470"/>
      <c r="AV46" s="470"/>
      <c r="AW46" s="470"/>
      <c r="AX46" s="470"/>
      <c r="AY46" s="470"/>
      <c r="AZ46" s="470"/>
      <c r="BA46" s="470"/>
      <c r="BB46" s="470"/>
      <c r="BC46" s="470"/>
      <c r="BD46" s="470"/>
      <c r="BE46" s="470"/>
      <c r="BF46" s="470"/>
      <c r="BG46" s="470"/>
      <c r="BH46" s="470"/>
      <c r="BI46" s="470"/>
      <c r="BJ46" s="470"/>
      <c r="BK46" s="470"/>
      <c r="BL46" s="470"/>
      <c r="BM46" s="470"/>
      <c r="BN46" s="470"/>
      <c r="BO46" s="470"/>
      <c r="BP46" s="470"/>
      <c r="BQ46" s="470"/>
      <c r="BR46" s="470"/>
      <c r="BS46" s="470"/>
      <c r="BT46" s="470"/>
      <c r="BU46" s="470"/>
      <c r="BV46" s="470"/>
      <c r="BW46" s="470"/>
      <c r="BX46" s="470"/>
      <c r="BY46" s="470"/>
      <c r="BZ46" s="470"/>
      <c r="CA46" s="470"/>
      <c r="CB46" s="470"/>
      <c r="CC46" s="470"/>
      <c r="CD46" s="470"/>
      <c r="CE46" s="470"/>
      <c r="CF46" s="470"/>
      <c r="CG46" s="470"/>
      <c r="CH46" s="470"/>
      <c r="CI46" s="470"/>
      <c r="CJ46" s="470"/>
      <c r="CK46" s="470"/>
      <c r="CL46" s="470"/>
      <c r="CM46" s="470"/>
      <c r="CN46" s="470"/>
      <c r="CO46" s="470"/>
      <c r="CP46" s="470"/>
      <c r="CQ46" s="470"/>
      <c r="CR46" s="470"/>
      <c r="CS46" s="470"/>
      <c r="CT46" s="470"/>
      <c r="CU46" s="470"/>
      <c r="CV46" s="470"/>
      <c r="CW46" s="470"/>
      <c r="CX46" s="470"/>
      <c r="CY46" s="470"/>
      <c r="CZ46" s="470"/>
      <c r="DA46" s="470"/>
      <c r="DB46" s="470"/>
      <c r="DC46" s="470"/>
      <c r="DD46" s="470"/>
      <c r="DE46" s="470"/>
      <c r="DF46" s="470"/>
      <c r="DG46" s="470"/>
      <c r="DH46" s="470"/>
      <c r="DI46" s="470"/>
      <c r="DJ46" s="470"/>
      <c r="DK46" s="470"/>
      <c r="DL46" s="470"/>
      <c r="DM46" s="470"/>
      <c r="DN46" s="476"/>
      <c r="DO46" s="470"/>
      <c r="DP46" s="470"/>
      <c r="DQ46" s="470"/>
      <c r="DR46" s="470"/>
      <c r="DS46" s="470"/>
      <c r="DT46" s="470"/>
      <c r="DU46" s="470"/>
      <c r="DV46" s="470"/>
      <c r="DW46" s="470"/>
      <c r="DX46" s="470"/>
      <c r="DY46" s="470"/>
      <c r="DZ46" s="470"/>
      <c r="EA46" s="470"/>
      <c r="EB46" s="470"/>
      <c r="EC46" s="470"/>
      <c r="ED46" s="470"/>
      <c r="EE46" s="470"/>
      <c r="EF46" s="470"/>
      <c r="EG46" s="470"/>
      <c r="EH46" s="470"/>
      <c r="EI46" s="470"/>
      <c r="EJ46" s="470"/>
      <c r="EK46" s="470"/>
      <c r="EL46" s="470"/>
      <c r="EM46" s="470"/>
      <c r="EN46" s="470"/>
      <c r="EO46" s="470"/>
      <c r="EP46" s="470"/>
      <c r="EQ46" s="470"/>
      <c r="ER46" s="470"/>
      <c r="ES46" s="470"/>
      <c r="ET46" s="470"/>
      <c r="EU46" s="470"/>
      <c r="EV46" s="470"/>
      <c r="EW46" s="470"/>
      <c r="EX46" s="470"/>
      <c r="EY46" s="470"/>
      <c r="EZ46" s="470"/>
      <c r="FA46" s="470"/>
      <c r="FB46" s="470"/>
      <c r="FC46" s="470"/>
      <c r="FD46" s="470"/>
      <c r="FE46" s="470"/>
      <c r="FF46" s="470"/>
      <c r="FG46" s="470"/>
      <c r="FH46" s="470"/>
      <c r="FI46" s="470"/>
      <c r="FJ46" s="470"/>
      <c r="FK46" s="470"/>
      <c r="FL46" s="470"/>
      <c r="FM46" s="470"/>
      <c r="FN46" s="470"/>
      <c r="FO46" s="470"/>
      <c r="FP46" s="470"/>
      <c r="FQ46" s="470"/>
      <c r="FR46" s="470"/>
      <c r="FS46" s="470"/>
      <c r="FT46" s="470"/>
      <c r="FU46" s="470"/>
      <c r="FV46" s="470"/>
      <c r="FW46" s="470"/>
      <c r="FX46" s="470"/>
      <c r="FY46" s="470"/>
      <c r="FZ46" s="470"/>
      <c r="GA46" s="470"/>
      <c r="GB46" s="470"/>
      <c r="GC46" s="470"/>
      <c r="GD46" s="470"/>
      <c r="GE46" s="470"/>
      <c r="GF46" s="470"/>
      <c r="GG46" s="470"/>
      <c r="GH46" s="470"/>
      <c r="GI46" s="470"/>
      <c r="GJ46" s="470"/>
      <c r="GK46" s="470"/>
      <c r="GL46" s="470"/>
      <c r="GM46" s="470"/>
      <c r="GN46" s="470"/>
      <c r="GO46" s="470"/>
      <c r="GP46" s="470"/>
      <c r="GQ46" s="470"/>
      <c r="GR46" s="470"/>
      <c r="GS46" s="470"/>
      <c r="GT46" s="470"/>
      <c r="GU46" s="470"/>
      <c r="GV46" s="470"/>
      <c r="GW46" s="470"/>
      <c r="GX46" s="470"/>
      <c r="GY46" s="470"/>
      <c r="GZ46" s="470"/>
      <c r="HA46" s="470"/>
      <c r="HB46" s="470"/>
      <c r="HC46" s="470"/>
      <c r="HD46" s="470"/>
      <c r="HE46" s="470"/>
      <c r="HF46" s="470"/>
      <c r="HG46" s="470"/>
      <c r="HH46" s="470"/>
      <c r="HI46" s="470"/>
      <c r="HJ46" s="470"/>
      <c r="HK46" s="470"/>
      <c r="HL46" s="470"/>
      <c r="HM46" s="470"/>
      <c r="HN46" s="470"/>
      <c r="HO46" s="470"/>
      <c r="HP46" s="470"/>
      <c r="HQ46" s="470"/>
      <c r="HR46" s="470"/>
      <c r="HS46" s="470"/>
      <c r="HT46" s="470"/>
      <c r="HU46" s="470"/>
      <c r="HV46" s="470"/>
      <c r="HW46" s="470"/>
      <c r="HX46" s="470"/>
      <c r="HY46" s="470"/>
      <c r="HZ46" s="470"/>
      <c r="IA46" s="470"/>
      <c r="IB46" s="470"/>
      <c r="IC46" s="470"/>
      <c r="ID46" s="470"/>
      <c r="IE46" s="470"/>
      <c r="IF46" s="470"/>
      <c r="IG46" s="470"/>
      <c r="IH46" s="470"/>
      <c r="II46" s="470"/>
      <c r="IJ46" s="470"/>
      <c r="IK46" s="470"/>
      <c r="IL46" s="470"/>
      <c r="IM46" s="470"/>
      <c r="IN46" s="470"/>
      <c r="IO46" s="470"/>
      <c r="IP46" s="470"/>
      <c r="IQ46" s="470"/>
      <c r="IR46" s="470"/>
      <c r="IS46" s="470"/>
      <c r="IT46" s="470"/>
      <c r="IU46" s="470"/>
      <c r="IV46" s="470"/>
      <c r="IW46" s="470"/>
      <c r="IX46" s="470"/>
      <c r="IY46" s="470"/>
      <c r="IZ46" s="470"/>
      <c r="JA46" s="470"/>
      <c r="JB46" s="530"/>
      <c r="JC46" s="530"/>
      <c r="JG46" s="521"/>
    </row>
    <row r="47" spans="1:267" ht="18.899999999999999" customHeight="1">
      <c r="A47" s="468"/>
      <c r="B47" s="468"/>
      <c r="C47" s="473"/>
      <c r="D47" s="473"/>
      <c r="E47" s="473"/>
      <c r="F47" s="473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  <c r="AH47" s="470"/>
      <c r="AI47" s="470"/>
      <c r="AJ47" s="470"/>
      <c r="AK47" s="470"/>
      <c r="AL47" s="470"/>
      <c r="AM47" s="470"/>
      <c r="AN47" s="470"/>
      <c r="AO47" s="470"/>
      <c r="AP47" s="470"/>
      <c r="AQ47" s="470"/>
      <c r="AR47" s="470"/>
      <c r="AS47" s="470"/>
      <c r="AT47" s="470"/>
      <c r="AU47" s="470"/>
      <c r="AV47" s="470"/>
      <c r="AW47" s="470"/>
      <c r="AX47" s="470"/>
      <c r="AY47" s="470"/>
      <c r="AZ47" s="470"/>
      <c r="BA47" s="470"/>
      <c r="BB47" s="470"/>
      <c r="BC47" s="470"/>
      <c r="BD47" s="470"/>
      <c r="BE47" s="470"/>
      <c r="BF47" s="470"/>
      <c r="BG47" s="470"/>
      <c r="BH47" s="470"/>
      <c r="BI47" s="470"/>
      <c r="BJ47" s="470"/>
      <c r="BK47" s="470"/>
      <c r="BL47" s="470"/>
      <c r="BM47" s="470"/>
      <c r="BN47" s="470"/>
      <c r="BO47" s="470"/>
      <c r="BP47" s="470"/>
      <c r="BQ47" s="470"/>
      <c r="BR47" s="470"/>
      <c r="BS47" s="470"/>
      <c r="BT47" s="470"/>
      <c r="BU47" s="470"/>
      <c r="BV47" s="470"/>
      <c r="BW47" s="470"/>
      <c r="BX47" s="470"/>
      <c r="BY47" s="470"/>
      <c r="BZ47" s="470"/>
      <c r="CA47" s="470"/>
      <c r="CB47" s="470"/>
      <c r="CC47" s="470"/>
      <c r="CD47" s="470"/>
      <c r="CE47" s="470"/>
      <c r="CF47" s="470"/>
      <c r="CG47" s="470"/>
      <c r="CH47" s="470"/>
      <c r="CI47" s="470"/>
      <c r="CJ47" s="470"/>
      <c r="CK47" s="470"/>
      <c r="CL47" s="470"/>
      <c r="CM47" s="470"/>
      <c r="CN47" s="470"/>
      <c r="CO47" s="470"/>
      <c r="CP47" s="470"/>
      <c r="CQ47" s="470"/>
      <c r="CR47" s="470"/>
      <c r="CS47" s="470"/>
      <c r="CT47" s="470"/>
      <c r="CU47" s="470"/>
      <c r="CV47" s="470"/>
      <c r="CW47" s="470"/>
      <c r="CX47" s="470"/>
      <c r="CY47" s="470"/>
      <c r="CZ47" s="470"/>
      <c r="DA47" s="470"/>
      <c r="DB47" s="470"/>
      <c r="DC47" s="470"/>
      <c r="DD47" s="470"/>
      <c r="DE47" s="470"/>
      <c r="DF47" s="470"/>
      <c r="DG47" s="470"/>
      <c r="DH47" s="470"/>
      <c r="DI47" s="470"/>
      <c r="DJ47" s="470"/>
      <c r="DK47" s="470"/>
      <c r="DL47" s="470"/>
      <c r="DM47" s="470"/>
      <c r="DN47" s="476"/>
      <c r="DO47" s="470"/>
      <c r="DP47" s="470"/>
      <c r="DQ47" s="470"/>
      <c r="DR47" s="470"/>
      <c r="DS47" s="470"/>
      <c r="DT47" s="470"/>
      <c r="DU47" s="470"/>
      <c r="DV47" s="470"/>
      <c r="DW47" s="470"/>
      <c r="DX47" s="470"/>
      <c r="DY47" s="470"/>
      <c r="DZ47" s="470"/>
      <c r="EA47" s="470"/>
      <c r="EB47" s="470"/>
      <c r="EC47" s="470"/>
      <c r="ED47" s="470"/>
      <c r="EE47" s="470"/>
      <c r="EF47" s="470"/>
      <c r="EG47" s="470"/>
      <c r="EH47" s="470"/>
      <c r="EI47" s="470"/>
      <c r="EJ47" s="470"/>
      <c r="EK47" s="470"/>
      <c r="EL47" s="470"/>
      <c r="EM47" s="470"/>
      <c r="EN47" s="470"/>
      <c r="EO47" s="470"/>
      <c r="EP47" s="470"/>
      <c r="EQ47" s="470"/>
      <c r="ER47" s="470"/>
      <c r="ES47" s="470"/>
      <c r="ET47" s="470"/>
      <c r="EU47" s="470"/>
      <c r="EV47" s="470"/>
      <c r="EW47" s="470"/>
      <c r="EX47" s="470"/>
      <c r="EY47" s="470"/>
      <c r="EZ47" s="470"/>
      <c r="FA47" s="470"/>
      <c r="FB47" s="470"/>
      <c r="FC47" s="470"/>
      <c r="FD47" s="470"/>
      <c r="FE47" s="470"/>
      <c r="FF47" s="470"/>
      <c r="FG47" s="470"/>
      <c r="FH47" s="470"/>
      <c r="FI47" s="470"/>
      <c r="FJ47" s="470"/>
      <c r="FK47" s="470"/>
      <c r="FL47" s="470"/>
      <c r="FM47" s="470"/>
      <c r="FN47" s="470"/>
      <c r="FO47" s="470"/>
      <c r="FP47" s="470"/>
      <c r="FQ47" s="470"/>
      <c r="FR47" s="470"/>
      <c r="FS47" s="470"/>
      <c r="FT47" s="470"/>
      <c r="FU47" s="470"/>
      <c r="FV47" s="470"/>
      <c r="FW47" s="470"/>
      <c r="FX47" s="470"/>
      <c r="FY47" s="470"/>
      <c r="FZ47" s="470"/>
      <c r="GA47" s="470"/>
      <c r="GB47" s="470"/>
      <c r="GC47" s="470"/>
      <c r="GD47" s="470"/>
      <c r="GE47" s="470"/>
      <c r="GF47" s="470"/>
      <c r="GG47" s="470"/>
      <c r="GH47" s="470"/>
      <c r="GI47" s="470"/>
      <c r="GJ47" s="470"/>
      <c r="GK47" s="470"/>
      <c r="GL47" s="470"/>
      <c r="GM47" s="470"/>
      <c r="GN47" s="470"/>
      <c r="GO47" s="470"/>
      <c r="GP47" s="470"/>
      <c r="GQ47" s="470"/>
      <c r="GR47" s="470"/>
      <c r="GS47" s="470"/>
      <c r="GT47" s="470"/>
      <c r="GU47" s="470"/>
      <c r="GV47" s="470"/>
      <c r="GW47" s="470"/>
      <c r="GX47" s="470"/>
      <c r="GY47" s="470"/>
      <c r="GZ47" s="470"/>
      <c r="HA47" s="470"/>
      <c r="HB47" s="470"/>
      <c r="HC47" s="470"/>
      <c r="HD47" s="470"/>
      <c r="HE47" s="470"/>
      <c r="HF47" s="470"/>
      <c r="HG47" s="470"/>
      <c r="HH47" s="470"/>
      <c r="HI47" s="470"/>
      <c r="HJ47" s="470"/>
      <c r="HK47" s="470"/>
      <c r="HL47" s="470"/>
      <c r="HM47" s="470"/>
      <c r="HN47" s="470"/>
      <c r="HO47" s="470"/>
      <c r="HP47" s="470"/>
      <c r="HQ47" s="470"/>
      <c r="HR47" s="470"/>
      <c r="HS47" s="470"/>
      <c r="HT47" s="470"/>
      <c r="HU47" s="470"/>
      <c r="HV47" s="470"/>
      <c r="HW47" s="470"/>
      <c r="HX47" s="470"/>
      <c r="HY47" s="470"/>
      <c r="HZ47" s="470"/>
      <c r="IA47" s="470"/>
      <c r="IB47" s="470"/>
      <c r="IC47" s="470"/>
      <c r="ID47" s="470"/>
      <c r="IE47" s="470"/>
      <c r="IF47" s="470"/>
      <c r="IG47" s="470"/>
      <c r="IH47" s="470"/>
      <c r="II47" s="470"/>
      <c r="IJ47" s="470"/>
      <c r="IK47" s="470"/>
      <c r="IL47" s="470"/>
      <c r="IM47" s="470"/>
      <c r="IN47" s="470"/>
      <c r="IO47" s="470"/>
      <c r="IP47" s="470"/>
      <c r="IQ47" s="470"/>
      <c r="IR47" s="470"/>
      <c r="IS47" s="470"/>
      <c r="IT47" s="470"/>
      <c r="IU47" s="470"/>
      <c r="IV47" s="470"/>
      <c r="IW47" s="470"/>
      <c r="IX47" s="470"/>
      <c r="IY47" s="470"/>
      <c r="IZ47" s="470"/>
      <c r="JA47" s="470"/>
      <c r="JB47" s="530"/>
      <c r="JC47" s="530"/>
      <c r="JG47" s="521"/>
    </row>
    <row r="48" spans="1:267" ht="18.899999999999999" customHeight="1">
      <c r="A48" s="468"/>
      <c r="B48" s="468"/>
      <c r="C48" s="473"/>
      <c r="D48" s="473"/>
      <c r="E48" s="473"/>
      <c r="F48" s="473"/>
      <c r="G48" s="470"/>
      <c r="H48" s="470"/>
      <c r="I48" s="470"/>
      <c r="J48" s="470"/>
      <c r="K48" s="470"/>
      <c r="L48" s="470"/>
      <c r="M48" s="470"/>
      <c r="N48" s="470"/>
      <c r="O48" s="470"/>
      <c r="P48" s="470"/>
      <c r="Q48" s="470"/>
      <c r="R48" s="470"/>
      <c r="S48" s="470"/>
      <c r="T48" s="470"/>
      <c r="U48" s="470"/>
      <c r="V48" s="470"/>
      <c r="W48" s="470"/>
      <c r="X48" s="470"/>
      <c r="Y48" s="470"/>
      <c r="Z48" s="470"/>
      <c r="AA48" s="470"/>
      <c r="AB48" s="470"/>
      <c r="AC48" s="470"/>
      <c r="AD48" s="470"/>
      <c r="AE48" s="470"/>
      <c r="AF48" s="470"/>
      <c r="AG48" s="470"/>
      <c r="AH48" s="470"/>
      <c r="AI48" s="470"/>
      <c r="AJ48" s="470"/>
      <c r="AK48" s="470"/>
      <c r="AL48" s="470"/>
      <c r="AM48" s="470"/>
      <c r="AN48" s="470"/>
      <c r="AO48" s="470"/>
      <c r="AP48" s="470"/>
      <c r="AQ48" s="470"/>
      <c r="AR48" s="470"/>
      <c r="AS48" s="470"/>
      <c r="AT48" s="470"/>
      <c r="AU48" s="470"/>
      <c r="AV48" s="470"/>
      <c r="AW48" s="470"/>
      <c r="AX48" s="470"/>
      <c r="AY48" s="470"/>
      <c r="AZ48" s="470"/>
      <c r="BA48" s="470"/>
      <c r="BB48" s="470"/>
      <c r="BC48" s="470"/>
      <c r="BD48" s="470"/>
      <c r="BE48" s="470"/>
      <c r="BF48" s="470"/>
      <c r="BG48" s="470"/>
      <c r="BH48" s="470"/>
      <c r="BI48" s="470"/>
      <c r="BJ48" s="470"/>
      <c r="BK48" s="470"/>
      <c r="BL48" s="470"/>
      <c r="BM48" s="470"/>
      <c r="BN48" s="470"/>
      <c r="BO48" s="470"/>
      <c r="BP48" s="470"/>
      <c r="BQ48" s="470"/>
      <c r="BR48" s="470"/>
      <c r="BS48" s="470"/>
      <c r="BT48" s="470"/>
      <c r="BU48" s="470"/>
      <c r="BV48" s="470"/>
      <c r="BW48" s="470"/>
      <c r="BX48" s="470"/>
      <c r="BY48" s="470"/>
      <c r="BZ48" s="470"/>
      <c r="CA48" s="470"/>
      <c r="CB48" s="470"/>
      <c r="CC48" s="470"/>
      <c r="CD48" s="470"/>
      <c r="CE48" s="470"/>
      <c r="CF48" s="470"/>
      <c r="CG48" s="470"/>
      <c r="CH48" s="470"/>
      <c r="CI48" s="470"/>
      <c r="CJ48" s="470"/>
      <c r="CK48" s="470"/>
      <c r="CL48" s="470"/>
      <c r="CM48" s="470"/>
      <c r="CN48" s="470"/>
      <c r="CO48" s="470"/>
      <c r="CP48" s="470"/>
      <c r="CQ48" s="470"/>
      <c r="CR48" s="470"/>
      <c r="CS48" s="470"/>
      <c r="CT48" s="470"/>
      <c r="CU48" s="470"/>
      <c r="CV48" s="470"/>
      <c r="CW48" s="470"/>
      <c r="CX48" s="470"/>
      <c r="CY48" s="470"/>
      <c r="CZ48" s="470"/>
      <c r="DA48" s="470"/>
      <c r="DB48" s="470"/>
      <c r="DC48" s="470"/>
      <c r="DD48" s="470"/>
      <c r="DE48" s="470"/>
      <c r="DF48" s="470"/>
      <c r="DG48" s="470"/>
      <c r="DH48" s="470"/>
      <c r="DI48" s="470"/>
      <c r="DJ48" s="470"/>
      <c r="DK48" s="470"/>
      <c r="DL48" s="470"/>
      <c r="DM48" s="470"/>
      <c r="DN48" s="476"/>
      <c r="DO48" s="470"/>
      <c r="DP48" s="470"/>
      <c r="DQ48" s="470"/>
      <c r="DR48" s="470"/>
      <c r="DS48" s="470"/>
      <c r="DT48" s="470"/>
      <c r="DU48" s="470"/>
      <c r="DV48" s="470"/>
      <c r="DW48" s="470"/>
      <c r="DX48" s="470"/>
      <c r="DY48" s="470"/>
      <c r="DZ48" s="470"/>
      <c r="EA48" s="470"/>
      <c r="EB48" s="470"/>
      <c r="EC48" s="470"/>
      <c r="ED48" s="470"/>
      <c r="EE48" s="470"/>
      <c r="EF48" s="470"/>
      <c r="EG48" s="470"/>
      <c r="EH48" s="470"/>
      <c r="EI48" s="470"/>
      <c r="EJ48" s="470"/>
      <c r="EK48" s="470"/>
      <c r="EL48" s="470"/>
      <c r="EM48" s="470"/>
      <c r="EN48" s="470"/>
      <c r="EO48" s="470"/>
      <c r="EP48" s="470"/>
      <c r="EQ48" s="470"/>
      <c r="ER48" s="470"/>
      <c r="ES48" s="470"/>
      <c r="ET48" s="470"/>
      <c r="EU48" s="470"/>
      <c r="EV48" s="470"/>
      <c r="EW48" s="470"/>
      <c r="EX48" s="470"/>
      <c r="EY48" s="470"/>
      <c r="EZ48" s="470"/>
      <c r="FA48" s="470"/>
      <c r="FB48" s="470"/>
      <c r="FC48" s="470"/>
      <c r="FD48" s="470"/>
      <c r="FE48" s="470"/>
      <c r="FF48" s="470"/>
      <c r="FG48" s="470"/>
      <c r="FH48" s="470"/>
      <c r="FI48" s="470"/>
      <c r="FJ48" s="470"/>
      <c r="FK48" s="470"/>
      <c r="FL48" s="470"/>
      <c r="FM48" s="470"/>
      <c r="FN48" s="470"/>
      <c r="FO48" s="470"/>
      <c r="FP48" s="470"/>
      <c r="FQ48" s="470"/>
      <c r="FR48" s="470"/>
      <c r="FS48" s="470"/>
      <c r="FT48" s="470"/>
      <c r="FU48" s="470"/>
      <c r="FV48" s="470"/>
      <c r="FW48" s="470"/>
      <c r="FX48" s="470"/>
      <c r="FY48" s="470"/>
      <c r="FZ48" s="470"/>
      <c r="GA48" s="470"/>
      <c r="GB48" s="470"/>
      <c r="GC48" s="470"/>
      <c r="GD48" s="470"/>
      <c r="GE48" s="470"/>
      <c r="GF48" s="470"/>
      <c r="GG48" s="470"/>
      <c r="GH48" s="470"/>
      <c r="GI48" s="470"/>
      <c r="GJ48" s="470"/>
      <c r="GK48" s="470"/>
      <c r="GL48" s="470"/>
      <c r="GM48" s="470"/>
      <c r="GN48" s="470"/>
      <c r="GO48" s="470"/>
      <c r="GP48" s="470"/>
      <c r="GQ48" s="470"/>
      <c r="GR48" s="470"/>
      <c r="GS48" s="470"/>
      <c r="GT48" s="470"/>
      <c r="GU48" s="470"/>
      <c r="GV48" s="470"/>
      <c r="GW48" s="470"/>
      <c r="GX48" s="470"/>
      <c r="GY48" s="470"/>
      <c r="GZ48" s="470"/>
      <c r="HA48" s="470"/>
      <c r="HB48" s="470"/>
      <c r="HC48" s="470"/>
      <c r="HD48" s="470"/>
      <c r="HE48" s="470"/>
      <c r="HF48" s="470"/>
      <c r="HG48" s="470"/>
      <c r="HH48" s="470"/>
      <c r="HI48" s="470"/>
      <c r="HJ48" s="470"/>
      <c r="HK48" s="470"/>
      <c r="HL48" s="470"/>
      <c r="HM48" s="470"/>
      <c r="HN48" s="470"/>
      <c r="HO48" s="470"/>
      <c r="HP48" s="470"/>
      <c r="HQ48" s="470"/>
      <c r="HR48" s="470"/>
      <c r="HS48" s="470"/>
      <c r="HT48" s="470"/>
      <c r="HU48" s="470"/>
      <c r="HV48" s="470"/>
      <c r="HW48" s="470"/>
      <c r="HX48" s="470"/>
      <c r="HY48" s="470"/>
      <c r="HZ48" s="470"/>
      <c r="IA48" s="470"/>
      <c r="IB48" s="470"/>
      <c r="IC48" s="470"/>
      <c r="ID48" s="470"/>
      <c r="IE48" s="470"/>
      <c r="IF48" s="470"/>
      <c r="IG48" s="470"/>
      <c r="IH48" s="470"/>
      <c r="II48" s="470"/>
      <c r="IJ48" s="470"/>
      <c r="IK48" s="470"/>
      <c r="IL48" s="470"/>
      <c r="IM48" s="470"/>
      <c r="IN48" s="470"/>
      <c r="IO48" s="470"/>
      <c r="IP48" s="470"/>
      <c r="IQ48" s="470"/>
      <c r="IR48" s="470"/>
      <c r="IS48" s="470"/>
      <c r="IT48" s="470"/>
      <c r="IU48" s="470"/>
      <c r="IV48" s="470"/>
      <c r="IW48" s="470"/>
      <c r="IX48" s="470"/>
      <c r="IY48" s="470"/>
      <c r="IZ48" s="470"/>
      <c r="JA48" s="470"/>
      <c r="JB48" s="530"/>
      <c r="JC48" s="530"/>
      <c r="JG48" s="521"/>
    </row>
    <row r="49" spans="1:267" ht="18.899999999999999" customHeight="1">
      <c r="A49" s="468"/>
      <c r="B49" s="468"/>
      <c r="C49" s="473"/>
      <c r="D49" s="473"/>
      <c r="E49" s="473"/>
      <c r="F49" s="473"/>
      <c r="G49" s="470"/>
      <c r="H49" s="470"/>
      <c r="I49" s="470"/>
      <c r="J49" s="470"/>
      <c r="K49" s="470"/>
      <c r="L49" s="470"/>
      <c r="M49" s="470"/>
      <c r="N49" s="470"/>
      <c r="O49" s="470"/>
      <c r="P49" s="470"/>
      <c r="Q49" s="470"/>
      <c r="R49" s="470"/>
      <c r="S49" s="470"/>
      <c r="T49" s="470"/>
      <c r="U49" s="470"/>
      <c r="V49" s="470"/>
      <c r="W49" s="470"/>
      <c r="X49" s="470"/>
      <c r="Y49" s="470"/>
      <c r="Z49" s="470"/>
      <c r="AA49" s="470"/>
      <c r="AB49" s="470"/>
      <c r="AC49" s="470"/>
      <c r="AD49" s="470"/>
      <c r="AE49" s="470"/>
      <c r="AF49" s="470"/>
      <c r="AG49" s="470"/>
      <c r="AH49" s="470"/>
      <c r="AI49" s="470"/>
      <c r="AJ49" s="470"/>
      <c r="AK49" s="470"/>
      <c r="AL49" s="470"/>
      <c r="AM49" s="470"/>
      <c r="AN49" s="470"/>
      <c r="AO49" s="470"/>
      <c r="AP49" s="470"/>
      <c r="AQ49" s="470"/>
      <c r="AR49" s="470"/>
      <c r="AS49" s="470"/>
      <c r="AT49" s="470"/>
      <c r="AU49" s="470"/>
      <c r="AV49" s="470"/>
      <c r="AW49" s="470"/>
      <c r="AX49" s="470"/>
      <c r="AY49" s="470"/>
      <c r="AZ49" s="470"/>
      <c r="BA49" s="470"/>
      <c r="BB49" s="470"/>
      <c r="BC49" s="470"/>
      <c r="BD49" s="470"/>
      <c r="BE49" s="470"/>
      <c r="BF49" s="470"/>
      <c r="BG49" s="470"/>
      <c r="BH49" s="470"/>
      <c r="BI49" s="470"/>
      <c r="BJ49" s="470"/>
      <c r="BK49" s="470"/>
      <c r="BL49" s="470"/>
      <c r="BM49" s="470"/>
      <c r="BN49" s="470"/>
      <c r="BO49" s="470"/>
      <c r="BP49" s="470"/>
      <c r="BQ49" s="470"/>
      <c r="BR49" s="470"/>
      <c r="BS49" s="470"/>
      <c r="BT49" s="470"/>
      <c r="BU49" s="470"/>
      <c r="BV49" s="470"/>
      <c r="BW49" s="470"/>
      <c r="BX49" s="470"/>
      <c r="BY49" s="470"/>
      <c r="BZ49" s="470"/>
      <c r="CA49" s="470"/>
      <c r="CB49" s="470"/>
      <c r="CC49" s="470"/>
      <c r="CD49" s="470"/>
      <c r="CE49" s="470"/>
      <c r="CF49" s="470"/>
      <c r="CG49" s="470"/>
      <c r="CH49" s="470"/>
      <c r="CI49" s="470"/>
      <c r="CJ49" s="470"/>
      <c r="CK49" s="470"/>
      <c r="CL49" s="470"/>
      <c r="CM49" s="470"/>
      <c r="CN49" s="470"/>
      <c r="CO49" s="470"/>
      <c r="CP49" s="470"/>
      <c r="CQ49" s="470"/>
      <c r="CR49" s="470"/>
      <c r="CS49" s="470"/>
      <c r="CT49" s="470"/>
      <c r="CU49" s="470"/>
      <c r="CV49" s="470"/>
      <c r="CW49" s="470"/>
      <c r="CX49" s="470"/>
      <c r="CY49" s="470"/>
      <c r="CZ49" s="470"/>
      <c r="DA49" s="470"/>
      <c r="DB49" s="470"/>
      <c r="DC49" s="470"/>
      <c r="DD49" s="470"/>
      <c r="DE49" s="470"/>
      <c r="DF49" s="470"/>
      <c r="DG49" s="470"/>
      <c r="DH49" s="470"/>
      <c r="DI49" s="470"/>
      <c r="DJ49" s="470"/>
      <c r="DK49" s="470"/>
      <c r="DL49" s="470"/>
      <c r="DM49" s="470"/>
      <c r="DN49" s="476"/>
      <c r="DO49" s="470"/>
      <c r="DP49" s="470"/>
      <c r="DQ49" s="470"/>
      <c r="DR49" s="470"/>
      <c r="DS49" s="470"/>
      <c r="DT49" s="470"/>
      <c r="DU49" s="470"/>
      <c r="DV49" s="470"/>
      <c r="DW49" s="470"/>
      <c r="DX49" s="470"/>
      <c r="DY49" s="470"/>
      <c r="DZ49" s="470"/>
      <c r="EA49" s="470"/>
      <c r="EB49" s="470"/>
      <c r="EC49" s="470"/>
      <c r="ED49" s="470"/>
      <c r="EE49" s="470"/>
      <c r="EF49" s="470"/>
      <c r="EG49" s="470"/>
      <c r="EH49" s="470"/>
      <c r="EI49" s="470"/>
      <c r="EJ49" s="470"/>
      <c r="EK49" s="470"/>
      <c r="EL49" s="470"/>
      <c r="EM49" s="470"/>
      <c r="EN49" s="470"/>
      <c r="EO49" s="470"/>
      <c r="EP49" s="470"/>
      <c r="EQ49" s="470"/>
      <c r="ER49" s="470"/>
      <c r="ES49" s="470"/>
      <c r="ET49" s="470"/>
      <c r="EU49" s="470"/>
      <c r="EV49" s="470"/>
      <c r="EW49" s="470"/>
      <c r="EX49" s="470"/>
      <c r="EY49" s="470"/>
      <c r="EZ49" s="470"/>
      <c r="FA49" s="470"/>
      <c r="FB49" s="470"/>
      <c r="FC49" s="470"/>
      <c r="FD49" s="470"/>
      <c r="FE49" s="470"/>
      <c r="FF49" s="470"/>
      <c r="FG49" s="470"/>
      <c r="FH49" s="470"/>
      <c r="FI49" s="470"/>
      <c r="FJ49" s="470"/>
      <c r="FK49" s="470"/>
      <c r="FL49" s="470"/>
      <c r="FM49" s="470"/>
      <c r="FN49" s="470"/>
      <c r="FO49" s="470"/>
      <c r="FP49" s="470"/>
      <c r="FQ49" s="470"/>
      <c r="FR49" s="470"/>
      <c r="FS49" s="470"/>
      <c r="FT49" s="470"/>
      <c r="FU49" s="470"/>
      <c r="FV49" s="470"/>
      <c r="FW49" s="470"/>
      <c r="FX49" s="470"/>
      <c r="FY49" s="470"/>
      <c r="FZ49" s="470"/>
      <c r="GA49" s="470"/>
      <c r="GB49" s="470"/>
      <c r="GC49" s="470"/>
      <c r="GD49" s="470"/>
      <c r="GE49" s="470"/>
      <c r="GF49" s="470"/>
      <c r="GG49" s="470"/>
      <c r="GH49" s="470"/>
      <c r="GI49" s="470"/>
      <c r="GJ49" s="470"/>
      <c r="GK49" s="470"/>
      <c r="GL49" s="470"/>
      <c r="GM49" s="470"/>
      <c r="GN49" s="470"/>
      <c r="GO49" s="470"/>
      <c r="GP49" s="470"/>
      <c r="GQ49" s="470"/>
      <c r="GR49" s="470"/>
      <c r="GS49" s="470"/>
      <c r="GT49" s="470"/>
      <c r="GU49" s="470"/>
      <c r="GV49" s="470"/>
      <c r="GW49" s="470"/>
      <c r="GX49" s="470"/>
      <c r="GY49" s="470"/>
      <c r="GZ49" s="470"/>
      <c r="HA49" s="470"/>
      <c r="HB49" s="470"/>
      <c r="HC49" s="470"/>
      <c r="HD49" s="470"/>
      <c r="HE49" s="470"/>
      <c r="HF49" s="470"/>
      <c r="HG49" s="470"/>
      <c r="HH49" s="470"/>
      <c r="HI49" s="470"/>
      <c r="HJ49" s="470"/>
      <c r="HK49" s="470"/>
      <c r="HL49" s="470"/>
      <c r="HM49" s="470"/>
      <c r="HN49" s="470"/>
      <c r="HO49" s="470"/>
      <c r="HP49" s="470"/>
      <c r="HQ49" s="470"/>
      <c r="HR49" s="470"/>
      <c r="HS49" s="470"/>
      <c r="HT49" s="470"/>
      <c r="HU49" s="470"/>
      <c r="HV49" s="470"/>
      <c r="HW49" s="470"/>
      <c r="HX49" s="470"/>
      <c r="HY49" s="470"/>
      <c r="HZ49" s="470"/>
      <c r="IA49" s="470"/>
      <c r="IB49" s="470"/>
      <c r="IC49" s="470"/>
      <c r="ID49" s="470"/>
      <c r="IE49" s="470"/>
      <c r="IF49" s="470"/>
      <c r="IG49" s="470"/>
      <c r="IH49" s="470"/>
      <c r="II49" s="470"/>
      <c r="IJ49" s="470"/>
      <c r="IK49" s="470"/>
      <c r="IL49" s="470"/>
      <c r="IM49" s="470"/>
      <c r="IN49" s="470"/>
      <c r="IO49" s="470"/>
      <c r="IP49" s="470"/>
      <c r="IQ49" s="470"/>
      <c r="IR49" s="470"/>
      <c r="IS49" s="470"/>
      <c r="IT49" s="470"/>
      <c r="IU49" s="470"/>
      <c r="IV49" s="470"/>
      <c r="IW49" s="470"/>
      <c r="IX49" s="470"/>
      <c r="IY49" s="470"/>
      <c r="IZ49" s="470"/>
      <c r="JA49" s="470"/>
      <c r="JB49" s="530"/>
      <c r="JC49" s="530"/>
      <c r="JG49" s="521"/>
    </row>
    <row r="50" spans="1:267" ht="18.899999999999999" customHeight="1">
      <c r="A50" s="468"/>
      <c r="B50" s="468"/>
      <c r="C50" s="473"/>
      <c r="D50" s="473"/>
      <c r="E50" s="473"/>
      <c r="F50" s="473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79"/>
      <c r="V50" s="479"/>
      <c r="W50" s="479"/>
      <c r="X50" s="479"/>
      <c r="Y50" s="479"/>
      <c r="Z50" s="479"/>
      <c r="AA50" s="479"/>
      <c r="AB50" s="479"/>
      <c r="AC50" s="479"/>
      <c r="AD50" s="479"/>
      <c r="AE50" s="479"/>
      <c r="AF50" s="479"/>
      <c r="AG50" s="479"/>
      <c r="AH50" s="479"/>
      <c r="AI50" s="479"/>
      <c r="AJ50" s="479"/>
      <c r="AK50" s="479"/>
      <c r="AL50" s="479"/>
      <c r="AM50" s="479"/>
      <c r="AN50" s="479"/>
      <c r="AO50" s="479"/>
      <c r="AP50" s="479"/>
      <c r="AQ50" s="479"/>
      <c r="AR50" s="479"/>
      <c r="AS50" s="479"/>
      <c r="AT50" s="479"/>
      <c r="AU50" s="479"/>
      <c r="AV50" s="479"/>
      <c r="AW50" s="479"/>
      <c r="AX50" s="479"/>
      <c r="AY50" s="479"/>
      <c r="AZ50" s="479"/>
      <c r="BA50" s="479"/>
      <c r="BB50" s="479"/>
      <c r="BC50" s="479"/>
      <c r="BD50" s="479"/>
      <c r="BE50" s="479"/>
      <c r="BF50" s="479"/>
      <c r="BG50" s="479"/>
      <c r="BH50" s="479"/>
      <c r="BI50" s="479"/>
      <c r="BJ50" s="479"/>
      <c r="BK50" s="479"/>
      <c r="BL50" s="479"/>
      <c r="BM50" s="479"/>
      <c r="BN50" s="479"/>
      <c r="BO50" s="479"/>
      <c r="BP50" s="479"/>
      <c r="BQ50" s="479"/>
      <c r="BR50" s="479"/>
      <c r="BS50" s="479"/>
      <c r="BT50" s="479"/>
      <c r="BU50" s="479"/>
      <c r="BV50" s="479"/>
      <c r="BW50" s="479"/>
      <c r="BX50" s="479"/>
      <c r="BY50" s="479"/>
      <c r="BZ50" s="479"/>
      <c r="CA50" s="479"/>
      <c r="CB50" s="479"/>
      <c r="CC50" s="479"/>
      <c r="CD50" s="479"/>
      <c r="CE50" s="479"/>
      <c r="CF50" s="479"/>
      <c r="CG50" s="479"/>
      <c r="CH50" s="479"/>
      <c r="CI50" s="479"/>
      <c r="CJ50" s="479"/>
      <c r="CK50" s="479"/>
      <c r="CL50" s="479"/>
      <c r="CM50" s="479"/>
      <c r="CN50" s="479"/>
      <c r="CO50" s="479"/>
      <c r="CP50" s="479"/>
      <c r="CQ50" s="479"/>
      <c r="CR50" s="479"/>
      <c r="CS50" s="479"/>
      <c r="CT50" s="479"/>
      <c r="CU50" s="479"/>
      <c r="CV50" s="479"/>
      <c r="CW50" s="479"/>
      <c r="CX50" s="479"/>
      <c r="CY50" s="479"/>
      <c r="CZ50" s="479"/>
      <c r="DA50" s="479"/>
      <c r="DB50" s="479"/>
      <c r="DC50" s="479"/>
      <c r="DD50" s="479"/>
      <c r="DE50" s="479"/>
      <c r="DF50" s="479"/>
      <c r="DG50" s="479"/>
      <c r="DH50" s="479"/>
      <c r="DI50" s="479"/>
      <c r="DJ50" s="479"/>
      <c r="DK50" s="479"/>
      <c r="DL50" s="479"/>
      <c r="DM50" s="479"/>
      <c r="DN50" s="480"/>
      <c r="DO50" s="479"/>
      <c r="DP50" s="479"/>
      <c r="DQ50" s="479"/>
      <c r="DR50" s="479"/>
      <c r="DS50" s="479"/>
      <c r="DT50" s="479"/>
      <c r="DU50" s="479"/>
      <c r="DV50" s="479"/>
      <c r="DW50" s="479"/>
      <c r="DX50" s="479"/>
      <c r="DY50" s="479"/>
      <c r="DZ50" s="479"/>
      <c r="EA50" s="479"/>
      <c r="EB50" s="479"/>
      <c r="EC50" s="479"/>
      <c r="ED50" s="479"/>
      <c r="EE50" s="479"/>
      <c r="EF50" s="479"/>
      <c r="EG50" s="479"/>
      <c r="EH50" s="479"/>
      <c r="EI50" s="479"/>
      <c r="EJ50" s="479"/>
      <c r="EK50" s="479"/>
      <c r="EL50" s="479"/>
      <c r="EM50" s="479"/>
      <c r="EN50" s="479"/>
      <c r="EO50" s="479"/>
      <c r="EP50" s="479"/>
      <c r="EQ50" s="479"/>
      <c r="ER50" s="479"/>
      <c r="ES50" s="479"/>
      <c r="ET50" s="479"/>
      <c r="EU50" s="479"/>
      <c r="EV50" s="479"/>
      <c r="EW50" s="479"/>
      <c r="EX50" s="479"/>
      <c r="EY50" s="479"/>
      <c r="EZ50" s="479"/>
      <c r="FA50" s="479"/>
      <c r="FB50" s="479"/>
      <c r="FC50" s="479"/>
      <c r="FD50" s="479"/>
      <c r="FE50" s="479"/>
      <c r="FF50" s="479"/>
      <c r="FG50" s="479"/>
      <c r="FH50" s="479"/>
      <c r="FI50" s="479"/>
      <c r="FJ50" s="479"/>
      <c r="FK50" s="479"/>
      <c r="FL50" s="479"/>
      <c r="FM50" s="479"/>
      <c r="FN50" s="479"/>
      <c r="FO50" s="479"/>
      <c r="FP50" s="479"/>
      <c r="FQ50" s="479"/>
      <c r="FR50" s="479"/>
      <c r="FS50" s="479"/>
      <c r="FT50" s="479"/>
      <c r="FU50" s="479"/>
      <c r="FV50" s="479"/>
      <c r="FW50" s="479"/>
      <c r="FX50" s="479"/>
      <c r="FY50" s="479"/>
      <c r="FZ50" s="479"/>
      <c r="GA50" s="479"/>
      <c r="GB50" s="479"/>
      <c r="GC50" s="479"/>
      <c r="GD50" s="479"/>
      <c r="GE50" s="479"/>
      <c r="GF50" s="479"/>
      <c r="GG50" s="479"/>
      <c r="GH50" s="479"/>
      <c r="GI50" s="479"/>
      <c r="GJ50" s="479"/>
      <c r="GK50" s="479"/>
      <c r="GL50" s="479"/>
      <c r="GM50" s="479"/>
      <c r="GN50" s="479"/>
      <c r="GO50" s="479"/>
      <c r="GP50" s="479"/>
      <c r="GQ50" s="479"/>
      <c r="GR50" s="479"/>
      <c r="GS50" s="479"/>
      <c r="GT50" s="479"/>
      <c r="GU50" s="479"/>
      <c r="GV50" s="479"/>
      <c r="GW50" s="479"/>
      <c r="GX50" s="479"/>
      <c r="GY50" s="479"/>
      <c r="GZ50" s="479"/>
      <c r="HA50" s="479"/>
      <c r="HB50" s="479"/>
      <c r="HC50" s="479"/>
      <c r="HD50" s="479"/>
      <c r="HE50" s="479"/>
      <c r="HF50" s="479"/>
      <c r="HG50" s="479"/>
      <c r="HH50" s="479"/>
      <c r="HI50" s="479"/>
      <c r="HJ50" s="479"/>
      <c r="HK50" s="479"/>
      <c r="HL50" s="479"/>
      <c r="HM50" s="479"/>
      <c r="HN50" s="479"/>
      <c r="HO50" s="479"/>
      <c r="HP50" s="479"/>
      <c r="HQ50" s="479"/>
      <c r="HR50" s="479"/>
      <c r="HS50" s="479"/>
      <c r="HT50" s="479"/>
      <c r="HU50" s="479"/>
      <c r="HV50" s="479"/>
      <c r="HW50" s="479"/>
      <c r="HX50" s="479"/>
      <c r="HY50" s="479"/>
      <c r="HZ50" s="479"/>
      <c r="IA50" s="479"/>
      <c r="IB50" s="479"/>
      <c r="IC50" s="479"/>
      <c r="ID50" s="479"/>
      <c r="IE50" s="479"/>
      <c r="IF50" s="479"/>
      <c r="IG50" s="479"/>
      <c r="IH50" s="479"/>
      <c r="II50" s="479"/>
      <c r="IJ50" s="479"/>
      <c r="IK50" s="479"/>
      <c r="IL50" s="479"/>
      <c r="IM50" s="479"/>
      <c r="IN50" s="479"/>
      <c r="IO50" s="479"/>
      <c r="IP50" s="479"/>
      <c r="IQ50" s="479"/>
      <c r="IR50" s="479"/>
      <c r="IS50" s="479"/>
      <c r="IT50" s="479"/>
      <c r="IU50" s="479"/>
      <c r="IV50" s="479"/>
      <c r="IW50" s="479"/>
      <c r="IX50" s="479"/>
      <c r="IY50" s="479"/>
      <c r="IZ50" s="479"/>
      <c r="JA50" s="479"/>
      <c r="JB50" s="530"/>
      <c r="JC50" s="530"/>
      <c r="JG50" s="521"/>
    </row>
    <row r="51" spans="1:267" ht="18.899999999999999" customHeight="1">
      <c r="A51" s="468"/>
      <c r="B51" s="468"/>
      <c r="C51" s="473"/>
      <c r="D51" s="473"/>
      <c r="E51" s="473"/>
      <c r="F51" s="473"/>
      <c r="G51" s="468"/>
      <c r="H51" s="468"/>
      <c r="I51" s="468"/>
      <c r="J51" s="468"/>
      <c r="K51" s="468"/>
      <c r="L51" s="468"/>
      <c r="M51" s="468"/>
      <c r="N51" s="468"/>
      <c r="O51" s="468"/>
      <c r="P51" s="468"/>
      <c r="Q51" s="468"/>
      <c r="R51" s="468"/>
      <c r="S51" s="468"/>
      <c r="T51" s="468"/>
      <c r="U51" s="468"/>
      <c r="V51" s="468"/>
      <c r="W51" s="468"/>
      <c r="X51" s="468"/>
      <c r="Y51" s="468"/>
      <c r="Z51" s="468"/>
      <c r="AA51" s="468"/>
      <c r="AB51" s="468"/>
      <c r="AC51" s="468"/>
      <c r="AD51" s="468"/>
      <c r="AE51" s="468"/>
      <c r="AF51" s="468"/>
      <c r="AG51" s="468"/>
      <c r="AH51" s="468"/>
      <c r="AI51" s="468"/>
      <c r="AJ51" s="468"/>
      <c r="AK51" s="468"/>
      <c r="AL51" s="468"/>
      <c r="AM51" s="468"/>
      <c r="AN51" s="468"/>
      <c r="AO51" s="468"/>
      <c r="AP51" s="468"/>
      <c r="AQ51" s="468"/>
      <c r="AR51" s="468"/>
      <c r="AS51" s="468"/>
      <c r="AT51" s="468"/>
      <c r="AU51" s="468"/>
      <c r="AV51" s="468"/>
      <c r="AW51" s="468"/>
      <c r="AX51" s="468"/>
      <c r="AY51" s="468"/>
      <c r="AZ51" s="468"/>
      <c r="BA51" s="468"/>
      <c r="BB51" s="468"/>
      <c r="BC51" s="468"/>
      <c r="BD51" s="468"/>
      <c r="BE51" s="468"/>
      <c r="BF51" s="468"/>
      <c r="BG51" s="468"/>
      <c r="BH51" s="468"/>
      <c r="BI51" s="468"/>
      <c r="BJ51" s="468"/>
      <c r="BK51" s="468"/>
      <c r="BL51" s="468"/>
      <c r="BM51" s="468"/>
      <c r="BN51" s="468"/>
      <c r="BO51" s="468"/>
      <c r="BP51" s="468"/>
      <c r="BQ51" s="468"/>
      <c r="BR51" s="468"/>
      <c r="BS51" s="468"/>
      <c r="BT51" s="468"/>
      <c r="BU51" s="468"/>
      <c r="BV51" s="468"/>
      <c r="BW51" s="468"/>
      <c r="BX51" s="468"/>
      <c r="BY51" s="468"/>
      <c r="BZ51" s="468"/>
      <c r="CA51" s="468"/>
      <c r="CB51" s="468"/>
      <c r="CC51" s="468"/>
      <c r="CD51" s="468"/>
      <c r="CE51" s="468"/>
      <c r="CF51" s="468"/>
      <c r="CG51" s="468"/>
      <c r="CH51" s="468"/>
      <c r="CI51" s="468"/>
      <c r="CJ51" s="468"/>
      <c r="CK51" s="468"/>
      <c r="CL51" s="468"/>
      <c r="CM51" s="468"/>
      <c r="CN51" s="468"/>
      <c r="CO51" s="468"/>
      <c r="CP51" s="468"/>
      <c r="CQ51" s="468"/>
      <c r="CR51" s="468"/>
      <c r="CS51" s="468"/>
      <c r="CT51" s="468"/>
      <c r="CU51" s="468"/>
      <c r="CV51" s="468"/>
      <c r="CW51" s="468"/>
      <c r="CX51" s="468"/>
      <c r="CY51" s="468"/>
      <c r="CZ51" s="468"/>
      <c r="DA51" s="468"/>
      <c r="DB51" s="468"/>
      <c r="DC51" s="468"/>
      <c r="DD51" s="468"/>
      <c r="DE51" s="468"/>
      <c r="DF51" s="468"/>
      <c r="DG51" s="468"/>
      <c r="DH51" s="468"/>
      <c r="DI51" s="468"/>
      <c r="DJ51" s="468"/>
      <c r="DK51" s="468"/>
      <c r="DL51" s="468"/>
      <c r="DM51" s="468"/>
      <c r="DN51" s="471"/>
      <c r="DO51" s="468"/>
      <c r="DP51" s="468"/>
      <c r="DQ51" s="468"/>
      <c r="DR51" s="468"/>
      <c r="DS51" s="468"/>
      <c r="DT51" s="468"/>
      <c r="DU51" s="468"/>
      <c r="DV51" s="468"/>
      <c r="DW51" s="468"/>
      <c r="DX51" s="468"/>
      <c r="DY51" s="468"/>
      <c r="DZ51" s="468"/>
      <c r="EA51" s="468"/>
      <c r="EB51" s="468"/>
      <c r="EC51" s="468"/>
      <c r="ED51" s="468"/>
      <c r="EE51" s="468"/>
      <c r="EF51" s="468"/>
      <c r="EG51" s="468"/>
      <c r="EH51" s="468"/>
      <c r="EI51" s="468"/>
      <c r="EJ51" s="468"/>
      <c r="EK51" s="468"/>
      <c r="EL51" s="468"/>
      <c r="EM51" s="468"/>
      <c r="EN51" s="468"/>
      <c r="EO51" s="468"/>
      <c r="EP51" s="468"/>
      <c r="EQ51" s="468"/>
      <c r="ER51" s="468"/>
      <c r="ES51" s="468"/>
      <c r="ET51" s="468"/>
      <c r="EU51" s="468"/>
      <c r="EV51" s="468"/>
      <c r="EW51" s="468"/>
      <c r="EX51" s="468"/>
      <c r="EY51" s="468"/>
      <c r="EZ51" s="468"/>
      <c r="FA51" s="468"/>
      <c r="FB51" s="468"/>
      <c r="FC51" s="468"/>
      <c r="FD51" s="468"/>
      <c r="FE51" s="468"/>
      <c r="FF51" s="468"/>
      <c r="FG51" s="468"/>
      <c r="FH51" s="468"/>
      <c r="FI51" s="468"/>
      <c r="FJ51" s="468"/>
      <c r="FK51" s="468"/>
      <c r="FL51" s="468"/>
      <c r="FM51" s="468"/>
      <c r="FN51" s="468"/>
      <c r="FO51" s="468"/>
      <c r="FP51" s="468"/>
      <c r="FQ51" s="468"/>
      <c r="FR51" s="468"/>
      <c r="FS51" s="468"/>
      <c r="FT51" s="468"/>
      <c r="FU51" s="468"/>
      <c r="FV51" s="468"/>
      <c r="FW51" s="468"/>
      <c r="FX51" s="468"/>
      <c r="FY51" s="468"/>
      <c r="FZ51" s="468"/>
      <c r="GA51" s="468"/>
      <c r="GB51" s="468"/>
      <c r="GC51" s="468"/>
      <c r="GD51" s="468"/>
      <c r="GE51" s="468"/>
      <c r="GF51" s="468"/>
      <c r="GG51" s="468"/>
      <c r="GH51" s="468"/>
      <c r="GI51" s="468"/>
      <c r="GJ51" s="468"/>
      <c r="GK51" s="468"/>
      <c r="GL51" s="468"/>
      <c r="GM51" s="468"/>
      <c r="GN51" s="468"/>
      <c r="GO51" s="468"/>
      <c r="GP51" s="468"/>
      <c r="GQ51" s="468"/>
      <c r="GR51" s="468"/>
      <c r="GS51" s="468"/>
      <c r="GT51" s="468"/>
      <c r="GU51" s="468"/>
      <c r="GV51" s="468"/>
      <c r="GW51" s="468"/>
      <c r="GX51" s="468"/>
      <c r="GY51" s="468"/>
      <c r="GZ51" s="468"/>
      <c r="HA51" s="468"/>
      <c r="HB51" s="468"/>
      <c r="HC51" s="468"/>
      <c r="HD51" s="468"/>
      <c r="HE51" s="468"/>
      <c r="HF51" s="468"/>
      <c r="HG51" s="468"/>
      <c r="HH51" s="468"/>
      <c r="HI51" s="468"/>
      <c r="HJ51" s="468"/>
      <c r="HK51" s="468"/>
      <c r="HL51" s="468"/>
      <c r="HM51" s="468"/>
      <c r="HN51" s="468"/>
      <c r="HO51" s="468"/>
      <c r="HP51" s="468"/>
      <c r="HQ51" s="468"/>
      <c r="HR51" s="468"/>
      <c r="HS51" s="468"/>
      <c r="HT51" s="468"/>
      <c r="HU51" s="468"/>
      <c r="HV51" s="468"/>
      <c r="HW51" s="468"/>
      <c r="HX51" s="468"/>
      <c r="HY51" s="468"/>
      <c r="HZ51" s="468"/>
      <c r="IA51" s="468"/>
      <c r="IB51" s="468"/>
      <c r="IC51" s="468"/>
      <c r="ID51" s="468"/>
      <c r="IE51" s="468"/>
      <c r="IF51" s="468"/>
      <c r="IG51" s="468"/>
      <c r="IH51" s="468"/>
      <c r="II51" s="468"/>
      <c r="IJ51" s="468"/>
      <c r="IK51" s="468"/>
      <c r="IL51" s="468"/>
      <c r="IM51" s="468"/>
      <c r="IN51" s="468"/>
      <c r="IO51" s="468"/>
      <c r="IP51" s="468"/>
      <c r="IQ51" s="468"/>
      <c r="IR51" s="468"/>
      <c r="IS51" s="468"/>
      <c r="IT51" s="468"/>
      <c r="IU51" s="468"/>
      <c r="IV51" s="468"/>
      <c r="IW51" s="468"/>
      <c r="IX51" s="468"/>
      <c r="IY51" s="468"/>
      <c r="IZ51" s="468"/>
      <c r="JA51" s="468"/>
      <c r="JG51" s="521"/>
    </row>
    <row r="52" spans="1:267" ht="18.899999999999999" customHeight="1">
      <c r="A52" s="468"/>
      <c r="B52" s="468"/>
      <c r="C52" s="473"/>
      <c r="D52" s="473"/>
      <c r="E52" s="473"/>
      <c r="F52" s="473"/>
      <c r="G52" s="468"/>
      <c r="H52" s="468"/>
      <c r="I52" s="468"/>
      <c r="J52" s="468"/>
      <c r="K52" s="468"/>
      <c r="L52" s="468"/>
      <c r="M52" s="468"/>
      <c r="N52" s="468"/>
      <c r="O52" s="468"/>
      <c r="P52" s="468"/>
      <c r="Q52" s="468"/>
      <c r="R52" s="468"/>
      <c r="S52" s="468"/>
      <c r="T52" s="468"/>
      <c r="U52" s="468"/>
      <c r="V52" s="468"/>
      <c r="W52" s="468"/>
      <c r="X52" s="468"/>
      <c r="Y52" s="468"/>
      <c r="Z52" s="468"/>
      <c r="AA52" s="468"/>
      <c r="AB52" s="468"/>
      <c r="AC52" s="468"/>
      <c r="AD52" s="468"/>
      <c r="AE52" s="468"/>
      <c r="AF52" s="468"/>
      <c r="AG52" s="468"/>
      <c r="AH52" s="468"/>
      <c r="AI52" s="468"/>
      <c r="AJ52" s="468"/>
      <c r="AK52" s="468"/>
      <c r="AL52" s="468"/>
      <c r="AM52" s="468"/>
      <c r="AN52" s="468"/>
      <c r="AO52" s="468"/>
      <c r="AP52" s="468"/>
      <c r="AQ52" s="468"/>
      <c r="AR52" s="468"/>
      <c r="AS52" s="468"/>
      <c r="AT52" s="468"/>
      <c r="AU52" s="468"/>
      <c r="AV52" s="468"/>
      <c r="AW52" s="468"/>
      <c r="AX52" s="468"/>
      <c r="AY52" s="468"/>
      <c r="AZ52" s="468"/>
      <c r="BA52" s="468"/>
      <c r="BB52" s="468"/>
      <c r="BC52" s="468"/>
      <c r="BD52" s="468"/>
      <c r="BE52" s="468"/>
      <c r="BF52" s="468"/>
      <c r="BG52" s="468"/>
      <c r="BH52" s="468"/>
      <c r="BI52" s="468"/>
      <c r="BJ52" s="468"/>
      <c r="BK52" s="468"/>
      <c r="BL52" s="468"/>
      <c r="BM52" s="468"/>
      <c r="BN52" s="468"/>
      <c r="BO52" s="468"/>
      <c r="BP52" s="468"/>
      <c r="BQ52" s="468"/>
      <c r="BR52" s="468"/>
      <c r="BS52" s="468"/>
      <c r="BT52" s="468"/>
      <c r="BU52" s="468"/>
      <c r="BV52" s="468"/>
      <c r="BW52" s="468"/>
      <c r="BX52" s="468"/>
      <c r="BY52" s="468"/>
      <c r="BZ52" s="468"/>
      <c r="CA52" s="468"/>
      <c r="CB52" s="468"/>
      <c r="CC52" s="468"/>
      <c r="CD52" s="468"/>
      <c r="CE52" s="468"/>
      <c r="CF52" s="468"/>
      <c r="CG52" s="468"/>
      <c r="CH52" s="468"/>
      <c r="CI52" s="468"/>
      <c r="CJ52" s="468"/>
      <c r="CK52" s="468"/>
      <c r="CL52" s="468"/>
      <c r="CM52" s="468"/>
      <c r="CN52" s="468"/>
      <c r="CO52" s="468"/>
      <c r="CP52" s="468"/>
      <c r="CQ52" s="468"/>
      <c r="CR52" s="468"/>
      <c r="CS52" s="468"/>
      <c r="CT52" s="468"/>
      <c r="CU52" s="468"/>
      <c r="CV52" s="468"/>
      <c r="CW52" s="468"/>
      <c r="CX52" s="468"/>
      <c r="CY52" s="468"/>
      <c r="CZ52" s="468"/>
      <c r="DA52" s="468"/>
      <c r="DB52" s="468"/>
      <c r="DC52" s="468"/>
      <c r="DD52" s="468"/>
      <c r="DE52" s="468"/>
      <c r="DF52" s="468"/>
      <c r="DG52" s="468"/>
      <c r="DH52" s="468"/>
      <c r="DI52" s="468"/>
      <c r="DJ52" s="468"/>
      <c r="DK52" s="468"/>
      <c r="DL52" s="468"/>
      <c r="DM52" s="468"/>
      <c r="DN52" s="471"/>
      <c r="DO52" s="468"/>
      <c r="DP52" s="468"/>
      <c r="DQ52" s="468"/>
      <c r="DR52" s="468"/>
      <c r="DS52" s="468"/>
      <c r="DT52" s="468"/>
      <c r="DU52" s="468"/>
      <c r="DV52" s="468"/>
      <c r="DW52" s="468"/>
      <c r="DX52" s="468"/>
      <c r="DY52" s="468"/>
      <c r="DZ52" s="468"/>
      <c r="EA52" s="468"/>
      <c r="EB52" s="468"/>
      <c r="EC52" s="468"/>
      <c r="ED52" s="468"/>
      <c r="EE52" s="468"/>
      <c r="EF52" s="468"/>
      <c r="EG52" s="468"/>
      <c r="EH52" s="468"/>
      <c r="EI52" s="468"/>
      <c r="EJ52" s="468"/>
      <c r="EK52" s="468"/>
      <c r="EL52" s="468"/>
      <c r="EM52" s="468"/>
      <c r="EN52" s="468"/>
      <c r="EO52" s="468"/>
      <c r="EP52" s="468"/>
      <c r="EQ52" s="468"/>
      <c r="ER52" s="468"/>
      <c r="ES52" s="468"/>
      <c r="ET52" s="468"/>
      <c r="EU52" s="468"/>
      <c r="EV52" s="468"/>
      <c r="EW52" s="468"/>
      <c r="EX52" s="468"/>
      <c r="EY52" s="468"/>
      <c r="EZ52" s="468"/>
      <c r="FA52" s="468"/>
      <c r="FB52" s="468"/>
      <c r="FC52" s="468"/>
      <c r="FD52" s="468"/>
      <c r="FE52" s="468"/>
      <c r="FF52" s="468"/>
      <c r="FG52" s="468"/>
      <c r="FH52" s="468"/>
      <c r="FI52" s="468"/>
      <c r="FJ52" s="468"/>
      <c r="FK52" s="468"/>
      <c r="FL52" s="468"/>
      <c r="FM52" s="468"/>
      <c r="FN52" s="468"/>
      <c r="FO52" s="468"/>
      <c r="FP52" s="468"/>
      <c r="FQ52" s="468"/>
      <c r="FR52" s="468"/>
      <c r="FS52" s="468"/>
      <c r="FT52" s="468"/>
      <c r="FU52" s="468"/>
      <c r="FV52" s="468"/>
      <c r="FW52" s="468"/>
      <c r="FX52" s="468"/>
      <c r="FY52" s="468"/>
      <c r="FZ52" s="468"/>
      <c r="GA52" s="468"/>
      <c r="GB52" s="468"/>
      <c r="GC52" s="468"/>
      <c r="GD52" s="468"/>
      <c r="GE52" s="468"/>
      <c r="GF52" s="468"/>
      <c r="GG52" s="468"/>
      <c r="GH52" s="468"/>
      <c r="GI52" s="468"/>
      <c r="GJ52" s="468"/>
      <c r="GK52" s="468"/>
      <c r="GL52" s="468"/>
      <c r="GM52" s="468"/>
      <c r="GN52" s="468"/>
      <c r="GO52" s="468"/>
      <c r="GP52" s="468"/>
      <c r="GQ52" s="468"/>
      <c r="GR52" s="468"/>
      <c r="GS52" s="468"/>
      <c r="GT52" s="468"/>
      <c r="GU52" s="468"/>
      <c r="GV52" s="468"/>
      <c r="GW52" s="468"/>
      <c r="GX52" s="468"/>
      <c r="GY52" s="468"/>
      <c r="GZ52" s="468"/>
      <c r="HA52" s="468"/>
      <c r="HB52" s="468"/>
      <c r="HC52" s="468"/>
      <c r="HD52" s="468"/>
      <c r="HE52" s="468"/>
      <c r="HF52" s="468"/>
      <c r="HG52" s="468"/>
      <c r="HH52" s="468"/>
      <c r="HI52" s="468"/>
      <c r="HJ52" s="468"/>
      <c r="HK52" s="468"/>
      <c r="HL52" s="468"/>
      <c r="HM52" s="468"/>
      <c r="HN52" s="468"/>
      <c r="HO52" s="468"/>
      <c r="HP52" s="468"/>
      <c r="HQ52" s="468"/>
      <c r="HR52" s="468"/>
      <c r="HS52" s="468"/>
      <c r="HT52" s="468"/>
      <c r="HU52" s="468"/>
      <c r="HV52" s="468"/>
      <c r="HW52" s="468"/>
      <c r="HX52" s="468"/>
      <c r="HY52" s="468"/>
      <c r="HZ52" s="468"/>
      <c r="IA52" s="468"/>
      <c r="IB52" s="468"/>
      <c r="IC52" s="468"/>
      <c r="ID52" s="468"/>
      <c r="IE52" s="468"/>
      <c r="IF52" s="468"/>
      <c r="IG52" s="468"/>
      <c r="IH52" s="468"/>
      <c r="II52" s="468"/>
      <c r="IJ52" s="468"/>
      <c r="IK52" s="468"/>
      <c r="IL52" s="468"/>
      <c r="IM52" s="468"/>
      <c r="IN52" s="468"/>
      <c r="IO52" s="468"/>
      <c r="IP52" s="468"/>
      <c r="IQ52" s="468"/>
      <c r="IR52" s="468"/>
      <c r="IS52" s="468"/>
      <c r="IT52" s="468"/>
      <c r="IU52" s="468"/>
      <c r="IV52" s="468"/>
      <c r="IW52" s="468"/>
      <c r="IX52" s="468"/>
      <c r="IY52" s="468"/>
      <c r="IZ52" s="468"/>
      <c r="JA52" s="468"/>
      <c r="JG52" s="521"/>
    </row>
    <row r="53" spans="1:267" ht="18.899999999999999" customHeight="1">
      <c r="A53" s="468"/>
      <c r="B53" s="468"/>
      <c r="C53" s="473"/>
      <c r="D53" s="473"/>
      <c r="E53" s="473"/>
      <c r="F53" s="473"/>
      <c r="G53" s="468"/>
      <c r="H53" s="468"/>
      <c r="I53" s="468"/>
      <c r="J53" s="468"/>
      <c r="K53" s="468"/>
      <c r="L53" s="468"/>
      <c r="M53" s="468"/>
      <c r="N53" s="468"/>
      <c r="O53" s="468"/>
      <c r="P53" s="468"/>
      <c r="Q53" s="468"/>
      <c r="R53" s="468"/>
      <c r="S53" s="468"/>
      <c r="T53" s="468"/>
      <c r="U53" s="468"/>
      <c r="V53" s="468"/>
      <c r="W53" s="468"/>
      <c r="X53" s="468"/>
      <c r="Y53" s="468"/>
      <c r="Z53" s="468"/>
      <c r="AA53" s="468"/>
      <c r="AB53" s="468"/>
      <c r="AC53" s="468"/>
      <c r="AD53" s="468"/>
      <c r="AE53" s="468"/>
      <c r="AF53" s="468"/>
      <c r="AG53" s="468"/>
      <c r="AH53" s="468"/>
      <c r="AI53" s="468"/>
      <c r="AJ53" s="468"/>
      <c r="AK53" s="468"/>
      <c r="AL53" s="468"/>
      <c r="AM53" s="468"/>
      <c r="AN53" s="468"/>
      <c r="AO53" s="468"/>
      <c r="AP53" s="468"/>
      <c r="AQ53" s="468"/>
      <c r="AR53" s="468"/>
      <c r="AS53" s="468"/>
      <c r="AT53" s="468"/>
      <c r="AU53" s="468"/>
      <c r="AV53" s="468"/>
      <c r="AW53" s="468"/>
      <c r="AX53" s="468"/>
      <c r="AY53" s="468"/>
      <c r="AZ53" s="468"/>
      <c r="BA53" s="468"/>
      <c r="BB53" s="468"/>
      <c r="BC53" s="468"/>
      <c r="BD53" s="468"/>
      <c r="BE53" s="468"/>
      <c r="BF53" s="468"/>
      <c r="BG53" s="468"/>
      <c r="BH53" s="468"/>
      <c r="BI53" s="468"/>
      <c r="BJ53" s="468"/>
      <c r="BK53" s="468"/>
      <c r="BL53" s="468"/>
      <c r="BM53" s="468"/>
      <c r="BN53" s="468"/>
      <c r="BO53" s="468"/>
      <c r="BP53" s="468"/>
      <c r="BQ53" s="468"/>
      <c r="BR53" s="468"/>
      <c r="BS53" s="468"/>
      <c r="BT53" s="468"/>
      <c r="BU53" s="468"/>
      <c r="BV53" s="468"/>
      <c r="BW53" s="468"/>
      <c r="BX53" s="468"/>
      <c r="BY53" s="468"/>
      <c r="BZ53" s="468"/>
      <c r="CA53" s="468"/>
      <c r="CB53" s="468"/>
      <c r="CC53" s="468"/>
      <c r="CD53" s="468"/>
      <c r="CE53" s="468"/>
      <c r="CF53" s="468"/>
      <c r="CG53" s="468"/>
      <c r="CH53" s="468"/>
      <c r="CI53" s="468"/>
      <c r="CJ53" s="468"/>
      <c r="CK53" s="468"/>
      <c r="CL53" s="468"/>
      <c r="CM53" s="468"/>
      <c r="CN53" s="468"/>
      <c r="CO53" s="468"/>
      <c r="CP53" s="468"/>
      <c r="CQ53" s="468"/>
      <c r="CR53" s="468"/>
      <c r="CS53" s="468"/>
      <c r="CT53" s="468"/>
      <c r="CU53" s="468"/>
      <c r="CV53" s="468"/>
      <c r="CW53" s="468"/>
      <c r="CX53" s="468"/>
      <c r="CY53" s="468"/>
      <c r="CZ53" s="468"/>
      <c r="DA53" s="468"/>
      <c r="DB53" s="468"/>
      <c r="DC53" s="468"/>
      <c r="DD53" s="468"/>
      <c r="DE53" s="468"/>
      <c r="DF53" s="468"/>
      <c r="DG53" s="468"/>
      <c r="DH53" s="468"/>
      <c r="DI53" s="468"/>
      <c r="DJ53" s="468"/>
      <c r="DK53" s="468"/>
      <c r="DL53" s="468"/>
      <c r="DM53" s="468"/>
      <c r="DN53" s="471"/>
      <c r="DO53" s="468"/>
      <c r="DP53" s="468"/>
      <c r="DQ53" s="468"/>
      <c r="DR53" s="468"/>
      <c r="DS53" s="468"/>
      <c r="DT53" s="468"/>
      <c r="DU53" s="468"/>
      <c r="DV53" s="468"/>
      <c r="DW53" s="468"/>
      <c r="DX53" s="468"/>
      <c r="DY53" s="468"/>
      <c r="DZ53" s="468"/>
      <c r="EA53" s="468"/>
      <c r="EB53" s="468"/>
      <c r="EC53" s="468"/>
      <c r="ED53" s="468"/>
      <c r="EE53" s="468"/>
      <c r="EF53" s="468"/>
      <c r="EG53" s="468"/>
      <c r="EH53" s="468"/>
      <c r="EI53" s="468"/>
      <c r="EJ53" s="468"/>
      <c r="EK53" s="468"/>
      <c r="EL53" s="468"/>
      <c r="EM53" s="468"/>
      <c r="EN53" s="468"/>
      <c r="EO53" s="468"/>
      <c r="EP53" s="468"/>
      <c r="EQ53" s="468"/>
      <c r="ER53" s="468"/>
      <c r="ES53" s="468"/>
      <c r="ET53" s="468"/>
      <c r="EU53" s="468"/>
      <c r="EV53" s="468"/>
      <c r="EW53" s="468"/>
      <c r="EX53" s="468"/>
      <c r="EY53" s="468"/>
      <c r="EZ53" s="468"/>
      <c r="FA53" s="468"/>
      <c r="FB53" s="468"/>
      <c r="FC53" s="468"/>
      <c r="FD53" s="468"/>
      <c r="FE53" s="468"/>
      <c r="FF53" s="468"/>
      <c r="FG53" s="468"/>
      <c r="FH53" s="468"/>
      <c r="FI53" s="468"/>
      <c r="FJ53" s="468"/>
      <c r="FK53" s="468"/>
      <c r="FL53" s="468"/>
      <c r="FM53" s="468"/>
      <c r="FN53" s="468"/>
      <c r="FO53" s="468"/>
      <c r="FP53" s="468"/>
      <c r="FQ53" s="468"/>
      <c r="FR53" s="468"/>
      <c r="FS53" s="468"/>
      <c r="FT53" s="468"/>
      <c r="FU53" s="468"/>
      <c r="FV53" s="468"/>
      <c r="FW53" s="468"/>
      <c r="FX53" s="468"/>
      <c r="FY53" s="468"/>
      <c r="FZ53" s="468"/>
      <c r="GA53" s="468"/>
      <c r="GB53" s="468"/>
      <c r="GC53" s="468"/>
      <c r="GD53" s="468"/>
      <c r="GE53" s="468"/>
      <c r="GF53" s="468"/>
      <c r="GG53" s="468"/>
      <c r="GH53" s="468"/>
      <c r="GI53" s="468"/>
      <c r="GJ53" s="468"/>
      <c r="GK53" s="468"/>
      <c r="GL53" s="468"/>
      <c r="GM53" s="468"/>
      <c r="GN53" s="468"/>
      <c r="GO53" s="468"/>
      <c r="GP53" s="468"/>
      <c r="GQ53" s="468"/>
      <c r="GR53" s="468"/>
      <c r="GS53" s="468"/>
      <c r="GT53" s="468"/>
      <c r="GU53" s="468"/>
      <c r="GV53" s="468"/>
      <c r="GW53" s="468"/>
      <c r="GX53" s="468"/>
      <c r="GY53" s="468"/>
      <c r="GZ53" s="468"/>
      <c r="HA53" s="468"/>
      <c r="HB53" s="468"/>
      <c r="HC53" s="468"/>
      <c r="HD53" s="468"/>
      <c r="HE53" s="468"/>
      <c r="HF53" s="468"/>
      <c r="HG53" s="468"/>
      <c r="HH53" s="468"/>
      <c r="HI53" s="468"/>
      <c r="HJ53" s="468"/>
      <c r="HK53" s="468"/>
      <c r="HL53" s="468"/>
      <c r="HM53" s="468"/>
      <c r="HN53" s="468"/>
      <c r="HO53" s="468"/>
      <c r="HP53" s="468"/>
      <c r="HQ53" s="468"/>
      <c r="HR53" s="468"/>
      <c r="HS53" s="468"/>
      <c r="HT53" s="468"/>
      <c r="HU53" s="468"/>
      <c r="HV53" s="468"/>
      <c r="HW53" s="468"/>
      <c r="HX53" s="468"/>
      <c r="HY53" s="468"/>
      <c r="HZ53" s="468"/>
      <c r="IA53" s="468"/>
      <c r="IB53" s="468"/>
      <c r="IC53" s="468"/>
      <c r="ID53" s="468"/>
      <c r="IE53" s="468"/>
      <c r="IF53" s="468"/>
      <c r="IG53" s="468"/>
      <c r="IH53" s="468"/>
      <c r="II53" s="468"/>
      <c r="IJ53" s="468"/>
      <c r="IK53" s="468"/>
      <c r="IL53" s="468"/>
      <c r="IM53" s="468"/>
      <c r="IN53" s="468"/>
      <c r="IO53" s="468"/>
      <c r="IP53" s="468"/>
      <c r="IQ53" s="468"/>
      <c r="IR53" s="468"/>
      <c r="IS53" s="468"/>
      <c r="IT53" s="468"/>
      <c r="IU53" s="468"/>
      <c r="IV53" s="468"/>
      <c r="IW53" s="468"/>
      <c r="IX53" s="468"/>
      <c r="IY53" s="468"/>
      <c r="IZ53" s="468"/>
      <c r="JA53" s="468"/>
      <c r="JG53" s="521"/>
    </row>
    <row r="54" spans="1:267" ht="18.899999999999999" customHeight="1">
      <c r="A54" s="468"/>
      <c r="B54" s="468"/>
      <c r="C54" s="473"/>
      <c r="D54" s="473"/>
      <c r="E54" s="473"/>
      <c r="F54" s="473"/>
      <c r="G54" s="468"/>
      <c r="H54" s="468"/>
      <c r="I54" s="468"/>
      <c r="J54" s="468"/>
      <c r="K54" s="468"/>
      <c r="L54" s="468"/>
      <c r="M54" s="468"/>
      <c r="N54" s="468"/>
      <c r="O54" s="468"/>
      <c r="P54" s="468"/>
      <c r="Q54" s="468"/>
      <c r="R54" s="468"/>
      <c r="S54" s="468"/>
      <c r="T54" s="468"/>
      <c r="U54" s="468"/>
      <c r="V54" s="468"/>
      <c r="W54" s="468"/>
      <c r="X54" s="468"/>
      <c r="Y54" s="468"/>
      <c r="Z54" s="468"/>
      <c r="AA54" s="468"/>
      <c r="AB54" s="468"/>
      <c r="AC54" s="468"/>
      <c r="AD54" s="468"/>
      <c r="AE54" s="468"/>
      <c r="AF54" s="468"/>
      <c r="AG54" s="468"/>
      <c r="AH54" s="468"/>
      <c r="AI54" s="468"/>
      <c r="AJ54" s="468"/>
      <c r="AK54" s="468"/>
      <c r="AL54" s="468"/>
      <c r="AM54" s="468"/>
      <c r="AN54" s="468"/>
      <c r="AO54" s="468"/>
      <c r="AP54" s="468"/>
      <c r="AQ54" s="468"/>
      <c r="AR54" s="468"/>
      <c r="AS54" s="468"/>
      <c r="AT54" s="468"/>
      <c r="AU54" s="468"/>
      <c r="AV54" s="468"/>
      <c r="AW54" s="468"/>
      <c r="AX54" s="468"/>
      <c r="AY54" s="468"/>
      <c r="AZ54" s="468"/>
      <c r="BA54" s="468"/>
      <c r="BB54" s="468"/>
      <c r="BC54" s="468"/>
      <c r="BD54" s="468"/>
      <c r="BE54" s="468"/>
      <c r="BF54" s="468"/>
      <c r="BG54" s="468"/>
      <c r="BH54" s="468"/>
      <c r="BI54" s="468"/>
      <c r="BJ54" s="468"/>
      <c r="BK54" s="468"/>
      <c r="BL54" s="468"/>
      <c r="BM54" s="468"/>
      <c r="BN54" s="468"/>
      <c r="BO54" s="468"/>
      <c r="BP54" s="468"/>
      <c r="BQ54" s="468"/>
      <c r="BR54" s="468"/>
      <c r="BS54" s="468"/>
      <c r="BT54" s="468"/>
      <c r="BU54" s="468"/>
      <c r="BV54" s="468"/>
      <c r="BW54" s="468"/>
      <c r="BX54" s="468"/>
      <c r="BY54" s="468"/>
      <c r="BZ54" s="468"/>
      <c r="CA54" s="468"/>
      <c r="CB54" s="468"/>
      <c r="CC54" s="468"/>
      <c r="CD54" s="468"/>
      <c r="CE54" s="468"/>
      <c r="CF54" s="468"/>
      <c r="CG54" s="468"/>
      <c r="CH54" s="468"/>
      <c r="CI54" s="468"/>
      <c r="CJ54" s="468"/>
      <c r="CK54" s="468"/>
      <c r="CL54" s="468"/>
      <c r="CM54" s="468"/>
      <c r="CN54" s="468"/>
      <c r="CO54" s="468"/>
      <c r="CP54" s="468"/>
      <c r="CQ54" s="468"/>
      <c r="CR54" s="468"/>
      <c r="CS54" s="468"/>
      <c r="CT54" s="468"/>
      <c r="CU54" s="468"/>
      <c r="CV54" s="468"/>
      <c r="CW54" s="468"/>
      <c r="CX54" s="468"/>
      <c r="CY54" s="468"/>
      <c r="CZ54" s="468"/>
      <c r="DA54" s="468"/>
      <c r="DB54" s="468"/>
      <c r="DC54" s="468"/>
      <c r="DD54" s="468"/>
      <c r="DE54" s="468"/>
      <c r="DF54" s="468"/>
      <c r="DG54" s="468"/>
      <c r="DH54" s="468"/>
      <c r="DI54" s="468"/>
      <c r="DJ54" s="468"/>
      <c r="DK54" s="468"/>
      <c r="DL54" s="468"/>
      <c r="DM54" s="468"/>
      <c r="DN54" s="471"/>
      <c r="DO54" s="468"/>
      <c r="DP54" s="468"/>
      <c r="DQ54" s="468"/>
      <c r="DR54" s="468"/>
      <c r="DS54" s="468"/>
      <c r="DT54" s="468"/>
      <c r="DU54" s="468"/>
      <c r="DV54" s="468"/>
      <c r="DW54" s="468"/>
      <c r="DX54" s="468"/>
      <c r="DY54" s="468"/>
      <c r="DZ54" s="468"/>
      <c r="EA54" s="468"/>
      <c r="EB54" s="468"/>
      <c r="EC54" s="468"/>
      <c r="ED54" s="468"/>
      <c r="EE54" s="468"/>
      <c r="EF54" s="468"/>
      <c r="EG54" s="468"/>
      <c r="EH54" s="468"/>
      <c r="EI54" s="468"/>
      <c r="EJ54" s="468"/>
      <c r="EK54" s="468"/>
      <c r="EL54" s="468"/>
      <c r="EM54" s="468"/>
      <c r="EN54" s="468"/>
      <c r="EO54" s="468"/>
      <c r="EP54" s="468"/>
      <c r="EQ54" s="468"/>
      <c r="ER54" s="468"/>
      <c r="ES54" s="468"/>
      <c r="ET54" s="468"/>
      <c r="EU54" s="468"/>
      <c r="EV54" s="468"/>
      <c r="EW54" s="468"/>
      <c r="EX54" s="468"/>
      <c r="EY54" s="468"/>
      <c r="EZ54" s="468"/>
      <c r="FA54" s="468"/>
      <c r="FB54" s="468"/>
      <c r="FC54" s="468"/>
      <c r="FD54" s="468"/>
      <c r="FE54" s="468"/>
      <c r="FF54" s="468"/>
      <c r="FG54" s="468"/>
      <c r="FH54" s="468"/>
      <c r="FI54" s="468"/>
      <c r="FJ54" s="468"/>
      <c r="FK54" s="468"/>
      <c r="FL54" s="468"/>
      <c r="FM54" s="468"/>
      <c r="FN54" s="468"/>
      <c r="FO54" s="468"/>
      <c r="FP54" s="468"/>
      <c r="FQ54" s="468"/>
      <c r="FR54" s="468"/>
      <c r="FS54" s="468"/>
      <c r="FT54" s="468"/>
      <c r="FU54" s="468"/>
      <c r="FV54" s="468"/>
      <c r="FW54" s="468"/>
      <c r="FX54" s="468"/>
      <c r="FY54" s="468"/>
      <c r="FZ54" s="468"/>
      <c r="GA54" s="468"/>
      <c r="GB54" s="468"/>
      <c r="GC54" s="468"/>
      <c r="GD54" s="468"/>
      <c r="GE54" s="468"/>
      <c r="GF54" s="468"/>
      <c r="GG54" s="468"/>
      <c r="GH54" s="468"/>
      <c r="GI54" s="468"/>
      <c r="GJ54" s="468"/>
      <c r="GK54" s="468"/>
      <c r="GL54" s="468"/>
      <c r="GM54" s="468"/>
      <c r="GN54" s="468"/>
      <c r="GO54" s="468"/>
      <c r="GP54" s="468"/>
      <c r="GQ54" s="468"/>
      <c r="GR54" s="468"/>
      <c r="GS54" s="468"/>
      <c r="GT54" s="468"/>
      <c r="GU54" s="468"/>
      <c r="GV54" s="468"/>
      <c r="GW54" s="468"/>
      <c r="GX54" s="468"/>
      <c r="GY54" s="468"/>
      <c r="GZ54" s="468"/>
      <c r="HA54" s="468"/>
      <c r="HB54" s="468"/>
      <c r="HC54" s="468"/>
      <c r="HD54" s="468"/>
      <c r="HE54" s="468"/>
      <c r="HF54" s="468"/>
      <c r="HG54" s="468"/>
      <c r="HH54" s="468"/>
      <c r="HI54" s="468"/>
      <c r="HJ54" s="468"/>
      <c r="HK54" s="468"/>
      <c r="HL54" s="468"/>
      <c r="HM54" s="468"/>
      <c r="HN54" s="468"/>
      <c r="HO54" s="468"/>
      <c r="HP54" s="468"/>
      <c r="HQ54" s="468"/>
      <c r="HR54" s="468"/>
      <c r="HS54" s="468"/>
      <c r="HT54" s="468"/>
      <c r="HU54" s="468"/>
      <c r="HV54" s="468"/>
      <c r="HW54" s="468"/>
      <c r="HX54" s="468"/>
      <c r="HY54" s="468"/>
      <c r="HZ54" s="468"/>
      <c r="IA54" s="468"/>
      <c r="IB54" s="468"/>
      <c r="IC54" s="468"/>
      <c r="ID54" s="468"/>
      <c r="IE54" s="468"/>
      <c r="IF54" s="468"/>
      <c r="IG54" s="468"/>
      <c r="IH54" s="468"/>
      <c r="II54" s="468"/>
      <c r="IJ54" s="468"/>
      <c r="IK54" s="468"/>
      <c r="IL54" s="468"/>
      <c r="IM54" s="468"/>
      <c r="IN54" s="468"/>
      <c r="IO54" s="468"/>
      <c r="IP54" s="468"/>
      <c r="IQ54" s="468"/>
      <c r="IR54" s="468"/>
      <c r="IS54" s="468"/>
      <c r="IT54" s="468"/>
      <c r="IU54" s="468"/>
      <c r="IV54" s="468"/>
      <c r="IW54" s="468"/>
      <c r="IX54" s="468"/>
      <c r="IY54" s="468"/>
      <c r="IZ54" s="468"/>
      <c r="JA54" s="468"/>
      <c r="JG54" s="521"/>
    </row>
    <row r="55" spans="1:267" ht="18.899999999999999" customHeight="1">
      <c r="A55" s="468"/>
      <c r="B55" s="468"/>
      <c r="C55" s="473"/>
      <c r="D55" s="473"/>
      <c r="E55" s="473"/>
      <c r="F55" s="473"/>
      <c r="G55" s="468"/>
      <c r="H55" s="468"/>
      <c r="I55" s="468"/>
      <c r="J55" s="468"/>
      <c r="K55" s="468"/>
      <c r="L55" s="468"/>
      <c r="M55" s="468"/>
      <c r="N55" s="468"/>
      <c r="O55" s="468"/>
      <c r="P55" s="468"/>
      <c r="Q55" s="468"/>
      <c r="R55" s="468"/>
      <c r="S55" s="468"/>
      <c r="T55" s="468"/>
      <c r="U55" s="468"/>
      <c r="V55" s="468"/>
      <c r="W55" s="468"/>
      <c r="X55" s="468"/>
      <c r="Y55" s="468"/>
      <c r="Z55" s="468"/>
      <c r="AA55" s="468"/>
      <c r="AB55" s="468"/>
      <c r="AC55" s="468"/>
      <c r="AD55" s="468"/>
      <c r="AE55" s="468"/>
      <c r="AF55" s="468"/>
      <c r="AG55" s="468"/>
      <c r="AH55" s="468"/>
      <c r="AI55" s="468"/>
      <c r="AJ55" s="468"/>
      <c r="AK55" s="468"/>
      <c r="AL55" s="468"/>
      <c r="AM55" s="468"/>
      <c r="AN55" s="468"/>
      <c r="AO55" s="468"/>
      <c r="AP55" s="468"/>
      <c r="AQ55" s="468"/>
      <c r="AR55" s="468"/>
      <c r="AS55" s="468"/>
      <c r="AT55" s="468"/>
      <c r="AU55" s="468"/>
      <c r="AV55" s="468"/>
      <c r="AW55" s="468"/>
      <c r="AX55" s="468"/>
      <c r="AY55" s="468"/>
      <c r="AZ55" s="468"/>
      <c r="BA55" s="468"/>
      <c r="BB55" s="468"/>
      <c r="BC55" s="468"/>
      <c r="BD55" s="468"/>
      <c r="BE55" s="468"/>
      <c r="BF55" s="468"/>
      <c r="BG55" s="468"/>
      <c r="BH55" s="468"/>
      <c r="BI55" s="468"/>
      <c r="BJ55" s="468"/>
      <c r="BK55" s="468"/>
      <c r="BL55" s="468"/>
      <c r="BM55" s="468"/>
      <c r="BN55" s="468"/>
      <c r="BO55" s="468"/>
      <c r="BP55" s="468"/>
      <c r="BQ55" s="468"/>
      <c r="BR55" s="468"/>
      <c r="BS55" s="468"/>
      <c r="BT55" s="468"/>
      <c r="BU55" s="468"/>
      <c r="BV55" s="468"/>
      <c r="BW55" s="468"/>
      <c r="BX55" s="468"/>
      <c r="BY55" s="468"/>
      <c r="BZ55" s="468"/>
      <c r="CA55" s="468"/>
      <c r="CB55" s="468"/>
      <c r="CC55" s="468"/>
      <c r="CD55" s="468"/>
      <c r="CE55" s="468"/>
      <c r="CF55" s="468"/>
      <c r="CG55" s="468"/>
      <c r="CH55" s="468"/>
      <c r="CI55" s="468"/>
      <c r="CJ55" s="468"/>
      <c r="CK55" s="468"/>
      <c r="CL55" s="468"/>
      <c r="CM55" s="468"/>
      <c r="CN55" s="468"/>
      <c r="CO55" s="468"/>
      <c r="CP55" s="468"/>
      <c r="CQ55" s="468"/>
      <c r="CR55" s="468"/>
      <c r="CS55" s="468"/>
      <c r="CT55" s="468"/>
      <c r="CU55" s="468"/>
      <c r="CV55" s="468"/>
      <c r="CW55" s="468"/>
      <c r="CX55" s="468"/>
      <c r="CY55" s="468"/>
      <c r="CZ55" s="468"/>
      <c r="DA55" s="468"/>
      <c r="DB55" s="468"/>
      <c r="DC55" s="468"/>
      <c r="DD55" s="468"/>
      <c r="DE55" s="468"/>
      <c r="DF55" s="468"/>
      <c r="DG55" s="468"/>
      <c r="DH55" s="468"/>
      <c r="DI55" s="468"/>
      <c r="DJ55" s="468"/>
      <c r="DK55" s="468"/>
      <c r="DL55" s="468"/>
      <c r="DM55" s="468"/>
      <c r="DN55" s="471"/>
      <c r="DO55" s="468"/>
      <c r="DP55" s="468"/>
      <c r="DQ55" s="468"/>
      <c r="DR55" s="468"/>
      <c r="DS55" s="468"/>
      <c r="DT55" s="468"/>
      <c r="DU55" s="468"/>
      <c r="DV55" s="468"/>
      <c r="DW55" s="468"/>
      <c r="DX55" s="468"/>
      <c r="DY55" s="468"/>
      <c r="DZ55" s="468"/>
      <c r="EA55" s="468"/>
      <c r="EB55" s="468"/>
      <c r="EC55" s="468"/>
      <c r="ED55" s="468"/>
      <c r="EE55" s="468"/>
      <c r="EF55" s="468"/>
      <c r="EG55" s="468"/>
      <c r="EH55" s="468"/>
      <c r="EI55" s="468"/>
      <c r="EJ55" s="468"/>
      <c r="EK55" s="468"/>
      <c r="EL55" s="468"/>
      <c r="EM55" s="468"/>
      <c r="EN55" s="468"/>
      <c r="EO55" s="468"/>
      <c r="EP55" s="468"/>
      <c r="EQ55" s="468"/>
      <c r="ER55" s="468"/>
      <c r="ES55" s="468"/>
      <c r="ET55" s="468"/>
      <c r="EU55" s="468"/>
      <c r="EV55" s="468"/>
      <c r="EW55" s="468"/>
      <c r="EX55" s="468"/>
      <c r="EY55" s="468"/>
      <c r="EZ55" s="468"/>
      <c r="FA55" s="468"/>
      <c r="FB55" s="468"/>
      <c r="FC55" s="468"/>
      <c r="FD55" s="468"/>
      <c r="FE55" s="468"/>
      <c r="FF55" s="468"/>
      <c r="FG55" s="468"/>
      <c r="FH55" s="468"/>
      <c r="FI55" s="468"/>
      <c r="FJ55" s="468"/>
      <c r="FK55" s="468"/>
      <c r="FL55" s="468"/>
      <c r="FM55" s="468"/>
      <c r="FN55" s="468"/>
      <c r="FO55" s="468"/>
      <c r="FP55" s="468"/>
      <c r="FQ55" s="468"/>
      <c r="FR55" s="468"/>
      <c r="FS55" s="468"/>
      <c r="FT55" s="468"/>
      <c r="FU55" s="468"/>
      <c r="FV55" s="468"/>
      <c r="FW55" s="468"/>
      <c r="FX55" s="468"/>
      <c r="FY55" s="468"/>
      <c r="FZ55" s="468"/>
      <c r="GA55" s="468"/>
      <c r="GB55" s="468"/>
      <c r="GC55" s="468"/>
      <c r="GD55" s="468"/>
      <c r="GE55" s="468"/>
      <c r="GF55" s="468"/>
      <c r="GG55" s="468"/>
      <c r="GH55" s="468"/>
      <c r="GI55" s="468"/>
      <c r="GJ55" s="468"/>
      <c r="GK55" s="468"/>
      <c r="GL55" s="468"/>
      <c r="GM55" s="468"/>
      <c r="GN55" s="468"/>
      <c r="GO55" s="468"/>
      <c r="GP55" s="468"/>
      <c r="GQ55" s="468"/>
      <c r="GR55" s="468"/>
      <c r="GS55" s="468"/>
      <c r="GT55" s="468"/>
      <c r="GU55" s="468"/>
      <c r="GV55" s="468"/>
      <c r="GW55" s="468"/>
      <c r="GX55" s="468"/>
      <c r="GY55" s="468"/>
      <c r="GZ55" s="468"/>
      <c r="HA55" s="468"/>
      <c r="HB55" s="468"/>
      <c r="HC55" s="468"/>
      <c r="HD55" s="468"/>
      <c r="HE55" s="468"/>
      <c r="HF55" s="468"/>
      <c r="HG55" s="468"/>
      <c r="HH55" s="468"/>
      <c r="HI55" s="468"/>
      <c r="HJ55" s="468"/>
      <c r="HK55" s="468"/>
      <c r="HL55" s="468"/>
      <c r="HM55" s="468"/>
      <c r="HN55" s="468"/>
      <c r="HO55" s="468"/>
      <c r="HP55" s="468"/>
      <c r="HQ55" s="468"/>
      <c r="HR55" s="468"/>
      <c r="HS55" s="468"/>
      <c r="HT55" s="468"/>
      <c r="HU55" s="468"/>
      <c r="HV55" s="468"/>
      <c r="HW55" s="468"/>
      <c r="HX55" s="468"/>
      <c r="HY55" s="468"/>
      <c r="HZ55" s="468"/>
      <c r="IA55" s="468"/>
      <c r="IB55" s="468"/>
      <c r="IC55" s="468"/>
      <c r="ID55" s="468"/>
      <c r="IE55" s="468"/>
      <c r="IF55" s="468"/>
      <c r="IG55" s="468"/>
      <c r="IH55" s="468"/>
      <c r="II55" s="468"/>
      <c r="IJ55" s="468"/>
      <c r="IK55" s="468"/>
      <c r="IL55" s="468"/>
      <c r="IM55" s="468"/>
      <c r="IN55" s="468"/>
      <c r="IO55" s="468"/>
      <c r="IP55" s="468"/>
      <c r="IQ55" s="468"/>
      <c r="IR55" s="468"/>
      <c r="IS55" s="468"/>
      <c r="IT55" s="468"/>
      <c r="IU55" s="468"/>
      <c r="IV55" s="468"/>
      <c r="IW55" s="468"/>
      <c r="IX55" s="468"/>
      <c r="IY55" s="468"/>
      <c r="IZ55" s="468"/>
      <c r="JA55" s="468"/>
      <c r="JG55" s="521"/>
    </row>
    <row r="56" spans="1:267" ht="18.899999999999999" customHeight="1">
      <c r="A56" s="468"/>
      <c r="B56" s="468"/>
      <c r="C56" s="473"/>
      <c r="D56" s="473"/>
      <c r="E56" s="473"/>
      <c r="F56" s="473"/>
      <c r="G56" s="468"/>
      <c r="H56" s="468"/>
      <c r="I56" s="468"/>
      <c r="J56" s="468"/>
      <c r="K56" s="468"/>
      <c r="L56" s="468"/>
      <c r="M56" s="468"/>
      <c r="N56" s="468"/>
      <c r="O56" s="468"/>
      <c r="P56" s="468"/>
      <c r="Q56" s="468"/>
      <c r="R56" s="468"/>
      <c r="S56" s="468"/>
      <c r="T56" s="468"/>
      <c r="U56" s="468"/>
      <c r="V56" s="468"/>
      <c r="W56" s="468"/>
      <c r="X56" s="468"/>
      <c r="Y56" s="468"/>
      <c r="Z56" s="468"/>
      <c r="AA56" s="468"/>
      <c r="AB56" s="468"/>
      <c r="AC56" s="468"/>
      <c r="AD56" s="468"/>
      <c r="AE56" s="468"/>
      <c r="AF56" s="468"/>
      <c r="AG56" s="468"/>
      <c r="AH56" s="468"/>
      <c r="AI56" s="468"/>
      <c r="AJ56" s="468"/>
      <c r="AK56" s="468"/>
      <c r="AL56" s="468"/>
      <c r="AM56" s="468"/>
      <c r="AN56" s="468"/>
      <c r="AO56" s="468"/>
      <c r="AP56" s="468"/>
      <c r="AQ56" s="468"/>
      <c r="AR56" s="468"/>
      <c r="AS56" s="468"/>
      <c r="AT56" s="468"/>
      <c r="AU56" s="468"/>
      <c r="AV56" s="468"/>
      <c r="AW56" s="468"/>
      <c r="AX56" s="468"/>
      <c r="AY56" s="468"/>
      <c r="AZ56" s="468"/>
      <c r="BA56" s="468"/>
      <c r="BB56" s="468"/>
      <c r="BC56" s="468"/>
      <c r="BD56" s="468"/>
      <c r="BE56" s="468"/>
      <c r="BF56" s="468"/>
      <c r="BG56" s="468"/>
      <c r="BH56" s="468"/>
      <c r="BI56" s="468"/>
      <c r="BJ56" s="468"/>
      <c r="BK56" s="468"/>
      <c r="BL56" s="468"/>
      <c r="BM56" s="468"/>
      <c r="BN56" s="468"/>
      <c r="BO56" s="468"/>
      <c r="BP56" s="468"/>
      <c r="BQ56" s="468"/>
      <c r="BR56" s="468"/>
      <c r="BS56" s="468"/>
      <c r="BT56" s="468"/>
      <c r="BU56" s="468"/>
      <c r="BV56" s="468"/>
      <c r="BW56" s="468"/>
      <c r="BX56" s="468"/>
      <c r="BY56" s="468"/>
      <c r="BZ56" s="468"/>
      <c r="CA56" s="468"/>
      <c r="CB56" s="468"/>
      <c r="CC56" s="468"/>
      <c r="CD56" s="468"/>
      <c r="CE56" s="468"/>
      <c r="CF56" s="468"/>
      <c r="CG56" s="468"/>
      <c r="CH56" s="468"/>
      <c r="CI56" s="468"/>
      <c r="CJ56" s="468"/>
      <c r="CK56" s="468"/>
      <c r="CL56" s="468"/>
      <c r="CM56" s="468"/>
      <c r="CN56" s="468"/>
      <c r="CO56" s="468"/>
      <c r="CP56" s="468"/>
      <c r="CQ56" s="468"/>
      <c r="CR56" s="468"/>
      <c r="CS56" s="468"/>
      <c r="CT56" s="468"/>
      <c r="CU56" s="468"/>
      <c r="CV56" s="468"/>
      <c r="CW56" s="468"/>
      <c r="CX56" s="468"/>
      <c r="CY56" s="468"/>
      <c r="CZ56" s="468"/>
      <c r="DA56" s="468"/>
      <c r="DB56" s="468"/>
      <c r="DC56" s="468"/>
      <c r="DD56" s="468"/>
      <c r="DE56" s="468"/>
      <c r="DF56" s="468"/>
      <c r="DG56" s="468"/>
      <c r="DH56" s="468"/>
      <c r="DI56" s="468"/>
      <c r="DJ56" s="468"/>
      <c r="DK56" s="468"/>
      <c r="DL56" s="468"/>
      <c r="DM56" s="468"/>
      <c r="DN56" s="471"/>
      <c r="DO56" s="468"/>
      <c r="DP56" s="468"/>
      <c r="DQ56" s="468"/>
      <c r="DR56" s="468"/>
      <c r="DS56" s="468"/>
      <c r="DT56" s="468"/>
      <c r="DU56" s="468"/>
      <c r="DV56" s="468"/>
      <c r="DW56" s="468"/>
      <c r="DX56" s="468"/>
      <c r="DY56" s="468"/>
      <c r="DZ56" s="468"/>
      <c r="EA56" s="468"/>
      <c r="EB56" s="468"/>
      <c r="EC56" s="468"/>
      <c r="ED56" s="468"/>
      <c r="EE56" s="468"/>
      <c r="EF56" s="468"/>
      <c r="EG56" s="468"/>
      <c r="EH56" s="468"/>
      <c r="EI56" s="468"/>
      <c r="EJ56" s="468"/>
      <c r="EK56" s="468"/>
      <c r="EL56" s="468"/>
      <c r="EM56" s="468"/>
      <c r="EN56" s="468"/>
      <c r="EO56" s="468"/>
      <c r="EP56" s="468"/>
      <c r="EQ56" s="468"/>
      <c r="ER56" s="468"/>
      <c r="ES56" s="468"/>
      <c r="ET56" s="468"/>
      <c r="EU56" s="468"/>
      <c r="EV56" s="468"/>
      <c r="EW56" s="468"/>
      <c r="EX56" s="468"/>
      <c r="EY56" s="468"/>
      <c r="EZ56" s="468"/>
      <c r="FA56" s="468"/>
      <c r="FB56" s="468"/>
      <c r="FC56" s="468"/>
      <c r="FD56" s="468"/>
      <c r="FE56" s="468"/>
      <c r="FF56" s="468"/>
      <c r="FG56" s="468"/>
      <c r="FH56" s="468"/>
      <c r="FI56" s="468"/>
      <c r="FJ56" s="468"/>
      <c r="FK56" s="468"/>
      <c r="FL56" s="468"/>
      <c r="FM56" s="468"/>
      <c r="FN56" s="468"/>
      <c r="FO56" s="468"/>
      <c r="FP56" s="468"/>
      <c r="FQ56" s="468"/>
      <c r="FR56" s="468"/>
      <c r="FS56" s="468"/>
      <c r="FT56" s="468"/>
      <c r="FU56" s="468"/>
      <c r="FV56" s="468"/>
      <c r="FW56" s="468"/>
      <c r="FX56" s="468"/>
      <c r="FY56" s="468"/>
      <c r="FZ56" s="468"/>
      <c r="GA56" s="468"/>
      <c r="GB56" s="468"/>
      <c r="GC56" s="468"/>
      <c r="GD56" s="468"/>
      <c r="GE56" s="468"/>
      <c r="GF56" s="468"/>
      <c r="GG56" s="468"/>
      <c r="GH56" s="468"/>
      <c r="GI56" s="468"/>
      <c r="GJ56" s="468"/>
      <c r="GK56" s="468"/>
      <c r="GL56" s="468"/>
      <c r="GM56" s="468"/>
      <c r="GN56" s="468"/>
      <c r="GO56" s="468"/>
      <c r="GP56" s="468"/>
      <c r="GQ56" s="468"/>
      <c r="GR56" s="468"/>
      <c r="GS56" s="468"/>
      <c r="GT56" s="468"/>
      <c r="GU56" s="468"/>
      <c r="GV56" s="468"/>
      <c r="GW56" s="468"/>
      <c r="GX56" s="468"/>
      <c r="GY56" s="468"/>
      <c r="GZ56" s="468"/>
      <c r="HA56" s="468"/>
      <c r="HB56" s="468"/>
      <c r="HC56" s="468"/>
      <c r="HD56" s="468"/>
      <c r="HE56" s="468"/>
      <c r="HF56" s="468"/>
      <c r="HG56" s="468"/>
      <c r="HH56" s="468"/>
      <c r="HI56" s="468"/>
      <c r="HJ56" s="468"/>
      <c r="HK56" s="468"/>
      <c r="HL56" s="468"/>
      <c r="HM56" s="468"/>
      <c r="HN56" s="468"/>
      <c r="HO56" s="468"/>
      <c r="HP56" s="468"/>
      <c r="HQ56" s="468"/>
      <c r="HR56" s="468"/>
      <c r="HS56" s="468"/>
      <c r="HT56" s="468"/>
      <c r="HU56" s="468"/>
      <c r="HV56" s="468"/>
      <c r="HW56" s="468"/>
      <c r="HX56" s="468"/>
      <c r="HY56" s="468"/>
      <c r="HZ56" s="468"/>
      <c r="IA56" s="468"/>
      <c r="IB56" s="468"/>
      <c r="IC56" s="468"/>
      <c r="ID56" s="468"/>
      <c r="IE56" s="468"/>
      <c r="IF56" s="468"/>
      <c r="IG56" s="468"/>
      <c r="IH56" s="468"/>
      <c r="II56" s="468"/>
      <c r="IJ56" s="468"/>
      <c r="IK56" s="468"/>
      <c r="IL56" s="468"/>
      <c r="IM56" s="468"/>
      <c r="IN56" s="468"/>
      <c r="IO56" s="468"/>
      <c r="IP56" s="468"/>
      <c r="IQ56" s="468"/>
      <c r="IR56" s="468"/>
      <c r="IS56" s="468"/>
      <c r="IT56" s="468"/>
      <c r="IU56" s="468"/>
      <c r="IV56" s="468"/>
      <c r="IW56" s="468"/>
      <c r="IX56" s="468"/>
      <c r="IY56" s="468"/>
      <c r="IZ56" s="468"/>
      <c r="JA56" s="468"/>
      <c r="JG56" s="521"/>
    </row>
    <row r="57" spans="1:267" ht="18.899999999999999" customHeight="1">
      <c r="A57" s="468"/>
      <c r="B57" s="468"/>
      <c r="C57" s="473"/>
      <c r="D57" s="473"/>
      <c r="E57" s="473"/>
      <c r="F57" s="473"/>
      <c r="G57" s="468"/>
      <c r="H57" s="468"/>
      <c r="I57" s="468"/>
      <c r="J57" s="468"/>
      <c r="K57" s="468"/>
      <c r="L57" s="468"/>
      <c r="M57" s="468"/>
      <c r="N57" s="468"/>
      <c r="O57" s="468"/>
      <c r="P57" s="468"/>
      <c r="Q57" s="468"/>
      <c r="R57" s="468"/>
      <c r="S57" s="468"/>
      <c r="T57" s="468"/>
      <c r="U57" s="468"/>
      <c r="V57" s="468"/>
      <c r="W57" s="468"/>
      <c r="X57" s="468"/>
      <c r="Y57" s="468"/>
      <c r="Z57" s="468"/>
      <c r="AA57" s="468"/>
      <c r="AB57" s="468"/>
      <c r="AC57" s="468"/>
      <c r="AD57" s="468"/>
      <c r="AE57" s="468"/>
      <c r="AF57" s="468"/>
      <c r="AG57" s="468"/>
      <c r="AH57" s="468"/>
      <c r="AI57" s="468"/>
      <c r="AJ57" s="468"/>
      <c r="AK57" s="468"/>
      <c r="AL57" s="468"/>
      <c r="AM57" s="468"/>
      <c r="AN57" s="468"/>
      <c r="AO57" s="468"/>
      <c r="AP57" s="468"/>
      <c r="AQ57" s="468"/>
      <c r="AR57" s="468"/>
      <c r="AS57" s="468"/>
      <c r="AT57" s="468"/>
      <c r="AU57" s="468"/>
      <c r="AV57" s="468"/>
      <c r="AW57" s="468"/>
      <c r="AX57" s="468"/>
      <c r="AY57" s="468"/>
      <c r="AZ57" s="468"/>
      <c r="BA57" s="468"/>
      <c r="BB57" s="468"/>
      <c r="BC57" s="468"/>
      <c r="BD57" s="468"/>
      <c r="BE57" s="468"/>
      <c r="BF57" s="468"/>
      <c r="BG57" s="468"/>
      <c r="BH57" s="468"/>
      <c r="BI57" s="468"/>
      <c r="BJ57" s="468"/>
      <c r="BK57" s="468"/>
      <c r="BL57" s="468"/>
      <c r="BM57" s="468"/>
      <c r="BN57" s="468"/>
      <c r="BO57" s="468"/>
      <c r="BP57" s="468"/>
      <c r="BQ57" s="468"/>
      <c r="BR57" s="468"/>
      <c r="BS57" s="468"/>
      <c r="BT57" s="468"/>
      <c r="BU57" s="468"/>
      <c r="BV57" s="468"/>
      <c r="BW57" s="468"/>
      <c r="BX57" s="468"/>
      <c r="BY57" s="468"/>
      <c r="BZ57" s="468"/>
      <c r="CA57" s="468"/>
      <c r="CB57" s="468"/>
      <c r="CC57" s="468"/>
      <c r="CD57" s="468"/>
      <c r="CE57" s="468"/>
      <c r="CF57" s="468"/>
      <c r="CG57" s="468"/>
      <c r="CH57" s="468"/>
      <c r="CI57" s="468"/>
      <c r="CJ57" s="468"/>
      <c r="CK57" s="468"/>
      <c r="CL57" s="468"/>
      <c r="CM57" s="468"/>
      <c r="CN57" s="468"/>
      <c r="CO57" s="468"/>
      <c r="CP57" s="468"/>
      <c r="CQ57" s="468"/>
      <c r="CR57" s="468"/>
      <c r="CS57" s="468"/>
      <c r="CT57" s="468"/>
      <c r="CU57" s="468"/>
      <c r="CV57" s="468"/>
      <c r="CW57" s="468"/>
      <c r="CX57" s="468"/>
      <c r="CY57" s="468"/>
      <c r="CZ57" s="468"/>
      <c r="DA57" s="468"/>
      <c r="DB57" s="468"/>
      <c r="DC57" s="468"/>
      <c r="DD57" s="468"/>
      <c r="DE57" s="468"/>
      <c r="DF57" s="468"/>
      <c r="DG57" s="468"/>
      <c r="DH57" s="468"/>
      <c r="DI57" s="468"/>
      <c r="DJ57" s="468"/>
      <c r="DK57" s="468"/>
      <c r="DL57" s="468"/>
      <c r="DM57" s="468"/>
      <c r="DN57" s="471"/>
      <c r="DO57" s="468"/>
      <c r="DP57" s="468"/>
      <c r="DQ57" s="468"/>
      <c r="DR57" s="468"/>
      <c r="DS57" s="468"/>
      <c r="DT57" s="468"/>
      <c r="DU57" s="468"/>
      <c r="DV57" s="468"/>
      <c r="DW57" s="468"/>
      <c r="DX57" s="468"/>
      <c r="DY57" s="468"/>
      <c r="DZ57" s="468"/>
      <c r="EA57" s="468"/>
      <c r="EB57" s="468"/>
      <c r="EC57" s="468"/>
      <c r="ED57" s="468"/>
      <c r="EE57" s="468"/>
      <c r="EF57" s="468"/>
      <c r="EG57" s="468"/>
      <c r="EH57" s="468"/>
      <c r="EI57" s="468"/>
      <c r="EJ57" s="468"/>
      <c r="EK57" s="468"/>
      <c r="EL57" s="468"/>
      <c r="EM57" s="468"/>
      <c r="EN57" s="468"/>
      <c r="EO57" s="468"/>
      <c r="EP57" s="468"/>
      <c r="EQ57" s="468"/>
      <c r="ER57" s="468"/>
      <c r="ES57" s="468"/>
      <c r="ET57" s="468"/>
      <c r="EU57" s="468"/>
      <c r="EV57" s="468"/>
      <c r="EW57" s="468"/>
      <c r="EX57" s="468"/>
      <c r="EY57" s="468"/>
      <c r="EZ57" s="468"/>
      <c r="FA57" s="468"/>
      <c r="FB57" s="468"/>
      <c r="FC57" s="468"/>
      <c r="FD57" s="468"/>
      <c r="FE57" s="468"/>
      <c r="FF57" s="468"/>
      <c r="FG57" s="468"/>
      <c r="FH57" s="468"/>
      <c r="FI57" s="468"/>
      <c r="FJ57" s="468"/>
      <c r="FK57" s="468"/>
      <c r="FL57" s="468"/>
      <c r="FM57" s="468"/>
      <c r="FN57" s="468"/>
      <c r="FO57" s="468"/>
      <c r="FP57" s="468"/>
      <c r="FQ57" s="468"/>
      <c r="FR57" s="468"/>
      <c r="FS57" s="468"/>
      <c r="FT57" s="468"/>
      <c r="FU57" s="468"/>
      <c r="FV57" s="468"/>
      <c r="FW57" s="468"/>
      <c r="FX57" s="468"/>
      <c r="FY57" s="468"/>
      <c r="FZ57" s="468"/>
      <c r="GA57" s="468"/>
      <c r="GB57" s="468"/>
      <c r="GC57" s="468"/>
      <c r="GD57" s="468"/>
      <c r="GE57" s="468"/>
      <c r="GF57" s="468"/>
      <c r="GG57" s="468"/>
      <c r="GH57" s="468"/>
      <c r="GI57" s="468"/>
      <c r="GJ57" s="468"/>
      <c r="GK57" s="468"/>
      <c r="GL57" s="468"/>
      <c r="GM57" s="468"/>
      <c r="GN57" s="468"/>
      <c r="GO57" s="468"/>
      <c r="GP57" s="468"/>
      <c r="GQ57" s="468"/>
      <c r="GR57" s="468"/>
      <c r="GS57" s="468"/>
      <c r="GT57" s="468"/>
      <c r="GU57" s="468"/>
      <c r="GV57" s="468"/>
      <c r="GW57" s="468"/>
      <c r="GX57" s="468"/>
      <c r="GY57" s="468"/>
      <c r="GZ57" s="468"/>
      <c r="HA57" s="468"/>
      <c r="HB57" s="468"/>
      <c r="HC57" s="468"/>
      <c r="HD57" s="468"/>
      <c r="HE57" s="468"/>
      <c r="HF57" s="468"/>
      <c r="HG57" s="468"/>
      <c r="HH57" s="468"/>
      <c r="HI57" s="468"/>
      <c r="HJ57" s="468"/>
      <c r="HK57" s="468"/>
      <c r="HL57" s="468"/>
      <c r="HM57" s="468"/>
      <c r="HN57" s="468"/>
      <c r="HO57" s="468"/>
      <c r="HP57" s="468"/>
      <c r="HQ57" s="468"/>
      <c r="HR57" s="468"/>
      <c r="HS57" s="468"/>
      <c r="HT57" s="468"/>
      <c r="HU57" s="468"/>
      <c r="HV57" s="468"/>
      <c r="HW57" s="468"/>
      <c r="HX57" s="468"/>
      <c r="HY57" s="468"/>
      <c r="HZ57" s="468"/>
      <c r="IA57" s="468"/>
      <c r="IB57" s="468"/>
      <c r="IC57" s="468"/>
      <c r="ID57" s="468"/>
      <c r="IE57" s="468"/>
      <c r="IF57" s="468"/>
      <c r="IG57" s="468"/>
      <c r="IH57" s="468"/>
      <c r="II57" s="468"/>
      <c r="IJ57" s="468"/>
      <c r="IK57" s="468"/>
      <c r="IL57" s="468"/>
      <c r="IM57" s="468"/>
      <c r="IN57" s="468"/>
      <c r="IO57" s="468"/>
      <c r="IP57" s="468"/>
      <c r="IQ57" s="468"/>
      <c r="IR57" s="468"/>
      <c r="IS57" s="468"/>
      <c r="IT57" s="468"/>
      <c r="IU57" s="468"/>
      <c r="IV57" s="468"/>
      <c r="IW57" s="468"/>
      <c r="IX57" s="468"/>
      <c r="IY57" s="468"/>
      <c r="IZ57" s="468"/>
      <c r="JA57" s="468"/>
      <c r="JG57" s="521"/>
    </row>
    <row r="58" spans="1:267" ht="18.899999999999999" customHeight="1">
      <c r="A58" s="468"/>
      <c r="B58" s="468"/>
      <c r="C58" s="473"/>
      <c r="D58" s="473"/>
      <c r="E58" s="473"/>
      <c r="F58" s="473"/>
      <c r="G58" s="468"/>
      <c r="H58" s="468"/>
      <c r="I58" s="468"/>
      <c r="J58" s="468"/>
      <c r="K58" s="468"/>
      <c r="L58" s="468"/>
      <c r="M58" s="468"/>
      <c r="N58" s="468"/>
      <c r="O58" s="468"/>
      <c r="P58" s="468"/>
      <c r="Q58" s="468"/>
      <c r="R58" s="468"/>
      <c r="S58" s="468"/>
      <c r="T58" s="468"/>
      <c r="U58" s="468"/>
      <c r="V58" s="468"/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468"/>
      <c r="AH58" s="468"/>
      <c r="AI58" s="468"/>
      <c r="AJ58" s="468"/>
      <c r="AK58" s="468"/>
      <c r="AL58" s="468"/>
      <c r="AM58" s="468"/>
      <c r="AN58" s="468"/>
      <c r="AO58" s="468"/>
      <c r="AP58" s="468"/>
      <c r="AQ58" s="468"/>
      <c r="AR58" s="468"/>
      <c r="AS58" s="468"/>
      <c r="AT58" s="468"/>
      <c r="AU58" s="468"/>
      <c r="AV58" s="468"/>
      <c r="AW58" s="468"/>
      <c r="AX58" s="468"/>
      <c r="AY58" s="468"/>
      <c r="AZ58" s="468"/>
      <c r="BA58" s="468"/>
      <c r="BB58" s="468"/>
      <c r="BC58" s="468"/>
      <c r="BD58" s="468"/>
      <c r="BE58" s="468"/>
      <c r="BF58" s="468"/>
      <c r="BG58" s="468"/>
      <c r="BH58" s="468"/>
      <c r="BI58" s="468"/>
      <c r="BJ58" s="468"/>
      <c r="BK58" s="468"/>
      <c r="BL58" s="468"/>
      <c r="BM58" s="468"/>
      <c r="BN58" s="468"/>
      <c r="BO58" s="468"/>
      <c r="BP58" s="468"/>
      <c r="BQ58" s="468"/>
      <c r="BR58" s="468"/>
      <c r="BS58" s="468"/>
      <c r="BT58" s="468"/>
      <c r="BU58" s="468"/>
      <c r="BV58" s="468"/>
      <c r="BW58" s="468"/>
      <c r="BX58" s="468"/>
      <c r="BY58" s="468"/>
      <c r="BZ58" s="468"/>
      <c r="CA58" s="468"/>
      <c r="CB58" s="468"/>
      <c r="CC58" s="468"/>
      <c r="CD58" s="468"/>
      <c r="CE58" s="468"/>
      <c r="CF58" s="468"/>
      <c r="CG58" s="468"/>
      <c r="CH58" s="468"/>
      <c r="CI58" s="468"/>
      <c r="CJ58" s="468"/>
      <c r="CK58" s="468"/>
      <c r="CL58" s="468"/>
      <c r="CM58" s="468"/>
      <c r="CN58" s="468"/>
      <c r="CO58" s="468"/>
      <c r="CP58" s="468"/>
      <c r="CQ58" s="468"/>
      <c r="CR58" s="468"/>
      <c r="CS58" s="468"/>
      <c r="CT58" s="468"/>
      <c r="CU58" s="468"/>
      <c r="CV58" s="468"/>
      <c r="CW58" s="468"/>
      <c r="CX58" s="468"/>
      <c r="CY58" s="468"/>
      <c r="CZ58" s="468"/>
      <c r="DA58" s="468"/>
      <c r="DB58" s="468"/>
      <c r="DC58" s="468"/>
      <c r="DD58" s="468"/>
      <c r="DE58" s="468"/>
      <c r="DF58" s="468"/>
      <c r="DG58" s="468"/>
      <c r="DH58" s="468"/>
      <c r="DI58" s="468"/>
      <c r="DJ58" s="468"/>
      <c r="DK58" s="468"/>
      <c r="DL58" s="468"/>
      <c r="DM58" s="468"/>
      <c r="DN58" s="471"/>
      <c r="DO58" s="468"/>
      <c r="DP58" s="468"/>
      <c r="DQ58" s="468"/>
      <c r="DR58" s="468"/>
      <c r="DS58" s="468"/>
      <c r="DT58" s="468"/>
      <c r="DU58" s="468"/>
      <c r="DV58" s="468"/>
      <c r="DW58" s="468"/>
      <c r="DX58" s="468"/>
      <c r="DY58" s="468"/>
      <c r="DZ58" s="468"/>
      <c r="EA58" s="468"/>
      <c r="EB58" s="468"/>
      <c r="EC58" s="468"/>
      <c r="ED58" s="468"/>
      <c r="EE58" s="468"/>
      <c r="EF58" s="468"/>
      <c r="EG58" s="468"/>
      <c r="EH58" s="468"/>
      <c r="EI58" s="468"/>
      <c r="EJ58" s="468"/>
      <c r="EK58" s="468"/>
      <c r="EL58" s="468"/>
      <c r="EM58" s="468"/>
      <c r="EN58" s="468"/>
      <c r="EO58" s="468"/>
      <c r="EP58" s="468"/>
      <c r="EQ58" s="468"/>
      <c r="ER58" s="468"/>
      <c r="ES58" s="468"/>
      <c r="ET58" s="468"/>
      <c r="EU58" s="468"/>
      <c r="EV58" s="468"/>
      <c r="EW58" s="468"/>
      <c r="EX58" s="468"/>
      <c r="EY58" s="468"/>
      <c r="EZ58" s="468"/>
      <c r="FA58" s="468"/>
      <c r="FB58" s="468"/>
      <c r="FC58" s="468"/>
      <c r="FD58" s="468"/>
      <c r="FE58" s="468"/>
      <c r="FF58" s="468"/>
      <c r="FG58" s="468"/>
      <c r="FH58" s="468"/>
      <c r="FI58" s="468"/>
      <c r="FJ58" s="468"/>
      <c r="FK58" s="468"/>
      <c r="FL58" s="468"/>
      <c r="FM58" s="468"/>
      <c r="FN58" s="468"/>
      <c r="FO58" s="468"/>
      <c r="FP58" s="468"/>
      <c r="FQ58" s="468"/>
      <c r="FR58" s="468"/>
      <c r="FS58" s="468"/>
      <c r="FT58" s="468"/>
      <c r="FU58" s="468"/>
      <c r="FV58" s="468"/>
      <c r="FW58" s="468"/>
      <c r="FX58" s="468"/>
      <c r="FY58" s="468"/>
      <c r="FZ58" s="468"/>
      <c r="GA58" s="468"/>
      <c r="GB58" s="468"/>
      <c r="GC58" s="468"/>
      <c r="GD58" s="468"/>
      <c r="GE58" s="468"/>
      <c r="GF58" s="468"/>
      <c r="GG58" s="468"/>
      <c r="GH58" s="468"/>
      <c r="GI58" s="468"/>
      <c r="GJ58" s="468"/>
      <c r="GK58" s="468"/>
      <c r="GL58" s="468"/>
      <c r="GM58" s="468"/>
      <c r="GN58" s="468"/>
      <c r="GO58" s="468"/>
      <c r="GP58" s="468"/>
      <c r="GQ58" s="468"/>
      <c r="GR58" s="468"/>
      <c r="GS58" s="468"/>
      <c r="GT58" s="468"/>
      <c r="GU58" s="468"/>
      <c r="GV58" s="468"/>
      <c r="GW58" s="468"/>
      <c r="GX58" s="468"/>
      <c r="GY58" s="468"/>
      <c r="GZ58" s="468"/>
      <c r="HA58" s="468"/>
      <c r="HB58" s="468"/>
      <c r="HC58" s="468"/>
      <c r="HD58" s="468"/>
      <c r="HE58" s="468"/>
      <c r="HF58" s="468"/>
      <c r="HG58" s="468"/>
      <c r="HH58" s="468"/>
      <c r="HI58" s="468"/>
      <c r="HJ58" s="468"/>
      <c r="HK58" s="468"/>
      <c r="HL58" s="468"/>
      <c r="HM58" s="468"/>
      <c r="HN58" s="468"/>
      <c r="HO58" s="468"/>
      <c r="HP58" s="468"/>
      <c r="HQ58" s="468"/>
      <c r="HR58" s="468"/>
      <c r="HS58" s="468"/>
      <c r="HT58" s="468"/>
      <c r="HU58" s="468"/>
      <c r="HV58" s="468"/>
      <c r="HW58" s="468"/>
      <c r="HX58" s="468"/>
      <c r="HY58" s="468"/>
      <c r="HZ58" s="468"/>
      <c r="IA58" s="468"/>
      <c r="IB58" s="468"/>
      <c r="IC58" s="468"/>
      <c r="ID58" s="468"/>
      <c r="IE58" s="468"/>
      <c r="IF58" s="468"/>
      <c r="IG58" s="468"/>
      <c r="IH58" s="468"/>
      <c r="II58" s="468"/>
      <c r="IJ58" s="468"/>
      <c r="IK58" s="468"/>
      <c r="IL58" s="468"/>
      <c r="IM58" s="468"/>
      <c r="IN58" s="468"/>
      <c r="IO58" s="468"/>
      <c r="IP58" s="468"/>
      <c r="IQ58" s="468"/>
      <c r="IR58" s="468"/>
      <c r="IS58" s="468"/>
      <c r="IT58" s="468"/>
      <c r="IU58" s="468"/>
      <c r="IV58" s="468"/>
      <c r="IW58" s="468"/>
      <c r="IX58" s="468"/>
      <c r="IY58" s="468"/>
      <c r="IZ58" s="468"/>
      <c r="JA58" s="468"/>
    </row>
    <row r="59" spans="1:267" ht="18.899999999999999" customHeight="1">
      <c r="A59" s="468"/>
      <c r="B59" s="468"/>
      <c r="C59" s="473"/>
      <c r="D59" s="473"/>
      <c r="E59" s="473"/>
      <c r="F59" s="473"/>
      <c r="G59" s="468"/>
      <c r="H59" s="468"/>
      <c r="I59" s="468"/>
      <c r="J59" s="468"/>
      <c r="K59" s="468"/>
      <c r="L59" s="468"/>
      <c r="M59" s="468"/>
      <c r="N59" s="468"/>
      <c r="O59" s="468"/>
      <c r="P59" s="468"/>
      <c r="Q59" s="468"/>
      <c r="R59" s="468"/>
      <c r="S59" s="468"/>
      <c r="T59" s="468"/>
      <c r="U59" s="468"/>
      <c r="V59" s="468"/>
      <c r="W59" s="468"/>
      <c r="X59" s="468"/>
      <c r="Y59" s="468"/>
      <c r="Z59" s="468"/>
      <c r="AA59" s="468"/>
      <c r="AB59" s="468"/>
      <c r="AC59" s="468"/>
      <c r="AD59" s="468"/>
      <c r="AE59" s="468"/>
      <c r="AF59" s="468"/>
      <c r="AG59" s="468"/>
      <c r="AH59" s="468"/>
      <c r="AI59" s="468"/>
      <c r="AJ59" s="468"/>
      <c r="AK59" s="468"/>
      <c r="AL59" s="468"/>
      <c r="AM59" s="468"/>
      <c r="AN59" s="468"/>
      <c r="AO59" s="468"/>
      <c r="AP59" s="468"/>
      <c r="AQ59" s="468"/>
      <c r="AR59" s="468"/>
      <c r="AS59" s="468"/>
      <c r="AT59" s="468"/>
      <c r="AU59" s="468"/>
      <c r="AV59" s="468"/>
      <c r="AW59" s="468"/>
      <c r="AX59" s="468"/>
      <c r="AY59" s="468"/>
      <c r="AZ59" s="468"/>
      <c r="BA59" s="468"/>
      <c r="BB59" s="468"/>
      <c r="BC59" s="468"/>
      <c r="BD59" s="468"/>
      <c r="BE59" s="468"/>
      <c r="BF59" s="468"/>
      <c r="BG59" s="468"/>
      <c r="BH59" s="468"/>
      <c r="BI59" s="468"/>
      <c r="BJ59" s="468"/>
      <c r="BK59" s="468"/>
      <c r="BL59" s="468"/>
      <c r="BM59" s="468"/>
      <c r="BN59" s="468"/>
      <c r="BO59" s="468"/>
      <c r="BP59" s="468"/>
      <c r="BQ59" s="468"/>
      <c r="BR59" s="468"/>
      <c r="BS59" s="468"/>
      <c r="BT59" s="468"/>
      <c r="BU59" s="468"/>
      <c r="BV59" s="468"/>
      <c r="BW59" s="468"/>
      <c r="BX59" s="468"/>
      <c r="BY59" s="468"/>
      <c r="BZ59" s="468"/>
      <c r="CA59" s="468"/>
      <c r="CB59" s="468"/>
      <c r="CC59" s="468"/>
      <c r="CD59" s="468"/>
      <c r="CE59" s="468"/>
      <c r="CF59" s="468"/>
      <c r="CG59" s="468"/>
      <c r="CH59" s="468"/>
      <c r="CI59" s="468"/>
      <c r="CJ59" s="468"/>
      <c r="CK59" s="468"/>
      <c r="CL59" s="468"/>
      <c r="CM59" s="468"/>
      <c r="CN59" s="468"/>
      <c r="CO59" s="468"/>
      <c r="CP59" s="468"/>
      <c r="CQ59" s="468"/>
      <c r="CR59" s="468"/>
      <c r="CS59" s="468"/>
      <c r="CT59" s="468"/>
      <c r="CU59" s="468"/>
      <c r="CV59" s="468"/>
      <c r="CW59" s="468"/>
      <c r="CX59" s="468"/>
      <c r="CY59" s="468"/>
      <c r="CZ59" s="468"/>
      <c r="DA59" s="468"/>
      <c r="DB59" s="468"/>
      <c r="DC59" s="468"/>
      <c r="DD59" s="468"/>
      <c r="DE59" s="468"/>
      <c r="DF59" s="468"/>
      <c r="DG59" s="468"/>
      <c r="DH59" s="468"/>
      <c r="DI59" s="468"/>
      <c r="DJ59" s="468"/>
      <c r="DK59" s="468"/>
      <c r="DL59" s="468"/>
      <c r="DM59" s="468"/>
      <c r="DN59" s="471"/>
      <c r="DO59" s="468"/>
      <c r="DP59" s="468"/>
      <c r="DQ59" s="468"/>
      <c r="DR59" s="468"/>
      <c r="DS59" s="468"/>
      <c r="DT59" s="468"/>
      <c r="DU59" s="468"/>
      <c r="DV59" s="468"/>
      <c r="DW59" s="468"/>
      <c r="DX59" s="468"/>
      <c r="DY59" s="468"/>
      <c r="DZ59" s="468"/>
      <c r="EA59" s="468"/>
      <c r="EB59" s="468"/>
      <c r="EC59" s="468"/>
      <c r="ED59" s="468"/>
      <c r="EE59" s="468"/>
      <c r="EF59" s="468"/>
      <c r="EG59" s="468"/>
      <c r="EH59" s="468"/>
      <c r="EI59" s="468"/>
      <c r="EJ59" s="468"/>
      <c r="EK59" s="468"/>
      <c r="EL59" s="468"/>
      <c r="EM59" s="468"/>
      <c r="EN59" s="468"/>
      <c r="EO59" s="468"/>
      <c r="EP59" s="468"/>
      <c r="EQ59" s="468"/>
      <c r="ER59" s="468"/>
      <c r="ES59" s="468"/>
      <c r="ET59" s="468"/>
      <c r="EU59" s="468"/>
      <c r="EV59" s="468"/>
      <c r="EW59" s="468"/>
      <c r="EX59" s="468"/>
      <c r="EY59" s="468"/>
      <c r="EZ59" s="468"/>
      <c r="FA59" s="468"/>
      <c r="FB59" s="468"/>
      <c r="FC59" s="468"/>
      <c r="FD59" s="468"/>
      <c r="FE59" s="468"/>
      <c r="FF59" s="468"/>
      <c r="FG59" s="468"/>
      <c r="FH59" s="468"/>
      <c r="FI59" s="468"/>
      <c r="FJ59" s="468"/>
      <c r="FK59" s="468"/>
      <c r="FL59" s="468"/>
      <c r="FM59" s="468"/>
      <c r="FN59" s="468"/>
      <c r="FO59" s="468"/>
      <c r="FP59" s="468"/>
      <c r="FQ59" s="468"/>
      <c r="FR59" s="468"/>
      <c r="FS59" s="468"/>
      <c r="FT59" s="468"/>
      <c r="FU59" s="468"/>
      <c r="FV59" s="468"/>
      <c r="FW59" s="468"/>
      <c r="FX59" s="468"/>
      <c r="FY59" s="468"/>
      <c r="FZ59" s="468"/>
      <c r="GA59" s="468"/>
      <c r="GB59" s="468"/>
      <c r="GC59" s="468"/>
      <c r="GD59" s="468"/>
      <c r="GE59" s="468"/>
      <c r="GF59" s="468"/>
      <c r="GG59" s="468"/>
      <c r="GH59" s="468"/>
      <c r="GI59" s="468"/>
      <c r="GJ59" s="468"/>
      <c r="GK59" s="468"/>
      <c r="GL59" s="468"/>
      <c r="GM59" s="468"/>
      <c r="GN59" s="468"/>
      <c r="GO59" s="468"/>
      <c r="GP59" s="468"/>
      <c r="GQ59" s="468"/>
      <c r="GR59" s="468"/>
      <c r="GS59" s="468"/>
      <c r="GT59" s="468"/>
      <c r="GU59" s="468"/>
      <c r="GV59" s="468"/>
      <c r="GW59" s="468"/>
      <c r="GX59" s="468"/>
      <c r="GY59" s="468"/>
      <c r="GZ59" s="468"/>
      <c r="HA59" s="468"/>
      <c r="HB59" s="468"/>
      <c r="HC59" s="468"/>
      <c r="HD59" s="468"/>
      <c r="HE59" s="468"/>
      <c r="HF59" s="468"/>
      <c r="HG59" s="468"/>
      <c r="HH59" s="468"/>
      <c r="HI59" s="468"/>
      <c r="HJ59" s="468"/>
      <c r="HK59" s="468"/>
      <c r="HL59" s="468"/>
      <c r="HM59" s="468"/>
      <c r="HN59" s="468"/>
      <c r="HO59" s="468"/>
      <c r="HP59" s="468"/>
      <c r="HQ59" s="468"/>
      <c r="HR59" s="468"/>
      <c r="HS59" s="468"/>
      <c r="HT59" s="468"/>
      <c r="HU59" s="468"/>
      <c r="HV59" s="468"/>
      <c r="HW59" s="468"/>
      <c r="HX59" s="468"/>
      <c r="HY59" s="468"/>
      <c r="HZ59" s="468"/>
      <c r="IA59" s="468"/>
      <c r="IB59" s="468"/>
      <c r="IC59" s="468"/>
      <c r="ID59" s="468"/>
      <c r="IE59" s="468"/>
      <c r="IF59" s="468"/>
      <c r="IG59" s="468"/>
      <c r="IH59" s="468"/>
      <c r="II59" s="468"/>
      <c r="IJ59" s="468"/>
      <c r="IK59" s="468"/>
      <c r="IL59" s="468"/>
      <c r="IM59" s="468"/>
      <c r="IN59" s="468"/>
      <c r="IO59" s="468"/>
      <c r="IP59" s="468"/>
      <c r="IQ59" s="468"/>
      <c r="IR59" s="468"/>
      <c r="IS59" s="468"/>
      <c r="IT59" s="468"/>
      <c r="IU59" s="468"/>
      <c r="IV59" s="468"/>
      <c r="IW59" s="468"/>
      <c r="IX59" s="468"/>
      <c r="IY59" s="468"/>
      <c r="IZ59" s="468"/>
      <c r="JA59" s="468"/>
    </row>
    <row r="60" spans="1:267" ht="18.899999999999999" customHeight="1">
      <c r="A60" s="468"/>
      <c r="B60" s="468"/>
      <c r="C60" s="473"/>
      <c r="D60" s="473"/>
      <c r="E60" s="473"/>
      <c r="F60" s="473"/>
      <c r="G60" s="468"/>
      <c r="H60" s="468"/>
      <c r="I60" s="468"/>
      <c r="J60" s="468"/>
      <c r="K60" s="468"/>
      <c r="L60" s="468"/>
      <c r="M60" s="468"/>
      <c r="N60" s="468"/>
      <c r="O60" s="468"/>
      <c r="P60" s="468"/>
      <c r="Q60" s="468"/>
      <c r="R60" s="468"/>
      <c r="S60" s="468"/>
      <c r="T60" s="468"/>
      <c r="U60" s="468"/>
      <c r="V60" s="468"/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468"/>
      <c r="AJ60" s="468"/>
      <c r="AK60" s="468"/>
      <c r="AL60" s="468"/>
      <c r="AM60" s="468"/>
      <c r="AN60" s="468"/>
      <c r="AO60" s="468"/>
      <c r="AP60" s="468"/>
      <c r="AQ60" s="468"/>
      <c r="AR60" s="468"/>
      <c r="AS60" s="468"/>
      <c r="AT60" s="468"/>
      <c r="AU60" s="468"/>
      <c r="AV60" s="468"/>
      <c r="AW60" s="468"/>
      <c r="AX60" s="468"/>
      <c r="AY60" s="468"/>
      <c r="AZ60" s="468"/>
      <c r="BA60" s="468"/>
      <c r="BB60" s="468"/>
      <c r="BC60" s="468"/>
      <c r="BD60" s="468"/>
      <c r="BE60" s="468"/>
      <c r="BF60" s="468"/>
      <c r="BG60" s="468"/>
      <c r="BH60" s="468"/>
      <c r="BI60" s="468"/>
      <c r="BJ60" s="468"/>
      <c r="BK60" s="468"/>
      <c r="BL60" s="468"/>
      <c r="BM60" s="468"/>
      <c r="BN60" s="468"/>
      <c r="BO60" s="468"/>
      <c r="BP60" s="468"/>
      <c r="BQ60" s="468"/>
      <c r="BR60" s="468"/>
      <c r="BS60" s="468"/>
      <c r="BT60" s="468"/>
      <c r="BU60" s="468"/>
      <c r="BV60" s="468"/>
      <c r="BW60" s="468"/>
      <c r="BX60" s="468"/>
      <c r="BY60" s="468"/>
      <c r="BZ60" s="468"/>
      <c r="CA60" s="468"/>
      <c r="CB60" s="468"/>
      <c r="CC60" s="468"/>
      <c r="CD60" s="468"/>
      <c r="CE60" s="468"/>
      <c r="CF60" s="468"/>
      <c r="CG60" s="468"/>
      <c r="CH60" s="468"/>
      <c r="CI60" s="468"/>
      <c r="CJ60" s="468"/>
      <c r="CK60" s="468"/>
      <c r="CL60" s="468"/>
      <c r="CM60" s="468"/>
      <c r="CN60" s="468"/>
      <c r="CO60" s="468"/>
      <c r="CP60" s="468"/>
      <c r="CQ60" s="468"/>
      <c r="CR60" s="468"/>
      <c r="CS60" s="468"/>
      <c r="CT60" s="468"/>
      <c r="CU60" s="468"/>
      <c r="CV60" s="468"/>
      <c r="CW60" s="468"/>
      <c r="CX60" s="468"/>
      <c r="CY60" s="468"/>
      <c r="CZ60" s="468"/>
      <c r="DA60" s="468"/>
      <c r="DB60" s="468"/>
      <c r="DC60" s="468"/>
      <c r="DD60" s="468"/>
      <c r="DE60" s="468"/>
      <c r="DF60" s="468"/>
      <c r="DG60" s="468"/>
      <c r="DH60" s="468"/>
      <c r="DI60" s="468"/>
      <c r="DJ60" s="468"/>
      <c r="DK60" s="468"/>
      <c r="DL60" s="468"/>
      <c r="DM60" s="468"/>
      <c r="DN60" s="471"/>
      <c r="DO60" s="468"/>
      <c r="DP60" s="468"/>
      <c r="DQ60" s="468"/>
      <c r="DR60" s="468"/>
      <c r="DS60" s="468"/>
      <c r="DT60" s="468"/>
      <c r="DU60" s="468"/>
      <c r="DV60" s="468"/>
      <c r="DW60" s="468"/>
      <c r="DX60" s="468"/>
      <c r="DY60" s="468"/>
      <c r="DZ60" s="468"/>
      <c r="EA60" s="468"/>
      <c r="EB60" s="468"/>
      <c r="EC60" s="468"/>
      <c r="ED60" s="468"/>
      <c r="EE60" s="468"/>
      <c r="EF60" s="468"/>
      <c r="EG60" s="468"/>
      <c r="EH60" s="468"/>
      <c r="EI60" s="468"/>
      <c r="EJ60" s="468"/>
      <c r="EK60" s="468"/>
      <c r="EL60" s="468"/>
      <c r="EM60" s="468"/>
      <c r="EN60" s="468"/>
      <c r="EO60" s="468"/>
      <c r="EP60" s="468"/>
      <c r="EQ60" s="468"/>
      <c r="ER60" s="468"/>
      <c r="ES60" s="468"/>
      <c r="ET60" s="468"/>
      <c r="EU60" s="468"/>
      <c r="EV60" s="468"/>
      <c r="EW60" s="468"/>
      <c r="EX60" s="468"/>
      <c r="EY60" s="468"/>
      <c r="EZ60" s="468"/>
      <c r="FA60" s="468"/>
      <c r="FB60" s="468"/>
      <c r="FC60" s="468"/>
      <c r="FD60" s="468"/>
      <c r="FE60" s="468"/>
      <c r="FF60" s="468"/>
      <c r="FG60" s="468"/>
      <c r="FH60" s="468"/>
      <c r="FI60" s="468"/>
      <c r="FJ60" s="468"/>
      <c r="FK60" s="468"/>
      <c r="FL60" s="468"/>
      <c r="FM60" s="468"/>
      <c r="FN60" s="468"/>
      <c r="FO60" s="468"/>
      <c r="FP60" s="468"/>
      <c r="FQ60" s="468"/>
      <c r="FR60" s="468"/>
      <c r="FS60" s="468"/>
      <c r="FT60" s="468"/>
      <c r="FU60" s="468"/>
      <c r="FV60" s="468"/>
      <c r="FW60" s="468"/>
      <c r="FX60" s="468"/>
      <c r="FY60" s="468"/>
      <c r="FZ60" s="468"/>
      <c r="GA60" s="468"/>
      <c r="GB60" s="468"/>
      <c r="GC60" s="468"/>
      <c r="GD60" s="468"/>
      <c r="GE60" s="468"/>
      <c r="GF60" s="468"/>
      <c r="GG60" s="468"/>
      <c r="GH60" s="468"/>
      <c r="GI60" s="468"/>
      <c r="GJ60" s="468"/>
      <c r="GK60" s="468"/>
      <c r="GL60" s="468"/>
      <c r="GM60" s="468"/>
      <c r="GN60" s="468"/>
      <c r="GO60" s="468"/>
      <c r="GP60" s="468"/>
      <c r="GQ60" s="468"/>
      <c r="GR60" s="468"/>
      <c r="GS60" s="468"/>
      <c r="GT60" s="468"/>
      <c r="GU60" s="468"/>
      <c r="GV60" s="468"/>
      <c r="GW60" s="468"/>
      <c r="GX60" s="468"/>
      <c r="GY60" s="468"/>
      <c r="GZ60" s="468"/>
      <c r="HA60" s="468"/>
      <c r="HB60" s="468"/>
      <c r="HC60" s="468"/>
      <c r="HD60" s="468"/>
      <c r="HE60" s="468"/>
      <c r="HF60" s="468"/>
      <c r="HG60" s="468"/>
      <c r="HH60" s="468"/>
      <c r="HI60" s="468"/>
      <c r="HJ60" s="468"/>
      <c r="HK60" s="468"/>
      <c r="HL60" s="468"/>
      <c r="HM60" s="468"/>
      <c r="HN60" s="468"/>
      <c r="HO60" s="468"/>
      <c r="HP60" s="468"/>
      <c r="HQ60" s="468"/>
      <c r="HR60" s="468"/>
      <c r="HS60" s="468"/>
      <c r="HT60" s="468"/>
      <c r="HU60" s="468"/>
      <c r="HV60" s="468"/>
      <c r="HW60" s="468"/>
      <c r="HX60" s="468"/>
      <c r="HY60" s="468"/>
      <c r="HZ60" s="468"/>
      <c r="IA60" s="468"/>
      <c r="IB60" s="468"/>
      <c r="IC60" s="468"/>
      <c r="ID60" s="468"/>
      <c r="IE60" s="468"/>
      <c r="IF60" s="468"/>
      <c r="IG60" s="468"/>
      <c r="IH60" s="468"/>
      <c r="II60" s="468"/>
      <c r="IJ60" s="468"/>
      <c r="IK60" s="468"/>
      <c r="IL60" s="468"/>
      <c r="IM60" s="468"/>
      <c r="IN60" s="468"/>
      <c r="IO60" s="468"/>
      <c r="IP60" s="468"/>
      <c r="IQ60" s="468"/>
      <c r="IR60" s="468"/>
      <c r="IS60" s="468"/>
      <c r="IT60" s="468"/>
      <c r="IU60" s="468"/>
      <c r="IV60" s="468"/>
      <c r="IW60" s="468"/>
      <c r="IX60" s="468"/>
      <c r="IY60" s="468"/>
      <c r="IZ60" s="468"/>
      <c r="JA60" s="468"/>
    </row>
    <row r="61" spans="1:267" ht="18.899999999999999" customHeight="1">
      <c r="A61" s="468"/>
      <c r="B61" s="468"/>
      <c r="C61" s="473"/>
      <c r="D61" s="473"/>
      <c r="E61" s="473"/>
      <c r="F61" s="473"/>
      <c r="G61" s="468"/>
      <c r="H61" s="468"/>
      <c r="I61" s="468"/>
      <c r="J61" s="468"/>
      <c r="K61" s="468"/>
      <c r="L61" s="468"/>
      <c r="M61" s="468"/>
      <c r="N61" s="468"/>
      <c r="O61" s="468"/>
      <c r="P61" s="468"/>
      <c r="Q61" s="468"/>
      <c r="R61" s="468"/>
      <c r="S61" s="468"/>
      <c r="T61" s="468"/>
      <c r="U61" s="468"/>
      <c r="V61" s="468"/>
      <c r="W61" s="468"/>
      <c r="X61" s="468"/>
      <c r="Y61" s="468"/>
      <c r="Z61" s="468"/>
      <c r="AA61" s="468"/>
      <c r="AB61" s="468"/>
      <c r="AC61" s="468"/>
      <c r="AD61" s="468"/>
      <c r="AE61" s="468"/>
      <c r="AF61" s="468"/>
      <c r="AG61" s="468"/>
      <c r="AH61" s="468"/>
      <c r="AI61" s="468"/>
      <c r="AJ61" s="468"/>
      <c r="AK61" s="468"/>
      <c r="AL61" s="468"/>
      <c r="AM61" s="468"/>
      <c r="AN61" s="468"/>
      <c r="AO61" s="468"/>
      <c r="AP61" s="468"/>
      <c r="AQ61" s="468"/>
      <c r="AR61" s="468"/>
      <c r="AS61" s="468"/>
      <c r="AT61" s="468"/>
      <c r="AU61" s="468"/>
      <c r="AV61" s="468"/>
      <c r="AW61" s="468"/>
      <c r="AX61" s="468"/>
      <c r="AY61" s="468"/>
      <c r="AZ61" s="468"/>
      <c r="BA61" s="468"/>
      <c r="BB61" s="468"/>
      <c r="BC61" s="468"/>
      <c r="BD61" s="468"/>
      <c r="BE61" s="468"/>
      <c r="BF61" s="468"/>
      <c r="BG61" s="468"/>
      <c r="BH61" s="468"/>
      <c r="BI61" s="468"/>
      <c r="BJ61" s="468"/>
      <c r="BK61" s="468"/>
      <c r="BL61" s="468"/>
      <c r="BM61" s="468"/>
      <c r="BN61" s="468"/>
      <c r="BO61" s="468"/>
      <c r="BP61" s="468"/>
      <c r="BQ61" s="468"/>
      <c r="BR61" s="468"/>
      <c r="BS61" s="468"/>
      <c r="BT61" s="468"/>
      <c r="BU61" s="468"/>
      <c r="BV61" s="468"/>
      <c r="BW61" s="468"/>
      <c r="BX61" s="468"/>
      <c r="BY61" s="468"/>
      <c r="BZ61" s="468"/>
      <c r="CA61" s="468"/>
      <c r="CB61" s="468"/>
      <c r="CC61" s="468"/>
      <c r="CD61" s="468"/>
      <c r="CE61" s="468"/>
      <c r="CF61" s="468"/>
      <c r="CG61" s="468"/>
      <c r="CH61" s="468"/>
      <c r="CI61" s="468"/>
      <c r="CJ61" s="468"/>
      <c r="CK61" s="468"/>
      <c r="CL61" s="468"/>
      <c r="CM61" s="468"/>
      <c r="CN61" s="468"/>
      <c r="CO61" s="468"/>
      <c r="CP61" s="468"/>
      <c r="CQ61" s="468"/>
      <c r="CR61" s="468"/>
      <c r="CS61" s="468"/>
      <c r="CT61" s="468"/>
      <c r="CU61" s="468"/>
      <c r="CV61" s="468"/>
      <c r="CW61" s="468"/>
      <c r="CX61" s="468"/>
      <c r="CY61" s="468"/>
      <c r="CZ61" s="468"/>
      <c r="DA61" s="468"/>
      <c r="DB61" s="468"/>
      <c r="DC61" s="468"/>
      <c r="DD61" s="468"/>
      <c r="DE61" s="468"/>
      <c r="DF61" s="468"/>
      <c r="DG61" s="468"/>
      <c r="DH61" s="468"/>
      <c r="DI61" s="468"/>
      <c r="DJ61" s="468"/>
      <c r="DK61" s="468"/>
      <c r="DL61" s="468"/>
      <c r="DM61" s="468"/>
      <c r="DN61" s="471"/>
      <c r="DO61" s="468"/>
      <c r="DP61" s="468"/>
      <c r="DQ61" s="468"/>
      <c r="DR61" s="468"/>
      <c r="DS61" s="468"/>
      <c r="DT61" s="468"/>
      <c r="DU61" s="468"/>
      <c r="DV61" s="468"/>
      <c r="DW61" s="468"/>
      <c r="DX61" s="468"/>
      <c r="DY61" s="468"/>
      <c r="DZ61" s="468"/>
      <c r="EA61" s="468"/>
      <c r="EB61" s="468"/>
      <c r="EC61" s="468"/>
      <c r="ED61" s="468"/>
      <c r="EE61" s="468"/>
      <c r="EF61" s="468"/>
      <c r="EG61" s="468"/>
      <c r="EH61" s="468"/>
      <c r="EI61" s="468"/>
      <c r="EJ61" s="468"/>
      <c r="EK61" s="468"/>
      <c r="EL61" s="468"/>
      <c r="EM61" s="468"/>
      <c r="EN61" s="468"/>
      <c r="EO61" s="468"/>
      <c r="EP61" s="468"/>
      <c r="EQ61" s="468"/>
      <c r="ER61" s="468"/>
      <c r="ES61" s="468"/>
      <c r="ET61" s="468"/>
      <c r="EU61" s="468"/>
      <c r="EV61" s="468"/>
      <c r="EW61" s="468"/>
      <c r="EX61" s="468"/>
      <c r="EY61" s="468"/>
      <c r="EZ61" s="468"/>
      <c r="FA61" s="468"/>
      <c r="FB61" s="468"/>
      <c r="FC61" s="468"/>
      <c r="FD61" s="468"/>
      <c r="FE61" s="468"/>
      <c r="FF61" s="468"/>
      <c r="FG61" s="468"/>
      <c r="FH61" s="468"/>
      <c r="FI61" s="468"/>
      <c r="FJ61" s="468"/>
      <c r="FK61" s="468"/>
      <c r="FL61" s="468"/>
      <c r="FM61" s="468"/>
      <c r="FN61" s="468"/>
      <c r="FO61" s="468"/>
      <c r="FP61" s="468"/>
      <c r="FQ61" s="468"/>
      <c r="FR61" s="468"/>
      <c r="FS61" s="468"/>
      <c r="FT61" s="468"/>
      <c r="FU61" s="468"/>
      <c r="FV61" s="468"/>
      <c r="FW61" s="468"/>
      <c r="FX61" s="468"/>
      <c r="FY61" s="468"/>
      <c r="FZ61" s="468"/>
      <c r="GA61" s="468"/>
      <c r="GB61" s="468"/>
      <c r="GC61" s="468"/>
      <c r="GD61" s="468"/>
      <c r="GE61" s="468"/>
      <c r="GF61" s="468"/>
      <c r="GG61" s="468"/>
      <c r="GH61" s="468"/>
      <c r="GI61" s="468"/>
      <c r="GJ61" s="468"/>
      <c r="GK61" s="468"/>
      <c r="GL61" s="468"/>
      <c r="GM61" s="468"/>
      <c r="GN61" s="468"/>
      <c r="GO61" s="468"/>
      <c r="GP61" s="468"/>
      <c r="GQ61" s="468"/>
      <c r="GR61" s="468"/>
      <c r="GS61" s="468"/>
      <c r="GT61" s="468"/>
      <c r="GU61" s="468"/>
      <c r="GV61" s="468"/>
      <c r="GW61" s="468"/>
      <c r="GX61" s="468"/>
      <c r="GY61" s="468"/>
      <c r="GZ61" s="468"/>
      <c r="HA61" s="468"/>
      <c r="HB61" s="468"/>
      <c r="HC61" s="468"/>
      <c r="HD61" s="468"/>
      <c r="HE61" s="468"/>
      <c r="HF61" s="468"/>
      <c r="HG61" s="468"/>
      <c r="HH61" s="468"/>
      <c r="HI61" s="468"/>
      <c r="HJ61" s="468"/>
      <c r="HK61" s="468"/>
      <c r="HL61" s="468"/>
      <c r="HM61" s="468"/>
      <c r="HN61" s="468"/>
      <c r="HO61" s="468"/>
      <c r="HP61" s="468"/>
      <c r="HQ61" s="468"/>
      <c r="HR61" s="468"/>
      <c r="HS61" s="468"/>
      <c r="HT61" s="468"/>
      <c r="HU61" s="468"/>
      <c r="HV61" s="468"/>
      <c r="HW61" s="468"/>
      <c r="HX61" s="468"/>
      <c r="HY61" s="468"/>
      <c r="HZ61" s="468"/>
      <c r="IA61" s="468"/>
      <c r="IB61" s="468"/>
      <c r="IC61" s="468"/>
      <c r="ID61" s="468"/>
      <c r="IE61" s="468"/>
      <c r="IF61" s="468"/>
      <c r="IG61" s="468"/>
      <c r="IH61" s="468"/>
      <c r="II61" s="468"/>
      <c r="IJ61" s="468"/>
      <c r="IK61" s="468"/>
      <c r="IL61" s="468"/>
      <c r="IM61" s="468"/>
      <c r="IN61" s="468"/>
      <c r="IO61" s="468"/>
      <c r="IP61" s="468"/>
      <c r="IQ61" s="468"/>
      <c r="IR61" s="468"/>
      <c r="IS61" s="468"/>
      <c r="IT61" s="468"/>
      <c r="IU61" s="468"/>
      <c r="IV61" s="468"/>
      <c r="IW61" s="468"/>
      <c r="IX61" s="468"/>
      <c r="IY61" s="468"/>
      <c r="IZ61" s="468"/>
      <c r="JA61" s="468"/>
    </row>
    <row r="62" spans="1:267" ht="18.899999999999999" customHeight="1">
      <c r="A62" s="468"/>
      <c r="B62" s="468"/>
      <c r="C62" s="473"/>
      <c r="D62" s="473"/>
      <c r="E62" s="473"/>
      <c r="F62" s="473"/>
      <c r="G62" s="468"/>
      <c r="H62" s="468"/>
      <c r="I62" s="468"/>
      <c r="J62" s="468"/>
      <c r="K62" s="468"/>
      <c r="L62" s="468"/>
      <c r="M62" s="468"/>
      <c r="N62" s="468"/>
      <c r="O62" s="468"/>
      <c r="P62" s="468"/>
      <c r="Q62" s="468"/>
      <c r="R62" s="468"/>
      <c r="S62" s="468"/>
      <c r="T62" s="468"/>
      <c r="U62" s="468"/>
      <c r="V62" s="468"/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468"/>
      <c r="AI62" s="468"/>
      <c r="AJ62" s="468"/>
      <c r="AK62" s="468"/>
      <c r="AL62" s="468"/>
      <c r="AM62" s="468"/>
      <c r="AN62" s="468"/>
      <c r="AO62" s="468"/>
      <c r="AP62" s="468"/>
      <c r="AQ62" s="468"/>
      <c r="AR62" s="468"/>
      <c r="AS62" s="468"/>
      <c r="AT62" s="468"/>
      <c r="AU62" s="468"/>
      <c r="AV62" s="468"/>
      <c r="AW62" s="468"/>
      <c r="AX62" s="468"/>
      <c r="AY62" s="468"/>
      <c r="AZ62" s="468"/>
      <c r="BA62" s="468"/>
      <c r="BB62" s="468"/>
      <c r="BC62" s="468"/>
      <c r="BD62" s="468"/>
      <c r="BE62" s="468"/>
      <c r="BF62" s="468"/>
      <c r="BG62" s="468"/>
      <c r="BH62" s="468"/>
      <c r="BI62" s="468"/>
      <c r="BJ62" s="468"/>
      <c r="BK62" s="468"/>
      <c r="BL62" s="468"/>
      <c r="BM62" s="468"/>
      <c r="BN62" s="468"/>
      <c r="BO62" s="468"/>
      <c r="BP62" s="468"/>
      <c r="BQ62" s="468"/>
      <c r="BR62" s="468"/>
      <c r="BS62" s="468"/>
      <c r="BT62" s="468"/>
      <c r="BU62" s="468"/>
      <c r="BV62" s="468"/>
      <c r="BW62" s="468"/>
      <c r="BX62" s="468"/>
      <c r="BY62" s="468"/>
      <c r="BZ62" s="468"/>
      <c r="CA62" s="468"/>
      <c r="CB62" s="468"/>
      <c r="CC62" s="468"/>
      <c r="CD62" s="468"/>
      <c r="CE62" s="468"/>
      <c r="CF62" s="468"/>
      <c r="CG62" s="468"/>
      <c r="CH62" s="468"/>
      <c r="CI62" s="468"/>
      <c r="CJ62" s="468"/>
      <c r="CK62" s="468"/>
      <c r="CL62" s="468"/>
      <c r="CM62" s="468"/>
      <c r="CN62" s="468"/>
      <c r="CO62" s="468"/>
      <c r="CP62" s="468"/>
      <c r="CQ62" s="468"/>
      <c r="CR62" s="468"/>
      <c r="CS62" s="468"/>
      <c r="CT62" s="468"/>
      <c r="CU62" s="468"/>
      <c r="CV62" s="468"/>
      <c r="CW62" s="468"/>
      <c r="CX62" s="468"/>
      <c r="CY62" s="468"/>
      <c r="CZ62" s="468"/>
      <c r="DA62" s="468"/>
      <c r="DB62" s="468"/>
      <c r="DC62" s="468"/>
      <c r="DD62" s="468"/>
      <c r="DE62" s="468"/>
      <c r="DF62" s="468"/>
      <c r="DG62" s="468"/>
      <c r="DH62" s="468"/>
      <c r="DI62" s="468"/>
      <c r="DJ62" s="468"/>
      <c r="DK62" s="468"/>
      <c r="DL62" s="468"/>
      <c r="DM62" s="468"/>
      <c r="DN62" s="471"/>
      <c r="DO62" s="468"/>
      <c r="DP62" s="468"/>
      <c r="DQ62" s="468"/>
      <c r="DR62" s="468"/>
      <c r="DS62" s="468"/>
      <c r="DT62" s="468"/>
      <c r="DU62" s="468"/>
      <c r="DV62" s="468"/>
      <c r="DW62" s="468"/>
      <c r="DX62" s="468"/>
      <c r="DY62" s="468"/>
      <c r="DZ62" s="468"/>
      <c r="EA62" s="468"/>
      <c r="EB62" s="468"/>
      <c r="EC62" s="468"/>
      <c r="ED62" s="468"/>
      <c r="EE62" s="468"/>
      <c r="EF62" s="468"/>
      <c r="EG62" s="468"/>
      <c r="EH62" s="468"/>
      <c r="EI62" s="468"/>
      <c r="EJ62" s="468"/>
      <c r="EK62" s="468"/>
      <c r="EL62" s="468"/>
      <c r="EM62" s="468"/>
      <c r="EN62" s="468"/>
      <c r="EO62" s="468"/>
      <c r="EP62" s="468"/>
      <c r="EQ62" s="468"/>
      <c r="ER62" s="468"/>
      <c r="ES62" s="468"/>
      <c r="ET62" s="468"/>
      <c r="EU62" s="468"/>
      <c r="EV62" s="468"/>
      <c r="EW62" s="468"/>
      <c r="EX62" s="468"/>
      <c r="EY62" s="468"/>
      <c r="EZ62" s="468"/>
      <c r="FA62" s="468"/>
      <c r="FB62" s="468"/>
      <c r="FC62" s="468"/>
      <c r="FD62" s="468"/>
      <c r="FE62" s="468"/>
      <c r="FF62" s="468"/>
      <c r="FG62" s="468"/>
      <c r="FH62" s="468"/>
      <c r="FI62" s="468"/>
      <c r="FJ62" s="468"/>
      <c r="FK62" s="468"/>
      <c r="FL62" s="468"/>
      <c r="FM62" s="468"/>
      <c r="FN62" s="468"/>
      <c r="FO62" s="468"/>
      <c r="FP62" s="468"/>
      <c r="FQ62" s="468"/>
      <c r="FR62" s="468"/>
      <c r="FS62" s="468"/>
      <c r="FT62" s="468"/>
      <c r="FU62" s="468"/>
      <c r="FV62" s="468"/>
      <c r="FW62" s="468"/>
      <c r="FX62" s="468"/>
      <c r="FY62" s="468"/>
      <c r="FZ62" s="468"/>
      <c r="GA62" s="468"/>
      <c r="GB62" s="468"/>
      <c r="GC62" s="468"/>
      <c r="GD62" s="468"/>
      <c r="GE62" s="468"/>
      <c r="GF62" s="468"/>
      <c r="GG62" s="468"/>
      <c r="GH62" s="468"/>
      <c r="GI62" s="468"/>
      <c r="GJ62" s="468"/>
      <c r="GK62" s="468"/>
      <c r="GL62" s="468"/>
      <c r="GM62" s="468"/>
      <c r="GN62" s="468"/>
      <c r="GO62" s="468"/>
      <c r="GP62" s="468"/>
      <c r="GQ62" s="468"/>
      <c r="GR62" s="468"/>
      <c r="GS62" s="468"/>
      <c r="GT62" s="468"/>
      <c r="GU62" s="468"/>
      <c r="GV62" s="468"/>
      <c r="GW62" s="468"/>
      <c r="GX62" s="468"/>
      <c r="GY62" s="468"/>
      <c r="GZ62" s="468"/>
      <c r="HA62" s="468"/>
      <c r="HB62" s="468"/>
      <c r="HC62" s="468"/>
      <c r="HD62" s="468"/>
      <c r="HE62" s="468"/>
      <c r="HF62" s="468"/>
      <c r="HG62" s="468"/>
      <c r="HH62" s="468"/>
      <c r="HI62" s="468"/>
      <c r="HJ62" s="468"/>
      <c r="HK62" s="468"/>
      <c r="HL62" s="468"/>
      <c r="HM62" s="468"/>
      <c r="HN62" s="468"/>
      <c r="HO62" s="468"/>
      <c r="HP62" s="468"/>
      <c r="HQ62" s="468"/>
      <c r="HR62" s="468"/>
      <c r="HS62" s="468"/>
      <c r="HT62" s="468"/>
      <c r="HU62" s="468"/>
      <c r="HV62" s="468"/>
      <c r="HW62" s="468"/>
      <c r="HX62" s="468"/>
      <c r="HY62" s="468"/>
      <c r="HZ62" s="468"/>
      <c r="IA62" s="468"/>
      <c r="IB62" s="468"/>
      <c r="IC62" s="468"/>
      <c r="ID62" s="468"/>
      <c r="IE62" s="468"/>
      <c r="IF62" s="468"/>
      <c r="IG62" s="468"/>
      <c r="IH62" s="468"/>
      <c r="II62" s="468"/>
      <c r="IJ62" s="468"/>
      <c r="IK62" s="468"/>
      <c r="IL62" s="468"/>
      <c r="IM62" s="468"/>
      <c r="IN62" s="468"/>
      <c r="IO62" s="468"/>
      <c r="IP62" s="468"/>
      <c r="IQ62" s="468"/>
      <c r="IR62" s="468"/>
      <c r="IS62" s="468"/>
      <c r="IT62" s="468"/>
      <c r="IU62" s="468"/>
      <c r="IV62" s="468"/>
      <c r="IW62" s="468"/>
      <c r="IX62" s="468"/>
      <c r="IY62" s="468"/>
      <c r="IZ62" s="468"/>
      <c r="JA62" s="468"/>
    </row>
    <row r="63" spans="1:267" ht="18.899999999999999" customHeight="1">
      <c r="A63" s="468"/>
      <c r="B63" s="468"/>
      <c r="C63" s="473"/>
      <c r="D63" s="473"/>
      <c r="E63" s="473"/>
      <c r="F63" s="473"/>
      <c r="G63" s="468"/>
      <c r="H63" s="468"/>
      <c r="I63" s="468"/>
      <c r="J63" s="468"/>
      <c r="K63" s="468"/>
      <c r="L63" s="468"/>
      <c r="M63" s="468"/>
      <c r="N63" s="468"/>
      <c r="O63" s="468"/>
      <c r="P63" s="468"/>
      <c r="Q63" s="468"/>
      <c r="R63" s="468"/>
      <c r="S63" s="468"/>
      <c r="T63" s="468"/>
      <c r="U63" s="468"/>
      <c r="V63" s="468"/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468"/>
      <c r="AJ63" s="468"/>
      <c r="AK63" s="468"/>
      <c r="AL63" s="468"/>
      <c r="AM63" s="468"/>
      <c r="AN63" s="468"/>
      <c r="AO63" s="468"/>
      <c r="AP63" s="468"/>
      <c r="AQ63" s="468"/>
      <c r="AR63" s="468"/>
      <c r="AS63" s="468"/>
      <c r="AT63" s="468"/>
      <c r="AU63" s="468"/>
      <c r="AV63" s="468"/>
      <c r="AW63" s="468"/>
      <c r="AX63" s="468"/>
      <c r="AY63" s="468"/>
      <c r="AZ63" s="468"/>
      <c r="BA63" s="468"/>
      <c r="BB63" s="468"/>
      <c r="BC63" s="468"/>
      <c r="BD63" s="468"/>
      <c r="BE63" s="468"/>
      <c r="BF63" s="468"/>
      <c r="BG63" s="468"/>
      <c r="BH63" s="468"/>
      <c r="BI63" s="468"/>
      <c r="BJ63" s="468"/>
      <c r="BK63" s="468"/>
      <c r="BL63" s="468"/>
      <c r="BM63" s="468"/>
      <c r="BN63" s="468"/>
      <c r="BO63" s="468"/>
      <c r="BP63" s="468"/>
      <c r="BQ63" s="468"/>
      <c r="BR63" s="468"/>
      <c r="BS63" s="468"/>
      <c r="BT63" s="468"/>
      <c r="BU63" s="468"/>
      <c r="BV63" s="468"/>
      <c r="BW63" s="468"/>
      <c r="BX63" s="468"/>
      <c r="BY63" s="468"/>
      <c r="BZ63" s="468"/>
      <c r="CA63" s="468"/>
      <c r="CB63" s="468"/>
      <c r="CC63" s="468"/>
      <c r="CD63" s="468"/>
      <c r="CE63" s="468"/>
      <c r="CF63" s="468"/>
      <c r="CG63" s="468"/>
      <c r="CH63" s="468"/>
      <c r="CI63" s="468"/>
      <c r="CJ63" s="468"/>
      <c r="CK63" s="468"/>
      <c r="CL63" s="468"/>
      <c r="CM63" s="468"/>
      <c r="CN63" s="468"/>
      <c r="CO63" s="468"/>
      <c r="CP63" s="468"/>
      <c r="CQ63" s="468"/>
      <c r="CR63" s="468"/>
      <c r="CS63" s="468"/>
      <c r="CT63" s="468"/>
      <c r="CU63" s="468"/>
      <c r="CV63" s="468"/>
      <c r="CW63" s="468"/>
      <c r="CX63" s="468"/>
      <c r="CY63" s="468"/>
      <c r="CZ63" s="468"/>
      <c r="DA63" s="468"/>
      <c r="DB63" s="468"/>
      <c r="DC63" s="468"/>
      <c r="DD63" s="468"/>
      <c r="DE63" s="468"/>
      <c r="DF63" s="468"/>
      <c r="DG63" s="468"/>
      <c r="DH63" s="468"/>
      <c r="DI63" s="468"/>
      <c r="DJ63" s="468"/>
      <c r="DK63" s="468"/>
      <c r="DL63" s="468"/>
      <c r="DM63" s="468"/>
      <c r="DN63" s="471"/>
      <c r="DO63" s="468"/>
      <c r="DP63" s="468"/>
      <c r="DQ63" s="468"/>
      <c r="DR63" s="468"/>
      <c r="DS63" s="468"/>
      <c r="DT63" s="468"/>
      <c r="DU63" s="468"/>
      <c r="DV63" s="468"/>
      <c r="DW63" s="468"/>
      <c r="DX63" s="468"/>
      <c r="DY63" s="468"/>
      <c r="DZ63" s="468"/>
      <c r="EA63" s="468"/>
      <c r="EB63" s="468"/>
      <c r="EC63" s="468"/>
      <c r="ED63" s="468"/>
      <c r="EE63" s="468"/>
      <c r="EF63" s="468"/>
      <c r="EG63" s="468"/>
      <c r="EH63" s="468"/>
      <c r="EI63" s="468"/>
      <c r="EJ63" s="468"/>
      <c r="EK63" s="468"/>
      <c r="EL63" s="468"/>
      <c r="EM63" s="468"/>
      <c r="EN63" s="468"/>
      <c r="EO63" s="468"/>
      <c r="EP63" s="468"/>
      <c r="EQ63" s="468"/>
      <c r="ER63" s="468"/>
      <c r="ES63" s="468"/>
      <c r="ET63" s="468"/>
      <c r="EU63" s="468"/>
      <c r="EV63" s="468"/>
      <c r="EW63" s="468"/>
      <c r="EX63" s="468"/>
      <c r="EY63" s="468"/>
      <c r="EZ63" s="468"/>
      <c r="FA63" s="468"/>
      <c r="FB63" s="468"/>
      <c r="FC63" s="468"/>
      <c r="FD63" s="468"/>
      <c r="FE63" s="468"/>
      <c r="FF63" s="468"/>
      <c r="FG63" s="468"/>
      <c r="FH63" s="468"/>
      <c r="FI63" s="468"/>
      <c r="FJ63" s="468"/>
      <c r="FK63" s="468"/>
      <c r="FL63" s="468"/>
      <c r="FM63" s="468"/>
      <c r="FN63" s="468"/>
      <c r="FO63" s="468"/>
      <c r="FP63" s="468"/>
      <c r="FQ63" s="468"/>
      <c r="FR63" s="468"/>
      <c r="FS63" s="468"/>
      <c r="FT63" s="468"/>
      <c r="FU63" s="468"/>
      <c r="FV63" s="468"/>
      <c r="FW63" s="468"/>
      <c r="FX63" s="468"/>
      <c r="FY63" s="468"/>
      <c r="FZ63" s="468"/>
      <c r="GA63" s="468"/>
      <c r="GB63" s="468"/>
      <c r="GC63" s="468"/>
      <c r="GD63" s="468"/>
      <c r="GE63" s="468"/>
      <c r="GF63" s="468"/>
      <c r="GG63" s="468"/>
      <c r="GH63" s="468"/>
      <c r="GI63" s="468"/>
      <c r="GJ63" s="468"/>
      <c r="GK63" s="468"/>
      <c r="GL63" s="468"/>
      <c r="GM63" s="468"/>
      <c r="GN63" s="468"/>
      <c r="GO63" s="468"/>
      <c r="GP63" s="468"/>
      <c r="GQ63" s="468"/>
      <c r="GR63" s="468"/>
      <c r="GS63" s="468"/>
      <c r="GT63" s="468"/>
      <c r="GU63" s="468"/>
      <c r="GV63" s="468"/>
      <c r="GW63" s="468"/>
      <c r="GX63" s="468"/>
      <c r="GY63" s="468"/>
      <c r="GZ63" s="468"/>
      <c r="HA63" s="468"/>
      <c r="HB63" s="468"/>
      <c r="HC63" s="468"/>
      <c r="HD63" s="468"/>
      <c r="HE63" s="468"/>
      <c r="HF63" s="468"/>
      <c r="HG63" s="468"/>
      <c r="HH63" s="468"/>
      <c r="HI63" s="468"/>
      <c r="HJ63" s="468"/>
      <c r="HK63" s="468"/>
      <c r="HL63" s="468"/>
      <c r="HM63" s="468"/>
      <c r="HN63" s="468"/>
      <c r="HO63" s="468"/>
      <c r="HP63" s="468"/>
      <c r="HQ63" s="468"/>
      <c r="HR63" s="468"/>
      <c r="HS63" s="468"/>
      <c r="HT63" s="468"/>
      <c r="HU63" s="468"/>
      <c r="HV63" s="468"/>
      <c r="HW63" s="468"/>
      <c r="HX63" s="468"/>
      <c r="HY63" s="468"/>
      <c r="HZ63" s="468"/>
      <c r="IA63" s="468"/>
      <c r="IB63" s="468"/>
      <c r="IC63" s="468"/>
      <c r="ID63" s="468"/>
      <c r="IE63" s="468"/>
      <c r="IF63" s="468"/>
      <c r="IG63" s="468"/>
      <c r="IH63" s="468"/>
      <c r="II63" s="468"/>
      <c r="IJ63" s="468"/>
      <c r="IK63" s="468"/>
      <c r="IL63" s="468"/>
      <c r="IM63" s="468"/>
      <c r="IN63" s="468"/>
      <c r="IO63" s="468"/>
      <c r="IP63" s="468"/>
      <c r="IQ63" s="468"/>
      <c r="IR63" s="468"/>
      <c r="IS63" s="468"/>
      <c r="IT63" s="468"/>
      <c r="IU63" s="468"/>
      <c r="IV63" s="468"/>
      <c r="IW63" s="468"/>
      <c r="IX63" s="468"/>
      <c r="IY63" s="468"/>
      <c r="IZ63" s="468"/>
      <c r="JA63" s="468"/>
    </row>
    <row r="64" spans="1:267" ht="18.899999999999999" customHeight="1">
      <c r="A64" s="468"/>
      <c r="B64" s="468"/>
      <c r="C64" s="473"/>
      <c r="D64" s="473"/>
      <c r="E64" s="473"/>
      <c r="F64" s="473"/>
      <c r="G64" s="468"/>
      <c r="H64" s="468"/>
      <c r="I64" s="468"/>
      <c r="J64" s="468"/>
      <c r="K64" s="468"/>
      <c r="L64" s="468"/>
      <c r="M64" s="468"/>
      <c r="N64" s="468"/>
      <c r="O64" s="468"/>
      <c r="P64" s="468"/>
      <c r="Q64" s="468"/>
      <c r="R64" s="468"/>
      <c r="S64" s="468"/>
      <c r="T64" s="468"/>
      <c r="U64" s="468"/>
      <c r="V64" s="468"/>
      <c r="W64" s="468"/>
      <c r="X64" s="468"/>
      <c r="Y64" s="468"/>
      <c r="Z64" s="468"/>
      <c r="AA64" s="468"/>
      <c r="AB64" s="468"/>
      <c r="AC64" s="468"/>
      <c r="AD64" s="468"/>
      <c r="AE64" s="468"/>
      <c r="AF64" s="468"/>
      <c r="AG64" s="468"/>
      <c r="AH64" s="468"/>
      <c r="AI64" s="468"/>
      <c r="AJ64" s="468"/>
      <c r="AK64" s="468"/>
      <c r="AL64" s="468"/>
      <c r="AM64" s="468"/>
      <c r="AN64" s="468"/>
      <c r="AO64" s="468"/>
      <c r="AP64" s="468"/>
      <c r="AQ64" s="468"/>
      <c r="AR64" s="468"/>
      <c r="AS64" s="468"/>
      <c r="AT64" s="468"/>
      <c r="AU64" s="468"/>
      <c r="AV64" s="468"/>
      <c r="AW64" s="468"/>
      <c r="AX64" s="468"/>
      <c r="AY64" s="468"/>
      <c r="AZ64" s="468"/>
      <c r="BA64" s="468"/>
      <c r="BB64" s="468"/>
      <c r="BC64" s="468"/>
      <c r="BD64" s="468"/>
      <c r="BE64" s="468"/>
      <c r="BF64" s="468"/>
      <c r="BG64" s="468"/>
      <c r="BH64" s="468"/>
      <c r="BI64" s="468"/>
      <c r="BJ64" s="468"/>
      <c r="BK64" s="468"/>
      <c r="BL64" s="468"/>
      <c r="BM64" s="468"/>
      <c r="BN64" s="468"/>
      <c r="BO64" s="468"/>
      <c r="BP64" s="468"/>
      <c r="BQ64" s="468"/>
      <c r="BR64" s="468"/>
      <c r="BS64" s="468"/>
      <c r="BT64" s="468"/>
      <c r="BU64" s="468"/>
      <c r="BV64" s="468"/>
      <c r="BW64" s="468"/>
      <c r="BX64" s="468"/>
      <c r="BY64" s="468"/>
      <c r="BZ64" s="468"/>
      <c r="CA64" s="468"/>
      <c r="CB64" s="468"/>
      <c r="CC64" s="468"/>
      <c r="CD64" s="468"/>
      <c r="CE64" s="468"/>
      <c r="CF64" s="468"/>
      <c r="CG64" s="468"/>
      <c r="CH64" s="468"/>
      <c r="CI64" s="468"/>
      <c r="CJ64" s="468"/>
      <c r="CK64" s="468"/>
      <c r="CL64" s="468"/>
      <c r="CM64" s="468"/>
      <c r="CN64" s="468"/>
      <c r="CO64" s="468"/>
      <c r="CP64" s="468"/>
      <c r="CQ64" s="468"/>
      <c r="CR64" s="468"/>
      <c r="CS64" s="468"/>
      <c r="CT64" s="468"/>
      <c r="CU64" s="468"/>
      <c r="CV64" s="468"/>
      <c r="CW64" s="468"/>
      <c r="CX64" s="468"/>
      <c r="CY64" s="468"/>
      <c r="CZ64" s="468"/>
      <c r="DA64" s="468"/>
      <c r="DB64" s="468"/>
      <c r="DC64" s="468"/>
      <c r="DD64" s="468"/>
      <c r="DE64" s="468"/>
      <c r="DF64" s="468"/>
      <c r="DG64" s="468"/>
      <c r="DH64" s="468"/>
      <c r="DI64" s="468"/>
      <c r="DJ64" s="468"/>
      <c r="DK64" s="468"/>
      <c r="DL64" s="468"/>
      <c r="DM64" s="468"/>
      <c r="DN64" s="471"/>
      <c r="DO64" s="468"/>
      <c r="DP64" s="468"/>
      <c r="DQ64" s="468"/>
      <c r="DR64" s="468"/>
      <c r="DS64" s="468"/>
      <c r="DT64" s="468"/>
      <c r="DU64" s="468"/>
      <c r="DV64" s="468"/>
      <c r="DW64" s="468"/>
      <c r="DX64" s="468"/>
      <c r="DY64" s="468"/>
      <c r="DZ64" s="468"/>
      <c r="EA64" s="468"/>
      <c r="EB64" s="468"/>
      <c r="EC64" s="468"/>
      <c r="ED64" s="468"/>
      <c r="EE64" s="468"/>
      <c r="EF64" s="468"/>
      <c r="EG64" s="468"/>
      <c r="EH64" s="468"/>
      <c r="EI64" s="468"/>
      <c r="EJ64" s="468"/>
      <c r="EK64" s="468"/>
      <c r="EL64" s="468"/>
      <c r="EM64" s="468"/>
      <c r="EN64" s="468"/>
      <c r="EO64" s="468"/>
      <c r="EP64" s="468"/>
      <c r="EQ64" s="468"/>
      <c r="ER64" s="468"/>
      <c r="ES64" s="468"/>
      <c r="ET64" s="468"/>
      <c r="EU64" s="468"/>
      <c r="EV64" s="468"/>
      <c r="EW64" s="468"/>
      <c r="EX64" s="468"/>
      <c r="EY64" s="468"/>
      <c r="EZ64" s="468"/>
      <c r="FA64" s="468"/>
      <c r="FB64" s="468"/>
      <c r="FC64" s="468"/>
      <c r="FD64" s="468"/>
      <c r="FE64" s="468"/>
      <c r="FF64" s="468"/>
      <c r="FG64" s="468"/>
      <c r="FH64" s="468"/>
      <c r="FI64" s="468"/>
      <c r="FJ64" s="468"/>
      <c r="FK64" s="468"/>
      <c r="FL64" s="468"/>
      <c r="FM64" s="468"/>
      <c r="FN64" s="468"/>
      <c r="FO64" s="468"/>
      <c r="FP64" s="468"/>
      <c r="FQ64" s="468"/>
      <c r="FR64" s="468"/>
      <c r="FS64" s="468"/>
      <c r="FT64" s="468"/>
      <c r="FU64" s="468"/>
      <c r="FV64" s="468"/>
      <c r="FW64" s="468"/>
      <c r="FX64" s="468"/>
      <c r="FY64" s="468"/>
      <c r="FZ64" s="468"/>
      <c r="GA64" s="468"/>
      <c r="GB64" s="468"/>
      <c r="GC64" s="468"/>
      <c r="GD64" s="468"/>
      <c r="GE64" s="468"/>
      <c r="GF64" s="468"/>
      <c r="GG64" s="468"/>
      <c r="GH64" s="468"/>
      <c r="GI64" s="468"/>
      <c r="GJ64" s="468"/>
      <c r="GK64" s="468"/>
      <c r="GL64" s="468"/>
      <c r="GM64" s="468"/>
      <c r="GN64" s="468"/>
      <c r="GO64" s="468"/>
      <c r="GP64" s="468"/>
      <c r="GQ64" s="468"/>
      <c r="GR64" s="468"/>
      <c r="GS64" s="468"/>
      <c r="GT64" s="468"/>
      <c r="GU64" s="468"/>
      <c r="GV64" s="468"/>
      <c r="GW64" s="468"/>
      <c r="GX64" s="468"/>
      <c r="GY64" s="468"/>
      <c r="GZ64" s="468"/>
      <c r="HA64" s="468"/>
      <c r="HB64" s="468"/>
      <c r="HC64" s="468"/>
      <c r="HD64" s="468"/>
      <c r="HE64" s="468"/>
      <c r="HF64" s="468"/>
      <c r="HG64" s="468"/>
      <c r="HH64" s="468"/>
      <c r="HI64" s="468"/>
      <c r="HJ64" s="468"/>
      <c r="HK64" s="468"/>
      <c r="HL64" s="468"/>
      <c r="HM64" s="468"/>
      <c r="HN64" s="468"/>
      <c r="HO64" s="468"/>
      <c r="HP64" s="468"/>
      <c r="HQ64" s="468"/>
      <c r="HR64" s="468"/>
      <c r="HS64" s="468"/>
      <c r="HT64" s="468"/>
      <c r="HU64" s="468"/>
      <c r="HV64" s="468"/>
      <c r="HW64" s="468"/>
      <c r="HX64" s="468"/>
      <c r="HY64" s="468"/>
      <c r="HZ64" s="468"/>
      <c r="IA64" s="468"/>
      <c r="IB64" s="468"/>
      <c r="IC64" s="468"/>
      <c r="ID64" s="468"/>
      <c r="IE64" s="468"/>
      <c r="IF64" s="468"/>
      <c r="IG64" s="468"/>
      <c r="IH64" s="468"/>
      <c r="II64" s="468"/>
      <c r="IJ64" s="468"/>
      <c r="IK64" s="468"/>
      <c r="IL64" s="468"/>
      <c r="IM64" s="468"/>
      <c r="IN64" s="468"/>
      <c r="IO64" s="468"/>
      <c r="IP64" s="468"/>
      <c r="IQ64" s="468"/>
      <c r="IR64" s="468"/>
      <c r="IS64" s="468"/>
      <c r="IT64" s="468"/>
      <c r="IU64" s="468"/>
      <c r="IV64" s="468"/>
      <c r="IW64" s="468"/>
      <c r="IX64" s="468"/>
      <c r="IY64" s="468"/>
      <c r="IZ64" s="468"/>
      <c r="JA64" s="468"/>
    </row>
    <row r="65" spans="1:261" ht="18.899999999999999" customHeight="1">
      <c r="A65" s="468"/>
      <c r="B65" s="468"/>
      <c r="C65" s="473"/>
      <c r="D65" s="473"/>
      <c r="E65" s="473"/>
      <c r="F65" s="473"/>
      <c r="G65" s="468"/>
      <c r="H65" s="468"/>
      <c r="I65" s="468"/>
      <c r="J65" s="468"/>
      <c r="K65" s="468"/>
      <c r="L65" s="468"/>
      <c r="M65" s="468"/>
      <c r="N65" s="468"/>
      <c r="O65" s="468"/>
      <c r="P65" s="468"/>
      <c r="Q65" s="468"/>
      <c r="R65" s="468"/>
      <c r="S65" s="468"/>
      <c r="T65" s="468"/>
      <c r="U65" s="468"/>
      <c r="V65" s="468"/>
      <c r="W65" s="468"/>
      <c r="X65" s="468"/>
      <c r="Y65" s="468"/>
      <c r="Z65" s="468"/>
      <c r="AA65" s="468"/>
      <c r="AB65" s="468"/>
      <c r="AC65" s="468"/>
      <c r="AD65" s="468"/>
      <c r="AE65" s="468"/>
      <c r="AF65" s="468"/>
      <c r="AG65" s="468"/>
      <c r="AH65" s="468"/>
      <c r="AI65" s="468"/>
      <c r="AJ65" s="468"/>
      <c r="AK65" s="468"/>
      <c r="AL65" s="468"/>
      <c r="AM65" s="468"/>
      <c r="AN65" s="468"/>
      <c r="AO65" s="468"/>
      <c r="AP65" s="468"/>
      <c r="AQ65" s="468"/>
      <c r="AR65" s="468"/>
      <c r="AS65" s="468"/>
      <c r="AT65" s="468"/>
      <c r="AU65" s="468"/>
      <c r="AV65" s="468"/>
      <c r="AW65" s="468"/>
      <c r="AX65" s="468"/>
      <c r="AY65" s="468"/>
      <c r="AZ65" s="468"/>
      <c r="BA65" s="468"/>
      <c r="BB65" s="468"/>
      <c r="BC65" s="468"/>
      <c r="BD65" s="468"/>
      <c r="BE65" s="468"/>
      <c r="BF65" s="468"/>
      <c r="BG65" s="468"/>
      <c r="BH65" s="468"/>
      <c r="BI65" s="468"/>
      <c r="BJ65" s="468"/>
      <c r="BK65" s="468"/>
      <c r="BL65" s="468"/>
      <c r="BM65" s="468"/>
      <c r="BN65" s="468"/>
      <c r="BO65" s="468"/>
      <c r="BP65" s="468"/>
      <c r="BQ65" s="468"/>
      <c r="BR65" s="468"/>
      <c r="BS65" s="468"/>
      <c r="BT65" s="468"/>
      <c r="BU65" s="468"/>
      <c r="BV65" s="468"/>
      <c r="BW65" s="468"/>
      <c r="BX65" s="468"/>
      <c r="BY65" s="468"/>
      <c r="BZ65" s="468"/>
      <c r="CA65" s="468"/>
      <c r="CB65" s="468"/>
      <c r="CC65" s="468"/>
      <c r="CD65" s="468"/>
      <c r="CE65" s="468"/>
      <c r="CF65" s="468"/>
      <c r="CG65" s="468"/>
      <c r="CH65" s="468"/>
      <c r="CI65" s="468"/>
      <c r="CJ65" s="468"/>
      <c r="CK65" s="468"/>
      <c r="CL65" s="468"/>
      <c r="CM65" s="468"/>
      <c r="CN65" s="468"/>
      <c r="CO65" s="468"/>
      <c r="CP65" s="468"/>
      <c r="CQ65" s="468"/>
      <c r="CR65" s="468"/>
      <c r="CS65" s="468"/>
      <c r="CT65" s="468"/>
      <c r="CU65" s="468"/>
      <c r="CV65" s="468"/>
      <c r="CW65" s="468"/>
      <c r="CX65" s="468"/>
      <c r="CY65" s="468"/>
      <c r="CZ65" s="468"/>
      <c r="DA65" s="468"/>
      <c r="DB65" s="468"/>
      <c r="DC65" s="468"/>
      <c r="DD65" s="468"/>
      <c r="DE65" s="468"/>
      <c r="DF65" s="468"/>
      <c r="DG65" s="468"/>
      <c r="DH65" s="468"/>
      <c r="DI65" s="468"/>
      <c r="DJ65" s="468"/>
      <c r="DK65" s="468"/>
      <c r="DL65" s="468"/>
      <c r="DM65" s="468"/>
      <c r="DN65" s="471"/>
      <c r="DO65" s="468"/>
      <c r="DP65" s="468"/>
      <c r="DQ65" s="468"/>
      <c r="DR65" s="468"/>
      <c r="DS65" s="468"/>
      <c r="DT65" s="468"/>
      <c r="DU65" s="468"/>
      <c r="DV65" s="468"/>
      <c r="DW65" s="468"/>
      <c r="DX65" s="468"/>
      <c r="DY65" s="468"/>
      <c r="DZ65" s="468"/>
      <c r="EA65" s="468"/>
      <c r="EB65" s="468"/>
      <c r="EC65" s="468"/>
      <c r="ED65" s="468"/>
      <c r="EE65" s="468"/>
      <c r="EF65" s="468"/>
      <c r="EG65" s="468"/>
      <c r="EH65" s="468"/>
      <c r="EI65" s="468"/>
      <c r="EJ65" s="468"/>
      <c r="EK65" s="468"/>
      <c r="EL65" s="468"/>
      <c r="EM65" s="468"/>
      <c r="EN65" s="468"/>
      <c r="EO65" s="468"/>
      <c r="EP65" s="468"/>
      <c r="EQ65" s="468"/>
      <c r="ER65" s="468"/>
      <c r="ES65" s="468"/>
      <c r="ET65" s="468"/>
      <c r="EU65" s="468"/>
      <c r="EV65" s="468"/>
      <c r="EW65" s="468"/>
      <c r="EX65" s="468"/>
      <c r="EY65" s="468"/>
      <c r="EZ65" s="468"/>
      <c r="FA65" s="468"/>
      <c r="FB65" s="468"/>
      <c r="FC65" s="468"/>
      <c r="FD65" s="468"/>
      <c r="FE65" s="468"/>
      <c r="FF65" s="468"/>
      <c r="FG65" s="468"/>
      <c r="FH65" s="468"/>
      <c r="FI65" s="468"/>
      <c r="FJ65" s="468"/>
      <c r="FK65" s="468"/>
      <c r="FL65" s="468"/>
      <c r="FM65" s="468"/>
      <c r="FN65" s="468"/>
      <c r="FO65" s="468"/>
      <c r="FP65" s="468"/>
      <c r="FQ65" s="468"/>
      <c r="FR65" s="468"/>
      <c r="FS65" s="468"/>
      <c r="FT65" s="468"/>
      <c r="FU65" s="468"/>
      <c r="FV65" s="468"/>
      <c r="FW65" s="468"/>
      <c r="FX65" s="468"/>
      <c r="FY65" s="468"/>
      <c r="FZ65" s="468"/>
      <c r="GA65" s="468"/>
      <c r="GB65" s="468"/>
      <c r="GC65" s="468"/>
      <c r="GD65" s="468"/>
      <c r="GE65" s="468"/>
      <c r="GF65" s="468"/>
      <c r="GG65" s="468"/>
      <c r="GH65" s="468"/>
      <c r="GI65" s="468"/>
      <c r="GJ65" s="468"/>
      <c r="GK65" s="468"/>
      <c r="GL65" s="468"/>
      <c r="GM65" s="468"/>
      <c r="GN65" s="468"/>
      <c r="GO65" s="468"/>
      <c r="GP65" s="468"/>
      <c r="GQ65" s="468"/>
      <c r="GR65" s="468"/>
      <c r="GS65" s="468"/>
      <c r="GT65" s="468"/>
      <c r="GU65" s="468"/>
      <c r="GV65" s="468"/>
      <c r="GW65" s="468"/>
      <c r="GX65" s="468"/>
      <c r="GY65" s="468"/>
      <c r="GZ65" s="468"/>
      <c r="HA65" s="468"/>
      <c r="HB65" s="468"/>
      <c r="HC65" s="468"/>
      <c r="HD65" s="468"/>
      <c r="HE65" s="468"/>
      <c r="HF65" s="468"/>
      <c r="HG65" s="468"/>
      <c r="HH65" s="468"/>
      <c r="HI65" s="468"/>
      <c r="HJ65" s="468"/>
      <c r="HK65" s="468"/>
      <c r="HL65" s="468"/>
      <c r="HM65" s="468"/>
      <c r="HN65" s="468"/>
      <c r="HO65" s="468"/>
      <c r="HP65" s="468"/>
      <c r="HQ65" s="468"/>
      <c r="HR65" s="468"/>
      <c r="HS65" s="468"/>
      <c r="HT65" s="468"/>
      <c r="HU65" s="468"/>
      <c r="HV65" s="468"/>
      <c r="HW65" s="468"/>
      <c r="HX65" s="468"/>
      <c r="HY65" s="468"/>
      <c r="HZ65" s="468"/>
      <c r="IA65" s="468"/>
      <c r="IB65" s="468"/>
      <c r="IC65" s="468"/>
      <c r="ID65" s="468"/>
      <c r="IE65" s="468"/>
      <c r="IF65" s="468"/>
      <c r="IG65" s="468"/>
      <c r="IH65" s="468"/>
      <c r="II65" s="468"/>
      <c r="IJ65" s="468"/>
      <c r="IK65" s="468"/>
      <c r="IL65" s="468"/>
      <c r="IM65" s="468"/>
      <c r="IN65" s="468"/>
      <c r="IO65" s="468"/>
      <c r="IP65" s="468"/>
      <c r="IQ65" s="468"/>
      <c r="IR65" s="468"/>
      <c r="IS65" s="468"/>
      <c r="IT65" s="468"/>
      <c r="IU65" s="468"/>
      <c r="IV65" s="468"/>
      <c r="IW65" s="468"/>
      <c r="IX65" s="468"/>
      <c r="IY65" s="468"/>
      <c r="IZ65" s="468"/>
      <c r="JA65" s="468"/>
    </row>
    <row r="66" spans="1:261" ht="18.899999999999999" customHeight="1">
      <c r="A66" s="468"/>
      <c r="B66" s="468"/>
      <c r="C66" s="473"/>
      <c r="D66" s="473"/>
      <c r="E66" s="473"/>
      <c r="F66" s="473"/>
      <c r="G66" s="468"/>
      <c r="H66" s="468"/>
      <c r="I66" s="468"/>
      <c r="J66" s="468"/>
      <c r="K66" s="468"/>
      <c r="L66" s="468"/>
      <c r="M66" s="468"/>
      <c r="N66" s="468"/>
      <c r="O66" s="468"/>
      <c r="P66" s="468"/>
      <c r="Q66" s="468"/>
      <c r="R66" s="468"/>
      <c r="S66" s="468"/>
      <c r="T66" s="468"/>
      <c r="U66" s="468"/>
      <c r="V66" s="468"/>
      <c r="W66" s="468"/>
      <c r="X66" s="468"/>
      <c r="Y66" s="468"/>
      <c r="Z66" s="468"/>
      <c r="AA66" s="468"/>
      <c r="AB66" s="468"/>
      <c r="AC66" s="468"/>
      <c r="AD66" s="468"/>
      <c r="AE66" s="468"/>
      <c r="AF66" s="468"/>
      <c r="AG66" s="468"/>
      <c r="AH66" s="468"/>
      <c r="AI66" s="468"/>
      <c r="AJ66" s="468"/>
      <c r="AK66" s="468"/>
      <c r="AL66" s="468"/>
      <c r="AM66" s="468"/>
      <c r="AN66" s="468"/>
      <c r="AO66" s="468"/>
      <c r="AP66" s="468"/>
      <c r="AQ66" s="468"/>
      <c r="AR66" s="468"/>
      <c r="AS66" s="468"/>
      <c r="AT66" s="468"/>
      <c r="AU66" s="468"/>
      <c r="AV66" s="468"/>
      <c r="AW66" s="468"/>
      <c r="AX66" s="468"/>
      <c r="AY66" s="468"/>
      <c r="AZ66" s="468"/>
      <c r="BA66" s="468"/>
      <c r="BB66" s="468"/>
      <c r="BC66" s="468"/>
      <c r="BD66" s="468"/>
      <c r="BE66" s="468"/>
      <c r="BF66" s="468"/>
      <c r="BG66" s="468"/>
      <c r="BH66" s="468"/>
      <c r="BI66" s="468"/>
      <c r="BJ66" s="468"/>
      <c r="BK66" s="468"/>
      <c r="BL66" s="468"/>
      <c r="BM66" s="468"/>
      <c r="BN66" s="468"/>
      <c r="BO66" s="468"/>
      <c r="BP66" s="468"/>
      <c r="BQ66" s="468"/>
      <c r="BR66" s="468"/>
      <c r="BS66" s="468"/>
      <c r="BT66" s="468"/>
      <c r="BU66" s="468"/>
      <c r="BV66" s="468"/>
      <c r="BW66" s="468"/>
      <c r="BX66" s="468"/>
      <c r="BY66" s="468"/>
      <c r="BZ66" s="468"/>
      <c r="CA66" s="468"/>
      <c r="CB66" s="468"/>
      <c r="CC66" s="468"/>
      <c r="CD66" s="468"/>
      <c r="CE66" s="468"/>
      <c r="CF66" s="468"/>
      <c r="CG66" s="468"/>
      <c r="CH66" s="468"/>
      <c r="CI66" s="468"/>
      <c r="CJ66" s="468"/>
      <c r="CK66" s="468"/>
      <c r="CL66" s="468"/>
      <c r="CM66" s="468"/>
      <c r="CN66" s="468"/>
      <c r="CO66" s="468"/>
      <c r="CP66" s="468"/>
      <c r="CQ66" s="468"/>
      <c r="CR66" s="468"/>
      <c r="CS66" s="468"/>
      <c r="CT66" s="468"/>
      <c r="CU66" s="468"/>
      <c r="CV66" s="468"/>
      <c r="CW66" s="468"/>
      <c r="CX66" s="468"/>
      <c r="CY66" s="468"/>
      <c r="CZ66" s="468"/>
      <c r="DA66" s="468"/>
      <c r="DB66" s="468"/>
      <c r="DC66" s="468"/>
      <c r="DD66" s="468"/>
      <c r="DE66" s="468"/>
      <c r="DF66" s="468"/>
      <c r="DG66" s="468"/>
      <c r="DH66" s="468"/>
      <c r="DI66" s="468"/>
      <c r="DJ66" s="468"/>
      <c r="DK66" s="468"/>
      <c r="DL66" s="468"/>
      <c r="DM66" s="468"/>
      <c r="DN66" s="471"/>
      <c r="DO66" s="468"/>
      <c r="DP66" s="468"/>
      <c r="DQ66" s="468"/>
      <c r="DR66" s="468"/>
      <c r="DS66" s="468"/>
      <c r="DT66" s="468"/>
      <c r="DU66" s="468"/>
      <c r="DV66" s="468"/>
      <c r="DW66" s="468"/>
      <c r="DX66" s="468"/>
      <c r="DY66" s="468"/>
      <c r="DZ66" s="468"/>
      <c r="EA66" s="468"/>
      <c r="EB66" s="468"/>
      <c r="EC66" s="468"/>
      <c r="ED66" s="468"/>
      <c r="EE66" s="468"/>
      <c r="EF66" s="468"/>
      <c r="EG66" s="468"/>
      <c r="EH66" s="468"/>
      <c r="EI66" s="468"/>
      <c r="EJ66" s="468"/>
      <c r="EK66" s="468"/>
      <c r="EL66" s="468"/>
      <c r="EM66" s="468"/>
      <c r="EN66" s="468"/>
      <c r="EO66" s="468"/>
      <c r="EP66" s="468"/>
      <c r="EQ66" s="468"/>
      <c r="ER66" s="468"/>
      <c r="ES66" s="468"/>
      <c r="ET66" s="468"/>
      <c r="EU66" s="468"/>
      <c r="EV66" s="468"/>
      <c r="EW66" s="468"/>
      <c r="EX66" s="468"/>
      <c r="EY66" s="468"/>
      <c r="EZ66" s="468"/>
      <c r="FA66" s="468"/>
      <c r="FB66" s="468"/>
      <c r="FC66" s="468"/>
      <c r="FD66" s="468"/>
      <c r="FE66" s="468"/>
      <c r="FF66" s="468"/>
      <c r="FG66" s="468"/>
      <c r="FH66" s="468"/>
      <c r="FI66" s="468"/>
      <c r="FJ66" s="468"/>
      <c r="FK66" s="468"/>
      <c r="FL66" s="468"/>
      <c r="FM66" s="468"/>
      <c r="FN66" s="468"/>
      <c r="FO66" s="468"/>
      <c r="FP66" s="468"/>
      <c r="FQ66" s="468"/>
      <c r="FR66" s="468"/>
      <c r="FS66" s="468"/>
      <c r="FT66" s="468"/>
      <c r="FU66" s="468"/>
      <c r="FV66" s="468"/>
      <c r="FW66" s="468"/>
      <c r="FX66" s="468"/>
      <c r="FY66" s="468"/>
      <c r="FZ66" s="468"/>
      <c r="GA66" s="468"/>
      <c r="GB66" s="468"/>
      <c r="GC66" s="468"/>
      <c r="GD66" s="468"/>
      <c r="GE66" s="468"/>
      <c r="GF66" s="468"/>
      <c r="GG66" s="468"/>
      <c r="GH66" s="468"/>
      <c r="GI66" s="468"/>
      <c r="GJ66" s="468"/>
      <c r="GK66" s="468"/>
      <c r="GL66" s="468"/>
      <c r="GM66" s="468"/>
      <c r="GN66" s="468"/>
      <c r="GO66" s="468"/>
      <c r="GP66" s="468"/>
      <c r="GQ66" s="468"/>
      <c r="GR66" s="468"/>
      <c r="GS66" s="468"/>
      <c r="GT66" s="468"/>
      <c r="GU66" s="468"/>
      <c r="GV66" s="468"/>
      <c r="GW66" s="468"/>
      <c r="GX66" s="468"/>
      <c r="GY66" s="468"/>
      <c r="GZ66" s="468"/>
      <c r="HA66" s="468"/>
      <c r="HB66" s="468"/>
      <c r="HC66" s="468"/>
      <c r="HD66" s="468"/>
      <c r="HE66" s="468"/>
      <c r="HF66" s="468"/>
      <c r="HG66" s="468"/>
      <c r="HH66" s="468"/>
      <c r="HI66" s="468"/>
      <c r="HJ66" s="468"/>
      <c r="HK66" s="468"/>
      <c r="HL66" s="468"/>
      <c r="HM66" s="468"/>
      <c r="HN66" s="468"/>
      <c r="HO66" s="468"/>
      <c r="HP66" s="468"/>
      <c r="HQ66" s="468"/>
      <c r="HR66" s="468"/>
      <c r="HS66" s="468"/>
      <c r="HT66" s="468"/>
      <c r="HU66" s="468"/>
      <c r="HV66" s="468"/>
      <c r="HW66" s="468"/>
      <c r="HX66" s="468"/>
      <c r="HY66" s="468"/>
      <c r="HZ66" s="468"/>
      <c r="IA66" s="468"/>
      <c r="IB66" s="468"/>
      <c r="IC66" s="468"/>
      <c r="ID66" s="468"/>
      <c r="IE66" s="468"/>
      <c r="IF66" s="468"/>
      <c r="IG66" s="468"/>
      <c r="IH66" s="468"/>
      <c r="II66" s="468"/>
      <c r="IJ66" s="468"/>
      <c r="IK66" s="468"/>
      <c r="IL66" s="468"/>
      <c r="IM66" s="468"/>
      <c r="IN66" s="468"/>
      <c r="IO66" s="468"/>
      <c r="IP66" s="468"/>
      <c r="IQ66" s="468"/>
      <c r="IR66" s="468"/>
      <c r="IS66" s="468"/>
      <c r="IT66" s="468"/>
      <c r="IU66" s="468"/>
      <c r="IV66" s="468"/>
      <c r="IW66" s="468"/>
      <c r="IX66" s="468"/>
      <c r="IY66" s="468"/>
      <c r="IZ66" s="468"/>
      <c r="JA66" s="468"/>
    </row>
    <row r="67" spans="1:261" ht="18.899999999999999" customHeight="1">
      <c r="A67" s="468"/>
      <c r="B67" s="468"/>
      <c r="C67" s="473"/>
      <c r="D67" s="473"/>
      <c r="E67" s="473"/>
      <c r="F67" s="473"/>
      <c r="G67" s="468"/>
      <c r="H67" s="468"/>
      <c r="I67" s="468"/>
      <c r="J67" s="468"/>
      <c r="K67" s="468"/>
      <c r="L67" s="468"/>
      <c r="M67" s="468"/>
      <c r="N67" s="468"/>
      <c r="O67" s="468"/>
      <c r="P67" s="468"/>
      <c r="Q67" s="468"/>
      <c r="R67" s="468"/>
      <c r="S67" s="468"/>
      <c r="T67" s="468"/>
      <c r="U67" s="468"/>
      <c r="V67" s="468"/>
      <c r="W67" s="468"/>
      <c r="X67" s="468"/>
      <c r="Y67" s="468"/>
      <c r="Z67" s="468"/>
      <c r="AA67" s="468"/>
      <c r="AB67" s="468"/>
      <c r="AC67" s="468"/>
      <c r="AD67" s="468"/>
      <c r="AE67" s="468"/>
      <c r="AF67" s="468"/>
      <c r="AG67" s="468"/>
      <c r="AH67" s="468"/>
      <c r="AI67" s="468"/>
      <c r="AJ67" s="468"/>
      <c r="AK67" s="468"/>
      <c r="AL67" s="468"/>
      <c r="AM67" s="468"/>
      <c r="AN67" s="468"/>
      <c r="AO67" s="468"/>
      <c r="AP67" s="468"/>
      <c r="AQ67" s="468"/>
      <c r="AR67" s="468"/>
      <c r="AS67" s="468"/>
      <c r="AT67" s="468"/>
      <c r="AU67" s="468"/>
      <c r="AV67" s="468"/>
      <c r="AW67" s="468"/>
      <c r="AX67" s="468"/>
      <c r="AY67" s="468"/>
      <c r="AZ67" s="468"/>
      <c r="BA67" s="468"/>
      <c r="BB67" s="468"/>
      <c r="BC67" s="468"/>
      <c r="BD67" s="468"/>
      <c r="BE67" s="468"/>
      <c r="BF67" s="468"/>
      <c r="BG67" s="468"/>
      <c r="BH67" s="468"/>
      <c r="BI67" s="468"/>
      <c r="BJ67" s="468"/>
      <c r="BK67" s="468"/>
      <c r="BL67" s="468"/>
      <c r="BM67" s="468"/>
      <c r="BN67" s="468"/>
      <c r="BO67" s="468"/>
      <c r="BP67" s="468"/>
      <c r="BQ67" s="468"/>
      <c r="BR67" s="468"/>
      <c r="BS67" s="468"/>
      <c r="BT67" s="468"/>
      <c r="BU67" s="468"/>
      <c r="BV67" s="468"/>
      <c r="BW67" s="468"/>
      <c r="BX67" s="468"/>
      <c r="BY67" s="468"/>
      <c r="BZ67" s="468"/>
      <c r="CA67" s="468"/>
      <c r="CB67" s="468"/>
      <c r="CC67" s="468"/>
      <c r="CD67" s="468"/>
      <c r="CE67" s="468"/>
      <c r="CF67" s="468"/>
      <c r="CG67" s="468"/>
      <c r="CH67" s="468"/>
      <c r="CI67" s="468"/>
      <c r="CJ67" s="468"/>
      <c r="CK67" s="468"/>
      <c r="CL67" s="468"/>
      <c r="CM67" s="468"/>
      <c r="CN67" s="468"/>
      <c r="CO67" s="468"/>
      <c r="CP67" s="468"/>
      <c r="CQ67" s="468"/>
      <c r="CR67" s="468"/>
      <c r="CS67" s="468"/>
      <c r="CT67" s="468"/>
      <c r="CU67" s="468"/>
      <c r="CV67" s="468"/>
      <c r="CW67" s="468"/>
      <c r="CX67" s="468"/>
      <c r="CY67" s="468"/>
      <c r="CZ67" s="468"/>
      <c r="DA67" s="468"/>
      <c r="DB67" s="468"/>
      <c r="DC67" s="468"/>
      <c r="DD67" s="468"/>
      <c r="DE67" s="468"/>
      <c r="DF67" s="468"/>
      <c r="DG67" s="468"/>
      <c r="DH67" s="468"/>
      <c r="DI67" s="468"/>
      <c r="DJ67" s="468"/>
      <c r="DK67" s="468"/>
      <c r="DL67" s="468"/>
      <c r="DM67" s="468"/>
      <c r="DN67" s="471"/>
      <c r="DO67" s="468"/>
      <c r="DP67" s="468"/>
      <c r="DQ67" s="468"/>
      <c r="DR67" s="468"/>
      <c r="DS67" s="468"/>
      <c r="DT67" s="468"/>
      <c r="DU67" s="468"/>
      <c r="DV67" s="468"/>
      <c r="DW67" s="468"/>
      <c r="DX67" s="468"/>
      <c r="DY67" s="468"/>
      <c r="DZ67" s="468"/>
      <c r="EA67" s="468"/>
      <c r="EB67" s="468"/>
      <c r="EC67" s="468"/>
      <c r="ED67" s="468"/>
      <c r="EE67" s="468"/>
      <c r="EF67" s="468"/>
      <c r="EG67" s="468"/>
      <c r="EH67" s="468"/>
      <c r="EI67" s="468"/>
      <c r="EJ67" s="468"/>
      <c r="EK67" s="468"/>
      <c r="EL67" s="468"/>
      <c r="EM67" s="468"/>
      <c r="EN67" s="468"/>
      <c r="EO67" s="468"/>
      <c r="EP67" s="468"/>
      <c r="EQ67" s="468"/>
      <c r="ER67" s="468"/>
      <c r="ES67" s="468"/>
      <c r="ET67" s="468"/>
      <c r="EU67" s="468"/>
      <c r="EV67" s="468"/>
      <c r="EW67" s="468"/>
      <c r="EX67" s="468"/>
      <c r="EY67" s="468"/>
      <c r="EZ67" s="468"/>
      <c r="FA67" s="468"/>
      <c r="FB67" s="468"/>
      <c r="FC67" s="468"/>
      <c r="FD67" s="468"/>
      <c r="FE67" s="468"/>
      <c r="FF67" s="468"/>
      <c r="FG67" s="468"/>
      <c r="FH67" s="468"/>
      <c r="FI67" s="468"/>
      <c r="FJ67" s="468"/>
      <c r="FK67" s="468"/>
      <c r="FL67" s="468"/>
      <c r="FM67" s="468"/>
      <c r="FN67" s="468"/>
      <c r="FO67" s="468"/>
      <c r="FP67" s="468"/>
      <c r="FQ67" s="468"/>
      <c r="FR67" s="468"/>
      <c r="FS67" s="468"/>
      <c r="FT67" s="468"/>
      <c r="FU67" s="468"/>
      <c r="FV67" s="468"/>
      <c r="FW67" s="468"/>
      <c r="FX67" s="468"/>
      <c r="FY67" s="468"/>
      <c r="FZ67" s="468"/>
      <c r="GA67" s="468"/>
      <c r="GB67" s="468"/>
      <c r="GC67" s="468"/>
      <c r="GD67" s="468"/>
      <c r="GE67" s="468"/>
      <c r="GF67" s="468"/>
      <c r="GG67" s="468"/>
      <c r="GH67" s="468"/>
      <c r="GI67" s="468"/>
      <c r="GJ67" s="468"/>
      <c r="GK67" s="468"/>
      <c r="GL67" s="468"/>
      <c r="GM67" s="468"/>
      <c r="GN67" s="468"/>
      <c r="GO67" s="468"/>
      <c r="GP67" s="468"/>
      <c r="GQ67" s="468"/>
      <c r="GR67" s="468"/>
      <c r="GS67" s="468"/>
      <c r="GT67" s="468"/>
      <c r="GU67" s="468"/>
      <c r="GV67" s="468"/>
      <c r="GW67" s="468"/>
      <c r="GX67" s="468"/>
      <c r="GY67" s="468"/>
      <c r="GZ67" s="468"/>
      <c r="HA67" s="468"/>
      <c r="HB67" s="468"/>
      <c r="HC67" s="468"/>
      <c r="HD67" s="468"/>
      <c r="HE67" s="468"/>
      <c r="HF67" s="468"/>
      <c r="HG67" s="468"/>
      <c r="HH67" s="468"/>
      <c r="HI67" s="468"/>
      <c r="HJ67" s="468"/>
      <c r="HK67" s="468"/>
      <c r="HL67" s="468"/>
      <c r="HM67" s="468"/>
      <c r="HN67" s="468"/>
      <c r="HO67" s="468"/>
      <c r="HP67" s="468"/>
      <c r="HQ67" s="468"/>
      <c r="HR67" s="468"/>
      <c r="HS67" s="468"/>
      <c r="HT67" s="468"/>
      <c r="HU67" s="468"/>
      <c r="HV67" s="468"/>
      <c r="HW67" s="468"/>
      <c r="HX67" s="468"/>
      <c r="HY67" s="468"/>
      <c r="HZ67" s="468"/>
      <c r="IA67" s="468"/>
      <c r="IB67" s="468"/>
      <c r="IC67" s="468"/>
      <c r="ID67" s="468"/>
      <c r="IE67" s="468"/>
      <c r="IF67" s="468"/>
      <c r="IG67" s="468"/>
      <c r="IH67" s="468"/>
      <c r="II67" s="468"/>
      <c r="IJ67" s="468"/>
      <c r="IK67" s="468"/>
      <c r="IL67" s="468"/>
      <c r="IM67" s="468"/>
      <c r="IN67" s="468"/>
      <c r="IO67" s="468"/>
      <c r="IP67" s="468"/>
      <c r="IQ67" s="468"/>
      <c r="IR67" s="468"/>
      <c r="IS67" s="468"/>
      <c r="IT67" s="468"/>
      <c r="IU67" s="468"/>
      <c r="IV67" s="468"/>
      <c r="IW67" s="468"/>
      <c r="IX67" s="468"/>
      <c r="IY67" s="468"/>
      <c r="IZ67" s="468"/>
      <c r="JA67" s="468"/>
    </row>
    <row r="68" spans="1:261" ht="18.899999999999999" customHeight="1">
      <c r="A68" s="468"/>
      <c r="B68" s="468"/>
      <c r="C68" s="473"/>
      <c r="D68" s="473"/>
      <c r="E68" s="473"/>
      <c r="F68" s="473"/>
      <c r="G68" s="468"/>
      <c r="H68" s="468"/>
      <c r="I68" s="468"/>
      <c r="J68" s="468"/>
      <c r="K68" s="468"/>
      <c r="L68" s="468"/>
      <c r="M68" s="468"/>
      <c r="N68" s="468"/>
      <c r="O68" s="468"/>
      <c r="P68" s="468"/>
      <c r="Q68" s="468"/>
      <c r="R68" s="468"/>
      <c r="S68" s="468"/>
      <c r="T68" s="468"/>
      <c r="U68" s="468"/>
      <c r="V68" s="468"/>
      <c r="W68" s="468"/>
      <c r="X68" s="468"/>
      <c r="Y68" s="468"/>
      <c r="Z68" s="468"/>
      <c r="AA68" s="468"/>
      <c r="AB68" s="468"/>
      <c r="AC68" s="468"/>
      <c r="AD68" s="468"/>
      <c r="AE68" s="468"/>
      <c r="AF68" s="468"/>
      <c r="AG68" s="468"/>
      <c r="AH68" s="468"/>
      <c r="AI68" s="468"/>
      <c r="AJ68" s="468"/>
      <c r="AK68" s="468"/>
      <c r="AL68" s="468"/>
      <c r="AM68" s="468"/>
      <c r="AN68" s="468"/>
      <c r="AO68" s="468"/>
      <c r="AP68" s="468"/>
      <c r="AQ68" s="468"/>
      <c r="AR68" s="468"/>
      <c r="AS68" s="468"/>
      <c r="AT68" s="468"/>
      <c r="AU68" s="468"/>
      <c r="AV68" s="468"/>
      <c r="AW68" s="468"/>
      <c r="AX68" s="468"/>
      <c r="AY68" s="468"/>
      <c r="AZ68" s="468"/>
      <c r="BA68" s="468"/>
      <c r="BB68" s="468"/>
      <c r="BC68" s="468"/>
      <c r="BD68" s="468"/>
      <c r="BE68" s="468"/>
      <c r="BF68" s="468"/>
      <c r="BG68" s="468"/>
      <c r="BH68" s="468"/>
      <c r="BI68" s="468"/>
      <c r="BJ68" s="468"/>
      <c r="BK68" s="468"/>
      <c r="BL68" s="468"/>
      <c r="BM68" s="468"/>
      <c r="BN68" s="468"/>
      <c r="BO68" s="468"/>
      <c r="BP68" s="468"/>
      <c r="BQ68" s="468"/>
      <c r="BR68" s="468"/>
      <c r="BS68" s="468"/>
      <c r="BT68" s="468"/>
      <c r="BU68" s="468"/>
      <c r="BV68" s="468"/>
      <c r="BW68" s="468"/>
      <c r="BX68" s="468"/>
      <c r="BY68" s="468"/>
      <c r="BZ68" s="468"/>
      <c r="CA68" s="468"/>
      <c r="CB68" s="468"/>
      <c r="CC68" s="468"/>
      <c r="CD68" s="468"/>
      <c r="CE68" s="468"/>
      <c r="CF68" s="468"/>
      <c r="CG68" s="468"/>
      <c r="CH68" s="468"/>
      <c r="CI68" s="468"/>
      <c r="CJ68" s="468"/>
      <c r="CK68" s="468"/>
      <c r="CL68" s="468"/>
      <c r="CM68" s="468"/>
      <c r="CN68" s="468"/>
      <c r="CO68" s="468"/>
      <c r="CP68" s="468"/>
      <c r="CQ68" s="468"/>
      <c r="CR68" s="468"/>
      <c r="CS68" s="468"/>
      <c r="CT68" s="468"/>
      <c r="CU68" s="468"/>
      <c r="CV68" s="468"/>
      <c r="CW68" s="468"/>
      <c r="CX68" s="468"/>
      <c r="CY68" s="468"/>
      <c r="CZ68" s="468"/>
      <c r="DA68" s="468"/>
      <c r="DB68" s="468"/>
      <c r="DC68" s="468"/>
      <c r="DD68" s="468"/>
      <c r="DE68" s="468"/>
      <c r="DF68" s="468"/>
      <c r="DG68" s="468"/>
      <c r="DH68" s="468"/>
      <c r="DI68" s="468"/>
      <c r="DJ68" s="468"/>
      <c r="DK68" s="468"/>
      <c r="DL68" s="468"/>
      <c r="DM68" s="468"/>
      <c r="DN68" s="471"/>
      <c r="DO68" s="468"/>
      <c r="DP68" s="468"/>
      <c r="DQ68" s="468"/>
      <c r="DR68" s="468"/>
      <c r="DS68" s="468"/>
      <c r="DT68" s="468"/>
      <c r="DU68" s="468"/>
      <c r="DV68" s="468"/>
      <c r="DW68" s="468"/>
      <c r="DX68" s="468"/>
      <c r="DY68" s="468"/>
      <c r="DZ68" s="468"/>
      <c r="EA68" s="468"/>
      <c r="EB68" s="468"/>
      <c r="EC68" s="468"/>
      <c r="ED68" s="468"/>
      <c r="EE68" s="468"/>
      <c r="EF68" s="468"/>
      <c r="EG68" s="468"/>
      <c r="EH68" s="468"/>
      <c r="EI68" s="468"/>
      <c r="EJ68" s="468"/>
      <c r="EK68" s="468"/>
      <c r="EL68" s="468"/>
      <c r="EM68" s="468"/>
      <c r="EN68" s="468"/>
      <c r="EO68" s="468"/>
      <c r="EP68" s="468"/>
      <c r="EQ68" s="468"/>
      <c r="ER68" s="468"/>
      <c r="ES68" s="468"/>
      <c r="ET68" s="468"/>
      <c r="EU68" s="468"/>
      <c r="EV68" s="468"/>
      <c r="EW68" s="468"/>
      <c r="EX68" s="468"/>
      <c r="EY68" s="468"/>
      <c r="EZ68" s="468"/>
      <c r="FA68" s="468"/>
      <c r="FB68" s="468"/>
      <c r="FC68" s="468"/>
      <c r="FD68" s="468"/>
      <c r="FE68" s="468"/>
      <c r="FF68" s="468"/>
      <c r="FG68" s="468"/>
      <c r="FH68" s="468"/>
      <c r="FI68" s="468"/>
      <c r="FJ68" s="468"/>
      <c r="FK68" s="468"/>
      <c r="FL68" s="468"/>
      <c r="FM68" s="468"/>
      <c r="FN68" s="468"/>
      <c r="FO68" s="468"/>
      <c r="FP68" s="468"/>
      <c r="FQ68" s="468"/>
      <c r="FR68" s="468"/>
      <c r="FS68" s="468"/>
      <c r="FT68" s="468"/>
      <c r="FU68" s="468"/>
      <c r="FV68" s="468"/>
      <c r="FW68" s="468"/>
      <c r="FX68" s="468"/>
      <c r="FY68" s="468"/>
      <c r="FZ68" s="468"/>
      <c r="GA68" s="468"/>
      <c r="GB68" s="468"/>
      <c r="GC68" s="468"/>
      <c r="GD68" s="468"/>
      <c r="GE68" s="468"/>
      <c r="GF68" s="468"/>
      <c r="GG68" s="468"/>
      <c r="GH68" s="468"/>
      <c r="GI68" s="468"/>
      <c r="GJ68" s="468"/>
      <c r="GK68" s="468"/>
      <c r="GL68" s="468"/>
      <c r="GM68" s="468"/>
      <c r="GN68" s="468"/>
      <c r="GO68" s="468"/>
      <c r="GP68" s="468"/>
      <c r="GQ68" s="468"/>
      <c r="GR68" s="468"/>
      <c r="GS68" s="468"/>
      <c r="GT68" s="468"/>
      <c r="GU68" s="468"/>
      <c r="GV68" s="468"/>
      <c r="GW68" s="468"/>
      <c r="GX68" s="468"/>
      <c r="GY68" s="468"/>
      <c r="GZ68" s="468"/>
      <c r="HA68" s="468"/>
      <c r="HB68" s="468"/>
      <c r="HC68" s="468"/>
      <c r="HD68" s="468"/>
      <c r="HE68" s="468"/>
      <c r="HF68" s="468"/>
      <c r="HG68" s="468"/>
      <c r="HH68" s="468"/>
      <c r="HI68" s="468"/>
      <c r="HJ68" s="468"/>
      <c r="HK68" s="468"/>
      <c r="HL68" s="468"/>
      <c r="HM68" s="468"/>
      <c r="HN68" s="468"/>
      <c r="HO68" s="468"/>
      <c r="HP68" s="468"/>
      <c r="HQ68" s="468"/>
      <c r="HR68" s="468"/>
      <c r="HS68" s="468"/>
      <c r="HT68" s="468"/>
      <c r="HU68" s="468"/>
      <c r="HV68" s="468"/>
      <c r="HW68" s="468"/>
      <c r="HX68" s="468"/>
      <c r="HY68" s="468"/>
      <c r="HZ68" s="468"/>
      <c r="IA68" s="468"/>
      <c r="IB68" s="468"/>
      <c r="IC68" s="468"/>
      <c r="ID68" s="468"/>
      <c r="IE68" s="468"/>
      <c r="IF68" s="468"/>
      <c r="IG68" s="468"/>
      <c r="IH68" s="468"/>
      <c r="II68" s="468"/>
      <c r="IJ68" s="468"/>
      <c r="IK68" s="468"/>
      <c r="IL68" s="468"/>
      <c r="IM68" s="468"/>
      <c r="IN68" s="468"/>
      <c r="IO68" s="468"/>
      <c r="IP68" s="468"/>
      <c r="IQ68" s="468"/>
      <c r="IR68" s="468"/>
      <c r="IS68" s="468"/>
      <c r="IT68" s="468"/>
      <c r="IU68" s="468"/>
      <c r="IV68" s="468"/>
      <c r="IW68" s="468"/>
      <c r="IX68" s="468"/>
      <c r="IY68" s="468"/>
      <c r="IZ68" s="468"/>
      <c r="JA68" s="468"/>
    </row>
    <row r="69" spans="1:261" ht="18.899999999999999" customHeight="1">
      <c r="A69" s="468"/>
      <c r="B69" s="468"/>
      <c r="C69" s="473"/>
      <c r="D69" s="473"/>
      <c r="E69" s="473"/>
      <c r="F69" s="473"/>
      <c r="G69" s="468"/>
      <c r="H69" s="468"/>
      <c r="I69" s="468"/>
      <c r="J69" s="468"/>
      <c r="K69" s="468"/>
      <c r="L69" s="468"/>
      <c r="M69" s="468"/>
      <c r="N69" s="468"/>
      <c r="O69" s="468"/>
      <c r="P69" s="468"/>
      <c r="Q69" s="468"/>
      <c r="R69" s="468"/>
      <c r="S69" s="468"/>
      <c r="T69" s="468"/>
      <c r="U69" s="468"/>
      <c r="V69" s="468"/>
      <c r="W69" s="468"/>
      <c r="X69" s="468"/>
      <c r="Y69" s="468"/>
      <c r="Z69" s="468"/>
      <c r="AA69" s="468"/>
      <c r="AB69" s="468"/>
      <c r="AC69" s="468"/>
      <c r="AD69" s="468"/>
      <c r="AE69" s="468"/>
      <c r="AF69" s="468"/>
      <c r="AG69" s="468"/>
      <c r="AH69" s="468"/>
      <c r="AI69" s="468"/>
      <c r="AJ69" s="468"/>
      <c r="AK69" s="468"/>
      <c r="AL69" s="468"/>
      <c r="AM69" s="468"/>
      <c r="AN69" s="468"/>
      <c r="AO69" s="468"/>
      <c r="AP69" s="468"/>
      <c r="AQ69" s="468"/>
      <c r="AR69" s="468"/>
      <c r="AS69" s="468"/>
      <c r="AT69" s="468"/>
      <c r="AU69" s="468"/>
      <c r="AV69" s="468"/>
      <c r="AW69" s="468"/>
      <c r="AX69" s="468"/>
      <c r="AY69" s="468"/>
      <c r="AZ69" s="468"/>
      <c r="BA69" s="468"/>
      <c r="BB69" s="468"/>
      <c r="BC69" s="468"/>
      <c r="BD69" s="468"/>
      <c r="BE69" s="468"/>
      <c r="BF69" s="468"/>
      <c r="BG69" s="468"/>
      <c r="BH69" s="468"/>
      <c r="BI69" s="468"/>
      <c r="BJ69" s="468"/>
      <c r="BK69" s="468"/>
      <c r="BL69" s="468"/>
      <c r="BM69" s="468"/>
      <c r="BN69" s="468"/>
      <c r="BO69" s="468"/>
      <c r="BP69" s="468"/>
      <c r="BQ69" s="468"/>
      <c r="BR69" s="468"/>
      <c r="BS69" s="468"/>
      <c r="BT69" s="468"/>
      <c r="BU69" s="468"/>
      <c r="BV69" s="468"/>
      <c r="BW69" s="468"/>
      <c r="BX69" s="468"/>
      <c r="BY69" s="468"/>
      <c r="BZ69" s="468"/>
      <c r="CA69" s="468"/>
      <c r="CB69" s="468"/>
      <c r="CC69" s="468"/>
      <c r="CD69" s="468"/>
      <c r="CE69" s="468"/>
      <c r="CF69" s="468"/>
      <c r="CG69" s="468"/>
      <c r="CH69" s="468"/>
      <c r="CI69" s="468"/>
      <c r="CJ69" s="468"/>
      <c r="CK69" s="468"/>
      <c r="CL69" s="468"/>
      <c r="CM69" s="468"/>
      <c r="CN69" s="468"/>
      <c r="CO69" s="468"/>
      <c r="CP69" s="468"/>
      <c r="CQ69" s="468"/>
      <c r="CR69" s="468"/>
      <c r="CS69" s="468"/>
      <c r="CT69" s="468"/>
      <c r="CU69" s="468"/>
      <c r="CV69" s="468"/>
      <c r="CW69" s="468"/>
      <c r="CX69" s="468"/>
      <c r="CY69" s="468"/>
      <c r="CZ69" s="468"/>
      <c r="DA69" s="468"/>
      <c r="DB69" s="468"/>
      <c r="DC69" s="468"/>
      <c r="DD69" s="468"/>
      <c r="DE69" s="468"/>
      <c r="DF69" s="468"/>
      <c r="DG69" s="468"/>
      <c r="DH69" s="468"/>
      <c r="DI69" s="468"/>
      <c r="DJ69" s="468"/>
      <c r="DK69" s="468"/>
      <c r="DL69" s="468"/>
      <c r="DM69" s="468"/>
      <c r="DN69" s="471"/>
      <c r="DO69" s="468"/>
      <c r="DP69" s="468"/>
      <c r="DQ69" s="468"/>
      <c r="DR69" s="468"/>
      <c r="DS69" s="468"/>
      <c r="DT69" s="468"/>
      <c r="DU69" s="468"/>
      <c r="DV69" s="468"/>
      <c r="DW69" s="468"/>
      <c r="DX69" s="468"/>
      <c r="DY69" s="468"/>
      <c r="DZ69" s="468"/>
      <c r="EA69" s="468"/>
      <c r="EB69" s="468"/>
      <c r="EC69" s="468"/>
      <c r="ED69" s="468"/>
      <c r="EE69" s="468"/>
      <c r="EF69" s="468"/>
      <c r="EG69" s="468"/>
      <c r="EH69" s="468"/>
      <c r="EI69" s="468"/>
      <c r="EJ69" s="468"/>
      <c r="EK69" s="468"/>
      <c r="EL69" s="468"/>
      <c r="EM69" s="468"/>
      <c r="EN69" s="468"/>
      <c r="EO69" s="468"/>
      <c r="EP69" s="468"/>
      <c r="EQ69" s="468"/>
      <c r="ER69" s="468"/>
      <c r="ES69" s="468"/>
      <c r="ET69" s="468"/>
      <c r="EU69" s="468"/>
      <c r="EV69" s="468"/>
      <c r="EW69" s="468"/>
      <c r="EX69" s="468"/>
      <c r="EY69" s="468"/>
      <c r="EZ69" s="468"/>
      <c r="FA69" s="468"/>
      <c r="FB69" s="468"/>
      <c r="FC69" s="468"/>
      <c r="FD69" s="468"/>
      <c r="FE69" s="468"/>
      <c r="FF69" s="468"/>
      <c r="FG69" s="468"/>
      <c r="FH69" s="468"/>
      <c r="FI69" s="468"/>
      <c r="FJ69" s="468"/>
      <c r="FK69" s="468"/>
      <c r="FL69" s="468"/>
      <c r="FM69" s="468"/>
      <c r="FN69" s="468"/>
      <c r="FO69" s="468"/>
      <c r="FP69" s="468"/>
      <c r="FQ69" s="468"/>
      <c r="FR69" s="468"/>
      <c r="FS69" s="468"/>
      <c r="FT69" s="468"/>
      <c r="FU69" s="468"/>
      <c r="FV69" s="468"/>
      <c r="FW69" s="468"/>
      <c r="FX69" s="468"/>
      <c r="FY69" s="468"/>
      <c r="FZ69" s="468"/>
      <c r="GA69" s="468"/>
      <c r="GB69" s="468"/>
      <c r="GC69" s="468"/>
      <c r="GD69" s="468"/>
      <c r="GE69" s="468"/>
      <c r="GF69" s="468"/>
      <c r="GG69" s="468"/>
      <c r="GH69" s="468"/>
      <c r="GI69" s="468"/>
      <c r="GJ69" s="468"/>
      <c r="GK69" s="468"/>
      <c r="GL69" s="468"/>
      <c r="GM69" s="468"/>
      <c r="GN69" s="468"/>
      <c r="GO69" s="468"/>
      <c r="GP69" s="468"/>
      <c r="GQ69" s="468"/>
      <c r="GR69" s="468"/>
      <c r="GS69" s="468"/>
      <c r="GT69" s="468"/>
      <c r="GU69" s="468"/>
      <c r="GV69" s="468"/>
      <c r="GW69" s="468"/>
      <c r="GX69" s="468"/>
      <c r="GY69" s="468"/>
      <c r="GZ69" s="468"/>
      <c r="HA69" s="468"/>
      <c r="HB69" s="468"/>
      <c r="HC69" s="468"/>
      <c r="HD69" s="468"/>
      <c r="HE69" s="468"/>
      <c r="HF69" s="468"/>
      <c r="HG69" s="468"/>
      <c r="HH69" s="468"/>
      <c r="HI69" s="468"/>
      <c r="HJ69" s="468"/>
      <c r="HK69" s="468"/>
      <c r="HL69" s="468"/>
      <c r="HM69" s="468"/>
      <c r="HN69" s="468"/>
      <c r="HO69" s="468"/>
      <c r="HP69" s="468"/>
      <c r="HQ69" s="468"/>
      <c r="HR69" s="468"/>
      <c r="HS69" s="468"/>
      <c r="HT69" s="468"/>
      <c r="HU69" s="468"/>
      <c r="HV69" s="468"/>
      <c r="HW69" s="468"/>
      <c r="HX69" s="468"/>
      <c r="HY69" s="468"/>
      <c r="HZ69" s="468"/>
      <c r="IA69" s="468"/>
      <c r="IB69" s="468"/>
      <c r="IC69" s="468"/>
      <c r="ID69" s="468"/>
      <c r="IE69" s="468"/>
      <c r="IF69" s="468"/>
      <c r="IG69" s="468"/>
      <c r="IH69" s="468"/>
      <c r="II69" s="468"/>
      <c r="IJ69" s="468"/>
      <c r="IK69" s="468"/>
      <c r="IL69" s="468"/>
      <c r="IM69" s="468"/>
      <c r="IN69" s="468"/>
      <c r="IO69" s="468"/>
      <c r="IP69" s="468"/>
      <c r="IQ69" s="468"/>
      <c r="IR69" s="468"/>
      <c r="IS69" s="468"/>
      <c r="IT69" s="468"/>
      <c r="IU69" s="468"/>
      <c r="IV69" s="468"/>
      <c r="IW69" s="468"/>
      <c r="IX69" s="468"/>
      <c r="IY69" s="468"/>
      <c r="IZ69" s="468"/>
      <c r="JA69" s="468"/>
    </row>
    <row r="70" spans="1:261" ht="18.899999999999999" customHeight="1">
      <c r="A70" s="468"/>
      <c r="B70" s="468"/>
      <c r="C70" s="473"/>
      <c r="D70" s="473"/>
      <c r="E70" s="473"/>
      <c r="F70" s="473"/>
      <c r="G70" s="468"/>
      <c r="H70" s="468"/>
      <c r="I70" s="468"/>
      <c r="J70" s="468"/>
      <c r="K70" s="468"/>
      <c r="L70" s="468"/>
      <c r="M70" s="468"/>
      <c r="N70" s="468"/>
      <c r="O70" s="468"/>
      <c r="P70" s="468"/>
      <c r="Q70" s="468"/>
      <c r="R70" s="468"/>
      <c r="S70" s="468"/>
      <c r="T70" s="468"/>
      <c r="U70" s="468"/>
      <c r="V70" s="468"/>
      <c r="W70" s="468"/>
      <c r="X70" s="468"/>
      <c r="Y70" s="468"/>
      <c r="Z70" s="468"/>
      <c r="AA70" s="468"/>
      <c r="AB70" s="468"/>
      <c r="AC70" s="468"/>
      <c r="AD70" s="468"/>
      <c r="AE70" s="468"/>
      <c r="AF70" s="468"/>
      <c r="AG70" s="468"/>
      <c r="AH70" s="468"/>
      <c r="AI70" s="468"/>
      <c r="AJ70" s="468"/>
      <c r="AK70" s="468"/>
      <c r="AL70" s="468"/>
      <c r="AM70" s="468"/>
      <c r="AN70" s="468"/>
      <c r="AO70" s="468"/>
      <c r="AP70" s="468"/>
      <c r="AQ70" s="468"/>
      <c r="AR70" s="468"/>
      <c r="AS70" s="468"/>
      <c r="AT70" s="468"/>
      <c r="AU70" s="468"/>
      <c r="AV70" s="468"/>
      <c r="AW70" s="468"/>
      <c r="AX70" s="468"/>
      <c r="AY70" s="468"/>
      <c r="AZ70" s="468"/>
      <c r="BA70" s="468"/>
      <c r="BB70" s="468"/>
      <c r="BC70" s="468"/>
      <c r="BD70" s="468"/>
      <c r="BE70" s="468"/>
      <c r="BF70" s="468"/>
      <c r="BG70" s="468"/>
      <c r="BH70" s="468"/>
      <c r="BI70" s="468"/>
      <c r="BJ70" s="468"/>
      <c r="BK70" s="468"/>
      <c r="BL70" s="468"/>
      <c r="BM70" s="468"/>
      <c r="BN70" s="468"/>
      <c r="BO70" s="468"/>
      <c r="BP70" s="468"/>
      <c r="BQ70" s="468"/>
      <c r="BR70" s="468"/>
      <c r="BS70" s="468"/>
      <c r="BT70" s="468"/>
      <c r="BU70" s="468"/>
      <c r="BV70" s="468"/>
      <c r="BW70" s="468"/>
      <c r="BX70" s="468"/>
      <c r="BY70" s="468"/>
      <c r="BZ70" s="468"/>
      <c r="CA70" s="468"/>
      <c r="CB70" s="468"/>
      <c r="CC70" s="468"/>
      <c r="CD70" s="468"/>
      <c r="CE70" s="468"/>
      <c r="CF70" s="468"/>
      <c r="CG70" s="468"/>
      <c r="CH70" s="468"/>
      <c r="CI70" s="468"/>
      <c r="CJ70" s="468"/>
      <c r="CK70" s="468"/>
      <c r="CL70" s="468"/>
      <c r="CM70" s="468"/>
      <c r="CN70" s="468"/>
      <c r="CO70" s="468"/>
      <c r="CP70" s="468"/>
      <c r="CQ70" s="468"/>
      <c r="CR70" s="468"/>
      <c r="CS70" s="468"/>
      <c r="CT70" s="468"/>
      <c r="CU70" s="468"/>
      <c r="CV70" s="468"/>
      <c r="CW70" s="468"/>
      <c r="CX70" s="468"/>
      <c r="CY70" s="468"/>
      <c r="CZ70" s="468"/>
      <c r="DA70" s="468"/>
      <c r="DB70" s="468"/>
      <c r="DC70" s="468"/>
      <c r="DD70" s="468"/>
      <c r="DE70" s="468"/>
      <c r="DF70" s="468"/>
      <c r="DG70" s="468"/>
      <c r="DH70" s="468"/>
      <c r="DI70" s="468"/>
      <c r="DJ70" s="468"/>
      <c r="DK70" s="468"/>
      <c r="DL70" s="468"/>
      <c r="DM70" s="468"/>
      <c r="DN70" s="471"/>
      <c r="DO70" s="468"/>
      <c r="DP70" s="468"/>
      <c r="DQ70" s="468"/>
      <c r="DR70" s="468"/>
      <c r="DS70" s="468"/>
      <c r="DT70" s="468"/>
      <c r="DU70" s="468"/>
      <c r="DV70" s="468"/>
      <c r="DW70" s="468"/>
      <c r="DX70" s="468"/>
      <c r="DY70" s="468"/>
      <c r="DZ70" s="468"/>
      <c r="EA70" s="468"/>
      <c r="EB70" s="468"/>
      <c r="EC70" s="468"/>
      <c r="ED70" s="468"/>
      <c r="EE70" s="468"/>
      <c r="EF70" s="468"/>
      <c r="EG70" s="468"/>
      <c r="EH70" s="468"/>
      <c r="EI70" s="468"/>
      <c r="EJ70" s="468"/>
      <c r="EK70" s="468"/>
      <c r="EL70" s="468"/>
      <c r="EM70" s="468"/>
      <c r="EN70" s="468"/>
      <c r="EO70" s="468"/>
      <c r="EP70" s="468"/>
      <c r="EQ70" s="468"/>
      <c r="ER70" s="468"/>
      <c r="ES70" s="468"/>
      <c r="ET70" s="468"/>
      <c r="EU70" s="468"/>
      <c r="EV70" s="468"/>
      <c r="EW70" s="468"/>
      <c r="EX70" s="468"/>
      <c r="EY70" s="468"/>
      <c r="EZ70" s="468"/>
      <c r="FA70" s="468"/>
      <c r="FB70" s="468"/>
      <c r="FC70" s="468"/>
      <c r="FD70" s="468"/>
      <c r="FE70" s="468"/>
      <c r="FF70" s="468"/>
      <c r="FG70" s="468"/>
      <c r="FH70" s="468"/>
      <c r="FI70" s="468"/>
      <c r="FJ70" s="468"/>
      <c r="FK70" s="468"/>
      <c r="FL70" s="468"/>
      <c r="FM70" s="468"/>
      <c r="FN70" s="468"/>
      <c r="FO70" s="468"/>
      <c r="FP70" s="468"/>
      <c r="FQ70" s="468"/>
      <c r="FR70" s="468"/>
      <c r="FS70" s="468"/>
      <c r="FT70" s="468"/>
      <c r="FU70" s="468"/>
      <c r="FV70" s="468"/>
      <c r="FW70" s="468"/>
      <c r="FX70" s="468"/>
      <c r="FY70" s="468"/>
      <c r="FZ70" s="468"/>
      <c r="GA70" s="468"/>
      <c r="GB70" s="468"/>
      <c r="GC70" s="468"/>
      <c r="GD70" s="468"/>
      <c r="GE70" s="468"/>
      <c r="GF70" s="468"/>
      <c r="GG70" s="468"/>
      <c r="GH70" s="468"/>
      <c r="GI70" s="468"/>
      <c r="GJ70" s="468"/>
      <c r="GK70" s="468"/>
      <c r="GL70" s="468"/>
      <c r="GM70" s="468"/>
      <c r="GN70" s="468"/>
      <c r="GO70" s="468"/>
      <c r="GP70" s="468"/>
      <c r="GQ70" s="468"/>
      <c r="GR70" s="468"/>
      <c r="GS70" s="468"/>
      <c r="GT70" s="468"/>
      <c r="GU70" s="468"/>
      <c r="GV70" s="468"/>
      <c r="GW70" s="468"/>
      <c r="GX70" s="468"/>
      <c r="GY70" s="468"/>
      <c r="GZ70" s="468"/>
      <c r="HA70" s="468"/>
      <c r="HB70" s="468"/>
      <c r="HC70" s="468"/>
      <c r="HD70" s="468"/>
      <c r="HE70" s="468"/>
      <c r="HF70" s="468"/>
      <c r="HG70" s="468"/>
      <c r="HH70" s="468"/>
      <c r="HI70" s="468"/>
      <c r="HJ70" s="468"/>
      <c r="HK70" s="468"/>
      <c r="HL70" s="468"/>
      <c r="HM70" s="468"/>
      <c r="HN70" s="468"/>
      <c r="HO70" s="468"/>
      <c r="HP70" s="468"/>
      <c r="HQ70" s="468"/>
      <c r="HR70" s="468"/>
      <c r="HS70" s="468"/>
      <c r="HT70" s="468"/>
      <c r="HU70" s="468"/>
      <c r="HV70" s="468"/>
      <c r="HW70" s="468"/>
      <c r="HX70" s="468"/>
      <c r="HY70" s="468"/>
      <c r="HZ70" s="468"/>
      <c r="IA70" s="468"/>
      <c r="IB70" s="468"/>
      <c r="IC70" s="468"/>
      <c r="ID70" s="468"/>
      <c r="IE70" s="468"/>
      <c r="IF70" s="468"/>
      <c r="IG70" s="468"/>
      <c r="IH70" s="468"/>
      <c r="II70" s="468"/>
      <c r="IJ70" s="468"/>
      <c r="IK70" s="468"/>
      <c r="IL70" s="468"/>
      <c r="IM70" s="468"/>
      <c r="IN70" s="468"/>
      <c r="IO70" s="468"/>
      <c r="IP70" s="468"/>
      <c r="IQ70" s="468"/>
      <c r="IR70" s="468"/>
      <c r="IS70" s="468"/>
      <c r="IT70" s="468"/>
      <c r="IU70" s="468"/>
      <c r="IV70" s="468"/>
      <c r="IW70" s="468"/>
      <c r="IX70" s="468"/>
      <c r="IY70" s="468"/>
      <c r="IZ70" s="468"/>
      <c r="JA70" s="468"/>
    </row>
    <row r="71" spans="1:261" ht="18.899999999999999" customHeight="1">
      <c r="A71" s="468"/>
      <c r="B71" s="468"/>
      <c r="C71" s="473"/>
      <c r="D71" s="473"/>
      <c r="E71" s="473"/>
      <c r="F71" s="473"/>
      <c r="G71" s="468"/>
      <c r="H71" s="468"/>
      <c r="I71" s="468"/>
      <c r="J71" s="468"/>
      <c r="K71" s="468"/>
      <c r="L71" s="468"/>
      <c r="M71" s="468"/>
      <c r="N71" s="468"/>
      <c r="O71" s="468"/>
      <c r="P71" s="468"/>
      <c r="Q71" s="468"/>
      <c r="R71" s="468"/>
      <c r="S71" s="468"/>
      <c r="T71" s="468"/>
      <c r="U71" s="468"/>
      <c r="V71" s="468"/>
      <c r="W71" s="468"/>
      <c r="X71" s="468"/>
      <c r="Y71" s="468"/>
      <c r="Z71" s="468"/>
      <c r="AA71" s="468"/>
      <c r="AB71" s="468"/>
      <c r="AC71" s="468"/>
      <c r="AD71" s="468"/>
      <c r="AE71" s="468"/>
      <c r="AF71" s="468"/>
      <c r="AG71" s="468"/>
      <c r="AH71" s="468"/>
      <c r="AI71" s="468"/>
      <c r="AJ71" s="468"/>
      <c r="AK71" s="468"/>
      <c r="AL71" s="468"/>
      <c r="AM71" s="468"/>
      <c r="AN71" s="468"/>
      <c r="AO71" s="468"/>
      <c r="AP71" s="468"/>
      <c r="AQ71" s="468"/>
      <c r="AR71" s="468"/>
      <c r="AS71" s="468"/>
      <c r="AT71" s="468"/>
      <c r="AU71" s="468"/>
      <c r="AV71" s="468"/>
      <c r="AW71" s="468"/>
      <c r="AX71" s="468"/>
      <c r="AY71" s="468"/>
      <c r="AZ71" s="468"/>
      <c r="BA71" s="468"/>
      <c r="BB71" s="468"/>
      <c r="BC71" s="468"/>
      <c r="BD71" s="468"/>
      <c r="BE71" s="468"/>
      <c r="BF71" s="468"/>
      <c r="BG71" s="468"/>
      <c r="BH71" s="468"/>
      <c r="BI71" s="468"/>
      <c r="BJ71" s="468"/>
      <c r="BK71" s="468"/>
      <c r="BL71" s="468"/>
      <c r="BM71" s="468"/>
      <c r="BN71" s="468"/>
      <c r="BO71" s="468"/>
      <c r="BP71" s="468"/>
      <c r="BQ71" s="468"/>
      <c r="BR71" s="468"/>
      <c r="BS71" s="468"/>
      <c r="BT71" s="468"/>
      <c r="BU71" s="468"/>
      <c r="BV71" s="468"/>
      <c r="BW71" s="468"/>
      <c r="BX71" s="468"/>
      <c r="BY71" s="468"/>
      <c r="BZ71" s="468"/>
      <c r="CA71" s="468"/>
      <c r="CB71" s="468"/>
      <c r="CC71" s="468"/>
      <c r="CD71" s="468"/>
      <c r="CE71" s="468"/>
      <c r="CF71" s="468"/>
      <c r="CG71" s="468"/>
      <c r="CH71" s="468"/>
      <c r="CI71" s="468"/>
      <c r="CJ71" s="468"/>
      <c r="CK71" s="468"/>
      <c r="CL71" s="468"/>
      <c r="CM71" s="468"/>
      <c r="CN71" s="468"/>
      <c r="CO71" s="468"/>
      <c r="CP71" s="468"/>
      <c r="CQ71" s="468"/>
      <c r="CR71" s="468"/>
      <c r="CS71" s="468"/>
      <c r="CT71" s="468"/>
      <c r="CU71" s="468"/>
      <c r="CV71" s="468"/>
      <c r="CW71" s="468"/>
      <c r="CX71" s="468"/>
      <c r="CY71" s="468"/>
      <c r="CZ71" s="468"/>
      <c r="DA71" s="468"/>
      <c r="DB71" s="468"/>
      <c r="DC71" s="468"/>
      <c r="DD71" s="468"/>
      <c r="DE71" s="468"/>
      <c r="DF71" s="468"/>
      <c r="DG71" s="468"/>
      <c r="DH71" s="468"/>
      <c r="DI71" s="468"/>
      <c r="DJ71" s="468"/>
      <c r="DK71" s="468"/>
      <c r="DL71" s="468"/>
      <c r="DM71" s="468"/>
      <c r="DN71" s="471"/>
      <c r="DO71" s="468"/>
      <c r="DP71" s="468"/>
      <c r="DQ71" s="468"/>
      <c r="DR71" s="468"/>
      <c r="DS71" s="468"/>
      <c r="DT71" s="468"/>
      <c r="DU71" s="468"/>
      <c r="DV71" s="468"/>
      <c r="DW71" s="468"/>
      <c r="DX71" s="468"/>
      <c r="DY71" s="468"/>
      <c r="DZ71" s="468"/>
      <c r="EA71" s="468"/>
      <c r="EB71" s="468"/>
      <c r="EC71" s="468"/>
      <c r="ED71" s="468"/>
      <c r="EE71" s="468"/>
      <c r="EF71" s="468"/>
      <c r="EG71" s="468"/>
      <c r="EH71" s="468"/>
      <c r="EI71" s="468"/>
      <c r="EJ71" s="468"/>
      <c r="EK71" s="468"/>
      <c r="EL71" s="468"/>
      <c r="EM71" s="468"/>
      <c r="EN71" s="468"/>
      <c r="EO71" s="468"/>
      <c r="EP71" s="468"/>
      <c r="EQ71" s="468"/>
      <c r="ER71" s="468"/>
      <c r="ES71" s="468"/>
      <c r="ET71" s="468"/>
      <c r="EU71" s="468"/>
      <c r="EV71" s="468"/>
      <c r="EW71" s="468"/>
      <c r="EX71" s="468"/>
      <c r="EY71" s="468"/>
      <c r="EZ71" s="468"/>
      <c r="FA71" s="468"/>
      <c r="FB71" s="468"/>
      <c r="FC71" s="468"/>
      <c r="FD71" s="468"/>
      <c r="FE71" s="468"/>
      <c r="FF71" s="468"/>
      <c r="FG71" s="468"/>
      <c r="FH71" s="468"/>
      <c r="FI71" s="468"/>
      <c r="FJ71" s="468"/>
      <c r="FK71" s="468"/>
      <c r="FL71" s="468"/>
      <c r="FM71" s="468"/>
      <c r="FN71" s="468"/>
      <c r="FO71" s="468"/>
      <c r="FP71" s="468"/>
      <c r="FQ71" s="468"/>
      <c r="FR71" s="468"/>
      <c r="FS71" s="468"/>
      <c r="FT71" s="468"/>
      <c r="FU71" s="468"/>
      <c r="FV71" s="468"/>
      <c r="FW71" s="468"/>
      <c r="FX71" s="468"/>
      <c r="FY71" s="468"/>
      <c r="FZ71" s="468"/>
      <c r="GA71" s="468"/>
      <c r="GB71" s="468"/>
      <c r="GC71" s="468"/>
      <c r="GD71" s="468"/>
      <c r="GE71" s="468"/>
      <c r="GF71" s="468"/>
      <c r="GG71" s="468"/>
      <c r="GH71" s="468"/>
      <c r="GI71" s="468"/>
      <c r="GJ71" s="468"/>
      <c r="GK71" s="468"/>
      <c r="GL71" s="468"/>
      <c r="GM71" s="468"/>
      <c r="GN71" s="468"/>
      <c r="GO71" s="468"/>
      <c r="GP71" s="468"/>
      <c r="GQ71" s="468"/>
      <c r="GR71" s="468"/>
      <c r="GS71" s="468"/>
      <c r="GT71" s="468"/>
      <c r="GU71" s="468"/>
      <c r="GV71" s="468"/>
      <c r="GW71" s="468"/>
      <c r="GX71" s="468"/>
      <c r="GY71" s="468"/>
      <c r="GZ71" s="468"/>
      <c r="HA71" s="468"/>
      <c r="HB71" s="468"/>
      <c r="HC71" s="468"/>
      <c r="HD71" s="468"/>
      <c r="HE71" s="468"/>
      <c r="HF71" s="468"/>
      <c r="HG71" s="468"/>
      <c r="HH71" s="468"/>
      <c r="HI71" s="468"/>
      <c r="HJ71" s="468"/>
      <c r="HK71" s="468"/>
      <c r="HL71" s="468"/>
      <c r="HM71" s="468"/>
      <c r="HN71" s="468"/>
      <c r="HO71" s="468"/>
      <c r="HP71" s="468"/>
      <c r="HQ71" s="468"/>
      <c r="HR71" s="468"/>
      <c r="HS71" s="468"/>
      <c r="HT71" s="468"/>
      <c r="HU71" s="468"/>
      <c r="HV71" s="468"/>
      <c r="HW71" s="468"/>
      <c r="HX71" s="468"/>
      <c r="HY71" s="468"/>
      <c r="HZ71" s="468"/>
      <c r="IA71" s="468"/>
      <c r="IB71" s="468"/>
      <c r="IC71" s="468"/>
      <c r="ID71" s="468"/>
      <c r="IE71" s="468"/>
      <c r="IF71" s="468"/>
      <c r="IG71" s="468"/>
      <c r="IH71" s="468"/>
      <c r="II71" s="468"/>
      <c r="IJ71" s="468"/>
      <c r="IK71" s="468"/>
      <c r="IL71" s="468"/>
      <c r="IM71" s="468"/>
      <c r="IN71" s="468"/>
      <c r="IO71" s="468"/>
      <c r="IP71" s="468"/>
      <c r="IQ71" s="468"/>
      <c r="IR71" s="468"/>
      <c r="IS71" s="468"/>
      <c r="IT71" s="468"/>
      <c r="IU71" s="468"/>
      <c r="IV71" s="468"/>
      <c r="IW71" s="468"/>
      <c r="IX71" s="468"/>
      <c r="IY71" s="468"/>
      <c r="IZ71" s="468"/>
      <c r="JA71" s="468"/>
    </row>
    <row r="72" spans="1:261" ht="18.899999999999999" customHeight="1">
      <c r="A72" s="468"/>
      <c r="B72" s="468"/>
      <c r="C72" s="473"/>
      <c r="D72" s="473"/>
      <c r="E72" s="473"/>
      <c r="F72" s="473"/>
      <c r="G72" s="468"/>
      <c r="H72" s="468"/>
      <c r="I72" s="468"/>
      <c r="J72" s="468"/>
      <c r="K72" s="468"/>
      <c r="L72" s="468"/>
      <c r="M72" s="468"/>
      <c r="N72" s="468"/>
      <c r="O72" s="468"/>
      <c r="P72" s="468"/>
      <c r="Q72" s="468"/>
      <c r="R72" s="468"/>
      <c r="S72" s="468"/>
      <c r="T72" s="468"/>
      <c r="U72" s="468"/>
      <c r="V72" s="468"/>
      <c r="W72" s="468"/>
      <c r="X72" s="468"/>
      <c r="Y72" s="468"/>
      <c r="Z72" s="468"/>
      <c r="AA72" s="468"/>
      <c r="AB72" s="468"/>
      <c r="AC72" s="468"/>
      <c r="AD72" s="468"/>
      <c r="AE72" s="468"/>
      <c r="AF72" s="468"/>
      <c r="AG72" s="468"/>
      <c r="AH72" s="468"/>
      <c r="AI72" s="468"/>
      <c r="AJ72" s="468"/>
      <c r="AK72" s="468"/>
      <c r="AL72" s="468"/>
      <c r="AM72" s="468"/>
      <c r="AN72" s="468"/>
      <c r="AO72" s="468"/>
      <c r="AP72" s="468"/>
      <c r="AQ72" s="468"/>
      <c r="AR72" s="468"/>
      <c r="AS72" s="468"/>
      <c r="AT72" s="468"/>
      <c r="AU72" s="468"/>
      <c r="AV72" s="468"/>
      <c r="AW72" s="468"/>
      <c r="AX72" s="468"/>
      <c r="AY72" s="468"/>
      <c r="AZ72" s="468"/>
      <c r="BA72" s="468"/>
      <c r="BB72" s="468"/>
      <c r="BC72" s="468"/>
      <c r="BD72" s="468"/>
      <c r="BE72" s="468"/>
      <c r="BF72" s="468"/>
      <c r="BG72" s="468"/>
      <c r="BH72" s="468"/>
      <c r="BI72" s="468"/>
      <c r="BJ72" s="468"/>
      <c r="BK72" s="468"/>
      <c r="BL72" s="468"/>
      <c r="BM72" s="468"/>
      <c r="BN72" s="468"/>
      <c r="BO72" s="468"/>
      <c r="BP72" s="468"/>
      <c r="BQ72" s="468"/>
      <c r="BR72" s="468"/>
      <c r="BS72" s="468"/>
      <c r="BT72" s="468"/>
      <c r="BU72" s="468"/>
      <c r="BV72" s="468"/>
      <c r="BW72" s="468"/>
      <c r="BX72" s="468"/>
      <c r="BY72" s="468"/>
      <c r="BZ72" s="468"/>
      <c r="CA72" s="468"/>
      <c r="CB72" s="468"/>
      <c r="CC72" s="468"/>
      <c r="CD72" s="468"/>
      <c r="CE72" s="468"/>
      <c r="CF72" s="468"/>
      <c r="CG72" s="468"/>
      <c r="CH72" s="468"/>
      <c r="CI72" s="468"/>
      <c r="CJ72" s="468"/>
      <c r="CK72" s="468"/>
      <c r="CL72" s="468"/>
      <c r="CM72" s="468"/>
      <c r="CN72" s="468"/>
      <c r="CO72" s="468"/>
      <c r="CP72" s="468"/>
      <c r="CQ72" s="468"/>
      <c r="CR72" s="468"/>
      <c r="CS72" s="468"/>
      <c r="CT72" s="468"/>
      <c r="CU72" s="468"/>
      <c r="CV72" s="468"/>
      <c r="CW72" s="468"/>
      <c r="CX72" s="468"/>
      <c r="CY72" s="468"/>
      <c r="CZ72" s="468"/>
      <c r="DA72" s="468"/>
      <c r="DB72" s="468"/>
      <c r="DC72" s="468"/>
      <c r="DD72" s="468"/>
      <c r="DE72" s="468"/>
      <c r="DF72" s="468"/>
      <c r="DG72" s="468"/>
      <c r="DH72" s="468"/>
      <c r="DI72" s="468"/>
      <c r="DJ72" s="468"/>
      <c r="DK72" s="468"/>
      <c r="DL72" s="468"/>
      <c r="DM72" s="468"/>
      <c r="DN72" s="471"/>
      <c r="DO72" s="468"/>
      <c r="DP72" s="468"/>
      <c r="DQ72" s="468"/>
      <c r="DR72" s="468"/>
      <c r="DS72" s="468"/>
      <c r="DT72" s="468"/>
      <c r="DU72" s="468"/>
      <c r="DV72" s="468"/>
      <c r="DW72" s="468"/>
      <c r="DX72" s="468"/>
      <c r="DY72" s="468"/>
      <c r="DZ72" s="468"/>
      <c r="EA72" s="468"/>
      <c r="EB72" s="468"/>
      <c r="EC72" s="468"/>
      <c r="ED72" s="468"/>
      <c r="EE72" s="468"/>
      <c r="EF72" s="468"/>
      <c r="EG72" s="468"/>
      <c r="EH72" s="468"/>
      <c r="EI72" s="468"/>
      <c r="EJ72" s="468"/>
      <c r="EK72" s="468"/>
      <c r="EL72" s="468"/>
      <c r="EM72" s="468"/>
      <c r="EN72" s="468"/>
      <c r="EO72" s="468"/>
      <c r="EP72" s="468"/>
      <c r="EQ72" s="468"/>
      <c r="ER72" s="468"/>
      <c r="ES72" s="468"/>
      <c r="ET72" s="468"/>
      <c r="EU72" s="468"/>
      <c r="EV72" s="468"/>
      <c r="EW72" s="468"/>
      <c r="EX72" s="468"/>
      <c r="EY72" s="468"/>
      <c r="EZ72" s="468"/>
      <c r="FA72" s="468"/>
      <c r="FB72" s="468"/>
      <c r="FC72" s="468"/>
      <c r="FD72" s="468"/>
      <c r="FE72" s="468"/>
      <c r="FF72" s="468"/>
      <c r="FG72" s="468"/>
      <c r="FH72" s="468"/>
      <c r="FI72" s="468"/>
      <c r="FJ72" s="468"/>
      <c r="FK72" s="468"/>
      <c r="FL72" s="468"/>
      <c r="FM72" s="468"/>
      <c r="FN72" s="468"/>
      <c r="FO72" s="468"/>
      <c r="FP72" s="468"/>
      <c r="FQ72" s="468"/>
      <c r="FR72" s="468"/>
      <c r="FS72" s="468"/>
      <c r="FT72" s="468"/>
      <c r="FU72" s="468"/>
      <c r="FV72" s="468"/>
      <c r="FW72" s="468"/>
      <c r="FX72" s="468"/>
      <c r="FY72" s="468"/>
      <c r="FZ72" s="468"/>
      <c r="GA72" s="468"/>
      <c r="GB72" s="468"/>
      <c r="GC72" s="468"/>
      <c r="GD72" s="468"/>
      <c r="GE72" s="468"/>
      <c r="GF72" s="468"/>
      <c r="GG72" s="468"/>
      <c r="GH72" s="468"/>
      <c r="GI72" s="468"/>
      <c r="GJ72" s="468"/>
      <c r="GK72" s="468"/>
      <c r="GL72" s="468"/>
      <c r="GM72" s="468"/>
      <c r="GN72" s="468"/>
      <c r="GO72" s="468"/>
      <c r="GP72" s="468"/>
      <c r="GQ72" s="468"/>
      <c r="GR72" s="468"/>
      <c r="GS72" s="468"/>
      <c r="GT72" s="468"/>
      <c r="GU72" s="468"/>
      <c r="GV72" s="468"/>
      <c r="GW72" s="468"/>
      <c r="GX72" s="468"/>
      <c r="GY72" s="468"/>
      <c r="GZ72" s="468"/>
      <c r="HA72" s="468"/>
      <c r="HB72" s="468"/>
      <c r="HC72" s="468"/>
      <c r="HD72" s="468"/>
      <c r="HE72" s="468"/>
      <c r="HF72" s="468"/>
      <c r="HG72" s="468"/>
      <c r="HH72" s="468"/>
      <c r="HI72" s="468"/>
      <c r="HJ72" s="468"/>
      <c r="HK72" s="468"/>
      <c r="HL72" s="468"/>
      <c r="HM72" s="468"/>
      <c r="HN72" s="468"/>
      <c r="HO72" s="468"/>
      <c r="HP72" s="468"/>
      <c r="HQ72" s="468"/>
      <c r="HR72" s="468"/>
      <c r="HS72" s="468"/>
      <c r="HT72" s="468"/>
      <c r="HU72" s="468"/>
      <c r="HV72" s="468"/>
      <c r="HW72" s="468"/>
      <c r="HX72" s="468"/>
      <c r="HY72" s="468"/>
      <c r="HZ72" s="468"/>
      <c r="IA72" s="468"/>
      <c r="IB72" s="468"/>
      <c r="IC72" s="468"/>
      <c r="ID72" s="468"/>
      <c r="IE72" s="468"/>
      <c r="IF72" s="468"/>
      <c r="IG72" s="468"/>
      <c r="IH72" s="468"/>
      <c r="II72" s="468"/>
      <c r="IJ72" s="468"/>
      <c r="IK72" s="468"/>
      <c r="IL72" s="468"/>
      <c r="IM72" s="468"/>
      <c r="IN72" s="468"/>
      <c r="IO72" s="468"/>
      <c r="IP72" s="468"/>
      <c r="IQ72" s="468"/>
      <c r="IR72" s="468"/>
      <c r="IS72" s="468"/>
      <c r="IT72" s="468"/>
      <c r="IU72" s="468"/>
      <c r="IV72" s="468"/>
      <c r="IW72" s="468"/>
      <c r="IX72" s="468"/>
      <c r="IY72" s="468"/>
      <c r="IZ72" s="468"/>
      <c r="JA72" s="468"/>
    </row>
    <row r="73" spans="1:261" ht="18.899999999999999" customHeight="1">
      <c r="A73" s="468"/>
      <c r="B73" s="468"/>
      <c r="C73" s="473"/>
      <c r="D73" s="473"/>
      <c r="E73" s="473"/>
      <c r="F73" s="473"/>
      <c r="G73" s="468"/>
      <c r="H73" s="468"/>
      <c r="I73" s="468"/>
      <c r="J73" s="468"/>
      <c r="K73" s="468"/>
      <c r="L73" s="468"/>
      <c r="M73" s="468"/>
      <c r="N73" s="468"/>
      <c r="O73" s="468"/>
      <c r="P73" s="468"/>
      <c r="Q73" s="468"/>
      <c r="R73" s="468"/>
      <c r="S73" s="468"/>
      <c r="T73" s="468"/>
      <c r="U73" s="468"/>
      <c r="V73" s="468"/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468"/>
      <c r="AI73" s="468"/>
      <c r="AJ73" s="468"/>
      <c r="AK73" s="468"/>
      <c r="AL73" s="468"/>
      <c r="AM73" s="468"/>
      <c r="AN73" s="468"/>
      <c r="AO73" s="468"/>
      <c r="AP73" s="468"/>
      <c r="AQ73" s="468"/>
      <c r="AR73" s="468"/>
      <c r="AS73" s="468"/>
      <c r="AT73" s="468"/>
      <c r="AU73" s="468"/>
      <c r="AV73" s="468"/>
      <c r="AW73" s="468"/>
      <c r="AX73" s="468"/>
      <c r="AY73" s="468"/>
      <c r="AZ73" s="468"/>
      <c r="BA73" s="468"/>
      <c r="BB73" s="468"/>
      <c r="BC73" s="468"/>
      <c r="BD73" s="468"/>
      <c r="BE73" s="468"/>
      <c r="BF73" s="468"/>
      <c r="BG73" s="468"/>
      <c r="BH73" s="468"/>
      <c r="BI73" s="468"/>
      <c r="BJ73" s="468"/>
      <c r="BK73" s="468"/>
      <c r="BL73" s="468"/>
      <c r="BM73" s="468"/>
      <c r="BN73" s="468"/>
      <c r="BO73" s="468"/>
      <c r="BP73" s="468"/>
      <c r="BQ73" s="468"/>
      <c r="BR73" s="468"/>
      <c r="BS73" s="468"/>
      <c r="BT73" s="468"/>
      <c r="BU73" s="468"/>
      <c r="BV73" s="468"/>
      <c r="BW73" s="468"/>
      <c r="BX73" s="468"/>
      <c r="BY73" s="468"/>
      <c r="BZ73" s="468"/>
      <c r="CA73" s="468"/>
      <c r="CB73" s="468"/>
      <c r="CC73" s="468"/>
      <c r="CD73" s="468"/>
      <c r="CE73" s="468"/>
      <c r="CF73" s="468"/>
      <c r="CG73" s="468"/>
      <c r="CH73" s="468"/>
      <c r="CI73" s="468"/>
      <c r="CJ73" s="468"/>
      <c r="CK73" s="468"/>
      <c r="CL73" s="468"/>
      <c r="CM73" s="468"/>
      <c r="CN73" s="468"/>
      <c r="CO73" s="468"/>
      <c r="CP73" s="468"/>
      <c r="CQ73" s="468"/>
      <c r="CR73" s="468"/>
      <c r="CS73" s="468"/>
      <c r="CT73" s="468"/>
      <c r="CU73" s="468"/>
      <c r="CV73" s="468"/>
      <c r="CW73" s="468"/>
      <c r="CX73" s="468"/>
      <c r="CY73" s="468"/>
      <c r="CZ73" s="468"/>
      <c r="DA73" s="468"/>
      <c r="DB73" s="468"/>
      <c r="DC73" s="468"/>
      <c r="DD73" s="468"/>
      <c r="DE73" s="468"/>
      <c r="DF73" s="468"/>
      <c r="DG73" s="468"/>
      <c r="DH73" s="468"/>
      <c r="DI73" s="468"/>
      <c r="DJ73" s="468"/>
      <c r="DK73" s="468"/>
      <c r="DL73" s="468"/>
      <c r="DM73" s="468"/>
      <c r="DN73" s="471"/>
      <c r="DO73" s="468"/>
      <c r="DP73" s="468"/>
      <c r="DQ73" s="468"/>
      <c r="DR73" s="468"/>
      <c r="DS73" s="468"/>
      <c r="DT73" s="468"/>
      <c r="DU73" s="468"/>
      <c r="DV73" s="468"/>
      <c r="DW73" s="468"/>
      <c r="DX73" s="468"/>
      <c r="DY73" s="468"/>
      <c r="DZ73" s="468"/>
      <c r="EA73" s="468"/>
      <c r="EB73" s="468"/>
      <c r="EC73" s="468"/>
      <c r="ED73" s="468"/>
      <c r="EE73" s="468"/>
      <c r="EF73" s="468"/>
      <c r="EG73" s="468"/>
      <c r="EH73" s="468"/>
      <c r="EI73" s="468"/>
      <c r="EJ73" s="468"/>
      <c r="EK73" s="468"/>
      <c r="EL73" s="468"/>
      <c r="EM73" s="468"/>
      <c r="EN73" s="468"/>
      <c r="EO73" s="468"/>
      <c r="EP73" s="468"/>
      <c r="EQ73" s="468"/>
      <c r="ER73" s="468"/>
      <c r="ES73" s="468"/>
      <c r="ET73" s="468"/>
      <c r="EU73" s="468"/>
      <c r="EV73" s="468"/>
      <c r="EW73" s="468"/>
      <c r="EX73" s="468"/>
      <c r="EY73" s="468"/>
      <c r="EZ73" s="468"/>
      <c r="FA73" s="468"/>
      <c r="FB73" s="468"/>
      <c r="FC73" s="468"/>
      <c r="FD73" s="468"/>
      <c r="FE73" s="468"/>
      <c r="FF73" s="468"/>
      <c r="FG73" s="468"/>
      <c r="FH73" s="468"/>
      <c r="FI73" s="468"/>
      <c r="FJ73" s="468"/>
      <c r="FK73" s="468"/>
      <c r="FL73" s="468"/>
      <c r="FM73" s="468"/>
      <c r="FN73" s="468"/>
      <c r="FO73" s="468"/>
      <c r="FP73" s="468"/>
      <c r="FQ73" s="468"/>
      <c r="FR73" s="468"/>
      <c r="FS73" s="468"/>
      <c r="FT73" s="468"/>
      <c r="FU73" s="468"/>
      <c r="FV73" s="468"/>
      <c r="FW73" s="468"/>
      <c r="FX73" s="468"/>
      <c r="FY73" s="468"/>
      <c r="FZ73" s="468"/>
      <c r="GA73" s="468"/>
      <c r="GB73" s="468"/>
      <c r="GC73" s="468"/>
      <c r="GD73" s="468"/>
      <c r="GE73" s="468"/>
      <c r="GF73" s="468"/>
      <c r="GG73" s="468"/>
      <c r="GH73" s="468"/>
      <c r="GI73" s="468"/>
      <c r="GJ73" s="468"/>
      <c r="GK73" s="468"/>
      <c r="GL73" s="468"/>
      <c r="GM73" s="468"/>
      <c r="GN73" s="468"/>
      <c r="GO73" s="468"/>
      <c r="GP73" s="468"/>
      <c r="GQ73" s="468"/>
      <c r="GR73" s="468"/>
      <c r="GS73" s="468"/>
      <c r="GT73" s="468"/>
      <c r="GU73" s="468"/>
      <c r="GV73" s="468"/>
      <c r="GW73" s="468"/>
      <c r="GX73" s="468"/>
      <c r="GY73" s="468"/>
      <c r="GZ73" s="468"/>
      <c r="HA73" s="468"/>
      <c r="HB73" s="468"/>
      <c r="HC73" s="468"/>
      <c r="HD73" s="468"/>
      <c r="HE73" s="468"/>
      <c r="HF73" s="468"/>
      <c r="HG73" s="468"/>
      <c r="HH73" s="468"/>
      <c r="HI73" s="468"/>
      <c r="HJ73" s="468"/>
      <c r="HK73" s="468"/>
      <c r="HL73" s="468"/>
      <c r="HM73" s="468"/>
      <c r="HN73" s="468"/>
      <c r="HO73" s="468"/>
      <c r="HP73" s="468"/>
      <c r="HQ73" s="468"/>
      <c r="HR73" s="468"/>
      <c r="HS73" s="468"/>
      <c r="HT73" s="468"/>
      <c r="HU73" s="468"/>
      <c r="HV73" s="468"/>
      <c r="HW73" s="468"/>
      <c r="HX73" s="468"/>
      <c r="HY73" s="468"/>
      <c r="HZ73" s="468"/>
      <c r="IA73" s="468"/>
      <c r="IB73" s="468"/>
      <c r="IC73" s="468"/>
      <c r="ID73" s="468"/>
      <c r="IE73" s="468"/>
      <c r="IF73" s="468"/>
      <c r="IG73" s="468"/>
      <c r="IH73" s="468"/>
      <c r="II73" s="468"/>
      <c r="IJ73" s="468"/>
      <c r="IK73" s="468"/>
      <c r="IL73" s="468"/>
      <c r="IM73" s="468"/>
      <c r="IN73" s="468"/>
      <c r="IO73" s="468"/>
      <c r="IP73" s="468"/>
      <c r="IQ73" s="468"/>
      <c r="IR73" s="468"/>
      <c r="IS73" s="468"/>
      <c r="IT73" s="468"/>
      <c r="IU73" s="468"/>
      <c r="IV73" s="468"/>
      <c r="IW73" s="468"/>
      <c r="IX73" s="468"/>
      <c r="IY73" s="468"/>
      <c r="IZ73" s="468"/>
      <c r="JA73" s="468"/>
    </row>
    <row r="74" spans="1:261" ht="18.899999999999999" customHeight="1">
      <c r="A74" s="468"/>
      <c r="B74" s="468"/>
      <c r="C74" s="473"/>
      <c r="D74" s="473"/>
      <c r="E74" s="473"/>
      <c r="F74" s="473"/>
      <c r="G74" s="468"/>
      <c r="H74" s="468"/>
      <c r="I74" s="468"/>
      <c r="J74" s="468"/>
      <c r="K74" s="468"/>
      <c r="L74" s="468"/>
      <c r="M74" s="468"/>
      <c r="N74" s="468"/>
      <c r="O74" s="468"/>
      <c r="P74" s="468"/>
      <c r="Q74" s="468"/>
      <c r="R74" s="468"/>
      <c r="S74" s="468"/>
      <c r="T74" s="468"/>
      <c r="U74" s="468"/>
      <c r="V74" s="468"/>
      <c r="W74" s="468"/>
      <c r="X74" s="468"/>
      <c r="Y74" s="468"/>
      <c r="Z74" s="468"/>
      <c r="AA74" s="468"/>
      <c r="AB74" s="468"/>
      <c r="AC74" s="468"/>
      <c r="AD74" s="468"/>
      <c r="AE74" s="468"/>
      <c r="AF74" s="468"/>
      <c r="AG74" s="468"/>
      <c r="AH74" s="468"/>
      <c r="AI74" s="468"/>
      <c r="AJ74" s="468"/>
      <c r="AK74" s="468"/>
      <c r="AL74" s="468"/>
      <c r="AM74" s="468"/>
      <c r="AN74" s="468"/>
      <c r="AO74" s="468"/>
      <c r="AP74" s="468"/>
      <c r="AQ74" s="468"/>
      <c r="AR74" s="468"/>
      <c r="AS74" s="468"/>
      <c r="AT74" s="468"/>
      <c r="AU74" s="468"/>
      <c r="AV74" s="468"/>
      <c r="AW74" s="468"/>
      <c r="AX74" s="468"/>
      <c r="AY74" s="468"/>
      <c r="AZ74" s="468"/>
      <c r="BA74" s="468"/>
      <c r="BB74" s="468"/>
      <c r="BC74" s="468"/>
      <c r="BD74" s="468"/>
      <c r="BE74" s="468"/>
      <c r="BF74" s="468"/>
      <c r="BG74" s="468"/>
      <c r="BH74" s="468"/>
      <c r="BI74" s="468"/>
      <c r="BJ74" s="468"/>
      <c r="BK74" s="468"/>
      <c r="BL74" s="468"/>
      <c r="BM74" s="468"/>
      <c r="BN74" s="468"/>
      <c r="BO74" s="468"/>
      <c r="BP74" s="468"/>
      <c r="BQ74" s="468"/>
      <c r="BR74" s="468"/>
      <c r="BS74" s="468"/>
      <c r="BT74" s="468"/>
      <c r="BU74" s="468"/>
      <c r="BV74" s="468"/>
      <c r="BW74" s="468"/>
      <c r="BX74" s="468"/>
      <c r="BY74" s="468"/>
      <c r="BZ74" s="468"/>
      <c r="CA74" s="468"/>
      <c r="CB74" s="468"/>
      <c r="CC74" s="468"/>
      <c r="CD74" s="468"/>
      <c r="CE74" s="468"/>
      <c r="CF74" s="468"/>
      <c r="CG74" s="468"/>
      <c r="CH74" s="468"/>
      <c r="CI74" s="468"/>
      <c r="CJ74" s="468"/>
      <c r="CK74" s="468"/>
      <c r="CL74" s="468"/>
      <c r="CM74" s="468"/>
      <c r="CN74" s="468"/>
      <c r="CO74" s="468"/>
      <c r="CP74" s="468"/>
      <c r="CQ74" s="468"/>
      <c r="CR74" s="468"/>
      <c r="CS74" s="468"/>
      <c r="CT74" s="468"/>
      <c r="CU74" s="468"/>
      <c r="CV74" s="468"/>
      <c r="CW74" s="468"/>
      <c r="CX74" s="468"/>
      <c r="CY74" s="468"/>
      <c r="CZ74" s="468"/>
      <c r="DA74" s="468"/>
      <c r="DB74" s="468"/>
      <c r="DC74" s="468"/>
      <c r="DD74" s="468"/>
      <c r="DE74" s="468"/>
      <c r="DF74" s="468"/>
      <c r="DG74" s="468"/>
      <c r="DH74" s="468"/>
      <c r="DI74" s="468"/>
      <c r="DJ74" s="468"/>
      <c r="DK74" s="468"/>
      <c r="DL74" s="468"/>
      <c r="DM74" s="468"/>
      <c r="DN74" s="471"/>
      <c r="DO74" s="468"/>
      <c r="DP74" s="468"/>
      <c r="DQ74" s="468"/>
      <c r="DR74" s="468"/>
      <c r="DS74" s="468"/>
      <c r="DT74" s="468"/>
      <c r="DU74" s="468"/>
      <c r="DV74" s="468"/>
      <c r="DW74" s="468"/>
      <c r="DX74" s="468"/>
      <c r="DY74" s="468"/>
      <c r="DZ74" s="468"/>
      <c r="EA74" s="468"/>
      <c r="EB74" s="468"/>
      <c r="EC74" s="468"/>
      <c r="ED74" s="468"/>
      <c r="EE74" s="468"/>
      <c r="EF74" s="468"/>
      <c r="EG74" s="468"/>
      <c r="EH74" s="468"/>
      <c r="EI74" s="468"/>
      <c r="EJ74" s="468"/>
      <c r="EK74" s="468"/>
      <c r="EL74" s="468"/>
      <c r="EM74" s="468"/>
      <c r="EN74" s="468"/>
      <c r="EO74" s="468"/>
      <c r="EP74" s="468"/>
      <c r="EQ74" s="468"/>
      <c r="ER74" s="468"/>
      <c r="ES74" s="468"/>
      <c r="ET74" s="468"/>
      <c r="EU74" s="468"/>
      <c r="EV74" s="468"/>
      <c r="EW74" s="468"/>
      <c r="EX74" s="468"/>
      <c r="EY74" s="468"/>
      <c r="EZ74" s="468"/>
      <c r="FA74" s="468"/>
      <c r="FB74" s="468"/>
      <c r="FC74" s="468"/>
      <c r="FD74" s="468"/>
      <c r="FE74" s="468"/>
      <c r="FF74" s="468"/>
      <c r="FG74" s="468"/>
      <c r="FH74" s="468"/>
      <c r="FI74" s="468"/>
      <c r="FJ74" s="468"/>
      <c r="FK74" s="468"/>
      <c r="FL74" s="468"/>
      <c r="FM74" s="468"/>
      <c r="FN74" s="468"/>
      <c r="FO74" s="468"/>
      <c r="FP74" s="468"/>
      <c r="FQ74" s="468"/>
      <c r="FR74" s="468"/>
      <c r="FS74" s="468"/>
      <c r="FT74" s="468"/>
      <c r="FU74" s="468"/>
      <c r="FV74" s="468"/>
      <c r="FW74" s="468"/>
      <c r="FX74" s="468"/>
      <c r="FY74" s="468"/>
      <c r="FZ74" s="468"/>
      <c r="GA74" s="468"/>
      <c r="GB74" s="468"/>
      <c r="GC74" s="468"/>
      <c r="GD74" s="468"/>
      <c r="GE74" s="468"/>
      <c r="GF74" s="468"/>
      <c r="GG74" s="468"/>
      <c r="GH74" s="468"/>
      <c r="GI74" s="468"/>
      <c r="GJ74" s="468"/>
      <c r="GK74" s="468"/>
      <c r="GL74" s="468"/>
      <c r="GM74" s="468"/>
      <c r="GN74" s="468"/>
      <c r="GO74" s="468"/>
      <c r="GP74" s="468"/>
      <c r="GQ74" s="468"/>
      <c r="GR74" s="468"/>
      <c r="GS74" s="468"/>
      <c r="GT74" s="468"/>
      <c r="GU74" s="468"/>
      <c r="GV74" s="468"/>
      <c r="GW74" s="468"/>
      <c r="GX74" s="468"/>
      <c r="GY74" s="468"/>
      <c r="GZ74" s="468"/>
      <c r="HA74" s="468"/>
      <c r="HB74" s="468"/>
      <c r="HC74" s="468"/>
      <c r="HD74" s="468"/>
      <c r="HE74" s="468"/>
      <c r="HF74" s="468"/>
      <c r="HG74" s="468"/>
      <c r="HH74" s="468"/>
      <c r="HI74" s="468"/>
      <c r="HJ74" s="468"/>
      <c r="HK74" s="468"/>
      <c r="HL74" s="468"/>
      <c r="HM74" s="468"/>
      <c r="HN74" s="468"/>
      <c r="HO74" s="468"/>
      <c r="HP74" s="468"/>
      <c r="HQ74" s="468"/>
      <c r="HR74" s="468"/>
      <c r="HS74" s="468"/>
      <c r="HT74" s="468"/>
      <c r="HU74" s="468"/>
      <c r="HV74" s="468"/>
      <c r="HW74" s="468"/>
      <c r="HX74" s="468"/>
      <c r="HY74" s="468"/>
      <c r="HZ74" s="468"/>
      <c r="IA74" s="468"/>
      <c r="IB74" s="468"/>
      <c r="IC74" s="468"/>
      <c r="ID74" s="468"/>
      <c r="IE74" s="468"/>
      <c r="IF74" s="468"/>
      <c r="IG74" s="468"/>
      <c r="IH74" s="468"/>
      <c r="II74" s="468"/>
      <c r="IJ74" s="468"/>
      <c r="IK74" s="468"/>
      <c r="IL74" s="468"/>
      <c r="IM74" s="468"/>
      <c r="IN74" s="468"/>
      <c r="IO74" s="468"/>
      <c r="IP74" s="468"/>
      <c r="IQ74" s="468"/>
      <c r="IR74" s="468"/>
      <c r="IS74" s="468"/>
      <c r="IT74" s="468"/>
      <c r="IU74" s="468"/>
      <c r="IV74" s="468"/>
      <c r="IW74" s="468"/>
      <c r="IX74" s="468"/>
      <c r="IY74" s="468"/>
      <c r="IZ74" s="468"/>
      <c r="JA74" s="468"/>
    </row>
    <row r="75" spans="1:261" ht="18.899999999999999" customHeight="1">
      <c r="A75" s="468"/>
      <c r="B75" s="468"/>
      <c r="C75" s="473"/>
      <c r="D75" s="473"/>
      <c r="E75" s="473"/>
      <c r="F75" s="473"/>
      <c r="G75" s="468"/>
      <c r="H75" s="468"/>
      <c r="I75" s="468"/>
      <c r="J75" s="468"/>
      <c r="K75" s="468"/>
      <c r="L75" s="468"/>
      <c r="M75" s="468"/>
      <c r="N75" s="468"/>
      <c r="O75" s="468"/>
      <c r="P75" s="468"/>
      <c r="Q75" s="468"/>
      <c r="R75" s="468"/>
      <c r="S75" s="468"/>
      <c r="T75" s="468"/>
      <c r="U75" s="468"/>
      <c r="V75" s="468"/>
      <c r="W75" s="468"/>
      <c r="X75" s="468"/>
      <c r="Y75" s="468"/>
      <c r="Z75" s="468"/>
      <c r="AA75" s="468"/>
      <c r="AB75" s="468"/>
      <c r="AC75" s="468"/>
      <c r="AD75" s="468"/>
      <c r="AE75" s="468"/>
      <c r="AF75" s="468"/>
      <c r="AG75" s="468"/>
      <c r="AH75" s="468"/>
      <c r="AI75" s="468"/>
      <c r="AJ75" s="468"/>
      <c r="AK75" s="468"/>
      <c r="AL75" s="468"/>
      <c r="AM75" s="468"/>
      <c r="AN75" s="468"/>
      <c r="AO75" s="468"/>
      <c r="AP75" s="468"/>
      <c r="AQ75" s="468"/>
      <c r="AR75" s="468"/>
      <c r="AS75" s="468"/>
      <c r="AT75" s="468"/>
      <c r="AU75" s="468"/>
      <c r="AV75" s="468"/>
      <c r="AW75" s="468"/>
      <c r="AX75" s="468"/>
      <c r="AY75" s="468"/>
      <c r="AZ75" s="468"/>
      <c r="BA75" s="468"/>
      <c r="BB75" s="468"/>
      <c r="BC75" s="468"/>
      <c r="BD75" s="468"/>
      <c r="BE75" s="468"/>
      <c r="BF75" s="468"/>
      <c r="BG75" s="468"/>
      <c r="BH75" s="468"/>
      <c r="BI75" s="468"/>
      <c r="BJ75" s="468"/>
      <c r="BK75" s="468"/>
      <c r="BL75" s="468"/>
      <c r="BM75" s="468"/>
      <c r="BN75" s="468"/>
      <c r="BO75" s="468"/>
      <c r="BP75" s="468"/>
      <c r="BQ75" s="468"/>
      <c r="BR75" s="468"/>
      <c r="BS75" s="468"/>
      <c r="BT75" s="468"/>
      <c r="BU75" s="468"/>
      <c r="BV75" s="468"/>
      <c r="BW75" s="468"/>
      <c r="BX75" s="468"/>
      <c r="BY75" s="468"/>
      <c r="BZ75" s="468"/>
      <c r="CA75" s="468"/>
      <c r="CB75" s="468"/>
      <c r="CC75" s="468"/>
      <c r="CD75" s="468"/>
      <c r="CE75" s="468"/>
      <c r="CF75" s="468"/>
      <c r="CG75" s="468"/>
      <c r="CH75" s="468"/>
      <c r="CI75" s="468"/>
      <c r="CJ75" s="468"/>
      <c r="CK75" s="468"/>
      <c r="CL75" s="468"/>
      <c r="CM75" s="468"/>
      <c r="CN75" s="468"/>
      <c r="CO75" s="468"/>
      <c r="CP75" s="468"/>
      <c r="CQ75" s="468"/>
      <c r="CR75" s="468"/>
      <c r="CS75" s="468"/>
      <c r="CT75" s="468"/>
      <c r="CU75" s="468"/>
      <c r="CV75" s="468"/>
      <c r="CW75" s="468"/>
      <c r="CX75" s="468"/>
      <c r="CY75" s="468"/>
      <c r="CZ75" s="468"/>
      <c r="DA75" s="468"/>
      <c r="DB75" s="468"/>
      <c r="DC75" s="468"/>
      <c r="DD75" s="468"/>
      <c r="DE75" s="468"/>
      <c r="DF75" s="468"/>
      <c r="DG75" s="468"/>
      <c r="DH75" s="468"/>
      <c r="DI75" s="468"/>
      <c r="DJ75" s="468"/>
      <c r="DK75" s="468"/>
      <c r="DL75" s="468"/>
      <c r="DM75" s="468"/>
      <c r="DN75" s="471"/>
      <c r="DO75" s="468"/>
      <c r="DP75" s="468"/>
      <c r="DQ75" s="468"/>
      <c r="DR75" s="468"/>
      <c r="DS75" s="468"/>
      <c r="DT75" s="468"/>
      <c r="DU75" s="468"/>
      <c r="DV75" s="468"/>
      <c r="DW75" s="468"/>
      <c r="DX75" s="468"/>
      <c r="DY75" s="468"/>
      <c r="DZ75" s="468"/>
      <c r="EA75" s="468"/>
      <c r="EB75" s="468"/>
      <c r="EC75" s="468"/>
      <c r="ED75" s="468"/>
      <c r="EE75" s="468"/>
      <c r="EF75" s="468"/>
      <c r="EG75" s="468"/>
      <c r="EH75" s="468"/>
      <c r="EI75" s="468"/>
      <c r="EJ75" s="468"/>
      <c r="EK75" s="468"/>
      <c r="EL75" s="468"/>
      <c r="EM75" s="468"/>
      <c r="EN75" s="468"/>
      <c r="EO75" s="468"/>
      <c r="EP75" s="468"/>
      <c r="EQ75" s="468"/>
      <c r="ER75" s="468"/>
      <c r="ES75" s="468"/>
      <c r="ET75" s="468"/>
      <c r="EU75" s="468"/>
      <c r="EV75" s="468"/>
      <c r="EW75" s="468"/>
      <c r="EX75" s="468"/>
      <c r="EY75" s="468"/>
      <c r="EZ75" s="468"/>
      <c r="FA75" s="468"/>
      <c r="FB75" s="468"/>
      <c r="FC75" s="468"/>
      <c r="FD75" s="468"/>
      <c r="FE75" s="468"/>
      <c r="FF75" s="468"/>
      <c r="FG75" s="468"/>
      <c r="FH75" s="468"/>
      <c r="FI75" s="468"/>
      <c r="FJ75" s="468"/>
      <c r="FK75" s="468"/>
      <c r="FL75" s="468"/>
      <c r="FM75" s="468"/>
      <c r="FN75" s="468"/>
      <c r="FO75" s="468"/>
      <c r="FP75" s="468"/>
      <c r="FQ75" s="468"/>
      <c r="FR75" s="468"/>
      <c r="FS75" s="468"/>
      <c r="FT75" s="468"/>
      <c r="FU75" s="468"/>
      <c r="FV75" s="468"/>
      <c r="FW75" s="468"/>
      <c r="FX75" s="468"/>
      <c r="FY75" s="468"/>
      <c r="FZ75" s="468"/>
      <c r="GA75" s="468"/>
      <c r="GB75" s="468"/>
      <c r="GC75" s="468"/>
      <c r="GD75" s="468"/>
      <c r="GE75" s="468"/>
      <c r="GF75" s="468"/>
      <c r="GG75" s="468"/>
      <c r="GH75" s="468"/>
      <c r="GI75" s="468"/>
      <c r="GJ75" s="468"/>
      <c r="GK75" s="468"/>
      <c r="GL75" s="468"/>
      <c r="GM75" s="468"/>
      <c r="GN75" s="468"/>
      <c r="GO75" s="468"/>
      <c r="GP75" s="468"/>
      <c r="GQ75" s="468"/>
      <c r="GR75" s="468"/>
      <c r="GS75" s="468"/>
      <c r="GT75" s="468"/>
      <c r="GU75" s="468"/>
      <c r="GV75" s="468"/>
      <c r="GW75" s="468"/>
      <c r="GX75" s="468"/>
      <c r="GY75" s="468"/>
      <c r="GZ75" s="468"/>
      <c r="HA75" s="468"/>
      <c r="HB75" s="468"/>
      <c r="HC75" s="468"/>
      <c r="HD75" s="468"/>
      <c r="HE75" s="468"/>
      <c r="HF75" s="468"/>
      <c r="HG75" s="468"/>
      <c r="HH75" s="468"/>
      <c r="HI75" s="468"/>
      <c r="HJ75" s="468"/>
      <c r="HK75" s="468"/>
      <c r="HL75" s="468"/>
      <c r="HM75" s="468"/>
      <c r="HN75" s="468"/>
      <c r="HO75" s="468"/>
      <c r="HP75" s="468"/>
      <c r="HQ75" s="468"/>
      <c r="HR75" s="468"/>
      <c r="HS75" s="468"/>
      <c r="HT75" s="468"/>
      <c r="HU75" s="468"/>
      <c r="HV75" s="468"/>
      <c r="HW75" s="468"/>
      <c r="HX75" s="468"/>
      <c r="HY75" s="468"/>
      <c r="HZ75" s="468"/>
      <c r="IA75" s="468"/>
      <c r="IB75" s="468"/>
      <c r="IC75" s="468"/>
      <c r="ID75" s="468"/>
      <c r="IE75" s="468"/>
      <c r="IF75" s="468"/>
      <c r="IG75" s="468"/>
      <c r="IH75" s="468"/>
      <c r="II75" s="468"/>
      <c r="IJ75" s="468"/>
      <c r="IK75" s="468"/>
      <c r="IL75" s="468"/>
      <c r="IM75" s="468"/>
      <c r="IN75" s="468"/>
      <c r="IO75" s="468"/>
      <c r="IP75" s="468"/>
      <c r="IQ75" s="468"/>
      <c r="IR75" s="468"/>
      <c r="IS75" s="468"/>
      <c r="IT75" s="468"/>
      <c r="IU75" s="468"/>
      <c r="IV75" s="468"/>
      <c r="IW75" s="468"/>
      <c r="IX75" s="468"/>
      <c r="IY75" s="468"/>
      <c r="IZ75" s="468"/>
      <c r="JA75" s="468"/>
    </row>
    <row r="76" spans="1:261" ht="18.899999999999999" customHeight="1">
      <c r="A76" s="468"/>
      <c r="B76" s="468"/>
      <c r="C76" s="473"/>
      <c r="D76" s="473"/>
      <c r="E76" s="473"/>
      <c r="F76" s="473"/>
      <c r="G76" s="468"/>
      <c r="H76" s="468"/>
      <c r="I76" s="468"/>
      <c r="J76" s="468"/>
      <c r="K76" s="468"/>
      <c r="L76" s="468"/>
      <c r="M76" s="468"/>
      <c r="N76" s="468"/>
      <c r="O76" s="468"/>
      <c r="P76" s="468"/>
      <c r="Q76" s="468"/>
      <c r="R76" s="468"/>
      <c r="S76" s="468"/>
      <c r="T76" s="468"/>
      <c r="U76" s="468"/>
      <c r="V76" s="468"/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71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</row>
    <row r="77" spans="1:261" ht="18.899999999999999" customHeight="1">
      <c r="A77" s="468"/>
      <c r="B77" s="468"/>
      <c r="C77" s="473"/>
      <c r="D77" s="473"/>
      <c r="E77" s="473"/>
      <c r="F77" s="473"/>
      <c r="G77" s="468"/>
      <c r="H77" s="468"/>
      <c r="I77" s="468"/>
      <c r="J77" s="468"/>
      <c r="K77" s="468"/>
      <c r="L77" s="468"/>
      <c r="M77" s="468"/>
      <c r="N77" s="468"/>
      <c r="O77" s="468"/>
      <c r="P77" s="468"/>
      <c r="Q77" s="468"/>
      <c r="R77" s="468"/>
      <c r="S77" s="468"/>
      <c r="T77" s="468"/>
      <c r="U77" s="468"/>
      <c r="V77" s="468"/>
      <c r="W77" s="468"/>
      <c r="X77" s="468"/>
      <c r="Y77" s="468"/>
      <c r="Z77" s="468"/>
      <c r="AA77" s="468"/>
      <c r="AB77" s="468"/>
      <c r="AC77" s="468"/>
      <c r="AD77" s="468"/>
      <c r="AE77" s="468"/>
      <c r="AF77" s="468"/>
      <c r="AG77" s="468"/>
      <c r="AH77" s="468"/>
      <c r="AI77" s="468"/>
      <c r="AJ77" s="468"/>
      <c r="AK77" s="468"/>
      <c r="AL77" s="468"/>
      <c r="AM77" s="468"/>
      <c r="AN77" s="468"/>
      <c r="AO77" s="468"/>
      <c r="AP77" s="468"/>
      <c r="AQ77" s="468"/>
      <c r="AR77" s="468"/>
      <c r="AS77" s="468"/>
      <c r="AT77" s="468"/>
      <c r="AU77" s="468"/>
      <c r="AV77" s="468"/>
      <c r="AW77" s="468"/>
      <c r="AX77" s="468"/>
      <c r="AY77" s="468"/>
      <c r="AZ77" s="468"/>
      <c r="BA77" s="468"/>
      <c r="BB77" s="468"/>
      <c r="BC77" s="468"/>
      <c r="BD77" s="468"/>
      <c r="BE77" s="468"/>
      <c r="BF77" s="468"/>
      <c r="BG77" s="468"/>
      <c r="BH77" s="468"/>
      <c r="BI77" s="468"/>
      <c r="BJ77" s="468"/>
      <c r="BK77" s="468"/>
      <c r="BL77" s="468"/>
      <c r="BM77" s="468"/>
      <c r="BN77" s="468"/>
      <c r="BO77" s="468"/>
      <c r="BP77" s="468"/>
      <c r="BQ77" s="468"/>
      <c r="BR77" s="468"/>
      <c r="BS77" s="468"/>
      <c r="BT77" s="468"/>
      <c r="BU77" s="468"/>
      <c r="BV77" s="468"/>
      <c r="BW77" s="468"/>
      <c r="BX77" s="468"/>
      <c r="BY77" s="468"/>
      <c r="BZ77" s="468"/>
      <c r="CA77" s="468"/>
      <c r="CB77" s="468"/>
      <c r="CC77" s="468"/>
      <c r="CD77" s="468"/>
      <c r="CE77" s="468"/>
      <c r="CF77" s="468"/>
      <c r="CG77" s="468"/>
      <c r="CH77" s="468"/>
      <c r="CI77" s="468"/>
      <c r="CJ77" s="468"/>
      <c r="CK77" s="468"/>
      <c r="CL77" s="468"/>
      <c r="CM77" s="468"/>
      <c r="CN77" s="468"/>
      <c r="CO77" s="468"/>
      <c r="CP77" s="468"/>
      <c r="CQ77" s="468"/>
      <c r="CR77" s="468"/>
      <c r="CS77" s="468"/>
      <c r="CT77" s="468"/>
      <c r="CU77" s="468"/>
      <c r="CV77" s="468"/>
      <c r="CW77" s="468"/>
      <c r="CX77" s="468"/>
      <c r="CY77" s="468"/>
      <c r="CZ77" s="468"/>
      <c r="DA77" s="468"/>
      <c r="DB77" s="468"/>
      <c r="DC77" s="468"/>
      <c r="DD77" s="468"/>
      <c r="DE77" s="468"/>
      <c r="DF77" s="468"/>
      <c r="DG77" s="468"/>
      <c r="DH77" s="468"/>
      <c r="DI77" s="468"/>
      <c r="DJ77" s="468"/>
      <c r="DK77" s="468"/>
      <c r="DL77" s="468"/>
      <c r="DM77" s="468"/>
      <c r="DN77" s="471"/>
      <c r="DO77" s="468"/>
      <c r="DP77" s="468"/>
      <c r="DQ77" s="468"/>
      <c r="DR77" s="468"/>
      <c r="DS77" s="468"/>
      <c r="DT77" s="468"/>
      <c r="DU77" s="468"/>
      <c r="DV77" s="468"/>
      <c r="DW77" s="468"/>
      <c r="DX77" s="468"/>
      <c r="DY77" s="468"/>
      <c r="DZ77" s="468"/>
      <c r="EA77" s="468"/>
      <c r="EB77" s="468"/>
      <c r="EC77" s="468"/>
      <c r="ED77" s="468"/>
      <c r="EE77" s="468"/>
      <c r="EF77" s="468"/>
      <c r="EG77" s="468"/>
      <c r="EH77" s="468"/>
      <c r="EI77" s="468"/>
      <c r="EJ77" s="468"/>
      <c r="EK77" s="468"/>
      <c r="EL77" s="468"/>
      <c r="EM77" s="468"/>
      <c r="EN77" s="468"/>
      <c r="EO77" s="468"/>
      <c r="EP77" s="468"/>
      <c r="EQ77" s="468"/>
      <c r="ER77" s="468"/>
      <c r="ES77" s="468"/>
      <c r="ET77" s="468"/>
      <c r="EU77" s="468"/>
      <c r="EV77" s="468"/>
      <c r="EW77" s="468"/>
      <c r="EX77" s="468"/>
      <c r="EY77" s="468"/>
      <c r="EZ77" s="468"/>
      <c r="FA77" s="468"/>
      <c r="FB77" s="468"/>
      <c r="FC77" s="468"/>
      <c r="FD77" s="468"/>
      <c r="FE77" s="468"/>
      <c r="FF77" s="468"/>
      <c r="FG77" s="468"/>
      <c r="FH77" s="468"/>
      <c r="FI77" s="468"/>
      <c r="FJ77" s="468"/>
      <c r="FK77" s="468"/>
      <c r="FL77" s="468"/>
      <c r="FM77" s="468"/>
      <c r="FN77" s="468"/>
      <c r="FO77" s="468"/>
      <c r="FP77" s="468"/>
      <c r="FQ77" s="468"/>
      <c r="FR77" s="468"/>
      <c r="FS77" s="468"/>
      <c r="FT77" s="468"/>
      <c r="FU77" s="468"/>
      <c r="FV77" s="468"/>
      <c r="FW77" s="468"/>
      <c r="FX77" s="468"/>
      <c r="FY77" s="468"/>
      <c r="FZ77" s="468"/>
      <c r="GA77" s="468"/>
      <c r="GB77" s="468"/>
      <c r="GC77" s="468"/>
      <c r="GD77" s="468"/>
      <c r="GE77" s="468"/>
      <c r="GF77" s="468"/>
      <c r="GG77" s="468"/>
      <c r="GH77" s="468"/>
      <c r="GI77" s="468"/>
      <c r="GJ77" s="468"/>
      <c r="GK77" s="468"/>
      <c r="GL77" s="468"/>
      <c r="GM77" s="468"/>
      <c r="GN77" s="468"/>
      <c r="GO77" s="468"/>
      <c r="GP77" s="468"/>
      <c r="GQ77" s="468"/>
      <c r="GR77" s="468"/>
      <c r="GS77" s="468"/>
      <c r="GT77" s="468"/>
      <c r="GU77" s="468"/>
      <c r="GV77" s="468"/>
      <c r="GW77" s="468"/>
      <c r="GX77" s="468"/>
      <c r="GY77" s="468"/>
      <c r="GZ77" s="468"/>
      <c r="HA77" s="468"/>
      <c r="HB77" s="468"/>
      <c r="HC77" s="468"/>
      <c r="HD77" s="468"/>
      <c r="HE77" s="468"/>
      <c r="HF77" s="468"/>
      <c r="HG77" s="468"/>
      <c r="HH77" s="468"/>
      <c r="HI77" s="468"/>
      <c r="HJ77" s="468"/>
      <c r="HK77" s="468"/>
      <c r="HL77" s="468"/>
      <c r="HM77" s="468"/>
      <c r="HN77" s="468"/>
      <c r="HO77" s="468"/>
      <c r="HP77" s="468"/>
      <c r="HQ77" s="468"/>
      <c r="HR77" s="468"/>
      <c r="HS77" s="468"/>
      <c r="HT77" s="468"/>
      <c r="HU77" s="468"/>
      <c r="HV77" s="468"/>
      <c r="HW77" s="468"/>
      <c r="HX77" s="468"/>
      <c r="HY77" s="468"/>
      <c r="HZ77" s="468"/>
      <c r="IA77" s="468"/>
      <c r="IB77" s="468"/>
      <c r="IC77" s="468"/>
      <c r="ID77" s="468"/>
      <c r="IE77" s="468"/>
      <c r="IF77" s="468"/>
      <c r="IG77" s="468"/>
      <c r="IH77" s="468"/>
      <c r="II77" s="468"/>
      <c r="IJ77" s="468"/>
      <c r="IK77" s="468"/>
      <c r="IL77" s="468"/>
      <c r="IM77" s="468"/>
      <c r="IN77" s="468"/>
      <c r="IO77" s="468"/>
      <c r="IP77" s="468"/>
      <c r="IQ77" s="468"/>
      <c r="IR77" s="468"/>
      <c r="IS77" s="468"/>
      <c r="IT77" s="468"/>
      <c r="IU77" s="468"/>
      <c r="IV77" s="468"/>
      <c r="IW77" s="468"/>
      <c r="IX77" s="468"/>
      <c r="IY77" s="468"/>
      <c r="IZ77" s="468"/>
      <c r="JA77" s="468"/>
    </row>
    <row r="78" spans="1:261" ht="18.899999999999999" customHeight="1">
      <c r="A78" s="468"/>
      <c r="B78" s="468"/>
      <c r="C78" s="473"/>
      <c r="D78" s="473"/>
      <c r="E78" s="473"/>
      <c r="F78" s="473"/>
      <c r="G78" s="468"/>
      <c r="H78" s="468"/>
      <c r="I78" s="468"/>
      <c r="J78" s="468"/>
      <c r="K78" s="468"/>
      <c r="L78" s="468"/>
      <c r="M78" s="468"/>
      <c r="N78" s="468"/>
      <c r="O78" s="468"/>
      <c r="P78" s="468"/>
      <c r="Q78" s="468"/>
      <c r="R78" s="468"/>
      <c r="S78" s="468"/>
      <c r="T78" s="468"/>
      <c r="U78" s="468"/>
      <c r="V78" s="468"/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468"/>
      <c r="AH78" s="468"/>
      <c r="AI78" s="468"/>
      <c r="AJ78" s="468"/>
      <c r="AK78" s="468"/>
      <c r="AL78" s="468"/>
      <c r="AM78" s="468"/>
      <c r="AN78" s="468"/>
      <c r="AO78" s="468"/>
      <c r="AP78" s="468"/>
      <c r="AQ78" s="468"/>
      <c r="AR78" s="468"/>
      <c r="AS78" s="468"/>
      <c r="AT78" s="468"/>
      <c r="AU78" s="468"/>
      <c r="AV78" s="468"/>
      <c r="AW78" s="468"/>
      <c r="AX78" s="468"/>
      <c r="AY78" s="468"/>
      <c r="AZ78" s="468"/>
      <c r="BA78" s="468"/>
      <c r="BB78" s="468"/>
      <c r="BC78" s="468"/>
      <c r="BD78" s="468"/>
      <c r="BE78" s="468"/>
      <c r="BF78" s="468"/>
      <c r="BG78" s="468"/>
      <c r="BH78" s="468"/>
      <c r="BI78" s="468"/>
      <c r="BJ78" s="468"/>
      <c r="BK78" s="468"/>
      <c r="BL78" s="468"/>
      <c r="BM78" s="468"/>
      <c r="BN78" s="468"/>
      <c r="BO78" s="468"/>
      <c r="BP78" s="468"/>
      <c r="BQ78" s="468"/>
      <c r="BR78" s="468"/>
      <c r="BS78" s="468"/>
      <c r="BT78" s="468"/>
      <c r="BU78" s="468"/>
      <c r="BV78" s="468"/>
      <c r="BW78" s="468"/>
      <c r="BX78" s="468"/>
      <c r="BY78" s="468"/>
      <c r="BZ78" s="468"/>
      <c r="CA78" s="468"/>
      <c r="CB78" s="468"/>
      <c r="CC78" s="468"/>
      <c r="CD78" s="468"/>
      <c r="CE78" s="468"/>
      <c r="CF78" s="468"/>
      <c r="CG78" s="468"/>
      <c r="CH78" s="468"/>
      <c r="CI78" s="468"/>
      <c r="CJ78" s="468"/>
      <c r="CK78" s="468"/>
      <c r="CL78" s="468"/>
      <c r="CM78" s="468"/>
      <c r="CN78" s="468"/>
      <c r="CO78" s="468"/>
      <c r="CP78" s="468"/>
      <c r="CQ78" s="468"/>
      <c r="CR78" s="468"/>
      <c r="CS78" s="468"/>
      <c r="CT78" s="468"/>
      <c r="CU78" s="468"/>
      <c r="CV78" s="468"/>
      <c r="CW78" s="468"/>
      <c r="CX78" s="468"/>
      <c r="CY78" s="468"/>
      <c r="CZ78" s="468"/>
      <c r="DA78" s="468"/>
      <c r="DB78" s="468"/>
      <c r="DC78" s="468"/>
      <c r="DD78" s="468"/>
      <c r="DE78" s="468"/>
      <c r="DF78" s="468"/>
      <c r="DG78" s="468"/>
      <c r="DH78" s="468"/>
      <c r="DI78" s="468"/>
      <c r="DJ78" s="468"/>
      <c r="DK78" s="468"/>
      <c r="DL78" s="468"/>
      <c r="DM78" s="468"/>
      <c r="DN78" s="471"/>
      <c r="DO78" s="468"/>
      <c r="DP78" s="468"/>
      <c r="DQ78" s="468"/>
      <c r="DR78" s="468"/>
      <c r="DS78" s="468"/>
      <c r="DT78" s="468"/>
      <c r="DU78" s="468"/>
      <c r="DV78" s="468"/>
      <c r="DW78" s="468"/>
      <c r="DX78" s="468"/>
      <c r="DY78" s="468"/>
      <c r="DZ78" s="468"/>
      <c r="EA78" s="468"/>
      <c r="EB78" s="468"/>
      <c r="EC78" s="468"/>
      <c r="ED78" s="468"/>
      <c r="EE78" s="468"/>
      <c r="EF78" s="468"/>
      <c r="EG78" s="468"/>
      <c r="EH78" s="468"/>
      <c r="EI78" s="468"/>
      <c r="EJ78" s="468"/>
      <c r="EK78" s="468"/>
      <c r="EL78" s="468"/>
      <c r="EM78" s="468"/>
      <c r="EN78" s="468"/>
      <c r="EO78" s="468"/>
      <c r="EP78" s="468"/>
      <c r="EQ78" s="468"/>
      <c r="ER78" s="468"/>
      <c r="ES78" s="468"/>
      <c r="ET78" s="468"/>
      <c r="EU78" s="468"/>
      <c r="EV78" s="468"/>
      <c r="EW78" s="468"/>
      <c r="EX78" s="468"/>
      <c r="EY78" s="468"/>
      <c r="EZ78" s="468"/>
      <c r="FA78" s="468"/>
      <c r="FB78" s="468"/>
      <c r="FC78" s="468"/>
      <c r="FD78" s="468"/>
      <c r="FE78" s="468"/>
      <c r="FF78" s="468"/>
      <c r="FG78" s="468"/>
      <c r="FH78" s="468"/>
      <c r="FI78" s="468"/>
      <c r="FJ78" s="468"/>
      <c r="FK78" s="468"/>
      <c r="FL78" s="468"/>
      <c r="FM78" s="468"/>
      <c r="FN78" s="468"/>
      <c r="FO78" s="468"/>
      <c r="FP78" s="468"/>
      <c r="FQ78" s="468"/>
      <c r="FR78" s="468"/>
      <c r="FS78" s="468"/>
      <c r="FT78" s="468"/>
      <c r="FU78" s="468"/>
      <c r="FV78" s="468"/>
      <c r="FW78" s="468"/>
      <c r="FX78" s="468"/>
      <c r="FY78" s="468"/>
      <c r="FZ78" s="468"/>
      <c r="GA78" s="468"/>
      <c r="GB78" s="468"/>
      <c r="GC78" s="468"/>
      <c r="GD78" s="468"/>
      <c r="GE78" s="468"/>
      <c r="GF78" s="468"/>
      <c r="GG78" s="468"/>
      <c r="GH78" s="468"/>
      <c r="GI78" s="468"/>
      <c r="GJ78" s="468"/>
      <c r="GK78" s="468"/>
      <c r="GL78" s="468"/>
      <c r="GM78" s="468"/>
      <c r="GN78" s="468"/>
      <c r="GO78" s="468"/>
      <c r="GP78" s="468"/>
      <c r="GQ78" s="468"/>
      <c r="GR78" s="468"/>
      <c r="GS78" s="468"/>
      <c r="GT78" s="468"/>
      <c r="GU78" s="468"/>
      <c r="GV78" s="468"/>
      <c r="GW78" s="468"/>
      <c r="GX78" s="468"/>
      <c r="GY78" s="468"/>
      <c r="GZ78" s="468"/>
      <c r="HA78" s="468"/>
      <c r="HB78" s="468"/>
      <c r="HC78" s="468"/>
      <c r="HD78" s="468"/>
      <c r="HE78" s="468"/>
      <c r="HF78" s="468"/>
      <c r="HG78" s="468"/>
      <c r="HH78" s="468"/>
      <c r="HI78" s="468"/>
      <c r="HJ78" s="468"/>
      <c r="HK78" s="468"/>
      <c r="HL78" s="468"/>
      <c r="HM78" s="468"/>
      <c r="HN78" s="468"/>
      <c r="HO78" s="468"/>
      <c r="HP78" s="468"/>
      <c r="HQ78" s="468"/>
      <c r="HR78" s="468"/>
      <c r="HS78" s="468"/>
      <c r="HT78" s="468"/>
      <c r="HU78" s="468"/>
      <c r="HV78" s="468"/>
      <c r="HW78" s="468"/>
      <c r="HX78" s="468"/>
      <c r="HY78" s="468"/>
      <c r="HZ78" s="468"/>
      <c r="IA78" s="468"/>
      <c r="IB78" s="468"/>
      <c r="IC78" s="468"/>
      <c r="ID78" s="468"/>
      <c r="IE78" s="468"/>
      <c r="IF78" s="468"/>
      <c r="IG78" s="468"/>
      <c r="IH78" s="468"/>
      <c r="II78" s="468"/>
      <c r="IJ78" s="468"/>
      <c r="IK78" s="468"/>
      <c r="IL78" s="468"/>
      <c r="IM78" s="468"/>
      <c r="IN78" s="468"/>
      <c r="IO78" s="468"/>
      <c r="IP78" s="468"/>
      <c r="IQ78" s="468"/>
      <c r="IR78" s="468"/>
      <c r="IS78" s="468"/>
      <c r="IT78" s="468"/>
      <c r="IU78" s="468"/>
      <c r="IV78" s="468"/>
      <c r="IW78" s="468"/>
      <c r="IX78" s="468"/>
      <c r="IY78" s="468"/>
      <c r="IZ78" s="468"/>
      <c r="JA78" s="468"/>
    </row>
    <row r="79" spans="1:261" ht="18.899999999999999" customHeight="1">
      <c r="A79" s="468"/>
      <c r="B79" s="468"/>
      <c r="C79" s="473"/>
      <c r="D79" s="473"/>
      <c r="E79" s="473"/>
      <c r="F79" s="473"/>
      <c r="G79" s="468"/>
      <c r="H79" s="468"/>
      <c r="I79" s="468"/>
      <c r="J79" s="468"/>
      <c r="K79" s="468"/>
      <c r="L79" s="468"/>
      <c r="M79" s="468"/>
      <c r="N79" s="468"/>
      <c r="O79" s="468"/>
      <c r="P79" s="468"/>
      <c r="Q79" s="468"/>
      <c r="R79" s="468"/>
      <c r="S79" s="468"/>
      <c r="T79" s="468"/>
      <c r="U79" s="468"/>
      <c r="V79" s="468"/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468"/>
      <c r="AH79" s="468"/>
      <c r="AI79" s="468"/>
      <c r="AJ79" s="468"/>
      <c r="AK79" s="468"/>
      <c r="AL79" s="468"/>
      <c r="AM79" s="468"/>
      <c r="AN79" s="468"/>
      <c r="AO79" s="468"/>
      <c r="AP79" s="468"/>
      <c r="AQ79" s="468"/>
      <c r="AR79" s="468"/>
      <c r="AS79" s="468"/>
      <c r="AT79" s="468"/>
      <c r="AU79" s="468"/>
      <c r="AV79" s="468"/>
      <c r="AW79" s="468"/>
      <c r="AX79" s="468"/>
      <c r="AY79" s="468"/>
      <c r="AZ79" s="468"/>
      <c r="BA79" s="468"/>
      <c r="BB79" s="468"/>
      <c r="BC79" s="468"/>
      <c r="BD79" s="468"/>
      <c r="BE79" s="468"/>
      <c r="BF79" s="468"/>
      <c r="BG79" s="468"/>
      <c r="BH79" s="468"/>
      <c r="BI79" s="468"/>
      <c r="BJ79" s="468"/>
      <c r="BK79" s="468"/>
      <c r="BL79" s="468"/>
      <c r="BM79" s="468"/>
      <c r="BN79" s="468"/>
      <c r="BO79" s="468"/>
      <c r="BP79" s="468"/>
      <c r="BQ79" s="468"/>
      <c r="BR79" s="468"/>
      <c r="BS79" s="468"/>
      <c r="BT79" s="468"/>
      <c r="BU79" s="468"/>
      <c r="BV79" s="468"/>
      <c r="BW79" s="468"/>
      <c r="BX79" s="468"/>
      <c r="BY79" s="468"/>
      <c r="BZ79" s="468"/>
      <c r="CA79" s="468"/>
      <c r="CB79" s="468"/>
      <c r="CC79" s="468"/>
      <c r="CD79" s="468"/>
      <c r="CE79" s="468"/>
      <c r="CF79" s="468"/>
      <c r="CG79" s="468"/>
      <c r="CH79" s="468"/>
      <c r="CI79" s="468"/>
      <c r="CJ79" s="468"/>
      <c r="CK79" s="468"/>
      <c r="CL79" s="468"/>
      <c r="CM79" s="468"/>
      <c r="CN79" s="468"/>
      <c r="CO79" s="468"/>
      <c r="CP79" s="468"/>
      <c r="CQ79" s="468"/>
      <c r="CR79" s="468"/>
      <c r="CS79" s="468"/>
      <c r="CT79" s="468"/>
      <c r="CU79" s="468"/>
      <c r="CV79" s="468"/>
      <c r="CW79" s="468"/>
      <c r="CX79" s="468"/>
      <c r="CY79" s="468"/>
      <c r="CZ79" s="468"/>
      <c r="DA79" s="468"/>
      <c r="DB79" s="468"/>
      <c r="DC79" s="468"/>
      <c r="DD79" s="468"/>
      <c r="DE79" s="468"/>
      <c r="DF79" s="468"/>
      <c r="DG79" s="468"/>
      <c r="DH79" s="468"/>
      <c r="DI79" s="468"/>
      <c r="DJ79" s="468"/>
      <c r="DK79" s="468"/>
      <c r="DL79" s="468"/>
      <c r="DM79" s="468"/>
      <c r="DN79" s="471"/>
      <c r="DO79" s="468"/>
      <c r="DP79" s="468"/>
      <c r="DQ79" s="468"/>
      <c r="DR79" s="468"/>
      <c r="DS79" s="468"/>
      <c r="DT79" s="468"/>
      <c r="DU79" s="468"/>
      <c r="DV79" s="468"/>
      <c r="DW79" s="468"/>
      <c r="DX79" s="468"/>
      <c r="DY79" s="468"/>
      <c r="DZ79" s="468"/>
      <c r="EA79" s="468"/>
      <c r="EB79" s="468"/>
      <c r="EC79" s="468"/>
      <c r="ED79" s="468"/>
      <c r="EE79" s="468"/>
      <c r="EF79" s="468"/>
      <c r="EG79" s="468"/>
      <c r="EH79" s="468"/>
      <c r="EI79" s="468"/>
      <c r="EJ79" s="468"/>
      <c r="EK79" s="468"/>
      <c r="EL79" s="468"/>
      <c r="EM79" s="468"/>
      <c r="EN79" s="468"/>
      <c r="EO79" s="468"/>
      <c r="EP79" s="468"/>
      <c r="EQ79" s="468"/>
      <c r="ER79" s="468"/>
      <c r="ES79" s="468"/>
      <c r="ET79" s="468"/>
      <c r="EU79" s="468"/>
      <c r="EV79" s="468"/>
      <c r="EW79" s="468"/>
      <c r="EX79" s="468"/>
      <c r="EY79" s="468"/>
      <c r="EZ79" s="468"/>
      <c r="FA79" s="468"/>
      <c r="FB79" s="468"/>
      <c r="FC79" s="468"/>
      <c r="FD79" s="468"/>
      <c r="FE79" s="468"/>
      <c r="FF79" s="468"/>
      <c r="FG79" s="468"/>
      <c r="FH79" s="468"/>
      <c r="FI79" s="468"/>
      <c r="FJ79" s="468"/>
      <c r="FK79" s="468"/>
      <c r="FL79" s="468"/>
      <c r="FM79" s="468"/>
      <c r="FN79" s="468"/>
      <c r="FO79" s="468"/>
      <c r="FP79" s="468"/>
      <c r="FQ79" s="468"/>
      <c r="FR79" s="468"/>
      <c r="FS79" s="468"/>
      <c r="FT79" s="468"/>
      <c r="FU79" s="468"/>
      <c r="FV79" s="468"/>
      <c r="FW79" s="468"/>
      <c r="FX79" s="468"/>
      <c r="FY79" s="468"/>
      <c r="FZ79" s="468"/>
      <c r="GA79" s="468"/>
      <c r="GB79" s="468"/>
      <c r="GC79" s="468"/>
      <c r="GD79" s="468"/>
      <c r="GE79" s="468"/>
      <c r="GF79" s="468"/>
      <c r="GG79" s="468"/>
      <c r="GH79" s="468"/>
      <c r="GI79" s="468"/>
      <c r="GJ79" s="468"/>
      <c r="GK79" s="468"/>
      <c r="GL79" s="468"/>
      <c r="GM79" s="468"/>
      <c r="GN79" s="468"/>
      <c r="GO79" s="468"/>
      <c r="GP79" s="468"/>
      <c r="GQ79" s="468"/>
      <c r="GR79" s="468"/>
      <c r="GS79" s="468"/>
      <c r="GT79" s="468"/>
      <c r="GU79" s="468"/>
      <c r="GV79" s="468"/>
      <c r="GW79" s="468"/>
      <c r="GX79" s="468"/>
      <c r="GY79" s="468"/>
      <c r="GZ79" s="468"/>
      <c r="HA79" s="468"/>
      <c r="HB79" s="468"/>
      <c r="HC79" s="468"/>
      <c r="HD79" s="468"/>
      <c r="HE79" s="468"/>
      <c r="HF79" s="468"/>
      <c r="HG79" s="468"/>
      <c r="HH79" s="468"/>
      <c r="HI79" s="468"/>
      <c r="HJ79" s="468"/>
      <c r="HK79" s="468"/>
      <c r="HL79" s="468"/>
      <c r="HM79" s="468"/>
      <c r="HN79" s="468"/>
      <c r="HO79" s="468"/>
      <c r="HP79" s="468"/>
      <c r="HQ79" s="468"/>
      <c r="HR79" s="468"/>
      <c r="HS79" s="468"/>
      <c r="HT79" s="468"/>
      <c r="HU79" s="468"/>
      <c r="HV79" s="468"/>
      <c r="HW79" s="468"/>
      <c r="HX79" s="468"/>
      <c r="HY79" s="468"/>
      <c r="HZ79" s="468"/>
      <c r="IA79" s="468"/>
      <c r="IB79" s="468"/>
      <c r="IC79" s="468"/>
      <c r="ID79" s="468"/>
      <c r="IE79" s="468"/>
      <c r="IF79" s="468"/>
      <c r="IG79" s="468"/>
      <c r="IH79" s="468"/>
      <c r="II79" s="468"/>
      <c r="IJ79" s="468"/>
      <c r="IK79" s="468"/>
      <c r="IL79" s="468"/>
      <c r="IM79" s="468"/>
      <c r="IN79" s="468"/>
      <c r="IO79" s="468"/>
      <c r="IP79" s="468"/>
      <c r="IQ79" s="468"/>
      <c r="IR79" s="468"/>
      <c r="IS79" s="468"/>
      <c r="IT79" s="468"/>
      <c r="IU79" s="468"/>
      <c r="IV79" s="468"/>
      <c r="IW79" s="468"/>
      <c r="IX79" s="468"/>
      <c r="IY79" s="468"/>
      <c r="IZ79" s="468"/>
      <c r="JA79" s="468"/>
    </row>
    <row r="80" spans="1:261" ht="18.899999999999999" customHeight="1">
      <c r="A80" s="468"/>
      <c r="B80" s="468"/>
      <c r="C80" s="473"/>
      <c r="D80" s="473"/>
      <c r="E80" s="473"/>
      <c r="F80" s="473"/>
      <c r="G80" s="468"/>
      <c r="H80" s="468"/>
      <c r="I80" s="468"/>
      <c r="J80" s="468"/>
      <c r="K80" s="468"/>
      <c r="L80" s="468"/>
      <c r="M80" s="468"/>
      <c r="N80" s="468"/>
      <c r="O80" s="468"/>
      <c r="P80" s="468"/>
      <c r="Q80" s="468"/>
      <c r="R80" s="468"/>
      <c r="S80" s="468"/>
      <c r="T80" s="468"/>
      <c r="U80" s="468"/>
      <c r="V80" s="468"/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468"/>
      <c r="AH80" s="468"/>
      <c r="AI80" s="468"/>
      <c r="AJ80" s="468"/>
      <c r="AK80" s="468"/>
      <c r="AL80" s="468"/>
      <c r="AM80" s="468"/>
      <c r="AN80" s="468"/>
      <c r="AO80" s="468"/>
      <c r="AP80" s="468"/>
      <c r="AQ80" s="468"/>
      <c r="AR80" s="468"/>
      <c r="AS80" s="468"/>
      <c r="AT80" s="468"/>
      <c r="AU80" s="468"/>
      <c r="AV80" s="468"/>
      <c r="AW80" s="468"/>
      <c r="AX80" s="468"/>
      <c r="AY80" s="468"/>
      <c r="AZ80" s="468"/>
      <c r="BA80" s="468"/>
      <c r="BB80" s="468"/>
      <c r="BC80" s="468"/>
      <c r="BD80" s="468"/>
      <c r="BE80" s="468"/>
      <c r="BF80" s="468"/>
      <c r="BG80" s="468"/>
      <c r="BH80" s="468"/>
      <c r="BI80" s="468"/>
      <c r="BJ80" s="468"/>
      <c r="BK80" s="468"/>
      <c r="BL80" s="468"/>
      <c r="BM80" s="468"/>
      <c r="BN80" s="468"/>
      <c r="BO80" s="468"/>
      <c r="BP80" s="468"/>
      <c r="BQ80" s="468"/>
      <c r="BR80" s="468"/>
      <c r="BS80" s="468"/>
      <c r="BT80" s="468"/>
      <c r="BU80" s="468"/>
      <c r="BV80" s="468"/>
      <c r="BW80" s="468"/>
      <c r="BX80" s="468"/>
      <c r="BY80" s="468"/>
      <c r="BZ80" s="468"/>
      <c r="CA80" s="468"/>
      <c r="CB80" s="468"/>
      <c r="CC80" s="468"/>
      <c r="CD80" s="468"/>
      <c r="CE80" s="468"/>
      <c r="CF80" s="468"/>
      <c r="CG80" s="468"/>
      <c r="CH80" s="468"/>
      <c r="CI80" s="468"/>
      <c r="CJ80" s="468"/>
      <c r="CK80" s="468"/>
      <c r="CL80" s="468"/>
      <c r="CM80" s="468"/>
      <c r="CN80" s="468"/>
      <c r="CO80" s="468"/>
      <c r="CP80" s="468"/>
      <c r="CQ80" s="468"/>
      <c r="CR80" s="468"/>
      <c r="CS80" s="468"/>
      <c r="CT80" s="468"/>
      <c r="CU80" s="468"/>
      <c r="CV80" s="468"/>
      <c r="CW80" s="468"/>
      <c r="CX80" s="468"/>
      <c r="CY80" s="468"/>
      <c r="CZ80" s="468"/>
      <c r="DA80" s="468"/>
      <c r="DB80" s="468"/>
      <c r="DC80" s="468"/>
      <c r="DD80" s="468"/>
      <c r="DE80" s="468"/>
      <c r="DF80" s="468"/>
      <c r="DG80" s="468"/>
      <c r="DH80" s="468"/>
      <c r="DI80" s="468"/>
      <c r="DJ80" s="468"/>
      <c r="DK80" s="468"/>
      <c r="DL80" s="468"/>
      <c r="DM80" s="468"/>
      <c r="DN80" s="471"/>
      <c r="DO80" s="468"/>
      <c r="DP80" s="468"/>
      <c r="DQ80" s="468"/>
      <c r="DR80" s="468"/>
      <c r="DS80" s="468"/>
      <c r="DT80" s="468"/>
      <c r="DU80" s="468"/>
      <c r="DV80" s="468"/>
      <c r="DW80" s="468"/>
      <c r="DX80" s="468"/>
      <c r="DY80" s="468"/>
      <c r="DZ80" s="468"/>
      <c r="EA80" s="468"/>
      <c r="EB80" s="468"/>
      <c r="EC80" s="468"/>
      <c r="ED80" s="468"/>
      <c r="EE80" s="468"/>
      <c r="EF80" s="468"/>
      <c r="EG80" s="468"/>
      <c r="EH80" s="468"/>
      <c r="EI80" s="468"/>
      <c r="EJ80" s="468"/>
      <c r="EK80" s="468"/>
      <c r="EL80" s="468"/>
      <c r="EM80" s="468"/>
      <c r="EN80" s="468"/>
      <c r="EO80" s="468"/>
      <c r="EP80" s="468"/>
      <c r="EQ80" s="468"/>
      <c r="ER80" s="468"/>
      <c r="ES80" s="468"/>
      <c r="ET80" s="468"/>
      <c r="EU80" s="468"/>
      <c r="EV80" s="468"/>
      <c r="EW80" s="468"/>
      <c r="EX80" s="468"/>
      <c r="EY80" s="468"/>
      <c r="EZ80" s="468"/>
      <c r="FA80" s="468"/>
      <c r="FB80" s="468"/>
      <c r="FC80" s="468"/>
      <c r="FD80" s="468"/>
      <c r="FE80" s="468"/>
      <c r="FF80" s="468"/>
      <c r="FG80" s="468"/>
      <c r="FH80" s="468"/>
      <c r="FI80" s="468"/>
      <c r="FJ80" s="468"/>
      <c r="FK80" s="468"/>
      <c r="FL80" s="468"/>
      <c r="FM80" s="468"/>
      <c r="FN80" s="468"/>
      <c r="FO80" s="468"/>
      <c r="FP80" s="468"/>
      <c r="FQ80" s="468"/>
      <c r="FR80" s="468"/>
      <c r="FS80" s="468"/>
      <c r="FT80" s="468"/>
      <c r="FU80" s="468"/>
      <c r="FV80" s="468"/>
      <c r="FW80" s="468"/>
      <c r="FX80" s="468"/>
      <c r="FY80" s="468"/>
      <c r="FZ80" s="468"/>
      <c r="GA80" s="468"/>
      <c r="GB80" s="468"/>
      <c r="GC80" s="468"/>
      <c r="GD80" s="468"/>
      <c r="GE80" s="468"/>
      <c r="GF80" s="468"/>
      <c r="GG80" s="468"/>
      <c r="GH80" s="468"/>
      <c r="GI80" s="468"/>
      <c r="GJ80" s="468"/>
      <c r="GK80" s="468"/>
      <c r="GL80" s="468"/>
      <c r="GM80" s="468"/>
      <c r="GN80" s="468"/>
      <c r="GO80" s="468"/>
      <c r="GP80" s="468"/>
      <c r="GQ80" s="468"/>
      <c r="GR80" s="468"/>
      <c r="GS80" s="468"/>
      <c r="GT80" s="468"/>
      <c r="GU80" s="468"/>
      <c r="GV80" s="468"/>
      <c r="GW80" s="468"/>
      <c r="GX80" s="468"/>
      <c r="GY80" s="468"/>
      <c r="GZ80" s="468"/>
      <c r="HA80" s="468"/>
      <c r="HB80" s="468"/>
      <c r="HC80" s="468"/>
      <c r="HD80" s="468"/>
      <c r="HE80" s="468"/>
      <c r="HF80" s="468"/>
      <c r="HG80" s="468"/>
      <c r="HH80" s="468"/>
      <c r="HI80" s="468"/>
      <c r="HJ80" s="468"/>
      <c r="HK80" s="468"/>
      <c r="HL80" s="468"/>
      <c r="HM80" s="468"/>
      <c r="HN80" s="468"/>
      <c r="HO80" s="468"/>
      <c r="HP80" s="468"/>
      <c r="HQ80" s="468"/>
      <c r="HR80" s="468"/>
      <c r="HS80" s="468"/>
      <c r="HT80" s="468"/>
      <c r="HU80" s="468"/>
      <c r="HV80" s="468"/>
      <c r="HW80" s="468"/>
      <c r="HX80" s="468"/>
      <c r="HY80" s="468"/>
      <c r="HZ80" s="468"/>
      <c r="IA80" s="468"/>
      <c r="IB80" s="468"/>
      <c r="IC80" s="468"/>
      <c r="ID80" s="468"/>
      <c r="IE80" s="468"/>
      <c r="IF80" s="468"/>
      <c r="IG80" s="468"/>
      <c r="IH80" s="468"/>
      <c r="II80" s="468"/>
      <c r="IJ80" s="468"/>
      <c r="IK80" s="468"/>
      <c r="IL80" s="468"/>
      <c r="IM80" s="468"/>
      <c r="IN80" s="468"/>
      <c r="IO80" s="468"/>
      <c r="IP80" s="468"/>
      <c r="IQ80" s="468"/>
      <c r="IR80" s="468"/>
      <c r="IS80" s="468"/>
      <c r="IT80" s="468"/>
      <c r="IU80" s="468"/>
      <c r="IV80" s="468"/>
      <c r="IW80" s="468"/>
      <c r="IX80" s="468"/>
      <c r="IY80" s="468"/>
      <c r="IZ80" s="468"/>
      <c r="JA80" s="468"/>
    </row>
    <row r="81" spans="1:261" ht="18.899999999999999" customHeight="1">
      <c r="A81" s="468"/>
      <c r="B81" s="468"/>
      <c r="C81" s="473"/>
      <c r="D81" s="473"/>
      <c r="E81" s="473"/>
      <c r="F81" s="473"/>
      <c r="G81" s="468"/>
      <c r="H81" s="468"/>
      <c r="I81" s="468"/>
      <c r="J81" s="468"/>
      <c r="K81" s="468"/>
      <c r="L81" s="468"/>
      <c r="M81" s="468"/>
      <c r="N81" s="468"/>
      <c r="O81" s="468"/>
      <c r="P81" s="468"/>
      <c r="Q81" s="468"/>
      <c r="R81" s="468"/>
      <c r="S81" s="468"/>
      <c r="T81" s="468"/>
      <c r="U81" s="468"/>
      <c r="V81" s="468"/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468"/>
      <c r="AI81" s="468"/>
      <c r="AJ81" s="468"/>
      <c r="AK81" s="468"/>
      <c r="AL81" s="468"/>
      <c r="AM81" s="468"/>
      <c r="AN81" s="468"/>
      <c r="AO81" s="468"/>
      <c r="AP81" s="468"/>
      <c r="AQ81" s="468"/>
      <c r="AR81" s="468"/>
      <c r="AS81" s="468"/>
      <c r="AT81" s="468"/>
      <c r="AU81" s="468"/>
      <c r="AV81" s="468"/>
      <c r="AW81" s="468"/>
      <c r="AX81" s="468"/>
      <c r="AY81" s="468"/>
      <c r="AZ81" s="468"/>
      <c r="BA81" s="468"/>
      <c r="BB81" s="468"/>
      <c r="BC81" s="468"/>
      <c r="BD81" s="468"/>
      <c r="BE81" s="468"/>
      <c r="BF81" s="468"/>
      <c r="BG81" s="468"/>
      <c r="BH81" s="468"/>
      <c r="BI81" s="468"/>
      <c r="BJ81" s="468"/>
      <c r="BK81" s="468"/>
      <c r="BL81" s="468"/>
      <c r="BM81" s="468"/>
      <c r="BN81" s="468"/>
      <c r="BO81" s="468"/>
      <c r="BP81" s="468"/>
      <c r="BQ81" s="468"/>
      <c r="BR81" s="468"/>
      <c r="BS81" s="468"/>
      <c r="BT81" s="468"/>
      <c r="BU81" s="468"/>
      <c r="BV81" s="468"/>
      <c r="BW81" s="468"/>
      <c r="BX81" s="468"/>
      <c r="BY81" s="468"/>
      <c r="BZ81" s="468"/>
      <c r="CA81" s="468"/>
      <c r="CB81" s="468"/>
      <c r="CC81" s="468"/>
      <c r="CD81" s="468"/>
      <c r="CE81" s="468"/>
      <c r="CF81" s="468"/>
      <c r="CG81" s="468"/>
      <c r="CH81" s="468"/>
      <c r="CI81" s="468"/>
      <c r="CJ81" s="468"/>
      <c r="CK81" s="468"/>
      <c r="CL81" s="468"/>
      <c r="CM81" s="468"/>
      <c r="CN81" s="468"/>
      <c r="CO81" s="468"/>
      <c r="CP81" s="468"/>
      <c r="CQ81" s="468"/>
      <c r="CR81" s="468"/>
      <c r="CS81" s="468"/>
      <c r="CT81" s="468"/>
      <c r="CU81" s="468"/>
      <c r="CV81" s="468"/>
      <c r="CW81" s="468"/>
      <c r="CX81" s="468"/>
      <c r="CY81" s="468"/>
      <c r="CZ81" s="468"/>
      <c r="DA81" s="468"/>
      <c r="DB81" s="468"/>
      <c r="DC81" s="468"/>
      <c r="DD81" s="468"/>
      <c r="DE81" s="468"/>
      <c r="DF81" s="468"/>
      <c r="DG81" s="468"/>
      <c r="DH81" s="468"/>
      <c r="DI81" s="468"/>
      <c r="DJ81" s="468"/>
      <c r="DK81" s="468"/>
      <c r="DL81" s="468"/>
      <c r="DM81" s="468"/>
      <c r="DN81" s="471"/>
      <c r="DO81" s="468"/>
      <c r="DP81" s="468"/>
      <c r="DQ81" s="468"/>
      <c r="DR81" s="468"/>
      <c r="DS81" s="468"/>
      <c r="DT81" s="468"/>
      <c r="DU81" s="468"/>
      <c r="DV81" s="468"/>
      <c r="DW81" s="468"/>
      <c r="DX81" s="468"/>
      <c r="DY81" s="468"/>
      <c r="DZ81" s="468"/>
      <c r="EA81" s="468"/>
      <c r="EB81" s="468"/>
      <c r="EC81" s="468"/>
      <c r="ED81" s="468"/>
      <c r="EE81" s="468"/>
      <c r="EF81" s="468"/>
      <c r="EG81" s="468"/>
      <c r="EH81" s="468"/>
      <c r="EI81" s="468"/>
      <c r="EJ81" s="468"/>
      <c r="EK81" s="468"/>
      <c r="EL81" s="468"/>
      <c r="EM81" s="468"/>
      <c r="EN81" s="468"/>
      <c r="EO81" s="468"/>
      <c r="EP81" s="468"/>
      <c r="EQ81" s="468"/>
      <c r="ER81" s="468"/>
      <c r="ES81" s="468"/>
      <c r="ET81" s="468"/>
      <c r="EU81" s="468"/>
      <c r="EV81" s="468"/>
      <c r="EW81" s="468"/>
      <c r="EX81" s="468"/>
      <c r="EY81" s="468"/>
      <c r="EZ81" s="468"/>
      <c r="FA81" s="468"/>
      <c r="FB81" s="468"/>
      <c r="FC81" s="468"/>
      <c r="FD81" s="468"/>
      <c r="FE81" s="468"/>
      <c r="FF81" s="468"/>
      <c r="FG81" s="468"/>
      <c r="FH81" s="468"/>
      <c r="FI81" s="468"/>
      <c r="FJ81" s="468"/>
      <c r="FK81" s="468"/>
      <c r="FL81" s="468"/>
      <c r="FM81" s="468"/>
      <c r="FN81" s="468"/>
      <c r="FO81" s="468"/>
      <c r="FP81" s="468"/>
      <c r="FQ81" s="468"/>
      <c r="FR81" s="468"/>
      <c r="FS81" s="468"/>
      <c r="FT81" s="468"/>
      <c r="FU81" s="468"/>
      <c r="FV81" s="468"/>
      <c r="FW81" s="468"/>
      <c r="FX81" s="468"/>
      <c r="FY81" s="468"/>
      <c r="FZ81" s="468"/>
      <c r="GA81" s="468"/>
      <c r="GB81" s="468"/>
      <c r="GC81" s="468"/>
      <c r="GD81" s="468"/>
      <c r="GE81" s="468"/>
      <c r="GF81" s="468"/>
      <c r="GG81" s="468"/>
      <c r="GH81" s="468"/>
      <c r="GI81" s="468"/>
      <c r="GJ81" s="468"/>
      <c r="GK81" s="468"/>
      <c r="GL81" s="468"/>
      <c r="GM81" s="468"/>
      <c r="GN81" s="468"/>
      <c r="GO81" s="468"/>
      <c r="GP81" s="468"/>
      <c r="GQ81" s="468"/>
      <c r="GR81" s="468"/>
      <c r="GS81" s="468"/>
      <c r="GT81" s="468"/>
      <c r="GU81" s="468"/>
      <c r="GV81" s="468"/>
      <c r="GW81" s="468"/>
      <c r="GX81" s="468"/>
      <c r="GY81" s="468"/>
      <c r="GZ81" s="468"/>
      <c r="HA81" s="468"/>
      <c r="HB81" s="468"/>
      <c r="HC81" s="468"/>
      <c r="HD81" s="468"/>
      <c r="HE81" s="468"/>
      <c r="HF81" s="468"/>
      <c r="HG81" s="468"/>
      <c r="HH81" s="468"/>
      <c r="HI81" s="468"/>
      <c r="HJ81" s="468"/>
      <c r="HK81" s="468"/>
      <c r="HL81" s="468"/>
      <c r="HM81" s="468"/>
      <c r="HN81" s="468"/>
      <c r="HO81" s="468"/>
      <c r="HP81" s="468"/>
      <c r="HQ81" s="468"/>
      <c r="HR81" s="468"/>
      <c r="HS81" s="468"/>
      <c r="HT81" s="468"/>
      <c r="HU81" s="468"/>
      <c r="HV81" s="468"/>
      <c r="HW81" s="468"/>
      <c r="HX81" s="468"/>
      <c r="HY81" s="468"/>
      <c r="HZ81" s="468"/>
      <c r="IA81" s="468"/>
      <c r="IB81" s="468"/>
      <c r="IC81" s="468"/>
      <c r="ID81" s="468"/>
      <c r="IE81" s="468"/>
      <c r="IF81" s="468"/>
      <c r="IG81" s="468"/>
      <c r="IH81" s="468"/>
      <c r="II81" s="468"/>
      <c r="IJ81" s="468"/>
      <c r="IK81" s="468"/>
      <c r="IL81" s="468"/>
      <c r="IM81" s="468"/>
      <c r="IN81" s="468"/>
      <c r="IO81" s="468"/>
      <c r="IP81" s="468"/>
      <c r="IQ81" s="468"/>
      <c r="IR81" s="468"/>
      <c r="IS81" s="468"/>
      <c r="IT81" s="468"/>
      <c r="IU81" s="468"/>
      <c r="IV81" s="468"/>
      <c r="IW81" s="468"/>
      <c r="IX81" s="468"/>
      <c r="IY81" s="468"/>
      <c r="IZ81" s="468"/>
      <c r="JA81" s="468"/>
    </row>
    <row r="82" spans="1:261" ht="18.899999999999999" customHeight="1">
      <c r="A82" s="468"/>
      <c r="B82" s="468"/>
      <c r="C82" s="473"/>
      <c r="D82" s="473"/>
      <c r="E82" s="473"/>
      <c r="F82" s="473"/>
      <c r="G82" s="468"/>
      <c r="H82" s="468"/>
      <c r="I82" s="468"/>
      <c r="J82" s="468"/>
      <c r="K82" s="468"/>
      <c r="L82" s="468"/>
      <c r="M82" s="468"/>
      <c r="N82" s="468"/>
      <c r="O82" s="468"/>
      <c r="P82" s="468"/>
      <c r="Q82" s="468"/>
      <c r="R82" s="468"/>
      <c r="S82" s="468"/>
      <c r="T82" s="468"/>
      <c r="U82" s="468"/>
      <c r="V82" s="468"/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468"/>
      <c r="AI82" s="468"/>
      <c r="AJ82" s="468"/>
      <c r="AK82" s="468"/>
      <c r="AL82" s="468"/>
      <c r="AM82" s="468"/>
      <c r="AN82" s="468"/>
      <c r="AO82" s="468"/>
      <c r="AP82" s="468"/>
      <c r="AQ82" s="468"/>
      <c r="AR82" s="468"/>
      <c r="AS82" s="468"/>
      <c r="AT82" s="468"/>
      <c r="AU82" s="468"/>
      <c r="AV82" s="468"/>
      <c r="AW82" s="468"/>
      <c r="AX82" s="468"/>
      <c r="AY82" s="468"/>
      <c r="AZ82" s="468"/>
      <c r="BA82" s="468"/>
      <c r="BB82" s="468"/>
      <c r="BC82" s="468"/>
      <c r="BD82" s="468"/>
      <c r="BE82" s="468"/>
      <c r="BF82" s="468"/>
      <c r="BG82" s="468"/>
      <c r="BH82" s="468"/>
      <c r="BI82" s="468"/>
      <c r="BJ82" s="468"/>
      <c r="BK82" s="468"/>
      <c r="BL82" s="468"/>
      <c r="BM82" s="468"/>
      <c r="BN82" s="468"/>
      <c r="BO82" s="468"/>
      <c r="BP82" s="468"/>
      <c r="BQ82" s="468"/>
      <c r="BR82" s="468"/>
      <c r="BS82" s="468"/>
      <c r="BT82" s="468"/>
      <c r="BU82" s="468"/>
      <c r="BV82" s="468"/>
      <c r="BW82" s="468"/>
      <c r="BX82" s="468"/>
      <c r="BY82" s="468"/>
      <c r="BZ82" s="468"/>
      <c r="CA82" s="468"/>
      <c r="CB82" s="468"/>
      <c r="CC82" s="468"/>
      <c r="CD82" s="468"/>
      <c r="CE82" s="468"/>
      <c r="CF82" s="468"/>
      <c r="CG82" s="468"/>
      <c r="CH82" s="468"/>
      <c r="CI82" s="468"/>
      <c r="CJ82" s="468"/>
      <c r="CK82" s="468"/>
      <c r="CL82" s="468"/>
      <c r="CM82" s="468"/>
      <c r="CN82" s="468"/>
      <c r="CO82" s="468"/>
      <c r="CP82" s="468"/>
      <c r="CQ82" s="468"/>
      <c r="CR82" s="468"/>
      <c r="CS82" s="468"/>
      <c r="CT82" s="468"/>
      <c r="CU82" s="468"/>
      <c r="CV82" s="468"/>
      <c r="CW82" s="468"/>
      <c r="CX82" s="468"/>
      <c r="CY82" s="468"/>
      <c r="CZ82" s="468"/>
      <c r="DA82" s="468"/>
      <c r="DB82" s="468"/>
      <c r="DC82" s="468"/>
      <c r="DD82" s="468"/>
      <c r="DE82" s="468"/>
      <c r="DF82" s="468"/>
      <c r="DG82" s="468"/>
      <c r="DH82" s="468"/>
      <c r="DI82" s="468"/>
      <c r="DJ82" s="468"/>
      <c r="DK82" s="468"/>
      <c r="DL82" s="468"/>
      <c r="DM82" s="468"/>
      <c r="DN82" s="471"/>
      <c r="DO82" s="468"/>
      <c r="DP82" s="468"/>
      <c r="DQ82" s="468"/>
      <c r="DR82" s="468"/>
      <c r="DS82" s="468"/>
      <c r="DT82" s="468"/>
      <c r="DU82" s="468"/>
      <c r="DV82" s="468"/>
      <c r="DW82" s="468"/>
      <c r="DX82" s="468"/>
      <c r="DY82" s="468"/>
      <c r="DZ82" s="468"/>
      <c r="EA82" s="468"/>
      <c r="EB82" s="468"/>
      <c r="EC82" s="468"/>
      <c r="ED82" s="468"/>
      <c r="EE82" s="468"/>
      <c r="EF82" s="468"/>
      <c r="EG82" s="468"/>
      <c r="EH82" s="468"/>
      <c r="EI82" s="468"/>
      <c r="EJ82" s="468"/>
      <c r="EK82" s="468"/>
      <c r="EL82" s="468"/>
      <c r="EM82" s="468"/>
      <c r="EN82" s="468"/>
      <c r="EO82" s="468"/>
      <c r="EP82" s="468"/>
      <c r="EQ82" s="468"/>
      <c r="ER82" s="468"/>
      <c r="ES82" s="468"/>
      <c r="ET82" s="468"/>
      <c r="EU82" s="468"/>
      <c r="EV82" s="468"/>
      <c r="EW82" s="468"/>
      <c r="EX82" s="468"/>
      <c r="EY82" s="468"/>
      <c r="EZ82" s="468"/>
      <c r="FA82" s="468"/>
      <c r="FB82" s="468"/>
      <c r="FC82" s="468"/>
      <c r="FD82" s="468"/>
      <c r="FE82" s="468"/>
      <c r="FF82" s="468"/>
      <c r="FG82" s="468"/>
      <c r="FH82" s="468"/>
      <c r="FI82" s="468"/>
      <c r="FJ82" s="468"/>
      <c r="FK82" s="468"/>
      <c r="FL82" s="468"/>
      <c r="FM82" s="468"/>
      <c r="FN82" s="468"/>
      <c r="FO82" s="468"/>
      <c r="FP82" s="468"/>
      <c r="FQ82" s="468"/>
      <c r="FR82" s="468"/>
      <c r="FS82" s="468"/>
      <c r="FT82" s="468"/>
      <c r="FU82" s="468"/>
      <c r="FV82" s="468"/>
      <c r="FW82" s="468"/>
      <c r="FX82" s="468"/>
      <c r="FY82" s="468"/>
      <c r="FZ82" s="468"/>
      <c r="GA82" s="468"/>
      <c r="GB82" s="468"/>
      <c r="GC82" s="468"/>
      <c r="GD82" s="468"/>
      <c r="GE82" s="468"/>
      <c r="GF82" s="468"/>
      <c r="GG82" s="468"/>
      <c r="GH82" s="468"/>
      <c r="GI82" s="468"/>
      <c r="GJ82" s="468"/>
      <c r="GK82" s="468"/>
      <c r="GL82" s="468"/>
      <c r="GM82" s="468"/>
      <c r="GN82" s="468"/>
      <c r="GO82" s="468"/>
      <c r="GP82" s="468"/>
      <c r="GQ82" s="468"/>
      <c r="GR82" s="468"/>
      <c r="GS82" s="468"/>
      <c r="GT82" s="468"/>
      <c r="GU82" s="468"/>
      <c r="GV82" s="468"/>
      <c r="GW82" s="468"/>
      <c r="GX82" s="468"/>
      <c r="GY82" s="468"/>
      <c r="GZ82" s="468"/>
      <c r="HA82" s="468"/>
      <c r="HB82" s="468"/>
      <c r="HC82" s="468"/>
      <c r="HD82" s="468"/>
      <c r="HE82" s="468"/>
      <c r="HF82" s="468"/>
      <c r="HG82" s="468"/>
      <c r="HH82" s="468"/>
      <c r="HI82" s="468"/>
      <c r="HJ82" s="468"/>
      <c r="HK82" s="468"/>
      <c r="HL82" s="468"/>
      <c r="HM82" s="468"/>
      <c r="HN82" s="468"/>
      <c r="HO82" s="468"/>
      <c r="HP82" s="468"/>
      <c r="HQ82" s="468"/>
      <c r="HR82" s="468"/>
      <c r="HS82" s="468"/>
      <c r="HT82" s="468"/>
      <c r="HU82" s="468"/>
      <c r="HV82" s="468"/>
      <c r="HW82" s="468"/>
      <c r="HX82" s="468"/>
      <c r="HY82" s="468"/>
      <c r="HZ82" s="468"/>
      <c r="IA82" s="468"/>
      <c r="IB82" s="468"/>
      <c r="IC82" s="468"/>
      <c r="ID82" s="468"/>
      <c r="IE82" s="468"/>
      <c r="IF82" s="468"/>
      <c r="IG82" s="468"/>
      <c r="IH82" s="468"/>
      <c r="II82" s="468"/>
      <c r="IJ82" s="468"/>
      <c r="IK82" s="468"/>
      <c r="IL82" s="468"/>
      <c r="IM82" s="468"/>
      <c r="IN82" s="468"/>
      <c r="IO82" s="468"/>
      <c r="IP82" s="468"/>
      <c r="IQ82" s="468"/>
      <c r="IR82" s="468"/>
      <c r="IS82" s="468"/>
      <c r="IT82" s="468"/>
      <c r="IU82" s="468"/>
      <c r="IV82" s="468"/>
      <c r="IW82" s="468"/>
      <c r="IX82" s="468"/>
      <c r="IY82" s="468"/>
      <c r="IZ82" s="468"/>
      <c r="JA82" s="468"/>
    </row>
    <row r="83" spans="1:261" ht="18.899999999999999" customHeight="1">
      <c r="A83" s="468"/>
      <c r="B83" s="468"/>
      <c r="C83" s="473"/>
      <c r="D83" s="473"/>
      <c r="E83" s="473"/>
      <c r="F83" s="473"/>
      <c r="G83" s="468"/>
      <c r="H83" s="468"/>
      <c r="I83" s="468"/>
      <c r="J83" s="468"/>
      <c r="K83" s="468"/>
      <c r="L83" s="468"/>
      <c r="M83" s="468"/>
      <c r="N83" s="468"/>
      <c r="O83" s="468"/>
      <c r="P83" s="468"/>
      <c r="Q83" s="468"/>
      <c r="R83" s="468"/>
      <c r="S83" s="468"/>
      <c r="T83" s="468"/>
      <c r="U83" s="468"/>
      <c r="V83" s="468"/>
      <c r="W83" s="468"/>
      <c r="X83" s="468"/>
      <c r="Y83" s="468"/>
      <c r="Z83" s="468"/>
      <c r="AA83" s="468"/>
      <c r="AB83" s="468"/>
      <c r="AC83" s="468"/>
      <c r="AD83" s="468"/>
      <c r="AE83" s="468"/>
      <c r="AF83" s="468"/>
      <c r="AG83" s="468"/>
      <c r="AH83" s="468"/>
      <c r="AI83" s="468"/>
      <c r="AJ83" s="468"/>
      <c r="AK83" s="468"/>
      <c r="AL83" s="468"/>
      <c r="AM83" s="468"/>
      <c r="AN83" s="468"/>
      <c r="AO83" s="468"/>
      <c r="AP83" s="468"/>
      <c r="AQ83" s="468"/>
      <c r="AR83" s="468"/>
      <c r="AS83" s="468"/>
      <c r="AT83" s="468"/>
      <c r="AU83" s="468"/>
      <c r="AV83" s="468"/>
      <c r="AW83" s="468"/>
      <c r="AX83" s="468"/>
      <c r="AY83" s="468"/>
      <c r="AZ83" s="468"/>
      <c r="BA83" s="468"/>
      <c r="BB83" s="468"/>
      <c r="BC83" s="468"/>
      <c r="BD83" s="468"/>
      <c r="BE83" s="468"/>
      <c r="BF83" s="468"/>
      <c r="BG83" s="468"/>
      <c r="BH83" s="468"/>
      <c r="BI83" s="468"/>
      <c r="BJ83" s="468"/>
      <c r="BK83" s="468"/>
      <c r="BL83" s="468"/>
      <c r="BM83" s="468"/>
      <c r="BN83" s="468"/>
      <c r="BO83" s="468"/>
      <c r="BP83" s="468"/>
      <c r="BQ83" s="468"/>
      <c r="BR83" s="468"/>
      <c r="BS83" s="468"/>
      <c r="BT83" s="468"/>
      <c r="BU83" s="468"/>
      <c r="BV83" s="468"/>
      <c r="BW83" s="468"/>
      <c r="BX83" s="468"/>
      <c r="BY83" s="468"/>
      <c r="BZ83" s="468"/>
      <c r="CA83" s="468"/>
      <c r="CB83" s="468"/>
      <c r="CC83" s="468"/>
      <c r="CD83" s="468"/>
      <c r="CE83" s="468"/>
      <c r="CF83" s="468"/>
      <c r="CG83" s="468"/>
      <c r="CH83" s="468"/>
      <c r="CI83" s="468"/>
      <c r="CJ83" s="468"/>
      <c r="CK83" s="468"/>
      <c r="CL83" s="468"/>
      <c r="CM83" s="468"/>
      <c r="CN83" s="468"/>
      <c r="CO83" s="468"/>
      <c r="CP83" s="468"/>
      <c r="CQ83" s="468"/>
      <c r="CR83" s="468"/>
      <c r="CS83" s="468"/>
      <c r="CT83" s="468"/>
      <c r="CU83" s="468"/>
      <c r="CV83" s="468"/>
      <c r="CW83" s="468"/>
      <c r="CX83" s="468"/>
      <c r="CY83" s="468"/>
      <c r="CZ83" s="468"/>
      <c r="DA83" s="468"/>
      <c r="DB83" s="468"/>
      <c r="DC83" s="468"/>
      <c r="DD83" s="468"/>
      <c r="DE83" s="468"/>
      <c r="DF83" s="468"/>
      <c r="DG83" s="468"/>
      <c r="DH83" s="468"/>
      <c r="DI83" s="468"/>
      <c r="DJ83" s="468"/>
      <c r="DK83" s="468"/>
      <c r="DL83" s="468"/>
      <c r="DM83" s="468"/>
      <c r="DN83" s="471"/>
      <c r="DO83" s="468"/>
      <c r="DP83" s="468"/>
      <c r="DQ83" s="468"/>
      <c r="DR83" s="468"/>
      <c r="DS83" s="468"/>
      <c r="DT83" s="468"/>
      <c r="DU83" s="468"/>
      <c r="DV83" s="468"/>
      <c r="DW83" s="468"/>
      <c r="DX83" s="468"/>
      <c r="DY83" s="468"/>
      <c r="DZ83" s="468"/>
      <c r="EA83" s="468"/>
      <c r="EB83" s="468"/>
      <c r="EC83" s="468"/>
      <c r="ED83" s="468"/>
      <c r="EE83" s="468"/>
      <c r="EF83" s="468"/>
      <c r="EG83" s="468"/>
      <c r="EH83" s="468"/>
      <c r="EI83" s="468"/>
      <c r="EJ83" s="468"/>
      <c r="EK83" s="468"/>
      <c r="EL83" s="468"/>
      <c r="EM83" s="468"/>
      <c r="EN83" s="468"/>
      <c r="EO83" s="468"/>
      <c r="EP83" s="468"/>
      <c r="EQ83" s="468"/>
      <c r="ER83" s="468"/>
      <c r="ES83" s="468"/>
      <c r="ET83" s="468"/>
      <c r="EU83" s="468"/>
      <c r="EV83" s="468"/>
      <c r="EW83" s="468"/>
      <c r="EX83" s="468"/>
      <c r="EY83" s="468"/>
      <c r="EZ83" s="468"/>
      <c r="FA83" s="468"/>
      <c r="FB83" s="468"/>
      <c r="FC83" s="468"/>
      <c r="FD83" s="468"/>
      <c r="FE83" s="468"/>
      <c r="FF83" s="468"/>
      <c r="FG83" s="468"/>
      <c r="FH83" s="468"/>
      <c r="FI83" s="468"/>
      <c r="FJ83" s="468"/>
      <c r="FK83" s="468"/>
      <c r="FL83" s="468"/>
      <c r="FM83" s="468"/>
      <c r="FN83" s="468"/>
      <c r="FO83" s="468"/>
      <c r="FP83" s="468"/>
      <c r="FQ83" s="468"/>
      <c r="FR83" s="468"/>
      <c r="FS83" s="468"/>
      <c r="FT83" s="468"/>
      <c r="FU83" s="468"/>
      <c r="FV83" s="468"/>
      <c r="FW83" s="468"/>
      <c r="FX83" s="468"/>
      <c r="FY83" s="468"/>
      <c r="FZ83" s="468"/>
      <c r="GA83" s="468"/>
      <c r="GB83" s="468"/>
      <c r="GC83" s="468"/>
      <c r="GD83" s="468"/>
      <c r="GE83" s="468"/>
      <c r="GF83" s="468"/>
      <c r="GG83" s="468"/>
      <c r="GH83" s="468"/>
      <c r="GI83" s="468"/>
      <c r="GJ83" s="468"/>
      <c r="GK83" s="468"/>
      <c r="GL83" s="468"/>
      <c r="GM83" s="468"/>
      <c r="GN83" s="468"/>
      <c r="GO83" s="468"/>
      <c r="GP83" s="468"/>
      <c r="GQ83" s="468"/>
      <c r="GR83" s="468"/>
      <c r="GS83" s="468"/>
      <c r="GT83" s="468"/>
      <c r="GU83" s="468"/>
      <c r="GV83" s="468"/>
      <c r="GW83" s="468"/>
      <c r="GX83" s="468"/>
      <c r="GY83" s="468"/>
      <c r="GZ83" s="468"/>
      <c r="HA83" s="468"/>
      <c r="HB83" s="468"/>
      <c r="HC83" s="468"/>
      <c r="HD83" s="468"/>
      <c r="HE83" s="468"/>
      <c r="HF83" s="468"/>
      <c r="HG83" s="468"/>
      <c r="HH83" s="468"/>
      <c r="HI83" s="468"/>
      <c r="HJ83" s="468"/>
      <c r="HK83" s="468"/>
      <c r="HL83" s="468"/>
      <c r="HM83" s="468"/>
      <c r="HN83" s="468"/>
      <c r="HO83" s="468"/>
      <c r="HP83" s="468"/>
      <c r="HQ83" s="468"/>
      <c r="HR83" s="468"/>
      <c r="HS83" s="468"/>
      <c r="HT83" s="468"/>
      <c r="HU83" s="468"/>
      <c r="HV83" s="468"/>
      <c r="HW83" s="468"/>
      <c r="HX83" s="468"/>
      <c r="HY83" s="468"/>
      <c r="HZ83" s="468"/>
      <c r="IA83" s="468"/>
      <c r="IB83" s="468"/>
      <c r="IC83" s="468"/>
      <c r="ID83" s="468"/>
      <c r="IE83" s="468"/>
      <c r="IF83" s="468"/>
      <c r="IG83" s="468"/>
      <c r="IH83" s="468"/>
      <c r="II83" s="468"/>
      <c r="IJ83" s="468"/>
      <c r="IK83" s="468"/>
      <c r="IL83" s="468"/>
      <c r="IM83" s="468"/>
      <c r="IN83" s="468"/>
      <c r="IO83" s="468"/>
      <c r="IP83" s="468"/>
      <c r="IQ83" s="468"/>
      <c r="IR83" s="468"/>
      <c r="IS83" s="468"/>
      <c r="IT83" s="468"/>
      <c r="IU83" s="468"/>
      <c r="IV83" s="468"/>
      <c r="IW83" s="468"/>
      <c r="IX83" s="468"/>
      <c r="IY83" s="468"/>
      <c r="IZ83" s="468"/>
      <c r="JA83" s="468"/>
    </row>
    <row r="84" spans="1:261" ht="18.899999999999999" customHeight="1">
      <c r="A84" s="468"/>
      <c r="B84" s="468"/>
      <c r="C84" s="473"/>
      <c r="D84" s="473"/>
      <c r="E84" s="473"/>
      <c r="F84" s="473"/>
      <c r="G84" s="468"/>
      <c r="H84" s="468"/>
      <c r="I84" s="468"/>
      <c r="J84" s="468"/>
      <c r="K84" s="468"/>
      <c r="L84" s="468"/>
      <c r="M84" s="468"/>
      <c r="N84" s="468"/>
      <c r="O84" s="468"/>
      <c r="P84" s="468"/>
      <c r="Q84" s="468"/>
      <c r="R84" s="468"/>
      <c r="S84" s="468"/>
      <c r="T84" s="468"/>
      <c r="U84" s="468"/>
      <c r="V84" s="468"/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468"/>
      <c r="AJ84" s="468"/>
      <c r="AK84" s="468"/>
      <c r="AL84" s="468"/>
      <c r="AM84" s="468"/>
      <c r="AN84" s="468"/>
      <c r="AO84" s="468"/>
      <c r="AP84" s="468"/>
      <c r="AQ84" s="468"/>
      <c r="AR84" s="468"/>
      <c r="AS84" s="468"/>
      <c r="AT84" s="468"/>
      <c r="AU84" s="468"/>
      <c r="AV84" s="468"/>
      <c r="AW84" s="468"/>
      <c r="AX84" s="468"/>
      <c r="AY84" s="468"/>
      <c r="AZ84" s="468"/>
      <c r="BA84" s="468"/>
      <c r="BB84" s="468"/>
      <c r="BC84" s="468"/>
      <c r="BD84" s="468"/>
      <c r="BE84" s="468"/>
      <c r="BF84" s="468"/>
      <c r="BG84" s="468"/>
      <c r="BH84" s="468"/>
      <c r="BI84" s="468"/>
      <c r="BJ84" s="468"/>
      <c r="BK84" s="468"/>
      <c r="BL84" s="468"/>
      <c r="BM84" s="468"/>
      <c r="BN84" s="468"/>
      <c r="BO84" s="468"/>
      <c r="BP84" s="468"/>
      <c r="BQ84" s="468"/>
      <c r="BR84" s="468"/>
      <c r="BS84" s="468"/>
      <c r="BT84" s="468"/>
      <c r="BU84" s="468"/>
      <c r="BV84" s="468"/>
      <c r="BW84" s="468"/>
      <c r="BX84" s="468"/>
      <c r="BY84" s="468"/>
      <c r="BZ84" s="468"/>
      <c r="CA84" s="468"/>
      <c r="CB84" s="468"/>
      <c r="CC84" s="468"/>
      <c r="CD84" s="468"/>
      <c r="CE84" s="468"/>
      <c r="CF84" s="468"/>
      <c r="CG84" s="468"/>
      <c r="CH84" s="468"/>
      <c r="CI84" s="468"/>
      <c r="CJ84" s="468"/>
      <c r="CK84" s="468"/>
      <c r="CL84" s="468"/>
      <c r="CM84" s="468"/>
      <c r="CN84" s="468"/>
      <c r="CO84" s="468"/>
      <c r="CP84" s="468"/>
      <c r="CQ84" s="468"/>
      <c r="CR84" s="468"/>
      <c r="CS84" s="468"/>
      <c r="CT84" s="468"/>
      <c r="CU84" s="468"/>
      <c r="CV84" s="468"/>
      <c r="CW84" s="468"/>
      <c r="CX84" s="468"/>
      <c r="CY84" s="468"/>
      <c r="CZ84" s="468"/>
      <c r="DA84" s="468"/>
      <c r="DB84" s="468"/>
      <c r="DC84" s="468"/>
      <c r="DD84" s="468"/>
      <c r="DE84" s="468"/>
      <c r="DF84" s="468"/>
      <c r="DG84" s="468"/>
      <c r="DH84" s="468"/>
      <c r="DI84" s="468"/>
      <c r="DJ84" s="468"/>
      <c r="DK84" s="468"/>
      <c r="DL84" s="468"/>
      <c r="DM84" s="468"/>
      <c r="DN84" s="471"/>
      <c r="DO84" s="468"/>
      <c r="DP84" s="468"/>
      <c r="DQ84" s="468"/>
      <c r="DR84" s="468"/>
      <c r="DS84" s="468"/>
      <c r="DT84" s="468"/>
      <c r="DU84" s="468"/>
      <c r="DV84" s="468"/>
      <c r="DW84" s="468"/>
      <c r="DX84" s="468"/>
      <c r="DY84" s="468"/>
      <c r="DZ84" s="468"/>
      <c r="EA84" s="468"/>
      <c r="EB84" s="468"/>
      <c r="EC84" s="468"/>
      <c r="ED84" s="468"/>
      <c r="EE84" s="468"/>
      <c r="EF84" s="468"/>
      <c r="EG84" s="468"/>
      <c r="EH84" s="468"/>
      <c r="EI84" s="468"/>
      <c r="EJ84" s="468"/>
      <c r="EK84" s="468"/>
      <c r="EL84" s="468"/>
      <c r="EM84" s="468"/>
      <c r="EN84" s="468"/>
      <c r="EO84" s="468"/>
      <c r="EP84" s="468"/>
      <c r="EQ84" s="468"/>
      <c r="ER84" s="468"/>
      <c r="ES84" s="468"/>
      <c r="ET84" s="468"/>
      <c r="EU84" s="468"/>
      <c r="EV84" s="468"/>
      <c r="EW84" s="468"/>
      <c r="EX84" s="468"/>
      <c r="EY84" s="468"/>
      <c r="EZ84" s="468"/>
      <c r="FA84" s="468"/>
      <c r="FB84" s="468"/>
      <c r="FC84" s="468"/>
      <c r="FD84" s="468"/>
      <c r="FE84" s="468"/>
      <c r="FF84" s="468"/>
      <c r="FG84" s="468"/>
      <c r="FH84" s="468"/>
      <c r="FI84" s="468"/>
      <c r="FJ84" s="468"/>
      <c r="FK84" s="468"/>
      <c r="FL84" s="468"/>
      <c r="FM84" s="468"/>
      <c r="FN84" s="468"/>
      <c r="FO84" s="468"/>
      <c r="FP84" s="468"/>
      <c r="FQ84" s="468"/>
      <c r="FR84" s="468"/>
      <c r="FS84" s="468"/>
      <c r="FT84" s="468"/>
      <c r="FU84" s="468"/>
      <c r="FV84" s="468"/>
      <c r="FW84" s="468"/>
      <c r="FX84" s="468"/>
      <c r="FY84" s="468"/>
      <c r="FZ84" s="468"/>
      <c r="GA84" s="468"/>
      <c r="GB84" s="468"/>
      <c r="GC84" s="468"/>
      <c r="GD84" s="468"/>
      <c r="GE84" s="468"/>
      <c r="GF84" s="468"/>
      <c r="GG84" s="468"/>
      <c r="GH84" s="468"/>
      <c r="GI84" s="468"/>
      <c r="GJ84" s="468"/>
      <c r="GK84" s="468"/>
      <c r="GL84" s="468"/>
      <c r="GM84" s="468"/>
      <c r="GN84" s="468"/>
      <c r="GO84" s="468"/>
      <c r="GP84" s="468"/>
      <c r="GQ84" s="468"/>
      <c r="GR84" s="468"/>
      <c r="GS84" s="468"/>
      <c r="GT84" s="468"/>
      <c r="GU84" s="468"/>
      <c r="GV84" s="468"/>
      <c r="GW84" s="468"/>
      <c r="GX84" s="468"/>
      <c r="GY84" s="468"/>
      <c r="GZ84" s="468"/>
      <c r="HA84" s="468"/>
      <c r="HB84" s="468"/>
      <c r="HC84" s="468"/>
      <c r="HD84" s="468"/>
      <c r="HE84" s="468"/>
      <c r="HF84" s="468"/>
      <c r="HG84" s="468"/>
      <c r="HH84" s="468"/>
      <c r="HI84" s="468"/>
      <c r="HJ84" s="468"/>
      <c r="HK84" s="468"/>
      <c r="HL84" s="468"/>
      <c r="HM84" s="468"/>
      <c r="HN84" s="468"/>
      <c r="HO84" s="468"/>
      <c r="HP84" s="468"/>
      <c r="HQ84" s="468"/>
      <c r="HR84" s="468"/>
      <c r="HS84" s="468"/>
      <c r="HT84" s="468"/>
      <c r="HU84" s="468"/>
      <c r="HV84" s="468"/>
      <c r="HW84" s="468"/>
      <c r="HX84" s="468"/>
      <c r="HY84" s="468"/>
      <c r="HZ84" s="468"/>
      <c r="IA84" s="468"/>
      <c r="IB84" s="468"/>
      <c r="IC84" s="468"/>
      <c r="ID84" s="468"/>
      <c r="IE84" s="468"/>
      <c r="IF84" s="468"/>
      <c r="IG84" s="468"/>
      <c r="IH84" s="468"/>
      <c r="II84" s="468"/>
      <c r="IJ84" s="468"/>
      <c r="IK84" s="468"/>
      <c r="IL84" s="468"/>
      <c r="IM84" s="468"/>
      <c r="IN84" s="468"/>
      <c r="IO84" s="468"/>
      <c r="IP84" s="468"/>
      <c r="IQ84" s="468"/>
      <c r="IR84" s="468"/>
      <c r="IS84" s="468"/>
      <c r="IT84" s="468"/>
      <c r="IU84" s="468"/>
      <c r="IV84" s="468"/>
      <c r="IW84" s="468"/>
      <c r="IX84" s="468"/>
      <c r="IY84" s="468"/>
      <c r="IZ84" s="468"/>
      <c r="JA84" s="468"/>
    </row>
    <row r="85" spans="1:261" ht="18.899999999999999" customHeight="1">
      <c r="A85" s="468"/>
      <c r="B85" s="468"/>
      <c r="C85" s="473"/>
      <c r="D85" s="473"/>
      <c r="E85" s="473"/>
      <c r="F85" s="473"/>
      <c r="G85" s="468"/>
      <c r="H85" s="468"/>
      <c r="I85" s="468"/>
      <c r="J85" s="468"/>
      <c r="K85" s="468"/>
      <c r="L85" s="468"/>
      <c r="M85" s="468"/>
      <c r="N85" s="468"/>
      <c r="O85" s="468"/>
      <c r="P85" s="468"/>
      <c r="Q85" s="468"/>
      <c r="R85" s="468"/>
      <c r="S85" s="468"/>
      <c r="T85" s="468"/>
      <c r="U85" s="468"/>
      <c r="V85" s="468"/>
      <c r="W85" s="468"/>
      <c r="X85" s="468"/>
      <c r="Y85" s="468"/>
      <c r="Z85" s="468"/>
      <c r="AA85" s="468"/>
      <c r="AB85" s="468"/>
      <c r="AC85" s="468"/>
      <c r="AD85" s="468"/>
      <c r="AE85" s="468"/>
      <c r="AF85" s="468"/>
      <c r="AG85" s="468"/>
      <c r="AH85" s="468"/>
      <c r="AI85" s="468"/>
      <c r="AJ85" s="468"/>
      <c r="AK85" s="468"/>
      <c r="AL85" s="468"/>
      <c r="AM85" s="468"/>
      <c r="AN85" s="468"/>
      <c r="AO85" s="468"/>
      <c r="AP85" s="468"/>
      <c r="AQ85" s="468"/>
      <c r="AR85" s="468"/>
      <c r="AS85" s="468"/>
      <c r="AT85" s="468"/>
      <c r="AU85" s="468"/>
      <c r="AV85" s="468"/>
      <c r="AW85" s="468"/>
      <c r="AX85" s="468"/>
      <c r="AY85" s="468"/>
      <c r="AZ85" s="468"/>
      <c r="BA85" s="468"/>
      <c r="BB85" s="468"/>
      <c r="BC85" s="468"/>
      <c r="BD85" s="468"/>
      <c r="BE85" s="468"/>
      <c r="BF85" s="468"/>
      <c r="BG85" s="468"/>
      <c r="BH85" s="468"/>
      <c r="BI85" s="468"/>
      <c r="BJ85" s="468"/>
      <c r="BK85" s="468"/>
      <c r="BL85" s="468"/>
      <c r="BM85" s="468"/>
      <c r="BN85" s="468"/>
      <c r="BO85" s="468"/>
      <c r="BP85" s="468"/>
      <c r="BQ85" s="468"/>
      <c r="BR85" s="468"/>
      <c r="BS85" s="468"/>
      <c r="BT85" s="468"/>
      <c r="BU85" s="468"/>
      <c r="BV85" s="468"/>
      <c r="BW85" s="468"/>
      <c r="BX85" s="468"/>
      <c r="BY85" s="468"/>
      <c r="BZ85" s="468"/>
      <c r="CA85" s="468"/>
      <c r="CB85" s="468"/>
      <c r="CC85" s="468"/>
      <c r="CD85" s="468"/>
      <c r="CE85" s="468"/>
      <c r="CF85" s="468"/>
      <c r="CG85" s="468"/>
      <c r="CH85" s="468"/>
      <c r="CI85" s="468"/>
      <c r="CJ85" s="468"/>
      <c r="CK85" s="468"/>
      <c r="CL85" s="468"/>
      <c r="CM85" s="468"/>
      <c r="CN85" s="468"/>
      <c r="CO85" s="468"/>
      <c r="CP85" s="468"/>
      <c r="CQ85" s="468"/>
      <c r="CR85" s="468"/>
      <c r="CS85" s="468"/>
      <c r="CT85" s="468"/>
      <c r="CU85" s="468"/>
      <c r="CV85" s="468"/>
      <c r="CW85" s="468"/>
      <c r="CX85" s="468"/>
      <c r="CY85" s="468"/>
      <c r="CZ85" s="468"/>
      <c r="DA85" s="468"/>
      <c r="DB85" s="468"/>
      <c r="DC85" s="468"/>
      <c r="DD85" s="468"/>
      <c r="DE85" s="468"/>
      <c r="DF85" s="468"/>
      <c r="DG85" s="468"/>
      <c r="DH85" s="468"/>
      <c r="DI85" s="468"/>
      <c r="DJ85" s="468"/>
      <c r="DK85" s="468"/>
      <c r="DL85" s="468"/>
      <c r="DM85" s="468"/>
      <c r="DN85" s="471"/>
      <c r="DO85" s="468"/>
      <c r="DP85" s="468"/>
      <c r="DQ85" s="468"/>
      <c r="DR85" s="468"/>
      <c r="DS85" s="468"/>
      <c r="DT85" s="468"/>
      <c r="DU85" s="468"/>
      <c r="DV85" s="468"/>
      <c r="DW85" s="468"/>
      <c r="DX85" s="468"/>
      <c r="DY85" s="468"/>
      <c r="DZ85" s="468"/>
      <c r="EA85" s="468"/>
      <c r="EB85" s="468"/>
      <c r="EC85" s="468"/>
      <c r="ED85" s="468"/>
      <c r="EE85" s="468"/>
      <c r="EF85" s="468"/>
      <c r="EG85" s="468"/>
      <c r="EH85" s="468"/>
      <c r="EI85" s="468"/>
      <c r="EJ85" s="468"/>
      <c r="EK85" s="468"/>
      <c r="EL85" s="468"/>
      <c r="EM85" s="468"/>
      <c r="EN85" s="468"/>
      <c r="EO85" s="468"/>
      <c r="EP85" s="468"/>
      <c r="EQ85" s="468"/>
      <c r="ER85" s="468"/>
      <c r="ES85" s="468"/>
      <c r="ET85" s="468"/>
      <c r="EU85" s="468"/>
      <c r="EV85" s="468"/>
      <c r="EW85" s="468"/>
      <c r="EX85" s="468"/>
      <c r="EY85" s="468"/>
      <c r="EZ85" s="468"/>
      <c r="FA85" s="468"/>
      <c r="FB85" s="468"/>
      <c r="FC85" s="468"/>
      <c r="FD85" s="468"/>
      <c r="FE85" s="468"/>
      <c r="FF85" s="468"/>
      <c r="FG85" s="468"/>
      <c r="FH85" s="468"/>
      <c r="FI85" s="468"/>
      <c r="FJ85" s="468"/>
      <c r="FK85" s="468"/>
      <c r="FL85" s="468"/>
      <c r="FM85" s="468"/>
      <c r="FN85" s="468"/>
      <c r="FO85" s="468"/>
      <c r="FP85" s="468"/>
      <c r="FQ85" s="468"/>
      <c r="FR85" s="468"/>
      <c r="FS85" s="468"/>
      <c r="FT85" s="468"/>
      <c r="FU85" s="468"/>
      <c r="FV85" s="468"/>
      <c r="FW85" s="468"/>
      <c r="FX85" s="468"/>
      <c r="FY85" s="468"/>
      <c r="FZ85" s="468"/>
      <c r="GA85" s="468"/>
      <c r="GB85" s="468"/>
      <c r="GC85" s="468"/>
      <c r="GD85" s="468"/>
      <c r="GE85" s="468"/>
      <c r="GF85" s="468"/>
      <c r="GG85" s="468"/>
      <c r="GH85" s="468"/>
      <c r="GI85" s="468"/>
      <c r="GJ85" s="468"/>
      <c r="GK85" s="468"/>
      <c r="GL85" s="468"/>
      <c r="GM85" s="468"/>
      <c r="GN85" s="468"/>
      <c r="GO85" s="468"/>
      <c r="GP85" s="468"/>
      <c r="GQ85" s="468"/>
      <c r="GR85" s="468"/>
      <c r="GS85" s="468"/>
      <c r="GT85" s="468"/>
      <c r="GU85" s="468"/>
      <c r="GV85" s="468"/>
      <c r="GW85" s="468"/>
      <c r="GX85" s="468"/>
      <c r="GY85" s="468"/>
      <c r="GZ85" s="468"/>
      <c r="HA85" s="468"/>
      <c r="HB85" s="468"/>
      <c r="HC85" s="468"/>
      <c r="HD85" s="468"/>
      <c r="HE85" s="468"/>
      <c r="HF85" s="468"/>
      <c r="HG85" s="468"/>
      <c r="HH85" s="468"/>
      <c r="HI85" s="468"/>
      <c r="HJ85" s="468"/>
      <c r="HK85" s="468"/>
      <c r="HL85" s="468"/>
      <c r="HM85" s="468"/>
      <c r="HN85" s="468"/>
      <c r="HO85" s="468"/>
      <c r="HP85" s="468"/>
      <c r="HQ85" s="468"/>
      <c r="HR85" s="468"/>
      <c r="HS85" s="468"/>
      <c r="HT85" s="468"/>
      <c r="HU85" s="468"/>
      <c r="HV85" s="468"/>
      <c r="HW85" s="468"/>
      <c r="HX85" s="468"/>
      <c r="HY85" s="468"/>
      <c r="HZ85" s="468"/>
      <c r="IA85" s="468"/>
      <c r="IB85" s="468"/>
      <c r="IC85" s="468"/>
      <c r="ID85" s="468"/>
      <c r="IE85" s="468"/>
      <c r="IF85" s="468"/>
      <c r="IG85" s="468"/>
      <c r="IH85" s="468"/>
      <c r="II85" s="468"/>
      <c r="IJ85" s="468"/>
      <c r="IK85" s="468"/>
      <c r="IL85" s="468"/>
      <c r="IM85" s="468"/>
      <c r="IN85" s="468"/>
      <c r="IO85" s="468"/>
      <c r="IP85" s="468"/>
      <c r="IQ85" s="468"/>
      <c r="IR85" s="468"/>
      <c r="IS85" s="468"/>
      <c r="IT85" s="468"/>
      <c r="IU85" s="468"/>
      <c r="IV85" s="468"/>
      <c r="IW85" s="468"/>
      <c r="IX85" s="468"/>
      <c r="IY85" s="468"/>
      <c r="IZ85" s="468"/>
      <c r="JA85" s="468"/>
    </row>
    <row r="86" spans="1:261" ht="18.899999999999999" customHeight="1">
      <c r="A86" s="468"/>
      <c r="B86" s="468"/>
      <c r="C86" s="473"/>
      <c r="D86" s="473"/>
      <c r="E86" s="473"/>
      <c r="F86" s="473"/>
      <c r="G86" s="468"/>
      <c r="H86" s="468"/>
      <c r="I86" s="468"/>
      <c r="J86" s="468"/>
      <c r="K86" s="468"/>
      <c r="L86" s="468"/>
      <c r="M86" s="468"/>
      <c r="N86" s="468"/>
      <c r="O86" s="468"/>
      <c r="P86" s="468"/>
      <c r="Q86" s="468"/>
      <c r="R86" s="468"/>
      <c r="S86" s="468"/>
      <c r="T86" s="468"/>
      <c r="U86" s="468"/>
      <c r="V86" s="468"/>
      <c r="W86" s="468"/>
      <c r="X86" s="468"/>
      <c r="Y86" s="468"/>
      <c r="Z86" s="468"/>
      <c r="AA86" s="468"/>
      <c r="AB86" s="468"/>
      <c r="AC86" s="468"/>
      <c r="AD86" s="468"/>
      <c r="AE86" s="468"/>
      <c r="AF86" s="468"/>
      <c r="AG86" s="468"/>
      <c r="AH86" s="468"/>
      <c r="AI86" s="468"/>
      <c r="AJ86" s="468"/>
      <c r="AK86" s="468"/>
      <c r="AL86" s="468"/>
      <c r="AM86" s="468"/>
      <c r="AN86" s="468"/>
      <c r="AO86" s="468"/>
      <c r="AP86" s="468"/>
      <c r="AQ86" s="468"/>
      <c r="AR86" s="468"/>
      <c r="AS86" s="468"/>
      <c r="AT86" s="468"/>
      <c r="AU86" s="468"/>
      <c r="AV86" s="468"/>
      <c r="AW86" s="468"/>
      <c r="AX86" s="468"/>
      <c r="AY86" s="468"/>
      <c r="AZ86" s="468"/>
      <c r="BA86" s="468"/>
      <c r="BB86" s="468"/>
      <c r="BC86" s="468"/>
      <c r="BD86" s="468"/>
      <c r="BE86" s="468"/>
      <c r="BF86" s="468"/>
      <c r="BG86" s="468"/>
      <c r="BH86" s="468"/>
      <c r="BI86" s="468"/>
      <c r="BJ86" s="468"/>
      <c r="BK86" s="468"/>
      <c r="BL86" s="468"/>
      <c r="BM86" s="468"/>
      <c r="BN86" s="468"/>
      <c r="BO86" s="468"/>
      <c r="BP86" s="468"/>
      <c r="BQ86" s="468"/>
      <c r="BR86" s="468"/>
      <c r="BS86" s="468"/>
      <c r="BT86" s="468"/>
      <c r="BU86" s="468"/>
      <c r="BV86" s="468"/>
      <c r="BW86" s="468"/>
      <c r="BX86" s="468"/>
      <c r="BY86" s="468"/>
      <c r="BZ86" s="468"/>
      <c r="CA86" s="468"/>
      <c r="CB86" s="468"/>
      <c r="CC86" s="468"/>
      <c r="CD86" s="468"/>
      <c r="CE86" s="468"/>
      <c r="CF86" s="468"/>
      <c r="CG86" s="468"/>
      <c r="CH86" s="468"/>
      <c r="CI86" s="468"/>
      <c r="CJ86" s="468"/>
      <c r="CK86" s="468"/>
      <c r="CL86" s="468"/>
      <c r="CM86" s="468"/>
      <c r="CN86" s="468"/>
      <c r="CO86" s="468"/>
      <c r="CP86" s="468"/>
      <c r="CQ86" s="468"/>
      <c r="CR86" s="468"/>
      <c r="CS86" s="468"/>
      <c r="CT86" s="468"/>
      <c r="CU86" s="468"/>
      <c r="CV86" s="468"/>
      <c r="CW86" s="468"/>
      <c r="CX86" s="468"/>
      <c r="CY86" s="468"/>
      <c r="CZ86" s="468"/>
      <c r="DA86" s="468"/>
      <c r="DB86" s="468"/>
      <c r="DC86" s="468"/>
      <c r="DD86" s="468"/>
      <c r="DE86" s="468"/>
      <c r="DF86" s="468"/>
      <c r="DG86" s="468"/>
      <c r="DH86" s="468"/>
      <c r="DI86" s="468"/>
      <c r="DJ86" s="468"/>
      <c r="DK86" s="468"/>
      <c r="DL86" s="468"/>
      <c r="DM86" s="468"/>
      <c r="DN86" s="471"/>
      <c r="DO86" s="468"/>
      <c r="DP86" s="468"/>
      <c r="DQ86" s="468"/>
      <c r="DR86" s="468"/>
      <c r="DS86" s="468"/>
      <c r="DT86" s="468"/>
      <c r="DU86" s="468"/>
      <c r="DV86" s="468"/>
      <c r="DW86" s="468"/>
      <c r="DX86" s="468"/>
      <c r="DY86" s="468"/>
      <c r="DZ86" s="468"/>
      <c r="EA86" s="468"/>
      <c r="EB86" s="468"/>
      <c r="EC86" s="468"/>
      <c r="ED86" s="468"/>
      <c r="EE86" s="468"/>
      <c r="EF86" s="468"/>
      <c r="EG86" s="468"/>
      <c r="EH86" s="468"/>
      <c r="EI86" s="468"/>
      <c r="EJ86" s="468"/>
      <c r="EK86" s="468"/>
      <c r="EL86" s="468"/>
      <c r="EM86" s="468"/>
      <c r="EN86" s="468"/>
      <c r="EO86" s="468"/>
      <c r="EP86" s="468"/>
      <c r="EQ86" s="468"/>
      <c r="ER86" s="468"/>
      <c r="ES86" s="468"/>
      <c r="ET86" s="468"/>
      <c r="EU86" s="468"/>
      <c r="EV86" s="468"/>
      <c r="EW86" s="468"/>
      <c r="EX86" s="468"/>
      <c r="EY86" s="468"/>
      <c r="EZ86" s="468"/>
      <c r="FA86" s="468"/>
      <c r="FB86" s="468"/>
      <c r="FC86" s="468"/>
      <c r="FD86" s="468"/>
      <c r="FE86" s="468"/>
      <c r="FF86" s="468"/>
      <c r="FG86" s="468"/>
      <c r="FH86" s="468"/>
      <c r="FI86" s="468"/>
      <c r="FJ86" s="468"/>
      <c r="FK86" s="468"/>
      <c r="FL86" s="468"/>
      <c r="FM86" s="468"/>
      <c r="FN86" s="468"/>
      <c r="FO86" s="468"/>
      <c r="FP86" s="468"/>
      <c r="FQ86" s="468"/>
      <c r="FR86" s="468"/>
      <c r="FS86" s="468"/>
      <c r="FT86" s="468"/>
      <c r="FU86" s="468"/>
      <c r="FV86" s="468"/>
      <c r="FW86" s="468"/>
      <c r="FX86" s="468"/>
      <c r="FY86" s="468"/>
      <c r="FZ86" s="468"/>
      <c r="GA86" s="468"/>
      <c r="GB86" s="468"/>
      <c r="GC86" s="468"/>
      <c r="GD86" s="468"/>
      <c r="GE86" s="468"/>
      <c r="GF86" s="468"/>
      <c r="GG86" s="468"/>
      <c r="GH86" s="468"/>
      <c r="GI86" s="468"/>
      <c r="GJ86" s="468"/>
      <c r="GK86" s="468"/>
      <c r="GL86" s="468"/>
      <c r="GM86" s="468"/>
      <c r="GN86" s="468"/>
      <c r="GO86" s="468"/>
      <c r="GP86" s="468"/>
      <c r="GQ86" s="468"/>
      <c r="GR86" s="468"/>
      <c r="GS86" s="468"/>
      <c r="GT86" s="468"/>
      <c r="GU86" s="468"/>
      <c r="GV86" s="468"/>
      <c r="GW86" s="468"/>
      <c r="GX86" s="468"/>
      <c r="GY86" s="468"/>
      <c r="GZ86" s="468"/>
      <c r="HA86" s="468"/>
      <c r="HB86" s="468"/>
      <c r="HC86" s="468"/>
      <c r="HD86" s="468"/>
      <c r="HE86" s="468"/>
      <c r="HF86" s="468"/>
      <c r="HG86" s="468"/>
      <c r="HH86" s="468"/>
      <c r="HI86" s="468"/>
      <c r="HJ86" s="468"/>
      <c r="HK86" s="468"/>
      <c r="HL86" s="468"/>
      <c r="HM86" s="468"/>
      <c r="HN86" s="468"/>
      <c r="HO86" s="468"/>
      <c r="HP86" s="468"/>
      <c r="HQ86" s="468"/>
      <c r="HR86" s="468"/>
      <c r="HS86" s="468"/>
      <c r="HT86" s="468"/>
      <c r="HU86" s="468"/>
      <c r="HV86" s="468"/>
      <c r="HW86" s="468"/>
      <c r="HX86" s="468"/>
      <c r="HY86" s="468"/>
      <c r="HZ86" s="468"/>
      <c r="IA86" s="468"/>
      <c r="IB86" s="468"/>
      <c r="IC86" s="468"/>
      <c r="ID86" s="468"/>
      <c r="IE86" s="468"/>
      <c r="IF86" s="468"/>
      <c r="IG86" s="468"/>
      <c r="IH86" s="468"/>
      <c r="II86" s="468"/>
      <c r="IJ86" s="468"/>
      <c r="IK86" s="468"/>
      <c r="IL86" s="468"/>
      <c r="IM86" s="468"/>
      <c r="IN86" s="468"/>
      <c r="IO86" s="468"/>
      <c r="IP86" s="468"/>
      <c r="IQ86" s="468"/>
      <c r="IR86" s="468"/>
      <c r="IS86" s="468"/>
      <c r="IT86" s="468"/>
      <c r="IU86" s="468"/>
      <c r="IV86" s="468"/>
      <c r="IW86" s="468"/>
      <c r="IX86" s="468"/>
      <c r="IY86" s="468"/>
      <c r="IZ86" s="468"/>
      <c r="JA86" s="468"/>
    </row>
    <row r="87" spans="1:261" ht="18.899999999999999" customHeight="1">
      <c r="A87" s="468"/>
      <c r="B87" s="468"/>
      <c r="C87" s="473"/>
      <c r="D87" s="473"/>
      <c r="E87" s="473"/>
      <c r="F87" s="473"/>
      <c r="G87" s="468"/>
      <c r="H87" s="468"/>
      <c r="I87" s="468"/>
      <c r="J87" s="468"/>
      <c r="K87" s="468"/>
      <c r="L87" s="468"/>
      <c r="M87" s="468"/>
      <c r="N87" s="468"/>
      <c r="O87" s="468"/>
      <c r="P87" s="468"/>
      <c r="Q87" s="468"/>
      <c r="R87" s="468"/>
      <c r="S87" s="468"/>
      <c r="T87" s="468"/>
      <c r="U87" s="468"/>
      <c r="V87" s="468"/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68"/>
      <c r="AJ87" s="468"/>
      <c r="AK87" s="468"/>
      <c r="AL87" s="468"/>
      <c r="AM87" s="468"/>
      <c r="AN87" s="468"/>
      <c r="AO87" s="468"/>
      <c r="AP87" s="468"/>
      <c r="AQ87" s="468"/>
      <c r="AR87" s="468"/>
      <c r="AS87" s="468"/>
      <c r="AT87" s="468"/>
      <c r="AU87" s="468"/>
      <c r="AV87" s="468"/>
      <c r="AW87" s="468"/>
      <c r="AX87" s="468"/>
      <c r="AY87" s="468"/>
      <c r="AZ87" s="468"/>
      <c r="BA87" s="468"/>
      <c r="BB87" s="468"/>
      <c r="BC87" s="468"/>
      <c r="BD87" s="468"/>
      <c r="BE87" s="468"/>
      <c r="BF87" s="468"/>
      <c r="BG87" s="468"/>
      <c r="BH87" s="468"/>
      <c r="BI87" s="468"/>
      <c r="BJ87" s="468"/>
      <c r="BK87" s="468"/>
      <c r="BL87" s="468"/>
      <c r="BM87" s="468"/>
      <c r="BN87" s="468"/>
      <c r="BO87" s="468"/>
      <c r="BP87" s="468"/>
      <c r="BQ87" s="468"/>
      <c r="BR87" s="468"/>
      <c r="BS87" s="468"/>
      <c r="BT87" s="468"/>
      <c r="BU87" s="468"/>
      <c r="BV87" s="468"/>
      <c r="BW87" s="468"/>
      <c r="BX87" s="468"/>
      <c r="BY87" s="468"/>
      <c r="BZ87" s="468"/>
      <c r="CA87" s="468"/>
      <c r="CB87" s="468"/>
      <c r="CC87" s="468"/>
      <c r="CD87" s="468"/>
      <c r="CE87" s="468"/>
      <c r="CF87" s="468"/>
      <c r="CG87" s="468"/>
      <c r="CH87" s="468"/>
      <c r="CI87" s="468"/>
      <c r="CJ87" s="468"/>
      <c r="CK87" s="468"/>
      <c r="CL87" s="468"/>
      <c r="CM87" s="468"/>
      <c r="CN87" s="468"/>
      <c r="CO87" s="468"/>
      <c r="CP87" s="468"/>
      <c r="CQ87" s="468"/>
      <c r="CR87" s="468"/>
      <c r="CS87" s="468"/>
      <c r="CT87" s="468"/>
      <c r="CU87" s="468"/>
      <c r="CV87" s="468"/>
      <c r="CW87" s="468"/>
      <c r="CX87" s="468"/>
      <c r="CY87" s="468"/>
      <c r="CZ87" s="468"/>
      <c r="DA87" s="468"/>
      <c r="DB87" s="468"/>
      <c r="DC87" s="468"/>
      <c r="DD87" s="468"/>
      <c r="DE87" s="468"/>
      <c r="DF87" s="468"/>
      <c r="DG87" s="468"/>
      <c r="DH87" s="468"/>
      <c r="DI87" s="468"/>
      <c r="DJ87" s="468"/>
      <c r="DK87" s="468"/>
      <c r="DL87" s="468"/>
      <c r="DM87" s="468"/>
      <c r="DN87" s="471"/>
      <c r="DO87" s="468"/>
      <c r="DP87" s="468"/>
      <c r="DQ87" s="468"/>
      <c r="DR87" s="468"/>
      <c r="DS87" s="468"/>
      <c r="DT87" s="468"/>
      <c r="DU87" s="468"/>
      <c r="DV87" s="468"/>
      <c r="DW87" s="468"/>
      <c r="DX87" s="468"/>
      <c r="DY87" s="468"/>
      <c r="DZ87" s="468"/>
      <c r="EA87" s="468"/>
      <c r="EB87" s="468"/>
      <c r="EC87" s="468"/>
      <c r="ED87" s="468"/>
      <c r="EE87" s="468"/>
      <c r="EF87" s="468"/>
      <c r="EG87" s="468"/>
      <c r="EH87" s="468"/>
      <c r="EI87" s="468"/>
      <c r="EJ87" s="468"/>
      <c r="EK87" s="468"/>
      <c r="EL87" s="468"/>
      <c r="EM87" s="468"/>
      <c r="EN87" s="468"/>
      <c r="EO87" s="468"/>
      <c r="EP87" s="468"/>
      <c r="EQ87" s="468"/>
      <c r="ER87" s="468"/>
      <c r="ES87" s="468"/>
      <c r="ET87" s="468"/>
      <c r="EU87" s="468"/>
      <c r="EV87" s="468"/>
      <c r="EW87" s="468"/>
      <c r="EX87" s="468"/>
      <c r="EY87" s="468"/>
      <c r="EZ87" s="468"/>
      <c r="FA87" s="468"/>
      <c r="FB87" s="468"/>
      <c r="FC87" s="468"/>
      <c r="FD87" s="468"/>
      <c r="FE87" s="468"/>
      <c r="FF87" s="468"/>
      <c r="FG87" s="468"/>
      <c r="FH87" s="468"/>
      <c r="FI87" s="468"/>
      <c r="FJ87" s="468"/>
      <c r="FK87" s="468"/>
      <c r="FL87" s="468"/>
      <c r="FM87" s="468"/>
      <c r="FN87" s="468"/>
      <c r="FO87" s="468"/>
      <c r="FP87" s="468"/>
      <c r="FQ87" s="468"/>
      <c r="FR87" s="468"/>
      <c r="FS87" s="468"/>
      <c r="FT87" s="468"/>
      <c r="FU87" s="468"/>
      <c r="FV87" s="468"/>
      <c r="FW87" s="468"/>
      <c r="FX87" s="468"/>
      <c r="FY87" s="468"/>
      <c r="FZ87" s="468"/>
      <c r="GA87" s="468"/>
      <c r="GB87" s="468"/>
      <c r="GC87" s="468"/>
      <c r="GD87" s="468"/>
      <c r="GE87" s="468"/>
      <c r="GF87" s="468"/>
      <c r="GG87" s="468"/>
      <c r="GH87" s="468"/>
      <c r="GI87" s="468"/>
      <c r="GJ87" s="468"/>
      <c r="GK87" s="468"/>
      <c r="GL87" s="468"/>
      <c r="GM87" s="468"/>
      <c r="GN87" s="468"/>
      <c r="GO87" s="468"/>
      <c r="GP87" s="468"/>
      <c r="GQ87" s="468"/>
      <c r="GR87" s="468"/>
      <c r="GS87" s="468"/>
      <c r="GT87" s="468"/>
      <c r="GU87" s="468"/>
      <c r="GV87" s="468"/>
      <c r="GW87" s="468"/>
      <c r="GX87" s="468"/>
      <c r="GY87" s="468"/>
      <c r="GZ87" s="468"/>
      <c r="HA87" s="468"/>
      <c r="HB87" s="468"/>
      <c r="HC87" s="468"/>
      <c r="HD87" s="468"/>
      <c r="HE87" s="468"/>
      <c r="HF87" s="468"/>
      <c r="HG87" s="468"/>
      <c r="HH87" s="468"/>
      <c r="HI87" s="468"/>
      <c r="HJ87" s="468"/>
      <c r="HK87" s="468"/>
      <c r="HL87" s="468"/>
      <c r="HM87" s="468"/>
      <c r="HN87" s="468"/>
      <c r="HO87" s="468"/>
      <c r="HP87" s="468"/>
      <c r="HQ87" s="468"/>
      <c r="HR87" s="468"/>
      <c r="HS87" s="468"/>
      <c r="HT87" s="468"/>
      <c r="HU87" s="468"/>
      <c r="HV87" s="468"/>
      <c r="HW87" s="468"/>
      <c r="HX87" s="468"/>
      <c r="HY87" s="468"/>
      <c r="HZ87" s="468"/>
      <c r="IA87" s="468"/>
      <c r="IB87" s="468"/>
      <c r="IC87" s="468"/>
      <c r="ID87" s="468"/>
      <c r="IE87" s="468"/>
      <c r="IF87" s="468"/>
      <c r="IG87" s="468"/>
      <c r="IH87" s="468"/>
      <c r="II87" s="468"/>
      <c r="IJ87" s="468"/>
      <c r="IK87" s="468"/>
      <c r="IL87" s="468"/>
      <c r="IM87" s="468"/>
      <c r="IN87" s="468"/>
      <c r="IO87" s="468"/>
      <c r="IP87" s="468"/>
      <c r="IQ87" s="468"/>
      <c r="IR87" s="468"/>
      <c r="IS87" s="468"/>
      <c r="IT87" s="468"/>
      <c r="IU87" s="468"/>
      <c r="IV87" s="468"/>
      <c r="IW87" s="468"/>
      <c r="IX87" s="468"/>
      <c r="IY87" s="468"/>
      <c r="IZ87" s="468"/>
      <c r="JA87" s="468"/>
    </row>
    <row r="88" spans="1:261" ht="18.899999999999999" customHeight="1">
      <c r="A88" s="468"/>
      <c r="B88" s="468"/>
      <c r="C88" s="473"/>
      <c r="D88" s="473"/>
      <c r="E88" s="473"/>
      <c r="F88" s="473"/>
      <c r="G88" s="468"/>
      <c r="H88" s="468"/>
      <c r="I88" s="468"/>
      <c r="J88" s="468"/>
      <c r="K88" s="468"/>
      <c r="L88" s="468"/>
      <c r="M88" s="468"/>
      <c r="N88" s="468"/>
      <c r="O88" s="468"/>
      <c r="P88" s="468"/>
      <c r="Q88" s="468"/>
      <c r="R88" s="468"/>
      <c r="S88" s="468"/>
      <c r="T88" s="468"/>
      <c r="U88" s="468"/>
      <c r="V88" s="468"/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68"/>
      <c r="AJ88" s="468"/>
      <c r="AK88" s="468"/>
      <c r="AL88" s="468"/>
      <c r="AM88" s="468"/>
      <c r="AN88" s="468"/>
      <c r="AO88" s="468"/>
      <c r="AP88" s="468"/>
      <c r="AQ88" s="468"/>
      <c r="AR88" s="468"/>
      <c r="AS88" s="468"/>
      <c r="AT88" s="468"/>
      <c r="AU88" s="468"/>
      <c r="AV88" s="468"/>
      <c r="AW88" s="468"/>
      <c r="AX88" s="468"/>
      <c r="AY88" s="468"/>
      <c r="AZ88" s="468"/>
      <c r="BA88" s="468"/>
      <c r="BB88" s="468"/>
      <c r="BC88" s="468"/>
      <c r="BD88" s="468"/>
      <c r="BE88" s="468"/>
      <c r="BF88" s="468"/>
      <c r="BG88" s="468"/>
      <c r="BH88" s="468"/>
      <c r="BI88" s="468"/>
      <c r="BJ88" s="468"/>
      <c r="BK88" s="468"/>
      <c r="BL88" s="468"/>
      <c r="BM88" s="468"/>
      <c r="BN88" s="468"/>
      <c r="BO88" s="468"/>
      <c r="BP88" s="468"/>
      <c r="BQ88" s="468"/>
      <c r="BR88" s="468"/>
      <c r="BS88" s="468"/>
      <c r="BT88" s="468"/>
      <c r="BU88" s="468"/>
      <c r="BV88" s="468"/>
      <c r="BW88" s="468"/>
      <c r="BX88" s="468"/>
      <c r="BY88" s="468"/>
      <c r="BZ88" s="468"/>
      <c r="CA88" s="468"/>
      <c r="CB88" s="468"/>
      <c r="CC88" s="468"/>
      <c r="CD88" s="468"/>
      <c r="CE88" s="468"/>
      <c r="CF88" s="468"/>
      <c r="CG88" s="468"/>
      <c r="CH88" s="468"/>
      <c r="CI88" s="468"/>
      <c r="CJ88" s="468"/>
      <c r="CK88" s="468"/>
      <c r="CL88" s="468"/>
      <c r="CM88" s="468"/>
      <c r="CN88" s="468"/>
      <c r="CO88" s="468"/>
      <c r="CP88" s="468"/>
      <c r="CQ88" s="468"/>
      <c r="CR88" s="468"/>
      <c r="CS88" s="468"/>
      <c r="CT88" s="468"/>
      <c r="CU88" s="468"/>
      <c r="CV88" s="468"/>
      <c r="CW88" s="468"/>
      <c r="CX88" s="468"/>
      <c r="CY88" s="468"/>
      <c r="CZ88" s="468"/>
      <c r="DA88" s="468"/>
      <c r="DB88" s="468"/>
      <c r="DC88" s="468"/>
      <c r="DD88" s="468"/>
      <c r="DE88" s="468"/>
      <c r="DF88" s="468"/>
      <c r="DG88" s="468"/>
      <c r="DH88" s="468"/>
      <c r="DI88" s="468"/>
      <c r="DJ88" s="468"/>
      <c r="DK88" s="468"/>
      <c r="DL88" s="468"/>
      <c r="DM88" s="468"/>
      <c r="DN88" s="471"/>
      <c r="DO88" s="468"/>
      <c r="DP88" s="468"/>
      <c r="DQ88" s="468"/>
      <c r="DR88" s="468"/>
      <c r="DS88" s="468"/>
      <c r="DT88" s="468"/>
      <c r="DU88" s="468"/>
      <c r="DV88" s="468"/>
      <c r="DW88" s="468"/>
      <c r="DX88" s="468"/>
      <c r="DY88" s="468"/>
      <c r="DZ88" s="468"/>
      <c r="EA88" s="468"/>
      <c r="EB88" s="468"/>
      <c r="EC88" s="468"/>
      <c r="ED88" s="468"/>
      <c r="EE88" s="468"/>
      <c r="EF88" s="468"/>
      <c r="EG88" s="468"/>
      <c r="EH88" s="468"/>
      <c r="EI88" s="468"/>
      <c r="EJ88" s="468"/>
      <c r="EK88" s="468"/>
      <c r="EL88" s="468"/>
      <c r="EM88" s="468"/>
      <c r="EN88" s="468"/>
      <c r="EO88" s="468"/>
      <c r="EP88" s="468"/>
      <c r="EQ88" s="468"/>
      <c r="ER88" s="468"/>
      <c r="ES88" s="468"/>
      <c r="ET88" s="468"/>
      <c r="EU88" s="468"/>
      <c r="EV88" s="468"/>
      <c r="EW88" s="468"/>
      <c r="EX88" s="468"/>
      <c r="EY88" s="468"/>
      <c r="EZ88" s="468"/>
      <c r="FA88" s="468"/>
      <c r="FB88" s="468"/>
      <c r="FC88" s="468"/>
      <c r="FD88" s="468"/>
      <c r="FE88" s="468"/>
      <c r="FF88" s="468"/>
      <c r="FG88" s="468"/>
      <c r="FH88" s="468"/>
      <c r="FI88" s="468"/>
      <c r="FJ88" s="468"/>
      <c r="FK88" s="468"/>
      <c r="FL88" s="468"/>
      <c r="FM88" s="468"/>
      <c r="FN88" s="468"/>
      <c r="FO88" s="468"/>
      <c r="FP88" s="468"/>
      <c r="FQ88" s="468"/>
      <c r="FR88" s="468"/>
      <c r="FS88" s="468"/>
      <c r="FT88" s="468"/>
      <c r="FU88" s="468"/>
      <c r="FV88" s="468"/>
      <c r="FW88" s="468"/>
      <c r="FX88" s="468"/>
      <c r="FY88" s="468"/>
      <c r="FZ88" s="468"/>
      <c r="GA88" s="468"/>
      <c r="GB88" s="468"/>
      <c r="GC88" s="468"/>
      <c r="GD88" s="468"/>
      <c r="GE88" s="468"/>
      <c r="GF88" s="468"/>
      <c r="GG88" s="468"/>
      <c r="GH88" s="468"/>
      <c r="GI88" s="468"/>
      <c r="GJ88" s="468"/>
      <c r="GK88" s="468"/>
      <c r="GL88" s="468"/>
      <c r="GM88" s="468"/>
      <c r="GN88" s="468"/>
      <c r="GO88" s="468"/>
      <c r="GP88" s="468"/>
      <c r="GQ88" s="468"/>
      <c r="GR88" s="468"/>
      <c r="GS88" s="468"/>
      <c r="GT88" s="468"/>
      <c r="GU88" s="468"/>
      <c r="GV88" s="468"/>
      <c r="GW88" s="468"/>
      <c r="GX88" s="468"/>
      <c r="GY88" s="468"/>
      <c r="GZ88" s="468"/>
      <c r="HA88" s="468"/>
      <c r="HB88" s="468"/>
      <c r="HC88" s="468"/>
      <c r="HD88" s="468"/>
      <c r="HE88" s="468"/>
      <c r="HF88" s="468"/>
      <c r="HG88" s="468"/>
      <c r="HH88" s="468"/>
      <c r="HI88" s="468"/>
      <c r="HJ88" s="468"/>
      <c r="HK88" s="468"/>
      <c r="HL88" s="468"/>
      <c r="HM88" s="468"/>
      <c r="HN88" s="468"/>
      <c r="HO88" s="468"/>
      <c r="HP88" s="468"/>
      <c r="HQ88" s="468"/>
      <c r="HR88" s="468"/>
      <c r="HS88" s="468"/>
      <c r="HT88" s="468"/>
      <c r="HU88" s="468"/>
      <c r="HV88" s="468"/>
      <c r="HW88" s="468"/>
      <c r="HX88" s="468"/>
      <c r="HY88" s="468"/>
      <c r="HZ88" s="468"/>
      <c r="IA88" s="468"/>
      <c r="IB88" s="468"/>
      <c r="IC88" s="468"/>
      <c r="ID88" s="468"/>
      <c r="IE88" s="468"/>
      <c r="IF88" s="468"/>
      <c r="IG88" s="468"/>
      <c r="IH88" s="468"/>
      <c r="II88" s="468"/>
      <c r="IJ88" s="468"/>
      <c r="IK88" s="468"/>
      <c r="IL88" s="468"/>
      <c r="IM88" s="468"/>
      <c r="IN88" s="468"/>
      <c r="IO88" s="468"/>
      <c r="IP88" s="468"/>
      <c r="IQ88" s="468"/>
      <c r="IR88" s="468"/>
      <c r="IS88" s="468"/>
      <c r="IT88" s="468"/>
      <c r="IU88" s="468"/>
      <c r="IV88" s="468"/>
      <c r="IW88" s="468"/>
      <c r="IX88" s="468"/>
      <c r="IY88" s="468"/>
      <c r="IZ88" s="468"/>
      <c r="JA88" s="468"/>
    </row>
    <row r="89" spans="1:261" ht="18.899999999999999" customHeight="1">
      <c r="A89" s="468"/>
      <c r="B89" s="468"/>
      <c r="C89" s="473"/>
      <c r="D89" s="473"/>
      <c r="E89" s="473"/>
      <c r="F89" s="473"/>
      <c r="G89" s="468"/>
      <c r="H89" s="468"/>
      <c r="I89" s="468"/>
      <c r="J89" s="468"/>
      <c r="K89" s="468"/>
      <c r="L89" s="468"/>
      <c r="M89" s="468"/>
      <c r="N89" s="468"/>
      <c r="O89" s="468"/>
      <c r="P89" s="468"/>
      <c r="Q89" s="468"/>
      <c r="R89" s="468"/>
      <c r="S89" s="468"/>
      <c r="T89" s="468"/>
      <c r="U89" s="468"/>
      <c r="V89" s="468"/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468"/>
      <c r="AJ89" s="468"/>
      <c r="AK89" s="468"/>
      <c r="AL89" s="468"/>
      <c r="AM89" s="468"/>
      <c r="AN89" s="468"/>
      <c r="AO89" s="468"/>
      <c r="AP89" s="468"/>
      <c r="AQ89" s="468"/>
      <c r="AR89" s="468"/>
      <c r="AS89" s="468"/>
      <c r="AT89" s="468"/>
      <c r="AU89" s="468"/>
      <c r="AV89" s="468"/>
      <c r="AW89" s="468"/>
      <c r="AX89" s="468"/>
      <c r="AY89" s="468"/>
      <c r="AZ89" s="468"/>
      <c r="BA89" s="468"/>
      <c r="BB89" s="468"/>
      <c r="BC89" s="468"/>
      <c r="BD89" s="468"/>
      <c r="BE89" s="468"/>
      <c r="BF89" s="468"/>
      <c r="BG89" s="468"/>
      <c r="BH89" s="468"/>
      <c r="BI89" s="468"/>
      <c r="BJ89" s="468"/>
      <c r="BK89" s="468"/>
      <c r="BL89" s="468"/>
      <c r="BM89" s="468"/>
      <c r="BN89" s="468"/>
      <c r="BO89" s="468"/>
      <c r="BP89" s="468"/>
      <c r="BQ89" s="468"/>
      <c r="BR89" s="468"/>
      <c r="BS89" s="468"/>
      <c r="BT89" s="468"/>
      <c r="BU89" s="468"/>
      <c r="BV89" s="468"/>
      <c r="BW89" s="468"/>
      <c r="BX89" s="468"/>
      <c r="BY89" s="468"/>
      <c r="BZ89" s="468"/>
      <c r="CA89" s="468"/>
      <c r="CB89" s="468"/>
      <c r="CC89" s="468"/>
      <c r="CD89" s="468"/>
      <c r="CE89" s="468"/>
      <c r="CF89" s="468"/>
      <c r="CG89" s="468"/>
      <c r="CH89" s="468"/>
      <c r="CI89" s="468"/>
      <c r="CJ89" s="468"/>
      <c r="CK89" s="468"/>
      <c r="CL89" s="468"/>
      <c r="CM89" s="468"/>
      <c r="CN89" s="468"/>
      <c r="CO89" s="468"/>
      <c r="CP89" s="468"/>
      <c r="CQ89" s="468"/>
      <c r="CR89" s="468"/>
      <c r="CS89" s="468"/>
      <c r="CT89" s="468"/>
      <c r="CU89" s="468"/>
      <c r="CV89" s="468"/>
      <c r="CW89" s="468"/>
      <c r="CX89" s="468"/>
      <c r="CY89" s="468"/>
      <c r="CZ89" s="468"/>
      <c r="DA89" s="468"/>
      <c r="DB89" s="468"/>
      <c r="DC89" s="468"/>
      <c r="DD89" s="468"/>
      <c r="DE89" s="468"/>
      <c r="DF89" s="468"/>
      <c r="DG89" s="468"/>
      <c r="DH89" s="468"/>
      <c r="DI89" s="468"/>
      <c r="DJ89" s="468"/>
      <c r="DK89" s="468"/>
      <c r="DL89" s="468"/>
      <c r="DM89" s="468"/>
      <c r="DN89" s="471"/>
      <c r="DO89" s="468"/>
      <c r="DP89" s="468"/>
      <c r="DQ89" s="468"/>
      <c r="DR89" s="468"/>
      <c r="DS89" s="468"/>
      <c r="DT89" s="468"/>
      <c r="DU89" s="468"/>
      <c r="DV89" s="468"/>
      <c r="DW89" s="468"/>
      <c r="DX89" s="468"/>
      <c r="DY89" s="468"/>
      <c r="DZ89" s="468"/>
      <c r="EA89" s="468"/>
      <c r="EB89" s="468"/>
      <c r="EC89" s="468"/>
      <c r="ED89" s="468"/>
      <c r="EE89" s="468"/>
      <c r="EF89" s="468"/>
      <c r="EG89" s="468"/>
      <c r="EH89" s="468"/>
      <c r="EI89" s="468"/>
      <c r="EJ89" s="468"/>
      <c r="EK89" s="468"/>
      <c r="EL89" s="468"/>
      <c r="EM89" s="468"/>
      <c r="EN89" s="468"/>
      <c r="EO89" s="468"/>
      <c r="EP89" s="468"/>
      <c r="EQ89" s="468"/>
      <c r="ER89" s="468"/>
      <c r="ES89" s="468"/>
      <c r="ET89" s="468"/>
      <c r="EU89" s="468"/>
      <c r="EV89" s="468"/>
      <c r="EW89" s="468"/>
      <c r="EX89" s="468"/>
      <c r="EY89" s="468"/>
      <c r="EZ89" s="468"/>
      <c r="FA89" s="468"/>
      <c r="FB89" s="468"/>
      <c r="FC89" s="468"/>
      <c r="FD89" s="468"/>
      <c r="FE89" s="468"/>
      <c r="FF89" s="468"/>
      <c r="FG89" s="468"/>
      <c r="FH89" s="468"/>
      <c r="FI89" s="468"/>
      <c r="FJ89" s="468"/>
      <c r="FK89" s="468"/>
      <c r="FL89" s="468"/>
      <c r="FM89" s="468"/>
      <c r="FN89" s="468"/>
      <c r="FO89" s="468"/>
      <c r="FP89" s="468"/>
      <c r="FQ89" s="468"/>
      <c r="FR89" s="468"/>
      <c r="FS89" s="468"/>
      <c r="FT89" s="468"/>
      <c r="FU89" s="468"/>
      <c r="FV89" s="468"/>
      <c r="FW89" s="468"/>
      <c r="FX89" s="468"/>
      <c r="FY89" s="468"/>
      <c r="FZ89" s="468"/>
      <c r="GA89" s="468"/>
      <c r="GB89" s="468"/>
      <c r="GC89" s="468"/>
      <c r="GD89" s="468"/>
      <c r="GE89" s="468"/>
      <c r="GF89" s="468"/>
      <c r="GG89" s="468"/>
      <c r="GH89" s="468"/>
      <c r="GI89" s="468"/>
      <c r="GJ89" s="468"/>
      <c r="GK89" s="468"/>
      <c r="GL89" s="468"/>
      <c r="GM89" s="468"/>
      <c r="GN89" s="468"/>
      <c r="GO89" s="468"/>
      <c r="GP89" s="468"/>
      <c r="GQ89" s="468"/>
      <c r="GR89" s="468"/>
      <c r="GS89" s="468"/>
      <c r="GT89" s="468"/>
      <c r="GU89" s="468"/>
      <c r="GV89" s="468"/>
      <c r="GW89" s="468"/>
      <c r="GX89" s="468"/>
      <c r="GY89" s="468"/>
      <c r="GZ89" s="468"/>
      <c r="HA89" s="468"/>
      <c r="HB89" s="468"/>
      <c r="HC89" s="468"/>
      <c r="HD89" s="468"/>
      <c r="HE89" s="468"/>
      <c r="HF89" s="468"/>
      <c r="HG89" s="468"/>
      <c r="HH89" s="468"/>
      <c r="HI89" s="468"/>
      <c r="HJ89" s="468"/>
      <c r="HK89" s="468"/>
      <c r="HL89" s="468"/>
      <c r="HM89" s="468"/>
      <c r="HN89" s="468"/>
      <c r="HO89" s="468"/>
      <c r="HP89" s="468"/>
      <c r="HQ89" s="468"/>
      <c r="HR89" s="468"/>
      <c r="HS89" s="468"/>
      <c r="HT89" s="468"/>
      <c r="HU89" s="468"/>
      <c r="HV89" s="468"/>
      <c r="HW89" s="468"/>
      <c r="HX89" s="468"/>
      <c r="HY89" s="468"/>
      <c r="HZ89" s="468"/>
      <c r="IA89" s="468"/>
      <c r="IB89" s="468"/>
      <c r="IC89" s="468"/>
      <c r="ID89" s="468"/>
      <c r="IE89" s="468"/>
      <c r="IF89" s="468"/>
      <c r="IG89" s="468"/>
      <c r="IH89" s="468"/>
      <c r="II89" s="468"/>
      <c r="IJ89" s="468"/>
      <c r="IK89" s="468"/>
      <c r="IL89" s="468"/>
      <c r="IM89" s="468"/>
      <c r="IN89" s="468"/>
      <c r="IO89" s="468"/>
      <c r="IP89" s="468"/>
      <c r="IQ89" s="468"/>
      <c r="IR89" s="468"/>
      <c r="IS89" s="468"/>
      <c r="IT89" s="468"/>
      <c r="IU89" s="468"/>
      <c r="IV89" s="468"/>
      <c r="IW89" s="468"/>
      <c r="IX89" s="468"/>
      <c r="IY89" s="468"/>
      <c r="IZ89" s="468"/>
      <c r="JA89" s="468"/>
    </row>
    <row r="90" spans="1:261" ht="18.899999999999999" customHeight="1">
      <c r="A90" s="468"/>
      <c r="B90" s="468"/>
      <c r="C90" s="473"/>
      <c r="D90" s="473"/>
      <c r="E90" s="473"/>
      <c r="F90" s="473"/>
      <c r="G90" s="468"/>
      <c r="H90" s="468"/>
      <c r="I90" s="468"/>
      <c r="J90" s="468"/>
      <c r="K90" s="468"/>
      <c r="L90" s="468"/>
      <c r="M90" s="468"/>
      <c r="N90" s="468"/>
      <c r="O90" s="468"/>
      <c r="P90" s="468"/>
      <c r="Q90" s="468"/>
      <c r="R90" s="468"/>
      <c r="S90" s="468"/>
      <c r="T90" s="468"/>
      <c r="U90" s="468"/>
      <c r="V90" s="468"/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68"/>
      <c r="AJ90" s="468"/>
      <c r="AK90" s="468"/>
      <c r="AL90" s="468"/>
      <c r="AM90" s="468"/>
      <c r="AN90" s="468"/>
      <c r="AO90" s="468"/>
      <c r="AP90" s="468"/>
      <c r="AQ90" s="468"/>
      <c r="AR90" s="468"/>
      <c r="AS90" s="468"/>
      <c r="AT90" s="468"/>
      <c r="AU90" s="468"/>
      <c r="AV90" s="468"/>
      <c r="AW90" s="468"/>
      <c r="AX90" s="468"/>
      <c r="AY90" s="468"/>
      <c r="AZ90" s="468"/>
      <c r="BA90" s="468"/>
      <c r="BB90" s="468"/>
      <c r="BC90" s="468"/>
      <c r="BD90" s="468"/>
      <c r="BE90" s="468"/>
      <c r="BF90" s="468"/>
      <c r="BG90" s="468"/>
      <c r="BH90" s="468"/>
      <c r="BI90" s="468"/>
      <c r="BJ90" s="468"/>
      <c r="BK90" s="468"/>
      <c r="BL90" s="468"/>
      <c r="BM90" s="468"/>
      <c r="BN90" s="468"/>
      <c r="BO90" s="468"/>
      <c r="BP90" s="468"/>
      <c r="BQ90" s="468"/>
      <c r="BR90" s="468"/>
      <c r="BS90" s="468"/>
      <c r="BT90" s="468"/>
      <c r="BU90" s="468"/>
      <c r="BV90" s="468"/>
      <c r="BW90" s="468"/>
      <c r="BX90" s="468"/>
      <c r="BY90" s="468"/>
      <c r="BZ90" s="468"/>
      <c r="CA90" s="468"/>
      <c r="CB90" s="468"/>
      <c r="CC90" s="468"/>
      <c r="CD90" s="468"/>
      <c r="CE90" s="468"/>
      <c r="CF90" s="468"/>
      <c r="CG90" s="468"/>
      <c r="CH90" s="468"/>
      <c r="CI90" s="468"/>
      <c r="CJ90" s="468"/>
      <c r="CK90" s="468"/>
      <c r="CL90" s="468"/>
      <c r="CM90" s="468"/>
      <c r="CN90" s="468"/>
      <c r="CO90" s="468"/>
      <c r="CP90" s="468"/>
      <c r="CQ90" s="468"/>
      <c r="CR90" s="468"/>
      <c r="CS90" s="468"/>
      <c r="CT90" s="468"/>
      <c r="CU90" s="468"/>
      <c r="CV90" s="468"/>
      <c r="CW90" s="468"/>
      <c r="CX90" s="468"/>
      <c r="CY90" s="468"/>
      <c r="CZ90" s="468"/>
      <c r="DA90" s="468"/>
      <c r="DB90" s="468"/>
      <c r="DC90" s="468"/>
      <c r="DD90" s="468"/>
      <c r="DE90" s="468"/>
      <c r="DF90" s="468"/>
      <c r="DG90" s="468"/>
      <c r="DH90" s="468"/>
      <c r="DI90" s="468"/>
      <c r="DJ90" s="468"/>
      <c r="DK90" s="468"/>
      <c r="DL90" s="468"/>
      <c r="DM90" s="468"/>
      <c r="DN90" s="471"/>
      <c r="DO90" s="468"/>
      <c r="DP90" s="468"/>
      <c r="DQ90" s="468"/>
      <c r="DR90" s="468"/>
      <c r="DS90" s="468"/>
      <c r="DT90" s="468"/>
      <c r="DU90" s="468"/>
      <c r="DV90" s="468"/>
      <c r="DW90" s="468"/>
      <c r="DX90" s="468"/>
      <c r="DY90" s="468"/>
      <c r="DZ90" s="468"/>
      <c r="EA90" s="468"/>
      <c r="EB90" s="468"/>
      <c r="EC90" s="468"/>
      <c r="ED90" s="468"/>
      <c r="EE90" s="468"/>
      <c r="EF90" s="468"/>
      <c r="EG90" s="468"/>
      <c r="EH90" s="468"/>
      <c r="EI90" s="468"/>
      <c r="EJ90" s="468"/>
      <c r="EK90" s="468"/>
      <c r="EL90" s="468"/>
      <c r="EM90" s="468"/>
      <c r="EN90" s="468"/>
      <c r="EO90" s="468"/>
      <c r="EP90" s="468"/>
      <c r="EQ90" s="468"/>
      <c r="ER90" s="468"/>
      <c r="ES90" s="468"/>
      <c r="ET90" s="468"/>
      <c r="EU90" s="468"/>
      <c r="EV90" s="468"/>
      <c r="EW90" s="468"/>
      <c r="EX90" s="468"/>
      <c r="EY90" s="468"/>
      <c r="EZ90" s="468"/>
      <c r="FA90" s="468"/>
      <c r="FB90" s="468"/>
      <c r="FC90" s="468"/>
      <c r="FD90" s="468"/>
      <c r="FE90" s="468"/>
      <c r="FF90" s="468"/>
      <c r="FG90" s="468"/>
      <c r="FH90" s="468"/>
      <c r="FI90" s="468"/>
      <c r="FJ90" s="468"/>
      <c r="FK90" s="468"/>
      <c r="FL90" s="468"/>
      <c r="FM90" s="468"/>
      <c r="FN90" s="468"/>
      <c r="FO90" s="468"/>
      <c r="FP90" s="468"/>
      <c r="FQ90" s="468"/>
      <c r="FR90" s="468"/>
      <c r="FS90" s="468"/>
      <c r="FT90" s="468"/>
      <c r="FU90" s="468"/>
      <c r="FV90" s="468"/>
      <c r="FW90" s="468"/>
      <c r="FX90" s="468"/>
      <c r="FY90" s="468"/>
      <c r="FZ90" s="468"/>
      <c r="GA90" s="468"/>
      <c r="GB90" s="468"/>
      <c r="GC90" s="468"/>
      <c r="GD90" s="468"/>
      <c r="GE90" s="468"/>
      <c r="GF90" s="468"/>
      <c r="GG90" s="468"/>
      <c r="GH90" s="468"/>
      <c r="GI90" s="468"/>
      <c r="GJ90" s="468"/>
      <c r="GK90" s="468"/>
      <c r="GL90" s="468"/>
      <c r="GM90" s="468"/>
      <c r="GN90" s="468"/>
      <c r="GO90" s="468"/>
      <c r="GP90" s="468"/>
      <c r="GQ90" s="468"/>
      <c r="GR90" s="468"/>
      <c r="GS90" s="468"/>
      <c r="GT90" s="468"/>
      <c r="GU90" s="468"/>
      <c r="GV90" s="468"/>
      <c r="GW90" s="468"/>
      <c r="GX90" s="468"/>
      <c r="GY90" s="468"/>
      <c r="GZ90" s="468"/>
      <c r="HA90" s="468"/>
      <c r="HB90" s="468"/>
      <c r="HC90" s="468"/>
      <c r="HD90" s="468"/>
      <c r="HE90" s="468"/>
      <c r="HF90" s="468"/>
      <c r="HG90" s="468"/>
      <c r="HH90" s="468"/>
      <c r="HI90" s="468"/>
      <c r="HJ90" s="468"/>
      <c r="HK90" s="468"/>
      <c r="HL90" s="468"/>
      <c r="HM90" s="468"/>
      <c r="HN90" s="468"/>
      <c r="HO90" s="468"/>
      <c r="HP90" s="468"/>
      <c r="HQ90" s="468"/>
      <c r="HR90" s="468"/>
      <c r="HS90" s="468"/>
      <c r="HT90" s="468"/>
      <c r="HU90" s="468"/>
      <c r="HV90" s="468"/>
      <c r="HW90" s="468"/>
      <c r="HX90" s="468"/>
      <c r="HY90" s="468"/>
      <c r="HZ90" s="468"/>
      <c r="IA90" s="468"/>
      <c r="IB90" s="468"/>
      <c r="IC90" s="468"/>
      <c r="ID90" s="468"/>
      <c r="IE90" s="468"/>
      <c r="IF90" s="468"/>
      <c r="IG90" s="468"/>
      <c r="IH90" s="468"/>
      <c r="II90" s="468"/>
      <c r="IJ90" s="468"/>
      <c r="IK90" s="468"/>
      <c r="IL90" s="468"/>
      <c r="IM90" s="468"/>
      <c r="IN90" s="468"/>
      <c r="IO90" s="468"/>
      <c r="IP90" s="468"/>
      <c r="IQ90" s="468"/>
      <c r="IR90" s="468"/>
      <c r="IS90" s="468"/>
      <c r="IT90" s="468"/>
      <c r="IU90" s="468"/>
      <c r="IV90" s="468"/>
      <c r="IW90" s="468"/>
      <c r="IX90" s="468"/>
      <c r="IY90" s="468"/>
      <c r="IZ90" s="468"/>
      <c r="JA90" s="468"/>
    </row>
    <row r="91" spans="1:261" ht="18.899999999999999" customHeight="1">
      <c r="A91" s="468"/>
      <c r="B91" s="468"/>
      <c r="C91" s="473"/>
      <c r="D91" s="473"/>
      <c r="E91" s="473"/>
      <c r="F91" s="473"/>
      <c r="G91" s="468"/>
      <c r="H91" s="468"/>
      <c r="I91" s="468"/>
      <c r="J91" s="468"/>
      <c r="K91" s="468"/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468"/>
      <c r="AI91" s="468"/>
      <c r="AJ91" s="468"/>
      <c r="AK91" s="468"/>
      <c r="AL91" s="468"/>
      <c r="AM91" s="468"/>
      <c r="AN91" s="468"/>
      <c r="AO91" s="468"/>
      <c r="AP91" s="468"/>
      <c r="AQ91" s="468"/>
      <c r="AR91" s="468"/>
      <c r="AS91" s="468"/>
      <c r="AT91" s="468"/>
      <c r="AU91" s="468"/>
      <c r="AV91" s="468"/>
      <c r="AW91" s="468"/>
      <c r="AX91" s="468"/>
      <c r="AY91" s="468"/>
      <c r="AZ91" s="468"/>
      <c r="BA91" s="468"/>
      <c r="BB91" s="468"/>
      <c r="BC91" s="468"/>
      <c r="BD91" s="468"/>
      <c r="BE91" s="468"/>
      <c r="BF91" s="468"/>
      <c r="BG91" s="468"/>
      <c r="BH91" s="468"/>
      <c r="BI91" s="468"/>
      <c r="BJ91" s="468"/>
      <c r="BK91" s="468"/>
      <c r="BL91" s="468"/>
      <c r="BM91" s="468"/>
      <c r="BN91" s="468"/>
      <c r="BO91" s="468"/>
      <c r="BP91" s="468"/>
      <c r="BQ91" s="468"/>
      <c r="BR91" s="468"/>
      <c r="BS91" s="468"/>
      <c r="BT91" s="468"/>
      <c r="BU91" s="468"/>
      <c r="BV91" s="468"/>
      <c r="BW91" s="468"/>
      <c r="BX91" s="468"/>
      <c r="BY91" s="468"/>
      <c r="BZ91" s="468"/>
      <c r="CA91" s="468"/>
      <c r="CB91" s="468"/>
      <c r="CC91" s="468"/>
      <c r="CD91" s="468"/>
      <c r="CE91" s="468"/>
      <c r="CF91" s="468"/>
      <c r="CG91" s="468"/>
      <c r="CH91" s="468"/>
      <c r="CI91" s="468"/>
      <c r="CJ91" s="468"/>
      <c r="CK91" s="468"/>
      <c r="CL91" s="468"/>
      <c r="CM91" s="468"/>
      <c r="CN91" s="468"/>
      <c r="CO91" s="468"/>
      <c r="CP91" s="468"/>
      <c r="CQ91" s="468"/>
      <c r="CR91" s="468"/>
      <c r="CS91" s="468"/>
      <c r="CT91" s="468"/>
      <c r="CU91" s="468"/>
      <c r="CV91" s="468"/>
      <c r="CW91" s="468"/>
      <c r="CX91" s="468"/>
      <c r="CY91" s="468"/>
      <c r="CZ91" s="468"/>
      <c r="DA91" s="468"/>
      <c r="DB91" s="468"/>
      <c r="DC91" s="468"/>
      <c r="DD91" s="468"/>
      <c r="DE91" s="468"/>
      <c r="DF91" s="468"/>
      <c r="DG91" s="468"/>
      <c r="DH91" s="468"/>
      <c r="DI91" s="468"/>
      <c r="DJ91" s="468"/>
      <c r="DK91" s="468"/>
      <c r="DL91" s="468"/>
      <c r="DM91" s="468"/>
      <c r="DN91" s="471"/>
      <c r="DO91" s="468"/>
      <c r="DP91" s="468"/>
      <c r="DQ91" s="468"/>
      <c r="DR91" s="468"/>
      <c r="DS91" s="468"/>
      <c r="DT91" s="468"/>
      <c r="DU91" s="468"/>
      <c r="DV91" s="468"/>
      <c r="DW91" s="468"/>
      <c r="DX91" s="468"/>
      <c r="DY91" s="468"/>
      <c r="DZ91" s="468"/>
      <c r="EA91" s="468"/>
      <c r="EB91" s="468"/>
      <c r="EC91" s="468"/>
      <c r="ED91" s="468"/>
      <c r="EE91" s="468"/>
      <c r="EF91" s="468"/>
      <c r="EG91" s="468"/>
      <c r="EH91" s="468"/>
      <c r="EI91" s="468"/>
      <c r="EJ91" s="468"/>
      <c r="EK91" s="468"/>
      <c r="EL91" s="468"/>
      <c r="EM91" s="468"/>
      <c r="EN91" s="468"/>
      <c r="EO91" s="468"/>
      <c r="EP91" s="468"/>
      <c r="EQ91" s="468"/>
      <c r="ER91" s="468"/>
      <c r="ES91" s="468"/>
      <c r="ET91" s="468"/>
      <c r="EU91" s="468"/>
      <c r="EV91" s="468"/>
      <c r="EW91" s="468"/>
      <c r="EX91" s="468"/>
      <c r="EY91" s="468"/>
      <c r="EZ91" s="468"/>
      <c r="FA91" s="468"/>
      <c r="FB91" s="468"/>
      <c r="FC91" s="468"/>
      <c r="FD91" s="468"/>
      <c r="FE91" s="468"/>
      <c r="FF91" s="468"/>
      <c r="FG91" s="468"/>
      <c r="FH91" s="468"/>
      <c r="FI91" s="468"/>
      <c r="FJ91" s="468"/>
      <c r="FK91" s="468"/>
      <c r="FL91" s="468"/>
      <c r="FM91" s="468"/>
      <c r="FN91" s="468"/>
      <c r="FO91" s="468"/>
      <c r="FP91" s="468"/>
      <c r="FQ91" s="468"/>
      <c r="FR91" s="468"/>
      <c r="FS91" s="468"/>
      <c r="FT91" s="468"/>
      <c r="FU91" s="468"/>
      <c r="FV91" s="468"/>
      <c r="FW91" s="468"/>
      <c r="FX91" s="468"/>
      <c r="FY91" s="468"/>
      <c r="FZ91" s="468"/>
      <c r="GA91" s="468"/>
      <c r="GB91" s="468"/>
      <c r="GC91" s="468"/>
      <c r="GD91" s="468"/>
      <c r="GE91" s="468"/>
      <c r="GF91" s="468"/>
      <c r="GG91" s="468"/>
      <c r="GH91" s="468"/>
      <c r="GI91" s="468"/>
      <c r="GJ91" s="468"/>
      <c r="GK91" s="468"/>
      <c r="GL91" s="468"/>
      <c r="GM91" s="468"/>
      <c r="GN91" s="468"/>
      <c r="GO91" s="468"/>
      <c r="GP91" s="468"/>
      <c r="GQ91" s="468"/>
      <c r="GR91" s="468"/>
      <c r="GS91" s="468"/>
      <c r="GT91" s="468"/>
      <c r="GU91" s="468"/>
      <c r="GV91" s="468"/>
      <c r="GW91" s="468"/>
      <c r="GX91" s="468"/>
      <c r="GY91" s="468"/>
      <c r="GZ91" s="468"/>
      <c r="HA91" s="468"/>
      <c r="HB91" s="468"/>
      <c r="HC91" s="468"/>
      <c r="HD91" s="468"/>
      <c r="HE91" s="468"/>
      <c r="HF91" s="468"/>
      <c r="HG91" s="468"/>
      <c r="HH91" s="468"/>
      <c r="HI91" s="468"/>
      <c r="HJ91" s="468"/>
      <c r="HK91" s="468"/>
      <c r="HL91" s="468"/>
      <c r="HM91" s="468"/>
      <c r="HN91" s="468"/>
      <c r="HO91" s="468"/>
      <c r="HP91" s="468"/>
      <c r="HQ91" s="468"/>
      <c r="HR91" s="468"/>
      <c r="HS91" s="468"/>
      <c r="HT91" s="468"/>
      <c r="HU91" s="468"/>
      <c r="HV91" s="468"/>
      <c r="HW91" s="468"/>
      <c r="HX91" s="468"/>
      <c r="HY91" s="468"/>
      <c r="HZ91" s="468"/>
      <c r="IA91" s="468"/>
      <c r="IB91" s="468"/>
      <c r="IC91" s="468"/>
      <c r="ID91" s="468"/>
      <c r="IE91" s="468"/>
      <c r="IF91" s="468"/>
      <c r="IG91" s="468"/>
      <c r="IH91" s="468"/>
      <c r="II91" s="468"/>
      <c r="IJ91" s="468"/>
      <c r="IK91" s="468"/>
      <c r="IL91" s="468"/>
      <c r="IM91" s="468"/>
      <c r="IN91" s="468"/>
      <c r="IO91" s="468"/>
      <c r="IP91" s="468"/>
      <c r="IQ91" s="468"/>
      <c r="IR91" s="468"/>
      <c r="IS91" s="468"/>
      <c r="IT91" s="468"/>
      <c r="IU91" s="468"/>
      <c r="IV91" s="468"/>
      <c r="IW91" s="468"/>
      <c r="IX91" s="468"/>
      <c r="IY91" s="468"/>
      <c r="IZ91" s="468"/>
      <c r="JA91" s="468"/>
    </row>
    <row r="92" spans="1:261" ht="18.899999999999999" customHeight="1">
      <c r="A92" s="468"/>
      <c r="B92" s="468"/>
      <c r="C92" s="473"/>
      <c r="D92" s="473"/>
      <c r="E92" s="473"/>
      <c r="F92" s="473"/>
      <c r="G92" s="468"/>
      <c r="H92" s="468"/>
      <c r="I92" s="468"/>
      <c r="J92" s="468"/>
      <c r="K92" s="468"/>
      <c r="L92" s="468"/>
      <c r="M92" s="468"/>
      <c r="N92" s="468"/>
      <c r="O92" s="468"/>
      <c r="P92" s="468"/>
      <c r="Q92" s="468"/>
      <c r="R92" s="468"/>
      <c r="S92" s="468"/>
      <c r="T92" s="468"/>
      <c r="U92" s="468"/>
      <c r="V92" s="468"/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468"/>
      <c r="AJ92" s="468"/>
      <c r="AK92" s="468"/>
      <c r="AL92" s="468"/>
      <c r="AM92" s="468"/>
      <c r="AN92" s="468"/>
      <c r="AO92" s="468"/>
      <c r="AP92" s="468"/>
      <c r="AQ92" s="468"/>
      <c r="AR92" s="468"/>
      <c r="AS92" s="468"/>
      <c r="AT92" s="468"/>
      <c r="AU92" s="468"/>
      <c r="AV92" s="468"/>
      <c r="AW92" s="468"/>
      <c r="AX92" s="468"/>
      <c r="AY92" s="468"/>
      <c r="AZ92" s="468"/>
      <c r="BA92" s="468"/>
      <c r="BB92" s="468"/>
      <c r="BC92" s="468"/>
      <c r="BD92" s="468"/>
      <c r="BE92" s="468"/>
      <c r="BF92" s="468"/>
      <c r="BG92" s="468"/>
      <c r="BH92" s="468"/>
      <c r="BI92" s="468"/>
      <c r="BJ92" s="468"/>
      <c r="BK92" s="468"/>
      <c r="BL92" s="468"/>
      <c r="BM92" s="468"/>
      <c r="BN92" s="468"/>
      <c r="BO92" s="468"/>
      <c r="BP92" s="468"/>
      <c r="BQ92" s="468"/>
      <c r="BR92" s="468"/>
      <c r="BS92" s="468"/>
      <c r="BT92" s="468"/>
      <c r="BU92" s="468"/>
      <c r="BV92" s="468"/>
      <c r="BW92" s="468"/>
      <c r="BX92" s="468"/>
      <c r="BY92" s="468"/>
      <c r="BZ92" s="468"/>
      <c r="CA92" s="468"/>
      <c r="CB92" s="468"/>
      <c r="CC92" s="468"/>
      <c r="CD92" s="468"/>
      <c r="CE92" s="468"/>
      <c r="CF92" s="468"/>
      <c r="CG92" s="468"/>
      <c r="CH92" s="468"/>
      <c r="CI92" s="468"/>
      <c r="CJ92" s="468"/>
      <c r="CK92" s="468"/>
      <c r="CL92" s="468"/>
      <c r="CM92" s="468"/>
      <c r="CN92" s="468"/>
      <c r="CO92" s="468"/>
      <c r="CP92" s="468"/>
      <c r="CQ92" s="468"/>
      <c r="CR92" s="468"/>
      <c r="CS92" s="468"/>
      <c r="CT92" s="468"/>
      <c r="CU92" s="468"/>
      <c r="CV92" s="468"/>
      <c r="CW92" s="468"/>
      <c r="CX92" s="468"/>
      <c r="CY92" s="468"/>
      <c r="CZ92" s="468"/>
      <c r="DA92" s="468"/>
      <c r="DB92" s="468"/>
      <c r="DC92" s="468"/>
      <c r="DD92" s="468"/>
      <c r="DE92" s="468"/>
      <c r="DF92" s="468"/>
      <c r="DG92" s="468"/>
      <c r="DH92" s="468"/>
      <c r="DI92" s="468"/>
      <c r="DJ92" s="468"/>
      <c r="DK92" s="468"/>
      <c r="DL92" s="468"/>
      <c r="DM92" s="468"/>
      <c r="DN92" s="471"/>
      <c r="DO92" s="468"/>
      <c r="DP92" s="468"/>
      <c r="DQ92" s="468"/>
      <c r="DR92" s="468"/>
      <c r="DS92" s="468"/>
      <c r="DT92" s="468"/>
      <c r="DU92" s="468"/>
      <c r="DV92" s="468"/>
      <c r="DW92" s="468"/>
      <c r="DX92" s="468"/>
      <c r="DY92" s="468"/>
      <c r="DZ92" s="468"/>
      <c r="EA92" s="468"/>
      <c r="EB92" s="468"/>
      <c r="EC92" s="468"/>
      <c r="ED92" s="468"/>
      <c r="EE92" s="468"/>
      <c r="EF92" s="468"/>
      <c r="EG92" s="468"/>
      <c r="EH92" s="468"/>
      <c r="EI92" s="468"/>
      <c r="EJ92" s="468"/>
      <c r="EK92" s="468"/>
      <c r="EL92" s="468"/>
      <c r="EM92" s="468"/>
      <c r="EN92" s="468"/>
      <c r="EO92" s="468"/>
      <c r="EP92" s="468"/>
      <c r="EQ92" s="468"/>
      <c r="ER92" s="468"/>
      <c r="ES92" s="468"/>
      <c r="ET92" s="468"/>
      <c r="EU92" s="468"/>
      <c r="EV92" s="468"/>
      <c r="EW92" s="468"/>
      <c r="EX92" s="468"/>
      <c r="EY92" s="468"/>
      <c r="EZ92" s="468"/>
      <c r="FA92" s="468"/>
      <c r="FB92" s="468"/>
      <c r="FC92" s="468"/>
      <c r="FD92" s="468"/>
      <c r="FE92" s="468"/>
      <c r="FF92" s="468"/>
      <c r="FG92" s="468"/>
      <c r="FH92" s="468"/>
      <c r="FI92" s="468"/>
      <c r="FJ92" s="468"/>
      <c r="FK92" s="468"/>
      <c r="FL92" s="468"/>
      <c r="FM92" s="468"/>
      <c r="FN92" s="468"/>
      <c r="FO92" s="468"/>
      <c r="FP92" s="468"/>
      <c r="FQ92" s="468"/>
      <c r="FR92" s="468"/>
      <c r="FS92" s="468"/>
      <c r="FT92" s="468"/>
      <c r="FU92" s="468"/>
      <c r="FV92" s="468"/>
      <c r="FW92" s="468"/>
      <c r="FX92" s="468"/>
      <c r="FY92" s="468"/>
      <c r="FZ92" s="468"/>
      <c r="GA92" s="468"/>
      <c r="GB92" s="468"/>
      <c r="GC92" s="468"/>
      <c r="GD92" s="468"/>
      <c r="GE92" s="468"/>
      <c r="GF92" s="468"/>
      <c r="GG92" s="468"/>
      <c r="GH92" s="468"/>
      <c r="GI92" s="468"/>
      <c r="GJ92" s="468"/>
      <c r="GK92" s="468"/>
      <c r="GL92" s="468"/>
      <c r="GM92" s="468"/>
      <c r="GN92" s="468"/>
      <c r="GO92" s="468"/>
      <c r="GP92" s="468"/>
      <c r="GQ92" s="468"/>
      <c r="GR92" s="468"/>
      <c r="GS92" s="468"/>
      <c r="GT92" s="468"/>
      <c r="GU92" s="468"/>
      <c r="GV92" s="468"/>
      <c r="GW92" s="468"/>
      <c r="GX92" s="468"/>
      <c r="GY92" s="468"/>
      <c r="GZ92" s="468"/>
      <c r="HA92" s="468"/>
      <c r="HB92" s="468"/>
      <c r="HC92" s="468"/>
      <c r="HD92" s="468"/>
      <c r="HE92" s="468"/>
      <c r="HF92" s="468"/>
      <c r="HG92" s="468"/>
      <c r="HH92" s="468"/>
      <c r="HI92" s="468"/>
      <c r="HJ92" s="468"/>
      <c r="HK92" s="468"/>
      <c r="HL92" s="468"/>
      <c r="HM92" s="468"/>
      <c r="HN92" s="468"/>
      <c r="HO92" s="468"/>
      <c r="HP92" s="468"/>
      <c r="HQ92" s="468"/>
      <c r="HR92" s="468"/>
      <c r="HS92" s="468"/>
      <c r="HT92" s="468"/>
      <c r="HU92" s="468"/>
      <c r="HV92" s="468"/>
      <c r="HW92" s="468"/>
      <c r="HX92" s="468"/>
      <c r="HY92" s="468"/>
      <c r="HZ92" s="468"/>
      <c r="IA92" s="468"/>
      <c r="IB92" s="468"/>
      <c r="IC92" s="468"/>
      <c r="ID92" s="468"/>
      <c r="IE92" s="468"/>
      <c r="IF92" s="468"/>
      <c r="IG92" s="468"/>
      <c r="IH92" s="468"/>
      <c r="II92" s="468"/>
      <c r="IJ92" s="468"/>
      <c r="IK92" s="468"/>
      <c r="IL92" s="468"/>
      <c r="IM92" s="468"/>
      <c r="IN92" s="468"/>
      <c r="IO92" s="468"/>
      <c r="IP92" s="468"/>
      <c r="IQ92" s="468"/>
      <c r="IR92" s="468"/>
      <c r="IS92" s="468"/>
      <c r="IT92" s="468"/>
      <c r="IU92" s="468"/>
      <c r="IV92" s="468"/>
      <c r="IW92" s="468"/>
      <c r="IX92" s="468"/>
      <c r="IY92" s="468"/>
      <c r="IZ92" s="468"/>
      <c r="JA92" s="468"/>
    </row>
    <row r="93" spans="1:261" ht="18.899999999999999" customHeight="1">
      <c r="A93" s="468"/>
      <c r="B93" s="468"/>
      <c r="C93" s="473"/>
      <c r="D93" s="473"/>
      <c r="E93" s="473"/>
      <c r="F93" s="473"/>
      <c r="G93" s="468"/>
      <c r="H93" s="468"/>
      <c r="I93" s="468"/>
      <c r="J93" s="468"/>
      <c r="K93" s="468"/>
      <c r="L93" s="468"/>
      <c r="M93" s="468"/>
      <c r="N93" s="468"/>
      <c r="O93" s="468"/>
      <c r="P93" s="468"/>
      <c r="Q93" s="468"/>
      <c r="R93" s="468"/>
      <c r="S93" s="468"/>
      <c r="T93" s="468"/>
      <c r="U93" s="468"/>
      <c r="V93" s="468"/>
      <c r="W93" s="468"/>
      <c r="X93" s="468"/>
      <c r="Y93" s="468"/>
      <c r="Z93" s="468"/>
      <c r="AA93" s="468"/>
      <c r="AB93" s="468"/>
      <c r="AC93" s="468"/>
      <c r="AD93" s="468"/>
      <c r="AE93" s="468"/>
      <c r="AF93" s="468"/>
      <c r="AG93" s="468"/>
      <c r="AH93" s="468"/>
      <c r="AI93" s="468"/>
      <c r="AJ93" s="468"/>
      <c r="AK93" s="468"/>
      <c r="AL93" s="468"/>
      <c r="AM93" s="468"/>
      <c r="AN93" s="468"/>
      <c r="AO93" s="468"/>
      <c r="AP93" s="468"/>
      <c r="AQ93" s="468"/>
      <c r="AR93" s="468"/>
      <c r="AS93" s="468"/>
      <c r="AT93" s="468"/>
      <c r="AU93" s="468"/>
      <c r="AV93" s="468"/>
      <c r="AW93" s="468"/>
      <c r="AX93" s="468"/>
      <c r="AY93" s="468"/>
      <c r="AZ93" s="468"/>
      <c r="BA93" s="468"/>
      <c r="BB93" s="468"/>
      <c r="BC93" s="468"/>
      <c r="BD93" s="468"/>
      <c r="BE93" s="468"/>
      <c r="BF93" s="468"/>
      <c r="BG93" s="468"/>
      <c r="BH93" s="468"/>
      <c r="BI93" s="468"/>
      <c r="BJ93" s="468"/>
      <c r="BK93" s="468"/>
      <c r="BL93" s="468"/>
      <c r="BM93" s="468"/>
      <c r="BN93" s="468"/>
      <c r="BO93" s="468"/>
      <c r="BP93" s="468"/>
      <c r="BQ93" s="468"/>
      <c r="BR93" s="468"/>
      <c r="BS93" s="468"/>
      <c r="BT93" s="468"/>
      <c r="BU93" s="468"/>
      <c r="BV93" s="468"/>
      <c r="BW93" s="468"/>
      <c r="BX93" s="468"/>
      <c r="BY93" s="468"/>
      <c r="BZ93" s="468"/>
      <c r="CA93" s="468"/>
      <c r="CB93" s="468"/>
      <c r="CC93" s="468"/>
      <c r="CD93" s="468"/>
      <c r="CE93" s="468"/>
      <c r="CF93" s="468"/>
      <c r="CG93" s="468"/>
      <c r="CH93" s="468"/>
      <c r="CI93" s="468"/>
      <c r="CJ93" s="468"/>
      <c r="CK93" s="468"/>
      <c r="CL93" s="468"/>
      <c r="CM93" s="468"/>
      <c r="CN93" s="468"/>
      <c r="CO93" s="468"/>
      <c r="CP93" s="468"/>
      <c r="CQ93" s="468"/>
      <c r="CR93" s="468"/>
      <c r="CS93" s="468"/>
      <c r="CT93" s="468"/>
      <c r="CU93" s="468"/>
      <c r="CV93" s="468"/>
      <c r="CW93" s="468"/>
      <c r="CX93" s="468"/>
      <c r="CY93" s="468"/>
      <c r="CZ93" s="468"/>
      <c r="DA93" s="468"/>
      <c r="DB93" s="468"/>
      <c r="DC93" s="468"/>
      <c r="DD93" s="468"/>
      <c r="DE93" s="468"/>
      <c r="DF93" s="468"/>
      <c r="DG93" s="468"/>
      <c r="DH93" s="468"/>
      <c r="DI93" s="468"/>
      <c r="DJ93" s="468"/>
      <c r="DK93" s="468"/>
      <c r="DL93" s="468"/>
      <c r="DM93" s="468"/>
      <c r="DN93" s="471"/>
      <c r="DO93" s="468"/>
      <c r="DP93" s="468"/>
      <c r="DQ93" s="468"/>
      <c r="DR93" s="468"/>
      <c r="DS93" s="468"/>
      <c r="DT93" s="468"/>
      <c r="DU93" s="468"/>
      <c r="DV93" s="468"/>
      <c r="DW93" s="468"/>
      <c r="DX93" s="468"/>
      <c r="DY93" s="468"/>
      <c r="DZ93" s="468"/>
      <c r="EA93" s="468"/>
      <c r="EB93" s="468"/>
      <c r="EC93" s="468"/>
      <c r="ED93" s="468"/>
      <c r="EE93" s="468"/>
      <c r="EF93" s="468"/>
      <c r="EG93" s="468"/>
      <c r="EH93" s="468"/>
      <c r="EI93" s="468"/>
      <c r="EJ93" s="468"/>
      <c r="EK93" s="468"/>
      <c r="EL93" s="468"/>
      <c r="EM93" s="468"/>
      <c r="EN93" s="468"/>
      <c r="EO93" s="468"/>
      <c r="EP93" s="468"/>
      <c r="EQ93" s="468"/>
      <c r="ER93" s="468"/>
      <c r="ES93" s="468"/>
      <c r="ET93" s="468"/>
      <c r="EU93" s="468"/>
      <c r="EV93" s="468"/>
      <c r="EW93" s="468"/>
      <c r="EX93" s="468"/>
      <c r="EY93" s="468"/>
      <c r="EZ93" s="468"/>
      <c r="FA93" s="468"/>
      <c r="FB93" s="468"/>
      <c r="FC93" s="468"/>
      <c r="FD93" s="468"/>
      <c r="FE93" s="468"/>
      <c r="FF93" s="468"/>
      <c r="FG93" s="468"/>
      <c r="FH93" s="468"/>
      <c r="FI93" s="468"/>
      <c r="FJ93" s="468"/>
      <c r="FK93" s="468"/>
      <c r="FL93" s="468"/>
      <c r="FM93" s="468"/>
      <c r="FN93" s="468"/>
      <c r="FO93" s="468"/>
      <c r="FP93" s="468"/>
      <c r="FQ93" s="468"/>
      <c r="FR93" s="468"/>
      <c r="FS93" s="468"/>
      <c r="FT93" s="468"/>
      <c r="FU93" s="468"/>
      <c r="FV93" s="468"/>
      <c r="FW93" s="468"/>
      <c r="FX93" s="468"/>
      <c r="FY93" s="468"/>
      <c r="FZ93" s="468"/>
      <c r="GA93" s="468"/>
      <c r="GB93" s="468"/>
      <c r="GC93" s="468"/>
      <c r="GD93" s="468"/>
      <c r="GE93" s="468"/>
      <c r="GF93" s="468"/>
      <c r="GG93" s="468"/>
      <c r="GH93" s="468"/>
      <c r="GI93" s="468"/>
      <c r="GJ93" s="468"/>
      <c r="GK93" s="468"/>
      <c r="GL93" s="468"/>
      <c r="GM93" s="468"/>
      <c r="GN93" s="468"/>
      <c r="GO93" s="468"/>
      <c r="GP93" s="468"/>
      <c r="GQ93" s="468"/>
      <c r="GR93" s="468"/>
      <c r="GS93" s="468"/>
      <c r="GT93" s="468"/>
      <c r="GU93" s="468"/>
      <c r="GV93" s="468"/>
      <c r="GW93" s="468"/>
      <c r="GX93" s="468"/>
      <c r="GY93" s="468"/>
      <c r="GZ93" s="468"/>
      <c r="HA93" s="468"/>
      <c r="HB93" s="468"/>
      <c r="HC93" s="468"/>
      <c r="HD93" s="468"/>
      <c r="HE93" s="468"/>
      <c r="HF93" s="468"/>
      <c r="HG93" s="468"/>
      <c r="HH93" s="468"/>
      <c r="HI93" s="468"/>
      <c r="HJ93" s="468"/>
      <c r="HK93" s="468"/>
      <c r="HL93" s="468"/>
      <c r="HM93" s="468"/>
      <c r="HN93" s="468"/>
      <c r="HO93" s="468"/>
      <c r="HP93" s="468"/>
      <c r="HQ93" s="468"/>
      <c r="HR93" s="468"/>
      <c r="HS93" s="468"/>
      <c r="HT93" s="468"/>
      <c r="HU93" s="468"/>
      <c r="HV93" s="468"/>
      <c r="HW93" s="468"/>
      <c r="HX93" s="468"/>
      <c r="HY93" s="468"/>
      <c r="HZ93" s="468"/>
      <c r="IA93" s="468"/>
      <c r="IB93" s="468"/>
      <c r="IC93" s="468"/>
      <c r="ID93" s="468"/>
      <c r="IE93" s="468"/>
      <c r="IF93" s="468"/>
      <c r="IG93" s="468"/>
      <c r="IH93" s="468"/>
      <c r="II93" s="468"/>
      <c r="IJ93" s="468"/>
      <c r="IK93" s="468"/>
      <c r="IL93" s="468"/>
      <c r="IM93" s="468"/>
      <c r="IN93" s="468"/>
      <c r="IO93" s="468"/>
      <c r="IP93" s="468"/>
      <c r="IQ93" s="468"/>
      <c r="IR93" s="468"/>
      <c r="IS93" s="468"/>
      <c r="IT93" s="468"/>
      <c r="IU93" s="468"/>
      <c r="IV93" s="468"/>
      <c r="IW93" s="468"/>
      <c r="IX93" s="468"/>
      <c r="IY93" s="468"/>
      <c r="IZ93" s="468"/>
      <c r="JA93" s="468"/>
    </row>
    <row r="94" spans="1:261" ht="18.899999999999999" customHeight="1">
      <c r="A94" s="468"/>
      <c r="B94" s="468"/>
      <c r="C94" s="473"/>
      <c r="D94" s="473"/>
      <c r="E94" s="473"/>
      <c r="F94" s="473"/>
      <c r="G94" s="468"/>
      <c r="H94" s="468"/>
      <c r="I94" s="468"/>
      <c r="J94" s="468"/>
      <c r="K94" s="468"/>
      <c r="L94" s="468"/>
      <c r="M94" s="468"/>
      <c r="N94" s="468"/>
      <c r="O94" s="468"/>
      <c r="P94" s="468"/>
      <c r="Q94" s="468"/>
      <c r="R94" s="468"/>
      <c r="S94" s="468"/>
      <c r="T94" s="468"/>
      <c r="U94" s="468"/>
      <c r="V94" s="468"/>
      <c r="W94" s="468"/>
      <c r="X94" s="468"/>
      <c r="Y94" s="468"/>
      <c r="Z94" s="468"/>
      <c r="AA94" s="468"/>
      <c r="AB94" s="468"/>
      <c r="AC94" s="468"/>
      <c r="AD94" s="468"/>
      <c r="AE94" s="468"/>
      <c r="AF94" s="468"/>
      <c r="AG94" s="468"/>
      <c r="AH94" s="468"/>
      <c r="AI94" s="468"/>
      <c r="AJ94" s="468"/>
      <c r="AK94" s="468"/>
      <c r="AL94" s="468"/>
      <c r="AM94" s="468"/>
      <c r="AN94" s="468"/>
      <c r="AO94" s="468"/>
      <c r="AP94" s="468"/>
      <c r="AQ94" s="468"/>
      <c r="AR94" s="468"/>
      <c r="AS94" s="468"/>
      <c r="AT94" s="468"/>
      <c r="AU94" s="468"/>
      <c r="AV94" s="468"/>
      <c r="AW94" s="468"/>
      <c r="AX94" s="468"/>
      <c r="AY94" s="468"/>
      <c r="AZ94" s="468"/>
      <c r="BA94" s="468"/>
      <c r="BB94" s="468"/>
      <c r="BC94" s="468"/>
      <c r="BD94" s="468"/>
      <c r="BE94" s="468"/>
      <c r="BF94" s="468"/>
      <c r="BG94" s="468"/>
      <c r="BH94" s="468"/>
      <c r="BI94" s="468"/>
      <c r="BJ94" s="468"/>
      <c r="BK94" s="468"/>
      <c r="BL94" s="468"/>
      <c r="BM94" s="468"/>
      <c r="BN94" s="468"/>
      <c r="BO94" s="468"/>
      <c r="BP94" s="468"/>
      <c r="BQ94" s="468"/>
      <c r="BR94" s="468"/>
      <c r="BS94" s="468"/>
      <c r="BT94" s="468"/>
      <c r="BU94" s="468"/>
      <c r="BV94" s="468"/>
      <c r="BW94" s="468"/>
      <c r="BX94" s="468"/>
      <c r="BY94" s="468"/>
      <c r="BZ94" s="468"/>
      <c r="CA94" s="468"/>
      <c r="CB94" s="468"/>
      <c r="CC94" s="468"/>
      <c r="CD94" s="468"/>
      <c r="CE94" s="468"/>
      <c r="CF94" s="468"/>
      <c r="CG94" s="468"/>
      <c r="CH94" s="468"/>
      <c r="CI94" s="468"/>
      <c r="CJ94" s="468"/>
      <c r="CK94" s="468"/>
      <c r="CL94" s="468"/>
      <c r="CM94" s="468"/>
      <c r="CN94" s="468"/>
      <c r="CO94" s="468"/>
      <c r="CP94" s="468"/>
      <c r="CQ94" s="468"/>
      <c r="CR94" s="468"/>
      <c r="CS94" s="468"/>
      <c r="CT94" s="468"/>
      <c r="CU94" s="468"/>
      <c r="CV94" s="468"/>
      <c r="CW94" s="468"/>
      <c r="CX94" s="468"/>
      <c r="CY94" s="468"/>
      <c r="CZ94" s="468"/>
      <c r="DA94" s="468"/>
      <c r="DB94" s="468"/>
      <c r="DC94" s="468"/>
      <c r="DD94" s="468"/>
      <c r="DE94" s="468"/>
      <c r="DF94" s="468"/>
      <c r="DG94" s="468"/>
      <c r="DH94" s="468"/>
      <c r="DI94" s="468"/>
      <c r="DJ94" s="468"/>
      <c r="DK94" s="468"/>
      <c r="DL94" s="468"/>
      <c r="DM94" s="468"/>
      <c r="DN94" s="471"/>
      <c r="DO94" s="468"/>
      <c r="DP94" s="468"/>
      <c r="DQ94" s="468"/>
      <c r="DR94" s="468"/>
      <c r="DS94" s="468"/>
      <c r="DT94" s="468"/>
      <c r="DU94" s="468"/>
      <c r="DV94" s="468"/>
      <c r="DW94" s="468"/>
      <c r="DX94" s="468"/>
      <c r="DY94" s="468"/>
      <c r="DZ94" s="468"/>
      <c r="EA94" s="468"/>
      <c r="EB94" s="468"/>
      <c r="EC94" s="468"/>
      <c r="ED94" s="468"/>
      <c r="EE94" s="468"/>
      <c r="EF94" s="468"/>
      <c r="EG94" s="468"/>
      <c r="EH94" s="468"/>
      <c r="EI94" s="468"/>
      <c r="EJ94" s="468"/>
      <c r="EK94" s="468"/>
      <c r="EL94" s="468"/>
      <c r="EM94" s="468"/>
      <c r="EN94" s="468"/>
      <c r="EO94" s="468"/>
      <c r="EP94" s="468"/>
      <c r="EQ94" s="468"/>
      <c r="ER94" s="468"/>
      <c r="ES94" s="468"/>
      <c r="ET94" s="468"/>
      <c r="EU94" s="468"/>
      <c r="EV94" s="468"/>
      <c r="EW94" s="468"/>
      <c r="EX94" s="468"/>
      <c r="EY94" s="468"/>
      <c r="EZ94" s="468"/>
      <c r="FA94" s="468"/>
      <c r="FB94" s="468"/>
      <c r="FC94" s="468"/>
      <c r="FD94" s="468"/>
      <c r="FE94" s="468"/>
      <c r="FF94" s="468"/>
      <c r="FG94" s="468"/>
      <c r="FH94" s="468"/>
      <c r="FI94" s="468"/>
      <c r="FJ94" s="468"/>
      <c r="FK94" s="468"/>
      <c r="FL94" s="468"/>
      <c r="FM94" s="468"/>
      <c r="FN94" s="468"/>
      <c r="FO94" s="468"/>
      <c r="FP94" s="468"/>
      <c r="FQ94" s="468"/>
      <c r="FR94" s="468"/>
      <c r="FS94" s="468"/>
      <c r="FT94" s="468"/>
      <c r="FU94" s="468"/>
      <c r="FV94" s="468"/>
      <c r="FW94" s="468"/>
      <c r="FX94" s="468"/>
      <c r="FY94" s="468"/>
      <c r="FZ94" s="468"/>
      <c r="GA94" s="468"/>
      <c r="GB94" s="468"/>
      <c r="GC94" s="468"/>
      <c r="GD94" s="468"/>
      <c r="GE94" s="468"/>
      <c r="GF94" s="468"/>
      <c r="GG94" s="468"/>
      <c r="GH94" s="468"/>
      <c r="GI94" s="468"/>
      <c r="GJ94" s="468"/>
      <c r="GK94" s="468"/>
      <c r="GL94" s="468"/>
      <c r="GM94" s="468"/>
      <c r="GN94" s="468"/>
      <c r="GO94" s="468"/>
      <c r="GP94" s="468"/>
      <c r="GQ94" s="468"/>
      <c r="GR94" s="468"/>
      <c r="GS94" s="468"/>
      <c r="GT94" s="468"/>
      <c r="GU94" s="468"/>
      <c r="GV94" s="468"/>
      <c r="GW94" s="468"/>
      <c r="GX94" s="468"/>
      <c r="GY94" s="468"/>
      <c r="GZ94" s="468"/>
      <c r="HA94" s="468"/>
      <c r="HB94" s="468"/>
      <c r="HC94" s="468"/>
      <c r="HD94" s="468"/>
      <c r="HE94" s="468"/>
      <c r="HF94" s="468"/>
      <c r="HG94" s="468"/>
      <c r="HH94" s="468"/>
      <c r="HI94" s="468"/>
      <c r="HJ94" s="468"/>
      <c r="HK94" s="468"/>
      <c r="HL94" s="468"/>
      <c r="HM94" s="468"/>
      <c r="HN94" s="468"/>
      <c r="HO94" s="468"/>
      <c r="HP94" s="468"/>
      <c r="HQ94" s="468"/>
      <c r="HR94" s="468"/>
      <c r="HS94" s="468"/>
      <c r="HT94" s="468"/>
      <c r="HU94" s="468"/>
      <c r="HV94" s="468"/>
      <c r="HW94" s="468"/>
      <c r="HX94" s="468"/>
      <c r="HY94" s="468"/>
      <c r="HZ94" s="468"/>
      <c r="IA94" s="468"/>
      <c r="IB94" s="468"/>
      <c r="IC94" s="468"/>
      <c r="ID94" s="468"/>
      <c r="IE94" s="468"/>
      <c r="IF94" s="468"/>
      <c r="IG94" s="468"/>
      <c r="IH94" s="468"/>
      <c r="II94" s="468"/>
      <c r="IJ94" s="468"/>
      <c r="IK94" s="468"/>
      <c r="IL94" s="468"/>
      <c r="IM94" s="468"/>
      <c r="IN94" s="468"/>
      <c r="IO94" s="468"/>
      <c r="IP94" s="468"/>
      <c r="IQ94" s="468"/>
      <c r="IR94" s="468"/>
      <c r="IS94" s="468"/>
      <c r="IT94" s="468"/>
      <c r="IU94" s="468"/>
      <c r="IV94" s="468"/>
      <c r="IW94" s="468"/>
      <c r="IX94" s="468"/>
      <c r="IY94" s="468"/>
      <c r="IZ94" s="468"/>
      <c r="JA94" s="468"/>
    </row>
    <row r="95" spans="1:261" ht="18.899999999999999" customHeight="1">
      <c r="A95" s="468"/>
      <c r="B95" s="468"/>
      <c r="C95" s="473"/>
      <c r="D95" s="473"/>
      <c r="E95" s="473"/>
      <c r="F95" s="473"/>
      <c r="G95" s="468"/>
      <c r="H95" s="468"/>
      <c r="I95" s="468"/>
      <c r="J95" s="468"/>
      <c r="K95" s="468"/>
      <c r="L95" s="468"/>
      <c r="M95" s="468"/>
      <c r="N95" s="468"/>
      <c r="O95" s="468"/>
      <c r="P95" s="468"/>
      <c r="Q95" s="468"/>
      <c r="R95" s="468"/>
      <c r="S95" s="468"/>
      <c r="T95" s="468"/>
      <c r="U95" s="468"/>
      <c r="V95" s="468"/>
      <c r="W95" s="468"/>
      <c r="X95" s="468"/>
      <c r="Y95" s="468"/>
      <c r="Z95" s="468"/>
      <c r="AA95" s="468"/>
      <c r="AB95" s="468"/>
      <c r="AC95" s="468"/>
      <c r="AD95" s="468"/>
      <c r="AE95" s="468"/>
      <c r="AF95" s="468"/>
      <c r="AG95" s="468"/>
      <c r="AH95" s="468"/>
      <c r="AI95" s="468"/>
      <c r="AJ95" s="468"/>
      <c r="AK95" s="468"/>
      <c r="AL95" s="468"/>
      <c r="AM95" s="468"/>
      <c r="AN95" s="468"/>
      <c r="AO95" s="468"/>
      <c r="AP95" s="468"/>
      <c r="AQ95" s="468"/>
      <c r="AR95" s="468"/>
      <c r="AS95" s="468"/>
      <c r="AT95" s="468"/>
      <c r="AU95" s="468"/>
      <c r="AV95" s="468"/>
      <c r="AW95" s="468"/>
      <c r="AX95" s="468"/>
      <c r="AY95" s="468"/>
      <c r="AZ95" s="468"/>
      <c r="BA95" s="468"/>
      <c r="BB95" s="468"/>
      <c r="BC95" s="468"/>
      <c r="BD95" s="468"/>
      <c r="BE95" s="468"/>
      <c r="BF95" s="468"/>
      <c r="BG95" s="468"/>
      <c r="BH95" s="468"/>
      <c r="BI95" s="468"/>
      <c r="BJ95" s="468"/>
      <c r="BK95" s="468"/>
      <c r="BL95" s="468"/>
      <c r="BM95" s="468"/>
      <c r="BN95" s="468"/>
      <c r="BO95" s="468"/>
      <c r="BP95" s="468"/>
      <c r="BQ95" s="468"/>
      <c r="BR95" s="468"/>
      <c r="BS95" s="468"/>
      <c r="BT95" s="468"/>
      <c r="BU95" s="468"/>
      <c r="BV95" s="468"/>
      <c r="BW95" s="468"/>
      <c r="BX95" s="468"/>
      <c r="BY95" s="468"/>
      <c r="BZ95" s="468"/>
      <c r="CA95" s="468"/>
      <c r="CB95" s="468"/>
      <c r="CC95" s="468"/>
      <c r="CD95" s="468"/>
      <c r="CE95" s="468"/>
      <c r="CF95" s="468"/>
      <c r="CG95" s="468"/>
      <c r="CH95" s="468"/>
      <c r="CI95" s="468"/>
      <c r="CJ95" s="468"/>
      <c r="CK95" s="468"/>
      <c r="CL95" s="468"/>
      <c r="CM95" s="468"/>
      <c r="CN95" s="468"/>
      <c r="CO95" s="468"/>
      <c r="CP95" s="468"/>
      <c r="CQ95" s="468"/>
      <c r="CR95" s="468"/>
      <c r="CS95" s="468"/>
      <c r="CT95" s="468"/>
      <c r="CU95" s="468"/>
      <c r="CV95" s="468"/>
      <c r="CW95" s="468"/>
      <c r="CX95" s="468"/>
      <c r="CY95" s="468"/>
      <c r="CZ95" s="468"/>
      <c r="DA95" s="468"/>
      <c r="DB95" s="468"/>
      <c r="DC95" s="468"/>
      <c r="DD95" s="468"/>
      <c r="DE95" s="468"/>
      <c r="DF95" s="468"/>
      <c r="DG95" s="468"/>
      <c r="DH95" s="468"/>
      <c r="DI95" s="468"/>
      <c r="DJ95" s="468"/>
      <c r="DK95" s="468"/>
      <c r="DL95" s="468"/>
      <c r="DM95" s="468"/>
      <c r="DN95" s="471"/>
      <c r="DO95" s="468"/>
      <c r="DP95" s="468"/>
      <c r="DQ95" s="468"/>
      <c r="DR95" s="468"/>
      <c r="DS95" s="468"/>
      <c r="DT95" s="468"/>
      <c r="DU95" s="468"/>
      <c r="DV95" s="468"/>
      <c r="DW95" s="468"/>
      <c r="DX95" s="468"/>
      <c r="DY95" s="468"/>
      <c r="DZ95" s="468"/>
      <c r="EA95" s="468"/>
      <c r="EB95" s="468"/>
      <c r="EC95" s="468"/>
      <c r="ED95" s="468"/>
      <c r="EE95" s="468"/>
      <c r="EF95" s="468"/>
      <c r="EG95" s="468"/>
      <c r="EH95" s="468"/>
      <c r="EI95" s="468"/>
      <c r="EJ95" s="468"/>
      <c r="EK95" s="468"/>
      <c r="EL95" s="468"/>
      <c r="EM95" s="468"/>
      <c r="EN95" s="468"/>
      <c r="EO95" s="468"/>
      <c r="EP95" s="468"/>
      <c r="EQ95" s="468"/>
      <c r="ER95" s="468"/>
      <c r="ES95" s="468"/>
      <c r="ET95" s="468"/>
      <c r="EU95" s="468"/>
      <c r="EV95" s="468"/>
      <c r="EW95" s="468"/>
      <c r="EX95" s="468"/>
      <c r="EY95" s="468"/>
      <c r="EZ95" s="468"/>
      <c r="FA95" s="468"/>
      <c r="FB95" s="468"/>
      <c r="FC95" s="468"/>
      <c r="FD95" s="468"/>
      <c r="FE95" s="468"/>
      <c r="FF95" s="468"/>
      <c r="FG95" s="468"/>
      <c r="FH95" s="468"/>
      <c r="FI95" s="468"/>
      <c r="FJ95" s="468"/>
      <c r="FK95" s="468"/>
      <c r="FL95" s="468"/>
      <c r="FM95" s="468"/>
      <c r="FN95" s="468"/>
      <c r="FO95" s="468"/>
      <c r="FP95" s="468"/>
      <c r="FQ95" s="468"/>
      <c r="FR95" s="468"/>
      <c r="FS95" s="468"/>
      <c r="FT95" s="468"/>
      <c r="FU95" s="468"/>
      <c r="FV95" s="468"/>
      <c r="FW95" s="468"/>
      <c r="FX95" s="468"/>
      <c r="FY95" s="468"/>
      <c r="FZ95" s="468"/>
      <c r="GA95" s="468"/>
      <c r="GB95" s="468"/>
      <c r="GC95" s="468"/>
      <c r="GD95" s="468"/>
      <c r="GE95" s="468"/>
      <c r="GF95" s="468"/>
      <c r="GG95" s="468"/>
      <c r="GH95" s="468"/>
      <c r="GI95" s="468"/>
      <c r="GJ95" s="468"/>
      <c r="GK95" s="468"/>
      <c r="GL95" s="468"/>
      <c r="GM95" s="468"/>
      <c r="GN95" s="468"/>
      <c r="GO95" s="468"/>
      <c r="GP95" s="468"/>
      <c r="GQ95" s="468"/>
      <c r="GR95" s="468"/>
      <c r="GS95" s="468"/>
      <c r="GT95" s="468"/>
      <c r="GU95" s="468"/>
      <c r="GV95" s="468"/>
      <c r="GW95" s="468"/>
      <c r="GX95" s="468"/>
      <c r="GY95" s="468"/>
      <c r="GZ95" s="468"/>
      <c r="HA95" s="468"/>
      <c r="HB95" s="468"/>
      <c r="HC95" s="468"/>
      <c r="HD95" s="468"/>
      <c r="HE95" s="468"/>
      <c r="HF95" s="468"/>
      <c r="HG95" s="468"/>
      <c r="HH95" s="468"/>
      <c r="HI95" s="468"/>
      <c r="HJ95" s="468"/>
      <c r="HK95" s="468"/>
      <c r="HL95" s="468"/>
      <c r="HM95" s="468"/>
      <c r="HN95" s="468"/>
      <c r="HO95" s="468"/>
      <c r="HP95" s="468"/>
      <c r="HQ95" s="468"/>
      <c r="HR95" s="468"/>
      <c r="HS95" s="468"/>
      <c r="HT95" s="468"/>
      <c r="HU95" s="468"/>
      <c r="HV95" s="468"/>
      <c r="HW95" s="468"/>
      <c r="HX95" s="468"/>
      <c r="HY95" s="468"/>
      <c r="HZ95" s="468"/>
      <c r="IA95" s="468"/>
      <c r="IB95" s="468"/>
      <c r="IC95" s="468"/>
      <c r="ID95" s="468"/>
      <c r="IE95" s="468"/>
      <c r="IF95" s="468"/>
      <c r="IG95" s="468"/>
      <c r="IH95" s="468"/>
      <c r="II95" s="468"/>
      <c r="IJ95" s="468"/>
      <c r="IK95" s="468"/>
      <c r="IL95" s="468"/>
      <c r="IM95" s="468"/>
      <c r="IN95" s="468"/>
      <c r="IO95" s="468"/>
      <c r="IP95" s="468"/>
      <c r="IQ95" s="468"/>
      <c r="IR95" s="468"/>
      <c r="IS95" s="468"/>
      <c r="IT95" s="468"/>
      <c r="IU95" s="468"/>
      <c r="IV95" s="468"/>
      <c r="IW95" s="468"/>
      <c r="IX95" s="468"/>
      <c r="IY95" s="468"/>
      <c r="IZ95" s="468"/>
      <c r="JA95" s="468"/>
    </row>
    <row r="96" spans="1:261" ht="18.899999999999999" customHeight="1">
      <c r="A96" s="468"/>
      <c r="B96" s="468"/>
      <c r="C96" s="473"/>
      <c r="D96" s="473"/>
      <c r="E96" s="473"/>
      <c r="F96" s="473"/>
      <c r="G96" s="468"/>
      <c r="H96" s="468"/>
      <c r="I96" s="468"/>
      <c r="J96" s="468"/>
      <c r="K96" s="468"/>
      <c r="L96" s="468"/>
      <c r="M96" s="468"/>
      <c r="N96" s="468"/>
      <c r="O96" s="468"/>
      <c r="P96" s="468"/>
      <c r="Q96" s="468"/>
      <c r="R96" s="468"/>
      <c r="S96" s="468"/>
      <c r="T96" s="468"/>
      <c r="U96" s="468"/>
      <c r="V96" s="468"/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468"/>
      <c r="AI96" s="468"/>
      <c r="AJ96" s="468"/>
      <c r="AK96" s="468"/>
      <c r="AL96" s="468"/>
      <c r="AM96" s="468"/>
      <c r="AN96" s="468"/>
      <c r="AO96" s="468"/>
      <c r="AP96" s="468"/>
      <c r="AQ96" s="468"/>
      <c r="AR96" s="468"/>
      <c r="AS96" s="468"/>
      <c r="AT96" s="468"/>
      <c r="AU96" s="468"/>
      <c r="AV96" s="468"/>
      <c r="AW96" s="468"/>
      <c r="AX96" s="468"/>
      <c r="AY96" s="468"/>
      <c r="AZ96" s="468"/>
      <c r="BA96" s="468"/>
      <c r="BB96" s="468"/>
      <c r="BC96" s="468"/>
      <c r="BD96" s="468"/>
      <c r="BE96" s="468"/>
      <c r="BF96" s="468"/>
      <c r="BG96" s="468"/>
      <c r="BH96" s="468"/>
      <c r="BI96" s="468"/>
      <c r="BJ96" s="468"/>
      <c r="BK96" s="468"/>
      <c r="BL96" s="468"/>
      <c r="BM96" s="468"/>
      <c r="BN96" s="468"/>
      <c r="BO96" s="468"/>
      <c r="BP96" s="468"/>
      <c r="BQ96" s="468"/>
      <c r="BR96" s="468"/>
      <c r="BS96" s="468"/>
      <c r="BT96" s="468"/>
      <c r="BU96" s="468"/>
      <c r="BV96" s="468"/>
      <c r="BW96" s="468"/>
      <c r="BX96" s="468"/>
      <c r="BY96" s="468"/>
      <c r="BZ96" s="468"/>
      <c r="CA96" s="468"/>
      <c r="CB96" s="468"/>
      <c r="CC96" s="468"/>
      <c r="CD96" s="468"/>
      <c r="CE96" s="468"/>
      <c r="CF96" s="468"/>
      <c r="CG96" s="468"/>
      <c r="CH96" s="468"/>
      <c r="CI96" s="468"/>
      <c r="CJ96" s="468"/>
      <c r="CK96" s="468"/>
      <c r="CL96" s="468"/>
      <c r="CM96" s="468"/>
      <c r="CN96" s="468"/>
      <c r="CO96" s="468"/>
      <c r="CP96" s="468"/>
      <c r="CQ96" s="468"/>
      <c r="CR96" s="468"/>
      <c r="CS96" s="468"/>
      <c r="CT96" s="468"/>
      <c r="CU96" s="468"/>
      <c r="CV96" s="468"/>
      <c r="CW96" s="468"/>
      <c r="CX96" s="468"/>
      <c r="CY96" s="468"/>
      <c r="CZ96" s="468"/>
      <c r="DA96" s="468"/>
      <c r="DB96" s="468"/>
      <c r="DC96" s="468"/>
      <c r="DD96" s="468"/>
      <c r="DE96" s="468"/>
      <c r="DF96" s="468"/>
      <c r="DG96" s="468"/>
      <c r="DH96" s="468"/>
      <c r="DI96" s="468"/>
      <c r="DJ96" s="468"/>
      <c r="DK96" s="468"/>
      <c r="DL96" s="468"/>
      <c r="DM96" s="468"/>
      <c r="DN96" s="471"/>
      <c r="DO96" s="468"/>
      <c r="DP96" s="468"/>
      <c r="DQ96" s="468"/>
      <c r="DR96" s="468"/>
      <c r="DS96" s="468"/>
      <c r="DT96" s="468"/>
      <c r="DU96" s="468"/>
      <c r="DV96" s="468"/>
      <c r="DW96" s="468"/>
      <c r="DX96" s="468"/>
      <c r="DY96" s="468"/>
      <c r="DZ96" s="468"/>
      <c r="EA96" s="468"/>
      <c r="EB96" s="468"/>
      <c r="EC96" s="468"/>
      <c r="ED96" s="468"/>
      <c r="EE96" s="468"/>
      <c r="EF96" s="468"/>
      <c r="EG96" s="468"/>
      <c r="EH96" s="468"/>
      <c r="EI96" s="468"/>
      <c r="EJ96" s="468"/>
      <c r="EK96" s="468"/>
      <c r="EL96" s="468"/>
      <c r="EM96" s="468"/>
      <c r="EN96" s="468"/>
      <c r="EO96" s="468"/>
      <c r="EP96" s="468"/>
      <c r="EQ96" s="468"/>
      <c r="ER96" s="468"/>
      <c r="ES96" s="468"/>
      <c r="ET96" s="468"/>
      <c r="EU96" s="468"/>
      <c r="EV96" s="468"/>
      <c r="EW96" s="468"/>
      <c r="EX96" s="468"/>
      <c r="EY96" s="468"/>
      <c r="EZ96" s="468"/>
      <c r="FA96" s="468"/>
      <c r="FB96" s="468"/>
      <c r="FC96" s="468"/>
      <c r="FD96" s="468"/>
      <c r="FE96" s="468"/>
      <c r="FF96" s="468"/>
      <c r="FG96" s="468"/>
      <c r="FH96" s="468"/>
      <c r="FI96" s="468"/>
      <c r="FJ96" s="468"/>
      <c r="FK96" s="468"/>
      <c r="FL96" s="468"/>
      <c r="FM96" s="468"/>
      <c r="FN96" s="468"/>
      <c r="FO96" s="468"/>
      <c r="FP96" s="468"/>
      <c r="FQ96" s="468"/>
      <c r="FR96" s="468"/>
      <c r="FS96" s="468"/>
      <c r="FT96" s="468"/>
      <c r="FU96" s="468"/>
      <c r="FV96" s="468"/>
      <c r="FW96" s="468"/>
      <c r="FX96" s="468"/>
      <c r="FY96" s="468"/>
      <c r="FZ96" s="468"/>
      <c r="GA96" s="468"/>
      <c r="GB96" s="468"/>
      <c r="GC96" s="468"/>
      <c r="GD96" s="468"/>
      <c r="GE96" s="468"/>
      <c r="GF96" s="468"/>
      <c r="GG96" s="468"/>
      <c r="GH96" s="468"/>
      <c r="GI96" s="468"/>
      <c r="GJ96" s="468"/>
      <c r="GK96" s="468"/>
      <c r="GL96" s="468"/>
      <c r="GM96" s="468"/>
      <c r="GN96" s="468"/>
      <c r="GO96" s="468"/>
      <c r="GP96" s="468"/>
      <c r="GQ96" s="468"/>
      <c r="GR96" s="468"/>
      <c r="GS96" s="468"/>
      <c r="GT96" s="468"/>
      <c r="GU96" s="468"/>
      <c r="GV96" s="468"/>
      <c r="GW96" s="468"/>
      <c r="GX96" s="468"/>
      <c r="GY96" s="468"/>
      <c r="GZ96" s="468"/>
      <c r="HA96" s="468"/>
      <c r="HB96" s="468"/>
      <c r="HC96" s="468"/>
      <c r="HD96" s="468"/>
      <c r="HE96" s="468"/>
      <c r="HF96" s="468"/>
      <c r="HG96" s="468"/>
      <c r="HH96" s="468"/>
      <c r="HI96" s="468"/>
      <c r="HJ96" s="468"/>
      <c r="HK96" s="468"/>
      <c r="HL96" s="468"/>
      <c r="HM96" s="468"/>
      <c r="HN96" s="468"/>
      <c r="HO96" s="468"/>
      <c r="HP96" s="468"/>
      <c r="HQ96" s="468"/>
      <c r="HR96" s="468"/>
      <c r="HS96" s="468"/>
      <c r="HT96" s="468"/>
      <c r="HU96" s="468"/>
      <c r="HV96" s="468"/>
      <c r="HW96" s="468"/>
      <c r="HX96" s="468"/>
      <c r="HY96" s="468"/>
      <c r="HZ96" s="468"/>
      <c r="IA96" s="468"/>
      <c r="IB96" s="468"/>
      <c r="IC96" s="468"/>
      <c r="ID96" s="468"/>
      <c r="IE96" s="468"/>
      <c r="IF96" s="468"/>
      <c r="IG96" s="468"/>
      <c r="IH96" s="468"/>
      <c r="II96" s="468"/>
      <c r="IJ96" s="468"/>
      <c r="IK96" s="468"/>
      <c r="IL96" s="468"/>
      <c r="IM96" s="468"/>
      <c r="IN96" s="468"/>
      <c r="IO96" s="468"/>
      <c r="IP96" s="468"/>
      <c r="IQ96" s="468"/>
      <c r="IR96" s="468"/>
      <c r="IS96" s="468"/>
      <c r="IT96" s="468"/>
      <c r="IU96" s="468"/>
      <c r="IV96" s="468"/>
      <c r="IW96" s="468"/>
      <c r="IX96" s="468"/>
      <c r="IY96" s="468"/>
      <c r="IZ96" s="468"/>
      <c r="JA96" s="468"/>
    </row>
    <row r="97" spans="1:261" ht="18.899999999999999" customHeight="1">
      <c r="A97" s="468"/>
      <c r="B97" s="468"/>
      <c r="C97" s="473"/>
      <c r="D97" s="473"/>
      <c r="E97" s="473"/>
      <c r="F97" s="473"/>
      <c r="G97" s="468"/>
      <c r="H97" s="468"/>
      <c r="I97" s="468"/>
      <c r="J97" s="468"/>
      <c r="K97" s="468"/>
      <c r="L97" s="468"/>
      <c r="M97" s="468"/>
      <c r="N97" s="468"/>
      <c r="O97" s="468"/>
      <c r="P97" s="468"/>
      <c r="Q97" s="468"/>
      <c r="R97" s="468"/>
      <c r="S97" s="468"/>
      <c r="T97" s="468"/>
      <c r="U97" s="468"/>
      <c r="V97" s="468"/>
      <c r="W97" s="468"/>
      <c r="X97" s="468"/>
      <c r="Y97" s="468"/>
      <c r="Z97" s="468"/>
      <c r="AA97" s="468"/>
      <c r="AB97" s="468"/>
      <c r="AC97" s="468"/>
      <c r="AD97" s="468"/>
      <c r="AE97" s="468"/>
      <c r="AF97" s="468"/>
      <c r="AG97" s="468"/>
      <c r="AH97" s="468"/>
      <c r="AI97" s="468"/>
      <c r="AJ97" s="468"/>
      <c r="AK97" s="468"/>
      <c r="AL97" s="468"/>
      <c r="AM97" s="468"/>
      <c r="AN97" s="468"/>
      <c r="AO97" s="468"/>
      <c r="AP97" s="468"/>
      <c r="AQ97" s="468"/>
      <c r="AR97" s="468"/>
      <c r="AS97" s="468"/>
      <c r="AT97" s="468"/>
      <c r="AU97" s="468"/>
      <c r="AV97" s="468"/>
      <c r="AW97" s="468"/>
      <c r="AX97" s="468"/>
      <c r="AY97" s="468"/>
      <c r="AZ97" s="468"/>
      <c r="BA97" s="468"/>
      <c r="BB97" s="468"/>
      <c r="BC97" s="468"/>
      <c r="BD97" s="468"/>
      <c r="BE97" s="468"/>
      <c r="BF97" s="468"/>
      <c r="BG97" s="468"/>
      <c r="BH97" s="468"/>
      <c r="BI97" s="468"/>
      <c r="BJ97" s="468"/>
      <c r="BK97" s="468"/>
      <c r="BL97" s="468"/>
      <c r="BM97" s="468"/>
      <c r="BN97" s="468"/>
      <c r="BO97" s="468"/>
      <c r="BP97" s="468"/>
      <c r="BQ97" s="468"/>
      <c r="BR97" s="468"/>
      <c r="BS97" s="468"/>
      <c r="BT97" s="468"/>
      <c r="BU97" s="468"/>
      <c r="BV97" s="468"/>
      <c r="BW97" s="468"/>
      <c r="BX97" s="468"/>
      <c r="BY97" s="468"/>
      <c r="BZ97" s="468"/>
      <c r="CA97" s="468"/>
      <c r="CB97" s="468"/>
      <c r="CC97" s="468"/>
      <c r="CD97" s="468"/>
      <c r="CE97" s="468"/>
      <c r="CF97" s="468"/>
      <c r="CG97" s="468"/>
      <c r="CH97" s="468"/>
      <c r="CI97" s="468"/>
      <c r="CJ97" s="468"/>
      <c r="CK97" s="468"/>
      <c r="CL97" s="468"/>
      <c r="CM97" s="468"/>
      <c r="CN97" s="468"/>
      <c r="CO97" s="468"/>
      <c r="CP97" s="468"/>
      <c r="CQ97" s="468"/>
      <c r="CR97" s="468"/>
      <c r="CS97" s="468"/>
      <c r="CT97" s="468"/>
      <c r="CU97" s="468"/>
      <c r="CV97" s="468"/>
      <c r="CW97" s="468"/>
      <c r="CX97" s="468"/>
      <c r="CY97" s="468"/>
      <c r="CZ97" s="468"/>
      <c r="DA97" s="468"/>
      <c r="DB97" s="468"/>
      <c r="DC97" s="468"/>
      <c r="DD97" s="468"/>
      <c r="DE97" s="468"/>
      <c r="DF97" s="468"/>
      <c r="DG97" s="468"/>
      <c r="DH97" s="468"/>
      <c r="DI97" s="468"/>
      <c r="DJ97" s="468"/>
      <c r="DK97" s="468"/>
      <c r="DL97" s="468"/>
      <c r="DM97" s="468"/>
      <c r="DN97" s="471"/>
      <c r="DO97" s="468"/>
      <c r="DP97" s="468"/>
      <c r="DQ97" s="468"/>
      <c r="DR97" s="468"/>
      <c r="DS97" s="468"/>
      <c r="DT97" s="468"/>
      <c r="DU97" s="468"/>
      <c r="DV97" s="468"/>
      <c r="DW97" s="468"/>
      <c r="DX97" s="468"/>
      <c r="DY97" s="468"/>
      <c r="DZ97" s="468"/>
      <c r="EA97" s="468"/>
      <c r="EB97" s="468"/>
      <c r="EC97" s="468"/>
      <c r="ED97" s="468"/>
      <c r="EE97" s="468"/>
      <c r="EF97" s="468"/>
      <c r="EG97" s="468"/>
      <c r="EH97" s="468"/>
      <c r="EI97" s="468"/>
      <c r="EJ97" s="468"/>
      <c r="EK97" s="468"/>
      <c r="EL97" s="468"/>
      <c r="EM97" s="468"/>
      <c r="EN97" s="468"/>
      <c r="EO97" s="468"/>
      <c r="EP97" s="468"/>
      <c r="EQ97" s="468"/>
      <c r="ER97" s="468"/>
      <c r="ES97" s="468"/>
      <c r="ET97" s="468"/>
      <c r="EU97" s="468"/>
      <c r="EV97" s="468"/>
      <c r="EW97" s="468"/>
      <c r="EX97" s="468"/>
      <c r="EY97" s="468"/>
      <c r="EZ97" s="468"/>
      <c r="FA97" s="468"/>
      <c r="FB97" s="468"/>
      <c r="FC97" s="468"/>
      <c r="FD97" s="468"/>
      <c r="FE97" s="468"/>
      <c r="FF97" s="468"/>
      <c r="FG97" s="468"/>
      <c r="FH97" s="468"/>
      <c r="FI97" s="468"/>
      <c r="FJ97" s="468"/>
      <c r="FK97" s="468"/>
      <c r="FL97" s="468"/>
      <c r="FM97" s="468"/>
      <c r="FN97" s="468"/>
      <c r="FO97" s="468"/>
      <c r="FP97" s="468"/>
      <c r="FQ97" s="468"/>
      <c r="FR97" s="468"/>
      <c r="FS97" s="468"/>
      <c r="FT97" s="468"/>
      <c r="FU97" s="468"/>
      <c r="FV97" s="468"/>
      <c r="FW97" s="468"/>
      <c r="FX97" s="468"/>
      <c r="FY97" s="468"/>
      <c r="FZ97" s="468"/>
      <c r="GA97" s="468"/>
      <c r="GB97" s="468"/>
      <c r="GC97" s="468"/>
      <c r="GD97" s="468"/>
      <c r="GE97" s="468"/>
      <c r="GF97" s="468"/>
      <c r="GG97" s="468"/>
      <c r="GH97" s="468"/>
      <c r="GI97" s="468"/>
      <c r="GJ97" s="468"/>
      <c r="GK97" s="468"/>
      <c r="GL97" s="468"/>
      <c r="GM97" s="468"/>
      <c r="GN97" s="468"/>
      <c r="GO97" s="468"/>
      <c r="GP97" s="468"/>
      <c r="GQ97" s="468"/>
      <c r="GR97" s="468"/>
      <c r="GS97" s="468"/>
      <c r="GT97" s="468"/>
      <c r="GU97" s="468"/>
      <c r="GV97" s="468"/>
      <c r="GW97" s="468"/>
      <c r="GX97" s="468"/>
      <c r="GY97" s="468"/>
      <c r="GZ97" s="468"/>
      <c r="HA97" s="468"/>
      <c r="HB97" s="468"/>
      <c r="HC97" s="468"/>
      <c r="HD97" s="468"/>
      <c r="HE97" s="468"/>
      <c r="HF97" s="468"/>
      <c r="HG97" s="468"/>
      <c r="HH97" s="468"/>
      <c r="HI97" s="468"/>
      <c r="HJ97" s="468"/>
      <c r="HK97" s="468"/>
      <c r="HL97" s="468"/>
      <c r="HM97" s="468"/>
      <c r="HN97" s="468"/>
      <c r="HO97" s="468"/>
      <c r="HP97" s="468"/>
      <c r="HQ97" s="468"/>
      <c r="HR97" s="468"/>
      <c r="HS97" s="468"/>
      <c r="HT97" s="468"/>
      <c r="HU97" s="468"/>
      <c r="HV97" s="468"/>
      <c r="HW97" s="468"/>
      <c r="HX97" s="468"/>
      <c r="HY97" s="468"/>
      <c r="HZ97" s="468"/>
      <c r="IA97" s="468"/>
      <c r="IB97" s="468"/>
      <c r="IC97" s="468"/>
      <c r="ID97" s="468"/>
      <c r="IE97" s="468"/>
      <c r="IF97" s="468"/>
      <c r="IG97" s="468"/>
      <c r="IH97" s="468"/>
      <c r="II97" s="468"/>
      <c r="IJ97" s="468"/>
      <c r="IK97" s="468"/>
      <c r="IL97" s="468"/>
      <c r="IM97" s="468"/>
      <c r="IN97" s="468"/>
      <c r="IO97" s="468"/>
      <c r="IP97" s="468"/>
      <c r="IQ97" s="468"/>
      <c r="IR97" s="468"/>
      <c r="IS97" s="468"/>
      <c r="IT97" s="468"/>
      <c r="IU97" s="468"/>
      <c r="IV97" s="468"/>
      <c r="IW97" s="468"/>
      <c r="IX97" s="468"/>
      <c r="IY97" s="468"/>
      <c r="IZ97" s="468"/>
      <c r="JA97" s="468"/>
    </row>
    <row r="98" spans="1:261" ht="18.899999999999999" customHeight="1">
      <c r="A98" s="468"/>
      <c r="B98" s="468"/>
      <c r="C98" s="473"/>
      <c r="D98" s="473"/>
      <c r="E98" s="473"/>
      <c r="F98" s="473"/>
      <c r="G98" s="468"/>
      <c r="H98" s="468"/>
      <c r="I98" s="468"/>
      <c r="J98" s="468"/>
      <c r="K98" s="468"/>
      <c r="L98" s="468"/>
      <c r="M98" s="468"/>
      <c r="N98" s="468"/>
      <c r="O98" s="468"/>
      <c r="P98" s="468"/>
      <c r="Q98" s="468"/>
      <c r="R98" s="468"/>
      <c r="S98" s="468"/>
      <c r="T98" s="468"/>
      <c r="U98" s="468"/>
      <c r="V98" s="468"/>
      <c r="W98" s="468"/>
      <c r="X98" s="468"/>
      <c r="Y98" s="468"/>
      <c r="Z98" s="468"/>
      <c r="AA98" s="468"/>
      <c r="AB98" s="468"/>
      <c r="AC98" s="468"/>
      <c r="AD98" s="468"/>
      <c r="AE98" s="468"/>
      <c r="AF98" s="468"/>
      <c r="AG98" s="468"/>
      <c r="AH98" s="468"/>
      <c r="AI98" s="468"/>
      <c r="AJ98" s="468"/>
      <c r="AK98" s="468"/>
      <c r="AL98" s="468"/>
      <c r="AM98" s="468"/>
      <c r="AN98" s="468"/>
      <c r="AO98" s="468"/>
      <c r="AP98" s="468"/>
      <c r="AQ98" s="468"/>
      <c r="AR98" s="468"/>
      <c r="AS98" s="468"/>
      <c r="AT98" s="468"/>
      <c r="AU98" s="468"/>
      <c r="AV98" s="468"/>
      <c r="AW98" s="468"/>
      <c r="AX98" s="468"/>
      <c r="AY98" s="468"/>
      <c r="AZ98" s="468"/>
      <c r="BA98" s="468"/>
      <c r="BB98" s="468"/>
      <c r="BC98" s="468"/>
      <c r="BD98" s="468"/>
      <c r="BE98" s="468"/>
      <c r="BF98" s="468"/>
      <c r="BG98" s="468"/>
      <c r="BH98" s="468"/>
      <c r="BI98" s="468"/>
      <c r="BJ98" s="468"/>
      <c r="BK98" s="468"/>
      <c r="BL98" s="468"/>
      <c r="BM98" s="468"/>
      <c r="BN98" s="468"/>
      <c r="BO98" s="468"/>
      <c r="BP98" s="468"/>
      <c r="BQ98" s="468"/>
      <c r="BR98" s="468"/>
      <c r="BS98" s="468"/>
      <c r="BT98" s="468"/>
      <c r="BU98" s="468"/>
      <c r="BV98" s="468"/>
      <c r="BW98" s="468"/>
      <c r="BX98" s="468"/>
      <c r="BY98" s="468"/>
      <c r="BZ98" s="468"/>
      <c r="CA98" s="468"/>
      <c r="CB98" s="468"/>
      <c r="CC98" s="468"/>
      <c r="CD98" s="468"/>
      <c r="CE98" s="468"/>
      <c r="CF98" s="468"/>
      <c r="CG98" s="468"/>
      <c r="CH98" s="468"/>
      <c r="CI98" s="468"/>
      <c r="CJ98" s="468"/>
      <c r="CK98" s="468"/>
      <c r="CL98" s="468"/>
      <c r="CM98" s="468"/>
      <c r="CN98" s="468"/>
      <c r="CO98" s="468"/>
      <c r="CP98" s="468"/>
      <c r="CQ98" s="468"/>
      <c r="CR98" s="468"/>
      <c r="CS98" s="468"/>
      <c r="CT98" s="468"/>
      <c r="CU98" s="468"/>
      <c r="CV98" s="468"/>
      <c r="CW98" s="468"/>
      <c r="CX98" s="468"/>
      <c r="CY98" s="468"/>
      <c r="CZ98" s="468"/>
      <c r="DA98" s="468"/>
      <c r="DB98" s="468"/>
      <c r="DC98" s="468"/>
      <c r="DD98" s="468"/>
      <c r="DE98" s="468"/>
      <c r="DF98" s="468"/>
      <c r="DG98" s="468"/>
      <c r="DH98" s="468"/>
      <c r="DI98" s="468"/>
      <c r="DJ98" s="468"/>
      <c r="DK98" s="468"/>
      <c r="DL98" s="468"/>
      <c r="DM98" s="468"/>
      <c r="DN98" s="471"/>
      <c r="DO98" s="468"/>
      <c r="DP98" s="468"/>
      <c r="DQ98" s="468"/>
      <c r="DR98" s="468"/>
      <c r="DS98" s="468"/>
      <c r="DT98" s="468"/>
      <c r="DU98" s="468"/>
      <c r="DV98" s="468"/>
      <c r="DW98" s="468"/>
      <c r="DX98" s="468"/>
      <c r="DY98" s="468"/>
      <c r="DZ98" s="468"/>
      <c r="EA98" s="468"/>
      <c r="EB98" s="468"/>
      <c r="EC98" s="468"/>
      <c r="ED98" s="468"/>
      <c r="EE98" s="468"/>
      <c r="EF98" s="468"/>
      <c r="EG98" s="468"/>
      <c r="EH98" s="468"/>
      <c r="EI98" s="468"/>
      <c r="EJ98" s="468"/>
      <c r="EK98" s="468"/>
      <c r="EL98" s="468"/>
      <c r="EM98" s="468"/>
      <c r="EN98" s="468"/>
      <c r="EO98" s="468"/>
      <c r="EP98" s="468"/>
      <c r="EQ98" s="468"/>
      <c r="ER98" s="468"/>
      <c r="ES98" s="468"/>
      <c r="ET98" s="468"/>
      <c r="EU98" s="468"/>
      <c r="EV98" s="468"/>
      <c r="EW98" s="468"/>
      <c r="EX98" s="468"/>
      <c r="EY98" s="468"/>
      <c r="EZ98" s="468"/>
      <c r="FA98" s="468"/>
      <c r="FB98" s="468"/>
      <c r="FC98" s="468"/>
      <c r="FD98" s="468"/>
      <c r="FE98" s="468"/>
      <c r="FF98" s="468"/>
      <c r="FG98" s="468"/>
      <c r="FH98" s="468"/>
      <c r="FI98" s="468"/>
      <c r="FJ98" s="468"/>
      <c r="FK98" s="468"/>
      <c r="FL98" s="468"/>
      <c r="FM98" s="468"/>
      <c r="FN98" s="468"/>
      <c r="FO98" s="468"/>
      <c r="FP98" s="468"/>
      <c r="FQ98" s="468"/>
      <c r="FR98" s="468"/>
      <c r="FS98" s="468"/>
      <c r="FT98" s="468"/>
      <c r="FU98" s="468"/>
      <c r="FV98" s="468"/>
      <c r="FW98" s="468"/>
      <c r="FX98" s="468"/>
      <c r="FY98" s="468"/>
      <c r="FZ98" s="468"/>
      <c r="GA98" s="468"/>
      <c r="GB98" s="468"/>
      <c r="GC98" s="468"/>
      <c r="GD98" s="468"/>
      <c r="GE98" s="468"/>
      <c r="GF98" s="468"/>
      <c r="GG98" s="468"/>
      <c r="GH98" s="468"/>
      <c r="GI98" s="468"/>
      <c r="GJ98" s="468"/>
      <c r="GK98" s="468"/>
      <c r="GL98" s="468"/>
      <c r="GM98" s="468"/>
      <c r="GN98" s="468"/>
      <c r="GO98" s="468"/>
      <c r="GP98" s="468"/>
      <c r="GQ98" s="468"/>
      <c r="GR98" s="468"/>
      <c r="GS98" s="468"/>
      <c r="GT98" s="468"/>
      <c r="GU98" s="468"/>
      <c r="GV98" s="468"/>
      <c r="GW98" s="468"/>
      <c r="GX98" s="468"/>
      <c r="GY98" s="468"/>
      <c r="GZ98" s="468"/>
      <c r="HA98" s="468"/>
      <c r="HB98" s="468"/>
      <c r="HC98" s="468"/>
      <c r="HD98" s="468"/>
      <c r="HE98" s="468"/>
      <c r="HF98" s="468"/>
      <c r="HG98" s="468"/>
      <c r="HH98" s="468"/>
      <c r="HI98" s="468"/>
      <c r="HJ98" s="468"/>
      <c r="HK98" s="468"/>
      <c r="HL98" s="468"/>
      <c r="HM98" s="468"/>
      <c r="HN98" s="468"/>
      <c r="HO98" s="468"/>
      <c r="HP98" s="468"/>
      <c r="HQ98" s="468"/>
      <c r="HR98" s="468"/>
      <c r="HS98" s="468"/>
      <c r="HT98" s="468"/>
      <c r="HU98" s="468"/>
      <c r="HV98" s="468"/>
      <c r="HW98" s="468"/>
      <c r="HX98" s="468"/>
      <c r="HY98" s="468"/>
      <c r="HZ98" s="468"/>
      <c r="IA98" s="468"/>
      <c r="IB98" s="468"/>
      <c r="IC98" s="468"/>
      <c r="ID98" s="468"/>
      <c r="IE98" s="468"/>
      <c r="IF98" s="468"/>
      <c r="IG98" s="468"/>
      <c r="IH98" s="468"/>
      <c r="II98" s="468"/>
      <c r="IJ98" s="468"/>
      <c r="IK98" s="468"/>
      <c r="IL98" s="468"/>
      <c r="IM98" s="468"/>
      <c r="IN98" s="468"/>
      <c r="IO98" s="468"/>
      <c r="IP98" s="468"/>
      <c r="IQ98" s="468"/>
      <c r="IR98" s="468"/>
      <c r="IS98" s="468"/>
      <c r="IT98" s="468"/>
      <c r="IU98" s="468"/>
      <c r="IV98" s="468"/>
      <c r="IW98" s="468"/>
      <c r="IX98" s="468"/>
      <c r="IY98" s="468"/>
      <c r="IZ98" s="468"/>
      <c r="JA98" s="468"/>
    </row>
    <row r="99" spans="1:261" ht="18.899999999999999" customHeight="1">
      <c r="A99" s="468"/>
      <c r="B99" s="468"/>
      <c r="C99" s="473"/>
      <c r="D99" s="473"/>
      <c r="E99" s="473"/>
      <c r="F99" s="473"/>
      <c r="G99" s="468"/>
      <c r="H99" s="468"/>
      <c r="I99" s="468"/>
      <c r="J99" s="468"/>
      <c r="K99" s="468"/>
      <c r="L99" s="468"/>
      <c r="M99" s="468"/>
      <c r="N99" s="468"/>
      <c r="O99" s="468"/>
      <c r="P99" s="468"/>
      <c r="Q99" s="468"/>
      <c r="R99" s="468"/>
      <c r="S99" s="468"/>
      <c r="T99" s="468"/>
      <c r="U99" s="468"/>
      <c r="V99" s="468"/>
      <c r="W99" s="468"/>
      <c r="X99" s="468"/>
      <c r="Y99" s="468"/>
      <c r="Z99" s="468"/>
      <c r="AA99" s="468"/>
      <c r="AB99" s="468"/>
      <c r="AC99" s="468"/>
      <c r="AD99" s="468"/>
      <c r="AE99" s="468"/>
      <c r="AF99" s="468"/>
      <c r="AG99" s="468"/>
      <c r="AH99" s="468"/>
      <c r="AI99" s="468"/>
      <c r="AJ99" s="468"/>
      <c r="AK99" s="468"/>
      <c r="AL99" s="468"/>
      <c r="AM99" s="468"/>
      <c r="AN99" s="468"/>
      <c r="AO99" s="468"/>
      <c r="AP99" s="468"/>
      <c r="AQ99" s="468"/>
      <c r="AR99" s="468"/>
      <c r="AS99" s="468"/>
      <c r="AT99" s="468"/>
      <c r="AU99" s="468"/>
      <c r="AV99" s="468"/>
      <c r="AW99" s="468"/>
      <c r="AX99" s="468"/>
      <c r="AY99" s="468"/>
      <c r="AZ99" s="468"/>
      <c r="BA99" s="468"/>
      <c r="BB99" s="468"/>
      <c r="BC99" s="468"/>
      <c r="BD99" s="468"/>
      <c r="BE99" s="468"/>
      <c r="BF99" s="468"/>
      <c r="BG99" s="468"/>
      <c r="BH99" s="468"/>
      <c r="BI99" s="468"/>
      <c r="BJ99" s="468"/>
      <c r="BK99" s="468"/>
      <c r="BL99" s="468"/>
      <c r="BM99" s="468"/>
      <c r="BN99" s="468"/>
      <c r="BO99" s="468"/>
      <c r="BP99" s="468"/>
      <c r="BQ99" s="468"/>
      <c r="BR99" s="468"/>
      <c r="BS99" s="468"/>
      <c r="BT99" s="468"/>
      <c r="BU99" s="468"/>
      <c r="BV99" s="468"/>
      <c r="BW99" s="468"/>
      <c r="BX99" s="468"/>
      <c r="BY99" s="468"/>
      <c r="BZ99" s="468"/>
      <c r="CA99" s="468"/>
      <c r="CB99" s="468"/>
      <c r="CC99" s="468"/>
      <c r="CD99" s="468"/>
      <c r="CE99" s="468"/>
      <c r="CF99" s="468"/>
      <c r="CG99" s="468"/>
      <c r="CH99" s="468"/>
      <c r="CI99" s="468"/>
      <c r="CJ99" s="468"/>
      <c r="CK99" s="468"/>
      <c r="CL99" s="468"/>
      <c r="CM99" s="468"/>
      <c r="CN99" s="468"/>
      <c r="CO99" s="468"/>
      <c r="CP99" s="468"/>
      <c r="CQ99" s="468"/>
      <c r="CR99" s="468"/>
      <c r="CS99" s="468"/>
      <c r="CT99" s="468"/>
      <c r="CU99" s="468"/>
      <c r="CV99" s="468"/>
      <c r="CW99" s="468"/>
      <c r="CX99" s="468"/>
      <c r="CY99" s="468"/>
      <c r="CZ99" s="468"/>
      <c r="DA99" s="468"/>
      <c r="DB99" s="468"/>
      <c r="DC99" s="468"/>
      <c r="DD99" s="468"/>
      <c r="DE99" s="468"/>
      <c r="DF99" s="468"/>
      <c r="DG99" s="468"/>
      <c r="DH99" s="468"/>
      <c r="DI99" s="468"/>
      <c r="DJ99" s="468"/>
      <c r="DK99" s="468"/>
      <c r="DL99" s="468"/>
      <c r="DM99" s="468"/>
      <c r="DN99" s="471"/>
      <c r="DO99" s="468"/>
      <c r="DP99" s="468"/>
      <c r="DQ99" s="468"/>
      <c r="DR99" s="468"/>
      <c r="DS99" s="468"/>
      <c r="DT99" s="468"/>
      <c r="DU99" s="468"/>
      <c r="DV99" s="468"/>
      <c r="DW99" s="468"/>
      <c r="DX99" s="468"/>
      <c r="DY99" s="468"/>
      <c r="DZ99" s="468"/>
      <c r="EA99" s="468"/>
      <c r="EB99" s="468"/>
      <c r="EC99" s="468"/>
      <c r="ED99" s="468"/>
      <c r="EE99" s="468"/>
      <c r="EF99" s="468"/>
      <c r="EG99" s="468"/>
      <c r="EH99" s="468"/>
      <c r="EI99" s="468"/>
      <c r="EJ99" s="468"/>
      <c r="EK99" s="468"/>
      <c r="EL99" s="468"/>
      <c r="EM99" s="468"/>
      <c r="EN99" s="468"/>
      <c r="EO99" s="468"/>
      <c r="EP99" s="468"/>
      <c r="EQ99" s="468"/>
      <c r="ER99" s="468"/>
      <c r="ES99" s="468"/>
      <c r="ET99" s="468"/>
      <c r="EU99" s="468"/>
      <c r="EV99" s="468"/>
      <c r="EW99" s="468"/>
      <c r="EX99" s="468"/>
      <c r="EY99" s="468"/>
      <c r="EZ99" s="468"/>
      <c r="FA99" s="468"/>
      <c r="FB99" s="468"/>
      <c r="FC99" s="468"/>
      <c r="FD99" s="468"/>
      <c r="FE99" s="468"/>
      <c r="FF99" s="468"/>
      <c r="FG99" s="468"/>
      <c r="FH99" s="468"/>
      <c r="FI99" s="468"/>
      <c r="FJ99" s="468"/>
      <c r="FK99" s="468"/>
      <c r="FL99" s="468"/>
      <c r="FM99" s="468"/>
      <c r="FN99" s="468"/>
      <c r="FO99" s="468"/>
      <c r="FP99" s="468"/>
      <c r="FQ99" s="468"/>
      <c r="FR99" s="468"/>
      <c r="FS99" s="468"/>
      <c r="FT99" s="468"/>
      <c r="FU99" s="468"/>
      <c r="FV99" s="468"/>
      <c r="FW99" s="468"/>
      <c r="FX99" s="468"/>
      <c r="FY99" s="468"/>
      <c r="FZ99" s="468"/>
      <c r="GA99" s="468"/>
      <c r="GB99" s="468"/>
      <c r="GC99" s="468"/>
      <c r="GD99" s="468"/>
      <c r="GE99" s="468"/>
      <c r="GF99" s="468"/>
      <c r="GG99" s="468"/>
      <c r="GH99" s="468"/>
      <c r="GI99" s="468"/>
      <c r="GJ99" s="468"/>
      <c r="GK99" s="468"/>
      <c r="GL99" s="468"/>
      <c r="GM99" s="468"/>
      <c r="GN99" s="468"/>
      <c r="GO99" s="468"/>
      <c r="GP99" s="468"/>
      <c r="GQ99" s="468"/>
      <c r="GR99" s="468"/>
      <c r="GS99" s="468"/>
      <c r="GT99" s="468"/>
      <c r="GU99" s="468"/>
      <c r="GV99" s="468"/>
      <c r="GW99" s="468"/>
      <c r="GX99" s="468"/>
      <c r="GY99" s="468"/>
      <c r="GZ99" s="468"/>
      <c r="HA99" s="468"/>
      <c r="HB99" s="468"/>
      <c r="HC99" s="468"/>
      <c r="HD99" s="468"/>
      <c r="HE99" s="468"/>
      <c r="HF99" s="468"/>
      <c r="HG99" s="468"/>
      <c r="HH99" s="468"/>
      <c r="HI99" s="468"/>
      <c r="HJ99" s="468"/>
      <c r="HK99" s="468"/>
      <c r="HL99" s="468"/>
      <c r="HM99" s="468"/>
      <c r="HN99" s="468"/>
      <c r="HO99" s="468"/>
      <c r="HP99" s="468"/>
      <c r="HQ99" s="468"/>
      <c r="HR99" s="468"/>
      <c r="HS99" s="468"/>
      <c r="HT99" s="468"/>
      <c r="HU99" s="468"/>
      <c r="HV99" s="468"/>
      <c r="HW99" s="468"/>
      <c r="HX99" s="468"/>
      <c r="HY99" s="468"/>
      <c r="HZ99" s="468"/>
      <c r="IA99" s="468"/>
      <c r="IB99" s="468"/>
      <c r="IC99" s="468"/>
      <c r="ID99" s="468"/>
      <c r="IE99" s="468"/>
      <c r="IF99" s="468"/>
      <c r="IG99" s="468"/>
      <c r="IH99" s="468"/>
      <c r="II99" s="468"/>
      <c r="IJ99" s="468"/>
      <c r="IK99" s="468"/>
      <c r="IL99" s="468"/>
      <c r="IM99" s="468"/>
      <c r="IN99" s="468"/>
      <c r="IO99" s="468"/>
      <c r="IP99" s="468"/>
      <c r="IQ99" s="468"/>
      <c r="IR99" s="468"/>
      <c r="IS99" s="468"/>
      <c r="IT99" s="468"/>
      <c r="IU99" s="468"/>
      <c r="IV99" s="468"/>
      <c r="IW99" s="468"/>
      <c r="IX99" s="468"/>
      <c r="IY99" s="468"/>
      <c r="IZ99" s="468"/>
      <c r="JA99" s="468"/>
    </row>
    <row r="100" spans="1:261" ht="18.899999999999999" customHeight="1">
      <c r="A100" s="468"/>
      <c r="B100" s="468"/>
      <c r="C100" s="473"/>
      <c r="D100" s="473"/>
      <c r="E100" s="473"/>
      <c r="F100" s="473"/>
      <c r="G100" s="468"/>
      <c r="H100" s="468"/>
      <c r="I100" s="468"/>
      <c r="J100" s="468"/>
      <c r="K100" s="468"/>
      <c r="L100" s="468"/>
      <c r="M100" s="468"/>
      <c r="N100" s="468"/>
      <c r="O100" s="468"/>
      <c r="P100" s="468"/>
      <c r="Q100" s="468"/>
      <c r="R100" s="468"/>
      <c r="S100" s="468"/>
      <c r="T100" s="468"/>
      <c r="U100" s="468"/>
      <c r="V100" s="468"/>
      <c r="W100" s="468"/>
      <c r="X100" s="468"/>
      <c r="Y100" s="468"/>
      <c r="Z100" s="468"/>
      <c r="AA100" s="468"/>
      <c r="AB100" s="468"/>
      <c r="AC100" s="468"/>
      <c r="AD100" s="468"/>
      <c r="AE100" s="468"/>
      <c r="AF100" s="468"/>
      <c r="AG100" s="468"/>
      <c r="AH100" s="468"/>
      <c r="AI100" s="468"/>
      <c r="AJ100" s="468"/>
      <c r="AK100" s="468"/>
      <c r="AL100" s="468"/>
      <c r="AM100" s="468"/>
      <c r="AN100" s="468"/>
      <c r="AO100" s="468"/>
      <c r="AP100" s="468"/>
      <c r="AQ100" s="468"/>
      <c r="AR100" s="468"/>
      <c r="AS100" s="468"/>
      <c r="AT100" s="468"/>
      <c r="AU100" s="468"/>
      <c r="AV100" s="468"/>
      <c r="AW100" s="468"/>
      <c r="AX100" s="468"/>
      <c r="AY100" s="468"/>
      <c r="AZ100" s="468"/>
      <c r="BA100" s="468"/>
      <c r="BB100" s="468"/>
      <c r="BC100" s="468"/>
      <c r="BD100" s="468"/>
      <c r="BE100" s="468"/>
      <c r="BF100" s="468"/>
      <c r="BG100" s="468"/>
      <c r="BH100" s="468"/>
      <c r="BI100" s="468"/>
      <c r="BJ100" s="468"/>
      <c r="BK100" s="468"/>
      <c r="BL100" s="468"/>
      <c r="BM100" s="468"/>
      <c r="BN100" s="468"/>
      <c r="BO100" s="468"/>
      <c r="BP100" s="468"/>
      <c r="BQ100" s="468"/>
      <c r="BR100" s="468"/>
      <c r="BS100" s="468"/>
      <c r="BT100" s="468"/>
      <c r="BU100" s="468"/>
      <c r="BV100" s="468"/>
      <c r="BW100" s="468"/>
      <c r="BX100" s="468"/>
      <c r="BY100" s="468"/>
      <c r="BZ100" s="468"/>
      <c r="CA100" s="468"/>
      <c r="CB100" s="468"/>
      <c r="CC100" s="468"/>
      <c r="CD100" s="468"/>
      <c r="CE100" s="468"/>
      <c r="CF100" s="468"/>
      <c r="CG100" s="468"/>
      <c r="CH100" s="468"/>
      <c r="CI100" s="468"/>
      <c r="CJ100" s="468"/>
      <c r="CK100" s="468"/>
      <c r="CL100" s="468"/>
      <c r="CM100" s="468"/>
      <c r="CN100" s="468"/>
      <c r="CO100" s="468"/>
      <c r="CP100" s="468"/>
      <c r="CQ100" s="468"/>
      <c r="CR100" s="468"/>
      <c r="CS100" s="468"/>
      <c r="CT100" s="468"/>
      <c r="CU100" s="468"/>
      <c r="CV100" s="468"/>
      <c r="CW100" s="468"/>
      <c r="CX100" s="468"/>
      <c r="CY100" s="468"/>
      <c r="CZ100" s="468"/>
      <c r="DA100" s="468"/>
      <c r="DB100" s="468"/>
      <c r="DC100" s="468"/>
      <c r="DD100" s="468"/>
      <c r="DE100" s="468"/>
      <c r="DF100" s="468"/>
      <c r="DG100" s="468"/>
      <c r="DH100" s="468"/>
      <c r="DI100" s="468"/>
      <c r="DJ100" s="468"/>
      <c r="DK100" s="468"/>
      <c r="DL100" s="468"/>
      <c r="DM100" s="468"/>
      <c r="DN100" s="471"/>
      <c r="DO100" s="468"/>
      <c r="DP100" s="468"/>
      <c r="DQ100" s="468"/>
      <c r="DR100" s="468"/>
      <c r="DS100" s="468"/>
      <c r="DT100" s="468"/>
      <c r="DU100" s="468"/>
      <c r="DV100" s="468"/>
      <c r="DW100" s="468"/>
      <c r="DX100" s="468"/>
      <c r="DY100" s="468"/>
      <c r="DZ100" s="468"/>
      <c r="EA100" s="468"/>
      <c r="EB100" s="468"/>
      <c r="EC100" s="468"/>
      <c r="ED100" s="468"/>
      <c r="EE100" s="468"/>
      <c r="EF100" s="468"/>
      <c r="EG100" s="468"/>
      <c r="EH100" s="468"/>
      <c r="EI100" s="468"/>
      <c r="EJ100" s="468"/>
      <c r="EK100" s="468"/>
      <c r="EL100" s="468"/>
      <c r="EM100" s="468"/>
      <c r="EN100" s="468"/>
      <c r="EO100" s="468"/>
      <c r="EP100" s="468"/>
      <c r="EQ100" s="468"/>
      <c r="ER100" s="468"/>
      <c r="ES100" s="468"/>
      <c r="ET100" s="468"/>
      <c r="EU100" s="468"/>
      <c r="EV100" s="468"/>
      <c r="EW100" s="468"/>
      <c r="EX100" s="468"/>
      <c r="EY100" s="468"/>
      <c r="EZ100" s="468"/>
      <c r="FA100" s="468"/>
      <c r="FB100" s="468"/>
      <c r="FC100" s="468"/>
      <c r="FD100" s="468"/>
      <c r="FE100" s="468"/>
      <c r="FF100" s="468"/>
      <c r="FG100" s="468"/>
      <c r="FH100" s="468"/>
      <c r="FI100" s="468"/>
      <c r="FJ100" s="468"/>
      <c r="FK100" s="468"/>
      <c r="FL100" s="468"/>
      <c r="FM100" s="468"/>
      <c r="FN100" s="468"/>
      <c r="FO100" s="468"/>
      <c r="FP100" s="468"/>
      <c r="FQ100" s="468"/>
      <c r="FR100" s="468"/>
      <c r="FS100" s="468"/>
      <c r="FT100" s="468"/>
      <c r="FU100" s="468"/>
      <c r="FV100" s="468"/>
      <c r="FW100" s="468"/>
      <c r="FX100" s="468"/>
      <c r="FY100" s="468"/>
      <c r="FZ100" s="468"/>
      <c r="GA100" s="468"/>
      <c r="GB100" s="468"/>
      <c r="GC100" s="468"/>
      <c r="GD100" s="468"/>
      <c r="GE100" s="468"/>
      <c r="GF100" s="468"/>
      <c r="GG100" s="468"/>
      <c r="GH100" s="468"/>
      <c r="GI100" s="468"/>
      <c r="GJ100" s="468"/>
      <c r="GK100" s="468"/>
      <c r="GL100" s="468"/>
      <c r="GM100" s="468"/>
      <c r="GN100" s="468"/>
      <c r="GO100" s="468"/>
      <c r="GP100" s="468"/>
      <c r="GQ100" s="468"/>
      <c r="GR100" s="468"/>
      <c r="GS100" s="468"/>
      <c r="GT100" s="468"/>
      <c r="GU100" s="468"/>
      <c r="GV100" s="468"/>
      <c r="GW100" s="468"/>
      <c r="GX100" s="468"/>
      <c r="GY100" s="468"/>
      <c r="GZ100" s="468"/>
      <c r="HA100" s="468"/>
      <c r="HB100" s="468"/>
      <c r="HC100" s="468"/>
      <c r="HD100" s="468"/>
      <c r="HE100" s="468"/>
      <c r="HF100" s="468"/>
      <c r="HG100" s="468"/>
      <c r="HH100" s="468"/>
      <c r="HI100" s="468"/>
      <c r="HJ100" s="468"/>
      <c r="HK100" s="468"/>
      <c r="HL100" s="468"/>
      <c r="HM100" s="468"/>
      <c r="HN100" s="468"/>
      <c r="HO100" s="468"/>
      <c r="HP100" s="468"/>
      <c r="HQ100" s="468"/>
      <c r="HR100" s="468"/>
      <c r="HS100" s="468"/>
      <c r="HT100" s="468"/>
      <c r="HU100" s="468"/>
      <c r="HV100" s="468"/>
      <c r="HW100" s="468"/>
      <c r="HX100" s="468"/>
      <c r="HY100" s="468"/>
      <c r="HZ100" s="468"/>
      <c r="IA100" s="468"/>
      <c r="IB100" s="468"/>
      <c r="IC100" s="468"/>
      <c r="ID100" s="468"/>
      <c r="IE100" s="468"/>
      <c r="IF100" s="468"/>
      <c r="IG100" s="468"/>
      <c r="IH100" s="468"/>
      <c r="II100" s="468"/>
      <c r="IJ100" s="468"/>
      <c r="IK100" s="468"/>
      <c r="IL100" s="468"/>
      <c r="IM100" s="468"/>
      <c r="IN100" s="468"/>
      <c r="IO100" s="468"/>
      <c r="IP100" s="468"/>
      <c r="IQ100" s="468"/>
      <c r="IR100" s="468"/>
      <c r="IS100" s="468"/>
      <c r="IT100" s="468"/>
      <c r="IU100" s="468"/>
      <c r="IV100" s="468"/>
      <c r="IW100" s="468"/>
      <c r="IX100" s="468"/>
      <c r="IY100" s="468"/>
      <c r="IZ100" s="468"/>
      <c r="JA100" s="468"/>
    </row>
    <row r="101" spans="1:261" ht="18.899999999999999" customHeight="1">
      <c r="A101" s="468"/>
      <c r="B101" s="468"/>
      <c r="C101" s="473"/>
      <c r="D101" s="473"/>
      <c r="E101" s="473"/>
      <c r="F101" s="473"/>
      <c r="G101" s="468"/>
      <c r="H101" s="468"/>
      <c r="I101" s="468"/>
      <c r="J101" s="468"/>
      <c r="K101" s="468"/>
      <c r="L101" s="468"/>
      <c r="M101" s="468"/>
      <c r="N101" s="468"/>
      <c r="O101" s="468"/>
      <c r="P101" s="468"/>
      <c r="Q101" s="468"/>
      <c r="R101" s="468"/>
      <c r="S101" s="468"/>
      <c r="T101" s="468"/>
      <c r="U101" s="468"/>
      <c r="V101" s="468"/>
      <c r="W101" s="468"/>
      <c r="X101" s="468"/>
      <c r="Y101" s="468"/>
      <c r="Z101" s="468"/>
      <c r="AA101" s="468"/>
      <c r="AB101" s="468"/>
      <c r="AC101" s="468"/>
      <c r="AD101" s="468"/>
      <c r="AE101" s="468"/>
      <c r="AF101" s="468"/>
      <c r="AG101" s="468"/>
      <c r="AH101" s="468"/>
      <c r="AI101" s="468"/>
      <c r="AJ101" s="468"/>
      <c r="AK101" s="468"/>
      <c r="AL101" s="468"/>
      <c r="AM101" s="468"/>
      <c r="AN101" s="468"/>
      <c r="AO101" s="468"/>
      <c r="AP101" s="468"/>
      <c r="AQ101" s="468"/>
      <c r="AR101" s="468"/>
      <c r="AS101" s="468"/>
      <c r="AT101" s="468"/>
      <c r="AU101" s="468"/>
      <c r="AV101" s="468"/>
      <c r="AW101" s="468"/>
      <c r="AX101" s="468"/>
      <c r="AY101" s="468"/>
      <c r="AZ101" s="468"/>
      <c r="BA101" s="468"/>
      <c r="BB101" s="468"/>
      <c r="BC101" s="468"/>
      <c r="BD101" s="468"/>
      <c r="BE101" s="468"/>
      <c r="BF101" s="468"/>
      <c r="BG101" s="468"/>
      <c r="BH101" s="468"/>
      <c r="BI101" s="468"/>
      <c r="BJ101" s="468"/>
      <c r="BK101" s="468"/>
      <c r="BL101" s="468"/>
      <c r="BM101" s="468"/>
      <c r="BN101" s="468"/>
      <c r="BO101" s="468"/>
      <c r="BP101" s="468"/>
      <c r="BQ101" s="468"/>
      <c r="BR101" s="468"/>
      <c r="BS101" s="468"/>
      <c r="BT101" s="468"/>
      <c r="BU101" s="468"/>
      <c r="BV101" s="468"/>
      <c r="BW101" s="468"/>
      <c r="BX101" s="468"/>
      <c r="BY101" s="468"/>
      <c r="BZ101" s="468"/>
      <c r="CA101" s="468"/>
      <c r="CB101" s="468"/>
      <c r="CC101" s="468"/>
      <c r="CD101" s="468"/>
      <c r="CE101" s="468"/>
      <c r="CF101" s="468"/>
      <c r="CG101" s="468"/>
      <c r="CH101" s="468"/>
      <c r="CI101" s="468"/>
      <c r="CJ101" s="468"/>
      <c r="CK101" s="468"/>
      <c r="CL101" s="468"/>
      <c r="CM101" s="468"/>
      <c r="CN101" s="468"/>
      <c r="CO101" s="468"/>
      <c r="CP101" s="468"/>
      <c r="CQ101" s="468"/>
      <c r="CR101" s="468"/>
      <c r="CS101" s="468"/>
      <c r="CT101" s="468"/>
      <c r="CU101" s="468"/>
      <c r="CV101" s="468"/>
      <c r="CW101" s="468"/>
      <c r="CX101" s="468"/>
      <c r="CY101" s="468"/>
      <c r="CZ101" s="468"/>
      <c r="DA101" s="468"/>
      <c r="DB101" s="468"/>
      <c r="DC101" s="468"/>
      <c r="DD101" s="468"/>
      <c r="DE101" s="468"/>
      <c r="DF101" s="468"/>
      <c r="DG101" s="468"/>
      <c r="DH101" s="468"/>
      <c r="DI101" s="468"/>
      <c r="DJ101" s="468"/>
      <c r="DK101" s="468"/>
      <c r="DL101" s="468"/>
      <c r="DM101" s="468"/>
      <c r="DN101" s="471"/>
      <c r="DO101" s="468"/>
      <c r="DP101" s="468"/>
      <c r="DQ101" s="468"/>
      <c r="DR101" s="468"/>
      <c r="DS101" s="468"/>
      <c r="DT101" s="468"/>
      <c r="DU101" s="468"/>
      <c r="DV101" s="468"/>
      <c r="DW101" s="468"/>
      <c r="DX101" s="468"/>
      <c r="DY101" s="468"/>
      <c r="DZ101" s="468"/>
      <c r="EA101" s="468"/>
      <c r="EB101" s="468"/>
      <c r="EC101" s="468"/>
      <c r="ED101" s="468"/>
      <c r="EE101" s="468"/>
      <c r="EF101" s="468"/>
      <c r="EG101" s="468"/>
      <c r="EH101" s="468"/>
      <c r="EI101" s="468"/>
      <c r="EJ101" s="468"/>
      <c r="EK101" s="468"/>
      <c r="EL101" s="468"/>
      <c r="EM101" s="468"/>
      <c r="EN101" s="468"/>
      <c r="EO101" s="468"/>
      <c r="EP101" s="468"/>
      <c r="EQ101" s="468"/>
      <c r="ER101" s="468"/>
      <c r="ES101" s="468"/>
      <c r="ET101" s="468"/>
      <c r="EU101" s="468"/>
      <c r="EV101" s="468"/>
      <c r="EW101" s="468"/>
      <c r="EX101" s="468"/>
      <c r="EY101" s="468"/>
      <c r="EZ101" s="468"/>
      <c r="FA101" s="468"/>
      <c r="FB101" s="468"/>
      <c r="FC101" s="468"/>
      <c r="FD101" s="468"/>
      <c r="FE101" s="468"/>
      <c r="FF101" s="468"/>
      <c r="FG101" s="468"/>
      <c r="FH101" s="468"/>
      <c r="FI101" s="468"/>
      <c r="FJ101" s="468"/>
      <c r="FK101" s="468"/>
      <c r="FL101" s="468"/>
      <c r="FM101" s="468"/>
      <c r="FN101" s="468"/>
      <c r="FO101" s="468"/>
      <c r="FP101" s="468"/>
      <c r="FQ101" s="468"/>
      <c r="FR101" s="468"/>
      <c r="FS101" s="468"/>
      <c r="FT101" s="468"/>
      <c r="FU101" s="468"/>
      <c r="FV101" s="468"/>
      <c r="FW101" s="468"/>
      <c r="FX101" s="468"/>
      <c r="FY101" s="468"/>
      <c r="FZ101" s="468"/>
      <c r="GA101" s="468"/>
      <c r="GB101" s="468"/>
      <c r="GC101" s="468"/>
      <c r="GD101" s="468"/>
      <c r="GE101" s="468"/>
      <c r="GF101" s="468"/>
      <c r="GG101" s="468"/>
      <c r="GH101" s="468"/>
      <c r="GI101" s="468"/>
      <c r="GJ101" s="468"/>
      <c r="GK101" s="468"/>
      <c r="GL101" s="468"/>
      <c r="GM101" s="468"/>
      <c r="GN101" s="468"/>
      <c r="GO101" s="468"/>
      <c r="GP101" s="468"/>
      <c r="GQ101" s="468"/>
      <c r="GR101" s="468"/>
      <c r="GS101" s="468"/>
      <c r="GT101" s="468"/>
      <c r="GU101" s="468"/>
      <c r="GV101" s="468"/>
      <c r="GW101" s="468"/>
      <c r="GX101" s="468"/>
      <c r="GY101" s="468"/>
      <c r="GZ101" s="468"/>
      <c r="HA101" s="468"/>
      <c r="HB101" s="468"/>
      <c r="HC101" s="468"/>
      <c r="HD101" s="468"/>
      <c r="HE101" s="468"/>
      <c r="HF101" s="468"/>
      <c r="HG101" s="468"/>
      <c r="HH101" s="468"/>
      <c r="HI101" s="468"/>
      <c r="HJ101" s="468"/>
      <c r="HK101" s="468"/>
      <c r="HL101" s="468"/>
      <c r="HM101" s="468"/>
      <c r="HN101" s="468"/>
      <c r="HO101" s="468"/>
      <c r="HP101" s="468"/>
      <c r="HQ101" s="468"/>
      <c r="HR101" s="468"/>
      <c r="HS101" s="468"/>
      <c r="HT101" s="468"/>
      <c r="HU101" s="468"/>
      <c r="HV101" s="468"/>
      <c r="HW101" s="468"/>
      <c r="HX101" s="468"/>
      <c r="HY101" s="468"/>
      <c r="HZ101" s="468"/>
      <c r="IA101" s="468"/>
      <c r="IB101" s="468"/>
      <c r="IC101" s="468"/>
      <c r="ID101" s="468"/>
      <c r="IE101" s="468"/>
      <c r="IF101" s="468"/>
      <c r="IG101" s="468"/>
      <c r="IH101" s="468"/>
      <c r="II101" s="468"/>
      <c r="IJ101" s="468"/>
      <c r="IK101" s="468"/>
      <c r="IL101" s="468"/>
      <c r="IM101" s="468"/>
      <c r="IN101" s="468"/>
      <c r="IO101" s="468"/>
      <c r="IP101" s="468"/>
      <c r="IQ101" s="468"/>
      <c r="IR101" s="468"/>
      <c r="IS101" s="468"/>
      <c r="IT101" s="468"/>
      <c r="IU101" s="468"/>
      <c r="IV101" s="468"/>
      <c r="IW101" s="468"/>
      <c r="IX101" s="468"/>
      <c r="IY101" s="468"/>
      <c r="IZ101" s="468"/>
      <c r="JA101" s="468"/>
    </row>
    <row r="102" spans="1:261" ht="18.899999999999999" customHeight="1">
      <c r="A102" s="468"/>
      <c r="B102" s="468"/>
      <c r="C102" s="473"/>
      <c r="D102" s="473"/>
      <c r="E102" s="473"/>
      <c r="F102" s="473"/>
      <c r="G102" s="468"/>
      <c r="H102" s="468"/>
      <c r="I102" s="468"/>
      <c r="J102" s="468"/>
      <c r="K102" s="468"/>
      <c r="L102" s="468"/>
      <c r="M102" s="468"/>
      <c r="N102" s="468"/>
      <c r="O102" s="468"/>
      <c r="P102" s="468"/>
      <c r="Q102" s="468"/>
      <c r="R102" s="468"/>
      <c r="S102" s="468"/>
      <c r="T102" s="468"/>
      <c r="U102" s="468"/>
      <c r="V102" s="468"/>
      <c r="W102" s="468"/>
      <c r="X102" s="468"/>
      <c r="Y102" s="468"/>
      <c r="Z102" s="468"/>
      <c r="AA102" s="468"/>
      <c r="AB102" s="468"/>
      <c r="AC102" s="468"/>
      <c r="AD102" s="468"/>
      <c r="AE102" s="468"/>
      <c r="AF102" s="468"/>
      <c r="AG102" s="468"/>
      <c r="AH102" s="468"/>
      <c r="AI102" s="468"/>
      <c r="AJ102" s="468"/>
      <c r="AK102" s="468"/>
      <c r="AL102" s="468"/>
      <c r="AM102" s="468"/>
      <c r="AN102" s="468"/>
      <c r="AO102" s="468"/>
      <c r="AP102" s="468"/>
      <c r="AQ102" s="468"/>
      <c r="AR102" s="468"/>
      <c r="AS102" s="468"/>
      <c r="AT102" s="468"/>
      <c r="AU102" s="468"/>
      <c r="AV102" s="468"/>
      <c r="AW102" s="468"/>
      <c r="AX102" s="468"/>
      <c r="AY102" s="468"/>
      <c r="AZ102" s="468"/>
      <c r="BA102" s="468"/>
      <c r="BB102" s="468"/>
      <c r="BC102" s="468"/>
      <c r="BD102" s="468"/>
      <c r="BE102" s="468"/>
      <c r="BF102" s="468"/>
      <c r="BG102" s="468"/>
      <c r="BH102" s="468"/>
      <c r="BI102" s="468"/>
      <c r="BJ102" s="468"/>
      <c r="BK102" s="468"/>
      <c r="BL102" s="468"/>
      <c r="BM102" s="468"/>
      <c r="BN102" s="468"/>
      <c r="BO102" s="468"/>
      <c r="BP102" s="468"/>
      <c r="BQ102" s="468"/>
      <c r="BR102" s="468"/>
      <c r="BS102" s="468"/>
      <c r="BT102" s="468"/>
      <c r="BU102" s="468"/>
      <c r="BV102" s="468"/>
      <c r="BW102" s="468"/>
      <c r="BX102" s="468"/>
      <c r="BY102" s="468"/>
      <c r="BZ102" s="468"/>
      <c r="CA102" s="468"/>
      <c r="CB102" s="468"/>
      <c r="CC102" s="468"/>
      <c r="CD102" s="468"/>
      <c r="CE102" s="468"/>
      <c r="CF102" s="468"/>
      <c r="CG102" s="468"/>
      <c r="CH102" s="468"/>
      <c r="CI102" s="468"/>
      <c r="CJ102" s="468"/>
      <c r="CK102" s="468"/>
      <c r="CL102" s="468"/>
      <c r="CM102" s="468"/>
      <c r="CN102" s="468"/>
      <c r="CO102" s="468"/>
      <c r="CP102" s="468"/>
      <c r="CQ102" s="468"/>
      <c r="CR102" s="468"/>
      <c r="CS102" s="468"/>
      <c r="CT102" s="468"/>
      <c r="CU102" s="468"/>
      <c r="CV102" s="468"/>
      <c r="CW102" s="468"/>
      <c r="CX102" s="468"/>
      <c r="CY102" s="468"/>
      <c r="CZ102" s="468"/>
      <c r="DA102" s="468"/>
      <c r="DB102" s="468"/>
      <c r="DC102" s="468"/>
      <c r="DD102" s="468"/>
      <c r="DE102" s="468"/>
      <c r="DF102" s="468"/>
      <c r="DG102" s="468"/>
      <c r="DH102" s="468"/>
      <c r="DI102" s="468"/>
      <c r="DJ102" s="468"/>
      <c r="DK102" s="468"/>
      <c r="DL102" s="468"/>
      <c r="DM102" s="468"/>
      <c r="DN102" s="471"/>
      <c r="DO102" s="468"/>
      <c r="DP102" s="468"/>
      <c r="DQ102" s="468"/>
      <c r="DR102" s="468"/>
      <c r="DS102" s="468"/>
      <c r="DT102" s="468"/>
      <c r="DU102" s="468"/>
      <c r="DV102" s="468"/>
      <c r="DW102" s="468"/>
      <c r="DX102" s="468"/>
      <c r="DY102" s="468"/>
      <c r="DZ102" s="468"/>
      <c r="EA102" s="468"/>
      <c r="EB102" s="468"/>
      <c r="EC102" s="468"/>
      <c r="ED102" s="468"/>
      <c r="EE102" s="468"/>
      <c r="EF102" s="468"/>
      <c r="EG102" s="468"/>
      <c r="EH102" s="468"/>
      <c r="EI102" s="468"/>
      <c r="EJ102" s="468"/>
      <c r="EK102" s="468"/>
      <c r="EL102" s="468"/>
      <c r="EM102" s="468"/>
      <c r="EN102" s="468"/>
      <c r="EO102" s="468"/>
      <c r="EP102" s="468"/>
      <c r="EQ102" s="468"/>
      <c r="ER102" s="468"/>
      <c r="ES102" s="468"/>
      <c r="ET102" s="468"/>
      <c r="EU102" s="468"/>
      <c r="EV102" s="468"/>
      <c r="EW102" s="468"/>
      <c r="EX102" s="468"/>
      <c r="EY102" s="468"/>
      <c r="EZ102" s="468"/>
      <c r="FA102" s="468"/>
      <c r="FB102" s="468"/>
      <c r="FC102" s="468"/>
      <c r="FD102" s="468"/>
      <c r="FE102" s="468"/>
      <c r="FF102" s="468"/>
      <c r="FG102" s="468"/>
      <c r="FH102" s="468"/>
      <c r="FI102" s="468"/>
      <c r="FJ102" s="468"/>
      <c r="FK102" s="468"/>
      <c r="FL102" s="468"/>
      <c r="FM102" s="468"/>
      <c r="FN102" s="468"/>
      <c r="FO102" s="468"/>
      <c r="FP102" s="468"/>
      <c r="FQ102" s="468"/>
      <c r="FR102" s="468"/>
      <c r="FS102" s="468"/>
      <c r="FT102" s="468"/>
      <c r="FU102" s="468"/>
      <c r="FV102" s="468"/>
      <c r="FW102" s="468"/>
      <c r="FX102" s="468"/>
      <c r="FY102" s="468"/>
      <c r="FZ102" s="468"/>
      <c r="GA102" s="468"/>
      <c r="GB102" s="468"/>
      <c r="GC102" s="468"/>
      <c r="GD102" s="468"/>
      <c r="GE102" s="468"/>
      <c r="GF102" s="468"/>
      <c r="GG102" s="468"/>
      <c r="GH102" s="468"/>
      <c r="GI102" s="468"/>
      <c r="GJ102" s="468"/>
      <c r="GK102" s="468"/>
      <c r="GL102" s="468"/>
      <c r="GM102" s="468"/>
      <c r="GN102" s="468"/>
      <c r="GO102" s="468"/>
      <c r="GP102" s="468"/>
      <c r="GQ102" s="468"/>
      <c r="GR102" s="468"/>
      <c r="GS102" s="468"/>
      <c r="GT102" s="468"/>
      <c r="GU102" s="468"/>
      <c r="GV102" s="468"/>
      <c r="GW102" s="468"/>
      <c r="GX102" s="468"/>
      <c r="GY102" s="468"/>
      <c r="GZ102" s="468"/>
      <c r="HA102" s="468"/>
      <c r="HB102" s="468"/>
      <c r="HC102" s="468"/>
      <c r="HD102" s="468"/>
      <c r="HE102" s="468"/>
      <c r="HF102" s="468"/>
      <c r="HG102" s="468"/>
      <c r="HH102" s="468"/>
      <c r="HI102" s="468"/>
      <c r="HJ102" s="468"/>
      <c r="HK102" s="468"/>
      <c r="HL102" s="468"/>
      <c r="HM102" s="468"/>
      <c r="HN102" s="468"/>
      <c r="HO102" s="468"/>
      <c r="HP102" s="468"/>
      <c r="HQ102" s="468"/>
      <c r="HR102" s="468"/>
      <c r="HS102" s="468"/>
      <c r="HT102" s="468"/>
      <c r="HU102" s="468"/>
      <c r="HV102" s="468"/>
      <c r="HW102" s="468"/>
      <c r="HX102" s="468"/>
      <c r="HY102" s="468"/>
      <c r="HZ102" s="468"/>
      <c r="IA102" s="468"/>
      <c r="IB102" s="468"/>
      <c r="IC102" s="468"/>
      <c r="ID102" s="468"/>
      <c r="IE102" s="468"/>
      <c r="IF102" s="468"/>
      <c r="IG102" s="468"/>
      <c r="IH102" s="468"/>
      <c r="II102" s="468"/>
      <c r="IJ102" s="468"/>
      <c r="IK102" s="468"/>
      <c r="IL102" s="468"/>
      <c r="IM102" s="468"/>
      <c r="IN102" s="468"/>
      <c r="IO102" s="468"/>
      <c r="IP102" s="468"/>
      <c r="IQ102" s="468"/>
      <c r="IR102" s="468"/>
      <c r="IS102" s="468"/>
      <c r="IT102" s="468"/>
      <c r="IU102" s="468"/>
      <c r="IV102" s="468"/>
      <c r="IW102" s="468"/>
      <c r="IX102" s="468"/>
      <c r="IY102" s="468"/>
      <c r="IZ102" s="468"/>
      <c r="JA102" s="468"/>
    </row>
    <row r="103" spans="1:261" ht="18.899999999999999" customHeight="1">
      <c r="A103" s="468"/>
      <c r="B103" s="468"/>
      <c r="C103" s="473"/>
      <c r="D103" s="473"/>
      <c r="E103" s="473"/>
      <c r="F103" s="473"/>
      <c r="G103" s="468"/>
      <c r="H103" s="468"/>
      <c r="I103" s="468"/>
      <c r="J103" s="468"/>
      <c r="K103" s="468"/>
      <c r="L103" s="468"/>
      <c r="M103" s="468"/>
      <c r="N103" s="468"/>
      <c r="O103" s="468"/>
      <c r="P103" s="468"/>
      <c r="Q103" s="468"/>
      <c r="R103" s="468"/>
      <c r="S103" s="468"/>
      <c r="T103" s="468"/>
      <c r="U103" s="468"/>
      <c r="V103" s="468"/>
      <c r="W103" s="468"/>
      <c r="X103" s="468"/>
      <c r="Y103" s="468"/>
      <c r="Z103" s="468"/>
      <c r="AA103" s="468"/>
      <c r="AB103" s="468"/>
      <c r="AC103" s="468"/>
      <c r="AD103" s="468"/>
      <c r="AE103" s="468"/>
      <c r="AF103" s="468"/>
      <c r="AG103" s="468"/>
      <c r="AH103" s="468"/>
      <c r="AI103" s="468"/>
      <c r="AJ103" s="468"/>
      <c r="AK103" s="468"/>
      <c r="AL103" s="468"/>
      <c r="AM103" s="468"/>
      <c r="AN103" s="468"/>
      <c r="AO103" s="468"/>
      <c r="AP103" s="468"/>
      <c r="AQ103" s="468"/>
      <c r="AR103" s="468"/>
      <c r="AS103" s="468"/>
      <c r="AT103" s="468"/>
      <c r="AU103" s="468"/>
      <c r="AV103" s="468"/>
      <c r="AW103" s="468"/>
      <c r="AX103" s="468"/>
      <c r="AY103" s="468"/>
      <c r="AZ103" s="468"/>
      <c r="BA103" s="468"/>
      <c r="BB103" s="468"/>
      <c r="BC103" s="468"/>
      <c r="BD103" s="468"/>
      <c r="BE103" s="468"/>
      <c r="BF103" s="468"/>
      <c r="BG103" s="468"/>
      <c r="BH103" s="468"/>
      <c r="BI103" s="468"/>
      <c r="BJ103" s="468"/>
      <c r="BK103" s="468"/>
      <c r="BL103" s="468"/>
      <c r="BM103" s="468"/>
      <c r="BN103" s="468"/>
      <c r="BO103" s="468"/>
      <c r="BP103" s="468"/>
      <c r="BQ103" s="468"/>
      <c r="BR103" s="468"/>
      <c r="BS103" s="468"/>
      <c r="BT103" s="468"/>
      <c r="BU103" s="468"/>
      <c r="BV103" s="468"/>
      <c r="BW103" s="468"/>
      <c r="BX103" s="468"/>
      <c r="BY103" s="468"/>
      <c r="BZ103" s="468"/>
      <c r="CA103" s="468"/>
      <c r="CB103" s="468"/>
      <c r="CC103" s="468"/>
      <c r="CD103" s="468"/>
      <c r="CE103" s="468"/>
      <c r="CF103" s="468"/>
      <c r="CG103" s="468"/>
      <c r="CH103" s="468"/>
      <c r="CI103" s="468"/>
      <c r="CJ103" s="468"/>
      <c r="CK103" s="468"/>
      <c r="CL103" s="468"/>
      <c r="CM103" s="468"/>
      <c r="CN103" s="468"/>
      <c r="CO103" s="468"/>
      <c r="CP103" s="468"/>
      <c r="CQ103" s="468"/>
      <c r="CR103" s="468"/>
      <c r="CS103" s="468"/>
      <c r="CT103" s="468"/>
      <c r="CU103" s="468"/>
      <c r="CV103" s="468"/>
      <c r="CW103" s="468"/>
      <c r="CX103" s="468"/>
      <c r="CY103" s="468"/>
      <c r="CZ103" s="468"/>
      <c r="DA103" s="468"/>
      <c r="DB103" s="468"/>
      <c r="DC103" s="468"/>
      <c r="DD103" s="468"/>
      <c r="DE103" s="468"/>
      <c r="DF103" s="468"/>
      <c r="DG103" s="468"/>
      <c r="DH103" s="468"/>
      <c r="DI103" s="468"/>
      <c r="DJ103" s="468"/>
      <c r="DK103" s="468"/>
      <c r="DL103" s="468"/>
      <c r="DM103" s="468"/>
      <c r="DN103" s="471"/>
      <c r="DO103" s="468"/>
      <c r="DP103" s="468"/>
      <c r="DQ103" s="468"/>
      <c r="DR103" s="468"/>
      <c r="DS103" s="468"/>
      <c r="DT103" s="468"/>
      <c r="DU103" s="468"/>
      <c r="DV103" s="468"/>
      <c r="DW103" s="468"/>
      <c r="DX103" s="468"/>
      <c r="DY103" s="468"/>
      <c r="DZ103" s="468"/>
      <c r="EA103" s="468"/>
      <c r="EB103" s="468"/>
      <c r="EC103" s="468"/>
      <c r="ED103" s="468"/>
      <c r="EE103" s="468"/>
      <c r="EF103" s="468"/>
      <c r="EG103" s="468"/>
      <c r="EH103" s="468"/>
      <c r="EI103" s="468"/>
      <c r="EJ103" s="468"/>
      <c r="EK103" s="468"/>
      <c r="EL103" s="468"/>
      <c r="EM103" s="468"/>
      <c r="EN103" s="468"/>
      <c r="EO103" s="468"/>
      <c r="EP103" s="468"/>
      <c r="EQ103" s="468"/>
      <c r="ER103" s="468"/>
      <c r="ES103" s="468"/>
      <c r="ET103" s="468"/>
      <c r="EU103" s="468"/>
      <c r="EV103" s="468"/>
      <c r="EW103" s="468"/>
      <c r="EX103" s="468"/>
      <c r="EY103" s="468"/>
      <c r="EZ103" s="468"/>
      <c r="FA103" s="468"/>
      <c r="FB103" s="468"/>
      <c r="FC103" s="468"/>
      <c r="FD103" s="468"/>
      <c r="FE103" s="468"/>
      <c r="FF103" s="468"/>
      <c r="FG103" s="468"/>
      <c r="FH103" s="468"/>
      <c r="FI103" s="468"/>
      <c r="FJ103" s="468"/>
      <c r="FK103" s="468"/>
      <c r="FL103" s="468"/>
      <c r="FM103" s="468"/>
      <c r="FN103" s="468"/>
      <c r="FO103" s="468"/>
      <c r="FP103" s="468"/>
      <c r="FQ103" s="468"/>
      <c r="FR103" s="468"/>
      <c r="FS103" s="468"/>
      <c r="FT103" s="468"/>
      <c r="FU103" s="468"/>
      <c r="FV103" s="468"/>
      <c r="FW103" s="468"/>
      <c r="FX103" s="468"/>
      <c r="FY103" s="468"/>
      <c r="FZ103" s="468"/>
      <c r="GA103" s="468"/>
      <c r="GB103" s="468"/>
      <c r="GC103" s="468"/>
      <c r="GD103" s="468"/>
      <c r="GE103" s="468"/>
      <c r="GF103" s="468"/>
      <c r="GG103" s="468"/>
      <c r="GH103" s="468"/>
      <c r="GI103" s="468"/>
      <c r="GJ103" s="468"/>
      <c r="GK103" s="468"/>
      <c r="GL103" s="468"/>
      <c r="GM103" s="468"/>
      <c r="GN103" s="468"/>
      <c r="GO103" s="468"/>
      <c r="GP103" s="468"/>
      <c r="GQ103" s="468"/>
      <c r="GR103" s="468"/>
      <c r="GS103" s="468"/>
      <c r="GT103" s="468"/>
      <c r="GU103" s="468"/>
      <c r="GV103" s="468"/>
      <c r="GW103" s="468"/>
      <c r="GX103" s="468"/>
      <c r="GY103" s="468"/>
      <c r="GZ103" s="468"/>
      <c r="HA103" s="468"/>
      <c r="HB103" s="468"/>
      <c r="HC103" s="468"/>
      <c r="HD103" s="468"/>
      <c r="HE103" s="468"/>
      <c r="HF103" s="468"/>
      <c r="HG103" s="468"/>
      <c r="HH103" s="468"/>
      <c r="HI103" s="468"/>
      <c r="HJ103" s="468"/>
      <c r="HK103" s="468"/>
      <c r="HL103" s="468"/>
      <c r="HM103" s="468"/>
      <c r="HN103" s="468"/>
      <c r="HO103" s="468"/>
      <c r="HP103" s="468"/>
      <c r="HQ103" s="468"/>
      <c r="HR103" s="468"/>
      <c r="HS103" s="468"/>
      <c r="HT103" s="468"/>
      <c r="HU103" s="468"/>
      <c r="HV103" s="468"/>
      <c r="HW103" s="468"/>
      <c r="HX103" s="468"/>
      <c r="HY103" s="468"/>
      <c r="HZ103" s="468"/>
      <c r="IA103" s="468"/>
      <c r="IB103" s="468"/>
      <c r="IC103" s="468"/>
      <c r="ID103" s="468"/>
      <c r="IE103" s="468"/>
      <c r="IF103" s="468"/>
      <c r="IG103" s="468"/>
      <c r="IH103" s="468"/>
      <c r="II103" s="468"/>
      <c r="IJ103" s="468"/>
      <c r="IK103" s="468"/>
      <c r="IL103" s="468"/>
      <c r="IM103" s="468"/>
      <c r="IN103" s="468"/>
      <c r="IO103" s="468"/>
      <c r="IP103" s="468"/>
      <c r="IQ103" s="468"/>
      <c r="IR103" s="468"/>
      <c r="IS103" s="468"/>
      <c r="IT103" s="468"/>
      <c r="IU103" s="468"/>
      <c r="IV103" s="468"/>
      <c r="IW103" s="468"/>
      <c r="IX103" s="468"/>
      <c r="IY103" s="468"/>
      <c r="IZ103" s="468"/>
      <c r="JA103" s="468"/>
    </row>
    <row r="104" spans="1:261" ht="18.899999999999999" customHeight="1">
      <c r="A104" s="468"/>
      <c r="B104" s="468"/>
      <c r="C104" s="473"/>
      <c r="D104" s="473"/>
      <c r="E104" s="473"/>
      <c r="F104" s="473"/>
      <c r="G104" s="468"/>
      <c r="H104" s="468"/>
      <c r="I104" s="468"/>
      <c r="J104" s="468"/>
      <c r="K104" s="468"/>
      <c r="L104" s="468"/>
      <c r="M104" s="468"/>
      <c r="N104" s="468"/>
      <c r="O104" s="468"/>
      <c r="P104" s="468"/>
      <c r="Q104" s="468"/>
      <c r="R104" s="468"/>
      <c r="S104" s="468"/>
      <c r="T104" s="468"/>
      <c r="U104" s="468"/>
      <c r="V104" s="468"/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468"/>
      <c r="AI104" s="468"/>
      <c r="AJ104" s="468"/>
      <c r="AK104" s="468"/>
      <c r="AL104" s="468"/>
      <c r="AM104" s="468"/>
      <c r="AN104" s="468"/>
      <c r="AO104" s="468"/>
      <c r="AP104" s="468"/>
      <c r="AQ104" s="468"/>
      <c r="AR104" s="468"/>
      <c r="AS104" s="468"/>
      <c r="AT104" s="468"/>
      <c r="AU104" s="468"/>
      <c r="AV104" s="468"/>
      <c r="AW104" s="468"/>
      <c r="AX104" s="468"/>
      <c r="AY104" s="468"/>
      <c r="AZ104" s="468"/>
      <c r="BA104" s="468"/>
      <c r="BB104" s="468"/>
      <c r="BC104" s="468"/>
      <c r="BD104" s="468"/>
      <c r="BE104" s="468"/>
      <c r="BF104" s="468"/>
      <c r="BG104" s="468"/>
      <c r="BH104" s="468"/>
      <c r="BI104" s="468"/>
      <c r="BJ104" s="468"/>
      <c r="BK104" s="468"/>
      <c r="BL104" s="468"/>
      <c r="BM104" s="468"/>
      <c r="BN104" s="468"/>
      <c r="BO104" s="468"/>
      <c r="BP104" s="468"/>
      <c r="BQ104" s="468"/>
      <c r="BR104" s="468"/>
      <c r="BS104" s="468"/>
      <c r="BT104" s="468"/>
      <c r="BU104" s="468"/>
      <c r="BV104" s="468"/>
      <c r="BW104" s="468"/>
      <c r="BX104" s="468"/>
      <c r="BY104" s="468"/>
      <c r="BZ104" s="468"/>
      <c r="CA104" s="468"/>
      <c r="CB104" s="468"/>
      <c r="CC104" s="468"/>
      <c r="CD104" s="468"/>
      <c r="CE104" s="468"/>
      <c r="CF104" s="468"/>
      <c r="CG104" s="468"/>
      <c r="CH104" s="468"/>
      <c r="CI104" s="468"/>
      <c r="CJ104" s="468"/>
      <c r="CK104" s="468"/>
      <c r="CL104" s="468"/>
      <c r="CM104" s="468"/>
      <c r="CN104" s="468"/>
      <c r="CO104" s="468"/>
      <c r="CP104" s="468"/>
      <c r="CQ104" s="468"/>
      <c r="CR104" s="468"/>
      <c r="CS104" s="468"/>
      <c r="CT104" s="468"/>
      <c r="CU104" s="468"/>
      <c r="CV104" s="468"/>
      <c r="CW104" s="468"/>
      <c r="CX104" s="468"/>
      <c r="CY104" s="468"/>
      <c r="CZ104" s="468"/>
      <c r="DA104" s="468"/>
      <c r="DB104" s="468"/>
      <c r="DC104" s="468"/>
      <c r="DD104" s="468"/>
      <c r="DE104" s="468"/>
      <c r="DF104" s="468"/>
      <c r="DG104" s="468"/>
      <c r="DH104" s="468"/>
      <c r="DI104" s="468"/>
      <c r="DJ104" s="468"/>
      <c r="DK104" s="468"/>
      <c r="DL104" s="468"/>
      <c r="DM104" s="468"/>
      <c r="DN104" s="471"/>
      <c r="DO104" s="468"/>
      <c r="DP104" s="468"/>
      <c r="DQ104" s="468"/>
      <c r="DR104" s="468"/>
      <c r="DS104" s="468"/>
      <c r="DT104" s="468"/>
      <c r="DU104" s="468"/>
      <c r="DV104" s="468"/>
      <c r="DW104" s="468"/>
      <c r="DX104" s="468"/>
      <c r="DY104" s="468"/>
      <c r="DZ104" s="468"/>
      <c r="EA104" s="468"/>
      <c r="EB104" s="468"/>
      <c r="EC104" s="468"/>
      <c r="ED104" s="468"/>
      <c r="EE104" s="468"/>
      <c r="EF104" s="468"/>
      <c r="EG104" s="468"/>
      <c r="EH104" s="468"/>
      <c r="EI104" s="468"/>
      <c r="EJ104" s="468"/>
      <c r="EK104" s="468"/>
      <c r="EL104" s="468"/>
      <c r="EM104" s="468"/>
      <c r="EN104" s="468"/>
      <c r="EO104" s="468"/>
      <c r="EP104" s="468"/>
      <c r="EQ104" s="468"/>
      <c r="ER104" s="468"/>
      <c r="ES104" s="468"/>
      <c r="ET104" s="468"/>
      <c r="EU104" s="468"/>
      <c r="EV104" s="468"/>
      <c r="EW104" s="468"/>
      <c r="EX104" s="468"/>
      <c r="EY104" s="468"/>
      <c r="EZ104" s="468"/>
      <c r="FA104" s="468"/>
      <c r="FB104" s="468"/>
      <c r="FC104" s="468"/>
      <c r="FD104" s="468"/>
      <c r="FE104" s="468"/>
      <c r="FF104" s="468"/>
      <c r="FG104" s="468"/>
      <c r="FH104" s="468"/>
      <c r="FI104" s="468"/>
      <c r="FJ104" s="468"/>
      <c r="FK104" s="468"/>
      <c r="FL104" s="468"/>
      <c r="FM104" s="468"/>
      <c r="FN104" s="468"/>
      <c r="FO104" s="468"/>
      <c r="FP104" s="468"/>
      <c r="FQ104" s="468"/>
      <c r="FR104" s="468"/>
      <c r="FS104" s="468"/>
      <c r="FT104" s="468"/>
      <c r="FU104" s="468"/>
      <c r="FV104" s="468"/>
      <c r="FW104" s="468"/>
      <c r="FX104" s="468"/>
      <c r="FY104" s="468"/>
      <c r="FZ104" s="468"/>
      <c r="GA104" s="468"/>
      <c r="GB104" s="468"/>
      <c r="GC104" s="468"/>
      <c r="GD104" s="468"/>
      <c r="GE104" s="468"/>
      <c r="GF104" s="468"/>
      <c r="GG104" s="468"/>
      <c r="GH104" s="468"/>
      <c r="GI104" s="468"/>
      <c r="GJ104" s="468"/>
      <c r="GK104" s="468"/>
      <c r="GL104" s="468"/>
      <c r="GM104" s="468"/>
      <c r="GN104" s="468"/>
      <c r="GO104" s="468"/>
      <c r="GP104" s="468"/>
      <c r="GQ104" s="468"/>
      <c r="GR104" s="468"/>
      <c r="GS104" s="468"/>
      <c r="GT104" s="468"/>
      <c r="GU104" s="468"/>
      <c r="GV104" s="468"/>
      <c r="GW104" s="468"/>
      <c r="GX104" s="468"/>
      <c r="GY104" s="468"/>
      <c r="GZ104" s="468"/>
      <c r="HA104" s="468"/>
      <c r="HB104" s="468"/>
      <c r="HC104" s="468"/>
      <c r="HD104" s="468"/>
      <c r="HE104" s="468"/>
      <c r="HF104" s="468"/>
      <c r="HG104" s="468"/>
      <c r="HH104" s="468"/>
      <c r="HI104" s="468"/>
      <c r="HJ104" s="468"/>
      <c r="HK104" s="468"/>
      <c r="HL104" s="468"/>
      <c r="HM104" s="468"/>
      <c r="HN104" s="468"/>
      <c r="HO104" s="468"/>
      <c r="HP104" s="468"/>
      <c r="HQ104" s="468"/>
      <c r="HR104" s="468"/>
      <c r="HS104" s="468"/>
      <c r="HT104" s="468"/>
      <c r="HU104" s="468"/>
      <c r="HV104" s="468"/>
      <c r="HW104" s="468"/>
      <c r="HX104" s="468"/>
      <c r="HY104" s="468"/>
      <c r="HZ104" s="468"/>
      <c r="IA104" s="468"/>
      <c r="IB104" s="468"/>
      <c r="IC104" s="468"/>
      <c r="ID104" s="468"/>
      <c r="IE104" s="468"/>
      <c r="IF104" s="468"/>
      <c r="IG104" s="468"/>
      <c r="IH104" s="468"/>
      <c r="II104" s="468"/>
      <c r="IJ104" s="468"/>
      <c r="IK104" s="468"/>
      <c r="IL104" s="468"/>
      <c r="IM104" s="468"/>
      <c r="IN104" s="468"/>
      <c r="IO104" s="468"/>
      <c r="IP104" s="468"/>
      <c r="IQ104" s="468"/>
      <c r="IR104" s="468"/>
      <c r="IS104" s="468"/>
      <c r="IT104" s="468"/>
      <c r="IU104" s="468"/>
      <c r="IV104" s="468"/>
      <c r="IW104" s="468"/>
      <c r="IX104" s="468"/>
      <c r="IY104" s="468"/>
      <c r="IZ104" s="468"/>
      <c r="JA104" s="468"/>
    </row>
    <row r="105" spans="1:261" ht="18.899999999999999" customHeight="1">
      <c r="A105" s="468"/>
      <c r="B105" s="468"/>
      <c r="C105" s="473"/>
      <c r="D105" s="473"/>
      <c r="E105" s="473"/>
      <c r="F105" s="473"/>
      <c r="G105" s="468"/>
      <c r="H105" s="468"/>
      <c r="I105" s="468"/>
      <c r="J105" s="468"/>
      <c r="K105" s="468"/>
      <c r="L105" s="468"/>
      <c r="M105" s="468"/>
      <c r="N105" s="468"/>
      <c r="O105" s="468"/>
      <c r="P105" s="468"/>
      <c r="Q105" s="468"/>
      <c r="R105" s="468"/>
      <c r="S105" s="468"/>
      <c r="T105" s="468"/>
      <c r="U105" s="468"/>
      <c r="V105" s="468"/>
      <c r="W105" s="468"/>
      <c r="X105" s="468"/>
      <c r="Y105" s="468"/>
      <c r="Z105" s="468"/>
      <c r="AA105" s="468"/>
      <c r="AB105" s="468"/>
      <c r="AC105" s="468"/>
      <c r="AD105" s="468"/>
      <c r="AE105" s="468"/>
      <c r="AF105" s="468"/>
      <c r="AG105" s="468"/>
      <c r="AH105" s="468"/>
      <c r="AI105" s="468"/>
      <c r="AJ105" s="468"/>
      <c r="AK105" s="468"/>
      <c r="AL105" s="468"/>
      <c r="AM105" s="468"/>
      <c r="AN105" s="468"/>
      <c r="AO105" s="468"/>
      <c r="AP105" s="468"/>
      <c r="AQ105" s="468"/>
      <c r="AR105" s="468"/>
      <c r="AS105" s="468"/>
      <c r="AT105" s="468"/>
      <c r="AU105" s="468"/>
      <c r="AV105" s="468"/>
      <c r="AW105" s="468"/>
      <c r="AX105" s="468"/>
      <c r="AY105" s="468"/>
      <c r="AZ105" s="468"/>
      <c r="BA105" s="468"/>
      <c r="BB105" s="468"/>
      <c r="BC105" s="468"/>
      <c r="BD105" s="468"/>
      <c r="BE105" s="468"/>
      <c r="BF105" s="468"/>
      <c r="BG105" s="468"/>
      <c r="BH105" s="468"/>
      <c r="BI105" s="468"/>
      <c r="BJ105" s="468"/>
      <c r="BK105" s="468"/>
      <c r="BL105" s="468"/>
      <c r="BM105" s="468"/>
      <c r="BN105" s="468"/>
      <c r="BO105" s="468"/>
      <c r="BP105" s="468"/>
      <c r="BQ105" s="468"/>
      <c r="BR105" s="468"/>
      <c r="BS105" s="468"/>
      <c r="BT105" s="468"/>
      <c r="BU105" s="468"/>
      <c r="BV105" s="468"/>
      <c r="BW105" s="468"/>
      <c r="BX105" s="468"/>
      <c r="BY105" s="468"/>
      <c r="BZ105" s="468"/>
      <c r="CA105" s="468"/>
      <c r="CB105" s="468"/>
      <c r="CC105" s="468"/>
      <c r="CD105" s="468"/>
      <c r="CE105" s="468"/>
      <c r="CF105" s="468"/>
      <c r="CG105" s="468"/>
      <c r="CH105" s="468"/>
      <c r="CI105" s="468"/>
      <c r="CJ105" s="468"/>
      <c r="CK105" s="468"/>
      <c r="CL105" s="468"/>
      <c r="CM105" s="468"/>
      <c r="CN105" s="468"/>
      <c r="CO105" s="468"/>
      <c r="CP105" s="468"/>
      <c r="CQ105" s="468"/>
      <c r="CR105" s="468"/>
      <c r="CS105" s="468"/>
      <c r="CT105" s="468"/>
      <c r="CU105" s="468"/>
      <c r="CV105" s="468"/>
      <c r="CW105" s="468"/>
      <c r="CX105" s="468"/>
      <c r="CY105" s="468"/>
      <c r="CZ105" s="468"/>
      <c r="DA105" s="468"/>
      <c r="DB105" s="468"/>
      <c r="DC105" s="468"/>
      <c r="DD105" s="468"/>
      <c r="DE105" s="468"/>
      <c r="DF105" s="468"/>
      <c r="DG105" s="468"/>
      <c r="DH105" s="468"/>
      <c r="DI105" s="468"/>
      <c r="DJ105" s="468"/>
      <c r="DK105" s="468"/>
      <c r="DL105" s="468"/>
      <c r="DM105" s="468"/>
      <c r="DN105" s="471"/>
      <c r="DO105" s="468"/>
      <c r="DP105" s="468"/>
      <c r="DQ105" s="468"/>
      <c r="DR105" s="468"/>
      <c r="DS105" s="468"/>
      <c r="DT105" s="468"/>
      <c r="DU105" s="468"/>
      <c r="DV105" s="468"/>
      <c r="DW105" s="468"/>
      <c r="DX105" s="468"/>
      <c r="DY105" s="468"/>
      <c r="DZ105" s="468"/>
      <c r="EA105" s="468"/>
      <c r="EB105" s="468"/>
      <c r="EC105" s="468"/>
      <c r="ED105" s="468"/>
      <c r="EE105" s="468"/>
      <c r="EF105" s="468"/>
      <c r="EG105" s="468"/>
      <c r="EH105" s="468"/>
      <c r="EI105" s="468"/>
      <c r="EJ105" s="468"/>
      <c r="EK105" s="468"/>
      <c r="EL105" s="468"/>
      <c r="EM105" s="468"/>
      <c r="EN105" s="468"/>
      <c r="EO105" s="468"/>
      <c r="EP105" s="468"/>
      <c r="EQ105" s="468"/>
      <c r="ER105" s="468"/>
      <c r="ES105" s="468"/>
      <c r="ET105" s="468"/>
      <c r="EU105" s="468"/>
      <c r="EV105" s="468"/>
      <c r="EW105" s="468"/>
      <c r="EX105" s="468"/>
      <c r="EY105" s="468"/>
      <c r="EZ105" s="468"/>
      <c r="FA105" s="468"/>
      <c r="FB105" s="468"/>
      <c r="FC105" s="468"/>
      <c r="FD105" s="468"/>
      <c r="FE105" s="468"/>
      <c r="FF105" s="468"/>
      <c r="FG105" s="468"/>
      <c r="FH105" s="468"/>
      <c r="FI105" s="468"/>
      <c r="FJ105" s="468"/>
      <c r="FK105" s="468"/>
      <c r="FL105" s="468"/>
      <c r="FM105" s="468"/>
      <c r="FN105" s="468"/>
      <c r="FO105" s="468"/>
      <c r="FP105" s="468"/>
      <c r="FQ105" s="468"/>
      <c r="FR105" s="468"/>
      <c r="FS105" s="468"/>
      <c r="FT105" s="468"/>
      <c r="FU105" s="468"/>
      <c r="FV105" s="468"/>
      <c r="FW105" s="468"/>
      <c r="FX105" s="468"/>
      <c r="FY105" s="468"/>
      <c r="FZ105" s="468"/>
      <c r="GA105" s="468"/>
      <c r="GB105" s="468"/>
      <c r="GC105" s="468"/>
      <c r="GD105" s="468"/>
      <c r="GE105" s="468"/>
      <c r="GF105" s="468"/>
      <c r="GG105" s="468"/>
      <c r="GH105" s="468"/>
      <c r="GI105" s="468"/>
      <c r="GJ105" s="468"/>
      <c r="GK105" s="468"/>
      <c r="GL105" s="468"/>
      <c r="GM105" s="468"/>
      <c r="GN105" s="468"/>
      <c r="GO105" s="468"/>
      <c r="GP105" s="468"/>
      <c r="GQ105" s="468"/>
      <c r="GR105" s="468"/>
      <c r="GS105" s="468"/>
      <c r="GT105" s="468"/>
      <c r="GU105" s="468"/>
      <c r="GV105" s="468"/>
      <c r="GW105" s="468"/>
      <c r="GX105" s="468"/>
      <c r="GY105" s="468"/>
      <c r="GZ105" s="468"/>
      <c r="HA105" s="468"/>
      <c r="HB105" s="468"/>
      <c r="HC105" s="468"/>
      <c r="HD105" s="468"/>
      <c r="HE105" s="468"/>
      <c r="HF105" s="468"/>
      <c r="HG105" s="468"/>
      <c r="HH105" s="468"/>
      <c r="HI105" s="468"/>
      <c r="HJ105" s="468"/>
      <c r="HK105" s="468"/>
      <c r="HL105" s="468"/>
      <c r="HM105" s="468"/>
      <c r="HN105" s="468"/>
      <c r="HO105" s="468"/>
      <c r="HP105" s="468"/>
      <c r="HQ105" s="468"/>
      <c r="HR105" s="468"/>
      <c r="HS105" s="468"/>
      <c r="HT105" s="468"/>
      <c r="HU105" s="468"/>
      <c r="HV105" s="468"/>
      <c r="HW105" s="468"/>
      <c r="HX105" s="468"/>
      <c r="HY105" s="468"/>
      <c r="HZ105" s="468"/>
      <c r="IA105" s="468"/>
      <c r="IB105" s="468"/>
      <c r="IC105" s="468"/>
      <c r="ID105" s="468"/>
      <c r="IE105" s="468"/>
      <c r="IF105" s="468"/>
      <c r="IG105" s="468"/>
      <c r="IH105" s="468"/>
      <c r="II105" s="468"/>
      <c r="IJ105" s="468"/>
      <c r="IK105" s="468"/>
      <c r="IL105" s="468"/>
      <c r="IM105" s="468"/>
      <c r="IN105" s="468"/>
      <c r="IO105" s="468"/>
      <c r="IP105" s="468"/>
      <c r="IQ105" s="468"/>
      <c r="IR105" s="468"/>
      <c r="IS105" s="468"/>
      <c r="IT105" s="468"/>
      <c r="IU105" s="468"/>
      <c r="IV105" s="468"/>
      <c r="IW105" s="468"/>
      <c r="IX105" s="468"/>
      <c r="IY105" s="468"/>
      <c r="IZ105" s="468"/>
      <c r="JA105" s="468"/>
    </row>
    <row r="106" spans="1:261" ht="18.899999999999999" customHeight="1">
      <c r="A106" s="468"/>
      <c r="B106" s="468"/>
      <c r="C106" s="473"/>
      <c r="D106" s="473"/>
      <c r="E106" s="473"/>
      <c r="F106" s="473"/>
      <c r="G106" s="468"/>
      <c r="H106" s="468"/>
      <c r="I106" s="468"/>
      <c r="J106" s="468"/>
      <c r="K106" s="468"/>
      <c r="L106" s="468"/>
      <c r="M106" s="468"/>
      <c r="N106" s="468"/>
      <c r="O106" s="468"/>
      <c r="P106" s="468"/>
      <c r="Q106" s="468"/>
      <c r="R106" s="468"/>
      <c r="S106" s="468"/>
      <c r="T106" s="468"/>
      <c r="U106" s="468"/>
      <c r="V106" s="468"/>
      <c r="W106" s="468"/>
      <c r="X106" s="468"/>
      <c r="Y106" s="468"/>
      <c r="Z106" s="468"/>
      <c r="AA106" s="468"/>
      <c r="AB106" s="468"/>
      <c r="AC106" s="468"/>
      <c r="AD106" s="468"/>
      <c r="AE106" s="468"/>
      <c r="AF106" s="468"/>
      <c r="AG106" s="468"/>
      <c r="AH106" s="468"/>
      <c r="AI106" s="468"/>
      <c r="AJ106" s="468"/>
      <c r="AK106" s="468"/>
      <c r="AL106" s="468"/>
      <c r="AM106" s="468"/>
      <c r="AN106" s="468"/>
      <c r="AO106" s="468"/>
      <c r="AP106" s="468"/>
      <c r="AQ106" s="468"/>
      <c r="AR106" s="468"/>
      <c r="AS106" s="468"/>
      <c r="AT106" s="468"/>
      <c r="AU106" s="468"/>
      <c r="AV106" s="468"/>
      <c r="AW106" s="468"/>
      <c r="AX106" s="468"/>
      <c r="AY106" s="468"/>
      <c r="AZ106" s="468"/>
      <c r="BA106" s="468"/>
      <c r="BB106" s="468"/>
      <c r="BC106" s="468"/>
      <c r="BD106" s="468"/>
      <c r="BE106" s="468"/>
      <c r="BF106" s="468"/>
      <c r="BG106" s="468"/>
      <c r="BH106" s="468"/>
      <c r="BI106" s="468"/>
      <c r="BJ106" s="468"/>
      <c r="BK106" s="468"/>
      <c r="BL106" s="468"/>
      <c r="BM106" s="468"/>
      <c r="BN106" s="468"/>
      <c r="BO106" s="468"/>
      <c r="BP106" s="468"/>
      <c r="BQ106" s="468"/>
      <c r="BR106" s="468"/>
      <c r="BS106" s="468"/>
      <c r="BT106" s="468"/>
      <c r="BU106" s="468"/>
      <c r="BV106" s="468"/>
      <c r="BW106" s="468"/>
      <c r="BX106" s="468"/>
      <c r="BY106" s="468"/>
      <c r="BZ106" s="468"/>
      <c r="CA106" s="468"/>
      <c r="CB106" s="468"/>
      <c r="CC106" s="468"/>
      <c r="CD106" s="468"/>
      <c r="CE106" s="468"/>
      <c r="CF106" s="468"/>
      <c r="CG106" s="468"/>
      <c r="CH106" s="468"/>
      <c r="CI106" s="468"/>
      <c r="CJ106" s="468"/>
      <c r="CK106" s="468"/>
      <c r="CL106" s="468"/>
      <c r="CM106" s="468"/>
      <c r="CN106" s="468"/>
      <c r="CO106" s="468"/>
      <c r="CP106" s="468"/>
      <c r="CQ106" s="468"/>
      <c r="CR106" s="468"/>
      <c r="CS106" s="468"/>
      <c r="CT106" s="468"/>
      <c r="CU106" s="468"/>
      <c r="CV106" s="468"/>
      <c r="CW106" s="468"/>
      <c r="CX106" s="468"/>
      <c r="CY106" s="468"/>
      <c r="CZ106" s="468"/>
      <c r="DA106" s="468"/>
      <c r="DB106" s="468"/>
      <c r="DC106" s="468"/>
      <c r="DD106" s="468"/>
      <c r="DE106" s="468"/>
      <c r="DF106" s="468"/>
      <c r="DG106" s="468"/>
      <c r="DH106" s="468"/>
      <c r="DI106" s="468"/>
      <c r="DJ106" s="468"/>
      <c r="DK106" s="468"/>
      <c r="DL106" s="468"/>
      <c r="DM106" s="468"/>
      <c r="DN106" s="471"/>
      <c r="DO106" s="468"/>
      <c r="DP106" s="468"/>
      <c r="DQ106" s="468"/>
      <c r="DR106" s="468"/>
      <c r="DS106" s="468"/>
      <c r="DT106" s="468"/>
      <c r="DU106" s="468"/>
      <c r="DV106" s="468"/>
      <c r="DW106" s="468"/>
      <c r="DX106" s="468"/>
      <c r="DY106" s="468"/>
      <c r="DZ106" s="468"/>
      <c r="EA106" s="468"/>
      <c r="EB106" s="468"/>
      <c r="EC106" s="468"/>
      <c r="ED106" s="468"/>
      <c r="EE106" s="468"/>
      <c r="EF106" s="468"/>
      <c r="EG106" s="468"/>
      <c r="EH106" s="468"/>
      <c r="EI106" s="468"/>
      <c r="EJ106" s="468"/>
      <c r="EK106" s="468"/>
      <c r="EL106" s="468"/>
      <c r="EM106" s="468"/>
      <c r="EN106" s="468"/>
      <c r="EO106" s="468"/>
      <c r="EP106" s="468"/>
      <c r="EQ106" s="468"/>
      <c r="ER106" s="468"/>
      <c r="ES106" s="468"/>
      <c r="ET106" s="468"/>
      <c r="EU106" s="468"/>
      <c r="EV106" s="468"/>
      <c r="EW106" s="468"/>
      <c r="EX106" s="468"/>
      <c r="EY106" s="468"/>
      <c r="EZ106" s="468"/>
      <c r="FA106" s="468"/>
      <c r="FB106" s="468"/>
      <c r="FC106" s="468"/>
      <c r="FD106" s="468"/>
      <c r="FE106" s="468"/>
      <c r="FF106" s="468"/>
      <c r="FG106" s="468"/>
      <c r="FH106" s="468"/>
      <c r="FI106" s="468"/>
      <c r="FJ106" s="468"/>
      <c r="FK106" s="468"/>
      <c r="FL106" s="468"/>
      <c r="FM106" s="468"/>
      <c r="FN106" s="468"/>
      <c r="FO106" s="468"/>
      <c r="FP106" s="468"/>
      <c r="FQ106" s="468"/>
      <c r="FR106" s="468"/>
      <c r="FS106" s="468"/>
      <c r="FT106" s="468"/>
      <c r="FU106" s="468"/>
      <c r="FV106" s="468"/>
      <c r="FW106" s="468"/>
      <c r="FX106" s="468"/>
      <c r="FY106" s="468"/>
      <c r="FZ106" s="468"/>
      <c r="GA106" s="468"/>
      <c r="GB106" s="468"/>
      <c r="GC106" s="468"/>
      <c r="GD106" s="468"/>
      <c r="GE106" s="468"/>
      <c r="GF106" s="468"/>
      <c r="GG106" s="468"/>
      <c r="GH106" s="468"/>
      <c r="GI106" s="468"/>
      <c r="GJ106" s="468"/>
      <c r="GK106" s="468"/>
      <c r="GL106" s="468"/>
      <c r="GM106" s="468"/>
      <c r="GN106" s="468"/>
      <c r="GO106" s="468"/>
      <c r="GP106" s="468"/>
      <c r="GQ106" s="468"/>
      <c r="GR106" s="468"/>
      <c r="GS106" s="468"/>
      <c r="GT106" s="468"/>
      <c r="GU106" s="468"/>
      <c r="GV106" s="468"/>
      <c r="GW106" s="468"/>
      <c r="GX106" s="468"/>
      <c r="GY106" s="468"/>
      <c r="GZ106" s="468"/>
      <c r="HA106" s="468"/>
      <c r="HB106" s="468"/>
      <c r="HC106" s="468"/>
      <c r="HD106" s="468"/>
      <c r="HE106" s="468"/>
      <c r="HF106" s="468"/>
      <c r="HG106" s="468"/>
      <c r="HH106" s="468"/>
      <c r="HI106" s="468"/>
      <c r="HJ106" s="468"/>
      <c r="HK106" s="468"/>
      <c r="HL106" s="468"/>
      <c r="HM106" s="468"/>
      <c r="HN106" s="468"/>
      <c r="HO106" s="468"/>
      <c r="HP106" s="468"/>
      <c r="HQ106" s="468"/>
      <c r="HR106" s="468"/>
      <c r="HS106" s="468"/>
      <c r="HT106" s="468"/>
      <c r="HU106" s="468"/>
      <c r="HV106" s="468"/>
      <c r="HW106" s="468"/>
      <c r="HX106" s="468"/>
      <c r="HY106" s="468"/>
      <c r="HZ106" s="468"/>
      <c r="IA106" s="468"/>
      <c r="IB106" s="468"/>
      <c r="IC106" s="468"/>
      <c r="ID106" s="468"/>
      <c r="IE106" s="468"/>
      <c r="IF106" s="468"/>
      <c r="IG106" s="468"/>
      <c r="IH106" s="468"/>
      <c r="II106" s="468"/>
      <c r="IJ106" s="468"/>
      <c r="IK106" s="468"/>
      <c r="IL106" s="468"/>
      <c r="IM106" s="468"/>
      <c r="IN106" s="468"/>
      <c r="IO106" s="468"/>
      <c r="IP106" s="468"/>
      <c r="IQ106" s="468"/>
      <c r="IR106" s="468"/>
      <c r="IS106" s="468"/>
      <c r="IT106" s="468"/>
      <c r="IU106" s="468"/>
      <c r="IV106" s="468"/>
      <c r="IW106" s="468"/>
      <c r="IX106" s="468"/>
      <c r="IY106" s="468"/>
      <c r="IZ106" s="468"/>
      <c r="JA106" s="468"/>
    </row>
    <row r="107" spans="1:261" ht="18.899999999999999" customHeight="1">
      <c r="A107" s="468"/>
      <c r="B107" s="468"/>
      <c r="C107" s="473"/>
      <c r="D107" s="473"/>
      <c r="E107" s="473"/>
      <c r="F107" s="473"/>
      <c r="G107" s="468"/>
      <c r="H107" s="468"/>
      <c r="I107" s="468"/>
      <c r="J107" s="468"/>
      <c r="K107" s="468"/>
      <c r="L107" s="468"/>
      <c r="M107" s="468"/>
      <c r="N107" s="468"/>
      <c r="O107" s="468"/>
      <c r="P107" s="468"/>
      <c r="Q107" s="468"/>
      <c r="R107" s="468"/>
      <c r="S107" s="468"/>
      <c r="T107" s="468"/>
      <c r="U107" s="468"/>
      <c r="V107" s="468"/>
      <c r="W107" s="468"/>
      <c r="X107" s="468"/>
      <c r="Y107" s="468"/>
      <c r="Z107" s="468"/>
      <c r="AA107" s="468"/>
      <c r="AB107" s="468"/>
      <c r="AC107" s="468"/>
      <c r="AD107" s="468"/>
      <c r="AE107" s="468"/>
      <c r="AF107" s="468"/>
      <c r="AG107" s="468"/>
      <c r="AH107" s="468"/>
      <c r="AI107" s="468"/>
      <c r="AJ107" s="468"/>
      <c r="AK107" s="468"/>
      <c r="AL107" s="468"/>
      <c r="AM107" s="468"/>
      <c r="AN107" s="468"/>
      <c r="AO107" s="468"/>
      <c r="AP107" s="468"/>
      <c r="AQ107" s="468"/>
      <c r="AR107" s="468"/>
      <c r="AS107" s="468"/>
      <c r="AT107" s="468"/>
      <c r="AU107" s="468"/>
      <c r="AV107" s="468"/>
      <c r="AW107" s="468"/>
      <c r="AX107" s="468"/>
      <c r="AY107" s="468"/>
      <c r="AZ107" s="468"/>
      <c r="BA107" s="468"/>
      <c r="BB107" s="468"/>
      <c r="BC107" s="468"/>
      <c r="BD107" s="468"/>
      <c r="BE107" s="468"/>
      <c r="BF107" s="468"/>
      <c r="BG107" s="468"/>
      <c r="BH107" s="468"/>
      <c r="BI107" s="468"/>
      <c r="BJ107" s="468"/>
      <c r="BK107" s="468"/>
      <c r="BL107" s="468"/>
      <c r="BM107" s="468"/>
      <c r="BN107" s="468"/>
      <c r="BO107" s="468"/>
      <c r="BP107" s="468"/>
      <c r="BQ107" s="468"/>
      <c r="BR107" s="468"/>
      <c r="BS107" s="468"/>
      <c r="BT107" s="468"/>
      <c r="BU107" s="468"/>
      <c r="BV107" s="468"/>
      <c r="BW107" s="468"/>
      <c r="BX107" s="468"/>
      <c r="BY107" s="468"/>
      <c r="BZ107" s="468"/>
      <c r="CA107" s="468"/>
      <c r="CB107" s="468"/>
      <c r="CC107" s="468"/>
      <c r="CD107" s="468"/>
      <c r="CE107" s="468"/>
      <c r="CF107" s="468"/>
      <c r="CG107" s="468"/>
      <c r="CH107" s="468"/>
      <c r="CI107" s="468"/>
      <c r="CJ107" s="468"/>
      <c r="CK107" s="468"/>
      <c r="CL107" s="468"/>
      <c r="CM107" s="468"/>
      <c r="CN107" s="468"/>
      <c r="CO107" s="468"/>
      <c r="CP107" s="468"/>
      <c r="CQ107" s="468"/>
      <c r="CR107" s="468"/>
      <c r="CS107" s="468"/>
      <c r="CT107" s="468"/>
      <c r="CU107" s="468"/>
      <c r="CV107" s="468"/>
      <c r="CW107" s="468"/>
      <c r="CX107" s="468"/>
      <c r="CY107" s="468"/>
      <c r="CZ107" s="468"/>
      <c r="DA107" s="468"/>
      <c r="DB107" s="468"/>
      <c r="DC107" s="468"/>
      <c r="DD107" s="468"/>
      <c r="DE107" s="468"/>
      <c r="DF107" s="468"/>
      <c r="DG107" s="468"/>
      <c r="DH107" s="468"/>
      <c r="DI107" s="468"/>
      <c r="DJ107" s="468"/>
      <c r="DK107" s="468"/>
      <c r="DL107" s="468"/>
      <c r="DM107" s="468"/>
      <c r="DN107" s="471"/>
      <c r="DO107" s="468"/>
      <c r="DP107" s="468"/>
      <c r="DQ107" s="468"/>
      <c r="DR107" s="468"/>
      <c r="DS107" s="468"/>
      <c r="DT107" s="468"/>
      <c r="DU107" s="468"/>
      <c r="DV107" s="468"/>
      <c r="DW107" s="468"/>
      <c r="DX107" s="468"/>
      <c r="DY107" s="468"/>
      <c r="DZ107" s="468"/>
      <c r="EA107" s="468"/>
      <c r="EB107" s="468"/>
      <c r="EC107" s="468"/>
      <c r="ED107" s="468"/>
      <c r="EE107" s="468"/>
      <c r="EF107" s="468"/>
      <c r="EG107" s="468"/>
      <c r="EH107" s="468"/>
      <c r="EI107" s="468"/>
      <c r="EJ107" s="468"/>
      <c r="EK107" s="468"/>
      <c r="EL107" s="468"/>
      <c r="EM107" s="468"/>
      <c r="EN107" s="468"/>
      <c r="EO107" s="468"/>
      <c r="EP107" s="468"/>
      <c r="EQ107" s="468"/>
      <c r="ER107" s="468"/>
      <c r="ES107" s="468"/>
      <c r="ET107" s="468"/>
      <c r="EU107" s="468"/>
      <c r="EV107" s="468"/>
      <c r="EW107" s="468"/>
      <c r="EX107" s="468"/>
      <c r="EY107" s="468"/>
      <c r="EZ107" s="468"/>
      <c r="FA107" s="468"/>
      <c r="FB107" s="468"/>
      <c r="FC107" s="468"/>
      <c r="FD107" s="468"/>
      <c r="FE107" s="468"/>
      <c r="FF107" s="468"/>
      <c r="FG107" s="468"/>
      <c r="FH107" s="468"/>
      <c r="FI107" s="468"/>
      <c r="FJ107" s="468"/>
      <c r="FK107" s="468"/>
      <c r="FL107" s="468"/>
      <c r="FM107" s="468"/>
      <c r="FN107" s="468"/>
      <c r="FO107" s="468"/>
      <c r="FP107" s="468"/>
      <c r="FQ107" s="468"/>
      <c r="FR107" s="468"/>
      <c r="FS107" s="468"/>
      <c r="FT107" s="468"/>
      <c r="FU107" s="468"/>
      <c r="FV107" s="468"/>
      <c r="FW107" s="468"/>
      <c r="FX107" s="468"/>
      <c r="FY107" s="468"/>
      <c r="FZ107" s="468"/>
      <c r="GA107" s="468"/>
      <c r="GB107" s="468"/>
      <c r="GC107" s="468"/>
      <c r="GD107" s="468"/>
      <c r="GE107" s="468"/>
      <c r="GF107" s="468"/>
      <c r="GG107" s="468"/>
      <c r="GH107" s="468"/>
      <c r="GI107" s="468"/>
      <c r="GJ107" s="468"/>
      <c r="GK107" s="468"/>
      <c r="GL107" s="468"/>
      <c r="GM107" s="468"/>
      <c r="GN107" s="468"/>
      <c r="GO107" s="468"/>
      <c r="GP107" s="468"/>
      <c r="GQ107" s="468"/>
      <c r="GR107" s="468"/>
      <c r="GS107" s="468"/>
      <c r="GT107" s="468"/>
      <c r="GU107" s="468"/>
      <c r="GV107" s="468"/>
      <c r="GW107" s="468"/>
      <c r="GX107" s="468"/>
      <c r="GY107" s="468"/>
      <c r="GZ107" s="468"/>
      <c r="HA107" s="468"/>
      <c r="HB107" s="468"/>
      <c r="HC107" s="468"/>
      <c r="HD107" s="468"/>
      <c r="HE107" s="468"/>
      <c r="HF107" s="468"/>
      <c r="HG107" s="468"/>
      <c r="HH107" s="468"/>
      <c r="HI107" s="468"/>
      <c r="HJ107" s="468"/>
      <c r="HK107" s="468"/>
      <c r="HL107" s="468"/>
      <c r="HM107" s="468"/>
      <c r="HN107" s="468"/>
      <c r="HO107" s="468"/>
      <c r="HP107" s="468"/>
      <c r="HQ107" s="468"/>
      <c r="HR107" s="468"/>
      <c r="HS107" s="468"/>
      <c r="HT107" s="468"/>
      <c r="HU107" s="468"/>
      <c r="HV107" s="468"/>
      <c r="HW107" s="468"/>
      <c r="HX107" s="468"/>
      <c r="HY107" s="468"/>
      <c r="HZ107" s="468"/>
      <c r="IA107" s="468"/>
      <c r="IB107" s="468"/>
      <c r="IC107" s="468"/>
      <c r="ID107" s="468"/>
      <c r="IE107" s="468"/>
      <c r="IF107" s="468"/>
      <c r="IG107" s="468"/>
      <c r="IH107" s="468"/>
      <c r="II107" s="468"/>
      <c r="IJ107" s="468"/>
      <c r="IK107" s="468"/>
      <c r="IL107" s="468"/>
      <c r="IM107" s="468"/>
      <c r="IN107" s="468"/>
      <c r="IO107" s="468"/>
      <c r="IP107" s="468"/>
      <c r="IQ107" s="468"/>
      <c r="IR107" s="468"/>
      <c r="IS107" s="468"/>
      <c r="IT107" s="468"/>
      <c r="IU107" s="468"/>
      <c r="IV107" s="468"/>
      <c r="IW107" s="468"/>
      <c r="IX107" s="468"/>
      <c r="IY107" s="468"/>
      <c r="IZ107" s="468"/>
      <c r="JA107" s="468"/>
    </row>
    <row r="108" spans="1:261" ht="18.899999999999999" customHeight="1">
      <c r="A108" s="468"/>
      <c r="B108" s="468"/>
      <c r="C108" s="473"/>
      <c r="D108" s="473"/>
      <c r="E108" s="473"/>
      <c r="F108" s="473"/>
      <c r="G108" s="468"/>
      <c r="H108" s="468"/>
      <c r="I108" s="468"/>
      <c r="J108" s="468"/>
      <c r="K108" s="468"/>
      <c r="L108" s="468"/>
      <c r="M108" s="468"/>
      <c r="N108" s="468"/>
      <c r="O108" s="468"/>
      <c r="P108" s="468"/>
      <c r="Q108" s="468"/>
      <c r="R108" s="468"/>
      <c r="S108" s="468"/>
      <c r="T108" s="468"/>
      <c r="U108" s="468"/>
      <c r="V108" s="468"/>
      <c r="W108" s="468"/>
      <c r="X108" s="468"/>
      <c r="Y108" s="468"/>
      <c r="Z108" s="468"/>
      <c r="AA108" s="468"/>
      <c r="AB108" s="468"/>
      <c r="AC108" s="468"/>
      <c r="AD108" s="468"/>
      <c r="AE108" s="468"/>
      <c r="AF108" s="468"/>
      <c r="AG108" s="468"/>
      <c r="AH108" s="468"/>
      <c r="AI108" s="468"/>
      <c r="AJ108" s="468"/>
      <c r="AK108" s="468"/>
      <c r="AL108" s="468"/>
      <c r="AM108" s="468"/>
      <c r="AN108" s="468"/>
      <c r="AO108" s="468"/>
      <c r="AP108" s="468"/>
      <c r="AQ108" s="468"/>
      <c r="AR108" s="468"/>
      <c r="AS108" s="468"/>
      <c r="AT108" s="468"/>
      <c r="AU108" s="468"/>
      <c r="AV108" s="468"/>
      <c r="AW108" s="468"/>
      <c r="AX108" s="468"/>
      <c r="AY108" s="468"/>
      <c r="AZ108" s="468"/>
      <c r="BA108" s="468"/>
      <c r="BB108" s="468"/>
      <c r="BC108" s="468"/>
      <c r="BD108" s="468"/>
      <c r="BE108" s="468"/>
      <c r="BF108" s="468"/>
      <c r="BG108" s="468"/>
      <c r="BH108" s="468"/>
      <c r="BI108" s="468"/>
      <c r="BJ108" s="468"/>
      <c r="BK108" s="468"/>
      <c r="BL108" s="468"/>
      <c r="BM108" s="468"/>
      <c r="BN108" s="468"/>
      <c r="BO108" s="468"/>
      <c r="BP108" s="468"/>
      <c r="BQ108" s="468"/>
      <c r="BR108" s="468"/>
      <c r="BS108" s="468"/>
      <c r="BT108" s="468"/>
      <c r="BU108" s="468"/>
      <c r="BV108" s="468"/>
      <c r="BW108" s="468"/>
      <c r="BX108" s="468"/>
      <c r="BY108" s="468"/>
      <c r="BZ108" s="468"/>
      <c r="CA108" s="468"/>
      <c r="CB108" s="468"/>
      <c r="CC108" s="468"/>
      <c r="CD108" s="468"/>
      <c r="CE108" s="468"/>
      <c r="CF108" s="468"/>
      <c r="CG108" s="468"/>
      <c r="CH108" s="468"/>
      <c r="CI108" s="468"/>
      <c r="CJ108" s="468"/>
      <c r="CK108" s="468"/>
      <c r="CL108" s="468"/>
      <c r="CM108" s="468"/>
      <c r="CN108" s="468"/>
      <c r="CO108" s="468"/>
      <c r="CP108" s="468"/>
      <c r="CQ108" s="468"/>
      <c r="CR108" s="468"/>
      <c r="CS108" s="468"/>
      <c r="CT108" s="468"/>
      <c r="CU108" s="468"/>
      <c r="CV108" s="468"/>
      <c r="CW108" s="468"/>
      <c r="CX108" s="468"/>
      <c r="CY108" s="468"/>
      <c r="CZ108" s="468"/>
      <c r="DA108" s="468"/>
      <c r="DB108" s="468"/>
      <c r="DC108" s="468"/>
      <c r="DD108" s="468"/>
      <c r="DE108" s="468"/>
      <c r="DF108" s="468"/>
      <c r="DG108" s="468"/>
      <c r="DH108" s="468"/>
      <c r="DI108" s="468"/>
      <c r="DJ108" s="468"/>
      <c r="DK108" s="468"/>
      <c r="DL108" s="468"/>
      <c r="DM108" s="468"/>
      <c r="DN108" s="471"/>
      <c r="DO108" s="468"/>
      <c r="DP108" s="468"/>
      <c r="DQ108" s="468"/>
      <c r="DR108" s="468"/>
      <c r="DS108" s="468"/>
      <c r="DT108" s="468"/>
      <c r="DU108" s="468"/>
      <c r="DV108" s="468"/>
      <c r="DW108" s="468"/>
      <c r="DX108" s="468"/>
      <c r="DY108" s="468"/>
      <c r="DZ108" s="468"/>
      <c r="EA108" s="468"/>
      <c r="EB108" s="468"/>
      <c r="EC108" s="468"/>
      <c r="ED108" s="468"/>
      <c r="EE108" s="468"/>
      <c r="EF108" s="468"/>
      <c r="EG108" s="468"/>
      <c r="EH108" s="468"/>
      <c r="EI108" s="468"/>
      <c r="EJ108" s="468"/>
      <c r="EK108" s="468"/>
      <c r="EL108" s="468"/>
      <c r="EM108" s="468"/>
      <c r="EN108" s="468"/>
      <c r="EO108" s="468"/>
      <c r="EP108" s="468"/>
      <c r="EQ108" s="468"/>
      <c r="ER108" s="468"/>
      <c r="ES108" s="468"/>
      <c r="ET108" s="468"/>
      <c r="EU108" s="468"/>
      <c r="EV108" s="468"/>
      <c r="EW108" s="468"/>
      <c r="EX108" s="468"/>
      <c r="EY108" s="468"/>
      <c r="EZ108" s="468"/>
      <c r="FA108" s="468"/>
      <c r="FB108" s="468"/>
      <c r="FC108" s="468"/>
      <c r="FD108" s="468"/>
      <c r="FE108" s="468"/>
      <c r="FF108" s="468"/>
      <c r="FG108" s="468"/>
      <c r="FH108" s="468"/>
      <c r="FI108" s="468"/>
      <c r="FJ108" s="468"/>
      <c r="FK108" s="468"/>
      <c r="FL108" s="468"/>
      <c r="FM108" s="468"/>
      <c r="FN108" s="468"/>
      <c r="FO108" s="468"/>
      <c r="FP108" s="468"/>
      <c r="FQ108" s="468"/>
      <c r="FR108" s="468"/>
      <c r="FS108" s="468"/>
      <c r="FT108" s="468"/>
      <c r="FU108" s="468"/>
      <c r="FV108" s="468"/>
      <c r="FW108" s="468"/>
      <c r="FX108" s="468"/>
      <c r="FY108" s="468"/>
      <c r="FZ108" s="468"/>
      <c r="GA108" s="468"/>
      <c r="GB108" s="468"/>
      <c r="GC108" s="468"/>
      <c r="GD108" s="468"/>
      <c r="GE108" s="468"/>
      <c r="GF108" s="468"/>
      <c r="GG108" s="468"/>
      <c r="GH108" s="468"/>
      <c r="GI108" s="468"/>
      <c r="GJ108" s="468"/>
      <c r="GK108" s="468"/>
      <c r="GL108" s="468"/>
      <c r="GM108" s="468"/>
      <c r="GN108" s="468"/>
      <c r="GO108" s="468"/>
      <c r="GP108" s="468"/>
      <c r="GQ108" s="468"/>
      <c r="GR108" s="468"/>
      <c r="GS108" s="468"/>
      <c r="GT108" s="468"/>
      <c r="GU108" s="468"/>
      <c r="GV108" s="468"/>
      <c r="GW108" s="468"/>
      <c r="GX108" s="468"/>
      <c r="GY108" s="468"/>
      <c r="GZ108" s="468"/>
      <c r="HA108" s="468"/>
      <c r="HB108" s="468"/>
      <c r="HC108" s="468"/>
      <c r="HD108" s="468"/>
      <c r="HE108" s="468"/>
      <c r="HF108" s="468"/>
      <c r="HG108" s="468"/>
      <c r="HH108" s="468"/>
      <c r="HI108" s="468"/>
      <c r="HJ108" s="468"/>
      <c r="HK108" s="468"/>
      <c r="HL108" s="468"/>
      <c r="HM108" s="468"/>
      <c r="HN108" s="468"/>
      <c r="HO108" s="468"/>
      <c r="HP108" s="468"/>
      <c r="HQ108" s="468"/>
      <c r="HR108" s="468"/>
      <c r="HS108" s="468"/>
      <c r="HT108" s="468"/>
      <c r="HU108" s="468"/>
      <c r="HV108" s="468"/>
      <c r="HW108" s="468"/>
      <c r="HX108" s="468"/>
      <c r="HY108" s="468"/>
      <c r="HZ108" s="468"/>
      <c r="IA108" s="468"/>
      <c r="IB108" s="468"/>
      <c r="IC108" s="468"/>
      <c r="ID108" s="468"/>
      <c r="IE108" s="468"/>
      <c r="IF108" s="468"/>
      <c r="IG108" s="468"/>
      <c r="IH108" s="468"/>
      <c r="II108" s="468"/>
      <c r="IJ108" s="468"/>
      <c r="IK108" s="468"/>
      <c r="IL108" s="468"/>
      <c r="IM108" s="468"/>
      <c r="IN108" s="468"/>
      <c r="IO108" s="468"/>
      <c r="IP108" s="468"/>
      <c r="IQ108" s="468"/>
      <c r="IR108" s="468"/>
      <c r="IS108" s="468"/>
      <c r="IT108" s="468"/>
      <c r="IU108" s="468"/>
      <c r="IV108" s="468"/>
      <c r="IW108" s="468"/>
      <c r="IX108" s="468"/>
      <c r="IY108" s="468"/>
      <c r="IZ108" s="468"/>
      <c r="JA108" s="468"/>
    </row>
    <row r="109" spans="1:261" ht="18.899999999999999" customHeight="1">
      <c r="A109" s="468"/>
      <c r="B109" s="468"/>
      <c r="C109" s="473"/>
      <c r="D109" s="473"/>
      <c r="E109" s="473"/>
      <c r="F109" s="473"/>
      <c r="G109" s="468"/>
      <c r="H109" s="468"/>
      <c r="I109" s="468"/>
      <c r="J109" s="468"/>
      <c r="K109" s="468"/>
      <c r="L109" s="468"/>
      <c r="M109" s="468"/>
      <c r="N109" s="468"/>
      <c r="O109" s="468"/>
      <c r="P109" s="468"/>
      <c r="Q109" s="468"/>
      <c r="R109" s="468"/>
      <c r="S109" s="468"/>
      <c r="T109" s="468"/>
      <c r="U109" s="468"/>
      <c r="V109" s="468"/>
      <c r="W109" s="468"/>
      <c r="X109" s="468"/>
      <c r="Y109" s="468"/>
      <c r="Z109" s="468"/>
      <c r="AA109" s="468"/>
      <c r="AB109" s="468"/>
      <c r="AC109" s="468"/>
      <c r="AD109" s="468"/>
      <c r="AE109" s="468"/>
      <c r="AF109" s="468"/>
      <c r="AG109" s="468"/>
      <c r="AH109" s="468"/>
      <c r="AI109" s="468"/>
      <c r="AJ109" s="468"/>
      <c r="AK109" s="468"/>
      <c r="AL109" s="468"/>
      <c r="AM109" s="468"/>
      <c r="AN109" s="468"/>
      <c r="AO109" s="468"/>
      <c r="AP109" s="468"/>
      <c r="AQ109" s="468"/>
      <c r="AR109" s="468"/>
      <c r="AS109" s="468"/>
      <c r="AT109" s="468"/>
      <c r="AU109" s="468"/>
      <c r="AV109" s="468"/>
      <c r="AW109" s="468"/>
      <c r="AX109" s="468"/>
      <c r="AY109" s="468"/>
      <c r="AZ109" s="468"/>
      <c r="BA109" s="468"/>
      <c r="BB109" s="468"/>
      <c r="BC109" s="468"/>
      <c r="BD109" s="468"/>
      <c r="BE109" s="468"/>
      <c r="BF109" s="468"/>
      <c r="BG109" s="468"/>
      <c r="BH109" s="468"/>
      <c r="BI109" s="468"/>
      <c r="BJ109" s="468"/>
      <c r="BK109" s="468"/>
      <c r="BL109" s="468"/>
      <c r="BM109" s="468"/>
      <c r="BN109" s="468"/>
      <c r="BO109" s="468"/>
      <c r="BP109" s="468"/>
      <c r="BQ109" s="468"/>
      <c r="BR109" s="468"/>
      <c r="BS109" s="468"/>
      <c r="BT109" s="468"/>
      <c r="BU109" s="468"/>
      <c r="BV109" s="468"/>
      <c r="BW109" s="468"/>
      <c r="BX109" s="468"/>
      <c r="BY109" s="468"/>
      <c r="BZ109" s="468"/>
      <c r="CA109" s="468"/>
      <c r="CB109" s="468"/>
      <c r="CC109" s="468"/>
      <c r="CD109" s="468"/>
      <c r="CE109" s="468"/>
      <c r="CF109" s="468"/>
      <c r="CG109" s="468"/>
      <c r="CH109" s="468"/>
      <c r="CI109" s="468"/>
      <c r="CJ109" s="468"/>
      <c r="CK109" s="468"/>
      <c r="CL109" s="468"/>
      <c r="CM109" s="468"/>
      <c r="CN109" s="468"/>
      <c r="CO109" s="468"/>
      <c r="CP109" s="468"/>
      <c r="CQ109" s="468"/>
      <c r="CR109" s="468"/>
      <c r="CS109" s="468"/>
      <c r="CT109" s="468"/>
      <c r="CU109" s="468"/>
      <c r="CV109" s="468"/>
      <c r="CW109" s="468"/>
      <c r="CX109" s="468"/>
      <c r="CY109" s="468"/>
      <c r="CZ109" s="468"/>
      <c r="DA109" s="468"/>
      <c r="DB109" s="468"/>
      <c r="DC109" s="468"/>
      <c r="DD109" s="468"/>
      <c r="DE109" s="468"/>
      <c r="DF109" s="468"/>
      <c r="DG109" s="468"/>
      <c r="DH109" s="468"/>
      <c r="DI109" s="468"/>
      <c r="DJ109" s="468"/>
      <c r="DK109" s="468"/>
      <c r="DL109" s="468"/>
      <c r="DM109" s="468"/>
      <c r="DN109" s="471"/>
      <c r="DO109" s="468"/>
      <c r="DP109" s="468"/>
      <c r="DQ109" s="468"/>
      <c r="DR109" s="468"/>
      <c r="DS109" s="468"/>
      <c r="DT109" s="468"/>
      <c r="DU109" s="468"/>
      <c r="DV109" s="468"/>
      <c r="DW109" s="468"/>
      <c r="DX109" s="468"/>
      <c r="DY109" s="468"/>
      <c r="DZ109" s="468"/>
      <c r="EA109" s="468"/>
      <c r="EB109" s="468"/>
      <c r="EC109" s="468"/>
      <c r="ED109" s="468"/>
      <c r="EE109" s="468"/>
      <c r="EF109" s="468"/>
      <c r="EG109" s="468"/>
      <c r="EH109" s="468"/>
      <c r="EI109" s="468"/>
      <c r="EJ109" s="468"/>
      <c r="EK109" s="468"/>
      <c r="EL109" s="468"/>
      <c r="EM109" s="468"/>
      <c r="EN109" s="468"/>
      <c r="EO109" s="468"/>
      <c r="EP109" s="468"/>
      <c r="EQ109" s="468"/>
      <c r="ER109" s="468"/>
      <c r="ES109" s="468"/>
      <c r="ET109" s="468"/>
      <c r="EU109" s="468"/>
      <c r="EV109" s="468"/>
      <c r="EW109" s="468"/>
      <c r="EX109" s="468"/>
      <c r="EY109" s="468"/>
      <c r="EZ109" s="468"/>
      <c r="FA109" s="468"/>
      <c r="FB109" s="468"/>
      <c r="FC109" s="468"/>
      <c r="FD109" s="468"/>
      <c r="FE109" s="468"/>
      <c r="FF109" s="468"/>
      <c r="FG109" s="468"/>
      <c r="FH109" s="468"/>
      <c r="FI109" s="468"/>
      <c r="FJ109" s="468"/>
      <c r="FK109" s="468"/>
      <c r="FL109" s="468"/>
      <c r="FM109" s="468"/>
      <c r="FN109" s="468"/>
      <c r="FO109" s="468"/>
      <c r="FP109" s="468"/>
      <c r="FQ109" s="468"/>
      <c r="FR109" s="468"/>
      <c r="FS109" s="468"/>
      <c r="FT109" s="468"/>
      <c r="FU109" s="468"/>
      <c r="FV109" s="468"/>
      <c r="FW109" s="468"/>
      <c r="FX109" s="468"/>
      <c r="FY109" s="468"/>
      <c r="FZ109" s="468"/>
      <c r="GA109" s="468"/>
      <c r="GB109" s="468"/>
      <c r="GC109" s="468"/>
      <c r="GD109" s="468"/>
      <c r="GE109" s="468"/>
      <c r="GF109" s="468"/>
      <c r="GG109" s="468"/>
      <c r="GH109" s="468"/>
      <c r="GI109" s="468"/>
      <c r="GJ109" s="468"/>
      <c r="GK109" s="468"/>
      <c r="GL109" s="468"/>
      <c r="GM109" s="468"/>
      <c r="GN109" s="468"/>
      <c r="GO109" s="468"/>
      <c r="GP109" s="468"/>
      <c r="GQ109" s="468"/>
      <c r="GR109" s="468"/>
      <c r="GS109" s="468"/>
      <c r="GT109" s="468"/>
      <c r="GU109" s="468"/>
      <c r="GV109" s="468"/>
      <c r="GW109" s="468"/>
      <c r="GX109" s="468"/>
      <c r="GY109" s="468"/>
      <c r="GZ109" s="468"/>
      <c r="HA109" s="468"/>
      <c r="HB109" s="468"/>
      <c r="HC109" s="468"/>
      <c r="HD109" s="468"/>
      <c r="HE109" s="468"/>
      <c r="HF109" s="468"/>
      <c r="HG109" s="468"/>
      <c r="HH109" s="468"/>
      <c r="HI109" s="468"/>
      <c r="HJ109" s="468"/>
      <c r="HK109" s="468"/>
      <c r="HL109" s="468"/>
      <c r="HM109" s="468"/>
      <c r="HN109" s="468"/>
      <c r="HO109" s="468"/>
      <c r="HP109" s="468"/>
      <c r="HQ109" s="468"/>
      <c r="HR109" s="468"/>
      <c r="HS109" s="468"/>
      <c r="HT109" s="468"/>
      <c r="HU109" s="468"/>
      <c r="HV109" s="468"/>
      <c r="HW109" s="468"/>
      <c r="HX109" s="468"/>
      <c r="HY109" s="468"/>
      <c r="HZ109" s="468"/>
      <c r="IA109" s="468"/>
      <c r="IB109" s="468"/>
      <c r="IC109" s="468"/>
      <c r="ID109" s="468"/>
      <c r="IE109" s="468"/>
      <c r="IF109" s="468"/>
      <c r="IG109" s="468"/>
      <c r="IH109" s="468"/>
      <c r="II109" s="468"/>
      <c r="IJ109" s="468"/>
      <c r="IK109" s="468"/>
      <c r="IL109" s="468"/>
      <c r="IM109" s="468"/>
      <c r="IN109" s="468"/>
      <c r="IO109" s="468"/>
      <c r="IP109" s="468"/>
      <c r="IQ109" s="468"/>
      <c r="IR109" s="468"/>
      <c r="IS109" s="468"/>
      <c r="IT109" s="468"/>
      <c r="IU109" s="468"/>
      <c r="IV109" s="468"/>
      <c r="IW109" s="468"/>
      <c r="IX109" s="468"/>
      <c r="IY109" s="468"/>
      <c r="IZ109" s="468"/>
      <c r="JA109" s="468"/>
    </row>
    <row r="110" spans="1:261" ht="18.899999999999999" customHeight="1">
      <c r="A110" s="468"/>
      <c r="B110" s="468"/>
      <c r="C110" s="473"/>
      <c r="D110" s="473"/>
      <c r="E110" s="473"/>
      <c r="F110" s="473"/>
      <c r="G110" s="468"/>
      <c r="H110" s="468"/>
      <c r="I110" s="468"/>
      <c r="J110" s="468"/>
      <c r="K110" s="468"/>
      <c r="L110" s="468"/>
      <c r="M110" s="468"/>
      <c r="N110" s="468"/>
      <c r="O110" s="468"/>
      <c r="P110" s="468"/>
      <c r="Q110" s="468"/>
      <c r="R110" s="468"/>
      <c r="S110" s="468"/>
      <c r="T110" s="468"/>
      <c r="U110" s="468"/>
      <c r="V110" s="468"/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8"/>
      <c r="AJ110" s="468"/>
      <c r="AK110" s="468"/>
      <c r="AL110" s="468"/>
      <c r="AM110" s="468"/>
      <c r="AN110" s="468"/>
      <c r="AO110" s="468"/>
      <c r="AP110" s="468"/>
      <c r="AQ110" s="468"/>
      <c r="AR110" s="468"/>
      <c r="AS110" s="468"/>
      <c r="AT110" s="468"/>
      <c r="AU110" s="468"/>
      <c r="AV110" s="468"/>
      <c r="AW110" s="468"/>
      <c r="AX110" s="468"/>
      <c r="AY110" s="468"/>
      <c r="AZ110" s="468"/>
      <c r="BA110" s="468"/>
      <c r="BB110" s="468"/>
      <c r="BC110" s="468"/>
      <c r="BD110" s="468"/>
      <c r="BE110" s="468"/>
      <c r="BF110" s="468"/>
      <c r="BG110" s="468"/>
      <c r="BH110" s="468"/>
      <c r="BI110" s="468"/>
      <c r="BJ110" s="468"/>
      <c r="BK110" s="468"/>
      <c r="BL110" s="468"/>
      <c r="BM110" s="468"/>
      <c r="BN110" s="468"/>
      <c r="BO110" s="468"/>
      <c r="BP110" s="468"/>
      <c r="BQ110" s="468"/>
      <c r="BR110" s="468"/>
      <c r="BS110" s="468"/>
      <c r="BT110" s="468"/>
      <c r="BU110" s="468"/>
      <c r="BV110" s="468"/>
      <c r="BW110" s="468"/>
      <c r="BX110" s="468"/>
      <c r="BY110" s="468"/>
      <c r="BZ110" s="468"/>
      <c r="CA110" s="468"/>
      <c r="CB110" s="468"/>
      <c r="CC110" s="468"/>
      <c r="CD110" s="468"/>
      <c r="CE110" s="468"/>
      <c r="CF110" s="468"/>
      <c r="CG110" s="468"/>
      <c r="CH110" s="468"/>
      <c r="CI110" s="468"/>
      <c r="CJ110" s="468"/>
      <c r="CK110" s="468"/>
      <c r="CL110" s="468"/>
      <c r="CM110" s="468"/>
      <c r="CN110" s="468"/>
      <c r="CO110" s="468"/>
      <c r="CP110" s="468"/>
      <c r="CQ110" s="468"/>
      <c r="CR110" s="468"/>
      <c r="CS110" s="468"/>
      <c r="CT110" s="468"/>
      <c r="CU110" s="468"/>
      <c r="CV110" s="468"/>
      <c r="CW110" s="468"/>
      <c r="CX110" s="468"/>
      <c r="CY110" s="468"/>
      <c r="CZ110" s="468"/>
      <c r="DA110" s="468"/>
      <c r="DB110" s="468"/>
      <c r="DC110" s="468"/>
      <c r="DD110" s="468"/>
      <c r="DE110" s="468"/>
      <c r="DF110" s="468"/>
      <c r="DG110" s="468"/>
      <c r="DH110" s="468"/>
      <c r="DI110" s="468"/>
      <c r="DJ110" s="468"/>
      <c r="DK110" s="468"/>
      <c r="DL110" s="468"/>
      <c r="DM110" s="468"/>
      <c r="DN110" s="471"/>
      <c r="DO110" s="468"/>
      <c r="DP110" s="468"/>
      <c r="DQ110" s="468"/>
      <c r="DR110" s="468"/>
      <c r="DS110" s="468"/>
      <c r="DT110" s="468"/>
      <c r="DU110" s="468"/>
      <c r="DV110" s="468"/>
      <c r="DW110" s="468"/>
      <c r="DX110" s="468"/>
      <c r="DY110" s="468"/>
      <c r="DZ110" s="468"/>
      <c r="EA110" s="468"/>
      <c r="EB110" s="468"/>
      <c r="EC110" s="468"/>
      <c r="ED110" s="468"/>
      <c r="EE110" s="468"/>
      <c r="EF110" s="468"/>
      <c r="EG110" s="468"/>
      <c r="EH110" s="468"/>
      <c r="EI110" s="468"/>
      <c r="EJ110" s="468"/>
      <c r="EK110" s="468"/>
      <c r="EL110" s="468"/>
      <c r="EM110" s="468"/>
      <c r="EN110" s="468"/>
      <c r="EO110" s="468"/>
      <c r="EP110" s="468"/>
      <c r="EQ110" s="468"/>
      <c r="ER110" s="468"/>
      <c r="ES110" s="468"/>
      <c r="ET110" s="468"/>
      <c r="EU110" s="468"/>
      <c r="EV110" s="468"/>
      <c r="EW110" s="468"/>
      <c r="EX110" s="468"/>
      <c r="EY110" s="468"/>
      <c r="EZ110" s="468"/>
      <c r="FA110" s="468"/>
      <c r="FB110" s="468"/>
      <c r="FC110" s="468"/>
      <c r="FD110" s="468"/>
      <c r="FE110" s="468"/>
      <c r="FF110" s="468"/>
      <c r="FG110" s="468"/>
      <c r="FH110" s="468"/>
      <c r="FI110" s="468"/>
      <c r="FJ110" s="468"/>
      <c r="FK110" s="468"/>
      <c r="FL110" s="468"/>
      <c r="FM110" s="468"/>
      <c r="FN110" s="468"/>
      <c r="FO110" s="468"/>
      <c r="FP110" s="468"/>
      <c r="FQ110" s="468"/>
      <c r="FR110" s="468"/>
      <c r="FS110" s="468"/>
      <c r="FT110" s="468"/>
      <c r="FU110" s="468"/>
      <c r="FV110" s="468"/>
      <c r="FW110" s="468"/>
      <c r="FX110" s="468"/>
      <c r="FY110" s="468"/>
      <c r="FZ110" s="468"/>
      <c r="GA110" s="468"/>
      <c r="GB110" s="468"/>
      <c r="GC110" s="468"/>
      <c r="GD110" s="468"/>
      <c r="GE110" s="468"/>
      <c r="GF110" s="468"/>
      <c r="GG110" s="468"/>
      <c r="GH110" s="468"/>
      <c r="GI110" s="468"/>
      <c r="GJ110" s="468"/>
      <c r="GK110" s="468"/>
      <c r="GL110" s="468"/>
      <c r="GM110" s="468"/>
      <c r="GN110" s="468"/>
      <c r="GO110" s="468"/>
      <c r="GP110" s="468"/>
      <c r="GQ110" s="468"/>
      <c r="GR110" s="468"/>
      <c r="GS110" s="468"/>
      <c r="GT110" s="468"/>
      <c r="GU110" s="468"/>
      <c r="GV110" s="468"/>
      <c r="GW110" s="468"/>
      <c r="GX110" s="468"/>
      <c r="GY110" s="468"/>
      <c r="GZ110" s="468"/>
      <c r="HA110" s="468"/>
      <c r="HB110" s="468"/>
      <c r="HC110" s="468"/>
      <c r="HD110" s="468"/>
      <c r="HE110" s="468"/>
      <c r="HF110" s="468"/>
      <c r="HG110" s="468"/>
      <c r="HH110" s="468"/>
      <c r="HI110" s="468"/>
      <c r="HJ110" s="468"/>
      <c r="HK110" s="468"/>
      <c r="HL110" s="468"/>
      <c r="HM110" s="468"/>
      <c r="HN110" s="468"/>
      <c r="HO110" s="468"/>
      <c r="HP110" s="468"/>
      <c r="HQ110" s="468"/>
      <c r="HR110" s="468"/>
      <c r="HS110" s="468"/>
      <c r="HT110" s="468"/>
      <c r="HU110" s="468"/>
      <c r="HV110" s="468"/>
      <c r="HW110" s="468"/>
      <c r="HX110" s="468"/>
      <c r="HY110" s="468"/>
      <c r="HZ110" s="468"/>
      <c r="IA110" s="468"/>
      <c r="IB110" s="468"/>
      <c r="IC110" s="468"/>
      <c r="ID110" s="468"/>
      <c r="IE110" s="468"/>
      <c r="IF110" s="468"/>
      <c r="IG110" s="468"/>
      <c r="IH110" s="468"/>
      <c r="II110" s="468"/>
      <c r="IJ110" s="468"/>
      <c r="IK110" s="468"/>
      <c r="IL110" s="468"/>
      <c r="IM110" s="468"/>
      <c r="IN110" s="468"/>
      <c r="IO110" s="468"/>
      <c r="IP110" s="468"/>
      <c r="IQ110" s="468"/>
      <c r="IR110" s="468"/>
      <c r="IS110" s="468"/>
      <c r="IT110" s="468"/>
      <c r="IU110" s="468"/>
      <c r="IV110" s="468"/>
      <c r="IW110" s="468"/>
      <c r="IX110" s="468"/>
      <c r="IY110" s="468"/>
      <c r="IZ110" s="468"/>
      <c r="JA110" s="468"/>
    </row>
    <row r="111" spans="1:261" ht="18.899999999999999" customHeight="1">
      <c r="A111" s="468"/>
      <c r="B111" s="468"/>
      <c r="C111" s="473"/>
      <c r="D111" s="473"/>
      <c r="E111" s="473"/>
      <c r="F111" s="473"/>
      <c r="G111" s="468"/>
      <c r="H111" s="468"/>
      <c r="I111" s="468"/>
      <c r="J111" s="468"/>
      <c r="K111" s="468"/>
      <c r="L111" s="468"/>
      <c r="M111" s="468"/>
      <c r="N111" s="468"/>
      <c r="O111" s="468"/>
      <c r="P111" s="468"/>
      <c r="Q111" s="468"/>
      <c r="R111" s="468"/>
      <c r="S111" s="468"/>
      <c r="T111" s="468"/>
      <c r="U111" s="468"/>
      <c r="V111" s="468"/>
      <c r="W111" s="468"/>
      <c r="X111" s="468"/>
      <c r="Y111" s="468"/>
      <c r="Z111" s="468"/>
      <c r="AA111" s="468"/>
      <c r="AB111" s="468"/>
      <c r="AC111" s="468"/>
      <c r="AD111" s="468"/>
      <c r="AE111" s="468"/>
      <c r="AF111" s="468"/>
      <c r="AG111" s="468"/>
      <c r="AH111" s="468"/>
      <c r="AI111" s="468"/>
      <c r="AJ111" s="468"/>
      <c r="AK111" s="468"/>
      <c r="AL111" s="468"/>
      <c r="AM111" s="468"/>
      <c r="AN111" s="468"/>
      <c r="AO111" s="468"/>
      <c r="AP111" s="468"/>
      <c r="AQ111" s="468"/>
      <c r="AR111" s="468"/>
      <c r="AS111" s="468"/>
      <c r="AT111" s="468"/>
      <c r="AU111" s="468"/>
      <c r="AV111" s="468"/>
      <c r="AW111" s="468"/>
      <c r="AX111" s="468"/>
      <c r="AY111" s="468"/>
      <c r="AZ111" s="468"/>
      <c r="BA111" s="468"/>
      <c r="BB111" s="468"/>
      <c r="BC111" s="468"/>
      <c r="BD111" s="468"/>
      <c r="BE111" s="468"/>
      <c r="BF111" s="468"/>
      <c r="BG111" s="468"/>
      <c r="BH111" s="468"/>
      <c r="BI111" s="468"/>
      <c r="BJ111" s="468"/>
      <c r="BK111" s="468"/>
      <c r="BL111" s="468"/>
      <c r="BM111" s="468"/>
      <c r="BN111" s="468"/>
      <c r="BO111" s="468"/>
      <c r="BP111" s="468"/>
      <c r="BQ111" s="468"/>
      <c r="BR111" s="468"/>
      <c r="BS111" s="468"/>
      <c r="BT111" s="468"/>
      <c r="BU111" s="468"/>
      <c r="BV111" s="468"/>
      <c r="BW111" s="468"/>
      <c r="BX111" s="468"/>
      <c r="BY111" s="468"/>
      <c r="BZ111" s="468"/>
      <c r="CA111" s="468"/>
      <c r="CB111" s="468"/>
      <c r="CC111" s="468"/>
      <c r="CD111" s="468"/>
      <c r="CE111" s="468"/>
      <c r="CF111" s="468"/>
      <c r="CG111" s="468"/>
      <c r="CH111" s="468"/>
      <c r="CI111" s="468"/>
      <c r="CJ111" s="468"/>
      <c r="CK111" s="468"/>
      <c r="CL111" s="468"/>
      <c r="CM111" s="468"/>
      <c r="CN111" s="468"/>
      <c r="CO111" s="468"/>
      <c r="CP111" s="468"/>
      <c r="CQ111" s="468"/>
      <c r="CR111" s="468"/>
      <c r="CS111" s="468"/>
      <c r="CT111" s="468"/>
      <c r="CU111" s="468"/>
      <c r="CV111" s="468"/>
      <c r="CW111" s="468"/>
      <c r="CX111" s="468"/>
      <c r="CY111" s="468"/>
      <c r="CZ111" s="468"/>
      <c r="DA111" s="468"/>
      <c r="DB111" s="468"/>
      <c r="DC111" s="468"/>
      <c r="DD111" s="468"/>
      <c r="DE111" s="468"/>
      <c r="DF111" s="468"/>
      <c r="DG111" s="468"/>
      <c r="DH111" s="468"/>
      <c r="DI111" s="468"/>
      <c r="DJ111" s="468"/>
      <c r="DK111" s="468"/>
      <c r="DL111" s="468"/>
      <c r="DM111" s="468"/>
      <c r="DN111" s="471"/>
      <c r="DO111" s="468"/>
      <c r="DP111" s="468"/>
      <c r="DQ111" s="468"/>
      <c r="DR111" s="468"/>
      <c r="DS111" s="468"/>
      <c r="DT111" s="468"/>
      <c r="DU111" s="468"/>
      <c r="DV111" s="468"/>
      <c r="DW111" s="468"/>
      <c r="DX111" s="468"/>
      <c r="DY111" s="468"/>
      <c r="DZ111" s="468"/>
      <c r="EA111" s="468"/>
      <c r="EB111" s="468"/>
      <c r="EC111" s="468"/>
      <c r="ED111" s="468"/>
      <c r="EE111" s="468"/>
      <c r="EF111" s="468"/>
      <c r="EG111" s="468"/>
      <c r="EH111" s="468"/>
      <c r="EI111" s="468"/>
      <c r="EJ111" s="468"/>
      <c r="EK111" s="468"/>
      <c r="EL111" s="468"/>
      <c r="EM111" s="468"/>
      <c r="EN111" s="468"/>
      <c r="EO111" s="468"/>
      <c r="EP111" s="468"/>
      <c r="EQ111" s="468"/>
      <c r="ER111" s="468"/>
      <c r="ES111" s="468"/>
      <c r="ET111" s="468"/>
      <c r="EU111" s="468"/>
      <c r="EV111" s="468"/>
      <c r="EW111" s="468"/>
      <c r="EX111" s="468"/>
      <c r="EY111" s="468"/>
      <c r="EZ111" s="468"/>
      <c r="FA111" s="468"/>
      <c r="FB111" s="468"/>
      <c r="FC111" s="468"/>
      <c r="FD111" s="468"/>
      <c r="FE111" s="468"/>
      <c r="FF111" s="468"/>
      <c r="FG111" s="468"/>
      <c r="FH111" s="468"/>
      <c r="FI111" s="468"/>
      <c r="FJ111" s="468"/>
      <c r="FK111" s="468"/>
      <c r="FL111" s="468"/>
      <c r="FM111" s="468"/>
      <c r="FN111" s="468"/>
      <c r="FO111" s="468"/>
      <c r="FP111" s="468"/>
      <c r="FQ111" s="468"/>
      <c r="FR111" s="468"/>
      <c r="FS111" s="468"/>
      <c r="FT111" s="468"/>
      <c r="FU111" s="468"/>
      <c r="FV111" s="468"/>
      <c r="FW111" s="468"/>
      <c r="FX111" s="468"/>
      <c r="FY111" s="468"/>
      <c r="FZ111" s="468"/>
      <c r="GA111" s="468"/>
      <c r="GB111" s="468"/>
      <c r="GC111" s="468"/>
      <c r="GD111" s="468"/>
      <c r="GE111" s="468"/>
      <c r="GF111" s="468"/>
      <c r="GG111" s="468"/>
      <c r="GH111" s="468"/>
      <c r="GI111" s="468"/>
      <c r="GJ111" s="468"/>
      <c r="GK111" s="468"/>
      <c r="GL111" s="468"/>
      <c r="GM111" s="468"/>
      <c r="GN111" s="468"/>
      <c r="GO111" s="468"/>
      <c r="GP111" s="468"/>
      <c r="GQ111" s="468"/>
      <c r="GR111" s="468"/>
      <c r="GS111" s="468"/>
      <c r="GT111" s="468"/>
      <c r="GU111" s="468"/>
      <c r="GV111" s="468"/>
      <c r="GW111" s="468"/>
      <c r="GX111" s="468"/>
      <c r="GY111" s="468"/>
      <c r="GZ111" s="468"/>
      <c r="HA111" s="468"/>
      <c r="HB111" s="468"/>
      <c r="HC111" s="468"/>
      <c r="HD111" s="468"/>
      <c r="HE111" s="468"/>
      <c r="HF111" s="468"/>
      <c r="HG111" s="468"/>
      <c r="HH111" s="468"/>
      <c r="HI111" s="468"/>
      <c r="HJ111" s="468"/>
      <c r="HK111" s="468"/>
      <c r="HL111" s="468"/>
      <c r="HM111" s="468"/>
      <c r="HN111" s="468"/>
      <c r="HO111" s="468"/>
      <c r="HP111" s="468"/>
      <c r="HQ111" s="468"/>
      <c r="HR111" s="468"/>
      <c r="HS111" s="468"/>
      <c r="HT111" s="468"/>
      <c r="HU111" s="468"/>
      <c r="HV111" s="468"/>
      <c r="HW111" s="468"/>
      <c r="HX111" s="468"/>
      <c r="HY111" s="468"/>
      <c r="HZ111" s="468"/>
      <c r="IA111" s="468"/>
      <c r="IB111" s="468"/>
      <c r="IC111" s="468"/>
      <c r="ID111" s="468"/>
      <c r="IE111" s="468"/>
      <c r="IF111" s="468"/>
      <c r="IG111" s="468"/>
      <c r="IH111" s="468"/>
      <c r="II111" s="468"/>
      <c r="IJ111" s="468"/>
      <c r="IK111" s="468"/>
      <c r="IL111" s="468"/>
      <c r="IM111" s="468"/>
      <c r="IN111" s="468"/>
      <c r="IO111" s="468"/>
      <c r="IP111" s="468"/>
      <c r="IQ111" s="468"/>
      <c r="IR111" s="468"/>
      <c r="IS111" s="468"/>
      <c r="IT111" s="468"/>
      <c r="IU111" s="468"/>
      <c r="IV111" s="468"/>
      <c r="IW111" s="468"/>
      <c r="IX111" s="468"/>
      <c r="IY111" s="468"/>
      <c r="IZ111" s="468"/>
      <c r="JA111" s="468"/>
    </row>
    <row r="112" spans="1:261" ht="18.899999999999999" customHeight="1">
      <c r="A112" s="468"/>
      <c r="B112" s="468"/>
      <c r="C112" s="473"/>
      <c r="D112" s="473"/>
      <c r="E112" s="473"/>
      <c r="F112" s="473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8"/>
      <c r="T112" s="468"/>
      <c r="U112" s="468"/>
      <c r="V112" s="468"/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468"/>
      <c r="AJ112" s="468"/>
      <c r="AK112" s="468"/>
      <c r="AL112" s="468"/>
      <c r="AM112" s="468"/>
      <c r="AN112" s="468"/>
      <c r="AO112" s="468"/>
      <c r="AP112" s="468"/>
      <c r="AQ112" s="468"/>
      <c r="AR112" s="468"/>
      <c r="AS112" s="468"/>
      <c r="AT112" s="468"/>
      <c r="AU112" s="468"/>
      <c r="AV112" s="468"/>
      <c r="AW112" s="468"/>
      <c r="AX112" s="468"/>
      <c r="AY112" s="468"/>
      <c r="AZ112" s="468"/>
      <c r="BA112" s="468"/>
      <c r="BB112" s="468"/>
      <c r="BC112" s="468"/>
      <c r="BD112" s="468"/>
      <c r="BE112" s="468"/>
      <c r="BF112" s="468"/>
      <c r="BG112" s="468"/>
      <c r="BH112" s="468"/>
      <c r="BI112" s="468"/>
      <c r="BJ112" s="468"/>
      <c r="BK112" s="468"/>
      <c r="BL112" s="468"/>
      <c r="BM112" s="468"/>
      <c r="BN112" s="468"/>
      <c r="BO112" s="468"/>
      <c r="BP112" s="468"/>
      <c r="BQ112" s="468"/>
      <c r="BR112" s="468"/>
      <c r="BS112" s="468"/>
      <c r="BT112" s="468"/>
      <c r="BU112" s="468"/>
      <c r="BV112" s="468"/>
      <c r="BW112" s="468"/>
      <c r="BX112" s="468"/>
      <c r="BY112" s="468"/>
      <c r="BZ112" s="468"/>
      <c r="CA112" s="468"/>
      <c r="CB112" s="468"/>
      <c r="CC112" s="468"/>
      <c r="CD112" s="468"/>
      <c r="CE112" s="468"/>
      <c r="CF112" s="468"/>
      <c r="CG112" s="468"/>
      <c r="CH112" s="468"/>
      <c r="CI112" s="468"/>
      <c r="CJ112" s="468"/>
      <c r="CK112" s="468"/>
      <c r="CL112" s="468"/>
      <c r="CM112" s="468"/>
      <c r="CN112" s="468"/>
      <c r="CO112" s="468"/>
      <c r="CP112" s="468"/>
      <c r="CQ112" s="468"/>
      <c r="CR112" s="468"/>
      <c r="CS112" s="468"/>
      <c r="CT112" s="468"/>
      <c r="CU112" s="468"/>
      <c r="CV112" s="468"/>
      <c r="CW112" s="468"/>
      <c r="CX112" s="468"/>
      <c r="CY112" s="468"/>
      <c r="CZ112" s="468"/>
      <c r="DA112" s="468"/>
      <c r="DB112" s="468"/>
      <c r="DC112" s="468"/>
      <c r="DD112" s="468"/>
      <c r="DE112" s="468"/>
      <c r="DF112" s="468"/>
      <c r="DG112" s="468"/>
      <c r="DH112" s="468"/>
      <c r="DI112" s="468"/>
      <c r="DJ112" s="468"/>
      <c r="DK112" s="468"/>
      <c r="DL112" s="468"/>
      <c r="DM112" s="468"/>
      <c r="DN112" s="471"/>
      <c r="DO112" s="468"/>
      <c r="DP112" s="468"/>
      <c r="DQ112" s="468"/>
      <c r="DR112" s="468"/>
      <c r="DS112" s="468"/>
      <c r="DT112" s="468"/>
      <c r="DU112" s="468"/>
      <c r="DV112" s="468"/>
      <c r="DW112" s="468"/>
      <c r="DX112" s="468"/>
      <c r="DY112" s="468"/>
      <c r="DZ112" s="468"/>
      <c r="EA112" s="468"/>
      <c r="EB112" s="468"/>
      <c r="EC112" s="468"/>
      <c r="ED112" s="468"/>
      <c r="EE112" s="468"/>
      <c r="EF112" s="468"/>
      <c r="EG112" s="468"/>
      <c r="EH112" s="468"/>
      <c r="EI112" s="468"/>
      <c r="EJ112" s="468"/>
      <c r="EK112" s="468"/>
      <c r="EL112" s="468"/>
      <c r="EM112" s="468"/>
      <c r="EN112" s="468"/>
      <c r="EO112" s="468"/>
      <c r="EP112" s="468"/>
      <c r="EQ112" s="468"/>
      <c r="ER112" s="468"/>
      <c r="ES112" s="468"/>
      <c r="ET112" s="468"/>
      <c r="EU112" s="468"/>
      <c r="EV112" s="468"/>
      <c r="EW112" s="468"/>
      <c r="EX112" s="468"/>
      <c r="EY112" s="468"/>
      <c r="EZ112" s="468"/>
      <c r="FA112" s="468"/>
      <c r="FB112" s="468"/>
      <c r="FC112" s="468"/>
      <c r="FD112" s="468"/>
      <c r="FE112" s="468"/>
      <c r="FF112" s="468"/>
      <c r="FG112" s="468"/>
      <c r="FH112" s="468"/>
      <c r="FI112" s="468"/>
      <c r="FJ112" s="468"/>
      <c r="FK112" s="468"/>
      <c r="FL112" s="468"/>
      <c r="FM112" s="468"/>
      <c r="FN112" s="468"/>
      <c r="FO112" s="468"/>
      <c r="FP112" s="468"/>
      <c r="FQ112" s="468"/>
      <c r="FR112" s="468"/>
      <c r="FS112" s="468"/>
      <c r="FT112" s="468"/>
      <c r="FU112" s="468"/>
      <c r="FV112" s="468"/>
      <c r="FW112" s="468"/>
      <c r="FX112" s="468"/>
      <c r="FY112" s="468"/>
      <c r="FZ112" s="468"/>
      <c r="GA112" s="468"/>
      <c r="GB112" s="468"/>
      <c r="GC112" s="468"/>
      <c r="GD112" s="468"/>
      <c r="GE112" s="468"/>
      <c r="GF112" s="468"/>
      <c r="GG112" s="468"/>
      <c r="GH112" s="468"/>
      <c r="GI112" s="468"/>
      <c r="GJ112" s="468"/>
      <c r="GK112" s="468"/>
      <c r="GL112" s="468"/>
      <c r="GM112" s="468"/>
      <c r="GN112" s="468"/>
      <c r="GO112" s="468"/>
      <c r="GP112" s="468"/>
      <c r="GQ112" s="468"/>
      <c r="GR112" s="468"/>
      <c r="GS112" s="468"/>
      <c r="GT112" s="468"/>
      <c r="GU112" s="468"/>
      <c r="GV112" s="468"/>
      <c r="GW112" s="468"/>
      <c r="GX112" s="468"/>
      <c r="GY112" s="468"/>
      <c r="GZ112" s="468"/>
      <c r="HA112" s="468"/>
      <c r="HB112" s="468"/>
      <c r="HC112" s="468"/>
      <c r="HD112" s="468"/>
      <c r="HE112" s="468"/>
      <c r="HF112" s="468"/>
      <c r="HG112" s="468"/>
      <c r="HH112" s="468"/>
      <c r="HI112" s="468"/>
      <c r="HJ112" s="468"/>
      <c r="HK112" s="468"/>
      <c r="HL112" s="468"/>
      <c r="HM112" s="468"/>
      <c r="HN112" s="468"/>
      <c r="HO112" s="468"/>
      <c r="HP112" s="468"/>
      <c r="HQ112" s="468"/>
      <c r="HR112" s="468"/>
      <c r="HS112" s="468"/>
      <c r="HT112" s="468"/>
      <c r="HU112" s="468"/>
      <c r="HV112" s="468"/>
      <c r="HW112" s="468"/>
      <c r="HX112" s="468"/>
      <c r="HY112" s="468"/>
      <c r="HZ112" s="468"/>
      <c r="IA112" s="468"/>
      <c r="IB112" s="468"/>
      <c r="IC112" s="468"/>
      <c r="ID112" s="468"/>
      <c r="IE112" s="468"/>
      <c r="IF112" s="468"/>
      <c r="IG112" s="468"/>
      <c r="IH112" s="468"/>
      <c r="II112" s="468"/>
      <c r="IJ112" s="468"/>
      <c r="IK112" s="468"/>
      <c r="IL112" s="468"/>
      <c r="IM112" s="468"/>
      <c r="IN112" s="468"/>
      <c r="IO112" s="468"/>
      <c r="IP112" s="468"/>
      <c r="IQ112" s="468"/>
      <c r="IR112" s="468"/>
      <c r="IS112" s="468"/>
      <c r="IT112" s="468"/>
      <c r="IU112" s="468"/>
      <c r="IV112" s="468"/>
      <c r="IW112" s="468"/>
      <c r="IX112" s="468"/>
      <c r="IY112" s="468"/>
      <c r="IZ112" s="468"/>
      <c r="JA112" s="468"/>
    </row>
    <row r="113" spans="1:261" ht="18.899999999999999" customHeight="1">
      <c r="A113" s="468"/>
      <c r="B113" s="468"/>
      <c r="C113" s="473"/>
      <c r="D113" s="473"/>
      <c r="E113" s="473"/>
      <c r="F113" s="473"/>
      <c r="G113" s="468"/>
      <c r="H113" s="468"/>
      <c r="I113" s="468"/>
      <c r="J113" s="468"/>
      <c r="K113" s="468"/>
      <c r="L113" s="468"/>
      <c r="M113" s="468"/>
      <c r="N113" s="468"/>
      <c r="O113" s="468"/>
      <c r="P113" s="468"/>
      <c r="Q113" s="468"/>
      <c r="R113" s="468"/>
      <c r="S113" s="468"/>
      <c r="T113" s="468"/>
      <c r="U113" s="468"/>
      <c r="V113" s="468"/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468"/>
      <c r="AI113" s="468"/>
      <c r="AJ113" s="468"/>
      <c r="AK113" s="468"/>
      <c r="AL113" s="468"/>
      <c r="AM113" s="468"/>
      <c r="AN113" s="468"/>
      <c r="AO113" s="468"/>
      <c r="AP113" s="468"/>
      <c r="AQ113" s="468"/>
      <c r="AR113" s="468"/>
      <c r="AS113" s="468"/>
      <c r="AT113" s="468"/>
      <c r="AU113" s="468"/>
      <c r="AV113" s="468"/>
      <c r="AW113" s="468"/>
      <c r="AX113" s="468"/>
      <c r="AY113" s="468"/>
      <c r="AZ113" s="468"/>
      <c r="BA113" s="468"/>
      <c r="BB113" s="468"/>
      <c r="BC113" s="468"/>
      <c r="BD113" s="468"/>
      <c r="BE113" s="468"/>
      <c r="BF113" s="468"/>
      <c r="BG113" s="468"/>
      <c r="BH113" s="468"/>
      <c r="BI113" s="468"/>
      <c r="BJ113" s="468"/>
      <c r="BK113" s="468"/>
      <c r="BL113" s="468"/>
      <c r="BM113" s="468"/>
      <c r="BN113" s="468"/>
      <c r="BO113" s="468"/>
      <c r="BP113" s="468"/>
      <c r="BQ113" s="468"/>
      <c r="BR113" s="468"/>
      <c r="BS113" s="468"/>
      <c r="BT113" s="468"/>
      <c r="BU113" s="468"/>
      <c r="BV113" s="468"/>
      <c r="BW113" s="468"/>
      <c r="BX113" s="468"/>
      <c r="BY113" s="468"/>
      <c r="BZ113" s="468"/>
      <c r="CA113" s="468"/>
      <c r="CB113" s="468"/>
      <c r="CC113" s="468"/>
      <c r="CD113" s="468"/>
      <c r="CE113" s="468"/>
      <c r="CF113" s="468"/>
      <c r="CG113" s="468"/>
      <c r="CH113" s="468"/>
      <c r="CI113" s="468"/>
      <c r="CJ113" s="468"/>
      <c r="CK113" s="468"/>
      <c r="CL113" s="468"/>
      <c r="CM113" s="468"/>
      <c r="CN113" s="468"/>
      <c r="CO113" s="468"/>
      <c r="CP113" s="468"/>
      <c r="CQ113" s="468"/>
      <c r="CR113" s="468"/>
      <c r="CS113" s="468"/>
      <c r="CT113" s="468"/>
      <c r="CU113" s="468"/>
      <c r="CV113" s="468"/>
      <c r="CW113" s="468"/>
      <c r="CX113" s="468"/>
      <c r="CY113" s="468"/>
      <c r="CZ113" s="468"/>
      <c r="DA113" s="468"/>
      <c r="DB113" s="468"/>
      <c r="DC113" s="468"/>
      <c r="DD113" s="468"/>
      <c r="DE113" s="468"/>
      <c r="DF113" s="468"/>
      <c r="DG113" s="468"/>
      <c r="DH113" s="468"/>
      <c r="DI113" s="468"/>
      <c r="DJ113" s="468"/>
      <c r="DK113" s="468"/>
      <c r="DL113" s="468"/>
      <c r="DM113" s="468"/>
      <c r="DN113" s="471"/>
      <c r="DO113" s="468"/>
      <c r="DP113" s="468"/>
      <c r="DQ113" s="468"/>
      <c r="DR113" s="468"/>
      <c r="DS113" s="468"/>
      <c r="DT113" s="468"/>
      <c r="DU113" s="468"/>
      <c r="DV113" s="468"/>
      <c r="DW113" s="468"/>
      <c r="DX113" s="468"/>
      <c r="DY113" s="468"/>
      <c r="DZ113" s="468"/>
      <c r="EA113" s="468"/>
      <c r="EB113" s="468"/>
      <c r="EC113" s="468"/>
      <c r="ED113" s="468"/>
      <c r="EE113" s="468"/>
      <c r="EF113" s="468"/>
      <c r="EG113" s="468"/>
      <c r="EH113" s="468"/>
      <c r="EI113" s="468"/>
      <c r="EJ113" s="468"/>
      <c r="EK113" s="468"/>
      <c r="EL113" s="468"/>
      <c r="EM113" s="468"/>
      <c r="EN113" s="468"/>
      <c r="EO113" s="468"/>
      <c r="EP113" s="468"/>
      <c r="EQ113" s="468"/>
      <c r="ER113" s="468"/>
      <c r="ES113" s="468"/>
      <c r="ET113" s="468"/>
      <c r="EU113" s="468"/>
      <c r="EV113" s="468"/>
      <c r="EW113" s="468"/>
      <c r="EX113" s="468"/>
      <c r="EY113" s="468"/>
      <c r="EZ113" s="468"/>
      <c r="FA113" s="468"/>
      <c r="FB113" s="468"/>
      <c r="FC113" s="468"/>
      <c r="FD113" s="468"/>
      <c r="FE113" s="468"/>
      <c r="FF113" s="468"/>
      <c r="FG113" s="468"/>
      <c r="FH113" s="468"/>
      <c r="FI113" s="468"/>
      <c r="FJ113" s="468"/>
      <c r="FK113" s="468"/>
      <c r="FL113" s="468"/>
      <c r="FM113" s="468"/>
      <c r="FN113" s="468"/>
      <c r="FO113" s="468"/>
      <c r="FP113" s="468"/>
      <c r="FQ113" s="468"/>
      <c r="FR113" s="468"/>
      <c r="FS113" s="468"/>
      <c r="FT113" s="468"/>
      <c r="FU113" s="468"/>
      <c r="FV113" s="468"/>
      <c r="FW113" s="468"/>
      <c r="FX113" s="468"/>
      <c r="FY113" s="468"/>
      <c r="FZ113" s="468"/>
      <c r="GA113" s="468"/>
      <c r="GB113" s="468"/>
      <c r="GC113" s="468"/>
      <c r="GD113" s="468"/>
      <c r="GE113" s="468"/>
      <c r="GF113" s="468"/>
      <c r="GG113" s="468"/>
      <c r="GH113" s="468"/>
      <c r="GI113" s="468"/>
      <c r="GJ113" s="468"/>
      <c r="GK113" s="468"/>
      <c r="GL113" s="468"/>
      <c r="GM113" s="468"/>
      <c r="GN113" s="468"/>
      <c r="GO113" s="468"/>
      <c r="GP113" s="468"/>
      <c r="GQ113" s="468"/>
      <c r="GR113" s="468"/>
      <c r="GS113" s="468"/>
      <c r="GT113" s="468"/>
      <c r="GU113" s="468"/>
      <c r="GV113" s="468"/>
      <c r="GW113" s="468"/>
      <c r="GX113" s="468"/>
      <c r="GY113" s="468"/>
      <c r="GZ113" s="468"/>
      <c r="HA113" s="468"/>
      <c r="HB113" s="468"/>
      <c r="HC113" s="468"/>
      <c r="HD113" s="468"/>
      <c r="HE113" s="468"/>
      <c r="HF113" s="468"/>
      <c r="HG113" s="468"/>
      <c r="HH113" s="468"/>
      <c r="HI113" s="468"/>
      <c r="HJ113" s="468"/>
      <c r="HK113" s="468"/>
      <c r="HL113" s="468"/>
      <c r="HM113" s="468"/>
      <c r="HN113" s="468"/>
      <c r="HO113" s="468"/>
      <c r="HP113" s="468"/>
      <c r="HQ113" s="468"/>
      <c r="HR113" s="468"/>
      <c r="HS113" s="468"/>
      <c r="HT113" s="468"/>
      <c r="HU113" s="468"/>
      <c r="HV113" s="468"/>
      <c r="HW113" s="468"/>
      <c r="HX113" s="468"/>
      <c r="HY113" s="468"/>
      <c r="HZ113" s="468"/>
      <c r="IA113" s="468"/>
      <c r="IB113" s="468"/>
      <c r="IC113" s="468"/>
      <c r="ID113" s="468"/>
      <c r="IE113" s="468"/>
      <c r="IF113" s="468"/>
      <c r="IG113" s="468"/>
      <c r="IH113" s="468"/>
      <c r="II113" s="468"/>
      <c r="IJ113" s="468"/>
      <c r="IK113" s="468"/>
      <c r="IL113" s="468"/>
      <c r="IM113" s="468"/>
      <c r="IN113" s="468"/>
      <c r="IO113" s="468"/>
      <c r="IP113" s="468"/>
      <c r="IQ113" s="468"/>
      <c r="IR113" s="468"/>
      <c r="IS113" s="468"/>
      <c r="IT113" s="468"/>
      <c r="IU113" s="468"/>
      <c r="IV113" s="468"/>
      <c r="IW113" s="468"/>
      <c r="IX113" s="468"/>
      <c r="IY113" s="468"/>
      <c r="IZ113" s="468"/>
      <c r="JA113" s="468"/>
    </row>
    <row r="114" spans="1:261" ht="18.899999999999999" customHeight="1">
      <c r="A114" s="468"/>
      <c r="B114" s="468"/>
      <c r="C114" s="473"/>
      <c r="D114" s="473"/>
      <c r="E114" s="473"/>
      <c r="F114" s="473"/>
      <c r="G114" s="468"/>
      <c r="H114" s="468"/>
      <c r="I114" s="468"/>
      <c r="J114" s="468"/>
      <c r="K114" s="468"/>
      <c r="L114" s="468"/>
      <c r="M114" s="468"/>
      <c r="N114" s="468"/>
      <c r="O114" s="468"/>
      <c r="P114" s="468"/>
      <c r="Q114" s="468"/>
      <c r="R114" s="468"/>
      <c r="S114" s="468"/>
      <c r="T114" s="468"/>
      <c r="U114" s="468"/>
      <c r="V114" s="468"/>
      <c r="W114" s="468"/>
      <c r="X114" s="468"/>
      <c r="Y114" s="468"/>
      <c r="Z114" s="468"/>
      <c r="AA114" s="468"/>
      <c r="AB114" s="468"/>
      <c r="AC114" s="468"/>
      <c r="AD114" s="468"/>
      <c r="AE114" s="468"/>
      <c r="AF114" s="468"/>
      <c r="AG114" s="468"/>
      <c r="AH114" s="468"/>
      <c r="AI114" s="468"/>
      <c r="AJ114" s="468"/>
      <c r="AK114" s="468"/>
      <c r="AL114" s="468"/>
      <c r="AM114" s="468"/>
      <c r="AN114" s="468"/>
      <c r="AO114" s="468"/>
      <c r="AP114" s="468"/>
      <c r="AQ114" s="468"/>
      <c r="AR114" s="468"/>
      <c r="AS114" s="468"/>
      <c r="AT114" s="468"/>
      <c r="AU114" s="468"/>
      <c r="AV114" s="468"/>
      <c r="AW114" s="468"/>
      <c r="AX114" s="468"/>
      <c r="AY114" s="468"/>
      <c r="AZ114" s="468"/>
      <c r="BA114" s="468"/>
      <c r="BB114" s="468"/>
      <c r="BC114" s="468"/>
      <c r="BD114" s="468"/>
      <c r="BE114" s="468"/>
      <c r="BF114" s="468"/>
      <c r="BG114" s="468"/>
      <c r="BH114" s="468"/>
      <c r="BI114" s="468"/>
      <c r="BJ114" s="468"/>
      <c r="BK114" s="468"/>
      <c r="BL114" s="468"/>
      <c r="BM114" s="468"/>
      <c r="BN114" s="468"/>
      <c r="BO114" s="468"/>
      <c r="BP114" s="468"/>
      <c r="BQ114" s="468"/>
      <c r="BR114" s="468"/>
      <c r="BS114" s="468"/>
      <c r="BT114" s="468"/>
      <c r="BU114" s="468"/>
      <c r="BV114" s="468"/>
      <c r="BW114" s="468"/>
      <c r="BX114" s="468"/>
      <c r="BY114" s="468"/>
      <c r="BZ114" s="468"/>
      <c r="CA114" s="468"/>
      <c r="CB114" s="468"/>
      <c r="CC114" s="468"/>
      <c r="CD114" s="468"/>
      <c r="CE114" s="468"/>
      <c r="CF114" s="468"/>
      <c r="CG114" s="468"/>
      <c r="CH114" s="468"/>
      <c r="CI114" s="468"/>
      <c r="CJ114" s="468"/>
      <c r="CK114" s="468"/>
      <c r="CL114" s="468"/>
      <c r="CM114" s="468"/>
      <c r="CN114" s="468"/>
      <c r="CO114" s="468"/>
      <c r="CP114" s="468"/>
      <c r="CQ114" s="468"/>
      <c r="CR114" s="468"/>
      <c r="CS114" s="468"/>
      <c r="CT114" s="468"/>
      <c r="CU114" s="468"/>
      <c r="CV114" s="468"/>
      <c r="CW114" s="468"/>
      <c r="CX114" s="468"/>
      <c r="CY114" s="468"/>
      <c r="CZ114" s="468"/>
      <c r="DA114" s="468"/>
      <c r="DB114" s="468"/>
      <c r="DC114" s="468"/>
      <c r="DD114" s="468"/>
      <c r="DE114" s="468"/>
      <c r="DF114" s="468"/>
      <c r="DG114" s="468"/>
      <c r="DH114" s="468"/>
      <c r="DI114" s="468"/>
      <c r="DJ114" s="468"/>
      <c r="DK114" s="468"/>
      <c r="DL114" s="468"/>
      <c r="DM114" s="468"/>
      <c r="DN114" s="471"/>
      <c r="DO114" s="468"/>
      <c r="DP114" s="468"/>
      <c r="DQ114" s="468"/>
      <c r="DR114" s="468"/>
      <c r="DS114" s="468"/>
      <c r="DT114" s="468"/>
      <c r="DU114" s="468"/>
      <c r="DV114" s="468"/>
      <c r="DW114" s="468"/>
      <c r="DX114" s="468"/>
      <c r="DY114" s="468"/>
      <c r="DZ114" s="468"/>
      <c r="EA114" s="468"/>
      <c r="EB114" s="468"/>
      <c r="EC114" s="468"/>
      <c r="ED114" s="468"/>
      <c r="EE114" s="468"/>
      <c r="EF114" s="468"/>
      <c r="EG114" s="468"/>
      <c r="EH114" s="468"/>
      <c r="EI114" s="468"/>
      <c r="EJ114" s="468"/>
      <c r="EK114" s="468"/>
      <c r="EL114" s="468"/>
      <c r="EM114" s="468"/>
      <c r="EN114" s="468"/>
      <c r="EO114" s="468"/>
      <c r="EP114" s="468"/>
      <c r="EQ114" s="468"/>
      <c r="ER114" s="468"/>
      <c r="ES114" s="468"/>
      <c r="ET114" s="468"/>
      <c r="EU114" s="468"/>
      <c r="EV114" s="468"/>
      <c r="EW114" s="468"/>
      <c r="EX114" s="468"/>
      <c r="EY114" s="468"/>
      <c r="EZ114" s="468"/>
      <c r="FA114" s="468"/>
      <c r="FB114" s="468"/>
      <c r="FC114" s="468"/>
      <c r="FD114" s="468"/>
      <c r="FE114" s="468"/>
      <c r="FF114" s="468"/>
      <c r="FG114" s="468"/>
      <c r="FH114" s="468"/>
      <c r="FI114" s="468"/>
      <c r="FJ114" s="468"/>
      <c r="FK114" s="468"/>
      <c r="FL114" s="468"/>
      <c r="FM114" s="468"/>
      <c r="FN114" s="468"/>
      <c r="FO114" s="468"/>
      <c r="FP114" s="468"/>
      <c r="FQ114" s="468"/>
      <c r="FR114" s="468"/>
      <c r="FS114" s="468"/>
      <c r="FT114" s="468"/>
      <c r="FU114" s="468"/>
      <c r="FV114" s="468"/>
      <c r="FW114" s="468"/>
      <c r="FX114" s="468"/>
      <c r="FY114" s="468"/>
      <c r="FZ114" s="468"/>
      <c r="GA114" s="468"/>
      <c r="GB114" s="468"/>
      <c r="GC114" s="468"/>
      <c r="GD114" s="468"/>
      <c r="GE114" s="468"/>
      <c r="GF114" s="468"/>
      <c r="GG114" s="468"/>
      <c r="GH114" s="468"/>
      <c r="GI114" s="468"/>
      <c r="GJ114" s="468"/>
      <c r="GK114" s="468"/>
      <c r="GL114" s="468"/>
      <c r="GM114" s="468"/>
      <c r="GN114" s="468"/>
      <c r="GO114" s="468"/>
      <c r="GP114" s="468"/>
      <c r="GQ114" s="468"/>
      <c r="GR114" s="468"/>
      <c r="GS114" s="468"/>
      <c r="GT114" s="468"/>
      <c r="GU114" s="468"/>
      <c r="GV114" s="468"/>
      <c r="GW114" s="468"/>
      <c r="GX114" s="468"/>
      <c r="GY114" s="468"/>
      <c r="GZ114" s="468"/>
      <c r="HA114" s="468"/>
      <c r="HB114" s="468"/>
      <c r="HC114" s="468"/>
      <c r="HD114" s="468"/>
      <c r="HE114" s="468"/>
      <c r="HF114" s="468"/>
      <c r="HG114" s="468"/>
      <c r="HH114" s="468"/>
      <c r="HI114" s="468"/>
      <c r="HJ114" s="468"/>
      <c r="HK114" s="468"/>
      <c r="HL114" s="468"/>
      <c r="HM114" s="468"/>
      <c r="HN114" s="468"/>
      <c r="HO114" s="468"/>
      <c r="HP114" s="468"/>
      <c r="HQ114" s="468"/>
      <c r="HR114" s="468"/>
      <c r="HS114" s="468"/>
      <c r="HT114" s="468"/>
      <c r="HU114" s="468"/>
      <c r="HV114" s="468"/>
      <c r="HW114" s="468"/>
      <c r="HX114" s="468"/>
      <c r="HY114" s="468"/>
      <c r="HZ114" s="468"/>
      <c r="IA114" s="468"/>
      <c r="IB114" s="468"/>
      <c r="IC114" s="468"/>
      <c r="ID114" s="468"/>
      <c r="IE114" s="468"/>
      <c r="IF114" s="468"/>
      <c r="IG114" s="468"/>
      <c r="IH114" s="468"/>
      <c r="II114" s="468"/>
      <c r="IJ114" s="468"/>
      <c r="IK114" s="468"/>
      <c r="IL114" s="468"/>
      <c r="IM114" s="468"/>
      <c r="IN114" s="468"/>
      <c r="IO114" s="468"/>
      <c r="IP114" s="468"/>
      <c r="IQ114" s="468"/>
      <c r="IR114" s="468"/>
      <c r="IS114" s="468"/>
      <c r="IT114" s="468"/>
      <c r="IU114" s="468"/>
      <c r="IV114" s="468"/>
      <c r="IW114" s="468"/>
      <c r="IX114" s="468"/>
      <c r="IY114" s="468"/>
      <c r="IZ114" s="468"/>
      <c r="JA114" s="468"/>
    </row>
    <row r="115" spans="1:261" ht="18.899999999999999" customHeight="1">
      <c r="A115" s="468"/>
      <c r="B115" s="468"/>
      <c r="C115" s="473"/>
      <c r="D115" s="473"/>
      <c r="E115" s="473"/>
      <c r="F115" s="473"/>
      <c r="G115" s="468"/>
      <c r="H115" s="468"/>
      <c r="I115" s="468"/>
      <c r="J115" s="468"/>
      <c r="K115" s="468"/>
      <c r="L115" s="468"/>
      <c r="M115" s="468"/>
      <c r="N115" s="468"/>
      <c r="O115" s="468"/>
      <c r="P115" s="468"/>
      <c r="Q115" s="468"/>
      <c r="R115" s="468"/>
      <c r="S115" s="468"/>
      <c r="T115" s="468"/>
      <c r="U115" s="468"/>
      <c r="V115" s="468"/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68"/>
      <c r="AM115" s="468"/>
      <c r="AN115" s="468"/>
      <c r="AO115" s="468"/>
      <c r="AP115" s="468"/>
      <c r="AQ115" s="468"/>
      <c r="AR115" s="468"/>
      <c r="AS115" s="468"/>
      <c r="AT115" s="468"/>
      <c r="AU115" s="468"/>
      <c r="AV115" s="468"/>
      <c r="AW115" s="468"/>
      <c r="AX115" s="468"/>
      <c r="AY115" s="468"/>
      <c r="AZ115" s="468"/>
      <c r="BA115" s="468"/>
      <c r="BB115" s="468"/>
      <c r="BC115" s="468"/>
      <c r="BD115" s="468"/>
      <c r="BE115" s="468"/>
      <c r="BF115" s="468"/>
      <c r="BG115" s="468"/>
      <c r="BH115" s="468"/>
      <c r="BI115" s="468"/>
      <c r="BJ115" s="468"/>
      <c r="BK115" s="468"/>
      <c r="BL115" s="468"/>
      <c r="BM115" s="468"/>
      <c r="BN115" s="468"/>
      <c r="BO115" s="468"/>
      <c r="BP115" s="468"/>
      <c r="BQ115" s="468"/>
      <c r="BR115" s="468"/>
      <c r="BS115" s="468"/>
      <c r="BT115" s="468"/>
      <c r="BU115" s="468"/>
      <c r="BV115" s="468"/>
      <c r="BW115" s="468"/>
      <c r="BX115" s="468"/>
      <c r="BY115" s="468"/>
      <c r="BZ115" s="468"/>
      <c r="CA115" s="468"/>
      <c r="CB115" s="468"/>
      <c r="CC115" s="468"/>
      <c r="CD115" s="468"/>
      <c r="CE115" s="468"/>
      <c r="CF115" s="468"/>
      <c r="CG115" s="468"/>
      <c r="CH115" s="468"/>
      <c r="CI115" s="468"/>
      <c r="CJ115" s="468"/>
      <c r="CK115" s="468"/>
      <c r="CL115" s="468"/>
      <c r="CM115" s="468"/>
      <c r="CN115" s="468"/>
      <c r="CO115" s="468"/>
      <c r="CP115" s="468"/>
      <c r="CQ115" s="468"/>
      <c r="CR115" s="468"/>
      <c r="CS115" s="468"/>
      <c r="CT115" s="468"/>
      <c r="CU115" s="468"/>
      <c r="CV115" s="468"/>
      <c r="CW115" s="468"/>
      <c r="CX115" s="468"/>
      <c r="CY115" s="468"/>
      <c r="CZ115" s="468"/>
      <c r="DA115" s="468"/>
      <c r="DB115" s="468"/>
      <c r="DC115" s="468"/>
      <c r="DD115" s="468"/>
      <c r="DE115" s="468"/>
      <c r="DF115" s="468"/>
      <c r="DG115" s="468"/>
      <c r="DH115" s="468"/>
      <c r="DI115" s="468"/>
      <c r="DJ115" s="468"/>
      <c r="DK115" s="468"/>
      <c r="DL115" s="468"/>
      <c r="DM115" s="468"/>
      <c r="DN115" s="471"/>
      <c r="DO115" s="468"/>
      <c r="DP115" s="468"/>
      <c r="DQ115" s="468"/>
      <c r="DR115" s="468"/>
      <c r="DS115" s="468"/>
      <c r="DT115" s="468"/>
      <c r="DU115" s="468"/>
      <c r="DV115" s="468"/>
      <c r="DW115" s="468"/>
      <c r="DX115" s="468"/>
      <c r="DY115" s="468"/>
      <c r="DZ115" s="468"/>
      <c r="EA115" s="468"/>
      <c r="EB115" s="468"/>
      <c r="EC115" s="468"/>
      <c r="ED115" s="468"/>
      <c r="EE115" s="468"/>
      <c r="EF115" s="468"/>
      <c r="EG115" s="468"/>
      <c r="EH115" s="468"/>
      <c r="EI115" s="468"/>
      <c r="EJ115" s="468"/>
      <c r="EK115" s="468"/>
      <c r="EL115" s="468"/>
      <c r="EM115" s="468"/>
      <c r="EN115" s="468"/>
      <c r="EO115" s="468"/>
      <c r="EP115" s="468"/>
      <c r="EQ115" s="468"/>
      <c r="ER115" s="468"/>
      <c r="ES115" s="468"/>
      <c r="ET115" s="468"/>
      <c r="EU115" s="468"/>
      <c r="EV115" s="468"/>
      <c r="EW115" s="468"/>
      <c r="EX115" s="468"/>
      <c r="EY115" s="468"/>
      <c r="EZ115" s="468"/>
      <c r="FA115" s="468"/>
      <c r="FB115" s="468"/>
      <c r="FC115" s="468"/>
      <c r="FD115" s="468"/>
      <c r="FE115" s="468"/>
      <c r="FF115" s="468"/>
      <c r="FG115" s="468"/>
      <c r="FH115" s="468"/>
      <c r="FI115" s="468"/>
      <c r="FJ115" s="468"/>
      <c r="FK115" s="468"/>
      <c r="FL115" s="468"/>
      <c r="FM115" s="468"/>
      <c r="FN115" s="468"/>
      <c r="FO115" s="468"/>
      <c r="FP115" s="468"/>
      <c r="FQ115" s="468"/>
      <c r="FR115" s="468"/>
      <c r="FS115" s="468"/>
      <c r="FT115" s="468"/>
      <c r="FU115" s="468"/>
      <c r="FV115" s="468"/>
      <c r="FW115" s="468"/>
      <c r="FX115" s="468"/>
      <c r="FY115" s="468"/>
      <c r="FZ115" s="468"/>
      <c r="GA115" s="468"/>
      <c r="GB115" s="468"/>
      <c r="GC115" s="468"/>
      <c r="GD115" s="468"/>
      <c r="GE115" s="468"/>
      <c r="GF115" s="468"/>
      <c r="GG115" s="468"/>
      <c r="GH115" s="468"/>
      <c r="GI115" s="468"/>
      <c r="GJ115" s="468"/>
      <c r="GK115" s="468"/>
      <c r="GL115" s="468"/>
      <c r="GM115" s="468"/>
      <c r="GN115" s="468"/>
      <c r="GO115" s="468"/>
      <c r="GP115" s="468"/>
      <c r="GQ115" s="468"/>
      <c r="GR115" s="468"/>
      <c r="GS115" s="468"/>
      <c r="GT115" s="468"/>
      <c r="GU115" s="468"/>
      <c r="GV115" s="468"/>
      <c r="GW115" s="468"/>
      <c r="GX115" s="468"/>
      <c r="GY115" s="468"/>
      <c r="GZ115" s="468"/>
      <c r="HA115" s="468"/>
      <c r="HB115" s="468"/>
      <c r="HC115" s="468"/>
      <c r="HD115" s="468"/>
      <c r="HE115" s="468"/>
      <c r="HF115" s="468"/>
      <c r="HG115" s="468"/>
      <c r="HH115" s="468"/>
      <c r="HI115" s="468"/>
      <c r="HJ115" s="468"/>
      <c r="HK115" s="468"/>
      <c r="HL115" s="468"/>
      <c r="HM115" s="468"/>
      <c r="HN115" s="468"/>
      <c r="HO115" s="468"/>
      <c r="HP115" s="468"/>
      <c r="HQ115" s="468"/>
      <c r="HR115" s="468"/>
      <c r="HS115" s="468"/>
      <c r="HT115" s="468"/>
      <c r="HU115" s="468"/>
      <c r="HV115" s="468"/>
      <c r="HW115" s="468"/>
      <c r="HX115" s="468"/>
      <c r="HY115" s="468"/>
      <c r="HZ115" s="468"/>
      <c r="IA115" s="468"/>
      <c r="IB115" s="468"/>
      <c r="IC115" s="468"/>
      <c r="ID115" s="468"/>
      <c r="IE115" s="468"/>
      <c r="IF115" s="468"/>
      <c r="IG115" s="468"/>
      <c r="IH115" s="468"/>
      <c r="II115" s="468"/>
      <c r="IJ115" s="468"/>
      <c r="IK115" s="468"/>
      <c r="IL115" s="468"/>
      <c r="IM115" s="468"/>
      <c r="IN115" s="468"/>
      <c r="IO115" s="468"/>
      <c r="IP115" s="468"/>
      <c r="IQ115" s="468"/>
      <c r="IR115" s="468"/>
      <c r="IS115" s="468"/>
      <c r="IT115" s="468"/>
      <c r="IU115" s="468"/>
      <c r="IV115" s="468"/>
      <c r="IW115" s="468"/>
      <c r="IX115" s="468"/>
      <c r="IY115" s="468"/>
      <c r="IZ115" s="468"/>
      <c r="JA115" s="468"/>
    </row>
    <row r="116" spans="1:261" ht="18.899999999999999" customHeight="1">
      <c r="A116" s="468"/>
      <c r="B116" s="468"/>
      <c r="C116" s="473"/>
      <c r="D116" s="473"/>
      <c r="E116" s="473"/>
      <c r="F116" s="473"/>
      <c r="G116" s="468"/>
      <c r="H116" s="468"/>
      <c r="I116" s="468"/>
      <c r="J116" s="468"/>
      <c r="K116" s="468"/>
      <c r="L116" s="468"/>
      <c r="M116" s="468"/>
      <c r="N116" s="468"/>
      <c r="O116" s="468"/>
      <c r="P116" s="468"/>
      <c r="Q116" s="468"/>
      <c r="R116" s="468"/>
      <c r="S116" s="468"/>
      <c r="T116" s="468"/>
      <c r="U116" s="468"/>
      <c r="V116" s="468"/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68"/>
      <c r="AM116" s="468"/>
      <c r="AN116" s="468"/>
      <c r="AO116" s="468"/>
      <c r="AP116" s="468"/>
      <c r="AQ116" s="468"/>
      <c r="AR116" s="468"/>
      <c r="AS116" s="468"/>
      <c r="AT116" s="468"/>
      <c r="AU116" s="468"/>
      <c r="AV116" s="468"/>
      <c r="AW116" s="468"/>
      <c r="AX116" s="468"/>
      <c r="AY116" s="468"/>
      <c r="AZ116" s="468"/>
      <c r="BA116" s="468"/>
      <c r="BB116" s="468"/>
      <c r="BC116" s="468"/>
      <c r="BD116" s="468"/>
      <c r="BE116" s="468"/>
      <c r="BF116" s="468"/>
      <c r="BG116" s="468"/>
      <c r="BH116" s="468"/>
      <c r="BI116" s="468"/>
      <c r="BJ116" s="468"/>
      <c r="BK116" s="468"/>
      <c r="BL116" s="468"/>
      <c r="BM116" s="468"/>
      <c r="BN116" s="468"/>
      <c r="BO116" s="468"/>
      <c r="BP116" s="468"/>
      <c r="BQ116" s="468"/>
      <c r="BR116" s="468"/>
      <c r="BS116" s="468"/>
      <c r="BT116" s="468"/>
      <c r="BU116" s="468"/>
      <c r="BV116" s="468"/>
      <c r="BW116" s="468"/>
      <c r="BX116" s="468"/>
      <c r="BY116" s="468"/>
      <c r="BZ116" s="468"/>
      <c r="CA116" s="468"/>
      <c r="CB116" s="468"/>
      <c r="CC116" s="468"/>
      <c r="CD116" s="468"/>
      <c r="CE116" s="468"/>
      <c r="CF116" s="468"/>
      <c r="CG116" s="468"/>
      <c r="CH116" s="468"/>
      <c r="CI116" s="468"/>
      <c r="CJ116" s="468"/>
      <c r="CK116" s="468"/>
      <c r="CL116" s="468"/>
      <c r="CM116" s="468"/>
      <c r="CN116" s="468"/>
      <c r="CO116" s="468"/>
      <c r="CP116" s="468"/>
      <c r="CQ116" s="468"/>
      <c r="CR116" s="468"/>
      <c r="CS116" s="468"/>
      <c r="CT116" s="468"/>
      <c r="CU116" s="468"/>
      <c r="CV116" s="468"/>
      <c r="CW116" s="468"/>
      <c r="CX116" s="468"/>
      <c r="CY116" s="468"/>
      <c r="CZ116" s="468"/>
      <c r="DA116" s="468"/>
      <c r="DB116" s="468"/>
      <c r="DC116" s="468"/>
      <c r="DD116" s="468"/>
      <c r="DE116" s="468"/>
      <c r="DF116" s="468"/>
      <c r="DG116" s="468"/>
      <c r="DH116" s="468"/>
      <c r="DI116" s="468"/>
      <c r="DJ116" s="468"/>
      <c r="DK116" s="468"/>
      <c r="DL116" s="468"/>
      <c r="DM116" s="468"/>
      <c r="DN116" s="471"/>
      <c r="DO116" s="468"/>
      <c r="DP116" s="468"/>
      <c r="DQ116" s="468"/>
      <c r="DR116" s="468"/>
      <c r="DS116" s="468"/>
      <c r="DT116" s="468"/>
      <c r="DU116" s="468"/>
      <c r="DV116" s="468"/>
      <c r="DW116" s="468"/>
      <c r="DX116" s="468"/>
      <c r="DY116" s="468"/>
      <c r="DZ116" s="468"/>
      <c r="EA116" s="468"/>
      <c r="EB116" s="468"/>
      <c r="EC116" s="468"/>
      <c r="ED116" s="468"/>
      <c r="EE116" s="468"/>
      <c r="EF116" s="468"/>
      <c r="EG116" s="468"/>
      <c r="EH116" s="468"/>
      <c r="EI116" s="468"/>
      <c r="EJ116" s="468"/>
      <c r="EK116" s="468"/>
      <c r="EL116" s="468"/>
      <c r="EM116" s="468"/>
      <c r="EN116" s="468"/>
      <c r="EO116" s="468"/>
      <c r="EP116" s="468"/>
      <c r="EQ116" s="468"/>
      <c r="ER116" s="468"/>
      <c r="ES116" s="468"/>
      <c r="ET116" s="468"/>
      <c r="EU116" s="468"/>
      <c r="EV116" s="468"/>
      <c r="EW116" s="468"/>
      <c r="EX116" s="468"/>
      <c r="EY116" s="468"/>
      <c r="EZ116" s="468"/>
      <c r="FA116" s="468"/>
      <c r="FB116" s="468"/>
      <c r="FC116" s="468"/>
      <c r="FD116" s="468"/>
      <c r="FE116" s="468"/>
      <c r="FF116" s="468"/>
      <c r="FG116" s="468"/>
      <c r="FH116" s="468"/>
      <c r="FI116" s="468"/>
      <c r="FJ116" s="468"/>
      <c r="FK116" s="468"/>
      <c r="FL116" s="468"/>
      <c r="FM116" s="468"/>
      <c r="FN116" s="468"/>
      <c r="FO116" s="468"/>
      <c r="FP116" s="468"/>
      <c r="FQ116" s="468"/>
      <c r="FR116" s="468"/>
      <c r="FS116" s="468"/>
      <c r="FT116" s="468"/>
      <c r="FU116" s="468"/>
      <c r="FV116" s="468"/>
      <c r="FW116" s="468"/>
      <c r="FX116" s="468"/>
      <c r="FY116" s="468"/>
      <c r="FZ116" s="468"/>
      <c r="GA116" s="468"/>
      <c r="GB116" s="468"/>
      <c r="GC116" s="468"/>
      <c r="GD116" s="468"/>
      <c r="GE116" s="468"/>
      <c r="GF116" s="468"/>
      <c r="GG116" s="468"/>
      <c r="GH116" s="468"/>
      <c r="GI116" s="468"/>
      <c r="GJ116" s="468"/>
      <c r="GK116" s="468"/>
      <c r="GL116" s="468"/>
      <c r="GM116" s="468"/>
      <c r="GN116" s="468"/>
      <c r="GO116" s="468"/>
      <c r="GP116" s="468"/>
      <c r="GQ116" s="468"/>
      <c r="GR116" s="468"/>
      <c r="GS116" s="468"/>
      <c r="GT116" s="468"/>
      <c r="GU116" s="468"/>
      <c r="GV116" s="468"/>
      <c r="GW116" s="468"/>
      <c r="GX116" s="468"/>
      <c r="GY116" s="468"/>
      <c r="GZ116" s="468"/>
      <c r="HA116" s="468"/>
      <c r="HB116" s="468"/>
      <c r="HC116" s="468"/>
      <c r="HD116" s="468"/>
      <c r="HE116" s="468"/>
      <c r="HF116" s="468"/>
      <c r="HG116" s="468"/>
      <c r="HH116" s="468"/>
      <c r="HI116" s="468"/>
      <c r="HJ116" s="468"/>
      <c r="HK116" s="468"/>
      <c r="HL116" s="468"/>
      <c r="HM116" s="468"/>
      <c r="HN116" s="468"/>
      <c r="HO116" s="468"/>
      <c r="HP116" s="468"/>
      <c r="HQ116" s="468"/>
      <c r="HR116" s="468"/>
      <c r="HS116" s="468"/>
      <c r="HT116" s="468"/>
      <c r="HU116" s="468"/>
      <c r="HV116" s="468"/>
      <c r="HW116" s="468"/>
      <c r="HX116" s="468"/>
      <c r="HY116" s="468"/>
      <c r="HZ116" s="468"/>
      <c r="IA116" s="468"/>
      <c r="IB116" s="468"/>
      <c r="IC116" s="468"/>
      <c r="ID116" s="468"/>
      <c r="IE116" s="468"/>
      <c r="IF116" s="468"/>
      <c r="IG116" s="468"/>
      <c r="IH116" s="468"/>
      <c r="II116" s="468"/>
      <c r="IJ116" s="468"/>
      <c r="IK116" s="468"/>
      <c r="IL116" s="468"/>
      <c r="IM116" s="468"/>
      <c r="IN116" s="468"/>
      <c r="IO116" s="468"/>
      <c r="IP116" s="468"/>
      <c r="IQ116" s="468"/>
      <c r="IR116" s="468"/>
      <c r="IS116" s="468"/>
      <c r="IT116" s="468"/>
      <c r="IU116" s="468"/>
      <c r="IV116" s="468"/>
      <c r="IW116" s="468"/>
      <c r="IX116" s="468"/>
      <c r="IY116" s="468"/>
      <c r="IZ116" s="468"/>
      <c r="JA116" s="468"/>
    </row>
    <row r="117" spans="1:261" ht="18.899999999999999" customHeight="1">
      <c r="A117" s="468"/>
      <c r="B117" s="468"/>
      <c r="C117" s="473"/>
      <c r="D117" s="473"/>
      <c r="E117" s="473"/>
      <c r="F117" s="473"/>
      <c r="G117" s="468"/>
      <c r="H117" s="468"/>
      <c r="I117" s="468"/>
      <c r="J117" s="468"/>
      <c r="K117" s="468"/>
      <c r="L117" s="468"/>
      <c r="M117" s="468"/>
      <c r="N117" s="468"/>
      <c r="O117" s="468"/>
      <c r="P117" s="468"/>
      <c r="Q117" s="468"/>
      <c r="R117" s="468"/>
      <c r="S117" s="468"/>
      <c r="T117" s="468"/>
      <c r="U117" s="468"/>
      <c r="V117" s="468"/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68"/>
      <c r="AK117" s="468"/>
      <c r="AL117" s="468"/>
      <c r="AM117" s="468"/>
      <c r="AN117" s="468"/>
      <c r="AO117" s="468"/>
      <c r="AP117" s="468"/>
      <c r="AQ117" s="468"/>
      <c r="AR117" s="468"/>
      <c r="AS117" s="468"/>
      <c r="AT117" s="468"/>
      <c r="AU117" s="468"/>
      <c r="AV117" s="468"/>
      <c r="AW117" s="468"/>
      <c r="AX117" s="468"/>
      <c r="AY117" s="468"/>
      <c r="AZ117" s="468"/>
      <c r="BA117" s="468"/>
      <c r="BB117" s="468"/>
      <c r="BC117" s="468"/>
      <c r="BD117" s="468"/>
      <c r="BE117" s="468"/>
      <c r="BF117" s="468"/>
      <c r="BG117" s="468"/>
      <c r="BH117" s="468"/>
      <c r="BI117" s="468"/>
      <c r="BJ117" s="468"/>
      <c r="BK117" s="468"/>
      <c r="BL117" s="468"/>
      <c r="BM117" s="468"/>
      <c r="BN117" s="468"/>
      <c r="BO117" s="468"/>
      <c r="BP117" s="468"/>
      <c r="BQ117" s="468"/>
      <c r="BR117" s="468"/>
      <c r="BS117" s="468"/>
      <c r="BT117" s="468"/>
      <c r="BU117" s="468"/>
      <c r="BV117" s="468"/>
      <c r="BW117" s="468"/>
      <c r="BX117" s="468"/>
      <c r="BY117" s="468"/>
      <c r="BZ117" s="468"/>
      <c r="CA117" s="468"/>
      <c r="CB117" s="468"/>
      <c r="CC117" s="468"/>
      <c r="CD117" s="468"/>
      <c r="CE117" s="468"/>
      <c r="CF117" s="468"/>
      <c r="CG117" s="468"/>
      <c r="CH117" s="468"/>
      <c r="CI117" s="468"/>
      <c r="CJ117" s="468"/>
      <c r="CK117" s="468"/>
      <c r="CL117" s="468"/>
      <c r="CM117" s="468"/>
      <c r="CN117" s="468"/>
      <c r="CO117" s="468"/>
      <c r="CP117" s="468"/>
      <c r="CQ117" s="468"/>
      <c r="CR117" s="468"/>
      <c r="CS117" s="468"/>
      <c r="CT117" s="468"/>
      <c r="CU117" s="468"/>
      <c r="CV117" s="468"/>
      <c r="CW117" s="468"/>
      <c r="CX117" s="468"/>
      <c r="CY117" s="468"/>
      <c r="CZ117" s="468"/>
      <c r="DA117" s="468"/>
      <c r="DB117" s="468"/>
      <c r="DC117" s="468"/>
      <c r="DD117" s="468"/>
      <c r="DE117" s="468"/>
      <c r="DF117" s="468"/>
      <c r="DG117" s="468"/>
      <c r="DH117" s="468"/>
      <c r="DI117" s="468"/>
      <c r="DJ117" s="468"/>
      <c r="DK117" s="468"/>
      <c r="DL117" s="468"/>
      <c r="DM117" s="468"/>
      <c r="DN117" s="471"/>
      <c r="DO117" s="468"/>
      <c r="DP117" s="468"/>
      <c r="DQ117" s="468"/>
      <c r="DR117" s="468"/>
      <c r="DS117" s="468"/>
      <c r="DT117" s="468"/>
      <c r="DU117" s="468"/>
      <c r="DV117" s="468"/>
      <c r="DW117" s="468"/>
      <c r="DX117" s="468"/>
      <c r="DY117" s="468"/>
      <c r="DZ117" s="468"/>
      <c r="EA117" s="468"/>
      <c r="EB117" s="468"/>
      <c r="EC117" s="468"/>
      <c r="ED117" s="468"/>
      <c r="EE117" s="468"/>
      <c r="EF117" s="468"/>
      <c r="EG117" s="468"/>
      <c r="EH117" s="468"/>
      <c r="EI117" s="468"/>
      <c r="EJ117" s="468"/>
      <c r="EK117" s="468"/>
      <c r="EL117" s="468"/>
      <c r="EM117" s="468"/>
      <c r="EN117" s="468"/>
      <c r="EO117" s="468"/>
      <c r="EP117" s="468"/>
      <c r="EQ117" s="468"/>
      <c r="ER117" s="468"/>
      <c r="ES117" s="468"/>
      <c r="ET117" s="468"/>
      <c r="EU117" s="468"/>
      <c r="EV117" s="468"/>
      <c r="EW117" s="468"/>
      <c r="EX117" s="468"/>
      <c r="EY117" s="468"/>
      <c r="EZ117" s="468"/>
      <c r="FA117" s="468"/>
      <c r="FB117" s="468"/>
      <c r="FC117" s="468"/>
      <c r="FD117" s="468"/>
      <c r="FE117" s="468"/>
      <c r="FF117" s="468"/>
      <c r="FG117" s="468"/>
      <c r="FH117" s="468"/>
      <c r="FI117" s="468"/>
      <c r="FJ117" s="468"/>
      <c r="FK117" s="468"/>
      <c r="FL117" s="468"/>
      <c r="FM117" s="468"/>
      <c r="FN117" s="468"/>
      <c r="FO117" s="468"/>
      <c r="FP117" s="468"/>
      <c r="FQ117" s="468"/>
      <c r="FR117" s="468"/>
      <c r="FS117" s="468"/>
      <c r="FT117" s="468"/>
      <c r="FU117" s="468"/>
      <c r="FV117" s="468"/>
      <c r="FW117" s="468"/>
      <c r="FX117" s="468"/>
      <c r="FY117" s="468"/>
      <c r="FZ117" s="468"/>
      <c r="GA117" s="468"/>
      <c r="GB117" s="468"/>
      <c r="GC117" s="468"/>
      <c r="GD117" s="468"/>
      <c r="GE117" s="468"/>
      <c r="GF117" s="468"/>
      <c r="GG117" s="468"/>
      <c r="GH117" s="468"/>
      <c r="GI117" s="468"/>
      <c r="GJ117" s="468"/>
      <c r="GK117" s="468"/>
      <c r="GL117" s="468"/>
      <c r="GM117" s="468"/>
      <c r="GN117" s="468"/>
      <c r="GO117" s="468"/>
      <c r="GP117" s="468"/>
      <c r="GQ117" s="468"/>
      <c r="GR117" s="468"/>
      <c r="GS117" s="468"/>
      <c r="GT117" s="468"/>
      <c r="GU117" s="468"/>
      <c r="GV117" s="468"/>
      <c r="GW117" s="468"/>
      <c r="GX117" s="468"/>
      <c r="GY117" s="468"/>
      <c r="GZ117" s="468"/>
      <c r="HA117" s="468"/>
      <c r="HB117" s="468"/>
      <c r="HC117" s="468"/>
      <c r="HD117" s="468"/>
      <c r="HE117" s="468"/>
      <c r="HF117" s="468"/>
      <c r="HG117" s="468"/>
      <c r="HH117" s="468"/>
      <c r="HI117" s="468"/>
      <c r="HJ117" s="468"/>
      <c r="HK117" s="468"/>
      <c r="HL117" s="468"/>
      <c r="HM117" s="468"/>
      <c r="HN117" s="468"/>
      <c r="HO117" s="468"/>
      <c r="HP117" s="468"/>
      <c r="HQ117" s="468"/>
      <c r="HR117" s="468"/>
      <c r="HS117" s="468"/>
      <c r="HT117" s="468"/>
      <c r="HU117" s="468"/>
      <c r="HV117" s="468"/>
      <c r="HW117" s="468"/>
      <c r="HX117" s="468"/>
      <c r="HY117" s="468"/>
      <c r="HZ117" s="468"/>
      <c r="IA117" s="468"/>
      <c r="IB117" s="468"/>
      <c r="IC117" s="468"/>
      <c r="ID117" s="468"/>
      <c r="IE117" s="468"/>
      <c r="IF117" s="468"/>
      <c r="IG117" s="468"/>
      <c r="IH117" s="468"/>
      <c r="II117" s="468"/>
      <c r="IJ117" s="468"/>
      <c r="IK117" s="468"/>
      <c r="IL117" s="468"/>
      <c r="IM117" s="468"/>
      <c r="IN117" s="468"/>
      <c r="IO117" s="468"/>
      <c r="IP117" s="468"/>
      <c r="IQ117" s="468"/>
      <c r="IR117" s="468"/>
      <c r="IS117" s="468"/>
      <c r="IT117" s="468"/>
      <c r="IU117" s="468"/>
      <c r="IV117" s="468"/>
      <c r="IW117" s="468"/>
      <c r="IX117" s="468"/>
      <c r="IY117" s="468"/>
      <c r="IZ117" s="468"/>
      <c r="JA117" s="468"/>
    </row>
    <row r="118" spans="1:261" ht="18.899999999999999" customHeight="1">
      <c r="A118" s="468"/>
      <c r="B118" s="468"/>
      <c r="C118" s="473"/>
      <c r="D118" s="473"/>
      <c r="E118" s="473"/>
      <c r="F118" s="473"/>
      <c r="G118" s="468"/>
      <c r="H118" s="468"/>
      <c r="I118" s="468"/>
      <c r="J118" s="468"/>
      <c r="K118" s="468"/>
      <c r="L118" s="468"/>
      <c r="M118" s="468"/>
      <c r="N118" s="468"/>
      <c r="O118" s="468"/>
      <c r="P118" s="468"/>
      <c r="Q118" s="468"/>
      <c r="R118" s="468"/>
      <c r="S118" s="468"/>
      <c r="T118" s="468"/>
      <c r="U118" s="468"/>
      <c r="V118" s="468"/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468"/>
      <c r="AI118" s="468"/>
      <c r="AJ118" s="468"/>
      <c r="AK118" s="468"/>
      <c r="AL118" s="468"/>
      <c r="AM118" s="468"/>
      <c r="AN118" s="468"/>
      <c r="AO118" s="468"/>
      <c r="AP118" s="468"/>
      <c r="AQ118" s="468"/>
      <c r="AR118" s="468"/>
      <c r="AS118" s="468"/>
      <c r="AT118" s="468"/>
      <c r="AU118" s="468"/>
      <c r="AV118" s="468"/>
      <c r="AW118" s="468"/>
      <c r="AX118" s="468"/>
      <c r="AY118" s="468"/>
      <c r="AZ118" s="468"/>
      <c r="BA118" s="468"/>
      <c r="BB118" s="468"/>
      <c r="BC118" s="468"/>
      <c r="BD118" s="468"/>
      <c r="BE118" s="468"/>
      <c r="BF118" s="468"/>
      <c r="BG118" s="468"/>
      <c r="BH118" s="468"/>
      <c r="BI118" s="468"/>
      <c r="BJ118" s="468"/>
      <c r="BK118" s="468"/>
      <c r="BL118" s="468"/>
      <c r="BM118" s="468"/>
      <c r="BN118" s="468"/>
      <c r="BO118" s="468"/>
      <c r="BP118" s="468"/>
      <c r="BQ118" s="468"/>
      <c r="BR118" s="468"/>
      <c r="BS118" s="468"/>
      <c r="BT118" s="468"/>
      <c r="BU118" s="468"/>
      <c r="BV118" s="468"/>
      <c r="BW118" s="468"/>
      <c r="BX118" s="468"/>
      <c r="BY118" s="468"/>
      <c r="BZ118" s="468"/>
      <c r="CA118" s="468"/>
      <c r="CB118" s="468"/>
      <c r="CC118" s="468"/>
      <c r="CD118" s="468"/>
      <c r="CE118" s="468"/>
      <c r="CF118" s="468"/>
      <c r="CG118" s="468"/>
      <c r="CH118" s="468"/>
      <c r="CI118" s="468"/>
      <c r="CJ118" s="468"/>
      <c r="CK118" s="468"/>
      <c r="CL118" s="468"/>
      <c r="CM118" s="468"/>
      <c r="CN118" s="468"/>
      <c r="CO118" s="468"/>
      <c r="CP118" s="468"/>
      <c r="CQ118" s="468"/>
      <c r="CR118" s="468"/>
      <c r="CS118" s="468"/>
      <c r="CT118" s="468"/>
      <c r="CU118" s="468"/>
      <c r="CV118" s="468"/>
      <c r="CW118" s="468"/>
      <c r="CX118" s="468"/>
      <c r="CY118" s="468"/>
      <c r="CZ118" s="468"/>
      <c r="DA118" s="468"/>
      <c r="DB118" s="468"/>
      <c r="DC118" s="468"/>
      <c r="DD118" s="468"/>
      <c r="DE118" s="468"/>
      <c r="DF118" s="468"/>
      <c r="DG118" s="468"/>
      <c r="DH118" s="468"/>
      <c r="DI118" s="468"/>
      <c r="DJ118" s="468"/>
      <c r="DK118" s="468"/>
      <c r="DL118" s="468"/>
      <c r="DM118" s="468"/>
      <c r="DN118" s="471"/>
      <c r="DO118" s="468"/>
      <c r="DP118" s="468"/>
      <c r="DQ118" s="468"/>
      <c r="DR118" s="468"/>
      <c r="DS118" s="468"/>
      <c r="DT118" s="468"/>
      <c r="DU118" s="468"/>
      <c r="DV118" s="468"/>
      <c r="DW118" s="468"/>
      <c r="DX118" s="468"/>
      <c r="DY118" s="468"/>
      <c r="DZ118" s="468"/>
      <c r="EA118" s="468"/>
      <c r="EB118" s="468"/>
      <c r="EC118" s="468"/>
      <c r="ED118" s="468"/>
      <c r="EE118" s="468"/>
      <c r="EF118" s="468"/>
      <c r="EG118" s="468"/>
      <c r="EH118" s="468"/>
      <c r="EI118" s="468"/>
      <c r="EJ118" s="468"/>
      <c r="EK118" s="468"/>
      <c r="EL118" s="468"/>
      <c r="EM118" s="468"/>
      <c r="EN118" s="468"/>
      <c r="EO118" s="468"/>
      <c r="EP118" s="468"/>
      <c r="EQ118" s="468"/>
      <c r="ER118" s="468"/>
      <c r="ES118" s="468"/>
      <c r="ET118" s="468"/>
      <c r="EU118" s="468"/>
      <c r="EV118" s="468"/>
      <c r="EW118" s="468"/>
      <c r="EX118" s="468"/>
      <c r="EY118" s="468"/>
      <c r="EZ118" s="468"/>
      <c r="FA118" s="468"/>
      <c r="FB118" s="468"/>
      <c r="FC118" s="468"/>
      <c r="FD118" s="468"/>
      <c r="FE118" s="468"/>
      <c r="FF118" s="468"/>
      <c r="FG118" s="468"/>
      <c r="FH118" s="468"/>
      <c r="FI118" s="468"/>
      <c r="FJ118" s="468"/>
      <c r="FK118" s="468"/>
      <c r="FL118" s="468"/>
      <c r="FM118" s="468"/>
      <c r="FN118" s="468"/>
      <c r="FO118" s="468"/>
      <c r="FP118" s="468"/>
      <c r="FQ118" s="468"/>
      <c r="FR118" s="468"/>
      <c r="FS118" s="468"/>
      <c r="FT118" s="468"/>
      <c r="FU118" s="468"/>
      <c r="FV118" s="468"/>
      <c r="FW118" s="468"/>
      <c r="FX118" s="468"/>
      <c r="FY118" s="468"/>
      <c r="FZ118" s="468"/>
      <c r="GA118" s="468"/>
      <c r="GB118" s="468"/>
      <c r="GC118" s="468"/>
      <c r="GD118" s="468"/>
      <c r="GE118" s="468"/>
      <c r="GF118" s="468"/>
      <c r="GG118" s="468"/>
      <c r="GH118" s="468"/>
      <c r="GI118" s="468"/>
      <c r="GJ118" s="468"/>
      <c r="GK118" s="468"/>
      <c r="GL118" s="468"/>
      <c r="GM118" s="468"/>
      <c r="GN118" s="468"/>
      <c r="GO118" s="468"/>
      <c r="GP118" s="468"/>
      <c r="GQ118" s="468"/>
      <c r="GR118" s="468"/>
      <c r="GS118" s="468"/>
      <c r="GT118" s="468"/>
      <c r="GU118" s="468"/>
      <c r="GV118" s="468"/>
      <c r="GW118" s="468"/>
      <c r="GX118" s="468"/>
      <c r="GY118" s="468"/>
      <c r="GZ118" s="468"/>
      <c r="HA118" s="468"/>
      <c r="HB118" s="468"/>
      <c r="HC118" s="468"/>
      <c r="HD118" s="468"/>
      <c r="HE118" s="468"/>
      <c r="HF118" s="468"/>
      <c r="HG118" s="468"/>
      <c r="HH118" s="468"/>
      <c r="HI118" s="468"/>
      <c r="HJ118" s="468"/>
      <c r="HK118" s="468"/>
      <c r="HL118" s="468"/>
      <c r="HM118" s="468"/>
      <c r="HN118" s="468"/>
      <c r="HO118" s="468"/>
      <c r="HP118" s="468"/>
      <c r="HQ118" s="468"/>
      <c r="HR118" s="468"/>
      <c r="HS118" s="468"/>
      <c r="HT118" s="468"/>
      <c r="HU118" s="468"/>
      <c r="HV118" s="468"/>
      <c r="HW118" s="468"/>
      <c r="HX118" s="468"/>
      <c r="HY118" s="468"/>
      <c r="HZ118" s="468"/>
      <c r="IA118" s="468"/>
      <c r="IB118" s="468"/>
      <c r="IC118" s="468"/>
      <c r="ID118" s="468"/>
      <c r="IE118" s="468"/>
      <c r="IF118" s="468"/>
      <c r="IG118" s="468"/>
      <c r="IH118" s="468"/>
      <c r="II118" s="468"/>
      <c r="IJ118" s="468"/>
      <c r="IK118" s="468"/>
      <c r="IL118" s="468"/>
      <c r="IM118" s="468"/>
      <c r="IN118" s="468"/>
      <c r="IO118" s="468"/>
      <c r="IP118" s="468"/>
      <c r="IQ118" s="468"/>
      <c r="IR118" s="468"/>
      <c r="IS118" s="468"/>
      <c r="IT118" s="468"/>
      <c r="IU118" s="468"/>
      <c r="IV118" s="468"/>
      <c r="IW118" s="468"/>
      <c r="IX118" s="468"/>
      <c r="IY118" s="468"/>
      <c r="IZ118" s="468"/>
      <c r="JA118" s="468"/>
    </row>
    <row r="119" spans="1:261" ht="18.899999999999999" customHeight="1">
      <c r="A119" s="468"/>
      <c r="B119" s="468"/>
      <c r="C119" s="473"/>
      <c r="D119" s="473"/>
      <c r="E119" s="473"/>
      <c r="F119" s="473"/>
      <c r="G119" s="468"/>
      <c r="H119" s="468"/>
      <c r="I119" s="468"/>
      <c r="J119" s="468"/>
      <c r="K119" s="468"/>
      <c r="L119" s="468"/>
      <c r="M119" s="468"/>
      <c r="N119" s="468"/>
      <c r="O119" s="468"/>
      <c r="P119" s="468"/>
      <c r="Q119" s="468"/>
      <c r="R119" s="468"/>
      <c r="S119" s="468"/>
      <c r="T119" s="468"/>
      <c r="U119" s="468"/>
      <c r="V119" s="468"/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68"/>
      <c r="AL119" s="468"/>
      <c r="AM119" s="468"/>
      <c r="AN119" s="468"/>
      <c r="AO119" s="468"/>
      <c r="AP119" s="468"/>
      <c r="AQ119" s="468"/>
      <c r="AR119" s="468"/>
      <c r="AS119" s="468"/>
      <c r="AT119" s="468"/>
      <c r="AU119" s="468"/>
      <c r="AV119" s="468"/>
      <c r="AW119" s="468"/>
      <c r="AX119" s="468"/>
      <c r="AY119" s="468"/>
      <c r="AZ119" s="468"/>
      <c r="BA119" s="468"/>
      <c r="BB119" s="468"/>
      <c r="BC119" s="468"/>
      <c r="BD119" s="468"/>
      <c r="BE119" s="468"/>
      <c r="BF119" s="468"/>
      <c r="BG119" s="468"/>
      <c r="BH119" s="468"/>
      <c r="BI119" s="468"/>
      <c r="BJ119" s="468"/>
      <c r="BK119" s="468"/>
      <c r="BL119" s="468"/>
      <c r="BM119" s="468"/>
      <c r="BN119" s="468"/>
      <c r="BO119" s="468"/>
      <c r="BP119" s="468"/>
      <c r="BQ119" s="468"/>
      <c r="BR119" s="468"/>
      <c r="BS119" s="468"/>
      <c r="BT119" s="468"/>
      <c r="BU119" s="468"/>
      <c r="BV119" s="468"/>
      <c r="BW119" s="468"/>
      <c r="BX119" s="468"/>
      <c r="BY119" s="468"/>
      <c r="BZ119" s="468"/>
      <c r="CA119" s="468"/>
      <c r="CB119" s="468"/>
      <c r="CC119" s="468"/>
      <c r="CD119" s="468"/>
      <c r="CE119" s="468"/>
      <c r="CF119" s="468"/>
      <c r="CG119" s="468"/>
      <c r="CH119" s="468"/>
      <c r="CI119" s="468"/>
      <c r="CJ119" s="468"/>
      <c r="CK119" s="468"/>
      <c r="CL119" s="468"/>
      <c r="CM119" s="468"/>
      <c r="CN119" s="468"/>
      <c r="CO119" s="468"/>
      <c r="CP119" s="468"/>
      <c r="CQ119" s="468"/>
      <c r="CR119" s="468"/>
      <c r="CS119" s="468"/>
      <c r="CT119" s="468"/>
      <c r="CU119" s="468"/>
      <c r="CV119" s="468"/>
      <c r="CW119" s="468"/>
      <c r="CX119" s="468"/>
      <c r="CY119" s="468"/>
      <c r="CZ119" s="468"/>
      <c r="DA119" s="468"/>
      <c r="DB119" s="468"/>
      <c r="DC119" s="468"/>
      <c r="DD119" s="468"/>
      <c r="DE119" s="468"/>
      <c r="DF119" s="468"/>
      <c r="DG119" s="468"/>
      <c r="DH119" s="468"/>
      <c r="DI119" s="468"/>
      <c r="DJ119" s="468"/>
      <c r="DK119" s="468"/>
      <c r="DL119" s="468"/>
      <c r="DM119" s="468"/>
      <c r="DN119" s="471"/>
      <c r="DO119" s="468"/>
      <c r="DP119" s="468"/>
      <c r="DQ119" s="468"/>
      <c r="DR119" s="468"/>
      <c r="DS119" s="468"/>
      <c r="DT119" s="468"/>
      <c r="DU119" s="468"/>
      <c r="DV119" s="468"/>
      <c r="DW119" s="468"/>
      <c r="DX119" s="468"/>
      <c r="DY119" s="468"/>
      <c r="DZ119" s="468"/>
      <c r="EA119" s="468"/>
      <c r="EB119" s="468"/>
      <c r="EC119" s="468"/>
      <c r="ED119" s="468"/>
      <c r="EE119" s="468"/>
      <c r="EF119" s="468"/>
      <c r="EG119" s="468"/>
      <c r="EH119" s="468"/>
      <c r="EI119" s="468"/>
      <c r="EJ119" s="468"/>
      <c r="EK119" s="468"/>
      <c r="EL119" s="468"/>
      <c r="EM119" s="468"/>
      <c r="EN119" s="468"/>
      <c r="EO119" s="468"/>
      <c r="EP119" s="468"/>
      <c r="EQ119" s="468"/>
      <c r="ER119" s="468"/>
      <c r="ES119" s="468"/>
      <c r="ET119" s="468"/>
      <c r="EU119" s="468"/>
      <c r="EV119" s="468"/>
      <c r="EW119" s="468"/>
      <c r="EX119" s="468"/>
      <c r="EY119" s="468"/>
      <c r="EZ119" s="468"/>
      <c r="FA119" s="468"/>
      <c r="FB119" s="468"/>
      <c r="FC119" s="468"/>
      <c r="FD119" s="468"/>
      <c r="FE119" s="468"/>
      <c r="FF119" s="468"/>
      <c r="FG119" s="468"/>
      <c r="FH119" s="468"/>
      <c r="FI119" s="468"/>
      <c r="FJ119" s="468"/>
      <c r="FK119" s="468"/>
      <c r="FL119" s="468"/>
      <c r="FM119" s="468"/>
      <c r="FN119" s="468"/>
      <c r="FO119" s="468"/>
      <c r="FP119" s="468"/>
      <c r="FQ119" s="468"/>
      <c r="FR119" s="468"/>
      <c r="FS119" s="468"/>
      <c r="FT119" s="468"/>
      <c r="FU119" s="468"/>
      <c r="FV119" s="468"/>
      <c r="FW119" s="468"/>
      <c r="FX119" s="468"/>
      <c r="FY119" s="468"/>
      <c r="FZ119" s="468"/>
      <c r="GA119" s="468"/>
      <c r="GB119" s="468"/>
      <c r="GC119" s="468"/>
      <c r="GD119" s="468"/>
      <c r="GE119" s="468"/>
      <c r="GF119" s="468"/>
      <c r="GG119" s="468"/>
      <c r="GH119" s="468"/>
      <c r="GI119" s="468"/>
      <c r="GJ119" s="468"/>
      <c r="GK119" s="468"/>
      <c r="GL119" s="468"/>
      <c r="GM119" s="468"/>
      <c r="GN119" s="468"/>
      <c r="GO119" s="468"/>
      <c r="GP119" s="468"/>
      <c r="GQ119" s="468"/>
      <c r="GR119" s="468"/>
      <c r="GS119" s="468"/>
      <c r="GT119" s="468"/>
      <c r="GU119" s="468"/>
      <c r="GV119" s="468"/>
      <c r="GW119" s="468"/>
      <c r="GX119" s="468"/>
      <c r="GY119" s="468"/>
      <c r="GZ119" s="468"/>
      <c r="HA119" s="468"/>
      <c r="HB119" s="468"/>
      <c r="HC119" s="468"/>
      <c r="HD119" s="468"/>
      <c r="HE119" s="468"/>
      <c r="HF119" s="468"/>
      <c r="HG119" s="468"/>
      <c r="HH119" s="468"/>
      <c r="HI119" s="468"/>
      <c r="HJ119" s="468"/>
      <c r="HK119" s="468"/>
      <c r="HL119" s="468"/>
      <c r="HM119" s="468"/>
      <c r="HN119" s="468"/>
      <c r="HO119" s="468"/>
      <c r="HP119" s="468"/>
      <c r="HQ119" s="468"/>
      <c r="HR119" s="468"/>
      <c r="HS119" s="468"/>
      <c r="HT119" s="468"/>
      <c r="HU119" s="468"/>
      <c r="HV119" s="468"/>
      <c r="HW119" s="468"/>
      <c r="HX119" s="468"/>
      <c r="HY119" s="468"/>
      <c r="HZ119" s="468"/>
      <c r="IA119" s="468"/>
      <c r="IB119" s="468"/>
      <c r="IC119" s="468"/>
      <c r="ID119" s="468"/>
      <c r="IE119" s="468"/>
      <c r="IF119" s="468"/>
      <c r="IG119" s="468"/>
      <c r="IH119" s="468"/>
      <c r="II119" s="468"/>
      <c r="IJ119" s="468"/>
      <c r="IK119" s="468"/>
      <c r="IL119" s="468"/>
      <c r="IM119" s="468"/>
      <c r="IN119" s="468"/>
      <c r="IO119" s="468"/>
      <c r="IP119" s="468"/>
      <c r="IQ119" s="468"/>
      <c r="IR119" s="468"/>
      <c r="IS119" s="468"/>
      <c r="IT119" s="468"/>
      <c r="IU119" s="468"/>
      <c r="IV119" s="468"/>
      <c r="IW119" s="468"/>
      <c r="IX119" s="468"/>
      <c r="IY119" s="468"/>
      <c r="IZ119" s="468"/>
      <c r="JA119" s="468"/>
    </row>
    <row r="120" spans="1:261" ht="18.899999999999999" customHeight="1">
      <c r="A120" s="468"/>
      <c r="B120" s="468"/>
      <c r="C120" s="473"/>
      <c r="D120" s="473"/>
      <c r="E120" s="473"/>
      <c r="F120" s="473"/>
      <c r="G120" s="468"/>
      <c r="H120" s="468"/>
      <c r="I120" s="468"/>
      <c r="J120" s="468"/>
      <c r="K120" s="468"/>
      <c r="L120" s="468"/>
      <c r="M120" s="468"/>
      <c r="N120" s="468"/>
      <c r="O120" s="468"/>
      <c r="P120" s="468"/>
      <c r="Q120" s="468"/>
      <c r="R120" s="468"/>
      <c r="S120" s="468"/>
      <c r="T120" s="468"/>
      <c r="U120" s="468"/>
      <c r="V120" s="468"/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68"/>
      <c r="AK120" s="468"/>
      <c r="AL120" s="468"/>
      <c r="AM120" s="468"/>
      <c r="AN120" s="468"/>
      <c r="AO120" s="468"/>
      <c r="AP120" s="468"/>
      <c r="AQ120" s="468"/>
      <c r="AR120" s="468"/>
      <c r="AS120" s="468"/>
      <c r="AT120" s="468"/>
      <c r="AU120" s="468"/>
      <c r="AV120" s="468"/>
      <c r="AW120" s="468"/>
      <c r="AX120" s="468"/>
      <c r="AY120" s="468"/>
      <c r="AZ120" s="468"/>
      <c r="BA120" s="468"/>
      <c r="BB120" s="468"/>
      <c r="BC120" s="468"/>
      <c r="BD120" s="468"/>
      <c r="BE120" s="468"/>
      <c r="BF120" s="468"/>
      <c r="BG120" s="468"/>
      <c r="BH120" s="468"/>
      <c r="BI120" s="468"/>
      <c r="BJ120" s="468"/>
      <c r="BK120" s="468"/>
      <c r="BL120" s="468"/>
      <c r="BM120" s="468"/>
      <c r="BN120" s="468"/>
      <c r="BO120" s="468"/>
      <c r="BP120" s="468"/>
      <c r="BQ120" s="468"/>
      <c r="BR120" s="468"/>
      <c r="BS120" s="468"/>
      <c r="BT120" s="468"/>
      <c r="BU120" s="468"/>
      <c r="BV120" s="468"/>
      <c r="BW120" s="468"/>
      <c r="BX120" s="468"/>
      <c r="BY120" s="468"/>
      <c r="BZ120" s="468"/>
      <c r="CA120" s="468"/>
      <c r="CB120" s="468"/>
      <c r="CC120" s="468"/>
      <c r="CD120" s="468"/>
      <c r="CE120" s="468"/>
      <c r="CF120" s="468"/>
      <c r="CG120" s="468"/>
      <c r="CH120" s="468"/>
      <c r="CI120" s="468"/>
      <c r="CJ120" s="468"/>
      <c r="CK120" s="468"/>
      <c r="CL120" s="468"/>
      <c r="CM120" s="468"/>
      <c r="CN120" s="468"/>
      <c r="CO120" s="468"/>
      <c r="CP120" s="468"/>
      <c r="CQ120" s="468"/>
      <c r="CR120" s="468"/>
      <c r="CS120" s="468"/>
      <c r="CT120" s="468"/>
      <c r="CU120" s="468"/>
      <c r="CV120" s="468"/>
      <c r="CW120" s="468"/>
      <c r="CX120" s="468"/>
      <c r="CY120" s="468"/>
      <c r="CZ120" s="468"/>
      <c r="DA120" s="468"/>
      <c r="DB120" s="468"/>
      <c r="DC120" s="468"/>
      <c r="DD120" s="468"/>
      <c r="DE120" s="468"/>
      <c r="DF120" s="468"/>
      <c r="DG120" s="468"/>
      <c r="DH120" s="468"/>
      <c r="DI120" s="468"/>
      <c r="DJ120" s="468"/>
      <c r="DK120" s="468"/>
      <c r="DL120" s="468"/>
      <c r="DM120" s="468"/>
      <c r="DN120" s="471"/>
      <c r="DO120" s="468"/>
      <c r="DP120" s="468"/>
      <c r="DQ120" s="468"/>
      <c r="DR120" s="468"/>
      <c r="DS120" s="468"/>
      <c r="DT120" s="468"/>
      <c r="DU120" s="468"/>
      <c r="DV120" s="468"/>
      <c r="DW120" s="468"/>
      <c r="DX120" s="468"/>
      <c r="DY120" s="468"/>
      <c r="DZ120" s="468"/>
      <c r="EA120" s="468"/>
      <c r="EB120" s="468"/>
      <c r="EC120" s="468"/>
      <c r="ED120" s="468"/>
      <c r="EE120" s="468"/>
      <c r="EF120" s="468"/>
      <c r="EG120" s="468"/>
      <c r="EH120" s="468"/>
      <c r="EI120" s="468"/>
      <c r="EJ120" s="468"/>
      <c r="EK120" s="468"/>
      <c r="EL120" s="468"/>
      <c r="EM120" s="468"/>
      <c r="EN120" s="468"/>
      <c r="EO120" s="468"/>
      <c r="EP120" s="468"/>
      <c r="EQ120" s="468"/>
      <c r="ER120" s="468"/>
      <c r="ES120" s="468"/>
      <c r="ET120" s="468"/>
      <c r="EU120" s="468"/>
      <c r="EV120" s="468"/>
      <c r="EW120" s="468"/>
      <c r="EX120" s="468"/>
      <c r="EY120" s="468"/>
      <c r="EZ120" s="468"/>
      <c r="FA120" s="468"/>
      <c r="FB120" s="468"/>
      <c r="FC120" s="468"/>
      <c r="FD120" s="468"/>
      <c r="FE120" s="468"/>
      <c r="FF120" s="468"/>
      <c r="FG120" s="468"/>
      <c r="FH120" s="468"/>
      <c r="FI120" s="468"/>
      <c r="FJ120" s="468"/>
      <c r="FK120" s="468"/>
      <c r="FL120" s="468"/>
      <c r="FM120" s="468"/>
      <c r="FN120" s="468"/>
      <c r="FO120" s="468"/>
      <c r="FP120" s="468"/>
      <c r="FQ120" s="468"/>
      <c r="FR120" s="468"/>
      <c r="FS120" s="468"/>
      <c r="FT120" s="468"/>
      <c r="FU120" s="468"/>
      <c r="FV120" s="468"/>
      <c r="FW120" s="468"/>
      <c r="FX120" s="468"/>
      <c r="FY120" s="468"/>
      <c r="FZ120" s="468"/>
      <c r="GA120" s="468"/>
      <c r="GB120" s="468"/>
      <c r="GC120" s="468"/>
      <c r="GD120" s="468"/>
      <c r="GE120" s="468"/>
      <c r="GF120" s="468"/>
      <c r="GG120" s="468"/>
      <c r="GH120" s="468"/>
      <c r="GI120" s="468"/>
      <c r="GJ120" s="468"/>
      <c r="GK120" s="468"/>
      <c r="GL120" s="468"/>
      <c r="GM120" s="468"/>
      <c r="GN120" s="468"/>
      <c r="GO120" s="468"/>
      <c r="GP120" s="468"/>
      <c r="GQ120" s="468"/>
      <c r="GR120" s="468"/>
      <c r="GS120" s="468"/>
      <c r="GT120" s="468"/>
      <c r="GU120" s="468"/>
      <c r="GV120" s="468"/>
      <c r="GW120" s="468"/>
      <c r="GX120" s="468"/>
      <c r="GY120" s="468"/>
      <c r="GZ120" s="468"/>
      <c r="HA120" s="468"/>
      <c r="HB120" s="468"/>
      <c r="HC120" s="468"/>
      <c r="HD120" s="468"/>
      <c r="HE120" s="468"/>
      <c r="HF120" s="468"/>
      <c r="HG120" s="468"/>
      <c r="HH120" s="468"/>
      <c r="HI120" s="468"/>
      <c r="HJ120" s="468"/>
      <c r="HK120" s="468"/>
      <c r="HL120" s="468"/>
      <c r="HM120" s="468"/>
      <c r="HN120" s="468"/>
      <c r="HO120" s="468"/>
      <c r="HP120" s="468"/>
      <c r="HQ120" s="468"/>
      <c r="HR120" s="468"/>
      <c r="HS120" s="468"/>
      <c r="HT120" s="468"/>
      <c r="HU120" s="468"/>
      <c r="HV120" s="468"/>
      <c r="HW120" s="468"/>
      <c r="HX120" s="468"/>
      <c r="HY120" s="468"/>
      <c r="HZ120" s="468"/>
      <c r="IA120" s="468"/>
      <c r="IB120" s="468"/>
      <c r="IC120" s="468"/>
      <c r="ID120" s="468"/>
      <c r="IE120" s="468"/>
      <c r="IF120" s="468"/>
      <c r="IG120" s="468"/>
      <c r="IH120" s="468"/>
      <c r="II120" s="468"/>
      <c r="IJ120" s="468"/>
      <c r="IK120" s="468"/>
      <c r="IL120" s="468"/>
      <c r="IM120" s="468"/>
      <c r="IN120" s="468"/>
      <c r="IO120" s="468"/>
      <c r="IP120" s="468"/>
      <c r="IQ120" s="468"/>
      <c r="IR120" s="468"/>
      <c r="IS120" s="468"/>
      <c r="IT120" s="468"/>
      <c r="IU120" s="468"/>
      <c r="IV120" s="468"/>
      <c r="IW120" s="468"/>
      <c r="IX120" s="468"/>
      <c r="IY120" s="468"/>
      <c r="IZ120" s="468"/>
      <c r="JA120" s="468"/>
    </row>
    <row r="121" spans="1:261" ht="18.899999999999999" customHeight="1">
      <c r="A121" s="468"/>
      <c r="B121" s="468"/>
      <c r="C121" s="473"/>
      <c r="D121" s="473"/>
      <c r="E121" s="473"/>
      <c r="F121" s="473"/>
      <c r="G121" s="468"/>
      <c r="H121" s="468"/>
      <c r="I121" s="468"/>
      <c r="J121" s="468"/>
      <c r="K121" s="468"/>
      <c r="L121" s="468"/>
      <c r="M121" s="468"/>
      <c r="N121" s="468"/>
      <c r="O121" s="468"/>
      <c r="P121" s="468"/>
      <c r="Q121" s="468"/>
      <c r="R121" s="468"/>
      <c r="S121" s="468"/>
      <c r="T121" s="468"/>
      <c r="U121" s="468"/>
      <c r="V121" s="468"/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468"/>
      <c r="AH121" s="468"/>
      <c r="AI121" s="468"/>
      <c r="AJ121" s="468"/>
      <c r="AK121" s="468"/>
      <c r="AL121" s="468"/>
      <c r="AM121" s="468"/>
      <c r="AN121" s="468"/>
      <c r="AO121" s="468"/>
      <c r="AP121" s="468"/>
      <c r="AQ121" s="468"/>
      <c r="AR121" s="468"/>
      <c r="AS121" s="468"/>
      <c r="AT121" s="468"/>
      <c r="AU121" s="468"/>
      <c r="AV121" s="468"/>
      <c r="AW121" s="468"/>
      <c r="AX121" s="468"/>
      <c r="AY121" s="468"/>
      <c r="AZ121" s="468"/>
      <c r="BA121" s="468"/>
      <c r="BB121" s="468"/>
      <c r="BC121" s="468"/>
      <c r="BD121" s="468"/>
      <c r="BE121" s="468"/>
      <c r="BF121" s="468"/>
      <c r="BG121" s="468"/>
      <c r="BH121" s="468"/>
      <c r="BI121" s="468"/>
      <c r="BJ121" s="468"/>
      <c r="BK121" s="468"/>
      <c r="BL121" s="468"/>
      <c r="BM121" s="468"/>
      <c r="BN121" s="468"/>
      <c r="BO121" s="468"/>
      <c r="BP121" s="468"/>
      <c r="BQ121" s="468"/>
      <c r="BR121" s="468"/>
      <c r="BS121" s="468"/>
      <c r="BT121" s="468"/>
      <c r="BU121" s="468"/>
      <c r="BV121" s="468"/>
      <c r="BW121" s="468"/>
      <c r="BX121" s="468"/>
      <c r="BY121" s="468"/>
      <c r="BZ121" s="468"/>
      <c r="CA121" s="468"/>
      <c r="CB121" s="468"/>
      <c r="CC121" s="468"/>
      <c r="CD121" s="468"/>
      <c r="CE121" s="468"/>
      <c r="CF121" s="468"/>
      <c r="CG121" s="468"/>
      <c r="CH121" s="468"/>
      <c r="CI121" s="468"/>
      <c r="CJ121" s="468"/>
      <c r="CK121" s="468"/>
      <c r="CL121" s="468"/>
      <c r="CM121" s="468"/>
      <c r="CN121" s="468"/>
      <c r="CO121" s="468"/>
      <c r="CP121" s="468"/>
      <c r="CQ121" s="468"/>
      <c r="CR121" s="468"/>
      <c r="CS121" s="468"/>
      <c r="CT121" s="468"/>
      <c r="CU121" s="468"/>
      <c r="CV121" s="468"/>
      <c r="CW121" s="468"/>
      <c r="CX121" s="468"/>
      <c r="CY121" s="468"/>
      <c r="CZ121" s="468"/>
      <c r="DA121" s="468"/>
      <c r="DB121" s="468"/>
      <c r="DC121" s="468"/>
      <c r="DD121" s="468"/>
      <c r="DE121" s="468"/>
      <c r="DF121" s="468"/>
      <c r="DG121" s="468"/>
      <c r="DH121" s="468"/>
      <c r="DI121" s="468"/>
      <c r="DJ121" s="468"/>
      <c r="DK121" s="468"/>
      <c r="DL121" s="468"/>
      <c r="DM121" s="468"/>
      <c r="DN121" s="471"/>
      <c r="DO121" s="468"/>
      <c r="DP121" s="468"/>
      <c r="DQ121" s="468"/>
      <c r="DR121" s="468"/>
      <c r="DS121" s="468"/>
      <c r="DT121" s="468"/>
      <c r="DU121" s="468"/>
      <c r="DV121" s="468"/>
      <c r="DW121" s="468"/>
      <c r="DX121" s="468"/>
      <c r="DY121" s="468"/>
      <c r="DZ121" s="468"/>
      <c r="EA121" s="468"/>
      <c r="EB121" s="468"/>
      <c r="EC121" s="468"/>
      <c r="ED121" s="468"/>
      <c r="EE121" s="468"/>
      <c r="EF121" s="468"/>
      <c r="EG121" s="468"/>
      <c r="EH121" s="468"/>
      <c r="EI121" s="468"/>
      <c r="EJ121" s="468"/>
      <c r="EK121" s="468"/>
      <c r="EL121" s="468"/>
      <c r="EM121" s="468"/>
      <c r="EN121" s="468"/>
      <c r="EO121" s="468"/>
      <c r="EP121" s="468"/>
      <c r="EQ121" s="468"/>
      <c r="ER121" s="468"/>
      <c r="ES121" s="468"/>
      <c r="ET121" s="468"/>
      <c r="EU121" s="468"/>
      <c r="EV121" s="468"/>
      <c r="EW121" s="468"/>
      <c r="EX121" s="468"/>
      <c r="EY121" s="468"/>
      <c r="EZ121" s="468"/>
      <c r="FA121" s="468"/>
      <c r="FB121" s="468"/>
      <c r="FC121" s="468"/>
      <c r="FD121" s="468"/>
      <c r="FE121" s="468"/>
      <c r="FF121" s="468"/>
      <c r="FG121" s="468"/>
      <c r="FH121" s="468"/>
      <c r="FI121" s="468"/>
      <c r="FJ121" s="468"/>
      <c r="FK121" s="468"/>
      <c r="FL121" s="468"/>
      <c r="FM121" s="468"/>
      <c r="FN121" s="468"/>
      <c r="FO121" s="468"/>
      <c r="FP121" s="468"/>
      <c r="FQ121" s="468"/>
      <c r="FR121" s="468"/>
      <c r="FS121" s="468"/>
      <c r="FT121" s="468"/>
      <c r="FU121" s="468"/>
      <c r="FV121" s="468"/>
      <c r="FW121" s="468"/>
      <c r="FX121" s="468"/>
      <c r="FY121" s="468"/>
      <c r="FZ121" s="468"/>
      <c r="GA121" s="468"/>
      <c r="GB121" s="468"/>
      <c r="GC121" s="468"/>
      <c r="GD121" s="468"/>
      <c r="GE121" s="468"/>
      <c r="GF121" s="468"/>
      <c r="GG121" s="468"/>
      <c r="GH121" s="468"/>
      <c r="GI121" s="468"/>
      <c r="GJ121" s="468"/>
      <c r="GK121" s="468"/>
      <c r="GL121" s="468"/>
      <c r="GM121" s="468"/>
      <c r="GN121" s="468"/>
      <c r="GO121" s="468"/>
      <c r="GP121" s="468"/>
      <c r="GQ121" s="468"/>
      <c r="GR121" s="468"/>
      <c r="GS121" s="468"/>
      <c r="GT121" s="468"/>
      <c r="GU121" s="468"/>
      <c r="GV121" s="468"/>
      <c r="GW121" s="468"/>
      <c r="GX121" s="468"/>
      <c r="GY121" s="468"/>
      <c r="GZ121" s="468"/>
      <c r="HA121" s="468"/>
      <c r="HB121" s="468"/>
      <c r="HC121" s="468"/>
      <c r="HD121" s="468"/>
      <c r="HE121" s="468"/>
      <c r="HF121" s="468"/>
      <c r="HG121" s="468"/>
      <c r="HH121" s="468"/>
      <c r="HI121" s="468"/>
      <c r="HJ121" s="468"/>
      <c r="HK121" s="468"/>
      <c r="HL121" s="468"/>
      <c r="HM121" s="468"/>
      <c r="HN121" s="468"/>
      <c r="HO121" s="468"/>
      <c r="HP121" s="468"/>
      <c r="HQ121" s="468"/>
      <c r="HR121" s="468"/>
      <c r="HS121" s="468"/>
      <c r="HT121" s="468"/>
      <c r="HU121" s="468"/>
      <c r="HV121" s="468"/>
      <c r="HW121" s="468"/>
      <c r="HX121" s="468"/>
      <c r="HY121" s="468"/>
      <c r="HZ121" s="468"/>
      <c r="IA121" s="468"/>
      <c r="IB121" s="468"/>
      <c r="IC121" s="468"/>
      <c r="ID121" s="468"/>
      <c r="IE121" s="468"/>
      <c r="IF121" s="468"/>
      <c r="IG121" s="468"/>
      <c r="IH121" s="468"/>
      <c r="II121" s="468"/>
      <c r="IJ121" s="468"/>
      <c r="IK121" s="468"/>
      <c r="IL121" s="468"/>
      <c r="IM121" s="468"/>
      <c r="IN121" s="468"/>
      <c r="IO121" s="468"/>
      <c r="IP121" s="468"/>
      <c r="IQ121" s="468"/>
      <c r="IR121" s="468"/>
      <c r="IS121" s="468"/>
      <c r="IT121" s="468"/>
      <c r="IU121" s="468"/>
      <c r="IV121" s="468"/>
      <c r="IW121" s="468"/>
      <c r="IX121" s="468"/>
      <c r="IY121" s="468"/>
      <c r="IZ121" s="468"/>
      <c r="JA121" s="468"/>
    </row>
    <row r="122" spans="1:261" ht="18.899999999999999" customHeight="1">
      <c r="A122" s="468"/>
      <c r="B122" s="468"/>
      <c r="C122" s="473"/>
      <c r="D122" s="473"/>
      <c r="E122" s="473"/>
      <c r="F122" s="473"/>
      <c r="G122" s="468"/>
      <c r="H122" s="468"/>
      <c r="I122" s="468"/>
      <c r="J122" s="468"/>
      <c r="K122" s="468"/>
      <c r="L122" s="468"/>
      <c r="M122" s="468"/>
      <c r="N122" s="468"/>
      <c r="O122" s="468"/>
      <c r="P122" s="468"/>
      <c r="Q122" s="468"/>
      <c r="R122" s="468"/>
      <c r="S122" s="468"/>
      <c r="T122" s="468"/>
      <c r="U122" s="468"/>
      <c r="V122" s="468"/>
      <c r="W122" s="468"/>
      <c r="X122" s="468"/>
      <c r="Y122" s="468"/>
      <c r="Z122" s="468"/>
      <c r="AA122" s="468"/>
      <c r="AB122" s="468"/>
      <c r="AC122" s="468"/>
      <c r="AD122" s="468"/>
      <c r="AE122" s="468"/>
      <c r="AF122" s="468"/>
      <c r="AG122" s="468"/>
      <c r="AH122" s="468"/>
      <c r="AI122" s="468"/>
      <c r="AJ122" s="468"/>
      <c r="AK122" s="468"/>
      <c r="AL122" s="468"/>
      <c r="AM122" s="468"/>
      <c r="AN122" s="468"/>
      <c r="AO122" s="468"/>
      <c r="AP122" s="468"/>
      <c r="AQ122" s="468"/>
      <c r="AR122" s="468"/>
      <c r="AS122" s="468"/>
      <c r="AT122" s="468"/>
      <c r="AU122" s="468"/>
      <c r="AV122" s="468"/>
      <c r="AW122" s="468"/>
      <c r="AX122" s="468"/>
      <c r="AY122" s="468"/>
      <c r="AZ122" s="468"/>
      <c r="BA122" s="468"/>
      <c r="BB122" s="468"/>
      <c r="BC122" s="468"/>
      <c r="BD122" s="468"/>
      <c r="BE122" s="468"/>
      <c r="BF122" s="468"/>
      <c r="BG122" s="468"/>
      <c r="BH122" s="468"/>
      <c r="BI122" s="468"/>
      <c r="BJ122" s="468"/>
      <c r="BK122" s="468"/>
      <c r="BL122" s="468"/>
      <c r="BM122" s="468"/>
      <c r="BN122" s="468"/>
      <c r="BO122" s="468"/>
      <c r="BP122" s="468"/>
      <c r="BQ122" s="468"/>
      <c r="BR122" s="468"/>
      <c r="BS122" s="468"/>
      <c r="BT122" s="468"/>
      <c r="BU122" s="468"/>
      <c r="BV122" s="468"/>
      <c r="BW122" s="468"/>
      <c r="BX122" s="468"/>
      <c r="BY122" s="468"/>
      <c r="BZ122" s="468"/>
      <c r="CA122" s="468"/>
      <c r="CB122" s="468"/>
      <c r="CC122" s="468"/>
      <c r="CD122" s="468"/>
      <c r="CE122" s="468"/>
      <c r="CF122" s="468"/>
      <c r="CG122" s="468"/>
      <c r="CH122" s="468"/>
      <c r="CI122" s="468"/>
      <c r="CJ122" s="468"/>
      <c r="CK122" s="468"/>
      <c r="CL122" s="468"/>
      <c r="CM122" s="468"/>
      <c r="CN122" s="468"/>
      <c r="CO122" s="468"/>
      <c r="CP122" s="468"/>
      <c r="CQ122" s="468"/>
      <c r="CR122" s="468"/>
      <c r="CS122" s="468"/>
      <c r="CT122" s="468"/>
      <c r="CU122" s="468"/>
      <c r="CV122" s="468"/>
      <c r="CW122" s="468"/>
      <c r="CX122" s="468"/>
      <c r="CY122" s="468"/>
      <c r="CZ122" s="468"/>
      <c r="DA122" s="468"/>
      <c r="DB122" s="468"/>
      <c r="DC122" s="468"/>
      <c r="DD122" s="468"/>
      <c r="DE122" s="468"/>
      <c r="DF122" s="468"/>
      <c r="DG122" s="468"/>
      <c r="DH122" s="468"/>
      <c r="DI122" s="468"/>
      <c r="DJ122" s="468"/>
      <c r="DK122" s="468"/>
      <c r="DL122" s="468"/>
      <c r="DM122" s="468"/>
      <c r="DN122" s="471"/>
      <c r="DO122" s="468"/>
      <c r="DP122" s="468"/>
      <c r="DQ122" s="468"/>
      <c r="DR122" s="468"/>
      <c r="DS122" s="468"/>
      <c r="DT122" s="468"/>
      <c r="DU122" s="468"/>
      <c r="DV122" s="468"/>
      <c r="DW122" s="468"/>
      <c r="DX122" s="468"/>
      <c r="DY122" s="468"/>
      <c r="DZ122" s="468"/>
      <c r="EA122" s="468"/>
      <c r="EB122" s="468"/>
      <c r="EC122" s="468"/>
      <c r="ED122" s="468"/>
      <c r="EE122" s="468"/>
      <c r="EF122" s="468"/>
      <c r="EG122" s="468"/>
      <c r="EH122" s="468"/>
      <c r="EI122" s="468"/>
      <c r="EJ122" s="468"/>
      <c r="EK122" s="468"/>
      <c r="EL122" s="468"/>
      <c r="EM122" s="468"/>
      <c r="EN122" s="468"/>
      <c r="EO122" s="468"/>
      <c r="EP122" s="468"/>
      <c r="EQ122" s="468"/>
      <c r="ER122" s="468"/>
      <c r="ES122" s="468"/>
      <c r="ET122" s="468"/>
      <c r="EU122" s="468"/>
      <c r="EV122" s="468"/>
      <c r="EW122" s="468"/>
      <c r="EX122" s="468"/>
      <c r="EY122" s="468"/>
      <c r="EZ122" s="468"/>
      <c r="FA122" s="468"/>
      <c r="FB122" s="468"/>
      <c r="FC122" s="468"/>
      <c r="FD122" s="468"/>
      <c r="FE122" s="468"/>
      <c r="FF122" s="468"/>
      <c r="FG122" s="468"/>
      <c r="FH122" s="468"/>
      <c r="FI122" s="468"/>
      <c r="FJ122" s="468"/>
      <c r="FK122" s="468"/>
      <c r="FL122" s="468"/>
      <c r="FM122" s="468"/>
      <c r="FN122" s="468"/>
      <c r="FO122" s="468"/>
      <c r="FP122" s="468"/>
      <c r="FQ122" s="468"/>
      <c r="FR122" s="468"/>
      <c r="FS122" s="468"/>
      <c r="FT122" s="468"/>
      <c r="FU122" s="468"/>
      <c r="FV122" s="468"/>
      <c r="FW122" s="468"/>
      <c r="FX122" s="468"/>
      <c r="FY122" s="468"/>
      <c r="FZ122" s="468"/>
      <c r="GA122" s="468"/>
      <c r="GB122" s="468"/>
      <c r="GC122" s="468"/>
      <c r="GD122" s="468"/>
      <c r="GE122" s="468"/>
      <c r="GF122" s="468"/>
      <c r="GG122" s="468"/>
      <c r="GH122" s="468"/>
      <c r="GI122" s="468"/>
      <c r="GJ122" s="468"/>
      <c r="GK122" s="468"/>
      <c r="GL122" s="468"/>
      <c r="GM122" s="468"/>
      <c r="GN122" s="468"/>
      <c r="GO122" s="468"/>
      <c r="GP122" s="468"/>
      <c r="GQ122" s="468"/>
      <c r="GR122" s="468"/>
      <c r="GS122" s="468"/>
      <c r="GT122" s="468"/>
      <c r="GU122" s="468"/>
      <c r="GV122" s="468"/>
      <c r="GW122" s="468"/>
      <c r="GX122" s="468"/>
      <c r="GY122" s="468"/>
      <c r="GZ122" s="468"/>
      <c r="HA122" s="468"/>
      <c r="HB122" s="468"/>
      <c r="HC122" s="468"/>
      <c r="HD122" s="468"/>
      <c r="HE122" s="468"/>
      <c r="HF122" s="468"/>
      <c r="HG122" s="468"/>
      <c r="HH122" s="468"/>
      <c r="HI122" s="468"/>
      <c r="HJ122" s="468"/>
      <c r="HK122" s="468"/>
      <c r="HL122" s="468"/>
      <c r="HM122" s="468"/>
      <c r="HN122" s="468"/>
      <c r="HO122" s="468"/>
      <c r="HP122" s="468"/>
      <c r="HQ122" s="468"/>
      <c r="HR122" s="468"/>
      <c r="HS122" s="468"/>
      <c r="HT122" s="468"/>
      <c r="HU122" s="468"/>
      <c r="HV122" s="468"/>
      <c r="HW122" s="468"/>
      <c r="HX122" s="468"/>
      <c r="HY122" s="468"/>
      <c r="HZ122" s="468"/>
      <c r="IA122" s="468"/>
      <c r="IB122" s="468"/>
      <c r="IC122" s="468"/>
      <c r="ID122" s="468"/>
      <c r="IE122" s="468"/>
      <c r="IF122" s="468"/>
      <c r="IG122" s="468"/>
      <c r="IH122" s="468"/>
      <c r="II122" s="468"/>
      <c r="IJ122" s="468"/>
      <c r="IK122" s="468"/>
      <c r="IL122" s="468"/>
      <c r="IM122" s="468"/>
      <c r="IN122" s="468"/>
      <c r="IO122" s="468"/>
      <c r="IP122" s="468"/>
      <c r="IQ122" s="468"/>
      <c r="IR122" s="468"/>
      <c r="IS122" s="468"/>
      <c r="IT122" s="468"/>
      <c r="IU122" s="468"/>
      <c r="IV122" s="468"/>
      <c r="IW122" s="468"/>
      <c r="IX122" s="468"/>
      <c r="IY122" s="468"/>
      <c r="IZ122" s="468"/>
      <c r="JA122" s="468"/>
    </row>
    <row r="123" spans="1:261" ht="18.899999999999999" customHeight="1">
      <c r="A123" s="468"/>
      <c r="B123" s="468"/>
      <c r="C123" s="473"/>
      <c r="D123" s="473"/>
      <c r="E123" s="473"/>
      <c r="F123" s="473"/>
      <c r="G123" s="468"/>
      <c r="H123" s="468"/>
      <c r="I123" s="468"/>
      <c r="J123" s="468"/>
      <c r="K123" s="468"/>
      <c r="L123" s="468"/>
      <c r="M123" s="468"/>
      <c r="N123" s="468"/>
      <c r="O123" s="468"/>
      <c r="P123" s="468"/>
      <c r="Q123" s="468"/>
      <c r="R123" s="468"/>
      <c r="S123" s="468"/>
      <c r="T123" s="468"/>
      <c r="U123" s="468"/>
      <c r="V123" s="468"/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468"/>
      <c r="AH123" s="468"/>
      <c r="AI123" s="468"/>
      <c r="AJ123" s="468"/>
      <c r="AK123" s="468"/>
      <c r="AL123" s="468"/>
      <c r="AM123" s="468"/>
      <c r="AN123" s="468"/>
      <c r="AO123" s="468"/>
      <c r="AP123" s="468"/>
      <c r="AQ123" s="468"/>
      <c r="AR123" s="468"/>
      <c r="AS123" s="468"/>
      <c r="AT123" s="468"/>
      <c r="AU123" s="468"/>
      <c r="AV123" s="468"/>
      <c r="AW123" s="468"/>
      <c r="AX123" s="468"/>
      <c r="AY123" s="468"/>
      <c r="AZ123" s="468"/>
      <c r="BA123" s="468"/>
      <c r="BB123" s="468"/>
      <c r="BC123" s="468"/>
      <c r="BD123" s="468"/>
      <c r="BE123" s="468"/>
      <c r="BF123" s="468"/>
      <c r="BG123" s="468"/>
      <c r="BH123" s="468"/>
      <c r="BI123" s="468"/>
      <c r="BJ123" s="468"/>
      <c r="BK123" s="468"/>
      <c r="BL123" s="468"/>
      <c r="BM123" s="468"/>
      <c r="BN123" s="468"/>
      <c r="BO123" s="468"/>
      <c r="BP123" s="468"/>
      <c r="BQ123" s="468"/>
      <c r="BR123" s="468"/>
      <c r="BS123" s="468"/>
      <c r="BT123" s="468"/>
      <c r="BU123" s="468"/>
      <c r="BV123" s="468"/>
      <c r="BW123" s="468"/>
      <c r="BX123" s="468"/>
      <c r="BY123" s="468"/>
      <c r="BZ123" s="468"/>
      <c r="CA123" s="468"/>
      <c r="CB123" s="468"/>
      <c r="CC123" s="468"/>
      <c r="CD123" s="468"/>
      <c r="CE123" s="468"/>
      <c r="CF123" s="468"/>
      <c r="CG123" s="468"/>
      <c r="CH123" s="468"/>
      <c r="CI123" s="468"/>
      <c r="CJ123" s="468"/>
      <c r="CK123" s="468"/>
      <c r="CL123" s="468"/>
      <c r="CM123" s="468"/>
      <c r="CN123" s="468"/>
      <c r="CO123" s="468"/>
      <c r="CP123" s="468"/>
      <c r="CQ123" s="468"/>
      <c r="CR123" s="468"/>
      <c r="CS123" s="468"/>
      <c r="CT123" s="468"/>
      <c r="CU123" s="468"/>
      <c r="CV123" s="468"/>
      <c r="CW123" s="468"/>
      <c r="CX123" s="468"/>
      <c r="CY123" s="468"/>
      <c r="CZ123" s="468"/>
      <c r="DA123" s="468"/>
      <c r="DB123" s="468"/>
      <c r="DC123" s="468"/>
      <c r="DD123" s="468"/>
      <c r="DE123" s="468"/>
      <c r="DF123" s="468"/>
      <c r="DG123" s="468"/>
      <c r="DH123" s="468"/>
      <c r="DI123" s="468"/>
      <c r="DJ123" s="468"/>
      <c r="DK123" s="468"/>
      <c r="DL123" s="468"/>
      <c r="DM123" s="468"/>
      <c r="DN123" s="471"/>
      <c r="DO123" s="468"/>
      <c r="DP123" s="468"/>
      <c r="DQ123" s="468"/>
      <c r="DR123" s="468"/>
      <c r="DS123" s="468"/>
      <c r="DT123" s="468"/>
      <c r="DU123" s="468"/>
      <c r="DV123" s="468"/>
      <c r="DW123" s="468"/>
      <c r="DX123" s="468"/>
      <c r="DY123" s="468"/>
      <c r="DZ123" s="468"/>
      <c r="EA123" s="468"/>
      <c r="EB123" s="468"/>
      <c r="EC123" s="468"/>
      <c r="ED123" s="468"/>
      <c r="EE123" s="468"/>
      <c r="EF123" s="468"/>
      <c r="EG123" s="468"/>
      <c r="EH123" s="468"/>
      <c r="EI123" s="468"/>
      <c r="EJ123" s="468"/>
      <c r="EK123" s="468"/>
      <c r="EL123" s="468"/>
      <c r="EM123" s="468"/>
      <c r="EN123" s="468"/>
      <c r="EO123" s="468"/>
      <c r="EP123" s="468"/>
      <c r="EQ123" s="468"/>
      <c r="ER123" s="468"/>
      <c r="ES123" s="468"/>
      <c r="ET123" s="468"/>
      <c r="EU123" s="468"/>
      <c r="EV123" s="468"/>
      <c r="EW123" s="468"/>
      <c r="EX123" s="468"/>
      <c r="EY123" s="468"/>
      <c r="EZ123" s="468"/>
      <c r="FA123" s="468"/>
      <c r="FB123" s="468"/>
      <c r="FC123" s="468"/>
      <c r="FD123" s="468"/>
      <c r="FE123" s="468"/>
      <c r="FF123" s="468"/>
      <c r="FG123" s="468"/>
      <c r="FH123" s="468"/>
      <c r="FI123" s="468"/>
      <c r="FJ123" s="468"/>
      <c r="FK123" s="468"/>
      <c r="FL123" s="468"/>
      <c r="FM123" s="468"/>
      <c r="FN123" s="468"/>
      <c r="FO123" s="468"/>
      <c r="FP123" s="468"/>
      <c r="FQ123" s="468"/>
      <c r="FR123" s="468"/>
      <c r="FS123" s="468"/>
      <c r="FT123" s="468"/>
      <c r="FU123" s="468"/>
      <c r="FV123" s="468"/>
      <c r="FW123" s="468"/>
      <c r="FX123" s="468"/>
      <c r="FY123" s="468"/>
      <c r="FZ123" s="468"/>
      <c r="GA123" s="468"/>
      <c r="GB123" s="468"/>
      <c r="GC123" s="468"/>
      <c r="GD123" s="468"/>
      <c r="GE123" s="468"/>
      <c r="GF123" s="468"/>
      <c r="GG123" s="468"/>
      <c r="GH123" s="468"/>
      <c r="GI123" s="468"/>
      <c r="GJ123" s="468"/>
      <c r="GK123" s="468"/>
      <c r="GL123" s="468"/>
      <c r="GM123" s="468"/>
      <c r="GN123" s="468"/>
      <c r="GO123" s="468"/>
      <c r="GP123" s="468"/>
      <c r="GQ123" s="468"/>
      <c r="GR123" s="468"/>
      <c r="GS123" s="468"/>
      <c r="GT123" s="468"/>
      <c r="GU123" s="468"/>
      <c r="GV123" s="468"/>
      <c r="GW123" s="468"/>
      <c r="GX123" s="468"/>
      <c r="GY123" s="468"/>
      <c r="GZ123" s="468"/>
      <c r="HA123" s="468"/>
      <c r="HB123" s="468"/>
      <c r="HC123" s="468"/>
      <c r="HD123" s="468"/>
      <c r="HE123" s="468"/>
      <c r="HF123" s="468"/>
      <c r="HG123" s="468"/>
      <c r="HH123" s="468"/>
      <c r="HI123" s="468"/>
      <c r="HJ123" s="468"/>
      <c r="HK123" s="468"/>
      <c r="HL123" s="468"/>
      <c r="HM123" s="468"/>
      <c r="HN123" s="468"/>
      <c r="HO123" s="468"/>
      <c r="HP123" s="468"/>
      <c r="HQ123" s="468"/>
      <c r="HR123" s="468"/>
      <c r="HS123" s="468"/>
      <c r="HT123" s="468"/>
      <c r="HU123" s="468"/>
      <c r="HV123" s="468"/>
      <c r="HW123" s="468"/>
      <c r="HX123" s="468"/>
      <c r="HY123" s="468"/>
      <c r="HZ123" s="468"/>
      <c r="IA123" s="468"/>
      <c r="IB123" s="468"/>
      <c r="IC123" s="468"/>
      <c r="ID123" s="468"/>
      <c r="IE123" s="468"/>
      <c r="IF123" s="468"/>
      <c r="IG123" s="468"/>
      <c r="IH123" s="468"/>
      <c r="II123" s="468"/>
      <c r="IJ123" s="468"/>
      <c r="IK123" s="468"/>
      <c r="IL123" s="468"/>
      <c r="IM123" s="468"/>
      <c r="IN123" s="468"/>
      <c r="IO123" s="468"/>
      <c r="IP123" s="468"/>
      <c r="IQ123" s="468"/>
      <c r="IR123" s="468"/>
      <c r="IS123" s="468"/>
      <c r="IT123" s="468"/>
      <c r="IU123" s="468"/>
      <c r="IV123" s="468"/>
      <c r="IW123" s="468"/>
      <c r="IX123" s="468"/>
      <c r="IY123" s="468"/>
      <c r="IZ123" s="468"/>
      <c r="JA123" s="468"/>
    </row>
    <row r="124" spans="1:261" ht="18.899999999999999" customHeight="1">
      <c r="A124" s="468"/>
      <c r="B124" s="468"/>
      <c r="C124" s="473"/>
      <c r="D124" s="473"/>
      <c r="E124" s="473"/>
      <c r="F124" s="473"/>
      <c r="G124" s="468"/>
      <c r="H124" s="468"/>
      <c r="I124" s="468"/>
      <c r="J124" s="468"/>
      <c r="K124" s="468"/>
      <c r="L124" s="468"/>
      <c r="M124" s="468"/>
      <c r="N124" s="468"/>
      <c r="O124" s="468"/>
      <c r="P124" s="468"/>
      <c r="Q124" s="468"/>
      <c r="R124" s="468"/>
      <c r="S124" s="468"/>
      <c r="T124" s="468"/>
      <c r="U124" s="468"/>
      <c r="V124" s="468"/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468"/>
      <c r="AH124" s="468"/>
      <c r="AI124" s="468"/>
      <c r="AJ124" s="468"/>
      <c r="AK124" s="468"/>
      <c r="AL124" s="468"/>
      <c r="AM124" s="468"/>
      <c r="AN124" s="468"/>
      <c r="AO124" s="468"/>
      <c r="AP124" s="468"/>
      <c r="AQ124" s="468"/>
      <c r="AR124" s="468"/>
      <c r="AS124" s="468"/>
      <c r="AT124" s="468"/>
      <c r="AU124" s="468"/>
      <c r="AV124" s="468"/>
      <c r="AW124" s="468"/>
      <c r="AX124" s="468"/>
      <c r="AY124" s="468"/>
      <c r="AZ124" s="468"/>
      <c r="BA124" s="468"/>
      <c r="BB124" s="468"/>
      <c r="BC124" s="468"/>
      <c r="BD124" s="468"/>
      <c r="BE124" s="468"/>
      <c r="BF124" s="468"/>
      <c r="BG124" s="468"/>
      <c r="BH124" s="468"/>
      <c r="BI124" s="468"/>
      <c r="BJ124" s="468"/>
      <c r="BK124" s="468"/>
      <c r="BL124" s="468"/>
      <c r="BM124" s="468"/>
      <c r="BN124" s="468"/>
      <c r="BO124" s="468"/>
      <c r="BP124" s="468"/>
      <c r="BQ124" s="468"/>
      <c r="BR124" s="468"/>
      <c r="BS124" s="468"/>
      <c r="BT124" s="468"/>
      <c r="BU124" s="468"/>
      <c r="BV124" s="468"/>
      <c r="BW124" s="468"/>
      <c r="BX124" s="468"/>
      <c r="BY124" s="468"/>
      <c r="BZ124" s="468"/>
      <c r="CA124" s="468"/>
      <c r="CB124" s="468"/>
      <c r="CC124" s="468"/>
      <c r="CD124" s="468"/>
      <c r="CE124" s="468"/>
      <c r="CF124" s="468"/>
      <c r="CG124" s="468"/>
      <c r="CH124" s="468"/>
      <c r="CI124" s="468"/>
      <c r="CJ124" s="468"/>
      <c r="CK124" s="468"/>
      <c r="CL124" s="468"/>
      <c r="CM124" s="468"/>
      <c r="CN124" s="468"/>
      <c r="CO124" s="468"/>
      <c r="CP124" s="468"/>
      <c r="CQ124" s="468"/>
      <c r="CR124" s="468"/>
      <c r="CS124" s="468"/>
      <c r="CT124" s="468"/>
      <c r="CU124" s="468"/>
      <c r="CV124" s="468"/>
      <c r="CW124" s="468"/>
      <c r="CX124" s="468"/>
      <c r="CY124" s="468"/>
      <c r="CZ124" s="468"/>
      <c r="DA124" s="468"/>
      <c r="DB124" s="468"/>
      <c r="DC124" s="468"/>
      <c r="DD124" s="468"/>
      <c r="DE124" s="468"/>
      <c r="DF124" s="468"/>
      <c r="DG124" s="468"/>
      <c r="DH124" s="468"/>
      <c r="DI124" s="468"/>
      <c r="DJ124" s="468"/>
      <c r="DK124" s="468"/>
      <c r="DL124" s="468"/>
      <c r="DM124" s="468"/>
      <c r="DN124" s="471"/>
      <c r="DO124" s="468"/>
      <c r="DP124" s="468"/>
      <c r="DQ124" s="468"/>
      <c r="DR124" s="468"/>
      <c r="DS124" s="468"/>
      <c r="DT124" s="468"/>
      <c r="DU124" s="468"/>
      <c r="DV124" s="468"/>
      <c r="DW124" s="468"/>
      <c r="DX124" s="468"/>
      <c r="DY124" s="468"/>
      <c r="DZ124" s="468"/>
      <c r="EA124" s="468"/>
      <c r="EB124" s="468"/>
      <c r="EC124" s="468"/>
      <c r="ED124" s="468"/>
      <c r="EE124" s="468"/>
      <c r="EF124" s="468"/>
      <c r="EG124" s="468"/>
      <c r="EH124" s="468"/>
      <c r="EI124" s="468"/>
      <c r="EJ124" s="468"/>
      <c r="EK124" s="468"/>
      <c r="EL124" s="468"/>
      <c r="EM124" s="468"/>
      <c r="EN124" s="468"/>
      <c r="EO124" s="468"/>
      <c r="EP124" s="468"/>
      <c r="EQ124" s="468"/>
      <c r="ER124" s="468"/>
      <c r="ES124" s="468"/>
      <c r="ET124" s="468"/>
      <c r="EU124" s="468"/>
      <c r="EV124" s="468"/>
      <c r="EW124" s="468"/>
      <c r="EX124" s="468"/>
      <c r="EY124" s="468"/>
      <c r="EZ124" s="468"/>
      <c r="FA124" s="468"/>
      <c r="FB124" s="468"/>
      <c r="FC124" s="468"/>
      <c r="FD124" s="468"/>
      <c r="FE124" s="468"/>
      <c r="FF124" s="468"/>
      <c r="FG124" s="468"/>
      <c r="FH124" s="468"/>
      <c r="FI124" s="468"/>
      <c r="FJ124" s="468"/>
      <c r="FK124" s="468"/>
      <c r="FL124" s="468"/>
      <c r="FM124" s="468"/>
      <c r="FN124" s="468"/>
      <c r="FO124" s="468"/>
      <c r="FP124" s="468"/>
      <c r="FQ124" s="468"/>
      <c r="FR124" s="468"/>
      <c r="FS124" s="468"/>
      <c r="FT124" s="468"/>
      <c r="FU124" s="468"/>
      <c r="FV124" s="468"/>
      <c r="FW124" s="468"/>
      <c r="FX124" s="468"/>
      <c r="FY124" s="468"/>
      <c r="FZ124" s="468"/>
      <c r="GA124" s="468"/>
      <c r="GB124" s="468"/>
      <c r="GC124" s="468"/>
      <c r="GD124" s="468"/>
      <c r="GE124" s="468"/>
      <c r="GF124" s="468"/>
      <c r="GG124" s="468"/>
      <c r="GH124" s="468"/>
      <c r="GI124" s="468"/>
      <c r="GJ124" s="468"/>
      <c r="GK124" s="468"/>
      <c r="GL124" s="468"/>
      <c r="GM124" s="468"/>
      <c r="GN124" s="468"/>
      <c r="GO124" s="468"/>
      <c r="GP124" s="468"/>
      <c r="GQ124" s="468"/>
      <c r="GR124" s="468"/>
      <c r="GS124" s="468"/>
      <c r="GT124" s="468"/>
      <c r="GU124" s="468"/>
      <c r="GV124" s="468"/>
      <c r="GW124" s="468"/>
      <c r="GX124" s="468"/>
      <c r="GY124" s="468"/>
      <c r="GZ124" s="468"/>
      <c r="HA124" s="468"/>
      <c r="HB124" s="468"/>
      <c r="HC124" s="468"/>
      <c r="HD124" s="468"/>
      <c r="HE124" s="468"/>
      <c r="HF124" s="468"/>
      <c r="HG124" s="468"/>
      <c r="HH124" s="468"/>
      <c r="HI124" s="468"/>
      <c r="HJ124" s="468"/>
      <c r="HK124" s="468"/>
      <c r="HL124" s="468"/>
      <c r="HM124" s="468"/>
      <c r="HN124" s="468"/>
      <c r="HO124" s="468"/>
      <c r="HP124" s="468"/>
      <c r="HQ124" s="468"/>
      <c r="HR124" s="468"/>
      <c r="HS124" s="468"/>
      <c r="HT124" s="468"/>
      <c r="HU124" s="468"/>
      <c r="HV124" s="468"/>
      <c r="HW124" s="468"/>
      <c r="HX124" s="468"/>
      <c r="HY124" s="468"/>
      <c r="HZ124" s="468"/>
      <c r="IA124" s="468"/>
      <c r="IB124" s="468"/>
      <c r="IC124" s="468"/>
      <c r="ID124" s="468"/>
      <c r="IE124" s="468"/>
      <c r="IF124" s="468"/>
      <c r="IG124" s="468"/>
      <c r="IH124" s="468"/>
      <c r="II124" s="468"/>
      <c r="IJ124" s="468"/>
      <c r="IK124" s="468"/>
      <c r="IL124" s="468"/>
      <c r="IM124" s="468"/>
      <c r="IN124" s="468"/>
      <c r="IO124" s="468"/>
      <c r="IP124" s="468"/>
      <c r="IQ124" s="468"/>
      <c r="IR124" s="468"/>
      <c r="IS124" s="468"/>
      <c r="IT124" s="468"/>
      <c r="IU124" s="468"/>
      <c r="IV124" s="468"/>
      <c r="IW124" s="468"/>
      <c r="IX124" s="468"/>
      <c r="IY124" s="468"/>
      <c r="IZ124" s="468"/>
      <c r="JA124" s="468"/>
    </row>
    <row r="125" spans="1:261" ht="18.899999999999999" customHeight="1">
      <c r="A125" s="468"/>
      <c r="B125" s="468"/>
      <c r="C125" s="473"/>
      <c r="D125" s="473"/>
      <c r="E125" s="473"/>
      <c r="F125" s="473"/>
      <c r="G125" s="468"/>
      <c r="H125" s="468"/>
      <c r="I125" s="468"/>
      <c r="J125" s="468"/>
      <c r="K125" s="468"/>
      <c r="L125" s="468"/>
      <c r="M125" s="468"/>
      <c r="N125" s="468"/>
      <c r="O125" s="468"/>
      <c r="P125" s="468"/>
      <c r="Q125" s="468"/>
      <c r="R125" s="468"/>
      <c r="S125" s="468"/>
      <c r="T125" s="468"/>
      <c r="U125" s="468"/>
      <c r="V125" s="468"/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468"/>
      <c r="AH125" s="468"/>
      <c r="AI125" s="468"/>
      <c r="AJ125" s="468"/>
      <c r="AK125" s="468"/>
      <c r="AL125" s="468"/>
      <c r="AM125" s="468"/>
      <c r="AN125" s="468"/>
      <c r="AO125" s="468"/>
      <c r="AP125" s="468"/>
      <c r="AQ125" s="468"/>
      <c r="AR125" s="468"/>
      <c r="AS125" s="468"/>
      <c r="AT125" s="468"/>
      <c r="AU125" s="468"/>
      <c r="AV125" s="468"/>
      <c r="AW125" s="468"/>
      <c r="AX125" s="468"/>
      <c r="AY125" s="468"/>
      <c r="AZ125" s="468"/>
      <c r="BA125" s="468"/>
      <c r="BB125" s="468"/>
      <c r="BC125" s="468"/>
      <c r="BD125" s="468"/>
      <c r="BE125" s="468"/>
      <c r="BF125" s="468"/>
      <c r="BG125" s="468"/>
      <c r="BH125" s="468"/>
      <c r="BI125" s="468"/>
      <c r="BJ125" s="468"/>
      <c r="BK125" s="468"/>
      <c r="BL125" s="468"/>
      <c r="BM125" s="468"/>
      <c r="BN125" s="468"/>
      <c r="BO125" s="468"/>
      <c r="BP125" s="468"/>
      <c r="BQ125" s="468"/>
      <c r="BR125" s="468"/>
      <c r="BS125" s="468"/>
      <c r="BT125" s="468"/>
      <c r="BU125" s="468"/>
      <c r="BV125" s="468"/>
      <c r="BW125" s="468"/>
      <c r="BX125" s="468"/>
      <c r="BY125" s="468"/>
      <c r="BZ125" s="468"/>
      <c r="CA125" s="468"/>
      <c r="CB125" s="468"/>
      <c r="CC125" s="468"/>
      <c r="CD125" s="468"/>
      <c r="CE125" s="468"/>
      <c r="CF125" s="468"/>
      <c r="CG125" s="468"/>
      <c r="CH125" s="468"/>
      <c r="CI125" s="468"/>
      <c r="CJ125" s="468"/>
      <c r="CK125" s="468"/>
      <c r="CL125" s="468"/>
      <c r="CM125" s="468"/>
      <c r="CN125" s="468"/>
      <c r="CO125" s="468"/>
      <c r="CP125" s="468"/>
      <c r="CQ125" s="468"/>
      <c r="CR125" s="468"/>
      <c r="CS125" s="468"/>
      <c r="CT125" s="468"/>
      <c r="CU125" s="468"/>
      <c r="CV125" s="468"/>
      <c r="CW125" s="468"/>
      <c r="CX125" s="468"/>
      <c r="CY125" s="468"/>
      <c r="CZ125" s="468"/>
      <c r="DA125" s="468"/>
      <c r="DB125" s="468"/>
      <c r="DC125" s="468"/>
      <c r="DD125" s="468"/>
      <c r="DE125" s="468"/>
      <c r="DF125" s="468"/>
      <c r="DG125" s="468"/>
      <c r="DH125" s="468"/>
      <c r="DI125" s="468"/>
      <c r="DJ125" s="468"/>
      <c r="DK125" s="468"/>
      <c r="DL125" s="468"/>
      <c r="DM125" s="468"/>
      <c r="DN125" s="471"/>
      <c r="DO125" s="468"/>
      <c r="DP125" s="468"/>
      <c r="DQ125" s="468"/>
      <c r="DR125" s="468"/>
      <c r="DS125" s="468"/>
      <c r="DT125" s="468"/>
      <c r="DU125" s="468"/>
      <c r="DV125" s="468"/>
      <c r="DW125" s="468"/>
      <c r="DX125" s="468"/>
      <c r="DY125" s="468"/>
      <c r="DZ125" s="468"/>
      <c r="EA125" s="468"/>
      <c r="EB125" s="468"/>
      <c r="EC125" s="468"/>
      <c r="ED125" s="468"/>
      <c r="EE125" s="468"/>
      <c r="EF125" s="468"/>
      <c r="EG125" s="468"/>
      <c r="EH125" s="468"/>
      <c r="EI125" s="468"/>
      <c r="EJ125" s="468"/>
      <c r="EK125" s="468"/>
      <c r="EL125" s="468"/>
      <c r="EM125" s="468"/>
      <c r="EN125" s="468"/>
      <c r="EO125" s="468"/>
      <c r="EP125" s="468"/>
      <c r="EQ125" s="468"/>
      <c r="ER125" s="468"/>
      <c r="ES125" s="468"/>
      <c r="ET125" s="468"/>
      <c r="EU125" s="468"/>
      <c r="EV125" s="468"/>
      <c r="EW125" s="468"/>
      <c r="EX125" s="468"/>
      <c r="EY125" s="468"/>
      <c r="EZ125" s="468"/>
      <c r="FA125" s="468"/>
      <c r="FB125" s="468"/>
      <c r="FC125" s="468"/>
      <c r="FD125" s="468"/>
      <c r="FE125" s="468"/>
      <c r="FF125" s="468"/>
      <c r="FG125" s="468"/>
      <c r="FH125" s="468"/>
      <c r="FI125" s="468"/>
      <c r="FJ125" s="468"/>
      <c r="FK125" s="468"/>
      <c r="FL125" s="468"/>
      <c r="FM125" s="468"/>
      <c r="FN125" s="468"/>
      <c r="FO125" s="468"/>
      <c r="FP125" s="468"/>
      <c r="FQ125" s="468"/>
      <c r="FR125" s="468"/>
      <c r="FS125" s="468"/>
      <c r="FT125" s="468"/>
      <c r="FU125" s="468"/>
      <c r="FV125" s="468"/>
      <c r="FW125" s="468"/>
      <c r="FX125" s="468"/>
      <c r="FY125" s="468"/>
      <c r="FZ125" s="468"/>
      <c r="GA125" s="468"/>
      <c r="GB125" s="468"/>
      <c r="GC125" s="468"/>
      <c r="GD125" s="468"/>
      <c r="GE125" s="468"/>
      <c r="GF125" s="468"/>
      <c r="GG125" s="468"/>
      <c r="GH125" s="468"/>
      <c r="GI125" s="468"/>
      <c r="GJ125" s="468"/>
      <c r="GK125" s="468"/>
      <c r="GL125" s="468"/>
      <c r="GM125" s="468"/>
      <c r="GN125" s="468"/>
      <c r="GO125" s="468"/>
      <c r="GP125" s="468"/>
      <c r="GQ125" s="468"/>
      <c r="GR125" s="468"/>
      <c r="GS125" s="468"/>
      <c r="GT125" s="468"/>
      <c r="GU125" s="468"/>
      <c r="GV125" s="468"/>
      <c r="GW125" s="468"/>
      <c r="GX125" s="468"/>
      <c r="GY125" s="468"/>
      <c r="GZ125" s="468"/>
      <c r="HA125" s="468"/>
      <c r="HB125" s="468"/>
      <c r="HC125" s="468"/>
      <c r="HD125" s="468"/>
      <c r="HE125" s="468"/>
      <c r="HF125" s="468"/>
      <c r="HG125" s="468"/>
      <c r="HH125" s="468"/>
      <c r="HI125" s="468"/>
      <c r="HJ125" s="468"/>
      <c r="HK125" s="468"/>
      <c r="HL125" s="468"/>
      <c r="HM125" s="468"/>
      <c r="HN125" s="468"/>
      <c r="HO125" s="468"/>
      <c r="HP125" s="468"/>
      <c r="HQ125" s="468"/>
      <c r="HR125" s="468"/>
      <c r="HS125" s="468"/>
      <c r="HT125" s="468"/>
      <c r="HU125" s="468"/>
      <c r="HV125" s="468"/>
      <c r="HW125" s="468"/>
      <c r="HX125" s="468"/>
      <c r="HY125" s="468"/>
      <c r="HZ125" s="468"/>
      <c r="IA125" s="468"/>
      <c r="IB125" s="468"/>
      <c r="IC125" s="468"/>
      <c r="ID125" s="468"/>
      <c r="IE125" s="468"/>
      <c r="IF125" s="468"/>
      <c r="IG125" s="468"/>
      <c r="IH125" s="468"/>
      <c r="II125" s="468"/>
      <c r="IJ125" s="468"/>
      <c r="IK125" s="468"/>
      <c r="IL125" s="468"/>
      <c r="IM125" s="468"/>
      <c r="IN125" s="468"/>
      <c r="IO125" s="468"/>
      <c r="IP125" s="468"/>
      <c r="IQ125" s="468"/>
      <c r="IR125" s="468"/>
      <c r="IS125" s="468"/>
      <c r="IT125" s="468"/>
      <c r="IU125" s="468"/>
      <c r="IV125" s="468"/>
      <c r="IW125" s="468"/>
      <c r="IX125" s="468"/>
      <c r="IY125" s="468"/>
      <c r="IZ125" s="468"/>
      <c r="JA125" s="468"/>
    </row>
    <row r="126" spans="1:261" ht="18.899999999999999" customHeight="1">
      <c r="A126" s="468"/>
      <c r="B126" s="468"/>
      <c r="C126" s="473"/>
      <c r="D126" s="473"/>
      <c r="E126" s="473"/>
      <c r="F126" s="473"/>
      <c r="G126" s="468"/>
      <c r="H126" s="468"/>
      <c r="I126" s="468"/>
      <c r="J126" s="468"/>
      <c r="K126" s="468"/>
      <c r="L126" s="468"/>
      <c r="M126" s="468"/>
      <c r="N126" s="468"/>
      <c r="O126" s="468"/>
      <c r="P126" s="468"/>
      <c r="Q126" s="468"/>
      <c r="R126" s="468"/>
      <c r="S126" s="468"/>
      <c r="T126" s="468"/>
      <c r="U126" s="468"/>
      <c r="V126" s="468"/>
      <c r="W126" s="468"/>
      <c r="X126" s="468"/>
      <c r="Y126" s="468"/>
      <c r="Z126" s="468"/>
      <c r="AA126" s="468"/>
      <c r="AB126" s="468"/>
      <c r="AC126" s="468"/>
      <c r="AD126" s="468"/>
      <c r="AE126" s="468"/>
      <c r="AF126" s="468"/>
      <c r="AG126" s="468"/>
      <c r="AH126" s="468"/>
      <c r="AI126" s="468"/>
      <c r="AJ126" s="468"/>
      <c r="AK126" s="468"/>
      <c r="AL126" s="468"/>
      <c r="AM126" s="468"/>
      <c r="AN126" s="468"/>
      <c r="AO126" s="468"/>
      <c r="AP126" s="468"/>
      <c r="AQ126" s="468"/>
      <c r="AR126" s="468"/>
      <c r="AS126" s="468"/>
      <c r="AT126" s="468"/>
      <c r="AU126" s="468"/>
      <c r="AV126" s="468"/>
      <c r="AW126" s="468"/>
      <c r="AX126" s="468"/>
      <c r="AY126" s="468"/>
      <c r="AZ126" s="468"/>
      <c r="BA126" s="468"/>
      <c r="BB126" s="468"/>
      <c r="BC126" s="468"/>
      <c r="BD126" s="468"/>
      <c r="BE126" s="468"/>
      <c r="BF126" s="468"/>
      <c r="BG126" s="468"/>
      <c r="BH126" s="468"/>
      <c r="BI126" s="468"/>
      <c r="BJ126" s="468"/>
      <c r="BK126" s="468"/>
      <c r="BL126" s="468"/>
      <c r="BM126" s="468"/>
      <c r="BN126" s="468"/>
      <c r="BO126" s="468"/>
      <c r="BP126" s="468"/>
      <c r="BQ126" s="468"/>
      <c r="BR126" s="468"/>
      <c r="BS126" s="468"/>
      <c r="BT126" s="468"/>
      <c r="BU126" s="468"/>
      <c r="BV126" s="468"/>
      <c r="BW126" s="468"/>
      <c r="BX126" s="468"/>
      <c r="BY126" s="468"/>
      <c r="BZ126" s="468"/>
      <c r="CA126" s="468"/>
      <c r="CB126" s="468"/>
      <c r="CC126" s="468"/>
      <c r="CD126" s="468"/>
      <c r="CE126" s="468"/>
      <c r="CF126" s="468"/>
      <c r="CG126" s="468"/>
      <c r="CH126" s="468"/>
      <c r="CI126" s="468"/>
      <c r="CJ126" s="468"/>
      <c r="CK126" s="468"/>
      <c r="CL126" s="468"/>
      <c r="CM126" s="468"/>
      <c r="CN126" s="468"/>
      <c r="CO126" s="468"/>
      <c r="CP126" s="468"/>
      <c r="CQ126" s="468"/>
      <c r="CR126" s="468"/>
      <c r="CS126" s="468"/>
      <c r="CT126" s="468"/>
      <c r="CU126" s="468"/>
      <c r="CV126" s="468"/>
      <c r="CW126" s="468"/>
      <c r="CX126" s="468"/>
      <c r="CY126" s="468"/>
      <c r="CZ126" s="468"/>
      <c r="DA126" s="468"/>
      <c r="DB126" s="468"/>
      <c r="DC126" s="468"/>
      <c r="DD126" s="468"/>
      <c r="DE126" s="468"/>
      <c r="DF126" s="468"/>
      <c r="DG126" s="468"/>
      <c r="DH126" s="468"/>
      <c r="DI126" s="468"/>
      <c r="DJ126" s="468"/>
      <c r="DK126" s="468"/>
      <c r="DL126" s="468"/>
      <c r="DM126" s="468"/>
      <c r="DN126" s="471"/>
      <c r="DO126" s="468"/>
      <c r="DP126" s="468"/>
      <c r="DQ126" s="468"/>
      <c r="DR126" s="468"/>
      <c r="DS126" s="468"/>
      <c r="DT126" s="468"/>
      <c r="DU126" s="468"/>
      <c r="DV126" s="468"/>
      <c r="DW126" s="468"/>
      <c r="DX126" s="468"/>
      <c r="DY126" s="468"/>
      <c r="DZ126" s="468"/>
      <c r="EA126" s="468"/>
      <c r="EB126" s="468"/>
      <c r="EC126" s="468"/>
      <c r="ED126" s="468"/>
      <c r="EE126" s="468"/>
      <c r="EF126" s="468"/>
      <c r="EG126" s="468"/>
      <c r="EH126" s="468"/>
      <c r="EI126" s="468"/>
      <c r="EJ126" s="468"/>
      <c r="EK126" s="468"/>
      <c r="EL126" s="468"/>
      <c r="EM126" s="468"/>
      <c r="EN126" s="468"/>
      <c r="EO126" s="468"/>
      <c r="EP126" s="468"/>
      <c r="EQ126" s="468"/>
      <c r="ER126" s="468"/>
      <c r="ES126" s="468"/>
      <c r="ET126" s="468"/>
      <c r="EU126" s="468"/>
      <c r="EV126" s="468"/>
      <c r="EW126" s="468"/>
      <c r="EX126" s="468"/>
      <c r="EY126" s="468"/>
      <c r="EZ126" s="468"/>
      <c r="FA126" s="468"/>
      <c r="FB126" s="468"/>
      <c r="FC126" s="468"/>
      <c r="FD126" s="468"/>
      <c r="FE126" s="468"/>
      <c r="FF126" s="468"/>
      <c r="FG126" s="468"/>
      <c r="FH126" s="468"/>
      <c r="FI126" s="468"/>
      <c r="FJ126" s="468"/>
      <c r="FK126" s="468"/>
      <c r="FL126" s="468"/>
      <c r="FM126" s="468"/>
      <c r="FN126" s="468"/>
      <c r="FO126" s="468"/>
      <c r="FP126" s="468"/>
      <c r="FQ126" s="468"/>
      <c r="FR126" s="468"/>
      <c r="FS126" s="468"/>
      <c r="FT126" s="468"/>
      <c r="FU126" s="468"/>
      <c r="FV126" s="468"/>
      <c r="FW126" s="468"/>
      <c r="FX126" s="468"/>
      <c r="FY126" s="468"/>
      <c r="FZ126" s="468"/>
      <c r="GA126" s="468"/>
      <c r="GB126" s="468"/>
      <c r="GC126" s="468"/>
      <c r="GD126" s="468"/>
      <c r="GE126" s="468"/>
      <c r="GF126" s="468"/>
      <c r="GG126" s="468"/>
      <c r="GH126" s="468"/>
      <c r="GI126" s="468"/>
      <c r="GJ126" s="468"/>
      <c r="GK126" s="468"/>
      <c r="GL126" s="468"/>
      <c r="GM126" s="468"/>
      <c r="GN126" s="468"/>
      <c r="GO126" s="468"/>
      <c r="GP126" s="468"/>
      <c r="GQ126" s="468"/>
      <c r="GR126" s="468"/>
      <c r="GS126" s="468"/>
      <c r="GT126" s="468"/>
      <c r="GU126" s="468"/>
      <c r="GV126" s="468"/>
      <c r="GW126" s="468"/>
      <c r="GX126" s="468"/>
      <c r="GY126" s="468"/>
      <c r="GZ126" s="468"/>
      <c r="HA126" s="468"/>
      <c r="HB126" s="468"/>
      <c r="HC126" s="468"/>
      <c r="HD126" s="468"/>
      <c r="HE126" s="468"/>
      <c r="HF126" s="468"/>
      <c r="HG126" s="468"/>
      <c r="HH126" s="468"/>
      <c r="HI126" s="468"/>
      <c r="HJ126" s="468"/>
      <c r="HK126" s="468"/>
      <c r="HL126" s="468"/>
      <c r="HM126" s="468"/>
      <c r="HN126" s="468"/>
      <c r="HO126" s="468"/>
      <c r="HP126" s="468"/>
      <c r="HQ126" s="468"/>
      <c r="HR126" s="468"/>
      <c r="HS126" s="468"/>
      <c r="HT126" s="468"/>
      <c r="HU126" s="468"/>
      <c r="HV126" s="468"/>
      <c r="HW126" s="468"/>
      <c r="HX126" s="468"/>
      <c r="HY126" s="468"/>
      <c r="HZ126" s="468"/>
      <c r="IA126" s="468"/>
      <c r="IB126" s="468"/>
      <c r="IC126" s="468"/>
      <c r="ID126" s="468"/>
      <c r="IE126" s="468"/>
      <c r="IF126" s="468"/>
      <c r="IG126" s="468"/>
      <c r="IH126" s="468"/>
      <c r="II126" s="468"/>
      <c r="IJ126" s="468"/>
      <c r="IK126" s="468"/>
      <c r="IL126" s="468"/>
      <c r="IM126" s="468"/>
      <c r="IN126" s="468"/>
      <c r="IO126" s="468"/>
      <c r="IP126" s="468"/>
      <c r="IQ126" s="468"/>
      <c r="IR126" s="468"/>
      <c r="IS126" s="468"/>
      <c r="IT126" s="468"/>
      <c r="IU126" s="468"/>
      <c r="IV126" s="468"/>
      <c r="IW126" s="468"/>
      <c r="IX126" s="468"/>
      <c r="IY126" s="468"/>
      <c r="IZ126" s="468"/>
      <c r="JA126" s="468"/>
    </row>
    <row r="127" spans="1:261" ht="18.899999999999999" customHeight="1">
      <c r="A127" s="468"/>
      <c r="B127" s="468"/>
      <c r="C127" s="473"/>
      <c r="D127" s="473"/>
      <c r="E127" s="473"/>
      <c r="F127" s="473"/>
      <c r="G127" s="468"/>
      <c r="H127" s="468"/>
      <c r="I127" s="468"/>
      <c r="J127" s="468"/>
      <c r="K127" s="468"/>
      <c r="L127" s="468"/>
      <c r="M127" s="468"/>
      <c r="N127" s="468"/>
      <c r="O127" s="468"/>
      <c r="P127" s="468"/>
      <c r="Q127" s="468"/>
      <c r="R127" s="468"/>
      <c r="S127" s="468"/>
      <c r="T127" s="468"/>
      <c r="U127" s="468"/>
      <c r="V127" s="468"/>
      <c r="W127" s="468"/>
      <c r="X127" s="468"/>
      <c r="Y127" s="468"/>
      <c r="Z127" s="468"/>
      <c r="AA127" s="468"/>
      <c r="AB127" s="468"/>
      <c r="AC127" s="468"/>
      <c r="AD127" s="468"/>
      <c r="AE127" s="468"/>
      <c r="AF127" s="468"/>
      <c r="AG127" s="468"/>
      <c r="AH127" s="468"/>
      <c r="AI127" s="468"/>
      <c r="AJ127" s="468"/>
      <c r="AK127" s="468"/>
      <c r="AL127" s="468"/>
      <c r="AM127" s="468"/>
      <c r="AN127" s="468"/>
      <c r="AO127" s="468"/>
      <c r="AP127" s="468"/>
      <c r="AQ127" s="468"/>
      <c r="AR127" s="468"/>
      <c r="AS127" s="468"/>
      <c r="AT127" s="468"/>
      <c r="AU127" s="468"/>
      <c r="AV127" s="468"/>
      <c r="AW127" s="468"/>
      <c r="AX127" s="468"/>
      <c r="AY127" s="468"/>
      <c r="AZ127" s="468"/>
      <c r="BA127" s="468"/>
      <c r="BB127" s="468"/>
      <c r="BC127" s="468"/>
      <c r="BD127" s="468"/>
      <c r="BE127" s="468"/>
      <c r="BF127" s="468"/>
      <c r="BG127" s="468"/>
      <c r="BH127" s="468"/>
      <c r="BI127" s="468"/>
      <c r="BJ127" s="468"/>
      <c r="BK127" s="468"/>
      <c r="BL127" s="468"/>
      <c r="BM127" s="468"/>
      <c r="BN127" s="468"/>
      <c r="BO127" s="468"/>
      <c r="BP127" s="468"/>
      <c r="BQ127" s="468"/>
      <c r="BR127" s="468"/>
      <c r="BS127" s="468"/>
      <c r="BT127" s="468"/>
      <c r="BU127" s="468"/>
      <c r="BV127" s="468"/>
      <c r="BW127" s="468"/>
      <c r="BX127" s="468"/>
      <c r="BY127" s="468"/>
      <c r="BZ127" s="468"/>
      <c r="CA127" s="468"/>
      <c r="CB127" s="468"/>
      <c r="CC127" s="468"/>
      <c r="CD127" s="468"/>
      <c r="CE127" s="468"/>
      <c r="CF127" s="468"/>
      <c r="CG127" s="468"/>
      <c r="CH127" s="468"/>
      <c r="CI127" s="468"/>
      <c r="CJ127" s="468"/>
      <c r="CK127" s="468"/>
      <c r="CL127" s="468"/>
      <c r="CM127" s="468"/>
      <c r="CN127" s="468"/>
      <c r="CO127" s="468"/>
      <c r="CP127" s="468"/>
      <c r="CQ127" s="468"/>
      <c r="CR127" s="468"/>
      <c r="CS127" s="468"/>
      <c r="CT127" s="468"/>
      <c r="CU127" s="468"/>
      <c r="CV127" s="468"/>
      <c r="CW127" s="468"/>
      <c r="CX127" s="468"/>
      <c r="CY127" s="468"/>
      <c r="CZ127" s="468"/>
      <c r="DA127" s="468"/>
      <c r="DB127" s="468"/>
      <c r="DC127" s="468"/>
      <c r="DD127" s="468"/>
      <c r="DE127" s="468"/>
      <c r="DF127" s="468"/>
      <c r="DG127" s="468"/>
      <c r="DH127" s="468"/>
      <c r="DI127" s="468"/>
      <c r="DJ127" s="468"/>
      <c r="DK127" s="468"/>
      <c r="DL127" s="468"/>
      <c r="DM127" s="468"/>
      <c r="DN127" s="471"/>
      <c r="DO127" s="468"/>
      <c r="DP127" s="468"/>
      <c r="DQ127" s="468"/>
      <c r="DR127" s="468"/>
      <c r="DS127" s="468"/>
      <c r="DT127" s="468"/>
      <c r="DU127" s="468"/>
      <c r="DV127" s="468"/>
      <c r="DW127" s="468"/>
      <c r="DX127" s="468"/>
      <c r="DY127" s="468"/>
      <c r="DZ127" s="468"/>
      <c r="EA127" s="468"/>
      <c r="EB127" s="468"/>
      <c r="EC127" s="468"/>
      <c r="ED127" s="468"/>
      <c r="EE127" s="468"/>
      <c r="EF127" s="468"/>
      <c r="EG127" s="468"/>
      <c r="EH127" s="468"/>
      <c r="EI127" s="468"/>
      <c r="EJ127" s="468"/>
      <c r="EK127" s="468"/>
      <c r="EL127" s="468"/>
      <c r="EM127" s="468"/>
      <c r="EN127" s="468"/>
      <c r="EO127" s="468"/>
      <c r="EP127" s="468"/>
      <c r="EQ127" s="468"/>
      <c r="ER127" s="468"/>
      <c r="ES127" s="468"/>
      <c r="ET127" s="468"/>
      <c r="EU127" s="468"/>
      <c r="EV127" s="468"/>
      <c r="EW127" s="468"/>
      <c r="EX127" s="468"/>
      <c r="EY127" s="468"/>
      <c r="EZ127" s="468"/>
      <c r="FA127" s="468"/>
      <c r="FB127" s="468"/>
      <c r="FC127" s="468"/>
      <c r="FD127" s="468"/>
      <c r="FE127" s="468"/>
      <c r="FF127" s="468"/>
      <c r="FG127" s="468"/>
      <c r="FH127" s="468"/>
      <c r="FI127" s="468"/>
      <c r="FJ127" s="468"/>
      <c r="FK127" s="468"/>
      <c r="FL127" s="468"/>
      <c r="FM127" s="468"/>
      <c r="FN127" s="468"/>
      <c r="FO127" s="468"/>
      <c r="FP127" s="468"/>
      <c r="FQ127" s="468"/>
      <c r="FR127" s="468"/>
      <c r="FS127" s="468"/>
      <c r="FT127" s="468"/>
      <c r="FU127" s="468"/>
      <c r="FV127" s="468"/>
      <c r="FW127" s="468"/>
      <c r="FX127" s="468"/>
      <c r="FY127" s="468"/>
      <c r="FZ127" s="468"/>
      <c r="GA127" s="468"/>
      <c r="GB127" s="468"/>
      <c r="GC127" s="468"/>
      <c r="GD127" s="468"/>
      <c r="GE127" s="468"/>
      <c r="GF127" s="468"/>
      <c r="GG127" s="468"/>
      <c r="GH127" s="468"/>
      <c r="GI127" s="468"/>
      <c r="GJ127" s="468"/>
      <c r="GK127" s="468"/>
      <c r="GL127" s="468"/>
      <c r="GM127" s="468"/>
      <c r="GN127" s="468"/>
      <c r="GO127" s="468"/>
      <c r="GP127" s="468"/>
      <c r="GQ127" s="468"/>
      <c r="GR127" s="468"/>
      <c r="GS127" s="468"/>
      <c r="GT127" s="468"/>
      <c r="GU127" s="468"/>
      <c r="GV127" s="468"/>
      <c r="GW127" s="468"/>
      <c r="GX127" s="468"/>
      <c r="GY127" s="468"/>
      <c r="GZ127" s="468"/>
      <c r="HA127" s="468"/>
      <c r="HB127" s="468"/>
      <c r="HC127" s="468"/>
      <c r="HD127" s="468"/>
      <c r="HE127" s="468"/>
      <c r="HF127" s="468"/>
      <c r="HG127" s="468"/>
      <c r="HH127" s="468"/>
      <c r="HI127" s="468"/>
      <c r="HJ127" s="468"/>
      <c r="HK127" s="468"/>
      <c r="HL127" s="468"/>
      <c r="HM127" s="468"/>
      <c r="HN127" s="468"/>
      <c r="HO127" s="468"/>
      <c r="HP127" s="468"/>
      <c r="HQ127" s="468"/>
      <c r="HR127" s="468"/>
      <c r="HS127" s="468"/>
      <c r="HT127" s="468"/>
      <c r="HU127" s="468"/>
      <c r="HV127" s="468"/>
      <c r="HW127" s="468"/>
      <c r="HX127" s="468"/>
      <c r="HY127" s="468"/>
      <c r="HZ127" s="468"/>
      <c r="IA127" s="468"/>
      <c r="IB127" s="468"/>
      <c r="IC127" s="468"/>
      <c r="ID127" s="468"/>
      <c r="IE127" s="468"/>
      <c r="IF127" s="468"/>
      <c r="IG127" s="468"/>
      <c r="IH127" s="468"/>
      <c r="II127" s="468"/>
      <c r="IJ127" s="468"/>
      <c r="IK127" s="468"/>
      <c r="IL127" s="468"/>
      <c r="IM127" s="468"/>
      <c r="IN127" s="468"/>
      <c r="IO127" s="468"/>
      <c r="IP127" s="468"/>
      <c r="IQ127" s="468"/>
      <c r="IR127" s="468"/>
      <c r="IS127" s="468"/>
      <c r="IT127" s="468"/>
      <c r="IU127" s="468"/>
      <c r="IV127" s="468"/>
      <c r="IW127" s="468"/>
      <c r="IX127" s="468"/>
      <c r="IY127" s="468"/>
      <c r="IZ127" s="468"/>
      <c r="JA127" s="468"/>
    </row>
    <row r="128" spans="1:261" ht="18.899999999999999" customHeight="1">
      <c r="A128" s="468"/>
      <c r="B128" s="468"/>
      <c r="C128" s="473"/>
      <c r="D128" s="473"/>
      <c r="E128" s="473"/>
      <c r="F128" s="473"/>
      <c r="G128" s="468"/>
      <c r="H128" s="468"/>
      <c r="I128" s="468"/>
      <c r="J128" s="468"/>
      <c r="K128" s="468"/>
      <c r="L128" s="468"/>
      <c r="M128" s="468"/>
      <c r="N128" s="468"/>
      <c r="O128" s="468"/>
      <c r="P128" s="468"/>
      <c r="Q128" s="468"/>
      <c r="R128" s="468"/>
      <c r="S128" s="468"/>
      <c r="T128" s="468"/>
      <c r="U128" s="468"/>
      <c r="V128" s="468"/>
      <c r="W128" s="468"/>
      <c r="X128" s="468"/>
      <c r="Y128" s="468"/>
      <c r="Z128" s="468"/>
      <c r="AA128" s="468"/>
      <c r="AB128" s="468"/>
      <c r="AC128" s="468"/>
      <c r="AD128" s="468"/>
      <c r="AE128" s="468"/>
      <c r="AF128" s="468"/>
      <c r="AG128" s="468"/>
      <c r="AH128" s="468"/>
      <c r="AI128" s="468"/>
      <c r="AJ128" s="468"/>
      <c r="AK128" s="468"/>
      <c r="AL128" s="468"/>
      <c r="AM128" s="468"/>
      <c r="AN128" s="468"/>
      <c r="AO128" s="468"/>
      <c r="AP128" s="468"/>
      <c r="AQ128" s="468"/>
      <c r="AR128" s="468"/>
      <c r="AS128" s="468"/>
      <c r="AT128" s="468"/>
      <c r="AU128" s="468"/>
      <c r="AV128" s="468"/>
      <c r="AW128" s="468"/>
      <c r="AX128" s="468"/>
      <c r="AY128" s="468"/>
      <c r="AZ128" s="468"/>
      <c r="BA128" s="468"/>
      <c r="BB128" s="468"/>
      <c r="BC128" s="468"/>
      <c r="BD128" s="468"/>
      <c r="BE128" s="468"/>
      <c r="BF128" s="468"/>
      <c r="BG128" s="468"/>
      <c r="BH128" s="468"/>
      <c r="BI128" s="468"/>
      <c r="BJ128" s="468"/>
      <c r="BK128" s="468"/>
      <c r="BL128" s="468"/>
      <c r="BM128" s="468"/>
      <c r="BN128" s="468"/>
      <c r="BO128" s="468"/>
      <c r="BP128" s="468"/>
      <c r="BQ128" s="468"/>
      <c r="BR128" s="468"/>
      <c r="BS128" s="468"/>
      <c r="BT128" s="468"/>
      <c r="BU128" s="468"/>
      <c r="BV128" s="468"/>
      <c r="BW128" s="468"/>
      <c r="BX128" s="468"/>
      <c r="BY128" s="468"/>
      <c r="BZ128" s="468"/>
      <c r="CA128" s="468"/>
      <c r="CB128" s="468"/>
      <c r="CC128" s="468"/>
      <c r="CD128" s="468"/>
      <c r="CE128" s="468"/>
      <c r="CF128" s="468"/>
      <c r="CG128" s="468"/>
      <c r="CH128" s="468"/>
      <c r="CI128" s="468"/>
      <c r="CJ128" s="468"/>
      <c r="CK128" s="468"/>
      <c r="CL128" s="468"/>
      <c r="CM128" s="468"/>
      <c r="CN128" s="468"/>
      <c r="CO128" s="468"/>
      <c r="CP128" s="468"/>
      <c r="CQ128" s="468"/>
      <c r="CR128" s="468"/>
      <c r="CS128" s="468"/>
      <c r="CT128" s="468"/>
      <c r="CU128" s="468"/>
      <c r="CV128" s="468"/>
      <c r="CW128" s="468"/>
      <c r="CX128" s="468"/>
      <c r="CY128" s="468"/>
      <c r="CZ128" s="468"/>
      <c r="DA128" s="468"/>
      <c r="DB128" s="468"/>
      <c r="DC128" s="468"/>
      <c r="DD128" s="468"/>
      <c r="DE128" s="468"/>
      <c r="DF128" s="468"/>
      <c r="DG128" s="468"/>
      <c r="DH128" s="468"/>
      <c r="DI128" s="468"/>
      <c r="DJ128" s="468"/>
      <c r="DK128" s="468"/>
      <c r="DL128" s="468"/>
      <c r="DM128" s="468"/>
      <c r="DN128" s="471"/>
      <c r="DO128" s="468"/>
      <c r="DP128" s="468"/>
      <c r="DQ128" s="468"/>
      <c r="DR128" s="468"/>
      <c r="DS128" s="468"/>
      <c r="DT128" s="468"/>
      <c r="DU128" s="468"/>
      <c r="DV128" s="468"/>
      <c r="DW128" s="468"/>
      <c r="DX128" s="468"/>
      <c r="DY128" s="468"/>
      <c r="DZ128" s="468"/>
      <c r="EA128" s="468"/>
      <c r="EB128" s="468"/>
      <c r="EC128" s="468"/>
      <c r="ED128" s="468"/>
      <c r="EE128" s="468"/>
      <c r="EF128" s="468"/>
      <c r="EG128" s="468"/>
      <c r="EH128" s="468"/>
      <c r="EI128" s="468"/>
      <c r="EJ128" s="468"/>
      <c r="EK128" s="468"/>
      <c r="EL128" s="468"/>
      <c r="EM128" s="468"/>
      <c r="EN128" s="468"/>
      <c r="EO128" s="468"/>
      <c r="EP128" s="468"/>
      <c r="EQ128" s="468"/>
      <c r="ER128" s="468"/>
      <c r="ES128" s="468"/>
      <c r="ET128" s="468"/>
      <c r="EU128" s="468"/>
      <c r="EV128" s="468"/>
      <c r="EW128" s="468"/>
      <c r="EX128" s="468"/>
      <c r="EY128" s="468"/>
      <c r="EZ128" s="468"/>
      <c r="FA128" s="468"/>
      <c r="FB128" s="468"/>
      <c r="FC128" s="468"/>
      <c r="FD128" s="468"/>
      <c r="FE128" s="468"/>
      <c r="FF128" s="468"/>
      <c r="FG128" s="468"/>
      <c r="FH128" s="468"/>
      <c r="FI128" s="468"/>
      <c r="FJ128" s="468"/>
      <c r="FK128" s="468"/>
      <c r="FL128" s="468"/>
      <c r="FM128" s="468"/>
      <c r="FN128" s="468"/>
      <c r="FO128" s="468"/>
      <c r="FP128" s="468"/>
      <c r="FQ128" s="468"/>
      <c r="FR128" s="468"/>
      <c r="FS128" s="468"/>
      <c r="FT128" s="468"/>
      <c r="FU128" s="468"/>
      <c r="FV128" s="468"/>
      <c r="FW128" s="468"/>
      <c r="FX128" s="468"/>
      <c r="FY128" s="468"/>
      <c r="FZ128" s="468"/>
      <c r="GA128" s="468"/>
      <c r="GB128" s="468"/>
      <c r="GC128" s="468"/>
      <c r="GD128" s="468"/>
      <c r="GE128" s="468"/>
      <c r="GF128" s="468"/>
      <c r="GG128" s="468"/>
      <c r="GH128" s="468"/>
      <c r="GI128" s="468"/>
      <c r="GJ128" s="468"/>
      <c r="GK128" s="468"/>
      <c r="GL128" s="468"/>
      <c r="GM128" s="468"/>
      <c r="GN128" s="468"/>
      <c r="GO128" s="468"/>
      <c r="GP128" s="468"/>
      <c r="GQ128" s="468"/>
      <c r="GR128" s="468"/>
      <c r="GS128" s="468"/>
      <c r="GT128" s="468"/>
      <c r="GU128" s="468"/>
      <c r="GV128" s="468"/>
      <c r="GW128" s="468"/>
      <c r="GX128" s="468"/>
      <c r="GY128" s="468"/>
      <c r="GZ128" s="468"/>
      <c r="HA128" s="468"/>
      <c r="HB128" s="468"/>
      <c r="HC128" s="468"/>
      <c r="HD128" s="468"/>
      <c r="HE128" s="468"/>
      <c r="HF128" s="468"/>
      <c r="HG128" s="468"/>
      <c r="HH128" s="468"/>
      <c r="HI128" s="468"/>
      <c r="HJ128" s="468"/>
      <c r="HK128" s="468"/>
      <c r="HL128" s="468"/>
      <c r="HM128" s="468"/>
      <c r="HN128" s="468"/>
      <c r="HO128" s="468"/>
      <c r="HP128" s="468"/>
      <c r="HQ128" s="468"/>
      <c r="HR128" s="468"/>
      <c r="HS128" s="468"/>
      <c r="HT128" s="468"/>
      <c r="HU128" s="468"/>
      <c r="HV128" s="468"/>
      <c r="HW128" s="468"/>
      <c r="HX128" s="468"/>
      <c r="HY128" s="468"/>
      <c r="HZ128" s="468"/>
      <c r="IA128" s="468"/>
      <c r="IB128" s="468"/>
      <c r="IC128" s="468"/>
      <c r="ID128" s="468"/>
      <c r="IE128" s="468"/>
      <c r="IF128" s="468"/>
      <c r="IG128" s="468"/>
      <c r="IH128" s="468"/>
      <c r="II128" s="468"/>
      <c r="IJ128" s="468"/>
      <c r="IK128" s="468"/>
      <c r="IL128" s="468"/>
      <c r="IM128" s="468"/>
      <c r="IN128" s="468"/>
      <c r="IO128" s="468"/>
      <c r="IP128" s="468"/>
      <c r="IQ128" s="468"/>
      <c r="IR128" s="468"/>
      <c r="IS128" s="468"/>
      <c r="IT128" s="468"/>
      <c r="IU128" s="468"/>
      <c r="IV128" s="468"/>
      <c r="IW128" s="468"/>
      <c r="IX128" s="468"/>
      <c r="IY128" s="468"/>
      <c r="IZ128" s="468"/>
      <c r="JA128" s="468"/>
    </row>
    <row r="129" spans="1:261" ht="18.899999999999999" customHeight="1">
      <c r="A129" s="468"/>
      <c r="B129" s="468"/>
      <c r="C129" s="473"/>
      <c r="D129" s="473"/>
      <c r="E129" s="473"/>
      <c r="F129" s="473"/>
      <c r="G129" s="468"/>
      <c r="H129" s="468"/>
      <c r="I129" s="468"/>
      <c r="J129" s="468"/>
      <c r="K129" s="468"/>
      <c r="L129" s="468"/>
      <c r="M129" s="468"/>
      <c r="N129" s="468"/>
      <c r="O129" s="468"/>
      <c r="P129" s="468"/>
      <c r="Q129" s="468"/>
      <c r="R129" s="468"/>
      <c r="S129" s="468"/>
      <c r="T129" s="468"/>
      <c r="U129" s="468"/>
      <c r="V129" s="468"/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468"/>
      <c r="AI129" s="468"/>
      <c r="AJ129" s="468"/>
      <c r="AK129" s="468"/>
      <c r="AL129" s="468"/>
      <c r="AM129" s="468"/>
      <c r="AN129" s="468"/>
      <c r="AO129" s="468"/>
      <c r="AP129" s="468"/>
      <c r="AQ129" s="468"/>
      <c r="AR129" s="468"/>
      <c r="AS129" s="468"/>
      <c r="AT129" s="468"/>
      <c r="AU129" s="468"/>
      <c r="AV129" s="468"/>
      <c r="AW129" s="468"/>
      <c r="AX129" s="468"/>
      <c r="AY129" s="468"/>
      <c r="AZ129" s="468"/>
      <c r="BA129" s="468"/>
      <c r="BB129" s="468"/>
      <c r="BC129" s="468"/>
      <c r="BD129" s="468"/>
      <c r="BE129" s="468"/>
      <c r="BF129" s="468"/>
      <c r="BG129" s="468"/>
      <c r="BH129" s="468"/>
      <c r="BI129" s="468"/>
      <c r="BJ129" s="468"/>
      <c r="BK129" s="468"/>
      <c r="BL129" s="468"/>
      <c r="BM129" s="468"/>
      <c r="BN129" s="468"/>
      <c r="BO129" s="468"/>
      <c r="BP129" s="468"/>
      <c r="BQ129" s="468"/>
      <c r="BR129" s="468"/>
      <c r="BS129" s="468"/>
      <c r="BT129" s="468"/>
      <c r="BU129" s="468"/>
      <c r="BV129" s="468"/>
      <c r="BW129" s="468"/>
      <c r="BX129" s="468"/>
      <c r="BY129" s="468"/>
      <c r="BZ129" s="468"/>
      <c r="CA129" s="468"/>
      <c r="CB129" s="468"/>
      <c r="CC129" s="468"/>
      <c r="CD129" s="468"/>
      <c r="CE129" s="468"/>
      <c r="CF129" s="468"/>
      <c r="CG129" s="468"/>
      <c r="CH129" s="468"/>
      <c r="CI129" s="468"/>
      <c r="CJ129" s="468"/>
      <c r="CK129" s="468"/>
      <c r="CL129" s="468"/>
      <c r="CM129" s="468"/>
      <c r="CN129" s="468"/>
      <c r="CO129" s="468"/>
      <c r="CP129" s="468"/>
      <c r="CQ129" s="468"/>
      <c r="CR129" s="468"/>
      <c r="CS129" s="468"/>
      <c r="CT129" s="468"/>
      <c r="CU129" s="468"/>
      <c r="CV129" s="468"/>
      <c r="CW129" s="468"/>
      <c r="CX129" s="468"/>
      <c r="CY129" s="468"/>
      <c r="CZ129" s="468"/>
      <c r="DA129" s="468"/>
      <c r="DB129" s="468"/>
      <c r="DC129" s="468"/>
      <c r="DD129" s="468"/>
      <c r="DE129" s="468"/>
      <c r="DF129" s="468"/>
      <c r="DG129" s="468"/>
      <c r="DH129" s="468"/>
      <c r="DI129" s="468"/>
      <c r="DJ129" s="468"/>
      <c r="DK129" s="468"/>
      <c r="DL129" s="468"/>
      <c r="DM129" s="468"/>
      <c r="DN129" s="471"/>
      <c r="DO129" s="468"/>
      <c r="DP129" s="468"/>
      <c r="DQ129" s="468"/>
      <c r="DR129" s="468"/>
      <c r="DS129" s="468"/>
      <c r="DT129" s="468"/>
      <c r="DU129" s="468"/>
      <c r="DV129" s="468"/>
      <c r="DW129" s="468"/>
      <c r="DX129" s="468"/>
      <c r="DY129" s="468"/>
      <c r="DZ129" s="468"/>
      <c r="EA129" s="468"/>
      <c r="EB129" s="468"/>
      <c r="EC129" s="468"/>
      <c r="ED129" s="468"/>
      <c r="EE129" s="468"/>
      <c r="EF129" s="468"/>
      <c r="EG129" s="468"/>
      <c r="EH129" s="468"/>
      <c r="EI129" s="468"/>
      <c r="EJ129" s="468"/>
      <c r="EK129" s="468"/>
      <c r="EL129" s="468"/>
      <c r="EM129" s="468"/>
      <c r="EN129" s="468"/>
      <c r="EO129" s="468"/>
      <c r="EP129" s="468"/>
      <c r="EQ129" s="468"/>
      <c r="ER129" s="468"/>
      <c r="ES129" s="468"/>
      <c r="ET129" s="468"/>
      <c r="EU129" s="468"/>
      <c r="EV129" s="468"/>
      <c r="EW129" s="468"/>
      <c r="EX129" s="468"/>
      <c r="EY129" s="468"/>
      <c r="EZ129" s="468"/>
      <c r="FA129" s="468"/>
      <c r="FB129" s="468"/>
      <c r="FC129" s="468"/>
      <c r="FD129" s="468"/>
      <c r="FE129" s="468"/>
      <c r="FF129" s="468"/>
      <c r="FG129" s="468"/>
      <c r="FH129" s="468"/>
      <c r="FI129" s="468"/>
      <c r="FJ129" s="468"/>
      <c r="FK129" s="468"/>
      <c r="FL129" s="468"/>
      <c r="FM129" s="468"/>
      <c r="FN129" s="468"/>
      <c r="FO129" s="468"/>
      <c r="FP129" s="468"/>
      <c r="FQ129" s="468"/>
      <c r="FR129" s="468"/>
      <c r="FS129" s="468"/>
      <c r="FT129" s="468"/>
      <c r="FU129" s="468"/>
      <c r="FV129" s="468"/>
      <c r="FW129" s="468"/>
      <c r="FX129" s="468"/>
      <c r="FY129" s="468"/>
      <c r="FZ129" s="468"/>
      <c r="GA129" s="468"/>
      <c r="GB129" s="468"/>
      <c r="GC129" s="468"/>
      <c r="GD129" s="468"/>
      <c r="GE129" s="468"/>
      <c r="GF129" s="468"/>
      <c r="GG129" s="468"/>
      <c r="GH129" s="468"/>
      <c r="GI129" s="468"/>
      <c r="GJ129" s="468"/>
      <c r="GK129" s="468"/>
      <c r="GL129" s="468"/>
      <c r="GM129" s="468"/>
      <c r="GN129" s="468"/>
      <c r="GO129" s="468"/>
      <c r="GP129" s="468"/>
      <c r="GQ129" s="468"/>
      <c r="GR129" s="468"/>
      <c r="GS129" s="468"/>
      <c r="GT129" s="468"/>
      <c r="GU129" s="468"/>
      <c r="GV129" s="468"/>
      <c r="GW129" s="468"/>
      <c r="GX129" s="468"/>
      <c r="GY129" s="468"/>
      <c r="GZ129" s="468"/>
      <c r="HA129" s="468"/>
      <c r="HB129" s="468"/>
      <c r="HC129" s="468"/>
      <c r="HD129" s="468"/>
      <c r="HE129" s="468"/>
      <c r="HF129" s="468"/>
      <c r="HG129" s="468"/>
      <c r="HH129" s="468"/>
      <c r="HI129" s="468"/>
      <c r="HJ129" s="468"/>
      <c r="HK129" s="468"/>
      <c r="HL129" s="468"/>
      <c r="HM129" s="468"/>
      <c r="HN129" s="468"/>
      <c r="HO129" s="468"/>
      <c r="HP129" s="468"/>
      <c r="HQ129" s="468"/>
      <c r="HR129" s="468"/>
      <c r="HS129" s="468"/>
      <c r="HT129" s="468"/>
      <c r="HU129" s="468"/>
      <c r="HV129" s="468"/>
      <c r="HW129" s="468"/>
      <c r="HX129" s="468"/>
      <c r="HY129" s="468"/>
      <c r="HZ129" s="468"/>
      <c r="IA129" s="468"/>
      <c r="IB129" s="468"/>
      <c r="IC129" s="468"/>
      <c r="ID129" s="468"/>
      <c r="IE129" s="468"/>
      <c r="IF129" s="468"/>
      <c r="IG129" s="468"/>
      <c r="IH129" s="468"/>
      <c r="II129" s="468"/>
      <c r="IJ129" s="468"/>
      <c r="IK129" s="468"/>
      <c r="IL129" s="468"/>
      <c r="IM129" s="468"/>
      <c r="IN129" s="468"/>
      <c r="IO129" s="468"/>
      <c r="IP129" s="468"/>
      <c r="IQ129" s="468"/>
      <c r="IR129" s="468"/>
      <c r="IS129" s="468"/>
      <c r="IT129" s="468"/>
      <c r="IU129" s="468"/>
      <c r="IV129" s="468"/>
      <c r="IW129" s="468"/>
      <c r="IX129" s="468"/>
      <c r="IY129" s="468"/>
      <c r="IZ129" s="468"/>
      <c r="JA129" s="468"/>
    </row>
    <row r="130" spans="1:261" ht="18.899999999999999" customHeight="1">
      <c r="A130" s="468"/>
      <c r="B130" s="468"/>
      <c r="C130" s="473"/>
      <c r="D130" s="473"/>
      <c r="E130" s="473"/>
      <c r="F130" s="473"/>
      <c r="G130" s="468"/>
      <c r="H130" s="468"/>
      <c r="I130" s="468"/>
      <c r="J130" s="468"/>
      <c r="K130" s="468"/>
      <c r="L130" s="468"/>
      <c r="M130" s="468"/>
      <c r="N130" s="468"/>
      <c r="O130" s="468"/>
      <c r="P130" s="468"/>
      <c r="Q130" s="468"/>
      <c r="R130" s="468"/>
      <c r="S130" s="468"/>
      <c r="T130" s="468"/>
      <c r="U130" s="468"/>
      <c r="V130" s="468"/>
      <c r="W130" s="468"/>
      <c r="X130" s="468"/>
      <c r="Y130" s="468"/>
      <c r="Z130" s="468"/>
      <c r="AA130" s="468"/>
      <c r="AB130" s="468"/>
      <c r="AC130" s="468"/>
      <c r="AD130" s="468"/>
      <c r="AE130" s="468"/>
      <c r="AF130" s="468"/>
      <c r="AG130" s="468"/>
      <c r="AH130" s="468"/>
      <c r="AI130" s="468"/>
      <c r="AJ130" s="468"/>
      <c r="AK130" s="468"/>
      <c r="AL130" s="468"/>
      <c r="AM130" s="468"/>
      <c r="AN130" s="468"/>
      <c r="AO130" s="468"/>
      <c r="AP130" s="468"/>
      <c r="AQ130" s="468"/>
      <c r="AR130" s="468"/>
      <c r="AS130" s="468"/>
      <c r="AT130" s="468"/>
      <c r="AU130" s="468"/>
      <c r="AV130" s="468"/>
      <c r="AW130" s="468"/>
      <c r="AX130" s="468"/>
      <c r="AY130" s="468"/>
      <c r="AZ130" s="468"/>
      <c r="BA130" s="468"/>
      <c r="BB130" s="468"/>
      <c r="BC130" s="468"/>
      <c r="BD130" s="468"/>
      <c r="BE130" s="468"/>
      <c r="BF130" s="468"/>
      <c r="BG130" s="468"/>
      <c r="BH130" s="468"/>
      <c r="BI130" s="468"/>
      <c r="BJ130" s="468"/>
      <c r="BK130" s="468"/>
      <c r="BL130" s="468"/>
      <c r="BM130" s="468"/>
      <c r="BN130" s="468"/>
      <c r="BO130" s="468"/>
      <c r="BP130" s="468"/>
      <c r="BQ130" s="468"/>
      <c r="BR130" s="468"/>
      <c r="BS130" s="468"/>
      <c r="BT130" s="468"/>
      <c r="BU130" s="468"/>
      <c r="BV130" s="468"/>
      <c r="BW130" s="468"/>
      <c r="BX130" s="468"/>
      <c r="BY130" s="468"/>
      <c r="BZ130" s="468"/>
      <c r="CA130" s="468"/>
      <c r="CB130" s="468"/>
      <c r="CC130" s="468"/>
      <c r="CD130" s="468"/>
      <c r="CE130" s="468"/>
      <c r="CF130" s="468"/>
      <c r="CG130" s="468"/>
      <c r="CH130" s="468"/>
      <c r="CI130" s="468"/>
      <c r="CJ130" s="468"/>
      <c r="CK130" s="468"/>
      <c r="CL130" s="468"/>
      <c r="CM130" s="468"/>
      <c r="CN130" s="468"/>
      <c r="CO130" s="468"/>
      <c r="CP130" s="468"/>
      <c r="CQ130" s="468"/>
      <c r="CR130" s="468"/>
      <c r="CS130" s="468"/>
      <c r="CT130" s="468"/>
      <c r="CU130" s="468"/>
      <c r="CV130" s="468"/>
      <c r="CW130" s="468"/>
      <c r="CX130" s="468"/>
      <c r="CY130" s="468"/>
      <c r="CZ130" s="468"/>
      <c r="DA130" s="468"/>
      <c r="DB130" s="468"/>
      <c r="DC130" s="468"/>
      <c r="DD130" s="468"/>
      <c r="DE130" s="468"/>
      <c r="DF130" s="468"/>
      <c r="DG130" s="468"/>
      <c r="DH130" s="468"/>
      <c r="DI130" s="468"/>
      <c r="DJ130" s="468"/>
      <c r="DK130" s="468"/>
      <c r="DL130" s="468"/>
      <c r="DM130" s="468"/>
      <c r="DN130" s="471"/>
      <c r="DO130" s="468"/>
      <c r="DP130" s="468"/>
      <c r="DQ130" s="468"/>
      <c r="DR130" s="468"/>
      <c r="DS130" s="468"/>
      <c r="DT130" s="468"/>
      <c r="DU130" s="468"/>
      <c r="DV130" s="468"/>
      <c r="DW130" s="468"/>
      <c r="DX130" s="468"/>
      <c r="DY130" s="468"/>
      <c r="DZ130" s="468"/>
      <c r="EA130" s="468"/>
      <c r="EB130" s="468"/>
      <c r="EC130" s="468"/>
      <c r="ED130" s="468"/>
      <c r="EE130" s="468"/>
      <c r="EF130" s="468"/>
      <c r="EG130" s="468"/>
      <c r="EH130" s="468"/>
      <c r="EI130" s="468"/>
      <c r="EJ130" s="468"/>
      <c r="EK130" s="468"/>
      <c r="EL130" s="468"/>
      <c r="EM130" s="468"/>
      <c r="EN130" s="468"/>
      <c r="EO130" s="468"/>
      <c r="EP130" s="468"/>
      <c r="EQ130" s="468"/>
      <c r="ER130" s="468"/>
      <c r="ES130" s="468"/>
      <c r="ET130" s="468"/>
      <c r="EU130" s="468"/>
      <c r="EV130" s="468"/>
      <c r="EW130" s="468"/>
      <c r="EX130" s="468"/>
      <c r="EY130" s="468"/>
      <c r="EZ130" s="468"/>
      <c r="FA130" s="468"/>
      <c r="FB130" s="468"/>
      <c r="FC130" s="468"/>
      <c r="FD130" s="468"/>
      <c r="FE130" s="468"/>
      <c r="FF130" s="468"/>
      <c r="FG130" s="468"/>
      <c r="FH130" s="468"/>
      <c r="FI130" s="468"/>
      <c r="FJ130" s="468"/>
      <c r="FK130" s="468"/>
      <c r="FL130" s="468"/>
      <c r="FM130" s="468"/>
      <c r="FN130" s="468"/>
      <c r="FO130" s="468"/>
      <c r="FP130" s="468"/>
      <c r="FQ130" s="468"/>
      <c r="FR130" s="468"/>
      <c r="FS130" s="468"/>
      <c r="FT130" s="468"/>
      <c r="FU130" s="468"/>
      <c r="FV130" s="468"/>
      <c r="FW130" s="468"/>
      <c r="FX130" s="468"/>
      <c r="FY130" s="468"/>
      <c r="FZ130" s="468"/>
      <c r="GA130" s="468"/>
      <c r="GB130" s="468"/>
      <c r="GC130" s="468"/>
      <c r="GD130" s="468"/>
      <c r="GE130" s="468"/>
      <c r="GF130" s="468"/>
      <c r="GG130" s="468"/>
      <c r="GH130" s="468"/>
      <c r="GI130" s="468"/>
      <c r="GJ130" s="468"/>
      <c r="GK130" s="468"/>
      <c r="GL130" s="468"/>
      <c r="GM130" s="468"/>
      <c r="GN130" s="468"/>
      <c r="GO130" s="468"/>
      <c r="GP130" s="468"/>
      <c r="GQ130" s="468"/>
      <c r="GR130" s="468"/>
      <c r="GS130" s="468"/>
      <c r="GT130" s="468"/>
      <c r="GU130" s="468"/>
      <c r="GV130" s="468"/>
      <c r="GW130" s="468"/>
      <c r="GX130" s="468"/>
      <c r="GY130" s="468"/>
      <c r="GZ130" s="468"/>
      <c r="HA130" s="468"/>
      <c r="HB130" s="468"/>
      <c r="HC130" s="468"/>
      <c r="HD130" s="468"/>
      <c r="HE130" s="468"/>
      <c r="HF130" s="468"/>
      <c r="HG130" s="468"/>
      <c r="HH130" s="468"/>
      <c r="HI130" s="468"/>
      <c r="HJ130" s="468"/>
      <c r="HK130" s="468"/>
      <c r="HL130" s="468"/>
      <c r="HM130" s="468"/>
      <c r="HN130" s="468"/>
      <c r="HO130" s="468"/>
      <c r="HP130" s="468"/>
      <c r="HQ130" s="468"/>
      <c r="HR130" s="468"/>
      <c r="HS130" s="468"/>
      <c r="HT130" s="468"/>
      <c r="HU130" s="468"/>
      <c r="HV130" s="468"/>
      <c r="HW130" s="468"/>
      <c r="HX130" s="468"/>
      <c r="HY130" s="468"/>
      <c r="HZ130" s="468"/>
      <c r="IA130" s="468"/>
      <c r="IB130" s="468"/>
      <c r="IC130" s="468"/>
      <c r="ID130" s="468"/>
      <c r="IE130" s="468"/>
      <c r="IF130" s="468"/>
      <c r="IG130" s="468"/>
      <c r="IH130" s="468"/>
      <c r="II130" s="468"/>
      <c r="IJ130" s="468"/>
      <c r="IK130" s="468"/>
      <c r="IL130" s="468"/>
      <c r="IM130" s="468"/>
      <c r="IN130" s="468"/>
      <c r="IO130" s="468"/>
      <c r="IP130" s="468"/>
      <c r="IQ130" s="468"/>
      <c r="IR130" s="468"/>
      <c r="IS130" s="468"/>
      <c r="IT130" s="468"/>
      <c r="IU130" s="468"/>
      <c r="IV130" s="468"/>
      <c r="IW130" s="468"/>
      <c r="IX130" s="468"/>
      <c r="IY130" s="468"/>
      <c r="IZ130" s="468"/>
      <c r="JA130" s="468"/>
    </row>
    <row r="131" spans="1:261" ht="18.899999999999999" customHeight="1">
      <c r="A131" s="468"/>
      <c r="B131" s="468"/>
      <c r="C131" s="473"/>
      <c r="D131" s="473"/>
      <c r="E131" s="473"/>
      <c r="F131" s="473"/>
      <c r="G131" s="468"/>
      <c r="H131" s="468"/>
      <c r="I131" s="468"/>
      <c r="J131" s="468"/>
      <c r="K131" s="468"/>
      <c r="L131" s="468"/>
      <c r="M131" s="468"/>
      <c r="N131" s="468"/>
      <c r="O131" s="468"/>
      <c r="P131" s="468"/>
      <c r="Q131" s="468"/>
      <c r="R131" s="468"/>
      <c r="S131" s="468"/>
      <c r="T131" s="468"/>
      <c r="U131" s="468"/>
      <c r="V131" s="468"/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68"/>
      <c r="AM131" s="468"/>
      <c r="AN131" s="468"/>
      <c r="AO131" s="468"/>
      <c r="AP131" s="468"/>
      <c r="AQ131" s="468"/>
      <c r="AR131" s="468"/>
      <c r="AS131" s="468"/>
      <c r="AT131" s="468"/>
      <c r="AU131" s="468"/>
      <c r="AV131" s="468"/>
      <c r="AW131" s="468"/>
      <c r="AX131" s="468"/>
      <c r="AY131" s="468"/>
      <c r="AZ131" s="468"/>
      <c r="BA131" s="468"/>
      <c r="BB131" s="468"/>
      <c r="BC131" s="468"/>
      <c r="BD131" s="468"/>
      <c r="BE131" s="468"/>
      <c r="BF131" s="468"/>
      <c r="BG131" s="468"/>
      <c r="BH131" s="468"/>
      <c r="BI131" s="468"/>
      <c r="BJ131" s="468"/>
      <c r="BK131" s="468"/>
      <c r="BL131" s="468"/>
      <c r="BM131" s="468"/>
      <c r="BN131" s="468"/>
      <c r="BO131" s="468"/>
      <c r="BP131" s="468"/>
      <c r="BQ131" s="468"/>
      <c r="BR131" s="468"/>
      <c r="BS131" s="468"/>
      <c r="BT131" s="468"/>
      <c r="BU131" s="468"/>
      <c r="BV131" s="468"/>
      <c r="BW131" s="468"/>
      <c r="BX131" s="468"/>
      <c r="BY131" s="468"/>
      <c r="BZ131" s="468"/>
      <c r="CA131" s="468"/>
      <c r="CB131" s="468"/>
      <c r="CC131" s="468"/>
      <c r="CD131" s="468"/>
      <c r="CE131" s="468"/>
      <c r="CF131" s="468"/>
      <c r="CG131" s="468"/>
      <c r="CH131" s="468"/>
      <c r="CI131" s="468"/>
      <c r="CJ131" s="468"/>
      <c r="CK131" s="468"/>
      <c r="CL131" s="468"/>
      <c r="CM131" s="468"/>
      <c r="CN131" s="468"/>
      <c r="CO131" s="468"/>
      <c r="CP131" s="468"/>
      <c r="CQ131" s="468"/>
      <c r="CR131" s="468"/>
      <c r="CS131" s="468"/>
      <c r="CT131" s="468"/>
      <c r="CU131" s="468"/>
      <c r="CV131" s="468"/>
      <c r="CW131" s="468"/>
      <c r="CX131" s="468"/>
      <c r="CY131" s="468"/>
      <c r="CZ131" s="468"/>
      <c r="DA131" s="468"/>
      <c r="DB131" s="468"/>
      <c r="DC131" s="468"/>
      <c r="DD131" s="468"/>
      <c r="DE131" s="468"/>
      <c r="DF131" s="468"/>
      <c r="DG131" s="468"/>
      <c r="DH131" s="468"/>
      <c r="DI131" s="468"/>
      <c r="DJ131" s="468"/>
      <c r="DK131" s="468"/>
      <c r="DL131" s="468"/>
      <c r="DM131" s="468"/>
      <c r="DN131" s="471"/>
      <c r="DO131" s="468"/>
      <c r="DP131" s="468"/>
      <c r="DQ131" s="468"/>
      <c r="DR131" s="468"/>
      <c r="DS131" s="468"/>
      <c r="DT131" s="468"/>
      <c r="DU131" s="468"/>
      <c r="DV131" s="468"/>
      <c r="DW131" s="468"/>
      <c r="DX131" s="468"/>
      <c r="DY131" s="468"/>
      <c r="DZ131" s="468"/>
      <c r="EA131" s="468"/>
      <c r="EB131" s="468"/>
      <c r="EC131" s="468"/>
      <c r="ED131" s="468"/>
      <c r="EE131" s="468"/>
      <c r="EF131" s="468"/>
      <c r="EG131" s="468"/>
      <c r="EH131" s="468"/>
      <c r="EI131" s="468"/>
      <c r="EJ131" s="468"/>
      <c r="EK131" s="468"/>
      <c r="EL131" s="468"/>
      <c r="EM131" s="468"/>
      <c r="EN131" s="468"/>
      <c r="EO131" s="468"/>
      <c r="EP131" s="468"/>
      <c r="EQ131" s="468"/>
      <c r="ER131" s="468"/>
      <c r="ES131" s="468"/>
      <c r="ET131" s="468"/>
      <c r="EU131" s="468"/>
      <c r="EV131" s="468"/>
      <c r="EW131" s="468"/>
      <c r="EX131" s="468"/>
      <c r="EY131" s="468"/>
      <c r="EZ131" s="468"/>
      <c r="FA131" s="468"/>
      <c r="FB131" s="468"/>
      <c r="FC131" s="468"/>
      <c r="FD131" s="468"/>
      <c r="FE131" s="468"/>
      <c r="FF131" s="468"/>
      <c r="FG131" s="468"/>
      <c r="FH131" s="468"/>
      <c r="FI131" s="468"/>
      <c r="FJ131" s="468"/>
      <c r="FK131" s="468"/>
      <c r="FL131" s="468"/>
      <c r="FM131" s="468"/>
      <c r="FN131" s="468"/>
      <c r="FO131" s="468"/>
      <c r="FP131" s="468"/>
      <c r="FQ131" s="468"/>
      <c r="FR131" s="468"/>
      <c r="FS131" s="468"/>
      <c r="FT131" s="468"/>
      <c r="FU131" s="468"/>
      <c r="FV131" s="468"/>
      <c r="FW131" s="468"/>
      <c r="FX131" s="468"/>
      <c r="FY131" s="468"/>
      <c r="FZ131" s="468"/>
      <c r="GA131" s="468"/>
      <c r="GB131" s="468"/>
      <c r="GC131" s="468"/>
      <c r="GD131" s="468"/>
      <c r="GE131" s="468"/>
      <c r="GF131" s="468"/>
      <c r="GG131" s="468"/>
      <c r="GH131" s="468"/>
      <c r="GI131" s="468"/>
      <c r="GJ131" s="468"/>
      <c r="GK131" s="468"/>
      <c r="GL131" s="468"/>
      <c r="GM131" s="468"/>
      <c r="GN131" s="468"/>
      <c r="GO131" s="468"/>
      <c r="GP131" s="468"/>
      <c r="GQ131" s="468"/>
      <c r="GR131" s="468"/>
      <c r="GS131" s="468"/>
      <c r="GT131" s="468"/>
      <c r="GU131" s="468"/>
      <c r="GV131" s="468"/>
      <c r="GW131" s="468"/>
      <c r="GX131" s="468"/>
      <c r="GY131" s="468"/>
      <c r="GZ131" s="468"/>
      <c r="HA131" s="468"/>
      <c r="HB131" s="468"/>
      <c r="HC131" s="468"/>
      <c r="HD131" s="468"/>
      <c r="HE131" s="468"/>
      <c r="HF131" s="468"/>
      <c r="HG131" s="468"/>
      <c r="HH131" s="468"/>
      <c r="HI131" s="468"/>
      <c r="HJ131" s="468"/>
      <c r="HK131" s="468"/>
      <c r="HL131" s="468"/>
      <c r="HM131" s="468"/>
      <c r="HN131" s="468"/>
      <c r="HO131" s="468"/>
      <c r="HP131" s="468"/>
      <c r="HQ131" s="468"/>
      <c r="HR131" s="468"/>
      <c r="HS131" s="468"/>
      <c r="HT131" s="468"/>
      <c r="HU131" s="468"/>
      <c r="HV131" s="468"/>
      <c r="HW131" s="468"/>
      <c r="HX131" s="468"/>
      <c r="HY131" s="468"/>
      <c r="HZ131" s="468"/>
      <c r="IA131" s="468"/>
      <c r="IB131" s="468"/>
      <c r="IC131" s="468"/>
      <c r="ID131" s="468"/>
      <c r="IE131" s="468"/>
      <c r="IF131" s="468"/>
      <c r="IG131" s="468"/>
      <c r="IH131" s="468"/>
      <c r="II131" s="468"/>
      <c r="IJ131" s="468"/>
      <c r="IK131" s="468"/>
      <c r="IL131" s="468"/>
      <c r="IM131" s="468"/>
      <c r="IN131" s="468"/>
      <c r="IO131" s="468"/>
      <c r="IP131" s="468"/>
      <c r="IQ131" s="468"/>
      <c r="IR131" s="468"/>
      <c r="IS131" s="468"/>
      <c r="IT131" s="468"/>
      <c r="IU131" s="468"/>
      <c r="IV131" s="468"/>
      <c r="IW131" s="468"/>
      <c r="IX131" s="468"/>
      <c r="IY131" s="468"/>
      <c r="IZ131" s="468"/>
      <c r="JA131" s="468"/>
    </row>
    <row r="132" spans="1:261" ht="18.899999999999999" customHeight="1">
      <c r="A132" s="468"/>
      <c r="B132" s="468"/>
      <c r="C132" s="473"/>
      <c r="D132" s="473"/>
      <c r="E132" s="473"/>
      <c r="F132" s="473"/>
      <c r="G132" s="468"/>
      <c r="H132" s="468"/>
      <c r="I132" s="468"/>
      <c r="J132" s="468"/>
      <c r="K132" s="468"/>
      <c r="L132" s="468"/>
      <c r="M132" s="468"/>
      <c r="N132" s="468"/>
      <c r="O132" s="468"/>
      <c r="P132" s="468"/>
      <c r="Q132" s="468"/>
      <c r="R132" s="468"/>
      <c r="S132" s="468"/>
      <c r="T132" s="468"/>
      <c r="U132" s="468"/>
      <c r="V132" s="468"/>
      <c r="W132" s="468"/>
      <c r="X132" s="468"/>
      <c r="Y132" s="468"/>
      <c r="Z132" s="468"/>
      <c r="AA132" s="468"/>
      <c r="AB132" s="468"/>
      <c r="AC132" s="468"/>
      <c r="AD132" s="468"/>
      <c r="AE132" s="468"/>
      <c r="AF132" s="468"/>
      <c r="AG132" s="468"/>
      <c r="AH132" s="468"/>
      <c r="AI132" s="468"/>
      <c r="AJ132" s="468"/>
      <c r="AK132" s="468"/>
      <c r="AL132" s="468"/>
      <c r="AM132" s="468"/>
      <c r="AN132" s="468"/>
      <c r="AO132" s="468"/>
      <c r="AP132" s="468"/>
      <c r="AQ132" s="468"/>
      <c r="AR132" s="468"/>
      <c r="AS132" s="468"/>
      <c r="AT132" s="468"/>
      <c r="AU132" s="468"/>
      <c r="AV132" s="468"/>
      <c r="AW132" s="468"/>
      <c r="AX132" s="468"/>
      <c r="AY132" s="468"/>
      <c r="AZ132" s="468"/>
      <c r="BA132" s="468"/>
      <c r="BB132" s="468"/>
      <c r="BC132" s="468"/>
      <c r="BD132" s="468"/>
      <c r="BE132" s="468"/>
      <c r="BF132" s="468"/>
      <c r="BG132" s="468"/>
      <c r="BH132" s="468"/>
      <c r="BI132" s="468"/>
      <c r="BJ132" s="468"/>
      <c r="BK132" s="468"/>
      <c r="BL132" s="468"/>
      <c r="BM132" s="468"/>
      <c r="BN132" s="468"/>
      <c r="BO132" s="468"/>
      <c r="BP132" s="468"/>
      <c r="BQ132" s="468"/>
      <c r="BR132" s="468"/>
      <c r="BS132" s="468"/>
      <c r="BT132" s="468"/>
      <c r="BU132" s="468"/>
      <c r="BV132" s="468"/>
      <c r="BW132" s="468"/>
      <c r="BX132" s="468"/>
      <c r="BY132" s="468"/>
      <c r="BZ132" s="468"/>
      <c r="CA132" s="468"/>
      <c r="CB132" s="468"/>
      <c r="CC132" s="468"/>
      <c r="CD132" s="468"/>
      <c r="CE132" s="468"/>
      <c r="CF132" s="468"/>
      <c r="CG132" s="468"/>
      <c r="CH132" s="468"/>
      <c r="CI132" s="468"/>
      <c r="CJ132" s="468"/>
      <c r="CK132" s="468"/>
      <c r="CL132" s="468"/>
      <c r="CM132" s="468"/>
      <c r="CN132" s="468"/>
      <c r="CO132" s="468"/>
      <c r="CP132" s="468"/>
      <c r="CQ132" s="468"/>
      <c r="CR132" s="468"/>
      <c r="CS132" s="468"/>
      <c r="CT132" s="468"/>
      <c r="CU132" s="468"/>
      <c r="CV132" s="468"/>
      <c r="CW132" s="468"/>
      <c r="CX132" s="468"/>
      <c r="CY132" s="468"/>
      <c r="CZ132" s="468"/>
      <c r="DA132" s="468"/>
      <c r="DB132" s="468"/>
      <c r="DC132" s="468"/>
      <c r="DD132" s="468"/>
      <c r="DE132" s="468"/>
      <c r="DF132" s="468"/>
      <c r="DG132" s="468"/>
      <c r="DH132" s="468"/>
      <c r="DI132" s="468"/>
      <c r="DJ132" s="468"/>
      <c r="DK132" s="468"/>
      <c r="DL132" s="468"/>
      <c r="DM132" s="468"/>
      <c r="DN132" s="471"/>
      <c r="DO132" s="468"/>
      <c r="DP132" s="468"/>
      <c r="DQ132" s="468"/>
      <c r="DR132" s="468"/>
      <c r="DS132" s="468"/>
      <c r="DT132" s="468"/>
      <c r="DU132" s="468"/>
      <c r="DV132" s="468"/>
      <c r="DW132" s="468"/>
      <c r="DX132" s="468"/>
      <c r="DY132" s="468"/>
      <c r="DZ132" s="468"/>
      <c r="EA132" s="468"/>
      <c r="EB132" s="468"/>
      <c r="EC132" s="468"/>
      <c r="ED132" s="468"/>
      <c r="EE132" s="468"/>
      <c r="EF132" s="468"/>
      <c r="EG132" s="468"/>
      <c r="EH132" s="468"/>
      <c r="EI132" s="468"/>
      <c r="EJ132" s="468"/>
      <c r="EK132" s="468"/>
      <c r="EL132" s="468"/>
      <c r="EM132" s="468"/>
      <c r="EN132" s="468"/>
      <c r="EO132" s="468"/>
      <c r="EP132" s="468"/>
      <c r="EQ132" s="468"/>
      <c r="ER132" s="468"/>
      <c r="ES132" s="468"/>
      <c r="ET132" s="468"/>
      <c r="EU132" s="468"/>
      <c r="EV132" s="468"/>
      <c r="EW132" s="468"/>
      <c r="EX132" s="468"/>
      <c r="EY132" s="468"/>
      <c r="EZ132" s="468"/>
      <c r="FA132" s="468"/>
      <c r="FB132" s="468"/>
      <c r="FC132" s="468"/>
      <c r="FD132" s="468"/>
      <c r="FE132" s="468"/>
      <c r="FF132" s="468"/>
      <c r="FG132" s="468"/>
      <c r="FH132" s="468"/>
      <c r="FI132" s="468"/>
      <c r="FJ132" s="468"/>
      <c r="FK132" s="468"/>
      <c r="FL132" s="468"/>
      <c r="FM132" s="468"/>
      <c r="FN132" s="468"/>
      <c r="FO132" s="468"/>
      <c r="FP132" s="468"/>
      <c r="FQ132" s="468"/>
      <c r="FR132" s="468"/>
      <c r="FS132" s="468"/>
      <c r="FT132" s="468"/>
      <c r="FU132" s="468"/>
      <c r="FV132" s="468"/>
      <c r="FW132" s="468"/>
      <c r="FX132" s="468"/>
      <c r="FY132" s="468"/>
      <c r="FZ132" s="468"/>
      <c r="GA132" s="468"/>
      <c r="GB132" s="468"/>
      <c r="GC132" s="468"/>
      <c r="GD132" s="468"/>
      <c r="GE132" s="468"/>
      <c r="GF132" s="468"/>
      <c r="GG132" s="468"/>
      <c r="GH132" s="468"/>
      <c r="GI132" s="468"/>
      <c r="GJ132" s="468"/>
      <c r="GK132" s="468"/>
      <c r="GL132" s="468"/>
      <c r="GM132" s="468"/>
      <c r="GN132" s="468"/>
      <c r="GO132" s="468"/>
      <c r="GP132" s="468"/>
      <c r="GQ132" s="468"/>
      <c r="GR132" s="468"/>
      <c r="GS132" s="468"/>
      <c r="GT132" s="468"/>
      <c r="GU132" s="468"/>
      <c r="GV132" s="468"/>
      <c r="GW132" s="468"/>
      <c r="GX132" s="468"/>
      <c r="GY132" s="468"/>
      <c r="GZ132" s="468"/>
      <c r="HA132" s="468"/>
      <c r="HB132" s="468"/>
      <c r="HC132" s="468"/>
      <c r="HD132" s="468"/>
      <c r="HE132" s="468"/>
      <c r="HF132" s="468"/>
      <c r="HG132" s="468"/>
      <c r="HH132" s="468"/>
      <c r="HI132" s="468"/>
      <c r="HJ132" s="468"/>
      <c r="HK132" s="468"/>
      <c r="HL132" s="468"/>
      <c r="HM132" s="468"/>
      <c r="HN132" s="468"/>
      <c r="HO132" s="468"/>
      <c r="HP132" s="468"/>
      <c r="HQ132" s="468"/>
      <c r="HR132" s="468"/>
      <c r="HS132" s="468"/>
      <c r="HT132" s="468"/>
      <c r="HU132" s="468"/>
      <c r="HV132" s="468"/>
      <c r="HW132" s="468"/>
      <c r="HX132" s="468"/>
      <c r="HY132" s="468"/>
      <c r="HZ132" s="468"/>
      <c r="IA132" s="468"/>
      <c r="IB132" s="468"/>
      <c r="IC132" s="468"/>
      <c r="ID132" s="468"/>
      <c r="IE132" s="468"/>
      <c r="IF132" s="468"/>
      <c r="IG132" s="468"/>
      <c r="IH132" s="468"/>
      <c r="II132" s="468"/>
      <c r="IJ132" s="468"/>
      <c r="IK132" s="468"/>
      <c r="IL132" s="468"/>
      <c r="IM132" s="468"/>
      <c r="IN132" s="468"/>
      <c r="IO132" s="468"/>
      <c r="IP132" s="468"/>
      <c r="IQ132" s="468"/>
      <c r="IR132" s="468"/>
      <c r="IS132" s="468"/>
      <c r="IT132" s="468"/>
      <c r="IU132" s="468"/>
      <c r="IV132" s="468"/>
      <c r="IW132" s="468"/>
      <c r="IX132" s="468"/>
      <c r="IY132" s="468"/>
      <c r="IZ132" s="468"/>
      <c r="JA132" s="468"/>
    </row>
    <row r="133" spans="1:261" ht="18.899999999999999" customHeight="1">
      <c r="A133" s="468"/>
      <c r="B133" s="468"/>
      <c r="C133" s="473"/>
      <c r="D133" s="473"/>
      <c r="E133" s="473"/>
      <c r="F133" s="473"/>
      <c r="G133" s="468"/>
      <c r="H133" s="468"/>
      <c r="I133" s="468"/>
      <c r="J133" s="468"/>
      <c r="K133" s="468"/>
      <c r="L133" s="468"/>
      <c r="M133" s="468"/>
      <c r="N133" s="468"/>
      <c r="O133" s="468"/>
      <c r="P133" s="468"/>
      <c r="Q133" s="468"/>
      <c r="R133" s="468"/>
      <c r="S133" s="468"/>
      <c r="T133" s="468"/>
      <c r="U133" s="468"/>
      <c r="V133" s="468"/>
      <c r="W133" s="468"/>
      <c r="X133" s="468"/>
      <c r="Y133" s="468"/>
      <c r="Z133" s="468"/>
      <c r="AA133" s="468"/>
      <c r="AB133" s="468"/>
      <c r="AC133" s="468"/>
      <c r="AD133" s="468"/>
      <c r="AE133" s="468"/>
      <c r="AF133" s="468"/>
      <c r="AG133" s="468"/>
      <c r="AH133" s="468"/>
      <c r="AI133" s="468"/>
      <c r="AJ133" s="468"/>
      <c r="AK133" s="468"/>
      <c r="AL133" s="468"/>
      <c r="AM133" s="468"/>
      <c r="AN133" s="468"/>
      <c r="AO133" s="468"/>
      <c r="AP133" s="468"/>
      <c r="AQ133" s="468"/>
      <c r="AR133" s="468"/>
      <c r="AS133" s="468"/>
      <c r="AT133" s="468"/>
      <c r="AU133" s="468"/>
      <c r="AV133" s="468"/>
      <c r="AW133" s="468"/>
      <c r="AX133" s="468"/>
      <c r="AY133" s="468"/>
      <c r="AZ133" s="468"/>
      <c r="BA133" s="468"/>
      <c r="BB133" s="468"/>
      <c r="BC133" s="468"/>
      <c r="BD133" s="468"/>
      <c r="BE133" s="468"/>
      <c r="BF133" s="468"/>
      <c r="BG133" s="468"/>
      <c r="BH133" s="468"/>
      <c r="BI133" s="468"/>
      <c r="BJ133" s="468"/>
      <c r="BK133" s="468"/>
      <c r="BL133" s="468"/>
      <c r="BM133" s="468"/>
      <c r="BN133" s="468"/>
      <c r="BO133" s="468"/>
      <c r="BP133" s="468"/>
      <c r="BQ133" s="468"/>
      <c r="BR133" s="468"/>
      <c r="BS133" s="468"/>
      <c r="BT133" s="468"/>
      <c r="BU133" s="468"/>
      <c r="BV133" s="468"/>
      <c r="BW133" s="468"/>
      <c r="BX133" s="468"/>
      <c r="BY133" s="468"/>
      <c r="BZ133" s="468"/>
      <c r="CA133" s="468"/>
      <c r="CB133" s="468"/>
      <c r="CC133" s="468"/>
      <c r="CD133" s="468"/>
      <c r="CE133" s="468"/>
      <c r="CF133" s="468"/>
      <c r="CG133" s="468"/>
      <c r="CH133" s="468"/>
      <c r="CI133" s="468"/>
      <c r="CJ133" s="468"/>
      <c r="CK133" s="468"/>
      <c r="CL133" s="468"/>
      <c r="CM133" s="468"/>
      <c r="CN133" s="468"/>
      <c r="CO133" s="468"/>
      <c r="CP133" s="468"/>
      <c r="CQ133" s="468"/>
      <c r="CR133" s="468"/>
      <c r="CS133" s="468"/>
      <c r="CT133" s="468"/>
      <c r="CU133" s="468"/>
      <c r="CV133" s="468"/>
      <c r="CW133" s="468"/>
      <c r="CX133" s="468"/>
      <c r="CY133" s="468"/>
      <c r="CZ133" s="468"/>
      <c r="DA133" s="468"/>
      <c r="DB133" s="468"/>
      <c r="DC133" s="468"/>
      <c r="DD133" s="468"/>
      <c r="DE133" s="468"/>
      <c r="DF133" s="468"/>
      <c r="DG133" s="468"/>
      <c r="DH133" s="468"/>
      <c r="DI133" s="468"/>
      <c r="DJ133" s="468"/>
      <c r="DK133" s="468"/>
      <c r="DL133" s="468"/>
      <c r="DM133" s="468"/>
      <c r="DN133" s="471"/>
      <c r="DO133" s="468"/>
      <c r="DP133" s="468"/>
      <c r="DQ133" s="468"/>
      <c r="DR133" s="468"/>
      <c r="DS133" s="468"/>
      <c r="DT133" s="468"/>
      <c r="DU133" s="468"/>
      <c r="DV133" s="468"/>
      <c r="DW133" s="468"/>
      <c r="DX133" s="468"/>
      <c r="DY133" s="468"/>
      <c r="DZ133" s="468"/>
      <c r="EA133" s="468"/>
      <c r="EB133" s="468"/>
      <c r="EC133" s="468"/>
      <c r="ED133" s="468"/>
      <c r="EE133" s="468"/>
      <c r="EF133" s="468"/>
      <c r="EG133" s="468"/>
      <c r="EH133" s="468"/>
      <c r="EI133" s="468"/>
      <c r="EJ133" s="468"/>
      <c r="EK133" s="468"/>
      <c r="EL133" s="468"/>
      <c r="EM133" s="468"/>
      <c r="EN133" s="468"/>
      <c r="EO133" s="468"/>
      <c r="EP133" s="468"/>
      <c r="EQ133" s="468"/>
      <c r="ER133" s="468"/>
      <c r="ES133" s="468"/>
      <c r="ET133" s="468"/>
      <c r="EU133" s="468"/>
      <c r="EV133" s="468"/>
      <c r="EW133" s="468"/>
      <c r="EX133" s="468"/>
      <c r="EY133" s="468"/>
      <c r="EZ133" s="468"/>
      <c r="FA133" s="468"/>
      <c r="FB133" s="468"/>
      <c r="FC133" s="468"/>
      <c r="FD133" s="468"/>
      <c r="FE133" s="468"/>
      <c r="FF133" s="468"/>
      <c r="FG133" s="468"/>
      <c r="FH133" s="468"/>
      <c r="FI133" s="468"/>
      <c r="FJ133" s="468"/>
      <c r="FK133" s="468"/>
      <c r="FL133" s="468"/>
      <c r="FM133" s="468"/>
      <c r="FN133" s="468"/>
      <c r="FO133" s="468"/>
      <c r="FP133" s="468"/>
      <c r="FQ133" s="468"/>
      <c r="FR133" s="468"/>
      <c r="FS133" s="468"/>
      <c r="FT133" s="468"/>
      <c r="FU133" s="468"/>
      <c r="FV133" s="468"/>
      <c r="FW133" s="468"/>
      <c r="FX133" s="468"/>
      <c r="FY133" s="468"/>
      <c r="FZ133" s="468"/>
      <c r="GA133" s="468"/>
      <c r="GB133" s="468"/>
      <c r="GC133" s="468"/>
      <c r="GD133" s="468"/>
      <c r="GE133" s="468"/>
      <c r="GF133" s="468"/>
      <c r="GG133" s="468"/>
      <c r="GH133" s="468"/>
      <c r="GI133" s="468"/>
      <c r="GJ133" s="468"/>
      <c r="GK133" s="468"/>
      <c r="GL133" s="468"/>
      <c r="GM133" s="468"/>
      <c r="GN133" s="468"/>
      <c r="GO133" s="468"/>
      <c r="GP133" s="468"/>
      <c r="GQ133" s="468"/>
      <c r="GR133" s="468"/>
      <c r="GS133" s="468"/>
      <c r="GT133" s="468"/>
      <c r="GU133" s="468"/>
      <c r="GV133" s="468"/>
      <c r="GW133" s="468"/>
      <c r="GX133" s="468"/>
      <c r="GY133" s="468"/>
      <c r="GZ133" s="468"/>
      <c r="HA133" s="468"/>
      <c r="HB133" s="468"/>
      <c r="HC133" s="468"/>
      <c r="HD133" s="468"/>
      <c r="HE133" s="468"/>
      <c r="HF133" s="468"/>
      <c r="HG133" s="468"/>
      <c r="HH133" s="468"/>
      <c r="HI133" s="468"/>
      <c r="HJ133" s="468"/>
      <c r="HK133" s="468"/>
      <c r="HL133" s="468"/>
      <c r="HM133" s="468"/>
      <c r="HN133" s="468"/>
      <c r="HO133" s="468"/>
      <c r="HP133" s="468"/>
      <c r="HQ133" s="468"/>
      <c r="HR133" s="468"/>
      <c r="HS133" s="468"/>
      <c r="HT133" s="468"/>
      <c r="HU133" s="468"/>
      <c r="HV133" s="468"/>
      <c r="HW133" s="468"/>
      <c r="HX133" s="468"/>
      <c r="HY133" s="468"/>
      <c r="HZ133" s="468"/>
      <c r="IA133" s="468"/>
      <c r="IB133" s="468"/>
      <c r="IC133" s="468"/>
      <c r="ID133" s="468"/>
      <c r="IE133" s="468"/>
      <c r="IF133" s="468"/>
      <c r="IG133" s="468"/>
      <c r="IH133" s="468"/>
      <c r="II133" s="468"/>
      <c r="IJ133" s="468"/>
      <c r="IK133" s="468"/>
      <c r="IL133" s="468"/>
      <c r="IM133" s="468"/>
      <c r="IN133" s="468"/>
      <c r="IO133" s="468"/>
      <c r="IP133" s="468"/>
      <c r="IQ133" s="468"/>
      <c r="IR133" s="468"/>
      <c r="IS133" s="468"/>
      <c r="IT133" s="468"/>
      <c r="IU133" s="468"/>
      <c r="IV133" s="468"/>
      <c r="IW133" s="468"/>
      <c r="IX133" s="468"/>
      <c r="IY133" s="468"/>
      <c r="IZ133" s="468"/>
      <c r="JA133" s="468"/>
    </row>
    <row r="134" spans="1:261" ht="18.899999999999999" customHeight="1">
      <c r="A134" s="468"/>
      <c r="B134" s="468"/>
      <c r="C134" s="473"/>
      <c r="D134" s="473"/>
      <c r="E134" s="473"/>
      <c r="F134" s="473"/>
      <c r="G134" s="468"/>
      <c r="H134" s="468"/>
      <c r="I134" s="468"/>
      <c r="J134" s="468"/>
      <c r="K134" s="468"/>
      <c r="L134" s="468"/>
      <c r="M134" s="468"/>
      <c r="N134" s="468"/>
      <c r="O134" s="468"/>
      <c r="P134" s="468"/>
      <c r="Q134" s="468"/>
      <c r="R134" s="468"/>
      <c r="S134" s="468"/>
      <c r="T134" s="468"/>
      <c r="U134" s="468"/>
      <c r="V134" s="468"/>
      <c r="W134" s="468"/>
      <c r="X134" s="468"/>
      <c r="Y134" s="468"/>
      <c r="Z134" s="468"/>
      <c r="AA134" s="468"/>
      <c r="AB134" s="468"/>
      <c r="AC134" s="468"/>
      <c r="AD134" s="468"/>
      <c r="AE134" s="468"/>
      <c r="AF134" s="468"/>
      <c r="AG134" s="468"/>
      <c r="AH134" s="468"/>
      <c r="AI134" s="468"/>
      <c r="AJ134" s="468"/>
      <c r="AK134" s="468"/>
      <c r="AL134" s="468"/>
      <c r="AM134" s="468"/>
      <c r="AN134" s="468"/>
      <c r="AO134" s="468"/>
      <c r="AP134" s="468"/>
      <c r="AQ134" s="468"/>
      <c r="AR134" s="468"/>
      <c r="AS134" s="468"/>
      <c r="AT134" s="468"/>
      <c r="AU134" s="468"/>
      <c r="AV134" s="468"/>
      <c r="AW134" s="468"/>
      <c r="AX134" s="468"/>
      <c r="AY134" s="468"/>
      <c r="AZ134" s="468"/>
      <c r="BA134" s="468"/>
      <c r="BB134" s="468"/>
      <c r="BC134" s="468"/>
      <c r="BD134" s="468"/>
      <c r="BE134" s="468"/>
      <c r="BF134" s="468"/>
      <c r="BG134" s="468"/>
      <c r="BH134" s="468"/>
      <c r="BI134" s="468"/>
      <c r="BJ134" s="468"/>
      <c r="BK134" s="468"/>
      <c r="BL134" s="468"/>
      <c r="BM134" s="468"/>
      <c r="BN134" s="468"/>
      <c r="BO134" s="468"/>
      <c r="BP134" s="468"/>
      <c r="BQ134" s="468"/>
      <c r="BR134" s="468"/>
      <c r="BS134" s="468"/>
      <c r="BT134" s="468"/>
      <c r="BU134" s="468"/>
      <c r="BV134" s="468"/>
      <c r="BW134" s="468"/>
      <c r="BX134" s="468"/>
      <c r="BY134" s="468"/>
      <c r="BZ134" s="468"/>
      <c r="CA134" s="468"/>
      <c r="CB134" s="468"/>
      <c r="CC134" s="468"/>
      <c r="CD134" s="468"/>
      <c r="CE134" s="468"/>
      <c r="CF134" s="468"/>
      <c r="CG134" s="468"/>
      <c r="CH134" s="468"/>
      <c r="CI134" s="468"/>
      <c r="CJ134" s="468"/>
      <c r="CK134" s="468"/>
      <c r="CL134" s="468"/>
      <c r="CM134" s="468"/>
      <c r="CN134" s="468"/>
      <c r="CO134" s="468"/>
      <c r="CP134" s="468"/>
      <c r="CQ134" s="468"/>
      <c r="CR134" s="468"/>
      <c r="CS134" s="468"/>
      <c r="CT134" s="468"/>
      <c r="CU134" s="468"/>
      <c r="CV134" s="468"/>
      <c r="CW134" s="468"/>
      <c r="CX134" s="468"/>
      <c r="CY134" s="468"/>
      <c r="CZ134" s="468"/>
      <c r="DA134" s="468"/>
      <c r="DB134" s="468"/>
      <c r="DC134" s="468"/>
      <c r="DD134" s="468"/>
      <c r="DE134" s="468"/>
      <c r="DF134" s="468"/>
      <c r="DG134" s="468"/>
      <c r="DH134" s="468"/>
      <c r="DI134" s="468"/>
      <c r="DJ134" s="468"/>
      <c r="DK134" s="468"/>
      <c r="DL134" s="468"/>
      <c r="DM134" s="468"/>
      <c r="DN134" s="471"/>
      <c r="DO134" s="468"/>
      <c r="DP134" s="468"/>
      <c r="DQ134" s="468"/>
      <c r="DR134" s="468"/>
      <c r="DS134" s="468"/>
      <c r="DT134" s="468"/>
      <c r="DU134" s="468"/>
      <c r="DV134" s="468"/>
      <c r="DW134" s="468"/>
      <c r="DX134" s="468"/>
      <c r="DY134" s="468"/>
      <c r="DZ134" s="468"/>
      <c r="EA134" s="468"/>
      <c r="EB134" s="468"/>
      <c r="EC134" s="468"/>
      <c r="ED134" s="468"/>
      <c r="EE134" s="468"/>
      <c r="EF134" s="468"/>
      <c r="EG134" s="468"/>
      <c r="EH134" s="468"/>
      <c r="EI134" s="468"/>
      <c r="EJ134" s="468"/>
      <c r="EK134" s="468"/>
      <c r="EL134" s="468"/>
      <c r="EM134" s="468"/>
      <c r="EN134" s="468"/>
      <c r="EO134" s="468"/>
      <c r="EP134" s="468"/>
      <c r="EQ134" s="468"/>
      <c r="ER134" s="468"/>
      <c r="ES134" s="468"/>
      <c r="ET134" s="468"/>
      <c r="EU134" s="468"/>
      <c r="EV134" s="468"/>
      <c r="EW134" s="468"/>
      <c r="EX134" s="468"/>
      <c r="EY134" s="468"/>
      <c r="EZ134" s="468"/>
      <c r="FA134" s="468"/>
      <c r="FB134" s="468"/>
      <c r="FC134" s="468"/>
      <c r="FD134" s="468"/>
      <c r="FE134" s="468"/>
      <c r="FF134" s="468"/>
      <c r="FG134" s="468"/>
      <c r="FH134" s="468"/>
      <c r="FI134" s="468"/>
      <c r="FJ134" s="468"/>
      <c r="FK134" s="468"/>
      <c r="FL134" s="468"/>
      <c r="FM134" s="468"/>
      <c r="FN134" s="468"/>
      <c r="FO134" s="468"/>
      <c r="FP134" s="468"/>
      <c r="FQ134" s="468"/>
      <c r="FR134" s="468"/>
      <c r="FS134" s="468"/>
      <c r="FT134" s="468"/>
      <c r="FU134" s="468"/>
      <c r="FV134" s="468"/>
      <c r="FW134" s="468"/>
      <c r="FX134" s="468"/>
      <c r="FY134" s="468"/>
      <c r="FZ134" s="468"/>
      <c r="GA134" s="468"/>
      <c r="GB134" s="468"/>
      <c r="GC134" s="468"/>
      <c r="GD134" s="468"/>
      <c r="GE134" s="468"/>
      <c r="GF134" s="468"/>
      <c r="GG134" s="468"/>
      <c r="GH134" s="468"/>
      <c r="GI134" s="468"/>
      <c r="GJ134" s="468"/>
      <c r="GK134" s="468"/>
      <c r="GL134" s="468"/>
      <c r="GM134" s="468"/>
      <c r="GN134" s="468"/>
      <c r="GO134" s="468"/>
      <c r="GP134" s="468"/>
      <c r="GQ134" s="468"/>
      <c r="GR134" s="468"/>
      <c r="GS134" s="468"/>
      <c r="GT134" s="468"/>
      <c r="GU134" s="468"/>
      <c r="GV134" s="468"/>
      <c r="GW134" s="468"/>
      <c r="GX134" s="468"/>
      <c r="GY134" s="468"/>
      <c r="GZ134" s="468"/>
      <c r="HA134" s="468"/>
      <c r="HB134" s="468"/>
      <c r="HC134" s="468"/>
      <c r="HD134" s="468"/>
      <c r="HE134" s="468"/>
      <c r="HF134" s="468"/>
      <c r="HG134" s="468"/>
      <c r="HH134" s="468"/>
      <c r="HI134" s="468"/>
      <c r="HJ134" s="468"/>
      <c r="HK134" s="468"/>
      <c r="HL134" s="468"/>
      <c r="HM134" s="468"/>
      <c r="HN134" s="468"/>
      <c r="HO134" s="468"/>
      <c r="HP134" s="468"/>
      <c r="HQ134" s="468"/>
      <c r="HR134" s="468"/>
      <c r="HS134" s="468"/>
      <c r="HT134" s="468"/>
      <c r="HU134" s="468"/>
      <c r="HV134" s="468"/>
      <c r="HW134" s="468"/>
      <c r="HX134" s="468"/>
      <c r="HY134" s="468"/>
      <c r="HZ134" s="468"/>
      <c r="IA134" s="468"/>
      <c r="IB134" s="468"/>
      <c r="IC134" s="468"/>
      <c r="ID134" s="468"/>
      <c r="IE134" s="468"/>
      <c r="IF134" s="468"/>
      <c r="IG134" s="468"/>
      <c r="IH134" s="468"/>
      <c r="II134" s="468"/>
      <c r="IJ134" s="468"/>
      <c r="IK134" s="468"/>
      <c r="IL134" s="468"/>
      <c r="IM134" s="468"/>
      <c r="IN134" s="468"/>
      <c r="IO134" s="468"/>
      <c r="IP134" s="468"/>
      <c r="IQ134" s="468"/>
      <c r="IR134" s="468"/>
      <c r="IS134" s="468"/>
      <c r="IT134" s="468"/>
      <c r="IU134" s="468"/>
      <c r="IV134" s="468"/>
      <c r="IW134" s="468"/>
      <c r="IX134" s="468"/>
      <c r="IY134" s="468"/>
      <c r="IZ134" s="468"/>
      <c r="JA134" s="468"/>
    </row>
    <row r="135" spans="1:261" ht="18.899999999999999" customHeight="1">
      <c r="A135" s="468"/>
      <c r="B135" s="468"/>
      <c r="C135" s="473"/>
      <c r="D135" s="473"/>
      <c r="E135" s="473"/>
      <c r="F135" s="473"/>
      <c r="G135" s="468"/>
      <c r="H135" s="468"/>
      <c r="I135" s="468"/>
      <c r="J135" s="468"/>
      <c r="K135" s="468"/>
      <c r="L135" s="468"/>
      <c r="M135" s="468"/>
      <c r="N135" s="468"/>
      <c r="O135" s="468"/>
      <c r="P135" s="468"/>
      <c r="Q135" s="468"/>
      <c r="R135" s="468"/>
      <c r="S135" s="468"/>
      <c r="T135" s="468"/>
      <c r="U135" s="468"/>
      <c r="V135" s="468"/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468"/>
      <c r="AH135" s="468"/>
      <c r="AI135" s="468"/>
      <c r="AJ135" s="468"/>
      <c r="AK135" s="468"/>
      <c r="AL135" s="468"/>
      <c r="AM135" s="468"/>
      <c r="AN135" s="468"/>
      <c r="AO135" s="468"/>
      <c r="AP135" s="468"/>
      <c r="AQ135" s="468"/>
      <c r="AR135" s="468"/>
      <c r="AS135" s="468"/>
      <c r="AT135" s="468"/>
      <c r="AU135" s="468"/>
      <c r="AV135" s="468"/>
      <c r="AW135" s="468"/>
      <c r="AX135" s="468"/>
      <c r="AY135" s="468"/>
      <c r="AZ135" s="468"/>
      <c r="BA135" s="468"/>
      <c r="BB135" s="468"/>
      <c r="BC135" s="468"/>
      <c r="BD135" s="468"/>
      <c r="BE135" s="468"/>
      <c r="BF135" s="468"/>
      <c r="BG135" s="468"/>
      <c r="BH135" s="468"/>
      <c r="BI135" s="468"/>
      <c r="BJ135" s="468"/>
      <c r="BK135" s="468"/>
      <c r="BL135" s="468"/>
      <c r="BM135" s="468"/>
      <c r="BN135" s="468"/>
      <c r="BO135" s="468"/>
      <c r="BP135" s="468"/>
      <c r="BQ135" s="468"/>
      <c r="BR135" s="468"/>
      <c r="BS135" s="468"/>
      <c r="BT135" s="468"/>
      <c r="BU135" s="468"/>
      <c r="BV135" s="468"/>
      <c r="BW135" s="468"/>
      <c r="BX135" s="468"/>
      <c r="BY135" s="468"/>
      <c r="BZ135" s="468"/>
      <c r="CA135" s="468"/>
      <c r="CB135" s="468"/>
      <c r="CC135" s="468"/>
      <c r="CD135" s="468"/>
      <c r="CE135" s="468"/>
      <c r="CF135" s="468"/>
      <c r="CG135" s="468"/>
      <c r="CH135" s="468"/>
      <c r="CI135" s="468"/>
      <c r="CJ135" s="468"/>
      <c r="CK135" s="468"/>
      <c r="CL135" s="468"/>
      <c r="CM135" s="468"/>
      <c r="CN135" s="468"/>
      <c r="CO135" s="468"/>
      <c r="CP135" s="468"/>
      <c r="CQ135" s="468"/>
      <c r="CR135" s="468"/>
      <c r="CS135" s="468"/>
      <c r="CT135" s="468"/>
      <c r="CU135" s="468"/>
      <c r="CV135" s="468"/>
      <c r="CW135" s="468"/>
      <c r="CX135" s="468"/>
      <c r="CY135" s="468"/>
      <c r="CZ135" s="468"/>
      <c r="DA135" s="468"/>
      <c r="DB135" s="468"/>
      <c r="DC135" s="468"/>
      <c r="DD135" s="468"/>
      <c r="DE135" s="468"/>
      <c r="DF135" s="468"/>
      <c r="DG135" s="468"/>
      <c r="DH135" s="468"/>
      <c r="DI135" s="468"/>
      <c r="DJ135" s="468"/>
      <c r="DK135" s="468"/>
      <c r="DL135" s="468"/>
      <c r="DM135" s="468"/>
      <c r="DN135" s="471"/>
      <c r="DO135" s="468"/>
      <c r="DP135" s="468"/>
      <c r="DQ135" s="468"/>
      <c r="DR135" s="468"/>
      <c r="DS135" s="468"/>
      <c r="DT135" s="468"/>
      <c r="DU135" s="468"/>
      <c r="DV135" s="468"/>
      <c r="DW135" s="468"/>
      <c r="DX135" s="468"/>
      <c r="DY135" s="468"/>
      <c r="DZ135" s="468"/>
      <c r="EA135" s="468"/>
      <c r="EB135" s="468"/>
      <c r="EC135" s="468"/>
      <c r="ED135" s="468"/>
      <c r="EE135" s="468"/>
      <c r="EF135" s="468"/>
      <c r="EG135" s="468"/>
      <c r="EH135" s="468"/>
      <c r="EI135" s="468"/>
      <c r="EJ135" s="468"/>
      <c r="EK135" s="468"/>
      <c r="EL135" s="468"/>
      <c r="EM135" s="468"/>
      <c r="EN135" s="468"/>
      <c r="EO135" s="468"/>
      <c r="EP135" s="468"/>
      <c r="EQ135" s="468"/>
      <c r="ER135" s="468"/>
      <c r="ES135" s="468"/>
      <c r="ET135" s="468"/>
      <c r="EU135" s="468"/>
      <c r="EV135" s="468"/>
      <c r="EW135" s="468"/>
      <c r="EX135" s="468"/>
      <c r="EY135" s="468"/>
      <c r="EZ135" s="468"/>
      <c r="FA135" s="468"/>
      <c r="FB135" s="468"/>
      <c r="FC135" s="468"/>
      <c r="FD135" s="468"/>
      <c r="FE135" s="468"/>
      <c r="FF135" s="468"/>
      <c r="FG135" s="468"/>
      <c r="FH135" s="468"/>
      <c r="FI135" s="468"/>
      <c r="FJ135" s="468"/>
      <c r="FK135" s="468"/>
      <c r="FL135" s="468"/>
      <c r="FM135" s="468"/>
      <c r="FN135" s="468"/>
      <c r="FO135" s="468"/>
      <c r="FP135" s="468"/>
      <c r="FQ135" s="468"/>
      <c r="FR135" s="468"/>
      <c r="FS135" s="468"/>
      <c r="FT135" s="468"/>
      <c r="FU135" s="468"/>
      <c r="FV135" s="468"/>
      <c r="FW135" s="468"/>
      <c r="FX135" s="468"/>
      <c r="FY135" s="468"/>
      <c r="FZ135" s="468"/>
      <c r="GA135" s="468"/>
      <c r="GB135" s="468"/>
      <c r="GC135" s="468"/>
      <c r="GD135" s="468"/>
      <c r="GE135" s="468"/>
      <c r="GF135" s="468"/>
      <c r="GG135" s="468"/>
      <c r="GH135" s="468"/>
      <c r="GI135" s="468"/>
      <c r="GJ135" s="468"/>
      <c r="GK135" s="468"/>
      <c r="GL135" s="468"/>
      <c r="GM135" s="468"/>
      <c r="GN135" s="468"/>
      <c r="GO135" s="468"/>
      <c r="GP135" s="468"/>
      <c r="GQ135" s="468"/>
      <c r="GR135" s="468"/>
      <c r="GS135" s="468"/>
      <c r="GT135" s="468"/>
      <c r="GU135" s="468"/>
      <c r="GV135" s="468"/>
      <c r="GW135" s="468"/>
      <c r="GX135" s="468"/>
      <c r="GY135" s="468"/>
      <c r="GZ135" s="468"/>
      <c r="HA135" s="468"/>
      <c r="HB135" s="468"/>
      <c r="HC135" s="468"/>
      <c r="HD135" s="468"/>
      <c r="HE135" s="468"/>
      <c r="HF135" s="468"/>
      <c r="HG135" s="468"/>
      <c r="HH135" s="468"/>
      <c r="HI135" s="468"/>
      <c r="HJ135" s="468"/>
      <c r="HK135" s="468"/>
      <c r="HL135" s="468"/>
      <c r="HM135" s="468"/>
      <c r="HN135" s="468"/>
      <c r="HO135" s="468"/>
      <c r="HP135" s="468"/>
      <c r="HQ135" s="468"/>
      <c r="HR135" s="468"/>
      <c r="HS135" s="468"/>
      <c r="HT135" s="468"/>
      <c r="HU135" s="468"/>
      <c r="HV135" s="468"/>
      <c r="HW135" s="468"/>
      <c r="HX135" s="468"/>
      <c r="HY135" s="468"/>
      <c r="HZ135" s="468"/>
      <c r="IA135" s="468"/>
      <c r="IB135" s="468"/>
      <c r="IC135" s="468"/>
      <c r="ID135" s="468"/>
      <c r="IE135" s="468"/>
      <c r="IF135" s="468"/>
      <c r="IG135" s="468"/>
      <c r="IH135" s="468"/>
      <c r="II135" s="468"/>
      <c r="IJ135" s="468"/>
      <c r="IK135" s="468"/>
      <c r="IL135" s="468"/>
      <c r="IM135" s="468"/>
      <c r="IN135" s="468"/>
      <c r="IO135" s="468"/>
      <c r="IP135" s="468"/>
      <c r="IQ135" s="468"/>
      <c r="IR135" s="468"/>
      <c r="IS135" s="468"/>
      <c r="IT135" s="468"/>
      <c r="IU135" s="468"/>
      <c r="IV135" s="468"/>
      <c r="IW135" s="468"/>
      <c r="IX135" s="468"/>
      <c r="IY135" s="468"/>
      <c r="IZ135" s="468"/>
      <c r="JA135" s="468"/>
    </row>
    <row r="136" spans="1:261" ht="18.899999999999999" customHeight="1">
      <c r="A136" s="468"/>
      <c r="B136" s="468"/>
      <c r="C136" s="473"/>
      <c r="D136" s="473"/>
      <c r="E136" s="473"/>
      <c r="F136" s="473"/>
      <c r="G136" s="468"/>
      <c r="H136" s="468"/>
      <c r="I136" s="468"/>
      <c r="J136" s="468"/>
      <c r="K136" s="468"/>
      <c r="L136" s="468"/>
      <c r="M136" s="468"/>
      <c r="N136" s="468"/>
      <c r="O136" s="468"/>
      <c r="P136" s="468"/>
      <c r="Q136" s="468"/>
      <c r="R136" s="468"/>
      <c r="S136" s="468"/>
      <c r="T136" s="468"/>
      <c r="U136" s="468"/>
      <c r="V136" s="468"/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8"/>
      <c r="AJ136" s="468"/>
      <c r="AK136" s="468"/>
      <c r="AL136" s="468"/>
      <c r="AM136" s="468"/>
      <c r="AN136" s="468"/>
      <c r="AO136" s="468"/>
      <c r="AP136" s="468"/>
      <c r="AQ136" s="468"/>
      <c r="AR136" s="468"/>
      <c r="AS136" s="468"/>
      <c r="AT136" s="468"/>
      <c r="AU136" s="468"/>
      <c r="AV136" s="468"/>
      <c r="AW136" s="468"/>
      <c r="AX136" s="468"/>
      <c r="AY136" s="468"/>
      <c r="AZ136" s="468"/>
      <c r="BA136" s="468"/>
      <c r="BB136" s="468"/>
      <c r="BC136" s="468"/>
      <c r="BD136" s="468"/>
      <c r="BE136" s="468"/>
      <c r="BF136" s="468"/>
      <c r="BG136" s="468"/>
      <c r="BH136" s="468"/>
      <c r="BI136" s="468"/>
      <c r="BJ136" s="468"/>
      <c r="BK136" s="468"/>
      <c r="BL136" s="468"/>
      <c r="BM136" s="468"/>
      <c r="BN136" s="468"/>
      <c r="BO136" s="468"/>
      <c r="BP136" s="468"/>
      <c r="BQ136" s="468"/>
      <c r="BR136" s="468"/>
      <c r="BS136" s="468"/>
      <c r="BT136" s="468"/>
      <c r="BU136" s="468"/>
      <c r="BV136" s="468"/>
      <c r="BW136" s="468"/>
      <c r="BX136" s="468"/>
      <c r="BY136" s="468"/>
      <c r="BZ136" s="468"/>
      <c r="CA136" s="468"/>
      <c r="CB136" s="468"/>
      <c r="CC136" s="468"/>
      <c r="CD136" s="468"/>
      <c r="CE136" s="468"/>
      <c r="CF136" s="468"/>
      <c r="CG136" s="468"/>
      <c r="CH136" s="468"/>
      <c r="CI136" s="468"/>
      <c r="CJ136" s="468"/>
      <c r="CK136" s="468"/>
      <c r="CL136" s="468"/>
      <c r="CM136" s="468"/>
      <c r="CN136" s="468"/>
      <c r="CO136" s="468"/>
      <c r="CP136" s="468"/>
      <c r="CQ136" s="468"/>
      <c r="CR136" s="468"/>
      <c r="CS136" s="468"/>
      <c r="CT136" s="468"/>
      <c r="CU136" s="468"/>
      <c r="CV136" s="468"/>
      <c r="CW136" s="468"/>
      <c r="CX136" s="468"/>
      <c r="CY136" s="468"/>
      <c r="CZ136" s="468"/>
      <c r="DA136" s="468"/>
      <c r="DB136" s="468"/>
      <c r="DC136" s="468"/>
      <c r="DD136" s="468"/>
      <c r="DE136" s="468"/>
      <c r="DF136" s="468"/>
      <c r="DG136" s="468"/>
      <c r="DH136" s="468"/>
      <c r="DI136" s="468"/>
      <c r="DJ136" s="468"/>
      <c r="DK136" s="468"/>
      <c r="DL136" s="468"/>
      <c r="DM136" s="468"/>
      <c r="DN136" s="471"/>
      <c r="DO136" s="468"/>
      <c r="DP136" s="468"/>
      <c r="DQ136" s="468"/>
      <c r="DR136" s="468"/>
      <c r="DS136" s="468"/>
      <c r="DT136" s="468"/>
      <c r="DU136" s="468"/>
      <c r="DV136" s="468"/>
      <c r="DW136" s="468"/>
      <c r="DX136" s="468"/>
      <c r="DY136" s="468"/>
      <c r="DZ136" s="468"/>
      <c r="EA136" s="468"/>
      <c r="EB136" s="468"/>
      <c r="EC136" s="468"/>
      <c r="ED136" s="468"/>
      <c r="EE136" s="468"/>
      <c r="EF136" s="468"/>
      <c r="EG136" s="468"/>
      <c r="EH136" s="468"/>
      <c r="EI136" s="468"/>
      <c r="EJ136" s="468"/>
      <c r="EK136" s="468"/>
      <c r="EL136" s="468"/>
      <c r="EM136" s="468"/>
      <c r="EN136" s="468"/>
      <c r="EO136" s="468"/>
      <c r="EP136" s="468"/>
      <c r="EQ136" s="468"/>
      <c r="ER136" s="468"/>
      <c r="ES136" s="468"/>
      <c r="ET136" s="468"/>
      <c r="EU136" s="468"/>
      <c r="EV136" s="468"/>
      <c r="EW136" s="468"/>
      <c r="EX136" s="468"/>
      <c r="EY136" s="468"/>
      <c r="EZ136" s="468"/>
      <c r="FA136" s="468"/>
      <c r="FB136" s="468"/>
      <c r="FC136" s="468"/>
      <c r="FD136" s="468"/>
      <c r="FE136" s="468"/>
      <c r="FF136" s="468"/>
      <c r="FG136" s="468"/>
      <c r="FH136" s="468"/>
      <c r="FI136" s="468"/>
      <c r="FJ136" s="468"/>
      <c r="FK136" s="468"/>
      <c r="FL136" s="468"/>
      <c r="FM136" s="468"/>
      <c r="FN136" s="468"/>
      <c r="FO136" s="468"/>
      <c r="FP136" s="468"/>
      <c r="FQ136" s="468"/>
      <c r="FR136" s="468"/>
      <c r="FS136" s="468"/>
      <c r="FT136" s="468"/>
      <c r="FU136" s="468"/>
      <c r="FV136" s="468"/>
      <c r="FW136" s="468"/>
      <c r="FX136" s="468"/>
      <c r="FY136" s="468"/>
      <c r="FZ136" s="468"/>
      <c r="GA136" s="468"/>
      <c r="GB136" s="468"/>
      <c r="GC136" s="468"/>
      <c r="GD136" s="468"/>
      <c r="GE136" s="468"/>
      <c r="GF136" s="468"/>
      <c r="GG136" s="468"/>
      <c r="GH136" s="468"/>
      <c r="GI136" s="468"/>
      <c r="GJ136" s="468"/>
      <c r="GK136" s="468"/>
      <c r="GL136" s="468"/>
      <c r="GM136" s="468"/>
      <c r="GN136" s="468"/>
      <c r="GO136" s="468"/>
      <c r="GP136" s="468"/>
      <c r="GQ136" s="468"/>
      <c r="GR136" s="468"/>
      <c r="GS136" s="468"/>
      <c r="GT136" s="468"/>
      <c r="GU136" s="468"/>
      <c r="GV136" s="468"/>
      <c r="GW136" s="468"/>
      <c r="GX136" s="468"/>
      <c r="GY136" s="468"/>
      <c r="GZ136" s="468"/>
      <c r="HA136" s="468"/>
      <c r="HB136" s="468"/>
      <c r="HC136" s="468"/>
      <c r="HD136" s="468"/>
      <c r="HE136" s="468"/>
      <c r="HF136" s="468"/>
      <c r="HG136" s="468"/>
      <c r="HH136" s="468"/>
      <c r="HI136" s="468"/>
      <c r="HJ136" s="468"/>
      <c r="HK136" s="468"/>
      <c r="HL136" s="468"/>
      <c r="HM136" s="468"/>
      <c r="HN136" s="468"/>
      <c r="HO136" s="468"/>
      <c r="HP136" s="468"/>
      <c r="HQ136" s="468"/>
      <c r="HR136" s="468"/>
      <c r="HS136" s="468"/>
      <c r="HT136" s="468"/>
      <c r="HU136" s="468"/>
      <c r="HV136" s="468"/>
      <c r="HW136" s="468"/>
      <c r="HX136" s="468"/>
      <c r="HY136" s="468"/>
      <c r="HZ136" s="468"/>
      <c r="IA136" s="468"/>
      <c r="IB136" s="468"/>
      <c r="IC136" s="468"/>
      <c r="ID136" s="468"/>
      <c r="IE136" s="468"/>
      <c r="IF136" s="468"/>
      <c r="IG136" s="468"/>
      <c r="IH136" s="468"/>
      <c r="II136" s="468"/>
      <c r="IJ136" s="468"/>
      <c r="IK136" s="468"/>
      <c r="IL136" s="468"/>
      <c r="IM136" s="468"/>
      <c r="IN136" s="468"/>
      <c r="IO136" s="468"/>
      <c r="IP136" s="468"/>
      <c r="IQ136" s="468"/>
      <c r="IR136" s="468"/>
      <c r="IS136" s="468"/>
      <c r="IT136" s="468"/>
      <c r="IU136" s="468"/>
      <c r="IV136" s="468"/>
      <c r="IW136" s="468"/>
      <c r="IX136" s="468"/>
      <c r="IY136" s="468"/>
      <c r="IZ136" s="468"/>
      <c r="JA136" s="468"/>
    </row>
    <row r="137" spans="1:261" ht="18.899999999999999" customHeight="1">
      <c r="A137" s="468"/>
      <c r="B137" s="468"/>
      <c r="C137" s="473"/>
      <c r="D137" s="473"/>
      <c r="E137" s="473"/>
      <c r="F137" s="473"/>
      <c r="G137" s="468"/>
      <c r="H137" s="468"/>
      <c r="I137" s="468"/>
      <c r="J137" s="468"/>
      <c r="K137" s="468"/>
      <c r="L137" s="468"/>
      <c r="M137" s="468"/>
      <c r="N137" s="468"/>
      <c r="O137" s="468"/>
      <c r="P137" s="468"/>
      <c r="Q137" s="468"/>
      <c r="R137" s="468"/>
      <c r="S137" s="468"/>
      <c r="T137" s="468"/>
      <c r="U137" s="468"/>
      <c r="V137" s="468"/>
      <c r="W137" s="468"/>
      <c r="X137" s="468"/>
      <c r="Y137" s="468"/>
      <c r="Z137" s="468"/>
      <c r="AA137" s="468"/>
      <c r="AB137" s="468"/>
      <c r="AC137" s="468"/>
      <c r="AD137" s="468"/>
      <c r="AE137" s="468"/>
      <c r="AF137" s="468"/>
      <c r="AG137" s="468"/>
      <c r="AH137" s="468"/>
      <c r="AI137" s="468"/>
      <c r="AJ137" s="468"/>
      <c r="AK137" s="468"/>
      <c r="AL137" s="468"/>
      <c r="AM137" s="468"/>
      <c r="AN137" s="468"/>
      <c r="AO137" s="468"/>
      <c r="AP137" s="468"/>
      <c r="AQ137" s="468"/>
      <c r="AR137" s="468"/>
      <c r="AS137" s="468"/>
      <c r="AT137" s="468"/>
      <c r="AU137" s="468"/>
      <c r="AV137" s="468"/>
      <c r="AW137" s="468"/>
      <c r="AX137" s="468"/>
      <c r="AY137" s="468"/>
      <c r="AZ137" s="468"/>
      <c r="BA137" s="468"/>
      <c r="BB137" s="468"/>
      <c r="BC137" s="468"/>
      <c r="BD137" s="468"/>
      <c r="BE137" s="468"/>
      <c r="BF137" s="468"/>
      <c r="BG137" s="468"/>
      <c r="BH137" s="468"/>
      <c r="BI137" s="468"/>
      <c r="BJ137" s="468"/>
      <c r="BK137" s="468"/>
      <c r="BL137" s="468"/>
      <c r="BM137" s="468"/>
      <c r="BN137" s="468"/>
      <c r="BO137" s="468"/>
      <c r="BP137" s="468"/>
      <c r="BQ137" s="468"/>
      <c r="BR137" s="468"/>
      <c r="BS137" s="468"/>
      <c r="BT137" s="468"/>
      <c r="BU137" s="468"/>
      <c r="BV137" s="468"/>
      <c r="BW137" s="468"/>
      <c r="BX137" s="468"/>
      <c r="BY137" s="468"/>
      <c r="BZ137" s="468"/>
      <c r="CA137" s="468"/>
      <c r="CB137" s="468"/>
      <c r="CC137" s="468"/>
      <c r="CD137" s="468"/>
      <c r="CE137" s="468"/>
      <c r="CF137" s="468"/>
      <c r="CG137" s="468"/>
      <c r="CH137" s="468"/>
      <c r="CI137" s="468"/>
      <c r="CJ137" s="468"/>
      <c r="CK137" s="468"/>
      <c r="CL137" s="468"/>
      <c r="CM137" s="468"/>
      <c r="CN137" s="468"/>
      <c r="CO137" s="468"/>
      <c r="CP137" s="468"/>
      <c r="CQ137" s="468"/>
      <c r="CR137" s="468"/>
      <c r="CS137" s="468"/>
      <c r="CT137" s="468"/>
      <c r="CU137" s="468"/>
      <c r="CV137" s="468"/>
      <c r="CW137" s="468"/>
      <c r="CX137" s="468"/>
      <c r="CY137" s="468"/>
      <c r="CZ137" s="468"/>
      <c r="DA137" s="468"/>
      <c r="DB137" s="468"/>
      <c r="DC137" s="468"/>
      <c r="DD137" s="468"/>
      <c r="DE137" s="468"/>
      <c r="DF137" s="468"/>
      <c r="DG137" s="468"/>
      <c r="DH137" s="468"/>
      <c r="DI137" s="468"/>
      <c r="DJ137" s="468"/>
      <c r="DK137" s="468"/>
      <c r="DL137" s="468"/>
      <c r="DM137" s="468"/>
      <c r="DN137" s="471"/>
      <c r="DO137" s="468"/>
      <c r="DP137" s="468"/>
      <c r="DQ137" s="468"/>
      <c r="DR137" s="468"/>
      <c r="DS137" s="468"/>
      <c r="DT137" s="468"/>
      <c r="DU137" s="468"/>
      <c r="DV137" s="468"/>
      <c r="DW137" s="468"/>
      <c r="DX137" s="468"/>
      <c r="DY137" s="468"/>
      <c r="DZ137" s="468"/>
      <c r="EA137" s="468"/>
      <c r="EB137" s="468"/>
      <c r="EC137" s="468"/>
      <c r="ED137" s="468"/>
      <c r="EE137" s="468"/>
      <c r="EF137" s="468"/>
      <c r="EG137" s="468"/>
      <c r="EH137" s="468"/>
      <c r="EI137" s="468"/>
      <c r="EJ137" s="468"/>
      <c r="EK137" s="468"/>
      <c r="EL137" s="468"/>
      <c r="EM137" s="468"/>
      <c r="EN137" s="468"/>
      <c r="EO137" s="468"/>
      <c r="EP137" s="468"/>
      <c r="EQ137" s="468"/>
      <c r="ER137" s="468"/>
      <c r="ES137" s="468"/>
      <c r="ET137" s="468"/>
      <c r="EU137" s="468"/>
      <c r="EV137" s="468"/>
      <c r="EW137" s="468"/>
      <c r="EX137" s="468"/>
      <c r="EY137" s="468"/>
      <c r="EZ137" s="468"/>
      <c r="FA137" s="468"/>
      <c r="FB137" s="468"/>
      <c r="FC137" s="468"/>
      <c r="FD137" s="468"/>
      <c r="FE137" s="468"/>
      <c r="FF137" s="468"/>
      <c r="FG137" s="468"/>
      <c r="FH137" s="468"/>
      <c r="FI137" s="468"/>
      <c r="FJ137" s="468"/>
      <c r="FK137" s="468"/>
      <c r="FL137" s="468"/>
      <c r="FM137" s="468"/>
      <c r="FN137" s="468"/>
      <c r="FO137" s="468"/>
      <c r="FP137" s="468"/>
      <c r="FQ137" s="468"/>
      <c r="FR137" s="468"/>
      <c r="FS137" s="468"/>
      <c r="FT137" s="468"/>
      <c r="FU137" s="468"/>
      <c r="FV137" s="468"/>
      <c r="FW137" s="468"/>
      <c r="FX137" s="468"/>
      <c r="FY137" s="468"/>
      <c r="FZ137" s="468"/>
      <c r="GA137" s="468"/>
      <c r="GB137" s="468"/>
      <c r="GC137" s="468"/>
      <c r="GD137" s="468"/>
      <c r="GE137" s="468"/>
      <c r="GF137" s="468"/>
      <c r="GG137" s="468"/>
      <c r="GH137" s="468"/>
      <c r="GI137" s="468"/>
      <c r="GJ137" s="468"/>
      <c r="GK137" s="468"/>
      <c r="GL137" s="468"/>
      <c r="GM137" s="468"/>
      <c r="GN137" s="468"/>
      <c r="GO137" s="468"/>
      <c r="GP137" s="468"/>
      <c r="GQ137" s="468"/>
      <c r="GR137" s="468"/>
      <c r="GS137" s="468"/>
      <c r="GT137" s="468"/>
      <c r="GU137" s="468"/>
      <c r="GV137" s="468"/>
      <c r="GW137" s="468"/>
      <c r="GX137" s="468"/>
      <c r="GY137" s="468"/>
      <c r="GZ137" s="468"/>
      <c r="HA137" s="468"/>
      <c r="HB137" s="468"/>
      <c r="HC137" s="468"/>
      <c r="HD137" s="468"/>
      <c r="HE137" s="468"/>
      <c r="HF137" s="468"/>
      <c r="HG137" s="468"/>
      <c r="HH137" s="468"/>
      <c r="HI137" s="468"/>
      <c r="HJ137" s="468"/>
      <c r="HK137" s="468"/>
      <c r="HL137" s="468"/>
      <c r="HM137" s="468"/>
      <c r="HN137" s="468"/>
      <c r="HO137" s="468"/>
      <c r="HP137" s="468"/>
      <c r="HQ137" s="468"/>
      <c r="HR137" s="468"/>
      <c r="HS137" s="468"/>
      <c r="HT137" s="468"/>
      <c r="HU137" s="468"/>
      <c r="HV137" s="468"/>
      <c r="HW137" s="468"/>
      <c r="HX137" s="468"/>
      <c r="HY137" s="468"/>
      <c r="HZ137" s="468"/>
      <c r="IA137" s="468"/>
      <c r="IB137" s="468"/>
      <c r="IC137" s="468"/>
      <c r="ID137" s="468"/>
      <c r="IE137" s="468"/>
      <c r="IF137" s="468"/>
      <c r="IG137" s="468"/>
      <c r="IH137" s="468"/>
      <c r="II137" s="468"/>
      <c r="IJ137" s="468"/>
      <c r="IK137" s="468"/>
      <c r="IL137" s="468"/>
      <c r="IM137" s="468"/>
      <c r="IN137" s="468"/>
      <c r="IO137" s="468"/>
      <c r="IP137" s="468"/>
      <c r="IQ137" s="468"/>
      <c r="IR137" s="468"/>
      <c r="IS137" s="468"/>
      <c r="IT137" s="468"/>
      <c r="IU137" s="468"/>
      <c r="IV137" s="468"/>
      <c r="IW137" s="468"/>
      <c r="IX137" s="468"/>
      <c r="IY137" s="468"/>
      <c r="IZ137" s="468"/>
      <c r="JA137" s="468"/>
    </row>
    <row r="138" spans="1:261" ht="18.899999999999999" customHeight="1">
      <c r="A138" s="468"/>
      <c r="B138" s="468"/>
      <c r="C138" s="473"/>
      <c r="D138" s="473"/>
      <c r="E138" s="473"/>
      <c r="F138" s="473"/>
      <c r="G138" s="468"/>
      <c r="H138" s="468"/>
      <c r="I138" s="468"/>
      <c r="J138" s="468"/>
      <c r="K138" s="468"/>
      <c r="L138" s="468"/>
      <c r="M138" s="468"/>
      <c r="N138" s="468"/>
      <c r="O138" s="468"/>
      <c r="P138" s="468"/>
      <c r="Q138" s="468"/>
      <c r="R138" s="468"/>
      <c r="S138" s="468"/>
      <c r="T138" s="468"/>
      <c r="U138" s="468"/>
      <c r="V138" s="468"/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468"/>
      <c r="AH138" s="468"/>
      <c r="AI138" s="468"/>
      <c r="AJ138" s="468"/>
      <c r="AK138" s="468"/>
      <c r="AL138" s="468"/>
      <c r="AM138" s="468"/>
      <c r="AN138" s="468"/>
      <c r="AO138" s="468"/>
      <c r="AP138" s="468"/>
      <c r="AQ138" s="468"/>
      <c r="AR138" s="468"/>
      <c r="AS138" s="468"/>
      <c r="AT138" s="468"/>
      <c r="AU138" s="468"/>
      <c r="AV138" s="468"/>
      <c r="AW138" s="468"/>
      <c r="AX138" s="468"/>
      <c r="AY138" s="468"/>
      <c r="AZ138" s="468"/>
      <c r="BA138" s="468"/>
      <c r="BB138" s="468"/>
      <c r="BC138" s="468"/>
      <c r="BD138" s="468"/>
      <c r="BE138" s="468"/>
      <c r="BF138" s="468"/>
      <c r="BG138" s="468"/>
      <c r="BH138" s="468"/>
      <c r="BI138" s="468"/>
      <c r="BJ138" s="468"/>
      <c r="BK138" s="468"/>
      <c r="BL138" s="468"/>
      <c r="BM138" s="468"/>
      <c r="BN138" s="468"/>
      <c r="BO138" s="468"/>
      <c r="BP138" s="468"/>
      <c r="BQ138" s="468"/>
      <c r="BR138" s="468"/>
      <c r="BS138" s="468"/>
      <c r="BT138" s="468"/>
      <c r="BU138" s="468"/>
      <c r="BV138" s="468"/>
      <c r="BW138" s="468"/>
      <c r="BX138" s="468"/>
      <c r="BY138" s="468"/>
      <c r="BZ138" s="468"/>
      <c r="CA138" s="468"/>
      <c r="CB138" s="468"/>
      <c r="CC138" s="468"/>
      <c r="CD138" s="468"/>
      <c r="CE138" s="468"/>
      <c r="CF138" s="468"/>
      <c r="CG138" s="468"/>
      <c r="CH138" s="468"/>
      <c r="CI138" s="468"/>
      <c r="CJ138" s="468"/>
      <c r="CK138" s="468"/>
      <c r="CL138" s="468"/>
      <c r="CM138" s="468"/>
      <c r="CN138" s="468"/>
      <c r="CO138" s="468"/>
      <c r="CP138" s="468"/>
      <c r="CQ138" s="468"/>
      <c r="CR138" s="468"/>
      <c r="CS138" s="468"/>
      <c r="CT138" s="468"/>
      <c r="CU138" s="468"/>
      <c r="CV138" s="468"/>
      <c r="CW138" s="468"/>
      <c r="CX138" s="468"/>
      <c r="CY138" s="468"/>
      <c r="CZ138" s="468"/>
      <c r="DA138" s="468"/>
      <c r="DB138" s="468"/>
      <c r="DC138" s="468"/>
      <c r="DD138" s="468"/>
      <c r="DE138" s="468"/>
      <c r="DF138" s="468"/>
      <c r="DG138" s="468"/>
      <c r="DH138" s="468"/>
      <c r="DI138" s="468"/>
      <c r="DJ138" s="468"/>
      <c r="DK138" s="468"/>
      <c r="DL138" s="468"/>
      <c r="DM138" s="468"/>
      <c r="DN138" s="471"/>
      <c r="DO138" s="468"/>
      <c r="DP138" s="468"/>
      <c r="DQ138" s="468"/>
      <c r="DR138" s="468"/>
      <c r="DS138" s="468"/>
      <c r="DT138" s="468"/>
      <c r="DU138" s="468"/>
      <c r="DV138" s="468"/>
      <c r="DW138" s="468"/>
      <c r="DX138" s="468"/>
      <c r="DY138" s="468"/>
      <c r="DZ138" s="468"/>
      <c r="EA138" s="468"/>
      <c r="EB138" s="468"/>
      <c r="EC138" s="468"/>
      <c r="ED138" s="468"/>
      <c r="EE138" s="468"/>
      <c r="EF138" s="468"/>
      <c r="EG138" s="468"/>
      <c r="EH138" s="468"/>
      <c r="EI138" s="468"/>
      <c r="EJ138" s="468"/>
      <c r="EK138" s="468"/>
      <c r="EL138" s="468"/>
      <c r="EM138" s="468"/>
      <c r="EN138" s="468"/>
      <c r="EO138" s="468"/>
      <c r="EP138" s="468"/>
      <c r="EQ138" s="468"/>
      <c r="ER138" s="468"/>
      <c r="ES138" s="468"/>
      <c r="ET138" s="468"/>
      <c r="EU138" s="468"/>
      <c r="EV138" s="468"/>
      <c r="EW138" s="468"/>
      <c r="EX138" s="468"/>
      <c r="EY138" s="468"/>
      <c r="EZ138" s="468"/>
      <c r="FA138" s="468"/>
      <c r="FB138" s="468"/>
      <c r="FC138" s="468"/>
      <c r="FD138" s="468"/>
      <c r="FE138" s="468"/>
      <c r="FF138" s="468"/>
      <c r="FG138" s="468"/>
      <c r="FH138" s="468"/>
      <c r="FI138" s="468"/>
      <c r="FJ138" s="468"/>
      <c r="FK138" s="468"/>
      <c r="FL138" s="468"/>
      <c r="FM138" s="468"/>
      <c r="FN138" s="468"/>
      <c r="FO138" s="468"/>
      <c r="FP138" s="468"/>
      <c r="FQ138" s="468"/>
      <c r="FR138" s="468"/>
      <c r="FS138" s="468"/>
      <c r="FT138" s="468"/>
      <c r="FU138" s="468"/>
      <c r="FV138" s="468"/>
      <c r="FW138" s="468"/>
      <c r="FX138" s="468"/>
      <c r="FY138" s="468"/>
      <c r="FZ138" s="468"/>
      <c r="GA138" s="468"/>
      <c r="GB138" s="468"/>
      <c r="GC138" s="468"/>
      <c r="GD138" s="468"/>
      <c r="GE138" s="468"/>
      <c r="GF138" s="468"/>
      <c r="GG138" s="468"/>
      <c r="GH138" s="468"/>
      <c r="GI138" s="468"/>
      <c r="GJ138" s="468"/>
      <c r="GK138" s="468"/>
      <c r="GL138" s="468"/>
      <c r="GM138" s="468"/>
      <c r="GN138" s="468"/>
      <c r="GO138" s="468"/>
      <c r="GP138" s="468"/>
      <c r="GQ138" s="468"/>
      <c r="GR138" s="468"/>
      <c r="GS138" s="468"/>
      <c r="GT138" s="468"/>
      <c r="GU138" s="468"/>
      <c r="GV138" s="468"/>
      <c r="GW138" s="468"/>
      <c r="GX138" s="468"/>
      <c r="GY138" s="468"/>
      <c r="GZ138" s="468"/>
      <c r="HA138" s="468"/>
      <c r="HB138" s="468"/>
      <c r="HC138" s="468"/>
      <c r="HD138" s="468"/>
      <c r="HE138" s="468"/>
      <c r="HF138" s="468"/>
      <c r="HG138" s="468"/>
      <c r="HH138" s="468"/>
      <c r="HI138" s="468"/>
      <c r="HJ138" s="468"/>
      <c r="HK138" s="468"/>
      <c r="HL138" s="468"/>
      <c r="HM138" s="468"/>
      <c r="HN138" s="468"/>
      <c r="HO138" s="468"/>
      <c r="HP138" s="468"/>
      <c r="HQ138" s="468"/>
      <c r="HR138" s="468"/>
      <c r="HS138" s="468"/>
      <c r="HT138" s="468"/>
      <c r="HU138" s="468"/>
      <c r="HV138" s="468"/>
      <c r="HW138" s="468"/>
      <c r="HX138" s="468"/>
      <c r="HY138" s="468"/>
      <c r="HZ138" s="468"/>
      <c r="IA138" s="468"/>
      <c r="IB138" s="468"/>
      <c r="IC138" s="468"/>
      <c r="ID138" s="468"/>
      <c r="IE138" s="468"/>
      <c r="IF138" s="468"/>
      <c r="IG138" s="468"/>
      <c r="IH138" s="468"/>
      <c r="II138" s="468"/>
      <c r="IJ138" s="468"/>
      <c r="IK138" s="468"/>
      <c r="IL138" s="468"/>
      <c r="IM138" s="468"/>
      <c r="IN138" s="468"/>
      <c r="IO138" s="468"/>
      <c r="IP138" s="468"/>
      <c r="IQ138" s="468"/>
      <c r="IR138" s="468"/>
      <c r="IS138" s="468"/>
      <c r="IT138" s="468"/>
      <c r="IU138" s="468"/>
      <c r="IV138" s="468"/>
      <c r="IW138" s="468"/>
      <c r="IX138" s="468"/>
      <c r="IY138" s="468"/>
      <c r="IZ138" s="468"/>
      <c r="JA138" s="468"/>
    </row>
    <row r="139" spans="1:261" ht="18.899999999999999" customHeight="1">
      <c r="A139" s="468"/>
      <c r="B139" s="468"/>
      <c r="C139" s="473"/>
      <c r="D139" s="473"/>
      <c r="E139" s="473"/>
      <c r="F139" s="473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468"/>
      <c r="U139" s="468"/>
      <c r="V139" s="468"/>
      <c r="W139" s="468"/>
      <c r="X139" s="468"/>
      <c r="Y139" s="468"/>
      <c r="Z139" s="468"/>
      <c r="AA139" s="468"/>
      <c r="AB139" s="468"/>
      <c r="AC139" s="468"/>
      <c r="AD139" s="468"/>
      <c r="AE139" s="468"/>
      <c r="AF139" s="468"/>
      <c r="AG139" s="468"/>
      <c r="AH139" s="468"/>
      <c r="AI139" s="468"/>
      <c r="AJ139" s="468"/>
      <c r="AK139" s="468"/>
      <c r="AL139" s="468"/>
      <c r="AM139" s="468"/>
      <c r="AN139" s="468"/>
      <c r="AO139" s="468"/>
      <c r="AP139" s="468"/>
      <c r="AQ139" s="468"/>
      <c r="AR139" s="468"/>
      <c r="AS139" s="468"/>
      <c r="AT139" s="468"/>
      <c r="AU139" s="468"/>
      <c r="AV139" s="468"/>
      <c r="AW139" s="468"/>
      <c r="AX139" s="468"/>
      <c r="AY139" s="468"/>
      <c r="AZ139" s="468"/>
      <c r="BA139" s="468"/>
      <c r="BB139" s="468"/>
      <c r="BC139" s="468"/>
      <c r="BD139" s="468"/>
      <c r="BE139" s="468"/>
      <c r="BF139" s="468"/>
      <c r="BG139" s="468"/>
      <c r="BH139" s="468"/>
      <c r="BI139" s="468"/>
      <c r="BJ139" s="468"/>
      <c r="BK139" s="468"/>
      <c r="BL139" s="468"/>
      <c r="BM139" s="468"/>
      <c r="BN139" s="468"/>
      <c r="BO139" s="468"/>
      <c r="BP139" s="468"/>
      <c r="BQ139" s="468"/>
      <c r="BR139" s="468"/>
      <c r="BS139" s="468"/>
      <c r="BT139" s="468"/>
      <c r="BU139" s="468"/>
      <c r="BV139" s="468"/>
      <c r="BW139" s="468"/>
      <c r="BX139" s="468"/>
      <c r="BY139" s="468"/>
      <c r="BZ139" s="468"/>
      <c r="CA139" s="468"/>
      <c r="CB139" s="468"/>
      <c r="CC139" s="468"/>
      <c r="CD139" s="468"/>
      <c r="CE139" s="468"/>
      <c r="CF139" s="468"/>
      <c r="CG139" s="468"/>
      <c r="CH139" s="468"/>
      <c r="CI139" s="468"/>
      <c r="CJ139" s="468"/>
      <c r="CK139" s="468"/>
      <c r="CL139" s="468"/>
      <c r="CM139" s="468"/>
      <c r="CN139" s="468"/>
      <c r="CO139" s="468"/>
      <c r="CP139" s="468"/>
      <c r="CQ139" s="468"/>
      <c r="CR139" s="468"/>
      <c r="CS139" s="468"/>
      <c r="CT139" s="468"/>
      <c r="CU139" s="468"/>
      <c r="CV139" s="468"/>
      <c r="CW139" s="468"/>
      <c r="CX139" s="468"/>
      <c r="CY139" s="468"/>
      <c r="CZ139" s="468"/>
      <c r="DA139" s="468"/>
      <c r="DB139" s="468"/>
      <c r="DC139" s="468"/>
      <c r="DD139" s="468"/>
      <c r="DE139" s="468"/>
      <c r="DF139" s="468"/>
      <c r="DG139" s="468"/>
      <c r="DH139" s="468"/>
      <c r="DI139" s="468"/>
      <c r="DJ139" s="468"/>
      <c r="DK139" s="468"/>
      <c r="DL139" s="468"/>
      <c r="DM139" s="468"/>
      <c r="DN139" s="471"/>
      <c r="DO139" s="468"/>
      <c r="DP139" s="468"/>
      <c r="DQ139" s="468"/>
      <c r="DR139" s="468"/>
      <c r="DS139" s="468"/>
      <c r="DT139" s="468"/>
      <c r="DU139" s="468"/>
      <c r="DV139" s="468"/>
      <c r="DW139" s="468"/>
      <c r="DX139" s="468"/>
      <c r="DY139" s="468"/>
      <c r="DZ139" s="468"/>
      <c r="EA139" s="468"/>
      <c r="EB139" s="468"/>
      <c r="EC139" s="468"/>
      <c r="ED139" s="468"/>
      <c r="EE139" s="468"/>
      <c r="EF139" s="468"/>
      <c r="EG139" s="468"/>
      <c r="EH139" s="468"/>
      <c r="EI139" s="468"/>
      <c r="EJ139" s="468"/>
      <c r="EK139" s="468"/>
      <c r="EL139" s="468"/>
      <c r="EM139" s="468"/>
      <c r="EN139" s="468"/>
      <c r="EO139" s="468"/>
      <c r="EP139" s="468"/>
      <c r="EQ139" s="468"/>
      <c r="ER139" s="468"/>
      <c r="ES139" s="468"/>
      <c r="ET139" s="468"/>
      <c r="EU139" s="468"/>
      <c r="EV139" s="468"/>
      <c r="EW139" s="468"/>
      <c r="EX139" s="468"/>
      <c r="EY139" s="468"/>
      <c r="EZ139" s="468"/>
      <c r="FA139" s="468"/>
      <c r="FB139" s="468"/>
      <c r="FC139" s="468"/>
      <c r="FD139" s="468"/>
      <c r="FE139" s="468"/>
      <c r="FF139" s="468"/>
      <c r="FG139" s="468"/>
      <c r="FH139" s="468"/>
      <c r="FI139" s="468"/>
      <c r="FJ139" s="468"/>
      <c r="FK139" s="468"/>
      <c r="FL139" s="468"/>
      <c r="FM139" s="468"/>
      <c r="FN139" s="468"/>
      <c r="FO139" s="468"/>
      <c r="FP139" s="468"/>
      <c r="FQ139" s="468"/>
      <c r="FR139" s="468"/>
      <c r="FS139" s="468"/>
      <c r="FT139" s="468"/>
      <c r="FU139" s="468"/>
      <c r="FV139" s="468"/>
      <c r="FW139" s="468"/>
      <c r="FX139" s="468"/>
      <c r="FY139" s="468"/>
      <c r="FZ139" s="468"/>
      <c r="GA139" s="468"/>
      <c r="GB139" s="468"/>
      <c r="GC139" s="468"/>
      <c r="GD139" s="468"/>
      <c r="GE139" s="468"/>
      <c r="GF139" s="468"/>
      <c r="GG139" s="468"/>
      <c r="GH139" s="468"/>
      <c r="GI139" s="468"/>
      <c r="GJ139" s="468"/>
      <c r="GK139" s="468"/>
      <c r="GL139" s="468"/>
      <c r="GM139" s="468"/>
      <c r="GN139" s="468"/>
      <c r="GO139" s="468"/>
      <c r="GP139" s="468"/>
      <c r="GQ139" s="468"/>
      <c r="GR139" s="468"/>
      <c r="GS139" s="468"/>
      <c r="GT139" s="468"/>
      <c r="GU139" s="468"/>
      <c r="GV139" s="468"/>
      <c r="GW139" s="468"/>
      <c r="GX139" s="468"/>
      <c r="GY139" s="468"/>
      <c r="GZ139" s="468"/>
      <c r="HA139" s="468"/>
      <c r="HB139" s="468"/>
      <c r="HC139" s="468"/>
      <c r="HD139" s="468"/>
      <c r="HE139" s="468"/>
      <c r="HF139" s="468"/>
      <c r="HG139" s="468"/>
      <c r="HH139" s="468"/>
      <c r="HI139" s="468"/>
      <c r="HJ139" s="468"/>
      <c r="HK139" s="468"/>
      <c r="HL139" s="468"/>
      <c r="HM139" s="468"/>
      <c r="HN139" s="468"/>
      <c r="HO139" s="468"/>
      <c r="HP139" s="468"/>
      <c r="HQ139" s="468"/>
      <c r="HR139" s="468"/>
      <c r="HS139" s="468"/>
      <c r="HT139" s="468"/>
      <c r="HU139" s="468"/>
      <c r="HV139" s="468"/>
      <c r="HW139" s="468"/>
      <c r="HX139" s="468"/>
      <c r="HY139" s="468"/>
      <c r="HZ139" s="468"/>
      <c r="IA139" s="468"/>
      <c r="IB139" s="468"/>
      <c r="IC139" s="468"/>
      <c r="ID139" s="468"/>
      <c r="IE139" s="468"/>
      <c r="IF139" s="468"/>
      <c r="IG139" s="468"/>
      <c r="IH139" s="468"/>
      <c r="II139" s="468"/>
      <c r="IJ139" s="468"/>
      <c r="IK139" s="468"/>
      <c r="IL139" s="468"/>
      <c r="IM139" s="468"/>
      <c r="IN139" s="468"/>
      <c r="IO139" s="468"/>
      <c r="IP139" s="468"/>
      <c r="IQ139" s="468"/>
      <c r="IR139" s="468"/>
      <c r="IS139" s="468"/>
      <c r="IT139" s="468"/>
      <c r="IU139" s="468"/>
      <c r="IV139" s="468"/>
      <c r="IW139" s="468"/>
      <c r="IX139" s="468"/>
      <c r="IY139" s="468"/>
      <c r="IZ139" s="468"/>
      <c r="JA139" s="468"/>
    </row>
    <row r="140" spans="1:261" ht="18.899999999999999" customHeight="1">
      <c r="A140" s="468"/>
      <c r="B140" s="468"/>
      <c r="C140" s="473"/>
      <c r="D140" s="473"/>
      <c r="E140" s="473"/>
      <c r="F140" s="473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468"/>
      <c r="U140" s="468"/>
      <c r="V140" s="468"/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468"/>
      <c r="AI140" s="468"/>
      <c r="AJ140" s="468"/>
      <c r="AK140" s="468"/>
      <c r="AL140" s="468"/>
      <c r="AM140" s="468"/>
      <c r="AN140" s="468"/>
      <c r="AO140" s="468"/>
      <c r="AP140" s="468"/>
      <c r="AQ140" s="468"/>
      <c r="AR140" s="468"/>
      <c r="AS140" s="468"/>
      <c r="AT140" s="468"/>
      <c r="AU140" s="468"/>
      <c r="AV140" s="468"/>
      <c r="AW140" s="468"/>
      <c r="AX140" s="468"/>
      <c r="AY140" s="468"/>
      <c r="AZ140" s="468"/>
      <c r="BA140" s="468"/>
      <c r="BB140" s="468"/>
      <c r="BC140" s="468"/>
      <c r="BD140" s="468"/>
      <c r="BE140" s="468"/>
      <c r="BF140" s="468"/>
      <c r="BG140" s="468"/>
      <c r="BH140" s="468"/>
      <c r="BI140" s="468"/>
      <c r="BJ140" s="468"/>
      <c r="BK140" s="468"/>
      <c r="BL140" s="468"/>
      <c r="BM140" s="468"/>
      <c r="BN140" s="468"/>
      <c r="BO140" s="468"/>
      <c r="BP140" s="468"/>
      <c r="BQ140" s="468"/>
      <c r="BR140" s="468"/>
      <c r="BS140" s="468"/>
      <c r="BT140" s="468"/>
      <c r="BU140" s="468"/>
      <c r="BV140" s="468"/>
      <c r="BW140" s="468"/>
      <c r="BX140" s="468"/>
      <c r="BY140" s="468"/>
      <c r="BZ140" s="468"/>
      <c r="CA140" s="468"/>
      <c r="CB140" s="468"/>
      <c r="CC140" s="468"/>
      <c r="CD140" s="468"/>
      <c r="CE140" s="468"/>
      <c r="CF140" s="468"/>
      <c r="CG140" s="468"/>
      <c r="CH140" s="468"/>
      <c r="CI140" s="468"/>
      <c r="CJ140" s="468"/>
      <c r="CK140" s="468"/>
      <c r="CL140" s="468"/>
      <c r="CM140" s="468"/>
      <c r="CN140" s="468"/>
      <c r="CO140" s="468"/>
      <c r="CP140" s="468"/>
      <c r="CQ140" s="468"/>
      <c r="CR140" s="468"/>
      <c r="CS140" s="468"/>
      <c r="CT140" s="468"/>
      <c r="CU140" s="468"/>
      <c r="CV140" s="468"/>
      <c r="CW140" s="468"/>
      <c r="CX140" s="468"/>
      <c r="CY140" s="468"/>
      <c r="CZ140" s="468"/>
      <c r="DA140" s="468"/>
      <c r="DB140" s="468"/>
      <c r="DC140" s="468"/>
      <c r="DD140" s="468"/>
      <c r="DE140" s="468"/>
      <c r="DF140" s="468"/>
      <c r="DG140" s="468"/>
      <c r="DH140" s="468"/>
      <c r="DI140" s="468"/>
      <c r="DJ140" s="468"/>
      <c r="DK140" s="468"/>
      <c r="DL140" s="468"/>
      <c r="DM140" s="468"/>
      <c r="DN140" s="471"/>
      <c r="DO140" s="468"/>
      <c r="DP140" s="468"/>
      <c r="DQ140" s="468"/>
      <c r="DR140" s="468"/>
      <c r="DS140" s="468"/>
      <c r="DT140" s="468"/>
      <c r="DU140" s="468"/>
      <c r="DV140" s="468"/>
      <c r="DW140" s="468"/>
      <c r="DX140" s="468"/>
      <c r="DY140" s="468"/>
      <c r="DZ140" s="468"/>
      <c r="EA140" s="468"/>
      <c r="EB140" s="468"/>
      <c r="EC140" s="468"/>
      <c r="ED140" s="468"/>
      <c r="EE140" s="468"/>
      <c r="EF140" s="468"/>
      <c r="EG140" s="468"/>
      <c r="EH140" s="468"/>
      <c r="EI140" s="468"/>
      <c r="EJ140" s="468"/>
      <c r="EK140" s="468"/>
      <c r="EL140" s="468"/>
      <c r="EM140" s="468"/>
      <c r="EN140" s="468"/>
      <c r="EO140" s="468"/>
      <c r="EP140" s="468"/>
      <c r="EQ140" s="468"/>
      <c r="ER140" s="468"/>
      <c r="ES140" s="468"/>
      <c r="ET140" s="468"/>
      <c r="EU140" s="468"/>
      <c r="EV140" s="468"/>
      <c r="EW140" s="468"/>
      <c r="EX140" s="468"/>
      <c r="EY140" s="468"/>
      <c r="EZ140" s="468"/>
      <c r="FA140" s="468"/>
      <c r="FB140" s="468"/>
      <c r="FC140" s="468"/>
      <c r="FD140" s="468"/>
      <c r="FE140" s="468"/>
      <c r="FF140" s="468"/>
      <c r="FG140" s="468"/>
      <c r="FH140" s="468"/>
      <c r="FI140" s="468"/>
      <c r="FJ140" s="468"/>
      <c r="FK140" s="468"/>
      <c r="FL140" s="468"/>
      <c r="FM140" s="468"/>
      <c r="FN140" s="468"/>
      <c r="FO140" s="468"/>
      <c r="FP140" s="468"/>
      <c r="FQ140" s="468"/>
      <c r="FR140" s="468"/>
      <c r="FS140" s="468"/>
      <c r="FT140" s="468"/>
      <c r="FU140" s="468"/>
      <c r="FV140" s="468"/>
      <c r="FW140" s="468"/>
      <c r="FX140" s="468"/>
      <c r="FY140" s="468"/>
      <c r="FZ140" s="468"/>
      <c r="GA140" s="468"/>
      <c r="GB140" s="468"/>
      <c r="GC140" s="468"/>
      <c r="GD140" s="468"/>
      <c r="GE140" s="468"/>
      <c r="GF140" s="468"/>
      <c r="GG140" s="468"/>
      <c r="GH140" s="468"/>
      <c r="GI140" s="468"/>
      <c r="GJ140" s="468"/>
      <c r="GK140" s="468"/>
      <c r="GL140" s="468"/>
      <c r="GM140" s="468"/>
      <c r="GN140" s="468"/>
      <c r="GO140" s="468"/>
      <c r="GP140" s="468"/>
      <c r="GQ140" s="468"/>
      <c r="GR140" s="468"/>
      <c r="GS140" s="468"/>
      <c r="GT140" s="468"/>
      <c r="GU140" s="468"/>
      <c r="GV140" s="468"/>
      <c r="GW140" s="468"/>
      <c r="GX140" s="468"/>
      <c r="GY140" s="468"/>
      <c r="GZ140" s="468"/>
      <c r="HA140" s="468"/>
      <c r="HB140" s="468"/>
      <c r="HC140" s="468"/>
      <c r="HD140" s="468"/>
      <c r="HE140" s="468"/>
      <c r="HF140" s="468"/>
      <c r="HG140" s="468"/>
      <c r="HH140" s="468"/>
      <c r="HI140" s="468"/>
      <c r="HJ140" s="468"/>
      <c r="HK140" s="468"/>
      <c r="HL140" s="468"/>
      <c r="HM140" s="468"/>
      <c r="HN140" s="468"/>
      <c r="HO140" s="468"/>
      <c r="HP140" s="468"/>
      <c r="HQ140" s="468"/>
      <c r="HR140" s="468"/>
      <c r="HS140" s="468"/>
      <c r="HT140" s="468"/>
      <c r="HU140" s="468"/>
      <c r="HV140" s="468"/>
      <c r="HW140" s="468"/>
      <c r="HX140" s="468"/>
      <c r="HY140" s="468"/>
      <c r="HZ140" s="468"/>
      <c r="IA140" s="468"/>
      <c r="IB140" s="468"/>
      <c r="IC140" s="468"/>
      <c r="ID140" s="468"/>
      <c r="IE140" s="468"/>
      <c r="IF140" s="468"/>
      <c r="IG140" s="468"/>
      <c r="IH140" s="468"/>
      <c r="II140" s="468"/>
      <c r="IJ140" s="468"/>
      <c r="IK140" s="468"/>
      <c r="IL140" s="468"/>
      <c r="IM140" s="468"/>
      <c r="IN140" s="468"/>
      <c r="IO140" s="468"/>
      <c r="IP140" s="468"/>
      <c r="IQ140" s="468"/>
      <c r="IR140" s="468"/>
      <c r="IS140" s="468"/>
      <c r="IT140" s="468"/>
      <c r="IU140" s="468"/>
      <c r="IV140" s="468"/>
      <c r="IW140" s="468"/>
      <c r="IX140" s="468"/>
      <c r="IY140" s="468"/>
      <c r="IZ140" s="468"/>
      <c r="JA140" s="468"/>
    </row>
    <row r="141" spans="1:261" ht="18.899999999999999" customHeight="1">
      <c r="A141" s="468"/>
      <c r="B141" s="468"/>
      <c r="C141" s="473"/>
      <c r="D141" s="473"/>
      <c r="E141" s="473"/>
      <c r="F141" s="473"/>
      <c r="G141" s="468"/>
      <c r="H141" s="468"/>
      <c r="I141" s="468"/>
      <c r="J141" s="468"/>
      <c r="K141" s="468"/>
      <c r="L141" s="468"/>
      <c r="M141" s="468"/>
      <c r="N141" s="468"/>
      <c r="O141" s="468"/>
      <c r="P141" s="468"/>
      <c r="Q141" s="468"/>
      <c r="R141" s="468"/>
      <c r="S141" s="468"/>
      <c r="T141" s="468"/>
      <c r="U141" s="468"/>
      <c r="V141" s="468"/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468"/>
      <c r="AH141" s="468"/>
      <c r="AI141" s="468"/>
      <c r="AJ141" s="468"/>
      <c r="AK141" s="468"/>
      <c r="AL141" s="468"/>
      <c r="AM141" s="468"/>
      <c r="AN141" s="468"/>
      <c r="AO141" s="468"/>
      <c r="AP141" s="468"/>
      <c r="AQ141" s="468"/>
      <c r="AR141" s="468"/>
      <c r="AS141" s="468"/>
      <c r="AT141" s="468"/>
      <c r="AU141" s="468"/>
      <c r="AV141" s="468"/>
      <c r="AW141" s="468"/>
      <c r="AX141" s="468"/>
      <c r="AY141" s="468"/>
      <c r="AZ141" s="468"/>
      <c r="BA141" s="468"/>
      <c r="BB141" s="468"/>
      <c r="BC141" s="468"/>
      <c r="BD141" s="468"/>
      <c r="BE141" s="468"/>
      <c r="BF141" s="468"/>
      <c r="BG141" s="468"/>
      <c r="BH141" s="468"/>
      <c r="BI141" s="468"/>
      <c r="BJ141" s="468"/>
      <c r="BK141" s="468"/>
      <c r="BL141" s="468"/>
      <c r="BM141" s="468"/>
      <c r="BN141" s="468"/>
      <c r="BO141" s="468"/>
      <c r="BP141" s="468"/>
      <c r="BQ141" s="468"/>
      <c r="BR141" s="468"/>
      <c r="BS141" s="468"/>
      <c r="BT141" s="468"/>
      <c r="BU141" s="468"/>
      <c r="BV141" s="468"/>
      <c r="BW141" s="468"/>
      <c r="BX141" s="468"/>
      <c r="BY141" s="468"/>
      <c r="BZ141" s="468"/>
      <c r="CA141" s="468"/>
      <c r="CB141" s="468"/>
      <c r="CC141" s="468"/>
      <c r="CD141" s="468"/>
      <c r="CE141" s="468"/>
      <c r="CF141" s="468"/>
      <c r="CG141" s="468"/>
      <c r="CH141" s="468"/>
      <c r="CI141" s="468"/>
      <c r="CJ141" s="468"/>
      <c r="CK141" s="468"/>
      <c r="CL141" s="468"/>
      <c r="CM141" s="468"/>
      <c r="CN141" s="468"/>
      <c r="CO141" s="468"/>
      <c r="CP141" s="468"/>
      <c r="CQ141" s="468"/>
      <c r="CR141" s="468"/>
      <c r="CS141" s="468"/>
      <c r="CT141" s="468"/>
      <c r="CU141" s="468"/>
      <c r="CV141" s="468"/>
      <c r="CW141" s="468"/>
      <c r="CX141" s="468"/>
      <c r="CY141" s="468"/>
      <c r="CZ141" s="468"/>
      <c r="DA141" s="468"/>
      <c r="DB141" s="468"/>
      <c r="DC141" s="468"/>
      <c r="DD141" s="468"/>
      <c r="DE141" s="468"/>
      <c r="DF141" s="468"/>
      <c r="DG141" s="468"/>
      <c r="DH141" s="468"/>
      <c r="DI141" s="468"/>
      <c r="DJ141" s="468"/>
      <c r="DK141" s="468"/>
      <c r="DL141" s="468"/>
      <c r="DM141" s="468"/>
      <c r="DN141" s="471"/>
      <c r="DO141" s="468"/>
      <c r="DP141" s="468"/>
      <c r="DQ141" s="468"/>
      <c r="DR141" s="468"/>
      <c r="DS141" s="468"/>
      <c r="DT141" s="468"/>
      <c r="DU141" s="468"/>
      <c r="DV141" s="468"/>
      <c r="DW141" s="468"/>
      <c r="DX141" s="468"/>
      <c r="DY141" s="468"/>
      <c r="DZ141" s="468"/>
      <c r="EA141" s="468"/>
      <c r="EB141" s="468"/>
      <c r="EC141" s="468"/>
      <c r="ED141" s="468"/>
      <c r="EE141" s="468"/>
      <c r="EF141" s="468"/>
      <c r="EG141" s="468"/>
      <c r="EH141" s="468"/>
      <c r="EI141" s="468"/>
      <c r="EJ141" s="468"/>
      <c r="EK141" s="468"/>
      <c r="EL141" s="468"/>
      <c r="EM141" s="468"/>
      <c r="EN141" s="468"/>
      <c r="EO141" s="468"/>
      <c r="EP141" s="468"/>
      <c r="EQ141" s="468"/>
      <c r="ER141" s="468"/>
      <c r="ES141" s="468"/>
      <c r="ET141" s="468"/>
      <c r="EU141" s="468"/>
      <c r="EV141" s="468"/>
      <c r="EW141" s="468"/>
      <c r="EX141" s="468"/>
      <c r="EY141" s="468"/>
      <c r="EZ141" s="468"/>
      <c r="FA141" s="468"/>
      <c r="FB141" s="468"/>
      <c r="FC141" s="468"/>
      <c r="FD141" s="468"/>
      <c r="FE141" s="468"/>
      <c r="FF141" s="468"/>
      <c r="FG141" s="468"/>
      <c r="FH141" s="468"/>
      <c r="FI141" s="468"/>
      <c r="FJ141" s="468"/>
      <c r="FK141" s="468"/>
      <c r="FL141" s="468"/>
      <c r="FM141" s="468"/>
      <c r="FN141" s="468"/>
      <c r="FO141" s="468"/>
      <c r="FP141" s="468"/>
      <c r="FQ141" s="468"/>
      <c r="FR141" s="468"/>
      <c r="FS141" s="468"/>
      <c r="FT141" s="468"/>
      <c r="FU141" s="468"/>
      <c r="FV141" s="468"/>
      <c r="FW141" s="468"/>
      <c r="FX141" s="468"/>
      <c r="FY141" s="468"/>
      <c r="FZ141" s="468"/>
      <c r="GA141" s="468"/>
      <c r="GB141" s="468"/>
      <c r="GC141" s="468"/>
      <c r="GD141" s="468"/>
      <c r="GE141" s="468"/>
      <c r="GF141" s="468"/>
      <c r="GG141" s="468"/>
      <c r="GH141" s="468"/>
      <c r="GI141" s="468"/>
      <c r="GJ141" s="468"/>
      <c r="GK141" s="468"/>
      <c r="GL141" s="468"/>
      <c r="GM141" s="468"/>
      <c r="GN141" s="468"/>
      <c r="GO141" s="468"/>
      <c r="GP141" s="468"/>
      <c r="GQ141" s="468"/>
      <c r="GR141" s="468"/>
      <c r="GS141" s="468"/>
      <c r="GT141" s="468"/>
      <c r="GU141" s="468"/>
      <c r="GV141" s="468"/>
      <c r="GW141" s="468"/>
      <c r="GX141" s="468"/>
      <c r="GY141" s="468"/>
      <c r="GZ141" s="468"/>
      <c r="HA141" s="468"/>
      <c r="HB141" s="468"/>
      <c r="HC141" s="468"/>
      <c r="HD141" s="468"/>
      <c r="HE141" s="468"/>
      <c r="HF141" s="468"/>
      <c r="HG141" s="468"/>
      <c r="HH141" s="468"/>
      <c r="HI141" s="468"/>
      <c r="HJ141" s="468"/>
      <c r="HK141" s="468"/>
      <c r="HL141" s="468"/>
      <c r="HM141" s="468"/>
      <c r="HN141" s="468"/>
      <c r="HO141" s="468"/>
      <c r="HP141" s="468"/>
      <c r="HQ141" s="468"/>
      <c r="HR141" s="468"/>
      <c r="HS141" s="468"/>
      <c r="HT141" s="468"/>
      <c r="HU141" s="468"/>
      <c r="HV141" s="468"/>
      <c r="HW141" s="468"/>
      <c r="HX141" s="468"/>
      <c r="HY141" s="468"/>
      <c r="HZ141" s="468"/>
      <c r="IA141" s="468"/>
      <c r="IB141" s="468"/>
      <c r="IC141" s="468"/>
      <c r="ID141" s="468"/>
      <c r="IE141" s="468"/>
      <c r="IF141" s="468"/>
      <c r="IG141" s="468"/>
      <c r="IH141" s="468"/>
      <c r="II141" s="468"/>
      <c r="IJ141" s="468"/>
      <c r="IK141" s="468"/>
      <c r="IL141" s="468"/>
      <c r="IM141" s="468"/>
      <c r="IN141" s="468"/>
      <c r="IO141" s="468"/>
      <c r="IP141" s="468"/>
      <c r="IQ141" s="468"/>
      <c r="IR141" s="468"/>
      <c r="IS141" s="468"/>
      <c r="IT141" s="468"/>
      <c r="IU141" s="468"/>
      <c r="IV141" s="468"/>
      <c r="IW141" s="468"/>
      <c r="IX141" s="468"/>
      <c r="IY141" s="468"/>
      <c r="IZ141" s="468"/>
      <c r="JA141" s="468"/>
    </row>
    <row r="142" spans="1:261" ht="18.899999999999999" customHeight="1">
      <c r="A142" s="468"/>
      <c r="B142" s="468"/>
      <c r="C142" s="473"/>
      <c r="D142" s="473"/>
      <c r="E142" s="473"/>
      <c r="F142" s="473"/>
      <c r="G142" s="468"/>
      <c r="H142" s="468"/>
      <c r="I142" s="468"/>
      <c r="J142" s="468"/>
      <c r="K142" s="468"/>
      <c r="L142" s="468"/>
      <c r="M142" s="468"/>
      <c r="N142" s="468"/>
      <c r="O142" s="468"/>
      <c r="P142" s="468"/>
      <c r="Q142" s="468"/>
      <c r="R142" s="468"/>
      <c r="S142" s="468"/>
      <c r="T142" s="468"/>
      <c r="U142" s="468"/>
      <c r="V142" s="468"/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468"/>
      <c r="AH142" s="468"/>
      <c r="AI142" s="468"/>
      <c r="AJ142" s="468"/>
      <c r="AK142" s="468"/>
      <c r="AL142" s="468"/>
      <c r="AM142" s="468"/>
      <c r="AN142" s="468"/>
      <c r="AO142" s="468"/>
      <c r="AP142" s="468"/>
      <c r="AQ142" s="468"/>
      <c r="AR142" s="468"/>
      <c r="AS142" s="468"/>
      <c r="AT142" s="468"/>
      <c r="AU142" s="468"/>
      <c r="AV142" s="468"/>
      <c r="AW142" s="468"/>
      <c r="AX142" s="468"/>
      <c r="AY142" s="468"/>
      <c r="AZ142" s="468"/>
      <c r="BA142" s="468"/>
      <c r="BB142" s="468"/>
      <c r="BC142" s="468"/>
      <c r="BD142" s="468"/>
      <c r="BE142" s="468"/>
      <c r="BF142" s="468"/>
      <c r="BG142" s="468"/>
      <c r="BH142" s="468"/>
      <c r="BI142" s="468"/>
      <c r="BJ142" s="468"/>
      <c r="BK142" s="468"/>
      <c r="BL142" s="468"/>
      <c r="BM142" s="468"/>
      <c r="BN142" s="468"/>
      <c r="BO142" s="468"/>
      <c r="BP142" s="468"/>
      <c r="BQ142" s="468"/>
      <c r="BR142" s="468"/>
      <c r="BS142" s="468"/>
      <c r="BT142" s="468"/>
      <c r="BU142" s="468"/>
      <c r="BV142" s="468"/>
      <c r="BW142" s="468"/>
      <c r="BX142" s="468"/>
      <c r="BY142" s="468"/>
      <c r="BZ142" s="468"/>
      <c r="CA142" s="468"/>
      <c r="CB142" s="468"/>
      <c r="CC142" s="468"/>
      <c r="CD142" s="468"/>
      <c r="CE142" s="468"/>
      <c r="CF142" s="468"/>
      <c r="CG142" s="468"/>
      <c r="CH142" s="468"/>
      <c r="CI142" s="468"/>
      <c r="CJ142" s="468"/>
      <c r="CK142" s="468"/>
      <c r="CL142" s="468"/>
      <c r="CM142" s="468"/>
      <c r="CN142" s="468"/>
      <c r="CO142" s="468"/>
      <c r="CP142" s="468"/>
      <c r="CQ142" s="468"/>
      <c r="CR142" s="468"/>
      <c r="CS142" s="468"/>
      <c r="CT142" s="468"/>
      <c r="CU142" s="468"/>
      <c r="CV142" s="468"/>
      <c r="CW142" s="468"/>
      <c r="CX142" s="468"/>
      <c r="CY142" s="468"/>
      <c r="CZ142" s="468"/>
      <c r="DA142" s="468"/>
      <c r="DB142" s="468"/>
      <c r="DC142" s="468"/>
      <c r="DD142" s="468"/>
      <c r="DE142" s="468"/>
      <c r="DF142" s="468"/>
      <c r="DG142" s="468"/>
      <c r="DH142" s="468"/>
      <c r="DI142" s="468"/>
      <c r="DJ142" s="468"/>
      <c r="DK142" s="468"/>
      <c r="DL142" s="468"/>
      <c r="DM142" s="468"/>
      <c r="DN142" s="471"/>
      <c r="DO142" s="468"/>
      <c r="DP142" s="468"/>
      <c r="DQ142" s="468"/>
      <c r="DR142" s="468"/>
      <c r="DS142" s="468"/>
      <c r="DT142" s="468"/>
      <c r="DU142" s="468"/>
      <c r="DV142" s="468"/>
      <c r="DW142" s="468"/>
      <c r="DX142" s="468"/>
      <c r="DY142" s="468"/>
      <c r="DZ142" s="468"/>
      <c r="EA142" s="468"/>
      <c r="EB142" s="468"/>
      <c r="EC142" s="468"/>
      <c r="ED142" s="468"/>
      <c r="EE142" s="468"/>
      <c r="EF142" s="468"/>
      <c r="EG142" s="468"/>
      <c r="EH142" s="468"/>
      <c r="EI142" s="468"/>
      <c r="EJ142" s="468"/>
      <c r="EK142" s="468"/>
      <c r="EL142" s="468"/>
      <c r="EM142" s="468"/>
      <c r="EN142" s="468"/>
      <c r="EO142" s="468"/>
      <c r="EP142" s="468"/>
      <c r="EQ142" s="468"/>
      <c r="ER142" s="468"/>
      <c r="ES142" s="468"/>
      <c r="ET142" s="468"/>
      <c r="EU142" s="468"/>
      <c r="EV142" s="468"/>
      <c r="EW142" s="468"/>
      <c r="EX142" s="468"/>
      <c r="EY142" s="468"/>
      <c r="EZ142" s="468"/>
      <c r="FA142" s="468"/>
      <c r="FB142" s="468"/>
      <c r="FC142" s="468"/>
      <c r="FD142" s="468"/>
      <c r="FE142" s="468"/>
      <c r="FF142" s="468"/>
      <c r="FG142" s="468"/>
      <c r="FH142" s="468"/>
      <c r="FI142" s="468"/>
      <c r="FJ142" s="468"/>
      <c r="FK142" s="468"/>
      <c r="FL142" s="468"/>
      <c r="FM142" s="468"/>
      <c r="FN142" s="468"/>
      <c r="FO142" s="468"/>
      <c r="FP142" s="468"/>
      <c r="FQ142" s="468"/>
      <c r="FR142" s="468"/>
      <c r="FS142" s="468"/>
      <c r="FT142" s="468"/>
      <c r="FU142" s="468"/>
      <c r="FV142" s="468"/>
      <c r="FW142" s="468"/>
      <c r="FX142" s="468"/>
      <c r="FY142" s="468"/>
      <c r="FZ142" s="468"/>
      <c r="GA142" s="468"/>
      <c r="GB142" s="468"/>
      <c r="GC142" s="468"/>
      <c r="GD142" s="468"/>
      <c r="GE142" s="468"/>
      <c r="GF142" s="468"/>
      <c r="GG142" s="468"/>
      <c r="GH142" s="468"/>
      <c r="GI142" s="468"/>
      <c r="GJ142" s="468"/>
      <c r="GK142" s="468"/>
      <c r="GL142" s="468"/>
      <c r="GM142" s="468"/>
      <c r="GN142" s="468"/>
      <c r="GO142" s="468"/>
      <c r="GP142" s="468"/>
      <c r="GQ142" s="468"/>
      <c r="GR142" s="468"/>
      <c r="GS142" s="468"/>
      <c r="GT142" s="468"/>
      <c r="GU142" s="468"/>
      <c r="GV142" s="468"/>
      <c r="GW142" s="468"/>
      <c r="GX142" s="468"/>
      <c r="GY142" s="468"/>
      <c r="GZ142" s="468"/>
      <c r="HA142" s="468"/>
      <c r="HB142" s="468"/>
      <c r="HC142" s="468"/>
      <c r="HD142" s="468"/>
      <c r="HE142" s="468"/>
      <c r="HF142" s="468"/>
      <c r="HG142" s="468"/>
      <c r="HH142" s="468"/>
      <c r="HI142" s="468"/>
      <c r="HJ142" s="468"/>
      <c r="HK142" s="468"/>
      <c r="HL142" s="468"/>
      <c r="HM142" s="468"/>
      <c r="HN142" s="468"/>
      <c r="HO142" s="468"/>
      <c r="HP142" s="468"/>
      <c r="HQ142" s="468"/>
      <c r="HR142" s="468"/>
      <c r="HS142" s="468"/>
      <c r="HT142" s="468"/>
      <c r="HU142" s="468"/>
      <c r="HV142" s="468"/>
      <c r="HW142" s="468"/>
      <c r="HX142" s="468"/>
      <c r="HY142" s="468"/>
      <c r="HZ142" s="468"/>
      <c r="IA142" s="468"/>
      <c r="IB142" s="468"/>
      <c r="IC142" s="468"/>
      <c r="ID142" s="468"/>
      <c r="IE142" s="468"/>
      <c r="IF142" s="468"/>
      <c r="IG142" s="468"/>
      <c r="IH142" s="468"/>
      <c r="II142" s="468"/>
      <c r="IJ142" s="468"/>
      <c r="IK142" s="468"/>
      <c r="IL142" s="468"/>
      <c r="IM142" s="468"/>
      <c r="IN142" s="468"/>
      <c r="IO142" s="468"/>
      <c r="IP142" s="468"/>
      <c r="IQ142" s="468"/>
      <c r="IR142" s="468"/>
      <c r="IS142" s="468"/>
      <c r="IT142" s="468"/>
      <c r="IU142" s="468"/>
      <c r="IV142" s="468"/>
      <c r="IW142" s="468"/>
      <c r="IX142" s="468"/>
      <c r="IY142" s="468"/>
      <c r="IZ142" s="468"/>
      <c r="JA142" s="468"/>
    </row>
    <row r="143" spans="1:261" ht="18.899999999999999" customHeight="1">
      <c r="A143" s="468"/>
      <c r="B143" s="468"/>
      <c r="C143" s="473"/>
      <c r="D143" s="473"/>
      <c r="E143" s="473"/>
      <c r="F143" s="473"/>
      <c r="G143" s="468"/>
      <c r="H143" s="468"/>
      <c r="I143" s="468"/>
      <c r="J143" s="468"/>
      <c r="K143" s="468"/>
      <c r="L143" s="468"/>
      <c r="M143" s="468"/>
      <c r="N143" s="468"/>
      <c r="O143" s="468"/>
      <c r="P143" s="468"/>
      <c r="Q143" s="468"/>
      <c r="R143" s="468"/>
      <c r="S143" s="468"/>
      <c r="T143" s="468"/>
      <c r="U143" s="468"/>
      <c r="V143" s="468"/>
      <c r="W143" s="468"/>
      <c r="X143" s="468"/>
      <c r="Y143" s="468"/>
      <c r="Z143" s="468"/>
      <c r="AA143" s="468"/>
      <c r="AB143" s="468"/>
      <c r="AC143" s="468"/>
      <c r="AD143" s="468"/>
      <c r="AE143" s="468"/>
      <c r="AF143" s="468"/>
      <c r="AG143" s="468"/>
      <c r="AH143" s="468"/>
      <c r="AI143" s="468"/>
      <c r="AJ143" s="468"/>
      <c r="AK143" s="468"/>
      <c r="AL143" s="468"/>
      <c r="AM143" s="468"/>
      <c r="AN143" s="468"/>
      <c r="AO143" s="468"/>
      <c r="AP143" s="468"/>
      <c r="AQ143" s="468"/>
      <c r="AR143" s="468"/>
      <c r="AS143" s="468"/>
      <c r="AT143" s="468"/>
      <c r="AU143" s="468"/>
      <c r="AV143" s="468"/>
      <c r="AW143" s="468"/>
      <c r="AX143" s="468"/>
      <c r="AY143" s="468"/>
      <c r="AZ143" s="468"/>
      <c r="BA143" s="468"/>
      <c r="BB143" s="468"/>
      <c r="BC143" s="468"/>
      <c r="BD143" s="468"/>
      <c r="BE143" s="468"/>
      <c r="BF143" s="468"/>
      <c r="BG143" s="468"/>
      <c r="BH143" s="468"/>
      <c r="BI143" s="468"/>
      <c r="BJ143" s="468"/>
      <c r="BK143" s="468"/>
      <c r="BL143" s="468"/>
      <c r="BM143" s="468"/>
      <c r="BN143" s="468"/>
      <c r="BO143" s="468"/>
      <c r="BP143" s="468"/>
      <c r="BQ143" s="468"/>
      <c r="BR143" s="468"/>
      <c r="BS143" s="468"/>
      <c r="BT143" s="468"/>
      <c r="BU143" s="468"/>
      <c r="BV143" s="468"/>
      <c r="BW143" s="468"/>
      <c r="BX143" s="468"/>
      <c r="BY143" s="468"/>
      <c r="BZ143" s="468"/>
      <c r="CA143" s="468"/>
      <c r="CB143" s="468"/>
      <c r="CC143" s="468"/>
      <c r="CD143" s="468"/>
      <c r="CE143" s="468"/>
      <c r="CF143" s="468"/>
      <c r="CG143" s="468"/>
      <c r="CH143" s="468"/>
      <c r="CI143" s="468"/>
      <c r="CJ143" s="468"/>
      <c r="CK143" s="468"/>
      <c r="CL143" s="468"/>
      <c r="CM143" s="468"/>
      <c r="CN143" s="468"/>
      <c r="CO143" s="468"/>
      <c r="CP143" s="468"/>
      <c r="CQ143" s="468"/>
      <c r="CR143" s="468"/>
      <c r="CS143" s="468"/>
      <c r="CT143" s="468"/>
      <c r="CU143" s="468"/>
      <c r="CV143" s="468"/>
      <c r="CW143" s="468"/>
      <c r="CX143" s="468"/>
      <c r="CY143" s="468"/>
      <c r="CZ143" s="468"/>
      <c r="DA143" s="468"/>
      <c r="DB143" s="468"/>
      <c r="DC143" s="468"/>
      <c r="DD143" s="468"/>
      <c r="DE143" s="468"/>
      <c r="DF143" s="468"/>
      <c r="DG143" s="468"/>
      <c r="DH143" s="468"/>
      <c r="DI143" s="468"/>
      <c r="DJ143" s="468"/>
      <c r="DK143" s="468"/>
      <c r="DL143" s="468"/>
      <c r="DM143" s="468"/>
      <c r="DN143" s="471"/>
      <c r="DO143" s="468"/>
      <c r="DP143" s="468"/>
      <c r="DQ143" s="468"/>
      <c r="DR143" s="468"/>
      <c r="DS143" s="468"/>
      <c r="DT143" s="468"/>
      <c r="DU143" s="468"/>
      <c r="DV143" s="468"/>
      <c r="DW143" s="468"/>
      <c r="DX143" s="468"/>
      <c r="DY143" s="468"/>
      <c r="DZ143" s="468"/>
      <c r="EA143" s="468"/>
      <c r="EB143" s="468"/>
      <c r="EC143" s="468"/>
      <c r="ED143" s="468"/>
      <c r="EE143" s="468"/>
      <c r="EF143" s="468"/>
      <c r="EG143" s="468"/>
      <c r="EH143" s="468"/>
      <c r="EI143" s="468"/>
      <c r="EJ143" s="468"/>
      <c r="EK143" s="468"/>
      <c r="EL143" s="468"/>
      <c r="EM143" s="468"/>
      <c r="EN143" s="468"/>
      <c r="EO143" s="468"/>
      <c r="EP143" s="468"/>
      <c r="EQ143" s="468"/>
      <c r="ER143" s="468"/>
      <c r="ES143" s="468"/>
      <c r="ET143" s="468"/>
      <c r="EU143" s="468"/>
      <c r="EV143" s="468"/>
      <c r="EW143" s="468"/>
      <c r="EX143" s="468"/>
      <c r="EY143" s="468"/>
      <c r="EZ143" s="468"/>
      <c r="FA143" s="468"/>
      <c r="FB143" s="468"/>
      <c r="FC143" s="468"/>
      <c r="FD143" s="468"/>
      <c r="FE143" s="468"/>
      <c r="FF143" s="468"/>
      <c r="FG143" s="468"/>
      <c r="FH143" s="468"/>
      <c r="FI143" s="468"/>
      <c r="FJ143" s="468"/>
      <c r="FK143" s="468"/>
      <c r="FL143" s="468"/>
      <c r="FM143" s="468"/>
      <c r="FN143" s="468"/>
      <c r="FO143" s="468"/>
      <c r="FP143" s="468"/>
      <c r="FQ143" s="468"/>
      <c r="FR143" s="468"/>
      <c r="FS143" s="468"/>
      <c r="FT143" s="468"/>
      <c r="FU143" s="468"/>
      <c r="FV143" s="468"/>
      <c r="FW143" s="468"/>
      <c r="FX143" s="468"/>
      <c r="FY143" s="468"/>
      <c r="FZ143" s="468"/>
      <c r="GA143" s="468"/>
      <c r="GB143" s="468"/>
      <c r="GC143" s="468"/>
      <c r="GD143" s="468"/>
      <c r="GE143" s="468"/>
      <c r="GF143" s="468"/>
      <c r="GG143" s="468"/>
      <c r="GH143" s="468"/>
      <c r="GI143" s="468"/>
      <c r="GJ143" s="468"/>
      <c r="GK143" s="468"/>
      <c r="GL143" s="468"/>
      <c r="GM143" s="468"/>
      <c r="GN143" s="468"/>
      <c r="GO143" s="468"/>
      <c r="GP143" s="468"/>
      <c r="GQ143" s="468"/>
      <c r="GR143" s="468"/>
      <c r="GS143" s="468"/>
      <c r="GT143" s="468"/>
      <c r="GU143" s="468"/>
      <c r="GV143" s="468"/>
      <c r="GW143" s="468"/>
      <c r="GX143" s="468"/>
      <c r="GY143" s="468"/>
      <c r="GZ143" s="468"/>
      <c r="HA143" s="468"/>
      <c r="HB143" s="468"/>
      <c r="HC143" s="468"/>
      <c r="HD143" s="468"/>
      <c r="HE143" s="468"/>
      <c r="HF143" s="468"/>
      <c r="HG143" s="468"/>
      <c r="HH143" s="468"/>
      <c r="HI143" s="468"/>
      <c r="HJ143" s="468"/>
      <c r="HK143" s="468"/>
      <c r="HL143" s="468"/>
      <c r="HM143" s="468"/>
      <c r="HN143" s="468"/>
      <c r="HO143" s="468"/>
      <c r="HP143" s="468"/>
      <c r="HQ143" s="468"/>
      <c r="HR143" s="468"/>
      <c r="HS143" s="468"/>
      <c r="HT143" s="468"/>
      <c r="HU143" s="468"/>
      <c r="HV143" s="468"/>
      <c r="HW143" s="468"/>
      <c r="HX143" s="468"/>
      <c r="HY143" s="468"/>
      <c r="HZ143" s="468"/>
      <c r="IA143" s="468"/>
      <c r="IB143" s="468"/>
      <c r="IC143" s="468"/>
      <c r="ID143" s="468"/>
      <c r="IE143" s="468"/>
      <c r="IF143" s="468"/>
      <c r="IG143" s="468"/>
      <c r="IH143" s="468"/>
      <c r="II143" s="468"/>
      <c r="IJ143" s="468"/>
      <c r="IK143" s="468"/>
      <c r="IL143" s="468"/>
      <c r="IM143" s="468"/>
      <c r="IN143" s="468"/>
      <c r="IO143" s="468"/>
      <c r="IP143" s="468"/>
      <c r="IQ143" s="468"/>
      <c r="IR143" s="468"/>
      <c r="IS143" s="468"/>
      <c r="IT143" s="468"/>
      <c r="IU143" s="468"/>
      <c r="IV143" s="468"/>
      <c r="IW143" s="468"/>
      <c r="IX143" s="468"/>
      <c r="IY143" s="468"/>
      <c r="IZ143" s="468"/>
      <c r="JA143" s="468"/>
    </row>
    <row r="144" spans="1:261" ht="18.899999999999999" customHeight="1">
      <c r="A144" s="468"/>
      <c r="B144" s="468"/>
      <c r="C144" s="473"/>
      <c r="D144" s="473"/>
      <c r="E144" s="473"/>
      <c r="F144" s="473"/>
      <c r="G144" s="468"/>
      <c r="H144" s="468"/>
      <c r="I144" s="468"/>
      <c r="J144" s="468"/>
      <c r="K144" s="468"/>
      <c r="L144" s="468"/>
      <c r="M144" s="468"/>
      <c r="N144" s="468"/>
      <c r="O144" s="468"/>
      <c r="P144" s="468"/>
      <c r="Q144" s="468"/>
      <c r="R144" s="468"/>
      <c r="S144" s="468"/>
      <c r="T144" s="468"/>
      <c r="U144" s="468"/>
      <c r="V144" s="468"/>
      <c r="W144" s="468"/>
      <c r="X144" s="468"/>
      <c r="Y144" s="468"/>
      <c r="Z144" s="468"/>
      <c r="AA144" s="468"/>
      <c r="AB144" s="468"/>
      <c r="AC144" s="468"/>
      <c r="AD144" s="468"/>
      <c r="AE144" s="468"/>
      <c r="AF144" s="468"/>
      <c r="AG144" s="468"/>
      <c r="AH144" s="468"/>
      <c r="AI144" s="468"/>
      <c r="AJ144" s="468"/>
      <c r="AK144" s="468"/>
      <c r="AL144" s="468"/>
      <c r="AM144" s="468"/>
      <c r="AN144" s="468"/>
      <c r="AO144" s="468"/>
      <c r="AP144" s="468"/>
      <c r="AQ144" s="468"/>
      <c r="AR144" s="468"/>
      <c r="AS144" s="468"/>
      <c r="AT144" s="468"/>
      <c r="AU144" s="468"/>
      <c r="AV144" s="468"/>
      <c r="AW144" s="468"/>
      <c r="AX144" s="468"/>
      <c r="AY144" s="468"/>
      <c r="AZ144" s="468"/>
      <c r="BA144" s="468"/>
      <c r="BB144" s="468"/>
      <c r="BC144" s="468"/>
      <c r="BD144" s="468"/>
      <c r="BE144" s="468"/>
      <c r="BF144" s="468"/>
      <c r="BG144" s="468"/>
      <c r="BH144" s="468"/>
      <c r="BI144" s="468"/>
      <c r="BJ144" s="468"/>
      <c r="BK144" s="468"/>
      <c r="BL144" s="468"/>
      <c r="BM144" s="468"/>
      <c r="BN144" s="468"/>
      <c r="BO144" s="468"/>
      <c r="BP144" s="468"/>
      <c r="BQ144" s="468"/>
      <c r="BR144" s="468"/>
      <c r="BS144" s="468"/>
      <c r="BT144" s="468"/>
      <c r="BU144" s="468"/>
      <c r="BV144" s="468"/>
      <c r="BW144" s="468"/>
      <c r="BX144" s="468"/>
      <c r="BY144" s="468"/>
      <c r="BZ144" s="468"/>
      <c r="CA144" s="468"/>
      <c r="CB144" s="468"/>
      <c r="CC144" s="468"/>
      <c r="CD144" s="468"/>
      <c r="CE144" s="468"/>
      <c r="CF144" s="468"/>
      <c r="CG144" s="468"/>
      <c r="CH144" s="468"/>
      <c r="CI144" s="468"/>
      <c r="CJ144" s="468"/>
      <c r="CK144" s="468"/>
      <c r="CL144" s="468"/>
      <c r="CM144" s="468"/>
      <c r="CN144" s="468"/>
      <c r="CO144" s="468"/>
      <c r="CP144" s="468"/>
      <c r="CQ144" s="468"/>
      <c r="CR144" s="468"/>
      <c r="CS144" s="468"/>
      <c r="CT144" s="468"/>
      <c r="CU144" s="468"/>
      <c r="CV144" s="468"/>
      <c r="CW144" s="468"/>
      <c r="CX144" s="468"/>
      <c r="CY144" s="468"/>
      <c r="CZ144" s="468"/>
      <c r="DA144" s="468"/>
      <c r="DB144" s="468"/>
      <c r="DC144" s="468"/>
      <c r="DD144" s="468"/>
      <c r="DE144" s="468"/>
      <c r="DF144" s="468"/>
      <c r="DG144" s="468"/>
      <c r="DH144" s="468"/>
      <c r="DI144" s="468"/>
      <c r="DJ144" s="468"/>
      <c r="DK144" s="468"/>
      <c r="DL144" s="468"/>
      <c r="DM144" s="468"/>
      <c r="DN144" s="471"/>
      <c r="DO144" s="468"/>
      <c r="DP144" s="468"/>
      <c r="DQ144" s="468"/>
      <c r="DR144" s="468"/>
      <c r="DS144" s="468"/>
      <c r="DT144" s="468"/>
      <c r="DU144" s="468"/>
      <c r="DV144" s="468"/>
      <c r="DW144" s="468"/>
      <c r="DX144" s="468"/>
      <c r="DY144" s="468"/>
      <c r="DZ144" s="468"/>
      <c r="EA144" s="468"/>
      <c r="EB144" s="468"/>
      <c r="EC144" s="468"/>
      <c r="ED144" s="468"/>
      <c r="EE144" s="468"/>
      <c r="EF144" s="468"/>
      <c r="EG144" s="468"/>
      <c r="EH144" s="468"/>
      <c r="EI144" s="468"/>
      <c r="EJ144" s="468"/>
      <c r="EK144" s="468"/>
      <c r="EL144" s="468"/>
      <c r="EM144" s="468"/>
      <c r="EN144" s="468"/>
      <c r="EO144" s="468"/>
      <c r="EP144" s="468"/>
      <c r="EQ144" s="468"/>
      <c r="ER144" s="468"/>
      <c r="ES144" s="468"/>
      <c r="ET144" s="468"/>
      <c r="EU144" s="468"/>
      <c r="EV144" s="468"/>
      <c r="EW144" s="468"/>
      <c r="EX144" s="468"/>
      <c r="EY144" s="468"/>
      <c r="EZ144" s="468"/>
      <c r="FA144" s="468"/>
      <c r="FB144" s="468"/>
      <c r="FC144" s="468"/>
      <c r="FD144" s="468"/>
      <c r="FE144" s="468"/>
      <c r="FF144" s="468"/>
      <c r="FG144" s="468"/>
      <c r="FH144" s="468"/>
      <c r="FI144" s="468"/>
      <c r="FJ144" s="468"/>
      <c r="FK144" s="468"/>
      <c r="FL144" s="468"/>
      <c r="FM144" s="468"/>
      <c r="FN144" s="468"/>
      <c r="FO144" s="468"/>
      <c r="FP144" s="468"/>
      <c r="FQ144" s="468"/>
      <c r="FR144" s="468"/>
      <c r="FS144" s="468"/>
      <c r="FT144" s="468"/>
      <c r="FU144" s="468"/>
      <c r="FV144" s="468"/>
      <c r="FW144" s="468"/>
      <c r="FX144" s="468"/>
      <c r="FY144" s="468"/>
      <c r="FZ144" s="468"/>
      <c r="GA144" s="468"/>
      <c r="GB144" s="468"/>
      <c r="GC144" s="468"/>
      <c r="GD144" s="468"/>
      <c r="GE144" s="468"/>
      <c r="GF144" s="468"/>
      <c r="GG144" s="468"/>
      <c r="GH144" s="468"/>
      <c r="GI144" s="468"/>
      <c r="GJ144" s="468"/>
      <c r="GK144" s="468"/>
      <c r="GL144" s="468"/>
      <c r="GM144" s="468"/>
      <c r="GN144" s="468"/>
      <c r="GO144" s="468"/>
      <c r="GP144" s="468"/>
      <c r="GQ144" s="468"/>
      <c r="GR144" s="468"/>
      <c r="GS144" s="468"/>
      <c r="GT144" s="468"/>
      <c r="GU144" s="468"/>
      <c r="GV144" s="468"/>
      <c r="GW144" s="468"/>
      <c r="GX144" s="468"/>
      <c r="GY144" s="468"/>
      <c r="GZ144" s="468"/>
      <c r="HA144" s="468"/>
      <c r="HB144" s="468"/>
      <c r="HC144" s="468"/>
      <c r="HD144" s="468"/>
      <c r="HE144" s="468"/>
      <c r="HF144" s="468"/>
      <c r="HG144" s="468"/>
      <c r="HH144" s="468"/>
      <c r="HI144" s="468"/>
      <c r="HJ144" s="468"/>
      <c r="HK144" s="468"/>
      <c r="HL144" s="468"/>
      <c r="HM144" s="468"/>
      <c r="HN144" s="468"/>
      <c r="HO144" s="468"/>
      <c r="HP144" s="468"/>
      <c r="HQ144" s="468"/>
      <c r="HR144" s="468"/>
      <c r="HS144" s="468"/>
      <c r="HT144" s="468"/>
      <c r="HU144" s="468"/>
      <c r="HV144" s="468"/>
      <c r="HW144" s="468"/>
      <c r="HX144" s="468"/>
      <c r="HY144" s="468"/>
      <c r="HZ144" s="468"/>
      <c r="IA144" s="468"/>
      <c r="IB144" s="468"/>
      <c r="IC144" s="468"/>
      <c r="ID144" s="468"/>
      <c r="IE144" s="468"/>
      <c r="IF144" s="468"/>
      <c r="IG144" s="468"/>
      <c r="IH144" s="468"/>
      <c r="II144" s="468"/>
      <c r="IJ144" s="468"/>
      <c r="IK144" s="468"/>
      <c r="IL144" s="468"/>
      <c r="IM144" s="468"/>
      <c r="IN144" s="468"/>
      <c r="IO144" s="468"/>
      <c r="IP144" s="468"/>
      <c r="IQ144" s="468"/>
      <c r="IR144" s="468"/>
      <c r="IS144" s="468"/>
      <c r="IT144" s="468"/>
      <c r="IU144" s="468"/>
      <c r="IV144" s="468"/>
      <c r="IW144" s="468"/>
      <c r="IX144" s="468"/>
      <c r="IY144" s="468"/>
      <c r="IZ144" s="468"/>
      <c r="JA144" s="468"/>
    </row>
    <row r="145" spans="1:261" ht="18.899999999999999" customHeight="1">
      <c r="A145" s="468"/>
      <c r="B145" s="468"/>
      <c r="C145" s="473"/>
      <c r="D145" s="473"/>
      <c r="E145" s="473"/>
      <c r="F145" s="473"/>
      <c r="G145" s="468"/>
      <c r="H145" s="468"/>
      <c r="I145" s="468"/>
      <c r="J145" s="468"/>
      <c r="K145" s="468"/>
      <c r="L145" s="468"/>
      <c r="M145" s="468"/>
      <c r="N145" s="468"/>
      <c r="O145" s="468"/>
      <c r="P145" s="468"/>
      <c r="Q145" s="468"/>
      <c r="R145" s="468"/>
      <c r="S145" s="468"/>
      <c r="T145" s="468"/>
      <c r="U145" s="468"/>
      <c r="V145" s="468"/>
      <c r="W145" s="468"/>
      <c r="X145" s="468"/>
      <c r="Y145" s="468"/>
      <c r="Z145" s="468"/>
      <c r="AA145" s="468"/>
      <c r="AB145" s="468"/>
      <c r="AC145" s="468"/>
      <c r="AD145" s="468"/>
      <c r="AE145" s="468"/>
      <c r="AF145" s="468"/>
      <c r="AG145" s="468"/>
      <c r="AH145" s="468"/>
      <c r="AI145" s="468"/>
      <c r="AJ145" s="468"/>
      <c r="AK145" s="468"/>
      <c r="AL145" s="468"/>
      <c r="AM145" s="468"/>
      <c r="AN145" s="468"/>
      <c r="AO145" s="468"/>
      <c r="AP145" s="468"/>
      <c r="AQ145" s="468"/>
      <c r="AR145" s="468"/>
      <c r="AS145" s="468"/>
      <c r="AT145" s="468"/>
      <c r="AU145" s="468"/>
      <c r="AV145" s="468"/>
      <c r="AW145" s="468"/>
      <c r="AX145" s="468"/>
      <c r="AY145" s="468"/>
      <c r="AZ145" s="468"/>
      <c r="BA145" s="468"/>
      <c r="BB145" s="468"/>
      <c r="BC145" s="468"/>
      <c r="BD145" s="468"/>
      <c r="BE145" s="468"/>
      <c r="BF145" s="468"/>
      <c r="BG145" s="468"/>
      <c r="BH145" s="468"/>
      <c r="BI145" s="468"/>
      <c r="BJ145" s="468"/>
      <c r="BK145" s="468"/>
      <c r="BL145" s="468"/>
      <c r="BM145" s="468"/>
      <c r="BN145" s="468"/>
      <c r="BO145" s="468"/>
      <c r="BP145" s="468"/>
      <c r="BQ145" s="468"/>
      <c r="BR145" s="468"/>
      <c r="BS145" s="468"/>
      <c r="BT145" s="468"/>
      <c r="BU145" s="468"/>
      <c r="BV145" s="468"/>
      <c r="BW145" s="468"/>
      <c r="BX145" s="468"/>
      <c r="BY145" s="468"/>
      <c r="BZ145" s="468"/>
      <c r="CA145" s="468"/>
      <c r="CB145" s="468"/>
      <c r="CC145" s="468"/>
      <c r="CD145" s="468"/>
      <c r="CE145" s="468"/>
      <c r="CF145" s="468"/>
      <c r="CG145" s="468"/>
      <c r="CH145" s="468"/>
      <c r="CI145" s="468"/>
      <c r="CJ145" s="468"/>
      <c r="CK145" s="468"/>
      <c r="CL145" s="468"/>
      <c r="CM145" s="468"/>
      <c r="CN145" s="468"/>
      <c r="CO145" s="468"/>
      <c r="CP145" s="468"/>
      <c r="CQ145" s="468"/>
      <c r="CR145" s="468"/>
      <c r="CS145" s="468"/>
      <c r="CT145" s="468"/>
      <c r="CU145" s="468"/>
      <c r="CV145" s="468"/>
      <c r="CW145" s="468"/>
      <c r="CX145" s="468"/>
      <c r="CY145" s="468"/>
      <c r="CZ145" s="468"/>
      <c r="DA145" s="468"/>
      <c r="DB145" s="468"/>
      <c r="DC145" s="468"/>
      <c r="DD145" s="468"/>
      <c r="DE145" s="468"/>
      <c r="DF145" s="468"/>
      <c r="DG145" s="468"/>
      <c r="DH145" s="468"/>
      <c r="DI145" s="468"/>
      <c r="DJ145" s="468"/>
      <c r="DK145" s="468"/>
      <c r="DL145" s="468"/>
      <c r="DM145" s="468"/>
      <c r="DN145" s="471"/>
      <c r="DO145" s="468"/>
      <c r="DP145" s="468"/>
      <c r="DQ145" s="468"/>
      <c r="DR145" s="468"/>
      <c r="DS145" s="468"/>
      <c r="DT145" s="468"/>
      <c r="DU145" s="468"/>
      <c r="DV145" s="468"/>
      <c r="DW145" s="468"/>
      <c r="DX145" s="468"/>
      <c r="DY145" s="468"/>
      <c r="DZ145" s="468"/>
      <c r="EA145" s="468"/>
      <c r="EB145" s="468"/>
      <c r="EC145" s="468"/>
      <c r="ED145" s="468"/>
      <c r="EE145" s="468"/>
      <c r="EF145" s="468"/>
      <c r="EG145" s="468"/>
      <c r="EH145" s="468"/>
      <c r="EI145" s="468"/>
      <c r="EJ145" s="468"/>
      <c r="EK145" s="468"/>
      <c r="EL145" s="468"/>
      <c r="EM145" s="468"/>
      <c r="EN145" s="468"/>
      <c r="EO145" s="468"/>
      <c r="EP145" s="468"/>
      <c r="EQ145" s="468"/>
      <c r="ER145" s="468"/>
      <c r="ES145" s="468"/>
      <c r="ET145" s="468"/>
      <c r="EU145" s="468"/>
      <c r="EV145" s="468"/>
      <c r="EW145" s="468"/>
      <c r="EX145" s="468"/>
      <c r="EY145" s="468"/>
      <c r="EZ145" s="468"/>
      <c r="FA145" s="468"/>
      <c r="FB145" s="468"/>
      <c r="FC145" s="468"/>
      <c r="FD145" s="468"/>
      <c r="FE145" s="468"/>
      <c r="FF145" s="468"/>
      <c r="FG145" s="468"/>
      <c r="FH145" s="468"/>
      <c r="FI145" s="468"/>
      <c r="FJ145" s="468"/>
      <c r="FK145" s="468"/>
      <c r="FL145" s="468"/>
      <c r="FM145" s="468"/>
      <c r="FN145" s="468"/>
      <c r="FO145" s="468"/>
      <c r="FP145" s="468"/>
      <c r="FQ145" s="468"/>
      <c r="FR145" s="468"/>
      <c r="FS145" s="468"/>
      <c r="FT145" s="468"/>
      <c r="FU145" s="468"/>
      <c r="FV145" s="468"/>
      <c r="FW145" s="468"/>
      <c r="FX145" s="468"/>
      <c r="FY145" s="468"/>
      <c r="FZ145" s="468"/>
      <c r="GA145" s="468"/>
      <c r="GB145" s="468"/>
      <c r="GC145" s="468"/>
      <c r="GD145" s="468"/>
      <c r="GE145" s="468"/>
      <c r="GF145" s="468"/>
      <c r="GG145" s="468"/>
      <c r="GH145" s="468"/>
      <c r="GI145" s="468"/>
      <c r="GJ145" s="468"/>
      <c r="GK145" s="468"/>
      <c r="GL145" s="468"/>
      <c r="GM145" s="468"/>
      <c r="GN145" s="468"/>
      <c r="GO145" s="468"/>
      <c r="GP145" s="468"/>
      <c r="GQ145" s="468"/>
      <c r="GR145" s="468"/>
      <c r="GS145" s="468"/>
      <c r="GT145" s="468"/>
      <c r="GU145" s="468"/>
      <c r="GV145" s="468"/>
      <c r="GW145" s="468"/>
      <c r="GX145" s="468"/>
      <c r="GY145" s="468"/>
      <c r="GZ145" s="468"/>
      <c r="HA145" s="468"/>
      <c r="HB145" s="468"/>
      <c r="HC145" s="468"/>
      <c r="HD145" s="468"/>
      <c r="HE145" s="468"/>
      <c r="HF145" s="468"/>
      <c r="HG145" s="468"/>
      <c r="HH145" s="468"/>
      <c r="HI145" s="468"/>
      <c r="HJ145" s="468"/>
      <c r="HK145" s="468"/>
      <c r="HL145" s="468"/>
      <c r="HM145" s="468"/>
      <c r="HN145" s="468"/>
      <c r="HO145" s="468"/>
      <c r="HP145" s="468"/>
      <c r="HQ145" s="468"/>
      <c r="HR145" s="468"/>
      <c r="HS145" s="468"/>
      <c r="HT145" s="468"/>
      <c r="HU145" s="468"/>
      <c r="HV145" s="468"/>
      <c r="HW145" s="468"/>
      <c r="HX145" s="468"/>
      <c r="HY145" s="468"/>
      <c r="HZ145" s="468"/>
      <c r="IA145" s="468"/>
      <c r="IB145" s="468"/>
      <c r="IC145" s="468"/>
      <c r="ID145" s="468"/>
      <c r="IE145" s="468"/>
      <c r="IF145" s="468"/>
      <c r="IG145" s="468"/>
      <c r="IH145" s="468"/>
      <c r="II145" s="468"/>
      <c r="IJ145" s="468"/>
      <c r="IK145" s="468"/>
      <c r="IL145" s="468"/>
      <c r="IM145" s="468"/>
      <c r="IN145" s="468"/>
      <c r="IO145" s="468"/>
      <c r="IP145" s="468"/>
      <c r="IQ145" s="468"/>
      <c r="IR145" s="468"/>
      <c r="IS145" s="468"/>
      <c r="IT145" s="468"/>
      <c r="IU145" s="468"/>
      <c r="IV145" s="468"/>
      <c r="IW145" s="468"/>
      <c r="IX145" s="468"/>
      <c r="IY145" s="468"/>
      <c r="IZ145" s="468"/>
      <c r="JA145" s="468"/>
    </row>
    <row r="146" spans="1:261" ht="18.899999999999999" customHeight="1">
      <c r="A146" s="468"/>
      <c r="B146" s="468"/>
      <c r="C146" s="473"/>
      <c r="D146" s="473"/>
      <c r="E146" s="473"/>
      <c r="F146" s="473"/>
      <c r="G146" s="468"/>
      <c r="H146" s="468"/>
      <c r="I146" s="468"/>
      <c r="J146" s="468"/>
      <c r="K146" s="468"/>
      <c r="L146" s="468"/>
      <c r="M146" s="468"/>
      <c r="N146" s="468"/>
      <c r="O146" s="468"/>
      <c r="P146" s="468"/>
      <c r="Q146" s="468"/>
      <c r="R146" s="468"/>
      <c r="S146" s="468"/>
      <c r="T146" s="468"/>
      <c r="U146" s="468"/>
      <c r="V146" s="468"/>
      <c r="W146" s="468"/>
      <c r="X146" s="468"/>
      <c r="Y146" s="468"/>
      <c r="Z146" s="468"/>
      <c r="AA146" s="468"/>
      <c r="AB146" s="468"/>
      <c r="AC146" s="468"/>
      <c r="AD146" s="468"/>
      <c r="AE146" s="468"/>
      <c r="AF146" s="468"/>
      <c r="AG146" s="468"/>
      <c r="AH146" s="468"/>
      <c r="AI146" s="468"/>
      <c r="AJ146" s="468"/>
      <c r="AK146" s="468"/>
      <c r="AL146" s="468"/>
      <c r="AM146" s="468"/>
      <c r="AN146" s="468"/>
      <c r="AO146" s="468"/>
      <c r="AP146" s="468"/>
      <c r="AQ146" s="468"/>
      <c r="AR146" s="468"/>
      <c r="AS146" s="468"/>
      <c r="AT146" s="468"/>
      <c r="AU146" s="468"/>
      <c r="AV146" s="468"/>
      <c r="AW146" s="468"/>
      <c r="AX146" s="468"/>
      <c r="AY146" s="468"/>
      <c r="AZ146" s="468"/>
      <c r="BA146" s="468"/>
      <c r="BB146" s="468"/>
      <c r="BC146" s="468"/>
      <c r="BD146" s="468"/>
      <c r="BE146" s="468"/>
      <c r="BF146" s="468"/>
      <c r="BG146" s="468"/>
      <c r="BH146" s="468"/>
      <c r="BI146" s="468"/>
      <c r="BJ146" s="468"/>
      <c r="BK146" s="468"/>
      <c r="BL146" s="468"/>
      <c r="BM146" s="468"/>
      <c r="BN146" s="468"/>
      <c r="BO146" s="468"/>
      <c r="BP146" s="468"/>
      <c r="BQ146" s="468"/>
      <c r="BR146" s="468"/>
      <c r="BS146" s="468"/>
      <c r="BT146" s="468"/>
      <c r="BU146" s="468"/>
      <c r="BV146" s="468"/>
      <c r="BW146" s="468"/>
      <c r="BX146" s="468"/>
      <c r="BY146" s="468"/>
      <c r="BZ146" s="468"/>
      <c r="CA146" s="468"/>
      <c r="CB146" s="468"/>
      <c r="CC146" s="468"/>
      <c r="CD146" s="468"/>
      <c r="CE146" s="468"/>
      <c r="CF146" s="468"/>
      <c r="CG146" s="468"/>
      <c r="CH146" s="468"/>
      <c r="CI146" s="468"/>
      <c r="CJ146" s="468"/>
      <c r="CK146" s="468"/>
      <c r="CL146" s="468"/>
      <c r="CM146" s="468"/>
      <c r="CN146" s="468"/>
      <c r="CO146" s="468"/>
      <c r="CP146" s="468"/>
      <c r="CQ146" s="468"/>
      <c r="CR146" s="468"/>
      <c r="CS146" s="468"/>
      <c r="CT146" s="468"/>
      <c r="CU146" s="468"/>
      <c r="CV146" s="468"/>
      <c r="CW146" s="468"/>
      <c r="CX146" s="468"/>
      <c r="CY146" s="468"/>
      <c r="CZ146" s="468"/>
      <c r="DA146" s="468"/>
      <c r="DB146" s="468"/>
      <c r="DC146" s="468"/>
      <c r="DD146" s="468"/>
      <c r="DE146" s="468"/>
      <c r="DF146" s="468"/>
      <c r="DG146" s="468"/>
      <c r="DH146" s="468"/>
      <c r="DI146" s="468"/>
      <c r="DJ146" s="468"/>
      <c r="DK146" s="468"/>
      <c r="DL146" s="468"/>
      <c r="DM146" s="468"/>
      <c r="DN146" s="471"/>
      <c r="DO146" s="468"/>
      <c r="DP146" s="468"/>
      <c r="DQ146" s="468"/>
      <c r="DR146" s="468"/>
      <c r="DS146" s="468"/>
      <c r="DT146" s="468"/>
      <c r="DU146" s="468"/>
      <c r="DV146" s="468"/>
      <c r="DW146" s="468"/>
      <c r="DX146" s="468"/>
      <c r="DY146" s="468"/>
      <c r="DZ146" s="468"/>
      <c r="EA146" s="468"/>
      <c r="EB146" s="468"/>
      <c r="EC146" s="468"/>
      <c r="ED146" s="468"/>
      <c r="EE146" s="468"/>
      <c r="EF146" s="468"/>
      <c r="EG146" s="468"/>
      <c r="EH146" s="468"/>
      <c r="EI146" s="468"/>
      <c r="EJ146" s="468"/>
      <c r="EK146" s="468"/>
      <c r="EL146" s="468"/>
      <c r="EM146" s="468"/>
      <c r="EN146" s="468"/>
      <c r="EO146" s="468"/>
      <c r="EP146" s="468"/>
      <c r="EQ146" s="468"/>
      <c r="ER146" s="468"/>
      <c r="ES146" s="468"/>
      <c r="ET146" s="468"/>
      <c r="EU146" s="468"/>
      <c r="EV146" s="468"/>
      <c r="EW146" s="468"/>
      <c r="EX146" s="468"/>
      <c r="EY146" s="468"/>
      <c r="EZ146" s="468"/>
      <c r="FA146" s="468"/>
      <c r="FB146" s="468"/>
      <c r="FC146" s="468"/>
      <c r="FD146" s="468"/>
      <c r="FE146" s="468"/>
      <c r="FF146" s="468"/>
      <c r="FG146" s="468"/>
      <c r="FH146" s="468"/>
      <c r="FI146" s="468"/>
      <c r="FJ146" s="468"/>
      <c r="FK146" s="468"/>
      <c r="FL146" s="468"/>
      <c r="FM146" s="468"/>
      <c r="FN146" s="468"/>
      <c r="FO146" s="468"/>
      <c r="FP146" s="468"/>
      <c r="FQ146" s="468"/>
      <c r="FR146" s="468"/>
      <c r="FS146" s="468"/>
      <c r="FT146" s="468"/>
      <c r="FU146" s="468"/>
      <c r="FV146" s="468"/>
      <c r="FW146" s="468"/>
      <c r="FX146" s="468"/>
      <c r="FY146" s="468"/>
      <c r="FZ146" s="468"/>
      <c r="GA146" s="468"/>
      <c r="GB146" s="468"/>
      <c r="GC146" s="468"/>
      <c r="GD146" s="468"/>
      <c r="GE146" s="468"/>
      <c r="GF146" s="468"/>
      <c r="GG146" s="468"/>
      <c r="GH146" s="468"/>
      <c r="GI146" s="468"/>
      <c r="GJ146" s="468"/>
      <c r="GK146" s="468"/>
      <c r="GL146" s="468"/>
      <c r="GM146" s="468"/>
      <c r="GN146" s="468"/>
      <c r="GO146" s="468"/>
      <c r="GP146" s="468"/>
      <c r="GQ146" s="468"/>
      <c r="GR146" s="468"/>
      <c r="GS146" s="468"/>
      <c r="GT146" s="468"/>
      <c r="GU146" s="468"/>
      <c r="GV146" s="468"/>
      <c r="GW146" s="468"/>
      <c r="GX146" s="468"/>
      <c r="GY146" s="468"/>
      <c r="GZ146" s="468"/>
      <c r="HA146" s="468"/>
      <c r="HB146" s="468"/>
      <c r="HC146" s="468"/>
      <c r="HD146" s="468"/>
      <c r="HE146" s="468"/>
      <c r="HF146" s="468"/>
      <c r="HG146" s="468"/>
      <c r="HH146" s="468"/>
      <c r="HI146" s="468"/>
      <c r="HJ146" s="468"/>
      <c r="HK146" s="468"/>
      <c r="HL146" s="468"/>
      <c r="HM146" s="468"/>
      <c r="HN146" s="468"/>
      <c r="HO146" s="468"/>
      <c r="HP146" s="468"/>
      <c r="HQ146" s="468"/>
      <c r="HR146" s="468"/>
      <c r="HS146" s="468"/>
      <c r="HT146" s="468"/>
      <c r="HU146" s="468"/>
      <c r="HV146" s="468"/>
      <c r="HW146" s="468"/>
      <c r="HX146" s="468"/>
      <c r="HY146" s="468"/>
      <c r="HZ146" s="468"/>
      <c r="IA146" s="468"/>
      <c r="IB146" s="468"/>
      <c r="IC146" s="468"/>
      <c r="ID146" s="468"/>
      <c r="IE146" s="468"/>
      <c r="IF146" s="468"/>
      <c r="IG146" s="468"/>
      <c r="IH146" s="468"/>
      <c r="II146" s="468"/>
      <c r="IJ146" s="468"/>
      <c r="IK146" s="468"/>
      <c r="IL146" s="468"/>
      <c r="IM146" s="468"/>
      <c r="IN146" s="468"/>
      <c r="IO146" s="468"/>
      <c r="IP146" s="468"/>
      <c r="IQ146" s="468"/>
      <c r="IR146" s="468"/>
      <c r="IS146" s="468"/>
      <c r="IT146" s="468"/>
      <c r="IU146" s="468"/>
      <c r="IV146" s="468"/>
      <c r="IW146" s="468"/>
      <c r="IX146" s="468"/>
      <c r="IY146" s="468"/>
      <c r="IZ146" s="468"/>
      <c r="JA146" s="468"/>
    </row>
    <row r="147" spans="1:261" ht="18.899999999999999" customHeight="1">
      <c r="A147" s="468"/>
      <c r="B147" s="468"/>
      <c r="C147" s="473"/>
      <c r="D147" s="473"/>
      <c r="E147" s="473"/>
      <c r="F147" s="473"/>
      <c r="G147" s="468"/>
      <c r="H147" s="468"/>
      <c r="I147" s="468"/>
      <c r="J147" s="468"/>
      <c r="K147" s="468"/>
      <c r="L147" s="468"/>
      <c r="M147" s="468"/>
      <c r="N147" s="468"/>
      <c r="O147" s="468"/>
      <c r="P147" s="468"/>
      <c r="Q147" s="468"/>
      <c r="R147" s="468"/>
      <c r="S147" s="468"/>
      <c r="T147" s="468"/>
      <c r="U147" s="468"/>
      <c r="V147" s="468"/>
      <c r="W147" s="468"/>
      <c r="X147" s="468"/>
      <c r="Y147" s="468"/>
      <c r="Z147" s="468"/>
      <c r="AA147" s="468"/>
      <c r="AB147" s="468"/>
      <c r="AC147" s="468"/>
      <c r="AD147" s="468"/>
      <c r="AE147" s="468"/>
      <c r="AF147" s="468"/>
      <c r="AG147" s="468"/>
      <c r="AH147" s="468"/>
      <c r="AI147" s="468"/>
      <c r="AJ147" s="468"/>
      <c r="AK147" s="468"/>
      <c r="AL147" s="468"/>
      <c r="AM147" s="468"/>
      <c r="AN147" s="468"/>
      <c r="AO147" s="468"/>
      <c r="AP147" s="468"/>
      <c r="AQ147" s="468"/>
      <c r="AR147" s="468"/>
      <c r="AS147" s="468"/>
      <c r="AT147" s="468"/>
      <c r="AU147" s="468"/>
      <c r="AV147" s="468"/>
      <c r="AW147" s="468"/>
      <c r="AX147" s="468"/>
      <c r="AY147" s="468"/>
      <c r="AZ147" s="468"/>
      <c r="BA147" s="468"/>
      <c r="BB147" s="468"/>
      <c r="BC147" s="468"/>
      <c r="BD147" s="468"/>
      <c r="BE147" s="468"/>
      <c r="BF147" s="468"/>
      <c r="BG147" s="468"/>
      <c r="BH147" s="468"/>
      <c r="BI147" s="468"/>
      <c r="BJ147" s="468"/>
      <c r="BK147" s="468"/>
      <c r="BL147" s="468"/>
      <c r="BM147" s="468"/>
      <c r="BN147" s="468"/>
      <c r="BO147" s="468"/>
      <c r="BP147" s="468"/>
      <c r="BQ147" s="468"/>
      <c r="BR147" s="468"/>
      <c r="BS147" s="468"/>
      <c r="BT147" s="468"/>
      <c r="BU147" s="468"/>
      <c r="BV147" s="468"/>
      <c r="BW147" s="468"/>
      <c r="BX147" s="468"/>
      <c r="BY147" s="468"/>
      <c r="BZ147" s="468"/>
      <c r="CA147" s="468"/>
      <c r="CB147" s="468"/>
      <c r="CC147" s="468"/>
      <c r="CD147" s="468"/>
      <c r="CE147" s="468"/>
      <c r="CF147" s="468"/>
      <c r="CG147" s="468"/>
      <c r="CH147" s="468"/>
      <c r="CI147" s="468"/>
      <c r="CJ147" s="468"/>
      <c r="CK147" s="468"/>
      <c r="CL147" s="468"/>
      <c r="CM147" s="468"/>
      <c r="CN147" s="468"/>
      <c r="CO147" s="468"/>
      <c r="CP147" s="468"/>
      <c r="CQ147" s="468"/>
      <c r="CR147" s="468"/>
      <c r="CS147" s="468"/>
      <c r="CT147" s="468"/>
      <c r="CU147" s="468"/>
      <c r="CV147" s="468"/>
      <c r="CW147" s="468"/>
      <c r="CX147" s="468"/>
      <c r="CY147" s="468"/>
      <c r="CZ147" s="468"/>
      <c r="DA147" s="468"/>
      <c r="DB147" s="468"/>
      <c r="DC147" s="468"/>
      <c r="DD147" s="468"/>
      <c r="DE147" s="468"/>
      <c r="DF147" s="468"/>
      <c r="DG147" s="468"/>
      <c r="DH147" s="468"/>
      <c r="DI147" s="468"/>
      <c r="DJ147" s="468"/>
      <c r="DK147" s="468"/>
      <c r="DL147" s="468"/>
      <c r="DM147" s="468"/>
      <c r="DN147" s="471"/>
      <c r="DO147" s="468"/>
      <c r="DP147" s="468"/>
      <c r="DQ147" s="468"/>
      <c r="DR147" s="468"/>
      <c r="DS147" s="468"/>
      <c r="DT147" s="468"/>
      <c r="DU147" s="468"/>
      <c r="DV147" s="468"/>
      <c r="DW147" s="468"/>
      <c r="DX147" s="468"/>
      <c r="DY147" s="468"/>
      <c r="DZ147" s="468"/>
      <c r="EA147" s="468"/>
      <c r="EB147" s="468"/>
      <c r="EC147" s="468"/>
      <c r="ED147" s="468"/>
      <c r="EE147" s="468"/>
      <c r="EF147" s="468"/>
      <c r="EG147" s="468"/>
      <c r="EH147" s="468"/>
      <c r="EI147" s="468"/>
      <c r="EJ147" s="468"/>
      <c r="EK147" s="468"/>
      <c r="EL147" s="468"/>
      <c r="EM147" s="468"/>
      <c r="EN147" s="468"/>
      <c r="EO147" s="468"/>
      <c r="EP147" s="468"/>
      <c r="EQ147" s="468"/>
      <c r="ER147" s="468"/>
      <c r="ES147" s="468"/>
      <c r="ET147" s="468"/>
      <c r="EU147" s="468"/>
      <c r="EV147" s="468"/>
      <c r="EW147" s="468"/>
      <c r="EX147" s="468"/>
      <c r="EY147" s="468"/>
      <c r="EZ147" s="468"/>
      <c r="FA147" s="468"/>
      <c r="FB147" s="468"/>
      <c r="FC147" s="468"/>
      <c r="FD147" s="468"/>
      <c r="FE147" s="468"/>
      <c r="FF147" s="468"/>
      <c r="FG147" s="468"/>
      <c r="FH147" s="468"/>
      <c r="FI147" s="468"/>
      <c r="FJ147" s="468"/>
      <c r="FK147" s="468"/>
      <c r="FL147" s="468"/>
      <c r="FM147" s="468"/>
      <c r="FN147" s="468"/>
      <c r="FO147" s="468"/>
      <c r="FP147" s="468"/>
      <c r="FQ147" s="468"/>
      <c r="FR147" s="468"/>
      <c r="FS147" s="468"/>
      <c r="FT147" s="468"/>
      <c r="FU147" s="468"/>
      <c r="FV147" s="468"/>
      <c r="FW147" s="468"/>
      <c r="FX147" s="468"/>
      <c r="FY147" s="468"/>
      <c r="FZ147" s="468"/>
      <c r="GA147" s="468"/>
      <c r="GB147" s="468"/>
      <c r="GC147" s="468"/>
      <c r="GD147" s="468"/>
      <c r="GE147" s="468"/>
      <c r="GF147" s="468"/>
      <c r="GG147" s="468"/>
      <c r="GH147" s="468"/>
      <c r="GI147" s="468"/>
      <c r="GJ147" s="468"/>
      <c r="GK147" s="468"/>
      <c r="GL147" s="468"/>
      <c r="GM147" s="468"/>
      <c r="GN147" s="468"/>
      <c r="GO147" s="468"/>
      <c r="GP147" s="468"/>
      <c r="GQ147" s="468"/>
      <c r="GR147" s="468"/>
      <c r="GS147" s="468"/>
      <c r="GT147" s="468"/>
      <c r="GU147" s="468"/>
      <c r="GV147" s="468"/>
      <c r="GW147" s="468"/>
      <c r="GX147" s="468"/>
      <c r="GY147" s="468"/>
      <c r="GZ147" s="468"/>
      <c r="HA147" s="468"/>
      <c r="HB147" s="468"/>
      <c r="HC147" s="468"/>
      <c r="HD147" s="468"/>
      <c r="HE147" s="468"/>
      <c r="HF147" s="468"/>
      <c r="HG147" s="468"/>
      <c r="HH147" s="468"/>
      <c r="HI147" s="468"/>
      <c r="HJ147" s="468"/>
      <c r="HK147" s="468"/>
      <c r="HL147" s="468"/>
      <c r="HM147" s="468"/>
      <c r="HN147" s="468"/>
      <c r="HO147" s="468"/>
      <c r="HP147" s="468"/>
      <c r="HQ147" s="468"/>
      <c r="HR147" s="468"/>
      <c r="HS147" s="468"/>
      <c r="HT147" s="468"/>
      <c r="HU147" s="468"/>
      <c r="HV147" s="468"/>
      <c r="HW147" s="468"/>
      <c r="HX147" s="468"/>
      <c r="HY147" s="468"/>
      <c r="HZ147" s="468"/>
      <c r="IA147" s="468"/>
      <c r="IB147" s="468"/>
      <c r="IC147" s="468"/>
      <c r="ID147" s="468"/>
      <c r="IE147" s="468"/>
      <c r="IF147" s="468"/>
      <c r="IG147" s="468"/>
      <c r="IH147" s="468"/>
      <c r="II147" s="468"/>
      <c r="IJ147" s="468"/>
      <c r="IK147" s="468"/>
      <c r="IL147" s="468"/>
      <c r="IM147" s="468"/>
      <c r="IN147" s="468"/>
      <c r="IO147" s="468"/>
      <c r="IP147" s="468"/>
      <c r="IQ147" s="468"/>
      <c r="IR147" s="468"/>
      <c r="IS147" s="468"/>
      <c r="IT147" s="468"/>
      <c r="IU147" s="468"/>
      <c r="IV147" s="468"/>
      <c r="IW147" s="468"/>
      <c r="IX147" s="468"/>
      <c r="IY147" s="468"/>
      <c r="IZ147" s="468"/>
      <c r="JA147" s="468"/>
    </row>
    <row r="148" spans="1:261" ht="18.899999999999999" customHeight="1">
      <c r="A148" s="468"/>
      <c r="B148" s="468"/>
      <c r="C148" s="473"/>
      <c r="D148" s="473"/>
      <c r="E148" s="473"/>
      <c r="F148" s="473"/>
      <c r="G148" s="468"/>
      <c r="H148" s="468"/>
      <c r="I148" s="468"/>
      <c r="J148" s="468"/>
      <c r="K148" s="468"/>
      <c r="L148" s="468"/>
      <c r="M148" s="468"/>
      <c r="N148" s="468"/>
      <c r="O148" s="468"/>
      <c r="P148" s="468"/>
      <c r="Q148" s="468"/>
      <c r="R148" s="468"/>
      <c r="S148" s="468"/>
      <c r="T148" s="468"/>
      <c r="U148" s="468"/>
      <c r="V148" s="468"/>
      <c r="W148" s="468"/>
      <c r="X148" s="468"/>
      <c r="Y148" s="468"/>
      <c r="Z148" s="468"/>
      <c r="AA148" s="468"/>
      <c r="AB148" s="468"/>
      <c r="AC148" s="468"/>
      <c r="AD148" s="468"/>
      <c r="AE148" s="468"/>
      <c r="AF148" s="468"/>
      <c r="AG148" s="468"/>
      <c r="AH148" s="468"/>
      <c r="AI148" s="468"/>
      <c r="AJ148" s="468"/>
      <c r="AK148" s="468"/>
      <c r="AL148" s="468"/>
      <c r="AM148" s="468"/>
      <c r="AN148" s="468"/>
      <c r="AO148" s="468"/>
      <c r="AP148" s="468"/>
      <c r="AQ148" s="468"/>
      <c r="AR148" s="468"/>
      <c r="AS148" s="468"/>
      <c r="AT148" s="468"/>
      <c r="AU148" s="468"/>
      <c r="AV148" s="468"/>
      <c r="AW148" s="468"/>
      <c r="AX148" s="468"/>
      <c r="AY148" s="468"/>
      <c r="AZ148" s="468"/>
      <c r="BA148" s="468"/>
      <c r="BB148" s="468"/>
      <c r="BC148" s="468"/>
      <c r="BD148" s="468"/>
      <c r="BE148" s="468"/>
      <c r="BF148" s="468"/>
      <c r="BG148" s="468"/>
      <c r="BH148" s="468"/>
      <c r="BI148" s="468"/>
      <c r="BJ148" s="468"/>
      <c r="BK148" s="468"/>
      <c r="BL148" s="468"/>
      <c r="BM148" s="468"/>
      <c r="BN148" s="468"/>
      <c r="BO148" s="468"/>
      <c r="BP148" s="468"/>
      <c r="BQ148" s="468"/>
      <c r="BR148" s="468"/>
      <c r="BS148" s="468"/>
      <c r="BT148" s="468"/>
      <c r="BU148" s="468"/>
      <c r="BV148" s="468"/>
      <c r="BW148" s="468"/>
      <c r="BX148" s="468"/>
      <c r="BY148" s="468"/>
      <c r="BZ148" s="468"/>
      <c r="CA148" s="468"/>
      <c r="CB148" s="468"/>
      <c r="CC148" s="468"/>
      <c r="CD148" s="468"/>
      <c r="CE148" s="468"/>
      <c r="CF148" s="468"/>
      <c r="CG148" s="468"/>
      <c r="CH148" s="468"/>
      <c r="CI148" s="468"/>
      <c r="CJ148" s="468"/>
      <c r="CK148" s="468"/>
      <c r="CL148" s="468"/>
      <c r="CM148" s="468"/>
      <c r="CN148" s="468"/>
      <c r="CO148" s="468"/>
      <c r="CP148" s="468"/>
      <c r="CQ148" s="468"/>
      <c r="CR148" s="468"/>
      <c r="CS148" s="468"/>
      <c r="CT148" s="468"/>
      <c r="CU148" s="468"/>
      <c r="CV148" s="468"/>
      <c r="CW148" s="468"/>
      <c r="CX148" s="468"/>
      <c r="CY148" s="468"/>
      <c r="CZ148" s="468"/>
      <c r="DA148" s="468"/>
      <c r="DB148" s="468"/>
      <c r="DC148" s="468"/>
      <c r="DD148" s="468"/>
      <c r="DE148" s="468"/>
      <c r="DF148" s="468"/>
      <c r="DG148" s="468"/>
      <c r="DH148" s="468"/>
      <c r="DI148" s="468"/>
      <c r="DJ148" s="468"/>
      <c r="DK148" s="468"/>
      <c r="DL148" s="468"/>
      <c r="DM148" s="468"/>
      <c r="DN148" s="471"/>
      <c r="DO148" s="468"/>
      <c r="DP148" s="468"/>
      <c r="DQ148" s="468"/>
      <c r="DR148" s="468"/>
      <c r="DS148" s="468"/>
      <c r="DT148" s="468"/>
      <c r="DU148" s="468"/>
      <c r="DV148" s="468"/>
      <c r="DW148" s="468"/>
      <c r="DX148" s="468"/>
      <c r="DY148" s="468"/>
      <c r="DZ148" s="468"/>
      <c r="EA148" s="468"/>
      <c r="EB148" s="468"/>
      <c r="EC148" s="468"/>
      <c r="ED148" s="468"/>
      <c r="EE148" s="468"/>
      <c r="EF148" s="468"/>
      <c r="EG148" s="468"/>
      <c r="EH148" s="468"/>
      <c r="EI148" s="468"/>
      <c r="EJ148" s="468"/>
      <c r="EK148" s="468"/>
      <c r="EL148" s="468"/>
      <c r="EM148" s="468"/>
      <c r="EN148" s="468"/>
      <c r="EO148" s="468"/>
      <c r="EP148" s="468"/>
      <c r="EQ148" s="468"/>
      <c r="ER148" s="468"/>
      <c r="ES148" s="468"/>
      <c r="ET148" s="468"/>
      <c r="EU148" s="468"/>
      <c r="EV148" s="468"/>
      <c r="EW148" s="468"/>
      <c r="EX148" s="468"/>
      <c r="EY148" s="468"/>
      <c r="EZ148" s="468"/>
      <c r="FA148" s="468"/>
      <c r="FB148" s="468"/>
      <c r="FC148" s="468"/>
      <c r="FD148" s="468"/>
      <c r="FE148" s="468"/>
      <c r="FF148" s="468"/>
      <c r="FG148" s="468"/>
      <c r="FH148" s="468"/>
      <c r="FI148" s="468"/>
      <c r="FJ148" s="468"/>
      <c r="FK148" s="468"/>
      <c r="FL148" s="468"/>
      <c r="FM148" s="468"/>
      <c r="FN148" s="468"/>
      <c r="FO148" s="468"/>
      <c r="FP148" s="468"/>
      <c r="FQ148" s="468"/>
      <c r="FR148" s="468"/>
      <c r="FS148" s="468"/>
      <c r="FT148" s="468"/>
      <c r="FU148" s="468"/>
      <c r="FV148" s="468"/>
      <c r="FW148" s="468"/>
      <c r="FX148" s="468"/>
      <c r="FY148" s="468"/>
      <c r="FZ148" s="468"/>
      <c r="GA148" s="468"/>
      <c r="GB148" s="468"/>
      <c r="GC148" s="468"/>
      <c r="GD148" s="468"/>
      <c r="GE148" s="468"/>
      <c r="GF148" s="468"/>
      <c r="GG148" s="468"/>
      <c r="GH148" s="468"/>
      <c r="GI148" s="468"/>
      <c r="GJ148" s="468"/>
      <c r="GK148" s="468"/>
      <c r="GL148" s="468"/>
      <c r="GM148" s="468"/>
      <c r="GN148" s="468"/>
      <c r="GO148" s="468"/>
      <c r="GP148" s="468"/>
      <c r="GQ148" s="468"/>
      <c r="GR148" s="468"/>
      <c r="GS148" s="468"/>
      <c r="GT148" s="468"/>
      <c r="GU148" s="468"/>
      <c r="GV148" s="468"/>
      <c r="GW148" s="468"/>
      <c r="GX148" s="468"/>
      <c r="GY148" s="468"/>
      <c r="GZ148" s="468"/>
      <c r="HA148" s="468"/>
      <c r="HB148" s="468"/>
      <c r="HC148" s="468"/>
      <c r="HD148" s="468"/>
      <c r="HE148" s="468"/>
      <c r="HF148" s="468"/>
      <c r="HG148" s="468"/>
      <c r="HH148" s="468"/>
      <c r="HI148" s="468"/>
      <c r="HJ148" s="468"/>
      <c r="HK148" s="468"/>
      <c r="HL148" s="468"/>
      <c r="HM148" s="468"/>
      <c r="HN148" s="468"/>
      <c r="HO148" s="468"/>
      <c r="HP148" s="468"/>
      <c r="HQ148" s="468"/>
      <c r="HR148" s="468"/>
      <c r="HS148" s="468"/>
      <c r="HT148" s="468"/>
      <c r="HU148" s="468"/>
      <c r="HV148" s="468"/>
      <c r="HW148" s="468"/>
      <c r="HX148" s="468"/>
      <c r="HY148" s="468"/>
      <c r="HZ148" s="468"/>
      <c r="IA148" s="468"/>
      <c r="IB148" s="468"/>
      <c r="IC148" s="468"/>
      <c r="ID148" s="468"/>
      <c r="IE148" s="468"/>
      <c r="IF148" s="468"/>
      <c r="IG148" s="468"/>
      <c r="IH148" s="468"/>
      <c r="II148" s="468"/>
      <c r="IJ148" s="468"/>
      <c r="IK148" s="468"/>
      <c r="IL148" s="468"/>
      <c r="IM148" s="468"/>
      <c r="IN148" s="468"/>
      <c r="IO148" s="468"/>
      <c r="IP148" s="468"/>
      <c r="IQ148" s="468"/>
      <c r="IR148" s="468"/>
      <c r="IS148" s="468"/>
      <c r="IT148" s="468"/>
      <c r="IU148" s="468"/>
      <c r="IV148" s="468"/>
      <c r="IW148" s="468"/>
      <c r="IX148" s="468"/>
      <c r="IY148" s="468"/>
      <c r="IZ148" s="468"/>
      <c r="JA148" s="468"/>
    </row>
    <row r="149" spans="1:261" ht="18.899999999999999" customHeight="1">
      <c r="A149" s="468"/>
      <c r="B149" s="468"/>
      <c r="C149" s="473"/>
      <c r="D149" s="473"/>
      <c r="E149" s="473"/>
      <c r="F149" s="473"/>
      <c r="G149" s="468"/>
      <c r="H149" s="468"/>
      <c r="I149" s="468"/>
      <c r="J149" s="468"/>
      <c r="K149" s="468"/>
      <c r="L149" s="468"/>
      <c r="M149" s="468"/>
      <c r="N149" s="468"/>
      <c r="O149" s="468"/>
      <c r="P149" s="468"/>
      <c r="Q149" s="468"/>
      <c r="R149" s="468"/>
      <c r="S149" s="468"/>
      <c r="T149" s="468"/>
      <c r="U149" s="468"/>
      <c r="V149" s="468"/>
      <c r="W149" s="468"/>
      <c r="X149" s="468"/>
      <c r="Y149" s="468"/>
      <c r="Z149" s="468"/>
      <c r="AA149" s="468"/>
      <c r="AB149" s="468"/>
      <c r="AC149" s="468"/>
      <c r="AD149" s="468"/>
      <c r="AE149" s="468"/>
      <c r="AF149" s="468"/>
      <c r="AG149" s="468"/>
      <c r="AH149" s="468"/>
      <c r="AI149" s="468"/>
      <c r="AJ149" s="468"/>
      <c r="AK149" s="468"/>
      <c r="AL149" s="468"/>
      <c r="AM149" s="468"/>
      <c r="AN149" s="468"/>
      <c r="AO149" s="468"/>
      <c r="AP149" s="468"/>
      <c r="AQ149" s="468"/>
      <c r="AR149" s="468"/>
      <c r="AS149" s="468"/>
      <c r="AT149" s="468"/>
      <c r="AU149" s="468"/>
      <c r="AV149" s="468"/>
      <c r="AW149" s="468"/>
      <c r="AX149" s="468"/>
      <c r="AY149" s="468"/>
      <c r="AZ149" s="468"/>
      <c r="BA149" s="468"/>
      <c r="BB149" s="468"/>
      <c r="BC149" s="468"/>
      <c r="BD149" s="468"/>
      <c r="BE149" s="468"/>
      <c r="BF149" s="468"/>
      <c r="BG149" s="468"/>
      <c r="BH149" s="468"/>
      <c r="BI149" s="468"/>
      <c r="BJ149" s="468"/>
      <c r="BK149" s="468"/>
      <c r="BL149" s="468"/>
      <c r="BM149" s="468"/>
      <c r="BN149" s="468"/>
      <c r="BO149" s="468"/>
      <c r="BP149" s="468"/>
      <c r="BQ149" s="468"/>
      <c r="BR149" s="468"/>
      <c r="BS149" s="468"/>
      <c r="BT149" s="468"/>
      <c r="BU149" s="468"/>
      <c r="BV149" s="468"/>
      <c r="BW149" s="468"/>
      <c r="BX149" s="468"/>
      <c r="BY149" s="468"/>
      <c r="BZ149" s="468"/>
      <c r="CA149" s="468"/>
      <c r="CB149" s="468"/>
      <c r="CC149" s="468"/>
      <c r="CD149" s="468"/>
      <c r="CE149" s="468"/>
      <c r="CF149" s="468"/>
      <c r="CG149" s="468"/>
      <c r="CH149" s="468"/>
      <c r="CI149" s="468"/>
      <c r="CJ149" s="468"/>
      <c r="CK149" s="468"/>
      <c r="CL149" s="468"/>
      <c r="CM149" s="468"/>
      <c r="CN149" s="468"/>
      <c r="CO149" s="468"/>
      <c r="CP149" s="468"/>
      <c r="CQ149" s="468"/>
      <c r="CR149" s="468"/>
      <c r="CS149" s="468"/>
      <c r="CT149" s="468"/>
      <c r="CU149" s="468"/>
      <c r="CV149" s="468"/>
      <c r="CW149" s="468"/>
      <c r="CX149" s="468"/>
      <c r="CY149" s="468"/>
      <c r="CZ149" s="468"/>
      <c r="DA149" s="468"/>
      <c r="DB149" s="468"/>
      <c r="DC149" s="468"/>
      <c r="DD149" s="468"/>
      <c r="DE149" s="468"/>
      <c r="DF149" s="468"/>
      <c r="DG149" s="468"/>
      <c r="DH149" s="468"/>
      <c r="DI149" s="468"/>
      <c r="DJ149" s="468"/>
      <c r="DK149" s="468"/>
      <c r="DL149" s="468"/>
      <c r="DM149" s="468"/>
      <c r="DN149" s="471"/>
      <c r="DO149" s="468"/>
      <c r="DP149" s="468"/>
      <c r="DQ149" s="468"/>
      <c r="DR149" s="468"/>
      <c r="DS149" s="468"/>
      <c r="DT149" s="468"/>
      <c r="DU149" s="468"/>
      <c r="DV149" s="468"/>
      <c r="DW149" s="468"/>
      <c r="DX149" s="468"/>
      <c r="DY149" s="468"/>
      <c r="DZ149" s="468"/>
      <c r="EA149" s="468"/>
      <c r="EB149" s="468"/>
      <c r="EC149" s="468"/>
      <c r="ED149" s="468"/>
      <c r="EE149" s="468"/>
      <c r="EF149" s="468"/>
      <c r="EG149" s="468"/>
      <c r="EH149" s="468"/>
      <c r="EI149" s="468"/>
      <c r="EJ149" s="468"/>
      <c r="EK149" s="468"/>
      <c r="EL149" s="468"/>
      <c r="EM149" s="468"/>
      <c r="EN149" s="468"/>
      <c r="EO149" s="468"/>
      <c r="EP149" s="468"/>
      <c r="EQ149" s="468"/>
      <c r="ER149" s="468"/>
      <c r="ES149" s="468"/>
      <c r="ET149" s="468"/>
      <c r="EU149" s="468"/>
      <c r="EV149" s="468"/>
      <c r="EW149" s="468"/>
      <c r="EX149" s="468"/>
      <c r="EY149" s="468"/>
      <c r="EZ149" s="468"/>
      <c r="FA149" s="468"/>
      <c r="FB149" s="468"/>
      <c r="FC149" s="468"/>
      <c r="FD149" s="468"/>
      <c r="FE149" s="468"/>
      <c r="FF149" s="468"/>
      <c r="FG149" s="468"/>
      <c r="FH149" s="468"/>
      <c r="FI149" s="468"/>
      <c r="FJ149" s="468"/>
      <c r="FK149" s="468"/>
      <c r="FL149" s="468"/>
      <c r="FM149" s="468"/>
      <c r="FN149" s="468"/>
      <c r="FO149" s="468"/>
      <c r="FP149" s="468"/>
      <c r="FQ149" s="468"/>
      <c r="FR149" s="468"/>
      <c r="FS149" s="468"/>
      <c r="FT149" s="468"/>
      <c r="FU149" s="468"/>
      <c r="FV149" s="468"/>
      <c r="FW149" s="468"/>
      <c r="FX149" s="468"/>
      <c r="FY149" s="468"/>
      <c r="FZ149" s="468"/>
      <c r="GA149" s="468"/>
      <c r="GB149" s="468"/>
      <c r="GC149" s="468"/>
      <c r="GD149" s="468"/>
      <c r="GE149" s="468"/>
      <c r="GF149" s="468"/>
      <c r="GG149" s="468"/>
      <c r="GH149" s="468"/>
      <c r="GI149" s="468"/>
      <c r="GJ149" s="468"/>
      <c r="GK149" s="468"/>
      <c r="GL149" s="468"/>
      <c r="GM149" s="468"/>
      <c r="GN149" s="468"/>
      <c r="GO149" s="468"/>
      <c r="GP149" s="468"/>
      <c r="GQ149" s="468"/>
      <c r="GR149" s="468"/>
      <c r="GS149" s="468"/>
      <c r="GT149" s="468"/>
      <c r="GU149" s="468"/>
      <c r="GV149" s="468"/>
      <c r="GW149" s="468"/>
      <c r="GX149" s="468"/>
      <c r="GY149" s="468"/>
      <c r="GZ149" s="468"/>
      <c r="HA149" s="468"/>
      <c r="HB149" s="468"/>
      <c r="HC149" s="468"/>
      <c r="HD149" s="468"/>
      <c r="HE149" s="468"/>
      <c r="HF149" s="468"/>
      <c r="HG149" s="468"/>
      <c r="HH149" s="468"/>
      <c r="HI149" s="468"/>
      <c r="HJ149" s="468"/>
      <c r="HK149" s="468"/>
      <c r="HL149" s="468"/>
      <c r="HM149" s="468"/>
      <c r="HN149" s="468"/>
      <c r="HO149" s="468"/>
      <c r="HP149" s="468"/>
      <c r="HQ149" s="468"/>
      <c r="HR149" s="468"/>
      <c r="HS149" s="468"/>
      <c r="HT149" s="468"/>
      <c r="HU149" s="468"/>
      <c r="HV149" s="468"/>
      <c r="HW149" s="468"/>
      <c r="HX149" s="468"/>
      <c r="HY149" s="468"/>
      <c r="HZ149" s="468"/>
      <c r="IA149" s="468"/>
      <c r="IB149" s="468"/>
      <c r="IC149" s="468"/>
      <c r="ID149" s="468"/>
      <c r="IE149" s="468"/>
      <c r="IF149" s="468"/>
      <c r="IG149" s="468"/>
      <c r="IH149" s="468"/>
      <c r="II149" s="468"/>
      <c r="IJ149" s="468"/>
      <c r="IK149" s="468"/>
      <c r="IL149" s="468"/>
      <c r="IM149" s="468"/>
      <c r="IN149" s="468"/>
      <c r="IO149" s="468"/>
      <c r="IP149" s="468"/>
      <c r="IQ149" s="468"/>
      <c r="IR149" s="468"/>
      <c r="IS149" s="468"/>
      <c r="IT149" s="468"/>
      <c r="IU149" s="468"/>
      <c r="IV149" s="468"/>
      <c r="IW149" s="468"/>
      <c r="IX149" s="468"/>
      <c r="IY149" s="468"/>
      <c r="IZ149" s="468"/>
      <c r="JA149" s="468"/>
    </row>
    <row r="218" ht="13.8"/>
    <row r="219" ht="13.8"/>
    <row r="220" ht="13.8"/>
    <row r="221" ht="13.8"/>
    <row r="222" ht="13.8"/>
    <row r="223" ht="13.8"/>
    <row r="224" ht="13.8"/>
    <row r="225" ht="13.8"/>
    <row r="226" ht="13.8"/>
    <row r="227" ht="13.8"/>
    <row r="228" ht="13.8"/>
    <row r="229" ht="13.8"/>
    <row r="230" ht="13.8"/>
    <row r="231" ht="13.8"/>
    <row r="232" ht="13.8"/>
    <row r="233" ht="13.8"/>
    <row r="234" ht="13.8"/>
    <row r="235" ht="13.8"/>
    <row r="236" ht="13.8"/>
    <row r="237" ht="13.8"/>
    <row r="238" ht="13.8"/>
    <row r="239" ht="13.8"/>
    <row r="240" ht="13.8"/>
    <row r="241" ht="13.8"/>
    <row r="242" ht="13.8"/>
    <row r="243" ht="13.8"/>
    <row r="244" ht="13.8"/>
    <row r="245" ht="13.8"/>
    <row r="246" ht="13.8"/>
    <row r="247" ht="13.8"/>
    <row r="248" ht="13.8"/>
    <row r="249" ht="13.8"/>
    <row r="250" ht="13.8"/>
    <row r="251" ht="13.8"/>
    <row r="252" ht="13.8"/>
    <row r="253" ht="13.8"/>
    <row r="254" ht="13.8"/>
  </sheetData>
  <mergeCells count="78">
    <mergeCell ref="EK4:EK5"/>
    <mergeCell ref="EH4:EH5"/>
    <mergeCell ref="EI4:EI5"/>
    <mergeCell ref="EJ4:EJ5"/>
    <mergeCell ref="DS4:DS5"/>
    <mergeCell ref="DX4:DX5"/>
    <mergeCell ref="EE4:EE5"/>
    <mergeCell ref="EF4:EF5"/>
    <mergeCell ref="DY4:DY5"/>
    <mergeCell ref="DT4:DT5"/>
    <mergeCell ref="DW4:DW5"/>
    <mergeCell ref="EG4:EG5"/>
    <mergeCell ref="DE4:DE5"/>
    <mergeCell ref="DU4:DU5"/>
    <mergeCell ref="DA4:DA5"/>
    <mergeCell ref="ED4:ED5"/>
    <mergeCell ref="EC4:EC5"/>
    <mergeCell ref="DV4:DV5"/>
    <mergeCell ref="EA4:EA5"/>
    <mergeCell ref="EB4:EB5"/>
    <mergeCell ref="DZ4:DZ5"/>
    <mergeCell ref="DO4:DO5"/>
    <mergeCell ref="DL4:DL5"/>
    <mergeCell ref="DJ4:DJ5"/>
    <mergeCell ref="DG4:DG5"/>
    <mergeCell ref="DR4:DR5"/>
    <mergeCell ref="EL4:EL5"/>
    <mergeCell ref="EM4:EM5"/>
    <mergeCell ref="EN4:EN5"/>
    <mergeCell ref="EO4:EO5"/>
    <mergeCell ref="EP4:JB4"/>
    <mergeCell ref="Y15:Z15"/>
    <mergeCell ref="G4:G5"/>
    <mergeCell ref="Y13:Z13"/>
    <mergeCell ref="CY4:CY5"/>
    <mergeCell ref="BR4:BR5"/>
    <mergeCell ref="CP4:CP5"/>
    <mergeCell ref="AK4:AW4"/>
    <mergeCell ref="BJ4:BJ5"/>
    <mergeCell ref="BK4:BK5"/>
    <mergeCell ref="CU4:CU5"/>
    <mergeCell ref="CS4:CS5"/>
    <mergeCell ref="CW4:CW5"/>
    <mergeCell ref="BL4:BL5"/>
    <mergeCell ref="BP4:BP5"/>
    <mergeCell ref="AB4:AC4"/>
    <mergeCell ref="CZ4:CZ5"/>
    <mergeCell ref="BS4:CO4"/>
    <mergeCell ref="DB4:DB5"/>
    <mergeCell ref="CR4:CR5"/>
    <mergeCell ref="AX4:BI4"/>
    <mergeCell ref="CV4:CV5"/>
    <mergeCell ref="A4:A5"/>
    <mergeCell ref="B4:B5"/>
    <mergeCell ref="C4:C5"/>
    <mergeCell ref="BO4:BO5"/>
    <mergeCell ref="BM4:BM5"/>
    <mergeCell ref="E4:E5"/>
    <mergeCell ref="D4:D5"/>
    <mergeCell ref="H4:P4"/>
    <mergeCell ref="BN4:BN5"/>
    <mergeCell ref="F4:F5"/>
    <mergeCell ref="A2:JC2"/>
    <mergeCell ref="A3:JC3"/>
    <mergeCell ref="BQ4:BQ5"/>
    <mergeCell ref="DK4:DK5"/>
    <mergeCell ref="DH4:DH5"/>
    <mergeCell ref="DQ4:DQ5"/>
    <mergeCell ref="CQ4:CQ5"/>
    <mergeCell ref="CX4:CX5"/>
    <mergeCell ref="CT4:CT5"/>
    <mergeCell ref="DI4:DI5"/>
    <mergeCell ref="DF4:DF5"/>
    <mergeCell ref="DP4:DP5"/>
    <mergeCell ref="DM4:DM5"/>
    <mergeCell ref="DN4:DN5"/>
    <mergeCell ref="DD4:DD5"/>
    <mergeCell ref="DC4:DC5"/>
  </mergeCells>
  <phoneticPr fontId="0" type="noConversion"/>
  <printOptions horizontalCentered="1"/>
  <pageMargins left="3.9370078740157501E-2" right="3.9370078740157501E-2" top="0.81" bottom="0.74803149606299202" header="0.39" footer="0.511811023622047"/>
  <pageSetup paperSize="9" scale="90" orientation="landscape" blackAndWhite="1" useFirstPageNumber="1" r:id="rId1"/>
  <headerFooter alignWithMargins="0">
    <oddFooter>&amp;CBaûng keâ truï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40"/>
  <dimension ref="A1:JD495"/>
  <sheetViews>
    <sheetView showGridLines="0" showZeros="0" workbookViewId="0">
      <pane xSplit="10" ySplit="5" topLeftCell="K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 outlineLevelRow="1"/>
  <cols>
    <col min="1" max="1" width="11.6640625" style="3" customWidth="1"/>
    <col min="2" max="2" width="7.33203125" style="3" bestFit="1" customWidth="1"/>
    <col min="3" max="3" width="7.88671875" style="3" hidden="1" customWidth="1"/>
    <col min="4" max="4" width="7.33203125" style="3" bestFit="1" customWidth="1"/>
    <col min="5" max="8" width="4.5546875" style="3" hidden="1" customWidth="1"/>
    <col min="9" max="9" width="4.5546875" style="4" hidden="1" customWidth="1"/>
    <col min="10" max="10" width="5.88671875" style="3" bestFit="1" customWidth="1"/>
    <col min="11" max="11" width="4.5546875" style="3" bestFit="1" customWidth="1"/>
    <col min="12" max="15" width="4.5546875" style="3" hidden="1" customWidth="1"/>
    <col min="16" max="16" width="5" style="3" bestFit="1" customWidth="1"/>
    <col min="17" max="17" width="4.5546875" style="3" bestFit="1" customWidth="1"/>
    <col min="18" max="19" width="4.5546875" style="3" hidden="1" customWidth="1"/>
    <col min="20" max="20" width="4.5546875" style="3" bestFit="1" customWidth="1"/>
    <col min="21" max="28" width="4.5546875" style="3" hidden="1" customWidth="1"/>
    <col min="29" max="29" width="4.5546875" style="3" bestFit="1" customWidth="1"/>
    <col min="30" max="31" width="4.5546875" style="3" hidden="1" customWidth="1"/>
    <col min="32" max="32" width="5" style="3" bestFit="1" customWidth="1"/>
    <col min="33" max="36" width="4.5546875" style="3" bestFit="1" customWidth="1"/>
    <col min="37" max="47" width="4.5546875" style="3" hidden="1" customWidth="1"/>
    <col min="48" max="49" width="4.5546875" style="3" bestFit="1" customWidth="1"/>
    <col min="50" max="56" width="4.5546875" style="3" hidden="1" customWidth="1"/>
    <col min="57" max="57" width="4.5546875" style="3" bestFit="1" customWidth="1"/>
    <col min="58" max="58" width="4.5546875" style="3" hidden="1" customWidth="1"/>
    <col min="59" max="60" width="4.5546875" style="3" bestFit="1" customWidth="1"/>
    <col min="61" max="73" width="4.5546875" style="3" hidden="1" customWidth="1"/>
    <col min="74" max="74" width="4.5546875" style="3" bestFit="1" customWidth="1"/>
    <col min="75" max="76" width="4.5546875" style="3" hidden="1" customWidth="1"/>
    <col min="77" max="77" width="4.5546875" style="3" bestFit="1" customWidth="1"/>
    <col min="78" max="83" width="4.5546875" style="3" hidden="1" customWidth="1"/>
    <col min="84" max="88" width="4.5546875" style="3" bestFit="1" customWidth="1"/>
    <col min="89" max="90" width="4.5546875" style="3" hidden="1" customWidth="1"/>
    <col min="91" max="91" width="4.5546875" style="3" bestFit="1" customWidth="1"/>
    <col min="92" max="93" width="4.5546875" style="3" hidden="1" customWidth="1"/>
    <col min="94" max="94" width="5" style="3" bestFit="1" customWidth="1"/>
    <col min="95" max="95" width="4.5546875" style="3" hidden="1" customWidth="1"/>
    <col min="96" max="101" width="4.5546875" style="3" bestFit="1" customWidth="1"/>
    <col min="102" max="113" width="4.5546875" style="3" hidden="1" customWidth="1"/>
    <col min="114" max="115" width="4.5546875" style="3" bestFit="1" customWidth="1"/>
    <col min="116" max="116" width="18.109375" style="5" customWidth="1"/>
    <col min="117" max="16384" width="9.109375" style="3"/>
  </cols>
  <sheetData>
    <row r="1" spans="1:264" s="410" customFormat="1" ht="13.8">
      <c r="I1" s="860"/>
    </row>
    <row r="2" spans="1:264" s="410" customFormat="1" ht="13.8">
      <c r="A2" s="876" t="s">
        <v>4906</v>
      </c>
      <c r="B2" s="872"/>
      <c r="C2" s="872"/>
      <c r="D2" s="872"/>
      <c r="E2" s="872"/>
      <c r="F2" s="872"/>
      <c r="G2" s="872"/>
      <c r="H2" s="872"/>
      <c r="I2" s="873"/>
      <c r="J2" s="874"/>
      <c r="K2" s="872"/>
      <c r="L2" s="872"/>
      <c r="M2" s="872"/>
      <c r="N2" s="872"/>
      <c r="O2" s="872"/>
      <c r="P2" s="872"/>
      <c r="Q2" s="872"/>
      <c r="R2" s="872"/>
      <c r="S2" s="872"/>
      <c r="T2" s="872"/>
      <c r="U2" s="872"/>
      <c r="V2" s="872"/>
      <c r="W2" s="872"/>
      <c r="X2" s="872"/>
      <c r="Y2" s="872"/>
      <c r="Z2" s="872"/>
      <c r="AA2" s="872"/>
      <c r="AB2" s="872"/>
      <c r="AC2" s="872"/>
      <c r="AD2" s="872"/>
      <c r="AE2" s="872"/>
      <c r="AF2" s="872"/>
      <c r="AG2" s="872"/>
      <c r="AH2" s="872"/>
      <c r="AI2" s="872"/>
      <c r="AJ2" s="872"/>
      <c r="AK2" s="872"/>
      <c r="AL2" s="872"/>
      <c r="AM2" s="872"/>
      <c r="AN2" s="872"/>
      <c r="AO2" s="872"/>
      <c r="AP2" s="872"/>
      <c r="AQ2" s="872"/>
      <c r="AR2" s="872"/>
      <c r="AS2" s="872"/>
      <c r="AT2" s="872"/>
      <c r="AU2" s="872"/>
      <c r="AV2" s="872"/>
      <c r="AW2" s="872"/>
      <c r="AX2" s="872"/>
      <c r="AY2" s="872"/>
      <c r="AZ2" s="872"/>
      <c r="BA2" s="872"/>
      <c r="BB2" s="872"/>
      <c r="BC2" s="872"/>
      <c r="BD2" s="872"/>
      <c r="BE2" s="872"/>
      <c r="BF2" s="872"/>
      <c r="BG2" s="872"/>
      <c r="BH2" s="872"/>
      <c r="BI2" s="872"/>
      <c r="BJ2" s="872"/>
      <c r="BK2" s="872"/>
      <c r="BL2" s="872"/>
      <c r="BM2" s="872"/>
      <c r="BN2" s="872"/>
      <c r="BO2" s="872"/>
      <c r="BP2" s="872"/>
      <c r="BQ2" s="872"/>
      <c r="BR2" s="872"/>
      <c r="BS2" s="872"/>
      <c r="BT2" s="872"/>
      <c r="BU2" s="872"/>
      <c r="BV2" s="872"/>
      <c r="BW2" s="872"/>
      <c r="BX2" s="872"/>
      <c r="BY2" s="872"/>
      <c r="BZ2" s="872"/>
      <c r="CA2" s="872"/>
      <c r="CB2" s="872"/>
      <c r="CC2" s="872"/>
      <c r="CD2" s="872"/>
      <c r="CE2" s="872"/>
      <c r="CF2" s="872"/>
      <c r="CG2" s="872"/>
      <c r="CH2" s="872"/>
      <c r="CI2" s="872"/>
      <c r="CJ2" s="872"/>
      <c r="CK2" s="872"/>
      <c r="CL2" s="872"/>
      <c r="CM2" s="872"/>
      <c r="CN2" s="872"/>
      <c r="CO2" s="872"/>
      <c r="CP2" s="872"/>
      <c r="CQ2" s="872"/>
      <c r="CR2" s="872"/>
      <c r="CS2" s="872"/>
      <c r="CT2" s="872"/>
      <c r="CU2" s="872"/>
      <c r="CV2" s="872"/>
      <c r="CW2" s="872"/>
      <c r="CX2" s="872"/>
      <c r="CY2" s="872"/>
      <c r="CZ2" s="872"/>
      <c r="DA2" s="872"/>
      <c r="DB2" s="872"/>
      <c r="DC2" s="872"/>
      <c r="DD2" s="872"/>
      <c r="DE2" s="872"/>
      <c r="DF2" s="872"/>
      <c r="DG2" s="872"/>
      <c r="DH2" s="872"/>
      <c r="DI2" s="872"/>
      <c r="DJ2" s="872"/>
      <c r="DK2" s="872"/>
      <c r="DL2" s="875"/>
    </row>
    <row r="3" spans="1:264" s="410" customFormat="1" ht="14.4" thickBot="1">
      <c r="A3" s="876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876"/>
      <c r="C3" s="876"/>
      <c r="D3" s="876"/>
      <c r="E3" s="876"/>
      <c r="F3" s="876"/>
      <c r="G3" s="876"/>
      <c r="H3" s="876"/>
      <c r="I3" s="877"/>
      <c r="J3" s="876"/>
      <c r="K3" s="876"/>
      <c r="L3" s="876"/>
      <c r="M3" s="876"/>
      <c r="N3" s="876"/>
      <c r="O3" s="876"/>
      <c r="P3" s="876"/>
      <c r="Q3" s="876"/>
      <c r="R3" s="876"/>
      <c r="S3" s="876"/>
      <c r="T3" s="876"/>
      <c r="U3" s="876"/>
      <c r="V3" s="876"/>
      <c r="W3" s="876"/>
      <c r="X3" s="876"/>
      <c r="Y3" s="876"/>
      <c r="Z3" s="876"/>
      <c r="AA3" s="876"/>
      <c r="AB3" s="876"/>
      <c r="AC3" s="876"/>
      <c r="AD3" s="876"/>
      <c r="AE3" s="876"/>
      <c r="AF3" s="876"/>
      <c r="AG3" s="876"/>
      <c r="AH3" s="876"/>
      <c r="AI3" s="876"/>
      <c r="AJ3" s="876"/>
      <c r="AK3" s="876"/>
      <c r="AL3" s="876"/>
      <c r="AM3" s="876"/>
      <c r="AN3" s="876"/>
      <c r="AO3" s="876"/>
      <c r="AP3" s="876"/>
      <c r="AQ3" s="876"/>
      <c r="AR3" s="876"/>
      <c r="AS3" s="876"/>
      <c r="AT3" s="876"/>
      <c r="AU3" s="876"/>
      <c r="AV3" s="876"/>
      <c r="AW3" s="876"/>
      <c r="AX3" s="876"/>
      <c r="AY3" s="876"/>
      <c r="AZ3" s="876"/>
      <c r="BA3" s="876"/>
      <c r="BB3" s="876"/>
      <c r="BC3" s="876"/>
      <c r="BD3" s="876"/>
      <c r="BE3" s="876"/>
      <c r="BF3" s="876"/>
      <c r="BG3" s="876"/>
      <c r="BH3" s="876"/>
      <c r="BI3" s="876"/>
      <c r="BJ3" s="876"/>
      <c r="BK3" s="876"/>
      <c r="BL3" s="876"/>
      <c r="BM3" s="876"/>
      <c r="BN3" s="876"/>
      <c r="BO3" s="876"/>
      <c r="BP3" s="876"/>
      <c r="BQ3" s="876"/>
      <c r="BR3" s="876"/>
      <c r="BS3" s="876"/>
      <c r="BT3" s="876"/>
      <c r="BU3" s="876"/>
      <c r="BV3" s="876"/>
      <c r="BW3" s="876"/>
      <c r="BX3" s="876"/>
      <c r="BY3" s="876"/>
      <c r="BZ3" s="876"/>
      <c r="CA3" s="876"/>
      <c r="CB3" s="876"/>
      <c r="CC3" s="876"/>
      <c r="CD3" s="876"/>
      <c r="CE3" s="876"/>
      <c r="CF3" s="876"/>
      <c r="CG3" s="876"/>
      <c r="CH3" s="876"/>
      <c r="CI3" s="876"/>
      <c r="CJ3" s="876"/>
      <c r="CK3" s="876"/>
      <c r="CL3" s="876"/>
      <c r="CM3" s="876"/>
      <c r="CN3" s="876"/>
      <c r="CO3" s="876"/>
      <c r="CP3" s="876"/>
      <c r="CQ3" s="876"/>
      <c r="CR3" s="876"/>
      <c r="CS3" s="876"/>
      <c r="CT3" s="876"/>
      <c r="CU3" s="876"/>
      <c r="CV3" s="876"/>
      <c r="CW3" s="876"/>
      <c r="CX3" s="876"/>
      <c r="CY3" s="876"/>
      <c r="CZ3" s="876"/>
      <c r="DA3" s="876"/>
      <c r="DB3" s="876"/>
      <c r="DC3" s="876"/>
      <c r="DD3" s="876"/>
      <c r="DE3" s="876"/>
      <c r="DF3" s="876"/>
      <c r="DG3" s="876"/>
      <c r="DH3" s="876"/>
      <c r="DI3" s="876"/>
      <c r="DJ3" s="876"/>
      <c r="DK3" s="876"/>
      <c r="DL3" s="876"/>
    </row>
    <row r="4" spans="1:264" s="416" customFormat="1" ht="18" customHeight="1" thickTop="1">
      <c r="A4" s="2660" t="s">
        <v>3983</v>
      </c>
      <c r="B4" s="2612" t="s">
        <v>3977</v>
      </c>
      <c r="C4" s="2612" t="s">
        <v>2126</v>
      </c>
      <c r="D4" s="2612" t="s">
        <v>3984</v>
      </c>
      <c r="E4" s="2612" t="s">
        <v>3985</v>
      </c>
      <c r="F4" s="2612" t="s">
        <v>3986</v>
      </c>
      <c r="G4" s="2612" t="s">
        <v>3987</v>
      </c>
      <c r="H4" s="2612" t="s">
        <v>2132</v>
      </c>
      <c r="I4" s="2662" t="s">
        <v>3926</v>
      </c>
      <c r="J4" s="2612" t="s">
        <v>3927</v>
      </c>
      <c r="K4" s="2654" t="s">
        <v>3928</v>
      </c>
      <c r="L4" s="2655"/>
      <c r="M4" s="2655"/>
      <c r="N4" s="2655"/>
      <c r="O4" s="2655"/>
      <c r="P4" s="2655"/>
      <c r="Q4" s="2655"/>
      <c r="R4" s="2655"/>
      <c r="S4" s="2656"/>
      <c r="T4" s="2664" t="s">
        <v>4825</v>
      </c>
      <c r="U4" s="2665"/>
      <c r="V4" s="2665"/>
      <c r="W4" s="2665"/>
      <c r="X4" s="2665"/>
      <c r="Y4" s="2665"/>
      <c r="Z4" s="2665"/>
      <c r="AA4" s="2665"/>
      <c r="AB4" s="2665"/>
      <c r="AC4" s="2665"/>
      <c r="AD4" s="2665"/>
      <c r="AE4" s="2665"/>
      <c r="AF4" s="2665"/>
      <c r="AG4" s="2665"/>
      <c r="AH4" s="2665"/>
      <c r="AI4" s="2665"/>
      <c r="AJ4" s="2665"/>
      <c r="AK4" s="2665"/>
      <c r="AL4" s="2665"/>
      <c r="AM4" s="2665"/>
      <c r="AN4" s="2665"/>
      <c r="AO4" s="2665"/>
      <c r="AP4" s="2666"/>
      <c r="AQ4" s="902" t="s">
        <v>1724</v>
      </c>
      <c r="AR4" s="902"/>
      <c r="AS4" s="902"/>
      <c r="AT4" s="902"/>
      <c r="AU4" s="902"/>
      <c r="AV4" s="902"/>
      <c r="AW4" s="902"/>
      <c r="AX4" s="902"/>
      <c r="AY4" s="903"/>
      <c r="AZ4" s="902"/>
      <c r="BA4" s="902"/>
      <c r="BB4" s="903"/>
      <c r="BC4" s="903"/>
      <c r="BD4" s="903"/>
      <c r="BE4" s="2654" t="s">
        <v>4067</v>
      </c>
      <c r="BF4" s="2655"/>
      <c r="BG4" s="2655"/>
      <c r="BH4" s="2655"/>
      <c r="BI4" s="2655"/>
      <c r="BJ4" s="2655"/>
      <c r="BK4" s="2655"/>
      <c r="BL4" s="2655"/>
      <c r="BM4" s="2655"/>
      <c r="BN4" s="2655"/>
      <c r="BO4" s="2655"/>
      <c r="BP4" s="2656"/>
      <c r="BQ4" s="2614" t="s">
        <v>3542</v>
      </c>
      <c r="BR4" s="2614" t="s">
        <v>3543</v>
      </c>
      <c r="BS4" s="2614" t="s">
        <v>3551</v>
      </c>
      <c r="BT4" s="2614" t="s">
        <v>3545</v>
      </c>
      <c r="BU4" s="2614" t="s">
        <v>3931</v>
      </c>
      <c r="BV4" s="2614" t="s">
        <v>3546</v>
      </c>
      <c r="BW4" s="2614" t="s">
        <v>3549</v>
      </c>
      <c r="BX4" s="2614" t="s">
        <v>3547</v>
      </c>
      <c r="BY4" s="2654" t="s">
        <v>4286</v>
      </c>
      <c r="BZ4" s="2655"/>
      <c r="CA4" s="2655"/>
      <c r="CB4" s="2655"/>
      <c r="CC4" s="2655"/>
      <c r="CD4" s="2655"/>
      <c r="CE4" s="2655"/>
      <c r="CF4" s="2655"/>
      <c r="CG4" s="2655"/>
      <c r="CH4" s="2656"/>
      <c r="CI4" s="2606" t="s">
        <v>4826</v>
      </c>
      <c r="CJ4" s="2606" t="s">
        <v>4827</v>
      </c>
      <c r="CK4" s="2606" t="s">
        <v>4038</v>
      </c>
      <c r="CL4" s="2606" t="s">
        <v>4828</v>
      </c>
      <c r="CM4" s="2606" t="s">
        <v>4829</v>
      </c>
      <c r="CN4" s="2606" t="s">
        <v>4830</v>
      </c>
      <c r="CO4" s="2606" t="s">
        <v>4831</v>
      </c>
      <c r="CP4" s="2606" t="s">
        <v>4832</v>
      </c>
      <c r="CQ4" s="2606" t="s">
        <v>4833</v>
      </c>
      <c r="CR4" s="2606" t="s">
        <v>4834</v>
      </c>
      <c r="CS4" s="2606" t="s">
        <v>4835</v>
      </c>
      <c r="CT4" s="2606" t="s">
        <v>4751</v>
      </c>
      <c r="CU4" s="2606" t="s">
        <v>4614</v>
      </c>
      <c r="CV4" s="2606" t="s">
        <v>4837</v>
      </c>
      <c r="CW4" s="2606" t="s">
        <v>2504</v>
      </c>
      <c r="CX4" s="2606" t="s">
        <v>2505</v>
      </c>
      <c r="CY4" s="2606" t="s">
        <v>2506</v>
      </c>
      <c r="CZ4" s="2606" t="s">
        <v>2507</v>
      </c>
      <c r="DA4" s="2606" t="s">
        <v>2508</v>
      </c>
      <c r="DB4" s="2606" t="s">
        <v>2509</v>
      </c>
      <c r="DC4" s="2606" t="s">
        <v>2510</v>
      </c>
      <c r="DD4" s="2606" t="s">
        <v>4203</v>
      </c>
      <c r="DE4" s="2606" t="s">
        <v>4059</v>
      </c>
      <c r="DF4" s="2606" t="s">
        <v>4060</v>
      </c>
      <c r="DG4" s="2606" t="s">
        <v>4061</v>
      </c>
      <c r="DH4" s="2606" t="s">
        <v>4062</v>
      </c>
      <c r="DI4" s="2606" t="s">
        <v>4063</v>
      </c>
      <c r="DJ4" s="2606" t="s">
        <v>1108</v>
      </c>
      <c r="DK4" s="2606" t="s">
        <v>4836</v>
      </c>
      <c r="DL4" s="2657" t="s">
        <v>3373</v>
      </c>
    </row>
    <row r="5" spans="1:264" s="416" customFormat="1" ht="139.5" customHeight="1">
      <c r="A5" s="2661"/>
      <c r="B5" s="2659"/>
      <c r="C5" s="2659"/>
      <c r="D5" s="2659"/>
      <c r="E5" s="2659"/>
      <c r="F5" s="2659"/>
      <c r="G5" s="2659"/>
      <c r="H5" s="2659"/>
      <c r="I5" s="2663"/>
      <c r="J5" s="2659"/>
      <c r="K5" s="533" t="s">
        <v>4174</v>
      </c>
      <c r="L5" s="533" t="s">
        <v>4175</v>
      </c>
      <c r="M5" s="533" t="s">
        <v>1438</v>
      </c>
      <c r="N5" s="533" t="s">
        <v>816</v>
      </c>
      <c r="O5" s="533" t="s">
        <v>621</v>
      </c>
      <c r="P5" s="533" t="s">
        <v>650</v>
      </c>
      <c r="Q5" s="533" t="s">
        <v>2141</v>
      </c>
      <c r="R5" s="533" t="s">
        <v>623</v>
      </c>
      <c r="S5" s="533" t="s">
        <v>2142</v>
      </c>
      <c r="T5" s="533" t="s">
        <v>1697</v>
      </c>
      <c r="U5" s="533" t="s">
        <v>2140</v>
      </c>
      <c r="V5" s="533" t="s">
        <v>515</v>
      </c>
      <c r="W5" s="533" t="s">
        <v>3710</v>
      </c>
      <c r="X5" s="533" t="s">
        <v>3711</v>
      </c>
      <c r="Y5" s="533" t="s">
        <v>646</v>
      </c>
      <c r="Z5" s="533" t="s">
        <v>338</v>
      </c>
      <c r="AA5" s="533" t="s">
        <v>4034</v>
      </c>
      <c r="AB5" s="533" t="s">
        <v>3713</v>
      </c>
      <c r="AC5" s="533" t="s">
        <v>988</v>
      </c>
      <c r="AD5" s="533" t="s">
        <v>624</v>
      </c>
      <c r="AE5" s="533" t="s">
        <v>938</v>
      </c>
      <c r="AF5" s="533" t="s">
        <v>3735</v>
      </c>
      <c r="AG5" s="533" t="s">
        <v>3736</v>
      </c>
      <c r="AH5" s="533" t="s">
        <v>3737</v>
      </c>
      <c r="AI5" s="533" t="s">
        <v>4790</v>
      </c>
      <c r="AJ5" s="533" t="s">
        <v>4789</v>
      </c>
      <c r="AK5" s="533" t="s">
        <v>298</v>
      </c>
      <c r="AL5" s="533" t="s">
        <v>1706</v>
      </c>
      <c r="AM5" s="533" t="s">
        <v>1727</v>
      </c>
      <c r="AN5" s="533" t="s">
        <v>3738</v>
      </c>
      <c r="AO5" s="533" t="s">
        <v>3739</v>
      </c>
      <c r="AP5" s="533" t="s">
        <v>1757</v>
      </c>
      <c r="AQ5" s="533" t="s">
        <v>1612</v>
      </c>
      <c r="AR5" s="533" t="s">
        <v>1611</v>
      </c>
      <c r="AS5" s="533" t="s">
        <v>1482</v>
      </c>
      <c r="AT5" s="533" t="s">
        <v>1483</v>
      </c>
      <c r="AU5" s="533" t="s">
        <v>1484</v>
      </c>
      <c r="AV5" s="533" t="s">
        <v>1833</v>
      </c>
      <c r="AW5" s="533" t="s">
        <v>1834</v>
      </c>
      <c r="AX5" s="533" t="s">
        <v>1835</v>
      </c>
      <c r="AY5" s="534" t="s">
        <v>1836</v>
      </c>
      <c r="AZ5" s="534" t="s">
        <v>676</v>
      </c>
      <c r="BA5" s="534" t="s">
        <v>1587</v>
      </c>
      <c r="BB5" s="534" t="s">
        <v>1726</v>
      </c>
      <c r="BC5" s="533" t="s">
        <v>1725</v>
      </c>
      <c r="BD5" s="533" t="s">
        <v>17</v>
      </c>
      <c r="BE5" s="533" t="s">
        <v>2042</v>
      </c>
      <c r="BF5" s="533" t="s">
        <v>2043</v>
      </c>
      <c r="BG5" s="533" t="s">
        <v>4838</v>
      </c>
      <c r="BH5" s="533" t="s">
        <v>4839</v>
      </c>
      <c r="BI5" s="533" t="s">
        <v>1759</v>
      </c>
      <c r="BJ5" s="533" t="s">
        <v>90</v>
      </c>
      <c r="BK5" s="533" t="s">
        <v>787</v>
      </c>
      <c r="BL5" s="533" t="s">
        <v>91</v>
      </c>
      <c r="BM5" s="533" t="s">
        <v>1254</v>
      </c>
      <c r="BN5" s="533" t="s">
        <v>92</v>
      </c>
      <c r="BO5" s="533" t="s">
        <v>1376</v>
      </c>
      <c r="BP5" s="533" t="s">
        <v>93</v>
      </c>
      <c r="BQ5" s="2615"/>
      <c r="BR5" s="2615"/>
      <c r="BS5" s="2615"/>
      <c r="BT5" s="2615"/>
      <c r="BU5" s="2615"/>
      <c r="BV5" s="2615"/>
      <c r="BW5" s="2615"/>
      <c r="BX5" s="2615"/>
      <c r="BY5" s="533" t="s">
        <v>3716</v>
      </c>
      <c r="BZ5" s="533" t="s">
        <v>673</v>
      </c>
      <c r="CA5" s="533" t="s">
        <v>3717</v>
      </c>
      <c r="CB5" s="533" t="s">
        <v>674</v>
      </c>
      <c r="CC5" s="533" t="s">
        <v>3719</v>
      </c>
      <c r="CD5" s="533" t="s">
        <v>3718</v>
      </c>
      <c r="CE5" s="533" t="s">
        <v>1463</v>
      </c>
      <c r="CF5" s="533" t="s">
        <v>2111</v>
      </c>
      <c r="CG5" s="533" t="s">
        <v>3720</v>
      </c>
      <c r="CH5" s="533" t="s">
        <v>79</v>
      </c>
      <c r="CI5" s="2607"/>
      <c r="CJ5" s="2607"/>
      <c r="CK5" s="2607"/>
      <c r="CL5" s="2607"/>
      <c r="CM5" s="2607"/>
      <c r="CN5" s="2607"/>
      <c r="CO5" s="2607"/>
      <c r="CP5" s="2607"/>
      <c r="CQ5" s="2607"/>
      <c r="CR5" s="2607"/>
      <c r="CS5" s="2607"/>
      <c r="CT5" s="2607"/>
      <c r="CU5" s="2607"/>
      <c r="CV5" s="2607"/>
      <c r="CW5" s="2607"/>
      <c r="CX5" s="2607"/>
      <c r="CY5" s="2607"/>
      <c r="CZ5" s="2607"/>
      <c r="DA5" s="2607"/>
      <c r="DB5" s="2607"/>
      <c r="DC5" s="2607"/>
      <c r="DD5" s="2607"/>
      <c r="DE5" s="2607"/>
      <c r="DF5" s="2607"/>
      <c r="DG5" s="2607"/>
      <c r="DH5" s="2607"/>
      <c r="DI5" s="2607"/>
      <c r="DJ5" s="2607"/>
      <c r="DK5" s="2607"/>
      <c r="DL5" s="2658"/>
    </row>
    <row r="6" spans="1:264" s="861" customFormat="1" ht="17.100000000000001" customHeight="1">
      <c r="A6" s="881" t="s">
        <v>4717</v>
      </c>
      <c r="B6" s="431"/>
      <c r="C6" s="431"/>
      <c r="D6" s="431"/>
      <c r="E6" s="431"/>
      <c r="F6" s="431"/>
      <c r="G6" s="431"/>
      <c r="H6" s="431"/>
      <c r="I6" s="878"/>
      <c r="J6" s="431"/>
      <c r="K6" s="431"/>
      <c r="L6" s="431"/>
      <c r="M6" s="431"/>
      <c r="N6" s="431"/>
      <c r="O6" s="431"/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  <c r="AA6" s="431"/>
      <c r="AB6" s="431"/>
      <c r="AC6" s="431"/>
      <c r="AD6" s="431"/>
      <c r="AE6" s="431"/>
      <c r="AF6" s="431"/>
      <c r="AG6" s="431"/>
      <c r="AH6" s="431"/>
      <c r="AI6" s="431"/>
      <c r="AJ6" s="431"/>
      <c r="AK6" s="431"/>
      <c r="AL6" s="431"/>
      <c r="AM6" s="431"/>
      <c r="AN6" s="431"/>
      <c r="AO6" s="431"/>
      <c r="AP6" s="879"/>
      <c r="AQ6" s="879"/>
      <c r="AR6" s="879"/>
      <c r="AS6" s="879"/>
      <c r="AT6" s="879"/>
      <c r="AU6" s="879"/>
      <c r="AV6" s="879"/>
      <c r="AW6" s="879"/>
      <c r="AX6" s="879"/>
      <c r="AY6" s="879"/>
      <c r="AZ6" s="879"/>
      <c r="BA6" s="879"/>
      <c r="BB6" s="879"/>
      <c r="BC6" s="879"/>
      <c r="BD6" s="879"/>
      <c r="BE6" s="879"/>
      <c r="BF6" s="879"/>
      <c r="BG6" s="879"/>
      <c r="BH6" s="879"/>
      <c r="BI6" s="879"/>
      <c r="BJ6" s="879"/>
      <c r="BK6" s="879"/>
      <c r="BL6" s="879"/>
      <c r="BM6" s="879"/>
      <c r="BN6" s="879"/>
      <c r="BO6" s="879"/>
      <c r="BP6" s="879"/>
      <c r="BQ6" s="879"/>
      <c r="BR6" s="879"/>
      <c r="BS6" s="879"/>
      <c r="BT6" s="879"/>
      <c r="BU6" s="879"/>
      <c r="BV6" s="879"/>
      <c r="BW6" s="879"/>
      <c r="BX6" s="879"/>
      <c r="BY6" s="879"/>
      <c r="BZ6" s="879"/>
      <c r="CA6" s="879"/>
      <c r="CB6" s="879"/>
      <c r="CC6" s="879"/>
      <c r="CD6" s="879"/>
      <c r="CE6" s="879"/>
      <c r="CF6" s="879"/>
      <c r="CG6" s="879"/>
      <c r="CH6" s="879"/>
      <c r="CI6" s="431"/>
      <c r="CJ6" s="431"/>
      <c r="CK6" s="431"/>
      <c r="CL6" s="431"/>
      <c r="CM6" s="431"/>
      <c r="CN6" s="431"/>
      <c r="CO6" s="431"/>
      <c r="CP6" s="431"/>
      <c r="CQ6" s="431"/>
      <c r="CR6" s="431"/>
      <c r="CS6" s="431"/>
      <c r="CT6" s="431"/>
      <c r="CU6" s="431"/>
      <c r="CV6" s="431"/>
      <c r="CW6" s="431"/>
      <c r="CX6" s="431"/>
      <c r="CY6" s="431"/>
      <c r="CZ6" s="431"/>
      <c r="DA6" s="431"/>
      <c r="DB6" s="431"/>
      <c r="DC6" s="431"/>
      <c r="DD6" s="431"/>
      <c r="DE6" s="431"/>
      <c r="DF6" s="431"/>
      <c r="DG6" s="431"/>
      <c r="DH6" s="431"/>
      <c r="DI6" s="431"/>
      <c r="DJ6" s="431"/>
      <c r="DK6" s="431"/>
      <c r="DL6" s="882"/>
      <c r="DM6" s="409"/>
      <c r="DN6" s="409"/>
      <c r="DO6" s="409"/>
      <c r="DP6" s="409"/>
      <c r="DQ6" s="409"/>
      <c r="DR6" s="409"/>
      <c r="DS6" s="409"/>
      <c r="DT6" s="409"/>
      <c r="DU6" s="409"/>
      <c r="DV6" s="409"/>
      <c r="DW6" s="409"/>
      <c r="DX6" s="409"/>
      <c r="DY6" s="409"/>
      <c r="DZ6" s="409"/>
      <c r="EA6" s="409"/>
      <c r="EB6" s="409"/>
      <c r="EC6" s="409"/>
      <c r="ED6" s="409"/>
      <c r="EE6" s="409"/>
      <c r="EF6" s="409"/>
      <c r="EG6" s="409"/>
      <c r="EH6" s="409"/>
      <c r="EI6" s="409"/>
      <c r="EJ6" s="409"/>
      <c r="EK6" s="409"/>
      <c r="EL6" s="409"/>
      <c r="EM6" s="409"/>
      <c r="EN6" s="409"/>
      <c r="EO6" s="409"/>
      <c r="EP6" s="409"/>
      <c r="EQ6" s="409"/>
      <c r="ER6" s="409"/>
      <c r="ES6" s="409"/>
      <c r="ET6" s="409"/>
      <c r="EU6" s="409"/>
      <c r="EV6" s="409"/>
      <c r="EW6" s="409"/>
      <c r="EX6" s="409"/>
      <c r="EY6" s="409"/>
      <c r="EZ6" s="409"/>
      <c r="FA6" s="409"/>
      <c r="FB6" s="409"/>
      <c r="FC6" s="409"/>
      <c r="FD6" s="409"/>
      <c r="FE6" s="409"/>
      <c r="FF6" s="409"/>
      <c r="FG6" s="409"/>
      <c r="FH6" s="409"/>
      <c r="FI6" s="409"/>
      <c r="FJ6" s="409"/>
      <c r="FK6" s="409"/>
      <c r="FL6" s="409"/>
      <c r="FM6" s="409"/>
      <c r="FN6" s="409"/>
      <c r="FO6" s="409"/>
      <c r="FP6" s="409"/>
      <c r="FQ6" s="409"/>
      <c r="FR6" s="409"/>
      <c r="FS6" s="409"/>
      <c r="FT6" s="409"/>
      <c r="FU6" s="409"/>
      <c r="FV6" s="409"/>
      <c r="FW6" s="409"/>
      <c r="FX6" s="409"/>
      <c r="FY6" s="409"/>
      <c r="FZ6" s="409"/>
      <c r="GA6" s="409"/>
      <c r="GB6" s="409"/>
      <c r="GC6" s="409"/>
      <c r="GD6" s="409"/>
      <c r="GE6" s="409"/>
      <c r="GF6" s="409"/>
      <c r="GG6" s="409"/>
      <c r="GH6" s="409"/>
      <c r="GI6" s="409"/>
      <c r="GJ6" s="409"/>
      <c r="GK6" s="409"/>
      <c r="GL6" s="409"/>
      <c r="GM6" s="409"/>
      <c r="GN6" s="409"/>
      <c r="GO6" s="409"/>
      <c r="GP6" s="409"/>
      <c r="GQ6" s="409"/>
      <c r="GR6" s="409"/>
      <c r="GS6" s="409"/>
      <c r="GT6" s="409"/>
      <c r="GU6" s="409"/>
      <c r="GV6" s="409"/>
      <c r="GW6" s="409"/>
      <c r="GX6" s="409"/>
      <c r="GY6" s="409"/>
      <c r="GZ6" s="409"/>
      <c r="HA6" s="409"/>
      <c r="HB6" s="409"/>
      <c r="HC6" s="409"/>
      <c r="HD6" s="409"/>
      <c r="HE6" s="409"/>
      <c r="HF6" s="409"/>
      <c r="HG6" s="409"/>
      <c r="HH6" s="409"/>
      <c r="HI6" s="409"/>
      <c r="HJ6" s="409"/>
      <c r="HK6" s="409"/>
      <c r="HL6" s="409"/>
      <c r="HM6" s="409"/>
      <c r="HN6" s="409"/>
      <c r="HO6" s="409"/>
      <c r="HP6" s="409"/>
      <c r="HQ6" s="409"/>
      <c r="HR6" s="409"/>
      <c r="HS6" s="409"/>
      <c r="HT6" s="409"/>
      <c r="HU6" s="409"/>
      <c r="HV6" s="409"/>
      <c r="HW6" s="409"/>
      <c r="HX6" s="409"/>
      <c r="HY6" s="409"/>
      <c r="HZ6" s="409"/>
      <c r="IA6" s="409"/>
      <c r="IB6" s="409"/>
      <c r="IC6" s="409"/>
      <c r="ID6" s="409"/>
      <c r="IE6" s="409"/>
      <c r="IF6" s="409"/>
      <c r="IG6" s="409"/>
      <c r="IH6" s="409"/>
      <c r="II6" s="409"/>
      <c r="IJ6" s="409"/>
      <c r="IK6" s="409"/>
      <c r="IL6" s="409"/>
      <c r="IM6" s="409"/>
      <c r="IN6" s="409"/>
      <c r="IO6" s="409"/>
      <c r="IP6" s="409"/>
      <c r="IQ6" s="409"/>
      <c r="IR6" s="409"/>
      <c r="IS6" s="409"/>
      <c r="IT6" s="409"/>
      <c r="IU6" s="409"/>
      <c r="IV6" s="409"/>
      <c r="IW6" s="409"/>
      <c r="IX6" s="409"/>
      <c r="IY6" s="409"/>
      <c r="IZ6" s="409"/>
      <c r="JA6" s="409"/>
      <c r="JB6" s="409"/>
      <c r="JC6" s="409"/>
      <c r="JD6" s="409"/>
    </row>
    <row r="7" spans="1:264" s="867" customFormat="1" ht="14.4" outlineLevel="1">
      <c r="A7" s="883"/>
      <c r="B7" s="885"/>
      <c r="C7" s="835"/>
      <c r="D7" s="434"/>
      <c r="E7" s="435"/>
      <c r="F7" s="435"/>
      <c r="G7" s="435"/>
      <c r="H7" s="870"/>
      <c r="I7" s="871"/>
      <c r="J7" s="864"/>
      <c r="K7" s="863"/>
      <c r="L7" s="863"/>
      <c r="M7" s="863"/>
      <c r="N7" s="863"/>
      <c r="O7" s="863"/>
      <c r="P7" s="863"/>
      <c r="Q7" s="863"/>
      <c r="R7" s="863"/>
      <c r="S7" s="863"/>
      <c r="T7" s="864"/>
      <c r="U7" s="864"/>
      <c r="V7" s="864"/>
      <c r="W7" s="864"/>
      <c r="X7" s="864"/>
      <c r="Y7" s="864"/>
      <c r="Z7" s="864"/>
      <c r="AA7" s="864"/>
      <c r="AB7" s="864"/>
      <c r="AC7" s="864"/>
      <c r="AD7" s="864"/>
      <c r="AE7" s="864"/>
      <c r="AF7" s="864"/>
      <c r="AG7" s="864"/>
      <c r="AH7" s="864"/>
      <c r="AI7" s="864"/>
      <c r="AJ7" s="864"/>
      <c r="AK7" s="864"/>
      <c r="AL7" s="864"/>
      <c r="AM7" s="864"/>
      <c r="AN7" s="435"/>
      <c r="AO7" s="864"/>
      <c r="AP7" s="864"/>
      <c r="AQ7" s="864"/>
      <c r="AR7" s="864"/>
      <c r="AS7" s="864"/>
      <c r="AT7" s="864"/>
      <c r="AU7" s="864"/>
      <c r="AV7" s="864"/>
      <c r="AW7" s="864"/>
      <c r="AX7" s="864"/>
      <c r="AY7" s="864"/>
      <c r="AZ7" s="864"/>
      <c r="BA7" s="864"/>
      <c r="BB7" s="864"/>
      <c r="BC7" s="864"/>
      <c r="BD7" s="864"/>
      <c r="BE7" s="864"/>
      <c r="BF7" s="864"/>
      <c r="BG7" s="864"/>
      <c r="BH7" s="864"/>
      <c r="BI7" s="864"/>
      <c r="BJ7" s="864"/>
      <c r="BK7" s="864"/>
      <c r="BL7" s="864"/>
      <c r="BM7" s="864"/>
      <c r="BN7" s="864"/>
      <c r="BO7" s="864"/>
      <c r="BP7" s="864"/>
      <c r="BQ7" s="864"/>
      <c r="BR7" s="864"/>
      <c r="BS7" s="864"/>
      <c r="BT7" s="864"/>
      <c r="BU7" s="864"/>
      <c r="BV7" s="864"/>
      <c r="BW7" s="864"/>
      <c r="BX7" s="864"/>
      <c r="BY7" s="864"/>
      <c r="BZ7" s="864"/>
      <c r="CA7" s="864"/>
      <c r="CB7" s="864"/>
      <c r="CC7" s="864"/>
      <c r="CD7" s="864"/>
      <c r="CE7" s="864"/>
      <c r="CF7" s="864"/>
      <c r="CG7" s="864"/>
      <c r="CH7" s="864"/>
      <c r="CI7" s="863"/>
      <c r="CJ7" s="863"/>
      <c r="CK7" s="863"/>
      <c r="CL7" s="863"/>
      <c r="CM7" s="863"/>
      <c r="CN7" s="863"/>
      <c r="CO7" s="863"/>
      <c r="CP7" s="863"/>
      <c r="CQ7" s="863"/>
      <c r="CR7" s="863"/>
      <c r="CS7" s="863"/>
      <c r="CT7" s="863"/>
      <c r="CU7" s="863"/>
      <c r="CV7" s="863"/>
      <c r="CW7" s="863"/>
      <c r="CX7" s="863"/>
      <c r="CY7" s="863"/>
      <c r="CZ7" s="863"/>
      <c r="DA7" s="863"/>
      <c r="DB7" s="863"/>
      <c r="DC7" s="863"/>
      <c r="DD7" s="863"/>
      <c r="DE7" s="863"/>
      <c r="DF7" s="863"/>
      <c r="DG7" s="863"/>
      <c r="DH7" s="863"/>
      <c r="DI7" s="863"/>
      <c r="DJ7" s="863"/>
      <c r="DK7" s="863"/>
      <c r="DL7" s="866"/>
      <c r="DN7" s="409"/>
      <c r="DO7" s="409"/>
      <c r="DP7" s="409"/>
      <c r="DQ7" s="409"/>
      <c r="DR7" s="409"/>
      <c r="DS7" s="409"/>
      <c r="DT7" s="409"/>
      <c r="DU7" s="409"/>
      <c r="DV7" s="409"/>
      <c r="DW7" s="409"/>
      <c r="DX7" s="409"/>
      <c r="DY7" s="409"/>
      <c r="DZ7" s="409"/>
      <c r="EA7" s="409"/>
      <c r="EB7" s="409"/>
      <c r="EC7" s="409"/>
      <c r="ED7" s="409"/>
      <c r="EE7" s="409"/>
      <c r="EF7" s="409"/>
      <c r="EG7" s="409"/>
      <c r="EH7" s="409"/>
      <c r="EI7" s="409"/>
      <c r="EJ7" s="409"/>
      <c r="EK7" s="409"/>
      <c r="EL7" s="409"/>
      <c r="EM7" s="409"/>
      <c r="EN7" s="409"/>
      <c r="EO7" s="409"/>
      <c r="EP7" s="409"/>
      <c r="EQ7" s="409"/>
      <c r="ER7" s="409"/>
      <c r="ES7" s="409"/>
      <c r="ET7" s="409"/>
      <c r="EU7" s="409"/>
      <c r="EV7" s="409"/>
      <c r="EW7" s="409"/>
      <c r="EX7" s="409"/>
      <c r="EY7" s="409"/>
      <c r="EZ7" s="409"/>
      <c r="FA7" s="409"/>
      <c r="FB7" s="409"/>
      <c r="FC7" s="409"/>
      <c r="FD7" s="409"/>
      <c r="FE7" s="409"/>
      <c r="FF7" s="409"/>
      <c r="FG7" s="409"/>
      <c r="FH7" s="409"/>
      <c r="FI7" s="409"/>
      <c r="FJ7" s="409"/>
      <c r="FK7" s="409"/>
      <c r="FL7" s="409"/>
      <c r="FM7" s="409"/>
      <c r="FN7" s="409"/>
      <c r="FO7" s="409"/>
      <c r="FP7" s="409"/>
      <c r="FQ7" s="409"/>
      <c r="FR7" s="409"/>
      <c r="FS7" s="409"/>
      <c r="FT7" s="409"/>
      <c r="FU7" s="409"/>
      <c r="FV7" s="409"/>
      <c r="FW7" s="409"/>
      <c r="FX7" s="409"/>
      <c r="FY7" s="409"/>
      <c r="FZ7" s="409"/>
      <c r="GA7" s="409"/>
      <c r="GB7" s="409"/>
      <c r="GC7" s="409"/>
      <c r="GD7" s="409"/>
      <c r="GE7" s="409"/>
      <c r="GF7" s="409"/>
      <c r="GG7" s="409"/>
      <c r="GH7" s="409"/>
      <c r="GI7" s="409"/>
      <c r="GJ7" s="409"/>
      <c r="GK7" s="409"/>
      <c r="GL7" s="409"/>
      <c r="GM7" s="409"/>
      <c r="GN7" s="409"/>
      <c r="GO7" s="409"/>
      <c r="GP7" s="409"/>
      <c r="GQ7" s="409"/>
      <c r="GR7" s="409"/>
      <c r="GS7" s="409"/>
      <c r="GT7" s="409"/>
      <c r="GU7" s="409"/>
      <c r="GV7" s="409"/>
      <c r="GW7" s="409"/>
      <c r="GX7" s="409"/>
      <c r="GY7" s="409"/>
      <c r="GZ7" s="409"/>
      <c r="HA7" s="409"/>
      <c r="HB7" s="409"/>
      <c r="HC7" s="409"/>
      <c r="HD7" s="409"/>
      <c r="HE7" s="409"/>
      <c r="HF7" s="409"/>
      <c r="HG7" s="409"/>
      <c r="HH7" s="409"/>
      <c r="HI7" s="409"/>
      <c r="HJ7" s="409"/>
      <c r="HK7" s="409"/>
      <c r="HL7" s="409"/>
      <c r="HM7" s="409"/>
      <c r="HN7" s="409"/>
      <c r="HO7" s="409"/>
      <c r="HP7" s="409"/>
      <c r="HQ7" s="409"/>
      <c r="HR7" s="409"/>
      <c r="HS7" s="409"/>
      <c r="HT7" s="409"/>
      <c r="HU7" s="409"/>
      <c r="HV7" s="409"/>
      <c r="HW7" s="409"/>
      <c r="HX7" s="409"/>
      <c r="HY7" s="409"/>
      <c r="HZ7" s="409"/>
      <c r="IA7" s="409"/>
      <c r="IB7" s="409"/>
      <c r="IC7" s="409"/>
      <c r="ID7" s="409"/>
      <c r="IE7" s="409"/>
      <c r="IF7" s="409"/>
      <c r="IG7" s="409"/>
      <c r="IH7" s="409"/>
      <c r="II7" s="409"/>
      <c r="IJ7" s="409"/>
      <c r="IK7" s="409"/>
      <c r="IL7" s="409"/>
      <c r="IM7" s="409"/>
      <c r="IN7" s="409"/>
      <c r="IO7" s="409"/>
      <c r="IP7" s="409"/>
      <c r="IQ7" s="409"/>
      <c r="IR7" s="409"/>
      <c r="IS7" s="409"/>
      <c r="IT7" s="409"/>
      <c r="IU7" s="409"/>
      <c r="IV7" s="409"/>
      <c r="IW7" s="409"/>
      <c r="IX7" s="409"/>
      <c r="IY7" s="409"/>
      <c r="IZ7" s="409"/>
      <c r="JA7" s="409"/>
      <c r="JB7" s="409"/>
      <c r="JC7" s="409"/>
      <c r="JD7" s="409"/>
    </row>
    <row r="8" spans="1:264" s="867" customFormat="1" ht="13.8" outlineLevel="1">
      <c r="A8" s="894"/>
      <c r="B8" s="885"/>
      <c r="C8" s="835"/>
      <c r="D8" s="885"/>
      <c r="E8" s="435"/>
      <c r="F8" s="435"/>
      <c r="G8" s="435"/>
      <c r="H8" s="870"/>
      <c r="I8" s="871"/>
      <c r="J8" s="864"/>
      <c r="K8" s="863"/>
      <c r="L8" s="863"/>
      <c r="M8" s="863"/>
      <c r="N8" s="863"/>
      <c r="O8" s="863"/>
      <c r="P8" s="863"/>
      <c r="Q8" s="863"/>
      <c r="R8" s="863"/>
      <c r="S8" s="863"/>
      <c r="T8" s="864"/>
      <c r="U8" s="864"/>
      <c r="V8" s="864"/>
      <c r="W8" s="864"/>
      <c r="X8" s="864"/>
      <c r="Y8" s="864"/>
      <c r="Z8" s="864"/>
      <c r="AA8" s="864"/>
      <c r="AB8" s="864"/>
      <c r="AC8" s="864"/>
      <c r="AD8" s="864"/>
      <c r="AE8" s="864"/>
      <c r="AF8" s="864"/>
      <c r="AG8" s="864"/>
      <c r="AH8" s="864"/>
      <c r="AI8" s="864"/>
      <c r="AJ8" s="864"/>
      <c r="AK8" s="864"/>
      <c r="AL8" s="864"/>
      <c r="AM8" s="864"/>
      <c r="AN8" s="435"/>
      <c r="AO8" s="864"/>
      <c r="AP8" s="864"/>
      <c r="AQ8" s="864"/>
      <c r="AR8" s="864"/>
      <c r="AS8" s="864"/>
      <c r="AT8" s="864"/>
      <c r="AU8" s="864"/>
      <c r="AV8" s="864"/>
      <c r="AW8" s="864"/>
      <c r="AX8" s="864"/>
      <c r="AY8" s="864"/>
      <c r="AZ8" s="864"/>
      <c r="BA8" s="864"/>
      <c r="BB8" s="864"/>
      <c r="BC8" s="864"/>
      <c r="BD8" s="864"/>
      <c r="BE8" s="864"/>
      <c r="BF8" s="864"/>
      <c r="BG8" s="864"/>
      <c r="BH8" s="864"/>
      <c r="BI8" s="864"/>
      <c r="BJ8" s="864"/>
      <c r="BK8" s="864"/>
      <c r="BL8" s="864"/>
      <c r="BM8" s="864"/>
      <c r="BN8" s="864"/>
      <c r="BO8" s="864"/>
      <c r="BP8" s="864"/>
      <c r="BQ8" s="864"/>
      <c r="BR8" s="864"/>
      <c r="BS8" s="864"/>
      <c r="BT8" s="864"/>
      <c r="BU8" s="864"/>
      <c r="BV8" s="863"/>
      <c r="BW8" s="864"/>
      <c r="BX8" s="864"/>
      <c r="BY8" s="864"/>
      <c r="BZ8" s="864"/>
      <c r="CA8" s="864"/>
      <c r="CB8" s="864"/>
      <c r="CC8" s="864"/>
      <c r="CD8" s="864"/>
      <c r="CE8" s="864"/>
      <c r="CF8" s="864"/>
      <c r="CG8" s="864"/>
      <c r="CH8" s="864"/>
      <c r="CI8" s="863"/>
      <c r="CJ8" s="863"/>
      <c r="CK8" s="863"/>
      <c r="CL8" s="863"/>
      <c r="CM8" s="863"/>
      <c r="CN8" s="863"/>
      <c r="CO8" s="863"/>
      <c r="CP8" s="863"/>
      <c r="CQ8" s="863"/>
      <c r="CR8" s="863"/>
      <c r="CS8" s="863"/>
      <c r="CT8" s="863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6"/>
      <c r="DN8" s="409"/>
      <c r="DO8" s="409"/>
      <c r="DP8" s="409"/>
      <c r="DQ8" s="409"/>
      <c r="DR8" s="409"/>
      <c r="DS8" s="409"/>
      <c r="DT8" s="409"/>
      <c r="DU8" s="409"/>
      <c r="DV8" s="409"/>
      <c r="DW8" s="409"/>
      <c r="DX8" s="409"/>
      <c r="DY8" s="409"/>
      <c r="DZ8" s="409"/>
      <c r="EA8" s="409"/>
      <c r="EB8" s="409"/>
      <c r="EC8" s="409"/>
      <c r="ED8" s="409"/>
      <c r="EE8" s="409"/>
      <c r="EF8" s="409"/>
      <c r="EG8" s="409"/>
      <c r="EH8" s="409"/>
      <c r="EI8" s="409"/>
      <c r="EJ8" s="409"/>
      <c r="EK8" s="409"/>
      <c r="EL8" s="409"/>
      <c r="EM8" s="409"/>
      <c r="EN8" s="409"/>
      <c r="EO8" s="409"/>
      <c r="EP8" s="409"/>
      <c r="EQ8" s="409"/>
      <c r="ER8" s="409"/>
      <c r="ES8" s="409"/>
      <c r="ET8" s="409"/>
      <c r="EU8" s="409"/>
      <c r="EV8" s="409"/>
      <c r="EW8" s="409"/>
      <c r="EX8" s="409"/>
      <c r="EY8" s="409"/>
      <c r="EZ8" s="409"/>
      <c r="FA8" s="409"/>
      <c r="FB8" s="409"/>
      <c r="FC8" s="409"/>
      <c r="FD8" s="409"/>
      <c r="FE8" s="409"/>
      <c r="FF8" s="409"/>
      <c r="FG8" s="409"/>
      <c r="FH8" s="409"/>
      <c r="FI8" s="409"/>
      <c r="FJ8" s="409"/>
      <c r="FK8" s="409"/>
      <c r="FL8" s="409"/>
      <c r="FM8" s="409"/>
      <c r="FN8" s="409"/>
      <c r="FO8" s="409"/>
      <c r="FP8" s="409"/>
      <c r="FQ8" s="409"/>
      <c r="FR8" s="409"/>
      <c r="FS8" s="409"/>
      <c r="FT8" s="409"/>
      <c r="FU8" s="409"/>
      <c r="FV8" s="409"/>
      <c r="FW8" s="409"/>
      <c r="FX8" s="409"/>
      <c r="FY8" s="409"/>
      <c r="FZ8" s="409"/>
      <c r="GA8" s="409"/>
      <c r="GB8" s="409"/>
      <c r="GC8" s="409"/>
      <c r="GD8" s="409"/>
      <c r="GE8" s="409"/>
      <c r="GF8" s="409"/>
      <c r="GG8" s="409"/>
      <c r="GH8" s="409"/>
      <c r="GI8" s="409"/>
      <c r="GJ8" s="409"/>
      <c r="GK8" s="409"/>
      <c r="GL8" s="409"/>
      <c r="GM8" s="409"/>
      <c r="GN8" s="409"/>
      <c r="GO8" s="409"/>
      <c r="GP8" s="409"/>
      <c r="GQ8" s="409"/>
      <c r="GR8" s="409"/>
      <c r="GS8" s="409"/>
      <c r="GT8" s="409"/>
      <c r="GU8" s="409"/>
      <c r="GV8" s="409"/>
      <c r="GW8" s="409"/>
      <c r="GX8" s="409"/>
      <c r="GY8" s="409"/>
      <c r="GZ8" s="409"/>
      <c r="HA8" s="409"/>
      <c r="HB8" s="409"/>
      <c r="HC8" s="409"/>
      <c r="HD8" s="409"/>
      <c r="HE8" s="409"/>
      <c r="HF8" s="409"/>
      <c r="HG8" s="409"/>
      <c r="HH8" s="409"/>
      <c r="HI8" s="409"/>
      <c r="HJ8" s="409"/>
      <c r="HK8" s="409"/>
      <c r="HL8" s="409"/>
      <c r="HM8" s="409"/>
      <c r="HN8" s="409"/>
      <c r="HO8" s="409"/>
      <c r="HP8" s="409"/>
      <c r="HQ8" s="409"/>
      <c r="HR8" s="409"/>
      <c r="HS8" s="409"/>
      <c r="HT8" s="409"/>
      <c r="HU8" s="409"/>
      <c r="HV8" s="409"/>
      <c r="HW8" s="409"/>
      <c r="HX8" s="409"/>
      <c r="HY8" s="409"/>
      <c r="HZ8" s="409"/>
      <c r="IA8" s="409"/>
      <c r="IB8" s="409"/>
      <c r="IC8" s="409"/>
      <c r="ID8" s="409"/>
      <c r="IE8" s="409"/>
      <c r="IF8" s="409"/>
      <c r="IG8" s="409"/>
      <c r="IH8" s="409"/>
      <c r="II8" s="409"/>
      <c r="IJ8" s="409"/>
      <c r="IK8" s="409"/>
      <c r="IL8" s="409"/>
      <c r="IM8" s="409"/>
      <c r="IN8" s="409"/>
      <c r="IO8" s="409"/>
      <c r="IP8" s="409"/>
      <c r="IQ8" s="409"/>
      <c r="IR8" s="409"/>
      <c r="IS8" s="409"/>
      <c r="IT8" s="409"/>
      <c r="IU8" s="409"/>
      <c r="IV8" s="409"/>
      <c r="IW8" s="409"/>
      <c r="IX8" s="409"/>
      <c r="IY8" s="409"/>
      <c r="IZ8" s="409"/>
      <c r="JA8" s="409"/>
      <c r="JB8" s="409"/>
      <c r="JC8" s="409"/>
      <c r="JD8" s="409"/>
    </row>
    <row r="9" spans="1:264" s="867" customFormat="1" ht="13.8" outlineLevel="1">
      <c r="A9" s="895"/>
      <c r="B9" s="885"/>
      <c r="C9" s="835"/>
      <c r="D9" s="885"/>
      <c r="E9" s="864"/>
      <c r="F9" s="864"/>
      <c r="G9" s="864"/>
      <c r="H9" s="862"/>
      <c r="I9" s="865"/>
      <c r="J9" s="864"/>
      <c r="K9" s="863"/>
      <c r="L9" s="863"/>
      <c r="M9" s="863"/>
      <c r="N9" s="863"/>
      <c r="O9" s="863"/>
      <c r="P9" s="863"/>
      <c r="Q9" s="863"/>
      <c r="R9" s="863"/>
      <c r="S9" s="863"/>
      <c r="T9" s="864"/>
      <c r="U9" s="864"/>
      <c r="V9" s="864"/>
      <c r="W9" s="864"/>
      <c r="X9" s="864"/>
      <c r="Y9" s="864"/>
      <c r="Z9" s="864"/>
      <c r="AA9" s="864"/>
      <c r="AB9" s="864"/>
      <c r="AC9" s="864"/>
      <c r="AD9" s="864"/>
      <c r="AE9" s="864"/>
      <c r="AF9" s="864"/>
      <c r="AG9" s="864"/>
      <c r="AH9" s="864"/>
      <c r="AI9" s="864"/>
      <c r="AJ9" s="864"/>
      <c r="AK9" s="864"/>
      <c r="AL9" s="864"/>
      <c r="AM9" s="864"/>
      <c r="AN9" s="864"/>
      <c r="AO9" s="864"/>
      <c r="AP9" s="864"/>
      <c r="AQ9" s="864"/>
      <c r="AR9" s="864"/>
      <c r="AS9" s="864"/>
      <c r="AT9" s="864"/>
      <c r="AU9" s="864"/>
      <c r="AV9" s="864"/>
      <c r="AW9" s="864"/>
      <c r="AX9" s="864"/>
      <c r="AY9" s="864"/>
      <c r="AZ9" s="864"/>
      <c r="BA9" s="864"/>
      <c r="BB9" s="864"/>
      <c r="BC9" s="864"/>
      <c r="BD9" s="864"/>
      <c r="BE9" s="864"/>
      <c r="BF9" s="864"/>
      <c r="BG9" s="864"/>
      <c r="BH9" s="864"/>
      <c r="BI9" s="864"/>
      <c r="BJ9" s="864"/>
      <c r="BK9" s="864"/>
      <c r="BL9" s="864"/>
      <c r="BM9" s="864"/>
      <c r="BN9" s="864"/>
      <c r="BO9" s="864"/>
      <c r="BP9" s="864"/>
      <c r="BQ9" s="864"/>
      <c r="BR9" s="864"/>
      <c r="BS9" s="864"/>
      <c r="BT9" s="864"/>
      <c r="BU9" s="864"/>
      <c r="BV9" s="863"/>
      <c r="BW9" s="864"/>
      <c r="BX9" s="864"/>
      <c r="BY9" s="864"/>
      <c r="BZ9" s="864"/>
      <c r="CA9" s="864"/>
      <c r="CB9" s="864"/>
      <c r="CC9" s="864"/>
      <c r="CD9" s="864"/>
      <c r="CE9" s="864"/>
      <c r="CF9" s="864"/>
      <c r="CG9" s="864"/>
      <c r="CH9" s="864"/>
      <c r="CI9" s="863"/>
      <c r="CJ9" s="863"/>
      <c r="CK9" s="863"/>
      <c r="CL9" s="863"/>
      <c r="CM9" s="863"/>
      <c r="CN9" s="863"/>
      <c r="CO9" s="863"/>
      <c r="CP9" s="863"/>
      <c r="CQ9" s="863"/>
      <c r="CR9" s="863"/>
      <c r="CS9" s="863"/>
      <c r="CT9" s="863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6"/>
      <c r="DN9" s="409"/>
      <c r="DO9" s="409"/>
      <c r="DP9" s="409"/>
      <c r="DQ9" s="409"/>
      <c r="DR9" s="409"/>
      <c r="DS9" s="409"/>
      <c r="DT9" s="409"/>
      <c r="DU9" s="409"/>
      <c r="DV9" s="409"/>
      <c r="DW9" s="409"/>
      <c r="DX9" s="409"/>
      <c r="DY9" s="409"/>
      <c r="DZ9" s="409"/>
      <c r="EA9" s="409"/>
      <c r="EB9" s="409"/>
      <c r="EC9" s="409"/>
      <c r="ED9" s="409"/>
      <c r="EE9" s="409"/>
      <c r="EF9" s="409"/>
      <c r="EG9" s="409"/>
      <c r="EH9" s="409"/>
      <c r="EI9" s="409"/>
      <c r="EJ9" s="409"/>
      <c r="EK9" s="409"/>
      <c r="EL9" s="409"/>
      <c r="EM9" s="409"/>
      <c r="EN9" s="409"/>
      <c r="EO9" s="409"/>
      <c r="EP9" s="409"/>
      <c r="EQ9" s="409"/>
      <c r="ER9" s="409"/>
      <c r="ES9" s="409"/>
      <c r="ET9" s="409"/>
      <c r="EU9" s="409"/>
      <c r="EV9" s="409"/>
      <c r="EW9" s="409"/>
      <c r="EX9" s="409"/>
      <c r="EY9" s="409"/>
      <c r="EZ9" s="409"/>
      <c r="FA9" s="409"/>
      <c r="FB9" s="409"/>
      <c r="FC9" s="409"/>
      <c r="FD9" s="409"/>
      <c r="FE9" s="409"/>
      <c r="FF9" s="409"/>
      <c r="FG9" s="409"/>
      <c r="FH9" s="409"/>
      <c r="FI9" s="409"/>
      <c r="FJ9" s="409"/>
      <c r="FK9" s="409"/>
      <c r="FL9" s="409"/>
      <c r="FM9" s="409"/>
      <c r="FN9" s="409"/>
      <c r="FO9" s="409"/>
      <c r="FP9" s="409"/>
      <c r="FQ9" s="409"/>
      <c r="FR9" s="409"/>
      <c r="FS9" s="409"/>
      <c r="FT9" s="409"/>
      <c r="FU9" s="409"/>
      <c r="FV9" s="409"/>
      <c r="FW9" s="409"/>
      <c r="FX9" s="409"/>
      <c r="FY9" s="409"/>
      <c r="FZ9" s="409"/>
      <c r="GA9" s="409"/>
      <c r="GB9" s="409"/>
      <c r="GC9" s="409"/>
      <c r="GD9" s="409"/>
      <c r="GE9" s="409"/>
      <c r="GF9" s="409"/>
      <c r="GG9" s="409"/>
      <c r="GH9" s="409"/>
      <c r="GI9" s="409"/>
      <c r="GJ9" s="409"/>
      <c r="GK9" s="409"/>
      <c r="GL9" s="409"/>
      <c r="GM9" s="409"/>
      <c r="GN9" s="409"/>
      <c r="GO9" s="409"/>
      <c r="GP9" s="409"/>
      <c r="GQ9" s="409"/>
      <c r="GR9" s="409"/>
      <c r="GS9" s="409"/>
      <c r="GT9" s="409"/>
      <c r="GU9" s="409"/>
      <c r="GV9" s="409"/>
      <c r="GW9" s="409"/>
      <c r="GX9" s="409"/>
      <c r="GY9" s="409"/>
      <c r="GZ9" s="409"/>
      <c r="HA9" s="409"/>
      <c r="HB9" s="409"/>
      <c r="HC9" s="409"/>
      <c r="HD9" s="409"/>
      <c r="HE9" s="409"/>
      <c r="HF9" s="409"/>
      <c r="HG9" s="409"/>
      <c r="HH9" s="409"/>
      <c r="HI9" s="409"/>
      <c r="HJ9" s="409"/>
      <c r="HK9" s="409"/>
      <c r="HL9" s="409"/>
      <c r="HM9" s="409"/>
      <c r="HN9" s="409"/>
      <c r="HO9" s="409"/>
      <c r="HP9" s="409"/>
      <c r="HQ9" s="409"/>
      <c r="HR9" s="409"/>
      <c r="HS9" s="409"/>
      <c r="HT9" s="409"/>
      <c r="HU9" s="409"/>
      <c r="HV9" s="409"/>
      <c r="HW9" s="409"/>
      <c r="HX9" s="409"/>
      <c r="HY9" s="409"/>
      <c r="HZ9" s="409"/>
      <c r="IA9" s="409"/>
      <c r="IB9" s="409"/>
      <c r="IC9" s="409"/>
      <c r="ID9" s="409"/>
      <c r="IE9" s="409"/>
      <c r="IF9" s="409"/>
      <c r="IG9" s="409"/>
      <c r="IH9" s="409"/>
      <c r="II9" s="409"/>
      <c r="IJ9" s="409"/>
      <c r="IK9" s="409"/>
      <c r="IL9" s="409"/>
      <c r="IM9" s="409"/>
      <c r="IN9" s="409"/>
      <c r="IO9" s="409"/>
      <c r="IP9" s="409"/>
      <c r="IQ9" s="409"/>
      <c r="IR9" s="409"/>
      <c r="IS9" s="409"/>
      <c r="IT9" s="409"/>
      <c r="IU9" s="409"/>
      <c r="IV9" s="409"/>
      <c r="IW9" s="409"/>
      <c r="IX9" s="409"/>
      <c r="IY9" s="409"/>
      <c r="IZ9" s="409"/>
      <c r="JA9" s="409"/>
      <c r="JB9" s="409"/>
      <c r="JC9" s="409"/>
      <c r="JD9" s="409"/>
    </row>
    <row r="10" spans="1:264" s="867" customFormat="1" ht="13.8" outlineLevel="1">
      <c r="A10" s="895"/>
      <c r="B10" s="885"/>
      <c r="C10" s="835"/>
      <c r="D10" s="885"/>
      <c r="E10" s="864"/>
      <c r="F10" s="864"/>
      <c r="G10" s="864"/>
      <c r="H10" s="862"/>
      <c r="I10" s="865"/>
      <c r="J10" s="864"/>
      <c r="K10" s="863"/>
      <c r="L10" s="863"/>
      <c r="M10" s="863"/>
      <c r="N10" s="863"/>
      <c r="O10" s="863"/>
      <c r="P10" s="863"/>
      <c r="Q10" s="863"/>
      <c r="R10" s="863"/>
      <c r="S10" s="863"/>
      <c r="T10" s="864"/>
      <c r="U10" s="864"/>
      <c r="V10" s="864"/>
      <c r="W10" s="864"/>
      <c r="X10" s="864"/>
      <c r="Y10" s="864"/>
      <c r="Z10" s="864"/>
      <c r="AA10" s="864"/>
      <c r="AB10" s="864"/>
      <c r="AC10" s="864"/>
      <c r="AD10" s="864"/>
      <c r="AE10" s="864"/>
      <c r="AF10" s="864"/>
      <c r="AG10" s="864"/>
      <c r="AH10" s="864"/>
      <c r="AI10" s="864"/>
      <c r="AJ10" s="864"/>
      <c r="AK10" s="864"/>
      <c r="AL10" s="864"/>
      <c r="AM10" s="864"/>
      <c r="AN10" s="864"/>
      <c r="AO10" s="864"/>
      <c r="AP10" s="864"/>
      <c r="AQ10" s="864"/>
      <c r="AR10" s="864"/>
      <c r="AS10" s="864"/>
      <c r="AT10" s="864"/>
      <c r="AU10" s="864"/>
      <c r="AV10" s="864"/>
      <c r="AW10" s="864"/>
      <c r="AX10" s="864"/>
      <c r="AY10" s="864"/>
      <c r="AZ10" s="864"/>
      <c r="BA10" s="864"/>
      <c r="BB10" s="864"/>
      <c r="BC10" s="864"/>
      <c r="BD10" s="864"/>
      <c r="BE10" s="864"/>
      <c r="BF10" s="864"/>
      <c r="BG10" s="864"/>
      <c r="BH10" s="864"/>
      <c r="BI10" s="864"/>
      <c r="BJ10" s="864"/>
      <c r="BK10" s="864"/>
      <c r="BL10" s="864"/>
      <c r="BM10" s="864"/>
      <c r="BN10" s="864"/>
      <c r="BO10" s="864"/>
      <c r="BP10" s="864"/>
      <c r="BQ10" s="864"/>
      <c r="BR10" s="864"/>
      <c r="BS10" s="864"/>
      <c r="BT10" s="864"/>
      <c r="BU10" s="864"/>
      <c r="BV10" s="863"/>
      <c r="BW10" s="864"/>
      <c r="BX10" s="864"/>
      <c r="BY10" s="864"/>
      <c r="BZ10" s="864"/>
      <c r="CA10" s="864"/>
      <c r="CB10" s="864"/>
      <c r="CC10" s="864"/>
      <c r="CD10" s="864"/>
      <c r="CE10" s="864"/>
      <c r="CF10" s="864"/>
      <c r="CG10" s="864"/>
      <c r="CH10" s="864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  <c r="DC10" s="863"/>
      <c r="DD10" s="863"/>
      <c r="DE10" s="863"/>
      <c r="DF10" s="863"/>
      <c r="DG10" s="863"/>
      <c r="DH10" s="863"/>
      <c r="DI10" s="863"/>
      <c r="DJ10" s="863"/>
      <c r="DK10" s="863"/>
      <c r="DL10" s="866"/>
      <c r="DN10" s="409"/>
      <c r="DO10" s="409"/>
      <c r="DP10" s="409"/>
      <c r="DQ10" s="409"/>
      <c r="DR10" s="409"/>
      <c r="DS10" s="409"/>
      <c r="DT10" s="409"/>
      <c r="DU10" s="409"/>
      <c r="DV10" s="409"/>
      <c r="DW10" s="409"/>
      <c r="DX10" s="409"/>
      <c r="DY10" s="409"/>
      <c r="DZ10" s="409"/>
      <c r="EA10" s="409"/>
      <c r="EB10" s="409"/>
      <c r="EC10" s="409"/>
      <c r="ED10" s="409"/>
      <c r="EE10" s="409"/>
      <c r="EF10" s="409"/>
      <c r="EG10" s="409"/>
      <c r="EH10" s="409"/>
      <c r="EI10" s="409"/>
      <c r="EJ10" s="409"/>
      <c r="EK10" s="409"/>
      <c r="EL10" s="409"/>
      <c r="EM10" s="409"/>
      <c r="EN10" s="409"/>
      <c r="EO10" s="409"/>
      <c r="EP10" s="409"/>
      <c r="EQ10" s="409"/>
      <c r="ER10" s="409"/>
      <c r="ES10" s="409"/>
      <c r="ET10" s="409"/>
      <c r="EU10" s="409"/>
      <c r="EV10" s="409"/>
      <c r="EW10" s="409"/>
      <c r="EX10" s="409"/>
      <c r="EY10" s="409"/>
      <c r="EZ10" s="409"/>
      <c r="FA10" s="409"/>
      <c r="FB10" s="409"/>
      <c r="FC10" s="409"/>
      <c r="FD10" s="409"/>
      <c r="FE10" s="409"/>
      <c r="FF10" s="409"/>
      <c r="FG10" s="409"/>
      <c r="FH10" s="409"/>
      <c r="FI10" s="409"/>
      <c r="FJ10" s="409"/>
      <c r="FK10" s="409"/>
      <c r="FL10" s="409"/>
      <c r="FM10" s="409"/>
      <c r="FN10" s="409"/>
      <c r="FO10" s="409"/>
      <c r="FP10" s="409"/>
      <c r="FQ10" s="409"/>
      <c r="FR10" s="409"/>
      <c r="FS10" s="409"/>
      <c r="FT10" s="409"/>
      <c r="FU10" s="409"/>
      <c r="FV10" s="409"/>
      <c r="FW10" s="409"/>
      <c r="FX10" s="409"/>
      <c r="FY10" s="409"/>
      <c r="FZ10" s="409"/>
      <c r="GA10" s="409"/>
      <c r="GB10" s="409"/>
      <c r="GC10" s="409"/>
      <c r="GD10" s="409"/>
      <c r="GE10" s="409"/>
      <c r="GF10" s="409"/>
      <c r="GG10" s="409"/>
      <c r="GH10" s="409"/>
      <c r="GI10" s="409"/>
      <c r="GJ10" s="409"/>
      <c r="GK10" s="409"/>
      <c r="GL10" s="409"/>
      <c r="GM10" s="409"/>
      <c r="GN10" s="409"/>
      <c r="GO10" s="409"/>
      <c r="GP10" s="409"/>
      <c r="GQ10" s="409"/>
      <c r="GR10" s="409"/>
      <c r="GS10" s="409"/>
      <c r="GT10" s="409"/>
      <c r="GU10" s="409"/>
      <c r="GV10" s="409"/>
      <c r="GW10" s="409"/>
      <c r="GX10" s="409"/>
      <c r="GY10" s="409"/>
      <c r="GZ10" s="409"/>
      <c r="HA10" s="409"/>
      <c r="HB10" s="409"/>
      <c r="HC10" s="409"/>
      <c r="HD10" s="409"/>
      <c r="HE10" s="409"/>
      <c r="HF10" s="409"/>
      <c r="HG10" s="409"/>
      <c r="HH10" s="409"/>
      <c r="HI10" s="409"/>
      <c r="HJ10" s="409"/>
      <c r="HK10" s="409"/>
      <c r="HL10" s="409"/>
      <c r="HM10" s="409"/>
      <c r="HN10" s="409"/>
      <c r="HO10" s="409"/>
      <c r="HP10" s="409"/>
      <c r="HQ10" s="409"/>
      <c r="HR10" s="409"/>
      <c r="HS10" s="409"/>
      <c r="HT10" s="409"/>
      <c r="HU10" s="409"/>
      <c r="HV10" s="409"/>
      <c r="HW10" s="409"/>
      <c r="HX10" s="409"/>
      <c r="HY10" s="409"/>
      <c r="HZ10" s="409"/>
      <c r="IA10" s="409"/>
      <c r="IB10" s="409"/>
      <c r="IC10" s="409"/>
      <c r="ID10" s="409"/>
      <c r="IE10" s="409"/>
      <c r="IF10" s="409"/>
      <c r="IG10" s="409"/>
      <c r="IH10" s="409"/>
      <c r="II10" s="409"/>
      <c r="IJ10" s="409"/>
      <c r="IK10" s="409"/>
      <c r="IL10" s="409"/>
      <c r="IM10" s="409"/>
      <c r="IN10" s="409"/>
      <c r="IO10" s="409"/>
      <c r="IP10" s="409"/>
      <c r="IQ10" s="409"/>
      <c r="IR10" s="409"/>
      <c r="IS10" s="409"/>
      <c r="IT10" s="409"/>
      <c r="IU10" s="409"/>
      <c r="IV10" s="409"/>
      <c r="IW10" s="409"/>
      <c r="IX10" s="409"/>
      <c r="IY10" s="409"/>
      <c r="IZ10" s="409"/>
      <c r="JA10" s="409"/>
      <c r="JB10" s="409"/>
      <c r="JC10" s="409"/>
      <c r="JD10" s="409"/>
    </row>
    <row r="11" spans="1:264" s="867" customFormat="1" ht="13.8" outlineLevel="1">
      <c r="A11" s="895"/>
      <c r="B11" s="885"/>
      <c r="C11" s="835"/>
      <c r="D11" s="885"/>
      <c r="E11" s="864"/>
      <c r="F11" s="864"/>
      <c r="G11" s="864"/>
      <c r="H11" s="862"/>
      <c r="I11" s="865"/>
      <c r="J11" s="864"/>
      <c r="K11" s="863"/>
      <c r="L11" s="863"/>
      <c r="M11" s="863"/>
      <c r="N11" s="863"/>
      <c r="O11" s="863"/>
      <c r="P11" s="863"/>
      <c r="Q11" s="863"/>
      <c r="R11" s="863"/>
      <c r="S11" s="863"/>
      <c r="T11" s="864"/>
      <c r="U11" s="864"/>
      <c r="V11" s="864"/>
      <c r="W11" s="864"/>
      <c r="X11" s="864"/>
      <c r="Y11" s="864"/>
      <c r="Z11" s="864"/>
      <c r="AA11" s="864"/>
      <c r="AB11" s="864"/>
      <c r="AC11" s="864"/>
      <c r="AD11" s="864"/>
      <c r="AE11" s="864"/>
      <c r="AF11" s="864"/>
      <c r="AG11" s="864"/>
      <c r="AH11" s="864"/>
      <c r="AI11" s="864"/>
      <c r="AJ11" s="864"/>
      <c r="AK11" s="864"/>
      <c r="AL11" s="864"/>
      <c r="AM11" s="864"/>
      <c r="AN11" s="864"/>
      <c r="AO11" s="864"/>
      <c r="AP11" s="864"/>
      <c r="AQ11" s="864"/>
      <c r="AR11" s="864"/>
      <c r="AS11" s="864"/>
      <c r="AT11" s="864"/>
      <c r="AU11" s="864"/>
      <c r="AV11" s="864"/>
      <c r="AW11" s="864"/>
      <c r="AX11" s="864"/>
      <c r="AY11" s="864"/>
      <c r="AZ11" s="864"/>
      <c r="BA11" s="864"/>
      <c r="BB11" s="864"/>
      <c r="BC11" s="864"/>
      <c r="BD11" s="864"/>
      <c r="BE11" s="864"/>
      <c r="BF11" s="864"/>
      <c r="BG11" s="864"/>
      <c r="BH11" s="864"/>
      <c r="BI11" s="864"/>
      <c r="BJ11" s="864"/>
      <c r="BK11" s="864"/>
      <c r="BL11" s="864"/>
      <c r="BM11" s="864"/>
      <c r="BN11" s="864"/>
      <c r="BO11" s="864"/>
      <c r="BP11" s="864"/>
      <c r="BQ11" s="864"/>
      <c r="BR11" s="864"/>
      <c r="BS11" s="864"/>
      <c r="BT11" s="864"/>
      <c r="BU11" s="864"/>
      <c r="BV11" s="863"/>
      <c r="BW11" s="864"/>
      <c r="BX11" s="864"/>
      <c r="BY11" s="864"/>
      <c r="BZ11" s="864"/>
      <c r="CA11" s="864"/>
      <c r="CB11" s="864"/>
      <c r="CC11" s="864"/>
      <c r="CD11" s="864"/>
      <c r="CE11" s="864"/>
      <c r="CF11" s="864"/>
      <c r="CG11" s="864"/>
      <c r="CH11" s="864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C11" s="863"/>
      <c r="DD11" s="863"/>
      <c r="DE11" s="863"/>
      <c r="DF11" s="863"/>
      <c r="DG11" s="863"/>
      <c r="DH11" s="863"/>
      <c r="DI11" s="863"/>
      <c r="DJ11" s="863"/>
      <c r="DK11" s="863"/>
      <c r="DL11" s="866"/>
      <c r="DN11" s="409"/>
      <c r="DO11" s="409"/>
      <c r="DP11" s="409"/>
      <c r="DQ11" s="409"/>
      <c r="DR11" s="409"/>
      <c r="DS11" s="409"/>
      <c r="DT11" s="409"/>
      <c r="DU11" s="409"/>
      <c r="DV11" s="409"/>
      <c r="DW11" s="409"/>
      <c r="DX11" s="409"/>
      <c r="DY11" s="409"/>
      <c r="DZ11" s="409"/>
      <c r="EA11" s="409"/>
      <c r="EB11" s="409"/>
      <c r="EC11" s="409"/>
      <c r="ED11" s="409"/>
      <c r="EE11" s="409"/>
      <c r="EF11" s="409"/>
      <c r="EG11" s="409"/>
      <c r="EH11" s="409"/>
      <c r="EI11" s="409"/>
      <c r="EJ11" s="409"/>
      <c r="EK11" s="409"/>
      <c r="EL11" s="409"/>
      <c r="EM11" s="409"/>
      <c r="EN11" s="409"/>
      <c r="EO11" s="409"/>
      <c r="EP11" s="409"/>
      <c r="EQ11" s="409"/>
      <c r="ER11" s="409"/>
      <c r="ES11" s="409"/>
      <c r="ET11" s="409"/>
      <c r="EU11" s="409"/>
      <c r="EV11" s="409"/>
      <c r="EW11" s="409"/>
      <c r="EX11" s="409"/>
      <c r="EY11" s="409"/>
      <c r="EZ11" s="409"/>
      <c r="FA11" s="409"/>
      <c r="FB11" s="409"/>
      <c r="FC11" s="409"/>
      <c r="FD11" s="409"/>
      <c r="FE11" s="409"/>
      <c r="FF11" s="409"/>
      <c r="FG11" s="409"/>
      <c r="FH11" s="409"/>
      <c r="FI11" s="409"/>
      <c r="FJ11" s="409"/>
      <c r="FK11" s="409"/>
      <c r="FL11" s="409"/>
      <c r="FM11" s="409"/>
      <c r="FN11" s="409"/>
      <c r="FO11" s="409"/>
      <c r="FP11" s="409"/>
      <c r="FQ11" s="409"/>
      <c r="FR11" s="409"/>
      <c r="FS11" s="409"/>
      <c r="FT11" s="409"/>
      <c r="FU11" s="409"/>
      <c r="FV11" s="409"/>
      <c r="FW11" s="409"/>
      <c r="FX11" s="409"/>
      <c r="FY11" s="409"/>
      <c r="FZ11" s="409"/>
      <c r="GA11" s="409"/>
      <c r="GB11" s="409"/>
      <c r="GC11" s="409"/>
      <c r="GD11" s="409"/>
      <c r="GE11" s="409"/>
      <c r="GF11" s="409"/>
      <c r="GG11" s="409"/>
      <c r="GH11" s="409"/>
      <c r="GI11" s="409"/>
      <c r="GJ11" s="409"/>
      <c r="GK11" s="409"/>
      <c r="GL11" s="409"/>
      <c r="GM11" s="409"/>
      <c r="GN11" s="409"/>
      <c r="GO11" s="409"/>
      <c r="GP11" s="409"/>
      <c r="GQ11" s="409"/>
      <c r="GR11" s="409"/>
      <c r="GS11" s="409"/>
      <c r="GT11" s="409"/>
      <c r="GU11" s="409"/>
      <c r="GV11" s="409"/>
      <c r="GW11" s="409"/>
      <c r="GX11" s="409"/>
      <c r="GY11" s="409"/>
      <c r="GZ11" s="409"/>
      <c r="HA11" s="409"/>
      <c r="HB11" s="409"/>
      <c r="HC11" s="409"/>
      <c r="HD11" s="409"/>
      <c r="HE11" s="409"/>
      <c r="HF11" s="409"/>
      <c r="HG11" s="409"/>
      <c r="HH11" s="409"/>
      <c r="HI11" s="409"/>
      <c r="HJ11" s="409"/>
      <c r="HK11" s="409"/>
      <c r="HL11" s="409"/>
      <c r="HM11" s="409"/>
      <c r="HN11" s="409"/>
      <c r="HO11" s="409"/>
      <c r="HP11" s="409"/>
      <c r="HQ11" s="409"/>
      <c r="HR11" s="409"/>
      <c r="HS11" s="409"/>
      <c r="HT11" s="409"/>
      <c r="HU11" s="409"/>
      <c r="HV11" s="409"/>
      <c r="HW11" s="409"/>
      <c r="HX11" s="409"/>
      <c r="HY11" s="409"/>
      <c r="HZ11" s="409"/>
      <c r="IA11" s="409"/>
      <c r="IB11" s="409"/>
      <c r="IC11" s="409"/>
      <c r="ID11" s="409"/>
      <c r="IE11" s="409"/>
      <c r="IF11" s="409"/>
      <c r="IG11" s="409"/>
      <c r="IH11" s="409"/>
      <c r="II11" s="409"/>
      <c r="IJ11" s="409"/>
      <c r="IK11" s="409"/>
      <c r="IL11" s="409"/>
      <c r="IM11" s="409"/>
      <c r="IN11" s="409"/>
      <c r="IO11" s="409"/>
      <c r="IP11" s="409"/>
      <c r="IQ11" s="409"/>
      <c r="IR11" s="409"/>
      <c r="IS11" s="409"/>
      <c r="IT11" s="409"/>
      <c r="IU11" s="409"/>
      <c r="IV11" s="409"/>
      <c r="IW11" s="409"/>
      <c r="IX11" s="409"/>
      <c r="IY11" s="409"/>
      <c r="IZ11" s="409"/>
      <c r="JA11" s="409"/>
      <c r="JB11" s="409"/>
      <c r="JC11" s="409"/>
      <c r="JD11" s="409"/>
    </row>
    <row r="12" spans="1:264" s="867" customFormat="1" ht="13.8" outlineLevel="1">
      <c r="A12" s="895"/>
      <c r="B12" s="885"/>
      <c r="C12" s="835"/>
      <c r="D12" s="885"/>
      <c r="E12" s="864"/>
      <c r="F12" s="864"/>
      <c r="G12" s="864"/>
      <c r="H12" s="862"/>
      <c r="I12" s="865"/>
      <c r="J12" s="864"/>
      <c r="K12" s="863"/>
      <c r="L12" s="863"/>
      <c r="M12" s="863"/>
      <c r="N12" s="863"/>
      <c r="O12" s="863"/>
      <c r="P12" s="863"/>
      <c r="Q12" s="863"/>
      <c r="R12" s="863"/>
      <c r="S12" s="863"/>
      <c r="T12" s="864"/>
      <c r="U12" s="864"/>
      <c r="V12" s="864"/>
      <c r="W12" s="864"/>
      <c r="X12" s="864"/>
      <c r="Y12" s="864"/>
      <c r="Z12" s="864"/>
      <c r="AA12" s="864"/>
      <c r="AB12" s="864"/>
      <c r="AC12" s="864"/>
      <c r="AD12" s="864"/>
      <c r="AE12" s="864"/>
      <c r="AF12" s="864"/>
      <c r="AG12" s="864"/>
      <c r="AH12" s="864"/>
      <c r="AI12" s="864"/>
      <c r="AJ12" s="864"/>
      <c r="AK12" s="864"/>
      <c r="AL12" s="864"/>
      <c r="AM12" s="864"/>
      <c r="AN12" s="864"/>
      <c r="AO12" s="864"/>
      <c r="AP12" s="864"/>
      <c r="AQ12" s="864"/>
      <c r="AR12" s="864"/>
      <c r="AS12" s="864"/>
      <c r="AT12" s="864"/>
      <c r="AU12" s="864"/>
      <c r="AV12" s="864"/>
      <c r="AW12" s="864"/>
      <c r="AX12" s="864"/>
      <c r="AY12" s="864"/>
      <c r="AZ12" s="864"/>
      <c r="BA12" s="864"/>
      <c r="BB12" s="864"/>
      <c r="BC12" s="864"/>
      <c r="BD12" s="864"/>
      <c r="BE12" s="864"/>
      <c r="BF12" s="864"/>
      <c r="BG12" s="864"/>
      <c r="BH12" s="864"/>
      <c r="BI12" s="864"/>
      <c r="BJ12" s="864"/>
      <c r="BK12" s="864"/>
      <c r="BL12" s="864"/>
      <c r="BM12" s="864"/>
      <c r="BN12" s="864"/>
      <c r="BO12" s="864"/>
      <c r="BP12" s="864"/>
      <c r="BQ12" s="864"/>
      <c r="BR12" s="864"/>
      <c r="BS12" s="864"/>
      <c r="BT12" s="864"/>
      <c r="BU12" s="864"/>
      <c r="BV12" s="863"/>
      <c r="BW12" s="864"/>
      <c r="BX12" s="864"/>
      <c r="BY12" s="864"/>
      <c r="BZ12" s="864"/>
      <c r="CA12" s="864"/>
      <c r="CB12" s="864"/>
      <c r="CC12" s="864"/>
      <c r="CD12" s="864"/>
      <c r="CE12" s="864"/>
      <c r="CF12" s="864"/>
      <c r="CG12" s="864"/>
      <c r="CH12" s="864"/>
      <c r="CI12" s="863"/>
      <c r="CJ12" s="863"/>
      <c r="CK12" s="863"/>
      <c r="CL12" s="863"/>
      <c r="CM12" s="863"/>
      <c r="CN12" s="863"/>
      <c r="CO12" s="863"/>
      <c r="CP12" s="863"/>
      <c r="CQ12" s="863"/>
      <c r="CR12" s="863"/>
      <c r="CS12" s="863"/>
      <c r="CT12" s="863"/>
      <c r="CU12" s="863"/>
      <c r="CV12" s="863"/>
      <c r="CW12" s="863"/>
      <c r="CX12" s="863"/>
      <c r="CY12" s="863"/>
      <c r="CZ12" s="863"/>
      <c r="DA12" s="863"/>
      <c r="DB12" s="863"/>
      <c r="DC12" s="863"/>
      <c r="DD12" s="863"/>
      <c r="DE12" s="863"/>
      <c r="DF12" s="863"/>
      <c r="DG12" s="863"/>
      <c r="DH12" s="863"/>
      <c r="DI12" s="863"/>
      <c r="DJ12" s="863"/>
      <c r="DK12" s="863"/>
      <c r="DL12" s="866"/>
      <c r="DN12" s="409"/>
      <c r="DO12" s="409"/>
      <c r="DP12" s="409"/>
      <c r="DQ12" s="409"/>
      <c r="DR12" s="409"/>
      <c r="DS12" s="409"/>
      <c r="DT12" s="409"/>
      <c r="DU12" s="409"/>
      <c r="DV12" s="409"/>
      <c r="DW12" s="409"/>
      <c r="DX12" s="409"/>
      <c r="DY12" s="409"/>
      <c r="DZ12" s="409"/>
      <c r="EA12" s="409"/>
      <c r="EB12" s="409"/>
      <c r="EC12" s="409"/>
      <c r="ED12" s="409"/>
      <c r="EE12" s="409"/>
      <c r="EF12" s="409"/>
      <c r="EG12" s="409"/>
      <c r="EH12" s="409"/>
      <c r="EI12" s="409"/>
      <c r="EJ12" s="409"/>
      <c r="EK12" s="409"/>
      <c r="EL12" s="409"/>
      <c r="EM12" s="409"/>
      <c r="EN12" s="409"/>
      <c r="EO12" s="409"/>
      <c r="EP12" s="409"/>
      <c r="EQ12" s="409"/>
      <c r="ER12" s="409"/>
      <c r="ES12" s="409"/>
      <c r="ET12" s="409"/>
      <c r="EU12" s="409"/>
      <c r="EV12" s="409"/>
      <c r="EW12" s="409"/>
      <c r="EX12" s="409"/>
      <c r="EY12" s="409"/>
      <c r="EZ12" s="409"/>
      <c r="FA12" s="409"/>
      <c r="FB12" s="409"/>
      <c r="FC12" s="409"/>
      <c r="FD12" s="409"/>
      <c r="FE12" s="409"/>
      <c r="FF12" s="409"/>
      <c r="FG12" s="409"/>
      <c r="FH12" s="409"/>
      <c r="FI12" s="409"/>
      <c r="FJ12" s="409"/>
      <c r="FK12" s="409"/>
      <c r="FL12" s="409"/>
      <c r="FM12" s="409"/>
      <c r="FN12" s="409"/>
      <c r="FO12" s="409"/>
      <c r="FP12" s="409"/>
      <c r="FQ12" s="409"/>
      <c r="FR12" s="409"/>
      <c r="FS12" s="409"/>
      <c r="FT12" s="409"/>
      <c r="FU12" s="409"/>
      <c r="FV12" s="409"/>
      <c r="FW12" s="409"/>
      <c r="FX12" s="409"/>
      <c r="FY12" s="409"/>
      <c r="FZ12" s="409"/>
      <c r="GA12" s="409"/>
      <c r="GB12" s="409"/>
      <c r="GC12" s="409"/>
      <c r="GD12" s="409"/>
      <c r="GE12" s="409"/>
      <c r="GF12" s="409"/>
      <c r="GG12" s="409"/>
      <c r="GH12" s="409"/>
      <c r="GI12" s="409"/>
      <c r="GJ12" s="409"/>
      <c r="GK12" s="409"/>
      <c r="GL12" s="409"/>
      <c r="GM12" s="409"/>
      <c r="GN12" s="409"/>
      <c r="GO12" s="409"/>
      <c r="GP12" s="409"/>
      <c r="GQ12" s="409"/>
      <c r="GR12" s="409"/>
      <c r="GS12" s="409"/>
      <c r="GT12" s="409"/>
      <c r="GU12" s="409"/>
      <c r="GV12" s="409"/>
      <c r="GW12" s="409"/>
      <c r="GX12" s="409"/>
      <c r="GY12" s="409"/>
      <c r="GZ12" s="409"/>
      <c r="HA12" s="409"/>
      <c r="HB12" s="409"/>
      <c r="HC12" s="409"/>
      <c r="HD12" s="409"/>
      <c r="HE12" s="409"/>
      <c r="HF12" s="409"/>
      <c r="HG12" s="409"/>
      <c r="HH12" s="409"/>
      <c r="HI12" s="409"/>
      <c r="HJ12" s="409"/>
      <c r="HK12" s="409"/>
      <c r="HL12" s="409"/>
      <c r="HM12" s="409"/>
      <c r="HN12" s="409"/>
      <c r="HO12" s="409"/>
      <c r="HP12" s="409"/>
      <c r="HQ12" s="409"/>
      <c r="HR12" s="409"/>
      <c r="HS12" s="409"/>
      <c r="HT12" s="409"/>
      <c r="HU12" s="409"/>
      <c r="HV12" s="409"/>
      <c r="HW12" s="409"/>
      <c r="HX12" s="409"/>
      <c r="HY12" s="409"/>
      <c r="HZ12" s="409"/>
      <c r="IA12" s="409"/>
      <c r="IB12" s="409"/>
      <c r="IC12" s="409"/>
      <c r="ID12" s="409"/>
      <c r="IE12" s="409"/>
      <c r="IF12" s="409"/>
      <c r="IG12" s="409"/>
      <c r="IH12" s="409"/>
      <c r="II12" s="409"/>
      <c r="IJ12" s="409"/>
      <c r="IK12" s="409"/>
      <c r="IL12" s="409"/>
      <c r="IM12" s="409"/>
      <c r="IN12" s="409"/>
      <c r="IO12" s="409"/>
      <c r="IP12" s="409"/>
      <c r="IQ12" s="409"/>
      <c r="IR12" s="409"/>
      <c r="IS12" s="409"/>
      <c r="IT12" s="409"/>
      <c r="IU12" s="409"/>
      <c r="IV12" s="409"/>
      <c r="IW12" s="409"/>
      <c r="IX12" s="409"/>
      <c r="IY12" s="409"/>
      <c r="IZ12" s="409"/>
      <c r="JA12" s="409"/>
      <c r="JB12" s="409"/>
      <c r="JC12" s="409"/>
      <c r="JD12" s="409"/>
    </row>
    <row r="13" spans="1:264" s="867" customFormat="1" ht="13.8" outlineLevel="1">
      <c r="A13" s="895"/>
      <c r="B13" s="885"/>
      <c r="C13" s="835"/>
      <c r="D13" s="885"/>
      <c r="E13" s="864"/>
      <c r="F13" s="864"/>
      <c r="G13" s="864"/>
      <c r="H13" s="862"/>
      <c r="I13" s="865"/>
      <c r="J13" s="864"/>
      <c r="K13" s="863"/>
      <c r="L13" s="863"/>
      <c r="M13" s="863"/>
      <c r="N13" s="863"/>
      <c r="O13" s="863"/>
      <c r="P13" s="863"/>
      <c r="Q13" s="863"/>
      <c r="R13" s="863"/>
      <c r="S13" s="863"/>
      <c r="T13" s="864"/>
      <c r="U13" s="864"/>
      <c r="V13" s="864"/>
      <c r="W13" s="864"/>
      <c r="X13" s="864"/>
      <c r="Y13" s="864"/>
      <c r="Z13" s="864"/>
      <c r="AA13" s="864"/>
      <c r="AB13" s="864"/>
      <c r="AC13" s="864"/>
      <c r="AD13" s="864"/>
      <c r="AE13" s="864"/>
      <c r="AF13" s="864"/>
      <c r="AG13" s="864"/>
      <c r="AH13" s="864"/>
      <c r="AI13" s="864"/>
      <c r="AJ13" s="864"/>
      <c r="AK13" s="864"/>
      <c r="AL13" s="864"/>
      <c r="AM13" s="864"/>
      <c r="AN13" s="864"/>
      <c r="AO13" s="864"/>
      <c r="AP13" s="864"/>
      <c r="AQ13" s="864"/>
      <c r="AR13" s="864"/>
      <c r="AS13" s="864"/>
      <c r="AT13" s="864"/>
      <c r="AU13" s="864"/>
      <c r="AV13" s="864"/>
      <c r="AW13" s="864"/>
      <c r="AX13" s="864"/>
      <c r="AY13" s="864"/>
      <c r="AZ13" s="864"/>
      <c r="BA13" s="864"/>
      <c r="BB13" s="864"/>
      <c r="BC13" s="864"/>
      <c r="BD13" s="864"/>
      <c r="BE13" s="864"/>
      <c r="BF13" s="864"/>
      <c r="BG13" s="864"/>
      <c r="BH13" s="864"/>
      <c r="BI13" s="864"/>
      <c r="BJ13" s="864"/>
      <c r="BK13" s="864"/>
      <c r="BL13" s="864"/>
      <c r="BM13" s="864"/>
      <c r="BN13" s="864"/>
      <c r="BO13" s="864"/>
      <c r="BP13" s="864"/>
      <c r="BQ13" s="864"/>
      <c r="BR13" s="864"/>
      <c r="BS13" s="864"/>
      <c r="BT13" s="864"/>
      <c r="BU13" s="864"/>
      <c r="BV13" s="863"/>
      <c r="BW13" s="864"/>
      <c r="BX13" s="864"/>
      <c r="BY13" s="864"/>
      <c r="BZ13" s="864"/>
      <c r="CA13" s="864"/>
      <c r="CB13" s="864"/>
      <c r="CC13" s="864"/>
      <c r="CD13" s="864"/>
      <c r="CE13" s="864"/>
      <c r="CF13" s="864"/>
      <c r="CG13" s="864"/>
      <c r="CH13" s="864"/>
      <c r="CI13" s="863"/>
      <c r="CJ13" s="863"/>
      <c r="CK13" s="863"/>
      <c r="CL13" s="863"/>
      <c r="CM13" s="863"/>
      <c r="CN13" s="863"/>
      <c r="CO13" s="863"/>
      <c r="CP13" s="863"/>
      <c r="CQ13" s="863"/>
      <c r="CR13" s="863"/>
      <c r="CS13" s="863"/>
      <c r="CT13" s="863"/>
      <c r="CU13" s="863"/>
      <c r="CV13" s="863"/>
      <c r="CW13" s="863"/>
      <c r="CX13" s="863"/>
      <c r="CY13" s="863"/>
      <c r="CZ13" s="863"/>
      <c r="DA13" s="863"/>
      <c r="DB13" s="863"/>
      <c r="DC13" s="863"/>
      <c r="DD13" s="863"/>
      <c r="DE13" s="863"/>
      <c r="DF13" s="863"/>
      <c r="DG13" s="863"/>
      <c r="DH13" s="863"/>
      <c r="DI13" s="863"/>
      <c r="DJ13" s="863"/>
      <c r="DK13" s="863"/>
      <c r="DL13" s="866"/>
      <c r="DN13" s="409"/>
      <c r="DO13" s="409"/>
      <c r="DP13" s="409"/>
      <c r="DQ13" s="409"/>
      <c r="DR13" s="409"/>
      <c r="DS13" s="409"/>
      <c r="DT13" s="409"/>
      <c r="DU13" s="409"/>
      <c r="DV13" s="409"/>
      <c r="DW13" s="409"/>
      <c r="DX13" s="409"/>
      <c r="DY13" s="409"/>
      <c r="DZ13" s="409"/>
      <c r="EA13" s="409"/>
      <c r="EB13" s="409"/>
      <c r="EC13" s="409"/>
      <c r="ED13" s="409"/>
      <c r="EE13" s="409"/>
      <c r="EF13" s="409"/>
      <c r="EG13" s="409"/>
      <c r="EH13" s="409"/>
      <c r="EI13" s="409"/>
      <c r="EJ13" s="409"/>
      <c r="EK13" s="409"/>
      <c r="EL13" s="409"/>
      <c r="EM13" s="409"/>
      <c r="EN13" s="409"/>
      <c r="EO13" s="409"/>
      <c r="EP13" s="409"/>
      <c r="EQ13" s="409"/>
      <c r="ER13" s="409"/>
      <c r="ES13" s="409"/>
      <c r="ET13" s="409"/>
      <c r="EU13" s="409"/>
      <c r="EV13" s="409"/>
      <c r="EW13" s="409"/>
      <c r="EX13" s="409"/>
      <c r="EY13" s="409"/>
      <c r="EZ13" s="409"/>
      <c r="FA13" s="409"/>
      <c r="FB13" s="409"/>
      <c r="FC13" s="409"/>
      <c r="FD13" s="409"/>
      <c r="FE13" s="409"/>
      <c r="FF13" s="409"/>
      <c r="FG13" s="409"/>
      <c r="FH13" s="409"/>
      <c r="FI13" s="409"/>
      <c r="FJ13" s="409"/>
      <c r="FK13" s="409"/>
      <c r="FL13" s="409"/>
      <c r="FM13" s="409"/>
      <c r="FN13" s="409"/>
      <c r="FO13" s="409"/>
      <c r="FP13" s="409"/>
      <c r="FQ13" s="409"/>
      <c r="FR13" s="409"/>
      <c r="FS13" s="409"/>
      <c r="FT13" s="409"/>
      <c r="FU13" s="409"/>
      <c r="FV13" s="409"/>
      <c r="FW13" s="409"/>
      <c r="FX13" s="409"/>
      <c r="FY13" s="409"/>
      <c r="FZ13" s="409"/>
      <c r="GA13" s="409"/>
      <c r="GB13" s="409"/>
      <c r="GC13" s="409"/>
      <c r="GD13" s="409"/>
      <c r="GE13" s="409"/>
      <c r="GF13" s="409"/>
      <c r="GG13" s="409"/>
      <c r="GH13" s="409"/>
      <c r="GI13" s="409"/>
      <c r="GJ13" s="409"/>
      <c r="GK13" s="409"/>
      <c r="GL13" s="409"/>
      <c r="GM13" s="409"/>
      <c r="GN13" s="409"/>
      <c r="GO13" s="409"/>
      <c r="GP13" s="409"/>
      <c r="GQ13" s="409"/>
      <c r="GR13" s="409"/>
      <c r="GS13" s="409"/>
      <c r="GT13" s="409"/>
      <c r="GU13" s="409"/>
      <c r="GV13" s="409"/>
      <c r="GW13" s="409"/>
      <c r="GX13" s="409"/>
      <c r="GY13" s="409"/>
      <c r="GZ13" s="409"/>
      <c r="HA13" s="409"/>
      <c r="HB13" s="409"/>
      <c r="HC13" s="409"/>
      <c r="HD13" s="409"/>
      <c r="HE13" s="409"/>
      <c r="HF13" s="409"/>
      <c r="HG13" s="409"/>
      <c r="HH13" s="409"/>
      <c r="HI13" s="409"/>
      <c r="HJ13" s="409"/>
      <c r="HK13" s="409"/>
      <c r="HL13" s="409"/>
      <c r="HM13" s="409"/>
      <c r="HN13" s="409"/>
      <c r="HO13" s="409"/>
      <c r="HP13" s="409"/>
      <c r="HQ13" s="409"/>
      <c r="HR13" s="409"/>
      <c r="HS13" s="409"/>
      <c r="HT13" s="409"/>
      <c r="HU13" s="409"/>
      <c r="HV13" s="409"/>
      <c r="HW13" s="409"/>
      <c r="HX13" s="409"/>
      <c r="HY13" s="409"/>
      <c r="HZ13" s="409"/>
      <c r="IA13" s="409"/>
      <c r="IB13" s="409"/>
      <c r="IC13" s="409"/>
      <c r="ID13" s="409"/>
      <c r="IE13" s="409"/>
      <c r="IF13" s="409"/>
      <c r="IG13" s="409"/>
      <c r="IH13" s="409"/>
      <c r="II13" s="409"/>
      <c r="IJ13" s="409"/>
      <c r="IK13" s="409"/>
      <c r="IL13" s="409"/>
      <c r="IM13" s="409"/>
      <c r="IN13" s="409"/>
      <c r="IO13" s="409"/>
      <c r="IP13" s="409"/>
      <c r="IQ13" s="409"/>
      <c r="IR13" s="409"/>
      <c r="IS13" s="409"/>
      <c r="IT13" s="409"/>
      <c r="IU13" s="409"/>
      <c r="IV13" s="409"/>
      <c r="IW13" s="409"/>
      <c r="IX13" s="409"/>
      <c r="IY13" s="409"/>
      <c r="IZ13" s="409"/>
      <c r="JA13" s="409"/>
      <c r="JB13" s="409"/>
      <c r="JC13" s="409"/>
      <c r="JD13" s="409"/>
    </row>
    <row r="14" spans="1:264" s="867" customFormat="1" ht="13.8" outlineLevel="1">
      <c r="A14" s="895"/>
      <c r="B14" s="885"/>
      <c r="C14" s="835"/>
      <c r="D14" s="885"/>
      <c r="E14" s="864"/>
      <c r="F14" s="864"/>
      <c r="G14" s="864"/>
      <c r="H14" s="862"/>
      <c r="I14" s="865"/>
      <c r="J14" s="864"/>
      <c r="K14" s="863"/>
      <c r="L14" s="863"/>
      <c r="M14" s="863"/>
      <c r="N14" s="863"/>
      <c r="O14" s="863"/>
      <c r="P14" s="863"/>
      <c r="Q14" s="863"/>
      <c r="R14" s="863"/>
      <c r="S14" s="863"/>
      <c r="T14" s="864"/>
      <c r="U14" s="864"/>
      <c r="V14" s="864"/>
      <c r="W14" s="864"/>
      <c r="X14" s="864"/>
      <c r="Y14" s="864"/>
      <c r="Z14" s="864"/>
      <c r="AA14" s="864"/>
      <c r="AB14" s="864"/>
      <c r="AC14" s="864"/>
      <c r="AD14" s="864"/>
      <c r="AE14" s="864"/>
      <c r="AF14" s="864"/>
      <c r="AG14" s="864"/>
      <c r="AH14" s="864"/>
      <c r="AI14" s="864"/>
      <c r="AJ14" s="864"/>
      <c r="AK14" s="864"/>
      <c r="AL14" s="864"/>
      <c r="AM14" s="864"/>
      <c r="AN14" s="864"/>
      <c r="AO14" s="864"/>
      <c r="AP14" s="864"/>
      <c r="AQ14" s="864"/>
      <c r="AR14" s="864"/>
      <c r="AS14" s="864"/>
      <c r="AT14" s="864"/>
      <c r="AU14" s="864"/>
      <c r="AV14" s="864"/>
      <c r="AW14" s="864"/>
      <c r="AX14" s="864"/>
      <c r="AY14" s="864"/>
      <c r="AZ14" s="864"/>
      <c r="BA14" s="864"/>
      <c r="BB14" s="864"/>
      <c r="BC14" s="864"/>
      <c r="BD14" s="864"/>
      <c r="BE14" s="864"/>
      <c r="BF14" s="864"/>
      <c r="BG14" s="864"/>
      <c r="BH14" s="864"/>
      <c r="BI14" s="864"/>
      <c r="BJ14" s="864"/>
      <c r="BK14" s="864"/>
      <c r="BL14" s="864"/>
      <c r="BM14" s="864"/>
      <c r="BN14" s="864"/>
      <c r="BO14" s="864"/>
      <c r="BP14" s="864"/>
      <c r="BQ14" s="864"/>
      <c r="BR14" s="864"/>
      <c r="BS14" s="864"/>
      <c r="BT14" s="864"/>
      <c r="BU14" s="864"/>
      <c r="BV14" s="863"/>
      <c r="BW14" s="864"/>
      <c r="BX14" s="864"/>
      <c r="BY14" s="864"/>
      <c r="BZ14" s="864"/>
      <c r="CA14" s="864"/>
      <c r="CB14" s="864"/>
      <c r="CC14" s="864"/>
      <c r="CD14" s="864"/>
      <c r="CE14" s="864"/>
      <c r="CF14" s="864"/>
      <c r="CG14" s="864"/>
      <c r="CH14" s="864"/>
      <c r="CI14" s="863"/>
      <c r="CJ14" s="863"/>
      <c r="CK14" s="863"/>
      <c r="CL14" s="863"/>
      <c r="CM14" s="863"/>
      <c r="CN14" s="863"/>
      <c r="CO14" s="863"/>
      <c r="CP14" s="863"/>
      <c r="CQ14" s="863"/>
      <c r="CR14" s="863"/>
      <c r="CS14" s="863"/>
      <c r="CT14" s="863"/>
      <c r="CU14" s="863"/>
      <c r="CV14" s="863"/>
      <c r="CW14" s="863"/>
      <c r="CX14" s="863"/>
      <c r="CY14" s="863"/>
      <c r="CZ14" s="863"/>
      <c r="DA14" s="863"/>
      <c r="DB14" s="863"/>
      <c r="DC14" s="863"/>
      <c r="DD14" s="863"/>
      <c r="DE14" s="863"/>
      <c r="DF14" s="863"/>
      <c r="DG14" s="863"/>
      <c r="DH14" s="863"/>
      <c r="DI14" s="863"/>
      <c r="DJ14" s="863"/>
      <c r="DK14" s="863"/>
      <c r="DL14" s="866"/>
      <c r="DN14" s="409"/>
      <c r="DO14" s="409"/>
      <c r="DP14" s="409"/>
      <c r="DQ14" s="409"/>
      <c r="DR14" s="409"/>
      <c r="DS14" s="409"/>
      <c r="DT14" s="409"/>
      <c r="DU14" s="409"/>
      <c r="DV14" s="409"/>
      <c r="DW14" s="409"/>
      <c r="DX14" s="409"/>
      <c r="DY14" s="409"/>
      <c r="DZ14" s="409"/>
      <c r="EA14" s="409"/>
      <c r="EB14" s="409"/>
      <c r="EC14" s="409"/>
      <c r="ED14" s="409"/>
      <c r="EE14" s="409"/>
      <c r="EF14" s="409"/>
      <c r="EG14" s="409"/>
      <c r="EH14" s="409"/>
      <c r="EI14" s="409"/>
      <c r="EJ14" s="409"/>
      <c r="EK14" s="409"/>
      <c r="EL14" s="409"/>
      <c r="EM14" s="409"/>
      <c r="EN14" s="409"/>
      <c r="EO14" s="409"/>
      <c r="EP14" s="409"/>
      <c r="EQ14" s="409"/>
      <c r="ER14" s="409"/>
      <c r="ES14" s="409"/>
      <c r="ET14" s="409"/>
      <c r="EU14" s="409"/>
      <c r="EV14" s="409"/>
      <c r="EW14" s="409"/>
      <c r="EX14" s="409"/>
      <c r="EY14" s="409"/>
      <c r="EZ14" s="409"/>
      <c r="FA14" s="409"/>
      <c r="FB14" s="409"/>
      <c r="FC14" s="409"/>
      <c r="FD14" s="409"/>
      <c r="FE14" s="409"/>
      <c r="FF14" s="409"/>
      <c r="FG14" s="409"/>
      <c r="FH14" s="409"/>
      <c r="FI14" s="409"/>
      <c r="FJ14" s="409"/>
      <c r="FK14" s="409"/>
      <c r="FL14" s="409"/>
      <c r="FM14" s="409"/>
      <c r="FN14" s="409"/>
      <c r="FO14" s="409"/>
      <c r="FP14" s="409"/>
      <c r="FQ14" s="409"/>
      <c r="FR14" s="409"/>
      <c r="FS14" s="409"/>
      <c r="FT14" s="409"/>
      <c r="FU14" s="409"/>
      <c r="FV14" s="409"/>
      <c r="FW14" s="409"/>
      <c r="FX14" s="409"/>
      <c r="FY14" s="409"/>
      <c r="FZ14" s="409"/>
      <c r="GA14" s="409"/>
      <c r="GB14" s="409"/>
      <c r="GC14" s="409"/>
      <c r="GD14" s="409"/>
      <c r="GE14" s="409"/>
      <c r="GF14" s="409"/>
      <c r="GG14" s="409"/>
      <c r="GH14" s="409"/>
      <c r="GI14" s="409"/>
      <c r="GJ14" s="409"/>
      <c r="GK14" s="409"/>
      <c r="GL14" s="409"/>
      <c r="GM14" s="409"/>
      <c r="GN14" s="409"/>
      <c r="GO14" s="409"/>
      <c r="GP14" s="409"/>
      <c r="GQ14" s="409"/>
      <c r="GR14" s="409"/>
      <c r="GS14" s="409"/>
      <c r="GT14" s="409"/>
      <c r="GU14" s="409"/>
      <c r="GV14" s="409"/>
      <c r="GW14" s="409"/>
      <c r="GX14" s="409"/>
      <c r="GY14" s="409"/>
      <c r="GZ14" s="409"/>
      <c r="HA14" s="409"/>
      <c r="HB14" s="409"/>
      <c r="HC14" s="409"/>
      <c r="HD14" s="409"/>
      <c r="HE14" s="409"/>
      <c r="HF14" s="409"/>
      <c r="HG14" s="409"/>
      <c r="HH14" s="409"/>
      <c r="HI14" s="409"/>
      <c r="HJ14" s="409"/>
      <c r="HK14" s="409"/>
      <c r="HL14" s="409"/>
      <c r="HM14" s="409"/>
      <c r="HN14" s="409"/>
      <c r="HO14" s="409"/>
      <c r="HP14" s="409"/>
      <c r="HQ14" s="409"/>
      <c r="HR14" s="409"/>
      <c r="HS14" s="409"/>
      <c r="HT14" s="409"/>
      <c r="HU14" s="409"/>
      <c r="HV14" s="409"/>
      <c r="HW14" s="409"/>
      <c r="HX14" s="409"/>
      <c r="HY14" s="409"/>
      <c r="HZ14" s="409"/>
      <c r="IA14" s="409"/>
      <c r="IB14" s="409"/>
      <c r="IC14" s="409"/>
      <c r="ID14" s="409"/>
      <c r="IE14" s="409"/>
      <c r="IF14" s="409"/>
      <c r="IG14" s="409"/>
      <c r="IH14" s="409"/>
      <c r="II14" s="409"/>
      <c r="IJ14" s="409"/>
      <c r="IK14" s="409"/>
      <c r="IL14" s="409"/>
      <c r="IM14" s="409"/>
      <c r="IN14" s="409"/>
      <c r="IO14" s="409"/>
      <c r="IP14" s="409"/>
      <c r="IQ14" s="409"/>
      <c r="IR14" s="409"/>
      <c r="IS14" s="409"/>
      <c r="IT14" s="409"/>
      <c r="IU14" s="409"/>
      <c r="IV14" s="409"/>
      <c r="IW14" s="409"/>
      <c r="IX14" s="409"/>
      <c r="IY14" s="409"/>
      <c r="IZ14" s="409"/>
      <c r="JA14" s="409"/>
      <c r="JB14" s="409"/>
      <c r="JC14" s="409"/>
      <c r="JD14" s="409"/>
    </row>
    <row r="15" spans="1:264" s="867" customFormat="1" ht="13.8" outlineLevel="1">
      <c r="A15" s="895"/>
      <c r="B15" s="885"/>
      <c r="C15" s="835"/>
      <c r="D15" s="885"/>
      <c r="E15" s="864"/>
      <c r="F15" s="864"/>
      <c r="G15" s="864"/>
      <c r="H15" s="862"/>
      <c r="I15" s="865"/>
      <c r="J15" s="864"/>
      <c r="K15" s="863"/>
      <c r="L15" s="863"/>
      <c r="M15" s="863"/>
      <c r="N15" s="863"/>
      <c r="O15" s="863"/>
      <c r="P15" s="863"/>
      <c r="Q15" s="863"/>
      <c r="R15" s="863"/>
      <c r="S15" s="863"/>
      <c r="T15" s="864"/>
      <c r="U15" s="864"/>
      <c r="V15" s="864"/>
      <c r="W15" s="864"/>
      <c r="X15" s="864"/>
      <c r="Y15" s="864"/>
      <c r="Z15" s="864"/>
      <c r="AA15" s="864"/>
      <c r="AB15" s="864"/>
      <c r="AC15" s="864"/>
      <c r="AD15" s="864"/>
      <c r="AE15" s="864"/>
      <c r="AF15" s="864"/>
      <c r="AG15" s="864"/>
      <c r="AH15" s="864"/>
      <c r="AI15" s="864"/>
      <c r="AJ15" s="864"/>
      <c r="AK15" s="864"/>
      <c r="AL15" s="864"/>
      <c r="AM15" s="864"/>
      <c r="AN15" s="864"/>
      <c r="AO15" s="864"/>
      <c r="AP15" s="864"/>
      <c r="AQ15" s="864"/>
      <c r="AR15" s="864"/>
      <c r="AS15" s="864"/>
      <c r="AT15" s="864"/>
      <c r="AU15" s="864"/>
      <c r="AV15" s="864"/>
      <c r="AW15" s="864"/>
      <c r="AX15" s="864"/>
      <c r="AY15" s="864"/>
      <c r="AZ15" s="864"/>
      <c r="BA15" s="864"/>
      <c r="BB15" s="864"/>
      <c r="BC15" s="864"/>
      <c r="BD15" s="864"/>
      <c r="BE15" s="864"/>
      <c r="BF15" s="864"/>
      <c r="BG15" s="864"/>
      <c r="BH15" s="864"/>
      <c r="BI15" s="864"/>
      <c r="BJ15" s="864"/>
      <c r="BK15" s="864"/>
      <c r="BL15" s="864"/>
      <c r="BM15" s="864"/>
      <c r="BN15" s="864"/>
      <c r="BO15" s="864"/>
      <c r="BP15" s="864"/>
      <c r="BQ15" s="864"/>
      <c r="BR15" s="864"/>
      <c r="BS15" s="864"/>
      <c r="BT15" s="864"/>
      <c r="BU15" s="864"/>
      <c r="BV15" s="863"/>
      <c r="BW15" s="864"/>
      <c r="BX15" s="864"/>
      <c r="BY15" s="864"/>
      <c r="BZ15" s="864"/>
      <c r="CA15" s="864"/>
      <c r="CB15" s="864"/>
      <c r="CC15" s="864"/>
      <c r="CD15" s="864"/>
      <c r="CE15" s="864"/>
      <c r="CF15" s="864"/>
      <c r="CG15" s="864"/>
      <c r="CH15" s="864"/>
      <c r="CI15" s="863"/>
      <c r="CJ15" s="863"/>
      <c r="CK15" s="863"/>
      <c r="CL15" s="863"/>
      <c r="CM15" s="863"/>
      <c r="CN15" s="863"/>
      <c r="CO15" s="863"/>
      <c r="CP15" s="863"/>
      <c r="CQ15" s="863"/>
      <c r="CR15" s="863"/>
      <c r="CS15" s="863"/>
      <c r="CT15" s="863"/>
      <c r="CU15" s="863"/>
      <c r="CV15" s="863"/>
      <c r="CW15" s="863"/>
      <c r="CX15" s="863"/>
      <c r="CY15" s="863"/>
      <c r="CZ15" s="863"/>
      <c r="DA15" s="863"/>
      <c r="DB15" s="863"/>
      <c r="DC15" s="863"/>
      <c r="DD15" s="863"/>
      <c r="DE15" s="863"/>
      <c r="DF15" s="863"/>
      <c r="DG15" s="863"/>
      <c r="DH15" s="863"/>
      <c r="DI15" s="863"/>
      <c r="DJ15" s="863"/>
      <c r="DK15" s="863"/>
      <c r="DL15" s="866"/>
      <c r="DN15" s="409"/>
      <c r="DO15" s="409"/>
      <c r="DP15" s="409"/>
      <c r="DQ15" s="409"/>
      <c r="DR15" s="409"/>
      <c r="DS15" s="409"/>
      <c r="DT15" s="409"/>
      <c r="DU15" s="409"/>
      <c r="DV15" s="409"/>
      <c r="DW15" s="409"/>
      <c r="DX15" s="409"/>
      <c r="DY15" s="409"/>
      <c r="DZ15" s="409"/>
      <c r="EA15" s="409"/>
      <c r="EB15" s="409"/>
      <c r="EC15" s="409"/>
      <c r="ED15" s="409"/>
      <c r="EE15" s="409"/>
      <c r="EF15" s="409"/>
      <c r="EG15" s="409"/>
      <c r="EH15" s="409"/>
      <c r="EI15" s="409"/>
      <c r="EJ15" s="409"/>
      <c r="EK15" s="409"/>
      <c r="EL15" s="409"/>
      <c r="EM15" s="409"/>
      <c r="EN15" s="409"/>
      <c r="EO15" s="409"/>
      <c r="EP15" s="409"/>
      <c r="EQ15" s="409"/>
      <c r="ER15" s="409"/>
      <c r="ES15" s="409"/>
      <c r="ET15" s="409"/>
      <c r="EU15" s="409"/>
      <c r="EV15" s="409"/>
      <c r="EW15" s="409"/>
      <c r="EX15" s="409"/>
      <c r="EY15" s="409"/>
      <c r="EZ15" s="409"/>
      <c r="FA15" s="409"/>
      <c r="FB15" s="409"/>
      <c r="FC15" s="409"/>
      <c r="FD15" s="409"/>
      <c r="FE15" s="409"/>
      <c r="FF15" s="409"/>
      <c r="FG15" s="409"/>
      <c r="FH15" s="409"/>
      <c r="FI15" s="409"/>
      <c r="FJ15" s="409"/>
      <c r="FK15" s="409"/>
      <c r="FL15" s="409"/>
      <c r="FM15" s="409"/>
      <c r="FN15" s="409"/>
      <c r="FO15" s="409"/>
      <c r="FP15" s="409"/>
      <c r="FQ15" s="409"/>
      <c r="FR15" s="409"/>
      <c r="FS15" s="409"/>
      <c r="FT15" s="409"/>
      <c r="FU15" s="409"/>
      <c r="FV15" s="409"/>
      <c r="FW15" s="409"/>
      <c r="FX15" s="409"/>
      <c r="FY15" s="409"/>
      <c r="FZ15" s="409"/>
      <c r="GA15" s="409"/>
      <c r="GB15" s="409"/>
      <c r="GC15" s="409"/>
      <c r="GD15" s="409"/>
      <c r="GE15" s="409"/>
      <c r="GF15" s="409"/>
      <c r="GG15" s="409"/>
      <c r="GH15" s="409"/>
      <c r="GI15" s="409"/>
      <c r="GJ15" s="409"/>
      <c r="GK15" s="409"/>
      <c r="GL15" s="409"/>
      <c r="GM15" s="409"/>
      <c r="GN15" s="409"/>
      <c r="GO15" s="409"/>
      <c r="GP15" s="409"/>
      <c r="GQ15" s="409"/>
      <c r="GR15" s="409"/>
      <c r="GS15" s="409"/>
      <c r="GT15" s="409"/>
      <c r="GU15" s="409"/>
      <c r="GV15" s="409"/>
      <c r="GW15" s="409"/>
      <c r="GX15" s="409"/>
      <c r="GY15" s="409"/>
      <c r="GZ15" s="409"/>
      <c r="HA15" s="409"/>
      <c r="HB15" s="409"/>
      <c r="HC15" s="409"/>
      <c r="HD15" s="409"/>
      <c r="HE15" s="409"/>
      <c r="HF15" s="409"/>
      <c r="HG15" s="409"/>
      <c r="HH15" s="409"/>
      <c r="HI15" s="409"/>
      <c r="HJ15" s="409"/>
      <c r="HK15" s="409"/>
      <c r="HL15" s="409"/>
      <c r="HM15" s="409"/>
      <c r="HN15" s="409"/>
      <c r="HO15" s="409"/>
      <c r="HP15" s="409"/>
      <c r="HQ15" s="409"/>
      <c r="HR15" s="409"/>
      <c r="HS15" s="409"/>
      <c r="HT15" s="409"/>
      <c r="HU15" s="409"/>
      <c r="HV15" s="409"/>
      <c r="HW15" s="409"/>
      <c r="HX15" s="409"/>
      <c r="HY15" s="409"/>
      <c r="HZ15" s="409"/>
      <c r="IA15" s="409"/>
      <c r="IB15" s="409"/>
      <c r="IC15" s="409"/>
      <c r="ID15" s="409"/>
      <c r="IE15" s="409"/>
      <c r="IF15" s="409"/>
      <c r="IG15" s="409"/>
      <c r="IH15" s="409"/>
      <c r="II15" s="409"/>
      <c r="IJ15" s="409"/>
      <c r="IK15" s="409"/>
      <c r="IL15" s="409"/>
      <c r="IM15" s="409"/>
      <c r="IN15" s="409"/>
      <c r="IO15" s="409"/>
      <c r="IP15" s="409"/>
      <c r="IQ15" s="409"/>
      <c r="IR15" s="409"/>
      <c r="IS15" s="409"/>
      <c r="IT15" s="409"/>
      <c r="IU15" s="409"/>
      <c r="IV15" s="409"/>
      <c r="IW15" s="409"/>
      <c r="IX15" s="409"/>
      <c r="IY15" s="409"/>
      <c r="IZ15" s="409"/>
      <c r="JA15" s="409"/>
      <c r="JB15" s="409"/>
      <c r="JC15" s="409"/>
      <c r="JD15" s="409"/>
    </row>
    <row r="16" spans="1:264" s="867" customFormat="1" ht="13.8" outlineLevel="1">
      <c r="A16" s="895"/>
      <c r="B16" s="885"/>
      <c r="C16" s="835"/>
      <c r="D16" s="885"/>
      <c r="E16" s="864"/>
      <c r="F16" s="864"/>
      <c r="G16" s="864"/>
      <c r="H16" s="862"/>
      <c r="I16" s="865"/>
      <c r="J16" s="864"/>
      <c r="K16" s="863"/>
      <c r="L16" s="863"/>
      <c r="M16" s="863"/>
      <c r="N16" s="863"/>
      <c r="O16" s="863"/>
      <c r="P16" s="863"/>
      <c r="Q16" s="863"/>
      <c r="R16" s="863"/>
      <c r="S16" s="863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864"/>
      <c r="BD16" s="864"/>
      <c r="BE16" s="864"/>
      <c r="BF16" s="864"/>
      <c r="BG16" s="864"/>
      <c r="BH16" s="864"/>
      <c r="BI16" s="864"/>
      <c r="BJ16" s="864"/>
      <c r="BK16" s="864"/>
      <c r="BL16" s="864"/>
      <c r="BM16" s="864"/>
      <c r="BN16" s="864"/>
      <c r="BO16" s="864"/>
      <c r="BP16" s="864"/>
      <c r="BQ16" s="864"/>
      <c r="BR16" s="864"/>
      <c r="BS16" s="864"/>
      <c r="BT16" s="864"/>
      <c r="BU16" s="864"/>
      <c r="BV16" s="863"/>
      <c r="BW16" s="864"/>
      <c r="BX16" s="864"/>
      <c r="BY16" s="864"/>
      <c r="BZ16" s="864"/>
      <c r="CA16" s="864"/>
      <c r="CB16" s="864"/>
      <c r="CC16" s="864"/>
      <c r="CD16" s="864"/>
      <c r="CE16" s="864"/>
      <c r="CF16" s="864"/>
      <c r="CG16" s="864"/>
      <c r="CH16" s="864"/>
      <c r="CI16" s="863"/>
      <c r="CJ16" s="863"/>
      <c r="CK16" s="863"/>
      <c r="CL16" s="863"/>
      <c r="CM16" s="863"/>
      <c r="CN16" s="863"/>
      <c r="CO16" s="863"/>
      <c r="CP16" s="863"/>
      <c r="CQ16" s="863"/>
      <c r="CR16" s="863"/>
      <c r="CS16" s="863"/>
      <c r="CT16" s="863"/>
      <c r="CU16" s="863"/>
      <c r="CV16" s="863"/>
      <c r="CW16" s="863"/>
      <c r="CX16" s="863"/>
      <c r="CY16" s="863"/>
      <c r="CZ16" s="863"/>
      <c r="DA16" s="863"/>
      <c r="DB16" s="863"/>
      <c r="DC16" s="863"/>
      <c r="DD16" s="863"/>
      <c r="DE16" s="863"/>
      <c r="DF16" s="863"/>
      <c r="DG16" s="863"/>
      <c r="DH16" s="863"/>
      <c r="DI16" s="863"/>
      <c r="DJ16" s="863"/>
      <c r="DK16" s="863"/>
      <c r="DL16" s="866"/>
      <c r="DN16" s="409"/>
      <c r="DO16" s="409"/>
      <c r="DP16" s="409"/>
      <c r="DQ16" s="409"/>
      <c r="DR16" s="409"/>
      <c r="DS16" s="409"/>
      <c r="DT16" s="409"/>
      <c r="DU16" s="409"/>
      <c r="DV16" s="409"/>
      <c r="DW16" s="409"/>
      <c r="DX16" s="409"/>
      <c r="DY16" s="409"/>
      <c r="DZ16" s="409"/>
      <c r="EA16" s="409"/>
      <c r="EB16" s="409"/>
      <c r="EC16" s="409"/>
      <c r="ED16" s="409"/>
      <c r="EE16" s="409"/>
      <c r="EF16" s="409"/>
      <c r="EG16" s="409"/>
      <c r="EH16" s="409"/>
      <c r="EI16" s="409"/>
      <c r="EJ16" s="409"/>
      <c r="EK16" s="409"/>
      <c r="EL16" s="409"/>
      <c r="EM16" s="409"/>
      <c r="EN16" s="409"/>
      <c r="EO16" s="409"/>
      <c r="EP16" s="409"/>
      <c r="EQ16" s="409"/>
      <c r="ER16" s="409"/>
      <c r="ES16" s="409"/>
      <c r="ET16" s="409"/>
      <c r="EU16" s="409"/>
      <c r="EV16" s="409"/>
      <c r="EW16" s="409"/>
      <c r="EX16" s="409"/>
      <c r="EY16" s="409"/>
      <c r="EZ16" s="409"/>
      <c r="FA16" s="409"/>
      <c r="FB16" s="409"/>
      <c r="FC16" s="409"/>
      <c r="FD16" s="409"/>
      <c r="FE16" s="409"/>
      <c r="FF16" s="409"/>
      <c r="FG16" s="409"/>
      <c r="FH16" s="409"/>
      <c r="FI16" s="409"/>
      <c r="FJ16" s="409"/>
      <c r="FK16" s="409"/>
      <c r="FL16" s="409"/>
      <c r="FM16" s="409"/>
      <c r="FN16" s="409"/>
      <c r="FO16" s="409"/>
      <c r="FP16" s="409"/>
      <c r="FQ16" s="409"/>
      <c r="FR16" s="409"/>
      <c r="FS16" s="409"/>
      <c r="FT16" s="409"/>
      <c r="FU16" s="409"/>
      <c r="FV16" s="409"/>
      <c r="FW16" s="409"/>
      <c r="FX16" s="409"/>
      <c r="FY16" s="409"/>
      <c r="FZ16" s="409"/>
      <c r="GA16" s="409"/>
      <c r="GB16" s="409"/>
      <c r="GC16" s="409"/>
      <c r="GD16" s="409"/>
      <c r="GE16" s="409"/>
      <c r="GF16" s="409"/>
      <c r="GG16" s="409"/>
      <c r="GH16" s="409"/>
      <c r="GI16" s="409"/>
      <c r="GJ16" s="409"/>
      <c r="GK16" s="409"/>
      <c r="GL16" s="409"/>
      <c r="GM16" s="409"/>
      <c r="GN16" s="409"/>
      <c r="GO16" s="409"/>
      <c r="GP16" s="409"/>
      <c r="GQ16" s="409"/>
      <c r="GR16" s="409"/>
      <c r="GS16" s="409"/>
      <c r="GT16" s="409"/>
      <c r="GU16" s="409"/>
      <c r="GV16" s="409"/>
      <c r="GW16" s="409"/>
      <c r="GX16" s="409"/>
      <c r="GY16" s="409"/>
      <c r="GZ16" s="409"/>
      <c r="HA16" s="409"/>
      <c r="HB16" s="409"/>
      <c r="HC16" s="409"/>
      <c r="HD16" s="409"/>
      <c r="HE16" s="409"/>
      <c r="HF16" s="409"/>
      <c r="HG16" s="409"/>
      <c r="HH16" s="409"/>
      <c r="HI16" s="409"/>
      <c r="HJ16" s="409"/>
      <c r="HK16" s="409"/>
      <c r="HL16" s="409"/>
      <c r="HM16" s="409"/>
      <c r="HN16" s="409"/>
      <c r="HO16" s="409"/>
      <c r="HP16" s="409"/>
      <c r="HQ16" s="409"/>
      <c r="HR16" s="409"/>
      <c r="HS16" s="409"/>
      <c r="HT16" s="409"/>
      <c r="HU16" s="409"/>
      <c r="HV16" s="409"/>
      <c r="HW16" s="409"/>
      <c r="HX16" s="409"/>
      <c r="HY16" s="409"/>
      <c r="HZ16" s="409"/>
      <c r="IA16" s="409"/>
      <c r="IB16" s="409"/>
      <c r="IC16" s="409"/>
      <c r="ID16" s="409"/>
      <c r="IE16" s="409"/>
      <c r="IF16" s="409"/>
      <c r="IG16" s="409"/>
      <c r="IH16" s="409"/>
      <c r="II16" s="409"/>
      <c r="IJ16" s="409"/>
      <c r="IK16" s="409"/>
      <c r="IL16" s="409"/>
      <c r="IM16" s="409"/>
      <c r="IN16" s="409"/>
      <c r="IO16" s="409"/>
      <c r="IP16" s="409"/>
      <c r="IQ16" s="409"/>
      <c r="IR16" s="409"/>
      <c r="IS16" s="409"/>
      <c r="IT16" s="409"/>
      <c r="IU16" s="409"/>
      <c r="IV16" s="409"/>
      <c r="IW16" s="409"/>
      <c r="IX16" s="409"/>
      <c r="IY16" s="409"/>
      <c r="IZ16" s="409"/>
      <c r="JA16" s="409"/>
      <c r="JB16" s="409"/>
      <c r="JC16" s="409"/>
      <c r="JD16" s="409"/>
    </row>
    <row r="17" spans="1:264" s="867" customFormat="1" ht="13.8" outlineLevel="1">
      <c r="A17" s="895"/>
      <c r="B17" s="885"/>
      <c r="C17" s="835"/>
      <c r="D17" s="885"/>
      <c r="E17" s="864"/>
      <c r="F17" s="864"/>
      <c r="G17" s="864"/>
      <c r="H17" s="862"/>
      <c r="I17" s="865"/>
      <c r="J17" s="864"/>
      <c r="K17" s="863"/>
      <c r="L17" s="863"/>
      <c r="M17" s="863"/>
      <c r="N17" s="863"/>
      <c r="O17" s="863"/>
      <c r="P17" s="863"/>
      <c r="Q17" s="863"/>
      <c r="R17" s="863"/>
      <c r="S17" s="863"/>
      <c r="T17" s="864"/>
      <c r="U17" s="864"/>
      <c r="V17" s="864"/>
      <c r="W17" s="864"/>
      <c r="X17" s="864"/>
      <c r="Y17" s="864"/>
      <c r="Z17" s="864"/>
      <c r="AA17" s="864"/>
      <c r="AB17" s="864"/>
      <c r="AC17" s="864"/>
      <c r="AD17" s="864"/>
      <c r="AE17" s="864"/>
      <c r="AF17" s="864"/>
      <c r="AG17" s="864"/>
      <c r="AH17" s="864"/>
      <c r="AI17" s="864"/>
      <c r="AJ17" s="864"/>
      <c r="AK17" s="864"/>
      <c r="AL17" s="864"/>
      <c r="AM17" s="864"/>
      <c r="AN17" s="864"/>
      <c r="AO17" s="864"/>
      <c r="AP17" s="864"/>
      <c r="AQ17" s="864"/>
      <c r="AR17" s="864"/>
      <c r="AS17" s="864"/>
      <c r="AT17" s="864"/>
      <c r="AU17" s="864"/>
      <c r="AV17" s="864"/>
      <c r="AW17" s="864"/>
      <c r="AX17" s="864"/>
      <c r="AY17" s="864"/>
      <c r="AZ17" s="864"/>
      <c r="BA17" s="864"/>
      <c r="BB17" s="864"/>
      <c r="BC17" s="864"/>
      <c r="BD17" s="864"/>
      <c r="BE17" s="864"/>
      <c r="BF17" s="864"/>
      <c r="BG17" s="864"/>
      <c r="BH17" s="864"/>
      <c r="BI17" s="864"/>
      <c r="BJ17" s="864"/>
      <c r="BK17" s="864"/>
      <c r="BL17" s="864"/>
      <c r="BM17" s="864"/>
      <c r="BN17" s="864"/>
      <c r="BO17" s="864"/>
      <c r="BP17" s="864"/>
      <c r="BQ17" s="864"/>
      <c r="BR17" s="864"/>
      <c r="BS17" s="864"/>
      <c r="BT17" s="864"/>
      <c r="BU17" s="864"/>
      <c r="BV17" s="863"/>
      <c r="BW17" s="864"/>
      <c r="BX17" s="864"/>
      <c r="BY17" s="864"/>
      <c r="BZ17" s="864"/>
      <c r="CA17" s="864"/>
      <c r="CB17" s="864"/>
      <c r="CC17" s="864"/>
      <c r="CD17" s="864"/>
      <c r="CE17" s="864"/>
      <c r="CF17" s="864"/>
      <c r="CG17" s="864"/>
      <c r="CH17" s="864"/>
      <c r="CI17" s="863"/>
      <c r="CJ17" s="863"/>
      <c r="CK17" s="863"/>
      <c r="CL17" s="863"/>
      <c r="CM17" s="863"/>
      <c r="CN17" s="863"/>
      <c r="CO17" s="863"/>
      <c r="CP17" s="863"/>
      <c r="CQ17" s="863"/>
      <c r="CR17" s="863"/>
      <c r="CS17" s="863"/>
      <c r="CT17" s="863"/>
      <c r="CU17" s="863"/>
      <c r="CV17" s="863"/>
      <c r="CW17" s="863"/>
      <c r="CX17" s="863"/>
      <c r="CY17" s="863"/>
      <c r="CZ17" s="863"/>
      <c r="DA17" s="863"/>
      <c r="DB17" s="863"/>
      <c r="DC17" s="863"/>
      <c r="DD17" s="863"/>
      <c r="DE17" s="863"/>
      <c r="DF17" s="863"/>
      <c r="DG17" s="863"/>
      <c r="DH17" s="863"/>
      <c r="DI17" s="863"/>
      <c r="DJ17" s="863"/>
      <c r="DK17" s="863"/>
      <c r="DL17" s="866"/>
      <c r="DN17" s="409"/>
      <c r="DO17" s="409"/>
      <c r="DP17" s="409"/>
      <c r="DQ17" s="409"/>
      <c r="DR17" s="409"/>
      <c r="DS17" s="409"/>
      <c r="DT17" s="409"/>
      <c r="DU17" s="409"/>
      <c r="DV17" s="409"/>
      <c r="DW17" s="409"/>
      <c r="DX17" s="409"/>
      <c r="DY17" s="409"/>
      <c r="DZ17" s="409"/>
      <c r="EA17" s="409"/>
      <c r="EB17" s="409"/>
      <c r="EC17" s="409"/>
      <c r="ED17" s="409"/>
      <c r="EE17" s="409"/>
      <c r="EF17" s="409"/>
      <c r="EG17" s="409"/>
      <c r="EH17" s="409"/>
      <c r="EI17" s="409"/>
      <c r="EJ17" s="409"/>
      <c r="EK17" s="409"/>
      <c r="EL17" s="409"/>
      <c r="EM17" s="409"/>
      <c r="EN17" s="409"/>
      <c r="EO17" s="409"/>
      <c r="EP17" s="409"/>
      <c r="EQ17" s="409"/>
      <c r="ER17" s="409"/>
      <c r="ES17" s="409"/>
      <c r="ET17" s="409"/>
      <c r="EU17" s="409"/>
      <c r="EV17" s="409"/>
      <c r="EW17" s="409"/>
      <c r="EX17" s="409"/>
      <c r="EY17" s="409"/>
      <c r="EZ17" s="409"/>
      <c r="FA17" s="409"/>
      <c r="FB17" s="409"/>
      <c r="FC17" s="409"/>
      <c r="FD17" s="409"/>
      <c r="FE17" s="409"/>
      <c r="FF17" s="409"/>
      <c r="FG17" s="409"/>
      <c r="FH17" s="409"/>
      <c r="FI17" s="409"/>
      <c r="FJ17" s="409"/>
      <c r="FK17" s="409"/>
      <c r="FL17" s="409"/>
      <c r="FM17" s="409"/>
      <c r="FN17" s="409"/>
      <c r="FO17" s="409"/>
      <c r="FP17" s="409"/>
      <c r="FQ17" s="409"/>
      <c r="FR17" s="409"/>
      <c r="FS17" s="409"/>
      <c r="FT17" s="409"/>
      <c r="FU17" s="409"/>
      <c r="FV17" s="409"/>
      <c r="FW17" s="409"/>
      <c r="FX17" s="409"/>
      <c r="FY17" s="409"/>
      <c r="FZ17" s="409"/>
      <c r="GA17" s="409"/>
      <c r="GB17" s="409"/>
      <c r="GC17" s="409"/>
      <c r="GD17" s="409"/>
      <c r="GE17" s="409"/>
      <c r="GF17" s="409"/>
      <c r="GG17" s="409"/>
      <c r="GH17" s="409"/>
      <c r="GI17" s="409"/>
      <c r="GJ17" s="409"/>
      <c r="GK17" s="409"/>
      <c r="GL17" s="409"/>
      <c r="GM17" s="409"/>
      <c r="GN17" s="409"/>
      <c r="GO17" s="409"/>
      <c r="GP17" s="409"/>
      <c r="GQ17" s="409"/>
      <c r="GR17" s="409"/>
      <c r="GS17" s="409"/>
      <c r="GT17" s="409"/>
      <c r="GU17" s="409"/>
      <c r="GV17" s="409"/>
      <c r="GW17" s="409"/>
      <c r="GX17" s="409"/>
      <c r="GY17" s="409"/>
      <c r="GZ17" s="409"/>
      <c r="HA17" s="409"/>
      <c r="HB17" s="409"/>
      <c r="HC17" s="409"/>
      <c r="HD17" s="409"/>
      <c r="HE17" s="409"/>
      <c r="HF17" s="409"/>
      <c r="HG17" s="409"/>
      <c r="HH17" s="409"/>
      <c r="HI17" s="409"/>
      <c r="HJ17" s="409"/>
      <c r="HK17" s="409"/>
      <c r="HL17" s="409"/>
      <c r="HM17" s="409"/>
      <c r="HN17" s="409"/>
      <c r="HO17" s="409"/>
      <c r="HP17" s="409"/>
      <c r="HQ17" s="409"/>
      <c r="HR17" s="409"/>
      <c r="HS17" s="409"/>
      <c r="HT17" s="409"/>
      <c r="HU17" s="409"/>
      <c r="HV17" s="409"/>
      <c r="HW17" s="409"/>
      <c r="HX17" s="409"/>
      <c r="HY17" s="409"/>
      <c r="HZ17" s="409"/>
      <c r="IA17" s="409"/>
      <c r="IB17" s="409"/>
      <c r="IC17" s="409"/>
      <c r="ID17" s="409"/>
      <c r="IE17" s="409"/>
      <c r="IF17" s="409"/>
      <c r="IG17" s="409"/>
      <c r="IH17" s="409"/>
      <c r="II17" s="409"/>
      <c r="IJ17" s="409"/>
      <c r="IK17" s="409"/>
      <c r="IL17" s="409"/>
      <c r="IM17" s="409"/>
      <c r="IN17" s="409"/>
      <c r="IO17" s="409"/>
      <c r="IP17" s="409"/>
      <c r="IQ17" s="409"/>
      <c r="IR17" s="409"/>
      <c r="IS17" s="409"/>
      <c r="IT17" s="409"/>
      <c r="IU17" s="409"/>
      <c r="IV17" s="409"/>
      <c r="IW17" s="409"/>
      <c r="IX17" s="409"/>
      <c r="IY17" s="409"/>
      <c r="IZ17" s="409"/>
      <c r="JA17" s="409"/>
      <c r="JB17" s="409"/>
      <c r="JC17" s="409"/>
      <c r="JD17" s="409"/>
    </row>
    <row r="18" spans="1:264" s="867" customFormat="1" ht="13.8" outlineLevel="1">
      <c r="A18" s="895"/>
      <c r="B18" s="885"/>
      <c r="C18" s="835"/>
      <c r="D18" s="885"/>
      <c r="E18" s="864"/>
      <c r="F18" s="864"/>
      <c r="G18" s="864"/>
      <c r="H18" s="862"/>
      <c r="I18" s="865"/>
      <c r="J18" s="864"/>
      <c r="K18" s="863"/>
      <c r="L18" s="863"/>
      <c r="M18" s="863"/>
      <c r="N18" s="863"/>
      <c r="O18" s="863"/>
      <c r="P18" s="863"/>
      <c r="Q18" s="863"/>
      <c r="R18" s="863"/>
      <c r="S18" s="863"/>
      <c r="T18" s="864"/>
      <c r="U18" s="864"/>
      <c r="V18" s="864"/>
      <c r="W18" s="864"/>
      <c r="X18" s="864"/>
      <c r="Y18" s="864"/>
      <c r="Z18" s="864"/>
      <c r="AA18" s="864"/>
      <c r="AB18" s="864"/>
      <c r="AC18" s="864"/>
      <c r="AD18" s="864"/>
      <c r="AE18" s="864"/>
      <c r="AF18" s="864"/>
      <c r="AG18" s="864"/>
      <c r="AH18" s="864"/>
      <c r="AI18" s="864"/>
      <c r="AJ18" s="864"/>
      <c r="AK18" s="864"/>
      <c r="AL18" s="864"/>
      <c r="AM18" s="864"/>
      <c r="AN18" s="864"/>
      <c r="AO18" s="864"/>
      <c r="AP18" s="864"/>
      <c r="AQ18" s="864"/>
      <c r="AR18" s="864"/>
      <c r="AS18" s="864"/>
      <c r="AT18" s="864"/>
      <c r="AU18" s="864"/>
      <c r="AV18" s="864"/>
      <c r="AW18" s="864"/>
      <c r="AX18" s="864"/>
      <c r="AY18" s="864"/>
      <c r="AZ18" s="864"/>
      <c r="BA18" s="864"/>
      <c r="BB18" s="864"/>
      <c r="BC18" s="864"/>
      <c r="BD18" s="864"/>
      <c r="BE18" s="864"/>
      <c r="BF18" s="864"/>
      <c r="BG18" s="864"/>
      <c r="BH18" s="864"/>
      <c r="BI18" s="864"/>
      <c r="BJ18" s="864"/>
      <c r="BK18" s="864"/>
      <c r="BL18" s="864"/>
      <c r="BM18" s="864"/>
      <c r="BN18" s="864"/>
      <c r="BO18" s="864"/>
      <c r="BP18" s="864"/>
      <c r="BQ18" s="864"/>
      <c r="BR18" s="864"/>
      <c r="BS18" s="864"/>
      <c r="BT18" s="864"/>
      <c r="BU18" s="864"/>
      <c r="BV18" s="863"/>
      <c r="BW18" s="864"/>
      <c r="BX18" s="864"/>
      <c r="BY18" s="864"/>
      <c r="BZ18" s="864"/>
      <c r="CA18" s="864"/>
      <c r="CB18" s="864"/>
      <c r="CC18" s="864"/>
      <c r="CD18" s="864"/>
      <c r="CE18" s="864"/>
      <c r="CF18" s="864"/>
      <c r="CG18" s="864"/>
      <c r="CH18" s="864"/>
      <c r="CI18" s="863"/>
      <c r="CJ18" s="863"/>
      <c r="CK18" s="863"/>
      <c r="CL18" s="863"/>
      <c r="CM18" s="863"/>
      <c r="CN18" s="863"/>
      <c r="CO18" s="863"/>
      <c r="CP18" s="863"/>
      <c r="CQ18" s="863"/>
      <c r="CR18" s="863"/>
      <c r="CS18" s="863"/>
      <c r="CT18" s="863"/>
      <c r="CU18" s="863"/>
      <c r="CV18" s="863"/>
      <c r="CW18" s="863"/>
      <c r="CX18" s="863"/>
      <c r="CY18" s="863"/>
      <c r="CZ18" s="863"/>
      <c r="DA18" s="863"/>
      <c r="DB18" s="863"/>
      <c r="DC18" s="863"/>
      <c r="DD18" s="863"/>
      <c r="DE18" s="863"/>
      <c r="DF18" s="863"/>
      <c r="DG18" s="863"/>
      <c r="DH18" s="863"/>
      <c r="DI18" s="863"/>
      <c r="DJ18" s="863"/>
      <c r="DK18" s="863"/>
      <c r="DL18" s="866"/>
      <c r="DN18" s="409"/>
      <c r="DO18" s="409"/>
      <c r="DP18" s="409"/>
      <c r="DQ18" s="409"/>
      <c r="DR18" s="409"/>
      <c r="DS18" s="409"/>
      <c r="DT18" s="409"/>
      <c r="DU18" s="409"/>
      <c r="DV18" s="409"/>
      <c r="DW18" s="409"/>
      <c r="DX18" s="409"/>
      <c r="DY18" s="409"/>
      <c r="DZ18" s="409"/>
      <c r="EA18" s="409"/>
      <c r="EB18" s="409"/>
      <c r="EC18" s="409"/>
      <c r="ED18" s="409"/>
      <c r="EE18" s="409"/>
      <c r="EF18" s="409"/>
      <c r="EG18" s="409"/>
      <c r="EH18" s="409"/>
      <c r="EI18" s="409"/>
      <c r="EJ18" s="409"/>
      <c r="EK18" s="409"/>
      <c r="EL18" s="409"/>
      <c r="EM18" s="409"/>
      <c r="EN18" s="409"/>
      <c r="EO18" s="409"/>
      <c r="EP18" s="409"/>
      <c r="EQ18" s="409"/>
      <c r="ER18" s="409"/>
      <c r="ES18" s="409"/>
      <c r="ET18" s="409"/>
      <c r="EU18" s="409"/>
      <c r="EV18" s="409"/>
      <c r="EW18" s="409"/>
      <c r="EX18" s="409"/>
      <c r="EY18" s="409"/>
      <c r="EZ18" s="409"/>
      <c r="FA18" s="409"/>
      <c r="FB18" s="409"/>
      <c r="FC18" s="409"/>
      <c r="FD18" s="409"/>
      <c r="FE18" s="409"/>
      <c r="FF18" s="409"/>
      <c r="FG18" s="409"/>
      <c r="FH18" s="409"/>
      <c r="FI18" s="409"/>
      <c r="FJ18" s="409"/>
      <c r="FK18" s="409"/>
      <c r="FL18" s="409"/>
      <c r="FM18" s="409"/>
      <c r="FN18" s="409"/>
      <c r="FO18" s="409"/>
      <c r="FP18" s="409"/>
      <c r="FQ18" s="409"/>
      <c r="FR18" s="409"/>
      <c r="FS18" s="409"/>
      <c r="FT18" s="409"/>
      <c r="FU18" s="409"/>
      <c r="FV18" s="409"/>
      <c r="FW18" s="409"/>
      <c r="FX18" s="409"/>
      <c r="FY18" s="409"/>
      <c r="FZ18" s="409"/>
      <c r="GA18" s="409"/>
      <c r="GB18" s="409"/>
      <c r="GC18" s="409"/>
      <c r="GD18" s="409"/>
      <c r="GE18" s="409"/>
      <c r="GF18" s="409"/>
      <c r="GG18" s="409"/>
      <c r="GH18" s="409"/>
      <c r="GI18" s="409"/>
      <c r="GJ18" s="409"/>
      <c r="GK18" s="409"/>
      <c r="GL18" s="409"/>
      <c r="GM18" s="409"/>
      <c r="GN18" s="409"/>
      <c r="GO18" s="409"/>
      <c r="GP18" s="409"/>
      <c r="GQ18" s="409"/>
      <c r="GR18" s="409"/>
      <c r="GS18" s="409"/>
      <c r="GT18" s="409"/>
      <c r="GU18" s="409"/>
      <c r="GV18" s="409"/>
      <c r="GW18" s="409"/>
      <c r="GX18" s="409"/>
      <c r="GY18" s="409"/>
      <c r="GZ18" s="409"/>
      <c r="HA18" s="409"/>
      <c r="HB18" s="409"/>
      <c r="HC18" s="409"/>
      <c r="HD18" s="409"/>
      <c r="HE18" s="409"/>
      <c r="HF18" s="409"/>
      <c r="HG18" s="409"/>
      <c r="HH18" s="409"/>
      <c r="HI18" s="409"/>
      <c r="HJ18" s="409"/>
      <c r="HK18" s="409"/>
      <c r="HL18" s="409"/>
      <c r="HM18" s="409"/>
      <c r="HN18" s="409"/>
      <c r="HO18" s="409"/>
      <c r="HP18" s="409"/>
      <c r="HQ18" s="409"/>
      <c r="HR18" s="409"/>
      <c r="HS18" s="409"/>
      <c r="HT18" s="409"/>
      <c r="HU18" s="409"/>
      <c r="HV18" s="409"/>
      <c r="HW18" s="409"/>
      <c r="HX18" s="409"/>
      <c r="HY18" s="409"/>
      <c r="HZ18" s="409"/>
      <c r="IA18" s="409"/>
      <c r="IB18" s="409"/>
      <c r="IC18" s="409"/>
      <c r="ID18" s="409"/>
      <c r="IE18" s="409"/>
      <c r="IF18" s="409"/>
      <c r="IG18" s="409"/>
      <c r="IH18" s="409"/>
      <c r="II18" s="409"/>
      <c r="IJ18" s="409"/>
      <c r="IK18" s="409"/>
      <c r="IL18" s="409"/>
      <c r="IM18" s="409"/>
      <c r="IN18" s="409"/>
      <c r="IO18" s="409"/>
      <c r="IP18" s="409"/>
      <c r="IQ18" s="409"/>
      <c r="IR18" s="409"/>
      <c r="IS18" s="409"/>
      <c r="IT18" s="409"/>
      <c r="IU18" s="409"/>
      <c r="IV18" s="409"/>
      <c r="IW18" s="409"/>
      <c r="IX18" s="409"/>
      <c r="IY18" s="409"/>
      <c r="IZ18" s="409"/>
      <c r="JA18" s="409"/>
      <c r="JB18" s="409"/>
      <c r="JC18" s="409"/>
      <c r="JD18" s="409"/>
    </row>
    <row r="19" spans="1:264" s="867" customFormat="1" ht="13.8" outlineLevel="1">
      <c r="A19" s="895"/>
      <c r="B19" s="885"/>
      <c r="C19" s="835"/>
      <c r="D19" s="885"/>
      <c r="E19" s="864"/>
      <c r="F19" s="864"/>
      <c r="G19" s="864"/>
      <c r="H19" s="862"/>
      <c r="I19" s="865"/>
      <c r="J19" s="864"/>
      <c r="K19" s="863"/>
      <c r="L19" s="863"/>
      <c r="M19" s="863"/>
      <c r="N19" s="863"/>
      <c r="O19" s="863"/>
      <c r="P19" s="863"/>
      <c r="Q19" s="863"/>
      <c r="R19" s="863"/>
      <c r="S19" s="863"/>
      <c r="T19" s="864"/>
      <c r="U19" s="864"/>
      <c r="V19" s="864"/>
      <c r="W19" s="864"/>
      <c r="X19" s="864"/>
      <c r="Y19" s="864"/>
      <c r="Z19" s="864"/>
      <c r="AA19" s="864"/>
      <c r="AB19" s="864"/>
      <c r="AC19" s="864"/>
      <c r="AD19" s="864"/>
      <c r="AE19" s="864"/>
      <c r="AF19" s="864"/>
      <c r="AG19" s="864"/>
      <c r="AH19" s="864"/>
      <c r="AI19" s="864"/>
      <c r="AJ19" s="864"/>
      <c r="AK19" s="864"/>
      <c r="AL19" s="864"/>
      <c r="AM19" s="864"/>
      <c r="AN19" s="864"/>
      <c r="AO19" s="864"/>
      <c r="AP19" s="864"/>
      <c r="AQ19" s="864"/>
      <c r="AR19" s="864"/>
      <c r="AS19" s="864"/>
      <c r="AT19" s="864"/>
      <c r="AU19" s="864"/>
      <c r="AV19" s="864"/>
      <c r="AW19" s="864"/>
      <c r="AX19" s="864"/>
      <c r="AY19" s="864"/>
      <c r="AZ19" s="864"/>
      <c r="BA19" s="864"/>
      <c r="BB19" s="864"/>
      <c r="BC19" s="864"/>
      <c r="BD19" s="864"/>
      <c r="BE19" s="864"/>
      <c r="BF19" s="864"/>
      <c r="BG19" s="864"/>
      <c r="BH19" s="864"/>
      <c r="BI19" s="864"/>
      <c r="BJ19" s="864"/>
      <c r="BK19" s="864"/>
      <c r="BL19" s="864"/>
      <c r="BM19" s="864"/>
      <c r="BN19" s="864"/>
      <c r="BO19" s="864"/>
      <c r="BP19" s="864"/>
      <c r="BQ19" s="864"/>
      <c r="BR19" s="864"/>
      <c r="BS19" s="864"/>
      <c r="BT19" s="864"/>
      <c r="BU19" s="864"/>
      <c r="BV19" s="863"/>
      <c r="BW19" s="864"/>
      <c r="BX19" s="864"/>
      <c r="BY19" s="864"/>
      <c r="BZ19" s="864"/>
      <c r="CA19" s="864"/>
      <c r="CB19" s="864"/>
      <c r="CC19" s="864"/>
      <c r="CD19" s="864"/>
      <c r="CE19" s="864"/>
      <c r="CF19" s="864"/>
      <c r="CG19" s="864"/>
      <c r="CH19" s="864"/>
      <c r="CI19" s="863"/>
      <c r="CJ19" s="863"/>
      <c r="CK19" s="863"/>
      <c r="CL19" s="863"/>
      <c r="CM19" s="863"/>
      <c r="CN19" s="863"/>
      <c r="CO19" s="863"/>
      <c r="CP19" s="863"/>
      <c r="CQ19" s="863"/>
      <c r="CR19" s="863"/>
      <c r="CS19" s="863"/>
      <c r="CT19" s="863"/>
      <c r="CU19" s="863"/>
      <c r="CV19" s="863"/>
      <c r="CW19" s="863"/>
      <c r="CX19" s="863"/>
      <c r="CY19" s="863"/>
      <c r="CZ19" s="863"/>
      <c r="DA19" s="863"/>
      <c r="DB19" s="863"/>
      <c r="DC19" s="863"/>
      <c r="DD19" s="863"/>
      <c r="DE19" s="863"/>
      <c r="DF19" s="863"/>
      <c r="DG19" s="863"/>
      <c r="DH19" s="863"/>
      <c r="DI19" s="863"/>
      <c r="DJ19" s="863"/>
      <c r="DK19" s="863"/>
      <c r="DL19" s="866"/>
      <c r="DN19" s="409"/>
      <c r="DO19" s="409"/>
      <c r="DP19" s="409"/>
      <c r="DQ19" s="409"/>
      <c r="DR19" s="409"/>
      <c r="DS19" s="409"/>
      <c r="DT19" s="409"/>
      <c r="DU19" s="409"/>
      <c r="DV19" s="409"/>
      <c r="DW19" s="409"/>
      <c r="DX19" s="409"/>
      <c r="DY19" s="409"/>
      <c r="DZ19" s="409"/>
      <c r="EA19" s="409"/>
      <c r="EB19" s="409"/>
      <c r="EC19" s="409"/>
      <c r="ED19" s="409"/>
      <c r="EE19" s="409"/>
      <c r="EF19" s="409"/>
      <c r="EG19" s="409"/>
      <c r="EH19" s="409"/>
      <c r="EI19" s="409"/>
      <c r="EJ19" s="409"/>
      <c r="EK19" s="409"/>
      <c r="EL19" s="409"/>
      <c r="EM19" s="409"/>
      <c r="EN19" s="409"/>
      <c r="EO19" s="409"/>
      <c r="EP19" s="409"/>
      <c r="EQ19" s="409"/>
      <c r="ER19" s="409"/>
      <c r="ES19" s="409"/>
      <c r="ET19" s="409"/>
      <c r="EU19" s="409"/>
      <c r="EV19" s="409"/>
      <c r="EW19" s="409"/>
      <c r="EX19" s="409"/>
      <c r="EY19" s="409"/>
      <c r="EZ19" s="409"/>
      <c r="FA19" s="409"/>
      <c r="FB19" s="409"/>
      <c r="FC19" s="409"/>
      <c r="FD19" s="409"/>
      <c r="FE19" s="409"/>
      <c r="FF19" s="409"/>
      <c r="FG19" s="409"/>
      <c r="FH19" s="409"/>
      <c r="FI19" s="409"/>
      <c r="FJ19" s="409"/>
      <c r="FK19" s="409"/>
      <c r="FL19" s="409"/>
      <c r="FM19" s="409"/>
      <c r="FN19" s="409"/>
      <c r="FO19" s="409"/>
      <c r="FP19" s="409"/>
      <c r="FQ19" s="409"/>
      <c r="FR19" s="409"/>
      <c r="FS19" s="409"/>
      <c r="FT19" s="409"/>
      <c r="FU19" s="409"/>
      <c r="FV19" s="409"/>
      <c r="FW19" s="409"/>
      <c r="FX19" s="409"/>
      <c r="FY19" s="409"/>
      <c r="FZ19" s="409"/>
      <c r="GA19" s="409"/>
      <c r="GB19" s="409"/>
      <c r="GC19" s="409"/>
      <c r="GD19" s="409"/>
      <c r="GE19" s="409"/>
      <c r="GF19" s="409"/>
      <c r="GG19" s="409"/>
      <c r="GH19" s="409"/>
      <c r="GI19" s="409"/>
      <c r="GJ19" s="409"/>
      <c r="GK19" s="409"/>
      <c r="GL19" s="409"/>
      <c r="GM19" s="409"/>
      <c r="GN19" s="409"/>
      <c r="GO19" s="409"/>
      <c r="GP19" s="409"/>
      <c r="GQ19" s="409"/>
      <c r="GR19" s="409"/>
      <c r="GS19" s="409"/>
      <c r="GT19" s="409"/>
      <c r="GU19" s="409"/>
      <c r="GV19" s="409"/>
      <c r="GW19" s="409"/>
      <c r="GX19" s="409"/>
      <c r="GY19" s="409"/>
      <c r="GZ19" s="409"/>
      <c r="HA19" s="409"/>
      <c r="HB19" s="409"/>
      <c r="HC19" s="409"/>
      <c r="HD19" s="409"/>
      <c r="HE19" s="409"/>
      <c r="HF19" s="409"/>
      <c r="HG19" s="409"/>
      <c r="HH19" s="409"/>
      <c r="HI19" s="409"/>
      <c r="HJ19" s="409"/>
      <c r="HK19" s="409"/>
      <c r="HL19" s="409"/>
      <c r="HM19" s="409"/>
      <c r="HN19" s="409"/>
      <c r="HO19" s="409"/>
      <c r="HP19" s="409"/>
      <c r="HQ19" s="409"/>
      <c r="HR19" s="409"/>
      <c r="HS19" s="409"/>
      <c r="HT19" s="409"/>
      <c r="HU19" s="409"/>
      <c r="HV19" s="409"/>
      <c r="HW19" s="409"/>
      <c r="HX19" s="409"/>
      <c r="HY19" s="409"/>
      <c r="HZ19" s="409"/>
      <c r="IA19" s="409"/>
      <c r="IB19" s="409"/>
      <c r="IC19" s="409"/>
      <c r="ID19" s="409"/>
      <c r="IE19" s="409"/>
      <c r="IF19" s="409"/>
      <c r="IG19" s="409"/>
      <c r="IH19" s="409"/>
      <c r="II19" s="409"/>
      <c r="IJ19" s="409"/>
      <c r="IK19" s="409"/>
      <c r="IL19" s="409"/>
      <c r="IM19" s="409"/>
      <c r="IN19" s="409"/>
      <c r="IO19" s="409"/>
      <c r="IP19" s="409"/>
      <c r="IQ19" s="409"/>
      <c r="IR19" s="409"/>
      <c r="IS19" s="409"/>
      <c r="IT19" s="409"/>
      <c r="IU19" s="409"/>
      <c r="IV19" s="409"/>
      <c r="IW19" s="409"/>
      <c r="IX19" s="409"/>
      <c r="IY19" s="409"/>
      <c r="IZ19" s="409"/>
      <c r="JA19" s="409"/>
      <c r="JB19" s="409"/>
      <c r="JC19" s="409"/>
      <c r="JD19" s="409"/>
    </row>
    <row r="20" spans="1:264" s="867" customFormat="1" ht="13.8" outlineLevel="1">
      <c r="A20" s="895"/>
      <c r="B20" s="885"/>
      <c r="C20" s="835"/>
      <c r="D20" s="885"/>
      <c r="E20" s="864"/>
      <c r="F20" s="864"/>
      <c r="G20" s="864"/>
      <c r="H20" s="862"/>
      <c r="I20" s="865"/>
      <c r="J20" s="864"/>
      <c r="K20" s="863"/>
      <c r="L20" s="863"/>
      <c r="M20" s="863"/>
      <c r="N20" s="863"/>
      <c r="O20" s="863"/>
      <c r="P20" s="863"/>
      <c r="Q20" s="863"/>
      <c r="R20" s="863"/>
      <c r="S20" s="863"/>
      <c r="T20" s="864"/>
      <c r="U20" s="864"/>
      <c r="V20" s="864"/>
      <c r="W20" s="864"/>
      <c r="X20" s="864"/>
      <c r="Y20" s="864"/>
      <c r="Z20" s="864"/>
      <c r="AA20" s="864"/>
      <c r="AB20" s="864"/>
      <c r="AC20" s="864"/>
      <c r="AD20" s="864"/>
      <c r="AE20" s="864"/>
      <c r="AF20" s="864"/>
      <c r="AG20" s="864"/>
      <c r="AH20" s="864"/>
      <c r="AI20" s="864"/>
      <c r="AJ20" s="864"/>
      <c r="AK20" s="864"/>
      <c r="AL20" s="864"/>
      <c r="AM20" s="864"/>
      <c r="AN20" s="864"/>
      <c r="AO20" s="864"/>
      <c r="AP20" s="864"/>
      <c r="AQ20" s="864"/>
      <c r="AR20" s="864"/>
      <c r="AS20" s="864"/>
      <c r="AT20" s="864"/>
      <c r="AU20" s="864"/>
      <c r="AV20" s="864"/>
      <c r="AW20" s="864"/>
      <c r="AX20" s="864"/>
      <c r="AY20" s="864"/>
      <c r="AZ20" s="864"/>
      <c r="BA20" s="864"/>
      <c r="BB20" s="864"/>
      <c r="BC20" s="864"/>
      <c r="BD20" s="864"/>
      <c r="BE20" s="864"/>
      <c r="BF20" s="864"/>
      <c r="BG20" s="864"/>
      <c r="BH20" s="864"/>
      <c r="BI20" s="864"/>
      <c r="BJ20" s="864"/>
      <c r="BK20" s="864"/>
      <c r="BL20" s="864"/>
      <c r="BM20" s="864"/>
      <c r="BN20" s="864"/>
      <c r="BO20" s="864"/>
      <c r="BP20" s="864"/>
      <c r="BQ20" s="864"/>
      <c r="BR20" s="864"/>
      <c r="BS20" s="864"/>
      <c r="BT20" s="864"/>
      <c r="BU20" s="864"/>
      <c r="BV20" s="863"/>
      <c r="BW20" s="864"/>
      <c r="BX20" s="864"/>
      <c r="BY20" s="864"/>
      <c r="BZ20" s="864"/>
      <c r="CA20" s="864"/>
      <c r="CB20" s="864"/>
      <c r="CC20" s="864"/>
      <c r="CD20" s="864"/>
      <c r="CE20" s="864"/>
      <c r="CF20" s="864"/>
      <c r="CG20" s="864"/>
      <c r="CH20" s="864"/>
      <c r="CI20" s="863"/>
      <c r="CJ20" s="863"/>
      <c r="CK20" s="863"/>
      <c r="CL20" s="863"/>
      <c r="CM20" s="863"/>
      <c r="CN20" s="863"/>
      <c r="CO20" s="863"/>
      <c r="CP20" s="863"/>
      <c r="CQ20" s="863"/>
      <c r="CR20" s="863"/>
      <c r="CS20" s="863"/>
      <c r="CT20" s="863"/>
      <c r="CU20" s="863"/>
      <c r="CV20" s="863"/>
      <c r="CW20" s="863"/>
      <c r="CX20" s="863"/>
      <c r="CY20" s="863"/>
      <c r="CZ20" s="863"/>
      <c r="DA20" s="863"/>
      <c r="DB20" s="863"/>
      <c r="DC20" s="863"/>
      <c r="DD20" s="863"/>
      <c r="DE20" s="863"/>
      <c r="DF20" s="863"/>
      <c r="DG20" s="863"/>
      <c r="DH20" s="863"/>
      <c r="DI20" s="863"/>
      <c r="DJ20" s="863"/>
      <c r="DK20" s="863"/>
      <c r="DL20" s="866"/>
      <c r="DN20" s="409"/>
      <c r="DO20" s="409"/>
      <c r="DP20" s="409"/>
      <c r="DQ20" s="409"/>
      <c r="DR20" s="409"/>
      <c r="DS20" s="409"/>
      <c r="DT20" s="409"/>
      <c r="DU20" s="409"/>
      <c r="DV20" s="409"/>
      <c r="DW20" s="409"/>
      <c r="DX20" s="409"/>
      <c r="DY20" s="409"/>
      <c r="DZ20" s="409"/>
      <c r="EA20" s="409"/>
      <c r="EB20" s="409"/>
      <c r="EC20" s="409"/>
      <c r="ED20" s="409"/>
      <c r="EE20" s="409"/>
      <c r="EF20" s="409"/>
      <c r="EG20" s="409"/>
      <c r="EH20" s="409"/>
      <c r="EI20" s="409"/>
      <c r="EJ20" s="409"/>
      <c r="EK20" s="409"/>
      <c r="EL20" s="409"/>
      <c r="EM20" s="409"/>
      <c r="EN20" s="409"/>
      <c r="EO20" s="409"/>
      <c r="EP20" s="409"/>
      <c r="EQ20" s="409"/>
      <c r="ER20" s="409"/>
      <c r="ES20" s="409"/>
      <c r="ET20" s="409"/>
      <c r="EU20" s="409"/>
      <c r="EV20" s="409"/>
      <c r="EW20" s="409"/>
      <c r="EX20" s="409"/>
      <c r="EY20" s="409"/>
      <c r="EZ20" s="409"/>
      <c r="FA20" s="409"/>
      <c r="FB20" s="409"/>
      <c r="FC20" s="409"/>
      <c r="FD20" s="409"/>
      <c r="FE20" s="409"/>
      <c r="FF20" s="409"/>
      <c r="FG20" s="409"/>
      <c r="FH20" s="409"/>
      <c r="FI20" s="409"/>
      <c r="FJ20" s="409"/>
      <c r="FK20" s="409"/>
      <c r="FL20" s="409"/>
      <c r="FM20" s="409"/>
      <c r="FN20" s="409"/>
      <c r="FO20" s="409"/>
      <c r="FP20" s="409"/>
      <c r="FQ20" s="409"/>
      <c r="FR20" s="409"/>
      <c r="FS20" s="409"/>
      <c r="FT20" s="409"/>
      <c r="FU20" s="409"/>
      <c r="FV20" s="409"/>
      <c r="FW20" s="409"/>
      <c r="FX20" s="409"/>
      <c r="FY20" s="409"/>
      <c r="FZ20" s="409"/>
      <c r="GA20" s="409"/>
      <c r="GB20" s="409"/>
      <c r="GC20" s="409"/>
      <c r="GD20" s="409"/>
      <c r="GE20" s="409"/>
      <c r="GF20" s="409"/>
      <c r="GG20" s="409"/>
      <c r="GH20" s="409"/>
      <c r="GI20" s="409"/>
      <c r="GJ20" s="409"/>
      <c r="GK20" s="409"/>
      <c r="GL20" s="409"/>
      <c r="GM20" s="409"/>
      <c r="GN20" s="409"/>
      <c r="GO20" s="409"/>
      <c r="GP20" s="409"/>
      <c r="GQ20" s="409"/>
      <c r="GR20" s="409"/>
      <c r="GS20" s="409"/>
      <c r="GT20" s="409"/>
      <c r="GU20" s="409"/>
      <c r="GV20" s="409"/>
      <c r="GW20" s="409"/>
      <c r="GX20" s="409"/>
      <c r="GY20" s="409"/>
      <c r="GZ20" s="409"/>
      <c r="HA20" s="409"/>
      <c r="HB20" s="409"/>
      <c r="HC20" s="409"/>
      <c r="HD20" s="409"/>
      <c r="HE20" s="409"/>
      <c r="HF20" s="409"/>
      <c r="HG20" s="409"/>
      <c r="HH20" s="409"/>
      <c r="HI20" s="409"/>
      <c r="HJ20" s="409"/>
      <c r="HK20" s="409"/>
      <c r="HL20" s="409"/>
      <c r="HM20" s="409"/>
      <c r="HN20" s="409"/>
      <c r="HO20" s="409"/>
      <c r="HP20" s="409"/>
      <c r="HQ20" s="409"/>
      <c r="HR20" s="409"/>
      <c r="HS20" s="409"/>
      <c r="HT20" s="409"/>
      <c r="HU20" s="409"/>
      <c r="HV20" s="409"/>
      <c r="HW20" s="409"/>
      <c r="HX20" s="409"/>
      <c r="HY20" s="409"/>
      <c r="HZ20" s="409"/>
      <c r="IA20" s="409"/>
      <c r="IB20" s="409"/>
      <c r="IC20" s="409"/>
      <c r="ID20" s="409"/>
      <c r="IE20" s="409"/>
      <c r="IF20" s="409"/>
      <c r="IG20" s="409"/>
      <c r="IH20" s="409"/>
      <c r="II20" s="409"/>
      <c r="IJ20" s="409"/>
      <c r="IK20" s="409"/>
      <c r="IL20" s="409"/>
      <c r="IM20" s="409"/>
      <c r="IN20" s="409"/>
      <c r="IO20" s="409"/>
      <c r="IP20" s="409"/>
      <c r="IQ20" s="409"/>
      <c r="IR20" s="409"/>
      <c r="IS20" s="409"/>
      <c r="IT20" s="409"/>
      <c r="IU20" s="409"/>
      <c r="IV20" s="409"/>
      <c r="IW20" s="409"/>
      <c r="IX20" s="409"/>
      <c r="IY20" s="409"/>
      <c r="IZ20" s="409"/>
      <c r="JA20" s="409"/>
      <c r="JB20" s="409"/>
      <c r="JC20" s="409"/>
      <c r="JD20" s="409"/>
    </row>
    <row r="21" spans="1:264" s="867" customFormat="1" ht="13.8" outlineLevel="1">
      <c r="A21" s="895"/>
      <c r="B21" s="885"/>
      <c r="C21" s="835"/>
      <c r="D21" s="885"/>
      <c r="E21" s="864"/>
      <c r="F21" s="864"/>
      <c r="G21" s="864"/>
      <c r="H21" s="862"/>
      <c r="I21" s="865"/>
      <c r="J21" s="864"/>
      <c r="K21" s="863"/>
      <c r="L21" s="863"/>
      <c r="M21" s="863"/>
      <c r="N21" s="863"/>
      <c r="O21" s="863"/>
      <c r="P21" s="863"/>
      <c r="Q21" s="863"/>
      <c r="R21" s="863"/>
      <c r="S21" s="863"/>
      <c r="T21" s="864"/>
      <c r="U21" s="864"/>
      <c r="V21" s="864"/>
      <c r="W21" s="864"/>
      <c r="X21" s="864"/>
      <c r="Y21" s="864"/>
      <c r="Z21" s="864"/>
      <c r="AA21" s="864"/>
      <c r="AB21" s="864"/>
      <c r="AC21" s="864"/>
      <c r="AD21" s="864"/>
      <c r="AE21" s="864"/>
      <c r="AF21" s="864"/>
      <c r="AG21" s="864"/>
      <c r="AH21" s="864"/>
      <c r="AI21" s="864"/>
      <c r="AJ21" s="864"/>
      <c r="AK21" s="864"/>
      <c r="AL21" s="864"/>
      <c r="AM21" s="864"/>
      <c r="AN21" s="864"/>
      <c r="AO21" s="864"/>
      <c r="AP21" s="864"/>
      <c r="AQ21" s="864"/>
      <c r="AR21" s="864"/>
      <c r="AS21" s="864"/>
      <c r="AT21" s="864"/>
      <c r="AU21" s="864"/>
      <c r="AV21" s="864"/>
      <c r="AW21" s="864"/>
      <c r="AX21" s="864"/>
      <c r="AY21" s="864"/>
      <c r="AZ21" s="864"/>
      <c r="BA21" s="864"/>
      <c r="BB21" s="864"/>
      <c r="BC21" s="864"/>
      <c r="BD21" s="864"/>
      <c r="BE21" s="864"/>
      <c r="BF21" s="864"/>
      <c r="BG21" s="864"/>
      <c r="BH21" s="864"/>
      <c r="BI21" s="864"/>
      <c r="BJ21" s="864"/>
      <c r="BK21" s="864"/>
      <c r="BL21" s="864"/>
      <c r="BM21" s="864"/>
      <c r="BN21" s="864"/>
      <c r="BO21" s="864"/>
      <c r="BP21" s="864"/>
      <c r="BQ21" s="864"/>
      <c r="BR21" s="864"/>
      <c r="BS21" s="864"/>
      <c r="BT21" s="864"/>
      <c r="BU21" s="864"/>
      <c r="BV21" s="863"/>
      <c r="BW21" s="864"/>
      <c r="BX21" s="864"/>
      <c r="BY21" s="864"/>
      <c r="BZ21" s="864"/>
      <c r="CA21" s="864"/>
      <c r="CB21" s="864"/>
      <c r="CC21" s="864"/>
      <c r="CD21" s="864"/>
      <c r="CE21" s="864"/>
      <c r="CF21" s="864"/>
      <c r="CG21" s="864"/>
      <c r="CH21" s="864"/>
      <c r="CI21" s="863"/>
      <c r="CJ21" s="863"/>
      <c r="CK21" s="863"/>
      <c r="CL21" s="863"/>
      <c r="CM21" s="863"/>
      <c r="CN21" s="863"/>
      <c r="CO21" s="863"/>
      <c r="CP21" s="863"/>
      <c r="CQ21" s="863"/>
      <c r="CR21" s="863"/>
      <c r="CS21" s="863"/>
      <c r="CT21" s="863"/>
      <c r="CU21" s="863"/>
      <c r="CV21" s="863"/>
      <c r="CW21" s="863"/>
      <c r="CX21" s="863"/>
      <c r="CY21" s="863"/>
      <c r="CZ21" s="863"/>
      <c r="DA21" s="863"/>
      <c r="DB21" s="863"/>
      <c r="DC21" s="863"/>
      <c r="DD21" s="863"/>
      <c r="DE21" s="863"/>
      <c r="DF21" s="863"/>
      <c r="DG21" s="863"/>
      <c r="DH21" s="863"/>
      <c r="DI21" s="863"/>
      <c r="DJ21" s="863"/>
      <c r="DK21" s="863"/>
      <c r="DL21" s="866"/>
      <c r="DN21" s="409"/>
      <c r="DO21" s="409"/>
      <c r="DP21" s="409"/>
      <c r="DQ21" s="409"/>
      <c r="DR21" s="409"/>
      <c r="DS21" s="409"/>
      <c r="DT21" s="409"/>
      <c r="DU21" s="409"/>
      <c r="DV21" s="409"/>
      <c r="DW21" s="409"/>
      <c r="DX21" s="409"/>
      <c r="DY21" s="409"/>
      <c r="DZ21" s="409"/>
      <c r="EA21" s="409"/>
      <c r="EB21" s="409"/>
      <c r="EC21" s="409"/>
      <c r="ED21" s="409"/>
      <c r="EE21" s="409"/>
      <c r="EF21" s="409"/>
      <c r="EG21" s="409"/>
      <c r="EH21" s="409"/>
      <c r="EI21" s="409"/>
      <c r="EJ21" s="409"/>
      <c r="EK21" s="409"/>
      <c r="EL21" s="409"/>
      <c r="EM21" s="409"/>
      <c r="EN21" s="409"/>
      <c r="EO21" s="409"/>
      <c r="EP21" s="409"/>
      <c r="EQ21" s="409"/>
      <c r="ER21" s="409"/>
      <c r="ES21" s="409"/>
      <c r="ET21" s="409"/>
      <c r="EU21" s="409"/>
      <c r="EV21" s="409"/>
      <c r="EW21" s="409"/>
      <c r="EX21" s="409"/>
      <c r="EY21" s="409"/>
      <c r="EZ21" s="409"/>
      <c r="FA21" s="409"/>
      <c r="FB21" s="409"/>
      <c r="FC21" s="409"/>
      <c r="FD21" s="409"/>
      <c r="FE21" s="409"/>
      <c r="FF21" s="409"/>
      <c r="FG21" s="409"/>
      <c r="FH21" s="409"/>
      <c r="FI21" s="409"/>
      <c r="FJ21" s="409"/>
      <c r="FK21" s="409"/>
      <c r="FL21" s="409"/>
      <c r="FM21" s="409"/>
      <c r="FN21" s="409"/>
      <c r="FO21" s="409"/>
      <c r="FP21" s="409"/>
      <c r="FQ21" s="409"/>
      <c r="FR21" s="409"/>
      <c r="FS21" s="409"/>
      <c r="FT21" s="409"/>
      <c r="FU21" s="409"/>
      <c r="FV21" s="409"/>
      <c r="FW21" s="409"/>
      <c r="FX21" s="409"/>
      <c r="FY21" s="409"/>
      <c r="FZ21" s="409"/>
      <c r="GA21" s="409"/>
      <c r="GB21" s="409"/>
      <c r="GC21" s="409"/>
      <c r="GD21" s="409"/>
      <c r="GE21" s="409"/>
      <c r="GF21" s="409"/>
      <c r="GG21" s="409"/>
      <c r="GH21" s="409"/>
      <c r="GI21" s="409"/>
      <c r="GJ21" s="409"/>
      <c r="GK21" s="409"/>
      <c r="GL21" s="409"/>
      <c r="GM21" s="409"/>
      <c r="GN21" s="409"/>
      <c r="GO21" s="409"/>
      <c r="GP21" s="409"/>
      <c r="GQ21" s="409"/>
      <c r="GR21" s="409"/>
      <c r="GS21" s="409"/>
      <c r="GT21" s="409"/>
      <c r="GU21" s="409"/>
      <c r="GV21" s="409"/>
      <c r="GW21" s="409"/>
      <c r="GX21" s="409"/>
      <c r="GY21" s="409"/>
      <c r="GZ21" s="409"/>
      <c r="HA21" s="409"/>
      <c r="HB21" s="409"/>
      <c r="HC21" s="409"/>
      <c r="HD21" s="409"/>
      <c r="HE21" s="409"/>
      <c r="HF21" s="409"/>
      <c r="HG21" s="409"/>
      <c r="HH21" s="409"/>
      <c r="HI21" s="409"/>
      <c r="HJ21" s="409"/>
      <c r="HK21" s="409"/>
      <c r="HL21" s="409"/>
      <c r="HM21" s="409"/>
      <c r="HN21" s="409"/>
      <c r="HO21" s="409"/>
      <c r="HP21" s="409"/>
      <c r="HQ21" s="409"/>
      <c r="HR21" s="409"/>
      <c r="HS21" s="409"/>
      <c r="HT21" s="409"/>
      <c r="HU21" s="409"/>
      <c r="HV21" s="409"/>
      <c r="HW21" s="409"/>
      <c r="HX21" s="409"/>
      <c r="HY21" s="409"/>
      <c r="HZ21" s="409"/>
      <c r="IA21" s="409"/>
      <c r="IB21" s="409"/>
      <c r="IC21" s="409"/>
      <c r="ID21" s="409"/>
      <c r="IE21" s="409"/>
      <c r="IF21" s="409"/>
      <c r="IG21" s="409"/>
      <c r="IH21" s="409"/>
      <c r="II21" s="409"/>
      <c r="IJ21" s="409"/>
      <c r="IK21" s="409"/>
      <c r="IL21" s="409"/>
      <c r="IM21" s="409"/>
      <c r="IN21" s="409"/>
      <c r="IO21" s="409"/>
      <c r="IP21" s="409"/>
      <c r="IQ21" s="409"/>
      <c r="IR21" s="409"/>
      <c r="IS21" s="409"/>
      <c r="IT21" s="409"/>
      <c r="IU21" s="409"/>
      <c r="IV21" s="409"/>
      <c r="IW21" s="409"/>
      <c r="IX21" s="409"/>
      <c r="IY21" s="409"/>
      <c r="IZ21" s="409"/>
      <c r="JA21" s="409"/>
      <c r="JB21" s="409"/>
      <c r="JC21" s="409"/>
      <c r="JD21" s="409"/>
    </row>
    <row r="22" spans="1:264" s="867" customFormat="1" ht="13.8" outlineLevel="1">
      <c r="A22" s="895"/>
      <c r="B22" s="885"/>
      <c r="C22" s="835"/>
      <c r="D22" s="885"/>
      <c r="E22" s="864"/>
      <c r="F22" s="864"/>
      <c r="G22" s="864"/>
      <c r="H22" s="862"/>
      <c r="I22" s="865"/>
      <c r="J22" s="864"/>
      <c r="K22" s="863"/>
      <c r="L22" s="863"/>
      <c r="M22" s="863"/>
      <c r="N22" s="863"/>
      <c r="O22" s="863"/>
      <c r="P22" s="863"/>
      <c r="Q22" s="863"/>
      <c r="R22" s="863"/>
      <c r="S22" s="863"/>
      <c r="T22" s="864"/>
      <c r="U22" s="864"/>
      <c r="V22" s="864"/>
      <c r="W22" s="864"/>
      <c r="X22" s="864"/>
      <c r="Y22" s="864"/>
      <c r="Z22" s="864"/>
      <c r="AA22" s="864"/>
      <c r="AB22" s="864"/>
      <c r="AC22" s="864"/>
      <c r="AD22" s="864"/>
      <c r="AE22" s="864"/>
      <c r="AF22" s="864"/>
      <c r="AG22" s="864"/>
      <c r="AH22" s="864"/>
      <c r="AI22" s="864"/>
      <c r="AJ22" s="864"/>
      <c r="AK22" s="864"/>
      <c r="AL22" s="864"/>
      <c r="AM22" s="864"/>
      <c r="AN22" s="864"/>
      <c r="AO22" s="864"/>
      <c r="AP22" s="864"/>
      <c r="AQ22" s="864"/>
      <c r="AR22" s="864"/>
      <c r="AS22" s="864"/>
      <c r="AT22" s="864"/>
      <c r="AU22" s="864"/>
      <c r="AV22" s="864"/>
      <c r="AW22" s="864"/>
      <c r="AX22" s="864"/>
      <c r="AY22" s="864"/>
      <c r="AZ22" s="864"/>
      <c r="BA22" s="864"/>
      <c r="BB22" s="864"/>
      <c r="BC22" s="864"/>
      <c r="BD22" s="864"/>
      <c r="BE22" s="864"/>
      <c r="BF22" s="864"/>
      <c r="BG22" s="864"/>
      <c r="BH22" s="864"/>
      <c r="BI22" s="864"/>
      <c r="BJ22" s="864"/>
      <c r="BK22" s="864"/>
      <c r="BL22" s="864"/>
      <c r="BM22" s="864"/>
      <c r="BN22" s="864"/>
      <c r="BO22" s="864"/>
      <c r="BP22" s="864"/>
      <c r="BQ22" s="864"/>
      <c r="BR22" s="864"/>
      <c r="BS22" s="864"/>
      <c r="BT22" s="864"/>
      <c r="BU22" s="864"/>
      <c r="BV22" s="864"/>
      <c r="BW22" s="864"/>
      <c r="BX22" s="864"/>
      <c r="BY22" s="864"/>
      <c r="BZ22" s="864"/>
      <c r="CA22" s="864"/>
      <c r="CB22" s="864"/>
      <c r="CC22" s="864"/>
      <c r="CD22" s="864"/>
      <c r="CE22" s="864"/>
      <c r="CF22" s="864"/>
      <c r="CG22" s="864"/>
      <c r="CH22" s="864"/>
      <c r="CI22" s="863"/>
      <c r="CJ22" s="863"/>
      <c r="CK22" s="863"/>
      <c r="CL22" s="863"/>
      <c r="CM22" s="863"/>
      <c r="CN22" s="863"/>
      <c r="CO22" s="863"/>
      <c r="CP22" s="863"/>
      <c r="CQ22" s="863"/>
      <c r="CR22" s="863"/>
      <c r="CS22" s="863"/>
      <c r="CT22" s="863"/>
      <c r="CU22" s="863"/>
      <c r="CV22" s="863"/>
      <c r="CW22" s="863"/>
      <c r="CX22" s="863"/>
      <c r="CY22" s="863"/>
      <c r="CZ22" s="863"/>
      <c r="DA22" s="863"/>
      <c r="DB22" s="863"/>
      <c r="DC22" s="863"/>
      <c r="DD22" s="863"/>
      <c r="DE22" s="863"/>
      <c r="DF22" s="863"/>
      <c r="DG22" s="863"/>
      <c r="DH22" s="863"/>
      <c r="DI22" s="863"/>
      <c r="DJ22" s="863"/>
      <c r="DK22" s="863"/>
      <c r="DL22" s="866"/>
      <c r="DN22" s="409"/>
      <c r="DO22" s="409"/>
      <c r="DP22" s="409"/>
      <c r="DQ22" s="409"/>
      <c r="DR22" s="409"/>
      <c r="DS22" s="409"/>
      <c r="DT22" s="409"/>
      <c r="DU22" s="409"/>
      <c r="DV22" s="409"/>
      <c r="DW22" s="409"/>
      <c r="DX22" s="409"/>
      <c r="DY22" s="409"/>
      <c r="DZ22" s="409"/>
      <c r="EA22" s="409"/>
      <c r="EB22" s="409"/>
      <c r="EC22" s="409"/>
      <c r="ED22" s="409"/>
      <c r="EE22" s="409"/>
      <c r="EF22" s="409"/>
      <c r="EG22" s="409"/>
      <c r="EH22" s="409"/>
      <c r="EI22" s="409"/>
      <c r="EJ22" s="409"/>
      <c r="EK22" s="409"/>
      <c r="EL22" s="409"/>
      <c r="EM22" s="409"/>
      <c r="EN22" s="409"/>
      <c r="EO22" s="409"/>
      <c r="EP22" s="409"/>
      <c r="EQ22" s="409"/>
      <c r="ER22" s="409"/>
      <c r="ES22" s="409"/>
      <c r="ET22" s="409"/>
      <c r="EU22" s="409"/>
      <c r="EV22" s="409"/>
      <c r="EW22" s="409"/>
      <c r="EX22" s="409"/>
      <c r="EY22" s="409"/>
      <c r="EZ22" s="409"/>
      <c r="FA22" s="409"/>
      <c r="FB22" s="409"/>
      <c r="FC22" s="409"/>
      <c r="FD22" s="409"/>
      <c r="FE22" s="409"/>
      <c r="FF22" s="409"/>
      <c r="FG22" s="409"/>
      <c r="FH22" s="409"/>
      <c r="FI22" s="409"/>
      <c r="FJ22" s="409"/>
      <c r="FK22" s="409"/>
      <c r="FL22" s="409"/>
      <c r="FM22" s="409"/>
      <c r="FN22" s="409"/>
      <c r="FO22" s="409"/>
      <c r="FP22" s="409"/>
      <c r="FQ22" s="409"/>
      <c r="FR22" s="409"/>
      <c r="FS22" s="409"/>
      <c r="FT22" s="409"/>
      <c r="FU22" s="409"/>
      <c r="FV22" s="409"/>
      <c r="FW22" s="409"/>
      <c r="FX22" s="409"/>
      <c r="FY22" s="409"/>
      <c r="FZ22" s="409"/>
      <c r="GA22" s="409"/>
      <c r="GB22" s="409"/>
      <c r="GC22" s="409"/>
      <c r="GD22" s="409"/>
      <c r="GE22" s="409"/>
      <c r="GF22" s="409"/>
      <c r="GG22" s="409"/>
      <c r="GH22" s="409"/>
      <c r="GI22" s="409"/>
      <c r="GJ22" s="409"/>
      <c r="GK22" s="409"/>
      <c r="GL22" s="409"/>
      <c r="GM22" s="409"/>
      <c r="GN22" s="409"/>
      <c r="GO22" s="409"/>
      <c r="GP22" s="409"/>
      <c r="GQ22" s="409"/>
      <c r="GR22" s="409"/>
      <c r="GS22" s="409"/>
      <c r="GT22" s="409"/>
      <c r="GU22" s="409"/>
      <c r="GV22" s="409"/>
      <c r="GW22" s="409"/>
      <c r="GX22" s="409"/>
      <c r="GY22" s="409"/>
      <c r="GZ22" s="409"/>
      <c r="HA22" s="409"/>
      <c r="HB22" s="409"/>
      <c r="HC22" s="409"/>
      <c r="HD22" s="409"/>
      <c r="HE22" s="409"/>
      <c r="HF22" s="409"/>
      <c r="HG22" s="409"/>
      <c r="HH22" s="409"/>
      <c r="HI22" s="409"/>
      <c r="HJ22" s="409"/>
      <c r="HK22" s="409"/>
      <c r="HL22" s="409"/>
      <c r="HM22" s="409"/>
      <c r="HN22" s="409"/>
      <c r="HO22" s="409"/>
      <c r="HP22" s="409"/>
      <c r="HQ22" s="409"/>
      <c r="HR22" s="409"/>
      <c r="HS22" s="409"/>
      <c r="HT22" s="409"/>
      <c r="HU22" s="409"/>
      <c r="HV22" s="409"/>
      <c r="HW22" s="409"/>
      <c r="HX22" s="409"/>
      <c r="HY22" s="409"/>
      <c r="HZ22" s="409"/>
      <c r="IA22" s="409"/>
      <c r="IB22" s="409"/>
      <c r="IC22" s="409"/>
      <c r="ID22" s="409"/>
      <c r="IE22" s="409"/>
      <c r="IF22" s="409"/>
      <c r="IG22" s="409"/>
      <c r="IH22" s="409"/>
      <c r="II22" s="409"/>
      <c r="IJ22" s="409"/>
      <c r="IK22" s="409"/>
      <c r="IL22" s="409"/>
      <c r="IM22" s="409"/>
      <c r="IN22" s="409"/>
      <c r="IO22" s="409"/>
      <c r="IP22" s="409"/>
      <c r="IQ22" s="409"/>
      <c r="IR22" s="409"/>
      <c r="IS22" s="409"/>
      <c r="IT22" s="409"/>
      <c r="IU22" s="409"/>
      <c r="IV22" s="409"/>
      <c r="IW22" s="409"/>
      <c r="IX22" s="409"/>
      <c r="IY22" s="409"/>
      <c r="IZ22" s="409"/>
      <c r="JA22" s="409"/>
      <c r="JB22" s="409"/>
      <c r="JC22" s="409"/>
      <c r="JD22" s="409"/>
    </row>
    <row r="23" spans="1:264" s="867" customFormat="1" ht="13.8" outlineLevel="1">
      <c r="A23" s="895"/>
      <c r="B23" s="885"/>
      <c r="C23" s="835"/>
      <c r="D23" s="885"/>
      <c r="E23" s="864"/>
      <c r="F23" s="864"/>
      <c r="G23" s="864"/>
      <c r="H23" s="862"/>
      <c r="I23" s="865"/>
      <c r="J23" s="864"/>
      <c r="K23" s="863"/>
      <c r="L23" s="863"/>
      <c r="M23" s="863"/>
      <c r="N23" s="863"/>
      <c r="O23" s="863"/>
      <c r="P23" s="863"/>
      <c r="Q23" s="863"/>
      <c r="R23" s="863"/>
      <c r="S23" s="863"/>
      <c r="T23" s="864"/>
      <c r="U23" s="864"/>
      <c r="V23" s="864"/>
      <c r="W23" s="864"/>
      <c r="X23" s="864"/>
      <c r="Y23" s="864"/>
      <c r="Z23" s="864"/>
      <c r="AA23" s="864"/>
      <c r="AB23" s="864"/>
      <c r="AC23" s="864"/>
      <c r="AD23" s="864"/>
      <c r="AE23" s="864"/>
      <c r="AF23" s="864"/>
      <c r="AG23" s="864"/>
      <c r="AH23" s="864"/>
      <c r="AI23" s="864"/>
      <c r="AJ23" s="864"/>
      <c r="AK23" s="864"/>
      <c r="AL23" s="864"/>
      <c r="AM23" s="864"/>
      <c r="AN23" s="864"/>
      <c r="AO23" s="864"/>
      <c r="AP23" s="864"/>
      <c r="AQ23" s="864"/>
      <c r="AR23" s="864"/>
      <c r="AS23" s="864"/>
      <c r="AT23" s="864"/>
      <c r="AU23" s="864"/>
      <c r="AV23" s="864"/>
      <c r="AW23" s="864"/>
      <c r="AX23" s="864"/>
      <c r="AY23" s="864"/>
      <c r="AZ23" s="864"/>
      <c r="BA23" s="864"/>
      <c r="BB23" s="864"/>
      <c r="BC23" s="864"/>
      <c r="BD23" s="864"/>
      <c r="BE23" s="864"/>
      <c r="BF23" s="864"/>
      <c r="BG23" s="864"/>
      <c r="BH23" s="864"/>
      <c r="BI23" s="864"/>
      <c r="BJ23" s="864"/>
      <c r="BK23" s="864"/>
      <c r="BL23" s="864"/>
      <c r="BM23" s="864"/>
      <c r="BN23" s="864"/>
      <c r="BO23" s="864"/>
      <c r="BP23" s="864"/>
      <c r="BQ23" s="864"/>
      <c r="BR23" s="864"/>
      <c r="BS23" s="864"/>
      <c r="BT23" s="864"/>
      <c r="BU23" s="864"/>
      <c r="BV23" s="864"/>
      <c r="BW23" s="864"/>
      <c r="BX23" s="864"/>
      <c r="BY23" s="864"/>
      <c r="BZ23" s="864"/>
      <c r="CA23" s="864"/>
      <c r="CB23" s="864"/>
      <c r="CC23" s="864"/>
      <c r="CD23" s="864"/>
      <c r="CE23" s="864"/>
      <c r="CF23" s="864"/>
      <c r="CG23" s="864"/>
      <c r="CH23" s="864"/>
      <c r="CI23" s="863"/>
      <c r="CJ23" s="863"/>
      <c r="CK23" s="863"/>
      <c r="CL23" s="863"/>
      <c r="CM23" s="863"/>
      <c r="CN23" s="863"/>
      <c r="CO23" s="863"/>
      <c r="CP23" s="863"/>
      <c r="CQ23" s="863"/>
      <c r="CR23" s="863"/>
      <c r="CS23" s="863"/>
      <c r="CT23" s="863"/>
      <c r="CU23" s="863"/>
      <c r="CV23" s="863"/>
      <c r="CW23" s="863"/>
      <c r="CX23" s="863"/>
      <c r="CY23" s="863"/>
      <c r="CZ23" s="863"/>
      <c r="DA23" s="863"/>
      <c r="DB23" s="863"/>
      <c r="DC23" s="863"/>
      <c r="DD23" s="863"/>
      <c r="DE23" s="863"/>
      <c r="DF23" s="863"/>
      <c r="DG23" s="863"/>
      <c r="DH23" s="863"/>
      <c r="DI23" s="863"/>
      <c r="DJ23" s="863"/>
      <c r="DK23" s="863"/>
      <c r="DL23" s="866"/>
      <c r="DN23" s="409"/>
      <c r="DO23" s="409"/>
      <c r="DP23" s="409"/>
      <c r="DQ23" s="409"/>
      <c r="DR23" s="409"/>
      <c r="DS23" s="409"/>
      <c r="DT23" s="409"/>
      <c r="DU23" s="409"/>
      <c r="DV23" s="409"/>
      <c r="DW23" s="409"/>
      <c r="DX23" s="409"/>
      <c r="DY23" s="409"/>
      <c r="DZ23" s="409"/>
      <c r="EA23" s="409"/>
      <c r="EB23" s="409"/>
      <c r="EC23" s="409"/>
      <c r="ED23" s="409"/>
      <c r="EE23" s="409"/>
      <c r="EF23" s="409"/>
      <c r="EG23" s="409"/>
      <c r="EH23" s="409"/>
      <c r="EI23" s="409"/>
      <c r="EJ23" s="409"/>
      <c r="EK23" s="409"/>
      <c r="EL23" s="409"/>
      <c r="EM23" s="409"/>
      <c r="EN23" s="409"/>
      <c r="EO23" s="409"/>
      <c r="EP23" s="409"/>
      <c r="EQ23" s="409"/>
      <c r="ER23" s="409"/>
      <c r="ES23" s="409"/>
      <c r="ET23" s="409"/>
      <c r="EU23" s="409"/>
      <c r="EV23" s="409"/>
      <c r="EW23" s="409"/>
      <c r="EX23" s="409"/>
      <c r="EY23" s="409"/>
      <c r="EZ23" s="409"/>
      <c r="FA23" s="409"/>
      <c r="FB23" s="409"/>
      <c r="FC23" s="409"/>
      <c r="FD23" s="409"/>
      <c r="FE23" s="409"/>
      <c r="FF23" s="409"/>
      <c r="FG23" s="409"/>
      <c r="FH23" s="409"/>
      <c r="FI23" s="409"/>
      <c r="FJ23" s="409"/>
      <c r="FK23" s="409"/>
      <c r="FL23" s="409"/>
      <c r="FM23" s="409"/>
      <c r="FN23" s="409"/>
      <c r="FO23" s="409"/>
      <c r="FP23" s="409"/>
      <c r="FQ23" s="409"/>
      <c r="FR23" s="409"/>
      <c r="FS23" s="409"/>
      <c r="FT23" s="409"/>
      <c r="FU23" s="409"/>
      <c r="FV23" s="409"/>
      <c r="FW23" s="409"/>
      <c r="FX23" s="409"/>
      <c r="FY23" s="409"/>
      <c r="FZ23" s="409"/>
      <c r="GA23" s="409"/>
      <c r="GB23" s="409"/>
      <c r="GC23" s="409"/>
      <c r="GD23" s="409"/>
      <c r="GE23" s="409"/>
      <c r="GF23" s="409"/>
      <c r="GG23" s="409"/>
      <c r="GH23" s="409"/>
      <c r="GI23" s="409"/>
      <c r="GJ23" s="409"/>
      <c r="GK23" s="409"/>
      <c r="GL23" s="409"/>
      <c r="GM23" s="409"/>
      <c r="GN23" s="409"/>
      <c r="GO23" s="409"/>
      <c r="GP23" s="409"/>
      <c r="GQ23" s="409"/>
      <c r="GR23" s="409"/>
      <c r="GS23" s="409"/>
      <c r="GT23" s="409"/>
      <c r="GU23" s="409"/>
      <c r="GV23" s="409"/>
      <c r="GW23" s="409"/>
      <c r="GX23" s="409"/>
      <c r="GY23" s="409"/>
      <c r="GZ23" s="409"/>
      <c r="HA23" s="409"/>
      <c r="HB23" s="409"/>
      <c r="HC23" s="409"/>
      <c r="HD23" s="409"/>
      <c r="HE23" s="409"/>
      <c r="HF23" s="409"/>
      <c r="HG23" s="409"/>
      <c r="HH23" s="409"/>
      <c r="HI23" s="409"/>
      <c r="HJ23" s="409"/>
      <c r="HK23" s="409"/>
      <c r="HL23" s="409"/>
      <c r="HM23" s="409"/>
      <c r="HN23" s="409"/>
      <c r="HO23" s="409"/>
      <c r="HP23" s="409"/>
      <c r="HQ23" s="409"/>
      <c r="HR23" s="409"/>
      <c r="HS23" s="409"/>
      <c r="HT23" s="409"/>
      <c r="HU23" s="409"/>
      <c r="HV23" s="409"/>
      <c r="HW23" s="409"/>
      <c r="HX23" s="409"/>
      <c r="HY23" s="409"/>
      <c r="HZ23" s="409"/>
      <c r="IA23" s="409"/>
      <c r="IB23" s="409"/>
      <c r="IC23" s="409"/>
      <c r="ID23" s="409"/>
      <c r="IE23" s="409"/>
      <c r="IF23" s="409"/>
      <c r="IG23" s="409"/>
      <c r="IH23" s="409"/>
      <c r="II23" s="409"/>
      <c r="IJ23" s="409"/>
      <c r="IK23" s="409"/>
      <c r="IL23" s="409"/>
      <c r="IM23" s="409"/>
      <c r="IN23" s="409"/>
      <c r="IO23" s="409"/>
      <c r="IP23" s="409"/>
      <c r="IQ23" s="409"/>
      <c r="IR23" s="409"/>
      <c r="IS23" s="409"/>
      <c r="IT23" s="409"/>
      <c r="IU23" s="409"/>
      <c r="IV23" s="409"/>
      <c r="IW23" s="409"/>
      <c r="IX23" s="409"/>
      <c r="IY23" s="409"/>
      <c r="IZ23" s="409"/>
      <c r="JA23" s="409"/>
      <c r="JB23" s="409"/>
      <c r="JC23" s="409"/>
      <c r="JD23" s="409"/>
    </row>
    <row r="24" spans="1:264" s="867" customFormat="1" ht="13.8" outlineLevel="1">
      <c r="A24" s="895"/>
      <c r="B24" s="885"/>
      <c r="C24" s="835"/>
      <c r="D24" s="885"/>
      <c r="E24" s="864"/>
      <c r="F24" s="864"/>
      <c r="G24" s="864"/>
      <c r="H24" s="862"/>
      <c r="I24" s="865"/>
      <c r="J24" s="864"/>
      <c r="K24" s="863"/>
      <c r="L24" s="863"/>
      <c r="M24" s="863"/>
      <c r="N24" s="863"/>
      <c r="O24" s="863"/>
      <c r="P24" s="863"/>
      <c r="Q24" s="863"/>
      <c r="R24" s="863"/>
      <c r="S24" s="863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3"/>
      <c r="CJ24" s="863"/>
      <c r="CK24" s="863"/>
      <c r="CL24" s="863"/>
      <c r="CM24" s="863"/>
      <c r="CN24" s="863"/>
      <c r="CO24" s="863"/>
      <c r="CP24" s="863"/>
      <c r="CQ24" s="863"/>
      <c r="CR24" s="863"/>
      <c r="CS24" s="863"/>
      <c r="CT24" s="863"/>
      <c r="CU24" s="863"/>
      <c r="CV24" s="863"/>
      <c r="CW24" s="863"/>
      <c r="CX24" s="863"/>
      <c r="CY24" s="863"/>
      <c r="CZ24" s="863"/>
      <c r="DA24" s="863"/>
      <c r="DB24" s="863"/>
      <c r="DC24" s="863"/>
      <c r="DD24" s="863"/>
      <c r="DE24" s="863"/>
      <c r="DF24" s="863"/>
      <c r="DG24" s="863"/>
      <c r="DH24" s="863"/>
      <c r="DI24" s="863"/>
      <c r="DJ24" s="863"/>
      <c r="DK24" s="863"/>
      <c r="DL24" s="866"/>
      <c r="DN24" s="409"/>
      <c r="DO24" s="409"/>
      <c r="DP24" s="409"/>
      <c r="DQ24" s="409"/>
      <c r="DR24" s="409"/>
      <c r="DS24" s="409"/>
      <c r="DT24" s="409"/>
      <c r="DU24" s="409"/>
      <c r="DV24" s="409"/>
      <c r="DW24" s="409"/>
      <c r="DX24" s="409"/>
      <c r="DY24" s="409"/>
      <c r="DZ24" s="409"/>
      <c r="EA24" s="409"/>
      <c r="EB24" s="409"/>
      <c r="EC24" s="409"/>
      <c r="ED24" s="409"/>
      <c r="EE24" s="409"/>
      <c r="EF24" s="409"/>
      <c r="EG24" s="409"/>
      <c r="EH24" s="409"/>
      <c r="EI24" s="409"/>
      <c r="EJ24" s="409"/>
      <c r="EK24" s="409"/>
      <c r="EL24" s="409"/>
      <c r="EM24" s="409"/>
      <c r="EN24" s="409"/>
      <c r="EO24" s="409"/>
      <c r="EP24" s="409"/>
      <c r="EQ24" s="409"/>
      <c r="ER24" s="409"/>
      <c r="ES24" s="409"/>
      <c r="ET24" s="409"/>
      <c r="EU24" s="409"/>
      <c r="EV24" s="409"/>
      <c r="EW24" s="409"/>
      <c r="EX24" s="409"/>
      <c r="EY24" s="409"/>
      <c r="EZ24" s="409"/>
      <c r="FA24" s="409"/>
      <c r="FB24" s="409"/>
      <c r="FC24" s="409"/>
      <c r="FD24" s="409"/>
      <c r="FE24" s="409"/>
      <c r="FF24" s="409"/>
      <c r="FG24" s="409"/>
      <c r="FH24" s="409"/>
      <c r="FI24" s="409"/>
      <c r="FJ24" s="409"/>
      <c r="FK24" s="409"/>
      <c r="FL24" s="409"/>
      <c r="FM24" s="409"/>
      <c r="FN24" s="409"/>
      <c r="FO24" s="409"/>
      <c r="FP24" s="409"/>
      <c r="FQ24" s="409"/>
      <c r="FR24" s="409"/>
      <c r="FS24" s="409"/>
      <c r="FT24" s="409"/>
      <c r="FU24" s="409"/>
      <c r="FV24" s="409"/>
      <c r="FW24" s="409"/>
      <c r="FX24" s="409"/>
      <c r="FY24" s="409"/>
      <c r="FZ24" s="409"/>
      <c r="GA24" s="409"/>
      <c r="GB24" s="409"/>
      <c r="GC24" s="409"/>
      <c r="GD24" s="409"/>
      <c r="GE24" s="409"/>
      <c r="GF24" s="409"/>
      <c r="GG24" s="409"/>
      <c r="GH24" s="409"/>
      <c r="GI24" s="409"/>
      <c r="GJ24" s="409"/>
      <c r="GK24" s="409"/>
      <c r="GL24" s="409"/>
      <c r="GM24" s="409"/>
      <c r="GN24" s="409"/>
      <c r="GO24" s="409"/>
      <c r="GP24" s="409"/>
      <c r="GQ24" s="409"/>
      <c r="GR24" s="409"/>
      <c r="GS24" s="409"/>
      <c r="GT24" s="409"/>
      <c r="GU24" s="409"/>
      <c r="GV24" s="409"/>
      <c r="GW24" s="409"/>
      <c r="GX24" s="409"/>
      <c r="GY24" s="409"/>
      <c r="GZ24" s="409"/>
      <c r="HA24" s="409"/>
      <c r="HB24" s="409"/>
      <c r="HC24" s="409"/>
      <c r="HD24" s="409"/>
      <c r="HE24" s="409"/>
      <c r="HF24" s="409"/>
      <c r="HG24" s="409"/>
      <c r="HH24" s="409"/>
      <c r="HI24" s="409"/>
      <c r="HJ24" s="409"/>
      <c r="HK24" s="409"/>
      <c r="HL24" s="409"/>
      <c r="HM24" s="409"/>
      <c r="HN24" s="409"/>
      <c r="HO24" s="409"/>
      <c r="HP24" s="409"/>
      <c r="HQ24" s="409"/>
      <c r="HR24" s="409"/>
      <c r="HS24" s="409"/>
      <c r="HT24" s="409"/>
      <c r="HU24" s="409"/>
      <c r="HV24" s="409"/>
      <c r="HW24" s="409"/>
      <c r="HX24" s="409"/>
      <c r="HY24" s="409"/>
      <c r="HZ24" s="409"/>
      <c r="IA24" s="409"/>
      <c r="IB24" s="409"/>
      <c r="IC24" s="409"/>
      <c r="ID24" s="409"/>
      <c r="IE24" s="409"/>
      <c r="IF24" s="409"/>
      <c r="IG24" s="409"/>
      <c r="IH24" s="409"/>
      <c r="II24" s="409"/>
      <c r="IJ24" s="409"/>
      <c r="IK24" s="409"/>
      <c r="IL24" s="409"/>
      <c r="IM24" s="409"/>
      <c r="IN24" s="409"/>
      <c r="IO24" s="409"/>
      <c r="IP24" s="409"/>
      <c r="IQ24" s="409"/>
      <c r="IR24" s="409"/>
      <c r="IS24" s="409"/>
      <c r="IT24" s="409"/>
      <c r="IU24" s="409"/>
      <c r="IV24" s="409"/>
      <c r="IW24" s="409"/>
      <c r="IX24" s="409"/>
      <c r="IY24" s="409"/>
      <c r="IZ24" s="409"/>
      <c r="JA24" s="409"/>
      <c r="JB24" s="409"/>
      <c r="JC24" s="409"/>
      <c r="JD24" s="409"/>
    </row>
    <row r="25" spans="1:264" s="867" customFormat="1" ht="13.8" outlineLevel="1">
      <c r="A25" s="895"/>
      <c r="B25" s="885"/>
      <c r="C25" s="835"/>
      <c r="D25" s="885"/>
      <c r="E25" s="864"/>
      <c r="F25" s="864"/>
      <c r="G25" s="864"/>
      <c r="H25" s="862"/>
      <c r="I25" s="865"/>
      <c r="J25" s="864"/>
      <c r="K25" s="863"/>
      <c r="L25" s="863"/>
      <c r="M25" s="863"/>
      <c r="N25" s="863"/>
      <c r="O25" s="863"/>
      <c r="P25" s="863"/>
      <c r="Q25" s="863"/>
      <c r="R25" s="863"/>
      <c r="S25" s="863"/>
      <c r="T25" s="864"/>
      <c r="U25" s="864"/>
      <c r="V25" s="864"/>
      <c r="W25" s="864"/>
      <c r="X25" s="864"/>
      <c r="Y25" s="864"/>
      <c r="Z25" s="864"/>
      <c r="AA25" s="864"/>
      <c r="AB25" s="864"/>
      <c r="AC25" s="864"/>
      <c r="AD25" s="864"/>
      <c r="AE25" s="864"/>
      <c r="AF25" s="864"/>
      <c r="AG25" s="864"/>
      <c r="AH25" s="864"/>
      <c r="AI25" s="864"/>
      <c r="AJ25" s="864"/>
      <c r="AK25" s="864"/>
      <c r="AL25" s="864"/>
      <c r="AM25" s="864"/>
      <c r="AN25" s="864"/>
      <c r="AO25" s="864"/>
      <c r="AP25" s="864"/>
      <c r="AQ25" s="864"/>
      <c r="AR25" s="864"/>
      <c r="AS25" s="864"/>
      <c r="AT25" s="864"/>
      <c r="AU25" s="864"/>
      <c r="AV25" s="864"/>
      <c r="AW25" s="864"/>
      <c r="AX25" s="864"/>
      <c r="AY25" s="864"/>
      <c r="AZ25" s="864"/>
      <c r="BA25" s="864"/>
      <c r="BB25" s="864"/>
      <c r="BC25" s="864"/>
      <c r="BD25" s="864"/>
      <c r="BE25" s="864"/>
      <c r="BF25" s="864"/>
      <c r="BG25" s="864"/>
      <c r="BH25" s="864"/>
      <c r="BI25" s="864"/>
      <c r="BJ25" s="864"/>
      <c r="BK25" s="864"/>
      <c r="BL25" s="864"/>
      <c r="BM25" s="864"/>
      <c r="BN25" s="864"/>
      <c r="BO25" s="864"/>
      <c r="BP25" s="864"/>
      <c r="BQ25" s="864"/>
      <c r="BR25" s="864"/>
      <c r="BS25" s="864"/>
      <c r="BT25" s="864"/>
      <c r="BU25" s="864"/>
      <c r="BV25" s="864"/>
      <c r="BW25" s="864"/>
      <c r="BX25" s="864"/>
      <c r="BY25" s="864"/>
      <c r="BZ25" s="864"/>
      <c r="CA25" s="864"/>
      <c r="CB25" s="864"/>
      <c r="CC25" s="864"/>
      <c r="CD25" s="864"/>
      <c r="CE25" s="864"/>
      <c r="CF25" s="864"/>
      <c r="CG25" s="864"/>
      <c r="CH25" s="864"/>
      <c r="CI25" s="863"/>
      <c r="CJ25" s="863"/>
      <c r="CK25" s="863"/>
      <c r="CL25" s="863"/>
      <c r="CM25" s="863"/>
      <c r="CN25" s="863"/>
      <c r="CO25" s="863"/>
      <c r="CP25" s="863"/>
      <c r="CQ25" s="863"/>
      <c r="CR25" s="863"/>
      <c r="CS25" s="863"/>
      <c r="CT25" s="863"/>
      <c r="CU25" s="863"/>
      <c r="CV25" s="863"/>
      <c r="CW25" s="863"/>
      <c r="CX25" s="863"/>
      <c r="CY25" s="863"/>
      <c r="CZ25" s="863"/>
      <c r="DA25" s="863"/>
      <c r="DB25" s="863"/>
      <c r="DC25" s="863"/>
      <c r="DD25" s="863"/>
      <c r="DE25" s="863"/>
      <c r="DF25" s="863"/>
      <c r="DG25" s="863"/>
      <c r="DH25" s="863"/>
      <c r="DI25" s="863"/>
      <c r="DJ25" s="863"/>
      <c r="DK25" s="863"/>
      <c r="DL25" s="866"/>
      <c r="DN25" s="409"/>
      <c r="DO25" s="409"/>
      <c r="DP25" s="409"/>
      <c r="DQ25" s="409"/>
      <c r="DR25" s="409"/>
      <c r="DS25" s="409"/>
      <c r="DT25" s="409"/>
      <c r="DU25" s="409"/>
      <c r="DV25" s="409"/>
      <c r="DW25" s="409"/>
      <c r="DX25" s="409"/>
      <c r="DY25" s="409"/>
      <c r="DZ25" s="409"/>
      <c r="EA25" s="409"/>
      <c r="EB25" s="409"/>
      <c r="EC25" s="409"/>
      <c r="ED25" s="409"/>
      <c r="EE25" s="409"/>
      <c r="EF25" s="409"/>
      <c r="EG25" s="409"/>
      <c r="EH25" s="409"/>
      <c r="EI25" s="409"/>
      <c r="EJ25" s="409"/>
      <c r="EK25" s="409"/>
      <c r="EL25" s="409"/>
      <c r="EM25" s="409"/>
      <c r="EN25" s="409"/>
      <c r="EO25" s="409"/>
      <c r="EP25" s="409"/>
      <c r="EQ25" s="409"/>
      <c r="ER25" s="409"/>
      <c r="ES25" s="409"/>
      <c r="ET25" s="409"/>
      <c r="EU25" s="409"/>
      <c r="EV25" s="409"/>
      <c r="EW25" s="409"/>
      <c r="EX25" s="409"/>
      <c r="EY25" s="409"/>
      <c r="EZ25" s="409"/>
      <c r="FA25" s="409"/>
      <c r="FB25" s="409"/>
      <c r="FC25" s="409"/>
      <c r="FD25" s="409"/>
      <c r="FE25" s="409"/>
      <c r="FF25" s="409"/>
      <c r="FG25" s="409"/>
      <c r="FH25" s="409"/>
      <c r="FI25" s="409"/>
      <c r="FJ25" s="409"/>
      <c r="FK25" s="409"/>
      <c r="FL25" s="409"/>
      <c r="FM25" s="409"/>
      <c r="FN25" s="409"/>
      <c r="FO25" s="409"/>
      <c r="FP25" s="409"/>
      <c r="FQ25" s="409"/>
      <c r="FR25" s="409"/>
      <c r="FS25" s="409"/>
      <c r="FT25" s="409"/>
      <c r="FU25" s="409"/>
      <c r="FV25" s="409"/>
      <c r="FW25" s="409"/>
      <c r="FX25" s="409"/>
      <c r="FY25" s="409"/>
      <c r="FZ25" s="409"/>
      <c r="GA25" s="409"/>
      <c r="GB25" s="409"/>
      <c r="GC25" s="409"/>
      <c r="GD25" s="409"/>
      <c r="GE25" s="409"/>
      <c r="GF25" s="409"/>
      <c r="GG25" s="409"/>
      <c r="GH25" s="409"/>
      <c r="GI25" s="409"/>
      <c r="GJ25" s="409"/>
      <c r="GK25" s="409"/>
      <c r="GL25" s="409"/>
      <c r="GM25" s="409"/>
      <c r="GN25" s="409"/>
      <c r="GO25" s="409"/>
      <c r="GP25" s="409"/>
      <c r="GQ25" s="409"/>
      <c r="GR25" s="409"/>
      <c r="GS25" s="409"/>
      <c r="GT25" s="409"/>
      <c r="GU25" s="409"/>
      <c r="GV25" s="409"/>
      <c r="GW25" s="409"/>
      <c r="GX25" s="409"/>
      <c r="GY25" s="409"/>
      <c r="GZ25" s="409"/>
      <c r="HA25" s="409"/>
      <c r="HB25" s="409"/>
      <c r="HC25" s="409"/>
      <c r="HD25" s="409"/>
      <c r="HE25" s="409"/>
      <c r="HF25" s="409"/>
      <c r="HG25" s="409"/>
      <c r="HH25" s="409"/>
      <c r="HI25" s="409"/>
      <c r="HJ25" s="409"/>
      <c r="HK25" s="409"/>
      <c r="HL25" s="409"/>
      <c r="HM25" s="409"/>
      <c r="HN25" s="409"/>
      <c r="HO25" s="409"/>
      <c r="HP25" s="409"/>
      <c r="HQ25" s="409"/>
      <c r="HR25" s="409"/>
      <c r="HS25" s="409"/>
      <c r="HT25" s="409"/>
      <c r="HU25" s="409"/>
      <c r="HV25" s="409"/>
      <c r="HW25" s="409"/>
      <c r="HX25" s="409"/>
      <c r="HY25" s="409"/>
      <c r="HZ25" s="409"/>
      <c r="IA25" s="409"/>
      <c r="IB25" s="409"/>
      <c r="IC25" s="409"/>
      <c r="ID25" s="409"/>
      <c r="IE25" s="409"/>
      <c r="IF25" s="409"/>
      <c r="IG25" s="409"/>
      <c r="IH25" s="409"/>
      <c r="II25" s="409"/>
      <c r="IJ25" s="409"/>
      <c r="IK25" s="409"/>
      <c r="IL25" s="409"/>
      <c r="IM25" s="409"/>
      <c r="IN25" s="409"/>
      <c r="IO25" s="409"/>
      <c r="IP25" s="409"/>
      <c r="IQ25" s="409"/>
      <c r="IR25" s="409"/>
      <c r="IS25" s="409"/>
      <c r="IT25" s="409"/>
      <c r="IU25" s="409"/>
      <c r="IV25" s="409"/>
      <c r="IW25" s="409"/>
      <c r="IX25" s="409"/>
      <c r="IY25" s="409"/>
      <c r="IZ25" s="409"/>
      <c r="JA25" s="409"/>
      <c r="JB25" s="409"/>
      <c r="JC25" s="409"/>
      <c r="JD25" s="409"/>
    </row>
    <row r="26" spans="1:264" s="867" customFormat="1" ht="13.8" outlineLevel="1">
      <c r="A26" s="895"/>
      <c r="B26" s="885"/>
      <c r="C26" s="835"/>
      <c r="D26" s="885"/>
      <c r="E26" s="864"/>
      <c r="F26" s="864"/>
      <c r="G26" s="864"/>
      <c r="H26" s="862"/>
      <c r="I26" s="865"/>
      <c r="J26" s="864"/>
      <c r="K26" s="863"/>
      <c r="L26" s="863"/>
      <c r="M26" s="863"/>
      <c r="N26" s="863"/>
      <c r="O26" s="863"/>
      <c r="P26" s="863"/>
      <c r="Q26" s="863"/>
      <c r="R26" s="863"/>
      <c r="S26" s="863"/>
      <c r="T26" s="864"/>
      <c r="U26" s="864"/>
      <c r="V26" s="864"/>
      <c r="W26" s="864"/>
      <c r="X26" s="864"/>
      <c r="Y26" s="864"/>
      <c r="Z26" s="864"/>
      <c r="AA26" s="864"/>
      <c r="AB26" s="864"/>
      <c r="AC26" s="864"/>
      <c r="AD26" s="864"/>
      <c r="AE26" s="864"/>
      <c r="AF26" s="864"/>
      <c r="AG26" s="864"/>
      <c r="AH26" s="864"/>
      <c r="AI26" s="864"/>
      <c r="AJ26" s="864"/>
      <c r="AK26" s="864"/>
      <c r="AL26" s="864"/>
      <c r="AM26" s="864"/>
      <c r="AN26" s="864"/>
      <c r="AO26" s="864"/>
      <c r="AP26" s="864"/>
      <c r="AQ26" s="864"/>
      <c r="AR26" s="864"/>
      <c r="AS26" s="864"/>
      <c r="AT26" s="864"/>
      <c r="AU26" s="864"/>
      <c r="AV26" s="864"/>
      <c r="AW26" s="864"/>
      <c r="AX26" s="864"/>
      <c r="AY26" s="864"/>
      <c r="AZ26" s="864"/>
      <c r="BA26" s="864"/>
      <c r="BB26" s="864"/>
      <c r="BC26" s="864"/>
      <c r="BD26" s="864"/>
      <c r="BE26" s="864"/>
      <c r="BF26" s="864"/>
      <c r="BG26" s="864"/>
      <c r="BH26" s="864"/>
      <c r="BI26" s="864"/>
      <c r="BJ26" s="864"/>
      <c r="BK26" s="864"/>
      <c r="BL26" s="864"/>
      <c r="BM26" s="864"/>
      <c r="BN26" s="864"/>
      <c r="BO26" s="864"/>
      <c r="BP26" s="864"/>
      <c r="BQ26" s="864"/>
      <c r="BR26" s="864"/>
      <c r="BS26" s="864"/>
      <c r="BT26" s="864"/>
      <c r="BU26" s="864"/>
      <c r="BV26" s="864"/>
      <c r="BW26" s="864"/>
      <c r="BX26" s="864"/>
      <c r="BY26" s="864"/>
      <c r="BZ26" s="864"/>
      <c r="CA26" s="864"/>
      <c r="CB26" s="864"/>
      <c r="CC26" s="864"/>
      <c r="CD26" s="864"/>
      <c r="CE26" s="864"/>
      <c r="CF26" s="864"/>
      <c r="CG26" s="864"/>
      <c r="CH26" s="864"/>
      <c r="CI26" s="863"/>
      <c r="CJ26" s="863"/>
      <c r="CK26" s="863"/>
      <c r="CL26" s="863"/>
      <c r="CM26" s="863"/>
      <c r="CN26" s="863"/>
      <c r="CO26" s="863"/>
      <c r="CP26" s="863"/>
      <c r="CQ26" s="863"/>
      <c r="CR26" s="863"/>
      <c r="CS26" s="863"/>
      <c r="CT26" s="863"/>
      <c r="CU26" s="863"/>
      <c r="CV26" s="863"/>
      <c r="CW26" s="863"/>
      <c r="CX26" s="863"/>
      <c r="CY26" s="863"/>
      <c r="CZ26" s="863"/>
      <c r="DA26" s="863"/>
      <c r="DB26" s="863"/>
      <c r="DC26" s="863"/>
      <c r="DD26" s="863"/>
      <c r="DE26" s="863"/>
      <c r="DF26" s="863"/>
      <c r="DG26" s="863"/>
      <c r="DH26" s="863"/>
      <c r="DI26" s="863"/>
      <c r="DJ26" s="863"/>
      <c r="DK26" s="863"/>
      <c r="DL26" s="866"/>
      <c r="DN26" s="409"/>
      <c r="DO26" s="409"/>
      <c r="DP26" s="409"/>
      <c r="DQ26" s="409"/>
      <c r="DR26" s="409"/>
      <c r="DS26" s="409"/>
      <c r="DT26" s="409"/>
      <c r="DU26" s="409"/>
      <c r="DV26" s="409"/>
      <c r="DW26" s="409"/>
      <c r="DX26" s="409"/>
      <c r="DY26" s="409"/>
      <c r="DZ26" s="409"/>
      <c r="EA26" s="409"/>
      <c r="EB26" s="409"/>
      <c r="EC26" s="409"/>
      <c r="ED26" s="409"/>
      <c r="EE26" s="409"/>
      <c r="EF26" s="409"/>
      <c r="EG26" s="409"/>
      <c r="EH26" s="409"/>
      <c r="EI26" s="409"/>
      <c r="EJ26" s="409"/>
      <c r="EK26" s="409"/>
      <c r="EL26" s="409"/>
      <c r="EM26" s="409"/>
      <c r="EN26" s="409"/>
      <c r="EO26" s="409"/>
      <c r="EP26" s="409"/>
      <c r="EQ26" s="409"/>
      <c r="ER26" s="409"/>
      <c r="ES26" s="409"/>
      <c r="ET26" s="409"/>
      <c r="EU26" s="409"/>
      <c r="EV26" s="409"/>
      <c r="EW26" s="409"/>
      <c r="EX26" s="409"/>
      <c r="EY26" s="409"/>
      <c r="EZ26" s="409"/>
      <c r="FA26" s="409"/>
      <c r="FB26" s="409"/>
      <c r="FC26" s="409"/>
      <c r="FD26" s="409"/>
      <c r="FE26" s="409"/>
      <c r="FF26" s="409"/>
      <c r="FG26" s="409"/>
      <c r="FH26" s="409"/>
      <c r="FI26" s="409"/>
      <c r="FJ26" s="409"/>
      <c r="FK26" s="409"/>
      <c r="FL26" s="409"/>
      <c r="FM26" s="409"/>
      <c r="FN26" s="409"/>
      <c r="FO26" s="409"/>
      <c r="FP26" s="409"/>
      <c r="FQ26" s="409"/>
      <c r="FR26" s="409"/>
      <c r="FS26" s="409"/>
      <c r="FT26" s="409"/>
      <c r="FU26" s="409"/>
      <c r="FV26" s="409"/>
      <c r="FW26" s="409"/>
      <c r="FX26" s="409"/>
      <c r="FY26" s="409"/>
      <c r="FZ26" s="409"/>
      <c r="GA26" s="409"/>
      <c r="GB26" s="409"/>
      <c r="GC26" s="409"/>
      <c r="GD26" s="409"/>
      <c r="GE26" s="409"/>
      <c r="GF26" s="409"/>
      <c r="GG26" s="409"/>
      <c r="GH26" s="409"/>
      <c r="GI26" s="409"/>
      <c r="GJ26" s="409"/>
      <c r="GK26" s="409"/>
      <c r="GL26" s="409"/>
      <c r="GM26" s="409"/>
      <c r="GN26" s="409"/>
      <c r="GO26" s="409"/>
      <c r="GP26" s="409"/>
      <c r="GQ26" s="409"/>
      <c r="GR26" s="409"/>
      <c r="GS26" s="409"/>
      <c r="GT26" s="409"/>
      <c r="GU26" s="409"/>
      <c r="GV26" s="409"/>
      <c r="GW26" s="409"/>
      <c r="GX26" s="409"/>
      <c r="GY26" s="409"/>
      <c r="GZ26" s="409"/>
      <c r="HA26" s="409"/>
      <c r="HB26" s="409"/>
      <c r="HC26" s="409"/>
      <c r="HD26" s="409"/>
      <c r="HE26" s="409"/>
      <c r="HF26" s="409"/>
      <c r="HG26" s="409"/>
      <c r="HH26" s="409"/>
      <c r="HI26" s="409"/>
      <c r="HJ26" s="409"/>
      <c r="HK26" s="409"/>
      <c r="HL26" s="409"/>
      <c r="HM26" s="409"/>
      <c r="HN26" s="409"/>
      <c r="HO26" s="409"/>
      <c r="HP26" s="409"/>
      <c r="HQ26" s="409"/>
      <c r="HR26" s="409"/>
      <c r="HS26" s="409"/>
      <c r="HT26" s="409"/>
      <c r="HU26" s="409"/>
      <c r="HV26" s="409"/>
      <c r="HW26" s="409"/>
      <c r="HX26" s="409"/>
      <c r="HY26" s="409"/>
      <c r="HZ26" s="409"/>
      <c r="IA26" s="409"/>
      <c r="IB26" s="409"/>
      <c r="IC26" s="409"/>
      <c r="ID26" s="409"/>
      <c r="IE26" s="409"/>
      <c r="IF26" s="409"/>
      <c r="IG26" s="409"/>
      <c r="IH26" s="409"/>
      <c r="II26" s="409"/>
      <c r="IJ26" s="409"/>
      <c r="IK26" s="409"/>
      <c r="IL26" s="409"/>
      <c r="IM26" s="409"/>
      <c r="IN26" s="409"/>
      <c r="IO26" s="409"/>
      <c r="IP26" s="409"/>
      <c r="IQ26" s="409"/>
      <c r="IR26" s="409"/>
      <c r="IS26" s="409"/>
      <c r="IT26" s="409"/>
      <c r="IU26" s="409"/>
      <c r="IV26" s="409"/>
      <c r="IW26" s="409"/>
      <c r="IX26" s="409"/>
      <c r="IY26" s="409"/>
      <c r="IZ26" s="409"/>
      <c r="JA26" s="409"/>
      <c r="JB26" s="409"/>
      <c r="JC26" s="409"/>
      <c r="JD26" s="409"/>
    </row>
    <row r="27" spans="1:264" s="867" customFormat="1" ht="13.8" outlineLevel="1">
      <c r="A27" s="886"/>
      <c r="B27" s="885"/>
      <c r="C27" s="885"/>
      <c r="D27" s="863"/>
      <c r="E27" s="864"/>
      <c r="F27" s="864"/>
      <c r="G27" s="864"/>
      <c r="H27" s="864"/>
      <c r="I27" s="865"/>
      <c r="J27" s="864"/>
      <c r="K27" s="863"/>
      <c r="L27" s="863"/>
      <c r="M27" s="863"/>
      <c r="N27" s="863"/>
      <c r="O27" s="863"/>
      <c r="P27" s="863"/>
      <c r="Q27" s="863"/>
      <c r="R27" s="863"/>
      <c r="S27" s="863"/>
      <c r="T27" s="864"/>
      <c r="U27" s="864"/>
      <c r="V27" s="864"/>
      <c r="W27" s="864"/>
      <c r="X27" s="864"/>
      <c r="Y27" s="864"/>
      <c r="Z27" s="864"/>
      <c r="AA27" s="864"/>
      <c r="AB27" s="864"/>
      <c r="AC27" s="864"/>
      <c r="AD27" s="864"/>
      <c r="AE27" s="864"/>
      <c r="AF27" s="864"/>
      <c r="AG27" s="864"/>
      <c r="AH27" s="864"/>
      <c r="AI27" s="864"/>
      <c r="AJ27" s="864"/>
      <c r="AK27" s="864"/>
      <c r="AL27" s="864"/>
      <c r="AM27" s="864"/>
      <c r="AN27" s="864"/>
      <c r="AO27" s="864"/>
      <c r="AP27" s="864"/>
      <c r="AQ27" s="864"/>
      <c r="AR27" s="864"/>
      <c r="AS27" s="864"/>
      <c r="AT27" s="864"/>
      <c r="AU27" s="864"/>
      <c r="AV27" s="864"/>
      <c r="AW27" s="864"/>
      <c r="AX27" s="864"/>
      <c r="AY27" s="864"/>
      <c r="AZ27" s="864"/>
      <c r="BA27" s="864"/>
      <c r="BB27" s="864"/>
      <c r="BC27" s="864"/>
      <c r="BD27" s="864"/>
      <c r="BE27" s="864"/>
      <c r="BF27" s="864"/>
      <c r="BG27" s="864"/>
      <c r="BH27" s="864"/>
      <c r="BI27" s="864"/>
      <c r="BJ27" s="864"/>
      <c r="BK27" s="864"/>
      <c r="BL27" s="864"/>
      <c r="BM27" s="864"/>
      <c r="BN27" s="864"/>
      <c r="BO27" s="864"/>
      <c r="BP27" s="864"/>
      <c r="BQ27" s="864"/>
      <c r="BR27" s="864"/>
      <c r="BS27" s="864"/>
      <c r="BT27" s="864"/>
      <c r="BU27" s="864"/>
      <c r="BV27" s="864"/>
      <c r="BW27" s="864"/>
      <c r="BX27" s="864"/>
      <c r="BY27" s="864"/>
      <c r="BZ27" s="864"/>
      <c r="CA27" s="864"/>
      <c r="CB27" s="864"/>
      <c r="CC27" s="864"/>
      <c r="CD27" s="864"/>
      <c r="CE27" s="864"/>
      <c r="CF27" s="864"/>
      <c r="CG27" s="864"/>
      <c r="CH27" s="864"/>
      <c r="CI27" s="863"/>
      <c r="CJ27" s="863"/>
      <c r="CK27" s="863"/>
      <c r="CL27" s="863"/>
      <c r="CM27" s="863"/>
      <c r="CN27" s="863"/>
      <c r="CO27" s="863"/>
      <c r="CP27" s="863"/>
      <c r="CQ27" s="863"/>
      <c r="CR27" s="863"/>
      <c r="CS27" s="863"/>
      <c r="CT27" s="863"/>
      <c r="CU27" s="863"/>
      <c r="CV27" s="863"/>
      <c r="CW27" s="863"/>
      <c r="CX27" s="863"/>
      <c r="CY27" s="863"/>
      <c r="CZ27" s="863"/>
      <c r="DA27" s="863"/>
      <c r="DB27" s="863"/>
      <c r="DC27" s="863"/>
      <c r="DD27" s="863"/>
      <c r="DE27" s="863"/>
      <c r="DF27" s="863"/>
      <c r="DG27" s="863"/>
      <c r="DH27" s="863"/>
      <c r="DI27" s="863"/>
      <c r="DJ27" s="863"/>
      <c r="DK27" s="863"/>
      <c r="DL27" s="866"/>
      <c r="DM27" s="409"/>
      <c r="DN27" s="409"/>
      <c r="DO27" s="409"/>
      <c r="DP27" s="409"/>
      <c r="DQ27" s="409"/>
      <c r="DR27" s="409"/>
      <c r="DS27" s="409"/>
      <c r="DT27" s="409"/>
      <c r="DU27" s="409"/>
      <c r="DV27" s="409"/>
      <c r="DW27" s="409"/>
      <c r="DX27" s="409"/>
      <c r="DY27" s="409"/>
      <c r="DZ27" s="409"/>
      <c r="EA27" s="409"/>
      <c r="EB27" s="409"/>
      <c r="EC27" s="409"/>
      <c r="ED27" s="409"/>
      <c r="EE27" s="409"/>
      <c r="EF27" s="409"/>
      <c r="EG27" s="409"/>
      <c r="EH27" s="409"/>
      <c r="EI27" s="409"/>
      <c r="EJ27" s="409"/>
      <c r="EK27" s="409"/>
      <c r="EL27" s="409"/>
      <c r="EM27" s="409"/>
      <c r="EN27" s="409"/>
      <c r="EO27" s="409"/>
      <c r="EP27" s="409"/>
      <c r="EQ27" s="409"/>
      <c r="ER27" s="409"/>
      <c r="ES27" s="409"/>
      <c r="ET27" s="409"/>
      <c r="EU27" s="409"/>
      <c r="EV27" s="409"/>
      <c r="EW27" s="409"/>
      <c r="EX27" s="409"/>
      <c r="EY27" s="409"/>
      <c r="EZ27" s="409"/>
      <c r="FA27" s="409"/>
      <c r="FB27" s="409"/>
      <c r="FC27" s="409"/>
      <c r="FD27" s="409"/>
      <c r="FE27" s="409"/>
      <c r="FF27" s="409"/>
      <c r="FG27" s="409"/>
      <c r="FH27" s="409"/>
      <c r="FI27" s="409"/>
      <c r="FJ27" s="409"/>
      <c r="FK27" s="409"/>
      <c r="FL27" s="409"/>
      <c r="FM27" s="409"/>
      <c r="FN27" s="409"/>
      <c r="FO27" s="409"/>
      <c r="FP27" s="409"/>
      <c r="FQ27" s="409"/>
      <c r="FR27" s="409"/>
      <c r="FS27" s="409"/>
      <c r="FT27" s="409"/>
      <c r="FU27" s="409"/>
      <c r="FV27" s="409"/>
      <c r="FW27" s="409"/>
      <c r="FX27" s="409"/>
      <c r="FY27" s="409"/>
      <c r="FZ27" s="409"/>
      <c r="GA27" s="409"/>
      <c r="GB27" s="409"/>
      <c r="GC27" s="409"/>
      <c r="GD27" s="409"/>
      <c r="GE27" s="409"/>
      <c r="GF27" s="409"/>
      <c r="GG27" s="409"/>
      <c r="GH27" s="409"/>
      <c r="GI27" s="409"/>
      <c r="GJ27" s="409"/>
      <c r="GK27" s="409"/>
      <c r="GL27" s="409"/>
      <c r="GM27" s="409"/>
      <c r="GN27" s="409"/>
      <c r="GO27" s="409"/>
      <c r="GP27" s="409"/>
      <c r="GQ27" s="409"/>
      <c r="GR27" s="409"/>
      <c r="GS27" s="409"/>
      <c r="GT27" s="409"/>
      <c r="GU27" s="409"/>
      <c r="GV27" s="409"/>
      <c r="GW27" s="409"/>
      <c r="GX27" s="409"/>
      <c r="GY27" s="409"/>
      <c r="GZ27" s="409"/>
      <c r="HA27" s="409"/>
      <c r="HB27" s="409"/>
      <c r="HC27" s="409"/>
      <c r="HD27" s="409"/>
      <c r="HE27" s="409"/>
      <c r="HF27" s="409"/>
      <c r="HG27" s="409"/>
      <c r="HH27" s="409"/>
      <c r="HI27" s="409"/>
      <c r="HJ27" s="409"/>
      <c r="HK27" s="409"/>
      <c r="HL27" s="409"/>
      <c r="HM27" s="409"/>
      <c r="HN27" s="409"/>
      <c r="HO27" s="409"/>
      <c r="HP27" s="409"/>
      <c r="HQ27" s="409"/>
      <c r="HR27" s="409"/>
      <c r="HS27" s="409"/>
      <c r="HT27" s="409"/>
      <c r="HU27" s="409"/>
      <c r="HV27" s="409"/>
      <c r="HW27" s="409"/>
      <c r="HX27" s="409"/>
      <c r="HY27" s="409"/>
      <c r="HZ27" s="409"/>
      <c r="IA27" s="409"/>
      <c r="IB27" s="409"/>
      <c r="IC27" s="409"/>
      <c r="ID27" s="409"/>
      <c r="IE27" s="409"/>
      <c r="IF27" s="409"/>
      <c r="IG27" s="409"/>
      <c r="IH27" s="409"/>
      <c r="II27" s="409"/>
      <c r="IJ27" s="409"/>
      <c r="IK27" s="409"/>
      <c r="IL27" s="409"/>
      <c r="IM27" s="409"/>
      <c r="IN27" s="409"/>
      <c r="IO27" s="409"/>
      <c r="IP27" s="409"/>
      <c r="IQ27" s="409"/>
      <c r="IR27" s="409"/>
      <c r="IS27" s="409"/>
      <c r="IT27" s="409"/>
      <c r="IU27" s="409"/>
      <c r="IV27" s="409"/>
      <c r="IW27" s="409"/>
      <c r="IX27" s="409"/>
      <c r="IY27" s="409"/>
      <c r="IZ27" s="409"/>
      <c r="JA27" s="409"/>
      <c r="JB27" s="409"/>
      <c r="JC27" s="409"/>
      <c r="JD27" s="409"/>
    </row>
    <row r="28" spans="1:264" s="868" customFormat="1" ht="13.8">
      <c r="A28" s="887"/>
      <c r="B28" s="904"/>
      <c r="C28" s="904"/>
      <c r="D28" s="904"/>
      <c r="E28" s="904"/>
      <c r="F28" s="904"/>
      <c r="G28" s="904"/>
      <c r="H28" s="904"/>
      <c r="I28" s="904"/>
      <c r="J28" s="904"/>
      <c r="K28" s="904"/>
      <c r="L28" s="904"/>
      <c r="M28" s="904"/>
      <c r="N28" s="904"/>
      <c r="O28" s="904"/>
      <c r="P28" s="904"/>
      <c r="Q28" s="904"/>
      <c r="R28" s="904"/>
      <c r="S28" s="904"/>
      <c r="T28" s="904"/>
      <c r="U28" s="904"/>
      <c r="V28" s="904"/>
      <c r="W28" s="904"/>
      <c r="X28" s="904"/>
      <c r="Y28" s="904"/>
      <c r="Z28" s="904"/>
      <c r="AA28" s="904"/>
      <c r="AB28" s="904"/>
      <c r="AC28" s="904"/>
      <c r="AD28" s="904"/>
      <c r="AE28" s="904"/>
      <c r="AF28" s="904"/>
      <c r="AG28" s="904"/>
      <c r="AH28" s="904"/>
      <c r="AI28" s="904"/>
      <c r="AJ28" s="904"/>
      <c r="AK28" s="904"/>
      <c r="AL28" s="904"/>
      <c r="AM28" s="904"/>
      <c r="AN28" s="904"/>
      <c r="AO28" s="904"/>
      <c r="AP28" s="904"/>
      <c r="AQ28" s="904"/>
      <c r="AR28" s="904"/>
      <c r="AS28" s="904"/>
      <c r="AT28" s="904"/>
      <c r="AU28" s="904"/>
      <c r="AV28" s="904"/>
      <c r="AW28" s="904"/>
      <c r="AX28" s="904"/>
      <c r="AY28" s="904"/>
      <c r="AZ28" s="904"/>
      <c r="BA28" s="904"/>
      <c r="BB28" s="904"/>
      <c r="BC28" s="904"/>
      <c r="BD28" s="904"/>
      <c r="BE28" s="904"/>
      <c r="BF28" s="904"/>
      <c r="BG28" s="904"/>
      <c r="BH28" s="904"/>
      <c r="BI28" s="904"/>
      <c r="BJ28" s="904"/>
      <c r="BK28" s="904"/>
      <c r="BL28" s="904"/>
      <c r="BM28" s="904"/>
      <c r="BN28" s="904"/>
      <c r="BO28" s="904"/>
      <c r="BP28" s="904"/>
      <c r="BQ28" s="904"/>
      <c r="BR28" s="904"/>
      <c r="BS28" s="904"/>
      <c r="BT28" s="904"/>
      <c r="BU28" s="904"/>
      <c r="BV28" s="904"/>
      <c r="BW28" s="904"/>
      <c r="BX28" s="904"/>
      <c r="BY28" s="904"/>
      <c r="BZ28" s="904"/>
      <c r="CA28" s="904"/>
      <c r="CB28" s="904"/>
      <c r="CC28" s="904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4"/>
      <c r="CU28" s="904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88"/>
      <c r="DN28" s="869"/>
      <c r="DO28" s="869"/>
      <c r="DP28" s="869"/>
      <c r="DQ28" s="869"/>
      <c r="DR28" s="869"/>
      <c r="DS28" s="869"/>
      <c r="DT28" s="869"/>
      <c r="DU28" s="869"/>
      <c r="DV28" s="869"/>
      <c r="DW28" s="869"/>
      <c r="DX28" s="869"/>
      <c r="DY28" s="869"/>
      <c r="DZ28" s="869"/>
      <c r="EA28" s="869"/>
      <c r="EB28" s="869"/>
      <c r="EC28" s="869"/>
      <c r="ED28" s="869"/>
      <c r="EE28" s="869"/>
      <c r="EF28" s="869"/>
      <c r="EG28" s="869"/>
      <c r="EH28" s="869"/>
      <c r="EI28" s="869"/>
      <c r="EJ28" s="869"/>
      <c r="EK28" s="869"/>
      <c r="EL28" s="869"/>
      <c r="EM28" s="869"/>
      <c r="EN28" s="869"/>
      <c r="EO28" s="869"/>
      <c r="EP28" s="869"/>
      <c r="EQ28" s="869"/>
      <c r="ER28" s="869"/>
      <c r="ES28" s="869"/>
      <c r="ET28" s="869"/>
      <c r="EU28" s="869"/>
      <c r="EV28" s="869"/>
      <c r="EW28" s="869"/>
      <c r="EX28" s="869"/>
      <c r="EY28" s="869"/>
      <c r="EZ28" s="869"/>
      <c r="FA28" s="869"/>
      <c r="FB28" s="869"/>
      <c r="FC28" s="869"/>
      <c r="FD28" s="869"/>
      <c r="FE28" s="869"/>
      <c r="FF28" s="869"/>
      <c r="FG28" s="869"/>
      <c r="FH28" s="869"/>
      <c r="FI28" s="869"/>
      <c r="FJ28" s="869"/>
      <c r="FK28" s="869"/>
      <c r="FL28" s="869"/>
      <c r="FM28" s="869"/>
      <c r="FN28" s="869"/>
      <c r="FO28" s="869"/>
      <c r="FP28" s="869"/>
      <c r="FQ28" s="869"/>
      <c r="FR28" s="869"/>
      <c r="FS28" s="869"/>
      <c r="FT28" s="869"/>
      <c r="FU28" s="869"/>
      <c r="FV28" s="869"/>
      <c r="FW28" s="869"/>
      <c r="FX28" s="869"/>
      <c r="FY28" s="869"/>
      <c r="FZ28" s="869"/>
      <c r="GA28" s="869"/>
      <c r="GB28" s="869"/>
      <c r="GC28" s="869"/>
      <c r="GD28" s="869"/>
      <c r="GE28" s="869"/>
      <c r="GF28" s="869"/>
      <c r="GG28" s="869"/>
      <c r="GH28" s="869"/>
      <c r="GI28" s="869"/>
      <c r="GJ28" s="869"/>
      <c r="GK28" s="869"/>
      <c r="GL28" s="869"/>
      <c r="GM28" s="869"/>
      <c r="GN28" s="869"/>
      <c r="GO28" s="869"/>
      <c r="GP28" s="869"/>
      <c r="GQ28" s="869"/>
      <c r="GR28" s="869"/>
      <c r="GS28" s="869"/>
      <c r="GT28" s="869"/>
      <c r="GU28" s="869"/>
      <c r="GV28" s="869"/>
      <c r="GW28" s="869"/>
      <c r="GX28" s="869"/>
      <c r="GY28" s="869"/>
      <c r="GZ28" s="869"/>
      <c r="HA28" s="869"/>
      <c r="HB28" s="869"/>
      <c r="HC28" s="869"/>
      <c r="HD28" s="869"/>
      <c r="HE28" s="869"/>
      <c r="HF28" s="869"/>
      <c r="HG28" s="869"/>
      <c r="HH28" s="869"/>
      <c r="HI28" s="869"/>
      <c r="HJ28" s="869"/>
      <c r="HK28" s="869"/>
      <c r="HL28" s="869"/>
      <c r="HM28" s="869"/>
      <c r="HN28" s="869"/>
      <c r="HO28" s="869"/>
      <c r="HP28" s="869"/>
      <c r="HQ28" s="869"/>
      <c r="HR28" s="869"/>
      <c r="HS28" s="869"/>
      <c r="HT28" s="869"/>
      <c r="HU28" s="869"/>
      <c r="HV28" s="869"/>
      <c r="HW28" s="869"/>
      <c r="HX28" s="869"/>
      <c r="HY28" s="869"/>
      <c r="HZ28" s="869"/>
      <c r="IA28" s="869"/>
      <c r="IB28" s="869"/>
      <c r="IC28" s="869"/>
      <c r="ID28" s="869"/>
      <c r="IE28" s="869"/>
      <c r="IF28" s="869"/>
      <c r="IG28" s="869"/>
      <c r="IH28" s="869"/>
      <c r="II28" s="869"/>
      <c r="IJ28" s="869"/>
      <c r="IK28" s="869"/>
      <c r="IL28" s="869"/>
      <c r="IM28" s="869"/>
      <c r="IN28" s="869"/>
      <c r="IO28" s="869"/>
      <c r="IP28" s="869"/>
      <c r="IQ28" s="869"/>
      <c r="IR28" s="869"/>
      <c r="IS28" s="869"/>
      <c r="IT28" s="869"/>
      <c r="IU28" s="869"/>
      <c r="IV28" s="869"/>
      <c r="IW28" s="869"/>
      <c r="IX28" s="869"/>
      <c r="IY28" s="869"/>
      <c r="IZ28" s="869"/>
      <c r="JA28" s="869"/>
      <c r="JB28" s="869"/>
      <c r="JC28" s="869"/>
      <c r="JD28" s="869"/>
    </row>
    <row r="29" spans="1:264" s="867" customFormat="1" ht="14.4" outlineLevel="1">
      <c r="A29" s="883"/>
      <c r="B29" s="898"/>
      <c r="C29" s="898"/>
      <c r="D29" s="898"/>
      <c r="E29" s="898"/>
      <c r="F29" s="898"/>
      <c r="G29" s="898"/>
      <c r="H29" s="898"/>
      <c r="I29" s="899"/>
      <c r="J29" s="900"/>
      <c r="K29" s="880"/>
      <c r="L29" s="880"/>
      <c r="M29" s="880"/>
      <c r="N29" s="880"/>
      <c r="O29" s="880"/>
      <c r="P29" s="880"/>
      <c r="Q29" s="880"/>
      <c r="R29" s="880"/>
      <c r="S29" s="880"/>
      <c r="T29" s="880"/>
      <c r="U29" s="880"/>
      <c r="V29" s="880"/>
      <c r="W29" s="880"/>
      <c r="X29" s="880"/>
      <c r="Y29" s="880"/>
      <c r="Z29" s="880"/>
      <c r="AA29" s="880"/>
      <c r="AB29" s="880"/>
      <c r="AC29" s="880"/>
      <c r="AD29" s="880"/>
      <c r="AE29" s="880"/>
      <c r="AF29" s="880"/>
      <c r="AG29" s="880"/>
      <c r="AH29" s="880"/>
      <c r="AI29" s="880"/>
      <c r="AJ29" s="880"/>
      <c r="AK29" s="880"/>
      <c r="AL29" s="880"/>
      <c r="AM29" s="880"/>
      <c r="AN29" s="880"/>
      <c r="AO29" s="880"/>
      <c r="AP29" s="591"/>
      <c r="AQ29" s="591"/>
      <c r="AR29" s="591"/>
      <c r="AS29" s="591"/>
      <c r="AT29" s="591"/>
      <c r="AU29" s="591"/>
      <c r="AV29" s="591"/>
      <c r="AW29" s="591"/>
      <c r="AX29" s="591"/>
      <c r="AY29" s="591"/>
      <c r="AZ29" s="591"/>
      <c r="BA29" s="591"/>
      <c r="BB29" s="591"/>
      <c r="BC29" s="591"/>
      <c r="BD29" s="591"/>
      <c r="BE29" s="591"/>
      <c r="BF29" s="591"/>
      <c r="BG29" s="591"/>
      <c r="BH29" s="591"/>
      <c r="BI29" s="591"/>
      <c r="BJ29" s="591"/>
      <c r="BK29" s="591"/>
      <c r="BL29" s="591"/>
      <c r="BM29" s="591"/>
      <c r="BN29" s="591"/>
      <c r="BO29" s="591"/>
      <c r="BP29" s="591"/>
      <c r="BQ29" s="591"/>
      <c r="BR29" s="591"/>
      <c r="BS29" s="591"/>
      <c r="BT29" s="591"/>
      <c r="BU29" s="591"/>
      <c r="BV29" s="591"/>
      <c r="BW29" s="591"/>
      <c r="BX29" s="591"/>
      <c r="BY29" s="591"/>
      <c r="BZ29" s="591"/>
      <c r="CA29" s="591"/>
      <c r="CB29" s="591"/>
      <c r="CC29" s="591"/>
      <c r="CD29" s="591"/>
      <c r="CE29" s="591"/>
      <c r="CF29" s="591"/>
      <c r="CG29" s="591"/>
      <c r="CH29" s="591"/>
      <c r="CI29" s="880"/>
      <c r="CJ29" s="880"/>
      <c r="CK29" s="880"/>
      <c r="CL29" s="880"/>
      <c r="CM29" s="880"/>
      <c r="CN29" s="880"/>
      <c r="CO29" s="880"/>
      <c r="CP29" s="880"/>
      <c r="CQ29" s="880"/>
      <c r="CR29" s="880"/>
      <c r="CS29" s="880"/>
      <c r="CT29" s="880"/>
      <c r="CU29" s="880"/>
      <c r="CV29" s="880"/>
      <c r="CW29" s="880"/>
      <c r="CX29" s="880"/>
      <c r="CY29" s="880"/>
      <c r="CZ29" s="880"/>
      <c r="DA29" s="880"/>
      <c r="DB29" s="880"/>
      <c r="DC29" s="880"/>
      <c r="DD29" s="880"/>
      <c r="DE29" s="880"/>
      <c r="DF29" s="880"/>
      <c r="DG29" s="880"/>
      <c r="DH29" s="880"/>
      <c r="DI29" s="880"/>
      <c r="DJ29" s="880"/>
      <c r="DK29" s="880"/>
      <c r="DL29" s="884"/>
      <c r="DM29" s="409"/>
      <c r="DN29" s="409"/>
      <c r="DO29" s="409"/>
      <c r="DP29" s="409"/>
      <c r="DQ29" s="409"/>
      <c r="DR29" s="409"/>
      <c r="DS29" s="409"/>
      <c r="DT29" s="409"/>
      <c r="DU29" s="409"/>
      <c r="DV29" s="409"/>
      <c r="DW29" s="409"/>
      <c r="DX29" s="409"/>
      <c r="DY29" s="409"/>
      <c r="DZ29" s="409"/>
      <c r="EA29" s="409"/>
      <c r="EB29" s="409"/>
      <c r="EC29" s="409"/>
      <c r="ED29" s="409"/>
      <c r="EE29" s="409"/>
      <c r="EF29" s="409"/>
      <c r="EG29" s="409"/>
      <c r="EH29" s="409"/>
      <c r="EI29" s="409"/>
      <c r="EJ29" s="409"/>
      <c r="EK29" s="409"/>
      <c r="EL29" s="409"/>
      <c r="EM29" s="409"/>
      <c r="EN29" s="409"/>
      <c r="EO29" s="409"/>
      <c r="EP29" s="409"/>
      <c r="EQ29" s="409"/>
      <c r="ER29" s="409"/>
      <c r="ES29" s="409"/>
      <c r="ET29" s="409"/>
      <c r="EU29" s="409"/>
      <c r="EV29" s="409"/>
      <c r="EW29" s="409"/>
      <c r="EX29" s="409"/>
      <c r="EY29" s="409"/>
      <c r="EZ29" s="409"/>
      <c r="FA29" s="409"/>
      <c r="FB29" s="409"/>
      <c r="FC29" s="409"/>
      <c r="FD29" s="409"/>
      <c r="FE29" s="409"/>
      <c r="FF29" s="409"/>
      <c r="FG29" s="409"/>
      <c r="FH29" s="409"/>
      <c r="FI29" s="409"/>
      <c r="FJ29" s="409"/>
      <c r="FK29" s="409"/>
      <c r="FL29" s="409"/>
      <c r="FM29" s="409"/>
      <c r="FN29" s="409"/>
      <c r="FO29" s="409"/>
      <c r="FP29" s="409"/>
      <c r="FQ29" s="409"/>
      <c r="FR29" s="409"/>
      <c r="FS29" s="409"/>
      <c r="FT29" s="409"/>
      <c r="FU29" s="409"/>
      <c r="FV29" s="409"/>
      <c r="FW29" s="409"/>
      <c r="FX29" s="409"/>
      <c r="FY29" s="409"/>
      <c r="FZ29" s="409"/>
      <c r="GA29" s="409"/>
      <c r="GB29" s="409"/>
      <c r="GC29" s="409"/>
      <c r="GD29" s="409"/>
      <c r="GE29" s="409"/>
      <c r="GF29" s="409"/>
      <c r="GG29" s="409"/>
      <c r="GH29" s="409"/>
      <c r="GI29" s="409"/>
      <c r="GJ29" s="409"/>
      <c r="GK29" s="409"/>
      <c r="GL29" s="409"/>
      <c r="GM29" s="409"/>
      <c r="GN29" s="409"/>
      <c r="GO29" s="409"/>
      <c r="GP29" s="409"/>
      <c r="GQ29" s="409"/>
      <c r="GR29" s="409"/>
      <c r="GS29" s="409"/>
      <c r="GT29" s="409"/>
      <c r="GU29" s="409"/>
      <c r="GV29" s="409"/>
      <c r="GW29" s="409"/>
      <c r="GX29" s="409"/>
      <c r="GY29" s="409"/>
      <c r="GZ29" s="409"/>
      <c r="HA29" s="409"/>
      <c r="HB29" s="409"/>
      <c r="HC29" s="409"/>
      <c r="HD29" s="409"/>
      <c r="HE29" s="409"/>
      <c r="HF29" s="409"/>
      <c r="HG29" s="409"/>
      <c r="HH29" s="409"/>
      <c r="HI29" s="409"/>
      <c r="HJ29" s="409"/>
      <c r="HK29" s="409"/>
      <c r="HL29" s="409"/>
      <c r="HM29" s="409"/>
      <c r="HN29" s="409"/>
      <c r="HO29" s="409"/>
      <c r="HP29" s="409"/>
      <c r="HQ29" s="409"/>
      <c r="HR29" s="409"/>
      <c r="HS29" s="409"/>
      <c r="HT29" s="409"/>
      <c r="HU29" s="409"/>
      <c r="HV29" s="409"/>
      <c r="HW29" s="409"/>
      <c r="HX29" s="409"/>
      <c r="HY29" s="409"/>
      <c r="HZ29" s="409"/>
      <c r="IA29" s="409"/>
      <c r="IB29" s="409"/>
      <c r="IC29" s="409"/>
      <c r="ID29" s="409"/>
      <c r="IE29" s="409"/>
      <c r="IF29" s="409"/>
      <c r="IG29" s="409"/>
      <c r="IH29" s="409"/>
      <c r="II29" s="409"/>
      <c r="IJ29" s="409"/>
      <c r="IK29" s="409"/>
      <c r="IL29" s="409"/>
      <c r="IM29" s="409"/>
      <c r="IN29" s="409"/>
      <c r="IO29" s="409"/>
      <c r="IP29" s="409"/>
      <c r="IQ29" s="409"/>
      <c r="IR29" s="409"/>
      <c r="IS29" s="409"/>
      <c r="IT29" s="409"/>
      <c r="IU29" s="409"/>
      <c r="IV29" s="409"/>
      <c r="IW29" s="409"/>
      <c r="IX29" s="409"/>
      <c r="IY29" s="409"/>
      <c r="IZ29" s="409"/>
      <c r="JA29" s="409"/>
      <c r="JB29" s="409"/>
      <c r="JC29" s="409"/>
      <c r="JD29" s="409"/>
    </row>
    <row r="30" spans="1:264" s="867" customFormat="1" ht="13.8" outlineLevel="1">
      <c r="A30" s="894"/>
      <c r="B30" s="896"/>
      <c r="C30" s="897"/>
      <c r="D30" s="896"/>
      <c r="E30" s="864"/>
      <c r="F30" s="864"/>
      <c r="G30" s="864"/>
      <c r="H30" s="862"/>
      <c r="I30" s="865"/>
      <c r="J30" s="864"/>
      <c r="K30" s="434"/>
      <c r="L30" s="434"/>
      <c r="M30" s="434"/>
      <c r="N30" s="434"/>
      <c r="O30" s="434"/>
      <c r="P30" s="434"/>
      <c r="Q30" s="434"/>
      <c r="R30" s="434"/>
      <c r="S30" s="434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  <c r="AG30" s="435"/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  <c r="BM30" s="435"/>
      <c r="BN30" s="435"/>
      <c r="BO30" s="435"/>
      <c r="BP30" s="435"/>
      <c r="BQ30" s="435"/>
      <c r="BR30" s="435"/>
      <c r="BS30" s="435"/>
      <c r="BT30" s="435"/>
      <c r="BU30" s="435"/>
      <c r="BV30" s="434"/>
      <c r="BW30" s="435"/>
      <c r="BX30" s="435"/>
      <c r="BY30" s="435"/>
      <c r="BZ30" s="435"/>
      <c r="CA30" s="435"/>
      <c r="CB30" s="435"/>
      <c r="CC30" s="435"/>
      <c r="CD30" s="435"/>
      <c r="CE30" s="435"/>
      <c r="CF30" s="435"/>
      <c r="CG30" s="435"/>
      <c r="CH30" s="435"/>
      <c r="CI30" s="434"/>
      <c r="CJ30" s="434"/>
      <c r="CK30" s="434"/>
      <c r="CL30" s="434"/>
      <c r="CM30" s="434"/>
      <c r="CN30" s="434"/>
      <c r="CO30" s="434"/>
      <c r="CP30" s="434"/>
      <c r="CQ30" s="434"/>
      <c r="CR30" s="434"/>
      <c r="CS30" s="434"/>
      <c r="CT30" s="434"/>
      <c r="CU30" s="434"/>
      <c r="CV30" s="434"/>
      <c r="CW30" s="434"/>
      <c r="CX30" s="434"/>
      <c r="CY30" s="434"/>
      <c r="CZ30" s="434"/>
      <c r="DA30" s="434"/>
      <c r="DB30" s="434"/>
      <c r="DC30" s="434"/>
      <c r="DD30" s="434"/>
      <c r="DE30" s="434"/>
      <c r="DF30" s="434"/>
      <c r="DG30" s="434"/>
      <c r="DH30" s="434"/>
      <c r="DI30" s="434"/>
      <c r="DJ30" s="434"/>
      <c r="DK30" s="434"/>
      <c r="DL30" s="901"/>
      <c r="DN30" s="409"/>
      <c r="DO30" s="409"/>
      <c r="DP30" s="409"/>
      <c r="DQ30" s="409"/>
      <c r="DR30" s="409"/>
      <c r="DS30" s="409"/>
      <c r="DT30" s="409"/>
      <c r="DU30" s="409"/>
      <c r="DV30" s="409"/>
      <c r="DW30" s="409"/>
      <c r="DX30" s="409"/>
      <c r="DY30" s="409"/>
      <c r="DZ30" s="409"/>
      <c r="EA30" s="409"/>
      <c r="EB30" s="409"/>
      <c r="EC30" s="409"/>
      <c r="ED30" s="409"/>
      <c r="EE30" s="409"/>
      <c r="EF30" s="409"/>
      <c r="EG30" s="409"/>
      <c r="EH30" s="409"/>
      <c r="EI30" s="409"/>
      <c r="EJ30" s="409"/>
      <c r="EK30" s="409"/>
      <c r="EL30" s="409"/>
      <c r="EM30" s="409"/>
      <c r="EN30" s="409"/>
      <c r="EO30" s="409"/>
      <c r="EP30" s="409"/>
      <c r="EQ30" s="409"/>
      <c r="ER30" s="409"/>
      <c r="ES30" s="409"/>
      <c r="ET30" s="409"/>
      <c r="EU30" s="409"/>
      <c r="EV30" s="409"/>
      <c r="EW30" s="409"/>
      <c r="EX30" s="409"/>
      <c r="EY30" s="409"/>
      <c r="EZ30" s="409"/>
      <c r="FA30" s="409"/>
      <c r="FB30" s="409"/>
      <c r="FC30" s="409"/>
      <c r="FD30" s="409"/>
      <c r="FE30" s="409"/>
      <c r="FF30" s="409"/>
      <c r="FG30" s="409"/>
      <c r="FH30" s="409"/>
      <c r="FI30" s="409"/>
      <c r="FJ30" s="409"/>
      <c r="FK30" s="409"/>
      <c r="FL30" s="409"/>
      <c r="FM30" s="409"/>
      <c r="FN30" s="409"/>
      <c r="FO30" s="409"/>
      <c r="FP30" s="409"/>
      <c r="FQ30" s="409"/>
      <c r="FR30" s="409"/>
      <c r="FS30" s="409"/>
      <c r="FT30" s="409"/>
      <c r="FU30" s="409"/>
      <c r="FV30" s="409"/>
      <c r="FW30" s="409"/>
      <c r="FX30" s="409"/>
      <c r="FY30" s="409"/>
      <c r="FZ30" s="409"/>
      <c r="GA30" s="409"/>
      <c r="GB30" s="409"/>
      <c r="GC30" s="409"/>
      <c r="GD30" s="409"/>
      <c r="GE30" s="409"/>
      <c r="GF30" s="409"/>
      <c r="GG30" s="409"/>
      <c r="GH30" s="409"/>
      <c r="GI30" s="409"/>
      <c r="GJ30" s="409"/>
      <c r="GK30" s="409"/>
      <c r="GL30" s="409"/>
      <c r="GM30" s="409"/>
      <c r="GN30" s="409"/>
      <c r="GO30" s="409"/>
      <c r="GP30" s="409"/>
      <c r="GQ30" s="409"/>
      <c r="GR30" s="409"/>
      <c r="GS30" s="409"/>
      <c r="GT30" s="409"/>
      <c r="GU30" s="409"/>
      <c r="GV30" s="409"/>
      <c r="GW30" s="409"/>
      <c r="GX30" s="409"/>
      <c r="GY30" s="409"/>
      <c r="GZ30" s="409"/>
      <c r="HA30" s="409"/>
      <c r="HB30" s="409"/>
      <c r="HC30" s="409"/>
      <c r="HD30" s="409"/>
      <c r="HE30" s="409"/>
      <c r="HF30" s="409"/>
      <c r="HG30" s="409"/>
      <c r="HH30" s="409"/>
      <c r="HI30" s="409"/>
      <c r="HJ30" s="409"/>
      <c r="HK30" s="409"/>
      <c r="HL30" s="409"/>
      <c r="HM30" s="409"/>
      <c r="HN30" s="409"/>
      <c r="HO30" s="409"/>
      <c r="HP30" s="409"/>
      <c r="HQ30" s="409"/>
      <c r="HR30" s="409"/>
      <c r="HS30" s="409"/>
      <c r="HT30" s="409"/>
      <c r="HU30" s="409"/>
      <c r="HV30" s="409"/>
      <c r="HW30" s="409"/>
      <c r="HX30" s="409"/>
      <c r="HY30" s="409"/>
      <c r="HZ30" s="409"/>
      <c r="IA30" s="409"/>
      <c r="IB30" s="409"/>
      <c r="IC30" s="409"/>
      <c r="ID30" s="409"/>
      <c r="IE30" s="409"/>
      <c r="IF30" s="409"/>
      <c r="IG30" s="409"/>
      <c r="IH30" s="409"/>
      <c r="II30" s="409"/>
      <c r="IJ30" s="409"/>
      <c r="IK30" s="409"/>
      <c r="IL30" s="409"/>
      <c r="IM30" s="409"/>
      <c r="IN30" s="409"/>
      <c r="IO30" s="409"/>
      <c r="IP30" s="409"/>
      <c r="IQ30" s="409"/>
      <c r="IR30" s="409"/>
      <c r="IS30" s="409"/>
      <c r="IT30" s="409"/>
      <c r="IU30" s="409"/>
      <c r="IV30" s="409"/>
      <c r="IW30" s="409"/>
      <c r="IX30" s="409"/>
      <c r="IY30" s="409"/>
      <c r="IZ30" s="409"/>
      <c r="JA30" s="409"/>
      <c r="JB30" s="409"/>
      <c r="JC30" s="409"/>
      <c r="JD30" s="409"/>
    </row>
    <row r="31" spans="1:264" s="867" customFormat="1" ht="13.8" outlineLevel="1">
      <c r="A31" s="895"/>
      <c r="B31" s="885"/>
      <c r="C31" s="835"/>
      <c r="D31" s="885"/>
      <c r="E31" s="435"/>
      <c r="F31" s="435"/>
      <c r="G31" s="435"/>
      <c r="H31" s="870"/>
      <c r="I31" s="871"/>
      <c r="J31" s="864"/>
      <c r="K31" s="863"/>
      <c r="L31" s="863"/>
      <c r="M31" s="863"/>
      <c r="N31" s="863"/>
      <c r="O31" s="863"/>
      <c r="P31" s="863"/>
      <c r="Q31" s="863"/>
      <c r="R31" s="863"/>
      <c r="S31" s="863"/>
      <c r="T31" s="864"/>
      <c r="U31" s="864"/>
      <c r="V31" s="864"/>
      <c r="W31" s="864"/>
      <c r="X31" s="864"/>
      <c r="Y31" s="864"/>
      <c r="Z31" s="864"/>
      <c r="AA31" s="864"/>
      <c r="AB31" s="864"/>
      <c r="AC31" s="864"/>
      <c r="AD31" s="864"/>
      <c r="AE31" s="864"/>
      <c r="AF31" s="864"/>
      <c r="AG31" s="864"/>
      <c r="AH31" s="864"/>
      <c r="AI31" s="864"/>
      <c r="AJ31" s="864"/>
      <c r="AK31" s="864"/>
      <c r="AL31" s="864"/>
      <c r="AM31" s="864"/>
      <c r="AN31" s="435"/>
      <c r="AO31" s="864"/>
      <c r="AP31" s="864"/>
      <c r="AQ31" s="864"/>
      <c r="AR31" s="864"/>
      <c r="AS31" s="864"/>
      <c r="AT31" s="864"/>
      <c r="AU31" s="864"/>
      <c r="AV31" s="864"/>
      <c r="AW31" s="864"/>
      <c r="AX31" s="864"/>
      <c r="AY31" s="864"/>
      <c r="AZ31" s="864"/>
      <c r="BA31" s="864"/>
      <c r="BB31" s="864"/>
      <c r="BC31" s="864"/>
      <c r="BD31" s="864"/>
      <c r="BE31" s="864"/>
      <c r="BF31" s="864"/>
      <c r="BG31" s="864"/>
      <c r="BH31" s="864"/>
      <c r="BI31" s="864"/>
      <c r="BJ31" s="864"/>
      <c r="BK31" s="864"/>
      <c r="BL31" s="864"/>
      <c r="BM31" s="864"/>
      <c r="BN31" s="864"/>
      <c r="BO31" s="864"/>
      <c r="BP31" s="864"/>
      <c r="BQ31" s="864"/>
      <c r="BR31" s="864"/>
      <c r="BS31" s="864"/>
      <c r="BT31" s="864"/>
      <c r="BU31" s="864"/>
      <c r="BV31" s="863"/>
      <c r="BW31" s="864"/>
      <c r="BX31" s="864"/>
      <c r="BY31" s="864"/>
      <c r="BZ31" s="864"/>
      <c r="CA31" s="864"/>
      <c r="CB31" s="864"/>
      <c r="CC31" s="864"/>
      <c r="CD31" s="864"/>
      <c r="CE31" s="864"/>
      <c r="CF31" s="864"/>
      <c r="CG31" s="864"/>
      <c r="CH31" s="864"/>
      <c r="CI31" s="863"/>
      <c r="CJ31" s="863"/>
      <c r="CK31" s="863"/>
      <c r="CL31" s="863"/>
      <c r="CM31" s="863"/>
      <c r="CN31" s="863"/>
      <c r="CO31" s="863"/>
      <c r="CP31" s="863"/>
      <c r="CQ31" s="863"/>
      <c r="CR31" s="863"/>
      <c r="CS31" s="863"/>
      <c r="CT31" s="863"/>
      <c r="CU31" s="863"/>
      <c r="CV31" s="863"/>
      <c r="CW31" s="863"/>
      <c r="CX31" s="863"/>
      <c r="CY31" s="863"/>
      <c r="CZ31" s="863"/>
      <c r="DA31" s="863"/>
      <c r="DB31" s="863"/>
      <c r="DC31" s="863"/>
      <c r="DD31" s="863"/>
      <c r="DE31" s="863"/>
      <c r="DF31" s="863"/>
      <c r="DG31" s="863"/>
      <c r="DH31" s="863"/>
      <c r="DI31" s="863"/>
      <c r="DJ31" s="863"/>
      <c r="DK31" s="863"/>
      <c r="DL31" s="866"/>
      <c r="DN31" s="409"/>
      <c r="DO31" s="409"/>
      <c r="DP31" s="409"/>
      <c r="DQ31" s="409"/>
      <c r="DR31" s="409"/>
      <c r="DS31" s="409"/>
      <c r="DT31" s="409"/>
      <c r="DU31" s="409"/>
      <c r="DV31" s="409"/>
      <c r="DW31" s="409"/>
      <c r="DX31" s="409"/>
      <c r="DY31" s="409"/>
      <c r="DZ31" s="409"/>
      <c r="EA31" s="409"/>
      <c r="EB31" s="409"/>
      <c r="EC31" s="409"/>
      <c r="ED31" s="409"/>
      <c r="EE31" s="409"/>
      <c r="EF31" s="409"/>
      <c r="EG31" s="409"/>
      <c r="EH31" s="409"/>
      <c r="EI31" s="409"/>
      <c r="EJ31" s="409"/>
      <c r="EK31" s="409"/>
      <c r="EL31" s="409"/>
      <c r="EM31" s="409"/>
      <c r="EN31" s="409"/>
      <c r="EO31" s="409"/>
      <c r="EP31" s="409"/>
      <c r="EQ31" s="409"/>
      <c r="ER31" s="409"/>
      <c r="ES31" s="409"/>
      <c r="ET31" s="409"/>
      <c r="EU31" s="409"/>
      <c r="EV31" s="409"/>
      <c r="EW31" s="409"/>
      <c r="EX31" s="409"/>
      <c r="EY31" s="409"/>
      <c r="EZ31" s="409"/>
      <c r="FA31" s="409"/>
      <c r="FB31" s="409"/>
      <c r="FC31" s="409"/>
      <c r="FD31" s="409"/>
      <c r="FE31" s="409"/>
      <c r="FF31" s="409"/>
      <c r="FG31" s="409"/>
      <c r="FH31" s="409"/>
      <c r="FI31" s="409"/>
      <c r="FJ31" s="409"/>
      <c r="FK31" s="409"/>
      <c r="FL31" s="409"/>
      <c r="FM31" s="409"/>
      <c r="FN31" s="409"/>
      <c r="FO31" s="409"/>
      <c r="FP31" s="409"/>
      <c r="FQ31" s="409"/>
      <c r="FR31" s="409"/>
      <c r="FS31" s="409"/>
      <c r="FT31" s="409"/>
      <c r="FU31" s="409"/>
      <c r="FV31" s="409"/>
      <c r="FW31" s="409"/>
      <c r="FX31" s="409"/>
      <c r="FY31" s="409"/>
      <c r="FZ31" s="409"/>
      <c r="GA31" s="409"/>
      <c r="GB31" s="409"/>
      <c r="GC31" s="409"/>
      <c r="GD31" s="409"/>
      <c r="GE31" s="409"/>
      <c r="GF31" s="409"/>
      <c r="GG31" s="409"/>
      <c r="GH31" s="409"/>
      <c r="GI31" s="409"/>
      <c r="GJ31" s="409"/>
      <c r="GK31" s="409"/>
      <c r="GL31" s="409"/>
      <c r="GM31" s="409"/>
      <c r="GN31" s="409"/>
      <c r="GO31" s="409"/>
      <c r="GP31" s="409"/>
      <c r="GQ31" s="409"/>
      <c r="GR31" s="409"/>
      <c r="GS31" s="409"/>
      <c r="GT31" s="409"/>
      <c r="GU31" s="409"/>
      <c r="GV31" s="409"/>
      <c r="GW31" s="409"/>
      <c r="GX31" s="409"/>
      <c r="GY31" s="409"/>
      <c r="GZ31" s="409"/>
      <c r="HA31" s="409"/>
      <c r="HB31" s="409"/>
      <c r="HC31" s="409"/>
      <c r="HD31" s="409"/>
      <c r="HE31" s="409"/>
      <c r="HF31" s="409"/>
      <c r="HG31" s="409"/>
      <c r="HH31" s="409"/>
      <c r="HI31" s="409"/>
      <c r="HJ31" s="409"/>
      <c r="HK31" s="409"/>
      <c r="HL31" s="409"/>
      <c r="HM31" s="409"/>
      <c r="HN31" s="409"/>
      <c r="HO31" s="409"/>
      <c r="HP31" s="409"/>
      <c r="HQ31" s="409"/>
      <c r="HR31" s="409"/>
      <c r="HS31" s="409"/>
      <c r="HT31" s="409"/>
      <c r="HU31" s="409"/>
      <c r="HV31" s="409"/>
      <c r="HW31" s="409"/>
      <c r="HX31" s="409"/>
      <c r="HY31" s="409"/>
      <c r="HZ31" s="409"/>
      <c r="IA31" s="409"/>
      <c r="IB31" s="409"/>
      <c r="IC31" s="409"/>
      <c r="ID31" s="409"/>
      <c r="IE31" s="409"/>
      <c r="IF31" s="409"/>
      <c r="IG31" s="409"/>
      <c r="IH31" s="409"/>
      <c r="II31" s="409"/>
      <c r="IJ31" s="409"/>
      <c r="IK31" s="409"/>
      <c r="IL31" s="409"/>
      <c r="IM31" s="409"/>
      <c r="IN31" s="409"/>
      <c r="IO31" s="409"/>
      <c r="IP31" s="409"/>
      <c r="IQ31" s="409"/>
      <c r="IR31" s="409"/>
      <c r="IS31" s="409"/>
      <c r="IT31" s="409"/>
      <c r="IU31" s="409"/>
      <c r="IV31" s="409"/>
      <c r="IW31" s="409"/>
      <c r="IX31" s="409"/>
      <c r="IY31" s="409"/>
      <c r="IZ31" s="409"/>
      <c r="JA31" s="409"/>
      <c r="JB31" s="409"/>
      <c r="JC31" s="409"/>
      <c r="JD31" s="409"/>
    </row>
    <row r="32" spans="1:264" s="867" customFormat="1" ht="13.8" outlineLevel="1">
      <c r="A32" s="895"/>
      <c r="B32" s="885"/>
      <c r="C32" s="835"/>
      <c r="D32" s="885"/>
      <c r="E32" s="435"/>
      <c r="F32" s="435"/>
      <c r="G32" s="435"/>
      <c r="H32" s="870"/>
      <c r="I32" s="871"/>
      <c r="J32" s="864"/>
      <c r="K32" s="863"/>
      <c r="L32" s="863"/>
      <c r="M32" s="863"/>
      <c r="N32" s="863"/>
      <c r="O32" s="863"/>
      <c r="P32" s="863"/>
      <c r="Q32" s="863"/>
      <c r="R32" s="863"/>
      <c r="S32" s="863"/>
      <c r="T32" s="864"/>
      <c r="U32" s="864"/>
      <c r="V32" s="864"/>
      <c r="W32" s="864"/>
      <c r="X32" s="864"/>
      <c r="Y32" s="864"/>
      <c r="Z32" s="864"/>
      <c r="AA32" s="864"/>
      <c r="AB32" s="864"/>
      <c r="AC32" s="864"/>
      <c r="AD32" s="864"/>
      <c r="AE32" s="864"/>
      <c r="AF32" s="864"/>
      <c r="AG32" s="864"/>
      <c r="AH32" s="864"/>
      <c r="AI32" s="864"/>
      <c r="AJ32" s="864"/>
      <c r="AK32" s="864"/>
      <c r="AL32" s="864"/>
      <c r="AM32" s="864"/>
      <c r="AN32" s="435"/>
      <c r="AO32" s="864"/>
      <c r="AP32" s="864"/>
      <c r="AQ32" s="864"/>
      <c r="AR32" s="864"/>
      <c r="AS32" s="864"/>
      <c r="AT32" s="864"/>
      <c r="AU32" s="864"/>
      <c r="AV32" s="864"/>
      <c r="AW32" s="864"/>
      <c r="AX32" s="864"/>
      <c r="AY32" s="864"/>
      <c r="AZ32" s="864"/>
      <c r="BA32" s="864"/>
      <c r="BB32" s="864"/>
      <c r="BC32" s="864"/>
      <c r="BD32" s="864"/>
      <c r="BE32" s="864"/>
      <c r="BF32" s="864"/>
      <c r="BG32" s="864"/>
      <c r="BH32" s="864"/>
      <c r="BI32" s="864"/>
      <c r="BJ32" s="864"/>
      <c r="BK32" s="864"/>
      <c r="BL32" s="864"/>
      <c r="BM32" s="864"/>
      <c r="BN32" s="864"/>
      <c r="BO32" s="864"/>
      <c r="BP32" s="864"/>
      <c r="BQ32" s="864"/>
      <c r="BR32" s="864"/>
      <c r="BS32" s="864"/>
      <c r="BT32" s="864"/>
      <c r="BU32" s="864"/>
      <c r="BV32" s="863"/>
      <c r="BW32" s="864"/>
      <c r="BX32" s="864"/>
      <c r="BY32" s="864"/>
      <c r="BZ32" s="864"/>
      <c r="CA32" s="864"/>
      <c r="CB32" s="864"/>
      <c r="CC32" s="864"/>
      <c r="CD32" s="864"/>
      <c r="CE32" s="864"/>
      <c r="CF32" s="864"/>
      <c r="CG32" s="864"/>
      <c r="CH32" s="864"/>
      <c r="CI32" s="863"/>
      <c r="CJ32" s="863"/>
      <c r="CK32" s="863"/>
      <c r="CL32" s="863"/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C32" s="863"/>
      <c r="DD32" s="863"/>
      <c r="DE32" s="863"/>
      <c r="DF32" s="863"/>
      <c r="DG32" s="863"/>
      <c r="DH32" s="863"/>
      <c r="DI32" s="863"/>
      <c r="DJ32" s="863"/>
      <c r="DK32" s="863"/>
      <c r="DL32" s="866"/>
      <c r="DN32" s="409"/>
      <c r="DO32" s="409"/>
      <c r="DP32" s="409"/>
      <c r="DQ32" s="409"/>
      <c r="DR32" s="409"/>
      <c r="DS32" s="409"/>
      <c r="DT32" s="409"/>
      <c r="DU32" s="409"/>
      <c r="DV32" s="409"/>
      <c r="DW32" s="409"/>
      <c r="DX32" s="409"/>
      <c r="DY32" s="409"/>
      <c r="DZ32" s="409"/>
      <c r="EA32" s="409"/>
      <c r="EB32" s="409"/>
      <c r="EC32" s="409"/>
      <c r="ED32" s="409"/>
      <c r="EE32" s="409"/>
      <c r="EF32" s="409"/>
      <c r="EG32" s="409"/>
      <c r="EH32" s="409"/>
      <c r="EI32" s="409"/>
      <c r="EJ32" s="409"/>
      <c r="EK32" s="409"/>
      <c r="EL32" s="409"/>
      <c r="EM32" s="409"/>
      <c r="EN32" s="409"/>
      <c r="EO32" s="409"/>
      <c r="EP32" s="409"/>
      <c r="EQ32" s="409"/>
      <c r="ER32" s="409"/>
      <c r="ES32" s="409"/>
      <c r="ET32" s="409"/>
      <c r="EU32" s="409"/>
      <c r="EV32" s="409"/>
      <c r="EW32" s="409"/>
      <c r="EX32" s="409"/>
      <c r="EY32" s="409"/>
      <c r="EZ32" s="409"/>
      <c r="FA32" s="409"/>
      <c r="FB32" s="409"/>
      <c r="FC32" s="409"/>
      <c r="FD32" s="409"/>
      <c r="FE32" s="409"/>
      <c r="FF32" s="409"/>
      <c r="FG32" s="409"/>
      <c r="FH32" s="409"/>
      <c r="FI32" s="409"/>
      <c r="FJ32" s="409"/>
      <c r="FK32" s="409"/>
      <c r="FL32" s="409"/>
      <c r="FM32" s="409"/>
      <c r="FN32" s="409"/>
      <c r="FO32" s="409"/>
      <c r="FP32" s="409"/>
      <c r="FQ32" s="409"/>
      <c r="FR32" s="409"/>
      <c r="FS32" s="409"/>
      <c r="FT32" s="409"/>
      <c r="FU32" s="409"/>
      <c r="FV32" s="409"/>
      <c r="FW32" s="409"/>
      <c r="FX32" s="409"/>
      <c r="FY32" s="409"/>
      <c r="FZ32" s="409"/>
      <c r="GA32" s="409"/>
      <c r="GB32" s="409"/>
      <c r="GC32" s="409"/>
      <c r="GD32" s="409"/>
      <c r="GE32" s="409"/>
      <c r="GF32" s="409"/>
      <c r="GG32" s="409"/>
      <c r="GH32" s="409"/>
      <c r="GI32" s="409"/>
      <c r="GJ32" s="409"/>
      <c r="GK32" s="409"/>
      <c r="GL32" s="409"/>
      <c r="GM32" s="409"/>
      <c r="GN32" s="409"/>
      <c r="GO32" s="409"/>
      <c r="GP32" s="409"/>
      <c r="GQ32" s="409"/>
      <c r="GR32" s="409"/>
      <c r="GS32" s="409"/>
      <c r="GT32" s="409"/>
      <c r="GU32" s="409"/>
      <c r="GV32" s="409"/>
      <c r="GW32" s="409"/>
      <c r="GX32" s="409"/>
      <c r="GY32" s="409"/>
      <c r="GZ32" s="409"/>
      <c r="HA32" s="409"/>
      <c r="HB32" s="409"/>
      <c r="HC32" s="409"/>
      <c r="HD32" s="409"/>
      <c r="HE32" s="409"/>
      <c r="HF32" s="409"/>
      <c r="HG32" s="409"/>
      <c r="HH32" s="409"/>
      <c r="HI32" s="409"/>
      <c r="HJ32" s="409"/>
      <c r="HK32" s="409"/>
      <c r="HL32" s="409"/>
      <c r="HM32" s="409"/>
      <c r="HN32" s="409"/>
      <c r="HO32" s="409"/>
      <c r="HP32" s="409"/>
      <c r="HQ32" s="409"/>
      <c r="HR32" s="409"/>
      <c r="HS32" s="409"/>
      <c r="HT32" s="409"/>
      <c r="HU32" s="409"/>
      <c r="HV32" s="409"/>
      <c r="HW32" s="409"/>
      <c r="HX32" s="409"/>
      <c r="HY32" s="409"/>
      <c r="HZ32" s="409"/>
      <c r="IA32" s="409"/>
      <c r="IB32" s="409"/>
      <c r="IC32" s="409"/>
      <c r="ID32" s="409"/>
      <c r="IE32" s="409"/>
      <c r="IF32" s="409"/>
      <c r="IG32" s="409"/>
      <c r="IH32" s="409"/>
      <c r="II32" s="409"/>
      <c r="IJ32" s="409"/>
      <c r="IK32" s="409"/>
      <c r="IL32" s="409"/>
      <c r="IM32" s="409"/>
      <c r="IN32" s="409"/>
      <c r="IO32" s="409"/>
      <c r="IP32" s="409"/>
      <c r="IQ32" s="409"/>
      <c r="IR32" s="409"/>
      <c r="IS32" s="409"/>
      <c r="IT32" s="409"/>
      <c r="IU32" s="409"/>
      <c r="IV32" s="409"/>
      <c r="IW32" s="409"/>
      <c r="IX32" s="409"/>
      <c r="IY32" s="409"/>
      <c r="IZ32" s="409"/>
      <c r="JA32" s="409"/>
      <c r="JB32" s="409"/>
      <c r="JC32" s="409"/>
      <c r="JD32" s="409"/>
    </row>
    <row r="33" spans="1:264" s="867" customFormat="1" ht="13.8" outlineLevel="1">
      <c r="A33" s="895"/>
      <c r="B33" s="885"/>
      <c r="C33" s="835"/>
      <c r="D33" s="885"/>
      <c r="E33" s="435"/>
      <c r="F33" s="435"/>
      <c r="G33" s="435"/>
      <c r="H33" s="870"/>
      <c r="I33" s="871"/>
      <c r="J33" s="864"/>
      <c r="K33" s="863"/>
      <c r="L33" s="863"/>
      <c r="M33" s="863"/>
      <c r="N33" s="863"/>
      <c r="O33" s="863"/>
      <c r="P33" s="863"/>
      <c r="Q33" s="863"/>
      <c r="R33" s="863"/>
      <c r="S33" s="863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435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3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3"/>
      <c r="CJ33" s="863"/>
      <c r="CK33" s="863"/>
      <c r="CL33" s="863"/>
      <c r="CM33" s="863"/>
      <c r="CN33" s="863"/>
      <c r="CO33" s="863"/>
      <c r="CP33" s="863"/>
      <c r="CQ33" s="863"/>
      <c r="CR33" s="863"/>
      <c r="CS33" s="863"/>
      <c r="CT33" s="863"/>
      <c r="CU33" s="863"/>
      <c r="CV33" s="863"/>
      <c r="CW33" s="863"/>
      <c r="CX33" s="863"/>
      <c r="CY33" s="863"/>
      <c r="CZ33" s="863"/>
      <c r="DA33" s="863"/>
      <c r="DB33" s="863"/>
      <c r="DC33" s="863"/>
      <c r="DD33" s="863"/>
      <c r="DE33" s="863"/>
      <c r="DF33" s="863"/>
      <c r="DG33" s="863"/>
      <c r="DH33" s="863"/>
      <c r="DI33" s="863"/>
      <c r="DJ33" s="863"/>
      <c r="DK33" s="863"/>
      <c r="DL33" s="866"/>
      <c r="DN33" s="409"/>
      <c r="DO33" s="409"/>
      <c r="DP33" s="409"/>
      <c r="DQ33" s="409"/>
      <c r="DR33" s="409"/>
      <c r="DS33" s="409"/>
      <c r="DT33" s="409"/>
      <c r="DU33" s="409"/>
      <c r="DV33" s="409"/>
      <c r="DW33" s="409"/>
      <c r="DX33" s="409"/>
      <c r="DY33" s="409"/>
      <c r="DZ33" s="409"/>
      <c r="EA33" s="409"/>
      <c r="EB33" s="409"/>
      <c r="EC33" s="409"/>
      <c r="ED33" s="409"/>
      <c r="EE33" s="409"/>
      <c r="EF33" s="409"/>
      <c r="EG33" s="409"/>
      <c r="EH33" s="409"/>
      <c r="EI33" s="409"/>
      <c r="EJ33" s="409"/>
      <c r="EK33" s="409"/>
      <c r="EL33" s="409"/>
      <c r="EM33" s="409"/>
      <c r="EN33" s="409"/>
      <c r="EO33" s="409"/>
      <c r="EP33" s="409"/>
      <c r="EQ33" s="409"/>
      <c r="ER33" s="409"/>
      <c r="ES33" s="409"/>
      <c r="ET33" s="409"/>
      <c r="EU33" s="409"/>
      <c r="EV33" s="409"/>
      <c r="EW33" s="409"/>
      <c r="EX33" s="409"/>
      <c r="EY33" s="409"/>
      <c r="EZ33" s="409"/>
      <c r="FA33" s="409"/>
      <c r="FB33" s="409"/>
      <c r="FC33" s="409"/>
      <c r="FD33" s="409"/>
      <c r="FE33" s="409"/>
      <c r="FF33" s="409"/>
      <c r="FG33" s="409"/>
      <c r="FH33" s="409"/>
      <c r="FI33" s="409"/>
      <c r="FJ33" s="409"/>
      <c r="FK33" s="409"/>
      <c r="FL33" s="409"/>
      <c r="FM33" s="409"/>
      <c r="FN33" s="409"/>
      <c r="FO33" s="409"/>
      <c r="FP33" s="409"/>
      <c r="FQ33" s="409"/>
      <c r="FR33" s="409"/>
      <c r="FS33" s="409"/>
      <c r="FT33" s="409"/>
      <c r="FU33" s="409"/>
      <c r="FV33" s="409"/>
      <c r="FW33" s="409"/>
      <c r="FX33" s="409"/>
      <c r="FY33" s="409"/>
      <c r="FZ33" s="409"/>
      <c r="GA33" s="409"/>
      <c r="GB33" s="409"/>
      <c r="GC33" s="409"/>
      <c r="GD33" s="409"/>
      <c r="GE33" s="409"/>
      <c r="GF33" s="409"/>
      <c r="GG33" s="409"/>
      <c r="GH33" s="409"/>
      <c r="GI33" s="409"/>
      <c r="GJ33" s="409"/>
      <c r="GK33" s="409"/>
      <c r="GL33" s="409"/>
      <c r="GM33" s="409"/>
      <c r="GN33" s="409"/>
      <c r="GO33" s="409"/>
      <c r="GP33" s="409"/>
      <c r="GQ33" s="409"/>
      <c r="GR33" s="409"/>
      <c r="GS33" s="409"/>
      <c r="GT33" s="409"/>
      <c r="GU33" s="409"/>
      <c r="GV33" s="409"/>
      <c r="GW33" s="409"/>
      <c r="GX33" s="409"/>
      <c r="GY33" s="409"/>
      <c r="GZ33" s="409"/>
      <c r="HA33" s="409"/>
      <c r="HB33" s="409"/>
      <c r="HC33" s="409"/>
      <c r="HD33" s="409"/>
      <c r="HE33" s="409"/>
      <c r="HF33" s="409"/>
      <c r="HG33" s="409"/>
      <c r="HH33" s="409"/>
      <c r="HI33" s="409"/>
      <c r="HJ33" s="409"/>
      <c r="HK33" s="409"/>
      <c r="HL33" s="409"/>
      <c r="HM33" s="409"/>
      <c r="HN33" s="409"/>
      <c r="HO33" s="409"/>
      <c r="HP33" s="409"/>
      <c r="HQ33" s="409"/>
      <c r="HR33" s="409"/>
      <c r="HS33" s="409"/>
      <c r="HT33" s="409"/>
      <c r="HU33" s="409"/>
      <c r="HV33" s="409"/>
      <c r="HW33" s="409"/>
      <c r="HX33" s="409"/>
      <c r="HY33" s="409"/>
      <c r="HZ33" s="409"/>
      <c r="IA33" s="409"/>
      <c r="IB33" s="409"/>
      <c r="IC33" s="409"/>
      <c r="ID33" s="409"/>
      <c r="IE33" s="409"/>
      <c r="IF33" s="409"/>
      <c r="IG33" s="409"/>
      <c r="IH33" s="409"/>
      <c r="II33" s="409"/>
      <c r="IJ33" s="409"/>
      <c r="IK33" s="409"/>
      <c r="IL33" s="409"/>
      <c r="IM33" s="409"/>
      <c r="IN33" s="409"/>
      <c r="IO33" s="409"/>
      <c r="IP33" s="409"/>
      <c r="IQ33" s="409"/>
      <c r="IR33" s="409"/>
      <c r="IS33" s="409"/>
      <c r="IT33" s="409"/>
      <c r="IU33" s="409"/>
      <c r="IV33" s="409"/>
      <c r="IW33" s="409"/>
      <c r="IX33" s="409"/>
      <c r="IY33" s="409"/>
      <c r="IZ33" s="409"/>
      <c r="JA33" s="409"/>
      <c r="JB33" s="409"/>
      <c r="JC33" s="409"/>
      <c r="JD33" s="409"/>
    </row>
    <row r="34" spans="1:264" s="867" customFormat="1" ht="13.8" outlineLevel="1">
      <c r="A34" s="895"/>
      <c r="B34" s="885"/>
      <c r="C34" s="835"/>
      <c r="D34" s="885"/>
      <c r="E34" s="435"/>
      <c r="F34" s="435"/>
      <c r="G34" s="435"/>
      <c r="H34" s="870"/>
      <c r="I34" s="871"/>
      <c r="J34" s="864"/>
      <c r="K34" s="863"/>
      <c r="L34" s="863"/>
      <c r="M34" s="863"/>
      <c r="N34" s="863"/>
      <c r="O34" s="863"/>
      <c r="P34" s="863"/>
      <c r="Q34" s="863"/>
      <c r="R34" s="863"/>
      <c r="S34" s="863"/>
      <c r="T34" s="864"/>
      <c r="U34" s="864"/>
      <c r="V34" s="864"/>
      <c r="W34" s="864"/>
      <c r="X34" s="864"/>
      <c r="Y34" s="864"/>
      <c r="Z34" s="864"/>
      <c r="AA34" s="864"/>
      <c r="AB34" s="864"/>
      <c r="AC34" s="864"/>
      <c r="AD34" s="864"/>
      <c r="AE34" s="864"/>
      <c r="AF34" s="864"/>
      <c r="AG34" s="864"/>
      <c r="AH34" s="864"/>
      <c r="AI34" s="864"/>
      <c r="AJ34" s="864"/>
      <c r="AK34" s="864"/>
      <c r="AL34" s="864"/>
      <c r="AM34" s="864"/>
      <c r="AN34" s="435"/>
      <c r="AO34" s="864"/>
      <c r="AP34" s="864"/>
      <c r="AQ34" s="864"/>
      <c r="AR34" s="864"/>
      <c r="AS34" s="864"/>
      <c r="AT34" s="864"/>
      <c r="AU34" s="864"/>
      <c r="AV34" s="864"/>
      <c r="AW34" s="864"/>
      <c r="AX34" s="864"/>
      <c r="AY34" s="864"/>
      <c r="AZ34" s="864"/>
      <c r="BA34" s="864"/>
      <c r="BB34" s="864"/>
      <c r="BC34" s="864"/>
      <c r="BD34" s="864"/>
      <c r="BE34" s="864"/>
      <c r="BF34" s="864"/>
      <c r="BG34" s="864"/>
      <c r="BH34" s="864"/>
      <c r="BI34" s="864"/>
      <c r="BJ34" s="864"/>
      <c r="BK34" s="864"/>
      <c r="BL34" s="864"/>
      <c r="BM34" s="864"/>
      <c r="BN34" s="864"/>
      <c r="BO34" s="864"/>
      <c r="BP34" s="864"/>
      <c r="BQ34" s="864"/>
      <c r="BR34" s="864"/>
      <c r="BS34" s="864"/>
      <c r="BT34" s="864"/>
      <c r="BU34" s="864"/>
      <c r="BV34" s="863"/>
      <c r="BW34" s="864"/>
      <c r="BX34" s="864"/>
      <c r="BY34" s="864"/>
      <c r="BZ34" s="864"/>
      <c r="CA34" s="864"/>
      <c r="CB34" s="864"/>
      <c r="CC34" s="864"/>
      <c r="CD34" s="864"/>
      <c r="CE34" s="864"/>
      <c r="CF34" s="864"/>
      <c r="CG34" s="864"/>
      <c r="CH34" s="864"/>
      <c r="CI34" s="863"/>
      <c r="CJ34" s="863"/>
      <c r="CK34" s="863"/>
      <c r="CL34" s="863"/>
      <c r="CM34" s="863"/>
      <c r="CN34" s="863"/>
      <c r="CO34" s="863"/>
      <c r="CP34" s="863"/>
      <c r="CQ34" s="863"/>
      <c r="CR34" s="863"/>
      <c r="CS34" s="863"/>
      <c r="CT34" s="863"/>
      <c r="CU34" s="863"/>
      <c r="CV34" s="863"/>
      <c r="CW34" s="863"/>
      <c r="CX34" s="863"/>
      <c r="CY34" s="863"/>
      <c r="CZ34" s="863"/>
      <c r="DA34" s="863"/>
      <c r="DB34" s="863"/>
      <c r="DC34" s="863"/>
      <c r="DD34" s="863"/>
      <c r="DE34" s="863"/>
      <c r="DF34" s="863"/>
      <c r="DG34" s="863"/>
      <c r="DH34" s="863"/>
      <c r="DI34" s="863"/>
      <c r="DJ34" s="863"/>
      <c r="DK34" s="863"/>
      <c r="DL34" s="866"/>
      <c r="DN34" s="409"/>
      <c r="DO34" s="409"/>
      <c r="DP34" s="409"/>
      <c r="DQ34" s="409"/>
      <c r="DR34" s="409"/>
      <c r="DS34" s="409"/>
      <c r="DT34" s="409"/>
      <c r="DU34" s="409"/>
      <c r="DV34" s="409"/>
      <c r="DW34" s="409"/>
      <c r="DX34" s="409"/>
      <c r="DY34" s="409"/>
      <c r="DZ34" s="409"/>
      <c r="EA34" s="409"/>
      <c r="EB34" s="409"/>
      <c r="EC34" s="409"/>
      <c r="ED34" s="409"/>
      <c r="EE34" s="409"/>
      <c r="EF34" s="409"/>
      <c r="EG34" s="409"/>
      <c r="EH34" s="409"/>
      <c r="EI34" s="409"/>
      <c r="EJ34" s="409"/>
      <c r="EK34" s="409"/>
      <c r="EL34" s="409"/>
      <c r="EM34" s="409"/>
      <c r="EN34" s="409"/>
      <c r="EO34" s="409"/>
      <c r="EP34" s="409"/>
      <c r="EQ34" s="409"/>
      <c r="ER34" s="409"/>
      <c r="ES34" s="409"/>
      <c r="ET34" s="409"/>
      <c r="EU34" s="409"/>
      <c r="EV34" s="409"/>
      <c r="EW34" s="409"/>
      <c r="EX34" s="409"/>
      <c r="EY34" s="409"/>
      <c r="EZ34" s="409"/>
      <c r="FA34" s="409"/>
      <c r="FB34" s="409"/>
      <c r="FC34" s="409"/>
      <c r="FD34" s="409"/>
      <c r="FE34" s="409"/>
      <c r="FF34" s="409"/>
      <c r="FG34" s="409"/>
      <c r="FH34" s="409"/>
      <c r="FI34" s="409"/>
      <c r="FJ34" s="409"/>
      <c r="FK34" s="409"/>
      <c r="FL34" s="409"/>
      <c r="FM34" s="409"/>
      <c r="FN34" s="409"/>
      <c r="FO34" s="409"/>
      <c r="FP34" s="409"/>
      <c r="FQ34" s="409"/>
      <c r="FR34" s="409"/>
      <c r="FS34" s="409"/>
      <c r="FT34" s="409"/>
      <c r="FU34" s="409"/>
      <c r="FV34" s="409"/>
      <c r="FW34" s="409"/>
      <c r="FX34" s="409"/>
      <c r="FY34" s="409"/>
      <c r="FZ34" s="409"/>
      <c r="GA34" s="409"/>
      <c r="GB34" s="409"/>
      <c r="GC34" s="409"/>
      <c r="GD34" s="409"/>
      <c r="GE34" s="409"/>
      <c r="GF34" s="409"/>
      <c r="GG34" s="409"/>
      <c r="GH34" s="409"/>
      <c r="GI34" s="409"/>
      <c r="GJ34" s="409"/>
      <c r="GK34" s="409"/>
      <c r="GL34" s="409"/>
      <c r="GM34" s="409"/>
      <c r="GN34" s="409"/>
      <c r="GO34" s="409"/>
      <c r="GP34" s="409"/>
      <c r="GQ34" s="409"/>
      <c r="GR34" s="409"/>
      <c r="GS34" s="409"/>
      <c r="GT34" s="409"/>
      <c r="GU34" s="409"/>
      <c r="GV34" s="409"/>
      <c r="GW34" s="409"/>
      <c r="GX34" s="409"/>
      <c r="GY34" s="409"/>
      <c r="GZ34" s="409"/>
      <c r="HA34" s="409"/>
      <c r="HB34" s="409"/>
      <c r="HC34" s="409"/>
      <c r="HD34" s="409"/>
      <c r="HE34" s="409"/>
      <c r="HF34" s="409"/>
      <c r="HG34" s="409"/>
      <c r="HH34" s="409"/>
      <c r="HI34" s="409"/>
      <c r="HJ34" s="409"/>
      <c r="HK34" s="409"/>
      <c r="HL34" s="409"/>
      <c r="HM34" s="409"/>
      <c r="HN34" s="409"/>
      <c r="HO34" s="409"/>
      <c r="HP34" s="409"/>
      <c r="HQ34" s="409"/>
      <c r="HR34" s="409"/>
      <c r="HS34" s="409"/>
      <c r="HT34" s="409"/>
      <c r="HU34" s="409"/>
      <c r="HV34" s="409"/>
      <c r="HW34" s="409"/>
      <c r="HX34" s="409"/>
      <c r="HY34" s="409"/>
      <c r="HZ34" s="409"/>
      <c r="IA34" s="409"/>
      <c r="IB34" s="409"/>
      <c r="IC34" s="409"/>
      <c r="ID34" s="409"/>
      <c r="IE34" s="409"/>
      <c r="IF34" s="409"/>
      <c r="IG34" s="409"/>
      <c r="IH34" s="409"/>
      <c r="II34" s="409"/>
      <c r="IJ34" s="409"/>
      <c r="IK34" s="409"/>
      <c r="IL34" s="409"/>
      <c r="IM34" s="409"/>
      <c r="IN34" s="409"/>
      <c r="IO34" s="409"/>
      <c r="IP34" s="409"/>
      <c r="IQ34" s="409"/>
      <c r="IR34" s="409"/>
      <c r="IS34" s="409"/>
      <c r="IT34" s="409"/>
      <c r="IU34" s="409"/>
      <c r="IV34" s="409"/>
      <c r="IW34" s="409"/>
      <c r="IX34" s="409"/>
      <c r="IY34" s="409"/>
      <c r="IZ34" s="409"/>
      <c r="JA34" s="409"/>
      <c r="JB34" s="409"/>
      <c r="JC34" s="409"/>
      <c r="JD34" s="409"/>
    </row>
    <row r="35" spans="1:264" s="867" customFormat="1" ht="13.8" outlineLevel="1">
      <c r="A35" s="895"/>
      <c r="B35" s="885"/>
      <c r="C35" s="835"/>
      <c r="D35" s="885"/>
      <c r="E35" s="435"/>
      <c r="F35" s="435"/>
      <c r="G35" s="435"/>
      <c r="H35" s="870"/>
      <c r="I35" s="871"/>
      <c r="J35" s="864"/>
      <c r="K35" s="863"/>
      <c r="L35" s="863"/>
      <c r="M35" s="863"/>
      <c r="N35" s="863"/>
      <c r="O35" s="863"/>
      <c r="P35" s="863"/>
      <c r="Q35" s="863"/>
      <c r="R35" s="863"/>
      <c r="S35" s="863"/>
      <c r="T35" s="864"/>
      <c r="U35" s="864"/>
      <c r="V35" s="864"/>
      <c r="W35" s="864"/>
      <c r="X35" s="864"/>
      <c r="Y35" s="864"/>
      <c r="Z35" s="864"/>
      <c r="AA35" s="864"/>
      <c r="AB35" s="864"/>
      <c r="AC35" s="864"/>
      <c r="AD35" s="864"/>
      <c r="AE35" s="864"/>
      <c r="AF35" s="864"/>
      <c r="AG35" s="864"/>
      <c r="AH35" s="864"/>
      <c r="AI35" s="864"/>
      <c r="AJ35" s="864"/>
      <c r="AK35" s="864"/>
      <c r="AL35" s="864"/>
      <c r="AM35" s="864"/>
      <c r="AN35" s="435"/>
      <c r="AO35" s="864"/>
      <c r="AP35" s="864"/>
      <c r="AQ35" s="864"/>
      <c r="AR35" s="864"/>
      <c r="AS35" s="864"/>
      <c r="AT35" s="864"/>
      <c r="AU35" s="864"/>
      <c r="AV35" s="864"/>
      <c r="AW35" s="864"/>
      <c r="AX35" s="864"/>
      <c r="AY35" s="864"/>
      <c r="AZ35" s="864"/>
      <c r="BA35" s="864"/>
      <c r="BB35" s="864"/>
      <c r="BC35" s="864"/>
      <c r="BD35" s="864"/>
      <c r="BE35" s="864"/>
      <c r="BF35" s="864"/>
      <c r="BG35" s="864"/>
      <c r="BH35" s="864"/>
      <c r="BI35" s="864"/>
      <c r="BJ35" s="864"/>
      <c r="BK35" s="864"/>
      <c r="BL35" s="864"/>
      <c r="BM35" s="864"/>
      <c r="BN35" s="864"/>
      <c r="BO35" s="864"/>
      <c r="BP35" s="864"/>
      <c r="BQ35" s="864"/>
      <c r="BR35" s="864"/>
      <c r="BS35" s="864"/>
      <c r="BT35" s="864"/>
      <c r="BU35" s="864"/>
      <c r="BV35" s="863"/>
      <c r="BW35" s="864"/>
      <c r="BX35" s="864"/>
      <c r="BY35" s="864"/>
      <c r="BZ35" s="864"/>
      <c r="CA35" s="864"/>
      <c r="CB35" s="864"/>
      <c r="CC35" s="864"/>
      <c r="CD35" s="864"/>
      <c r="CE35" s="864"/>
      <c r="CF35" s="864"/>
      <c r="CG35" s="864"/>
      <c r="CH35" s="864"/>
      <c r="CI35" s="863"/>
      <c r="CJ35" s="863"/>
      <c r="CK35" s="863"/>
      <c r="CL35" s="863"/>
      <c r="CM35" s="863"/>
      <c r="CN35" s="863"/>
      <c r="CO35" s="863"/>
      <c r="CP35" s="863"/>
      <c r="CQ35" s="863"/>
      <c r="CR35" s="863"/>
      <c r="CS35" s="863"/>
      <c r="CT35" s="863"/>
      <c r="CU35" s="863"/>
      <c r="CV35" s="863"/>
      <c r="CW35" s="863"/>
      <c r="CX35" s="863"/>
      <c r="CY35" s="863"/>
      <c r="CZ35" s="863"/>
      <c r="DA35" s="863"/>
      <c r="DB35" s="863"/>
      <c r="DC35" s="863"/>
      <c r="DD35" s="863"/>
      <c r="DE35" s="863"/>
      <c r="DF35" s="863"/>
      <c r="DG35" s="863"/>
      <c r="DH35" s="863"/>
      <c r="DI35" s="863"/>
      <c r="DJ35" s="863"/>
      <c r="DK35" s="863"/>
      <c r="DL35" s="866"/>
      <c r="DN35" s="409"/>
      <c r="DO35" s="409"/>
      <c r="DP35" s="409"/>
      <c r="DQ35" s="409"/>
      <c r="DR35" s="409"/>
      <c r="DS35" s="409"/>
      <c r="DT35" s="409"/>
      <c r="DU35" s="409"/>
      <c r="DV35" s="409"/>
      <c r="DW35" s="409"/>
      <c r="DX35" s="409"/>
      <c r="DY35" s="409"/>
      <c r="DZ35" s="409"/>
      <c r="EA35" s="409"/>
      <c r="EB35" s="409"/>
      <c r="EC35" s="409"/>
      <c r="ED35" s="409"/>
      <c r="EE35" s="409"/>
      <c r="EF35" s="409"/>
      <c r="EG35" s="409"/>
      <c r="EH35" s="409"/>
      <c r="EI35" s="409"/>
      <c r="EJ35" s="409"/>
      <c r="EK35" s="409"/>
      <c r="EL35" s="409"/>
      <c r="EM35" s="409"/>
      <c r="EN35" s="409"/>
      <c r="EO35" s="409"/>
      <c r="EP35" s="409"/>
      <c r="EQ35" s="409"/>
      <c r="ER35" s="409"/>
      <c r="ES35" s="409"/>
      <c r="ET35" s="409"/>
      <c r="EU35" s="409"/>
      <c r="EV35" s="409"/>
      <c r="EW35" s="409"/>
      <c r="EX35" s="409"/>
      <c r="EY35" s="409"/>
      <c r="EZ35" s="409"/>
      <c r="FA35" s="409"/>
      <c r="FB35" s="409"/>
      <c r="FC35" s="409"/>
      <c r="FD35" s="409"/>
      <c r="FE35" s="409"/>
      <c r="FF35" s="409"/>
      <c r="FG35" s="409"/>
      <c r="FH35" s="409"/>
      <c r="FI35" s="409"/>
      <c r="FJ35" s="409"/>
      <c r="FK35" s="409"/>
      <c r="FL35" s="409"/>
      <c r="FM35" s="409"/>
      <c r="FN35" s="409"/>
      <c r="FO35" s="409"/>
      <c r="FP35" s="409"/>
      <c r="FQ35" s="409"/>
      <c r="FR35" s="409"/>
      <c r="FS35" s="409"/>
      <c r="FT35" s="409"/>
      <c r="FU35" s="409"/>
      <c r="FV35" s="409"/>
      <c r="FW35" s="409"/>
      <c r="FX35" s="409"/>
      <c r="FY35" s="409"/>
      <c r="FZ35" s="409"/>
      <c r="GA35" s="409"/>
      <c r="GB35" s="409"/>
      <c r="GC35" s="409"/>
      <c r="GD35" s="409"/>
      <c r="GE35" s="409"/>
      <c r="GF35" s="409"/>
      <c r="GG35" s="409"/>
      <c r="GH35" s="409"/>
      <c r="GI35" s="409"/>
      <c r="GJ35" s="409"/>
      <c r="GK35" s="409"/>
      <c r="GL35" s="409"/>
      <c r="GM35" s="409"/>
      <c r="GN35" s="409"/>
      <c r="GO35" s="409"/>
      <c r="GP35" s="409"/>
      <c r="GQ35" s="409"/>
      <c r="GR35" s="409"/>
      <c r="GS35" s="409"/>
      <c r="GT35" s="409"/>
      <c r="GU35" s="409"/>
      <c r="GV35" s="409"/>
      <c r="GW35" s="409"/>
      <c r="GX35" s="409"/>
      <c r="GY35" s="409"/>
      <c r="GZ35" s="409"/>
      <c r="HA35" s="409"/>
      <c r="HB35" s="409"/>
      <c r="HC35" s="409"/>
      <c r="HD35" s="409"/>
      <c r="HE35" s="409"/>
      <c r="HF35" s="409"/>
      <c r="HG35" s="409"/>
      <c r="HH35" s="409"/>
      <c r="HI35" s="409"/>
      <c r="HJ35" s="409"/>
      <c r="HK35" s="409"/>
      <c r="HL35" s="409"/>
      <c r="HM35" s="409"/>
      <c r="HN35" s="409"/>
      <c r="HO35" s="409"/>
      <c r="HP35" s="409"/>
      <c r="HQ35" s="409"/>
      <c r="HR35" s="409"/>
      <c r="HS35" s="409"/>
      <c r="HT35" s="409"/>
      <c r="HU35" s="409"/>
      <c r="HV35" s="409"/>
      <c r="HW35" s="409"/>
      <c r="HX35" s="409"/>
      <c r="HY35" s="409"/>
      <c r="HZ35" s="409"/>
      <c r="IA35" s="409"/>
      <c r="IB35" s="409"/>
      <c r="IC35" s="409"/>
      <c r="ID35" s="409"/>
      <c r="IE35" s="409"/>
      <c r="IF35" s="409"/>
      <c r="IG35" s="409"/>
      <c r="IH35" s="409"/>
      <c r="II35" s="409"/>
      <c r="IJ35" s="409"/>
      <c r="IK35" s="409"/>
      <c r="IL35" s="409"/>
      <c r="IM35" s="409"/>
      <c r="IN35" s="409"/>
      <c r="IO35" s="409"/>
      <c r="IP35" s="409"/>
      <c r="IQ35" s="409"/>
      <c r="IR35" s="409"/>
      <c r="IS35" s="409"/>
      <c r="IT35" s="409"/>
      <c r="IU35" s="409"/>
      <c r="IV35" s="409"/>
      <c r="IW35" s="409"/>
      <c r="IX35" s="409"/>
      <c r="IY35" s="409"/>
      <c r="IZ35" s="409"/>
      <c r="JA35" s="409"/>
      <c r="JB35" s="409"/>
      <c r="JC35" s="409"/>
      <c r="JD35" s="409"/>
    </row>
    <row r="36" spans="1:264" s="867" customFormat="1" ht="13.8" outlineLevel="1">
      <c r="A36" s="895"/>
      <c r="B36" s="885"/>
      <c r="C36" s="835"/>
      <c r="D36" s="885"/>
      <c r="E36" s="435"/>
      <c r="F36" s="435"/>
      <c r="G36" s="435"/>
      <c r="H36" s="870"/>
      <c r="I36" s="871"/>
      <c r="J36" s="864"/>
      <c r="K36" s="863"/>
      <c r="L36" s="863"/>
      <c r="M36" s="863"/>
      <c r="N36" s="863"/>
      <c r="O36" s="863"/>
      <c r="P36" s="863"/>
      <c r="Q36" s="863"/>
      <c r="R36" s="863"/>
      <c r="S36" s="863"/>
      <c r="T36" s="864"/>
      <c r="U36" s="864"/>
      <c r="V36" s="864"/>
      <c r="W36" s="864"/>
      <c r="X36" s="864"/>
      <c r="Y36" s="864"/>
      <c r="Z36" s="864"/>
      <c r="AA36" s="864"/>
      <c r="AB36" s="864"/>
      <c r="AC36" s="864"/>
      <c r="AD36" s="864"/>
      <c r="AE36" s="864"/>
      <c r="AF36" s="864"/>
      <c r="AG36" s="864"/>
      <c r="AH36" s="864"/>
      <c r="AI36" s="864"/>
      <c r="AJ36" s="864"/>
      <c r="AK36" s="864"/>
      <c r="AL36" s="864"/>
      <c r="AM36" s="864"/>
      <c r="AN36" s="435"/>
      <c r="AO36" s="864"/>
      <c r="AP36" s="864"/>
      <c r="AQ36" s="864"/>
      <c r="AR36" s="864"/>
      <c r="AS36" s="864"/>
      <c r="AT36" s="864"/>
      <c r="AU36" s="864"/>
      <c r="AV36" s="864"/>
      <c r="AW36" s="864"/>
      <c r="AX36" s="864"/>
      <c r="AY36" s="864"/>
      <c r="AZ36" s="864"/>
      <c r="BA36" s="864"/>
      <c r="BB36" s="864"/>
      <c r="BC36" s="864"/>
      <c r="BD36" s="864"/>
      <c r="BE36" s="864"/>
      <c r="BF36" s="864"/>
      <c r="BG36" s="864"/>
      <c r="BH36" s="864"/>
      <c r="BI36" s="864"/>
      <c r="BJ36" s="864"/>
      <c r="BK36" s="864"/>
      <c r="BL36" s="864"/>
      <c r="BM36" s="864"/>
      <c r="BN36" s="864"/>
      <c r="BO36" s="864"/>
      <c r="BP36" s="864"/>
      <c r="BQ36" s="864"/>
      <c r="BR36" s="864"/>
      <c r="BS36" s="864"/>
      <c r="BT36" s="864"/>
      <c r="BU36" s="864"/>
      <c r="BV36" s="863"/>
      <c r="BW36" s="864"/>
      <c r="BX36" s="864"/>
      <c r="BY36" s="864"/>
      <c r="BZ36" s="864"/>
      <c r="CA36" s="864"/>
      <c r="CB36" s="864"/>
      <c r="CC36" s="864"/>
      <c r="CD36" s="864"/>
      <c r="CE36" s="864"/>
      <c r="CF36" s="864"/>
      <c r="CG36" s="864"/>
      <c r="CH36" s="864"/>
      <c r="CI36" s="863"/>
      <c r="CJ36" s="863"/>
      <c r="CK36" s="863"/>
      <c r="CL36" s="863"/>
      <c r="CM36" s="863"/>
      <c r="CN36" s="863"/>
      <c r="CO36" s="863"/>
      <c r="CP36" s="863"/>
      <c r="CQ36" s="863"/>
      <c r="CR36" s="863"/>
      <c r="CS36" s="863"/>
      <c r="CT36" s="863"/>
      <c r="CU36" s="863"/>
      <c r="CV36" s="863"/>
      <c r="CW36" s="863"/>
      <c r="CX36" s="863"/>
      <c r="CY36" s="863"/>
      <c r="CZ36" s="863"/>
      <c r="DA36" s="863"/>
      <c r="DB36" s="863"/>
      <c r="DC36" s="863"/>
      <c r="DD36" s="863"/>
      <c r="DE36" s="863"/>
      <c r="DF36" s="863"/>
      <c r="DG36" s="863"/>
      <c r="DH36" s="863"/>
      <c r="DI36" s="863"/>
      <c r="DJ36" s="863"/>
      <c r="DK36" s="863"/>
      <c r="DL36" s="866"/>
      <c r="DN36" s="409"/>
      <c r="DO36" s="409"/>
      <c r="DP36" s="409"/>
      <c r="DQ36" s="409"/>
      <c r="DR36" s="409"/>
      <c r="DS36" s="409"/>
      <c r="DT36" s="409"/>
      <c r="DU36" s="409"/>
      <c r="DV36" s="409"/>
      <c r="DW36" s="409"/>
      <c r="DX36" s="409"/>
      <c r="DY36" s="409"/>
      <c r="DZ36" s="409"/>
      <c r="EA36" s="409"/>
      <c r="EB36" s="409"/>
      <c r="EC36" s="409"/>
      <c r="ED36" s="409"/>
      <c r="EE36" s="409"/>
      <c r="EF36" s="409"/>
      <c r="EG36" s="409"/>
      <c r="EH36" s="409"/>
      <c r="EI36" s="409"/>
      <c r="EJ36" s="409"/>
      <c r="EK36" s="409"/>
      <c r="EL36" s="409"/>
      <c r="EM36" s="409"/>
      <c r="EN36" s="409"/>
      <c r="EO36" s="409"/>
      <c r="EP36" s="409"/>
      <c r="EQ36" s="409"/>
      <c r="ER36" s="409"/>
      <c r="ES36" s="409"/>
      <c r="ET36" s="409"/>
      <c r="EU36" s="409"/>
      <c r="EV36" s="409"/>
      <c r="EW36" s="409"/>
      <c r="EX36" s="409"/>
      <c r="EY36" s="409"/>
      <c r="EZ36" s="409"/>
      <c r="FA36" s="409"/>
      <c r="FB36" s="409"/>
      <c r="FC36" s="409"/>
      <c r="FD36" s="409"/>
      <c r="FE36" s="409"/>
      <c r="FF36" s="409"/>
      <c r="FG36" s="409"/>
      <c r="FH36" s="409"/>
      <c r="FI36" s="409"/>
      <c r="FJ36" s="409"/>
      <c r="FK36" s="409"/>
      <c r="FL36" s="409"/>
      <c r="FM36" s="409"/>
      <c r="FN36" s="409"/>
      <c r="FO36" s="409"/>
      <c r="FP36" s="409"/>
      <c r="FQ36" s="409"/>
      <c r="FR36" s="409"/>
      <c r="FS36" s="409"/>
      <c r="FT36" s="409"/>
      <c r="FU36" s="409"/>
      <c r="FV36" s="409"/>
      <c r="FW36" s="409"/>
      <c r="FX36" s="409"/>
      <c r="FY36" s="409"/>
      <c r="FZ36" s="409"/>
      <c r="GA36" s="409"/>
      <c r="GB36" s="409"/>
      <c r="GC36" s="409"/>
      <c r="GD36" s="409"/>
      <c r="GE36" s="409"/>
      <c r="GF36" s="409"/>
      <c r="GG36" s="409"/>
      <c r="GH36" s="409"/>
      <c r="GI36" s="409"/>
      <c r="GJ36" s="409"/>
      <c r="GK36" s="409"/>
      <c r="GL36" s="409"/>
      <c r="GM36" s="409"/>
      <c r="GN36" s="409"/>
      <c r="GO36" s="409"/>
      <c r="GP36" s="409"/>
      <c r="GQ36" s="409"/>
      <c r="GR36" s="409"/>
      <c r="GS36" s="409"/>
      <c r="GT36" s="409"/>
      <c r="GU36" s="409"/>
      <c r="GV36" s="409"/>
      <c r="GW36" s="409"/>
      <c r="GX36" s="409"/>
      <c r="GY36" s="409"/>
      <c r="GZ36" s="409"/>
      <c r="HA36" s="409"/>
      <c r="HB36" s="409"/>
      <c r="HC36" s="409"/>
      <c r="HD36" s="409"/>
      <c r="HE36" s="409"/>
      <c r="HF36" s="409"/>
      <c r="HG36" s="409"/>
      <c r="HH36" s="409"/>
      <c r="HI36" s="409"/>
      <c r="HJ36" s="409"/>
      <c r="HK36" s="409"/>
      <c r="HL36" s="409"/>
      <c r="HM36" s="409"/>
      <c r="HN36" s="409"/>
      <c r="HO36" s="409"/>
      <c r="HP36" s="409"/>
      <c r="HQ36" s="409"/>
      <c r="HR36" s="409"/>
      <c r="HS36" s="409"/>
      <c r="HT36" s="409"/>
      <c r="HU36" s="409"/>
      <c r="HV36" s="409"/>
      <c r="HW36" s="409"/>
      <c r="HX36" s="409"/>
      <c r="HY36" s="409"/>
      <c r="HZ36" s="409"/>
      <c r="IA36" s="409"/>
      <c r="IB36" s="409"/>
      <c r="IC36" s="409"/>
      <c r="ID36" s="409"/>
      <c r="IE36" s="409"/>
      <c r="IF36" s="409"/>
      <c r="IG36" s="409"/>
      <c r="IH36" s="409"/>
      <c r="II36" s="409"/>
      <c r="IJ36" s="409"/>
      <c r="IK36" s="409"/>
      <c r="IL36" s="409"/>
      <c r="IM36" s="409"/>
      <c r="IN36" s="409"/>
      <c r="IO36" s="409"/>
      <c r="IP36" s="409"/>
      <c r="IQ36" s="409"/>
      <c r="IR36" s="409"/>
      <c r="IS36" s="409"/>
      <c r="IT36" s="409"/>
      <c r="IU36" s="409"/>
      <c r="IV36" s="409"/>
      <c r="IW36" s="409"/>
      <c r="IX36" s="409"/>
      <c r="IY36" s="409"/>
      <c r="IZ36" s="409"/>
      <c r="JA36" s="409"/>
      <c r="JB36" s="409"/>
      <c r="JC36" s="409"/>
      <c r="JD36" s="409"/>
    </row>
    <row r="37" spans="1:264" s="867" customFormat="1" ht="13.8" outlineLevel="1">
      <c r="A37" s="895"/>
      <c r="B37" s="885"/>
      <c r="C37" s="835"/>
      <c r="D37" s="885"/>
      <c r="E37" s="435"/>
      <c r="F37" s="435"/>
      <c r="G37" s="435"/>
      <c r="H37" s="870"/>
      <c r="I37" s="871"/>
      <c r="J37" s="864"/>
      <c r="K37" s="863"/>
      <c r="L37" s="863"/>
      <c r="M37" s="863"/>
      <c r="N37" s="863"/>
      <c r="O37" s="863"/>
      <c r="P37" s="863"/>
      <c r="Q37" s="863"/>
      <c r="R37" s="863"/>
      <c r="S37" s="863"/>
      <c r="T37" s="864"/>
      <c r="U37" s="864"/>
      <c r="V37" s="864"/>
      <c r="W37" s="864"/>
      <c r="X37" s="864"/>
      <c r="Y37" s="864"/>
      <c r="Z37" s="864"/>
      <c r="AA37" s="864"/>
      <c r="AB37" s="864"/>
      <c r="AC37" s="864"/>
      <c r="AD37" s="864"/>
      <c r="AE37" s="864"/>
      <c r="AF37" s="864"/>
      <c r="AG37" s="864"/>
      <c r="AH37" s="864"/>
      <c r="AI37" s="864"/>
      <c r="AJ37" s="864"/>
      <c r="AK37" s="864"/>
      <c r="AL37" s="864"/>
      <c r="AM37" s="864"/>
      <c r="AN37" s="435"/>
      <c r="AO37" s="864"/>
      <c r="AP37" s="864"/>
      <c r="AQ37" s="864"/>
      <c r="AR37" s="864"/>
      <c r="AS37" s="864"/>
      <c r="AT37" s="864"/>
      <c r="AU37" s="864"/>
      <c r="AV37" s="864"/>
      <c r="AW37" s="864"/>
      <c r="AX37" s="864"/>
      <c r="AY37" s="864"/>
      <c r="AZ37" s="864"/>
      <c r="BA37" s="864"/>
      <c r="BB37" s="864"/>
      <c r="BC37" s="864"/>
      <c r="BD37" s="864"/>
      <c r="BE37" s="864"/>
      <c r="BF37" s="864"/>
      <c r="BG37" s="864"/>
      <c r="BH37" s="864"/>
      <c r="BI37" s="864"/>
      <c r="BJ37" s="864"/>
      <c r="BK37" s="864"/>
      <c r="BL37" s="864"/>
      <c r="BM37" s="864"/>
      <c r="BN37" s="864"/>
      <c r="BO37" s="864"/>
      <c r="BP37" s="864"/>
      <c r="BQ37" s="864"/>
      <c r="BR37" s="864"/>
      <c r="BS37" s="864"/>
      <c r="BT37" s="864"/>
      <c r="BU37" s="864"/>
      <c r="BV37" s="863"/>
      <c r="BW37" s="864"/>
      <c r="BX37" s="864"/>
      <c r="BY37" s="864"/>
      <c r="BZ37" s="864"/>
      <c r="CA37" s="864"/>
      <c r="CB37" s="864"/>
      <c r="CC37" s="864"/>
      <c r="CD37" s="864"/>
      <c r="CE37" s="864"/>
      <c r="CF37" s="864"/>
      <c r="CG37" s="864"/>
      <c r="CH37" s="864"/>
      <c r="CI37" s="863"/>
      <c r="CJ37" s="863"/>
      <c r="CK37" s="863"/>
      <c r="CL37" s="863"/>
      <c r="CM37" s="863"/>
      <c r="CN37" s="863"/>
      <c r="CO37" s="863"/>
      <c r="CP37" s="863"/>
      <c r="CQ37" s="863"/>
      <c r="CR37" s="863"/>
      <c r="CS37" s="863"/>
      <c r="CT37" s="863"/>
      <c r="CU37" s="863"/>
      <c r="CV37" s="863"/>
      <c r="CW37" s="863"/>
      <c r="CX37" s="863"/>
      <c r="CY37" s="863"/>
      <c r="CZ37" s="863"/>
      <c r="DA37" s="863"/>
      <c r="DB37" s="863"/>
      <c r="DC37" s="863"/>
      <c r="DD37" s="863"/>
      <c r="DE37" s="863"/>
      <c r="DF37" s="863"/>
      <c r="DG37" s="863"/>
      <c r="DH37" s="863"/>
      <c r="DI37" s="863"/>
      <c r="DJ37" s="863"/>
      <c r="DK37" s="863"/>
      <c r="DL37" s="866"/>
      <c r="DN37" s="409"/>
      <c r="DO37" s="409"/>
      <c r="DP37" s="409"/>
      <c r="DQ37" s="409"/>
      <c r="DR37" s="409"/>
      <c r="DS37" s="409"/>
      <c r="DT37" s="409"/>
      <c r="DU37" s="409"/>
      <c r="DV37" s="409"/>
      <c r="DW37" s="409"/>
      <c r="DX37" s="409"/>
      <c r="DY37" s="409"/>
      <c r="DZ37" s="409"/>
      <c r="EA37" s="409"/>
      <c r="EB37" s="409"/>
      <c r="EC37" s="409"/>
      <c r="ED37" s="409"/>
      <c r="EE37" s="409"/>
      <c r="EF37" s="409"/>
      <c r="EG37" s="409"/>
      <c r="EH37" s="409"/>
      <c r="EI37" s="409"/>
      <c r="EJ37" s="409"/>
      <c r="EK37" s="409"/>
      <c r="EL37" s="409"/>
      <c r="EM37" s="409"/>
      <c r="EN37" s="409"/>
      <c r="EO37" s="409"/>
      <c r="EP37" s="409"/>
      <c r="EQ37" s="409"/>
      <c r="ER37" s="409"/>
      <c r="ES37" s="409"/>
      <c r="ET37" s="409"/>
      <c r="EU37" s="409"/>
      <c r="EV37" s="409"/>
      <c r="EW37" s="409"/>
      <c r="EX37" s="409"/>
      <c r="EY37" s="409"/>
      <c r="EZ37" s="409"/>
      <c r="FA37" s="409"/>
      <c r="FB37" s="409"/>
      <c r="FC37" s="409"/>
      <c r="FD37" s="409"/>
      <c r="FE37" s="409"/>
      <c r="FF37" s="409"/>
      <c r="FG37" s="409"/>
      <c r="FH37" s="409"/>
      <c r="FI37" s="409"/>
      <c r="FJ37" s="409"/>
      <c r="FK37" s="409"/>
      <c r="FL37" s="409"/>
      <c r="FM37" s="409"/>
      <c r="FN37" s="409"/>
      <c r="FO37" s="409"/>
      <c r="FP37" s="409"/>
      <c r="FQ37" s="409"/>
      <c r="FR37" s="409"/>
      <c r="FS37" s="409"/>
      <c r="FT37" s="409"/>
      <c r="FU37" s="409"/>
      <c r="FV37" s="409"/>
      <c r="FW37" s="409"/>
      <c r="FX37" s="409"/>
      <c r="FY37" s="409"/>
      <c r="FZ37" s="409"/>
      <c r="GA37" s="409"/>
      <c r="GB37" s="409"/>
      <c r="GC37" s="409"/>
      <c r="GD37" s="409"/>
      <c r="GE37" s="409"/>
      <c r="GF37" s="409"/>
      <c r="GG37" s="409"/>
      <c r="GH37" s="409"/>
      <c r="GI37" s="409"/>
      <c r="GJ37" s="409"/>
      <c r="GK37" s="409"/>
      <c r="GL37" s="409"/>
      <c r="GM37" s="409"/>
      <c r="GN37" s="409"/>
      <c r="GO37" s="409"/>
      <c r="GP37" s="409"/>
      <c r="GQ37" s="409"/>
      <c r="GR37" s="409"/>
      <c r="GS37" s="409"/>
      <c r="GT37" s="409"/>
      <c r="GU37" s="409"/>
      <c r="GV37" s="409"/>
      <c r="GW37" s="409"/>
      <c r="GX37" s="409"/>
      <c r="GY37" s="409"/>
      <c r="GZ37" s="409"/>
      <c r="HA37" s="409"/>
      <c r="HB37" s="409"/>
      <c r="HC37" s="409"/>
      <c r="HD37" s="409"/>
      <c r="HE37" s="409"/>
      <c r="HF37" s="409"/>
      <c r="HG37" s="409"/>
      <c r="HH37" s="409"/>
      <c r="HI37" s="409"/>
      <c r="HJ37" s="409"/>
      <c r="HK37" s="409"/>
      <c r="HL37" s="409"/>
      <c r="HM37" s="409"/>
      <c r="HN37" s="409"/>
      <c r="HO37" s="409"/>
      <c r="HP37" s="409"/>
      <c r="HQ37" s="409"/>
      <c r="HR37" s="409"/>
      <c r="HS37" s="409"/>
      <c r="HT37" s="409"/>
      <c r="HU37" s="409"/>
      <c r="HV37" s="409"/>
      <c r="HW37" s="409"/>
      <c r="HX37" s="409"/>
      <c r="HY37" s="409"/>
      <c r="HZ37" s="409"/>
      <c r="IA37" s="409"/>
      <c r="IB37" s="409"/>
      <c r="IC37" s="409"/>
      <c r="ID37" s="409"/>
      <c r="IE37" s="409"/>
      <c r="IF37" s="409"/>
      <c r="IG37" s="409"/>
      <c r="IH37" s="409"/>
      <c r="II37" s="409"/>
      <c r="IJ37" s="409"/>
      <c r="IK37" s="409"/>
      <c r="IL37" s="409"/>
      <c r="IM37" s="409"/>
      <c r="IN37" s="409"/>
      <c r="IO37" s="409"/>
      <c r="IP37" s="409"/>
      <c r="IQ37" s="409"/>
      <c r="IR37" s="409"/>
      <c r="IS37" s="409"/>
      <c r="IT37" s="409"/>
      <c r="IU37" s="409"/>
      <c r="IV37" s="409"/>
      <c r="IW37" s="409"/>
      <c r="IX37" s="409"/>
      <c r="IY37" s="409"/>
      <c r="IZ37" s="409"/>
      <c r="JA37" s="409"/>
      <c r="JB37" s="409"/>
      <c r="JC37" s="409"/>
      <c r="JD37" s="409"/>
    </row>
    <row r="38" spans="1:264" s="867" customFormat="1" ht="13.8" outlineLevel="1">
      <c r="A38" s="895"/>
      <c r="B38" s="885"/>
      <c r="C38" s="835"/>
      <c r="D38" s="885"/>
      <c r="E38" s="435"/>
      <c r="F38" s="435"/>
      <c r="G38" s="435"/>
      <c r="H38" s="870"/>
      <c r="I38" s="871"/>
      <c r="J38" s="864"/>
      <c r="K38" s="863"/>
      <c r="L38" s="863"/>
      <c r="M38" s="863"/>
      <c r="N38" s="863"/>
      <c r="O38" s="863"/>
      <c r="P38" s="863"/>
      <c r="Q38" s="863"/>
      <c r="R38" s="863"/>
      <c r="S38" s="863"/>
      <c r="T38" s="864"/>
      <c r="U38" s="864"/>
      <c r="V38" s="864"/>
      <c r="W38" s="864"/>
      <c r="X38" s="864"/>
      <c r="Y38" s="864"/>
      <c r="Z38" s="864"/>
      <c r="AA38" s="864"/>
      <c r="AB38" s="864"/>
      <c r="AC38" s="864"/>
      <c r="AD38" s="864"/>
      <c r="AE38" s="864"/>
      <c r="AF38" s="864"/>
      <c r="AG38" s="864"/>
      <c r="AH38" s="864"/>
      <c r="AI38" s="864"/>
      <c r="AJ38" s="864"/>
      <c r="AK38" s="864"/>
      <c r="AL38" s="864"/>
      <c r="AM38" s="864"/>
      <c r="AN38" s="435"/>
      <c r="AO38" s="864"/>
      <c r="AP38" s="864"/>
      <c r="AQ38" s="864"/>
      <c r="AR38" s="864"/>
      <c r="AS38" s="864"/>
      <c r="AT38" s="864"/>
      <c r="AU38" s="864"/>
      <c r="AV38" s="864"/>
      <c r="AW38" s="864"/>
      <c r="AX38" s="864"/>
      <c r="AY38" s="864"/>
      <c r="AZ38" s="864"/>
      <c r="BA38" s="864"/>
      <c r="BB38" s="864"/>
      <c r="BC38" s="864"/>
      <c r="BD38" s="864"/>
      <c r="BE38" s="864"/>
      <c r="BF38" s="864"/>
      <c r="BG38" s="864"/>
      <c r="BH38" s="864"/>
      <c r="BI38" s="864"/>
      <c r="BJ38" s="864"/>
      <c r="BK38" s="864"/>
      <c r="BL38" s="864"/>
      <c r="BM38" s="864"/>
      <c r="BN38" s="864"/>
      <c r="BO38" s="864"/>
      <c r="BP38" s="864"/>
      <c r="BQ38" s="864"/>
      <c r="BR38" s="864"/>
      <c r="BS38" s="864"/>
      <c r="BT38" s="864"/>
      <c r="BU38" s="864"/>
      <c r="BV38" s="863"/>
      <c r="BW38" s="864"/>
      <c r="BX38" s="864"/>
      <c r="BY38" s="864"/>
      <c r="BZ38" s="864"/>
      <c r="CA38" s="864"/>
      <c r="CB38" s="864"/>
      <c r="CC38" s="864"/>
      <c r="CD38" s="864"/>
      <c r="CE38" s="864"/>
      <c r="CF38" s="864"/>
      <c r="CG38" s="864"/>
      <c r="CH38" s="864"/>
      <c r="CI38" s="863"/>
      <c r="CJ38" s="863"/>
      <c r="CK38" s="863"/>
      <c r="CL38" s="863"/>
      <c r="CM38" s="863"/>
      <c r="CN38" s="863"/>
      <c r="CO38" s="863"/>
      <c r="CP38" s="863"/>
      <c r="CQ38" s="863"/>
      <c r="CR38" s="863"/>
      <c r="CS38" s="863"/>
      <c r="CT38" s="863"/>
      <c r="CU38" s="863"/>
      <c r="CV38" s="863"/>
      <c r="CW38" s="863"/>
      <c r="CX38" s="863"/>
      <c r="CY38" s="863"/>
      <c r="CZ38" s="863"/>
      <c r="DA38" s="863"/>
      <c r="DB38" s="863"/>
      <c r="DC38" s="863"/>
      <c r="DD38" s="863"/>
      <c r="DE38" s="863"/>
      <c r="DF38" s="863"/>
      <c r="DG38" s="863"/>
      <c r="DH38" s="863"/>
      <c r="DI38" s="863"/>
      <c r="DJ38" s="863"/>
      <c r="DK38" s="863"/>
      <c r="DL38" s="866"/>
      <c r="DN38" s="409"/>
      <c r="DO38" s="409"/>
      <c r="DP38" s="409"/>
      <c r="DQ38" s="409"/>
      <c r="DR38" s="409"/>
      <c r="DS38" s="409"/>
      <c r="DT38" s="409"/>
      <c r="DU38" s="409"/>
      <c r="DV38" s="409"/>
      <c r="DW38" s="409"/>
      <c r="DX38" s="409"/>
      <c r="DY38" s="409"/>
      <c r="DZ38" s="409"/>
      <c r="EA38" s="409"/>
      <c r="EB38" s="409"/>
      <c r="EC38" s="409"/>
      <c r="ED38" s="409"/>
      <c r="EE38" s="409"/>
      <c r="EF38" s="409"/>
      <c r="EG38" s="409"/>
      <c r="EH38" s="409"/>
      <c r="EI38" s="409"/>
      <c r="EJ38" s="409"/>
      <c r="EK38" s="409"/>
      <c r="EL38" s="409"/>
      <c r="EM38" s="409"/>
      <c r="EN38" s="409"/>
      <c r="EO38" s="409"/>
      <c r="EP38" s="409"/>
      <c r="EQ38" s="409"/>
      <c r="ER38" s="409"/>
      <c r="ES38" s="409"/>
      <c r="ET38" s="409"/>
      <c r="EU38" s="409"/>
      <c r="EV38" s="409"/>
      <c r="EW38" s="409"/>
      <c r="EX38" s="409"/>
      <c r="EY38" s="409"/>
      <c r="EZ38" s="409"/>
      <c r="FA38" s="409"/>
      <c r="FB38" s="409"/>
      <c r="FC38" s="409"/>
      <c r="FD38" s="409"/>
      <c r="FE38" s="409"/>
      <c r="FF38" s="409"/>
      <c r="FG38" s="409"/>
      <c r="FH38" s="409"/>
      <c r="FI38" s="409"/>
      <c r="FJ38" s="409"/>
      <c r="FK38" s="409"/>
      <c r="FL38" s="409"/>
      <c r="FM38" s="409"/>
      <c r="FN38" s="409"/>
      <c r="FO38" s="409"/>
      <c r="FP38" s="409"/>
      <c r="FQ38" s="409"/>
      <c r="FR38" s="409"/>
      <c r="FS38" s="409"/>
      <c r="FT38" s="409"/>
      <c r="FU38" s="409"/>
      <c r="FV38" s="409"/>
      <c r="FW38" s="409"/>
      <c r="FX38" s="409"/>
      <c r="FY38" s="409"/>
      <c r="FZ38" s="409"/>
      <c r="GA38" s="409"/>
      <c r="GB38" s="409"/>
      <c r="GC38" s="409"/>
      <c r="GD38" s="409"/>
      <c r="GE38" s="409"/>
      <c r="GF38" s="409"/>
      <c r="GG38" s="409"/>
      <c r="GH38" s="409"/>
      <c r="GI38" s="409"/>
      <c r="GJ38" s="409"/>
      <c r="GK38" s="409"/>
      <c r="GL38" s="409"/>
      <c r="GM38" s="409"/>
      <c r="GN38" s="409"/>
      <c r="GO38" s="409"/>
      <c r="GP38" s="409"/>
      <c r="GQ38" s="409"/>
      <c r="GR38" s="409"/>
      <c r="GS38" s="409"/>
      <c r="GT38" s="409"/>
      <c r="GU38" s="409"/>
      <c r="GV38" s="409"/>
      <c r="GW38" s="409"/>
      <c r="GX38" s="409"/>
      <c r="GY38" s="409"/>
      <c r="GZ38" s="409"/>
      <c r="HA38" s="409"/>
      <c r="HB38" s="409"/>
      <c r="HC38" s="409"/>
      <c r="HD38" s="409"/>
      <c r="HE38" s="409"/>
      <c r="HF38" s="409"/>
      <c r="HG38" s="409"/>
      <c r="HH38" s="409"/>
      <c r="HI38" s="409"/>
      <c r="HJ38" s="409"/>
      <c r="HK38" s="409"/>
      <c r="HL38" s="409"/>
      <c r="HM38" s="409"/>
      <c r="HN38" s="409"/>
      <c r="HO38" s="409"/>
      <c r="HP38" s="409"/>
      <c r="HQ38" s="409"/>
      <c r="HR38" s="409"/>
      <c r="HS38" s="409"/>
      <c r="HT38" s="409"/>
      <c r="HU38" s="409"/>
      <c r="HV38" s="409"/>
      <c r="HW38" s="409"/>
      <c r="HX38" s="409"/>
      <c r="HY38" s="409"/>
      <c r="HZ38" s="409"/>
      <c r="IA38" s="409"/>
      <c r="IB38" s="409"/>
      <c r="IC38" s="409"/>
      <c r="ID38" s="409"/>
      <c r="IE38" s="409"/>
      <c r="IF38" s="409"/>
      <c r="IG38" s="409"/>
      <c r="IH38" s="409"/>
      <c r="II38" s="409"/>
      <c r="IJ38" s="409"/>
      <c r="IK38" s="409"/>
      <c r="IL38" s="409"/>
      <c r="IM38" s="409"/>
      <c r="IN38" s="409"/>
      <c r="IO38" s="409"/>
      <c r="IP38" s="409"/>
      <c r="IQ38" s="409"/>
      <c r="IR38" s="409"/>
      <c r="IS38" s="409"/>
      <c r="IT38" s="409"/>
      <c r="IU38" s="409"/>
      <c r="IV38" s="409"/>
      <c r="IW38" s="409"/>
      <c r="IX38" s="409"/>
      <c r="IY38" s="409"/>
      <c r="IZ38" s="409"/>
      <c r="JA38" s="409"/>
      <c r="JB38" s="409"/>
      <c r="JC38" s="409"/>
      <c r="JD38" s="409"/>
    </row>
    <row r="39" spans="1:264" s="867" customFormat="1" ht="13.8" outlineLevel="1">
      <c r="A39" s="895"/>
      <c r="B39" s="885"/>
      <c r="C39" s="835"/>
      <c r="D39" s="885"/>
      <c r="E39" s="435"/>
      <c r="F39" s="435"/>
      <c r="G39" s="435"/>
      <c r="H39" s="870"/>
      <c r="I39" s="871"/>
      <c r="J39" s="864"/>
      <c r="K39" s="863"/>
      <c r="L39" s="863"/>
      <c r="M39" s="863"/>
      <c r="N39" s="863"/>
      <c r="O39" s="863"/>
      <c r="P39" s="863"/>
      <c r="Q39" s="863"/>
      <c r="R39" s="863"/>
      <c r="S39" s="863"/>
      <c r="T39" s="864"/>
      <c r="U39" s="864"/>
      <c r="V39" s="864"/>
      <c r="W39" s="864"/>
      <c r="X39" s="864"/>
      <c r="Y39" s="864"/>
      <c r="Z39" s="864"/>
      <c r="AA39" s="864"/>
      <c r="AB39" s="864"/>
      <c r="AC39" s="864"/>
      <c r="AD39" s="864"/>
      <c r="AE39" s="864"/>
      <c r="AF39" s="864"/>
      <c r="AG39" s="864"/>
      <c r="AH39" s="864"/>
      <c r="AI39" s="864"/>
      <c r="AJ39" s="864"/>
      <c r="AK39" s="864"/>
      <c r="AL39" s="864"/>
      <c r="AM39" s="864"/>
      <c r="AN39" s="435"/>
      <c r="AO39" s="864"/>
      <c r="AP39" s="864"/>
      <c r="AQ39" s="864"/>
      <c r="AR39" s="864"/>
      <c r="AS39" s="864"/>
      <c r="AT39" s="864"/>
      <c r="AU39" s="864"/>
      <c r="AV39" s="864"/>
      <c r="AW39" s="864"/>
      <c r="AX39" s="864"/>
      <c r="AY39" s="864"/>
      <c r="AZ39" s="864"/>
      <c r="BA39" s="864"/>
      <c r="BB39" s="864"/>
      <c r="BC39" s="864"/>
      <c r="BD39" s="864"/>
      <c r="BE39" s="864"/>
      <c r="BF39" s="864"/>
      <c r="BG39" s="864"/>
      <c r="BH39" s="864"/>
      <c r="BI39" s="864"/>
      <c r="BJ39" s="864"/>
      <c r="BK39" s="864"/>
      <c r="BL39" s="864"/>
      <c r="BM39" s="864"/>
      <c r="BN39" s="864"/>
      <c r="BO39" s="864"/>
      <c r="BP39" s="864"/>
      <c r="BQ39" s="864"/>
      <c r="BR39" s="864"/>
      <c r="BS39" s="864"/>
      <c r="BT39" s="864"/>
      <c r="BU39" s="864"/>
      <c r="BV39" s="863"/>
      <c r="BW39" s="864"/>
      <c r="BX39" s="864"/>
      <c r="BY39" s="864"/>
      <c r="BZ39" s="864"/>
      <c r="CA39" s="864"/>
      <c r="CB39" s="864"/>
      <c r="CC39" s="864"/>
      <c r="CD39" s="864"/>
      <c r="CE39" s="864"/>
      <c r="CF39" s="864"/>
      <c r="CG39" s="864"/>
      <c r="CH39" s="864"/>
      <c r="CI39" s="863"/>
      <c r="CJ39" s="863"/>
      <c r="CK39" s="863"/>
      <c r="CL39" s="863"/>
      <c r="CM39" s="863"/>
      <c r="CN39" s="863"/>
      <c r="CO39" s="863"/>
      <c r="CP39" s="863"/>
      <c r="CQ39" s="863"/>
      <c r="CR39" s="863"/>
      <c r="CS39" s="863"/>
      <c r="CT39" s="863"/>
      <c r="CU39" s="863"/>
      <c r="CV39" s="863"/>
      <c r="CW39" s="863"/>
      <c r="CX39" s="863"/>
      <c r="CY39" s="863"/>
      <c r="CZ39" s="863"/>
      <c r="DA39" s="863"/>
      <c r="DB39" s="863"/>
      <c r="DC39" s="863"/>
      <c r="DD39" s="863"/>
      <c r="DE39" s="863"/>
      <c r="DF39" s="863"/>
      <c r="DG39" s="863"/>
      <c r="DH39" s="863"/>
      <c r="DI39" s="863"/>
      <c r="DJ39" s="863"/>
      <c r="DK39" s="863"/>
      <c r="DL39" s="866"/>
      <c r="DN39" s="409"/>
      <c r="DO39" s="409"/>
      <c r="DP39" s="409"/>
      <c r="DQ39" s="409"/>
      <c r="DR39" s="409"/>
      <c r="DS39" s="409"/>
      <c r="DT39" s="409"/>
      <c r="DU39" s="409"/>
      <c r="DV39" s="409"/>
      <c r="DW39" s="409"/>
      <c r="DX39" s="409"/>
      <c r="DY39" s="409"/>
      <c r="DZ39" s="409"/>
      <c r="EA39" s="409"/>
      <c r="EB39" s="409"/>
      <c r="EC39" s="409"/>
      <c r="ED39" s="409"/>
      <c r="EE39" s="409"/>
      <c r="EF39" s="409"/>
      <c r="EG39" s="409"/>
      <c r="EH39" s="409"/>
      <c r="EI39" s="409"/>
      <c r="EJ39" s="409"/>
      <c r="EK39" s="409"/>
      <c r="EL39" s="409"/>
      <c r="EM39" s="409"/>
      <c r="EN39" s="409"/>
      <c r="EO39" s="409"/>
      <c r="EP39" s="409"/>
      <c r="EQ39" s="409"/>
      <c r="ER39" s="409"/>
      <c r="ES39" s="409"/>
      <c r="ET39" s="409"/>
      <c r="EU39" s="409"/>
      <c r="EV39" s="409"/>
      <c r="EW39" s="409"/>
      <c r="EX39" s="409"/>
      <c r="EY39" s="409"/>
      <c r="EZ39" s="409"/>
      <c r="FA39" s="409"/>
      <c r="FB39" s="409"/>
      <c r="FC39" s="409"/>
      <c r="FD39" s="409"/>
      <c r="FE39" s="409"/>
      <c r="FF39" s="409"/>
      <c r="FG39" s="409"/>
      <c r="FH39" s="409"/>
      <c r="FI39" s="409"/>
      <c r="FJ39" s="409"/>
      <c r="FK39" s="409"/>
      <c r="FL39" s="409"/>
      <c r="FM39" s="409"/>
      <c r="FN39" s="409"/>
      <c r="FO39" s="409"/>
      <c r="FP39" s="409"/>
      <c r="FQ39" s="409"/>
      <c r="FR39" s="409"/>
      <c r="FS39" s="409"/>
      <c r="FT39" s="409"/>
      <c r="FU39" s="409"/>
      <c r="FV39" s="409"/>
      <c r="FW39" s="409"/>
      <c r="FX39" s="409"/>
      <c r="FY39" s="409"/>
      <c r="FZ39" s="409"/>
      <c r="GA39" s="409"/>
      <c r="GB39" s="409"/>
      <c r="GC39" s="409"/>
      <c r="GD39" s="409"/>
      <c r="GE39" s="409"/>
      <c r="GF39" s="409"/>
      <c r="GG39" s="409"/>
      <c r="GH39" s="409"/>
      <c r="GI39" s="409"/>
      <c r="GJ39" s="409"/>
      <c r="GK39" s="409"/>
      <c r="GL39" s="409"/>
      <c r="GM39" s="409"/>
      <c r="GN39" s="409"/>
      <c r="GO39" s="409"/>
      <c r="GP39" s="409"/>
      <c r="GQ39" s="409"/>
      <c r="GR39" s="409"/>
      <c r="GS39" s="409"/>
      <c r="GT39" s="409"/>
      <c r="GU39" s="409"/>
      <c r="GV39" s="409"/>
      <c r="GW39" s="409"/>
      <c r="GX39" s="409"/>
      <c r="GY39" s="409"/>
      <c r="GZ39" s="409"/>
      <c r="HA39" s="409"/>
      <c r="HB39" s="409"/>
      <c r="HC39" s="409"/>
      <c r="HD39" s="409"/>
      <c r="HE39" s="409"/>
      <c r="HF39" s="409"/>
      <c r="HG39" s="409"/>
      <c r="HH39" s="409"/>
      <c r="HI39" s="409"/>
      <c r="HJ39" s="409"/>
      <c r="HK39" s="409"/>
      <c r="HL39" s="409"/>
      <c r="HM39" s="409"/>
      <c r="HN39" s="409"/>
      <c r="HO39" s="409"/>
      <c r="HP39" s="409"/>
      <c r="HQ39" s="409"/>
      <c r="HR39" s="409"/>
      <c r="HS39" s="409"/>
      <c r="HT39" s="409"/>
      <c r="HU39" s="409"/>
      <c r="HV39" s="409"/>
      <c r="HW39" s="409"/>
      <c r="HX39" s="409"/>
      <c r="HY39" s="409"/>
      <c r="HZ39" s="409"/>
      <c r="IA39" s="409"/>
      <c r="IB39" s="409"/>
      <c r="IC39" s="409"/>
      <c r="ID39" s="409"/>
      <c r="IE39" s="409"/>
      <c r="IF39" s="409"/>
      <c r="IG39" s="409"/>
      <c r="IH39" s="409"/>
      <c r="II39" s="409"/>
      <c r="IJ39" s="409"/>
      <c r="IK39" s="409"/>
      <c r="IL39" s="409"/>
      <c r="IM39" s="409"/>
      <c r="IN39" s="409"/>
      <c r="IO39" s="409"/>
      <c r="IP39" s="409"/>
      <c r="IQ39" s="409"/>
      <c r="IR39" s="409"/>
      <c r="IS39" s="409"/>
      <c r="IT39" s="409"/>
      <c r="IU39" s="409"/>
      <c r="IV39" s="409"/>
      <c r="IW39" s="409"/>
      <c r="IX39" s="409"/>
      <c r="IY39" s="409"/>
      <c r="IZ39" s="409"/>
      <c r="JA39" s="409"/>
      <c r="JB39" s="409"/>
      <c r="JC39" s="409"/>
      <c r="JD39" s="409"/>
    </row>
    <row r="40" spans="1:264" s="867" customFormat="1" ht="13.8" outlineLevel="1">
      <c r="A40" s="895"/>
      <c r="B40" s="885"/>
      <c r="C40" s="835"/>
      <c r="D40" s="885"/>
      <c r="E40" s="435"/>
      <c r="F40" s="435"/>
      <c r="G40" s="435"/>
      <c r="H40" s="870"/>
      <c r="I40" s="871"/>
      <c r="J40" s="864"/>
      <c r="K40" s="863"/>
      <c r="L40" s="863"/>
      <c r="M40" s="863"/>
      <c r="N40" s="863"/>
      <c r="O40" s="863"/>
      <c r="P40" s="863"/>
      <c r="Q40" s="863"/>
      <c r="R40" s="863"/>
      <c r="S40" s="863"/>
      <c r="T40" s="864"/>
      <c r="U40" s="864"/>
      <c r="V40" s="864"/>
      <c r="W40" s="864"/>
      <c r="X40" s="864"/>
      <c r="Y40" s="864"/>
      <c r="Z40" s="864"/>
      <c r="AA40" s="864"/>
      <c r="AB40" s="864"/>
      <c r="AC40" s="864"/>
      <c r="AD40" s="864"/>
      <c r="AE40" s="864"/>
      <c r="AF40" s="864"/>
      <c r="AG40" s="864"/>
      <c r="AH40" s="864"/>
      <c r="AI40" s="864"/>
      <c r="AJ40" s="864"/>
      <c r="AK40" s="864"/>
      <c r="AL40" s="864"/>
      <c r="AM40" s="864"/>
      <c r="AN40" s="435"/>
      <c r="AO40" s="864"/>
      <c r="AP40" s="864"/>
      <c r="AQ40" s="864"/>
      <c r="AR40" s="864"/>
      <c r="AS40" s="864"/>
      <c r="AT40" s="864"/>
      <c r="AU40" s="864"/>
      <c r="AV40" s="864"/>
      <c r="AW40" s="864"/>
      <c r="AX40" s="864"/>
      <c r="AY40" s="864"/>
      <c r="AZ40" s="864"/>
      <c r="BA40" s="864"/>
      <c r="BB40" s="864"/>
      <c r="BC40" s="864"/>
      <c r="BD40" s="864"/>
      <c r="BE40" s="864"/>
      <c r="BF40" s="864"/>
      <c r="BG40" s="864"/>
      <c r="BH40" s="864"/>
      <c r="BI40" s="864"/>
      <c r="BJ40" s="864"/>
      <c r="BK40" s="864"/>
      <c r="BL40" s="864"/>
      <c r="BM40" s="864"/>
      <c r="BN40" s="864"/>
      <c r="BO40" s="864"/>
      <c r="BP40" s="864"/>
      <c r="BQ40" s="864"/>
      <c r="BR40" s="864"/>
      <c r="BS40" s="864"/>
      <c r="BT40" s="864"/>
      <c r="BU40" s="864"/>
      <c r="BV40" s="863"/>
      <c r="BW40" s="864"/>
      <c r="BX40" s="864"/>
      <c r="BY40" s="864"/>
      <c r="BZ40" s="864"/>
      <c r="CA40" s="864"/>
      <c r="CB40" s="864"/>
      <c r="CC40" s="864"/>
      <c r="CD40" s="864"/>
      <c r="CE40" s="864"/>
      <c r="CF40" s="864"/>
      <c r="CG40" s="864"/>
      <c r="CH40" s="864"/>
      <c r="CI40" s="863"/>
      <c r="CJ40" s="863"/>
      <c r="CK40" s="863"/>
      <c r="CL40" s="863"/>
      <c r="CM40" s="863"/>
      <c r="CN40" s="863"/>
      <c r="CO40" s="863"/>
      <c r="CP40" s="863"/>
      <c r="CQ40" s="863"/>
      <c r="CR40" s="863"/>
      <c r="CS40" s="863"/>
      <c r="CT40" s="863"/>
      <c r="CU40" s="863"/>
      <c r="CV40" s="863"/>
      <c r="CW40" s="863"/>
      <c r="CX40" s="863"/>
      <c r="CY40" s="863"/>
      <c r="CZ40" s="863"/>
      <c r="DA40" s="863"/>
      <c r="DB40" s="863"/>
      <c r="DC40" s="863"/>
      <c r="DD40" s="863"/>
      <c r="DE40" s="863"/>
      <c r="DF40" s="863"/>
      <c r="DG40" s="863"/>
      <c r="DH40" s="863"/>
      <c r="DI40" s="863"/>
      <c r="DJ40" s="863"/>
      <c r="DK40" s="863"/>
      <c r="DL40" s="866"/>
      <c r="DN40" s="409"/>
      <c r="DO40" s="409"/>
      <c r="DP40" s="409"/>
      <c r="DQ40" s="409"/>
      <c r="DR40" s="409"/>
      <c r="DS40" s="409"/>
      <c r="DT40" s="409"/>
      <c r="DU40" s="409"/>
      <c r="DV40" s="409"/>
      <c r="DW40" s="409"/>
      <c r="DX40" s="409"/>
      <c r="DY40" s="409"/>
      <c r="DZ40" s="409"/>
      <c r="EA40" s="409"/>
      <c r="EB40" s="409"/>
      <c r="EC40" s="409"/>
      <c r="ED40" s="409"/>
      <c r="EE40" s="409"/>
      <c r="EF40" s="409"/>
      <c r="EG40" s="409"/>
      <c r="EH40" s="409"/>
      <c r="EI40" s="409"/>
      <c r="EJ40" s="409"/>
      <c r="EK40" s="409"/>
      <c r="EL40" s="409"/>
      <c r="EM40" s="409"/>
      <c r="EN40" s="409"/>
      <c r="EO40" s="409"/>
      <c r="EP40" s="409"/>
      <c r="EQ40" s="409"/>
      <c r="ER40" s="409"/>
      <c r="ES40" s="409"/>
      <c r="ET40" s="409"/>
      <c r="EU40" s="409"/>
      <c r="EV40" s="409"/>
      <c r="EW40" s="409"/>
      <c r="EX40" s="409"/>
      <c r="EY40" s="409"/>
      <c r="EZ40" s="409"/>
      <c r="FA40" s="409"/>
      <c r="FB40" s="409"/>
      <c r="FC40" s="409"/>
      <c r="FD40" s="409"/>
      <c r="FE40" s="409"/>
      <c r="FF40" s="409"/>
      <c r="FG40" s="409"/>
      <c r="FH40" s="409"/>
      <c r="FI40" s="409"/>
      <c r="FJ40" s="409"/>
      <c r="FK40" s="409"/>
      <c r="FL40" s="409"/>
      <c r="FM40" s="409"/>
      <c r="FN40" s="409"/>
      <c r="FO40" s="409"/>
      <c r="FP40" s="409"/>
      <c r="FQ40" s="409"/>
      <c r="FR40" s="409"/>
      <c r="FS40" s="409"/>
      <c r="FT40" s="409"/>
      <c r="FU40" s="409"/>
      <c r="FV40" s="409"/>
      <c r="FW40" s="409"/>
      <c r="FX40" s="409"/>
      <c r="FY40" s="409"/>
      <c r="FZ40" s="409"/>
      <c r="GA40" s="409"/>
      <c r="GB40" s="409"/>
      <c r="GC40" s="409"/>
      <c r="GD40" s="409"/>
      <c r="GE40" s="409"/>
      <c r="GF40" s="409"/>
      <c r="GG40" s="409"/>
      <c r="GH40" s="409"/>
      <c r="GI40" s="409"/>
      <c r="GJ40" s="409"/>
      <c r="GK40" s="409"/>
      <c r="GL40" s="409"/>
      <c r="GM40" s="409"/>
      <c r="GN40" s="409"/>
      <c r="GO40" s="409"/>
      <c r="GP40" s="409"/>
      <c r="GQ40" s="409"/>
      <c r="GR40" s="409"/>
      <c r="GS40" s="409"/>
      <c r="GT40" s="409"/>
      <c r="GU40" s="409"/>
      <c r="GV40" s="409"/>
      <c r="GW40" s="409"/>
      <c r="GX40" s="409"/>
      <c r="GY40" s="409"/>
      <c r="GZ40" s="409"/>
      <c r="HA40" s="409"/>
      <c r="HB40" s="409"/>
      <c r="HC40" s="409"/>
      <c r="HD40" s="409"/>
      <c r="HE40" s="409"/>
      <c r="HF40" s="409"/>
      <c r="HG40" s="409"/>
      <c r="HH40" s="409"/>
      <c r="HI40" s="409"/>
      <c r="HJ40" s="409"/>
      <c r="HK40" s="409"/>
      <c r="HL40" s="409"/>
      <c r="HM40" s="409"/>
      <c r="HN40" s="409"/>
      <c r="HO40" s="409"/>
      <c r="HP40" s="409"/>
      <c r="HQ40" s="409"/>
      <c r="HR40" s="409"/>
      <c r="HS40" s="409"/>
      <c r="HT40" s="409"/>
      <c r="HU40" s="409"/>
      <c r="HV40" s="409"/>
      <c r="HW40" s="409"/>
      <c r="HX40" s="409"/>
      <c r="HY40" s="409"/>
      <c r="HZ40" s="409"/>
      <c r="IA40" s="409"/>
      <c r="IB40" s="409"/>
      <c r="IC40" s="409"/>
      <c r="ID40" s="409"/>
      <c r="IE40" s="409"/>
      <c r="IF40" s="409"/>
      <c r="IG40" s="409"/>
      <c r="IH40" s="409"/>
      <c r="II40" s="409"/>
      <c r="IJ40" s="409"/>
      <c r="IK40" s="409"/>
      <c r="IL40" s="409"/>
      <c r="IM40" s="409"/>
      <c r="IN40" s="409"/>
      <c r="IO40" s="409"/>
      <c r="IP40" s="409"/>
      <c r="IQ40" s="409"/>
      <c r="IR40" s="409"/>
      <c r="IS40" s="409"/>
      <c r="IT40" s="409"/>
      <c r="IU40" s="409"/>
      <c r="IV40" s="409"/>
      <c r="IW40" s="409"/>
      <c r="IX40" s="409"/>
      <c r="IY40" s="409"/>
      <c r="IZ40" s="409"/>
      <c r="JA40" s="409"/>
      <c r="JB40" s="409"/>
      <c r="JC40" s="409"/>
      <c r="JD40" s="409"/>
    </row>
    <row r="41" spans="1:264" s="867" customFormat="1" ht="13.8" outlineLevel="1">
      <c r="A41" s="895"/>
      <c r="B41" s="885"/>
      <c r="C41" s="835"/>
      <c r="D41" s="885"/>
      <c r="E41" s="435"/>
      <c r="F41" s="435"/>
      <c r="G41" s="435"/>
      <c r="H41" s="870"/>
      <c r="I41" s="871"/>
      <c r="J41" s="864"/>
      <c r="K41" s="863"/>
      <c r="L41" s="863"/>
      <c r="M41" s="863"/>
      <c r="N41" s="863"/>
      <c r="O41" s="863"/>
      <c r="P41" s="863"/>
      <c r="Q41" s="863"/>
      <c r="R41" s="863"/>
      <c r="S41" s="863"/>
      <c r="T41" s="864"/>
      <c r="U41" s="864"/>
      <c r="V41" s="864"/>
      <c r="W41" s="864"/>
      <c r="X41" s="864"/>
      <c r="Y41" s="864"/>
      <c r="Z41" s="864"/>
      <c r="AA41" s="864"/>
      <c r="AB41" s="864"/>
      <c r="AC41" s="864"/>
      <c r="AD41" s="864"/>
      <c r="AE41" s="864"/>
      <c r="AF41" s="864"/>
      <c r="AG41" s="864"/>
      <c r="AH41" s="864"/>
      <c r="AI41" s="864"/>
      <c r="AJ41" s="864"/>
      <c r="AK41" s="864"/>
      <c r="AL41" s="864"/>
      <c r="AM41" s="864"/>
      <c r="AN41" s="435"/>
      <c r="AO41" s="864"/>
      <c r="AP41" s="864"/>
      <c r="AQ41" s="864"/>
      <c r="AR41" s="864"/>
      <c r="AS41" s="864"/>
      <c r="AT41" s="864"/>
      <c r="AU41" s="864"/>
      <c r="AV41" s="864"/>
      <c r="AW41" s="864"/>
      <c r="AX41" s="864"/>
      <c r="AY41" s="864"/>
      <c r="AZ41" s="864"/>
      <c r="BA41" s="864"/>
      <c r="BB41" s="864"/>
      <c r="BC41" s="864"/>
      <c r="BD41" s="864"/>
      <c r="BE41" s="864"/>
      <c r="BF41" s="864"/>
      <c r="BG41" s="864"/>
      <c r="BH41" s="864"/>
      <c r="BI41" s="864"/>
      <c r="BJ41" s="864"/>
      <c r="BK41" s="864"/>
      <c r="BL41" s="864"/>
      <c r="BM41" s="864"/>
      <c r="BN41" s="864"/>
      <c r="BO41" s="864"/>
      <c r="BP41" s="864"/>
      <c r="BQ41" s="864"/>
      <c r="BR41" s="864"/>
      <c r="BS41" s="864"/>
      <c r="BT41" s="864"/>
      <c r="BU41" s="864"/>
      <c r="BV41" s="863"/>
      <c r="BW41" s="864"/>
      <c r="BX41" s="864"/>
      <c r="BY41" s="864"/>
      <c r="BZ41" s="864"/>
      <c r="CA41" s="864"/>
      <c r="CB41" s="864"/>
      <c r="CC41" s="864"/>
      <c r="CD41" s="864"/>
      <c r="CE41" s="864"/>
      <c r="CF41" s="864"/>
      <c r="CG41" s="864"/>
      <c r="CH41" s="864"/>
      <c r="CI41" s="863"/>
      <c r="CJ41" s="863"/>
      <c r="CK41" s="863"/>
      <c r="CL41" s="863"/>
      <c r="CM41" s="863"/>
      <c r="CN41" s="863"/>
      <c r="CO41" s="863"/>
      <c r="CP41" s="863"/>
      <c r="CQ41" s="863"/>
      <c r="CR41" s="863"/>
      <c r="CS41" s="863"/>
      <c r="CT41" s="863"/>
      <c r="CU41" s="863"/>
      <c r="CV41" s="863"/>
      <c r="CW41" s="863"/>
      <c r="CX41" s="863"/>
      <c r="CY41" s="863"/>
      <c r="CZ41" s="863"/>
      <c r="DA41" s="863"/>
      <c r="DB41" s="863"/>
      <c r="DC41" s="863"/>
      <c r="DD41" s="863"/>
      <c r="DE41" s="863"/>
      <c r="DF41" s="863"/>
      <c r="DG41" s="863"/>
      <c r="DH41" s="863"/>
      <c r="DI41" s="863"/>
      <c r="DJ41" s="863"/>
      <c r="DK41" s="863"/>
      <c r="DL41" s="866"/>
      <c r="DN41" s="409"/>
      <c r="DO41" s="409"/>
      <c r="DP41" s="409"/>
      <c r="DQ41" s="409"/>
      <c r="DR41" s="409"/>
      <c r="DS41" s="409"/>
      <c r="DT41" s="409"/>
      <c r="DU41" s="409"/>
      <c r="DV41" s="409"/>
      <c r="DW41" s="409"/>
      <c r="DX41" s="409"/>
      <c r="DY41" s="409"/>
      <c r="DZ41" s="409"/>
      <c r="EA41" s="409"/>
      <c r="EB41" s="409"/>
      <c r="EC41" s="409"/>
      <c r="ED41" s="409"/>
      <c r="EE41" s="409"/>
      <c r="EF41" s="409"/>
      <c r="EG41" s="409"/>
      <c r="EH41" s="409"/>
      <c r="EI41" s="409"/>
      <c r="EJ41" s="409"/>
      <c r="EK41" s="409"/>
      <c r="EL41" s="409"/>
      <c r="EM41" s="409"/>
      <c r="EN41" s="409"/>
      <c r="EO41" s="409"/>
      <c r="EP41" s="409"/>
      <c r="EQ41" s="409"/>
      <c r="ER41" s="409"/>
      <c r="ES41" s="409"/>
      <c r="ET41" s="409"/>
      <c r="EU41" s="409"/>
      <c r="EV41" s="409"/>
      <c r="EW41" s="409"/>
      <c r="EX41" s="409"/>
      <c r="EY41" s="409"/>
      <c r="EZ41" s="409"/>
      <c r="FA41" s="409"/>
      <c r="FB41" s="409"/>
      <c r="FC41" s="409"/>
      <c r="FD41" s="409"/>
      <c r="FE41" s="409"/>
      <c r="FF41" s="409"/>
      <c r="FG41" s="409"/>
      <c r="FH41" s="409"/>
      <c r="FI41" s="409"/>
      <c r="FJ41" s="409"/>
      <c r="FK41" s="409"/>
      <c r="FL41" s="409"/>
      <c r="FM41" s="409"/>
      <c r="FN41" s="409"/>
      <c r="FO41" s="409"/>
      <c r="FP41" s="409"/>
      <c r="FQ41" s="409"/>
      <c r="FR41" s="409"/>
      <c r="FS41" s="409"/>
      <c r="FT41" s="409"/>
      <c r="FU41" s="409"/>
      <c r="FV41" s="409"/>
      <c r="FW41" s="409"/>
      <c r="FX41" s="409"/>
      <c r="FY41" s="409"/>
      <c r="FZ41" s="409"/>
      <c r="GA41" s="409"/>
      <c r="GB41" s="409"/>
      <c r="GC41" s="409"/>
      <c r="GD41" s="409"/>
      <c r="GE41" s="409"/>
      <c r="GF41" s="409"/>
      <c r="GG41" s="409"/>
      <c r="GH41" s="409"/>
      <c r="GI41" s="409"/>
      <c r="GJ41" s="409"/>
      <c r="GK41" s="409"/>
      <c r="GL41" s="409"/>
      <c r="GM41" s="409"/>
      <c r="GN41" s="409"/>
      <c r="GO41" s="409"/>
      <c r="GP41" s="409"/>
      <c r="GQ41" s="409"/>
      <c r="GR41" s="409"/>
      <c r="GS41" s="409"/>
      <c r="GT41" s="409"/>
      <c r="GU41" s="409"/>
      <c r="GV41" s="409"/>
      <c r="GW41" s="409"/>
      <c r="GX41" s="409"/>
      <c r="GY41" s="409"/>
      <c r="GZ41" s="409"/>
      <c r="HA41" s="409"/>
      <c r="HB41" s="409"/>
      <c r="HC41" s="409"/>
      <c r="HD41" s="409"/>
      <c r="HE41" s="409"/>
      <c r="HF41" s="409"/>
      <c r="HG41" s="409"/>
      <c r="HH41" s="409"/>
      <c r="HI41" s="409"/>
      <c r="HJ41" s="409"/>
      <c r="HK41" s="409"/>
      <c r="HL41" s="409"/>
      <c r="HM41" s="409"/>
      <c r="HN41" s="409"/>
      <c r="HO41" s="409"/>
      <c r="HP41" s="409"/>
      <c r="HQ41" s="409"/>
      <c r="HR41" s="409"/>
      <c r="HS41" s="409"/>
      <c r="HT41" s="409"/>
      <c r="HU41" s="409"/>
      <c r="HV41" s="409"/>
      <c r="HW41" s="409"/>
      <c r="HX41" s="409"/>
      <c r="HY41" s="409"/>
      <c r="HZ41" s="409"/>
      <c r="IA41" s="409"/>
      <c r="IB41" s="409"/>
      <c r="IC41" s="409"/>
      <c r="ID41" s="409"/>
      <c r="IE41" s="409"/>
      <c r="IF41" s="409"/>
      <c r="IG41" s="409"/>
      <c r="IH41" s="409"/>
      <c r="II41" s="409"/>
      <c r="IJ41" s="409"/>
      <c r="IK41" s="409"/>
      <c r="IL41" s="409"/>
      <c r="IM41" s="409"/>
      <c r="IN41" s="409"/>
      <c r="IO41" s="409"/>
      <c r="IP41" s="409"/>
      <c r="IQ41" s="409"/>
      <c r="IR41" s="409"/>
      <c r="IS41" s="409"/>
      <c r="IT41" s="409"/>
      <c r="IU41" s="409"/>
      <c r="IV41" s="409"/>
      <c r="IW41" s="409"/>
      <c r="IX41" s="409"/>
      <c r="IY41" s="409"/>
      <c r="IZ41" s="409"/>
      <c r="JA41" s="409"/>
      <c r="JB41" s="409"/>
      <c r="JC41" s="409"/>
      <c r="JD41" s="409"/>
    </row>
    <row r="42" spans="1:264" s="867" customFormat="1" ht="13.8" outlineLevel="1">
      <c r="A42" s="895"/>
      <c r="B42" s="885"/>
      <c r="C42" s="835"/>
      <c r="D42" s="885"/>
      <c r="E42" s="435"/>
      <c r="F42" s="435"/>
      <c r="G42" s="435"/>
      <c r="H42" s="870"/>
      <c r="I42" s="871"/>
      <c r="J42" s="864"/>
      <c r="K42" s="863"/>
      <c r="L42" s="863"/>
      <c r="M42" s="863"/>
      <c r="N42" s="863"/>
      <c r="O42" s="863"/>
      <c r="P42" s="863"/>
      <c r="Q42" s="863"/>
      <c r="R42" s="863"/>
      <c r="S42" s="863"/>
      <c r="T42" s="864"/>
      <c r="U42" s="864"/>
      <c r="V42" s="864"/>
      <c r="W42" s="864"/>
      <c r="X42" s="864"/>
      <c r="Y42" s="864"/>
      <c r="Z42" s="864"/>
      <c r="AA42" s="864"/>
      <c r="AB42" s="864"/>
      <c r="AC42" s="864"/>
      <c r="AD42" s="864"/>
      <c r="AE42" s="864"/>
      <c r="AF42" s="864"/>
      <c r="AG42" s="864"/>
      <c r="AH42" s="864"/>
      <c r="AI42" s="864"/>
      <c r="AJ42" s="864"/>
      <c r="AK42" s="864"/>
      <c r="AL42" s="864"/>
      <c r="AM42" s="864"/>
      <c r="AN42" s="435"/>
      <c r="AO42" s="864"/>
      <c r="AP42" s="864"/>
      <c r="AQ42" s="864"/>
      <c r="AR42" s="864"/>
      <c r="AS42" s="864"/>
      <c r="AT42" s="864"/>
      <c r="AU42" s="864"/>
      <c r="AV42" s="864"/>
      <c r="AW42" s="864"/>
      <c r="AX42" s="864"/>
      <c r="AY42" s="864"/>
      <c r="AZ42" s="864"/>
      <c r="BA42" s="864"/>
      <c r="BB42" s="864"/>
      <c r="BC42" s="864"/>
      <c r="BD42" s="864"/>
      <c r="BE42" s="864"/>
      <c r="BF42" s="864"/>
      <c r="BG42" s="864"/>
      <c r="BH42" s="864"/>
      <c r="BI42" s="864"/>
      <c r="BJ42" s="864"/>
      <c r="BK42" s="864"/>
      <c r="BL42" s="864"/>
      <c r="BM42" s="864"/>
      <c r="BN42" s="864"/>
      <c r="BO42" s="864"/>
      <c r="BP42" s="864"/>
      <c r="BQ42" s="864"/>
      <c r="BR42" s="864"/>
      <c r="BS42" s="864"/>
      <c r="BT42" s="864"/>
      <c r="BU42" s="864"/>
      <c r="BV42" s="863"/>
      <c r="BW42" s="864"/>
      <c r="BX42" s="864"/>
      <c r="BY42" s="864"/>
      <c r="BZ42" s="864"/>
      <c r="CA42" s="864"/>
      <c r="CB42" s="864"/>
      <c r="CC42" s="864"/>
      <c r="CD42" s="864"/>
      <c r="CE42" s="864"/>
      <c r="CF42" s="864"/>
      <c r="CG42" s="864"/>
      <c r="CH42" s="864"/>
      <c r="CI42" s="863"/>
      <c r="CJ42" s="863"/>
      <c r="CK42" s="863"/>
      <c r="CL42" s="863"/>
      <c r="CM42" s="863"/>
      <c r="CN42" s="863"/>
      <c r="CO42" s="863"/>
      <c r="CP42" s="863"/>
      <c r="CQ42" s="863"/>
      <c r="CR42" s="863"/>
      <c r="CS42" s="863"/>
      <c r="CT42" s="863"/>
      <c r="CU42" s="863"/>
      <c r="CV42" s="863"/>
      <c r="CW42" s="863"/>
      <c r="CX42" s="863"/>
      <c r="CY42" s="863"/>
      <c r="CZ42" s="863"/>
      <c r="DA42" s="863"/>
      <c r="DB42" s="863"/>
      <c r="DC42" s="863"/>
      <c r="DD42" s="863"/>
      <c r="DE42" s="863"/>
      <c r="DF42" s="863"/>
      <c r="DG42" s="863"/>
      <c r="DH42" s="863"/>
      <c r="DI42" s="863"/>
      <c r="DJ42" s="863"/>
      <c r="DK42" s="863"/>
      <c r="DL42" s="866"/>
      <c r="DN42" s="409"/>
      <c r="DO42" s="409"/>
      <c r="DP42" s="409"/>
      <c r="DQ42" s="409"/>
      <c r="DR42" s="409"/>
      <c r="DS42" s="409"/>
      <c r="DT42" s="409"/>
      <c r="DU42" s="409"/>
      <c r="DV42" s="409"/>
      <c r="DW42" s="409"/>
      <c r="DX42" s="409"/>
      <c r="DY42" s="409"/>
      <c r="DZ42" s="409"/>
      <c r="EA42" s="409"/>
      <c r="EB42" s="409"/>
      <c r="EC42" s="409"/>
      <c r="ED42" s="409"/>
      <c r="EE42" s="409"/>
      <c r="EF42" s="409"/>
      <c r="EG42" s="409"/>
      <c r="EH42" s="409"/>
      <c r="EI42" s="409"/>
      <c r="EJ42" s="409"/>
      <c r="EK42" s="409"/>
      <c r="EL42" s="409"/>
      <c r="EM42" s="409"/>
      <c r="EN42" s="409"/>
      <c r="EO42" s="409"/>
      <c r="EP42" s="409"/>
      <c r="EQ42" s="409"/>
      <c r="ER42" s="409"/>
      <c r="ES42" s="409"/>
      <c r="ET42" s="409"/>
      <c r="EU42" s="409"/>
      <c r="EV42" s="409"/>
      <c r="EW42" s="409"/>
      <c r="EX42" s="409"/>
      <c r="EY42" s="409"/>
      <c r="EZ42" s="409"/>
      <c r="FA42" s="409"/>
      <c r="FB42" s="409"/>
      <c r="FC42" s="409"/>
      <c r="FD42" s="409"/>
      <c r="FE42" s="409"/>
      <c r="FF42" s="409"/>
      <c r="FG42" s="409"/>
      <c r="FH42" s="409"/>
      <c r="FI42" s="409"/>
      <c r="FJ42" s="409"/>
      <c r="FK42" s="409"/>
      <c r="FL42" s="409"/>
      <c r="FM42" s="409"/>
      <c r="FN42" s="409"/>
      <c r="FO42" s="409"/>
      <c r="FP42" s="409"/>
      <c r="FQ42" s="409"/>
      <c r="FR42" s="409"/>
      <c r="FS42" s="409"/>
      <c r="FT42" s="409"/>
      <c r="FU42" s="409"/>
      <c r="FV42" s="409"/>
      <c r="FW42" s="409"/>
      <c r="FX42" s="409"/>
      <c r="FY42" s="409"/>
      <c r="FZ42" s="409"/>
      <c r="GA42" s="409"/>
      <c r="GB42" s="409"/>
      <c r="GC42" s="409"/>
      <c r="GD42" s="409"/>
      <c r="GE42" s="409"/>
      <c r="GF42" s="409"/>
      <c r="GG42" s="409"/>
      <c r="GH42" s="409"/>
      <c r="GI42" s="409"/>
      <c r="GJ42" s="409"/>
      <c r="GK42" s="409"/>
      <c r="GL42" s="409"/>
      <c r="GM42" s="409"/>
      <c r="GN42" s="409"/>
      <c r="GO42" s="409"/>
      <c r="GP42" s="409"/>
      <c r="GQ42" s="409"/>
      <c r="GR42" s="409"/>
      <c r="GS42" s="409"/>
      <c r="GT42" s="409"/>
      <c r="GU42" s="409"/>
      <c r="GV42" s="409"/>
      <c r="GW42" s="409"/>
      <c r="GX42" s="409"/>
      <c r="GY42" s="409"/>
      <c r="GZ42" s="409"/>
      <c r="HA42" s="409"/>
      <c r="HB42" s="409"/>
      <c r="HC42" s="409"/>
      <c r="HD42" s="409"/>
      <c r="HE42" s="409"/>
      <c r="HF42" s="409"/>
      <c r="HG42" s="409"/>
      <c r="HH42" s="409"/>
      <c r="HI42" s="409"/>
      <c r="HJ42" s="409"/>
      <c r="HK42" s="409"/>
      <c r="HL42" s="409"/>
      <c r="HM42" s="409"/>
      <c r="HN42" s="409"/>
      <c r="HO42" s="409"/>
      <c r="HP42" s="409"/>
      <c r="HQ42" s="409"/>
      <c r="HR42" s="409"/>
      <c r="HS42" s="409"/>
      <c r="HT42" s="409"/>
      <c r="HU42" s="409"/>
      <c r="HV42" s="409"/>
      <c r="HW42" s="409"/>
      <c r="HX42" s="409"/>
      <c r="HY42" s="409"/>
      <c r="HZ42" s="409"/>
      <c r="IA42" s="409"/>
      <c r="IB42" s="409"/>
      <c r="IC42" s="409"/>
      <c r="ID42" s="409"/>
      <c r="IE42" s="409"/>
      <c r="IF42" s="409"/>
      <c r="IG42" s="409"/>
      <c r="IH42" s="409"/>
      <c r="II42" s="409"/>
      <c r="IJ42" s="409"/>
      <c r="IK42" s="409"/>
      <c r="IL42" s="409"/>
      <c r="IM42" s="409"/>
      <c r="IN42" s="409"/>
      <c r="IO42" s="409"/>
      <c r="IP42" s="409"/>
      <c r="IQ42" s="409"/>
      <c r="IR42" s="409"/>
      <c r="IS42" s="409"/>
      <c r="IT42" s="409"/>
      <c r="IU42" s="409"/>
      <c r="IV42" s="409"/>
      <c r="IW42" s="409"/>
      <c r="IX42" s="409"/>
      <c r="IY42" s="409"/>
      <c r="IZ42" s="409"/>
      <c r="JA42" s="409"/>
      <c r="JB42" s="409"/>
      <c r="JC42" s="409"/>
      <c r="JD42" s="409"/>
    </row>
    <row r="43" spans="1:264" s="867" customFormat="1" ht="13.8" outlineLevel="1">
      <c r="A43" s="895"/>
      <c r="B43" s="885"/>
      <c r="C43" s="835"/>
      <c r="D43" s="885"/>
      <c r="E43" s="435"/>
      <c r="F43" s="435"/>
      <c r="G43" s="435"/>
      <c r="H43" s="870"/>
      <c r="I43" s="871"/>
      <c r="J43" s="864"/>
      <c r="K43" s="863"/>
      <c r="L43" s="863"/>
      <c r="M43" s="863"/>
      <c r="N43" s="863"/>
      <c r="O43" s="863"/>
      <c r="P43" s="863"/>
      <c r="Q43" s="863"/>
      <c r="R43" s="863"/>
      <c r="S43" s="863"/>
      <c r="T43" s="864"/>
      <c r="U43" s="864"/>
      <c r="V43" s="864"/>
      <c r="W43" s="864"/>
      <c r="X43" s="864"/>
      <c r="Y43" s="864"/>
      <c r="Z43" s="864"/>
      <c r="AA43" s="864"/>
      <c r="AB43" s="864"/>
      <c r="AC43" s="864"/>
      <c r="AD43" s="864"/>
      <c r="AE43" s="864"/>
      <c r="AF43" s="864"/>
      <c r="AG43" s="864"/>
      <c r="AH43" s="864"/>
      <c r="AI43" s="864"/>
      <c r="AJ43" s="864"/>
      <c r="AK43" s="864"/>
      <c r="AL43" s="864"/>
      <c r="AM43" s="864"/>
      <c r="AN43" s="435"/>
      <c r="AO43" s="864"/>
      <c r="AP43" s="864"/>
      <c r="AQ43" s="864"/>
      <c r="AR43" s="864"/>
      <c r="AS43" s="864"/>
      <c r="AT43" s="864"/>
      <c r="AU43" s="864"/>
      <c r="AV43" s="864"/>
      <c r="AW43" s="864"/>
      <c r="AX43" s="864"/>
      <c r="AY43" s="864"/>
      <c r="AZ43" s="864"/>
      <c r="BA43" s="864"/>
      <c r="BB43" s="864"/>
      <c r="BC43" s="864"/>
      <c r="BD43" s="864"/>
      <c r="BE43" s="864"/>
      <c r="BF43" s="864"/>
      <c r="BG43" s="864"/>
      <c r="BH43" s="864"/>
      <c r="BI43" s="864"/>
      <c r="BJ43" s="864"/>
      <c r="BK43" s="864"/>
      <c r="BL43" s="864"/>
      <c r="BM43" s="864"/>
      <c r="BN43" s="864"/>
      <c r="BO43" s="864"/>
      <c r="BP43" s="864"/>
      <c r="BQ43" s="864"/>
      <c r="BR43" s="864"/>
      <c r="BS43" s="864"/>
      <c r="BT43" s="864"/>
      <c r="BU43" s="864"/>
      <c r="BV43" s="863"/>
      <c r="BW43" s="864"/>
      <c r="BX43" s="864"/>
      <c r="BY43" s="864"/>
      <c r="BZ43" s="864"/>
      <c r="CA43" s="864"/>
      <c r="CB43" s="864"/>
      <c r="CC43" s="864"/>
      <c r="CD43" s="864"/>
      <c r="CE43" s="864"/>
      <c r="CF43" s="864"/>
      <c r="CG43" s="864"/>
      <c r="CH43" s="864"/>
      <c r="CI43" s="863"/>
      <c r="CJ43" s="863"/>
      <c r="CK43" s="863"/>
      <c r="CL43" s="863"/>
      <c r="CM43" s="863"/>
      <c r="CN43" s="863"/>
      <c r="CO43" s="863"/>
      <c r="CP43" s="863"/>
      <c r="CQ43" s="863"/>
      <c r="CR43" s="863"/>
      <c r="CS43" s="863"/>
      <c r="CT43" s="863"/>
      <c r="CU43" s="863"/>
      <c r="CV43" s="863"/>
      <c r="CW43" s="863"/>
      <c r="CX43" s="863"/>
      <c r="CY43" s="863"/>
      <c r="CZ43" s="863"/>
      <c r="DA43" s="863"/>
      <c r="DB43" s="863"/>
      <c r="DC43" s="863"/>
      <c r="DD43" s="863"/>
      <c r="DE43" s="863"/>
      <c r="DF43" s="863"/>
      <c r="DG43" s="863"/>
      <c r="DH43" s="863"/>
      <c r="DI43" s="863"/>
      <c r="DJ43" s="863"/>
      <c r="DK43" s="863"/>
      <c r="DL43" s="866"/>
      <c r="DN43" s="409"/>
      <c r="DO43" s="409"/>
      <c r="DP43" s="409"/>
      <c r="DQ43" s="409"/>
      <c r="DR43" s="409"/>
      <c r="DS43" s="409"/>
      <c r="DT43" s="409"/>
      <c r="DU43" s="409"/>
      <c r="DV43" s="409"/>
      <c r="DW43" s="409"/>
      <c r="DX43" s="409"/>
      <c r="DY43" s="409"/>
      <c r="DZ43" s="409"/>
      <c r="EA43" s="409"/>
      <c r="EB43" s="409"/>
      <c r="EC43" s="409"/>
      <c r="ED43" s="409"/>
      <c r="EE43" s="409"/>
      <c r="EF43" s="409"/>
      <c r="EG43" s="409"/>
      <c r="EH43" s="409"/>
      <c r="EI43" s="409"/>
      <c r="EJ43" s="409"/>
      <c r="EK43" s="409"/>
      <c r="EL43" s="409"/>
      <c r="EM43" s="409"/>
      <c r="EN43" s="409"/>
      <c r="EO43" s="409"/>
      <c r="EP43" s="409"/>
      <c r="EQ43" s="409"/>
      <c r="ER43" s="409"/>
      <c r="ES43" s="409"/>
      <c r="ET43" s="409"/>
      <c r="EU43" s="409"/>
      <c r="EV43" s="409"/>
      <c r="EW43" s="409"/>
      <c r="EX43" s="409"/>
      <c r="EY43" s="409"/>
      <c r="EZ43" s="409"/>
      <c r="FA43" s="409"/>
      <c r="FB43" s="409"/>
      <c r="FC43" s="409"/>
      <c r="FD43" s="409"/>
      <c r="FE43" s="409"/>
      <c r="FF43" s="409"/>
      <c r="FG43" s="409"/>
      <c r="FH43" s="409"/>
      <c r="FI43" s="409"/>
      <c r="FJ43" s="409"/>
      <c r="FK43" s="409"/>
      <c r="FL43" s="409"/>
      <c r="FM43" s="409"/>
      <c r="FN43" s="409"/>
      <c r="FO43" s="409"/>
      <c r="FP43" s="409"/>
      <c r="FQ43" s="409"/>
      <c r="FR43" s="409"/>
      <c r="FS43" s="409"/>
      <c r="FT43" s="409"/>
      <c r="FU43" s="409"/>
      <c r="FV43" s="409"/>
      <c r="FW43" s="409"/>
      <c r="FX43" s="409"/>
      <c r="FY43" s="409"/>
      <c r="FZ43" s="409"/>
      <c r="GA43" s="409"/>
      <c r="GB43" s="409"/>
      <c r="GC43" s="409"/>
      <c r="GD43" s="409"/>
      <c r="GE43" s="409"/>
      <c r="GF43" s="409"/>
      <c r="GG43" s="409"/>
      <c r="GH43" s="409"/>
      <c r="GI43" s="409"/>
      <c r="GJ43" s="409"/>
      <c r="GK43" s="409"/>
      <c r="GL43" s="409"/>
      <c r="GM43" s="409"/>
      <c r="GN43" s="409"/>
      <c r="GO43" s="409"/>
      <c r="GP43" s="409"/>
      <c r="GQ43" s="409"/>
      <c r="GR43" s="409"/>
      <c r="GS43" s="409"/>
      <c r="GT43" s="409"/>
      <c r="GU43" s="409"/>
      <c r="GV43" s="409"/>
      <c r="GW43" s="409"/>
      <c r="GX43" s="409"/>
      <c r="GY43" s="409"/>
      <c r="GZ43" s="409"/>
      <c r="HA43" s="409"/>
      <c r="HB43" s="409"/>
      <c r="HC43" s="409"/>
      <c r="HD43" s="409"/>
      <c r="HE43" s="409"/>
      <c r="HF43" s="409"/>
      <c r="HG43" s="409"/>
      <c r="HH43" s="409"/>
      <c r="HI43" s="409"/>
      <c r="HJ43" s="409"/>
      <c r="HK43" s="409"/>
      <c r="HL43" s="409"/>
      <c r="HM43" s="409"/>
      <c r="HN43" s="409"/>
      <c r="HO43" s="409"/>
      <c r="HP43" s="409"/>
      <c r="HQ43" s="409"/>
      <c r="HR43" s="409"/>
      <c r="HS43" s="409"/>
      <c r="HT43" s="409"/>
      <c r="HU43" s="409"/>
      <c r="HV43" s="409"/>
      <c r="HW43" s="409"/>
      <c r="HX43" s="409"/>
      <c r="HY43" s="409"/>
      <c r="HZ43" s="409"/>
      <c r="IA43" s="409"/>
      <c r="IB43" s="409"/>
      <c r="IC43" s="409"/>
      <c r="ID43" s="409"/>
      <c r="IE43" s="409"/>
      <c r="IF43" s="409"/>
      <c r="IG43" s="409"/>
      <c r="IH43" s="409"/>
      <c r="II43" s="409"/>
      <c r="IJ43" s="409"/>
      <c r="IK43" s="409"/>
      <c r="IL43" s="409"/>
      <c r="IM43" s="409"/>
      <c r="IN43" s="409"/>
      <c r="IO43" s="409"/>
      <c r="IP43" s="409"/>
      <c r="IQ43" s="409"/>
      <c r="IR43" s="409"/>
      <c r="IS43" s="409"/>
      <c r="IT43" s="409"/>
      <c r="IU43" s="409"/>
      <c r="IV43" s="409"/>
      <c r="IW43" s="409"/>
      <c r="IX43" s="409"/>
      <c r="IY43" s="409"/>
      <c r="IZ43" s="409"/>
      <c r="JA43" s="409"/>
      <c r="JB43" s="409"/>
      <c r="JC43" s="409"/>
      <c r="JD43" s="409"/>
    </row>
    <row r="44" spans="1:264" s="867" customFormat="1" ht="13.8" outlineLevel="1">
      <c r="A44" s="895"/>
      <c r="B44" s="885"/>
      <c r="C44" s="835"/>
      <c r="D44" s="885"/>
      <c r="E44" s="435"/>
      <c r="F44" s="435"/>
      <c r="G44" s="435"/>
      <c r="H44" s="870"/>
      <c r="I44" s="871"/>
      <c r="J44" s="864"/>
      <c r="K44" s="863"/>
      <c r="L44" s="863"/>
      <c r="M44" s="863"/>
      <c r="N44" s="863"/>
      <c r="O44" s="863"/>
      <c r="P44" s="863"/>
      <c r="Q44" s="863"/>
      <c r="R44" s="863"/>
      <c r="S44" s="863"/>
      <c r="T44" s="864"/>
      <c r="U44" s="864"/>
      <c r="V44" s="864"/>
      <c r="W44" s="864"/>
      <c r="X44" s="864"/>
      <c r="Y44" s="864"/>
      <c r="Z44" s="864"/>
      <c r="AA44" s="864"/>
      <c r="AB44" s="864"/>
      <c r="AC44" s="864"/>
      <c r="AD44" s="864"/>
      <c r="AE44" s="864"/>
      <c r="AF44" s="864"/>
      <c r="AG44" s="864"/>
      <c r="AH44" s="864"/>
      <c r="AI44" s="864"/>
      <c r="AJ44" s="864"/>
      <c r="AK44" s="864"/>
      <c r="AL44" s="864"/>
      <c r="AM44" s="864"/>
      <c r="AN44" s="435"/>
      <c r="AO44" s="864"/>
      <c r="AP44" s="864"/>
      <c r="AQ44" s="864"/>
      <c r="AR44" s="864"/>
      <c r="AS44" s="864"/>
      <c r="AT44" s="864"/>
      <c r="AU44" s="864"/>
      <c r="AV44" s="864"/>
      <c r="AW44" s="864"/>
      <c r="AX44" s="864"/>
      <c r="AY44" s="864"/>
      <c r="AZ44" s="864"/>
      <c r="BA44" s="864"/>
      <c r="BB44" s="864"/>
      <c r="BC44" s="864"/>
      <c r="BD44" s="864"/>
      <c r="BE44" s="864"/>
      <c r="BF44" s="864"/>
      <c r="BG44" s="864"/>
      <c r="BH44" s="864"/>
      <c r="BI44" s="864"/>
      <c r="BJ44" s="864"/>
      <c r="BK44" s="864"/>
      <c r="BL44" s="864"/>
      <c r="BM44" s="864"/>
      <c r="BN44" s="864"/>
      <c r="BO44" s="864"/>
      <c r="BP44" s="864"/>
      <c r="BQ44" s="864"/>
      <c r="BR44" s="864"/>
      <c r="BS44" s="864"/>
      <c r="BT44" s="864"/>
      <c r="BU44" s="864"/>
      <c r="BV44" s="863"/>
      <c r="BW44" s="864"/>
      <c r="BX44" s="864"/>
      <c r="BY44" s="864"/>
      <c r="BZ44" s="864"/>
      <c r="CA44" s="864"/>
      <c r="CB44" s="864"/>
      <c r="CC44" s="864"/>
      <c r="CD44" s="864"/>
      <c r="CE44" s="864"/>
      <c r="CF44" s="864"/>
      <c r="CG44" s="864"/>
      <c r="CH44" s="864"/>
      <c r="CI44" s="863"/>
      <c r="CJ44" s="863"/>
      <c r="CK44" s="863"/>
      <c r="CL44" s="863"/>
      <c r="CM44" s="863"/>
      <c r="CN44" s="863"/>
      <c r="CO44" s="863"/>
      <c r="CP44" s="863"/>
      <c r="CQ44" s="863"/>
      <c r="CR44" s="863"/>
      <c r="CS44" s="863"/>
      <c r="CT44" s="863"/>
      <c r="CU44" s="863"/>
      <c r="CV44" s="863"/>
      <c r="CW44" s="863"/>
      <c r="CX44" s="863"/>
      <c r="CY44" s="863"/>
      <c r="CZ44" s="863"/>
      <c r="DA44" s="863"/>
      <c r="DB44" s="863"/>
      <c r="DC44" s="863"/>
      <c r="DD44" s="863"/>
      <c r="DE44" s="863"/>
      <c r="DF44" s="863"/>
      <c r="DG44" s="863"/>
      <c r="DH44" s="863"/>
      <c r="DI44" s="863"/>
      <c r="DJ44" s="863"/>
      <c r="DK44" s="863"/>
      <c r="DL44" s="866"/>
      <c r="DN44" s="409"/>
      <c r="DO44" s="409"/>
      <c r="DP44" s="409"/>
      <c r="DQ44" s="409"/>
      <c r="DR44" s="409"/>
      <c r="DS44" s="409"/>
      <c r="DT44" s="409"/>
      <c r="DU44" s="409"/>
      <c r="DV44" s="409"/>
      <c r="DW44" s="409"/>
      <c r="DX44" s="409"/>
      <c r="DY44" s="409"/>
      <c r="DZ44" s="409"/>
      <c r="EA44" s="409"/>
      <c r="EB44" s="409"/>
      <c r="EC44" s="409"/>
      <c r="ED44" s="409"/>
      <c r="EE44" s="409"/>
      <c r="EF44" s="409"/>
      <c r="EG44" s="409"/>
      <c r="EH44" s="409"/>
      <c r="EI44" s="409"/>
      <c r="EJ44" s="409"/>
      <c r="EK44" s="409"/>
      <c r="EL44" s="409"/>
      <c r="EM44" s="409"/>
      <c r="EN44" s="409"/>
      <c r="EO44" s="409"/>
      <c r="EP44" s="409"/>
      <c r="EQ44" s="409"/>
      <c r="ER44" s="409"/>
      <c r="ES44" s="409"/>
      <c r="ET44" s="409"/>
      <c r="EU44" s="409"/>
      <c r="EV44" s="409"/>
      <c r="EW44" s="409"/>
      <c r="EX44" s="409"/>
      <c r="EY44" s="409"/>
      <c r="EZ44" s="409"/>
      <c r="FA44" s="409"/>
      <c r="FB44" s="409"/>
      <c r="FC44" s="409"/>
      <c r="FD44" s="409"/>
      <c r="FE44" s="409"/>
      <c r="FF44" s="409"/>
      <c r="FG44" s="409"/>
      <c r="FH44" s="409"/>
      <c r="FI44" s="409"/>
      <c r="FJ44" s="409"/>
      <c r="FK44" s="409"/>
      <c r="FL44" s="409"/>
      <c r="FM44" s="409"/>
      <c r="FN44" s="409"/>
      <c r="FO44" s="409"/>
      <c r="FP44" s="409"/>
      <c r="FQ44" s="409"/>
      <c r="FR44" s="409"/>
      <c r="FS44" s="409"/>
      <c r="FT44" s="409"/>
      <c r="FU44" s="409"/>
      <c r="FV44" s="409"/>
      <c r="FW44" s="409"/>
      <c r="FX44" s="409"/>
      <c r="FY44" s="409"/>
      <c r="FZ44" s="409"/>
      <c r="GA44" s="409"/>
      <c r="GB44" s="409"/>
      <c r="GC44" s="409"/>
      <c r="GD44" s="409"/>
      <c r="GE44" s="409"/>
      <c r="GF44" s="409"/>
      <c r="GG44" s="409"/>
      <c r="GH44" s="409"/>
      <c r="GI44" s="409"/>
      <c r="GJ44" s="409"/>
      <c r="GK44" s="409"/>
      <c r="GL44" s="409"/>
      <c r="GM44" s="409"/>
      <c r="GN44" s="409"/>
      <c r="GO44" s="409"/>
      <c r="GP44" s="409"/>
      <c r="GQ44" s="409"/>
      <c r="GR44" s="409"/>
      <c r="GS44" s="409"/>
      <c r="GT44" s="409"/>
      <c r="GU44" s="409"/>
      <c r="GV44" s="409"/>
      <c r="GW44" s="409"/>
      <c r="GX44" s="409"/>
      <c r="GY44" s="409"/>
      <c r="GZ44" s="409"/>
      <c r="HA44" s="409"/>
      <c r="HB44" s="409"/>
      <c r="HC44" s="409"/>
      <c r="HD44" s="409"/>
      <c r="HE44" s="409"/>
      <c r="HF44" s="409"/>
      <c r="HG44" s="409"/>
      <c r="HH44" s="409"/>
      <c r="HI44" s="409"/>
      <c r="HJ44" s="409"/>
      <c r="HK44" s="409"/>
      <c r="HL44" s="409"/>
      <c r="HM44" s="409"/>
      <c r="HN44" s="409"/>
      <c r="HO44" s="409"/>
      <c r="HP44" s="409"/>
      <c r="HQ44" s="409"/>
      <c r="HR44" s="409"/>
      <c r="HS44" s="409"/>
      <c r="HT44" s="409"/>
      <c r="HU44" s="409"/>
      <c r="HV44" s="409"/>
      <c r="HW44" s="409"/>
      <c r="HX44" s="409"/>
      <c r="HY44" s="409"/>
      <c r="HZ44" s="409"/>
      <c r="IA44" s="409"/>
      <c r="IB44" s="409"/>
      <c r="IC44" s="409"/>
      <c r="ID44" s="409"/>
      <c r="IE44" s="409"/>
      <c r="IF44" s="409"/>
      <c r="IG44" s="409"/>
      <c r="IH44" s="409"/>
      <c r="II44" s="409"/>
      <c r="IJ44" s="409"/>
      <c r="IK44" s="409"/>
      <c r="IL44" s="409"/>
      <c r="IM44" s="409"/>
      <c r="IN44" s="409"/>
      <c r="IO44" s="409"/>
      <c r="IP44" s="409"/>
      <c r="IQ44" s="409"/>
      <c r="IR44" s="409"/>
      <c r="IS44" s="409"/>
      <c r="IT44" s="409"/>
      <c r="IU44" s="409"/>
      <c r="IV44" s="409"/>
      <c r="IW44" s="409"/>
      <c r="IX44" s="409"/>
      <c r="IY44" s="409"/>
      <c r="IZ44" s="409"/>
      <c r="JA44" s="409"/>
      <c r="JB44" s="409"/>
      <c r="JC44" s="409"/>
      <c r="JD44" s="409"/>
    </row>
    <row r="45" spans="1:264" s="867" customFormat="1" ht="13.8" outlineLevel="1">
      <c r="A45" s="895"/>
      <c r="B45" s="885"/>
      <c r="C45" s="835"/>
      <c r="D45" s="885"/>
      <c r="E45" s="435"/>
      <c r="F45" s="435"/>
      <c r="G45" s="435"/>
      <c r="H45" s="870"/>
      <c r="I45" s="871"/>
      <c r="J45" s="864"/>
      <c r="K45" s="863"/>
      <c r="L45" s="863"/>
      <c r="M45" s="863"/>
      <c r="N45" s="863"/>
      <c r="O45" s="863"/>
      <c r="P45" s="863"/>
      <c r="Q45" s="863"/>
      <c r="R45" s="863"/>
      <c r="S45" s="863"/>
      <c r="T45" s="864"/>
      <c r="U45" s="864"/>
      <c r="V45" s="864"/>
      <c r="W45" s="864"/>
      <c r="X45" s="864"/>
      <c r="Y45" s="864"/>
      <c r="Z45" s="864"/>
      <c r="AA45" s="864"/>
      <c r="AB45" s="864"/>
      <c r="AC45" s="864"/>
      <c r="AD45" s="864"/>
      <c r="AE45" s="864"/>
      <c r="AF45" s="864"/>
      <c r="AG45" s="864"/>
      <c r="AH45" s="864"/>
      <c r="AI45" s="864"/>
      <c r="AJ45" s="864"/>
      <c r="AK45" s="864"/>
      <c r="AL45" s="864"/>
      <c r="AM45" s="864"/>
      <c r="AN45" s="435"/>
      <c r="AO45" s="864"/>
      <c r="AP45" s="864"/>
      <c r="AQ45" s="864"/>
      <c r="AR45" s="864"/>
      <c r="AS45" s="864"/>
      <c r="AT45" s="864"/>
      <c r="AU45" s="864"/>
      <c r="AV45" s="864"/>
      <c r="AW45" s="864"/>
      <c r="AX45" s="864"/>
      <c r="AY45" s="864"/>
      <c r="AZ45" s="864"/>
      <c r="BA45" s="864"/>
      <c r="BB45" s="864"/>
      <c r="BC45" s="864"/>
      <c r="BD45" s="864"/>
      <c r="BE45" s="864"/>
      <c r="BF45" s="864"/>
      <c r="BG45" s="864"/>
      <c r="BH45" s="864"/>
      <c r="BI45" s="864"/>
      <c r="BJ45" s="864"/>
      <c r="BK45" s="864"/>
      <c r="BL45" s="864"/>
      <c r="BM45" s="864"/>
      <c r="BN45" s="864"/>
      <c r="BO45" s="864"/>
      <c r="BP45" s="864"/>
      <c r="BQ45" s="864"/>
      <c r="BR45" s="864"/>
      <c r="BS45" s="864"/>
      <c r="BT45" s="864"/>
      <c r="BU45" s="864"/>
      <c r="BV45" s="863"/>
      <c r="BW45" s="864"/>
      <c r="BX45" s="864"/>
      <c r="BY45" s="864"/>
      <c r="BZ45" s="864"/>
      <c r="CA45" s="864"/>
      <c r="CB45" s="864"/>
      <c r="CC45" s="864"/>
      <c r="CD45" s="864"/>
      <c r="CE45" s="864"/>
      <c r="CF45" s="864"/>
      <c r="CG45" s="864"/>
      <c r="CH45" s="864"/>
      <c r="CI45" s="863"/>
      <c r="CJ45" s="863"/>
      <c r="CK45" s="863"/>
      <c r="CL45" s="863"/>
      <c r="CM45" s="863"/>
      <c r="CN45" s="863"/>
      <c r="CO45" s="863"/>
      <c r="CP45" s="863"/>
      <c r="CQ45" s="863"/>
      <c r="CR45" s="863"/>
      <c r="CS45" s="863"/>
      <c r="CT45" s="863"/>
      <c r="CU45" s="863"/>
      <c r="CV45" s="863"/>
      <c r="CW45" s="863"/>
      <c r="CX45" s="863"/>
      <c r="CY45" s="863"/>
      <c r="CZ45" s="863"/>
      <c r="DA45" s="863"/>
      <c r="DB45" s="863"/>
      <c r="DC45" s="863"/>
      <c r="DD45" s="863"/>
      <c r="DE45" s="863"/>
      <c r="DF45" s="863"/>
      <c r="DG45" s="863"/>
      <c r="DH45" s="863"/>
      <c r="DI45" s="863"/>
      <c r="DJ45" s="863"/>
      <c r="DK45" s="863"/>
      <c r="DL45" s="866"/>
      <c r="DN45" s="409"/>
      <c r="DO45" s="409"/>
      <c r="DP45" s="409"/>
      <c r="DQ45" s="409"/>
      <c r="DR45" s="409"/>
      <c r="DS45" s="409"/>
      <c r="DT45" s="409"/>
      <c r="DU45" s="409"/>
      <c r="DV45" s="409"/>
      <c r="DW45" s="409"/>
      <c r="DX45" s="409"/>
      <c r="DY45" s="409"/>
      <c r="DZ45" s="409"/>
      <c r="EA45" s="409"/>
      <c r="EB45" s="409"/>
      <c r="EC45" s="409"/>
      <c r="ED45" s="409"/>
      <c r="EE45" s="409"/>
      <c r="EF45" s="409"/>
      <c r="EG45" s="409"/>
      <c r="EH45" s="409"/>
      <c r="EI45" s="409"/>
      <c r="EJ45" s="409"/>
      <c r="EK45" s="409"/>
      <c r="EL45" s="409"/>
      <c r="EM45" s="409"/>
      <c r="EN45" s="409"/>
      <c r="EO45" s="409"/>
      <c r="EP45" s="409"/>
      <c r="EQ45" s="409"/>
      <c r="ER45" s="409"/>
      <c r="ES45" s="409"/>
      <c r="ET45" s="409"/>
      <c r="EU45" s="409"/>
      <c r="EV45" s="409"/>
      <c r="EW45" s="409"/>
      <c r="EX45" s="409"/>
      <c r="EY45" s="409"/>
      <c r="EZ45" s="409"/>
      <c r="FA45" s="409"/>
      <c r="FB45" s="409"/>
      <c r="FC45" s="409"/>
      <c r="FD45" s="409"/>
      <c r="FE45" s="409"/>
      <c r="FF45" s="409"/>
      <c r="FG45" s="409"/>
      <c r="FH45" s="409"/>
      <c r="FI45" s="409"/>
      <c r="FJ45" s="409"/>
      <c r="FK45" s="409"/>
      <c r="FL45" s="409"/>
      <c r="FM45" s="409"/>
      <c r="FN45" s="409"/>
      <c r="FO45" s="409"/>
      <c r="FP45" s="409"/>
      <c r="FQ45" s="409"/>
      <c r="FR45" s="409"/>
      <c r="FS45" s="409"/>
      <c r="FT45" s="409"/>
      <c r="FU45" s="409"/>
      <c r="FV45" s="409"/>
      <c r="FW45" s="409"/>
      <c r="FX45" s="409"/>
      <c r="FY45" s="409"/>
      <c r="FZ45" s="409"/>
      <c r="GA45" s="409"/>
      <c r="GB45" s="409"/>
      <c r="GC45" s="409"/>
      <c r="GD45" s="409"/>
      <c r="GE45" s="409"/>
      <c r="GF45" s="409"/>
      <c r="GG45" s="409"/>
      <c r="GH45" s="409"/>
      <c r="GI45" s="409"/>
      <c r="GJ45" s="409"/>
      <c r="GK45" s="409"/>
      <c r="GL45" s="409"/>
      <c r="GM45" s="409"/>
      <c r="GN45" s="409"/>
      <c r="GO45" s="409"/>
      <c r="GP45" s="409"/>
      <c r="GQ45" s="409"/>
      <c r="GR45" s="409"/>
      <c r="GS45" s="409"/>
      <c r="GT45" s="409"/>
      <c r="GU45" s="409"/>
      <c r="GV45" s="409"/>
      <c r="GW45" s="409"/>
      <c r="GX45" s="409"/>
      <c r="GY45" s="409"/>
      <c r="GZ45" s="409"/>
      <c r="HA45" s="409"/>
      <c r="HB45" s="409"/>
      <c r="HC45" s="409"/>
      <c r="HD45" s="409"/>
      <c r="HE45" s="409"/>
      <c r="HF45" s="409"/>
      <c r="HG45" s="409"/>
      <c r="HH45" s="409"/>
      <c r="HI45" s="409"/>
      <c r="HJ45" s="409"/>
      <c r="HK45" s="409"/>
      <c r="HL45" s="409"/>
      <c r="HM45" s="409"/>
      <c r="HN45" s="409"/>
      <c r="HO45" s="409"/>
      <c r="HP45" s="409"/>
      <c r="HQ45" s="409"/>
      <c r="HR45" s="409"/>
      <c r="HS45" s="409"/>
      <c r="HT45" s="409"/>
      <c r="HU45" s="409"/>
      <c r="HV45" s="409"/>
      <c r="HW45" s="409"/>
      <c r="HX45" s="409"/>
      <c r="HY45" s="409"/>
      <c r="HZ45" s="409"/>
      <c r="IA45" s="409"/>
      <c r="IB45" s="409"/>
      <c r="IC45" s="409"/>
      <c r="ID45" s="409"/>
      <c r="IE45" s="409"/>
      <c r="IF45" s="409"/>
      <c r="IG45" s="409"/>
      <c r="IH45" s="409"/>
      <c r="II45" s="409"/>
      <c r="IJ45" s="409"/>
      <c r="IK45" s="409"/>
      <c r="IL45" s="409"/>
      <c r="IM45" s="409"/>
      <c r="IN45" s="409"/>
      <c r="IO45" s="409"/>
      <c r="IP45" s="409"/>
      <c r="IQ45" s="409"/>
      <c r="IR45" s="409"/>
      <c r="IS45" s="409"/>
      <c r="IT45" s="409"/>
      <c r="IU45" s="409"/>
      <c r="IV45" s="409"/>
      <c r="IW45" s="409"/>
      <c r="IX45" s="409"/>
      <c r="IY45" s="409"/>
      <c r="IZ45" s="409"/>
      <c r="JA45" s="409"/>
      <c r="JB45" s="409"/>
      <c r="JC45" s="409"/>
      <c r="JD45" s="409"/>
    </row>
    <row r="46" spans="1:264" s="867" customFormat="1" ht="13.8" outlineLevel="1">
      <c r="A46" s="895"/>
      <c r="B46" s="885"/>
      <c r="C46" s="835"/>
      <c r="D46" s="885"/>
      <c r="E46" s="435"/>
      <c r="F46" s="435"/>
      <c r="G46" s="435"/>
      <c r="H46" s="870"/>
      <c r="I46" s="871"/>
      <c r="J46" s="864"/>
      <c r="K46" s="863"/>
      <c r="L46" s="863"/>
      <c r="M46" s="863"/>
      <c r="N46" s="863"/>
      <c r="O46" s="863"/>
      <c r="P46" s="863"/>
      <c r="Q46" s="863"/>
      <c r="R46" s="863"/>
      <c r="S46" s="863"/>
      <c r="T46" s="864"/>
      <c r="U46" s="864"/>
      <c r="V46" s="864"/>
      <c r="W46" s="864"/>
      <c r="X46" s="864"/>
      <c r="Y46" s="864"/>
      <c r="Z46" s="864"/>
      <c r="AA46" s="864"/>
      <c r="AB46" s="864"/>
      <c r="AC46" s="864"/>
      <c r="AD46" s="864"/>
      <c r="AE46" s="864"/>
      <c r="AF46" s="864"/>
      <c r="AG46" s="864"/>
      <c r="AH46" s="864"/>
      <c r="AI46" s="864"/>
      <c r="AJ46" s="864"/>
      <c r="AK46" s="864"/>
      <c r="AL46" s="864"/>
      <c r="AM46" s="864"/>
      <c r="AN46" s="435"/>
      <c r="AO46" s="864"/>
      <c r="AP46" s="864"/>
      <c r="AQ46" s="864"/>
      <c r="AR46" s="864"/>
      <c r="AS46" s="864"/>
      <c r="AT46" s="864"/>
      <c r="AU46" s="864"/>
      <c r="AV46" s="864"/>
      <c r="AW46" s="864"/>
      <c r="AX46" s="864"/>
      <c r="AY46" s="864"/>
      <c r="AZ46" s="864"/>
      <c r="BA46" s="864"/>
      <c r="BB46" s="864"/>
      <c r="BC46" s="864"/>
      <c r="BD46" s="864"/>
      <c r="BE46" s="864"/>
      <c r="BF46" s="864"/>
      <c r="BG46" s="864"/>
      <c r="BH46" s="864"/>
      <c r="BI46" s="864"/>
      <c r="BJ46" s="864"/>
      <c r="BK46" s="864"/>
      <c r="BL46" s="864"/>
      <c r="BM46" s="864"/>
      <c r="BN46" s="864"/>
      <c r="BO46" s="864"/>
      <c r="BP46" s="864"/>
      <c r="BQ46" s="864"/>
      <c r="BR46" s="864"/>
      <c r="BS46" s="864"/>
      <c r="BT46" s="864"/>
      <c r="BU46" s="864"/>
      <c r="BV46" s="863"/>
      <c r="BW46" s="864"/>
      <c r="BX46" s="864"/>
      <c r="BY46" s="864"/>
      <c r="BZ46" s="864"/>
      <c r="CA46" s="864"/>
      <c r="CB46" s="864"/>
      <c r="CC46" s="864"/>
      <c r="CD46" s="864"/>
      <c r="CE46" s="864"/>
      <c r="CF46" s="864"/>
      <c r="CG46" s="864"/>
      <c r="CH46" s="864"/>
      <c r="CI46" s="863"/>
      <c r="CJ46" s="863"/>
      <c r="CK46" s="863"/>
      <c r="CL46" s="863"/>
      <c r="CM46" s="863"/>
      <c r="CN46" s="863"/>
      <c r="CO46" s="863"/>
      <c r="CP46" s="863"/>
      <c r="CQ46" s="863"/>
      <c r="CR46" s="863"/>
      <c r="CS46" s="863"/>
      <c r="CT46" s="863"/>
      <c r="CU46" s="863"/>
      <c r="CV46" s="863"/>
      <c r="CW46" s="863"/>
      <c r="CX46" s="863"/>
      <c r="CY46" s="863"/>
      <c r="CZ46" s="863"/>
      <c r="DA46" s="863"/>
      <c r="DB46" s="863"/>
      <c r="DC46" s="863"/>
      <c r="DD46" s="863"/>
      <c r="DE46" s="863"/>
      <c r="DF46" s="863"/>
      <c r="DG46" s="863"/>
      <c r="DH46" s="863"/>
      <c r="DI46" s="863"/>
      <c r="DJ46" s="863"/>
      <c r="DK46" s="863"/>
      <c r="DL46" s="866"/>
      <c r="DN46" s="409"/>
      <c r="DO46" s="409"/>
      <c r="DP46" s="409"/>
      <c r="DQ46" s="409"/>
      <c r="DR46" s="409"/>
      <c r="DS46" s="409"/>
      <c r="DT46" s="409"/>
      <c r="DU46" s="409"/>
      <c r="DV46" s="409"/>
      <c r="DW46" s="409"/>
      <c r="DX46" s="409"/>
      <c r="DY46" s="409"/>
      <c r="DZ46" s="409"/>
      <c r="EA46" s="409"/>
      <c r="EB46" s="409"/>
      <c r="EC46" s="409"/>
      <c r="ED46" s="409"/>
      <c r="EE46" s="409"/>
      <c r="EF46" s="409"/>
      <c r="EG46" s="409"/>
      <c r="EH46" s="409"/>
      <c r="EI46" s="409"/>
      <c r="EJ46" s="409"/>
      <c r="EK46" s="409"/>
      <c r="EL46" s="409"/>
      <c r="EM46" s="409"/>
      <c r="EN46" s="409"/>
      <c r="EO46" s="409"/>
      <c r="EP46" s="409"/>
      <c r="EQ46" s="409"/>
      <c r="ER46" s="409"/>
      <c r="ES46" s="409"/>
      <c r="ET46" s="409"/>
      <c r="EU46" s="409"/>
      <c r="EV46" s="409"/>
      <c r="EW46" s="409"/>
      <c r="EX46" s="409"/>
      <c r="EY46" s="409"/>
      <c r="EZ46" s="409"/>
      <c r="FA46" s="409"/>
      <c r="FB46" s="409"/>
      <c r="FC46" s="409"/>
      <c r="FD46" s="409"/>
      <c r="FE46" s="409"/>
      <c r="FF46" s="409"/>
      <c r="FG46" s="409"/>
      <c r="FH46" s="409"/>
      <c r="FI46" s="409"/>
      <c r="FJ46" s="409"/>
      <c r="FK46" s="409"/>
      <c r="FL46" s="409"/>
      <c r="FM46" s="409"/>
      <c r="FN46" s="409"/>
      <c r="FO46" s="409"/>
      <c r="FP46" s="409"/>
      <c r="FQ46" s="409"/>
      <c r="FR46" s="409"/>
      <c r="FS46" s="409"/>
      <c r="FT46" s="409"/>
      <c r="FU46" s="409"/>
      <c r="FV46" s="409"/>
      <c r="FW46" s="409"/>
      <c r="FX46" s="409"/>
      <c r="FY46" s="409"/>
      <c r="FZ46" s="409"/>
      <c r="GA46" s="409"/>
      <c r="GB46" s="409"/>
      <c r="GC46" s="409"/>
      <c r="GD46" s="409"/>
      <c r="GE46" s="409"/>
      <c r="GF46" s="409"/>
      <c r="GG46" s="409"/>
      <c r="GH46" s="409"/>
      <c r="GI46" s="409"/>
      <c r="GJ46" s="409"/>
      <c r="GK46" s="409"/>
      <c r="GL46" s="409"/>
      <c r="GM46" s="409"/>
      <c r="GN46" s="409"/>
      <c r="GO46" s="409"/>
      <c r="GP46" s="409"/>
      <c r="GQ46" s="409"/>
      <c r="GR46" s="409"/>
      <c r="GS46" s="409"/>
      <c r="GT46" s="409"/>
      <c r="GU46" s="409"/>
      <c r="GV46" s="409"/>
      <c r="GW46" s="409"/>
      <c r="GX46" s="409"/>
      <c r="GY46" s="409"/>
      <c r="GZ46" s="409"/>
      <c r="HA46" s="409"/>
      <c r="HB46" s="409"/>
      <c r="HC46" s="409"/>
      <c r="HD46" s="409"/>
      <c r="HE46" s="409"/>
      <c r="HF46" s="409"/>
      <c r="HG46" s="409"/>
      <c r="HH46" s="409"/>
      <c r="HI46" s="409"/>
      <c r="HJ46" s="409"/>
      <c r="HK46" s="409"/>
      <c r="HL46" s="409"/>
      <c r="HM46" s="409"/>
      <c r="HN46" s="409"/>
      <c r="HO46" s="409"/>
      <c r="HP46" s="409"/>
      <c r="HQ46" s="409"/>
      <c r="HR46" s="409"/>
      <c r="HS46" s="409"/>
      <c r="HT46" s="409"/>
      <c r="HU46" s="409"/>
      <c r="HV46" s="409"/>
      <c r="HW46" s="409"/>
      <c r="HX46" s="409"/>
      <c r="HY46" s="409"/>
      <c r="HZ46" s="409"/>
      <c r="IA46" s="409"/>
      <c r="IB46" s="409"/>
      <c r="IC46" s="409"/>
      <c r="ID46" s="409"/>
      <c r="IE46" s="409"/>
      <c r="IF46" s="409"/>
      <c r="IG46" s="409"/>
      <c r="IH46" s="409"/>
      <c r="II46" s="409"/>
      <c r="IJ46" s="409"/>
      <c r="IK46" s="409"/>
      <c r="IL46" s="409"/>
      <c r="IM46" s="409"/>
      <c r="IN46" s="409"/>
      <c r="IO46" s="409"/>
      <c r="IP46" s="409"/>
      <c r="IQ46" s="409"/>
      <c r="IR46" s="409"/>
      <c r="IS46" s="409"/>
      <c r="IT46" s="409"/>
      <c r="IU46" s="409"/>
      <c r="IV46" s="409"/>
      <c r="IW46" s="409"/>
      <c r="IX46" s="409"/>
      <c r="IY46" s="409"/>
      <c r="IZ46" s="409"/>
      <c r="JA46" s="409"/>
      <c r="JB46" s="409"/>
      <c r="JC46" s="409"/>
      <c r="JD46" s="409"/>
    </row>
    <row r="47" spans="1:264" s="867" customFormat="1" ht="13.8" outlineLevel="1">
      <c r="A47" s="895"/>
      <c r="B47" s="885"/>
      <c r="C47" s="835"/>
      <c r="D47" s="885"/>
      <c r="E47" s="435"/>
      <c r="F47" s="435"/>
      <c r="G47" s="435"/>
      <c r="H47" s="870"/>
      <c r="I47" s="871"/>
      <c r="J47" s="864"/>
      <c r="K47" s="863"/>
      <c r="L47" s="863"/>
      <c r="M47" s="863"/>
      <c r="N47" s="863"/>
      <c r="O47" s="863"/>
      <c r="P47" s="863"/>
      <c r="Q47" s="863"/>
      <c r="R47" s="863"/>
      <c r="S47" s="863"/>
      <c r="T47" s="864"/>
      <c r="U47" s="864"/>
      <c r="V47" s="864"/>
      <c r="W47" s="864"/>
      <c r="X47" s="864"/>
      <c r="Y47" s="864"/>
      <c r="Z47" s="864"/>
      <c r="AA47" s="864"/>
      <c r="AB47" s="864"/>
      <c r="AC47" s="864"/>
      <c r="AD47" s="864"/>
      <c r="AE47" s="864"/>
      <c r="AF47" s="864"/>
      <c r="AG47" s="864"/>
      <c r="AH47" s="864"/>
      <c r="AI47" s="864"/>
      <c r="AJ47" s="864"/>
      <c r="AK47" s="864"/>
      <c r="AL47" s="864"/>
      <c r="AM47" s="864"/>
      <c r="AN47" s="435"/>
      <c r="AO47" s="864"/>
      <c r="AP47" s="864"/>
      <c r="AQ47" s="864"/>
      <c r="AR47" s="864"/>
      <c r="AS47" s="864"/>
      <c r="AT47" s="864"/>
      <c r="AU47" s="864"/>
      <c r="AV47" s="864"/>
      <c r="AW47" s="864"/>
      <c r="AX47" s="864"/>
      <c r="AY47" s="864"/>
      <c r="AZ47" s="864"/>
      <c r="BA47" s="864"/>
      <c r="BB47" s="864"/>
      <c r="BC47" s="864"/>
      <c r="BD47" s="864"/>
      <c r="BE47" s="864"/>
      <c r="BF47" s="864"/>
      <c r="BG47" s="864"/>
      <c r="BH47" s="864"/>
      <c r="BI47" s="864"/>
      <c r="BJ47" s="864"/>
      <c r="BK47" s="864"/>
      <c r="BL47" s="864"/>
      <c r="BM47" s="864"/>
      <c r="BN47" s="864"/>
      <c r="BO47" s="864"/>
      <c r="BP47" s="864"/>
      <c r="BQ47" s="864"/>
      <c r="BR47" s="864"/>
      <c r="BS47" s="864"/>
      <c r="BT47" s="864"/>
      <c r="BU47" s="864"/>
      <c r="BV47" s="863"/>
      <c r="BW47" s="864"/>
      <c r="BX47" s="864"/>
      <c r="BY47" s="864"/>
      <c r="BZ47" s="864"/>
      <c r="CA47" s="864"/>
      <c r="CB47" s="864"/>
      <c r="CC47" s="864"/>
      <c r="CD47" s="864"/>
      <c r="CE47" s="864"/>
      <c r="CF47" s="864"/>
      <c r="CG47" s="864"/>
      <c r="CH47" s="864"/>
      <c r="CI47" s="863"/>
      <c r="CJ47" s="863"/>
      <c r="CK47" s="863"/>
      <c r="CL47" s="863"/>
      <c r="CM47" s="863"/>
      <c r="CN47" s="863"/>
      <c r="CO47" s="863"/>
      <c r="CP47" s="863"/>
      <c r="CQ47" s="863"/>
      <c r="CR47" s="863"/>
      <c r="CS47" s="863"/>
      <c r="CT47" s="863"/>
      <c r="CU47" s="863"/>
      <c r="CV47" s="863"/>
      <c r="CW47" s="863"/>
      <c r="CX47" s="863"/>
      <c r="CY47" s="863"/>
      <c r="CZ47" s="863"/>
      <c r="DA47" s="863"/>
      <c r="DB47" s="863"/>
      <c r="DC47" s="863"/>
      <c r="DD47" s="863"/>
      <c r="DE47" s="863"/>
      <c r="DF47" s="863"/>
      <c r="DG47" s="863"/>
      <c r="DH47" s="863"/>
      <c r="DI47" s="863"/>
      <c r="DJ47" s="863"/>
      <c r="DK47" s="863"/>
      <c r="DL47" s="866"/>
      <c r="DN47" s="409"/>
      <c r="DO47" s="409"/>
      <c r="DP47" s="409"/>
      <c r="DQ47" s="409"/>
      <c r="DR47" s="409"/>
      <c r="DS47" s="409"/>
      <c r="DT47" s="409"/>
      <c r="DU47" s="409"/>
      <c r="DV47" s="409"/>
      <c r="DW47" s="409"/>
      <c r="DX47" s="409"/>
      <c r="DY47" s="409"/>
      <c r="DZ47" s="409"/>
      <c r="EA47" s="409"/>
      <c r="EB47" s="409"/>
      <c r="EC47" s="409"/>
      <c r="ED47" s="409"/>
      <c r="EE47" s="409"/>
      <c r="EF47" s="409"/>
      <c r="EG47" s="409"/>
      <c r="EH47" s="409"/>
      <c r="EI47" s="409"/>
      <c r="EJ47" s="409"/>
      <c r="EK47" s="409"/>
      <c r="EL47" s="409"/>
      <c r="EM47" s="409"/>
      <c r="EN47" s="409"/>
      <c r="EO47" s="409"/>
      <c r="EP47" s="409"/>
      <c r="EQ47" s="409"/>
      <c r="ER47" s="409"/>
      <c r="ES47" s="409"/>
      <c r="ET47" s="409"/>
      <c r="EU47" s="409"/>
      <c r="EV47" s="409"/>
      <c r="EW47" s="409"/>
      <c r="EX47" s="409"/>
      <c r="EY47" s="409"/>
      <c r="EZ47" s="409"/>
      <c r="FA47" s="409"/>
      <c r="FB47" s="409"/>
      <c r="FC47" s="409"/>
      <c r="FD47" s="409"/>
      <c r="FE47" s="409"/>
      <c r="FF47" s="409"/>
      <c r="FG47" s="409"/>
      <c r="FH47" s="409"/>
      <c r="FI47" s="409"/>
      <c r="FJ47" s="409"/>
      <c r="FK47" s="409"/>
      <c r="FL47" s="409"/>
      <c r="FM47" s="409"/>
      <c r="FN47" s="409"/>
      <c r="FO47" s="409"/>
      <c r="FP47" s="409"/>
      <c r="FQ47" s="409"/>
      <c r="FR47" s="409"/>
      <c r="FS47" s="409"/>
      <c r="FT47" s="409"/>
      <c r="FU47" s="409"/>
      <c r="FV47" s="409"/>
      <c r="FW47" s="409"/>
      <c r="FX47" s="409"/>
      <c r="FY47" s="409"/>
      <c r="FZ47" s="409"/>
      <c r="GA47" s="409"/>
      <c r="GB47" s="409"/>
      <c r="GC47" s="409"/>
      <c r="GD47" s="409"/>
      <c r="GE47" s="409"/>
      <c r="GF47" s="409"/>
      <c r="GG47" s="409"/>
      <c r="GH47" s="409"/>
      <c r="GI47" s="409"/>
      <c r="GJ47" s="409"/>
      <c r="GK47" s="409"/>
      <c r="GL47" s="409"/>
      <c r="GM47" s="409"/>
      <c r="GN47" s="409"/>
      <c r="GO47" s="409"/>
      <c r="GP47" s="409"/>
      <c r="GQ47" s="409"/>
      <c r="GR47" s="409"/>
      <c r="GS47" s="409"/>
      <c r="GT47" s="409"/>
      <c r="GU47" s="409"/>
      <c r="GV47" s="409"/>
      <c r="GW47" s="409"/>
      <c r="GX47" s="409"/>
      <c r="GY47" s="409"/>
      <c r="GZ47" s="409"/>
      <c r="HA47" s="409"/>
      <c r="HB47" s="409"/>
      <c r="HC47" s="409"/>
      <c r="HD47" s="409"/>
      <c r="HE47" s="409"/>
      <c r="HF47" s="409"/>
      <c r="HG47" s="409"/>
      <c r="HH47" s="409"/>
      <c r="HI47" s="409"/>
      <c r="HJ47" s="409"/>
      <c r="HK47" s="409"/>
      <c r="HL47" s="409"/>
      <c r="HM47" s="409"/>
      <c r="HN47" s="409"/>
      <c r="HO47" s="409"/>
      <c r="HP47" s="409"/>
      <c r="HQ47" s="409"/>
      <c r="HR47" s="409"/>
      <c r="HS47" s="409"/>
      <c r="HT47" s="409"/>
      <c r="HU47" s="409"/>
      <c r="HV47" s="409"/>
      <c r="HW47" s="409"/>
      <c r="HX47" s="409"/>
      <c r="HY47" s="409"/>
      <c r="HZ47" s="409"/>
      <c r="IA47" s="409"/>
      <c r="IB47" s="409"/>
      <c r="IC47" s="409"/>
      <c r="ID47" s="409"/>
      <c r="IE47" s="409"/>
      <c r="IF47" s="409"/>
      <c r="IG47" s="409"/>
      <c r="IH47" s="409"/>
      <c r="II47" s="409"/>
      <c r="IJ47" s="409"/>
      <c r="IK47" s="409"/>
      <c r="IL47" s="409"/>
      <c r="IM47" s="409"/>
      <c r="IN47" s="409"/>
      <c r="IO47" s="409"/>
      <c r="IP47" s="409"/>
      <c r="IQ47" s="409"/>
      <c r="IR47" s="409"/>
      <c r="IS47" s="409"/>
      <c r="IT47" s="409"/>
      <c r="IU47" s="409"/>
      <c r="IV47" s="409"/>
      <c r="IW47" s="409"/>
      <c r="IX47" s="409"/>
      <c r="IY47" s="409"/>
      <c r="IZ47" s="409"/>
      <c r="JA47" s="409"/>
      <c r="JB47" s="409"/>
      <c r="JC47" s="409"/>
      <c r="JD47" s="409"/>
    </row>
    <row r="48" spans="1:264" s="867" customFormat="1" ht="13.8" outlineLevel="1">
      <c r="A48" s="895"/>
      <c r="B48" s="885"/>
      <c r="C48" s="835"/>
      <c r="D48" s="885"/>
      <c r="E48" s="435"/>
      <c r="F48" s="435"/>
      <c r="G48" s="435"/>
      <c r="H48" s="870"/>
      <c r="I48" s="871"/>
      <c r="J48" s="864"/>
      <c r="K48" s="863"/>
      <c r="L48" s="863"/>
      <c r="M48" s="863"/>
      <c r="N48" s="863"/>
      <c r="O48" s="863"/>
      <c r="P48" s="863"/>
      <c r="Q48" s="863"/>
      <c r="R48" s="863"/>
      <c r="S48" s="863"/>
      <c r="T48" s="864"/>
      <c r="U48" s="864"/>
      <c r="V48" s="864"/>
      <c r="W48" s="864"/>
      <c r="X48" s="864"/>
      <c r="Y48" s="864"/>
      <c r="Z48" s="864"/>
      <c r="AA48" s="864"/>
      <c r="AB48" s="864"/>
      <c r="AC48" s="864"/>
      <c r="AD48" s="864"/>
      <c r="AE48" s="864"/>
      <c r="AF48" s="864"/>
      <c r="AG48" s="864"/>
      <c r="AH48" s="864"/>
      <c r="AI48" s="864"/>
      <c r="AJ48" s="864"/>
      <c r="AK48" s="864"/>
      <c r="AL48" s="864"/>
      <c r="AM48" s="864"/>
      <c r="AN48" s="435"/>
      <c r="AO48" s="864"/>
      <c r="AP48" s="864"/>
      <c r="AQ48" s="864"/>
      <c r="AR48" s="864"/>
      <c r="AS48" s="864"/>
      <c r="AT48" s="864"/>
      <c r="AU48" s="864"/>
      <c r="AV48" s="864"/>
      <c r="AW48" s="864"/>
      <c r="AX48" s="864"/>
      <c r="AY48" s="864"/>
      <c r="AZ48" s="864"/>
      <c r="BA48" s="864"/>
      <c r="BB48" s="864"/>
      <c r="BC48" s="864"/>
      <c r="BD48" s="864"/>
      <c r="BE48" s="864"/>
      <c r="BF48" s="864"/>
      <c r="BG48" s="864"/>
      <c r="BH48" s="864"/>
      <c r="BI48" s="864"/>
      <c r="BJ48" s="864"/>
      <c r="BK48" s="864"/>
      <c r="BL48" s="864"/>
      <c r="BM48" s="864"/>
      <c r="BN48" s="864"/>
      <c r="BO48" s="864"/>
      <c r="BP48" s="864"/>
      <c r="BQ48" s="864"/>
      <c r="BR48" s="864"/>
      <c r="BS48" s="864"/>
      <c r="BT48" s="864"/>
      <c r="BU48" s="864"/>
      <c r="BV48" s="863"/>
      <c r="BW48" s="864"/>
      <c r="BX48" s="864"/>
      <c r="BY48" s="864"/>
      <c r="BZ48" s="864"/>
      <c r="CA48" s="864"/>
      <c r="CB48" s="864"/>
      <c r="CC48" s="864"/>
      <c r="CD48" s="864"/>
      <c r="CE48" s="864"/>
      <c r="CF48" s="864"/>
      <c r="CG48" s="864"/>
      <c r="CH48" s="864"/>
      <c r="CI48" s="863"/>
      <c r="CJ48" s="863"/>
      <c r="CK48" s="863"/>
      <c r="CL48" s="863"/>
      <c r="CM48" s="863"/>
      <c r="CN48" s="863"/>
      <c r="CO48" s="863"/>
      <c r="CP48" s="863"/>
      <c r="CQ48" s="863"/>
      <c r="CR48" s="863"/>
      <c r="CS48" s="863"/>
      <c r="CT48" s="863"/>
      <c r="CU48" s="863"/>
      <c r="CV48" s="863"/>
      <c r="CW48" s="863"/>
      <c r="CX48" s="863"/>
      <c r="CY48" s="863"/>
      <c r="CZ48" s="863"/>
      <c r="DA48" s="863"/>
      <c r="DB48" s="863"/>
      <c r="DC48" s="863"/>
      <c r="DD48" s="863"/>
      <c r="DE48" s="863"/>
      <c r="DF48" s="863"/>
      <c r="DG48" s="863"/>
      <c r="DH48" s="863"/>
      <c r="DI48" s="863"/>
      <c r="DJ48" s="863"/>
      <c r="DK48" s="863"/>
      <c r="DL48" s="866"/>
      <c r="DN48" s="409"/>
      <c r="DO48" s="409"/>
      <c r="DP48" s="409"/>
      <c r="DQ48" s="409"/>
      <c r="DR48" s="409"/>
      <c r="DS48" s="409"/>
      <c r="DT48" s="409"/>
      <c r="DU48" s="409"/>
      <c r="DV48" s="409"/>
      <c r="DW48" s="409"/>
      <c r="DX48" s="409"/>
      <c r="DY48" s="409"/>
      <c r="DZ48" s="409"/>
      <c r="EA48" s="409"/>
      <c r="EB48" s="409"/>
      <c r="EC48" s="409"/>
      <c r="ED48" s="409"/>
      <c r="EE48" s="409"/>
      <c r="EF48" s="409"/>
      <c r="EG48" s="409"/>
      <c r="EH48" s="409"/>
      <c r="EI48" s="409"/>
      <c r="EJ48" s="409"/>
      <c r="EK48" s="409"/>
      <c r="EL48" s="409"/>
      <c r="EM48" s="409"/>
      <c r="EN48" s="409"/>
      <c r="EO48" s="409"/>
      <c r="EP48" s="409"/>
      <c r="EQ48" s="409"/>
      <c r="ER48" s="409"/>
      <c r="ES48" s="409"/>
      <c r="ET48" s="409"/>
      <c r="EU48" s="409"/>
      <c r="EV48" s="409"/>
      <c r="EW48" s="409"/>
      <c r="EX48" s="409"/>
      <c r="EY48" s="409"/>
      <c r="EZ48" s="409"/>
      <c r="FA48" s="409"/>
      <c r="FB48" s="409"/>
      <c r="FC48" s="409"/>
      <c r="FD48" s="409"/>
      <c r="FE48" s="409"/>
      <c r="FF48" s="409"/>
      <c r="FG48" s="409"/>
      <c r="FH48" s="409"/>
      <c r="FI48" s="409"/>
      <c r="FJ48" s="409"/>
      <c r="FK48" s="409"/>
      <c r="FL48" s="409"/>
      <c r="FM48" s="409"/>
      <c r="FN48" s="409"/>
      <c r="FO48" s="409"/>
      <c r="FP48" s="409"/>
      <c r="FQ48" s="409"/>
      <c r="FR48" s="409"/>
      <c r="FS48" s="409"/>
      <c r="FT48" s="409"/>
      <c r="FU48" s="409"/>
      <c r="FV48" s="409"/>
      <c r="FW48" s="409"/>
      <c r="FX48" s="409"/>
      <c r="FY48" s="409"/>
      <c r="FZ48" s="409"/>
      <c r="GA48" s="409"/>
      <c r="GB48" s="409"/>
      <c r="GC48" s="409"/>
      <c r="GD48" s="409"/>
      <c r="GE48" s="409"/>
      <c r="GF48" s="409"/>
      <c r="GG48" s="409"/>
      <c r="GH48" s="409"/>
      <c r="GI48" s="409"/>
      <c r="GJ48" s="409"/>
      <c r="GK48" s="409"/>
      <c r="GL48" s="409"/>
      <c r="GM48" s="409"/>
      <c r="GN48" s="409"/>
      <c r="GO48" s="409"/>
      <c r="GP48" s="409"/>
      <c r="GQ48" s="409"/>
      <c r="GR48" s="409"/>
      <c r="GS48" s="409"/>
      <c r="GT48" s="409"/>
      <c r="GU48" s="409"/>
      <c r="GV48" s="409"/>
      <c r="GW48" s="409"/>
      <c r="GX48" s="409"/>
      <c r="GY48" s="409"/>
      <c r="GZ48" s="409"/>
      <c r="HA48" s="409"/>
      <c r="HB48" s="409"/>
      <c r="HC48" s="409"/>
      <c r="HD48" s="409"/>
      <c r="HE48" s="409"/>
      <c r="HF48" s="409"/>
      <c r="HG48" s="409"/>
      <c r="HH48" s="409"/>
      <c r="HI48" s="409"/>
      <c r="HJ48" s="409"/>
      <c r="HK48" s="409"/>
      <c r="HL48" s="409"/>
      <c r="HM48" s="409"/>
      <c r="HN48" s="409"/>
      <c r="HO48" s="409"/>
      <c r="HP48" s="409"/>
      <c r="HQ48" s="409"/>
      <c r="HR48" s="409"/>
      <c r="HS48" s="409"/>
      <c r="HT48" s="409"/>
      <c r="HU48" s="409"/>
      <c r="HV48" s="409"/>
      <c r="HW48" s="409"/>
      <c r="HX48" s="409"/>
      <c r="HY48" s="409"/>
      <c r="HZ48" s="409"/>
      <c r="IA48" s="409"/>
      <c r="IB48" s="409"/>
      <c r="IC48" s="409"/>
      <c r="ID48" s="409"/>
      <c r="IE48" s="409"/>
      <c r="IF48" s="409"/>
      <c r="IG48" s="409"/>
      <c r="IH48" s="409"/>
      <c r="II48" s="409"/>
      <c r="IJ48" s="409"/>
      <c r="IK48" s="409"/>
      <c r="IL48" s="409"/>
      <c r="IM48" s="409"/>
      <c r="IN48" s="409"/>
      <c r="IO48" s="409"/>
      <c r="IP48" s="409"/>
      <c r="IQ48" s="409"/>
      <c r="IR48" s="409"/>
      <c r="IS48" s="409"/>
      <c r="IT48" s="409"/>
      <c r="IU48" s="409"/>
      <c r="IV48" s="409"/>
      <c r="IW48" s="409"/>
      <c r="IX48" s="409"/>
      <c r="IY48" s="409"/>
      <c r="IZ48" s="409"/>
      <c r="JA48" s="409"/>
      <c r="JB48" s="409"/>
      <c r="JC48" s="409"/>
      <c r="JD48" s="409"/>
    </row>
    <row r="49" spans="1:264" s="867" customFormat="1" ht="13.8" outlineLevel="1">
      <c r="A49" s="895"/>
      <c r="B49" s="885"/>
      <c r="C49" s="835"/>
      <c r="D49" s="885"/>
      <c r="E49" s="435"/>
      <c r="F49" s="435"/>
      <c r="G49" s="435"/>
      <c r="H49" s="870"/>
      <c r="I49" s="871"/>
      <c r="J49" s="864"/>
      <c r="K49" s="863"/>
      <c r="L49" s="863"/>
      <c r="M49" s="863"/>
      <c r="N49" s="863"/>
      <c r="O49" s="863"/>
      <c r="P49" s="863"/>
      <c r="Q49" s="863"/>
      <c r="R49" s="863"/>
      <c r="S49" s="863"/>
      <c r="T49" s="864"/>
      <c r="U49" s="864"/>
      <c r="V49" s="864"/>
      <c r="W49" s="864"/>
      <c r="X49" s="864"/>
      <c r="Y49" s="864"/>
      <c r="Z49" s="864"/>
      <c r="AA49" s="864"/>
      <c r="AB49" s="864"/>
      <c r="AC49" s="864"/>
      <c r="AD49" s="864"/>
      <c r="AE49" s="864"/>
      <c r="AF49" s="864"/>
      <c r="AG49" s="864"/>
      <c r="AH49" s="864"/>
      <c r="AI49" s="864"/>
      <c r="AJ49" s="864"/>
      <c r="AK49" s="864"/>
      <c r="AL49" s="864"/>
      <c r="AM49" s="864"/>
      <c r="AN49" s="435"/>
      <c r="AO49" s="864"/>
      <c r="AP49" s="864"/>
      <c r="AQ49" s="864"/>
      <c r="AR49" s="864"/>
      <c r="AS49" s="864"/>
      <c r="AT49" s="864"/>
      <c r="AU49" s="864"/>
      <c r="AV49" s="864"/>
      <c r="AW49" s="864"/>
      <c r="AX49" s="864"/>
      <c r="AY49" s="864"/>
      <c r="AZ49" s="864"/>
      <c r="BA49" s="864"/>
      <c r="BB49" s="864"/>
      <c r="BC49" s="864"/>
      <c r="BD49" s="864"/>
      <c r="BE49" s="864"/>
      <c r="BF49" s="864"/>
      <c r="BG49" s="864"/>
      <c r="BH49" s="864"/>
      <c r="BI49" s="864"/>
      <c r="BJ49" s="864"/>
      <c r="BK49" s="864"/>
      <c r="BL49" s="864"/>
      <c r="BM49" s="864"/>
      <c r="BN49" s="864"/>
      <c r="BO49" s="864"/>
      <c r="BP49" s="864"/>
      <c r="BQ49" s="864"/>
      <c r="BR49" s="864"/>
      <c r="BS49" s="864"/>
      <c r="BT49" s="864"/>
      <c r="BU49" s="864"/>
      <c r="BV49" s="863"/>
      <c r="BW49" s="864"/>
      <c r="BX49" s="864"/>
      <c r="BY49" s="864"/>
      <c r="BZ49" s="864"/>
      <c r="CA49" s="864"/>
      <c r="CB49" s="864"/>
      <c r="CC49" s="864"/>
      <c r="CD49" s="864"/>
      <c r="CE49" s="864"/>
      <c r="CF49" s="864"/>
      <c r="CG49" s="864"/>
      <c r="CH49" s="864"/>
      <c r="CI49" s="863"/>
      <c r="CJ49" s="863"/>
      <c r="CK49" s="863"/>
      <c r="CL49" s="863"/>
      <c r="CM49" s="863"/>
      <c r="CN49" s="863"/>
      <c r="CO49" s="863"/>
      <c r="CP49" s="863"/>
      <c r="CQ49" s="863"/>
      <c r="CR49" s="863"/>
      <c r="CS49" s="863"/>
      <c r="CT49" s="863"/>
      <c r="CU49" s="863"/>
      <c r="CV49" s="863"/>
      <c r="CW49" s="863"/>
      <c r="CX49" s="863"/>
      <c r="CY49" s="863"/>
      <c r="CZ49" s="863"/>
      <c r="DA49" s="863"/>
      <c r="DB49" s="863"/>
      <c r="DC49" s="863"/>
      <c r="DD49" s="863"/>
      <c r="DE49" s="863"/>
      <c r="DF49" s="863"/>
      <c r="DG49" s="863"/>
      <c r="DH49" s="863"/>
      <c r="DI49" s="863"/>
      <c r="DJ49" s="863"/>
      <c r="DK49" s="863"/>
      <c r="DL49" s="866"/>
      <c r="DN49" s="409"/>
      <c r="DO49" s="409"/>
      <c r="DP49" s="409"/>
      <c r="DQ49" s="409"/>
      <c r="DR49" s="409"/>
      <c r="DS49" s="409"/>
      <c r="DT49" s="409"/>
      <c r="DU49" s="409"/>
      <c r="DV49" s="409"/>
      <c r="DW49" s="409"/>
      <c r="DX49" s="409"/>
      <c r="DY49" s="409"/>
      <c r="DZ49" s="409"/>
      <c r="EA49" s="409"/>
      <c r="EB49" s="409"/>
      <c r="EC49" s="409"/>
      <c r="ED49" s="409"/>
      <c r="EE49" s="409"/>
      <c r="EF49" s="409"/>
      <c r="EG49" s="409"/>
      <c r="EH49" s="409"/>
      <c r="EI49" s="409"/>
      <c r="EJ49" s="409"/>
      <c r="EK49" s="409"/>
      <c r="EL49" s="409"/>
      <c r="EM49" s="409"/>
      <c r="EN49" s="409"/>
      <c r="EO49" s="409"/>
      <c r="EP49" s="409"/>
      <c r="EQ49" s="409"/>
      <c r="ER49" s="409"/>
      <c r="ES49" s="409"/>
      <c r="ET49" s="409"/>
      <c r="EU49" s="409"/>
      <c r="EV49" s="409"/>
      <c r="EW49" s="409"/>
      <c r="EX49" s="409"/>
      <c r="EY49" s="409"/>
      <c r="EZ49" s="409"/>
      <c r="FA49" s="409"/>
      <c r="FB49" s="409"/>
      <c r="FC49" s="409"/>
      <c r="FD49" s="409"/>
      <c r="FE49" s="409"/>
      <c r="FF49" s="409"/>
      <c r="FG49" s="409"/>
      <c r="FH49" s="409"/>
      <c r="FI49" s="409"/>
      <c r="FJ49" s="409"/>
      <c r="FK49" s="409"/>
      <c r="FL49" s="409"/>
      <c r="FM49" s="409"/>
      <c r="FN49" s="409"/>
      <c r="FO49" s="409"/>
      <c r="FP49" s="409"/>
      <c r="FQ49" s="409"/>
      <c r="FR49" s="409"/>
      <c r="FS49" s="409"/>
      <c r="FT49" s="409"/>
      <c r="FU49" s="409"/>
      <c r="FV49" s="409"/>
      <c r="FW49" s="409"/>
      <c r="FX49" s="409"/>
      <c r="FY49" s="409"/>
      <c r="FZ49" s="409"/>
      <c r="GA49" s="409"/>
      <c r="GB49" s="409"/>
      <c r="GC49" s="409"/>
      <c r="GD49" s="409"/>
      <c r="GE49" s="409"/>
      <c r="GF49" s="409"/>
      <c r="GG49" s="409"/>
      <c r="GH49" s="409"/>
      <c r="GI49" s="409"/>
      <c r="GJ49" s="409"/>
      <c r="GK49" s="409"/>
      <c r="GL49" s="409"/>
      <c r="GM49" s="409"/>
      <c r="GN49" s="409"/>
      <c r="GO49" s="409"/>
      <c r="GP49" s="409"/>
      <c r="GQ49" s="409"/>
      <c r="GR49" s="409"/>
      <c r="GS49" s="409"/>
      <c r="GT49" s="409"/>
      <c r="GU49" s="409"/>
      <c r="GV49" s="409"/>
      <c r="GW49" s="409"/>
      <c r="GX49" s="409"/>
      <c r="GY49" s="409"/>
      <c r="GZ49" s="409"/>
      <c r="HA49" s="409"/>
      <c r="HB49" s="409"/>
      <c r="HC49" s="409"/>
      <c r="HD49" s="409"/>
      <c r="HE49" s="409"/>
      <c r="HF49" s="409"/>
      <c r="HG49" s="409"/>
      <c r="HH49" s="409"/>
      <c r="HI49" s="409"/>
      <c r="HJ49" s="409"/>
      <c r="HK49" s="409"/>
      <c r="HL49" s="409"/>
      <c r="HM49" s="409"/>
      <c r="HN49" s="409"/>
      <c r="HO49" s="409"/>
      <c r="HP49" s="409"/>
      <c r="HQ49" s="409"/>
      <c r="HR49" s="409"/>
      <c r="HS49" s="409"/>
      <c r="HT49" s="409"/>
      <c r="HU49" s="409"/>
      <c r="HV49" s="409"/>
      <c r="HW49" s="409"/>
      <c r="HX49" s="409"/>
      <c r="HY49" s="409"/>
      <c r="HZ49" s="409"/>
      <c r="IA49" s="409"/>
      <c r="IB49" s="409"/>
      <c r="IC49" s="409"/>
      <c r="ID49" s="409"/>
      <c r="IE49" s="409"/>
      <c r="IF49" s="409"/>
      <c r="IG49" s="409"/>
      <c r="IH49" s="409"/>
      <c r="II49" s="409"/>
      <c r="IJ49" s="409"/>
      <c r="IK49" s="409"/>
      <c r="IL49" s="409"/>
      <c r="IM49" s="409"/>
      <c r="IN49" s="409"/>
      <c r="IO49" s="409"/>
      <c r="IP49" s="409"/>
      <c r="IQ49" s="409"/>
      <c r="IR49" s="409"/>
      <c r="IS49" s="409"/>
      <c r="IT49" s="409"/>
      <c r="IU49" s="409"/>
      <c r="IV49" s="409"/>
      <c r="IW49" s="409"/>
      <c r="IX49" s="409"/>
      <c r="IY49" s="409"/>
      <c r="IZ49" s="409"/>
      <c r="JA49" s="409"/>
      <c r="JB49" s="409"/>
      <c r="JC49" s="409"/>
      <c r="JD49" s="409"/>
    </row>
    <row r="50" spans="1:264" s="867" customFormat="1" ht="13.8" outlineLevel="1">
      <c r="A50" s="895"/>
      <c r="B50" s="885"/>
      <c r="C50" s="835"/>
      <c r="D50" s="885"/>
      <c r="E50" s="435"/>
      <c r="F50" s="435"/>
      <c r="G50" s="435"/>
      <c r="H50" s="870"/>
      <c r="I50" s="871"/>
      <c r="J50" s="864"/>
      <c r="K50" s="863"/>
      <c r="L50" s="863"/>
      <c r="M50" s="863"/>
      <c r="N50" s="863"/>
      <c r="O50" s="863"/>
      <c r="P50" s="863"/>
      <c r="Q50" s="863"/>
      <c r="R50" s="863"/>
      <c r="S50" s="863"/>
      <c r="T50" s="864"/>
      <c r="U50" s="864"/>
      <c r="V50" s="864"/>
      <c r="W50" s="864"/>
      <c r="X50" s="864"/>
      <c r="Y50" s="864"/>
      <c r="Z50" s="864"/>
      <c r="AA50" s="864"/>
      <c r="AB50" s="864"/>
      <c r="AC50" s="864"/>
      <c r="AD50" s="864"/>
      <c r="AE50" s="864"/>
      <c r="AF50" s="864"/>
      <c r="AG50" s="864"/>
      <c r="AH50" s="864"/>
      <c r="AI50" s="864"/>
      <c r="AJ50" s="864"/>
      <c r="AK50" s="864"/>
      <c r="AL50" s="864"/>
      <c r="AM50" s="864"/>
      <c r="AN50" s="435"/>
      <c r="AO50" s="864"/>
      <c r="AP50" s="864"/>
      <c r="AQ50" s="864"/>
      <c r="AR50" s="864"/>
      <c r="AS50" s="864"/>
      <c r="AT50" s="864"/>
      <c r="AU50" s="864"/>
      <c r="AV50" s="864"/>
      <c r="AW50" s="864"/>
      <c r="AX50" s="864"/>
      <c r="AY50" s="864"/>
      <c r="AZ50" s="864"/>
      <c r="BA50" s="864"/>
      <c r="BB50" s="864"/>
      <c r="BC50" s="864"/>
      <c r="BD50" s="864"/>
      <c r="BE50" s="864"/>
      <c r="BF50" s="864"/>
      <c r="BG50" s="864"/>
      <c r="BH50" s="864"/>
      <c r="BI50" s="864"/>
      <c r="BJ50" s="864"/>
      <c r="BK50" s="864"/>
      <c r="BL50" s="864"/>
      <c r="BM50" s="864"/>
      <c r="BN50" s="864"/>
      <c r="BO50" s="864"/>
      <c r="BP50" s="864"/>
      <c r="BQ50" s="864"/>
      <c r="BR50" s="864"/>
      <c r="BS50" s="864"/>
      <c r="BT50" s="864"/>
      <c r="BU50" s="864"/>
      <c r="BV50" s="863"/>
      <c r="BW50" s="864"/>
      <c r="BX50" s="864"/>
      <c r="BY50" s="864"/>
      <c r="BZ50" s="864"/>
      <c r="CA50" s="864"/>
      <c r="CB50" s="864"/>
      <c r="CC50" s="864"/>
      <c r="CD50" s="864"/>
      <c r="CE50" s="864"/>
      <c r="CF50" s="864"/>
      <c r="CG50" s="864"/>
      <c r="CH50" s="864"/>
      <c r="CI50" s="863"/>
      <c r="CJ50" s="863"/>
      <c r="CK50" s="863"/>
      <c r="CL50" s="863"/>
      <c r="CM50" s="863"/>
      <c r="CN50" s="863"/>
      <c r="CO50" s="863"/>
      <c r="CP50" s="863"/>
      <c r="CQ50" s="863"/>
      <c r="CR50" s="863"/>
      <c r="CS50" s="863"/>
      <c r="CT50" s="863"/>
      <c r="CU50" s="863"/>
      <c r="CV50" s="863"/>
      <c r="CW50" s="863"/>
      <c r="CX50" s="863"/>
      <c r="CY50" s="863"/>
      <c r="CZ50" s="863"/>
      <c r="DA50" s="863"/>
      <c r="DB50" s="863"/>
      <c r="DC50" s="863"/>
      <c r="DD50" s="863"/>
      <c r="DE50" s="863"/>
      <c r="DF50" s="863"/>
      <c r="DG50" s="863"/>
      <c r="DH50" s="863"/>
      <c r="DI50" s="863"/>
      <c r="DJ50" s="863"/>
      <c r="DK50" s="863"/>
      <c r="DL50" s="866"/>
      <c r="DN50" s="409"/>
      <c r="DO50" s="409"/>
      <c r="DP50" s="409"/>
      <c r="DQ50" s="409"/>
      <c r="DR50" s="409"/>
      <c r="DS50" s="409"/>
      <c r="DT50" s="409"/>
      <c r="DU50" s="409"/>
      <c r="DV50" s="409"/>
      <c r="DW50" s="409"/>
      <c r="DX50" s="409"/>
      <c r="DY50" s="409"/>
      <c r="DZ50" s="409"/>
      <c r="EA50" s="409"/>
      <c r="EB50" s="409"/>
      <c r="EC50" s="409"/>
      <c r="ED50" s="409"/>
      <c r="EE50" s="409"/>
      <c r="EF50" s="409"/>
      <c r="EG50" s="409"/>
      <c r="EH50" s="409"/>
      <c r="EI50" s="409"/>
      <c r="EJ50" s="409"/>
      <c r="EK50" s="409"/>
      <c r="EL50" s="409"/>
      <c r="EM50" s="409"/>
      <c r="EN50" s="409"/>
      <c r="EO50" s="409"/>
      <c r="EP50" s="409"/>
      <c r="EQ50" s="409"/>
      <c r="ER50" s="409"/>
      <c r="ES50" s="409"/>
      <c r="ET50" s="409"/>
      <c r="EU50" s="409"/>
      <c r="EV50" s="409"/>
      <c r="EW50" s="409"/>
      <c r="EX50" s="409"/>
      <c r="EY50" s="409"/>
      <c r="EZ50" s="409"/>
      <c r="FA50" s="409"/>
      <c r="FB50" s="409"/>
      <c r="FC50" s="409"/>
      <c r="FD50" s="409"/>
      <c r="FE50" s="409"/>
      <c r="FF50" s="409"/>
      <c r="FG50" s="409"/>
      <c r="FH50" s="409"/>
      <c r="FI50" s="409"/>
      <c r="FJ50" s="409"/>
      <c r="FK50" s="409"/>
      <c r="FL50" s="409"/>
      <c r="FM50" s="409"/>
      <c r="FN50" s="409"/>
      <c r="FO50" s="409"/>
      <c r="FP50" s="409"/>
      <c r="FQ50" s="409"/>
      <c r="FR50" s="409"/>
      <c r="FS50" s="409"/>
      <c r="FT50" s="409"/>
      <c r="FU50" s="409"/>
      <c r="FV50" s="409"/>
      <c r="FW50" s="409"/>
      <c r="FX50" s="409"/>
      <c r="FY50" s="409"/>
      <c r="FZ50" s="409"/>
      <c r="GA50" s="409"/>
      <c r="GB50" s="409"/>
      <c r="GC50" s="409"/>
      <c r="GD50" s="409"/>
      <c r="GE50" s="409"/>
      <c r="GF50" s="409"/>
      <c r="GG50" s="409"/>
      <c r="GH50" s="409"/>
      <c r="GI50" s="409"/>
      <c r="GJ50" s="409"/>
      <c r="GK50" s="409"/>
      <c r="GL50" s="409"/>
      <c r="GM50" s="409"/>
      <c r="GN50" s="409"/>
      <c r="GO50" s="409"/>
      <c r="GP50" s="409"/>
      <c r="GQ50" s="409"/>
      <c r="GR50" s="409"/>
      <c r="GS50" s="409"/>
      <c r="GT50" s="409"/>
      <c r="GU50" s="409"/>
      <c r="GV50" s="409"/>
      <c r="GW50" s="409"/>
      <c r="GX50" s="409"/>
      <c r="GY50" s="409"/>
      <c r="GZ50" s="409"/>
      <c r="HA50" s="409"/>
      <c r="HB50" s="409"/>
      <c r="HC50" s="409"/>
      <c r="HD50" s="409"/>
      <c r="HE50" s="409"/>
      <c r="HF50" s="409"/>
      <c r="HG50" s="409"/>
      <c r="HH50" s="409"/>
      <c r="HI50" s="409"/>
      <c r="HJ50" s="409"/>
      <c r="HK50" s="409"/>
      <c r="HL50" s="409"/>
      <c r="HM50" s="409"/>
      <c r="HN50" s="409"/>
      <c r="HO50" s="409"/>
      <c r="HP50" s="409"/>
      <c r="HQ50" s="409"/>
      <c r="HR50" s="409"/>
      <c r="HS50" s="409"/>
      <c r="HT50" s="409"/>
      <c r="HU50" s="409"/>
      <c r="HV50" s="409"/>
      <c r="HW50" s="409"/>
      <c r="HX50" s="409"/>
      <c r="HY50" s="409"/>
      <c r="HZ50" s="409"/>
      <c r="IA50" s="409"/>
      <c r="IB50" s="409"/>
      <c r="IC50" s="409"/>
      <c r="ID50" s="409"/>
      <c r="IE50" s="409"/>
      <c r="IF50" s="409"/>
      <c r="IG50" s="409"/>
      <c r="IH50" s="409"/>
      <c r="II50" s="409"/>
      <c r="IJ50" s="409"/>
      <c r="IK50" s="409"/>
      <c r="IL50" s="409"/>
      <c r="IM50" s="409"/>
      <c r="IN50" s="409"/>
      <c r="IO50" s="409"/>
      <c r="IP50" s="409"/>
      <c r="IQ50" s="409"/>
      <c r="IR50" s="409"/>
      <c r="IS50" s="409"/>
      <c r="IT50" s="409"/>
      <c r="IU50" s="409"/>
      <c r="IV50" s="409"/>
      <c r="IW50" s="409"/>
      <c r="IX50" s="409"/>
      <c r="IY50" s="409"/>
      <c r="IZ50" s="409"/>
      <c r="JA50" s="409"/>
      <c r="JB50" s="409"/>
      <c r="JC50" s="409"/>
      <c r="JD50" s="409"/>
    </row>
    <row r="51" spans="1:264" s="867" customFormat="1" ht="13.8" outlineLevel="1">
      <c r="A51" s="895"/>
      <c r="B51" s="885"/>
      <c r="C51" s="835"/>
      <c r="D51" s="885"/>
      <c r="E51" s="435"/>
      <c r="F51" s="435"/>
      <c r="G51" s="435"/>
      <c r="H51" s="870"/>
      <c r="I51" s="871"/>
      <c r="J51" s="864"/>
      <c r="K51" s="863"/>
      <c r="L51" s="863"/>
      <c r="M51" s="863"/>
      <c r="N51" s="863"/>
      <c r="O51" s="863"/>
      <c r="P51" s="863"/>
      <c r="Q51" s="863"/>
      <c r="R51" s="863"/>
      <c r="S51" s="863"/>
      <c r="T51" s="864"/>
      <c r="U51" s="864"/>
      <c r="V51" s="864"/>
      <c r="W51" s="864"/>
      <c r="X51" s="864"/>
      <c r="Y51" s="864"/>
      <c r="Z51" s="864"/>
      <c r="AA51" s="864"/>
      <c r="AB51" s="864"/>
      <c r="AC51" s="864"/>
      <c r="AD51" s="864"/>
      <c r="AE51" s="864"/>
      <c r="AF51" s="864"/>
      <c r="AG51" s="864"/>
      <c r="AH51" s="864"/>
      <c r="AI51" s="864"/>
      <c r="AJ51" s="864"/>
      <c r="AK51" s="864"/>
      <c r="AL51" s="864"/>
      <c r="AM51" s="864"/>
      <c r="AN51" s="435"/>
      <c r="AO51" s="864"/>
      <c r="AP51" s="864"/>
      <c r="AQ51" s="864"/>
      <c r="AR51" s="864"/>
      <c r="AS51" s="864"/>
      <c r="AT51" s="864"/>
      <c r="AU51" s="864"/>
      <c r="AV51" s="864"/>
      <c r="AW51" s="864"/>
      <c r="AX51" s="864"/>
      <c r="AY51" s="864"/>
      <c r="AZ51" s="864"/>
      <c r="BA51" s="864"/>
      <c r="BB51" s="864"/>
      <c r="BC51" s="864"/>
      <c r="BD51" s="864"/>
      <c r="BE51" s="864"/>
      <c r="BF51" s="864"/>
      <c r="BG51" s="864"/>
      <c r="BH51" s="864"/>
      <c r="BI51" s="864"/>
      <c r="BJ51" s="864"/>
      <c r="BK51" s="864"/>
      <c r="BL51" s="864"/>
      <c r="BM51" s="864"/>
      <c r="BN51" s="864"/>
      <c r="BO51" s="864"/>
      <c r="BP51" s="864"/>
      <c r="BQ51" s="864"/>
      <c r="BR51" s="864"/>
      <c r="BS51" s="864"/>
      <c r="BT51" s="864"/>
      <c r="BU51" s="864"/>
      <c r="BV51" s="863"/>
      <c r="BW51" s="864"/>
      <c r="BX51" s="864"/>
      <c r="BY51" s="864"/>
      <c r="BZ51" s="864"/>
      <c r="CA51" s="864"/>
      <c r="CB51" s="864"/>
      <c r="CC51" s="864"/>
      <c r="CD51" s="864"/>
      <c r="CE51" s="864"/>
      <c r="CF51" s="864"/>
      <c r="CG51" s="864"/>
      <c r="CH51" s="864"/>
      <c r="CI51" s="863"/>
      <c r="CJ51" s="863"/>
      <c r="CK51" s="863"/>
      <c r="CL51" s="863"/>
      <c r="CM51" s="863"/>
      <c r="CN51" s="863"/>
      <c r="CO51" s="863"/>
      <c r="CP51" s="863"/>
      <c r="CQ51" s="863"/>
      <c r="CR51" s="863"/>
      <c r="CS51" s="863"/>
      <c r="CT51" s="863"/>
      <c r="CU51" s="863"/>
      <c r="CV51" s="863"/>
      <c r="CW51" s="863"/>
      <c r="CX51" s="863"/>
      <c r="CY51" s="863"/>
      <c r="CZ51" s="863"/>
      <c r="DA51" s="863"/>
      <c r="DB51" s="863"/>
      <c r="DC51" s="863"/>
      <c r="DD51" s="863"/>
      <c r="DE51" s="863"/>
      <c r="DF51" s="863"/>
      <c r="DG51" s="863"/>
      <c r="DH51" s="863"/>
      <c r="DI51" s="863"/>
      <c r="DJ51" s="863"/>
      <c r="DK51" s="863"/>
      <c r="DL51" s="866"/>
      <c r="DN51" s="409"/>
      <c r="DO51" s="409"/>
      <c r="DP51" s="409"/>
      <c r="DQ51" s="409"/>
      <c r="DR51" s="409"/>
      <c r="DS51" s="409"/>
      <c r="DT51" s="409"/>
      <c r="DU51" s="409"/>
      <c r="DV51" s="409"/>
      <c r="DW51" s="409"/>
      <c r="DX51" s="409"/>
      <c r="DY51" s="409"/>
      <c r="DZ51" s="409"/>
      <c r="EA51" s="409"/>
      <c r="EB51" s="409"/>
      <c r="EC51" s="409"/>
      <c r="ED51" s="409"/>
      <c r="EE51" s="409"/>
      <c r="EF51" s="409"/>
      <c r="EG51" s="409"/>
      <c r="EH51" s="409"/>
      <c r="EI51" s="409"/>
      <c r="EJ51" s="409"/>
      <c r="EK51" s="409"/>
      <c r="EL51" s="409"/>
      <c r="EM51" s="409"/>
      <c r="EN51" s="409"/>
      <c r="EO51" s="409"/>
      <c r="EP51" s="409"/>
      <c r="EQ51" s="409"/>
      <c r="ER51" s="409"/>
      <c r="ES51" s="409"/>
      <c r="ET51" s="409"/>
      <c r="EU51" s="409"/>
      <c r="EV51" s="409"/>
      <c r="EW51" s="409"/>
      <c r="EX51" s="409"/>
      <c r="EY51" s="409"/>
      <c r="EZ51" s="409"/>
      <c r="FA51" s="409"/>
      <c r="FB51" s="409"/>
      <c r="FC51" s="409"/>
      <c r="FD51" s="409"/>
      <c r="FE51" s="409"/>
      <c r="FF51" s="409"/>
      <c r="FG51" s="409"/>
      <c r="FH51" s="409"/>
      <c r="FI51" s="409"/>
      <c r="FJ51" s="409"/>
      <c r="FK51" s="409"/>
      <c r="FL51" s="409"/>
      <c r="FM51" s="409"/>
      <c r="FN51" s="409"/>
      <c r="FO51" s="409"/>
      <c r="FP51" s="409"/>
      <c r="FQ51" s="409"/>
      <c r="FR51" s="409"/>
      <c r="FS51" s="409"/>
      <c r="FT51" s="409"/>
      <c r="FU51" s="409"/>
      <c r="FV51" s="409"/>
      <c r="FW51" s="409"/>
      <c r="FX51" s="409"/>
      <c r="FY51" s="409"/>
      <c r="FZ51" s="409"/>
      <c r="GA51" s="409"/>
      <c r="GB51" s="409"/>
      <c r="GC51" s="409"/>
      <c r="GD51" s="409"/>
      <c r="GE51" s="409"/>
      <c r="GF51" s="409"/>
      <c r="GG51" s="409"/>
      <c r="GH51" s="409"/>
      <c r="GI51" s="409"/>
      <c r="GJ51" s="409"/>
      <c r="GK51" s="409"/>
      <c r="GL51" s="409"/>
      <c r="GM51" s="409"/>
      <c r="GN51" s="409"/>
      <c r="GO51" s="409"/>
      <c r="GP51" s="409"/>
      <c r="GQ51" s="409"/>
      <c r="GR51" s="409"/>
      <c r="GS51" s="409"/>
      <c r="GT51" s="409"/>
      <c r="GU51" s="409"/>
      <c r="GV51" s="409"/>
      <c r="GW51" s="409"/>
      <c r="GX51" s="409"/>
      <c r="GY51" s="409"/>
      <c r="GZ51" s="409"/>
      <c r="HA51" s="409"/>
      <c r="HB51" s="409"/>
      <c r="HC51" s="409"/>
      <c r="HD51" s="409"/>
      <c r="HE51" s="409"/>
      <c r="HF51" s="409"/>
      <c r="HG51" s="409"/>
      <c r="HH51" s="409"/>
      <c r="HI51" s="409"/>
      <c r="HJ51" s="409"/>
      <c r="HK51" s="409"/>
      <c r="HL51" s="409"/>
      <c r="HM51" s="409"/>
      <c r="HN51" s="409"/>
      <c r="HO51" s="409"/>
      <c r="HP51" s="409"/>
      <c r="HQ51" s="409"/>
      <c r="HR51" s="409"/>
      <c r="HS51" s="409"/>
      <c r="HT51" s="409"/>
      <c r="HU51" s="409"/>
      <c r="HV51" s="409"/>
      <c r="HW51" s="409"/>
      <c r="HX51" s="409"/>
      <c r="HY51" s="409"/>
      <c r="HZ51" s="409"/>
      <c r="IA51" s="409"/>
      <c r="IB51" s="409"/>
      <c r="IC51" s="409"/>
      <c r="ID51" s="409"/>
      <c r="IE51" s="409"/>
      <c r="IF51" s="409"/>
      <c r="IG51" s="409"/>
      <c r="IH51" s="409"/>
      <c r="II51" s="409"/>
      <c r="IJ51" s="409"/>
      <c r="IK51" s="409"/>
      <c r="IL51" s="409"/>
      <c r="IM51" s="409"/>
      <c r="IN51" s="409"/>
      <c r="IO51" s="409"/>
      <c r="IP51" s="409"/>
      <c r="IQ51" s="409"/>
      <c r="IR51" s="409"/>
      <c r="IS51" s="409"/>
      <c r="IT51" s="409"/>
      <c r="IU51" s="409"/>
      <c r="IV51" s="409"/>
      <c r="IW51" s="409"/>
      <c r="IX51" s="409"/>
      <c r="IY51" s="409"/>
      <c r="IZ51" s="409"/>
      <c r="JA51" s="409"/>
      <c r="JB51" s="409"/>
      <c r="JC51" s="409"/>
      <c r="JD51" s="409"/>
    </row>
    <row r="52" spans="1:264" s="867" customFormat="1" ht="13.8" outlineLevel="1">
      <c r="A52" s="895"/>
      <c r="B52" s="885"/>
      <c r="C52" s="835"/>
      <c r="D52" s="885"/>
      <c r="E52" s="435"/>
      <c r="F52" s="435"/>
      <c r="G52" s="435"/>
      <c r="H52" s="870"/>
      <c r="I52" s="871"/>
      <c r="J52" s="864"/>
      <c r="K52" s="863"/>
      <c r="L52" s="863"/>
      <c r="M52" s="863"/>
      <c r="N52" s="863"/>
      <c r="O52" s="863"/>
      <c r="P52" s="863"/>
      <c r="Q52" s="863"/>
      <c r="R52" s="863"/>
      <c r="S52" s="863"/>
      <c r="T52" s="864"/>
      <c r="U52" s="864"/>
      <c r="V52" s="864"/>
      <c r="W52" s="864"/>
      <c r="X52" s="864"/>
      <c r="Y52" s="864"/>
      <c r="Z52" s="864"/>
      <c r="AA52" s="864"/>
      <c r="AB52" s="864"/>
      <c r="AC52" s="864"/>
      <c r="AD52" s="864"/>
      <c r="AE52" s="864"/>
      <c r="AF52" s="864"/>
      <c r="AG52" s="864"/>
      <c r="AH52" s="864"/>
      <c r="AI52" s="864"/>
      <c r="AJ52" s="864"/>
      <c r="AK52" s="864"/>
      <c r="AL52" s="864"/>
      <c r="AM52" s="864"/>
      <c r="AN52" s="435"/>
      <c r="AO52" s="864"/>
      <c r="AP52" s="864"/>
      <c r="AQ52" s="864"/>
      <c r="AR52" s="864"/>
      <c r="AS52" s="864"/>
      <c r="AT52" s="864"/>
      <c r="AU52" s="864"/>
      <c r="AV52" s="864"/>
      <c r="AW52" s="864"/>
      <c r="AX52" s="864"/>
      <c r="AY52" s="864"/>
      <c r="AZ52" s="864"/>
      <c r="BA52" s="864"/>
      <c r="BB52" s="864"/>
      <c r="BC52" s="864"/>
      <c r="BD52" s="864"/>
      <c r="BE52" s="864"/>
      <c r="BF52" s="864"/>
      <c r="BG52" s="864"/>
      <c r="BH52" s="864"/>
      <c r="BI52" s="864"/>
      <c r="BJ52" s="864"/>
      <c r="BK52" s="864"/>
      <c r="BL52" s="864"/>
      <c r="BM52" s="864"/>
      <c r="BN52" s="864"/>
      <c r="BO52" s="864"/>
      <c r="BP52" s="864"/>
      <c r="BQ52" s="864"/>
      <c r="BR52" s="864"/>
      <c r="BS52" s="864"/>
      <c r="BT52" s="864"/>
      <c r="BU52" s="864"/>
      <c r="BV52" s="863"/>
      <c r="BW52" s="864"/>
      <c r="BX52" s="864"/>
      <c r="BY52" s="864"/>
      <c r="BZ52" s="864"/>
      <c r="CA52" s="864"/>
      <c r="CB52" s="864"/>
      <c r="CC52" s="864"/>
      <c r="CD52" s="864"/>
      <c r="CE52" s="864"/>
      <c r="CF52" s="864"/>
      <c r="CG52" s="864"/>
      <c r="CH52" s="864"/>
      <c r="CI52" s="863"/>
      <c r="CJ52" s="863"/>
      <c r="CK52" s="863"/>
      <c r="CL52" s="863"/>
      <c r="CM52" s="863"/>
      <c r="CN52" s="863"/>
      <c r="CO52" s="863"/>
      <c r="CP52" s="863"/>
      <c r="CQ52" s="863"/>
      <c r="CR52" s="863"/>
      <c r="CS52" s="863"/>
      <c r="CT52" s="863"/>
      <c r="CU52" s="863"/>
      <c r="CV52" s="863"/>
      <c r="CW52" s="863"/>
      <c r="CX52" s="863"/>
      <c r="CY52" s="863"/>
      <c r="CZ52" s="863"/>
      <c r="DA52" s="863"/>
      <c r="DB52" s="863"/>
      <c r="DC52" s="863"/>
      <c r="DD52" s="863"/>
      <c r="DE52" s="863"/>
      <c r="DF52" s="863"/>
      <c r="DG52" s="863"/>
      <c r="DH52" s="863"/>
      <c r="DI52" s="863"/>
      <c r="DJ52" s="863"/>
      <c r="DK52" s="863"/>
      <c r="DL52" s="866"/>
      <c r="DN52" s="409"/>
      <c r="DO52" s="409"/>
      <c r="DP52" s="409"/>
      <c r="DQ52" s="409"/>
      <c r="DR52" s="409"/>
      <c r="DS52" s="409"/>
      <c r="DT52" s="409"/>
      <c r="DU52" s="409"/>
      <c r="DV52" s="409"/>
      <c r="DW52" s="409"/>
      <c r="DX52" s="409"/>
      <c r="DY52" s="409"/>
      <c r="DZ52" s="409"/>
      <c r="EA52" s="409"/>
      <c r="EB52" s="409"/>
      <c r="EC52" s="409"/>
      <c r="ED52" s="409"/>
      <c r="EE52" s="409"/>
      <c r="EF52" s="409"/>
      <c r="EG52" s="409"/>
      <c r="EH52" s="409"/>
      <c r="EI52" s="409"/>
      <c r="EJ52" s="409"/>
      <c r="EK52" s="409"/>
      <c r="EL52" s="409"/>
      <c r="EM52" s="409"/>
      <c r="EN52" s="409"/>
      <c r="EO52" s="409"/>
      <c r="EP52" s="409"/>
      <c r="EQ52" s="409"/>
      <c r="ER52" s="409"/>
      <c r="ES52" s="409"/>
      <c r="ET52" s="409"/>
      <c r="EU52" s="409"/>
      <c r="EV52" s="409"/>
      <c r="EW52" s="409"/>
      <c r="EX52" s="409"/>
      <c r="EY52" s="409"/>
      <c r="EZ52" s="409"/>
      <c r="FA52" s="409"/>
      <c r="FB52" s="409"/>
      <c r="FC52" s="409"/>
      <c r="FD52" s="409"/>
      <c r="FE52" s="409"/>
      <c r="FF52" s="409"/>
      <c r="FG52" s="409"/>
      <c r="FH52" s="409"/>
      <c r="FI52" s="409"/>
      <c r="FJ52" s="409"/>
      <c r="FK52" s="409"/>
      <c r="FL52" s="409"/>
      <c r="FM52" s="409"/>
      <c r="FN52" s="409"/>
      <c r="FO52" s="409"/>
      <c r="FP52" s="409"/>
      <c r="FQ52" s="409"/>
      <c r="FR52" s="409"/>
      <c r="FS52" s="409"/>
      <c r="FT52" s="409"/>
      <c r="FU52" s="409"/>
      <c r="FV52" s="409"/>
      <c r="FW52" s="409"/>
      <c r="FX52" s="409"/>
      <c r="FY52" s="409"/>
      <c r="FZ52" s="409"/>
      <c r="GA52" s="409"/>
      <c r="GB52" s="409"/>
      <c r="GC52" s="409"/>
      <c r="GD52" s="409"/>
      <c r="GE52" s="409"/>
      <c r="GF52" s="409"/>
      <c r="GG52" s="409"/>
      <c r="GH52" s="409"/>
      <c r="GI52" s="409"/>
      <c r="GJ52" s="409"/>
      <c r="GK52" s="409"/>
      <c r="GL52" s="409"/>
      <c r="GM52" s="409"/>
      <c r="GN52" s="409"/>
      <c r="GO52" s="409"/>
      <c r="GP52" s="409"/>
      <c r="GQ52" s="409"/>
      <c r="GR52" s="409"/>
      <c r="GS52" s="409"/>
      <c r="GT52" s="409"/>
      <c r="GU52" s="409"/>
      <c r="GV52" s="409"/>
      <c r="GW52" s="409"/>
      <c r="GX52" s="409"/>
      <c r="GY52" s="409"/>
      <c r="GZ52" s="409"/>
      <c r="HA52" s="409"/>
      <c r="HB52" s="409"/>
      <c r="HC52" s="409"/>
      <c r="HD52" s="409"/>
      <c r="HE52" s="409"/>
      <c r="HF52" s="409"/>
      <c r="HG52" s="409"/>
      <c r="HH52" s="409"/>
      <c r="HI52" s="409"/>
      <c r="HJ52" s="409"/>
      <c r="HK52" s="409"/>
      <c r="HL52" s="409"/>
      <c r="HM52" s="409"/>
      <c r="HN52" s="409"/>
      <c r="HO52" s="409"/>
      <c r="HP52" s="409"/>
      <c r="HQ52" s="409"/>
      <c r="HR52" s="409"/>
      <c r="HS52" s="409"/>
      <c r="HT52" s="409"/>
      <c r="HU52" s="409"/>
      <c r="HV52" s="409"/>
      <c r="HW52" s="409"/>
      <c r="HX52" s="409"/>
      <c r="HY52" s="409"/>
      <c r="HZ52" s="409"/>
      <c r="IA52" s="409"/>
      <c r="IB52" s="409"/>
      <c r="IC52" s="409"/>
      <c r="ID52" s="409"/>
      <c r="IE52" s="409"/>
      <c r="IF52" s="409"/>
      <c r="IG52" s="409"/>
      <c r="IH52" s="409"/>
      <c r="II52" s="409"/>
      <c r="IJ52" s="409"/>
      <c r="IK52" s="409"/>
      <c r="IL52" s="409"/>
      <c r="IM52" s="409"/>
      <c r="IN52" s="409"/>
      <c r="IO52" s="409"/>
      <c r="IP52" s="409"/>
      <c r="IQ52" s="409"/>
      <c r="IR52" s="409"/>
      <c r="IS52" s="409"/>
      <c r="IT52" s="409"/>
      <c r="IU52" s="409"/>
      <c r="IV52" s="409"/>
      <c r="IW52" s="409"/>
      <c r="IX52" s="409"/>
      <c r="IY52" s="409"/>
      <c r="IZ52" s="409"/>
      <c r="JA52" s="409"/>
      <c r="JB52" s="409"/>
      <c r="JC52" s="409"/>
      <c r="JD52" s="409"/>
    </row>
    <row r="53" spans="1:264" s="867" customFormat="1" ht="13.8" outlineLevel="1">
      <c r="A53" s="895"/>
      <c r="B53" s="885"/>
      <c r="C53" s="835"/>
      <c r="D53" s="885"/>
      <c r="E53" s="435"/>
      <c r="F53" s="435"/>
      <c r="G53" s="435"/>
      <c r="H53" s="870"/>
      <c r="I53" s="871"/>
      <c r="J53" s="864"/>
      <c r="K53" s="863"/>
      <c r="L53" s="863"/>
      <c r="M53" s="863"/>
      <c r="N53" s="863"/>
      <c r="O53" s="863"/>
      <c r="P53" s="863"/>
      <c r="Q53" s="863"/>
      <c r="R53" s="863"/>
      <c r="S53" s="863"/>
      <c r="T53" s="864"/>
      <c r="U53" s="864"/>
      <c r="V53" s="864"/>
      <c r="W53" s="864"/>
      <c r="X53" s="864"/>
      <c r="Y53" s="864"/>
      <c r="Z53" s="864"/>
      <c r="AA53" s="864"/>
      <c r="AB53" s="864"/>
      <c r="AC53" s="864"/>
      <c r="AD53" s="864"/>
      <c r="AE53" s="864"/>
      <c r="AF53" s="864"/>
      <c r="AG53" s="864"/>
      <c r="AH53" s="864"/>
      <c r="AI53" s="864"/>
      <c r="AJ53" s="864"/>
      <c r="AK53" s="864"/>
      <c r="AL53" s="864"/>
      <c r="AM53" s="864"/>
      <c r="AN53" s="435"/>
      <c r="AO53" s="864"/>
      <c r="AP53" s="864"/>
      <c r="AQ53" s="864"/>
      <c r="AR53" s="864"/>
      <c r="AS53" s="864"/>
      <c r="AT53" s="864"/>
      <c r="AU53" s="864"/>
      <c r="AV53" s="864"/>
      <c r="AW53" s="864"/>
      <c r="AX53" s="864"/>
      <c r="AY53" s="864"/>
      <c r="AZ53" s="864"/>
      <c r="BA53" s="864"/>
      <c r="BB53" s="864"/>
      <c r="BC53" s="864"/>
      <c r="BD53" s="864"/>
      <c r="BE53" s="864"/>
      <c r="BF53" s="864"/>
      <c r="BG53" s="864"/>
      <c r="BH53" s="864"/>
      <c r="BI53" s="864"/>
      <c r="BJ53" s="864"/>
      <c r="BK53" s="864"/>
      <c r="BL53" s="864"/>
      <c r="BM53" s="864"/>
      <c r="BN53" s="864"/>
      <c r="BO53" s="864"/>
      <c r="BP53" s="864"/>
      <c r="BQ53" s="864"/>
      <c r="BR53" s="864"/>
      <c r="BS53" s="864"/>
      <c r="BT53" s="864"/>
      <c r="BU53" s="864"/>
      <c r="BV53" s="863"/>
      <c r="BW53" s="864"/>
      <c r="BX53" s="864"/>
      <c r="BY53" s="864"/>
      <c r="BZ53" s="864"/>
      <c r="CA53" s="864"/>
      <c r="CB53" s="864"/>
      <c r="CC53" s="864"/>
      <c r="CD53" s="864"/>
      <c r="CE53" s="864"/>
      <c r="CF53" s="864"/>
      <c r="CG53" s="864"/>
      <c r="CH53" s="864"/>
      <c r="CI53" s="863"/>
      <c r="CJ53" s="863"/>
      <c r="CK53" s="863"/>
      <c r="CL53" s="863"/>
      <c r="CM53" s="863"/>
      <c r="CN53" s="863"/>
      <c r="CO53" s="863"/>
      <c r="CP53" s="863"/>
      <c r="CQ53" s="863"/>
      <c r="CR53" s="863"/>
      <c r="CS53" s="863"/>
      <c r="CT53" s="863"/>
      <c r="CU53" s="863"/>
      <c r="CV53" s="863"/>
      <c r="CW53" s="863"/>
      <c r="CX53" s="863"/>
      <c r="CY53" s="863"/>
      <c r="CZ53" s="863"/>
      <c r="DA53" s="863"/>
      <c r="DB53" s="863"/>
      <c r="DC53" s="863"/>
      <c r="DD53" s="863"/>
      <c r="DE53" s="863"/>
      <c r="DF53" s="863"/>
      <c r="DG53" s="863"/>
      <c r="DH53" s="863"/>
      <c r="DI53" s="863"/>
      <c r="DJ53" s="863"/>
      <c r="DK53" s="863"/>
      <c r="DL53" s="866"/>
      <c r="DN53" s="409"/>
      <c r="DO53" s="409"/>
      <c r="DP53" s="409"/>
      <c r="DQ53" s="409"/>
      <c r="DR53" s="409"/>
      <c r="DS53" s="409"/>
      <c r="DT53" s="409"/>
      <c r="DU53" s="409"/>
      <c r="DV53" s="409"/>
      <c r="DW53" s="409"/>
      <c r="DX53" s="409"/>
      <c r="DY53" s="409"/>
      <c r="DZ53" s="409"/>
      <c r="EA53" s="409"/>
      <c r="EB53" s="409"/>
      <c r="EC53" s="409"/>
      <c r="ED53" s="409"/>
      <c r="EE53" s="409"/>
      <c r="EF53" s="409"/>
      <c r="EG53" s="409"/>
      <c r="EH53" s="409"/>
      <c r="EI53" s="409"/>
      <c r="EJ53" s="409"/>
      <c r="EK53" s="409"/>
      <c r="EL53" s="409"/>
      <c r="EM53" s="409"/>
      <c r="EN53" s="409"/>
      <c r="EO53" s="409"/>
      <c r="EP53" s="409"/>
      <c r="EQ53" s="409"/>
      <c r="ER53" s="409"/>
      <c r="ES53" s="409"/>
      <c r="ET53" s="409"/>
      <c r="EU53" s="409"/>
      <c r="EV53" s="409"/>
      <c r="EW53" s="409"/>
      <c r="EX53" s="409"/>
      <c r="EY53" s="409"/>
      <c r="EZ53" s="409"/>
      <c r="FA53" s="409"/>
      <c r="FB53" s="409"/>
      <c r="FC53" s="409"/>
      <c r="FD53" s="409"/>
      <c r="FE53" s="409"/>
      <c r="FF53" s="409"/>
      <c r="FG53" s="409"/>
      <c r="FH53" s="409"/>
      <c r="FI53" s="409"/>
      <c r="FJ53" s="409"/>
      <c r="FK53" s="409"/>
      <c r="FL53" s="409"/>
      <c r="FM53" s="409"/>
      <c r="FN53" s="409"/>
      <c r="FO53" s="409"/>
      <c r="FP53" s="409"/>
      <c r="FQ53" s="409"/>
      <c r="FR53" s="409"/>
      <c r="FS53" s="409"/>
      <c r="FT53" s="409"/>
      <c r="FU53" s="409"/>
      <c r="FV53" s="409"/>
      <c r="FW53" s="409"/>
      <c r="FX53" s="409"/>
      <c r="FY53" s="409"/>
      <c r="FZ53" s="409"/>
      <c r="GA53" s="409"/>
      <c r="GB53" s="409"/>
      <c r="GC53" s="409"/>
      <c r="GD53" s="409"/>
      <c r="GE53" s="409"/>
      <c r="GF53" s="409"/>
      <c r="GG53" s="409"/>
      <c r="GH53" s="409"/>
      <c r="GI53" s="409"/>
      <c r="GJ53" s="409"/>
      <c r="GK53" s="409"/>
      <c r="GL53" s="409"/>
      <c r="GM53" s="409"/>
      <c r="GN53" s="409"/>
      <c r="GO53" s="409"/>
      <c r="GP53" s="409"/>
      <c r="GQ53" s="409"/>
      <c r="GR53" s="409"/>
      <c r="GS53" s="409"/>
      <c r="GT53" s="409"/>
      <c r="GU53" s="409"/>
      <c r="GV53" s="409"/>
      <c r="GW53" s="409"/>
      <c r="GX53" s="409"/>
      <c r="GY53" s="409"/>
      <c r="GZ53" s="409"/>
      <c r="HA53" s="409"/>
      <c r="HB53" s="409"/>
      <c r="HC53" s="409"/>
      <c r="HD53" s="409"/>
      <c r="HE53" s="409"/>
      <c r="HF53" s="409"/>
      <c r="HG53" s="409"/>
      <c r="HH53" s="409"/>
      <c r="HI53" s="409"/>
      <c r="HJ53" s="409"/>
      <c r="HK53" s="409"/>
      <c r="HL53" s="409"/>
      <c r="HM53" s="409"/>
      <c r="HN53" s="409"/>
      <c r="HO53" s="409"/>
      <c r="HP53" s="409"/>
      <c r="HQ53" s="409"/>
      <c r="HR53" s="409"/>
      <c r="HS53" s="409"/>
      <c r="HT53" s="409"/>
      <c r="HU53" s="409"/>
      <c r="HV53" s="409"/>
      <c r="HW53" s="409"/>
      <c r="HX53" s="409"/>
      <c r="HY53" s="409"/>
      <c r="HZ53" s="409"/>
      <c r="IA53" s="409"/>
      <c r="IB53" s="409"/>
      <c r="IC53" s="409"/>
      <c r="ID53" s="409"/>
      <c r="IE53" s="409"/>
      <c r="IF53" s="409"/>
      <c r="IG53" s="409"/>
      <c r="IH53" s="409"/>
      <c r="II53" s="409"/>
      <c r="IJ53" s="409"/>
      <c r="IK53" s="409"/>
      <c r="IL53" s="409"/>
      <c r="IM53" s="409"/>
      <c r="IN53" s="409"/>
      <c r="IO53" s="409"/>
      <c r="IP53" s="409"/>
      <c r="IQ53" s="409"/>
      <c r="IR53" s="409"/>
      <c r="IS53" s="409"/>
      <c r="IT53" s="409"/>
      <c r="IU53" s="409"/>
      <c r="IV53" s="409"/>
      <c r="IW53" s="409"/>
      <c r="IX53" s="409"/>
      <c r="IY53" s="409"/>
      <c r="IZ53" s="409"/>
      <c r="JA53" s="409"/>
      <c r="JB53" s="409"/>
      <c r="JC53" s="409"/>
      <c r="JD53" s="409"/>
    </row>
    <row r="54" spans="1:264" s="867" customFormat="1" ht="13.8" outlineLevel="1">
      <c r="A54" s="895"/>
      <c r="B54" s="885"/>
      <c r="C54" s="835"/>
      <c r="D54" s="885"/>
      <c r="E54" s="435"/>
      <c r="F54" s="435"/>
      <c r="G54" s="435"/>
      <c r="H54" s="870"/>
      <c r="I54" s="871"/>
      <c r="J54" s="864"/>
      <c r="K54" s="863"/>
      <c r="L54" s="863"/>
      <c r="M54" s="863"/>
      <c r="N54" s="863"/>
      <c r="O54" s="863"/>
      <c r="P54" s="863"/>
      <c r="Q54" s="863"/>
      <c r="R54" s="863"/>
      <c r="S54" s="863"/>
      <c r="T54" s="864"/>
      <c r="U54" s="864"/>
      <c r="V54" s="864"/>
      <c r="W54" s="864"/>
      <c r="X54" s="864"/>
      <c r="Y54" s="864"/>
      <c r="Z54" s="864"/>
      <c r="AA54" s="864"/>
      <c r="AB54" s="864"/>
      <c r="AC54" s="864"/>
      <c r="AD54" s="864"/>
      <c r="AE54" s="864"/>
      <c r="AF54" s="864"/>
      <c r="AG54" s="864"/>
      <c r="AH54" s="864"/>
      <c r="AI54" s="864"/>
      <c r="AJ54" s="864"/>
      <c r="AK54" s="864"/>
      <c r="AL54" s="864"/>
      <c r="AM54" s="864"/>
      <c r="AN54" s="435"/>
      <c r="AO54" s="864"/>
      <c r="AP54" s="864"/>
      <c r="AQ54" s="864"/>
      <c r="AR54" s="864"/>
      <c r="AS54" s="864"/>
      <c r="AT54" s="864"/>
      <c r="AU54" s="864"/>
      <c r="AV54" s="864"/>
      <c r="AW54" s="864"/>
      <c r="AX54" s="864"/>
      <c r="AY54" s="864"/>
      <c r="AZ54" s="864"/>
      <c r="BA54" s="864"/>
      <c r="BB54" s="864"/>
      <c r="BC54" s="864"/>
      <c r="BD54" s="864"/>
      <c r="BE54" s="864"/>
      <c r="BF54" s="864"/>
      <c r="BG54" s="864"/>
      <c r="BH54" s="864"/>
      <c r="BI54" s="864"/>
      <c r="BJ54" s="864"/>
      <c r="BK54" s="864"/>
      <c r="BL54" s="864"/>
      <c r="BM54" s="864"/>
      <c r="BN54" s="864"/>
      <c r="BO54" s="864"/>
      <c r="BP54" s="864"/>
      <c r="BQ54" s="864"/>
      <c r="BR54" s="864"/>
      <c r="BS54" s="864"/>
      <c r="BT54" s="864"/>
      <c r="BU54" s="864"/>
      <c r="BV54" s="863"/>
      <c r="BW54" s="864"/>
      <c r="BX54" s="864"/>
      <c r="BY54" s="864"/>
      <c r="BZ54" s="864"/>
      <c r="CA54" s="864"/>
      <c r="CB54" s="864"/>
      <c r="CC54" s="864"/>
      <c r="CD54" s="864"/>
      <c r="CE54" s="864"/>
      <c r="CF54" s="864"/>
      <c r="CG54" s="864"/>
      <c r="CH54" s="864"/>
      <c r="CI54" s="863"/>
      <c r="CJ54" s="863"/>
      <c r="CK54" s="863"/>
      <c r="CL54" s="863"/>
      <c r="CM54" s="863"/>
      <c r="CN54" s="863"/>
      <c r="CO54" s="863"/>
      <c r="CP54" s="863"/>
      <c r="CQ54" s="863"/>
      <c r="CR54" s="863"/>
      <c r="CS54" s="863"/>
      <c r="CT54" s="863"/>
      <c r="CU54" s="863"/>
      <c r="CV54" s="863"/>
      <c r="CW54" s="863"/>
      <c r="CX54" s="863"/>
      <c r="CY54" s="863"/>
      <c r="CZ54" s="863"/>
      <c r="DA54" s="863"/>
      <c r="DB54" s="863"/>
      <c r="DC54" s="863"/>
      <c r="DD54" s="863"/>
      <c r="DE54" s="863"/>
      <c r="DF54" s="863"/>
      <c r="DG54" s="863"/>
      <c r="DH54" s="863"/>
      <c r="DI54" s="863"/>
      <c r="DJ54" s="863"/>
      <c r="DK54" s="863"/>
      <c r="DL54" s="866"/>
      <c r="DN54" s="409"/>
      <c r="DO54" s="409"/>
      <c r="DP54" s="409"/>
      <c r="DQ54" s="409"/>
      <c r="DR54" s="409"/>
      <c r="DS54" s="409"/>
      <c r="DT54" s="409"/>
      <c r="DU54" s="409"/>
      <c r="DV54" s="409"/>
      <c r="DW54" s="409"/>
      <c r="DX54" s="409"/>
      <c r="DY54" s="409"/>
      <c r="DZ54" s="409"/>
      <c r="EA54" s="409"/>
      <c r="EB54" s="409"/>
      <c r="EC54" s="409"/>
      <c r="ED54" s="409"/>
      <c r="EE54" s="409"/>
      <c r="EF54" s="409"/>
      <c r="EG54" s="409"/>
      <c r="EH54" s="409"/>
      <c r="EI54" s="409"/>
      <c r="EJ54" s="409"/>
      <c r="EK54" s="409"/>
      <c r="EL54" s="409"/>
      <c r="EM54" s="409"/>
      <c r="EN54" s="409"/>
      <c r="EO54" s="409"/>
      <c r="EP54" s="409"/>
      <c r="EQ54" s="409"/>
      <c r="ER54" s="409"/>
      <c r="ES54" s="409"/>
      <c r="ET54" s="409"/>
      <c r="EU54" s="409"/>
      <c r="EV54" s="409"/>
      <c r="EW54" s="409"/>
      <c r="EX54" s="409"/>
      <c r="EY54" s="409"/>
      <c r="EZ54" s="409"/>
      <c r="FA54" s="409"/>
      <c r="FB54" s="409"/>
      <c r="FC54" s="409"/>
      <c r="FD54" s="409"/>
      <c r="FE54" s="409"/>
      <c r="FF54" s="409"/>
      <c r="FG54" s="409"/>
      <c r="FH54" s="409"/>
      <c r="FI54" s="409"/>
      <c r="FJ54" s="409"/>
      <c r="FK54" s="409"/>
      <c r="FL54" s="409"/>
      <c r="FM54" s="409"/>
      <c r="FN54" s="409"/>
      <c r="FO54" s="409"/>
      <c r="FP54" s="409"/>
      <c r="FQ54" s="409"/>
      <c r="FR54" s="409"/>
      <c r="FS54" s="409"/>
      <c r="FT54" s="409"/>
      <c r="FU54" s="409"/>
      <c r="FV54" s="409"/>
      <c r="FW54" s="409"/>
      <c r="FX54" s="409"/>
      <c r="FY54" s="409"/>
      <c r="FZ54" s="409"/>
      <c r="GA54" s="409"/>
      <c r="GB54" s="409"/>
      <c r="GC54" s="409"/>
      <c r="GD54" s="409"/>
      <c r="GE54" s="409"/>
      <c r="GF54" s="409"/>
      <c r="GG54" s="409"/>
      <c r="GH54" s="409"/>
      <c r="GI54" s="409"/>
      <c r="GJ54" s="409"/>
      <c r="GK54" s="409"/>
      <c r="GL54" s="409"/>
      <c r="GM54" s="409"/>
      <c r="GN54" s="409"/>
      <c r="GO54" s="409"/>
      <c r="GP54" s="409"/>
      <c r="GQ54" s="409"/>
      <c r="GR54" s="409"/>
      <c r="GS54" s="409"/>
      <c r="GT54" s="409"/>
      <c r="GU54" s="409"/>
      <c r="GV54" s="409"/>
      <c r="GW54" s="409"/>
      <c r="GX54" s="409"/>
      <c r="GY54" s="409"/>
      <c r="GZ54" s="409"/>
      <c r="HA54" s="409"/>
      <c r="HB54" s="409"/>
      <c r="HC54" s="409"/>
      <c r="HD54" s="409"/>
      <c r="HE54" s="409"/>
      <c r="HF54" s="409"/>
      <c r="HG54" s="409"/>
      <c r="HH54" s="409"/>
      <c r="HI54" s="409"/>
      <c r="HJ54" s="409"/>
      <c r="HK54" s="409"/>
      <c r="HL54" s="409"/>
      <c r="HM54" s="409"/>
      <c r="HN54" s="409"/>
      <c r="HO54" s="409"/>
      <c r="HP54" s="409"/>
      <c r="HQ54" s="409"/>
      <c r="HR54" s="409"/>
      <c r="HS54" s="409"/>
      <c r="HT54" s="409"/>
      <c r="HU54" s="409"/>
      <c r="HV54" s="409"/>
      <c r="HW54" s="409"/>
      <c r="HX54" s="409"/>
      <c r="HY54" s="409"/>
      <c r="HZ54" s="409"/>
      <c r="IA54" s="409"/>
      <c r="IB54" s="409"/>
      <c r="IC54" s="409"/>
      <c r="ID54" s="409"/>
      <c r="IE54" s="409"/>
      <c r="IF54" s="409"/>
      <c r="IG54" s="409"/>
      <c r="IH54" s="409"/>
      <c r="II54" s="409"/>
      <c r="IJ54" s="409"/>
      <c r="IK54" s="409"/>
      <c r="IL54" s="409"/>
      <c r="IM54" s="409"/>
      <c r="IN54" s="409"/>
      <c r="IO54" s="409"/>
      <c r="IP54" s="409"/>
      <c r="IQ54" s="409"/>
      <c r="IR54" s="409"/>
      <c r="IS54" s="409"/>
      <c r="IT54" s="409"/>
      <c r="IU54" s="409"/>
      <c r="IV54" s="409"/>
      <c r="IW54" s="409"/>
      <c r="IX54" s="409"/>
      <c r="IY54" s="409"/>
      <c r="IZ54" s="409"/>
      <c r="JA54" s="409"/>
      <c r="JB54" s="409"/>
      <c r="JC54" s="409"/>
      <c r="JD54" s="409"/>
    </row>
    <row r="55" spans="1:264" s="867" customFormat="1" ht="13.8" outlineLevel="1">
      <c r="A55" s="895"/>
      <c r="B55" s="885"/>
      <c r="C55" s="835"/>
      <c r="D55" s="885"/>
      <c r="E55" s="435"/>
      <c r="F55" s="435"/>
      <c r="G55" s="435"/>
      <c r="H55" s="870"/>
      <c r="I55" s="871"/>
      <c r="J55" s="864"/>
      <c r="K55" s="863"/>
      <c r="L55" s="863"/>
      <c r="M55" s="863"/>
      <c r="N55" s="863"/>
      <c r="O55" s="863"/>
      <c r="P55" s="863"/>
      <c r="Q55" s="863"/>
      <c r="R55" s="863"/>
      <c r="S55" s="863"/>
      <c r="T55" s="864"/>
      <c r="U55" s="864"/>
      <c r="V55" s="864"/>
      <c r="W55" s="864"/>
      <c r="X55" s="864"/>
      <c r="Y55" s="864"/>
      <c r="Z55" s="864"/>
      <c r="AA55" s="864"/>
      <c r="AB55" s="864"/>
      <c r="AC55" s="864"/>
      <c r="AD55" s="864"/>
      <c r="AE55" s="864"/>
      <c r="AF55" s="864"/>
      <c r="AG55" s="864"/>
      <c r="AH55" s="864"/>
      <c r="AI55" s="864"/>
      <c r="AJ55" s="864"/>
      <c r="AK55" s="864"/>
      <c r="AL55" s="864"/>
      <c r="AM55" s="864"/>
      <c r="AN55" s="435"/>
      <c r="AO55" s="864"/>
      <c r="AP55" s="864"/>
      <c r="AQ55" s="864"/>
      <c r="AR55" s="864"/>
      <c r="AS55" s="864"/>
      <c r="AT55" s="864"/>
      <c r="AU55" s="864"/>
      <c r="AV55" s="864"/>
      <c r="AW55" s="864"/>
      <c r="AX55" s="864"/>
      <c r="AY55" s="864"/>
      <c r="AZ55" s="864"/>
      <c r="BA55" s="864"/>
      <c r="BB55" s="864"/>
      <c r="BC55" s="864"/>
      <c r="BD55" s="864"/>
      <c r="BE55" s="864"/>
      <c r="BF55" s="864"/>
      <c r="BG55" s="864"/>
      <c r="BH55" s="864"/>
      <c r="BI55" s="864"/>
      <c r="BJ55" s="864"/>
      <c r="BK55" s="864"/>
      <c r="BL55" s="864"/>
      <c r="BM55" s="864"/>
      <c r="BN55" s="864"/>
      <c r="BO55" s="864"/>
      <c r="BP55" s="864"/>
      <c r="BQ55" s="864"/>
      <c r="BR55" s="864"/>
      <c r="BS55" s="864"/>
      <c r="BT55" s="864"/>
      <c r="BU55" s="864"/>
      <c r="BV55" s="863"/>
      <c r="BW55" s="864"/>
      <c r="BX55" s="864"/>
      <c r="BY55" s="864"/>
      <c r="BZ55" s="864"/>
      <c r="CA55" s="864"/>
      <c r="CB55" s="864"/>
      <c r="CC55" s="864"/>
      <c r="CD55" s="864"/>
      <c r="CE55" s="864"/>
      <c r="CF55" s="864"/>
      <c r="CG55" s="864"/>
      <c r="CH55" s="864"/>
      <c r="CI55" s="863"/>
      <c r="CJ55" s="863"/>
      <c r="CK55" s="863"/>
      <c r="CL55" s="863"/>
      <c r="CM55" s="863"/>
      <c r="CN55" s="863"/>
      <c r="CO55" s="863"/>
      <c r="CP55" s="863"/>
      <c r="CQ55" s="863"/>
      <c r="CR55" s="863"/>
      <c r="CS55" s="863"/>
      <c r="CT55" s="863"/>
      <c r="CU55" s="863"/>
      <c r="CV55" s="863"/>
      <c r="CW55" s="863"/>
      <c r="CX55" s="863"/>
      <c r="CY55" s="863"/>
      <c r="CZ55" s="863"/>
      <c r="DA55" s="863"/>
      <c r="DB55" s="863"/>
      <c r="DC55" s="863"/>
      <c r="DD55" s="863"/>
      <c r="DE55" s="863"/>
      <c r="DF55" s="863"/>
      <c r="DG55" s="863"/>
      <c r="DH55" s="863"/>
      <c r="DI55" s="863"/>
      <c r="DJ55" s="863"/>
      <c r="DK55" s="863"/>
      <c r="DL55" s="866"/>
      <c r="DN55" s="409"/>
      <c r="DO55" s="409"/>
      <c r="DP55" s="409"/>
      <c r="DQ55" s="409"/>
      <c r="DR55" s="409"/>
      <c r="DS55" s="409"/>
      <c r="DT55" s="409"/>
      <c r="DU55" s="409"/>
      <c r="DV55" s="409"/>
      <c r="DW55" s="409"/>
      <c r="DX55" s="409"/>
      <c r="DY55" s="409"/>
      <c r="DZ55" s="409"/>
      <c r="EA55" s="409"/>
      <c r="EB55" s="409"/>
      <c r="EC55" s="409"/>
      <c r="ED55" s="409"/>
      <c r="EE55" s="409"/>
      <c r="EF55" s="409"/>
      <c r="EG55" s="409"/>
      <c r="EH55" s="409"/>
      <c r="EI55" s="409"/>
      <c r="EJ55" s="409"/>
      <c r="EK55" s="409"/>
      <c r="EL55" s="409"/>
      <c r="EM55" s="409"/>
      <c r="EN55" s="409"/>
      <c r="EO55" s="409"/>
      <c r="EP55" s="409"/>
      <c r="EQ55" s="409"/>
      <c r="ER55" s="409"/>
      <c r="ES55" s="409"/>
      <c r="ET55" s="409"/>
      <c r="EU55" s="409"/>
      <c r="EV55" s="409"/>
      <c r="EW55" s="409"/>
      <c r="EX55" s="409"/>
      <c r="EY55" s="409"/>
      <c r="EZ55" s="409"/>
      <c r="FA55" s="409"/>
      <c r="FB55" s="409"/>
      <c r="FC55" s="409"/>
      <c r="FD55" s="409"/>
      <c r="FE55" s="409"/>
      <c r="FF55" s="409"/>
      <c r="FG55" s="409"/>
      <c r="FH55" s="409"/>
      <c r="FI55" s="409"/>
      <c r="FJ55" s="409"/>
      <c r="FK55" s="409"/>
      <c r="FL55" s="409"/>
      <c r="FM55" s="409"/>
      <c r="FN55" s="409"/>
      <c r="FO55" s="409"/>
      <c r="FP55" s="409"/>
      <c r="FQ55" s="409"/>
      <c r="FR55" s="409"/>
      <c r="FS55" s="409"/>
      <c r="FT55" s="409"/>
      <c r="FU55" s="409"/>
      <c r="FV55" s="409"/>
      <c r="FW55" s="409"/>
      <c r="FX55" s="409"/>
      <c r="FY55" s="409"/>
      <c r="FZ55" s="409"/>
      <c r="GA55" s="409"/>
      <c r="GB55" s="409"/>
      <c r="GC55" s="409"/>
      <c r="GD55" s="409"/>
      <c r="GE55" s="409"/>
      <c r="GF55" s="409"/>
      <c r="GG55" s="409"/>
      <c r="GH55" s="409"/>
      <c r="GI55" s="409"/>
      <c r="GJ55" s="409"/>
      <c r="GK55" s="409"/>
      <c r="GL55" s="409"/>
      <c r="GM55" s="409"/>
      <c r="GN55" s="409"/>
      <c r="GO55" s="409"/>
      <c r="GP55" s="409"/>
      <c r="GQ55" s="409"/>
      <c r="GR55" s="409"/>
      <c r="GS55" s="409"/>
      <c r="GT55" s="409"/>
      <c r="GU55" s="409"/>
      <c r="GV55" s="409"/>
      <c r="GW55" s="409"/>
      <c r="GX55" s="409"/>
      <c r="GY55" s="409"/>
      <c r="GZ55" s="409"/>
      <c r="HA55" s="409"/>
      <c r="HB55" s="409"/>
      <c r="HC55" s="409"/>
      <c r="HD55" s="409"/>
      <c r="HE55" s="409"/>
      <c r="HF55" s="409"/>
      <c r="HG55" s="409"/>
      <c r="HH55" s="409"/>
      <c r="HI55" s="409"/>
      <c r="HJ55" s="409"/>
      <c r="HK55" s="409"/>
      <c r="HL55" s="409"/>
      <c r="HM55" s="409"/>
      <c r="HN55" s="409"/>
      <c r="HO55" s="409"/>
      <c r="HP55" s="409"/>
      <c r="HQ55" s="409"/>
      <c r="HR55" s="409"/>
      <c r="HS55" s="409"/>
      <c r="HT55" s="409"/>
      <c r="HU55" s="409"/>
      <c r="HV55" s="409"/>
      <c r="HW55" s="409"/>
      <c r="HX55" s="409"/>
      <c r="HY55" s="409"/>
      <c r="HZ55" s="409"/>
      <c r="IA55" s="409"/>
      <c r="IB55" s="409"/>
      <c r="IC55" s="409"/>
      <c r="ID55" s="409"/>
      <c r="IE55" s="409"/>
      <c r="IF55" s="409"/>
      <c r="IG55" s="409"/>
      <c r="IH55" s="409"/>
      <c r="II55" s="409"/>
      <c r="IJ55" s="409"/>
      <c r="IK55" s="409"/>
      <c r="IL55" s="409"/>
      <c r="IM55" s="409"/>
      <c r="IN55" s="409"/>
      <c r="IO55" s="409"/>
      <c r="IP55" s="409"/>
      <c r="IQ55" s="409"/>
      <c r="IR55" s="409"/>
      <c r="IS55" s="409"/>
      <c r="IT55" s="409"/>
      <c r="IU55" s="409"/>
      <c r="IV55" s="409"/>
      <c r="IW55" s="409"/>
      <c r="IX55" s="409"/>
      <c r="IY55" s="409"/>
      <c r="IZ55" s="409"/>
      <c r="JA55" s="409"/>
      <c r="JB55" s="409"/>
      <c r="JC55" s="409"/>
      <c r="JD55" s="409"/>
    </row>
    <row r="56" spans="1:264" s="867" customFormat="1" ht="13.8" outlineLevel="1">
      <c r="A56" s="895"/>
      <c r="B56" s="885"/>
      <c r="C56" s="835"/>
      <c r="D56" s="885"/>
      <c r="E56" s="435"/>
      <c r="F56" s="435"/>
      <c r="G56" s="435"/>
      <c r="H56" s="870"/>
      <c r="I56" s="871"/>
      <c r="J56" s="864"/>
      <c r="K56" s="863"/>
      <c r="L56" s="863"/>
      <c r="M56" s="863"/>
      <c r="N56" s="863"/>
      <c r="O56" s="863"/>
      <c r="P56" s="863"/>
      <c r="Q56" s="863"/>
      <c r="R56" s="863"/>
      <c r="S56" s="863"/>
      <c r="T56" s="864"/>
      <c r="U56" s="864"/>
      <c r="V56" s="864"/>
      <c r="W56" s="864"/>
      <c r="X56" s="864"/>
      <c r="Y56" s="864"/>
      <c r="Z56" s="864"/>
      <c r="AA56" s="864"/>
      <c r="AB56" s="864"/>
      <c r="AC56" s="864"/>
      <c r="AD56" s="864"/>
      <c r="AE56" s="864"/>
      <c r="AF56" s="864"/>
      <c r="AG56" s="864"/>
      <c r="AH56" s="864"/>
      <c r="AI56" s="864"/>
      <c r="AJ56" s="864"/>
      <c r="AK56" s="864"/>
      <c r="AL56" s="864"/>
      <c r="AM56" s="864"/>
      <c r="AN56" s="435"/>
      <c r="AO56" s="864"/>
      <c r="AP56" s="864"/>
      <c r="AQ56" s="864"/>
      <c r="AR56" s="864"/>
      <c r="AS56" s="864"/>
      <c r="AT56" s="864"/>
      <c r="AU56" s="864"/>
      <c r="AV56" s="864"/>
      <c r="AW56" s="864"/>
      <c r="AX56" s="864"/>
      <c r="AY56" s="864"/>
      <c r="AZ56" s="864"/>
      <c r="BA56" s="864"/>
      <c r="BB56" s="864"/>
      <c r="BC56" s="864"/>
      <c r="BD56" s="864"/>
      <c r="BE56" s="864"/>
      <c r="BF56" s="864"/>
      <c r="BG56" s="864"/>
      <c r="BH56" s="864"/>
      <c r="BI56" s="864"/>
      <c r="BJ56" s="864"/>
      <c r="BK56" s="864"/>
      <c r="BL56" s="864"/>
      <c r="BM56" s="864"/>
      <c r="BN56" s="864"/>
      <c r="BO56" s="864"/>
      <c r="BP56" s="864"/>
      <c r="BQ56" s="864"/>
      <c r="BR56" s="864"/>
      <c r="BS56" s="864"/>
      <c r="BT56" s="864"/>
      <c r="BU56" s="864"/>
      <c r="BV56" s="863"/>
      <c r="BW56" s="864"/>
      <c r="BX56" s="864"/>
      <c r="BY56" s="864"/>
      <c r="BZ56" s="864"/>
      <c r="CA56" s="864"/>
      <c r="CB56" s="864"/>
      <c r="CC56" s="864"/>
      <c r="CD56" s="864"/>
      <c r="CE56" s="864"/>
      <c r="CF56" s="864"/>
      <c r="CG56" s="864"/>
      <c r="CH56" s="864"/>
      <c r="CI56" s="863"/>
      <c r="CJ56" s="863"/>
      <c r="CK56" s="863"/>
      <c r="CL56" s="863"/>
      <c r="CM56" s="863"/>
      <c r="CN56" s="863"/>
      <c r="CO56" s="863"/>
      <c r="CP56" s="863"/>
      <c r="CQ56" s="863"/>
      <c r="CR56" s="863"/>
      <c r="CS56" s="863"/>
      <c r="CT56" s="863"/>
      <c r="CU56" s="863"/>
      <c r="CV56" s="863"/>
      <c r="CW56" s="863"/>
      <c r="CX56" s="863"/>
      <c r="CY56" s="863"/>
      <c r="CZ56" s="863"/>
      <c r="DA56" s="863"/>
      <c r="DB56" s="863"/>
      <c r="DC56" s="863"/>
      <c r="DD56" s="863"/>
      <c r="DE56" s="863"/>
      <c r="DF56" s="863"/>
      <c r="DG56" s="863"/>
      <c r="DH56" s="863"/>
      <c r="DI56" s="863"/>
      <c r="DJ56" s="863"/>
      <c r="DK56" s="863"/>
      <c r="DL56" s="866"/>
      <c r="DN56" s="409"/>
      <c r="DO56" s="409"/>
      <c r="DP56" s="409"/>
      <c r="DQ56" s="409"/>
      <c r="DR56" s="409"/>
      <c r="DS56" s="409"/>
      <c r="DT56" s="409"/>
      <c r="DU56" s="409"/>
      <c r="DV56" s="409"/>
      <c r="DW56" s="409"/>
      <c r="DX56" s="409"/>
      <c r="DY56" s="409"/>
      <c r="DZ56" s="409"/>
      <c r="EA56" s="409"/>
      <c r="EB56" s="409"/>
      <c r="EC56" s="409"/>
      <c r="ED56" s="409"/>
      <c r="EE56" s="409"/>
      <c r="EF56" s="409"/>
      <c r="EG56" s="409"/>
      <c r="EH56" s="409"/>
      <c r="EI56" s="409"/>
      <c r="EJ56" s="409"/>
      <c r="EK56" s="409"/>
      <c r="EL56" s="409"/>
      <c r="EM56" s="409"/>
      <c r="EN56" s="409"/>
      <c r="EO56" s="409"/>
      <c r="EP56" s="409"/>
      <c r="EQ56" s="409"/>
      <c r="ER56" s="409"/>
      <c r="ES56" s="409"/>
      <c r="ET56" s="409"/>
      <c r="EU56" s="409"/>
      <c r="EV56" s="409"/>
      <c r="EW56" s="409"/>
      <c r="EX56" s="409"/>
      <c r="EY56" s="409"/>
      <c r="EZ56" s="409"/>
      <c r="FA56" s="409"/>
      <c r="FB56" s="409"/>
      <c r="FC56" s="409"/>
      <c r="FD56" s="409"/>
      <c r="FE56" s="409"/>
      <c r="FF56" s="409"/>
      <c r="FG56" s="409"/>
      <c r="FH56" s="409"/>
      <c r="FI56" s="409"/>
      <c r="FJ56" s="409"/>
      <c r="FK56" s="409"/>
      <c r="FL56" s="409"/>
      <c r="FM56" s="409"/>
      <c r="FN56" s="409"/>
      <c r="FO56" s="409"/>
      <c r="FP56" s="409"/>
      <c r="FQ56" s="409"/>
      <c r="FR56" s="409"/>
      <c r="FS56" s="409"/>
      <c r="FT56" s="409"/>
      <c r="FU56" s="409"/>
      <c r="FV56" s="409"/>
      <c r="FW56" s="409"/>
      <c r="FX56" s="409"/>
      <c r="FY56" s="409"/>
      <c r="FZ56" s="409"/>
      <c r="GA56" s="409"/>
      <c r="GB56" s="409"/>
      <c r="GC56" s="409"/>
      <c r="GD56" s="409"/>
      <c r="GE56" s="409"/>
      <c r="GF56" s="409"/>
      <c r="GG56" s="409"/>
      <c r="GH56" s="409"/>
      <c r="GI56" s="409"/>
      <c r="GJ56" s="409"/>
      <c r="GK56" s="409"/>
      <c r="GL56" s="409"/>
      <c r="GM56" s="409"/>
      <c r="GN56" s="409"/>
      <c r="GO56" s="409"/>
      <c r="GP56" s="409"/>
      <c r="GQ56" s="409"/>
      <c r="GR56" s="409"/>
      <c r="GS56" s="409"/>
      <c r="GT56" s="409"/>
      <c r="GU56" s="409"/>
      <c r="GV56" s="409"/>
      <c r="GW56" s="409"/>
      <c r="GX56" s="409"/>
      <c r="GY56" s="409"/>
      <c r="GZ56" s="409"/>
      <c r="HA56" s="409"/>
      <c r="HB56" s="409"/>
      <c r="HC56" s="409"/>
      <c r="HD56" s="409"/>
      <c r="HE56" s="409"/>
      <c r="HF56" s="409"/>
      <c r="HG56" s="409"/>
      <c r="HH56" s="409"/>
      <c r="HI56" s="409"/>
      <c r="HJ56" s="409"/>
      <c r="HK56" s="409"/>
      <c r="HL56" s="409"/>
      <c r="HM56" s="409"/>
      <c r="HN56" s="409"/>
      <c r="HO56" s="409"/>
      <c r="HP56" s="409"/>
      <c r="HQ56" s="409"/>
      <c r="HR56" s="409"/>
      <c r="HS56" s="409"/>
      <c r="HT56" s="409"/>
      <c r="HU56" s="409"/>
      <c r="HV56" s="409"/>
      <c r="HW56" s="409"/>
      <c r="HX56" s="409"/>
      <c r="HY56" s="409"/>
      <c r="HZ56" s="409"/>
      <c r="IA56" s="409"/>
      <c r="IB56" s="409"/>
      <c r="IC56" s="409"/>
      <c r="ID56" s="409"/>
      <c r="IE56" s="409"/>
      <c r="IF56" s="409"/>
      <c r="IG56" s="409"/>
      <c r="IH56" s="409"/>
      <c r="II56" s="409"/>
      <c r="IJ56" s="409"/>
      <c r="IK56" s="409"/>
      <c r="IL56" s="409"/>
      <c r="IM56" s="409"/>
      <c r="IN56" s="409"/>
      <c r="IO56" s="409"/>
      <c r="IP56" s="409"/>
      <c r="IQ56" s="409"/>
      <c r="IR56" s="409"/>
      <c r="IS56" s="409"/>
      <c r="IT56" s="409"/>
      <c r="IU56" s="409"/>
      <c r="IV56" s="409"/>
      <c r="IW56" s="409"/>
      <c r="IX56" s="409"/>
      <c r="IY56" s="409"/>
      <c r="IZ56" s="409"/>
      <c r="JA56" s="409"/>
      <c r="JB56" s="409"/>
      <c r="JC56" s="409"/>
      <c r="JD56" s="409"/>
    </row>
    <row r="57" spans="1:264" s="867" customFormat="1" ht="13.8" outlineLevel="1">
      <c r="A57" s="895"/>
      <c r="B57" s="885"/>
      <c r="C57" s="835"/>
      <c r="D57" s="885"/>
      <c r="E57" s="435"/>
      <c r="F57" s="435"/>
      <c r="G57" s="435"/>
      <c r="H57" s="870"/>
      <c r="I57" s="871"/>
      <c r="J57" s="864"/>
      <c r="K57" s="863"/>
      <c r="L57" s="863"/>
      <c r="M57" s="863"/>
      <c r="N57" s="863"/>
      <c r="O57" s="863"/>
      <c r="P57" s="863"/>
      <c r="Q57" s="863"/>
      <c r="R57" s="863"/>
      <c r="S57" s="863"/>
      <c r="T57" s="864"/>
      <c r="U57" s="864"/>
      <c r="V57" s="864"/>
      <c r="W57" s="864"/>
      <c r="X57" s="864"/>
      <c r="Y57" s="864"/>
      <c r="Z57" s="864"/>
      <c r="AA57" s="864"/>
      <c r="AB57" s="864"/>
      <c r="AC57" s="864"/>
      <c r="AD57" s="864"/>
      <c r="AE57" s="864"/>
      <c r="AF57" s="864"/>
      <c r="AG57" s="864"/>
      <c r="AH57" s="864"/>
      <c r="AI57" s="864"/>
      <c r="AJ57" s="864"/>
      <c r="AK57" s="864"/>
      <c r="AL57" s="864"/>
      <c r="AM57" s="864"/>
      <c r="AN57" s="435"/>
      <c r="AO57" s="864"/>
      <c r="AP57" s="864"/>
      <c r="AQ57" s="864"/>
      <c r="AR57" s="864"/>
      <c r="AS57" s="864"/>
      <c r="AT57" s="864"/>
      <c r="AU57" s="864"/>
      <c r="AV57" s="864"/>
      <c r="AW57" s="864"/>
      <c r="AX57" s="864"/>
      <c r="AY57" s="864"/>
      <c r="AZ57" s="864"/>
      <c r="BA57" s="864"/>
      <c r="BB57" s="864"/>
      <c r="BC57" s="864"/>
      <c r="BD57" s="864"/>
      <c r="BE57" s="864"/>
      <c r="BF57" s="864"/>
      <c r="BG57" s="864"/>
      <c r="BH57" s="864"/>
      <c r="BI57" s="864"/>
      <c r="BJ57" s="864"/>
      <c r="BK57" s="864"/>
      <c r="BL57" s="864"/>
      <c r="BM57" s="864"/>
      <c r="BN57" s="864"/>
      <c r="BO57" s="864"/>
      <c r="BP57" s="864"/>
      <c r="BQ57" s="864"/>
      <c r="BR57" s="864"/>
      <c r="BS57" s="864"/>
      <c r="BT57" s="864"/>
      <c r="BU57" s="864"/>
      <c r="BV57" s="863"/>
      <c r="BW57" s="864"/>
      <c r="BX57" s="864"/>
      <c r="BY57" s="864"/>
      <c r="BZ57" s="864"/>
      <c r="CA57" s="864"/>
      <c r="CB57" s="864"/>
      <c r="CC57" s="864"/>
      <c r="CD57" s="864"/>
      <c r="CE57" s="864"/>
      <c r="CF57" s="864"/>
      <c r="CG57" s="864"/>
      <c r="CH57" s="864"/>
      <c r="CI57" s="863"/>
      <c r="CJ57" s="863"/>
      <c r="CK57" s="863"/>
      <c r="CL57" s="863"/>
      <c r="CM57" s="863"/>
      <c r="CN57" s="863"/>
      <c r="CO57" s="863"/>
      <c r="CP57" s="863"/>
      <c r="CQ57" s="863"/>
      <c r="CR57" s="863"/>
      <c r="CS57" s="863"/>
      <c r="CT57" s="863"/>
      <c r="CU57" s="863"/>
      <c r="CV57" s="863"/>
      <c r="CW57" s="863"/>
      <c r="CX57" s="863"/>
      <c r="CY57" s="863"/>
      <c r="CZ57" s="863"/>
      <c r="DA57" s="863"/>
      <c r="DB57" s="863"/>
      <c r="DC57" s="863"/>
      <c r="DD57" s="863"/>
      <c r="DE57" s="863"/>
      <c r="DF57" s="863"/>
      <c r="DG57" s="863"/>
      <c r="DH57" s="863"/>
      <c r="DI57" s="863"/>
      <c r="DJ57" s="863"/>
      <c r="DK57" s="863"/>
      <c r="DL57" s="866"/>
      <c r="DN57" s="409"/>
      <c r="DO57" s="409"/>
      <c r="DP57" s="409"/>
      <c r="DQ57" s="409"/>
      <c r="DR57" s="409"/>
      <c r="DS57" s="409"/>
      <c r="DT57" s="409"/>
      <c r="DU57" s="409"/>
      <c r="DV57" s="409"/>
      <c r="DW57" s="409"/>
      <c r="DX57" s="409"/>
      <c r="DY57" s="409"/>
      <c r="DZ57" s="409"/>
      <c r="EA57" s="409"/>
      <c r="EB57" s="409"/>
      <c r="EC57" s="409"/>
      <c r="ED57" s="409"/>
      <c r="EE57" s="409"/>
      <c r="EF57" s="409"/>
      <c r="EG57" s="409"/>
      <c r="EH57" s="409"/>
      <c r="EI57" s="409"/>
      <c r="EJ57" s="409"/>
      <c r="EK57" s="409"/>
      <c r="EL57" s="409"/>
      <c r="EM57" s="409"/>
      <c r="EN57" s="409"/>
      <c r="EO57" s="409"/>
      <c r="EP57" s="409"/>
      <c r="EQ57" s="409"/>
      <c r="ER57" s="409"/>
      <c r="ES57" s="409"/>
      <c r="ET57" s="409"/>
      <c r="EU57" s="409"/>
      <c r="EV57" s="409"/>
      <c r="EW57" s="409"/>
      <c r="EX57" s="409"/>
      <c r="EY57" s="409"/>
      <c r="EZ57" s="409"/>
      <c r="FA57" s="409"/>
      <c r="FB57" s="409"/>
      <c r="FC57" s="409"/>
      <c r="FD57" s="409"/>
      <c r="FE57" s="409"/>
      <c r="FF57" s="409"/>
      <c r="FG57" s="409"/>
      <c r="FH57" s="409"/>
      <c r="FI57" s="409"/>
      <c r="FJ57" s="409"/>
      <c r="FK57" s="409"/>
      <c r="FL57" s="409"/>
      <c r="FM57" s="409"/>
      <c r="FN57" s="409"/>
      <c r="FO57" s="409"/>
      <c r="FP57" s="409"/>
      <c r="FQ57" s="409"/>
      <c r="FR57" s="409"/>
      <c r="FS57" s="409"/>
      <c r="FT57" s="409"/>
      <c r="FU57" s="409"/>
      <c r="FV57" s="409"/>
      <c r="FW57" s="409"/>
      <c r="FX57" s="409"/>
      <c r="FY57" s="409"/>
      <c r="FZ57" s="409"/>
      <c r="GA57" s="409"/>
      <c r="GB57" s="409"/>
      <c r="GC57" s="409"/>
      <c r="GD57" s="409"/>
      <c r="GE57" s="409"/>
      <c r="GF57" s="409"/>
      <c r="GG57" s="409"/>
      <c r="GH57" s="409"/>
      <c r="GI57" s="409"/>
      <c r="GJ57" s="409"/>
      <c r="GK57" s="409"/>
      <c r="GL57" s="409"/>
      <c r="GM57" s="409"/>
      <c r="GN57" s="409"/>
      <c r="GO57" s="409"/>
      <c r="GP57" s="409"/>
      <c r="GQ57" s="409"/>
      <c r="GR57" s="409"/>
      <c r="GS57" s="409"/>
      <c r="GT57" s="409"/>
      <c r="GU57" s="409"/>
      <c r="GV57" s="409"/>
      <c r="GW57" s="409"/>
      <c r="GX57" s="409"/>
      <c r="GY57" s="409"/>
      <c r="GZ57" s="409"/>
      <c r="HA57" s="409"/>
      <c r="HB57" s="409"/>
      <c r="HC57" s="409"/>
      <c r="HD57" s="409"/>
      <c r="HE57" s="409"/>
      <c r="HF57" s="409"/>
      <c r="HG57" s="409"/>
      <c r="HH57" s="409"/>
      <c r="HI57" s="409"/>
      <c r="HJ57" s="409"/>
      <c r="HK57" s="409"/>
      <c r="HL57" s="409"/>
      <c r="HM57" s="409"/>
      <c r="HN57" s="409"/>
      <c r="HO57" s="409"/>
      <c r="HP57" s="409"/>
      <c r="HQ57" s="409"/>
      <c r="HR57" s="409"/>
      <c r="HS57" s="409"/>
      <c r="HT57" s="409"/>
      <c r="HU57" s="409"/>
      <c r="HV57" s="409"/>
      <c r="HW57" s="409"/>
      <c r="HX57" s="409"/>
      <c r="HY57" s="409"/>
      <c r="HZ57" s="409"/>
      <c r="IA57" s="409"/>
      <c r="IB57" s="409"/>
      <c r="IC57" s="409"/>
      <c r="ID57" s="409"/>
      <c r="IE57" s="409"/>
      <c r="IF57" s="409"/>
      <c r="IG57" s="409"/>
      <c r="IH57" s="409"/>
      <c r="II57" s="409"/>
      <c r="IJ57" s="409"/>
      <c r="IK57" s="409"/>
      <c r="IL57" s="409"/>
      <c r="IM57" s="409"/>
      <c r="IN57" s="409"/>
      <c r="IO57" s="409"/>
      <c r="IP57" s="409"/>
      <c r="IQ57" s="409"/>
      <c r="IR57" s="409"/>
      <c r="IS57" s="409"/>
      <c r="IT57" s="409"/>
      <c r="IU57" s="409"/>
      <c r="IV57" s="409"/>
      <c r="IW57" s="409"/>
      <c r="IX57" s="409"/>
      <c r="IY57" s="409"/>
      <c r="IZ57" s="409"/>
      <c r="JA57" s="409"/>
      <c r="JB57" s="409"/>
      <c r="JC57" s="409"/>
      <c r="JD57" s="409"/>
    </row>
    <row r="58" spans="1:264" s="867" customFormat="1" ht="13.8" outlineLevel="1">
      <c r="A58" s="895"/>
      <c r="B58" s="885"/>
      <c r="C58" s="835"/>
      <c r="D58" s="885"/>
      <c r="E58" s="435"/>
      <c r="F58" s="435"/>
      <c r="G58" s="435"/>
      <c r="H58" s="870"/>
      <c r="I58" s="871"/>
      <c r="J58" s="864"/>
      <c r="K58" s="863"/>
      <c r="L58" s="863"/>
      <c r="M58" s="863"/>
      <c r="N58" s="863"/>
      <c r="O58" s="863"/>
      <c r="P58" s="863"/>
      <c r="Q58" s="863"/>
      <c r="R58" s="863"/>
      <c r="S58" s="863"/>
      <c r="T58" s="864"/>
      <c r="U58" s="864"/>
      <c r="V58" s="864"/>
      <c r="W58" s="864"/>
      <c r="X58" s="864"/>
      <c r="Y58" s="864"/>
      <c r="Z58" s="864"/>
      <c r="AA58" s="864"/>
      <c r="AB58" s="864"/>
      <c r="AC58" s="864"/>
      <c r="AD58" s="864"/>
      <c r="AE58" s="864"/>
      <c r="AF58" s="864"/>
      <c r="AG58" s="864"/>
      <c r="AH58" s="864"/>
      <c r="AI58" s="864"/>
      <c r="AJ58" s="864"/>
      <c r="AK58" s="864"/>
      <c r="AL58" s="864"/>
      <c r="AM58" s="864"/>
      <c r="AN58" s="435"/>
      <c r="AO58" s="864"/>
      <c r="AP58" s="864"/>
      <c r="AQ58" s="864"/>
      <c r="AR58" s="864"/>
      <c r="AS58" s="864"/>
      <c r="AT58" s="864"/>
      <c r="AU58" s="864"/>
      <c r="AV58" s="864"/>
      <c r="AW58" s="864"/>
      <c r="AX58" s="864"/>
      <c r="AY58" s="864"/>
      <c r="AZ58" s="864"/>
      <c r="BA58" s="864"/>
      <c r="BB58" s="864"/>
      <c r="BC58" s="864"/>
      <c r="BD58" s="864"/>
      <c r="BE58" s="864"/>
      <c r="BF58" s="864"/>
      <c r="BG58" s="864"/>
      <c r="BH58" s="864"/>
      <c r="BI58" s="864"/>
      <c r="BJ58" s="864"/>
      <c r="BK58" s="864"/>
      <c r="BL58" s="864"/>
      <c r="BM58" s="864"/>
      <c r="BN58" s="864"/>
      <c r="BO58" s="864"/>
      <c r="BP58" s="864"/>
      <c r="BQ58" s="864"/>
      <c r="BR58" s="864"/>
      <c r="BS58" s="864"/>
      <c r="BT58" s="864"/>
      <c r="BU58" s="864"/>
      <c r="BV58" s="863"/>
      <c r="BW58" s="864"/>
      <c r="BX58" s="864"/>
      <c r="BY58" s="864"/>
      <c r="BZ58" s="864"/>
      <c r="CA58" s="864"/>
      <c r="CB58" s="864"/>
      <c r="CC58" s="864"/>
      <c r="CD58" s="864"/>
      <c r="CE58" s="864"/>
      <c r="CF58" s="864"/>
      <c r="CG58" s="864"/>
      <c r="CH58" s="864"/>
      <c r="CI58" s="863"/>
      <c r="CJ58" s="863"/>
      <c r="CK58" s="863"/>
      <c r="CL58" s="863"/>
      <c r="CM58" s="863"/>
      <c r="CN58" s="863"/>
      <c r="CO58" s="863"/>
      <c r="CP58" s="863"/>
      <c r="CQ58" s="863"/>
      <c r="CR58" s="863"/>
      <c r="CS58" s="863"/>
      <c r="CT58" s="863"/>
      <c r="CU58" s="863"/>
      <c r="CV58" s="863"/>
      <c r="CW58" s="863"/>
      <c r="CX58" s="863"/>
      <c r="CY58" s="863"/>
      <c r="CZ58" s="863"/>
      <c r="DA58" s="863"/>
      <c r="DB58" s="863"/>
      <c r="DC58" s="863"/>
      <c r="DD58" s="863"/>
      <c r="DE58" s="863"/>
      <c r="DF58" s="863"/>
      <c r="DG58" s="863"/>
      <c r="DH58" s="863"/>
      <c r="DI58" s="863"/>
      <c r="DJ58" s="863"/>
      <c r="DK58" s="863"/>
      <c r="DL58" s="866"/>
      <c r="DN58" s="409"/>
      <c r="DO58" s="409"/>
      <c r="DP58" s="409"/>
      <c r="DQ58" s="409"/>
      <c r="DR58" s="409"/>
      <c r="DS58" s="409"/>
      <c r="DT58" s="409"/>
      <c r="DU58" s="409"/>
      <c r="DV58" s="409"/>
      <c r="DW58" s="409"/>
      <c r="DX58" s="409"/>
      <c r="DY58" s="409"/>
      <c r="DZ58" s="409"/>
      <c r="EA58" s="409"/>
      <c r="EB58" s="409"/>
      <c r="EC58" s="409"/>
      <c r="ED58" s="409"/>
      <c r="EE58" s="409"/>
      <c r="EF58" s="409"/>
      <c r="EG58" s="409"/>
      <c r="EH58" s="409"/>
      <c r="EI58" s="409"/>
      <c r="EJ58" s="409"/>
      <c r="EK58" s="409"/>
      <c r="EL58" s="409"/>
      <c r="EM58" s="409"/>
      <c r="EN58" s="409"/>
      <c r="EO58" s="409"/>
      <c r="EP58" s="409"/>
      <c r="EQ58" s="409"/>
      <c r="ER58" s="409"/>
      <c r="ES58" s="409"/>
      <c r="ET58" s="409"/>
      <c r="EU58" s="409"/>
      <c r="EV58" s="409"/>
      <c r="EW58" s="409"/>
      <c r="EX58" s="409"/>
      <c r="EY58" s="409"/>
      <c r="EZ58" s="409"/>
      <c r="FA58" s="409"/>
      <c r="FB58" s="409"/>
      <c r="FC58" s="409"/>
      <c r="FD58" s="409"/>
      <c r="FE58" s="409"/>
      <c r="FF58" s="409"/>
      <c r="FG58" s="409"/>
      <c r="FH58" s="409"/>
      <c r="FI58" s="409"/>
      <c r="FJ58" s="409"/>
      <c r="FK58" s="409"/>
      <c r="FL58" s="409"/>
      <c r="FM58" s="409"/>
      <c r="FN58" s="409"/>
      <c r="FO58" s="409"/>
      <c r="FP58" s="409"/>
      <c r="FQ58" s="409"/>
      <c r="FR58" s="409"/>
      <c r="FS58" s="409"/>
      <c r="FT58" s="409"/>
      <c r="FU58" s="409"/>
      <c r="FV58" s="409"/>
      <c r="FW58" s="409"/>
      <c r="FX58" s="409"/>
      <c r="FY58" s="409"/>
      <c r="FZ58" s="409"/>
      <c r="GA58" s="409"/>
      <c r="GB58" s="409"/>
      <c r="GC58" s="409"/>
      <c r="GD58" s="409"/>
      <c r="GE58" s="409"/>
      <c r="GF58" s="409"/>
      <c r="GG58" s="409"/>
      <c r="GH58" s="409"/>
      <c r="GI58" s="409"/>
      <c r="GJ58" s="409"/>
      <c r="GK58" s="409"/>
      <c r="GL58" s="409"/>
      <c r="GM58" s="409"/>
      <c r="GN58" s="409"/>
      <c r="GO58" s="409"/>
      <c r="GP58" s="409"/>
      <c r="GQ58" s="409"/>
      <c r="GR58" s="409"/>
      <c r="GS58" s="409"/>
      <c r="GT58" s="409"/>
      <c r="GU58" s="409"/>
      <c r="GV58" s="409"/>
      <c r="GW58" s="409"/>
      <c r="GX58" s="409"/>
      <c r="GY58" s="409"/>
      <c r="GZ58" s="409"/>
      <c r="HA58" s="409"/>
      <c r="HB58" s="409"/>
      <c r="HC58" s="409"/>
      <c r="HD58" s="409"/>
      <c r="HE58" s="409"/>
      <c r="HF58" s="409"/>
      <c r="HG58" s="409"/>
      <c r="HH58" s="409"/>
      <c r="HI58" s="409"/>
      <c r="HJ58" s="409"/>
      <c r="HK58" s="409"/>
      <c r="HL58" s="409"/>
      <c r="HM58" s="409"/>
      <c r="HN58" s="409"/>
      <c r="HO58" s="409"/>
      <c r="HP58" s="409"/>
      <c r="HQ58" s="409"/>
      <c r="HR58" s="409"/>
      <c r="HS58" s="409"/>
      <c r="HT58" s="409"/>
      <c r="HU58" s="409"/>
      <c r="HV58" s="409"/>
      <c r="HW58" s="409"/>
      <c r="HX58" s="409"/>
      <c r="HY58" s="409"/>
      <c r="HZ58" s="409"/>
      <c r="IA58" s="409"/>
      <c r="IB58" s="409"/>
      <c r="IC58" s="409"/>
      <c r="ID58" s="409"/>
      <c r="IE58" s="409"/>
      <c r="IF58" s="409"/>
      <c r="IG58" s="409"/>
      <c r="IH58" s="409"/>
      <c r="II58" s="409"/>
      <c r="IJ58" s="409"/>
      <c r="IK58" s="409"/>
      <c r="IL58" s="409"/>
      <c r="IM58" s="409"/>
      <c r="IN58" s="409"/>
      <c r="IO58" s="409"/>
      <c r="IP58" s="409"/>
      <c r="IQ58" s="409"/>
      <c r="IR58" s="409"/>
      <c r="IS58" s="409"/>
      <c r="IT58" s="409"/>
      <c r="IU58" s="409"/>
      <c r="IV58" s="409"/>
      <c r="IW58" s="409"/>
      <c r="IX58" s="409"/>
      <c r="IY58" s="409"/>
      <c r="IZ58" s="409"/>
      <c r="JA58" s="409"/>
      <c r="JB58" s="409"/>
      <c r="JC58" s="409"/>
      <c r="JD58" s="409"/>
    </row>
    <row r="59" spans="1:264" s="867" customFormat="1" ht="13.8" outlineLevel="1">
      <c r="A59" s="895"/>
      <c r="B59" s="885"/>
      <c r="C59" s="835"/>
      <c r="D59" s="885"/>
      <c r="E59" s="435"/>
      <c r="F59" s="435"/>
      <c r="G59" s="435"/>
      <c r="H59" s="870"/>
      <c r="I59" s="871"/>
      <c r="J59" s="864"/>
      <c r="K59" s="863"/>
      <c r="L59" s="863"/>
      <c r="M59" s="863"/>
      <c r="N59" s="863"/>
      <c r="O59" s="863"/>
      <c r="P59" s="863"/>
      <c r="Q59" s="863"/>
      <c r="R59" s="863"/>
      <c r="S59" s="863"/>
      <c r="T59" s="864"/>
      <c r="U59" s="864"/>
      <c r="V59" s="864"/>
      <c r="W59" s="864"/>
      <c r="X59" s="864"/>
      <c r="Y59" s="864"/>
      <c r="Z59" s="864"/>
      <c r="AA59" s="864"/>
      <c r="AB59" s="864"/>
      <c r="AC59" s="864"/>
      <c r="AD59" s="864"/>
      <c r="AE59" s="864"/>
      <c r="AF59" s="864"/>
      <c r="AG59" s="864"/>
      <c r="AH59" s="864"/>
      <c r="AI59" s="864"/>
      <c r="AJ59" s="864"/>
      <c r="AK59" s="864"/>
      <c r="AL59" s="864"/>
      <c r="AM59" s="864"/>
      <c r="AN59" s="435"/>
      <c r="AO59" s="864"/>
      <c r="AP59" s="864"/>
      <c r="AQ59" s="864"/>
      <c r="AR59" s="864"/>
      <c r="AS59" s="864"/>
      <c r="AT59" s="864"/>
      <c r="AU59" s="864"/>
      <c r="AV59" s="864"/>
      <c r="AW59" s="864"/>
      <c r="AX59" s="864"/>
      <c r="AY59" s="864"/>
      <c r="AZ59" s="864"/>
      <c r="BA59" s="864"/>
      <c r="BB59" s="864"/>
      <c r="BC59" s="864"/>
      <c r="BD59" s="864"/>
      <c r="BE59" s="864"/>
      <c r="BF59" s="864"/>
      <c r="BG59" s="864"/>
      <c r="BH59" s="864"/>
      <c r="BI59" s="864"/>
      <c r="BJ59" s="864"/>
      <c r="BK59" s="864"/>
      <c r="BL59" s="864"/>
      <c r="BM59" s="864"/>
      <c r="BN59" s="864"/>
      <c r="BO59" s="864"/>
      <c r="BP59" s="864"/>
      <c r="BQ59" s="864"/>
      <c r="BR59" s="864"/>
      <c r="BS59" s="864"/>
      <c r="BT59" s="864"/>
      <c r="BU59" s="864"/>
      <c r="BV59" s="863"/>
      <c r="BW59" s="864"/>
      <c r="BX59" s="864"/>
      <c r="BY59" s="864"/>
      <c r="BZ59" s="864"/>
      <c r="CA59" s="864"/>
      <c r="CB59" s="864"/>
      <c r="CC59" s="864"/>
      <c r="CD59" s="864"/>
      <c r="CE59" s="864"/>
      <c r="CF59" s="864"/>
      <c r="CG59" s="864"/>
      <c r="CH59" s="864"/>
      <c r="CI59" s="863"/>
      <c r="CJ59" s="863"/>
      <c r="CK59" s="863"/>
      <c r="CL59" s="863"/>
      <c r="CM59" s="863"/>
      <c r="CN59" s="863"/>
      <c r="CO59" s="863"/>
      <c r="CP59" s="863"/>
      <c r="CQ59" s="863"/>
      <c r="CR59" s="863"/>
      <c r="CS59" s="863"/>
      <c r="CT59" s="863"/>
      <c r="CU59" s="863"/>
      <c r="CV59" s="863"/>
      <c r="CW59" s="863"/>
      <c r="CX59" s="863"/>
      <c r="CY59" s="863"/>
      <c r="CZ59" s="863"/>
      <c r="DA59" s="863"/>
      <c r="DB59" s="863"/>
      <c r="DC59" s="863"/>
      <c r="DD59" s="863"/>
      <c r="DE59" s="863"/>
      <c r="DF59" s="863"/>
      <c r="DG59" s="863"/>
      <c r="DH59" s="863"/>
      <c r="DI59" s="863"/>
      <c r="DJ59" s="863"/>
      <c r="DK59" s="863"/>
      <c r="DL59" s="866"/>
      <c r="DN59" s="409"/>
      <c r="DO59" s="409"/>
      <c r="DP59" s="409"/>
      <c r="DQ59" s="409"/>
      <c r="DR59" s="409"/>
      <c r="DS59" s="409"/>
      <c r="DT59" s="409"/>
      <c r="DU59" s="409"/>
      <c r="DV59" s="409"/>
      <c r="DW59" s="409"/>
      <c r="DX59" s="409"/>
      <c r="DY59" s="409"/>
      <c r="DZ59" s="409"/>
      <c r="EA59" s="409"/>
      <c r="EB59" s="409"/>
      <c r="EC59" s="409"/>
      <c r="ED59" s="409"/>
      <c r="EE59" s="409"/>
      <c r="EF59" s="409"/>
      <c r="EG59" s="409"/>
      <c r="EH59" s="409"/>
      <c r="EI59" s="409"/>
      <c r="EJ59" s="409"/>
      <c r="EK59" s="409"/>
      <c r="EL59" s="409"/>
      <c r="EM59" s="409"/>
      <c r="EN59" s="409"/>
      <c r="EO59" s="409"/>
      <c r="EP59" s="409"/>
      <c r="EQ59" s="409"/>
      <c r="ER59" s="409"/>
      <c r="ES59" s="409"/>
      <c r="ET59" s="409"/>
      <c r="EU59" s="409"/>
      <c r="EV59" s="409"/>
      <c r="EW59" s="409"/>
      <c r="EX59" s="409"/>
      <c r="EY59" s="409"/>
      <c r="EZ59" s="409"/>
      <c r="FA59" s="409"/>
      <c r="FB59" s="409"/>
      <c r="FC59" s="409"/>
      <c r="FD59" s="409"/>
      <c r="FE59" s="409"/>
      <c r="FF59" s="409"/>
      <c r="FG59" s="409"/>
      <c r="FH59" s="409"/>
      <c r="FI59" s="409"/>
      <c r="FJ59" s="409"/>
      <c r="FK59" s="409"/>
      <c r="FL59" s="409"/>
      <c r="FM59" s="409"/>
      <c r="FN59" s="409"/>
      <c r="FO59" s="409"/>
      <c r="FP59" s="409"/>
      <c r="FQ59" s="409"/>
      <c r="FR59" s="409"/>
      <c r="FS59" s="409"/>
      <c r="FT59" s="409"/>
      <c r="FU59" s="409"/>
      <c r="FV59" s="409"/>
      <c r="FW59" s="409"/>
      <c r="FX59" s="409"/>
      <c r="FY59" s="409"/>
      <c r="FZ59" s="409"/>
      <c r="GA59" s="409"/>
      <c r="GB59" s="409"/>
      <c r="GC59" s="409"/>
      <c r="GD59" s="409"/>
      <c r="GE59" s="409"/>
      <c r="GF59" s="409"/>
      <c r="GG59" s="409"/>
      <c r="GH59" s="409"/>
      <c r="GI59" s="409"/>
      <c r="GJ59" s="409"/>
      <c r="GK59" s="409"/>
      <c r="GL59" s="409"/>
      <c r="GM59" s="409"/>
      <c r="GN59" s="409"/>
      <c r="GO59" s="409"/>
      <c r="GP59" s="409"/>
      <c r="GQ59" s="409"/>
      <c r="GR59" s="409"/>
      <c r="GS59" s="409"/>
      <c r="GT59" s="409"/>
      <c r="GU59" s="409"/>
      <c r="GV59" s="409"/>
      <c r="GW59" s="409"/>
      <c r="GX59" s="409"/>
      <c r="GY59" s="409"/>
      <c r="GZ59" s="409"/>
      <c r="HA59" s="409"/>
      <c r="HB59" s="409"/>
      <c r="HC59" s="409"/>
      <c r="HD59" s="409"/>
      <c r="HE59" s="409"/>
      <c r="HF59" s="409"/>
      <c r="HG59" s="409"/>
      <c r="HH59" s="409"/>
      <c r="HI59" s="409"/>
      <c r="HJ59" s="409"/>
      <c r="HK59" s="409"/>
      <c r="HL59" s="409"/>
      <c r="HM59" s="409"/>
      <c r="HN59" s="409"/>
      <c r="HO59" s="409"/>
      <c r="HP59" s="409"/>
      <c r="HQ59" s="409"/>
      <c r="HR59" s="409"/>
      <c r="HS59" s="409"/>
      <c r="HT59" s="409"/>
      <c r="HU59" s="409"/>
      <c r="HV59" s="409"/>
      <c r="HW59" s="409"/>
      <c r="HX59" s="409"/>
      <c r="HY59" s="409"/>
      <c r="HZ59" s="409"/>
      <c r="IA59" s="409"/>
      <c r="IB59" s="409"/>
      <c r="IC59" s="409"/>
      <c r="ID59" s="409"/>
      <c r="IE59" s="409"/>
      <c r="IF59" s="409"/>
      <c r="IG59" s="409"/>
      <c r="IH59" s="409"/>
      <c r="II59" s="409"/>
      <c r="IJ59" s="409"/>
      <c r="IK59" s="409"/>
      <c r="IL59" s="409"/>
      <c r="IM59" s="409"/>
      <c r="IN59" s="409"/>
      <c r="IO59" s="409"/>
      <c r="IP59" s="409"/>
      <c r="IQ59" s="409"/>
      <c r="IR59" s="409"/>
      <c r="IS59" s="409"/>
      <c r="IT59" s="409"/>
      <c r="IU59" s="409"/>
      <c r="IV59" s="409"/>
      <c r="IW59" s="409"/>
      <c r="IX59" s="409"/>
      <c r="IY59" s="409"/>
      <c r="IZ59" s="409"/>
      <c r="JA59" s="409"/>
      <c r="JB59" s="409"/>
      <c r="JC59" s="409"/>
      <c r="JD59" s="409"/>
    </row>
    <row r="60" spans="1:264" s="867" customFormat="1" ht="13.8" outlineLevel="1">
      <c r="A60" s="895"/>
      <c r="B60" s="885"/>
      <c r="C60" s="835"/>
      <c r="D60" s="885"/>
      <c r="E60" s="435"/>
      <c r="F60" s="435"/>
      <c r="G60" s="435"/>
      <c r="H60" s="870"/>
      <c r="I60" s="871"/>
      <c r="J60" s="864"/>
      <c r="K60" s="863"/>
      <c r="L60" s="863"/>
      <c r="M60" s="863"/>
      <c r="N60" s="863"/>
      <c r="O60" s="863"/>
      <c r="P60" s="863"/>
      <c r="Q60" s="863"/>
      <c r="R60" s="863"/>
      <c r="S60" s="863"/>
      <c r="T60" s="864"/>
      <c r="U60" s="864"/>
      <c r="V60" s="864"/>
      <c r="W60" s="864"/>
      <c r="X60" s="864"/>
      <c r="Y60" s="864"/>
      <c r="Z60" s="864"/>
      <c r="AA60" s="864"/>
      <c r="AB60" s="864"/>
      <c r="AC60" s="864"/>
      <c r="AD60" s="864"/>
      <c r="AE60" s="864"/>
      <c r="AF60" s="864"/>
      <c r="AG60" s="864"/>
      <c r="AH60" s="864"/>
      <c r="AI60" s="864"/>
      <c r="AJ60" s="864"/>
      <c r="AK60" s="864"/>
      <c r="AL60" s="864"/>
      <c r="AM60" s="864"/>
      <c r="AN60" s="435"/>
      <c r="AO60" s="864"/>
      <c r="AP60" s="864"/>
      <c r="AQ60" s="864"/>
      <c r="AR60" s="864"/>
      <c r="AS60" s="864"/>
      <c r="AT60" s="864"/>
      <c r="AU60" s="864"/>
      <c r="AV60" s="864"/>
      <c r="AW60" s="864"/>
      <c r="AX60" s="864"/>
      <c r="AY60" s="864"/>
      <c r="AZ60" s="864"/>
      <c r="BA60" s="864"/>
      <c r="BB60" s="864"/>
      <c r="BC60" s="864"/>
      <c r="BD60" s="864"/>
      <c r="BE60" s="864"/>
      <c r="BF60" s="864"/>
      <c r="BG60" s="864"/>
      <c r="BH60" s="864"/>
      <c r="BI60" s="864"/>
      <c r="BJ60" s="864"/>
      <c r="BK60" s="864"/>
      <c r="BL60" s="864"/>
      <c r="BM60" s="864"/>
      <c r="BN60" s="864"/>
      <c r="BO60" s="864"/>
      <c r="BP60" s="864"/>
      <c r="BQ60" s="864"/>
      <c r="BR60" s="864"/>
      <c r="BS60" s="864"/>
      <c r="BT60" s="864"/>
      <c r="BU60" s="864"/>
      <c r="BV60" s="863"/>
      <c r="BW60" s="864"/>
      <c r="BX60" s="864"/>
      <c r="BY60" s="864"/>
      <c r="BZ60" s="864"/>
      <c r="CA60" s="864"/>
      <c r="CB60" s="864"/>
      <c r="CC60" s="864"/>
      <c r="CD60" s="864"/>
      <c r="CE60" s="864"/>
      <c r="CF60" s="864"/>
      <c r="CG60" s="864"/>
      <c r="CH60" s="864"/>
      <c r="CI60" s="863"/>
      <c r="CJ60" s="863"/>
      <c r="CK60" s="863"/>
      <c r="CL60" s="863"/>
      <c r="CM60" s="863"/>
      <c r="CN60" s="863"/>
      <c r="CO60" s="863"/>
      <c r="CP60" s="863"/>
      <c r="CQ60" s="863"/>
      <c r="CR60" s="863"/>
      <c r="CS60" s="863"/>
      <c r="CT60" s="863"/>
      <c r="CU60" s="863"/>
      <c r="CV60" s="863"/>
      <c r="CW60" s="863"/>
      <c r="CX60" s="863"/>
      <c r="CY60" s="863"/>
      <c r="CZ60" s="863"/>
      <c r="DA60" s="863"/>
      <c r="DB60" s="863"/>
      <c r="DC60" s="863"/>
      <c r="DD60" s="863"/>
      <c r="DE60" s="863"/>
      <c r="DF60" s="863"/>
      <c r="DG60" s="863"/>
      <c r="DH60" s="863"/>
      <c r="DI60" s="863"/>
      <c r="DJ60" s="863"/>
      <c r="DK60" s="863"/>
      <c r="DL60" s="866"/>
      <c r="DN60" s="409"/>
      <c r="DO60" s="409"/>
      <c r="DP60" s="409"/>
      <c r="DQ60" s="409"/>
      <c r="DR60" s="409"/>
      <c r="DS60" s="409"/>
      <c r="DT60" s="409"/>
      <c r="DU60" s="409"/>
      <c r="DV60" s="409"/>
      <c r="DW60" s="409"/>
      <c r="DX60" s="409"/>
      <c r="DY60" s="409"/>
      <c r="DZ60" s="409"/>
      <c r="EA60" s="409"/>
      <c r="EB60" s="409"/>
      <c r="EC60" s="409"/>
      <c r="ED60" s="409"/>
      <c r="EE60" s="409"/>
      <c r="EF60" s="409"/>
      <c r="EG60" s="409"/>
      <c r="EH60" s="409"/>
      <c r="EI60" s="409"/>
      <c r="EJ60" s="409"/>
      <c r="EK60" s="409"/>
      <c r="EL60" s="409"/>
      <c r="EM60" s="409"/>
      <c r="EN60" s="409"/>
      <c r="EO60" s="409"/>
      <c r="EP60" s="409"/>
      <c r="EQ60" s="409"/>
      <c r="ER60" s="409"/>
      <c r="ES60" s="409"/>
      <c r="ET60" s="409"/>
      <c r="EU60" s="409"/>
      <c r="EV60" s="409"/>
      <c r="EW60" s="409"/>
      <c r="EX60" s="409"/>
      <c r="EY60" s="409"/>
      <c r="EZ60" s="409"/>
      <c r="FA60" s="409"/>
      <c r="FB60" s="409"/>
      <c r="FC60" s="409"/>
      <c r="FD60" s="409"/>
      <c r="FE60" s="409"/>
      <c r="FF60" s="409"/>
      <c r="FG60" s="409"/>
      <c r="FH60" s="409"/>
      <c r="FI60" s="409"/>
      <c r="FJ60" s="409"/>
      <c r="FK60" s="409"/>
      <c r="FL60" s="409"/>
      <c r="FM60" s="409"/>
      <c r="FN60" s="409"/>
      <c r="FO60" s="409"/>
      <c r="FP60" s="409"/>
      <c r="FQ60" s="409"/>
      <c r="FR60" s="409"/>
      <c r="FS60" s="409"/>
      <c r="FT60" s="409"/>
      <c r="FU60" s="409"/>
      <c r="FV60" s="409"/>
      <c r="FW60" s="409"/>
      <c r="FX60" s="409"/>
      <c r="FY60" s="409"/>
      <c r="FZ60" s="409"/>
      <c r="GA60" s="409"/>
      <c r="GB60" s="409"/>
      <c r="GC60" s="409"/>
      <c r="GD60" s="409"/>
      <c r="GE60" s="409"/>
      <c r="GF60" s="409"/>
      <c r="GG60" s="409"/>
      <c r="GH60" s="409"/>
      <c r="GI60" s="409"/>
      <c r="GJ60" s="409"/>
      <c r="GK60" s="409"/>
      <c r="GL60" s="409"/>
      <c r="GM60" s="409"/>
      <c r="GN60" s="409"/>
      <c r="GO60" s="409"/>
      <c r="GP60" s="409"/>
      <c r="GQ60" s="409"/>
      <c r="GR60" s="409"/>
      <c r="GS60" s="409"/>
      <c r="GT60" s="409"/>
      <c r="GU60" s="409"/>
      <c r="GV60" s="409"/>
      <c r="GW60" s="409"/>
      <c r="GX60" s="409"/>
      <c r="GY60" s="409"/>
      <c r="GZ60" s="409"/>
      <c r="HA60" s="409"/>
      <c r="HB60" s="409"/>
      <c r="HC60" s="409"/>
      <c r="HD60" s="409"/>
      <c r="HE60" s="409"/>
      <c r="HF60" s="409"/>
      <c r="HG60" s="409"/>
      <c r="HH60" s="409"/>
      <c r="HI60" s="409"/>
      <c r="HJ60" s="409"/>
      <c r="HK60" s="409"/>
      <c r="HL60" s="409"/>
      <c r="HM60" s="409"/>
      <c r="HN60" s="409"/>
      <c r="HO60" s="409"/>
      <c r="HP60" s="409"/>
      <c r="HQ60" s="409"/>
      <c r="HR60" s="409"/>
      <c r="HS60" s="409"/>
      <c r="HT60" s="409"/>
      <c r="HU60" s="409"/>
      <c r="HV60" s="409"/>
      <c r="HW60" s="409"/>
      <c r="HX60" s="409"/>
      <c r="HY60" s="409"/>
      <c r="HZ60" s="409"/>
      <c r="IA60" s="409"/>
      <c r="IB60" s="409"/>
      <c r="IC60" s="409"/>
      <c r="ID60" s="409"/>
      <c r="IE60" s="409"/>
      <c r="IF60" s="409"/>
      <c r="IG60" s="409"/>
      <c r="IH60" s="409"/>
      <c r="II60" s="409"/>
      <c r="IJ60" s="409"/>
      <c r="IK60" s="409"/>
      <c r="IL60" s="409"/>
      <c r="IM60" s="409"/>
      <c r="IN60" s="409"/>
      <c r="IO60" s="409"/>
      <c r="IP60" s="409"/>
      <c r="IQ60" s="409"/>
      <c r="IR60" s="409"/>
      <c r="IS60" s="409"/>
      <c r="IT60" s="409"/>
      <c r="IU60" s="409"/>
      <c r="IV60" s="409"/>
      <c r="IW60" s="409"/>
      <c r="IX60" s="409"/>
      <c r="IY60" s="409"/>
      <c r="IZ60" s="409"/>
      <c r="JA60" s="409"/>
      <c r="JB60" s="409"/>
      <c r="JC60" s="409"/>
      <c r="JD60" s="409"/>
    </row>
    <row r="61" spans="1:264" s="868" customFormat="1" ht="13.8">
      <c r="A61" s="887"/>
      <c r="B61" s="889"/>
      <c r="C61" s="889"/>
      <c r="D61" s="889"/>
      <c r="E61" s="889"/>
      <c r="F61" s="889"/>
      <c r="G61" s="889"/>
      <c r="H61" s="889"/>
      <c r="I61" s="889"/>
      <c r="J61" s="889"/>
      <c r="K61" s="889"/>
      <c r="L61" s="889"/>
      <c r="M61" s="889"/>
      <c r="N61" s="889"/>
      <c r="O61" s="889"/>
      <c r="P61" s="889"/>
      <c r="Q61" s="889"/>
      <c r="R61" s="889"/>
      <c r="S61" s="889"/>
      <c r="T61" s="889"/>
      <c r="U61" s="889"/>
      <c r="V61" s="889"/>
      <c r="W61" s="889"/>
      <c r="X61" s="889"/>
      <c r="Y61" s="889"/>
      <c r="Z61" s="889"/>
      <c r="AA61" s="889"/>
      <c r="AB61" s="889"/>
      <c r="AC61" s="889"/>
      <c r="AD61" s="889"/>
      <c r="AE61" s="889"/>
      <c r="AF61" s="889"/>
      <c r="AG61" s="889"/>
      <c r="AH61" s="889"/>
      <c r="AI61" s="889"/>
      <c r="AJ61" s="889"/>
      <c r="AK61" s="889"/>
      <c r="AL61" s="889"/>
      <c r="AM61" s="889"/>
      <c r="AN61" s="889"/>
      <c r="AO61" s="889"/>
      <c r="AP61" s="889"/>
      <c r="AQ61" s="889"/>
      <c r="AR61" s="889"/>
      <c r="AS61" s="889"/>
      <c r="AT61" s="889"/>
      <c r="AU61" s="889"/>
      <c r="AV61" s="889"/>
      <c r="AW61" s="889"/>
      <c r="AX61" s="889"/>
      <c r="AY61" s="889"/>
      <c r="AZ61" s="889"/>
      <c r="BA61" s="889"/>
      <c r="BB61" s="889"/>
      <c r="BC61" s="889"/>
      <c r="BD61" s="889"/>
      <c r="BE61" s="889"/>
      <c r="BF61" s="889"/>
      <c r="BG61" s="889"/>
      <c r="BH61" s="889"/>
      <c r="BI61" s="889"/>
      <c r="BJ61" s="889"/>
      <c r="BK61" s="889"/>
      <c r="BL61" s="889"/>
      <c r="BM61" s="889"/>
      <c r="BN61" s="889"/>
      <c r="BO61" s="889"/>
      <c r="BP61" s="889"/>
      <c r="BQ61" s="889"/>
      <c r="BR61" s="889"/>
      <c r="BS61" s="889"/>
      <c r="BT61" s="889"/>
      <c r="BU61" s="889"/>
      <c r="BV61" s="889"/>
      <c r="BW61" s="889"/>
      <c r="BX61" s="889"/>
      <c r="BY61" s="889"/>
      <c r="BZ61" s="889"/>
      <c r="CA61" s="889"/>
      <c r="CB61" s="889"/>
      <c r="CC61" s="889"/>
      <c r="CD61" s="889"/>
      <c r="CE61" s="889"/>
      <c r="CF61" s="889"/>
      <c r="CG61" s="889"/>
      <c r="CH61" s="889"/>
      <c r="CI61" s="889"/>
      <c r="CJ61" s="889"/>
      <c r="CK61" s="889"/>
      <c r="CL61" s="889"/>
      <c r="CM61" s="889"/>
      <c r="CN61" s="889"/>
      <c r="CO61" s="889"/>
      <c r="CP61" s="889"/>
      <c r="CQ61" s="889"/>
      <c r="CR61" s="889"/>
      <c r="CS61" s="889"/>
      <c r="CT61" s="889"/>
      <c r="CU61" s="889"/>
      <c r="CV61" s="889"/>
      <c r="CW61" s="889"/>
      <c r="CX61" s="889"/>
      <c r="CY61" s="889"/>
      <c r="CZ61" s="889"/>
      <c r="DA61" s="889"/>
      <c r="DB61" s="889"/>
      <c r="DC61" s="889"/>
      <c r="DD61" s="889"/>
      <c r="DE61" s="889"/>
      <c r="DF61" s="889"/>
      <c r="DG61" s="889"/>
      <c r="DH61" s="889"/>
      <c r="DI61" s="889"/>
      <c r="DJ61" s="889"/>
      <c r="DK61" s="889"/>
      <c r="DL61" s="890"/>
      <c r="DN61" s="869"/>
      <c r="DO61" s="869"/>
      <c r="DP61" s="869"/>
      <c r="DQ61" s="869"/>
      <c r="DR61" s="869"/>
      <c r="DS61" s="869"/>
      <c r="DT61" s="869"/>
      <c r="DU61" s="869"/>
      <c r="DV61" s="869"/>
      <c r="DW61" s="869"/>
      <c r="DX61" s="869"/>
      <c r="DY61" s="869"/>
      <c r="DZ61" s="869"/>
      <c r="EA61" s="869"/>
      <c r="EB61" s="869"/>
      <c r="EC61" s="869"/>
      <c r="ED61" s="869"/>
      <c r="EE61" s="869"/>
      <c r="EF61" s="869"/>
      <c r="EG61" s="869"/>
      <c r="EH61" s="869"/>
      <c r="EI61" s="869"/>
      <c r="EJ61" s="869"/>
      <c r="EK61" s="869"/>
      <c r="EL61" s="869"/>
      <c r="EM61" s="869"/>
      <c r="EN61" s="869"/>
      <c r="EO61" s="869"/>
      <c r="EP61" s="869"/>
      <c r="EQ61" s="869"/>
      <c r="ER61" s="869"/>
      <c r="ES61" s="869"/>
      <c r="ET61" s="869"/>
      <c r="EU61" s="869"/>
      <c r="EV61" s="869"/>
      <c r="EW61" s="869"/>
      <c r="EX61" s="869"/>
      <c r="EY61" s="869"/>
      <c r="EZ61" s="869"/>
      <c r="FA61" s="869"/>
      <c r="FB61" s="869"/>
      <c r="FC61" s="869"/>
      <c r="FD61" s="869"/>
      <c r="FE61" s="869"/>
      <c r="FF61" s="869"/>
      <c r="FG61" s="869"/>
      <c r="FH61" s="869"/>
      <c r="FI61" s="869"/>
      <c r="FJ61" s="869"/>
      <c r="FK61" s="869"/>
      <c r="FL61" s="869"/>
      <c r="FM61" s="869"/>
      <c r="FN61" s="869"/>
      <c r="FO61" s="869"/>
      <c r="FP61" s="869"/>
      <c r="FQ61" s="869"/>
      <c r="FR61" s="869"/>
      <c r="FS61" s="869"/>
      <c r="FT61" s="869"/>
      <c r="FU61" s="869"/>
      <c r="FV61" s="869"/>
      <c r="FW61" s="869"/>
      <c r="FX61" s="869"/>
      <c r="FY61" s="869"/>
      <c r="FZ61" s="869"/>
      <c r="GA61" s="869"/>
      <c r="GB61" s="869"/>
      <c r="GC61" s="869"/>
      <c r="GD61" s="869"/>
      <c r="GE61" s="869"/>
      <c r="GF61" s="869"/>
      <c r="GG61" s="869"/>
      <c r="GH61" s="869"/>
      <c r="GI61" s="869"/>
      <c r="GJ61" s="869"/>
      <c r="GK61" s="869"/>
      <c r="GL61" s="869"/>
      <c r="GM61" s="869"/>
      <c r="GN61" s="869"/>
      <c r="GO61" s="869"/>
      <c r="GP61" s="869"/>
      <c r="GQ61" s="869"/>
      <c r="GR61" s="869"/>
      <c r="GS61" s="869"/>
      <c r="GT61" s="869"/>
      <c r="GU61" s="869"/>
      <c r="GV61" s="869"/>
      <c r="GW61" s="869"/>
      <c r="GX61" s="869"/>
      <c r="GY61" s="869"/>
      <c r="GZ61" s="869"/>
      <c r="HA61" s="869"/>
      <c r="HB61" s="869"/>
      <c r="HC61" s="869"/>
      <c r="HD61" s="869"/>
      <c r="HE61" s="869"/>
      <c r="HF61" s="869"/>
      <c r="HG61" s="869"/>
      <c r="HH61" s="869"/>
      <c r="HI61" s="869"/>
      <c r="HJ61" s="869"/>
      <c r="HK61" s="869"/>
      <c r="HL61" s="869"/>
      <c r="HM61" s="869"/>
      <c r="HN61" s="869"/>
      <c r="HO61" s="869"/>
      <c r="HP61" s="869"/>
      <c r="HQ61" s="869"/>
      <c r="HR61" s="869"/>
      <c r="HS61" s="869"/>
      <c r="HT61" s="869"/>
      <c r="HU61" s="869"/>
      <c r="HV61" s="869"/>
      <c r="HW61" s="869"/>
      <c r="HX61" s="869"/>
      <c r="HY61" s="869"/>
      <c r="HZ61" s="869"/>
      <c r="IA61" s="869"/>
      <c r="IB61" s="869"/>
      <c r="IC61" s="869"/>
      <c r="ID61" s="869"/>
      <c r="IE61" s="869"/>
      <c r="IF61" s="869"/>
      <c r="IG61" s="869"/>
      <c r="IH61" s="869"/>
      <c r="II61" s="869"/>
      <c r="IJ61" s="869"/>
      <c r="IK61" s="869"/>
      <c r="IL61" s="869"/>
      <c r="IM61" s="869"/>
      <c r="IN61" s="869"/>
      <c r="IO61" s="869"/>
      <c r="IP61" s="869"/>
      <c r="IQ61" s="869"/>
      <c r="IR61" s="869"/>
      <c r="IS61" s="869"/>
      <c r="IT61" s="869"/>
      <c r="IU61" s="869"/>
      <c r="IV61" s="869"/>
      <c r="IW61" s="869"/>
      <c r="IX61" s="869"/>
      <c r="IY61" s="869"/>
      <c r="IZ61" s="869"/>
      <c r="JA61" s="869"/>
      <c r="JB61" s="869"/>
      <c r="JC61" s="869"/>
      <c r="JD61" s="869"/>
    </row>
    <row r="62" spans="1:264" s="867" customFormat="1" ht="14.4" outlineLevel="1">
      <c r="A62" s="883"/>
      <c r="B62" s="885"/>
      <c r="C62" s="835"/>
      <c r="D62" s="434"/>
      <c r="E62" s="435"/>
      <c r="F62" s="435"/>
      <c r="G62" s="435"/>
      <c r="H62" s="870"/>
      <c r="I62" s="871"/>
      <c r="J62" s="864"/>
      <c r="K62" s="863"/>
      <c r="L62" s="863"/>
      <c r="M62" s="863"/>
      <c r="N62" s="863"/>
      <c r="O62" s="863"/>
      <c r="P62" s="863"/>
      <c r="Q62" s="863"/>
      <c r="R62" s="863"/>
      <c r="S62" s="863"/>
      <c r="T62" s="864"/>
      <c r="U62" s="864"/>
      <c r="V62" s="864"/>
      <c r="W62" s="864"/>
      <c r="X62" s="864"/>
      <c r="Y62" s="864"/>
      <c r="Z62" s="864"/>
      <c r="AA62" s="864"/>
      <c r="AB62" s="864"/>
      <c r="AC62" s="864"/>
      <c r="AD62" s="864"/>
      <c r="AE62" s="864"/>
      <c r="AF62" s="864"/>
      <c r="AG62" s="864"/>
      <c r="AH62" s="864"/>
      <c r="AI62" s="864"/>
      <c r="AJ62" s="864"/>
      <c r="AK62" s="864"/>
      <c r="AL62" s="864"/>
      <c r="AM62" s="864"/>
      <c r="AN62" s="435"/>
      <c r="AO62" s="864"/>
      <c r="AP62" s="864"/>
      <c r="AQ62" s="864"/>
      <c r="AR62" s="864"/>
      <c r="AS62" s="864"/>
      <c r="AT62" s="864"/>
      <c r="AU62" s="864"/>
      <c r="AV62" s="864"/>
      <c r="AW62" s="864"/>
      <c r="AX62" s="864"/>
      <c r="AY62" s="864"/>
      <c r="AZ62" s="864"/>
      <c r="BA62" s="864"/>
      <c r="BB62" s="864"/>
      <c r="BC62" s="864"/>
      <c r="BD62" s="864"/>
      <c r="BE62" s="864"/>
      <c r="BF62" s="864"/>
      <c r="BG62" s="864"/>
      <c r="BH62" s="864"/>
      <c r="BI62" s="864"/>
      <c r="BJ62" s="864"/>
      <c r="BK62" s="864"/>
      <c r="BL62" s="864"/>
      <c r="BM62" s="864"/>
      <c r="BN62" s="864"/>
      <c r="BO62" s="864"/>
      <c r="BP62" s="864"/>
      <c r="BQ62" s="864"/>
      <c r="BR62" s="864"/>
      <c r="BS62" s="864"/>
      <c r="BT62" s="864"/>
      <c r="BU62" s="864"/>
      <c r="BV62" s="864"/>
      <c r="BW62" s="864"/>
      <c r="BX62" s="864"/>
      <c r="BY62" s="864"/>
      <c r="BZ62" s="864"/>
      <c r="CA62" s="864"/>
      <c r="CB62" s="864"/>
      <c r="CC62" s="864"/>
      <c r="CD62" s="864"/>
      <c r="CE62" s="864"/>
      <c r="CF62" s="864"/>
      <c r="CG62" s="864"/>
      <c r="CH62" s="864"/>
      <c r="CI62" s="863"/>
      <c r="CJ62" s="863"/>
      <c r="CK62" s="863"/>
      <c r="CL62" s="863"/>
      <c r="CM62" s="863"/>
      <c r="CN62" s="863"/>
      <c r="CO62" s="863"/>
      <c r="CP62" s="863"/>
      <c r="CQ62" s="863"/>
      <c r="CR62" s="863"/>
      <c r="CS62" s="863"/>
      <c r="CT62" s="863"/>
      <c r="CU62" s="863"/>
      <c r="CV62" s="863"/>
      <c r="CW62" s="863"/>
      <c r="CX62" s="863"/>
      <c r="CY62" s="863"/>
      <c r="CZ62" s="863"/>
      <c r="DA62" s="863"/>
      <c r="DB62" s="863"/>
      <c r="DC62" s="863"/>
      <c r="DD62" s="863"/>
      <c r="DE62" s="863"/>
      <c r="DF62" s="863"/>
      <c r="DG62" s="863"/>
      <c r="DH62" s="863"/>
      <c r="DI62" s="863"/>
      <c r="DJ62" s="863"/>
      <c r="DK62" s="863"/>
      <c r="DL62" s="866"/>
      <c r="DN62" s="409"/>
      <c r="DO62" s="409"/>
      <c r="DP62" s="409"/>
      <c r="DQ62" s="409"/>
      <c r="DR62" s="409"/>
      <c r="DS62" s="409"/>
      <c r="DT62" s="409"/>
      <c r="DU62" s="409"/>
      <c r="DV62" s="409"/>
      <c r="DW62" s="409"/>
      <c r="DX62" s="409"/>
      <c r="DY62" s="409"/>
      <c r="DZ62" s="409"/>
      <c r="EA62" s="409"/>
      <c r="EB62" s="409"/>
      <c r="EC62" s="409"/>
      <c r="ED62" s="409"/>
      <c r="EE62" s="409"/>
      <c r="EF62" s="409"/>
      <c r="EG62" s="409"/>
      <c r="EH62" s="409"/>
      <c r="EI62" s="409"/>
      <c r="EJ62" s="409"/>
      <c r="EK62" s="409"/>
      <c r="EL62" s="409"/>
      <c r="EM62" s="409"/>
      <c r="EN62" s="409"/>
      <c r="EO62" s="409"/>
      <c r="EP62" s="409"/>
      <c r="EQ62" s="409"/>
      <c r="ER62" s="409"/>
      <c r="ES62" s="409"/>
      <c r="ET62" s="409"/>
      <c r="EU62" s="409"/>
      <c r="EV62" s="409"/>
      <c r="EW62" s="409"/>
      <c r="EX62" s="409"/>
      <c r="EY62" s="409"/>
      <c r="EZ62" s="409"/>
      <c r="FA62" s="409"/>
      <c r="FB62" s="409"/>
      <c r="FC62" s="409"/>
      <c r="FD62" s="409"/>
      <c r="FE62" s="409"/>
      <c r="FF62" s="409"/>
      <c r="FG62" s="409"/>
      <c r="FH62" s="409"/>
      <c r="FI62" s="409"/>
      <c r="FJ62" s="409"/>
      <c r="FK62" s="409"/>
      <c r="FL62" s="409"/>
      <c r="FM62" s="409"/>
      <c r="FN62" s="409"/>
      <c r="FO62" s="409"/>
      <c r="FP62" s="409"/>
      <c r="FQ62" s="409"/>
      <c r="FR62" s="409"/>
      <c r="FS62" s="409"/>
      <c r="FT62" s="409"/>
      <c r="FU62" s="409"/>
      <c r="FV62" s="409"/>
      <c r="FW62" s="409"/>
      <c r="FX62" s="409"/>
      <c r="FY62" s="409"/>
      <c r="FZ62" s="409"/>
      <c r="GA62" s="409"/>
      <c r="GB62" s="409"/>
      <c r="GC62" s="409"/>
      <c r="GD62" s="409"/>
      <c r="GE62" s="409"/>
      <c r="GF62" s="409"/>
      <c r="GG62" s="409"/>
      <c r="GH62" s="409"/>
      <c r="GI62" s="409"/>
      <c r="GJ62" s="409"/>
      <c r="GK62" s="409"/>
      <c r="GL62" s="409"/>
      <c r="GM62" s="409"/>
      <c r="GN62" s="409"/>
      <c r="GO62" s="409"/>
      <c r="GP62" s="409"/>
      <c r="GQ62" s="409"/>
      <c r="GR62" s="409"/>
      <c r="GS62" s="409"/>
      <c r="GT62" s="409"/>
      <c r="GU62" s="409"/>
      <c r="GV62" s="409"/>
      <c r="GW62" s="409"/>
      <c r="GX62" s="409"/>
      <c r="GY62" s="409"/>
      <c r="GZ62" s="409"/>
      <c r="HA62" s="409"/>
      <c r="HB62" s="409"/>
      <c r="HC62" s="409"/>
      <c r="HD62" s="409"/>
      <c r="HE62" s="409"/>
      <c r="HF62" s="409"/>
      <c r="HG62" s="409"/>
      <c r="HH62" s="409"/>
      <c r="HI62" s="409"/>
      <c r="HJ62" s="409"/>
      <c r="HK62" s="409"/>
      <c r="HL62" s="409"/>
      <c r="HM62" s="409"/>
      <c r="HN62" s="409"/>
      <c r="HO62" s="409"/>
      <c r="HP62" s="409"/>
      <c r="HQ62" s="409"/>
      <c r="HR62" s="409"/>
      <c r="HS62" s="409"/>
      <c r="HT62" s="409"/>
      <c r="HU62" s="409"/>
      <c r="HV62" s="409"/>
      <c r="HW62" s="409"/>
      <c r="HX62" s="409"/>
      <c r="HY62" s="409"/>
      <c r="HZ62" s="409"/>
      <c r="IA62" s="409"/>
      <c r="IB62" s="409"/>
      <c r="IC62" s="409"/>
      <c r="ID62" s="409"/>
      <c r="IE62" s="409"/>
      <c r="IF62" s="409"/>
      <c r="IG62" s="409"/>
      <c r="IH62" s="409"/>
      <c r="II62" s="409"/>
      <c r="IJ62" s="409"/>
      <c r="IK62" s="409"/>
      <c r="IL62" s="409"/>
      <c r="IM62" s="409"/>
      <c r="IN62" s="409"/>
      <c r="IO62" s="409"/>
      <c r="IP62" s="409"/>
      <c r="IQ62" s="409"/>
      <c r="IR62" s="409"/>
      <c r="IS62" s="409"/>
      <c r="IT62" s="409"/>
      <c r="IU62" s="409"/>
      <c r="IV62" s="409"/>
      <c r="IW62" s="409"/>
      <c r="IX62" s="409"/>
      <c r="IY62" s="409"/>
      <c r="IZ62" s="409"/>
      <c r="JA62" s="409"/>
      <c r="JB62" s="409"/>
      <c r="JC62" s="409"/>
      <c r="JD62" s="409"/>
    </row>
    <row r="63" spans="1:264" s="867" customFormat="1" ht="13.8" outlineLevel="1">
      <c r="A63" s="895"/>
      <c r="B63" s="885"/>
      <c r="C63" s="835"/>
      <c r="D63" s="885"/>
      <c r="E63" s="435"/>
      <c r="F63" s="435"/>
      <c r="G63" s="435"/>
      <c r="H63" s="870"/>
      <c r="I63" s="871"/>
      <c r="J63" s="864"/>
      <c r="K63" s="863"/>
      <c r="L63" s="863"/>
      <c r="M63" s="863"/>
      <c r="N63" s="863"/>
      <c r="O63" s="863"/>
      <c r="P63" s="863"/>
      <c r="Q63" s="864"/>
      <c r="R63" s="863"/>
      <c r="S63" s="863"/>
      <c r="T63" s="864"/>
      <c r="U63" s="864"/>
      <c r="V63" s="864"/>
      <c r="W63" s="864"/>
      <c r="X63" s="864"/>
      <c r="Y63" s="864"/>
      <c r="Z63" s="864"/>
      <c r="AA63" s="864"/>
      <c r="AB63" s="864"/>
      <c r="AC63" s="864"/>
      <c r="AD63" s="864"/>
      <c r="AE63" s="864"/>
      <c r="AF63" s="864"/>
      <c r="AG63" s="864"/>
      <c r="AH63" s="864"/>
      <c r="AI63" s="864"/>
      <c r="AJ63" s="864"/>
      <c r="AK63" s="864"/>
      <c r="AL63" s="864"/>
      <c r="AM63" s="864"/>
      <c r="AN63" s="435"/>
      <c r="AO63" s="864"/>
      <c r="AP63" s="864"/>
      <c r="AQ63" s="864"/>
      <c r="AR63" s="864"/>
      <c r="AS63" s="864"/>
      <c r="AT63" s="864"/>
      <c r="AU63" s="864"/>
      <c r="AV63" s="864"/>
      <c r="AW63" s="864"/>
      <c r="AX63" s="864"/>
      <c r="AY63" s="864"/>
      <c r="AZ63" s="864"/>
      <c r="BA63" s="864"/>
      <c r="BB63" s="864"/>
      <c r="BC63" s="864"/>
      <c r="BD63" s="864"/>
      <c r="BE63" s="864"/>
      <c r="BF63" s="864"/>
      <c r="BG63" s="864"/>
      <c r="BH63" s="864"/>
      <c r="BI63" s="864"/>
      <c r="BJ63" s="864"/>
      <c r="BK63" s="864"/>
      <c r="BL63" s="864"/>
      <c r="BM63" s="864"/>
      <c r="BN63" s="864"/>
      <c r="BO63" s="864"/>
      <c r="BP63" s="864"/>
      <c r="BQ63" s="864"/>
      <c r="BR63" s="864"/>
      <c r="BS63" s="864"/>
      <c r="BT63" s="864"/>
      <c r="BU63" s="864"/>
      <c r="BV63" s="864"/>
      <c r="BW63" s="864"/>
      <c r="BX63" s="864"/>
      <c r="BY63" s="864"/>
      <c r="BZ63" s="864"/>
      <c r="CA63" s="864"/>
      <c r="CB63" s="864"/>
      <c r="CC63" s="864"/>
      <c r="CD63" s="864"/>
      <c r="CE63" s="864"/>
      <c r="CF63" s="864"/>
      <c r="CG63" s="864"/>
      <c r="CH63" s="864"/>
      <c r="CI63" s="863"/>
      <c r="CJ63" s="863"/>
      <c r="CK63" s="863"/>
      <c r="CL63" s="863"/>
      <c r="CM63" s="863"/>
      <c r="CN63" s="863"/>
      <c r="CO63" s="863"/>
      <c r="CP63" s="863"/>
      <c r="CQ63" s="863"/>
      <c r="CR63" s="863"/>
      <c r="CS63" s="863"/>
      <c r="CT63" s="863"/>
      <c r="CU63" s="863"/>
      <c r="CV63" s="863"/>
      <c r="CW63" s="863"/>
      <c r="CX63" s="863"/>
      <c r="CY63" s="863"/>
      <c r="CZ63" s="863"/>
      <c r="DA63" s="863"/>
      <c r="DB63" s="863"/>
      <c r="DC63" s="863"/>
      <c r="DD63" s="863"/>
      <c r="DE63" s="863"/>
      <c r="DF63" s="863"/>
      <c r="DG63" s="863"/>
      <c r="DH63" s="863"/>
      <c r="DI63" s="863"/>
      <c r="DJ63" s="863"/>
      <c r="DK63" s="863"/>
      <c r="DL63" s="866"/>
      <c r="DN63" s="409"/>
      <c r="DO63" s="409"/>
      <c r="DP63" s="409"/>
      <c r="DQ63" s="409"/>
      <c r="DR63" s="409"/>
      <c r="DS63" s="409"/>
      <c r="DT63" s="409"/>
      <c r="DU63" s="409"/>
      <c r="DV63" s="409"/>
      <c r="DW63" s="409"/>
      <c r="DX63" s="409"/>
      <c r="DY63" s="409"/>
      <c r="DZ63" s="409"/>
      <c r="EA63" s="409"/>
      <c r="EB63" s="409"/>
      <c r="EC63" s="409"/>
      <c r="ED63" s="409"/>
      <c r="EE63" s="409"/>
      <c r="EF63" s="409"/>
      <c r="EG63" s="409"/>
      <c r="EH63" s="409"/>
      <c r="EI63" s="409"/>
      <c r="EJ63" s="409"/>
      <c r="EK63" s="409"/>
      <c r="EL63" s="409"/>
      <c r="EM63" s="409"/>
      <c r="EN63" s="409"/>
      <c r="EO63" s="409"/>
      <c r="EP63" s="409"/>
      <c r="EQ63" s="409"/>
      <c r="ER63" s="409"/>
      <c r="ES63" s="409"/>
      <c r="ET63" s="409"/>
      <c r="EU63" s="409"/>
      <c r="EV63" s="409"/>
      <c r="EW63" s="409"/>
      <c r="EX63" s="409"/>
      <c r="EY63" s="409"/>
      <c r="EZ63" s="409"/>
      <c r="FA63" s="409"/>
      <c r="FB63" s="409"/>
      <c r="FC63" s="409"/>
      <c r="FD63" s="409"/>
      <c r="FE63" s="409"/>
      <c r="FF63" s="409"/>
      <c r="FG63" s="409"/>
      <c r="FH63" s="409"/>
      <c r="FI63" s="409"/>
      <c r="FJ63" s="409"/>
      <c r="FK63" s="409"/>
      <c r="FL63" s="409"/>
      <c r="FM63" s="409"/>
      <c r="FN63" s="409"/>
      <c r="FO63" s="409"/>
      <c r="FP63" s="409"/>
      <c r="FQ63" s="409"/>
      <c r="FR63" s="409"/>
      <c r="FS63" s="409"/>
      <c r="FT63" s="409"/>
      <c r="FU63" s="409"/>
      <c r="FV63" s="409"/>
      <c r="FW63" s="409"/>
      <c r="FX63" s="409"/>
      <c r="FY63" s="409"/>
      <c r="FZ63" s="409"/>
      <c r="GA63" s="409"/>
      <c r="GB63" s="409"/>
      <c r="GC63" s="409"/>
      <c r="GD63" s="409"/>
      <c r="GE63" s="409"/>
      <c r="GF63" s="409"/>
      <c r="GG63" s="409"/>
      <c r="GH63" s="409"/>
      <c r="GI63" s="409"/>
      <c r="GJ63" s="409"/>
      <c r="GK63" s="409"/>
      <c r="GL63" s="409"/>
      <c r="GM63" s="409"/>
      <c r="GN63" s="409"/>
      <c r="GO63" s="409"/>
      <c r="GP63" s="409"/>
      <c r="GQ63" s="409"/>
      <c r="GR63" s="409"/>
      <c r="GS63" s="409"/>
      <c r="GT63" s="409"/>
      <c r="GU63" s="409"/>
      <c r="GV63" s="409"/>
      <c r="GW63" s="409"/>
      <c r="GX63" s="409"/>
      <c r="GY63" s="409"/>
      <c r="GZ63" s="409"/>
      <c r="HA63" s="409"/>
      <c r="HB63" s="409"/>
      <c r="HC63" s="409"/>
      <c r="HD63" s="409"/>
      <c r="HE63" s="409"/>
      <c r="HF63" s="409"/>
      <c r="HG63" s="409"/>
      <c r="HH63" s="409"/>
      <c r="HI63" s="409"/>
      <c r="HJ63" s="409"/>
      <c r="HK63" s="409"/>
      <c r="HL63" s="409"/>
      <c r="HM63" s="409"/>
      <c r="HN63" s="409"/>
      <c r="HO63" s="409"/>
      <c r="HP63" s="409"/>
      <c r="HQ63" s="409"/>
      <c r="HR63" s="409"/>
      <c r="HS63" s="409"/>
      <c r="HT63" s="409"/>
      <c r="HU63" s="409"/>
      <c r="HV63" s="409"/>
      <c r="HW63" s="409"/>
      <c r="HX63" s="409"/>
      <c r="HY63" s="409"/>
      <c r="HZ63" s="409"/>
      <c r="IA63" s="409"/>
      <c r="IB63" s="409"/>
      <c r="IC63" s="409"/>
      <c r="ID63" s="409"/>
      <c r="IE63" s="409"/>
      <c r="IF63" s="409"/>
      <c r="IG63" s="409"/>
      <c r="IH63" s="409"/>
      <c r="II63" s="409"/>
      <c r="IJ63" s="409"/>
      <c r="IK63" s="409"/>
      <c r="IL63" s="409"/>
      <c r="IM63" s="409"/>
      <c r="IN63" s="409"/>
      <c r="IO63" s="409"/>
      <c r="IP63" s="409"/>
      <c r="IQ63" s="409"/>
      <c r="IR63" s="409"/>
      <c r="IS63" s="409"/>
      <c r="IT63" s="409"/>
      <c r="IU63" s="409"/>
      <c r="IV63" s="409"/>
      <c r="IW63" s="409"/>
      <c r="IX63" s="409"/>
      <c r="IY63" s="409"/>
      <c r="IZ63" s="409"/>
      <c r="JA63" s="409"/>
      <c r="JB63" s="409"/>
      <c r="JC63" s="409"/>
      <c r="JD63" s="409"/>
    </row>
    <row r="64" spans="1:264" s="867" customFormat="1" ht="13.8" outlineLevel="1">
      <c r="A64" s="895"/>
      <c r="B64" s="885"/>
      <c r="C64" s="835"/>
      <c r="D64" s="885"/>
      <c r="E64" s="435"/>
      <c r="F64" s="435"/>
      <c r="G64" s="435"/>
      <c r="H64" s="870"/>
      <c r="I64" s="871"/>
      <c r="J64" s="864"/>
      <c r="K64" s="863"/>
      <c r="L64" s="863"/>
      <c r="M64" s="863"/>
      <c r="N64" s="863"/>
      <c r="O64" s="863"/>
      <c r="P64" s="863"/>
      <c r="Q64" s="864"/>
      <c r="R64" s="863"/>
      <c r="S64" s="863"/>
      <c r="T64" s="864"/>
      <c r="U64" s="864"/>
      <c r="V64" s="864"/>
      <c r="W64" s="864"/>
      <c r="X64" s="864"/>
      <c r="Y64" s="864"/>
      <c r="Z64" s="864"/>
      <c r="AA64" s="864"/>
      <c r="AB64" s="864"/>
      <c r="AC64" s="864"/>
      <c r="AD64" s="864"/>
      <c r="AE64" s="864"/>
      <c r="AF64" s="864"/>
      <c r="AG64" s="864"/>
      <c r="AH64" s="864"/>
      <c r="AI64" s="864"/>
      <c r="AJ64" s="864"/>
      <c r="AK64" s="864"/>
      <c r="AL64" s="864"/>
      <c r="AM64" s="864"/>
      <c r="AN64" s="435"/>
      <c r="AO64" s="864"/>
      <c r="AP64" s="864"/>
      <c r="AQ64" s="864"/>
      <c r="AR64" s="864"/>
      <c r="AS64" s="864"/>
      <c r="AT64" s="864"/>
      <c r="AU64" s="864"/>
      <c r="AV64" s="864"/>
      <c r="AW64" s="864"/>
      <c r="AX64" s="864"/>
      <c r="AY64" s="864"/>
      <c r="AZ64" s="864"/>
      <c r="BA64" s="864"/>
      <c r="BB64" s="864"/>
      <c r="BC64" s="864"/>
      <c r="BD64" s="864"/>
      <c r="BE64" s="864"/>
      <c r="BF64" s="864"/>
      <c r="BG64" s="864"/>
      <c r="BH64" s="864"/>
      <c r="BI64" s="864"/>
      <c r="BJ64" s="864"/>
      <c r="BK64" s="864"/>
      <c r="BL64" s="864"/>
      <c r="BM64" s="864"/>
      <c r="BN64" s="864"/>
      <c r="BO64" s="864"/>
      <c r="BP64" s="864"/>
      <c r="BQ64" s="864"/>
      <c r="BR64" s="864"/>
      <c r="BS64" s="864"/>
      <c r="BT64" s="864"/>
      <c r="BU64" s="864"/>
      <c r="BV64" s="864"/>
      <c r="BW64" s="864"/>
      <c r="BX64" s="864"/>
      <c r="BY64" s="864"/>
      <c r="BZ64" s="864"/>
      <c r="CA64" s="864"/>
      <c r="CB64" s="864"/>
      <c r="CC64" s="864"/>
      <c r="CD64" s="864"/>
      <c r="CE64" s="864"/>
      <c r="CF64" s="864"/>
      <c r="CG64" s="864"/>
      <c r="CH64" s="864"/>
      <c r="CI64" s="863"/>
      <c r="CJ64" s="863"/>
      <c r="CK64" s="863"/>
      <c r="CL64" s="863"/>
      <c r="CM64" s="863"/>
      <c r="CN64" s="863"/>
      <c r="CO64" s="863"/>
      <c r="CP64" s="863"/>
      <c r="CQ64" s="863"/>
      <c r="CR64" s="863"/>
      <c r="CS64" s="863"/>
      <c r="CT64" s="863"/>
      <c r="CU64" s="863"/>
      <c r="CV64" s="863"/>
      <c r="CW64" s="863"/>
      <c r="CX64" s="863"/>
      <c r="CY64" s="863"/>
      <c r="CZ64" s="863"/>
      <c r="DA64" s="863"/>
      <c r="DB64" s="863"/>
      <c r="DC64" s="863"/>
      <c r="DD64" s="863"/>
      <c r="DE64" s="863"/>
      <c r="DF64" s="863"/>
      <c r="DG64" s="863"/>
      <c r="DH64" s="863"/>
      <c r="DI64" s="863"/>
      <c r="DJ64" s="863"/>
      <c r="DK64" s="863"/>
      <c r="DL64" s="866"/>
      <c r="DN64" s="409"/>
      <c r="DO64" s="409"/>
      <c r="DP64" s="409"/>
      <c r="DQ64" s="409"/>
      <c r="DR64" s="409"/>
      <c r="DS64" s="409"/>
      <c r="DT64" s="409"/>
      <c r="DU64" s="409"/>
      <c r="DV64" s="409"/>
      <c r="DW64" s="409"/>
      <c r="DX64" s="409"/>
      <c r="DY64" s="409"/>
      <c r="DZ64" s="409"/>
      <c r="EA64" s="409"/>
      <c r="EB64" s="409"/>
      <c r="EC64" s="409"/>
      <c r="ED64" s="409"/>
      <c r="EE64" s="409"/>
      <c r="EF64" s="409"/>
      <c r="EG64" s="409"/>
      <c r="EH64" s="409"/>
      <c r="EI64" s="409"/>
      <c r="EJ64" s="409"/>
      <c r="EK64" s="409"/>
      <c r="EL64" s="409"/>
      <c r="EM64" s="409"/>
      <c r="EN64" s="409"/>
      <c r="EO64" s="409"/>
      <c r="EP64" s="409"/>
      <c r="EQ64" s="409"/>
      <c r="ER64" s="409"/>
      <c r="ES64" s="409"/>
      <c r="ET64" s="409"/>
      <c r="EU64" s="409"/>
      <c r="EV64" s="409"/>
      <c r="EW64" s="409"/>
      <c r="EX64" s="409"/>
      <c r="EY64" s="409"/>
      <c r="EZ64" s="409"/>
      <c r="FA64" s="409"/>
      <c r="FB64" s="409"/>
      <c r="FC64" s="409"/>
      <c r="FD64" s="409"/>
      <c r="FE64" s="409"/>
      <c r="FF64" s="409"/>
      <c r="FG64" s="409"/>
      <c r="FH64" s="409"/>
      <c r="FI64" s="409"/>
      <c r="FJ64" s="409"/>
      <c r="FK64" s="409"/>
      <c r="FL64" s="409"/>
      <c r="FM64" s="409"/>
      <c r="FN64" s="409"/>
      <c r="FO64" s="409"/>
      <c r="FP64" s="409"/>
      <c r="FQ64" s="409"/>
      <c r="FR64" s="409"/>
      <c r="FS64" s="409"/>
      <c r="FT64" s="409"/>
      <c r="FU64" s="409"/>
      <c r="FV64" s="409"/>
      <c r="FW64" s="409"/>
      <c r="FX64" s="409"/>
      <c r="FY64" s="409"/>
      <c r="FZ64" s="409"/>
      <c r="GA64" s="409"/>
      <c r="GB64" s="409"/>
      <c r="GC64" s="409"/>
      <c r="GD64" s="409"/>
      <c r="GE64" s="409"/>
      <c r="GF64" s="409"/>
      <c r="GG64" s="409"/>
      <c r="GH64" s="409"/>
      <c r="GI64" s="409"/>
      <c r="GJ64" s="409"/>
      <c r="GK64" s="409"/>
      <c r="GL64" s="409"/>
      <c r="GM64" s="409"/>
      <c r="GN64" s="409"/>
      <c r="GO64" s="409"/>
      <c r="GP64" s="409"/>
      <c r="GQ64" s="409"/>
      <c r="GR64" s="409"/>
      <c r="GS64" s="409"/>
      <c r="GT64" s="409"/>
      <c r="GU64" s="409"/>
      <c r="GV64" s="409"/>
      <c r="GW64" s="409"/>
      <c r="GX64" s="409"/>
      <c r="GY64" s="409"/>
      <c r="GZ64" s="409"/>
      <c r="HA64" s="409"/>
      <c r="HB64" s="409"/>
      <c r="HC64" s="409"/>
      <c r="HD64" s="409"/>
      <c r="HE64" s="409"/>
      <c r="HF64" s="409"/>
      <c r="HG64" s="409"/>
      <c r="HH64" s="409"/>
      <c r="HI64" s="409"/>
      <c r="HJ64" s="409"/>
      <c r="HK64" s="409"/>
      <c r="HL64" s="409"/>
      <c r="HM64" s="409"/>
      <c r="HN64" s="409"/>
      <c r="HO64" s="409"/>
      <c r="HP64" s="409"/>
      <c r="HQ64" s="409"/>
      <c r="HR64" s="409"/>
      <c r="HS64" s="409"/>
      <c r="HT64" s="409"/>
      <c r="HU64" s="409"/>
      <c r="HV64" s="409"/>
      <c r="HW64" s="409"/>
      <c r="HX64" s="409"/>
      <c r="HY64" s="409"/>
      <c r="HZ64" s="409"/>
      <c r="IA64" s="409"/>
      <c r="IB64" s="409"/>
      <c r="IC64" s="409"/>
      <c r="ID64" s="409"/>
      <c r="IE64" s="409"/>
      <c r="IF64" s="409"/>
      <c r="IG64" s="409"/>
      <c r="IH64" s="409"/>
      <c r="II64" s="409"/>
      <c r="IJ64" s="409"/>
      <c r="IK64" s="409"/>
      <c r="IL64" s="409"/>
      <c r="IM64" s="409"/>
      <c r="IN64" s="409"/>
      <c r="IO64" s="409"/>
      <c r="IP64" s="409"/>
      <c r="IQ64" s="409"/>
      <c r="IR64" s="409"/>
      <c r="IS64" s="409"/>
      <c r="IT64" s="409"/>
      <c r="IU64" s="409"/>
      <c r="IV64" s="409"/>
      <c r="IW64" s="409"/>
      <c r="IX64" s="409"/>
      <c r="IY64" s="409"/>
      <c r="IZ64" s="409"/>
      <c r="JA64" s="409"/>
      <c r="JB64" s="409"/>
      <c r="JC64" s="409"/>
      <c r="JD64" s="409"/>
    </row>
    <row r="65" spans="1:264" s="867" customFormat="1" ht="13.8" outlineLevel="1">
      <c r="A65" s="895"/>
      <c r="B65" s="885"/>
      <c r="C65" s="835"/>
      <c r="D65" s="885"/>
      <c r="E65" s="435"/>
      <c r="F65" s="435"/>
      <c r="G65" s="435"/>
      <c r="H65" s="870"/>
      <c r="I65" s="871"/>
      <c r="J65" s="864"/>
      <c r="K65" s="863"/>
      <c r="L65" s="863"/>
      <c r="M65" s="863"/>
      <c r="N65" s="863"/>
      <c r="O65" s="863"/>
      <c r="P65" s="863"/>
      <c r="Q65" s="864"/>
      <c r="R65" s="863"/>
      <c r="S65" s="863"/>
      <c r="T65" s="864"/>
      <c r="U65" s="864"/>
      <c r="V65" s="864"/>
      <c r="W65" s="864"/>
      <c r="X65" s="864"/>
      <c r="Y65" s="864"/>
      <c r="Z65" s="864"/>
      <c r="AA65" s="864"/>
      <c r="AB65" s="864"/>
      <c r="AC65" s="864"/>
      <c r="AD65" s="864"/>
      <c r="AE65" s="864"/>
      <c r="AF65" s="864"/>
      <c r="AG65" s="864"/>
      <c r="AH65" s="864"/>
      <c r="AI65" s="864"/>
      <c r="AJ65" s="864"/>
      <c r="AK65" s="864"/>
      <c r="AL65" s="864"/>
      <c r="AM65" s="864"/>
      <c r="AN65" s="435"/>
      <c r="AO65" s="864"/>
      <c r="AP65" s="864"/>
      <c r="AQ65" s="864"/>
      <c r="AR65" s="864"/>
      <c r="AS65" s="864"/>
      <c r="AT65" s="864"/>
      <c r="AU65" s="864"/>
      <c r="AV65" s="864"/>
      <c r="AW65" s="864"/>
      <c r="AX65" s="864"/>
      <c r="AY65" s="864"/>
      <c r="AZ65" s="864"/>
      <c r="BA65" s="864"/>
      <c r="BB65" s="864"/>
      <c r="BC65" s="864"/>
      <c r="BD65" s="864"/>
      <c r="BE65" s="864"/>
      <c r="BF65" s="864"/>
      <c r="BG65" s="864"/>
      <c r="BH65" s="864"/>
      <c r="BI65" s="864"/>
      <c r="BJ65" s="864"/>
      <c r="BK65" s="864"/>
      <c r="BL65" s="864"/>
      <c r="BM65" s="864"/>
      <c r="BN65" s="864"/>
      <c r="BO65" s="864"/>
      <c r="BP65" s="864"/>
      <c r="BQ65" s="864"/>
      <c r="BR65" s="864"/>
      <c r="BS65" s="864"/>
      <c r="BT65" s="864"/>
      <c r="BU65" s="864"/>
      <c r="BV65" s="864"/>
      <c r="BW65" s="864"/>
      <c r="BX65" s="864"/>
      <c r="BY65" s="864"/>
      <c r="BZ65" s="864"/>
      <c r="CA65" s="864"/>
      <c r="CB65" s="864"/>
      <c r="CC65" s="864"/>
      <c r="CD65" s="864"/>
      <c r="CE65" s="864"/>
      <c r="CF65" s="864"/>
      <c r="CG65" s="864"/>
      <c r="CH65" s="864"/>
      <c r="CI65" s="863"/>
      <c r="CJ65" s="863"/>
      <c r="CK65" s="863"/>
      <c r="CL65" s="863"/>
      <c r="CM65" s="863"/>
      <c r="CN65" s="863"/>
      <c r="CO65" s="863"/>
      <c r="CP65" s="863"/>
      <c r="CQ65" s="863"/>
      <c r="CR65" s="863"/>
      <c r="CS65" s="863"/>
      <c r="CT65" s="863"/>
      <c r="CU65" s="863"/>
      <c r="CV65" s="863"/>
      <c r="CW65" s="863"/>
      <c r="CX65" s="863"/>
      <c r="CY65" s="863"/>
      <c r="CZ65" s="863"/>
      <c r="DA65" s="863"/>
      <c r="DB65" s="863"/>
      <c r="DC65" s="863"/>
      <c r="DD65" s="863"/>
      <c r="DE65" s="863"/>
      <c r="DF65" s="863"/>
      <c r="DG65" s="863"/>
      <c r="DH65" s="863"/>
      <c r="DI65" s="863"/>
      <c r="DJ65" s="863"/>
      <c r="DK65" s="863"/>
      <c r="DL65" s="866"/>
      <c r="DN65" s="409"/>
      <c r="DO65" s="409"/>
      <c r="DP65" s="409"/>
      <c r="DQ65" s="409"/>
      <c r="DR65" s="409"/>
      <c r="DS65" s="409"/>
      <c r="DT65" s="409"/>
      <c r="DU65" s="409"/>
      <c r="DV65" s="409"/>
      <c r="DW65" s="409"/>
      <c r="DX65" s="409"/>
      <c r="DY65" s="409"/>
      <c r="DZ65" s="409"/>
      <c r="EA65" s="409"/>
      <c r="EB65" s="409"/>
      <c r="EC65" s="409"/>
      <c r="ED65" s="409"/>
      <c r="EE65" s="409"/>
      <c r="EF65" s="409"/>
      <c r="EG65" s="409"/>
      <c r="EH65" s="409"/>
      <c r="EI65" s="409"/>
      <c r="EJ65" s="409"/>
      <c r="EK65" s="409"/>
      <c r="EL65" s="409"/>
      <c r="EM65" s="409"/>
      <c r="EN65" s="409"/>
      <c r="EO65" s="409"/>
      <c r="EP65" s="409"/>
      <c r="EQ65" s="409"/>
      <c r="ER65" s="409"/>
      <c r="ES65" s="409"/>
      <c r="ET65" s="409"/>
      <c r="EU65" s="409"/>
      <c r="EV65" s="409"/>
      <c r="EW65" s="409"/>
      <c r="EX65" s="409"/>
      <c r="EY65" s="409"/>
      <c r="EZ65" s="409"/>
      <c r="FA65" s="409"/>
      <c r="FB65" s="409"/>
      <c r="FC65" s="409"/>
      <c r="FD65" s="409"/>
      <c r="FE65" s="409"/>
      <c r="FF65" s="409"/>
      <c r="FG65" s="409"/>
      <c r="FH65" s="409"/>
      <c r="FI65" s="409"/>
      <c r="FJ65" s="409"/>
      <c r="FK65" s="409"/>
      <c r="FL65" s="409"/>
      <c r="FM65" s="409"/>
      <c r="FN65" s="409"/>
      <c r="FO65" s="409"/>
      <c r="FP65" s="409"/>
      <c r="FQ65" s="409"/>
      <c r="FR65" s="409"/>
      <c r="FS65" s="409"/>
      <c r="FT65" s="409"/>
      <c r="FU65" s="409"/>
      <c r="FV65" s="409"/>
      <c r="FW65" s="409"/>
      <c r="FX65" s="409"/>
      <c r="FY65" s="409"/>
      <c r="FZ65" s="409"/>
      <c r="GA65" s="409"/>
      <c r="GB65" s="409"/>
      <c r="GC65" s="409"/>
      <c r="GD65" s="409"/>
      <c r="GE65" s="409"/>
      <c r="GF65" s="409"/>
      <c r="GG65" s="409"/>
      <c r="GH65" s="409"/>
      <c r="GI65" s="409"/>
      <c r="GJ65" s="409"/>
      <c r="GK65" s="409"/>
      <c r="GL65" s="409"/>
      <c r="GM65" s="409"/>
      <c r="GN65" s="409"/>
      <c r="GO65" s="409"/>
      <c r="GP65" s="409"/>
      <c r="GQ65" s="409"/>
      <c r="GR65" s="409"/>
      <c r="GS65" s="409"/>
      <c r="GT65" s="409"/>
      <c r="GU65" s="409"/>
      <c r="GV65" s="409"/>
      <c r="GW65" s="409"/>
      <c r="GX65" s="409"/>
      <c r="GY65" s="409"/>
      <c r="GZ65" s="409"/>
      <c r="HA65" s="409"/>
      <c r="HB65" s="409"/>
      <c r="HC65" s="409"/>
      <c r="HD65" s="409"/>
      <c r="HE65" s="409"/>
      <c r="HF65" s="409"/>
      <c r="HG65" s="409"/>
      <c r="HH65" s="409"/>
      <c r="HI65" s="409"/>
      <c r="HJ65" s="409"/>
      <c r="HK65" s="409"/>
      <c r="HL65" s="409"/>
      <c r="HM65" s="409"/>
      <c r="HN65" s="409"/>
      <c r="HO65" s="409"/>
      <c r="HP65" s="409"/>
      <c r="HQ65" s="409"/>
      <c r="HR65" s="409"/>
      <c r="HS65" s="409"/>
      <c r="HT65" s="409"/>
      <c r="HU65" s="409"/>
      <c r="HV65" s="409"/>
      <c r="HW65" s="409"/>
      <c r="HX65" s="409"/>
      <c r="HY65" s="409"/>
      <c r="HZ65" s="409"/>
      <c r="IA65" s="409"/>
      <c r="IB65" s="409"/>
      <c r="IC65" s="409"/>
      <c r="ID65" s="409"/>
      <c r="IE65" s="409"/>
      <c r="IF65" s="409"/>
      <c r="IG65" s="409"/>
      <c r="IH65" s="409"/>
      <c r="II65" s="409"/>
      <c r="IJ65" s="409"/>
      <c r="IK65" s="409"/>
      <c r="IL65" s="409"/>
      <c r="IM65" s="409"/>
      <c r="IN65" s="409"/>
      <c r="IO65" s="409"/>
      <c r="IP65" s="409"/>
      <c r="IQ65" s="409"/>
      <c r="IR65" s="409"/>
      <c r="IS65" s="409"/>
      <c r="IT65" s="409"/>
      <c r="IU65" s="409"/>
      <c r="IV65" s="409"/>
      <c r="IW65" s="409"/>
      <c r="IX65" s="409"/>
      <c r="IY65" s="409"/>
      <c r="IZ65" s="409"/>
      <c r="JA65" s="409"/>
      <c r="JB65" s="409"/>
      <c r="JC65" s="409"/>
      <c r="JD65" s="409"/>
    </row>
    <row r="66" spans="1:264" s="867" customFormat="1" ht="13.8" outlineLevel="1">
      <c r="A66" s="895"/>
      <c r="B66" s="885"/>
      <c r="C66" s="835"/>
      <c r="D66" s="885"/>
      <c r="E66" s="435"/>
      <c r="F66" s="435"/>
      <c r="G66" s="435"/>
      <c r="H66" s="870"/>
      <c r="I66" s="871"/>
      <c r="J66" s="864"/>
      <c r="K66" s="863"/>
      <c r="L66" s="863"/>
      <c r="M66" s="863"/>
      <c r="N66" s="863"/>
      <c r="O66" s="863"/>
      <c r="P66" s="863"/>
      <c r="Q66" s="864"/>
      <c r="R66" s="863"/>
      <c r="S66" s="863"/>
      <c r="T66" s="864"/>
      <c r="U66" s="864"/>
      <c r="V66" s="864"/>
      <c r="W66" s="864"/>
      <c r="X66" s="864"/>
      <c r="Y66" s="864"/>
      <c r="Z66" s="864"/>
      <c r="AA66" s="864"/>
      <c r="AB66" s="864"/>
      <c r="AC66" s="864"/>
      <c r="AD66" s="864"/>
      <c r="AE66" s="864"/>
      <c r="AF66" s="864"/>
      <c r="AG66" s="864"/>
      <c r="AH66" s="864"/>
      <c r="AI66" s="864"/>
      <c r="AJ66" s="864"/>
      <c r="AK66" s="864"/>
      <c r="AL66" s="864"/>
      <c r="AM66" s="864"/>
      <c r="AN66" s="435"/>
      <c r="AO66" s="864"/>
      <c r="AP66" s="864"/>
      <c r="AQ66" s="864"/>
      <c r="AR66" s="864"/>
      <c r="AS66" s="864"/>
      <c r="AT66" s="864"/>
      <c r="AU66" s="864"/>
      <c r="AV66" s="864"/>
      <c r="AW66" s="864"/>
      <c r="AX66" s="864"/>
      <c r="AY66" s="864"/>
      <c r="AZ66" s="864"/>
      <c r="BA66" s="864"/>
      <c r="BB66" s="864"/>
      <c r="BC66" s="864"/>
      <c r="BD66" s="864"/>
      <c r="BE66" s="864"/>
      <c r="BF66" s="864"/>
      <c r="BG66" s="864"/>
      <c r="BH66" s="864"/>
      <c r="BI66" s="864"/>
      <c r="BJ66" s="864"/>
      <c r="BK66" s="864"/>
      <c r="BL66" s="864"/>
      <c r="BM66" s="864"/>
      <c r="BN66" s="864"/>
      <c r="BO66" s="864"/>
      <c r="BP66" s="864"/>
      <c r="BQ66" s="864"/>
      <c r="BR66" s="864"/>
      <c r="BS66" s="864"/>
      <c r="BT66" s="864"/>
      <c r="BU66" s="864"/>
      <c r="BV66" s="864"/>
      <c r="BW66" s="864"/>
      <c r="BX66" s="864"/>
      <c r="BY66" s="864"/>
      <c r="BZ66" s="864"/>
      <c r="CA66" s="864"/>
      <c r="CB66" s="864"/>
      <c r="CC66" s="864"/>
      <c r="CD66" s="864"/>
      <c r="CE66" s="864"/>
      <c r="CF66" s="864"/>
      <c r="CG66" s="864"/>
      <c r="CH66" s="864"/>
      <c r="CI66" s="863"/>
      <c r="CJ66" s="863"/>
      <c r="CK66" s="863"/>
      <c r="CL66" s="863"/>
      <c r="CM66" s="863"/>
      <c r="CN66" s="863"/>
      <c r="CO66" s="863"/>
      <c r="CP66" s="863"/>
      <c r="CQ66" s="863"/>
      <c r="CR66" s="863"/>
      <c r="CS66" s="863"/>
      <c r="CT66" s="863"/>
      <c r="CU66" s="863"/>
      <c r="CV66" s="863"/>
      <c r="CW66" s="863"/>
      <c r="CX66" s="863"/>
      <c r="CY66" s="863"/>
      <c r="CZ66" s="863"/>
      <c r="DA66" s="863"/>
      <c r="DB66" s="863"/>
      <c r="DC66" s="863"/>
      <c r="DD66" s="863"/>
      <c r="DE66" s="863"/>
      <c r="DF66" s="863"/>
      <c r="DG66" s="863"/>
      <c r="DH66" s="863"/>
      <c r="DI66" s="863"/>
      <c r="DJ66" s="863"/>
      <c r="DK66" s="863"/>
      <c r="DL66" s="866"/>
      <c r="DN66" s="409"/>
      <c r="DO66" s="409"/>
      <c r="DP66" s="409"/>
      <c r="DQ66" s="409"/>
      <c r="DR66" s="409"/>
      <c r="DS66" s="409"/>
      <c r="DT66" s="409"/>
      <c r="DU66" s="409"/>
      <c r="DV66" s="409"/>
      <c r="DW66" s="409"/>
      <c r="DX66" s="409"/>
      <c r="DY66" s="409"/>
      <c r="DZ66" s="409"/>
      <c r="EA66" s="409"/>
      <c r="EB66" s="409"/>
      <c r="EC66" s="409"/>
      <c r="ED66" s="409"/>
      <c r="EE66" s="409"/>
      <c r="EF66" s="409"/>
      <c r="EG66" s="409"/>
      <c r="EH66" s="409"/>
      <c r="EI66" s="409"/>
      <c r="EJ66" s="409"/>
      <c r="EK66" s="409"/>
      <c r="EL66" s="409"/>
      <c r="EM66" s="409"/>
      <c r="EN66" s="409"/>
      <c r="EO66" s="409"/>
      <c r="EP66" s="409"/>
      <c r="EQ66" s="409"/>
      <c r="ER66" s="409"/>
      <c r="ES66" s="409"/>
      <c r="ET66" s="409"/>
      <c r="EU66" s="409"/>
      <c r="EV66" s="409"/>
      <c r="EW66" s="409"/>
      <c r="EX66" s="409"/>
      <c r="EY66" s="409"/>
      <c r="EZ66" s="409"/>
      <c r="FA66" s="409"/>
      <c r="FB66" s="409"/>
      <c r="FC66" s="409"/>
      <c r="FD66" s="409"/>
      <c r="FE66" s="409"/>
      <c r="FF66" s="409"/>
      <c r="FG66" s="409"/>
      <c r="FH66" s="409"/>
      <c r="FI66" s="409"/>
      <c r="FJ66" s="409"/>
      <c r="FK66" s="409"/>
      <c r="FL66" s="409"/>
      <c r="FM66" s="409"/>
      <c r="FN66" s="409"/>
      <c r="FO66" s="409"/>
      <c r="FP66" s="409"/>
      <c r="FQ66" s="409"/>
      <c r="FR66" s="409"/>
      <c r="FS66" s="409"/>
      <c r="FT66" s="409"/>
      <c r="FU66" s="409"/>
      <c r="FV66" s="409"/>
      <c r="FW66" s="409"/>
      <c r="FX66" s="409"/>
      <c r="FY66" s="409"/>
      <c r="FZ66" s="409"/>
      <c r="GA66" s="409"/>
      <c r="GB66" s="409"/>
      <c r="GC66" s="409"/>
      <c r="GD66" s="409"/>
      <c r="GE66" s="409"/>
      <c r="GF66" s="409"/>
      <c r="GG66" s="409"/>
      <c r="GH66" s="409"/>
      <c r="GI66" s="409"/>
      <c r="GJ66" s="409"/>
      <c r="GK66" s="409"/>
      <c r="GL66" s="409"/>
      <c r="GM66" s="409"/>
      <c r="GN66" s="409"/>
      <c r="GO66" s="409"/>
      <c r="GP66" s="409"/>
      <c r="GQ66" s="409"/>
      <c r="GR66" s="409"/>
      <c r="GS66" s="409"/>
      <c r="GT66" s="409"/>
      <c r="GU66" s="409"/>
      <c r="GV66" s="409"/>
      <c r="GW66" s="409"/>
      <c r="GX66" s="409"/>
      <c r="GY66" s="409"/>
      <c r="GZ66" s="409"/>
      <c r="HA66" s="409"/>
      <c r="HB66" s="409"/>
      <c r="HC66" s="409"/>
      <c r="HD66" s="409"/>
      <c r="HE66" s="409"/>
      <c r="HF66" s="409"/>
      <c r="HG66" s="409"/>
      <c r="HH66" s="409"/>
      <c r="HI66" s="409"/>
      <c r="HJ66" s="409"/>
      <c r="HK66" s="409"/>
      <c r="HL66" s="409"/>
      <c r="HM66" s="409"/>
      <c r="HN66" s="409"/>
      <c r="HO66" s="409"/>
      <c r="HP66" s="409"/>
      <c r="HQ66" s="409"/>
      <c r="HR66" s="409"/>
      <c r="HS66" s="409"/>
      <c r="HT66" s="409"/>
      <c r="HU66" s="409"/>
      <c r="HV66" s="409"/>
      <c r="HW66" s="409"/>
      <c r="HX66" s="409"/>
      <c r="HY66" s="409"/>
      <c r="HZ66" s="409"/>
      <c r="IA66" s="409"/>
      <c r="IB66" s="409"/>
      <c r="IC66" s="409"/>
      <c r="ID66" s="409"/>
      <c r="IE66" s="409"/>
      <c r="IF66" s="409"/>
      <c r="IG66" s="409"/>
      <c r="IH66" s="409"/>
      <c r="II66" s="409"/>
      <c r="IJ66" s="409"/>
      <c r="IK66" s="409"/>
      <c r="IL66" s="409"/>
      <c r="IM66" s="409"/>
      <c r="IN66" s="409"/>
      <c r="IO66" s="409"/>
      <c r="IP66" s="409"/>
      <c r="IQ66" s="409"/>
      <c r="IR66" s="409"/>
      <c r="IS66" s="409"/>
      <c r="IT66" s="409"/>
      <c r="IU66" s="409"/>
      <c r="IV66" s="409"/>
      <c r="IW66" s="409"/>
      <c r="IX66" s="409"/>
      <c r="IY66" s="409"/>
      <c r="IZ66" s="409"/>
      <c r="JA66" s="409"/>
      <c r="JB66" s="409"/>
      <c r="JC66" s="409"/>
      <c r="JD66" s="409"/>
    </row>
    <row r="67" spans="1:264" s="867" customFormat="1" ht="13.8" outlineLevel="1">
      <c r="A67" s="895"/>
      <c r="B67" s="885"/>
      <c r="C67" s="835"/>
      <c r="D67" s="885"/>
      <c r="E67" s="435"/>
      <c r="F67" s="435"/>
      <c r="G67" s="435"/>
      <c r="H67" s="870"/>
      <c r="I67" s="871"/>
      <c r="J67" s="864"/>
      <c r="K67" s="863"/>
      <c r="L67" s="863"/>
      <c r="M67" s="863"/>
      <c r="N67" s="863"/>
      <c r="O67" s="863"/>
      <c r="P67" s="863"/>
      <c r="Q67" s="864"/>
      <c r="R67" s="863"/>
      <c r="S67" s="863"/>
      <c r="T67" s="864"/>
      <c r="U67" s="864"/>
      <c r="V67" s="864"/>
      <c r="W67" s="864"/>
      <c r="X67" s="864"/>
      <c r="Y67" s="864"/>
      <c r="Z67" s="864"/>
      <c r="AA67" s="864"/>
      <c r="AB67" s="864"/>
      <c r="AC67" s="864"/>
      <c r="AD67" s="864"/>
      <c r="AE67" s="864"/>
      <c r="AF67" s="864"/>
      <c r="AG67" s="864"/>
      <c r="AH67" s="864"/>
      <c r="AI67" s="864"/>
      <c r="AJ67" s="864"/>
      <c r="AK67" s="864"/>
      <c r="AL67" s="864"/>
      <c r="AM67" s="864"/>
      <c r="AN67" s="435"/>
      <c r="AO67" s="864"/>
      <c r="AP67" s="864"/>
      <c r="AQ67" s="864"/>
      <c r="AR67" s="864"/>
      <c r="AS67" s="864"/>
      <c r="AT67" s="864"/>
      <c r="AU67" s="864"/>
      <c r="AV67" s="864"/>
      <c r="AW67" s="864"/>
      <c r="AX67" s="864"/>
      <c r="AY67" s="864"/>
      <c r="AZ67" s="864"/>
      <c r="BA67" s="864"/>
      <c r="BB67" s="864"/>
      <c r="BC67" s="864"/>
      <c r="BD67" s="864"/>
      <c r="BE67" s="864"/>
      <c r="BF67" s="864"/>
      <c r="BG67" s="864"/>
      <c r="BH67" s="864"/>
      <c r="BI67" s="864"/>
      <c r="BJ67" s="864"/>
      <c r="BK67" s="864"/>
      <c r="BL67" s="864"/>
      <c r="BM67" s="864"/>
      <c r="BN67" s="864"/>
      <c r="BO67" s="864"/>
      <c r="BP67" s="864"/>
      <c r="BQ67" s="864"/>
      <c r="BR67" s="864"/>
      <c r="BS67" s="864"/>
      <c r="BT67" s="864"/>
      <c r="BU67" s="864"/>
      <c r="BV67" s="864"/>
      <c r="BW67" s="864"/>
      <c r="BX67" s="864"/>
      <c r="BY67" s="864"/>
      <c r="BZ67" s="864"/>
      <c r="CA67" s="864"/>
      <c r="CB67" s="864"/>
      <c r="CC67" s="864"/>
      <c r="CD67" s="864"/>
      <c r="CE67" s="864"/>
      <c r="CF67" s="864"/>
      <c r="CG67" s="864"/>
      <c r="CH67" s="864"/>
      <c r="CI67" s="863"/>
      <c r="CJ67" s="863"/>
      <c r="CK67" s="863"/>
      <c r="CL67" s="863"/>
      <c r="CM67" s="863"/>
      <c r="CN67" s="863"/>
      <c r="CO67" s="863"/>
      <c r="CP67" s="863"/>
      <c r="CQ67" s="863"/>
      <c r="CR67" s="863"/>
      <c r="CS67" s="863"/>
      <c r="CT67" s="863"/>
      <c r="CU67" s="863"/>
      <c r="CV67" s="863"/>
      <c r="CW67" s="863"/>
      <c r="CX67" s="863"/>
      <c r="CY67" s="863"/>
      <c r="CZ67" s="863"/>
      <c r="DA67" s="863"/>
      <c r="DB67" s="863"/>
      <c r="DC67" s="863"/>
      <c r="DD67" s="863"/>
      <c r="DE67" s="863"/>
      <c r="DF67" s="863"/>
      <c r="DG67" s="863"/>
      <c r="DH67" s="863"/>
      <c r="DI67" s="863"/>
      <c r="DJ67" s="863"/>
      <c r="DK67" s="863"/>
      <c r="DL67" s="866"/>
      <c r="DN67" s="409"/>
      <c r="DO67" s="409"/>
      <c r="DP67" s="409"/>
      <c r="DQ67" s="409"/>
      <c r="DR67" s="409"/>
      <c r="DS67" s="409"/>
      <c r="DT67" s="409"/>
      <c r="DU67" s="409"/>
      <c r="DV67" s="409"/>
      <c r="DW67" s="409"/>
      <c r="DX67" s="409"/>
      <c r="DY67" s="409"/>
      <c r="DZ67" s="409"/>
      <c r="EA67" s="409"/>
      <c r="EB67" s="409"/>
      <c r="EC67" s="409"/>
      <c r="ED67" s="409"/>
      <c r="EE67" s="409"/>
      <c r="EF67" s="409"/>
      <c r="EG67" s="409"/>
      <c r="EH67" s="409"/>
      <c r="EI67" s="409"/>
      <c r="EJ67" s="409"/>
      <c r="EK67" s="409"/>
      <c r="EL67" s="409"/>
      <c r="EM67" s="409"/>
      <c r="EN67" s="409"/>
      <c r="EO67" s="409"/>
      <c r="EP67" s="409"/>
      <c r="EQ67" s="409"/>
      <c r="ER67" s="409"/>
      <c r="ES67" s="409"/>
      <c r="ET67" s="409"/>
      <c r="EU67" s="409"/>
      <c r="EV67" s="409"/>
      <c r="EW67" s="409"/>
      <c r="EX67" s="409"/>
      <c r="EY67" s="409"/>
      <c r="EZ67" s="409"/>
      <c r="FA67" s="409"/>
      <c r="FB67" s="409"/>
      <c r="FC67" s="409"/>
      <c r="FD67" s="409"/>
      <c r="FE67" s="409"/>
      <c r="FF67" s="409"/>
      <c r="FG67" s="409"/>
      <c r="FH67" s="409"/>
      <c r="FI67" s="409"/>
      <c r="FJ67" s="409"/>
      <c r="FK67" s="409"/>
      <c r="FL67" s="409"/>
      <c r="FM67" s="409"/>
      <c r="FN67" s="409"/>
      <c r="FO67" s="409"/>
      <c r="FP67" s="409"/>
      <c r="FQ67" s="409"/>
      <c r="FR67" s="409"/>
      <c r="FS67" s="409"/>
      <c r="FT67" s="409"/>
      <c r="FU67" s="409"/>
      <c r="FV67" s="409"/>
      <c r="FW67" s="409"/>
      <c r="FX67" s="409"/>
      <c r="FY67" s="409"/>
      <c r="FZ67" s="409"/>
      <c r="GA67" s="409"/>
      <c r="GB67" s="409"/>
      <c r="GC67" s="409"/>
      <c r="GD67" s="409"/>
      <c r="GE67" s="409"/>
      <c r="GF67" s="409"/>
      <c r="GG67" s="409"/>
      <c r="GH67" s="409"/>
      <c r="GI67" s="409"/>
      <c r="GJ67" s="409"/>
      <c r="GK67" s="409"/>
      <c r="GL67" s="409"/>
      <c r="GM67" s="409"/>
      <c r="GN67" s="409"/>
      <c r="GO67" s="409"/>
      <c r="GP67" s="409"/>
      <c r="GQ67" s="409"/>
      <c r="GR67" s="409"/>
      <c r="GS67" s="409"/>
      <c r="GT67" s="409"/>
      <c r="GU67" s="409"/>
      <c r="GV67" s="409"/>
      <c r="GW67" s="409"/>
      <c r="GX67" s="409"/>
      <c r="GY67" s="409"/>
      <c r="GZ67" s="409"/>
      <c r="HA67" s="409"/>
      <c r="HB67" s="409"/>
      <c r="HC67" s="409"/>
      <c r="HD67" s="409"/>
      <c r="HE67" s="409"/>
      <c r="HF67" s="409"/>
      <c r="HG67" s="409"/>
      <c r="HH67" s="409"/>
      <c r="HI67" s="409"/>
      <c r="HJ67" s="409"/>
      <c r="HK67" s="409"/>
      <c r="HL67" s="409"/>
      <c r="HM67" s="409"/>
      <c r="HN67" s="409"/>
      <c r="HO67" s="409"/>
      <c r="HP67" s="409"/>
      <c r="HQ67" s="409"/>
      <c r="HR67" s="409"/>
      <c r="HS67" s="409"/>
      <c r="HT67" s="409"/>
      <c r="HU67" s="409"/>
      <c r="HV67" s="409"/>
      <c r="HW67" s="409"/>
      <c r="HX67" s="409"/>
      <c r="HY67" s="409"/>
      <c r="HZ67" s="409"/>
      <c r="IA67" s="409"/>
      <c r="IB67" s="409"/>
      <c r="IC67" s="409"/>
      <c r="ID67" s="409"/>
      <c r="IE67" s="409"/>
      <c r="IF67" s="409"/>
      <c r="IG67" s="409"/>
      <c r="IH67" s="409"/>
      <c r="II67" s="409"/>
      <c r="IJ67" s="409"/>
      <c r="IK67" s="409"/>
      <c r="IL67" s="409"/>
      <c r="IM67" s="409"/>
      <c r="IN67" s="409"/>
      <c r="IO67" s="409"/>
      <c r="IP67" s="409"/>
      <c r="IQ67" s="409"/>
      <c r="IR67" s="409"/>
      <c r="IS67" s="409"/>
      <c r="IT67" s="409"/>
      <c r="IU67" s="409"/>
      <c r="IV67" s="409"/>
      <c r="IW67" s="409"/>
      <c r="IX67" s="409"/>
      <c r="IY67" s="409"/>
      <c r="IZ67" s="409"/>
      <c r="JA67" s="409"/>
      <c r="JB67" s="409"/>
      <c r="JC67" s="409"/>
      <c r="JD67" s="409"/>
    </row>
    <row r="68" spans="1:264" s="867" customFormat="1" ht="13.8" outlineLevel="1">
      <c r="A68" s="895"/>
      <c r="B68" s="885"/>
      <c r="C68" s="835"/>
      <c r="D68" s="885"/>
      <c r="E68" s="435"/>
      <c r="F68" s="435"/>
      <c r="G68" s="435"/>
      <c r="H68" s="870"/>
      <c r="I68" s="871"/>
      <c r="J68" s="864"/>
      <c r="K68" s="863"/>
      <c r="L68" s="863"/>
      <c r="M68" s="863"/>
      <c r="N68" s="863"/>
      <c r="O68" s="863"/>
      <c r="P68" s="863"/>
      <c r="Q68" s="864"/>
      <c r="R68" s="863"/>
      <c r="S68" s="863"/>
      <c r="T68" s="864"/>
      <c r="U68" s="864"/>
      <c r="V68" s="864"/>
      <c r="W68" s="864"/>
      <c r="X68" s="864"/>
      <c r="Y68" s="864"/>
      <c r="Z68" s="864"/>
      <c r="AA68" s="864"/>
      <c r="AB68" s="864"/>
      <c r="AC68" s="864"/>
      <c r="AD68" s="864"/>
      <c r="AE68" s="864"/>
      <c r="AF68" s="864"/>
      <c r="AG68" s="864"/>
      <c r="AH68" s="864"/>
      <c r="AI68" s="864"/>
      <c r="AJ68" s="864"/>
      <c r="AK68" s="864"/>
      <c r="AL68" s="864"/>
      <c r="AM68" s="864"/>
      <c r="AN68" s="435"/>
      <c r="AO68" s="864"/>
      <c r="AP68" s="864"/>
      <c r="AQ68" s="864"/>
      <c r="AR68" s="864"/>
      <c r="AS68" s="864"/>
      <c r="AT68" s="864"/>
      <c r="AU68" s="864"/>
      <c r="AV68" s="864"/>
      <c r="AW68" s="864"/>
      <c r="AX68" s="864"/>
      <c r="AY68" s="864"/>
      <c r="AZ68" s="864"/>
      <c r="BA68" s="864"/>
      <c r="BB68" s="864"/>
      <c r="BC68" s="864"/>
      <c r="BD68" s="864"/>
      <c r="BE68" s="864"/>
      <c r="BF68" s="864"/>
      <c r="BG68" s="864"/>
      <c r="BH68" s="864"/>
      <c r="BI68" s="864"/>
      <c r="BJ68" s="864"/>
      <c r="BK68" s="864"/>
      <c r="BL68" s="864"/>
      <c r="BM68" s="864"/>
      <c r="BN68" s="864"/>
      <c r="BO68" s="864"/>
      <c r="BP68" s="864"/>
      <c r="BQ68" s="864"/>
      <c r="BR68" s="864"/>
      <c r="BS68" s="864"/>
      <c r="BT68" s="864"/>
      <c r="BU68" s="864"/>
      <c r="BV68" s="864"/>
      <c r="BW68" s="864"/>
      <c r="BX68" s="864"/>
      <c r="BY68" s="864"/>
      <c r="BZ68" s="864"/>
      <c r="CA68" s="864"/>
      <c r="CB68" s="864"/>
      <c r="CC68" s="864"/>
      <c r="CD68" s="864"/>
      <c r="CE68" s="864"/>
      <c r="CF68" s="864"/>
      <c r="CG68" s="864"/>
      <c r="CH68" s="864"/>
      <c r="CI68" s="863"/>
      <c r="CJ68" s="863"/>
      <c r="CK68" s="863"/>
      <c r="CL68" s="863"/>
      <c r="CM68" s="863"/>
      <c r="CN68" s="863"/>
      <c r="CO68" s="863"/>
      <c r="CP68" s="863"/>
      <c r="CQ68" s="863"/>
      <c r="CR68" s="863"/>
      <c r="CS68" s="863"/>
      <c r="CT68" s="863"/>
      <c r="CU68" s="863"/>
      <c r="CV68" s="863"/>
      <c r="CW68" s="863"/>
      <c r="CX68" s="863"/>
      <c r="CY68" s="863"/>
      <c r="CZ68" s="863"/>
      <c r="DA68" s="863"/>
      <c r="DB68" s="863"/>
      <c r="DC68" s="863"/>
      <c r="DD68" s="863"/>
      <c r="DE68" s="863"/>
      <c r="DF68" s="863"/>
      <c r="DG68" s="863"/>
      <c r="DH68" s="863"/>
      <c r="DI68" s="863"/>
      <c r="DJ68" s="863"/>
      <c r="DK68" s="863"/>
      <c r="DL68" s="866"/>
      <c r="DN68" s="409"/>
      <c r="DO68" s="409"/>
      <c r="DP68" s="409"/>
      <c r="DQ68" s="409"/>
      <c r="DR68" s="409"/>
      <c r="DS68" s="409"/>
      <c r="DT68" s="409"/>
      <c r="DU68" s="409"/>
      <c r="DV68" s="409"/>
      <c r="DW68" s="409"/>
      <c r="DX68" s="409"/>
      <c r="DY68" s="409"/>
      <c r="DZ68" s="409"/>
      <c r="EA68" s="409"/>
      <c r="EB68" s="409"/>
      <c r="EC68" s="409"/>
      <c r="ED68" s="409"/>
      <c r="EE68" s="409"/>
      <c r="EF68" s="409"/>
      <c r="EG68" s="409"/>
      <c r="EH68" s="409"/>
      <c r="EI68" s="409"/>
      <c r="EJ68" s="409"/>
      <c r="EK68" s="409"/>
      <c r="EL68" s="409"/>
      <c r="EM68" s="409"/>
      <c r="EN68" s="409"/>
      <c r="EO68" s="409"/>
      <c r="EP68" s="409"/>
      <c r="EQ68" s="409"/>
      <c r="ER68" s="409"/>
      <c r="ES68" s="409"/>
      <c r="ET68" s="409"/>
      <c r="EU68" s="409"/>
      <c r="EV68" s="409"/>
      <c r="EW68" s="409"/>
      <c r="EX68" s="409"/>
      <c r="EY68" s="409"/>
      <c r="EZ68" s="409"/>
      <c r="FA68" s="409"/>
      <c r="FB68" s="409"/>
      <c r="FC68" s="409"/>
      <c r="FD68" s="409"/>
      <c r="FE68" s="409"/>
      <c r="FF68" s="409"/>
      <c r="FG68" s="409"/>
      <c r="FH68" s="409"/>
      <c r="FI68" s="409"/>
      <c r="FJ68" s="409"/>
      <c r="FK68" s="409"/>
      <c r="FL68" s="409"/>
      <c r="FM68" s="409"/>
      <c r="FN68" s="409"/>
      <c r="FO68" s="409"/>
      <c r="FP68" s="409"/>
      <c r="FQ68" s="409"/>
      <c r="FR68" s="409"/>
      <c r="FS68" s="409"/>
      <c r="FT68" s="409"/>
      <c r="FU68" s="409"/>
      <c r="FV68" s="409"/>
      <c r="FW68" s="409"/>
      <c r="FX68" s="409"/>
      <c r="FY68" s="409"/>
      <c r="FZ68" s="409"/>
      <c r="GA68" s="409"/>
      <c r="GB68" s="409"/>
      <c r="GC68" s="409"/>
      <c r="GD68" s="409"/>
      <c r="GE68" s="409"/>
      <c r="GF68" s="409"/>
      <c r="GG68" s="409"/>
      <c r="GH68" s="409"/>
      <c r="GI68" s="409"/>
      <c r="GJ68" s="409"/>
      <c r="GK68" s="409"/>
      <c r="GL68" s="409"/>
      <c r="GM68" s="409"/>
      <c r="GN68" s="409"/>
      <c r="GO68" s="409"/>
      <c r="GP68" s="409"/>
      <c r="GQ68" s="409"/>
      <c r="GR68" s="409"/>
      <c r="GS68" s="409"/>
      <c r="GT68" s="409"/>
      <c r="GU68" s="409"/>
      <c r="GV68" s="409"/>
      <c r="GW68" s="409"/>
      <c r="GX68" s="409"/>
      <c r="GY68" s="409"/>
      <c r="GZ68" s="409"/>
      <c r="HA68" s="409"/>
      <c r="HB68" s="409"/>
      <c r="HC68" s="409"/>
      <c r="HD68" s="409"/>
      <c r="HE68" s="409"/>
      <c r="HF68" s="409"/>
      <c r="HG68" s="409"/>
      <c r="HH68" s="409"/>
      <c r="HI68" s="409"/>
      <c r="HJ68" s="409"/>
      <c r="HK68" s="409"/>
      <c r="HL68" s="409"/>
      <c r="HM68" s="409"/>
      <c r="HN68" s="409"/>
      <c r="HO68" s="409"/>
      <c r="HP68" s="409"/>
      <c r="HQ68" s="409"/>
      <c r="HR68" s="409"/>
      <c r="HS68" s="409"/>
      <c r="HT68" s="409"/>
      <c r="HU68" s="409"/>
      <c r="HV68" s="409"/>
      <c r="HW68" s="409"/>
      <c r="HX68" s="409"/>
      <c r="HY68" s="409"/>
      <c r="HZ68" s="409"/>
      <c r="IA68" s="409"/>
      <c r="IB68" s="409"/>
      <c r="IC68" s="409"/>
      <c r="ID68" s="409"/>
      <c r="IE68" s="409"/>
      <c r="IF68" s="409"/>
      <c r="IG68" s="409"/>
      <c r="IH68" s="409"/>
      <c r="II68" s="409"/>
      <c r="IJ68" s="409"/>
      <c r="IK68" s="409"/>
      <c r="IL68" s="409"/>
      <c r="IM68" s="409"/>
      <c r="IN68" s="409"/>
      <c r="IO68" s="409"/>
      <c r="IP68" s="409"/>
      <c r="IQ68" s="409"/>
      <c r="IR68" s="409"/>
      <c r="IS68" s="409"/>
      <c r="IT68" s="409"/>
      <c r="IU68" s="409"/>
      <c r="IV68" s="409"/>
      <c r="IW68" s="409"/>
      <c r="IX68" s="409"/>
      <c r="IY68" s="409"/>
      <c r="IZ68" s="409"/>
      <c r="JA68" s="409"/>
      <c r="JB68" s="409"/>
      <c r="JC68" s="409"/>
      <c r="JD68" s="409"/>
    </row>
    <row r="69" spans="1:264" s="867" customFormat="1" ht="13.8" outlineLevel="1">
      <c r="A69" s="895"/>
      <c r="B69" s="885"/>
      <c r="C69" s="835"/>
      <c r="D69" s="885"/>
      <c r="E69" s="435"/>
      <c r="F69" s="435"/>
      <c r="G69" s="435"/>
      <c r="H69" s="870"/>
      <c r="I69" s="871"/>
      <c r="J69" s="864"/>
      <c r="K69" s="863"/>
      <c r="L69" s="863"/>
      <c r="M69" s="863"/>
      <c r="N69" s="863"/>
      <c r="O69" s="863"/>
      <c r="P69" s="863"/>
      <c r="Q69" s="864"/>
      <c r="R69" s="863"/>
      <c r="S69" s="863"/>
      <c r="T69" s="864"/>
      <c r="U69" s="864"/>
      <c r="V69" s="864"/>
      <c r="W69" s="864"/>
      <c r="X69" s="864"/>
      <c r="Y69" s="864"/>
      <c r="Z69" s="864"/>
      <c r="AA69" s="864"/>
      <c r="AB69" s="864"/>
      <c r="AC69" s="864"/>
      <c r="AD69" s="864"/>
      <c r="AE69" s="864"/>
      <c r="AF69" s="864"/>
      <c r="AG69" s="864"/>
      <c r="AH69" s="864"/>
      <c r="AI69" s="864"/>
      <c r="AJ69" s="864"/>
      <c r="AK69" s="864"/>
      <c r="AL69" s="864"/>
      <c r="AM69" s="864"/>
      <c r="AN69" s="435"/>
      <c r="AO69" s="864"/>
      <c r="AP69" s="864"/>
      <c r="AQ69" s="864"/>
      <c r="AR69" s="864"/>
      <c r="AS69" s="864"/>
      <c r="AT69" s="864"/>
      <c r="AU69" s="864"/>
      <c r="AV69" s="864"/>
      <c r="AW69" s="864"/>
      <c r="AX69" s="864"/>
      <c r="AY69" s="864"/>
      <c r="AZ69" s="864"/>
      <c r="BA69" s="864"/>
      <c r="BB69" s="864"/>
      <c r="BC69" s="864"/>
      <c r="BD69" s="864"/>
      <c r="BE69" s="864"/>
      <c r="BF69" s="864"/>
      <c r="BG69" s="864"/>
      <c r="BH69" s="864"/>
      <c r="BI69" s="864"/>
      <c r="BJ69" s="864"/>
      <c r="BK69" s="864"/>
      <c r="BL69" s="864"/>
      <c r="BM69" s="864"/>
      <c r="BN69" s="864"/>
      <c r="BO69" s="864"/>
      <c r="BP69" s="864"/>
      <c r="BQ69" s="864"/>
      <c r="BR69" s="864"/>
      <c r="BS69" s="864"/>
      <c r="BT69" s="864"/>
      <c r="BU69" s="864"/>
      <c r="BV69" s="864"/>
      <c r="BW69" s="864"/>
      <c r="BX69" s="864"/>
      <c r="BY69" s="864"/>
      <c r="BZ69" s="864"/>
      <c r="CA69" s="864"/>
      <c r="CB69" s="864"/>
      <c r="CC69" s="864"/>
      <c r="CD69" s="864"/>
      <c r="CE69" s="864"/>
      <c r="CF69" s="864"/>
      <c r="CG69" s="864"/>
      <c r="CH69" s="864"/>
      <c r="CI69" s="863"/>
      <c r="CJ69" s="863"/>
      <c r="CK69" s="863"/>
      <c r="CL69" s="863"/>
      <c r="CM69" s="863"/>
      <c r="CN69" s="863"/>
      <c r="CO69" s="863"/>
      <c r="CP69" s="863"/>
      <c r="CQ69" s="863"/>
      <c r="CR69" s="863"/>
      <c r="CS69" s="863"/>
      <c r="CT69" s="863"/>
      <c r="CU69" s="863"/>
      <c r="CV69" s="863"/>
      <c r="CW69" s="863"/>
      <c r="CX69" s="863"/>
      <c r="CY69" s="863"/>
      <c r="CZ69" s="863"/>
      <c r="DA69" s="863"/>
      <c r="DB69" s="863"/>
      <c r="DC69" s="863"/>
      <c r="DD69" s="863"/>
      <c r="DE69" s="863"/>
      <c r="DF69" s="863"/>
      <c r="DG69" s="863"/>
      <c r="DH69" s="863"/>
      <c r="DI69" s="863"/>
      <c r="DJ69" s="863"/>
      <c r="DK69" s="863"/>
      <c r="DL69" s="866"/>
      <c r="DN69" s="409"/>
      <c r="DO69" s="409"/>
      <c r="DP69" s="409"/>
      <c r="DQ69" s="409"/>
      <c r="DR69" s="409"/>
      <c r="DS69" s="409"/>
      <c r="DT69" s="409"/>
      <c r="DU69" s="409"/>
      <c r="DV69" s="409"/>
      <c r="DW69" s="409"/>
      <c r="DX69" s="409"/>
      <c r="DY69" s="409"/>
      <c r="DZ69" s="409"/>
      <c r="EA69" s="409"/>
      <c r="EB69" s="409"/>
      <c r="EC69" s="409"/>
      <c r="ED69" s="409"/>
      <c r="EE69" s="409"/>
      <c r="EF69" s="409"/>
      <c r="EG69" s="409"/>
      <c r="EH69" s="409"/>
      <c r="EI69" s="409"/>
      <c r="EJ69" s="409"/>
      <c r="EK69" s="409"/>
      <c r="EL69" s="409"/>
      <c r="EM69" s="409"/>
      <c r="EN69" s="409"/>
      <c r="EO69" s="409"/>
      <c r="EP69" s="409"/>
      <c r="EQ69" s="409"/>
      <c r="ER69" s="409"/>
      <c r="ES69" s="409"/>
      <c r="ET69" s="409"/>
      <c r="EU69" s="409"/>
      <c r="EV69" s="409"/>
      <c r="EW69" s="409"/>
      <c r="EX69" s="409"/>
      <c r="EY69" s="409"/>
      <c r="EZ69" s="409"/>
      <c r="FA69" s="409"/>
      <c r="FB69" s="409"/>
      <c r="FC69" s="409"/>
      <c r="FD69" s="409"/>
      <c r="FE69" s="409"/>
      <c r="FF69" s="409"/>
      <c r="FG69" s="409"/>
      <c r="FH69" s="409"/>
      <c r="FI69" s="409"/>
      <c r="FJ69" s="409"/>
      <c r="FK69" s="409"/>
      <c r="FL69" s="409"/>
      <c r="FM69" s="409"/>
      <c r="FN69" s="409"/>
      <c r="FO69" s="409"/>
      <c r="FP69" s="409"/>
      <c r="FQ69" s="409"/>
      <c r="FR69" s="409"/>
      <c r="FS69" s="409"/>
      <c r="FT69" s="409"/>
      <c r="FU69" s="409"/>
      <c r="FV69" s="409"/>
      <c r="FW69" s="409"/>
      <c r="FX69" s="409"/>
      <c r="FY69" s="409"/>
      <c r="FZ69" s="409"/>
      <c r="GA69" s="409"/>
      <c r="GB69" s="409"/>
      <c r="GC69" s="409"/>
      <c r="GD69" s="409"/>
      <c r="GE69" s="409"/>
      <c r="GF69" s="409"/>
      <c r="GG69" s="409"/>
      <c r="GH69" s="409"/>
      <c r="GI69" s="409"/>
      <c r="GJ69" s="409"/>
      <c r="GK69" s="409"/>
      <c r="GL69" s="409"/>
      <c r="GM69" s="409"/>
      <c r="GN69" s="409"/>
      <c r="GO69" s="409"/>
      <c r="GP69" s="409"/>
      <c r="GQ69" s="409"/>
      <c r="GR69" s="409"/>
      <c r="GS69" s="409"/>
      <c r="GT69" s="409"/>
      <c r="GU69" s="409"/>
      <c r="GV69" s="409"/>
      <c r="GW69" s="409"/>
      <c r="GX69" s="409"/>
      <c r="GY69" s="409"/>
      <c r="GZ69" s="409"/>
      <c r="HA69" s="409"/>
      <c r="HB69" s="409"/>
      <c r="HC69" s="409"/>
      <c r="HD69" s="409"/>
      <c r="HE69" s="409"/>
      <c r="HF69" s="409"/>
      <c r="HG69" s="409"/>
      <c r="HH69" s="409"/>
      <c r="HI69" s="409"/>
      <c r="HJ69" s="409"/>
      <c r="HK69" s="409"/>
      <c r="HL69" s="409"/>
      <c r="HM69" s="409"/>
      <c r="HN69" s="409"/>
      <c r="HO69" s="409"/>
      <c r="HP69" s="409"/>
      <c r="HQ69" s="409"/>
      <c r="HR69" s="409"/>
      <c r="HS69" s="409"/>
      <c r="HT69" s="409"/>
      <c r="HU69" s="409"/>
      <c r="HV69" s="409"/>
      <c r="HW69" s="409"/>
      <c r="HX69" s="409"/>
      <c r="HY69" s="409"/>
      <c r="HZ69" s="409"/>
      <c r="IA69" s="409"/>
      <c r="IB69" s="409"/>
      <c r="IC69" s="409"/>
      <c r="ID69" s="409"/>
      <c r="IE69" s="409"/>
      <c r="IF69" s="409"/>
      <c r="IG69" s="409"/>
      <c r="IH69" s="409"/>
      <c r="II69" s="409"/>
      <c r="IJ69" s="409"/>
      <c r="IK69" s="409"/>
      <c r="IL69" s="409"/>
      <c r="IM69" s="409"/>
      <c r="IN69" s="409"/>
      <c r="IO69" s="409"/>
      <c r="IP69" s="409"/>
      <c r="IQ69" s="409"/>
      <c r="IR69" s="409"/>
      <c r="IS69" s="409"/>
      <c r="IT69" s="409"/>
      <c r="IU69" s="409"/>
      <c r="IV69" s="409"/>
      <c r="IW69" s="409"/>
      <c r="IX69" s="409"/>
      <c r="IY69" s="409"/>
      <c r="IZ69" s="409"/>
      <c r="JA69" s="409"/>
      <c r="JB69" s="409"/>
      <c r="JC69" s="409"/>
      <c r="JD69" s="409"/>
    </row>
    <row r="70" spans="1:264" s="970" customFormat="1" ht="13.8" outlineLevel="1">
      <c r="A70" s="961"/>
      <c r="B70" s="962"/>
      <c r="C70" s="963"/>
      <c r="D70" s="962"/>
      <c r="E70" s="964"/>
      <c r="F70" s="964"/>
      <c r="G70" s="964"/>
      <c r="H70" s="965"/>
      <c r="I70" s="966"/>
      <c r="J70" s="967"/>
      <c r="K70" s="968"/>
      <c r="L70" s="968"/>
      <c r="M70" s="968"/>
      <c r="N70" s="968"/>
      <c r="O70" s="968"/>
      <c r="P70" s="968"/>
      <c r="Q70" s="967"/>
      <c r="R70" s="968"/>
      <c r="S70" s="968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67"/>
      <c r="AL70" s="967"/>
      <c r="AM70" s="967"/>
      <c r="AN70" s="964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67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67"/>
      <c r="BV70" s="967"/>
      <c r="BW70" s="967"/>
      <c r="BX70" s="967"/>
      <c r="BY70" s="967"/>
      <c r="BZ70" s="967"/>
      <c r="CA70" s="967"/>
      <c r="CB70" s="967"/>
      <c r="CC70" s="967"/>
      <c r="CD70" s="967"/>
      <c r="CE70" s="967"/>
      <c r="CF70" s="967"/>
      <c r="CG70" s="967"/>
      <c r="CH70" s="967"/>
      <c r="CI70" s="968"/>
      <c r="CJ70" s="968"/>
      <c r="CK70" s="968"/>
      <c r="CL70" s="968"/>
      <c r="CM70" s="968"/>
      <c r="CN70" s="968"/>
      <c r="CO70" s="968"/>
      <c r="CP70" s="968"/>
      <c r="CQ70" s="968"/>
      <c r="CR70" s="968"/>
      <c r="CS70" s="968"/>
      <c r="CT70" s="968"/>
      <c r="CU70" s="968"/>
      <c r="CV70" s="968"/>
      <c r="CW70" s="968"/>
      <c r="CX70" s="968"/>
      <c r="CY70" s="968"/>
      <c r="CZ70" s="968"/>
      <c r="DA70" s="968"/>
      <c r="DB70" s="968"/>
      <c r="DC70" s="968"/>
      <c r="DD70" s="968"/>
      <c r="DE70" s="968"/>
      <c r="DF70" s="968"/>
      <c r="DG70" s="968"/>
      <c r="DH70" s="968"/>
      <c r="DI70" s="968"/>
      <c r="DJ70" s="968"/>
      <c r="DK70" s="968"/>
      <c r="DL70" s="969"/>
      <c r="DN70" s="971"/>
      <c r="DO70" s="971"/>
      <c r="DP70" s="971"/>
      <c r="DQ70" s="971"/>
      <c r="DR70" s="971"/>
      <c r="DS70" s="971"/>
      <c r="DT70" s="971"/>
      <c r="DU70" s="971"/>
      <c r="DV70" s="971"/>
      <c r="DW70" s="971"/>
      <c r="DX70" s="971"/>
      <c r="DY70" s="971"/>
      <c r="DZ70" s="971"/>
      <c r="EA70" s="971"/>
      <c r="EB70" s="971"/>
      <c r="EC70" s="971"/>
      <c r="ED70" s="971"/>
      <c r="EE70" s="971"/>
      <c r="EF70" s="971"/>
      <c r="EG70" s="971"/>
      <c r="EH70" s="971"/>
      <c r="EI70" s="971"/>
      <c r="EJ70" s="971"/>
      <c r="EK70" s="971"/>
      <c r="EL70" s="971"/>
      <c r="EM70" s="971"/>
      <c r="EN70" s="971"/>
      <c r="EO70" s="971"/>
      <c r="EP70" s="971"/>
      <c r="EQ70" s="971"/>
      <c r="ER70" s="971"/>
      <c r="ES70" s="971"/>
      <c r="ET70" s="971"/>
      <c r="EU70" s="971"/>
      <c r="EV70" s="971"/>
      <c r="EW70" s="971"/>
      <c r="EX70" s="971"/>
      <c r="EY70" s="971"/>
      <c r="EZ70" s="971"/>
      <c r="FA70" s="971"/>
      <c r="FB70" s="971"/>
      <c r="FC70" s="971"/>
      <c r="FD70" s="971"/>
      <c r="FE70" s="971"/>
      <c r="FF70" s="971"/>
      <c r="FG70" s="971"/>
      <c r="FH70" s="971"/>
      <c r="FI70" s="971"/>
      <c r="FJ70" s="971"/>
      <c r="FK70" s="971"/>
      <c r="FL70" s="971"/>
      <c r="FM70" s="971"/>
      <c r="FN70" s="971"/>
      <c r="FO70" s="971"/>
      <c r="FP70" s="971"/>
      <c r="FQ70" s="971"/>
      <c r="FR70" s="971"/>
      <c r="FS70" s="971"/>
      <c r="FT70" s="971"/>
      <c r="FU70" s="971"/>
      <c r="FV70" s="971"/>
      <c r="FW70" s="971"/>
      <c r="FX70" s="971"/>
      <c r="FY70" s="971"/>
      <c r="FZ70" s="971"/>
      <c r="GA70" s="971"/>
      <c r="GB70" s="971"/>
      <c r="GC70" s="971"/>
      <c r="GD70" s="971"/>
      <c r="GE70" s="971"/>
      <c r="GF70" s="971"/>
      <c r="GG70" s="971"/>
      <c r="GH70" s="971"/>
      <c r="GI70" s="971"/>
      <c r="GJ70" s="971"/>
      <c r="GK70" s="971"/>
      <c r="GL70" s="971"/>
      <c r="GM70" s="971"/>
      <c r="GN70" s="971"/>
      <c r="GO70" s="971"/>
      <c r="GP70" s="971"/>
      <c r="GQ70" s="971"/>
      <c r="GR70" s="971"/>
      <c r="GS70" s="971"/>
      <c r="GT70" s="971"/>
      <c r="GU70" s="971"/>
      <c r="GV70" s="971"/>
      <c r="GW70" s="971"/>
      <c r="GX70" s="971"/>
      <c r="GY70" s="971"/>
      <c r="GZ70" s="971"/>
      <c r="HA70" s="971"/>
      <c r="HB70" s="971"/>
      <c r="HC70" s="971"/>
      <c r="HD70" s="971"/>
      <c r="HE70" s="971"/>
      <c r="HF70" s="971"/>
      <c r="HG70" s="971"/>
      <c r="HH70" s="971"/>
      <c r="HI70" s="971"/>
      <c r="HJ70" s="971"/>
      <c r="HK70" s="971"/>
      <c r="HL70" s="971"/>
      <c r="HM70" s="971"/>
      <c r="HN70" s="971"/>
      <c r="HO70" s="971"/>
      <c r="HP70" s="971"/>
      <c r="HQ70" s="971"/>
      <c r="HR70" s="971"/>
      <c r="HS70" s="971"/>
      <c r="HT70" s="971"/>
      <c r="HU70" s="971"/>
      <c r="HV70" s="971"/>
      <c r="HW70" s="971"/>
      <c r="HX70" s="971"/>
      <c r="HY70" s="971"/>
      <c r="HZ70" s="971"/>
      <c r="IA70" s="971"/>
      <c r="IB70" s="971"/>
      <c r="IC70" s="971"/>
      <c r="ID70" s="971"/>
      <c r="IE70" s="971"/>
      <c r="IF70" s="971"/>
      <c r="IG70" s="971"/>
      <c r="IH70" s="971"/>
      <c r="II70" s="971"/>
      <c r="IJ70" s="971"/>
      <c r="IK70" s="971"/>
      <c r="IL70" s="971"/>
      <c r="IM70" s="971"/>
      <c r="IN70" s="971"/>
      <c r="IO70" s="971"/>
      <c r="IP70" s="971"/>
      <c r="IQ70" s="971"/>
      <c r="IR70" s="971"/>
      <c r="IS70" s="971"/>
      <c r="IT70" s="971"/>
      <c r="IU70" s="971"/>
      <c r="IV70" s="971"/>
      <c r="IW70" s="971"/>
      <c r="IX70" s="971"/>
      <c r="IY70" s="971"/>
      <c r="IZ70" s="971"/>
      <c r="JA70" s="971"/>
      <c r="JB70" s="971"/>
      <c r="JC70" s="971"/>
      <c r="JD70" s="971"/>
    </row>
    <row r="71" spans="1:264" s="867" customFormat="1" ht="13.8" outlineLevel="1">
      <c r="A71" s="895"/>
      <c r="B71" s="885"/>
      <c r="C71" s="835"/>
      <c r="D71" s="885"/>
      <c r="E71" s="435"/>
      <c r="F71" s="435"/>
      <c r="G71" s="435"/>
      <c r="H71" s="870"/>
      <c r="I71" s="871"/>
      <c r="J71" s="864"/>
      <c r="K71" s="863"/>
      <c r="L71" s="863"/>
      <c r="M71" s="863"/>
      <c r="N71" s="863"/>
      <c r="O71" s="863"/>
      <c r="P71" s="863"/>
      <c r="Q71" s="864"/>
      <c r="R71" s="863"/>
      <c r="S71" s="863"/>
      <c r="T71" s="864"/>
      <c r="U71" s="864"/>
      <c r="V71" s="864"/>
      <c r="W71" s="864"/>
      <c r="X71" s="864"/>
      <c r="Y71" s="864"/>
      <c r="Z71" s="864"/>
      <c r="AA71" s="864"/>
      <c r="AB71" s="864"/>
      <c r="AC71" s="864"/>
      <c r="AD71" s="864"/>
      <c r="AE71" s="864"/>
      <c r="AF71" s="864"/>
      <c r="AG71" s="864"/>
      <c r="AH71" s="864"/>
      <c r="AI71" s="864"/>
      <c r="AJ71" s="864"/>
      <c r="AK71" s="864"/>
      <c r="AL71" s="864"/>
      <c r="AM71" s="864"/>
      <c r="AN71" s="435"/>
      <c r="AO71" s="864"/>
      <c r="AP71" s="864"/>
      <c r="AQ71" s="864"/>
      <c r="AR71" s="864"/>
      <c r="AS71" s="864"/>
      <c r="AT71" s="864"/>
      <c r="AU71" s="864"/>
      <c r="AV71" s="864"/>
      <c r="AW71" s="864"/>
      <c r="AX71" s="864"/>
      <c r="AY71" s="864"/>
      <c r="AZ71" s="864"/>
      <c r="BA71" s="864"/>
      <c r="BB71" s="864"/>
      <c r="BC71" s="864"/>
      <c r="BD71" s="864"/>
      <c r="BE71" s="864"/>
      <c r="BF71" s="864"/>
      <c r="BG71" s="864"/>
      <c r="BH71" s="864"/>
      <c r="BI71" s="864"/>
      <c r="BJ71" s="864"/>
      <c r="BK71" s="864"/>
      <c r="BL71" s="864"/>
      <c r="BM71" s="864"/>
      <c r="BN71" s="864"/>
      <c r="BO71" s="864"/>
      <c r="BP71" s="864"/>
      <c r="BQ71" s="864"/>
      <c r="BR71" s="864"/>
      <c r="BS71" s="864"/>
      <c r="BT71" s="864"/>
      <c r="BU71" s="864"/>
      <c r="BV71" s="864"/>
      <c r="BW71" s="864"/>
      <c r="BX71" s="864"/>
      <c r="BY71" s="864"/>
      <c r="BZ71" s="864"/>
      <c r="CA71" s="864"/>
      <c r="CB71" s="864"/>
      <c r="CC71" s="864"/>
      <c r="CD71" s="864"/>
      <c r="CE71" s="864"/>
      <c r="CF71" s="864"/>
      <c r="CG71" s="864"/>
      <c r="CH71" s="864"/>
      <c r="CI71" s="863"/>
      <c r="CJ71" s="863"/>
      <c r="CK71" s="863"/>
      <c r="CL71" s="863"/>
      <c r="CM71" s="863"/>
      <c r="CN71" s="863"/>
      <c r="CO71" s="863"/>
      <c r="CP71" s="863"/>
      <c r="CQ71" s="863"/>
      <c r="CR71" s="863"/>
      <c r="CS71" s="863"/>
      <c r="CT71" s="863"/>
      <c r="CU71" s="863"/>
      <c r="CV71" s="863"/>
      <c r="CW71" s="863"/>
      <c r="CX71" s="863"/>
      <c r="CY71" s="863"/>
      <c r="CZ71" s="863"/>
      <c r="DA71" s="863"/>
      <c r="DB71" s="863"/>
      <c r="DC71" s="863"/>
      <c r="DD71" s="863"/>
      <c r="DE71" s="863"/>
      <c r="DF71" s="863"/>
      <c r="DG71" s="863"/>
      <c r="DH71" s="863"/>
      <c r="DI71" s="863"/>
      <c r="DJ71" s="863"/>
      <c r="DK71" s="863"/>
      <c r="DL71" s="866"/>
      <c r="DN71" s="409"/>
      <c r="DO71" s="409"/>
      <c r="DP71" s="409"/>
      <c r="DQ71" s="409"/>
      <c r="DR71" s="409"/>
      <c r="DS71" s="409"/>
      <c r="DT71" s="409"/>
      <c r="DU71" s="409"/>
      <c r="DV71" s="409"/>
      <c r="DW71" s="409"/>
      <c r="DX71" s="409"/>
      <c r="DY71" s="409"/>
      <c r="DZ71" s="409"/>
      <c r="EA71" s="409"/>
      <c r="EB71" s="409"/>
      <c r="EC71" s="409"/>
      <c r="ED71" s="409"/>
      <c r="EE71" s="409"/>
      <c r="EF71" s="409"/>
      <c r="EG71" s="409"/>
      <c r="EH71" s="409"/>
      <c r="EI71" s="409"/>
      <c r="EJ71" s="409"/>
      <c r="EK71" s="409"/>
      <c r="EL71" s="409"/>
      <c r="EM71" s="409"/>
      <c r="EN71" s="409"/>
      <c r="EO71" s="409"/>
      <c r="EP71" s="409"/>
      <c r="EQ71" s="409"/>
      <c r="ER71" s="409"/>
      <c r="ES71" s="409"/>
      <c r="ET71" s="409"/>
      <c r="EU71" s="409"/>
      <c r="EV71" s="409"/>
      <c r="EW71" s="409"/>
      <c r="EX71" s="409"/>
      <c r="EY71" s="409"/>
      <c r="EZ71" s="409"/>
      <c r="FA71" s="409"/>
      <c r="FB71" s="409"/>
      <c r="FC71" s="409"/>
      <c r="FD71" s="409"/>
      <c r="FE71" s="409"/>
      <c r="FF71" s="409"/>
      <c r="FG71" s="409"/>
      <c r="FH71" s="409"/>
      <c r="FI71" s="409"/>
      <c r="FJ71" s="409"/>
      <c r="FK71" s="409"/>
      <c r="FL71" s="409"/>
      <c r="FM71" s="409"/>
      <c r="FN71" s="409"/>
      <c r="FO71" s="409"/>
      <c r="FP71" s="409"/>
      <c r="FQ71" s="409"/>
      <c r="FR71" s="409"/>
      <c r="FS71" s="409"/>
      <c r="FT71" s="409"/>
      <c r="FU71" s="409"/>
      <c r="FV71" s="409"/>
      <c r="FW71" s="409"/>
      <c r="FX71" s="409"/>
      <c r="FY71" s="409"/>
      <c r="FZ71" s="409"/>
      <c r="GA71" s="409"/>
      <c r="GB71" s="409"/>
      <c r="GC71" s="409"/>
      <c r="GD71" s="409"/>
      <c r="GE71" s="409"/>
      <c r="GF71" s="409"/>
      <c r="GG71" s="409"/>
      <c r="GH71" s="409"/>
      <c r="GI71" s="409"/>
      <c r="GJ71" s="409"/>
      <c r="GK71" s="409"/>
      <c r="GL71" s="409"/>
      <c r="GM71" s="409"/>
      <c r="GN71" s="409"/>
      <c r="GO71" s="409"/>
      <c r="GP71" s="409"/>
      <c r="GQ71" s="409"/>
      <c r="GR71" s="409"/>
      <c r="GS71" s="409"/>
      <c r="GT71" s="409"/>
      <c r="GU71" s="409"/>
      <c r="GV71" s="409"/>
      <c r="GW71" s="409"/>
      <c r="GX71" s="409"/>
      <c r="GY71" s="409"/>
      <c r="GZ71" s="409"/>
      <c r="HA71" s="409"/>
      <c r="HB71" s="409"/>
      <c r="HC71" s="409"/>
      <c r="HD71" s="409"/>
      <c r="HE71" s="409"/>
      <c r="HF71" s="409"/>
      <c r="HG71" s="409"/>
      <c r="HH71" s="409"/>
      <c r="HI71" s="409"/>
      <c r="HJ71" s="409"/>
      <c r="HK71" s="409"/>
      <c r="HL71" s="409"/>
      <c r="HM71" s="409"/>
      <c r="HN71" s="409"/>
      <c r="HO71" s="409"/>
      <c r="HP71" s="409"/>
      <c r="HQ71" s="409"/>
      <c r="HR71" s="409"/>
      <c r="HS71" s="409"/>
      <c r="HT71" s="409"/>
      <c r="HU71" s="409"/>
      <c r="HV71" s="409"/>
      <c r="HW71" s="409"/>
      <c r="HX71" s="409"/>
      <c r="HY71" s="409"/>
      <c r="HZ71" s="409"/>
      <c r="IA71" s="409"/>
      <c r="IB71" s="409"/>
      <c r="IC71" s="409"/>
      <c r="ID71" s="409"/>
      <c r="IE71" s="409"/>
      <c r="IF71" s="409"/>
      <c r="IG71" s="409"/>
      <c r="IH71" s="409"/>
      <c r="II71" s="409"/>
      <c r="IJ71" s="409"/>
      <c r="IK71" s="409"/>
      <c r="IL71" s="409"/>
      <c r="IM71" s="409"/>
      <c r="IN71" s="409"/>
      <c r="IO71" s="409"/>
      <c r="IP71" s="409"/>
      <c r="IQ71" s="409"/>
      <c r="IR71" s="409"/>
      <c r="IS71" s="409"/>
      <c r="IT71" s="409"/>
      <c r="IU71" s="409"/>
      <c r="IV71" s="409"/>
      <c r="IW71" s="409"/>
      <c r="IX71" s="409"/>
      <c r="IY71" s="409"/>
      <c r="IZ71" s="409"/>
      <c r="JA71" s="409"/>
      <c r="JB71" s="409"/>
      <c r="JC71" s="409"/>
      <c r="JD71" s="409"/>
    </row>
    <row r="72" spans="1:264" s="867" customFormat="1" ht="13.8" outlineLevel="1">
      <c r="A72" s="895"/>
      <c r="B72" s="885"/>
      <c r="C72" s="835"/>
      <c r="D72" s="885"/>
      <c r="E72" s="435"/>
      <c r="F72" s="435"/>
      <c r="G72" s="435"/>
      <c r="H72" s="870"/>
      <c r="I72" s="871"/>
      <c r="J72" s="864"/>
      <c r="K72" s="863"/>
      <c r="L72" s="863"/>
      <c r="M72" s="863"/>
      <c r="N72" s="863"/>
      <c r="O72" s="863"/>
      <c r="P72" s="863"/>
      <c r="Q72" s="864"/>
      <c r="R72" s="863"/>
      <c r="S72" s="863"/>
      <c r="T72" s="864"/>
      <c r="U72" s="864"/>
      <c r="V72" s="864"/>
      <c r="W72" s="864"/>
      <c r="X72" s="864"/>
      <c r="Y72" s="864"/>
      <c r="Z72" s="864"/>
      <c r="AA72" s="864"/>
      <c r="AB72" s="864"/>
      <c r="AC72" s="864"/>
      <c r="AD72" s="864"/>
      <c r="AE72" s="864"/>
      <c r="AF72" s="864"/>
      <c r="AG72" s="864"/>
      <c r="AH72" s="864"/>
      <c r="AI72" s="864"/>
      <c r="AJ72" s="864"/>
      <c r="AK72" s="864"/>
      <c r="AL72" s="864"/>
      <c r="AM72" s="864"/>
      <c r="AN72" s="435"/>
      <c r="AO72" s="864"/>
      <c r="AP72" s="864"/>
      <c r="AQ72" s="864"/>
      <c r="AR72" s="864"/>
      <c r="AS72" s="864"/>
      <c r="AT72" s="864"/>
      <c r="AU72" s="864"/>
      <c r="AV72" s="864"/>
      <c r="AW72" s="864"/>
      <c r="AX72" s="864"/>
      <c r="AY72" s="864"/>
      <c r="AZ72" s="864"/>
      <c r="BA72" s="864"/>
      <c r="BB72" s="864"/>
      <c r="BC72" s="864"/>
      <c r="BD72" s="864"/>
      <c r="BE72" s="864"/>
      <c r="BF72" s="864"/>
      <c r="BG72" s="864"/>
      <c r="BH72" s="864"/>
      <c r="BI72" s="864"/>
      <c r="BJ72" s="864"/>
      <c r="BK72" s="864"/>
      <c r="BL72" s="864"/>
      <c r="BM72" s="864"/>
      <c r="BN72" s="864"/>
      <c r="BO72" s="864"/>
      <c r="BP72" s="864"/>
      <c r="BQ72" s="864"/>
      <c r="BR72" s="864"/>
      <c r="BS72" s="864"/>
      <c r="BT72" s="864"/>
      <c r="BU72" s="864"/>
      <c r="BV72" s="864"/>
      <c r="BW72" s="864"/>
      <c r="BX72" s="864"/>
      <c r="BY72" s="864"/>
      <c r="BZ72" s="864"/>
      <c r="CA72" s="864"/>
      <c r="CB72" s="864"/>
      <c r="CC72" s="864"/>
      <c r="CD72" s="864"/>
      <c r="CE72" s="864"/>
      <c r="CF72" s="864"/>
      <c r="CG72" s="864"/>
      <c r="CH72" s="864"/>
      <c r="CI72" s="863"/>
      <c r="CJ72" s="863"/>
      <c r="CK72" s="863"/>
      <c r="CL72" s="863"/>
      <c r="CM72" s="863"/>
      <c r="CN72" s="863"/>
      <c r="CO72" s="863"/>
      <c r="CP72" s="863"/>
      <c r="CQ72" s="863"/>
      <c r="CR72" s="863"/>
      <c r="CS72" s="863"/>
      <c r="CT72" s="863"/>
      <c r="CU72" s="863"/>
      <c r="CV72" s="863"/>
      <c r="CW72" s="863"/>
      <c r="CX72" s="863"/>
      <c r="CY72" s="863"/>
      <c r="CZ72" s="863"/>
      <c r="DA72" s="863"/>
      <c r="DB72" s="863"/>
      <c r="DC72" s="863"/>
      <c r="DD72" s="863"/>
      <c r="DE72" s="863"/>
      <c r="DF72" s="863"/>
      <c r="DG72" s="863"/>
      <c r="DH72" s="863"/>
      <c r="DI72" s="863"/>
      <c r="DJ72" s="863"/>
      <c r="DK72" s="863"/>
      <c r="DL72" s="866"/>
      <c r="DN72" s="409"/>
      <c r="DO72" s="409"/>
      <c r="DP72" s="409"/>
      <c r="DQ72" s="409"/>
      <c r="DR72" s="409"/>
      <c r="DS72" s="409"/>
      <c r="DT72" s="409"/>
      <c r="DU72" s="409"/>
      <c r="DV72" s="409"/>
      <c r="DW72" s="409"/>
      <c r="DX72" s="409"/>
      <c r="DY72" s="409"/>
      <c r="DZ72" s="409"/>
      <c r="EA72" s="409"/>
      <c r="EB72" s="409"/>
      <c r="EC72" s="409"/>
      <c r="ED72" s="409"/>
      <c r="EE72" s="409"/>
      <c r="EF72" s="409"/>
      <c r="EG72" s="409"/>
      <c r="EH72" s="409"/>
      <c r="EI72" s="409"/>
      <c r="EJ72" s="409"/>
      <c r="EK72" s="409"/>
      <c r="EL72" s="409"/>
      <c r="EM72" s="409"/>
      <c r="EN72" s="409"/>
      <c r="EO72" s="409"/>
      <c r="EP72" s="409"/>
      <c r="EQ72" s="409"/>
      <c r="ER72" s="409"/>
      <c r="ES72" s="409"/>
      <c r="ET72" s="409"/>
      <c r="EU72" s="409"/>
      <c r="EV72" s="409"/>
      <c r="EW72" s="409"/>
      <c r="EX72" s="409"/>
      <c r="EY72" s="409"/>
      <c r="EZ72" s="409"/>
      <c r="FA72" s="409"/>
      <c r="FB72" s="409"/>
      <c r="FC72" s="409"/>
      <c r="FD72" s="409"/>
      <c r="FE72" s="409"/>
      <c r="FF72" s="409"/>
      <c r="FG72" s="409"/>
      <c r="FH72" s="409"/>
      <c r="FI72" s="409"/>
      <c r="FJ72" s="409"/>
      <c r="FK72" s="409"/>
      <c r="FL72" s="409"/>
      <c r="FM72" s="409"/>
      <c r="FN72" s="409"/>
      <c r="FO72" s="409"/>
      <c r="FP72" s="409"/>
      <c r="FQ72" s="409"/>
      <c r="FR72" s="409"/>
      <c r="FS72" s="409"/>
      <c r="FT72" s="409"/>
      <c r="FU72" s="409"/>
      <c r="FV72" s="409"/>
      <c r="FW72" s="409"/>
      <c r="FX72" s="409"/>
      <c r="FY72" s="409"/>
      <c r="FZ72" s="409"/>
      <c r="GA72" s="409"/>
      <c r="GB72" s="409"/>
      <c r="GC72" s="409"/>
      <c r="GD72" s="409"/>
      <c r="GE72" s="409"/>
      <c r="GF72" s="409"/>
      <c r="GG72" s="409"/>
      <c r="GH72" s="409"/>
      <c r="GI72" s="409"/>
      <c r="GJ72" s="409"/>
      <c r="GK72" s="409"/>
      <c r="GL72" s="409"/>
      <c r="GM72" s="409"/>
      <c r="GN72" s="409"/>
      <c r="GO72" s="409"/>
      <c r="GP72" s="409"/>
      <c r="GQ72" s="409"/>
      <c r="GR72" s="409"/>
      <c r="GS72" s="409"/>
      <c r="GT72" s="409"/>
      <c r="GU72" s="409"/>
      <c r="GV72" s="409"/>
      <c r="GW72" s="409"/>
      <c r="GX72" s="409"/>
      <c r="GY72" s="409"/>
      <c r="GZ72" s="409"/>
      <c r="HA72" s="409"/>
      <c r="HB72" s="409"/>
      <c r="HC72" s="409"/>
      <c r="HD72" s="409"/>
      <c r="HE72" s="409"/>
      <c r="HF72" s="409"/>
      <c r="HG72" s="409"/>
      <c r="HH72" s="409"/>
      <c r="HI72" s="409"/>
      <c r="HJ72" s="409"/>
      <c r="HK72" s="409"/>
      <c r="HL72" s="409"/>
      <c r="HM72" s="409"/>
      <c r="HN72" s="409"/>
      <c r="HO72" s="409"/>
      <c r="HP72" s="409"/>
      <c r="HQ72" s="409"/>
      <c r="HR72" s="409"/>
      <c r="HS72" s="409"/>
      <c r="HT72" s="409"/>
      <c r="HU72" s="409"/>
      <c r="HV72" s="409"/>
      <c r="HW72" s="409"/>
      <c r="HX72" s="409"/>
      <c r="HY72" s="409"/>
      <c r="HZ72" s="409"/>
      <c r="IA72" s="409"/>
      <c r="IB72" s="409"/>
      <c r="IC72" s="409"/>
      <c r="ID72" s="409"/>
      <c r="IE72" s="409"/>
      <c r="IF72" s="409"/>
      <c r="IG72" s="409"/>
      <c r="IH72" s="409"/>
      <c r="II72" s="409"/>
      <c r="IJ72" s="409"/>
      <c r="IK72" s="409"/>
      <c r="IL72" s="409"/>
      <c r="IM72" s="409"/>
      <c r="IN72" s="409"/>
      <c r="IO72" s="409"/>
      <c r="IP72" s="409"/>
      <c r="IQ72" s="409"/>
      <c r="IR72" s="409"/>
      <c r="IS72" s="409"/>
      <c r="IT72" s="409"/>
      <c r="IU72" s="409"/>
      <c r="IV72" s="409"/>
      <c r="IW72" s="409"/>
      <c r="IX72" s="409"/>
      <c r="IY72" s="409"/>
      <c r="IZ72" s="409"/>
      <c r="JA72" s="409"/>
      <c r="JB72" s="409"/>
      <c r="JC72" s="409"/>
      <c r="JD72" s="409"/>
    </row>
    <row r="73" spans="1:264" s="867" customFormat="1" ht="13.8" outlineLevel="1">
      <c r="A73" s="895"/>
      <c r="B73" s="885"/>
      <c r="C73" s="835"/>
      <c r="D73" s="885"/>
      <c r="E73" s="435"/>
      <c r="F73" s="435"/>
      <c r="G73" s="435"/>
      <c r="H73" s="870"/>
      <c r="I73" s="871"/>
      <c r="J73" s="864"/>
      <c r="K73" s="863"/>
      <c r="L73" s="863"/>
      <c r="M73" s="863"/>
      <c r="N73" s="863"/>
      <c r="O73" s="863"/>
      <c r="P73" s="863"/>
      <c r="Q73" s="864"/>
      <c r="R73" s="863"/>
      <c r="S73" s="863"/>
      <c r="T73" s="864"/>
      <c r="U73" s="864"/>
      <c r="V73" s="864"/>
      <c r="W73" s="864"/>
      <c r="X73" s="864"/>
      <c r="Y73" s="864"/>
      <c r="Z73" s="864"/>
      <c r="AA73" s="864"/>
      <c r="AB73" s="864"/>
      <c r="AC73" s="864"/>
      <c r="AD73" s="864"/>
      <c r="AE73" s="864"/>
      <c r="AF73" s="864"/>
      <c r="AG73" s="864"/>
      <c r="AH73" s="864"/>
      <c r="AI73" s="864"/>
      <c r="AJ73" s="864"/>
      <c r="AK73" s="864"/>
      <c r="AL73" s="864"/>
      <c r="AM73" s="864"/>
      <c r="AN73" s="435"/>
      <c r="AO73" s="864"/>
      <c r="AP73" s="864"/>
      <c r="AQ73" s="864"/>
      <c r="AR73" s="864"/>
      <c r="AS73" s="864"/>
      <c r="AT73" s="864"/>
      <c r="AU73" s="864"/>
      <c r="AV73" s="864"/>
      <c r="AW73" s="864"/>
      <c r="AX73" s="864"/>
      <c r="AY73" s="864"/>
      <c r="AZ73" s="864"/>
      <c r="BA73" s="864"/>
      <c r="BB73" s="864"/>
      <c r="BC73" s="864"/>
      <c r="BD73" s="864"/>
      <c r="BE73" s="864"/>
      <c r="BF73" s="864"/>
      <c r="BG73" s="864"/>
      <c r="BH73" s="864"/>
      <c r="BI73" s="864"/>
      <c r="BJ73" s="864"/>
      <c r="BK73" s="864"/>
      <c r="BL73" s="864"/>
      <c r="BM73" s="864"/>
      <c r="BN73" s="864"/>
      <c r="BO73" s="864"/>
      <c r="BP73" s="864"/>
      <c r="BQ73" s="864"/>
      <c r="BR73" s="864"/>
      <c r="BS73" s="864"/>
      <c r="BT73" s="864"/>
      <c r="BU73" s="864"/>
      <c r="BV73" s="864"/>
      <c r="BW73" s="864"/>
      <c r="BX73" s="864"/>
      <c r="BY73" s="864"/>
      <c r="BZ73" s="864"/>
      <c r="CA73" s="864"/>
      <c r="CB73" s="864"/>
      <c r="CC73" s="864"/>
      <c r="CD73" s="864"/>
      <c r="CE73" s="864"/>
      <c r="CF73" s="864"/>
      <c r="CG73" s="864"/>
      <c r="CH73" s="864"/>
      <c r="CI73" s="863"/>
      <c r="CJ73" s="863"/>
      <c r="CK73" s="863"/>
      <c r="CL73" s="863"/>
      <c r="CM73" s="863"/>
      <c r="CN73" s="863"/>
      <c r="CO73" s="863"/>
      <c r="CP73" s="863"/>
      <c r="CQ73" s="863"/>
      <c r="CR73" s="863"/>
      <c r="CS73" s="863"/>
      <c r="CT73" s="863"/>
      <c r="CU73" s="863"/>
      <c r="CV73" s="863"/>
      <c r="CW73" s="863"/>
      <c r="CX73" s="863"/>
      <c r="CY73" s="863"/>
      <c r="CZ73" s="863"/>
      <c r="DA73" s="863"/>
      <c r="DB73" s="863"/>
      <c r="DC73" s="863"/>
      <c r="DD73" s="863"/>
      <c r="DE73" s="863"/>
      <c r="DF73" s="863"/>
      <c r="DG73" s="863"/>
      <c r="DH73" s="863"/>
      <c r="DI73" s="863"/>
      <c r="DJ73" s="863"/>
      <c r="DK73" s="863"/>
      <c r="DL73" s="866"/>
      <c r="DN73" s="409"/>
      <c r="DO73" s="409"/>
      <c r="DP73" s="409"/>
      <c r="DQ73" s="409"/>
      <c r="DR73" s="409"/>
      <c r="DS73" s="409"/>
      <c r="DT73" s="409"/>
      <c r="DU73" s="409"/>
      <c r="DV73" s="409"/>
      <c r="DW73" s="409"/>
      <c r="DX73" s="409"/>
      <c r="DY73" s="409"/>
      <c r="DZ73" s="409"/>
      <c r="EA73" s="409"/>
      <c r="EB73" s="409"/>
      <c r="EC73" s="409"/>
      <c r="ED73" s="409"/>
      <c r="EE73" s="409"/>
      <c r="EF73" s="409"/>
      <c r="EG73" s="409"/>
      <c r="EH73" s="409"/>
      <c r="EI73" s="409"/>
      <c r="EJ73" s="409"/>
      <c r="EK73" s="409"/>
      <c r="EL73" s="409"/>
      <c r="EM73" s="409"/>
      <c r="EN73" s="409"/>
      <c r="EO73" s="409"/>
      <c r="EP73" s="409"/>
      <c r="EQ73" s="409"/>
      <c r="ER73" s="409"/>
      <c r="ES73" s="409"/>
      <c r="ET73" s="409"/>
      <c r="EU73" s="409"/>
      <c r="EV73" s="409"/>
      <c r="EW73" s="409"/>
      <c r="EX73" s="409"/>
      <c r="EY73" s="409"/>
      <c r="EZ73" s="409"/>
      <c r="FA73" s="409"/>
      <c r="FB73" s="409"/>
      <c r="FC73" s="409"/>
      <c r="FD73" s="409"/>
      <c r="FE73" s="409"/>
      <c r="FF73" s="409"/>
      <c r="FG73" s="409"/>
      <c r="FH73" s="409"/>
      <c r="FI73" s="409"/>
      <c r="FJ73" s="409"/>
      <c r="FK73" s="409"/>
      <c r="FL73" s="409"/>
      <c r="FM73" s="409"/>
      <c r="FN73" s="409"/>
      <c r="FO73" s="409"/>
      <c r="FP73" s="409"/>
      <c r="FQ73" s="409"/>
      <c r="FR73" s="409"/>
      <c r="FS73" s="409"/>
      <c r="FT73" s="409"/>
      <c r="FU73" s="409"/>
      <c r="FV73" s="409"/>
      <c r="FW73" s="409"/>
      <c r="FX73" s="409"/>
      <c r="FY73" s="409"/>
      <c r="FZ73" s="409"/>
      <c r="GA73" s="409"/>
      <c r="GB73" s="409"/>
      <c r="GC73" s="409"/>
      <c r="GD73" s="409"/>
      <c r="GE73" s="409"/>
      <c r="GF73" s="409"/>
      <c r="GG73" s="409"/>
      <c r="GH73" s="409"/>
      <c r="GI73" s="409"/>
      <c r="GJ73" s="409"/>
      <c r="GK73" s="409"/>
      <c r="GL73" s="409"/>
      <c r="GM73" s="409"/>
      <c r="GN73" s="409"/>
      <c r="GO73" s="409"/>
      <c r="GP73" s="409"/>
      <c r="GQ73" s="409"/>
      <c r="GR73" s="409"/>
      <c r="GS73" s="409"/>
      <c r="GT73" s="409"/>
      <c r="GU73" s="409"/>
      <c r="GV73" s="409"/>
      <c r="GW73" s="409"/>
      <c r="GX73" s="409"/>
      <c r="GY73" s="409"/>
      <c r="GZ73" s="409"/>
      <c r="HA73" s="409"/>
      <c r="HB73" s="409"/>
      <c r="HC73" s="409"/>
      <c r="HD73" s="409"/>
      <c r="HE73" s="409"/>
      <c r="HF73" s="409"/>
      <c r="HG73" s="409"/>
      <c r="HH73" s="409"/>
      <c r="HI73" s="409"/>
      <c r="HJ73" s="409"/>
      <c r="HK73" s="409"/>
      <c r="HL73" s="409"/>
      <c r="HM73" s="409"/>
      <c r="HN73" s="409"/>
      <c r="HO73" s="409"/>
      <c r="HP73" s="409"/>
      <c r="HQ73" s="409"/>
      <c r="HR73" s="409"/>
      <c r="HS73" s="409"/>
      <c r="HT73" s="409"/>
      <c r="HU73" s="409"/>
      <c r="HV73" s="409"/>
      <c r="HW73" s="409"/>
      <c r="HX73" s="409"/>
      <c r="HY73" s="409"/>
      <c r="HZ73" s="409"/>
      <c r="IA73" s="409"/>
      <c r="IB73" s="409"/>
      <c r="IC73" s="409"/>
      <c r="ID73" s="409"/>
      <c r="IE73" s="409"/>
      <c r="IF73" s="409"/>
      <c r="IG73" s="409"/>
      <c r="IH73" s="409"/>
      <c r="II73" s="409"/>
      <c r="IJ73" s="409"/>
      <c r="IK73" s="409"/>
      <c r="IL73" s="409"/>
      <c r="IM73" s="409"/>
      <c r="IN73" s="409"/>
      <c r="IO73" s="409"/>
      <c r="IP73" s="409"/>
      <c r="IQ73" s="409"/>
      <c r="IR73" s="409"/>
      <c r="IS73" s="409"/>
      <c r="IT73" s="409"/>
      <c r="IU73" s="409"/>
      <c r="IV73" s="409"/>
      <c r="IW73" s="409"/>
      <c r="IX73" s="409"/>
      <c r="IY73" s="409"/>
      <c r="IZ73" s="409"/>
      <c r="JA73" s="409"/>
      <c r="JB73" s="409"/>
      <c r="JC73" s="409"/>
      <c r="JD73" s="409"/>
    </row>
    <row r="74" spans="1:264" s="867" customFormat="1" ht="13.8" outlineLevel="1">
      <c r="A74" s="895"/>
      <c r="B74" s="885"/>
      <c r="C74" s="835"/>
      <c r="D74" s="885"/>
      <c r="E74" s="435"/>
      <c r="F74" s="435"/>
      <c r="G74" s="435"/>
      <c r="H74" s="870"/>
      <c r="I74" s="871"/>
      <c r="J74" s="864"/>
      <c r="K74" s="863"/>
      <c r="L74" s="863"/>
      <c r="M74" s="863"/>
      <c r="N74" s="863"/>
      <c r="O74" s="863"/>
      <c r="P74" s="863"/>
      <c r="Q74" s="864"/>
      <c r="R74" s="863"/>
      <c r="S74" s="863"/>
      <c r="T74" s="864"/>
      <c r="U74" s="864"/>
      <c r="V74" s="864"/>
      <c r="W74" s="864"/>
      <c r="X74" s="864"/>
      <c r="Y74" s="864"/>
      <c r="Z74" s="864"/>
      <c r="AA74" s="864"/>
      <c r="AB74" s="864"/>
      <c r="AC74" s="864"/>
      <c r="AD74" s="864"/>
      <c r="AE74" s="864"/>
      <c r="AF74" s="864"/>
      <c r="AG74" s="864"/>
      <c r="AH74" s="864"/>
      <c r="AI74" s="864"/>
      <c r="AJ74" s="864"/>
      <c r="AK74" s="864"/>
      <c r="AL74" s="864"/>
      <c r="AM74" s="864"/>
      <c r="AN74" s="435"/>
      <c r="AO74" s="864"/>
      <c r="AP74" s="864"/>
      <c r="AQ74" s="864"/>
      <c r="AR74" s="864"/>
      <c r="AS74" s="864"/>
      <c r="AT74" s="864"/>
      <c r="AU74" s="864"/>
      <c r="AV74" s="864"/>
      <c r="AW74" s="864"/>
      <c r="AX74" s="864"/>
      <c r="AY74" s="864"/>
      <c r="AZ74" s="864"/>
      <c r="BA74" s="864"/>
      <c r="BB74" s="864"/>
      <c r="BC74" s="864"/>
      <c r="BD74" s="864"/>
      <c r="BE74" s="864"/>
      <c r="BF74" s="864"/>
      <c r="BG74" s="864"/>
      <c r="BH74" s="864"/>
      <c r="BI74" s="864"/>
      <c r="BJ74" s="864"/>
      <c r="BK74" s="864"/>
      <c r="BL74" s="864"/>
      <c r="BM74" s="864"/>
      <c r="BN74" s="864"/>
      <c r="BO74" s="864"/>
      <c r="BP74" s="864"/>
      <c r="BQ74" s="864"/>
      <c r="BR74" s="864"/>
      <c r="BS74" s="864"/>
      <c r="BT74" s="864"/>
      <c r="BU74" s="864"/>
      <c r="BV74" s="864"/>
      <c r="BW74" s="864"/>
      <c r="BX74" s="864"/>
      <c r="BY74" s="864"/>
      <c r="BZ74" s="864"/>
      <c r="CA74" s="864"/>
      <c r="CB74" s="864"/>
      <c r="CC74" s="864"/>
      <c r="CD74" s="864"/>
      <c r="CE74" s="864"/>
      <c r="CF74" s="864"/>
      <c r="CG74" s="864"/>
      <c r="CH74" s="864"/>
      <c r="CI74" s="863"/>
      <c r="CJ74" s="863"/>
      <c r="CK74" s="863"/>
      <c r="CL74" s="863"/>
      <c r="CM74" s="863"/>
      <c r="CN74" s="863"/>
      <c r="CO74" s="863"/>
      <c r="CP74" s="863"/>
      <c r="CQ74" s="863"/>
      <c r="CR74" s="863"/>
      <c r="CS74" s="863"/>
      <c r="CT74" s="863"/>
      <c r="CU74" s="863"/>
      <c r="CV74" s="863"/>
      <c r="CW74" s="863"/>
      <c r="CX74" s="863"/>
      <c r="CY74" s="863"/>
      <c r="CZ74" s="863"/>
      <c r="DA74" s="863"/>
      <c r="DB74" s="863"/>
      <c r="DC74" s="863"/>
      <c r="DD74" s="863"/>
      <c r="DE74" s="863"/>
      <c r="DF74" s="863"/>
      <c r="DG74" s="863"/>
      <c r="DH74" s="863"/>
      <c r="DI74" s="863"/>
      <c r="DJ74" s="863"/>
      <c r="DK74" s="863"/>
      <c r="DL74" s="866"/>
      <c r="DN74" s="409"/>
      <c r="DO74" s="409"/>
      <c r="DP74" s="409"/>
      <c r="DQ74" s="409"/>
      <c r="DR74" s="409"/>
      <c r="DS74" s="409"/>
      <c r="DT74" s="409"/>
      <c r="DU74" s="409"/>
      <c r="DV74" s="409"/>
      <c r="DW74" s="409"/>
      <c r="DX74" s="409"/>
      <c r="DY74" s="409"/>
      <c r="DZ74" s="409"/>
      <c r="EA74" s="409"/>
      <c r="EB74" s="409"/>
      <c r="EC74" s="409"/>
      <c r="ED74" s="409"/>
      <c r="EE74" s="409"/>
      <c r="EF74" s="409"/>
      <c r="EG74" s="409"/>
      <c r="EH74" s="409"/>
      <c r="EI74" s="409"/>
      <c r="EJ74" s="409"/>
      <c r="EK74" s="409"/>
      <c r="EL74" s="409"/>
      <c r="EM74" s="409"/>
      <c r="EN74" s="409"/>
      <c r="EO74" s="409"/>
      <c r="EP74" s="409"/>
      <c r="EQ74" s="409"/>
      <c r="ER74" s="409"/>
      <c r="ES74" s="409"/>
      <c r="ET74" s="409"/>
      <c r="EU74" s="409"/>
      <c r="EV74" s="409"/>
      <c r="EW74" s="409"/>
      <c r="EX74" s="409"/>
      <c r="EY74" s="409"/>
      <c r="EZ74" s="409"/>
      <c r="FA74" s="409"/>
      <c r="FB74" s="409"/>
      <c r="FC74" s="409"/>
      <c r="FD74" s="409"/>
      <c r="FE74" s="409"/>
      <c r="FF74" s="409"/>
      <c r="FG74" s="409"/>
      <c r="FH74" s="409"/>
      <c r="FI74" s="409"/>
      <c r="FJ74" s="409"/>
      <c r="FK74" s="409"/>
      <c r="FL74" s="409"/>
      <c r="FM74" s="409"/>
      <c r="FN74" s="409"/>
      <c r="FO74" s="409"/>
      <c r="FP74" s="409"/>
      <c r="FQ74" s="409"/>
      <c r="FR74" s="409"/>
      <c r="FS74" s="409"/>
      <c r="FT74" s="409"/>
      <c r="FU74" s="409"/>
      <c r="FV74" s="409"/>
      <c r="FW74" s="409"/>
      <c r="FX74" s="409"/>
      <c r="FY74" s="409"/>
      <c r="FZ74" s="409"/>
      <c r="GA74" s="409"/>
      <c r="GB74" s="409"/>
      <c r="GC74" s="409"/>
      <c r="GD74" s="409"/>
      <c r="GE74" s="409"/>
      <c r="GF74" s="409"/>
      <c r="GG74" s="409"/>
      <c r="GH74" s="409"/>
      <c r="GI74" s="409"/>
      <c r="GJ74" s="409"/>
      <c r="GK74" s="409"/>
      <c r="GL74" s="409"/>
      <c r="GM74" s="409"/>
      <c r="GN74" s="409"/>
      <c r="GO74" s="409"/>
      <c r="GP74" s="409"/>
      <c r="GQ74" s="409"/>
      <c r="GR74" s="409"/>
      <c r="GS74" s="409"/>
      <c r="GT74" s="409"/>
      <c r="GU74" s="409"/>
      <c r="GV74" s="409"/>
      <c r="GW74" s="409"/>
      <c r="GX74" s="409"/>
      <c r="GY74" s="409"/>
      <c r="GZ74" s="409"/>
      <c r="HA74" s="409"/>
      <c r="HB74" s="409"/>
      <c r="HC74" s="409"/>
      <c r="HD74" s="409"/>
      <c r="HE74" s="409"/>
      <c r="HF74" s="409"/>
      <c r="HG74" s="409"/>
      <c r="HH74" s="409"/>
      <c r="HI74" s="409"/>
      <c r="HJ74" s="409"/>
      <c r="HK74" s="409"/>
      <c r="HL74" s="409"/>
      <c r="HM74" s="409"/>
      <c r="HN74" s="409"/>
      <c r="HO74" s="409"/>
      <c r="HP74" s="409"/>
      <c r="HQ74" s="409"/>
      <c r="HR74" s="409"/>
      <c r="HS74" s="409"/>
      <c r="HT74" s="409"/>
      <c r="HU74" s="409"/>
      <c r="HV74" s="409"/>
      <c r="HW74" s="409"/>
      <c r="HX74" s="409"/>
      <c r="HY74" s="409"/>
      <c r="HZ74" s="409"/>
      <c r="IA74" s="409"/>
      <c r="IB74" s="409"/>
      <c r="IC74" s="409"/>
      <c r="ID74" s="409"/>
      <c r="IE74" s="409"/>
      <c r="IF74" s="409"/>
      <c r="IG74" s="409"/>
      <c r="IH74" s="409"/>
      <c r="II74" s="409"/>
      <c r="IJ74" s="409"/>
      <c r="IK74" s="409"/>
      <c r="IL74" s="409"/>
      <c r="IM74" s="409"/>
      <c r="IN74" s="409"/>
      <c r="IO74" s="409"/>
      <c r="IP74" s="409"/>
      <c r="IQ74" s="409"/>
      <c r="IR74" s="409"/>
      <c r="IS74" s="409"/>
      <c r="IT74" s="409"/>
      <c r="IU74" s="409"/>
      <c r="IV74" s="409"/>
      <c r="IW74" s="409"/>
      <c r="IX74" s="409"/>
      <c r="IY74" s="409"/>
      <c r="IZ74" s="409"/>
      <c r="JA74" s="409"/>
      <c r="JB74" s="409"/>
      <c r="JC74" s="409"/>
      <c r="JD74" s="409"/>
    </row>
    <row r="75" spans="1:264" s="867" customFormat="1" ht="13.8" outlineLevel="1">
      <c r="A75" s="895"/>
      <c r="B75" s="885"/>
      <c r="C75" s="835"/>
      <c r="D75" s="885"/>
      <c r="E75" s="435"/>
      <c r="F75" s="435"/>
      <c r="G75" s="435"/>
      <c r="H75" s="870"/>
      <c r="I75" s="871"/>
      <c r="J75" s="864"/>
      <c r="K75" s="863"/>
      <c r="L75" s="863"/>
      <c r="M75" s="863"/>
      <c r="N75" s="863"/>
      <c r="O75" s="863"/>
      <c r="P75" s="863"/>
      <c r="Q75" s="864"/>
      <c r="R75" s="863"/>
      <c r="S75" s="863"/>
      <c r="T75" s="864"/>
      <c r="U75" s="864"/>
      <c r="V75" s="864"/>
      <c r="W75" s="864"/>
      <c r="X75" s="864"/>
      <c r="Y75" s="864"/>
      <c r="Z75" s="864"/>
      <c r="AA75" s="864"/>
      <c r="AB75" s="864"/>
      <c r="AC75" s="864"/>
      <c r="AD75" s="864"/>
      <c r="AE75" s="864"/>
      <c r="AF75" s="864"/>
      <c r="AG75" s="864"/>
      <c r="AH75" s="864"/>
      <c r="AI75" s="864"/>
      <c r="AJ75" s="864"/>
      <c r="AK75" s="864"/>
      <c r="AL75" s="864"/>
      <c r="AM75" s="864"/>
      <c r="AN75" s="435"/>
      <c r="AO75" s="864"/>
      <c r="AP75" s="864"/>
      <c r="AQ75" s="864"/>
      <c r="AR75" s="864"/>
      <c r="AS75" s="864"/>
      <c r="AT75" s="864"/>
      <c r="AU75" s="864"/>
      <c r="AV75" s="864"/>
      <c r="AW75" s="864"/>
      <c r="AX75" s="864"/>
      <c r="AY75" s="864"/>
      <c r="AZ75" s="864"/>
      <c r="BA75" s="864"/>
      <c r="BB75" s="864"/>
      <c r="BC75" s="864"/>
      <c r="BD75" s="864"/>
      <c r="BE75" s="864"/>
      <c r="BF75" s="864"/>
      <c r="BG75" s="864"/>
      <c r="BH75" s="864"/>
      <c r="BI75" s="864"/>
      <c r="BJ75" s="864"/>
      <c r="BK75" s="864"/>
      <c r="BL75" s="864"/>
      <c r="BM75" s="864"/>
      <c r="BN75" s="864"/>
      <c r="BO75" s="864"/>
      <c r="BP75" s="864"/>
      <c r="BQ75" s="864"/>
      <c r="BR75" s="864"/>
      <c r="BS75" s="864"/>
      <c r="BT75" s="864"/>
      <c r="BU75" s="864"/>
      <c r="BV75" s="864"/>
      <c r="BW75" s="864"/>
      <c r="BX75" s="864"/>
      <c r="BY75" s="864"/>
      <c r="BZ75" s="864"/>
      <c r="CA75" s="864"/>
      <c r="CB75" s="864"/>
      <c r="CC75" s="864"/>
      <c r="CD75" s="864"/>
      <c r="CE75" s="864"/>
      <c r="CF75" s="864"/>
      <c r="CG75" s="864"/>
      <c r="CH75" s="864"/>
      <c r="CI75" s="863"/>
      <c r="CJ75" s="863"/>
      <c r="CK75" s="863"/>
      <c r="CL75" s="863"/>
      <c r="CM75" s="863"/>
      <c r="CN75" s="863"/>
      <c r="CO75" s="863"/>
      <c r="CP75" s="863"/>
      <c r="CQ75" s="863"/>
      <c r="CR75" s="863"/>
      <c r="CS75" s="863"/>
      <c r="CT75" s="863"/>
      <c r="CU75" s="863"/>
      <c r="CV75" s="863"/>
      <c r="CW75" s="863"/>
      <c r="CX75" s="863"/>
      <c r="CY75" s="863"/>
      <c r="CZ75" s="863"/>
      <c r="DA75" s="863"/>
      <c r="DB75" s="863"/>
      <c r="DC75" s="863"/>
      <c r="DD75" s="863"/>
      <c r="DE75" s="863"/>
      <c r="DF75" s="863"/>
      <c r="DG75" s="863"/>
      <c r="DH75" s="863"/>
      <c r="DI75" s="863"/>
      <c r="DJ75" s="863"/>
      <c r="DK75" s="863"/>
      <c r="DL75" s="866"/>
      <c r="DN75" s="409"/>
      <c r="DO75" s="409"/>
      <c r="DP75" s="409"/>
      <c r="DQ75" s="409"/>
      <c r="DR75" s="409"/>
      <c r="DS75" s="409"/>
      <c r="DT75" s="409"/>
      <c r="DU75" s="409"/>
      <c r="DV75" s="409"/>
      <c r="DW75" s="409"/>
      <c r="DX75" s="409"/>
      <c r="DY75" s="409"/>
      <c r="DZ75" s="409"/>
      <c r="EA75" s="409"/>
      <c r="EB75" s="409"/>
      <c r="EC75" s="409"/>
      <c r="ED75" s="409"/>
      <c r="EE75" s="409"/>
      <c r="EF75" s="409"/>
      <c r="EG75" s="409"/>
      <c r="EH75" s="409"/>
      <c r="EI75" s="409"/>
      <c r="EJ75" s="409"/>
      <c r="EK75" s="409"/>
      <c r="EL75" s="409"/>
      <c r="EM75" s="409"/>
      <c r="EN75" s="409"/>
      <c r="EO75" s="409"/>
      <c r="EP75" s="409"/>
      <c r="EQ75" s="409"/>
      <c r="ER75" s="409"/>
      <c r="ES75" s="409"/>
      <c r="ET75" s="409"/>
      <c r="EU75" s="409"/>
      <c r="EV75" s="409"/>
      <c r="EW75" s="409"/>
      <c r="EX75" s="409"/>
      <c r="EY75" s="409"/>
      <c r="EZ75" s="409"/>
      <c r="FA75" s="409"/>
      <c r="FB75" s="409"/>
      <c r="FC75" s="409"/>
      <c r="FD75" s="409"/>
      <c r="FE75" s="409"/>
      <c r="FF75" s="409"/>
      <c r="FG75" s="409"/>
      <c r="FH75" s="409"/>
      <c r="FI75" s="409"/>
      <c r="FJ75" s="409"/>
      <c r="FK75" s="409"/>
      <c r="FL75" s="409"/>
      <c r="FM75" s="409"/>
      <c r="FN75" s="409"/>
      <c r="FO75" s="409"/>
      <c r="FP75" s="409"/>
      <c r="FQ75" s="409"/>
      <c r="FR75" s="409"/>
      <c r="FS75" s="409"/>
      <c r="FT75" s="409"/>
      <c r="FU75" s="409"/>
      <c r="FV75" s="409"/>
      <c r="FW75" s="409"/>
      <c r="FX75" s="409"/>
      <c r="FY75" s="409"/>
      <c r="FZ75" s="409"/>
      <c r="GA75" s="409"/>
      <c r="GB75" s="409"/>
      <c r="GC75" s="409"/>
      <c r="GD75" s="409"/>
      <c r="GE75" s="409"/>
      <c r="GF75" s="409"/>
      <c r="GG75" s="409"/>
      <c r="GH75" s="409"/>
      <c r="GI75" s="409"/>
      <c r="GJ75" s="409"/>
      <c r="GK75" s="409"/>
      <c r="GL75" s="409"/>
      <c r="GM75" s="409"/>
      <c r="GN75" s="409"/>
      <c r="GO75" s="409"/>
      <c r="GP75" s="409"/>
      <c r="GQ75" s="409"/>
      <c r="GR75" s="409"/>
      <c r="GS75" s="409"/>
      <c r="GT75" s="409"/>
      <c r="GU75" s="409"/>
      <c r="GV75" s="409"/>
      <c r="GW75" s="409"/>
      <c r="GX75" s="409"/>
      <c r="GY75" s="409"/>
      <c r="GZ75" s="409"/>
      <c r="HA75" s="409"/>
      <c r="HB75" s="409"/>
      <c r="HC75" s="409"/>
      <c r="HD75" s="409"/>
      <c r="HE75" s="409"/>
      <c r="HF75" s="409"/>
      <c r="HG75" s="409"/>
      <c r="HH75" s="409"/>
      <c r="HI75" s="409"/>
      <c r="HJ75" s="409"/>
      <c r="HK75" s="409"/>
      <c r="HL75" s="409"/>
      <c r="HM75" s="409"/>
      <c r="HN75" s="409"/>
      <c r="HO75" s="409"/>
      <c r="HP75" s="409"/>
      <c r="HQ75" s="409"/>
      <c r="HR75" s="409"/>
      <c r="HS75" s="409"/>
      <c r="HT75" s="409"/>
      <c r="HU75" s="409"/>
      <c r="HV75" s="409"/>
      <c r="HW75" s="409"/>
      <c r="HX75" s="409"/>
      <c r="HY75" s="409"/>
      <c r="HZ75" s="409"/>
      <c r="IA75" s="409"/>
      <c r="IB75" s="409"/>
      <c r="IC75" s="409"/>
      <c r="ID75" s="409"/>
      <c r="IE75" s="409"/>
      <c r="IF75" s="409"/>
      <c r="IG75" s="409"/>
      <c r="IH75" s="409"/>
      <c r="II75" s="409"/>
      <c r="IJ75" s="409"/>
      <c r="IK75" s="409"/>
      <c r="IL75" s="409"/>
      <c r="IM75" s="409"/>
      <c r="IN75" s="409"/>
      <c r="IO75" s="409"/>
      <c r="IP75" s="409"/>
      <c r="IQ75" s="409"/>
      <c r="IR75" s="409"/>
      <c r="IS75" s="409"/>
      <c r="IT75" s="409"/>
      <c r="IU75" s="409"/>
      <c r="IV75" s="409"/>
      <c r="IW75" s="409"/>
      <c r="IX75" s="409"/>
      <c r="IY75" s="409"/>
      <c r="IZ75" s="409"/>
      <c r="JA75" s="409"/>
      <c r="JB75" s="409"/>
      <c r="JC75" s="409"/>
      <c r="JD75" s="409"/>
    </row>
    <row r="76" spans="1:264" s="867" customFormat="1" ht="13.8" outlineLevel="1">
      <c r="A76" s="895"/>
      <c r="B76" s="885"/>
      <c r="C76" s="835"/>
      <c r="D76" s="885"/>
      <c r="E76" s="435"/>
      <c r="F76" s="435"/>
      <c r="G76" s="435"/>
      <c r="H76" s="870"/>
      <c r="I76" s="871"/>
      <c r="J76" s="864"/>
      <c r="K76" s="863"/>
      <c r="L76" s="863"/>
      <c r="M76" s="863"/>
      <c r="N76" s="863"/>
      <c r="O76" s="863"/>
      <c r="P76" s="863"/>
      <c r="Q76" s="864"/>
      <c r="R76" s="863"/>
      <c r="S76" s="863"/>
      <c r="T76" s="864"/>
      <c r="U76" s="864"/>
      <c r="V76" s="864"/>
      <c r="W76" s="864"/>
      <c r="X76" s="864"/>
      <c r="Y76" s="864"/>
      <c r="Z76" s="864"/>
      <c r="AA76" s="864"/>
      <c r="AB76" s="864"/>
      <c r="AC76" s="864"/>
      <c r="AD76" s="864"/>
      <c r="AE76" s="864"/>
      <c r="AF76" s="864"/>
      <c r="AG76" s="864"/>
      <c r="AH76" s="864"/>
      <c r="AI76" s="864"/>
      <c r="AJ76" s="864"/>
      <c r="AK76" s="864"/>
      <c r="AL76" s="864"/>
      <c r="AM76" s="864"/>
      <c r="AN76" s="435"/>
      <c r="AO76" s="864"/>
      <c r="AP76" s="864"/>
      <c r="AQ76" s="864"/>
      <c r="AR76" s="864"/>
      <c r="AS76" s="864"/>
      <c r="AT76" s="864"/>
      <c r="AU76" s="864"/>
      <c r="AV76" s="864"/>
      <c r="AW76" s="864"/>
      <c r="AX76" s="864"/>
      <c r="AY76" s="864"/>
      <c r="AZ76" s="864"/>
      <c r="BA76" s="864"/>
      <c r="BB76" s="864"/>
      <c r="BC76" s="864"/>
      <c r="BD76" s="864"/>
      <c r="BE76" s="864"/>
      <c r="BF76" s="864"/>
      <c r="BG76" s="864"/>
      <c r="BH76" s="864"/>
      <c r="BI76" s="864"/>
      <c r="BJ76" s="864"/>
      <c r="BK76" s="864"/>
      <c r="BL76" s="864"/>
      <c r="BM76" s="864"/>
      <c r="BN76" s="864"/>
      <c r="BO76" s="864"/>
      <c r="BP76" s="864"/>
      <c r="BQ76" s="864"/>
      <c r="BR76" s="864"/>
      <c r="BS76" s="864"/>
      <c r="BT76" s="864"/>
      <c r="BU76" s="864"/>
      <c r="BV76" s="864"/>
      <c r="BW76" s="864"/>
      <c r="BX76" s="864"/>
      <c r="BY76" s="864"/>
      <c r="BZ76" s="864"/>
      <c r="CA76" s="864"/>
      <c r="CB76" s="864"/>
      <c r="CC76" s="864"/>
      <c r="CD76" s="864"/>
      <c r="CE76" s="864"/>
      <c r="CF76" s="864"/>
      <c r="CG76" s="864"/>
      <c r="CH76" s="864"/>
      <c r="CI76" s="863"/>
      <c r="CJ76" s="863"/>
      <c r="CK76" s="863"/>
      <c r="CL76" s="863"/>
      <c r="CM76" s="863"/>
      <c r="CN76" s="863"/>
      <c r="CO76" s="863"/>
      <c r="CP76" s="863"/>
      <c r="CQ76" s="863"/>
      <c r="CR76" s="863"/>
      <c r="CS76" s="863"/>
      <c r="CT76" s="863"/>
      <c r="CU76" s="863"/>
      <c r="CV76" s="863"/>
      <c r="CW76" s="863"/>
      <c r="CX76" s="863"/>
      <c r="CY76" s="863"/>
      <c r="CZ76" s="863"/>
      <c r="DA76" s="863"/>
      <c r="DB76" s="863"/>
      <c r="DC76" s="863"/>
      <c r="DD76" s="863"/>
      <c r="DE76" s="863"/>
      <c r="DF76" s="863"/>
      <c r="DG76" s="863"/>
      <c r="DH76" s="863"/>
      <c r="DI76" s="863"/>
      <c r="DJ76" s="863"/>
      <c r="DK76" s="863"/>
      <c r="DL76" s="866"/>
      <c r="DN76" s="409"/>
      <c r="DO76" s="409"/>
      <c r="DP76" s="409"/>
      <c r="DQ76" s="409"/>
      <c r="DR76" s="409"/>
      <c r="DS76" s="409"/>
      <c r="DT76" s="409"/>
      <c r="DU76" s="409"/>
      <c r="DV76" s="409"/>
      <c r="DW76" s="409"/>
      <c r="DX76" s="409"/>
      <c r="DY76" s="409"/>
      <c r="DZ76" s="409"/>
      <c r="EA76" s="409"/>
      <c r="EB76" s="409"/>
      <c r="EC76" s="409"/>
      <c r="ED76" s="409"/>
      <c r="EE76" s="409"/>
      <c r="EF76" s="409"/>
      <c r="EG76" s="409"/>
      <c r="EH76" s="409"/>
      <c r="EI76" s="409"/>
      <c r="EJ76" s="409"/>
      <c r="EK76" s="409"/>
      <c r="EL76" s="409"/>
      <c r="EM76" s="409"/>
      <c r="EN76" s="409"/>
      <c r="EO76" s="409"/>
      <c r="EP76" s="409"/>
      <c r="EQ76" s="409"/>
      <c r="ER76" s="409"/>
      <c r="ES76" s="409"/>
      <c r="ET76" s="409"/>
      <c r="EU76" s="409"/>
      <c r="EV76" s="409"/>
      <c r="EW76" s="409"/>
      <c r="EX76" s="409"/>
      <c r="EY76" s="409"/>
      <c r="EZ76" s="409"/>
      <c r="FA76" s="409"/>
      <c r="FB76" s="409"/>
      <c r="FC76" s="409"/>
      <c r="FD76" s="409"/>
      <c r="FE76" s="409"/>
      <c r="FF76" s="409"/>
      <c r="FG76" s="409"/>
      <c r="FH76" s="409"/>
      <c r="FI76" s="409"/>
      <c r="FJ76" s="409"/>
      <c r="FK76" s="409"/>
      <c r="FL76" s="409"/>
      <c r="FM76" s="409"/>
      <c r="FN76" s="409"/>
      <c r="FO76" s="409"/>
      <c r="FP76" s="409"/>
      <c r="FQ76" s="409"/>
      <c r="FR76" s="409"/>
      <c r="FS76" s="409"/>
      <c r="FT76" s="409"/>
      <c r="FU76" s="409"/>
      <c r="FV76" s="409"/>
      <c r="FW76" s="409"/>
      <c r="FX76" s="409"/>
      <c r="FY76" s="409"/>
      <c r="FZ76" s="409"/>
      <c r="GA76" s="409"/>
      <c r="GB76" s="409"/>
      <c r="GC76" s="409"/>
      <c r="GD76" s="409"/>
      <c r="GE76" s="409"/>
      <c r="GF76" s="409"/>
      <c r="GG76" s="409"/>
      <c r="GH76" s="409"/>
      <c r="GI76" s="409"/>
      <c r="GJ76" s="409"/>
      <c r="GK76" s="409"/>
      <c r="GL76" s="409"/>
      <c r="GM76" s="409"/>
      <c r="GN76" s="409"/>
      <c r="GO76" s="409"/>
      <c r="GP76" s="409"/>
      <c r="GQ76" s="409"/>
      <c r="GR76" s="409"/>
      <c r="GS76" s="409"/>
      <c r="GT76" s="409"/>
      <c r="GU76" s="409"/>
      <c r="GV76" s="409"/>
      <c r="GW76" s="409"/>
      <c r="GX76" s="409"/>
      <c r="GY76" s="409"/>
      <c r="GZ76" s="409"/>
      <c r="HA76" s="409"/>
      <c r="HB76" s="409"/>
      <c r="HC76" s="409"/>
      <c r="HD76" s="409"/>
      <c r="HE76" s="409"/>
      <c r="HF76" s="409"/>
      <c r="HG76" s="409"/>
      <c r="HH76" s="409"/>
      <c r="HI76" s="409"/>
      <c r="HJ76" s="409"/>
      <c r="HK76" s="409"/>
      <c r="HL76" s="409"/>
      <c r="HM76" s="409"/>
      <c r="HN76" s="409"/>
      <c r="HO76" s="409"/>
      <c r="HP76" s="409"/>
      <c r="HQ76" s="409"/>
      <c r="HR76" s="409"/>
      <c r="HS76" s="409"/>
      <c r="HT76" s="409"/>
      <c r="HU76" s="409"/>
      <c r="HV76" s="409"/>
      <c r="HW76" s="409"/>
      <c r="HX76" s="409"/>
      <c r="HY76" s="409"/>
      <c r="HZ76" s="409"/>
      <c r="IA76" s="409"/>
      <c r="IB76" s="409"/>
      <c r="IC76" s="409"/>
      <c r="ID76" s="409"/>
      <c r="IE76" s="409"/>
      <c r="IF76" s="409"/>
      <c r="IG76" s="409"/>
      <c r="IH76" s="409"/>
      <c r="II76" s="409"/>
      <c r="IJ76" s="409"/>
      <c r="IK76" s="409"/>
      <c r="IL76" s="409"/>
      <c r="IM76" s="409"/>
      <c r="IN76" s="409"/>
      <c r="IO76" s="409"/>
      <c r="IP76" s="409"/>
      <c r="IQ76" s="409"/>
      <c r="IR76" s="409"/>
      <c r="IS76" s="409"/>
      <c r="IT76" s="409"/>
      <c r="IU76" s="409"/>
      <c r="IV76" s="409"/>
      <c r="IW76" s="409"/>
      <c r="IX76" s="409"/>
      <c r="IY76" s="409"/>
      <c r="IZ76" s="409"/>
      <c r="JA76" s="409"/>
      <c r="JB76" s="409"/>
      <c r="JC76" s="409"/>
      <c r="JD76" s="409"/>
    </row>
    <row r="77" spans="1:264" s="867" customFormat="1" ht="13.8" outlineLevel="1">
      <c r="A77" s="895"/>
      <c r="B77" s="885"/>
      <c r="C77" s="835"/>
      <c r="D77" s="885"/>
      <c r="E77" s="435"/>
      <c r="F77" s="435"/>
      <c r="G77" s="435"/>
      <c r="H77" s="870"/>
      <c r="I77" s="871"/>
      <c r="J77" s="864"/>
      <c r="K77" s="863"/>
      <c r="L77" s="863"/>
      <c r="M77" s="863"/>
      <c r="N77" s="863"/>
      <c r="O77" s="863"/>
      <c r="P77" s="863"/>
      <c r="Q77" s="864"/>
      <c r="R77" s="863"/>
      <c r="S77" s="863"/>
      <c r="T77" s="864"/>
      <c r="U77" s="864"/>
      <c r="V77" s="864"/>
      <c r="W77" s="864"/>
      <c r="X77" s="864"/>
      <c r="Y77" s="864"/>
      <c r="Z77" s="864"/>
      <c r="AA77" s="864"/>
      <c r="AB77" s="864"/>
      <c r="AC77" s="864"/>
      <c r="AD77" s="864"/>
      <c r="AE77" s="864"/>
      <c r="AF77" s="864"/>
      <c r="AG77" s="864"/>
      <c r="AH77" s="864"/>
      <c r="AI77" s="864"/>
      <c r="AJ77" s="864"/>
      <c r="AK77" s="864"/>
      <c r="AL77" s="864"/>
      <c r="AM77" s="864"/>
      <c r="AN77" s="435"/>
      <c r="AO77" s="864"/>
      <c r="AP77" s="864"/>
      <c r="AQ77" s="864"/>
      <c r="AR77" s="864"/>
      <c r="AS77" s="864"/>
      <c r="AT77" s="864"/>
      <c r="AU77" s="864"/>
      <c r="AV77" s="864"/>
      <c r="AW77" s="864"/>
      <c r="AX77" s="864"/>
      <c r="AY77" s="864"/>
      <c r="AZ77" s="864"/>
      <c r="BA77" s="864"/>
      <c r="BB77" s="864"/>
      <c r="BC77" s="864"/>
      <c r="BD77" s="864"/>
      <c r="BE77" s="864"/>
      <c r="BF77" s="864"/>
      <c r="BG77" s="864"/>
      <c r="BH77" s="864"/>
      <c r="BI77" s="864"/>
      <c r="BJ77" s="864"/>
      <c r="BK77" s="864"/>
      <c r="BL77" s="864"/>
      <c r="BM77" s="864"/>
      <c r="BN77" s="864"/>
      <c r="BO77" s="864"/>
      <c r="BP77" s="864"/>
      <c r="BQ77" s="864"/>
      <c r="BR77" s="864"/>
      <c r="BS77" s="864"/>
      <c r="BT77" s="864"/>
      <c r="BU77" s="864"/>
      <c r="BV77" s="864"/>
      <c r="BW77" s="864"/>
      <c r="BX77" s="864"/>
      <c r="BY77" s="864"/>
      <c r="BZ77" s="864"/>
      <c r="CA77" s="864"/>
      <c r="CB77" s="864"/>
      <c r="CC77" s="864"/>
      <c r="CD77" s="864"/>
      <c r="CE77" s="864"/>
      <c r="CF77" s="864"/>
      <c r="CG77" s="864"/>
      <c r="CH77" s="864"/>
      <c r="CI77" s="863"/>
      <c r="CJ77" s="863"/>
      <c r="CK77" s="863"/>
      <c r="CL77" s="863"/>
      <c r="CM77" s="863"/>
      <c r="CN77" s="863"/>
      <c r="CO77" s="863"/>
      <c r="CP77" s="863"/>
      <c r="CQ77" s="863"/>
      <c r="CR77" s="863"/>
      <c r="CS77" s="863"/>
      <c r="CT77" s="863"/>
      <c r="CU77" s="863"/>
      <c r="CV77" s="863"/>
      <c r="CW77" s="863"/>
      <c r="CX77" s="863"/>
      <c r="CY77" s="863"/>
      <c r="CZ77" s="863"/>
      <c r="DA77" s="863"/>
      <c r="DB77" s="863"/>
      <c r="DC77" s="863"/>
      <c r="DD77" s="863"/>
      <c r="DE77" s="863"/>
      <c r="DF77" s="863"/>
      <c r="DG77" s="863"/>
      <c r="DH77" s="863"/>
      <c r="DI77" s="863"/>
      <c r="DJ77" s="863"/>
      <c r="DK77" s="863"/>
      <c r="DL77" s="866"/>
      <c r="DN77" s="409"/>
      <c r="DO77" s="409"/>
      <c r="DP77" s="409"/>
      <c r="DQ77" s="409"/>
      <c r="DR77" s="409"/>
      <c r="DS77" s="409"/>
      <c r="DT77" s="409"/>
      <c r="DU77" s="409"/>
      <c r="DV77" s="409"/>
      <c r="DW77" s="409"/>
      <c r="DX77" s="409"/>
      <c r="DY77" s="409"/>
      <c r="DZ77" s="409"/>
      <c r="EA77" s="409"/>
      <c r="EB77" s="409"/>
      <c r="EC77" s="409"/>
      <c r="ED77" s="409"/>
      <c r="EE77" s="409"/>
      <c r="EF77" s="409"/>
      <c r="EG77" s="409"/>
      <c r="EH77" s="409"/>
      <c r="EI77" s="409"/>
      <c r="EJ77" s="409"/>
      <c r="EK77" s="409"/>
      <c r="EL77" s="409"/>
      <c r="EM77" s="409"/>
      <c r="EN77" s="409"/>
      <c r="EO77" s="409"/>
      <c r="EP77" s="409"/>
      <c r="EQ77" s="409"/>
      <c r="ER77" s="409"/>
      <c r="ES77" s="409"/>
      <c r="ET77" s="409"/>
      <c r="EU77" s="409"/>
      <c r="EV77" s="409"/>
      <c r="EW77" s="409"/>
      <c r="EX77" s="409"/>
      <c r="EY77" s="409"/>
      <c r="EZ77" s="409"/>
      <c r="FA77" s="409"/>
      <c r="FB77" s="409"/>
      <c r="FC77" s="409"/>
      <c r="FD77" s="409"/>
      <c r="FE77" s="409"/>
      <c r="FF77" s="409"/>
      <c r="FG77" s="409"/>
      <c r="FH77" s="409"/>
      <c r="FI77" s="409"/>
      <c r="FJ77" s="409"/>
      <c r="FK77" s="409"/>
      <c r="FL77" s="409"/>
      <c r="FM77" s="409"/>
      <c r="FN77" s="409"/>
      <c r="FO77" s="409"/>
      <c r="FP77" s="409"/>
      <c r="FQ77" s="409"/>
      <c r="FR77" s="409"/>
      <c r="FS77" s="409"/>
      <c r="FT77" s="409"/>
      <c r="FU77" s="409"/>
      <c r="FV77" s="409"/>
      <c r="FW77" s="409"/>
      <c r="FX77" s="409"/>
      <c r="FY77" s="409"/>
      <c r="FZ77" s="409"/>
      <c r="GA77" s="409"/>
      <c r="GB77" s="409"/>
      <c r="GC77" s="409"/>
      <c r="GD77" s="409"/>
      <c r="GE77" s="409"/>
      <c r="GF77" s="409"/>
      <c r="GG77" s="409"/>
      <c r="GH77" s="409"/>
      <c r="GI77" s="409"/>
      <c r="GJ77" s="409"/>
      <c r="GK77" s="409"/>
      <c r="GL77" s="409"/>
      <c r="GM77" s="409"/>
      <c r="GN77" s="409"/>
      <c r="GO77" s="409"/>
      <c r="GP77" s="409"/>
      <c r="GQ77" s="409"/>
      <c r="GR77" s="409"/>
      <c r="GS77" s="409"/>
      <c r="GT77" s="409"/>
      <c r="GU77" s="409"/>
      <c r="GV77" s="409"/>
      <c r="GW77" s="409"/>
      <c r="GX77" s="409"/>
      <c r="GY77" s="409"/>
      <c r="GZ77" s="409"/>
      <c r="HA77" s="409"/>
      <c r="HB77" s="409"/>
      <c r="HC77" s="409"/>
      <c r="HD77" s="409"/>
      <c r="HE77" s="409"/>
      <c r="HF77" s="409"/>
      <c r="HG77" s="409"/>
      <c r="HH77" s="409"/>
      <c r="HI77" s="409"/>
      <c r="HJ77" s="409"/>
      <c r="HK77" s="409"/>
      <c r="HL77" s="409"/>
      <c r="HM77" s="409"/>
      <c r="HN77" s="409"/>
      <c r="HO77" s="409"/>
      <c r="HP77" s="409"/>
      <c r="HQ77" s="409"/>
      <c r="HR77" s="409"/>
      <c r="HS77" s="409"/>
      <c r="HT77" s="409"/>
      <c r="HU77" s="409"/>
      <c r="HV77" s="409"/>
      <c r="HW77" s="409"/>
      <c r="HX77" s="409"/>
      <c r="HY77" s="409"/>
      <c r="HZ77" s="409"/>
      <c r="IA77" s="409"/>
      <c r="IB77" s="409"/>
      <c r="IC77" s="409"/>
      <c r="ID77" s="409"/>
      <c r="IE77" s="409"/>
      <c r="IF77" s="409"/>
      <c r="IG77" s="409"/>
      <c r="IH77" s="409"/>
      <c r="II77" s="409"/>
      <c r="IJ77" s="409"/>
      <c r="IK77" s="409"/>
      <c r="IL77" s="409"/>
      <c r="IM77" s="409"/>
      <c r="IN77" s="409"/>
      <c r="IO77" s="409"/>
      <c r="IP77" s="409"/>
      <c r="IQ77" s="409"/>
      <c r="IR77" s="409"/>
      <c r="IS77" s="409"/>
      <c r="IT77" s="409"/>
      <c r="IU77" s="409"/>
      <c r="IV77" s="409"/>
      <c r="IW77" s="409"/>
      <c r="IX77" s="409"/>
      <c r="IY77" s="409"/>
      <c r="IZ77" s="409"/>
      <c r="JA77" s="409"/>
      <c r="JB77" s="409"/>
      <c r="JC77" s="409"/>
      <c r="JD77" s="409"/>
    </row>
    <row r="78" spans="1:264" s="867" customFormat="1" ht="13.8" outlineLevel="1">
      <c r="A78" s="895"/>
      <c r="B78" s="885"/>
      <c r="C78" s="835"/>
      <c r="D78" s="885"/>
      <c r="E78" s="435"/>
      <c r="F78" s="435"/>
      <c r="G78" s="435"/>
      <c r="H78" s="870"/>
      <c r="I78" s="871"/>
      <c r="J78" s="864"/>
      <c r="K78" s="863"/>
      <c r="L78" s="863"/>
      <c r="M78" s="863"/>
      <c r="N78" s="863"/>
      <c r="O78" s="863"/>
      <c r="P78" s="863"/>
      <c r="Q78" s="864"/>
      <c r="R78" s="863"/>
      <c r="S78" s="863"/>
      <c r="T78" s="864"/>
      <c r="U78" s="864"/>
      <c r="V78" s="864"/>
      <c r="W78" s="864"/>
      <c r="X78" s="864"/>
      <c r="Y78" s="864"/>
      <c r="Z78" s="864"/>
      <c r="AA78" s="864"/>
      <c r="AB78" s="864"/>
      <c r="AC78" s="864"/>
      <c r="AD78" s="864"/>
      <c r="AE78" s="864"/>
      <c r="AF78" s="864"/>
      <c r="AG78" s="864"/>
      <c r="AH78" s="864"/>
      <c r="AI78" s="864"/>
      <c r="AJ78" s="864"/>
      <c r="AK78" s="864"/>
      <c r="AL78" s="864"/>
      <c r="AM78" s="864"/>
      <c r="AN78" s="435"/>
      <c r="AO78" s="864"/>
      <c r="AP78" s="864"/>
      <c r="AQ78" s="864"/>
      <c r="AR78" s="864"/>
      <c r="AS78" s="864"/>
      <c r="AT78" s="864"/>
      <c r="AU78" s="864"/>
      <c r="AV78" s="864"/>
      <c r="AW78" s="864"/>
      <c r="AX78" s="864"/>
      <c r="AY78" s="864"/>
      <c r="AZ78" s="864"/>
      <c r="BA78" s="864"/>
      <c r="BB78" s="864"/>
      <c r="BC78" s="864"/>
      <c r="BD78" s="864"/>
      <c r="BE78" s="864"/>
      <c r="BF78" s="864"/>
      <c r="BG78" s="864"/>
      <c r="BH78" s="864"/>
      <c r="BI78" s="864"/>
      <c r="BJ78" s="864"/>
      <c r="BK78" s="864"/>
      <c r="BL78" s="864"/>
      <c r="BM78" s="864"/>
      <c r="BN78" s="864"/>
      <c r="BO78" s="864"/>
      <c r="BP78" s="864"/>
      <c r="BQ78" s="864"/>
      <c r="BR78" s="864"/>
      <c r="BS78" s="864"/>
      <c r="BT78" s="864"/>
      <c r="BU78" s="864"/>
      <c r="BV78" s="864"/>
      <c r="BW78" s="864"/>
      <c r="BX78" s="864"/>
      <c r="BY78" s="864"/>
      <c r="BZ78" s="864"/>
      <c r="CA78" s="864"/>
      <c r="CB78" s="864"/>
      <c r="CC78" s="864"/>
      <c r="CD78" s="864"/>
      <c r="CE78" s="864"/>
      <c r="CF78" s="864"/>
      <c r="CG78" s="864"/>
      <c r="CH78" s="864"/>
      <c r="CI78" s="863"/>
      <c r="CJ78" s="863"/>
      <c r="CK78" s="863"/>
      <c r="CL78" s="863"/>
      <c r="CM78" s="863"/>
      <c r="CN78" s="863"/>
      <c r="CO78" s="863"/>
      <c r="CP78" s="863"/>
      <c r="CQ78" s="863"/>
      <c r="CR78" s="863"/>
      <c r="CS78" s="863"/>
      <c r="CT78" s="863"/>
      <c r="CU78" s="863"/>
      <c r="CV78" s="863"/>
      <c r="CW78" s="863"/>
      <c r="CX78" s="863"/>
      <c r="CY78" s="863"/>
      <c r="CZ78" s="863"/>
      <c r="DA78" s="863"/>
      <c r="DB78" s="863"/>
      <c r="DC78" s="863"/>
      <c r="DD78" s="863"/>
      <c r="DE78" s="863"/>
      <c r="DF78" s="863"/>
      <c r="DG78" s="863"/>
      <c r="DH78" s="863"/>
      <c r="DI78" s="863"/>
      <c r="DJ78" s="863"/>
      <c r="DK78" s="863"/>
      <c r="DL78" s="866"/>
      <c r="DN78" s="409"/>
      <c r="DO78" s="409"/>
      <c r="DP78" s="409"/>
      <c r="DQ78" s="409"/>
      <c r="DR78" s="409"/>
      <c r="DS78" s="409"/>
      <c r="DT78" s="409"/>
      <c r="DU78" s="409"/>
      <c r="DV78" s="409"/>
      <c r="DW78" s="409"/>
      <c r="DX78" s="409"/>
      <c r="DY78" s="409"/>
      <c r="DZ78" s="409"/>
      <c r="EA78" s="409"/>
      <c r="EB78" s="409"/>
      <c r="EC78" s="409"/>
      <c r="ED78" s="409"/>
      <c r="EE78" s="409"/>
      <c r="EF78" s="409"/>
      <c r="EG78" s="409"/>
      <c r="EH78" s="409"/>
      <c r="EI78" s="409"/>
      <c r="EJ78" s="409"/>
      <c r="EK78" s="409"/>
      <c r="EL78" s="409"/>
      <c r="EM78" s="409"/>
      <c r="EN78" s="409"/>
      <c r="EO78" s="409"/>
      <c r="EP78" s="409"/>
      <c r="EQ78" s="409"/>
      <c r="ER78" s="409"/>
      <c r="ES78" s="409"/>
      <c r="ET78" s="409"/>
      <c r="EU78" s="409"/>
      <c r="EV78" s="409"/>
      <c r="EW78" s="409"/>
      <c r="EX78" s="409"/>
      <c r="EY78" s="409"/>
      <c r="EZ78" s="409"/>
      <c r="FA78" s="409"/>
      <c r="FB78" s="409"/>
      <c r="FC78" s="409"/>
      <c r="FD78" s="409"/>
      <c r="FE78" s="409"/>
      <c r="FF78" s="409"/>
      <c r="FG78" s="409"/>
      <c r="FH78" s="409"/>
      <c r="FI78" s="409"/>
      <c r="FJ78" s="409"/>
      <c r="FK78" s="409"/>
      <c r="FL78" s="409"/>
      <c r="FM78" s="409"/>
      <c r="FN78" s="409"/>
      <c r="FO78" s="409"/>
      <c r="FP78" s="409"/>
      <c r="FQ78" s="409"/>
      <c r="FR78" s="409"/>
      <c r="FS78" s="409"/>
      <c r="FT78" s="409"/>
      <c r="FU78" s="409"/>
      <c r="FV78" s="409"/>
      <c r="FW78" s="409"/>
      <c r="FX78" s="409"/>
      <c r="FY78" s="409"/>
      <c r="FZ78" s="409"/>
      <c r="GA78" s="409"/>
      <c r="GB78" s="409"/>
      <c r="GC78" s="409"/>
      <c r="GD78" s="409"/>
      <c r="GE78" s="409"/>
      <c r="GF78" s="409"/>
      <c r="GG78" s="409"/>
      <c r="GH78" s="409"/>
      <c r="GI78" s="409"/>
      <c r="GJ78" s="409"/>
      <c r="GK78" s="409"/>
      <c r="GL78" s="409"/>
      <c r="GM78" s="409"/>
      <c r="GN78" s="409"/>
      <c r="GO78" s="409"/>
      <c r="GP78" s="409"/>
      <c r="GQ78" s="409"/>
      <c r="GR78" s="409"/>
      <c r="GS78" s="409"/>
      <c r="GT78" s="409"/>
      <c r="GU78" s="409"/>
      <c r="GV78" s="409"/>
      <c r="GW78" s="409"/>
      <c r="GX78" s="409"/>
      <c r="GY78" s="409"/>
      <c r="GZ78" s="409"/>
      <c r="HA78" s="409"/>
      <c r="HB78" s="409"/>
      <c r="HC78" s="409"/>
      <c r="HD78" s="409"/>
      <c r="HE78" s="409"/>
      <c r="HF78" s="409"/>
      <c r="HG78" s="409"/>
      <c r="HH78" s="409"/>
      <c r="HI78" s="409"/>
      <c r="HJ78" s="409"/>
      <c r="HK78" s="409"/>
      <c r="HL78" s="409"/>
      <c r="HM78" s="409"/>
      <c r="HN78" s="409"/>
      <c r="HO78" s="409"/>
      <c r="HP78" s="409"/>
      <c r="HQ78" s="409"/>
      <c r="HR78" s="409"/>
      <c r="HS78" s="409"/>
      <c r="HT78" s="409"/>
      <c r="HU78" s="409"/>
      <c r="HV78" s="409"/>
      <c r="HW78" s="409"/>
      <c r="HX78" s="409"/>
      <c r="HY78" s="409"/>
      <c r="HZ78" s="409"/>
      <c r="IA78" s="409"/>
      <c r="IB78" s="409"/>
      <c r="IC78" s="409"/>
      <c r="ID78" s="409"/>
      <c r="IE78" s="409"/>
      <c r="IF78" s="409"/>
      <c r="IG78" s="409"/>
      <c r="IH78" s="409"/>
      <c r="II78" s="409"/>
      <c r="IJ78" s="409"/>
      <c r="IK78" s="409"/>
      <c r="IL78" s="409"/>
      <c r="IM78" s="409"/>
      <c r="IN78" s="409"/>
      <c r="IO78" s="409"/>
      <c r="IP78" s="409"/>
      <c r="IQ78" s="409"/>
      <c r="IR78" s="409"/>
      <c r="IS78" s="409"/>
      <c r="IT78" s="409"/>
      <c r="IU78" s="409"/>
      <c r="IV78" s="409"/>
      <c r="IW78" s="409"/>
      <c r="IX78" s="409"/>
      <c r="IY78" s="409"/>
      <c r="IZ78" s="409"/>
      <c r="JA78" s="409"/>
      <c r="JB78" s="409"/>
      <c r="JC78" s="409"/>
      <c r="JD78" s="409"/>
    </row>
    <row r="79" spans="1:264" s="867" customFormat="1" ht="13.8" outlineLevel="1">
      <c r="A79" s="895"/>
      <c r="B79" s="885"/>
      <c r="C79" s="835"/>
      <c r="D79" s="885"/>
      <c r="E79" s="435"/>
      <c r="F79" s="435"/>
      <c r="G79" s="435"/>
      <c r="H79" s="870"/>
      <c r="I79" s="871"/>
      <c r="J79" s="864"/>
      <c r="K79" s="863"/>
      <c r="L79" s="863"/>
      <c r="M79" s="863"/>
      <c r="N79" s="863"/>
      <c r="O79" s="863"/>
      <c r="P79" s="863"/>
      <c r="Q79" s="864"/>
      <c r="R79" s="863"/>
      <c r="S79" s="863"/>
      <c r="T79" s="864"/>
      <c r="U79" s="864"/>
      <c r="V79" s="864"/>
      <c r="W79" s="864"/>
      <c r="X79" s="864"/>
      <c r="Y79" s="864"/>
      <c r="Z79" s="864"/>
      <c r="AA79" s="864"/>
      <c r="AB79" s="864"/>
      <c r="AC79" s="864"/>
      <c r="AD79" s="864"/>
      <c r="AE79" s="864"/>
      <c r="AF79" s="864"/>
      <c r="AG79" s="864"/>
      <c r="AH79" s="864"/>
      <c r="AI79" s="864"/>
      <c r="AJ79" s="864"/>
      <c r="AK79" s="864"/>
      <c r="AL79" s="864"/>
      <c r="AM79" s="864"/>
      <c r="AN79" s="435"/>
      <c r="AO79" s="864"/>
      <c r="AP79" s="864"/>
      <c r="AQ79" s="864"/>
      <c r="AR79" s="864"/>
      <c r="AS79" s="864"/>
      <c r="AT79" s="864"/>
      <c r="AU79" s="864"/>
      <c r="AV79" s="864"/>
      <c r="AW79" s="864"/>
      <c r="AX79" s="864"/>
      <c r="AY79" s="864"/>
      <c r="AZ79" s="864"/>
      <c r="BA79" s="864"/>
      <c r="BB79" s="864"/>
      <c r="BC79" s="864"/>
      <c r="BD79" s="864"/>
      <c r="BE79" s="864"/>
      <c r="BF79" s="864"/>
      <c r="BG79" s="864"/>
      <c r="BH79" s="864"/>
      <c r="BI79" s="864"/>
      <c r="BJ79" s="864"/>
      <c r="BK79" s="864"/>
      <c r="BL79" s="864"/>
      <c r="BM79" s="864"/>
      <c r="BN79" s="864"/>
      <c r="BO79" s="864"/>
      <c r="BP79" s="864"/>
      <c r="BQ79" s="864"/>
      <c r="BR79" s="864"/>
      <c r="BS79" s="864"/>
      <c r="BT79" s="864"/>
      <c r="BU79" s="864"/>
      <c r="BV79" s="864"/>
      <c r="BW79" s="864"/>
      <c r="BX79" s="864"/>
      <c r="BY79" s="864"/>
      <c r="BZ79" s="864"/>
      <c r="CA79" s="864"/>
      <c r="CB79" s="864"/>
      <c r="CC79" s="864"/>
      <c r="CD79" s="864"/>
      <c r="CE79" s="864"/>
      <c r="CF79" s="864"/>
      <c r="CG79" s="864"/>
      <c r="CH79" s="864"/>
      <c r="CI79" s="863"/>
      <c r="CJ79" s="863"/>
      <c r="CK79" s="863"/>
      <c r="CL79" s="863"/>
      <c r="CM79" s="863"/>
      <c r="CN79" s="863"/>
      <c r="CO79" s="863"/>
      <c r="CP79" s="863"/>
      <c r="CQ79" s="863"/>
      <c r="CR79" s="863"/>
      <c r="CS79" s="863"/>
      <c r="CT79" s="863"/>
      <c r="CU79" s="863"/>
      <c r="CV79" s="863"/>
      <c r="CW79" s="863"/>
      <c r="CX79" s="863"/>
      <c r="CY79" s="863"/>
      <c r="CZ79" s="863"/>
      <c r="DA79" s="863"/>
      <c r="DB79" s="863"/>
      <c r="DC79" s="863"/>
      <c r="DD79" s="863"/>
      <c r="DE79" s="863"/>
      <c r="DF79" s="863"/>
      <c r="DG79" s="863"/>
      <c r="DH79" s="863"/>
      <c r="DI79" s="863"/>
      <c r="DJ79" s="863"/>
      <c r="DK79" s="863"/>
      <c r="DL79" s="866"/>
      <c r="DN79" s="409"/>
      <c r="DO79" s="409"/>
      <c r="DP79" s="409"/>
      <c r="DQ79" s="409"/>
      <c r="DR79" s="409"/>
      <c r="DS79" s="409"/>
      <c r="DT79" s="409"/>
      <c r="DU79" s="409"/>
      <c r="DV79" s="409"/>
      <c r="DW79" s="409"/>
      <c r="DX79" s="409"/>
      <c r="DY79" s="409"/>
      <c r="DZ79" s="409"/>
      <c r="EA79" s="409"/>
      <c r="EB79" s="409"/>
      <c r="EC79" s="409"/>
      <c r="ED79" s="409"/>
      <c r="EE79" s="409"/>
      <c r="EF79" s="409"/>
      <c r="EG79" s="409"/>
      <c r="EH79" s="409"/>
      <c r="EI79" s="409"/>
      <c r="EJ79" s="409"/>
      <c r="EK79" s="409"/>
      <c r="EL79" s="409"/>
      <c r="EM79" s="409"/>
      <c r="EN79" s="409"/>
      <c r="EO79" s="409"/>
      <c r="EP79" s="409"/>
      <c r="EQ79" s="409"/>
      <c r="ER79" s="409"/>
      <c r="ES79" s="409"/>
      <c r="ET79" s="409"/>
      <c r="EU79" s="409"/>
      <c r="EV79" s="409"/>
      <c r="EW79" s="409"/>
      <c r="EX79" s="409"/>
      <c r="EY79" s="409"/>
      <c r="EZ79" s="409"/>
      <c r="FA79" s="409"/>
      <c r="FB79" s="409"/>
      <c r="FC79" s="409"/>
      <c r="FD79" s="409"/>
      <c r="FE79" s="409"/>
      <c r="FF79" s="409"/>
      <c r="FG79" s="409"/>
      <c r="FH79" s="409"/>
      <c r="FI79" s="409"/>
      <c r="FJ79" s="409"/>
      <c r="FK79" s="409"/>
      <c r="FL79" s="409"/>
      <c r="FM79" s="409"/>
      <c r="FN79" s="409"/>
      <c r="FO79" s="409"/>
      <c r="FP79" s="409"/>
      <c r="FQ79" s="409"/>
      <c r="FR79" s="409"/>
      <c r="FS79" s="409"/>
      <c r="FT79" s="409"/>
      <c r="FU79" s="409"/>
      <c r="FV79" s="409"/>
      <c r="FW79" s="409"/>
      <c r="FX79" s="409"/>
      <c r="FY79" s="409"/>
      <c r="FZ79" s="409"/>
      <c r="GA79" s="409"/>
      <c r="GB79" s="409"/>
      <c r="GC79" s="409"/>
      <c r="GD79" s="409"/>
      <c r="GE79" s="409"/>
      <c r="GF79" s="409"/>
      <c r="GG79" s="409"/>
      <c r="GH79" s="409"/>
      <c r="GI79" s="409"/>
      <c r="GJ79" s="409"/>
      <c r="GK79" s="409"/>
      <c r="GL79" s="409"/>
      <c r="GM79" s="409"/>
      <c r="GN79" s="409"/>
      <c r="GO79" s="409"/>
      <c r="GP79" s="409"/>
      <c r="GQ79" s="409"/>
      <c r="GR79" s="409"/>
      <c r="GS79" s="409"/>
      <c r="GT79" s="409"/>
      <c r="GU79" s="409"/>
      <c r="GV79" s="409"/>
      <c r="GW79" s="409"/>
      <c r="GX79" s="409"/>
      <c r="GY79" s="409"/>
      <c r="GZ79" s="409"/>
      <c r="HA79" s="409"/>
      <c r="HB79" s="409"/>
      <c r="HC79" s="409"/>
      <c r="HD79" s="409"/>
      <c r="HE79" s="409"/>
      <c r="HF79" s="409"/>
      <c r="HG79" s="409"/>
      <c r="HH79" s="409"/>
      <c r="HI79" s="409"/>
      <c r="HJ79" s="409"/>
      <c r="HK79" s="409"/>
      <c r="HL79" s="409"/>
      <c r="HM79" s="409"/>
      <c r="HN79" s="409"/>
      <c r="HO79" s="409"/>
      <c r="HP79" s="409"/>
      <c r="HQ79" s="409"/>
      <c r="HR79" s="409"/>
      <c r="HS79" s="409"/>
      <c r="HT79" s="409"/>
      <c r="HU79" s="409"/>
      <c r="HV79" s="409"/>
      <c r="HW79" s="409"/>
      <c r="HX79" s="409"/>
      <c r="HY79" s="409"/>
      <c r="HZ79" s="409"/>
      <c r="IA79" s="409"/>
      <c r="IB79" s="409"/>
      <c r="IC79" s="409"/>
      <c r="ID79" s="409"/>
      <c r="IE79" s="409"/>
      <c r="IF79" s="409"/>
      <c r="IG79" s="409"/>
      <c r="IH79" s="409"/>
      <c r="II79" s="409"/>
      <c r="IJ79" s="409"/>
      <c r="IK79" s="409"/>
      <c r="IL79" s="409"/>
      <c r="IM79" s="409"/>
      <c r="IN79" s="409"/>
      <c r="IO79" s="409"/>
      <c r="IP79" s="409"/>
      <c r="IQ79" s="409"/>
      <c r="IR79" s="409"/>
      <c r="IS79" s="409"/>
      <c r="IT79" s="409"/>
      <c r="IU79" s="409"/>
      <c r="IV79" s="409"/>
      <c r="IW79" s="409"/>
      <c r="IX79" s="409"/>
      <c r="IY79" s="409"/>
      <c r="IZ79" s="409"/>
      <c r="JA79" s="409"/>
      <c r="JB79" s="409"/>
      <c r="JC79" s="409"/>
      <c r="JD79" s="409"/>
    </row>
    <row r="80" spans="1:264" s="867" customFormat="1" ht="13.8" outlineLevel="1">
      <c r="A80" s="895"/>
      <c r="B80" s="885"/>
      <c r="C80" s="835"/>
      <c r="D80" s="885"/>
      <c r="E80" s="435"/>
      <c r="F80" s="435"/>
      <c r="G80" s="435"/>
      <c r="H80" s="870"/>
      <c r="I80" s="871"/>
      <c r="J80" s="864"/>
      <c r="K80" s="863"/>
      <c r="L80" s="863"/>
      <c r="M80" s="863"/>
      <c r="N80" s="863"/>
      <c r="O80" s="863"/>
      <c r="P80" s="863"/>
      <c r="Q80" s="864"/>
      <c r="R80" s="863"/>
      <c r="S80" s="863"/>
      <c r="T80" s="864"/>
      <c r="U80" s="864"/>
      <c r="V80" s="864"/>
      <c r="W80" s="864"/>
      <c r="X80" s="864"/>
      <c r="Y80" s="864"/>
      <c r="Z80" s="864"/>
      <c r="AA80" s="864"/>
      <c r="AB80" s="864"/>
      <c r="AC80" s="864"/>
      <c r="AD80" s="864"/>
      <c r="AE80" s="864"/>
      <c r="AF80" s="864"/>
      <c r="AG80" s="864"/>
      <c r="AH80" s="864"/>
      <c r="AI80" s="864"/>
      <c r="AJ80" s="864"/>
      <c r="AK80" s="864"/>
      <c r="AL80" s="864"/>
      <c r="AM80" s="864"/>
      <c r="AN80" s="435"/>
      <c r="AO80" s="864"/>
      <c r="AP80" s="864"/>
      <c r="AQ80" s="864"/>
      <c r="AR80" s="864"/>
      <c r="AS80" s="864"/>
      <c r="AT80" s="864"/>
      <c r="AU80" s="864"/>
      <c r="AV80" s="864"/>
      <c r="AW80" s="864"/>
      <c r="AX80" s="864"/>
      <c r="AY80" s="864"/>
      <c r="AZ80" s="864"/>
      <c r="BA80" s="864"/>
      <c r="BB80" s="864"/>
      <c r="BC80" s="864"/>
      <c r="BD80" s="864"/>
      <c r="BE80" s="864"/>
      <c r="BF80" s="864"/>
      <c r="BG80" s="864"/>
      <c r="BH80" s="864"/>
      <c r="BI80" s="864"/>
      <c r="BJ80" s="864"/>
      <c r="BK80" s="864"/>
      <c r="BL80" s="864"/>
      <c r="BM80" s="864"/>
      <c r="BN80" s="864"/>
      <c r="BO80" s="864"/>
      <c r="BP80" s="864"/>
      <c r="BQ80" s="864"/>
      <c r="BR80" s="864"/>
      <c r="BS80" s="864"/>
      <c r="BT80" s="864"/>
      <c r="BU80" s="864"/>
      <c r="BV80" s="864"/>
      <c r="BW80" s="864"/>
      <c r="BX80" s="864"/>
      <c r="BY80" s="864"/>
      <c r="BZ80" s="864"/>
      <c r="CA80" s="864"/>
      <c r="CB80" s="864"/>
      <c r="CC80" s="864"/>
      <c r="CD80" s="864"/>
      <c r="CE80" s="864"/>
      <c r="CF80" s="864"/>
      <c r="CG80" s="864"/>
      <c r="CH80" s="864"/>
      <c r="CI80" s="863"/>
      <c r="CJ80" s="863"/>
      <c r="CK80" s="863"/>
      <c r="CL80" s="863"/>
      <c r="CM80" s="863"/>
      <c r="CN80" s="863"/>
      <c r="CO80" s="863"/>
      <c r="CP80" s="863"/>
      <c r="CQ80" s="863"/>
      <c r="CR80" s="863"/>
      <c r="CS80" s="863"/>
      <c r="CT80" s="863"/>
      <c r="CU80" s="863"/>
      <c r="CV80" s="863"/>
      <c r="CW80" s="863"/>
      <c r="CX80" s="863"/>
      <c r="CY80" s="863"/>
      <c r="CZ80" s="863"/>
      <c r="DA80" s="863"/>
      <c r="DB80" s="863"/>
      <c r="DC80" s="863"/>
      <c r="DD80" s="863"/>
      <c r="DE80" s="863"/>
      <c r="DF80" s="863"/>
      <c r="DG80" s="863"/>
      <c r="DH80" s="863"/>
      <c r="DI80" s="863"/>
      <c r="DJ80" s="863"/>
      <c r="DK80" s="863"/>
      <c r="DL80" s="866"/>
      <c r="DN80" s="409"/>
      <c r="DO80" s="409"/>
      <c r="DP80" s="409"/>
      <c r="DQ80" s="409"/>
      <c r="DR80" s="409"/>
      <c r="DS80" s="409"/>
      <c r="DT80" s="409"/>
      <c r="DU80" s="409"/>
      <c r="DV80" s="409"/>
      <c r="DW80" s="409"/>
      <c r="DX80" s="409"/>
      <c r="DY80" s="409"/>
      <c r="DZ80" s="409"/>
      <c r="EA80" s="409"/>
      <c r="EB80" s="409"/>
      <c r="EC80" s="409"/>
      <c r="ED80" s="409"/>
      <c r="EE80" s="409"/>
      <c r="EF80" s="409"/>
      <c r="EG80" s="409"/>
      <c r="EH80" s="409"/>
      <c r="EI80" s="409"/>
      <c r="EJ80" s="409"/>
      <c r="EK80" s="409"/>
      <c r="EL80" s="409"/>
      <c r="EM80" s="409"/>
      <c r="EN80" s="409"/>
      <c r="EO80" s="409"/>
      <c r="EP80" s="409"/>
      <c r="EQ80" s="409"/>
      <c r="ER80" s="409"/>
      <c r="ES80" s="409"/>
      <c r="ET80" s="409"/>
      <c r="EU80" s="409"/>
      <c r="EV80" s="409"/>
      <c r="EW80" s="409"/>
      <c r="EX80" s="409"/>
      <c r="EY80" s="409"/>
      <c r="EZ80" s="409"/>
      <c r="FA80" s="409"/>
      <c r="FB80" s="409"/>
      <c r="FC80" s="409"/>
      <c r="FD80" s="409"/>
      <c r="FE80" s="409"/>
      <c r="FF80" s="409"/>
      <c r="FG80" s="409"/>
      <c r="FH80" s="409"/>
      <c r="FI80" s="409"/>
      <c r="FJ80" s="409"/>
      <c r="FK80" s="409"/>
      <c r="FL80" s="409"/>
      <c r="FM80" s="409"/>
      <c r="FN80" s="409"/>
      <c r="FO80" s="409"/>
      <c r="FP80" s="409"/>
      <c r="FQ80" s="409"/>
      <c r="FR80" s="409"/>
      <c r="FS80" s="409"/>
      <c r="FT80" s="409"/>
      <c r="FU80" s="409"/>
      <c r="FV80" s="409"/>
      <c r="FW80" s="409"/>
      <c r="FX80" s="409"/>
      <c r="FY80" s="409"/>
      <c r="FZ80" s="409"/>
      <c r="GA80" s="409"/>
      <c r="GB80" s="409"/>
      <c r="GC80" s="409"/>
      <c r="GD80" s="409"/>
      <c r="GE80" s="409"/>
      <c r="GF80" s="409"/>
      <c r="GG80" s="409"/>
      <c r="GH80" s="409"/>
      <c r="GI80" s="409"/>
      <c r="GJ80" s="409"/>
      <c r="GK80" s="409"/>
      <c r="GL80" s="409"/>
      <c r="GM80" s="409"/>
      <c r="GN80" s="409"/>
      <c r="GO80" s="409"/>
      <c r="GP80" s="409"/>
      <c r="GQ80" s="409"/>
      <c r="GR80" s="409"/>
      <c r="GS80" s="409"/>
      <c r="GT80" s="409"/>
      <c r="GU80" s="409"/>
      <c r="GV80" s="409"/>
      <c r="GW80" s="409"/>
      <c r="GX80" s="409"/>
      <c r="GY80" s="409"/>
      <c r="GZ80" s="409"/>
      <c r="HA80" s="409"/>
      <c r="HB80" s="409"/>
      <c r="HC80" s="409"/>
      <c r="HD80" s="409"/>
      <c r="HE80" s="409"/>
      <c r="HF80" s="409"/>
      <c r="HG80" s="409"/>
      <c r="HH80" s="409"/>
      <c r="HI80" s="409"/>
      <c r="HJ80" s="409"/>
      <c r="HK80" s="409"/>
      <c r="HL80" s="409"/>
      <c r="HM80" s="409"/>
      <c r="HN80" s="409"/>
      <c r="HO80" s="409"/>
      <c r="HP80" s="409"/>
      <c r="HQ80" s="409"/>
      <c r="HR80" s="409"/>
      <c r="HS80" s="409"/>
      <c r="HT80" s="409"/>
      <c r="HU80" s="409"/>
      <c r="HV80" s="409"/>
      <c r="HW80" s="409"/>
      <c r="HX80" s="409"/>
      <c r="HY80" s="409"/>
      <c r="HZ80" s="409"/>
      <c r="IA80" s="409"/>
      <c r="IB80" s="409"/>
      <c r="IC80" s="409"/>
      <c r="ID80" s="409"/>
      <c r="IE80" s="409"/>
      <c r="IF80" s="409"/>
      <c r="IG80" s="409"/>
      <c r="IH80" s="409"/>
      <c r="II80" s="409"/>
      <c r="IJ80" s="409"/>
      <c r="IK80" s="409"/>
      <c r="IL80" s="409"/>
      <c r="IM80" s="409"/>
      <c r="IN80" s="409"/>
      <c r="IO80" s="409"/>
      <c r="IP80" s="409"/>
      <c r="IQ80" s="409"/>
      <c r="IR80" s="409"/>
      <c r="IS80" s="409"/>
      <c r="IT80" s="409"/>
      <c r="IU80" s="409"/>
      <c r="IV80" s="409"/>
      <c r="IW80" s="409"/>
      <c r="IX80" s="409"/>
      <c r="IY80" s="409"/>
      <c r="IZ80" s="409"/>
      <c r="JA80" s="409"/>
      <c r="JB80" s="409"/>
      <c r="JC80" s="409"/>
      <c r="JD80" s="409"/>
    </row>
    <row r="81" spans="1:264" s="867" customFormat="1" ht="13.8" outlineLevel="1">
      <c r="A81" s="895"/>
      <c r="B81" s="885"/>
      <c r="C81" s="835"/>
      <c r="D81" s="885"/>
      <c r="E81" s="435"/>
      <c r="F81" s="435"/>
      <c r="G81" s="435"/>
      <c r="H81" s="870"/>
      <c r="I81" s="871"/>
      <c r="J81" s="864"/>
      <c r="K81" s="863"/>
      <c r="L81" s="863"/>
      <c r="M81" s="863"/>
      <c r="N81" s="863"/>
      <c r="O81" s="863"/>
      <c r="P81" s="863"/>
      <c r="Q81" s="863"/>
      <c r="R81" s="863"/>
      <c r="S81" s="863"/>
      <c r="T81" s="864"/>
      <c r="U81" s="864"/>
      <c r="V81" s="864"/>
      <c r="W81" s="864"/>
      <c r="X81" s="864"/>
      <c r="Y81" s="864"/>
      <c r="Z81" s="864"/>
      <c r="AA81" s="864"/>
      <c r="AB81" s="864"/>
      <c r="AC81" s="864"/>
      <c r="AD81" s="864"/>
      <c r="AE81" s="864"/>
      <c r="AF81" s="864"/>
      <c r="AG81" s="864"/>
      <c r="AH81" s="864"/>
      <c r="AI81" s="864"/>
      <c r="AJ81" s="864"/>
      <c r="AK81" s="864"/>
      <c r="AL81" s="864"/>
      <c r="AM81" s="864"/>
      <c r="AN81" s="435"/>
      <c r="AO81" s="864"/>
      <c r="AP81" s="864"/>
      <c r="AQ81" s="864"/>
      <c r="AR81" s="864"/>
      <c r="AS81" s="864"/>
      <c r="AT81" s="864"/>
      <c r="AU81" s="864"/>
      <c r="AV81" s="864"/>
      <c r="AW81" s="864"/>
      <c r="AX81" s="864"/>
      <c r="AY81" s="864"/>
      <c r="AZ81" s="864"/>
      <c r="BA81" s="864"/>
      <c r="BB81" s="864"/>
      <c r="BC81" s="864"/>
      <c r="BD81" s="864"/>
      <c r="BE81" s="864"/>
      <c r="BF81" s="864"/>
      <c r="BG81" s="864"/>
      <c r="BH81" s="864"/>
      <c r="BI81" s="864"/>
      <c r="BJ81" s="864"/>
      <c r="BK81" s="864"/>
      <c r="BL81" s="864"/>
      <c r="BM81" s="864"/>
      <c r="BN81" s="864"/>
      <c r="BO81" s="864"/>
      <c r="BP81" s="864"/>
      <c r="BQ81" s="864"/>
      <c r="BR81" s="864"/>
      <c r="BS81" s="864"/>
      <c r="BT81" s="864"/>
      <c r="BU81" s="864"/>
      <c r="BV81" s="864"/>
      <c r="BW81" s="864"/>
      <c r="BX81" s="864"/>
      <c r="BY81" s="864"/>
      <c r="BZ81" s="864"/>
      <c r="CA81" s="864"/>
      <c r="CB81" s="864"/>
      <c r="CC81" s="864"/>
      <c r="CD81" s="864"/>
      <c r="CE81" s="864"/>
      <c r="CF81" s="864"/>
      <c r="CG81" s="864"/>
      <c r="CH81" s="864"/>
      <c r="CI81" s="863"/>
      <c r="CJ81" s="863"/>
      <c r="CK81" s="863"/>
      <c r="CL81" s="863"/>
      <c r="CM81" s="863"/>
      <c r="CN81" s="863"/>
      <c r="CO81" s="863"/>
      <c r="CP81" s="863"/>
      <c r="CQ81" s="863"/>
      <c r="CR81" s="863"/>
      <c r="CS81" s="863"/>
      <c r="CT81" s="863"/>
      <c r="CU81" s="863"/>
      <c r="CV81" s="863"/>
      <c r="CW81" s="863"/>
      <c r="CX81" s="863"/>
      <c r="CY81" s="863"/>
      <c r="CZ81" s="863"/>
      <c r="DA81" s="863"/>
      <c r="DB81" s="863"/>
      <c r="DC81" s="863"/>
      <c r="DD81" s="863"/>
      <c r="DE81" s="863"/>
      <c r="DF81" s="863"/>
      <c r="DG81" s="863"/>
      <c r="DH81" s="863"/>
      <c r="DI81" s="863"/>
      <c r="DJ81" s="863"/>
      <c r="DK81" s="863"/>
      <c r="DL81" s="866"/>
      <c r="DN81" s="409"/>
      <c r="DO81" s="409"/>
      <c r="DP81" s="409"/>
      <c r="DQ81" s="409"/>
      <c r="DR81" s="409"/>
      <c r="DS81" s="409"/>
      <c r="DT81" s="409"/>
      <c r="DU81" s="409"/>
      <c r="DV81" s="409"/>
      <c r="DW81" s="409"/>
      <c r="DX81" s="409"/>
      <c r="DY81" s="409"/>
      <c r="DZ81" s="409"/>
      <c r="EA81" s="409"/>
      <c r="EB81" s="409"/>
      <c r="EC81" s="409"/>
      <c r="ED81" s="409"/>
      <c r="EE81" s="409"/>
      <c r="EF81" s="409"/>
      <c r="EG81" s="409"/>
      <c r="EH81" s="409"/>
      <c r="EI81" s="409"/>
      <c r="EJ81" s="409"/>
      <c r="EK81" s="409"/>
      <c r="EL81" s="409"/>
      <c r="EM81" s="409"/>
      <c r="EN81" s="409"/>
      <c r="EO81" s="409"/>
      <c r="EP81" s="409"/>
      <c r="EQ81" s="409"/>
      <c r="ER81" s="409"/>
      <c r="ES81" s="409"/>
      <c r="ET81" s="409"/>
      <c r="EU81" s="409"/>
      <c r="EV81" s="409"/>
      <c r="EW81" s="409"/>
      <c r="EX81" s="409"/>
      <c r="EY81" s="409"/>
      <c r="EZ81" s="409"/>
      <c r="FA81" s="409"/>
      <c r="FB81" s="409"/>
      <c r="FC81" s="409"/>
      <c r="FD81" s="409"/>
      <c r="FE81" s="409"/>
      <c r="FF81" s="409"/>
      <c r="FG81" s="409"/>
      <c r="FH81" s="409"/>
      <c r="FI81" s="409"/>
      <c r="FJ81" s="409"/>
      <c r="FK81" s="409"/>
      <c r="FL81" s="409"/>
      <c r="FM81" s="409"/>
      <c r="FN81" s="409"/>
      <c r="FO81" s="409"/>
      <c r="FP81" s="409"/>
      <c r="FQ81" s="409"/>
      <c r="FR81" s="409"/>
      <c r="FS81" s="409"/>
      <c r="FT81" s="409"/>
      <c r="FU81" s="409"/>
      <c r="FV81" s="409"/>
      <c r="FW81" s="409"/>
      <c r="FX81" s="409"/>
      <c r="FY81" s="409"/>
      <c r="FZ81" s="409"/>
      <c r="GA81" s="409"/>
      <c r="GB81" s="409"/>
      <c r="GC81" s="409"/>
      <c r="GD81" s="409"/>
      <c r="GE81" s="409"/>
      <c r="GF81" s="409"/>
      <c r="GG81" s="409"/>
      <c r="GH81" s="409"/>
      <c r="GI81" s="409"/>
      <c r="GJ81" s="409"/>
      <c r="GK81" s="409"/>
      <c r="GL81" s="409"/>
      <c r="GM81" s="409"/>
      <c r="GN81" s="409"/>
      <c r="GO81" s="409"/>
      <c r="GP81" s="409"/>
      <c r="GQ81" s="409"/>
      <c r="GR81" s="409"/>
      <c r="GS81" s="409"/>
      <c r="GT81" s="409"/>
      <c r="GU81" s="409"/>
      <c r="GV81" s="409"/>
      <c r="GW81" s="409"/>
      <c r="GX81" s="409"/>
      <c r="GY81" s="409"/>
      <c r="GZ81" s="409"/>
      <c r="HA81" s="409"/>
      <c r="HB81" s="409"/>
      <c r="HC81" s="409"/>
      <c r="HD81" s="409"/>
      <c r="HE81" s="409"/>
      <c r="HF81" s="409"/>
      <c r="HG81" s="409"/>
      <c r="HH81" s="409"/>
      <c r="HI81" s="409"/>
      <c r="HJ81" s="409"/>
      <c r="HK81" s="409"/>
      <c r="HL81" s="409"/>
      <c r="HM81" s="409"/>
      <c r="HN81" s="409"/>
      <c r="HO81" s="409"/>
      <c r="HP81" s="409"/>
      <c r="HQ81" s="409"/>
      <c r="HR81" s="409"/>
      <c r="HS81" s="409"/>
      <c r="HT81" s="409"/>
      <c r="HU81" s="409"/>
      <c r="HV81" s="409"/>
      <c r="HW81" s="409"/>
      <c r="HX81" s="409"/>
      <c r="HY81" s="409"/>
      <c r="HZ81" s="409"/>
      <c r="IA81" s="409"/>
      <c r="IB81" s="409"/>
      <c r="IC81" s="409"/>
      <c r="ID81" s="409"/>
      <c r="IE81" s="409"/>
      <c r="IF81" s="409"/>
      <c r="IG81" s="409"/>
      <c r="IH81" s="409"/>
      <c r="II81" s="409"/>
      <c r="IJ81" s="409"/>
      <c r="IK81" s="409"/>
      <c r="IL81" s="409"/>
      <c r="IM81" s="409"/>
      <c r="IN81" s="409"/>
      <c r="IO81" s="409"/>
      <c r="IP81" s="409"/>
      <c r="IQ81" s="409"/>
      <c r="IR81" s="409"/>
      <c r="IS81" s="409"/>
      <c r="IT81" s="409"/>
      <c r="IU81" s="409"/>
      <c r="IV81" s="409"/>
      <c r="IW81" s="409"/>
      <c r="IX81" s="409"/>
      <c r="IY81" s="409"/>
      <c r="IZ81" s="409"/>
      <c r="JA81" s="409"/>
      <c r="JB81" s="409"/>
      <c r="JC81" s="409"/>
      <c r="JD81" s="409"/>
    </row>
    <row r="82" spans="1:264" s="867" customFormat="1" ht="13.8" outlineLevel="1">
      <c r="A82" s="895"/>
      <c r="B82" s="885"/>
      <c r="C82" s="835"/>
      <c r="D82" s="885"/>
      <c r="E82" s="435"/>
      <c r="F82" s="435"/>
      <c r="G82" s="435"/>
      <c r="H82" s="870"/>
      <c r="I82" s="871"/>
      <c r="J82" s="864"/>
      <c r="K82" s="863"/>
      <c r="L82" s="863"/>
      <c r="M82" s="863"/>
      <c r="N82" s="863"/>
      <c r="O82" s="863"/>
      <c r="P82" s="863"/>
      <c r="Q82" s="863"/>
      <c r="R82" s="863"/>
      <c r="S82" s="863"/>
      <c r="T82" s="864"/>
      <c r="U82" s="864"/>
      <c r="V82" s="864"/>
      <c r="W82" s="864"/>
      <c r="X82" s="864"/>
      <c r="Y82" s="864"/>
      <c r="Z82" s="864"/>
      <c r="AA82" s="864"/>
      <c r="AB82" s="864"/>
      <c r="AC82" s="864"/>
      <c r="AD82" s="864"/>
      <c r="AE82" s="864"/>
      <c r="AF82" s="864"/>
      <c r="AG82" s="864"/>
      <c r="AH82" s="864"/>
      <c r="AI82" s="864"/>
      <c r="AJ82" s="864"/>
      <c r="AK82" s="864"/>
      <c r="AL82" s="864"/>
      <c r="AM82" s="864"/>
      <c r="AN82" s="435"/>
      <c r="AO82" s="864"/>
      <c r="AP82" s="864"/>
      <c r="AQ82" s="864"/>
      <c r="AR82" s="864"/>
      <c r="AS82" s="864"/>
      <c r="AT82" s="864"/>
      <c r="AU82" s="864"/>
      <c r="AV82" s="864"/>
      <c r="AW82" s="864"/>
      <c r="AX82" s="864"/>
      <c r="AY82" s="864"/>
      <c r="AZ82" s="864"/>
      <c r="BA82" s="864"/>
      <c r="BB82" s="864"/>
      <c r="BC82" s="864"/>
      <c r="BD82" s="864"/>
      <c r="BE82" s="864"/>
      <c r="BF82" s="864"/>
      <c r="BG82" s="864"/>
      <c r="BH82" s="864"/>
      <c r="BI82" s="864"/>
      <c r="BJ82" s="864"/>
      <c r="BK82" s="864"/>
      <c r="BL82" s="864"/>
      <c r="BM82" s="864"/>
      <c r="BN82" s="864"/>
      <c r="BO82" s="864"/>
      <c r="BP82" s="864"/>
      <c r="BQ82" s="864"/>
      <c r="BR82" s="864"/>
      <c r="BS82" s="864"/>
      <c r="BT82" s="864"/>
      <c r="BU82" s="864"/>
      <c r="BV82" s="864"/>
      <c r="BW82" s="864"/>
      <c r="BX82" s="864"/>
      <c r="BY82" s="864"/>
      <c r="BZ82" s="864"/>
      <c r="CA82" s="864"/>
      <c r="CB82" s="864"/>
      <c r="CC82" s="864"/>
      <c r="CD82" s="864"/>
      <c r="CE82" s="864"/>
      <c r="CF82" s="864"/>
      <c r="CG82" s="864"/>
      <c r="CH82" s="864"/>
      <c r="CI82" s="863"/>
      <c r="CJ82" s="863"/>
      <c r="CK82" s="863"/>
      <c r="CL82" s="863"/>
      <c r="CM82" s="863"/>
      <c r="CN82" s="863"/>
      <c r="CO82" s="863"/>
      <c r="CP82" s="863"/>
      <c r="CQ82" s="863"/>
      <c r="CR82" s="863"/>
      <c r="CS82" s="863"/>
      <c r="CT82" s="863"/>
      <c r="CU82" s="863"/>
      <c r="CV82" s="863"/>
      <c r="CW82" s="863"/>
      <c r="CX82" s="863"/>
      <c r="CY82" s="863"/>
      <c r="CZ82" s="863"/>
      <c r="DA82" s="863"/>
      <c r="DB82" s="863"/>
      <c r="DC82" s="863"/>
      <c r="DD82" s="863"/>
      <c r="DE82" s="863"/>
      <c r="DF82" s="863"/>
      <c r="DG82" s="863"/>
      <c r="DH82" s="863"/>
      <c r="DI82" s="863"/>
      <c r="DJ82" s="863"/>
      <c r="DK82" s="863"/>
      <c r="DL82" s="866"/>
      <c r="DN82" s="409"/>
      <c r="DO82" s="409"/>
      <c r="DP82" s="409"/>
      <c r="DQ82" s="409"/>
      <c r="DR82" s="409"/>
      <c r="DS82" s="409"/>
      <c r="DT82" s="409"/>
      <c r="DU82" s="409"/>
      <c r="DV82" s="409"/>
      <c r="DW82" s="409"/>
      <c r="DX82" s="409"/>
      <c r="DY82" s="409"/>
      <c r="DZ82" s="409"/>
      <c r="EA82" s="409"/>
      <c r="EB82" s="409"/>
      <c r="EC82" s="409"/>
      <c r="ED82" s="409"/>
      <c r="EE82" s="409"/>
      <c r="EF82" s="409"/>
      <c r="EG82" s="409"/>
      <c r="EH82" s="409"/>
      <c r="EI82" s="409"/>
      <c r="EJ82" s="409"/>
      <c r="EK82" s="409"/>
      <c r="EL82" s="409"/>
      <c r="EM82" s="409"/>
      <c r="EN82" s="409"/>
      <c r="EO82" s="409"/>
      <c r="EP82" s="409"/>
      <c r="EQ82" s="409"/>
      <c r="ER82" s="409"/>
      <c r="ES82" s="409"/>
      <c r="ET82" s="409"/>
      <c r="EU82" s="409"/>
      <c r="EV82" s="409"/>
      <c r="EW82" s="409"/>
      <c r="EX82" s="409"/>
      <c r="EY82" s="409"/>
      <c r="EZ82" s="409"/>
      <c r="FA82" s="409"/>
      <c r="FB82" s="409"/>
      <c r="FC82" s="409"/>
      <c r="FD82" s="409"/>
      <c r="FE82" s="409"/>
      <c r="FF82" s="409"/>
      <c r="FG82" s="409"/>
      <c r="FH82" s="409"/>
      <c r="FI82" s="409"/>
      <c r="FJ82" s="409"/>
      <c r="FK82" s="409"/>
      <c r="FL82" s="409"/>
      <c r="FM82" s="409"/>
      <c r="FN82" s="409"/>
      <c r="FO82" s="409"/>
      <c r="FP82" s="409"/>
      <c r="FQ82" s="409"/>
      <c r="FR82" s="409"/>
      <c r="FS82" s="409"/>
      <c r="FT82" s="409"/>
      <c r="FU82" s="409"/>
      <c r="FV82" s="409"/>
      <c r="FW82" s="409"/>
      <c r="FX82" s="409"/>
      <c r="FY82" s="409"/>
      <c r="FZ82" s="409"/>
      <c r="GA82" s="409"/>
      <c r="GB82" s="409"/>
      <c r="GC82" s="409"/>
      <c r="GD82" s="409"/>
      <c r="GE82" s="409"/>
      <c r="GF82" s="409"/>
      <c r="GG82" s="409"/>
      <c r="GH82" s="409"/>
      <c r="GI82" s="409"/>
      <c r="GJ82" s="409"/>
      <c r="GK82" s="409"/>
      <c r="GL82" s="409"/>
      <c r="GM82" s="409"/>
      <c r="GN82" s="409"/>
      <c r="GO82" s="409"/>
      <c r="GP82" s="409"/>
      <c r="GQ82" s="409"/>
      <c r="GR82" s="409"/>
      <c r="GS82" s="409"/>
      <c r="GT82" s="409"/>
      <c r="GU82" s="409"/>
      <c r="GV82" s="409"/>
      <c r="GW82" s="409"/>
      <c r="GX82" s="409"/>
      <c r="GY82" s="409"/>
      <c r="GZ82" s="409"/>
      <c r="HA82" s="409"/>
      <c r="HB82" s="409"/>
      <c r="HC82" s="409"/>
      <c r="HD82" s="409"/>
      <c r="HE82" s="409"/>
      <c r="HF82" s="409"/>
      <c r="HG82" s="409"/>
      <c r="HH82" s="409"/>
      <c r="HI82" s="409"/>
      <c r="HJ82" s="409"/>
      <c r="HK82" s="409"/>
      <c r="HL82" s="409"/>
      <c r="HM82" s="409"/>
      <c r="HN82" s="409"/>
      <c r="HO82" s="409"/>
      <c r="HP82" s="409"/>
      <c r="HQ82" s="409"/>
      <c r="HR82" s="409"/>
      <c r="HS82" s="409"/>
      <c r="HT82" s="409"/>
      <c r="HU82" s="409"/>
      <c r="HV82" s="409"/>
      <c r="HW82" s="409"/>
      <c r="HX82" s="409"/>
      <c r="HY82" s="409"/>
      <c r="HZ82" s="409"/>
      <c r="IA82" s="409"/>
      <c r="IB82" s="409"/>
      <c r="IC82" s="409"/>
      <c r="ID82" s="409"/>
      <c r="IE82" s="409"/>
      <c r="IF82" s="409"/>
      <c r="IG82" s="409"/>
      <c r="IH82" s="409"/>
      <c r="II82" s="409"/>
      <c r="IJ82" s="409"/>
      <c r="IK82" s="409"/>
      <c r="IL82" s="409"/>
      <c r="IM82" s="409"/>
      <c r="IN82" s="409"/>
      <c r="IO82" s="409"/>
      <c r="IP82" s="409"/>
      <c r="IQ82" s="409"/>
      <c r="IR82" s="409"/>
      <c r="IS82" s="409"/>
      <c r="IT82" s="409"/>
      <c r="IU82" s="409"/>
      <c r="IV82" s="409"/>
      <c r="IW82" s="409"/>
      <c r="IX82" s="409"/>
      <c r="IY82" s="409"/>
      <c r="IZ82" s="409"/>
      <c r="JA82" s="409"/>
      <c r="JB82" s="409"/>
      <c r="JC82" s="409"/>
      <c r="JD82" s="409"/>
    </row>
    <row r="83" spans="1:264" s="867" customFormat="1" ht="13.8" outlineLevel="1">
      <c r="A83" s="895"/>
      <c r="B83" s="885"/>
      <c r="C83" s="835"/>
      <c r="D83" s="885"/>
      <c r="E83" s="435"/>
      <c r="F83" s="435"/>
      <c r="G83" s="435"/>
      <c r="H83" s="870"/>
      <c r="I83" s="871"/>
      <c r="J83" s="864"/>
      <c r="K83" s="863"/>
      <c r="L83" s="863"/>
      <c r="M83" s="863"/>
      <c r="N83" s="863"/>
      <c r="O83" s="863"/>
      <c r="P83" s="863"/>
      <c r="Q83" s="863"/>
      <c r="R83" s="863"/>
      <c r="S83" s="863"/>
      <c r="T83" s="864"/>
      <c r="U83" s="864"/>
      <c r="V83" s="864"/>
      <c r="W83" s="864"/>
      <c r="X83" s="864"/>
      <c r="Y83" s="864"/>
      <c r="Z83" s="864"/>
      <c r="AA83" s="864"/>
      <c r="AB83" s="864"/>
      <c r="AC83" s="864"/>
      <c r="AD83" s="864"/>
      <c r="AE83" s="864"/>
      <c r="AF83" s="864"/>
      <c r="AG83" s="864"/>
      <c r="AH83" s="864"/>
      <c r="AI83" s="864"/>
      <c r="AJ83" s="864"/>
      <c r="AK83" s="864"/>
      <c r="AL83" s="864"/>
      <c r="AM83" s="864"/>
      <c r="AN83" s="435"/>
      <c r="AO83" s="864"/>
      <c r="AP83" s="864"/>
      <c r="AQ83" s="864"/>
      <c r="AR83" s="864"/>
      <c r="AS83" s="864"/>
      <c r="AT83" s="864"/>
      <c r="AU83" s="864"/>
      <c r="AV83" s="864"/>
      <c r="AW83" s="864"/>
      <c r="AX83" s="864"/>
      <c r="AY83" s="864"/>
      <c r="AZ83" s="864"/>
      <c r="BA83" s="864"/>
      <c r="BB83" s="864"/>
      <c r="BC83" s="864"/>
      <c r="BD83" s="864"/>
      <c r="BE83" s="864"/>
      <c r="BF83" s="864"/>
      <c r="BG83" s="864"/>
      <c r="BH83" s="864"/>
      <c r="BI83" s="864"/>
      <c r="BJ83" s="864"/>
      <c r="BK83" s="864"/>
      <c r="BL83" s="864"/>
      <c r="BM83" s="864"/>
      <c r="BN83" s="864"/>
      <c r="BO83" s="864"/>
      <c r="BP83" s="864"/>
      <c r="BQ83" s="864"/>
      <c r="BR83" s="864"/>
      <c r="BS83" s="864"/>
      <c r="BT83" s="864"/>
      <c r="BU83" s="864"/>
      <c r="BV83" s="864"/>
      <c r="BW83" s="864"/>
      <c r="BX83" s="864"/>
      <c r="BY83" s="864"/>
      <c r="BZ83" s="864"/>
      <c r="CA83" s="864"/>
      <c r="CB83" s="864"/>
      <c r="CC83" s="864"/>
      <c r="CD83" s="864"/>
      <c r="CE83" s="864"/>
      <c r="CF83" s="864"/>
      <c r="CG83" s="864"/>
      <c r="CH83" s="864"/>
      <c r="CI83" s="863"/>
      <c r="CJ83" s="863"/>
      <c r="CK83" s="863"/>
      <c r="CL83" s="863"/>
      <c r="CM83" s="863"/>
      <c r="CN83" s="863"/>
      <c r="CO83" s="863"/>
      <c r="CP83" s="863"/>
      <c r="CQ83" s="863"/>
      <c r="CR83" s="863"/>
      <c r="CS83" s="863"/>
      <c r="CT83" s="863"/>
      <c r="CU83" s="863"/>
      <c r="CV83" s="863"/>
      <c r="CW83" s="863"/>
      <c r="CX83" s="863"/>
      <c r="CY83" s="863"/>
      <c r="CZ83" s="863"/>
      <c r="DA83" s="863"/>
      <c r="DB83" s="863"/>
      <c r="DC83" s="863"/>
      <c r="DD83" s="863"/>
      <c r="DE83" s="863"/>
      <c r="DF83" s="863"/>
      <c r="DG83" s="863"/>
      <c r="DH83" s="863"/>
      <c r="DI83" s="863"/>
      <c r="DJ83" s="863"/>
      <c r="DK83" s="863"/>
      <c r="DL83" s="866"/>
      <c r="DN83" s="409"/>
      <c r="DO83" s="409"/>
      <c r="DP83" s="409"/>
      <c r="DQ83" s="409"/>
      <c r="DR83" s="409"/>
      <c r="DS83" s="409"/>
      <c r="DT83" s="409"/>
      <c r="DU83" s="409"/>
      <c r="DV83" s="409"/>
      <c r="DW83" s="409"/>
      <c r="DX83" s="409"/>
      <c r="DY83" s="409"/>
      <c r="DZ83" s="409"/>
      <c r="EA83" s="409"/>
      <c r="EB83" s="409"/>
      <c r="EC83" s="409"/>
      <c r="ED83" s="409"/>
      <c r="EE83" s="409"/>
      <c r="EF83" s="409"/>
      <c r="EG83" s="409"/>
      <c r="EH83" s="409"/>
      <c r="EI83" s="409"/>
      <c r="EJ83" s="409"/>
      <c r="EK83" s="409"/>
      <c r="EL83" s="409"/>
      <c r="EM83" s="409"/>
      <c r="EN83" s="409"/>
      <c r="EO83" s="409"/>
      <c r="EP83" s="409"/>
      <c r="EQ83" s="409"/>
      <c r="ER83" s="409"/>
      <c r="ES83" s="409"/>
      <c r="ET83" s="409"/>
      <c r="EU83" s="409"/>
      <c r="EV83" s="409"/>
      <c r="EW83" s="409"/>
      <c r="EX83" s="409"/>
      <c r="EY83" s="409"/>
      <c r="EZ83" s="409"/>
      <c r="FA83" s="409"/>
      <c r="FB83" s="409"/>
      <c r="FC83" s="409"/>
      <c r="FD83" s="409"/>
      <c r="FE83" s="409"/>
      <c r="FF83" s="409"/>
      <c r="FG83" s="409"/>
      <c r="FH83" s="409"/>
      <c r="FI83" s="409"/>
      <c r="FJ83" s="409"/>
      <c r="FK83" s="409"/>
      <c r="FL83" s="409"/>
      <c r="FM83" s="409"/>
      <c r="FN83" s="409"/>
      <c r="FO83" s="409"/>
      <c r="FP83" s="409"/>
      <c r="FQ83" s="409"/>
      <c r="FR83" s="409"/>
      <c r="FS83" s="409"/>
      <c r="FT83" s="409"/>
      <c r="FU83" s="409"/>
      <c r="FV83" s="409"/>
      <c r="FW83" s="409"/>
      <c r="FX83" s="409"/>
      <c r="FY83" s="409"/>
      <c r="FZ83" s="409"/>
      <c r="GA83" s="409"/>
      <c r="GB83" s="409"/>
      <c r="GC83" s="409"/>
      <c r="GD83" s="409"/>
      <c r="GE83" s="409"/>
      <c r="GF83" s="409"/>
      <c r="GG83" s="409"/>
      <c r="GH83" s="409"/>
      <c r="GI83" s="409"/>
      <c r="GJ83" s="409"/>
      <c r="GK83" s="409"/>
      <c r="GL83" s="409"/>
      <c r="GM83" s="409"/>
      <c r="GN83" s="409"/>
      <c r="GO83" s="409"/>
      <c r="GP83" s="409"/>
      <c r="GQ83" s="409"/>
      <c r="GR83" s="409"/>
      <c r="GS83" s="409"/>
      <c r="GT83" s="409"/>
      <c r="GU83" s="409"/>
      <c r="GV83" s="409"/>
      <c r="GW83" s="409"/>
      <c r="GX83" s="409"/>
      <c r="GY83" s="409"/>
      <c r="GZ83" s="409"/>
      <c r="HA83" s="409"/>
      <c r="HB83" s="409"/>
      <c r="HC83" s="409"/>
      <c r="HD83" s="409"/>
      <c r="HE83" s="409"/>
      <c r="HF83" s="409"/>
      <c r="HG83" s="409"/>
      <c r="HH83" s="409"/>
      <c r="HI83" s="409"/>
      <c r="HJ83" s="409"/>
      <c r="HK83" s="409"/>
      <c r="HL83" s="409"/>
      <c r="HM83" s="409"/>
      <c r="HN83" s="409"/>
      <c r="HO83" s="409"/>
      <c r="HP83" s="409"/>
      <c r="HQ83" s="409"/>
      <c r="HR83" s="409"/>
      <c r="HS83" s="409"/>
      <c r="HT83" s="409"/>
      <c r="HU83" s="409"/>
      <c r="HV83" s="409"/>
      <c r="HW83" s="409"/>
      <c r="HX83" s="409"/>
      <c r="HY83" s="409"/>
      <c r="HZ83" s="409"/>
      <c r="IA83" s="409"/>
      <c r="IB83" s="409"/>
      <c r="IC83" s="409"/>
      <c r="ID83" s="409"/>
      <c r="IE83" s="409"/>
      <c r="IF83" s="409"/>
      <c r="IG83" s="409"/>
      <c r="IH83" s="409"/>
      <c r="II83" s="409"/>
      <c r="IJ83" s="409"/>
      <c r="IK83" s="409"/>
      <c r="IL83" s="409"/>
      <c r="IM83" s="409"/>
      <c r="IN83" s="409"/>
      <c r="IO83" s="409"/>
      <c r="IP83" s="409"/>
      <c r="IQ83" s="409"/>
      <c r="IR83" s="409"/>
      <c r="IS83" s="409"/>
      <c r="IT83" s="409"/>
      <c r="IU83" s="409"/>
      <c r="IV83" s="409"/>
      <c r="IW83" s="409"/>
      <c r="IX83" s="409"/>
      <c r="IY83" s="409"/>
      <c r="IZ83" s="409"/>
      <c r="JA83" s="409"/>
      <c r="JB83" s="409"/>
      <c r="JC83" s="409"/>
      <c r="JD83" s="409"/>
    </row>
    <row r="84" spans="1:264" s="867" customFormat="1" ht="13.8" outlineLevel="1">
      <c r="A84" s="895"/>
      <c r="B84" s="885"/>
      <c r="C84" s="835"/>
      <c r="D84" s="885"/>
      <c r="E84" s="435"/>
      <c r="F84" s="435"/>
      <c r="G84" s="435"/>
      <c r="H84" s="870"/>
      <c r="I84" s="871"/>
      <c r="J84" s="864"/>
      <c r="K84" s="863"/>
      <c r="L84" s="863"/>
      <c r="M84" s="863"/>
      <c r="N84" s="863"/>
      <c r="O84" s="863"/>
      <c r="P84" s="863"/>
      <c r="Q84" s="863"/>
      <c r="R84" s="863"/>
      <c r="S84" s="863"/>
      <c r="T84" s="864"/>
      <c r="U84" s="864"/>
      <c r="V84" s="864"/>
      <c r="W84" s="864"/>
      <c r="X84" s="864"/>
      <c r="Y84" s="864"/>
      <c r="Z84" s="864"/>
      <c r="AA84" s="864"/>
      <c r="AB84" s="864"/>
      <c r="AC84" s="864"/>
      <c r="AD84" s="864"/>
      <c r="AE84" s="864"/>
      <c r="AF84" s="864"/>
      <c r="AG84" s="864"/>
      <c r="AH84" s="864"/>
      <c r="AI84" s="864"/>
      <c r="AJ84" s="864"/>
      <c r="AK84" s="864"/>
      <c r="AL84" s="864"/>
      <c r="AM84" s="864"/>
      <c r="AN84" s="435"/>
      <c r="AO84" s="864"/>
      <c r="AP84" s="864"/>
      <c r="AQ84" s="864"/>
      <c r="AR84" s="864"/>
      <c r="AS84" s="864"/>
      <c r="AT84" s="864"/>
      <c r="AU84" s="864"/>
      <c r="AV84" s="864"/>
      <c r="AW84" s="864"/>
      <c r="AX84" s="864"/>
      <c r="AY84" s="864"/>
      <c r="AZ84" s="864"/>
      <c r="BA84" s="864"/>
      <c r="BB84" s="864"/>
      <c r="BC84" s="864"/>
      <c r="BD84" s="864"/>
      <c r="BE84" s="864"/>
      <c r="BF84" s="864"/>
      <c r="BG84" s="864"/>
      <c r="BH84" s="864"/>
      <c r="BI84" s="864"/>
      <c r="BJ84" s="864"/>
      <c r="BK84" s="864"/>
      <c r="BL84" s="864"/>
      <c r="BM84" s="864"/>
      <c r="BN84" s="864"/>
      <c r="BO84" s="864"/>
      <c r="BP84" s="864"/>
      <c r="BQ84" s="864"/>
      <c r="BR84" s="864"/>
      <c r="BS84" s="864"/>
      <c r="BT84" s="864"/>
      <c r="BU84" s="864"/>
      <c r="BV84" s="864"/>
      <c r="BW84" s="864"/>
      <c r="BX84" s="864"/>
      <c r="BY84" s="864"/>
      <c r="BZ84" s="864"/>
      <c r="CA84" s="864"/>
      <c r="CB84" s="864"/>
      <c r="CC84" s="864"/>
      <c r="CD84" s="864"/>
      <c r="CE84" s="864"/>
      <c r="CF84" s="864"/>
      <c r="CG84" s="864"/>
      <c r="CH84" s="864"/>
      <c r="CI84" s="863"/>
      <c r="CJ84" s="863"/>
      <c r="CK84" s="863"/>
      <c r="CL84" s="863"/>
      <c r="CM84" s="863"/>
      <c r="CN84" s="863"/>
      <c r="CO84" s="863"/>
      <c r="CP84" s="863"/>
      <c r="CQ84" s="863"/>
      <c r="CR84" s="863"/>
      <c r="CS84" s="863"/>
      <c r="CT84" s="863"/>
      <c r="CU84" s="863"/>
      <c r="CV84" s="863"/>
      <c r="CW84" s="863"/>
      <c r="CX84" s="863"/>
      <c r="CY84" s="863"/>
      <c r="CZ84" s="863"/>
      <c r="DA84" s="863"/>
      <c r="DB84" s="863"/>
      <c r="DC84" s="863"/>
      <c r="DD84" s="863"/>
      <c r="DE84" s="863"/>
      <c r="DF84" s="863"/>
      <c r="DG84" s="863"/>
      <c r="DH84" s="863"/>
      <c r="DI84" s="863"/>
      <c r="DJ84" s="863"/>
      <c r="DK84" s="863"/>
      <c r="DL84" s="866"/>
      <c r="DN84" s="409"/>
      <c r="DO84" s="409"/>
      <c r="DP84" s="409"/>
      <c r="DQ84" s="409"/>
      <c r="DR84" s="409"/>
      <c r="DS84" s="409"/>
      <c r="DT84" s="409"/>
      <c r="DU84" s="409"/>
      <c r="DV84" s="409"/>
      <c r="DW84" s="409"/>
      <c r="DX84" s="409"/>
      <c r="DY84" s="409"/>
      <c r="DZ84" s="409"/>
      <c r="EA84" s="409"/>
      <c r="EB84" s="409"/>
      <c r="EC84" s="409"/>
      <c r="ED84" s="409"/>
      <c r="EE84" s="409"/>
      <c r="EF84" s="409"/>
      <c r="EG84" s="409"/>
      <c r="EH84" s="409"/>
      <c r="EI84" s="409"/>
      <c r="EJ84" s="409"/>
      <c r="EK84" s="409"/>
      <c r="EL84" s="409"/>
      <c r="EM84" s="409"/>
      <c r="EN84" s="409"/>
      <c r="EO84" s="409"/>
      <c r="EP84" s="409"/>
      <c r="EQ84" s="409"/>
      <c r="ER84" s="409"/>
      <c r="ES84" s="409"/>
      <c r="ET84" s="409"/>
      <c r="EU84" s="409"/>
      <c r="EV84" s="409"/>
      <c r="EW84" s="409"/>
      <c r="EX84" s="409"/>
      <c r="EY84" s="409"/>
      <c r="EZ84" s="409"/>
      <c r="FA84" s="409"/>
      <c r="FB84" s="409"/>
      <c r="FC84" s="409"/>
      <c r="FD84" s="409"/>
      <c r="FE84" s="409"/>
      <c r="FF84" s="409"/>
      <c r="FG84" s="409"/>
      <c r="FH84" s="409"/>
      <c r="FI84" s="409"/>
      <c r="FJ84" s="409"/>
      <c r="FK84" s="409"/>
      <c r="FL84" s="409"/>
      <c r="FM84" s="409"/>
      <c r="FN84" s="409"/>
      <c r="FO84" s="409"/>
      <c r="FP84" s="409"/>
      <c r="FQ84" s="409"/>
      <c r="FR84" s="409"/>
      <c r="FS84" s="409"/>
      <c r="FT84" s="409"/>
      <c r="FU84" s="409"/>
      <c r="FV84" s="409"/>
      <c r="FW84" s="409"/>
      <c r="FX84" s="409"/>
      <c r="FY84" s="409"/>
      <c r="FZ84" s="409"/>
      <c r="GA84" s="409"/>
      <c r="GB84" s="409"/>
      <c r="GC84" s="409"/>
      <c r="GD84" s="409"/>
      <c r="GE84" s="409"/>
      <c r="GF84" s="409"/>
      <c r="GG84" s="409"/>
      <c r="GH84" s="409"/>
      <c r="GI84" s="409"/>
      <c r="GJ84" s="409"/>
      <c r="GK84" s="409"/>
      <c r="GL84" s="409"/>
      <c r="GM84" s="409"/>
      <c r="GN84" s="409"/>
      <c r="GO84" s="409"/>
      <c r="GP84" s="409"/>
      <c r="GQ84" s="409"/>
      <c r="GR84" s="409"/>
      <c r="GS84" s="409"/>
      <c r="GT84" s="409"/>
      <c r="GU84" s="409"/>
      <c r="GV84" s="409"/>
      <c r="GW84" s="409"/>
      <c r="GX84" s="409"/>
      <c r="GY84" s="409"/>
      <c r="GZ84" s="409"/>
      <c r="HA84" s="409"/>
      <c r="HB84" s="409"/>
      <c r="HC84" s="409"/>
      <c r="HD84" s="409"/>
      <c r="HE84" s="409"/>
      <c r="HF84" s="409"/>
      <c r="HG84" s="409"/>
      <c r="HH84" s="409"/>
      <c r="HI84" s="409"/>
      <c r="HJ84" s="409"/>
      <c r="HK84" s="409"/>
      <c r="HL84" s="409"/>
      <c r="HM84" s="409"/>
      <c r="HN84" s="409"/>
      <c r="HO84" s="409"/>
      <c r="HP84" s="409"/>
      <c r="HQ84" s="409"/>
      <c r="HR84" s="409"/>
      <c r="HS84" s="409"/>
      <c r="HT84" s="409"/>
      <c r="HU84" s="409"/>
      <c r="HV84" s="409"/>
      <c r="HW84" s="409"/>
      <c r="HX84" s="409"/>
      <c r="HY84" s="409"/>
      <c r="HZ84" s="409"/>
      <c r="IA84" s="409"/>
      <c r="IB84" s="409"/>
      <c r="IC84" s="409"/>
      <c r="ID84" s="409"/>
      <c r="IE84" s="409"/>
      <c r="IF84" s="409"/>
      <c r="IG84" s="409"/>
      <c r="IH84" s="409"/>
      <c r="II84" s="409"/>
      <c r="IJ84" s="409"/>
      <c r="IK84" s="409"/>
      <c r="IL84" s="409"/>
      <c r="IM84" s="409"/>
      <c r="IN84" s="409"/>
      <c r="IO84" s="409"/>
      <c r="IP84" s="409"/>
      <c r="IQ84" s="409"/>
      <c r="IR84" s="409"/>
      <c r="IS84" s="409"/>
      <c r="IT84" s="409"/>
      <c r="IU84" s="409"/>
      <c r="IV84" s="409"/>
      <c r="IW84" s="409"/>
      <c r="IX84" s="409"/>
      <c r="IY84" s="409"/>
      <c r="IZ84" s="409"/>
      <c r="JA84" s="409"/>
      <c r="JB84" s="409"/>
      <c r="JC84" s="409"/>
      <c r="JD84" s="409"/>
    </row>
    <row r="85" spans="1:264" s="868" customFormat="1" ht="13.8">
      <c r="A85" s="887"/>
      <c r="B85" s="904"/>
      <c r="C85" s="904"/>
      <c r="D85" s="904"/>
      <c r="E85" s="904"/>
      <c r="F85" s="904"/>
      <c r="G85" s="904"/>
      <c r="H85" s="904"/>
      <c r="I85" s="889"/>
      <c r="J85" s="889"/>
      <c r="K85" s="889"/>
      <c r="L85" s="889"/>
      <c r="M85" s="889"/>
      <c r="N85" s="889"/>
      <c r="O85" s="889"/>
      <c r="P85" s="889"/>
      <c r="Q85" s="889"/>
      <c r="R85" s="889"/>
      <c r="S85" s="889"/>
      <c r="T85" s="889"/>
      <c r="U85" s="889"/>
      <c r="V85" s="889"/>
      <c r="W85" s="889"/>
      <c r="X85" s="889"/>
      <c r="Y85" s="889"/>
      <c r="Z85" s="889"/>
      <c r="AA85" s="889"/>
      <c r="AB85" s="889"/>
      <c r="AC85" s="889"/>
      <c r="AD85" s="889"/>
      <c r="AE85" s="889"/>
      <c r="AF85" s="889"/>
      <c r="AG85" s="889"/>
      <c r="AH85" s="889"/>
      <c r="AI85" s="889"/>
      <c r="AJ85" s="889"/>
      <c r="AK85" s="889"/>
      <c r="AL85" s="889"/>
      <c r="AM85" s="889"/>
      <c r="AN85" s="889"/>
      <c r="AO85" s="889"/>
      <c r="AP85" s="889"/>
      <c r="AQ85" s="889"/>
      <c r="AR85" s="889"/>
      <c r="AS85" s="889"/>
      <c r="AT85" s="889"/>
      <c r="AU85" s="889"/>
      <c r="AV85" s="889"/>
      <c r="AW85" s="889"/>
      <c r="AX85" s="889"/>
      <c r="AY85" s="889"/>
      <c r="AZ85" s="889"/>
      <c r="BA85" s="889"/>
      <c r="BB85" s="889"/>
      <c r="BC85" s="889"/>
      <c r="BD85" s="889"/>
      <c r="BE85" s="889"/>
      <c r="BF85" s="889"/>
      <c r="BG85" s="889"/>
      <c r="BH85" s="889"/>
      <c r="BI85" s="889"/>
      <c r="BJ85" s="889"/>
      <c r="BK85" s="889"/>
      <c r="BL85" s="889"/>
      <c r="BM85" s="889"/>
      <c r="BN85" s="889"/>
      <c r="BO85" s="889"/>
      <c r="BP85" s="889"/>
      <c r="BQ85" s="889"/>
      <c r="BR85" s="889"/>
      <c r="BS85" s="889"/>
      <c r="BT85" s="889"/>
      <c r="BU85" s="889"/>
      <c r="BV85" s="889"/>
      <c r="BW85" s="889"/>
      <c r="BX85" s="889"/>
      <c r="BY85" s="889"/>
      <c r="BZ85" s="889"/>
      <c r="CA85" s="889"/>
      <c r="CB85" s="889"/>
      <c r="CC85" s="889"/>
      <c r="CD85" s="889"/>
      <c r="CE85" s="889"/>
      <c r="CF85" s="889"/>
      <c r="CG85" s="889"/>
      <c r="CH85" s="889"/>
      <c r="CI85" s="889"/>
      <c r="CJ85" s="889"/>
      <c r="CK85" s="889"/>
      <c r="CL85" s="889"/>
      <c r="CM85" s="889"/>
      <c r="CN85" s="889"/>
      <c r="CO85" s="889"/>
      <c r="CP85" s="889"/>
      <c r="CQ85" s="889"/>
      <c r="CR85" s="889"/>
      <c r="CS85" s="889"/>
      <c r="CT85" s="889"/>
      <c r="CU85" s="889"/>
      <c r="CV85" s="904"/>
      <c r="CW85" s="889"/>
      <c r="CX85" s="889"/>
      <c r="CY85" s="889"/>
      <c r="CZ85" s="889"/>
      <c r="DA85" s="889"/>
      <c r="DB85" s="889"/>
      <c r="DC85" s="889"/>
      <c r="DD85" s="889"/>
      <c r="DE85" s="889"/>
      <c r="DF85" s="889"/>
      <c r="DG85" s="889"/>
      <c r="DH85" s="889"/>
      <c r="DI85" s="889"/>
      <c r="DJ85" s="889"/>
      <c r="DK85" s="889"/>
      <c r="DL85" s="890"/>
      <c r="DN85" s="869"/>
      <c r="DO85" s="869"/>
      <c r="DP85" s="869"/>
      <c r="DQ85" s="869"/>
      <c r="DR85" s="869"/>
      <c r="DS85" s="869"/>
      <c r="DT85" s="869"/>
      <c r="DU85" s="869"/>
      <c r="DV85" s="869"/>
      <c r="DW85" s="869"/>
      <c r="DX85" s="869"/>
      <c r="DY85" s="869"/>
      <c r="DZ85" s="869"/>
      <c r="EA85" s="869"/>
      <c r="EB85" s="869"/>
      <c r="EC85" s="869"/>
      <c r="ED85" s="869"/>
      <c r="EE85" s="869"/>
      <c r="EF85" s="869"/>
      <c r="EG85" s="869"/>
      <c r="EH85" s="869"/>
      <c r="EI85" s="869"/>
      <c r="EJ85" s="869"/>
      <c r="EK85" s="869"/>
      <c r="EL85" s="869"/>
      <c r="EM85" s="869"/>
      <c r="EN85" s="869"/>
      <c r="EO85" s="869"/>
      <c r="EP85" s="869"/>
      <c r="EQ85" s="869"/>
      <c r="ER85" s="869"/>
      <c r="ES85" s="869"/>
      <c r="ET85" s="869"/>
      <c r="EU85" s="869"/>
      <c r="EV85" s="869"/>
      <c r="EW85" s="869"/>
      <c r="EX85" s="869"/>
      <c r="EY85" s="869"/>
      <c r="EZ85" s="869"/>
      <c r="FA85" s="869"/>
      <c r="FB85" s="869"/>
      <c r="FC85" s="869"/>
      <c r="FD85" s="869"/>
      <c r="FE85" s="869"/>
      <c r="FF85" s="869"/>
      <c r="FG85" s="869"/>
      <c r="FH85" s="869"/>
      <c r="FI85" s="869"/>
      <c r="FJ85" s="869"/>
      <c r="FK85" s="869"/>
      <c r="FL85" s="869"/>
      <c r="FM85" s="869"/>
      <c r="FN85" s="869"/>
      <c r="FO85" s="869"/>
      <c r="FP85" s="869"/>
      <c r="FQ85" s="869"/>
      <c r="FR85" s="869"/>
      <c r="FS85" s="869"/>
      <c r="FT85" s="869"/>
      <c r="FU85" s="869"/>
      <c r="FV85" s="869"/>
      <c r="FW85" s="869"/>
      <c r="FX85" s="869"/>
      <c r="FY85" s="869"/>
      <c r="FZ85" s="869"/>
      <c r="GA85" s="869"/>
      <c r="GB85" s="869"/>
      <c r="GC85" s="869"/>
      <c r="GD85" s="869"/>
      <c r="GE85" s="869"/>
      <c r="GF85" s="869"/>
      <c r="GG85" s="869"/>
      <c r="GH85" s="869"/>
      <c r="GI85" s="869"/>
      <c r="GJ85" s="869"/>
      <c r="GK85" s="869"/>
      <c r="GL85" s="869"/>
      <c r="GM85" s="869"/>
      <c r="GN85" s="869"/>
      <c r="GO85" s="869"/>
      <c r="GP85" s="869"/>
      <c r="GQ85" s="869"/>
      <c r="GR85" s="869"/>
      <c r="GS85" s="869"/>
      <c r="GT85" s="869"/>
      <c r="GU85" s="869"/>
      <c r="GV85" s="869"/>
      <c r="GW85" s="869"/>
      <c r="GX85" s="869"/>
      <c r="GY85" s="869"/>
      <c r="GZ85" s="869"/>
      <c r="HA85" s="869"/>
      <c r="HB85" s="869"/>
      <c r="HC85" s="869"/>
      <c r="HD85" s="869"/>
      <c r="HE85" s="869"/>
      <c r="HF85" s="869"/>
      <c r="HG85" s="869"/>
      <c r="HH85" s="869"/>
      <c r="HI85" s="869"/>
      <c r="HJ85" s="869"/>
      <c r="HK85" s="869"/>
      <c r="HL85" s="869"/>
      <c r="HM85" s="869"/>
      <c r="HN85" s="869"/>
      <c r="HO85" s="869"/>
      <c r="HP85" s="869"/>
      <c r="HQ85" s="869"/>
      <c r="HR85" s="869"/>
      <c r="HS85" s="869"/>
      <c r="HT85" s="869"/>
      <c r="HU85" s="869"/>
      <c r="HV85" s="869"/>
      <c r="HW85" s="869"/>
      <c r="HX85" s="869"/>
      <c r="HY85" s="869"/>
      <c r="HZ85" s="869"/>
      <c r="IA85" s="869"/>
      <c r="IB85" s="869"/>
      <c r="IC85" s="869"/>
      <c r="ID85" s="869"/>
      <c r="IE85" s="869"/>
      <c r="IF85" s="869"/>
      <c r="IG85" s="869"/>
      <c r="IH85" s="869"/>
      <c r="II85" s="869"/>
      <c r="IJ85" s="869"/>
      <c r="IK85" s="869"/>
      <c r="IL85" s="869"/>
      <c r="IM85" s="869"/>
      <c r="IN85" s="869"/>
      <c r="IO85" s="869"/>
      <c r="IP85" s="869"/>
      <c r="IQ85" s="869"/>
      <c r="IR85" s="869"/>
      <c r="IS85" s="869"/>
      <c r="IT85" s="869"/>
      <c r="IU85" s="869"/>
      <c r="IV85" s="869"/>
      <c r="IW85" s="869"/>
      <c r="IX85" s="869"/>
      <c r="IY85" s="869"/>
      <c r="IZ85" s="869"/>
      <c r="JA85" s="869"/>
      <c r="JB85" s="869"/>
      <c r="JC85" s="869"/>
      <c r="JD85" s="869"/>
    </row>
    <row r="86" spans="1:264" s="867" customFormat="1" ht="14.4" thickBot="1">
      <c r="A86" s="891" t="s">
        <v>2104</v>
      </c>
      <c r="B86" s="986">
        <f t="shared" ref="B86:AG86" si="0">SUM(B8:B85)/2</f>
        <v>0</v>
      </c>
      <c r="C86" s="986">
        <f t="shared" si="0"/>
        <v>0</v>
      </c>
      <c r="D86" s="986">
        <f t="shared" si="0"/>
        <v>0</v>
      </c>
      <c r="E86" s="986">
        <f t="shared" si="0"/>
        <v>0</v>
      </c>
      <c r="F86" s="986">
        <f t="shared" si="0"/>
        <v>0</v>
      </c>
      <c r="G86" s="986">
        <f t="shared" si="0"/>
        <v>0</v>
      </c>
      <c r="H86" s="986">
        <f t="shared" si="0"/>
        <v>0</v>
      </c>
      <c r="I86" s="892">
        <f t="shared" si="0"/>
        <v>0</v>
      </c>
      <c r="J86" s="892">
        <f t="shared" si="0"/>
        <v>0</v>
      </c>
      <c r="K86" s="892">
        <f t="shared" si="0"/>
        <v>0</v>
      </c>
      <c r="L86" s="892">
        <f t="shared" si="0"/>
        <v>0</v>
      </c>
      <c r="M86" s="892">
        <f t="shared" si="0"/>
        <v>0</v>
      </c>
      <c r="N86" s="892">
        <f t="shared" si="0"/>
        <v>0</v>
      </c>
      <c r="O86" s="892">
        <f t="shared" si="0"/>
        <v>0</v>
      </c>
      <c r="P86" s="892">
        <f t="shared" si="0"/>
        <v>0</v>
      </c>
      <c r="Q86" s="892">
        <f t="shared" si="0"/>
        <v>0</v>
      </c>
      <c r="R86" s="892">
        <f t="shared" si="0"/>
        <v>0</v>
      </c>
      <c r="S86" s="892">
        <f t="shared" si="0"/>
        <v>0</v>
      </c>
      <c r="T86" s="892">
        <f t="shared" si="0"/>
        <v>0</v>
      </c>
      <c r="U86" s="892">
        <f t="shared" si="0"/>
        <v>0</v>
      </c>
      <c r="V86" s="892">
        <f t="shared" si="0"/>
        <v>0</v>
      </c>
      <c r="W86" s="892">
        <f t="shared" si="0"/>
        <v>0</v>
      </c>
      <c r="X86" s="892">
        <f t="shared" si="0"/>
        <v>0</v>
      </c>
      <c r="Y86" s="892">
        <f t="shared" si="0"/>
        <v>0</v>
      </c>
      <c r="Z86" s="892">
        <f t="shared" si="0"/>
        <v>0</v>
      </c>
      <c r="AA86" s="892">
        <f t="shared" si="0"/>
        <v>0</v>
      </c>
      <c r="AB86" s="892">
        <f t="shared" si="0"/>
        <v>0</v>
      </c>
      <c r="AC86" s="892">
        <f t="shared" si="0"/>
        <v>0</v>
      </c>
      <c r="AD86" s="892">
        <f t="shared" si="0"/>
        <v>0</v>
      </c>
      <c r="AE86" s="892">
        <f t="shared" si="0"/>
        <v>0</v>
      </c>
      <c r="AF86" s="892">
        <f t="shared" si="0"/>
        <v>0</v>
      </c>
      <c r="AG86" s="892">
        <f t="shared" si="0"/>
        <v>0</v>
      </c>
      <c r="AH86" s="892">
        <f t="shared" ref="AH86:BM86" si="1">SUM(AH8:AH85)/2</f>
        <v>0</v>
      </c>
      <c r="AI86" s="892">
        <f t="shared" si="1"/>
        <v>0</v>
      </c>
      <c r="AJ86" s="892">
        <f t="shared" si="1"/>
        <v>0</v>
      </c>
      <c r="AK86" s="892">
        <f t="shared" si="1"/>
        <v>0</v>
      </c>
      <c r="AL86" s="892">
        <f t="shared" si="1"/>
        <v>0</v>
      </c>
      <c r="AM86" s="892">
        <f t="shared" si="1"/>
        <v>0</v>
      </c>
      <c r="AN86" s="892">
        <f t="shared" si="1"/>
        <v>0</v>
      </c>
      <c r="AO86" s="892">
        <f t="shared" si="1"/>
        <v>0</v>
      </c>
      <c r="AP86" s="892">
        <f t="shared" si="1"/>
        <v>0</v>
      </c>
      <c r="AQ86" s="892">
        <f t="shared" si="1"/>
        <v>0</v>
      </c>
      <c r="AR86" s="892">
        <f t="shared" si="1"/>
        <v>0</v>
      </c>
      <c r="AS86" s="892">
        <f t="shared" si="1"/>
        <v>0</v>
      </c>
      <c r="AT86" s="892">
        <f t="shared" si="1"/>
        <v>0</v>
      </c>
      <c r="AU86" s="892">
        <f t="shared" si="1"/>
        <v>0</v>
      </c>
      <c r="AV86" s="892">
        <f t="shared" si="1"/>
        <v>0</v>
      </c>
      <c r="AW86" s="892">
        <f t="shared" si="1"/>
        <v>0</v>
      </c>
      <c r="AX86" s="892">
        <f t="shared" si="1"/>
        <v>0</v>
      </c>
      <c r="AY86" s="892">
        <f t="shared" si="1"/>
        <v>0</v>
      </c>
      <c r="AZ86" s="892">
        <f t="shared" si="1"/>
        <v>0</v>
      </c>
      <c r="BA86" s="892">
        <f t="shared" si="1"/>
        <v>0</v>
      </c>
      <c r="BB86" s="892">
        <f t="shared" si="1"/>
        <v>0</v>
      </c>
      <c r="BC86" s="892">
        <f t="shared" si="1"/>
        <v>0</v>
      </c>
      <c r="BD86" s="892">
        <f t="shared" si="1"/>
        <v>0</v>
      </c>
      <c r="BE86" s="892">
        <f t="shared" si="1"/>
        <v>0</v>
      </c>
      <c r="BF86" s="892">
        <f t="shared" si="1"/>
        <v>0</v>
      </c>
      <c r="BG86" s="892">
        <f t="shared" si="1"/>
        <v>0</v>
      </c>
      <c r="BH86" s="892">
        <f t="shared" si="1"/>
        <v>0</v>
      </c>
      <c r="BI86" s="892">
        <f t="shared" si="1"/>
        <v>0</v>
      </c>
      <c r="BJ86" s="892">
        <f t="shared" si="1"/>
        <v>0</v>
      </c>
      <c r="BK86" s="892">
        <f t="shared" si="1"/>
        <v>0</v>
      </c>
      <c r="BL86" s="892">
        <f t="shared" si="1"/>
        <v>0</v>
      </c>
      <c r="BM86" s="892">
        <f t="shared" si="1"/>
        <v>0</v>
      </c>
      <c r="BN86" s="892">
        <f t="shared" ref="BN86:CS86" si="2">SUM(BN8:BN85)/2</f>
        <v>0</v>
      </c>
      <c r="BO86" s="892">
        <f t="shared" si="2"/>
        <v>0</v>
      </c>
      <c r="BP86" s="892">
        <f t="shared" si="2"/>
        <v>0</v>
      </c>
      <c r="BQ86" s="892">
        <f t="shared" si="2"/>
        <v>0</v>
      </c>
      <c r="BR86" s="892">
        <f t="shared" si="2"/>
        <v>0</v>
      </c>
      <c r="BS86" s="892">
        <f t="shared" si="2"/>
        <v>0</v>
      </c>
      <c r="BT86" s="892">
        <f t="shared" si="2"/>
        <v>0</v>
      </c>
      <c r="BU86" s="892">
        <f t="shared" si="2"/>
        <v>0</v>
      </c>
      <c r="BV86" s="892">
        <f t="shared" si="2"/>
        <v>0</v>
      </c>
      <c r="BW86" s="892">
        <f t="shared" si="2"/>
        <v>0</v>
      </c>
      <c r="BX86" s="892">
        <f t="shared" si="2"/>
        <v>0</v>
      </c>
      <c r="BY86" s="892">
        <f t="shared" si="2"/>
        <v>0</v>
      </c>
      <c r="BZ86" s="892">
        <f t="shared" si="2"/>
        <v>0</v>
      </c>
      <c r="CA86" s="892">
        <f t="shared" si="2"/>
        <v>0</v>
      </c>
      <c r="CB86" s="892">
        <f t="shared" si="2"/>
        <v>0</v>
      </c>
      <c r="CC86" s="892">
        <f t="shared" si="2"/>
        <v>0</v>
      </c>
      <c r="CD86" s="892">
        <f t="shared" si="2"/>
        <v>0</v>
      </c>
      <c r="CE86" s="892">
        <f t="shared" si="2"/>
        <v>0</v>
      </c>
      <c r="CF86" s="892">
        <f t="shared" si="2"/>
        <v>0</v>
      </c>
      <c r="CG86" s="892">
        <f t="shared" si="2"/>
        <v>0</v>
      </c>
      <c r="CH86" s="892">
        <f t="shared" si="2"/>
        <v>0</v>
      </c>
      <c r="CI86" s="892">
        <f t="shared" si="2"/>
        <v>0</v>
      </c>
      <c r="CJ86" s="892">
        <f t="shared" si="2"/>
        <v>0</v>
      </c>
      <c r="CK86" s="892">
        <f t="shared" si="2"/>
        <v>0</v>
      </c>
      <c r="CL86" s="892">
        <f t="shared" si="2"/>
        <v>0</v>
      </c>
      <c r="CM86" s="892">
        <f t="shared" si="2"/>
        <v>0</v>
      </c>
      <c r="CN86" s="892">
        <f t="shared" si="2"/>
        <v>0</v>
      </c>
      <c r="CO86" s="892">
        <f t="shared" si="2"/>
        <v>0</v>
      </c>
      <c r="CP86" s="892">
        <f t="shared" si="2"/>
        <v>0</v>
      </c>
      <c r="CQ86" s="892">
        <f t="shared" si="2"/>
        <v>0</v>
      </c>
      <c r="CR86" s="892">
        <f t="shared" si="2"/>
        <v>0</v>
      </c>
      <c r="CS86" s="892">
        <f t="shared" si="2"/>
        <v>0</v>
      </c>
      <c r="CT86" s="892">
        <f t="shared" ref="CT86:DK86" si="3">SUM(CT8:CT85)/2</f>
        <v>0</v>
      </c>
      <c r="CU86" s="892">
        <f t="shared" si="3"/>
        <v>0</v>
      </c>
      <c r="CV86" s="986">
        <f t="shared" si="3"/>
        <v>0</v>
      </c>
      <c r="CW86" s="892">
        <f t="shared" si="3"/>
        <v>0</v>
      </c>
      <c r="CX86" s="892">
        <f t="shared" si="3"/>
        <v>0</v>
      </c>
      <c r="CY86" s="892">
        <f t="shared" si="3"/>
        <v>0</v>
      </c>
      <c r="CZ86" s="892">
        <f t="shared" si="3"/>
        <v>0</v>
      </c>
      <c r="DA86" s="892">
        <f t="shared" si="3"/>
        <v>0</v>
      </c>
      <c r="DB86" s="892">
        <f t="shared" si="3"/>
        <v>0</v>
      </c>
      <c r="DC86" s="892">
        <f t="shared" si="3"/>
        <v>0</v>
      </c>
      <c r="DD86" s="892">
        <f t="shared" si="3"/>
        <v>0</v>
      </c>
      <c r="DE86" s="892">
        <f t="shared" si="3"/>
        <v>0</v>
      </c>
      <c r="DF86" s="892">
        <f t="shared" si="3"/>
        <v>0</v>
      </c>
      <c r="DG86" s="892">
        <f t="shared" si="3"/>
        <v>0</v>
      </c>
      <c r="DH86" s="892">
        <f t="shared" si="3"/>
        <v>0</v>
      </c>
      <c r="DI86" s="892">
        <f t="shared" si="3"/>
        <v>0</v>
      </c>
      <c r="DJ86" s="892">
        <f t="shared" si="3"/>
        <v>0</v>
      </c>
      <c r="DK86" s="892">
        <f t="shared" si="3"/>
        <v>0</v>
      </c>
      <c r="DL86" s="893"/>
      <c r="DN86" s="409"/>
      <c r="DO86" s="409"/>
      <c r="DP86" s="409"/>
      <c r="DQ86" s="409"/>
      <c r="DR86" s="409"/>
      <c r="DS86" s="409"/>
      <c r="DT86" s="409"/>
      <c r="DU86" s="409"/>
      <c r="DV86" s="409"/>
      <c r="DW86" s="409"/>
      <c r="DX86" s="409"/>
      <c r="DY86" s="409"/>
      <c r="DZ86" s="409"/>
      <c r="EA86" s="409"/>
      <c r="EB86" s="409"/>
      <c r="EC86" s="409"/>
      <c r="ED86" s="409"/>
      <c r="EE86" s="409"/>
      <c r="EF86" s="409"/>
      <c r="EG86" s="409"/>
      <c r="EH86" s="409"/>
      <c r="EI86" s="409"/>
      <c r="EJ86" s="409"/>
      <c r="EK86" s="409"/>
      <c r="EL86" s="409"/>
      <c r="EM86" s="409"/>
      <c r="EN86" s="409"/>
      <c r="EO86" s="409"/>
      <c r="EP86" s="409"/>
      <c r="EQ86" s="409"/>
      <c r="ER86" s="409"/>
      <c r="ES86" s="409"/>
      <c r="ET86" s="409"/>
      <c r="EU86" s="409"/>
      <c r="EV86" s="409"/>
      <c r="EW86" s="409"/>
      <c r="EX86" s="409"/>
      <c r="EY86" s="409"/>
      <c r="EZ86" s="409"/>
      <c r="FA86" s="409"/>
      <c r="FB86" s="409"/>
      <c r="FC86" s="409"/>
      <c r="FD86" s="409"/>
      <c r="FE86" s="409"/>
      <c r="FF86" s="409"/>
      <c r="FG86" s="409"/>
      <c r="FH86" s="409"/>
      <c r="FI86" s="409"/>
      <c r="FJ86" s="409"/>
      <c r="FK86" s="409"/>
      <c r="FL86" s="409"/>
      <c r="FM86" s="409"/>
      <c r="FN86" s="409"/>
      <c r="FO86" s="409"/>
      <c r="FP86" s="409"/>
      <c r="FQ86" s="409"/>
      <c r="FR86" s="409"/>
      <c r="FS86" s="409"/>
      <c r="FT86" s="409"/>
      <c r="FU86" s="409"/>
      <c r="FV86" s="409"/>
      <c r="FW86" s="409"/>
      <c r="FX86" s="409"/>
      <c r="FY86" s="409"/>
      <c r="FZ86" s="409"/>
      <c r="GA86" s="409"/>
      <c r="GB86" s="409"/>
      <c r="GC86" s="409"/>
      <c r="GD86" s="409"/>
      <c r="GE86" s="409"/>
      <c r="GF86" s="409"/>
      <c r="GG86" s="409"/>
      <c r="GH86" s="409"/>
      <c r="GI86" s="409"/>
      <c r="GJ86" s="409"/>
      <c r="GK86" s="409"/>
      <c r="GL86" s="409"/>
      <c r="GM86" s="409"/>
      <c r="GN86" s="409"/>
      <c r="GO86" s="409"/>
      <c r="GP86" s="409"/>
      <c r="GQ86" s="409"/>
      <c r="GR86" s="409"/>
      <c r="GS86" s="409"/>
      <c r="GT86" s="409"/>
      <c r="GU86" s="409"/>
      <c r="GV86" s="409"/>
      <c r="GW86" s="409"/>
      <c r="GX86" s="409"/>
      <c r="GY86" s="409"/>
      <c r="GZ86" s="409"/>
      <c r="HA86" s="409"/>
      <c r="HB86" s="409"/>
      <c r="HC86" s="409"/>
      <c r="HD86" s="409"/>
      <c r="HE86" s="409"/>
      <c r="HF86" s="409"/>
      <c r="HG86" s="409"/>
      <c r="HH86" s="409"/>
      <c r="HI86" s="409"/>
      <c r="HJ86" s="409"/>
      <c r="HK86" s="409"/>
      <c r="HL86" s="409"/>
      <c r="HM86" s="409"/>
      <c r="HN86" s="409"/>
      <c r="HO86" s="409"/>
      <c r="HP86" s="409"/>
      <c r="HQ86" s="409"/>
      <c r="HR86" s="409"/>
      <c r="HS86" s="409"/>
      <c r="HT86" s="409"/>
      <c r="HU86" s="409"/>
      <c r="HV86" s="409"/>
      <c r="HW86" s="409"/>
      <c r="HX86" s="409"/>
      <c r="HY86" s="409"/>
      <c r="HZ86" s="409"/>
      <c r="IA86" s="409"/>
      <c r="IB86" s="409"/>
      <c r="IC86" s="409"/>
      <c r="ID86" s="409"/>
      <c r="IE86" s="409"/>
      <c r="IF86" s="409"/>
      <c r="IG86" s="409"/>
      <c r="IH86" s="409"/>
      <c r="II86" s="409"/>
      <c r="IJ86" s="409"/>
      <c r="IK86" s="409"/>
      <c r="IL86" s="409"/>
      <c r="IM86" s="409"/>
      <c r="IN86" s="409"/>
      <c r="IO86" s="409"/>
      <c r="IP86" s="409"/>
      <c r="IQ86" s="409"/>
      <c r="IR86" s="409"/>
      <c r="IS86" s="409"/>
      <c r="IT86" s="409"/>
      <c r="IU86" s="409"/>
      <c r="IV86" s="409"/>
      <c r="IW86" s="409"/>
      <c r="IX86" s="409"/>
      <c r="IY86" s="409"/>
      <c r="IZ86" s="409"/>
      <c r="JA86" s="409"/>
      <c r="JB86" s="409"/>
      <c r="JC86" s="409"/>
      <c r="JD86" s="409"/>
    </row>
    <row r="87" spans="1:264" s="867" customFormat="1" ht="14.4" thickTop="1">
      <c r="I87" s="473"/>
      <c r="J87" s="468">
        <f>COUNTIF($J$8:$J$86,"G")</f>
        <v>0</v>
      </c>
      <c r="CJ87" s="867">
        <f>COUNTIF($CJ$8:$CJ$86,)</f>
        <v>1</v>
      </c>
      <c r="DN87" s="409"/>
      <c r="DO87" s="409"/>
      <c r="DP87" s="409"/>
      <c r="DQ87" s="409"/>
      <c r="DR87" s="409"/>
      <c r="DS87" s="409"/>
      <c r="DT87" s="409"/>
      <c r="DU87" s="409"/>
      <c r="DV87" s="409"/>
      <c r="DW87" s="409"/>
      <c r="DX87" s="409"/>
      <c r="DY87" s="409"/>
      <c r="DZ87" s="409"/>
      <c r="EA87" s="409"/>
      <c r="EB87" s="409"/>
      <c r="EC87" s="409"/>
      <c r="ED87" s="409"/>
      <c r="EE87" s="409"/>
      <c r="EF87" s="409"/>
      <c r="EG87" s="409"/>
      <c r="EH87" s="409"/>
      <c r="EI87" s="409"/>
      <c r="EJ87" s="409"/>
      <c r="EK87" s="409"/>
      <c r="EL87" s="409"/>
      <c r="EM87" s="409"/>
      <c r="EN87" s="409"/>
      <c r="EO87" s="409"/>
      <c r="EP87" s="409"/>
      <c r="EQ87" s="409"/>
      <c r="ER87" s="409"/>
      <c r="ES87" s="409"/>
      <c r="ET87" s="409"/>
      <c r="EU87" s="409"/>
      <c r="EV87" s="409"/>
      <c r="EW87" s="409"/>
      <c r="EX87" s="409"/>
      <c r="EY87" s="409"/>
      <c r="EZ87" s="409"/>
      <c r="FA87" s="409"/>
      <c r="FB87" s="409"/>
      <c r="FC87" s="409"/>
      <c r="FD87" s="409"/>
      <c r="FE87" s="409"/>
      <c r="FF87" s="409"/>
      <c r="FG87" s="409"/>
      <c r="FH87" s="409"/>
      <c r="FI87" s="409"/>
      <c r="FJ87" s="409"/>
      <c r="FK87" s="409"/>
      <c r="FL87" s="409"/>
      <c r="FM87" s="409"/>
      <c r="FN87" s="409"/>
      <c r="FO87" s="409"/>
      <c r="FP87" s="409"/>
      <c r="FQ87" s="409"/>
      <c r="FR87" s="409"/>
      <c r="FS87" s="409"/>
      <c r="FT87" s="409"/>
      <c r="FU87" s="409"/>
      <c r="FV87" s="409"/>
      <c r="FW87" s="409"/>
      <c r="FX87" s="409"/>
      <c r="FY87" s="409"/>
      <c r="FZ87" s="409"/>
      <c r="GA87" s="409"/>
      <c r="GB87" s="409"/>
      <c r="GC87" s="409"/>
      <c r="GD87" s="409"/>
      <c r="GE87" s="409"/>
      <c r="GF87" s="409"/>
      <c r="GG87" s="409"/>
      <c r="GH87" s="409"/>
      <c r="GI87" s="409"/>
      <c r="GJ87" s="409"/>
      <c r="GK87" s="409"/>
      <c r="GL87" s="409"/>
      <c r="GM87" s="409"/>
      <c r="GN87" s="409"/>
      <c r="GO87" s="409"/>
      <c r="GP87" s="409"/>
      <c r="GQ87" s="409"/>
      <c r="GR87" s="409"/>
      <c r="GS87" s="409"/>
      <c r="GT87" s="409"/>
      <c r="GU87" s="409"/>
      <c r="GV87" s="409"/>
      <c r="GW87" s="409"/>
      <c r="GX87" s="409"/>
      <c r="GY87" s="409"/>
      <c r="GZ87" s="409"/>
      <c r="HA87" s="409"/>
      <c r="HB87" s="409"/>
      <c r="HC87" s="409"/>
      <c r="HD87" s="409"/>
      <c r="HE87" s="409"/>
      <c r="HF87" s="409"/>
      <c r="HG87" s="409"/>
      <c r="HH87" s="409"/>
      <c r="HI87" s="409"/>
      <c r="HJ87" s="409"/>
      <c r="HK87" s="409"/>
      <c r="HL87" s="409"/>
      <c r="HM87" s="409"/>
      <c r="HN87" s="409"/>
      <c r="HO87" s="409"/>
      <c r="HP87" s="409"/>
      <c r="HQ87" s="409"/>
      <c r="HR87" s="409"/>
      <c r="HS87" s="409"/>
      <c r="HT87" s="409"/>
      <c r="HU87" s="409"/>
      <c r="HV87" s="409"/>
      <c r="HW87" s="409"/>
      <c r="HX87" s="409"/>
      <c r="HY87" s="409"/>
      <c r="HZ87" s="409"/>
      <c r="IA87" s="409"/>
      <c r="IB87" s="409"/>
      <c r="IC87" s="409"/>
      <c r="ID87" s="409"/>
      <c r="IE87" s="409"/>
      <c r="IF87" s="409"/>
      <c r="IG87" s="409"/>
      <c r="IH87" s="409"/>
      <c r="II87" s="409"/>
      <c r="IJ87" s="409"/>
      <c r="IK87" s="409"/>
      <c r="IL87" s="409"/>
      <c r="IM87" s="409"/>
      <c r="IN87" s="409"/>
      <c r="IO87" s="409"/>
      <c r="IP87" s="409"/>
      <c r="IQ87" s="409"/>
      <c r="IR87" s="409"/>
      <c r="IS87" s="409"/>
      <c r="IT87" s="409"/>
      <c r="IU87" s="409"/>
      <c r="IV87" s="409"/>
      <c r="IW87" s="409"/>
      <c r="IX87" s="409"/>
      <c r="IY87" s="409"/>
      <c r="IZ87" s="409"/>
      <c r="JA87" s="409"/>
      <c r="JB87" s="409"/>
      <c r="JC87" s="409"/>
      <c r="JD87" s="409"/>
    </row>
    <row r="88" spans="1:264" s="10" customFormat="1" ht="17.100000000000001" customHeight="1">
      <c r="A88" s="10" t="s">
        <v>2127</v>
      </c>
      <c r="C88" s="11">
        <f>+C86</f>
        <v>0</v>
      </c>
      <c r="I88" s="1035"/>
      <c r="J88" s="468">
        <f>COUNTIF($J$8:$J$86,"GDT")</f>
        <v>0</v>
      </c>
      <c r="DL88" s="1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</row>
    <row r="89" spans="1:264" s="10" customFormat="1" ht="17.100000000000001" customHeight="1">
      <c r="A89" s="10" t="s">
        <v>3988</v>
      </c>
      <c r="C89" s="11">
        <f>+D86</f>
        <v>0</v>
      </c>
      <c r="I89" s="473"/>
      <c r="J89" s="468">
        <f>COUNTIF($J$8:$J$86,"2DT")</f>
        <v>0</v>
      </c>
      <c r="DL89" s="1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</row>
    <row r="90" spans="1:264" s="10" customFormat="1" ht="17.100000000000001" customHeight="1">
      <c r="A90" s="10" t="s">
        <v>3989</v>
      </c>
      <c r="C90" s="11">
        <f>+E86</f>
        <v>0</v>
      </c>
      <c r="I90" s="473"/>
      <c r="J90" s="468">
        <f>COUNTIF($J$8:$J$86,"3DT")</f>
        <v>0</v>
      </c>
      <c r="DL90" s="1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</row>
    <row r="91" spans="1:264" s="10" customFormat="1" ht="17.100000000000001" customHeight="1">
      <c r="A91" s="10" t="s">
        <v>3990</v>
      </c>
      <c r="C91" s="11">
        <f>+F86</f>
        <v>0</v>
      </c>
      <c r="I91" s="473"/>
      <c r="J91" s="468">
        <f>COUNTIF($J$8:$J$86,"I")</f>
        <v>0</v>
      </c>
      <c r="DL91" s="1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</row>
    <row r="92" spans="1:264" s="10" customFormat="1" ht="17.100000000000001" customHeight="1">
      <c r="A92" s="10" t="s">
        <v>472</v>
      </c>
      <c r="C92" s="10">
        <f>+C86+D86+E86+F86+G86+H86*2</f>
        <v>0</v>
      </c>
      <c r="I92" s="473"/>
      <c r="J92" s="468">
        <f>COUNTIF($J$8:$J$86,"IDT")</f>
        <v>0</v>
      </c>
      <c r="DL92" s="1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</row>
    <row r="93" spans="1:264" s="10" customFormat="1" ht="17.100000000000001" customHeight="1">
      <c r="A93" s="10" t="s">
        <v>876</v>
      </c>
      <c r="C93" s="10">
        <f>+G86*3</f>
        <v>0</v>
      </c>
      <c r="I93" s="11"/>
      <c r="DL93" s="1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</row>
    <row r="94" spans="1:264" s="10" customFormat="1" ht="17.100000000000001" customHeight="1">
      <c r="I94" s="11"/>
      <c r="DL94" s="1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</row>
    <row r="95" spans="1:264" s="10" customFormat="1" ht="17.100000000000001" customHeight="1">
      <c r="I95" s="11"/>
      <c r="DL95" s="1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</row>
    <row r="96" spans="1:264" s="10" customFormat="1" ht="17.100000000000001" customHeight="1">
      <c r="I96" s="11"/>
      <c r="DL96" s="1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</row>
    <row r="97" spans="9:264" s="10" customFormat="1" ht="17.100000000000001" customHeight="1">
      <c r="I97" s="11"/>
      <c r="DL97" s="1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</row>
    <row r="98" spans="9:264" ht="15" customHeight="1"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</row>
    <row r="99" spans="9:264" ht="15" customHeight="1"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</row>
    <row r="100" spans="9:264" ht="15" customHeight="1"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</row>
    <row r="101" spans="9:264" ht="15" customHeight="1"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</row>
    <row r="102" spans="9:264" ht="15" customHeight="1"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</row>
    <row r="103" spans="9:264" ht="15" customHeight="1"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</row>
    <row r="104" spans="9:264" ht="15" customHeight="1"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</row>
    <row r="105" spans="9:264" ht="15" customHeight="1"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</row>
    <row r="106" spans="9:264" ht="15" customHeight="1"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</row>
    <row r="107" spans="9:264" ht="15" customHeight="1"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</row>
    <row r="108" spans="9:264" ht="15" customHeight="1"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</row>
    <row r="109" spans="9:264" ht="15" customHeight="1"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</row>
    <row r="110" spans="9:264" ht="15" customHeight="1"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</row>
    <row r="111" spans="9:264" ht="15" customHeight="1"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</row>
    <row r="112" spans="9:264" ht="15" customHeight="1"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</row>
    <row r="113" spans="118:264" ht="15" customHeight="1"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</row>
    <row r="114" spans="118:264" ht="15" customHeight="1"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</row>
    <row r="115" spans="118:264" ht="15" customHeight="1"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</row>
    <row r="116" spans="118:264" ht="15" customHeight="1"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</row>
    <row r="117" spans="118:264" ht="15" customHeight="1"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</row>
    <row r="118" spans="118:264" ht="15" customHeight="1"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</row>
    <row r="119" spans="118:264" ht="15" customHeight="1"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</row>
    <row r="120" spans="118:264" ht="15" customHeight="1"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</row>
    <row r="121" spans="118:264" ht="15" customHeight="1"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</row>
    <row r="122" spans="118:264" ht="15" customHeight="1"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</row>
    <row r="123" spans="118:264" ht="15" customHeight="1"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</row>
    <row r="124" spans="118:264" ht="15" customHeight="1"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</row>
    <row r="125" spans="118:264" ht="15" customHeight="1"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</row>
    <row r="126" spans="118:264" ht="15" customHeight="1"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</row>
    <row r="127" spans="118:264" ht="15" customHeight="1"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</row>
    <row r="128" spans="118:264" ht="15" customHeight="1"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</row>
    <row r="129" spans="118:264" ht="15" customHeight="1"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</row>
    <row r="130" spans="118:264" ht="15" customHeight="1"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</row>
    <row r="131" spans="118:264" ht="15" customHeight="1"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</row>
    <row r="132" spans="118:264" ht="15" customHeight="1"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</row>
    <row r="133" spans="118:264" ht="15" customHeight="1"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</row>
    <row r="134" spans="118:264" ht="15" customHeight="1"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</row>
    <row r="135" spans="118:264" ht="15" customHeight="1"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</row>
    <row r="136" spans="118:264" ht="15" customHeight="1"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</row>
    <row r="137" spans="118:264" ht="15" customHeight="1"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</row>
    <row r="138" spans="118:264" ht="15" customHeight="1"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</row>
    <row r="139" spans="118:264" ht="15" customHeight="1"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</row>
    <row r="140" spans="118:264" ht="15" customHeight="1"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</row>
    <row r="141" spans="118:264" ht="15" customHeight="1"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</row>
    <row r="142" spans="118:264" ht="15" customHeight="1"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</row>
    <row r="143" spans="118:264" ht="15" customHeight="1"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</row>
    <row r="144" spans="118:264" ht="15" customHeight="1"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</row>
    <row r="145" spans="118:264" ht="15" customHeight="1"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</row>
    <row r="146" spans="118:264" ht="15" customHeight="1"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</row>
    <row r="147" spans="118:264" ht="15" customHeight="1"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</row>
    <row r="148" spans="118:264" ht="15" customHeight="1"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</row>
    <row r="149" spans="118:264" ht="15" customHeight="1"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</row>
    <row r="150" spans="118:264" ht="15" customHeight="1"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</row>
    <row r="151" spans="118:264" ht="15" customHeight="1"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</row>
    <row r="152" spans="118:264" ht="15" customHeight="1"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</row>
    <row r="153" spans="118:264" ht="15" customHeight="1"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</row>
    <row r="154" spans="118:264" ht="15" customHeight="1"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</row>
    <row r="155" spans="118:264" ht="15" customHeight="1"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</row>
    <row r="156" spans="118:264" ht="15" customHeight="1"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</row>
    <row r="157" spans="118:264" ht="15" customHeight="1"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</row>
    <row r="158" spans="118:264" ht="15" customHeight="1"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</row>
    <row r="159" spans="118:264" ht="15" customHeight="1"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</row>
    <row r="160" spans="118:264" ht="15" customHeight="1"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</row>
    <row r="161" spans="118:264" ht="15" customHeight="1"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</row>
    <row r="162" spans="118:264" ht="15" customHeight="1"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</row>
    <row r="163" spans="118:264" ht="15" customHeight="1"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</row>
    <row r="164" spans="118:264" ht="15" customHeight="1"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</row>
    <row r="165" spans="118:264" ht="15" customHeight="1"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</row>
    <row r="166" spans="118:264" ht="15" customHeight="1"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</row>
    <row r="167" spans="118:264" ht="15" customHeight="1"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</row>
    <row r="168" spans="118:264" ht="15" customHeight="1"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</row>
    <row r="169" spans="118:264" ht="15" customHeight="1"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</row>
    <row r="170" spans="118:264" ht="15" customHeight="1"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</row>
    <row r="171" spans="118:264" ht="15" customHeight="1"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</row>
    <row r="172" spans="118:264" ht="15" customHeight="1"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</row>
    <row r="173" spans="118:264" ht="15" customHeight="1"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</row>
    <row r="174" spans="118:264" ht="15" customHeight="1"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</row>
    <row r="175" spans="118:264" ht="15" customHeight="1"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</row>
    <row r="176" spans="118:264" ht="15" customHeight="1"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</row>
    <row r="177" spans="118:264" ht="15" customHeight="1"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</row>
    <row r="178" spans="118:264" ht="15" customHeight="1"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</row>
    <row r="179" spans="118:264" ht="15" customHeight="1"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</row>
    <row r="180" spans="118:264" ht="15" customHeight="1"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</row>
    <row r="181" spans="118:264" ht="15" customHeight="1"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</row>
    <row r="182" spans="118:264" ht="15" customHeight="1"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</row>
    <row r="183" spans="118:264" ht="15" customHeight="1"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</row>
    <row r="184" spans="118:264" ht="15" customHeight="1"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</row>
    <row r="185" spans="118:264" ht="15" customHeight="1"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</row>
    <row r="186" spans="118:264" ht="15" customHeight="1"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</row>
    <row r="187" spans="118:264" ht="15" customHeight="1"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</row>
    <row r="188" spans="118:264" ht="15" customHeight="1"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</row>
    <row r="189" spans="118:264" ht="15" customHeight="1"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</row>
    <row r="190" spans="118:264" ht="15" customHeight="1"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</row>
    <row r="191" spans="118:264" ht="15" customHeight="1"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</row>
    <row r="192" spans="118:264" ht="15" customHeight="1"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</row>
    <row r="193" spans="118:264" ht="15" customHeight="1"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</row>
    <row r="194" spans="118:264" ht="15" customHeight="1"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</row>
    <row r="195" spans="118:264" ht="15" customHeight="1"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</row>
    <row r="196" spans="118:264" ht="15" customHeight="1"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</row>
    <row r="197" spans="118:264" ht="15" customHeight="1"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</row>
    <row r="198" spans="118:264" ht="15" customHeight="1"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</row>
    <row r="199" spans="118:264" ht="15" customHeight="1"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</row>
    <row r="200" spans="118:264" ht="15" customHeight="1"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</row>
    <row r="201" spans="118:264" ht="15" customHeight="1"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</row>
    <row r="202" spans="118:264" ht="15" customHeight="1"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</row>
    <row r="203" spans="118:264" ht="15" customHeight="1"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</row>
    <row r="204" spans="118:264" ht="15" customHeight="1"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</row>
    <row r="205" spans="118:264" ht="15" customHeight="1"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</row>
    <row r="206" spans="118:264" ht="15" customHeight="1"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</row>
    <row r="207" spans="118:264" ht="15" customHeight="1"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</row>
    <row r="208" spans="118:264" ht="15" customHeight="1"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</row>
    <row r="209" spans="118:264" ht="15" customHeight="1"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</row>
    <row r="210" spans="118:264" ht="15" customHeight="1"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</row>
    <row r="211" spans="118:264" ht="15" customHeight="1"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</row>
    <row r="212" spans="118:264" ht="15" customHeight="1"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</row>
    <row r="213" spans="118:264" ht="15" customHeight="1"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</row>
    <row r="214" spans="118:264" ht="15" customHeight="1"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</row>
    <row r="215" spans="118:264" ht="15" customHeight="1"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</row>
    <row r="216" spans="118:264" ht="18.899999999999999" customHeight="1"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</row>
    <row r="217" spans="118:264" ht="18.899999999999999" customHeight="1"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</row>
    <row r="218" spans="118:264" ht="18.899999999999999" customHeight="1"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</row>
    <row r="219" spans="118:264" ht="18.899999999999999" customHeight="1"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</row>
    <row r="220" spans="118:264" ht="18.899999999999999" customHeight="1"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</row>
    <row r="221" spans="118:264" ht="18.899999999999999" customHeight="1"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</row>
    <row r="222" spans="118:264" ht="18.899999999999999" customHeight="1"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</row>
    <row r="223" spans="118:264" ht="18.899999999999999" customHeight="1"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</row>
    <row r="224" spans="118:264" ht="18.899999999999999" customHeight="1"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</row>
    <row r="225" spans="118:264" ht="18.899999999999999" customHeight="1"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</row>
    <row r="226" spans="118:264" ht="18.899999999999999" customHeight="1"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</row>
    <row r="227" spans="118:264" ht="18.899999999999999" customHeight="1"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</row>
    <row r="228" spans="118:264" ht="18.899999999999999" customHeight="1"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</row>
    <row r="229" spans="118:264" ht="18.899999999999999" customHeight="1"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</row>
    <row r="230" spans="118:264" ht="18.899999999999999" customHeight="1"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</row>
    <row r="231" spans="118:264" ht="18.899999999999999" customHeight="1"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</row>
    <row r="232" spans="118:264" ht="18.899999999999999" customHeight="1"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</row>
    <row r="233" spans="118:264" ht="18.899999999999999" customHeight="1"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</row>
    <row r="234" spans="118:264" ht="18.899999999999999" customHeight="1"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</row>
    <row r="235" spans="118:264" ht="18.899999999999999" customHeight="1"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</row>
    <row r="236" spans="118:264" ht="18.899999999999999" customHeight="1"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</row>
    <row r="237" spans="118:264" ht="18.899999999999999" customHeight="1"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</row>
    <row r="238" spans="118:264" ht="18.899999999999999" customHeight="1"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</row>
    <row r="239" spans="118:264" ht="18.899999999999999" customHeight="1"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</row>
    <row r="240" spans="118:264" ht="18.899999999999999" customHeight="1"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</row>
    <row r="241" spans="118:264" ht="18.899999999999999" customHeight="1"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</row>
    <row r="242" spans="118:264" ht="18.899999999999999" customHeight="1"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</row>
    <row r="243" spans="118:264" ht="18.899999999999999" customHeight="1"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</row>
    <row r="244" spans="118:264" ht="18.899999999999999" customHeight="1"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</row>
    <row r="245" spans="118:264" ht="18.899999999999999" customHeight="1"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</row>
    <row r="246" spans="118:264" ht="18.899999999999999" customHeight="1"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</row>
    <row r="247" spans="118:264" ht="18.899999999999999" customHeight="1"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</row>
    <row r="248" spans="118:264" ht="18.899999999999999" customHeight="1"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</row>
    <row r="249" spans="118:264" ht="18.899999999999999" customHeight="1"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</row>
    <row r="250" spans="118:264" ht="18.899999999999999" customHeight="1"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</row>
    <row r="251" spans="118:264" ht="18.899999999999999" customHeight="1"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</row>
    <row r="252" spans="118:264" ht="18.899999999999999" customHeight="1"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</row>
    <row r="253" spans="118:264" ht="18.899999999999999" customHeight="1"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</row>
    <row r="254" spans="118:264" ht="18.899999999999999" customHeight="1"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</row>
    <row r="255" spans="118:264" ht="18.899999999999999" customHeight="1"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</row>
    <row r="256" spans="118:264" ht="18.899999999999999" customHeight="1"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</row>
    <row r="257" spans="118:264" ht="18.899999999999999" customHeight="1"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</row>
    <row r="258" spans="118:264" ht="18.899999999999999" customHeight="1"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</row>
    <row r="259" spans="118:264" ht="18.899999999999999" customHeight="1"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</row>
    <row r="260" spans="118:264" ht="18.899999999999999" customHeight="1"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</row>
    <row r="261" spans="118:264" ht="18.899999999999999" customHeight="1"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</row>
    <row r="262" spans="118:264" ht="18.899999999999999" customHeight="1"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</row>
    <row r="263" spans="118:264" ht="18.899999999999999" customHeight="1"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</row>
    <row r="264" spans="118:264" ht="18.899999999999999" customHeight="1"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</row>
    <row r="265" spans="118:264" ht="18.899999999999999" customHeight="1"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</row>
    <row r="266" spans="118:264" ht="18.899999999999999" customHeight="1"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</row>
    <row r="267" spans="118:264" ht="18.899999999999999" customHeight="1"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</row>
    <row r="268" spans="118:264" ht="18.899999999999999" customHeight="1"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</row>
    <row r="269" spans="118:264" ht="18.899999999999999" customHeight="1"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</row>
    <row r="270" spans="118:264" ht="18.899999999999999" customHeight="1"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</row>
    <row r="271" spans="118:264" ht="18.899999999999999" customHeight="1"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</row>
    <row r="272" spans="118:264" ht="18.899999999999999" customHeight="1"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</row>
    <row r="273" spans="118:264" ht="18.899999999999999" customHeight="1"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</row>
    <row r="274" spans="118:264" ht="18.899999999999999" customHeight="1"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</row>
    <row r="275" spans="118:264" ht="18.899999999999999" customHeight="1"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</row>
    <row r="276" spans="118:264" ht="18.899999999999999" customHeight="1"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</row>
    <row r="277" spans="118:264" ht="18.899999999999999" customHeight="1"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</row>
    <row r="278" spans="118:264" ht="18.899999999999999" customHeight="1"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</row>
    <row r="279" spans="118:264" ht="18.899999999999999" customHeight="1"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</row>
    <row r="280" spans="118:264" ht="18.899999999999999" customHeight="1"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</row>
    <row r="281" spans="118:264" ht="18.899999999999999" customHeight="1"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</row>
    <row r="282" spans="118:264" ht="18.899999999999999" customHeight="1"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</row>
    <row r="283" spans="118:264" ht="18.899999999999999" customHeight="1"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</row>
    <row r="284" spans="118:264" ht="18.899999999999999" customHeight="1"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</row>
    <row r="285" spans="118:264" ht="18.899999999999999" customHeight="1"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</row>
    <row r="286" spans="118:264" ht="18.899999999999999" customHeight="1"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</row>
    <row r="287" spans="118:264" ht="18.899999999999999" customHeight="1"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</row>
    <row r="288" spans="118:264" ht="18.899999999999999" customHeight="1"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</row>
    <row r="289" spans="118:264" ht="18.899999999999999" customHeight="1"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</row>
    <row r="290" spans="118:264" ht="18.899999999999999" customHeight="1"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</row>
    <row r="291" spans="118:264" ht="18.899999999999999" customHeight="1"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</row>
    <row r="292" spans="118:264" ht="18.899999999999999" customHeight="1"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</row>
    <row r="293" spans="118:264" ht="18.899999999999999" customHeight="1"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</row>
    <row r="294" spans="118:264" ht="18.899999999999999" customHeight="1"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</row>
    <row r="295" spans="118:264" ht="18.899999999999999" customHeight="1"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</row>
    <row r="296" spans="118:264" ht="18.899999999999999" customHeight="1"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</row>
    <row r="297" spans="118:264" ht="18.899999999999999" customHeight="1"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</row>
    <row r="298" spans="118:264" ht="18.899999999999999" customHeight="1"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</row>
    <row r="299" spans="118:264" ht="18.899999999999999" customHeight="1"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</row>
    <row r="300" spans="118:264" ht="18.899999999999999" customHeight="1"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</row>
    <row r="301" spans="118:264" ht="18.899999999999999" customHeight="1"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</row>
    <row r="302" spans="118:264" ht="18.899999999999999" customHeight="1"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</row>
    <row r="303" spans="118:264" ht="18.899999999999999" customHeight="1"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</row>
    <row r="304" spans="118:264" ht="18.899999999999999" customHeight="1"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</row>
    <row r="305" spans="118:264" ht="18.899999999999999" customHeight="1"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</row>
    <row r="306" spans="118:264" ht="18.899999999999999" customHeight="1"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</row>
    <row r="307" spans="118:264" ht="18.899999999999999" customHeight="1"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</row>
    <row r="308" spans="118:264" ht="18.899999999999999" customHeight="1"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</row>
    <row r="309" spans="118:264" ht="18.899999999999999" customHeight="1"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</row>
    <row r="310" spans="118:264" ht="18.899999999999999" customHeight="1"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</row>
    <row r="311" spans="118:264" ht="18.899999999999999" customHeight="1"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</row>
    <row r="312" spans="118:264" ht="18.899999999999999" customHeight="1"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</row>
    <row r="313" spans="118:264" ht="18.899999999999999" customHeight="1"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</row>
    <row r="314" spans="118:264" ht="18.899999999999999" customHeight="1"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</row>
    <row r="315" spans="118:264" ht="18.899999999999999" customHeight="1"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</row>
    <row r="316" spans="118:264" ht="18.899999999999999" customHeight="1"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</row>
    <row r="317" spans="118:264" ht="18.899999999999999" customHeight="1"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</row>
    <row r="318" spans="118:264" ht="18.899999999999999" customHeight="1"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</row>
    <row r="319" spans="118:264" ht="18.899999999999999" customHeight="1"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</row>
    <row r="320" spans="118:264" ht="18.899999999999999" customHeight="1"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</row>
    <row r="321" spans="118:264" ht="18.899999999999999" customHeight="1"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</row>
    <row r="322" spans="118:264" ht="18.899999999999999" customHeight="1"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</row>
    <row r="323" spans="118:264" ht="18.899999999999999" customHeight="1"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</row>
    <row r="324" spans="118:264" ht="18.899999999999999" customHeight="1"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</row>
    <row r="325" spans="118:264" ht="18.899999999999999" customHeight="1"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</row>
    <row r="326" spans="118:264" ht="18.899999999999999" customHeight="1"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</row>
    <row r="327" spans="118:264" ht="18.899999999999999" customHeight="1"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</row>
    <row r="328" spans="118:264" ht="18.899999999999999" customHeight="1"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</row>
    <row r="329" spans="118:264" ht="18.899999999999999" customHeight="1"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</row>
    <row r="330" spans="118:264" ht="18.899999999999999" customHeight="1"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</row>
    <row r="331" spans="118:264" ht="18.899999999999999" customHeight="1"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</row>
    <row r="332" spans="118:264" ht="18.899999999999999" customHeight="1"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</row>
    <row r="333" spans="118:264" ht="18.899999999999999" customHeight="1"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</row>
    <row r="334" spans="118:264" ht="18.899999999999999" customHeight="1"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</row>
    <row r="335" spans="118:264" ht="18.899999999999999" customHeight="1"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</row>
    <row r="336" spans="118:264" ht="18.899999999999999" customHeight="1"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</row>
    <row r="337" spans="118:264" ht="18.899999999999999" customHeight="1"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</row>
    <row r="338" spans="118:264" ht="18.899999999999999" customHeight="1"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</row>
    <row r="339" spans="118:264" ht="18.899999999999999" customHeight="1"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</row>
    <row r="340" spans="118:264" ht="18.899999999999999" customHeight="1"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</row>
    <row r="341" spans="118:264" ht="18.899999999999999" customHeight="1"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</row>
    <row r="342" spans="118:264" ht="18.899999999999999" customHeight="1"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</row>
    <row r="343" spans="118:264" ht="18.899999999999999" customHeight="1"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</row>
    <row r="344" spans="118:264" ht="18.899999999999999" customHeight="1"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</row>
    <row r="345" spans="118:264" ht="18.899999999999999" customHeight="1"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</row>
    <row r="346" spans="118:264" ht="18.899999999999999" customHeight="1"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</row>
    <row r="347" spans="118:264" ht="18.899999999999999" customHeight="1"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</row>
    <row r="348" spans="118:264" ht="18.899999999999999" customHeight="1"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</row>
    <row r="349" spans="118:264" ht="18.899999999999999" customHeight="1"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</row>
    <row r="350" spans="118:264" ht="18.899999999999999" customHeight="1"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</row>
    <row r="351" spans="118:264" ht="18.899999999999999" customHeight="1"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</row>
    <row r="352" spans="118:264" ht="18.899999999999999" customHeight="1"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</row>
    <row r="353" spans="118:264" ht="18.899999999999999" customHeight="1"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</row>
    <row r="354" spans="118:264" ht="18.899999999999999" customHeight="1"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</row>
    <row r="355" spans="118:264" ht="18.899999999999999" customHeight="1"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</row>
    <row r="356" spans="118:264" ht="18.899999999999999" customHeight="1"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</row>
    <row r="357" spans="118:264" ht="18.899999999999999" customHeight="1"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</row>
    <row r="358" spans="118:264" ht="18.899999999999999" customHeight="1"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</row>
    <row r="359" spans="118:264" ht="18.899999999999999" customHeight="1"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</row>
    <row r="360" spans="118:264" ht="18.899999999999999" customHeight="1"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</row>
    <row r="361" spans="118:264" ht="18.899999999999999" customHeight="1"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</row>
    <row r="362" spans="118:264" ht="18.899999999999999" customHeight="1"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</row>
    <row r="363" spans="118:264" ht="18.899999999999999" customHeight="1"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</row>
    <row r="364" spans="118:264" ht="18.899999999999999" customHeight="1"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</row>
    <row r="365" spans="118:264" ht="18.899999999999999" customHeight="1"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</row>
    <row r="366" spans="118:264" ht="18.899999999999999" customHeight="1"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</row>
    <row r="367" spans="118:264" ht="18.899999999999999" customHeight="1"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</row>
    <row r="368" spans="118:264" ht="18.899999999999999" customHeight="1"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</row>
    <row r="369" spans="118:264" ht="18.899999999999999" customHeight="1"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</row>
    <row r="370" spans="118:264" ht="18.899999999999999" customHeight="1"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</row>
    <row r="371" spans="118:264" ht="18.899999999999999" customHeight="1"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</row>
    <row r="372" spans="118:264" ht="18.899999999999999" customHeight="1"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</row>
    <row r="373" spans="118:264" ht="18.899999999999999" customHeight="1"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</row>
    <row r="374" spans="118:264" ht="18.899999999999999" customHeight="1"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</row>
    <row r="375" spans="118:264" ht="18.899999999999999" customHeight="1"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</row>
    <row r="376" spans="118:264" ht="18.899999999999999" customHeight="1"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</row>
    <row r="377" spans="118:264" ht="18.899999999999999" customHeight="1"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</row>
    <row r="378" spans="118:264" ht="18.899999999999999" customHeight="1"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</row>
    <row r="379" spans="118:264" ht="18.899999999999999" customHeight="1"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</row>
    <row r="380" spans="118:264" ht="18.899999999999999" customHeight="1"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</row>
    <row r="381" spans="118:264" ht="18.899999999999999" customHeight="1"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</row>
    <row r="382" spans="118:264" ht="18.899999999999999" customHeight="1"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</row>
    <row r="383" spans="118:264" ht="18.899999999999999" customHeight="1"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</row>
    <row r="384" spans="118:264" ht="18.899999999999999" customHeight="1"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</row>
    <row r="385" spans="118:264" ht="18.899999999999999" customHeight="1"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</row>
    <row r="386" spans="118:264" ht="18.899999999999999" customHeight="1"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</row>
    <row r="387" spans="118:264" ht="18.899999999999999" customHeight="1"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</row>
    <row r="388" spans="118:264" ht="18.899999999999999" customHeight="1"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</row>
    <row r="389" spans="118:264" ht="18.899999999999999" customHeight="1"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</row>
    <row r="390" spans="118:264" ht="18.899999999999999" customHeight="1"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</row>
    <row r="391" spans="118:264" ht="18.899999999999999" customHeight="1"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</row>
    <row r="392" spans="118:264" ht="18.899999999999999" customHeight="1"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</row>
    <row r="393" spans="118:264" ht="18.899999999999999" customHeight="1"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</row>
    <row r="394" spans="118:264" ht="18.899999999999999" customHeight="1"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</row>
    <row r="395" spans="118:264" ht="18.899999999999999" customHeight="1"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</row>
    <row r="396" spans="118:264" ht="18.899999999999999" customHeight="1"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</row>
    <row r="397" spans="118:264" ht="18.899999999999999" customHeight="1"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</row>
    <row r="398" spans="118:264" ht="18.899999999999999" customHeight="1"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</row>
    <row r="399" spans="118:264" ht="18.899999999999999" customHeight="1"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</row>
    <row r="400" spans="118:264" ht="18.899999999999999" customHeight="1"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</row>
    <row r="401" spans="118:264" ht="18.899999999999999" customHeight="1"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</row>
    <row r="402" spans="118:264" ht="18.899999999999999" customHeight="1"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</row>
    <row r="403" spans="118:264" ht="18.899999999999999" customHeight="1"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</row>
    <row r="404" spans="118:264" ht="18.899999999999999" customHeight="1"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</row>
    <row r="405" spans="118:264" ht="18.899999999999999" customHeight="1"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</row>
    <row r="406" spans="118:264" ht="18.899999999999999" customHeight="1"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</row>
    <row r="407" spans="118:264" ht="18.899999999999999" customHeight="1"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</row>
    <row r="408" spans="118:264" ht="18.899999999999999" customHeight="1"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</row>
    <row r="409" spans="118:264" ht="18.899999999999999" customHeight="1"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</row>
    <row r="410" spans="118:264" ht="18.899999999999999" customHeight="1"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</row>
    <row r="411" spans="118:264" ht="18.899999999999999" customHeight="1"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</row>
    <row r="412" spans="118:264" ht="18.899999999999999" customHeight="1"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</row>
    <row r="413" spans="118:264" ht="18.899999999999999" customHeight="1"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</row>
    <row r="414" spans="118:264" ht="18.899999999999999" customHeight="1"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</row>
    <row r="415" spans="118:264" ht="18.899999999999999" customHeight="1"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</row>
    <row r="416" spans="118:264" ht="18.899999999999999" customHeight="1"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</row>
    <row r="417" spans="118:264" ht="18.899999999999999" customHeight="1"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</row>
    <row r="418" spans="118:264" ht="18.899999999999999" customHeight="1"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</row>
    <row r="419" spans="118:264" ht="18.899999999999999" customHeight="1"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</row>
    <row r="420" spans="118:264" ht="18.899999999999999" customHeight="1"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</row>
    <row r="421" spans="118:264" ht="18.899999999999999" customHeight="1"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</row>
    <row r="422" spans="118:264" ht="18.899999999999999" customHeight="1"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</row>
    <row r="423" spans="118:264" ht="18.899999999999999" customHeight="1"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</row>
    <row r="424" spans="118:264" ht="18.899999999999999" customHeight="1"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</row>
    <row r="425" spans="118:264" ht="18.899999999999999" customHeight="1"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</row>
    <row r="426" spans="118:264" ht="18.899999999999999" customHeight="1"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</row>
    <row r="427" spans="118:264" ht="18.899999999999999" customHeight="1"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</row>
    <row r="428" spans="118:264" ht="18.899999999999999" customHeight="1"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</row>
    <row r="429" spans="118:264" ht="18.899999999999999" customHeight="1"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</row>
    <row r="430" spans="118:264" ht="18.899999999999999" customHeight="1"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</row>
    <row r="431" spans="118:264" ht="18.899999999999999" customHeight="1"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</row>
    <row r="432" spans="118:264" ht="18.899999999999999" customHeight="1"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</row>
    <row r="433" spans="118:264" ht="18.899999999999999" customHeight="1"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</row>
    <row r="434" spans="118:264" ht="18.899999999999999" customHeight="1"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</row>
    <row r="435" spans="118:264" ht="18.899999999999999" customHeight="1"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</row>
    <row r="436" spans="118:264" ht="18.899999999999999" customHeight="1"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</row>
    <row r="437" spans="118:264" ht="18.899999999999999" customHeight="1"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</row>
    <row r="438" spans="118:264" ht="18.899999999999999" customHeight="1"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</row>
    <row r="439" spans="118:264" ht="18.899999999999999" customHeight="1"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</row>
    <row r="440" spans="118:264" ht="18.899999999999999" customHeight="1"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</row>
    <row r="441" spans="118:264" ht="18.899999999999999" customHeight="1"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</row>
    <row r="442" spans="118:264" ht="18.899999999999999" customHeight="1"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</row>
    <row r="443" spans="118:264" ht="18.899999999999999" customHeight="1"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</row>
    <row r="444" spans="118:264" ht="18.899999999999999" customHeight="1"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</row>
    <row r="445" spans="118:264" ht="18.899999999999999" customHeight="1"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</row>
    <row r="446" spans="118:264" ht="18.899999999999999" customHeight="1"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</row>
    <row r="447" spans="118:264" ht="18.899999999999999" customHeight="1"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</row>
    <row r="448" spans="118:264" ht="18.899999999999999" customHeight="1"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</row>
    <row r="449" spans="118:264" ht="18.899999999999999" customHeight="1"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</row>
    <row r="450" spans="118:264" ht="18.899999999999999" customHeight="1"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</row>
    <row r="451" spans="118:264" ht="18.899999999999999" customHeight="1"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</row>
    <row r="452" spans="118:264" ht="18.899999999999999" customHeight="1"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</row>
    <row r="453" spans="118:264" ht="18.899999999999999" customHeight="1"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</row>
    <row r="454" spans="118:264" ht="18.899999999999999" customHeight="1"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</row>
    <row r="455" spans="118:264" ht="18.899999999999999" customHeight="1"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</row>
    <row r="456" spans="118:264" ht="18.899999999999999" customHeight="1"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</row>
    <row r="457" spans="118:264" ht="18.899999999999999" customHeight="1"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</row>
    <row r="458" spans="118:264" ht="18.899999999999999" customHeight="1"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</row>
    <row r="459" spans="118:264" ht="18.899999999999999" customHeight="1"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</row>
    <row r="460" spans="118:264" ht="18.899999999999999" customHeight="1"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</row>
    <row r="461" spans="118:264" ht="18.899999999999999" customHeight="1"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</row>
    <row r="462" spans="118:264" ht="18.899999999999999" customHeight="1"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</row>
    <row r="463" spans="118:264" ht="18.899999999999999" customHeight="1"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</row>
    <row r="464" spans="118:264" ht="18.899999999999999" customHeight="1"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</row>
    <row r="465" spans="118:264" ht="18.899999999999999" customHeight="1"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</row>
    <row r="466" spans="118:264" ht="18.899999999999999" customHeight="1"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</row>
    <row r="467" spans="118:264" ht="18.899999999999999" customHeight="1"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</row>
    <row r="468" spans="118:264" ht="18.899999999999999" customHeight="1"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</row>
    <row r="469" spans="118:264" ht="18.899999999999999" customHeight="1"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</row>
    <row r="470" spans="118:264" ht="18.899999999999999" customHeight="1"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</row>
    <row r="471" spans="118:264" ht="18.899999999999999" customHeight="1"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</row>
    <row r="472" spans="118:264" ht="18.899999999999999" customHeight="1"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</row>
    <row r="473" spans="118:264" ht="18.899999999999999" customHeight="1"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</row>
    <row r="474" spans="118:264" ht="18.899999999999999" customHeight="1"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</row>
    <row r="475" spans="118:264" ht="18.899999999999999" customHeight="1"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</row>
    <row r="476" spans="118:264" ht="18.899999999999999" customHeight="1"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</row>
    <row r="477" spans="118:264" ht="18.899999999999999" customHeight="1"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</row>
    <row r="478" spans="118:264" ht="18.899999999999999" customHeight="1"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</row>
    <row r="479" spans="118:264" ht="18.899999999999999" customHeight="1"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</row>
    <row r="480" spans="118:264" ht="18.899999999999999" customHeight="1"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</row>
    <row r="481" spans="118:264" ht="18.899999999999999" customHeight="1"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</row>
    <row r="482" spans="118:264" ht="18.899999999999999" customHeight="1"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</row>
    <row r="483" spans="118:264" ht="18.899999999999999" customHeight="1"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</row>
    <row r="484" spans="118:264" ht="18.899999999999999" customHeight="1"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</row>
    <row r="485" spans="118:264" ht="18.899999999999999" customHeight="1"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</row>
    <row r="486" spans="118:264" ht="18.899999999999999" customHeight="1"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</row>
    <row r="487" spans="118:264" ht="18.899999999999999" customHeight="1"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</row>
    <row r="488" spans="118:264" ht="18.899999999999999" customHeight="1"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</row>
    <row r="489" spans="118:264" ht="18.899999999999999" customHeight="1"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</row>
    <row r="490" spans="118:264" ht="18.899999999999999" customHeight="1"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</row>
    <row r="491" spans="118:264" ht="18.899999999999999" customHeight="1"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</row>
    <row r="492" spans="118:264" ht="18.899999999999999" customHeight="1"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</row>
    <row r="493" spans="118:264" ht="18.899999999999999" customHeight="1"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</row>
    <row r="494" spans="118:264" ht="18.899999999999999" customHeight="1"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</row>
    <row r="495" spans="118:264" ht="18.899999999999999" customHeight="1"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</row>
  </sheetData>
  <mergeCells count="52">
    <mergeCell ref="BU4:BU5"/>
    <mergeCell ref="BV4:BV5"/>
    <mergeCell ref="CL4:CL5"/>
    <mergeCell ref="CJ4:CJ5"/>
    <mergeCell ref="CO4:CO5"/>
    <mergeCell ref="CI4:CI5"/>
    <mergeCell ref="CN4:CN5"/>
    <mergeCell ref="CK4:CK5"/>
    <mergeCell ref="BX4:BX5"/>
    <mergeCell ref="BW4:BW5"/>
    <mergeCell ref="BY4:CH4"/>
    <mergeCell ref="CX4:CX5"/>
    <mergeCell ref="CM4:CM5"/>
    <mergeCell ref="CR4:CR5"/>
    <mergeCell ref="CW4:CW5"/>
    <mergeCell ref="CQ4:CQ5"/>
    <mergeCell ref="CP4:CP5"/>
    <mergeCell ref="CV4:CV5"/>
    <mergeCell ref="CT4:CT5"/>
    <mergeCell ref="CU4:CU5"/>
    <mergeCell ref="F4:F5"/>
    <mergeCell ref="BT4:BT5"/>
    <mergeCell ref="A4:A5"/>
    <mergeCell ref="J4:J5"/>
    <mergeCell ref="BQ4:BQ5"/>
    <mergeCell ref="B4:B5"/>
    <mergeCell ref="E4:E5"/>
    <mergeCell ref="D4:D5"/>
    <mergeCell ref="C4:C5"/>
    <mergeCell ref="I4:I5"/>
    <mergeCell ref="G4:G5"/>
    <mergeCell ref="K4:S4"/>
    <mergeCell ref="BR4:BR5"/>
    <mergeCell ref="BS4:BS5"/>
    <mergeCell ref="H4:H5"/>
    <mergeCell ref="T4:AP4"/>
    <mergeCell ref="BE4:BP4"/>
    <mergeCell ref="DL4:DL5"/>
    <mergeCell ref="DE4:DE5"/>
    <mergeCell ref="DA4:DA5"/>
    <mergeCell ref="DK4:DK5"/>
    <mergeCell ref="DJ4:DJ5"/>
    <mergeCell ref="DI4:DI5"/>
    <mergeCell ref="DC4:DC5"/>
    <mergeCell ref="DB4:DB5"/>
    <mergeCell ref="DG4:DG5"/>
    <mergeCell ref="DF4:DF5"/>
    <mergeCell ref="DH4:DH5"/>
    <mergeCell ref="DD4:DD5"/>
    <mergeCell ref="CY4:CY5"/>
    <mergeCell ref="CZ4:CZ5"/>
    <mergeCell ref="CS4:CS5"/>
  </mergeCells>
  <phoneticPr fontId="0" type="noConversion"/>
  <printOptions horizontalCentered="1"/>
  <pageMargins left="0.39370078740157499" right="0.15748031496063" top="0.78740157480314998" bottom="0.59055118110236204" header="0.31496062992126" footer="0.35433070866141703"/>
  <pageSetup paperSize="8" orientation="landscape" blackAndWhite="1" useFirstPageNumber="1" r:id="rId1"/>
  <headerFooter alignWithMargins="0">
    <oddFooter>&amp;C&amp;A&amp;RPage&amp;P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3"/>
  <dimension ref="A2:KL88"/>
  <sheetViews>
    <sheetView showGridLines="0" showZeros="0" zoomScale="85" zoomScaleNormal="85" workbookViewId="0">
      <pane xSplit="3" ySplit="5" topLeftCell="D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/>
  <cols>
    <col min="1" max="1" width="9" style="428" customWidth="1"/>
    <col min="2" max="2" width="13" style="410" customWidth="1"/>
    <col min="3" max="3" width="9.88671875" style="410" customWidth="1"/>
    <col min="4" max="13" width="7.5546875" style="410" customWidth="1"/>
    <col min="14" max="14" width="6" style="410" customWidth="1"/>
    <col min="15" max="15" width="6.6640625" style="410" customWidth="1"/>
    <col min="16" max="16" width="7.5546875" style="410" customWidth="1"/>
    <col min="17" max="17" width="6" style="410" customWidth="1"/>
    <col min="18" max="18" width="6.109375" style="410" customWidth="1"/>
    <col min="19" max="19" width="7.5546875" style="410" customWidth="1"/>
    <col min="20" max="20" width="7.44140625" style="410" customWidth="1"/>
    <col min="21" max="25" width="7.5546875" style="410" customWidth="1"/>
    <col min="26" max="26" width="5.44140625" style="410" customWidth="1"/>
    <col min="27" max="27" width="5.33203125" style="410" customWidth="1"/>
    <col min="28" max="28" width="7.5546875" style="410" customWidth="1"/>
    <col min="29" max="29" width="6.88671875" style="410" customWidth="1"/>
    <col min="30" max="32" width="7.5546875" style="410" customWidth="1"/>
    <col min="33" max="34" width="3.88671875" style="410" customWidth="1"/>
    <col min="35" max="35" width="5.33203125" style="410" customWidth="1"/>
    <col min="36" max="46" width="3.88671875" style="410" customWidth="1"/>
    <col min="47" max="47" width="4.44140625" style="410" customWidth="1"/>
    <col min="48" max="66" width="3.88671875" style="410" customWidth="1"/>
    <col min="67" max="67" width="4.5546875" style="410" customWidth="1"/>
    <col min="68" max="75" width="3.88671875" style="410" customWidth="1"/>
    <col min="76" max="76" width="5.44140625" style="410" customWidth="1"/>
    <col min="77" max="94" width="3.88671875" style="410" customWidth="1"/>
    <col min="95" max="95" width="4.6640625" style="410" customWidth="1"/>
    <col min="96" max="98" width="3.88671875" style="410" customWidth="1"/>
    <col min="99" max="101" width="3.44140625" style="410" customWidth="1"/>
    <col min="102" max="103" width="5" style="410" customWidth="1"/>
    <col min="104" max="104" width="4" style="410" customWidth="1"/>
    <col min="105" max="114" width="3.88671875" style="410" customWidth="1"/>
    <col min="115" max="115" width="4.44140625" style="410" customWidth="1"/>
    <col min="116" max="126" width="3.88671875" style="410" customWidth="1"/>
    <col min="127" max="127" width="4.5546875" style="410" customWidth="1"/>
    <col min="128" max="129" width="3.88671875" style="410" bestFit="1" customWidth="1"/>
    <col min="130" max="131" width="3.88671875" style="410" customWidth="1"/>
    <col min="132" max="132" width="4.88671875" style="410" customWidth="1"/>
    <col min="133" max="134" width="3.88671875" style="410" bestFit="1" customWidth="1"/>
    <col min="135" max="135" width="3.88671875" style="410" customWidth="1"/>
    <col min="136" max="136" width="3.88671875" style="410" bestFit="1" customWidth="1"/>
    <col min="137" max="137" width="5.88671875" style="410" customWidth="1"/>
    <col min="138" max="141" width="3.88671875" style="410" customWidth="1"/>
    <col min="142" max="142" width="4.5546875" style="410" customWidth="1"/>
    <col min="143" max="144" width="3.44140625" style="410" customWidth="1"/>
    <col min="145" max="148" width="5.109375" style="410" customWidth="1"/>
    <col min="149" max="149" width="3.88671875" style="410" customWidth="1"/>
    <col min="150" max="150" width="6" style="410" customWidth="1"/>
    <col min="151" max="151" width="3.88671875" style="410" customWidth="1"/>
    <col min="152" max="154" width="6.88671875" style="410" customWidth="1"/>
    <col min="155" max="155" width="3.88671875" style="410" customWidth="1"/>
    <col min="156" max="156" width="4.88671875" style="410" customWidth="1"/>
    <col min="157" max="157" width="7" style="410" customWidth="1"/>
    <col min="158" max="188" width="4.88671875" style="410" customWidth="1"/>
    <col min="189" max="189" width="12.6640625" style="410" customWidth="1"/>
    <col min="190" max="16384" width="9.109375" style="410"/>
  </cols>
  <sheetData>
    <row r="2" spans="1:298" ht="20.399999999999999">
      <c r="A2" s="2673" t="s">
        <v>4588</v>
      </c>
      <c r="B2" s="2673"/>
      <c r="C2" s="2673"/>
      <c r="D2" s="2673"/>
      <c r="E2" s="2673"/>
      <c r="F2" s="2673"/>
      <c r="G2" s="2673"/>
      <c r="H2" s="2673"/>
      <c r="I2" s="2673"/>
      <c r="J2" s="2673"/>
      <c r="K2" s="2673"/>
      <c r="L2" s="2673"/>
      <c r="M2" s="2673"/>
      <c r="N2" s="2673"/>
      <c r="O2" s="2673"/>
      <c r="P2" s="2673"/>
      <c r="Q2" s="2673"/>
      <c r="R2" s="2673"/>
      <c r="S2" s="2673"/>
      <c r="T2" s="2673"/>
      <c r="U2" s="2673"/>
      <c r="V2" s="2673"/>
      <c r="W2" s="2673"/>
      <c r="X2" s="2673"/>
      <c r="Y2" s="2673"/>
      <c r="Z2" s="2673"/>
      <c r="AA2" s="2673"/>
      <c r="AB2" s="2673"/>
      <c r="AC2" s="2673"/>
      <c r="AD2" s="2673"/>
      <c r="AE2" s="2673"/>
      <c r="AF2" s="2673"/>
      <c r="AG2" s="2673"/>
      <c r="AH2" s="2673"/>
      <c r="AI2" s="2673"/>
      <c r="AJ2" s="2673"/>
      <c r="AK2" s="2673"/>
      <c r="AL2" s="2673"/>
      <c r="AM2" s="2673"/>
      <c r="AN2" s="2673"/>
      <c r="AO2" s="2673"/>
      <c r="AP2" s="2673"/>
      <c r="AQ2" s="2673"/>
      <c r="AR2" s="2673"/>
      <c r="AS2" s="2673"/>
      <c r="AT2" s="2673"/>
      <c r="AU2" s="2673"/>
      <c r="AV2" s="2673"/>
      <c r="AW2" s="2673"/>
      <c r="AX2" s="2673"/>
      <c r="AY2" s="2673"/>
      <c r="AZ2" s="2673"/>
      <c r="BA2" s="2673"/>
      <c r="BB2" s="2673"/>
      <c r="BC2" s="2673"/>
      <c r="BD2" s="2673"/>
      <c r="BE2" s="2673"/>
      <c r="BF2" s="2673"/>
      <c r="BG2" s="2673"/>
      <c r="BH2" s="2673"/>
      <c r="BI2" s="2673"/>
      <c r="BJ2" s="2673"/>
      <c r="BK2" s="2673"/>
      <c r="BL2" s="2673"/>
      <c r="BM2" s="2673"/>
      <c r="BN2" s="2673"/>
      <c r="BO2" s="2673"/>
      <c r="BP2" s="2673"/>
      <c r="BQ2" s="2673"/>
      <c r="BR2" s="2673"/>
      <c r="BS2" s="2673"/>
      <c r="BT2" s="2673"/>
      <c r="BU2" s="2673"/>
      <c r="BV2" s="2673"/>
      <c r="BW2" s="2673"/>
      <c r="BX2" s="2673"/>
      <c r="BY2" s="2673"/>
      <c r="BZ2" s="2673"/>
      <c r="CA2" s="2673"/>
      <c r="CB2" s="2673"/>
      <c r="CC2" s="2673"/>
      <c r="CD2" s="2673"/>
      <c r="CE2" s="2673"/>
      <c r="CF2" s="2673"/>
      <c r="CG2" s="2673"/>
      <c r="CH2" s="2673"/>
      <c r="CI2" s="2673"/>
      <c r="CJ2" s="2673"/>
      <c r="CK2" s="2673"/>
      <c r="CL2" s="2673"/>
      <c r="CM2" s="2673"/>
      <c r="CN2" s="2673"/>
      <c r="CO2" s="2673"/>
      <c r="CP2" s="2673"/>
      <c r="CQ2" s="2673"/>
      <c r="CR2" s="2673"/>
      <c r="CS2" s="2673"/>
      <c r="CT2" s="2673"/>
      <c r="CU2" s="2673"/>
      <c r="CV2" s="2673"/>
      <c r="CW2" s="2673"/>
      <c r="CX2" s="2673"/>
      <c r="CY2" s="2673"/>
      <c r="CZ2" s="2673"/>
      <c r="DA2" s="2673"/>
      <c r="DB2" s="2673"/>
      <c r="DC2" s="2673"/>
      <c r="DD2" s="2673"/>
      <c r="DE2" s="2673"/>
      <c r="DF2" s="2673"/>
      <c r="DG2" s="2673"/>
      <c r="DH2" s="2673"/>
      <c r="DI2" s="2673"/>
      <c r="DJ2" s="2673"/>
      <c r="DK2" s="2673"/>
      <c r="DL2" s="2673"/>
      <c r="DM2" s="2673"/>
      <c r="DN2" s="2673"/>
      <c r="DO2" s="2673"/>
      <c r="DP2" s="2673"/>
      <c r="DQ2" s="2673"/>
      <c r="DR2" s="2673"/>
      <c r="DS2" s="2673"/>
      <c r="DT2" s="2673"/>
      <c r="DU2" s="2673"/>
      <c r="DV2" s="2673"/>
      <c r="DW2" s="2673"/>
      <c r="DX2" s="2673"/>
      <c r="DY2" s="2673"/>
      <c r="DZ2" s="2673"/>
      <c r="EA2" s="2673"/>
      <c r="EB2" s="2673"/>
      <c r="EC2" s="2673"/>
      <c r="ED2" s="2673"/>
      <c r="EE2" s="2673"/>
      <c r="EF2" s="2673"/>
      <c r="EG2" s="2673"/>
      <c r="EH2" s="2673"/>
      <c r="EI2" s="2673"/>
      <c r="EJ2" s="2673"/>
      <c r="EK2" s="2673"/>
      <c r="EL2" s="2673"/>
      <c r="EM2" s="2673"/>
      <c r="EN2" s="2673"/>
      <c r="EO2" s="2673"/>
      <c r="EP2" s="2673"/>
      <c r="EQ2" s="2673"/>
      <c r="ER2" s="2673"/>
      <c r="ES2" s="2673"/>
      <c r="ET2" s="2673"/>
      <c r="EU2" s="2673"/>
      <c r="EV2" s="2673"/>
      <c r="EW2" s="2673"/>
      <c r="EX2" s="2673"/>
      <c r="EY2" s="2673"/>
      <c r="EZ2" s="2673"/>
      <c r="FA2" s="2673"/>
      <c r="FB2" s="2673"/>
      <c r="FC2" s="2673"/>
      <c r="FD2" s="2673"/>
      <c r="FE2" s="2673"/>
      <c r="FF2" s="2673"/>
      <c r="FG2" s="2673"/>
      <c r="FH2" s="2673"/>
      <c r="FI2" s="2673"/>
      <c r="FJ2" s="2673"/>
      <c r="FK2" s="2673"/>
      <c r="FL2" s="2673"/>
      <c r="FM2" s="2673"/>
      <c r="FN2" s="2673"/>
      <c r="FO2" s="2673"/>
      <c r="FP2" s="2673"/>
      <c r="FQ2" s="2673"/>
      <c r="FR2" s="2673"/>
      <c r="FS2" s="2673"/>
      <c r="FT2" s="2673"/>
      <c r="FU2" s="2673"/>
      <c r="FV2" s="2673"/>
      <c r="FW2" s="2673"/>
      <c r="FX2" s="2673"/>
      <c r="FY2" s="2673"/>
      <c r="FZ2" s="2673"/>
      <c r="GA2" s="2673"/>
      <c r="GB2" s="2673"/>
      <c r="GC2" s="2673"/>
      <c r="GD2" s="2673"/>
      <c r="GE2" s="2673"/>
      <c r="GF2" s="2673"/>
      <c r="GG2" s="2673"/>
    </row>
    <row r="3" spans="1:298" ht="8.25" customHeight="1" thickBot="1">
      <c r="A3" s="430"/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  <c r="AA3" s="43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  <c r="AQ3" s="430"/>
      <c r="AR3" s="430"/>
      <c r="AS3" s="409"/>
      <c r="AT3" s="430"/>
      <c r="AU3" s="409"/>
      <c r="AV3" s="430"/>
      <c r="AW3" s="430"/>
      <c r="AX3" s="430"/>
      <c r="AY3" s="430"/>
      <c r="AZ3" s="430"/>
      <c r="BA3" s="430"/>
      <c r="BB3" s="430"/>
      <c r="BC3" s="430"/>
      <c r="BD3" s="430"/>
      <c r="BE3" s="430"/>
      <c r="BF3" s="430"/>
      <c r="BG3" s="430"/>
      <c r="BH3" s="430"/>
      <c r="BI3" s="430"/>
      <c r="BJ3" s="430"/>
      <c r="BK3" s="430"/>
      <c r="BL3" s="430"/>
      <c r="BM3" s="430"/>
      <c r="BN3" s="430"/>
      <c r="BO3" s="430"/>
      <c r="BP3" s="430"/>
      <c r="BQ3" s="430"/>
      <c r="BR3" s="430"/>
      <c r="BS3" s="430"/>
      <c r="BT3" s="430"/>
      <c r="BU3" s="430"/>
      <c r="BV3" s="430"/>
      <c r="BW3" s="430"/>
      <c r="BX3" s="430"/>
      <c r="BY3" s="430"/>
      <c r="BZ3" s="430"/>
      <c r="CA3" s="430"/>
      <c r="CB3" s="430"/>
      <c r="CC3" s="430"/>
      <c r="CD3" s="430"/>
      <c r="CE3" s="430"/>
      <c r="CF3" s="430"/>
      <c r="CG3" s="430"/>
      <c r="CH3" s="430"/>
      <c r="CI3" s="430"/>
      <c r="CJ3" s="430"/>
      <c r="CK3" s="430"/>
      <c r="CL3" s="430"/>
      <c r="CM3" s="430"/>
      <c r="CN3" s="430"/>
      <c r="CO3" s="430"/>
      <c r="CP3" s="430"/>
      <c r="CQ3" s="430"/>
      <c r="CR3" s="430"/>
      <c r="CS3" s="430"/>
      <c r="CT3" s="430"/>
      <c r="CU3" s="430"/>
      <c r="CV3" s="430"/>
      <c r="CW3" s="430"/>
      <c r="CX3" s="430"/>
      <c r="CY3" s="430"/>
      <c r="CZ3" s="430"/>
      <c r="DA3" s="430"/>
      <c r="DB3" s="430"/>
      <c r="DC3" s="430"/>
      <c r="DD3" s="430"/>
      <c r="DE3" s="430"/>
      <c r="DF3" s="430"/>
      <c r="DG3" s="430"/>
      <c r="DH3" s="430"/>
      <c r="DI3" s="430"/>
      <c r="DJ3" s="430"/>
      <c r="DK3" s="430"/>
      <c r="DL3" s="430"/>
      <c r="DM3" s="430"/>
      <c r="DN3" s="430"/>
      <c r="DO3" s="430"/>
      <c r="DP3" s="430"/>
      <c r="DQ3" s="430"/>
      <c r="DR3" s="430"/>
      <c r="DS3" s="430"/>
      <c r="DT3" s="430"/>
      <c r="DU3" s="430"/>
      <c r="DV3" s="430"/>
      <c r="DW3" s="430"/>
      <c r="DX3" s="430"/>
      <c r="DY3" s="430"/>
      <c r="DZ3" s="430"/>
      <c r="EA3" s="430"/>
      <c r="EB3" s="430"/>
      <c r="EC3" s="430"/>
      <c r="ED3" s="430"/>
      <c r="EE3" s="430"/>
      <c r="EF3" s="430"/>
      <c r="EG3" s="430"/>
      <c r="EH3" s="430"/>
      <c r="EI3" s="430"/>
      <c r="EJ3" s="430"/>
      <c r="EK3" s="430"/>
      <c r="EL3" s="430"/>
      <c r="EM3" s="430"/>
      <c r="EN3" s="430"/>
      <c r="EO3" s="430"/>
      <c r="EP3" s="430"/>
      <c r="EQ3" s="430"/>
      <c r="ER3" s="430"/>
      <c r="ES3" s="430"/>
      <c r="ET3" s="430"/>
      <c r="EU3" s="430"/>
      <c r="EV3" s="430"/>
      <c r="EW3" s="430"/>
      <c r="EX3" s="430"/>
      <c r="EY3" s="430"/>
      <c r="EZ3" s="430"/>
      <c r="FA3" s="430"/>
      <c r="FB3" s="430"/>
      <c r="FC3" s="430"/>
      <c r="FD3" s="430"/>
      <c r="FE3" s="430"/>
      <c r="FF3" s="430"/>
      <c r="FG3" s="430"/>
      <c r="FH3" s="430"/>
      <c r="FI3" s="430"/>
      <c r="FJ3" s="430"/>
      <c r="FK3" s="430"/>
      <c r="FL3" s="430"/>
      <c r="FM3" s="430"/>
      <c r="FN3" s="430"/>
      <c r="FO3" s="430"/>
      <c r="FP3" s="430"/>
      <c r="FQ3" s="430"/>
      <c r="FR3" s="430"/>
      <c r="FS3" s="430"/>
      <c r="FT3" s="430"/>
      <c r="FU3" s="430"/>
      <c r="FV3" s="430"/>
      <c r="FW3" s="430"/>
      <c r="FX3" s="430"/>
      <c r="FY3" s="430"/>
      <c r="FZ3" s="430"/>
      <c r="GA3" s="430"/>
      <c r="GB3" s="430"/>
      <c r="GC3" s="430"/>
      <c r="GD3" s="430"/>
      <c r="GE3" s="430"/>
      <c r="GF3" s="430"/>
      <c r="GG3" s="430"/>
    </row>
    <row r="4" spans="1:298" s="409" customFormat="1" ht="16.5" customHeight="1" thickTop="1" thickBot="1">
      <c r="A4" s="2680" t="s">
        <v>3924</v>
      </c>
      <c r="B4" s="2667" t="s">
        <v>3976</v>
      </c>
      <c r="C4" s="2667" t="s">
        <v>3977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2667" t="s">
        <v>4598</v>
      </c>
      <c r="O4" s="722"/>
      <c r="P4" s="722"/>
      <c r="Q4" s="722"/>
      <c r="R4" s="722"/>
      <c r="S4" s="722"/>
      <c r="T4" s="2667" t="s">
        <v>1087</v>
      </c>
      <c r="U4" s="722"/>
      <c r="V4" s="722"/>
      <c r="W4" s="722"/>
      <c r="X4" s="722"/>
      <c r="Y4" s="722"/>
      <c r="Z4" s="722"/>
      <c r="AA4" s="722"/>
      <c r="AB4" s="722"/>
      <c r="AC4" s="2667" t="s">
        <v>4388</v>
      </c>
      <c r="AD4" s="722"/>
      <c r="AE4" s="722"/>
      <c r="AF4" s="722"/>
      <c r="AG4" s="2667" t="s">
        <v>3925</v>
      </c>
      <c r="AH4" s="2667" t="s">
        <v>3926</v>
      </c>
      <c r="AI4" s="2683" t="s">
        <v>3927</v>
      </c>
      <c r="AJ4" s="2674" t="s">
        <v>3928</v>
      </c>
      <c r="AK4" s="2675"/>
      <c r="AL4" s="2675"/>
      <c r="AM4" s="2676"/>
      <c r="AN4" s="2674" t="s">
        <v>3929</v>
      </c>
      <c r="AO4" s="2675"/>
      <c r="AP4" s="2675"/>
      <c r="AQ4" s="2675"/>
      <c r="AR4" s="2675"/>
      <c r="AS4" s="2675"/>
      <c r="AT4" s="2675"/>
      <c r="AU4" s="2675"/>
      <c r="AV4" s="2675"/>
      <c r="AW4" s="2675"/>
      <c r="AX4" s="2675"/>
      <c r="AY4" s="2675"/>
      <c r="AZ4" s="2675"/>
      <c r="BA4" s="2675"/>
      <c r="BB4" s="2675"/>
      <c r="BC4" s="2675"/>
      <c r="BD4" s="2675"/>
      <c r="BE4" s="2675"/>
      <c r="BF4" s="2675"/>
      <c r="BG4" s="2675"/>
      <c r="BH4" s="2675"/>
      <c r="BI4" s="2675"/>
      <c r="BJ4" s="2675"/>
      <c r="BK4" s="2675"/>
      <c r="BL4" s="2675"/>
      <c r="BM4" s="2675"/>
      <c r="BN4" s="2676"/>
      <c r="BO4" s="2674" t="s">
        <v>3978</v>
      </c>
      <c r="BP4" s="2675"/>
      <c r="BQ4" s="2675"/>
      <c r="BR4" s="2675"/>
      <c r="BS4" s="2675"/>
      <c r="BT4" s="2675"/>
      <c r="BU4" s="2675"/>
      <c r="BV4" s="2675"/>
      <c r="BW4" s="2676"/>
      <c r="BX4" s="2674" t="s">
        <v>3930</v>
      </c>
      <c r="BY4" s="2675"/>
      <c r="BZ4" s="2675"/>
      <c r="CA4" s="2675"/>
      <c r="CB4" s="2675"/>
      <c r="CC4" s="2675"/>
      <c r="CD4" s="2675"/>
      <c r="CE4" s="2675"/>
      <c r="CF4" s="2675"/>
      <c r="CG4" s="2676"/>
      <c r="CH4" s="2606" t="s">
        <v>4686</v>
      </c>
      <c r="CI4" s="2606" t="s">
        <v>4687</v>
      </c>
      <c r="CJ4" s="2606" t="s">
        <v>3541</v>
      </c>
      <c r="CK4" s="2606" t="s">
        <v>3544</v>
      </c>
      <c r="CL4" s="2606" t="s">
        <v>3543</v>
      </c>
      <c r="CM4" s="2606" t="s">
        <v>3542</v>
      </c>
      <c r="CN4" s="2606" t="s">
        <v>3545</v>
      </c>
      <c r="CO4" s="2606" t="s">
        <v>3931</v>
      </c>
      <c r="CP4" s="577"/>
      <c r="CQ4" s="2677" t="s">
        <v>514</v>
      </c>
      <c r="CR4" s="2678"/>
      <c r="CS4" s="2678"/>
      <c r="CT4" s="2679"/>
      <c r="CU4" s="2627" t="s">
        <v>3933</v>
      </c>
      <c r="CV4" s="2627" t="s">
        <v>4685</v>
      </c>
      <c r="CW4" s="2627" t="s">
        <v>4393</v>
      </c>
      <c r="CX4" s="2627" t="s">
        <v>4415</v>
      </c>
      <c r="CY4" s="2627" t="s">
        <v>4416</v>
      </c>
      <c r="CZ4" s="2627" t="s">
        <v>4417</v>
      </c>
      <c r="DA4" s="2671" t="s">
        <v>4089</v>
      </c>
      <c r="DB4" s="2682"/>
      <c r="DC4" s="2682"/>
      <c r="DD4" s="2682"/>
      <c r="DE4" s="2682"/>
      <c r="DF4" s="2682"/>
      <c r="DG4" s="2682"/>
      <c r="DH4" s="2682"/>
      <c r="DI4" s="2682"/>
      <c r="DJ4" s="2682"/>
      <c r="DK4" s="2682"/>
      <c r="DL4" s="2682"/>
      <c r="DM4" s="2682"/>
      <c r="DN4" s="2682"/>
      <c r="DO4" s="2682"/>
      <c r="DP4" s="2682"/>
      <c r="DQ4" s="2682"/>
      <c r="DR4" s="2682"/>
      <c r="DS4" s="2682"/>
      <c r="DT4" s="2682"/>
      <c r="DU4" s="2682"/>
      <c r="DV4" s="2671" t="s">
        <v>4090</v>
      </c>
      <c r="DW4" s="2682"/>
      <c r="DX4" s="2682"/>
      <c r="DY4" s="2682"/>
      <c r="DZ4" s="2672"/>
      <c r="EA4" s="2671" t="s">
        <v>4091</v>
      </c>
      <c r="EB4" s="2682"/>
      <c r="EC4" s="2682"/>
      <c r="ED4" s="2682"/>
      <c r="EE4" s="2672"/>
      <c r="EF4" s="2671" t="s">
        <v>4092</v>
      </c>
      <c r="EG4" s="2682"/>
      <c r="EH4" s="2682"/>
      <c r="EI4" s="2682"/>
      <c r="EJ4" s="2672"/>
      <c r="EK4" s="2671" t="s">
        <v>612</v>
      </c>
      <c r="EL4" s="2672"/>
      <c r="EM4" s="572"/>
      <c r="EN4" s="572"/>
      <c r="EO4" s="578"/>
      <c r="EP4" s="578"/>
      <c r="EQ4" s="578"/>
      <c r="ER4" s="578"/>
      <c r="ES4" s="577"/>
      <c r="ET4" s="2606" t="s">
        <v>4097</v>
      </c>
      <c r="EU4" s="577"/>
      <c r="EV4" s="2606" t="s">
        <v>4697</v>
      </c>
      <c r="EW4" s="2606" t="s">
        <v>4700</v>
      </c>
      <c r="EX4" s="2606" t="s">
        <v>4699</v>
      </c>
      <c r="EY4" s="577"/>
      <c r="EZ4" s="2606" t="s">
        <v>4561</v>
      </c>
      <c r="FA4" s="2606" t="s">
        <v>4562</v>
      </c>
      <c r="FB4" s="2606" t="s">
        <v>4563</v>
      </c>
      <c r="FC4" s="2606" t="s">
        <v>4680</v>
      </c>
      <c r="FD4" s="2606" t="s">
        <v>4681</v>
      </c>
      <c r="FE4" s="2606" t="s">
        <v>4682</v>
      </c>
      <c r="FF4" s="2606" t="s">
        <v>4677</v>
      </c>
      <c r="FG4" s="2606" t="s">
        <v>4676</v>
      </c>
      <c r="FH4" s="2606" t="s">
        <v>4678</v>
      </c>
      <c r="FI4" s="2606" t="s">
        <v>4679</v>
      </c>
      <c r="FJ4" s="2606" t="s">
        <v>4698</v>
      </c>
      <c r="FK4" s="2606" t="s">
        <v>4691</v>
      </c>
      <c r="FL4" s="2606" t="s">
        <v>4616</v>
      </c>
      <c r="FM4" s="758"/>
      <c r="FN4" s="758"/>
      <c r="FO4" s="758"/>
      <c r="FP4" s="758"/>
      <c r="FQ4" s="758"/>
      <c r="FR4" s="758"/>
      <c r="FS4" s="758"/>
      <c r="FT4" s="758"/>
      <c r="FU4" s="758"/>
      <c r="FV4" s="758"/>
      <c r="FW4" s="758"/>
      <c r="FX4" s="758"/>
      <c r="FY4" s="758"/>
      <c r="FZ4" s="758"/>
      <c r="GA4" s="758"/>
      <c r="GB4" s="758"/>
      <c r="GC4" s="758"/>
      <c r="GD4" s="758"/>
      <c r="GE4" s="758"/>
      <c r="GF4" s="758"/>
      <c r="GG4" s="2669" t="s">
        <v>3373</v>
      </c>
    </row>
    <row r="5" spans="1:298" s="409" customFormat="1" ht="154.5" customHeight="1" thickTop="1">
      <c r="A5" s="2681"/>
      <c r="B5" s="2668"/>
      <c r="C5" s="2668"/>
      <c r="D5" s="579" t="s">
        <v>4380</v>
      </c>
      <c r="E5" s="579" t="s">
        <v>4381</v>
      </c>
      <c r="F5" s="579" t="s">
        <v>4382</v>
      </c>
      <c r="G5" s="579" t="s">
        <v>4383</v>
      </c>
      <c r="H5" s="579" t="s">
        <v>4384</v>
      </c>
      <c r="I5" s="579" t="s">
        <v>4385</v>
      </c>
      <c r="J5" s="579" t="s">
        <v>490</v>
      </c>
      <c r="K5" s="579" t="s">
        <v>1201</v>
      </c>
      <c r="L5" s="573" t="s">
        <v>4386</v>
      </c>
      <c r="M5" s="573" t="s">
        <v>4387</v>
      </c>
      <c r="N5" s="2668"/>
      <c r="O5" s="579" t="s">
        <v>4599</v>
      </c>
      <c r="P5" s="579" t="s">
        <v>4600</v>
      </c>
      <c r="Q5" s="579" t="s">
        <v>4560</v>
      </c>
      <c r="R5" s="579" t="s">
        <v>4482</v>
      </c>
      <c r="S5" s="579" t="s">
        <v>1013</v>
      </c>
      <c r="T5" s="2668"/>
      <c r="U5" s="579" t="s">
        <v>4601</v>
      </c>
      <c r="V5" s="579" t="s">
        <v>4602</v>
      </c>
      <c r="W5" s="579" t="s">
        <v>4603</v>
      </c>
      <c r="X5" s="579" t="s">
        <v>4604</v>
      </c>
      <c r="Y5" s="579" t="s">
        <v>4605</v>
      </c>
      <c r="Z5" s="579" t="s">
        <v>1086</v>
      </c>
      <c r="AA5" s="579" t="s">
        <v>1085</v>
      </c>
      <c r="AB5" s="579" t="s">
        <v>1084</v>
      </c>
      <c r="AC5" s="2668"/>
      <c r="AD5" s="579" t="s">
        <v>4389</v>
      </c>
      <c r="AE5" s="579" t="s">
        <v>1654</v>
      </c>
      <c r="AF5" s="579" t="s">
        <v>1653</v>
      </c>
      <c r="AG5" s="2668"/>
      <c r="AH5" s="2668"/>
      <c r="AI5" s="2684"/>
      <c r="AJ5" s="575" t="s">
        <v>1002</v>
      </c>
      <c r="AK5" s="575" t="s">
        <v>816</v>
      </c>
      <c r="AL5" s="575" t="s">
        <v>621</v>
      </c>
      <c r="AM5" s="575" t="s">
        <v>622</v>
      </c>
      <c r="AN5" s="574" t="s">
        <v>562</v>
      </c>
      <c r="AO5" s="574" t="s">
        <v>220</v>
      </c>
      <c r="AP5" s="574" t="s">
        <v>1819</v>
      </c>
      <c r="AQ5" s="574" t="s">
        <v>1818</v>
      </c>
      <c r="AR5" s="574" t="s">
        <v>515</v>
      </c>
      <c r="AS5" s="574" t="s">
        <v>1003</v>
      </c>
      <c r="AT5" s="574" t="s">
        <v>3710</v>
      </c>
      <c r="AU5" s="574" t="s">
        <v>3711</v>
      </c>
      <c r="AV5" s="574" t="s">
        <v>516</v>
      </c>
      <c r="AW5" s="574" t="s">
        <v>706</v>
      </c>
      <c r="AX5" s="574" t="s">
        <v>707</v>
      </c>
      <c r="AY5" s="574" t="s">
        <v>517</v>
      </c>
      <c r="AZ5" s="574" t="s">
        <v>646</v>
      </c>
      <c r="BA5" s="574" t="s">
        <v>338</v>
      </c>
      <c r="BB5" s="574" t="s">
        <v>483</v>
      </c>
      <c r="BC5" s="574" t="s">
        <v>1480</v>
      </c>
      <c r="BD5" s="574" t="s">
        <v>1481</v>
      </c>
      <c r="BE5" s="574" t="s">
        <v>1479</v>
      </c>
      <c r="BF5" s="574" t="s">
        <v>1817</v>
      </c>
      <c r="BG5" s="574" t="s">
        <v>305</v>
      </c>
      <c r="BH5" s="574" t="s">
        <v>624</v>
      </c>
      <c r="BI5" s="574" t="s">
        <v>938</v>
      </c>
      <c r="BJ5" s="574" t="s">
        <v>625</v>
      </c>
      <c r="BK5" s="574" t="s">
        <v>582</v>
      </c>
      <c r="BL5" s="574" t="s">
        <v>1705</v>
      </c>
      <c r="BM5" s="575" t="s">
        <v>73</v>
      </c>
      <c r="BN5" s="574" t="s">
        <v>350</v>
      </c>
      <c r="BO5" s="580" t="s">
        <v>1612</v>
      </c>
      <c r="BP5" s="580" t="s">
        <v>1611</v>
      </c>
      <c r="BQ5" s="580" t="s">
        <v>1482</v>
      </c>
      <c r="BR5" s="580" t="s">
        <v>1483</v>
      </c>
      <c r="BS5" s="580" t="s">
        <v>1833</v>
      </c>
      <c r="BT5" s="580" t="s">
        <v>1834</v>
      </c>
      <c r="BU5" s="580" t="s">
        <v>1726</v>
      </c>
      <c r="BV5" s="580" t="s">
        <v>1725</v>
      </c>
      <c r="BW5" s="580" t="s">
        <v>3979</v>
      </c>
      <c r="BX5" s="576" t="s">
        <v>2042</v>
      </c>
      <c r="BY5" s="576" t="s">
        <v>2043</v>
      </c>
      <c r="BZ5" s="576" t="s">
        <v>1759</v>
      </c>
      <c r="CA5" s="576" t="s">
        <v>90</v>
      </c>
      <c r="CB5" s="576" t="s">
        <v>787</v>
      </c>
      <c r="CC5" s="576" t="s">
        <v>91</v>
      </c>
      <c r="CD5" s="576" t="s">
        <v>1254</v>
      </c>
      <c r="CE5" s="576" t="s">
        <v>92</v>
      </c>
      <c r="CF5" s="576" t="s">
        <v>1376</v>
      </c>
      <c r="CG5" s="576" t="s">
        <v>93</v>
      </c>
      <c r="CH5" s="2607"/>
      <c r="CI5" s="2607"/>
      <c r="CJ5" s="2607"/>
      <c r="CK5" s="2607"/>
      <c r="CL5" s="2607"/>
      <c r="CM5" s="2607"/>
      <c r="CN5" s="2607"/>
      <c r="CO5" s="2607"/>
      <c r="CP5" s="581" t="s">
        <v>3932</v>
      </c>
      <c r="CQ5" s="533" t="s">
        <v>3940</v>
      </c>
      <c r="CR5" s="533" t="s">
        <v>3941</v>
      </c>
      <c r="CS5" s="533" t="s">
        <v>3942</v>
      </c>
      <c r="CT5" s="533" t="s">
        <v>3943</v>
      </c>
      <c r="CU5" s="2628"/>
      <c r="CV5" s="2628"/>
      <c r="CW5" s="2628"/>
      <c r="CX5" s="2628"/>
      <c r="CY5" s="2628"/>
      <c r="CZ5" s="2628"/>
      <c r="DA5" s="724" t="s">
        <v>4299</v>
      </c>
      <c r="DB5" s="724" t="s">
        <v>4300</v>
      </c>
      <c r="DC5" s="724" t="s">
        <v>3947</v>
      </c>
      <c r="DD5" s="724" t="s">
        <v>3948</v>
      </c>
      <c r="DE5" s="724" t="s">
        <v>4301</v>
      </c>
      <c r="DF5" s="724" t="s">
        <v>4098</v>
      </c>
      <c r="DG5" s="724" t="s">
        <v>3944</v>
      </c>
      <c r="DH5" s="724" t="s">
        <v>3946</v>
      </c>
      <c r="DI5" s="724" t="s">
        <v>4302</v>
      </c>
      <c r="DJ5" s="724" t="s">
        <v>4099</v>
      </c>
      <c r="DK5" s="724" t="s">
        <v>4097</v>
      </c>
      <c r="DL5" s="724" t="s">
        <v>3949</v>
      </c>
      <c r="DM5" s="724" t="s">
        <v>3950</v>
      </c>
      <c r="DN5" s="724" t="s">
        <v>3951</v>
      </c>
      <c r="DO5" s="724" t="s">
        <v>3952</v>
      </c>
      <c r="DP5" s="724" t="s">
        <v>3954</v>
      </c>
      <c r="DQ5" s="724" t="s">
        <v>4303</v>
      </c>
      <c r="DR5" s="724" t="s">
        <v>3953</v>
      </c>
      <c r="DS5" s="724" t="s">
        <v>3945</v>
      </c>
      <c r="DT5" s="724" t="s">
        <v>4087</v>
      </c>
      <c r="DU5" s="724" t="s">
        <v>4304</v>
      </c>
      <c r="DV5" s="724" t="s">
        <v>3955</v>
      </c>
      <c r="DW5" s="724" t="s">
        <v>4093</v>
      </c>
      <c r="DX5" s="724" t="s">
        <v>3956</v>
      </c>
      <c r="DY5" s="724" t="s">
        <v>3957</v>
      </c>
      <c r="DZ5" s="724" t="s">
        <v>3958</v>
      </c>
      <c r="EA5" s="724" t="s">
        <v>4094</v>
      </c>
      <c r="EB5" s="724" t="s">
        <v>3959</v>
      </c>
      <c r="EC5" s="724" t="s">
        <v>3960</v>
      </c>
      <c r="ED5" s="724" t="s">
        <v>3961</v>
      </c>
      <c r="EE5" s="724" t="s">
        <v>3962</v>
      </c>
      <c r="EF5" s="724" t="s">
        <v>3963</v>
      </c>
      <c r="EG5" s="724" t="s">
        <v>4095</v>
      </c>
      <c r="EH5" s="724" t="s">
        <v>3964</v>
      </c>
      <c r="EI5" s="724" t="s">
        <v>3965</v>
      </c>
      <c r="EJ5" s="724" t="s">
        <v>3966</v>
      </c>
      <c r="EK5" s="724" t="s">
        <v>3967</v>
      </c>
      <c r="EL5" s="724" t="s">
        <v>3968</v>
      </c>
      <c r="EM5" s="724" t="s">
        <v>4102</v>
      </c>
      <c r="EN5" s="724" t="s">
        <v>4104</v>
      </c>
      <c r="EO5" s="582" t="s">
        <v>3934</v>
      </c>
      <c r="EP5" s="582" t="s">
        <v>3935</v>
      </c>
      <c r="EQ5" s="582" t="s">
        <v>3936</v>
      </c>
      <c r="ER5" s="582" t="s">
        <v>2472</v>
      </c>
      <c r="ES5" s="583" t="s">
        <v>3937</v>
      </c>
      <c r="ET5" s="2607"/>
      <c r="EU5" s="583" t="s">
        <v>3080</v>
      </c>
      <c r="EV5" s="2607"/>
      <c r="EW5" s="2607"/>
      <c r="EX5" s="2607"/>
      <c r="EY5" s="583" t="s">
        <v>3939</v>
      </c>
      <c r="EZ5" s="2607"/>
      <c r="FA5" s="2607"/>
      <c r="FB5" s="2607"/>
      <c r="FC5" s="2607"/>
      <c r="FD5" s="2607"/>
      <c r="FE5" s="2607"/>
      <c r="FF5" s="2607"/>
      <c r="FG5" s="2607"/>
      <c r="FH5" s="2607"/>
      <c r="FI5" s="2607"/>
      <c r="FJ5" s="2607"/>
      <c r="FK5" s="2607"/>
      <c r="FL5" s="2607"/>
      <c r="FM5" s="759" t="s">
        <v>4105</v>
      </c>
      <c r="FN5" s="759" t="s">
        <v>4106</v>
      </c>
      <c r="FO5" s="759" t="s">
        <v>4107</v>
      </c>
      <c r="FP5" s="759" t="s">
        <v>4108</v>
      </c>
      <c r="FQ5" s="759" t="s">
        <v>4317</v>
      </c>
      <c r="FR5" s="759" t="s">
        <v>4318</v>
      </c>
      <c r="FS5" s="759" t="s">
        <v>4319</v>
      </c>
      <c r="FT5" s="759" t="s">
        <v>4320</v>
      </c>
      <c r="FU5" s="759" t="s">
        <v>4321</v>
      </c>
      <c r="FV5" s="759" t="s">
        <v>4322</v>
      </c>
      <c r="FW5" s="759" t="s">
        <v>4323</v>
      </c>
      <c r="FX5" s="759" t="s">
        <v>4324</v>
      </c>
      <c r="FY5" s="759" t="s">
        <v>4325</v>
      </c>
      <c r="FZ5" s="759" t="s">
        <v>4326</v>
      </c>
      <c r="GA5" s="759" t="s">
        <v>4172</v>
      </c>
      <c r="GB5" s="759" t="s">
        <v>3557</v>
      </c>
      <c r="GC5" s="759" t="s">
        <v>4315</v>
      </c>
      <c r="GD5" s="759" t="s">
        <v>4316</v>
      </c>
      <c r="GE5" s="759" t="s">
        <v>4701</v>
      </c>
      <c r="GF5" s="759" t="s">
        <v>4702</v>
      </c>
      <c r="GG5" s="2670"/>
    </row>
    <row r="6" spans="1:298" s="411" customFormat="1" ht="18" customHeight="1">
      <c r="A6" s="584" t="s">
        <v>3969</v>
      </c>
      <c r="B6" s="431"/>
      <c r="C6" s="431"/>
      <c r="D6" s="431"/>
      <c r="E6" s="431"/>
      <c r="F6" s="431"/>
      <c r="G6" s="431"/>
      <c r="H6" s="431"/>
      <c r="I6" s="431"/>
      <c r="J6" s="431"/>
      <c r="K6" s="431"/>
      <c r="L6" s="431"/>
      <c r="M6" s="431"/>
      <c r="N6" s="431"/>
      <c r="O6" s="431"/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  <c r="AA6" s="431"/>
      <c r="AB6" s="431"/>
      <c r="AC6" s="431"/>
      <c r="AD6" s="431"/>
      <c r="AE6" s="431"/>
      <c r="AF6" s="431"/>
      <c r="AG6" s="431"/>
      <c r="AH6" s="431"/>
      <c r="AI6" s="431"/>
      <c r="AJ6" s="431"/>
      <c r="AK6" s="431"/>
      <c r="AL6" s="431"/>
      <c r="AM6" s="431"/>
      <c r="AN6" s="431"/>
      <c r="AO6" s="431"/>
      <c r="AP6" s="431"/>
      <c r="AQ6" s="431"/>
      <c r="AR6" s="431"/>
      <c r="AS6" s="431"/>
      <c r="AT6" s="431"/>
      <c r="AU6" s="431"/>
      <c r="AV6" s="431"/>
      <c r="AW6" s="431"/>
      <c r="AX6" s="431"/>
      <c r="AY6" s="431"/>
      <c r="AZ6" s="431"/>
      <c r="BA6" s="431"/>
      <c r="BB6" s="431"/>
      <c r="BC6" s="431"/>
      <c r="BD6" s="431"/>
      <c r="BE6" s="431"/>
      <c r="BF6" s="431"/>
      <c r="BG6" s="431"/>
      <c r="BH6" s="431"/>
      <c r="BI6" s="431"/>
      <c r="BJ6" s="431"/>
      <c r="BK6" s="431"/>
      <c r="BL6" s="431"/>
      <c r="BM6" s="431"/>
      <c r="BN6" s="431"/>
      <c r="BO6" s="431"/>
      <c r="BP6" s="431"/>
      <c r="BQ6" s="431"/>
      <c r="BR6" s="431"/>
      <c r="BS6" s="431"/>
      <c r="BT6" s="431"/>
      <c r="BU6" s="431"/>
      <c r="BV6" s="431"/>
      <c r="BW6" s="431"/>
      <c r="BX6" s="431"/>
      <c r="BY6" s="431"/>
      <c r="BZ6" s="431"/>
      <c r="CA6" s="431"/>
      <c r="CB6" s="431"/>
      <c r="CC6" s="431"/>
      <c r="CD6" s="431"/>
      <c r="CE6" s="431"/>
      <c r="CF6" s="431"/>
      <c r="CG6" s="431"/>
      <c r="CH6" s="431"/>
      <c r="CI6" s="431"/>
      <c r="CJ6" s="431"/>
      <c r="CK6" s="431"/>
      <c r="CL6" s="431"/>
      <c r="CM6" s="431"/>
      <c r="CN6" s="431"/>
      <c r="CO6" s="431"/>
      <c r="CP6" s="431"/>
      <c r="CQ6" s="431"/>
      <c r="CR6" s="431"/>
      <c r="CS6" s="431"/>
      <c r="CT6" s="431"/>
      <c r="CU6" s="431"/>
      <c r="CV6" s="431"/>
      <c r="CW6" s="431"/>
      <c r="CX6" s="431"/>
      <c r="CY6" s="431"/>
      <c r="CZ6" s="431"/>
      <c r="DA6" s="431"/>
      <c r="DB6" s="431"/>
      <c r="DC6" s="431"/>
      <c r="DD6" s="431"/>
      <c r="DE6" s="431"/>
      <c r="DF6" s="431"/>
      <c r="DG6" s="431"/>
      <c r="DH6" s="431"/>
      <c r="DI6" s="431"/>
      <c r="DJ6" s="431"/>
      <c r="DK6" s="431"/>
      <c r="DL6" s="431"/>
      <c r="DM6" s="431"/>
      <c r="DN6" s="431"/>
      <c r="DO6" s="431"/>
      <c r="DP6" s="431"/>
      <c r="DQ6" s="431"/>
      <c r="DR6" s="431"/>
      <c r="DS6" s="431"/>
      <c r="DT6" s="431"/>
      <c r="DU6" s="431"/>
      <c r="DV6" s="431"/>
      <c r="DW6" s="431"/>
      <c r="DX6" s="431"/>
      <c r="DY6" s="431"/>
      <c r="DZ6" s="431"/>
      <c r="EA6" s="431"/>
      <c r="EB6" s="431"/>
      <c r="EC6" s="431"/>
      <c r="ED6" s="431"/>
      <c r="EE6" s="431"/>
      <c r="EF6" s="431"/>
      <c r="EG6" s="431"/>
      <c r="EH6" s="431"/>
      <c r="EI6" s="431"/>
      <c r="EJ6" s="431"/>
      <c r="EK6" s="431"/>
      <c r="EL6" s="431"/>
      <c r="EM6" s="431"/>
      <c r="EN6" s="431"/>
      <c r="EO6" s="431"/>
      <c r="EP6" s="431"/>
      <c r="EQ6" s="431"/>
      <c r="ER6" s="431"/>
      <c r="ES6" s="431"/>
      <c r="ET6" s="431"/>
      <c r="EU6" s="431"/>
      <c r="EV6" s="431"/>
      <c r="EW6" s="431"/>
      <c r="EX6" s="431"/>
      <c r="EY6" s="431"/>
      <c r="EZ6" s="431"/>
      <c r="FA6" s="431"/>
      <c r="FB6" s="431"/>
      <c r="FC6" s="431"/>
      <c r="FD6" s="431"/>
      <c r="FE6" s="431"/>
      <c r="FF6" s="431"/>
      <c r="FG6" s="431"/>
      <c r="FH6" s="431"/>
      <c r="FI6" s="431"/>
      <c r="FJ6" s="431"/>
      <c r="FK6" s="431"/>
      <c r="FL6" s="431"/>
      <c r="FM6" s="431"/>
      <c r="FN6" s="431"/>
      <c r="FO6" s="431"/>
      <c r="FP6" s="431"/>
      <c r="FQ6" s="431"/>
      <c r="FR6" s="431"/>
      <c r="FS6" s="431"/>
      <c r="FT6" s="431"/>
      <c r="FU6" s="431"/>
      <c r="FV6" s="431"/>
      <c r="FW6" s="431"/>
      <c r="FX6" s="431"/>
      <c r="FY6" s="431"/>
      <c r="FZ6" s="431"/>
      <c r="GA6" s="431"/>
      <c r="GB6" s="431"/>
      <c r="GC6" s="431"/>
      <c r="GD6" s="431"/>
      <c r="GE6" s="431"/>
      <c r="GF6" s="431"/>
      <c r="GG6" s="571"/>
      <c r="GH6" s="410"/>
      <c r="GI6" s="410"/>
      <c r="GJ6" s="410"/>
      <c r="GK6" s="410"/>
      <c r="GL6" s="410"/>
      <c r="GM6" s="410"/>
      <c r="GN6" s="410"/>
      <c r="GO6" s="410"/>
      <c r="GP6" s="410"/>
      <c r="GQ6" s="410"/>
      <c r="GR6" s="410"/>
      <c r="GS6" s="410"/>
      <c r="GT6" s="410"/>
      <c r="GU6" s="410"/>
      <c r="GV6" s="410"/>
      <c r="GW6" s="410"/>
      <c r="GX6" s="410"/>
      <c r="GY6" s="410"/>
      <c r="GZ6" s="410"/>
      <c r="HA6" s="410"/>
      <c r="HB6" s="410"/>
      <c r="HC6" s="410"/>
      <c r="HD6" s="410"/>
      <c r="HE6" s="410"/>
      <c r="HF6" s="410"/>
      <c r="HG6" s="410"/>
      <c r="HH6" s="410"/>
      <c r="HI6" s="410"/>
      <c r="HJ6" s="410"/>
      <c r="HK6" s="410"/>
      <c r="HL6" s="410"/>
      <c r="HM6" s="410"/>
      <c r="HN6" s="410"/>
      <c r="HO6" s="410"/>
      <c r="HP6" s="410"/>
      <c r="HQ6" s="410"/>
      <c r="HR6" s="410"/>
      <c r="HS6" s="410"/>
      <c r="HT6" s="410"/>
      <c r="HU6" s="410"/>
      <c r="HV6" s="410"/>
      <c r="HW6" s="410"/>
      <c r="HX6" s="410"/>
      <c r="HY6" s="410"/>
      <c r="HZ6" s="410"/>
      <c r="IA6" s="410"/>
      <c r="IB6" s="410"/>
      <c r="IC6" s="410"/>
      <c r="ID6" s="410"/>
      <c r="IE6" s="410"/>
      <c r="IF6" s="410"/>
      <c r="IG6" s="410"/>
      <c r="IH6" s="410"/>
      <c r="II6" s="410"/>
      <c r="IJ6" s="410"/>
      <c r="IK6" s="410"/>
      <c r="IL6" s="410"/>
      <c r="IM6" s="410"/>
      <c r="IN6" s="410"/>
      <c r="IO6" s="410"/>
      <c r="IP6" s="410"/>
      <c r="IQ6" s="410"/>
      <c r="IR6" s="410"/>
      <c r="IS6" s="410"/>
      <c r="IT6" s="410"/>
      <c r="IU6" s="410"/>
      <c r="IV6" s="410"/>
      <c r="IW6" s="410"/>
      <c r="IX6" s="410"/>
      <c r="IY6" s="410"/>
      <c r="IZ6" s="410"/>
      <c r="JA6" s="410"/>
      <c r="JB6" s="410"/>
      <c r="JC6" s="410"/>
      <c r="JD6" s="410"/>
      <c r="JE6" s="410"/>
      <c r="JF6" s="410"/>
      <c r="JG6" s="410"/>
      <c r="JH6" s="410"/>
      <c r="JI6" s="410"/>
      <c r="JJ6" s="410"/>
      <c r="JK6" s="410"/>
      <c r="JL6" s="410"/>
      <c r="JM6" s="410"/>
      <c r="JN6" s="410"/>
      <c r="JO6" s="410"/>
      <c r="JP6" s="410"/>
      <c r="JQ6" s="410"/>
      <c r="JR6" s="410"/>
      <c r="JS6" s="410"/>
      <c r="JT6" s="410"/>
      <c r="JU6" s="410"/>
      <c r="JV6" s="410"/>
      <c r="JW6" s="410"/>
      <c r="JX6" s="410"/>
      <c r="JY6" s="410"/>
      <c r="JZ6" s="410"/>
      <c r="KA6" s="410"/>
      <c r="KB6" s="410"/>
      <c r="KC6" s="410"/>
      <c r="KD6" s="410"/>
      <c r="KE6" s="410"/>
      <c r="KF6" s="410"/>
      <c r="KG6" s="410"/>
      <c r="KH6" s="410"/>
      <c r="KI6" s="410"/>
      <c r="KJ6" s="410"/>
      <c r="KK6" s="410"/>
      <c r="KL6" s="410"/>
    </row>
    <row r="7" spans="1:298" ht="18.899999999999999" customHeight="1">
      <c r="A7" s="585"/>
      <c r="B7" s="434"/>
      <c r="C7" s="538"/>
      <c r="D7" s="538"/>
      <c r="E7" s="538"/>
      <c r="F7" s="538"/>
      <c r="G7" s="538"/>
      <c r="H7" s="538"/>
      <c r="I7" s="538"/>
      <c r="J7" s="538"/>
      <c r="K7" s="538"/>
      <c r="L7" s="538"/>
      <c r="M7" s="538"/>
      <c r="N7" s="538"/>
      <c r="O7" s="538"/>
      <c r="P7" s="538"/>
      <c r="Q7" s="538"/>
      <c r="R7" s="538"/>
      <c r="S7" s="538"/>
      <c r="T7" s="538"/>
      <c r="U7" s="538"/>
      <c r="V7" s="538"/>
      <c r="W7" s="538"/>
      <c r="X7" s="538"/>
      <c r="Y7" s="538"/>
      <c r="Z7" s="538"/>
      <c r="AA7" s="538"/>
      <c r="AB7" s="538"/>
      <c r="AC7" s="538"/>
      <c r="AD7" s="538"/>
      <c r="AE7" s="538"/>
      <c r="AF7" s="538"/>
      <c r="AG7" s="435"/>
      <c r="AH7" s="435"/>
      <c r="AI7" s="435"/>
      <c r="AJ7" s="412"/>
      <c r="AK7" s="412"/>
      <c r="AL7" s="412"/>
      <c r="AM7" s="412"/>
      <c r="AN7" s="412"/>
      <c r="AO7" s="412"/>
      <c r="AP7" s="412"/>
      <c r="AQ7" s="412"/>
      <c r="AR7" s="412"/>
      <c r="AS7" s="412"/>
      <c r="AT7" s="412"/>
      <c r="AU7" s="412"/>
      <c r="AV7" s="412"/>
      <c r="AW7" s="412"/>
      <c r="AX7" s="412"/>
      <c r="AY7" s="412"/>
      <c r="AZ7" s="412"/>
      <c r="BA7" s="412"/>
      <c r="BB7" s="412"/>
      <c r="BC7" s="412"/>
      <c r="BD7" s="412"/>
      <c r="BE7" s="412"/>
      <c r="BF7" s="412"/>
      <c r="BG7" s="412"/>
      <c r="BH7" s="412"/>
      <c r="BI7" s="412"/>
      <c r="BJ7" s="412"/>
      <c r="BK7" s="412"/>
      <c r="BL7" s="412"/>
      <c r="BM7" s="412"/>
      <c r="BN7" s="412"/>
      <c r="BO7" s="412"/>
      <c r="BP7" s="412"/>
      <c r="BQ7" s="412"/>
      <c r="BR7" s="412"/>
      <c r="BS7" s="412"/>
      <c r="BT7" s="412"/>
      <c r="BU7" s="412"/>
      <c r="BV7" s="412"/>
      <c r="BW7" s="412"/>
      <c r="BX7" s="412"/>
      <c r="BY7" s="412"/>
      <c r="BZ7" s="412"/>
      <c r="CA7" s="412"/>
      <c r="CB7" s="412"/>
      <c r="CC7" s="412"/>
      <c r="CD7" s="412"/>
      <c r="CE7" s="412"/>
      <c r="CF7" s="412"/>
      <c r="CG7" s="412"/>
      <c r="CH7" s="412"/>
      <c r="CI7" s="412"/>
      <c r="CJ7" s="412"/>
      <c r="CK7" s="412"/>
      <c r="CL7" s="412"/>
      <c r="CM7" s="412"/>
      <c r="CN7" s="412"/>
      <c r="CO7" s="412"/>
      <c r="CP7" s="412"/>
      <c r="CQ7" s="412"/>
      <c r="CR7" s="412"/>
      <c r="CS7" s="412"/>
      <c r="CT7" s="412"/>
      <c r="CU7" s="412"/>
      <c r="CV7" s="412"/>
      <c r="CW7" s="412"/>
      <c r="CX7" s="412"/>
      <c r="CY7" s="412"/>
      <c r="CZ7" s="412"/>
      <c r="DA7" s="412"/>
      <c r="DB7" s="412"/>
      <c r="DC7" s="412"/>
      <c r="DD7" s="412"/>
      <c r="DE7" s="412"/>
      <c r="DF7" s="412"/>
      <c r="DG7" s="412"/>
      <c r="DH7" s="412"/>
      <c r="DI7" s="412"/>
      <c r="DJ7" s="412"/>
      <c r="DK7" s="412"/>
      <c r="DL7" s="412"/>
      <c r="DM7" s="412"/>
      <c r="DN7" s="412"/>
      <c r="DO7" s="412"/>
      <c r="DP7" s="412"/>
      <c r="DQ7" s="412"/>
      <c r="DR7" s="412"/>
      <c r="DS7" s="412"/>
      <c r="DT7" s="412"/>
      <c r="DU7" s="412"/>
      <c r="DV7" s="412"/>
      <c r="DW7" s="412"/>
      <c r="DX7" s="412"/>
      <c r="DY7" s="412"/>
      <c r="DZ7" s="412"/>
      <c r="EA7" s="412"/>
      <c r="EB7" s="412"/>
      <c r="EC7" s="412"/>
      <c r="ED7" s="412"/>
      <c r="EE7" s="412"/>
      <c r="EF7" s="412"/>
      <c r="EG7" s="412"/>
      <c r="EH7" s="412"/>
      <c r="EI7" s="412"/>
      <c r="EJ7" s="412"/>
      <c r="EK7" s="412"/>
      <c r="EL7" s="412"/>
      <c r="EM7" s="412"/>
      <c r="EN7" s="412"/>
      <c r="EO7" s="412"/>
      <c r="EP7" s="412"/>
      <c r="EQ7" s="412"/>
      <c r="ER7" s="412"/>
      <c r="ES7" s="412"/>
      <c r="ET7" s="412"/>
      <c r="EU7" s="412"/>
      <c r="EV7" s="412"/>
      <c r="EW7" s="412"/>
      <c r="EX7" s="412"/>
      <c r="EY7" s="412"/>
      <c r="EZ7" s="412"/>
      <c r="FA7" s="412"/>
      <c r="FB7" s="412"/>
      <c r="FC7" s="412"/>
      <c r="FD7" s="412"/>
      <c r="FE7" s="412"/>
      <c r="FF7" s="412"/>
      <c r="FG7" s="412"/>
      <c r="FH7" s="412"/>
      <c r="FI7" s="412"/>
      <c r="FJ7" s="412"/>
      <c r="FK7" s="412"/>
      <c r="FL7" s="412"/>
      <c r="FM7" s="412"/>
      <c r="FN7" s="412"/>
      <c r="FO7" s="412"/>
      <c r="FP7" s="412"/>
      <c r="FQ7" s="412"/>
      <c r="FR7" s="412"/>
      <c r="FS7" s="412"/>
      <c r="FT7" s="412"/>
      <c r="FU7" s="412"/>
      <c r="FV7" s="412"/>
      <c r="FW7" s="412"/>
      <c r="FX7" s="412"/>
      <c r="FY7" s="412"/>
      <c r="FZ7" s="412"/>
      <c r="GA7" s="412"/>
      <c r="GB7" s="412"/>
      <c r="GC7" s="412"/>
      <c r="GD7" s="412"/>
      <c r="GE7" s="412"/>
      <c r="GF7" s="412"/>
      <c r="GG7" s="436"/>
    </row>
    <row r="8" spans="1:298" ht="18.899999999999999" customHeight="1">
      <c r="A8" s="433"/>
      <c r="B8" s="434"/>
      <c r="C8" s="538"/>
      <c r="D8" s="538"/>
      <c r="E8" s="538"/>
      <c r="F8" s="538"/>
      <c r="G8" s="538"/>
      <c r="H8" s="538"/>
      <c r="I8" s="538"/>
      <c r="J8" s="538"/>
      <c r="K8" s="538"/>
      <c r="L8" s="538"/>
      <c r="M8" s="538"/>
      <c r="N8" s="538"/>
      <c r="O8" s="538"/>
      <c r="P8" s="538"/>
      <c r="Q8" s="538"/>
      <c r="R8" s="538"/>
      <c r="S8" s="538"/>
      <c r="T8" s="538"/>
      <c r="U8" s="538"/>
      <c r="V8" s="538"/>
      <c r="W8" s="538"/>
      <c r="X8" s="538"/>
      <c r="Y8" s="538"/>
      <c r="Z8" s="538"/>
      <c r="AA8" s="538"/>
      <c r="AB8" s="538"/>
      <c r="AC8" s="538"/>
      <c r="AD8" s="538"/>
      <c r="AE8" s="538"/>
      <c r="AF8" s="538"/>
      <c r="AG8" s="435"/>
      <c r="AH8" s="435"/>
      <c r="AI8" s="435"/>
      <c r="AJ8" s="412"/>
      <c r="AK8" s="412"/>
      <c r="AL8" s="412"/>
      <c r="AM8" s="412"/>
      <c r="AN8" s="412"/>
      <c r="AO8" s="412"/>
      <c r="AP8" s="412"/>
      <c r="AQ8" s="412"/>
      <c r="AR8" s="412"/>
      <c r="AS8" s="412"/>
      <c r="AT8" s="412"/>
      <c r="AU8" s="412"/>
      <c r="AV8" s="412"/>
      <c r="AW8" s="412"/>
      <c r="AX8" s="412"/>
      <c r="AY8" s="412"/>
      <c r="AZ8" s="412"/>
      <c r="BA8" s="412"/>
      <c r="BB8" s="412"/>
      <c r="BC8" s="412"/>
      <c r="BD8" s="412"/>
      <c r="BE8" s="412"/>
      <c r="BF8" s="412"/>
      <c r="BG8" s="412"/>
      <c r="BH8" s="412"/>
      <c r="BI8" s="412"/>
      <c r="BJ8" s="412"/>
      <c r="BK8" s="412"/>
      <c r="BL8" s="412"/>
      <c r="BM8" s="412"/>
      <c r="BN8" s="412"/>
      <c r="BO8" s="412"/>
      <c r="BP8" s="412"/>
      <c r="BQ8" s="412"/>
      <c r="BR8" s="412"/>
      <c r="BS8" s="412"/>
      <c r="BT8" s="412"/>
      <c r="BU8" s="412"/>
      <c r="BV8" s="412"/>
      <c r="BW8" s="412"/>
      <c r="BX8" s="412"/>
      <c r="BY8" s="412"/>
      <c r="BZ8" s="412"/>
      <c r="CA8" s="412"/>
      <c r="CB8" s="412"/>
      <c r="CC8" s="412"/>
      <c r="CD8" s="412"/>
      <c r="CE8" s="412"/>
      <c r="CF8" s="412"/>
      <c r="CG8" s="412"/>
      <c r="CH8" s="412"/>
      <c r="CI8" s="412"/>
      <c r="CJ8" s="412"/>
      <c r="CK8" s="412"/>
      <c r="CL8" s="412"/>
      <c r="CM8" s="412"/>
      <c r="CN8" s="412"/>
      <c r="CO8" s="412"/>
      <c r="CP8" s="412"/>
      <c r="CQ8" s="412"/>
      <c r="CR8" s="412"/>
      <c r="CS8" s="412"/>
      <c r="CT8" s="412"/>
      <c r="CU8" s="412"/>
      <c r="CV8" s="412"/>
      <c r="CW8" s="412"/>
      <c r="CX8" s="412"/>
      <c r="CY8" s="412"/>
      <c r="CZ8" s="412"/>
      <c r="DA8" s="412"/>
      <c r="DB8" s="412"/>
      <c r="DC8" s="412"/>
      <c r="DD8" s="412"/>
      <c r="DE8" s="412"/>
      <c r="DF8" s="412"/>
      <c r="DG8" s="412"/>
      <c r="DH8" s="412"/>
      <c r="DI8" s="412"/>
      <c r="DJ8" s="412"/>
      <c r="DK8" s="412"/>
      <c r="DL8" s="412"/>
      <c r="DM8" s="412"/>
      <c r="DN8" s="412"/>
      <c r="DO8" s="412"/>
      <c r="DP8" s="412"/>
      <c r="DQ8" s="412"/>
      <c r="DR8" s="412"/>
      <c r="DS8" s="412"/>
      <c r="DT8" s="412"/>
      <c r="DU8" s="412"/>
      <c r="DV8" s="412"/>
      <c r="DW8" s="412"/>
      <c r="DX8" s="412"/>
      <c r="DY8" s="412"/>
      <c r="DZ8" s="412"/>
      <c r="EA8" s="412"/>
      <c r="EB8" s="412"/>
      <c r="EC8" s="412"/>
      <c r="ED8" s="412"/>
      <c r="EE8" s="412"/>
      <c r="EF8" s="412"/>
      <c r="EG8" s="412"/>
      <c r="EH8" s="412"/>
      <c r="EI8" s="412"/>
      <c r="EJ8" s="412"/>
      <c r="EK8" s="412"/>
      <c r="EL8" s="412"/>
      <c r="EM8" s="412"/>
      <c r="EN8" s="412"/>
      <c r="EO8" s="412"/>
      <c r="EP8" s="412"/>
      <c r="EQ8" s="412"/>
      <c r="ER8" s="412"/>
      <c r="ES8" s="412"/>
      <c r="ET8" s="412"/>
      <c r="EU8" s="412"/>
      <c r="EV8" s="412"/>
      <c r="EW8" s="412"/>
      <c r="EX8" s="412"/>
      <c r="EY8" s="412"/>
      <c r="EZ8" s="412"/>
      <c r="FA8" s="412"/>
      <c r="FB8" s="412"/>
      <c r="FC8" s="412"/>
      <c r="FD8" s="412"/>
      <c r="FE8" s="412"/>
      <c r="FF8" s="412"/>
      <c r="FG8" s="412"/>
      <c r="FH8" s="412"/>
      <c r="FI8" s="412"/>
      <c r="FJ8" s="412"/>
      <c r="FK8" s="412"/>
      <c r="FL8" s="412"/>
      <c r="FM8" s="412"/>
      <c r="FN8" s="412"/>
      <c r="FO8" s="412"/>
      <c r="FP8" s="412"/>
      <c r="FQ8" s="412"/>
      <c r="FR8" s="412"/>
      <c r="FS8" s="412"/>
      <c r="FT8" s="412"/>
      <c r="FU8" s="412"/>
      <c r="FV8" s="412"/>
      <c r="FW8" s="412"/>
      <c r="FX8" s="412"/>
      <c r="FY8" s="412"/>
      <c r="FZ8" s="412"/>
      <c r="GA8" s="412"/>
      <c r="GB8" s="412"/>
      <c r="GC8" s="412"/>
      <c r="GD8" s="412"/>
      <c r="GE8" s="412"/>
      <c r="GF8" s="412"/>
      <c r="GG8" s="436"/>
    </row>
    <row r="9" spans="1:298" ht="18.899999999999999" customHeight="1">
      <c r="A9" s="721"/>
      <c r="B9" s="434"/>
      <c r="C9" s="538"/>
      <c r="D9" s="538"/>
      <c r="E9" s="538"/>
      <c r="F9" s="538"/>
      <c r="G9" s="538"/>
      <c r="H9" s="538"/>
      <c r="I9" s="538"/>
      <c r="J9" s="538"/>
      <c r="K9" s="538"/>
      <c r="L9" s="538"/>
      <c r="M9" s="538"/>
      <c r="N9" s="538"/>
      <c r="O9" s="538"/>
      <c r="P9" s="538"/>
      <c r="Q9" s="538"/>
      <c r="R9" s="538"/>
      <c r="S9" s="538"/>
      <c r="T9" s="538"/>
      <c r="U9" s="538"/>
      <c r="V9" s="538"/>
      <c r="W9" s="538"/>
      <c r="X9" s="538"/>
      <c r="Y9" s="538"/>
      <c r="Z9" s="538"/>
      <c r="AA9" s="538"/>
      <c r="AB9" s="538"/>
      <c r="AC9" s="538"/>
      <c r="AD9" s="538"/>
      <c r="AE9" s="538"/>
      <c r="AF9" s="538"/>
      <c r="AG9" s="435"/>
      <c r="AH9" s="435"/>
      <c r="AI9" s="435"/>
      <c r="AJ9" s="412"/>
      <c r="AK9" s="412"/>
      <c r="AL9" s="412"/>
      <c r="AM9" s="412"/>
      <c r="AN9" s="412"/>
      <c r="AO9" s="412"/>
      <c r="AP9" s="412"/>
      <c r="AQ9" s="412"/>
      <c r="AR9" s="412"/>
      <c r="AS9" s="412"/>
      <c r="AT9" s="412"/>
      <c r="AU9" s="412"/>
      <c r="AV9" s="412"/>
      <c r="AW9" s="412"/>
      <c r="AX9" s="412"/>
      <c r="AY9" s="412"/>
      <c r="AZ9" s="412"/>
      <c r="BA9" s="412"/>
      <c r="BB9" s="412"/>
      <c r="BC9" s="412"/>
      <c r="BD9" s="412"/>
      <c r="BE9" s="412"/>
      <c r="BF9" s="412"/>
      <c r="BG9" s="412"/>
      <c r="BH9" s="412"/>
      <c r="BI9" s="412"/>
      <c r="BJ9" s="412"/>
      <c r="BK9" s="412"/>
      <c r="BL9" s="412"/>
      <c r="BM9" s="412"/>
      <c r="BN9" s="412"/>
      <c r="BO9" s="412"/>
      <c r="BP9" s="412"/>
      <c r="BQ9" s="412"/>
      <c r="BR9" s="412"/>
      <c r="BS9" s="412"/>
      <c r="BT9" s="412"/>
      <c r="BU9" s="412"/>
      <c r="BV9" s="412"/>
      <c r="BW9" s="412"/>
      <c r="BX9" s="412"/>
      <c r="BY9" s="412"/>
      <c r="BZ9" s="412"/>
      <c r="CA9" s="412"/>
      <c r="CB9" s="412"/>
      <c r="CC9" s="412"/>
      <c r="CD9" s="412"/>
      <c r="CE9" s="412"/>
      <c r="CF9" s="412"/>
      <c r="CG9" s="412"/>
      <c r="CH9" s="412"/>
      <c r="CI9" s="412"/>
      <c r="CJ9" s="412"/>
      <c r="CK9" s="412"/>
      <c r="CL9" s="412"/>
      <c r="CM9" s="412"/>
      <c r="CN9" s="412"/>
      <c r="CO9" s="412"/>
      <c r="CP9" s="412"/>
      <c r="CQ9" s="412"/>
      <c r="CR9" s="412"/>
      <c r="CS9" s="412"/>
      <c r="CT9" s="412"/>
      <c r="CU9" s="412"/>
      <c r="CV9" s="412"/>
      <c r="CW9" s="412"/>
      <c r="CX9" s="412"/>
      <c r="CY9" s="412"/>
      <c r="CZ9" s="412"/>
      <c r="DA9" s="412"/>
      <c r="DB9" s="412"/>
      <c r="DC9" s="412"/>
      <c r="DD9" s="412"/>
      <c r="DE9" s="412"/>
      <c r="DF9" s="412"/>
      <c r="DG9" s="412"/>
      <c r="DH9" s="412"/>
      <c r="DI9" s="412"/>
      <c r="DJ9" s="412"/>
      <c r="DK9" s="412"/>
      <c r="DL9" s="412"/>
      <c r="DM9" s="412"/>
      <c r="DN9" s="412"/>
      <c r="DO9" s="412"/>
      <c r="DP9" s="412"/>
      <c r="DQ9" s="412"/>
      <c r="DR9" s="412"/>
      <c r="DS9" s="412"/>
      <c r="DT9" s="412"/>
      <c r="DU9" s="412"/>
      <c r="DV9" s="412"/>
      <c r="DW9" s="412"/>
      <c r="DX9" s="412"/>
      <c r="DY9" s="412"/>
      <c r="DZ9" s="412"/>
      <c r="EA9" s="412"/>
      <c r="EB9" s="412"/>
      <c r="EC9" s="412"/>
      <c r="ED9" s="412"/>
      <c r="EE9" s="412"/>
      <c r="EF9" s="412"/>
      <c r="EG9" s="412"/>
      <c r="EH9" s="412"/>
      <c r="EI9" s="412"/>
      <c r="EJ9" s="412"/>
      <c r="EK9" s="412"/>
      <c r="EL9" s="412"/>
      <c r="EM9" s="412"/>
      <c r="EN9" s="412"/>
      <c r="EO9" s="412"/>
      <c r="EP9" s="412"/>
      <c r="EQ9" s="412"/>
      <c r="ER9" s="412"/>
      <c r="ES9" s="412"/>
      <c r="ET9" s="412"/>
      <c r="EU9" s="412"/>
      <c r="EV9" s="412"/>
      <c r="EW9" s="412"/>
      <c r="EX9" s="412"/>
      <c r="EY9" s="412"/>
      <c r="EZ9" s="412"/>
      <c r="FA9" s="412"/>
      <c r="FB9" s="412"/>
      <c r="FC9" s="412"/>
      <c r="FD9" s="412"/>
      <c r="FE9" s="412"/>
      <c r="FF9" s="412"/>
      <c r="FG9" s="412"/>
      <c r="FH9" s="412"/>
      <c r="FI9" s="412"/>
      <c r="FJ9" s="412"/>
      <c r="FK9" s="412"/>
      <c r="FL9" s="412"/>
      <c r="FM9" s="412"/>
      <c r="FN9" s="412"/>
      <c r="FO9" s="412"/>
      <c r="FP9" s="412"/>
      <c r="FQ9" s="412"/>
      <c r="FR9" s="412"/>
      <c r="FS9" s="412"/>
      <c r="FT9" s="412"/>
      <c r="FU9" s="412"/>
      <c r="FV9" s="412"/>
      <c r="FW9" s="412"/>
      <c r="FX9" s="412"/>
      <c r="FY9" s="412"/>
      <c r="FZ9" s="412"/>
      <c r="GA9" s="412"/>
      <c r="GB9" s="412"/>
      <c r="GC9" s="412"/>
      <c r="GD9" s="412"/>
      <c r="GE9" s="412"/>
      <c r="GF9" s="412"/>
      <c r="GG9" s="436"/>
    </row>
    <row r="10" spans="1:298" ht="18.899999999999999" customHeight="1">
      <c r="A10" s="721"/>
      <c r="B10" s="434"/>
      <c r="C10" s="538"/>
      <c r="D10" s="538"/>
      <c r="E10" s="538"/>
      <c r="F10" s="538"/>
      <c r="G10" s="538"/>
      <c r="H10" s="538"/>
      <c r="I10" s="538"/>
      <c r="J10" s="538"/>
      <c r="K10" s="538"/>
      <c r="L10" s="538"/>
      <c r="M10" s="538"/>
      <c r="N10" s="538"/>
      <c r="O10" s="538"/>
      <c r="P10" s="538"/>
      <c r="Q10" s="538"/>
      <c r="R10" s="538"/>
      <c r="S10" s="538"/>
      <c r="T10" s="538"/>
      <c r="U10" s="538"/>
      <c r="V10" s="538"/>
      <c r="W10" s="538"/>
      <c r="X10" s="538"/>
      <c r="Y10" s="538"/>
      <c r="Z10" s="538"/>
      <c r="AA10" s="538"/>
      <c r="AB10" s="538"/>
      <c r="AC10" s="538"/>
      <c r="AD10" s="538"/>
      <c r="AE10" s="538"/>
      <c r="AF10" s="538"/>
      <c r="AG10" s="435"/>
      <c r="AH10" s="435"/>
      <c r="AI10" s="435"/>
      <c r="AJ10" s="412"/>
      <c r="AK10" s="412"/>
      <c r="AL10" s="412"/>
      <c r="AM10" s="412"/>
      <c r="AN10" s="412"/>
      <c r="AO10" s="412"/>
      <c r="AP10" s="412"/>
      <c r="AQ10" s="412"/>
      <c r="AR10" s="412"/>
      <c r="AS10" s="412"/>
      <c r="AT10" s="412"/>
      <c r="AU10" s="412"/>
      <c r="AV10" s="412"/>
      <c r="AW10" s="412"/>
      <c r="AX10" s="412"/>
      <c r="AY10" s="412"/>
      <c r="AZ10" s="412"/>
      <c r="BA10" s="412"/>
      <c r="BB10" s="412"/>
      <c r="BC10" s="412"/>
      <c r="BD10" s="412"/>
      <c r="BE10" s="412"/>
      <c r="BF10" s="412"/>
      <c r="BG10" s="412"/>
      <c r="BH10" s="412"/>
      <c r="BI10" s="412"/>
      <c r="BJ10" s="412"/>
      <c r="BK10" s="412"/>
      <c r="BL10" s="412"/>
      <c r="BM10" s="412"/>
      <c r="BN10" s="412"/>
      <c r="BO10" s="412"/>
      <c r="BP10" s="412"/>
      <c r="BQ10" s="412"/>
      <c r="BR10" s="412"/>
      <c r="BS10" s="412"/>
      <c r="BT10" s="412"/>
      <c r="BU10" s="412"/>
      <c r="BV10" s="412"/>
      <c r="BW10" s="412"/>
      <c r="BX10" s="412"/>
      <c r="BY10" s="412"/>
      <c r="BZ10" s="412"/>
      <c r="CA10" s="412"/>
      <c r="CB10" s="412"/>
      <c r="CC10" s="412"/>
      <c r="CD10" s="412"/>
      <c r="CE10" s="412"/>
      <c r="CF10" s="412"/>
      <c r="CG10" s="412"/>
      <c r="CH10" s="412"/>
      <c r="CI10" s="412"/>
      <c r="CJ10" s="412"/>
      <c r="CK10" s="412"/>
      <c r="CL10" s="412"/>
      <c r="CM10" s="412"/>
      <c r="CN10" s="412"/>
      <c r="CO10" s="412"/>
      <c r="CP10" s="412"/>
      <c r="CQ10" s="412"/>
      <c r="CR10" s="412"/>
      <c r="CS10" s="412"/>
      <c r="CT10" s="412"/>
      <c r="CU10" s="412"/>
      <c r="CV10" s="412"/>
      <c r="CW10" s="412"/>
      <c r="CX10" s="412"/>
      <c r="CY10" s="412"/>
      <c r="CZ10" s="412"/>
      <c r="DA10" s="412"/>
      <c r="DB10" s="412"/>
      <c r="DC10" s="412"/>
      <c r="DD10" s="412"/>
      <c r="DE10" s="412"/>
      <c r="DF10" s="412"/>
      <c r="DG10" s="412"/>
      <c r="DH10" s="412"/>
      <c r="DI10" s="412"/>
      <c r="DJ10" s="412"/>
      <c r="DK10" s="412"/>
      <c r="DL10" s="412"/>
      <c r="DM10" s="412"/>
      <c r="DN10" s="412"/>
      <c r="DO10" s="412"/>
      <c r="DP10" s="412"/>
      <c r="DQ10" s="412"/>
      <c r="DR10" s="412"/>
      <c r="DS10" s="412"/>
      <c r="DT10" s="412"/>
      <c r="DU10" s="412"/>
      <c r="DV10" s="412"/>
      <c r="DW10" s="412"/>
      <c r="DX10" s="412"/>
      <c r="DY10" s="412"/>
      <c r="DZ10" s="412"/>
      <c r="EA10" s="412"/>
      <c r="EB10" s="412"/>
      <c r="EC10" s="412"/>
      <c r="ED10" s="412"/>
      <c r="EE10" s="412"/>
      <c r="EF10" s="412"/>
      <c r="EG10" s="412"/>
      <c r="EH10" s="412"/>
      <c r="EI10" s="412"/>
      <c r="EJ10" s="412"/>
      <c r="EK10" s="412"/>
      <c r="EL10" s="412"/>
      <c r="EM10" s="412"/>
      <c r="EN10" s="412"/>
      <c r="EO10" s="412"/>
      <c r="EP10" s="412"/>
      <c r="EQ10" s="412"/>
      <c r="ER10" s="412"/>
      <c r="ES10" s="412"/>
      <c r="ET10" s="412"/>
      <c r="EU10" s="412"/>
      <c r="EV10" s="412"/>
      <c r="EW10" s="412"/>
      <c r="EX10" s="412"/>
      <c r="EY10" s="412"/>
      <c r="EZ10" s="412"/>
      <c r="FA10" s="412"/>
      <c r="FB10" s="412"/>
      <c r="FC10" s="412"/>
      <c r="FD10" s="412"/>
      <c r="FE10" s="412"/>
      <c r="FF10" s="412"/>
      <c r="FG10" s="412"/>
      <c r="FH10" s="412"/>
      <c r="FI10" s="412"/>
      <c r="FJ10" s="412"/>
      <c r="FK10" s="412"/>
      <c r="FL10" s="412"/>
      <c r="FM10" s="412"/>
      <c r="FN10" s="412"/>
      <c r="FO10" s="412"/>
      <c r="FP10" s="412"/>
      <c r="FQ10" s="412"/>
      <c r="FR10" s="412"/>
      <c r="FS10" s="412"/>
      <c r="FT10" s="412"/>
      <c r="FU10" s="412"/>
      <c r="FV10" s="412"/>
      <c r="FW10" s="412"/>
      <c r="FX10" s="412"/>
      <c r="FY10" s="412"/>
      <c r="FZ10" s="412"/>
      <c r="GA10" s="412"/>
      <c r="GB10" s="412"/>
      <c r="GC10" s="412"/>
      <c r="GD10" s="412"/>
      <c r="GE10" s="412"/>
      <c r="GF10" s="412"/>
      <c r="GG10" s="436"/>
    </row>
    <row r="11" spans="1:298" ht="18.899999999999999" customHeight="1">
      <c r="A11" s="721"/>
      <c r="B11" s="434"/>
      <c r="C11" s="538"/>
      <c r="D11" s="538"/>
      <c r="E11" s="538"/>
      <c r="F11" s="538"/>
      <c r="G11" s="538"/>
      <c r="H11" s="538"/>
      <c r="I11" s="538"/>
      <c r="J11" s="538"/>
      <c r="K11" s="538"/>
      <c r="L11" s="538"/>
      <c r="M11" s="538"/>
      <c r="N11" s="538"/>
      <c r="O11" s="538"/>
      <c r="P11" s="538"/>
      <c r="Q11" s="538"/>
      <c r="R11" s="538"/>
      <c r="S11" s="538"/>
      <c r="T11" s="538"/>
      <c r="U11" s="538"/>
      <c r="V11" s="538"/>
      <c r="W11" s="538"/>
      <c r="X11" s="538"/>
      <c r="Y11" s="538"/>
      <c r="Z11" s="538"/>
      <c r="AA11" s="538"/>
      <c r="AB11" s="538"/>
      <c r="AC11" s="538"/>
      <c r="AD11" s="538"/>
      <c r="AE11" s="538"/>
      <c r="AF11" s="538"/>
      <c r="AG11" s="435"/>
      <c r="AH11" s="435"/>
      <c r="AI11" s="435"/>
      <c r="AJ11" s="412"/>
      <c r="AK11" s="412"/>
      <c r="AL11" s="412"/>
      <c r="AM11" s="412"/>
      <c r="AN11" s="412"/>
      <c r="AO11" s="412"/>
      <c r="AP11" s="412"/>
      <c r="AQ11" s="412"/>
      <c r="AR11" s="412"/>
      <c r="AS11" s="412"/>
      <c r="AT11" s="412"/>
      <c r="AU11" s="412"/>
      <c r="AV11" s="412"/>
      <c r="AW11" s="412"/>
      <c r="AX11" s="412"/>
      <c r="AY11" s="412"/>
      <c r="AZ11" s="412"/>
      <c r="BA11" s="412"/>
      <c r="BB11" s="412"/>
      <c r="BC11" s="412"/>
      <c r="BD11" s="412"/>
      <c r="BE11" s="412"/>
      <c r="BF11" s="412"/>
      <c r="BG11" s="412"/>
      <c r="BH11" s="412"/>
      <c r="BI11" s="412"/>
      <c r="BJ11" s="412"/>
      <c r="BK11" s="412"/>
      <c r="BL11" s="412"/>
      <c r="BM11" s="412"/>
      <c r="BN11" s="412"/>
      <c r="BO11" s="412"/>
      <c r="BP11" s="412"/>
      <c r="BQ11" s="412"/>
      <c r="BR11" s="412"/>
      <c r="BS11" s="412"/>
      <c r="BT11" s="412"/>
      <c r="BU11" s="412"/>
      <c r="BV11" s="412"/>
      <c r="BW11" s="412"/>
      <c r="BX11" s="412"/>
      <c r="BY11" s="412"/>
      <c r="BZ11" s="412"/>
      <c r="CA11" s="412"/>
      <c r="CB11" s="412"/>
      <c r="CC11" s="412"/>
      <c r="CD11" s="412"/>
      <c r="CE11" s="412"/>
      <c r="CF11" s="412"/>
      <c r="CG11" s="412"/>
      <c r="CH11" s="412"/>
      <c r="CI11" s="412"/>
      <c r="CJ11" s="412"/>
      <c r="CK11" s="412"/>
      <c r="CL11" s="412"/>
      <c r="CM11" s="412"/>
      <c r="CN11" s="412"/>
      <c r="CO11" s="412"/>
      <c r="CP11" s="412"/>
      <c r="CQ11" s="412"/>
      <c r="CR11" s="412"/>
      <c r="CS11" s="412"/>
      <c r="CT11" s="412"/>
      <c r="CU11" s="412"/>
      <c r="CV11" s="412"/>
      <c r="CW11" s="412"/>
      <c r="CX11" s="412"/>
      <c r="CY11" s="412"/>
      <c r="CZ11" s="412"/>
      <c r="DA11" s="412"/>
      <c r="DB11" s="412"/>
      <c r="DC11" s="412"/>
      <c r="DD11" s="412"/>
      <c r="DE11" s="412"/>
      <c r="DF11" s="412"/>
      <c r="DG11" s="412"/>
      <c r="DH11" s="412"/>
      <c r="DI11" s="412"/>
      <c r="DJ11" s="412"/>
      <c r="DK11" s="412"/>
      <c r="DL11" s="412"/>
      <c r="DM11" s="412"/>
      <c r="DN11" s="412"/>
      <c r="DO11" s="412"/>
      <c r="DP11" s="412"/>
      <c r="DQ11" s="412"/>
      <c r="DR11" s="412"/>
      <c r="DS11" s="412"/>
      <c r="DT11" s="412"/>
      <c r="DU11" s="412"/>
      <c r="DV11" s="412"/>
      <c r="DW11" s="412"/>
      <c r="DX11" s="412"/>
      <c r="DY11" s="412"/>
      <c r="DZ11" s="412"/>
      <c r="EA11" s="412"/>
      <c r="EB11" s="412"/>
      <c r="EC11" s="412"/>
      <c r="ED11" s="412"/>
      <c r="EE11" s="412"/>
      <c r="EF11" s="412"/>
      <c r="EG11" s="412"/>
      <c r="EH11" s="412"/>
      <c r="EI11" s="412"/>
      <c r="EJ11" s="412"/>
      <c r="EK11" s="412"/>
      <c r="EL11" s="412"/>
      <c r="EM11" s="412"/>
      <c r="EN11" s="412"/>
      <c r="EO11" s="412"/>
      <c r="EP11" s="412"/>
      <c r="EQ11" s="412"/>
      <c r="ER11" s="412"/>
      <c r="ES11" s="412"/>
      <c r="ET11" s="412"/>
      <c r="EU11" s="412"/>
      <c r="EV11" s="412"/>
      <c r="EW11" s="412"/>
      <c r="EX11" s="412"/>
      <c r="EY11" s="412"/>
      <c r="EZ11" s="412"/>
      <c r="FA11" s="412"/>
      <c r="FB11" s="412"/>
      <c r="FC11" s="412"/>
      <c r="FD11" s="412"/>
      <c r="FE11" s="412"/>
      <c r="FF11" s="412"/>
      <c r="FG11" s="412"/>
      <c r="FH11" s="412"/>
      <c r="FI11" s="412"/>
      <c r="FJ11" s="412"/>
      <c r="FK11" s="412"/>
      <c r="FL11" s="412"/>
      <c r="FM11" s="412"/>
      <c r="FN11" s="412"/>
      <c r="FO11" s="412"/>
      <c r="FP11" s="412"/>
      <c r="FQ11" s="412"/>
      <c r="FR11" s="412"/>
      <c r="FS11" s="412"/>
      <c r="FT11" s="412"/>
      <c r="FU11" s="412"/>
      <c r="FV11" s="412"/>
      <c r="FW11" s="412"/>
      <c r="FX11" s="412"/>
      <c r="FY11" s="412"/>
      <c r="FZ11" s="412"/>
      <c r="GA11" s="412"/>
      <c r="GB11" s="412"/>
      <c r="GC11" s="412"/>
      <c r="GD11" s="412"/>
      <c r="GE11" s="412"/>
      <c r="GF11" s="412"/>
      <c r="GG11" s="436"/>
    </row>
    <row r="12" spans="1:298" ht="18.899999999999999" customHeight="1">
      <c r="A12" s="721"/>
      <c r="B12" s="434"/>
      <c r="C12" s="538"/>
      <c r="D12" s="538"/>
      <c r="E12" s="538"/>
      <c r="F12" s="538"/>
      <c r="G12" s="538"/>
      <c r="H12" s="538"/>
      <c r="I12" s="538"/>
      <c r="J12" s="538"/>
      <c r="K12" s="538"/>
      <c r="L12" s="538"/>
      <c r="M12" s="538"/>
      <c r="N12" s="538"/>
      <c r="O12" s="538"/>
      <c r="P12" s="538"/>
      <c r="Q12" s="538"/>
      <c r="R12" s="538"/>
      <c r="S12" s="538"/>
      <c r="T12" s="538"/>
      <c r="U12" s="538"/>
      <c r="V12" s="538"/>
      <c r="W12" s="538"/>
      <c r="X12" s="538"/>
      <c r="Y12" s="538"/>
      <c r="Z12" s="538"/>
      <c r="AA12" s="538"/>
      <c r="AB12" s="538"/>
      <c r="AC12" s="538"/>
      <c r="AD12" s="538"/>
      <c r="AE12" s="538"/>
      <c r="AF12" s="538"/>
      <c r="AG12" s="435"/>
      <c r="AH12" s="435"/>
      <c r="AI12" s="435"/>
      <c r="AJ12" s="412"/>
      <c r="AK12" s="412"/>
      <c r="AL12" s="412"/>
      <c r="AM12" s="412"/>
      <c r="AN12" s="412"/>
      <c r="AO12" s="412"/>
      <c r="AP12" s="412"/>
      <c r="AQ12" s="412"/>
      <c r="AR12" s="412"/>
      <c r="AS12" s="412"/>
      <c r="AT12" s="412"/>
      <c r="AU12" s="412"/>
      <c r="AV12" s="412"/>
      <c r="AW12" s="412"/>
      <c r="AX12" s="412"/>
      <c r="AY12" s="412"/>
      <c r="AZ12" s="412"/>
      <c r="BA12" s="412"/>
      <c r="BB12" s="412"/>
      <c r="BC12" s="412"/>
      <c r="BD12" s="412"/>
      <c r="BE12" s="412"/>
      <c r="BF12" s="412"/>
      <c r="BG12" s="412"/>
      <c r="BH12" s="412"/>
      <c r="BI12" s="412"/>
      <c r="BJ12" s="412"/>
      <c r="BK12" s="412"/>
      <c r="BL12" s="412"/>
      <c r="BM12" s="412"/>
      <c r="BN12" s="412"/>
      <c r="BO12" s="412"/>
      <c r="BP12" s="412"/>
      <c r="BQ12" s="412"/>
      <c r="BR12" s="412"/>
      <c r="BS12" s="412"/>
      <c r="BT12" s="412"/>
      <c r="BU12" s="412"/>
      <c r="BV12" s="412"/>
      <c r="BW12" s="412"/>
      <c r="BX12" s="412"/>
      <c r="BY12" s="412"/>
      <c r="BZ12" s="412"/>
      <c r="CA12" s="412"/>
      <c r="CB12" s="412"/>
      <c r="CC12" s="412"/>
      <c r="CD12" s="412"/>
      <c r="CE12" s="412"/>
      <c r="CF12" s="412"/>
      <c r="CG12" s="412"/>
      <c r="CH12" s="412"/>
      <c r="CI12" s="412"/>
      <c r="CJ12" s="412"/>
      <c r="CK12" s="412"/>
      <c r="CL12" s="412"/>
      <c r="CM12" s="412"/>
      <c r="CN12" s="412"/>
      <c r="CO12" s="412"/>
      <c r="CP12" s="412"/>
      <c r="CQ12" s="412"/>
      <c r="CR12" s="412"/>
      <c r="CS12" s="412"/>
      <c r="CT12" s="412"/>
      <c r="CU12" s="412"/>
      <c r="CV12" s="412"/>
      <c r="CW12" s="412"/>
      <c r="CX12" s="412"/>
      <c r="CY12" s="412"/>
      <c r="CZ12" s="412"/>
      <c r="DA12" s="412"/>
      <c r="DB12" s="412"/>
      <c r="DC12" s="412"/>
      <c r="DD12" s="412"/>
      <c r="DE12" s="412"/>
      <c r="DF12" s="412"/>
      <c r="DG12" s="412"/>
      <c r="DH12" s="412"/>
      <c r="DI12" s="412"/>
      <c r="DJ12" s="412"/>
      <c r="DK12" s="412"/>
      <c r="DL12" s="412"/>
      <c r="DM12" s="412"/>
      <c r="DN12" s="412"/>
      <c r="DO12" s="412"/>
      <c r="DP12" s="412"/>
      <c r="DQ12" s="412"/>
      <c r="DR12" s="412"/>
      <c r="DS12" s="412"/>
      <c r="DT12" s="412"/>
      <c r="DU12" s="412"/>
      <c r="DV12" s="412"/>
      <c r="DW12" s="412"/>
      <c r="DX12" s="412"/>
      <c r="DY12" s="412"/>
      <c r="DZ12" s="412"/>
      <c r="EA12" s="412"/>
      <c r="EB12" s="412"/>
      <c r="EC12" s="412"/>
      <c r="ED12" s="412"/>
      <c r="EE12" s="412"/>
      <c r="EF12" s="412"/>
      <c r="EG12" s="412"/>
      <c r="EH12" s="412"/>
      <c r="EI12" s="412"/>
      <c r="EJ12" s="412"/>
      <c r="EK12" s="412"/>
      <c r="EL12" s="412"/>
      <c r="EM12" s="412"/>
      <c r="EN12" s="412"/>
      <c r="EO12" s="412"/>
      <c r="EP12" s="412"/>
      <c r="EQ12" s="412"/>
      <c r="ER12" s="412"/>
      <c r="ES12" s="412"/>
      <c r="ET12" s="412"/>
      <c r="EU12" s="412"/>
      <c r="EV12" s="412"/>
      <c r="EW12" s="412"/>
      <c r="EX12" s="412"/>
      <c r="EY12" s="412"/>
      <c r="EZ12" s="412"/>
      <c r="FA12" s="412"/>
      <c r="FB12" s="412"/>
      <c r="FC12" s="412"/>
      <c r="FD12" s="412"/>
      <c r="FE12" s="412"/>
      <c r="FF12" s="412"/>
      <c r="FG12" s="412"/>
      <c r="FH12" s="412"/>
      <c r="FI12" s="412"/>
      <c r="FJ12" s="412"/>
      <c r="FK12" s="412"/>
      <c r="FL12" s="412"/>
      <c r="FM12" s="412"/>
      <c r="FN12" s="412"/>
      <c r="FO12" s="412"/>
      <c r="FP12" s="412"/>
      <c r="FQ12" s="412"/>
      <c r="FR12" s="412"/>
      <c r="FS12" s="412"/>
      <c r="FT12" s="412"/>
      <c r="FU12" s="412"/>
      <c r="FV12" s="412"/>
      <c r="FW12" s="412"/>
      <c r="FX12" s="412"/>
      <c r="FY12" s="412"/>
      <c r="FZ12" s="412"/>
      <c r="GA12" s="412"/>
      <c r="GB12" s="412"/>
      <c r="GC12" s="412"/>
      <c r="GD12" s="412"/>
      <c r="GE12" s="412"/>
      <c r="GF12" s="412"/>
      <c r="GG12" s="436"/>
    </row>
    <row r="13" spans="1:298" s="595" customFormat="1" ht="18.899999999999999" customHeight="1">
      <c r="A13" s="740" t="s">
        <v>4634</v>
      </c>
      <c r="B13" s="705"/>
      <c r="C13" s="594"/>
      <c r="D13" s="594"/>
      <c r="E13" s="594"/>
      <c r="F13" s="594"/>
      <c r="G13" s="594"/>
      <c r="H13" s="594"/>
      <c r="I13" s="594"/>
      <c r="J13" s="594"/>
      <c r="K13" s="594"/>
      <c r="L13" s="594"/>
      <c r="M13" s="594"/>
      <c r="N13" s="594"/>
      <c r="O13" s="594"/>
      <c r="P13" s="594"/>
      <c r="Q13" s="594"/>
      <c r="R13" s="594"/>
      <c r="S13" s="594"/>
      <c r="T13" s="594"/>
      <c r="U13" s="594"/>
      <c r="V13" s="594"/>
      <c r="W13" s="594"/>
      <c r="X13" s="594"/>
      <c r="Y13" s="594"/>
      <c r="Z13" s="594"/>
      <c r="AA13" s="594"/>
      <c r="AB13" s="594"/>
      <c r="AC13" s="594"/>
      <c r="AD13" s="594"/>
      <c r="AE13" s="594"/>
      <c r="AF13" s="594"/>
      <c r="AG13" s="594"/>
      <c r="AH13" s="594"/>
      <c r="AI13" s="594"/>
      <c r="AJ13" s="594"/>
      <c r="AK13" s="594"/>
      <c r="AL13" s="594"/>
      <c r="AM13" s="594"/>
      <c r="AN13" s="594"/>
      <c r="AO13" s="594"/>
      <c r="AP13" s="594"/>
      <c r="AQ13" s="594"/>
      <c r="AR13" s="594"/>
      <c r="AS13" s="594"/>
      <c r="AT13" s="594"/>
      <c r="AU13" s="594"/>
      <c r="AV13" s="594"/>
      <c r="AW13" s="594"/>
      <c r="AX13" s="594"/>
      <c r="AY13" s="594"/>
      <c r="AZ13" s="594"/>
      <c r="BA13" s="594"/>
      <c r="BB13" s="594"/>
      <c r="BC13" s="594"/>
      <c r="BD13" s="594"/>
      <c r="BE13" s="594"/>
      <c r="BF13" s="594"/>
      <c r="BG13" s="594"/>
      <c r="BH13" s="594"/>
      <c r="BI13" s="594"/>
      <c r="BJ13" s="594"/>
      <c r="BK13" s="594"/>
      <c r="BL13" s="594"/>
      <c r="BM13" s="594"/>
      <c r="BN13" s="594"/>
      <c r="BO13" s="594"/>
      <c r="BP13" s="594"/>
      <c r="BQ13" s="594"/>
      <c r="BR13" s="594"/>
      <c r="BS13" s="594"/>
      <c r="BT13" s="594"/>
      <c r="BU13" s="594"/>
      <c r="BV13" s="594"/>
      <c r="BW13" s="594"/>
      <c r="BX13" s="594"/>
      <c r="BY13" s="594"/>
      <c r="BZ13" s="594"/>
      <c r="CA13" s="594"/>
      <c r="CB13" s="594"/>
      <c r="CC13" s="594"/>
      <c r="CD13" s="594"/>
      <c r="CE13" s="594"/>
      <c r="CF13" s="594"/>
      <c r="CG13" s="594"/>
      <c r="CH13" s="594"/>
      <c r="CI13" s="594"/>
      <c r="CJ13" s="594"/>
      <c r="CK13" s="594"/>
      <c r="CL13" s="594"/>
      <c r="CM13" s="594"/>
      <c r="CN13" s="594"/>
      <c r="CO13" s="594"/>
      <c r="CP13" s="594"/>
      <c r="CQ13" s="594"/>
      <c r="CR13" s="594"/>
      <c r="CS13" s="594"/>
      <c r="CT13" s="594"/>
      <c r="CU13" s="594"/>
      <c r="CV13" s="594"/>
      <c r="CW13" s="594"/>
      <c r="CX13" s="594"/>
      <c r="CY13" s="594"/>
      <c r="CZ13" s="594"/>
      <c r="DA13" s="594"/>
      <c r="DB13" s="594"/>
      <c r="DC13" s="594"/>
      <c r="DD13" s="594"/>
      <c r="DE13" s="594"/>
      <c r="DF13" s="594"/>
      <c r="DG13" s="594"/>
      <c r="DH13" s="594"/>
      <c r="DI13" s="594"/>
      <c r="DJ13" s="594"/>
      <c r="DK13" s="594"/>
      <c r="DL13" s="594"/>
      <c r="DM13" s="594"/>
      <c r="DN13" s="594"/>
      <c r="DO13" s="594"/>
      <c r="DP13" s="594"/>
      <c r="DQ13" s="594"/>
      <c r="DR13" s="594"/>
      <c r="DS13" s="594"/>
      <c r="DT13" s="594"/>
      <c r="DU13" s="594"/>
      <c r="DV13" s="594"/>
      <c r="DW13" s="594"/>
      <c r="DX13" s="594"/>
      <c r="DY13" s="594"/>
      <c r="DZ13" s="594"/>
      <c r="EA13" s="594"/>
      <c r="EB13" s="594"/>
      <c r="EC13" s="594"/>
      <c r="ED13" s="594"/>
      <c r="EE13" s="594"/>
      <c r="EF13" s="594"/>
      <c r="EG13" s="594"/>
      <c r="EH13" s="594"/>
      <c r="EI13" s="594"/>
      <c r="EJ13" s="594"/>
      <c r="EK13" s="594"/>
      <c r="EL13" s="594"/>
      <c r="EM13" s="594"/>
      <c r="EN13" s="594"/>
      <c r="EO13" s="594"/>
      <c r="EP13" s="594"/>
      <c r="EQ13" s="594"/>
      <c r="ER13" s="594"/>
      <c r="ES13" s="594"/>
      <c r="ET13" s="594"/>
      <c r="EU13" s="594"/>
      <c r="EV13" s="594"/>
      <c r="EW13" s="594"/>
      <c r="EX13" s="594"/>
      <c r="EY13" s="594"/>
      <c r="EZ13" s="594"/>
      <c r="FA13" s="594"/>
      <c r="FB13" s="594"/>
      <c r="FC13" s="594"/>
      <c r="FD13" s="594"/>
      <c r="FE13" s="594"/>
      <c r="FF13" s="594"/>
      <c r="FG13" s="594"/>
      <c r="FH13" s="594"/>
      <c r="FI13" s="594"/>
      <c r="FJ13" s="594"/>
      <c r="FK13" s="594"/>
      <c r="FL13" s="594"/>
      <c r="FM13" s="594"/>
      <c r="FN13" s="594"/>
      <c r="FO13" s="594"/>
      <c r="FP13" s="594"/>
      <c r="FQ13" s="594"/>
      <c r="FR13" s="594"/>
      <c r="FS13" s="594"/>
      <c r="FT13" s="594"/>
      <c r="FU13" s="594"/>
      <c r="FV13" s="594"/>
      <c r="FW13" s="594"/>
      <c r="FX13" s="594"/>
      <c r="FY13" s="594"/>
      <c r="FZ13" s="594"/>
      <c r="GA13" s="594"/>
      <c r="GB13" s="594"/>
      <c r="GC13" s="594"/>
      <c r="GD13" s="594"/>
      <c r="GE13" s="594"/>
      <c r="GF13" s="594"/>
      <c r="GG13" s="741"/>
    </row>
    <row r="14" spans="1:298" s="746" customFormat="1" ht="18.899999999999999" customHeight="1" thickBot="1">
      <c r="A14" s="742" t="s">
        <v>3982</v>
      </c>
      <c r="B14" s="743"/>
      <c r="C14" s="744"/>
      <c r="D14" s="744"/>
      <c r="E14" s="744"/>
      <c r="F14" s="744"/>
      <c r="G14" s="744"/>
      <c r="H14" s="744"/>
      <c r="I14" s="744"/>
      <c r="J14" s="744"/>
      <c r="K14" s="744"/>
      <c r="L14" s="744"/>
      <c r="M14" s="744"/>
      <c r="N14" s="744"/>
      <c r="O14" s="744"/>
      <c r="P14" s="744"/>
      <c r="Q14" s="744"/>
      <c r="R14" s="744"/>
      <c r="S14" s="744"/>
      <c r="T14" s="744"/>
      <c r="U14" s="744"/>
      <c r="V14" s="744"/>
      <c r="W14" s="744"/>
      <c r="X14" s="744"/>
      <c r="Y14" s="744"/>
      <c r="Z14" s="744"/>
      <c r="AA14" s="744"/>
      <c r="AB14" s="744"/>
      <c r="AC14" s="744"/>
      <c r="AD14" s="744"/>
      <c r="AE14" s="744"/>
      <c r="AF14" s="744"/>
      <c r="AG14" s="744"/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4"/>
      <c r="AS14" s="744"/>
      <c r="AT14" s="744"/>
      <c r="AU14" s="744"/>
      <c r="AV14" s="744"/>
      <c r="AW14" s="744"/>
      <c r="AX14" s="744"/>
      <c r="AY14" s="744"/>
      <c r="AZ14" s="744"/>
      <c r="BA14" s="744"/>
      <c r="BB14" s="744"/>
      <c r="BC14" s="744"/>
      <c r="BD14" s="744"/>
      <c r="BE14" s="744"/>
      <c r="BF14" s="744"/>
      <c r="BG14" s="744"/>
      <c r="BH14" s="744"/>
      <c r="BI14" s="744"/>
      <c r="BJ14" s="744"/>
      <c r="BK14" s="744"/>
      <c r="BL14" s="744"/>
      <c r="BM14" s="744"/>
      <c r="BN14" s="744"/>
      <c r="BO14" s="744"/>
      <c r="BP14" s="744"/>
      <c r="BQ14" s="744"/>
      <c r="BR14" s="744"/>
      <c r="BS14" s="744"/>
      <c r="BT14" s="744"/>
      <c r="BU14" s="744"/>
      <c r="BV14" s="744"/>
      <c r="BW14" s="744"/>
      <c r="BX14" s="744"/>
      <c r="BY14" s="744"/>
      <c r="BZ14" s="744"/>
      <c r="CA14" s="744"/>
      <c r="CB14" s="744"/>
      <c r="CC14" s="744"/>
      <c r="CD14" s="744"/>
      <c r="CE14" s="744"/>
      <c r="CF14" s="744"/>
      <c r="CG14" s="744"/>
      <c r="CH14" s="744"/>
      <c r="CI14" s="744"/>
      <c r="CJ14" s="744"/>
      <c r="CK14" s="744"/>
      <c r="CL14" s="744"/>
      <c r="CM14" s="744"/>
      <c r="CN14" s="744"/>
      <c r="CO14" s="744"/>
      <c r="CP14" s="744"/>
      <c r="CQ14" s="744"/>
      <c r="CR14" s="744"/>
      <c r="CS14" s="744"/>
      <c r="CT14" s="744"/>
      <c r="CU14" s="744"/>
      <c r="CV14" s="744"/>
      <c r="CW14" s="744"/>
      <c r="CX14" s="744"/>
      <c r="CY14" s="744"/>
      <c r="CZ14" s="744"/>
      <c r="DA14" s="744"/>
      <c r="DB14" s="744"/>
      <c r="DC14" s="744"/>
      <c r="DD14" s="744"/>
      <c r="DE14" s="744"/>
      <c r="DF14" s="744"/>
      <c r="DG14" s="744"/>
      <c r="DH14" s="744"/>
      <c r="DI14" s="744"/>
      <c r="DJ14" s="744"/>
      <c r="DK14" s="744"/>
      <c r="DL14" s="744"/>
      <c r="DM14" s="744"/>
      <c r="DN14" s="744"/>
      <c r="DO14" s="744"/>
      <c r="DP14" s="744"/>
      <c r="DQ14" s="744"/>
      <c r="DR14" s="744"/>
      <c r="DS14" s="744"/>
      <c r="DT14" s="744"/>
      <c r="DU14" s="744"/>
      <c r="DV14" s="744"/>
      <c r="DW14" s="744"/>
      <c r="DX14" s="744"/>
      <c r="DY14" s="744"/>
      <c r="DZ14" s="744"/>
      <c r="EA14" s="744"/>
      <c r="EB14" s="744"/>
      <c r="EC14" s="744"/>
      <c r="ED14" s="744"/>
      <c r="EE14" s="744"/>
      <c r="EF14" s="744"/>
      <c r="EG14" s="744"/>
      <c r="EH14" s="744"/>
      <c r="EI14" s="744"/>
      <c r="EJ14" s="744"/>
      <c r="EK14" s="744"/>
      <c r="EL14" s="744"/>
      <c r="EM14" s="744"/>
      <c r="EN14" s="744"/>
      <c r="EO14" s="744"/>
      <c r="EP14" s="744"/>
      <c r="EQ14" s="744"/>
      <c r="ER14" s="744"/>
      <c r="ES14" s="744"/>
      <c r="ET14" s="744"/>
      <c r="EU14" s="744"/>
      <c r="EV14" s="744"/>
      <c r="EW14" s="744"/>
      <c r="EX14" s="744"/>
      <c r="EY14" s="744"/>
      <c r="EZ14" s="744"/>
      <c r="FA14" s="744"/>
      <c r="FB14" s="744"/>
      <c r="FC14" s="744"/>
      <c r="FD14" s="744"/>
      <c r="FE14" s="744"/>
      <c r="FF14" s="744"/>
      <c r="FG14" s="744"/>
      <c r="FH14" s="744"/>
      <c r="FI14" s="744"/>
      <c r="FJ14" s="744"/>
      <c r="FK14" s="744"/>
      <c r="FL14" s="744"/>
      <c r="FM14" s="744"/>
      <c r="FN14" s="744"/>
      <c r="FO14" s="744"/>
      <c r="FP14" s="744"/>
      <c r="FQ14" s="744"/>
      <c r="FR14" s="744"/>
      <c r="FS14" s="744"/>
      <c r="FT14" s="744"/>
      <c r="FU14" s="744"/>
      <c r="FV14" s="744"/>
      <c r="FW14" s="744"/>
      <c r="FX14" s="744"/>
      <c r="FY14" s="744"/>
      <c r="FZ14" s="744"/>
      <c r="GA14" s="744"/>
      <c r="GB14" s="744"/>
      <c r="GC14" s="744"/>
      <c r="GD14" s="744"/>
      <c r="GE14" s="744"/>
      <c r="GF14" s="744"/>
      <c r="GG14" s="745"/>
    </row>
    <row r="15" spans="1:298" ht="18.899999999999999" customHeight="1" thickTop="1">
      <c r="AG15" s="424"/>
      <c r="AH15" s="424"/>
      <c r="AI15" s="424"/>
      <c r="AJ15" s="424"/>
      <c r="AK15" s="424"/>
      <c r="AL15" s="424"/>
      <c r="AM15" s="424"/>
      <c r="AN15" s="424"/>
      <c r="AO15" s="424"/>
      <c r="AP15" s="424"/>
      <c r="AQ15" s="424"/>
      <c r="AR15" s="424"/>
      <c r="AS15" s="424"/>
      <c r="AT15" s="424"/>
      <c r="AU15" s="424"/>
      <c r="AV15" s="424"/>
      <c r="AW15" s="424"/>
      <c r="AX15" s="424"/>
      <c r="AY15" s="424"/>
      <c r="AZ15" s="424"/>
      <c r="BA15" s="424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4"/>
      <c r="BT15" s="424"/>
      <c r="BU15" s="424"/>
      <c r="BV15" s="424"/>
      <c r="BW15" s="424"/>
      <c r="BX15" s="424"/>
      <c r="BY15" s="424"/>
      <c r="BZ15" s="424"/>
      <c r="CA15" s="424"/>
      <c r="CB15" s="424"/>
      <c r="CC15" s="424"/>
      <c r="CD15" s="424"/>
      <c r="CE15" s="424"/>
      <c r="CF15" s="424"/>
      <c r="CG15" s="424"/>
      <c r="CH15" s="424"/>
      <c r="CI15" s="424"/>
      <c r="CJ15" s="424"/>
      <c r="CK15" s="424"/>
      <c r="CL15" s="424"/>
      <c r="CM15" s="424"/>
      <c r="CN15" s="424"/>
      <c r="CO15" s="424"/>
      <c r="CP15" s="424"/>
      <c r="CQ15" s="424"/>
      <c r="CR15" s="424"/>
      <c r="CS15" s="424"/>
      <c r="CT15" s="424"/>
      <c r="CU15" s="424"/>
      <c r="CV15" s="424"/>
      <c r="CW15" s="424"/>
      <c r="CX15" s="424"/>
      <c r="CY15" s="424"/>
      <c r="CZ15" s="424"/>
      <c r="DA15" s="424"/>
      <c r="DB15" s="424"/>
      <c r="DC15" s="424"/>
      <c r="DD15" s="424"/>
      <c r="DE15" s="424"/>
      <c r="DF15" s="424"/>
      <c r="DG15" s="424"/>
      <c r="DH15" s="424"/>
      <c r="DI15" s="424"/>
      <c r="DJ15" s="424"/>
      <c r="DK15" s="424"/>
      <c r="DL15" s="424"/>
      <c r="DM15" s="424"/>
      <c r="DN15" s="424"/>
      <c r="DO15" s="424"/>
      <c r="DP15" s="424"/>
      <c r="DQ15" s="424"/>
      <c r="DR15" s="424"/>
      <c r="DS15" s="424"/>
      <c r="DT15" s="424"/>
      <c r="DU15" s="424"/>
      <c r="DV15" s="424"/>
      <c r="DW15" s="424"/>
      <c r="DX15" s="424"/>
      <c r="DY15" s="424"/>
      <c r="DZ15" s="424"/>
      <c r="EA15" s="424"/>
      <c r="EB15" s="424"/>
      <c r="EC15" s="424"/>
      <c r="ED15" s="424"/>
      <c r="EE15" s="424"/>
      <c r="EF15" s="424"/>
      <c r="EG15" s="424"/>
      <c r="EH15" s="424"/>
      <c r="EI15" s="424"/>
      <c r="EJ15" s="424"/>
      <c r="EK15" s="424"/>
      <c r="EL15" s="424"/>
      <c r="EM15" s="424"/>
      <c r="EN15" s="424"/>
      <c r="EO15" s="424"/>
      <c r="EP15" s="424"/>
      <c r="EQ15" s="424"/>
      <c r="ER15" s="424"/>
      <c r="ES15" s="424"/>
      <c r="ET15" s="424"/>
      <c r="EU15" s="424"/>
      <c r="EV15" s="424"/>
      <c r="EW15" s="424"/>
      <c r="EX15" s="424"/>
      <c r="EY15" s="424"/>
      <c r="EZ15" s="424"/>
      <c r="FA15" s="424"/>
      <c r="FB15" s="424"/>
      <c r="FC15" s="424"/>
      <c r="FD15" s="424"/>
      <c r="FE15" s="424"/>
      <c r="FF15" s="424"/>
      <c r="FG15" s="424"/>
      <c r="FH15" s="424"/>
      <c r="FI15" s="424"/>
      <c r="FJ15" s="424"/>
      <c r="FK15" s="424"/>
      <c r="FL15" s="424"/>
      <c r="FM15" s="424"/>
      <c r="FN15" s="424"/>
      <c r="FO15" s="424"/>
      <c r="FP15" s="424"/>
      <c r="FQ15" s="424"/>
      <c r="FR15" s="424"/>
      <c r="FS15" s="424"/>
      <c r="FT15" s="424"/>
      <c r="FU15" s="424"/>
      <c r="FV15" s="424"/>
      <c r="FW15" s="424"/>
      <c r="FX15" s="424"/>
      <c r="FY15" s="424"/>
      <c r="FZ15" s="424"/>
      <c r="GA15" s="424"/>
      <c r="GB15" s="424"/>
      <c r="GC15" s="424"/>
      <c r="GD15" s="424"/>
      <c r="GE15" s="424"/>
      <c r="GF15" s="424"/>
      <c r="GG15" s="424"/>
    </row>
    <row r="16" spans="1:298" ht="18.899999999999999" customHeight="1">
      <c r="A16" s="2568" t="s">
        <v>3970</v>
      </c>
      <c r="B16" s="2568"/>
      <c r="C16" s="414"/>
      <c r="D16" s="414"/>
      <c r="E16" s="414"/>
      <c r="F16" s="414"/>
      <c r="G16" s="414"/>
      <c r="H16" s="414"/>
      <c r="I16" s="414"/>
      <c r="J16" s="414"/>
      <c r="K16" s="414"/>
      <c r="L16" s="414"/>
      <c r="M16" s="414"/>
      <c r="N16" s="414"/>
      <c r="O16" s="414"/>
      <c r="P16" s="414"/>
      <c r="Q16" s="414"/>
      <c r="R16" s="414"/>
      <c r="S16" s="414"/>
      <c r="T16" s="414"/>
      <c r="U16" s="414"/>
      <c r="V16" s="414"/>
      <c r="W16" s="414"/>
      <c r="X16" s="414"/>
      <c r="Y16" s="414"/>
      <c r="Z16" s="414"/>
      <c r="AA16" s="414"/>
      <c r="AB16" s="414"/>
      <c r="AC16" s="414"/>
      <c r="AD16" s="414"/>
      <c r="AE16" s="414"/>
      <c r="AF16" s="414"/>
      <c r="AM16" s="415"/>
      <c r="AN16" s="416"/>
      <c r="BX16" s="417"/>
      <c r="CX16" s="415"/>
      <c r="CY16" s="415"/>
      <c r="CZ16" s="415"/>
      <c r="DA16" s="415"/>
      <c r="DB16" s="415"/>
      <c r="DC16" s="415"/>
      <c r="DD16" s="415"/>
      <c r="DE16" s="415"/>
      <c r="DF16" s="415"/>
      <c r="DG16" s="415"/>
      <c r="DH16" s="415"/>
      <c r="DI16" s="415"/>
      <c r="DJ16" s="415"/>
      <c r="DK16" s="415"/>
      <c r="DL16" s="415"/>
      <c r="DM16" s="415"/>
      <c r="DN16" s="415"/>
      <c r="DO16" s="415"/>
      <c r="DP16" s="415"/>
      <c r="DQ16" s="415"/>
      <c r="DR16" s="415"/>
      <c r="DS16" s="415"/>
      <c r="DT16" s="415"/>
      <c r="DU16" s="415"/>
      <c r="DV16" s="415"/>
      <c r="DW16" s="415"/>
      <c r="DX16" s="415"/>
      <c r="DY16" s="415"/>
      <c r="DZ16" s="415"/>
      <c r="EA16" s="415"/>
      <c r="EB16" s="415"/>
      <c r="EC16" s="415"/>
      <c r="ED16" s="415"/>
      <c r="EE16" s="415"/>
      <c r="EF16" s="415"/>
      <c r="EG16" s="415"/>
      <c r="EH16" s="415"/>
      <c r="EI16" s="415"/>
      <c r="EJ16" s="415"/>
      <c r="EK16" s="415"/>
      <c r="EL16" s="415"/>
      <c r="EM16" s="415"/>
      <c r="EN16" s="415"/>
      <c r="EO16" s="415"/>
      <c r="EP16" s="415"/>
      <c r="EQ16" s="415"/>
      <c r="ER16" s="415"/>
      <c r="ES16" s="415"/>
      <c r="ET16" s="415"/>
      <c r="EU16" s="415"/>
      <c r="EV16" s="416"/>
      <c r="EW16" s="416"/>
      <c r="EX16" s="416"/>
    </row>
    <row r="17" spans="1:220" ht="18.899999999999999" customHeight="1">
      <c r="A17" s="2568" t="s">
        <v>3971</v>
      </c>
      <c r="B17" s="2568"/>
      <c r="C17" s="418"/>
      <c r="D17" s="418"/>
      <c r="E17" s="418"/>
      <c r="F17" s="418"/>
      <c r="G17" s="418"/>
      <c r="H17" s="418"/>
      <c r="I17" s="418"/>
      <c r="J17" s="418"/>
      <c r="K17" s="418"/>
      <c r="L17" s="418"/>
      <c r="M17" s="418"/>
      <c r="N17" s="418"/>
      <c r="O17" s="418"/>
      <c r="P17" s="418"/>
      <c r="Q17" s="418"/>
      <c r="R17" s="418"/>
      <c r="S17" s="418"/>
      <c r="T17" s="418"/>
      <c r="U17" s="418"/>
      <c r="V17" s="418"/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M17" s="415"/>
      <c r="AN17" s="419"/>
      <c r="AO17" s="420"/>
      <c r="AP17" s="420"/>
      <c r="AQ17" s="420"/>
      <c r="AR17" s="420"/>
      <c r="AT17" s="420"/>
      <c r="CX17" s="415"/>
      <c r="CY17" s="415"/>
      <c r="CZ17" s="415"/>
      <c r="DA17" s="415"/>
      <c r="DB17" s="415"/>
      <c r="DC17" s="415"/>
      <c r="DD17" s="415"/>
      <c r="DE17" s="415"/>
      <c r="DF17" s="415"/>
      <c r="DG17" s="415"/>
      <c r="DH17" s="415"/>
      <c r="DI17" s="415"/>
      <c r="DJ17" s="415"/>
      <c r="DK17" s="415"/>
      <c r="DL17" s="415"/>
      <c r="DM17" s="415"/>
      <c r="DN17" s="415"/>
      <c r="DO17" s="415"/>
      <c r="DP17" s="415"/>
      <c r="DQ17" s="415"/>
      <c r="DR17" s="415"/>
      <c r="DS17" s="415"/>
      <c r="DT17" s="415"/>
      <c r="DU17" s="415"/>
      <c r="DV17" s="415"/>
      <c r="DW17" s="415"/>
      <c r="DX17" s="415"/>
      <c r="DY17" s="415"/>
      <c r="DZ17" s="415"/>
      <c r="EA17" s="415"/>
      <c r="EB17" s="415"/>
      <c r="EC17" s="415"/>
      <c r="ED17" s="415"/>
      <c r="EE17" s="415"/>
      <c r="EF17" s="415"/>
      <c r="EG17" s="415"/>
      <c r="EH17" s="415"/>
      <c r="EI17" s="415"/>
      <c r="EJ17" s="415"/>
      <c r="EK17" s="415"/>
      <c r="EL17" s="415"/>
      <c r="EM17" s="415"/>
      <c r="EN17" s="415"/>
      <c r="EO17" s="415"/>
      <c r="EP17" s="415"/>
      <c r="EQ17" s="415"/>
      <c r="ER17" s="415"/>
      <c r="ES17" s="415"/>
      <c r="ET17" s="415"/>
      <c r="EU17" s="415"/>
      <c r="EV17" s="416"/>
      <c r="EW17" s="416"/>
      <c r="EX17" s="416"/>
    </row>
    <row r="18" spans="1:220" ht="18.899999999999999" customHeight="1">
      <c r="A18" s="2568" t="s">
        <v>3972</v>
      </c>
      <c r="B18" s="2568"/>
      <c r="C18" s="421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421"/>
      <c r="S18" s="421"/>
      <c r="T18" s="421"/>
      <c r="U18" s="421"/>
      <c r="V18" s="421"/>
      <c r="W18" s="421"/>
      <c r="X18" s="421"/>
      <c r="Y18" s="421"/>
      <c r="Z18" s="421"/>
      <c r="AA18" s="421"/>
      <c r="AB18" s="421"/>
      <c r="AC18" s="421"/>
      <c r="AD18" s="421"/>
      <c r="AE18" s="421"/>
      <c r="AF18" s="421"/>
      <c r="AN18" s="423"/>
      <c r="AS18" s="416"/>
      <c r="AU18" s="416"/>
      <c r="AV18" s="424"/>
      <c r="AW18" s="415"/>
      <c r="AX18" s="415"/>
    </row>
    <row r="19" spans="1:220" ht="18.899999999999999" customHeight="1">
      <c r="A19" s="2568" t="s">
        <v>3973</v>
      </c>
      <c r="B19" s="2568"/>
      <c r="C19" s="421"/>
      <c r="D19" s="421"/>
      <c r="E19" s="421"/>
      <c r="F19" s="421"/>
      <c r="G19" s="421"/>
      <c r="H19" s="421"/>
      <c r="I19" s="421"/>
      <c r="J19" s="421"/>
      <c r="K19" s="421"/>
      <c r="L19" s="421"/>
      <c r="M19" s="421"/>
      <c r="N19" s="421"/>
      <c r="O19" s="421"/>
      <c r="P19" s="421"/>
      <c r="Q19" s="421"/>
      <c r="R19" s="421"/>
      <c r="S19" s="421"/>
      <c r="T19" s="421"/>
      <c r="U19" s="421"/>
      <c r="V19" s="421"/>
      <c r="W19" s="421"/>
      <c r="X19" s="421"/>
      <c r="Y19" s="421"/>
      <c r="Z19" s="421"/>
      <c r="AA19" s="421"/>
      <c r="AB19" s="421"/>
      <c r="AC19" s="421"/>
      <c r="AD19" s="421"/>
      <c r="AE19" s="421"/>
      <c r="AF19" s="421"/>
      <c r="AN19" s="423"/>
      <c r="AS19" s="416"/>
      <c r="AU19" s="416"/>
      <c r="AV19" s="424"/>
      <c r="AW19" s="415"/>
      <c r="AX19" s="415"/>
    </row>
    <row r="20" spans="1:220" ht="18.899999999999999" customHeight="1">
      <c r="A20" s="2568" t="s">
        <v>3974</v>
      </c>
      <c r="B20" s="2568"/>
      <c r="C20" s="418"/>
      <c r="D20" s="418"/>
      <c r="E20" s="418"/>
      <c r="F20" s="418"/>
      <c r="G20" s="418"/>
      <c r="H20" s="418"/>
      <c r="I20" s="418"/>
      <c r="J20" s="418"/>
      <c r="K20" s="418"/>
      <c r="L20" s="418"/>
      <c r="M20" s="418"/>
      <c r="N20" s="418"/>
      <c r="O20" s="418"/>
      <c r="P20" s="418"/>
      <c r="Q20" s="418"/>
      <c r="R20" s="418"/>
      <c r="S20" s="418"/>
      <c r="T20" s="418"/>
      <c r="U20" s="418"/>
      <c r="V20" s="418"/>
      <c r="W20" s="418"/>
      <c r="X20" s="418"/>
      <c r="Y20" s="418"/>
      <c r="Z20" s="418"/>
      <c r="AA20" s="418"/>
      <c r="AB20" s="418"/>
      <c r="AC20" s="418"/>
      <c r="AD20" s="418"/>
      <c r="AE20" s="418"/>
      <c r="AF20" s="418"/>
      <c r="AH20" s="425"/>
      <c r="AJ20" s="413"/>
      <c r="AN20" s="426"/>
      <c r="AS20" s="416"/>
      <c r="AU20" s="416"/>
      <c r="AW20" s="415"/>
      <c r="AX20" s="415"/>
      <c r="BO20" s="426"/>
      <c r="BP20" s="427"/>
      <c r="BQ20" s="427"/>
      <c r="BR20" s="427"/>
    </row>
    <row r="21" spans="1:220" ht="18.899999999999999" customHeight="1">
      <c r="A21" s="2568" t="s">
        <v>3975</v>
      </c>
      <c r="B21" s="2568"/>
      <c r="C21" s="421"/>
      <c r="D21" s="421"/>
      <c r="E21" s="421"/>
      <c r="F21" s="421"/>
      <c r="G21" s="421"/>
      <c r="H21" s="421"/>
      <c r="I21" s="421"/>
      <c r="J21" s="421"/>
      <c r="K21" s="421"/>
      <c r="L21" s="421"/>
      <c r="M21" s="421"/>
      <c r="N21" s="421"/>
      <c r="O21" s="421"/>
      <c r="P21" s="421"/>
      <c r="Q21" s="421"/>
      <c r="R21" s="421"/>
      <c r="S21" s="421"/>
      <c r="T21" s="421"/>
      <c r="U21" s="421"/>
      <c r="V21" s="421"/>
      <c r="W21" s="421"/>
      <c r="X21" s="421"/>
      <c r="Y21" s="421"/>
      <c r="Z21" s="421"/>
      <c r="AA21" s="421"/>
      <c r="AB21" s="421"/>
      <c r="AC21" s="421"/>
      <c r="AD21" s="421"/>
      <c r="AE21" s="421"/>
      <c r="AF21" s="421"/>
      <c r="AJ21" s="413"/>
      <c r="AN21" s="423"/>
      <c r="AS21" s="416"/>
      <c r="AU21" s="416"/>
      <c r="AV21" s="424"/>
      <c r="AW21" s="415"/>
      <c r="AX21" s="415"/>
      <c r="BO21" s="426"/>
      <c r="BP21" s="415"/>
      <c r="BQ21" s="415"/>
      <c r="BR21" s="415"/>
    </row>
    <row r="22" spans="1:220" ht="18.899999999999999" customHeight="1">
      <c r="B22" s="416"/>
      <c r="C22" s="429"/>
      <c r="D22" s="429"/>
      <c r="E22" s="429"/>
      <c r="F22" s="429"/>
      <c r="G22" s="429"/>
      <c r="H22" s="429"/>
      <c r="I22" s="429"/>
      <c r="J22" s="429"/>
      <c r="K22" s="429"/>
      <c r="L22" s="429"/>
      <c r="M22" s="429"/>
      <c r="N22" s="429"/>
      <c r="O22" s="429"/>
      <c r="P22" s="429"/>
      <c r="Q22" s="429"/>
      <c r="R22" s="429"/>
      <c r="S22" s="429"/>
      <c r="T22" s="429"/>
      <c r="U22" s="429"/>
      <c r="V22" s="429"/>
      <c r="W22" s="429"/>
      <c r="X22" s="429"/>
      <c r="Y22" s="429"/>
      <c r="Z22" s="429"/>
      <c r="AA22" s="429"/>
      <c r="AB22" s="429"/>
      <c r="AC22" s="429"/>
      <c r="AD22" s="429"/>
      <c r="AE22" s="429"/>
      <c r="AF22" s="429"/>
      <c r="AS22" s="416"/>
      <c r="AU22" s="416"/>
      <c r="AW22" s="415"/>
    </row>
    <row r="29" spans="1:220" ht="18.899999999999999" customHeight="1">
      <c r="DX29" s="586" t="s">
        <v>3932</v>
      </c>
      <c r="DY29" s="586"/>
      <c r="DZ29" s="587"/>
      <c r="EA29" s="587"/>
      <c r="EB29" s="587"/>
      <c r="EC29" s="587"/>
      <c r="ED29" s="587"/>
      <c r="EE29" s="587"/>
      <c r="EF29" s="587"/>
      <c r="EG29" s="587"/>
      <c r="EH29" s="587"/>
      <c r="EI29" s="587"/>
      <c r="EJ29" s="587"/>
      <c r="EK29" s="587"/>
      <c r="EL29" s="587"/>
      <c r="EM29" s="587"/>
      <c r="EN29" s="587"/>
      <c r="EO29" s="587"/>
      <c r="EP29" s="587"/>
      <c r="EQ29" s="587"/>
      <c r="ER29" s="587"/>
      <c r="ES29" s="587"/>
      <c r="ET29" s="587"/>
      <c r="EU29" s="587"/>
      <c r="EV29" s="587"/>
      <c r="EW29" s="587"/>
      <c r="EX29" s="587"/>
      <c r="EY29" s="587"/>
      <c r="EZ29" s="587"/>
      <c r="FA29" s="587"/>
      <c r="FB29" s="587"/>
      <c r="FC29" s="587"/>
      <c r="FD29" s="587"/>
      <c r="FE29" s="587"/>
      <c r="FF29" s="587"/>
      <c r="FG29" s="587"/>
      <c r="FH29" s="587"/>
      <c r="FI29" s="587"/>
      <c r="FJ29" s="587"/>
      <c r="FK29" s="587"/>
      <c r="FL29" s="587"/>
      <c r="FM29" s="587"/>
      <c r="FN29" s="587"/>
      <c r="FO29" s="587"/>
      <c r="FP29" s="587"/>
      <c r="FQ29" s="587"/>
      <c r="FR29" s="587"/>
      <c r="FS29" s="587"/>
      <c r="FT29" s="587"/>
      <c r="FU29" s="587"/>
      <c r="FV29" s="587"/>
      <c r="FW29" s="587"/>
      <c r="FX29" s="587"/>
      <c r="FY29" s="587"/>
      <c r="FZ29" s="587"/>
      <c r="GA29" s="587"/>
      <c r="GB29" s="587"/>
      <c r="GC29" s="587"/>
      <c r="GD29" s="587"/>
      <c r="GE29" s="587"/>
      <c r="GF29" s="587"/>
      <c r="GG29" s="587"/>
      <c r="GH29" s="587"/>
      <c r="GI29" s="587"/>
      <c r="GJ29" s="587"/>
      <c r="GK29" s="587"/>
      <c r="GL29" s="587"/>
      <c r="GM29" s="587"/>
      <c r="GN29" s="587"/>
      <c r="GO29" s="587"/>
      <c r="GP29" s="587"/>
      <c r="GQ29" s="587"/>
      <c r="GR29" s="587"/>
      <c r="GS29" s="587"/>
      <c r="GT29" s="587"/>
      <c r="GU29" s="587"/>
      <c r="GV29" s="587"/>
      <c r="GW29" s="587"/>
      <c r="GX29" s="587"/>
      <c r="GY29" s="587"/>
      <c r="GZ29" s="587"/>
      <c r="HA29" s="587"/>
      <c r="HB29" s="587"/>
      <c r="HC29" s="587"/>
      <c r="HD29" s="587"/>
      <c r="HE29" s="587"/>
      <c r="HF29" s="587"/>
      <c r="HG29" s="587"/>
      <c r="HH29" s="587"/>
      <c r="HI29" s="587"/>
      <c r="HJ29" s="587"/>
      <c r="HK29" s="587"/>
      <c r="HL29" s="587"/>
    </row>
    <row r="30" spans="1:220" ht="18.899999999999999" customHeight="1">
      <c r="DX30" s="586" t="s">
        <v>3940</v>
      </c>
      <c r="DY30" s="586"/>
      <c r="DZ30" s="566"/>
      <c r="EA30" s="566"/>
      <c r="EB30" s="566"/>
      <c r="EC30" s="566"/>
      <c r="ED30" s="566"/>
      <c r="EE30" s="566"/>
      <c r="EF30" s="566"/>
      <c r="EG30" s="566"/>
      <c r="EH30" s="566"/>
      <c r="EI30" s="566"/>
      <c r="EJ30" s="566"/>
      <c r="EK30" s="566"/>
      <c r="EL30" s="566"/>
      <c r="EM30" s="566"/>
      <c r="EN30" s="566"/>
      <c r="EO30" s="566"/>
      <c r="EP30" s="566"/>
      <c r="EQ30" s="566"/>
      <c r="ER30" s="566"/>
      <c r="ES30" s="566"/>
      <c r="ET30" s="566"/>
      <c r="EU30" s="566"/>
      <c r="EV30" s="566"/>
      <c r="EW30" s="566"/>
      <c r="EX30" s="566"/>
      <c r="EY30" s="566"/>
      <c r="EZ30" s="566"/>
      <c r="FA30" s="566"/>
      <c r="FB30" s="566"/>
      <c r="FC30" s="566"/>
      <c r="FD30" s="566"/>
      <c r="FE30" s="566"/>
      <c r="FF30" s="566"/>
      <c r="FG30" s="566"/>
      <c r="FH30" s="566"/>
      <c r="FI30" s="566"/>
      <c r="FJ30" s="566"/>
      <c r="FK30" s="566"/>
      <c r="FL30" s="566"/>
      <c r="FM30" s="566"/>
      <c r="FN30" s="566"/>
      <c r="FO30" s="566"/>
      <c r="FP30" s="566"/>
      <c r="FQ30" s="566"/>
      <c r="FR30" s="566"/>
      <c r="FS30" s="566"/>
      <c r="FT30" s="566"/>
      <c r="FU30" s="566"/>
      <c r="FV30" s="566"/>
      <c r="FW30" s="566"/>
      <c r="FX30" s="566"/>
      <c r="FY30" s="566"/>
      <c r="FZ30" s="566"/>
      <c r="GA30" s="566"/>
      <c r="GB30" s="566"/>
      <c r="GC30" s="566"/>
      <c r="GD30" s="566"/>
      <c r="GE30" s="566"/>
      <c r="GF30" s="566"/>
      <c r="GG30" s="566"/>
      <c r="GH30" s="566"/>
      <c r="GI30" s="566"/>
      <c r="GJ30" s="566"/>
      <c r="GK30" s="566"/>
      <c r="GL30" s="566"/>
      <c r="GM30" s="566"/>
      <c r="GN30" s="566"/>
      <c r="GO30" s="566"/>
      <c r="GP30" s="566"/>
      <c r="GQ30" s="566"/>
      <c r="GR30" s="566"/>
      <c r="GS30" s="566"/>
      <c r="GT30" s="566"/>
      <c r="GU30" s="566"/>
      <c r="GV30" s="566"/>
      <c r="GW30" s="566"/>
      <c r="GX30" s="566"/>
      <c r="GY30" s="566"/>
      <c r="GZ30" s="566"/>
      <c r="HA30" s="566"/>
      <c r="HB30" s="566"/>
      <c r="HC30" s="566"/>
      <c r="HD30" s="566"/>
      <c r="HE30" s="566"/>
      <c r="HF30" s="566"/>
      <c r="HG30" s="566"/>
      <c r="HH30" s="566"/>
      <c r="HI30" s="566"/>
      <c r="HJ30" s="566"/>
      <c r="HK30" s="566"/>
      <c r="HL30" s="566"/>
    </row>
    <row r="31" spans="1:220" ht="18.899999999999999" customHeight="1">
      <c r="DX31" s="586" t="s">
        <v>3941</v>
      </c>
      <c r="DY31" s="586"/>
      <c r="DZ31" s="566"/>
      <c r="EA31" s="566"/>
      <c r="EB31" s="566"/>
      <c r="EC31" s="566"/>
      <c r="ED31" s="566"/>
      <c r="EE31" s="566"/>
      <c r="EF31" s="566"/>
      <c r="EG31" s="566"/>
      <c r="EH31" s="566"/>
      <c r="EI31" s="566"/>
      <c r="EJ31" s="566"/>
      <c r="EK31" s="566"/>
      <c r="EL31" s="566"/>
      <c r="EM31" s="566"/>
      <c r="EN31" s="566"/>
      <c r="EO31" s="566"/>
      <c r="EP31" s="566"/>
      <c r="EQ31" s="566"/>
      <c r="ER31" s="566"/>
      <c r="ES31" s="566"/>
      <c r="ET31" s="566"/>
      <c r="EU31" s="566"/>
      <c r="EV31" s="566"/>
      <c r="EW31" s="566"/>
      <c r="EX31" s="566"/>
      <c r="EY31" s="566"/>
      <c r="EZ31" s="566"/>
      <c r="FA31" s="566"/>
      <c r="FB31" s="566"/>
      <c r="FC31" s="566"/>
      <c r="FD31" s="566"/>
      <c r="FE31" s="566"/>
      <c r="FF31" s="566"/>
      <c r="FG31" s="566"/>
      <c r="FH31" s="566"/>
      <c r="FI31" s="566"/>
      <c r="FJ31" s="566"/>
      <c r="FK31" s="566"/>
      <c r="FL31" s="566"/>
      <c r="FM31" s="566"/>
      <c r="FN31" s="566"/>
      <c r="FO31" s="566"/>
      <c r="FP31" s="566"/>
      <c r="FQ31" s="566"/>
      <c r="FR31" s="566"/>
      <c r="FS31" s="566"/>
      <c r="FT31" s="566"/>
      <c r="FU31" s="566"/>
      <c r="FV31" s="566"/>
      <c r="FW31" s="566"/>
      <c r="FX31" s="566"/>
      <c r="FY31" s="566"/>
      <c r="FZ31" s="566"/>
      <c r="GA31" s="566"/>
      <c r="GB31" s="566"/>
      <c r="GC31" s="566"/>
      <c r="GD31" s="566"/>
      <c r="GE31" s="566"/>
      <c r="GF31" s="566"/>
      <c r="GG31" s="566"/>
      <c r="GH31" s="566"/>
      <c r="GI31" s="566"/>
      <c r="GJ31" s="566"/>
      <c r="GK31" s="566"/>
      <c r="GL31" s="566"/>
      <c r="GM31" s="566"/>
      <c r="GN31" s="566"/>
      <c r="GO31" s="566"/>
      <c r="GP31" s="566"/>
      <c r="GQ31" s="566"/>
      <c r="GR31" s="566"/>
      <c r="GS31" s="566"/>
      <c r="GT31" s="566"/>
      <c r="GU31" s="566"/>
      <c r="GV31" s="566"/>
      <c r="GW31" s="566"/>
      <c r="GX31" s="566"/>
      <c r="GY31" s="566"/>
      <c r="GZ31" s="566"/>
      <c r="HA31" s="566"/>
      <c r="HB31" s="566"/>
      <c r="HC31" s="566"/>
      <c r="HD31" s="566"/>
      <c r="HE31" s="566"/>
      <c r="HF31" s="566"/>
      <c r="HG31" s="566"/>
      <c r="HH31" s="566"/>
      <c r="HI31" s="566"/>
      <c r="HJ31" s="566"/>
      <c r="HK31" s="566"/>
      <c r="HL31" s="566"/>
    </row>
    <row r="32" spans="1:220" ht="18.899999999999999" customHeight="1">
      <c r="DX32" s="586" t="s">
        <v>3942</v>
      </c>
      <c r="DY32" s="586"/>
      <c r="DZ32" s="566"/>
      <c r="EA32" s="566"/>
      <c r="EB32" s="566"/>
      <c r="EC32" s="566"/>
      <c r="ED32" s="566"/>
      <c r="EE32" s="566"/>
      <c r="EF32" s="566"/>
      <c r="EG32" s="566"/>
      <c r="EH32" s="566"/>
      <c r="EI32" s="566"/>
      <c r="EJ32" s="566"/>
      <c r="EK32" s="566"/>
      <c r="EL32" s="566"/>
      <c r="EM32" s="566"/>
      <c r="EN32" s="566"/>
      <c r="EO32" s="566"/>
      <c r="EP32" s="566"/>
      <c r="EQ32" s="566"/>
      <c r="ER32" s="566"/>
      <c r="ES32" s="566"/>
      <c r="ET32" s="566"/>
      <c r="EU32" s="566"/>
      <c r="EV32" s="566"/>
      <c r="EW32" s="566"/>
      <c r="EX32" s="566"/>
      <c r="EY32" s="566"/>
      <c r="EZ32" s="566"/>
      <c r="FA32" s="566"/>
      <c r="FB32" s="566"/>
      <c r="FC32" s="566"/>
      <c r="FD32" s="566"/>
      <c r="FE32" s="566"/>
      <c r="FF32" s="566"/>
      <c r="FG32" s="566"/>
      <c r="FH32" s="566"/>
      <c r="FI32" s="566"/>
      <c r="FJ32" s="566"/>
      <c r="FK32" s="566"/>
      <c r="FL32" s="566"/>
      <c r="FM32" s="566"/>
      <c r="FN32" s="566"/>
      <c r="FO32" s="566"/>
      <c r="FP32" s="566"/>
      <c r="FQ32" s="566"/>
      <c r="FR32" s="566"/>
      <c r="FS32" s="566"/>
      <c r="FT32" s="566"/>
      <c r="FU32" s="566"/>
      <c r="FV32" s="566"/>
      <c r="FW32" s="566"/>
      <c r="FX32" s="566"/>
      <c r="FY32" s="566"/>
      <c r="FZ32" s="566"/>
      <c r="GA32" s="566"/>
      <c r="GB32" s="566"/>
      <c r="GC32" s="566"/>
      <c r="GD32" s="566"/>
      <c r="GE32" s="566"/>
      <c r="GF32" s="566"/>
      <c r="GG32" s="566"/>
      <c r="GH32" s="566"/>
      <c r="GI32" s="566"/>
      <c r="GJ32" s="566"/>
      <c r="GK32" s="566"/>
      <c r="GL32" s="566"/>
      <c r="GM32" s="566"/>
      <c r="GN32" s="566"/>
      <c r="GO32" s="566"/>
      <c r="GP32" s="566"/>
      <c r="GQ32" s="566"/>
      <c r="GR32" s="566"/>
      <c r="GS32" s="566"/>
      <c r="GT32" s="566"/>
      <c r="GU32" s="566"/>
      <c r="GV32" s="566"/>
      <c r="GW32" s="566"/>
      <c r="GX32" s="566"/>
      <c r="GY32" s="566"/>
      <c r="GZ32" s="566"/>
      <c r="HA32" s="566"/>
      <c r="HB32" s="566"/>
      <c r="HC32" s="566"/>
      <c r="HD32" s="566"/>
      <c r="HE32" s="566"/>
      <c r="HF32" s="566"/>
      <c r="HG32" s="566"/>
      <c r="HH32" s="566"/>
      <c r="HI32" s="566"/>
      <c r="HJ32" s="566"/>
      <c r="HK32" s="566"/>
      <c r="HL32" s="566"/>
    </row>
    <row r="33" spans="128:220" ht="18.899999999999999" customHeight="1">
      <c r="DX33" s="586" t="s">
        <v>3943</v>
      </c>
      <c r="DY33" s="586"/>
      <c r="DZ33" s="566"/>
      <c r="EA33" s="566"/>
      <c r="EB33" s="566"/>
      <c r="EC33" s="566"/>
      <c r="ED33" s="566"/>
      <c r="EE33" s="566"/>
      <c r="EF33" s="566"/>
      <c r="EG33" s="566"/>
      <c r="EH33" s="566"/>
      <c r="EI33" s="566"/>
      <c r="EJ33" s="566"/>
      <c r="EK33" s="566"/>
      <c r="EL33" s="566"/>
      <c r="EM33" s="566"/>
      <c r="EN33" s="566"/>
      <c r="EO33" s="566"/>
      <c r="EP33" s="566"/>
      <c r="EQ33" s="566"/>
      <c r="ER33" s="566"/>
      <c r="ES33" s="566"/>
      <c r="ET33" s="566"/>
      <c r="EU33" s="566"/>
      <c r="EV33" s="566"/>
      <c r="EW33" s="566"/>
      <c r="EX33" s="566"/>
      <c r="EY33" s="566"/>
      <c r="EZ33" s="566"/>
      <c r="FA33" s="566"/>
      <c r="FB33" s="566"/>
      <c r="FC33" s="566"/>
      <c r="FD33" s="566"/>
      <c r="FE33" s="566"/>
      <c r="FF33" s="566"/>
      <c r="FG33" s="566"/>
      <c r="FH33" s="566"/>
      <c r="FI33" s="566"/>
      <c r="FJ33" s="566"/>
      <c r="FK33" s="566"/>
      <c r="FL33" s="566"/>
      <c r="FM33" s="566"/>
      <c r="FN33" s="566"/>
      <c r="FO33" s="566"/>
      <c r="FP33" s="566"/>
      <c r="FQ33" s="566"/>
      <c r="FR33" s="566"/>
      <c r="FS33" s="566"/>
      <c r="FT33" s="566"/>
      <c r="FU33" s="566"/>
      <c r="FV33" s="566"/>
      <c r="FW33" s="566"/>
      <c r="FX33" s="566"/>
      <c r="FY33" s="566"/>
      <c r="FZ33" s="566"/>
      <c r="GA33" s="566"/>
      <c r="GB33" s="566"/>
      <c r="GC33" s="566"/>
      <c r="GD33" s="566"/>
      <c r="GE33" s="566"/>
      <c r="GF33" s="566"/>
      <c r="GG33" s="566"/>
      <c r="GH33" s="566"/>
      <c r="GI33" s="566"/>
      <c r="GJ33" s="566"/>
      <c r="GK33" s="566"/>
      <c r="GL33" s="566"/>
      <c r="GM33" s="566"/>
      <c r="GN33" s="566"/>
      <c r="GO33" s="566"/>
      <c r="GP33" s="566"/>
      <c r="GQ33" s="566"/>
      <c r="GR33" s="566"/>
      <c r="GS33" s="566"/>
      <c r="GT33" s="566"/>
      <c r="GU33" s="566"/>
      <c r="GV33" s="566"/>
      <c r="GW33" s="566"/>
      <c r="GX33" s="566"/>
      <c r="GY33" s="566"/>
      <c r="GZ33" s="566"/>
      <c r="HA33" s="566"/>
      <c r="HB33" s="566"/>
      <c r="HC33" s="566"/>
      <c r="HD33" s="566"/>
      <c r="HE33" s="566"/>
      <c r="HF33" s="566"/>
      <c r="HG33" s="566"/>
      <c r="HH33" s="566"/>
      <c r="HI33" s="566"/>
      <c r="HJ33" s="566"/>
      <c r="HK33" s="566"/>
      <c r="HL33" s="566"/>
    </row>
    <row r="34" spans="128:220" ht="18.899999999999999" customHeight="1">
      <c r="DX34" s="586" t="s">
        <v>3933</v>
      </c>
      <c r="DY34" s="586"/>
      <c r="DZ34" s="588"/>
      <c r="EA34" s="588"/>
      <c r="EB34" s="588"/>
      <c r="EC34" s="588"/>
      <c r="ED34" s="588"/>
      <c r="EE34" s="588"/>
      <c r="EF34" s="588"/>
      <c r="EG34" s="588"/>
      <c r="EH34" s="588"/>
      <c r="EI34" s="588"/>
      <c r="EJ34" s="588"/>
      <c r="EK34" s="588"/>
      <c r="EL34" s="588"/>
      <c r="EM34" s="588"/>
      <c r="EN34" s="588"/>
      <c r="EO34" s="588"/>
      <c r="EP34" s="588"/>
      <c r="EQ34" s="588"/>
      <c r="ER34" s="588"/>
      <c r="ES34" s="588"/>
      <c r="ET34" s="588"/>
      <c r="EU34" s="588"/>
      <c r="EV34" s="588"/>
      <c r="EW34" s="588"/>
      <c r="EX34" s="588"/>
      <c r="EY34" s="588"/>
      <c r="EZ34" s="588"/>
      <c r="FA34" s="588"/>
      <c r="FB34" s="588"/>
      <c r="FC34" s="588"/>
      <c r="FD34" s="588"/>
      <c r="FE34" s="588"/>
      <c r="FF34" s="588"/>
      <c r="FG34" s="588"/>
      <c r="FH34" s="588"/>
      <c r="FI34" s="588"/>
      <c r="FJ34" s="588"/>
      <c r="FK34" s="588"/>
      <c r="FL34" s="588"/>
      <c r="FM34" s="588"/>
      <c r="FN34" s="588"/>
      <c r="FO34" s="588"/>
      <c r="FP34" s="588"/>
      <c r="FQ34" s="588"/>
      <c r="FR34" s="588"/>
      <c r="FS34" s="588"/>
      <c r="FT34" s="588"/>
      <c r="FU34" s="588"/>
      <c r="FV34" s="588"/>
      <c r="FW34" s="588"/>
      <c r="FX34" s="588"/>
      <c r="FY34" s="588"/>
      <c r="FZ34" s="588"/>
      <c r="GA34" s="588"/>
      <c r="GB34" s="588"/>
      <c r="GC34" s="588"/>
      <c r="GD34" s="588"/>
      <c r="GE34" s="588"/>
      <c r="GF34" s="588"/>
      <c r="GG34" s="588"/>
      <c r="GH34" s="588"/>
      <c r="GI34" s="588"/>
      <c r="GJ34" s="588"/>
      <c r="GK34" s="588"/>
      <c r="GL34" s="588"/>
      <c r="GM34" s="588"/>
      <c r="GN34" s="588"/>
      <c r="GO34" s="588"/>
      <c r="GP34" s="588"/>
      <c r="GQ34" s="588"/>
      <c r="GR34" s="588"/>
      <c r="GS34" s="588"/>
      <c r="GT34" s="588"/>
      <c r="GU34" s="588"/>
      <c r="GV34" s="588"/>
      <c r="GW34" s="588"/>
      <c r="GX34" s="588"/>
      <c r="GY34" s="588"/>
      <c r="GZ34" s="588"/>
      <c r="HA34" s="588"/>
      <c r="HB34" s="588"/>
      <c r="HC34" s="588"/>
      <c r="HD34" s="588"/>
      <c r="HE34" s="588"/>
      <c r="HF34" s="588"/>
      <c r="HG34" s="588"/>
      <c r="HH34" s="588"/>
      <c r="HI34" s="588"/>
      <c r="HJ34" s="588"/>
      <c r="HK34" s="588"/>
      <c r="HL34" s="588"/>
    </row>
    <row r="35" spans="128:220" ht="18.899999999999999" customHeight="1">
      <c r="DX35" s="586" t="s">
        <v>4298</v>
      </c>
      <c r="DY35" s="586"/>
      <c r="DZ35" s="588"/>
      <c r="EA35" s="588"/>
      <c r="EB35" s="588"/>
      <c r="EC35" s="588"/>
      <c r="ED35" s="588"/>
      <c r="EE35" s="588"/>
      <c r="EF35" s="588"/>
      <c r="EG35" s="588"/>
      <c r="EH35" s="588"/>
      <c r="EI35" s="588"/>
      <c r="EJ35" s="588"/>
      <c r="EK35" s="588"/>
      <c r="EL35" s="588"/>
      <c r="EM35" s="588"/>
      <c r="EN35" s="588"/>
      <c r="EO35" s="588"/>
      <c r="EP35" s="588"/>
      <c r="EQ35" s="588"/>
      <c r="ER35" s="588"/>
      <c r="ES35" s="588"/>
      <c r="ET35" s="588"/>
      <c r="EU35" s="588"/>
      <c r="EV35" s="588"/>
      <c r="EW35" s="588"/>
      <c r="EX35" s="588"/>
      <c r="EY35" s="588"/>
      <c r="EZ35" s="588"/>
      <c r="FA35" s="588"/>
      <c r="FB35" s="588"/>
      <c r="FC35" s="588"/>
      <c r="FD35" s="588"/>
      <c r="FE35" s="588"/>
      <c r="FF35" s="588"/>
      <c r="FG35" s="588"/>
      <c r="FH35" s="588"/>
      <c r="FI35" s="588"/>
      <c r="FJ35" s="588"/>
      <c r="FK35" s="588"/>
      <c r="FL35" s="588"/>
      <c r="FM35" s="588"/>
      <c r="FN35" s="588"/>
      <c r="FO35" s="588"/>
      <c r="FP35" s="588"/>
      <c r="FQ35" s="588"/>
      <c r="FR35" s="588"/>
      <c r="FS35" s="588"/>
      <c r="FT35" s="588"/>
      <c r="FU35" s="588"/>
      <c r="FV35" s="588"/>
      <c r="FW35" s="588"/>
      <c r="FX35" s="588"/>
      <c r="FY35" s="588"/>
      <c r="FZ35" s="588"/>
      <c r="GA35" s="588"/>
      <c r="GB35" s="588"/>
      <c r="GC35" s="588"/>
      <c r="GD35" s="588"/>
      <c r="GE35" s="588"/>
      <c r="GF35" s="588"/>
      <c r="GG35" s="588"/>
      <c r="GH35" s="588"/>
      <c r="GI35" s="588"/>
      <c r="GJ35" s="588"/>
      <c r="GK35" s="588"/>
      <c r="GL35" s="588"/>
      <c r="GM35" s="588"/>
      <c r="GN35" s="588"/>
      <c r="GO35" s="588"/>
      <c r="GP35" s="588"/>
      <c r="GQ35" s="588"/>
      <c r="GR35" s="588"/>
      <c r="GS35" s="588"/>
      <c r="GT35" s="588"/>
      <c r="GU35" s="588"/>
      <c r="GV35" s="588"/>
      <c r="GW35" s="588"/>
      <c r="GX35" s="588"/>
      <c r="GY35" s="588"/>
      <c r="GZ35" s="588"/>
      <c r="HA35" s="588"/>
      <c r="HB35" s="588"/>
      <c r="HC35" s="588"/>
      <c r="HD35" s="588"/>
      <c r="HE35" s="588"/>
      <c r="HF35" s="588"/>
      <c r="HG35" s="588"/>
      <c r="HH35" s="588"/>
      <c r="HI35" s="588"/>
      <c r="HJ35" s="588"/>
      <c r="HK35" s="588"/>
      <c r="HL35" s="588"/>
    </row>
    <row r="36" spans="128:220" ht="18.899999999999999" customHeight="1">
      <c r="DX36" s="586" t="s">
        <v>3980</v>
      </c>
      <c r="DY36" s="586"/>
      <c r="DZ36" s="588"/>
      <c r="EA36" s="588"/>
      <c r="EB36" s="588"/>
      <c r="EC36" s="588"/>
      <c r="ED36" s="588"/>
      <c r="EE36" s="588"/>
      <c r="EF36" s="588"/>
      <c r="EG36" s="588"/>
      <c r="EH36" s="588"/>
      <c r="EI36" s="588"/>
      <c r="EJ36" s="588"/>
      <c r="EK36" s="588"/>
      <c r="EL36" s="588"/>
      <c r="EM36" s="588"/>
      <c r="EN36" s="588"/>
      <c r="EO36" s="588"/>
      <c r="EP36" s="588"/>
      <c r="EQ36" s="588"/>
      <c r="ER36" s="588"/>
      <c r="ES36" s="588"/>
      <c r="ET36" s="588"/>
      <c r="EU36" s="588"/>
      <c r="EV36" s="588"/>
      <c r="EW36" s="588"/>
      <c r="EX36" s="588"/>
      <c r="EY36" s="588"/>
      <c r="EZ36" s="588"/>
      <c r="FA36" s="588"/>
      <c r="FB36" s="588"/>
      <c r="FC36" s="588"/>
      <c r="FD36" s="588"/>
      <c r="FE36" s="588"/>
      <c r="FF36" s="588"/>
      <c r="FG36" s="588"/>
      <c r="FH36" s="588"/>
      <c r="FI36" s="588"/>
      <c r="FJ36" s="588"/>
      <c r="FK36" s="588"/>
      <c r="FL36" s="588"/>
      <c r="FM36" s="588"/>
      <c r="FN36" s="588"/>
      <c r="FO36" s="588"/>
      <c r="FP36" s="588"/>
      <c r="FQ36" s="588"/>
      <c r="FR36" s="588"/>
      <c r="FS36" s="588"/>
      <c r="FT36" s="588"/>
      <c r="FU36" s="588"/>
      <c r="FV36" s="588"/>
      <c r="FW36" s="588"/>
      <c r="FX36" s="588"/>
      <c r="FY36" s="588"/>
      <c r="FZ36" s="588"/>
      <c r="GA36" s="588"/>
      <c r="GB36" s="588"/>
      <c r="GC36" s="588"/>
      <c r="GD36" s="588"/>
      <c r="GE36" s="588"/>
      <c r="GF36" s="588"/>
      <c r="GG36" s="588"/>
      <c r="GH36" s="588"/>
      <c r="GI36" s="588"/>
      <c r="GJ36" s="588"/>
      <c r="GK36" s="588"/>
      <c r="GL36" s="588"/>
      <c r="GM36" s="588"/>
      <c r="GN36" s="588"/>
      <c r="GO36" s="588"/>
      <c r="GP36" s="588"/>
      <c r="GQ36" s="588"/>
      <c r="GR36" s="588"/>
      <c r="GS36" s="588"/>
      <c r="GT36" s="588"/>
      <c r="GU36" s="588"/>
      <c r="GV36" s="588"/>
      <c r="GW36" s="588"/>
      <c r="GX36" s="588"/>
      <c r="GY36" s="588"/>
      <c r="GZ36" s="588"/>
      <c r="HA36" s="588"/>
      <c r="HB36" s="588"/>
      <c r="HC36" s="588"/>
      <c r="HD36" s="588"/>
      <c r="HE36" s="588"/>
      <c r="HF36" s="588"/>
      <c r="HG36" s="588"/>
      <c r="HH36" s="588"/>
      <c r="HI36" s="588"/>
      <c r="HJ36" s="588"/>
      <c r="HK36" s="588"/>
      <c r="HL36" s="588"/>
    </row>
    <row r="37" spans="128:220" ht="18.899999999999999" customHeight="1">
      <c r="DX37" s="586" t="s">
        <v>3981</v>
      </c>
      <c r="DY37" s="586"/>
      <c r="DZ37" s="588"/>
      <c r="EA37" s="588"/>
      <c r="EB37" s="588"/>
      <c r="EC37" s="588"/>
      <c r="ED37" s="588"/>
      <c r="EE37" s="588"/>
      <c r="EF37" s="588"/>
      <c r="EG37" s="588"/>
      <c r="EH37" s="588"/>
      <c r="EI37" s="588"/>
      <c r="EJ37" s="588"/>
      <c r="EK37" s="588"/>
      <c r="EL37" s="588"/>
      <c r="EM37" s="588"/>
      <c r="EN37" s="588"/>
      <c r="EO37" s="588"/>
      <c r="EP37" s="588"/>
      <c r="EQ37" s="588"/>
      <c r="ER37" s="588"/>
      <c r="ES37" s="588"/>
      <c r="ET37" s="588"/>
      <c r="EU37" s="588"/>
      <c r="EV37" s="588"/>
      <c r="EW37" s="588"/>
      <c r="EX37" s="588"/>
      <c r="EY37" s="588"/>
      <c r="EZ37" s="588"/>
      <c r="FA37" s="588"/>
      <c r="FB37" s="588"/>
      <c r="FC37" s="588"/>
      <c r="FD37" s="588"/>
      <c r="FE37" s="588"/>
      <c r="FF37" s="588"/>
      <c r="FG37" s="588"/>
      <c r="FH37" s="588"/>
      <c r="FI37" s="588"/>
      <c r="FJ37" s="588"/>
      <c r="FK37" s="588"/>
      <c r="FL37" s="588"/>
      <c r="FM37" s="588"/>
      <c r="FN37" s="588"/>
      <c r="FO37" s="588"/>
      <c r="FP37" s="588"/>
      <c r="FQ37" s="588"/>
      <c r="FR37" s="588"/>
      <c r="FS37" s="588"/>
      <c r="FT37" s="588"/>
      <c r="FU37" s="588"/>
      <c r="FV37" s="588"/>
      <c r="FW37" s="588"/>
      <c r="FX37" s="588"/>
      <c r="FY37" s="588"/>
      <c r="FZ37" s="588"/>
      <c r="GA37" s="588"/>
      <c r="GB37" s="588"/>
      <c r="GC37" s="588"/>
      <c r="GD37" s="588"/>
      <c r="GE37" s="588"/>
      <c r="GF37" s="588"/>
      <c r="GG37" s="588"/>
      <c r="GH37" s="588"/>
      <c r="GI37" s="588"/>
      <c r="GJ37" s="588"/>
      <c r="GK37" s="588"/>
      <c r="GL37" s="588"/>
      <c r="GM37" s="588"/>
      <c r="GN37" s="588"/>
      <c r="GO37" s="588"/>
      <c r="GP37" s="588"/>
      <c r="GQ37" s="588"/>
      <c r="GR37" s="588"/>
      <c r="GS37" s="588"/>
      <c r="GT37" s="588"/>
      <c r="GU37" s="588"/>
      <c r="GV37" s="588"/>
      <c r="GW37" s="588"/>
      <c r="GX37" s="588"/>
      <c r="GY37" s="588"/>
      <c r="GZ37" s="588"/>
      <c r="HA37" s="588"/>
      <c r="HB37" s="588"/>
      <c r="HC37" s="588"/>
      <c r="HD37" s="588"/>
      <c r="HE37" s="588"/>
      <c r="HF37" s="588"/>
      <c r="HG37" s="588"/>
      <c r="HH37" s="588"/>
      <c r="HI37" s="588"/>
      <c r="HJ37" s="588"/>
      <c r="HK37" s="588"/>
      <c r="HL37" s="588"/>
    </row>
    <row r="38" spans="128:220" ht="18.899999999999999" customHeight="1">
      <c r="DX38" s="586" t="s">
        <v>4096</v>
      </c>
      <c r="DY38" s="586"/>
      <c r="DZ38" s="588"/>
      <c r="EA38" s="588"/>
      <c r="EB38" s="588"/>
      <c r="EC38" s="588"/>
      <c r="ED38" s="588"/>
      <c r="EE38" s="588"/>
      <c r="EF38" s="588"/>
      <c r="EG38" s="588"/>
      <c r="EH38" s="588"/>
      <c r="EI38" s="588"/>
      <c r="EJ38" s="588"/>
      <c r="EK38" s="588"/>
      <c r="EL38" s="588"/>
      <c r="EM38" s="588"/>
      <c r="EN38" s="588"/>
      <c r="EO38" s="588"/>
      <c r="EP38" s="588"/>
      <c r="EQ38" s="588"/>
      <c r="ER38" s="588"/>
      <c r="ES38" s="588"/>
      <c r="ET38" s="588"/>
      <c r="EU38" s="588"/>
      <c r="EV38" s="588"/>
      <c r="EW38" s="588"/>
      <c r="EX38" s="588"/>
      <c r="EY38" s="588"/>
      <c r="EZ38" s="588"/>
      <c r="FA38" s="588"/>
      <c r="FB38" s="588"/>
      <c r="FC38" s="588"/>
      <c r="FD38" s="588"/>
      <c r="FE38" s="588"/>
      <c r="FF38" s="588"/>
      <c r="FG38" s="588"/>
      <c r="FH38" s="588"/>
      <c r="FI38" s="588"/>
      <c r="FJ38" s="588"/>
      <c r="FK38" s="588"/>
      <c r="FL38" s="588"/>
      <c r="FM38" s="588"/>
      <c r="FN38" s="588"/>
      <c r="FO38" s="588"/>
      <c r="FP38" s="588"/>
      <c r="FQ38" s="588"/>
      <c r="FR38" s="588"/>
      <c r="FS38" s="588"/>
      <c r="FT38" s="588"/>
      <c r="FU38" s="588"/>
      <c r="FV38" s="588"/>
      <c r="FW38" s="588"/>
      <c r="FX38" s="588"/>
      <c r="FY38" s="588"/>
      <c r="FZ38" s="588"/>
      <c r="GA38" s="588"/>
      <c r="GB38" s="588"/>
      <c r="GC38" s="588"/>
      <c r="GD38" s="588"/>
      <c r="GE38" s="588"/>
      <c r="GF38" s="588"/>
      <c r="GG38" s="588"/>
      <c r="GH38" s="588"/>
      <c r="GI38" s="588"/>
      <c r="GJ38" s="588"/>
      <c r="GK38" s="588"/>
      <c r="GL38" s="588"/>
      <c r="GM38" s="588"/>
      <c r="GN38" s="588"/>
      <c r="GO38" s="588"/>
      <c r="GP38" s="588"/>
      <c r="GQ38" s="588"/>
      <c r="GR38" s="588"/>
      <c r="GS38" s="588"/>
      <c r="GT38" s="588"/>
      <c r="GU38" s="588"/>
      <c r="GV38" s="588"/>
      <c r="GW38" s="588"/>
      <c r="GX38" s="588"/>
      <c r="GY38" s="588"/>
      <c r="GZ38" s="588"/>
      <c r="HA38" s="588"/>
      <c r="HB38" s="588"/>
      <c r="HC38" s="588"/>
      <c r="HD38" s="588"/>
      <c r="HE38" s="588"/>
      <c r="HF38" s="588"/>
      <c r="HG38" s="588"/>
      <c r="HH38" s="588"/>
      <c r="HI38" s="588"/>
      <c r="HJ38" s="588"/>
      <c r="HK38" s="588"/>
      <c r="HL38" s="588"/>
    </row>
    <row r="39" spans="128:220" ht="18.899999999999999" customHeight="1">
      <c r="DX39" s="586" t="s">
        <v>4299</v>
      </c>
      <c r="DY39" s="586"/>
      <c r="DZ39" s="589"/>
      <c r="EA39" s="589"/>
      <c r="EB39" s="589"/>
      <c r="EC39" s="589"/>
      <c r="ED39" s="589"/>
      <c r="EE39" s="589"/>
      <c r="EF39" s="589"/>
      <c r="EG39" s="589"/>
      <c r="EH39" s="589"/>
      <c r="EI39" s="589"/>
      <c r="EJ39" s="589"/>
      <c r="EK39" s="589"/>
      <c r="EL39" s="589"/>
      <c r="EM39" s="589"/>
      <c r="EN39" s="589"/>
      <c r="EO39" s="589"/>
      <c r="EP39" s="589"/>
      <c r="EQ39" s="589"/>
      <c r="ER39" s="589"/>
      <c r="ES39" s="589"/>
      <c r="ET39" s="589"/>
      <c r="EU39" s="589"/>
      <c r="EV39" s="589"/>
      <c r="EW39" s="589"/>
      <c r="EX39" s="589"/>
      <c r="EY39" s="589"/>
      <c r="EZ39" s="589"/>
      <c r="FA39" s="589"/>
      <c r="FB39" s="589"/>
      <c r="FC39" s="589"/>
      <c r="FD39" s="589"/>
      <c r="FE39" s="589"/>
      <c r="FF39" s="589"/>
      <c r="FG39" s="589"/>
      <c r="FH39" s="589"/>
      <c r="FI39" s="589"/>
      <c r="FJ39" s="589"/>
      <c r="FK39" s="589"/>
      <c r="FL39" s="589"/>
      <c r="FM39" s="589"/>
      <c r="FN39" s="589"/>
      <c r="FO39" s="589"/>
      <c r="FP39" s="589"/>
      <c r="FQ39" s="589"/>
      <c r="FR39" s="589"/>
      <c r="FS39" s="589"/>
      <c r="FT39" s="589"/>
      <c r="FU39" s="589"/>
      <c r="FV39" s="589"/>
      <c r="FW39" s="589"/>
      <c r="FX39" s="589"/>
      <c r="FY39" s="589"/>
      <c r="FZ39" s="589"/>
      <c r="GA39" s="589"/>
      <c r="GB39" s="589"/>
      <c r="GC39" s="589"/>
      <c r="GD39" s="589"/>
      <c r="GE39" s="589"/>
      <c r="GF39" s="589"/>
      <c r="GG39" s="589"/>
      <c r="GH39" s="589"/>
      <c r="GI39" s="589"/>
      <c r="GJ39" s="589"/>
      <c r="GK39" s="589"/>
      <c r="GL39" s="589"/>
      <c r="GM39" s="589"/>
      <c r="GN39" s="589"/>
      <c r="GO39" s="589"/>
      <c r="GP39" s="589"/>
      <c r="GQ39" s="589"/>
      <c r="GR39" s="589"/>
      <c r="GS39" s="589"/>
      <c r="GT39" s="589"/>
      <c r="GU39" s="589"/>
      <c r="GV39" s="589"/>
      <c r="GW39" s="589"/>
      <c r="GX39" s="589"/>
      <c r="GY39" s="589"/>
      <c r="GZ39" s="589"/>
      <c r="HA39" s="589"/>
      <c r="HB39" s="589"/>
      <c r="HC39" s="589"/>
      <c r="HD39" s="589"/>
      <c r="HE39" s="589"/>
      <c r="HF39" s="589"/>
      <c r="HG39" s="589"/>
      <c r="HH39" s="589"/>
      <c r="HI39" s="589"/>
      <c r="HJ39" s="589"/>
      <c r="HK39" s="589"/>
      <c r="HL39" s="589"/>
    </row>
    <row r="40" spans="128:220" ht="18.899999999999999" customHeight="1">
      <c r="DX40" s="586" t="s">
        <v>4300</v>
      </c>
      <c r="DY40" s="586"/>
      <c r="DZ40" s="589"/>
      <c r="EA40" s="589"/>
      <c r="EB40" s="589"/>
      <c r="EC40" s="589"/>
      <c r="ED40" s="589"/>
      <c r="EE40" s="589"/>
      <c r="EF40" s="589"/>
      <c r="EG40" s="589"/>
      <c r="EH40" s="589"/>
      <c r="EI40" s="589"/>
      <c r="EJ40" s="589"/>
      <c r="EK40" s="589"/>
      <c r="EL40" s="589"/>
      <c r="EM40" s="589"/>
      <c r="EN40" s="589"/>
      <c r="EO40" s="589"/>
      <c r="EP40" s="589"/>
      <c r="EQ40" s="589"/>
      <c r="ER40" s="589"/>
      <c r="ES40" s="589"/>
      <c r="ET40" s="589"/>
      <c r="EU40" s="589"/>
      <c r="EV40" s="589"/>
      <c r="EW40" s="589"/>
      <c r="EX40" s="589"/>
      <c r="EY40" s="589"/>
      <c r="EZ40" s="589"/>
      <c r="FA40" s="589"/>
      <c r="FB40" s="589"/>
      <c r="FC40" s="589"/>
      <c r="FD40" s="589"/>
      <c r="FE40" s="589"/>
      <c r="FF40" s="589"/>
      <c r="FG40" s="589"/>
      <c r="FH40" s="589"/>
      <c r="FI40" s="589"/>
      <c r="FJ40" s="589"/>
      <c r="FK40" s="589"/>
      <c r="FL40" s="589"/>
      <c r="FM40" s="589"/>
      <c r="FN40" s="589"/>
      <c r="FO40" s="589"/>
      <c r="FP40" s="589"/>
      <c r="FQ40" s="589"/>
      <c r="FR40" s="589"/>
      <c r="FS40" s="589"/>
      <c r="FT40" s="589"/>
      <c r="FU40" s="589"/>
      <c r="FV40" s="589"/>
      <c r="FW40" s="589"/>
      <c r="FX40" s="589"/>
      <c r="FY40" s="589"/>
      <c r="FZ40" s="589"/>
      <c r="GA40" s="589"/>
      <c r="GB40" s="589"/>
      <c r="GC40" s="589"/>
      <c r="GD40" s="589"/>
      <c r="GE40" s="589"/>
      <c r="GF40" s="589"/>
      <c r="GG40" s="589"/>
      <c r="GH40" s="589"/>
      <c r="GI40" s="589"/>
      <c r="GJ40" s="589"/>
      <c r="GK40" s="589"/>
      <c r="GL40" s="589"/>
      <c r="GM40" s="589"/>
      <c r="GN40" s="589"/>
      <c r="GO40" s="589"/>
      <c r="GP40" s="589"/>
      <c r="GQ40" s="589"/>
      <c r="GR40" s="589"/>
      <c r="GS40" s="589"/>
      <c r="GT40" s="589"/>
      <c r="GU40" s="589"/>
      <c r="GV40" s="589"/>
      <c r="GW40" s="589"/>
      <c r="GX40" s="589"/>
      <c r="GY40" s="589"/>
      <c r="GZ40" s="589"/>
      <c r="HA40" s="589"/>
      <c r="HB40" s="589"/>
      <c r="HC40" s="589"/>
      <c r="HD40" s="589"/>
      <c r="HE40" s="589"/>
      <c r="HF40" s="589"/>
      <c r="HG40" s="589"/>
      <c r="HH40" s="589"/>
      <c r="HI40" s="589"/>
      <c r="HJ40" s="589"/>
      <c r="HK40" s="589"/>
      <c r="HL40" s="589"/>
    </row>
    <row r="41" spans="128:220" ht="18.899999999999999" customHeight="1">
      <c r="DX41" s="586" t="s">
        <v>3947</v>
      </c>
      <c r="DY41" s="586"/>
      <c r="DZ41" s="589"/>
      <c r="EA41" s="589"/>
      <c r="EB41" s="589"/>
      <c r="EC41" s="589"/>
      <c r="ED41" s="589"/>
      <c r="EE41" s="589"/>
      <c r="EF41" s="589"/>
      <c r="EG41" s="589"/>
      <c r="EH41" s="589"/>
      <c r="EI41" s="589"/>
      <c r="EJ41" s="589"/>
      <c r="EK41" s="589"/>
      <c r="EL41" s="589"/>
      <c r="EM41" s="589"/>
      <c r="EN41" s="589"/>
      <c r="EO41" s="589"/>
      <c r="EP41" s="589"/>
      <c r="EQ41" s="589"/>
      <c r="ER41" s="589"/>
      <c r="ES41" s="589"/>
      <c r="ET41" s="589"/>
      <c r="EU41" s="589"/>
      <c r="EV41" s="589"/>
      <c r="EW41" s="589"/>
      <c r="EX41" s="589"/>
      <c r="EY41" s="589"/>
      <c r="EZ41" s="589"/>
      <c r="FA41" s="589"/>
      <c r="FB41" s="589"/>
      <c r="FC41" s="589"/>
      <c r="FD41" s="589"/>
      <c r="FE41" s="589"/>
      <c r="FF41" s="589"/>
      <c r="FG41" s="589"/>
      <c r="FH41" s="589"/>
      <c r="FI41" s="589"/>
      <c r="FJ41" s="589"/>
      <c r="FK41" s="589"/>
      <c r="FL41" s="589"/>
      <c r="FM41" s="589"/>
      <c r="FN41" s="589"/>
      <c r="FO41" s="589"/>
      <c r="FP41" s="589"/>
      <c r="FQ41" s="589"/>
      <c r="FR41" s="589"/>
      <c r="FS41" s="589"/>
      <c r="FT41" s="589"/>
      <c r="FU41" s="589"/>
      <c r="FV41" s="589"/>
      <c r="FW41" s="589"/>
      <c r="FX41" s="589"/>
      <c r="FY41" s="589"/>
      <c r="FZ41" s="589"/>
      <c r="GA41" s="589"/>
      <c r="GB41" s="589"/>
      <c r="GC41" s="589"/>
      <c r="GD41" s="589"/>
      <c r="GE41" s="589"/>
      <c r="GF41" s="589"/>
      <c r="GG41" s="589"/>
      <c r="GH41" s="589"/>
      <c r="GI41" s="589"/>
      <c r="GJ41" s="589"/>
      <c r="GK41" s="589"/>
      <c r="GL41" s="589"/>
      <c r="GM41" s="589"/>
      <c r="GN41" s="589"/>
      <c r="GO41" s="589"/>
      <c r="GP41" s="589"/>
      <c r="GQ41" s="589"/>
      <c r="GR41" s="589"/>
      <c r="GS41" s="589"/>
      <c r="GT41" s="589"/>
      <c r="GU41" s="589"/>
      <c r="GV41" s="589"/>
      <c r="GW41" s="589"/>
      <c r="GX41" s="589"/>
      <c r="GY41" s="589"/>
      <c r="GZ41" s="589"/>
      <c r="HA41" s="589"/>
      <c r="HB41" s="589"/>
      <c r="HC41" s="589"/>
      <c r="HD41" s="589"/>
      <c r="HE41" s="589"/>
      <c r="HF41" s="589"/>
      <c r="HG41" s="589"/>
      <c r="HH41" s="589"/>
      <c r="HI41" s="589"/>
      <c r="HJ41" s="589"/>
      <c r="HK41" s="589"/>
      <c r="HL41" s="589"/>
    </row>
    <row r="42" spans="128:220" ht="18.899999999999999" customHeight="1">
      <c r="DX42" s="586" t="s">
        <v>3948</v>
      </c>
      <c r="DY42" s="586"/>
      <c r="DZ42" s="589"/>
      <c r="EA42" s="589"/>
      <c r="EB42" s="589"/>
      <c r="EC42" s="589"/>
      <c r="ED42" s="589"/>
      <c r="EE42" s="589"/>
      <c r="EF42" s="589"/>
      <c r="EG42" s="589"/>
      <c r="EH42" s="589"/>
      <c r="EI42" s="589"/>
      <c r="EJ42" s="589"/>
      <c r="EK42" s="589"/>
      <c r="EL42" s="589"/>
      <c r="EM42" s="589"/>
      <c r="EN42" s="589"/>
      <c r="EO42" s="589"/>
      <c r="EP42" s="589"/>
      <c r="EQ42" s="589"/>
      <c r="ER42" s="589"/>
      <c r="ES42" s="589"/>
      <c r="ET42" s="589"/>
      <c r="EU42" s="589"/>
      <c r="EV42" s="589"/>
      <c r="EW42" s="589"/>
      <c r="EX42" s="589"/>
      <c r="EY42" s="589"/>
      <c r="EZ42" s="589"/>
      <c r="FA42" s="589"/>
      <c r="FB42" s="589"/>
      <c r="FC42" s="589"/>
      <c r="FD42" s="589"/>
      <c r="FE42" s="589"/>
      <c r="FF42" s="589"/>
      <c r="FG42" s="589"/>
      <c r="FH42" s="589"/>
      <c r="FI42" s="589"/>
      <c r="FJ42" s="589"/>
      <c r="FK42" s="589"/>
      <c r="FL42" s="589"/>
      <c r="FM42" s="589"/>
      <c r="FN42" s="589"/>
      <c r="FO42" s="589"/>
      <c r="FP42" s="589"/>
      <c r="FQ42" s="589"/>
      <c r="FR42" s="589"/>
      <c r="FS42" s="589"/>
      <c r="FT42" s="589"/>
      <c r="FU42" s="589"/>
      <c r="FV42" s="589"/>
      <c r="FW42" s="589"/>
      <c r="FX42" s="589"/>
      <c r="FY42" s="589"/>
      <c r="FZ42" s="589"/>
      <c r="GA42" s="589"/>
      <c r="GB42" s="589"/>
      <c r="GC42" s="589"/>
      <c r="GD42" s="589"/>
      <c r="GE42" s="589"/>
      <c r="GF42" s="589"/>
      <c r="GG42" s="589"/>
      <c r="GH42" s="589"/>
      <c r="GI42" s="589"/>
      <c r="GJ42" s="589"/>
      <c r="GK42" s="589"/>
      <c r="GL42" s="589"/>
      <c r="GM42" s="589"/>
      <c r="GN42" s="589"/>
      <c r="GO42" s="589"/>
      <c r="GP42" s="589"/>
      <c r="GQ42" s="589"/>
      <c r="GR42" s="589"/>
      <c r="GS42" s="589"/>
      <c r="GT42" s="589"/>
      <c r="GU42" s="589"/>
      <c r="GV42" s="589"/>
      <c r="GW42" s="589"/>
      <c r="GX42" s="589"/>
      <c r="GY42" s="589"/>
      <c r="GZ42" s="589"/>
      <c r="HA42" s="589"/>
      <c r="HB42" s="589"/>
      <c r="HC42" s="589"/>
      <c r="HD42" s="589"/>
      <c r="HE42" s="589"/>
      <c r="HF42" s="589"/>
      <c r="HG42" s="589"/>
      <c r="HH42" s="589"/>
      <c r="HI42" s="589"/>
      <c r="HJ42" s="589"/>
      <c r="HK42" s="589"/>
      <c r="HL42" s="589"/>
    </row>
    <row r="43" spans="128:220" ht="18.899999999999999" customHeight="1">
      <c r="DX43" s="586" t="s">
        <v>4301</v>
      </c>
      <c r="DY43" s="586"/>
      <c r="DZ43" s="589"/>
      <c r="EA43" s="589"/>
      <c r="EB43" s="589"/>
      <c r="EC43" s="589"/>
      <c r="ED43" s="589"/>
      <c r="EE43" s="589"/>
      <c r="EF43" s="589"/>
      <c r="EG43" s="589"/>
      <c r="EH43" s="589"/>
      <c r="EI43" s="589"/>
      <c r="EJ43" s="589"/>
      <c r="EK43" s="589"/>
      <c r="EL43" s="589"/>
      <c r="EM43" s="589"/>
      <c r="EN43" s="589"/>
      <c r="EO43" s="589"/>
      <c r="EP43" s="589"/>
      <c r="EQ43" s="589"/>
      <c r="ER43" s="589"/>
      <c r="ES43" s="589"/>
      <c r="ET43" s="589"/>
      <c r="EU43" s="589"/>
      <c r="EV43" s="589"/>
      <c r="EW43" s="589"/>
      <c r="EX43" s="589"/>
      <c r="EY43" s="589"/>
      <c r="EZ43" s="589"/>
      <c r="FA43" s="589"/>
      <c r="FB43" s="589"/>
      <c r="FC43" s="589"/>
      <c r="FD43" s="589"/>
      <c r="FE43" s="589"/>
      <c r="FF43" s="589"/>
      <c r="FG43" s="589"/>
      <c r="FH43" s="589"/>
      <c r="FI43" s="589"/>
      <c r="FJ43" s="589"/>
      <c r="FK43" s="589"/>
      <c r="FL43" s="589"/>
      <c r="FM43" s="589"/>
      <c r="FN43" s="589"/>
      <c r="FO43" s="589"/>
      <c r="FP43" s="589"/>
      <c r="FQ43" s="589"/>
      <c r="FR43" s="589"/>
      <c r="FS43" s="589"/>
      <c r="FT43" s="589"/>
      <c r="FU43" s="589"/>
      <c r="FV43" s="589"/>
      <c r="FW43" s="589"/>
      <c r="FX43" s="589"/>
      <c r="FY43" s="589"/>
      <c r="FZ43" s="589"/>
      <c r="GA43" s="589"/>
      <c r="GB43" s="589"/>
      <c r="GC43" s="589"/>
      <c r="GD43" s="589"/>
      <c r="GE43" s="589"/>
      <c r="GF43" s="589"/>
      <c r="GG43" s="589"/>
      <c r="GH43" s="589"/>
      <c r="GI43" s="589"/>
      <c r="GJ43" s="589"/>
      <c r="GK43" s="589"/>
      <c r="GL43" s="589"/>
      <c r="GM43" s="589"/>
      <c r="GN43" s="589"/>
      <c r="GO43" s="589"/>
      <c r="GP43" s="589"/>
      <c r="GQ43" s="589"/>
      <c r="GR43" s="589"/>
      <c r="GS43" s="589"/>
      <c r="GT43" s="589"/>
      <c r="GU43" s="589"/>
      <c r="GV43" s="589"/>
      <c r="GW43" s="589"/>
      <c r="GX43" s="589"/>
      <c r="GY43" s="589"/>
      <c r="GZ43" s="589"/>
      <c r="HA43" s="589"/>
      <c r="HB43" s="589"/>
      <c r="HC43" s="589"/>
      <c r="HD43" s="589"/>
      <c r="HE43" s="589"/>
      <c r="HF43" s="589"/>
      <c r="HG43" s="589"/>
      <c r="HH43" s="589"/>
      <c r="HI43" s="589"/>
      <c r="HJ43" s="589"/>
      <c r="HK43" s="589"/>
      <c r="HL43" s="589"/>
    </row>
    <row r="44" spans="128:220" ht="18.899999999999999" customHeight="1">
      <c r="DX44" s="586" t="s">
        <v>4098</v>
      </c>
      <c r="DY44" s="586"/>
      <c r="DZ44" s="589"/>
      <c r="EA44" s="589"/>
      <c r="EB44" s="589"/>
      <c r="EC44" s="589"/>
      <c r="ED44" s="589"/>
      <c r="EE44" s="589"/>
      <c r="EF44" s="589"/>
      <c r="EG44" s="589"/>
      <c r="EH44" s="589"/>
      <c r="EI44" s="589"/>
      <c r="EJ44" s="589"/>
      <c r="EK44" s="589"/>
      <c r="EL44" s="589"/>
      <c r="EM44" s="589"/>
      <c r="EN44" s="589"/>
      <c r="EO44" s="589"/>
      <c r="EP44" s="589"/>
      <c r="EQ44" s="589"/>
      <c r="ER44" s="589"/>
      <c r="ES44" s="589"/>
      <c r="ET44" s="589"/>
      <c r="EU44" s="589"/>
      <c r="EV44" s="589"/>
      <c r="EW44" s="589"/>
      <c r="EX44" s="589"/>
      <c r="EY44" s="589"/>
      <c r="EZ44" s="589"/>
      <c r="FA44" s="589"/>
      <c r="FB44" s="589"/>
      <c r="FC44" s="589"/>
      <c r="FD44" s="589"/>
      <c r="FE44" s="589"/>
      <c r="FF44" s="589"/>
      <c r="FG44" s="589"/>
      <c r="FH44" s="589"/>
      <c r="FI44" s="589"/>
      <c r="FJ44" s="589"/>
      <c r="FK44" s="589"/>
      <c r="FL44" s="589"/>
      <c r="FM44" s="589"/>
      <c r="FN44" s="589"/>
      <c r="FO44" s="589"/>
      <c r="FP44" s="589"/>
      <c r="FQ44" s="589"/>
      <c r="FR44" s="589"/>
      <c r="FS44" s="589"/>
      <c r="FT44" s="589"/>
      <c r="FU44" s="589"/>
      <c r="FV44" s="589"/>
      <c r="FW44" s="589"/>
      <c r="FX44" s="589"/>
      <c r="FY44" s="589"/>
      <c r="FZ44" s="589"/>
      <c r="GA44" s="589"/>
      <c r="GB44" s="589"/>
      <c r="GC44" s="589"/>
      <c r="GD44" s="589"/>
      <c r="GE44" s="589"/>
      <c r="GF44" s="589"/>
      <c r="GG44" s="589"/>
      <c r="GH44" s="589"/>
      <c r="GI44" s="589"/>
      <c r="GJ44" s="589"/>
      <c r="GK44" s="589"/>
      <c r="GL44" s="589"/>
      <c r="GM44" s="589"/>
      <c r="GN44" s="589"/>
      <c r="GO44" s="589"/>
      <c r="GP44" s="589"/>
      <c r="GQ44" s="589"/>
      <c r="GR44" s="589"/>
      <c r="GS44" s="589"/>
      <c r="GT44" s="589"/>
      <c r="GU44" s="589"/>
      <c r="GV44" s="589"/>
      <c r="GW44" s="589"/>
      <c r="GX44" s="589"/>
      <c r="GY44" s="589"/>
      <c r="GZ44" s="589"/>
      <c r="HA44" s="589"/>
      <c r="HB44" s="589"/>
      <c r="HC44" s="589"/>
      <c r="HD44" s="589"/>
      <c r="HE44" s="589"/>
      <c r="HF44" s="589"/>
      <c r="HG44" s="589"/>
      <c r="HH44" s="589"/>
      <c r="HI44" s="589"/>
      <c r="HJ44" s="589"/>
      <c r="HK44" s="589"/>
      <c r="HL44" s="589"/>
    </row>
    <row r="45" spans="128:220" ht="18.899999999999999" customHeight="1">
      <c r="DX45" s="586" t="s">
        <v>3944</v>
      </c>
      <c r="DY45" s="586"/>
      <c r="DZ45" s="589"/>
      <c r="EA45" s="589"/>
      <c r="EB45" s="589"/>
      <c r="EC45" s="589"/>
      <c r="ED45" s="589"/>
      <c r="EE45" s="589"/>
      <c r="EF45" s="589"/>
      <c r="EG45" s="589"/>
      <c r="EH45" s="589"/>
      <c r="EI45" s="589"/>
      <c r="EJ45" s="589"/>
      <c r="EK45" s="589"/>
      <c r="EL45" s="589"/>
      <c r="EM45" s="589"/>
      <c r="EN45" s="589"/>
      <c r="EO45" s="589"/>
      <c r="EP45" s="589"/>
      <c r="EQ45" s="589"/>
      <c r="ER45" s="589"/>
      <c r="ES45" s="589"/>
      <c r="ET45" s="589"/>
      <c r="EU45" s="589"/>
      <c r="EV45" s="589"/>
      <c r="EW45" s="589"/>
      <c r="EX45" s="589"/>
      <c r="EY45" s="589"/>
      <c r="EZ45" s="589"/>
      <c r="FA45" s="589"/>
      <c r="FB45" s="589"/>
      <c r="FC45" s="589"/>
      <c r="FD45" s="589"/>
      <c r="FE45" s="589"/>
      <c r="FF45" s="589"/>
      <c r="FG45" s="589"/>
      <c r="FH45" s="589"/>
      <c r="FI45" s="589"/>
      <c r="FJ45" s="589"/>
      <c r="FK45" s="589"/>
      <c r="FL45" s="589"/>
      <c r="FM45" s="589"/>
      <c r="FN45" s="589"/>
      <c r="FO45" s="589"/>
      <c r="FP45" s="589"/>
      <c r="FQ45" s="589"/>
      <c r="FR45" s="589"/>
      <c r="FS45" s="589"/>
      <c r="FT45" s="589"/>
      <c r="FU45" s="589"/>
      <c r="FV45" s="589"/>
      <c r="FW45" s="589"/>
      <c r="FX45" s="589"/>
      <c r="FY45" s="589"/>
      <c r="FZ45" s="589"/>
      <c r="GA45" s="589"/>
      <c r="GB45" s="589"/>
      <c r="GC45" s="589"/>
      <c r="GD45" s="589"/>
      <c r="GE45" s="589"/>
      <c r="GF45" s="589"/>
      <c r="GG45" s="589"/>
      <c r="GH45" s="589"/>
      <c r="GI45" s="589"/>
      <c r="GJ45" s="589"/>
      <c r="GK45" s="589"/>
      <c r="GL45" s="589"/>
      <c r="GM45" s="589"/>
      <c r="GN45" s="589"/>
      <c r="GO45" s="589"/>
      <c r="GP45" s="589"/>
      <c r="GQ45" s="589"/>
      <c r="GR45" s="589"/>
      <c r="GS45" s="589"/>
      <c r="GT45" s="589"/>
      <c r="GU45" s="589"/>
      <c r="GV45" s="589"/>
      <c r="GW45" s="589"/>
      <c r="GX45" s="589"/>
      <c r="GY45" s="589"/>
      <c r="GZ45" s="589"/>
      <c r="HA45" s="589"/>
      <c r="HB45" s="589"/>
      <c r="HC45" s="589"/>
      <c r="HD45" s="589"/>
      <c r="HE45" s="589"/>
      <c r="HF45" s="589"/>
      <c r="HG45" s="589"/>
      <c r="HH45" s="589"/>
      <c r="HI45" s="589"/>
      <c r="HJ45" s="589"/>
      <c r="HK45" s="589"/>
      <c r="HL45" s="589"/>
    </row>
    <row r="46" spans="128:220" ht="18.899999999999999" customHeight="1">
      <c r="DX46" s="586" t="s">
        <v>3946</v>
      </c>
      <c r="DY46" s="586"/>
      <c r="DZ46" s="589"/>
      <c r="EA46" s="589"/>
      <c r="EB46" s="589"/>
      <c r="EC46" s="589"/>
      <c r="ED46" s="589"/>
      <c r="EE46" s="589"/>
      <c r="EF46" s="589"/>
      <c r="EG46" s="589"/>
      <c r="EH46" s="589"/>
      <c r="EI46" s="589"/>
      <c r="EJ46" s="589"/>
      <c r="EK46" s="589"/>
      <c r="EL46" s="589"/>
      <c r="EM46" s="589"/>
      <c r="EN46" s="589"/>
      <c r="EO46" s="589"/>
      <c r="EP46" s="589"/>
      <c r="EQ46" s="589"/>
      <c r="ER46" s="589"/>
      <c r="ES46" s="589"/>
      <c r="ET46" s="589"/>
      <c r="EU46" s="589"/>
      <c r="EV46" s="589"/>
      <c r="EW46" s="589"/>
      <c r="EX46" s="589"/>
      <c r="EY46" s="589"/>
      <c r="EZ46" s="589"/>
      <c r="FA46" s="589"/>
      <c r="FB46" s="589"/>
      <c r="FC46" s="589"/>
      <c r="FD46" s="589"/>
      <c r="FE46" s="589"/>
      <c r="FF46" s="589"/>
      <c r="FG46" s="589"/>
      <c r="FH46" s="589"/>
      <c r="FI46" s="589"/>
      <c r="FJ46" s="589"/>
      <c r="FK46" s="589"/>
      <c r="FL46" s="589"/>
      <c r="FM46" s="589"/>
      <c r="FN46" s="589"/>
      <c r="FO46" s="589"/>
      <c r="FP46" s="589"/>
      <c r="FQ46" s="589"/>
      <c r="FR46" s="589"/>
      <c r="FS46" s="589"/>
      <c r="FT46" s="589"/>
      <c r="FU46" s="589"/>
      <c r="FV46" s="589"/>
      <c r="FW46" s="589"/>
      <c r="FX46" s="589"/>
      <c r="FY46" s="589"/>
      <c r="FZ46" s="589"/>
      <c r="GA46" s="589"/>
      <c r="GB46" s="589"/>
      <c r="GC46" s="589"/>
      <c r="GD46" s="589"/>
      <c r="GE46" s="589"/>
      <c r="GF46" s="589"/>
      <c r="GG46" s="589"/>
      <c r="GH46" s="589"/>
      <c r="GI46" s="589"/>
      <c r="GJ46" s="589"/>
      <c r="GK46" s="589"/>
      <c r="GL46" s="589"/>
      <c r="GM46" s="589"/>
      <c r="GN46" s="589"/>
      <c r="GO46" s="589"/>
      <c r="GP46" s="589"/>
      <c r="GQ46" s="589"/>
      <c r="GR46" s="589"/>
      <c r="GS46" s="589"/>
      <c r="GT46" s="589"/>
      <c r="GU46" s="589"/>
      <c r="GV46" s="589"/>
      <c r="GW46" s="589"/>
      <c r="GX46" s="589"/>
      <c r="GY46" s="589"/>
      <c r="GZ46" s="589"/>
      <c r="HA46" s="589"/>
      <c r="HB46" s="589"/>
      <c r="HC46" s="589"/>
      <c r="HD46" s="589"/>
      <c r="HE46" s="589"/>
      <c r="HF46" s="589"/>
      <c r="HG46" s="589"/>
      <c r="HH46" s="589"/>
      <c r="HI46" s="589"/>
      <c r="HJ46" s="589"/>
      <c r="HK46" s="589"/>
      <c r="HL46" s="589"/>
    </row>
    <row r="47" spans="128:220" ht="18.899999999999999" customHeight="1">
      <c r="DX47" s="586" t="s">
        <v>4302</v>
      </c>
      <c r="DY47" s="586"/>
      <c r="DZ47" s="589"/>
      <c r="EA47" s="589"/>
      <c r="EB47" s="589"/>
      <c r="EC47" s="589"/>
      <c r="ED47" s="589"/>
      <c r="EE47" s="589"/>
      <c r="EF47" s="589"/>
      <c r="EG47" s="589"/>
      <c r="EH47" s="589"/>
      <c r="EI47" s="589"/>
      <c r="EJ47" s="589"/>
      <c r="EK47" s="589"/>
      <c r="EL47" s="589"/>
      <c r="EM47" s="589"/>
      <c r="EN47" s="589"/>
      <c r="EO47" s="589"/>
      <c r="EP47" s="589"/>
      <c r="EQ47" s="589"/>
      <c r="ER47" s="589"/>
      <c r="ES47" s="589"/>
      <c r="ET47" s="589"/>
      <c r="EU47" s="589"/>
      <c r="EV47" s="589"/>
      <c r="EW47" s="589"/>
      <c r="EX47" s="589"/>
      <c r="EY47" s="589"/>
      <c r="EZ47" s="589"/>
      <c r="FA47" s="589"/>
      <c r="FB47" s="589"/>
      <c r="FC47" s="589"/>
      <c r="FD47" s="589"/>
      <c r="FE47" s="589"/>
      <c r="FF47" s="589"/>
      <c r="FG47" s="589"/>
      <c r="FH47" s="589"/>
      <c r="FI47" s="589"/>
      <c r="FJ47" s="589"/>
      <c r="FK47" s="589"/>
      <c r="FL47" s="589"/>
      <c r="FM47" s="589"/>
      <c r="FN47" s="589"/>
      <c r="FO47" s="589"/>
      <c r="FP47" s="589"/>
      <c r="FQ47" s="589"/>
      <c r="FR47" s="589"/>
      <c r="FS47" s="589"/>
      <c r="FT47" s="589"/>
      <c r="FU47" s="589"/>
      <c r="FV47" s="589"/>
      <c r="FW47" s="589"/>
      <c r="FX47" s="589"/>
      <c r="FY47" s="589"/>
      <c r="FZ47" s="589"/>
      <c r="GA47" s="589"/>
      <c r="GB47" s="589"/>
      <c r="GC47" s="589"/>
      <c r="GD47" s="589"/>
      <c r="GE47" s="589"/>
      <c r="GF47" s="589"/>
      <c r="GG47" s="589"/>
      <c r="GH47" s="589"/>
      <c r="GI47" s="589"/>
      <c r="GJ47" s="589"/>
      <c r="GK47" s="589"/>
      <c r="GL47" s="589"/>
      <c r="GM47" s="589"/>
      <c r="GN47" s="589"/>
      <c r="GO47" s="589"/>
      <c r="GP47" s="589"/>
      <c r="GQ47" s="589"/>
      <c r="GR47" s="589"/>
      <c r="GS47" s="589"/>
      <c r="GT47" s="589"/>
      <c r="GU47" s="589"/>
      <c r="GV47" s="589"/>
      <c r="GW47" s="589"/>
      <c r="GX47" s="589"/>
      <c r="GY47" s="589"/>
      <c r="GZ47" s="589"/>
      <c r="HA47" s="589"/>
      <c r="HB47" s="589"/>
      <c r="HC47" s="589"/>
      <c r="HD47" s="589"/>
      <c r="HE47" s="589"/>
      <c r="HF47" s="589"/>
      <c r="HG47" s="589"/>
      <c r="HH47" s="589"/>
      <c r="HI47" s="589"/>
      <c r="HJ47" s="589"/>
      <c r="HK47" s="589"/>
      <c r="HL47" s="589"/>
    </row>
    <row r="48" spans="128:220" ht="18.899999999999999" customHeight="1">
      <c r="DX48" s="586" t="s">
        <v>4099</v>
      </c>
      <c r="DY48" s="586"/>
      <c r="DZ48" s="589"/>
      <c r="EA48" s="589"/>
      <c r="EB48" s="589"/>
      <c r="EC48" s="589"/>
      <c r="ED48" s="589"/>
      <c r="EE48" s="589"/>
      <c r="EF48" s="589"/>
      <c r="EG48" s="589"/>
      <c r="EH48" s="589"/>
      <c r="EI48" s="589"/>
      <c r="EJ48" s="589"/>
      <c r="EK48" s="589"/>
      <c r="EL48" s="589"/>
      <c r="EM48" s="589"/>
      <c r="EN48" s="589"/>
      <c r="EO48" s="589"/>
      <c r="EP48" s="589"/>
      <c r="EQ48" s="589"/>
      <c r="ER48" s="589"/>
      <c r="ES48" s="589"/>
      <c r="ET48" s="589"/>
      <c r="EU48" s="589"/>
      <c r="EV48" s="589"/>
      <c r="EW48" s="589"/>
      <c r="EX48" s="589"/>
      <c r="EY48" s="589"/>
      <c r="EZ48" s="589"/>
      <c r="FA48" s="589"/>
      <c r="FB48" s="589"/>
      <c r="FC48" s="589"/>
      <c r="FD48" s="589"/>
      <c r="FE48" s="589"/>
      <c r="FF48" s="589"/>
      <c r="FG48" s="589"/>
      <c r="FH48" s="589"/>
      <c r="FI48" s="589"/>
      <c r="FJ48" s="589"/>
      <c r="FK48" s="589"/>
      <c r="FL48" s="589"/>
      <c r="FM48" s="589"/>
      <c r="FN48" s="589"/>
      <c r="FO48" s="589"/>
      <c r="FP48" s="589"/>
      <c r="FQ48" s="589"/>
      <c r="FR48" s="589"/>
      <c r="FS48" s="589"/>
      <c r="FT48" s="589"/>
      <c r="FU48" s="589"/>
      <c r="FV48" s="589"/>
      <c r="FW48" s="589"/>
      <c r="FX48" s="589"/>
      <c r="FY48" s="589"/>
      <c r="FZ48" s="589"/>
      <c r="GA48" s="589"/>
      <c r="GB48" s="589"/>
      <c r="GC48" s="589"/>
      <c r="GD48" s="589"/>
      <c r="GE48" s="589"/>
      <c r="GF48" s="589"/>
      <c r="GG48" s="589"/>
      <c r="GH48" s="589"/>
      <c r="GI48" s="589"/>
      <c r="GJ48" s="589"/>
      <c r="GK48" s="589"/>
      <c r="GL48" s="589"/>
      <c r="GM48" s="589"/>
      <c r="GN48" s="589"/>
      <c r="GO48" s="589"/>
      <c r="GP48" s="589"/>
      <c r="GQ48" s="589"/>
      <c r="GR48" s="589"/>
      <c r="GS48" s="589"/>
      <c r="GT48" s="589"/>
      <c r="GU48" s="589"/>
      <c r="GV48" s="589"/>
      <c r="GW48" s="589"/>
      <c r="GX48" s="589"/>
      <c r="GY48" s="589"/>
      <c r="GZ48" s="589"/>
      <c r="HA48" s="589"/>
      <c r="HB48" s="589"/>
      <c r="HC48" s="589"/>
      <c r="HD48" s="589"/>
      <c r="HE48" s="589"/>
      <c r="HF48" s="589"/>
      <c r="HG48" s="589"/>
      <c r="HH48" s="589"/>
      <c r="HI48" s="589"/>
      <c r="HJ48" s="589"/>
      <c r="HK48" s="589"/>
      <c r="HL48" s="589"/>
    </row>
    <row r="49" spans="128:220" ht="18.899999999999999" customHeight="1">
      <c r="DX49" s="586" t="s">
        <v>4097</v>
      </c>
      <c r="DY49" s="586"/>
      <c r="DZ49" s="589"/>
      <c r="EA49" s="589"/>
      <c r="EB49" s="589"/>
      <c r="EC49" s="589"/>
      <c r="ED49" s="589"/>
      <c r="EE49" s="589"/>
      <c r="EF49" s="589"/>
      <c r="EG49" s="589"/>
      <c r="EH49" s="589"/>
      <c r="EI49" s="589"/>
      <c r="EJ49" s="589"/>
      <c r="EK49" s="589"/>
      <c r="EL49" s="589"/>
      <c r="EM49" s="589"/>
      <c r="EN49" s="589"/>
      <c r="EO49" s="589"/>
      <c r="EP49" s="589"/>
      <c r="EQ49" s="589"/>
      <c r="ER49" s="589"/>
      <c r="ES49" s="589"/>
      <c r="ET49" s="589"/>
      <c r="EU49" s="589"/>
      <c r="EV49" s="589"/>
      <c r="EW49" s="589"/>
      <c r="EX49" s="589"/>
      <c r="EY49" s="589"/>
      <c r="EZ49" s="589"/>
      <c r="FA49" s="589"/>
      <c r="FB49" s="589"/>
      <c r="FC49" s="589"/>
      <c r="FD49" s="589"/>
      <c r="FE49" s="589"/>
      <c r="FF49" s="589"/>
      <c r="FG49" s="589"/>
      <c r="FH49" s="589"/>
      <c r="FI49" s="589"/>
      <c r="FJ49" s="589"/>
      <c r="FK49" s="589"/>
      <c r="FL49" s="589"/>
      <c r="FM49" s="589"/>
      <c r="FN49" s="589"/>
      <c r="FO49" s="589"/>
      <c r="FP49" s="589"/>
      <c r="FQ49" s="589"/>
      <c r="FR49" s="589"/>
      <c r="FS49" s="589"/>
      <c r="FT49" s="589"/>
      <c r="FU49" s="589"/>
      <c r="FV49" s="589"/>
      <c r="FW49" s="589"/>
      <c r="FX49" s="589"/>
      <c r="FY49" s="589"/>
      <c r="FZ49" s="589"/>
      <c r="GA49" s="589"/>
      <c r="GB49" s="589"/>
      <c r="GC49" s="589"/>
      <c r="GD49" s="589"/>
      <c r="GE49" s="589"/>
      <c r="GF49" s="589"/>
      <c r="GG49" s="589"/>
      <c r="GH49" s="589"/>
      <c r="GI49" s="589"/>
      <c r="GJ49" s="589"/>
      <c r="GK49" s="589"/>
      <c r="GL49" s="589"/>
      <c r="GM49" s="589"/>
      <c r="GN49" s="589"/>
      <c r="GO49" s="589"/>
      <c r="GP49" s="589"/>
      <c r="GQ49" s="589"/>
      <c r="GR49" s="589"/>
      <c r="GS49" s="589"/>
      <c r="GT49" s="589"/>
      <c r="GU49" s="589"/>
      <c r="GV49" s="589"/>
      <c r="GW49" s="589"/>
      <c r="GX49" s="589"/>
      <c r="GY49" s="589"/>
      <c r="GZ49" s="589"/>
      <c r="HA49" s="589"/>
      <c r="HB49" s="589"/>
      <c r="HC49" s="589"/>
      <c r="HD49" s="589"/>
      <c r="HE49" s="589"/>
      <c r="HF49" s="589"/>
      <c r="HG49" s="589"/>
      <c r="HH49" s="589"/>
      <c r="HI49" s="589"/>
      <c r="HJ49" s="589"/>
      <c r="HK49" s="589"/>
      <c r="HL49" s="589"/>
    </row>
    <row r="50" spans="128:220" ht="18.899999999999999" customHeight="1">
      <c r="DX50" s="586" t="s">
        <v>3949</v>
      </c>
      <c r="DY50" s="586"/>
      <c r="DZ50" s="589"/>
      <c r="EA50" s="589"/>
      <c r="EB50" s="589"/>
      <c r="EC50" s="589"/>
      <c r="ED50" s="589"/>
      <c r="EE50" s="589"/>
      <c r="EF50" s="589"/>
      <c r="EG50" s="589"/>
      <c r="EH50" s="589"/>
      <c r="EI50" s="589"/>
      <c r="EJ50" s="589"/>
      <c r="EK50" s="589"/>
      <c r="EL50" s="589"/>
      <c r="EM50" s="589"/>
      <c r="EN50" s="589"/>
      <c r="EO50" s="589"/>
      <c r="EP50" s="589"/>
      <c r="EQ50" s="589"/>
      <c r="ER50" s="589"/>
      <c r="ES50" s="589"/>
      <c r="ET50" s="589"/>
      <c r="EU50" s="589"/>
      <c r="EV50" s="589"/>
      <c r="EW50" s="589"/>
      <c r="EX50" s="589"/>
      <c r="EY50" s="589"/>
      <c r="EZ50" s="589"/>
      <c r="FA50" s="589"/>
      <c r="FB50" s="589"/>
      <c r="FC50" s="589"/>
      <c r="FD50" s="589"/>
      <c r="FE50" s="589"/>
      <c r="FF50" s="589"/>
      <c r="FG50" s="589"/>
      <c r="FH50" s="589"/>
      <c r="FI50" s="589"/>
      <c r="FJ50" s="589"/>
      <c r="FK50" s="589"/>
      <c r="FL50" s="589"/>
      <c r="FM50" s="589"/>
      <c r="FN50" s="589"/>
      <c r="FO50" s="589"/>
      <c r="FP50" s="589"/>
      <c r="FQ50" s="589"/>
      <c r="FR50" s="589"/>
      <c r="FS50" s="589"/>
      <c r="FT50" s="589"/>
      <c r="FU50" s="589"/>
      <c r="FV50" s="589"/>
      <c r="FW50" s="589"/>
      <c r="FX50" s="589"/>
      <c r="FY50" s="589"/>
      <c r="FZ50" s="589"/>
      <c r="GA50" s="589"/>
      <c r="GB50" s="589"/>
      <c r="GC50" s="589"/>
      <c r="GD50" s="589"/>
      <c r="GE50" s="589"/>
      <c r="GF50" s="589"/>
      <c r="GG50" s="589"/>
      <c r="GH50" s="589"/>
      <c r="GI50" s="589"/>
      <c r="GJ50" s="589"/>
      <c r="GK50" s="589"/>
      <c r="GL50" s="589"/>
      <c r="GM50" s="589"/>
      <c r="GN50" s="589"/>
      <c r="GO50" s="589"/>
      <c r="GP50" s="589"/>
      <c r="GQ50" s="589"/>
      <c r="GR50" s="589"/>
      <c r="GS50" s="589"/>
      <c r="GT50" s="589"/>
      <c r="GU50" s="589"/>
      <c r="GV50" s="589"/>
      <c r="GW50" s="589"/>
      <c r="GX50" s="589"/>
      <c r="GY50" s="589"/>
      <c r="GZ50" s="589"/>
      <c r="HA50" s="589"/>
      <c r="HB50" s="589"/>
      <c r="HC50" s="589"/>
      <c r="HD50" s="589"/>
      <c r="HE50" s="589"/>
      <c r="HF50" s="589"/>
      <c r="HG50" s="589"/>
      <c r="HH50" s="589"/>
      <c r="HI50" s="589"/>
      <c r="HJ50" s="589"/>
      <c r="HK50" s="589"/>
      <c r="HL50" s="589"/>
    </row>
    <row r="51" spans="128:220" ht="18.899999999999999" customHeight="1">
      <c r="DX51" s="586" t="s">
        <v>3950</v>
      </c>
      <c r="DY51" s="586"/>
      <c r="DZ51" s="589"/>
      <c r="EA51" s="589"/>
      <c r="EB51" s="589"/>
      <c r="EC51" s="589"/>
      <c r="ED51" s="589"/>
      <c r="EE51" s="589"/>
      <c r="EF51" s="589"/>
      <c r="EG51" s="589"/>
      <c r="EH51" s="589"/>
      <c r="EI51" s="589"/>
      <c r="EJ51" s="589"/>
      <c r="EK51" s="589"/>
      <c r="EL51" s="589"/>
      <c r="EM51" s="589"/>
      <c r="EN51" s="589"/>
      <c r="EO51" s="589"/>
      <c r="EP51" s="589"/>
      <c r="EQ51" s="589"/>
      <c r="ER51" s="589"/>
      <c r="ES51" s="589"/>
      <c r="ET51" s="589"/>
      <c r="EU51" s="589"/>
      <c r="EV51" s="589"/>
      <c r="EW51" s="589"/>
      <c r="EX51" s="589"/>
      <c r="EY51" s="589"/>
      <c r="EZ51" s="589"/>
      <c r="FA51" s="589"/>
      <c r="FB51" s="589"/>
      <c r="FC51" s="589"/>
      <c r="FD51" s="589"/>
      <c r="FE51" s="589"/>
      <c r="FF51" s="589"/>
      <c r="FG51" s="589"/>
      <c r="FH51" s="589"/>
      <c r="FI51" s="589"/>
      <c r="FJ51" s="589"/>
      <c r="FK51" s="589"/>
      <c r="FL51" s="589"/>
      <c r="FM51" s="589"/>
      <c r="FN51" s="589"/>
      <c r="FO51" s="589"/>
      <c r="FP51" s="589"/>
      <c r="FQ51" s="589"/>
      <c r="FR51" s="589"/>
      <c r="FS51" s="589"/>
      <c r="FT51" s="589"/>
      <c r="FU51" s="589"/>
      <c r="FV51" s="589"/>
      <c r="FW51" s="589"/>
      <c r="FX51" s="589"/>
      <c r="FY51" s="589"/>
      <c r="FZ51" s="589"/>
      <c r="GA51" s="589"/>
      <c r="GB51" s="589"/>
      <c r="GC51" s="589"/>
      <c r="GD51" s="589"/>
      <c r="GE51" s="589"/>
      <c r="GF51" s="589"/>
      <c r="GG51" s="589"/>
      <c r="GH51" s="589"/>
      <c r="GI51" s="589"/>
      <c r="GJ51" s="589"/>
      <c r="GK51" s="589"/>
      <c r="GL51" s="589"/>
      <c r="GM51" s="589"/>
      <c r="GN51" s="589"/>
      <c r="GO51" s="589"/>
      <c r="GP51" s="589"/>
      <c r="GQ51" s="589"/>
      <c r="GR51" s="589"/>
      <c r="GS51" s="589"/>
      <c r="GT51" s="589"/>
      <c r="GU51" s="589"/>
      <c r="GV51" s="589"/>
      <c r="GW51" s="589"/>
      <c r="GX51" s="589"/>
      <c r="GY51" s="589"/>
      <c r="GZ51" s="589"/>
      <c r="HA51" s="589"/>
      <c r="HB51" s="589"/>
      <c r="HC51" s="589"/>
      <c r="HD51" s="589"/>
      <c r="HE51" s="589"/>
      <c r="HF51" s="589"/>
      <c r="HG51" s="589"/>
      <c r="HH51" s="589"/>
      <c r="HI51" s="589"/>
      <c r="HJ51" s="589"/>
      <c r="HK51" s="589"/>
      <c r="HL51" s="589"/>
    </row>
    <row r="52" spans="128:220" ht="18.899999999999999" customHeight="1">
      <c r="DX52" s="586" t="s">
        <v>3951</v>
      </c>
      <c r="DY52" s="586"/>
      <c r="DZ52" s="589"/>
      <c r="EA52" s="589"/>
      <c r="EB52" s="589"/>
      <c r="EC52" s="589"/>
      <c r="ED52" s="589"/>
      <c r="EE52" s="589"/>
      <c r="EF52" s="589"/>
      <c r="EG52" s="589"/>
      <c r="EH52" s="589"/>
      <c r="EI52" s="589"/>
      <c r="EJ52" s="589"/>
      <c r="EK52" s="589"/>
      <c r="EL52" s="589"/>
      <c r="EM52" s="589"/>
      <c r="EN52" s="589"/>
      <c r="EO52" s="589"/>
      <c r="EP52" s="589"/>
      <c r="EQ52" s="589"/>
      <c r="ER52" s="589"/>
      <c r="ES52" s="589"/>
      <c r="ET52" s="589"/>
      <c r="EU52" s="589"/>
      <c r="EV52" s="589"/>
      <c r="EW52" s="589"/>
      <c r="EX52" s="589"/>
      <c r="EY52" s="589"/>
      <c r="EZ52" s="589"/>
      <c r="FA52" s="589"/>
      <c r="FB52" s="589"/>
      <c r="FC52" s="589"/>
      <c r="FD52" s="589"/>
      <c r="FE52" s="589"/>
      <c r="FF52" s="589"/>
      <c r="FG52" s="589"/>
      <c r="FH52" s="589"/>
      <c r="FI52" s="589"/>
      <c r="FJ52" s="589"/>
      <c r="FK52" s="589"/>
      <c r="FL52" s="589"/>
      <c r="FM52" s="589"/>
      <c r="FN52" s="589"/>
      <c r="FO52" s="589"/>
      <c r="FP52" s="589"/>
      <c r="FQ52" s="589"/>
      <c r="FR52" s="589"/>
      <c r="FS52" s="589"/>
      <c r="FT52" s="589"/>
      <c r="FU52" s="589"/>
      <c r="FV52" s="589"/>
      <c r="FW52" s="589"/>
      <c r="FX52" s="589"/>
      <c r="FY52" s="589"/>
      <c r="FZ52" s="589"/>
      <c r="GA52" s="589"/>
      <c r="GB52" s="589"/>
      <c r="GC52" s="589"/>
      <c r="GD52" s="589"/>
      <c r="GE52" s="589"/>
      <c r="GF52" s="589"/>
      <c r="GG52" s="589"/>
      <c r="GH52" s="589"/>
      <c r="GI52" s="589"/>
      <c r="GJ52" s="589"/>
      <c r="GK52" s="589"/>
      <c r="GL52" s="589"/>
      <c r="GM52" s="589"/>
      <c r="GN52" s="589"/>
      <c r="GO52" s="589"/>
      <c r="GP52" s="589"/>
      <c r="GQ52" s="589"/>
      <c r="GR52" s="589"/>
      <c r="GS52" s="589"/>
      <c r="GT52" s="589"/>
      <c r="GU52" s="589"/>
      <c r="GV52" s="589"/>
      <c r="GW52" s="589"/>
      <c r="GX52" s="589"/>
      <c r="GY52" s="589"/>
      <c r="GZ52" s="589"/>
      <c r="HA52" s="589"/>
      <c r="HB52" s="589"/>
      <c r="HC52" s="589"/>
      <c r="HD52" s="589"/>
      <c r="HE52" s="589"/>
      <c r="HF52" s="589"/>
      <c r="HG52" s="589"/>
      <c r="HH52" s="589"/>
      <c r="HI52" s="589"/>
      <c r="HJ52" s="589"/>
      <c r="HK52" s="589"/>
      <c r="HL52" s="589"/>
    </row>
    <row r="53" spans="128:220" ht="18.899999999999999" customHeight="1">
      <c r="DX53" s="586" t="s">
        <v>3952</v>
      </c>
      <c r="DY53" s="586"/>
      <c r="DZ53" s="589"/>
      <c r="EA53" s="589"/>
      <c r="EB53" s="589"/>
      <c r="EC53" s="589"/>
      <c r="ED53" s="589"/>
      <c r="EE53" s="589"/>
      <c r="EF53" s="589"/>
      <c r="EG53" s="589"/>
      <c r="EH53" s="589"/>
      <c r="EI53" s="589"/>
      <c r="EJ53" s="589"/>
      <c r="EK53" s="589"/>
      <c r="EL53" s="589"/>
      <c r="EM53" s="589"/>
      <c r="EN53" s="589"/>
      <c r="EO53" s="589"/>
      <c r="EP53" s="589"/>
      <c r="EQ53" s="589"/>
      <c r="ER53" s="589"/>
      <c r="ES53" s="589"/>
      <c r="ET53" s="589"/>
      <c r="EU53" s="589"/>
      <c r="EV53" s="589"/>
      <c r="EW53" s="589"/>
      <c r="EX53" s="589"/>
      <c r="EY53" s="589"/>
      <c r="EZ53" s="589"/>
      <c r="FA53" s="589"/>
      <c r="FB53" s="589"/>
      <c r="FC53" s="589"/>
      <c r="FD53" s="589"/>
      <c r="FE53" s="589"/>
      <c r="FF53" s="589"/>
      <c r="FG53" s="589"/>
      <c r="FH53" s="589"/>
      <c r="FI53" s="589"/>
      <c r="FJ53" s="589"/>
      <c r="FK53" s="589"/>
      <c r="FL53" s="589"/>
      <c r="FM53" s="589"/>
      <c r="FN53" s="589"/>
      <c r="FO53" s="589"/>
      <c r="FP53" s="589"/>
      <c r="FQ53" s="589"/>
      <c r="FR53" s="589"/>
      <c r="FS53" s="589"/>
      <c r="FT53" s="589"/>
      <c r="FU53" s="589"/>
      <c r="FV53" s="589"/>
      <c r="FW53" s="589"/>
      <c r="FX53" s="589"/>
      <c r="FY53" s="589"/>
      <c r="FZ53" s="589"/>
      <c r="GA53" s="589"/>
      <c r="GB53" s="589"/>
      <c r="GC53" s="589"/>
      <c r="GD53" s="589"/>
      <c r="GE53" s="589"/>
      <c r="GF53" s="589"/>
      <c r="GG53" s="589"/>
      <c r="GH53" s="589"/>
      <c r="GI53" s="589"/>
      <c r="GJ53" s="589"/>
      <c r="GK53" s="589"/>
      <c r="GL53" s="589"/>
      <c r="GM53" s="589"/>
      <c r="GN53" s="589"/>
      <c r="GO53" s="589"/>
      <c r="GP53" s="589"/>
      <c r="GQ53" s="589"/>
      <c r="GR53" s="589"/>
      <c r="GS53" s="589"/>
      <c r="GT53" s="589"/>
      <c r="GU53" s="589"/>
      <c r="GV53" s="589"/>
      <c r="GW53" s="589"/>
      <c r="GX53" s="589"/>
      <c r="GY53" s="589"/>
      <c r="GZ53" s="589"/>
      <c r="HA53" s="589"/>
      <c r="HB53" s="589"/>
      <c r="HC53" s="589"/>
      <c r="HD53" s="589"/>
      <c r="HE53" s="589"/>
      <c r="HF53" s="589"/>
      <c r="HG53" s="589"/>
      <c r="HH53" s="589"/>
      <c r="HI53" s="589"/>
      <c r="HJ53" s="589"/>
      <c r="HK53" s="589"/>
      <c r="HL53" s="589"/>
    </row>
    <row r="54" spans="128:220" ht="18.899999999999999" customHeight="1">
      <c r="DX54" s="586" t="s">
        <v>3954</v>
      </c>
      <c r="DY54" s="586"/>
      <c r="DZ54" s="589"/>
      <c r="EA54" s="589"/>
      <c r="EB54" s="589"/>
      <c r="EC54" s="589"/>
      <c r="ED54" s="589"/>
      <c r="EE54" s="589"/>
      <c r="EF54" s="589"/>
      <c r="EG54" s="589"/>
      <c r="EH54" s="589"/>
      <c r="EI54" s="589"/>
      <c r="EJ54" s="589"/>
      <c r="EK54" s="589"/>
      <c r="EL54" s="589"/>
      <c r="EM54" s="589"/>
      <c r="EN54" s="589"/>
      <c r="EO54" s="589"/>
      <c r="EP54" s="589"/>
      <c r="EQ54" s="589"/>
      <c r="ER54" s="589"/>
      <c r="ES54" s="589"/>
      <c r="ET54" s="589"/>
      <c r="EU54" s="589"/>
      <c r="EV54" s="589"/>
      <c r="EW54" s="589"/>
      <c r="EX54" s="589"/>
      <c r="EY54" s="589"/>
      <c r="EZ54" s="589"/>
      <c r="FA54" s="589"/>
      <c r="FB54" s="589"/>
      <c r="FC54" s="589"/>
      <c r="FD54" s="589"/>
      <c r="FE54" s="589"/>
      <c r="FF54" s="589"/>
      <c r="FG54" s="589"/>
      <c r="FH54" s="589"/>
      <c r="FI54" s="589"/>
      <c r="FJ54" s="589"/>
      <c r="FK54" s="589"/>
      <c r="FL54" s="589"/>
      <c r="FM54" s="589"/>
      <c r="FN54" s="589"/>
      <c r="FO54" s="589"/>
      <c r="FP54" s="589"/>
      <c r="FQ54" s="589"/>
      <c r="FR54" s="589"/>
      <c r="FS54" s="589"/>
      <c r="FT54" s="589"/>
      <c r="FU54" s="589"/>
      <c r="FV54" s="589"/>
      <c r="FW54" s="589"/>
      <c r="FX54" s="589"/>
      <c r="FY54" s="589"/>
      <c r="FZ54" s="589"/>
      <c r="GA54" s="589"/>
      <c r="GB54" s="589"/>
      <c r="GC54" s="589"/>
      <c r="GD54" s="589"/>
      <c r="GE54" s="589"/>
      <c r="GF54" s="589"/>
      <c r="GG54" s="589"/>
      <c r="GH54" s="589"/>
      <c r="GI54" s="589"/>
      <c r="GJ54" s="589"/>
      <c r="GK54" s="589"/>
      <c r="GL54" s="589"/>
      <c r="GM54" s="589"/>
      <c r="GN54" s="589"/>
      <c r="GO54" s="589"/>
      <c r="GP54" s="589"/>
      <c r="GQ54" s="589"/>
      <c r="GR54" s="589"/>
      <c r="GS54" s="589"/>
      <c r="GT54" s="589"/>
      <c r="GU54" s="589"/>
      <c r="GV54" s="589"/>
      <c r="GW54" s="589"/>
      <c r="GX54" s="589"/>
      <c r="GY54" s="589"/>
      <c r="GZ54" s="589"/>
      <c r="HA54" s="589"/>
      <c r="HB54" s="589"/>
      <c r="HC54" s="589"/>
      <c r="HD54" s="589"/>
      <c r="HE54" s="589"/>
      <c r="HF54" s="589"/>
      <c r="HG54" s="589"/>
      <c r="HH54" s="589"/>
      <c r="HI54" s="589"/>
      <c r="HJ54" s="589"/>
      <c r="HK54" s="589"/>
      <c r="HL54" s="589"/>
    </row>
    <row r="55" spans="128:220" ht="18.899999999999999" customHeight="1">
      <c r="DX55" s="586" t="s">
        <v>4303</v>
      </c>
      <c r="DY55" s="586"/>
      <c r="DZ55" s="589"/>
      <c r="EA55" s="589"/>
      <c r="EB55" s="589"/>
      <c r="EC55" s="589"/>
      <c r="ED55" s="589"/>
      <c r="EE55" s="589"/>
      <c r="EF55" s="589"/>
      <c r="EG55" s="589"/>
      <c r="EH55" s="589"/>
      <c r="EI55" s="589"/>
      <c r="EJ55" s="589"/>
      <c r="EK55" s="589"/>
      <c r="EL55" s="589"/>
      <c r="EM55" s="589"/>
      <c r="EN55" s="589"/>
      <c r="EO55" s="589"/>
      <c r="EP55" s="589"/>
      <c r="EQ55" s="589"/>
      <c r="ER55" s="589"/>
      <c r="ES55" s="589"/>
      <c r="ET55" s="589"/>
      <c r="EU55" s="589"/>
      <c r="EV55" s="589"/>
      <c r="EW55" s="589"/>
      <c r="EX55" s="589"/>
      <c r="EY55" s="589"/>
      <c r="EZ55" s="589"/>
      <c r="FA55" s="589"/>
      <c r="FB55" s="589"/>
      <c r="FC55" s="589"/>
      <c r="FD55" s="589"/>
      <c r="FE55" s="589"/>
      <c r="FF55" s="589"/>
      <c r="FG55" s="589"/>
      <c r="FH55" s="589"/>
      <c r="FI55" s="589"/>
      <c r="FJ55" s="589"/>
      <c r="FK55" s="589"/>
      <c r="FL55" s="589"/>
      <c r="FM55" s="589"/>
      <c r="FN55" s="589"/>
      <c r="FO55" s="589"/>
      <c r="FP55" s="589"/>
      <c r="FQ55" s="589"/>
      <c r="FR55" s="589"/>
      <c r="FS55" s="589"/>
      <c r="FT55" s="589"/>
      <c r="FU55" s="589"/>
      <c r="FV55" s="589"/>
      <c r="FW55" s="589"/>
      <c r="FX55" s="589"/>
      <c r="FY55" s="589"/>
      <c r="FZ55" s="589"/>
      <c r="GA55" s="589"/>
      <c r="GB55" s="589"/>
      <c r="GC55" s="589"/>
      <c r="GD55" s="589"/>
      <c r="GE55" s="589"/>
      <c r="GF55" s="589"/>
      <c r="GG55" s="589"/>
      <c r="GH55" s="589"/>
      <c r="GI55" s="589"/>
      <c r="GJ55" s="589"/>
      <c r="GK55" s="589"/>
      <c r="GL55" s="589"/>
      <c r="GM55" s="589"/>
      <c r="GN55" s="589"/>
      <c r="GO55" s="589"/>
      <c r="GP55" s="589"/>
      <c r="GQ55" s="589"/>
      <c r="GR55" s="589"/>
      <c r="GS55" s="589"/>
      <c r="GT55" s="589"/>
      <c r="GU55" s="589"/>
      <c r="GV55" s="589"/>
      <c r="GW55" s="589"/>
      <c r="GX55" s="589"/>
      <c r="GY55" s="589"/>
      <c r="GZ55" s="589"/>
      <c r="HA55" s="589"/>
      <c r="HB55" s="589"/>
      <c r="HC55" s="589"/>
      <c r="HD55" s="589"/>
      <c r="HE55" s="589"/>
      <c r="HF55" s="589"/>
      <c r="HG55" s="589"/>
      <c r="HH55" s="589"/>
      <c r="HI55" s="589"/>
      <c r="HJ55" s="589"/>
      <c r="HK55" s="589"/>
      <c r="HL55" s="589"/>
    </row>
    <row r="56" spans="128:220" ht="18.899999999999999" customHeight="1">
      <c r="DX56" s="586" t="s">
        <v>3953</v>
      </c>
      <c r="DY56" s="586"/>
      <c r="DZ56" s="589"/>
      <c r="EA56" s="589"/>
      <c r="EB56" s="589"/>
      <c r="EC56" s="589"/>
      <c r="ED56" s="589"/>
      <c r="EE56" s="589"/>
      <c r="EF56" s="589"/>
      <c r="EG56" s="589"/>
      <c r="EH56" s="589"/>
      <c r="EI56" s="589"/>
      <c r="EJ56" s="589"/>
      <c r="EK56" s="589"/>
      <c r="EL56" s="589"/>
      <c r="EM56" s="589"/>
      <c r="EN56" s="589"/>
      <c r="EO56" s="589"/>
      <c r="EP56" s="589"/>
      <c r="EQ56" s="589"/>
      <c r="ER56" s="589"/>
      <c r="ES56" s="589"/>
      <c r="ET56" s="589"/>
      <c r="EU56" s="589"/>
      <c r="EV56" s="589"/>
      <c r="EW56" s="589"/>
      <c r="EX56" s="589"/>
      <c r="EY56" s="589"/>
      <c r="EZ56" s="589"/>
      <c r="FA56" s="589"/>
      <c r="FB56" s="589"/>
      <c r="FC56" s="589"/>
      <c r="FD56" s="589"/>
      <c r="FE56" s="589"/>
      <c r="FF56" s="589"/>
      <c r="FG56" s="589"/>
      <c r="FH56" s="589"/>
      <c r="FI56" s="589"/>
      <c r="FJ56" s="589"/>
      <c r="FK56" s="589"/>
      <c r="FL56" s="589"/>
      <c r="FM56" s="589"/>
      <c r="FN56" s="589"/>
      <c r="FO56" s="589"/>
      <c r="FP56" s="589"/>
      <c r="FQ56" s="589"/>
      <c r="FR56" s="589"/>
      <c r="FS56" s="589"/>
      <c r="FT56" s="589"/>
      <c r="FU56" s="589"/>
      <c r="FV56" s="589"/>
      <c r="FW56" s="589"/>
      <c r="FX56" s="589"/>
      <c r="FY56" s="589"/>
      <c r="FZ56" s="589"/>
      <c r="GA56" s="589"/>
      <c r="GB56" s="589"/>
      <c r="GC56" s="589"/>
      <c r="GD56" s="589"/>
      <c r="GE56" s="589"/>
      <c r="GF56" s="589"/>
      <c r="GG56" s="589"/>
      <c r="GH56" s="589"/>
      <c r="GI56" s="589"/>
      <c r="GJ56" s="589"/>
      <c r="GK56" s="589"/>
      <c r="GL56" s="589"/>
      <c r="GM56" s="589"/>
      <c r="GN56" s="589"/>
      <c r="GO56" s="589"/>
      <c r="GP56" s="589"/>
      <c r="GQ56" s="589"/>
      <c r="GR56" s="589"/>
      <c r="GS56" s="589"/>
      <c r="GT56" s="589"/>
      <c r="GU56" s="589"/>
      <c r="GV56" s="589"/>
      <c r="GW56" s="589"/>
      <c r="GX56" s="589"/>
      <c r="GY56" s="589"/>
      <c r="GZ56" s="589"/>
      <c r="HA56" s="589"/>
      <c r="HB56" s="589"/>
      <c r="HC56" s="589"/>
      <c r="HD56" s="589"/>
      <c r="HE56" s="589"/>
      <c r="HF56" s="589"/>
      <c r="HG56" s="589"/>
      <c r="HH56" s="589"/>
      <c r="HI56" s="589"/>
      <c r="HJ56" s="589"/>
      <c r="HK56" s="589"/>
      <c r="HL56" s="589"/>
    </row>
    <row r="57" spans="128:220" ht="18.899999999999999" customHeight="1">
      <c r="DX57" s="586" t="s">
        <v>3945</v>
      </c>
      <c r="DY57" s="586"/>
      <c r="DZ57" s="589"/>
      <c r="EA57" s="589"/>
      <c r="EB57" s="589"/>
      <c r="EC57" s="589"/>
      <c r="ED57" s="589"/>
      <c r="EE57" s="589"/>
      <c r="EF57" s="589"/>
      <c r="EG57" s="589"/>
      <c r="EH57" s="589"/>
      <c r="EI57" s="589"/>
      <c r="EJ57" s="589"/>
      <c r="EK57" s="589"/>
      <c r="EL57" s="589"/>
      <c r="EM57" s="589"/>
      <c r="EN57" s="589"/>
      <c r="EO57" s="589"/>
      <c r="EP57" s="589"/>
      <c r="EQ57" s="589"/>
      <c r="ER57" s="589"/>
      <c r="ES57" s="589"/>
      <c r="ET57" s="589"/>
      <c r="EU57" s="589"/>
      <c r="EV57" s="589"/>
      <c r="EW57" s="589"/>
      <c r="EX57" s="589"/>
      <c r="EY57" s="589"/>
      <c r="EZ57" s="589"/>
      <c r="FA57" s="589"/>
      <c r="FB57" s="589"/>
      <c r="FC57" s="589"/>
      <c r="FD57" s="589"/>
      <c r="FE57" s="589"/>
      <c r="FF57" s="589"/>
      <c r="FG57" s="589"/>
      <c r="FH57" s="589"/>
      <c r="FI57" s="589"/>
      <c r="FJ57" s="589"/>
      <c r="FK57" s="589"/>
      <c r="FL57" s="589"/>
      <c r="FM57" s="589"/>
      <c r="FN57" s="589"/>
      <c r="FO57" s="589"/>
      <c r="FP57" s="589"/>
      <c r="FQ57" s="589"/>
      <c r="FR57" s="589"/>
      <c r="FS57" s="589"/>
      <c r="FT57" s="589"/>
      <c r="FU57" s="589"/>
      <c r="FV57" s="589"/>
      <c r="FW57" s="589"/>
      <c r="FX57" s="589"/>
      <c r="FY57" s="589"/>
      <c r="FZ57" s="589"/>
      <c r="GA57" s="589"/>
      <c r="GB57" s="589"/>
      <c r="GC57" s="589"/>
      <c r="GD57" s="589"/>
      <c r="GE57" s="589"/>
      <c r="GF57" s="589"/>
      <c r="GG57" s="589"/>
      <c r="GH57" s="589"/>
      <c r="GI57" s="589"/>
      <c r="GJ57" s="589"/>
      <c r="GK57" s="589"/>
      <c r="GL57" s="589"/>
      <c r="GM57" s="589"/>
      <c r="GN57" s="589"/>
      <c r="GO57" s="589"/>
      <c r="GP57" s="589"/>
      <c r="GQ57" s="589"/>
      <c r="GR57" s="589"/>
      <c r="GS57" s="589"/>
      <c r="GT57" s="589"/>
      <c r="GU57" s="589"/>
      <c r="GV57" s="589"/>
      <c r="GW57" s="589"/>
      <c r="GX57" s="589"/>
      <c r="GY57" s="589"/>
      <c r="GZ57" s="589"/>
      <c r="HA57" s="589"/>
      <c r="HB57" s="589"/>
      <c r="HC57" s="589"/>
      <c r="HD57" s="589"/>
      <c r="HE57" s="589"/>
      <c r="HF57" s="589"/>
      <c r="HG57" s="589"/>
      <c r="HH57" s="589"/>
      <c r="HI57" s="589"/>
      <c r="HJ57" s="589"/>
      <c r="HK57" s="589"/>
      <c r="HL57" s="589"/>
    </row>
    <row r="58" spans="128:220" ht="18.899999999999999" customHeight="1">
      <c r="DX58" s="586" t="s">
        <v>4087</v>
      </c>
      <c r="DY58" s="586"/>
      <c r="DZ58" s="589"/>
      <c r="EA58" s="589"/>
      <c r="EB58" s="589"/>
      <c r="EC58" s="589"/>
      <c r="ED58" s="589"/>
      <c r="EE58" s="589"/>
      <c r="EF58" s="589"/>
      <c r="EG58" s="589"/>
      <c r="EH58" s="589"/>
      <c r="EI58" s="589"/>
      <c r="EJ58" s="589"/>
      <c r="EK58" s="589"/>
      <c r="EL58" s="589"/>
      <c r="EM58" s="589"/>
      <c r="EN58" s="589"/>
      <c r="EO58" s="589"/>
      <c r="EP58" s="589"/>
      <c r="EQ58" s="589"/>
      <c r="ER58" s="589"/>
      <c r="ES58" s="589"/>
      <c r="ET58" s="589"/>
      <c r="EU58" s="589"/>
      <c r="EV58" s="589"/>
      <c r="EW58" s="589"/>
      <c r="EX58" s="589"/>
      <c r="EY58" s="589"/>
      <c r="EZ58" s="589"/>
      <c r="FA58" s="589"/>
      <c r="FB58" s="589"/>
      <c r="FC58" s="589"/>
      <c r="FD58" s="589"/>
      <c r="FE58" s="589"/>
      <c r="FF58" s="589"/>
      <c r="FG58" s="589"/>
      <c r="FH58" s="589"/>
      <c r="FI58" s="589"/>
      <c r="FJ58" s="589"/>
      <c r="FK58" s="589"/>
      <c r="FL58" s="589"/>
      <c r="FM58" s="589"/>
      <c r="FN58" s="589"/>
      <c r="FO58" s="589"/>
      <c r="FP58" s="589"/>
      <c r="FQ58" s="589"/>
      <c r="FR58" s="589"/>
      <c r="FS58" s="589"/>
      <c r="FT58" s="589"/>
      <c r="FU58" s="589"/>
      <c r="FV58" s="589"/>
      <c r="FW58" s="589"/>
      <c r="FX58" s="589"/>
      <c r="FY58" s="589"/>
      <c r="FZ58" s="589"/>
      <c r="GA58" s="589"/>
      <c r="GB58" s="589"/>
      <c r="GC58" s="589"/>
      <c r="GD58" s="589"/>
      <c r="GE58" s="589"/>
      <c r="GF58" s="589"/>
      <c r="GG58" s="589"/>
      <c r="GH58" s="589"/>
      <c r="GI58" s="589"/>
      <c r="GJ58" s="589"/>
      <c r="GK58" s="589"/>
      <c r="GL58" s="589"/>
      <c r="GM58" s="589"/>
      <c r="GN58" s="589"/>
      <c r="GO58" s="589"/>
      <c r="GP58" s="589"/>
      <c r="GQ58" s="589"/>
      <c r="GR58" s="589"/>
      <c r="GS58" s="589"/>
      <c r="GT58" s="589"/>
      <c r="GU58" s="589"/>
      <c r="GV58" s="589"/>
      <c r="GW58" s="589"/>
      <c r="GX58" s="589"/>
      <c r="GY58" s="589"/>
      <c r="GZ58" s="589"/>
      <c r="HA58" s="589"/>
      <c r="HB58" s="589"/>
      <c r="HC58" s="589"/>
      <c r="HD58" s="589"/>
      <c r="HE58" s="589"/>
      <c r="HF58" s="589"/>
      <c r="HG58" s="589"/>
      <c r="HH58" s="589"/>
      <c r="HI58" s="589"/>
      <c r="HJ58" s="589"/>
      <c r="HK58" s="589"/>
      <c r="HL58" s="589"/>
    </row>
    <row r="59" spans="128:220" ht="18.899999999999999" customHeight="1">
      <c r="DX59" s="586" t="s">
        <v>4304</v>
      </c>
      <c r="DY59" s="586"/>
      <c r="DZ59" s="589"/>
      <c r="EA59" s="589"/>
      <c r="EB59" s="589"/>
      <c r="EC59" s="589"/>
      <c r="ED59" s="589"/>
      <c r="EE59" s="589"/>
      <c r="EF59" s="589"/>
      <c r="EG59" s="589"/>
      <c r="EH59" s="589"/>
      <c r="EI59" s="589"/>
      <c r="EJ59" s="589"/>
      <c r="EK59" s="589"/>
      <c r="EL59" s="589"/>
      <c r="EM59" s="589"/>
      <c r="EN59" s="589"/>
      <c r="EO59" s="589"/>
      <c r="EP59" s="589"/>
      <c r="EQ59" s="589"/>
      <c r="ER59" s="589"/>
      <c r="ES59" s="589"/>
      <c r="ET59" s="589"/>
      <c r="EU59" s="589"/>
      <c r="EV59" s="589"/>
      <c r="EW59" s="589"/>
      <c r="EX59" s="589"/>
      <c r="EY59" s="589"/>
      <c r="EZ59" s="589"/>
      <c r="FA59" s="589"/>
      <c r="FB59" s="589"/>
      <c r="FC59" s="589"/>
      <c r="FD59" s="589"/>
      <c r="FE59" s="589"/>
      <c r="FF59" s="589"/>
      <c r="FG59" s="589"/>
      <c r="FH59" s="589"/>
      <c r="FI59" s="589"/>
      <c r="FJ59" s="589"/>
      <c r="FK59" s="589"/>
      <c r="FL59" s="589"/>
      <c r="FM59" s="589"/>
      <c r="FN59" s="589"/>
      <c r="FO59" s="589"/>
      <c r="FP59" s="589"/>
      <c r="FQ59" s="589"/>
      <c r="FR59" s="589"/>
      <c r="FS59" s="589"/>
      <c r="FT59" s="589"/>
      <c r="FU59" s="589"/>
      <c r="FV59" s="589"/>
      <c r="FW59" s="589"/>
      <c r="FX59" s="589"/>
      <c r="FY59" s="589"/>
      <c r="FZ59" s="589"/>
      <c r="GA59" s="589"/>
      <c r="GB59" s="589"/>
      <c r="GC59" s="589"/>
      <c r="GD59" s="589"/>
      <c r="GE59" s="589"/>
      <c r="GF59" s="589"/>
      <c r="GG59" s="589"/>
      <c r="GH59" s="589"/>
      <c r="GI59" s="589"/>
      <c r="GJ59" s="589"/>
      <c r="GK59" s="589"/>
      <c r="GL59" s="589"/>
      <c r="GM59" s="589"/>
      <c r="GN59" s="589"/>
      <c r="GO59" s="589"/>
      <c r="GP59" s="589"/>
      <c r="GQ59" s="589"/>
      <c r="GR59" s="589"/>
      <c r="GS59" s="589"/>
      <c r="GT59" s="589"/>
      <c r="GU59" s="589"/>
      <c r="GV59" s="589"/>
      <c r="GW59" s="589"/>
      <c r="GX59" s="589"/>
      <c r="GY59" s="589"/>
      <c r="GZ59" s="589"/>
      <c r="HA59" s="589"/>
      <c r="HB59" s="589"/>
      <c r="HC59" s="589"/>
      <c r="HD59" s="589"/>
      <c r="HE59" s="589"/>
      <c r="HF59" s="589"/>
      <c r="HG59" s="589"/>
      <c r="HH59" s="589"/>
      <c r="HI59" s="589"/>
      <c r="HJ59" s="589"/>
      <c r="HK59" s="589"/>
      <c r="HL59" s="589"/>
    </row>
    <row r="60" spans="128:220" ht="18.899999999999999" customHeight="1">
      <c r="DX60" s="586" t="s">
        <v>3955</v>
      </c>
      <c r="DY60" s="586"/>
      <c r="DZ60" s="589"/>
      <c r="EA60" s="589"/>
      <c r="EB60" s="589"/>
      <c r="EC60" s="589"/>
      <c r="ED60" s="589"/>
      <c r="EE60" s="589"/>
      <c r="EF60" s="589"/>
      <c r="EG60" s="589"/>
      <c r="EH60" s="589"/>
      <c r="EI60" s="589"/>
      <c r="EJ60" s="589"/>
      <c r="EK60" s="589"/>
      <c r="EL60" s="589"/>
      <c r="EM60" s="589"/>
      <c r="EN60" s="589"/>
      <c r="EO60" s="589"/>
      <c r="EP60" s="589"/>
      <c r="EQ60" s="589"/>
      <c r="ER60" s="589"/>
      <c r="ES60" s="589"/>
      <c r="ET60" s="589"/>
      <c r="EU60" s="589"/>
      <c r="EV60" s="589"/>
      <c r="EW60" s="589"/>
      <c r="EX60" s="589"/>
      <c r="EY60" s="589"/>
      <c r="EZ60" s="589"/>
      <c r="FA60" s="589"/>
      <c r="FB60" s="589"/>
      <c r="FC60" s="589"/>
      <c r="FD60" s="589"/>
      <c r="FE60" s="589"/>
      <c r="FF60" s="589"/>
      <c r="FG60" s="589"/>
      <c r="FH60" s="589"/>
      <c r="FI60" s="589"/>
      <c r="FJ60" s="589"/>
      <c r="FK60" s="589"/>
      <c r="FL60" s="589"/>
      <c r="FM60" s="589"/>
      <c r="FN60" s="589"/>
      <c r="FO60" s="589"/>
      <c r="FP60" s="589"/>
      <c r="FQ60" s="589"/>
      <c r="FR60" s="589"/>
      <c r="FS60" s="589"/>
      <c r="FT60" s="589"/>
      <c r="FU60" s="589"/>
      <c r="FV60" s="589"/>
      <c r="FW60" s="589"/>
      <c r="FX60" s="589"/>
      <c r="FY60" s="589"/>
      <c r="FZ60" s="589"/>
      <c r="GA60" s="589"/>
      <c r="GB60" s="589"/>
      <c r="GC60" s="589"/>
      <c r="GD60" s="589"/>
      <c r="GE60" s="589"/>
      <c r="GF60" s="589"/>
      <c r="GG60" s="589"/>
      <c r="GH60" s="589"/>
      <c r="GI60" s="589"/>
      <c r="GJ60" s="589"/>
      <c r="GK60" s="589"/>
      <c r="GL60" s="589"/>
      <c r="GM60" s="589"/>
      <c r="GN60" s="589"/>
      <c r="GO60" s="589"/>
      <c r="GP60" s="589"/>
      <c r="GQ60" s="589"/>
      <c r="GR60" s="589"/>
      <c r="GS60" s="589"/>
      <c r="GT60" s="589"/>
      <c r="GU60" s="589"/>
      <c r="GV60" s="589"/>
      <c r="GW60" s="589"/>
      <c r="GX60" s="589"/>
      <c r="GY60" s="589"/>
      <c r="GZ60" s="589"/>
      <c r="HA60" s="589"/>
      <c r="HB60" s="589"/>
      <c r="HC60" s="589"/>
      <c r="HD60" s="589"/>
      <c r="HE60" s="589"/>
      <c r="HF60" s="589"/>
      <c r="HG60" s="589"/>
      <c r="HH60" s="589"/>
      <c r="HI60" s="589"/>
      <c r="HJ60" s="589"/>
      <c r="HK60" s="589"/>
      <c r="HL60" s="589"/>
    </row>
    <row r="61" spans="128:220" ht="18.899999999999999" customHeight="1">
      <c r="DX61" s="586" t="s">
        <v>4093</v>
      </c>
      <c r="DY61" s="586"/>
      <c r="DZ61" s="589"/>
      <c r="EA61" s="589"/>
      <c r="EB61" s="589"/>
      <c r="EC61" s="589"/>
      <c r="ED61" s="589"/>
      <c r="EE61" s="589"/>
      <c r="EF61" s="589"/>
      <c r="EG61" s="589"/>
      <c r="EH61" s="589"/>
      <c r="EI61" s="589"/>
      <c r="EJ61" s="589"/>
      <c r="EK61" s="589"/>
      <c r="EL61" s="589"/>
      <c r="EM61" s="589"/>
      <c r="EN61" s="589"/>
      <c r="EO61" s="589"/>
      <c r="EP61" s="589"/>
      <c r="EQ61" s="589"/>
      <c r="ER61" s="589"/>
      <c r="ES61" s="589"/>
      <c r="ET61" s="589"/>
      <c r="EU61" s="589"/>
      <c r="EV61" s="589"/>
      <c r="EW61" s="589"/>
      <c r="EX61" s="589"/>
      <c r="EY61" s="589"/>
      <c r="EZ61" s="589"/>
      <c r="FA61" s="589"/>
      <c r="FB61" s="589"/>
      <c r="FC61" s="589"/>
      <c r="FD61" s="589"/>
      <c r="FE61" s="589"/>
      <c r="FF61" s="589"/>
      <c r="FG61" s="589"/>
      <c r="FH61" s="589"/>
      <c r="FI61" s="589"/>
      <c r="FJ61" s="589"/>
      <c r="FK61" s="589"/>
      <c r="FL61" s="589"/>
      <c r="FM61" s="589"/>
      <c r="FN61" s="589"/>
      <c r="FO61" s="589"/>
      <c r="FP61" s="589"/>
      <c r="FQ61" s="589"/>
      <c r="FR61" s="589"/>
      <c r="FS61" s="589"/>
      <c r="FT61" s="589"/>
      <c r="FU61" s="589"/>
      <c r="FV61" s="589"/>
      <c r="FW61" s="589"/>
      <c r="FX61" s="589"/>
      <c r="FY61" s="589"/>
      <c r="FZ61" s="589"/>
      <c r="GA61" s="589"/>
      <c r="GB61" s="589"/>
      <c r="GC61" s="589"/>
      <c r="GD61" s="589"/>
      <c r="GE61" s="589"/>
      <c r="GF61" s="589"/>
      <c r="GG61" s="589"/>
      <c r="GH61" s="589"/>
      <c r="GI61" s="589"/>
      <c r="GJ61" s="589"/>
      <c r="GK61" s="589"/>
      <c r="GL61" s="589"/>
      <c r="GM61" s="589"/>
      <c r="GN61" s="589"/>
      <c r="GO61" s="589"/>
      <c r="GP61" s="589"/>
      <c r="GQ61" s="589"/>
      <c r="GR61" s="589"/>
      <c r="GS61" s="589"/>
      <c r="GT61" s="589"/>
      <c r="GU61" s="589"/>
      <c r="GV61" s="589"/>
      <c r="GW61" s="589"/>
      <c r="GX61" s="589"/>
      <c r="GY61" s="589"/>
      <c r="GZ61" s="589"/>
      <c r="HA61" s="589"/>
      <c r="HB61" s="589"/>
      <c r="HC61" s="589"/>
      <c r="HD61" s="589"/>
      <c r="HE61" s="589"/>
      <c r="HF61" s="589"/>
      <c r="HG61" s="589"/>
      <c r="HH61" s="589"/>
      <c r="HI61" s="589"/>
      <c r="HJ61" s="589"/>
      <c r="HK61" s="589"/>
      <c r="HL61" s="589"/>
    </row>
    <row r="62" spans="128:220" ht="18.899999999999999" customHeight="1">
      <c r="DX62" s="586" t="s">
        <v>3956</v>
      </c>
      <c r="DY62" s="586"/>
      <c r="DZ62" s="589"/>
      <c r="EA62" s="589"/>
      <c r="EB62" s="589"/>
      <c r="EC62" s="589"/>
      <c r="ED62" s="589"/>
      <c r="EE62" s="589"/>
      <c r="EF62" s="589"/>
      <c r="EG62" s="589"/>
      <c r="EH62" s="589"/>
      <c r="EI62" s="589"/>
      <c r="EJ62" s="589"/>
      <c r="EK62" s="589"/>
      <c r="EL62" s="589"/>
      <c r="EM62" s="589"/>
      <c r="EN62" s="589"/>
      <c r="EO62" s="589"/>
      <c r="EP62" s="589"/>
      <c r="EQ62" s="589"/>
      <c r="ER62" s="589"/>
      <c r="ES62" s="589"/>
      <c r="ET62" s="589"/>
      <c r="EU62" s="589"/>
      <c r="EV62" s="589"/>
      <c r="EW62" s="589"/>
      <c r="EX62" s="589"/>
      <c r="EY62" s="589"/>
      <c r="EZ62" s="589"/>
      <c r="FA62" s="589"/>
      <c r="FB62" s="589"/>
      <c r="FC62" s="589"/>
      <c r="FD62" s="589"/>
      <c r="FE62" s="589"/>
      <c r="FF62" s="589"/>
      <c r="FG62" s="589"/>
      <c r="FH62" s="589"/>
      <c r="FI62" s="589"/>
      <c r="FJ62" s="589"/>
      <c r="FK62" s="589"/>
      <c r="FL62" s="589"/>
      <c r="FM62" s="589"/>
      <c r="FN62" s="589"/>
      <c r="FO62" s="589"/>
      <c r="FP62" s="589"/>
      <c r="FQ62" s="589"/>
      <c r="FR62" s="589"/>
      <c r="FS62" s="589"/>
      <c r="FT62" s="589"/>
      <c r="FU62" s="589"/>
      <c r="FV62" s="589"/>
      <c r="FW62" s="589"/>
      <c r="FX62" s="589"/>
      <c r="FY62" s="589"/>
      <c r="FZ62" s="589"/>
      <c r="GA62" s="589"/>
      <c r="GB62" s="589"/>
      <c r="GC62" s="589"/>
      <c r="GD62" s="589"/>
      <c r="GE62" s="589"/>
      <c r="GF62" s="589"/>
      <c r="GG62" s="589"/>
      <c r="GH62" s="589"/>
      <c r="GI62" s="589"/>
      <c r="GJ62" s="589"/>
      <c r="GK62" s="589"/>
      <c r="GL62" s="589"/>
      <c r="GM62" s="589"/>
      <c r="GN62" s="589"/>
      <c r="GO62" s="589"/>
      <c r="GP62" s="589"/>
      <c r="GQ62" s="589"/>
      <c r="GR62" s="589"/>
      <c r="GS62" s="589"/>
      <c r="GT62" s="589"/>
      <c r="GU62" s="589"/>
      <c r="GV62" s="589"/>
      <c r="GW62" s="589"/>
      <c r="GX62" s="589"/>
      <c r="GY62" s="589"/>
      <c r="GZ62" s="589"/>
      <c r="HA62" s="589"/>
      <c r="HB62" s="589"/>
      <c r="HC62" s="589"/>
      <c r="HD62" s="589"/>
      <c r="HE62" s="589"/>
      <c r="HF62" s="589"/>
      <c r="HG62" s="589"/>
      <c r="HH62" s="589"/>
      <c r="HI62" s="589"/>
      <c r="HJ62" s="589"/>
      <c r="HK62" s="589"/>
      <c r="HL62" s="589"/>
    </row>
    <row r="63" spans="128:220" ht="18.899999999999999" customHeight="1">
      <c r="DX63" s="586" t="s">
        <v>3957</v>
      </c>
      <c r="DY63" s="586"/>
      <c r="DZ63" s="589"/>
      <c r="EA63" s="589"/>
      <c r="EB63" s="589"/>
      <c r="EC63" s="589"/>
      <c r="ED63" s="589"/>
      <c r="EE63" s="589"/>
      <c r="EF63" s="589"/>
      <c r="EG63" s="589"/>
      <c r="EH63" s="589"/>
      <c r="EI63" s="589"/>
      <c r="EJ63" s="589"/>
      <c r="EK63" s="589"/>
      <c r="EL63" s="589"/>
      <c r="EM63" s="589"/>
      <c r="EN63" s="589"/>
      <c r="EO63" s="589"/>
      <c r="EP63" s="589"/>
      <c r="EQ63" s="589"/>
      <c r="ER63" s="589"/>
      <c r="ES63" s="589"/>
      <c r="ET63" s="589"/>
      <c r="EU63" s="589"/>
      <c r="EV63" s="589"/>
      <c r="EW63" s="589"/>
      <c r="EX63" s="589"/>
      <c r="EY63" s="589"/>
      <c r="EZ63" s="589"/>
      <c r="FA63" s="589"/>
      <c r="FB63" s="589"/>
      <c r="FC63" s="589"/>
      <c r="FD63" s="589"/>
      <c r="FE63" s="589"/>
      <c r="FF63" s="589"/>
      <c r="FG63" s="589"/>
      <c r="FH63" s="589"/>
      <c r="FI63" s="589"/>
      <c r="FJ63" s="589"/>
      <c r="FK63" s="589"/>
      <c r="FL63" s="589"/>
      <c r="FM63" s="589"/>
      <c r="FN63" s="589"/>
      <c r="FO63" s="589"/>
      <c r="FP63" s="589"/>
      <c r="FQ63" s="589"/>
      <c r="FR63" s="589"/>
      <c r="FS63" s="589"/>
      <c r="FT63" s="589"/>
      <c r="FU63" s="589"/>
      <c r="FV63" s="589"/>
      <c r="FW63" s="589"/>
      <c r="FX63" s="589"/>
      <c r="FY63" s="589"/>
      <c r="FZ63" s="589"/>
      <c r="GA63" s="589"/>
      <c r="GB63" s="589"/>
      <c r="GC63" s="589"/>
      <c r="GD63" s="589"/>
      <c r="GE63" s="589"/>
      <c r="GF63" s="589"/>
      <c r="GG63" s="589"/>
      <c r="GH63" s="589"/>
      <c r="GI63" s="589"/>
      <c r="GJ63" s="589"/>
      <c r="GK63" s="589"/>
      <c r="GL63" s="589"/>
      <c r="GM63" s="589"/>
      <c r="GN63" s="589"/>
      <c r="GO63" s="589"/>
      <c r="GP63" s="589"/>
      <c r="GQ63" s="589"/>
      <c r="GR63" s="589"/>
      <c r="GS63" s="589"/>
      <c r="GT63" s="589"/>
      <c r="GU63" s="589"/>
      <c r="GV63" s="589"/>
      <c r="GW63" s="589"/>
      <c r="GX63" s="589"/>
      <c r="GY63" s="589"/>
      <c r="GZ63" s="589"/>
      <c r="HA63" s="589"/>
      <c r="HB63" s="589"/>
      <c r="HC63" s="589"/>
      <c r="HD63" s="589"/>
      <c r="HE63" s="589"/>
      <c r="HF63" s="589"/>
      <c r="HG63" s="589"/>
      <c r="HH63" s="589"/>
      <c r="HI63" s="589"/>
      <c r="HJ63" s="589"/>
      <c r="HK63" s="589"/>
      <c r="HL63" s="589"/>
    </row>
    <row r="64" spans="128:220" ht="18.899999999999999" customHeight="1">
      <c r="DX64" s="586" t="s">
        <v>3958</v>
      </c>
      <c r="DY64" s="586"/>
      <c r="DZ64" s="589"/>
      <c r="EA64" s="589"/>
      <c r="EB64" s="589"/>
      <c r="EC64" s="589"/>
      <c r="ED64" s="589"/>
      <c r="EE64" s="589"/>
      <c r="EF64" s="589"/>
      <c r="EG64" s="589"/>
      <c r="EH64" s="589"/>
      <c r="EI64" s="589"/>
      <c r="EJ64" s="589"/>
      <c r="EK64" s="589"/>
      <c r="EL64" s="589"/>
      <c r="EM64" s="589"/>
      <c r="EN64" s="589"/>
      <c r="EO64" s="589"/>
      <c r="EP64" s="589"/>
      <c r="EQ64" s="589"/>
      <c r="ER64" s="589"/>
      <c r="ES64" s="589"/>
      <c r="ET64" s="589"/>
      <c r="EU64" s="589"/>
      <c r="EV64" s="589"/>
      <c r="EW64" s="589"/>
      <c r="EX64" s="589"/>
      <c r="EY64" s="589"/>
      <c r="EZ64" s="589"/>
      <c r="FA64" s="589"/>
      <c r="FB64" s="589"/>
      <c r="FC64" s="589"/>
      <c r="FD64" s="589"/>
      <c r="FE64" s="589"/>
      <c r="FF64" s="589"/>
      <c r="FG64" s="589"/>
      <c r="FH64" s="589"/>
      <c r="FI64" s="589"/>
      <c r="FJ64" s="589"/>
      <c r="FK64" s="589"/>
      <c r="FL64" s="589"/>
      <c r="FM64" s="589"/>
      <c r="FN64" s="589"/>
      <c r="FO64" s="589"/>
      <c r="FP64" s="589"/>
      <c r="FQ64" s="589"/>
      <c r="FR64" s="589"/>
      <c r="FS64" s="589"/>
      <c r="FT64" s="589"/>
      <c r="FU64" s="589"/>
      <c r="FV64" s="589"/>
      <c r="FW64" s="589"/>
      <c r="FX64" s="589"/>
      <c r="FY64" s="589"/>
      <c r="FZ64" s="589"/>
      <c r="GA64" s="589"/>
      <c r="GB64" s="589"/>
      <c r="GC64" s="589"/>
      <c r="GD64" s="589"/>
      <c r="GE64" s="589"/>
      <c r="GF64" s="589"/>
      <c r="GG64" s="589"/>
      <c r="GH64" s="589"/>
      <c r="GI64" s="589"/>
      <c r="GJ64" s="589"/>
      <c r="GK64" s="589"/>
      <c r="GL64" s="589"/>
      <c r="GM64" s="589"/>
      <c r="GN64" s="589"/>
      <c r="GO64" s="589"/>
      <c r="GP64" s="589"/>
      <c r="GQ64" s="589"/>
      <c r="GR64" s="589"/>
      <c r="GS64" s="589"/>
      <c r="GT64" s="589"/>
      <c r="GU64" s="589"/>
      <c r="GV64" s="589"/>
      <c r="GW64" s="589"/>
      <c r="GX64" s="589"/>
      <c r="GY64" s="589"/>
      <c r="GZ64" s="589"/>
      <c r="HA64" s="589"/>
      <c r="HB64" s="589"/>
      <c r="HC64" s="589"/>
      <c r="HD64" s="589"/>
      <c r="HE64" s="589"/>
      <c r="HF64" s="589"/>
      <c r="HG64" s="589"/>
      <c r="HH64" s="589"/>
      <c r="HI64" s="589"/>
      <c r="HJ64" s="589"/>
      <c r="HK64" s="589"/>
      <c r="HL64" s="589"/>
    </row>
    <row r="65" spans="128:220" ht="18.899999999999999" customHeight="1">
      <c r="DX65" s="586" t="s">
        <v>4094</v>
      </c>
      <c r="DY65" s="586"/>
      <c r="DZ65" s="589"/>
      <c r="EA65" s="589"/>
      <c r="EB65" s="589"/>
      <c r="EC65" s="589"/>
      <c r="ED65" s="589"/>
      <c r="EE65" s="589"/>
      <c r="EF65" s="589"/>
      <c r="EG65" s="589"/>
      <c r="EH65" s="589"/>
      <c r="EI65" s="589"/>
      <c r="EJ65" s="589"/>
      <c r="EK65" s="589"/>
      <c r="EL65" s="589"/>
      <c r="EM65" s="589"/>
      <c r="EN65" s="589"/>
      <c r="EO65" s="589"/>
      <c r="EP65" s="589"/>
      <c r="EQ65" s="589"/>
      <c r="ER65" s="589"/>
      <c r="ES65" s="589"/>
      <c r="ET65" s="589"/>
      <c r="EU65" s="589"/>
      <c r="EV65" s="589"/>
      <c r="EW65" s="589"/>
      <c r="EX65" s="589"/>
      <c r="EY65" s="589"/>
      <c r="EZ65" s="589"/>
      <c r="FA65" s="589"/>
      <c r="FB65" s="589"/>
      <c r="FC65" s="589"/>
      <c r="FD65" s="589"/>
      <c r="FE65" s="589"/>
      <c r="FF65" s="589"/>
      <c r="FG65" s="589"/>
      <c r="FH65" s="589"/>
      <c r="FI65" s="589"/>
      <c r="FJ65" s="589"/>
      <c r="FK65" s="589"/>
      <c r="FL65" s="589"/>
      <c r="FM65" s="589"/>
      <c r="FN65" s="589"/>
      <c r="FO65" s="589"/>
      <c r="FP65" s="589"/>
      <c r="FQ65" s="589"/>
      <c r="FR65" s="589"/>
      <c r="FS65" s="589"/>
      <c r="FT65" s="589"/>
      <c r="FU65" s="589"/>
      <c r="FV65" s="589"/>
      <c r="FW65" s="589"/>
      <c r="FX65" s="589"/>
      <c r="FY65" s="589"/>
      <c r="FZ65" s="589"/>
      <c r="GA65" s="589"/>
      <c r="GB65" s="589"/>
      <c r="GC65" s="589"/>
      <c r="GD65" s="589"/>
      <c r="GE65" s="589"/>
      <c r="GF65" s="589"/>
      <c r="GG65" s="589"/>
      <c r="GH65" s="589"/>
      <c r="GI65" s="589"/>
      <c r="GJ65" s="589"/>
      <c r="GK65" s="589"/>
      <c r="GL65" s="589"/>
      <c r="GM65" s="589"/>
      <c r="GN65" s="589"/>
      <c r="GO65" s="589"/>
      <c r="GP65" s="589"/>
      <c r="GQ65" s="589"/>
      <c r="GR65" s="589"/>
      <c r="GS65" s="589"/>
      <c r="GT65" s="589"/>
      <c r="GU65" s="589"/>
      <c r="GV65" s="589"/>
      <c r="GW65" s="589"/>
      <c r="GX65" s="589"/>
      <c r="GY65" s="589"/>
      <c r="GZ65" s="589"/>
      <c r="HA65" s="589"/>
      <c r="HB65" s="589"/>
      <c r="HC65" s="589"/>
      <c r="HD65" s="589"/>
      <c r="HE65" s="589"/>
      <c r="HF65" s="589"/>
      <c r="HG65" s="589"/>
      <c r="HH65" s="589"/>
      <c r="HI65" s="589"/>
      <c r="HJ65" s="589"/>
      <c r="HK65" s="589"/>
      <c r="HL65" s="589"/>
    </row>
    <row r="66" spans="128:220" ht="18.899999999999999" customHeight="1">
      <c r="DX66" s="586" t="s">
        <v>3959</v>
      </c>
      <c r="DY66" s="586"/>
      <c r="DZ66" s="589"/>
      <c r="EA66" s="589"/>
      <c r="EB66" s="589"/>
      <c r="EC66" s="589"/>
      <c r="ED66" s="589"/>
      <c r="EE66" s="589"/>
      <c r="EF66" s="589"/>
      <c r="EG66" s="589"/>
      <c r="EH66" s="589"/>
      <c r="EI66" s="589"/>
      <c r="EJ66" s="589"/>
      <c r="EK66" s="589"/>
      <c r="EL66" s="589"/>
      <c r="EM66" s="589"/>
      <c r="EN66" s="589"/>
      <c r="EO66" s="589"/>
      <c r="EP66" s="589"/>
      <c r="EQ66" s="589"/>
      <c r="ER66" s="589"/>
      <c r="ES66" s="589"/>
      <c r="ET66" s="589"/>
      <c r="EU66" s="589"/>
      <c r="EV66" s="589"/>
      <c r="EW66" s="589"/>
      <c r="EX66" s="589"/>
      <c r="EY66" s="589"/>
      <c r="EZ66" s="589"/>
      <c r="FA66" s="589"/>
      <c r="FB66" s="589"/>
      <c r="FC66" s="589"/>
      <c r="FD66" s="589"/>
      <c r="FE66" s="589"/>
      <c r="FF66" s="589"/>
      <c r="FG66" s="589"/>
      <c r="FH66" s="589"/>
      <c r="FI66" s="589"/>
      <c r="FJ66" s="589"/>
      <c r="FK66" s="589"/>
      <c r="FL66" s="589"/>
      <c r="FM66" s="589"/>
      <c r="FN66" s="589"/>
      <c r="FO66" s="589"/>
      <c r="FP66" s="589"/>
      <c r="FQ66" s="589"/>
      <c r="FR66" s="589"/>
      <c r="FS66" s="589"/>
      <c r="FT66" s="589"/>
      <c r="FU66" s="589"/>
      <c r="FV66" s="589"/>
      <c r="FW66" s="589"/>
      <c r="FX66" s="589"/>
      <c r="FY66" s="589"/>
      <c r="FZ66" s="589"/>
      <c r="GA66" s="589"/>
      <c r="GB66" s="589"/>
      <c r="GC66" s="589"/>
      <c r="GD66" s="589"/>
      <c r="GE66" s="589"/>
      <c r="GF66" s="589"/>
      <c r="GG66" s="589"/>
      <c r="GH66" s="589"/>
      <c r="GI66" s="589"/>
      <c r="GJ66" s="589"/>
      <c r="GK66" s="589"/>
      <c r="GL66" s="589"/>
      <c r="GM66" s="589"/>
      <c r="GN66" s="589"/>
      <c r="GO66" s="589"/>
      <c r="GP66" s="589"/>
      <c r="GQ66" s="589"/>
      <c r="GR66" s="589"/>
      <c r="GS66" s="589"/>
      <c r="GT66" s="589"/>
      <c r="GU66" s="589"/>
      <c r="GV66" s="589"/>
      <c r="GW66" s="589"/>
      <c r="GX66" s="589"/>
      <c r="GY66" s="589"/>
      <c r="GZ66" s="589"/>
      <c r="HA66" s="589"/>
      <c r="HB66" s="589"/>
      <c r="HC66" s="589"/>
      <c r="HD66" s="589"/>
      <c r="HE66" s="589"/>
      <c r="HF66" s="589"/>
      <c r="HG66" s="589"/>
      <c r="HH66" s="589"/>
      <c r="HI66" s="589"/>
      <c r="HJ66" s="589"/>
      <c r="HK66" s="589"/>
      <c r="HL66" s="589"/>
    </row>
    <row r="67" spans="128:220" ht="18.899999999999999" customHeight="1">
      <c r="DX67" s="586" t="s">
        <v>3960</v>
      </c>
      <c r="DY67" s="586"/>
      <c r="DZ67" s="589"/>
      <c r="EA67" s="589"/>
      <c r="EB67" s="589"/>
      <c r="EC67" s="589"/>
      <c r="ED67" s="589"/>
      <c r="EE67" s="589"/>
      <c r="EF67" s="589"/>
      <c r="EG67" s="589"/>
      <c r="EH67" s="589"/>
      <c r="EI67" s="589"/>
      <c r="EJ67" s="589"/>
      <c r="EK67" s="589"/>
      <c r="EL67" s="589"/>
      <c r="EM67" s="589"/>
      <c r="EN67" s="589"/>
      <c r="EO67" s="589"/>
      <c r="EP67" s="589"/>
      <c r="EQ67" s="589"/>
      <c r="ER67" s="589"/>
      <c r="ES67" s="589"/>
      <c r="ET67" s="589"/>
      <c r="EU67" s="589"/>
      <c r="EV67" s="589"/>
      <c r="EW67" s="589"/>
      <c r="EX67" s="589"/>
      <c r="EY67" s="589"/>
      <c r="EZ67" s="589"/>
      <c r="FA67" s="589"/>
      <c r="FB67" s="589"/>
      <c r="FC67" s="589"/>
      <c r="FD67" s="589"/>
      <c r="FE67" s="589"/>
      <c r="FF67" s="589"/>
      <c r="FG67" s="589"/>
      <c r="FH67" s="589"/>
      <c r="FI67" s="589"/>
      <c r="FJ67" s="589"/>
      <c r="FK67" s="589"/>
      <c r="FL67" s="589"/>
      <c r="FM67" s="589"/>
      <c r="FN67" s="589"/>
      <c r="FO67" s="589"/>
      <c r="FP67" s="589"/>
      <c r="FQ67" s="589"/>
      <c r="FR67" s="589"/>
      <c r="FS67" s="589"/>
      <c r="FT67" s="589"/>
      <c r="FU67" s="589"/>
      <c r="FV67" s="589"/>
      <c r="FW67" s="589"/>
      <c r="FX67" s="589"/>
      <c r="FY67" s="589"/>
      <c r="FZ67" s="589"/>
      <c r="GA67" s="589"/>
      <c r="GB67" s="589"/>
      <c r="GC67" s="589"/>
      <c r="GD67" s="589"/>
      <c r="GE67" s="589"/>
      <c r="GF67" s="589"/>
      <c r="GG67" s="589"/>
      <c r="GH67" s="589"/>
      <c r="GI67" s="589"/>
      <c r="GJ67" s="589"/>
      <c r="GK67" s="589"/>
      <c r="GL67" s="589"/>
      <c r="GM67" s="589"/>
      <c r="GN67" s="589"/>
      <c r="GO67" s="589"/>
      <c r="GP67" s="589"/>
      <c r="GQ67" s="589"/>
      <c r="GR67" s="589"/>
      <c r="GS67" s="589"/>
      <c r="GT67" s="589"/>
      <c r="GU67" s="589"/>
      <c r="GV67" s="589"/>
      <c r="GW67" s="589"/>
      <c r="GX67" s="589"/>
      <c r="GY67" s="589"/>
      <c r="GZ67" s="589"/>
      <c r="HA67" s="589"/>
      <c r="HB67" s="589"/>
      <c r="HC67" s="589"/>
      <c r="HD67" s="589"/>
      <c r="HE67" s="589"/>
      <c r="HF67" s="589"/>
      <c r="HG67" s="589"/>
      <c r="HH67" s="589"/>
      <c r="HI67" s="589"/>
      <c r="HJ67" s="589"/>
      <c r="HK67" s="589"/>
      <c r="HL67" s="589"/>
    </row>
    <row r="68" spans="128:220" ht="18.899999999999999" customHeight="1">
      <c r="DX68" s="586" t="s">
        <v>3961</v>
      </c>
      <c r="DY68" s="586"/>
      <c r="DZ68" s="589"/>
      <c r="EA68" s="589"/>
      <c r="EB68" s="589"/>
      <c r="EC68" s="589"/>
      <c r="ED68" s="589"/>
      <c r="EE68" s="589"/>
      <c r="EF68" s="589"/>
      <c r="EG68" s="589"/>
      <c r="EH68" s="589"/>
      <c r="EI68" s="589"/>
      <c r="EJ68" s="589"/>
      <c r="EK68" s="589"/>
      <c r="EL68" s="589"/>
      <c r="EM68" s="589"/>
      <c r="EN68" s="589"/>
      <c r="EO68" s="589"/>
      <c r="EP68" s="589"/>
      <c r="EQ68" s="589"/>
      <c r="ER68" s="589"/>
      <c r="ES68" s="589"/>
      <c r="ET68" s="589"/>
      <c r="EU68" s="589"/>
      <c r="EV68" s="589"/>
      <c r="EW68" s="589"/>
      <c r="EX68" s="589"/>
      <c r="EY68" s="589"/>
      <c r="EZ68" s="589"/>
      <c r="FA68" s="589"/>
      <c r="FB68" s="589"/>
      <c r="FC68" s="589"/>
      <c r="FD68" s="589"/>
      <c r="FE68" s="589"/>
      <c r="FF68" s="589"/>
      <c r="FG68" s="589"/>
      <c r="FH68" s="589"/>
      <c r="FI68" s="589"/>
      <c r="FJ68" s="589"/>
      <c r="FK68" s="589"/>
      <c r="FL68" s="589"/>
      <c r="FM68" s="589"/>
      <c r="FN68" s="589"/>
      <c r="FO68" s="589"/>
      <c r="FP68" s="589"/>
      <c r="FQ68" s="589"/>
      <c r="FR68" s="589"/>
      <c r="FS68" s="589"/>
      <c r="FT68" s="589"/>
      <c r="FU68" s="589"/>
      <c r="FV68" s="589"/>
      <c r="FW68" s="589"/>
      <c r="FX68" s="589"/>
      <c r="FY68" s="589"/>
      <c r="FZ68" s="589"/>
      <c r="GA68" s="589"/>
      <c r="GB68" s="589"/>
      <c r="GC68" s="589"/>
      <c r="GD68" s="589"/>
      <c r="GE68" s="589"/>
      <c r="GF68" s="589"/>
      <c r="GG68" s="589"/>
      <c r="GH68" s="589"/>
      <c r="GI68" s="589"/>
      <c r="GJ68" s="589"/>
      <c r="GK68" s="589"/>
      <c r="GL68" s="589"/>
      <c r="GM68" s="589"/>
      <c r="GN68" s="589"/>
      <c r="GO68" s="589"/>
      <c r="GP68" s="589"/>
      <c r="GQ68" s="589"/>
      <c r="GR68" s="589"/>
      <c r="GS68" s="589"/>
      <c r="GT68" s="589"/>
      <c r="GU68" s="589"/>
      <c r="GV68" s="589"/>
      <c r="GW68" s="589"/>
      <c r="GX68" s="589"/>
      <c r="GY68" s="589"/>
      <c r="GZ68" s="589"/>
      <c r="HA68" s="589"/>
      <c r="HB68" s="589"/>
      <c r="HC68" s="589"/>
      <c r="HD68" s="589"/>
      <c r="HE68" s="589"/>
      <c r="HF68" s="589"/>
      <c r="HG68" s="589"/>
      <c r="HH68" s="589"/>
      <c r="HI68" s="589"/>
      <c r="HJ68" s="589"/>
      <c r="HK68" s="589"/>
      <c r="HL68" s="589"/>
    </row>
    <row r="69" spans="128:220" ht="18.899999999999999" customHeight="1">
      <c r="DX69" s="586" t="s">
        <v>3962</v>
      </c>
      <c r="DY69" s="586"/>
      <c r="DZ69" s="589"/>
      <c r="EA69" s="589"/>
      <c r="EB69" s="589"/>
      <c r="EC69" s="589"/>
      <c r="ED69" s="589"/>
      <c r="EE69" s="589"/>
      <c r="EF69" s="589"/>
      <c r="EG69" s="589"/>
      <c r="EH69" s="589"/>
      <c r="EI69" s="589"/>
      <c r="EJ69" s="589"/>
      <c r="EK69" s="589"/>
      <c r="EL69" s="589"/>
      <c r="EM69" s="589"/>
      <c r="EN69" s="589"/>
      <c r="EO69" s="589"/>
      <c r="EP69" s="589"/>
      <c r="EQ69" s="589"/>
      <c r="ER69" s="589"/>
      <c r="ES69" s="589"/>
      <c r="ET69" s="589"/>
      <c r="EU69" s="589"/>
      <c r="EV69" s="589"/>
      <c r="EW69" s="589"/>
      <c r="EX69" s="589"/>
      <c r="EY69" s="589"/>
      <c r="EZ69" s="589"/>
      <c r="FA69" s="589"/>
      <c r="FB69" s="589"/>
      <c r="FC69" s="589"/>
      <c r="FD69" s="589"/>
      <c r="FE69" s="589"/>
      <c r="FF69" s="589"/>
      <c r="FG69" s="589"/>
      <c r="FH69" s="589"/>
      <c r="FI69" s="589"/>
      <c r="FJ69" s="589"/>
      <c r="FK69" s="589"/>
      <c r="FL69" s="589"/>
      <c r="FM69" s="589"/>
      <c r="FN69" s="589"/>
      <c r="FO69" s="589"/>
      <c r="FP69" s="589"/>
      <c r="FQ69" s="589"/>
      <c r="FR69" s="589"/>
      <c r="FS69" s="589"/>
      <c r="FT69" s="589"/>
      <c r="FU69" s="589"/>
      <c r="FV69" s="589"/>
      <c r="FW69" s="589"/>
      <c r="FX69" s="589"/>
      <c r="FY69" s="589"/>
      <c r="FZ69" s="589"/>
      <c r="GA69" s="589"/>
      <c r="GB69" s="589"/>
      <c r="GC69" s="589"/>
      <c r="GD69" s="589"/>
      <c r="GE69" s="589"/>
      <c r="GF69" s="589"/>
      <c r="GG69" s="589"/>
      <c r="GH69" s="589"/>
      <c r="GI69" s="589"/>
      <c r="GJ69" s="589"/>
      <c r="GK69" s="589"/>
      <c r="GL69" s="589"/>
      <c r="GM69" s="589"/>
      <c r="GN69" s="589"/>
      <c r="GO69" s="589"/>
      <c r="GP69" s="589"/>
      <c r="GQ69" s="589"/>
      <c r="GR69" s="589"/>
      <c r="GS69" s="589"/>
      <c r="GT69" s="589"/>
      <c r="GU69" s="589"/>
      <c r="GV69" s="589"/>
      <c r="GW69" s="589"/>
      <c r="GX69" s="589"/>
      <c r="GY69" s="589"/>
      <c r="GZ69" s="589"/>
      <c r="HA69" s="589"/>
      <c r="HB69" s="589"/>
      <c r="HC69" s="589"/>
      <c r="HD69" s="589"/>
      <c r="HE69" s="589"/>
      <c r="HF69" s="589"/>
      <c r="HG69" s="589"/>
      <c r="HH69" s="589"/>
      <c r="HI69" s="589"/>
      <c r="HJ69" s="589"/>
      <c r="HK69" s="589"/>
      <c r="HL69" s="589"/>
    </row>
    <row r="70" spans="128:220" ht="18.899999999999999" customHeight="1">
      <c r="DX70" s="586" t="s">
        <v>3963</v>
      </c>
      <c r="DY70" s="586"/>
      <c r="DZ70" s="589"/>
      <c r="EA70" s="589"/>
      <c r="EB70" s="589"/>
      <c r="EC70" s="589"/>
      <c r="ED70" s="589"/>
      <c r="EE70" s="589"/>
      <c r="EF70" s="589"/>
      <c r="EG70" s="589"/>
      <c r="EH70" s="589"/>
      <c r="EI70" s="589"/>
      <c r="EJ70" s="589"/>
      <c r="EK70" s="589"/>
      <c r="EL70" s="589"/>
      <c r="EM70" s="589"/>
      <c r="EN70" s="589"/>
      <c r="EO70" s="589"/>
      <c r="EP70" s="589"/>
      <c r="EQ70" s="589"/>
      <c r="ER70" s="589"/>
      <c r="ES70" s="589"/>
      <c r="ET70" s="589"/>
      <c r="EU70" s="589"/>
      <c r="EV70" s="589"/>
      <c r="EW70" s="589"/>
      <c r="EX70" s="589"/>
      <c r="EY70" s="589"/>
      <c r="EZ70" s="589"/>
      <c r="FA70" s="589"/>
      <c r="FB70" s="589"/>
      <c r="FC70" s="589"/>
      <c r="FD70" s="589"/>
      <c r="FE70" s="589"/>
      <c r="FF70" s="589"/>
      <c r="FG70" s="589"/>
      <c r="FH70" s="589"/>
      <c r="FI70" s="589"/>
      <c r="FJ70" s="589"/>
      <c r="FK70" s="589"/>
      <c r="FL70" s="589"/>
      <c r="FM70" s="589"/>
      <c r="FN70" s="589"/>
      <c r="FO70" s="589"/>
      <c r="FP70" s="589"/>
      <c r="FQ70" s="589"/>
      <c r="FR70" s="589"/>
      <c r="FS70" s="589"/>
      <c r="FT70" s="589"/>
      <c r="FU70" s="589"/>
      <c r="FV70" s="589"/>
      <c r="FW70" s="589"/>
      <c r="FX70" s="589"/>
      <c r="FY70" s="589"/>
      <c r="FZ70" s="589"/>
      <c r="GA70" s="589"/>
      <c r="GB70" s="589"/>
      <c r="GC70" s="589"/>
      <c r="GD70" s="589"/>
      <c r="GE70" s="589"/>
      <c r="GF70" s="589"/>
      <c r="GG70" s="589"/>
      <c r="GH70" s="589"/>
      <c r="GI70" s="589"/>
      <c r="GJ70" s="589"/>
      <c r="GK70" s="589"/>
      <c r="GL70" s="589"/>
      <c r="GM70" s="589"/>
      <c r="GN70" s="589"/>
      <c r="GO70" s="589"/>
      <c r="GP70" s="589"/>
      <c r="GQ70" s="589"/>
      <c r="GR70" s="589"/>
      <c r="GS70" s="589"/>
      <c r="GT70" s="589"/>
      <c r="GU70" s="589"/>
      <c r="GV70" s="589"/>
      <c r="GW70" s="589"/>
      <c r="GX70" s="589"/>
      <c r="GY70" s="589"/>
      <c r="GZ70" s="589"/>
      <c r="HA70" s="589"/>
      <c r="HB70" s="589"/>
      <c r="HC70" s="589"/>
      <c r="HD70" s="589"/>
      <c r="HE70" s="589"/>
      <c r="HF70" s="589"/>
      <c r="HG70" s="589"/>
      <c r="HH70" s="589"/>
      <c r="HI70" s="589"/>
      <c r="HJ70" s="589"/>
      <c r="HK70" s="589"/>
      <c r="HL70" s="589"/>
    </row>
    <row r="71" spans="128:220" ht="18.899999999999999" customHeight="1">
      <c r="DX71" s="586" t="s">
        <v>4095</v>
      </c>
      <c r="DY71" s="586"/>
      <c r="DZ71" s="589"/>
      <c r="EA71" s="589"/>
      <c r="EB71" s="589"/>
      <c r="EC71" s="589"/>
      <c r="ED71" s="589"/>
      <c r="EE71" s="589"/>
      <c r="EF71" s="589"/>
      <c r="EG71" s="589"/>
      <c r="EH71" s="589"/>
      <c r="EI71" s="589"/>
      <c r="EJ71" s="589"/>
      <c r="EK71" s="589"/>
      <c r="EL71" s="589"/>
      <c r="EM71" s="589"/>
      <c r="EN71" s="589"/>
      <c r="EO71" s="589"/>
      <c r="EP71" s="589"/>
      <c r="EQ71" s="589"/>
      <c r="ER71" s="589"/>
      <c r="ES71" s="589"/>
      <c r="ET71" s="589"/>
      <c r="EU71" s="589"/>
      <c r="EV71" s="589"/>
      <c r="EW71" s="589"/>
      <c r="EX71" s="589"/>
      <c r="EY71" s="589"/>
      <c r="EZ71" s="589"/>
      <c r="FA71" s="589"/>
      <c r="FB71" s="589"/>
      <c r="FC71" s="589"/>
      <c r="FD71" s="589"/>
      <c r="FE71" s="589"/>
      <c r="FF71" s="589"/>
      <c r="FG71" s="589"/>
      <c r="FH71" s="589"/>
      <c r="FI71" s="589"/>
      <c r="FJ71" s="589"/>
      <c r="FK71" s="589"/>
      <c r="FL71" s="589"/>
      <c r="FM71" s="589"/>
      <c r="FN71" s="589"/>
      <c r="FO71" s="589"/>
      <c r="FP71" s="589"/>
      <c r="FQ71" s="589"/>
      <c r="FR71" s="589"/>
      <c r="FS71" s="589"/>
      <c r="FT71" s="589"/>
      <c r="FU71" s="589"/>
      <c r="FV71" s="589"/>
      <c r="FW71" s="589"/>
      <c r="FX71" s="589"/>
      <c r="FY71" s="589"/>
      <c r="FZ71" s="589"/>
      <c r="GA71" s="589"/>
      <c r="GB71" s="589"/>
      <c r="GC71" s="589"/>
      <c r="GD71" s="589"/>
      <c r="GE71" s="589"/>
      <c r="GF71" s="589"/>
      <c r="GG71" s="589"/>
      <c r="GH71" s="589"/>
      <c r="GI71" s="589"/>
      <c r="GJ71" s="589"/>
      <c r="GK71" s="589"/>
      <c r="GL71" s="589"/>
      <c r="GM71" s="589"/>
      <c r="GN71" s="589"/>
      <c r="GO71" s="589"/>
      <c r="GP71" s="589"/>
      <c r="GQ71" s="589"/>
      <c r="GR71" s="589"/>
      <c r="GS71" s="589"/>
      <c r="GT71" s="589"/>
      <c r="GU71" s="589"/>
      <c r="GV71" s="589"/>
      <c r="GW71" s="589"/>
      <c r="GX71" s="589"/>
      <c r="GY71" s="589"/>
      <c r="GZ71" s="589"/>
      <c r="HA71" s="589"/>
      <c r="HB71" s="589"/>
      <c r="HC71" s="589"/>
      <c r="HD71" s="589"/>
      <c r="HE71" s="589"/>
      <c r="HF71" s="589"/>
      <c r="HG71" s="589"/>
      <c r="HH71" s="589"/>
      <c r="HI71" s="589"/>
      <c r="HJ71" s="589"/>
      <c r="HK71" s="589"/>
      <c r="HL71" s="589"/>
    </row>
    <row r="72" spans="128:220" ht="18.899999999999999" customHeight="1">
      <c r="DX72" s="586" t="s">
        <v>3964</v>
      </c>
      <c r="DY72" s="586"/>
      <c r="DZ72" s="589"/>
      <c r="EA72" s="589"/>
      <c r="EB72" s="589"/>
      <c r="EC72" s="589"/>
      <c r="ED72" s="589"/>
      <c r="EE72" s="589"/>
      <c r="EF72" s="589"/>
      <c r="EG72" s="589"/>
      <c r="EH72" s="589"/>
      <c r="EI72" s="589"/>
      <c r="EJ72" s="589"/>
      <c r="EK72" s="589"/>
      <c r="EL72" s="589"/>
      <c r="EM72" s="589"/>
      <c r="EN72" s="589"/>
      <c r="EO72" s="589"/>
      <c r="EP72" s="589"/>
      <c r="EQ72" s="589"/>
      <c r="ER72" s="589"/>
      <c r="ES72" s="589"/>
      <c r="ET72" s="589"/>
      <c r="EU72" s="589"/>
      <c r="EV72" s="589"/>
      <c r="EW72" s="589"/>
      <c r="EX72" s="589"/>
      <c r="EY72" s="589"/>
      <c r="EZ72" s="589"/>
      <c r="FA72" s="589"/>
      <c r="FB72" s="589"/>
      <c r="FC72" s="589"/>
      <c r="FD72" s="589"/>
      <c r="FE72" s="589"/>
      <c r="FF72" s="589"/>
      <c r="FG72" s="589"/>
      <c r="FH72" s="589"/>
      <c r="FI72" s="589"/>
      <c r="FJ72" s="589"/>
      <c r="FK72" s="589"/>
      <c r="FL72" s="589"/>
      <c r="FM72" s="589"/>
      <c r="FN72" s="589"/>
      <c r="FO72" s="589"/>
      <c r="FP72" s="589"/>
      <c r="FQ72" s="589"/>
      <c r="FR72" s="589"/>
      <c r="FS72" s="589"/>
      <c r="FT72" s="589"/>
      <c r="FU72" s="589"/>
      <c r="FV72" s="589"/>
      <c r="FW72" s="589"/>
      <c r="FX72" s="589"/>
      <c r="FY72" s="589"/>
      <c r="FZ72" s="589"/>
      <c r="GA72" s="589"/>
      <c r="GB72" s="589"/>
      <c r="GC72" s="589"/>
      <c r="GD72" s="589"/>
      <c r="GE72" s="589"/>
      <c r="GF72" s="589"/>
      <c r="GG72" s="589"/>
      <c r="GH72" s="589"/>
      <c r="GI72" s="589"/>
      <c r="GJ72" s="589"/>
      <c r="GK72" s="589"/>
      <c r="GL72" s="589"/>
      <c r="GM72" s="589"/>
      <c r="GN72" s="589"/>
      <c r="GO72" s="589"/>
      <c r="GP72" s="589"/>
      <c r="GQ72" s="589"/>
      <c r="GR72" s="589"/>
      <c r="GS72" s="589"/>
      <c r="GT72" s="589"/>
      <c r="GU72" s="589"/>
      <c r="GV72" s="589"/>
      <c r="GW72" s="589"/>
      <c r="GX72" s="589"/>
      <c r="GY72" s="589"/>
      <c r="GZ72" s="589"/>
      <c r="HA72" s="589"/>
      <c r="HB72" s="589"/>
      <c r="HC72" s="589"/>
      <c r="HD72" s="589"/>
      <c r="HE72" s="589"/>
      <c r="HF72" s="589"/>
      <c r="HG72" s="589"/>
      <c r="HH72" s="589"/>
      <c r="HI72" s="589"/>
      <c r="HJ72" s="589"/>
      <c r="HK72" s="589"/>
      <c r="HL72" s="589"/>
    </row>
    <row r="73" spans="128:220" ht="18.899999999999999" customHeight="1">
      <c r="DX73" s="586" t="s">
        <v>3965</v>
      </c>
      <c r="DY73" s="586"/>
      <c r="DZ73" s="589"/>
      <c r="EA73" s="589"/>
      <c r="EB73" s="589"/>
      <c r="EC73" s="589"/>
      <c r="ED73" s="589"/>
      <c r="EE73" s="589"/>
      <c r="EF73" s="589"/>
      <c r="EG73" s="589"/>
      <c r="EH73" s="589"/>
      <c r="EI73" s="589"/>
      <c r="EJ73" s="589"/>
      <c r="EK73" s="589"/>
      <c r="EL73" s="589"/>
      <c r="EM73" s="589"/>
      <c r="EN73" s="589"/>
      <c r="EO73" s="589"/>
      <c r="EP73" s="589"/>
      <c r="EQ73" s="589"/>
      <c r="ER73" s="589"/>
      <c r="ES73" s="589"/>
      <c r="ET73" s="589"/>
      <c r="EU73" s="589"/>
      <c r="EV73" s="589"/>
      <c r="EW73" s="589"/>
      <c r="EX73" s="589"/>
      <c r="EY73" s="589"/>
      <c r="EZ73" s="589"/>
      <c r="FA73" s="589"/>
      <c r="FB73" s="589"/>
      <c r="FC73" s="589"/>
      <c r="FD73" s="589"/>
      <c r="FE73" s="589"/>
      <c r="FF73" s="589"/>
      <c r="FG73" s="589"/>
      <c r="FH73" s="589"/>
      <c r="FI73" s="589"/>
      <c r="FJ73" s="589"/>
      <c r="FK73" s="589"/>
      <c r="FL73" s="589"/>
      <c r="FM73" s="589"/>
      <c r="FN73" s="589"/>
      <c r="FO73" s="589"/>
      <c r="FP73" s="589"/>
      <c r="FQ73" s="589"/>
      <c r="FR73" s="589"/>
      <c r="FS73" s="589"/>
      <c r="FT73" s="589"/>
      <c r="FU73" s="589"/>
      <c r="FV73" s="589"/>
      <c r="FW73" s="589"/>
      <c r="FX73" s="589"/>
      <c r="FY73" s="589"/>
      <c r="FZ73" s="589"/>
      <c r="GA73" s="589"/>
      <c r="GB73" s="589"/>
      <c r="GC73" s="589"/>
      <c r="GD73" s="589"/>
      <c r="GE73" s="589"/>
      <c r="GF73" s="589"/>
      <c r="GG73" s="589"/>
      <c r="GH73" s="589"/>
      <c r="GI73" s="589"/>
      <c r="GJ73" s="589"/>
      <c r="GK73" s="589"/>
      <c r="GL73" s="589"/>
      <c r="GM73" s="589"/>
      <c r="GN73" s="589"/>
      <c r="GO73" s="589"/>
      <c r="GP73" s="589"/>
      <c r="GQ73" s="589"/>
      <c r="GR73" s="589"/>
      <c r="GS73" s="589"/>
      <c r="GT73" s="589"/>
      <c r="GU73" s="589"/>
      <c r="GV73" s="589"/>
      <c r="GW73" s="589"/>
      <c r="GX73" s="589"/>
      <c r="GY73" s="589"/>
      <c r="GZ73" s="589"/>
      <c r="HA73" s="589"/>
      <c r="HB73" s="589"/>
      <c r="HC73" s="589"/>
      <c r="HD73" s="589"/>
      <c r="HE73" s="589"/>
      <c r="HF73" s="589"/>
      <c r="HG73" s="589"/>
      <c r="HH73" s="589"/>
      <c r="HI73" s="589"/>
      <c r="HJ73" s="589"/>
      <c r="HK73" s="589"/>
      <c r="HL73" s="589"/>
    </row>
    <row r="74" spans="128:220" ht="18.899999999999999" customHeight="1">
      <c r="DX74" s="586" t="s">
        <v>3966</v>
      </c>
      <c r="DY74" s="586"/>
      <c r="DZ74" s="589"/>
      <c r="EA74" s="589"/>
      <c r="EB74" s="589"/>
      <c r="EC74" s="589"/>
      <c r="ED74" s="589"/>
      <c r="EE74" s="589"/>
      <c r="EF74" s="589"/>
      <c r="EG74" s="589"/>
      <c r="EH74" s="589"/>
      <c r="EI74" s="589"/>
      <c r="EJ74" s="589"/>
      <c r="EK74" s="589"/>
      <c r="EL74" s="589"/>
      <c r="EM74" s="589"/>
      <c r="EN74" s="589"/>
      <c r="EO74" s="589"/>
      <c r="EP74" s="589"/>
      <c r="EQ74" s="589"/>
      <c r="ER74" s="589"/>
      <c r="ES74" s="589"/>
      <c r="ET74" s="589"/>
      <c r="EU74" s="589"/>
      <c r="EV74" s="589"/>
      <c r="EW74" s="589"/>
      <c r="EX74" s="589"/>
      <c r="EY74" s="589"/>
      <c r="EZ74" s="589"/>
      <c r="FA74" s="589"/>
      <c r="FB74" s="589"/>
      <c r="FC74" s="589"/>
      <c r="FD74" s="589"/>
      <c r="FE74" s="589"/>
      <c r="FF74" s="589"/>
      <c r="FG74" s="589"/>
      <c r="FH74" s="589"/>
      <c r="FI74" s="589"/>
      <c r="FJ74" s="589"/>
      <c r="FK74" s="589"/>
      <c r="FL74" s="589"/>
      <c r="FM74" s="589"/>
      <c r="FN74" s="589"/>
      <c r="FO74" s="589"/>
      <c r="FP74" s="589"/>
      <c r="FQ74" s="589"/>
      <c r="FR74" s="589"/>
      <c r="FS74" s="589"/>
      <c r="FT74" s="589"/>
      <c r="FU74" s="589"/>
      <c r="FV74" s="589"/>
      <c r="FW74" s="589"/>
      <c r="FX74" s="589"/>
      <c r="FY74" s="589"/>
      <c r="FZ74" s="589"/>
      <c r="GA74" s="589"/>
      <c r="GB74" s="589"/>
      <c r="GC74" s="589"/>
      <c r="GD74" s="589"/>
      <c r="GE74" s="589"/>
      <c r="GF74" s="589"/>
      <c r="GG74" s="589"/>
      <c r="GH74" s="589"/>
      <c r="GI74" s="589"/>
      <c r="GJ74" s="589"/>
      <c r="GK74" s="589"/>
      <c r="GL74" s="589"/>
      <c r="GM74" s="589"/>
      <c r="GN74" s="589"/>
      <c r="GO74" s="589"/>
      <c r="GP74" s="589"/>
      <c r="GQ74" s="589"/>
      <c r="GR74" s="589"/>
      <c r="GS74" s="589"/>
      <c r="GT74" s="589"/>
      <c r="GU74" s="589"/>
      <c r="GV74" s="589"/>
      <c r="GW74" s="589"/>
      <c r="GX74" s="589"/>
      <c r="GY74" s="589"/>
      <c r="GZ74" s="589"/>
      <c r="HA74" s="589"/>
      <c r="HB74" s="589"/>
      <c r="HC74" s="589"/>
      <c r="HD74" s="589"/>
      <c r="HE74" s="589"/>
      <c r="HF74" s="589"/>
      <c r="HG74" s="589"/>
      <c r="HH74" s="589"/>
      <c r="HI74" s="589"/>
      <c r="HJ74" s="589"/>
      <c r="HK74" s="589"/>
      <c r="HL74" s="589"/>
    </row>
    <row r="75" spans="128:220" ht="18.899999999999999" customHeight="1">
      <c r="DX75" s="586" t="s">
        <v>3967</v>
      </c>
      <c r="DY75" s="586"/>
      <c r="DZ75" s="589"/>
      <c r="EA75" s="589"/>
      <c r="EB75" s="589"/>
      <c r="EC75" s="589"/>
      <c r="ED75" s="589"/>
      <c r="EE75" s="589"/>
      <c r="EF75" s="589"/>
      <c r="EG75" s="589"/>
      <c r="EH75" s="589"/>
      <c r="EI75" s="589"/>
      <c r="EJ75" s="589"/>
      <c r="EK75" s="589"/>
      <c r="EL75" s="589"/>
      <c r="EM75" s="589"/>
      <c r="EN75" s="589"/>
      <c r="EO75" s="589"/>
      <c r="EP75" s="589"/>
      <c r="EQ75" s="589"/>
      <c r="ER75" s="589"/>
      <c r="ES75" s="589"/>
      <c r="ET75" s="589"/>
      <c r="EU75" s="589"/>
      <c r="EV75" s="589"/>
      <c r="EW75" s="589"/>
      <c r="EX75" s="589"/>
      <c r="EY75" s="589"/>
      <c r="EZ75" s="589"/>
      <c r="FA75" s="589"/>
      <c r="FB75" s="589"/>
      <c r="FC75" s="589"/>
      <c r="FD75" s="589"/>
      <c r="FE75" s="589"/>
      <c r="FF75" s="589"/>
      <c r="FG75" s="589"/>
      <c r="FH75" s="589"/>
      <c r="FI75" s="589"/>
      <c r="FJ75" s="589"/>
      <c r="FK75" s="589"/>
      <c r="FL75" s="589"/>
      <c r="FM75" s="589"/>
      <c r="FN75" s="589"/>
      <c r="FO75" s="589"/>
      <c r="FP75" s="589"/>
      <c r="FQ75" s="589"/>
      <c r="FR75" s="589"/>
      <c r="FS75" s="589"/>
      <c r="FT75" s="589"/>
      <c r="FU75" s="589"/>
      <c r="FV75" s="589"/>
      <c r="FW75" s="589"/>
      <c r="FX75" s="589"/>
      <c r="FY75" s="589"/>
      <c r="FZ75" s="589"/>
      <c r="GA75" s="589"/>
      <c r="GB75" s="589"/>
      <c r="GC75" s="589"/>
      <c r="GD75" s="589"/>
      <c r="GE75" s="589"/>
      <c r="GF75" s="589"/>
      <c r="GG75" s="589"/>
      <c r="GH75" s="589"/>
      <c r="GI75" s="589"/>
      <c r="GJ75" s="589"/>
      <c r="GK75" s="589"/>
      <c r="GL75" s="589"/>
      <c r="GM75" s="589"/>
      <c r="GN75" s="589"/>
      <c r="GO75" s="589"/>
      <c r="GP75" s="589"/>
      <c r="GQ75" s="589"/>
      <c r="GR75" s="589"/>
      <c r="GS75" s="589"/>
      <c r="GT75" s="589"/>
      <c r="GU75" s="589"/>
      <c r="GV75" s="589"/>
      <c r="GW75" s="589"/>
      <c r="GX75" s="589"/>
      <c r="GY75" s="589"/>
      <c r="GZ75" s="589"/>
      <c r="HA75" s="589"/>
      <c r="HB75" s="589"/>
      <c r="HC75" s="589"/>
      <c r="HD75" s="589"/>
      <c r="HE75" s="589"/>
      <c r="HF75" s="589"/>
      <c r="HG75" s="589"/>
      <c r="HH75" s="589"/>
      <c r="HI75" s="589"/>
      <c r="HJ75" s="589"/>
      <c r="HK75" s="589"/>
      <c r="HL75" s="589"/>
    </row>
    <row r="76" spans="128:220" ht="18.899999999999999" customHeight="1">
      <c r="DX76" s="586" t="s">
        <v>3968</v>
      </c>
      <c r="DY76" s="586"/>
      <c r="DZ76" s="589"/>
      <c r="EA76" s="589"/>
      <c r="EB76" s="589"/>
      <c r="EC76" s="589"/>
      <c r="ED76" s="589"/>
      <c r="EE76" s="589"/>
      <c r="EF76" s="589"/>
      <c r="EG76" s="589"/>
      <c r="EH76" s="589"/>
      <c r="EI76" s="589"/>
      <c r="EJ76" s="589"/>
      <c r="EK76" s="589"/>
      <c r="EL76" s="589"/>
      <c r="EM76" s="589"/>
      <c r="EN76" s="589"/>
      <c r="EO76" s="589"/>
      <c r="EP76" s="589"/>
      <c r="EQ76" s="589"/>
      <c r="ER76" s="589"/>
      <c r="ES76" s="589"/>
      <c r="ET76" s="589"/>
      <c r="EU76" s="589"/>
      <c r="EV76" s="589"/>
      <c r="EW76" s="589"/>
      <c r="EX76" s="589"/>
      <c r="EY76" s="589"/>
      <c r="EZ76" s="589"/>
      <c r="FA76" s="589"/>
      <c r="FB76" s="589"/>
      <c r="FC76" s="589"/>
      <c r="FD76" s="589"/>
      <c r="FE76" s="589"/>
      <c r="FF76" s="589"/>
      <c r="FG76" s="589"/>
      <c r="FH76" s="589"/>
      <c r="FI76" s="589"/>
      <c r="FJ76" s="589"/>
      <c r="FK76" s="589"/>
      <c r="FL76" s="589"/>
      <c r="FM76" s="589"/>
      <c r="FN76" s="589"/>
      <c r="FO76" s="589"/>
      <c r="FP76" s="589"/>
      <c r="FQ76" s="589"/>
      <c r="FR76" s="589"/>
      <c r="FS76" s="589"/>
      <c r="FT76" s="589"/>
      <c r="FU76" s="589"/>
      <c r="FV76" s="589"/>
      <c r="FW76" s="589"/>
      <c r="FX76" s="589"/>
      <c r="FY76" s="589"/>
      <c r="FZ76" s="589"/>
      <c r="GA76" s="589"/>
      <c r="GB76" s="589"/>
      <c r="GC76" s="589"/>
      <c r="GD76" s="589"/>
      <c r="GE76" s="589"/>
      <c r="GF76" s="589"/>
      <c r="GG76" s="589"/>
      <c r="GH76" s="589"/>
      <c r="GI76" s="589"/>
      <c r="GJ76" s="589"/>
      <c r="GK76" s="589"/>
      <c r="GL76" s="589"/>
      <c r="GM76" s="589"/>
      <c r="GN76" s="589"/>
      <c r="GO76" s="589"/>
      <c r="GP76" s="589"/>
      <c r="GQ76" s="589"/>
      <c r="GR76" s="589"/>
      <c r="GS76" s="589"/>
      <c r="GT76" s="589"/>
      <c r="GU76" s="589"/>
      <c r="GV76" s="589"/>
      <c r="GW76" s="589"/>
      <c r="GX76" s="589"/>
      <c r="GY76" s="589"/>
      <c r="GZ76" s="589"/>
      <c r="HA76" s="589"/>
      <c r="HB76" s="589"/>
      <c r="HC76" s="589"/>
      <c r="HD76" s="589"/>
      <c r="HE76" s="589"/>
      <c r="HF76" s="589"/>
      <c r="HG76" s="589"/>
      <c r="HH76" s="589"/>
      <c r="HI76" s="589"/>
      <c r="HJ76" s="589"/>
      <c r="HK76" s="589"/>
      <c r="HL76" s="589"/>
    </row>
    <row r="77" spans="128:220" ht="18.899999999999999" customHeight="1">
      <c r="DX77" s="586" t="s">
        <v>4102</v>
      </c>
      <c r="DY77" s="586"/>
      <c r="DZ77" s="589"/>
      <c r="EA77" s="589"/>
      <c r="EB77" s="589"/>
      <c r="EC77" s="589"/>
      <c r="ED77" s="589"/>
      <c r="EE77" s="589"/>
      <c r="EF77" s="589"/>
      <c r="EG77" s="589"/>
      <c r="EH77" s="589"/>
      <c r="EI77" s="589"/>
      <c r="EJ77" s="589"/>
      <c r="EK77" s="589"/>
      <c r="EL77" s="589"/>
      <c r="EM77" s="589"/>
      <c r="EN77" s="589"/>
      <c r="EO77" s="589"/>
      <c r="EP77" s="589"/>
      <c r="EQ77" s="589"/>
      <c r="ER77" s="589"/>
      <c r="ES77" s="589"/>
      <c r="ET77" s="589"/>
      <c r="EU77" s="589"/>
      <c r="EV77" s="589"/>
      <c r="EW77" s="589"/>
      <c r="EX77" s="589"/>
      <c r="EY77" s="589"/>
      <c r="EZ77" s="589"/>
      <c r="FA77" s="589"/>
      <c r="FB77" s="589"/>
      <c r="FC77" s="589"/>
      <c r="FD77" s="589"/>
      <c r="FE77" s="589"/>
      <c r="FF77" s="589"/>
      <c r="FG77" s="589"/>
      <c r="FH77" s="589"/>
      <c r="FI77" s="589"/>
      <c r="FJ77" s="589"/>
      <c r="FK77" s="589"/>
      <c r="FL77" s="589"/>
      <c r="FM77" s="589"/>
      <c r="FN77" s="589"/>
      <c r="FO77" s="589"/>
      <c r="FP77" s="589"/>
      <c r="FQ77" s="589"/>
      <c r="FR77" s="589"/>
      <c r="FS77" s="589"/>
      <c r="FT77" s="589"/>
      <c r="FU77" s="589"/>
      <c r="FV77" s="589"/>
      <c r="FW77" s="589"/>
      <c r="FX77" s="589"/>
      <c r="FY77" s="589"/>
      <c r="FZ77" s="589"/>
      <c r="GA77" s="589"/>
      <c r="GB77" s="589"/>
      <c r="GC77" s="589"/>
      <c r="GD77" s="589"/>
      <c r="GE77" s="589"/>
      <c r="GF77" s="589"/>
      <c r="GG77" s="589"/>
      <c r="GH77" s="589"/>
      <c r="GI77" s="589"/>
      <c r="GJ77" s="589"/>
      <c r="GK77" s="589"/>
      <c r="GL77" s="589"/>
      <c r="GM77" s="589"/>
      <c r="GN77" s="589"/>
      <c r="GO77" s="589"/>
      <c r="GP77" s="589"/>
      <c r="GQ77" s="589"/>
      <c r="GR77" s="589"/>
      <c r="GS77" s="589"/>
      <c r="GT77" s="589"/>
      <c r="GU77" s="589"/>
      <c r="GV77" s="589"/>
      <c r="GW77" s="589"/>
      <c r="GX77" s="589"/>
      <c r="GY77" s="589"/>
      <c r="GZ77" s="589"/>
      <c r="HA77" s="589"/>
      <c r="HB77" s="589"/>
      <c r="HC77" s="589"/>
      <c r="HD77" s="589"/>
      <c r="HE77" s="589"/>
      <c r="HF77" s="589"/>
      <c r="HG77" s="589"/>
      <c r="HH77" s="589"/>
      <c r="HI77" s="589"/>
      <c r="HJ77" s="589"/>
      <c r="HK77" s="589"/>
      <c r="HL77" s="589"/>
    </row>
    <row r="78" spans="128:220" ht="18.899999999999999" customHeight="1">
      <c r="DX78" s="586" t="s">
        <v>4104</v>
      </c>
      <c r="DY78" s="586"/>
      <c r="DZ78" s="589"/>
      <c r="EA78" s="589"/>
      <c r="EB78" s="589"/>
      <c r="EC78" s="589"/>
      <c r="ED78" s="589"/>
      <c r="EE78" s="589"/>
      <c r="EF78" s="589"/>
      <c r="EG78" s="589"/>
      <c r="EH78" s="589"/>
      <c r="EI78" s="589"/>
      <c r="EJ78" s="589"/>
      <c r="EK78" s="589"/>
      <c r="EL78" s="589"/>
      <c r="EM78" s="589"/>
      <c r="EN78" s="589"/>
      <c r="EO78" s="589"/>
      <c r="EP78" s="589"/>
      <c r="EQ78" s="589"/>
      <c r="ER78" s="589"/>
      <c r="ES78" s="589"/>
      <c r="ET78" s="589"/>
      <c r="EU78" s="589"/>
      <c r="EV78" s="589"/>
      <c r="EW78" s="589"/>
      <c r="EX78" s="589"/>
      <c r="EY78" s="589"/>
      <c r="EZ78" s="589"/>
      <c r="FA78" s="589"/>
      <c r="FB78" s="589"/>
      <c r="FC78" s="589"/>
      <c r="FD78" s="589"/>
      <c r="FE78" s="589"/>
      <c r="FF78" s="589"/>
      <c r="FG78" s="589"/>
      <c r="FH78" s="589"/>
      <c r="FI78" s="589"/>
      <c r="FJ78" s="589"/>
      <c r="FK78" s="589"/>
      <c r="FL78" s="589"/>
      <c r="FM78" s="589"/>
      <c r="FN78" s="589"/>
      <c r="FO78" s="589"/>
      <c r="FP78" s="589"/>
      <c r="FQ78" s="589"/>
      <c r="FR78" s="589"/>
      <c r="FS78" s="589"/>
      <c r="FT78" s="589"/>
      <c r="FU78" s="589"/>
      <c r="FV78" s="589"/>
      <c r="FW78" s="589"/>
      <c r="FX78" s="589"/>
      <c r="FY78" s="589"/>
      <c r="FZ78" s="589"/>
      <c r="GA78" s="589"/>
      <c r="GB78" s="589"/>
      <c r="GC78" s="589"/>
      <c r="GD78" s="589"/>
      <c r="GE78" s="589"/>
      <c r="GF78" s="589"/>
      <c r="GG78" s="589"/>
      <c r="GH78" s="589"/>
      <c r="GI78" s="589"/>
      <c r="GJ78" s="589"/>
      <c r="GK78" s="589"/>
      <c r="GL78" s="589"/>
      <c r="GM78" s="589"/>
      <c r="GN78" s="589"/>
      <c r="GO78" s="589"/>
      <c r="GP78" s="589"/>
      <c r="GQ78" s="589"/>
      <c r="GR78" s="589"/>
      <c r="GS78" s="589"/>
      <c r="GT78" s="589"/>
      <c r="GU78" s="589"/>
      <c r="GV78" s="589"/>
      <c r="GW78" s="589"/>
      <c r="GX78" s="589"/>
      <c r="GY78" s="589"/>
      <c r="GZ78" s="589"/>
      <c r="HA78" s="589"/>
      <c r="HB78" s="589"/>
      <c r="HC78" s="589"/>
      <c r="HD78" s="589"/>
      <c r="HE78" s="589"/>
      <c r="HF78" s="589"/>
      <c r="HG78" s="589"/>
      <c r="HH78" s="589"/>
      <c r="HI78" s="589"/>
      <c r="HJ78" s="589"/>
      <c r="HK78" s="589"/>
      <c r="HL78" s="589"/>
    </row>
    <row r="79" spans="128:220" ht="18.899999999999999" customHeight="1">
      <c r="DX79" s="586" t="s">
        <v>3934</v>
      </c>
      <c r="DY79" s="586"/>
      <c r="DZ79" s="588"/>
      <c r="EA79" s="588"/>
      <c r="EB79" s="588"/>
      <c r="EC79" s="588"/>
      <c r="ED79" s="588"/>
      <c r="EE79" s="588"/>
      <c r="EF79" s="588"/>
      <c r="EG79" s="588"/>
      <c r="EH79" s="588"/>
      <c r="EI79" s="588"/>
      <c r="EJ79" s="588"/>
      <c r="EK79" s="588"/>
      <c r="EL79" s="588"/>
      <c r="EM79" s="588"/>
      <c r="EN79" s="588"/>
      <c r="EO79" s="588"/>
      <c r="EP79" s="588"/>
      <c r="EQ79" s="588"/>
      <c r="ER79" s="588"/>
      <c r="ES79" s="588"/>
      <c r="ET79" s="588"/>
      <c r="EU79" s="588"/>
      <c r="EV79" s="588"/>
      <c r="EW79" s="588"/>
      <c r="EX79" s="588"/>
      <c r="EY79" s="588"/>
      <c r="EZ79" s="588"/>
      <c r="FA79" s="588"/>
      <c r="FB79" s="588"/>
      <c r="FC79" s="588"/>
      <c r="FD79" s="588"/>
      <c r="FE79" s="588"/>
      <c r="FF79" s="588"/>
      <c r="FG79" s="588"/>
      <c r="FH79" s="588"/>
      <c r="FI79" s="588"/>
      <c r="FJ79" s="588"/>
      <c r="FK79" s="588"/>
      <c r="FL79" s="588"/>
      <c r="FM79" s="588"/>
      <c r="FN79" s="588"/>
      <c r="FO79" s="588"/>
      <c r="FP79" s="588"/>
      <c r="FQ79" s="588"/>
      <c r="FR79" s="588"/>
      <c r="FS79" s="588"/>
      <c r="FT79" s="588"/>
      <c r="FU79" s="588"/>
      <c r="FV79" s="588"/>
      <c r="FW79" s="588"/>
      <c r="FX79" s="588"/>
      <c r="FY79" s="588"/>
      <c r="FZ79" s="588"/>
      <c r="GA79" s="588"/>
      <c r="GB79" s="588"/>
      <c r="GC79" s="588"/>
      <c r="GD79" s="588"/>
      <c r="GE79" s="588"/>
      <c r="GF79" s="588"/>
      <c r="GG79" s="588"/>
      <c r="GH79" s="588"/>
      <c r="GI79" s="588"/>
      <c r="GJ79" s="588"/>
      <c r="GK79" s="588"/>
      <c r="GL79" s="588"/>
      <c r="GM79" s="588"/>
      <c r="GN79" s="588"/>
      <c r="GO79" s="588"/>
      <c r="GP79" s="588"/>
      <c r="GQ79" s="588"/>
      <c r="GR79" s="588"/>
      <c r="GS79" s="588"/>
      <c r="GT79" s="588"/>
      <c r="GU79" s="588"/>
      <c r="GV79" s="588"/>
      <c r="GW79" s="588"/>
      <c r="GX79" s="588"/>
      <c r="GY79" s="588"/>
      <c r="GZ79" s="588"/>
      <c r="HA79" s="588"/>
      <c r="HB79" s="588"/>
      <c r="HC79" s="588"/>
      <c r="HD79" s="588"/>
      <c r="HE79" s="588"/>
      <c r="HF79" s="588"/>
      <c r="HG79" s="588"/>
      <c r="HH79" s="588"/>
      <c r="HI79" s="588"/>
      <c r="HJ79" s="588"/>
      <c r="HK79" s="588"/>
      <c r="HL79" s="588"/>
    </row>
    <row r="80" spans="128:220" ht="18.899999999999999" customHeight="1">
      <c r="DX80" s="586" t="s">
        <v>3935</v>
      </c>
      <c r="DY80" s="586"/>
      <c r="DZ80" s="588"/>
      <c r="EA80" s="588"/>
      <c r="EB80" s="588"/>
      <c r="EC80" s="588"/>
      <c r="ED80" s="588"/>
      <c r="EE80" s="588"/>
      <c r="EF80" s="588"/>
      <c r="EG80" s="588"/>
      <c r="EH80" s="588"/>
      <c r="EI80" s="588"/>
      <c r="EJ80" s="588"/>
      <c r="EK80" s="588"/>
      <c r="EL80" s="588"/>
      <c r="EM80" s="588"/>
      <c r="EN80" s="588"/>
      <c r="EO80" s="588"/>
      <c r="EP80" s="588"/>
      <c r="EQ80" s="588"/>
      <c r="ER80" s="588"/>
      <c r="ES80" s="588"/>
      <c r="ET80" s="588"/>
      <c r="EU80" s="588"/>
      <c r="EV80" s="588"/>
      <c r="EW80" s="588"/>
      <c r="EX80" s="588"/>
      <c r="EY80" s="588"/>
      <c r="EZ80" s="588"/>
      <c r="FA80" s="588"/>
      <c r="FB80" s="588"/>
      <c r="FC80" s="588"/>
      <c r="FD80" s="588"/>
      <c r="FE80" s="588"/>
      <c r="FF80" s="588"/>
      <c r="FG80" s="588"/>
      <c r="FH80" s="588"/>
      <c r="FI80" s="588"/>
      <c r="FJ80" s="588"/>
      <c r="FK80" s="588"/>
      <c r="FL80" s="588"/>
      <c r="FM80" s="588"/>
      <c r="FN80" s="588"/>
      <c r="FO80" s="588"/>
      <c r="FP80" s="588"/>
      <c r="FQ80" s="588"/>
      <c r="FR80" s="588"/>
      <c r="FS80" s="588"/>
      <c r="FT80" s="588"/>
      <c r="FU80" s="588"/>
      <c r="FV80" s="588"/>
      <c r="FW80" s="588"/>
      <c r="FX80" s="588"/>
      <c r="FY80" s="588"/>
      <c r="FZ80" s="588"/>
      <c r="GA80" s="588"/>
      <c r="GB80" s="588"/>
      <c r="GC80" s="588"/>
      <c r="GD80" s="588"/>
      <c r="GE80" s="588"/>
      <c r="GF80" s="588"/>
      <c r="GG80" s="588"/>
      <c r="GH80" s="588"/>
      <c r="GI80" s="588"/>
      <c r="GJ80" s="588"/>
      <c r="GK80" s="588"/>
      <c r="GL80" s="588"/>
      <c r="GM80" s="588"/>
      <c r="GN80" s="588"/>
      <c r="GO80" s="588"/>
      <c r="GP80" s="588"/>
      <c r="GQ80" s="588"/>
      <c r="GR80" s="588"/>
      <c r="GS80" s="588"/>
      <c r="GT80" s="588"/>
      <c r="GU80" s="588"/>
      <c r="GV80" s="588"/>
      <c r="GW80" s="588"/>
      <c r="GX80" s="588"/>
      <c r="GY80" s="588"/>
      <c r="GZ80" s="588"/>
      <c r="HA80" s="588"/>
      <c r="HB80" s="588"/>
      <c r="HC80" s="588"/>
      <c r="HD80" s="588"/>
      <c r="HE80" s="588"/>
      <c r="HF80" s="588"/>
      <c r="HG80" s="588"/>
      <c r="HH80" s="588"/>
      <c r="HI80" s="588"/>
      <c r="HJ80" s="588"/>
      <c r="HK80" s="588"/>
      <c r="HL80" s="588"/>
    </row>
    <row r="81" spans="128:220" ht="18.899999999999999" customHeight="1">
      <c r="DX81" s="586" t="s">
        <v>3936</v>
      </c>
      <c r="DY81" s="586"/>
      <c r="DZ81" s="588"/>
      <c r="EA81" s="588"/>
      <c r="EB81" s="588"/>
      <c r="EC81" s="588"/>
      <c r="ED81" s="588"/>
      <c r="EE81" s="588"/>
      <c r="EF81" s="588"/>
      <c r="EG81" s="588"/>
      <c r="EH81" s="588"/>
      <c r="EI81" s="588"/>
      <c r="EJ81" s="588"/>
      <c r="EK81" s="588"/>
      <c r="EL81" s="588"/>
      <c r="EM81" s="588"/>
      <c r="EN81" s="588"/>
      <c r="EO81" s="588"/>
      <c r="EP81" s="588"/>
      <c r="EQ81" s="588"/>
      <c r="ER81" s="588"/>
      <c r="ES81" s="588"/>
      <c r="ET81" s="588"/>
      <c r="EU81" s="588"/>
      <c r="EV81" s="588"/>
      <c r="EW81" s="588"/>
      <c r="EX81" s="588"/>
      <c r="EY81" s="588"/>
      <c r="EZ81" s="588"/>
      <c r="FA81" s="588"/>
      <c r="FB81" s="588"/>
      <c r="FC81" s="588"/>
      <c r="FD81" s="588"/>
      <c r="FE81" s="588"/>
      <c r="FF81" s="588"/>
      <c r="FG81" s="588"/>
      <c r="FH81" s="588"/>
      <c r="FI81" s="588"/>
      <c r="FJ81" s="588"/>
      <c r="FK81" s="588"/>
      <c r="FL81" s="588"/>
      <c r="FM81" s="588"/>
      <c r="FN81" s="588"/>
      <c r="FO81" s="588"/>
      <c r="FP81" s="588"/>
      <c r="FQ81" s="588"/>
      <c r="FR81" s="588"/>
      <c r="FS81" s="588"/>
      <c r="FT81" s="588"/>
      <c r="FU81" s="588"/>
      <c r="FV81" s="588"/>
      <c r="FW81" s="588"/>
      <c r="FX81" s="588"/>
      <c r="FY81" s="588"/>
      <c r="FZ81" s="588"/>
      <c r="GA81" s="588"/>
      <c r="GB81" s="588"/>
      <c r="GC81" s="588"/>
      <c r="GD81" s="588"/>
      <c r="GE81" s="588"/>
      <c r="GF81" s="588"/>
      <c r="GG81" s="588"/>
      <c r="GH81" s="588"/>
      <c r="GI81" s="588"/>
      <c r="GJ81" s="588"/>
      <c r="GK81" s="588"/>
      <c r="GL81" s="588"/>
      <c r="GM81" s="588"/>
      <c r="GN81" s="588"/>
      <c r="GO81" s="588"/>
      <c r="GP81" s="588"/>
      <c r="GQ81" s="588"/>
      <c r="GR81" s="588"/>
      <c r="GS81" s="588"/>
      <c r="GT81" s="588"/>
      <c r="GU81" s="588"/>
      <c r="GV81" s="588"/>
      <c r="GW81" s="588"/>
      <c r="GX81" s="588"/>
      <c r="GY81" s="588"/>
      <c r="GZ81" s="588"/>
      <c r="HA81" s="588"/>
      <c r="HB81" s="588"/>
      <c r="HC81" s="588"/>
      <c r="HD81" s="588"/>
      <c r="HE81" s="588"/>
      <c r="HF81" s="588"/>
      <c r="HG81" s="588"/>
      <c r="HH81" s="588"/>
      <c r="HI81" s="588"/>
      <c r="HJ81" s="588"/>
      <c r="HK81" s="588"/>
      <c r="HL81" s="588"/>
    </row>
    <row r="82" spans="128:220" ht="18.899999999999999" customHeight="1">
      <c r="DX82" s="586" t="s">
        <v>2472</v>
      </c>
      <c r="DY82" s="586"/>
      <c r="DZ82" s="588"/>
      <c r="EA82" s="588"/>
      <c r="EB82" s="588"/>
      <c r="EC82" s="588"/>
      <c r="ED82" s="588"/>
      <c r="EE82" s="588"/>
      <c r="EF82" s="588"/>
      <c r="EG82" s="588"/>
      <c r="EH82" s="588"/>
      <c r="EI82" s="588"/>
      <c r="EJ82" s="588"/>
      <c r="EK82" s="588"/>
      <c r="EL82" s="588"/>
      <c r="EM82" s="588"/>
      <c r="EN82" s="588"/>
      <c r="EO82" s="588"/>
      <c r="EP82" s="588"/>
      <c r="EQ82" s="588"/>
      <c r="ER82" s="588"/>
      <c r="ES82" s="588"/>
      <c r="ET82" s="588"/>
      <c r="EU82" s="588"/>
      <c r="EV82" s="588"/>
      <c r="EW82" s="588"/>
      <c r="EX82" s="588"/>
      <c r="EY82" s="588"/>
      <c r="EZ82" s="588"/>
      <c r="FA82" s="588"/>
      <c r="FB82" s="588"/>
      <c r="FC82" s="588"/>
      <c r="FD82" s="588"/>
      <c r="FE82" s="588"/>
      <c r="FF82" s="588"/>
      <c r="FG82" s="588"/>
      <c r="FH82" s="588"/>
      <c r="FI82" s="588"/>
      <c r="FJ82" s="588"/>
      <c r="FK82" s="588"/>
      <c r="FL82" s="588"/>
      <c r="FM82" s="588"/>
      <c r="FN82" s="588"/>
      <c r="FO82" s="588"/>
      <c r="FP82" s="588"/>
      <c r="FQ82" s="588"/>
      <c r="FR82" s="588"/>
      <c r="FS82" s="588"/>
      <c r="FT82" s="588"/>
      <c r="FU82" s="588"/>
      <c r="FV82" s="588"/>
      <c r="FW82" s="588"/>
      <c r="FX82" s="588"/>
      <c r="FY82" s="588"/>
      <c r="FZ82" s="588"/>
      <c r="GA82" s="588"/>
      <c r="GB82" s="588"/>
      <c r="GC82" s="588"/>
      <c r="GD82" s="588"/>
      <c r="GE82" s="588"/>
      <c r="GF82" s="588"/>
      <c r="GG82" s="588"/>
      <c r="GH82" s="588"/>
      <c r="GI82" s="588"/>
      <c r="GJ82" s="588"/>
      <c r="GK82" s="588"/>
      <c r="GL82" s="588"/>
      <c r="GM82" s="588"/>
      <c r="GN82" s="588"/>
      <c r="GO82" s="588"/>
      <c r="GP82" s="588"/>
      <c r="GQ82" s="588"/>
      <c r="GR82" s="588"/>
      <c r="GS82" s="588"/>
      <c r="GT82" s="588"/>
      <c r="GU82" s="588"/>
      <c r="GV82" s="588"/>
      <c r="GW82" s="588"/>
      <c r="GX82" s="588"/>
      <c r="GY82" s="588"/>
      <c r="GZ82" s="588"/>
      <c r="HA82" s="588"/>
      <c r="HB82" s="588"/>
      <c r="HC82" s="588"/>
      <c r="HD82" s="588"/>
      <c r="HE82" s="588"/>
      <c r="HF82" s="588"/>
      <c r="HG82" s="588"/>
      <c r="HH82" s="588"/>
      <c r="HI82" s="588"/>
      <c r="HJ82" s="588"/>
      <c r="HK82" s="588"/>
      <c r="HL82" s="588"/>
    </row>
    <row r="83" spans="128:220" ht="18.899999999999999" customHeight="1">
      <c r="DX83" s="586" t="s">
        <v>3937</v>
      </c>
      <c r="DY83" s="586"/>
      <c r="DZ83" s="587"/>
      <c r="EA83" s="587"/>
      <c r="EB83" s="587"/>
      <c r="EC83" s="587"/>
      <c r="ED83" s="587"/>
      <c r="EE83" s="587"/>
      <c r="EF83" s="587"/>
      <c r="EG83" s="587"/>
      <c r="EH83" s="587"/>
      <c r="EI83" s="587"/>
      <c r="EJ83" s="587"/>
      <c r="EK83" s="587"/>
      <c r="EL83" s="587"/>
      <c r="EM83" s="587"/>
      <c r="EN83" s="587"/>
      <c r="EO83" s="587"/>
      <c r="EP83" s="587"/>
      <c r="EQ83" s="587"/>
      <c r="ER83" s="587"/>
      <c r="ES83" s="587"/>
      <c r="ET83" s="587"/>
      <c r="EU83" s="587"/>
      <c r="EV83" s="587"/>
      <c r="EW83" s="587"/>
      <c r="EX83" s="587"/>
      <c r="EY83" s="587"/>
      <c r="EZ83" s="587"/>
      <c r="FA83" s="587"/>
      <c r="FB83" s="587"/>
      <c r="FC83" s="587"/>
      <c r="FD83" s="587"/>
      <c r="FE83" s="587"/>
      <c r="FF83" s="587"/>
      <c r="FG83" s="587"/>
      <c r="FH83" s="587"/>
      <c r="FI83" s="587"/>
      <c r="FJ83" s="587"/>
      <c r="FK83" s="587"/>
      <c r="FL83" s="587"/>
      <c r="FM83" s="587"/>
      <c r="FN83" s="587"/>
      <c r="FO83" s="587"/>
      <c r="FP83" s="587"/>
      <c r="FQ83" s="587"/>
      <c r="FR83" s="587"/>
      <c r="FS83" s="587"/>
      <c r="FT83" s="587"/>
      <c r="FU83" s="587"/>
      <c r="FV83" s="587"/>
      <c r="FW83" s="587"/>
      <c r="FX83" s="587"/>
      <c r="FY83" s="587"/>
      <c r="FZ83" s="587"/>
      <c r="GA83" s="587"/>
      <c r="GB83" s="587"/>
      <c r="GC83" s="587"/>
      <c r="GD83" s="587"/>
      <c r="GE83" s="587"/>
      <c r="GF83" s="587"/>
      <c r="GG83" s="587"/>
      <c r="GH83" s="587"/>
      <c r="GI83" s="587"/>
      <c r="GJ83" s="587"/>
      <c r="GK83" s="587"/>
      <c r="GL83" s="587"/>
      <c r="GM83" s="587"/>
      <c r="GN83" s="587"/>
      <c r="GO83" s="587"/>
      <c r="GP83" s="587"/>
      <c r="GQ83" s="587"/>
      <c r="GR83" s="587"/>
      <c r="GS83" s="587"/>
      <c r="GT83" s="587"/>
      <c r="GU83" s="587"/>
      <c r="GV83" s="587"/>
      <c r="GW83" s="587"/>
      <c r="GX83" s="587"/>
      <c r="GY83" s="587"/>
      <c r="GZ83" s="587"/>
      <c r="HA83" s="587"/>
      <c r="HB83" s="587"/>
      <c r="HC83" s="587"/>
      <c r="HD83" s="587"/>
      <c r="HE83" s="587"/>
      <c r="HF83" s="587"/>
      <c r="HG83" s="587"/>
      <c r="HH83" s="587"/>
      <c r="HI83" s="587"/>
      <c r="HJ83" s="587"/>
      <c r="HK83" s="587"/>
      <c r="HL83" s="587"/>
    </row>
    <row r="84" spans="128:220" ht="18.899999999999999" customHeight="1">
      <c r="DX84" s="586" t="s">
        <v>2504</v>
      </c>
      <c r="DY84" s="586"/>
      <c r="DZ84" s="587"/>
      <c r="EA84" s="587"/>
      <c r="EB84" s="587"/>
      <c r="EC84" s="587"/>
      <c r="ED84" s="587"/>
      <c r="EE84" s="587"/>
      <c r="EF84" s="587"/>
      <c r="EG84" s="587"/>
      <c r="EH84" s="587"/>
      <c r="EI84" s="587"/>
      <c r="EJ84" s="587"/>
      <c r="EK84" s="587"/>
      <c r="EL84" s="587"/>
      <c r="EM84" s="587"/>
      <c r="EN84" s="587"/>
      <c r="EO84" s="587"/>
      <c r="EP84" s="587"/>
      <c r="EQ84" s="587"/>
      <c r="ER84" s="587"/>
      <c r="ES84" s="587"/>
      <c r="ET84" s="587"/>
      <c r="EU84" s="587"/>
      <c r="EV84" s="587"/>
      <c r="EW84" s="587"/>
      <c r="EX84" s="587"/>
      <c r="EY84" s="587"/>
      <c r="EZ84" s="587"/>
      <c r="FA84" s="587"/>
      <c r="FB84" s="587"/>
      <c r="FC84" s="587"/>
      <c r="FD84" s="587"/>
      <c r="FE84" s="587"/>
      <c r="FF84" s="587"/>
      <c r="FG84" s="587"/>
      <c r="FH84" s="587"/>
      <c r="FI84" s="587"/>
      <c r="FJ84" s="587"/>
      <c r="FK84" s="587"/>
      <c r="FL84" s="587"/>
      <c r="FM84" s="587"/>
      <c r="FN84" s="587"/>
      <c r="FO84" s="587"/>
      <c r="FP84" s="587"/>
      <c r="FQ84" s="587"/>
      <c r="FR84" s="587"/>
      <c r="FS84" s="587"/>
      <c r="FT84" s="587"/>
      <c r="FU84" s="587"/>
      <c r="FV84" s="587"/>
      <c r="FW84" s="587"/>
      <c r="FX84" s="587"/>
      <c r="FY84" s="587"/>
      <c r="FZ84" s="587"/>
      <c r="GA84" s="587"/>
      <c r="GB84" s="587"/>
      <c r="GC84" s="587"/>
      <c r="GD84" s="587"/>
      <c r="GE84" s="587"/>
      <c r="GF84" s="587"/>
      <c r="GG84" s="587"/>
      <c r="GH84" s="587"/>
      <c r="GI84" s="587"/>
      <c r="GJ84" s="587"/>
      <c r="GK84" s="587"/>
      <c r="GL84" s="587"/>
      <c r="GM84" s="587"/>
      <c r="GN84" s="587"/>
      <c r="GO84" s="587"/>
      <c r="GP84" s="587"/>
      <c r="GQ84" s="587"/>
      <c r="GR84" s="587"/>
      <c r="GS84" s="587"/>
      <c r="GT84" s="587"/>
      <c r="GU84" s="587"/>
      <c r="GV84" s="587"/>
      <c r="GW84" s="587"/>
      <c r="GX84" s="587"/>
      <c r="GY84" s="587"/>
      <c r="GZ84" s="587"/>
      <c r="HA84" s="587"/>
      <c r="HB84" s="587"/>
      <c r="HC84" s="587"/>
      <c r="HD84" s="587"/>
      <c r="HE84" s="587"/>
      <c r="HF84" s="587"/>
      <c r="HG84" s="587"/>
      <c r="HH84" s="587"/>
      <c r="HI84" s="587"/>
      <c r="HJ84" s="587"/>
      <c r="HK84" s="587"/>
      <c r="HL84" s="587"/>
    </row>
    <row r="85" spans="128:220" ht="18.899999999999999" customHeight="1">
      <c r="DX85" s="586" t="s">
        <v>3080</v>
      </c>
      <c r="DY85" s="586"/>
      <c r="DZ85" s="587"/>
      <c r="EA85" s="587"/>
      <c r="EB85" s="587"/>
      <c r="EC85" s="587"/>
      <c r="ED85" s="587"/>
      <c r="EE85" s="587"/>
      <c r="EF85" s="587"/>
      <c r="EG85" s="587"/>
      <c r="EH85" s="587"/>
      <c r="EI85" s="587"/>
      <c r="EJ85" s="587"/>
      <c r="EK85" s="587"/>
      <c r="EL85" s="587"/>
      <c r="EM85" s="587"/>
      <c r="EN85" s="587"/>
      <c r="EO85" s="587"/>
      <c r="EP85" s="587"/>
      <c r="EQ85" s="587"/>
      <c r="ER85" s="587"/>
      <c r="ES85" s="587"/>
      <c r="ET85" s="587"/>
      <c r="EU85" s="587"/>
      <c r="EV85" s="587"/>
      <c r="EW85" s="587"/>
      <c r="EX85" s="587"/>
      <c r="EY85" s="587"/>
      <c r="EZ85" s="587"/>
      <c r="FA85" s="587"/>
      <c r="FB85" s="587"/>
      <c r="FC85" s="587"/>
      <c r="FD85" s="587"/>
      <c r="FE85" s="587"/>
      <c r="FF85" s="587"/>
      <c r="FG85" s="587"/>
      <c r="FH85" s="587"/>
      <c r="FI85" s="587"/>
      <c r="FJ85" s="587"/>
      <c r="FK85" s="587"/>
      <c r="FL85" s="587"/>
      <c r="FM85" s="587"/>
      <c r="FN85" s="587"/>
      <c r="FO85" s="587"/>
      <c r="FP85" s="587"/>
      <c r="FQ85" s="587"/>
      <c r="FR85" s="587"/>
      <c r="FS85" s="587"/>
      <c r="FT85" s="587"/>
      <c r="FU85" s="587"/>
      <c r="FV85" s="587"/>
      <c r="FW85" s="587"/>
      <c r="FX85" s="587"/>
      <c r="FY85" s="587"/>
      <c r="FZ85" s="587"/>
      <c r="GA85" s="587"/>
      <c r="GB85" s="587"/>
      <c r="GC85" s="587"/>
      <c r="GD85" s="587"/>
      <c r="GE85" s="587"/>
      <c r="GF85" s="587"/>
      <c r="GG85" s="587"/>
      <c r="GH85" s="587"/>
      <c r="GI85" s="587"/>
      <c r="GJ85" s="587"/>
      <c r="GK85" s="587"/>
      <c r="GL85" s="587"/>
      <c r="GM85" s="587"/>
      <c r="GN85" s="587"/>
      <c r="GO85" s="587"/>
      <c r="GP85" s="587"/>
      <c r="GQ85" s="587"/>
      <c r="GR85" s="587"/>
      <c r="GS85" s="587"/>
      <c r="GT85" s="587"/>
      <c r="GU85" s="587"/>
      <c r="GV85" s="587"/>
      <c r="GW85" s="587"/>
      <c r="GX85" s="587"/>
      <c r="GY85" s="587"/>
      <c r="GZ85" s="587"/>
      <c r="HA85" s="587"/>
      <c r="HB85" s="587"/>
      <c r="HC85" s="587"/>
      <c r="HD85" s="587"/>
      <c r="HE85" s="587"/>
      <c r="HF85" s="587"/>
      <c r="HG85" s="587"/>
      <c r="HH85" s="587"/>
      <c r="HI85" s="587"/>
      <c r="HJ85" s="587"/>
      <c r="HK85" s="587"/>
      <c r="HL85" s="587"/>
    </row>
    <row r="86" spans="128:220" ht="18.899999999999999" customHeight="1">
      <c r="DX86" s="586" t="s">
        <v>3938</v>
      </c>
      <c r="DY86" s="586"/>
      <c r="DZ86" s="587"/>
      <c r="EA86" s="587"/>
      <c r="EB86" s="587"/>
      <c r="EC86" s="587"/>
      <c r="ED86" s="587"/>
      <c r="EE86" s="587"/>
      <c r="EF86" s="587"/>
      <c r="EG86" s="587"/>
      <c r="EH86" s="587"/>
      <c r="EI86" s="587"/>
      <c r="EJ86" s="587"/>
      <c r="EK86" s="587"/>
      <c r="EL86" s="587"/>
      <c r="EM86" s="587"/>
      <c r="EN86" s="587"/>
      <c r="EO86" s="587"/>
      <c r="EP86" s="587"/>
      <c r="EQ86" s="587"/>
      <c r="ER86" s="587"/>
      <c r="ES86" s="587"/>
      <c r="ET86" s="587"/>
      <c r="EU86" s="587"/>
      <c r="EV86" s="587"/>
      <c r="EW86" s="587"/>
      <c r="EX86" s="587"/>
      <c r="EY86" s="587"/>
      <c r="EZ86" s="587"/>
      <c r="FA86" s="587"/>
      <c r="FB86" s="587"/>
      <c r="FC86" s="587"/>
      <c r="FD86" s="587"/>
      <c r="FE86" s="587"/>
      <c r="FF86" s="587"/>
      <c r="FG86" s="587"/>
      <c r="FH86" s="587"/>
      <c r="FI86" s="587"/>
      <c r="FJ86" s="587"/>
      <c r="FK86" s="587"/>
      <c r="FL86" s="587"/>
      <c r="FM86" s="587"/>
      <c r="FN86" s="587"/>
      <c r="FO86" s="587"/>
      <c r="FP86" s="587"/>
      <c r="FQ86" s="587"/>
      <c r="FR86" s="587"/>
      <c r="FS86" s="587"/>
      <c r="FT86" s="587"/>
      <c r="FU86" s="587"/>
      <c r="FV86" s="587"/>
      <c r="FW86" s="587"/>
      <c r="FX86" s="587"/>
      <c r="FY86" s="587"/>
      <c r="FZ86" s="587"/>
      <c r="GA86" s="587"/>
      <c r="GB86" s="587"/>
      <c r="GC86" s="587"/>
      <c r="GD86" s="587"/>
      <c r="GE86" s="587"/>
      <c r="GF86" s="587"/>
      <c r="GG86" s="587"/>
      <c r="GH86" s="587"/>
      <c r="GI86" s="587"/>
      <c r="GJ86" s="587"/>
      <c r="GK86" s="587"/>
      <c r="GL86" s="587"/>
      <c r="GM86" s="587"/>
      <c r="GN86" s="587"/>
      <c r="GO86" s="587"/>
      <c r="GP86" s="587"/>
      <c r="GQ86" s="587"/>
      <c r="GR86" s="587"/>
      <c r="GS86" s="587"/>
      <c r="GT86" s="587"/>
      <c r="GU86" s="587"/>
      <c r="GV86" s="587"/>
      <c r="GW86" s="587"/>
      <c r="GX86" s="587"/>
      <c r="GY86" s="587"/>
      <c r="GZ86" s="587"/>
      <c r="HA86" s="587"/>
      <c r="HB86" s="587"/>
      <c r="HC86" s="587"/>
      <c r="HD86" s="587"/>
      <c r="HE86" s="587"/>
      <c r="HF86" s="587"/>
      <c r="HG86" s="587"/>
      <c r="HH86" s="587"/>
      <c r="HI86" s="587"/>
      <c r="HJ86" s="587"/>
      <c r="HK86" s="587"/>
      <c r="HL86" s="587"/>
    </row>
    <row r="87" spans="128:220" ht="18.899999999999999" customHeight="1">
      <c r="DX87" s="586" t="s">
        <v>3939</v>
      </c>
      <c r="DY87" s="586"/>
      <c r="DZ87" s="587"/>
      <c r="EA87" s="587"/>
      <c r="EB87" s="587"/>
      <c r="EC87" s="587"/>
      <c r="ED87" s="587"/>
      <c r="EE87" s="587"/>
      <c r="EF87" s="587"/>
      <c r="EG87" s="587"/>
      <c r="EH87" s="587"/>
      <c r="EI87" s="587"/>
      <c r="EJ87" s="587"/>
      <c r="EK87" s="587"/>
      <c r="EL87" s="587"/>
      <c r="EM87" s="587"/>
      <c r="EN87" s="587"/>
      <c r="EO87" s="587"/>
      <c r="EP87" s="587"/>
      <c r="EQ87" s="587"/>
      <c r="ER87" s="587"/>
      <c r="ES87" s="587"/>
      <c r="ET87" s="587"/>
      <c r="EU87" s="587"/>
      <c r="EV87" s="587"/>
      <c r="EW87" s="587"/>
      <c r="EX87" s="587"/>
      <c r="EY87" s="587"/>
      <c r="EZ87" s="587"/>
      <c r="FA87" s="587"/>
      <c r="FB87" s="587"/>
      <c r="FC87" s="587"/>
      <c r="FD87" s="587"/>
      <c r="FE87" s="587"/>
      <c r="FF87" s="587"/>
      <c r="FG87" s="587"/>
      <c r="FH87" s="587"/>
      <c r="FI87" s="587"/>
      <c r="FJ87" s="587"/>
      <c r="FK87" s="587"/>
      <c r="FL87" s="587"/>
      <c r="FM87" s="587"/>
      <c r="FN87" s="587"/>
      <c r="FO87" s="587"/>
      <c r="FP87" s="587"/>
      <c r="FQ87" s="587"/>
      <c r="FR87" s="587"/>
      <c r="FS87" s="587"/>
      <c r="FT87" s="587"/>
      <c r="FU87" s="587"/>
      <c r="FV87" s="587"/>
      <c r="FW87" s="587"/>
      <c r="FX87" s="587"/>
      <c r="FY87" s="587"/>
      <c r="FZ87" s="587"/>
      <c r="GA87" s="587"/>
      <c r="GB87" s="587"/>
      <c r="GC87" s="587"/>
      <c r="GD87" s="587"/>
      <c r="GE87" s="587"/>
      <c r="GF87" s="587"/>
      <c r="GG87" s="587"/>
      <c r="GH87" s="587"/>
      <c r="GI87" s="587"/>
      <c r="GJ87" s="587"/>
      <c r="GK87" s="587"/>
      <c r="GL87" s="587"/>
      <c r="GM87" s="587"/>
      <c r="GN87" s="587"/>
      <c r="GO87" s="587"/>
      <c r="GP87" s="587"/>
      <c r="GQ87" s="587"/>
      <c r="GR87" s="587"/>
      <c r="GS87" s="587"/>
      <c r="GT87" s="587"/>
      <c r="GU87" s="587"/>
      <c r="GV87" s="587"/>
      <c r="GW87" s="587"/>
      <c r="GX87" s="587"/>
      <c r="GY87" s="587"/>
      <c r="GZ87" s="587"/>
      <c r="HA87" s="587"/>
      <c r="HB87" s="587"/>
      <c r="HC87" s="587"/>
      <c r="HD87" s="587"/>
      <c r="HE87" s="587"/>
      <c r="HF87" s="587"/>
      <c r="HG87" s="587"/>
      <c r="HH87" s="587"/>
      <c r="HI87" s="587"/>
      <c r="HJ87" s="587"/>
      <c r="HK87" s="587"/>
      <c r="HL87" s="587"/>
    </row>
    <row r="88" spans="128:220" ht="18.899999999999999" customHeight="1">
      <c r="DX88" s="586"/>
      <c r="DY88" s="586"/>
    </row>
  </sheetData>
  <mergeCells count="58">
    <mergeCell ref="FJ4:FJ5"/>
    <mergeCell ref="FK4:FK5"/>
    <mergeCell ref="FI4:FI5"/>
    <mergeCell ref="FH4:FH5"/>
    <mergeCell ref="CH4:CH5"/>
    <mergeCell ref="CI4:CI5"/>
    <mergeCell ref="CV4:CV5"/>
    <mergeCell ref="EX4:EX5"/>
    <mergeCell ref="EW4:EW5"/>
    <mergeCell ref="FF4:FF5"/>
    <mergeCell ref="FG4:FG5"/>
    <mergeCell ref="FD4:FD5"/>
    <mergeCell ref="FE4:FE5"/>
    <mergeCell ref="T4:T5"/>
    <mergeCell ref="AC4:AC5"/>
    <mergeCell ref="AH4:AH5"/>
    <mergeCell ref="DA4:DU4"/>
    <mergeCell ref="EA4:EE4"/>
    <mergeCell ref="DV4:DZ4"/>
    <mergeCell ref="AI4:AI5"/>
    <mergeCell ref="A2:GG2"/>
    <mergeCell ref="BO4:BW4"/>
    <mergeCell ref="AN4:BN4"/>
    <mergeCell ref="BX4:CG4"/>
    <mergeCell ref="CQ4:CT4"/>
    <mergeCell ref="A4:A5"/>
    <mergeCell ref="C4:C5"/>
    <mergeCell ref="AG4:AG5"/>
    <mergeCell ref="CO4:CO5"/>
    <mergeCell ref="CN4:CN5"/>
    <mergeCell ref="EF4:EJ4"/>
    <mergeCell ref="CJ4:CJ5"/>
    <mergeCell ref="CM4:CM5"/>
    <mergeCell ref="B4:B5"/>
    <mergeCell ref="AJ4:AM4"/>
    <mergeCell ref="ET4:ET5"/>
    <mergeCell ref="A21:B21"/>
    <mergeCell ref="A16:B16"/>
    <mergeCell ref="A17:B17"/>
    <mergeCell ref="A18:B18"/>
    <mergeCell ref="A19:B19"/>
    <mergeCell ref="A20:B20"/>
    <mergeCell ref="N4:N5"/>
    <mergeCell ref="GG4:GG5"/>
    <mergeCell ref="CK4:CK5"/>
    <mergeCell ref="CL4:CL5"/>
    <mergeCell ref="EK4:EL4"/>
    <mergeCell ref="CU4:CU5"/>
    <mergeCell ref="CW4:CW5"/>
    <mergeCell ref="CX4:CX5"/>
    <mergeCell ref="CY4:CY5"/>
    <mergeCell ref="CZ4:CZ5"/>
    <mergeCell ref="EV4:EV5"/>
    <mergeCell ref="EZ4:EZ5"/>
    <mergeCell ref="FA4:FA5"/>
    <mergeCell ref="FB4:FB5"/>
    <mergeCell ref="FC4:FC5"/>
    <mergeCell ref="FL4:FL5"/>
  </mergeCells>
  <phoneticPr fontId="0" type="noConversion"/>
  <printOptions horizontalCentered="1"/>
  <pageMargins left="0.19685039370078741" right="0.19685039370078741" top="0.59055118110236227" bottom="0.59055118110236227" header="0.27559055118110237" footer="0.31496062992125984"/>
  <pageSetup paperSize="9" scale="85" orientation="landscape" blackAndWhite="1" useFirstPageNumber="1" r:id="rId1"/>
  <headerFooter alignWithMargins="0">
    <oddFooter>&amp;C&amp;A&amp;RPage&amp;P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Q30"/>
  <sheetViews>
    <sheetView showGridLines="0" showZeros="0" topLeftCell="A3" zoomScale="70" zoomScaleNormal="70" workbookViewId="0">
      <pane xSplit="4" ySplit="3" topLeftCell="E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10.5546875" defaultRowHeight="18.899999999999999" customHeight="1"/>
  <cols>
    <col min="1" max="2" width="17" style="428" customWidth="1"/>
    <col min="3" max="3" width="10" style="428" customWidth="1"/>
    <col min="4" max="4" width="10" style="410" customWidth="1"/>
    <col min="5" max="24" width="7.6640625" style="410" customWidth="1"/>
    <col min="25" max="25" width="5.6640625" style="410" customWidth="1"/>
    <col min="26" max="26" width="7.88671875" style="410" customWidth="1"/>
    <col min="27" max="34" width="7.6640625" style="410" customWidth="1"/>
    <col min="35" max="35" width="8.109375" style="410" customWidth="1"/>
    <col min="36" max="36" width="5.5546875" style="410" customWidth="1"/>
    <col min="37" max="37" width="6.6640625" style="410" customWidth="1"/>
    <col min="38" max="38" width="6" style="410" customWidth="1"/>
    <col min="39" max="47" width="5.6640625" style="410" customWidth="1"/>
    <col min="48" max="102" width="4.6640625" style="410" customWidth="1"/>
    <col min="103" max="103" width="5.5546875" style="410" customWidth="1"/>
    <col min="104" max="115" width="4.6640625" style="410" customWidth="1"/>
    <col min="116" max="116" width="6.44140625" style="410" customWidth="1"/>
    <col min="117" max="124" width="4.6640625" style="410" customWidth="1"/>
    <col min="125" max="125" width="5.88671875" style="410" customWidth="1"/>
    <col min="126" max="126" width="3.88671875" style="410" customWidth="1"/>
    <col min="127" max="127" width="4.6640625" style="410" customWidth="1"/>
    <col min="128" max="128" width="4.44140625" style="410" customWidth="1"/>
    <col min="129" max="129" width="6" style="410" customWidth="1"/>
    <col min="130" max="130" width="5.88671875" style="410" customWidth="1"/>
    <col min="131" max="131" width="3.88671875" style="410" customWidth="1"/>
    <col min="132" max="132" width="4.88671875" style="410" customWidth="1"/>
    <col min="133" max="133" width="4.44140625" style="410" customWidth="1"/>
    <col min="134" max="134" width="5.44140625" style="410" customWidth="1"/>
    <col min="135" max="140" width="3.88671875" style="410" customWidth="1"/>
    <col min="141" max="145" width="4.6640625" style="410" customWidth="1"/>
    <col min="146" max="146" width="6.44140625" style="410" customWidth="1"/>
    <col min="147" max="150" width="4.6640625" style="410" customWidth="1"/>
    <col min="151" max="151" width="5.5546875" style="410" customWidth="1"/>
    <col min="152" max="155" width="4.6640625" style="410" customWidth="1"/>
    <col min="156" max="157" width="4.88671875" style="410" customWidth="1"/>
    <col min="158" max="158" width="6.6640625" style="410" customWidth="1"/>
    <col min="159" max="159" width="4.6640625" style="410" customWidth="1"/>
    <col min="160" max="160" width="6.33203125" style="410" customWidth="1"/>
    <col min="161" max="163" width="4.6640625" style="410" customWidth="1"/>
    <col min="164" max="164" width="5.6640625" style="410" customWidth="1"/>
    <col min="165" max="166" width="4.6640625" style="410" customWidth="1"/>
    <col min="167" max="167" width="5.88671875" style="410" customWidth="1"/>
    <col min="168" max="171" width="4.6640625" style="410" customWidth="1"/>
    <col min="172" max="172" width="5.6640625" style="410" customWidth="1"/>
    <col min="173" max="173" width="4.6640625" style="410" customWidth="1"/>
    <col min="174" max="174" width="6.88671875" style="410" customWidth="1"/>
    <col min="175" max="175" width="7.33203125" style="410" customWidth="1"/>
    <col min="176" max="176" width="8" style="410" customWidth="1"/>
    <col min="177" max="177" width="5.88671875" style="410" customWidth="1"/>
    <col min="178" max="178" width="4.6640625" style="410" customWidth="1"/>
    <col min="179" max="179" width="7" style="410" customWidth="1"/>
    <col min="180" max="180" width="6" style="410" customWidth="1"/>
    <col min="181" max="181" width="6.109375" style="410" customWidth="1"/>
    <col min="182" max="182" width="8" style="410" customWidth="1"/>
    <col min="183" max="183" width="7.44140625" style="410" customWidth="1"/>
    <col min="184" max="184" width="8.33203125" style="410" customWidth="1"/>
    <col min="185" max="185" width="7.6640625" style="410" customWidth="1"/>
    <col min="186" max="186" width="4.6640625" style="410" customWidth="1"/>
    <col min="187" max="187" width="10.44140625" style="410" customWidth="1"/>
    <col min="188" max="188" width="4.6640625" style="410" customWidth="1"/>
    <col min="189" max="189" width="6.44140625" style="410" customWidth="1"/>
    <col min="190" max="190" width="7.6640625" style="410" customWidth="1"/>
    <col min="191" max="191" width="8.33203125" style="410" customWidth="1"/>
    <col min="192" max="192" width="5.44140625" style="410" customWidth="1"/>
    <col min="193" max="195" width="4.6640625" style="410" customWidth="1"/>
    <col min="196" max="196" width="6" style="410" customWidth="1"/>
    <col min="197" max="198" width="4.6640625" style="410" customWidth="1"/>
    <col min="199" max="199" width="5.88671875" style="410" customWidth="1"/>
    <col min="200" max="200" width="4.6640625" style="410" customWidth="1"/>
    <col min="201" max="201" width="6.33203125" style="410" customWidth="1"/>
    <col min="202" max="202" width="8.88671875" style="410" customWidth="1"/>
    <col min="203" max="204" width="4.6640625" style="410" customWidth="1"/>
    <col min="205" max="205" width="6.33203125" style="410" customWidth="1"/>
    <col min="206" max="207" width="4.6640625" style="410" customWidth="1"/>
    <col min="208" max="208" width="6.33203125" style="410" customWidth="1"/>
    <col min="209" max="209" width="4.6640625" style="410" customWidth="1"/>
    <col min="210" max="210" width="7" style="410" customWidth="1"/>
    <col min="211" max="222" width="4.6640625" style="410" customWidth="1"/>
    <col min="223" max="223" width="6.33203125" style="410" customWidth="1"/>
    <col min="224" max="225" width="4.6640625" style="410" customWidth="1"/>
    <col min="226" max="226" width="5.6640625" style="410" customWidth="1"/>
    <col min="227" max="239" width="4.6640625" style="410" customWidth="1"/>
    <col min="240" max="240" width="8.5546875" style="410" customWidth="1"/>
    <col min="241" max="273" width="4.6640625" style="410" customWidth="1"/>
    <col min="274" max="274" width="6.5546875" style="410" customWidth="1"/>
    <col min="275" max="276" width="4" style="410" customWidth="1"/>
    <col min="277" max="277" width="3.33203125" style="410" customWidth="1"/>
    <col min="278" max="16384" width="10.5546875" style="410"/>
  </cols>
  <sheetData>
    <row r="1" spans="1:277" ht="18.899999999999999" hidden="1" customHeight="1"/>
    <row r="2" spans="1:277" ht="20.399999999999999" hidden="1">
      <c r="A2" s="2673" t="s">
        <v>4589</v>
      </c>
      <c r="B2" s="2673"/>
      <c r="C2" s="2673"/>
      <c r="D2" s="2673"/>
      <c r="E2" s="2673"/>
      <c r="F2" s="2673"/>
      <c r="G2" s="2673"/>
      <c r="H2" s="2673"/>
      <c r="I2" s="2673"/>
      <c r="J2" s="2673"/>
      <c r="K2" s="2673"/>
      <c r="L2" s="2673"/>
      <c r="M2" s="2673"/>
      <c r="N2" s="2673"/>
      <c r="O2" s="2673"/>
      <c r="P2" s="2673"/>
      <c r="Q2" s="2673"/>
      <c r="R2" s="2673"/>
      <c r="S2" s="2673"/>
      <c r="T2" s="2673"/>
      <c r="U2" s="2673"/>
      <c r="V2" s="2673"/>
      <c r="W2" s="2673"/>
      <c r="X2" s="2673"/>
      <c r="Y2" s="2673"/>
      <c r="Z2" s="2673"/>
      <c r="AA2" s="2673"/>
      <c r="AB2" s="2673"/>
      <c r="AC2" s="2673"/>
      <c r="AD2" s="2673"/>
      <c r="AE2" s="2673"/>
      <c r="AF2" s="2673"/>
      <c r="AG2" s="2673"/>
      <c r="AH2" s="2673"/>
      <c r="AI2" s="2673"/>
      <c r="AJ2" s="2673"/>
      <c r="AK2" s="2673"/>
      <c r="AL2" s="2673"/>
      <c r="AM2" s="2673"/>
      <c r="AN2" s="2673"/>
      <c r="AO2" s="2673"/>
      <c r="AP2" s="2673"/>
      <c r="AQ2" s="2673"/>
      <c r="AR2" s="2673"/>
      <c r="AS2" s="2673"/>
      <c r="AT2" s="2673"/>
      <c r="AU2" s="2673"/>
      <c r="AV2" s="2673"/>
      <c r="AW2" s="2673"/>
      <c r="AX2" s="2673"/>
      <c r="AY2" s="2673"/>
      <c r="AZ2" s="2673"/>
      <c r="BA2" s="2673"/>
      <c r="BB2" s="2673"/>
      <c r="BC2" s="2673"/>
      <c r="BD2" s="2673"/>
      <c r="BE2" s="2673"/>
      <c r="BF2" s="2673"/>
      <c r="BG2" s="2673"/>
      <c r="BH2" s="2673"/>
      <c r="BI2" s="2673"/>
      <c r="BJ2" s="2673"/>
      <c r="BK2" s="2673"/>
      <c r="BL2" s="2673"/>
      <c r="BM2" s="2673"/>
      <c r="BN2" s="2673"/>
      <c r="BO2" s="2673"/>
      <c r="BP2" s="2673"/>
      <c r="BQ2" s="2673"/>
      <c r="BR2" s="2673"/>
      <c r="BS2" s="2673"/>
      <c r="BT2" s="2673"/>
      <c r="BU2" s="2673"/>
      <c r="BV2" s="2673"/>
      <c r="BW2" s="2673"/>
      <c r="BX2" s="2673"/>
      <c r="BY2" s="2673"/>
      <c r="BZ2" s="2673"/>
      <c r="CA2" s="2673"/>
      <c r="CB2" s="2673"/>
      <c r="CC2" s="2673"/>
      <c r="CD2" s="2673"/>
      <c r="CE2" s="2673"/>
      <c r="CF2" s="2673"/>
      <c r="CG2" s="2673"/>
      <c r="CH2" s="2673"/>
      <c r="CI2" s="2673"/>
      <c r="CJ2" s="2673"/>
      <c r="CK2" s="2673"/>
      <c r="CL2" s="2673"/>
      <c r="CM2" s="2673"/>
      <c r="CN2" s="2673"/>
      <c r="CO2" s="2673"/>
      <c r="CP2" s="2673"/>
      <c r="CQ2" s="2673"/>
      <c r="CR2" s="2673"/>
      <c r="CS2" s="2673"/>
      <c r="CT2" s="2673"/>
      <c r="CU2" s="2673"/>
      <c r="CV2" s="2673"/>
      <c r="CW2" s="2673"/>
      <c r="CX2" s="2673"/>
      <c r="CY2" s="2673"/>
      <c r="CZ2" s="2673"/>
      <c r="DA2" s="2673"/>
      <c r="DB2" s="2673"/>
      <c r="DC2" s="2673"/>
      <c r="DD2" s="2673"/>
      <c r="DE2" s="2673"/>
      <c r="DF2" s="2673"/>
      <c r="DG2" s="2673"/>
      <c r="DH2" s="2673"/>
      <c r="DI2" s="2673"/>
      <c r="DJ2" s="2673"/>
      <c r="DK2" s="2673"/>
      <c r="DL2" s="2673"/>
      <c r="DM2" s="2673"/>
      <c r="DN2" s="2673"/>
      <c r="DO2" s="2673"/>
      <c r="DP2" s="2673"/>
      <c r="DQ2" s="2673"/>
      <c r="DR2" s="2673"/>
      <c r="DS2" s="2673"/>
      <c r="DT2" s="2673"/>
      <c r="DU2" s="2673"/>
      <c r="DV2" s="2673"/>
      <c r="DW2" s="2673"/>
      <c r="DX2" s="2673"/>
      <c r="DY2" s="2673"/>
      <c r="DZ2" s="2673"/>
      <c r="EA2" s="2673"/>
      <c r="EB2" s="2673"/>
      <c r="EC2" s="2673"/>
      <c r="ED2" s="2673"/>
      <c r="EE2" s="2673"/>
      <c r="EF2" s="2673"/>
      <c r="EG2" s="2673"/>
      <c r="EH2" s="2673"/>
      <c r="EI2" s="2673"/>
      <c r="EJ2" s="2673"/>
      <c r="EK2" s="2673"/>
      <c r="EL2" s="2673"/>
      <c r="EM2" s="2673"/>
      <c r="EN2" s="2673"/>
      <c r="EO2" s="2673"/>
      <c r="EP2" s="2673"/>
      <c r="EQ2" s="2673"/>
      <c r="ER2" s="2673"/>
      <c r="ES2" s="2673"/>
      <c r="ET2" s="2673"/>
      <c r="EU2" s="2673"/>
      <c r="EV2" s="2673"/>
      <c r="EW2" s="2673"/>
      <c r="EX2" s="2673"/>
      <c r="EY2" s="2673"/>
      <c r="EZ2" s="2673"/>
      <c r="FA2" s="2673"/>
      <c r="FB2" s="2673"/>
      <c r="FC2" s="2673"/>
      <c r="FD2" s="2673"/>
      <c r="FE2" s="2673"/>
      <c r="FF2" s="2673"/>
      <c r="FG2" s="2673"/>
      <c r="FH2" s="2673"/>
      <c r="FI2" s="2673"/>
      <c r="FJ2" s="2673"/>
      <c r="FK2" s="2673"/>
      <c r="FL2" s="2673"/>
      <c r="FM2" s="2673"/>
      <c r="FN2" s="2673"/>
      <c r="FO2" s="2673"/>
      <c r="FP2" s="2673"/>
      <c r="FQ2" s="2673"/>
      <c r="FR2" s="2673"/>
      <c r="FS2" s="2673"/>
      <c r="FT2" s="2673"/>
      <c r="FU2" s="2673"/>
      <c r="FV2" s="2673"/>
      <c r="FW2" s="2673"/>
      <c r="FX2" s="2673"/>
      <c r="FY2" s="2673"/>
      <c r="FZ2" s="2673"/>
      <c r="GA2" s="2673"/>
      <c r="GB2" s="2673"/>
      <c r="GC2" s="2673"/>
      <c r="GD2" s="2673"/>
      <c r="GE2" s="2673"/>
      <c r="GF2" s="2673"/>
      <c r="GG2" s="2673"/>
      <c r="GH2" s="2673"/>
      <c r="GI2" s="2673"/>
      <c r="GJ2" s="2673"/>
      <c r="GK2" s="2673"/>
      <c r="GL2" s="2673"/>
      <c r="GM2" s="2673"/>
      <c r="GN2" s="2673"/>
      <c r="GO2" s="2673"/>
      <c r="GP2" s="2673"/>
      <c r="GQ2" s="2673"/>
      <c r="GR2" s="2673"/>
      <c r="GS2" s="2673"/>
      <c r="GT2" s="2673"/>
      <c r="GU2" s="2673"/>
      <c r="GV2" s="2673"/>
      <c r="GW2" s="2673"/>
      <c r="GX2" s="2673"/>
      <c r="GY2" s="2673"/>
      <c r="GZ2" s="2673"/>
      <c r="HA2" s="2673"/>
      <c r="HB2" s="2673"/>
      <c r="HC2" s="2673"/>
      <c r="HD2" s="2673"/>
      <c r="HE2" s="2673"/>
      <c r="HF2" s="2673"/>
      <c r="HG2" s="2673"/>
      <c r="HH2" s="2673"/>
      <c r="HI2" s="2673"/>
      <c r="HJ2" s="2673"/>
      <c r="HK2" s="2673"/>
      <c r="HL2" s="2673"/>
      <c r="HM2" s="2673"/>
      <c r="HN2" s="2673"/>
      <c r="HO2" s="2673"/>
      <c r="HP2" s="2673"/>
      <c r="HQ2" s="2673"/>
      <c r="HR2" s="2673"/>
      <c r="HS2" s="2673"/>
      <c r="HT2" s="2673"/>
      <c r="HU2" s="2673"/>
      <c r="HV2" s="2673"/>
      <c r="HW2" s="2673"/>
      <c r="HX2" s="2673"/>
      <c r="HY2" s="2673"/>
      <c r="HZ2" s="2673"/>
      <c r="IA2" s="2673"/>
      <c r="IB2" s="2673"/>
      <c r="IC2" s="2673"/>
      <c r="ID2" s="2673"/>
      <c r="IE2" s="2673"/>
      <c r="IF2" s="2673"/>
      <c r="IG2" s="2673"/>
      <c r="IH2" s="2673"/>
      <c r="II2" s="2673"/>
      <c r="IJ2" s="2673"/>
      <c r="IK2" s="2673"/>
      <c r="IL2" s="2673"/>
      <c r="IM2" s="2673"/>
      <c r="IN2" s="2673"/>
      <c r="IO2" s="2673"/>
      <c r="IP2" s="2673"/>
      <c r="IQ2" s="2673"/>
      <c r="IR2" s="2673"/>
      <c r="IS2" s="2673"/>
      <c r="IT2" s="2673"/>
      <c r="IU2" s="2673"/>
      <c r="IV2" s="2673"/>
      <c r="IW2" s="2673"/>
      <c r="IX2" s="2673"/>
      <c r="IY2" s="2673"/>
      <c r="IZ2" s="2673"/>
      <c r="JA2" s="2673"/>
      <c r="JB2" s="2673"/>
      <c r="JC2" s="2673"/>
      <c r="JD2" s="2673"/>
      <c r="JE2" s="2673"/>
      <c r="JF2" s="2673"/>
      <c r="JG2" s="2673"/>
      <c r="JH2" s="2673"/>
      <c r="JI2" s="2673"/>
      <c r="JJ2" s="2673"/>
      <c r="JK2" s="2673"/>
      <c r="JL2" s="2673"/>
      <c r="JM2" s="2673"/>
      <c r="JN2" s="2673"/>
      <c r="JO2" s="2673"/>
      <c r="JP2" s="2673"/>
      <c r="JQ2" s="2673"/>
    </row>
    <row r="3" spans="1:277" ht="8.25" customHeight="1" thickBot="1">
      <c r="A3" s="430"/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  <c r="AA3" s="43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  <c r="AQ3" s="430"/>
      <c r="AR3" s="430"/>
      <c r="AS3" s="430"/>
      <c r="AT3" s="430"/>
      <c r="AU3" s="430"/>
      <c r="AV3" s="430"/>
      <c r="AW3" s="430"/>
      <c r="AX3" s="430"/>
      <c r="AY3" s="430"/>
      <c r="AZ3" s="430"/>
      <c r="BA3" s="430"/>
      <c r="BB3" s="430"/>
      <c r="BC3" s="430"/>
      <c r="BD3" s="430"/>
      <c r="BE3" s="430"/>
      <c r="BF3" s="430"/>
      <c r="BG3" s="430"/>
      <c r="BH3" s="430"/>
      <c r="BI3" s="430"/>
      <c r="BJ3" s="430"/>
      <c r="BK3" s="430"/>
      <c r="BL3" s="409"/>
      <c r="BM3" s="430"/>
      <c r="BN3" s="409"/>
      <c r="BO3" s="430"/>
      <c r="BP3" s="430"/>
      <c r="BQ3" s="430"/>
      <c r="BR3" s="430"/>
      <c r="BS3" s="430"/>
      <c r="BT3" s="430"/>
      <c r="BU3" s="430"/>
      <c r="BV3" s="430"/>
      <c r="BW3" s="430"/>
      <c r="BX3" s="430"/>
      <c r="BY3" s="430"/>
      <c r="BZ3" s="430"/>
      <c r="CA3" s="430"/>
      <c r="CB3" s="430"/>
      <c r="CC3" s="430"/>
      <c r="CD3" s="430"/>
      <c r="CE3" s="430"/>
      <c r="CF3" s="430"/>
      <c r="CG3" s="430"/>
      <c r="CH3" s="430"/>
      <c r="CI3" s="430"/>
      <c r="CJ3" s="430"/>
      <c r="CK3" s="430"/>
      <c r="CL3" s="430"/>
      <c r="CM3" s="430"/>
      <c r="CN3" s="430"/>
      <c r="CO3" s="430"/>
      <c r="CP3" s="430"/>
      <c r="CQ3" s="430"/>
      <c r="CR3" s="430"/>
      <c r="CS3" s="430"/>
      <c r="CT3" s="430"/>
      <c r="CU3" s="430"/>
      <c r="CV3" s="430"/>
      <c r="CW3" s="430"/>
      <c r="CX3" s="430"/>
      <c r="CY3" s="430"/>
      <c r="CZ3" s="430"/>
      <c r="DA3" s="430"/>
      <c r="DB3" s="430"/>
      <c r="DC3" s="430"/>
      <c r="DD3" s="430"/>
      <c r="DE3" s="430"/>
      <c r="DF3" s="430"/>
      <c r="DG3" s="430"/>
      <c r="DH3" s="430"/>
      <c r="DI3" s="430"/>
      <c r="DJ3" s="430"/>
      <c r="DK3" s="430"/>
      <c r="DL3" s="430"/>
      <c r="DM3" s="430"/>
      <c r="DN3" s="430"/>
      <c r="DO3" s="430"/>
      <c r="DP3" s="430"/>
      <c r="DQ3" s="430"/>
      <c r="DR3" s="430"/>
      <c r="DS3" s="430"/>
      <c r="DT3" s="430"/>
      <c r="DU3" s="430"/>
      <c r="DV3" s="430"/>
      <c r="DW3" s="430"/>
      <c r="DX3" s="430"/>
      <c r="DY3" s="430"/>
      <c r="DZ3" s="430"/>
      <c r="EA3" s="430"/>
      <c r="EB3" s="430"/>
      <c r="EC3" s="430"/>
      <c r="ED3" s="430"/>
      <c r="EE3" s="430"/>
      <c r="EF3" s="430"/>
      <c r="EG3" s="430"/>
      <c r="EH3" s="430"/>
      <c r="EI3" s="430"/>
      <c r="EJ3" s="430"/>
      <c r="EK3" s="430"/>
      <c r="EL3" s="430"/>
      <c r="EM3" s="430"/>
      <c r="EN3" s="430"/>
      <c r="EO3" s="430"/>
      <c r="EP3" s="430"/>
      <c r="EQ3" s="430"/>
      <c r="ER3" s="430"/>
      <c r="ES3" s="430"/>
      <c r="ET3" s="430"/>
      <c r="EU3" s="430"/>
      <c r="EV3" s="430"/>
      <c r="EW3" s="430"/>
      <c r="EX3" s="430"/>
      <c r="EY3" s="430"/>
      <c r="EZ3" s="430"/>
      <c r="FA3" s="430"/>
      <c r="FB3" s="430"/>
      <c r="FC3" s="430"/>
      <c r="FD3" s="430"/>
      <c r="FE3" s="430"/>
      <c r="FF3" s="430"/>
      <c r="FG3" s="430"/>
      <c r="FH3" s="430"/>
      <c r="FI3" s="430"/>
      <c r="FJ3" s="430"/>
      <c r="FK3" s="430"/>
      <c r="FL3" s="430"/>
      <c r="FM3" s="430"/>
      <c r="FN3" s="430"/>
      <c r="FO3" s="430"/>
      <c r="FP3" s="430"/>
      <c r="FQ3" s="430"/>
      <c r="FR3" s="430"/>
      <c r="FS3" s="430"/>
      <c r="FT3" s="430"/>
      <c r="FU3" s="430"/>
      <c r="FV3" s="430"/>
      <c r="FW3" s="430"/>
      <c r="FX3" s="430"/>
      <c r="FY3" s="430"/>
      <c r="FZ3" s="430"/>
      <c r="GA3" s="430"/>
      <c r="GB3" s="430"/>
      <c r="GC3" s="430"/>
      <c r="GD3" s="430"/>
      <c r="GE3" s="430"/>
      <c r="GF3" s="430"/>
      <c r="GG3" s="430"/>
      <c r="GH3" s="430"/>
      <c r="GI3" s="430"/>
      <c r="GJ3" s="430"/>
      <c r="GK3" s="430"/>
      <c r="GL3" s="430"/>
      <c r="GM3" s="430"/>
      <c r="GN3" s="430"/>
      <c r="GO3" s="430"/>
      <c r="GP3" s="430"/>
      <c r="GQ3" s="430"/>
      <c r="GR3" s="430"/>
      <c r="GS3" s="430"/>
      <c r="GT3" s="430"/>
      <c r="GU3" s="430"/>
      <c r="GV3" s="430"/>
      <c r="GW3" s="430"/>
      <c r="GX3" s="430"/>
      <c r="GY3" s="430"/>
      <c r="GZ3" s="430"/>
      <c r="HA3" s="430"/>
      <c r="HB3" s="430"/>
      <c r="HC3" s="430"/>
      <c r="HD3" s="430"/>
      <c r="HE3" s="430"/>
      <c r="HF3" s="430"/>
      <c r="HG3" s="430"/>
      <c r="HH3" s="430"/>
      <c r="HI3" s="430"/>
      <c r="HJ3" s="430"/>
      <c r="HK3" s="430"/>
      <c r="HL3" s="430"/>
      <c r="HM3" s="430"/>
      <c r="HN3" s="430"/>
      <c r="HO3" s="430"/>
      <c r="HP3" s="430"/>
      <c r="HQ3" s="430"/>
      <c r="HR3" s="430"/>
      <c r="HS3" s="430"/>
      <c r="HT3" s="430"/>
      <c r="HU3" s="430"/>
      <c r="HV3" s="430"/>
      <c r="HW3" s="430"/>
      <c r="HX3" s="430"/>
      <c r="HY3" s="430"/>
      <c r="HZ3" s="430"/>
      <c r="IA3" s="430"/>
      <c r="IB3" s="430"/>
      <c r="IC3" s="430"/>
      <c r="ID3" s="430"/>
      <c r="IE3" s="430"/>
      <c r="IF3" s="430"/>
      <c r="IG3" s="430"/>
      <c r="IH3" s="430"/>
      <c r="II3" s="430"/>
      <c r="IJ3" s="430"/>
      <c r="IK3" s="430"/>
      <c r="IL3" s="430"/>
      <c r="IM3" s="430"/>
      <c r="IN3" s="430"/>
      <c r="IO3" s="430"/>
      <c r="IP3" s="430"/>
      <c r="IQ3" s="430"/>
      <c r="IR3" s="430"/>
      <c r="IS3" s="430"/>
      <c r="IT3" s="430"/>
      <c r="IU3" s="430"/>
      <c r="IV3" s="430"/>
      <c r="IW3" s="430"/>
      <c r="IX3" s="430"/>
      <c r="IY3" s="430"/>
      <c r="IZ3" s="430"/>
      <c r="JA3" s="430"/>
      <c r="JB3" s="430"/>
      <c r="JC3" s="430"/>
      <c r="JD3" s="430"/>
      <c r="JE3" s="430"/>
      <c r="JF3" s="430"/>
      <c r="JG3" s="430"/>
      <c r="JH3" s="430"/>
      <c r="JI3" s="430"/>
      <c r="JJ3" s="430"/>
      <c r="JK3" s="430"/>
      <c r="JL3" s="430"/>
      <c r="JM3" s="430"/>
      <c r="JN3" s="430"/>
      <c r="JO3" s="430"/>
      <c r="JP3" s="430"/>
      <c r="JQ3" s="430"/>
    </row>
    <row r="4" spans="1:277" s="416" customFormat="1" ht="16.5" customHeight="1" thickTop="1">
      <c r="A4" s="2687" t="s">
        <v>4772</v>
      </c>
      <c r="B4" s="2620" t="s">
        <v>4771</v>
      </c>
      <c r="C4" s="2620" t="s">
        <v>4769</v>
      </c>
      <c r="D4" s="2620" t="s">
        <v>4770</v>
      </c>
      <c r="E4" s="2606" t="s">
        <v>3927</v>
      </c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3"/>
      <c r="AD4" s="723"/>
      <c r="AE4" s="723"/>
      <c r="AF4" s="723"/>
      <c r="AG4" s="723"/>
      <c r="AH4" s="723"/>
      <c r="AI4" s="723"/>
      <c r="AJ4" s="2606" t="s">
        <v>4561</v>
      </c>
      <c r="AK4" s="2606" t="s">
        <v>4562</v>
      </c>
      <c r="AL4" s="2606" t="s">
        <v>4563</v>
      </c>
      <c r="AM4" s="2606" t="s">
        <v>4680</v>
      </c>
      <c r="AN4" s="2606" t="s">
        <v>4681</v>
      </c>
      <c r="AO4" s="2606" t="s">
        <v>4682</v>
      </c>
      <c r="AP4" s="2606" t="s">
        <v>4678</v>
      </c>
      <c r="AQ4" s="2606" t="s">
        <v>4679</v>
      </c>
      <c r="AR4" s="2606" t="s">
        <v>4677</v>
      </c>
      <c r="AS4" s="2606" t="s">
        <v>4676</v>
      </c>
      <c r="AT4" s="2606" t="s">
        <v>4698</v>
      </c>
      <c r="AU4" s="2606" t="s">
        <v>4691</v>
      </c>
      <c r="AV4" s="2606" t="s">
        <v>3925</v>
      </c>
      <c r="AW4" s="2606" t="s">
        <v>3926</v>
      </c>
      <c r="AX4" s="2606" t="s">
        <v>3927</v>
      </c>
      <c r="AY4" s="2664" t="s">
        <v>3928</v>
      </c>
      <c r="AZ4" s="2665"/>
      <c r="BA4" s="2665"/>
      <c r="BB4" s="2665"/>
      <c r="BC4" s="2665"/>
      <c r="BD4" s="2665"/>
      <c r="BE4" s="2665"/>
      <c r="BF4" s="2666"/>
      <c r="BG4" s="2664" t="s">
        <v>3929</v>
      </c>
      <c r="BH4" s="2665"/>
      <c r="BI4" s="2665"/>
      <c r="BJ4" s="2665"/>
      <c r="BK4" s="2665"/>
      <c r="BL4" s="2665"/>
      <c r="BM4" s="2665"/>
      <c r="BN4" s="2665"/>
      <c r="BO4" s="2665"/>
      <c r="BP4" s="2665"/>
      <c r="BQ4" s="2665"/>
      <c r="BR4" s="2665"/>
      <c r="BS4" s="2665"/>
      <c r="BT4" s="2665"/>
      <c r="BU4" s="2665"/>
      <c r="BV4" s="2665"/>
      <c r="BW4" s="2664" t="s">
        <v>3978</v>
      </c>
      <c r="BX4" s="2665"/>
      <c r="BY4" s="2665"/>
      <c r="BZ4" s="2665"/>
      <c r="CA4" s="2665"/>
      <c r="CB4" s="2665"/>
      <c r="CC4" s="2665"/>
      <c r="CD4" s="2665"/>
      <c r="CE4" s="2665"/>
      <c r="CF4" s="2665"/>
      <c r="CG4" s="2665"/>
      <c r="CH4" s="2665"/>
      <c r="CI4" s="2665"/>
      <c r="CJ4" s="2664" t="s">
        <v>3930</v>
      </c>
      <c r="CK4" s="2665"/>
      <c r="CL4" s="2665"/>
      <c r="CM4" s="2665"/>
      <c r="CN4" s="2665"/>
      <c r="CO4" s="2665"/>
      <c r="CP4" s="2665"/>
      <c r="CQ4" s="2665"/>
      <c r="CR4" s="2665"/>
      <c r="CS4" s="2665"/>
      <c r="CT4" s="2606" t="s">
        <v>4686</v>
      </c>
      <c r="CU4" s="2606" t="s">
        <v>4687</v>
      </c>
      <c r="CV4" s="2606" t="s">
        <v>3541</v>
      </c>
      <c r="CW4" s="2606" t="s">
        <v>3544</v>
      </c>
      <c r="CX4" s="2614" t="s">
        <v>3542</v>
      </c>
      <c r="CY4" s="2614" t="s">
        <v>3543</v>
      </c>
      <c r="CZ4" s="2614" t="s">
        <v>3545</v>
      </c>
      <c r="DA4" s="2614" t="s">
        <v>3931</v>
      </c>
      <c r="DB4" s="2614" t="s">
        <v>3547</v>
      </c>
      <c r="DC4" s="2606" t="s">
        <v>3932</v>
      </c>
      <c r="DD4" s="2664" t="s">
        <v>514</v>
      </c>
      <c r="DE4" s="2665"/>
      <c r="DF4" s="2665"/>
      <c r="DG4" s="2666"/>
      <c r="DH4" s="2627" t="s">
        <v>3933</v>
      </c>
      <c r="DI4" s="2627" t="s">
        <v>4685</v>
      </c>
      <c r="DJ4" s="2627" t="s">
        <v>4785</v>
      </c>
      <c r="DK4" s="2627" t="s">
        <v>4628</v>
      </c>
      <c r="DL4" s="2627" t="s">
        <v>4627</v>
      </c>
      <c r="DM4" s="2627" t="s">
        <v>4416</v>
      </c>
      <c r="DN4" s="2627" t="s">
        <v>4417</v>
      </c>
      <c r="DO4" s="2671" t="s">
        <v>4089</v>
      </c>
      <c r="DP4" s="2682"/>
      <c r="DQ4" s="2682"/>
      <c r="DR4" s="2682"/>
      <c r="DS4" s="2682"/>
      <c r="DT4" s="2682"/>
      <c r="DU4" s="2682"/>
      <c r="DV4" s="2682"/>
      <c r="DW4" s="2682"/>
      <c r="DX4" s="2682"/>
      <c r="DY4" s="2682"/>
      <c r="DZ4" s="2682"/>
      <c r="EA4" s="2682"/>
      <c r="EB4" s="2682"/>
      <c r="EC4" s="2682"/>
      <c r="ED4" s="2682"/>
      <c r="EE4" s="2682"/>
      <c r="EF4" s="2682"/>
      <c r="EG4" s="2682"/>
      <c r="EH4" s="2682"/>
      <c r="EI4" s="2672"/>
      <c r="EJ4" s="2671" t="s">
        <v>4090</v>
      </c>
      <c r="EK4" s="2682"/>
      <c r="EL4" s="2682"/>
      <c r="EM4" s="2682"/>
      <c r="EN4" s="2672"/>
      <c r="EO4" s="2671" t="s">
        <v>4091</v>
      </c>
      <c r="EP4" s="2682"/>
      <c r="EQ4" s="2682"/>
      <c r="ER4" s="2682"/>
      <c r="ES4" s="2672"/>
      <c r="ET4" s="2671" t="s">
        <v>4092</v>
      </c>
      <c r="EU4" s="2682"/>
      <c r="EV4" s="2682"/>
      <c r="EW4" s="2682"/>
      <c r="EX4" s="2672"/>
      <c r="EY4" s="2671" t="s">
        <v>612</v>
      </c>
      <c r="EZ4" s="2672"/>
      <c r="FA4" s="572"/>
      <c r="FB4" s="572"/>
      <c r="FC4" s="572"/>
      <c r="FD4" s="572"/>
      <c r="FE4" s="572"/>
      <c r="FF4" s="572"/>
      <c r="FG4" s="572"/>
      <c r="FH4" s="572"/>
      <c r="FI4" s="572"/>
      <c r="FJ4" s="572"/>
      <c r="FK4" s="572"/>
      <c r="FL4" s="572"/>
      <c r="FM4" s="572"/>
      <c r="FN4" s="572"/>
      <c r="FO4" s="572"/>
      <c r="FP4" s="572"/>
      <c r="FQ4" s="572"/>
      <c r="FR4" s="572"/>
      <c r="FS4" s="572"/>
      <c r="FT4" s="572"/>
      <c r="FU4" s="572"/>
      <c r="FV4" s="572"/>
      <c r="FW4" s="572"/>
      <c r="FX4" s="572"/>
      <c r="FY4" s="572"/>
      <c r="FZ4" s="572"/>
      <c r="GA4" s="572"/>
      <c r="GB4" s="572"/>
      <c r="GC4" s="572"/>
      <c r="GD4" s="572"/>
      <c r="GE4" s="572"/>
      <c r="GF4" s="572"/>
      <c r="GG4" s="572"/>
      <c r="GH4" s="2606" t="s">
        <v>4335</v>
      </c>
      <c r="GI4" s="572"/>
      <c r="GJ4" s="572"/>
      <c r="GK4" s="723"/>
      <c r="GL4" s="723"/>
      <c r="GM4" s="723"/>
      <c r="GN4" s="723"/>
      <c r="GO4" s="723"/>
      <c r="GP4" s="572"/>
      <c r="GQ4" s="572"/>
      <c r="GR4" s="572"/>
      <c r="GS4" s="572"/>
      <c r="GT4" s="572"/>
      <c r="GU4" s="572"/>
      <c r="GV4" s="572"/>
      <c r="GW4" s="572"/>
      <c r="GX4" s="572"/>
      <c r="GY4" s="572"/>
      <c r="GZ4" s="572"/>
      <c r="HA4" s="572"/>
      <c r="HB4" s="572"/>
      <c r="HC4" s="572"/>
      <c r="HD4" s="572"/>
      <c r="HE4" s="572"/>
      <c r="HF4" s="572"/>
      <c r="HG4" s="572"/>
      <c r="HH4" s="572"/>
      <c r="HI4" s="572"/>
      <c r="HJ4" s="572"/>
      <c r="HK4" s="572"/>
      <c r="HL4" s="572"/>
      <c r="HM4" s="572"/>
      <c r="HN4" s="572"/>
      <c r="HO4" s="572"/>
      <c r="HP4" s="572"/>
      <c r="HQ4" s="572"/>
      <c r="HR4" s="572"/>
      <c r="HS4" s="572"/>
      <c r="HT4" s="572"/>
      <c r="HU4" s="572"/>
      <c r="HV4" s="572"/>
      <c r="HW4" s="572"/>
      <c r="HX4" s="572"/>
      <c r="HY4" s="572"/>
      <c r="HZ4" s="572"/>
      <c r="IA4" s="572"/>
      <c r="IB4" s="572"/>
      <c r="IC4" s="572"/>
      <c r="ID4" s="572"/>
      <c r="IE4" s="572"/>
      <c r="IF4" s="572"/>
      <c r="IG4" s="572"/>
      <c r="IH4" s="572"/>
      <c r="II4" s="572"/>
      <c r="IJ4" s="572"/>
      <c r="IK4" s="572"/>
      <c r="IL4" s="572"/>
      <c r="IM4" s="572"/>
      <c r="IN4" s="572"/>
      <c r="IO4" s="572"/>
      <c r="IP4" s="572"/>
      <c r="IQ4" s="572"/>
      <c r="IR4" s="572"/>
      <c r="IS4" s="572"/>
      <c r="IT4" s="572"/>
      <c r="IU4" s="572"/>
      <c r="IV4" s="572"/>
      <c r="IW4" s="572"/>
      <c r="IX4" s="572"/>
      <c r="IY4" s="572"/>
      <c r="IZ4" s="572"/>
      <c r="JA4" s="572"/>
      <c r="JB4" s="572"/>
      <c r="JC4" s="572"/>
      <c r="JD4" s="572"/>
      <c r="JE4" s="572"/>
      <c r="JF4" s="572"/>
      <c r="JG4" s="572"/>
      <c r="JH4" s="572"/>
      <c r="JI4" s="572"/>
      <c r="JJ4" s="572"/>
      <c r="JK4" s="572"/>
      <c r="JL4" s="572"/>
      <c r="JM4" s="572"/>
      <c r="JN4" s="572"/>
      <c r="JO4" s="572"/>
      <c r="JP4" s="832"/>
      <c r="JQ4" s="2689" t="s">
        <v>3373</v>
      </c>
    </row>
    <row r="5" spans="1:277" s="416" customFormat="1" ht="174" customHeight="1">
      <c r="A5" s="2688"/>
      <c r="B5" s="2621"/>
      <c r="C5" s="2621"/>
      <c r="D5" s="2621"/>
      <c r="E5" s="2607"/>
      <c r="F5" s="535" t="s">
        <v>4461</v>
      </c>
      <c r="G5" s="535" t="s">
        <v>4460</v>
      </c>
      <c r="H5" s="535" t="s">
        <v>4459</v>
      </c>
      <c r="I5" s="535" t="s">
        <v>4458</v>
      </c>
      <c r="J5" s="535" t="s">
        <v>4457</v>
      </c>
      <c r="K5" s="535" t="s">
        <v>4380</v>
      </c>
      <c r="L5" s="535" t="s">
        <v>4381</v>
      </c>
      <c r="M5" s="535" t="s">
        <v>4382</v>
      </c>
      <c r="N5" s="535" t="s">
        <v>4383</v>
      </c>
      <c r="O5" s="535" t="s">
        <v>4453</v>
      </c>
      <c r="P5" s="535" t="s">
        <v>4454</v>
      </c>
      <c r="Q5" s="535" t="s">
        <v>4455</v>
      </c>
      <c r="R5" s="535" t="s">
        <v>4456</v>
      </c>
      <c r="S5" s="535" t="s">
        <v>4384</v>
      </c>
      <c r="T5" s="535" t="s">
        <v>4385</v>
      </c>
      <c r="U5" s="535" t="s">
        <v>490</v>
      </c>
      <c r="V5" s="535" t="s">
        <v>1201</v>
      </c>
      <c r="W5" s="535" t="s">
        <v>4386</v>
      </c>
      <c r="X5" s="535" t="s">
        <v>4387</v>
      </c>
      <c r="Y5" s="535" t="s">
        <v>4560</v>
      </c>
      <c r="Z5" s="535" t="s">
        <v>4482</v>
      </c>
      <c r="AA5" s="535" t="s">
        <v>1013</v>
      </c>
      <c r="AB5" s="535" t="s">
        <v>1087</v>
      </c>
      <c r="AC5" s="535" t="s">
        <v>1086</v>
      </c>
      <c r="AD5" s="535" t="s">
        <v>1085</v>
      </c>
      <c r="AE5" s="535" t="s">
        <v>1084</v>
      </c>
      <c r="AF5" s="535" t="s">
        <v>4388</v>
      </c>
      <c r="AG5" s="535" t="s">
        <v>4389</v>
      </c>
      <c r="AH5" s="535" t="s">
        <v>1654</v>
      </c>
      <c r="AI5" s="535" t="s">
        <v>1653</v>
      </c>
      <c r="AJ5" s="2607"/>
      <c r="AK5" s="2607"/>
      <c r="AL5" s="2607"/>
      <c r="AM5" s="2607"/>
      <c r="AN5" s="2607"/>
      <c r="AO5" s="2607"/>
      <c r="AP5" s="2607"/>
      <c r="AQ5" s="2607"/>
      <c r="AR5" s="2607"/>
      <c r="AS5" s="2607"/>
      <c r="AT5" s="2607"/>
      <c r="AU5" s="2607"/>
      <c r="AV5" s="2607"/>
      <c r="AW5" s="2607"/>
      <c r="AX5" s="2607"/>
      <c r="AY5" s="533" t="s">
        <v>4297</v>
      </c>
      <c r="AZ5" s="533" t="s">
        <v>4174</v>
      </c>
      <c r="BA5" s="533" t="s">
        <v>4175</v>
      </c>
      <c r="BB5" s="533" t="s">
        <v>1438</v>
      </c>
      <c r="BC5" s="533" t="s">
        <v>1002</v>
      </c>
      <c r="BD5" s="533" t="s">
        <v>816</v>
      </c>
      <c r="BE5" s="533" t="s">
        <v>621</v>
      </c>
      <c r="BF5" s="533" t="s">
        <v>622</v>
      </c>
      <c r="BG5" s="534" t="s">
        <v>562</v>
      </c>
      <c r="BH5" s="534" t="s">
        <v>220</v>
      </c>
      <c r="BI5" s="534" t="s">
        <v>1819</v>
      </c>
      <c r="BJ5" s="534" t="s">
        <v>1818</v>
      </c>
      <c r="BK5" s="534" t="s">
        <v>515</v>
      </c>
      <c r="BL5" s="534" t="s">
        <v>1003</v>
      </c>
      <c r="BM5" s="534" t="s">
        <v>3710</v>
      </c>
      <c r="BN5" s="534" t="s">
        <v>3711</v>
      </c>
      <c r="BO5" s="534" t="s">
        <v>646</v>
      </c>
      <c r="BP5" s="534" t="s">
        <v>338</v>
      </c>
      <c r="BQ5" s="533" t="s">
        <v>4034</v>
      </c>
      <c r="BR5" s="533" t="s">
        <v>3713</v>
      </c>
      <c r="BS5" s="534" t="s">
        <v>624</v>
      </c>
      <c r="BT5" s="534" t="s">
        <v>938</v>
      </c>
      <c r="BU5" s="533" t="s">
        <v>3736</v>
      </c>
      <c r="BV5" s="533" t="s">
        <v>3737</v>
      </c>
      <c r="BW5" s="533" t="s">
        <v>1612</v>
      </c>
      <c r="BX5" s="533" t="s">
        <v>1611</v>
      </c>
      <c r="BY5" s="533" t="s">
        <v>1482</v>
      </c>
      <c r="BZ5" s="533" t="s">
        <v>1483</v>
      </c>
      <c r="CA5" s="533" t="s">
        <v>1484</v>
      </c>
      <c r="CB5" s="533" t="s">
        <v>1833</v>
      </c>
      <c r="CC5" s="533" t="s">
        <v>1834</v>
      </c>
      <c r="CD5" s="533" t="s">
        <v>1835</v>
      </c>
      <c r="CE5" s="534" t="s">
        <v>1836</v>
      </c>
      <c r="CF5" s="534" t="s">
        <v>676</v>
      </c>
      <c r="CG5" s="534" t="s">
        <v>1587</v>
      </c>
      <c r="CH5" s="534" t="s">
        <v>1726</v>
      </c>
      <c r="CI5" s="533" t="s">
        <v>1725</v>
      </c>
      <c r="CJ5" s="533" t="s">
        <v>2042</v>
      </c>
      <c r="CK5" s="533" t="s">
        <v>2043</v>
      </c>
      <c r="CL5" s="533" t="s">
        <v>1759</v>
      </c>
      <c r="CM5" s="533" t="s">
        <v>90</v>
      </c>
      <c r="CN5" s="533" t="s">
        <v>787</v>
      </c>
      <c r="CO5" s="533" t="s">
        <v>91</v>
      </c>
      <c r="CP5" s="533" t="s">
        <v>1254</v>
      </c>
      <c r="CQ5" s="533" t="s">
        <v>92</v>
      </c>
      <c r="CR5" s="533" t="s">
        <v>1376</v>
      </c>
      <c r="CS5" s="533" t="s">
        <v>93</v>
      </c>
      <c r="CT5" s="2607"/>
      <c r="CU5" s="2607"/>
      <c r="CV5" s="2607"/>
      <c r="CW5" s="2607"/>
      <c r="CX5" s="2615"/>
      <c r="CY5" s="2615"/>
      <c r="CZ5" s="2615"/>
      <c r="DA5" s="2615"/>
      <c r="DB5" s="2615"/>
      <c r="DC5" s="2607"/>
      <c r="DD5" s="533" t="s">
        <v>3940</v>
      </c>
      <c r="DE5" s="533" t="s">
        <v>3941</v>
      </c>
      <c r="DF5" s="533" t="s">
        <v>3942</v>
      </c>
      <c r="DG5" s="533" t="s">
        <v>3943</v>
      </c>
      <c r="DH5" s="2628"/>
      <c r="DI5" s="2628"/>
      <c r="DJ5" s="2628"/>
      <c r="DK5" s="2628"/>
      <c r="DL5" s="2628"/>
      <c r="DM5" s="2628"/>
      <c r="DN5" s="2628"/>
      <c r="DO5" s="724" t="s">
        <v>4299</v>
      </c>
      <c r="DP5" s="724" t="s">
        <v>4300</v>
      </c>
      <c r="DQ5" s="724" t="s">
        <v>3947</v>
      </c>
      <c r="DR5" s="724" t="s">
        <v>3948</v>
      </c>
      <c r="DS5" s="724" t="s">
        <v>4301</v>
      </c>
      <c r="DT5" s="724" t="s">
        <v>4098</v>
      </c>
      <c r="DU5" s="724" t="s">
        <v>4684</v>
      </c>
      <c r="DV5" s="724" t="s">
        <v>3946</v>
      </c>
      <c r="DW5" s="724" t="s">
        <v>4302</v>
      </c>
      <c r="DX5" s="724" t="s">
        <v>4099</v>
      </c>
      <c r="DY5" s="724" t="s">
        <v>4097</v>
      </c>
      <c r="DZ5" s="724" t="s">
        <v>4782</v>
      </c>
      <c r="EA5" s="724" t="s">
        <v>3950</v>
      </c>
      <c r="EB5" s="724" t="s">
        <v>3951</v>
      </c>
      <c r="EC5" s="724" t="s">
        <v>3952</v>
      </c>
      <c r="ED5" s="724" t="s">
        <v>4784</v>
      </c>
      <c r="EE5" s="724" t="s">
        <v>4303</v>
      </c>
      <c r="EF5" s="724" t="s">
        <v>3953</v>
      </c>
      <c r="EG5" s="724" t="s">
        <v>3945</v>
      </c>
      <c r="EH5" s="724" t="s">
        <v>4087</v>
      </c>
      <c r="EI5" s="724" t="s">
        <v>4304</v>
      </c>
      <c r="EJ5" s="724" t="s">
        <v>3955</v>
      </c>
      <c r="EK5" s="724" t="s">
        <v>4093</v>
      </c>
      <c r="EL5" s="724" t="s">
        <v>3956</v>
      </c>
      <c r="EM5" s="724" t="s">
        <v>3957</v>
      </c>
      <c r="EN5" s="724" t="s">
        <v>3958</v>
      </c>
      <c r="EO5" s="724" t="s">
        <v>4094</v>
      </c>
      <c r="EP5" s="724" t="s">
        <v>3959</v>
      </c>
      <c r="EQ5" s="724" t="s">
        <v>3960</v>
      </c>
      <c r="ER5" s="724" t="s">
        <v>3961</v>
      </c>
      <c r="ES5" s="724" t="s">
        <v>3962</v>
      </c>
      <c r="ET5" s="724" t="s">
        <v>3963</v>
      </c>
      <c r="EU5" s="724" t="s">
        <v>4095</v>
      </c>
      <c r="EV5" s="724" t="s">
        <v>3964</v>
      </c>
      <c r="EW5" s="724" t="s">
        <v>3965</v>
      </c>
      <c r="EX5" s="724" t="s">
        <v>3966</v>
      </c>
      <c r="EY5" s="724" t="s">
        <v>3967</v>
      </c>
      <c r="EZ5" s="724" t="s">
        <v>3968</v>
      </c>
      <c r="FA5" s="818" t="s">
        <v>2472</v>
      </c>
      <c r="FB5" s="535" t="s">
        <v>4102</v>
      </c>
      <c r="FC5" s="535" t="s">
        <v>4104</v>
      </c>
      <c r="FD5" s="535" t="s">
        <v>4766</v>
      </c>
      <c r="FE5" s="535" t="s">
        <v>4767</v>
      </c>
      <c r="FF5" s="535" t="s">
        <v>3934</v>
      </c>
      <c r="FG5" s="535" t="s">
        <v>4616</v>
      </c>
      <c r="FH5" s="535" t="s">
        <v>4629</v>
      </c>
      <c r="FI5" s="724" t="s">
        <v>3953</v>
      </c>
      <c r="FJ5" s="724" t="s">
        <v>3952</v>
      </c>
      <c r="FK5" s="724" t="s">
        <v>4097</v>
      </c>
      <c r="FL5" s="535" t="s">
        <v>3080</v>
      </c>
      <c r="FM5" s="535" t="s">
        <v>3938</v>
      </c>
      <c r="FN5" s="535" t="s">
        <v>3939</v>
      </c>
      <c r="FO5" s="535" t="s">
        <v>4597</v>
      </c>
      <c r="FP5" s="535" t="s">
        <v>4683</v>
      </c>
      <c r="FQ5" s="535" t="s">
        <v>4783</v>
      </c>
      <c r="FR5" s="535" t="s">
        <v>4462</v>
      </c>
      <c r="FS5" s="535" t="s">
        <v>4463</v>
      </c>
      <c r="FT5" s="535" t="s">
        <v>4464</v>
      </c>
      <c r="FU5" s="535" t="s">
        <v>4466</v>
      </c>
      <c r="FV5" s="535" t="s">
        <v>4327</v>
      </c>
      <c r="FW5" s="535" t="s">
        <v>4328</v>
      </c>
      <c r="FX5" s="535" t="s">
        <v>4329</v>
      </c>
      <c r="FY5" s="535" t="s">
        <v>4330</v>
      </c>
      <c r="FZ5" s="535" t="s">
        <v>4467</v>
      </c>
      <c r="GA5" s="535" t="s">
        <v>4465</v>
      </c>
      <c r="GB5" s="535" t="s">
        <v>4468</v>
      </c>
      <c r="GC5" s="535" t="s">
        <v>4469</v>
      </c>
      <c r="GD5" s="535" t="s">
        <v>4331</v>
      </c>
      <c r="GE5" s="535" t="s">
        <v>4332</v>
      </c>
      <c r="GF5" s="535" t="s">
        <v>4333</v>
      </c>
      <c r="GG5" s="535" t="s">
        <v>4334</v>
      </c>
      <c r="GH5" s="2607"/>
      <c r="GI5" s="535" t="s">
        <v>4336</v>
      </c>
      <c r="GJ5" s="535" t="s">
        <v>4112</v>
      </c>
      <c r="GK5" s="535" t="s">
        <v>4305</v>
      </c>
      <c r="GL5" s="535" t="s">
        <v>4306</v>
      </c>
      <c r="GM5" s="535" t="s">
        <v>4307</v>
      </c>
      <c r="GN5" s="535" t="s">
        <v>4308</v>
      </c>
      <c r="GO5" s="535" t="s">
        <v>4310</v>
      </c>
      <c r="GP5" s="535" t="s">
        <v>4311</v>
      </c>
      <c r="GQ5" s="535" t="s">
        <v>4312</v>
      </c>
      <c r="GR5" s="535" t="s">
        <v>4313</v>
      </c>
      <c r="GS5" s="535" t="s">
        <v>4314</v>
      </c>
      <c r="GT5" s="535" t="s">
        <v>4309</v>
      </c>
      <c r="GU5" s="535" t="s">
        <v>4173</v>
      </c>
      <c r="GV5" s="535" t="s">
        <v>4172</v>
      </c>
      <c r="GW5" s="535" t="s">
        <v>3557</v>
      </c>
      <c r="GX5" s="535" t="s">
        <v>4315</v>
      </c>
      <c r="GY5" s="535" t="s">
        <v>4316</v>
      </c>
      <c r="GZ5" s="535" t="s">
        <v>4786</v>
      </c>
      <c r="HA5" s="535" t="s">
        <v>4105</v>
      </c>
      <c r="HB5" s="535" t="s">
        <v>4106</v>
      </c>
      <c r="HC5" s="535" t="s">
        <v>4107</v>
      </c>
      <c r="HD5" s="535" t="s">
        <v>4108</v>
      </c>
      <c r="HE5" s="535" t="s">
        <v>4317</v>
      </c>
      <c r="HF5" s="535" t="s">
        <v>4318</v>
      </c>
      <c r="HG5" s="535" t="s">
        <v>4319</v>
      </c>
      <c r="HH5" s="535" t="s">
        <v>4320</v>
      </c>
      <c r="HI5" s="535" t="s">
        <v>4321</v>
      </c>
      <c r="HJ5" s="535" t="s">
        <v>4322</v>
      </c>
      <c r="HK5" s="535" t="s">
        <v>4323</v>
      </c>
      <c r="HL5" s="535" t="s">
        <v>4324</v>
      </c>
      <c r="HM5" s="535" t="s">
        <v>4325</v>
      </c>
      <c r="HN5" s="535" t="s">
        <v>4326</v>
      </c>
      <c r="HO5" s="535" t="s">
        <v>4109</v>
      </c>
      <c r="HP5" s="535" t="s">
        <v>4170</v>
      </c>
      <c r="HQ5" s="535" t="s">
        <v>4171</v>
      </c>
      <c r="HR5" s="535" t="s">
        <v>4434</v>
      </c>
      <c r="HS5" s="535" t="s">
        <v>4432</v>
      </c>
      <c r="HT5" s="535" t="s">
        <v>4110</v>
      </c>
      <c r="HU5" s="535" t="s">
        <v>4780</v>
      </c>
      <c r="HV5" s="535" t="s">
        <v>4347</v>
      </c>
      <c r="HW5" s="535" t="s">
        <v>4348</v>
      </c>
      <c r="HX5" s="535" t="s">
        <v>4349</v>
      </c>
      <c r="HY5" s="535" t="s">
        <v>4350</v>
      </c>
      <c r="HZ5" s="535" t="s">
        <v>4351</v>
      </c>
      <c r="IA5" s="535" t="s">
        <v>4352</v>
      </c>
      <c r="IB5" s="535" t="s">
        <v>4353</v>
      </c>
      <c r="IC5" s="535" t="s">
        <v>4354</v>
      </c>
      <c r="ID5" s="535" t="s">
        <v>4355</v>
      </c>
      <c r="IE5" s="535" t="s">
        <v>4356</v>
      </c>
      <c r="IF5" s="535" t="s">
        <v>4357</v>
      </c>
      <c r="IG5" s="535" t="s">
        <v>4337</v>
      </c>
      <c r="IH5" s="535" t="s">
        <v>4338</v>
      </c>
      <c r="II5" s="535" t="s">
        <v>4339</v>
      </c>
      <c r="IJ5" s="535" t="s">
        <v>4340</v>
      </c>
      <c r="IK5" s="535" t="s">
        <v>4341</v>
      </c>
      <c r="IL5" s="535" t="s">
        <v>4342</v>
      </c>
      <c r="IM5" s="535" t="s">
        <v>4343</v>
      </c>
      <c r="IN5" s="535" t="s">
        <v>4344</v>
      </c>
      <c r="IO5" s="535" t="s">
        <v>4345</v>
      </c>
      <c r="IP5" s="535" t="s">
        <v>4346</v>
      </c>
      <c r="IQ5" s="535" t="s">
        <v>4282</v>
      </c>
      <c r="IR5" s="535" t="s">
        <v>4281</v>
      </c>
      <c r="IS5" s="535" t="s">
        <v>4280</v>
      </c>
      <c r="IT5" s="535" t="s">
        <v>4359</v>
      </c>
      <c r="IU5" s="535" t="s">
        <v>4360</v>
      </c>
      <c r="IV5" s="535" t="s">
        <v>4361</v>
      </c>
      <c r="IW5" s="535" t="s">
        <v>4362</v>
      </c>
      <c r="IX5" s="535" t="s">
        <v>4363</v>
      </c>
      <c r="IY5" s="535" t="s">
        <v>4364</v>
      </c>
      <c r="IZ5" s="535" t="s">
        <v>4365</v>
      </c>
      <c r="JA5" s="535" t="s">
        <v>4366</v>
      </c>
      <c r="JB5" s="535" t="s">
        <v>4367</v>
      </c>
      <c r="JC5" s="535" t="s">
        <v>4368</v>
      </c>
      <c r="JD5" s="535" t="s">
        <v>4369</v>
      </c>
      <c r="JE5" s="535" t="s">
        <v>4370</v>
      </c>
      <c r="JF5" s="535" t="s">
        <v>4371</v>
      </c>
      <c r="JG5" s="535" t="s">
        <v>4372</v>
      </c>
      <c r="JH5" s="535" t="s">
        <v>4373</v>
      </c>
      <c r="JI5" s="535" t="s">
        <v>4374</v>
      </c>
      <c r="JJ5" s="535" t="s">
        <v>4375</v>
      </c>
      <c r="JK5" s="535" t="s">
        <v>4376</v>
      </c>
      <c r="JL5" s="535" t="s">
        <v>4377</v>
      </c>
      <c r="JM5" s="535" t="s">
        <v>4436</v>
      </c>
      <c r="JN5" s="535" t="s">
        <v>4435</v>
      </c>
      <c r="JO5" s="535" t="s">
        <v>4378</v>
      </c>
      <c r="JP5" s="535" t="s">
        <v>4781</v>
      </c>
      <c r="JQ5" s="2690"/>
    </row>
    <row r="6" spans="1:277" s="411" customFormat="1" ht="18" customHeight="1">
      <c r="A6" s="569" t="s">
        <v>3969</v>
      </c>
      <c r="B6" s="817"/>
      <c r="C6" s="817"/>
      <c r="D6" s="431"/>
      <c r="E6" s="431"/>
      <c r="F6" s="431"/>
      <c r="G6" s="431"/>
      <c r="H6" s="431"/>
      <c r="I6" s="431"/>
      <c r="J6" s="431"/>
      <c r="K6" s="431"/>
      <c r="L6" s="431"/>
      <c r="M6" s="431"/>
      <c r="N6" s="431"/>
      <c r="O6" s="431"/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  <c r="AA6" s="431"/>
      <c r="AB6" s="431"/>
      <c r="AC6" s="431"/>
      <c r="AD6" s="431"/>
      <c r="AE6" s="431"/>
      <c r="AF6" s="431"/>
      <c r="AG6" s="431"/>
      <c r="AH6" s="431"/>
      <c r="AI6" s="431"/>
      <c r="AJ6" s="431"/>
      <c r="AK6" s="431"/>
      <c r="AL6" s="431"/>
      <c r="AM6" s="431"/>
      <c r="AN6" s="431"/>
      <c r="AO6" s="431"/>
      <c r="AP6" s="431"/>
      <c r="AQ6" s="431"/>
      <c r="AR6" s="431"/>
      <c r="AS6" s="431"/>
      <c r="AT6" s="431"/>
      <c r="AU6" s="431"/>
      <c r="AV6" s="431"/>
      <c r="AW6" s="431"/>
      <c r="AX6" s="431"/>
      <c r="AY6" s="431"/>
      <c r="AZ6" s="431"/>
      <c r="BA6" s="431"/>
      <c r="BB6" s="431"/>
      <c r="BC6" s="431"/>
      <c r="BD6" s="431"/>
      <c r="BE6" s="431"/>
      <c r="BF6" s="431"/>
      <c r="BG6" s="431"/>
      <c r="BH6" s="431"/>
      <c r="BI6" s="431"/>
      <c r="BJ6" s="431"/>
      <c r="BK6" s="431"/>
      <c r="BL6" s="431"/>
      <c r="BM6" s="431"/>
      <c r="BN6" s="431"/>
      <c r="BO6" s="431"/>
      <c r="BP6" s="431"/>
      <c r="BQ6" s="431"/>
      <c r="BR6" s="431"/>
      <c r="BS6" s="431"/>
      <c r="BT6" s="431"/>
      <c r="BU6" s="431"/>
      <c r="BV6" s="431"/>
      <c r="BW6" s="431"/>
      <c r="BX6" s="431"/>
      <c r="BY6" s="431"/>
      <c r="BZ6" s="431"/>
      <c r="CA6" s="431"/>
      <c r="CB6" s="431"/>
      <c r="CC6" s="431"/>
      <c r="CD6" s="431"/>
      <c r="CE6" s="431"/>
      <c r="CF6" s="431"/>
      <c r="CG6" s="431"/>
      <c r="CH6" s="431"/>
      <c r="CI6" s="431"/>
      <c r="CJ6" s="431"/>
      <c r="CK6" s="431"/>
      <c r="CL6" s="431"/>
      <c r="CM6" s="431"/>
      <c r="CN6" s="431"/>
      <c r="CO6" s="431"/>
      <c r="CP6" s="431"/>
      <c r="CQ6" s="431"/>
      <c r="CR6" s="431"/>
      <c r="CS6" s="431"/>
      <c r="CT6" s="431"/>
      <c r="CU6" s="431"/>
      <c r="CV6" s="431"/>
      <c r="CW6" s="431"/>
      <c r="CX6" s="431"/>
      <c r="CY6" s="431"/>
      <c r="CZ6" s="431"/>
      <c r="DA6" s="431"/>
      <c r="DB6" s="431"/>
      <c r="DC6" s="431"/>
      <c r="DD6" s="431"/>
      <c r="DE6" s="431"/>
      <c r="DF6" s="431"/>
      <c r="DG6" s="431"/>
      <c r="DH6" s="431"/>
      <c r="DI6" s="431"/>
      <c r="DJ6" s="431"/>
      <c r="DK6" s="431"/>
      <c r="DL6" s="431"/>
      <c r="DM6" s="431"/>
      <c r="DN6" s="431"/>
      <c r="DO6" s="431"/>
      <c r="DP6" s="431"/>
      <c r="DQ6" s="431"/>
      <c r="DR6" s="431"/>
      <c r="DS6" s="431"/>
      <c r="DT6" s="431"/>
      <c r="DU6" s="431"/>
      <c r="DV6" s="431"/>
      <c r="DW6" s="431"/>
      <c r="DX6" s="431"/>
      <c r="DY6" s="431"/>
      <c r="DZ6" s="431"/>
      <c r="EA6" s="431"/>
      <c r="EB6" s="431"/>
      <c r="EC6" s="431"/>
      <c r="ED6" s="431"/>
      <c r="EE6" s="431"/>
      <c r="EF6" s="431"/>
      <c r="EG6" s="431"/>
      <c r="EH6" s="431"/>
      <c r="EI6" s="431"/>
      <c r="EJ6" s="431"/>
      <c r="EK6" s="431"/>
      <c r="EL6" s="431"/>
      <c r="EM6" s="431"/>
      <c r="EN6" s="431"/>
      <c r="EO6" s="431"/>
      <c r="EP6" s="431"/>
      <c r="EQ6" s="431"/>
      <c r="ER6" s="431"/>
      <c r="ES6" s="431"/>
      <c r="ET6" s="431"/>
      <c r="EU6" s="431"/>
      <c r="EV6" s="431"/>
      <c r="EW6" s="431"/>
      <c r="EX6" s="431"/>
      <c r="EY6" s="431"/>
      <c r="EZ6" s="431"/>
      <c r="FA6" s="431"/>
      <c r="FB6" s="431"/>
      <c r="FC6" s="431"/>
      <c r="FD6" s="431"/>
      <c r="FE6" s="431"/>
      <c r="FF6" s="431"/>
      <c r="FG6" s="431"/>
      <c r="FH6" s="431"/>
      <c r="FI6" s="431"/>
      <c r="FJ6" s="431"/>
      <c r="FK6" s="431"/>
      <c r="FL6" s="431"/>
      <c r="FM6" s="431"/>
      <c r="FN6" s="431"/>
      <c r="FO6" s="431"/>
      <c r="FP6" s="431"/>
      <c r="FQ6" s="431"/>
      <c r="FR6" s="431"/>
      <c r="FS6" s="431"/>
      <c r="FT6" s="431"/>
      <c r="FU6" s="431"/>
      <c r="FV6" s="431"/>
      <c r="FW6" s="431"/>
      <c r="FX6" s="431"/>
      <c r="FY6" s="431"/>
      <c r="FZ6" s="431"/>
      <c r="GA6" s="431"/>
      <c r="GB6" s="431"/>
      <c r="GC6" s="431"/>
      <c r="GD6" s="431"/>
      <c r="GE6" s="431"/>
      <c r="GF6" s="431"/>
      <c r="GG6" s="431"/>
      <c r="GH6" s="431"/>
      <c r="GI6" s="431"/>
      <c r="GJ6" s="431"/>
      <c r="GK6" s="431"/>
      <c r="GL6" s="431"/>
      <c r="GM6" s="431"/>
      <c r="GN6" s="431"/>
      <c r="GO6" s="431"/>
      <c r="GP6" s="431"/>
      <c r="GQ6" s="431"/>
      <c r="GR6" s="431"/>
      <c r="GS6" s="431"/>
      <c r="GT6" s="431"/>
      <c r="GU6" s="431"/>
      <c r="GV6" s="431"/>
      <c r="GW6" s="431"/>
      <c r="GX6" s="431"/>
      <c r="GY6" s="431"/>
      <c r="GZ6" s="431"/>
      <c r="HA6" s="431"/>
      <c r="HB6" s="431"/>
      <c r="HC6" s="431"/>
      <c r="HD6" s="431"/>
      <c r="HE6" s="431"/>
      <c r="HF6" s="431"/>
      <c r="HG6" s="431"/>
      <c r="HH6" s="431"/>
      <c r="HI6" s="431"/>
      <c r="HJ6" s="431"/>
      <c r="HK6" s="431"/>
      <c r="HL6" s="431"/>
      <c r="HM6" s="431"/>
      <c r="HN6" s="431"/>
      <c r="HO6" s="431"/>
      <c r="HP6" s="431"/>
      <c r="HQ6" s="431"/>
      <c r="HR6" s="431"/>
      <c r="HS6" s="431"/>
      <c r="HT6" s="431"/>
      <c r="HU6" s="431"/>
      <c r="HV6" s="431"/>
      <c r="HW6" s="431"/>
      <c r="HX6" s="431"/>
      <c r="HY6" s="431"/>
      <c r="HZ6" s="431"/>
      <c r="IA6" s="431"/>
      <c r="IB6" s="431"/>
      <c r="IC6" s="431"/>
      <c r="ID6" s="431"/>
      <c r="IE6" s="431"/>
      <c r="IF6" s="431"/>
      <c r="IG6" s="431"/>
      <c r="IH6" s="431"/>
      <c r="II6" s="431"/>
      <c r="IJ6" s="431"/>
      <c r="IK6" s="431"/>
      <c r="IL6" s="431"/>
      <c r="IM6" s="431"/>
      <c r="IN6" s="431"/>
      <c r="IO6" s="431"/>
      <c r="IP6" s="431"/>
      <c r="IQ6" s="431"/>
      <c r="IR6" s="431"/>
      <c r="IS6" s="431"/>
      <c r="IT6" s="431"/>
      <c r="IU6" s="431"/>
      <c r="IV6" s="431"/>
      <c r="IW6" s="431"/>
      <c r="IX6" s="431"/>
      <c r="IY6" s="431"/>
      <c r="IZ6" s="431"/>
      <c r="JA6" s="431"/>
      <c r="JB6" s="431"/>
      <c r="JC6" s="431"/>
      <c r="JD6" s="431"/>
      <c r="JE6" s="431"/>
      <c r="JF6" s="431"/>
      <c r="JG6" s="431"/>
      <c r="JH6" s="431"/>
      <c r="JI6" s="431"/>
      <c r="JJ6" s="431"/>
      <c r="JK6" s="431"/>
      <c r="JL6" s="431"/>
      <c r="JM6" s="431"/>
      <c r="JN6" s="431"/>
      <c r="JO6" s="431"/>
      <c r="JP6" s="431"/>
      <c r="JQ6" s="571"/>
    </row>
    <row r="7" spans="1:277" ht="13.8">
      <c r="A7" s="840"/>
      <c r="B7" s="833"/>
      <c r="C7" s="833"/>
      <c r="D7" s="538"/>
      <c r="E7" s="538"/>
      <c r="F7" s="538"/>
      <c r="G7" s="538"/>
      <c r="H7" s="538"/>
      <c r="I7" s="538"/>
      <c r="J7" s="538"/>
      <c r="K7" s="538"/>
      <c r="L7" s="538"/>
      <c r="M7" s="538"/>
      <c r="N7" s="538"/>
      <c r="O7" s="538"/>
      <c r="P7" s="538"/>
      <c r="Q7" s="538"/>
      <c r="R7" s="538"/>
      <c r="S7" s="538"/>
      <c r="T7" s="538"/>
      <c r="U7" s="538"/>
      <c r="V7" s="538"/>
      <c r="W7" s="538"/>
      <c r="X7" s="538"/>
      <c r="Y7" s="538"/>
      <c r="Z7" s="538"/>
      <c r="AA7" s="538"/>
      <c r="AB7" s="538"/>
      <c r="AC7" s="538"/>
      <c r="AD7" s="538"/>
      <c r="AE7" s="538"/>
      <c r="AF7" s="538"/>
      <c r="AG7" s="538"/>
      <c r="AH7" s="538"/>
      <c r="AI7" s="538"/>
      <c r="AJ7" s="538"/>
      <c r="AK7" s="538"/>
      <c r="AL7" s="538"/>
      <c r="AM7" s="538"/>
      <c r="AN7" s="538"/>
      <c r="AO7" s="538"/>
      <c r="AP7" s="538"/>
      <c r="AQ7" s="538"/>
      <c r="AR7" s="538"/>
      <c r="AS7" s="538"/>
      <c r="AT7" s="538"/>
      <c r="AU7" s="538"/>
      <c r="AV7" s="835"/>
      <c r="AW7" s="835"/>
      <c r="AX7" s="538"/>
      <c r="AY7" s="593"/>
      <c r="AZ7" s="593"/>
      <c r="BA7" s="593"/>
      <c r="BB7" s="593"/>
      <c r="BC7" s="593"/>
      <c r="BD7" s="593"/>
      <c r="BE7" s="593"/>
      <c r="BF7" s="593"/>
      <c r="BG7" s="593"/>
      <c r="BH7" s="593"/>
      <c r="BI7" s="593"/>
      <c r="BJ7" s="593"/>
      <c r="BK7" s="593"/>
      <c r="BL7" s="593"/>
      <c r="BM7" s="593"/>
      <c r="BN7" s="593"/>
      <c r="BO7" s="593"/>
      <c r="BP7" s="593"/>
      <c r="BQ7" s="593"/>
      <c r="BR7" s="593"/>
      <c r="BS7" s="593"/>
      <c r="BT7" s="593"/>
      <c r="BU7" s="593"/>
      <c r="BV7" s="593"/>
      <c r="BW7" s="593"/>
      <c r="BX7" s="593"/>
      <c r="BY7" s="593"/>
      <c r="BZ7" s="593"/>
      <c r="CA7" s="593"/>
      <c r="CB7" s="593"/>
      <c r="CC7" s="593"/>
      <c r="CD7" s="593"/>
      <c r="CE7" s="593"/>
      <c r="CF7" s="593"/>
      <c r="CG7" s="593"/>
      <c r="CH7" s="593"/>
      <c r="CI7" s="593"/>
      <c r="CJ7" s="593"/>
      <c r="CK7" s="593"/>
      <c r="CL7" s="593"/>
      <c r="CM7" s="593"/>
      <c r="CN7" s="593"/>
      <c r="CO7" s="593"/>
      <c r="CP7" s="593"/>
      <c r="CQ7" s="593"/>
      <c r="CR7" s="593"/>
      <c r="CS7" s="593"/>
      <c r="CT7" s="593"/>
      <c r="CU7" s="593"/>
      <c r="CV7" s="593"/>
      <c r="CW7" s="593"/>
      <c r="CX7" s="593"/>
      <c r="CY7" s="593"/>
      <c r="CZ7" s="593"/>
      <c r="DA7" s="593"/>
      <c r="DB7" s="593"/>
      <c r="DC7" s="593"/>
      <c r="DD7" s="593"/>
      <c r="DE7" s="593"/>
      <c r="DF7" s="593"/>
      <c r="DG7" s="593"/>
      <c r="DH7" s="836"/>
      <c r="DI7" s="593"/>
      <c r="DJ7" s="836"/>
      <c r="DK7" s="593"/>
      <c r="DL7" s="593"/>
      <c r="DM7" s="593"/>
      <c r="DN7" s="593"/>
      <c r="DO7" s="593"/>
      <c r="DP7" s="593"/>
      <c r="DQ7" s="593"/>
      <c r="DR7" s="593"/>
      <c r="DS7" s="593"/>
      <c r="DT7" s="593"/>
      <c r="DU7" s="593"/>
      <c r="DV7" s="593"/>
      <c r="DW7" s="593"/>
      <c r="DX7" s="593"/>
      <c r="DY7" s="593"/>
      <c r="DZ7" s="593"/>
      <c r="EA7" s="593"/>
      <c r="EB7" s="593"/>
      <c r="EC7" s="593"/>
      <c r="ED7" s="593"/>
      <c r="EE7" s="593"/>
      <c r="EF7" s="593"/>
      <c r="EG7" s="593"/>
      <c r="EH7" s="593"/>
      <c r="EI7" s="593"/>
      <c r="EJ7" s="593"/>
      <c r="EK7" s="593"/>
      <c r="EL7" s="593"/>
      <c r="EM7" s="593"/>
      <c r="EN7" s="593"/>
      <c r="EO7" s="593"/>
      <c r="EP7" s="593"/>
      <c r="EQ7" s="593"/>
      <c r="ER7" s="593"/>
      <c r="ES7" s="593"/>
      <c r="ET7" s="593"/>
      <c r="EU7" s="593"/>
      <c r="EV7" s="593"/>
      <c r="EW7" s="593"/>
      <c r="EX7" s="593"/>
      <c r="EY7" s="593"/>
      <c r="EZ7" s="593"/>
      <c r="FA7" s="593"/>
      <c r="FB7" s="593"/>
      <c r="FC7" s="593"/>
      <c r="FD7" s="836"/>
      <c r="FE7" s="593"/>
      <c r="FF7" s="593"/>
      <c r="FG7" s="593"/>
      <c r="FH7" s="593"/>
      <c r="FI7" s="593"/>
      <c r="FJ7" s="593"/>
      <c r="FK7" s="593"/>
      <c r="FL7" s="593"/>
      <c r="FM7" s="593"/>
      <c r="FN7" s="593"/>
      <c r="FO7" s="593"/>
      <c r="FP7" s="593"/>
      <c r="FQ7" s="593"/>
      <c r="FR7" s="593"/>
      <c r="FS7" s="593"/>
      <c r="FT7" s="593"/>
      <c r="FU7" s="593"/>
      <c r="FV7" s="593"/>
      <c r="FW7" s="593"/>
      <c r="FX7" s="593"/>
      <c r="FY7" s="593"/>
      <c r="FZ7" s="593"/>
      <c r="GA7" s="593"/>
      <c r="GB7" s="593"/>
      <c r="GC7" s="593"/>
      <c r="GD7" s="593"/>
      <c r="GE7" s="593"/>
      <c r="GF7" s="593"/>
      <c r="GG7" s="593"/>
      <c r="GH7" s="593"/>
      <c r="GI7" s="593"/>
      <c r="GJ7" s="593"/>
      <c r="GK7" s="593"/>
      <c r="GL7" s="593"/>
      <c r="GM7" s="593"/>
      <c r="GN7" s="593"/>
      <c r="GO7" s="593"/>
      <c r="GP7" s="593"/>
      <c r="GQ7" s="593"/>
      <c r="GR7" s="593"/>
      <c r="GS7" s="593"/>
      <c r="GT7" s="593"/>
      <c r="GU7" s="593"/>
      <c r="GV7" s="593"/>
      <c r="GW7" s="593"/>
      <c r="GX7" s="593"/>
      <c r="GY7" s="593"/>
      <c r="GZ7" s="593"/>
      <c r="HA7" s="593"/>
      <c r="HB7" s="593"/>
      <c r="HC7" s="593"/>
      <c r="HD7" s="757"/>
      <c r="HE7" s="593"/>
      <c r="HF7" s="593"/>
      <c r="HG7" s="593"/>
      <c r="HH7" s="593"/>
      <c r="HI7" s="593"/>
      <c r="HJ7" s="593"/>
      <c r="HK7" s="593"/>
      <c r="HL7" s="593"/>
      <c r="HM7" s="593"/>
      <c r="HN7" s="593"/>
      <c r="HO7" s="593"/>
      <c r="HP7" s="593"/>
      <c r="HQ7" s="593"/>
      <c r="HR7" s="593"/>
      <c r="HS7" s="593"/>
      <c r="HT7" s="593"/>
      <c r="HU7" s="593"/>
      <c r="HV7" s="593"/>
      <c r="HW7" s="593"/>
      <c r="HX7" s="593"/>
      <c r="HY7" s="593"/>
      <c r="HZ7" s="593"/>
      <c r="IA7" s="593"/>
      <c r="IB7" s="593"/>
      <c r="IC7" s="593"/>
      <c r="ID7" s="593"/>
      <c r="IE7" s="593"/>
      <c r="IF7" s="593"/>
      <c r="IG7" s="593"/>
      <c r="IH7" s="593"/>
      <c r="II7" s="593"/>
      <c r="IJ7" s="593"/>
      <c r="IK7" s="593"/>
      <c r="IL7" s="593"/>
      <c r="IM7" s="593"/>
      <c r="IN7" s="593"/>
      <c r="IO7" s="593"/>
      <c r="IP7" s="593"/>
      <c r="IQ7" s="593"/>
      <c r="IR7" s="593"/>
      <c r="IS7" s="593"/>
      <c r="IT7" s="593"/>
      <c r="IU7" s="593"/>
      <c r="IV7" s="593"/>
      <c r="IW7" s="593"/>
      <c r="IX7" s="593"/>
      <c r="IY7" s="593"/>
      <c r="IZ7" s="593"/>
      <c r="JA7" s="593"/>
      <c r="JB7" s="593"/>
      <c r="JC7" s="593"/>
      <c r="JD7" s="593"/>
      <c r="JE7" s="593"/>
      <c r="JF7" s="593"/>
      <c r="JG7" s="593"/>
      <c r="JH7" s="593"/>
      <c r="JI7" s="593"/>
      <c r="JJ7" s="593"/>
      <c r="JK7" s="593"/>
      <c r="JL7" s="593"/>
      <c r="JM7" s="593"/>
      <c r="JN7" s="593"/>
      <c r="JO7" s="593"/>
      <c r="JP7" s="837"/>
      <c r="JQ7" s="436"/>
    </row>
    <row r="8" spans="1:277" ht="13.8">
      <c r="A8" s="840"/>
      <c r="B8" s="833"/>
      <c r="C8" s="833"/>
      <c r="D8" s="538"/>
      <c r="E8" s="538"/>
      <c r="F8" s="538"/>
      <c r="G8" s="538"/>
      <c r="H8" s="538"/>
      <c r="I8" s="538"/>
      <c r="J8" s="538"/>
      <c r="K8" s="538"/>
      <c r="L8" s="538"/>
      <c r="M8" s="538"/>
      <c r="N8" s="538"/>
      <c r="O8" s="538"/>
      <c r="P8" s="538"/>
      <c r="Q8" s="538"/>
      <c r="R8" s="538"/>
      <c r="S8" s="538"/>
      <c r="T8" s="538"/>
      <c r="U8" s="538"/>
      <c r="V8" s="538"/>
      <c r="W8" s="538"/>
      <c r="X8" s="538"/>
      <c r="Y8" s="538"/>
      <c r="Z8" s="538"/>
      <c r="AA8" s="538"/>
      <c r="AB8" s="538"/>
      <c r="AC8" s="538"/>
      <c r="AD8" s="538"/>
      <c r="AE8" s="538"/>
      <c r="AF8" s="538"/>
      <c r="AG8" s="538"/>
      <c r="AH8" s="538"/>
      <c r="AI8" s="538"/>
      <c r="AJ8" s="538"/>
      <c r="AK8" s="538"/>
      <c r="AL8" s="538"/>
      <c r="AM8" s="538"/>
      <c r="AN8" s="538"/>
      <c r="AO8" s="538"/>
      <c r="AP8" s="538"/>
      <c r="AQ8" s="538"/>
      <c r="AR8" s="538"/>
      <c r="AS8" s="538"/>
      <c r="AT8" s="538"/>
      <c r="AU8" s="538"/>
      <c r="AV8" s="835"/>
      <c r="AW8" s="835"/>
      <c r="AX8" s="538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  <c r="BU8" s="593"/>
      <c r="BV8" s="593"/>
      <c r="BW8" s="593"/>
      <c r="BX8" s="593"/>
      <c r="BY8" s="593"/>
      <c r="BZ8" s="593"/>
      <c r="CA8" s="593"/>
      <c r="CB8" s="593"/>
      <c r="CC8" s="593"/>
      <c r="CD8" s="593"/>
      <c r="CE8" s="593"/>
      <c r="CF8" s="593"/>
      <c r="CG8" s="593"/>
      <c r="CH8" s="593"/>
      <c r="CI8" s="593"/>
      <c r="CJ8" s="593"/>
      <c r="CK8" s="593"/>
      <c r="CL8" s="593"/>
      <c r="CM8" s="593"/>
      <c r="CN8" s="593"/>
      <c r="CO8" s="593"/>
      <c r="CP8" s="593"/>
      <c r="CQ8" s="593"/>
      <c r="CR8" s="593"/>
      <c r="CS8" s="593"/>
      <c r="CT8" s="593"/>
      <c r="CU8" s="593"/>
      <c r="CV8" s="593"/>
      <c r="CW8" s="593"/>
      <c r="CX8" s="593"/>
      <c r="CY8" s="593"/>
      <c r="CZ8" s="593"/>
      <c r="DA8" s="593"/>
      <c r="DB8" s="593"/>
      <c r="DC8" s="593"/>
      <c r="DD8" s="593"/>
      <c r="DE8" s="593"/>
      <c r="DF8" s="593"/>
      <c r="DG8" s="593"/>
      <c r="DH8" s="836"/>
      <c r="DI8" s="593"/>
      <c r="DJ8" s="836"/>
      <c r="DK8" s="593"/>
      <c r="DL8" s="593"/>
      <c r="DM8" s="593"/>
      <c r="DN8" s="593"/>
      <c r="DO8" s="593"/>
      <c r="DP8" s="593"/>
      <c r="DQ8" s="593"/>
      <c r="DR8" s="593"/>
      <c r="DS8" s="593"/>
      <c r="DT8" s="593"/>
      <c r="DU8" s="593"/>
      <c r="DV8" s="593"/>
      <c r="DW8" s="593"/>
      <c r="DX8" s="593"/>
      <c r="DY8" s="593"/>
      <c r="DZ8" s="593"/>
      <c r="EA8" s="593"/>
      <c r="EB8" s="593"/>
      <c r="EC8" s="593"/>
      <c r="ED8" s="593"/>
      <c r="EE8" s="593"/>
      <c r="EF8" s="593"/>
      <c r="EG8" s="593"/>
      <c r="EH8" s="593"/>
      <c r="EI8" s="593"/>
      <c r="EJ8" s="593"/>
      <c r="EK8" s="593"/>
      <c r="EL8" s="593"/>
      <c r="EM8" s="593"/>
      <c r="EN8" s="593"/>
      <c r="EO8" s="593"/>
      <c r="EP8" s="593"/>
      <c r="EQ8" s="593"/>
      <c r="ER8" s="593"/>
      <c r="ES8" s="593"/>
      <c r="ET8" s="593"/>
      <c r="EU8" s="593"/>
      <c r="EV8" s="593"/>
      <c r="EW8" s="593"/>
      <c r="EX8" s="593"/>
      <c r="EY8" s="593"/>
      <c r="EZ8" s="593"/>
      <c r="FA8" s="593"/>
      <c r="FB8" s="593"/>
      <c r="FC8" s="593"/>
      <c r="FD8" s="836"/>
      <c r="FE8" s="593"/>
      <c r="FF8" s="593"/>
      <c r="FG8" s="593"/>
      <c r="FH8" s="593"/>
      <c r="FI8" s="593"/>
      <c r="FJ8" s="593"/>
      <c r="FK8" s="593"/>
      <c r="FL8" s="593"/>
      <c r="FM8" s="593"/>
      <c r="FN8" s="593"/>
      <c r="FO8" s="593"/>
      <c r="FP8" s="593"/>
      <c r="FQ8" s="593"/>
      <c r="FR8" s="593"/>
      <c r="FS8" s="593"/>
      <c r="FT8" s="593"/>
      <c r="FU8" s="593"/>
      <c r="FV8" s="593"/>
      <c r="FW8" s="593"/>
      <c r="FX8" s="593"/>
      <c r="FY8" s="593"/>
      <c r="FZ8" s="593"/>
      <c r="GA8" s="593"/>
      <c r="GB8" s="593"/>
      <c r="GC8" s="593"/>
      <c r="GD8" s="593"/>
      <c r="GE8" s="593"/>
      <c r="GF8" s="593"/>
      <c r="GG8" s="593"/>
      <c r="GH8" s="593"/>
      <c r="GI8" s="593"/>
      <c r="GJ8" s="593"/>
      <c r="GK8" s="593"/>
      <c r="GL8" s="593"/>
      <c r="GM8" s="593"/>
      <c r="GN8" s="593"/>
      <c r="GO8" s="593"/>
      <c r="GP8" s="593"/>
      <c r="GQ8" s="593"/>
      <c r="GR8" s="593"/>
      <c r="GS8" s="593"/>
      <c r="GT8" s="593"/>
      <c r="GU8" s="593"/>
      <c r="GV8" s="593"/>
      <c r="GW8" s="593"/>
      <c r="GX8" s="593"/>
      <c r="GY8" s="593"/>
      <c r="GZ8" s="593"/>
      <c r="HA8" s="593"/>
      <c r="HB8" s="593"/>
      <c r="HC8" s="593"/>
      <c r="HD8" s="757"/>
      <c r="HE8" s="593"/>
      <c r="HF8" s="593"/>
      <c r="HG8" s="593"/>
      <c r="HH8" s="593"/>
      <c r="HI8" s="593"/>
      <c r="HJ8" s="593"/>
      <c r="HK8" s="593"/>
      <c r="HL8" s="593"/>
      <c r="HM8" s="593"/>
      <c r="HN8" s="593"/>
      <c r="HO8" s="593"/>
      <c r="HP8" s="593"/>
      <c r="HQ8" s="593"/>
      <c r="HR8" s="593"/>
      <c r="HS8" s="593"/>
      <c r="HT8" s="593"/>
      <c r="HU8" s="593"/>
      <c r="HV8" s="593"/>
      <c r="HW8" s="593"/>
      <c r="HX8" s="593"/>
      <c r="HY8" s="593"/>
      <c r="HZ8" s="593"/>
      <c r="IA8" s="593"/>
      <c r="IB8" s="593"/>
      <c r="IC8" s="593"/>
      <c r="ID8" s="593"/>
      <c r="IE8" s="593"/>
      <c r="IF8" s="593"/>
      <c r="IG8" s="593"/>
      <c r="IH8" s="593"/>
      <c r="II8" s="593"/>
      <c r="IJ8" s="593"/>
      <c r="IK8" s="593"/>
      <c r="IL8" s="593"/>
      <c r="IM8" s="593"/>
      <c r="IN8" s="593"/>
      <c r="IO8" s="593"/>
      <c r="IP8" s="593"/>
      <c r="IQ8" s="593"/>
      <c r="IR8" s="593"/>
      <c r="IS8" s="593"/>
      <c r="IT8" s="593"/>
      <c r="IU8" s="593"/>
      <c r="IV8" s="593"/>
      <c r="IW8" s="593"/>
      <c r="IX8" s="593"/>
      <c r="IY8" s="593"/>
      <c r="IZ8" s="593"/>
      <c r="JA8" s="593"/>
      <c r="JB8" s="593"/>
      <c r="JC8" s="593"/>
      <c r="JD8" s="593"/>
      <c r="JE8" s="593"/>
      <c r="JF8" s="593"/>
      <c r="JG8" s="593"/>
      <c r="JH8" s="593"/>
      <c r="JI8" s="593"/>
      <c r="JJ8" s="593"/>
      <c r="JK8" s="593"/>
      <c r="JL8" s="593"/>
      <c r="JM8" s="593"/>
      <c r="JN8" s="593"/>
      <c r="JO8" s="593"/>
      <c r="JP8" s="837"/>
      <c r="JQ8" s="436"/>
    </row>
    <row r="9" spans="1:277" ht="13.8">
      <c r="A9" s="840"/>
      <c r="B9" s="833"/>
      <c r="C9" s="833"/>
      <c r="D9" s="538"/>
      <c r="E9" s="538"/>
      <c r="F9" s="538"/>
      <c r="G9" s="538"/>
      <c r="H9" s="538"/>
      <c r="I9" s="538"/>
      <c r="J9" s="538"/>
      <c r="K9" s="538"/>
      <c r="L9" s="538"/>
      <c r="M9" s="538"/>
      <c r="N9" s="538"/>
      <c r="O9" s="538"/>
      <c r="P9" s="538"/>
      <c r="Q9" s="538"/>
      <c r="R9" s="538"/>
      <c r="S9" s="538"/>
      <c r="T9" s="538"/>
      <c r="U9" s="538"/>
      <c r="V9" s="538"/>
      <c r="W9" s="538"/>
      <c r="X9" s="538"/>
      <c r="Y9" s="538"/>
      <c r="Z9" s="538"/>
      <c r="AA9" s="538"/>
      <c r="AB9" s="538"/>
      <c r="AC9" s="538"/>
      <c r="AD9" s="538"/>
      <c r="AE9" s="538"/>
      <c r="AF9" s="538"/>
      <c r="AG9" s="538"/>
      <c r="AH9" s="538"/>
      <c r="AI9" s="538"/>
      <c r="AJ9" s="538"/>
      <c r="AK9" s="538"/>
      <c r="AL9" s="538"/>
      <c r="AM9" s="538"/>
      <c r="AN9" s="538"/>
      <c r="AO9" s="538"/>
      <c r="AP9" s="538"/>
      <c r="AQ9" s="538"/>
      <c r="AR9" s="538"/>
      <c r="AS9" s="538"/>
      <c r="AT9" s="538"/>
      <c r="AU9" s="538"/>
      <c r="AV9" s="835"/>
      <c r="AW9" s="835"/>
      <c r="AX9" s="538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  <c r="BU9" s="593"/>
      <c r="BV9" s="593"/>
      <c r="BW9" s="593"/>
      <c r="BX9" s="593"/>
      <c r="BY9" s="593"/>
      <c r="BZ9" s="593"/>
      <c r="CA9" s="593"/>
      <c r="CB9" s="593"/>
      <c r="CC9" s="593"/>
      <c r="CD9" s="593"/>
      <c r="CE9" s="593"/>
      <c r="CF9" s="593"/>
      <c r="CG9" s="593"/>
      <c r="CH9" s="593"/>
      <c r="CI9" s="593"/>
      <c r="CJ9" s="593"/>
      <c r="CK9" s="593"/>
      <c r="CL9" s="593"/>
      <c r="CM9" s="593"/>
      <c r="CN9" s="593"/>
      <c r="CO9" s="593"/>
      <c r="CP9" s="593"/>
      <c r="CQ9" s="593"/>
      <c r="CR9" s="593"/>
      <c r="CS9" s="593"/>
      <c r="CT9" s="593"/>
      <c r="CU9" s="593"/>
      <c r="CV9" s="593"/>
      <c r="CW9" s="593"/>
      <c r="CX9" s="593"/>
      <c r="CY9" s="593"/>
      <c r="CZ9" s="593"/>
      <c r="DA9" s="593"/>
      <c r="DB9" s="593"/>
      <c r="DC9" s="593"/>
      <c r="DD9" s="593"/>
      <c r="DE9" s="593"/>
      <c r="DF9" s="593"/>
      <c r="DG9" s="593"/>
      <c r="DH9" s="836"/>
      <c r="DI9" s="593"/>
      <c r="DJ9" s="836"/>
      <c r="DK9" s="593"/>
      <c r="DL9" s="593"/>
      <c r="DM9" s="593"/>
      <c r="DN9" s="593"/>
      <c r="DO9" s="593"/>
      <c r="DP9" s="593"/>
      <c r="DQ9" s="593"/>
      <c r="DR9" s="593"/>
      <c r="DS9" s="593"/>
      <c r="DT9" s="593"/>
      <c r="DU9" s="593"/>
      <c r="DV9" s="593"/>
      <c r="DW9" s="593"/>
      <c r="DX9" s="593"/>
      <c r="DY9" s="593"/>
      <c r="DZ9" s="593"/>
      <c r="EA9" s="593"/>
      <c r="EB9" s="593"/>
      <c r="EC9" s="593"/>
      <c r="ED9" s="593"/>
      <c r="EE9" s="593"/>
      <c r="EF9" s="593"/>
      <c r="EG9" s="593"/>
      <c r="EH9" s="593"/>
      <c r="EI9" s="593"/>
      <c r="EJ9" s="593"/>
      <c r="EK9" s="593"/>
      <c r="EL9" s="593"/>
      <c r="EM9" s="593"/>
      <c r="EN9" s="593"/>
      <c r="EO9" s="593"/>
      <c r="EP9" s="593"/>
      <c r="EQ9" s="593"/>
      <c r="ER9" s="593"/>
      <c r="ES9" s="593"/>
      <c r="ET9" s="593"/>
      <c r="EU9" s="593"/>
      <c r="EV9" s="593"/>
      <c r="EW9" s="593"/>
      <c r="EX9" s="593"/>
      <c r="EY9" s="593"/>
      <c r="EZ9" s="593"/>
      <c r="FA9" s="593"/>
      <c r="FB9" s="593"/>
      <c r="FC9" s="593"/>
      <c r="FD9" s="836"/>
      <c r="FE9" s="593"/>
      <c r="FF9" s="593"/>
      <c r="FG9" s="593"/>
      <c r="FH9" s="593"/>
      <c r="FI9" s="593"/>
      <c r="FJ9" s="593"/>
      <c r="FK9" s="593"/>
      <c r="FL9" s="593"/>
      <c r="FM9" s="593"/>
      <c r="FN9" s="593"/>
      <c r="FO9" s="593"/>
      <c r="FP9" s="593"/>
      <c r="FQ9" s="593"/>
      <c r="FR9" s="593"/>
      <c r="FS9" s="593"/>
      <c r="FT9" s="593"/>
      <c r="FU9" s="593"/>
      <c r="FV9" s="593"/>
      <c r="FW9" s="593"/>
      <c r="FX9" s="593"/>
      <c r="FY9" s="593"/>
      <c r="FZ9" s="593"/>
      <c r="GA9" s="593"/>
      <c r="GB9" s="593"/>
      <c r="GC9" s="593"/>
      <c r="GD9" s="593"/>
      <c r="GE9" s="593"/>
      <c r="GF9" s="593"/>
      <c r="GG9" s="593"/>
      <c r="GH9" s="593"/>
      <c r="GI9" s="593"/>
      <c r="GJ9" s="593"/>
      <c r="GK9" s="593"/>
      <c r="GL9" s="593"/>
      <c r="GM9" s="593"/>
      <c r="GN9" s="593"/>
      <c r="GO9" s="593"/>
      <c r="GP9" s="593"/>
      <c r="GQ9" s="593"/>
      <c r="GR9" s="593"/>
      <c r="GS9" s="593"/>
      <c r="GT9" s="593"/>
      <c r="GU9" s="593"/>
      <c r="GV9" s="593"/>
      <c r="GW9" s="593"/>
      <c r="GX9" s="593"/>
      <c r="GY9" s="593"/>
      <c r="GZ9" s="593"/>
      <c r="HA9" s="593"/>
      <c r="HB9" s="593"/>
      <c r="HC9" s="593"/>
      <c r="HD9" s="757"/>
      <c r="HE9" s="593"/>
      <c r="HF9" s="593"/>
      <c r="HG9" s="593"/>
      <c r="HH9" s="593"/>
      <c r="HI9" s="593"/>
      <c r="HJ9" s="593"/>
      <c r="HK9" s="593"/>
      <c r="HL9" s="593"/>
      <c r="HM9" s="593"/>
      <c r="HN9" s="593"/>
      <c r="HO9" s="593"/>
      <c r="HP9" s="593"/>
      <c r="HQ9" s="593"/>
      <c r="HR9" s="593"/>
      <c r="HS9" s="593"/>
      <c r="HT9" s="593"/>
      <c r="HU9" s="593"/>
      <c r="HV9" s="593"/>
      <c r="HW9" s="593"/>
      <c r="HX9" s="593"/>
      <c r="HY9" s="593"/>
      <c r="HZ9" s="593"/>
      <c r="IA9" s="593"/>
      <c r="IB9" s="593"/>
      <c r="IC9" s="593"/>
      <c r="ID9" s="593"/>
      <c r="IE9" s="593"/>
      <c r="IF9" s="593"/>
      <c r="IG9" s="593"/>
      <c r="IH9" s="593"/>
      <c r="II9" s="593"/>
      <c r="IJ9" s="593"/>
      <c r="IK9" s="593"/>
      <c r="IL9" s="593"/>
      <c r="IM9" s="593"/>
      <c r="IN9" s="593"/>
      <c r="IO9" s="593"/>
      <c r="IP9" s="593"/>
      <c r="IQ9" s="593"/>
      <c r="IR9" s="593"/>
      <c r="IS9" s="593"/>
      <c r="IT9" s="593"/>
      <c r="IU9" s="593"/>
      <c r="IV9" s="593"/>
      <c r="IW9" s="593"/>
      <c r="IX9" s="593"/>
      <c r="IY9" s="593"/>
      <c r="IZ9" s="593"/>
      <c r="JA9" s="593"/>
      <c r="JB9" s="593"/>
      <c r="JC9" s="593"/>
      <c r="JD9" s="593"/>
      <c r="JE9" s="593"/>
      <c r="JF9" s="593"/>
      <c r="JG9" s="593"/>
      <c r="JH9" s="593"/>
      <c r="JI9" s="593"/>
      <c r="JJ9" s="593"/>
      <c r="JK9" s="593"/>
      <c r="JL9" s="593"/>
      <c r="JM9" s="593"/>
      <c r="JN9" s="593"/>
      <c r="JO9" s="593"/>
      <c r="JP9" s="837"/>
      <c r="JQ9" s="436"/>
    </row>
    <row r="10" spans="1:277" ht="13.8">
      <c r="A10" s="840"/>
      <c r="B10" s="833"/>
      <c r="C10" s="833"/>
      <c r="D10" s="538"/>
      <c r="E10" s="538"/>
      <c r="F10" s="538"/>
      <c r="G10" s="538"/>
      <c r="H10" s="538"/>
      <c r="I10" s="538"/>
      <c r="J10" s="538"/>
      <c r="K10" s="538"/>
      <c r="L10" s="538"/>
      <c r="M10" s="538"/>
      <c r="N10" s="538"/>
      <c r="O10" s="538"/>
      <c r="P10" s="538"/>
      <c r="Q10" s="538"/>
      <c r="R10" s="538"/>
      <c r="S10" s="538"/>
      <c r="T10" s="538"/>
      <c r="U10" s="538"/>
      <c r="V10" s="538"/>
      <c r="W10" s="538"/>
      <c r="X10" s="538"/>
      <c r="Y10" s="538"/>
      <c r="Z10" s="538"/>
      <c r="AA10" s="538"/>
      <c r="AB10" s="538"/>
      <c r="AC10" s="538"/>
      <c r="AD10" s="538"/>
      <c r="AE10" s="538"/>
      <c r="AF10" s="538"/>
      <c r="AG10" s="538"/>
      <c r="AH10" s="538"/>
      <c r="AI10" s="538"/>
      <c r="AJ10" s="538"/>
      <c r="AK10" s="538"/>
      <c r="AL10" s="538"/>
      <c r="AM10" s="538"/>
      <c r="AN10" s="538"/>
      <c r="AO10" s="538"/>
      <c r="AP10" s="538"/>
      <c r="AQ10" s="538"/>
      <c r="AR10" s="538"/>
      <c r="AS10" s="538"/>
      <c r="AT10" s="538"/>
      <c r="AU10" s="538"/>
      <c r="AV10" s="835"/>
      <c r="AW10" s="835"/>
      <c r="AX10" s="538"/>
      <c r="AY10" s="593"/>
      <c r="AZ10" s="593"/>
      <c r="BA10" s="593"/>
      <c r="BB10" s="593"/>
      <c r="BC10" s="593"/>
      <c r="BD10" s="593"/>
      <c r="BE10" s="593"/>
      <c r="BF10" s="593"/>
      <c r="BG10" s="593"/>
      <c r="BH10" s="593"/>
      <c r="BI10" s="593"/>
      <c r="BJ10" s="593"/>
      <c r="BK10" s="593"/>
      <c r="BL10" s="593"/>
      <c r="BM10" s="593"/>
      <c r="BN10" s="593"/>
      <c r="BO10" s="593"/>
      <c r="BP10" s="593"/>
      <c r="BQ10" s="593"/>
      <c r="BR10" s="593"/>
      <c r="BS10" s="593"/>
      <c r="BT10" s="593"/>
      <c r="BU10" s="593"/>
      <c r="BV10" s="593"/>
      <c r="BW10" s="593"/>
      <c r="BX10" s="593"/>
      <c r="BY10" s="593"/>
      <c r="BZ10" s="593"/>
      <c r="CA10" s="593"/>
      <c r="CB10" s="593"/>
      <c r="CC10" s="59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3"/>
      <c r="CU10" s="593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836"/>
      <c r="DI10" s="593"/>
      <c r="DJ10" s="836"/>
      <c r="DK10" s="593"/>
      <c r="DL10" s="593"/>
      <c r="DM10" s="593"/>
      <c r="DN10" s="593"/>
      <c r="DO10" s="593"/>
      <c r="DP10" s="593"/>
      <c r="DQ10" s="593"/>
      <c r="DR10" s="593"/>
      <c r="DS10" s="593"/>
      <c r="DT10" s="593"/>
      <c r="DU10" s="593"/>
      <c r="DV10" s="593"/>
      <c r="DW10" s="593"/>
      <c r="DX10" s="593"/>
      <c r="DY10" s="593"/>
      <c r="DZ10" s="593"/>
      <c r="EA10" s="593"/>
      <c r="EB10" s="593"/>
      <c r="EC10" s="593"/>
      <c r="ED10" s="593"/>
      <c r="EE10" s="593"/>
      <c r="EF10" s="593"/>
      <c r="EG10" s="593"/>
      <c r="EH10" s="593"/>
      <c r="EI10" s="593"/>
      <c r="EJ10" s="593"/>
      <c r="EK10" s="593"/>
      <c r="EL10" s="593"/>
      <c r="EM10" s="593"/>
      <c r="EN10" s="593"/>
      <c r="EO10" s="593"/>
      <c r="EP10" s="593"/>
      <c r="EQ10" s="593"/>
      <c r="ER10" s="593"/>
      <c r="ES10" s="593"/>
      <c r="ET10" s="593"/>
      <c r="EU10" s="593"/>
      <c r="EV10" s="593"/>
      <c r="EW10" s="593"/>
      <c r="EX10" s="593"/>
      <c r="EY10" s="593"/>
      <c r="EZ10" s="593"/>
      <c r="FA10" s="593"/>
      <c r="FB10" s="593"/>
      <c r="FC10" s="593"/>
      <c r="FD10" s="836"/>
      <c r="FE10" s="593"/>
      <c r="FF10" s="593"/>
      <c r="FG10" s="593"/>
      <c r="FH10" s="593"/>
      <c r="FI10" s="593"/>
      <c r="FJ10" s="593"/>
      <c r="FK10" s="593"/>
      <c r="FL10" s="593"/>
      <c r="FM10" s="593"/>
      <c r="FN10" s="593"/>
      <c r="FO10" s="593"/>
      <c r="FP10" s="593"/>
      <c r="FQ10" s="593"/>
      <c r="FR10" s="593"/>
      <c r="FS10" s="593"/>
      <c r="FT10" s="593"/>
      <c r="FU10" s="593"/>
      <c r="FV10" s="593"/>
      <c r="FW10" s="593"/>
      <c r="FX10" s="593"/>
      <c r="FY10" s="593"/>
      <c r="FZ10" s="593"/>
      <c r="GA10" s="593"/>
      <c r="GB10" s="593"/>
      <c r="GC10" s="593"/>
      <c r="GD10" s="593"/>
      <c r="GE10" s="593"/>
      <c r="GF10" s="593"/>
      <c r="GG10" s="593"/>
      <c r="GH10" s="593"/>
      <c r="GI10" s="593"/>
      <c r="GJ10" s="593"/>
      <c r="GK10" s="593"/>
      <c r="GL10" s="593"/>
      <c r="GM10" s="593"/>
      <c r="GN10" s="593"/>
      <c r="GO10" s="593"/>
      <c r="GP10" s="593"/>
      <c r="GQ10" s="593"/>
      <c r="GR10" s="593"/>
      <c r="GS10" s="593"/>
      <c r="GT10" s="593"/>
      <c r="GU10" s="593"/>
      <c r="GV10" s="593"/>
      <c r="GW10" s="593"/>
      <c r="GX10" s="593"/>
      <c r="GY10" s="593"/>
      <c r="GZ10" s="593"/>
      <c r="HA10" s="593"/>
      <c r="HB10" s="593"/>
      <c r="HC10" s="593"/>
      <c r="HD10" s="757"/>
      <c r="HE10" s="593"/>
      <c r="HF10" s="593"/>
      <c r="HG10" s="593"/>
      <c r="HH10" s="593"/>
      <c r="HI10" s="593"/>
      <c r="HJ10" s="593"/>
      <c r="HK10" s="593"/>
      <c r="HL10" s="593"/>
      <c r="HM10" s="593"/>
      <c r="HN10" s="593"/>
      <c r="HO10" s="593"/>
      <c r="HP10" s="593"/>
      <c r="HQ10" s="593"/>
      <c r="HR10" s="593"/>
      <c r="HS10" s="593"/>
      <c r="HT10" s="593"/>
      <c r="HU10" s="593"/>
      <c r="HV10" s="593"/>
      <c r="HW10" s="593"/>
      <c r="HX10" s="593"/>
      <c r="HY10" s="593"/>
      <c r="HZ10" s="593"/>
      <c r="IA10" s="593"/>
      <c r="IB10" s="593"/>
      <c r="IC10" s="593"/>
      <c r="ID10" s="593"/>
      <c r="IE10" s="593"/>
      <c r="IF10" s="593"/>
      <c r="IG10" s="593"/>
      <c r="IH10" s="593"/>
      <c r="II10" s="593"/>
      <c r="IJ10" s="593"/>
      <c r="IK10" s="593"/>
      <c r="IL10" s="593"/>
      <c r="IM10" s="593"/>
      <c r="IN10" s="593"/>
      <c r="IO10" s="593"/>
      <c r="IP10" s="593"/>
      <c r="IQ10" s="593"/>
      <c r="IR10" s="593"/>
      <c r="IS10" s="593"/>
      <c r="IT10" s="593"/>
      <c r="IU10" s="593"/>
      <c r="IV10" s="593"/>
      <c r="IW10" s="593"/>
      <c r="IX10" s="593"/>
      <c r="IY10" s="593"/>
      <c r="IZ10" s="593"/>
      <c r="JA10" s="593"/>
      <c r="JB10" s="593"/>
      <c r="JC10" s="593"/>
      <c r="JD10" s="593"/>
      <c r="JE10" s="593"/>
      <c r="JF10" s="593"/>
      <c r="JG10" s="593"/>
      <c r="JH10" s="593"/>
      <c r="JI10" s="593"/>
      <c r="JJ10" s="593"/>
      <c r="JK10" s="593"/>
      <c r="JL10" s="593"/>
      <c r="JM10" s="593"/>
      <c r="JN10" s="593"/>
      <c r="JO10" s="593"/>
      <c r="JP10" s="837"/>
      <c r="JQ10" s="436"/>
    </row>
    <row r="11" spans="1:277" ht="13.8">
      <c r="A11" s="840"/>
      <c r="B11" s="833"/>
      <c r="C11" s="833"/>
      <c r="D11" s="538"/>
      <c r="E11" s="538"/>
      <c r="F11" s="538"/>
      <c r="G11" s="538"/>
      <c r="H11" s="538"/>
      <c r="I11" s="538"/>
      <c r="J11" s="538"/>
      <c r="K11" s="538"/>
      <c r="L11" s="538"/>
      <c r="M11" s="538"/>
      <c r="N11" s="538"/>
      <c r="O11" s="538"/>
      <c r="P11" s="538"/>
      <c r="Q11" s="538"/>
      <c r="R11" s="538"/>
      <c r="S11" s="538"/>
      <c r="T11" s="538"/>
      <c r="U11" s="538"/>
      <c r="V11" s="538"/>
      <c r="W11" s="538"/>
      <c r="X11" s="538"/>
      <c r="Y11" s="538"/>
      <c r="Z11" s="538"/>
      <c r="AA11" s="538"/>
      <c r="AB11" s="538"/>
      <c r="AC11" s="538"/>
      <c r="AD11" s="538"/>
      <c r="AE11" s="538"/>
      <c r="AF11" s="538"/>
      <c r="AG11" s="538"/>
      <c r="AH11" s="538"/>
      <c r="AI11" s="538"/>
      <c r="AJ11" s="538"/>
      <c r="AK11" s="538"/>
      <c r="AL11" s="538"/>
      <c r="AM11" s="538"/>
      <c r="AN11" s="538"/>
      <c r="AO11" s="538"/>
      <c r="AP11" s="538"/>
      <c r="AQ11" s="538"/>
      <c r="AR11" s="538"/>
      <c r="AS11" s="538"/>
      <c r="AT11" s="538"/>
      <c r="AU11" s="538"/>
      <c r="AV11" s="835"/>
      <c r="AW11" s="835"/>
      <c r="AX11" s="538"/>
      <c r="AY11" s="593"/>
      <c r="AZ11" s="593"/>
      <c r="BA11" s="593"/>
      <c r="BB11" s="593"/>
      <c r="BC11" s="593"/>
      <c r="BD11" s="593"/>
      <c r="BE11" s="593"/>
      <c r="BF11" s="593"/>
      <c r="BG11" s="593"/>
      <c r="BH11" s="593"/>
      <c r="BI11" s="593"/>
      <c r="BJ11" s="593"/>
      <c r="BK11" s="593"/>
      <c r="BL11" s="593"/>
      <c r="BM11" s="593"/>
      <c r="BN11" s="593"/>
      <c r="BO11" s="593"/>
      <c r="BP11" s="593"/>
      <c r="BQ11" s="593"/>
      <c r="BR11" s="593"/>
      <c r="BS11" s="593"/>
      <c r="BT11" s="593"/>
      <c r="BU11" s="593"/>
      <c r="BV11" s="593"/>
      <c r="BW11" s="593"/>
      <c r="BX11" s="593"/>
      <c r="BY11" s="593"/>
      <c r="BZ11" s="593"/>
      <c r="CA11" s="593"/>
      <c r="CB11" s="593"/>
      <c r="CC11" s="593"/>
      <c r="CD11" s="593"/>
      <c r="CE11" s="593"/>
      <c r="CF11" s="593"/>
      <c r="CG11" s="593"/>
      <c r="CH11" s="593"/>
      <c r="CI11" s="593"/>
      <c r="CJ11" s="593"/>
      <c r="CK11" s="593"/>
      <c r="CL11" s="593"/>
      <c r="CM11" s="593"/>
      <c r="CN11" s="593"/>
      <c r="CO11" s="593"/>
      <c r="CP11" s="593"/>
      <c r="CQ11" s="593"/>
      <c r="CR11" s="593"/>
      <c r="CS11" s="593"/>
      <c r="CT11" s="593"/>
      <c r="CU11" s="593"/>
      <c r="CV11" s="593"/>
      <c r="CW11" s="593"/>
      <c r="CX11" s="593"/>
      <c r="CY11" s="593"/>
      <c r="CZ11" s="593"/>
      <c r="DA11" s="593"/>
      <c r="DB11" s="593"/>
      <c r="DC11" s="593"/>
      <c r="DD11" s="593"/>
      <c r="DE11" s="593"/>
      <c r="DF11" s="593"/>
      <c r="DG11" s="593"/>
      <c r="DH11" s="836"/>
      <c r="DI11" s="593"/>
      <c r="DJ11" s="836"/>
      <c r="DK11" s="593"/>
      <c r="DL11" s="593"/>
      <c r="DM11" s="593"/>
      <c r="DN11" s="593"/>
      <c r="DO11" s="593"/>
      <c r="DP11" s="593"/>
      <c r="DQ11" s="593"/>
      <c r="DR11" s="593"/>
      <c r="DS11" s="593"/>
      <c r="DT11" s="593"/>
      <c r="DU11" s="593"/>
      <c r="DV11" s="593"/>
      <c r="DW11" s="593"/>
      <c r="DX11" s="593"/>
      <c r="DY11" s="593"/>
      <c r="DZ11" s="593"/>
      <c r="EA11" s="593"/>
      <c r="EB11" s="593"/>
      <c r="EC11" s="593"/>
      <c r="ED11" s="593"/>
      <c r="EE11" s="593"/>
      <c r="EF11" s="593"/>
      <c r="EG11" s="593"/>
      <c r="EH11" s="593"/>
      <c r="EI11" s="593"/>
      <c r="EJ11" s="593"/>
      <c r="EK11" s="593"/>
      <c r="EL11" s="593"/>
      <c r="EM11" s="593"/>
      <c r="EN11" s="593"/>
      <c r="EO11" s="593"/>
      <c r="EP11" s="593"/>
      <c r="EQ11" s="593"/>
      <c r="ER11" s="593"/>
      <c r="ES11" s="593"/>
      <c r="ET11" s="593"/>
      <c r="EU11" s="593"/>
      <c r="EV11" s="593"/>
      <c r="EW11" s="593"/>
      <c r="EX11" s="593"/>
      <c r="EY11" s="593"/>
      <c r="EZ11" s="593"/>
      <c r="FA11" s="593"/>
      <c r="FB11" s="593"/>
      <c r="FC11" s="593"/>
      <c r="FD11" s="836"/>
      <c r="FE11" s="593"/>
      <c r="FF11" s="593"/>
      <c r="FG11" s="593"/>
      <c r="FH11" s="593"/>
      <c r="FI11" s="593"/>
      <c r="FJ11" s="593"/>
      <c r="FK11" s="593"/>
      <c r="FL11" s="593"/>
      <c r="FM11" s="593"/>
      <c r="FN11" s="593"/>
      <c r="FO11" s="593"/>
      <c r="FP11" s="593"/>
      <c r="FQ11" s="593"/>
      <c r="FR11" s="593"/>
      <c r="FS11" s="593"/>
      <c r="FT11" s="593"/>
      <c r="FU11" s="593"/>
      <c r="FV11" s="593"/>
      <c r="FW11" s="593"/>
      <c r="FX11" s="593"/>
      <c r="FY11" s="593"/>
      <c r="FZ11" s="593"/>
      <c r="GA11" s="593"/>
      <c r="GB11" s="593"/>
      <c r="GC11" s="593"/>
      <c r="GD11" s="593"/>
      <c r="GE11" s="593"/>
      <c r="GF11" s="593"/>
      <c r="GG11" s="593"/>
      <c r="GH11" s="593"/>
      <c r="GI11" s="593"/>
      <c r="GJ11" s="593"/>
      <c r="GK11" s="593"/>
      <c r="GL11" s="593"/>
      <c r="GM11" s="593"/>
      <c r="GN11" s="593"/>
      <c r="GO11" s="593"/>
      <c r="GP11" s="593"/>
      <c r="GQ11" s="593"/>
      <c r="GR11" s="593"/>
      <c r="GS11" s="593"/>
      <c r="GT11" s="593"/>
      <c r="GU11" s="593"/>
      <c r="GV11" s="593"/>
      <c r="GW11" s="593"/>
      <c r="GX11" s="593"/>
      <c r="GY11" s="593"/>
      <c r="GZ11" s="593"/>
      <c r="HA11" s="593"/>
      <c r="HB11" s="593"/>
      <c r="HC11" s="593"/>
      <c r="HD11" s="757"/>
      <c r="HE11" s="593"/>
      <c r="HF11" s="593"/>
      <c r="HG11" s="593"/>
      <c r="HH11" s="593"/>
      <c r="HI11" s="593"/>
      <c r="HJ11" s="593"/>
      <c r="HK11" s="593"/>
      <c r="HL11" s="593"/>
      <c r="HM11" s="593"/>
      <c r="HN11" s="593"/>
      <c r="HO11" s="593"/>
      <c r="HP11" s="593"/>
      <c r="HQ11" s="593"/>
      <c r="HR11" s="593"/>
      <c r="HS11" s="593"/>
      <c r="HT11" s="593"/>
      <c r="HU11" s="593"/>
      <c r="HV11" s="593"/>
      <c r="HW11" s="593"/>
      <c r="HX11" s="593"/>
      <c r="HY11" s="593"/>
      <c r="HZ11" s="593"/>
      <c r="IA11" s="593"/>
      <c r="IB11" s="593"/>
      <c r="IC11" s="593"/>
      <c r="ID11" s="593"/>
      <c r="IE11" s="593"/>
      <c r="IF11" s="593"/>
      <c r="IG11" s="593"/>
      <c r="IH11" s="593"/>
      <c r="II11" s="593"/>
      <c r="IJ11" s="593"/>
      <c r="IK11" s="593"/>
      <c r="IL11" s="593"/>
      <c r="IM11" s="593"/>
      <c r="IN11" s="593"/>
      <c r="IO11" s="593"/>
      <c r="IP11" s="593"/>
      <c r="IQ11" s="593"/>
      <c r="IR11" s="593"/>
      <c r="IS11" s="593"/>
      <c r="IT11" s="593"/>
      <c r="IU11" s="593"/>
      <c r="IV11" s="593"/>
      <c r="IW11" s="593"/>
      <c r="IX11" s="593"/>
      <c r="IY11" s="593"/>
      <c r="IZ11" s="593"/>
      <c r="JA11" s="593"/>
      <c r="JB11" s="593"/>
      <c r="JC11" s="593"/>
      <c r="JD11" s="593"/>
      <c r="JE11" s="593"/>
      <c r="JF11" s="593"/>
      <c r="JG11" s="593"/>
      <c r="JH11" s="593"/>
      <c r="JI11" s="593"/>
      <c r="JJ11" s="593"/>
      <c r="JK11" s="593"/>
      <c r="JL11" s="593"/>
      <c r="JM11" s="593"/>
      <c r="JN11" s="593"/>
      <c r="JO11" s="593"/>
      <c r="JP11" s="837"/>
      <c r="JQ11" s="436"/>
    </row>
    <row r="12" spans="1:277" ht="13.8">
      <c r="A12" s="840"/>
      <c r="B12" s="833"/>
      <c r="C12" s="833"/>
      <c r="D12" s="538"/>
      <c r="E12" s="538"/>
      <c r="F12" s="538"/>
      <c r="G12" s="538"/>
      <c r="H12" s="538"/>
      <c r="I12" s="538"/>
      <c r="J12" s="538"/>
      <c r="K12" s="538"/>
      <c r="L12" s="538"/>
      <c r="M12" s="538"/>
      <c r="N12" s="538"/>
      <c r="O12" s="538"/>
      <c r="P12" s="538"/>
      <c r="Q12" s="538"/>
      <c r="R12" s="538"/>
      <c r="S12" s="538"/>
      <c r="T12" s="538"/>
      <c r="U12" s="538"/>
      <c r="V12" s="538"/>
      <c r="W12" s="538"/>
      <c r="X12" s="538"/>
      <c r="Y12" s="538"/>
      <c r="Z12" s="538"/>
      <c r="AA12" s="538"/>
      <c r="AB12" s="538"/>
      <c r="AC12" s="538"/>
      <c r="AD12" s="538"/>
      <c r="AE12" s="538"/>
      <c r="AF12" s="538"/>
      <c r="AG12" s="538"/>
      <c r="AH12" s="538"/>
      <c r="AI12" s="538"/>
      <c r="AJ12" s="538"/>
      <c r="AK12" s="538"/>
      <c r="AL12" s="538"/>
      <c r="AM12" s="538"/>
      <c r="AN12" s="538"/>
      <c r="AO12" s="538"/>
      <c r="AP12" s="538"/>
      <c r="AQ12" s="538"/>
      <c r="AR12" s="538"/>
      <c r="AS12" s="538"/>
      <c r="AT12" s="538"/>
      <c r="AU12" s="538"/>
      <c r="AV12" s="835"/>
      <c r="AW12" s="835"/>
      <c r="AX12" s="538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  <c r="BU12" s="593"/>
      <c r="BV12" s="593"/>
      <c r="BW12" s="593"/>
      <c r="BX12" s="593"/>
      <c r="BY12" s="593"/>
      <c r="BZ12" s="593"/>
      <c r="CA12" s="593"/>
      <c r="CB12" s="593"/>
      <c r="CC12" s="593"/>
      <c r="CD12" s="593"/>
      <c r="CE12" s="593"/>
      <c r="CF12" s="593"/>
      <c r="CG12" s="593"/>
      <c r="CH12" s="593"/>
      <c r="CI12" s="593"/>
      <c r="CJ12" s="593"/>
      <c r="CK12" s="593"/>
      <c r="CL12" s="593"/>
      <c r="CM12" s="593"/>
      <c r="CN12" s="593"/>
      <c r="CO12" s="593"/>
      <c r="CP12" s="593"/>
      <c r="CQ12" s="593"/>
      <c r="CR12" s="593"/>
      <c r="CS12" s="593"/>
      <c r="CT12" s="593"/>
      <c r="CU12" s="593"/>
      <c r="CV12" s="593"/>
      <c r="CW12" s="593"/>
      <c r="CX12" s="593"/>
      <c r="CY12" s="593"/>
      <c r="CZ12" s="593"/>
      <c r="DA12" s="593"/>
      <c r="DB12" s="593"/>
      <c r="DC12" s="593"/>
      <c r="DD12" s="593"/>
      <c r="DE12" s="593"/>
      <c r="DF12" s="593"/>
      <c r="DG12" s="593"/>
      <c r="DH12" s="836"/>
      <c r="DI12" s="593"/>
      <c r="DJ12" s="836"/>
      <c r="DK12" s="593"/>
      <c r="DL12" s="593"/>
      <c r="DM12" s="593"/>
      <c r="DN12" s="593"/>
      <c r="DO12" s="593"/>
      <c r="DP12" s="593"/>
      <c r="DQ12" s="593"/>
      <c r="DR12" s="593"/>
      <c r="DS12" s="593"/>
      <c r="DT12" s="593"/>
      <c r="DU12" s="593"/>
      <c r="DV12" s="593"/>
      <c r="DW12" s="593"/>
      <c r="DX12" s="593"/>
      <c r="DY12" s="593"/>
      <c r="DZ12" s="593"/>
      <c r="EA12" s="593"/>
      <c r="EB12" s="593"/>
      <c r="EC12" s="593"/>
      <c r="ED12" s="593"/>
      <c r="EE12" s="593"/>
      <c r="EF12" s="593"/>
      <c r="EG12" s="593"/>
      <c r="EH12" s="593"/>
      <c r="EI12" s="593"/>
      <c r="EJ12" s="593"/>
      <c r="EK12" s="593"/>
      <c r="EL12" s="593"/>
      <c r="EM12" s="593"/>
      <c r="EN12" s="593"/>
      <c r="EO12" s="593"/>
      <c r="EP12" s="593"/>
      <c r="EQ12" s="593"/>
      <c r="ER12" s="593"/>
      <c r="ES12" s="593"/>
      <c r="ET12" s="593"/>
      <c r="EU12" s="593"/>
      <c r="EV12" s="593"/>
      <c r="EW12" s="593"/>
      <c r="EX12" s="593"/>
      <c r="EY12" s="593"/>
      <c r="EZ12" s="593"/>
      <c r="FA12" s="593"/>
      <c r="FB12" s="593"/>
      <c r="FC12" s="593"/>
      <c r="FD12" s="836"/>
      <c r="FE12" s="593"/>
      <c r="FF12" s="593"/>
      <c r="FG12" s="593"/>
      <c r="FH12" s="593"/>
      <c r="FI12" s="593"/>
      <c r="FJ12" s="593"/>
      <c r="FK12" s="593"/>
      <c r="FL12" s="593"/>
      <c r="FM12" s="593"/>
      <c r="FN12" s="593"/>
      <c r="FO12" s="593"/>
      <c r="FP12" s="593"/>
      <c r="FQ12" s="593"/>
      <c r="FR12" s="593"/>
      <c r="FS12" s="593"/>
      <c r="FT12" s="593"/>
      <c r="FU12" s="593"/>
      <c r="FV12" s="593"/>
      <c r="FW12" s="593"/>
      <c r="FX12" s="593"/>
      <c r="FY12" s="593"/>
      <c r="FZ12" s="593"/>
      <c r="GA12" s="593"/>
      <c r="GB12" s="593"/>
      <c r="GC12" s="593"/>
      <c r="GD12" s="593"/>
      <c r="GE12" s="593"/>
      <c r="GF12" s="593"/>
      <c r="GG12" s="593"/>
      <c r="GH12" s="593"/>
      <c r="GI12" s="593"/>
      <c r="GJ12" s="593"/>
      <c r="GK12" s="593"/>
      <c r="GL12" s="593"/>
      <c r="GM12" s="593"/>
      <c r="GN12" s="593"/>
      <c r="GO12" s="593"/>
      <c r="GP12" s="593"/>
      <c r="GQ12" s="593"/>
      <c r="GR12" s="593"/>
      <c r="GS12" s="593"/>
      <c r="GT12" s="593"/>
      <c r="GU12" s="593"/>
      <c r="GV12" s="593"/>
      <c r="GW12" s="593"/>
      <c r="GX12" s="593"/>
      <c r="GY12" s="593"/>
      <c r="GZ12" s="593"/>
      <c r="HA12" s="593"/>
      <c r="HB12" s="593"/>
      <c r="HC12" s="593"/>
      <c r="HD12" s="757"/>
      <c r="HE12" s="593"/>
      <c r="HF12" s="593"/>
      <c r="HG12" s="593"/>
      <c r="HH12" s="593"/>
      <c r="HI12" s="593"/>
      <c r="HJ12" s="593"/>
      <c r="HK12" s="593"/>
      <c r="HL12" s="593"/>
      <c r="HM12" s="593"/>
      <c r="HN12" s="593"/>
      <c r="HO12" s="593"/>
      <c r="HP12" s="593"/>
      <c r="HQ12" s="593"/>
      <c r="HR12" s="593"/>
      <c r="HS12" s="593"/>
      <c r="HT12" s="593"/>
      <c r="HU12" s="593"/>
      <c r="HV12" s="593"/>
      <c r="HW12" s="593"/>
      <c r="HX12" s="593"/>
      <c r="HY12" s="593"/>
      <c r="HZ12" s="593"/>
      <c r="IA12" s="593"/>
      <c r="IB12" s="593"/>
      <c r="IC12" s="593"/>
      <c r="ID12" s="593"/>
      <c r="IE12" s="593"/>
      <c r="IF12" s="593"/>
      <c r="IG12" s="593"/>
      <c r="IH12" s="593"/>
      <c r="II12" s="593"/>
      <c r="IJ12" s="593"/>
      <c r="IK12" s="593"/>
      <c r="IL12" s="593"/>
      <c r="IM12" s="593"/>
      <c r="IN12" s="593"/>
      <c r="IO12" s="593"/>
      <c r="IP12" s="593"/>
      <c r="IQ12" s="593"/>
      <c r="IR12" s="593"/>
      <c r="IS12" s="593"/>
      <c r="IT12" s="593"/>
      <c r="IU12" s="593"/>
      <c r="IV12" s="593"/>
      <c r="IW12" s="593"/>
      <c r="IX12" s="593"/>
      <c r="IY12" s="593"/>
      <c r="IZ12" s="593"/>
      <c r="JA12" s="593"/>
      <c r="JB12" s="593"/>
      <c r="JC12" s="593"/>
      <c r="JD12" s="593"/>
      <c r="JE12" s="593"/>
      <c r="JF12" s="593"/>
      <c r="JG12" s="593"/>
      <c r="JH12" s="593"/>
      <c r="JI12" s="593"/>
      <c r="JJ12" s="593"/>
      <c r="JK12" s="593"/>
      <c r="JL12" s="593"/>
      <c r="JM12" s="593"/>
      <c r="JN12" s="593"/>
      <c r="JO12" s="593"/>
      <c r="JP12" s="837"/>
      <c r="JQ12" s="436"/>
    </row>
    <row r="13" spans="1:277" ht="13.8">
      <c r="A13" s="841"/>
      <c r="B13" s="834"/>
      <c r="C13" s="834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838"/>
      <c r="AW13" s="838"/>
      <c r="AX13" s="570"/>
      <c r="AY13" s="757"/>
      <c r="AZ13" s="757"/>
      <c r="BA13" s="757"/>
      <c r="BB13" s="757"/>
      <c r="BC13" s="757"/>
      <c r="BD13" s="757"/>
      <c r="BE13" s="757"/>
      <c r="BF13" s="757"/>
      <c r="BG13" s="757"/>
      <c r="BH13" s="757"/>
      <c r="BI13" s="757"/>
      <c r="BJ13" s="757"/>
      <c r="BK13" s="757"/>
      <c r="BL13" s="757"/>
      <c r="BM13" s="757"/>
      <c r="BN13" s="757"/>
      <c r="BO13" s="757"/>
      <c r="BP13" s="757"/>
      <c r="BQ13" s="757"/>
      <c r="BR13" s="757"/>
      <c r="BS13" s="757"/>
      <c r="BT13" s="757"/>
      <c r="BU13" s="757"/>
      <c r="BV13" s="757"/>
      <c r="BW13" s="757"/>
      <c r="BX13" s="757"/>
      <c r="BY13" s="757"/>
      <c r="BZ13" s="757"/>
      <c r="CA13" s="757"/>
      <c r="CB13" s="757"/>
      <c r="CC13" s="757"/>
      <c r="CD13" s="757"/>
      <c r="CE13" s="757"/>
      <c r="CF13" s="757"/>
      <c r="CG13" s="757"/>
      <c r="CH13" s="757"/>
      <c r="CI13" s="757"/>
      <c r="CJ13" s="757"/>
      <c r="CK13" s="757"/>
      <c r="CL13" s="757"/>
      <c r="CM13" s="757"/>
      <c r="CN13" s="757"/>
      <c r="CO13" s="757"/>
      <c r="CP13" s="757"/>
      <c r="CQ13" s="757"/>
      <c r="CR13" s="757"/>
      <c r="CS13" s="757"/>
      <c r="CT13" s="757"/>
      <c r="CU13" s="757"/>
      <c r="CV13" s="757"/>
      <c r="CW13" s="757"/>
      <c r="CX13" s="757"/>
      <c r="CY13" s="757"/>
      <c r="CZ13" s="757"/>
      <c r="DA13" s="757"/>
      <c r="DB13" s="757"/>
      <c r="DC13" s="757"/>
      <c r="DD13" s="757"/>
      <c r="DE13" s="757"/>
      <c r="DF13" s="757"/>
      <c r="DG13" s="757"/>
      <c r="DH13" s="836"/>
      <c r="DI13" s="757"/>
      <c r="DJ13" s="836"/>
      <c r="DK13" s="757"/>
      <c r="DL13" s="757"/>
      <c r="DM13" s="757"/>
      <c r="DN13" s="757"/>
      <c r="DO13" s="757"/>
      <c r="DP13" s="757"/>
      <c r="DQ13" s="757"/>
      <c r="DR13" s="757"/>
      <c r="DS13" s="757"/>
      <c r="DT13" s="757"/>
      <c r="DU13" s="593"/>
      <c r="DV13" s="757"/>
      <c r="DW13" s="757"/>
      <c r="DX13" s="757"/>
      <c r="DY13" s="757"/>
      <c r="DZ13" s="593"/>
      <c r="EA13" s="757"/>
      <c r="EB13" s="757"/>
      <c r="EC13" s="757"/>
      <c r="ED13" s="593"/>
      <c r="EE13" s="757"/>
      <c r="EF13" s="757"/>
      <c r="EG13" s="757"/>
      <c r="EH13" s="757"/>
      <c r="EI13" s="757"/>
      <c r="EJ13" s="757"/>
      <c r="EK13" s="757"/>
      <c r="EL13" s="757"/>
      <c r="EM13" s="757"/>
      <c r="EN13" s="757"/>
      <c r="EO13" s="757"/>
      <c r="EP13" s="757"/>
      <c r="EQ13" s="757"/>
      <c r="ER13" s="757"/>
      <c r="ES13" s="757"/>
      <c r="ET13" s="757"/>
      <c r="EU13" s="757"/>
      <c r="EV13" s="757"/>
      <c r="EW13" s="757"/>
      <c r="EX13" s="757"/>
      <c r="EY13" s="757"/>
      <c r="EZ13" s="757"/>
      <c r="FA13" s="757"/>
      <c r="FB13" s="757"/>
      <c r="FC13" s="757"/>
      <c r="FD13" s="836"/>
      <c r="FE13" s="757"/>
      <c r="FF13" s="757"/>
      <c r="FG13" s="757"/>
      <c r="FH13" s="757"/>
      <c r="FI13" s="757"/>
      <c r="FJ13" s="757"/>
      <c r="FK13" s="757"/>
      <c r="FL13" s="757"/>
      <c r="FM13" s="757"/>
      <c r="FN13" s="757"/>
      <c r="FO13" s="757"/>
      <c r="FP13" s="757"/>
      <c r="FQ13" s="757"/>
      <c r="FR13" s="757"/>
      <c r="FS13" s="757"/>
      <c r="FT13" s="757"/>
      <c r="FU13" s="757"/>
      <c r="FV13" s="757"/>
      <c r="FW13" s="757"/>
      <c r="FX13" s="757"/>
      <c r="FY13" s="757"/>
      <c r="FZ13" s="757"/>
      <c r="GA13" s="757"/>
      <c r="GB13" s="593"/>
      <c r="GC13" s="757"/>
      <c r="GD13" s="757"/>
      <c r="GE13" s="757"/>
      <c r="GF13" s="757"/>
      <c r="GG13" s="757"/>
      <c r="GH13" s="757"/>
      <c r="GI13" s="593"/>
      <c r="GJ13" s="757"/>
      <c r="GK13" s="757"/>
      <c r="GL13" s="757"/>
      <c r="GM13" s="757"/>
      <c r="GN13" s="757"/>
      <c r="GO13" s="757"/>
      <c r="GP13" s="757"/>
      <c r="GQ13" s="757"/>
      <c r="GR13" s="757"/>
      <c r="GS13" s="757"/>
      <c r="GT13" s="757"/>
      <c r="GU13" s="757"/>
      <c r="GV13" s="757"/>
      <c r="GW13" s="757"/>
      <c r="GX13" s="757"/>
      <c r="GY13" s="757"/>
      <c r="GZ13" s="757"/>
      <c r="HA13" s="757"/>
      <c r="HB13" s="757"/>
      <c r="HC13" s="757"/>
      <c r="HD13" s="757"/>
      <c r="HE13" s="757"/>
      <c r="HF13" s="757"/>
      <c r="HG13" s="757"/>
      <c r="HH13" s="757"/>
      <c r="HI13" s="757"/>
      <c r="HJ13" s="757"/>
      <c r="HK13" s="757"/>
      <c r="HL13" s="757"/>
      <c r="HM13" s="757"/>
      <c r="HN13" s="757"/>
      <c r="HO13" s="757"/>
      <c r="HP13" s="757"/>
      <c r="HQ13" s="757"/>
      <c r="HR13" s="757"/>
      <c r="HS13" s="757"/>
      <c r="HT13" s="757"/>
      <c r="HU13" s="757"/>
      <c r="HV13" s="757"/>
      <c r="HW13" s="757"/>
      <c r="HX13" s="757"/>
      <c r="HY13" s="757"/>
      <c r="HZ13" s="757"/>
      <c r="IA13" s="757"/>
      <c r="IB13" s="757"/>
      <c r="IC13" s="757"/>
      <c r="ID13" s="757"/>
      <c r="IE13" s="757"/>
      <c r="IF13" s="593"/>
      <c r="IG13" s="757"/>
      <c r="IH13" s="757"/>
      <c r="II13" s="757"/>
      <c r="IJ13" s="757"/>
      <c r="IK13" s="757"/>
      <c r="IL13" s="757"/>
      <c r="IM13" s="757"/>
      <c r="IN13" s="757"/>
      <c r="IO13" s="757"/>
      <c r="IP13" s="757"/>
      <c r="IQ13" s="757"/>
      <c r="IR13" s="757"/>
      <c r="IS13" s="757"/>
      <c r="IT13" s="757"/>
      <c r="IU13" s="757"/>
      <c r="IV13" s="757"/>
      <c r="IW13" s="757"/>
      <c r="IX13" s="757"/>
      <c r="IY13" s="757"/>
      <c r="IZ13" s="757"/>
      <c r="JA13" s="757"/>
      <c r="JB13" s="757"/>
      <c r="JC13" s="757"/>
      <c r="JD13" s="757"/>
      <c r="JE13" s="757"/>
      <c r="JF13" s="757"/>
      <c r="JG13" s="757"/>
      <c r="JH13" s="757"/>
      <c r="JI13" s="757"/>
      <c r="JJ13" s="757"/>
      <c r="JK13" s="757"/>
      <c r="JL13" s="757"/>
      <c r="JM13" s="757"/>
      <c r="JN13" s="757"/>
      <c r="JO13" s="757"/>
      <c r="JP13" s="839"/>
      <c r="JQ13" s="436"/>
    </row>
    <row r="14" spans="1:277" s="746" customFormat="1" ht="18.899999999999999" customHeight="1" thickBot="1">
      <c r="A14" s="2685" t="s">
        <v>3982</v>
      </c>
      <c r="B14" s="2686"/>
      <c r="C14" s="747"/>
      <c r="D14" s="747"/>
      <c r="E14" s="747"/>
      <c r="F14" s="747"/>
      <c r="G14" s="747"/>
      <c r="H14" s="747"/>
      <c r="I14" s="747"/>
      <c r="J14" s="747"/>
      <c r="K14" s="747"/>
      <c r="L14" s="747"/>
      <c r="M14" s="747"/>
      <c r="N14" s="747"/>
      <c r="O14" s="747"/>
      <c r="P14" s="747"/>
      <c r="Q14" s="747"/>
      <c r="R14" s="747"/>
      <c r="S14" s="747"/>
      <c r="T14" s="747"/>
      <c r="U14" s="747"/>
      <c r="V14" s="747"/>
      <c r="W14" s="747"/>
      <c r="X14" s="747"/>
      <c r="Y14" s="747"/>
      <c r="Z14" s="747"/>
      <c r="AA14" s="747"/>
      <c r="AB14" s="747"/>
      <c r="AC14" s="747"/>
      <c r="AD14" s="747"/>
      <c r="AE14" s="747"/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  <c r="DC14" s="747"/>
      <c r="DD14" s="747"/>
      <c r="DE14" s="747"/>
      <c r="DF14" s="747"/>
      <c r="DG14" s="747"/>
      <c r="DH14" s="747"/>
      <c r="DI14" s="747"/>
      <c r="DJ14" s="747"/>
      <c r="DK14" s="747"/>
      <c r="DL14" s="747"/>
      <c r="DM14" s="747"/>
      <c r="DN14" s="747"/>
      <c r="DO14" s="747"/>
      <c r="DP14" s="747"/>
      <c r="DQ14" s="747"/>
      <c r="DR14" s="747"/>
      <c r="DS14" s="747"/>
      <c r="DT14" s="747"/>
      <c r="DU14" s="747"/>
      <c r="DV14" s="747"/>
      <c r="DW14" s="747"/>
      <c r="DX14" s="747"/>
      <c r="DY14" s="747"/>
      <c r="DZ14" s="747"/>
      <c r="EA14" s="747"/>
      <c r="EB14" s="747"/>
      <c r="EC14" s="747"/>
      <c r="ED14" s="747"/>
      <c r="EE14" s="747"/>
      <c r="EF14" s="747"/>
      <c r="EG14" s="747"/>
      <c r="EH14" s="747"/>
      <c r="EI14" s="747"/>
      <c r="EJ14" s="747"/>
      <c r="EK14" s="747"/>
      <c r="EL14" s="747"/>
      <c r="EM14" s="747"/>
      <c r="EN14" s="747"/>
      <c r="EO14" s="747"/>
      <c r="EP14" s="747"/>
      <c r="EQ14" s="747"/>
      <c r="ER14" s="747"/>
      <c r="ES14" s="747"/>
      <c r="ET14" s="747"/>
      <c r="EU14" s="747"/>
      <c r="EV14" s="747"/>
      <c r="EW14" s="747"/>
      <c r="EX14" s="747"/>
      <c r="EY14" s="747"/>
      <c r="EZ14" s="747"/>
      <c r="FA14" s="747"/>
      <c r="FB14" s="747"/>
      <c r="FC14" s="747"/>
      <c r="FD14" s="747"/>
      <c r="FE14" s="747"/>
      <c r="FF14" s="747"/>
      <c r="FG14" s="747"/>
      <c r="FH14" s="747"/>
      <c r="FI14" s="747"/>
      <c r="FJ14" s="747"/>
      <c r="FK14" s="747"/>
      <c r="FL14" s="747"/>
      <c r="FM14" s="747"/>
      <c r="FN14" s="747"/>
      <c r="FO14" s="747"/>
      <c r="FP14" s="747"/>
      <c r="FQ14" s="747"/>
      <c r="FR14" s="747"/>
      <c r="FS14" s="747"/>
      <c r="FT14" s="747"/>
      <c r="FU14" s="747"/>
      <c r="FV14" s="747"/>
      <c r="FW14" s="747"/>
      <c r="FX14" s="747"/>
      <c r="FY14" s="747"/>
      <c r="FZ14" s="747"/>
      <c r="GA14" s="747"/>
      <c r="GB14" s="747"/>
      <c r="GC14" s="747"/>
      <c r="GD14" s="747"/>
      <c r="GE14" s="747"/>
      <c r="GF14" s="747"/>
      <c r="GG14" s="747"/>
      <c r="GH14" s="747"/>
      <c r="GI14" s="747"/>
      <c r="GJ14" s="747"/>
      <c r="GK14" s="747"/>
      <c r="GL14" s="747"/>
      <c r="GM14" s="747"/>
      <c r="GN14" s="747"/>
      <c r="GO14" s="747"/>
      <c r="GP14" s="747"/>
      <c r="GQ14" s="747"/>
      <c r="GR14" s="747"/>
      <c r="GS14" s="747"/>
      <c r="GT14" s="747"/>
      <c r="GU14" s="747"/>
      <c r="GV14" s="747"/>
      <c r="GW14" s="747"/>
      <c r="GX14" s="747"/>
      <c r="GY14" s="747"/>
      <c r="GZ14" s="747"/>
      <c r="HA14" s="747"/>
      <c r="HB14" s="747"/>
      <c r="HC14" s="747"/>
      <c r="HD14" s="747"/>
      <c r="HE14" s="747"/>
      <c r="HF14" s="747"/>
      <c r="HG14" s="747"/>
      <c r="HH14" s="747"/>
      <c r="HI14" s="747"/>
      <c r="HJ14" s="747"/>
      <c r="HK14" s="747"/>
      <c r="HL14" s="747"/>
      <c r="HM14" s="747"/>
      <c r="HN14" s="747"/>
      <c r="HO14" s="747"/>
      <c r="HP14" s="747"/>
      <c r="HQ14" s="747"/>
      <c r="HR14" s="747"/>
      <c r="HS14" s="747"/>
      <c r="HT14" s="747"/>
      <c r="HU14" s="747"/>
      <c r="HV14" s="747"/>
      <c r="HW14" s="747"/>
      <c r="HX14" s="747"/>
      <c r="HY14" s="747"/>
      <c r="HZ14" s="747"/>
      <c r="IA14" s="747"/>
      <c r="IB14" s="747"/>
      <c r="IC14" s="747"/>
      <c r="ID14" s="747"/>
      <c r="IE14" s="747"/>
      <c r="IF14" s="747"/>
      <c r="IG14" s="747"/>
      <c r="IH14" s="747"/>
      <c r="II14" s="747"/>
      <c r="IJ14" s="747"/>
      <c r="IK14" s="747"/>
      <c r="IL14" s="747"/>
      <c r="IM14" s="747"/>
      <c r="IN14" s="747"/>
      <c r="IO14" s="747"/>
      <c r="IP14" s="747"/>
      <c r="IQ14" s="747"/>
      <c r="IR14" s="747"/>
      <c r="IS14" s="747"/>
      <c r="IT14" s="747"/>
      <c r="IU14" s="747"/>
      <c r="IV14" s="747"/>
      <c r="IW14" s="747"/>
      <c r="IX14" s="747"/>
      <c r="IY14" s="747"/>
      <c r="IZ14" s="747"/>
      <c r="JA14" s="747"/>
      <c r="JB14" s="747"/>
      <c r="JC14" s="747"/>
      <c r="JD14" s="747"/>
      <c r="JE14" s="747"/>
      <c r="JF14" s="747"/>
      <c r="JG14" s="747"/>
      <c r="JH14" s="747"/>
      <c r="JI14" s="747"/>
      <c r="JJ14" s="747"/>
      <c r="JK14" s="747"/>
      <c r="JL14" s="747"/>
      <c r="JM14" s="747"/>
      <c r="JN14" s="747"/>
      <c r="JO14" s="747"/>
      <c r="JP14" s="747"/>
      <c r="JQ14" s="745"/>
    </row>
    <row r="15" spans="1:277" ht="18.899999999999999" customHeight="1" thickTop="1">
      <c r="V15" s="424"/>
      <c r="W15" s="424"/>
      <c r="X15" s="424"/>
      <c r="Y15" s="424"/>
      <c r="Z15" s="424"/>
      <c r="AA15" s="424"/>
      <c r="AB15" s="424"/>
      <c r="AC15" s="424"/>
      <c r="AD15" s="424"/>
      <c r="AE15" s="424"/>
      <c r="AF15" s="424"/>
      <c r="AG15" s="424"/>
      <c r="AH15" s="424"/>
      <c r="AI15" s="424"/>
      <c r="AJ15" s="424"/>
      <c r="AK15" s="424"/>
      <c r="AL15" s="424"/>
      <c r="AM15" s="424"/>
      <c r="AN15" s="424"/>
      <c r="AO15" s="424"/>
      <c r="AP15" s="424"/>
      <c r="AQ15" s="424"/>
      <c r="AR15" s="424"/>
      <c r="AS15" s="424"/>
      <c r="AT15" s="424"/>
      <c r="AU15" s="424"/>
      <c r="AV15" s="424"/>
      <c r="AW15" s="424"/>
      <c r="AX15" s="424"/>
      <c r="AY15" s="424"/>
      <c r="AZ15" s="424"/>
      <c r="BA15" s="424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4"/>
      <c r="BT15" s="424"/>
      <c r="BU15" s="424"/>
      <c r="BV15" s="424"/>
      <c r="BW15" s="424"/>
      <c r="BX15" s="424"/>
      <c r="BY15" s="424"/>
      <c r="BZ15" s="424"/>
      <c r="CA15" s="424"/>
      <c r="CB15" s="424"/>
      <c r="CC15" s="424"/>
      <c r="CD15" s="424"/>
      <c r="CE15" s="424"/>
      <c r="CF15" s="424"/>
      <c r="CG15" s="424"/>
      <c r="CH15" s="424"/>
      <c r="CI15" s="424"/>
      <c r="CJ15" s="424"/>
      <c r="CK15" s="424"/>
      <c r="CL15" s="424"/>
      <c r="CM15" s="424"/>
      <c r="CN15" s="424"/>
      <c r="CO15" s="424"/>
      <c r="CP15" s="424"/>
      <c r="CQ15" s="424"/>
      <c r="CR15" s="424"/>
      <c r="CS15" s="424"/>
      <c r="CT15" s="424"/>
      <c r="CU15" s="424"/>
      <c r="CV15" s="424"/>
      <c r="CW15" s="424"/>
      <c r="CX15" s="424"/>
      <c r="CY15" s="424"/>
      <c r="CZ15" s="424"/>
      <c r="DA15" s="424"/>
      <c r="DB15" s="424"/>
      <c r="DC15" s="424"/>
      <c r="DD15" s="424"/>
      <c r="DE15" s="424"/>
      <c r="DF15" s="424"/>
      <c r="DG15" s="424"/>
      <c r="DH15" s="424"/>
      <c r="DI15" s="424"/>
      <c r="DJ15" s="424"/>
      <c r="DK15" s="424"/>
      <c r="DL15" s="424"/>
      <c r="DM15" s="424"/>
      <c r="DN15" s="424"/>
      <c r="DO15" s="424"/>
      <c r="DP15" s="424"/>
      <c r="DQ15" s="424"/>
      <c r="DR15" s="424"/>
      <c r="DS15" s="424"/>
      <c r="DT15" s="424"/>
      <c r="DU15" s="424"/>
      <c r="DV15" s="424"/>
      <c r="DW15" s="424"/>
      <c r="DX15" s="424"/>
      <c r="DY15" s="424"/>
      <c r="DZ15" s="424"/>
      <c r="EA15" s="424"/>
      <c r="EB15" s="424"/>
      <c r="EC15" s="424"/>
      <c r="ED15" s="424"/>
      <c r="EE15" s="424"/>
      <c r="EF15" s="424"/>
      <c r="EG15" s="424"/>
      <c r="EH15" s="424"/>
      <c r="EI15" s="424"/>
      <c r="EJ15" s="424"/>
      <c r="EK15" s="424"/>
      <c r="EL15" s="424"/>
      <c r="EM15" s="424"/>
      <c r="EN15" s="424"/>
      <c r="EO15" s="424"/>
      <c r="EP15" s="424"/>
      <c r="EQ15" s="424"/>
      <c r="ER15" s="424"/>
      <c r="ES15" s="424"/>
      <c r="ET15" s="424"/>
      <c r="EU15" s="424"/>
      <c r="EV15" s="424"/>
      <c r="EW15" s="424"/>
      <c r="EX15" s="424"/>
      <c r="EY15" s="424"/>
      <c r="EZ15" s="424"/>
      <c r="FA15" s="424"/>
      <c r="FB15" s="424"/>
      <c r="FC15" s="424"/>
      <c r="FD15" s="424"/>
      <c r="FE15" s="424"/>
      <c r="FF15" s="424"/>
      <c r="FG15" s="424"/>
      <c r="FH15" s="424"/>
      <c r="FI15" s="424"/>
      <c r="FJ15" s="424"/>
      <c r="FK15" s="424"/>
      <c r="FL15" s="424"/>
      <c r="FM15" s="424"/>
      <c r="FN15" s="424"/>
      <c r="FO15" s="424"/>
      <c r="FP15" s="424"/>
      <c r="FQ15" s="424"/>
      <c r="FR15" s="424"/>
      <c r="FS15" s="424"/>
      <c r="FT15" s="424"/>
      <c r="FU15" s="424"/>
      <c r="FV15" s="424"/>
      <c r="FW15" s="424"/>
      <c r="FX15" s="424"/>
      <c r="FY15" s="424"/>
      <c r="FZ15" s="424"/>
      <c r="GA15" s="424"/>
      <c r="GB15" s="424"/>
      <c r="GC15" s="424"/>
      <c r="GD15" s="424"/>
      <c r="GE15" s="424"/>
      <c r="GF15" s="424"/>
      <c r="GG15" s="424"/>
      <c r="GH15" s="424"/>
      <c r="GI15" s="424"/>
      <c r="GJ15" s="424"/>
      <c r="GK15" s="424"/>
      <c r="GL15" s="424"/>
      <c r="GM15" s="424"/>
      <c r="GN15" s="424"/>
      <c r="GO15" s="424"/>
      <c r="GP15" s="424"/>
      <c r="GQ15" s="424"/>
      <c r="GR15" s="424"/>
      <c r="GS15" s="424"/>
      <c r="GT15" s="424"/>
      <c r="GU15" s="424"/>
      <c r="GV15" s="424"/>
      <c r="GW15" s="424"/>
      <c r="GX15" s="424"/>
      <c r="GY15" s="424"/>
      <c r="GZ15" s="424"/>
      <c r="HA15" s="424"/>
      <c r="HB15" s="424"/>
      <c r="HC15" s="424"/>
      <c r="HD15" s="424"/>
      <c r="HE15" s="424"/>
      <c r="HF15" s="424"/>
      <c r="HG15" s="424"/>
      <c r="HH15" s="424"/>
      <c r="HI15" s="424"/>
      <c r="HJ15" s="424"/>
      <c r="HK15" s="424"/>
      <c r="HL15" s="424"/>
      <c r="HM15" s="424"/>
      <c r="HN15" s="424"/>
      <c r="HO15" s="424"/>
      <c r="HP15" s="424"/>
      <c r="HQ15" s="424"/>
      <c r="HR15" s="424"/>
      <c r="HS15" s="424"/>
      <c r="HT15" s="424"/>
      <c r="HU15" s="424"/>
      <c r="HV15" s="424"/>
      <c r="HW15" s="424"/>
      <c r="HX15" s="424"/>
      <c r="HY15" s="424"/>
      <c r="HZ15" s="424"/>
      <c r="IA15" s="424"/>
      <c r="IB15" s="424"/>
      <c r="IC15" s="424"/>
      <c r="ID15" s="424"/>
      <c r="IE15" s="424"/>
      <c r="IF15" s="424"/>
      <c r="IG15" s="424"/>
      <c r="IH15" s="424"/>
      <c r="II15" s="424"/>
      <c r="IJ15" s="424"/>
      <c r="IK15" s="424"/>
      <c r="IL15" s="424"/>
      <c r="IM15" s="424"/>
      <c r="IN15" s="424"/>
      <c r="IO15" s="424"/>
      <c r="IP15" s="424"/>
      <c r="IQ15" s="424"/>
      <c r="IR15" s="424"/>
      <c r="IS15" s="424"/>
      <c r="IT15" s="424"/>
      <c r="IU15" s="424"/>
      <c r="IV15" s="424"/>
      <c r="IW15" s="424"/>
      <c r="IX15" s="424"/>
      <c r="IY15" s="424"/>
      <c r="IZ15" s="424"/>
      <c r="JA15" s="424"/>
      <c r="JB15" s="424"/>
      <c r="JC15" s="424"/>
      <c r="JD15" s="424"/>
      <c r="JE15" s="424"/>
      <c r="JF15" s="424"/>
      <c r="JG15" s="424"/>
      <c r="JH15" s="424"/>
      <c r="JI15" s="424"/>
      <c r="JJ15" s="424"/>
      <c r="JK15" s="424"/>
      <c r="JL15" s="424"/>
      <c r="JM15" s="424"/>
      <c r="JN15" s="424"/>
      <c r="JO15" s="424"/>
      <c r="JP15" s="424"/>
      <c r="JQ15" s="424"/>
    </row>
    <row r="16" spans="1:277" ht="18.899999999999999" customHeight="1">
      <c r="A16" s="2568" t="s">
        <v>3970</v>
      </c>
      <c r="B16" s="2568"/>
      <c r="C16" s="2568"/>
      <c r="D16" s="414">
        <f>M14*2</f>
        <v>0</v>
      </c>
      <c r="E16" s="414"/>
      <c r="F16" s="414"/>
      <c r="G16" s="414"/>
      <c r="H16" s="414"/>
      <c r="I16" s="414"/>
      <c r="J16" s="414"/>
      <c r="K16" s="414"/>
      <c r="L16" s="414"/>
      <c r="M16" s="414"/>
      <c r="N16" s="414"/>
      <c r="O16" s="414"/>
      <c r="P16" s="414"/>
      <c r="Q16" s="414"/>
      <c r="R16" s="414"/>
      <c r="S16" s="414"/>
      <c r="T16" s="414"/>
      <c r="U16" s="414"/>
      <c r="AC16" s="842">
        <f>AB14+AC14+AD14</f>
        <v>0</v>
      </c>
      <c r="BF16" s="415"/>
      <c r="BG16" s="416"/>
      <c r="CJ16" s="417"/>
      <c r="DK16" s="415"/>
      <c r="DL16" s="415"/>
      <c r="DM16" s="415"/>
      <c r="DN16" s="415"/>
      <c r="DO16" s="415"/>
      <c r="DP16" s="415"/>
      <c r="DQ16" s="415"/>
      <c r="DR16" s="415"/>
      <c r="DS16" s="415"/>
      <c r="DT16" s="415"/>
      <c r="DU16" s="415"/>
      <c r="DV16" s="415"/>
      <c r="DW16" s="415"/>
      <c r="DX16" s="415"/>
      <c r="DY16" s="415"/>
      <c r="DZ16" s="415"/>
      <c r="EA16" s="415"/>
      <c r="EB16" s="415"/>
      <c r="EC16" s="415"/>
      <c r="ED16" s="415"/>
      <c r="EE16" s="415"/>
      <c r="EF16" s="415"/>
      <c r="EG16" s="415"/>
      <c r="EH16" s="415"/>
      <c r="EI16" s="415"/>
      <c r="EJ16" s="415"/>
      <c r="EK16" s="415"/>
      <c r="EL16" s="415"/>
      <c r="EM16" s="415"/>
      <c r="EN16" s="415"/>
      <c r="EO16" s="415"/>
      <c r="EP16" s="415"/>
      <c r="EQ16" s="415"/>
      <c r="ER16" s="415"/>
      <c r="ES16" s="415"/>
      <c r="ET16" s="415"/>
      <c r="EU16" s="415"/>
      <c r="EV16" s="415"/>
      <c r="EW16" s="415"/>
      <c r="EX16" s="415"/>
      <c r="EY16" s="415"/>
      <c r="EZ16" s="415"/>
      <c r="FA16" s="415"/>
      <c r="FB16" s="415"/>
      <c r="FC16" s="415"/>
      <c r="FD16" s="415"/>
      <c r="FE16" s="415"/>
      <c r="FF16" s="415"/>
      <c r="FG16" s="415"/>
      <c r="FH16" s="415"/>
      <c r="FI16" s="415"/>
      <c r="FJ16" s="415"/>
      <c r="FK16" s="415"/>
      <c r="FL16" s="415"/>
      <c r="FM16" s="415"/>
      <c r="FN16" s="415"/>
      <c r="FO16" s="415"/>
      <c r="FP16" s="415"/>
      <c r="FQ16" s="415"/>
      <c r="FR16" s="415"/>
      <c r="FS16" s="415"/>
      <c r="FT16" s="415"/>
      <c r="FU16" s="415"/>
      <c r="FV16" s="415"/>
      <c r="FW16" s="415"/>
      <c r="FX16" s="415"/>
      <c r="FY16" s="415"/>
      <c r="FZ16" s="706">
        <f>SUM(FR14:GI14)</f>
        <v>0</v>
      </c>
      <c r="GA16" s="415"/>
      <c r="GB16" s="415"/>
      <c r="GC16" s="415"/>
      <c r="GD16" s="415"/>
      <c r="GE16" s="415"/>
      <c r="GF16" s="415"/>
      <c r="GG16" s="415"/>
      <c r="GH16" s="415"/>
      <c r="GI16" s="415"/>
      <c r="GJ16" s="415"/>
      <c r="GK16" s="415"/>
      <c r="GL16" s="415"/>
      <c r="GM16" s="415"/>
      <c r="GN16" s="415"/>
      <c r="GO16" s="415"/>
      <c r="GP16" s="415"/>
      <c r="GQ16" s="415"/>
      <c r="GR16" s="415"/>
      <c r="GS16" s="415"/>
      <c r="GT16" s="415"/>
      <c r="GU16" s="415"/>
      <c r="GV16" s="415"/>
      <c r="GW16" s="415"/>
      <c r="GX16" s="415"/>
      <c r="GY16" s="415"/>
      <c r="GZ16" s="415"/>
      <c r="HA16" s="415"/>
      <c r="HB16" s="415"/>
      <c r="HC16" s="415"/>
      <c r="HD16" s="415"/>
      <c r="HE16" s="415"/>
      <c r="HF16" s="415"/>
      <c r="HG16" s="415"/>
      <c r="HH16" s="415"/>
      <c r="HI16" s="415"/>
      <c r="HJ16" s="415"/>
      <c r="HK16" s="415"/>
      <c r="HL16" s="415"/>
      <c r="HM16" s="415"/>
      <c r="HN16" s="415"/>
      <c r="HO16" s="415"/>
      <c r="HP16" s="415"/>
      <c r="HQ16" s="415"/>
      <c r="HR16" s="415"/>
      <c r="HS16" s="415"/>
      <c r="HT16" s="415"/>
      <c r="HU16" s="415"/>
      <c r="HV16" s="415"/>
      <c r="HW16" s="415"/>
      <c r="HX16" s="415"/>
      <c r="HY16" s="415"/>
      <c r="HZ16" s="415"/>
      <c r="IA16" s="415"/>
      <c r="IB16" s="415"/>
      <c r="IC16" s="415"/>
      <c r="ID16" s="415"/>
      <c r="IE16" s="415"/>
      <c r="IF16" s="415"/>
      <c r="IG16" s="415"/>
      <c r="IH16" s="415"/>
      <c r="II16" s="415"/>
      <c r="IJ16" s="415"/>
      <c r="IK16" s="415"/>
      <c r="IL16" s="415"/>
      <c r="IM16" s="415"/>
      <c r="IN16" s="415"/>
      <c r="IO16" s="415"/>
      <c r="IP16" s="415"/>
      <c r="IQ16" s="415"/>
      <c r="IR16" s="415"/>
      <c r="IS16" s="415"/>
      <c r="IT16" s="415"/>
      <c r="IU16" s="415"/>
      <c r="IV16" s="415"/>
      <c r="IW16" s="415"/>
      <c r="IX16" s="415"/>
      <c r="IY16" s="415"/>
      <c r="IZ16" s="415"/>
      <c r="JA16" s="415"/>
      <c r="JB16" s="415"/>
      <c r="JC16" s="415"/>
      <c r="JD16" s="415"/>
      <c r="JE16" s="415"/>
      <c r="JF16" s="415"/>
      <c r="JG16" s="415"/>
      <c r="JH16" s="415"/>
      <c r="JI16" s="415"/>
      <c r="JJ16" s="415"/>
      <c r="JK16" s="415"/>
      <c r="JL16" s="415"/>
      <c r="JM16" s="415"/>
      <c r="JN16" s="415"/>
      <c r="JO16" s="415"/>
      <c r="JP16" s="415"/>
    </row>
    <row r="17" spans="1:276" ht="18.899999999999999" customHeight="1">
      <c r="A17" s="2568" t="s">
        <v>3971</v>
      </c>
      <c r="B17" s="2568"/>
      <c r="C17" s="2568"/>
      <c r="D17" s="418">
        <f>M14</f>
        <v>0</v>
      </c>
      <c r="E17" s="418"/>
      <c r="F17" s="418"/>
      <c r="G17" s="418"/>
      <c r="H17" s="418"/>
      <c r="I17" s="418"/>
      <c r="J17" s="418"/>
      <c r="K17" s="418"/>
      <c r="L17" s="418"/>
      <c r="M17" s="414"/>
      <c r="N17" s="414"/>
      <c r="O17" s="414"/>
      <c r="P17" s="414"/>
      <c r="Q17" s="414"/>
      <c r="R17" s="414"/>
      <c r="S17" s="414"/>
      <c r="T17" s="414"/>
      <c r="U17" s="414"/>
      <c r="Y17" s="410">
        <f>19*3+1158.6*2+1352.4</f>
        <v>3726.6</v>
      </c>
      <c r="BF17" s="415"/>
      <c r="BG17" s="419"/>
      <c r="BH17" s="420"/>
      <c r="BI17" s="420"/>
      <c r="BJ17" s="420"/>
      <c r="BK17" s="420"/>
      <c r="BM17" s="420"/>
      <c r="DK17" s="415"/>
      <c r="DL17" s="415"/>
      <c r="DM17" s="415"/>
      <c r="DN17" s="415"/>
      <c r="DO17" s="415"/>
      <c r="DP17" s="415"/>
      <c r="DQ17" s="415"/>
      <c r="DR17" s="415"/>
      <c r="DS17" s="415"/>
      <c r="DT17" s="415"/>
      <c r="DU17" s="415"/>
      <c r="DV17" s="415"/>
      <c r="DW17" s="415"/>
      <c r="DX17" s="415"/>
      <c r="DY17" s="415"/>
      <c r="DZ17" s="415"/>
      <c r="EA17" s="415"/>
      <c r="EB17" s="415"/>
      <c r="EC17" s="415"/>
      <c r="ED17" s="415"/>
      <c r="EE17" s="415"/>
      <c r="EF17" s="415"/>
      <c r="EG17" s="415"/>
      <c r="EH17" s="415"/>
      <c r="EI17" s="415"/>
      <c r="EJ17" s="415"/>
      <c r="EK17" s="415"/>
      <c r="EL17" s="415"/>
      <c r="EM17" s="415"/>
      <c r="EN17" s="415"/>
      <c r="EO17" s="415"/>
      <c r="EP17" s="415"/>
      <c r="EQ17" s="415"/>
      <c r="ER17" s="415"/>
      <c r="ES17" s="415"/>
      <c r="ET17" s="415"/>
      <c r="EU17" s="415"/>
      <c r="EV17" s="415"/>
      <c r="EW17" s="415"/>
      <c r="EX17" s="415"/>
      <c r="EY17" s="415"/>
      <c r="EZ17" s="415"/>
      <c r="FA17" s="415"/>
      <c r="FB17" s="415"/>
      <c r="FC17" s="415"/>
      <c r="FD17" s="415"/>
      <c r="FE17" s="415"/>
      <c r="FF17" s="415"/>
      <c r="FG17" s="415"/>
      <c r="FH17" s="415"/>
      <c r="FI17" s="415"/>
      <c r="FJ17" s="415"/>
      <c r="FK17" s="415"/>
      <c r="FL17" s="415"/>
      <c r="FM17" s="415"/>
      <c r="FN17" s="415"/>
      <c r="FO17" s="415"/>
      <c r="FP17" s="415"/>
      <c r="FQ17" s="415"/>
      <c r="FR17" s="415"/>
      <c r="FS17" s="415"/>
      <c r="FT17" s="415"/>
      <c r="FU17" s="415"/>
      <c r="FV17" s="415"/>
      <c r="FW17" s="415"/>
      <c r="FX17" s="415"/>
      <c r="FY17" s="415"/>
      <c r="FZ17" s="415"/>
      <c r="GA17" s="415"/>
      <c r="GB17" s="415"/>
      <c r="GC17" s="415"/>
      <c r="GD17" s="415"/>
      <c r="GE17" s="415"/>
      <c r="GF17" s="415"/>
      <c r="GG17" s="415"/>
      <c r="GH17" s="415"/>
      <c r="GI17" s="415"/>
      <c r="GJ17" s="415"/>
      <c r="GK17" s="415"/>
      <c r="GL17" s="415"/>
      <c r="GM17" s="415"/>
      <c r="GN17" s="415"/>
      <c r="GO17" s="415"/>
      <c r="GP17" s="415"/>
      <c r="GQ17" s="415"/>
      <c r="GR17" s="415"/>
      <c r="GS17" s="415"/>
      <c r="GT17" s="415"/>
      <c r="GU17" s="415"/>
      <c r="GV17" s="415"/>
      <c r="GW17" s="415"/>
      <c r="GX17" s="415"/>
      <c r="GY17" s="415"/>
      <c r="GZ17" s="415"/>
      <c r="HA17" s="415"/>
      <c r="HB17" s="415"/>
      <c r="HC17" s="415"/>
      <c r="HD17" s="415"/>
      <c r="HE17" s="415"/>
      <c r="HF17" s="415"/>
      <c r="HG17" s="415"/>
      <c r="HH17" s="415"/>
      <c r="HI17" s="415"/>
      <c r="HJ17" s="415"/>
      <c r="HK17" s="415"/>
      <c r="HL17" s="415"/>
      <c r="HM17" s="415"/>
      <c r="HN17" s="415"/>
      <c r="HO17" s="415"/>
      <c r="HP17" s="415"/>
      <c r="HQ17" s="415"/>
      <c r="HR17" s="415"/>
      <c r="HS17" s="415"/>
      <c r="HT17" s="415"/>
      <c r="HU17" s="415"/>
      <c r="HV17" s="415"/>
      <c r="HW17" s="415"/>
      <c r="HX17" s="415"/>
      <c r="HY17" s="415"/>
      <c r="HZ17" s="415"/>
      <c r="IA17" s="415"/>
      <c r="IB17" s="415"/>
      <c r="IC17" s="415"/>
      <c r="ID17" s="415"/>
      <c r="IE17" s="415"/>
      <c r="IF17" s="415"/>
      <c r="IG17" s="415"/>
      <c r="IH17" s="415"/>
      <c r="II17" s="415"/>
      <c r="IJ17" s="415"/>
      <c r="IK17" s="415"/>
      <c r="IL17" s="415"/>
      <c r="IM17" s="415"/>
      <c r="IN17" s="415"/>
      <c r="IO17" s="415"/>
      <c r="IP17" s="415"/>
      <c r="IQ17" s="415"/>
      <c r="IR17" s="415"/>
      <c r="IS17" s="415"/>
      <c r="IT17" s="415"/>
      <c r="IU17" s="415"/>
      <c r="IV17" s="415"/>
      <c r="IW17" s="415"/>
      <c r="IX17" s="415"/>
      <c r="IY17" s="415"/>
      <c r="IZ17" s="415"/>
      <c r="JA17" s="415"/>
      <c r="JB17" s="415"/>
      <c r="JC17" s="415"/>
      <c r="JD17" s="415"/>
      <c r="JE17" s="415"/>
      <c r="JF17" s="415"/>
      <c r="JG17" s="415"/>
      <c r="JH17" s="415"/>
      <c r="JI17" s="415"/>
      <c r="JJ17" s="415"/>
      <c r="JK17" s="415"/>
      <c r="JL17" s="415"/>
      <c r="JM17" s="415"/>
      <c r="JN17" s="415"/>
      <c r="JO17" s="415"/>
      <c r="JP17" s="415"/>
    </row>
    <row r="18" spans="1:276" ht="18.899999999999999" customHeight="1">
      <c r="A18" s="2568" t="s">
        <v>3972</v>
      </c>
      <c r="B18" s="2568"/>
      <c r="C18" s="2568"/>
      <c r="D18" s="421">
        <f>N14</f>
        <v>0</v>
      </c>
      <c r="E18" s="421"/>
      <c r="F18" s="421"/>
      <c r="G18" s="421"/>
      <c r="H18" s="421"/>
      <c r="I18" s="421"/>
      <c r="J18" s="421"/>
      <c r="K18" s="421"/>
      <c r="L18" s="421"/>
      <c r="M18" s="422"/>
      <c r="N18" s="422"/>
      <c r="O18" s="422"/>
      <c r="P18" s="422"/>
      <c r="Q18" s="422"/>
      <c r="R18" s="422"/>
      <c r="S18" s="422"/>
      <c r="T18" s="422"/>
      <c r="U18" s="422"/>
      <c r="BG18" s="423"/>
      <c r="BL18" s="416"/>
      <c r="BN18" s="416"/>
    </row>
    <row r="19" spans="1:276" ht="18.899999999999999" customHeight="1">
      <c r="A19" s="2568" t="s">
        <v>3973</v>
      </c>
      <c r="B19" s="2568"/>
      <c r="C19" s="2568"/>
      <c r="D19" s="421">
        <f>T14</f>
        <v>0</v>
      </c>
      <c r="E19" s="421"/>
      <c r="F19" s="421"/>
      <c r="G19" s="421"/>
      <c r="H19" s="421"/>
      <c r="I19" s="421"/>
      <c r="J19" s="421"/>
      <c r="K19" s="421"/>
      <c r="L19" s="421"/>
      <c r="M19" s="422"/>
      <c r="N19" s="422"/>
      <c r="O19" s="422"/>
      <c r="P19" s="422"/>
      <c r="Q19" s="422"/>
      <c r="R19" s="422"/>
      <c r="S19" s="422"/>
      <c r="T19" s="422"/>
      <c r="U19" s="422"/>
      <c r="BG19" s="423"/>
      <c r="BL19" s="416"/>
      <c r="BN19" s="416"/>
    </row>
    <row r="20" spans="1:276" ht="18.899999999999999" customHeight="1">
      <c r="A20" s="2568" t="s">
        <v>3974</v>
      </c>
      <c r="B20" s="2568"/>
      <c r="C20" s="2568"/>
      <c r="D20" s="418">
        <f>U14</f>
        <v>0</v>
      </c>
      <c r="E20" s="418"/>
      <c r="F20" s="418"/>
      <c r="G20" s="418"/>
      <c r="H20" s="418"/>
      <c r="I20" s="418"/>
      <c r="J20" s="418"/>
      <c r="K20" s="418"/>
      <c r="L20" s="418"/>
      <c r="M20" s="414"/>
      <c r="N20" s="414"/>
      <c r="O20" s="414"/>
      <c r="P20" s="414"/>
      <c r="Q20" s="414"/>
      <c r="R20" s="414"/>
      <c r="S20" s="414"/>
      <c r="T20" s="414"/>
      <c r="U20" s="414"/>
      <c r="AW20" s="425"/>
      <c r="AY20" s="413"/>
      <c r="AZ20" s="413"/>
      <c r="BA20" s="413"/>
      <c r="BB20" s="413"/>
      <c r="BC20" s="413"/>
      <c r="BG20" s="426"/>
      <c r="BL20" s="416"/>
      <c r="BN20" s="416"/>
      <c r="BW20" s="426"/>
      <c r="BX20" s="427"/>
      <c r="BY20" s="427"/>
      <c r="BZ20" s="427"/>
      <c r="CA20" s="427"/>
      <c r="CB20" s="427"/>
      <c r="CC20" s="427"/>
      <c r="CD20" s="427"/>
      <c r="CE20" s="427"/>
    </row>
    <row r="21" spans="1:276" ht="18.899999999999999" customHeight="1">
      <c r="A21" s="2568" t="s">
        <v>3975</v>
      </c>
      <c r="B21" s="2568"/>
      <c r="C21" s="2568"/>
      <c r="D21" s="421">
        <f>V14</f>
        <v>0</v>
      </c>
      <c r="E21" s="421"/>
      <c r="F21" s="421"/>
      <c r="G21" s="421"/>
      <c r="H21" s="421"/>
      <c r="I21" s="421"/>
      <c r="J21" s="421"/>
      <c r="K21" s="421"/>
      <c r="L21" s="421"/>
      <c r="M21" s="422"/>
      <c r="N21" s="422"/>
      <c r="O21" s="422"/>
      <c r="P21" s="422"/>
      <c r="Q21" s="422"/>
      <c r="R21" s="422"/>
      <c r="S21" s="422"/>
      <c r="T21" s="422"/>
      <c r="U21" s="422"/>
      <c r="AC21" s="410">
        <v>588.29999999999995</v>
      </c>
      <c r="AY21" s="413"/>
      <c r="AZ21" s="413"/>
      <c r="BA21" s="413"/>
      <c r="BB21" s="413"/>
      <c r="BC21" s="413"/>
      <c r="BG21" s="423"/>
      <c r="BL21" s="416"/>
      <c r="BN21" s="416"/>
      <c r="BW21" s="426"/>
      <c r="BX21" s="415"/>
      <c r="BY21" s="415"/>
      <c r="BZ21" s="415"/>
      <c r="CA21" s="415"/>
      <c r="CB21" s="415"/>
      <c r="CC21" s="415"/>
      <c r="CD21" s="415"/>
      <c r="CE21" s="415"/>
    </row>
    <row r="22" spans="1:276" ht="18.899999999999999" customHeight="1">
      <c r="D22" s="429"/>
      <c r="E22" s="429"/>
      <c r="F22" s="429"/>
      <c r="G22" s="429"/>
      <c r="H22" s="429"/>
      <c r="I22" s="429"/>
      <c r="J22" s="429"/>
      <c r="K22" s="429"/>
      <c r="L22" s="429"/>
      <c r="M22" s="429"/>
      <c r="N22" s="429"/>
      <c r="O22" s="429"/>
      <c r="P22" s="429"/>
      <c r="Q22" s="429"/>
      <c r="R22" s="429"/>
      <c r="S22" s="429"/>
      <c r="T22" s="429"/>
      <c r="U22" s="429"/>
      <c r="AC22" s="410">
        <v>18</v>
      </c>
      <c r="BL22" s="416"/>
      <c r="BN22" s="416"/>
    </row>
    <row r="23" spans="1:276" ht="18.899999999999999" customHeight="1">
      <c r="AC23" s="410">
        <f>AC21-AC22</f>
        <v>570.29999999999995</v>
      </c>
    </row>
    <row r="28" spans="1:276" ht="18.899999999999999" customHeight="1">
      <c r="AC28" s="410">
        <v>588.29999999999995</v>
      </c>
      <c r="AD28" s="410">
        <v>507</v>
      </c>
      <c r="AM28" s="720">
        <v>875.9</v>
      </c>
      <c r="AN28" s="720"/>
      <c r="AO28" s="720"/>
      <c r="AP28" s="720"/>
      <c r="AQ28" s="720"/>
      <c r="AR28" s="720"/>
      <c r="AS28" s="720"/>
      <c r="AT28" s="720"/>
      <c r="AU28" s="720"/>
    </row>
    <row r="29" spans="1:276" ht="18.899999999999999" customHeight="1">
      <c r="AC29" s="410">
        <v>18</v>
      </c>
      <c r="AD29" s="410">
        <v>18</v>
      </c>
      <c r="AM29" s="410">
        <v>9</v>
      </c>
    </row>
    <row r="30" spans="1:276" ht="18.899999999999999" customHeight="1">
      <c r="AC30" s="410">
        <f>AC28-AC29</f>
        <v>570.29999999999995</v>
      </c>
      <c r="AD30" s="410">
        <f>AD28-AD29</f>
        <v>489</v>
      </c>
      <c r="AM30" s="720">
        <f>AM28-AM29</f>
        <v>866.9</v>
      </c>
      <c r="AN30" s="720"/>
      <c r="AO30" s="720"/>
      <c r="AP30" s="720"/>
      <c r="AQ30" s="720"/>
      <c r="AR30" s="720"/>
      <c r="AS30" s="720"/>
      <c r="AT30" s="720"/>
      <c r="AU30" s="720"/>
    </row>
  </sheetData>
  <mergeCells count="57">
    <mergeCell ref="A2:JQ2"/>
    <mergeCell ref="DA4:DA5"/>
    <mergeCell ref="A20:C20"/>
    <mergeCell ref="A21:C21"/>
    <mergeCell ref="JQ4:JQ5"/>
    <mergeCell ref="A16:C16"/>
    <mergeCell ref="A17:C17"/>
    <mergeCell ref="A18:C18"/>
    <mergeCell ref="A19:C19"/>
    <mergeCell ref="EO4:ES4"/>
    <mergeCell ref="ET4:EX4"/>
    <mergeCell ref="EY4:EZ4"/>
    <mergeCell ref="DL4:DL5"/>
    <mergeCell ref="DM4:DM5"/>
    <mergeCell ref="DN4:DN5"/>
    <mergeCell ref="EJ4:EN4"/>
    <mergeCell ref="GH4:GH5"/>
    <mergeCell ref="A4:A5"/>
    <mergeCell ref="D4:D5"/>
    <mergeCell ref="CZ4:CZ5"/>
    <mergeCell ref="AV4:AV5"/>
    <mergeCell ref="AW4:AW5"/>
    <mergeCell ref="AX4:AX5"/>
    <mergeCell ref="AY4:BF4"/>
    <mergeCell ref="BG4:BV4"/>
    <mergeCell ref="BW4:CI4"/>
    <mergeCell ref="DB4:DB5"/>
    <mergeCell ref="DC4:DC5"/>
    <mergeCell ref="DD4:DG4"/>
    <mergeCell ref="CJ4:CS4"/>
    <mergeCell ref="CV4:CV5"/>
    <mergeCell ref="CW4:CW5"/>
    <mergeCell ref="DH4:DH5"/>
    <mergeCell ref="DK4:DK5"/>
    <mergeCell ref="DO4:EI4"/>
    <mergeCell ref="AQ4:AQ5"/>
    <mergeCell ref="AR4:AR5"/>
    <mergeCell ref="AS4:AS5"/>
    <mergeCell ref="AT4:AT5"/>
    <mergeCell ref="AU4:AU5"/>
    <mergeCell ref="DI4:DI5"/>
    <mergeCell ref="CT4:CT5"/>
    <mergeCell ref="CU4:CU5"/>
    <mergeCell ref="CX4:CX5"/>
    <mergeCell ref="CY4:CY5"/>
    <mergeCell ref="DJ4:DJ5"/>
    <mergeCell ref="B4:B5"/>
    <mergeCell ref="C4:C5"/>
    <mergeCell ref="E4:E5"/>
    <mergeCell ref="A14:B14"/>
    <mergeCell ref="AP4:AP5"/>
    <mergeCell ref="AJ4:AJ5"/>
    <mergeCell ref="AM4:AM5"/>
    <mergeCell ref="AN4:AN5"/>
    <mergeCell ref="AL4:AL5"/>
    <mergeCell ref="AO4:AO5"/>
    <mergeCell ref="AK4:AK5"/>
  </mergeCells>
  <printOptions horizontalCentered="1"/>
  <pageMargins left="0.23622047244094499" right="0.23622047244094499" top="0.66929133858267698" bottom="0.74803149606299202" header="0.196850393700787" footer="0.196850393700787"/>
  <pageSetup paperSize="8" scale="55" fitToWidth="9" fitToHeight="0" orientation="landscape" blackAndWhite="1" useFirstPageNumber="1" r:id="rId1"/>
  <headerFooter alignWithMargins="0">
    <oddFooter>&amp;C&amp;A&amp;RPage&amp;P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179</vt:i4>
      </vt:variant>
    </vt:vector>
  </HeadingPairs>
  <TitlesOfParts>
    <vt:vector size="195" baseType="lpstr">
      <vt:lpstr>Solieu</vt:lpstr>
      <vt:lpstr>DG</vt:lpstr>
      <vt:lpstr>chitiet</vt:lpstr>
      <vt:lpstr>Cap ngam</vt:lpstr>
      <vt:lpstr>CT_tram</vt:lpstr>
      <vt:lpstr>kl</vt:lpstr>
      <vt:lpstr>pp3p_NC2M-3M</vt:lpstr>
      <vt:lpstr>pp3p2m </vt:lpstr>
      <vt:lpstr>ppCN</vt:lpstr>
      <vt:lpstr>PPHTCS</vt:lpstr>
      <vt:lpstr>BK DEN CS</vt:lpstr>
      <vt:lpstr>pptt_NC</vt:lpstr>
      <vt:lpstr>pp3p1m</vt:lpstr>
      <vt:lpstr>pp1p</vt:lpstr>
      <vt:lpstr>ppht</vt:lpstr>
      <vt:lpstr>ppht_NC</vt:lpstr>
      <vt:lpstr>_hsl1</vt:lpstr>
      <vt:lpstr>_hsl2</vt:lpstr>
      <vt:lpstr>BTLT1pm</vt:lpstr>
      <vt:lpstr>'pp3p_NC2M-3M'!BTLT3p1m</vt:lpstr>
      <vt:lpstr>BTLT3p1m</vt:lpstr>
      <vt:lpstr>BTLT3pm</vt:lpstr>
      <vt:lpstr>btltct</vt:lpstr>
      <vt:lpstr>BTLTHTCS</vt:lpstr>
      <vt:lpstr>btlthtdl</vt:lpstr>
      <vt:lpstr>btlththh</vt:lpstr>
      <vt:lpstr>CandenHTCS</vt:lpstr>
      <vt:lpstr>capdat</vt:lpstr>
      <vt:lpstr>chang1pm</vt:lpstr>
      <vt:lpstr>'pp3p_NC2M-3M'!chang3p1m</vt:lpstr>
      <vt:lpstr>chang3p1m</vt:lpstr>
      <vt:lpstr>chang3pm</vt:lpstr>
      <vt:lpstr>changct</vt:lpstr>
      <vt:lpstr>ppht_NC!changht</vt:lpstr>
      <vt:lpstr>changHTDL</vt:lpstr>
      <vt:lpstr>changhthh</vt:lpstr>
      <vt:lpstr>CPDP</vt:lpstr>
      <vt:lpstr>dgiatru</vt:lpstr>
      <vt:lpstr>DGNC</vt:lpstr>
      <vt:lpstr>dgth</vt:lpstr>
      <vt:lpstr>DG!dongia</vt:lpstr>
      <vt:lpstr>dongia1</vt:lpstr>
      <vt:lpstr>DSPK1pm</vt:lpstr>
      <vt:lpstr>DSPK3p1m</vt:lpstr>
      <vt:lpstr>DSPK3pm</vt:lpstr>
      <vt:lpstr>DSPKhtdl</vt:lpstr>
      <vt:lpstr>DSPKhthh</vt:lpstr>
      <vt:lpstr>Euro</vt:lpstr>
      <vt:lpstr>hsdc</vt:lpstr>
      <vt:lpstr>hsdn</vt:lpstr>
      <vt:lpstr>hshc</vt:lpstr>
      <vt:lpstr>hskd</vt:lpstr>
      <vt:lpstr>hsks</vt:lpstr>
      <vt:lpstr>hsks3</vt:lpstr>
      <vt:lpstr>hslfco</vt:lpstr>
      <vt:lpstr>hslm</vt:lpstr>
      <vt:lpstr>hslnt</vt:lpstr>
      <vt:lpstr>hslx</vt:lpstr>
      <vt:lpstr>hslxh</vt:lpstr>
      <vt:lpstr>hsntt</vt:lpstr>
      <vt:lpstr>HSQD</vt:lpstr>
      <vt:lpstr>laplaivt</vt:lpstr>
      <vt:lpstr>laplaivtht</vt:lpstr>
      <vt:lpstr>lapxacaitao</vt:lpstr>
      <vt:lpstr>ld</vt:lpstr>
      <vt:lpstr>ldl</vt:lpstr>
      <vt:lpstr>DG!Lmk</vt:lpstr>
      <vt:lpstr>LmkT</vt:lpstr>
      <vt:lpstr>mong1pm</vt:lpstr>
      <vt:lpstr>'pp3p_NC2M-3M'!mong3p1m</vt:lpstr>
      <vt:lpstr>mong3p1m</vt:lpstr>
      <vt:lpstr>mong3pm</vt:lpstr>
      <vt:lpstr>mongct</vt:lpstr>
      <vt:lpstr>mongHTCS</vt:lpstr>
      <vt:lpstr>mongHTDL</vt:lpstr>
      <vt:lpstr>monghthh</vt:lpstr>
      <vt:lpstr>mongneo1pm</vt:lpstr>
      <vt:lpstr>'pp3p_NC2M-3M'!mongneo3p1m</vt:lpstr>
      <vt:lpstr>mongneo3p1m</vt:lpstr>
      <vt:lpstr>mongneo3pm</vt:lpstr>
      <vt:lpstr>mongneoct</vt:lpstr>
      <vt:lpstr>ppht_NC!mongneoht</vt:lpstr>
      <vt:lpstr>mongneoHTDL</vt:lpstr>
      <vt:lpstr>mongneoHTHH</vt:lpstr>
      <vt:lpstr>MTCCS</vt:lpstr>
      <vt:lpstr>MTCDD</vt:lpstr>
      <vt:lpstr>MTCDD3</vt:lpstr>
      <vt:lpstr>MTCTBA</vt:lpstr>
      <vt:lpstr>MTCTBA3</vt:lpstr>
      <vt:lpstr>MTCTN</vt:lpstr>
      <vt:lpstr>MTCTN3</vt:lpstr>
      <vt:lpstr>NCCS</vt:lpstr>
      <vt:lpstr>NCDD</vt:lpstr>
      <vt:lpstr>NCDD3</vt:lpstr>
      <vt:lpstr>NCTBA</vt:lpstr>
      <vt:lpstr>NCTBA3</vt:lpstr>
      <vt:lpstr>NCTN</vt:lpstr>
      <vt:lpstr>NCTN3</vt:lpstr>
      <vt:lpstr>'pp3p2m '!pp_3XDM</vt:lpstr>
      <vt:lpstr>'BK DEN CS'!Print_Area</vt:lpstr>
      <vt:lpstr>'Cap ngam'!Print_Area</vt:lpstr>
      <vt:lpstr>chitiet!Print_Area</vt:lpstr>
      <vt:lpstr>CT_tram!Print_Area</vt:lpstr>
      <vt:lpstr>DG!Print_Area</vt:lpstr>
      <vt:lpstr>kl!Print_Area</vt:lpstr>
      <vt:lpstr>pp1p!Print_Area</vt:lpstr>
      <vt:lpstr>'pp3p_NC2M-3M'!Print_Area</vt:lpstr>
      <vt:lpstr>pp3p1m!Print_Area</vt:lpstr>
      <vt:lpstr>'pp3p2m '!Print_Area</vt:lpstr>
      <vt:lpstr>ppCN!Print_Area</vt:lpstr>
      <vt:lpstr>ppht!Print_Area</vt:lpstr>
      <vt:lpstr>ppht_NC!Print_Area</vt:lpstr>
      <vt:lpstr>PPHTCS!Print_Area</vt:lpstr>
      <vt:lpstr>pptt_NC!Print_Area</vt:lpstr>
      <vt:lpstr>'Cap ngam'!Print_Titles</vt:lpstr>
      <vt:lpstr>chitiet!Print_Titles</vt:lpstr>
      <vt:lpstr>CT_tram!Print_Titles</vt:lpstr>
      <vt:lpstr>kl!Print_Titles</vt:lpstr>
      <vt:lpstr>pp1p!Print_Titles</vt:lpstr>
      <vt:lpstr>'pp3p_NC2M-3M'!Print_Titles</vt:lpstr>
      <vt:lpstr>pp3p1m!Print_Titles</vt:lpstr>
      <vt:lpstr>'pp3p2m '!Print_Titles</vt:lpstr>
      <vt:lpstr>ppCN!Print_Titles</vt:lpstr>
      <vt:lpstr>ppht!Print_Titles</vt:lpstr>
      <vt:lpstr>ppht_NC!Print_Titles</vt:lpstr>
      <vt:lpstr>pptt_NC!Print_Titles</vt:lpstr>
      <vt:lpstr>slBTLT1pm</vt:lpstr>
      <vt:lpstr>'pp3p_NC2M-3M'!slBTLT3p1m</vt:lpstr>
      <vt:lpstr>slBTLT3p1m</vt:lpstr>
      <vt:lpstr>slBTLT3pm</vt:lpstr>
      <vt:lpstr>SLBTLTCT</vt:lpstr>
      <vt:lpstr>slBTLTHTCS</vt:lpstr>
      <vt:lpstr>slbtlthtdl</vt:lpstr>
      <vt:lpstr>slbtlththh</vt:lpstr>
      <vt:lpstr>slCandenHTCS</vt:lpstr>
      <vt:lpstr>slchang1pm</vt:lpstr>
      <vt:lpstr>'pp3p_NC2M-3M'!slchang3p1m</vt:lpstr>
      <vt:lpstr>slchang3p1m</vt:lpstr>
      <vt:lpstr>slchang3pm</vt:lpstr>
      <vt:lpstr>slchangct</vt:lpstr>
      <vt:lpstr>ppht_NC!slchanght</vt:lpstr>
      <vt:lpstr>ppht_NC!Slchanghtdl</vt:lpstr>
      <vt:lpstr>Slchanghtdl</vt:lpstr>
      <vt:lpstr>slchanghthh</vt:lpstr>
      <vt:lpstr>sllaplaivt</vt:lpstr>
      <vt:lpstr>sllaplaivtht</vt:lpstr>
      <vt:lpstr>sllapxacaitao</vt:lpstr>
      <vt:lpstr>slmong1pm</vt:lpstr>
      <vt:lpstr>'pp3p_NC2M-3M'!slmong3p1m</vt:lpstr>
      <vt:lpstr>slmong3p1m</vt:lpstr>
      <vt:lpstr>slmong3pm</vt:lpstr>
      <vt:lpstr>slmongct</vt:lpstr>
      <vt:lpstr>slmongHTCS</vt:lpstr>
      <vt:lpstr>SLmongHTDL</vt:lpstr>
      <vt:lpstr>slmonghthh</vt:lpstr>
      <vt:lpstr>slmongneo1pm</vt:lpstr>
      <vt:lpstr>'pp3p_NC2M-3M'!slmongneo3p1m</vt:lpstr>
      <vt:lpstr>slmongneo3p1m</vt:lpstr>
      <vt:lpstr>slmongneo3pm</vt:lpstr>
      <vt:lpstr>SLMONGNEOCT</vt:lpstr>
      <vt:lpstr>slmongneohtdl</vt:lpstr>
      <vt:lpstr>slmongneohthh</vt:lpstr>
      <vt:lpstr>sltdll1pm</vt:lpstr>
      <vt:lpstr>'pp3p_NC2M-3M'!sltdll3p1m</vt:lpstr>
      <vt:lpstr>sltdll3p1m</vt:lpstr>
      <vt:lpstr>sltdll3pm</vt:lpstr>
      <vt:lpstr>sltdllct</vt:lpstr>
      <vt:lpstr>sltdllHTCS</vt:lpstr>
      <vt:lpstr>sltdllhtdl</vt:lpstr>
      <vt:lpstr>sltdllhthh</vt:lpstr>
      <vt:lpstr>slthaohavt</vt:lpstr>
      <vt:lpstr>slthaohavtht</vt:lpstr>
      <vt:lpstr>slxa1pm</vt:lpstr>
      <vt:lpstr>'pp3p_NC2M-3M'!slxa3p1m</vt:lpstr>
      <vt:lpstr>slxa3p1m</vt:lpstr>
      <vt:lpstr>slxa3pm</vt:lpstr>
      <vt:lpstr>slxact</vt:lpstr>
      <vt:lpstr>SmkT</vt:lpstr>
      <vt:lpstr>tdll1pm</vt:lpstr>
      <vt:lpstr>'pp3p_NC2M-3M'!tdll3p1m</vt:lpstr>
      <vt:lpstr>tdll3p1m</vt:lpstr>
      <vt:lpstr>tdll3pm</vt:lpstr>
      <vt:lpstr>tdllct</vt:lpstr>
      <vt:lpstr>tdllHTCS</vt:lpstr>
      <vt:lpstr>tdllHTDL</vt:lpstr>
      <vt:lpstr>tdllHTHH</vt:lpstr>
      <vt:lpstr>thaohavt</vt:lpstr>
      <vt:lpstr>thaohavtht</vt:lpstr>
      <vt:lpstr>DG!ttronmk</vt:lpstr>
      <vt:lpstr>USD</vt:lpstr>
      <vt:lpstr>xa1pm</vt:lpstr>
      <vt:lpstr>'pp3p_NC2M-3M'!xa3p1m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</dc:title>
  <dc:creator/>
  <cp:lastModifiedBy/>
  <cp:lastPrinted>2011-09-23T03:20:16Z</cp:lastPrinted>
  <dcterms:created xsi:type="dcterms:W3CDTF">2000-12-13T01:30:22Z</dcterms:created>
  <dcterms:modified xsi:type="dcterms:W3CDTF">2020-06-24T08:59:40Z</dcterms:modified>
</cp:coreProperties>
</file>